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GOC\NĂM 2018\THANG 07\PRODUCTION\"/>
    </mc:Choice>
  </mc:AlternateContent>
  <xr:revisionPtr revIDLastSave="0" documentId="13_ncr:1_{FD2F82CA-82A6-4C59-8ED3-0B2B6FF390A6}" xr6:coauthVersionLast="34" xr6:coauthVersionMax="34" xr10:uidLastSave="{00000000-0000-0000-0000-000000000000}"/>
  <bookViews>
    <workbookView xWindow="0" yWindow="0" windowWidth="20490" windowHeight="7155" tabRatio="867" activeTab="9" xr2:uid="{00000000-000D-0000-FFFF-FFFF00000000}"/>
  </bookViews>
  <sheets>
    <sheet name="COGS(매출원가+재공품+완성제품)" sheetId="22" r:id="rId1"/>
    <sheet name="JUNE (물량흐름)" sheetId="36" r:id="rId2"/>
    <sheet name="O.B.JUNE" sheetId="100" r:id="rId3"/>
    <sheet name="CUTTING ON JUNE" sheetId="101" r:id="rId4"/>
    <sheet name="CUTTING ON MAY" sheetId="99" state="hidden" r:id="rId5"/>
    <sheet name="O.B.MAY" sheetId="98" state="hidden" r:id="rId6"/>
    <sheet name="In-out-bal products (155)(완성제품)" sheetId="4" r:id="rId7"/>
    <sheet name="Sales profit (스타일 별 매출이익)" sheetId="5" r:id="rId8"/>
    <sheet name="WIP(재공품)" sheetId="6" r:id="rId9"/>
    <sheet name="Direct labour(직접노무비)" sheetId="8" r:id="rId10"/>
    <sheet name="Overhead exp(제조경비)" sheetId="9" r:id="rId11"/>
    <sheet name="O.B.ARP" sheetId="97" state="hidden" r:id="rId12"/>
    <sheet name="CUTTING ON APR" sheetId="94" state="hidden" r:id="rId13"/>
  </sheets>
  <externalReferences>
    <externalReference r:id="rId14"/>
    <externalReference r:id="rId15"/>
    <externalReference r:id="rId16"/>
  </externalReferences>
  <definedNames>
    <definedName name="_Fill" localSheetId="4" hidden="1">#REF!</definedName>
    <definedName name="_Fill" localSheetId="1" hidden="1">#REF!</definedName>
    <definedName name="_Fill" localSheetId="11" hidden="1">#REF!</definedName>
    <definedName name="_Fill" localSheetId="2" hidden="1">#REF!</definedName>
    <definedName name="_Fill" localSheetId="5" hidden="1">#REF!</definedName>
    <definedName name="_Fill" hidden="1">#REF!</definedName>
    <definedName name="_xlnm._FilterDatabase" localSheetId="12" hidden="1">'CUTTING ON APR'!$A$3:$E$418</definedName>
    <definedName name="_xlnm._FilterDatabase" localSheetId="3" hidden="1">'CUTTING ON JUNE'!$A$3:$G$316</definedName>
    <definedName name="_xlnm._FilterDatabase" localSheetId="4" hidden="1">'CUTTING ON MAY'!$A$5:$D$476</definedName>
    <definedName name="_xlnm._FilterDatabase" localSheetId="9" hidden="1">'Direct labour(직접노무비)'!$A$11:$AD$492</definedName>
    <definedName name="_xlnm._FilterDatabase" localSheetId="6" hidden="1">'In-out-bal products (155)(완성제품)'!$A$10:$BF$492</definedName>
    <definedName name="_xlnm._FilterDatabase" localSheetId="1" hidden="1">'JUNE (물량흐름)'!$A$12:$AU$493</definedName>
    <definedName name="_xlnm._FilterDatabase" localSheetId="11" hidden="1">O.B.ARP!$A$6:$AO$378</definedName>
    <definedName name="_xlnm._FilterDatabase" localSheetId="2" hidden="1">O.B.JUNE!$A$6:$AO$447</definedName>
    <definedName name="_xlnm._FilterDatabase" localSheetId="5" hidden="1">O.B.MAY!$A$6:$AO$432</definedName>
    <definedName name="_xlnm._FilterDatabase" localSheetId="10" hidden="1">'Overhead exp(제조경비)'!$A$11:$AE$492</definedName>
    <definedName name="_xlnm._FilterDatabase" localSheetId="7" hidden="1">'Sales profit (스타일 별 매출이익)'!$A$8:$P$511</definedName>
    <definedName name="_xlnm._FilterDatabase" localSheetId="8" hidden="1">'WIP(재공품)'!$A$11:$AQ$492</definedName>
    <definedName name="DD" localSheetId="4" hidden="1">#REF!</definedName>
    <definedName name="DD" localSheetId="1" hidden="1">#REF!</definedName>
    <definedName name="DD" localSheetId="11" hidden="1">#REF!</definedName>
    <definedName name="DD" localSheetId="2" hidden="1">#REF!</definedName>
    <definedName name="DD" localSheetId="5" hidden="1">#REF!</definedName>
    <definedName name="DD" hidden="1">#REF!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9">'Direct labour(직접노무비)'!$A$1:$AA$493</definedName>
    <definedName name="_xlnm.Print_Area" localSheetId="6">'In-out-bal products (155)(완성제품)'!$A$1:$AW$493</definedName>
    <definedName name="_xlnm.Print_Area" localSheetId="10">'Overhead exp(제조경비)'!$A$1:$AA$493</definedName>
    <definedName name="_xlnm.Print_Area" localSheetId="8">'WIP(재공품)'!$A$1:$AC$493</definedName>
    <definedName name="_xlnm.Print_Titles" localSheetId="9">'Direct labour(직접노무비)'!$1:$10</definedName>
    <definedName name="_xlnm.Print_Titles" localSheetId="6">'In-out-bal products (155)(완성제품)'!$4:$11</definedName>
    <definedName name="_xlnm.Print_Titles" localSheetId="1">'JUNE (물량흐름)'!$4:$12</definedName>
    <definedName name="_xlnm.Print_Titles" localSheetId="10">'Overhead exp(제조경비)'!$1:$10</definedName>
    <definedName name="_xlnm.Print_Titles" localSheetId="7">'Sales profit (스타일 별 매출이익)'!$1:$7</definedName>
    <definedName name="_xlnm.Print_Titles" localSheetId="8">'WIP(재공품)'!$1:$10</definedName>
  </definedNames>
  <calcPr calcId="179017" calcOnSave="0"/>
  <fileRecoveryPr autoRecover="0"/>
</workbook>
</file>

<file path=xl/calcChain.xml><?xml version="1.0" encoding="utf-8"?>
<calcChain xmlns="http://schemas.openxmlformats.org/spreadsheetml/2006/main">
  <c r="D9" i="22" l="1"/>
  <c r="C16" i="22" s="1"/>
  <c r="O493" i="8" l="1"/>
  <c r="C258" i="36" l="1"/>
  <c r="C55" i="36" l="1"/>
  <c r="J492" i="5"/>
  <c r="S493" i="4" l="1"/>
  <c r="T493" i="4"/>
  <c r="U493" i="4"/>
  <c r="AB493" i="4"/>
  <c r="AC493" i="4"/>
  <c r="AD493" i="4"/>
  <c r="AH493" i="4"/>
  <c r="AI493" i="4"/>
  <c r="AJ493" i="4"/>
  <c r="AK493" i="4"/>
  <c r="AL493" i="4"/>
  <c r="AM493" i="4"/>
  <c r="V8" i="36" l="1"/>
  <c r="T8" i="36"/>
  <c r="U8" i="36"/>
  <c r="Z425" i="36" l="1"/>
  <c r="Z422" i="36"/>
  <c r="Z413" i="36"/>
  <c r="Z402" i="36"/>
  <c r="Z393" i="36"/>
  <c r="Z391" i="36"/>
  <c r="Z381" i="36"/>
  <c r="C76" i="36" l="1"/>
  <c r="C138" i="36"/>
  <c r="E115" i="100" l="1"/>
  <c r="AR435" i="36"/>
  <c r="AR436" i="36"/>
  <c r="AR446" i="36"/>
  <c r="AR452" i="36"/>
  <c r="AR455" i="36"/>
  <c r="AR461" i="36"/>
  <c r="AR462" i="36"/>
  <c r="AR463" i="36"/>
  <c r="AR468" i="36"/>
  <c r="AR469" i="36"/>
  <c r="AR473" i="36"/>
  <c r="AR477" i="36"/>
  <c r="AR478" i="36"/>
  <c r="AR481" i="36"/>
  <c r="AR485" i="36"/>
  <c r="Z8" i="36" l="1"/>
  <c r="R13" i="9" l="1"/>
  <c r="S13" i="9"/>
  <c r="R14" i="9"/>
  <c r="S14" i="9"/>
  <c r="R15" i="9"/>
  <c r="S15" i="9"/>
  <c r="R16" i="9"/>
  <c r="S16" i="9"/>
  <c r="R17" i="9"/>
  <c r="S17" i="9"/>
  <c r="R18" i="9"/>
  <c r="S18" i="9"/>
  <c r="R19" i="9"/>
  <c r="S19" i="9"/>
  <c r="R20" i="9"/>
  <c r="S20" i="9"/>
  <c r="R21" i="9"/>
  <c r="S21" i="9"/>
  <c r="R22" i="9"/>
  <c r="S22" i="9"/>
  <c r="R23" i="9"/>
  <c r="S23" i="9"/>
  <c r="R24" i="9"/>
  <c r="S24" i="9"/>
  <c r="R25" i="9"/>
  <c r="S25" i="9"/>
  <c r="R26" i="9"/>
  <c r="S26" i="9"/>
  <c r="R27" i="9"/>
  <c r="S27" i="9"/>
  <c r="R28" i="9"/>
  <c r="S28" i="9"/>
  <c r="R29" i="9"/>
  <c r="S29" i="9"/>
  <c r="R30" i="9"/>
  <c r="S30" i="9"/>
  <c r="R31" i="9"/>
  <c r="S31" i="9"/>
  <c r="R32" i="9"/>
  <c r="S32" i="9"/>
  <c r="R33" i="9"/>
  <c r="S33" i="9"/>
  <c r="R34" i="9"/>
  <c r="S34" i="9"/>
  <c r="R35" i="9"/>
  <c r="S35" i="9"/>
  <c r="R36" i="9"/>
  <c r="S36" i="9"/>
  <c r="R37" i="9"/>
  <c r="S37" i="9"/>
  <c r="R38" i="9"/>
  <c r="S38" i="9"/>
  <c r="R39" i="9"/>
  <c r="S39" i="9"/>
  <c r="R40" i="9"/>
  <c r="S40" i="9"/>
  <c r="R41" i="9"/>
  <c r="S41" i="9"/>
  <c r="R42" i="9"/>
  <c r="S42" i="9"/>
  <c r="R43" i="9"/>
  <c r="S43" i="9"/>
  <c r="R44" i="9"/>
  <c r="S44" i="9"/>
  <c r="R45" i="9"/>
  <c r="S45" i="9"/>
  <c r="R46" i="9"/>
  <c r="S46" i="9"/>
  <c r="R47" i="9"/>
  <c r="S47" i="9"/>
  <c r="R48" i="9"/>
  <c r="S48" i="9"/>
  <c r="R49" i="9"/>
  <c r="S49" i="9"/>
  <c r="R50" i="9"/>
  <c r="S50" i="9"/>
  <c r="R51" i="9"/>
  <c r="S51" i="9"/>
  <c r="R52" i="9"/>
  <c r="S52" i="9"/>
  <c r="R53" i="9"/>
  <c r="S53" i="9"/>
  <c r="R54" i="9"/>
  <c r="S54" i="9"/>
  <c r="R55" i="9"/>
  <c r="S55" i="9"/>
  <c r="R56" i="9"/>
  <c r="S56" i="9"/>
  <c r="R57" i="9"/>
  <c r="S57" i="9"/>
  <c r="R58" i="9"/>
  <c r="S58" i="9"/>
  <c r="R59" i="9"/>
  <c r="S59" i="9"/>
  <c r="R60" i="9"/>
  <c r="S60" i="9"/>
  <c r="R61" i="9"/>
  <c r="S61" i="9"/>
  <c r="R62" i="9"/>
  <c r="S62" i="9"/>
  <c r="R63" i="9"/>
  <c r="S63" i="9"/>
  <c r="R64" i="9"/>
  <c r="S64" i="9"/>
  <c r="R65" i="9"/>
  <c r="S65" i="9"/>
  <c r="R66" i="9"/>
  <c r="S66" i="9"/>
  <c r="R67" i="9"/>
  <c r="S67" i="9"/>
  <c r="R68" i="9"/>
  <c r="S68" i="9"/>
  <c r="R69" i="9"/>
  <c r="S69" i="9"/>
  <c r="R70" i="9"/>
  <c r="S70" i="9"/>
  <c r="R71" i="9"/>
  <c r="S71" i="9"/>
  <c r="R72" i="9"/>
  <c r="S72" i="9"/>
  <c r="R73" i="9"/>
  <c r="S73" i="9"/>
  <c r="R74" i="9"/>
  <c r="S74" i="9"/>
  <c r="R75" i="9"/>
  <c r="S75" i="9"/>
  <c r="R76" i="9"/>
  <c r="S76" i="9"/>
  <c r="R77" i="9"/>
  <c r="S77" i="9"/>
  <c r="R78" i="9"/>
  <c r="S78" i="9"/>
  <c r="R79" i="9"/>
  <c r="S79" i="9"/>
  <c r="R80" i="9"/>
  <c r="S80" i="9"/>
  <c r="R81" i="9"/>
  <c r="S81" i="9"/>
  <c r="R82" i="9"/>
  <c r="S82" i="9"/>
  <c r="R83" i="9"/>
  <c r="S83" i="9"/>
  <c r="R84" i="9"/>
  <c r="S84" i="9"/>
  <c r="R85" i="9"/>
  <c r="S85" i="9"/>
  <c r="R86" i="9"/>
  <c r="S86" i="9"/>
  <c r="R87" i="9"/>
  <c r="S87" i="9"/>
  <c r="R88" i="9"/>
  <c r="S88" i="9"/>
  <c r="R89" i="9"/>
  <c r="S89" i="9"/>
  <c r="R90" i="9"/>
  <c r="S90" i="9"/>
  <c r="R91" i="9"/>
  <c r="S91" i="9"/>
  <c r="R92" i="9"/>
  <c r="S92" i="9"/>
  <c r="R93" i="9"/>
  <c r="S93" i="9"/>
  <c r="R94" i="9"/>
  <c r="S94" i="9"/>
  <c r="R95" i="9"/>
  <c r="S95" i="9"/>
  <c r="R96" i="9"/>
  <c r="S96" i="9"/>
  <c r="R97" i="9"/>
  <c r="S97" i="9"/>
  <c r="R98" i="9"/>
  <c r="S98" i="9"/>
  <c r="R99" i="9"/>
  <c r="S99" i="9"/>
  <c r="R100" i="9"/>
  <c r="S100" i="9"/>
  <c r="R101" i="9"/>
  <c r="S101" i="9"/>
  <c r="R102" i="9"/>
  <c r="S102" i="9"/>
  <c r="R103" i="9"/>
  <c r="S103" i="9"/>
  <c r="R104" i="9"/>
  <c r="S104" i="9"/>
  <c r="R105" i="9"/>
  <c r="S105" i="9"/>
  <c r="R106" i="9"/>
  <c r="S106" i="9"/>
  <c r="R107" i="9"/>
  <c r="S107" i="9"/>
  <c r="R108" i="9"/>
  <c r="S108" i="9"/>
  <c r="R109" i="9"/>
  <c r="S109" i="9"/>
  <c r="R110" i="9"/>
  <c r="S110" i="9"/>
  <c r="R111" i="9"/>
  <c r="S111" i="9"/>
  <c r="R112" i="9"/>
  <c r="S112" i="9"/>
  <c r="R113" i="9"/>
  <c r="S113" i="9"/>
  <c r="R114" i="9"/>
  <c r="S114" i="9"/>
  <c r="R115" i="9"/>
  <c r="S115" i="9"/>
  <c r="R116" i="9"/>
  <c r="S116" i="9"/>
  <c r="R117" i="9"/>
  <c r="S117" i="9"/>
  <c r="R118" i="9"/>
  <c r="S118" i="9"/>
  <c r="R119" i="9"/>
  <c r="S119" i="9"/>
  <c r="R120" i="9"/>
  <c r="S120" i="9"/>
  <c r="R121" i="9"/>
  <c r="S121" i="9"/>
  <c r="R122" i="9"/>
  <c r="S122" i="9"/>
  <c r="R123" i="9"/>
  <c r="S123" i="9"/>
  <c r="R124" i="9"/>
  <c r="S124" i="9"/>
  <c r="R125" i="9"/>
  <c r="S125" i="9"/>
  <c r="R126" i="9"/>
  <c r="S126" i="9"/>
  <c r="R127" i="9"/>
  <c r="S127" i="9"/>
  <c r="R128" i="9"/>
  <c r="S128" i="9"/>
  <c r="R129" i="9"/>
  <c r="S129" i="9"/>
  <c r="R130" i="9"/>
  <c r="S130" i="9"/>
  <c r="R131" i="9"/>
  <c r="S131" i="9"/>
  <c r="R132" i="9"/>
  <c r="S132" i="9"/>
  <c r="R133" i="9"/>
  <c r="S133" i="9"/>
  <c r="R134" i="9"/>
  <c r="S134" i="9"/>
  <c r="R135" i="9"/>
  <c r="S135" i="9"/>
  <c r="R136" i="9"/>
  <c r="S136" i="9"/>
  <c r="R137" i="9"/>
  <c r="S137" i="9"/>
  <c r="R138" i="9"/>
  <c r="S138" i="9"/>
  <c r="R139" i="9"/>
  <c r="S139" i="9"/>
  <c r="R140" i="9"/>
  <c r="S140" i="9"/>
  <c r="R141" i="9"/>
  <c r="S141" i="9"/>
  <c r="R142" i="9"/>
  <c r="S142" i="9"/>
  <c r="R143" i="9"/>
  <c r="S143" i="9"/>
  <c r="R144" i="9"/>
  <c r="S144" i="9"/>
  <c r="R145" i="9"/>
  <c r="S145" i="9"/>
  <c r="R146" i="9"/>
  <c r="S146" i="9"/>
  <c r="R147" i="9"/>
  <c r="S147" i="9"/>
  <c r="R148" i="9"/>
  <c r="S148" i="9"/>
  <c r="R149" i="9"/>
  <c r="S149" i="9"/>
  <c r="R150" i="9"/>
  <c r="S150" i="9"/>
  <c r="R151" i="9"/>
  <c r="S151" i="9"/>
  <c r="R152" i="9"/>
  <c r="S152" i="9"/>
  <c r="R153" i="9"/>
  <c r="S153" i="9"/>
  <c r="R154" i="9"/>
  <c r="S154" i="9"/>
  <c r="R155" i="9"/>
  <c r="S155" i="9"/>
  <c r="R156" i="9"/>
  <c r="S156" i="9"/>
  <c r="R157" i="9"/>
  <c r="S157" i="9"/>
  <c r="R158" i="9"/>
  <c r="S158" i="9"/>
  <c r="R159" i="9"/>
  <c r="S159" i="9"/>
  <c r="R160" i="9"/>
  <c r="S160" i="9"/>
  <c r="R161" i="9"/>
  <c r="S161" i="9"/>
  <c r="R162" i="9"/>
  <c r="S162" i="9"/>
  <c r="R163" i="9"/>
  <c r="S163" i="9"/>
  <c r="R164" i="9"/>
  <c r="S164" i="9"/>
  <c r="R165" i="9"/>
  <c r="S165" i="9"/>
  <c r="R166" i="9"/>
  <c r="S166" i="9"/>
  <c r="R167" i="9"/>
  <c r="S167" i="9"/>
  <c r="R168" i="9"/>
  <c r="S168" i="9"/>
  <c r="R169" i="9"/>
  <c r="S169" i="9"/>
  <c r="R170" i="9"/>
  <c r="S170" i="9"/>
  <c r="R171" i="9"/>
  <c r="S171" i="9"/>
  <c r="R172" i="9"/>
  <c r="S172" i="9"/>
  <c r="R173" i="9"/>
  <c r="S173" i="9"/>
  <c r="R174" i="9"/>
  <c r="S174" i="9"/>
  <c r="R175" i="9"/>
  <c r="S175" i="9"/>
  <c r="R176" i="9"/>
  <c r="S176" i="9"/>
  <c r="R177" i="9"/>
  <c r="S177" i="9"/>
  <c r="R178" i="9"/>
  <c r="S178" i="9"/>
  <c r="R179" i="9"/>
  <c r="S179" i="9"/>
  <c r="R180" i="9"/>
  <c r="S180" i="9"/>
  <c r="R181" i="9"/>
  <c r="S181" i="9"/>
  <c r="R182" i="9"/>
  <c r="S182" i="9"/>
  <c r="R183" i="9"/>
  <c r="S183" i="9"/>
  <c r="R184" i="9"/>
  <c r="S184" i="9"/>
  <c r="R185" i="9"/>
  <c r="S185" i="9"/>
  <c r="R186" i="9"/>
  <c r="S186" i="9"/>
  <c r="R187" i="9"/>
  <c r="S187" i="9"/>
  <c r="R188" i="9"/>
  <c r="S188" i="9"/>
  <c r="R189" i="9"/>
  <c r="S189" i="9"/>
  <c r="R190" i="9"/>
  <c r="S190" i="9"/>
  <c r="R191" i="9"/>
  <c r="S191" i="9"/>
  <c r="R192" i="9"/>
  <c r="S192" i="9"/>
  <c r="R193" i="9"/>
  <c r="S193" i="9"/>
  <c r="R194" i="9"/>
  <c r="S194" i="9"/>
  <c r="R195" i="9"/>
  <c r="S195" i="9"/>
  <c r="R196" i="9"/>
  <c r="S196" i="9"/>
  <c r="R197" i="9"/>
  <c r="S197" i="9"/>
  <c r="R198" i="9"/>
  <c r="S198" i="9"/>
  <c r="R199" i="9"/>
  <c r="S199" i="9"/>
  <c r="R200" i="9"/>
  <c r="S200" i="9"/>
  <c r="R201" i="9"/>
  <c r="S201" i="9"/>
  <c r="R202" i="9"/>
  <c r="S202" i="9"/>
  <c r="R203" i="9"/>
  <c r="S203" i="9"/>
  <c r="R204" i="9"/>
  <c r="S204" i="9"/>
  <c r="R205" i="9"/>
  <c r="S205" i="9"/>
  <c r="R206" i="9"/>
  <c r="S206" i="9"/>
  <c r="R207" i="9"/>
  <c r="S207" i="9"/>
  <c r="R208" i="9"/>
  <c r="S208" i="9"/>
  <c r="R209" i="9"/>
  <c r="S209" i="9"/>
  <c r="R210" i="9"/>
  <c r="S210" i="9"/>
  <c r="R211" i="9"/>
  <c r="S211" i="9"/>
  <c r="R212" i="9"/>
  <c r="S212" i="9"/>
  <c r="R213" i="9"/>
  <c r="S213" i="9"/>
  <c r="R214" i="9"/>
  <c r="S214" i="9"/>
  <c r="R215" i="9"/>
  <c r="S215" i="9"/>
  <c r="R216" i="9"/>
  <c r="S216" i="9"/>
  <c r="R217" i="9"/>
  <c r="S217" i="9"/>
  <c r="R218" i="9"/>
  <c r="S218" i="9"/>
  <c r="R219" i="9"/>
  <c r="S219" i="9"/>
  <c r="R220" i="9"/>
  <c r="S220" i="9"/>
  <c r="R221" i="9"/>
  <c r="S221" i="9"/>
  <c r="R222" i="9"/>
  <c r="S222" i="9"/>
  <c r="R223" i="9"/>
  <c r="S223" i="9"/>
  <c r="R224" i="9"/>
  <c r="S224" i="9"/>
  <c r="R225" i="9"/>
  <c r="S225" i="9"/>
  <c r="R226" i="9"/>
  <c r="S226" i="9"/>
  <c r="R227" i="9"/>
  <c r="S227" i="9"/>
  <c r="R228" i="9"/>
  <c r="S228" i="9"/>
  <c r="R229" i="9"/>
  <c r="S229" i="9"/>
  <c r="R230" i="9"/>
  <c r="S230" i="9"/>
  <c r="R231" i="9"/>
  <c r="S231" i="9"/>
  <c r="R232" i="9"/>
  <c r="S232" i="9"/>
  <c r="R233" i="9"/>
  <c r="S233" i="9"/>
  <c r="R234" i="9"/>
  <c r="S234" i="9"/>
  <c r="R235" i="9"/>
  <c r="S235" i="9"/>
  <c r="R236" i="9"/>
  <c r="S236" i="9"/>
  <c r="R237" i="9"/>
  <c r="S237" i="9"/>
  <c r="R238" i="9"/>
  <c r="S238" i="9"/>
  <c r="R239" i="9"/>
  <c r="S239" i="9"/>
  <c r="R240" i="9"/>
  <c r="S240" i="9"/>
  <c r="R241" i="9"/>
  <c r="S241" i="9"/>
  <c r="R242" i="9"/>
  <c r="S242" i="9"/>
  <c r="R243" i="9"/>
  <c r="S243" i="9"/>
  <c r="R244" i="9"/>
  <c r="S244" i="9"/>
  <c r="R245" i="9"/>
  <c r="S245" i="9"/>
  <c r="R246" i="9"/>
  <c r="S246" i="9"/>
  <c r="R247" i="9"/>
  <c r="S247" i="9"/>
  <c r="R248" i="9"/>
  <c r="S248" i="9"/>
  <c r="R249" i="9"/>
  <c r="S249" i="9"/>
  <c r="R250" i="9"/>
  <c r="S250" i="9"/>
  <c r="R251" i="9"/>
  <c r="S251" i="9"/>
  <c r="R252" i="9"/>
  <c r="S252" i="9"/>
  <c r="R253" i="9"/>
  <c r="S253" i="9"/>
  <c r="R254" i="9"/>
  <c r="S254" i="9"/>
  <c r="R255" i="9"/>
  <c r="S255" i="9"/>
  <c r="R256" i="9"/>
  <c r="S256" i="9"/>
  <c r="R257" i="9"/>
  <c r="S257" i="9"/>
  <c r="R258" i="9"/>
  <c r="S258" i="9"/>
  <c r="R259" i="9"/>
  <c r="S259" i="9"/>
  <c r="R260" i="9"/>
  <c r="S260" i="9"/>
  <c r="R261" i="9"/>
  <c r="S261" i="9"/>
  <c r="R262" i="9"/>
  <c r="S262" i="9"/>
  <c r="R263" i="9"/>
  <c r="S263" i="9"/>
  <c r="R264" i="9"/>
  <c r="S264" i="9"/>
  <c r="R265" i="9"/>
  <c r="S265" i="9"/>
  <c r="R266" i="9"/>
  <c r="S266" i="9"/>
  <c r="R267" i="9"/>
  <c r="S267" i="9"/>
  <c r="R268" i="9"/>
  <c r="S268" i="9"/>
  <c r="R269" i="9"/>
  <c r="S269" i="9"/>
  <c r="R270" i="9"/>
  <c r="S270" i="9"/>
  <c r="R271" i="9"/>
  <c r="S271" i="9"/>
  <c r="R272" i="9"/>
  <c r="S272" i="9"/>
  <c r="R273" i="9"/>
  <c r="S273" i="9"/>
  <c r="R274" i="9"/>
  <c r="S274" i="9"/>
  <c r="R275" i="9"/>
  <c r="S275" i="9"/>
  <c r="R276" i="9"/>
  <c r="S276" i="9"/>
  <c r="R277" i="9"/>
  <c r="S277" i="9"/>
  <c r="R278" i="9"/>
  <c r="S278" i="9"/>
  <c r="R279" i="9"/>
  <c r="S279" i="9"/>
  <c r="R280" i="9"/>
  <c r="S280" i="9"/>
  <c r="R281" i="9"/>
  <c r="S281" i="9"/>
  <c r="R282" i="9"/>
  <c r="S282" i="9"/>
  <c r="R283" i="9"/>
  <c r="S283" i="9"/>
  <c r="R284" i="9"/>
  <c r="S284" i="9"/>
  <c r="R285" i="9"/>
  <c r="S285" i="9"/>
  <c r="R286" i="9"/>
  <c r="S286" i="9"/>
  <c r="R287" i="9"/>
  <c r="S287" i="9"/>
  <c r="R288" i="9"/>
  <c r="S288" i="9"/>
  <c r="R289" i="9"/>
  <c r="S289" i="9"/>
  <c r="R290" i="9"/>
  <c r="S290" i="9"/>
  <c r="R291" i="9"/>
  <c r="S291" i="9"/>
  <c r="R292" i="9"/>
  <c r="S292" i="9"/>
  <c r="R293" i="9"/>
  <c r="S293" i="9"/>
  <c r="R294" i="9"/>
  <c r="S294" i="9"/>
  <c r="R295" i="9"/>
  <c r="S295" i="9"/>
  <c r="R296" i="9"/>
  <c r="S296" i="9"/>
  <c r="R297" i="9"/>
  <c r="S297" i="9"/>
  <c r="R298" i="9"/>
  <c r="S298" i="9"/>
  <c r="R299" i="9"/>
  <c r="S299" i="9"/>
  <c r="R300" i="9"/>
  <c r="S300" i="9"/>
  <c r="R301" i="9"/>
  <c r="S301" i="9"/>
  <c r="R302" i="9"/>
  <c r="S302" i="9"/>
  <c r="R303" i="9"/>
  <c r="S303" i="9"/>
  <c r="R304" i="9"/>
  <c r="S304" i="9"/>
  <c r="R305" i="9"/>
  <c r="S305" i="9"/>
  <c r="R306" i="9"/>
  <c r="S306" i="9"/>
  <c r="R307" i="9"/>
  <c r="S307" i="9"/>
  <c r="R308" i="9"/>
  <c r="S308" i="9"/>
  <c r="R309" i="9"/>
  <c r="S309" i="9"/>
  <c r="R310" i="9"/>
  <c r="S310" i="9"/>
  <c r="R311" i="9"/>
  <c r="S311" i="9"/>
  <c r="R312" i="9"/>
  <c r="S312" i="9"/>
  <c r="R313" i="9"/>
  <c r="S313" i="9"/>
  <c r="R314" i="9"/>
  <c r="S314" i="9"/>
  <c r="R315" i="9"/>
  <c r="S315" i="9"/>
  <c r="R316" i="9"/>
  <c r="S316" i="9"/>
  <c r="R317" i="9"/>
  <c r="S317" i="9"/>
  <c r="R318" i="9"/>
  <c r="S318" i="9"/>
  <c r="R319" i="9"/>
  <c r="S319" i="9"/>
  <c r="R320" i="9"/>
  <c r="S320" i="9"/>
  <c r="R321" i="9"/>
  <c r="S321" i="9"/>
  <c r="R322" i="9"/>
  <c r="S322" i="9"/>
  <c r="R323" i="9"/>
  <c r="S323" i="9"/>
  <c r="R324" i="9"/>
  <c r="S324" i="9"/>
  <c r="R325" i="9"/>
  <c r="S325" i="9"/>
  <c r="R326" i="9"/>
  <c r="S326" i="9"/>
  <c r="R327" i="9"/>
  <c r="S327" i="9"/>
  <c r="R328" i="9"/>
  <c r="S328" i="9"/>
  <c r="R329" i="9"/>
  <c r="S329" i="9"/>
  <c r="R330" i="9"/>
  <c r="S330" i="9"/>
  <c r="R331" i="9"/>
  <c r="S331" i="9"/>
  <c r="R332" i="9"/>
  <c r="S332" i="9"/>
  <c r="R333" i="9"/>
  <c r="S333" i="9"/>
  <c r="R334" i="9"/>
  <c r="S334" i="9"/>
  <c r="R335" i="9"/>
  <c r="S335" i="9"/>
  <c r="R336" i="9"/>
  <c r="S336" i="9"/>
  <c r="R337" i="9"/>
  <c r="S337" i="9"/>
  <c r="R338" i="9"/>
  <c r="S338" i="9"/>
  <c r="R339" i="9"/>
  <c r="S339" i="9"/>
  <c r="R340" i="9"/>
  <c r="S340" i="9"/>
  <c r="R341" i="9"/>
  <c r="S341" i="9"/>
  <c r="R342" i="9"/>
  <c r="S342" i="9"/>
  <c r="R343" i="9"/>
  <c r="S343" i="9"/>
  <c r="R344" i="9"/>
  <c r="S344" i="9"/>
  <c r="R345" i="9"/>
  <c r="S345" i="9"/>
  <c r="R346" i="9"/>
  <c r="S346" i="9"/>
  <c r="R347" i="9"/>
  <c r="S347" i="9"/>
  <c r="R348" i="9"/>
  <c r="S348" i="9"/>
  <c r="R349" i="9"/>
  <c r="S349" i="9"/>
  <c r="R350" i="9"/>
  <c r="S350" i="9"/>
  <c r="R351" i="9"/>
  <c r="S351" i="9"/>
  <c r="R352" i="9"/>
  <c r="S352" i="9"/>
  <c r="R353" i="9"/>
  <c r="S353" i="9"/>
  <c r="R354" i="9"/>
  <c r="S354" i="9"/>
  <c r="R355" i="9"/>
  <c r="S355" i="9"/>
  <c r="R356" i="9"/>
  <c r="S356" i="9"/>
  <c r="R357" i="9"/>
  <c r="S357" i="9"/>
  <c r="R358" i="9"/>
  <c r="S358" i="9"/>
  <c r="R359" i="9"/>
  <c r="S359" i="9"/>
  <c r="R360" i="9"/>
  <c r="S360" i="9"/>
  <c r="R361" i="9"/>
  <c r="S361" i="9"/>
  <c r="R362" i="9"/>
  <c r="S362" i="9"/>
  <c r="R363" i="9"/>
  <c r="S363" i="9"/>
  <c r="R364" i="9"/>
  <c r="S364" i="9"/>
  <c r="R365" i="9"/>
  <c r="S365" i="9"/>
  <c r="R366" i="9"/>
  <c r="S366" i="9"/>
  <c r="R367" i="9"/>
  <c r="S367" i="9"/>
  <c r="R368" i="9"/>
  <c r="S368" i="9"/>
  <c r="R369" i="9"/>
  <c r="S369" i="9"/>
  <c r="R370" i="9"/>
  <c r="S370" i="9"/>
  <c r="R371" i="9"/>
  <c r="S371" i="9"/>
  <c r="R372" i="9"/>
  <c r="S372" i="9"/>
  <c r="R373" i="9"/>
  <c r="S373" i="9"/>
  <c r="R374" i="9"/>
  <c r="S374" i="9"/>
  <c r="R375" i="9"/>
  <c r="S375" i="9"/>
  <c r="R376" i="9"/>
  <c r="S376" i="9"/>
  <c r="R377" i="9"/>
  <c r="S377" i="9"/>
  <c r="R378" i="9"/>
  <c r="S378" i="9"/>
  <c r="R379" i="9"/>
  <c r="S379" i="9"/>
  <c r="R380" i="9"/>
  <c r="S380" i="9"/>
  <c r="R381" i="9"/>
  <c r="S381" i="9"/>
  <c r="R382" i="9"/>
  <c r="S382" i="9"/>
  <c r="R383" i="9"/>
  <c r="S383" i="9"/>
  <c r="R384" i="9"/>
  <c r="S384" i="9"/>
  <c r="R385" i="9"/>
  <c r="S385" i="9"/>
  <c r="R386" i="9"/>
  <c r="S386" i="9"/>
  <c r="R387" i="9"/>
  <c r="S387" i="9"/>
  <c r="R388" i="9"/>
  <c r="S388" i="9"/>
  <c r="R389" i="9"/>
  <c r="S389" i="9"/>
  <c r="R390" i="9"/>
  <c r="S390" i="9"/>
  <c r="R391" i="9"/>
  <c r="S391" i="9"/>
  <c r="R392" i="9"/>
  <c r="S392" i="9"/>
  <c r="R393" i="9"/>
  <c r="S393" i="9"/>
  <c r="R394" i="9"/>
  <c r="S394" i="9"/>
  <c r="R395" i="9"/>
  <c r="S395" i="9"/>
  <c r="R396" i="9"/>
  <c r="S396" i="9"/>
  <c r="R397" i="9"/>
  <c r="S397" i="9"/>
  <c r="R398" i="9"/>
  <c r="S398" i="9"/>
  <c r="R399" i="9"/>
  <c r="S399" i="9"/>
  <c r="R400" i="9"/>
  <c r="S400" i="9"/>
  <c r="R401" i="9"/>
  <c r="S401" i="9"/>
  <c r="R402" i="9"/>
  <c r="S402" i="9"/>
  <c r="R403" i="9"/>
  <c r="S403" i="9"/>
  <c r="R404" i="9"/>
  <c r="S404" i="9"/>
  <c r="R405" i="9"/>
  <c r="S405" i="9"/>
  <c r="R406" i="9"/>
  <c r="S406" i="9"/>
  <c r="R407" i="9"/>
  <c r="S407" i="9"/>
  <c r="R408" i="9"/>
  <c r="S408" i="9"/>
  <c r="R409" i="9"/>
  <c r="S409" i="9"/>
  <c r="R410" i="9"/>
  <c r="S410" i="9"/>
  <c r="R411" i="9"/>
  <c r="S411" i="9"/>
  <c r="R412" i="9"/>
  <c r="S412" i="9"/>
  <c r="R413" i="9"/>
  <c r="S413" i="9"/>
  <c r="R414" i="9"/>
  <c r="S414" i="9"/>
  <c r="R415" i="9"/>
  <c r="S415" i="9"/>
  <c r="R416" i="9"/>
  <c r="S416" i="9"/>
  <c r="R417" i="9"/>
  <c r="S417" i="9"/>
  <c r="R418" i="9"/>
  <c r="S418" i="9"/>
  <c r="R419" i="9"/>
  <c r="S419" i="9"/>
  <c r="R420" i="9"/>
  <c r="S420" i="9"/>
  <c r="R421" i="9"/>
  <c r="S421" i="9"/>
  <c r="R422" i="9"/>
  <c r="S422" i="9"/>
  <c r="R423" i="9"/>
  <c r="S423" i="9"/>
  <c r="R424" i="9"/>
  <c r="S424" i="9"/>
  <c r="R425" i="9"/>
  <c r="S425" i="9"/>
  <c r="R426" i="9"/>
  <c r="S426" i="9"/>
  <c r="R427" i="9"/>
  <c r="S427" i="9"/>
  <c r="R428" i="9"/>
  <c r="S428" i="9"/>
  <c r="R429" i="9"/>
  <c r="S429" i="9"/>
  <c r="R430" i="9"/>
  <c r="S430" i="9"/>
  <c r="R431" i="9"/>
  <c r="S431" i="9"/>
  <c r="R432" i="9"/>
  <c r="S432" i="9"/>
  <c r="R433" i="9"/>
  <c r="S433" i="9"/>
  <c r="R434" i="9"/>
  <c r="S434" i="9"/>
  <c r="R435" i="9"/>
  <c r="S435" i="9"/>
  <c r="R436" i="9"/>
  <c r="S436" i="9"/>
  <c r="R437" i="9"/>
  <c r="S437" i="9"/>
  <c r="R438" i="9"/>
  <c r="S438" i="9"/>
  <c r="R439" i="9"/>
  <c r="S439" i="9"/>
  <c r="R440" i="9"/>
  <c r="S440" i="9"/>
  <c r="R441" i="9"/>
  <c r="S441" i="9"/>
  <c r="R442" i="9"/>
  <c r="S442" i="9"/>
  <c r="R443" i="9"/>
  <c r="S443" i="9"/>
  <c r="R444" i="9"/>
  <c r="S444" i="9"/>
  <c r="R445" i="9"/>
  <c r="S445" i="9"/>
  <c r="R446" i="9"/>
  <c r="S446" i="9"/>
  <c r="R447" i="9"/>
  <c r="S447" i="9"/>
  <c r="R448" i="9"/>
  <c r="S448" i="9"/>
  <c r="R449" i="9"/>
  <c r="S449" i="9"/>
  <c r="R450" i="9"/>
  <c r="S450" i="9"/>
  <c r="R451" i="9"/>
  <c r="S451" i="9"/>
  <c r="R452" i="9"/>
  <c r="S452" i="9"/>
  <c r="R453" i="9"/>
  <c r="S453" i="9"/>
  <c r="R454" i="9"/>
  <c r="S454" i="9"/>
  <c r="R455" i="9"/>
  <c r="S455" i="9"/>
  <c r="R456" i="9"/>
  <c r="S456" i="9"/>
  <c r="R457" i="9"/>
  <c r="S457" i="9"/>
  <c r="R458" i="9"/>
  <c r="S458" i="9"/>
  <c r="R459" i="9"/>
  <c r="S459" i="9"/>
  <c r="R460" i="9"/>
  <c r="S460" i="9"/>
  <c r="R461" i="9"/>
  <c r="S461" i="9"/>
  <c r="R462" i="9"/>
  <c r="S462" i="9"/>
  <c r="R463" i="9"/>
  <c r="S463" i="9"/>
  <c r="R464" i="9"/>
  <c r="S464" i="9"/>
  <c r="R465" i="9"/>
  <c r="S465" i="9"/>
  <c r="R466" i="9"/>
  <c r="S466" i="9"/>
  <c r="R467" i="9"/>
  <c r="S467" i="9"/>
  <c r="R468" i="9"/>
  <c r="S468" i="9"/>
  <c r="R469" i="9"/>
  <c r="S469" i="9"/>
  <c r="R470" i="9"/>
  <c r="S470" i="9"/>
  <c r="R471" i="9"/>
  <c r="S471" i="9"/>
  <c r="R472" i="9"/>
  <c r="S472" i="9"/>
  <c r="R473" i="9"/>
  <c r="S473" i="9"/>
  <c r="R474" i="9"/>
  <c r="S474" i="9"/>
  <c r="R475" i="9"/>
  <c r="S475" i="9"/>
  <c r="R476" i="9"/>
  <c r="S476" i="9"/>
  <c r="R477" i="9"/>
  <c r="S477" i="9"/>
  <c r="R478" i="9"/>
  <c r="S478" i="9"/>
  <c r="R479" i="9"/>
  <c r="S479" i="9"/>
  <c r="R480" i="9"/>
  <c r="S480" i="9"/>
  <c r="R481" i="9"/>
  <c r="S481" i="9"/>
  <c r="R482" i="9"/>
  <c r="S482" i="9"/>
  <c r="R483" i="9"/>
  <c r="S483" i="9"/>
  <c r="R484" i="9"/>
  <c r="S484" i="9"/>
  <c r="R485" i="9"/>
  <c r="S485" i="9"/>
  <c r="R486" i="9"/>
  <c r="S486" i="9"/>
  <c r="R487" i="9"/>
  <c r="S487" i="9"/>
  <c r="R488" i="9"/>
  <c r="S488" i="9"/>
  <c r="R489" i="9"/>
  <c r="S489" i="9"/>
  <c r="R490" i="9"/>
  <c r="S490" i="9"/>
  <c r="R491" i="9"/>
  <c r="S491" i="9"/>
  <c r="R492" i="9"/>
  <c r="S492" i="9"/>
  <c r="R13" i="8"/>
  <c r="S13" i="8"/>
  <c r="R14" i="8"/>
  <c r="S14" i="8"/>
  <c r="R15" i="8"/>
  <c r="S15" i="8"/>
  <c r="R16" i="8"/>
  <c r="S16" i="8"/>
  <c r="R17" i="8"/>
  <c r="S17" i="8"/>
  <c r="R18" i="8"/>
  <c r="S18" i="8"/>
  <c r="R19" i="8"/>
  <c r="S19" i="8"/>
  <c r="R20" i="8"/>
  <c r="S20" i="8"/>
  <c r="R21" i="8"/>
  <c r="S21" i="8"/>
  <c r="R22" i="8"/>
  <c r="S22" i="8"/>
  <c r="R23" i="8"/>
  <c r="S23" i="8"/>
  <c r="R24" i="8"/>
  <c r="S24" i="8"/>
  <c r="R25" i="8"/>
  <c r="S25" i="8"/>
  <c r="R26" i="8"/>
  <c r="S26" i="8"/>
  <c r="R27" i="8"/>
  <c r="S27" i="8"/>
  <c r="R28" i="8"/>
  <c r="S28" i="8"/>
  <c r="R29" i="8"/>
  <c r="S29" i="8"/>
  <c r="R30" i="8"/>
  <c r="S30" i="8"/>
  <c r="R31" i="8"/>
  <c r="S31" i="8"/>
  <c r="R32" i="8"/>
  <c r="S32" i="8"/>
  <c r="R33" i="8"/>
  <c r="S33" i="8"/>
  <c r="R34" i="8"/>
  <c r="S34" i="8"/>
  <c r="R35" i="8"/>
  <c r="S35" i="8"/>
  <c r="R36" i="8"/>
  <c r="S36" i="8"/>
  <c r="R37" i="8"/>
  <c r="S37" i="8"/>
  <c r="R38" i="8"/>
  <c r="S38" i="8"/>
  <c r="R39" i="8"/>
  <c r="S39" i="8"/>
  <c r="R40" i="8"/>
  <c r="S40" i="8"/>
  <c r="R41" i="8"/>
  <c r="S41" i="8"/>
  <c r="R42" i="8"/>
  <c r="S42" i="8"/>
  <c r="R43" i="8"/>
  <c r="S43" i="8"/>
  <c r="R44" i="8"/>
  <c r="S44" i="8"/>
  <c r="R45" i="8"/>
  <c r="S45" i="8"/>
  <c r="R46" i="8"/>
  <c r="S46" i="8"/>
  <c r="R47" i="8"/>
  <c r="S47" i="8"/>
  <c r="R48" i="8"/>
  <c r="S48" i="8"/>
  <c r="R49" i="8"/>
  <c r="S49" i="8"/>
  <c r="R50" i="8"/>
  <c r="S50" i="8"/>
  <c r="R51" i="8"/>
  <c r="S51" i="8"/>
  <c r="R52" i="8"/>
  <c r="S52" i="8"/>
  <c r="R53" i="8"/>
  <c r="S53" i="8"/>
  <c r="R54" i="8"/>
  <c r="S54" i="8"/>
  <c r="R55" i="8"/>
  <c r="S55" i="8"/>
  <c r="R56" i="8"/>
  <c r="S56" i="8"/>
  <c r="R57" i="8"/>
  <c r="S57" i="8"/>
  <c r="R58" i="8"/>
  <c r="S58" i="8"/>
  <c r="R59" i="8"/>
  <c r="S59" i="8"/>
  <c r="R60" i="8"/>
  <c r="S60" i="8"/>
  <c r="R61" i="8"/>
  <c r="S61" i="8"/>
  <c r="R62" i="8"/>
  <c r="S62" i="8"/>
  <c r="R63" i="8"/>
  <c r="S63" i="8"/>
  <c r="R64" i="8"/>
  <c r="S64" i="8"/>
  <c r="R65" i="8"/>
  <c r="S65" i="8"/>
  <c r="R66" i="8"/>
  <c r="S66" i="8"/>
  <c r="R67" i="8"/>
  <c r="S67" i="8"/>
  <c r="R68" i="8"/>
  <c r="S68" i="8"/>
  <c r="R69" i="8"/>
  <c r="S69" i="8"/>
  <c r="R70" i="8"/>
  <c r="S70" i="8"/>
  <c r="R71" i="8"/>
  <c r="S71" i="8"/>
  <c r="R72" i="8"/>
  <c r="S72" i="8"/>
  <c r="R73" i="8"/>
  <c r="S73" i="8"/>
  <c r="R74" i="8"/>
  <c r="S74" i="8"/>
  <c r="R75" i="8"/>
  <c r="S75" i="8"/>
  <c r="R76" i="8"/>
  <c r="S76" i="8"/>
  <c r="R77" i="8"/>
  <c r="S77" i="8"/>
  <c r="R78" i="8"/>
  <c r="S78" i="8"/>
  <c r="R79" i="8"/>
  <c r="S79" i="8"/>
  <c r="R80" i="8"/>
  <c r="S80" i="8"/>
  <c r="R81" i="8"/>
  <c r="S81" i="8"/>
  <c r="R82" i="8"/>
  <c r="S82" i="8"/>
  <c r="R83" i="8"/>
  <c r="S83" i="8"/>
  <c r="R84" i="8"/>
  <c r="S84" i="8"/>
  <c r="R85" i="8"/>
  <c r="S85" i="8"/>
  <c r="R86" i="8"/>
  <c r="S86" i="8"/>
  <c r="R87" i="8"/>
  <c r="S87" i="8"/>
  <c r="R88" i="8"/>
  <c r="S88" i="8"/>
  <c r="R89" i="8"/>
  <c r="S89" i="8"/>
  <c r="R90" i="8"/>
  <c r="S90" i="8"/>
  <c r="R91" i="8"/>
  <c r="S91" i="8"/>
  <c r="R92" i="8"/>
  <c r="S92" i="8"/>
  <c r="R93" i="8"/>
  <c r="S93" i="8"/>
  <c r="R94" i="8"/>
  <c r="S94" i="8"/>
  <c r="R95" i="8"/>
  <c r="S95" i="8"/>
  <c r="R96" i="8"/>
  <c r="S96" i="8"/>
  <c r="R97" i="8"/>
  <c r="S97" i="8"/>
  <c r="R98" i="8"/>
  <c r="S98" i="8"/>
  <c r="R99" i="8"/>
  <c r="S99" i="8"/>
  <c r="R100" i="8"/>
  <c r="S100" i="8"/>
  <c r="R101" i="8"/>
  <c r="S101" i="8"/>
  <c r="R102" i="8"/>
  <c r="S102" i="8"/>
  <c r="R103" i="8"/>
  <c r="S103" i="8"/>
  <c r="R104" i="8"/>
  <c r="S104" i="8"/>
  <c r="R105" i="8"/>
  <c r="S105" i="8"/>
  <c r="R106" i="8"/>
  <c r="S106" i="8"/>
  <c r="R107" i="8"/>
  <c r="S107" i="8"/>
  <c r="R108" i="8"/>
  <c r="S108" i="8"/>
  <c r="R109" i="8"/>
  <c r="S109" i="8"/>
  <c r="R110" i="8"/>
  <c r="S110" i="8"/>
  <c r="R111" i="8"/>
  <c r="S111" i="8"/>
  <c r="R112" i="8"/>
  <c r="S112" i="8"/>
  <c r="R113" i="8"/>
  <c r="S113" i="8"/>
  <c r="R114" i="8"/>
  <c r="S114" i="8"/>
  <c r="R115" i="8"/>
  <c r="S115" i="8"/>
  <c r="R116" i="8"/>
  <c r="S116" i="8"/>
  <c r="R117" i="8"/>
  <c r="S117" i="8"/>
  <c r="R118" i="8"/>
  <c r="S118" i="8"/>
  <c r="R119" i="8"/>
  <c r="S119" i="8"/>
  <c r="R120" i="8"/>
  <c r="S120" i="8"/>
  <c r="R121" i="8"/>
  <c r="S121" i="8"/>
  <c r="R122" i="8"/>
  <c r="S122" i="8"/>
  <c r="R123" i="8"/>
  <c r="S123" i="8"/>
  <c r="R124" i="8"/>
  <c r="S124" i="8"/>
  <c r="R125" i="8"/>
  <c r="S125" i="8"/>
  <c r="R126" i="8"/>
  <c r="S126" i="8"/>
  <c r="R127" i="8"/>
  <c r="S127" i="8"/>
  <c r="R128" i="8"/>
  <c r="S128" i="8"/>
  <c r="R129" i="8"/>
  <c r="S129" i="8"/>
  <c r="R130" i="8"/>
  <c r="S130" i="8"/>
  <c r="R131" i="8"/>
  <c r="S131" i="8"/>
  <c r="R132" i="8"/>
  <c r="S132" i="8"/>
  <c r="R133" i="8"/>
  <c r="S133" i="8"/>
  <c r="R134" i="8"/>
  <c r="S134" i="8"/>
  <c r="R135" i="8"/>
  <c r="S135" i="8"/>
  <c r="R136" i="8"/>
  <c r="S136" i="8"/>
  <c r="R137" i="8"/>
  <c r="S137" i="8"/>
  <c r="R138" i="8"/>
  <c r="S138" i="8"/>
  <c r="R139" i="8"/>
  <c r="S139" i="8"/>
  <c r="R140" i="8"/>
  <c r="S140" i="8"/>
  <c r="R141" i="8"/>
  <c r="S141" i="8"/>
  <c r="R142" i="8"/>
  <c r="S142" i="8"/>
  <c r="R143" i="8"/>
  <c r="S143" i="8"/>
  <c r="R144" i="8"/>
  <c r="S144" i="8"/>
  <c r="R145" i="8"/>
  <c r="S145" i="8"/>
  <c r="R146" i="8"/>
  <c r="S146" i="8"/>
  <c r="R147" i="8"/>
  <c r="S147" i="8"/>
  <c r="R148" i="8"/>
  <c r="S148" i="8"/>
  <c r="R149" i="8"/>
  <c r="S149" i="8"/>
  <c r="R150" i="8"/>
  <c r="S150" i="8"/>
  <c r="R151" i="8"/>
  <c r="S151" i="8"/>
  <c r="R152" i="8"/>
  <c r="S152" i="8"/>
  <c r="R153" i="8"/>
  <c r="S153" i="8"/>
  <c r="R154" i="8"/>
  <c r="S154" i="8"/>
  <c r="R155" i="8"/>
  <c r="S155" i="8"/>
  <c r="R156" i="8"/>
  <c r="S156" i="8"/>
  <c r="R157" i="8"/>
  <c r="S157" i="8"/>
  <c r="R158" i="8"/>
  <c r="S158" i="8"/>
  <c r="R159" i="8"/>
  <c r="S159" i="8"/>
  <c r="R160" i="8"/>
  <c r="S160" i="8"/>
  <c r="R161" i="8"/>
  <c r="S161" i="8"/>
  <c r="R162" i="8"/>
  <c r="S162" i="8"/>
  <c r="R163" i="8"/>
  <c r="S163" i="8"/>
  <c r="R164" i="8"/>
  <c r="S164" i="8"/>
  <c r="R165" i="8"/>
  <c r="S165" i="8"/>
  <c r="R166" i="8"/>
  <c r="S166" i="8"/>
  <c r="R167" i="8"/>
  <c r="S167" i="8"/>
  <c r="R168" i="8"/>
  <c r="S168" i="8"/>
  <c r="R169" i="8"/>
  <c r="S169" i="8"/>
  <c r="R170" i="8"/>
  <c r="S170" i="8"/>
  <c r="R171" i="8"/>
  <c r="S171" i="8"/>
  <c r="R172" i="8"/>
  <c r="S172" i="8"/>
  <c r="R173" i="8"/>
  <c r="S173" i="8"/>
  <c r="R174" i="8"/>
  <c r="S174" i="8"/>
  <c r="R175" i="8"/>
  <c r="S175" i="8"/>
  <c r="R176" i="8"/>
  <c r="S176" i="8"/>
  <c r="R177" i="8"/>
  <c r="S177" i="8"/>
  <c r="R178" i="8"/>
  <c r="S178" i="8"/>
  <c r="R179" i="8"/>
  <c r="S179" i="8"/>
  <c r="R180" i="8"/>
  <c r="S180" i="8"/>
  <c r="R181" i="8"/>
  <c r="S181" i="8"/>
  <c r="R182" i="8"/>
  <c r="S182" i="8"/>
  <c r="R183" i="8"/>
  <c r="S183" i="8"/>
  <c r="R184" i="8"/>
  <c r="S184" i="8"/>
  <c r="R185" i="8"/>
  <c r="S185" i="8"/>
  <c r="R186" i="8"/>
  <c r="S186" i="8"/>
  <c r="R187" i="8"/>
  <c r="S187" i="8"/>
  <c r="R188" i="8"/>
  <c r="S188" i="8"/>
  <c r="R189" i="8"/>
  <c r="S189" i="8"/>
  <c r="R190" i="8"/>
  <c r="S190" i="8"/>
  <c r="R191" i="8"/>
  <c r="S191" i="8"/>
  <c r="R192" i="8"/>
  <c r="S192" i="8"/>
  <c r="R193" i="8"/>
  <c r="S193" i="8"/>
  <c r="R194" i="8"/>
  <c r="S194" i="8"/>
  <c r="R195" i="8"/>
  <c r="S195" i="8"/>
  <c r="R196" i="8"/>
  <c r="S196" i="8"/>
  <c r="R197" i="8"/>
  <c r="S197" i="8"/>
  <c r="R198" i="8"/>
  <c r="S198" i="8"/>
  <c r="R199" i="8"/>
  <c r="S199" i="8"/>
  <c r="R200" i="8"/>
  <c r="S200" i="8"/>
  <c r="R201" i="8"/>
  <c r="S201" i="8"/>
  <c r="R202" i="8"/>
  <c r="S202" i="8"/>
  <c r="R203" i="8"/>
  <c r="S203" i="8"/>
  <c r="R204" i="8"/>
  <c r="S204" i="8"/>
  <c r="R205" i="8"/>
  <c r="S205" i="8"/>
  <c r="R206" i="8"/>
  <c r="S206" i="8"/>
  <c r="R207" i="8"/>
  <c r="S207" i="8"/>
  <c r="R208" i="8"/>
  <c r="S208" i="8"/>
  <c r="R209" i="8"/>
  <c r="S209" i="8"/>
  <c r="R210" i="8"/>
  <c r="S210" i="8"/>
  <c r="R211" i="8"/>
  <c r="S211" i="8"/>
  <c r="R212" i="8"/>
  <c r="S212" i="8"/>
  <c r="R213" i="8"/>
  <c r="S213" i="8"/>
  <c r="R214" i="8"/>
  <c r="S214" i="8"/>
  <c r="R215" i="8"/>
  <c r="S215" i="8"/>
  <c r="R216" i="8"/>
  <c r="S216" i="8"/>
  <c r="R217" i="8"/>
  <c r="S217" i="8"/>
  <c r="R218" i="8"/>
  <c r="S218" i="8"/>
  <c r="R219" i="8"/>
  <c r="S219" i="8"/>
  <c r="R220" i="8"/>
  <c r="S220" i="8"/>
  <c r="R221" i="8"/>
  <c r="S221" i="8"/>
  <c r="R222" i="8"/>
  <c r="S222" i="8"/>
  <c r="R223" i="8"/>
  <c r="S223" i="8"/>
  <c r="R224" i="8"/>
  <c r="S224" i="8"/>
  <c r="R225" i="8"/>
  <c r="S225" i="8"/>
  <c r="R226" i="8"/>
  <c r="S226" i="8"/>
  <c r="R227" i="8"/>
  <c r="S227" i="8"/>
  <c r="R228" i="8"/>
  <c r="S228" i="8"/>
  <c r="R229" i="8"/>
  <c r="S229" i="8"/>
  <c r="R230" i="8"/>
  <c r="S230" i="8"/>
  <c r="R231" i="8"/>
  <c r="S231" i="8"/>
  <c r="R232" i="8"/>
  <c r="S232" i="8"/>
  <c r="R233" i="8"/>
  <c r="S233" i="8"/>
  <c r="R234" i="8"/>
  <c r="S234" i="8"/>
  <c r="R235" i="8"/>
  <c r="S235" i="8"/>
  <c r="R236" i="8"/>
  <c r="S236" i="8"/>
  <c r="R237" i="8"/>
  <c r="S237" i="8"/>
  <c r="R238" i="8"/>
  <c r="S238" i="8"/>
  <c r="R239" i="8"/>
  <c r="S239" i="8"/>
  <c r="R240" i="8"/>
  <c r="S240" i="8"/>
  <c r="R241" i="8"/>
  <c r="S241" i="8"/>
  <c r="R242" i="8"/>
  <c r="S242" i="8"/>
  <c r="R243" i="8"/>
  <c r="S243" i="8"/>
  <c r="R244" i="8"/>
  <c r="S244" i="8"/>
  <c r="R245" i="8"/>
  <c r="S245" i="8"/>
  <c r="R246" i="8"/>
  <c r="S246" i="8"/>
  <c r="R247" i="8"/>
  <c r="S247" i="8"/>
  <c r="R248" i="8"/>
  <c r="S248" i="8"/>
  <c r="R249" i="8"/>
  <c r="S249" i="8"/>
  <c r="R250" i="8"/>
  <c r="S250" i="8"/>
  <c r="R251" i="8"/>
  <c r="S251" i="8"/>
  <c r="R252" i="8"/>
  <c r="S252" i="8"/>
  <c r="R253" i="8"/>
  <c r="S253" i="8"/>
  <c r="R254" i="8"/>
  <c r="S254" i="8"/>
  <c r="R255" i="8"/>
  <c r="S255" i="8"/>
  <c r="R256" i="8"/>
  <c r="S256" i="8"/>
  <c r="R257" i="8"/>
  <c r="S257" i="8"/>
  <c r="R258" i="8"/>
  <c r="S258" i="8"/>
  <c r="R259" i="8"/>
  <c r="S259" i="8"/>
  <c r="R260" i="8"/>
  <c r="S260" i="8"/>
  <c r="R261" i="8"/>
  <c r="S261" i="8"/>
  <c r="R262" i="8"/>
  <c r="S262" i="8"/>
  <c r="R263" i="8"/>
  <c r="S263" i="8"/>
  <c r="R264" i="8"/>
  <c r="S264" i="8"/>
  <c r="R265" i="8"/>
  <c r="S265" i="8"/>
  <c r="R266" i="8"/>
  <c r="S266" i="8"/>
  <c r="R267" i="8"/>
  <c r="S267" i="8"/>
  <c r="R268" i="8"/>
  <c r="S268" i="8"/>
  <c r="R269" i="8"/>
  <c r="S269" i="8"/>
  <c r="R270" i="8"/>
  <c r="S270" i="8"/>
  <c r="R271" i="8"/>
  <c r="S271" i="8"/>
  <c r="R272" i="8"/>
  <c r="S272" i="8"/>
  <c r="R273" i="8"/>
  <c r="S273" i="8"/>
  <c r="R274" i="8"/>
  <c r="S274" i="8"/>
  <c r="R275" i="8"/>
  <c r="S275" i="8"/>
  <c r="R276" i="8"/>
  <c r="S276" i="8"/>
  <c r="R277" i="8"/>
  <c r="S277" i="8"/>
  <c r="R278" i="8"/>
  <c r="S278" i="8"/>
  <c r="R279" i="8"/>
  <c r="S279" i="8"/>
  <c r="R280" i="8"/>
  <c r="S280" i="8"/>
  <c r="R281" i="8"/>
  <c r="S281" i="8"/>
  <c r="R282" i="8"/>
  <c r="S282" i="8"/>
  <c r="R283" i="8"/>
  <c r="S283" i="8"/>
  <c r="R284" i="8"/>
  <c r="S284" i="8"/>
  <c r="R285" i="8"/>
  <c r="S285" i="8"/>
  <c r="R286" i="8"/>
  <c r="S286" i="8"/>
  <c r="R287" i="8"/>
  <c r="S287" i="8"/>
  <c r="R288" i="8"/>
  <c r="S288" i="8"/>
  <c r="R289" i="8"/>
  <c r="S289" i="8"/>
  <c r="R290" i="8"/>
  <c r="S290" i="8"/>
  <c r="R291" i="8"/>
  <c r="S291" i="8"/>
  <c r="R292" i="8"/>
  <c r="S292" i="8"/>
  <c r="R293" i="8"/>
  <c r="S293" i="8"/>
  <c r="R294" i="8"/>
  <c r="S294" i="8"/>
  <c r="R295" i="8"/>
  <c r="S295" i="8"/>
  <c r="R296" i="8"/>
  <c r="S296" i="8"/>
  <c r="R297" i="8"/>
  <c r="S297" i="8"/>
  <c r="R298" i="8"/>
  <c r="S298" i="8"/>
  <c r="R299" i="8"/>
  <c r="S299" i="8"/>
  <c r="R300" i="8"/>
  <c r="S300" i="8"/>
  <c r="R301" i="8"/>
  <c r="S301" i="8"/>
  <c r="R302" i="8"/>
  <c r="S302" i="8"/>
  <c r="R303" i="8"/>
  <c r="S303" i="8"/>
  <c r="R304" i="8"/>
  <c r="S304" i="8"/>
  <c r="R305" i="8"/>
  <c r="S305" i="8"/>
  <c r="R306" i="8"/>
  <c r="S306" i="8"/>
  <c r="R307" i="8"/>
  <c r="S307" i="8"/>
  <c r="R308" i="8"/>
  <c r="S308" i="8"/>
  <c r="R309" i="8"/>
  <c r="S309" i="8"/>
  <c r="R310" i="8"/>
  <c r="S310" i="8"/>
  <c r="R311" i="8"/>
  <c r="S311" i="8"/>
  <c r="R312" i="8"/>
  <c r="S312" i="8"/>
  <c r="R313" i="8"/>
  <c r="S313" i="8"/>
  <c r="R314" i="8"/>
  <c r="S314" i="8"/>
  <c r="R315" i="8"/>
  <c r="S315" i="8"/>
  <c r="R316" i="8"/>
  <c r="S316" i="8"/>
  <c r="R317" i="8"/>
  <c r="S317" i="8"/>
  <c r="R318" i="8"/>
  <c r="S318" i="8"/>
  <c r="R319" i="8"/>
  <c r="S319" i="8"/>
  <c r="R320" i="8"/>
  <c r="S320" i="8"/>
  <c r="R321" i="8"/>
  <c r="S321" i="8"/>
  <c r="R322" i="8"/>
  <c r="S322" i="8"/>
  <c r="R323" i="8"/>
  <c r="S323" i="8"/>
  <c r="R324" i="8"/>
  <c r="S324" i="8"/>
  <c r="R325" i="8"/>
  <c r="S325" i="8"/>
  <c r="R326" i="8"/>
  <c r="S326" i="8"/>
  <c r="R327" i="8"/>
  <c r="S327" i="8"/>
  <c r="R328" i="8"/>
  <c r="S328" i="8"/>
  <c r="R329" i="8"/>
  <c r="S329" i="8"/>
  <c r="R330" i="8"/>
  <c r="S330" i="8"/>
  <c r="R331" i="8"/>
  <c r="S331" i="8"/>
  <c r="R332" i="8"/>
  <c r="S332" i="8"/>
  <c r="R333" i="8"/>
  <c r="S333" i="8"/>
  <c r="R334" i="8"/>
  <c r="S334" i="8"/>
  <c r="R335" i="8"/>
  <c r="S335" i="8"/>
  <c r="R336" i="8"/>
  <c r="S336" i="8"/>
  <c r="R337" i="8"/>
  <c r="S337" i="8"/>
  <c r="R338" i="8"/>
  <c r="S338" i="8"/>
  <c r="R339" i="8"/>
  <c r="S339" i="8"/>
  <c r="R340" i="8"/>
  <c r="S340" i="8"/>
  <c r="R341" i="8"/>
  <c r="S341" i="8"/>
  <c r="R342" i="8"/>
  <c r="S342" i="8"/>
  <c r="R343" i="8"/>
  <c r="S343" i="8"/>
  <c r="R344" i="8"/>
  <c r="S344" i="8"/>
  <c r="R345" i="8"/>
  <c r="S345" i="8"/>
  <c r="R346" i="8"/>
  <c r="S346" i="8"/>
  <c r="R347" i="8"/>
  <c r="S347" i="8"/>
  <c r="R348" i="8"/>
  <c r="S348" i="8"/>
  <c r="R349" i="8"/>
  <c r="S349" i="8"/>
  <c r="R350" i="8"/>
  <c r="S350" i="8"/>
  <c r="R351" i="8"/>
  <c r="S351" i="8"/>
  <c r="R352" i="8"/>
  <c r="S352" i="8"/>
  <c r="R353" i="8"/>
  <c r="S353" i="8"/>
  <c r="R354" i="8"/>
  <c r="S354" i="8"/>
  <c r="R355" i="8"/>
  <c r="S355" i="8"/>
  <c r="R356" i="8"/>
  <c r="S356" i="8"/>
  <c r="R357" i="8"/>
  <c r="S357" i="8"/>
  <c r="R358" i="8"/>
  <c r="S358" i="8"/>
  <c r="R359" i="8"/>
  <c r="S359" i="8"/>
  <c r="R360" i="8"/>
  <c r="S360" i="8"/>
  <c r="R361" i="8"/>
  <c r="S361" i="8"/>
  <c r="R362" i="8"/>
  <c r="S362" i="8"/>
  <c r="R363" i="8"/>
  <c r="S363" i="8"/>
  <c r="R364" i="8"/>
  <c r="S364" i="8"/>
  <c r="R365" i="8"/>
  <c r="S365" i="8"/>
  <c r="R366" i="8"/>
  <c r="S366" i="8"/>
  <c r="R367" i="8"/>
  <c r="S367" i="8"/>
  <c r="R368" i="8"/>
  <c r="S368" i="8"/>
  <c r="R369" i="8"/>
  <c r="S369" i="8"/>
  <c r="R370" i="8"/>
  <c r="S370" i="8"/>
  <c r="R371" i="8"/>
  <c r="S371" i="8"/>
  <c r="R372" i="8"/>
  <c r="S372" i="8"/>
  <c r="R373" i="8"/>
  <c r="S373" i="8"/>
  <c r="R374" i="8"/>
  <c r="S374" i="8"/>
  <c r="R375" i="8"/>
  <c r="S375" i="8"/>
  <c r="R376" i="8"/>
  <c r="S376" i="8"/>
  <c r="R377" i="8"/>
  <c r="S377" i="8"/>
  <c r="R378" i="8"/>
  <c r="S378" i="8"/>
  <c r="R379" i="8"/>
  <c r="S379" i="8"/>
  <c r="R380" i="8"/>
  <c r="S380" i="8"/>
  <c r="R381" i="8"/>
  <c r="S381" i="8"/>
  <c r="R382" i="8"/>
  <c r="S382" i="8"/>
  <c r="R383" i="8"/>
  <c r="S383" i="8"/>
  <c r="R384" i="8"/>
  <c r="S384" i="8"/>
  <c r="R385" i="8"/>
  <c r="S385" i="8"/>
  <c r="R386" i="8"/>
  <c r="S386" i="8"/>
  <c r="R387" i="8"/>
  <c r="S387" i="8"/>
  <c r="R388" i="8"/>
  <c r="S388" i="8"/>
  <c r="R389" i="8"/>
  <c r="S389" i="8"/>
  <c r="S390" i="8"/>
  <c r="R391" i="8"/>
  <c r="S391" i="8"/>
  <c r="R392" i="8"/>
  <c r="S392" i="8"/>
  <c r="R393" i="8"/>
  <c r="S393" i="8"/>
  <c r="R394" i="8"/>
  <c r="S394" i="8"/>
  <c r="R395" i="8"/>
  <c r="S395" i="8"/>
  <c r="R396" i="8"/>
  <c r="S396" i="8"/>
  <c r="R397" i="8"/>
  <c r="S397" i="8"/>
  <c r="R398" i="8"/>
  <c r="S398" i="8"/>
  <c r="R399" i="8"/>
  <c r="S399" i="8"/>
  <c r="R400" i="8"/>
  <c r="S400" i="8"/>
  <c r="R401" i="8"/>
  <c r="S401" i="8"/>
  <c r="R402" i="8"/>
  <c r="S402" i="8"/>
  <c r="R403" i="8"/>
  <c r="S403" i="8"/>
  <c r="R404" i="8"/>
  <c r="S404" i="8"/>
  <c r="R405" i="8"/>
  <c r="S405" i="8"/>
  <c r="R406" i="8"/>
  <c r="S406" i="8"/>
  <c r="R407" i="8"/>
  <c r="S407" i="8"/>
  <c r="R408" i="8"/>
  <c r="S408" i="8"/>
  <c r="R409" i="8"/>
  <c r="S409" i="8"/>
  <c r="R410" i="8"/>
  <c r="S410" i="8"/>
  <c r="R411" i="8"/>
  <c r="S411" i="8"/>
  <c r="R412" i="8"/>
  <c r="S412" i="8"/>
  <c r="R413" i="8"/>
  <c r="S413" i="8"/>
  <c r="R414" i="8"/>
  <c r="S414" i="8"/>
  <c r="R415" i="8"/>
  <c r="S415" i="8"/>
  <c r="R416" i="8"/>
  <c r="S416" i="8"/>
  <c r="R417" i="8"/>
  <c r="S417" i="8"/>
  <c r="R418" i="8"/>
  <c r="S418" i="8"/>
  <c r="R419" i="8"/>
  <c r="S419" i="8"/>
  <c r="R420" i="8"/>
  <c r="S420" i="8"/>
  <c r="R421" i="8"/>
  <c r="S421" i="8"/>
  <c r="R422" i="8"/>
  <c r="S422" i="8"/>
  <c r="R423" i="8"/>
  <c r="S423" i="8"/>
  <c r="R424" i="8"/>
  <c r="S424" i="8"/>
  <c r="R425" i="8"/>
  <c r="S425" i="8"/>
  <c r="R426" i="8"/>
  <c r="S426" i="8"/>
  <c r="R427" i="8"/>
  <c r="S427" i="8"/>
  <c r="R428" i="8"/>
  <c r="S428" i="8"/>
  <c r="R429" i="8"/>
  <c r="S429" i="8"/>
  <c r="R430" i="8"/>
  <c r="S430" i="8"/>
  <c r="R431" i="8"/>
  <c r="S431" i="8"/>
  <c r="R432" i="8"/>
  <c r="S432" i="8"/>
  <c r="R433" i="8"/>
  <c r="S433" i="8"/>
  <c r="R434" i="8"/>
  <c r="S434" i="8"/>
  <c r="R435" i="8"/>
  <c r="S435" i="8"/>
  <c r="R436" i="8"/>
  <c r="S436" i="8"/>
  <c r="R437" i="8"/>
  <c r="S437" i="8"/>
  <c r="R438" i="8"/>
  <c r="S438" i="8"/>
  <c r="R439" i="8"/>
  <c r="S439" i="8"/>
  <c r="R440" i="8"/>
  <c r="S440" i="8"/>
  <c r="R441" i="8"/>
  <c r="S441" i="8"/>
  <c r="R442" i="8"/>
  <c r="S442" i="8"/>
  <c r="R443" i="8"/>
  <c r="S443" i="8"/>
  <c r="R444" i="8"/>
  <c r="S444" i="8"/>
  <c r="R445" i="8"/>
  <c r="S445" i="8"/>
  <c r="R446" i="8"/>
  <c r="S446" i="8"/>
  <c r="R447" i="8"/>
  <c r="S447" i="8"/>
  <c r="R448" i="8"/>
  <c r="S448" i="8"/>
  <c r="R449" i="8"/>
  <c r="S449" i="8"/>
  <c r="R450" i="8"/>
  <c r="S450" i="8"/>
  <c r="R451" i="8"/>
  <c r="S451" i="8"/>
  <c r="R452" i="8"/>
  <c r="S452" i="8"/>
  <c r="R453" i="8"/>
  <c r="S453" i="8"/>
  <c r="R454" i="8"/>
  <c r="S454" i="8"/>
  <c r="R455" i="8"/>
  <c r="S455" i="8"/>
  <c r="R456" i="8"/>
  <c r="S456" i="8"/>
  <c r="R457" i="8"/>
  <c r="S457" i="8"/>
  <c r="R458" i="8"/>
  <c r="S458" i="8"/>
  <c r="R459" i="8"/>
  <c r="S459" i="8"/>
  <c r="R460" i="8"/>
  <c r="S460" i="8"/>
  <c r="R461" i="8"/>
  <c r="S461" i="8"/>
  <c r="R462" i="8"/>
  <c r="S462" i="8"/>
  <c r="R463" i="8"/>
  <c r="S463" i="8"/>
  <c r="R464" i="8"/>
  <c r="S464" i="8"/>
  <c r="R465" i="8"/>
  <c r="S465" i="8"/>
  <c r="R466" i="8"/>
  <c r="S466" i="8"/>
  <c r="R467" i="8"/>
  <c r="S467" i="8"/>
  <c r="R468" i="8"/>
  <c r="S468" i="8"/>
  <c r="R469" i="8"/>
  <c r="S469" i="8"/>
  <c r="R470" i="8"/>
  <c r="S470" i="8"/>
  <c r="R471" i="8"/>
  <c r="S471" i="8"/>
  <c r="R472" i="8"/>
  <c r="S472" i="8"/>
  <c r="R473" i="8"/>
  <c r="S473" i="8"/>
  <c r="R474" i="8"/>
  <c r="S474" i="8"/>
  <c r="R475" i="8"/>
  <c r="S475" i="8"/>
  <c r="R476" i="8"/>
  <c r="S476" i="8"/>
  <c r="R477" i="8"/>
  <c r="S477" i="8"/>
  <c r="R478" i="8"/>
  <c r="S478" i="8"/>
  <c r="R479" i="8"/>
  <c r="S479" i="8"/>
  <c r="R480" i="8"/>
  <c r="S480" i="8"/>
  <c r="R481" i="8"/>
  <c r="S481" i="8"/>
  <c r="R482" i="8"/>
  <c r="S482" i="8"/>
  <c r="R483" i="8"/>
  <c r="S483" i="8"/>
  <c r="R484" i="8"/>
  <c r="S484" i="8"/>
  <c r="R485" i="8"/>
  <c r="S485" i="8"/>
  <c r="R486" i="8"/>
  <c r="S486" i="8"/>
  <c r="R487" i="8"/>
  <c r="S487" i="8"/>
  <c r="R488" i="8"/>
  <c r="S488" i="8"/>
  <c r="R489" i="8"/>
  <c r="S489" i="8"/>
  <c r="R490" i="8"/>
  <c r="S490" i="8"/>
  <c r="R491" i="8"/>
  <c r="S491" i="8"/>
  <c r="R492" i="8"/>
  <c r="S492" i="8"/>
  <c r="S7" i="4" l="1"/>
  <c r="T7" i="4"/>
  <c r="U7" i="4"/>
  <c r="AB7" i="4"/>
  <c r="AC7" i="4"/>
  <c r="AD7" i="4"/>
  <c r="AH7" i="4"/>
  <c r="AI7" i="4"/>
  <c r="AJ7" i="4"/>
  <c r="AK7" i="4"/>
  <c r="AL7" i="4"/>
  <c r="AM7" i="4"/>
  <c r="Q493" i="6"/>
  <c r="R493" i="6"/>
  <c r="Q7" i="6"/>
  <c r="R7" i="6"/>
  <c r="J493" i="8"/>
  <c r="J493" i="9"/>
  <c r="P455" i="5" l="1"/>
  <c r="K5" i="5"/>
  <c r="Q5" i="5"/>
  <c r="P96" i="5"/>
  <c r="P244" i="5"/>
  <c r="P245" i="5"/>
  <c r="P254" i="5"/>
  <c r="P303" i="5"/>
  <c r="P305" i="5"/>
  <c r="P390" i="5" l="1"/>
  <c r="F491" i="5"/>
  <c r="G491" i="5"/>
  <c r="G490" i="5"/>
  <c r="F490" i="5" l="1"/>
  <c r="O490" i="5"/>
  <c r="P490" i="5"/>
  <c r="O491" i="5"/>
  <c r="P491" i="5"/>
  <c r="P10" i="5" l="1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6" i="5"/>
  <c r="P247" i="5"/>
  <c r="P248" i="5"/>
  <c r="P249" i="5"/>
  <c r="P250" i="5"/>
  <c r="P251" i="5"/>
  <c r="P252" i="5"/>
  <c r="P253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4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P431" i="5"/>
  <c r="P432" i="5"/>
  <c r="P433" i="5"/>
  <c r="P434" i="5"/>
  <c r="P435" i="5"/>
  <c r="P436" i="5"/>
  <c r="P437" i="5"/>
  <c r="P438" i="5"/>
  <c r="P439" i="5"/>
  <c r="P440" i="5"/>
  <c r="P441" i="5"/>
  <c r="P442" i="5"/>
  <c r="P443" i="5"/>
  <c r="P444" i="5"/>
  <c r="P445" i="5"/>
  <c r="P446" i="5"/>
  <c r="P447" i="5"/>
  <c r="P448" i="5"/>
  <c r="P449" i="5"/>
  <c r="P450" i="5"/>
  <c r="P451" i="5"/>
  <c r="P452" i="5"/>
  <c r="P453" i="5"/>
  <c r="P454" i="5"/>
  <c r="P456" i="5"/>
  <c r="P457" i="5"/>
  <c r="P458" i="5"/>
  <c r="P459" i="5"/>
  <c r="P460" i="5"/>
  <c r="P461" i="5"/>
  <c r="P462" i="5"/>
  <c r="P463" i="5"/>
  <c r="P464" i="5"/>
  <c r="P465" i="5"/>
  <c r="P466" i="5"/>
  <c r="P467" i="5"/>
  <c r="P468" i="5"/>
  <c r="P469" i="5"/>
  <c r="P470" i="5"/>
  <c r="P471" i="5"/>
  <c r="P472" i="5"/>
  <c r="P473" i="5"/>
  <c r="P474" i="5"/>
  <c r="P475" i="5"/>
  <c r="P476" i="5"/>
  <c r="P477" i="5"/>
  <c r="P478" i="5"/>
  <c r="P479" i="5"/>
  <c r="P480" i="5"/>
  <c r="P481" i="5"/>
  <c r="P482" i="5"/>
  <c r="P483" i="5"/>
  <c r="P484" i="5"/>
  <c r="P485" i="5"/>
  <c r="P486" i="5"/>
  <c r="P487" i="5"/>
  <c r="P488" i="5"/>
  <c r="P489" i="5"/>
  <c r="AA489" i="36" l="1"/>
  <c r="AA490" i="36"/>
  <c r="AA491" i="36"/>
  <c r="AA492" i="36"/>
  <c r="AA493" i="36"/>
  <c r="I8" i="36" l="1"/>
  <c r="I494" i="36" l="1"/>
  <c r="K494" i="36"/>
  <c r="L494" i="36"/>
  <c r="T494" i="36"/>
  <c r="V494" i="36"/>
  <c r="AE494" i="36"/>
  <c r="AF494" i="36"/>
  <c r="AG494" i="36"/>
  <c r="J7" i="9"/>
  <c r="B488" i="9"/>
  <c r="C488" i="9"/>
  <c r="B489" i="9"/>
  <c r="C489" i="9"/>
  <c r="B490" i="9"/>
  <c r="C490" i="9"/>
  <c r="B491" i="9"/>
  <c r="C491" i="9"/>
  <c r="B492" i="9"/>
  <c r="C492" i="9"/>
  <c r="B488" i="8"/>
  <c r="C488" i="8"/>
  <c r="B489" i="8"/>
  <c r="C489" i="8"/>
  <c r="B490" i="8"/>
  <c r="C490" i="8"/>
  <c r="B491" i="8"/>
  <c r="C491" i="8"/>
  <c r="B492" i="8"/>
  <c r="C492" i="8"/>
  <c r="B488" i="6"/>
  <c r="C488" i="6"/>
  <c r="B489" i="6"/>
  <c r="C489" i="6"/>
  <c r="B490" i="6"/>
  <c r="C490" i="6"/>
  <c r="B491" i="6"/>
  <c r="C491" i="6"/>
  <c r="B492" i="6"/>
  <c r="C492" i="6"/>
  <c r="C485" i="5"/>
  <c r="D485" i="5"/>
  <c r="C486" i="5"/>
  <c r="D486" i="5"/>
  <c r="C487" i="5"/>
  <c r="D487" i="5"/>
  <c r="C488" i="5"/>
  <c r="D488" i="5"/>
  <c r="C489" i="5"/>
  <c r="D489" i="5"/>
  <c r="B433" i="4"/>
  <c r="C433" i="4"/>
  <c r="B434" i="4"/>
  <c r="C434" i="4"/>
  <c r="B435" i="4"/>
  <c r="C435" i="4"/>
  <c r="B436" i="4"/>
  <c r="C436" i="4"/>
  <c r="B437" i="4"/>
  <c r="C437" i="4"/>
  <c r="B438" i="4"/>
  <c r="C438" i="4"/>
  <c r="B439" i="4"/>
  <c r="C439" i="4"/>
  <c r="B440" i="4"/>
  <c r="C440" i="4"/>
  <c r="B441" i="4"/>
  <c r="C441" i="4"/>
  <c r="B442" i="4"/>
  <c r="C442" i="4"/>
  <c r="B443" i="4"/>
  <c r="C443" i="4"/>
  <c r="B444" i="4"/>
  <c r="C444" i="4"/>
  <c r="B445" i="4"/>
  <c r="C445" i="4"/>
  <c r="B446" i="4"/>
  <c r="C446" i="4"/>
  <c r="B447" i="4"/>
  <c r="C447" i="4"/>
  <c r="B448" i="4"/>
  <c r="C448" i="4"/>
  <c r="B449" i="4"/>
  <c r="C449" i="4"/>
  <c r="B450" i="4"/>
  <c r="C450" i="4"/>
  <c r="B451" i="4"/>
  <c r="C451" i="4"/>
  <c r="B452" i="4"/>
  <c r="C452" i="4"/>
  <c r="B453" i="4"/>
  <c r="C453" i="4"/>
  <c r="B454" i="4"/>
  <c r="C454" i="4"/>
  <c r="B455" i="4"/>
  <c r="C455" i="4"/>
  <c r="B456" i="4"/>
  <c r="C456" i="4"/>
  <c r="B457" i="4"/>
  <c r="C457" i="4"/>
  <c r="B458" i="4"/>
  <c r="C458" i="4"/>
  <c r="B459" i="4"/>
  <c r="C459" i="4"/>
  <c r="B460" i="4"/>
  <c r="C460" i="4"/>
  <c r="B461" i="4"/>
  <c r="C461" i="4"/>
  <c r="B462" i="4"/>
  <c r="C462" i="4"/>
  <c r="B463" i="4"/>
  <c r="C463" i="4"/>
  <c r="B464" i="4"/>
  <c r="C464" i="4"/>
  <c r="B465" i="4"/>
  <c r="C465" i="4"/>
  <c r="B466" i="4"/>
  <c r="C466" i="4"/>
  <c r="B467" i="4"/>
  <c r="C467" i="4"/>
  <c r="B468" i="4"/>
  <c r="C468" i="4"/>
  <c r="B469" i="4"/>
  <c r="C469" i="4"/>
  <c r="B470" i="4"/>
  <c r="C470" i="4"/>
  <c r="B471" i="4"/>
  <c r="C471" i="4"/>
  <c r="B472" i="4"/>
  <c r="C472" i="4"/>
  <c r="B473" i="4"/>
  <c r="C473" i="4"/>
  <c r="B474" i="4"/>
  <c r="C474" i="4"/>
  <c r="B475" i="4"/>
  <c r="C475" i="4"/>
  <c r="B476" i="4"/>
  <c r="C476" i="4"/>
  <c r="B477" i="4"/>
  <c r="C477" i="4"/>
  <c r="B478" i="4"/>
  <c r="C478" i="4"/>
  <c r="B479" i="4"/>
  <c r="C479" i="4"/>
  <c r="B480" i="4"/>
  <c r="C480" i="4"/>
  <c r="B481" i="4"/>
  <c r="C481" i="4"/>
  <c r="B482" i="4"/>
  <c r="C482" i="4"/>
  <c r="B483" i="4"/>
  <c r="C483" i="4"/>
  <c r="B484" i="4"/>
  <c r="C484" i="4"/>
  <c r="B485" i="4"/>
  <c r="C485" i="4"/>
  <c r="B486" i="4"/>
  <c r="C486" i="4"/>
  <c r="B487" i="4"/>
  <c r="C487" i="4"/>
  <c r="B488" i="4"/>
  <c r="C488" i="4"/>
  <c r="B489" i="4"/>
  <c r="F489" i="4" s="1"/>
  <c r="C489" i="4"/>
  <c r="B490" i="4"/>
  <c r="C490" i="4"/>
  <c r="B491" i="4"/>
  <c r="D491" i="4" s="1"/>
  <c r="C491" i="4"/>
  <c r="B492" i="4"/>
  <c r="C492" i="4"/>
  <c r="K8" i="36"/>
  <c r="L8" i="36"/>
  <c r="Q489" i="36"/>
  <c r="AB489" i="36" s="1"/>
  <c r="R489" i="36"/>
  <c r="AC489" i="36" s="1"/>
  <c r="Q490" i="36"/>
  <c r="AB490" i="36" s="1"/>
  <c r="R490" i="36"/>
  <c r="AC490" i="36" s="1"/>
  <c r="Q491" i="36"/>
  <c r="AB491" i="36" s="1"/>
  <c r="R491" i="36"/>
  <c r="AC491" i="36" s="1"/>
  <c r="Q492" i="36"/>
  <c r="AB492" i="36" s="1"/>
  <c r="R492" i="36"/>
  <c r="AC492" i="36" s="1"/>
  <c r="Q493" i="36"/>
  <c r="AB493" i="36" s="1"/>
  <c r="R493" i="36"/>
  <c r="AC493" i="36" s="1"/>
  <c r="G489" i="36"/>
  <c r="H489" i="36"/>
  <c r="G490" i="36"/>
  <c r="H490" i="36"/>
  <c r="G491" i="36"/>
  <c r="H491" i="36"/>
  <c r="G492" i="36"/>
  <c r="H492" i="36"/>
  <c r="G493" i="36"/>
  <c r="H493" i="36"/>
  <c r="G492" i="6" l="1"/>
  <c r="G490" i="6"/>
  <c r="F488" i="6"/>
  <c r="H489" i="6"/>
  <c r="F489" i="9"/>
  <c r="E488" i="9"/>
  <c r="AD492" i="36"/>
  <c r="AD490" i="36"/>
  <c r="AD493" i="36"/>
  <c r="AD489" i="36"/>
  <c r="AD491" i="36"/>
  <c r="I491" i="8"/>
  <c r="G489" i="8"/>
  <c r="K488" i="6"/>
  <c r="H490" i="6"/>
  <c r="H492" i="6"/>
  <c r="J488" i="6"/>
  <c r="E489" i="4"/>
  <c r="G491" i="8"/>
  <c r="E489" i="9"/>
  <c r="S492" i="36"/>
  <c r="S490" i="36"/>
  <c r="S491" i="36"/>
  <c r="S489" i="36"/>
  <c r="M489" i="36" s="1"/>
  <c r="AH489" i="36" s="1"/>
  <c r="F492" i="4"/>
  <c r="D492" i="4"/>
  <c r="E492" i="4"/>
  <c r="D490" i="4"/>
  <c r="E490" i="4"/>
  <c r="F490" i="4"/>
  <c r="F488" i="4"/>
  <c r="E488" i="4"/>
  <c r="D488" i="4"/>
  <c r="S493" i="36"/>
  <c r="M493" i="36" s="1"/>
  <c r="G491" i="6"/>
  <c r="K491" i="6"/>
  <c r="H491" i="6"/>
  <c r="F491" i="6"/>
  <c r="J491" i="6"/>
  <c r="F489" i="6"/>
  <c r="K489" i="6"/>
  <c r="G489" i="6"/>
  <c r="J489" i="6"/>
  <c r="F491" i="4"/>
  <c r="D489" i="4"/>
  <c r="E491" i="4"/>
  <c r="G492" i="8"/>
  <c r="F492" i="8"/>
  <c r="E490" i="8"/>
  <c r="I490" i="8"/>
  <c r="E488" i="8"/>
  <c r="I488" i="8"/>
  <c r="K492" i="6"/>
  <c r="F492" i="6"/>
  <c r="K490" i="6"/>
  <c r="F490" i="6"/>
  <c r="H488" i="6"/>
  <c r="J492" i="6"/>
  <c r="J490" i="6"/>
  <c r="G488" i="6"/>
  <c r="F491" i="9"/>
  <c r="E491" i="9"/>
  <c r="K491" i="9"/>
  <c r="E492" i="9"/>
  <c r="E490" i="9"/>
  <c r="K489" i="9"/>
  <c r="K492" i="8"/>
  <c r="E492" i="8"/>
  <c r="F491" i="8"/>
  <c r="G490" i="8"/>
  <c r="K489" i="8"/>
  <c r="F489" i="8"/>
  <c r="G488" i="8"/>
  <c r="I492" i="8"/>
  <c r="K491" i="8"/>
  <c r="E491" i="8"/>
  <c r="F490" i="8"/>
  <c r="I489" i="8"/>
  <c r="E489" i="8"/>
  <c r="F488" i="8"/>
  <c r="K490" i="8"/>
  <c r="K488" i="8"/>
  <c r="G492" i="9"/>
  <c r="I491" i="9"/>
  <c r="G490" i="9"/>
  <c r="I489" i="9"/>
  <c r="G488" i="9"/>
  <c r="K492" i="9"/>
  <c r="F492" i="9"/>
  <c r="G491" i="9"/>
  <c r="K490" i="9"/>
  <c r="F490" i="9"/>
  <c r="G489" i="9"/>
  <c r="K488" i="9"/>
  <c r="F488" i="9"/>
  <c r="I492" i="9"/>
  <c r="I490" i="9"/>
  <c r="I488" i="9"/>
  <c r="L490" i="6" l="1"/>
  <c r="H489" i="9"/>
  <c r="I490" i="6"/>
  <c r="H488" i="9"/>
  <c r="AI491" i="36"/>
  <c r="M491" i="36"/>
  <c r="AJ491" i="36" s="1"/>
  <c r="AI490" i="36"/>
  <c r="M490" i="36"/>
  <c r="AH490" i="36" s="1"/>
  <c r="AI492" i="36"/>
  <c r="M492" i="36"/>
  <c r="AH492" i="36" s="1"/>
  <c r="I492" i="6"/>
  <c r="L488" i="6"/>
  <c r="H490" i="9"/>
  <c r="I488" i="6"/>
  <c r="H489" i="8"/>
  <c r="H491" i="9"/>
  <c r="L491" i="6"/>
  <c r="I489" i="6"/>
  <c r="AK489" i="36"/>
  <c r="AJ489" i="36"/>
  <c r="AJ493" i="36"/>
  <c r="AK493" i="36"/>
  <c r="AH493" i="36"/>
  <c r="L492" i="6"/>
  <c r="L489" i="6"/>
  <c r="I491" i="6"/>
  <c r="AI493" i="36"/>
  <c r="H492" i="9"/>
  <c r="H490" i="8"/>
  <c r="H488" i="8"/>
  <c r="H492" i="8"/>
  <c r="AI489" i="36"/>
  <c r="H491" i="8"/>
  <c r="AJ490" i="36" l="1"/>
  <c r="AK490" i="36"/>
  <c r="AJ492" i="36"/>
  <c r="AK492" i="36"/>
  <c r="AK491" i="36"/>
  <c r="AH491" i="36"/>
  <c r="AA434" i="36"/>
  <c r="AA435" i="36"/>
  <c r="AA436" i="36"/>
  <c r="AA437" i="36"/>
  <c r="AA438" i="36"/>
  <c r="AA439" i="36"/>
  <c r="AA440" i="36"/>
  <c r="AA441" i="36"/>
  <c r="AA442" i="36"/>
  <c r="AA443" i="36"/>
  <c r="AA444" i="36"/>
  <c r="AA445" i="36"/>
  <c r="AA446" i="36"/>
  <c r="AA447" i="36"/>
  <c r="AA448" i="36"/>
  <c r="AA449" i="36"/>
  <c r="AA450" i="36"/>
  <c r="AA451" i="36"/>
  <c r="AA452" i="36"/>
  <c r="AA453" i="36"/>
  <c r="AA454" i="36"/>
  <c r="AA455" i="36"/>
  <c r="AA456" i="36"/>
  <c r="AA457" i="36"/>
  <c r="AA458" i="36"/>
  <c r="AA459" i="36"/>
  <c r="AA460" i="36"/>
  <c r="AA461" i="36"/>
  <c r="AA462" i="36"/>
  <c r="AA463" i="36"/>
  <c r="AA464" i="36"/>
  <c r="AA465" i="36"/>
  <c r="AA466" i="36"/>
  <c r="AA467" i="36"/>
  <c r="AA468" i="36"/>
  <c r="AA469" i="36"/>
  <c r="AA470" i="36"/>
  <c r="AA471" i="36"/>
  <c r="AA472" i="36"/>
  <c r="AA473" i="36"/>
  <c r="AA474" i="36"/>
  <c r="AA475" i="36"/>
  <c r="AA476" i="36"/>
  <c r="AA477" i="36"/>
  <c r="AA478" i="36"/>
  <c r="AA479" i="36"/>
  <c r="AA480" i="36"/>
  <c r="AA481" i="36"/>
  <c r="AA482" i="36"/>
  <c r="AA483" i="36"/>
  <c r="AA484" i="36"/>
  <c r="AA485" i="36"/>
  <c r="AA486" i="36"/>
  <c r="AA487" i="36"/>
  <c r="AA488" i="36"/>
  <c r="C226" i="36" l="1"/>
  <c r="C74" i="36"/>
  <c r="B73" i="4" l="1"/>
  <c r="B225" i="4"/>
  <c r="AE8" i="36"/>
  <c r="Q434" i="36"/>
  <c r="AB434" i="36" s="1"/>
  <c r="R434" i="36"/>
  <c r="AC434" i="36" s="1"/>
  <c r="Q435" i="36"/>
  <c r="AB435" i="36" s="1"/>
  <c r="R435" i="36"/>
  <c r="AC435" i="36" s="1"/>
  <c r="Q436" i="36"/>
  <c r="AB436" i="36" s="1"/>
  <c r="R436" i="36"/>
  <c r="AC436" i="36" s="1"/>
  <c r="Q437" i="36"/>
  <c r="AB437" i="36" s="1"/>
  <c r="R437" i="36"/>
  <c r="AC437" i="36" s="1"/>
  <c r="Q438" i="36"/>
  <c r="AB438" i="36" s="1"/>
  <c r="R438" i="36"/>
  <c r="AC438" i="36" s="1"/>
  <c r="Q439" i="36"/>
  <c r="AB439" i="36" s="1"/>
  <c r="R439" i="36"/>
  <c r="AC439" i="36" s="1"/>
  <c r="Q440" i="36"/>
  <c r="AB440" i="36" s="1"/>
  <c r="R440" i="36"/>
  <c r="AC440" i="36" s="1"/>
  <c r="Q441" i="36"/>
  <c r="AB441" i="36" s="1"/>
  <c r="R441" i="36"/>
  <c r="AC441" i="36" s="1"/>
  <c r="Q442" i="36"/>
  <c r="AB442" i="36" s="1"/>
  <c r="R442" i="36"/>
  <c r="AC442" i="36" s="1"/>
  <c r="Q443" i="36"/>
  <c r="AB443" i="36" s="1"/>
  <c r="R443" i="36"/>
  <c r="AC443" i="36" s="1"/>
  <c r="Q444" i="36"/>
  <c r="AB444" i="36" s="1"/>
  <c r="R444" i="36"/>
  <c r="AC444" i="36" s="1"/>
  <c r="Q445" i="36"/>
  <c r="AB445" i="36" s="1"/>
  <c r="R445" i="36"/>
  <c r="AC445" i="36" s="1"/>
  <c r="Q446" i="36"/>
  <c r="AB446" i="36" s="1"/>
  <c r="R446" i="36"/>
  <c r="AC446" i="36" s="1"/>
  <c r="Q447" i="36"/>
  <c r="AB447" i="36" s="1"/>
  <c r="R447" i="36"/>
  <c r="AC447" i="36" s="1"/>
  <c r="Q448" i="36"/>
  <c r="AB448" i="36" s="1"/>
  <c r="R448" i="36"/>
  <c r="AC448" i="36" s="1"/>
  <c r="Q449" i="36"/>
  <c r="AB449" i="36" s="1"/>
  <c r="R449" i="36"/>
  <c r="AC449" i="36" s="1"/>
  <c r="Q450" i="36"/>
  <c r="AB450" i="36" s="1"/>
  <c r="R450" i="36"/>
  <c r="AC450" i="36" s="1"/>
  <c r="Q451" i="36"/>
  <c r="AB451" i="36" s="1"/>
  <c r="R451" i="36"/>
  <c r="AC451" i="36" s="1"/>
  <c r="Q452" i="36"/>
  <c r="AB452" i="36" s="1"/>
  <c r="R452" i="36"/>
  <c r="AC452" i="36" s="1"/>
  <c r="Q453" i="36"/>
  <c r="AB453" i="36" s="1"/>
  <c r="R453" i="36"/>
  <c r="AC453" i="36" s="1"/>
  <c r="Q454" i="36"/>
  <c r="AB454" i="36" s="1"/>
  <c r="R454" i="36"/>
  <c r="AC454" i="36" s="1"/>
  <c r="Q455" i="36"/>
  <c r="AB455" i="36" s="1"/>
  <c r="R455" i="36"/>
  <c r="AC455" i="36" s="1"/>
  <c r="Q456" i="36"/>
  <c r="AB456" i="36" s="1"/>
  <c r="R456" i="36"/>
  <c r="AC456" i="36" s="1"/>
  <c r="Q457" i="36"/>
  <c r="AB457" i="36" s="1"/>
  <c r="R457" i="36"/>
  <c r="AC457" i="36" s="1"/>
  <c r="Q458" i="36"/>
  <c r="AB458" i="36" s="1"/>
  <c r="R458" i="36"/>
  <c r="AC458" i="36" s="1"/>
  <c r="Q459" i="36"/>
  <c r="AB459" i="36" s="1"/>
  <c r="R459" i="36"/>
  <c r="AC459" i="36" s="1"/>
  <c r="Q460" i="36"/>
  <c r="AB460" i="36" s="1"/>
  <c r="R460" i="36"/>
  <c r="AC460" i="36" s="1"/>
  <c r="Q461" i="36"/>
  <c r="AB461" i="36" s="1"/>
  <c r="R461" i="36"/>
  <c r="AC461" i="36" s="1"/>
  <c r="Q462" i="36"/>
  <c r="AB462" i="36" s="1"/>
  <c r="R462" i="36"/>
  <c r="AC462" i="36" s="1"/>
  <c r="Q463" i="36"/>
  <c r="AB463" i="36" s="1"/>
  <c r="R463" i="36"/>
  <c r="AC463" i="36" s="1"/>
  <c r="Q464" i="36"/>
  <c r="AB464" i="36" s="1"/>
  <c r="R464" i="36"/>
  <c r="AC464" i="36" s="1"/>
  <c r="Q465" i="36"/>
  <c r="AB465" i="36" s="1"/>
  <c r="R465" i="36"/>
  <c r="AC465" i="36" s="1"/>
  <c r="Q466" i="36"/>
  <c r="AB466" i="36" s="1"/>
  <c r="R466" i="36"/>
  <c r="AC466" i="36" s="1"/>
  <c r="Q467" i="36"/>
  <c r="AB467" i="36" s="1"/>
  <c r="R467" i="36"/>
  <c r="AC467" i="36" s="1"/>
  <c r="Q468" i="36"/>
  <c r="AB468" i="36" s="1"/>
  <c r="R468" i="36"/>
  <c r="AC468" i="36" s="1"/>
  <c r="Q469" i="36"/>
  <c r="AB469" i="36" s="1"/>
  <c r="R469" i="36"/>
  <c r="AC469" i="36" s="1"/>
  <c r="Q470" i="36"/>
  <c r="AB470" i="36" s="1"/>
  <c r="R470" i="36"/>
  <c r="AC470" i="36" s="1"/>
  <c r="Q471" i="36"/>
  <c r="AB471" i="36" s="1"/>
  <c r="R471" i="36"/>
  <c r="AC471" i="36" s="1"/>
  <c r="Q472" i="36"/>
  <c r="AB472" i="36" s="1"/>
  <c r="R472" i="36"/>
  <c r="AC472" i="36" s="1"/>
  <c r="Q473" i="36"/>
  <c r="AB473" i="36" s="1"/>
  <c r="R473" i="36"/>
  <c r="AC473" i="36" s="1"/>
  <c r="Q474" i="36"/>
  <c r="AB474" i="36" s="1"/>
  <c r="R474" i="36"/>
  <c r="AC474" i="36" s="1"/>
  <c r="Q475" i="36"/>
  <c r="AB475" i="36" s="1"/>
  <c r="R475" i="36"/>
  <c r="AC475" i="36" s="1"/>
  <c r="Q476" i="36"/>
  <c r="AB476" i="36" s="1"/>
  <c r="R476" i="36"/>
  <c r="AC476" i="36" s="1"/>
  <c r="Q477" i="36"/>
  <c r="AB477" i="36" s="1"/>
  <c r="R477" i="36"/>
  <c r="AC477" i="36" s="1"/>
  <c r="Q478" i="36"/>
  <c r="AB478" i="36" s="1"/>
  <c r="R478" i="36"/>
  <c r="AC478" i="36" s="1"/>
  <c r="Q479" i="36"/>
  <c r="AB479" i="36" s="1"/>
  <c r="R479" i="36"/>
  <c r="AC479" i="36" s="1"/>
  <c r="Q480" i="36"/>
  <c r="AB480" i="36" s="1"/>
  <c r="R480" i="36"/>
  <c r="AC480" i="36" s="1"/>
  <c r="Q481" i="36"/>
  <c r="AB481" i="36" s="1"/>
  <c r="R481" i="36"/>
  <c r="AC481" i="36" s="1"/>
  <c r="Q482" i="36"/>
  <c r="AB482" i="36" s="1"/>
  <c r="R482" i="36"/>
  <c r="AC482" i="36" s="1"/>
  <c r="Q483" i="36"/>
  <c r="AB483" i="36" s="1"/>
  <c r="R483" i="36"/>
  <c r="AC483" i="36" s="1"/>
  <c r="Q484" i="36"/>
  <c r="AB484" i="36" s="1"/>
  <c r="R484" i="36"/>
  <c r="AC484" i="36" s="1"/>
  <c r="Q485" i="36"/>
  <c r="AB485" i="36" s="1"/>
  <c r="R485" i="36"/>
  <c r="AC485" i="36" s="1"/>
  <c r="Q486" i="36"/>
  <c r="AB486" i="36" s="1"/>
  <c r="R486" i="36"/>
  <c r="AC486" i="36" s="1"/>
  <c r="Q487" i="36"/>
  <c r="AB487" i="36" s="1"/>
  <c r="R487" i="36"/>
  <c r="AC487" i="36" s="1"/>
  <c r="Q488" i="36"/>
  <c r="AB488" i="36" s="1"/>
  <c r="R488" i="36"/>
  <c r="AC488" i="36" s="1"/>
  <c r="G434" i="36"/>
  <c r="G435" i="36"/>
  <c r="G436" i="36"/>
  <c r="G437" i="36"/>
  <c r="G438" i="36"/>
  <c r="G439" i="36"/>
  <c r="G440" i="36"/>
  <c r="G441" i="36"/>
  <c r="G442" i="36"/>
  <c r="G443" i="36"/>
  <c r="G444" i="36"/>
  <c r="G445" i="36"/>
  <c r="G446" i="36"/>
  <c r="G447" i="36"/>
  <c r="G448" i="36"/>
  <c r="G449" i="36"/>
  <c r="G450" i="36"/>
  <c r="G451" i="36"/>
  <c r="G452" i="36"/>
  <c r="G453" i="36"/>
  <c r="G454" i="36"/>
  <c r="G455" i="36"/>
  <c r="G456" i="36"/>
  <c r="G457" i="36"/>
  <c r="G458" i="36"/>
  <c r="G459" i="36"/>
  <c r="G460" i="36"/>
  <c r="G461" i="36"/>
  <c r="G462" i="36"/>
  <c r="G463" i="36"/>
  <c r="G464" i="36"/>
  <c r="G465" i="36"/>
  <c r="G466" i="36"/>
  <c r="G467" i="36"/>
  <c r="G468" i="36"/>
  <c r="G469" i="36"/>
  <c r="G470" i="36"/>
  <c r="G471" i="36"/>
  <c r="G472" i="36"/>
  <c r="G473" i="36"/>
  <c r="G474" i="36"/>
  <c r="G475" i="36"/>
  <c r="G476" i="36"/>
  <c r="G477" i="36"/>
  <c r="G478" i="36"/>
  <c r="G479" i="36"/>
  <c r="G480" i="36"/>
  <c r="G481" i="36"/>
  <c r="G482" i="36"/>
  <c r="G483" i="36"/>
  <c r="G484" i="36"/>
  <c r="G485" i="36"/>
  <c r="G486" i="36"/>
  <c r="G487" i="36"/>
  <c r="G488" i="36"/>
  <c r="B434" i="9"/>
  <c r="C434" i="9"/>
  <c r="B435" i="9"/>
  <c r="C435" i="9"/>
  <c r="B436" i="9"/>
  <c r="C436" i="9"/>
  <c r="B437" i="9"/>
  <c r="C437" i="9"/>
  <c r="B438" i="9"/>
  <c r="C438" i="9"/>
  <c r="B439" i="9"/>
  <c r="C439" i="9"/>
  <c r="B440" i="9"/>
  <c r="C440" i="9"/>
  <c r="B441" i="9"/>
  <c r="C441" i="9"/>
  <c r="B442" i="9"/>
  <c r="C442" i="9"/>
  <c r="B443" i="9"/>
  <c r="C443" i="9"/>
  <c r="B444" i="9"/>
  <c r="C444" i="9"/>
  <c r="B445" i="9"/>
  <c r="C445" i="9"/>
  <c r="B446" i="9"/>
  <c r="C446" i="9"/>
  <c r="B447" i="9"/>
  <c r="C447" i="9"/>
  <c r="B448" i="9"/>
  <c r="C448" i="9"/>
  <c r="B449" i="9"/>
  <c r="C449" i="9"/>
  <c r="B450" i="9"/>
  <c r="C450" i="9"/>
  <c r="B451" i="9"/>
  <c r="C451" i="9"/>
  <c r="B452" i="9"/>
  <c r="C452" i="9"/>
  <c r="B453" i="9"/>
  <c r="C453" i="9"/>
  <c r="B454" i="9"/>
  <c r="C454" i="9"/>
  <c r="B455" i="9"/>
  <c r="C455" i="9"/>
  <c r="B456" i="9"/>
  <c r="C456" i="9"/>
  <c r="B457" i="9"/>
  <c r="C457" i="9"/>
  <c r="B458" i="9"/>
  <c r="C458" i="9"/>
  <c r="B459" i="9"/>
  <c r="C459" i="9"/>
  <c r="B460" i="9"/>
  <c r="C460" i="9"/>
  <c r="B461" i="9"/>
  <c r="C461" i="9"/>
  <c r="B462" i="9"/>
  <c r="C462" i="9"/>
  <c r="B463" i="9"/>
  <c r="C463" i="9"/>
  <c r="B464" i="9"/>
  <c r="C464" i="9"/>
  <c r="B465" i="9"/>
  <c r="C465" i="9"/>
  <c r="B466" i="9"/>
  <c r="C466" i="9"/>
  <c r="B467" i="9"/>
  <c r="C467" i="9"/>
  <c r="B468" i="9"/>
  <c r="C468" i="9"/>
  <c r="B469" i="9"/>
  <c r="C469" i="9"/>
  <c r="B470" i="9"/>
  <c r="C470" i="9"/>
  <c r="B471" i="9"/>
  <c r="C471" i="9"/>
  <c r="B472" i="9"/>
  <c r="C472" i="9"/>
  <c r="B473" i="9"/>
  <c r="C473" i="9"/>
  <c r="B474" i="9"/>
  <c r="C474" i="9"/>
  <c r="B475" i="9"/>
  <c r="C475" i="9"/>
  <c r="B476" i="9"/>
  <c r="C476" i="9"/>
  <c r="B477" i="9"/>
  <c r="C477" i="9"/>
  <c r="B478" i="9"/>
  <c r="C478" i="9"/>
  <c r="B479" i="9"/>
  <c r="C479" i="9"/>
  <c r="B480" i="9"/>
  <c r="C480" i="9"/>
  <c r="B481" i="9"/>
  <c r="C481" i="9"/>
  <c r="B482" i="9"/>
  <c r="C482" i="9"/>
  <c r="B483" i="9"/>
  <c r="C483" i="9"/>
  <c r="B484" i="9"/>
  <c r="C484" i="9"/>
  <c r="B485" i="9"/>
  <c r="C485" i="9"/>
  <c r="B486" i="9"/>
  <c r="C486" i="9"/>
  <c r="B487" i="9"/>
  <c r="C487" i="9"/>
  <c r="B434" i="8"/>
  <c r="C434" i="8"/>
  <c r="B435" i="8"/>
  <c r="C435" i="8"/>
  <c r="B436" i="8"/>
  <c r="C436" i="8"/>
  <c r="B437" i="8"/>
  <c r="C437" i="8"/>
  <c r="B438" i="8"/>
  <c r="C438" i="8"/>
  <c r="B439" i="8"/>
  <c r="C439" i="8"/>
  <c r="B440" i="8"/>
  <c r="C440" i="8"/>
  <c r="B441" i="8"/>
  <c r="C441" i="8"/>
  <c r="B442" i="8"/>
  <c r="C442" i="8"/>
  <c r="B443" i="8"/>
  <c r="C443" i="8"/>
  <c r="B444" i="8"/>
  <c r="C444" i="8"/>
  <c r="B445" i="8"/>
  <c r="C445" i="8"/>
  <c r="B446" i="8"/>
  <c r="C446" i="8"/>
  <c r="B447" i="8"/>
  <c r="C447" i="8"/>
  <c r="B448" i="8"/>
  <c r="C448" i="8"/>
  <c r="B449" i="8"/>
  <c r="C449" i="8"/>
  <c r="B450" i="8"/>
  <c r="C450" i="8"/>
  <c r="B451" i="8"/>
  <c r="C451" i="8"/>
  <c r="B452" i="8"/>
  <c r="C452" i="8"/>
  <c r="B453" i="8"/>
  <c r="C453" i="8"/>
  <c r="B454" i="8"/>
  <c r="C454" i="8"/>
  <c r="B455" i="8"/>
  <c r="C455" i="8"/>
  <c r="B456" i="8"/>
  <c r="C456" i="8"/>
  <c r="B457" i="8"/>
  <c r="C457" i="8"/>
  <c r="B458" i="8"/>
  <c r="C458" i="8"/>
  <c r="B459" i="8"/>
  <c r="C459" i="8"/>
  <c r="B460" i="8"/>
  <c r="C460" i="8"/>
  <c r="B461" i="8"/>
  <c r="C461" i="8"/>
  <c r="B462" i="8"/>
  <c r="C462" i="8"/>
  <c r="B463" i="8"/>
  <c r="C463" i="8"/>
  <c r="B464" i="8"/>
  <c r="C464" i="8"/>
  <c r="B465" i="8"/>
  <c r="C465" i="8"/>
  <c r="B466" i="8"/>
  <c r="C466" i="8"/>
  <c r="B467" i="8"/>
  <c r="C467" i="8"/>
  <c r="B468" i="8"/>
  <c r="C468" i="8"/>
  <c r="B469" i="8"/>
  <c r="C469" i="8"/>
  <c r="B470" i="8"/>
  <c r="C470" i="8"/>
  <c r="B471" i="8"/>
  <c r="C471" i="8"/>
  <c r="B472" i="8"/>
  <c r="C472" i="8"/>
  <c r="B473" i="8"/>
  <c r="C473" i="8"/>
  <c r="B474" i="8"/>
  <c r="C474" i="8"/>
  <c r="B475" i="8"/>
  <c r="C475" i="8"/>
  <c r="B476" i="8"/>
  <c r="C476" i="8"/>
  <c r="B477" i="8"/>
  <c r="C477" i="8"/>
  <c r="B478" i="8"/>
  <c r="C478" i="8"/>
  <c r="B479" i="8"/>
  <c r="C479" i="8"/>
  <c r="B480" i="8"/>
  <c r="C480" i="8"/>
  <c r="B481" i="8"/>
  <c r="C481" i="8"/>
  <c r="B482" i="8"/>
  <c r="C482" i="8"/>
  <c r="B483" i="8"/>
  <c r="C483" i="8"/>
  <c r="B484" i="8"/>
  <c r="C484" i="8"/>
  <c r="B485" i="8"/>
  <c r="C485" i="8"/>
  <c r="B486" i="8"/>
  <c r="C486" i="8"/>
  <c r="B487" i="8"/>
  <c r="C487" i="8"/>
  <c r="B434" i="6"/>
  <c r="C434" i="6"/>
  <c r="B435" i="6"/>
  <c r="C435" i="6"/>
  <c r="B436" i="6"/>
  <c r="C436" i="6"/>
  <c r="B437" i="6"/>
  <c r="C437" i="6"/>
  <c r="B438" i="6"/>
  <c r="C438" i="6"/>
  <c r="B439" i="6"/>
  <c r="C439" i="6"/>
  <c r="B440" i="6"/>
  <c r="C440" i="6"/>
  <c r="B441" i="6"/>
  <c r="C441" i="6"/>
  <c r="B442" i="6"/>
  <c r="C442" i="6"/>
  <c r="B443" i="6"/>
  <c r="C443" i="6"/>
  <c r="B444" i="6"/>
  <c r="C444" i="6"/>
  <c r="B445" i="6"/>
  <c r="C445" i="6"/>
  <c r="B446" i="6"/>
  <c r="C446" i="6"/>
  <c r="B447" i="6"/>
  <c r="C447" i="6"/>
  <c r="B448" i="6"/>
  <c r="C448" i="6"/>
  <c r="B449" i="6"/>
  <c r="C449" i="6"/>
  <c r="B450" i="6"/>
  <c r="C450" i="6"/>
  <c r="B451" i="6"/>
  <c r="C451" i="6"/>
  <c r="B452" i="6"/>
  <c r="C452" i="6"/>
  <c r="B453" i="6"/>
  <c r="C453" i="6"/>
  <c r="B454" i="6"/>
  <c r="C454" i="6"/>
  <c r="B455" i="6"/>
  <c r="C455" i="6"/>
  <c r="B456" i="6"/>
  <c r="C456" i="6"/>
  <c r="B457" i="6"/>
  <c r="C457" i="6"/>
  <c r="B458" i="6"/>
  <c r="C458" i="6"/>
  <c r="B459" i="6"/>
  <c r="C459" i="6"/>
  <c r="B460" i="6"/>
  <c r="C460" i="6"/>
  <c r="B461" i="6"/>
  <c r="C461" i="6"/>
  <c r="B462" i="6"/>
  <c r="C462" i="6"/>
  <c r="B463" i="6"/>
  <c r="C463" i="6"/>
  <c r="B464" i="6"/>
  <c r="C464" i="6"/>
  <c r="B465" i="6"/>
  <c r="C465" i="6"/>
  <c r="B466" i="6"/>
  <c r="C466" i="6"/>
  <c r="B467" i="6"/>
  <c r="C467" i="6"/>
  <c r="B468" i="6"/>
  <c r="C468" i="6"/>
  <c r="B469" i="6"/>
  <c r="C469" i="6"/>
  <c r="B470" i="6"/>
  <c r="C470" i="6"/>
  <c r="B471" i="6"/>
  <c r="C471" i="6"/>
  <c r="B472" i="6"/>
  <c r="C472" i="6"/>
  <c r="B473" i="6"/>
  <c r="C473" i="6"/>
  <c r="B474" i="6"/>
  <c r="C474" i="6"/>
  <c r="B475" i="6"/>
  <c r="C475" i="6"/>
  <c r="B476" i="6"/>
  <c r="C476" i="6"/>
  <c r="B477" i="6"/>
  <c r="C477" i="6"/>
  <c r="B478" i="6"/>
  <c r="C478" i="6"/>
  <c r="B479" i="6"/>
  <c r="C479" i="6"/>
  <c r="B480" i="6"/>
  <c r="C480" i="6"/>
  <c r="B481" i="6"/>
  <c r="C481" i="6"/>
  <c r="B482" i="6"/>
  <c r="C482" i="6"/>
  <c r="B483" i="6"/>
  <c r="C483" i="6"/>
  <c r="B484" i="6"/>
  <c r="C484" i="6"/>
  <c r="B485" i="6"/>
  <c r="C485" i="6"/>
  <c r="B486" i="6"/>
  <c r="C486" i="6"/>
  <c r="B487" i="6"/>
  <c r="C487" i="6"/>
  <c r="C431" i="5"/>
  <c r="D431" i="5"/>
  <c r="C432" i="5"/>
  <c r="D432" i="5"/>
  <c r="C433" i="5"/>
  <c r="D433" i="5"/>
  <c r="C434" i="5"/>
  <c r="D434" i="5"/>
  <c r="C435" i="5"/>
  <c r="D435" i="5"/>
  <c r="C436" i="5"/>
  <c r="D436" i="5"/>
  <c r="C437" i="5"/>
  <c r="D437" i="5"/>
  <c r="C438" i="5"/>
  <c r="D438" i="5"/>
  <c r="C439" i="5"/>
  <c r="D439" i="5"/>
  <c r="C440" i="5"/>
  <c r="D440" i="5"/>
  <c r="C441" i="5"/>
  <c r="D441" i="5"/>
  <c r="C442" i="5"/>
  <c r="D442" i="5"/>
  <c r="C443" i="5"/>
  <c r="D443" i="5"/>
  <c r="C444" i="5"/>
  <c r="D444" i="5"/>
  <c r="C445" i="5"/>
  <c r="D445" i="5"/>
  <c r="C446" i="5"/>
  <c r="D446" i="5"/>
  <c r="C447" i="5"/>
  <c r="D447" i="5"/>
  <c r="C448" i="5"/>
  <c r="D448" i="5"/>
  <c r="C449" i="5"/>
  <c r="D449" i="5"/>
  <c r="C450" i="5"/>
  <c r="D450" i="5"/>
  <c r="C451" i="5"/>
  <c r="D451" i="5"/>
  <c r="C452" i="5"/>
  <c r="D452" i="5"/>
  <c r="C453" i="5"/>
  <c r="D453" i="5"/>
  <c r="C454" i="5"/>
  <c r="D454" i="5"/>
  <c r="C455" i="5"/>
  <c r="D455" i="5"/>
  <c r="C456" i="5"/>
  <c r="D456" i="5"/>
  <c r="C457" i="5"/>
  <c r="D457" i="5"/>
  <c r="C458" i="5"/>
  <c r="D458" i="5"/>
  <c r="C459" i="5"/>
  <c r="D459" i="5"/>
  <c r="C460" i="5"/>
  <c r="D460" i="5"/>
  <c r="C461" i="5"/>
  <c r="D461" i="5"/>
  <c r="C462" i="5"/>
  <c r="D462" i="5"/>
  <c r="C463" i="5"/>
  <c r="D463" i="5"/>
  <c r="C464" i="5"/>
  <c r="D464" i="5"/>
  <c r="C465" i="5"/>
  <c r="D465" i="5"/>
  <c r="C466" i="5"/>
  <c r="D466" i="5"/>
  <c r="C467" i="5"/>
  <c r="D467" i="5"/>
  <c r="C468" i="5"/>
  <c r="D468" i="5"/>
  <c r="C469" i="5"/>
  <c r="D469" i="5"/>
  <c r="C470" i="5"/>
  <c r="D470" i="5"/>
  <c r="C471" i="5"/>
  <c r="D471" i="5"/>
  <c r="C472" i="5"/>
  <c r="D472" i="5"/>
  <c r="C473" i="5"/>
  <c r="D473" i="5"/>
  <c r="C474" i="5"/>
  <c r="D474" i="5"/>
  <c r="C475" i="5"/>
  <c r="D475" i="5"/>
  <c r="C476" i="5"/>
  <c r="D476" i="5"/>
  <c r="C477" i="5"/>
  <c r="D477" i="5"/>
  <c r="C478" i="5"/>
  <c r="D478" i="5"/>
  <c r="C479" i="5"/>
  <c r="D479" i="5"/>
  <c r="C480" i="5"/>
  <c r="D480" i="5"/>
  <c r="C481" i="5"/>
  <c r="D481" i="5"/>
  <c r="C482" i="5"/>
  <c r="D482" i="5"/>
  <c r="C483" i="5"/>
  <c r="D483" i="5"/>
  <c r="C484" i="5"/>
  <c r="D484" i="5"/>
  <c r="F434" i="4"/>
  <c r="E445" i="4"/>
  <c r="F450" i="4"/>
  <c r="F452" i="4"/>
  <c r="D458" i="4"/>
  <c r="D465" i="4"/>
  <c r="F466" i="4"/>
  <c r="D471" i="4"/>
  <c r="D473" i="4"/>
  <c r="D485" i="4"/>
  <c r="D237" i="101"/>
  <c r="F434" i="36"/>
  <c r="F435" i="36"/>
  <c r="F436" i="36"/>
  <c r="F437" i="36"/>
  <c r="F438" i="36"/>
  <c r="F439" i="36"/>
  <c r="F440" i="36"/>
  <c r="F441" i="36"/>
  <c r="F442" i="36"/>
  <c r="F443" i="36"/>
  <c r="F444" i="36"/>
  <c r="F445" i="36"/>
  <c r="F446" i="36"/>
  <c r="F447" i="36"/>
  <c r="F448" i="36"/>
  <c r="F449" i="36"/>
  <c r="F450" i="36"/>
  <c r="F451" i="36"/>
  <c r="F452" i="36"/>
  <c r="F453" i="36"/>
  <c r="F454" i="36"/>
  <c r="F455" i="36"/>
  <c r="F456" i="36"/>
  <c r="F457" i="36"/>
  <c r="F458" i="36"/>
  <c r="F459" i="36"/>
  <c r="F460" i="36"/>
  <c r="F461" i="36"/>
  <c r="F462" i="36"/>
  <c r="F463" i="36"/>
  <c r="F464" i="36"/>
  <c r="F465" i="36"/>
  <c r="F466" i="36"/>
  <c r="F467" i="36"/>
  <c r="F468" i="36"/>
  <c r="F469" i="36"/>
  <c r="F470" i="36"/>
  <c r="F471" i="36"/>
  <c r="F472" i="36"/>
  <c r="F473" i="36"/>
  <c r="F474" i="36"/>
  <c r="F475" i="36"/>
  <c r="F476" i="36"/>
  <c r="F477" i="36"/>
  <c r="F478" i="36"/>
  <c r="F479" i="36"/>
  <c r="F480" i="36"/>
  <c r="F481" i="36"/>
  <c r="F482" i="36"/>
  <c r="F483" i="36"/>
  <c r="F484" i="36"/>
  <c r="F485" i="36"/>
  <c r="F486" i="36"/>
  <c r="F487" i="36"/>
  <c r="F488" i="36"/>
  <c r="C46" i="101"/>
  <c r="C43" i="101"/>
  <c r="C23" i="101"/>
  <c r="C18" i="101"/>
  <c r="D18" i="101" s="1"/>
  <c r="F18" i="101" s="1"/>
  <c r="C12" i="101"/>
  <c r="C10" i="101"/>
  <c r="C8" i="101"/>
  <c r="D5" i="101"/>
  <c r="F5" i="101" s="1"/>
  <c r="D11" i="101"/>
  <c r="F11" i="101" s="1"/>
  <c r="D13" i="101"/>
  <c r="F13" i="101" s="1"/>
  <c r="D14" i="101"/>
  <c r="F14" i="101" s="1"/>
  <c r="D15" i="101"/>
  <c r="F15" i="101" s="1"/>
  <c r="D20" i="101"/>
  <c r="F20" i="101" s="1"/>
  <c r="D21" i="101"/>
  <c r="D22" i="101"/>
  <c r="F22" i="101" s="1"/>
  <c r="D34" i="101"/>
  <c r="F34" i="101" s="1"/>
  <c r="D36" i="101"/>
  <c r="F36" i="101" s="1"/>
  <c r="D37" i="101"/>
  <c r="F37" i="101" s="1"/>
  <c r="D38" i="101"/>
  <c r="F38" i="101" s="1"/>
  <c r="D39" i="101"/>
  <c r="F39" i="101" s="1"/>
  <c r="D40" i="101"/>
  <c r="F40" i="101" s="1"/>
  <c r="D41" i="101"/>
  <c r="F41" i="101" s="1"/>
  <c r="D42" i="101"/>
  <c r="F42" i="101" s="1"/>
  <c r="D44" i="101"/>
  <c r="F44" i="101" s="1"/>
  <c r="D45" i="101"/>
  <c r="F45" i="101" s="1"/>
  <c r="D47" i="101"/>
  <c r="F47" i="101" s="1"/>
  <c r="D49" i="101"/>
  <c r="F49" i="101" s="1"/>
  <c r="D50" i="101"/>
  <c r="F50" i="101" s="1"/>
  <c r="D51" i="101"/>
  <c r="F51" i="101" s="1"/>
  <c r="D52" i="101"/>
  <c r="F52" i="101" s="1"/>
  <c r="D53" i="101"/>
  <c r="F53" i="101" s="1"/>
  <c r="D54" i="101"/>
  <c r="F54" i="101" s="1"/>
  <c r="D55" i="101"/>
  <c r="F55" i="101" s="1"/>
  <c r="D56" i="101"/>
  <c r="F56" i="101" s="1"/>
  <c r="D57" i="101"/>
  <c r="F57" i="101" s="1"/>
  <c r="D58" i="101"/>
  <c r="F58" i="101" s="1"/>
  <c r="D59" i="101"/>
  <c r="F59" i="101" s="1"/>
  <c r="D60" i="101"/>
  <c r="F60" i="101" s="1"/>
  <c r="D61" i="101"/>
  <c r="F61" i="101" s="1"/>
  <c r="D62" i="101"/>
  <c r="F62" i="101" s="1"/>
  <c r="D63" i="101"/>
  <c r="F63" i="101" s="1"/>
  <c r="D67" i="101"/>
  <c r="F67" i="101" s="1"/>
  <c r="D69" i="101"/>
  <c r="F69" i="101" s="1"/>
  <c r="D71" i="101"/>
  <c r="F71" i="101" s="1"/>
  <c r="D72" i="101"/>
  <c r="F72" i="101" s="1"/>
  <c r="D74" i="101"/>
  <c r="F74" i="101" s="1"/>
  <c r="D75" i="101"/>
  <c r="F75" i="101" s="1"/>
  <c r="D76" i="101"/>
  <c r="F76" i="101" s="1"/>
  <c r="D77" i="101"/>
  <c r="F77" i="101" s="1"/>
  <c r="D78" i="101"/>
  <c r="F78" i="101" s="1"/>
  <c r="D79" i="101"/>
  <c r="F79" i="101" s="1"/>
  <c r="D80" i="101"/>
  <c r="F80" i="101" s="1"/>
  <c r="D81" i="101"/>
  <c r="F81" i="101" s="1"/>
  <c r="D82" i="101"/>
  <c r="F82" i="101" s="1"/>
  <c r="D83" i="101"/>
  <c r="F83" i="101" s="1"/>
  <c r="D84" i="101"/>
  <c r="F84" i="101" s="1"/>
  <c r="D85" i="101"/>
  <c r="F85" i="101" s="1"/>
  <c r="D86" i="101"/>
  <c r="F86" i="101" s="1"/>
  <c r="D90" i="101"/>
  <c r="F90" i="101" s="1"/>
  <c r="D93" i="101"/>
  <c r="F93" i="101" s="1"/>
  <c r="D97" i="101"/>
  <c r="F97" i="101" s="1"/>
  <c r="D98" i="101"/>
  <c r="F98" i="101" s="1"/>
  <c r="D99" i="101"/>
  <c r="F99" i="101" s="1"/>
  <c r="D100" i="101"/>
  <c r="F100" i="101" s="1"/>
  <c r="D102" i="101"/>
  <c r="F102" i="101" s="1"/>
  <c r="D103" i="101"/>
  <c r="F103" i="101" s="1"/>
  <c r="D104" i="101"/>
  <c r="F104" i="101" s="1"/>
  <c r="D105" i="101"/>
  <c r="F105" i="101" s="1"/>
  <c r="D106" i="101"/>
  <c r="F106" i="101" s="1"/>
  <c r="D107" i="101"/>
  <c r="F107" i="101" s="1"/>
  <c r="D108" i="101"/>
  <c r="F108" i="101" s="1"/>
  <c r="D109" i="101"/>
  <c r="F109" i="101" s="1"/>
  <c r="D110" i="101"/>
  <c r="F110" i="101" s="1"/>
  <c r="D111" i="101"/>
  <c r="F111" i="101" s="1"/>
  <c r="D112" i="101"/>
  <c r="F112" i="101" s="1"/>
  <c r="D113" i="101"/>
  <c r="F113" i="101" s="1"/>
  <c r="D114" i="101"/>
  <c r="F114" i="101" s="1"/>
  <c r="D115" i="101"/>
  <c r="F115" i="101" s="1"/>
  <c r="D116" i="101"/>
  <c r="F116" i="101" s="1"/>
  <c r="D117" i="101"/>
  <c r="F117" i="101" s="1"/>
  <c r="D118" i="101"/>
  <c r="F118" i="101" s="1"/>
  <c r="D119" i="101"/>
  <c r="F119" i="101" s="1"/>
  <c r="D120" i="101"/>
  <c r="F120" i="101" s="1"/>
  <c r="D121" i="101"/>
  <c r="F121" i="101" s="1"/>
  <c r="D122" i="101"/>
  <c r="F122" i="101" s="1"/>
  <c r="D123" i="101"/>
  <c r="F123" i="101" s="1"/>
  <c r="D124" i="101"/>
  <c r="F124" i="101" s="1"/>
  <c r="D126" i="101"/>
  <c r="F126" i="101" s="1"/>
  <c r="D127" i="101"/>
  <c r="F127" i="101" s="1"/>
  <c r="D128" i="101"/>
  <c r="F128" i="101" s="1"/>
  <c r="D129" i="101"/>
  <c r="F129" i="101" s="1"/>
  <c r="D137" i="101"/>
  <c r="F137" i="101" s="1"/>
  <c r="D138" i="101"/>
  <c r="F138" i="101" s="1"/>
  <c r="D145" i="101"/>
  <c r="F145" i="101" s="1"/>
  <c r="D146" i="101"/>
  <c r="F146" i="101" s="1"/>
  <c r="D147" i="101"/>
  <c r="F147" i="101" s="1"/>
  <c r="D148" i="101"/>
  <c r="F148" i="101" s="1"/>
  <c r="D151" i="101"/>
  <c r="F151" i="101" s="1"/>
  <c r="D152" i="101"/>
  <c r="F152" i="101" s="1"/>
  <c r="D153" i="101"/>
  <c r="F153" i="101" s="1"/>
  <c r="D154" i="101"/>
  <c r="F154" i="101" s="1"/>
  <c r="D156" i="101"/>
  <c r="F156" i="101" s="1"/>
  <c r="D157" i="101"/>
  <c r="F157" i="101" s="1"/>
  <c r="D158" i="101"/>
  <c r="F158" i="101" s="1"/>
  <c r="D159" i="101"/>
  <c r="F159" i="101" s="1"/>
  <c r="D160" i="101"/>
  <c r="F160" i="101" s="1"/>
  <c r="D162" i="101"/>
  <c r="F162" i="101" s="1"/>
  <c r="D164" i="101"/>
  <c r="F164" i="101" s="1"/>
  <c r="D166" i="101"/>
  <c r="F166" i="101" s="1"/>
  <c r="D167" i="101"/>
  <c r="F167" i="101" s="1"/>
  <c r="D168" i="101"/>
  <c r="F168" i="101" s="1"/>
  <c r="D169" i="101"/>
  <c r="F169" i="101" s="1"/>
  <c r="D170" i="101"/>
  <c r="F170" i="101" s="1"/>
  <c r="D171" i="101"/>
  <c r="F171" i="101" s="1"/>
  <c r="D172" i="101"/>
  <c r="F172" i="101" s="1"/>
  <c r="D173" i="101"/>
  <c r="F173" i="101" s="1"/>
  <c r="D174" i="101"/>
  <c r="F174" i="101" s="1"/>
  <c r="D175" i="101"/>
  <c r="F175" i="101" s="1"/>
  <c r="D176" i="101"/>
  <c r="F176" i="101" s="1"/>
  <c r="D177" i="101"/>
  <c r="F177" i="101" s="1"/>
  <c r="D179" i="101"/>
  <c r="F179" i="101" s="1"/>
  <c r="D182" i="101"/>
  <c r="F182" i="101" s="1"/>
  <c r="D183" i="101"/>
  <c r="F183" i="101" s="1"/>
  <c r="D184" i="101"/>
  <c r="F184" i="101" s="1"/>
  <c r="D185" i="101"/>
  <c r="F185" i="101" s="1"/>
  <c r="D186" i="101"/>
  <c r="F186" i="101" s="1"/>
  <c r="D195" i="101"/>
  <c r="F195" i="101" s="1"/>
  <c r="D197" i="101"/>
  <c r="F197" i="101" s="1"/>
  <c r="D198" i="101"/>
  <c r="F198" i="101" s="1"/>
  <c r="D200" i="101"/>
  <c r="F200" i="101" s="1"/>
  <c r="D203" i="101"/>
  <c r="F203" i="101" s="1"/>
  <c r="D204" i="101"/>
  <c r="F204" i="101" s="1"/>
  <c r="D205" i="101"/>
  <c r="F205" i="101" s="1"/>
  <c r="D206" i="101"/>
  <c r="F206" i="101" s="1"/>
  <c r="D208" i="101"/>
  <c r="F208" i="101" s="1"/>
  <c r="D209" i="101"/>
  <c r="F209" i="101" s="1"/>
  <c r="D210" i="101"/>
  <c r="F210" i="101" s="1"/>
  <c r="D211" i="101"/>
  <c r="F211" i="101" s="1"/>
  <c r="D212" i="101"/>
  <c r="F212" i="101" s="1"/>
  <c r="D213" i="101"/>
  <c r="F213" i="101" s="1"/>
  <c r="D214" i="101"/>
  <c r="F214" i="101" s="1"/>
  <c r="D215" i="101"/>
  <c r="F215" i="101" s="1"/>
  <c r="D216" i="101"/>
  <c r="F216" i="101" s="1"/>
  <c r="D217" i="101"/>
  <c r="F217" i="101" s="1"/>
  <c r="D218" i="101"/>
  <c r="F218" i="101" s="1"/>
  <c r="D227" i="101"/>
  <c r="F227" i="101" s="1"/>
  <c r="D228" i="101"/>
  <c r="F228" i="101" s="1"/>
  <c r="D229" i="101"/>
  <c r="F229" i="101" s="1"/>
  <c r="D230" i="101"/>
  <c r="F230" i="101" s="1"/>
  <c r="D231" i="101"/>
  <c r="F231" i="101" s="1"/>
  <c r="D232" i="101"/>
  <c r="F232" i="101" s="1"/>
  <c r="D238" i="101"/>
  <c r="F238" i="101" s="1"/>
  <c r="D262" i="101"/>
  <c r="D263" i="101"/>
  <c r="D264" i="101"/>
  <c r="D265" i="101"/>
  <c r="D266" i="101"/>
  <c r="D267" i="101"/>
  <c r="D268" i="101"/>
  <c r="D269" i="101"/>
  <c r="D270" i="101"/>
  <c r="D271" i="101"/>
  <c r="D272" i="101"/>
  <c r="D273" i="101"/>
  <c r="D274" i="101"/>
  <c r="D275" i="101"/>
  <c r="D276" i="101"/>
  <c r="D277" i="101"/>
  <c r="D278" i="101"/>
  <c r="D279" i="101"/>
  <c r="D280" i="101"/>
  <c r="D281" i="101"/>
  <c r="D282" i="101"/>
  <c r="D283" i="101"/>
  <c r="D284" i="101"/>
  <c r="D285" i="101"/>
  <c r="D286" i="101"/>
  <c r="D287" i="101"/>
  <c r="D288" i="101"/>
  <c r="D289" i="101"/>
  <c r="D290" i="101"/>
  <c r="D291" i="101"/>
  <c r="D292" i="101"/>
  <c r="D293" i="101"/>
  <c r="D295" i="101"/>
  <c r="D296" i="101"/>
  <c r="D297" i="101"/>
  <c r="D298" i="101"/>
  <c r="D299" i="101"/>
  <c r="D300" i="101"/>
  <c r="D301" i="101"/>
  <c r="D302" i="101"/>
  <c r="D303" i="101"/>
  <c r="D304" i="101"/>
  <c r="D305" i="101"/>
  <c r="D306" i="101"/>
  <c r="D307" i="101"/>
  <c r="D308" i="101"/>
  <c r="D309" i="101"/>
  <c r="D310" i="101"/>
  <c r="D311" i="101"/>
  <c r="D312" i="101"/>
  <c r="D313" i="101"/>
  <c r="D314" i="101"/>
  <c r="D315" i="101"/>
  <c r="D316" i="101"/>
  <c r="D4" i="101"/>
  <c r="D6" i="99"/>
  <c r="D32" i="101"/>
  <c r="C2" i="101" l="1"/>
  <c r="H466" i="36"/>
  <c r="H450" i="36"/>
  <c r="H442" i="36"/>
  <c r="H468" i="36"/>
  <c r="H462" i="36"/>
  <c r="H454" i="36"/>
  <c r="H446" i="36"/>
  <c r="H434" i="36"/>
  <c r="H483" i="36"/>
  <c r="H475" i="36"/>
  <c r="H471" i="36"/>
  <c r="G487" i="9"/>
  <c r="E485" i="9"/>
  <c r="G483" i="9"/>
  <c r="E477" i="9"/>
  <c r="E475" i="9"/>
  <c r="I473" i="9"/>
  <c r="K465" i="9"/>
  <c r="I463" i="9"/>
  <c r="E457" i="9"/>
  <c r="F455" i="9"/>
  <c r="K449" i="9"/>
  <c r="G447" i="9"/>
  <c r="I441" i="9"/>
  <c r="K439" i="9"/>
  <c r="I437" i="9"/>
  <c r="G486" i="9"/>
  <c r="G484" i="9"/>
  <c r="G482" i="9"/>
  <c r="G480" i="9"/>
  <c r="G478" i="9"/>
  <c r="F476" i="9"/>
  <c r="F474" i="9"/>
  <c r="G472" i="9"/>
  <c r="I470" i="9"/>
  <c r="F468" i="9"/>
  <c r="F454" i="9"/>
  <c r="F446" i="9"/>
  <c r="I434" i="9"/>
  <c r="K486" i="8"/>
  <c r="G482" i="8"/>
  <c r="E484" i="8"/>
  <c r="I480" i="8"/>
  <c r="F478" i="8"/>
  <c r="I476" i="8"/>
  <c r="I474" i="8"/>
  <c r="F472" i="8"/>
  <c r="G470" i="8"/>
  <c r="F467" i="8"/>
  <c r="I465" i="8"/>
  <c r="G463" i="8"/>
  <c r="E461" i="8"/>
  <c r="I459" i="8"/>
  <c r="F457" i="8"/>
  <c r="E455" i="8"/>
  <c r="F453" i="8"/>
  <c r="E451" i="8"/>
  <c r="F449" i="8"/>
  <c r="I447" i="8"/>
  <c r="E445" i="8"/>
  <c r="G443" i="8"/>
  <c r="G441" i="8"/>
  <c r="F439" i="8"/>
  <c r="F437" i="8"/>
  <c r="E435" i="8"/>
  <c r="G454" i="6"/>
  <c r="K454" i="6"/>
  <c r="H454" i="6"/>
  <c r="J454" i="6"/>
  <c r="F454" i="6"/>
  <c r="F450" i="6"/>
  <c r="J450" i="6"/>
  <c r="H450" i="6"/>
  <c r="K450" i="6"/>
  <c r="G450" i="6"/>
  <c r="G446" i="6"/>
  <c r="K446" i="6"/>
  <c r="H446" i="6"/>
  <c r="F446" i="6"/>
  <c r="J446" i="6"/>
  <c r="F442" i="6"/>
  <c r="J442" i="6"/>
  <c r="G442" i="6"/>
  <c r="H442" i="6"/>
  <c r="K442" i="6"/>
  <c r="AD486" i="36"/>
  <c r="AD482" i="36"/>
  <c r="AD478" i="36"/>
  <c r="AD474" i="36"/>
  <c r="AD470" i="36"/>
  <c r="AD466" i="36"/>
  <c r="AD460" i="36"/>
  <c r="AD456" i="36"/>
  <c r="AD452" i="36"/>
  <c r="AD446" i="36"/>
  <c r="AD444" i="36"/>
  <c r="AD438" i="36"/>
  <c r="G486" i="6"/>
  <c r="H486" i="6"/>
  <c r="K486" i="6"/>
  <c r="F486" i="6"/>
  <c r="J486" i="6"/>
  <c r="J484" i="6"/>
  <c r="F484" i="6"/>
  <c r="K484" i="6"/>
  <c r="G484" i="6"/>
  <c r="H484" i="6"/>
  <c r="J482" i="6"/>
  <c r="F482" i="6"/>
  <c r="K482" i="6"/>
  <c r="H482" i="6"/>
  <c r="G482" i="6"/>
  <c r="G480" i="6"/>
  <c r="H480" i="6"/>
  <c r="K480" i="6"/>
  <c r="F480" i="6"/>
  <c r="J480" i="6"/>
  <c r="G478" i="6"/>
  <c r="H478" i="6"/>
  <c r="F478" i="6"/>
  <c r="J478" i="6"/>
  <c r="K478" i="6"/>
  <c r="J476" i="6"/>
  <c r="F476" i="6"/>
  <c r="K476" i="6"/>
  <c r="H476" i="6"/>
  <c r="G476" i="6"/>
  <c r="J474" i="6"/>
  <c r="F474" i="6"/>
  <c r="K474" i="6"/>
  <c r="G474" i="6"/>
  <c r="H474" i="6"/>
  <c r="G472" i="6"/>
  <c r="H472" i="6"/>
  <c r="F472" i="6"/>
  <c r="J472" i="6"/>
  <c r="K472" i="6"/>
  <c r="G470" i="6"/>
  <c r="H470" i="6"/>
  <c r="K470" i="6"/>
  <c r="F470" i="6"/>
  <c r="J470" i="6"/>
  <c r="J468" i="6"/>
  <c r="F468" i="6"/>
  <c r="K468" i="6"/>
  <c r="G468" i="6"/>
  <c r="H468" i="6"/>
  <c r="J466" i="6"/>
  <c r="F466" i="6"/>
  <c r="K466" i="6"/>
  <c r="H466" i="6"/>
  <c r="G466" i="6"/>
  <c r="G464" i="6"/>
  <c r="H464" i="6"/>
  <c r="K464" i="6"/>
  <c r="F464" i="6"/>
  <c r="J464" i="6"/>
  <c r="G462" i="6"/>
  <c r="H462" i="6"/>
  <c r="F462" i="6"/>
  <c r="J462" i="6"/>
  <c r="K462" i="6"/>
  <c r="J460" i="6"/>
  <c r="F460" i="6"/>
  <c r="K460" i="6"/>
  <c r="H460" i="6"/>
  <c r="G460" i="6"/>
  <c r="J458" i="6"/>
  <c r="F458" i="6"/>
  <c r="K458" i="6"/>
  <c r="G458" i="6"/>
  <c r="H458" i="6"/>
  <c r="G456" i="6"/>
  <c r="H456" i="6"/>
  <c r="F456" i="6"/>
  <c r="J456" i="6"/>
  <c r="K456" i="6"/>
  <c r="F452" i="6"/>
  <c r="K452" i="6"/>
  <c r="G452" i="6"/>
  <c r="H452" i="6"/>
  <c r="J452" i="6"/>
  <c r="H448" i="6"/>
  <c r="J448" i="6"/>
  <c r="F448" i="6"/>
  <c r="G448" i="6"/>
  <c r="K448" i="6"/>
  <c r="F444" i="6"/>
  <c r="K444" i="6"/>
  <c r="G444" i="6"/>
  <c r="J444" i="6"/>
  <c r="H444" i="6"/>
  <c r="H440" i="6"/>
  <c r="J440" i="6"/>
  <c r="G440" i="6"/>
  <c r="K440" i="6"/>
  <c r="F440" i="6"/>
  <c r="G438" i="6"/>
  <c r="K438" i="6"/>
  <c r="H438" i="6"/>
  <c r="J438" i="6"/>
  <c r="F438" i="6"/>
  <c r="F436" i="6"/>
  <c r="K436" i="6"/>
  <c r="G436" i="6"/>
  <c r="H436" i="6"/>
  <c r="J436" i="6"/>
  <c r="F434" i="6"/>
  <c r="J434" i="6"/>
  <c r="H434" i="6"/>
  <c r="K434" i="6"/>
  <c r="G434" i="6"/>
  <c r="AD488" i="36"/>
  <c r="AD484" i="36"/>
  <c r="AD480" i="36"/>
  <c r="AD476" i="36"/>
  <c r="AD472" i="36"/>
  <c r="AD468" i="36"/>
  <c r="AD462" i="36"/>
  <c r="AD458" i="36"/>
  <c r="AD454" i="36"/>
  <c r="AD450" i="36"/>
  <c r="AD448" i="36"/>
  <c r="AD442" i="36"/>
  <c r="AD440" i="36"/>
  <c r="AD436" i="36"/>
  <c r="AD434" i="36"/>
  <c r="F487" i="6"/>
  <c r="J487" i="6"/>
  <c r="G487" i="6"/>
  <c r="H487" i="6"/>
  <c r="K487" i="6"/>
  <c r="H485" i="6"/>
  <c r="J485" i="6"/>
  <c r="G485" i="6"/>
  <c r="K485" i="6"/>
  <c r="F485" i="6"/>
  <c r="G483" i="6"/>
  <c r="K483" i="6"/>
  <c r="H483" i="6"/>
  <c r="J483" i="6"/>
  <c r="F483" i="6"/>
  <c r="F481" i="6"/>
  <c r="K481" i="6"/>
  <c r="G481" i="6"/>
  <c r="H481" i="6"/>
  <c r="J481" i="6"/>
  <c r="F479" i="6"/>
  <c r="J479" i="6"/>
  <c r="H479" i="6"/>
  <c r="K479" i="6"/>
  <c r="G479" i="6"/>
  <c r="H477" i="6"/>
  <c r="J477" i="6"/>
  <c r="F477" i="6"/>
  <c r="G477" i="6"/>
  <c r="K477" i="6"/>
  <c r="G475" i="6"/>
  <c r="K475" i="6"/>
  <c r="H475" i="6"/>
  <c r="F475" i="6"/>
  <c r="J475" i="6"/>
  <c r="F473" i="6"/>
  <c r="K473" i="6"/>
  <c r="G473" i="6"/>
  <c r="J473" i="6"/>
  <c r="H473" i="6"/>
  <c r="F471" i="6"/>
  <c r="J471" i="6"/>
  <c r="G471" i="6"/>
  <c r="H471" i="6"/>
  <c r="K471" i="6"/>
  <c r="H469" i="6"/>
  <c r="J469" i="6"/>
  <c r="G469" i="6"/>
  <c r="K469" i="6"/>
  <c r="F469" i="6"/>
  <c r="G467" i="6"/>
  <c r="K467" i="6"/>
  <c r="H467" i="6"/>
  <c r="J467" i="6"/>
  <c r="F467" i="6"/>
  <c r="F465" i="6"/>
  <c r="K465" i="6"/>
  <c r="G465" i="6"/>
  <c r="H465" i="6"/>
  <c r="J465" i="6"/>
  <c r="F463" i="6"/>
  <c r="J463" i="6"/>
  <c r="H463" i="6"/>
  <c r="K463" i="6"/>
  <c r="G463" i="6"/>
  <c r="H461" i="6"/>
  <c r="J461" i="6"/>
  <c r="F461" i="6"/>
  <c r="G461" i="6"/>
  <c r="K461" i="6"/>
  <c r="G459" i="6"/>
  <c r="K459" i="6"/>
  <c r="H459" i="6"/>
  <c r="F459" i="6"/>
  <c r="J459" i="6"/>
  <c r="F457" i="6"/>
  <c r="K457" i="6"/>
  <c r="G457" i="6"/>
  <c r="J457" i="6"/>
  <c r="H457" i="6"/>
  <c r="F455" i="6"/>
  <c r="J455" i="6"/>
  <c r="G455" i="6"/>
  <c r="H455" i="6"/>
  <c r="K455" i="6"/>
  <c r="J453" i="6"/>
  <c r="F453" i="6"/>
  <c r="K453" i="6"/>
  <c r="H453" i="6"/>
  <c r="G453" i="6"/>
  <c r="G451" i="6"/>
  <c r="H451" i="6"/>
  <c r="K451" i="6"/>
  <c r="F451" i="6"/>
  <c r="J451" i="6"/>
  <c r="G449" i="6"/>
  <c r="H449" i="6"/>
  <c r="F449" i="6"/>
  <c r="J449" i="6"/>
  <c r="K449" i="6"/>
  <c r="J447" i="6"/>
  <c r="F447" i="6"/>
  <c r="K447" i="6"/>
  <c r="H447" i="6"/>
  <c r="G447" i="6"/>
  <c r="J445" i="6"/>
  <c r="F445" i="6"/>
  <c r="K445" i="6"/>
  <c r="G445" i="6"/>
  <c r="H445" i="6"/>
  <c r="G443" i="6"/>
  <c r="H443" i="6"/>
  <c r="F443" i="6"/>
  <c r="J443" i="6"/>
  <c r="K443" i="6"/>
  <c r="G441" i="6"/>
  <c r="H441" i="6"/>
  <c r="K441" i="6"/>
  <c r="F441" i="6"/>
  <c r="J441" i="6"/>
  <c r="J439" i="6"/>
  <c r="F439" i="6"/>
  <c r="K439" i="6"/>
  <c r="G439" i="6"/>
  <c r="H439" i="6"/>
  <c r="J437" i="6"/>
  <c r="F437" i="6"/>
  <c r="K437" i="6"/>
  <c r="H437" i="6"/>
  <c r="G437" i="6"/>
  <c r="G435" i="6"/>
  <c r="H435" i="6"/>
  <c r="K435" i="6"/>
  <c r="F435" i="6"/>
  <c r="J435" i="6"/>
  <c r="AD487" i="36"/>
  <c r="AD485" i="36"/>
  <c r="AD483" i="36"/>
  <c r="AD481" i="36"/>
  <c r="AD479" i="36"/>
  <c r="AD477" i="36"/>
  <c r="AD475" i="36"/>
  <c r="AD473" i="36"/>
  <c r="AD471" i="36"/>
  <c r="AD469" i="36"/>
  <c r="AD467" i="36"/>
  <c r="AD465" i="36"/>
  <c r="AD463" i="36"/>
  <c r="AD461" i="36"/>
  <c r="AD459" i="36"/>
  <c r="AD457" i="36"/>
  <c r="AD455" i="36"/>
  <c r="AD453" i="36"/>
  <c r="AD451" i="36"/>
  <c r="AD449" i="36"/>
  <c r="AD447" i="36"/>
  <c r="AD445" i="36"/>
  <c r="AD443" i="36"/>
  <c r="AD441" i="36"/>
  <c r="AD439" i="36"/>
  <c r="AD437" i="36"/>
  <c r="AD435" i="36"/>
  <c r="AD464" i="36"/>
  <c r="D434" i="36"/>
  <c r="D471" i="36"/>
  <c r="D483" i="36"/>
  <c r="S465" i="36"/>
  <c r="J465" i="36" s="1"/>
  <c r="S487" i="36"/>
  <c r="J487" i="36" s="1"/>
  <c r="S475" i="36"/>
  <c r="AI475" i="36" s="1"/>
  <c r="S471" i="36"/>
  <c r="J471" i="36" s="1"/>
  <c r="D466" i="36"/>
  <c r="F455" i="8"/>
  <c r="I437" i="8"/>
  <c r="I467" i="8"/>
  <c r="K449" i="8"/>
  <c r="S449" i="36"/>
  <c r="J449" i="36" s="1"/>
  <c r="S445" i="36"/>
  <c r="J445" i="36" s="1"/>
  <c r="I470" i="8"/>
  <c r="G455" i="9"/>
  <c r="I478" i="8"/>
  <c r="I463" i="8"/>
  <c r="I445" i="8"/>
  <c r="K480" i="9"/>
  <c r="G474" i="8"/>
  <c r="F459" i="8"/>
  <c r="I441" i="8"/>
  <c r="K472" i="9"/>
  <c r="S476" i="36"/>
  <c r="J476" i="36" s="1"/>
  <c r="S462" i="36"/>
  <c r="S446" i="36"/>
  <c r="M446" i="36" s="1"/>
  <c r="H473" i="36"/>
  <c r="D473" i="36"/>
  <c r="D454" i="36"/>
  <c r="D450" i="36"/>
  <c r="H464" i="36"/>
  <c r="D464" i="36"/>
  <c r="H438" i="36"/>
  <c r="D438" i="36"/>
  <c r="D468" i="36"/>
  <c r="D446" i="36"/>
  <c r="E486" i="8"/>
  <c r="E478" i="8"/>
  <c r="E474" i="8"/>
  <c r="E470" i="8"/>
  <c r="E467" i="8"/>
  <c r="E463" i="8"/>
  <c r="K457" i="8"/>
  <c r="I453" i="8"/>
  <c r="G449" i="8"/>
  <c r="F445" i="8"/>
  <c r="E441" i="8"/>
  <c r="E437" i="8"/>
  <c r="F486" i="9"/>
  <c r="S480" i="36"/>
  <c r="J480" i="36" s="1"/>
  <c r="S461" i="36"/>
  <c r="J461" i="36" s="1"/>
  <c r="F484" i="8"/>
  <c r="G476" i="8"/>
  <c r="I472" i="8"/>
  <c r="G465" i="8"/>
  <c r="G461" i="8"/>
  <c r="G457" i="8"/>
  <c r="E453" i="8"/>
  <c r="K447" i="8"/>
  <c r="I443" i="8"/>
  <c r="I439" i="8"/>
  <c r="G435" i="8"/>
  <c r="K484" i="9"/>
  <c r="I476" i="9"/>
  <c r="E449" i="9"/>
  <c r="I482" i="8"/>
  <c r="E476" i="8"/>
  <c r="E472" i="8"/>
  <c r="E465" i="8"/>
  <c r="K459" i="8"/>
  <c r="I455" i="8"/>
  <c r="G451" i="8"/>
  <c r="F447" i="8"/>
  <c r="E443" i="8"/>
  <c r="E439" i="8"/>
  <c r="I474" i="9"/>
  <c r="K457" i="9"/>
  <c r="F447" i="9"/>
  <c r="S477" i="36"/>
  <c r="S460" i="36"/>
  <c r="M460" i="36" s="1"/>
  <c r="S456" i="36"/>
  <c r="J456" i="36" s="1"/>
  <c r="S444" i="36"/>
  <c r="J444" i="36" s="1"/>
  <c r="S440" i="36"/>
  <c r="J440" i="36" s="1"/>
  <c r="D462" i="36"/>
  <c r="D442" i="36"/>
  <c r="F486" i="8"/>
  <c r="K482" i="8"/>
  <c r="G478" i="8"/>
  <c r="F476" i="8"/>
  <c r="F474" i="8"/>
  <c r="G472" i="8"/>
  <c r="F470" i="8"/>
  <c r="G467" i="8"/>
  <c r="F465" i="8"/>
  <c r="F463" i="8"/>
  <c r="F461" i="8"/>
  <c r="E459" i="8"/>
  <c r="E457" i="8"/>
  <c r="K453" i="8"/>
  <c r="I451" i="8"/>
  <c r="I449" i="8"/>
  <c r="G447" i="8"/>
  <c r="G445" i="8"/>
  <c r="F443" i="8"/>
  <c r="F441" i="8"/>
  <c r="G439" i="8"/>
  <c r="G437" i="8"/>
  <c r="F435" i="8"/>
  <c r="S481" i="36"/>
  <c r="S474" i="36"/>
  <c r="S472" i="36"/>
  <c r="J472" i="36" s="1"/>
  <c r="S470" i="36"/>
  <c r="J470" i="36" s="1"/>
  <c r="S450" i="36"/>
  <c r="S443" i="36"/>
  <c r="J443" i="36" s="1"/>
  <c r="S441" i="36"/>
  <c r="J441" i="36" s="1"/>
  <c r="S439" i="36"/>
  <c r="J439" i="36" s="1"/>
  <c r="I484" i="8"/>
  <c r="F480" i="8"/>
  <c r="K476" i="8"/>
  <c r="K474" i="8"/>
  <c r="K472" i="8"/>
  <c r="K470" i="8"/>
  <c r="K467" i="8"/>
  <c r="K465" i="8"/>
  <c r="K463" i="8"/>
  <c r="I461" i="8"/>
  <c r="G459" i="8"/>
  <c r="I457" i="8"/>
  <c r="G455" i="8"/>
  <c r="G453" i="8"/>
  <c r="F451" i="8"/>
  <c r="E449" i="8"/>
  <c r="E447" i="8"/>
  <c r="K443" i="8"/>
  <c r="K441" i="8"/>
  <c r="K439" i="8"/>
  <c r="K437" i="8"/>
  <c r="I435" i="8"/>
  <c r="S488" i="36"/>
  <c r="J488" i="36" s="1"/>
  <c r="S486" i="36"/>
  <c r="M486" i="36" s="1"/>
  <c r="S466" i="36"/>
  <c r="S459" i="36"/>
  <c r="M459" i="36" s="1"/>
  <c r="S457" i="36"/>
  <c r="J457" i="36" s="1"/>
  <c r="S455" i="36"/>
  <c r="S434" i="36"/>
  <c r="D488" i="36"/>
  <c r="H488" i="36"/>
  <c r="D480" i="36"/>
  <c r="H480" i="36"/>
  <c r="D472" i="36"/>
  <c r="H472" i="36"/>
  <c r="D449" i="36"/>
  <c r="H449" i="36"/>
  <c r="D441" i="36"/>
  <c r="H441" i="36"/>
  <c r="D486" i="4"/>
  <c r="F486" i="4"/>
  <c r="D482" i="4"/>
  <c r="E482" i="4"/>
  <c r="D478" i="4"/>
  <c r="F478" i="4"/>
  <c r="D474" i="4"/>
  <c r="E474" i="4"/>
  <c r="D470" i="4"/>
  <c r="F470" i="4"/>
  <c r="E470" i="4"/>
  <c r="D467" i="4"/>
  <c r="E467" i="4"/>
  <c r="F467" i="4"/>
  <c r="D463" i="4"/>
  <c r="F463" i="4"/>
  <c r="D459" i="4"/>
  <c r="E459" i="4"/>
  <c r="D455" i="4"/>
  <c r="F455" i="4"/>
  <c r="E455" i="4"/>
  <c r="D451" i="4"/>
  <c r="E451" i="4"/>
  <c r="F451" i="4"/>
  <c r="D447" i="4"/>
  <c r="F447" i="4"/>
  <c r="D443" i="4"/>
  <c r="E443" i="4"/>
  <c r="D439" i="4"/>
  <c r="F439" i="4"/>
  <c r="E439" i="4"/>
  <c r="D435" i="4"/>
  <c r="E435" i="4"/>
  <c r="F435" i="4"/>
  <c r="D480" i="4"/>
  <c r="F459" i="4"/>
  <c r="F483" i="4"/>
  <c r="E478" i="4"/>
  <c r="F443" i="4"/>
  <c r="D484" i="36"/>
  <c r="H484" i="36"/>
  <c r="D476" i="36"/>
  <c r="H476" i="36"/>
  <c r="D469" i="36"/>
  <c r="H469" i="36"/>
  <c r="D465" i="36"/>
  <c r="H465" i="36"/>
  <c r="D461" i="36"/>
  <c r="H461" i="36"/>
  <c r="D457" i="36"/>
  <c r="H457" i="36"/>
  <c r="D453" i="36"/>
  <c r="H453" i="36"/>
  <c r="D445" i="36"/>
  <c r="H445" i="36"/>
  <c r="D437" i="36"/>
  <c r="H437" i="36"/>
  <c r="F484" i="4"/>
  <c r="D484" i="4"/>
  <c r="E484" i="4"/>
  <c r="F480" i="4"/>
  <c r="E480" i="4"/>
  <c r="F476" i="4"/>
  <c r="D476" i="4"/>
  <c r="F472" i="4"/>
  <c r="E472" i="4"/>
  <c r="D472" i="4"/>
  <c r="F465" i="4"/>
  <c r="E465" i="4"/>
  <c r="F461" i="4"/>
  <c r="D461" i="4"/>
  <c r="F457" i="4"/>
  <c r="E457" i="4"/>
  <c r="D457" i="4"/>
  <c r="F453" i="4"/>
  <c r="D453" i="4"/>
  <c r="E453" i="4"/>
  <c r="F449" i="4"/>
  <c r="E449" i="4"/>
  <c r="F445" i="4"/>
  <c r="D445" i="4"/>
  <c r="F441" i="4"/>
  <c r="E441" i="4"/>
  <c r="D441" i="4"/>
  <c r="F437" i="4"/>
  <c r="D437" i="4"/>
  <c r="E437" i="4"/>
  <c r="F433" i="4"/>
  <c r="E433" i="4"/>
  <c r="D433" i="4"/>
  <c r="D486" i="36"/>
  <c r="H486" i="36"/>
  <c r="D482" i="36"/>
  <c r="H482" i="36"/>
  <c r="D478" i="36"/>
  <c r="H478" i="36"/>
  <c r="D474" i="36"/>
  <c r="H474" i="36"/>
  <c r="D470" i="36"/>
  <c r="H470" i="36"/>
  <c r="D467" i="36"/>
  <c r="H467" i="36"/>
  <c r="D463" i="36"/>
  <c r="H463" i="36"/>
  <c r="D459" i="36"/>
  <c r="H459" i="36"/>
  <c r="D455" i="36"/>
  <c r="H455" i="36"/>
  <c r="D451" i="36"/>
  <c r="H451" i="36"/>
  <c r="D447" i="36"/>
  <c r="H447" i="36"/>
  <c r="D443" i="36"/>
  <c r="H443" i="36"/>
  <c r="D439" i="36"/>
  <c r="H439" i="36"/>
  <c r="D435" i="36"/>
  <c r="H435" i="36"/>
  <c r="E487" i="4"/>
  <c r="F487" i="4"/>
  <c r="F485" i="4"/>
  <c r="E485" i="4"/>
  <c r="E483" i="4"/>
  <c r="D483" i="4"/>
  <c r="F481" i="4"/>
  <c r="D481" i="4"/>
  <c r="E479" i="4"/>
  <c r="F479" i="4"/>
  <c r="D479" i="4"/>
  <c r="D477" i="4"/>
  <c r="F477" i="4"/>
  <c r="E477" i="4"/>
  <c r="E475" i="4"/>
  <c r="D475" i="4"/>
  <c r="F475" i="4"/>
  <c r="E473" i="4"/>
  <c r="F473" i="4"/>
  <c r="E471" i="4"/>
  <c r="F471" i="4"/>
  <c r="F469" i="4"/>
  <c r="D469" i="4"/>
  <c r="E468" i="4"/>
  <c r="D468" i="4"/>
  <c r="E466" i="4"/>
  <c r="D466" i="4"/>
  <c r="E464" i="4"/>
  <c r="F464" i="4"/>
  <c r="D464" i="4"/>
  <c r="D462" i="4"/>
  <c r="F462" i="4"/>
  <c r="E462" i="4"/>
  <c r="E460" i="4"/>
  <c r="D460" i="4"/>
  <c r="F460" i="4"/>
  <c r="E458" i="4"/>
  <c r="F458" i="4"/>
  <c r="E456" i="4"/>
  <c r="F456" i="4"/>
  <c r="F454" i="4"/>
  <c r="D454" i="4"/>
  <c r="E452" i="4"/>
  <c r="D452" i="4"/>
  <c r="E450" i="4"/>
  <c r="D450" i="4"/>
  <c r="E448" i="4"/>
  <c r="F448" i="4"/>
  <c r="D448" i="4"/>
  <c r="D446" i="4"/>
  <c r="F446" i="4"/>
  <c r="E446" i="4"/>
  <c r="E444" i="4"/>
  <c r="D444" i="4"/>
  <c r="F444" i="4"/>
  <c r="E442" i="4"/>
  <c r="F442" i="4"/>
  <c r="E440" i="4"/>
  <c r="F440" i="4"/>
  <c r="D440" i="4"/>
  <c r="F438" i="4"/>
  <c r="D438" i="4"/>
  <c r="E436" i="4"/>
  <c r="D436" i="4"/>
  <c r="F436" i="4"/>
  <c r="E434" i="4"/>
  <c r="D434" i="4"/>
  <c r="D487" i="4"/>
  <c r="F482" i="4"/>
  <c r="E476" i="4"/>
  <c r="E469" i="4"/>
  <c r="E463" i="4"/>
  <c r="D456" i="4"/>
  <c r="D449" i="4"/>
  <c r="D442" i="4"/>
  <c r="E486" i="4"/>
  <c r="E481" i="4"/>
  <c r="F474" i="4"/>
  <c r="F468" i="4"/>
  <c r="E461" i="4"/>
  <c r="E454" i="4"/>
  <c r="E447" i="4"/>
  <c r="E438" i="4"/>
  <c r="D475" i="36"/>
  <c r="D485" i="36"/>
  <c r="H485" i="36"/>
  <c r="D481" i="36"/>
  <c r="H481" i="36"/>
  <c r="D477" i="36"/>
  <c r="H477" i="36"/>
  <c r="D458" i="36"/>
  <c r="H458" i="36"/>
  <c r="D487" i="36"/>
  <c r="H487" i="36"/>
  <c r="D479" i="36"/>
  <c r="H479" i="36"/>
  <c r="D460" i="36"/>
  <c r="H460" i="36"/>
  <c r="D456" i="36"/>
  <c r="H456" i="36"/>
  <c r="D452" i="36"/>
  <c r="H452" i="36"/>
  <c r="D448" i="36"/>
  <c r="H448" i="36"/>
  <c r="D444" i="36"/>
  <c r="H444" i="36"/>
  <c r="D440" i="36"/>
  <c r="H440" i="36"/>
  <c r="D436" i="36"/>
  <c r="H436" i="36"/>
  <c r="E487" i="8"/>
  <c r="I487" i="8"/>
  <c r="G487" i="8"/>
  <c r="K487" i="8"/>
  <c r="E485" i="8"/>
  <c r="K485" i="8"/>
  <c r="F485" i="8"/>
  <c r="G485" i="8"/>
  <c r="I485" i="8"/>
  <c r="I483" i="8"/>
  <c r="G483" i="8"/>
  <c r="K483" i="8"/>
  <c r="E483" i="8"/>
  <c r="I481" i="8"/>
  <c r="E481" i="8"/>
  <c r="K481" i="8"/>
  <c r="F481" i="8"/>
  <c r="G479" i="8"/>
  <c r="I479" i="8"/>
  <c r="E479" i="8"/>
  <c r="F479" i="8"/>
  <c r="G477" i="8"/>
  <c r="E477" i="8"/>
  <c r="F477" i="8"/>
  <c r="I477" i="8"/>
  <c r="K477" i="8"/>
  <c r="G475" i="8"/>
  <c r="E475" i="8"/>
  <c r="F475" i="8"/>
  <c r="I475" i="8"/>
  <c r="E473" i="8"/>
  <c r="K473" i="8"/>
  <c r="G473" i="8"/>
  <c r="I473" i="8"/>
  <c r="F471" i="8"/>
  <c r="K471" i="8"/>
  <c r="G471" i="8"/>
  <c r="I471" i="8"/>
  <c r="I469" i="8"/>
  <c r="G469" i="8"/>
  <c r="K469" i="8"/>
  <c r="E469" i="8"/>
  <c r="E468" i="8"/>
  <c r="I468" i="8"/>
  <c r="F468" i="8"/>
  <c r="G468" i="8"/>
  <c r="K468" i="8"/>
  <c r="F466" i="8"/>
  <c r="K466" i="8"/>
  <c r="I466" i="8"/>
  <c r="E466" i="8"/>
  <c r="E464" i="8"/>
  <c r="K464" i="8"/>
  <c r="G464" i="8"/>
  <c r="F464" i="8"/>
  <c r="G462" i="8"/>
  <c r="E462" i="8"/>
  <c r="K462" i="8"/>
  <c r="F462" i="8"/>
  <c r="F487" i="8"/>
  <c r="F483" i="8"/>
  <c r="E471" i="8"/>
  <c r="G466" i="8"/>
  <c r="I462" i="8"/>
  <c r="G481" i="8"/>
  <c r="F473" i="8"/>
  <c r="F469" i="8"/>
  <c r="K479" i="8"/>
  <c r="K475" i="8"/>
  <c r="I464" i="8"/>
  <c r="F460" i="8"/>
  <c r="G460" i="8"/>
  <c r="I460" i="8"/>
  <c r="K460" i="8"/>
  <c r="F458" i="8"/>
  <c r="E458" i="8"/>
  <c r="G458" i="8"/>
  <c r="G456" i="8"/>
  <c r="F456" i="8"/>
  <c r="I456" i="8"/>
  <c r="K456" i="8"/>
  <c r="E454" i="8"/>
  <c r="I454" i="8"/>
  <c r="G454" i="8"/>
  <c r="F454" i="8"/>
  <c r="G452" i="8"/>
  <c r="F452" i="8"/>
  <c r="I452" i="8"/>
  <c r="K452" i="8"/>
  <c r="E450" i="8"/>
  <c r="I450" i="8"/>
  <c r="G450" i="8"/>
  <c r="F450" i="8"/>
  <c r="G448" i="8"/>
  <c r="F448" i="8"/>
  <c r="I448" i="8"/>
  <c r="K448" i="8"/>
  <c r="E446" i="8"/>
  <c r="K446" i="8"/>
  <c r="F446" i="8"/>
  <c r="F444" i="8"/>
  <c r="E444" i="8"/>
  <c r="G444" i="8"/>
  <c r="I444" i="8"/>
  <c r="F442" i="8"/>
  <c r="K442" i="8"/>
  <c r="E442" i="8"/>
  <c r="G442" i="8"/>
  <c r="I440" i="8"/>
  <c r="G440" i="8"/>
  <c r="K440" i="8"/>
  <c r="E440" i="8"/>
  <c r="F440" i="8"/>
  <c r="E438" i="8"/>
  <c r="I438" i="8"/>
  <c r="F438" i="8"/>
  <c r="G438" i="8"/>
  <c r="K438" i="8"/>
  <c r="G436" i="8"/>
  <c r="E436" i="8"/>
  <c r="F436" i="8"/>
  <c r="I436" i="8"/>
  <c r="I434" i="8"/>
  <c r="E434" i="8"/>
  <c r="K434" i="8"/>
  <c r="G434" i="8"/>
  <c r="E456" i="8"/>
  <c r="K454" i="8"/>
  <c r="E448" i="8"/>
  <c r="I446" i="8"/>
  <c r="I442" i="8"/>
  <c r="K436" i="8"/>
  <c r="E460" i="8"/>
  <c r="K458" i="8"/>
  <c r="G446" i="8"/>
  <c r="F434" i="8"/>
  <c r="I486" i="8"/>
  <c r="G484" i="8"/>
  <c r="F482" i="8"/>
  <c r="E480" i="8"/>
  <c r="K480" i="8"/>
  <c r="G486" i="8"/>
  <c r="K484" i="8"/>
  <c r="E482" i="8"/>
  <c r="G480" i="8"/>
  <c r="I458" i="8"/>
  <c r="E452" i="8"/>
  <c r="K450" i="8"/>
  <c r="K444" i="8"/>
  <c r="F487" i="9"/>
  <c r="I487" i="9"/>
  <c r="K487" i="9"/>
  <c r="E487" i="9"/>
  <c r="G485" i="9"/>
  <c r="F485" i="9"/>
  <c r="I485" i="9"/>
  <c r="K485" i="9"/>
  <c r="F483" i="9"/>
  <c r="I483" i="9"/>
  <c r="K483" i="9"/>
  <c r="E483" i="9"/>
  <c r="G481" i="9"/>
  <c r="F481" i="9"/>
  <c r="I481" i="9"/>
  <c r="K481" i="9"/>
  <c r="E479" i="9"/>
  <c r="K479" i="9"/>
  <c r="I479" i="9"/>
  <c r="F479" i="9"/>
  <c r="F477" i="9"/>
  <c r="G477" i="9"/>
  <c r="I477" i="9"/>
  <c r="K477" i="9"/>
  <c r="I475" i="9"/>
  <c r="G475" i="9"/>
  <c r="F475" i="9"/>
  <c r="K475" i="9"/>
  <c r="E473" i="9"/>
  <c r="K473" i="9"/>
  <c r="F473" i="9"/>
  <c r="G473" i="9"/>
  <c r="G471" i="9"/>
  <c r="E471" i="9"/>
  <c r="K471" i="9"/>
  <c r="F471" i="9"/>
  <c r="I469" i="9"/>
  <c r="K469" i="9"/>
  <c r="F469" i="9"/>
  <c r="G469" i="9"/>
  <c r="G468" i="9"/>
  <c r="E468" i="9"/>
  <c r="I468" i="9"/>
  <c r="K468" i="9"/>
  <c r="E466" i="9"/>
  <c r="I466" i="9"/>
  <c r="K466" i="9"/>
  <c r="F466" i="9"/>
  <c r="G466" i="9"/>
  <c r="I464" i="9"/>
  <c r="F464" i="9"/>
  <c r="G464" i="9"/>
  <c r="E464" i="9"/>
  <c r="G462" i="9"/>
  <c r="I462" i="9"/>
  <c r="K462" i="9"/>
  <c r="E462" i="9"/>
  <c r="G460" i="9"/>
  <c r="E460" i="9"/>
  <c r="K460" i="9"/>
  <c r="F460" i="9"/>
  <c r="I460" i="9"/>
  <c r="G458" i="9"/>
  <c r="I458" i="9"/>
  <c r="E458" i="9"/>
  <c r="F458" i="9"/>
  <c r="K458" i="9"/>
  <c r="G456" i="9"/>
  <c r="E456" i="9"/>
  <c r="K456" i="9"/>
  <c r="F456" i="9"/>
  <c r="I456" i="9"/>
  <c r="G454" i="9"/>
  <c r="I454" i="9"/>
  <c r="K454" i="9"/>
  <c r="E454" i="9"/>
  <c r="G452" i="9"/>
  <c r="E452" i="9"/>
  <c r="K452" i="9"/>
  <c r="F452" i="9"/>
  <c r="I452" i="9"/>
  <c r="G450" i="9"/>
  <c r="I450" i="9"/>
  <c r="E450" i="9"/>
  <c r="F450" i="9"/>
  <c r="K450" i="9"/>
  <c r="G448" i="9"/>
  <c r="E448" i="9"/>
  <c r="K448" i="9"/>
  <c r="F448" i="9"/>
  <c r="I448" i="9"/>
  <c r="G446" i="9"/>
  <c r="I446" i="9"/>
  <c r="K446" i="9"/>
  <c r="E446" i="9"/>
  <c r="E444" i="9"/>
  <c r="K444" i="9"/>
  <c r="F444" i="9"/>
  <c r="I444" i="9"/>
  <c r="F442" i="9"/>
  <c r="K442" i="9"/>
  <c r="I442" i="9"/>
  <c r="E442" i="9"/>
  <c r="G442" i="9"/>
  <c r="I440" i="9"/>
  <c r="K440" i="9"/>
  <c r="E440" i="9"/>
  <c r="F440" i="9"/>
  <c r="G440" i="9"/>
  <c r="E438" i="9"/>
  <c r="I438" i="9"/>
  <c r="G438" i="9"/>
  <c r="F438" i="9"/>
  <c r="G436" i="9"/>
  <c r="F436" i="9"/>
  <c r="I436" i="9"/>
  <c r="E436" i="9"/>
  <c r="E434" i="9"/>
  <c r="K434" i="9"/>
  <c r="F434" i="9"/>
  <c r="G434" i="9"/>
  <c r="E481" i="9"/>
  <c r="G479" i="9"/>
  <c r="I471" i="9"/>
  <c r="F462" i="9"/>
  <c r="G444" i="9"/>
  <c r="K436" i="9"/>
  <c r="E469" i="9"/>
  <c r="K464" i="9"/>
  <c r="K438" i="9"/>
  <c r="S469" i="36"/>
  <c r="J469" i="36" s="1"/>
  <c r="S467" i="36"/>
  <c r="J467" i="36" s="1"/>
  <c r="S458" i="36"/>
  <c r="M458" i="36" s="1"/>
  <c r="S437" i="36"/>
  <c r="AI437" i="36" s="1"/>
  <c r="E486" i="9"/>
  <c r="I486" i="9"/>
  <c r="I484" i="9"/>
  <c r="F482" i="9"/>
  <c r="K482" i="9"/>
  <c r="I480" i="9"/>
  <c r="E478" i="9"/>
  <c r="I478" i="9"/>
  <c r="G476" i="9"/>
  <c r="G474" i="9"/>
  <c r="F472" i="9"/>
  <c r="I472" i="9"/>
  <c r="G470" i="9"/>
  <c r="E470" i="9"/>
  <c r="K470" i="9"/>
  <c r="G467" i="9"/>
  <c r="E467" i="9"/>
  <c r="K467" i="9"/>
  <c r="F467" i="9"/>
  <c r="F465" i="9"/>
  <c r="G465" i="9"/>
  <c r="I465" i="9"/>
  <c r="E463" i="9"/>
  <c r="K463" i="9"/>
  <c r="F463" i="9"/>
  <c r="I461" i="9"/>
  <c r="F461" i="9"/>
  <c r="G461" i="9"/>
  <c r="I459" i="9"/>
  <c r="K459" i="9"/>
  <c r="E459" i="9"/>
  <c r="I457" i="9"/>
  <c r="F457" i="9"/>
  <c r="G457" i="9"/>
  <c r="I455" i="9"/>
  <c r="K455" i="9"/>
  <c r="E455" i="9"/>
  <c r="I453" i="9"/>
  <c r="F453" i="9"/>
  <c r="G453" i="9"/>
  <c r="I451" i="9"/>
  <c r="K451" i="9"/>
  <c r="E451" i="9"/>
  <c r="I449" i="9"/>
  <c r="F449" i="9"/>
  <c r="G449" i="9"/>
  <c r="I447" i="9"/>
  <c r="K447" i="9"/>
  <c r="E447" i="9"/>
  <c r="I445" i="9"/>
  <c r="F445" i="9"/>
  <c r="G445" i="9"/>
  <c r="G443" i="9"/>
  <c r="I443" i="9"/>
  <c r="K443" i="9"/>
  <c r="G441" i="9"/>
  <c r="E441" i="9"/>
  <c r="F441" i="9"/>
  <c r="F439" i="9"/>
  <c r="G439" i="9"/>
  <c r="I439" i="9"/>
  <c r="F437" i="9"/>
  <c r="K437" i="9"/>
  <c r="E437" i="9"/>
  <c r="E435" i="9"/>
  <c r="K435" i="9"/>
  <c r="F435" i="9"/>
  <c r="G435" i="9"/>
  <c r="K486" i="9"/>
  <c r="F484" i="9"/>
  <c r="E482" i="9"/>
  <c r="F480" i="9"/>
  <c r="F478" i="9"/>
  <c r="E476" i="9"/>
  <c r="E474" i="9"/>
  <c r="E472" i="9"/>
  <c r="F470" i="9"/>
  <c r="E465" i="9"/>
  <c r="G463" i="9"/>
  <c r="K461" i="9"/>
  <c r="G459" i="9"/>
  <c r="K453" i="9"/>
  <c r="G451" i="9"/>
  <c r="K445" i="9"/>
  <c r="F443" i="9"/>
  <c r="E439" i="9"/>
  <c r="G437" i="9"/>
  <c r="E484" i="9"/>
  <c r="I482" i="9"/>
  <c r="E480" i="9"/>
  <c r="K478" i="9"/>
  <c r="K476" i="9"/>
  <c r="K474" i="9"/>
  <c r="I467" i="9"/>
  <c r="E461" i="9"/>
  <c r="F459" i="9"/>
  <c r="E453" i="9"/>
  <c r="F451" i="9"/>
  <c r="E445" i="9"/>
  <c r="E443" i="9"/>
  <c r="K441" i="9"/>
  <c r="I435" i="9"/>
  <c r="K478" i="8"/>
  <c r="K461" i="8"/>
  <c r="K455" i="8"/>
  <c r="K451" i="8"/>
  <c r="K445" i="8"/>
  <c r="K435" i="8"/>
  <c r="S484" i="36"/>
  <c r="AI484" i="36" s="1"/>
  <c r="S482" i="36"/>
  <c r="J482" i="36" s="1"/>
  <c r="S473" i="36"/>
  <c r="S453" i="36"/>
  <c r="AI453" i="36" s="1"/>
  <c r="S451" i="36"/>
  <c r="J451" i="36" s="1"/>
  <c r="S442" i="36"/>
  <c r="J442" i="36" s="1"/>
  <c r="S435" i="36"/>
  <c r="J435" i="36" s="1"/>
  <c r="S485" i="36"/>
  <c r="J485" i="36" s="1"/>
  <c r="S483" i="36"/>
  <c r="AI483" i="36" s="1"/>
  <c r="S478" i="36"/>
  <c r="M478" i="36" s="1"/>
  <c r="S468" i="36"/>
  <c r="J468" i="36" s="1"/>
  <c r="S463" i="36"/>
  <c r="AI463" i="36" s="1"/>
  <c r="S454" i="36"/>
  <c r="S452" i="36"/>
  <c r="J452" i="36" s="1"/>
  <c r="S447" i="36"/>
  <c r="J447" i="36" s="1"/>
  <c r="S438" i="36"/>
  <c r="AI438" i="36" s="1"/>
  <c r="S436" i="36"/>
  <c r="J436" i="36" s="1"/>
  <c r="S479" i="36"/>
  <c r="J479" i="36" s="1"/>
  <c r="S464" i="36"/>
  <c r="AI464" i="36" s="1"/>
  <c r="S448" i="36"/>
  <c r="J448" i="36" s="1"/>
  <c r="F32" i="101"/>
  <c r="F316" i="101"/>
  <c r="F304" i="101"/>
  <c r="F293" i="101"/>
  <c r="F281" i="101"/>
  <c r="F269" i="101"/>
  <c r="F315" i="101"/>
  <c r="F311" i="101"/>
  <c r="F307" i="101"/>
  <c r="F303" i="101"/>
  <c r="F299" i="101"/>
  <c r="F296" i="101"/>
  <c r="F292" i="101"/>
  <c r="F288" i="101"/>
  <c r="F284" i="101"/>
  <c r="F280" i="101"/>
  <c r="F276" i="101"/>
  <c r="F272" i="101"/>
  <c r="F268" i="101"/>
  <c r="F264" i="101"/>
  <c r="F312" i="101"/>
  <c r="F300" i="101"/>
  <c r="F289" i="101"/>
  <c r="F277" i="101"/>
  <c r="F265" i="101"/>
  <c r="F308" i="101"/>
  <c r="F297" i="101"/>
  <c r="F285" i="101"/>
  <c r="F273" i="101"/>
  <c r="F4" i="101"/>
  <c r="F313" i="101"/>
  <c r="F309" i="101"/>
  <c r="F305" i="101"/>
  <c r="F301" i="101"/>
  <c r="F290" i="101"/>
  <c r="F286" i="101"/>
  <c r="F282" i="101"/>
  <c r="F278" i="101"/>
  <c r="F274" i="101"/>
  <c r="F270" i="101"/>
  <c r="F266" i="101"/>
  <c r="F262" i="101"/>
  <c r="F314" i="101"/>
  <c r="F310" i="101"/>
  <c r="F306" i="101"/>
  <c r="F302" i="101"/>
  <c r="F298" i="101"/>
  <c r="F295" i="101"/>
  <c r="F291" i="101"/>
  <c r="F287" i="101"/>
  <c r="F283" i="101"/>
  <c r="F279" i="101"/>
  <c r="F275" i="101"/>
  <c r="F271" i="101"/>
  <c r="F267" i="101"/>
  <c r="F263" i="101"/>
  <c r="F21" i="101"/>
  <c r="E2" i="101"/>
  <c r="M445" i="36" l="1"/>
  <c r="M443" i="36"/>
  <c r="M483" i="36"/>
  <c r="M437" i="36"/>
  <c r="M469" i="36"/>
  <c r="M438" i="36"/>
  <c r="M444" i="36"/>
  <c r="M472" i="36"/>
  <c r="M485" i="36"/>
  <c r="M447" i="36"/>
  <c r="M463" i="36"/>
  <c r="M475" i="36"/>
  <c r="M441" i="36"/>
  <c r="M481" i="36"/>
  <c r="P481" i="36" s="1"/>
  <c r="M462" i="36"/>
  <c r="M448" i="36"/>
  <c r="M464" i="36"/>
  <c r="M476" i="36"/>
  <c r="M453" i="36"/>
  <c r="M442" i="36"/>
  <c r="M482" i="36"/>
  <c r="P459" i="36"/>
  <c r="AJ459" i="36" s="1"/>
  <c r="P446" i="36"/>
  <c r="AK446" i="36" s="1"/>
  <c r="M474" i="36"/>
  <c r="P474" i="36" s="1"/>
  <c r="P458" i="36"/>
  <c r="AJ458" i="36" s="1"/>
  <c r="P478" i="36"/>
  <c r="AJ478" i="36" s="1"/>
  <c r="P486" i="36"/>
  <c r="AJ486" i="36" s="1"/>
  <c r="P460" i="36"/>
  <c r="AJ460" i="36" s="1"/>
  <c r="M435" i="36"/>
  <c r="M451" i="36"/>
  <c r="M467" i="36"/>
  <c r="M487" i="36"/>
  <c r="M449" i="36"/>
  <c r="M434" i="36"/>
  <c r="P434" i="36" s="1"/>
  <c r="M436" i="36"/>
  <c r="M452" i="36"/>
  <c r="M468" i="36"/>
  <c r="M480" i="36"/>
  <c r="M465" i="36"/>
  <c r="M466" i="36"/>
  <c r="M457" i="36"/>
  <c r="M439" i="36"/>
  <c r="M455" i="36"/>
  <c r="P455" i="36" s="1"/>
  <c r="AK455" i="36" s="1"/>
  <c r="M471" i="36"/>
  <c r="M479" i="36"/>
  <c r="M488" i="36"/>
  <c r="M461" i="36"/>
  <c r="M454" i="36"/>
  <c r="P454" i="36" s="1"/>
  <c r="M470" i="36"/>
  <c r="M440" i="36"/>
  <c r="M456" i="36"/>
  <c r="M484" i="36"/>
  <c r="M473" i="36"/>
  <c r="P473" i="36" s="1"/>
  <c r="M450" i="36"/>
  <c r="P450" i="36" s="1"/>
  <c r="M477" i="36"/>
  <c r="L455" i="6"/>
  <c r="L471" i="6"/>
  <c r="I464" i="6"/>
  <c r="H457" i="8"/>
  <c r="L440" i="6"/>
  <c r="L456" i="6"/>
  <c r="L472" i="6"/>
  <c r="I443" i="6"/>
  <c r="I456" i="6"/>
  <c r="L460" i="6"/>
  <c r="L468" i="6"/>
  <c r="I472" i="6"/>
  <c r="L477" i="6"/>
  <c r="L446" i="6"/>
  <c r="L435" i="6"/>
  <c r="L449" i="6"/>
  <c r="I467" i="6"/>
  <c r="I446" i="6"/>
  <c r="I435" i="6"/>
  <c r="I451" i="6"/>
  <c r="I459" i="6"/>
  <c r="I475" i="6"/>
  <c r="L483" i="6"/>
  <c r="L438" i="6"/>
  <c r="L480" i="6"/>
  <c r="I486" i="6"/>
  <c r="AI445" i="36"/>
  <c r="AI465" i="36"/>
  <c r="L443" i="6"/>
  <c r="L487" i="6"/>
  <c r="AI470" i="36"/>
  <c r="AI481" i="36"/>
  <c r="L447" i="6"/>
  <c r="L434" i="6"/>
  <c r="L444" i="6"/>
  <c r="L462" i="6"/>
  <c r="I470" i="6"/>
  <c r="L478" i="6"/>
  <c r="I485" i="6"/>
  <c r="I460" i="6"/>
  <c r="I468" i="6"/>
  <c r="I476" i="6"/>
  <c r="I480" i="6"/>
  <c r="AI456" i="36"/>
  <c r="AI486" i="36"/>
  <c r="I450" i="6"/>
  <c r="AI457" i="36"/>
  <c r="AI450" i="36"/>
  <c r="AI446" i="36"/>
  <c r="AI478" i="36"/>
  <c r="AK459" i="36"/>
  <c r="L436" i="6"/>
  <c r="I452" i="6"/>
  <c r="AI441" i="36"/>
  <c r="AI449" i="36"/>
  <c r="AI461" i="36"/>
  <c r="AI469" i="36"/>
  <c r="AI473" i="36"/>
  <c r="AI477" i="36"/>
  <c r="AI485" i="36"/>
  <c r="I439" i="6"/>
  <c r="I445" i="6"/>
  <c r="I455" i="6"/>
  <c r="L457" i="6"/>
  <c r="L461" i="6"/>
  <c r="I463" i="6"/>
  <c r="I465" i="6"/>
  <c r="I473" i="6"/>
  <c r="I479" i="6"/>
  <c r="I481" i="6"/>
  <c r="I487" i="6"/>
  <c r="AI436" i="36"/>
  <c r="AI442" i="36"/>
  <c r="AI458" i="36"/>
  <c r="AI468" i="36"/>
  <c r="AI476" i="36"/>
  <c r="I436" i="6"/>
  <c r="I458" i="6"/>
  <c r="I462" i="6"/>
  <c r="I466" i="6"/>
  <c r="I474" i="6"/>
  <c r="I478" i="6"/>
  <c r="I482" i="6"/>
  <c r="I442" i="6"/>
  <c r="I454" i="6"/>
  <c r="I484" i="6"/>
  <c r="L442" i="6"/>
  <c r="AJ446" i="36"/>
  <c r="I437" i="6"/>
  <c r="L437" i="6"/>
  <c r="L439" i="6"/>
  <c r="I441" i="6"/>
  <c r="I449" i="6"/>
  <c r="I453" i="6"/>
  <c r="L453" i="6"/>
  <c r="I457" i="6"/>
  <c r="L459" i="6"/>
  <c r="I461" i="6"/>
  <c r="L463" i="6"/>
  <c r="L469" i="6"/>
  <c r="I471" i="6"/>
  <c r="L475" i="6"/>
  <c r="I477" i="6"/>
  <c r="L479" i="6"/>
  <c r="I434" i="6"/>
  <c r="I440" i="6"/>
  <c r="I444" i="6"/>
  <c r="L458" i="6"/>
  <c r="L464" i="6"/>
  <c r="L474" i="6"/>
  <c r="L476" i="6"/>
  <c r="L482" i="6"/>
  <c r="L484" i="6"/>
  <c r="AI444" i="36"/>
  <c r="AI452" i="36"/>
  <c r="AI460" i="36"/>
  <c r="AI466" i="36"/>
  <c r="AI474" i="36"/>
  <c r="AI482" i="36"/>
  <c r="L454" i="6"/>
  <c r="I447" i="6"/>
  <c r="L448" i="6"/>
  <c r="J475" i="36"/>
  <c r="AI435" i="36"/>
  <c r="AI439" i="36"/>
  <c r="AI443" i="36"/>
  <c r="AI447" i="36"/>
  <c r="AI451" i="36"/>
  <c r="AI455" i="36"/>
  <c r="AI459" i="36"/>
  <c r="AI467" i="36"/>
  <c r="AI471" i="36"/>
  <c r="AI479" i="36"/>
  <c r="AI487" i="36"/>
  <c r="L441" i="6"/>
  <c r="L445" i="6"/>
  <c r="L451" i="6"/>
  <c r="L465" i="6"/>
  <c r="L467" i="6"/>
  <c r="I469" i="6"/>
  <c r="L473" i="6"/>
  <c r="L481" i="6"/>
  <c r="I483" i="6"/>
  <c r="L485" i="6"/>
  <c r="AI434" i="36"/>
  <c r="AI440" i="36"/>
  <c r="AI448" i="36"/>
  <c r="AI454" i="36"/>
  <c r="AI462" i="36"/>
  <c r="AI472" i="36"/>
  <c r="AI480" i="36"/>
  <c r="AI488" i="36"/>
  <c r="I438" i="6"/>
  <c r="I448" i="6"/>
  <c r="L452" i="6"/>
  <c r="L466" i="6"/>
  <c r="L470" i="6"/>
  <c r="L486" i="6"/>
  <c r="L450" i="6"/>
  <c r="H474" i="8"/>
  <c r="H455" i="9"/>
  <c r="J462" i="36"/>
  <c r="AH462" i="36" s="1"/>
  <c r="J477" i="36"/>
  <c r="J450" i="36"/>
  <c r="J446" i="36"/>
  <c r="AH446" i="36" s="1"/>
  <c r="J460" i="36"/>
  <c r="AH460" i="36" s="1"/>
  <c r="J481" i="36"/>
  <c r="J459" i="36"/>
  <c r="AH459" i="36" s="1"/>
  <c r="H484" i="8"/>
  <c r="H437" i="8"/>
  <c r="H459" i="8"/>
  <c r="H451" i="8"/>
  <c r="H470" i="8"/>
  <c r="J473" i="36"/>
  <c r="H455" i="8"/>
  <c r="H451" i="9"/>
  <c r="H487" i="9"/>
  <c r="H443" i="8"/>
  <c r="H445" i="8"/>
  <c r="H463" i="8"/>
  <c r="H478" i="8"/>
  <c r="H439" i="8"/>
  <c r="H472" i="8"/>
  <c r="H453" i="8"/>
  <c r="H441" i="8"/>
  <c r="H476" i="9"/>
  <c r="H447" i="9"/>
  <c r="H465" i="8"/>
  <c r="H461" i="9"/>
  <c r="H461" i="8"/>
  <c r="H476" i="8"/>
  <c r="J474" i="36"/>
  <c r="J455" i="36"/>
  <c r="J486" i="36"/>
  <c r="AH486" i="36" s="1"/>
  <c r="J466" i="36"/>
  <c r="H437" i="9"/>
  <c r="J478" i="36"/>
  <c r="AH478" i="36" s="1"/>
  <c r="J434" i="36"/>
  <c r="H435" i="8"/>
  <c r="H447" i="8"/>
  <c r="H449" i="8"/>
  <c r="H467" i="8"/>
  <c r="J454" i="36"/>
  <c r="AH454" i="36" s="1"/>
  <c r="H464" i="8"/>
  <c r="H477" i="8"/>
  <c r="H462" i="9"/>
  <c r="H486" i="8"/>
  <c r="H486" i="9"/>
  <c r="H444" i="9"/>
  <c r="H459" i="9"/>
  <c r="H484" i="9"/>
  <c r="H449" i="9"/>
  <c r="H457" i="9"/>
  <c r="H454" i="9"/>
  <c r="H460" i="8"/>
  <c r="H473" i="9"/>
  <c r="H440" i="8"/>
  <c r="H471" i="8"/>
  <c r="H446" i="9"/>
  <c r="H482" i="8"/>
  <c r="H442" i="8"/>
  <c r="H462" i="8"/>
  <c r="H487" i="8"/>
  <c r="H481" i="8"/>
  <c r="H440" i="9"/>
  <c r="H450" i="9"/>
  <c r="H483" i="9"/>
  <c r="H453" i="9"/>
  <c r="H474" i="9"/>
  <c r="H452" i="9"/>
  <c r="H468" i="9"/>
  <c r="H448" i="8"/>
  <c r="H446" i="8"/>
  <c r="H450" i="8"/>
  <c r="H452" i="8"/>
  <c r="H454" i="8"/>
  <c r="H475" i="8"/>
  <c r="H479" i="8"/>
  <c r="J437" i="36"/>
  <c r="J463" i="36"/>
  <c r="J464" i="36"/>
  <c r="J458" i="36"/>
  <c r="AH458" i="36" s="1"/>
  <c r="H441" i="9"/>
  <c r="H472" i="9"/>
  <c r="H475" i="9"/>
  <c r="J438" i="36"/>
  <c r="J483" i="36"/>
  <c r="J484" i="36"/>
  <c r="J453" i="36"/>
  <c r="H458" i="9"/>
  <c r="H439" i="9"/>
  <c r="H465" i="9"/>
  <c r="H463" i="9"/>
  <c r="H456" i="8"/>
  <c r="H471" i="9"/>
  <c r="H436" i="8"/>
  <c r="H485" i="8"/>
  <c r="H435" i="9"/>
  <c r="H470" i="9"/>
  <c r="H442" i="9"/>
  <c r="H448" i="9"/>
  <c r="H456" i="9"/>
  <c r="H464" i="9"/>
  <c r="H469" i="9"/>
  <c r="H477" i="9"/>
  <c r="H479" i="9"/>
  <c r="H481" i="9"/>
  <c r="H438" i="8"/>
  <c r="H458" i="8"/>
  <c r="H466" i="8"/>
  <c r="H483" i="8"/>
  <c r="H460" i="9"/>
  <c r="H466" i="9"/>
  <c r="H468" i="8"/>
  <c r="H473" i="8"/>
  <c r="H443" i="9"/>
  <c r="H482" i="9"/>
  <c r="H445" i="9"/>
  <c r="H480" i="9"/>
  <c r="H467" i="9"/>
  <c r="H478" i="9"/>
  <c r="H434" i="9"/>
  <c r="H436" i="9"/>
  <c r="H438" i="9"/>
  <c r="H485" i="9"/>
  <c r="H480" i="8"/>
  <c r="H434" i="8"/>
  <c r="H444" i="8"/>
  <c r="H469" i="8"/>
  <c r="D259" i="101"/>
  <c r="F259" i="101" s="1"/>
  <c r="D251" i="101"/>
  <c r="F251" i="101" s="1"/>
  <c r="D243" i="101"/>
  <c r="F243" i="101" s="1"/>
  <c r="D234" i="101"/>
  <c r="F234" i="101" s="1"/>
  <c r="D220" i="101"/>
  <c r="F220" i="101" s="1"/>
  <c r="D193" i="101"/>
  <c r="F193" i="101" s="1"/>
  <c r="D180" i="101"/>
  <c r="F180" i="101" s="1"/>
  <c r="D144" i="101"/>
  <c r="F144" i="101" s="1"/>
  <c r="D134" i="101"/>
  <c r="F134" i="101" s="1"/>
  <c r="D89" i="101"/>
  <c r="F89" i="101" s="1"/>
  <c r="D35" i="101"/>
  <c r="F35" i="101" s="1"/>
  <c r="D7" i="101"/>
  <c r="F7" i="101" s="1"/>
  <c r="D255" i="101"/>
  <c r="F255" i="101" s="1"/>
  <c r="D247" i="101"/>
  <c r="F247" i="101" s="1"/>
  <c r="D239" i="101"/>
  <c r="F239" i="101" s="1"/>
  <c r="D224" i="101"/>
  <c r="F224" i="101" s="1"/>
  <c r="D201" i="101"/>
  <c r="F201" i="101" s="1"/>
  <c r="D189" i="101"/>
  <c r="F189" i="101" s="1"/>
  <c r="D161" i="101"/>
  <c r="F161" i="101" s="1"/>
  <c r="D140" i="101"/>
  <c r="F140" i="101" s="1"/>
  <c r="D130" i="101"/>
  <c r="F130" i="101" s="1"/>
  <c r="D95" i="101"/>
  <c r="F95" i="101" s="1"/>
  <c r="D70" i="101"/>
  <c r="F70" i="101" s="1"/>
  <c r="D64" i="101"/>
  <c r="F64" i="101" s="1"/>
  <c r="D30" i="101"/>
  <c r="F30" i="101" s="1"/>
  <c r="D26" i="101"/>
  <c r="F26" i="101" s="1"/>
  <c r="D12" i="101"/>
  <c r="F12" i="101" s="1"/>
  <c r="D258" i="101"/>
  <c r="F258" i="101" s="1"/>
  <c r="D254" i="101"/>
  <c r="F254" i="101" s="1"/>
  <c r="D250" i="101"/>
  <c r="F250" i="101" s="1"/>
  <c r="D246" i="101"/>
  <c r="F246" i="101" s="1"/>
  <c r="D242" i="101"/>
  <c r="F242" i="101" s="1"/>
  <c r="F237" i="101"/>
  <c r="D233" i="101"/>
  <c r="F233" i="101" s="1"/>
  <c r="D223" i="101"/>
  <c r="F223" i="101" s="1"/>
  <c r="D219" i="101"/>
  <c r="F219" i="101" s="1"/>
  <c r="D199" i="101"/>
  <c r="F199" i="101" s="1"/>
  <c r="D192" i="101"/>
  <c r="F192" i="101" s="1"/>
  <c r="D188" i="101"/>
  <c r="F188" i="101" s="1"/>
  <c r="D178" i="101"/>
  <c r="F178" i="101" s="1"/>
  <c r="D155" i="101"/>
  <c r="F155" i="101" s="1"/>
  <c r="D143" i="101"/>
  <c r="F143" i="101" s="1"/>
  <c r="D139" i="101"/>
  <c r="F139" i="101" s="1"/>
  <c r="D133" i="101"/>
  <c r="F133" i="101" s="1"/>
  <c r="D125" i="101"/>
  <c r="F125" i="101" s="1"/>
  <c r="D94" i="101"/>
  <c r="F94" i="101" s="1"/>
  <c r="D88" i="101"/>
  <c r="F88" i="101" s="1"/>
  <c r="D68" i="101"/>
  <c r="F68" i="101" s="1"/>
  <c r="D48" i="101"/>
  <c r="F48" i="101" s="1"/>
  <c r="D33" i="101"/>
  <c r="F33" i="101" s="1"/>
  <c r="D29" i="101"/>
  <c r="F29" i="101" s="1"/>
  <c r="D25" i="101"/>
  <c r="F25" i="101" s="1"/>
  <c r="D19" i="101"/>
  <c r="F19" i="101" s="1"/>
  <c r="D10" i="101"/>
  <c r="F10" i="101" s="1"/>
  <c r="D6" i="101"/>
  <c r="F6" i="101" s="1"/>
  <c r="D261" i="101"/>
  <c r="F261" i="101" s="1"/>
  <c r="D257" i="101"/>
  <c r="F257" i="101" s="1"/>
  <c r="D253" i="101"/>
  <c r="F253" i="101" s="1"/>
  <c r="D249" i="101"/>
  <c r="F249" i="101" s="1"/>
  <c r="D245" i="101"/>
  <c r="F245" i="101" s="1"/>
  <c r="D241" i="101"/>
  <c r="F241" i="101" s="1"/>
  <c r="D236" i="101"/>
  <c r="F236" i="101" s="1"/>
  <c r="D226" i="101"/>
  <c r="F226" i="101" s="1"/>
  <c r="D222" i="101"/>
  <c r="F222" i="101" s="1"/>
  <c r="D207" i="101"/>
  <c r="F207" i="101" s="1"/>
  <c r="D196" i="101"/>
  <c r="F196" i="101" s="1"/>
  <c r="D191" i="101"/>
  <c r="F191" i="101" s="1"/>
  <c r="D187" i="101"/>
  <c r="F187" i="101" s="1"/>
  <c r="D165" i="101"/>
  <c r="F165" i="101" s="1"/>
  <c r="D150" i="101"/>
  <c r="F150" i="101" s="1"/>
  <c r="D142" i="101"/>
  <c r="F142" i="101" s="1"/>
  <c r="D136" i="101"/>
  <c r="F136" i="101" s="1"/>
  <c r="D132" i="101"/>
  <c r="F132" i="101" s="1"/>
  <c r="D101" i="101"/>
  <c r="F101" i="101" s="1"/>
  <c r="D92" i="101"/>
  <c r="F92" i="101" s="1"/>
  <c r="D87" i="101"/>
  <c r="F87" i="101" s="1"/>
  <c r="D66" i="101"/>
  <c r="F66" i="101" s="1"/>
  <c r="D46" i="101"/>
  <c r="F46" i="101" s="1"/>
  <c r="D28" i="101"/>
  <c r="F28" i="101" s="1"/>
  <c r="D24" i="101"/>
  <c r="F24" i="101" s="1"/>
  <c r="D17" i="101"/>
  <c r="F17" i="101" s="1"/>
  <c r="D9" i="101"/>
  <c r="F9" i="101" s="1"/>
  <c r="D260" i="101"/>
  <c r="F260" i="101" s="1"/>
  <c r="D256" i="101"/>
  <c r="F256" i="101" s="1"/>
  <c r="D252" i="101"/>
  <c r="F252" i="101" s="1"/>
  <c r="D248" i="101"/>
  <c r="F248" i="101" s="1"/>
  <c r="D244" i="101"/>
  <c r="F244" i="101" s="1"/>
  <c r="D240" i="101"/>
  <c r="F240" i="101" s="1"/>
  <c r="D235" i="101"/>
  <c r="F235" i="101" s="1"/>
  <c r="D225" i="101"/>
  <c r="F225" i="101" s="1"/>
  <c r="D221" i="101"/>
  <c r="F221" i="101" s="1"/>
  <c r="D202" i="101"/>
  <c r="F202" i="101" s="1"/>
  <c r="D194" i="101"/>
  <c r="F194" i="101" s="1"/>
  <c r="D190" i="101"/>
  <c r="F190" i="101" s="1"/>
  <c r="D181" i="101"/>
  <c r="F181" i="101" s="1"/>
  <c r="D163" i="101"/>
  <c r="F163" i="101" s="1"/>
  <c r="D149" i="101"/>
  <c r="F149" i="101" s="1"/>
  <c r="D141" i="101"/>
  <c r="F141" i="101" s="1"/>
  <c r="D135" i="101"/>
  <c r="F135" i="101" s="1"/>
  <c r="D131" i="101"/>
  <c r="F131" i="101" s="1"/>
  <c r="D96" i="101"/>
  <c r="F96" i="101" s="1"/>
  <c r="D91" i="101"/>
  <c r="F91" i="101" s="1"/>
  <c r="D73" i="101"/>
  <c r="F73" i="101" s="1"/>
  <c r="D65" i="101"/>
  <c r="F65" i="101" s="1"/>
  <c r="D43" i="101"/>
  <c r="F43" i="101" s="1"/>
  <c r="D31" i="101"/>
  <c r="F31" i="101" s="1"/>
  <c r="D27" i="101"/>
  <c r="F27" i="101" s="1"/>
  <c r="D23" i="101"/>
  <c r="F23" i="101" s="1"/>
  <c r="D16" i="101"/>
  <c r="F16" i="101" s="1"/>
  <c r="D8" i="101"/>
  <c r="F8" i="101" s="1"/>
  <c r="B14" i="36"/>
  <c r="C13" i="4" s="1"/>
  <c r="C14" i="36"/>
  <c r="B15" i="36"/>
  <c r="C14" i="4" s="1"/>
  <c r="C15" i="36"/>
  <c r="B16" i="36"/>
  <c r="C15" i="4" s="1"/>
  <c r="C16" i="36"/>
  <c r="B17" i="36"/>
  <c r="C16" i="4" s="1"/>
  <c r="C17" i="36"/>
  <c r="F17" i="36" s="1"/>
  <c r="B18" i="36"/>
  <c r="C17" i="4" s="1"/>
  <c r="C18" i="36"/>
  <c r="B19" i="36"/>
  <c r="C18" i="4" s="1"/>
  <c r="C19" i="36"/>
  <c r="B20" i="36"/>
  <c r="C19" i="4" s="1"/>
  <c r="C20" i="36"/>
  <c r="B21" i="36"/>
  <c r="C20" i="4" s="1"/>
  <c r="C21" i="36"/>
  <c r="B22" i="36"/>
  <c r="C21" i="4" s="1"/>
  <c r="C22" i="36"/>
  <c r="B23" i="36"/>
  <c r="C22" i="4" s="1"/>
  <c r="C23" i="36"/>
  <c r="B24" i="36"/>
  <c r="C23" i="4" s="1"/>
  <c r="C24" i="36"/>
  <c r="B25" i="36"/>
  <c r="C24" i="4" s="1"/>
  <c r="C25" i="36"/>
  <c r="B26" i="36"/>
  <c r="C25" i="4" s="1"/>
  <c r="C26" i="36"/>
  <c r="B27" i="36"/>
  <c r="C26" i="4" s="1"/>
  <c r="C27" i="36"/>
  <c r="B28" i="36"/>
  <c r="C27" i="4" s="1"/>
  <c r="C28" i="36"/>
  <c r="B29" i="36"/>
  <c r="C28" i="4" s="1"/>
  <c r="C29" i="36"/>
  <c r="B30" i="36"/>
  <c r="C29" i="4" s="1"/>
  <c r="C30" i="36"/>
  <c r="B31" i="36"/>
  <c r="C30" i="4" s="1"/>
  <c r="C31" i="36"/>
  <c r="B32" i="36"/>
  <c r="C31" i="4" s="1"/>
  <c r="C32" i="36"/>
  <c r="B33" i="36"/>
  <c r="C32" i="4" s="1"/>
  <c r="C33" i="36"/>
  <c r="B34" i="36"/>
  <c r="C33" i="4" s="1"/>
  <c r="C34" i="36"/>
  <c r="B35" i="36"/>
  <c r="C34" i="4" s="1"/>
  <c r="C35" i="36"/>
  <c r="B36" i="36"/>
  <c r="C35" i="4" s="1"/>
  <c r="C36" i="36"/>
  <c r="B37" i="36"/>
  <c r="C36" i="4" s="1"/>
  <c r="C37" i="36"/>
  <c r="B38" i="36"/>
  <c r="C37" i="4" s="1"/>
  <c r="C38" i="36"/>
  <c r="B39" i="36"/>
  <c r="C38" i="4" s="1"/>
  <c r="C39" i="36"/>
  <c r="B40" i="36"/>
  <c r="C39" i="4" s="1"/>
  <c r="C40" i="36"/>
  <c r="B41" i="36"/>
  <c r="C40" i="4" s="1"/>
  <c r="C41" i="36"/>
  <c r="B42" i="36"/>
  <c r="C41" i="4" s="1"/>
  <c r="C42" i="36"/>
  <c r="B43" i="36"/>
  <c r="C42" i="4" s="1"/>
  <c r="C43" i="36"/>
  <c r="B44" i="36"/>
  <c r="C43" i="4" s="1"/>
  <c r="C44" i="36"/>
  <c r="B45" i="36"/>
  <c r="C44" i="4" s="1"/>
  <c r="C45" i="36"/>
  <c r="B46" i="36"/>
  <c r="C45" i="4" s="1"/>
  <c r="C46" i="36"/>
  <c r="B47" i="36"/>
  <c r="C46" i="4" s="1"/>
  <c r="C47" i="36"/>
  <c r="B48" i="36"/>
  <c r="C47" i="4" s="1"/>
  <c r="C48" i="36"/>
  <c r="B49" i="36"/>
  <c r="C48" i="4" s="1"/>
  <c r="C49" i="36"/>
  <c r="B50" i="36"/>
  <c r="C49" i="4" s="1"/>
  <c r="C50" i="36"/>
  <c r="B51" i="36"/>
  <c r="C50" i="4" s="1"/>
  <c r="C51" i="36"/>
  <c r="B52" i="36"/>
  <c r="C51" i="4" s="1"/>
  <c r="C52" i="36"/>
  <c r="B53" i="36"/>
  <c r="C52" i="4" s="1"/>
  <c r="C53" i="36"/>
  <c r="B54" i="36"/>
  <c r="C53" i="4" s="1"/>
  <c r="C54" i="36"/>
  <c r="B55" i="36"/>
  <c r="C54" i="4" s="1"/>
  <c r="B56" i="36"/>
  <c r="C55" i="4" s="1"/>
  <c r="C56" i="36"/>
  <c r="B57" i="36"/>
  <c r="C56" i="4" s="1"/>
  <c r="C57" i="36"/>
  <c r="B58" i="36"/>
  <c r="C57" i="4" s="1"/>
  <c r="C58" i="36"/>
  <c r="B59" i="36"/>
  <c r="C58" i="4" s="1"/>
  <c r="C59" i="36"/>
  <c r="B60" i="36"/>
  <c r="C59" i="4" s="1"/>
  <c r="C60" i="36"/>
  <c r="B61" i="36"/>
  <c r="C60" i="4" s="1"/>
  <c r="C61" i="36"/>
  <c r="B62" i="36"/>
  <c r="C61" i="4" s="1"/>
  <c r="C62" i="36"/>
  <c r="B63" i="36"/>
  <c r="C62" i="4" s="1"/>
  <c r="C63" i="36"/>
  <c r="B64" i="36"/>
  <c r="C63" i="4" s="1"/>
  <c r="C64" i="36"/>
  <c r="B65" i="36"/>
  <c r="C64" i="4" s="1"/>
  <c r="C65" i="36"/>
  <c r="B66" i="36"/>
  <c r="C65" i="4" s="1"/>
  <c r="C66" i="36"/>
  <c r="B67" i="36"/>
  <c r="C66" i="4" s="1"/>
  <c r="C67" i="36"/>
  <c r="B68" i="36"/>
  <c r="C67" i="4" s="1"/>
  <c r="C68" i="36"/>
  <c r="B69" i="36"/>
  <c r="C68" i="4" s="1"/>
  <c r="C69" i="36"/>
  <c r="B70" i="36"/>
  <c r="C69" i="4" s="1"/>
  <c r="C70" i="36"/>
  <c r="B71" i="36"/>
  <c r="C70" i="4" s="1"/>
  <c r="C71" i="36"/>
  <c r="B72" i="36"/>
  <c r="C71" i="4" s="1"/>
  <c r="C72" i="36"/>
  <c r="B73" i="36"/>
  <c r="C72" i="4" s="1"/>
  <c r="C73" i="36"/>
  <c r="B74" i="36"/>
  <c r="C73" i="4" s="1"/>
  <c r="B75" i="36"/>
  <c r="C74" i="4" s="1"/>
  <c r="C75" i="36"/>
  <c r="B76" i="36"/>
  <c r="C75" i="4" s="1"/>
  <c r="B77" i="36"/>
  <c r="C76" i="4" s="1"/>
  <c r="C77" i="36"/>
  <c r="B78" i="36"/>
  <c r="C77" i="4" s="1"/>
  <c r="C78" i="36"/>
  <c r="B79" i="36"/>
  <c r="C78" i="4" s="1"/>
  <c r="C79" i="36"/>
  <c r="B80" i="36"/>
  <c r="C79" i="4" s="1"/>
  <c r="C80" i="36"/>
  <c r="B81" i="36"/>
  <c r="C80" i="4" s="1"/>
  <c r="C81" i="36"/>
  <c r="B82" i="36"/>
  <c r="C81" i="4" s="1"/>
  <c r="C82" i="36"/>
  <c r="B83" i="36"/>
  <c r="C82" i="4" s="1"/>
  <c r="C83" i="36"/>
  <c r="B84" i="36"/>
  <c r="C83" i="4" s="1"/>
  <c r="C84" i="36"/>
  <c r="B85" i="36"/>
  <c r="C84" i="4" s="1"/>
  <c r="C85" i="36"/>
  <c r="B86" i="36"/>
  <c r="C85" i="4" s="1"/>
  <c r="C86" i="36"/>
  <c r="B87" i="36"/>
  <c r="C86" i="4" s="1"/>
  <c r="C87" i="36"/>
  <c r="B88" i="36"/>
  <c r="C87" i="4" s="1"/>
  <c r="C88" i="36"/>
  <c r="B89" i="36"/>
  <c r="C88" i="4" s="1"/>
  <c r="C89" i="36"/>
  <c r="B90" i="36"/>
  <c r="C89" i="4" s="1"/>
  <c r="C90" i="36"/>
  <c r="B91" i="36"/>
  <c r="C90" i="4" s="1"/>
  <c r="C91" i="36"/>
  <c r="B92" i="36"/>
  <c r="C91" i="4" s="1"/>
  <c r="C92" i="36"/>
  <c r="B93" i="36"/>
  <c r="C92" i="4" s="1"/>
  <c r="C93" i="36"/>
  <c r="B94" i="36"/>
  <c r="C93" i="4" s="1"/>
  <c r="C94" i="36"/>
  <c r="B95" i="36"/>
  <c r="C94" i="4" s="1"/>
  <c r="C95" i="36"/>
  <c r="B96" i="36"/>
  <c r="C95" i="4" s="1"/>
  <c r="C96" i="36"/>
  <c r="B97" i="36"/>
  <c r="C96" i="4" s="1"/>
  <c r="C97" i="36"/>
  <c r="B98" i="36"/>
  <c r="C97" i="4" s="1"/>
  <c r="C98" i="36"/>
  <c r="B99" i="36"/>
  <c r="C98" i="4" s="1"/>
  <c r="C99" i="36"/>
  <c r="B100" i="36"/>
  <c r="C99" i="4" s="1"/>
  <c r="C100" i="36"/>
  <c r="B101" i="36"/>
  <c r="C100" i="4" s="1"/>
  <c r="C101" i="36"/>
  <c r="B102" i="36"/>
  <c r="C101" i="4" s="1"/>
  <c r="C102" i="36"/>
  <c r="B103" i="36"/>
  <c r="C102" i="4" s="1"/>
  <c r="C103" i="36"/>
  <c r="B104" i="36"/>
  <c r="C103" i="4" s="1"/>
  <c r="C104" i="36"/>
  <c r="B105" i="36"/>
  <c r="C104" i="4" s="1"/>
  <c r="C105" i="36"/>
  <c r="B106" i="36"/>
  <c r="C105" i="4" s="1"/>
  <c r="C106" i="36"/>
  <c r="B107" i="36"/>
  <c r="C106" i="4" s="1"/>
  <c r="C107" i="36"/>
  <c r="B108" i="36"/>
  <c r="C107" i="4" s="1"/>
  <c r="C108" i="36"/>
  <c r="B109" i="36"/>
  <c r="C108" i="4" s="1"/>
  <c r="C109" i="36"/>
  <c r="B110" i="36"/>
  <c r="C109" i="4" s="1"/>
  <c r="C110" i="36"/>
  <c r="B111" i="36"/>
  <c r="C110" i="4" s="1"/>
  <c r="C111" i="36"/>
  <c r="B112" i="36"/>
  <c r="C111" i="4" s="1"/>
  <c r="C112" i="36"/>
  <c r="B113" i="36"/>
  <c r="C112" i="4" s="1"/>
  <c r="C113" i="36"/>
  <c r="B114" i="36"/>
  <c r="C113" i="4" s="1"/>
  <c r="C114" i="36"/>
  <c r="B115" i="36"/>
  <c r="C114" i="4" s="1"/>
  <c r="C115" i="36"/>
  <c r="B116" i="36"/>
  <c r="C115" i="4" s="1"/>
  <c r="C116" i="36"/>
  <c r="B117" i="36"/>
  <c r="C116" i="4" s="1"/>
  <c r="C117" i="36"/>
  <c r="B118" i="36"/>
  <c r="C117" i="4" s="1"/>
  <c r="C118" i="36"/>
  <c r="B119" i="36"/>
  <c r="C118" i="4" s="1"/>
  <c r="C119" i="36"/>
  <c r="B120" i="36"/>
  <c r="C119" i="4" s="1"/>
  <c r="C120" i="36"/>
  <c r="B121" i="36"/>
  <c r="C120" i="4" s="1"/>
  <c r="C121" i="36"/>
  <c r="B122" i="36"/>
  <c r="C121" i="4" s="1"/>
  <c r="C122" i="36"/>
  <c r="B123" i="36"/>
  <c r="C122" i="4" s="1"/>
  <c r="C123" i="36"/>
  <c r="B124" i="36"/>
  <c r="C123" i="4" s="1"/>
  <c r="C124" i="36"/>
  <c r="B125" i="36"/>
  <c r="C124" i="4" s="1"/>
  <c r="C125" i="36"/>
  <c r="B126" i="36"/>
  <c r="C125" i="4" s="1"/>
  <c r="C126" i="36"/>
  <c r="B127" i="36"/>
  <c r="C126" i="4" s="1"/>
  <c r="C127" i="36"/>
  <c r="B128" i="36"/>
  <c r="C127" i="4" s="1"/>
  <c r="C128" i="36"/>
  <c r="B129" i="36"/>
  <c r="C128" i="4" s="1"/>
  <c r="C129" i="36"/>
  <c r="B130" i="36"/>
  <c r="C129" i="4" s="1"/>
  <c r="C130" i="36"/>
  <c r="B131" i="36"/>
  <c r="C130" i="4" s="1"/>
  <c r="C131" i="36"/>
  <c r="B132" i="36"/>
  <c r="C131" i="4" s="1"/>
  <c r="C132" i="36"/>
  <c r="B133" i="36"/>
  <c r="C132" i="4" s="1"/>
  <c r="C133" i="36"/>
  <c r="B134" i="36"/>
  <c r="C133" i="4" s="1"/>
  <c r="C134" i="36"/>
  <c r="B135" i="36"/>
  <c r="C134" i="4" s="1"/>
  <c r="C135" i="36"/>
  <c r="B136" i="36"/>
  <c r="C135" i="4" s="1"/>
  <c r="C136" i="36"/>
  <c r="B137" i="36"/>
  <c r="C136" i="4" s="1"/>
  <c r="C137" i="36"/>
  <c r="B138" i="36"/>
  <c r="C137" i="4" s="1"/>
  <c r="B139" i="36"/>
  <c r="C138" i="4" s="1"/>
  <c r="C139" i="36"/>
  <c r="B140" i="36"/>
  <c r="C139" i="4" s="1"/>
  <c r="C140" i="36"/>
  <c r="B141" i="36"/>
  <c r="C140" i="4" s="1"/>
  <c r="C141" i="36"/>
  <c r="B142" i="36"/>
  <c r="C141" i="4" s="1"/>
  <c r="C142" i="36"/>
  <c r="B143" i="36"/>
  <c r="C142" i="4" s="1"/>
  <c r="C143" i="36"/>
  <c r="B144" i="36"/>
  <c r="C143" i="4" s="1"/>
  <c r="C144" i="36"/>
  <c r="B145" i="36"/>
  <c r="C144" i="4" s="1"/>
  <c r="C145" i="36"/>
  <c r="B146" i="36"/>
  <c r="C145" i="4" s="1"/>
  <c r="C146" i="36"/>
  <c r="B147" i="36"/>
  <c r="C146" i="4" s="1"/>
  <c r="C147" i="36"/>
  <c r="B148" i="36"/>
  <c r="C147" i="4" s="1"/>
  <c r="C148" i="36"/>
  <c r="B149" i="36"/>
  <c r="C148" i="4" s="1"/>
  <c r="C149" i="36"/>
  <c r="B150" i="36"/>
  <c r="C149" i="4" s="1"/>
  <c r="C150" i="36"/>
  <c r="B151" i="36"/>
  <c r="C150" i="4" s="1"/>
  <c r="C151" i="36"/>
  <c r="B152" i="36"/>
  <c r="C151" i="4" s="1"/>
  <c r="C152" i="36"/>
  <c r="B153" i="36"/>
  <c r="C152" i="4" s="1"/>
  <c r="C153" i="36"/>
  <c r="B154" i="36"/>
  <c r="C153" i="4" s="1"/>
  <c r="C154" i="36"/>
  <c r="B155" i="36"/>
  <c r="C154" i="4" s="1"/>
  <c r="C155" i="36"/>
  <c r="B156" i="36"/>
  <c r="C155" i="4" s="1"/>
  <c r="C156" i="36"/>
  <c r="B157" i="36"/>
  <c r="C156" i="4" s="1"/>
  <c r="C157" i="36"/>
  <c r="B158" i="36"/>
  <c r="C157" i="4" s="1"/>
  <c r="C158" i="36"/>
  <c r="B159" i="36"/>
  <c r="C158" i="4" s="1"/>
  <c r="C159" i="36"/>
  <c r="B160" i="36"/>
  <c r="C159" i="4" s="1"/>
  <c r="C160" i="36"/>
  <c r="B161" i="36"/>
  <c r="C160" i="4" s="1"/>
  <c r="C161" i="36"/>
  <c r="B162" i="36"/>
  <c r="C161" i="4" s="1"/>
  <c r="C162" i="36"/>
  <c r="B163" i="36"/>
  <c r="C162" i="4" s="1"/>
  <c r="C163" i="36"/>
  <c r="B164" i="36"/>
  <c r="C163" i="4" s="1"/>
  <c r="C164" i="36"/>
  <c r="B165" i="36"/>
  <c r="C164" i="4" s="1"/>
  <c r="C165" i="36"/>
  <c r="B166" i="36"/>
  <c r="C165" i="4" s="1"/>
  <c r="C166" i="36"/>
  <c r="B167" i="36"/>
  <c r="C166" i="4" s="1"/>
  <c r="C167" i="36"/>
  <c r="B168" i="36"/>
  <c r="C167" i="4" s="1"/>
  <c r="C168" i="36"/>
  <c r="B169" i="36"/>
  <c r="C168" i="4" s="1"/>
  <c r="C169" i="36"/>
  <c r="B170" i="36"/>
  <c r="C169" i="4" s="1"/>
  <c r="C170" i="36"/>
  <c r="B171" i="36"/>
  <c r="C170" i="4" s="1"/>
  <c r="C171" i="36"/>
  <c r="B172" i="36"/>
  <c r="C171" i="4" s="1"/>
  <c r="C172" i="36"/>
  <c r="B173" i="36"/>
  <c r="C172" i="4" s="1"/>
  <c r="C173" i="36"/>
  <c r="B174" i="36"/>
  <c r="C173" i="4" s="1"/>
  <c r="C174" i="36"/>
  <c r="B175" i="36"/>
  <c r="C174" i="4" s="1"/>
  <c r="C175" i="36"/>
  <c r="B176" i="36"/>
  <c r="C175" i="4" s="1"/>
  <c r="C176" i="36"/>
  <c r="B177" i="36"/>
  <c r="C176" i="4" s="1"/>
  <c r="C177" i="36"/>
  <c r="B178" i="36"/>
  <c r="C177" i="4" s="1"/>
  <c r="C178" i="36"/>
  <c r="B179" i="36"/>
  <c r="C178" i="4" s="1"/>
  <c r="C179" i="36"/>
  <c r="B180" i="36"/>
  <c r="C179" i="4" s="1"/>
  <c r="C180" i="36"/>
  <c r="B181" i="36"/>
  <c r="C180" i="4" s="1"/>
  <c r="C181" i="36"/>
  <c r="B182" i="36"/>
  <c r="C181" i="4" s="1"/>
  <c r="C182" i="36"/>
  <c r="B183" i="36"/>
  <c r="C182" i="4" s="1"/>
  <c r="C183" i="36"/>
  <c r="B184" i="36"/>
  <c r="C183" i="4" s="1"/>
  <c r="C184" i="36"/>
  <c r="B185" i="36"/>
  <c r="C184" i="4" s="1"/>
  <c r="C185" i="36"/>
  <c r="B186" i="36"/>
  <c r="C185" i="4" s="1"/>
  <c r="C186" i="36"/>
  <c r="B187" i="36"/>
  <c r="C186" i="4" s="1"/>
  <c r="C187" i="36"/>
  <c r="B188" i="36"/>
  <c r="C187" i="4" s="1"/>
  <c r="C188" i="36"/>
  <c r="B189" i="36"/>
  <c r="C188" i="4" s="1"/>
  <c r="C189" i="36"/>
  <c r="B190" i="36"/>
  <c r="C189" i="4" s="1"/>
  <c r="C190" i="36"/>
  <c r="B191" i="36"/>
  <c r="C190" i="4" s="1"/>
  <c r="C191" i="36"/>
  <c r="B192" i="36"/>
  <c r="C191" i="4" s="1"/>
  <c r="C192" i="36"/>
  <c r="B193" i="36"/>
  <c r="C192" i="4" s="1"/>
  <c r="C193" i="36"/>
  <c r="B194" i="36"/>
  <c r="C193" i="4" s="1"/>
  <c r="C194" i="36"/>
  <c r="B195" i="36"/>
  <c r="C194" i="4" s="1"/>
  <c r="C195" i="36"/>
  <c r="B196" i="36"/>
  <c r="C195" i="4" s="1"/>
  <c r="C196" i="36"/>
  <c r="B197" i="36"/>
  <c r="C196" i="4" s="1"/>
  <c r="C197" i="36"/>
  <c r="B198" i="36"/>
  <c r="C197" i="4" s="1"/>
  <c r="C198" i="36"/>
  <c r="B199" i="36"/>
  <c r="C198" i="4" s="1"/>
  <c r="C199" i="36"/>
  <c r="B200" i="36"/>
  <c r="C199" i="4" s="1"/>
  <c r="C200" i="36"/>
  <c r="B201" i="36"/>
  <c r="C200" i="4" s="1"/>
  <c r="C201" i="36"/>
  <c r="B202" i="36"/>
  <c r="C201" i="4" s="1"/>
  <c r="C202" i="36"/>
  <c r="B203" i="36"/>
  <c r="C202" i="4" s="1"/>
  <c r="C203" i="36"/>
  <c r="B204" i="36"/>
  <c r="C203" i="4" s="1"/>
  <c r="C204" i="36"/>
  <c r="B205" i="36"/>
  <c r="C204" i="4" s="1"/>
  <c r="C205" i="36"/>
  <c r="B206" i="36"/>
  <c r="C205" i="4" s="1"/>
  <c r="C206" i="36"/>
  <c r="B207" i="36"/>
  <c r="C206" i="4" s="1"/>
  <c r="C207" i="36"/>
  <c r="B208" i="36"/>
  <c r="C207" i="4" s="1"/>
  <c r="C208" i="36"/>
  <c r="B209" i="36"/>
  <c r="C208" i="4" s="1"/>
  <c r="C209" i="36"/>
  <c r="B210" i="36"/>
  <c r="C209" i="4" s="1"/>
  <c r="C210" i="36"/>
  <c r="B211" i="36"/>
  <c r="C210" i="4" s="1"/>
  <c r="C211" i="36"/>
  <c r="B212" i="36"/>
  <c r="C211" i="4" s="1"/>
  <c r="C212" i="36"/>
  <c r="B213" i="36"/>
  <c r="C212" i="4" s="1"/>
  <c r="C213" i="36"/>
  <c r="B214" i="36"/>
  <c r="C213" i="4" s="1"/>
  <c r="C214" i="36"/>
  <c r="B215" i="36"/>
  <c r="C214" i="4" s="1"/>
  <c r="C215" i="36"/>
  <c r="B216" i="36"/>
  <c r="C215" i="4" s="1"/>
  <c r="C216" i="36"/>
  <c r="B217" i="36"/>
  <c r="C216" i="4" s="1"/>
  <c r="C217" i="36"/>
  <c r="B218" i="36"/>
  <c r="C217" i="4" s="1"/>
  <c r="C218" i="36"/>
  <c r="B219" i="36"/>
  <c r="C218" i="4" s="1"/>
  <c r="C219" i="36"/>
  <c r="B220" i="36"/>
  <c r="C219" i="4" s="1"/>
  <c r="C220" i="36"/>
  <c r="B221" i="36"/>
  <c r="C220" i="4" s="1"/>
  <c r="C221" i="36"/>
  <c r="B222" i="36"/>
  <c r="C221" i="4" s="1"/>
  <c r="C222" i="36"/>
  <c r="B223" i="36"/>
  <c r="C222" i="4" s="1"/>
  <c r="C223" i="36"/>
  <c r="B224" i="36"/>
  <c r="C223" i="4" s="1"/>
  <c r="C224" i="36"/>
  <c r="B225" i="36"/>
  <c r="C224" i="4" s="1"/>
  <c r="C225" i="36"/>
  <c r="B226" i="36"/>
  <c r="C225" i="4" s="1"/>
  <c r="B227" i="36"/>
  <c r="C226" i="4" s="1"/>
  <c r="C227" i="36"/>
  <c r="B228" i="36"/>
  <c r="C227" i="4" s="1"/>
  <c r="C228" i="36"/>
  <c r="B229" i="36"/>
  <c r="C228" i="4" s="1"/>
  <c r="C229" i="36"/>
  <c r="B230" i="36"/>
  <c r="C229" i="4" s="1"/>
  <c r="C230" i="36"/>
  <c r="B231" i="36"/>
  <c r="C230" i="4" s="1"/>
  <c r="C231" i="36"/>
  <c r="B232" i="36"/>
  <c r="C231" i="4" s="1"/>
  <c r="C232" i="36"/>
  <c r="B233" i="36"/>
  <c r="C232" i="4" s="1"/>
  <c r="C233" i="36"/>
  <c r="B234" i="36"/>
  <c r="C233" i="4" s="1"/>
  <c r="C234" i="36"/>
  <c r="B235" i="36"/>
  <c r="C234" i="4" s="1"/>
  <c r="C235" i="36"/>
  <c r="B236" i="36"/>
  <c r="C235" i="4" s="1"/>
  <c r="C236" i="36"/>
  <c r="B237" i="36"/>
  <c r="C236" i="4" s="1"/>
  <c r="C237" i="36"/>
  <c r="B238" i="36"/>
  <c r="C237" i="4" s="1"/>
  <c r="C238" i="36"/>
  <c r="B239" i="36"/>
  <c r="C238" i="4" s="1"/>
  <c r="C239" i="36"/>
  <c r="B240" i="36"/>
  <c r="C239" i="4" s="1"/>
  <c r="C240" i="36"/>
  <c r="B241" i="36"/>
  <c r="C240" i="4" s="1"/>
  <c r="C241" i="36"/>
  <c r="B242" i="36"/>
  <c r="C241" i="4" s="1"/>
  <c r="C242" i="36"/>
  <c r="B243" i="36"/>
  <c r="C242" i="4" s="1"/>
  <c r="C243" i="36"/>
  <c r="B244" i="36"/>
  <c r="C243" i="4" s="1"/>
  <c r="C244" i="36"/>
  <c r="B245" i="36"/>
  <c r="C244" i="4" s="1"/>
  <c r="C245" i="36"/>
  <c r="B246" i="36"/>
  <c r="C245" i="4" s="1"/>
  <c r="C246" i="36"/>
  <c r="B247" i="36"/>
  <c r="C246" i="4" s="1"/>
  <c r="C247" i="36"/>
  <c r="B248" i="36"/>
  <c r="C247" i="4" s="1"/>
  <c r="C248" i="36"/>
  <c r="B249" i="36"/>
  <c r="C248" i="4" s="1"/>
  <c r="C249" i="36"/>
  <c r="B250" i="36"/>
  <c r="C249" i="4" s="1"/>
  <c r="C250" i="36"/>
  <c r="B251" i="36"/>
  <c r="C250" i="4" s="1"/>
  <c r="C251" i="36"/>
  <c r="B252" i="36"/>
  <c r="C251" i="4" s="1"/>
  <c r="C252" i="36"/>
  <c r="B253" i="36"/>
  <c r="C252" i="4" s="1"/>
  <c r="C253" i="36"/>
  <c r="B254" i="36"/>
  <c r="C253" i="4" s="1"/>
  <c r="C254" i="36"/>
  <c r="B255" i="36"/>
  <c r="C254" i="4" s="1"/>
  <c r="C255" i="36"/>
  <c r="B256" i="36"/>
  <c r="C255" i="4" s="1"/>
  <c r="C256" i="36"/>
  <c r="B257" i="36"/>
  <c r="C256" i="4" s="1"/>
  <c r="C257" i="36"/>
  <c r="B258" i="36"/>
  <c r="C257" i="4" s="1"/>
  <c r="B259" i="36"/>
  <c r="C258" i="4" s="1"/>
  <c r="C259" i="36"/>
  <c r="B260" i="36"/>
  <c r="C259" i="4" s="1"/>
  <c r="C260" i="36"/>
  <c r="B261" i="36"/>
  <c r="C260" i="4" s="1"/>
  <c r="C261" i="36"/>
  <c r="B262" i="36"/>
  <c r="C261" i="4" s="1"/>
  <c r="C262" i="36"/>
  <c r="B263" i="36"/>
  <c r="C262" i="4" s="1"/>
  <c r="C263" i="36"/>
  <c r="B264" i="36"/>
  <c r="C263" i="4" s="1"/>
  <c r="C264" i="36"/>
  <c r="B265" i="36"/>
  <c r="C264" i="4" s="1"/>
  <c r="C265" i="36"/>
  <c r="B266" i="36"/>
  <c r="C265" i="4" s="1"/>
  <c r="C266" i="36"/>
  <c r="B267" i="36"/>
  <c r="C266" i="4" s="1"/>
  <c r="C267" i="36"/>
  <c r="B268" i="36"/>
  <c r="C267" i="4" s="1"/>
  <c r="C268" i="36"/>
  <c r="B269" i="36"/>
  <c r="C268" i="4" s="1"/>
  <c r="C269" i="36"/>
  <c r="B270" i="36"/>
  <c r="C269" i="4" s="1"/>
  <c r="C270" i="36"/>
  <c r="B271" i="36"/>
  <c r="C270" i="4" s="1"/>
  <c r="C271" i="36"/>
  <c r="B272" i="36"/>
  <c r="C271" i="4" s="1"/>
  <c r="C272" i="36"/>
  <c r="B273" i="36"/>
  <c r="C272" i="4" s="1"/>
  <c r="C273" i="36"/>
  <c r="B274" i="36"/>
  <c r="C273" i="4" s="1"/>
  <c r="C274" i="36"/>
  <c r="B275" i="36"/>
  <c r="C274" i="4" s="1"/>
  <c r="C275" i="36"/>
  <c r="B276" i="36"/>
  <c r="C275" i="4" s="1"/>
  <c r="C276" i="36"/>
  <c r="B277" i="36"/>
  <c r="C276" i="4" s="1"/>
  <c r="C277" i="36"/>
  <c r="B278" i="36"/>
  <c r="C277" i="4" s="1"/>
  <c r="C278" i="36"/>
  <c r="B279" i="36"/>
  <c r="C278" i="4" s="1"/>
  <c r="C279" i="36"/>
  <c r="B280" i="36"/>
  <c r="C279" i="4" s="1"/>
  <c r="C280" i="36"/>
  <c r="B281" i="36"/>
  <c r="C280" i="4" s="1"/>
  <c r="C281" i="36"/>
  <c r="B282" i="36"/>
  <c r="C281" i="4" s="1"/>
  <c r="C282" i="36"/>
  <c r="B283" i="36"/>
  <c r="C282" i="4" s="1"/>
  <c r="C283" i="36"/>
  <c r="B284" i="36"/>
  <c r="C283" i="4" s="1"/>
  <c r="C284" i="36"/>
  <c r="B285" i="36"/>
  <c r="C284" i="4" s="1"/>
  <c r="C285" i="36"/>
  <c r="B286" i="36"/>
  <c r="C285" i="4" s="1"/>
  <c r="C286" i="36"/>
  <c r="B287" i="36"/>
  <c r="C286" i="4" s="1"/>
  <c r="C287" i="36"/>
  <c r="B288" i="36"/>
  <c r="C287" i="4" s="1"/>
  <c r="C288" i="36"/>
  <c r="B289" i="36"/>
  <c r="C288" i="4" s="1"/>
  <c r="C289" i="36"/>
  <c r="B290" i="36"/>
  <c r="C289" i="4" s="1"/>
  <c r="C290" i="36"/>
  <c r="B291" i="36"/>
  <c r="C290" i="4" s="1"/>
  <c r="C291" i="36"/>
  <c r="B292" i="36"/>
  <c r="C291" i="4" s="1"/>
  <c r="C292" i="36"/>
  <c r="B293" i="36"/>
  <c r="C292" i="4" s="1"/>
  <c r="C293" i="36"/>
  <c r="B294" i="36"/>
  <c r="C293" i="4" s="1"/>
  <c r="C294" i="36"/>
  <c r="B295" i="36"/>
  <c r="C294" i="4" s="1"/>
  <c r="C295" i="36"/>
  <c r="B296" i="36"/>
  <c r="C295" i="4" s="1"/>
  <c r="C296" i="36"/>
  <c r="B297" i="36"/>
  <c r="C296" i="4" s="1"/>
  <c r="C297" i="36"/>
  <c r="B298" i="36"/>
  <c r="C297" i="4" s="1"/>
  <c r="C298" i="36"/>
  <c r="B299" i="36"/>
  <c r="C298" i="4" s="1"/>
  <c r="C299" i="36"/>
  <c r="B300" i="36"/>
  <c r="C299" i="4" s="1"/>
  <c r="C300" i="36"/>
  <c r="B301" i="36"/>
  <c r="C300" i="4" s="1"/>
  <c r="C301" i="36"/>
  <c r="B302" i="36"/>
  <c r="C301" i="4" s="1"/>
  <c r="C302" i="36"/>
  <c r="B303" i="36"/>
  <c r="C302" i="4" s="1"/>
  <c r="C303" i="36"/>
  <c r="B304" i="36"/>
  <c r="C303" i="4" s="1"/>
  <c r="C304" i="36"/>
  <c r="B305" i="36"/>
  <c r="C304" i="4" s="1"/>
  <c r="C305" i="36"/>
  <c r="B306" i="36"/>
  <c r="C305" i="4" s="1"/>
  <c r="C306" i="36"/>
  <c r="B307" i="36"/>
  <c r="C306" i="4" s="1"/>
  <c r="C307" i="36"/>
  <c r="B308" i="36"/>
  <c r="C307" i="4" s="1"/>
  <c r="C308" i="36"/>
  <c r="B309" i="36"/>
  <c r="C308" i="4" s="1"/>
  <c r="C309" i="36"/>
  <c r="B310" i="36"/>
  <c r="C309" i="4" s="1"/>
  <c r="C310" i="36"/>
  <c r="B311" i="36"/>
  <c r="C310" i="4" s="1"/>
  <c r="C311" i="36"/>
  <c r="B312" i="36"/>
  <c r="C311" i="4" s="1"/>
  <c r="C312" i="36"/>
  <c r="B313" i="36"/>
  <c r="C312" i="4" s="1"/>
  <c r="C313" i="36"/>
  <c r="B314" i="36"/>
  <c r="C313" i="4" s="1"/>
  <c r="C314" i="36"/>
  <c r="B315" i="36"/>
  <c r="C314" i="4" s="1"/>
  <c r="C315" i="36"/>
  <c r="B316" i="36"/>
  <c r="C315" i="4" s="1"/>
  <c r="C316" i="36"/>
  <c r="B317" i="36"/>
  <c r="C316" i="4" s="1"/>
  <c r="C317" i="36"/>
  <c r="B318" i="36"/>
  <c r="C317" i="4" s="1"/>
  <c r="C318" i="36"/>
  <c r="B319" i="36"/>
  <c r="C318" i="4" s="1"/>
  <c r="C319" i="36"/>
  <c r="B320" i="36"/>
  <c r="C319" i="4" s="1"/>
  <c r="C320" i="36"/>
  <c r="B321" i="36"/>
  <c r="C320" i="4" s="1"/>
  <c r="C321" i="36"/>
  <c r="B322" i="36"/>
  <c r="C321" i="4" s="1"/>
  <c r="C322" i="36"/>
  <c r="B323" i="36"/>
  <c r="C322" i="4" s="1"/>
  <c r="C323" i="36"/>
  <c r="B324" i="36"/>
  <c r="C323" i="4" s="1"/>
  <c r="C324" i="36"/>
  <c r="B325" i="36"/>
  <c r="C324" i="4" s="1"/>
  <c r="C325" i="36"/>
  <c r="B326" i="36"/>
  <c r="C325" i="4" s="1"/>
  <c r="C326" i="36"/>
  <c r="B327" i="36"/>
  <c r="C326" i="4" s="1"/>
  <c r="C327" i="36"/>
  <c r="B328" i="36"/>
  <c r="C327" i="4" s="1"/>
  <c r="C328" i="36"/>
  <c r="B329" i="36"/>
  <c r="C328" i="4" s="1"/>
  <c r="C329" i="36"/>
  <c r="B330" i="36"/>
  <c r="C329" i="4" s="1"/>
  <c r="C330" i="36"/>
  <c r="B331" i="36"/>
  <c r="C330" i="4" s="1"/>
  <c r="C331" i="36"/>
  <c r="B332" i="36"/>
  <c r="C331" i="4" s="1"/>
  <c r="C332" i="36"/>
  <c r="B333" i="36"/>
  <c r="C332" i="4" s="1"/>
  <c r="C333" i="36"/>
  <c r="B334" i="36"/>
  <c r="C333" i="4" s="1"/>
  <c r="C334" i="36"/>
  <c r="B335" i="36"/>
  <c r="C334" i="4" s="1"/>
  <c r="C335" i="36"/>
  <c r="B336" i="36"/>
  <c r="C335" i="4" s="1"/>
  <c r="C336" i="36"/>
  <c r="B337" i="36"/>
  <c r="C336" i="4" s="1"/>
  <c r="C337" i="36"/>
  <c r="B338" i="36"/>
  <c r="C337" i="4" s="1"/>
  <c r="C338" i="36"/>
  <c r="B339" i="36"/>
  <c r="C338" i="4" s="1"/>
  <c r="C339" i="36"/>
  <c r="B340" i="36"/>
  <c r="C339" i="4" s="1"/>
  <c r="C340" i="36"/>
  <c r="B341" i="36"/>
  <c r="C340" i="4" s="1"/>
  <c r="C341" i="36"/>
  <c r="B342" i="36"/>
  <c r="C341" i="4" s="1"/>
  <c r="C342" i="36"/>
  <c r="B343" i="36"/>
  <c r="C342" i="4" s="1"/>
  <c r="C343" i="36"/>
  <c r="B344" i="36"/>
  <c r="C343" i="4" s="1"/>
  <c r="C344" i="36"/>
  <c r="B345" i="36"/>
  <c r="C344" i="4" s="1"/>
  <c r="C345" i="36"/>
  <c r="B346" i="36"/>
  <c r="C345" i="4" s="1"/>
  <c r="C346" i="36"/>
  <c r="B347" i="36"/>
  <c r="C346" i="4" s="1"/>
  <c r="C347" i="36"/>
  <c r="B348" i="36"/>
  <c r="C347" i="4" s="1"/>
  <c r="C348" i="36"/>
  <c r="B349" i="36"/>
  <c r="C348" i="4" s="1"/>
  <c r="C349" i="36"/>
  <c r="B350" i="36"/>
  <c r="C349" i="4" s="1"/>
  <c r="C350" i="36"/>
  <c r="B351" i="36"/>
  <c r="C350" i="4" s="1"/>
  <c r="C351" i="36"/>
  <c r="B352" i="36"/>
  <c r="C351" i="4" s="1"/>
  <c r="C352" i="36"/>
  <c r="B353" i="36"/>
  <c r="C352" i="4" s="1"/>
  <c r="C353" i="36"/>
  <c r="B354" i="36"/>
  <c r="C353" i="4" s="1"/>
  <c r="C354" i="36"/>
  <c r="B355" i="36"/>
  <c r="C354" i="4" s="1"/>
  <c r="C355" i="36"/>
  <c r="B356" i="36"/>
  <c r="C355" i="4" s="1"/>
  <c r="C356" i="36"/>
  <c r="B357" i="36"/>
  <c r="C356" i="4" s="1"/>
  <c r="C357" i="36"/>
  <c r="B358" i="36"/>
  <c r="C357" i="4" s="1"/>
  <c r="C358" i="36"/>
  <c r="B359" i="36"/>
  <c r="C358" i="4" s="1"/>
  <c r="C359" i="36"/>
  <c r="B360" i="36"/>
  <c r="C359" i="4" s="1"/>
  <c r="C360" i="36"/>
  <c r="B361" i="36"/>
  <c r="C360" i="4" s="1"/>
  <c r="C361" i="36"/>
  <c r="B362" i="36"/>
  <c r="C361" i="4" s="1"/>
  <c r="C362" i="36"/>
  <c r="B363" i="36"/>
  <c r="C362" i="4" s="1"/>
  <c r="C363" i="36"/>
  <c r="B364" i="36"/>
  <c r="C363" i="4" s="1"/>
  <c r="C364" i="36"/>
  <c r="B365" i="36"/>
  <c r="C364" i="4" s="1"/>
  <c r="C365" i="36"/>
  <c r="B366" i="36"/>
  <c r="C365" i="4" s="1"/>
  <c r="C366" i="36"/>
  <c r="B367" i="36"/>
  <c r="C366" i="4" s="1"/>
  <c r="C367" i="36"/>
  <c r="B368" i="36"/>
  <c r="C367" i="4" s="1"/>
  <c r="C368" i="36"/>
  <c r="B369" i="36"/>
  <c r="C368" i="4" s="1"/>
  <c r="C369" i="36"/>
  <c r="B370" i="36"/>
  <c r="C369" i="4" s="1"/>
  <c r="C370" i="36"/>
  <c r="B371" i="36"/>
  <c r="C370" i="4" s="1"/>
  <c r="C371" i="36"/>
  <c r="B372" i="36"/>
  <c r="C371" i="4" s="1"/>
  <c r="C372" i="36"/>
  <c r="B373" i="36"/>
  <c r="C372" i="4" s="1"/>
  <c r="C373" i="36"/>
  <c r="B374" i="36"/>
  <c r="C373" i="4" s="1"/>
  <c r="C374" i="36"/>
  <c r="B375" i="36"/>
  <c r="C374" i="4" s="1"/>
  <c r="C375" i="36"/>
  <c r="B376" i="36"/>
  <c r="C375" i="4" s="1"/>
  <c r="C376" i="36"/>
  <c r="B377" i="36"/>
  <c r="C376" i="4" s="1"/>
  <c r="C377" i="36"/>
  <c r="B378" i="36"/>
  <c r="C377" i="4" s="1"/>
  <c r="C378" i="36"/>
  <c r="B379" i="36"/>
  <c r="C378" i="4" s="1"/>
  <c r="C379" i="36"/>
  <c r="B380" i="36"/>
  <c r="C379" i="4" s="1"/>
  <c r="C380" i="36"/>
  <c r="B381" i="36"/>
  <c r="C380" i="4" s="1"/>
  <c r="C381" i="36"/>
  <c r="B382" i="36"/>
  <c r="C381" i="4" s="1"/>
  <c r="C382" i="36"/>
  <c r="B383" i="36"/>
  <c r="C382" i="4" s="1"/>
  <c r="C383" i="36"/>
  <c r="B384" i="36"/>
  <c r="C383" i="4" s="1"/>
  <c r="C384" i="36"/>
  <c r="B385" i="36"/>
  <c r="C384" i="4" s="1"/>
  <c r="C385" i="36"/>
  <c r="B386" i="36"/>
  <c r="C385" i="4" s="1"/>
  <c r="C386" i="36"/>
  <c r="B387" i="36"/>
  <c r="C386" i="4" s="1"/>
  <c r="C387" i="36"/>
  <c r="B388" i="36"/>
  <c r="C387" i="4" s="1"/>
  <c r="C388" i="36"/>
  <c r="B389" i="36"/>
  <c r="C388" i="4" s="1"/>
  <c r="C389" i="36"/>
  <c r="B390" i="36"/>
  <c r="C389" i="4" s="1"/>
  <c r="C390" i="36"/>
  <c r="B391" i="36"/>
  <c r="C390" i="4" s="1"/>
  <c r="C391" i="36"/>
  <c r="B392" i="36"/>
  <c r="C391" i="4" s="1"/>
  <c r="C392" i="36"/>
  <c r="B393" i="36"/>
  <c r="C392" i="4" s="1"/>
  <c r="C393" i="36"/>
  <c r="B394" i="36"/>
  <c r="C393" i="4" s="1"/>
  <c r="C394" i="36"/>
  <c r="B395" i="36"/>
  <c r="C394" i="4" s="1"/>
  <c r="C395" i="36"/>
  <c r="B396" i="36"/>
  <c r="C395" i="4" s="1"/>
  <c r="C396" i="36"/>
  <c r="B397" i="36"/>
  <c r="C396" i="4" s="1"/>
  <c r="C397" i="36"/>
  <c r="B398" i="36"/>
  <c r="C397" i="4" s="1"/>
  <c r="C398" i="36"/>
  <c r="B399" i="36"/>
  <c r="C398" i="4" s="1"/>
  <c r="C399" i="36"/>
  <c r="B400" i="36"/>
  <c r="C399" i="4" s="1"/>
  <c r="C400" i="36"/>
  <c r="B401" i="36"/>
  <c r="C400" i="4" s="1"/>
  <c r="C401" i="36"/>
  <c r="B402" i="36"/>
  <c r="C401" i="4" s="1"/>
  <c r="C402" i="36"/>
  <c r="B403" i="36"/>
  <c r="C402" i="4" s="1"/>
  <c r="C403" i="36"/>
  <c r="B404" i="36"/>
  <c r="C403" i="4" s="1"/>
  <c r="C404" i="36"/>
  <c r="B405" i="36"/>
  <c r="C404" i="4" s="1"/>
  <c r="C405" i="36"/>
  <c r="B406" i="36"/>
  <c r="C405" i="4" s="1"/>
  <c r="C406" i="36"/>
  <c r="B407" i="36"/>
  <c r="C406" i="4" s="1"/>
  <c r="C407" i="36"/>
  <c r="B408" i="36"/>
  <c r="C407" i="4" s="1"/>
  <c r="C408" i="36"/>
  <c r="B409" i="36"/>
  <c r="C408" i="4" s="1"/>
  <c r="C409" i="36"/>
  <c r="B410" i="36"/>
  <c r="C409" i="4" s="1"/>
  <c r="C410" i="36"/>
  <c r="B411" i="36"/>
  <c r="C410" i="4" s="1"/>
  <c r="C411" i="36"/>
  <c r="B412" i="36"/>
  <c r="C411" i="4" s="1"/>
  <c r="C412" i="36"/>
  <c r="B413" i="36"/>
  <c r="C412" i="4" s="1"/>
  <c r="C413" i="36"/>
  <c r="B414" i="36"/>
  <c r="C413" i="4" s="1"/>
  <c r="C414" i="36"/>
  <c r="B415" i="36"/>
  <c r="C414" i="4" s="1"/>
  <c r="C415" i="36"/>
  <c r="B416" i="36"/>
  <c r="C415" i="4" s="1"/>
  <c r="C416" i="36"/>
  <c r="B417" i="36"/>
  <c r="C416" i="4" s="1"/>
  <c r="C417" i="36"/>
  <c r="B418" i="36"/>
  <c r="C417" i="4" s="1"/>
  <c r="C418" i="36"/>
  <c r="B419" i="36"/>
  <c r="C418" i="4" s="1"/>
  <c r="C419" i="36"/>
  <c r="B420" i="36"/>
  <c r="C419" i="4" s="1"/>
  <c r="C420" i="36"/>
  <c r="B421" i="36"/>
  <c r="C420" i="4" s="1"/>
  <c r="C421" i="36"/>
  <c r="B422" i="36"/>
  <c r="C421" i="4" s="1"/>
  <c r="C422" i="36"/>
  <c r="B423" i="36"/>
  <c r="C422" i="4" s="1"/>
  <c r="C423" i="36"/>
  <c r="B424" i="36"/>
  <c r="C423" i="4" s="1"/>
  <c r="C424" i="36"/>
  <c r="B425" i="36"/>
  <c r="C424" i="4" s="1"/>
  <c r="C425" i="36"/>
  <c r="B426" i="36"/>
  <c r="C425" i="4" s="1"/>
  <c r="C426" i="36"/>
  <c r="B427" i="36"/>
  <c r="C426" i="4" s="1"/>
  <c r="C427" i="36"/>
  <c r="B428" i="36"/>
  <c r="C427" i="4" s="1"/>
  <c r="C428" i="36"/>
  <c r="B429" i="36"/>
  <c r="C428" i="4" s="1"/>
  <c r="C429" i="36"/>
  <c r="B430" i="36"/>
  <c r="C429" i="4" s="1"/>
  <c r="C430" i="36"/>
  <c r="B431" i="36"/>
  <c r="C430" i="4" s="1"/>
  <c r="C431" i="36"/>
  <c r="B432" i="36"/>
  <c r="C431" i="4" s="1"/>
  <c r="C432" i="36"/>
  <c r="B433" i="36"/>
  <c r="C432" i="4" s="1"/>
  <c r="C433" i="36"/>
  <c r="C13" i="36"/>
  <c r="B13" i="36"/>
  <c r="C12" i="4" s="1"/>
  <c r="AK4" i="100"/>
  <c r="AL4" i="100"/>
  <c r="AM4" i="100"/>
  <c r="AN4" i="100"/>
  <c r="AO4" i="100"/>
  <c r="AJ4" i="100"/>
  <c r="AC4" i="100"/>
  <c r="AD4" i="100"/>
  <c r="AE4" i="100"/>
  <c r="AF4" i="100"/>
  <c r="AG4" i="100"/>
  <c r="AB4" i="100"/>
  <c r="X4" i="100"/>
  <c r="Y4" i="100"/>
  <c r="W4" i="100"/>
  <c r="R4" i="100"/>
  <c r="S4" i="100"/>
  <c r="P4" i="100"/>
  <c r="Q4" i="100"/>
  <c r="T4" i="100"/>
  <c r="O4" i="100"/>
  <c r="E4" i="100"/>
  <c r="F4" i="100"/>
  <c r="G4" i="100"/>
  <c r="H4" i="100"/>
  <c r="I4" i="100"/>
  <c r="J4" i="100"/>
  <c r="K4" i="100"/>
  <c r="D4" i="100"/>
  <c r="U408" i="100"/>
  <c r="U407" i="100"/>
  <c r="U406" i="100"/>
  <c r="U405" i="100"/>
  <c r="U404" i="100"/>
  <c r="U403" i="100"/>
  <c r="U402" i="100"/>
  <c r="U401" i="100"/>
  <c r="U400" i="100"/>
  <c r="U399" i="100"/>
  <c r="U398" i="100"/>
  <c r="U397" i="100"/>
  <c r="U396" i="100"/>
  <c r="U395" i="100"/>
  <c r="U394" i="100"/>
  <c r="U393" i="100"/>
  <c r="U392" i="100"/>
  <c r="U391" i="100"/>
  <c r="U390" i="100"/>
  <c r="U389" i="100"/>
  <c r="U388" i="100"/>
  <c r="U387" i="100"/>
  <c r="U386" i="100"/>
  <c r="U385" i="100"/>
  <c r="U384" i="100"/>
  <c r="U383" i="100"/>
  <c r="U382" i="100"/>
  <c r="U381" i="100"/>
  <c r="U380" i="100"/>
  <c r="U379" i="100"/>
  <c r="U378" i="100"/>
  <c r="U377" i="100"/>
  <c r="U376" i="100"/>
  <c r="U375" i="100"/>
  <c r="U374" i="100"/>
  <c r="U373" i="100"/>
  <c r="U372" i="100"/>
  <c r="U371" i="100"/>
  <c r="U370" i="100"/>
  <c r="U369" i="100"/>
  <c r="U368" i="100"/>
  <c r="U367" i="100"/>
  <c r="U366" i="100"/>
  <c r="U365" i="100"/>
  <c r="U364" i="100"/>
  <c r="U363" i="100"/>
  <c r="U362" i="100"/>
  <c r="U361" i="100"/>
  <c r="U360" i="100"/>
  <c r="U359" i="100"/>
  <c r="U358" i="100"/>
  <c r="U357" i="100"/>
  <c r="U356" i="100"/>
  <c r="U355" i="100"/>
  <c r="U354" i="100"/>
  <c r="U353" i="100"/>
  <c r="U352" i="100"/>
  <c r="U351" i="100"/>
  <c r="U350" i="100"/>
  <c r="U349" i="100"/>
  <c r="U348" i="100"/>
  <c r="U347" i="100"/>
  <c r="U346" i="100"/>
  <c r="U345" i="100"/>
  <c r="U344" i="100"/>
  <c r="U343" i="100"/>
  <c r="U342" i="100"/>
  <c r="U341" i="100"/>
  <c r="U340" i="100"/>
  <c r="U339" i="100"/>
  <c r="U338" i="100"/>
  <c r="U337" i="100"/>
  <c r="U336" i="100"/>
  <c r="U335" i="100"/>
  <c r="U334" i="100"/>
  <c r="U333" i="100"/>
  <c r="U332" i="100"/>
  <c r="U331" i="100"/>
  <c r="U330" i="100"/>
  <c r="U329" i="100"/>
  <c r="U328" i="100"/>
  <c r="U327" i="100"/>
  <c r="U326" i="100"/>
  <c r="U325" i="100"/>
  <c r="U324" i="100"/>
  <c r="U323" i="100"/>
  <c r="U322" i="100"/>
  <c r="U321" i="100"/>
  <c r="U320" i="100"/>
  <c r="U319" i="100"/>
  <c r="U318" i="100"/>
  <c r="U317" i="100"/>
  <c r="U316" i="100"/>
  <c r="U315" i="100"/>
  <c r="U314" i="100"/>
  <c r="U313" i="100"/>
  <c r="U312" i="100"/>
  <c r="U311" i="100"/>
  <c r="U310" i="100"/>
  <c r="U309" i="100"/>
  <c r="U308" i="100"/>
  <c r="U307" i="100"/>
  <c r="U306" i="100"/>
  <c r="U305" i="100"/>
  <c r="U304" i="100"/>
  <c r="U303" i="100"/>
  <c r="U302" i="100"/>
  <c r="U301" i="100"/>
  <c r="U300" i="100"/>
  <c r="U299" i="100"/>
  <c r="U298" i="100"/>
  <c r="U297" i="100"/>
  <c r="U296" i="100"/>
  <c r="U295" i="100"/>
  <c r="U294" i="100"/>
  <c r="U293" i="100"/>
  <c r="U292" i="100"/>
  <c r="U291" i="100"/>
  <c r="U290" i="100"/>
  <c r="U289" i="100"/>
  <c r="U288" i="100"/>
  <c r="U287" i="100"/>
  <c r="U286" i="100"/>
  <c r="U285" i="100"/>
  <c r="U284" i="100"/>
  <c r="U283" i="100"/>
  <c r="U282" i="100"/>
  <c r="U281" i="100"/>
  <c r="U280" i="100"/>
  <c r="U279" i="100"/>
  <c r="U278" i="100"/>
  <c r="U277" i="100"/>
  <c r="U276" i="100"/>
  <c r="U275" i="100"/>
  <c r="U274" i="100"/>
  <c r="U273" i="100"/>
  <c r="U272" i="100"/>
  <c r="U271" i="100"/>
  <c r="U270" i="100"/>
  <c r="U269" i="100"/>
  <c r="U268" i="100"/>
  <c r="U267" i="100"/>
  <c r="U266" i="100"/>
  <c r="U265" i="100"/>
  <c r="U264" i="100"/>
  <c r="U263" i="100"/>
  <c r="U262" i="100"/>
  <c r="U261" i="100"/>
  <c r="U260" i="100"/>
  <c r="U259" i="100"/>
  <c r="U258" i="100"/>
  <c r="U257" i="100"/>
  <c r="U256" i="100"/>
  <c r="U255" i="100"/>
  <c r="U254" i="100"/>
  <c r="U253" i="100"/>
  <c r="U252" i="100"/>
  <c r="U251" i="100"/>
  <c r="U250" i="100"/>
  <c r="U249" i="100"/>
  <c r="U248" i="100"/>
  <c r="U247" i="100"/>
  <c r="U246" i="100"/>
  <c r="U245" i="100"/>
  <c r="U244" i="100"/>
  <c r="U243" i="100"/>
  <c r="U242" i="100"/>
  <c r="U241" i="100"/>
  <c r="U240" i="100"/>
  <c r="U239" i="100"/>
  <c r="U238" i="100"/>
  <c r="U237" i="100"/>
  <c r="U236" i="100"/>
  <c r="U235" i="100"/>
  <c r="U234" i="100"/>
  <c r="U233" i="100"/>
  <c r="U232" i="100"/>
  <c r="U231" i="100"/>
  <c r="U230" i="100"/>
  <c r="U229" i="100"/>
  <c r="U228" i="100"/>
  <c r="U227" i="100"/>
  <c r="U226" i="100"/>
  <c r="U225" i="100"/>
  <c r="U224" i="100"/>
  <c r="U223" i="100"/>
  <c r="U222" i="100"/>
  <c r="U221" i="100"/>
  <c r="U220" i="100"/>
  <c r="U219" i="100"/>
  <c r="U218" i="100"/>
  <c r="U217" i="100"/>
  <c r="U216" i="100"/>
  <c r="U215" i="100"/>
  <c r="U214" i="100"/>
  <c r="U213" i="100"/>
  <c r="U212" i="100"/>
  <c r="U211" i="100"/>
  <c r="U210" i="100"/>
  <c r="U209" i="100"/>
  <c r="U208" i="100"/>
  <c r="U207" i="100"/>
  <c r="U206" i="100"/>
  <c r="U205" i="100"/>
  <c r="U204" i="100"/>
  <c r="U203" i="100"/>
  <c r="U202" i="100"/>
  <c r="U201" i="100"/>
  <c r="U200" i="100"/>
  <c r="U199" i="100"/>
  <c r="U198" i="100"/>
  <c r="U197" i="100"/>
  <c r="U196" i="100"/>
  <c r="U195" i="100"/>
  <c r="U194" i="100"/>
  <c r="U193" i="100"/>
  <c r="U192" i="100"/>
  <c r="U190" i="100"/>
  <c r="U189" i="100"/>
  <c r="U188" i="100"/>
  <c r="U187" i="100"/>
  <c r="U186" i="100"/>
  <c r="U185" i="100"/>
  <c r="U184" i="100"/>
  <c r="U183" i="100"/>
  <c r="U182" i="100"/>
  <c r="U181" i="100"/>
  <c r="U180" i="100"/>
  <c r="U179" i="100"/>
  <c r="U178" i="100"/>
  <c r="U177" i="100"/>
  <c r="U176" i="100"/>
  <c r="U175" i="100"/>
  <c r="U174" i="100"/>
  <c r="U173" i="100"/>
  <c r="U172" i="100"/>
  <c r="U171" i="100"/>
  <c r="U170" i="100"/>
  <c r="U169" i="100"/>
  <c r="U168" i="100"/>
  <c r="U167" i="100"/>
  <c r="U166" i="100"/>
  <c r="U165" i="100"/>
  <c r="U164" i="100"/>
  <c r="U163" i="100"/>
  <c r="U162" i="100"/>
  <c r="U161" i="100"/>
  <c r="U160" i="100"/>
  <c r="U159" i="100"/>
  <c r="U158" i="100"/>
  <c r="U157" i="100"/>
  <c r="U156" i="100"/>
  <c r="U155" i="100"/>
  <c r="U154" i="100"/>
  <c r="U153" i="100"/>
  <c r="U152" i="100"/>
  <c r="U151" i="100"/>
  <c r="U150" i="100"/>
  <c r="U149" i="100"/>
  <c r="U148" i="100"/>
  <c r="U147" i="100"/>
  <c r="U146" i="100"/>
  <c r="U145" i="100"/>
  <c r="U144" i="100"/>
  <c r="U143" i="100"/>
  <c r="U142" i="100"/>
  <c r="U141" i="100"/>
  <c r="U140" i="100"/>
  <c r="U139" i="100"/>
  <c r="U138" i="100"/>
  <c r="U137" i="100"/>
  <c r="U136" i="100"/>
  <c r="U135" i="100"/>
  <c r="U134" i="100"/>
  <c r="U133" i="100"/>
  <c r="U132" i="100"/>
  <c r="U131" i="100"/>
  <c r="U130" i="100"/>
  <c r="U129" i="100"/>
  <c r="U128" i="100"/>
  <c r="U127" i="100"/>
  <c r="U126" i="100"/>
  <c r="U125" i="100"/>
  <c r="U124" i="100"/>
  <c r="U123" i="100"/>
  <c r="U122" i="100"/>
  <c r="U121" i="100"/>
  <c r="U120" i="100"/>
  <c r="U119" i="100"/>
  <c r="U118" i="100"/>
  <c r="U117" i="100"/>
  <c r="U116" i="100"/>
  <c r="U115" i="100"/>
  <c r="U114" i="100"/>
  <c r="U113" i="100"/>
  <c r="U112" i="100"/>
  <c r="U111" i="100"/>
  <c r="U110" i="100"/>
  <c r="U109" i="100"/>
  <c r="U108" i="100"/>
  <c r="U107" i="100"/>
  <c r="U106" i="100"/>
  <c r="U105" i="100"/>
  <c r="U104" i="100"/>
  <c r="U103" i="100"/>
  <c r="U102" i="100"/>
  <c r="U101" i="100"/>
  <c r="U100" i="100"/>
  <c r="U99" i="100"/>
  <c r="U98" i="100"/>
  <c r="U97" i="100"/>
  <c r="U96" i="100"/>
  <c r="U95" i="100"/>
  <c r="U94" i="100"/>
  <c r="U93" i="100"/>
  <c r="U92" i="100"/>
  <c r="U91" i="100"/>
  <c r="U90" i="100"/>
  <c r="U89" i="100"/>
  <c r="U88" i="100"/>
  <c r="U87" i="100"/>
  <c r="U86" i="100"/>
  <c r="U85" i="100"/>
  <c r="U84" i="100"/>
  <c r="U83" i="100"/>
  <c r="U82" i="100"/>
  <c r="U81" i="100"/>
  <c r="U80" i="100"/>
  <c r="U79" i="100"/>
  <c r="U78" i="100"/>
  <c r="U77" i="100"/>
  <c r="U76" i="100"/>
  <c r="U75" i="100"/>
  <c r="U74" i="100"/>
  <c r="U73" i="100"/>
  <c r="U72" i="100"/>
  <c r="U71" i="100"/>
  <c r="U70" i="100"/>
  <c r="U69" i="100"/>
  <c r="U68" i="100"/>
  <c r="U67" i="100"/>
  <c r="U66" i="100"/>
  <c r="U65" i="100"/>
  <c r="U64" i="100"/>
  <c r="U63" i="100"/>
  <c r="U62" i="100"/>
  <c r="U61" i="100"/>
  <c r="U60" i="100"/>
  <c r="U59" i="100"/>
  <c r="U58" i="100"/>
  <c r="U57" i="100"/>
  <c r="U56" i="100"/>
  <c r="U55" i="100"/>
  <c r="U54" i="100"/>
  <c r="U53" i="100"/>
  <c r="U52" i="100"/>
  <c r="U51" i="100"/>
  <c r="U50" i="100"/>
  <c r="U49" i="100"/>
  <c r="U48" i="100"/>
  <c r="U47" i="100"/>
  <c r="U46" i="100"/>
  <c r="U45" i="100"/>
  <c r="U44" i="100"/>
  <c r="U43" i="100"/>
  <c r="U42" i="100"/>
  <c r="U41" i="100"/>
  <c r="U40" i="100"/>
  <c r="U39" i="100"/>
  <c r="U38" i="100"/>
  <c r="U37" i="100"/>
  <c r="U36" i="100"/>
  <c r="U35" i="100"/>
  <c r="U34" i="100"/>
  <c r="U33" i="100"/>
  <c r="U32" i="100"/>
  <c r="U31" i="100"/>
  <c r="U30" i="100"/>
  <c r="U29" i="100"/>
  <c r="U28" i="100"/>
  <c r="U27" i="100"/>
  <c r="U26" i="100"/>
  <c r="U25" i="100"/>
  <c r="U24" i="100"/>
  <c r="U23" i="100"/>
  <c r="U22" i="100"/>
  <c r="U21" i="100"/>
  <c r="U20" i="100"/>
  <c r="U19" i="100"/>
  <c r="U18" i="100"/>
  <c r="U17" i="100"/>
  <c r="U16" i="100"/>
  <c r="U15" i="100"/>
  <c r="U14" i="100"/>
  <c r="U13" i="100"/>
  <c r="U12" i="100"/>
  <c r="U10" i="100"/>
  <c r="U9" i="100"/>
  <c r="U8" i="100"/>
  <c r="U7" i="100"/>
  <c r="AI4" i="100"/>
  <c r="AH4" i="100"/>
  <c r="AA4" i="100"/>
  <c r="Z4" i="100"/>
  <c r="N4" i="100"/>
  <c r="L4" i="100"/>
  <c r="AH473" i="36" l="1"/>
  <c r="AK454" i="36"/>
  <c r="AJ454" i="36"/>
  <c r="AJ450" i="36"/>
  <c r="AK450" i="36"/>
  <c r="AK478" i="36"/>
  <c r="AH455" i="36"/>
  <c r="AH434" i="36"/>
  <c r="AJ434" i="36"/>
  <c r="AK434" i="36"/>
  <c r="AK473" i="36"/>
  <c r="AJ473" i="36"/>
  <c r="AH466" i="36"/>
  <c r="AK460" i="36"/>
  <c r="AJ455" i="36"/>
  <c r="P466" i="36"/>
  <c r="AK466" i="36" s="1"/>
  <c r="AH450" i="36"/>
  <c r="AJ481" i="36"/>
  <c r="AK486" i="36"/>
  <c r="AK458" i="36"/>
  <c r="AK474" i="36"/>
  <c r="P477" i="36"/>
  <c r="AK477" i="36" s="1"/>
  <c r="P462" i="36"/>
  <c r="AJ462" i="36" s="1"/>
  <c r="AH474" i="36"/>
  <c r="AH481" i="36"/>
  <c r="AH477" i="36"/>
  <c r="AK462" i="36"/>
  <c r="AK481" i="36"/>
  <c r="AJ474" i="36"/>
  <c r="S491" i="6"/>
  <c r="S489" i="6"/>
  <c r="S492" i="6"/>
  <c r="S490" i="6"/>
  <c r="S488" i="6"/>
  <c r="S487" i="6"/>
  <c r="S479" i="6"/>
  <c r="S471" i="6"/>
  <c r="S463" i="6"/>
  <c r="S455" i="6"/>
  <c r="S447" i="6"/>
  <c r="S439" i="6"/>
  <c r="S484" i="6"/>
  <c r="S476" i="6"/>
  <c r="S468" i="6"/>
  <c r="S460" i="6"/>
  <c r="S452" i="6"/>
  <c r="S444" i="6"/>
  <c r="S436" i="6"/>
  <c r="S485" i="6"/>
  <c r="S477" i="6"/>
  <c r="S469" i="6"/>
  <c r="S461" i="6"/>
  <c r="S453" i="6"/>
  <c r="S445" i="6"/>
  <c r="S437" i="6"/>
  <c r="S482" i="6"/>
  <c r="S474" i="6"/>
  <c r="S466" i="6"/>
  <c r="S458" i="6"/>
  <c r="S450" i="6"/>
  <c r="S442" i="6"/>
  <c r="S434" i="6"/>
  <c r="S483" i="6"/>
  <c r="S475" i="6"/>
  <c r="S467" i="6"/>
  <c r="S459" i="6"/>
  <c r="S451" i="6"/>
  <c r="S443" i="6"/>
  <c r="S435" i="6"/>
  <c r="S480" i="6"/>
  <c r="S472" i="6"/>
  <c r="S464" i="6"/>
  <c r="S456" i="6"/>
  <c r="S448" i="6"/>
  <c r="S440" i="6"/>
  <c r="S481" i="6"/>
  <c r="S473" i="6"/>
  <c r="S465" i="6"/>
  <c r="S457" i="6"/>
  <c r="S449" i="6"/>
  <c r="S441" i="6"/>
  <c r="S486" i="6"/>
  <c r="S478" i="6"/>
  <c r="S470" i="6"/>
  <c r="S462" i="6"/>
  <c r="S454" i="6"/>
  <c r="S446" i="6"/>
  <c r="S438" i="6"/>
  <c r="X8" i="36"/>
  <c r="E486" i="5"/>
  <c r="E485" i="5"/>
  <c r="F485" i="5" s="1"/>
  <c r="E488" i="5"/>
  <c r="E487" i="5"/>
  <c r="F487" i="5" s="1"/>
  <c r="E489" i="5"/>
  <c r="E481" i="5"/>
  <c r="E465" i="5"/>
  <c r="F465" i="5" s="1"/>
  <c r="E449" i="5"/>
  <c r="F449" i="5" s="1"/>
  <c r="E433" i="5"/>
  <c r="E450" i="5"/>
  <c r="E434" i="5"/>
  <c r="F434" i="5" s="1"/>
  <c r="E471" i="5"/>
  <c r="F471" i="5" s="1"/>
  <c r="E455" i="5"/>
  <c r="E439" i="5"/>
  <c r="E480" i="5"/>
  <c r="E468" i="5"/>
  <c r="F468" i="5" s="1"/>
  <c r="E460" i="5"/>
  <c r="F460" i="5" s="1"/>
  <c r="E452" i="5"/>
  <c r="E436" i="5"/>
  <c r="F436" i="5" s="1"/>
  <c r="E453" i="5"/>
  <c r="F453" i="5" s="1"/>
  <c r="E477" i="5"/>
  <c r="E461" i="5"/>
  <c r="E445" i="5"/>
  <c r="F445" i="5" s="1"/>
  <c r="E431" i="5"/>
  <c r="F431" i="5" s="1"/>
  <c r="E446" i="5"/>
  <c r="E483" i="5"/>
  <c r="E467" i="5"/>
  <c r="F467" i="5" s="1"/>
  <c r="E451" i="5"/>
  <c r="F451" i="5" s="1"/>
  <c r="E435" i="5"/>
  <c r="E478" i="5"/>
  <c r="E466" i="5"/>
  <c r="E458" i="5"/>
  <c r="F458" i="5" s="1"/>
  <c r="E448" i="5"/>
  <c r="E432" i="5"/>
  <c r="E469" i="5"/>
  <c r="F469" i="5" s="1"/>
  <c r="E437" i="5"/>
  <c r="F437" i="5" s="1"/>
  <c r="E472" i="5"/>
  <c r="E438" i="5"/>
  <c r="E475" i="5"/>
  <c r="F475" i="5" s="1"/>
  <c r="E459" i="5"/>
  <c r="F459" i="5" s="1"/>
  <c r="E443" i="5"/>
  <c r="E482" i="5"/>
  <c r="E470" i="5"/>
  <c r="F470" i="5" s="1"/>
  <c r="E462" i="5"/>
  <c r="F462" i="5" s="1"/>
  <c r="E454" i="5"/>
  <c r="E440" i="5"/>
  <c r="E473" i="5"/>
  <c r="E457" i="5"/>
  <c r="F457" i="5" s="1"/>
  <c r="E441" i="5"/>
  <c r="E476" i="5"/>
  <c r="E442" i="5"/>
  <c r="F442" i="5" s="1"/>
  <c r="E479" i="5"/>
  <c r="F479" i="5" s="1"/>
  <c r="E463" i="5"/>
  <c r="E447" i="5"/>
  <c r="E484" i="5"/>
  <c r="E474" i="5"/>
  <c r="F474" i="5" s="1"/>
  <c r="E464" i="5"/>
  <c r="E456" i="5"/>
  <c r="F456" i="5" s="1"/>
  <c r="E444" i="5"/>
  <c r="F444" i="5" s="1"/>
  <c r="AA13" i="36"/>
  <c r="P489" i="8"/>
  <c r="P491" i="8"/>
  <c r="P492" i="8"/>
  <c r="P490" i="8"/>
  <c r="P488" i="8"/>
  <c r="P485" i="8"/>
  <c r="P463" i="8"/>
  <c r="P443" i="8"/>
  <c r="P473" i="8"/>
  <c r="P449" i="8"/>
  <c r="P482" i="8"/>
  <c r="P474" i="8"/>
  <c r="P466" i="8"/>
  <c r="P458" i="8"/>
  <c r="P450" i="8"/>
  <c r="P442" i="8"/>
  <c r="P434" i="8"/>
  <c r="P465" i="8"/>
  <c r="P441" i="8"/>
  <c r="P479" i="8"/>
  <c r="P471" i="8"/>
  <c r="P481" i="8"/>
  <c r="P459" i="8"/>
  <c r="P435" i="8"/>
  <c r="P467" i="8"/>
  <c r="P439" i="8"/>
  <c r="P480" i="8"/>
  <c r="P472" i="8"/>
  <c r="P464" i="8"/>
  <c r="P456" i="8"/>
  <c r="P448" i="8"/>
  <c r="P440" i="8"/>
  <c r="P483" i="8"/>
  <c r="P457" i="8"/>
  <c r="P437" i="8"/>
  <c r="P469" i="8"/>
  <c r="P484" i="8"/>
  <c r="P444" i="8"/>
  <c r="P445" i="8"/>
  <c r="P475" i="8"/>
  <c r="P453" i="8"/>
  <c r="P487" i="8"/>
  <c r="P461" i="8"/>
  <c r="P486" i="8"/>
  <c r="P478" i="8"/>
  <c r="P470" i="8"/>
  <c r="P462" i="8"/>
  <c r="P454" i="8"/>
  <c r="P446" i="8"/>
  <c r="P438" i="8"/>
  <c r="P477" i="8"/>
  <c r="P451" i="8"/>
  <c r="P447" i="8"/>
  <c r="P455" i="8"/>
  <c r="P476" i="8"/>
  <c r="P468" i="8"/>
  <c r="P460" i="8"/>
  <c r="P452" i="8"/>
  <c r="P436" i="8"/>
  <c r="AR223" i="36"/>
  <c r="AR221" i="36"/>
  <c r="AR215" i="36"/>
  <c r="AR203" i="36"/>
  <c r="AR415" i="36"/>
  <c r="AR409" i="36"/>
  <c r="AR313" i="36"/>
  <c r="AR297" i="36"/>
  <c r="AR283" i="36"/>
  <c r="AR279" i="36"/>
  <c r="AR263" i="36"/>
  <c r="AR261" i="36"/>
  <c r="AR253" i="36"/>
  <c r="AR247" i="36"/>
  <c r="AR245" i="36"/>
  <c r="AR243" i="36"/>
  <c r="AR241" i="36"/>
  <c r="AR239" i="36"/>
  <c r="AR237" i="36"/>
  <c r="AR235" i="36"/>
  <c r="AR231" i="36"/>
  <c r="AR227" i="36"/>
  <c r="AR63" i="36"/>
  <c r="AR59" i="36"/>
  <c r="AR49" i="36"/>
  <c r="AR47" i="36"/>
  <c r="B14" i="4"/>
  <c r="AR217" i="36"/>
  <c r="AR211" i="36"/>
  <c r="AR193" i="36"/>
  <c r="AR151" i="36"/>
  <c r="AR139" i="36"/>
  <c r="AR124" i="36"/>
  <c r="AR116" i="36"/>
  <c r="AR112" i="36"/>
  <c r="AR108" i="36"/>
  <c r="AR84" i="36"/>
  <c r="AR421" i="36"/>
  <c r="AR383" i="36"/>
  <c r="AR379" i="36"/>
  <c r="AR375" i="36"/>
  <c r="AR339" i="36"/>
  <c r="AR323" i="36"/>
  <c r="AR319" i="36"/>
  <c r="AR216" i="36"/>
  <c r="AR212" i="36"/>
  <c r="AR210" i="36"/>
  <c r="AR204" i="36"/>
  <c r="AR202" i="36"/>
  <c r="AR200" i="36"/>
  <c r="AR198" i="36"/>
  <c r="AR196" i="36"/>
  <c r="F190" i="36"/>
  <c r="AR184" i="36"/>
  <c r="AR182" i="36"/>
  <c r="AR160" i="36"/>
  <c r="AR152" i="36"/>
  <c r="AR136" i="36"/>
  <c r="AR127" i="36"/>
  <c r="AR125" i="36"/>
  <c r="AR123" i="36"/>
  <c r="AR121" i="36"/>
  <c r="AR119" i="36"/>
  <c r="AR115" i="36"/>
  <c r="AR113" i="36"/>
  <c r="AR111" i="36"/>
  <c r="AR87" i="36"/>
  <c r="AR201" i="36"/>
  <c r="AR199" i="36"/>
  <c r="AR179" i="36"/>
  <c r="AR135" i="36"/>
  <c r="AR120" i="36"/>
  <c r="AR110" i="36"/>
  <c r="AR98" i="36"/>
  <c r="AR92" i="36"/>
  <c r="AR431" i="36"/>
  <c r="AR419" i="36"/>
  <c r="AR401" i="36"/>
  <c r="AR397" i="36"/>
  <c r="AR389" i="36"/>
  <c r="AR373" i="36"/>
  <c r="AR337" i="36"/>
  <c r="AR329" i="36"/>
  <c r="AR327" i="36"/>
  <c r="AR321" i="36"/>
  <c r="AR418" i="36"/>
  <c r="AR412" i="36"/>
  <c r="AR404" i="36"/>
  <c r="AR400" i="36"/>
  <c r="AR398" i="36"/>
  <c r="AR396" i="36"/>
  <c r="AR392" i="36"/>
  <c r="AR390" i="36"/>
  <c r="AR386" i="36"/>
  <c r="AR384" i="36"/>
  <c r="AR378" i="36"/>
  <c r="AR376" i="36"/>
  <c r="AR372" i="36"/>
  <c r="AR366" i="36"/>
  <c r="AR358" i="36"/>
  <c r="AR352" i="36"/>
  <c r="AR340" i="36"/>
  <c r="AR328" i="36"/>
  <c r="AR324" i="36"/>
  <c r="AR314" i="36"/>
  <c r="AR312" i="36"/>
  <c r="AR304" i="36"/>
  <c r="AR296" i="36"/>
  <c r="AR294" i="36"/>
  <c r="AR292" i="36"/>
  <c r="AR280" i="36"/>
  <c r="AR268" i="36"/>
  <c r="AR264" i="36"/>
  <c r="AR262" i="36"/>
  <c r="AR256" i="36"/>
  <c r="AR254" i="36"/>
  <c r="AR246" i="36"/>
  <c r="AR244" i="36"/>
  <c r="AR242" i="36"/>
  <c r="AR240" i="36"/>
  <c r="AR236" i="36"/>
  <c r="AR234" i="36"/>
  <c r="AR230" i="36"/>
  <c r="AR68" i="36"/>
  <c r="AR62" i="36"/>
  <c r="AR58" i="36"/>
  <c r="AR52" i="36"/>
  <c r="AR46" i="36"/>
  <c r="AR42" i="36"/>
  <c r="AR38" i="36"/>
  <c r="AR36" i="36"/>
  <c r="AR34" i="36"/>
  <c r="AR18" i="36"/>
  <c r="B192" i="4"/>
  <c r="B178" i="4"/>
  <c r="B226" i="4"/>
  <c r="B183" i="4"/>
  <c r="B425" i="4"/>
  <c r="P491" i="9"/>
  <c r="P488" i="9"/>
  <c r="P489" i="9"/>
  <c r="P492" i="9"/>
  <c r="P490" i="9"/>
  <c r="P485" i="9"/>
  <c r="P483" i="9"/>
  <c r="P467" i="9"/>
  <c r="P449" i="9"/>
  <c r="P486" i="9"/>
  <c r="P478" i="9"/>
  <c r="P470" i="9"/>
  <c r="P462" i="9"/>
  <c r="P454" i="9"/>
  <c r="P446" i="9"/>
  <c r="P438" i="9"/>
  <c r="P479" i="9"/>
  <c r="P459" i="9"/>
  <c r="P443" i="9"/>
  <c r="P453" i="9"/>
  <c r="P463" i="9"/>
  <c r="P447" i="9"/>
  <c r="P471" i="9"/>
  <c r="P477" i="9"/>
  <c r="P461" i="9"/>
  <c r="P445" i="9"/>
  <c r="P484" i="9"/>
  <c r="P476" i="9"/>
  <c r="P468" i="9"/>
  <c r="P460" i="9"/>
  <c r="P452" i="9"/>
  <c r="P444" i="9"/>
  <c r="P436" i="9"/>
  <c r="P473" i="9"/>
  <c r="P455" i="9"/>
  <c r="P435" i="9"/>
  <c r="P437" i="9"/>
  <c r="P465" i="9"/>
  <c r="P481" i="9"/>
  <c r="P457" i="9"/>
  <c r="P441" i="9"/>
  <c r="P482" i="9"/>
  <c r="P474" i="9"/>
  <c r="P466" i="9"/>
  <c r="P458" i="9"/>
  <c r="P450" i="9"/>
  <c r="P442" i="9"/>
  <c r="P434" i="9"/>
  <c r="P469" i="9"/>
  <c r="P451" i="9"/>
  <c r="P475" i="9"/>
  <c r="P439" i="9"/>
  <c r="P480" i="9"/>
  <c r="P472" i="9"/>
  <c r="P464" i="9"/>
  <c r="P456" i="9"/>
  <c r="P448" i="9"/>
  <c r="P440" i="9"/>
  <c r="P487" i="9"/>
  <c r="T489" i="6"/>
  <c r="T492" i="6"/>
  <c r="T488" i="6"/>
  <c r="T491" i="6"/>
  <c r="T490" i="6"/>
  <c r="T487" i="6"/>
  <c r="T479" i="6"/>
  <c r="T471" i="6"/>
  <c r="T463" i="6"/>
  <c r="T455" i="6"/>
  <c r="T447" i="6"/>
  <c r="T439" i="6"/>
  <c r="T486" i="6"/>
  <c r="T478" i="6"/>
  <c r="T470" i="6"/>
  <c r="T462" i="6"/>
  <c r="T454" i="6"/>
  <c r="T446" i="6"/>
  <c r="T438" i="6"/>
  <c r="T485" i="6"/>
  <c r="T477" i="6"/>
  <c r="T469" i="6"/>
  <c r="T461" i="6"/>
  <c r="T453" i="6"/>
  <c r="T445" i="6"/>
  <c r="T437" i="6"/>
  <c r="T484" i="6"/>
  <c r="T476" i="6"/>
  <c r="T468" i="6"/>
  <c r="T460" i="6"/>
  <c r="T452" i="6"/>
  <c r="T444" i="6"/>
  <c r="T436" i="6"/>
  <c r="T481" i="6"/>
  <c r="T483" i="6"/>
  <c r="T475" i="6"/>
  <c r="T467" i="6"/>
  <c r="T459" i="6"/>
  <c r="T451" i="6"/>
  <c r="T443" i="6"/>
  <c r="T435" i="6"/>
  <c r="T482" i="6"/>
  <c r="T474" i="6"/>
  <c r="T466" i="6"/>
  <c r="T458" i="6"/>
  <c r="T450" i="6"/>
  <c r="T442" i="6"/>
  <c r="T434" i="6"/>
  <c r="T473" i="6"/>
  <c r="T465" i="6"/>
  <c r="T457" i="6"/>
  <c r="T449" i="6"/>
  <c r="T441" i="6"/>
  <c r="T480" i="6"/>
  <c r="T472" i="6"/>
  <c r="T464" i="6"/>
  <c r="T456" i="6"/>
  <c r="T448" i="6"/>
  <c r="T440" i="6"/>
  <c r="T489" i="9"/>
  <c r="T490" i="9"/>
  <c r="T492" i="8"/>
  <c r="T488" i="8"/>
  <c r="T489" i="8"/>
  <c r="T490" i="8"/>
  <c r="T491" i="9"/>
  <c r="T492" i="9"/>
  <c r="T488" i="9"/>
  <c r="T491" i="8"/>
  <c r="T482" i="8"/>
  <c r="T484" i="8"/>
  <c r="T460" i="8"/>
  <c r="T480" i="9"/>
  <c r="T472" i="9"/>
  <c r="T462" i="9"/>
  <c r="T454" i="9"/>
  <c r="T448" i="9"/>
  <c r="T440" i="9"/>
  <c r="T487" i="8"/>
  <c r="T455" i="8"/>
  <c r="T443" i="8"/>
  <c r="T485" i="9"/>
  <c r="T481" i="9"/>
  <c r="T477" i="9"/>
  <c r="T473" i="9"/>
  <c r="T469" i="9"/>
  <c r="T465" i="9"/>
  <c r="T461" i="9"/>
  <c r="T457" i="9"/>
  <c r="T453" i="9"/>
  <c r="T449" i="9"/>
  <c r="T445" i="9"/>
  <c r="T441" i="9"/>
  <c r="T437" i="9"/>
  <c r="T458" i="8"/>
  <c r="T448" i="8"/>
  <c r="T440" i="8"/>
  <c r="T486" i="9"/>
  <c r="T474" i="9"/>
  <c r="T468" i="9"/>
  <c r="T460" i="9"/>
  <c r="T452" i="9"/>
  <c r="T442" i="9"/>
  <c r="T434" i="9"/>
  <c r="T468" i="8"/>
  <c r="T454" i="8"/>
  <c r="T472" i="8"/>
  <c r="T450" i="8"/>
  <c r="T442" i="8"/>
  <c r="T434" i="8"/>
  <c r="T483" i="8"/>
  <c r="T479" i="8"/>
  <c r="T475" i="8"/>
  <c r="T471" i="8"/>
  <c r="T467" i="8"/>
  <c r="T463" i="8"/>
  <c r="T459" i="8"/>
  <c r="T451" i="8"/>
  <c r="T447" i="8"/>
  <c r="T439" i="8"/>
  <c r="T435" i="8"/>
  <c r="T480" i="8"/>
  <c r="T470" i="8"/>
  <c r="T476" i="8"/>
  <c r="T462" i="8"/>
  <c r="T484" i="9"/>
  <c r="T478" i="8"/>
  <c r="T466" i="8"/>
  <c r="T482" i="9"/>
  <c r="T476" i="9"/>
  <c r="T466" i="9"/>
  <c r="T458" i="9"/>
  <c r="T450" i="9"/>
  <c r="T444" i="9"/>
  <c r="T436" i="9"/>
  <c r="T473" i="8"/>
  <c r="T469" i="8"/>
  <c r="T445" i="8"/>
  <c r="T437" i="8"/>
  <c r="T487" i="9"/>
  <c r="T483" i="9"/>
  <c r="T479" i="9"/>
  <c r="T475" i="9"/>
  <c r="T471" i="9"/>
  <c r="T467" i="9"/>
  <c r="T463" i="9"/>
  <c r="T459" i="9"/>
  <c r="T455" i="9"/>
  <c r="T451" i="9"/>
  <c r="T447" i="9"/>
  <c r="T443" i="9"/>
  <c r="T439" i="9"/>
  <c r="T435" i="9"/>
  <c r="T452" i="8"/>
  <c r="T478" i="9"/>
  <c r="T470" i="9"/>
  <c r="T464" i="9"/>
  <c r="T456" i="9"/>
  <c r="T446" i="9"/>
  <c r="T438" i="9"/>
  <c r="T456" i="8"/>
  <c r="T446" i="8"/>
  <c r="T438" i="8"/>
  <c r="T485" i="8"/>
  <c r="T481" i="8"/>
  <c r="T477" i="8"/>
  <c r="T465" i="8"/>
  <c r="T461" i="8"/>
  <c r="T457" i="8"/>
  <c r="T453" i="8"/>
  <c r="T449" i="8"/>
  <c r="T441" i="8"/>
  <c r="T486" i="8"/>
  <c r="T474" i="8"/>
  <c r="T464" i="8"/>
  <c r="T444" i="8"/>
  <c r="T436" i="8"/>
  <c r="F489" i="5"/>
  <c r="L491" i="9"/>
  <c r="L490" i="9"/>
  <c r="L489" i="9"/>
  <c r="L488" i="9"/>
  <c r="L492" i="9"/>
  <c r="L467" i="9"/>
  <c r="L463" i="9"/>
  <c r="L457" i="9"/>
  <c r="L451" i="9"/>
  <c r="L447" i="9"/>
  <c r="L441" i="9"/>
  <c r="L437" i="9"/>
  <c r="L466" i="9"/>
  <c r="L458" i="9"/>
  <c r="L452" i="9"/>
  <c r="L446" i="9"/>
  <c r="L438" i="9"/>
  <c r="L487" i="9"/>
  <c r="L483" i="9"/>
  <c r="L477" i="9"/>
  <c r="L473" i="9"/>
  <c r="L461" i="9"/>
  <c r="L445" i="9"/>
  <c r="L435" i="9"/>
  <c r="L486" i="9"/>
  <c r="L482" i="9"/>
  <c r="L478" i="9"/>
  <c r="L474" i="9"/>
  <c r="L470" i="9"/>
  <c r="L464" i="9"/>
  <c r="L456" i="9"/>
  <c r="L450" i="9"/>
  <c r="L444" i="9"/>
  <c r="L436" i="9"/>
  <c r="L481" i="9"/>
  <c r="L471" i="9"/>
  <c r="L465" i="9"/>
  <c r="L459" i="9"/>
  <c r="L455" i="9"/>
  <c r="L449" i="9"/>
  <c r="L443" i="9"/>
  <c r="L439" i="9"/>
  <c r="L462" i="9"/>
  <c r="L448" i="9"/>
  <c r="L442" i="9"/>
  <c r="L485" i="9"/>
  <c r="L479" i="9"/>
  <c r="L475" i="9"/>
  <c r="L469" i="9"/>
  <c r="L453" i="9"/>
  <c r="L484" i="9"/>
  <c r="L480" i="9"/>
  <c r="L476" i="9"/>
  <c r="L472" i="9"/>
  <c r="L468" i="9"/>
  <c r="L460" i="9"/>
  <c r="L454" i="9"/>
  <c r="L440" i="9"/>
  <c r="L434" i="9"/>
  <c r="L492" i="8"/>
  <c r="L488" i="8"/>
  <c r="L491" i="8"/>
  <c r="L489" i="8"/>
  <c r="L490" i="8"/>
  <c r="L486" i="8"/>
  <c r="L478" i="8"/>
  <c r="L470" i="8"/>
  <c r="L461" i="8"/>
  <c r="L453" i="8"/>
  <c r="L445" i="8"/>
  <c r="L437" i="8"/>
  <c r="L484" i="8"/>
  <c r="L476" i="8"/>
  <c r="L467" i="8"/>
  <c r="L459" i="8"/>
  <c r="L451" i="8"/>
  <c r="L443" i="8"/>
  <c r="L435" i="8"/>
  <c r="L483" i="8"/>
  <c r="L475" i="8"/>
  <c r="L466" i="8"/>
  <c r="L462" i="8"/>
  <c r="L458" i="8"/>
  <c r="L454" i="8"/>
  <c r="L450" i="8"/>
  <c r="L446" i="8"/>
  <c r="L442" i="8"/>
  <c r="L438" i="8"/>
  <c r="L434" i="8"/>
  <c r="L481" i="8"/>
  <c r="L473" i="8"/>
  <c r="L469" i="8"/>
  <c r="L482" i="8"/>
  <c r="L474" i="8"/>
  <c r="L465" i="8"/>
  <c r="L457" i="8"/>
  <c r="L449" i="8"/>
  <c r="L441" i="8"/>
  <c r="L480" i="8"/>
  <c r="L472" i="8"/>
  <c r="L463" i="8"/>
  <c r="L455" i="8"/>
  <c r="L447" i="8"/>
  <c r="L439" i="8"/>
  <c r="L487" i="8"/>
  <c r="L479" i="8"/>
  <c r="L468" i="8"/>
  <c r="L464" i="8"/>
  <c r="L460" i="8"/>
  <c r="L456" i="8"/>
  <c r="L452" i="8"/>
  <c r="L448" i="8"/>
  <c r="L444" i="8"/>
  <c r="L440" i="8"/>
  <c r="L436" i="8"/>
  <c r="L485" i="8"/>
  <c r="L477" i="8"/>
  <c r="L471" i="8"/>
  <c r="B223" i="4"/>
  <c r="B221" i="4"/>
  <c r="V221" i="4" s="1"/>
  <c r="B219" i="4"/>
  <c r="G219" i="4" s="1"/>
  <c r="B217" i="4"/>
  <c r="G217" i="4" s="1"/>
  <c r="B215" i="4"/>
  <c r="B213" i="4"/>
  <c r="V213" i="4" s="1"/>
  <c r="B211" i="4"/>
  <c r="V211" i="4" s="1"/>
  <c r="B209" i="4"/>
  <c r="H209" i="4" s="1"/>
  <c r="B207" i="4"/>
  <c r="B205" i="4"/>
  <c r="V205" i="4" s="1"/>
  <c r="B203" i="4"/>
  <c r="V203" i="4" s="1"/>
  <c r="B201" i="4"/>
  <c r="V201" i="4" s="1"/>
  <c r="B199" i="4"/>
  <c r="B197" i="4"/>
  <c r="B195" i="4"/>
  <c r="V195" i="4" s="1"/>
  <c r="B193" i="4"/>
  <c r="V193" i="4" s="1"/>
  <c r="B191" i="4"/>
  <c r="B187" i="4"/>
  <c r="B181" i="4"/>
  <c r="G181" i="4" s="1"/>
  <c r="B179" i="4"/>
  <c r="V179" i="4" s="1"/>
  <c r="B177" i="4"/>
  <c r="B175" i="4"/>
  <c r="V175" i="4" s="1"/>
  <c r="B173" i="4"/>
  <c r="G173" i="4" s="1"/>
  <c r="B171" i="4"/>
  <c r="V171" i="4" s="1"/>
  <c r="B169" i="4"/>
  <c r="B167" i="4"/>
  <c r="B165" i="4"/>
  <c r="G165" i="4" s="1"/>
  <c r="B163" i="4"/>
  <c r="V163" i="4" s="1"/>
  <c r="B161" i="4"/>
  <c r="B159" i="4"/>
  <c r="V159" i="4" s="1"/>
  <c r="B157" i="4"/>
  <c r="G157" i="4" s="1"/>
  <c r="B155" i="4"/>
  <c r="V155" i="4" s="1"/>
  <c r="B153" i="4"/>
  <c r="B151" i="4"/>
  <c r="B149" i="4"/>
  <c r="G149" i="4" s="1"/>
  <c r="B147" i="4"/>
  <c r="V147" i="4" s="1"/>
  <c r="B145" i="4"/>
  <c r="B143" i="4"/>
  <c r="V143" i="4" s="1"/>
  <c r="B141" i="4"/>
  <c r="G141" i="4" s="1"/>
  <c r="B139" i="4"/>
  <c r="V139" i="4" s="1"/>
  <c r="B137" i="4"/>
  <c r="B135" i="4"/>
  <c r="B133" i="4"/>
  <c r="G133" i="4" s="1"/>
  <c r="B132" i="4"/>
  <c r="V132" i="4" s="1"/>
  <c r="B128" i="4"/>
  <c r="B126" i="4"/>
  <c r="G126" i="4" s="1"/>
  <c r="B124" i="4"/>
  <c r="G124" i="4" s="1"/>
  <c r="B122" i="4"/>
  <c r="G122" i="4" s="1"/>
  <c r="B120" i="4"/>
  <c r="B118" i="4"/>
  <c r="G118" i="4" s="1"/>
  <c r="B116" i="4"/>
  <c r="G116" i="4" s="1"/>
  <c r="B114" i="4"/>
  <c r="V114" i="4" s="1"/>
  <c r="B112" i="4"/>
  <c r="B110" i="4"/>
  <c r="G110" i="4" s="1"/>
  <c r="B108" i="4"/>
  <c r="G108" i="4" s="1"/>
  <c r="B106" i="4"/>
  <c r="G106" i="4" s="1"/>
  <c r="B104" i="4"/>
  <c r="B102" i="4"/>
  <c r="G102" i="4" s="1"/>
  <c r="B100" i="4"/>
  <c r="G100" i="4" s="1"/>
  <c r="B98" i="4"/>
  <c r="G98" i="4" s="1"/>
  <c r="B96" i="4"/>
  <c r="B94" i="4"/>
  <c r="G94" i="4" s="1"/>
  <c r="B92" i="4"/>
  <c r="V92" i="4" s="1"/>
  <c r="B90" i="4"/>
  <c r="G90" i="4" s="1"/>
  <c r="B88" i="4"/>
  <c r="B86" i="4"/>
  <c r="G86" i="4" s="1"/>
  <c r="B84" i="4"/>
  <c r="G84" i="4" s="1"/>
  <c r="B82" i="4"/>
  <c r="M82" i="4" s="1"/>
  <c r="B80" i="4"/>
  <c r="B78" i="4"/>
  <c r="V78" i="4" s="1"/>
  <c r="B76" i="4"/>
  <c r="G76" i="4" s="1"/>
  <c r="B74" i="4"/>
  <c r="G74" i="4" s="1"/>
  <c r="B409" i="4"/>
  <c r="V409" i="4" s="1"/>
  <c r="B372" i="4"/>
  <c r="H372" i="4" s="1"/>
  <c r="B370" i="4"/>
  <c r="G370" i="4" s="1"/>
  <c r="B362" i="4"/>
  <c r="G362" i="4" s="1"/>
  <c r="B360" i="4"/>
  <c r="G360" i="4" s="1"/>
  <c r="B358" i="4"/>
  <c r="V358" i="4" s="1"/>
  <c r="B356" i="4"/>
  <c r="G356" i="4" s="1"/>
  <c r="B354" i="4"/>
  <c r="G354" i="4" s="1"/>
  <c r="B352" i="4"/>
  <c r="G352" i="4" s="1"/>
  <c r="B350" i="4"/>
  <c r="B348" i="4"/>
  <c r="G348" i="4" s="1"/>
  <c r="B346" i="4"/>
  <c r="V346" i="4" s="1"/>
  <c r="B344" i="4"/>
  <c r="H344" i="4" s="1"/>
  <c r="B334" i="4"/>
  <c r="G334" i="4" s="1"/>
  <c r="B332" i="4"/>
  <c r="G332" i="4" s="1"/>
  <c r="B331" i="4"/>
  <c r="V331" i="4" s="1"/>
  <c r="B329" i="4"/>
  <c r="G329" i="4" s="1"/>
  <c r="B325" i="4"/>
  <c r="V325" i="4" s="1"/>
  <c r="B323" i="4"/>
  <c r="G323" i="4" s="1"/>
  <c r="B321" i="4"/>
  <c r="G321" i="4" s="1"/>
  <c r="B319" i="4"/>
  <c r="G319" i="4" s="1"/>
  <c r="B317" i="4"/>
  <c r="V317" i="4" s="1"/>
  <c r="B315" i="4"/>
  <c r="V315" i="4" s="1"/>
  <c r="B313" i="4"/>
  <c r="H313" i="4" s="1"/>
  <c r="B311" i="4"/>
  <c r="H311" i="4" s="1"/>
  <c r="B309" i="4"/>
  <c r="V309" i="4" s="1"/>
  <c r="B307" i="4"/>
  <c r="G307" i="4" s="1"/>
  <c r="B305" i="4"/>
  <c r="G305" i="4" s="1"/>
  <c r="B303" i="4"/>
  <c r="V303" i="4" s="1"/>
  <c r="B301" i="4"/>
  <c r="V301" i="4" s="1"/>
  <c r="B299" i="4"/>
  <c r="G299" i="4" s="1"/>
  <c r="B297" i="4"/>
  <c r="V297" i="4" s="1"/>
  <c r="B295" i="4"/>
  <c r="V295" i="4" s="1"/>
  <c r="B293" i="4"/>
  <c r="V293" i="4" s="1"/>
  <c r="B291" i="4"/>
  <c r="H291" i="4" s="1"/>
  <c r="B289" i="4"/>
  <c r="V289" i="4" s="1"/>
  <c r="B287" i="4"/>
  <c r="V287" i="4" s="1"/>
  <c r="B285" i="4"/>
  <c r="G285" i="4" s="1"/>
  <c r="B283" i="4"/>
  <c r="G283" i="4" s="1"/>
  <c r="B281" i="4"/>
  <c r="V281" i="4" s="1"/>
  <c r="B279" i="4"/>
  <c r="G279" i="4" s="1"/>
  <c r="B277" i="4"/>
  <c r="B273" i="4"/>
  <c r="G273" i="4" s="1"/>
  <c r="B271" i="4"/>
  <c r="M271" i="4" s="1"/>
  <c r="AE271" i="4" s="1"/>
  <c r="B269" i="4"/>
  <c r="V269" i="4" s="1"/>
  <c r="B267" i="4"/>
  <c r="G267" i="4" s="1"/>
  <c r="B265" i="4"/>
  <c r="G265" i="4" s="1"/>
  <c r="B263" i="4"/>
  <c r="H263" i="4" s="1"/>
  <c r="B261" i="4"/>
  <c r="G261" i="4" s="1"/>
  <c r="B259" i="4"/>
  <c r="B257" i="4"/>
  <c r="G257" i="4" s="1"/>
  <c r="B255" i="4"/>
  <c r="H255" i="4" s="1"/>
  <c r="B253" i="4"/>
  <c r="H253" i="4" s="1"/>
  <c r="B251" i="4"/>
  <c r="G251" i="4" s="1"/>
  <c r="B249" i="4"/>
  <c r="V249" i="4" s="1"/>
  <c r="B247" i="4"/>
  <c r="V247" i="4" s="1"/>
  <c r="B245" i="4"/>
  <c r="V245" i="4" s="1"/>
  <c r="B243" i="4"/>
  <c r="H243" i="4" s="1"/>
  <c r="B241" i="4"/>
  <c r="H241" i="4" s="1"/>
  <c r="B239" i="4"/>
  <c r="D239" i="4" s="1"/>
  <c r="B237" i="4"/>
  <c r="G237" i="4" s="1"/>
  <c r="B235" i="4"/>
  <c r="G235" i="4" s="1"/>
  <c r="B233" i="4"/>
  <c r="G233" i="4" s="1"/>
  <c r="B231" i="4"/>
  <c r="G231" i="4" s="1"/>
  <c r="B227" i="4"/>
  <c r="V227" i="4" s="1"/>
  <c r="B71" i="4"/>
  <c r="G71" i="4" s="1"/>
  <c r="B69" i="4"/>
  <c r="B67" i="4"/>
  <c r="B65" i="4"/>
  <c r="V65" i="4" s="1"/>
  <c r="B63" i="4"/>
  <c r="G63" i="4" s="1"/>
  <c r="B61" i="4"/>
  <c r="G61" i="4" s="1"/>
  <c r="B59" i="4"/>
  <c r="V59" i="4" s="1"/>
  <c r="B57" i="4"/>
  <c r="H57" i="4" s="1"/>
  <c r="B55" i="4"/>
  <c r="B53" i="4"/>
  <c r="B51" i="4"/>
  <c r="B49" i="4"/>
  <c r="B47" i="4"/>
  <c r="G47" i="4" s="1"/>
  <c r="B45" i="4"/>
  <c r="G45" i="4" s="1"/>
  <c r="B43" i="4"/>
  <c r="G43" i="4" s="1"/>
  <c r="B41" i="4"/>
  <c r="G41" i="4" s="1"/>
  <c r="B39" i="4"/>
  <c r="G39" i="4" s="1"/>
  <c r="B37" i="4"/>
  <c r="V37" i="4" s="1"/>
  <c r="B35" i="4"/>
  <c r="V35" i="4" s="1"/>
  <c r="B33" i="4"/>
  <c r="V33" i="4" s="1"/>
  <c r="B31" i="4"/>
  <c r="G31" i="4" s="1"/>
  <c r="B29" i="4"/>
  <c r="G29" i="4" s="1"/>
  <c r="B27" i="4"/>
  <c r="G27" i="4" s="1"/>
  <c r="B25" i="4"/>
  <c r="V25" i="4" s="1"/>
  <c r="B23" i="4"/>
  <c r="G23" i="4" s="1"/>
  <c r="B21" i="4"/>
  <c r="V21" i="4" s="1"/>
  <c r="B19" i="4"/>
  <c r="H19" i="4" s="1"/>
  <c r="B17" i="4"/>
  <c r="V17" i="4" s="1"/>
  <c r="B15" i="4"/>
  <c r="G15" i="4" s="1"/>
  <c r="B13" i="4"/>
  <c r="B224" i="4"/>
  <c r="G224" i="4" s="1"/>
  <c r="B222" i="4"/>
  <c r="V222" i="4" s="1"/>
  <c r="B220" i="4"/>
  <c r="H220" i="4" s="1"/>
  <c r="B218" i="4"/>
  <c r="G218" i="4" s="1"/>
  <c r="B216" i="4"/>
  <c r="G216" i="4" s="1"/>
  <c r="B214" i="4"/>
  <c r="G214" i="4" s="1"/>
  <c r="B212" i="4"/>
  <c r="V212" i="4" s="1"/>
  <c r="B210" i="4"/>
  <c r="G210" i="4" s="1"/>
  <c r="B208" i="4"/>
  <c r="G208" i="4" s="1"/>
  <c r="B206" i="4"/>
  <c r="G206" i="4" s="1"/>
  <c r="B204" i="4"/>
  <c r="V204" i="4" s="1"/>
  <c r="B202" i="4"/>
  <c r="G202" i="4" s="1"/>
  <c r="B200" i="4"/>
  <c r="G200" i="4" s="1"/>
  <c r="B198" i="4"/>
  <c r="B196" i="4"/>
  <c r="V196" i="4" s="1"/>
  <c r="B194" i="4"/>
  <c r="G194" i="4" s="1"/>
  <c r="B190" i="4"/>
  <c r="G190" i="4" s="1"/>
  <c r="B188" i="4"/>
  <c r="G188" i="4" s="1"/>
  <c r="B186" i="4"/>
  <c r="V186" i="4" s="1"/>
  <c r="B184" i="4"/>
  <c r="V184" i="4" s="1"/>
  <c r="B182" i="4"/>
  <c r="G182" i="4" s="1"/>
  <c r="B180" i="4"/>
  <c r="B176" i="4"/>
  <c r="V176" i="4" s="1"/>
  <c r="B174" i="4"/>
  <c r="G174" i="4" s="1"/>
  <c r="B172" i="4"/>
  <c r="V172" i="4" s="1"/>
  <c r="B170" i="4"/>
  <c r="V170" i="4" s="1"/>
  <c r="B168" i="4"/>
  <c r="V168" i="4" s="1"/>
  <c r="B166" i="4"/>
  <c r="G166" i="4" s="1"/>
  <c r="B164" i="4"/>
  <c r="V164" i="4" s="1"/>
  <c r="B162" i="4"/>
  <c r="V162" i="4" s="1"/>
  <c r="B160" i="4"/>
  <c r="G160" i="4" s="1"/>
  <c r="B158" i="4"/>
  <c r="V158" i="4" s="1"/>
  <c r="B156" i="4"/>
  <c r="V156" i="4" s="1"/>
  <c r="B154" i="4"/>
  <c r="G154" i="4" s="1"/>
  <c r="B152" i="4"/>
  <c r="G152" i="4" s="1"/>
  <c r="B150" i="4"/>
  <c r="G150" i="4" s="1"/>
  <c r="B148" i="4"/>
  <c r="V148" i="4" s="1"/>
  <c r="B146" i="4"/>
  <c r="B144" i="4"/>
  <c r="G144" i="4" s="1"/>
  <c r="B142" i="4"/>
  <c r="G142" i="4" s="1"/>
  <c r="B140" i="4"/>
  <c r="V140" i="4" s="1"/>
  <c r="B138" i="4"/>
  <c r="V138" i="4" s="1"/>
  <c r="B136" i="4"/>
  <c r="G136" i="4" s="1"/>
  <c r="B134" i="4"/>
  <c r="G134" i="4" s="1"/>
  <c r="B131" i="4"/>
  <c r="G131" i="4" s="1"/>
  <c r="B129" i="4"/>
  <c r="G129" i="4" s="1"/>
  <c r="B127" i="4"/>
  <c r="V127" i="4" s="1"/>
  <c r="B125" i="4"/>
  <c r="V125" i="4" s="1"/>
  <c r="B123" i="4"/>
  <c r="B121" i="4"/>
  <c r="G121" i="4" s="1"/>
  <c r="B119" i="4"/>
  <c r="G119" i="4" s="1"/>
  <c r="B117" i="4"/>
  <c r="V117" i="4" s="1"/>
  <c r="B115" i="4"/>
  <c r="B113" i="4"/>
  <c r="V113" i="4" s="1"/>
  <c r="B111" i="4"/>
  <c r="G111" i="4" s="1"/>
  <c r="B107" i="4"/>
  <c r="G107" i="4" s="1"/>
  <c r="B105" i="4"/>
  <c r="V105" i="4" s="1"/>
  <c r="B103" i="4"/>
  <c r="V103" i="4" s="1"/>
  <c r="B101" i="4"/>
  <c r="V101" i="4" s="1"/>
  <c r="B99" i="4"/>
  <c r="G99" i="4" s="1"/>
  <c r="B97" i="4"/>
  <c r="G97" i="4" s="1"/>
  <c r="B95" i="4"/>
  <c r="G95" i="4" s="1"/>
  <c r="B93" i="4"/>
  <c r="G93" i="4" s="1"/>
  <c r="B89" i="4"/>
  <c r="G89" i="4" s="1"/>
  <c r="B87" i="4"/>
  <c r="V87" i="4" s="1"/>
  <c r="B85" i="4"/>
  <c r="V85" i="4" s="1"/>
  <c r="B83" i="4"/>
  <c r="G83" i="4" s="1"/>
  <c r="B81" i="4"/>
  <c r="G81" i="4" s="1"/>
  <c r="B79" i="4"/>
  <c r="G79" i="4" s="1"/>
  <c r="B75" i="4"/>
  <c r="V75" i="4" s="1"/>
  <c r="B383" i="4"/>
  <c r="G383" i="4" s="1"/>
  <c r="B381" i="4"/>
  <c r="V381" i="4" s="1"/>
  <c r="B369" i="4"/>
  <c r="G369" i="4" s="1"/>
  <c r="B365" i="4"/>
  <c r="V365" i="4" s="1"/>
  <c r="B363" i="4"/>
  <c r="V363" i="4" s="1"/>
  <c r="B361" i="4"/>
  <c r="V361" i="4" s="1"/>
  <c r="B359" i="4"/>
  <c r="V359" i="4" s="1"/>
  <c r="B357" i="4"/>
  <c r="G357" i="4" s="1"/>
  <c r="B355" i="4"/>
  <c r="G355" i="4" s="1"/>
  <c r="B353" i="4"/>
  <c r="V353" i="4" s="1"/>
  <c r="B351" i="4"/>
  <c r="G351" i="4" s="1"/>
  <c r="B345" i="4"/>
  <c r="V345" i="4" s="1"/>
  <c r="B343" i="4"/>
  <c r="V343" i="4" s="1"/>
  <c r="B341" i="4"/>
  <c r="H341" i="4" s="1"/>
  <c r="B339" i="4"/>
  <c r="V339" i="4" s="1"/>
  <c r="B335" i="4"/>
  <c r="G335" i="4" s="1"/>
  <c r="B333" i="4"/>
  <c r="V333" i="4" s="1"/>
  <c r="B330" i="4"/>
  <c r="V330" i="4" s="1"/>
  <c r="B328" i="4"/>
  <c r="G328" i="4" s="1"/>
  <c r="B326" i="4"/>
  <c r="H326" i="4" s="1"/>
  <c r="B324" i="4"/>
  <c r="V324" i="4" s="1"/>
  <c r="B322" i="4"/>
  <c r="H322" i="4" s="1"/>
  <c r="B320" i="4"/>
  <c r="G320" i="4" s="1"/>
  <c r="B318" i="4"/>
  <c r="H318" i="4" s="1"/>
  <c r="B316" i="4"/>
  <c r="G316" i="4" s="1"/>
  <c r="B314" i="4"/>
  <c r="B312" i="4"/>
  <c r="H312" i="4" s="1"/>
  <c r="B310" i="4"/>
  <c r="G310" i="4" s="1"/>
  <c r="B308" i="4"/>
  <c r="G308" i="4" s="1"/>
  <c r="B306" i="4"/>
  <c r="G306" i="4" s="1"/>
  <c r="B304" i="4"/>
  <c r="G304" i="4" s="1"/>
  <c r="B302" i="4"/>
  <c r="G302" i="4" s="1"/>
  <c r="B300" i="4"/>
  <c r="G300" i="4" s="1"/>
  <c r="B298" i="4"/>
  <c r="V298" i="4" s="1"/>
  <c r="B296" i="4"/>
  <c r="G296" i="4" s="1"/>
  <c r="B294" i="4"/>
  <c r="V294" i="4" s="1"/>
  <c r="B292" i="4"/>
  <c r="G292" i="4" s="1"/>
  <c r="B290" i="4"/>
  <c r="G290" i="4" s="1"/>
  <c r="B288" i="4"/>
  <c r="G288" i="4" s="1"/>
  <c r="B286" i="4"/>
  <c r="V286" i="4" s="1"/>
  <c r="B282" i="4"/>
  <c r="V282" i="4" s="1"/>
  <c r="B280" i="4"/>
  <c r="V280" i="4" s="1"/>
  <c r="B278" i="4"/>
  <c r="V278" i="4" s="1"/>
  <c r="B276" i="4"/>
  <c r="G276" i="4" s="1"/>
  <c r="B275" i="4"/>
  <c r="V275" i="4" s="1"/>
  <c r="B274" i="4"/>
  <c r="V274" i="4" s="1"/>
  <c r="B272" i="4"/>
  <c r="V272" i="4" s="1"/>
  <c r="B270" i="4"/>
  <c r="V270" i="4" s="1"/>
  <c r="B268" i="4"/>
  <c r="V268" i="4" s="1"/>
  <c r="B266" i="4"/>
  <c r="V266" i="4" s="1"/>
  <c r="B264" i="4"/>
  <c r="V264" i="4" s="1"/>
  <c r="B262" i="4"/>
  <c r="G262" i="4" s="1"/>
  <c r="B260" i="4"/>
  <c r="V260" i="4" s="1"/>
  <c r="B258" i="4"/>
  <c r="V258" i="4" s="1"/>
  <c r="B256" i="4"/>
  <c r="V256" i="4" s="1"/>
  <c r="B254" i="4"/>
  <c r="G254" i="4" s="1"/>
  <c r="B252" i="4"/>
  <c r="G252" i="4" s="1"/>
  <c r="B250" i="4"/>
  <c r="V250" i="4" s="1"/>
  <c r="B248" i="4"/>
  <c r="V248" i="4" s="1"/>
  <c r="B246" i="4"/>
  <c r="G246" i="4" s="1"/>
  <c r="B244" i="4"/>
  <c r="H244" i="4" s="1"/>
  <c r="B242" i="4"/>
  <c r="V242" i="4" s="1"/>
  <c r="B240" i="4"/>
  <c r="V240" i="4" s="1"/>
  <c r="B238" i="4"/>
  <c r="V238" i="4" s="1"/>
  <c r="B236" i="4"/>
  <c r="G236" i="4" s="1"/>
  <c r="B234" i="4"/>
  <c r="V234" i="4" s="1"/>
  <c r="B232" i="4"/>
  <c r="V232" i="4" s="1"/>
  <c r="B230" i="4"/>
  <c r="G230" i="4" s="1"/>
  <c r="B228" i="4"/>
  <c r="G228" i="4" s="1"/>
  <c r="B72" i="4"/>
  <c r="V72" i="4" s="1"/>
  <c r="B68" i="4"/>
  <c r="V68" i="4" s="1"/>
  <c r="B66" i="4"/>
  <c r="V66" i="4" s="1"/>
  <c r="B64" i="4"/>
  <c r="G64" i="4" s="1"/>
  <c r="B62" i="4"/>
  <c r="G62" i="4" s="1"/>
  <c r="B60" i="4"/>
  <c r="V60" i="4" s="1"/>
  <c r="B56" i="4"/>
  <c r="V56" i="4" s="1"/>
  <c r="B54" i="4"/>
  <c r="V54" i="4" s="1"/>
  <c r="B52" i="4"/>
  <c r="V52" i="4" s="1"/>
  <c r="B50" i="4"/>
  <c r="V50" i="4" s="1"/>
  <c r="B48" i="4"/>
  <c r="V48" i="4" s="1"/>
  <c r="B46" i="4"/>
  <c r="V46" i="4" s="1"/>
  <c r="B44" i="4"/>
  <c r="V44" i="4" s="1"/>
  <c r="B42" i="4"/>
  <c r="V42" i="4" s="1"/>
  <c r="B40" i="4"/>
  <c r="V40" i="4" s="1"/>
  <c r="B38" i="4"/>
  <c r="G38" i="4" s="1"/>
  <c r="B36" i="4"/>
  <c r="V36" i="4" s="1"/>
  <c r="B34" i="4"/>
  <c r="G34" i="4" s="1"/>
  <c r="B30" i="4"/>
  <c r="V30" i="4" s="1"/>
  <c r="B28" i="4"/>
  <c r="V28" i="4" s="1"/>
  <c r="B24" i="4"/>
  <c r="V24" i="4" s="1"/>
  <c r="B22" i="4"/>
  <c r="V22" i="4" s="1"/>
  <c r="B20" i="4"/>
  <c r="V20" i="4" s="1"/>
  <c r="P453" i="36"/>
  <c r="AK453" i="36" s="1"/>
  <c r="P483" i="36"/>
  <c r="AK483" i="36" s="1"/>
  <c r="P451" i="36"/>
  <c r="AK451" i="36" s="1"/>
  <c r="P448" i="36"/>
  <c r="AK448" i="36" s="1"/>
  <c r="P472" i="36"/>
  <c r="AK472" i="36" s="1"/>
  <c r="P476" i="36"/>
  <c r="AJ476" i="36" s="1"/>
  <c r="P443" i="36"/>
  <c r="AK443" i="36" s="1"/>
  <c r="P456" i="36"/>
  <c r="AJ456" i="36" s="1"/>
  <c r="P465" i="36"/>
  <c r="AK465" i="36" s="1"/>
  <c r="P463" i="36"/>
  <c r="AJ463" i="36" s="1"/>
  <c r="P482" i="36"/>
  <c r="AJ482" i="36" s="1"/>
  <c r="P469" i="36"/>
  <c r="AJ469" i="36" s="1"/>
  <c r="P447" i="36"/>
  <c r="AJ447" i="36" s="1"/>
  <c r="P461" i="36"/>
  <c r="AJ461" i="36" s="1"/>
  <c r="P479" i="36"/>
  <c r="X478" i="9" s="1"/>
  <c r="P475" i="36"/>
  <c r="AK475" i="36" s="1"/>
  <c r="P484" i="36"/>
  <c r="AK484" i="36" s="1"/>
  <c r="P464" i="36"/>
  <c r="AJ464" i="36" s="1"/>
  <c r="P436" i="36"/>
  <c r="AJ436" i="36" s="1"/>
  <c r="P487" i="36"/>
  <c r="AJ487" i="36" s="1"/>
  <c r="P438" i="36"/>
  <c r="AJ438" i="36" s="1"/>
  <c r="P437" i="36"/>
  <c r="AJ437" i="36" s="1"/>
  <c r="P470" i="36"/>
  <c r="AK470" i="36" s="1"/>
  <c r="P442" i="36"/>
  <c r="AJ442" i="36" s="1"/>
  <c r="P452" i="36"/>
  <c r="AK452" i="36" s="1"/>
  <c r="P488" i="36"/>
  <c r="AK488" i="36" s="1"/>
  <c r="P444" i="36"/>
  <c r="AJ444" i="36" s="1"/>
  <c r="AH438" i="36"/>
  <c r="AH467" i="36"/>
  <c r="P467" i="36"/>
  <c r="AJ467" i="36" s="1"/>
  <c r="AH485" i="36"/>
  <c r="P485" i="36"/>
  <c r="X484" i="9" s="1"/>
  <c r="AH445" i="36"/>
  <c r="P445" i="36"/>
  <c r="AJ445" i="36" s="1"/>
  <c r="AH435" i="36"/>
  <c r="P435" i="36"/>
  <c r="AJ435" i="36" s="1"/>
  <c r="AH480" i="36"/>
  <c r="P480" i="36"/>
  <c r="AK480" i="36" s="1"/>
  <c r="AH441" i="36"/>
  <c r="P441" i="36"/>
  <c r="AK441" i="36" s="1"/>
  <c r="AH440" i="36"/>
  <c r="P440" i="36"/>
  <c r="AJ440" i="36" s="1"/>
  <c r="AH471" i="36"/>
  <c r="P471" i="36"/>
  <c r="AJ471" i="36" s="1"/>
  <c r="AH439" i="36"/>
  <c r="P439" i="36"/>
  <c r="AJ439" i="36" s="1"/>
  <c r="AH457" i="36"/>
  <c r="P457" i="36"/>
  <c r="AK457" i="36" s="1"/>
  <c r="AH468" i="36"/>
  <c r="P468" i="36"/>
  <c r="AK468" i="36" s="1"/>
  <c r="AH449" i="36"/>
  <c r="P449" i="36"/>
  <c r="AJ449" i="36" s="1"/>
  <c r="AH453" i="36"/>
  <c r="AH475" i="36"/>
  <c r="AH463" i="36"/>
  <c r="AH484" i="36"/>
  <c r="AH464" i="36"/>
  <c r="B429" i="4"/>
  <c r="B423" i="4"/>
  <c r="B417" i="4"/>
  <c r="B405" i="4"/>
  <c r="B400" i="4"/>
  <c r="B394" i="4"/>
  <c r="B389" i="4"/>
  <c r="B386" i="4"/>
  <c r="B380" i="4"/>
  <c r="B376" i="4"/>
  <c r="B374" i="4"/>
  <c r="B368" i="4"/>
  <c r="B364" i="4"/>
  <c r="V488" i="9"/>
  <c r="X489" i="9"/>
  <c r="V491" i="8"/>
  <c r="M488" i="6"/>
  <c r="F488" i="5"/>
  <c r="V434" i="4"/>
  <c r="V442" i="4"/>
  <c r="V450" i="4"/>
  <c r="V458" i="4"/>
  <c r="V466" i="4"/>
  <c r="V473" i="4"/>
  <c r="V481" i="4"/>
  <c r="V489" i="4"/>
  <c r="AV489" i="4"/>
  <c r="G440" i="4"/>
  <c r="G448" i="4"/>
  <c r="G456" i="4"/>
  <c r="G464" i="4"/>
  <c r="G471" i="4"/>
  <c r="G479" i="4"/>
  <c r="G487" i="4"/>
  <c r="AA492" i="6"/>
  <c r="H434" i="4"/>
  <c r="H442" i="4"/>
  <c r="H450" i="4"/>
  <c r="H458" i="4"/>
  <c r="H466" i="4"/>
  <c r="H473" i="4"/>
  <c r="H481" i="4"/>
  <c r="H489" i="4"/>
  <c r="G435" i="4"/>
  <c r="G443" i="4"/>
  <c r="G451" i="4"/>
  <c r="G459" i="4"/>
  <c r="G467" i="4"/>
  <c r="G474" i="4"/>
  <c r="V446" i="4"/>
  <c r="V462" i="4"/>
  <c r="V477" i="4"/>
  <c r="H435" i="4"/>
  <c r="H451" i="4"/>
  <c r="H467" i="4"/>
  <c r="G444" i="4"/>
  <c r="G460" i="4"/>
  <c r="G475" i="4"/>
  <c r="G491" i="4"/>
  <c r="V447" i="4"/>
  <c r="V463" i="4"/>
  <c r="V478" i="4"/>
  <c r="H438" i="4"/>
  <c r="H454" i="4"/>
  <c r="H469" i="4"/>
  <c r="H485" i="4"/>
  <c r="G447" i="4"/>
  <c r="G463" i="4"/>
  <c r="G478" i="4"/>
  <c r="V438" i="4"/>
  <c r="V454" i="4"/>
  <c r="V469" i="4"/>
  <c r="V485" i="4"/>
  <c r="Y489" i="4"/>
  <c r="H443" i="4"/>
  <c r="H459" i="4"/>
  <c r="H474" i="4"/>
  <c r="G436" i="4"/>
  <c r="G452" i="4"/>
  <c r="G468" i="4"/>
  <c r="G483" i="4"/>
  <c r="V455" i="4"/>
  <c r="H462" i="4"/>
  <c r="G470" i="4"/>
  <c r="V439" i="4"/>
  <c r="H446" i="4"/>
  <c r="G455" i="4"/>
  <c r="B12" i="4"/>
  <c r="V12" i="4" s="1"/>
  <c r="V470" i="4"/>
  <c r="H477" i="4"/>
  <c r="G439" i="4"/>
  <c r="G486" i="4"/>
  <c r="V486" i="4"/>
  <c r="V487" i="4"/>
  <c r="V475" i="4"/>
  <c r="G466" i="4"/>
  <c r="G458" i="4"/>
  <c r="G450" i="4"/>
  <c r="G442" i="4"/>
  <c r="G434" i="4"/>
  <c r="AV492" i="4"/>
  <c r="Y490" i="4"/>
  <c r="M490" i="4"/>
  <c r="AV490" i="4"/>
  <c r="G488" i="4"/>
  <c r="H486" i="4"/>
  <c r="V482" i="4"/>
  <c r="V474" i="4"/>
  <c r="V459" i="4"/>
  <c r="V443" i="4"/>
  <c r="Y492" i="4"/>
  <c r="AA491" i="6"/>
  <c r="M489" i="6"/>
  <c r="Y489" i="6"/>
  <c r="G480" i="4"/>
  <c r="V476" i="4"/>
  <c r="H472" i="4"/>
  <c r="G465" i="4"/>
  <c r="V461" i="4"/>
  <c r="H457" i="4"/>
  <c r="G449" i="4"/>
  <c r="V445" i="4"/>
  <c r="H441" i="4"/>
  <c r="G433" i="4"/>
  <c r="AV491" i="4"/>
  <c r="H479" i="4"/>
  <c r="H464" i="4"/>
  <c r="H448" i="4"/>
  <c r="AT491" i="4"/>
  <c r="W490" i="8"/>
  <c r="Z490" i="6"/>
  <c r="M490" i="6"/>
  <c r="Z488" i="6"/>
  <c r="M492" i="6"/>
  <c r="X491" i="9"/>
  <c r="X489" i="8"/>
  <c r="X491" i="8"/>
  <c r="V492" i="8"/>
  <c r="W491" i="9"/>
  <c r="V489" i="9"/>
  <c r="G485" i="4"/>
  <c r="V483" i="4"/>
  <c r="V471" i="4"/>
  <c r="V464" i="4"/>
  <c r="V456" i="4"/>
  <c r="V448" i="4"/>
  <c r="V440" i="4"/>
  <c r="V492" i="4"/>
  <c r="G490" i="4"/>
  <c r="H490" i="4"/>
  <c r="AT488" i="4"/>
  <c r="G484" i="4"/>
  <c r="G482" i="4"/>
  <c r="H470" i="4"/>
  <c r="H455" i="4"/>
  <c r="H439" i="4"/>
  <c r="F486" i="5"/>
  <c r="M491" i="6"/>
  <c r="V480" i="4"/>
  <c r="H476" i="4"/>
  <c r="V465" i="4"/>
  <c r="H461" i="4"/>
  <c r="G453" i="4"/>
  <c r="V449" i="4"/>
  <c r="H445" i="4"/>
  <c r="G437" i="4"/>
  <c r="V433" i="4"/>
  <c r="Y491" i="4"/>
  <c r="H491" i="4"/>
  <c r="H475" i="4"/>
  <c r="H460" i="4"/>
  <c r="H444" i="4"/>
  <c r="M491" i="4"/>
  <c r="Y490" i="6"/>
  <c r="AA488" i="6"/>
  <c r="Z492" i="6"/>
  <c r="V490" i="8"/>
  <c r="V489" i="8"/>
  <c r="W489" i="9"/>
  <c r="X490" i="9"/>
  <c r="G477" i="4"/>
  <c r="V468" i="4"/>
  <c r="V460" i="4"/>
  <c r="V452" i="4"/>
  <c r="V436" i="4"/>
  <c r="AT492" i="4"/>
  <c r="V490" i="4"/>
  <c r="AV488" i="4"/>
  <c r="H447" i="4"/>
  <c r="Z491" i="6"/>
  <c r="Z489" i="6"/>
  <c r="G476" i="4"/>
  <c r="V472" i="4"/>
  <c r="G461" i="4"/>
  <c r="V457" i="4"/>
  <c r="H453" i="4"/>
  <c r="G445" i="4"/>
  <c r="V441" i="4"/>
  <c r="H437" i="4"/>
  <c r="H468" i="4"/>
  <c r="H452" i="4"/>
  <c r="Y488" i="6"/>
  <c r="V492" i="9"/>
  <c r="V490" i="9"/>
  <c r="G481" i="4"/>
  <c r="V491" i="4"/>
  <c r="V479" i="4"/>
  <c r="G469" i="4"/>
  <c r="G462" i="4"/>
  <c r="G454" i="4"/>
  <c r="G446" i="4"/>
  <c r="G438" i="4"/>
  <c r="H492" i="4"/>
  <c r="M492" i="4"/>
  <c r="AT490" i="4"/>
  <c r="Y488" i="4"/>
  <c r="V488" i="4"/>
  <c r="M488" i="4"/>
  <c r="V484" i="4"/>
  <c r="H482" i="4"/>
  <c r="V467" i="4"/>
  <c r="V451" i="4"/>
  <c r="V435" i="4"/>
  <c r="Y491" i="6"/>
  <c r="AA489" i="6"/>
  <c r="H480" i="4"/>
  <c r="G472" i="4"/>
  <c r="H465" i="4"/>
  <c r="G457" i="4"/>
  <c r="V453" i="4"/>
  <c r="H449" i="4"/>
  <c r="G441" i="4"/>
  <c r="V437" i="4"/>
  <c r="H433" i="4"/>
  <c r="G489" i="4"/>
  <c r="AT489" i="4"/>
  <c r="H487" i="4"/>
  <c r="H471" i="4"/>
  <c r="H456" i="4"/>
  <c r="H440" i="4"/>
  <c r="W488" i="8"/>
  <c r="Y492" i="6"/>
  <c r="AA490" i="6"/>
  <c r="W492" i="8"/>
  <c r="W489" i="8"/>
  <c r="W491" i="8"/>
  <c r="X488" i="8"/>
  <c r="V491" i="9"/>
  <c r="W492" i="9"/>
  <c r="W490" i="9"/>
  <c r="W488" i="9"/>
  <c r="G473" i="4"/>
  <c r="M489" i="4"/>
  <c r="V444" i="4"/>
  <c r="G492" i="4"/>
  <c r="H488" i="4"/>
  <c r="H484" i="4"/>
  <c r="H478" i="4"/>
  <c r="H463" i="4"/>
  <c r="H483" i="4"/>
  <c r="H436" i="4"/>
  <c r="X492" i="8"/>
  <c r="V488" i="8"/>
  <c r="X490" i="8"/>
  <c r="X492" i="9"/>
  <c r="X488" i="9"/>
  <c r="V225" i="4"/>
  <c r="W225" i="4" s="1"/>
  <c r="V73" i="4"/>
  <c r="G73" i="4"/>
  <c r="G225" i="4"/>
  <c r="M454" i="6"/>
  <c r="M446" i="6"/>
  <c r="M482" i="6"/>
  <c r="M474" i="6"/>
  <c r="M458" i="6"/>
  <c r="M444" i="6"/>
  <c r="M434" i="6"/>
  <c r="M469" i="6"/>
  <c r="M467" i="6"/>
  <c r="M461" i="6"/>
  <c r="M453" i="6"/>
  <c r="M437" i="6"/>
  <c r="M440" i="6"/>
  <c r="M459" i="6"/>
  <c r="M443" i="6"/>
  <c r="M442" i="6"/>
  <c r="M468" i="6"/>
  <c r="M466" i="6"/>
  <c r="M460" i="6"/>
  <c r="M448" i="6"/>
  <c r="M436" i="6"/>
  <c r="M487" i="6"/>
  <c r="M479" i="6"/>
  <c r="M463" i="6"/>
  <c r="M455" i="6"/>
  <c r="M447" i="6"/>
  <c r="M451" i="6"/>
  <c r="M450" i="6"/>
  <c r="M486" i="6"/>
  <c r="M484" i="6"/>
  <c r="M480" i="6"/>
  <c r="M478" i="6"/>
  <c r="M476" i="6"/>
  <c r="M470" i="6"/>
  <c r="M462" i="6"/>
  <c r="M452" i="6"/>
  <c r="M438" i="6"/>
  <c r="M485" i="6"/>
  <c r="M481" i="6"/>
  <c r="M473" i="6"/>
  <c r="M465" i="6"/>
  <c r="M449" i="6"/>
  <c r="M445" i="6"/>
  <c r="M441" i="6"/>
  <c r="M439" i="6"/>
  <c r="M435" i="6"/>
  <c r="M472" i="6"/>
  <c r="M464" i="6"/>
  <c r="M456" i="6"/>
  <c r="M483" i="6"/>
  <c r="M477" i="6"/>
  <c r="M475" i="6"/>
  <c r="M471" i="6"/>
  <c r="M457" i="6"/>
  <c r="H196" i="4"/>
  <c r="V192" i="4"/>
  <c r="H192" i="4"/>
  <c r="G192" i="4"/>
  <c r="G178" i="4"/>
  <c r="V178" i="4"/>
  <c r="H178" i="4"/>
  <c r="B109" i="4"/>
  <c r="V93" i="4"/>
  <c r="B91" i="4"/>
  <c r="B77" i="4"/>
  <c r="E77" i="4" s="1"/>
  <c r="AH443" i="36"/>
  <c r="AH472" i="36"/>
  <c r="AH452" i="36"/>
  <c r="AH442" i="36"/>
  <c r="G425" i="4"/>
  <c r="V425" i="4"/>
  <c r="H425" i="4"/>
  <c r="B419" i="4"/>
  <c r="B413" i="4"/>
  <c r="B411" i="4"/>
  <c r="B407" i="4"/>
  <c r="B402" i="4"/>
  <c r="B396" i="4"/>
  <c r="B392" i="4"/>
  <c r="B388" i="4"/>
  <c r="D388" i="4" s="1"/>
  <c r="B382" i="4"/>
  <c r="G372" i="4"/>
  <c r="V372" i="4"/>
  <c r="B340" i="4"/>
  <c r="B336" i="4"/>
  <c r="G325" i="4"/>
  <c r="G317" i="4"/>
  <c r="V307" i="4"/>
  <c r="G301" i="4"/>
  <c r="G277" i="4"/>
  <c r="V277" i="4"/>
  <c r="H267" i="4"/>
  <c r="V267" i="4"/>
  <c r="V251" i="4"/>
  <c r="V71" i="4"/>
  <c r="V55" i="4"/>
  <c r="G55" i="4"/>
  <c r="V39" i="4"/>
  <c r="V31" i="4"/>
  <c r="V15" i="4"/>
  <c r="AH488" i="36"/>
  <c r="AH470" i="36"/>
  <c r="AH437" i="36"/>
  <c r="B432" i="4"/>
  <c r="E432" i="4" s="1"/>
  <c r="B430" i="4"/>
  <c r="B428" i="4"/>
  <c r="F428" i="4" s="1"/>
  <c r="B426" i="4"/>
  <c r="B424" i="4"/>
  <c r="F424" i="4" s="1"/>
  <c r="B422" i="4"/>
  <c r="E422" i="4" s="1"/>
  <c r="B420" i="4"/>
  <c r="M420" i="4" s="1"/>
  <c r="AE420" i="4" s="1"/>
  <c r="B418" i="4"/>
  <c r="E418" i="4" s="1"/>
  <c r="B416" i="4"/>
  <c r="F416" i="4" s="1"/>
  <c r="B414" i="4"/>
  <c r="E414" i="4" s="1"/>
  <c r="B412" i="4"/>
  <c r="B410" i="4"/>
  <c r="B408" i="4"/>
  <c r="F408" i="4" s="1"/>
  <c r="B406" i="4"/>
  <c r="B404" i="4"/>
  <c r="B403" i="4"/>
  <c r="B401" i="4"/>
  <c r="F401" i="4" s="1"/>
  <c r="B399" i="4"/>
  <c r="F399" i="4" s="1"/>
  <c r="B397" i="4"/>
  <c r="F397" i="4" s="1"/>
  <c r="B395" i="4"/>
  <c r="B393" i="4"/>
  <c r="E393" i="4" s="1"/>
  <c r="B391" i="4"/>
  <c r="B390" i="4"/>
  <c r="D390" i="4" s="1"/>
  <c r="B387" i="4"/>
  <c r="D387" i="4" s="1"/>
  <c r="B385" i="4"/>
  <c r="B379" i="4"/>
  <c r="B377" i="4"/>
  <c r="B375" i="4"/>
  <c r="B373" i="4"/>
  <c r="B371" i="4"/>
  <c r="B367" i="4"/>
  <c r="B349" i="4"/>
  <c r="B347" i="4"/>
  <c r="H343" i="4"/>
  <c r="B337" i="4"/>
  <c r="V308" i="4"/>
  <c r="B284" i="4"/>
  <c r="G268" i="4"/>
  <c r="G226" i="4"/>
  <c r="V226" i="4"/>
  <c r="H226" i="4"/>
  <c r="B70" i="4"/>
  <c r="E70" i="4" s="1"/>
  <c r="B58" i="4"/>
  <c r="F58" i="4" s="1"/>
  <c r="B32" i="4"/>
  <c r="E32" i="4" s="1"/>
  <c r="B26" i="4"/>
  <c r="E26" i="4" s="1"/>
  <c r="B18" i="4"/>
  <c r="B16" i="4"/>
  <c r="V14" i="4"/>
  <c r="G14" i="4"/>
  <c r="H14" i="4"/>
  <c r="AH483" i="36"/>
  <c r="AH482" i="36"/>
  <c r="AH461" i="36"/>
  <c r="AH476" i="36"/>
  <c r="AH444" i="36"/>
  <c r="AH479" i="36"/>
  <c r="AH469" i="36"/>
  <c r="AH456" i="36"/>
  <c r="B431" i="4"/>
  <c r="B427" i="4"/>
  <c r="B421" i="4"/>
  <c r="F421" i="4" s="1"/>
  <c r="B415" i="4"/>
  <c r="B398" i="4"/>
  <c r="M398" i="4" s="1"/>
  <c r="B384" i="4"/>
  <c r="M384" i="4" s="1"/>
  <c r="B378" i="4"/>
  <c r="E378" i="4" s="1"/>
  <c r="B366" i="4"/>
  <c r="M366" i="4" s="1"/>
  <c r="AE366" i="4" s="1"/>
  <c r="B342" i="4"/>
  <c r="D342" i="4" s="1"/>
  <c r="B338" i="4"/>
  <c r="E338" i="4" s="1"/>
  <c r="B327" i="4"/>
  <c r="G309" i="4"/>
  <c r="G297" i="4"/>
  <c r="G249" i="4"/>
  <c r="G243" i="4"/>
  <c r="V231" i="4"/>
  <c r="B229" i="4"/>
  <c r="V223" i="4"/>
  <c r="G223" i="4"/>
  <c r="G221" i="4"/>
  <c r="V219" i="4"/>
  <c r="G215" i="4"/>
  <c r="V215" i="4"/>
  <c r="G213" i="4"/>
  <c r="V209" i="4"/>
  <c r="V207" i="4"/>
  <c r="G207" i="4"/>
  <c r="G205" i="4"/>
  <c r="G203" i="4"/>
  <c r="G199" i="4"/>
  <c r="V199" i="4"/>
  <c r="G197" i="4"/>
  <c r="V197" i="4"/>
  <c r="V191" i="4"/>
  <c r="G191" i="4"/>
  <c r="B189" i="4"/>
  <c r="F189" i="4" s="1"/>
  <c r="V187" i="4"/>
  <c r="G187" i="4"/>
  <c r="B185" i="4"/>
  <c r="M185" i="4" s="1"/>
  <c r="G183" i="4"/>
  <c r="H183" i="4"/>
  <c r="V183" i="4"/>
  <c r="G177" i="4"/>
  <c r="V177" i="4"/>
  <c r="G169" i="4"/>
  <c r="V169" i="4"/>
  <c r="G167" i="4"/>
  <c r="V167" i="4"/>
  <c r="G161" i="4"/>
  <c r="V161" i="4"/>
  <c r="G153" i="4"/>
  <c r="V153" i="4"/>
  <c r="G151" i="4"/>
  <c r="V151" i="4"/>
  <c r="G145" i="4"/>
  <c r="V145" i="4"/>
  <c r="G137" i="4"/>
  <c r="V137" i="4"/>
  <c r="G135" i="4"/>
  <c r="V135" i="4"/>
  <c r="B130" i="4"/>
  <c r="V128" i="4"/>
  <c r="G128" i="4"/>
  <c r="V126" i="4"/>
  <c r="V124" i="4"/>
  <c r="G120" i="4"/>
  <c r="H120" i="4"/>
  <c r="V120" i="4"/>
  <c r="V118" i="4"/>
  <c r="G114" i="4"/>
  <c r="V112" i="4"/>
  <c r="G112" i="4"/>
  <c r="V110" i="4"/>
  <c r="V108" i="4"/>
  <c r="G104" i="4"/>
  <c r="V104" i="4"/>
  <c r="V102" i="4"/>
  <c r="V98" i="4"/>
  <c r="V96" i="4"/>
  <c r="G96" i="4"/>
  <c r="V94" i="4"/>
  <c r="G92" i="4"/>
  <c r="G88" i="4"/>
  <c r="V88" i="4"/>
  <c r="V86" i="4"/>
  <c r="V80" i="4"/>
  <c r="G80" i="4"/>
  <c r="G78" i="4"/>
  <c r="V76" i="4"/>
  <c r="V74" i="4"/>
  <c r="AH465" i="36"/>
  <c r="AH447" i="36"/>
  <c r="AH487" i="36"/>
  <c r="AH436" i="36"/>
  <c r="AH451" i="36"/>
  <c r="AH448" i="36"/>
  <c r="F428" i="36"/>
  <c r="F422" i="36"/>
  <c r="F416" i="36"/>
  <c r="F410" i="36"/>
  <c r="F406" i="36"/>
  <c r="F401" i="36"/>
  <c r="F395" i="36"/>
  <c r="F385" i="36"/>
  <c r="F379" i="36"/>
  <c r="F373" i="36"/>
  <c r="F367" i="36"/>
  <c r="F361" i="36"/>
  <c r="F355" i="36"/>
  <c r="F349" i="36"/>
  <c r="F343" i="36"/>
  <c r="F337" i="36"/>
  <c r="F330" i="36"/>
  <c r="F324" i="36"/>
  <c r="F318" i="36"/>
  <c r="F312" i="36"/>
  <c r="F306" i="36"/>
  <c r="F300" i="36"/>
  <c r="F296" i="36"/>
  <c r="F290" i="36"/>
  <c r="F286" i="36"/>
  <c r="F282" i="36"/>
  <c r="F272" i="36"/>
  <c r="F266" i="36"/>
  <c r="F260" i="36"/>
  <c r="F254" i="36"/>
  <c r="F248" i="36"/>
  <c r="F242" i="36"/>
  <c r="F226" i="36"/>
  <c r="F101" i="36"/>
  <c r="F91" i="36"/>
  <c r="F71" i="36"/>
  <c r="F51" i="36"/>
  <c r="F33" i="36"/>
  <c r="F29" i="36"/>
  <c r="F21" i="36"/>
  <c r="F13" i="36"/>
  <c r="W439" i="8"/>
  <c r="V435" i="8"/>
  <c r="V437" i="8"/>
  <c r="W441" i="8"/>
  <c r="V449" i="8"/>
  <c r="V451" i="8"/>
  <c r="V453" i="8"/>
  <c r="V455" i="8"/>
  <c r="V457" i="8"/>
  <c r="V459" i="8"/>
  <c r="W463" i="8"/>
  <c r="V439" i="9"/>
  <c r="X459" i="9"/>
  <c r="V465" i="9"/>
  <c r="X476" i="9"/>
  <c r="V478" i="9"/>
  <c r="X480" i="9"/>
  <c r="V482" i="9"/>
  <c r="W439" i="9"/>
  <c r="W465" i="9"/>
  <c r="W470" i="9"/>
  <c r="V455" i="9"/>
  <c r="V472" i="9"/>
  <c r="V486" i="9"/>
  <c r="W445" i="8"/>
  <c r="V442" i="9"/>
  <c r="V447" i="9"/>
  <c r="W482" i="9"/>
  <c r="W437" i="8"/>
  <c r="V447" i="8"/>
  <c r="W451" i="8"/>
  <c r="W455" i="8"/>
  <c r="X459" i="8"/>
  <c r="V461" i="8"/>
  <c r="W470" i="8"/>
  <c r="X472" i="8"/>
  <c r="V474" i="8"/>
  <c r="W478" i="8"/>
  <c r="V445" i="8"/>
  <c r="W453" i="8"/>
  <c r="W461" i="8"/>
  <c r="W477" i="9"/>
  <c r="W435" i="8"/>
  <c r="X453" i="8"/>
  <c r="V465" i="8"/>
  <c r="V472" i="8"/>
  <c r="W443" i="8"/>
  <c r="W449" i="8"/>
  <c r="W457" i="8"/>
  <c r="X465" i="8"/>
  <c r="V467" i="8"/>
  <c r="W472" i="8"/>
  <c r="V476" i="8"/>
  <c r="W467" i="8"/>
  <c r="V480" i="8"/>
  <c r="Y436" i="6"/>
  <c r="Z438" i="6"/>
  <c r="Y454" i="6"/>
  <c r="Y456" i="6"/>
  <c r="Z458" i="6"/>
  <c r="Z471" i="6"/>
  <c r="V482" i="8"/>
  <c r="V486" i="8"/>
  <c r="Y434" i="6"/>
  <c r="Z436" i="6"/>
  <c r="Y443" i="6"/>
  <c r="Z445" i="6"/>
  <c r="Y450" i="6"/>
  <c r="Y452" i="6"/>
  <c r="V439" i="8"/>
  <c r="X449" i="8"/>
  <c r="X454" i="8"/>
  <c r="X457" i="8"/>
  <c r="X476" i="8"/>
  <c r="Y444" i="6"/>
  <c r="Z446" i="6"/>
  <c r="Y464" i="6"/>
  <c r="Z466" i="6"/>
  <c r="Z475" i="6"/>
  <c r="AA477" i="6"/>
  <c r="F435" i="5"/>
  <c r="F466" i="5"/>
  <c r="F482" i="5"/>
  <c r="V478" i="8"/>
  <c r="Y451" i="6"/>
  <c r="Y473" i="6"/>
  <c r="Y479" i="6"/>
  <c r="F463" i="5"/>
  <c r="W485" i="9"/>
  <c r="Y435" i="6"/>
  <c r="Y442" i="6"/>
  <c r="AA459" i="6"/>
  <c r="V475" i="8"/>
  <c r="Z453" i="6"/>
  <c r="Z455" i="6"/>
  <c r="Z457" i="6"/>
  <c r="AA458" i="6"/>
  <c r="Y463" i="6"/>
  <c r="Z465" i="6"/>
  <c r="AA466" i="6"/>
  <c r="Z470" i="6"/>
  <c r="AA476" i="6"/>
  <c r="F447" i="5"/>
  <c r="F478" i="5"/>
  <c r="Z454" i="6"/>
  <c r="Z464" i="6"/>
  <c r="Y469" i="6"/>
  <c r="Y483" i="6"/>
  <c r="Z456" i="6"/>
  <c r="Z437" i="6"/>
  <c r="Y462" i="6"/>
  <c r="Y487" i="6"/>
  <c r="F455" i="5"/>
  <c r="Z444" i="6"/>
  <c r="Z474" i="6"/>
  <c r="Y481" i="6"/>
  <c r="F439" i="5"/>
  <c r="F481" i="5"/>
  <c r="F450" i="5"/>
  <c r="Y485" i="6"/>
  <c r="AT444" i="4"/>
  <c r="Y471" i="4"/>
  <c r="M449" i="4"/>
  <c r="AE449" i="4" s="1"/>
  <c r="AT486" i="4"/>
  <c r="Y486" i="4"/>
  <c r="AT482" i="4"/>
  <c r="AT478" i="4"/>
  <c r="AT474" i="4"/>
  <c r="Y470" i="4"/>
  <c r="AV470" i="4"/>
  <c r="AT467" i="4"/>
  <c r="M463" i="4"/>
  <c r="AE463" i="4" s="1"/>
  <c r="AV459" i="4"/>
  <c r="AT459" i="4"/>
  <c r="M455" i="4"/>
  <c r="AE455" i="4" s="1"/>
  <c r="AT451" i="4"/>
  <c r="Y447" i="4"/>
  <c r="AV443" i="4"/>
  <c r="AT439" i="4"/>
  <c r="AV439" i="4"/>
  <c r="AV474" i="4"/>
  <c r="Y484" i="4"/>
  <c r="M480" i="4"/>
  <c r="M476" i="4"/>
  <c r="AE476" i="4" s="1"/>
  <c r="Y472" i="4"/>
  <c r="M472" i="4"/>
  <c r="AE472" i="4" s="1"/>
  <c r="Y461" i="4"/>
  <c r="AV457" i="4"/>
  <c r="AV449" i="4"/>
  <c r="AT445" i="4"/>
  <c r="Y445" i="4"/>
  <c r="Y441" i="4"/>
  <c r="M437" i="4"/>
  <c r="AE437" i="4" s="1"/>
  <c r="Y487" i="4"/>
  <c r="M485" i="4"/>
  <c r="AE485" i="4" s="1"/>
  <c r="AV483" i="4"/>
  <c r="AV481" i="4"/>
  <c r="M481" i="4"/>
  <c r="AE481" i="4" s="1"/>
  <c r="Y479" i="4"/>
  <c r="AV479" i="4"/>
  <c r="AV477" i="4"/>
  <c r="AV475" i="4"/>
  <c r="AT471" i="4"/>
  <c r="M469" i="4"/>
  <c r="AE469" i="4" s="1"/>
  <c r="AT469" i="4"/>
  <c r="AV469" i="4"/>
  <c r="Y468" i="4"/>
  <c r="M466" i="4"/>
  <c r="AE466" i="4" s="1"/>
  <c r="AV462" i="4"/>
  <c r="M460" i="4"/>
  <c r="AE460" i="4" s="1"/>
  <c r="AV458" i="4"/>
  <c r="AT456" i="4"/>
  <c r="AT454" i="4"/>
  <c r="M454" i="4"/>
  <c r="AE454" i="4" s="1"/>
  <c r="Y452" i="4"/>
  <c r="AT450" i="4"/>
  <c r="AV448" i="4"/>
  <c r="M448" i="4"/>
  <c r="AE448" i="4" s="1"/>
  <c r="M446" i="4"/>
  <c r="AE446" i="4" s="1"/>
  <c r="AV446" i="4"/>
  <c r="AV444" i="4"/>
  <c r="AT442" i="4"/>
  <c r="Y438" i="4"/>
  <c r="M436" i="4"/>
  <c r="AE436" i="4" s="1"/>
  <c r="AV436" i="4"/>
  <c r="Y434" i="4"/>
  <c r="AT441" i="4"/>
  <c r="M477" i="4"/>
  <c r="AE477" i="4" s="1"/>
  <c r="AT480" i="4"/>
  <c r="Y482" i="4"/>
  <c r="M482" i="4"/>
  <c r="AE482" i="4" s="1"/>
  <c r="M478" i="4"/>
  <c r="AE478" i="4" s="1"/>
  <c r="AT470" i="4"/>
  <c r="AV463" i="4"/>
  <c r="M459" i="4"/>
  <c r="AE459" i="4" s="1"/>
  <c r="M451" i="4"/>
  <c r="AE451" i="4" s="1"/>
  <c r="M447" i="4"/>
  <c r="AE447" i="4" s="1"/>
  <c r="AV435" i="4"/>
  <c r="Y435" i="4"/>
  <c r="M467" i="4"/>
  <c r="AE467" i="4" s="1"/>
  <c r="AV480" i="4"/>
  <c r="Y480" i="4"/>
  <c r="Y476" i="4"/>
  <c r="AV472" i="4"/>
  <c r="Y465" i="4"/>
  <c r="Y457" i="4"/>
  <c r="M453" i="4"/>
  <c r="AE453" i="4" s="1"/>
  <c r="AT453" i="4"/>
  <c r="AV445" i="4"/>
  <c r="AV441" i="4"/>
  <c r="AV437" i="4"/>
  <c r="M487" i="4"/>
  <c r="AE487" i="4" s="1"/>
  <c r="Y485" i="4"/>
  <c r="AT483" i="4"/>
  <c r="AT477" i="4"/>
  <c r="AT475" i="4"/>
  <c r="AV473" i="4"/>
  <c r="Y473" i="4"/>
  <c r="M468" i="4"/>
  <c r="AE468" i="4" s="1"/>
  <c r="Y464" i="4"/>
  <c r="Y462" i="4"/>
  <c r="AT460" i="4"/>
  <c r="AV460" i="4"/>
  <c r="Y460" i="4"/>
  <c r="AT458" i="4"/>
  <c r="M456" i="4"/>
  <c r="AE456" i="4" s="1"/>
  <c r="AV454" i="4"/>
  <c r="AV452" i="4"/>
  <c r="Y450" i="4"/>
  <c r="M450" i="4"/>
  <c r="AE450" i="4" s="1"/>
  <c r="AT448" i="4"/>
  <c r="Y446" i="4"/>
  <c r="Y442" i="4"/>
  <c r="AV442" i="4"/>
  <c r="AT440" i="4"/>
  <c r="AT434" i="4"/>
  <c r="F483" i="5"/>
  <c r="F454" i="5"/>
  <c r="F438" i="5"/>
  <c r="Y480" i="6"/>
  <c r="Y478" i="6"/>
  <c r="Z478" i="6"/>
  <c r="Y467" i="6"/>
  <c r="Z463" i="6"/>
  <c r="Y459" i="6"/>
  <c r="Z449" i="6"/>
  <c r="Z441" i="6"/>
  <c r="V487" i="8"/>
  <c r="V485" i="8"/>
  <c r="W481" i="8"/>
  <c r="V477" i="8"/>
  <c r="X477" i="8"/>
  <c r="X473" i="8"/>
  <c r="W468" i="8"/>
  <c r="W462" i="8"/>
  <c r="Z487" i="6"/>
  <c r="AA480" i="6"/>
  <c r="Z476" i="6"/>
  <c r="Z467" i="6"/>
  <c r="W458" i="8"/>
  <c r="V454" i="8"/>
  <c r="V452" i="8"/>
  <c r="W450" i="8"/>
  <c r="V442" i="8"/>
  <c r="W436" i="8"/>
  <c r="W434" i="8"/>
  <c r="Y471" i="6"/>
  <c r="Y458" i="6"/>
  <c r="Y438" i="6"/>
  <c r="W484" i="8"/>
  <c r="Z479" i="6"/>
  <c r="Z469" i="6"/>
  <c r="Z450" i="6"/>
  <c r="V484" i="8"/>
  <c r="W480" i="8"/>
  <c r="W452" i="8"/>
  <c r="V487" i="9"/>
  <c r="X485" i="9"/>
  <c r="W483" i="9"/>
  <c r="W475" i="9"/>
  <c r="X473" i="9"/>
  <c r="W471" i="9"/>
  <c r="W466" i="9"/>
  <c r="V462" i="9"/>
  <c r="V460" i="9"/>
  <c r="X458" i="9"/>
  <c r="X454" i="9"/>
  <c r="V452" i="9"/>
  <c r="W436" i="9"/>
  <c r="W462" i="9"/>
  <c r="W486" i="9"/>
  <c r="X465" i="9"/>
  <c r="X461" i="9"/>
  <c r="W457" i="9"/>
  <c r="V453" i="9"/>
  <c r="W451" i="9"/>
  <c r="X445" i="9"/>
  <c r="W441" i="9"/>
  <c r="W437" i="9"/>
  <c r="W435" i="9"/>
  <c r="V484" i="9"/>
  <c r="W476" i="9"/>
  <c r="V459" i="9"/>
  <c r="W467" i="9"/>
  <c r="V463" i="8"/>
  <c r="W459" i="8"/>
  <c r="X445" i="8"/>
  <c r="V441" i="8"/>
  <c r="V463" i="9"/>
  <c r="V449" i="9"/>
  <c r="W447" i="9"/>
  <c r="V441" i="9"/>
  <c r="V470" i="8"/>
  <c r="M486" i="4"/>
  <c r="AE486" i="4" s="1"/>
  <c r="AV467" i="4"/>
  <c r="AT463" i="4"/>
  <c r="Y463" i="4"/>
  <c r="M443" i="4"/>
  <c r="AE443" i="4" s="1"/>
  <c r="M439" i="4"/>
  <c r="AE439" i="4" s="1"/>
  <c r="M435" i="4"/>
  <c r="AE435" i="4" s="1"/>
  <c r="M484" i="4"/>
  <c r="AE484" i="4" s="1"/>
  <c r="AV476" i="4"/>
  <c r="AT472" i="4"/>
  <c r="AV465" i="4"/>
  <c r="AT465" i="4"/>
  <c r="M461" i="4"/>
  <c r="AE461" i="4" s="1"/>
  <c r="AT457" i="4"/>
  <c r="M457" i="4"/>
  <c r="AE457" i="4" s="1"/>
  <c r="Y453" i="4"/>
  <c r="AT449" i="4"/>
  <c r="M445" i="4"/>
  <c r="AE445" i="4" s="1"/>
  <c r="M441" i="4"/>
  <c r="AE441" i="4" s="1"/>
  <c r="AT437" i="4"/>
  <c r="AV433" i="4"/>
  <c r="AT433" i="4"/>
  <c r="AT487" i="4"/>
  <c r="AT485" i="4"/>
  <c r="Y483" i="4"/>
  <c r="AT479" i="4"/>
  <c r="M473" i="4"/>
  <c r="AE473" i="4" s="1"/>
  <c r="AV468" i="4"/>
  <c r="AV466" i="4"/>
  <c r="AT464" i="4"/>
  <c r="AT462" i="4"/>
  <c r="Y458" i="4"/>
  <c r="Y444" i="4"/>
  <c r="AT436" i="4"/>
  <c r="Y436" i="4"/>
  <c r="AV434" i="4"/>
  <c r="AT481" i="4"/>
  <c r="Z480" i="6"/>
  <c r="Y472" i="6"/>
  <c r="AA465" i="6"/>
  <c r="AA461" i="6"/>
  <c r="W485" i="8"/>
  <c r="W479" i="8"/>
  <c r="F476" i="5"/>
  <c r="Y474" i="6"/>
  <c r="AA449" i="6"/>
  <c r="V446" i="8"/>
  <c r="W444" i="8"/>
  <c r="V434" i="8"/>
  <c r="W456" i="8"/>
  <c r="W448" i="8"/>
  <c r="Z448" i="6"/>
  <c r="Z481" i="6"/>
  <c r="Y477" i="6"/>
  <c r="Y468" i="6"/>
  <c r="Z452" i="6"/>
  <c r="Y448" i="6"/>
  <c r="X480" i="8"/>
  <c r="X477" i="9"/>
  <c r="V466" i="9"/>
  <c r="W464" i="9"/>
  <c r="AV486" i="4"/>
  <c r="AV482" i="4"/>
  <c r="Y478" i="4"/>
  <c r="AV478" i="4"/>
  <c r="Y474" i="4"/>
  <c r="M474" i="4"/>
  <c r="AE474" i="4" s="1"/>
  <c r="Y467" i="4"/>
  <c r="Y455" i="4"/>
  <c r="AV451" i="4"/>
  <c r="AV447" i="4"/>
  <c r="Y443" i="4"/>
  <c r="AT443" i="4"/>
  <c r="Y439" i="4"/>
  <c r="AT435" i="4"/>
  <c r="AV484" i="4"/>
  <c r="AT476" i="4"/>
  <c r="M465" i="4"/>
  <c r="AE465" i="4" s="1"/>
  <c r="AV461" i="4"/>
  <c r="AT461" i="4"/>
  <c r="AV453" i="4"/>
  <c r="Y449" i="4"/>
  <c r="Y437" i="4"/>
  <c r="Y433" i="4"/>
  <c r="M433" i="4"/>
  <c r="AE433" i="4" s="1"/>
  <c r="AV487" i="4"/>
  <c r="AV485" i="4"/>
  <c r="M483" i="4"/>
  <c r="AE483" i="4" s="1"/>
  <c r="Y481" i="4"/>
  <c r="M479" i="4"/>
  <c r="AE479" i="4" s="1"/>
  <c r="Y477" i="4"/>
  <c r="M475" i="4"/>
  <c r="AE475" i="4" s="1"/>
  <c r="M471" i="4"/>
  <c r="AE471" i="4" s="1"/>
  <c r="Y466" i="4"/>
  <c r="AT466" i="4"/>
  <c r="AV464" i="4"/>
  <c r="M462" i="4"/>
  <c r="AE462" i="4" s="1"/>
  <c r="M458" i="4"/>
  <c r="AE458" i="4" s="1"/>
  <c r="AV456" i="4"/>
  <c r="Y454" i="4"/>
  <c r="AT452" i="4"/>
  <c r="AV450" i="4"/>
  <c r="Y448" i="4"/>
  <c r="AT446" i="4"/>
  <c r="M444" i="4"/>
  <c r="AE444" i="4" s="1"/>
  <c r="M442" i="4"/>
  <c r="AE442" i="4" s="1"/>
  <c r="AV440" i="4"/>
  <c r="AT438" i="4"/>
  <c r="M438" i="4"/>
  <c r="AE438" i="4" s="1"/>
  <c r="AT473" i="4"/>
  <c r="M464" i="4"/>
  <c r="AE464" i="4" s="1"/>
  <c r="Y440" i="4"/>
  <c r="F452" i="5"/>
  <c r="F464" i="5"/>
  <c r="F448" i="5"/>
  <c r="F432" i="5"/>
  <c r="Z486" i="6"/>
  <c r="Z484" i="6"/>
  <c r="Y476" i="6"/>
  <c r="Z472" i="6"/>
  <c r="Z461" i="6"/>
  <c r="Y449" i="6"/>
  <c r="AA445" i="6"/>
  <c r="Y441" i="6"/>
  <c r="AA437" i="6"/>
  <c r="AA472" i="6"/>
  <c r="Y457" i="6"/>
  <c r="Y453" i="6"/>
  <c r="Y437" i="6"/>
  <c r="W487" i="8"/>
  <c r="X485" i="8"/>
  <c r="W483" i="8"/>
  <c r="V481" i="8"/>
  <c r="V473" i="8"/>
  <c r="W469" i="8"/>
  <c r="V464" i="8"/>
  <c r="V462" i="8"/>
  <c r="V471" i="8"/>
  <c r="F480" i="5"/>
  <c r="F433" i="5"/>
  <c r="Z483" i="6"/>
  <c r="Y445" i="6"/>
  <c r="V458" i="8"/>
  <c r="V456" i="8"/>
  <c r="W454" i="8"/>
  <c r="V444" i="8"/>
  <c r="W442" i="8"/>
  <c r="V438" i="8"/>
  <c r="V436" i="8"/>
  <c r="AA473" i="6"/>
  <c r="Y466" i="6"/>
  <c r="Z460" i="6"/>
  <c r="Y446" i="6"/>
  <c r="Z440" i="6"/>
  <c r="W460" i="8"/>
  <c r="W446" i="8"/>
  <c r="Z473" i="6"/>
  <c r="AA464" i="6"/>
  <c r="Y460" i="6"/>
  <c r="AA454" i="6"/>
  <c r="AA444" i="6"/>
  <c r="Y440" i="6"/>
  <c r="W486" i="8"/>
  <c r="W482" i="8"/>
  <c r="V475" i="9"/>
  <c r="V483" i="9"/>
  <c r="X481" i="9"/>
  <c r="V479" i="9"/>
  <c r="V477" i="9"/>
  <c r="W473" i="9"/>
  <c r="V471" i="9"/>
  <c r="W469" i="9"/>
  <c r="W468" i="9"/>
  <c r="V464" i="9"/>
  <c r="V458" i="9"/>
  <c r="W454" i="9"/>
  <c r="V450" i="9"/>
  <c r="W446" i="9"/>
  <c r="V440" i="9"/>
  <c r="V438" i="9"/>
  <c r="W434" i="9"/>
  <c r="W481" i="9"/>
  <c r="W450" i="9"/>
  <c r="V469" i="9"/>
  <c r="W458" i="9"/>
  <c r="V476" i="9"/>
  <c r="X457" i="9"/>
  <c r="W453" i="9"/>
  <c r="V437" i="9"/>
  <c r="V451" i="9"/>
  <c r="W443" i="9"/>
  <c r="W476" i="8"/>
  <c r="M470" i="4"/>
  <c r="AE470" i="4" s="1"/>
  <c r="AV455" i="4"/>
  <c r="AT455" i="4"/>
  <c r="Y451" i="4"/>
  <c r="AT447" i="4"/>
  <c r="AT484" i="4"/>
  <c r="Y475" i="4"/>
  <c r="AV471" i="4"/>
  <c r="Y469" i="4"/>
  <c r="AT468" i="4"/>
  <c r="Y456" i="4"/>
  <c r="M452" i="4"/>
  <c r="AE452" i="4" s="1"/>
  <c r="M440" i="4"/>
  <c r="AE440" i="4" s="1"/>
  <c r="AV438" i="4"/>
  <c r="M434" i="4"/>
  <c r="Y459" i="4"/>
  <c r="F473" i="5"/>
  <c r="F477" i="5"/>
  <c r="F446" i="5"/>
  <c r="F443" i="5"/>
  <c r="Y486" i="6"/>
  <c r="Z482" i="6"/>
  <c r="Y461" i="6"/>
  <c r="AA457" i="6"/>
  <c r="AA453" i="6"/>
  <c r="AA451" i="6"/>
  <c r="AA443" i="6"/>
  <c r="AA435" i="6"/>
  <c r="X471" i="8"/>
  <c r="W466" i="8"/>
  <c r="F461" i="5"/>
  <c r="AA485" i="6"/>
  <c r="AA478" i="6"/>
  <c r="Y465" i="6"/>
  <c r="Y475" i="6"/>
  <c r="Z468" i="6"/>
  <c r="Z434" i="6"/>
  <c r="V485" i="9"/>
  <c r="V468" i="9"/>
  <c r="F484" i="5"/>
  <c r="Y482" i="6"/>
  <c r="Z451" i="6"/>
  <c r="Y439" i="6"/>
  <c r="Z435" i="6"/>
  <c r="X483" i="8"/>
  <c r="W475" i="8"/>
  <c r="V468" i="8"/>
  <c r="X466" i="8"/>
  <c r="F441" i="5"/>
  <c r="V448" i="8"/>
  <c r="Z477" i="6"/>
  <c r="AA450" i="6"/>
  <c r="X450" i="8"/>
  <c r="X438" i="8"/>
  <c r="V444" i="9"/>
  <c r="X442" i="9"/>
  <c r="V436" i="9"/>
  <c r="W479" i="9"/>
  <c r="W444" i="9"/>
  <c r="W478" i="9"/>
  <c r="V470" i="9"/>
  <c r="W455" i="9"/>
  <c r="X439" i="9"/>
  <c r="V435" i="9"/>
  <c r="X478" i="8"/>
  <c r="X461" i="8"/>
  <c r="Y447" i="6"/>
  <c r="Z443" i="6"/>
  <c r="W471" i="8"/>
  <c r="X446" i="8"/>
  <c r="X458" i="8"/>
  <c r="V440" i="8"/>
  <c r="Z462" i="6"/>
  <c r="V473" i="9"/>
  <c r="W452" i="9"/>
  <c r="X435" i="9"/>
  <c r="W474" i="8"/>
  <c r="X451" i="8"/>
  <c r="W473" i="8"/>
  <c r="W464" i="8"/>
  <c r="W449" i="9"/>
  <c r="X472" i="9"/>
  <c r="F440" i="5"/>
  <c r="Y470" i="6"/>
  <c r="Y455" i="6"/>
  <c r="Z439" i="6"/>
  <c r="W477" i="8"/>
  <c r="V469" i="8"/>
  <c r="V450" i="8"/>
  <c r="X483" i="9"/>
  <c r="W487" i="9"/>
  <c r="V481" i="9"/>
  <c r="X464" i="9"/>
  <c r="W460" i="9"/>
  <c r="V456" i="9"/>
  <c r="W448" i="9"/>
  <c r="V446" i="9"/>
  <c r="W442" i="9"/>
  <c r="W438" i="9"/>
  <c r="W484" i="9"/>
  <c r="W480" i="9"/>
  <c r="W461" i="9"/>
  <c r="V457" i="9"/>
  <c r="X453" i="9"/>
  <c r="V445" i="9"/>
  <c r="V443" i="9"/>
  <c r="W474" i="9"/>
  <c r="W463" i="9"/>
  <c r="W447" i="8"/>
  <c r="Z459" i="6"/>
  <c r="V479" i="8"/>
  <c r="F472" i="5"/>
  <c r="Z485" i="6"/>
  <c r="Z447" i="6"/>
  <c r="V460" i="8"/>
  <c r="W438" i="8"/>
  <c r="V467" i="9"/>
  <c r="W459" i="9"/>
  <c r="V466" i="8"/>
  <c r="V483" i="8"/>
  <c r="AA469" i="6"/>
  <c r="Z442" i="6"/>
  <c r="V454" i="9"/>
  <c r="W440" i="9"/>
  <c r="X438" i="9"/>
  <c r="W472" i="9"/>
  <c r="W465" i="8"/>
  <c r="V443" i="8"/>
  <c r="X435" i="8"/>
  <c r="Y484" i="6"/>
  <c r="V434" i="9"/>
  <c r="X449" i="9"/>
  <c r="W440" i="8"/>
  <c r="X479" i="9"/>
  <c r="W456" i="9"/>
  <c r="V448" i="9"/>
  <c r="V474" i="9"/>
  <c r="V461" i="9"/>
  <c r="W445" i="9"/>
  <c r="V480" i="9"/>
  <c r="F430" i="36"/>
  <c r="E429" i="4"/>
  <c r="F424" i="36"/>
  <c r="F418" i="36"/>
  <c r="F412" i="36"/>
  <c r="F399" i="36"/>
  <c r="F393" i="36"/>
  <c r="F389" i="36"/>
  <c r="F383" i="36"/>
  <c r="F377" i="36"/>
  <c r="Y376" i="4"/>
  <c r="F371" i="36"/>
  <c r="D370" i="4"/>
  <c r="F365" i="36"/>
  <c r="M364" i="4"/>
  <c r="AE364" i="4" s="1"/>
  <c r="F359" i="36"/>
  <c r="F353" i="36"/>
  <c r="D352" i="4"/>
  <c r="F347" i="36"/>
  <c r="F341" i="36"/>
  <c r="Y340" i="4"/>
  <c r="F335" i="36"/>
  <c r="D334" i="4"/>
  <c r="F332" i="36"/>
  <c r="F326" i="36"/>
  <c r="E325" i="4"/>
  <c r="F320" i="36"/>
  <c r="F314" i="36"/>
  <c r="E313" i="4"/>
  <c r="F308" i="36"/>
  <c r="Y307" i="4"/>
  <c r="F302" i="36"/>
  <c r="F294" i="36"/>
  <c r="Y293" i="4"/>
  <c r="F284" i="36"/>
  <c r="F278" i="36"/>
  <c r="M277" i="4"/>
  <c r="AE277" i="4" s="1"/>
  <c r="F274" i="36"/>
  <c r="F268" i="36"/>
  <c r="F262" i="36"/>
  <c r="F256" i="36"/>
  <c r="F252" i="36"/>
  <c r="M251" i="4"/>
  <c r="AE251" i="4" s="1"/>
  <c r="F246" i="36"/>
  <c r="Y245" i="4"/>
  <c r="AA245" i="4" s="1"/>
  <c r="F244" i="36"/>
  <c r="F243" i="4"/>
  <c r="F238" i="36"/>
  <c r="D237" i="4"/>
  <c r="F232" i="36"/>
  <c r="F228" i="36"/>
  <c r="F227" i="4"/>
  <c r="F210" i="36"/>
  <c r="F186" i="36"/>
  <c r="F184" i="36"/>
  <c r="F183" i="4"/>
  <c r="F131" i="36"/>
  <c r="F59" i="36"/>
  <c r="F49" i="36"/>
  <c r="E48" i="4"/>
  <c r="F27" i="36"/>
  <c r="F19" i="36"/>
  <c r="M18" i="4"/>
  <c r="AE18" i="4" s="1"/>
  <c r="F433" i="36"/>
  <c r="F431" i="36"/>
  <c r="F430" i="4"/>
  <c r="F429" i="36"/>
  <c r="F427" i="36"/>
  <c r="F426" i="4"/>
  <c r="F425" i="36"/>
  <c r="F423" i="36"/>
  <c r="F421" i="36"/>
  <c r="F419" i="36"/>
  <c r="F417" i="36"/>
  <c r="F415" i="36"/>
  <c r="F413" i="36"/>
  <c r="F411" i="36"/>
  <c r="E410" i="4"/>
  <c r="F409" i="36"/>
  <c r="F407" i="36"/>
  <c r="E406" i="4"/>
  <c r="F405" i="36"/>
  <c r="Y404" i="4"/>
  <c r="F404" i="36"/>
  <c r="F402" i="36"/>
  <c r="F400" i="36"/>
  <c r="F398" i="36"/>
  <c r="F396" i="36"/>
  <c r="D395" i="4"/>
  <c r="F394" i="36"/>
  <c r="F392" i="36"/>
  <c r="E391" i="4"/>
  <c r="F391" i="36"/>
  <c r="F388" i="36"/>
  <c r="F386" i="36"/>
  <c r="E385" i="4"/>
  <c r="F384" i="36"/>
  <c r="D383" i="4"/>
  <c r="F382" i="36"/>
  <c r="F380" i="36"/>
  <c r="F378" i="36"/>
  <c r="F377" i="4"/>
  <c r="F376" i="36"/>
  <c r="F375" i="4"/>
  <c r="F374" i="36"/>
  <c r="F372" i="36"/>
  <c r="F370" i="36"/>
  <c r="F369" i="4"/>
  <c r="F368" i="36"/>
  <c r="F366" i="36"/>
  <c r="E365" i="4"/>
  <c r="F364" i="36"/>
  <c r="D363" i="4"/>
  <c r="F362" i="36"/>
  <c r="E361" i="4"/>
  <c r="F360" i="36"/>
  <c r="F358" i="36"/>
  <c r="E357" i="4"/>
  <c r="F356" i="36"/>
  <c r="E355" i="4"/>
  <c r="F354" i="36"/>
  <c r="F353" i="4"/>
  <c r="F352" i="36"/>
  <c r="F350" i="36"/>
  <c r="F348" i="36"/>
  <c r="F346" i="36"/>
  <c r="F344" i="36"/>
  <c r="F342" i="36"/>
  <c r="F340" i="36"/>
  <c r="F338" i="36"/>
  <c r="F336" i="36"/>
  <c r="F334" i="36"/>
  <c r="E333" i="4"/>
  <c r="F331" i="36"/>
  <c r="F329" i="36"/>
  <c r="F327" i="36"/>
  <c r="F325" i="36"/>
  <c r="F324" i="4"/>
  <c r="F323" i="36"/>
  <c r="F321" i="36"/>
  <c r="F319" i="36"/>
  <c r="F317" i="36"/>
  <c r="F315" i="36"/>
  <c r="F313" i="36"/>
  <c r="F311" i="36"/>
  <c r="F309" i="36"/>
  <c r="F307" i="36"/>
  <c r="F305" i="36"/>
  <c r="F303" i="36"/>
  <c r="F301" i="36"/>
  <c r="E300" i="4"/>
  <c r="F299" i="36"/>
  <c r="D298" i="4"/>
  <c r="F297" i="36"/>
  <c r="F295" i="36"/>
  <c r="D294" i="4"/>
  <c r="F293" i="36"/>
  <c r="F291" i="36"/>
  <c r="D290" i="4"/>
  <c r="F289" i="36"/>
  <c r="F287" i="36"/>
  <c r="F285" i="36"/>
  <c r="F283" i="36"/>
  <c r="F281" i="36"/>
  <c r="F279" i="36"/>
  <c r="F277" i="36"/>
  <c r="F276" i="36"/>
  <c r="F275" i="36"/>
  <c r="F273" i="36"/>
  <c r="F271" i="36"/>
  <c r="F270" i="4"/>
  <c r="F269" i="36"/>
  <c r="F268" i="4"/>
  <c r="F267" i="36"/>
  <c r="F266" i="4"/>
  <c r="F265" i="36"/>
  <c r="E264" i="4"/>
  <c r="F263" i="36"/>
  <c r="F261" i="36"/>
  <c r="E260" i="4"/>
  <c r="F259" i="36"/>
  <c r="F255" i="36"/>
  <c r="F253" i="36"/>
  <c r="F251" i="36"/>
  <c r="F249" i="36"/>
  <c r="F247" i="36"/>
  <c r="F245" i="36"/>
  <c r="F241" i="36"/>
  <c r="F231" i="36"/>
  <c r="F230" i="4"/>
  <c r="F229" i="36"/>
  <c r="D228" i="4"/>
  <c r="F227" i="36"/>
  <c r="F225" i="36"/>
  <c r="F221" i="36"/>
  <c r="F219" i="36"/>
  <c r="F217" i="36"/>
  <c r="F215" i="36"/>
  <c r="F211" i="36"/>
  <c r="F197" i="36"/>
  <c r="F193" i="36"/>
  <c r="D192" i="4"/>
  <c r="F179" i="36"/>
  <c r="F175" i="36"/>
  <c r="D174" i="4"/>
  <c r="F110" i="36"/>
  <c r="E109" i="4"/>
  <c r="F92" i="36"/>
  <c r="F78" i="36"/>
  <c r="F58" i="36"/>
  <c r="E57" i="4"/>
  <c r="F42" i="36"/>
  <c r="F41" i="4"/>
  <c r="F18" i="36"/>
  <c r="E17" i="4"/>
  <c r="F16" i="36"/>
  <c r="F432" i="36"/>
  <c r="F426" i="36"/>
  <c r="D425" i="4"/>
  <c r="F420" i="36"/>
  <c r="F414" i="36"/>
  <c r="F408" i="36"/>
  <c r="F403" i="36"/>
  <c r="M402" i="4"/>
  <c r="F397" i="36"/>
  <c r="M396" i="4"/>
  <c r="AE396" i="4" s="1"/>
  <c r="F390" i="36"/>
  <c r="F387" i="36"/>
  <c r="M386" i="4"/>
  <c r="AE386" i="4" s="1"/>
  <c r="F381" i="36"/>
  <c r="F375" i="36"/>
  <c r="F369" i="36"/>
  <c r="Y368" i="4"/>
  <c r="F363" i="36"/>
  <c r="F357" i="36"/>
  <c r="F356" i="4"/>
  <c r="F351" i="36"/>
  <c r="F350" i="4"/>
  <c r="F345" i="36"/>
  <c r="F339" i="36"/>
  <c r="F333" i="36"/>
  <c r="E332" i="4"/>
  <c r="F328" i="36"/>
  <c r="F322" i="36"/>
  <c r="F316" i="36"/>
  <c r="F310" i="36"/>
  <c r="F309" i="4"/>
  <c r="F304" i="36"/>
  <c r="Y303" i="4"/>
  <c r="F298" i="36"/>
  <c r="F292" i="36"/>
  <c r="M291" i="4"/>
  <c r="AE291" i="4" s="1"/>
  <c r="F288" i="36"/>
  <c r="D287" i="4"/>
  <c r="F280" i="36"/>
  <c r="M279" i="4"/>
  <c r="F270" i="36"/>
  <c r="Y269" i="4"/>
  <c r="F264" i="36"/>
  <c r="F258" i="36"/>
  <c r="D257" i="4"/>
  <c r="F250" i="36"/>
  <c r="D249" i="4"/>
  <c r="F236" i="36"/>
  <c r="F235" i="4"/>
  <c r="F230" i="36"/>
  <c r="F224" i="36"/>
  <c r="F222" i="36"/>
  <c r="F133" i="36"/>
  <c r="D132" i="4"/>
  <c r="R424" i="36"/>
  <c r="AC424" i="36" s="1"/>
  <c r="R393" i="36"/>
  <c r="AC393" i="36" s="1"/>
  <c r="R375" i="36"/>
  <c r="AC375" i="36" s="1"/>
  <c r="Q370" i="36"/>
  <c r="AB370" i="36" s="1"/>
  <c r="G368" i="36"/>
  <c r="R366" i="36"/>
  <c r="AC366" i="36" s="1"/>
  <c r="Q362" i="36"/>
  <c r="AB362" i="36" s="1"/>
  <c r="G358" i="36"/>
  <c r="R354" i="36"/>
  <c r="AC354" i="36" s="1"/>
  <c r="R350" i="36"/>
  <c r="AC350" i="36" s="1"/>
  <c r="Q346" i="36"/>
  <c r="AB346" i="36" s="1"/>
  <c r="G344" i="36"/>
  <c r="R342" i="36"/>
  <c r="AC342" i="36" s="1"/>
  <c r="R338" i="36"/>
  <c r="AC338" i="36" s="1"/>
  <c r="R334" i="36"/>
  <c r="AC334" i="36" s="1"/>
  <c r="Q331" i="36"/>
  <c r="AB331" i="36" s="1"/>
  <c r="R327" i="36"/>
  <c r="AC327" i="36" s="1"/>
  <c r="R323" i="36"/>
  <c r="AC323" i="36" s="1"/>
  <c r="G319" i="36"/>
  <c r="G315" i="36"/>
  <c r="G313" i="36"/>
  <c r="G311" i="36"/>
  <c r="H310" i="4" s="1"/>
  <c r="G307" i="36"/>
  <c r="R303" i="36"/>
  <c r="AC303" i="36" s="1"/>
  <c r="Q299" i="36"/>
  <c r="AB299" i="36" s="1"/>
  <c r="R295" i="36"/>
  <c r="AC295" i="36" s="1"/>
  <c r="G293" i="36"/>
  <c r="H292" i="4" s="1"/>
  <c r="G291" i="36"/>
  <c r="R289" i="36"/>
  <c r="AC289" i="36" s="1"/>
  <c r="Q285" i="36"/>
  <c r="AB285" i="36" s="1"/>
  <c r="R281" i="36"/>
  <c r="AC281" i="36" s="1"/>
  <c r="R277" i="36"/>
  <c r="AC277" i="36" s="1"/>
  <c r="R275" i="36"/>
  <c r="AC275" i="36" s="1"/>
  <c r="Q271" i="36"/>
  <c r="AB271" i="36" s="1"/>
  <c r="R267" i="36"/>
  <c r="AC267" i="36" s="1"/>
  <c r="Q263" i="36"/>
  <c r="AB263" i="36" s="1"/>
  <c r="G261" i="36"/>
  <c r="R259" i="36"/>
  <c r="AC259" i="36" s="1"/>
  <c r="R255" i="36"/>
  <c r="AC255" i="36" s="1"/>
  <c r="R251" i="36"/>
  <c r="AC251" i="36" s="1"/>
  <c r="Q247" i="36"/>
  <c r="AB247" i="36" s="1"/>
  <c r="R243" i="36"/>
  <c r="AC243" i="36" s="1"/>
  <c r="R239" i="36"/>
  <c r="AC239" i="36" s="1"/>
  <c r="G237" i="36"/>
  <c r="H236" i="4" s="1"/>
  <c r="R235" i="36"/>
  <c r="AC235" i="36" s="1"/>
  <c r="Q231" i="36"/>
  <c r="AB231" i="36" s="1"/>
  <c r="R227" i="36"/>
  <c r="AC227" i="36" s="1"/>
  <c r="R223" i="36"/>
  <c r="AC223" i="36" s="1"/>
  <c r="R219" i="36"/>
  <c r="AC219" i="36" s="1"/>
  <c r="Q215" i="36"/>
  <c r="AB215" i="36" s="1"/>
  <c r="R211" i="36"/>
  <c r="AC211" i="36" s="1"/>
  <c r="G209" i="36"/>
  <c r="G207" i="36"/>
  <c r="G201" i="36"/>
  <c r="Q199" i="36"/>
  <c r="AB199" i="36" s="1"/>
  <c r="G195" i="36"/>
  <c r="Q191" i="36"/>
  <c r="AB191" i="36" s="1"/>
  <c r="G189" i="36"/>
  <c r="R187" i="36"/>
  <c r="AC187" i="36" s="1"/>
  <c r="R183" i="36"/>
  <c r="AC183" i="36" s="1"/>
  <c r="R179" i="36"/>
  <c r="AC179" i="36" s="1"/>
  <c r="Q175" i="36"/>
  <c r="AB175" i="36" s="1"/>
  <c r="R171" i="36"/>
  <c r="AC171" i="36" s="1"/>
  <c r="G169" i="36"/>
  <c r="Q167" i="36"/>
  <c r="AB167" i="36" s="1"/>
  <c r="G165" i="36"/>
  <c r="G161" i="36"/>
  <c r="Q159" i="36"/>
  <c r="AB159" i="36" s="1"/>
  <c r="G157" i="36"/>
  <c r="G153" i="36"/>
  <c r="Q151" i="36"/>
  <c r="AB151" i="36" s="1"/>
  <c r="G149" i="36"/>
  <c r="Q143" i="36"/>
  <c r="AB143" i="36" s="1"/>
  <c r="R139" i="36"/>
  <c r="AC139" i="36" s="1"/>
  <c r="R135" i="36"/>
  <c r="AC135" i="36" s="1"/>
  <c r="R132" i="36"/>
  <c r="AC132" i="36" s="1"/>
  <c r="Q128" i="36"/>
  <c r="AB128" i="36" s="1"/>
  <c r="G126" i="36"/>
  <c r="R124" i="36"/>
  <c r="AC124" i="36" s="1"/>
  <c r="G122" i="36"/>
  <c r="Q120" i="36"/>
  <c r="AB120" i="36" s="1"/>
  <c r="R112" i="36"/>
  <c r="AC112" i="36" s="1"/>
  <c r="G110" i="36"/>
  <c r="G106" i="36"/>
  <c r="Q104" i="36"/>
  <c r="AB104" i="36" s="1"/>
  <c r="R100" i="36"/>
  <c r="AC100" i="36" s="1"/>
  <c r="Q96" i="36"/>
  <c r="AB96" i="36" s="1"/>
  <c r="G94" i="36"/>
  <c r="R92" i="36"/>
  <c r="AC92" i="36" s="1"/>
  <c r="R88" i="36"/>
  <c r="AC88" i="36" s="1"/>
  <c r="G86" i="36"/>
  <c r="R84" i="36"/>
  <c r="AC84" i="36" s="1"/>
  <c r="G82" i="36"/>
  <c r="G80" i="36"/>
  <c r="G78" i="36"/>
  <c r="G74" i="36"/>
  <c r="Q72" i="36"/>
  <c r="AB72" i="36" s="1"/>
  <c r="G70" i="36"/>
  <c r="G66" i="36"/>
  <c r="E64" i="36"/>
  <c r="G62" i="36"/>
  <c r="G58" i="36"/>
  <c r="E56" i="36"/>
  <c r="G54" i="36"/>
  <c r="R52" i="36"/>
  <c r="AC52" i="36" s="1"/>
  <c r="R48" i="36"/>
  <c r="AC48" i="36" s="1"/>
  <c r="G46" i="36"/>
  <c r="R44" i="36"/>
  <c r="AC44" i="36" s="1"/>
  <c r="G42" i="36"/>
  <c r="E40" i="36"/>
  <c r="G38" i="36"/>
  <c r="R32" i="36"/>
  <c r="AC32" i="36" s="1"/>
  <c r="G30" i="36"/>
  <c r="R28" i="36"/>
  <c r="AC28" i="36" s="1"/>
  <c r="R24" i="36"/>
  <c r="AC24" i="36" s="1"/>
  <c r="G22" i="36"/>
  <c r="R20" i="36"/>
  <c r="AC20" i="36" s="1"/>
  <c r="G18" i="36"/>
  <c r="R16" i="36"/>
  <c r="AC16" i="36" s="1"/>
  <c r="G431" i="36"/>
  <c r="R427" i="36"/>
  <c r="AC427" i="36" s="1"/>
  <c r="G425" i="36"/>
  <c r="G423" i="36"/>
  <c r="Q419" i="36"/>
  <c r="AB419" i="36" s="1"/>
  <c r="R415" i="36"/>
  <c r="AC415" i="36" s="1"/>
  <c r="Q411" i="36"/>
  <c r="AB411" i="36" s="1"/>
  <c r="G407" i="36"/>
  <c r="R404" i="36"/>
  <c r="AC404" i="36" s="1"/>
  <c r="G402" i="36"/>
  <c r="R400" i="36"/>
  <c r="AC400" i="36" s="1"/>
  <c r="Q396" i="36"/>
  <c r="AB396" i="36" s="1"/>
  <c r="G392" i="36"/>
  <c r="Q391" i="36"/>
  <c r="AB391" i="36" s="1"/>
  <c r="G388" i="36"/>
  <c r="Q386" i="36"/>
  <c r="AB386" i="36" s="1"/>
  <c r="G380" i="36"/>
  <c r="Q378" i="36"/>
  <c r="AB378" i="36" s="1"/>
  <c r="G376" i="36"/>
  <c r="G372" i="36"/>
  <c r="E211" i="4"/>
  <c r="R196" i="36"/>
  <c r="AC196" i="36" s="1"/>
  <c r="R180" i="36"/>
  <c r="AC180" i="36" s="1"/>
  <c r="R164" i="36"/>
  <c r="AC164" i="36" s="1"/>
  <c r="R432" i="36"/>
  <c r="AC432" i="36" s="1"/>
  <c r="R408" i="36"/>
  <c r="AC408" i="36" s="1"/>
  <c r="R244" i="36"/>
  <c r="AC244" i="36" s="1"/>
  <c r="D2" i="101"/>
  <c r="F2" i="101" s="1"/>
  <c r="R13" i="36"/>
  <c r="AC13" i="36" s="1"/>
  <c r="G430" i="36"/>
  <c r="R430" i="36"/>
  <c r="AC430" i="36" s="1"/>
  <c r="R428" i="36"/>
  <c r="AC428" i="36" s="1"/>
  <c r="G426" i="36"/>
  <c r="R426" i="36"/>
  <c r="AC426" i="36" s="1"/>
  <c r="G422" i="36"/>
  <c r="R422" i="36"/>
  <c r="AC422" i="36" s="1"/>
  <c r="R420" i="36"/>
  <c r="AC420" i="36" s="1"/>
  <c r="G418" i="36"/>
  <c r="R418" i="36"/>
  <c r="AC418" i="36" s="1"/>
  <c r="G414" i="36"/>
  <c r="R414" i="36"/>
  <c r="AC414" i="36" s="1"/>
  <c r="Y409" i="4"/>
  <c r="R410" i="36"/>
  <c r="AC410" i="36" s="1"/>
  <c r="G406" i="36"/>
  <c r="R406" i="36"/>
  <c r="AC406" i="36" s="1"/>
  <c r="G403" i="36"/>
  <c r="R403" i="36"/>
  <c r="AC403" i="36" s="1"/>
  <c r="R401" i="36"/>
  <c r="AC401" i="36" s="1"/>
  <c r="F400" i="4"/>
  <c r="G399" i="36"/>
  <c r="R399" i="36"/>
  <c r="AC399" i="36" s="1"/>
  <c r="R395" i="36"/>
  <c r="AC395" i="36" s="1"/>
  <c r="R390" i="36"/>
  <c r="AC390" i="36" s="1"/>
  <c r="R389" i="36"/>
  <c r="AC389" i="36" s="1"/>
  <c r="R387" i="36"/>
  <c r="AC387" i="36" s="1"/>
  <c r="G385" i="36"/>
  <c r="R385" i="36"/>
  <c r="AC385" i="36" s="1"/>
  <c r="R383" i="36"/>
  <c r="AC383" i="36" s="1"/>
  <c r="G381" i="36"/>
  <c r="R381" i="36"/>
  <c r="AC381" i="36" s="1"/>
  <c r="R377" i="36"/>
  <c r="AC377" i="36" s="1"/>
  <c r="F372" i="4"/>
  <c r="R373" i="36"/>
  <c r="AC373" i="36" s="1"/>
  <c r="R371" i="36"/>
  <c r="AC371" i="36" s="1"/>
  <c r="G369" i="36"/>
  <c r="R369" i="36"/>
  <c r="AC369" i="36" s="1"/>
  <c r="R367" i="36"/>
  <c r="AC367" i="36" s="1"/>
  <c r="G365" i="36"/>
  <c r="R365" i="36"/>
  <c r="AC365" i="36" s="1"/>
  <c r="R363" i="36"/>
  <c r="AC363" i="36" s="1"/>
  <c r="G361" i="36"/>
  <c r="H360" i="4" s="1"/>
  <c r="R361" i="36"/>
  <c r="AC361" i="36" s="1"/>
  <c r="R359" i="36"/>
  <c r="AC359" i="36" s="1"/>
  <c r="G357" i="36"/>
  <c r="R357" i="36"/>
  <c r="AC357" i="36" s="1"/>
  <c r="R353" i="36"/>
  <c r="AC353" i="36" s="1"/>
  <c r="G349" i="36"/>
  <c r="H348" i="4" s="1"/>
  <c r="R349" i="36"/>
  <c r="AC349" i="36" s="1"/>
  <c r="G345" i="36"/>
  <c r="R345" i="36"/>
  <c r="AC345" i="36" s="1"/>
  <c r="G341" i="36"/>
  <c r="R341" i="36"/>
  <c r="AC341" i="36" s="1"/>
  <c r="G337" i="36"/>
  <c r="R337" i="36"/>
  <c r="AC337" i="36" s="1"/>
  <c r="R335" i="36"/>
  <c r="AC335" i="36" s="1"/>
  <c r="G333" i="36"/>
  <c r="H332" i="4" s="1"/>
  <c r="R333" i="36"/>
  <c r="AC333" i="36" s="1"/>
  <c r="Y329" i="4"/>
  <c r="R330" i="36"/>
  <c r="AC330" i="36" s="1"/>
  <c r="G326" i="36"/>
  <c r="H325" i="4" s="1"/>
  <c r="R326" i="36"/>
  <c r="AC326" i="36" s="1"/>
  <c r="R324" i="36"/>
  <c r="AC324" i="36" s="1"/>
  <c r="G322" i="36"/>
  <c r="R322" i="36"/>
  <c r="AC322" i="36" s="1"/>
  <c r="R320" i="36"/>
  <c r="AC320" i="36" s="1"/>
  <c r="G318" i="36"/>
  <c r="H317" i="4" s="1"/>
  <c r="R318" i="36"/>
  <c r="AC318" i="36" s="1"/>
  <c r="R316" i="36"/>
  <c r="AC316" i="36" s="1"/>
  <c r="G314" i="36"/>
  <c r="R314" i="36"/>
  <c r="AC314" i="36" s="1"/>
  <c r="R312" i="36"/>
  <c r="AC312" i="36" s="1"/>
  <c r="G310" i="36"/>
  <c r="H309" i="4" s="1"/>
  <c r="R310" i="36"/>
  <c r="AC310" i="36" s="1"/>
  <c r="R308" i="36"/>
  <c r="AC308" i="36" s="1"/>
  <c r="R306" i="36"/>
  <c r="AC306" i="36" s="1"/>
  <c r="R304" i="36"/>
  <c r="AC304" i="36" s="1"/>
  <c r="G302" i="36"/>
  <c r="H301" i="4" s="1"/>
  <c r="R302" i="36"/>
  <c r="AC302" i="36" s="1"/>
  <c r="R298" i="36"/>
  <c r="AC298" i="36" s="1"/>
  <c r="R296" i="36"/>
  <c r="AC296" i="36" s="1"/>
  <c r="G294" i="36"/>
  <c r="R294" i="36"/>
  <c r="AC294" i="36" s="1"/>
  <c r="R292" i="36"/>
  <c r="AC292" i="36" s="1"/>
  <c r="G290" i="36"/>
  <c r="R290" i="36"/>
  <c r="AC290" i="36" s="1"/>
  <c r="R288" i="36"/>
  <c r="AC288" i="36" s="1"/>
  <c r="R286" i="36"/>
  <c r="AC286" i="36" s="1"/>
  <c r="R284" i="36"/>
  <c r="AC284" i="36" s="1"/>
  <c r="R282" i="36"/>
  <c r="AC282" i="36" s="1"/>
  <c r="R280" i="36"/>
  <c r="AC280" i="36" s="1"/>
  <c r="R278" i="36"/>
  <c r="AC278" i="36" s="1"/>
  <c r="G274" i="36"/>
  <c r="H273" i="4" s="1"/>
  <c r="R274" i="36"/>
  <c r="AC274" i="36" s="1"/>
  <c r="R270" i="36"/>
  <c r="AC270" i="36" s="1"/>
  <c r="R268" i="36"/>
  <c r="AC268" i="36" s="1"/>
  <c r="G266" i="36"/>
  <c r="M265" i="4"/>
  <c r="AE265" i="4" s="1"/>
  <c r="R266" i="36"/>
  <c r="AC266" i="36" s="1"/>
  <c r="R264" i="36"/>
  <c r="AC264" i="36" s="1"/>
  <c r="G262" i="36"/>
  <c r="R262" i="36"/>
  <c r="AC262" i="36" s="1"/>
  <c r="R260" i="36"/>
  <c r="AC260" i="36" s="1"/>
  <c r="G258" i="36"/>
  <c r="H257" i="4" s="1"/>
  <c r="R258" i="36"/>
  <c r="AC258" i="36" s="1"/>
  <c r="R256" i="36"/>
  <c r="AC256" i="36" s="1"/>
  <c r="G254" i="36"/>
  <c r="R254" i="36"/>
  <c r="AC254" i="36" s="1"/>
  <c r="R252" i="36"/>
  <c r="AC252" i="36" s="1"/>
  <c r="Q252" i="36"/>
  <c r="AB252" i="36" s="1"/>
  <c r="G250" i="36"/>
  <c r="H249" i="4" s="1"/>
  <c r="R250" i="36"/>
  <c r="AC250" i="36" s="1"/>
  <c r="R248" i="36"/>
  <c r="AC248" i="36" s="1"/>
  <c r="Q248" i="36"/>
  <c r="AB248" i="36" s="1"/>
  <c r="R246" i="36"/>
  <c r="AC246" i="36" s="1"/>
  <c r="G242" i="36"/>
  <c r="R242" i="36"/>
  <c r="AC242" i="36" s="1"/>
  <c r="R240" i="36"/>
  <c r="AC240" i="36" s="1"/>
  <c r="Q240" i="36"/>
  <c r="AB240" i="36" s="1"/>
  <c r="G238" i="36"/>
  <c r="H237" i="4" s="1"/>
  <c r="R238" i="36"/>
  <c r="AC238" i="36" s="1"/>
  <c r="R236" i="36"/>
  <c r="AC236" i="36" s="1"/>
  <c r="Q236" i="36"/>
  <c r="AB236" i="36" s="1"/>
  <c r="G234" i="36"/>
  <c r="H233" i="4" s="1"/>
  <c r="R234" i="36"/>
  <c r="AC234" i="36" s="1"/>
  <c r="Q232" i="36"/>
  <c r="AB232" i="36" s="1"/>
  <c r="R230" i="36"/>
  <c r="AC230" i="36" s="1"/>
  <c r="G226" i="36"/>
  <c r="H225" i="4" s="1"/>
  <c r="R226" i="36"/>
  <c r="AC226" i="36" s="1"/>
  <c r="R224" i="36"/>
  <c r="AC224" i="36" s="1"/>
  <c r="Q224" i="36"/>
  <c r="AB224" i="36" s="1"/>
  <c r="G222" i="36"/>
  <c r="H221" i="4" s="1"/>
  <c r="R222" i="36"/>
  <c r="AC222" i="36" s="1"/>
  <c r="R220" i="36"/>
  <c r="AC220" i="36" s="1"/>
  <c r="Q220" i="36"/>
  <c r="AB220" i="36" s="1"/>
  <c r="R218" i="36"/>
  <c r="AC218" i="36" s="1"/>
  <c r="R216" i="36"/>
  <c r="AC216" i="36" s="1"/>
  <c r="M215" i="4"/>
  <c r="AE215" i="4" s="1"/>
  <c r="Q216" i="36"/>
  <c r="AB216" i="36" s="1"/>
  <c r="G214" i="36"/>
  <c r="R214" i="36"/>
  <c r="AC214" i="36" s="1"/>
  <c r="R210" i="36"/>
  <c r="AC210" i="36" s="1"/>
  <c r="R208" i="36"/>
  <c r="AC208" i="36" s="1"/>
  <c r="Q208" i="36"/>
  <c r="AB208" i="36" s="1"/>
  <c r="G206" i="36"/>
  <c r="R206" i="36"/>
  <c r="AC206" i="36" s="1"/>
  <c r="R204" i="36"/>
  <c r="AC204" i="36" s="1"/>
  <c r="Q204" i="36"/>
  <c r="AB204" i="36" s="1"/>
  <c r="G202" i="36"/>
  <c r="H201" i="4" s="1"/>
  <c r="R202" i="36"/>
  <c r="AC202" i="36" s="1"/>
  <c r="R200" i="36"/>
  <c r="AC200" i="36" s="1"/>
  <c r="Q200" i="36"/>
  <c r="AB200" i="36" s="1"/>
  <c r="R198" i="36"/>
  <c r="AC198" i="36" s="1"/>
  <c r="G194" i="36"/>
  <c r="R194" i="36"/>
  <c r="AC194" i="36" s="1"/>
  <c r="R192" i="36"/>
  <c r="AC192" i="36" s="1"/>
  <c r="F191" i="4"/>
  <c r="Q192" i="36"/>
  <c r="AB192" i="36" s="1"/>
  <c r="G190" i="36"/>
  <c r="R190" i="36"/>
  <c r="AC190" i="36" s="1"/>
  <c r="R188" i="36"/>
  <c r="AC188" i="36" s="1"/>
  <c r="Q188" i="36"/>
  <c r="AB188" i="36" s="1"/>
  <c r="R186" i="36"/>
  <c r="AC186" i="36" s="1"/>
  <c r="R184" i="36"/>
  <c r="AC184" i="36" s="1"/>
  <c r="Q184" i="36"/>
  <c r="AB184" i="36" s="1"/>
  <c r="G182" i="36"/>
  <c r="H181" i="4" s="1"/>
  <c r="R182" i="36"/>
  <c r="AC182" i="36" s="1"/>
  <c r="G178" i="36"/>
  <c r="R178" i="36"/>
  <c r="AC178" i="36" s="1"/>
  <c r="R176" i="36"/>
  <c r="AC176" i="36" s="1"/>
  <c r="Q176" i="36"/>
  <c r="AB176" i="36" s="1"/>
  <c r="G174" i="36"/>
  <c r="R174" i="36"/>
  <c r="AC174" i="36" s="1"/>
  <c r="R172" i="36"/>
  <c r="AC172" i="36" s="1"/>
  <c r="Q172" i="36"/>
  <c r="AB172" i="36" s="1"/>
  <c r="E169" i="4"/>
  <c r="R170" i="36"/>
  <c r="AC170" i="36" s="1"/>
  <c r="R168" i="36"/>
  <c r="AC168" i="36" s="1"/>
  <c r="Q168" i="36"/>
  <c r="AB168" i="36" s="1"/>
  <c r="G166" i="36"/>
  <c r="R166" i="36"/>
  <c r="AC166" i="36" s="1"/>
  <c r="G162" i="36"/>
  <c r="R162" i="36"/>
  <c r="AC162" i="36" s="1"/>
  <c r="R160" i="36"/>
  <c r="AC160" i="36" s="1"/>
  <c r="Q160" i="36"/>
  <c r="AB160" i="36" s="1"/>
  <c r="M157" i="4"/>
  <c r="AE157" i="4" s="1"/>
  <c r="R158" i="36"/>
  <c r="AC158" i="36" s="1"/>
  <c r="R156" i="36"/>
  <c r="AC156" i="36" s="1"/>
  <c r="Q156" i="36"/>
  <c r="AB156" i="36" s="1"/>
  <c r="G154" i="36"/>
  <c r="R154" i="36"/>
  <c r="AC154" i="36" s="1"/>
  <c r="R152" i="36"/>
  <c r="AC152" i="36" s="1"/>
  <c r="Q152" i="36"/>
  <c r="AB152" i="36" s="1"/>
  <c r="E149" i="4"/>
  <c r="R150" i="36"/>
  <c r="AC150" i="36" s="1"/>
  <c r="R148" i="36"/>
  <c r="AC148" i="36" s="1"/>
  <c r="Q148" i="36"/>
  <c r="AB148" i="36" s="1"/>
  <c r="G146" i="36"/>
  <c r="Y145" i="4"/>
  <c r="R146" i="36"/>
  <c r="AC146" i="36" s="1"/>
  <c r="R144" i="36"/>
  <c r="AC144" i="36" s="1"/>
  <c r="Q144" i="36"/>
  <c r="AB144" i="36" s="1"/>
  <c r="G142" i="36"/>
  <c r="M141" i="4"/>
  <c r="R142" i="36"/>
  <c r="AC142" i="36" s="1"/>
  <c r="R140" i="36"/>
  <c r="AC140" i="36" s="1"/>
  <c r="Q140" i="36"/>
  <c r="AB140" i="36" s="1"/>
  <c r="G138" i="36"/>
  <c r="R138" i="36"/>
  <c r="AC138" i="36" s="1"/>
  <c r="R136" i="36"/>
  <c r="AC136" i="36" s="1"/>
  <c r="Q136" i="36"/>
  <c r="AB136" i="36" s="1"/>
  <c r="G134" i="36"/>
  <c r="R134" i="36"/>
  <c r="AC134" i="36" s="1"/>
  <c r="E133" i="4"/>
  <c r="R133" i="36"/>
  <c r="AC133" i="36" s="1"/>
  <c r="Q133" i="36"/>
  <c r="AB133" i="36" s="1"/>
  <c r="G131" i="36"/>
  <c r="R131" i="36"/>
  <c r="AC131" i="36" s="1"/>
  <c r="R129" i="36"/>
  <c r="AC129" i="36" s="1"/>
  <c r="Q129" i="36"/>
  <c r="AB129" i="36" s="1"/>
  <c r="G127" i="36"/>
  <c r="H126" i="4" s="1"/>
  <c r="R127" i="36"/>
  <c r="AC127" i="36" s="1"/>
  <c r="R125" i="36"/>
  <c r="AC125" i="36" s="1"/>
  <c r="Q125" i="36"/>
  <c r="AB125" i="36" s="1"/>
  <c r="G123" i="36"/>
  <c r="H122" i="4" s="1"/>
  <c r="R123" i="36"/>
  <c r="AC123" i="36" s="1"/>
  <c r="R121" i="36"/>
  <c r="AC121" i="36" s="1"/>
  <c r="Q121" i="36"/>
  <c r="AB121" i="36" s="1"/>
  <c r="G119" i="36"/>
  <c r="H118" i="4" s="1"/>
  <c r="R119" i="36"/>
  <c r="AC119" i="36" s="1"/>
  <c r="D118" i="4"/>
  <c r="R117" i="36"/>
  <c r="AC117" i="36" s="1"/>
  <c r="Q117" i="36"/>
  <c r="AB117" i="36" s="1"/>
  <c r="G115" i="36"/>
  <c r="R115" i="36"/>
  <c r="AC115" i="36" s="1"/>
  <c r="R113" i="36"/>
  <c r="AC113" i="36" s="1"/>
  <c r="Q113" i="36"/>
  <c r="AB113" i="36" s="1"/>
  <c r="G111" i="36"/>
  <c r="H110" i="4" s="1"/>
  <c r="M110" i="4"/>
  <c r="AE110" i="4" s="1"/>
  <c r="R111" i="36"/>
  <c r="AC111" i="36" s="1"/>
  <c r="R109" i="36"/>
  <c r="AC109" i="36" s="1"/>
  <c r="Q109" i="36"/>
  <c r="AB109" i="36" s="1"/>
  <c r="G107" i="36"/>
  <c r="R107" i="36"/>
  <c r="AC107" i="36" s="1"/>
  <c r="Q105" i="36"/>
  <c r="AB105" i="36" s="1"/>
  <c r="M102" i="4"/>
  <c r="AE102" i="4" s="1"/>
  <c r="R103" i="36"/>
  <c r="AC103" i="36" s="1"/>
  <c r="R101" i="36"/>
  <c r="AC101" i="36" s="1"/>
  <c r="Q101" i="36"/>
  <c r="AB101" i="36" s="1"/>
  <c r="G99" i="36"/>
  <c r="R99" i="36"/>
  <c r="AC99" i="36" s="1"/>
  <c r="R97" i="36"/>
  <c r="AC97" i="36" s="1"/>
  <c r="Q97" i="36"/>
  <c r="AB97" i="36" s="1"/>
  <c r="M94" i="4"/>
  <c r="AE94" i="4" s="1"/>
  <c r="R95" i="36"/>
  <c r="AC95" i="36" s="1"/>
  <c r="R93" i="36"/>
  <c r="AC93" i="36" s="1"/>
  <c r="Q93" i="36"/>
  <c r="AB93" i="36" s="1"/>
  <c r="G91" i="36"/>
  <c r="R91" i="36"/>
  <c r="AC91" i="36" s="1"/>
  <c r="R89" i="36"/>
  <c r="AC89" i="36" s="1"/>
  <c r="Q89" i="36"/>
  <c r="AB89" i="36" s="1"/>
  <c r="G87" i="36"/>
  <c r="H86" i="4" s="1"/>
  <c r="R87" i="36"/>
  <c r="AC87" i="36" s="1"/>
  <c r="Q85" i="36"/>
  <c r="AB85" i="36" s="1"/>
  <c r="R83" i="36"/>
  <c r="AC83" i="36" s="1"/>
  <c r="R81" i="36"/>
  <c r="AC81" i="36" s="1"/>
  <c r="Y80" i="4"/>
  <c r="Q81" i="36"/>
  <c r="AB81" i="36" s="1"/>
  <c r="G79" i="36"/>
  <c r="Y78" i="4"/>
  <c r="Z78" i="4" s="1"/>
  <c r="R79" i="36"/>
  <c r="AC79" i="36" s="1"/>
  <c r="R77" i="36"/>
  <c r="AC77" i="36" s="1"/>
  <c r="Q77" i="36"/>
  <c r="AB77" i="36" s="1"/>
  <c r="G75" i="36"/>
  <c r="R75" i="36"/>
  <c r="AC75" i="36" s="1"/>
  <c r="R73" i="36"/>
  <c r="AC73" i="36" s="1"/>
  <c r="Q73" i="36"/>
  <c r="AB73" i="36" s="1"/>
  <c r="G71" i="36"/>
  <c r="R71" i="36"/>
  <c r="AC71" i="36" s="1"/>
  <c r="R69" i="36"/>
  <c r="AC69" i="36" s="1"/>
  <c r="Q69" i="36"/>
  <c r="AB69" i="36" s="1"/>
  <c r="G67" i="36"/>
  <c r="R67" i="36"/>
  <c r="AC67" i="36" s="1"/>
  <c r="R65" i="36"/>
  <c r="AC65" i="36" s="1"/>
  <c r="Q65" i="36"/>
  <c r="AB65" i="36" s="1"/>
  <c r="G63" i="36"/>
  <c r="R63" i="36"/>
  <c r="AC63" i="36" s="1"/>
  <c r="R61" i="36"/>
  <c r="AC61" i="36" s="1"/>
  <c r="Q61" i="36"/>
  <c r="AB61" i="36" s="1"/>
  <c r="R59" i="36"/>
  <c r="AC59" i="36" s="1"/>
  <c r="R57" i="36"/>
  <c r="AC57" i="36" s="1"/>
  <c r="Q57" i="36"/>
  <c r="AB57" i="36" s="1"/>
  <c r="F56" i="4"/>
  <c r="G55" i="36"/>
  <c r="R55" i="36"/>
  <c r="AC55" i="36" s="1"/>
  <c r="M52" i="4"/>
  <c r="AE52" i="4" s="1"/>
  <c r="Q53" i="36"/>
  <c r="AB53" i="36" s="1"/>
  <c r="G51" i="36"/>
  <c r="R51" i="36"/>
  <c r="AC51" i="36" s="1"/>
  <c r="R49" i="36"/>
  <c r="AC49" i="36" s="1"/>
  <c r="Q49" i="36"/>
  <c r="AB49" i="36" s="1"/>
  <c r="G47" i="36"/>
  <c r="H46" i="4" s="1"/>
  <c r="R47" i="36"/>
  <c r="AC47" i="36" s="1"/>
  <c r="R45" i="36"/>
  <c r="AC45" i="36" s="1"/>
  <c r="Q45" i="36"/>
  <c r="AB45" i="36" s="1"/>
  <c r="G43" i="36"/>
  <c r="R43" i="36"/>
  <c r="AC43" i="36" s="1"/>
  <c r="R41" i="36"/>
  <c r="AC41" i="36" s="1"/>
  <c r="Q41" i="36"/>
  <c r="AB41" i="36" s="1"/>
  <c r="G39" i="36"/>
  <c r="R39" i="36"/>
  <c r="AC39" i="36" s="1"/>
  <c r="Q37" i="36"/>
  <c r="AB37" i="36" s="1"/>
  <c r="R35" i="36"/>
  <c r="AC35" i="36" s="1"/>
  <c r="R33" i="36"/>
  <c r="AC33" i="36" s="1"/>
  <c r="Y32" i="4"/>
  <c r="Q33" i="36"/>
  <c r="AB33" i="36" s="1"/>
  <c r="G31" i="36"/>
  <c r="H30" i="4" s="1"/>
  <c r="R31" i="36"/>
  <c r="AC31" i="36" s="1"/>
  <c r="F28" i="4"/>
  <c r="Q29" i="36"/>
  <c r="AB29" i="36" s="1"/>
  <c r="R27" i="36"/>
  <c r="AC27" i="36" s="1"/>
  <c r="Y24" i="4"/>
  <c r="Q25" i="36"/>
  <c r="AB25" i="36" s="1"/>
  <c r="G23" i="36"/>
  <c r="R23" i="36"/>
  <c r="AC23" i="36" s="1"/>
  <c r="Q21" i="36"/>
  <c r="AB21" i="36" s="1"/>
  <c r="R19" i="36"/>
  <c r="AC19" i="36" s="1"/>
  <c r="Q17" i="36"/>
  <c r="AB17" i="36" s="1"/>
  <c r="R15" i="36"/>
  <c r="AC15" i="36" s="1"/>
  <c r="E432" i="36"/>
  <c r="E416" i="36"/>
  <c r="E401" i="36"/>
  <c r="E383" i="36"/>
  <c r="E367" i="36"/>
  <c r="E351" i="36"/>
  <c r="E335" i="36"/>
  <c r="E320" i="36"/>
  <c r="E304" i="36"/>
  <c r="E260" i="36"/>
  <c r="E244" i="36"/>
  <c r="E228" i="36"/>
  <c r="E212" i="36"/>
  <c r="E196" i="36"/>
  <c r="E180" i="36"/>
  <c r="E164" i="36"/>
  <c r="E148" i="36"/>
  <c r="E133" i="36"/>
  <c r="E117" i="36"/>
  <c r="E101" i="36"/>
  <c r="E85" i="36"/>
  <c r="E69" i="36"/>
  <c r="E53" i="36"/>
  <c r="E37" i="36"/>
  <c r="E21" i="36"/>
  <c r="G428" i="36"/>
  <c r="G412" i="36"/>
  <c r="G397" i="36"/>
  <c r="G379" i="36"/>
  <c r="G363" i="36"/>
  <c r="G347" i="36"/>
  <c r="G332" i="36"/>
  <c r="G316" i="36"/>
  <c r="H315" i="4" s="1"/>
  <c r="G300" i="36"/>
  <c r="G286" i="36"/>
  <c r="H285" i="4" s="1"/>
  <c r="G272" i="36"/>
  <c r="G256" i="36"/>
  <c r="G240" i="36"/>
  <c r="G224" i="36"/>
  <c r="H223" i="4" s="1"/>
  <c r="G208" i="36"/>
  <c r="G192" i="36"/>
  <c r="G176" i="36"/>
  <c r="G160" i="36"/>
  <c r="H159" i="4" s="1"/>
  <c r="G144" i="36"/>
  <c r="G129" i="36"/>
  <c r="G113" i="36"/>
  <c r="H112" i="4" s="1"/>
  <c r="G97" i="36"/>
  <c r="G81" i="36"/>
  <c r="G65" i="36"/>
  <c r="H64" i="4" s="1"/>
  <c r="G49" i="36"/>
  <c r="G33" i="36"/>
  <c r="G17" i="36"/>
  <c r="Q420" i="36"/>
  <c r="AB420" i="36" s="1"/>
  <c r="Q387" i="36"/>
  <c r="AB387" i="36" s="1"/>
  <c r="Q371" i="36"/>
  <c r="AB371" i="36" s="1"/>
  <c r="Q355" i="36"/>
  <c r="AB355" i="36" s="1"/>
  <c r="Q339" i="36"/>
  <c r="AB339" i="36" s="1"/>
  <c r="Q324" i="36"/>
  <c r="AB324" i="36" s="1"/>
  <c r="Q308" i="36"/>
  <c r="AB308" i="36" s="1"/>
  <c r="Q292" i="36"/>
  <c r="AB292" i="36" s="1"/>
  <c r="Q278" i="36"/>
  <c r="AB278" i="36" s="1"/>
  <c r="Q264" i="36"/>
  <c r="AB264" i="36" s="1"/>
  <c r="Q228" i="36"/>
  <c r="AB228" i="36" s="1"/>
  <c r="Q164" i="36"/>
  <c r="AB164" i="36" s="1"/>
  <c r="E428" i="36"/>
  <c r="E412" i="36"/>
  <c r="E397" i="36"/>
  <c r="E379" i="36"/>
  <c r="E363" i="36"/>
  <c r="E347" i="36"/>
  <c r="E332" i="36"/>
  <c r="E316" i="36"/>
  <c r="E300" i="36"/>
  <c r="E286" i="36"/>
  <c r="E272" i="36"/>
  <c r="E256" i="36"/>
  <c r="E240" i="36"/>
  <c r="E224" i="36"/>
  <c r="E208" i="36"/>
  <c r="E192" i="36"/>
  <c r="E176" i="36"/>
  <c r="E160" i="36"/>
  <c r="E144" i="36"/>
  <c r="E129" i="36"/>
  <c r="E113" i="36"/>
  <c r="E97" i="36"/>
  <c r="E81" i="36"/>
  <c r="E65" i="36"/>
  <c r="E49" i="36"/>
  <c r="E33" i="36"/>
  <c r="E17" i="36"/>
  <c r="G424" i="36"/>
  <c r="G408" i="36"/>
  <c r="G393" i="36"/>
  <c r="G375" i="36"/>
  <c r="G359" i="36"/>
  <c r="H358" i="4" s="1"/>
  <c r="G343" i="36"/>
  <c r="G328" i="36"/>
  <c r="G312" i="36"/>
  <c r="G296" i="36"/>
  <c r="G282" i="36"/>
  <c r="G268" i="36"/>
  <c r="G252" i="36"/>
  <c r="H251" i="4" s="1"/>
  <c r="G236" i="36"/>
  <c r="G220" i="36"/>
  <c r="G204" i="36"/>
  <c r="H203" i="4" s="1"/>
  <c r="G188" i="36"/>
  <c r="G172" i="36"/>
  <c r="G156" i="36"/>
  <c r="G140" i="36"/>
  <c r="G125" i="36"/>
  <c r="H124" i="4" s="1"/>
  <c r="G109" i="36"/>
  <c r="G93" i="36"/>
  <c r="H92" i="4" s="1"/>
  <c r="G77" i="36"/>
  <c r="G61" i="36"/>
  <c r="G45" i="36"/>
  <c r="G29" i="36"/>
  <c r="H28" i="4" s="1"/>
  <c r="Q432" i="36"/>
  <c r="AB432" i="36" s="1"/>
  <c r="Q416" i="36"/>
  <c r="AB416" i="36" s="1"/>
  <c r="Q401" i="36"/>
  <c r="AB401" i="36" s="1"/>
  <c r="Q383" i="36"/>
  <c r="AB383" i="36" s="1"/>
  <c r="Q367" i="36"/>
  <c r="AB367" i="36" s="1"/>
  <c r="Q351" i="36"/>
  <c r="AB351" i="36" s="1"/>
  <c r="Q335" i="36"/>
  <c r="AB335" i="36" s="1"/>
  <c r="Q320" i="36"/>
  <c r="AB320" i="36" s="1"/>
  <c r="Q304" i="36"/>
  <c r="AB304" i="36" s="1"/>
  <c r="Q260" i="36"/>
  <c r="AB260" i="36" s="1"/>
  <c r="Q212" i="36"/>
  <c r="AB212" i="36" s="1"/>
  <c r="E424" i="36"/>
  <c r="E408" i="36"/>
  <c r="E393" i="36"/>
  <c r="E375" i="36"/>
  <c r="E359" i="36"/>
  <c r="E343" i="36"/>
  <c r="E328" i="36"/>
  <c r="E312" i="36"/>
  <c r="E296" i="36"/>
  <c r="E282" i="36"/>
  <c r="E268" i="36"/>
  <c r="E252" i="36"/>
  <c r="E236" i="36"/>
  <c r="E220" i="36"/>
  <c r="E204" i="36"/>
  <c r="E188" i="36"/>
  <c r="E172" i="36"/>
  <c r="E156" i="36"/>
  <c r="E140" i="36"/>
  <c r="E125" i="36"/>
  <c r="E109" i="36"/>
  <c r="E93" i="36"/>
  <c r="E77" i="36"/>
  <c r="E61" i="36"/>
  <c r="E45" i="36"/>
  <c r="E29" i="36"/>
  <c r="G420" i="36"/>
  <c r="G387" i="36"/>
  <c r="G371" i="36"/>
  <c r="H370" i="4" s="1"/>
  <c r="G355" i="36"/>
  <c r="H354" i="4" s="1"/>
  <c r="G339" i="36"/>
  <c r="G324" i="36"/>
  <c r="G308" i="36"/>
  <c r="H307" i="4" s="1"/>
  <c r="G292" i="36"/>
  <c r="G278" i="36"/>
  <c r="H277" i="4" s="1"/>
  <c r="G264" i="36"/>
  <c r="G248" i="36"/>
  <c r="G232" i="36"/>
  <c r="H231" i="4" s="1"/>
  <c r="G216" i="36"/>
  <c r="H215" i="4" s="1"/>
  <c r="G200" i="36"/>
  <c r="H199" i="4" s="1"/>
  <c r="G184" i="36"/>
  <c r="G168" i="36"/>
  <c r="G152" i="36"/>
  <c r="H151" i="4" s="1"/>
  <c r="G136" i="36"/>
  <c r="H135" i="4" s="1"/>
  <c r="G121" i="36"/>
  <c r="G105" i="36"/>
  <c r="G89" i="36"/>
  <c r="G73" i="36"/>
  <c r="G57" i="36"/>
  <c r="G41" i="36"/>
  <c r="H40" i="4" s="1"/>
  <c r="G25" i="36"/>
  <c r="H24" i="4" s="1"/>
  <c r="Q428" i="36"/>
  <c r="AB428" i="36" s="1"/>
  <c r="Q412" i="36"/>
  <c r="AB412" i="36" s="1"/>
  <c r="Q397" i="36"/>
  <c r="AB397" i="36" s="1"/>
  <c r="Q379" i="36"/>
  <c r="AB379" i="36" s="1"/>
  <c r="Q363" i="36"/>
  <c r="AB363" i="36" s="1"/>
  <c r="Q347" i="36"/>
  <c r="AB347" i="36" s="1"/>
  <c r="Q332" i="36"/>
  <c r="AB332" i="36" s="1"/>
  <c r="Q316" i="36"/>
  <c r="AB316" i="36" s="1"/>
  <c r="Q300" i="36"/>
  <c r="AB300" i="36" s="1"/>
  <c r="Q286" i="36"/>
  <c r="AB286" i="36" s="1"/>
  <c r="Q272" i="36"/>
  <c r="AB272" i="36" s="1"/>
  <c r="Q256" i="36"/>
  <c r="AB256" i="36" s="1"/>
  <c r="Q196" i="36"/>
  <c r="AB196" i="36" s="1"/>
  <c r="E420" i="36"/>
  <c r="E387" i="36"/>
  <c r="E371" i="36"/>
  <c r="E355" i="36"/>
  <c r="E339" i="36"/>
  <c r="E324" i="36"/>
  <c r="E308" i="36"/>
  <c r="E292" i="36"/>
  <c r="E278" i="36"/>
  <c r="E264" i="36"/>
  <c r="E248" i="36"/>
  <c r="E232" i="36"/>
  <c r="E216" i="36"/>
  <c r="E200" i="36"/>
  <c r="E184" i="36"/>
  <c r="E168" i="36"/>
  <c r="E152" i="36"/>
  <c r="E136" i="36"/>
  <c r="E121" i="36"/>
  <c r="E105" i="36"/>
  <c r="E89" i="36"/>
  <c r="E73" i="36"/>
  <c r="E57" i="36"/>
  <c r="E41" i="36"/>
  <c r="E25" i="36"/>
  <c r="G432" i="36"/>
  <c r="G416" i="36"/>
  <c r="G401" i="36"/>
  <c r="G383" i="36"/>
  <c r="G367" i="36"/>
  <c r="G351" i="36"/>
  <c r="G335" i="36"/>
  <c r="G320" i="36"/>
  <c r="G304" i="36"/>
  <c r="G260" i="36"/>
  <c r="G244" i="36"/>
  <c r="G228" i="36"/>
  <c r="H227" i="4" s="1"/>
  <c r="G212" i="36"/>
  <c r="H211" i="4" s="1"/>
  <c r="G196" i="36"/>
  <c r="H195" i="4" s="1"/>
  <c r="G180" i="36"/>
  <c r="G164" i="36"/>
  <c r="G148" i="36"/>
  <c r="G133" i="36"/>
  <c r="G117" i="36"/>
  <c r="G101" i="36"/>
  <c r="H100" i="4" s="1"/>
  <c r="G85" i="36"/>
  <c r="G69" i="36"/>
  <c r="G53" i="36"/>
  <c r="G37" i="36"/>
  <c r="H36" i="4" s="1"/>
  <c r="G21" i="36"/>
  <c r="H20" i="4" s="1"/>
  <c r="Q424" i="36"/>
  <c r="AB424" i="36" s="1"/>
  <c r="Q408" i="36"/>
  <c r="AB408" i="36" s="1"/>
  <c r="Q393" i="36"/>
  <c r="AB393" i="36" s="1"/>
  <c r="Q375" i="36"/>
  <c r="AB375" i="36" s="1"/>
  <c r="Q359" i="36"/>
  <c r="AB359" i="36" s="1"/>
  <c r="Q343" i="36"/>
  <c r="AB343" i="36" s="1"/>
  <c r="Q328" i="36"/>
  <c r="AB328" i="36" s="1"/>
  <c r="Q312" i="36"/>
  <c r="AB312" i="36" s="1"/>
  <c r="Q296" i="36"/>
  <c r="AB296" i="36" s="1"/>
  <c r="Q282" i="36"/>
  <c r="AB282" i="36" s="1"/>
  <c r="Q268" i="36"/>
  <c r="AB268" i="36" s="1"/>
  <c r="Q244" i="36"/>
  <c r="AB244" i="36" s="1"/>
  <c r="Q180" i="36"/>
  <c r="AB180" i="36" s="1"/>
  <c r="G14" i="36"/>
  <c r="R396" i="36"/>
  <c r="AC396" i="36" s="1"/>
  <c r="R271" i="36"/>
  <c r="AC271" i="36" s="1"/>
  <c r="G13" i="36"/>
  <c r="E13" i="36"/>
  <c r="E427" i="36"/>
  <c r="E419" i="36"/>
  <c r="E411" i="36"/>
  <c r="E404" i="36"/>
  <c r="E396" i="36"/>
  <c r="E391" i="36"/>
  <c r="E386" i="36"/>
  <c r="E378" i="36"/>
  <c r="E370" i="36"/>
  <c r="E362" i="36"/>
  <c r="E354" i="36"/>
  <c r="E346" i="36"/>
  <c r="E338" i="36"/>
  <c r="E331" i="36"/>
  <c r="E323" i="36"/>
  <c r="E315" i="36"/>
  <c r="E307" i="36"/>
  <c r="E299" i="36"/>
  <c r="E291" i="36"/>
  <c r="E285" i="36"/>
  <c r="E277" i="36"/>
  <c r="E271" i="36"/>
  <c r="E263" i="36"/>
  <c r="E255" i="36"/>
  <c r="E247" i="36"/>
  <c r="E239" i="36"/>
  <c r="E231" i="36"/>
  <c r="E223" i="36"/>
  <c r="E215" i="36"/>
  <c r="E207" i="36"/>
  <c r="E199" i="36"/>
  <c r="E191" i="36"/>
  <c r="E183" i="36"/>
  <c r="E175" i="36"/>
  <c r="E167" i="36"/>
  <c r="E159" i="36"/>
  <c r="E151" i="36"/>
  <c r="E143" i="36"/>
  <c r="E135" i="36"/>
  <c r="E128" i="36"/>
  <c r="E120" i="36"/>
  <c r="E112" i="36"/>
  <c r="E104" i="36"/>
  <c r="E96" i="36"/>
  <c r="E88" i="36"/>
  <c r="E80" i="36"/>
  <c r="E72" i="36"/>
  <c r="E48" i="36"/>
  <c r="E32" i="36"/>
  <c r="E24" i="36"/>
  <c r="E16" i="36"/>
  <c r="Q13" i="36"/>
  <c r="AB13" i="36" s="1"/>
  <c r="Q427" i="36"/>
  <c r="AB427" i="36" s="1"/>
  <c r="Q404" i="36"/>
  <c r="AB404" i="36" s="1"/>
  <c r="Q354" i="36"/>
  <c r="AB354" i="36" s="1"/>
  <c r="Q338" i="36"/>
  <c r="AB338" i="36" s="1"/>
  <c r="Q323" i="36"/>
  <c r="AB323" i="36" s="1"/>
  <c r="Q315" i="36"/>
  <c r="AB315" i="36" s="1"/>
  <c r="Q307" i="36"/>
  <c r="AB307" i="36" s="1"/>
  <c r="Q291" i="36"/>
  <c r="AB291" i="36" s="1"/>
  <c r="Q277" i="36"/>
  <c r="AB277" i="36" s="1"/>
  <c r="Q255" i="36"/>
  <c r="AB255" i="36" s="1"/>
  <c r="Q239" i="36"/>
  <c r="AB239" i="36" s="1"/>
  <c r="Q223" i="36"/>
  <c r="AB223" i="36" s="1"/>
  <c r="Q207" i="36"/>
  <c r="AB207" i="36" s="1"/>
  <c r="Q183" i="36"/>
  <c r="AB183" i="36" s="1"/>
  <c r="Q135" i="36"/>
  <c r="AB135" i="36" s="1"/>
  <c r="Q112" i="36"/>
  <c r="AB112" i="36" s="1"/>
  <c r="Q88" i="36"/>
  <c r="AB88" i="36" s="1"/>
  <c r="Q80" i="36"/>
  <c r="AB80" i="36" s="1"/>
  <c r="E194" i="4"/>
  <c r="Q433" i="36"/>
  <c r="AB433" i="36" s="1"/>
  <c r="E433" i="36"/>
  <c r="R433" i="36"/>
  <c r="AC433" i="36" s="1"/>
  <c r="Q429" i="36"/>
  <c r="AB429" i="36" s="1"/>
  <c r="E429" i="36"/>
  <c r="R429" i="36"/>
  <c r="AC429" i="36" s="1"/>
  <c r="Q425" i="36"/>
  <c r="AB425" i="36" s="1"/>
  <c r="E425" i="36"/>
  <c r="R425" i="36"/>
  <c r="AC425" i="36" s="1"/>
  <c r="Q421" i="36"/>
  <c r="AB421" i="36" s="1"/>
  <c r="E421" i="36"/>
  <c r="R421" i="36"/>
  <c r="AC421" i="36" s="1"/>
  <c r="G419" i="36"/>
  <c r="Q413" i="36"/>
  <c r="AB413" i="36" s="1"/>
  <c r="E413" i="36"/>
  <c r="R413" i="36"/>
  <c r="AC413" i="36" s="1"/>
  <c r="G411" i="36"/>
  <c r="Q409" i="36"/>
  <c r="AB409" i="36" s="1"/>
  <c r="E409" i="36"/>
  <c r="R409" i="36"/>
  <c r="AC409" i="36" s="1"/>
  <c r="Q405" i="36"/>
  <c r="AB405" i="36" s="1"/>
  <c r="E405" i="36"/>
  <c r="R405" i="36"/>
  <c r="AC405" i="36" s="1"/>
  <c r="Q402" i="36"/>
  <c r="AB402" i="36" s="1"/>
  <c r="E402" i="36"/>
  <c r="R402" i="36"/>
  <c r="AC402" i="36" s="1"/>
  <c r="Q398" i="36"/>
  <c r="AB398" i="36" s="1"/>
  <c r="E398" i="36"/>
  <c r="R398" i="36"/>
  <c r="AC398" i="36" s="1"/>
  <c r="G391" i="36"/>
  <c r="G386" i="36"/>
  <c r="G382" i="36"/>
  <c r="G378" i="36"/>
  <c r="G374" i="36"/>
  <c r="G370" i="36"/>
  <c r="Q364" i="36"/>
  <c r="AB364" i="36" s="1"/>
  <c r="E364" i="36"/>
  <c r="R364" i="36"/>
  <c r="AC364" i="36" s="1"/>
  <c r="G362" i="36"/>
  <c r="Q360" i="36"/>
  <c r="AB360" i="36" s="1"/>
  <c r="E360" i="36"/>
  <c r="R360" i="36"/>
  <c r="AC360" i="36" s="1"/>
  <c r="Q356" i="36"/>
  <c r="AB356" i="36" s="1"/>
  <c r="E356" i="36"/>
  <c r="R356" i="36"/>
  <c r="AC356" i="36" s="1"/>
  <c r="Q352" i="36"/>
  <c r="AB352" i="36" s="1"/>
  <c r="E352" i="36"/>
  <c r="R352" i="36"/>
  <c r="AC352" i="36" s="1"/>
  <c r="Q348" i="36"/>
  <c r="AB348" i="36" s="1"/>
  <c r="E348" i="36"/>
  <c r="R348" i="36"/>
  <c r="AC348" i="36" s="1"/>
  <c r="Q344" i="36"/>
  <c r="AB344" i="36" s="1"/>
  <c r="E344" i="36"/>
  <c r="R344" i="36"/>
  <c r="AC344" i="36" s="1"/>
  <c r="Q340" i="36"/>
  <c r="AB340" i="36" s="1"/>
  <c r="E340" i="36"/>
  <c r="R340" i="36"/>
  <c r="AC340" i="36" s="1"/>
  <c r="Q336" i="36"/>
  <c r="AB336" i="36" s="1"/>
  <c r="E336" i="36"/>
  <c r="R336" i="36"/>
  <c r="AC336" i="36" s="1"/>
  <c r="Q329" i="36"/>
  <c r="AB329" i="36" s="1"/>
  <c r="E329" i="36"/>
  <c r="R329" i="36"/>
  <c r="AC329" i="36" s="1"/>
  <c r="Q325" i="36"/>
  <c r="AB325" i="36" s="1"/>
  <c r="E325" i="36"/>
  <c r="R325" i="36"/>
  <c r="AC325" i="36" s="1"/>
  <c r="Q317" i="36"/>
  <c r="AB317" i="36" s="1"/>
  <c r="E317" i="36"/>
  <c r="R317" i="36"/>
  <c r="AC317" i="36" s="1"/>
  <c r="Q309" i="36"/>
  <c r="AB309" i="36" s="1"/>
  <c r="E309" i="36"/>
  <c r="R309" i="36"/>
  <c r="AC309" i="36" s="1"/>
  <c r="Q305" i="36"/>
  <c r="AB305" i="36" s="1"/>
  <c r="E305" i="36"/>
  <c r="R305" i="36"/>
  <c r="AC305" i="36" s="1"/>
  <c r="Q301" i="36"/>
  <c r="AB301" i="36" s="1"/>
  <c r="E301" i="36"/>
  <c r="R301" i="36"/>
  <c r="AC301" i="36" s="1"/>
  <c r="Q297" i="36"/>
  <c r="AB297" i="36" s="1"/>
  <c r="E297" i="36"/>
  <c r="R297" i="36"/>
  <c r="AC297" i="36" s="1"/>
  <c r="Q287" i="36"/>
  <c r="AB287" i="36" s="1"/>
  <c r="E287" i="36"/>
  <c r="R287" i="36"/>
  <c r="AC287" i="36" s="1"/>
  <c r="Q283" i="36"/>
  <c r="AB283" i="36" s="1"/>
  <c r="E283" i="36"/>
  <c r="R283" i="36"/>
  <c r="AC283" i="36" s="1"/>
  <c r="Q279" i="36"/>
  <c r="AB279" i="36" s="1"/>
  <c r="E279" i="36"/>
  <c r="R279" i="36"/>
  <c r="AC279" i="36" s="1"/>
  <c r="Q276" i="36"/>
  <c r="AB276" i="36" s="1"/>
  <c r="E276" i="36"/>
  <c r="R276" i="36"/>
  <c r="AC276" i="36" s="1"/>
  <c r="Q273" i="36"/>
  <c r="AB273" i="36" s="1"/>
  <c r="E273" i="36"/>
  <c r="R273" i="36"/>
  <c r="AC273" i="36" s="1"/>
  <c r="Q269" i="36"/>
  <c r="AB269" i="36" s="1"/>
  <c r="E269" i="36"/>
  <c r="R269" i="36"/>
  <c r="AC269" i="36" s="1"/>
  <c r="Q265" i="36"/>
  <c r="AB265" i="36" s="1"/>
  <c r="E265" i="36"/>
  <c r="R265" i="36"/>
  <c r="AC265" i="36" s="1"/>
  <c r="Q261" i="36"/>
  <c r="AB261" i="36" s="1"/>
  <c r="E261" i="36"/>
  <c r="R261" i="36"/>
  <c r="AC261" i="36" s="1"/>
  <c r="Q257" i="36"/>
  <c r="AB257" i="36" s="1"/>
  <c r="E257" i="36"/>
  <c r="R257" i="36"/>
  <c r="AC257" i="36" s="1"/>
  <c r="Q253" i="36"/>
  <c r="AB253" i="36" s="1"/>
  <c r="E253" i="36"/>
  <c r="R253" i="36"/>
  <c r="AC253" i="36" s="1"/>
  <c r="Q249" i="36"/>
  <c r="AB249" i="36" s="1"/>
  <c r="E249" i="36"/>
  <c r="R249" i="36"/>
  <c r="AC249" i="36" s="1"/>
  <c r="Q245" i="36"/>
  <c r="AB245" i="36" s="1"/>
  <c r="E245" i="36"/>
  <c r="R245" i="36"/>
  <c r="AC245" i="36" s="1"/>
  <c r="Q241" i="36"/>
  <c r="AB241" i="36" s="1"/>
  <c r="E241" i="36"/>
  <c r="R241" i="36"/>
  <c r="AC241" i="36" s="1"/>
  <c r="Q237" i="36"/>
  <c r="AB237" i="36" s="1"/>
  <c r="E237" i="36"/>
  <c r="R237" i="36"/>
  <c r="AC237" i="36" s="1"/>
  <c r="F236" i="4"/>
  <c r="Q233" i="36"/>
  <c r="AB233" i="36" s="1"/>
  <c r="E233" i="36"/>
  <c r="R233" i="36"/>
  <c r="AC233" i="36" s="1"/>
  <c r="Q229" i="36"/>
  <c r="AB229" i="36" s="1"/>
  <c r="E229" i="36"/>
  <c r="R229" i="36"/>
  <c r="AC229" i="36" s="1"/>
  <c r="Q225" i="36"/>
  <c r="AB225" i="36" s="1"/>
  <c r="E225" i="36"/>
  <c r="R225" i="36"/>
  <c r="AC225" i="36" s="1"/>
  <c r="Q221" i="36"/>
  <c r="AB221" i="36" s="1"/>
  <c r="E221" i="36"/>
  <c r="R221" i="36"/>
  <c r="AC221" i="36" s="1"/>
  <c r="Q217" i="36"/>
  <c r="AB217" i="36" s="1"/>
  <c r="E217" i="36"/>
  <c r="R217" i="36"/>
  <c r="AC217" i="36" s="1"/>
  <c r="Q213" i="36"/>
  <c r="AB213" i="36" s="1"/>
  <c r="E213" i="36"/>
  <c r="R213" i="36"/>
  <c r="AC213" i="36" s="1"/>
  <c r="G203" i="36"/>
  <c r="G199" i="36"/>
  <c r="E198" i="4"/>
  <c r="Q197" i="36"/>
  <c r="AB197" i="36" s="1"/>
  <c r="E197" i="36"/>
  <c r="R197" i="36"/>
  <c r="AC197" i="36" s="1"/>
  <c r="Q193" i="36"/>
  <c r="AB193" i="36" s="1"/>
  <c r="E193" i="36"/>
  <c r="R193" i="36"/>
  <c r="AC193" i="36" s="1"/>
  <c r="D188" i="4"/>
  <c r="Q189" i="36"/>
  <c r="AB189" i="36" s="1"/>
  <c r="E189" i="36"/>
  <c r="R189" i="36"/>
  <c r="AC189" i="36" s="1"/>
  <c r="Q185" i="36"/>
  <c r="AB185" i="36" s="1"/>
  <c r="E185" i="36"/>
  <c r="R185" i="36"/>
  <c r="AC185" i="36" s="1"/>
  <c r="Q181" i="36"/>
  <c r="AB181" i="36" s="1"/>
  <c r="E181" i="36"/>
  <c r="R181" i="36"/>
  <c r="AC181" i="36" s="1"/>
  <c r="E180" i="4"/>
  <c r="D176" i="4"/>
  <c r="Q177" i="36"/>
  <c r="AB177" i="36" s="1"/>
  <c r="E177" i="36"/>
  <c r="R177" i="36"/>
  <c r="AC177" i="36" s="1"/>
  <c r="E172" i="4"/>
  <c r="Q173" i="36"/>
  <c r="AB173" i="36" s="1"/>
  <c r="E173" i="36"/>
  <c r="R173" i="36"/>
  <c r="AC173" i="36" s="1"/>
  <c r="G167" i="36"/>
  <c r="G163" i="36"/>
  <c r="G159" i="36"/>
  <c r="G155" i="36"/>
  <c r="G151" i="36"/>
  <c r="H150" i="4" s="1"/>
  <c r="F146" i="4"/>
  <c r="G147" i="36"/>
  <c r="Q145" i="36"/>
  <c r="AB145" i="36" s="1"/>
  <c r="E145" i="36"/>
  <c r="E144" i="4"/>
  <c r="R145" i="36"/>
  <c r="AC145" i="36" s="1"/>
  <c r="Q141" i="36"/>
  <c r="AB141" i="36" s="1"/>
  <c r="E141" i="36"/>
  <c r="R141" i="36"/>
  <c r="AC141" i="36" s="1"/>
  <c r="Q137" i="36"/>
  <c r="AB137" i="36" s="1"/>
  <c r="E137" i="36"/>
  <c r="R137" i="36"/>
  <c r="AC137" i="36" s="1"/>
  <c r="D136" i="4"/>
  <c r="D129" i="4"/>
  <c r="Q130" i="36"/>
  <c r="AB130" i="36" s="1"/>
  <c r="E130" i="36"/>
  <c r="R130" i="36"/>
  <c r="AC130" i="36" s="1"/>
  <c r="F125" i="4"/>
  <c r="Q126" i="36"/>
  <c r="AB126" i="36" s="1"/>
  <c r="E126" i="36"/>
  <c r="R126" i="36"/>
  <c r="AC126" i="36" s="1"/>
  <c r="G120" i="36"/>
  <c r="H119" i="4" s="1"/>
  <c r="G116" i="36"/>
  <c r="Q114" i="36"/>
  <c r="AB114" i="36" s="1"/>
  <c r="E114" i="36"/>
  <c r="R114" i="36"/>
  <c r="AC114" i="36" s="1"/>
  <c r="G108" i="36"/>
  <c r="G104" i="36"/>
  <c r="Q102" i="36"/>
  <c r="AB102" i="36" s="1"/>
  <c r="E102" i="36"/>
  <c r="F101" i="4"/>
  <c r="R102" i="36"/>
  <c r="AC102" i="36" s="1"/>
  <c r="Q98" i="36"/>
  <c r="AB98" i="36" s="1"/>
  <c r="E98" i="36"/>
  <c r="R98" i="36"/>
  <c r="AC98" i="36" s="1"/>
  <c r="Q94" i="36"/>
  <c r="AB94" i="36" s="1"/>
  <c r="E94" i="36"/>
  <c r="R94" i="36"/>
  <c r="AC94" i="36" s="1"/>
  <c r="Q90" i="36"/>
  <c r="AB90" i="36" s="1"/>
  <c r="E90" i="36"/>
  <c r="R90" i="36"/>
  <c r="AC90" i="36" s="1"/>
  <c r="Q86" i="36"/>
  <c r="AB86" i="36" s="1"/>
  <c r="E86" i="36"/>
  <c r="R86" i="36"/>
  <c r="AC86" i="36" s="1"/>
  <c r="E85" i="4"/>
  <c r="G76" i="36"/>
  <c r="G72" i="36"/>
  <c r="G68" i="36"/>
  <c r="Q68" i="36"/>
  <c r="AB68" i="36" s="1"/>
  <c r="G64" i="36"/>
  <c r="H63" i="4" s="1"/>
  <c r="Q64" i="36"/>
  <c r="AB64" i="36" s="1"/>
  <c r="G60" i="36"/>
  <c r="Q60" i="36"/>
  <c r="AB60" i="36" s="1"/>
  <c r="D55" i="4"/>
  <c r="G56" i="36"/>
  <c r="Q56" i="36"/>
  <c r="AB56" i="36" s="1"/>
  <c r="Q54" i="36"/>
  <c r="AB54" i="36" s="1"/>
  <c r="E54" i="36"/>
  <c r="R54" i="36"/>
  <c r="AC54" i="36" s="1"/>
  <c r="E53" i="4"/>
  <c r="Q50" i="36"/>
  <c r="AB50" i="36" s="1"/>
  <c r="E50" i="36"/>
  <c r="R50" i="36"/>
  <c r="AC50" i="36" s="1"/>
  <c r="E49" i="4"/>
  <c r="Q46" i="36"/>
  <c r="AB46" i="36" s="1"/>
  <c r="E46" i="36"/>
  <c r="R46" i="36"/>
  <c r="AC46" i="36" s="1"/>
  <c r="G40" i="36"/>
  <c r="Q40" i="36"/>
  <c r="AB40" i="36" s="1"/>
  <c r="G36" i="36"/>
  <c r="Q36" i="36"/>
  <c r="AB36" i="36" s="1"/>
  <c r="Q34" i="36"/>
  <c r="AB34" i="36" s="1"/>
  <c r="E34" i="36"/>
  <c r="F33" i="4"/>
  <c r="R34" i="36"/>
  <c r="AC34" i="36" s="1"/>
  <c r="F29" i="4"/>
  <c r="Q30" i="36"/>
  <c r="AB30" i="36" s="1"/>
  <c r="E30" i="36"/>
  <c r="R30" i="36"/>
  <c r="AC30" i="36" s="1"/>
  <c r="E25" i="4"/>
  <c r="Q26" i="36"/>
  <c r="AB26" i="36" s="1"/>
  <c r="E26" i="36"/>
  <c r="R26" i="36"/>
  <c r="AC26" i="36" s="1"/>
  <c r="E21" i="4"/>
  <c r="Q22" i="36"/>
  <c r="AB22" i="36" s="1"/>
  <c r="E22" i="36"/>
  <c r="R22" i="36"/>
  <c r="AC22" i="36" s="1"/>
  <c r="G433" i="36"/>
  <c r="G409" i="36"/>
  <c r="G352" i="36"/>
  <c r="G329" i="36"/>
  <c r="G305" i="36"/>
  <c r="G283" i="36"/>
  <c r="G276" i="36"/>
  <c r="H275" i="4" s="1"/>
  <c r="G245" i="36"/>
  <c r="G221" i="36"/>
  <c r="G197" i="36"/>
  <c r="G181" i="36"/>
  <c r="G102" i="36"/>
  <c r="H101" i="4" s="1"/>
  <c r="R419" i="36"/>
  <c r="AC419" i="36" s="1"/>
  <c r="R391" i="36"/>
  <c r="AC391" i="36" s="1"/>
  <c r="R378" i="36"/>
  <c r="AC378" i="36" s="1"/>
  <c r="R362" i="36"/>
  <c r="AC362" i="36" s="1"/>
  <c r="R307" i="36"/>
  <c r="AC307" i="36" s="1"/>
  <c r="R291" i="36"/>
  <c r="AC291" i="36" s="1"/>
  <c r="R207" i="36"/>
  <c r="AC207" i="36" s="1"/>
  <c r="R199" i="36"/>
  <c r="AC199" i="36" s="1"/>
  <c r="R167" i="36"/>
  <c r="AC167" i="36" s="1"/>
  <c r="R151" i="36"/>
  <c r="AC151" i="36" s="1"/>
  <c r="R104" i="36"/>
  <c r="AC104" i="36" s="1"/>
  <c r="R72" i="36"/>
  <c r="AC72" i="36" s="1"/>
  <c r="R64" i="36"/>
  <c r="AC64" i="36" s="1"/>
  <c r="F232" i="4"/>
  <c r="E89" i="4"/>
  <c r="D372" i="4"/>
  <c r="M372" i="4"/>
  <c r="F342" i="4"/>
  <c r="E299" i="4"/>
  <c r="M299" i="4"/>
  <c r="AE299" i="4" s="1"/>
  <c r="F299" i="4"/>
  <c r="Y299" i="4"/>
  <c r="F271" i="4"/>
  <c r="Y169" i="4"/>
  <c r="F169" i="4"/>
  <c r="E94" i="4"/>
  <c r="Y94" i="4"/>
  <c r="Z94" i="4" s="1"/>
  <c r="D94" i="4"/>
  <c r="F94" i="4"/>
  <c r="D82" i="4"/>
  <c r="Y52" i="4"/>
  <c r="Y36" i="4"/>
  <c r="G429" i="36"/>
  <c r="G421" i="36"/>
  <c r="G413" i="36"/>
  <c r="G405" i="36"/>
  <c r="G398" i="36"/>
  <c r="G364" i="36"/>
  <c r="H363" i="4" s="1"/>
  <c r="G356" i="36"/>
  <c r="H355" i="4" s="1"/>
  <c r="G348" i="36"/>
  <c r="G340" i="36"/>
  <c r="G325" i="36"/>
  <c r="H324" i="4" s="1"/>
  <c r="G317" i="36"/>
  <c r="H316" i="4" s="1"/>
  <c r="G309" i="36"/>
  <c r="H308" i="4" s="1"/>
  <c r="G301" i="36"/>
  <c r="H300" i="4" s="1"/>
  <c r="G287" i="36"/>
  <c r="G279" i="36"/>
  <c r="G273" i="36"/>
  <c r="G265" i="36"/>
  <c r="G257" i="36"/>
  <c r="G249" i="36"/>
  <c r="H248" i="4" s="1"/>
  <c r="G241" i="36"/>
  <c r="G233" i="36"/>
  <c r="G225" i="36"/>
  <c r="G217" i="36"/>
  <c r="G193" i="36"/>
  <c r="G185" i="36"/>
  <c r="G177" i="36"/>
  <c r="G145" i="36"/>
  <c r="G137" i="36"/>
  <c r="G130" i="36"/>
  <c r="G114" i="36"/>
  <c r="G98" i="36"/>
  <c r="G90" i="36"/>
  <c r="G50" i="36"/>
  <c r="G34" i="36"/>
  <c r="G26" i="36"/>
  <c r="R431" i="36"/>
  <c r="AC431" i="36" s="1"/>
  <c r="R423" i="36"/>
  <c r="AC423" i="36" s="1"/>
  <c r="R407" i="36"/>
  <c r="AC407" i="36" s="1"/>
  <c r="R392" i="36"/>
  <c r="AC392" i="36" s="1"/>
  <c r="R382" i="36"/>
  <c r="AC382" i="36" s="1"/>
  <c r="R374" i="36"/>
  <c r="AC374" i="36" s="1"/>
  <c r="R358" i="36"/>
  <c r="AC358" i="36" s="1"/>
  <c r="R319" i="36"/>
  <c r="AC319" i="36" s="1"/>
  <c r="R311" i="36"/>
  <c r="AC311" i="36" s="1"/>
  <c r="R203" i="36"/>
  <c r="AC203" i="36" s="1"/>
  <c r="R195" i="36"/>
  <c r="AC195" i="36" s="1"/>
  <c r="R163" i="36"/>
  <c r="AC163" i="36" s="1"/>
  <c r="R155" i="36"/>
  <c r="AC155" i="36" s="1"/>
  <c r="R147" i="36"/>
  <c r="AC147" i="36" s="1"/>
  <c r="R116" i="36"/>
  <c r="AC116" i="36" s="1"/>
  <c r="R108" i="36"/>
  <c r="AC108" i="36" s="1"/>
  <c r="R76" i="36"/>
  <c r="AC76" i="36" s="1"/>
  <c r="R68" i="36"/>
  <c r="AC68" i="36" s="1"/>
  <c r="R60" i="36"/>
  <c r="AC60" i="36" s="1"/>
  <c r="R36" i="36"/>
  <c r="AC36" i="36" s="1"/>
  <c r="M325" i="4"/>
  <c r="AE325" i="4" s="1"/>
  <c r="Y159" i="4"/>
  <c r="F159" i="4"/>
  <c r="E113" i="4"/>
  <c r="G427" i="36"/>
  <c r="Q417" i="36"/>
  <c r="AB417" i="36" s="1"/>
  <c r="E417" i="36"/>
  <c r="R417" i="36"/>
  <c r="AC417" i="36" s="1"/>
  <c r="G415" i="36"/>
  <c r="G404" i="36"/>
  <c r="G400" i="36"/>
  <c r="G396" i="36"/>
  <c r="Q394" i="36"/>
  <c r="AB394" i="36" s="1"/>
  <c r="E394" i="36"/>
  <c r="R394" i="36"/>
  <c r="AC394" i="36" s="1"/>
  <c r="Q388" i="36"/>
  <c r="AB388" i="36" s="1"/>
  <c r="E388" i="36"/>
  <c r="R388" i="36"/>
  <c r="AC388" i="36" s="1"/>
  <c r="Q384" i="36"/>
  <c r="AB384" i="36" s="1"/>
  <c r="E384" i="36"/>
  <c r="R384" i="36"/>
  <c r="AC384" i="36" s="1"/>
  <c r="Q380" i="36"/>
  <c r="AB380" i="36" s="1"/>
  <c r="E380" i="36"/>
  <c r="R380" i="36"/>
  <c r="AC380" i="36" s="1"/>
  <c r="Q376" i="36"/>
  <c r="AB376" i="36" s="1"/>
  <c r="E376" i="36"/>
  <c r="R376" i="36"/>
  <c r="AC376" i="36" s="1"/>
  <c r="Q372" i="36"/>
  <c r="AB372" i="36" s="1"/>
  <c r="E372" i="36"/>
  <c r="R372" i="36"/>
  <c r="AC372" i="36" s="1"/>
  <c r="Q368" i="36"/>
  <c r="AB368" i="36" s="1"/>
  <c r="E368" i="36"/>
  <c r="R368" i="36"/>
  <c r="AC368" i="36" s="1"/>
  <c r="G366" i="36"/>
  <c r="G354" i="36"/>
  <c r="G350" i="36"/>
  <c r="G346" i="36"/>
  <c r="H345" i="4" s="1"/>
  <c r="G342" i="36"/>
  <c r="G338" i="36"/>
  <c r="G334" i="36"/>
  <c r="H333" i="4" s="1"/>
  <c r="G331" i="36"/>
  <c r="G327" i="36"/>
  <c r="G323" i="36"/>
  <c r="Q321" i="36"/>
  <c r="AB321" i="36" s="1"/>
  <c r="E321" i="36"/>
  <c r="R321" i="36"/>
  <c r="AC321" i="36" s="1"/>
  <c r="Q313" i="36"/>
  <c r="AB313" i="36" s="1"/>
  <c r="E313" i="36"/>
  <c r="R313" i="36"/>
  <c r="AC313" i="36" s="1"/>
  <c r="G303" i="36"/>
  <c r="H302" i="4" s="1"/>
  <c r="G299" i="36"/>
  <c r="G295" i="36"/>
  <c r="H294" i="4" s="1"/>
  <c r="Q293" i="36"/>
  <c r="AB293" i="36" s="1"/>
  <c r="E293" i="36"/>
  <c r="R293" i="36"/>
  <c r="AC293" i="36" s="1"/>
  <c r="G289" i="36"/>
  <c r="G285" i="36"/>
  <c r="G281" i="36"/>
  <c r="G277" i="36"/>
  <c r="H276" i="4" s="1"/>
  <c r="G275" i="36"/>
  <c r="H274" i="4" s="1"/>
  <c r="G271" i="36"/>
  <c r="H270" i="4" s="1"/>
  <c r="G267" i="36"/>
  <c r="H266" i="4" s="1"/>
  <c r="G263" i="36"/>
  <c r="G259" i="36"/>
  <c r="H258" i="4" s="1"/>
  <c r="G255" i="36"/>
  <c r="H254" i="4" s="1"/>
  <c r="G251" i="36"/>
  <c r="G247" i="36"/>
  <c r="G243" i="36"/>
  <c r="H242" i="4" s="1"/>
  <c r="D242" i="4"/>
  <c r="G239" i="36"/>
  <c r="H238" i="4" s="1"/>
  <c r="G235" i="36"/>
  <c r="H234" i="4" s="1"/>
  <c r="D234" i="4"/>
  <c r="G231" i="36"/>
  <c r="G227" i="36"/>
  <c r="G223" i="36"/>
  <c r="G219" i="36"/>
  <c r="G215" i="36"/>
  <c r="G211" i="36"/>
  <c r="Q209" i="36"/>
  <c r="AB209" i="36" s="1"/>
  <c r="E209" i="36"/>
  <c r="R209" i="36"/>
  <c r="AC209" i="36" s="1"/>
  <c r="Q205" i="36"/>
  <c r="AB205" i="36" s="1"/>
  <c r="E205" i="36"/>
  <c r="R205" i="36"/>
  <c r="AC205" i="36" s="1"/>
  <c r="E204" i="4"/>
  <c r="Q201" i="36"/>
  <c r="AB201" i="36" s="1"/>
  <c r="E201" i="36"/>
  <c r="R201" i="36"/>
  <c r="AC201" i="36" s="1"/>
  <c r="G191" i="36"/>
  <c r="G187" i="36"/>
  <c r="D186" i="4"/>
  <c r="G183" i="36"/>
  <c r="G179" i="36"/>
  <c r="G175" i="36"/>
  <c r="G171" i="36"/>
  <c r="E170" i="4"/>
  <c r="Q169" i="36"/>
  <c r="AB169" i="36" s="1"/>
  <c r="E169" i="36"/>
  <c r="D168" i="4"/>
  <c r="R169" i="36"/>
  <c r="AC169" i="36" s="1"/>
  <c r="Q165" i="36"/>
  <c r="AB165" i="36" s="1"/>
  <c r="E165" i="36"/>
  <c r="R165" i="36"/>
  <c r="AC165" i="36" s="1"/>
  <c r="Q161" i="36"/>
  <c r="AB161" i="36" s="1"/>
  <c r="E161" i="36"/>
  <c r="R161" i="36"/>
  <c r="AC161" i="36" s="1"/>
  <c r="E160" i="4"/>
  <c r="Q157" i="36"/>
  <c r="AB157" i="36" s="1"/>
  <c r="E157" i="36"/>
  <c r="R157" i="36"/>
  <c r="AC157" i="36" s="1"/>
  <c r="Q153" i="36"/>
  <c r="AB153" i="36" s="1"/>
  <c r="E153" i="36"/>
  <c r="R153" i="36"/>
  <c r="AC153" i="36" s="1"/>
  <c r="F152" i="4"/>
  <c r="Q149" i="36"/>
  <c r="AB149" i="36" s="1"/>
  <c r="E149" i="36"/>
  <c r="R149" i="36"/>
  <c r="AC149" i="36" s="1"/>
  <c r="G143" i="36"/>
  <c r="G139" i="36"/>
  <c r="G135" i="36"/>
  <c r="H134" i="4" s="1"/>
  <c r="E134" i="4"/>
  <c r="G132" i="36"/>
  <c r="G128" i="36"/>
  <c r="G124" i="36"/>
  <c r="Q122" i="36"/>
  <c r="AB122" i="36" s="1"/>
  <c r="E122" i="36"/>
  <c r="R122" i="36"/>
  <c r="AC122" i="36" s="1"/>
  <c r="E117" i="4"/>
  <c r="Q118" i="36"/>
  <c r="AB118" i="36" s="1"/>
  <c r="E118" i="36"/>
  <c r="R118" i="36"/>
  <c r="AC118" i="36" s="1"/>
  <c r="G112" i="36"/>
  <c r="Q110" i="36"/>
  <c r="AB110" i="36" s="1"/>
  <c r="E110" i="36"/>
  <c r="R110" i="36"/>
  <c r="AC110" i="36" s="1"/>
  <c r="Q106" i="36"/>
  <c r="AB106" i="36" s="1"/>
  <c r="E106" i="36"/>
  <c r="R106" i="36"/>
  <c r="AC106" i="36" s="1"/>
  <c r="F105" i="4"/>
  <c r="G100" i="36"/>
  <c r="G96" i="36"/>
  <c r="G92" i="36"/>
  <c r="G88" i="36"/>
  <c r="G84" i="36"/>
  <c r="H83" i="4" s="1"/>
  <c r="Q82" i="36"/>
  <c r="AB82" i="36" s="1"/>
  <c r="E82" i="36"/>
  <c r="E81" i="4"/>
  <c r="R82" i="36"/>
  <c r="AC82" i="36" s="1"/>
  <c r="Q78" i="36"/>
  <c r="AB78" i="36" s="1"/>
  <c r="E78" i="36"/>
  <c r="R78" i="36"/>
  <c r="AC78" i="36" s="1"/>
  <c r="Q74" i="36"/>
  <c r="AB74" i="36" s="1"/>
  <c r="E74" i="36"/>
  <c r="R74" i="36"/>
  <c r="AC74" i="36" s="1"/>
  <c r="Q70" i="36"/>
  <c r="AB70" i="36" s="1"/>
  <c r="E70" i="36"/>
  <c r="R70" i="36"/>
  <c r="AC70" i="36" s="1"/>
  <c r="D69" i="4"/>
  <c r="D65" i="4"/>
  <c r="Q66" i="36"/>
  <c r="AB66" i="36" s="1"/>
  <c r="E66" i="36"/>
  <c r="R66" i="36"/>
  <c r="AC66" i="36" s="1"/>
  <c r="Q62" i="36"/>
  <c r="AB62" i="36" s="1"/>
  <c r="E62" i="36"/>
  <c r="R62" i="36"/>
  <c r="AC62" i="36" s="1"/>
  <c r="Q58" i="36"/>
  <c r="AB58" i="36" s="1"/>
  <c r="E58" i="36"/>
  <c r="R58" i="36"/>
  <c r="AC58" i="36" s="1"/>
  <c r="G52" i="36"/>
  <c r="Q52" i="36"/>
  <c r="AB52" i="36" s="1"/>
  <c r="D51" i="4"/>
  <c r="G48" i="36"/>
  <c r="H47" i="4" s="1"/>
  <c r="Q48" i="36"/>
  <c r="AB48" i="36" s="1"/>
  <c r="E47" i="4"/>
  <c r="G44" i="36"/>
  <c r="Q44" i="36"/>
  <c r="AB44" i="36" s="1"/>
  <c r="Q42" i="36"/>
  <c r="AB42" i="36" s="1"/>
  <c r="E42" i="36"/>
  <c r="R42" i="36"/>
  <c r="AC42" i="36" s="1"/>
  <c r="Q38" i="36"/>
  <c r="AB38" i="36" s="1"/>
  <c r="E38" i="36"/>
  <c r="R38" i="36"/>
  <c r="AC38" i="36" s="1"/>
  <c r="F37" i="4"/>
  <c r="G32" i="36"/>
  <c r="H31" i="4" s="1"/>
  <c r="Q32" i="36"/>
  <c r="AB32" i="36" s="1"/>
  <c r="G28" i="36"/>
  <c r="Q28" i="36"/>
  <c r="AB28" i="36" s="1"/>
  <c r="G24" i="36"/>
  <c r="H23" i="4" s="1"/>
  <c r="Q24" i="36"/>
  <c r="AB24" i="36" s="1"/>
  <c r="G20" i="36"/>
  <c r="Q20" i="36"/>
  <c r="AB20" i="36" s="1"/>
  <c r="Q18" i="36"/>
  <c r="AB18" i="36" s="1"/>
  <c r="E18" i="36"/>
  <c r="R18" i="36"/>
  <c r="AC18" i="36" s="1"/>
  <c r="G16" i="36"/>
  <c r="H15" i="4" s="1"/>
  <c r="Q16" i="36"/>
  <c r="AB16" i="36" s="1"/>
  <c r="E13" i="4"/>
  <c r="Q14" i="36"/>
  <c r="AB14" i="36" s="1"/>
  <c r="E14" i="36"/>
  <c r="R14" i="36"/>
  <c r="AC14" i="36" s="1"/>
  <c r="G417" i="36"/>
  <c r="G394" i="36"/>
  <c r="G384" i="36"/>
  <c r="G360" i="36"/>
  <c r="G336" i="36"/>
  <c r="H335" i="4" s="1"/>
  <c r="G321" i="36"/>
  <c r="G297" i="36"/>
  <c r="G269" i="36"/>
  <c r="H268" i="4" s="1"/>
  <c r="G253" i="36"/>
  <c r="G229" i="36"/>
  <c r="H228" i="4" s="1"/>
  <c r="G213" i="36"/>
  <c r="G205" i="36"/>
  <c r="G173" i="36"/>
  <c r="G141" i="36"/>
  <c r="G118" i="36"/>
  <c r="R411" i="36"/>
  <c r="AC411" i="36" s="1"/>
  <c r="R386" i="36"/>
  <c r="AC386" i="36" s="1"/>
  <c r="R370" i="36"/>
  <c r="AC370" i="36" s="1"/>
  <c r="R346" i="36"/>
  <c r="AC346" i="36" s="1"/>
  <c r="R331" i="36"/>
  <c r="AC331" i="36" s="1"/>
  <c r="R315" i="36"/>
  <c r="AC315" i="36" s="1"/>
  <c r="R299" i="36"/>
  <c r="AC299" i="36" s="1"/>
  <c r="R285" i="36"/>
  <c r="AC285" i="36" s="1"/>
  <c r="R263" i="36"/>
  <c r="AC263" i="36" s="1"/>
  <c r="R247" i="36"/>
  <c r="AC247" i="36" s="1"/>
  <c r="R231" i="36"/>
  <c r="AC231" i="36" s="1"/>
  <c r="R215" i="36"/>
  <c r="AC215" i="36" s="1"/>
  <c r="R191" i="36"/>
  <c r="AC191" i="36" s="1"/>
  <c r="R175" i="36"/>
  <c r="AC175" i="36" s="1"/>
  <c r="R159" i="36"/>
  <c r="AC159" i="36" s="1"/>
  <c r="R143" i="36"/>
  <c r="AC143" i="36" s="1"/>
  <c r="R128" i="36"/>
  <c r="AC128" i="36" s="1"/>
  <c r="R120" i="36"/>
  <c r="AC120" i="36" s="1"/>
  <c r="R96" i="36"/>
  <c r="AC96" i="36" s="1"/>
  <c r="R80" i="36"/>
  <c r="AC80" i="36" s="1"/>
  <c r="R56" i="36"/>
  <c r="AC56" i="36" s="1"/>
  <c r="R40" i="36"/>
  <c r="AC40" i="36" s="1"/>
  <c r="Y366" i="4"/>
  <c r="D366" i="4"/>
  <c r="E323" i="4"/>
  <c r="M323" i="4"/>
  <c r="AE323" i="4" s="1"/>
  <c r="Y323" i="4"/>
  <c r="D311" i="4"/>
  <c r="E431" i="36"/>
  <c r="E423" i="36"/>
  <c r="E415" i="36"/>
  <c r="E407" i="36"/>
  <c r="E400" i="36"/>
  <c r="E392" i="36"/>
  <c r="E382" i="36"/>
  <c r="E374" i="36"/>
  <c r="E366" i="36"/>
  <c r="E358" i="36"/>
  <c r="E350" i="36"/>
  <c r="E342" i="36"/>
  <c r="E334" i="36"/>
  <c r="E327" i="36"/>
  <c r="E319" i="36"/>
  <c r="E311" i="36"/>
  <c r="E303" i="36"/>
  <c r="E295" i="36"/>
  <c r="E289" i="36"/>
  <c r="E281" i="36"/>
  <c r="E275" i="36"/>
  <c r="E267" i="36"/>
  <c r="E259" i="36"/>
  <c r="E251" i="36"/>
  <c r="E243" i="36"/>
  <c r="E235" i="36"/>
  <c r="E227" i="36"/>
  <c r="E219" i="36"/>
  <c r="E211" i="36"/>
  <c r="E203" i="36"/>
  <c r="E195" i="36"/>
  <c r="E187" i="36"/>
  <c r="E179" i="36"/>
  <c r="E171" i="36"/>
  <c r="E163" i="36"/>
  <c r="E155" i="36"/>
  <c r="E147" i="36"/>
  <c r="E139" i="36"/>
  <c r="E132" i="36"/>
  <c r="E124" i="36"/>
  <c r="E116" i="36"/>
  <c r="E108" i="36"/>
  <c r="E100" i="36"/>
  <c r="E92" i="36"/>
  <c r="E84" i="36"/>
  <c r="E76" i="36"/>
  <c r="E68" i="36"/>
  <c r="E60" i="36"/>
  <c r="E52" i="36"/>
  <c r="E44" i="36"/>
  <c r="E36" i="36"/>
  <c r="E28" i="36"/>
  <c r="E20" i="36"/>
  <c r="Q431" i="36"/>
  <c r="AB431" i="36" s="1"/>
  <c r="Q423" i="36"/>
  <c r="AB423" i="36" s="1"/>
  <c r="Q415" i="36"/>
  <c r="AB415" i="36" s="1"/>
  <c r="Q407" i="36"/>
  <c r="AB407" i="36" s="1"/>
  <c r="Q400" i="36"/>
  <c r="AB400" i="36" s="1"/>
  <c r="Q392" i="36"/>
  <c r="AB392" i="36" s="1"/>
  <c r="Q382" i="36"/>
  <c r="AB382" i="36" s="1"/>
  <c r="Q374" i="36"/>
  <c r="AB374" i="36" s="1"/>
  <c r="Q366" i="36"/>
  <c r="AB366" i="36" s="1"/>
  <c r="Q358" i="36"/>
  <c r="AB358" i="36" s="1"/>
  <c r="Q350" i="36"/>
  <c r="AB350" i="36" s="1"/>
  <c r="Q342" i="36"/>
  <c r="AB342" i="36" s="1"/>
  <c r="Q334" i="36"/>
  <c r="AB334" i="36" s="1"/>
  <c r="Q327" i="36"/>
  <c r="AB327" i="36" s="1"/>
  <c r="Q319" i="36"/>
  <c r="AB319" i="36" s="1"/>
  <c r="Q311" i="36"/>
  <c r="AB311" i="36" s="1"/>
  <c r="Q303" i="36"/>
  <c r="AB303" i="36" s="1"/>
  <c r="Q295" i="36"/>
  <c r="AB295" i="36" s="1"/>
  <c r="Q289" i="36"/>
  <c r="AB289" i="36" s="1"/>
  <c r="Q281" i="36"/>
  <c r="AB281" i="36" s="1"/>
  <c r="Q275" i="36"/>
  <c r="AB275" i="36" s="1"/>
  <c r="Q267" i="36"/>
  <c r="AB267" i="36" s="1"/>
  <c r="Q259" i="36"/>
  <c r="AB259" i="36" s="1"/>
  <c r="Q251" i="36"/>
  <c r="AB251" i="36" s="1"/>
  <c r="Q243" i="36"/>
  <c r="AB243" i="36" s="1"/>
  <c r="Q235" i="36"/>
  <c r="AB235" i="36" s="1"/>
  <c r="Q227" i="36"/>
  <c r="AB227" i="36" s="1"/>
  <c r="Q219" i="36"/>
  <c r="AB219" i="36" s="1"/>
  <c r="Q211" i="36"/>
  <c r="AB211" i="36" s="1"/>
  <c r="Q203" i="36"/>
  <c r="AB203" i="36" s="1"/>
  <c r="Q195" i="36"/>
  <c r="AB195" i="36" s="1"/>
  <c r="Q187" i="36"/>
  <c r="AB187" i="36" s="1"/>
  <c r="Q179" i="36"/>
  <c r="AB179" i="36" s="1"/>
  <c r="Q171" i="36"/>
  <c r="AB171" i="36" s="1"/>
  <c r="Q163" i="36"/>
  <c r="AB163" i="36" s="1"/>
  <c r="Q155" i="36"/>
  <c r="AB155" i="36" s="1"/>
  <c r="Q147" i="36"/>
  <c r="AB147" i="36" s="1"/>
  <c r="Q139" i="36"/>
  <c r="AB139" i="36" s="1"/>
  <c r="Q132" i="36"/>
  <c r="AB132" i="36" s="1"/>
  <c r="Q124" i="36"/>
  <c r="AB124" i="36" s="1"/>
  <c r="Q116" i="36"/>
  <c r="AB116" i="36" s="1"/>
  <c r="Q108" i="36"/>
  <c r="AB108" i="36" s="1"/>
  <c r="Q100" i="36"/>
  <c r="AB100" i="36" s="1"/>
  <c r="Q92" i="36"/>
  <c r="AB92" i="36" s="1"/>
  <c r="Q84" i="36"/>
  <c r="AB84" i="36" s="1"/>
  <c r="Q76" i="36"/>
  <c r="AB76" i="36" s="1"/>
  <c r="D384" i="4"/>
  <c r="F366" i="4"/>
  <c r="F311" i="4"/>
  <c r="M143" i="4"/>
  <c r="AE143" i="4" s="1"/>
  <c r="Y133" i="4"/>
  <c r="F133" i="4"/>
  <c r="F259" i="4"/>
  <c r="Y215" i="4"/>
  <c r="E78" i="4"/>
  <c r="Y259" i="4"/>
  <c r="M191" i="4"/>
  <c r="AE191" i="4" s="1"/>
  <c r="Y191" i="4"/>
  <c r="M32" i="4"/>
  <c r="AE32" i="4" s="1"/>
  <c r="Y241" i="4"/>
  <c r="M241" i="4"/>
  <c r="AE241" i="4" s="1"/>
  <c r="F241" i="4"/>
  <c r="F348" i="4"/>
  <c r="E295" i="4"/>
  <c r="M295" i="4"/>
  <c r="AE295" i="4" s="1"/>
  <c r="M285" i="4"/>
  <c r="AE285" i="4" s="1"/>
  <c r="F225" i="4"/>
  <c r="E207" i="4"/>
  <c r="E187" i="4"/>
  <c r="E175" i="4"/>
  <c r="F173" i="4"/>
  <c r="F167" i="4"/>
  <c r="E165" i="4"/>
  <c r="F163" i="4"/>
  <c r="D128" i="4"/>
  <c r="D124" i="4"/>
  <c r="E116" i="4"/>
  <c r="D92" i="4"/>
  <c r="E66" i="4"/>
  <c r="F64" i="4"/>
  <c r="Y348" i="4"/>
  <c r="AA348" i="4" s="1"/>
  <c r="E430" i="36"/>
  <c r="E426" i="36"/>
  <c r="E422" i="36"/>
  <c r="E418" i="36"/>
  <c r="E414" i="36"/>
  <c r="E410" i="36"/>
  <c r="E406" i="36"/>
  <c r="E403" i="36"/>
  <c r="E399" i="36"/>
  <c r="E395" i="36"/>
  <c r="E390" i="36"/>
  <c r="E389" i="36"/>
  <c r="E385" i="36"/>
  <c r="E381" i="36"/>
  <c r="E377" i="36"/>
  <c r="E373" i="36"/>
  <c r="E369" i="36"/>
  <c r="E365" i="36"/>
  <c r="E361" i="36"/>
  <c r="E357" i="36"/>
  <c r="E353" i="36"/>
  <c r="E349" i="36"/>
  <c r="E345" i="36"/>
  <c r="E341" i="36"/>
  <c r="E337" i="36"/>
  <c r="E333" i="36"/>
  <c r="E330" i="36"/>
  <c r="E326" i="36"/>
  <c r="E322" i="36"/>
  <c r="E318" i="36"/>
  <c r="E314" i="36"/>
  <c r="E310" i="36"/>
  <c r="E306" i="36"/>
  <c r="E302" i="36"/>
  <c r="E298" i="36"/>
  <c r="E294" i="36"/>
  <c r="E290" i="36"/>
  <c r="E288" i="36"/>
  <c r="E284" i="36"/>
  <c r="E280" i="36"/>
  <c r="E274" i="36"/>
  <c r="E270" i="36"/>
  <c r="E266" i="36"/>
  <c r="E262" i="36"/>
  <c r="E258" i="36"/>
  <c r="E254" i="36"/>
  <c r="E250" i="36"/>
  <c r="E246" i="36"/>
  <c r="E242" i="36"/>
  <c r="E238" i="36"/>
  <c r="E234" i="36"/>
  <c r="E230" i="36"/>
  <c r="E226" i="36"/>
  <c r="E222" i="36"/>
  <c r="E218" i="36"/>
  <c r="E214" i="36"/>
  <c r="E210" i="36"/>
  <c r="E206" i="36"/>
  <c r="E202" i="36"/>
  <c r="E198" i="36"/>
  <c r="E194" i="36"/>
  <c r="E190" i="36"/>
  <c r="E186" i="36"/>
  <c r="E182" i="36"/>
  <c r="E178" i="36"/>
  <c r="E174" i="36"/>
  <c r="E170" i="36"/>
  <c r="E166" i="36"/>
  <c r="E162" i="36"/>
  <c r="E158" i="36"/>
  <c r="E154" i="36"/>
  <c r="E150" i="36"/>
  <c r="E146" i="36"/>
  <c r="E142" i="36"/>
  <c r="E138" i="36"/>
  <c r="E134" i="36"/>
  <c r="E131" i="36"/>
  <c r="E127" i="36"/>
  <c r="E123" i="36"/>
  <c r="E119" i="36"/>
  <c r="E115" i="36"/>
  <c r="E111" i="36"/>
  <c r="E107" i="36"/>
  <c r="E103" i="36"/>
  <c r="E99" i="36"/>
  <c r="E95" i="36"/>
  <c r="E91" i="36"/>
  <c r="E87" i="36"/>
  <c r="E83" i="36"/>
  <c r="E79" i="36"/>
  <c r="E75" i="36"/>
  <c r="E71" i="36"/>
  <c r="E67" i="36"/>
  <c r="E63" i="36"/>
  <c r="E59" i="36"/>
  <c r="E55" i="36"/>
  <c r="E51" i="36"/>
  <c r="E47" i="36"/>
  <c r="E43" i="36"/>
  <c r="E39" i="36"/>
  <c r="E35" i="36"/>
  <c r="E31" i="36"/>
  <c r="E27" i="36"/>
  <c r="E23" i="36"/>
  <c r="E19" i="36"/>
  <c r="E15" i="36"/>
  <c r="Q430" i="36"/>
  <c r="AB430" i="36" s="1"/>
  <c r="Q426" i="36"/>
  <c r="AB426" i="36" s="1"/>
  <c r="Q422" i="36"/>
  <c r="AB422" i="36" s="1"/>
  <c r="Q418" i="36"/>
  <c r="AB418" i="36" s="1"/>
  <c r="Q414" i="36"/>
  <c r="AB414" i="36" s="1"/>
  <c r="Q410" i="36"/>
  <c r="AB410" i="36" s="1"/>
  <c r="Q406" i="36"/>
  <c r="AB406" i="36" s="1"/>
  <c r="Q403" i="36"/>
  <c r="AB403" i="36" s="1"/>
  <c r="Q399" i="36"/>
  <c r="AB399" i="36" s="1"/>
  <c r="Q395" i="36"/>
  <c r="AB395" i="36" s="1"/>
  <c r="Q390" i="36"/>
  <c r="AB390" i="36" s="1"/>
  <c r="Q389" i="36"/>
  <c r="AB389" i="36" s="1"/>
  <c r="Q385" i="36"/>
  <c r="AB385" i="36" s="1"/>
  <c r="Q381" i="36"/>
  <c r="AB381" i="36" s="1"/>
  <c r="Q377" i="36"/>
  <c r="AB377" i="36" s="1"/>
  <c r="Q373" i="36"/>
  <c r="AB373" i="36" s="1"/>
  <c r="Q369" i="36"/>
  <c r="AB369" i="36" s="1"/>
  <c r="Q365" i="36"/>
  <c r="AB365" i="36" s="1"/>
  <c r="Q361" i="36"/>
  <c r="AB361" i="36" s="1"/>
  <c r="Q357" i="36"/>
  <c r="AB357" i="36" s="1"/>
  <c r="Q353" i="36"/>
  <c r="AB353" i="36" s="1"/>
  <c r="Q349" i="36"/>
  <c r="AB349" i="36" s="1"/>
  <c r="Q345" i="36"/>
  <c r="AB345" i="36" s="1"/>
  <c r="Q341" i="36"/>
  <c r="AB341" i="36" s="1"/>
  <c r="Q337" i="36"/>
  <c r="AB337" i="36" s="1"/>
  <c r="Q333" i="36"/>
  <c r="AB333" i="36" s="1"/>
  <c r="Q330" i="36"/>
  <c r="AB330" i="36" s="1"/>
  <c r="Q326" i="36"/>
  <c r="AB326" i="36" s="1"/>
  <c r="Q322" i="36"/>
  <c r="AB322" i="36" s="1"/>
  <c r="Q318" i="36"/>
  <c r="AB318" i="36" s="1"/>
  <c r="Q314" i="36"/>
  <c r="AB314" i="36" s="1"/>
  <c r="Q310" i="36"/>
  <c r="AB310" i="36" s="1"/>
  <c r="Q306" i="36"/>
  <c r="AB306" i="36" s="1"/>
  <c r="Q302" i="36"/>
  <c r="AB302" i="36" s="1"/>
  <c r="Q298" i="36"/>
  <c r="AB298" i="36" s="1"/>
  <c r="Q294" i="36"/>
  <c r="AB294" i="36" s="1"/>
  <c r="Q290" i="36"/>
  <c r="AB290" i="36" s="1"/>
  <c r="Q288" i="36"/>
  <c r="AB288" i="36" s="1"/>
  <c r="Q284" i="36"/>
  <c r="AB284" i="36" s="1"/>
  <c r="Q280" i="36"/>
  <c r="AB280" i="36" s="1"/>
  <c r="Q274" i="36"/>
  <c r="AB274" i="36" s="1"/>
  <c r="Q270" i="36"/>
  <c r="AB270" i="36" s="1"/>
  <c r="Q266" i="36"/>
  <c r="AB266" i="36" s="1"/>
  <c r="Q262" i="36"/>
  <c r="AB262" i="36" s="1"/>
  <c r="Q258" i="36"/>
  <c r="AB258" i="36" s="1"/>
  <c r="Q254" i="36"/>
  <c r="AB254" i="36" s="1"/>
  <c r="Q250" i="36"/>
  <c r="AB250" i="36" s="1"/>
  <c r="Q246" i="36"/>
  <c r="AB246" i="36" s="1"/>
  <c r="Q242" i="36"/>
  <c r="AB242" i="36" s="1"/>
  <c r="Q238" i="36"/>
  <c r="AB238" i="36" s="1"/>
  <c r="Q234" i="36"/>
  <c r="AB234" i="36" s="1"/>
  <c r="Q230" i="36"/>
  <c r="AB230" i="36" s="1"/>
  <c r="Q226" i="36"/>
  <c r="AB226" i="36" s="1"/>
  <c r="Q222" i="36"/>
  <c r="AB222" i="36" s="1"/>
  <c r="Q218" i="36"/>
  <c r="AB218" i="36" s="1"/>
  <c r="Q214" i="36"/>
  <c r="AB214" i="36" s="1"/>
  <c r="Q210" i="36"/>
  <c r="AB210" i="36" s="1"/>
  <c r="Q206" i="36"/>
  <c r="AB206" i="36" s="1"/>
  <c r="Q202" i="36"/>
  <c r="AB202" i="36" s="1"/>
  <c r="Q198" i="36"/>
  <c r="AB198" i="36" s="1"/>
  <c r="Q194" i="36"/>
  <c r="AB194" i="36" s="1"/>
  <c r="Q190" i="36"/>
  <c r="AB190" i="36" s="1"/>
  <c r="Q186" i="36"/>
  <c r="AB186" i="36" s="1"/>
  <c r="Q182" i="36"/>
  <c r="AB182" i="36" s="1"/>
  <c r="Q178" i="36"/>
  <c r="AB178" i="36" s="1"/>
  <c r="Q174" i="36"/>
  <c r="AB174" i="36" s="1"/>
  <c r="Q170" i="36"/>
  <c r="AB170" i="36" s="1"/>
  <c r="Q166" i="36"/>
  <c r="AB166" i="36" s="1"/>
  <c r="Q162" i="36"/>
  <c r="AB162" i="36" s="1"/>
  <c r="Q158" i="36"/>
  <c r="AB158" i="36" s="1"/>
  <c r="Q154" i="36"/>
  <c r="AB154" i="36" s="1"/>
  <c r="Q150" i="36"/>
  <c r="AB150" i="36" s="1"/>
  <c r="Q146" i="36"/>
  <c r="AB146" i="36" s="1"/>
  <c r="Q142" i="36"/>
  <c r="AB142" i="36" s="1"/>
  <c r="Q138" i="36"/>
  <c r="AB138" i="36" s="1"/>
  <c r="Q134" i="36"/>
  <c r="AB134" i="36" s="1"/>
  <c r="Q131" i="36"/>
  <c r="AB131" i="36" s="1"/>
  <c r="Q127" i="36"/>
  <c r="AB127" i="36" s="1"/>
  <c r="Q123" i="36"/>
  <c r="AB123" i="36" s="1"/>
  <c r="Q119" i="36"/>
  <c r="AB119" i="36" s="1"/>
  <c r="Q115" i="36"/>
  <c r="AB115" i="36" s="1"/>
  <c r="Q111" i="36"/>
  <c r="AB111" i="36" s="1"/>
  <c r="Q107" i="36"/>
  <c r="AB107" i="36" s="1"/>
  <c r="Q103" i="36"/>
  <c r="AB103" i="36" s="1"/>
  <c r="Q99" i="36"/>
  <c r="AB99" i="36" s="1"/>
  <c r="Q95" i="36"/>
  <c r="AB95" i="36" s="1"/>
  <c r="Q91" i="36"/>
  <c r="AB91" i="36" s="1"/>
  <c r="Q87" i="36"/>
  <c r="AB87" i="36" s="1"/>
  <c r="Q83" i="36"/>
  <c r="AB83" i="36" s="1"/>
  <c r="Q79" i="36"/>
  <c r="AB79" i="36" s="1"/>
  <c r="Q75" i="36"/>
  <c r="AB75" i="36" s="1"/>
  <c r="Q71" i="36"/>
  <c r="AB71" i="36" s="1"/>
  <c r="Q67" i="36"/>
  <c r="AB67" i="36" s="1"/>
  <c r="Q63" i="36"/>
  <c r="AB63" i="36" s="1"/>
  <c r="Q59" i="36"/>
  <c r="AB59" i="36" s="1"/>
  <c r="Q55" i="36"/>
  <c r="AB55" i="36" s="1"/>
  <c r="Q51" i="36"/>
  <c r="AB51" i="36" s="1"/>
  <c r="Q47" i="36"/>
  <c r="AB47" i="36" s="1"/>
  <c r="Q43" i="36"/>
  <c r="AB43" i="36" s="1"/>
  <c r="Q39" i="36"/>
  <c r="AB39" i="36" s="1"/>
  <c r="Q35" i="36"/>
  <c r="AB35" i="36" s="1"/>
  <c r="Q31" i="36"/>
  <c r="AB31" i="36" s="1"/>
  <c r="Q27" i="36"/>
  <c r="AB27" i="36" s="1"/>
  <c r="Q23" i="36"/>
  <c r="AB23" i="36" s="1"/>
  <c r="Q19" i="36"/>
  <c r="AB19" i="36" s="1"/>
  <c r="Q15" i="36"/>
  <c r="AB15" i="36" s="1"/>
  <c r="F405" i="4"/>
  <c r="E336" i="4"/>
  <c r="E285" i="4"/>
  <c r="E253" i="4"/>
  <c r="E213" i="4"/>
  <c r="D205" i="4"/>
  <c r="F203" i="4"/>
  <c r="E199" i="4"/>
  <c r="D195" i="4"/>
  <c r="E181" i="4"/>
  <c r="D151" i="4"/>
  <c r="D135" i="4"/>
  <c r="F112" i="4"/>
  <c r="E96" i="4"/>
  <c r="D88" i="4"/>
  <c r="D76" i="4"/>
  <c r="E68" i="4"/>
  <c r="D40" i="4"/>
  <c r="M348" i="4"/>
  <c r="M225" i="4"/>
  <c r="AE225" i="4" s="1"/>
  <c r="D14" i="4"/>
  <c r="M14" i="4"/>
  <c r="AE14" i="4" s="1"/>
  <c r="G410" i="36"/>
  <c r="G395" i="36"/>
  <c r="G390" i="36"/>
  <c r="G389" i="36"/>
  <c r="G377" i="36"/>
  <c r="G373" i="36"/>
  <c r="G353" i="36"/>
  <c r="G330" i="36"/>
  <c r="H329" i="4" s="1"/>
  <c r="G306" i="36"/>
  <c r="G298" i="36"/>
  <c r="G288" i="36"/>
  <c r="H287" i="4" s="1"/>
  <c r="G284" i="36"/>
  <c r="G280" i="36"/>
  <c r="G270" i="36"/>
  <c r="H269" i="4" s="1"/>
  <c r="G246" i="36"/>
  <c r="G230" i="36"/>
  <c r="G218" i="36"/>
  <c r="G210" i="36"/>
  <c r="G198" i="36"/>
  <c r="H197" i="4" s="1"/>
  <c r="G186" i="36"/>
  <c r="G170" i="36"/>
  <c r="G158" i="36"/>
  <c r="G150" i="36"/>
  <c r="G103" i="36"/>
  <c r="G95" i="36"/>
  <c r="G83" i="36"/>
  <c r="G59" i="36"/>
  <c r="G35" i="36"/>
  <c r="G27" i="36"/>
  <c r="G19" i="36"/>
  <c r="G15" i="36"/>
  <c r="R416" i="36"/>
  <c r="AC416" i="36" s="1"/>
  <c r="R412" i="36"/>
  <c r="AC412" i="36" s="1"/>
  <c r="R397" i="36"/>
  <c r="AC397" i="36" s="1"/>
  <c r="R379" i="36"/>
  <c r="AC379" i="36" s="1"/>
  <c r="R355" i="36"/>
  <c r="AC355" i="36" s="1"/>
  <c r="R351" i="36"/>
  <c r="AC351" i="36" s="1"/>
  <c r="R347" i="36"/>
  <c r="AC347" i="36" s="1"/>
  <c r="R343" i="36"/>
  <c r="AC343" i="36" s="1"/>
  <c r="R339" i="36"/>
  <c r="AC339" i="36" s="1"/>
  <c r="R332" i="36"/>
  <c r="AC332" i="36" s="1"/>
  <c r="R328" i="36"/>
  <c r="AC328" i="36" s="1"/>
  <c r="R300" i="36"/>
  <c r="AC300" i="36" s="1"/>
  <c r="R272" i="36"/>
  <c r="AC272" i="36" s="1"/>
  <c r="R232" i="36"/>
  <c r="AC232" i="36" s="1"/>
  <c r="R228" i="36"/>
  <c r="AC228" i="36" s="1"/>
  <c r="R212" i="36"/>
  <c r="AC212" i="36" s="1"/>
  <c r="R105" i="36"/>
  <c r="AC105" i="36" s="1"/>
  <c r="R85" i="36"/>
  <c r="AC85" i="36" s="1"/>
  <c r="R53" i="36"/>
  <c r="AC53" i="36" s="1"/>
  <c r="R37" i="36"/>
  <c r="AC37" i="36" s="1"/>
  <c r="R29" i="36"/>
  <c r="AC29" i="36" s="1"/>
  <c r="R25" i="36"/>
  <c r="AC25" i="36" s="1"/>
  <c r="R21" i="36"/>
  <c r="AC21" i="36" s="1"/>
  <c r="R17" i="36"/>
  <c r="AC17" i="36" s="1"/>
  <c r="D285" i="4"/>
  <c r="F198" i="4"/>
  <c r="D194" i="4"/>
  <c r="D145" i="4"/>
  <c r="F145" i="4"/>
  <c r="F323" i="4"/>
  <c r="F425" i="4"/>
  <c r="F409" i="4"/>
  <c r="E409" i="4"/>
  <c r="D323" i="4"/>
  <c r="E271" i="4"/>
  <c r="D146" i="4"/>
  <c r="E146" i="4"/>
  <c r="D299" i="4"/>
  <c r="E236" i="4"/>
  <c r="D144" i="4"/>
  <c r="F144" i="4"/>
  <c r="D169" i="4"/>
  <c r="D133" i="4"/>
  <c r="E191" i="4"/>
  <c r="D191" i="4"/>
  <c r="F93" i="4"/>
  <c r="E45" i="4"/>
  <c r="D265" i="4"/>
  <c r="E265" i="4"/>
  <c r="F384" i="4"/>
  <c r="D348" i="4"/>
  <c r="E348" i="4"/>
  <c r="F265" i="4"/>
  <c r="D241" i="4"/>
  <c r="D225" i="4"/>
  <c r="E225" i="4"/>
  <c r="D329" i="4"/>
  <c r="E329" i="4"/>
  <c r="E84" i="4"/>
  <c r="D52" i="4"/>
  <c r="D36" i="4"/>
  <c r="E36" i="4"/>
  <c r="F180" i="4"/>
  <c r="E159" i="4"/>
  <c r="D143" i="4"/>
  <c r="E143" i="4"/>
  <c r="F52" i="4"/>
  <c r="D28" i="4"/>
  <c r="F143" i="4"/>
  <c r="D104" i="4"/>
  <c r="D56" i="4"/>
  <c r="D24" i="4"/>
  <c r="E24" i="4"/>
  <c r="U4" i="100"/>
  <c r="F4" i="99"/>
  <c r="E4" i="99"/>
  <c r="AJ477" i="36" l="1"/>
  <c r="AJ466" i="36"/>
  <c r="V244" i="4"/>
  <c r="Y342" i="4"/>
  <c r="V233" i="4"/>
  <c r="AA481" i="6"/>
  <c r="AB481" i="6" s="1"/>
  <c r="AD481" i="6" s="1"/>
  <c r="X464" i="8"/>
  <c r="H297" i="4"/>
  <c r="F22" i="4"/>
  <c r="Y263" i="4"/>
  <c r="E342" i="4"/>
  <c r="E164" i="4"/>
  <c r="F82" i="4"/>
  <c r="Y271" i="4"/>
  <c r="H304" i="4"/>
  <c r="H59" i="4"/>
  <c r="H281" i="4"/>
  <c r="F247" i="4"/>
  <c r="D362" i="4"/>
  <c r="Y331" i="4"/>
  <c r="V82" i="4"/>
  <c r="V106" i="4"/>
  <c r="V122" i="4"/>
  <c r="G209" i="4"/>
  <c r="V217" i="4"/>
  <c r="V354" i="4"/>
  <c r="D271" i="4"/>
  <c r="D193" i="4"/>
  <c r="E281" i="4"/>
  <c r="E139" i="4"/>
  <c r="M22" i="4"/>
  <c r="AE22" i="4" s="1"/>
  <c r="H232" i="4"/>
  <c r="H264" i="4"/>
  <c r="Y82" i="4"/>
  <c r="AA82" i="4" s="1"/>
  <c r="M342" i="4"/>
  <c r="AE342" i="4" s="1"/>
  <c r="E59" i="4"/>
  <c r="H50" i="4"/>
  <c r="M74" i="4"/>
  <c r="AE74" i="4" s="1"/>
  <c r="F321" i="4"/>
  <c r="M209" i="4"/>
  <c r="AE209" i="4" s="1"/>
  <c r="G82" i="4"/>
  <c r="V90" i="4"/>
  <c r="G193" i="4"/>
  <c r="E305" i="4"/>
  <c r="E232" i="4"/>
  <c r="H34" i="4"/>
  <c r="F179" i="4"/>
  <c r="D289" i="4"/>
  <c r="D60" i="4"/>
  <c r="E155" i="4"/>
  <c r="D171" i="4"/>
  <c r="Y22" i="4"/>
  <c r="M247" i="4"/>
  <c r="AE247" i="4" s="1"/>
  <c r="D247" i="4"/>
  <c r="H359" i="4"/>
  <c r="F148" i="4"/>
  <c r="E156" i="4"/>
  <c r="E182" i="4"/>
  <c r="D208" i="4"/>
  <c r="H272" i="4"/>
  <c r="F97" i="4"/>
  <c r="F140" i="4"/>
  <c r="H132" i="4"/>
  <c r="H60" i="4"/>
  <c r="H22" i="4"/>
  <c r="E34" i="4"/>
  <c r="H90" i="4"/>
  <c r="H114" i="4"/>
  <c r="H321" i="4"/>
  <c r="Y216" i="4"/>
  <c r="F296" i="4"/>
  <c r="E351" i="4"/>
  <c r="D359" i="4"/>
  <c r="M255" i="4"/>
  <c r="AE255" i="4" s="1"/>
  <c r="E346" i="4"/>
  <c r="G201" i="4"/>
  <c r="G255" i="4"/>
  <c r="X469" i="9"/>
  <c r="Z469" i="9" s="1"/>
  <c r="M469" i="9" s="1"/>
  <c r="AA442" i="6"/>
  <c r="X437" i="9"/>
  <c r="Z437" i="9" s="1"/>
  <c r="M437" i="9" s="1"/>
  <c r="X450" i="9"/>
  <c r="Z450" i="9" s="1"/>
  <c r="M450" i="9" s="1"/>
  <c r="AA439" i="6"/>
  <c r="AB439" i="6" s="1"/>
  <c r="AD439" i="6" s="1"/>
  <c r="X462" i="8"/>
  <c r="AA463" i="6"/>
  <c r="AB463" i="6" s="1"/>
  <c r="AD463" i="6" s="1"/>
  <c r="AA434" i="6"/>
  <c r="AB434" i="6" s="1"/>
  <c r="AD434" i="6" s="1"/>
  <c r="X456" i="8"/>
  <c r="Y456" i="8" s="1"/>
  <c r="AC456" i="8" s="1"/>
  <c r="X470" i="9"/>
  <c r="AA486" i="6"/>
  <c r="AB486" i="6" s="1"/>
  <c r="AD486" i="6" s="1"/>
  <c r="X448" i="9"/>
  <c r="Y448" i="9" s="1"/>
  <c r="AC448" i="9" s="1"/>
  <c r="X462" i="9"/>
  <c r="Y462" i="9" s="1"/>
  <c r="AC462" i="9" s="1"/>
  <c r="AA482" i="6"/>
  <c r="X474" i="8"/>
  <c r="Z474" i="8" s="1"/>
  <c r="M474" i="8" s="1"/>
  <c r="G291" i="4"/>
  <c r="V174" i="4"/>
  <c r="G184" i="4"/>
  <c r="V194" i="4"/>
  <c r="H62" i="4"/>
  <c r="V141" i="4"/>
  <c r="V157" i="4"/>
  <c r="V173" i="4"/>
  <c r="G381" i="4"/>
  <c r="V218" i="4"/>
  <c r="E274" i="4"/>
  <c r="V84" i="4"/>
  <c r="V100" i="4"/>
  <c r="V116" i="4"/>
  <c r="G211" i="4"/>
  <c r="V291" i="4"/>
  <c r="G315" i="4"/>
  <c r="V257" i="4"/>
  <c r="G242" i="4"/>
  <c r="V62" i="4"/>
  <c r="G274" i="4"/>
  <c r="V142" i="4"/>
  <c r="G50" i="4"/>
  <c r="H320" i="4"/>
  <c r="AK440" i="36"/>
  <c r="G282" i="4"/>
  <c r="G363" i="4"/>
  <c r="H383" i="4"/>
  <c r="AK444" i="36"/>
  <c r="V152" i="4"/>
  <c r="V220" i="4"/>
  <c r="H296" i="4"/>
  <c r="G278" i="4"/>
  <c r="V304" i="4"/>
  <c r="H328" i="4"/>
  <c r="V369" i="4"/>
  <c r="V34" i="4"/>
  <c r="G42" i="4"/>
  <c r="G240" i="4"/>
  <c r="H288" i="4"/>
  <c r="V312" i="4"/>
  <c r="G339" i="4"/>
  <c r="X439" i="8"/>
  <c r="AK436" i="36"/>
  <c r="X441" i="9"/>
  <c r="Z441" i="9" s="1"/>
  <c r="M441" i="9" s="1"/>
  <c r="X455" i="8"/>
  <c r="Y455" i="8" s="1"/>
  <c r="AC455" i="8" s="1"/>
  <c r="X440" i="9"/>
  <c r="AA487" i="6"/>
  <c r="AB487" i="6" s="1"/>
  <c r="AD487" i="6" s="1"/>
  <c r="X468" i="9"/>
  <c r="Z468" i="9" s="1"/>
  <c r="M468" i="9" s="1"/>
  <c r="X440" i="8"/>
  <c r="Y440" i="8" s="1"/>
  <c r="AD440" i="8" s="1"/>
  <c r="X482" i="8"/>
  <c r="Y482" i="8" s="1"/>
  <c r="AD482" i="8" s="1"/>
  <c r="AA462" i="6"/>
  <c r="AB462" i="6" s="1"/>
  <c r="AD462" i="6" s="1"/>
  <c r="X463" i="9"/>
  <c r="Y463" i="9" s="1"/>
  <c r="AC463" i="9" s="1"/>
  <c r="X487" i="9"/>
  <c r="Z487" i="9" s="1"/>
  <c r="M487" i="9" s="1"/>
  <c r="AA474" i="6"/>
  <c r="X486" i="9"/>
  <c r="Y486" i="9" s="1"/>
  <c r="AC486" i="9" s="1"/>
  <c r="AA455" i="6"/>
  <c r="AB455" i="6" s="1"/>
  <c r="AD455" i="6" s="1"/>
  <c r="X447" i="9"/>
  <c r="Z447" i="9" s="1"/>
  <c r="M447" i="9" s="1"/>
  <c r="X434" i="9"/>
  <c r="Y434" i="9" s="1"/>
  <c r="AC434" i="9" s="1"/>
  <c r="X456" i="9"/>
  <c r="Y456" i="9" s="1"/>
  <c r="AC456" i="9" s="1"/>
  <c r="X475" i="9"/>
  <c r="Y475" i="9" s="1"/>
  <c r="AC475" i="9" s="1"/>
  <c r="X482" i="9"/>
  <c r="Z482" i="9" s="1"/>
  <c r="M482" i="9" s="1"/>
  <c r="X487" i="8"/>
  <c r="X436" i="8"/>
  <c r="Z436" i="8" s="1"/>
  <c r="M436" i="8" s="1"/>
  <c r="X455" i="9"/>
  <c r="Z455" i="9" s="1"/>
  <c r="M455" i="9" s="1"/>
  <c r="AA456" i="6"/>
  <c r="AB456" i="6" s="1"/>
  <c r="AD456" i="6" s="1"/>
  <c r="X460" i="8"/>
  <c r="Z460" i="8" s="1"/>
  <c r="M460" i="8" s="1"/>
  <c r="AA468" i="6"/>
  <c r="AB468" i="6" s="1"/>
  <c r="AD468" i="6" s="1"/>
  <c r="AA448" i="6"/>
  <c r="AB448" i="6" s="1"/>
  <c r="AD448" i="6" s="1"/>
  <c r="AJ441" i="36"/>
  <c r="AK449" i="36"/>
  <c r="AK463" i="36"/>
  <c r="AA484" i="6"/>
  <c r="AB484" i="6" s="1"/>
  <c r="AD484" i="6" s="1"/>
  <c r="X474" i="9"/>
  <c r="Z474" i="9" s="1"/>
  <c r="M474" i="9" s="1"/>
  <c r="X436" i="9"/>
  <c r="Z436" i="9" s="1"/>
  <c r="M436" i="9" s="1"/>
  <c r="X486" i="8"/>
  <c r="Z486" i="8" s="1"/>
  <c r="M486" i="8" s="1"/>
  <c r="X448" i="8"/>
  <c r="Y448" i="8" s="1"/>
  <c r="AD448" i="8" s="1"/>
  <c r="X468" i="8"/>
  <c r="Y468" i="8" s="1"/>
  <c r="AC468" i="8" s="1"/>
  <c r="X434" i="8"/>
  <c r="Y434" i="8" s="1"/>
  <c r="AC434" i="8" s="1"/>
  <c r="AA441" i="6"/>
  <c r="AB441" i="6" s="1"/>
  <c r="AD441" i="6" s="1"/>
  <c r="AA436" i="6"/>
  <c r="AB436" i="6" s="1"/>
  <c r="AD436" i="6" s="1"/>
  <c r="X475" i="8"/>
  <c r="Y475" i="8" s="1"/>
  <c r="AD475" i="8" s="1"/>
  <c r="AA470" i="6"/>
  <c r="AB470" i="6" s="1"/>
  <c r="AD470" i="6" s="1"/>
  <c r="AA475" i="6"/>
  <c r="AB475" i="6" s="1"/>
  <c r="AD475" i="6" s="1"/>
  <c r="AK469" i="36"/>
  <c r="X444" i="9"/>
  <c r="Y444" i="9" s="1"/>
  <c r="AC444" i="9" s="1"/>
  <c r="AA452" i="6"/>
  <c r="AB452" i="6" s="1"/>
  <c r="AD452" i="6" s="1"/>
  <c r="X469" i="8"/>
  <c r="Y469" i="8" s="1"/>
  <c r="AC469" i="8" s="1"/>
  <c r="X471" i="9"/>
  <c r="Y471" i="9" s="1"/>
  <c r="AC471" i="9" s="1"/>
  <c r="AA479" i="6"/>
  <c r="AB479" i="6" s="1"/>
  <c r="AD479" i="6" s="1"/>
  <c r="X442" i="8"/>
  <c r="Y442" i="8" s="1"/>
  <c r="AC442" i="8" s="1"/>
  <c r="X479" i="8"/>
  <c r="Z479" i="8" s="1"/>
  <c r="M479" i="8" s="1"/>
  <c r="AK445" i="36"/>
  <c r="AJ468" i="36"/>
  <c r="AJ451" i="36"/>
  <c r="X467" i="9"/>
  <c r="Z467" i="9" s="1"/>
  <c r="M467" i="9" s="1"/>
  <c r="X466" i="9"/>
  <c r="Z466" i="9" s="1"/>
  <c r="M466" i="9" s="1"/>
  <c r="AA483" i="6"/>
  <c r="AB483" i="6" s="1"/>
  <c r="AD483" i="6" s="1"/>
  <c r="AA467" i="6"/>
  <c r="AB467" i="6" s="1"/>
  <c r="AD467" i="6" s="1"/>
  <c r="AA471" i="6"/>
  <c r="AB471" i="6" s="1"/>
  <c r="AD471" i="6" s="1"/>
  <c r="X452" i="9"/>
  <c r="Z452" i="9" s="1"/>
  <c r="M452" i="9" s="1"/>
  <c r="X451" i="9"/>
  <c r="Y451" i="9" s="1"/>
  <c r="AC451" i="9" s="1"/>
  <c r="AK467" i="36"/>
  <c r="AK479" i="36"/>
  <c r="AK447" i="36"/>
  <c r="AK482" i="36"/>
  <c r="AK438" i="36"/>
  <c r="AJ453" i="36"/>
  <c r="X452" i="8"/>
  <c r="Z452" i="8" s="1"/>
  <c r="M452" i="8" s="1"/>
  <c r="X446" i="9"/>
  <c r="Y446" i="9" s="1"/>
  <c r="AC446" i="9" s="1"/>
  <c r="X481" i="8"/>
  <c r="Z481" i="8" s="1"/>
  <c r="M481" i="8" s="1"/>
  <c r="AA446" i="6"/>
  <c r="AB446" i="6" s="1"/>
  <c r="AD446" i="6" s="1"/>
  <c r="AA447" i="6"/>
  <c r="AB447" i="6" s="1"/>
  <c r="AD447" i="6" s="1"/>
  <c r="X467" i="8"/>
  <c r="Z467" i="8" s="1"/>
  <c r="M467" i="8" s="1"/>
  <c r="AK487" i="36"/>
  <c r="AJ480" i="36"/>
  <c r="AJ484" i="36"/>
  <c r="AJ479" i="36"/>
  <c r="AJ465" i="36"/>
  <c r="AA438" i="6"/>
  <c r="AB438" i="6" s="1"/>
  <c r="AD438" i="6" s="1"/>
  <c r="X443" i="9"/>
  <c r="Y443" i="9" s="1"/>
  <c r="AC443" i="9" s="1"/>
  <c r="V133" i="4"/>
  <c r="G143" i="4"/>
  <c r="V149" i="4"/>
  <c r="G159" i="4"/>
  <c r="V165" i="4"/>
  <c r="G175" i="4"/>
  <c r="V181" i="4"/>
  <c r="G195" i="4"/>
  <c r="V243" i="4"/>
  <c r="V348" i="4"/>
  <c r="V370" i="4"/>
  <c r="G36" i="4"/>
  <c r="G52" i="4"/>
  <c r="G72" i="4"/>
  <c r="V236" i="4"/>
  <c r="H252" i="4"/>
  <c r="G333" i="4"/>
  <c r="V23" i="4"/>
  <c r="V63" i="4"/>
  <c r="V273" i="4"/>
  <c r="V285" i="4"/>
  <c r="W285" i="4" s="1"/>
  <c r="V332" i="4"/>
  <c r="G358" i="4"/>
  <c r="G127" i="4"/>
  <c r="G158" i="4"/>
  <c r="V202" i="4"/>
  <c r="X443" i="8"/>
  <c r="Z443" i="8" s="1"/>
  <c r="M443" i="8" s="1"/>
  <c r="X444" i="8"/>
  <c r="Y444" i="8" s="1"/>
  <c r="AC444" i="8" s="1"/>
  <c r="X437" i="8"/>
  <c r="Z437" i="8" s="1"/>
  <c r="M437" i="8" s="1"/>
  <c r="V38" i="4"/>
  <c r="H260" i="4"/>
  <c r="G280" i="4"/>
  <c r="V316" i="4"/>
  <c r="AJ470" i="36"/>
  <c r="V47" i="4"/>
  <c r="AJ443" i="36"/>
  <c r="V134" i="4"/>
  <c r="V166" i="4"/>
  <c r="V210" i="4"/>
  <c r="G28" i="4"/>
  <c r="G46" i="4"/>
  <c r="G54" i="4"/>
  <c r="V252" i="4"/>
  <c r="H282" i="4"/>
  <c r="G324" i="4"/>
  <c r="V383" i="4"/>
  <c r="V228" i="4"/>
  <c r="G244" i="4"/>
  <c r="G260" i="4"/>
  <c r="V300" i="4"/>
  <c r="G343" i="4"/>
  <c r="V355" i="4"/>
  <c r="V111" i="4"/>
  <c r="V144" i="4"/>
  <c r="G168" i="4"/>
  <c r="X494" i="36"/>
  <c r="X441" i="8"/>
  <c r="Z441" i="8" s="1"/>
  <c r="M441" i="8" s="1"/>
  <c r="X460" i="9"/>
  <c r="Z460" i="9" s="1"/>
  <c r="M460" i="9" s="1"/>
  <c r="G132" i="4"/>
  <c r="G139" i="4"/>
  <c r="G147" i="4"/>
  <c r="G155" i="4"/>
  <c r="G163" i="4"/>
  <c r="G171" i="4"/>
  <c r="G179" i="4"/>
  <c r="V255" i="4"/>
  <c r="V321" i="4"/>
  <c r="AJ475" i="36"/>
  <c r="G22" i="4"/>
  <c r="G68" i="4"/>
  <c r="G232" i="4"/>
  <c r="H240" i="4"/>
  <c r="G272" i="4"/>
  <c r="H278" i="4"/>
  <c r="V288" i="4"/>
  <c r="V296" i="4"/>
  <c r="V320" i="4"/>
  <c r="V328" i="4"/>
  <c r="H339" i="4"/>
  <c r="G359" i="4"/>
  <c r="X484" i="8"/>
  <c r="Y484" i="8" s="1"/>
  <c r="AC484" i="8" s="1"/>
  <c r="G281" i="4"/>
  <c r="G60" i="4"/>
  <c r="G248" i="4"/>
  <c r="G256" i="4"/>
  <c r="G264" i="4"/>
  <c r="G312" i="4"/>
  <c r="H351" i="4"/>
  <c r="V351" i="4"/>
  <c r="AK437" i="36"/>
  <c r="G87" i="4"/>
  <c r="V64" i="4"/>
  <c r="G275" i="4"/>
  <c r="V292" i="4"/>
  <c r="AJ472" i="36"/>
  <c r="V83" i="4"/>
  <c r="G186" i="4"/>
  <c r="G212" i="4"/>
  <c r="AK439" i="36"/>
  <c r="G101" i="4"/>
  <c r="V119" i="4"/>
  <c r="V136" i="4"/>
  <c r="V160" i="4"/>
  <c r="G176" i="4"/>
  <c r="G204" i="4"/>
  <c r="G220" i="4"/>
  <c r="G330" i="4"/>
  <c r="V150" i="4"/>
  <c r="H210" i="4"/>
  <c r="V237" i="4"/>
  <c r="G269" i="4"/>
  <c r="H261" i="4"/>
  <c r="G303" i="4"/>
  <c r="V357" i="4"/>
  <c r="G365" i="4"/>
  <c r="V261" i="4"/>
  <c r="H303" i="4"/>
  <c r="V329" i="4"/>
  <c r="V360" i="4"/>
  <c r="G238" i="4"/>
  <c r="H246" i="4"/>
  <c r="G286" i="4"/>
  <c r="G287" i="4"/>
  <c r="H295" i="4"/>
  <c r="G40" i="4"/>
  <c r="G66" i="4"/>
  <c r="G345" i="4"/>
  <c r="V121" i="4"/>
  <c r="V318" i="4"/>
  <c r="V335" i="4"/>
  <c r="G30" i="4"/>
  <c r="H262" i="4"/>
  <c r="G326" i="4"/>
  <c r="G20" i="4"/>
  <c r="G56" i="4"/>
  <c r="V262" i="4"/>
  <c r="V310" i="4"/>
  <c r="G318" i="4"/>
  <c r="G17" i="4"/>
  <c r="G311" i="4"/>
  <c r="G85" i="4"/>
  <c r="G113" i="4"/>
  <c r="H48" i="4"/>
  <c r="H230" i="4"/>
  <c r="V254" i="4"/>
  <c r="G270" i="4"/>
  <c r="G245" i="4"/>
  <c r="V352" i="4"/>
  <c r="G75" i="4"/>
  <c r="G103" i="4"/>
  <c r="G48" i="4"/>
  <c r="G294" i="4"/>
  <c r="V326" i="4"/>
  <c r="H357" i="4"/>
  <c r="V129" i="4"/>
  <c r="V230" i="4"/>
  <c r="V246" i="4"/>
  <c r="V276" i="4"/>
  <c r="V302" i="4"/>
  <c r="H365" i="4"/>
  <c r="H17" i="4"/>
  <c r="G227" i="4"/>
  <c r="H245" i="4"/>
  <c r="G295" i="4"/>
  <c r="V311" i="4"/>
  <c r="V95" i="4"/>
  <c r="H129" i="4"/>
  <c r="H136" i="4"/>
  <c r="H71" i="4"/>
  <c r="H68" i="4"/>
  <c r="H88" i="4"/>
  <c r="H187" i="4"/>
  <c r="H96" i="4"/>
  <c r="H74" i="4"/>
  <c r="P74" i="4" s="1"/>
  <c r="H98" i="4"/>
  <c r="H145" i="4"/>
  <c r="H153" i="4"/>
  <c r="H161" i="4"/>
  <c r="H193" i="4"/>
  <c r="H152" i="4"/>
  <c r="H111" i="4"/>
  <c r="H184" i="4"/>
  <c r="H116" i="4"/>
  <c r="H179" i="4"/>
  <c r="H149" i="4"/>
  <c r="H204" i="4"/>
  <c r="H82" i="4"/>
  <c r="P82" i="4" s="1"/>
  <c r="H157" i="4"/>
  <c r="H212" i="4"/>
  <c r="H144" i="4"/>
  <c r="H166" i="4"/>
  <c r="H84" i="4"/>
  <c r="H147" i="4"/>
  <c r="H104" i="4"/>
  <c r="H167" i="4"/>
  <c r="H76" i="4"/>
  <c r="H139" i="4"/>
  <c r="H175" i="4"/>
  <c r="H78" i="4"/>
  <c r="H205" i="4"/>
  <c r="H198" i="4"/>
  <c r="H102" i="4"/>
  <c r="P102" i="4" s="1"/>
  <c r="H95" i="4"/>
  <c r="H94" i="4"/>
  <c r="P94" i="4" s="1"/>
  <c r="H169" i="4"/>
  <c r="H217" i="4"/>
  <c r="H186" i="4"/>
  <c r="H113" i="4"/>
  <c r="H176" i="4"/>
  <c r="H256" i="4"/>
  <c r="H39" i="4"/>
  <c r="H163" i="4"/>
  <c r="H56" i="4"/>
  <c r="H155" i="4"/>
  <c r="H219" i="4"/>
  <c r="H128" i="4"/>
  <c r="H191" i="4"/>
  <c r="P191" i="4" s="1"/>
  <c r="H133" i="4"/>
  <c r="H137" i="4"/>
  <c r="H165" i="4"/>
  <c r="H173" i="4"/>
  <c r="H177" i="4"/>
  <c r="H213" i="4"/>
  <c r="H73" i="4"/>
  <c r="H93" i="4"/>
  <c r="H121" i="4"/>
  <c r="H168" i="4"/>
  <c r="H194" i="4"/>
  <c r="H97" i="4"/>
  <c r="H115" i="4"/>
  <c r="H123" i="4"/>
  <c r="H51" i="4"/>
  <c r="H67" i="4"/>
  <c r="H239" i="4"/>
  <c r="H55" i="4"/>
  <c r="H52" i="4"/>
  <c r="P52" i="4" s="1"/>
  <c r="H44" i="4"/>
  <c r="H108" i="4"/>
  <c r="H171" i="4"/>
  <c r="H80" i="4"/>
  <c r="H143" i="4"/>
  <c r="P143" i="4" s="1"/>
  <c r="H38" i="4"/>
  <c r="H42" i="4"/>
  <c r="H54" i="4"/>
  <c r="H66" i="4"/>
  <c r="H106" i="4"/>
  <c r="H141" i="4"/>
  <c r="P141" i="4" s="1"/>
  <c r="H202" i="4"/>
  <c r="G196" i="4"/>
  <c r="AA440" i="6"/>
  <c r="AB440" i="6" s="1"/>
  <c r="AD440" i="6" s="1"/>
  <c r="AK471" i="36"/>
  <c r="AK435" i="36"/>
  <c r="AJ485" i="36"/>
  <c r="AK464" i="36"/>
  <c r="AK461" i="36"/>
  <c r="AJ488" i="36"/>
  <c r="X470" i="8"/>
  <c r="Z470" i="8" s="1"/>
  <c r="M470" i="8" s="1"/>
  <c r="X463" i="8"/>
  <c r="Y463" i="8" s="1"/>
  <c r="AD463" i="8" s="1"/>
  <c r="AK485" i="36"/>
  <c r="AA460" i="6"/>
  <c r="AB460" i="6" s="1"/>
  <c r="AD460" i="6" s="1"/>
  <c r="X447" i="8"/>
  <c r="Z447" i="8" s="1"/>
  <c r="M447" i="8" s="1"/>
  <c r="G234" i="4"/>
  <c r="G250" i="4"/>
  <c r="G266" i="4"/>
  <c r="V322" i="4"/>
  <c r="X322" i="4" s="1"/>
  <c r="V51" i="4"/>
  <c r="G263" i="4"/>
  <c r="G24" i="4"/>
  <c r="G44" i="4"/>
  <c r="G322" i="4"/>
  <c r="G67" i="4"/>
  <c r="G346" i="4"/>
  <c r="G361" i="4"/>
  <c r="V362" i="4"/>
  <c r="H127" i="4"/>
  <c r="H142" i="4"/>
  <c r="H158" i="4"/>
  <c r="H174" i="4"/>
  <c r="H218" i="4"/>
  <c r="H13" i="4"/>
  <c r="H53" i="4"/>
  <c r="H69" i="4"/>
  <c r="H259" i="4"/>
  <c r="H350" i="4"/>
  <c r="H286" i="4"/>
  <c r="H146" i="4"/>
  <c r="H180" i="4"/>
  <c r="H49" i="4"/>
  <c r="H352" i="4"/>
  <c r="H72" i="4"/>
  <c r="H290" i="4"/>
  <c r="H298" i="4"/>
  <c r="H306" i="4"/>
  <c r="H314" i="4"/>
  <c r="H330" i="4"/>
  <c r="H271" i="4"/>
  <c r="H289" i="4"/>
  <c r="H65" i="4"/>
  <c r="H250" i="4"/>
  <c r="G258" i="4"/>
  <c r="H280" i="4"/>
  <c r="V290" i="4"/>
  <c r="X290" i="4" s="1"/>
  <c r="G298" i="4"/>
  <c r="V314" i="4"/>
  <c r="X314" i="4" s="1"/>
  <c r="G341" i="4"/>
  <c r="V306" i="4"/>
  <c r="X306" i="4" s="1"/>
  <c r="G314" i="4"/>
  <c r="V341" i="4"/>
  <c r="X341" i="4" s="1"/>
  <c r="H353" i="4"/>
  <c r="H27" i="4"/>
  <c r="G239" i="4"/>
  <c r="H381" i="4"/>
  <c r="G51" i="4"/>
  <c r="V239" i="4"/>
  <c r="X239" i="4" s="1"/>
  <c r="AN191" i="4"/>
  <c r="AN94" i="4"/>
  <c r="AN444" i="4"/>
  <c r="AN453" i="4"/>
  <c r="AN451" i="4"/>
  <c r="AN436" i="4"/>
  <c r="AN433" i="4"/>
  <c r="AN464" i="4"/>
  <c r="AN476" i="4"/>
  <c r="AN474" i="4"/>
  <c r="AN469" i="4"/>
  <c r="AN447" i="4"/>
  <c r="AN477" i="4"/>
  <c r="AN481" i="4"/>
  <c r="AN450" i="4"/>
  <c r="AN22" i="4"/>
  <c r="AN437" i="4"/>
  <c r="AN467" i="4"/>
  <c r="AN457" i="4"/>
  <c r="AN452" i="4"/>
  <c r="AN440" i="4"/>
  <c r="AN471" i="4"/>
  <c r="AN461" i="4"/>
  <c r="AN482" i="4"/>
  <c r="AN475" i="4"/>
  <c r="AN454" i="4"/>
  <c r="AN462" i="4"/>
  <c r="AN473" i="4"/>
  <c r="AN442" i="4"/>
  <c r="AN215" i="4"/>
  <c r="AN52" i="4"/>
  <c r="AN441" i="4"/>
  <c r="AN460" i="4"/>
  <c r="AN465" i="4"/>
  <c r="AN448" i="4"/>
  <c r="AN483" i="4"/>
  <c r="AN445" i="4"/>
  <c r="AN443" i="4"/>
  <c r="AN487" i="4"/>
  <c r="AN455" i="4"/>
  <c r="AN438" i="4"/>
  <c r="AN478" i="4"/>
  <c r="AN446" i="4"/>
  <c r="AN466" i="4"/>
  <c r="AN435" i="4"/>
  <c r="AN484" i="4"/>
  <c r="AN479" i="4"/>
  <c r="AN472" i="4"/>
  <c r="AN468" i="4"/>
  <c r="AN449" i="4"/>
  <c r="AN456" i="4"/>
  <c r="AN459" i="4"/>
  <c r="AN486" i="4"/>
  <c r="AN470" i="4"/>
  <c r="AN439" i="4"/>
  <c r="AN485" i="4"/>
  <c r="AN463" i="4"/>
  <c r="AN458" i="4"/>
  <c r="V323" i="4"/>
  <c r="AN323" i="4" s="1"/>
  <c r="AK456" i="36"/>
  <c r="AJ448" i="36"/>
  <c r="H206" i="4"/>
  <c r="H369" i="4"/>
  <c r="V79" i="4"/>
  <c r="X79" i="4" s="1"/>
  <c r="V97" i="4"/>
  <c r="X97" i="4" s="1"/>
  <c r="V198" i="4"/>
  <c r="X198" i="4" s="1"/>
  <c r="AK476" i="36"/>
  <c r="AJ483" i="36"/>
  <c r="G198" i="4"/>
  <c r="G222" i="4"/>
  <c r="AJ457" i="36"/>
  <c r="V123" i="4"/>
  <c r="X123" i="4" s="1"/>
  <c r="H131" i="4"/>
  <c r="H138" i="4"/>
  <c r="V146" i="4"/>
  <c r="X146" i="4" s="1"/>
  <c r="H154" i="4"/>
  <c r="H162" i="4"/>
  <c r="G170" i="4"/>
  <c r="H188" i="4"/>
  <c r="H79" i="4"/>
  <c r="H87" i="4"/>
  <c r="G115" i="4"/>
  <c r="G123" i="4"/>
  <c r="V131" i="4"/>
  <c r="X131" i="4" s="1"/>
  <c r="G138" i="4"/>
  <c r="G146" i="4"/>
  <c r="V154" i="4"/>
  <c r="X154" i="4" s="1"/>
  <c r="G162" i="4"/>
  <c r="G105" i="4"/>
  <c r="V180" i="4"/>
  <c r="V188" i="4"/>
  <c r="X188" i="4" s="1"/>
  <c r="H105" i="4"/>
  <c r="V115" i="4"/>
  <c r="AK442" i="36"/>
  <c r="G148" i="4"/>
  <c r="V206" i="4"/>
  <c r="H214" i="4"/>
  <c r="G253" i="4"/>
  <c r="H279" i="4"/>
  <c r="H319" i="4"/>
  <c r="H170" i="4"/>
  <c r="G180" i="4"/>
  <c r="V214" i="4"/>
  <c r="X214" i="4" s="1"/>
  <c r="H222" i="4"/>
  <c r="G21" i="4"/>
  <c r="G344" i="4"/>
  <c r="X80" i="4"/>
  <c r="X86" i="4"/>
  <c r="X92" i="4"/>
  <c r="X94" i="4"/>
  <c r="X96" i="4"/>
  <c r="X102" i="4"/>
  <c r="X110" i="4"/>
  <c r="X112" i="4"/>
  <c r="X118" i="4"/>
  <c r="X126" i="4"/>
  <c r="X128" i="4"/>
  <c r="X137" i="4"/>
  <c r="X145" i="4"/>
  <c r="X151" i="4"/>
  <c r="X153" i="4"/>
  <c r="X161" i="4"/>
  <c r="X169" i="4"/>
  <c r="X177" i="4"/>
  <c r="X183" i="4"/>
  <c r="X193" i="4"/>
  <c r="X201" i="4"/>
  <c r="X209" i="4"/>
  <c r="X215" i="4"/>
  <c r="X217" i="4"/>
  <c r="X237" i="4"/>
  <c r="X261" i="4"/>
  <c r="X287" i="4"/>
  <c r="X309" i="4"/>
  <c r="X315" i="4"/>
  <c r="X370" i="4"/>
  <c r="X30" i="4"/>
  <c r="X34" i="4"/>
  <c r="X42" i="4"/>
  <c r="X48" i="4"/>
  <c r="X50" i="4"/>
  <c r="X62" i="4"/>
  <c r="X39" i="4"/>
  <c r="X63" i="4"/>
  <c r="X273" i="4"/>
  <c r="X289" i="4"/>
  <c r="X332" i="4"/>
  <c r="X75" i="4"/>
  <c r="X95" i="4"/>
  <c r="X111" i="4"/>
  <c r="X113" i="4"/>
  <c r="X142" i="4"/>
  <c r="X144" i="4"/>
  <c r="X166" i="4"/>
  <c r="X168" i="4"/>
  <c r="X186" i="4"/>
  <c r="X218" i="4"/>
  <c r="X220" i="4"/>
  <c r="X451" i="4"/>
  <c r="X452" i="4"/>
  <c r="X433" i="4"/>
  <c r="X456" i="4"/>
  <c r="X486" i="4"/>
  <c r="X470" i="4"/>
  <c r="X439" i="4"/>
  <c r="X485" i="4"/>
  <c r="X25" i="4"/>
  <c r="X33" i="4"/>
  <c r="X65" i="4"/>
  <c r="X409" i="4"/>
  <c r="X78" i="4"/>
  <c r="X84" i="4"/>
  <c r="X100" i="4"/>
  <c r="X108" i="4"/>
  <c r="X116" i="4"/>
  <c r="X124" i="4"/>
  <c r="X135" i="4"/>
  <c r="X167" i="4"/>
  <c r="X187" i="4"/>
  <c r="X199" i="4"/>
  <c r="X231" i="4"/>
  <c r="X281" i="4"/>
  <c r="X303" i="4"/>
  <c r="X360" i="4"/>
  <c r="X28" i="4"/>
  <c r="X40" i="4"/>
  <c r="X56" i="4"/>
  <c r="X60" i="4"/>
  <c r="X68" i="4"/>
  <c r="X72" i="4"/>
  <c r="X230" i="4"/>
  <c r="X232" i="4"/>
  <c r="X238" i="4"/>
  <c r="X240" i="4"/>
  <c r="X246" i="4"/>
  <c r="X248" i="4"/>
  <c r="X254" i="4"/>
  <c r="X256" i="4"/>
  <c r="X262" i="4"/>
  <c r="X264" i="4"/>
  <c r="X270" i="4"/>
  <c r="X272" i="4"/>
  <c r="X276" i="4"/>
  <c r="X278" i="4"/>
  <c r="X288" i="4"/>
  <c r="X294" i="4"/>
  <c r="X296" i="4"/>
  <c r="X302" i="4"/>
  <c r="X304" i="4"/>
  <c r="X310" i="4"/>
  <c r="X312" i="4"/>
  <c r="X318" i="4"/>
  <c r="X320" i="4"/>
  <c r="X326" i="4"/>
  <c r="X328" i="4"/>
  <c r="X333" i="4"/>
  <c r="X335" i="4"/>
  <c r="X339" i="4"/>
  <c r="X345" i="4"/>
  <c r="X357" i="4"/>
  <c r="X359" i="4"/>
  <c r="X363" i="4"/>
  <c r="X23" i="4"/>
  <c r="X31" i="4"/>
  <c r="X55" i="4"/>
  <c r="X71" i="4"/>
  <c r="X257" i="4"/>
  <c r="X267" i="4"/>
  <c r="X301" i="4"/>
  <c r="X325" i="4"/>
  <c r="X358" i="4"/>
  <c r="X372" i="4"/>
  <c r="X87" i="4"/>
  <c r="X103" i="4"/>
  <c r="X105" i="4"/>
  <c r="X119" i="4"/>
  <c r="X121" i="4"/>
  <c r="X138" i="4"/>
  <c r="X162" i="4"/>
  <c r="X174" i="4"/>
  <c r="X176" i="4"/>
  <c r="X194" i="4"/>
  <c r="X196" i="4"/>
  <c r="X444" i="4"/>
  <c r="X467" i="4"/>
  <c r="X472" i="4"/>
  <c r="X460" i="4"/>
  <c r="X480" i="4"/>
  <c r="X464" i="4"/>
  <c r="X476" i="4"/>
  <c r="X469" i="4"/>
  <c r="X447" i="4"/>
  <c r="X477" i="4"/>
  <c r="X450" i="4"/>
  <c r="X353" i="4"/>
  <c r="X361" i="4"/>
  <c r="X381" i="4"/>
  <c r="X117" i="4"/>
  <c r="X125" i="4"/>
  <c r="X140" i="4"/>
  <c r="X148" i="4"/>
  <c r="X156" i="4"/>
  <c r="X164" i="4"/>
  <c r="X172" i="4"/>
  <c r="X35" i="4"/>
  <c r="X59" i="4"/>
  <c r="X247" i="4"/>
  <c r="X331" i="4"/>
  <c r="X346" i="4"/>
  <c r="X76" i="4"/>
  <c r="X82" i="4"/>
  <c r="X88" i="4"/>
  <c r="X90" i="4"/>
  <c r="X98" i="4"/>
  <c r="X106" i="4"/>
  <c r="X114" i="4"/>
  <c r="X120" i="4"/>
  <c r="X122" i="4"/>
  <c r="X133" i="4"/>
  <c r="X141" i="4"/>
  <c r="X143" i="4"/>
  <c r="X149" i="4"/>
  <c r="X157" i="4"/>
  <c r="X159" i="4"/>
  <c r="X165" i="4"/>
  <c r="X173" i="4"/>
  <c r="X175" i="4"/>
  <c r="X181" i="4"/>
  <c r="X191" i="4"/>
  <c r="X197" i="4"/>
  <c r="X205" i="4"/>
  <c r="X207" i="4"/>
  <c r="X213" i="4"/>
  <c r="X219" i="4"/>
  <c r="X221" i="4"/>
  <c r="X223" i="4"/>
  <c r="X249" i="4"/>
  <c r="X255" i="4"/>
  <c r="X297" i="4"/>
  <c r="X321" i="4"/>
  <c r="X329" i="4"/>
  <c r="X354" i="4"/>
  <c r="X14" i="4"/>
  <c r="X22" i="4"/>
  <c r="X38" i="4"/>
  <c r="X46" i="4"/>
  <c r="X54" i="4"/>
  <c r="X66" i="4"/>
  <c r="X383" i="4"/>
  <c r="X51" i="4"/>
  <c r="X233" i="4"/>
  <c r="X251" i="4"/>
  <c r="X277" i="4"/>
  <c r="X295" i="4"/>
  <c r="X317" i="4"/>
  <c r="X352" i="4"/>
  <c r="X93" i="4"/>
  <c r="X127" i="4"/>
  <c r="X129" i="4"/>
  <c r="X150" i="4"/>
  <c r="X152" i="4"/>
  <c r="X170" i="4"/>
  <c r="X184" i="4"/>
  <c r="X202" i="4"/>
  <c r="X204" i="4"/>
  <c r="X222" i="4"/>
  <c r="X73" i="4"/>
  <c r="X457" i="4"/>
  <c r="X468" i="4"/>
  <c r="X440" i="4"/>
  <c r="X475" i="4"/>
  <c r="X454" i="4"/>
  <c r="X462" i="4"/>
  <c r="X442" i="4"/>
  <c r="X21" i="4"/>
  <c r="X37" i="4"/>
  <c r="X74" i="4"/>
  <c r="X104" i="4"/>
  <c r="X132" i="4"/>
  <c r="X139" i="4"/>
  <c r="X147" i="4"/>
  <c r="X155" i="4"/>
  <c r="X163" i="4"/>
  <c r="X171" i="4"/>
  <c r="X179" i="4"/>
  <c r="X195" i="4"/>
  <c r="X203" i="4"/>
  <c r="X211" i="4"/>
  <c r="X243" i="4"/>
  <c r="X269" i="4"/>
  <c r="X291" i="4"/>
  <c r="X348" i="4"/>
  <c r="X20" i="4"/>
  <c r="X24" i="4"/>
  <c r="X36" i="4"/>
  <c r="X44" i="4"/>
  <c r="X52" i="4"/>
  <c r="X64" i="4"/>
  <c r="X226" i="4"/>
  <c r="X228" i="4"/>
  <c r="X234" i="4"/>
  <c r="X236" i="4"/>
  <c r="X242" i="4"/>
  <c r="X244" i="4"/>
  <c r="X250" i="4"/>
  <c r="X252" i="4"/>
  <c r="X258" i="4"/>
  <c r="X260" i="4"/>
  <c r="X266" i="4"/>
  <c r="X268" i="4"/>
  <c r="X274" i="4"/>
  <c r="X275" i="4"/>
  <c r="X280" i="4"/>
  <c r="X282" i="4"/>
  <c r="X286" i="4"/>
  <c r="X292" i="4"/>
  <c r="X298" i="4"/>
  <c r="X300" i="4"/>
  <c r="X308" i="4"/>
  <c r="X316" i="4"/>
  <c r="X324" i="4"/>
  <c r="X330" i="4"/>
  <c r="X343" i="4"/>
  <c r="X351" i="4"/>
  <c r="X355" i="4"/>
  <c r="X365" i="4"/>
  <c r="X369" i="4"/>
  <c r="X15" i="4"/>
  <c r="X17" i="4"/>
  <c r="X47" i="4"/>
  <c r="X227" i="4"/>
  <c r="X245" i="4"/>
  <c r="X285" i="4"/>
  <c r="X307" i="4"/>
  <c r="X311" i="4"/>
  <c r="X362" i="4"/>
  <c r="X425" i="4"/>
  <c r="X83" i="4"/>
  <c r="X85" i="4"/>
  <c r="X101" i="4"/>
  <c r="X134" i="4"/>
  <c r="X136" i="4"/>
  <c r="X158" i="4"/>
  <c r="X160" i="4"/>
  <c r="X178" i="4"/>
  <c r="X192" i="4"/>
  <c r="X210" i="4"/>
  <c r="X212" i="4"/>
  <c r="X225" i="4"/>
  <c r="X484" i="4"/>
  <c r="X479" i="4"/>
  <c r="X449" i="4"/>
  <c r="X448" i="4"/>
  <c r="X483" i="4"/>
  <c r="X445" i="4"/>
  <c r="X443" i="4"/>
  <c r="X487" i="4"/>
  <c r="X455" i="4"/>
  <c r="X438" i="4"/>
  <c r="X478" i="4"/>
  <c r="X446" i="4"/>
  <c r="X466" i="4"/>
  <c r="X434" i="4"/>
  <c r="X293" i="4"/>
  <c r="V182" i="4"/>
  <c r="V208" i="4"/>
  <c r="V27" i="4"/>
  <c r="H35" i="4"/>
  <c r="V67" i="4"/>
  <c r="G117" i="4"/>
  <c r="H361" i="4"/>
  <c r="G35" i="4"/>
  <c r="V43" i="4"/>
  <c r="V263" i="4"/>
  <c r="H107" i="4"/>
  <c r="G164" i="4"/>
  <c r="H200" i="4"/>
  <c r="H89" i="4"/>
  <c r="H99" i="4"/>
  <c r="V107" i="4"/>
  <c r="V200" i="4"/>
  <c r="H224" i="4"/>
  <c r="G353" i="4"/>
  <c r="H43" i="4"/>
  <c r="G59" i="4"/>
  <c r="G289" i="4"/>
  <c r="H346" i="4"/>
  <c r="H362" i="4"/>
  <c r="H81" i="4"/>
  <c r="V89" i="4"/>
  <c r="V99" i="4"/>
  <c r="G125" i="4"/>
  <c r="G140" i="4"/>
  <c r="G156" i="4"/>
  <c r="G172" i="4"/>
  <c r="H190" i="4"/>
  <c r="H216" i="4"/>
  <c r="V224" i="4"/>
  <c r="H33" i="4"/>
  <c r="V81" i="4"/>
  <c r="H182" i="4"/>
  <c r="V190" i="4"/>
  <c r="H208" i="4"/>
  <c r="V216" i="4"/>
  <c r="H117" i="4"/>
  <c r="H125" i="4"/>
  <c r="H140" i="4"/>
  <c r="H148" i="4"/>
  <c r="H156" i="4"/>
  <c r="H164" i="4"/>
  <c r="H172" i="4"/>
  <c r="V41" i="4"/>
  <c r="G57" i="4"/>
  <c r="Y488" i="9"/>
  <c r="AC488" i="9" s="1"/>
  <c r="H29" i="4"/>
  <c r="O436" i="5"/>
  <c r="O442" i="5"/>
  <c r="O435" i="5"/>
  <c r="O485" i="5"/>
  <c r="O486" i="5"/>
  <c r="O487" i="5"/>
  <c r="O456" i="5"/>
  <c r="O461" i="5"/>
  <c r="O446" i="5"/>
  <c r="O448" i="5"/>
  <c r="O483" i="5"/>
  <c r="O481" i="5"/>
  <c r="O434" i="5"/>
  <c r="O463" i="5"/>
  <c r="O457" i="5"/>
  <c r="O471" i="5"/>
  <c r="O465" i="5"/>
  <c r="O464" i="5"/>
  <c r="O458" i="5"/>
  <c r="O440" i="5"/>
  <c r="O473" i="5"/>
  <c r="O459" i="5"/>
  <c r="O479" i="5"/>
  <c r="O476" i="5"/>
  <c r="O462" i="5"/>
  <c r="O437" i="5"/>
  <c r="O454" i="5"/>
  <c r="O439" i="5"/>
  <c r="O475" i="5"/>
  <c r="O431" i="5"/>
  <c r="O482" i="5"/>
  <c r="O489" i="5"/>
  <c r="O449" i="5"/>
  <c r="O468" i="5"/>
  <c r="O474" i="5"/>
  <c r="O467" i="5"/>
  <c r="O447" i="5"/>
  <c r="O451" i="5"/>
  <c r="O488" i="5"/>
  <c r="O472" i="5"/>
  <c r="O441" i="5"/>
  <c r="O477" i="5"/>
  <c r="O445" i="5"/>
  <c r="O438" i="5"/>
  <c r="O470" i="5"/>
  <c r="O460" i="5"/>
  <c r="O480" i="5"/>
  <c r="O484" i="5"/>
  <c r="O443" i="5"/>
  <c r="O433" i="5"/>
  <c r="O432" i="5"/>
  <c r="O452" i="5"/>
  <c r="O453" i="5"/>
  <c r="O469" i="5"/>
  <c r="O450" i="5"/>
  <c r="O455" i="5"/>
  <c r="O444" i="5"/>
  <c r="O478" i="5"/>
  <c r="O466" i="5"/>
  <c r="G25" i="4"/>
  <c r="G33" i="4"/>
  <c r="H41" i="4"/>
  <c r="V49" i="4"/>
  <c r="G65" i="4"/>
  <c r="V253" i="4"/>
  <c r="V319" i="4"/>
  <c r="V344" i="4"/>
  <c r="G409" i="4"/>
  <c r="G49" i="4"/>
  <c r="V57" i="4"/>
  <c r="V279" i="4"/>
  <c r="H409" i="4"/>
  <c r="V235" i="4"/>
  <c r="H235" i="4"/>
  <c r="G259" i="4"/>
  <c r="G293" i="4"/>
  <c r="V259" i="4"/>
  <c r="V334" i="4"/>
  <c r="V29" i="4"/>
  <c r="G37" i="4"/>
  <c r="H45" i="4"/>
  <c r="V53" i="4"/>
  <c r="V61" i="4"/>
  <c r="H61" i="4"/>
  <c r="V69" i="4"/>
  <c r="V241" i="4"/>
  <c r="AN241" i="4" s="1"/>
  <c r="H265" i="4"/>
  <c r="H283" i="4"/>
  <c r="H293" i="4"/>
  <c r="H334" i="4"/>
  <c r="G350" i="4"/>
  <c r="V13" i="4"/>
  <c r="G241" i="4"/>
  <c r="V265" i="4"/>
  <c r="V45" i="4"/>
  <c r="V299" i="4"/>
  <c r="AN299" i="4" s="1"/>
  <c r="H323" i="4"/>
  <c r="H356" i="4"/>
  <c r="Y445" i="8"/>
  <c r="AD445" i="8" s="1"/>
  <c r="G13" i="4"/>
  <c r="H21" i="4"/>
  <c r="H37" i="4"/>
  <c r="G53" i="4"/>
  <c r="G69" i="4"/>
  <c r="V283" i="4"/>
  <c r="H299" i="4"/>
  <c r="V356" i="4"/>
  <c r="AJ452" i="36"/>
  <c r="H247" i="4"/>
  <c r="H305" i="4"/>
  <c r="H331" i="4"/>
  <c r="G19" i="4"/>
  <c r="G271" i="4"/>
  <c r="V313" i="4"/>
  <c r="V19" i="4"/>
  <c r="G247" i="4"/>
  <c r="V271" i="4"/>
  <c r="AN271" i="4" s="1"/>
  <c r="V305" i="4"/>
  <c r="G313" i="4"/>
  <c r="G331" i="4"/>
  <c r="P447" i="4"/>
  <c r="V350" i="4"/>
  <c r="N494" i="36"/>
  <c r="N8" i="36"/>
  <c r="O8" i="36"/>
  <c r="O494" i="36"/>
  <c r="P479" i="4"/>
  <c r="Y453" i="8"/>
  <c r="AD453" i="8" s="1"/>
  <c r="Y490" i="9"/>
  <c r="AC490" i="9" s="1"/>
  <c r="AB491" i="6"/>
  <c r="AD491" i="6" s="1"/>
  <c r="AB488" i="6"/>
  <c r="AD488" i="6" s="1"/>
  <c r="Z491" i="8"/>
  <c r="M491" i="8" s="1"/>
  <c r="AB492" i="6"/>
  <c r="AD492" i="6" s="1"/>
  <c r="E494" i="36"/>
  <c r="E8" i="36"/>
  <c r="G494" i="36"/>
  <c r="G8" i="36"/>
  <c r="G130" i="4"/>
  <c r="V130" i="4"/>
  <c r="H130" i="4"/>
  <c r="G189" i="4"/>
  <c r="V189" i="4"/>
  <c r="H189" i="4"/>
  <c r="G338" i="4"/>
  <c r="H338" i="4"/>
  <c r="V338" i="4"/>
  <c r="G384" i="4"/>
  <c r="V384" i="4"/>
  <c r="H384" i="4"/>
  <c r="H415" i="4"/>
  <c r="V415" i="4"/>
  <c r="G415" i="4"/>
  <c r="V427" i="4"/>
  <c r="G427" i="4"/>
  <c r="H427" i="4"/>
  <c r="V58" i="4"/>
  <c r="G58" i="4"/>
  <c r="H58" i="4"/>
  <c r="G284" i="4"/>
  <c r="V284" i="4"/>
  <c r="H284" i="4"/>
  <c r="G373" i="4"/>
  <c r="V373" i="4"/>
  <c r="H373" i="4"/>
  <c r="G377" i="4"/>
  <c r="V377" i="4"/>
  <c r="H377" i="4"/>
  <c r="V387" i="4"/>
  <c r="H387" i="4"/>
  <c r="G387" i="4"/>
  <c r="G390" i="4"/>
  <c r="V390" i="4"/>
  <c r="H390" i="4"/>
  <c r="G336" i="4"/>
  <c r="V336" i="4"/>
  <c r="H336" i="4"/>
  <c r="Y491" i="9"/>
  <c r="AC491" i="9" s="1"/>
  <c r="Z491" i="9"/>
  <c r="M491" i="9" s="1"/>
  <c r="P488" i="4"/>
  <c r="AE488" i="4"/>
  <c r="AN488" i="4" s="1"/>
  <c r="P492" i="4"/>
  <c r="AE492" i="4"/>
  <c r="AN492" i="4" s="1"/>
  <c r="Z490" i="9"/>
  <c r="M490" i="9" s="1"/>
  <c r="Y489" i="8"/>
  <c r="AD489" i="8" s="1"/>
  <c r="Z489" i="8"/>
  <c r="M489" i="8" s="1"/>
  <c r="AB489" i="6"/>
  <c r="AD489" i="6" s="1"/>
  <c r="Z490" i="4"/>
  <c r="AA490" i="4"/>
  <c r="AA489" i="4"/>
  <c r="Z489" i="4"/>
  <c r="Z488" i="9"/>
  <c r="M488" i="9" s="1"/>
  <c r="H423" i="4"/>
  <c r="G423" i="4"/>
  <c r="V423" i="4"/>
  <c r="G229" i="4"/>
  <c r="V229" i="4"/>
  <c r="H229" i="4"/>
  <c r="H366" i="4"/>
  <c r="V366" i="4"/>
  <c r="AN366" i="4" s="1"/>
  <c r="G366" i="4"/>
  <c r="G16" i="4"/>
  <c r="V16" i="4"/>
  <c r="H16" i="4"/>
  <c r="V70" i="4"/>
  <c r="G70" i="4"/>
  <c r="H70" i="4"/>
  <c r="V347" i="4"/>
  <c r="H347" i="4"/>
  <c r="G347" i="4"/>
  <c r="V367" i="4"/>
  <c r="H367" i="4"/>
  <c r="G367" i="4"/>
  <c r="G391" i="4"/>
  <c r="V391" i="4"/>
  <c r="H391" i="4"/>
  <c r="G395" i="4"/>
  <c r="V395" i="4"/>
  <c r="H395" i="4"/>
  <c r="G399" i="4"/>
  <c r="V399" i="4"/>
  <c r="H399" i="4"/>
  <c r="G403" i="4"/>
  <c r="V403" i="4"/>
  <c r="H403" i="4"/>
  <c r="G406" i="4"/>
  <c r="H406" i="4"/>
  <c r="V406" i="4"/>
  <c r="G410" i="4"/>
  <c r="V410" i="4"/>
  <c r="H410" i="4"/>
  <c r="G414" i="4"/>
  <c r="V414" i="4"/>
  <c r="H414" i="4"/>
  <c r="G418" i="4"/>
  <c r="V418" i="4"/>
  <c r="H418" i="4"/>
  <c r="G422" i="4"/>
  <c r="H422" i="4"/>
  <c r="V422" i="4"/>
  <c r="G426" i="4"/>
  <c r="V426" i="4"/>
  <c r="H426" i="4"/>
  <c r="G430" i="4"/>
  <c r="V430" i="4"/>
  <c r="H430" i="4"/>
  <c r="G388" i="4"/>
  <c r="V388" i="4"/>
  <c r="H388" i="4"/>
  <c r="H392" i="4"/>
  <c r="V392" i="4"/>
  <c r="G392" i="4"/>
  <c r="G402" i="4"/>
  <c r="V402" i="4"/>
  <c r="W402" i="4" s="1"/>
  <c r="H402" i="4"/>
  <c r="V411" i="4"/>
  <c r="G411" i="4"/>
  <c r="H411" i="4"/>
  <c r="V419" i="4"/>
  <c r="G419" i="4"/>
  <c r="H419" i="4"/>
  <c r="V109" i="4"/>
  <c r="H109" i="4"/>
  <c r="G109" i="4"/>
  <c r="Z492" i="9"/>
  <c r="M492" i="9" s="1"/>
  <c r="AB490" i="6"/>
  <c r="AD490" i="6" s="1"/>
  <c r="P491" i="4"/>
  <c r="AE491" i="4"/>
  <c r="AN491" i="4" s="1"/>
  <c r="Y492" i="8"/>
  <c r="AD492" i="8" s="1"/>
  <c r="Z492" i="8"/>
  <c r="M492" i="8" s="1"/>
  <c r="Y491" i="8"/>
  <c r="AC491" i="8" s="1"/>
  <c r="Z494" i="36"/>
  <c r="G364" i="4"/>
  <c r="V364" i="4"/>
  <c r="H364" i="4"/>
  <c r="H374" i="4"/>
  <c r="V374" i="4"/>
  <c r="G374" i="4"/>
  <c r="G380" i="4"/>
  <c r="V380" i="4"/>
  <c r="H380" i="4"/>
  <c r="G389" i="4"/>
  <c r="V389" i="4"/>
  <c r="H389" i="4"/>
  <c r="G394" i="4"/>
  <c r="V394" i="4"/>
  <c r="H394" i="4"/>
  <c r="G405" i="4"/>
  <c r="V405" i="4"/>
  <c r="H405" i="4"/>
  <c r="F494" i="36"/>
  <c r="F8" i="36"/>
  <c r="Y494" i="36"/>
  <c r="Y8" i="36"/>
  <c r="H342" i="4"/>
  <c r="G342" i="4"/>
  <c r="V342" i="4"/>
  <c r="AN342" i="4" s="1"/>
  <c r="V378" i="4"/>
  <c r="G378" i="4"/>
  <c r="H378" i="4"/>
  <c r="G421" i="4"/>
  <c r="V421" i="4"/>
  <c r="H421" i="4"/>
  <c r="H431" i="4"/>
  <c r="V431" i="4"/>
  <c r="G431" i="4"/>
  <c r="V26" i="4"/>
  <c r="G26" i="4"/>
  <c r="H26" i="4"/>
  <c r="V32" i="4"/>
  <c r="AN32" i="4" s="1"/>
  <c r="G32" i="4"/>
  <c r="H32" i="4"/>
  <c r="V371" i="4"/>
  <c r="H371" i="4"/>
  <c r="G371" i="4"/>
  <c r="V375" i="4"/>
  <c r="H375" i="4"/>
  <c r="G375" i="4"/>
  <c r="V379" i="4"/>
  <c r="H379" i="4"/>
  <c r="G379" i="4"/>
  <c r="G385" i="4"/>
  <c r="V385" i="4"/>
  <c r="H385" i="4"/>
  <c r="G340" i="4"/>
  <c r="V340" i="4"/>
  <c r="H340" i="4"/>
  <c r="AA488" i="4"/>
  <c r="Z488" i="4"/>
  <c r="AA491" i="4"/>
  <c r="Z491" i="4"/>
  <c r="Z489" i="9"/>
  <c r="M489" i="9" s="1"/>
  <c r="Y489" i="9"/>
  <c r="AC489" i="9" s="1"/>
  <c r="G12" i="4"/>
  <c r="H12" i="4"/>
  <c r="G417" i="4"/>
  <c r="V417" i="4"/>
  <c r="H417" i="4"/>
  <c r="G429" i="4"/>
  <c r="V429" i="4"/>
  <c r="H429" i="4"/>
  <c r="Q494" i="36"/>
  <c r="Q8" i="36"/>
  <c r="R494" i="36"/>
  <c r="R8" i="36"/>
  <c r="W494" i="36"/>
  <c r="W8" i="36"/>
  <c r="G185" i="4"/>
  <c r="V185" i="4"/>
  <c r="H185" i="4"/>
  <c r="H327" i="4"/>
  <c r="V327" i="4"/>
  <c r="G327" i="4"/>
  <c r="G398" i="4"/>
  <c r="V398" i="4"/>
  <c r="H398" i="4"/>
  <c r="V18" i="4"/>
  <c r="G18" i="4"/>
  <c r="H18" i="4"/>
  <c r="G337" i="4"/>
  <c r="V337" i="4"/>
  <c r="H337" i="4"/>
  <c r="G349" i="4"/>
  <c r="V349" i="4"/>
  <c r="H349" i="4"/>
  <c r="V393" i="4"/>
  <c r="H393" i="4"/>
  <c r="G393" i="4"/>
  <c r="V397" i="4"/>
  <c r="H397" i="4"/>
  <c r="G397" i="4"/>
  <c r="V401" i="4"/>
  <c r="H401" i="4"/>
  <c r="G401" i="4"/>
  <c r="V404" i="4"/>
  <c r="W404" i="4" s="1"/>
  <c r="H404" i="4"/>
  <c r="G404" i="4"/>
  <c r="V408" i="4"/>
  <c r="H408" i="4"/>
  <c r="G408" i="4"/>
  <c r="V412" i="4"/>
  <c r="H412" i="4"/>
  <c r="G412" i="4"/>
  <c r="V416" i="4"/>
  <c r="H416" i="4"/>
  <c r="G416" i="4"/>
  <c r="V420" i="4"/>
  <c r="H420" i="4"/>
  <c r="G420" i="4"/>
  <c r="V424" i="4"/>
  <c r="H424" i="4"/>
  <c r="G424" i="4"/>
  <c r="V428" i="4"/>
  <c r="H428" i="4"/>
  <c r="G428" i="4"/>
  <c r="V432" i="4"/>
  <c r="H432" i="4"/>
  <c r="G432" i="4"/>
  <c r="H382" i="4"/>
  <c r="V382" i="4"/>
  <c r="G382" i="4"/>
  <c r="V396" i="4"/>
  <c r="G396" i="4"/>
  <c r="H396" i="4"/>
  <c r="H407" i="4"/>
  <c r="G407" i="4"/>
  <c r="V407" i="4"/>
  <c r="G413" i="4"/>
  <c r="V413" i="4"/>
  <c r="H413" i="4"/>
  <c r="H77" i="4"/>
  <c r="V77" i="4"/>
  <c r="G77" i="4"/>
  <c r="G91" i="4"/>
  <c r="V91" i="4"/>
  <c r="H91" i="4"/>
  <c r="Y488" i="8"/>
  <c r="AC488" i="8" s="1"/>
  <c r="P489" i="4"/>
  <c r="AE489" i="4"/>
  <c r="AN489" i="4" s="1"/>
  <c r="Y492" i="9"/>
  <c r="AC492" i="9" s="1"/>
  <c r="Z488" i="8"/>
  <c r="M488" i="8" s="1"/>
  <c r="Z490" i="8"/>
  <c r="M490" i="8" s="1"/>
  <c r="Y490" i="8"/>
  <c r="AC490" i="8" s="1"/>
  <c r="AA492" i="4"/>
  <c r="Z492" i="4"/>
  <c r="P490" i="4"/>
  <c r="AE490" i="4"/>
  <c r="AN490" i="4" s="1"/>
  <c r="G368" i="4"/>
  <c r="V368" i="4"/>
  <c r="H368" i="4"/>
  <c r="G376" i="4"/>
  <c r="V376" i="4"/>
  <c r="H376" i="4"/>
  <c r="G386" i="4"/>
  <c r="V386" i="4"/>
  <c r="H386" i="4"/>
  <c r="H400" i="4"/>
  <c r="V400" i="4"/>
  <c r="G400" i="4"/>
  <c r="Z438" i="8"/>
  <c r="M438" i="8" s="1"/>
  <c r="Z473" i="8"/>
  <c r="M473" i="8" s="1"/>
  <c r="AB466" i="6"/>
  <c r="AD466" i="6" s="1"/>
  <c r="AB449" i="6"/>
  <c r="AD449" i="6" s="1"/>
  <c r="E287" i="4"/>
  <c r="E402" i="4"/>
  <c r="D245" i="4"/>
  <c r="E413" i="4"/>
  <c r="E368" i="4"/>
  <c r="E297" i="4"/>
  <c r="E416" i="4"/>
  <c r="D260" i="4"/>
  <c r="F368" i="4"/>
  <c r="D263" i="4"/>
  <c r="D402" i="4"/>
  <c r="Z458" i="9"/>
  <c r="M458" i="9" s="1"/>
  <c r="AB458" i="6"/>
  <c r="AD458" i="6" s="1"/>
  <c r="F263" i="4"/>
  <c r="E425" i="4"/>
  <c r="M368" i="4"/>
  <c r="AE368" i="4" s="1"/>
  <c r="P461" i="4"/>
  <c r="P457" i="4"/>
  <c r="W291" i="4"/>
  <c r="P446" i="4"/>
  <c r="S13" i="36"/>
  <c r="M13" i="36" s="1"/>
  <c r="W263" i="4"/>
  <c r="D283" i="4"/>
  <c r="F376" i="4"/>
  <c r="D340" i="4"/>
  <c r="E411" i="4"/>
  <c r="D413" i="4"/>
  <c r="Y227" i="4"/>
  <c r="F331" i="4"/>
  <c r="D279" i="4"/>
  <c r="E331" i="4"/>
  <c r="AB465" i="6"/>
  <c r="AD465" i="6" s="1"/>
  <c r="E209" i="4"/>
  <c r="E376" i="4"/>
  <c r="E279" i="4"/>
  <c r="F361" i="4"/>
  <c r="E398" i="4"/>
  <c r="E251" i="4"/>
  <c r="E269" i="4"/>
  <c r="F209" i="4"/>
  <c r="F422" i="4"/>
  <c r="F398" i="4"/>
  <c r="M26" i="4"/>
  <c r="AE26" i="4" s="1"/>
  <c r="D26" i="4"/>
  <c r="E283" i="4"/>
  <c r="E261" i="4"/>
  <c r="E340" i="4"/>
  <c r="D209" i="4"/>
  <c r="E362" i="4"/>
  <c r="F362" i="4"/>
  <c r="F26" i="4"/>
  <c r="F307" i="4"/>
  <c r="E396" i="4"/>
  <c r="Z473" i="9"/>
  <c r="M473" i="9" s="1"/>
  <c r="AB476" i="6"/>
  <c r="AD476" i="6" s="1"/>
  <c r="P436" i="4"/>
  <c r="P456" i="4"/>
  <c r="P437" i="4"/>
  <c r="P455" i="4"/>
  <c r="P463" i="4"/>
  <c r="F291" i="4"/>
  <c r="D331" i="4"/>
  <c r="P471" i="4"/>
  <c r="AB437" i="6"/>
  <c r="AD437" i="6" s="1"/>
  <c r="Y483" i="8"/>
  <c r="AD483" i="8" s="1"/>
  <c r="AB474" i="6"/>
  <c r="AD474" i="6" s="1"/>
  <c r="Y454" i="9"/>
  <c r="AC454" i="9" s="1"/>
  <c r="Y485" i="9"/>
  <c r="AC485" i="9" s="1"/>
  <c r="E350" i="4"/>
  <c r="Y261" i="4"/>
  <c r="M350" i="4"/>
  <c r="AE350" i="4" s="1"/>
  <c r="Z445" i="9"/>
  <c r="M445" i="9" s="1"/>
  <c r="AB445" i="6"/>
  <c r="AD445" i="6" s="1"/>
  <c r="P445" i="4"/>
  <c r="S14" i="36"/>
  <c r="AI14" i="36" s="1"/>
  <c r="E419" i="4"/>
  <c r="Y396" i="4"/>
  <c r="AA396" i="4" s="1"/>
  <c r="AB461" i="6"/>
  <c r="AD461" i="6" s="1"/>
  <c r="D420" i="4"/>
  <c r="P448" i="4"/>
  <c r="P486" i="4"/>
  <c r="P472" i="4"/>
  <c r="M269" i="4"/>
  <c r="AE269" i="4" s="1"/>
  <c r="AN269" i="4" s="1"/>
  <c r="M331" i="4"/>
  <c r="AE331" i="4" s="1"/>
  <c r="AN331" i="4" s="1"/>
  <c r="D58" i="4"/>
  <c r="F396" i="4"/>
  <c r="F411" i="4"/>
  <c r="M216" i="4"/>
  <c r="P216" i="4" s="1"/>
  <c r="P458" i="4"/>
  <c r="P442" i="4"/>
  <c r="P450" i="4"/>
  <c r="E420" i="4"/>
  <c r="F417" i="4"/>
  <c r="F358" i="4"/>
  <c r="E227" i="4"/>
  <c r="D417" i="4"/>
  <c r="Z440" i="9"/>
  <c r="M440" i="9" s="1"/>
  <c r="Z487" i="8"/>
  <c r="M487" i="8" s="1"/>
  <c r="P487" i="4"/>
  <c r="P449" i="4"/>
  <c r="D18" i="4"/>
  <c r="D358" i="4"/>
  <c r="E397" i="4"/>
  <c r="Y255" i="4"/>
  <c r="AN255" i="4" s="1"/>
  <c r="Z438" i="9"/>
  <c r="M438" i="9" s="1"/>
  <c r="AB482" i="6"/>
  <c r="AD482" i="6" s="1"/>
  <c r="P465" i="4"/>
  <c r="P464" i="4"/>
  <c r="P481" i="4"/>
  <c r="P443" i="4"/>
  <c r="P466" i="4"/>
  <c r="P477" i="4"/>
  <c r="F264" i="4"/>
  <c r="E417" i="4"/>
  <c r="Y358" i="4"/>
  <c r="F420" i="4"/>
  <c r="D255" i="4"/>
  <c r="Y449" i="8"/>
  <c r="AD449" i="8" s="1"/>
  <c r="Z216" i="4"/>
  <c r="AA216" i="4"/>
  <c r="Y481" i="9"/>
  <c r="AC481" i="9" s="1"/>
  <c r="Z481" i="9"/>
  <c r="M481" i="9" s="1"/>
  <c r="Y450" i="8"/>
  <c r="AC450" i="8" s="1"/>
  <c r="Z450" i="8"/>
  <c r="M450" i="8" s="1"/>
  <c r="Y435" i="9"/>
  <c r="AC435" i="9" s="1"/>
  <c r="Z435" i="9"/>
  <c r="M435" i="9" s="1"/>
  <c r="Y470" i="9"/>
  <c r="AC470" i="9" s="1"/>
  <c r="Z470" i="9"/>
  <c r="M470" i="9" s="1"/>
  <c r="W439" i="4"/>
  <c r="Z434" i="9"/>
  <c r="M434" i="9" s="1"/>
  <c r="Y464" i="9"/>
  <c r="AC464" i="9" s="1"/>
  <c r="Z464" i="9"/>
  <c r="M464" i="9" s="1"/>
  <c r="Z477" i="9"/>
  <c r="M477" i="9" s="1"/>
  <c r="Y477" i="9"/>
  <c r="AC477" i="9" s="1"/>
  <c r="Y483" i="9"/>
  <c r="AC483" i="9" s="1"/>
  <c r="Z483" i="9"/>
  <c r="M483" i="9" s="1"/>
  <c r="Z456" i="8"/>
  <c r="M456" i="8" s="1"/>
  <c r="Y471" i="8"/>
  <c r="AC471" i="8" s="1"/>
  <c r="Z471" i="8"/>
  <c r="M471" i="8" s="1"/>
  <c r="Y464" i="8"/>
  <c r="AD464" i="8" s="1"/>
  <c r="Z464" i="8"/>
  <c r="M464" i="8" s="1"/>
  <c r="Z483" i="8"/>
  <c r="M483" i="8" s="1"/>
  <c r="AA454" i="4"/>
  <c r="Z454" i="4"/>
  <c r="W464" i="4"/>
  <c r="AA433" i="4"/>
  <c r="Z433" i="4"/>
  <c r="W449" i="4"/>
  <c r="AA439" i="4"/>
  <c r="Z439" i="4"/>
  <c r="Z455" i="4"/>
  <c r="AA455" i="4"/>
  <c r="Z467" i="4"/>
  <c r="AA467" i="4"/>
  <c r="Z446" i="8"/>
  <c r="M446" i="8" s="1"/>
  <c r="Y446" i="8"/>
  <c r="AD446" i="8" s="1"/>
  <c r="Z458" i="4"/>
  <c r="AA458" i="4"/>
  <c r="P469" i="4"/>
  <c r="Z453" i="4"/>
  <c r="AA453" i="4"/>
  <c r="W444" i="4"/>
  <c r="P454" i="4"/>
  <c r="W462" i="4"/>
  <c r="AA473" i="4"/>
  <c r="Z473" i="4"/>
  <c r="Z476" i="4"/>
  <c r="AA476" i="4"/>
  <c r="P467" i="4"/>
  <c r="P478" i="4"/>
  <c r="W486" i="4"/>
  <c r="W452" i="4"/>
  <c r="W460" i="4"/>
  <c r="AA445" i="4"/>
  <c r="Z445" i="4"/>
  <c r="W472" i="4"/>
  <c r="P439" i="4"/>
  <c r="W467" i="4"/>
  <c r="Y442" i="9"/>
  <c r="AC442" i="9" s="1"/>
  <c r="Y465" i="9"/>
  <c r="AC465" i="9" s="1"/>
  <c r="Y435" i="8"/>
  <c r="AC435" i="8" s="1"/>
  <c r="Z435" i="8"/>
  <c r="M435" i="8" s="1"/>
  <c r="Y417" i="4"/>
  <c r="Z417" i="4" s="1"/>
  <c r="D227" i="4"/>
  <c r="M227" i="4"/>
  <c r="AE227" i="4" s="1"/>
  <c r="M245" i="4"/>
  <c r="AE245" i="4" s="1"/>
  <c r="AN245" i="4" s="1"/>
  <c r="D216" i="4"/>
  <c r="W245" i="4"/>
  <c r="Y461" i="9"/>
  <c r="AC461" i="9" s="1"/>
  <c r="Z461" i="9"/>
  <c r="M461" i="9" s="1"/>
  <c r="Z469" i="4"/>
  <c r="AA469" i="4"/>
  <c r="W480" i="4"/>
  <c r="W455" i="4"/>
  <c r="Y458" i="9"/>
  <c r="AC458" i="9" s="1"/>
  <c r="Y479" i="9"/>
  <c r="AC479" i="9" s="1"/>
  <c r="Z479" i="9"/>
  <c r="M479" i="9" s="1"/>
  <c r="Y438" i="8"/>
  <c r="AC438" i="8" s="1"/>
  <c r="Z458" i="8"/>
  <c r="M458" i="8" s="1"/>
  <c r="Y458" i="8"/>
  <c r="AC458" i="8" s="1"/>
  <c r="Z440" i="4"/>
  <c r="AA440" i="4"/>
  <c r="W434" i="4"/>
  <c r="P444" i="4"/>
  <c r="Z448" i="4"/>
  <c r="AA448" i="4"/>
  <c r="W487" i="4"/>
  <c r="W484" i="4"/>
  <c r="W447" i="4"/>
  <c r="Z474" i="4"/>
  <c r="AA474" i="4"/>
  <c r="AB477" i="6"/>
  <c r="AD477" i="6" s="1"/>
  <c r="AB472" i="6"/>
  <c r="AD472" i="6" s="1"/>
  <c r="W438" i="4"/>
  <c r="P460" i="4"/>
  <c r="Z483" i="4"/>
  <c r="AA483" i="4"/>
  <c r="W445" i="4"/>
  <c r="P459" i="4"/>
  <c r="W485" i="4"/>
  <c r="Y449" i="9"/>
  <c r="AC449" i="9" s="1"/>
  <c r="Z449" i="9"/>
  <c r="M449" i="9" s="1"/>
  <c r="Y459" i="9"/>
  <c r="AC459" i="9" s="1"/>
  <c r="Z459" i="9"/>
  <c r="M459" i="9" s="1"/>
  <c r="Y453" i="9"/>
  <c r="AC453" i="9" s="1"/>
  <c r="Z453" i="9"/>
  <c r="M453" i="9" s="1"/>
  <c r="AB478" i="6"/>
  <c r="AD478" i="6" s="1"/>
  <c r="Z450" i="4"/>
  <c r="AA450" i="4"/>
  <c r="Z460" i="4"/>
  <c r="AA460" i="4"/>
  <c r="Z462" i="4"/>
  <c r="AA462" i="4"/>
  <c r="W479" i="4"/>
  <c r="AA485" i="4"/>
  <c r="Z485" i="4"/>
  <c r="Z457" i="4"/>
  <c r="AA457" i="4"/>
  <c r="Z480" i="4"/>
  <c r="AA480" i="4"/>
  <c r="P452" i="4"/>
  <c r="Z438" i="4"/>
  <c r="AA438" i="4"/>
  <c r="Z468" i="4"/>
  <c r="AA468" i="4"/>
  <c r="P485" i="4"/>
  <c r="P476" i="4"/>
  <c r="W451" i="4"/>
  <c r="AB435" i="6"/>
  <c r="AD435" i="6" s="1"/>
  <c r="AB451" i="6"/>
  <c r="AD451" i="6" s="1"/>
  <c r="AB444" i="6"/>
  <c r="AD444" i="6" s="1"/>
  <c r="AB443" i="6"/>
  <c r="AD443" i="6" s="1"/>
  <c r="AB454" i="6"/>
  <c r="AD454" i="6" s="1"/>
  <c r="Y476" i="8"/>
  <c r="AC476" i="8" s="1"/>
  <c r="Z476" i="8"/>
  <c r="M476" i="8" s="1"/>
  <c r="Z445" i="8"/>
  <c r="M445" i="8" s="1"/>
  <c r="Z459" i="8"/>
  <c r="M459" i="8" s="1"/>
  <c r="Y459" i="8"/>
  <c r="AC459" i="8" s="1"/>
  <c r="M417" i="4"/>
  <c r="AE417" i="4" s="1"/>
  <c r="F216" i="4"/>
  <c r="Y466" i="8"/>
  <c r="AC466" i="8" s="1"/>
  <c r="Z466" i="8"/>
  <c r="M466" i="8" s="1"/>
  <c r="Y457" i="9"/>
  <c r="AC457" i="9" s="1"/>
  <c r="Z457" i="9"/>
  <c r="M457" i="9" s="1"/>
  <c r="Z451" i="4"/>
  <c r="AA451" i="4"/>
  <c r="Z476" i="9"/>
  <c r="M476" i="9" s="1"/>
  <c r="Y476" i="9"/>
  <c r="AC476" i="9" s="1"/>
  <c r="Y438" i="9"/>
  <c r="AC438" i="9" s="1"/>
  <c r="Y462" i="8"/>
  <c r="AD462" i="8" s="1"/>
  <c r="Z462" i="8"/>
  <c r="M462" i="8" s="1"/>
  <c r="AB453" i="6"/>
  <c r="AD453" i="6" s="1"/>
  <c r="Z466" i="4"/>
  <c r="AA466" i="4"/>
  <c r="AA477" i="4"/>
  <c r="Z477" i="4"/>
  <c r="AA443" i="4"/>
  <c r="Z443" i="4"/>
  <c r="W470" i="4"/>
  <c r="W433" i="4"/>
  <c r="Z444" i="4"/>
  <c r="AA444" i="4"/>
  <c r="W475" i="4"/>
  <c r="Z463" i="4"/>
  <c r="AA463" i="4"/>
  <c r="W478" i="4"/>
  <c r="Z484" i="9"/>
  <c r="M484" i="9" s="1"/>
  <c r="Y484" i="9"/>
  <c r="AC484" i="9" s="1"/>
  <c r="Z485" i="9"/>
  <c r="M485" i="9" s="1"/>
  <c r="Y454" i="8"/>
  <c r="AD454" i="8" s="1"/>
  <c r="Z454" i="8"/>
  <c r="M454" i="8" s="1"/>
  <c r="Y477" i="8"/>
  <c r="AD477" i="8" s="1"/>
  <c r="Z477" i="8"/>
  <c r="M477" i="8" s="1"/>
  <c r="Y485" i="8"/>
  <c r="AC485" i="8" s="1"/>
  <c r="Z485" i="8"/>
  <c r="M485" i="8" s="1"/>
  <c r="AB459" i="6"/>
  <c r="AD459" i="6" s="1"/>
  <c r="AB480" i="6"/>
  <c r="AD480" i="6" s="1"/>
  <c r="P483" i="4"/>
  <c r="P438" i="4"/>
  <c r="Z442" i="4"/>
  <c r="AA442" i="4"/>
  <c r="Z446" i="4"/>
  <c r="AA446" i="4"/>
  <c r="W456" i="4"/>
  <c r="W469" i="4"/>
  <c r="P451" i="4"/>
  <c r="P474" i="4"/>
  <c r="Z434" i="4"/>
  <c r="AA434" i="4"/>
  <c r="P440" i="4"/>
  <c r="P475" i="4"/>
  <c r="Z487" i="4"/>
  <c r="AA487" i="4"/>
  <c r="P441" i="4"/>
  <c r="Z484" i="4"/>
  <c r="AA484" i="4"/>
  <c r="P435" i="4"/>
  <c r="P470" i="4"/>
  <c r="P468" i="4"/>
  <c r="AB485" i="6"/>
  <c r="AD485" i="6" s="1"/>
  <c r="AB469" i="6"/>
  <c r="AD469" i="6" s="1"/>
  <c r="Y478" i="8"/>
  <c r="AD478" i="8" s="1"/>
  <c r="Y480" i="8"/>
  <c r="AC480" i="8" s="1"/>
  <c r="Z480" i="8"/>
  <c r="M480" i="8" s="1"/>
  <c r="Z449" i="8"/>
  <c r="M449" i="8" s="1"/>
  <c r="Y465" i="8"/>
  <c r="AC465" i="8" s="1"/>
  <c r="Z465" i="8"/>
  <c r="M465" i="8" s="1"/>
  <c r="Z453" i="8"/>
  <c r="M453" i="8" s="1"/>
  <c r="Z465" i="9"/>
  <c r="M465" i="9" s="1"/>
  <c r="Y439" i="9"/>
  <c r="AC439" i="9" s="1"/>
  <c r="Z439" i="9"/>
  <c r="M439" i="9" s="1"/>
  <c r="E216" i="4"/>
  <c r="Y480" i="9"/>
  <c r="AC480" i="9" s="1"/>
  <c r="Z480" i="9"/>
  <c r="M480" i="9" s="1"/>
  <c r="Y472" i="9"/>
  <c r="AC472" i="9" s="1"/>
  <c r="Y445" i="9"/>
  <c r="AC445" i="9" s="1"/>
  <c r="Z442" i="9"/>
  <c r="M442" i="9" s="1"/>
  <c r="P434" i="4"/>
  <c r="AE434" i="4"/>
  <c r="AN434" i="4" s="1"/>
  <c r="Z456" i="4"/>
  <c r="AA456" i="4"/>
  <c r="AA475" i="4"/>
  <c r="Z475" i="4"/>
  <c r="W443" i="4"/>
  <c r="Y440" i="9"/>
  <c r="AC440" i="9" s="1"/>
  <c r="Z454" i="9"/>
  <c r="M454" i="9" s="1"/>
  <c r="Y473" i="8"/>
  <c r="AC473" i="8" s="1"/>
  <c r="AB457" i="6"/>
  <c r="AD457" i="6" s="1"/>
  <c r="W442" i="4"/>
  <c r="W468" i="4"/>
  <c r="W477" i="4"/>
  <c r="Z449" i="4"/>
  <c r="AA449" i="4"/>
  <c r="Z478" i="4"/>
  <c r="AA478" i="4"/>
  <c r="W476" i="4"/>
  <c r="Z436" i="4"/>
  <c r="AA436" i="4"/>
  <c r="W454" i="4"/>
  <c r="P462" i="4"/>
  <c r="W457" i="4"/>
  <c r="Y473" i="9"/>
  <c r="AC473" i="9" s="1"/>
  <c r="Y487" i="8"/>
  <c r="AC487" i="8" s="1"/>
  <c r="W446" i="4"/>
  <c r="W440" i="4"/>
  <c r="W466" i="4"/>
  <c r="P453" i="4"/>
  <c r="P482" i="4"/>
  <c r="W448" i="4"/>
  <c r="Z452" i="4"/>
  <c r="AA452" i="4"/>
  <c r="P473" i="4"/>
  <c r="Z479" i="4"/>
  <c r="AA479" i="4"/>
  <c r="W483" i="4"/>
  <c r="P433" i="4"/>
  <c r="Z472" i="4"/>
  <c r="AA472" i="4"/>
  <c r="P480" i="4"/>
  <c r="AE480" i="4"/>
  <c r="AN480" i="4" s="1"/>
  <c r="Z447" i="4"/>
  <c r="AA447" i="4"/>
  <c r="Z470" i="4"/>
  <c r="AA470" i="4"/>
  <c r="Z486" i="4"/>
  <c r="AA486" i="4"/>
  <c r="P484" i="4"/>
  <c r="W450" i="4"/>
  <c r="AB442" i="6"/>
  <c r="AD442" i="6" s="1"/>
  <c r="AB473" i="6"/>
  <c r="AD473" i="6" s="1"/>
  <c r="AB464" i="6"/>
  <c r="AD464" i="6" s="1"/>
  <c r="Y439" i="8"/>
  <c r="AC439" i="8" s="1"/>
  <c r="Z439" i="8"/>
  <c r="M439" i="8" s="1"/>
  <c r="AB450" i="6"/>
  <c r="AD450" i="6" s="1"/>
  <c r="Y472" i="8"/>
  <c r="AD472" i="8" s="1"/>
  <c r="Z472" i="8"/>
  <c r="M472" i="8" s="1"/>
  <c r="Z478" i="8"/>
  <c r="M478" i="8" s="1"/>
  <c r="Y461" i="8"/>
  <c r="AD461" i="8" s="1"/>
  <c r="Z461" i="8"/>
  <c r="M461" i="8" s="1"/>
  <c r="Z472" i="9"/>
  <c r="M472" i="9" s="1"/>
  <c r="Y478" i="9"/>
  <c r="AC478" i="9" s="1"/>
  <c r="Z478" i="9"/>
  <c r="M478" i="9" s="1"/>
  <c r="Y457" i="8"/>
  <c r="AC457" i="8" s="1"/>
  <c r="Z457" i="8"/>
  <c r="M457" i="8" s="1"/>
  <c r="Y451" i="8"/>
  <c r="AC451" i="8" s="1"/>
  <c r="Z451" i="8"/>
  <c r="M451" i="8" s="1"/>
  <c r="Y413" i="4"/>
  <c r="Y372" i="4"/>
  <c r="Z372" i="4" s="1"/>
  <c r="M413" i="4"/>
  <c r="F269" i="4"/>
  <c r="E52" i="4"/>
  <c r="D269" i="4"/>
  <c r="E241" i="4"/>
  <c r="E245" i="4"/>
  <c r="F295" i="4"/>
  <c r="F402" i="4"/>
  <c r="E263" i="4"/>
  <c r="F387" i="4"/>
  <c r="F413" i="4"/>
  <c r="F194" i="4"/>
  <c r="W295" i="4"/>
  <c r="Y402" i="4"/>
  <c r="D295" i="4"/>
  <c r="Y295" i="4"/>
  <c r="AN295" i="4" s="1"/>
  <c r="M263" i="4"/>
  <c r="AE263" i="4" s="1"/>
  <c r="Y143" i="4"/>
  <c r="AN143" i="4" s="1"/>
  <c r="E366" i="4"/>
  <c r="E82" i="4"/>
  <c r="M169" i="4"/>
  <c r="AE169" i="4" s="1"/>
  <c r="AN169" i="4" s="1"/>
  <c r="F245" i="4"/>
  <c r="E372" i="4"/>
  <c r="Y354" i="4"/>
  <c r="Z354" i="4" s="1"/>
  <c r="D418" i="4"/>
  <c r="F432" i="4"/>
  <c r="E377" i="4"/>
  <c r="E390" i="4"/>
  <c r="E72" i="4"/>
  <c r="D84" i="4"/>
  <c r="E430" i="4"/>
  <c r="M78" i="4"/>
  <c r="M261" i="4"/>
  <c r="AE261" i="4" s="1"/>
  <c r="E140" i="4"/>
  <c r="D140" i="4"/>
  <c r="F164" i="4"/>
  <c r="F383" i="4"/>
  <c r="F65" i="4"/>
  <c r="E186" i="4"/>
  <c r="E192" i="4"/>
  <c r="D198" i="4"/>
  <c r="F136" i="4"/>
  <c r="E55" i="4"/>
  <c r="F55" i="4"/>
  <c r="E228" i="4"/>
  <c r="E382" i="4"/>
  <c r="Y382" i="4"/>
  <c r="F388" i="4"/>
  <c r="D344" i="4"/>
  <c r="E354" i="4"/>
  <c r="W273" i="4"/>
  <c r="Y185" i="4"/>
  <c r="Z185" i="4" s="1"/>
  <c r="Z245" i="4"/>
  <c r="E65" i="4"/>
  <c r="E110" i="4"/>
  <c r="F16" i="4"/>
  <c r="D59" i="4"/>
  <c r="F172" i="4"/>
  <c r="W147" i="4"/>
  <c r="D273" i="4"/>
  <c r="D404" i="4"/>
  <c r="D47" i="4"/>
  <c r="E415" i="4"/>
  <c r="E69" i="4"/>
  <c r="E266" i="4"/>
  <c r="F391" i="4"/>
  <c r="W279" i="4"/>
  <c r="D355" i="4"/>
  <c r="F188" i="4"/>
  <c r="E242" i="4"/>
  <c r="D266" i="4"/>
  <c r="E395" i="4"/>
  <c r="D46" i="4"/>
  <c r="E321" i="4"/>
  <c r="F359" i="4"/>
  <c r="E369" i="4"/>
  <c r="F290" i="4"/>
  <c r="D360" i="4"/>
  <c r="W370" i="4"/>
  <c r="M201" i="4"/>
  <c r="AE201" i="4" s="1"/>
  <c r="Y120" i="4"/>
  <c r="Y400" i="4"/>
  <c r="D321" i="4"/>
  <c r="F360" i="4"/>
  <c r="E74" i="4"/>
  <c r="E176" i="4"/>
  <c r="Y16" i="4"/>
  <c r="Z16" i="4" s="1"/>
  <c r="M360" i="4"/>
  <c r="P360" i="4" s="1"/>
  <c r="F301" i="4"/>
  <c r="M382" i="4"/>
  <c r="AE382" i="4" s="1"/>
  <c r="Y273" i="4"/>
  <c r="W221" i="4"/>
  <c r="F120" i="4"/>
  <c r="M34" i="4"/>
  <c r="AE34" i="4" s="1"/>
  <c r="F80" i="4"/>
  <c r="E221" i="4"/>
  <c r="F393" i="4"/>
  <c r="F74" i="4"/>
  <c r="E188" i="4"/>
  <c r="F385" i="4"/>
  <c r="F410" i="4"/>
  <c r="E80" i="4"/>
  <c r="E100" i="4"/>
  <c r="D221" i="4"/>
  <c r="E360" i="4"/>
  <c r="E229" i="4"/>
  <c r="E408" i="4"/>
  <c r="E125" i="4"/>
  <c r="E334" i="4"/>
  <c r="F334" i="4"/>
  <c r="D120" i="4"/>
  <c r="E20" i="4"/>
  <c r="D147" i="4"/>
  <c r="E344" i="4"/>
  <c r="D301" i="4"/>
  <c r="D229" i="4"/>
  <c r="F59" i="4"/>
  <c r="E129" i="4"/>
  <c r="D125" i="4"/>
  <c r="E294" i="4"/>
  <c r="E324" i="4"/>
  <c r="F394" i="4"/>
  <c r="F363" i="4"/>
  <c r="Y301" i="4"/>
  <c r="W46" i="4"/>
  <c r="W141" i="4"/>
  <c r="F176" i="4"/>
  <c r="F100" i="4"/>
  <c r="E16" i="4"/>
  <c r="D80" i="4"/>
  <c r="E197" i="4"/>
  <c r="D20" i="4"/>
  <c r="D100" i="4"/>
  <c r="E217" i="4"/>
  <c r="E401" i="4"/>
  <c r="E157" i="4"/>
  <c r="D74" i="4"/>
  <c r="F129" i="4"/>
  <c r="E353" i="4"/>
  <c r="F370" i="4"/>
  <c r="E267" i="4"/>
  <c r="F364" i="4"/>
  <c r="W301" i="4"/>
  <c r="M334" i="4"/>
  <c r="AE334" i="4" s="1"/>
  <c r="W321" i="4"/>
  <c r="M344" i="4"/>
  <c r="AE344" i="4" s="1"/>
  <c r="M370" i="4"/>
  <c r="AE370" i="4" s="1"/>
  <c r="D382" i="4"/>
  <c r="F46" i="4"/>
  <c r="M80" i="4"/>
  <c r="AE80" i="4" s="1"/>
  <c r="AN80" i="4" s="1"/>
  <c r="W80" i="4"/>
  <c r="F201" i="4"/>
  <c r="M221" i="4"/>
  <c r="AE221" i="4" s="1"/>
  <c r="Y100" i="4"/>
  <c r="Z100" i="4" s="1"/>
  <c r="M120" i="4"/>
  <c r="AE120" i="4" s="1"/>
  <c r="E141" i="4"/>
  <c r="M147" i="4"/>
  <c r="AE147" i="4" s="1"/>
  <c r="W267" i="4"/>
  <c r="F273" i="4"/>
  <c r="M273" i="4"/>
  <c r="AE273" i="4" s="1"/>
  <c r="E400" i="4"/>
  <c r="F427" i="4"/>
  <c r="Y427" i="4"/>
  <c r="Y334" i="4"/>
  <c r="F157" i="4"/>
  <c r="F382" i="4"/>
  <c r="Y321" i="4"/>
  <c r="Y360" i="4"/>
  <c r="E120" i="4"/>
  <c r="F20" i="4"/>
  <c r="F147" i="4"/>
  <c r="D16" i="4"/>
  <c r="E201" i="4"/>
  <c r="E147" i="4"/>
  <c r="D217" i="4"/>
  <c r="E273" i="4"/>
  <c r="E301" i="4"/>
  <c r="E404" i="4"/>
  <c r="E424" i="4"/>
  <c r="F47" i="4"/>
  <c r="F267" i="4"/>
  <c r="E364" i="4"/>
  <c r="E388" i="4"/>
  <c r="E394" i="4"/>
  <c r="E426" i="4"/>
  <c r="D267" i="4"/>
  <c r="E370" i="4"/>
  <c r="Z82" i="4"/>
  <c r="M16" i="4"/>
  <c r="AE16" i="4" s="1"/>
  <c r="Y344" i="4"/>
  <c r="AA344" i="4" s="1"/>
  <c r="Y370" i="4"/>
  <c r="AN370" i="4" s="1"/>
  <c r="M301" i="4"/>
  <c r="AE301" i="4" s="1"/>
  <c r="M321" i="4"/>
  <c r="AE321" i="4" s="1"/>
  <c r="F344" i="4"/>
  <c r="E46" i="4"/>
  <c r="M46" i="4"/>
  <c r="AE46" i="4" s="1"/>
  <c r="Y201" i="4"/>
  <c r="D201" i="4"/>
  <c r="D141" i="4"/>
  <c r="Y267" i="4"/>
  <c r="Z267" i="4" s="1"/>
  <c r="M267" i="4"/>
  <c r="AE267" i="4" s="1"/>
  <c r="F327" i="4"/>
  <c r="M400" i="4"/>
  <c r="AE400" i="4" s="1"/>
  <c r="M427" i="4"/>
  <c r="AE427" i="4" s="1"/>
  <c r="Y364" i="4"/>
  <c r="Z364" i="4" s="1"/>
  <c r="Y46" i="4"/>
  <c r="Y221" i="4"/>
  <c r="F221" i="4"/>
  <c r="D110" i="4"/>
  <c r="Y141" i="4"/>
  <c r="Y147" i="4"/>
  <c r="F211" i="4"/>
  <c r="D400" i="4"/>
  <c r="E427" i="4"/>
  <c r="D427" i="4"/>
  <c r="E174" i="4"/>
  <c r="F174" i="4"/>
  <c r="D182" i="4"/>
  <c r="F182" i="4"/>
  <c r="E190" i="4"/>
  <c r="D190" i="4"/>
  <c r="F204" i="4"/>
  <c r="D204" i="4"/>
  <c r="D210" i="4"/>
  <c r="E210" i="4"/>
  <c r="F210" i="4"/>
  <c r="F234" i="4"/>
  <c r="E234" i="4"/>
  <c r="D274" i="4"/>
  <c r="F274" i="4"/>
  <c r="D322" i="4"/>
  <c r="F322" i="4"/>
  <c r="Y14" i="4"/>
  <c r="AN14" i="4" s="1"/>
  <c r="E18" i="4"/>
  <c r="F18" i="4"/>
  <c r="Y18" i="4"/>
  <c r="D22" i="4"/>
  <c r="W22" i="4"/>
  <c r="E22" i="4"/>
  <c r="F36" i="4"/>
  <c r="M56" i="4"/>
  <c r="AE56" i="4" s="1"/>
  <c r="E56" i="4"/>
  <c r="Y56" i="4"/>
  <c r="Z56" i="4" s="1"/>
  <c r="M58" i="4"/>
  <c r="Y62" i="4"/>
  <c r="D62" i="4"/>
  <c r="F62" i="4"/>
  <c r="E62" i="4"/>
  <c r="F104" i="4"/>
  <c r="W104" i="4"/>
  <c r="E104" i="4"/>
  <c r="M104" i="4"/>
  <c r="AE104" i="4" s="1"/>
  <c r="M133" i="4"/>
  <c r="AE133" i="4" s="1"/>
  <c r="AN133" i="4" s="1"/>
  <c r="M145" i="4"/>
  <c r="W145" i="4"/>
  <c r="E145" i="4"/>
  <c r="M159" i="4"/>
  <c r="AE159" i="4" s="1"/>
  <c r="AN159" i="4" s="1"/>
  <c r="D159" i="4"/>
  <c r="W159" i="4"/>
  <c r="D231" i="4"/>
  <c r="E231" i="4"/>
  <c r="F251" i="4"/>
  <c r="D251" i="4"/>
  <c r="Y251" i="4"/>
  <c r="F255" i="4"/>
  <c r="E255" i="4"/>
  <c r="D259" i="4"/>
  <c r="M259" i="4"/>
  <c r="AE259" i="4" s="1"/>
  <c r="E259" i="4"/>
  <c r="F277" i="4"/>
  <c r="W277" i="4"/>
  <c r="E277" i="4"/>
  <c r="D277" i="4"/>
  <c r="F281" i="4"/>
  <c r="M281" i="4"/>
  <c r="AE281" i="4" s="1"/>
  <c r="Y281" i="4"/>
  <c r="Z281" i="4" s="1"/>
  <c r="D281" i="4"/>
  <c r="W281" i="4"/>
  <c r="F285" i="4"/>
  <c r="P285" i="4"/>
  <c r="Y291" i="4"/>
  <c r="AN291" i="4" s="1"/>
  <c r="E291" i="4"/>
  <c r="D291" i="4"/>
  <c r="M297" i="4"/>
  <c r="P297" i="4" s="1"/>
  <c r="D297" i="4"/>
  <c r="M311" i="4"/>
  <c r="AE311" i="4" s="1"/>
  <c r="Y311" i="4"/>
  <c r="Z311" i="4" s="1"/>
  <c r="E311" i="4"/>
  <c r="M315" i="4"/>
  <c r="AE315" i="4" s="1"/>
  <c r="F315" i="4"/>
  <c r="M319" i="4"/>
  <c r="AE319" i="4" s="1"/>
  <c r="F319" i="4"/>
  <c r="D325" i="4"/>
  <c r="F325" i="4"/>
  <c r="Y325" i="4"/>
  <c r="AN325" i="4" s="1"/>
  <c r="W348" i="4"/>
  <c r="E352" i="4"/>
  <c r="Y362" i="4"/>
  <c r="M362" i="4"/>
  <c r="AE362" i="4" s="1"/>
  <c r="W384" i="4"/>
  <c r="E384" i="4"/>
  <c r="Y384" i="4"/>
  <c r="F389" i="4"/>
  <c r="E389" i="4"/>
  <c r="D111" i="4"/>
  <c r="F111" i="4"/>
  <c r="E262" i="4"/>
  <c r="D262" i="4"/>
  <c r="E330" i="4"/>
  <c r="F330" i="4"/>
  <c r="E403" i="4"/>
  <c r="F403" i="4"/>
  <c r="W299" i="4"/>
  <c r="D202" i="4"/>
  <c r="E202" i="4"/>
  <c r="D412" i="4"/>
  <c r="E412" i="4"/>
  <c r="E428" i="4"/>
  <c r="Y415" i="4"/>
  <c r="Z415" i="4" s="1"/>
  <c r="F34" i="4"/>
  <c r="Y74" i="4"/>
  <c r="AN74" i="4" s="1"/>
  <c r="E327" i="4"/>
  <c r="Y118" i="4"/>
  <c r="Z118" i="4" s="1"/>
  <c r="F168" i="4"/>
  <c r="F262" i="4"/>
  <c r="E298" i="4"/>
  <c r="F406" i="4"/>
  <c r="F298" i="4"/>
  <c r="D375" i="4"/>
  <c r="M100" i="4"/>
  <c r="AE100" i="4" s="1"/>
  <c r="F110" i="4"/>
  <c r="Y110" i="4"/>
  <c r="AN110" i="4" s="1"/>
  <c r="M36" i="4"/>
  <c r="AE36" i="4" s="1"/>
  <c r="AN36" i="4" s="1"/>
  <c r="Y58" i="4"/>
  <c r="M231" i="4"/>
  <c r="AE231" i="4" s="1"/>
  <c r="Y20" i="4"/>
  <c r="Y34" i="4"/>
  <c r="M217" i="4"/>
  <c r="AE217" i="4" s="1"/>
  <c r="Y327" i="4"/>
  <c r="Y378" i="4"/>
  <c r="E102" i="4"/>
  <c r="W197" i="4"/>
  <c r="M229" i="4"/>
  <c r="AE229" i="4" s="1"/>
  <c r="M346" i="4"/>
  <c r="AE346" i="4" s="1"/>
  <c r="M394" i="4"/>
  <c r="AE394" i="4" s="1"/>
  <c r="M404" i="4"/>
  <c r="AE404" i="4" s="1"/>
  <c r="F141" i="4"/>
  <c r="D34" i="4"/>
  <c r="Y149" i="4"/>
  <c r="D197" i="4"/>
  <c r="M388" i="4"/>
  <c r="AE388" i="4" s="1"/>
  <c r="D394" i="4"/>
  <c r="D415" i="4"/>
  <c r="M118" i="4"/>
  <c r="AE118" i="4" s="1"/>
  <c r="Y420" i="4"/>
  <c r="Z420" i="4" s="1"/>
  <c r="F102" i="4"/>
  <c r="M20" i="4"/>
  <c r="AE20" i="4" s="1"/>
  <c r="D149" i="4"/>
  <c r="Y157" i="4"/>
  <c r="AN157" i="4" s="1"/>
  <c r="D157" i="4"/>
  <c r="D211" i="4"/>
  <c r="Y211" i="4"/>
  <c r="AA211" i="4" s="1"/>
  <c r="F217" i="4"/>
  <c r="Y229" i="4"/>
  <c r="F338" i="4"/>
  <c r="D346" i="4"/>
  <c r="F354" i="4"/>
  <c r="M354" i="4"/>
  <c r="AE354" i="4" s="1"/>
  <c r="M378" i="4"/>
  <c r="AE378" i="4" s="1"/>
  <c r="Y394" i="4"/>
  <c r="M415" i="4"/>
  <c r="AE415" i="4" s="1"/>
  <c r="F118" i="4"/>
  <c r="D364" i="4"/>
  <c r="Y102" i="4"/>
  <c r="AN102" i="4" s="1"/>
  <c r="M149" i="4"/>
  <c r="AE149" i="4" s="1"/>
  <c r="Y197" i="4"/>
  <c r="M197" i="4"/>
  <c r="AE197" i="4" s="1"/>
  <c r="M211" i="4"/>
  <c r="AE211" i="4" s="1"/>
  <c r="Y217" i="4"/>
  <c r="F229" i="4"/>
  <c r="D327" i="4"/>
  <c r="Y338" i="4"/>
  <c r="Y346" i="4"/>
  <c r="D354" i="4"/>
  <c r="F378" i="4"/>
  <c r="Y388" i="4"/>
  <c r="F415" i="4"/>
  <c r="W118" i="4"/>
  <c r="F404" i="4"/>
  <c r="D102" i="4"/>
  <c r="F149" i="4"/>
  <c r="F197" i="4"/>
  <c r="M327" i="4"/>
  <c r="AE327" i="4" s="1"/>
  <c r="D338" i="4"/>
  <c r="M338" i="4"/>
  <c r="AE338" i="4" s="1"/>
  <c r="F346" i="4"/>
  <c r="D378" i="4"/>
  <c r="E118" i="4"/>
  <c r="E152" i="4"/>
  <c r="E399" i="4"/>
  <c r="W143" i="4"/>
  <c r="D61" i="4"/>
  <c r="E61" i="4"/>
  <c r="F61" i="4"/>
  <c r="D230" i="4"/>
  <c r="E230" i="4"/>
  <c r="E270" i="4"/>
  <c r="D270" i="4"/>
  <c r="D302" i="4"/>
  <c r="E302" i="4"/>
  <c r="F320" i="4"/>
  <c r="D320" i="4"/>
  <c r="F326" i="4"/>
  <c r="D326" i="4"/>
  <c r="D367" i="4"/>
  <c r="F367" i="4"/>
  <c r="W169" i="4"/>
  <c r="F294" i="4"/>
  <c r="AA94" i="4"/>
  <c r="D206" i="4"/>
  <c r="E206" i="4"/>
  <c r="E51" i="4"/>
  <c r="F51" i="4"/>
  <c r="E73" i="4"/>
  <c r="D73" i="4"/>
  <c r="F73" i="4"/>
  <c r="E131" i="4"/>
  <c r="F131" i="4"/>
  <c r="F238" i="4"/>
  <c r="D238" i="4"/>
  <c r="E238" i="4"/>
  <c r="F333" i="4"/>
  <c r="F365" i="4"/>
  <c r="F24" i="4"/>
  <c r="Y72" i="4"/>
  <c r="D215" i="4"/>
  <c r="E215" i="4"/>
  <c r="F261" i="4"/>
  <c r="Y419" i="4"/>
  <c r="Z419" i="4" s="1"/>
  <c r="D185" i="4"/>
  <c r="F283" i="4"/>
  <c r="F32" i="4"/>
  <c r="D72" i="4"/>
  <c r="D32" i="4"/>
  <c r="E185" i="4"/>
  <c r="F293" i="4"/>
  <c r="F340" i="4"/>
  <c r="D261" i="4"/>
  <c r="D305" i="4"/>
  <c r="E293" i="4"/>
  <c r="E386" i="4"/>
  <c r="M24" i="4"/>
  <c r="AE24" i="4" s="1"/>
  <c r="AN24" i="4" s="1"/>
  <c r="W24" i="4"/>
  <c r="M28" i="4"/>
  <c r="AE28" i="4" s="1"/>
  <c r="M293" i="4"/>
  <c r="AE293" i="4" s="1"/>
  <c r="AN293" i="4" s="1"/>
  <c r="M358" i="4"/>
  <c r="AE358" i="4" s="1"/>
  <c r="M340" i="4"/>
  <c r="AE340" i="4" s="1"/>
  <c r="D368" i="4"/>
  <c r="E247" i="4"/>
  <c r="M72" i="4"/>
  <c r="AE72" i="4" s="1"/>
  <c r="F72" i="4"/>
  <c r="D78" i="4"/>
  <c r="M419" i="4"/>
  <c r="AE419" i="4" s="1"/>
  <c r="M84" i="4"/>
  <c r="AE84" i="4" s="1"/>
  <c r="Y104" i="4"/>
  <c r="F297" i="4"/>
  <c r="Y350" i="4"/>
  <c r="Z350" i="4" s="1"/>
  <c r="M389" i="4"/>
  <c r="P389" i="4" s="1"/>
  <c r="D396" i="4"/>
  <c r="D411" i="4"/>
  <c r="Y411" i="4"/>
  <c r="AA411" i="4" s="1"/>
  <c r="Y225" i="4"/>
  <c r="E28" i="4"/>
  <c r="F84" i="4"/>
  <c r="F279" i="4"/>
  <c r="D293" i="4"/>
  <c r="E358" i="4"/>
  <c r="Y247" i="4"/>
  <c r="AN247" i="4" s="1"/>
  <c r="F78" i="4"/>
  <c r="F215" i="4"/>
  <c r="P215" i="4"/>
  <c r="M329" i="4"/>
  <c r="AE329" i="4" s="1"/>
  <c r="AN329" i="4" s="1"/>
  <c r="D419" i="4"/>
  <c r="D350" i="4"/>
  <c r="D389" i="4"/>
  <c r="M411" i="4"/>
  <c r="AE411" i="4" s="1"/>
  <c r="F249" i="4"/>
  <c r="Y28" i="4"/>
  <c r="Y84" i="4"/>
  <c r="Y209" i="4"/>
  <c r="AN209" i="4" s="1"/>
  <c r="Y279" i="4"/>
  <c r="Y287" i="4"/>
  <c r="F287" i="4"/>
  <c r="Y305" i="4"/>
  <c r="D386" i="4"/>
  <c r="Y283" i="4"/>
  <c r="M287" i="4"/>
  <c r="AE287" i="4" s="1"/>
  <c r="F48" i="4"/>
  <c r="F419" i="4"/>
  <c r="M305" i="4"/>
  <c r="AE305" i="4" s="1"/>
  <c r="F69" i="4"/>
  <c r="E208" i="4"/>
  <c r="E319" i="4"/>
  <c r="W305" i="4"/>
  <c r="AE185" i="4"/>
  <c r="AA329" i="4"/>
  <c r="Z329" i="4"/>
  <c r="W84" i="4"/>
  <c r="D179" i="4"/>
  <c r="E257" i="4"/>
  <c r="E405" i="4"/>
  <c r="Y398" i="4"/>
  <c r="F239" i="4"/>
  <c r="D116" i="4"/>
  <c r="E356" i="4"/>
  <c r="F199" i="4"/>
  <c r="W28" i="4"/>
  <c r="W201" i="4"/>
  <c r="F185" i="4"/>
  <c r="M283" i="4"/>
  <c r="AE283" i="4" s="1"/>
  <c r="F305" i="4"/>
  <c r="F329" i="4"/>
  <c r="M376" i="4"/>
  <c r="D376" i="4"/>
  <c r="Y386" i="4"/>
  <c r="D398" i="4"/>
  <c r="D48" i="4"/>
  <c r="D313" i="4"/>
  <c r="D199" i="4"/>
  <c r="E239" i="4"/>
  <c r="F429" i="4"/>
  <c r="W14" i="4"/>
  <c r="W191" i="4"/>
  <c r="F386" i="4"/>
  <c r="E135" i="4"/>
  <c r="E76" i="4"/>
  <c r="W352" i="4"/>
  <c r="E309" i="4"/>
  <c r="E195" i="4"/>
  <c r="E58" i="4"/>
  <c r="F231" i="4"/>
  <c r="Y231" i="4"/>
  <c r="Y297" i="4"/>
  <c r="M352" i="4"/>
  <c r="AE352" i="4" s="1"/>
  <c r="F352" i="4"/>
  <c r="Y389" i="4"/>
  <c r="M409" i="4"/>
  <c r="W409" i="4"/>
  <c r="M307" i="4"/>
  <c r="AE307" i="4" s="1"/>
  <c r="AN307" i="4" s="1"/>
  <c r="Y315" i="4"/>
  <c r="Y425" i="4"/>
  <c r="Y265" i="4"/>
  <c r="Z265" i="4" s="1"/>
  <c r="Y319" i="4"/>
  <c r="D253" i="4"/>
  <c r="F66" i="4"/>
  <c r="W261" i="4"/>
  <c r="Y352" i="4"/>
  <c r="D409" i="4"/>
  <c r="D315" i="4"/>
  <c r="M425" i="4"/>
  <c r="P425" i="4" s="1"/>
  <c r="E303" i="4"/>
  <c r="D319" i="4"/>
  <c r="D336" i="4"/>
  <c r="AA78" i="4"/>
  <c r="D307" i="4"/>
  <c r="M62" i="4"/>
  <c r="AE62" i="4" s="1"/>
  <c r="Y277" i="4"/>
  <c r="AN277" i="4" s="1"/>
  <c r="E249" i="4"/>
  <c r="F96" i="4"/>
  <c r="E124" i="4"/>
  <c r="F175" i="4"/>
  <c r="Y26" i="4"/>
  <c r="D70" i="4"/>
  <c r="E112" i="4"/>
  <c r="E60" i="4"/>
  <c r="E92" i="4"/>
  <c r="D163" i="4"/>
  <c r="E173" i="4"/>
  <c r="D187" i="4"/>
  <c r="E132" i="4"/>
  <c r="F187" i="4"/>
  <c r="F132" i="4"/>
  <c r="P14" i="4"/>
  <c r="E307" i="4"/>
  <c r="E315" i="4"/>
  <c r="Y285" i="4"/>
  <c r="AN285" i="4" s="1"/>
  <c r="M303" i="4"/>
  <c r="AE303" i="4" s="1"/>
  <c r="AN303" i="4" s="1"/>
  <c r="F116" i="4"/>
  <c r="D189" i="4"/>
  <c r="P323" i="4"/>
  <c r="D303" i="4"/>
  <c r="F303" i="4"/>
  <c r="P110" i="4"/>
  <c r="D175" i="4"/>
  <c r="E237" i="4"/>
  <c r="E40" i="4"/>
  <c r="D64" i="4"/>
  <c r="D96" i="4"/>
  <c r="D213" i="4"/>
  <c r="F70" i="4"/>
  <c r="E64" i="4"/>
  <c r="E189" i="4"/>
  <c r="D309" i="4"/>
  <c r="E14" i="4"/>
  <c r="F14" i="4"/>
  <c r="Y108" i="4"/>
  <c r="M108" i="4"/>
  <c r="AE108" i="4" s="1"/>
  <c r="F108" i="4"/>
  <c r="Y203" i="4"/>
  <c r="M203" i="4"/>
  <c r="AE203" i="4" s="1"/>
  <c r="D243" i="4"/>
  <c r="M243" i="4"/>
  <c r="AE243" i="4" s="1"/>
  <c r="Y243" i="4"/>
  <c r="M407" i="4"/>
  <c r="AE407" i="4" s="1"/>
  <c r="E407" i="4"/>
  <c r="Y407" i="4"/>
  <c r="F407" i="4"/>
  <c r="D407" i="4"/>
  <c r="Z191" i="4"/>
  <c r="AA191" i="4"/>
  <c r="W251" i="4"/>
  <c r="D300" i="4"/>
  <c r="Y300" i="4"/>
  <c r="F300" i="4"/>
  <c r="M300" i="4"/>
  <c r="AE300" i="4" s="1"/>
  <c r="D391" i="4"/>
  <c r="Y391" i="4"/>
  <c r="M391" i="4"/>
  <c r="W311" i="4"/>
  <c r="W323" i="4"/>
  <c r="Y19" i="4"/>
  <c r="E19" i="4"/>
  <c r="M19" i="4"/>
  <c r="AE19" i="4" s="1"/>
  <c r="F19" i="4"/>
  <c r="D19" i="4"/>
  <c r="M51" i="4"/>
  <c r="AE51" i="4" s="1"/>
  <c r="Y51" i="4"/>
  <c r="D57" i="4"/>
  <c r="M57" i="4"/>
  <c r="AE57" i="4" s="1"/>
  <c r="Y57" i="4"/>
  <c r="F57" i="4"/>
  <c r="M61" i="4"/>
  <c r="AE61" i="4" s="1"/>
  <c r="Y61" i="4"/>
  <c r="Y73" i="4"/>
  <c r="M73" i="4"/>
  <c r="D81" i="4"/>
  <c r="M81" i="4"/>
  <c r="AE81" i="4" s="1"/>
  <c r="Y81" i="4"/>
  <c r="F81" i="4"/>
  <c r="E83" i="4"/>
  <c r="M83" i="4"/>
  <c r="AE83" i="4" s="1"/>
  <c r="Y83" i="4"/>
  <c r="D83" i="4"/>
  <c r="F83" i="4"/>
  <c r="D109" i="4"/>
  <c r="Y109" i="4"/>
  <c r="M109" i="4"/>
  <c r="AE109" i="4" s="1"/>
  <c r="F109" i="4"/>
  <c r="D121" i="4"/>
  <c r="M121" i="4"/>
  <c r="AE121" i="4" s="1"/>
  <c r="Y121" i="4"/>
  <c r="F121" i="4"/>
  <c r="E121" i="4"/>
  <c r="D131" i="4"/>
  <c r="Y131" i="4"/>
  <c r="M131" i="4"/>
  <c r="AE131" i="4" s="1"/>
  <c r="D148" i="4"/>
  <c r="M148" i="4"/>
  <c r="AE148" i="4" s="1"/>
  <c r="Y148" i="4"/>
  <c r="E148" i="4"/>
  <c r="D156" i="4"/>
  <c r="Y156" i="4"/>
  <c r="F156" i="4"/>
  <c r="M156" i="4"/>
  <c r="AE156" i="4" s="1"/>
  <c r="Y168" i="4"/>
  <c r="M168" i="4"/>
  <c r="AE168" i="4" s="1"/>
  <c r="E168" i="4"/>
  <c r="D178" i="4"/>
  <c r="Y178" i="4"/>
  <c r="M178" i="4"/>
  <c r="AE178" i="4" s="1"/>
  <c r="F178" i="4"/>
  <c r="E178" i="4"/>
  <c r="D214" i="4"/>
  <c r="Y214" i="4"/>
  <c r="E214" i="4"/>
  <c r="M214" i="4"/>
  <c r="AE214" i="4" s="1"/>
  <c r="F214" i="4"/>
  <c r="M230" i="4"/>
  <c r="AE230" i="4" s="1"/>
  <c r="Y230" i="4"/>
  <c r="M238" i="4"/>
  <c r="AE238" i="4" s="1"/>
  <c r="Y238" i="4"/>
  <c r="D246" i="4"/>
  <c r="M246" i="4"/>
  <c r="AE246" i="4" s="1"/>
  <c r="E246" i="4"/>
  <c r="F246" i="4"/>
  <c r="Y246" i="4"/>
  <c r="D254" i="4"/>
  <c r="M254" i="4"/>
  <c r="AE254" i="4" s="1"/>
  <c r="Y254" i="4"/>
  <c r="E254" i="4"/>
  <c r="F254" i="4"/>
  <c r="M270" i="4"/>
  <c r="AE270" i="4" s="1"/>
  <c r="Y270" i="4"/>
  <c r="D276" i="4"/>
  <c r="M276" i="4"/>
  <c r="AE276" i="4" s="1"/>
  <c r="E276" i="4"/>
  <c r="F276" i="4"/>
  <c r="Y276" i="4"/>
  <c r="D284" i="4"/>
  <c r="E284" i="4"/>
  <c r="M284" i="4"/>
  <c r="F284" i="4"/>
  <c r="Y284" i="4"/>
  <c r="Y294" i="4"/>
  <c r="M294" i="4"/>
  <c r="M302" i="4"/>
  <c r="Y302" i="4"/>
  <c r="F302" i="4"/>
  <c r="F312" i="4"/>
  <c r="Y312" i="4"/>
  <c r="M312" i="4"/>
  <c r="AE312" i="4" s="1"/>
  <c r="D312" i="4"/>
  <c r="E312" i="4"/>
  <c r="E320" i="4"/>
  <c r="Y320" i="4"/>
  <c r="M320" i="4"/>
  <c r="AE320" i="4" s="1"/>
  <c r="M326" i="4"/>
  <c r="AE326" i="4" s="1"/>
  <c r="Y326" i="4"/>
  <c r="E326" i="4"/>
  <c r="D333" i="4"/>
  <c r="M333" i="4"/>
  <c r="AE333" i="4" s="1"/>
  <c r="Y333" i="4"/>
  <c r="D341" i="4"/>
  <c r="Y341" i="4"/>
  <c r="M341" i="4"/>
  <c r="AE341" i="4" s="1"/>
  <c r="E341" i="4"/>
  <c r="F341" i="4"/>
  <c r="D349" i="4"/>
  <c r="M349" i="4"/>
  <c r="AE349" i="4" s="1"/>
  <c r="Y349" i="4"/>
  <c r="E349" i="4"/>
  <c r="F349" i="4"/>
  <c r="D365" i="4"/>
  <c r="M365" i="4"/>
  <c r="AE365" i="4" s="1"/>
  <c r="Y365" i="4"/>
  <c r="E367" i="4"/>
  <c r="M367" i="4"/>
  <c r="AE367" i="4" s="1"/>
  <c r="Y367" i="4"/>
  <c r="E371" i="4"/>
  <c r="M371" i="4"/>
  <c r="AE371" i="4" s="1"/>
  <c r="Y371" i="4"/>
  <c r="D371" i="4"/>
  <c r="F371" i="4"/>
  <c r="D393" i="4"/>
  <c r="M393" i="4"/>
  <c r="AE393" i="4" s="1"/>
  <c r="Y393" i="4"/>
  <c r="D113" i="4"/>
  <c r="M113" i="4"/>
  <c r="AE113" i="4" s="1"/>
  <c r="F113" i="4"/>
  <c r="Y113" i="4"/>
  <c r="Z36" i="4"/>
  <c r="AA36" i="4"/>
  <c r="W36" i="4"/>
  <c r="AE82" i="4"/>
  <c r="AN82" i="4" s="1"/>
  <c r="AA169" i="4"/>
  <c r="Z169" i="4"/>
  <c r="P279" i="4"/>
  <c r="AE279" i="4"/>
  <c r="W372" i="4"/>
  <c r="D89" i="4"/>
  <c r="M89" i="4"/>
  <c r="AE89" i="4" s="1"/>
  <c r="F89" i="4"/>
  <c r="Y89" i="4"/>
  <c r="W307" i="4"/>
  <c r="W315" i="4"/>
  <c r="D33" i="4"/>
  <c r="M33" i="4"/>
  <c r="Y33" i="4"/>
  <c r="E33" i="4"/>
  <c r="D39" i="4"/>
  <c r="M39" i="4"/>
  <c r="AE39" i="4" s="1"/>
  <c r="Y39" i="4"/>
  <c r="F39" i="4"/>
  <c r="E39" i="4"/>
  <c r="D45" i="4"/>
  <c r="M45" i="4"/>
  <c r="Y45" i="4"/>
  <c r="F45" i="4"/>
  <c r="Y67" i="4"/>
  <c r="F67" i="4"/>
  <c r="D67" i="4"/>
  <c r="M67" i="4"/>
  <c r="AE67" i="4" s="1"/>
  <c r="E67" i="4"/>
  <c r="D75" i="4"/>
  <c r="Y75" i="4"/>
  <c r="M75" i="4"/>
  <c r="AE75" i="4" s="1"/>
  <c r="F75" i="4"/>
  <c r="E75" i="4"/>
  <c r="D97" i="4"/>
  <c r="Y97" i="4"/>
  <c r="E97" i="4"/>
  <c r="M97" i="4"/>
  <c r="AE97" i="4" s="1"/>
  <c r="M140" i="4"/>
  <c r="AE140" i="4" s="1"/>
  <c r="Y140" i="4"/>
  <c r="Y144" i="4"/>
  <c r="M144" i="4"/>
  <c r="AE144" i="4" s="1"/>
  <c r="Y146" i="4"/>
  <c r="M146" i="4"/>
  <c r="M154" i="4"/>
  <c r="Y154" i="4"/>
  <c r="E154" i="4"/>
  <c r="F154" i="4"/>
  <c r="D154" i="4"/>
  <c r="M162" i="4"/>
  <c r="AE162" i="4" s="1"/>
  <c r="Y162" i="4"/>
  <c r="E162" i="4"/>
  <c r="F162" i="4"/>
  <c r="D162" i="4"/>
  <c r="M244" i="4"/>
  <c r="D244" i="4"/>
  <c r="E244" i="4"/>
  <c r="Y244" i="4"/>
  <c r="F244" i="4"/>
  <c r="D296" i="4"/>
  <c r="M296" i="4"/>
  <c r="AE296" i="4" s="1"/>
  <c r="Y296" i="4"/>
  <c r="E296" i="4"/>
  <c r="M308" i="4"/>
  <c r="AE308" i="4" s="1"/>
  <c r="Y308" i="4"/>
  <c r="F308" i="4"/>
  <c r="D308" i="4"/>
  <c r="E308" i="4"/>
  <c r="Y316" i="4"/>
  <c r="F316" i="4"/>
  <c r="D316" i="4"/>
  <c r="M316" i="4"/>
  <c r="AE316" i="4" s="1"/>
  <c r="E316" i="4"/>
  <c r="D328" i="4"/>
  <c r="M328" i="4"/>
  <c r="Y328" i="4"/>
  <c r="E328" i="4"/>
  <c r="F328" i="4"/>
  <c r="D361" i="4"/>
  <c r="M361" i="4"/>
  <c r="AE361" i="4" s="1"/>
  <c r="Y361" i="4"/>
  <c r="M373" i="4"/>
  <c r="AE373" i="4" s="1"/>
  <c r="Y373" i="4"/>
  <c r="F373" i="4"/>
  <c r="D373" i="4"/>
  <c r="E373" i="4"/>
  <c r="Y381" i="4"/>
  <c r="E381" i="4"/>
  <c r="F381" i="4"/>
  <c r="M381" i="4"/>
  <c r="D381" i="4"/>
  <c r="D397" i="4"/>
  <c r="M397" i="4"/>
  <c r="AE397" i="4" s="1"/>
  <c r="Y397" i="4"/>
  <c r="Y206" i="4"/>
  <c r="F206" i="4"/>
  <c r="M206" i="4"/>
  <c r="AE206" i="4" s="1"/>
  <c r="D306" i="4"/>
  <c r="Y306" i="4"/>
  <c r="E306" i="4"/>
  <c r="M306" i="4"/>
  <c r="AE306" i="4" s="1"/>
  <c r="F306" i="4"/>
  <c r="AE141" i="4"/>
  <c r="Z404" i="4"/>
  <c r="AA404" i="4"/>
  <c r="D86" i="4"/>
  <c r="M86" i="4"/>
  <c r="AE86" i="4" s="1"/>
  <c r="F86" i="4"/>
  <c r="Y86" i="4"/>
  <c r="E86" i="4"/>
  <c r="D181" i="4"/>
  <c r="M181" i="4"/>
  <c r="AE181" i="4" s="1"/>
  <c r="Y181" i="4"/>
  <c r="F181" i="4"/>
  <c r="F289" i="4"/>
  <c r="Y289" i="4"/>
  <c r="M289" i="4"/>
  <c r="AE402" i="4"/>
  <c r="F44" i="4"/>
  <c r="M44" i="4"/>
  <c r="AE44" i="4" s="1"/>
  <c r="Y44" i="4"/>
  <c r="Y66" i="4"/>
  <c r="M66" i="4"/>
  <c r="D114" i="4"/>
  <c r="Y114" i="4"/>
  <c r="E114" i="4"/>
  <c r="F114" i="4"/>
  <c r="M114" i="4"/>
  <c r="AE114" i="4" s="1"/>
  <c r="M128" i="4"/>
  <c r="AE128" i="4" s="1"/>
  <c r="Y128" i="4"/>
  <c r="M139" i="4"/>
  <c r="AE139" i="4" s="1"/>
  <c r="F139" i="4"/>
  <c r="Y139" i="4"/>
  <c r="M167" i="4"/>
  <c r="AE167" i="4" s="1"/>
  <c r="D167" i="4"/>
  <c r="Y167" i="4"/>
  <c r="M177" i="4"/>
  <c r="AE177" i="4" s="1"/>
  <c r="F177" i="4"/>
  <c r="Y177" i="4"/>
  <c r="Y207" i="4"/>
  <c r="M207" i="4"/>
  <c r="AE207" i="4" s="1"/>
  <c r="F207" i="4"/>
  <c r="W293" i="4"/>
  <c r="E167" i="4"/>
  <c r="D177" i="4"/>
  <c r="D203" i="4"/>
  <c r="P277" i="4"/>
  <c r="M112" i="4"/>
  <c r="AE112" i="4" s="1"/>
  <c r="Y112" i="4"/>
  <c r="M235" i="4"/>
  <c r="AE235" i="4" s="1"/>
  <c r="Y235" i="4"/>
  <c r="M392" i="4"/>
  <c r="AE392" i="4" s="1"/>
  <c r="Y392" i="4"/>
  <c r="E392" i="4"/>
  <c r="F392" i="4"/>
  <c r="D392" i="4"/>
  <c r="D90" i="4"/>
  <c r="M90" i="4"/>
  <c r="AE90" i="4" s="1"/>
  <c r="Y90" i="4"/>
  <c r="E90" i="4"/>
  <c r="F90" i="4"/>
  <c r="Z32" i="4"/>
  <c r="AA32" i="4"/>
  <c r="W100" i="4"/>
  <c r="W120" i="4"/>
  <c r="W78" i="4"/>
  <c r="M304" i="4"/>
  <c r="AE304" i="4" s="1"/>
  <c r="D304" i="4"/>
  <c r="Y304" i="4"/>
  <c r="E304" i="4"/>
  <c r="F304" i="4"/>
  <c r="F355" i="4"/>
  <c r="M355" i="4"/>
  <c r="Y355" i="4"/>
  <c r="AE384" i="4"/>
  <c r="P366" i="4"/>
  <c r="E15" i="4"/>
  <c r="M15" i="4"/>
  <c r="AE15" i="4" s="1"/>
  <c r="Y15" i="4"/>
  <c r="D15" i="4"/>
  <c r="F15" i="4"/>
  <c r="M47" i="4"/>
  <c r="AE47" i="4" s="1"/>
  <c r="Y47" i="4"/>
  <c r="D105" i="4"/>
  <c r="Y105" i="4"/>
  <c r="E105" i="4"/>
  <c r="M105" i="4"/>
  <c r="AE105" i="4" s="1"/>
  <c r="E111" i="4"/>
  <c r="Y111" i="4"/>
  <c r="M111" i="4"/>
  <c r="AE111" i="4" s="1"/>
  <c r="D127" i="4"/>
  <c r="M127" i="4"/>
  <c r="AE127" i="4" s="1"/>
  <c r="Y127" i="4"/>
  <c r="E127" i="4"/>
  <c r="F127" i="4"/>
  <c r="D134" i="4"/>
  <c r="M134" i="4"/>
  <c r="AE134" i="4" s="1"/>
  <c r="F134" i="4"/>
  <c r="Y134" i="4"/>
  <c r="D142" i="4"/>
  <c r="M142" i="4"/>
  <c r="E142" i="4"/>
  <c r="F142" i="4"/>
  <c r="Y142" i="4"/>
  <c r="D222" i="4"/>
  <c r="M222" i="4"/>
  <c r="AE222" i="4" s="1"/>
  <c r="F222" i="4"/>
  <c r="Y222" i="4"/>
  <c r="E222" i="4"/>
  <c r="Y262" i="4"/>
  <c r="M262" i="4"/>
  <c r="AE262" i="4" s="1"/>
  <c r="M298" i="4"/>
  <c r="Y298" i="4"/>
  <c r="D330" i="4"/>
  <c r="Y330" i="4"/>
  <c r="M330" i="4"/>
  <c r="AE330" i="4" s="1"/>
  <c r="D353" i="4"/>
  <c r="Y353" i="4"/>
  <c r="M353" i="4"/>
  <c r="AE353" i="4" s="1"/>
  <c r="E375" i="4"/>
  <c r="M375" i="4"/>
  <c r="AE375" i="4" s="1"/>
  <c r="Y375" i="4"/>
  <c r="E387" i="4"/>
  <c r="M387" i="4"/>
  <c r="AE387" i="4" s="1"/>
  <c r="Y387" i="4"/>
  <c r="F395" i="4"/>
  <c r="M395" i="4"/>
  <c r="Y395" i="4"/>
  <c r="D403" i="4"/>
  <c r="M403" i="4"/>
  <c r="Y403" i="4"/>
  <c r="D416" i="4"/>
  <c r="M416" i="4"/>
  <c r="AE416" i="4" s="1"/>
  <c r="Y416" i="4"/>
  <c r="D426" i="4"/>
  <c r="M426" i="4"/>
  <c r="Y426" i="4"/>
  <c r="Z159" i="4"/>
  <c r="AA159" i="4"/>
  <c r="W82" i="4"/>
  <c r="W94" i="4"/>
  <c r="W149" i="4"/>
  <c r="W227" i="4"/>
  <c r="AA299" i="4"/>
  <c r="Z299" i="4"/>
  <c r="P299" i="4"/>
  <c r="W331" i="4"/>
  <c r="Z409" i="4"/>
  <c r="AA409" i="4"/>
  <c r="D232" i="4"/>
  <c r="M232" i="4"/>
  <c r="Y232" i="4"/>
  <c r="D35" i="4"/>
  <c r="Y35" i="4"/>
  <c r="M35" i="4"/>
  <c r="AE35" i="4" s="1"/>
  <c r="E35" i="4"/>
  <c r="F35" i="4"/>
  <c r="D49" i="4"/>
  <c r="M49" i="4"/>
  <c r="Y49" i="4"/>
  <c r="F49" i="4"/>
  <c r="D53" i="4"/>
  <c r="M53" i="4"/>
  <c r="AE53" i="4" s="1"/>
  <c r="Y53" i="4"/>
  <c r="F53" i="4"/>
  <c r="Y63" i="4"/>
  <c r="M63" i="4"/>
  <c r="AE63" i="4" s="1"/>
  <c r="E63" i="4"/>
  <c r="F63" i="4"/>
  <c r="D63" i="4"/>
  <c r="D71" i="4"/>
  <c r="M71" i="4"/>
  <c r="AE71" i="4" s="1"/>
  <c r="E71" i="4"/>
  <c r="Y71" i="4"/>
  <c r="F71" i="4"/>
  <c r="D85" i="4"/>
  <c r="Y85" i="4"/>
  <c r="F85" i="4"/>
  <c r="M85" i="4"/>
  <c r="AE85" i="4" s="1"/>
  <c r="D93" i="4"/>
  <c r="Y93" i="4"/>
  <c r="M93" i="4"/>
  <c r="AE93" i="4" s="1"/>
  <c r="E93" i="4"/>
  <c r="D101" i="4"/>
  <c r="Y101" i="4"/>
  <c r="M101" i="4"/>
  <c r="AE101" i="4" s="1"/>
  <c r="E101" i="4"/>
  <c r="D103" i="4"/>
  <c r="Y103" i="4"/>
  <c r="M103" i="4"/>
  <c r="AE103" i="4" s="1"/>
  <c r="E103" i="4"/>
  <c r="F103" i="4"/>
  <c r="E119" i="4"/>
  <c r="Y119" i="4"/>
  <c r="M119" i="4"/>
  <c r="AE119" i="4" s="1"/>
  <c r="D119" i="4"/>
  <c r="F119" i="4"/>
  <c r="D158" i="4"/>
  <c r="Y158" i="4"/>
  <c r="E158" i="4"/>
  <c r="M158" i="4"/>
  <c r="F158" i="4"/>
  <c r="M202" i="4"/>
  <c r="AE202" i="4" s="1"/>
  <c r="F202" i="4"/>
  <c r="Y202" i="4"/>
  <c r="D236" i="4"/>
  <c r="Y236" i="4"/>
  <c r="M236" i="4"/>
  <c r="D264" i="4"/>
  <c r="M264" i="4"/>
  <c r="AE264" i="4" s="1"/>
  <c r="Y264" i="4"/>
  <c r="D268" i="4"/>
  <c r="M268" i="4"/>
  <c r="AE268" i="4" s="1"/>
  <c r="Y268" i="4"/>
  <c r="E268" i="4"/>
  <c r="M339" i="4"/>
  <c r="E339" i="4"/>
  <c r="F339" i="4"/>
  <c r="Y339" i="4"/>
  <c r="D339" i="4"/>
  <c r="M343" i="4"/>
  <c r="Y343" i="4"/>
  <c r="E343" i="4"/>
  <c r="F343" i="4"/>
  <c r="D343" i="4"/>
  <c r="E347" i="4"/>
  <c r="Y347" i="4"/>
  <c r="F347" i="4"/>
  <c r="M347" i="4"/>
  <c r="D347" i="4"/>
  <c r="D351" i="4"/>
  <c r="M351" i="4"/>
  <c r="Y351" i="4"/>
  <c r="F351" i="4"/>
  <c r="D377" i="4"/>
  <c r="M377" i="4"/>
  <c r="Y377" i="4"/>
  <c r="F390" i="4"/>
  <c r="M390" i="4"/>
  <c r="AE390" i="4" s="1"/>
  <c r="Y390" i="4"/>
  <c r="F412" i="4"/>
  <c r="Y412" i="4"/>
  <c r="M412" i="4"/>
  <c r="AE412" i="4" s="1"/>
  <c r="F418" i="4"/>
  <c r="M418" i="4"/>
  <c r="AE418" i="4" s="1"/>
  <c r="Y418" i="4"/>
  <c r="D432" i="4"/>
  <c r="Y432" i="4"/>
  <c r="M432" i="4"/>
  <c r="AE432" i="4" s="1"/>
  <c r="D310" i="4"/>
  <c r="M310" i="4"/>
  <c r="AE310" i="4" s="1"/>
  <c r="E310" i="4"/>
  <c r="F310" i="4"/>
  <c r="Y310" i="4"/>
  <c r="AE398" i="4"/>
  <c r="D430" i="4"/>
  <c r="Y430" i="4"/>
  <c r="M430" i="4"/>
  <c r="P265" i="4"/>
  <c r="D422" i="4"/>
  <c r="M422" i="4"/>
  <c r="Y422" i="4"/>
  <c r="D54" i="4"/>
  <c r="M54" i="4"/>
  <c r="Y54" i="4"/>
  <c r="F54" i="4"/>
  <c r="E54" i="4"/>
  <c r="Y233" i="4"/>
  <c r="M233" i="4"/>
  <c r="AE233" i="4" s="1"/>
  <c r="F317" i="4"/>
  <c r="M317" i="4"/>
  <c r="AE317" i="4" s="1"/>
  <c r="Y317" i="4"/>
  <c r="M374" i="4"/>
  <c r="AE374" i="4" s="1"/>
  <c r="Y374" i="4"/>
  <c r="E374" i="4"/>
  <c r="F374" i="4"/>
  <c r="D374" i="4"/>
  <c r="D139" i="4"/>
  <c r="F88" i="4"/>
  <c r="M88" i="4"/>
  <c r="AE88" i="4" s="1"/>
  <c r="Y88" i="4"/>
  <c r="Y193" i="4"/>
  <c r="M193" i="4"/>
  <c r="AE193" i="4" s="1"/>
  <c r="Y249" i="4"/>
  <c r="M249" i="4"/>
  <c r="AE249" i="4" s="1"/>
  <c r="M332" i="4"/>
  <c r="AE332" i="4" s="1"/>
  <c r="Y332" i="4"/>
  <c r="F332" i="4"/>
  <c r="D380" i="4"/>
  <c r="M380" i="4"/>
  <c r="F380" i="4"/>
  <c r="Y380" i="4"/>
  <c r="E380" i="4"/>
  <c r="D112" i="4"/>
  <c r="E317" i="4"/>
  <c r="D332" i="4"/>
  <c r="E177" i="4"/>
  <c r="E203" i="4"/>
  <c r="E235" i="4"/>
  <c r="Z348" i="4"/>
  <c r="AA16" i="4"/>
  <c r="P348" i="4"/>
  <c r="AE348" i="4"/>
  <c r="AN348" i="4" s="1"/>
  <c r="F40" i="4"/>
  <c r="M40" i="4"/>
  <c r="AE40" i="4" s="1"/>
  <c r="Y40" i="4"/>
  <c r="M70" i="4"/>
  <c r="AE70" i="4" s="1"/>
  <c r="Y70" i="4"/>
  <c r="M96" i="4"/>
  <c r="AE96" i="4" s="1"/>
  <c r="Y96" i="4"/>
  <c r="M122" i="4"/>
  <c r="AE122" i="4" s="1"/>
  <c r="Y122" i="4"/>
  <c r="E122" i="4"/>
  <c r="F122" i="4"/>
  <c r="D122" i="4"/>
  <c r="D161" i="4"/>
  <c r="Y161" i="4"/>
  <c r="F161" i="4"/>
  <c r="M161" i="4"/>
  <c r="AE161" i="4" s="1"/>
  <c r="E161" i="4"/>
  <c r="Y195" i="4"/>
  <c r="M195" i="4"/>
  <c r="AE195" i="4" s="1"/>
  <c r="F195" i="4"/>
  <c r="F213" i="4"/>
  <c r="M213" i="4"/>
  <c r="Y213" i="4"/>
  <c r="F237" i="4"/>
  <c r="M237" i="4"/>
  <c r="AE237" i="4" s="1"/>
  <c r="Y237" i="4"/>
  <c r="F253" i="4"/>
  <c r="M253" i="4"/>
  <c r="AE253" i="4" s="1"/>
  <c r="Y253" i="4"/>
  <c r="Y309" i="4"/>
  <c r="M309" i="4"/>
  <c r="AE309" i="4" s="1"/>
  <c r="M336" i="4"/>
  <c r="AE336" i="4" s="1"/>
  <c r="Y336" i="4"/>
  <c r="F336" i="4"/>
  <c r="D423" i="4"/>
  <c r="Y423" i="4"/>
  <c r="F423" i="4"/>
  <c r="M423" i="4"/>
  <c r="AE423" i="4" s="1"/>
  <c r="E423" i="4"/>
  <c r="W340" i="4"/>
  <c r="AA358" i="4"/>
  <c r="M60" i="4"/>
  <c r="AE60" i="4" s="1"/>
  <c r="F60" i="4"/>
  <c r="Y60" i="4"/>
  <c r="M92" i="4"/>
  <c r="AE92" i="4" s="1"/>
  <c r="Y92" i="4"/>
  <c r="F92" i="4"/>
  <c r="F124" i="4"/>
  <c r="M124" i="4"/>
  <c r="AE124" i="4" s="1"/>
  <c r="Y124" i="4"/>
  <c r="M132" i="4"/>
  <c r="AE132" i="4" s="1"/>
  <c r="Y132" i="4"/>
  <c r="E163" i="4"/>
  <c r="M163" i="4"/>
  <c r="AE163" i="4" s="1"/>
  <c r="Y163" i="4"/>
  <c r="D173" i="4"/>
  <c r="M173" i="4"/>
  <c r="AE173" i="4" s="1"/>
  <c r="Y173" i="4"/>
  <c r="M187" i="4"/>
  <c r="AE187" i="4" s="1"/>
  <c r="Y187" i="4"/>
  <c r="W358" i="4"/>
  <c r="Z273" i="4"/>
  <c r="AA273" i="4"/>
  <c r="AA22" i="4"/>
  <c r="Z22" i="4"/>
  <c r="AA145" i="4"/>
  <c r="Z145" i="4"/>
  <c r="AE145" i="4"/>
  <c r="AN145" i="4" s="1"/>
  <c r="AA147" i="4"/>
  <c r="Z147" i="4"/>
  <c r="AA263" i="4"/>
  <c r="Z263" i="4"/>
  <c r="W72" i="4"/>
  <c r="Z215" i="4"/>
  <c r="AA215" i="4"/>
  <c r="Z261" i="4"/>
  <c r="P311" i="4"/>
  <c r="D13" i="4"/>
  <c r="M13" i="4"/>
  <c r="AE13" i="4" s="1"/>
  <c r="Y13" i="4"/>
  <c r="F13" i="4"/>
  <c r="D17" i="4"/>
  <c r="M17" i="4"/>
  <c r="AE17" i="4" s="1"/>
  <c r="F17" i="4"/>
  <c r="Y17" i="4"/>
  <c r="E27" i="4"/>
  <c r="Y27" i="4"/>
  <c r="F27" i="4"/>
  <c r="M27" i="4"/>
  <c r="AE27" i="4" s="1"/>
  <c r="D27" i="4"/>
  <c r="D37" i="4"/>
  <c r="M37" i="4"/>
  <c r="Y37" i="4"/>
  <c r="E37" i="4"/>
  <c r="D41" i="4"/>
  <c r="M41" i="4"/>
  <c r="AE41" i="4" s="1"/>
  <c r="Y41" i="4"/>
  <c r="E41" i="4"/>
  <c r="D43" i="4"/>
  <c r="M43" i="4"/>
  <c r="AE43" i="4" s="1"/>
  <c r="Y43" i="4"/>
  <c r="E43" i="4"/>
  <c r="F43" i="4"/>
  <c r="M65" i="4"/>
  <c r="AE65" i="4" s="1"/>
  <c r="Y65" i="4"/>
  <c r="D77" i="4"/>
  <c r="Y77" i="4"/>
  <c r="M77" i="4"/>
  <c r="AE77" i="4" s="1"/>
  <c r="F77" i="4"/>
  <c r="E87" i="4"/>
  <c r="Y87" i="4"/>
  <c r="M87" i="4"/>
  <c r="AE87" i="4" s="1"/>
  <c r="F87" i="4"/>
  <c r="D87" i="4"/>
  <c r="Y95" i="4"/>
  <c r="F95" i="4"/>
  <c r="M95" i="4"/>
  <c r="AE95" i="4" s="1"/>
  <c r="D95" i="4"/>
  <c r="E95" i="4"/>
  <c r="D117" i="4"/>
  <c r="M117" i="4"/>
  <c r="AE117" i="4" s="1"/>
  <c r="F117" i="4"/>
  <c r="Y117" i="4"/>
  <c r="D164" i="4"/>
  <c r="Y164" i="4"/>
  <c r="M164" i="4"/>
  <c r="AE164" i="4" s="1"/>
  <c r="M174" i="4"/>
  <c r="AE174" i="4" s="1"/>
  <c r="Y174" i="4"/>
  <c r="Y182" i="4"/>
  <c r="M182" i="4"/>
  <c r="AE182" i="4" s="1"/>
  <c r="Y190" i="4"/>
  <c r="M190" i="4"/>
  <c r="AE190" i="4" s="1"/>
  <c r="F190" i="4"/>
  <c r="M204" i="4"/>
  <c r="AE204" i="4" s="1"/>
  <c r="Y204" i="4"/>
  <c r="Y210" i="4"/>
  <c r="M210" i="4"/>
  <c r="AE210" i="4" s="1"/>
  <c r="D218" i="4"/>
  <c r="Y218" i="4"/>
  <c r="E218" i="4"/>
  <c r="F218" i="4"/>
  <c r="M218" i="4"/>
  <c r="AE218" i="4" s="1"/>
  <c r="Y234" i="4"/>
  <c r="M234" i="4"/>
  <c r="AE234" i="4" s="1"/>
  <c r="Y242" i="4"/>
  <c r="F242" i="4"/>
  <c r="M242" i="4"/>
  <c r="AE242" i="4" s="1"/>
  <c r="D250" i="4"/>
  <c r="Y250" i="4"/>
  <c r="E250" i="4"/>
  <c r="F250" i="4"/>
  <c r="M250" i="4"/>
  <c r="AE250" i="4" s="1"/>
  <c r="D258" i="4"/>
  <c r="Y258" i="4"/>
  <c r="M258" i="4"/>
  <c r="AE258" i="4" s="1"/>
  <c r="E258" i="4"/>
  <c r="F258" i="4"/>
  <c r="Y274" i="4"/>
  <c r="M274" i="4"/>
  <c r="AE274" i="4" s="1"/>
  <c r="D280" i="4"/>
  <c r="E280" i="4"/>
  <c r="Y280" i="4"/>
  <c r="F280" i="4"/>
  <c r="M280" i="4"/>
  <c r="D288" i="4"/>
  <c r="E288" i="4"/>
  <c r="Y288" i="4"/>
  <c r="F288" i="4"/>
  <c r="M288" i="4"/>
  <c r="M322" i="4"/>
  <c r="AE322" i="4" s="1"/>
  <c r="Y322" i="4"/>
  <c r="E322" i="4"/>
  <c r="D337" i="4"/>
  <c r="M337" i="4"/>
  <c r="AE337" i="4" s="1"/>
  <c r="Y337" i="4"/>
  <c r="E337" i="4"/>
  <c r="F337" i="4"/>
  <c r="D345" i="4"/>
  <c r="M345" i="4"/>
  <c r="AE345" i="4" s="1"/>
  <c r="Y345" i="4"/>
  <c r="E345" i="4"/>
  <c r="F345" i="4"/>
  <c r="E379" i="4"/>
  <c r="M379" i="4"/>
  <c r="AE379" i="4" s="1"/>
  <c r="Y379" i="4"/>
  <c r="F379" i="4"/>
  <c r="D379" i="4"/>
  <c r="E383" i="4"/>
  <c r="M383" i="4"/>
  <c r="AE383" i="4" s="1"/>
  <c r="Y383" i="4"/>
  <c r="W56" i="4"/>
  <c r="P325" i="4"/>
  <c r="D428" i="4"/>
  <c r="Y428" i="4"/>
  <c r="M428" i="4"/>
  <c r="AE428" i="4" s="1"/>
  <c r="P34" i="4"/>
  <c r="Z211" i="4"/>
  <c r="P269" i="4"/>
  <c r="AA271" i="4"/>
  <c r="Z271" i="4"/>
  <c r="W342" i="4"/>
  <c r="P350" i="4"/>
  <c r="W354" i="4"/>
  <c r="P372" i="4"/>
  <c r="AE372" i="4"/>
  <c r="D21" i="4"/>
  <c r="Y21" i="4"/>
  <c r="M21" i="4"/>
  <c r="AE21" i="4" s="1"/>
  <c r="F21" i="4"/>
  <c r="D25" i="4"/>
  <c r="M25" i="4"/>
  <c r="AE25" i="4" s="1"/>
  <c r="F25" i="4"/>
  <c r="Y25" i="4"/>
  <c r="D29" i="4"/>
  <c r="Y29" i="4"/>
  <c r="M29" i="4"/>
  <c r="E29" i="4"/>
  <c r="M59" i="4"/>
  <c r="AE59" i="4" s="1"/>
  <c r="Y59" i="4"/>
  <c r="Y125" i="4"/>
  <c r="M125" i="4"/>
  <c r="Y129" i="4"/>
  <c r="M129" i="4"/>
  <c r="E150" i="4"/>
  <c r="M150" i="4"/>
  <c r="F150" i="4"/>
  <c r="Y150" i="4"/>
  <c r="D150" i="4"/>
  <c r="M166" i="4"/>
  <c r="AE166" i="4" s="1"/>
  <c r="Y166" i="4"/>
  <c r="E166" i="4"/>
  <c r="F166" i="4"/>
  <c r="D166" i="4"/>
  <c r="D172" i="4"/>
  <c r="Y172" i="4"/>
  <c r="M172" i="4"/>
  <c r="AE172" i="4" s="1"/>
  <c r="M176" i="4"/>
  <c r="AE176" i="4" s="1"/>
  <c r="Y176" i="4"/>
  <c r="D184" i="4"/>
  <c r="M184" i="4"/>
  <c r="AE184" i="4" s="1"/>
  <c r="Y184" i="4"/>
  <c r="E184" i="4"/>
  <c r="F184" i="4"/>
  <c r="Y188" i="4"/>
  <c r="M188" i="4"/>
  <c r="AE188" i="4" s="1"/>
  <c r="D196" i="4"/>
  <c r="M196" i="4"/>
  <c r="AE196" i="4" s="1"/>
  <c r="Y196" i="4"/>
  <c r="E196" i="4"/>
  <c r="F196" i="4"/>
  <c r="M212" i="4"/>
  <c r="Y212" i="4"/>
  <c r="F212" i="4"/>
  <c r="D212" i="4"/>
  <c r="E212" i="4"/>
  <c r="D220" i="4"/>
  <c r="Y220" i="4"/>
  <c r="E220" i="4"/>
  <c r="F220" i="4"/>
  <c r="M220" i="4"/>
  <c r="D324" i="4"/>
  <c r="Y324" i="4"/>
  <c r="M324" i="4"/>
  <c r="E359" i="4"/>
  <c r="Y359" i="4"/>
  <c r="M359" i="4"/>
  <c r="E363" i="4"/>
  <c r="M363" i="4"/>
  <c r="AE363" i="4" s="1"/>
  <c r="Y363" i="4"/>
  <c r="D369" i="4"/>
  <c r="Y369" i="4"/>
  <c r="M369" i="4"/>
  <c r="AE369" i="4" s="1"/>
  <c r="D385" i="4"/>
  <c r="M385" i="4"/>
  <c r="Y385" i="4"/>
  <c r="D401" i="4"/>
  <c r="M401" i="4"/>
  <c r="AE401" i="4" s="1"/>
  <c r="Y401" i="4"/>
  <c r="D408" i="4"/>
  <c r="M408" i="4"/>
  <c r="AE408" i="4" s="1"/>
  <c r="Y408" i="4"/>
  <c r="D410" i="4"/>
  <c r="Y410" i="4"/>
  <c r="M410" i="4"/>
  <c r="AE410" i="4" s="1"/>
  <c r="D424" i="4"/>
  <c r="M424" i="4"/>
  <c r="AE424" i="4" s="1"/>
  <c r="Y424" i="4"/>
  <c r="D314" i="4"/>
  <c r="M314" i="4"/>
  <c r="AE314" i="4" s="1"/>
  <c r="Y314" i="4"/>
  <c r="E314" i="4"/>
  <c r="F314" i="4"/>
  <c r="P295" i="4"/>
  <c r="W362" i="4"/>
  <c r="D200" i="4"/>
  <c r="M200" i="4"/>
  <c r="AE200" i="4" s="1"/>
  <c r="Y200" i="4"/>
  <c r="E200" i="4"/>
  <c r="F200" i="4"/>
  <c r="AA362" i="4"/>
  <c r="Z362" i="4"/>
  <c r="E30" i="4"/>
  <c r="Y30" i="4"/>
  <c r="D30" i="4"/>
  <c r="M30" i="4"/>
  <c r="AE30" i="4" s="1"/>
  <c r="F30" i="4"/>
  <c r="F151" i="4"/>
  <c r="M151" i="4"/>
  <c r="AE151" i="4" s="1"/>
  <c r="Y151" i="4"/>
  <c r="D431" i="4"/>
  <c r="M431" i="4"/>
  <c r="AE431" i="4" s="1"/>
  <c r="Y431" i="4"/>
  <c r="F431" i="4"/>
  <c r="E431" i="4"/>
  <c r="W334" i="4"/>
  <c r="D66" i="4"/>
  <c r="E38" i="4"/>
  <c r="M38" i="4"/>
  <c r="AE38" i="4" s="1"/>
  <c r="Y38" i="4"/>
  <c r="F38" i="4"/>
  <c r="D38" i="4"/>
  <c r="M68" i="4"/>
  <c r="AE68" i="4" s="1"/>
  <c r="Y68" i="4"/>
  <c r="D153" i="4"/>
  <c r="Y153" i="4"/>
  <c r="F153" i="4"/>
  <c r="E153" i="4"/>
  <c r="M153" i="4"/>
  <c r="AE153" i="4" s="1"/>
  <c r="M205" i="4"/>
  <c r="AE205" i="4" s="1"/>
  <c r="Y205" i="4"/>
  <c r="D421" i="4"/>
  <c r="Y421" i="4"/>
  <c r="M421" i="4"/>
  <c r="AE421" i="4" s="1"/>
  <c r="D50" i="4"/>
  <c r="M50" i="4"/>
  <c r="AE50" i="4" s="1"/>
  <c r="E50" i="4"/>
  <c r="F50" i="4"/>
  <c r="Y50" i="4"/>
  <c r="Y116" i="4"/>
  <c r="M116" i="4"/>
  <c r="AE116" i="4" s="1"/>
  <c r="E130" i="4"/>
  <c r="Y130" i="4"/>
  <c r="M130" i="4"/>
  <c r="AE130" i="4" s="1"/>
  <c r="Y155" i="4"/>
  <c r="F155" i="4"/>
  <c r="M155" i="4"/>
  <c r="AE155" i="4" s="1"/>
  <c r="E171" i="4"/>
  <c r="M171" i="4"/>
  <c r="AE171" i="4" s="1"/>
  <c r="Y171" i="4"/>
  <c r="Y183" i="4"/>
  <c r="M183" i="4"/>
  <c r="AE183" i="4" s="1"/>
  <c r="E219" i="4"/>
  <c r="M219" i="4"/>
  <c r="AE219" i="4" s="1"/>
  <c r="D219" i="4"/>
  <c r="F219" i="4"/>
  <c r="Y219" i="4"/>
  <c r="E44" i="4"/>
  <c r="E108" i="4"/>
  <c r="D155" i="4"/>
  <c r="E205" i="4"/>
  <c r="F233" i="4"/>
  <c r="E233" i="4"/>
  <c r="D183" i="4"/>
  <c r="AA221" i="4"/>
  <c r="E88" i="4"/>
  <c r="F128" i="4"/>
  <c r="E151" i="4"/>
  <c r="D44" i="4"/>
  <c r="F68" i="4"/>
  <c r="D108" i="4"/>
  <c r="E128" i="4"/>
  <c r="F171" i="4"/>
  <c r="E193" i="4"/>
  <c r="D68" i="4"/>
  <c r="D317" i="4"/>
  <c r="E289" i="4"/>
  <c r="D233" i="4"/>
  <c r="D130" i="4"/>
  <c r="D207" i="4"/>
  <c r="F130" i="4"/>
  <c r="F193" i="4"/>
  <c r="F205" i="4"/>
  <c r="E243" i="4"/>
  <c r="E421" i="4"/>
  <c r="E183" i="4"/>
  <c r="D235" i="4"/>
  <c r="Z344" i="4"/>
  <c r="AA24" i="4"/>
  <c r="Z24" i="4"/>
  <c r="P291" i="4"/>
  <c r="AA295" i="4"/>
  <c r="Z295" i="4"/>
  <c r="M48" i="4"/>
  <c r="AE48" i="4" s="1"/>
  <c r="Y48" i="4"/>
  <c r="M76" i="4"/>
  <c r="AE76" i="4" s="1"/>
  <c r="Y76" i="4"/>
  <c r="F76" i="4"/>
  <c r="E106" i="4"/>
  <c r="M106" i="4"/>
  <c r="AE106" i="4" s="1"/>
  <c r="F106" i="4"/>
  <c r="Y106" i="4"/>
  <c r="D106" i="4"/>
  <c r="F135" i="4"/>
  <c r="Y135" i="4"/>
  <c r="M135" i="4"/>
  <c r="AE135" i="4" s="1"/>
  <c r="E179" i="4"/>
  <c r="M179" i="4"/>
  <c r="AE179" i="4" s="1"/>
  <c r="Y179" i="4"/>
  <c r="Y199" i="4"/>
  <c r="M199" i="4"/>
  <c r="AE199" i="4" s="1"/>
  <c r="E223" i="4"/>
  <c r="Y223" i="4"/>
  <c r="F223" i="4"/>
  <c r="M223" i="4"/>
  <c r="AE223" i="4" s="1"/>
  <c r="D223" i="4"/>
  <c r="Y239" i="4"/>
  <c r="M239" i="4"/>
  <c r="AE239" i="4" s="1"/>
  <c r="F257" i="4"/>
  <c r="Y257" i="4"/>
  <c r="M257" i="4"/>
  <c r="AE257" i="4" s="1"/>
  <c r="F313" i="4"/>
  <c r="Y313" i="4"/>
  <c r="M313" i="4"/>
  <c r="AE313" i="4" s="1"/>
  <c r="D356" i="4"/>
  <c r="Y356" i="4"/>
  <c r="M356" i="4"/>
  <c r="D405" i="4"/>
  <c r="M405" i="4"/>
  <c r="Y405" i="4"/>
  <c r="D429" i="4"/>
  <c r="M429" i="4"/>
  <c r="Y429" i="4"/>
  <c r="E42" i="4"/>
  <c r="M42" i="4"/>
  <c r="Y42" i="4"/>
  <c r="D42" i="4"/>
  <c r="F42" i="4"/>
  <c r="Y64" i="4"/>
  <c r="M64" i="4"/>
  <c r="AE64" i="4" s="1"/>
  <c r="E98" i="4"/>
  <c r="M98" i="4"/>
  <c r="AE98" i="4" s="1"/>
  <c r="D98" i="4"/>
  <c r="F98" i="4"/>
  <c r="Y98" i="4"/>
  <c r="E126" i="4"/>
  <c r="M126" i="4"/>
  <c r="AE126" i="4" s="1"/>
  <c r="Y126" i="4"/>
  <c r="D126" i="4"/>
  <c r="F126" i="4"/>
  <c r="E137" i="4"/>
  <c r="D137" i="4"/>
  <c r="M137" i="4"/>
  <c r="F137" i="4"/>
  <c r="Y137" i="4"/>
  <c r="D165" i="4"/>
  <c r="Y165" i="4"/>
  <c r="M165" i="4"/>
  <c r="AE165" i="4" s="1"/>
  <c r="F165" i="4"/>
  <c r="Y175" i="4"/>
  <c r="M175" i="4"/>
  <c r="AE175" i="4" s="1"/>
  <c r="Y189" i="4"/>
  <c r="M189" i="4"/>
  <c r="AE189" i="4" s="1"/>
  <c r="P225" i="4"/>
  <c r="W360" i="4"/>
  <c r="P22" i="4"/>
  <c r="Z80" i="4"/>
  <c r="AA80" i="4"/>
  <c r="AA201" i="4"/>
  <c r="P241" i="4"/>
  <c r="W259" i="4"/>
  <c r="P100" i="4"/>
  <c r="W110" i="4"/>
  <c r="P120" i="4"/>
  <c r="Z247" i="4"/>
  <c r="P251" i="4"/>
  <c r="P255" i="4"/>
  <c r="AE78" i="4"/>
  <c r="AN78" i="4" s="1"/>
  <c r="AA133" i="4"/>
  <c r="Z133" i="4"/>
  <c r="D240" i="4"/>
  <c r="M240" i="4"/>
  <c r="Y240" i="4"/>
  <c r="E240" i="4"/>
  <c r="F240" i="4"/>
  <c r="D406" i="4"/>
  <c r="Y406" i="4"/>
  <c r="M406" i="4"/>
  <c r="AE406" i="4" s="1"/>
  <c r="AA323" i="4"/>
  <c r="Z323" i="4"/>
  <c r="M23" i="4"/>
  <c r="AE23" i="4" s="1"/>
  <c r="Y23" i="4"/>
  <c r="D23" i="4"/>
  <c r="E23" i="4"/>
  <c r="F23" i="4"/>
  <c r="Y31" i="4"/>
  <c r="D31" i="4"/>
  <c r="M31" i="4"/>
  <c r="AE31" i="4" s="1"/>
  <c r="E31" i="4"/>
  <c r="F31" i="4"/>
  <c r="M69" i="4"/>
  <c r="Y69" i="4"/>
  <c r="E91" i="4"/>
  <c r="M91" i="4"/>
  <c r="AE91" i="4" s="1"/>
  <c r="Y91" i="4"/>
  <c r="D91" i="4"/>
  <c r="F91" i="4"/>
  <c r="Y99" i="4"/>
  <c r="M99" i="4"/>
  <c r="AE99" i="4" s="1"/>
  <c r="D99" i="4"/>
  <c r="E99" i="4"/>
  <c r="F99" i="4"/>
  <c r="E123" i="4"/>
  <c r="M123" i="4"/>
  <c r="AE123" i="4" s="1"/>
  <c r="D123" i="4"/>
  <c r="Y123" i="4"/>
  <c r="F123" i="4"/>
  <c r="D138" i="4"/>
  <c r="E138" i="4"/>
  <c r="Y138" i="4"/>
  <c r="F138" i="4"/>
  <c r="M138" i="4"/>
  <c r="D152" i="4"/>
  <c r="M152" i="4"/>
  <c r="AE152" i="4" s="1"/>
  <c r="Y152" i="4"/>
  <c r="D160" i="4"/>
  <c r="Y160" i="4"/>
  <c r="F160" i="4"/>
  <c r="M160" i="4"/>
  <c r="AE160" i="4" s="1"/>
  <c r="D170" i="4"/>
  <c r="Y170" i="4"/>
  <c r="F170" i="4"/>
  <c r="M170" i="4"/>
  <c r="AE170" i="4" s="1"/>
  <c r="Y186" i="4"/>
  <c r="M186" i="4"/>
  <c r="AE186" i="4" s="1"/>
  <c r="F186" i="4"/>
  <c r="M208" i="4"/>
  <c r="AE208" i="4" s="1"/>
  <c r="Y208" i="4"/>
  <c r="F208" i="4"/>
  <c r="D226" i="4"/>
  <c r="Y226" i="4"/>
  <c r="M226" i="4"/>
  <c r="AE226" i="4" s="1"/>
  <c r="E226" i="4"/>
  <c r="F226" i="4"/>
  <c r="M266" i="4"/>
  <c r="AE266" i="4" s="1"/>
  <c r="Y266" i="4"/>
  <c r="D292" i="4"/>
  <c r="Y292" i="4"/>
  <c r="E292" i="4"/>
  <c r="F292" i="4"/>
  <c r="M292" i="4"/>
  <c r="AE292" i="4" s="1"/>
  <c r="D399" i="4"/>
  <c r="Y399" i="4"/>
  <c r="M399" i="4"/>
  <c r="D414" i="4"/>
  <c r="M414" i="4"/>
  <c r="AE414" i="4" s="1"/>
  <c r="Y414" i="4"/>
  <c r="F414" i="4"/>
  <c r="D272" i="4"/>
  <c r="M272" i="4"/>
  <c r="AE272" i="4" s="1"/>
  <c r="Y272" i="4"/>
  <c r="E272" i="4"/>
  <c r="F272" i="4"/>
  <c r="D357" i="4"/>
  <c r="Y357" i="4"/>
  <c r="M357" i="4"/>
  <c r="AE357" i="4" s="1"/>
  <c r="F357" i="4"/>
  <c r="AA364" i="4"/>
  <c r="W52" i="4"/>
  <c r="Z52" i="4"/>
  <c r="AA52" i="4"/>
  <c r="W102" i="4"/>
  <c r="AA157" i="4"/>
  <c r="Z157" i="4"/>
  <c r="W231" i="4"/>
  <c r="W269" i="4"/>
  <c r="Z269" i="4"/>
  <c r="AA269" i="4"/>
  <c r="P271" i="4"/>
  <c r="W283" i="4"/>
  <c r="W287" i="4"/>
  <c r="W297" i="4"/>
  <c r="W350" i="4"/>
  <c r="AE376" i="4"/>
  <c r="AE389" i="4"/>
  <c r="AE409" i="4"/>
  <c r="AN409" i="4" s="1"/>
  <c r="Y55" i="4"/>
  <c r="M55" i="4"/>
  <c r="AE55" i="4" s="1"/>
  <c r="D107" i="4"/>
  <c r="M107" i="4"/>
  <c r="AE107" i="4" s="1"/>
  <c r="F107" i="4"/>
  <c r="Y107" i="4"/>
  <c r="E107" i="4"/>
  <c r="E115" i="4"/>
  <c r="M115" i="4"/>
  <c r="AE115" i="4" s="1"/>
  <c r="D115" i="4"/>
  <c r="Y115" i="4"/>
  <c r="F115" i="4"/>
  <c r="Y136" i="4"/>
  <c r="E136" i="4"/>
  <c r="M136" i="4"/>
  <c r="AE136" i="4" s="1"/>
  <c r="D180" i="4"/>
  <c r="M180" i="4"/>
  <c r="AE180" i="4" s="1"/>
  <c r="Y180" i="4"/>
  <c r="F192" i="4"/>
  <c r="M192" i="4"/>
  <c r="AE192" i="4" s="1"/>
  <c r="Y192" i="4"/>
  <c r="Y198" i="4"/>
  <c r="M198" i="4"/>
  <c r="AE198" i="4" s="1"/>
  <c r="M224" i="4"/>
  <c r="Y224" i="4"/>
  <c r="E224" i="4"/>
  <c r="F224" i="4"/>
  <c r="D224" i="4"/>
  <c r="M228" i="4"/>
  <c r="Y228" i="4"/>
  <c r="F228" i="4"/>
  <c r="M248" i="4"/>
  <c r="Y248" i="4"/>
  <c r="F248" i="4"/>
  <c r="D248" i="4"/>
  <c r="E248" i="4"/>
  <c r="Y252" i="4"/>
  <c r="F252" i="4"/>
  <c r="M252" i="4"/>
  <c r="D252" i="4"/>
  <c r="E252" i="4"/>
  <c r="M256" i="4"/>
  <c r="Y256" i="4"/>
  <c r="F256" i="4"/>
  <c r="D256" i="4"/>
  <c r="E256" i="4"/>
  <c r="M260" i="4"/>
  <c r="Y260" i="4"/>
  <c r="F260" i="4"/>
  <c r="D275" i="4"/>
  <c r="M275" i="4"/>
  <c r="AE275" i="4" s="1"/>
  <c r="E275" i="4"/>
  <c r="F275" i="4"/>
  <c r="Y275" i="4"/>
  <c r="Y278" i="4"/>
  <c r="D278" i="4"/>
  <c r="M278" i="4"/>
  <c r="AE278" i="4" s="1"/>
  <c r="E278" i="4"/>
  <c r="F278" i="4"/>
  <c r="M282" i="4"/>
  <c r="AE282" i="4" s="1"/>
  <c r="D282" i="4"/>
  <c r="Y282" i="4"/>
  <c r="E282" i="4"/>
  <c r="F282" i="4"/>
  <c r="Y286" i="4"/>
  <c r="D286" i="4"/>
  <c r="M286" i="4"/>
  <c r="AE286" i="4" s="1"/>
  <c r="E286" i="4"/>
  <c r="F286" i="4"/>
  <c r="M335" i="4"/>
  <c r="Y335" i="4"/>
  <c r="F335" i="4"/>
  <c r="D335" i="4"/>
  <c r="E335" i="4"/>
  <c r="M194" i="4"/>
  <c r="AE194" i="4" s="1"/>
  <c r="Y194" i="4"/>
  <c r="M290" i="4"/>
  <c r="E290" i="4"/>
  <c r="Y290" i="4"/>
  <c r="D318" i="4"/>
  <c r="M318" i="4"/>
  <c r="AE318" i="4" s="1"/>
  <c r="Y318" i="4"/>
  <c r="E318" i="4"/>
  <c r="F318" i="4"/>
  <c r="AE413" i="4"/>
  <c r="Z293" i="4"/>
  <c r="AA293" i="4"/>
  <c r="AA277" i="4"/>
  <c r="Z277" i="4"/>
  <c r="E79" i="4"/>
  <c r="Y79" i="4"/>
  <c r="D79" i="4"/>
  <c r="F79" i="4"/>
  <c r="M79" i="4"/>
  <c r="AE79" i="4" s="1"/>
  <c r="P118" i="4"/>
  <c r="W265" i="4"/>
  <c r="W319" i="4"/>
  <c r="U18" i="98"/>
  <c r="U20" i="98"/>
  <c r="U30" i="98"/>
  <c r="U31" i="98"/>
  <c r="U297" i="98"/>
  <c r="U352" i="98"/>
  <c r="U353" i="98"/>
  <c r="U354" i="98"/>
  <c r="U360" i="98"/>
  <c r="U398" i="98"/>
  <c r="U399" i="98"/>
  <c r="U400" i="98"/>
  <c r="U401" i="98"/>
  <c r="U402" i="98"/>
  <c r="U403" i="98"/>
  <c r="U415" i="98"/>
  <c r="U417" i="98"/>
  <c r="U424" i="98"/>
  <c r="U425" i="98"/>
  <c r="U426" i="98"/>
  <c r="U427" i="98"/>
  <c r="U428" i="98"/>
  <c r="U429" i="98"/>
  <c r="U430" i="98"/>
  <c r="U431" i="98"/>
  <c r="U432" i="98"/>
  <c r="R4" i="98"/>
  <c r="Z456" i="9" l="1"/>
  <c r="M456" i="9" s="1"/>
  <c r="Y468" i="9"/>
  <c r="AC468" i="9" s="1"/>
  <c r="Y441" i="9"/>
  <c r="AC441" i="9" s="1"/>
  <c r="Y460" i="8"/>
  <c r="AD460" i="8" s="1"/>
  <c r="Z482" i="8"/>
  <c r="M482" i="8" s="1"/>
  <c r="Y469" i="9"/>
  <c r="AC469" i="9" s="1"/>
  <c r="Z462" i="9"/>
  <c r="M462" i="9" s="1"/>
  <c r="Z486" i="9"/>
  <c r="M486" i="9" s="1"/>
  <c r="Y467" i="9"/>
  <c r="AC467" i="9" s="1"/>
  <c r="Y479" i="8"/>
  <c r="AD479" i="8" s="1"/>
  <c r="Y486" i="8"/>
  <c r="AC486" i="8" s="1"/>
  <c r="Y436" i="8"/>
  <c r="AC436" i="8" s="1"/>
  <c r="Y437" i="9"/>
  <c r="AC437" i="9" s="1"/>
  <c r="Y474" i="8"/>
  <c r="AD474" i="8" s="1"/>
  <c r="Y455" i="9"/>
  <c r="AC455" i="9" s="1"/>
  <c r="Z463" i="9"/>
  <c r="M463" i="9" s="1"/>
  <c r="Z448" i="9"/>
  <c r="M448" i="9" s="1"/>
  <c r="Y450" i="9"/>
  <c r="AC450" i="9" s="1"/>
  <c r="Z475" i="9"/>
  <c r="M475" i="9" s="1"/>
  <c r="Y443" i="8"/>
  <c r="AC443" i="8" s="1"/>
  <c r="Y466" i="9"/>
  <c r="AC466" i="9" s="1"/>
  <c r="Z448" i="8"/>
  <c r="M448" i="8" s="1"/>
  <c r="Z471" i="9"/>
  <c r="M471" i="9" s="1"/>
  <c r="Y436" i="9"/>
  <c r="AC436" i="9" s="1"/>
  <c r="Y460" i="9"/>
  <c r="AC460" i="9" s="1"/>
  <c r="P58" i="4"/>
  <c r="P287" i="4"/>
  <c r="P263" i="4"/>
  <c r="Z396" i="4"/>
  <c r="AA100" i="4"/>
  <c r="Z455" i="8"/>
  <c r="M455" i="8" s="1"/>
  <c r="Y447" i="9"/>
  <c r="AC447" i="9" s="1"/>
  <c r="Y487" i="9"/>
  <c r="AC487" i="9" s="1"/>
  <c r="Y482" i="9"/>
  <c r="AC482" i="9" s="1"/>
  <c r="Y474" i="9"/>
  <c r="AC474" i="9" s="1"/>
  <c r="Z440" i="8"/>
  <c r="M440" i="8" s="1"/>
  <c r="Y452" i="9"/>
  <c r="AC452" i="9" s="1"/>
  <c r="Y452" i="8"/>
  <c r="AC452" i="8" s="1"/>
  <c r="Z446" i="9"/>
  <c r="M446" i="9" s="1"/>
  <c r="Z444" i="9"/>
  <c r="M444" i="9" s="1"/>
  <c r="P352" i="4"/>
  <c r="AA281" i="4"/>
  <c r="P301" i="4"/>
  <c r="P24" i="4"/>
  <c r="Y437" i="8"/>
  <c r="AD437" i="8" s="1"/>
  <c r="Z468" i="8"/>
  <c r="M468" i="8" s="1"/>
  <c r="Z451" i="9"/>
  <c r="M451" i="9" s="1"/>
  <c r="Y467" i="8"/>
  <c r="AC467" i="8" s="1"/>
  <c r="Z475" i="8"/>
  <c r="M475" i="8" s="1"/>
  <c r="Y441" i="8"/>
  <c r="AC441" i="8" s="1"/>
  <c r="Z484" i="8"/>
  <c r="M484" i="8" s="1"/>
  <c r="AA267" i="4"/>
  <c r="P245" i="4"/>
  <c r="Z442" i="8"/>
  <c r="M442" i="8" s="1"/>
  <c r="Y481" i="8"/>
  <c r="AD481" i="8" s="1"/>
  <c r="Z434" i="8"/>
  <c r="M434" i="8" s="1"/>
  <c r="V493" i="4"/>
  <c r="G493" i="4"/>
  <c r="P344" i="4"/>
  <c r="Z469" i="8"/>
  <c r="M469" i="8" s="1"/>
  <c r="Z444" i="8"/>
  <c r="M444" i="8" s="1"/>
  <c r="Z443" i="9"/>
  <c r="M443" i="9" s="1"/>
  <c r="AA265" i="4"/>
  <c r="P46" i="4"/>
  <c r="AE216" i="4"/>
  <c r="AA370" i="4"/>
  <c r="AA185" i="4"/>
  <c r="Z370" i="4"/>
  <c r="AE297" i="4"/>
  <c r="P358" i="4"/>
  <c r="P259" i="4"/>
  <c r="P62" i="4"/>
  <c r="AE58" i="4"/>
  <c r="Z463" i="8"/>
  <c r="M463" i="8" s="1"/>
  <c r="AA255" i="4"/>
  <c r="P283" i="4"/>
  <c r="P409" i="4"/>
  <c r="AQ479" i="4"/>
  <c r="AZ479" i="4" s="1"/>
  <c r="H103" i="4"/>
  <c r="P103" i="4" s="1"/>
  <c r="P402" i="4"/>
  <c r="H160" i="4"/>
  <c r="P160" i="4" s="1"/>
  <c r="H85" i="4"/>
  <c r="P85" i="4" s="1"/>
  <c r="P169" i="4"/>
  <c r="AQ169" i="4" s="1"/>
  <c r="P78" i="4"/>
  <c r="P145" i="4"/>
  <c r="AQ145" i="4" s="1"/>
  <c r="H207" i="4"/>
  <c r="P207" i="4" s="1"/>
  <c r="H75" i="4"/>
  <c r="P75" i="4" s="1"/>
  <c r="AN104" i="4"/>
  <c r="Y447" i="8"/>
  <c r="AC447" i="8" s="1"/>
  <c r="Y470" i="8"/>
  <c r="AC470" i="8" s="1"/>
  <c r="AN134" i="4"/>
  <c r="X323" i="4"/>
  <c r="AN322" i="4"/>
  <c r="AN113" i="4"/>
  <c r="AN156" i="4"/>
  <c r="AN147" i="4"/>
  <c r="AN221" i="4"/>
  <c r="AN114" i="4"/>
  <c r="AN44" i="4"/>
  <c r="AN140" i="4"/>
  <c r="AN218" i="4"/>
  <c r="AN204" i="4"/>
  <c r="AE360" i="4"/>
  <c r="AN360" i="4" s="1"/>
  <c r="AQ360" i="4" s="1"/>
  <c r="AN90" i="4"/>
  <c r="AN128" i="4"/>
  <c r="AN117" i="4"/>
  <c r="AN95" i="4"/>
  <c r="AN60" i="4"/>
  <c r="AN192" i="4"/>
  <c r="AN163" i="4"/>
  <c r="AN122" i="4"/>
  <c r="AN332" i="4"/>
  <c r="AN317" i="4"/>
  <c r="AN264" i="4"/>
  <c r="AN286" i="4"/>
  <c r="AN136" i="4"/>
  <c r="AN292" i="4"/>
  <c r="AN31" i="4"/>
  <c r="AN23" i="4"/>
  <c r="AN126" i="4"/>
  <c r="AN205" i="4"/>
  <c r="AN314" i="4"/>
  <c r="AN383" i="4"/>
  <c r="AN176" i="4"/>
  <c r="AN166" i="4"/>
  <c r="AN175" i="4"/>
  <c r="AN257" i="4"/>
  <c r="AN183" i="4"/>
  <c r="AN50" i="4"/>
  <c r="AN369" i="4"/>
  <c r="AN172" i="4"/>
  <c r="AN234" i="4"/>
  <c r="AN87" i="4"/>
  <c r="AN309" i="4"/>
  <c r="AN195" i="4"/>
  <c r="AN249" i="4"/>
  <c r="AN330" i="4"/>
  <c r="AN144" i="4"/>
  <c r="AN312" i="4"/>
  <c r="AN276" i="4"/>
  <c r="AN246" i="4"/>
  <c r="AN55" i="4"/>
  <c r="AN170" i="4"/>
  <c r="AN160" i="4"/>
  <c r="AN25" i="4"/>
  <c r="AN139" i="4"/>
  <c r="AN28" i="4"/>
  <c r="AN273" i="4"/>
  <c r="AN268" i="4"/>
  <c r="AN127" i="4"/>
  <c r="AN181" i="4"/>
  <c r="AN270" i="4"/>
  <c r="AN254" i="4"/>
  <c r="AN238" i="4"/>
  <c r="AN34" i="4"/>
  <c r="AQ34" i="4" s="1"/>
  <c r="AN315" i="4"/>
  <c r="AN233" i="4"/>
  <c r="AN262" i="4"/>
  <c r="AN178" i="4"/>
  <c r="AN168" i="4"/>
  <c r="AN108" i="4"/>
  <c r="AN266" i="4"/>
  <c r="AN199" i="4"/>
  <c r="AN219" i="4"/>
  <c r="AN363" i="4"/>
  <c r="AN184" i="4"/>
  <c r="AN250" i="4"/>
  <c r="AN164" i="4"/>
  <c r="AN65" i="4"/>
  <c r="AN173" i="4"/>
  <c r="AN124" i="4"/>
  <c r="AN92" i="4"/>
  <c r="AN282" i="4"/>
  <c r="AN320" i="4"/>
  <c r="AN148" i="4"/>
  <c r="AN121" i="4"/>
  <c r="AN51" i="4"/>
  <c r="AN217" i="4"/>
  <c r="AN281" i="4"/>
  <c r="AN267" i="4"/>
  <c r="AN194" i="4"/>
  <c r="AN64" i="4"/>
  <c r="AN48" i="4"/>
  <c r="AN171" i="4"/>
  <c r="AN153" i="4"/>
  <c r="AN151" i="4"/>
  <c r="AN274" i="4"/>
  <c r="AN258" i="4"/>
  <c r="AN353" i="4"/>
  <c r="AN287" i="4"/>
  <c r="Z225" i="4"/>
  <c r="AN225" i="4"/>
  <c r="AQ225" i="4" s="1"/>
  <c r="AN149" i="4"/>
  <c r="AN362" i="4"/>
  <c r="AN141" i="4"/>
  <c r="AQ141" i="4" s="1"/>
  <c r="AN46" i="4"/>
  <c r="AQ46" i="4" s="1"/>
  <c r="AN100" i="4"/>
  <c r="AQ100" i="4" s="1"/>
  <c r="BD100" i="4" s="1"/>
  <c r="AN368" i="4"/>
  <c r="AN413" i="4"/>
  <c r="AN428" i="4"/>
  <c r="AN412" i="4"/>
  <c r="AN397" i="4"/>
  <c r="AN337" i="4"/>
  <c r="AN18" i="4"/>
  <c r="AN185" i="4"/>
  <c r="AN417" i="4"/>
  <c r="AN340" i="4"/>
  <c r="AN421" i="4"/>
  <c r="AN378" i="4"/>
  <c r="AN394" i="4"/>
  <c r="AN364" i="4"/>
  <c r="AN109" i="4"/>
  <c r="AN402" i="4"/>
  <c r="AN410" i="4"/>
  <c r="AN427" i="4"/>
  <c r="AN278" i="4"/>
  <c r="AN186" i="4"/>
  <c r="AN106" i="4"/>
  <c r="AN155" i="4"/>
  <c r="AN242" i="4"/>
  <c r="AN17" i="4"/>
  <c r="AN193" i="4"/>
  <c r="AN310" i="4"/>
  <c r="AN119" i="4"/>
  <c r="AN71" i="4"/>
  <c r="AN63" i="4"/>
  <c r="AN35" i="4"/>
  <c r="AN111" i="4"/>
  <c r="AN105" i="4"/>
  <c r="AN207" i="4"/>
  <c r="AN167" i="4"/>
  <c r="AN86" i="4"/>
  <c r="AN306" i="4"/>
  <c r="AN162" i="4"/>
  <c r="AN75" i="4"/>
  <c r="AN341" i="4"/>
  <c r="AN243" i="4"/>
  <c r="AN203" i="4"/>
  <c r="Z425" i="4"/>
  <c r="AA297" i="4"/>
  <c r="AN297" i="4"/>
  <c r="AQ297" i="4" s="1"/>
  <c r="AA72" i="4"/>
  <c r="AN72" i="4"/>
  <c r="AN197" i="4"/>
  <c r="Z20" i="4"/>
  <c r="AN20" i="4"/>
  <c r="AN62" i="4"/>
  <c r="Z201" i="4"/>
  <c r="AN201" i="4"/>
  <c r="Z358" i="4"/>
  <c r="AN358" i="4"/>
  <c r="AA261" i="4"/>
  <c r="AN261" i="4"/>
  <c r="AN376" i="4"/>
  <c r="AN77" i="4"/>
  <c r="AN382" i="4"/>
  <c r="AN432" i="4"/>
  <c r="AN416" i="4"/>
  <c r="AN401" i="4"/>
  <c r="AN349" i="4"/>
  <c r="W327" i="4"/>
  <c r="AN327" i="4"/>
  <c r="AN371" i="4"/>
  <c r="AN431" i="4"/>
  <c r="AN374" i="4"/>
  <c r="AN414" i="4"/>
  <c r="AN70" i="4"/>
  <c r="AN229" i="4"/>
  <c r="AN390" i="4"/>
  <c r="AN318" i="4"/>
  <c r="AN275" i="4"/>
  <c r="AN357" i="4"/>
  <c r="AN272" i="4"/>
  <c r="AN226" i="4"/>
  <c r="AN152" i="4"/>
  <c r="AN165" i="4"/>
  <c r="AN98" i="4"/>
  <c r="AN239" i="4"/>
  <c r="AN223" i="4"/>
  <c r="AN179" i="4"/>
  <c r="AN135" i="4"/>
  <c r="AN76" i="4"/>
  <c r="AN116" i="4"/>
  <c r="AN68" i="4"/>
  <c r="AN38" i="4"/>
  <c r="AN30" i="4"/>
  <c r="AN196" i="4"/>
  <c r="AN59" i="4"/>
  <c r="AN21" i="4"/>
  <c r="AN345" i="4"/>
  <c r="AN210" i="4"/>
  <c r="AN174" i="4"/>
  <c r="AN96" i="4"/>
  <c r="AN40" i="4"/>
  <c r="AN88" i="4"/>
  <c r="AN202" i="4"/>
  <c r="AN103" i="4"/>
  <c r="AN101" i="4"/>
  <c r="AN93" i="4"/>
  <c r="AN85" i="4"/>
  <c r="AN222" i="4"/>
  <c r="AN304" i="4"/>
  <c r="AN112" i="4"/>
  <c r="AN177" i="4"/>
  <c r="AN296" i="4"/>
  <c r="AN39" i="4"/>
  <c r="AN365" i="4"/>
  <c r="AN230" i="4"/>
  <c r="AN300" i="4"/>
  <c r="AN231" i="4"/>
  <c r="AA346" i="4"/>
  <c r="AN346" i="4"/>
  <c r="AA118" i="4"/>
  <c r="AN118" i="4"/>
  <c r="AQ118" i="4" s="1"/>
  <c r="AA251" i="4"/>
  <c r="AN251" i="4"/>
  <c r="AQ251" i="4" s="1"/>
  <c r="AN120" i="4"/>
  <c r="AQ120" i="4" s="1"/>
  <c r="AN386" i="4"/>
  <c r="AN91" i="4"/>
  <c r="AN407" i="4"/>
  <c r="AN420" i="4"/>
  <c r="AN404" i="4"/>
  <c r="AN398" i="4"/>
  <c r="AN375" i="4"/>
  <c r="AN411" i="4"/>
  <c r="AN388" i="4"/>
  <c r="AN418" i="4"/>
  <c r="AN187" i="4"/>
  <c r="AN132" i="4"/>
  <c r="AN237" i="4"/>
  <c r="AN161" i="4"/>
  <c r="AN47" i="4"/>
  <c r="AN15" i="4"/>
  <c r="AN361" i="4"/>
  <c r="AN316" i="4"/>
  <c r="AN308" i="4"/>
  <c r="AN333" i="4"/>
  <c r="AN326" i="4"/>
  <c r="AN83" i="4"/>
  <c r="AN352" i="4"/>
  <c r="AN84" i="4"/>
  <c r="AN211" i="4"/>
  <c r="AA311" i="4"/>
  <c r="AN311" i="4"/>
  <c r="AQ311" i="4" s="1"/>
  <c r="AA56" i="4"/>
  <c r="AN56" i="4"/>
  <c r="AN321" i="4"/>
  <c r="AN301" i="4"/>
  <c r="AN354" i="4"/>
  <c r="AA372" i="4"/>
  <c r="AN372" i="4"/>
  <c r="AQ372" i="4" s="1"/>
  <c r="AN227" i="4"/>
  <c r="AN400" i="4"/>
  <c r="AN396" i="4"/>
  <c r="AN424" i="4"/>
  <c r="AN408" i="4"/>
  <c r="AN393" i="4"/>
  <c r="AN379" i="4"/>
  <c r="AN26" i="4"/>
  <c r="W389" i="4"/>
  <c r="AN389" i="4"/>
  <c r="AQ389" i="4" s="1"/>
  <c r="AN419" i="4"/>
  <c r="AN392" i="4"/>
  <c r="AN367" i="4"/>
  <c r="AN16" i="4"/>
  <c r="AN423" i="4"/>
  <c r="AN305" i="4"/>
  <c r="AN313" i="4"/>
  <c r="AN259" i="4"/>
  <c r="AN235" i="4"/>
  <c r="AN253" i="4"/>
  <c r="AN41" i="4"/>
  <c r="AN200" i="4"/>
  <c r="AN43" i="4"/>
  <c r="AN67" i="4"/>
  <c r="AN182" i="4"/>
  <c r="X115" i="4"/>
  <c r="AN115" i="4"/>
  <c r="AN97" i="4"/>
  <c r="AN387" i="4"/>
  <c r="AN58" i="4"/>
  <c r="AQ58" i="4" s="1"/>
  <c r="AN384" i="4"/>
  <c r="AN283" i="4"/>
  <c r="AN13" i="4"/>
  <c r="AN216" i="4"/>
  <c r="AQ216" i="4" s="1"/>
  <c r="BD216" i="4" s="1"/>
  <c r="AN81" i="4"/>
  <c r="AN107" i="4"/>
  <c r="AN206" i="4"/>
  <c r="AN131" i="4"/>
  <c r="AN123" i="4"/>
  <c r="AN79" i="4"/>
  <c r="AN406" i="4"/>
  <c r="AN336" i="4"/>
  <c r="AN373" i="4"/>
  <c r="AN415" i="4"/>
  <c r="AN130" i="4"/>
  <c r="AN61" i="4"/>
  <c r="AN279" i="4"/>
  <c r="AQ279" i="4" s="1"/>
  <c r="W344" i="4"/>
  <c r="AN344" i="4"/>
  <c r="AN99" i="4"/>
  <c r="AN27" i="4"/>
  <c r="AN214" i="4"/>
  <c r="AN188" i="4"/>
  <c r="AN338" i="4"/>
  <c r="AN189" i="4"/>
  <c r="AN350" i="4"/>
  <c r="AQ350" i="4" s="1"/>
  <c r="AN19" i="4"/>
  <c r="AN265" i="4"/>
  <c r="AN53" i="4"/>
  <c r="AN334" i="4"/>
  <c r="AN57" i="4"/>
  <c r="AN319" i="4"/>
  <c r="AN190" i="4"/>
  <c r="AN89" i="4"/>
  <c r="AN263" i="4"/>
  <c r="AQ263" i="4" s="1"/>
  <c r="AN208" i="4"/>
  <c r="X206" i="4"/>
  <c r="X180" i="4"/>
  <c r="AN180" i="4"/>
  <c r="AN198" i="4"/>
  <c r="P420" i="4"/>
  <c r="P227" i="4"/>
  <c r="AA425" i="4"/>
  <c r="AA417" i="4"/>
  <c r="Z297" i="4"/>
  <c r="Z291" i="4"/>
  <c r="P267" i="4"/>
  <c r="AQ267" i="4" s="1"/>
  <c r="P398" i="4"/>
  <c r="AA291" i="4"/>
  <c r="AC482" i="8"/>
  <c r="AC460" i="8"/>
  <c r="AC474" i="8"/>
  <c r="AC489" i="8"/>
  <c r="AC483" i="8"/>
  <c r="AC492" i="8"/>
  <c r="AC464" i="8"/>
  <c r="AC449" i="8"/>
  <c r="AC478" i="8"/>
  <c r="AC462" i="8"/>
  <c r="AC440" i="8"/>
  <c r="AC475" i="8"/>
  <c r="AC448" i="8"/>
  <c r="AC453" i="8"/>
  <c r="AC463" i="8"/>
  <c r="AC477" i="8"/>
  <c r="AC445" i="8"/>
  <c r="AC446" i="8"/>
  <c r="AC437" i="8"/>
  <c r="AC461" i="8"/>
  <c r="AC454" i="8"/>
  <c r="AC472" i="8"/>
  <c r="AC479" i="8"/>
  <c r="P396" i="4"/>
  <c r="AA419" i="4"/>
  <c r="P273" i="4"/>
  <c r="AA420" i="4"/>
  <c r="AA20" i="4"/>
  <c r="Z14" i="4"/>
  <c r="Z346" i="4"/>
  <c r="P315" i="4"/>
  <c r="P159" i="4"/>
  <c r="AQ159" i="4" s="1"/>
  <c r="AA247" i="4"/>
  <c r="AA14" i="4"/>
  <c r="P16" i="4"/>
  <c r="P20" i="4"/>
  <c r="P133" i="4"/>
  <c r="AQ133" i="4" s="1"/>
  <c r="P384" i="4"/>
  <c r="Z411" i="4"/>
  <c r="AA415" i="4"/>
  <c r="AA209" i="4"/>
  <c r="Z104" i="4"/>
  <c r="Z72" i="4"/>
  <c r="Z74" i="4"/>
  <c r="AQ74" i="4"/>
  <c r="X77" i="4"/>
  <c r="X327" i="4"/>
  <c r="X429" i="4"/>
  <c r="X371" i="4"/>
  <c r="X342" i="4"/>
  <c r="X402" i="4"/>
  <c r="X19" i="4"/>
  <c r="X356" i="4"/>
  <c r="X265" i="4"/>
  <c r="W241" i="4"/>
  <c r="X241" i="4"/>
  <c r="X53" i="4"/>
  <c r="X334" i="4"/>
  <c r="X57" i="4"/>
  <c r="X319" i="4"/>
  <c r="X190" i="4"/>
  <c r="X224" i="4"/>
  <c r="X89" i="4"/>
  <c r="X263" i="4"/>
  <c r="X208" i="4"/>
  <c r="Z84" i="4"/>
  <c r="Z197" i="4"/>
  <c r="Z110" i="4"/>
  <c r="AQ110" i="4"/>
  <c r="AX110" i="4" s="1"/>
  <c r="Z221" i="4"/>
  <c r="AA354" i="4"/>
  <c r="X386" i="4"/>
  <c r="X404" i="4"/>
  <c r="X399" i="4"/>
  <c r="X387" i="4"/>
  <c r="X284" i="4"/>
  <c r="X384" i="4"/>
  <c r="X305" i="4"/>
  <c r="X313" i="4"/>
  <c r="X69" i="4"/>
  <c r="X259" i="4"/>
  <c r="X235" i="4"/>
  <c r="X253" i="4"/>
  <c r="X41" i="4"/>
  <c r="X200" i="4"/>
  <c r="X43" i="4"/>
  <c r="X67" i="4"/>
  <c r="X182" i="4"/>
  <c r="Z217" i="4"/>
  <c r="AA62" i="4"/>
  <c r="Z46" i="4"/>
  <c r="AA360" i="4"/>
  <c r="Z255" i="4"/>
  <c r="AQ255" i="4"/>
  <c r="X400" i="4"/>
  <c r="X389" i="4"/>
  <c r="X403" i="4"/>
  <c r="X130" i="4"/>
  <c r="W271" i="4"/>
  <c r="X271" i="4"/>
  <c r="AQ271" i="4"/>
  <c r="X283" i="4"/>
  <c r="X299" i="4"/>
  <c r="AQ299" i="4"/>
  <c r="BD299" i="4" s="1"/>
  <c r="X13" i="4"/>
  <c r="X216" i="4"/>
  <c r="X81" i="4"/>
  <c r="X107" i="4"/>
  <c r="Z251" i="4"/>
  <c r="W368" i="4"/>
  <c r="X368" i="4"/>
  <c r="X337" i="4"/>
  <c r="X185" i="4"/>
  <c r="X340" i="4"/>
  <c r="X392" i="4"/>
  <c r="X338" i="4"/>
  <c r="X350" i="4"/>
  <c r="X45" i="4"/>
  <c r="X61" i="4"/>
  <c r="X29" i="4"/>
  <c r="X279" i="4"/>
  <c r="X344" i="4"/>
  <c r="X49" i="4"/>
  <c r="X99" i="4"/>
  <c r="X27" i="4"/>
  <c r="P336" i="4"/>
  <c r="V7" i="4"/>
  <c r="G7" i="4"/>
  <c r="P368" i="4"/>
  <c r="P342" i="4"/>
  <c r="P394" i="4"/>
  <c r="P411" i="4"/>
  <c r="P338" i="4"/>
  <c r="P331" i="4"/>
  <c r="AQ331" i="4" s="1"/>
  <c r="BD331" i="4" s="1"/>
  <c r="P334" i="4"/>
  <c r="AE425" i="4"/>
  <c r="P419" i="4"/>
  <c r="P307" i="4"/>
  <c r="AQ307" i="4" s="1"/>
  <c r="AQ447" i="4"/>
  <c r="AZ447" i="4" s="1"/>
  <c r="P28" i="4"/>
  <c r="P211" i="4"/>
  <c r="P281" i="4"/>
  <c r="P305" i="4"/>
  <c r="P319" i="4"/>
  <c r="P376" i="4"/>
  <c r="AQ323" i="4"/>
  <c r="AX323" i="4" s="1"/>
  <c r="P413" i="4"/>
  <c r="P378" i="4"/>
  <c r="P147" i="4"/>
  <c r="P26" i="4"/>
  <c r="Z360" i="4"/>
  <c r="AD476" i="8"/>
  <c r="P382" i="4"/>
  <c r="P18" i="4"/>
  <c r="P32" i="4"/>
  <c r="AQ32" i="4" s="1"/>
  <c r="P417" i="4"/>
  <c r="P340" i="4"/>
  <c r="P400" i="4"/>
  <c r="AQ94" i="4"/>
  <c r="AQ143" i="4"/>
  <c r="BD143" i="4" s="1"/>
  <c r="AQ491" i="4"/>
  <c r="AZ491" i="4" s="1"/>
  <c r="AA197" i="4"/>
  <c r="AQ191" i="4"/>
  <c r="P217" i="4"/>
  <c r="Z209" i="4"/>
  <c r="P229" i="4"/>
  <c r="AQ366" i="4"/>
  <c r="P231" i="4"/>
  <c r="AA46" i="4"/>
  <c r="AA104" i="4"/>
  <c r="AA110" i="4"/>
  <c r="AA350" i="4"/>
  <c r="Z62" i="4"/>
  <c r="AQ489" i="4"/>
  <c r="AQ492" i="4"/>
  <c r="AQ457" i="4"/>
  <c r="AQ461" i="4"/>
  <c r="AZ461" i="4" s="1"/>
  <c r="AQ490" i="4"/>
  <c r="AD490" i="8"/>
  <c r="AD488" i="8"/>
  <c r="AQ438" i="4"/>
  <c r="AZ438" i="4" s="1"/>
  <c r="AD491" i="8"/>
  <c r="AQ488" i="4"/>
  <c r="AZ488" i="4" s="1"/>
  <c r="AD456" i="8"/>
  <c r="AQ484" i="4"/>
  <c r="AQ472" i="4"/>
  <c r="AZ472" i="4" s="1"/>
  <c r="P104" i="4"/>
  <c r="AA84" i="4"/>
  <c r="W247" i="4"/>
  <c r="AQ437" i="4"/>
  <c r="AQ446" i="4"/>
  <c r="AZ446" i="4" s="1"/>
  <c r="AD468" i="8"/>
  <c r="P321" i="4"/>
  <c r="AQ445" i="4"/>
  <c r="AZ445" i="4" s="1"/>
  <c r="P80" i="4"/>
  <c r="P221" i="4"/>
  <c r="W425" i="4"/>
  <c r="W216" i="4"/>
  <c r="W215" i="4"/>
  <c r="AQ291" i="4"/>
  <c r="W255" i="4"/>
  <c r="AQ295" i="4"/>
  <c r="AQ440" i="4"/>
  <c r="AZ440" i="4" s="1"/>
  <c r="AQ348" i="4"/>
  <c r="AQ325" i="4"/>
  <c r="P56" i="4"/>
  <c r="AQ22" i="4"/>
  <c r="AQ444" i="4"/>
  <c r="AZ444" i="4" s="1"/>
  <c r="AQ52" i="4"/>
  <c r="W74" i="4"/>
  <c r="W20" i="4"/>
  <c r="AQ277" i="4"/>
  <c r="AQ269" i="4"/>
  <c r="AX269" i="4" s="1"/>
  <c r="W346" i="4"/>
  <c r="AQ474" i="4"/>
  <c r="AZ474" i="4" s="1"/>
  <c r="W157" i="4"/>
  <c r="W211" i="4"/>
  <c r="AQ245" i="4"/>
  <c r="W338" i="4"/>
  <c r="W62" i="4"/>
  <c r="AQ241" i="4"/>
  <c r="AQ459" i="4"/>
  <c r="AZ459" i="4" s="1"/>
  <c r="AQ455" i="4"/>
  <c r="AZ455" i="4" s="1"/>
  <c r="AQ436" i="4"/>
  <c r="AZ436" i="4" s="1"/>
  <c r="AD469" i="8"/>
  <c r="AQ463" i="4"/>
  <c r="AZ463" i="4" s="1"/>
  <c r="P149" i="4"/>
  <c r="P427" i="4"/>
  <c r="P293" i="4"/>
  <c r="AQ285" i="4"/>
  <c r="AQ471" i="4"/>
  <c r="AQ456" i="4"/>
  <c r="AZ456" i="4" s="1"/>
  <c r="AQ450" i="4"/>
  <c r="AZ450" i="4" s="1"/>
  <c r="AQ466" i="4"/>
  <c r="AD480" i="8"/>
  <c r="P388" i="4"/>
  <c r="AQ481" i="4"/>
  <c r="AQ486" i="4"/>
  <c r="AD435" i="8"/>
  <c r="AQ458" i="4"/>
  <c r="AD450" i="8"/>
  <c r="AQ464" i="4"/>
  <c r="AZ464" i="4" s="1"/>
  <c r="AQ448" i="4"/>
  <c r="AZ448" i="4" s="1"/>
  <c r="AD438" i="8"/>
  <c r="AQ449" i="4"/>
  <c r="AZ449" i="4" s="1"/>
  <c r="AD434" i="8"/>
  <c r="P354" i="4"/>
  <c r="AD455" i="8"/>
  <c r="AD486" i="8"/>
  <c r="P415" i="4"/>
  <c r="AD465" i="8"/>
  <c r="AD439" i="8"/>
  <c r="AQ465" i="4"/>
  <c r="AZ465" i="4" s="1"/>
  <c r="AD441" i="8"/>
  <c r="AD487" i="8"/>
  <c r="AQ442" i="4"/>
  <c r="AZ442" i="4" s="1"/>
  <c r="AD443" i="8"/>
  <c r="AD471" i="8"/>
  <c r="AQ434" i="4"/>
  <c r="AZ434" i="4" s="1"/>
  <c r="P362" i="4"/>
  <c r="P36" i="4"/>
  <c r="P370" i="4"/>
  <c r="P201" i="4"/>
  <c r="P329" i="4"/>
  <c r="P364" i="4"/>
  <c r="AQ477" i="4"/>
  <c r="AZ477" i="4" s="1"/>
  <c r="AQ487" i="4"/>
  <c r="AZ487" i="4" s="1"/>
  <c r="AQ468" i="4"/>
  <c r="AQ485" i="4"/>
  <c r="AQ454" i="4"/>
  <c r="AZ454" i="4" s="1"/>
  <c r="AQ443" i="4"/>
  <c r="AZ443" i="4" s="1"/>
  <c r="AQ482" i="4"/>
  <c r="AZ482" i="4" s="1"/>
  <c r="AQ478" i="4"/>
  <c r="AQ470" i="4"/>
  <c r="AZ470" i="4" s="1"/>
  <c r="AD458" i="8"/>
  <c r="AQ480" i="4"/>
  <c r="AQ483" i="4"/>
  <c r="AZ483" i="4" s="1"/>
  <c r="AQ462" i="4"/>
  <c r="AZ462" i="4" s="1"/>
  <c r="AD444" i="8"/>
  <c r="AQ469" i="4"/>
  <c r="AZ469" i="4" s="1"/>
  <c r="AQ475" i="4"/>
  <c r="AD466" i="8"/>
  <c r="AQ435" i="4"/>
  <c r="AZ435" i="4" s="1"/>
  <c r="AQ460" i="4"/>
  <c r="AZ460" i="4" s="1"/>
  <c r="AD484" i="8"/>
  <c r="AD485" i="8"/>
  <c r="AD459" i="8"/>
  <c r="AQ473" i="4"/>
  <c r="AZ473" i="4" s="1"/>
  <c r="AQ453" i="4"/>
  <c r="AZ453" i="4" s="1"/>
  <c r="AD451" i="8"/>
  <c r="AQ451" i="4"/>
  <c r="AZ451" i="4" s="1"/>
  <c r="AD457" i="8"/>
  <c r="AD442" i="8"/>
  <c r="AQ452" i="4"/>
  <c r="AZ452" i="4" s="1"/>
  <c r="AQ439" i="4"/>
  <c r="AZ439" i="4" s="1"/>
  <c r="AQ441" i="4"/>
  <c r="AZ441" i="4" s="1"/>
  <c r="AQ433" i="4"/>
  <c r="AQ476" i="4"/>
  <c r="AZ476" i="4" s="1"/>
  <c r="AQ467" i="4"/>
  <c r="AZ467" i="4" s="1"/>
  <c r="AD473" i="8"/>
  <c r="P157" i="4"/>
  <c r="P261" i="4"/>
  <c r="P346" i="4"/>
  <c r="P404" i="4"/>
  <c r="AA225" i="4"/>
  <c r="P209" i="4"/>
  <c r="P327" i="4"/>
  <c r="P247" i="4"/>
  <c r="AA217" i="4"/>
  <c r="AA74" i="4"/>
  <c r="P185" i="4"/>
  <c r="W400" i="4"/>
  <c r="P72" i="4"/>
  <c r="P84" i="4"/>
  <c r="P386" i="4"/>
  <c r="W325" i="4"/>
  <c r="W133" i="4"/>
  <c r="P197" i="4"/>
  <c r="W217" i="4"/>
  <c r="Z34" i="4"/>
  <c r="AA34" i="4"/>
  <c r="Z102" i="4"/>
  <c r="AA102" i="4"/>
  <c r="Z229" i="4"/>
  <c r="AA229" i="4"/>
  <c r="W34" i="4"/>
  <c r="W209" i="4"/>
  <c r="P21" i="4"/>
  <c r="AQ14" i="4"/>
  <c r="W329" i="4"/>
  <c r="P239" i="4"/>
  <c r="P410" i="4"/>
  <c r="P174" i="4"/>
  <c r="P164" i="4"/>
  <c r="AA28" i="4"/>
  <c r="Z28" i="4"/>
  <c r="P112" i="4"/>
  <c r="W185" i="4"/>
  <c r="P97" i="4"/>
  <c r="B2" i="101"/>
  <c r="W386" i="4"/>
  <c r="P303" i="4"/>
  <c r="P70" i="4"/>
  <c r="P367" i="4"/>
  <c r="AA352" i="4"/>
  <c r="Z352" i="4"/>
  <c r="P193" i="4"/>
  <c r="P310" i="4"/>
  <c r="P300" i="4"/>
  <c r="P79" i="4"/>
  <c r="P180" i="4"/>
  <c r="P43" i="4"/>
  <c r="P41" i="4"/>
  <c r="P188" i="4"/>
  <c r="P322" i="4"/>
  <c r="P190" i="4"/>
  <c r="P101" i="4"/>
  <c r="P312" i="4"/>
  <c r="W303" i="4"/>
  <c r="AQ102" i="4"/>
  <c r="BD102" i="4" s="1"/>
  <c r="P317" i="4"/>
  <c r="P71" i="4"/>
  <c r="P134" i="4"/>
  <c r="P89" i="4"/>
  <c r="P108" i="4"/>
  <c r="P192" i="4"/>
  <c r="P136" i="4"/>
  <c r="P186" i="4"/>
  <c r="P195" i="4"/>
  <c r="P390" i="4"/>
  <c r="P178" i="4"/>
  <c r="P266" i="4"/>
  <c r="P363" i="4"/>
  <c r="P383" i="4"/>
  <c r="P35" i="4"/>
  <c r="P235" i="4"/>
  <c r="P361" i="4"/>
  <c r="P109" i="4"/>
  <c r="P407" i="4"/>
  <c r="P123" i="4"/>
  <c r="P91" i="4"/>
  <c r="AQ24" i="4"/>
  <c r="P171" i="4"/>
  <c r="P155" i="4"/>
  <c r="P205" i="4"/>
  <c r="P30" i="4"/>
  <c r="P369" i="4"/>
  <c r="P242" i="4"/>
  <c r="P218" i="4"/>
  <c r="P204" i="4"/>
  <c r="P182" i="4"/>
  <c r="P60" i="4"/>
  <c r="P432" i="4"/>
  <c r="P330" i="4"/>
  <c r="P373" i="4"/>
  <c r="P393" i="4"/>
  <c r="P254" i="4"/>
  <c r="P121" i="4"/>
  <c r="P203" i="4"/>
  <c r="P226" i="4"/>
  <c r="P23" i="4"/>
  <c r="P189" i="4"/>
  <c r="P165" i="4"/>
  <c r="P199" i="4"/>
  <c r="P76" i="4"/>
  <c r="P38" i="4"/>
  <c r="P151" i="4"/>
  <c r="P408" i="4"/>
  <c r="P401" i="4"/>
  <c r="P59" i="4"/>
  <c r="P124" i="4"/>
  <c r="P253" i="4"/>
  <c r="P122" i="4"/>
  <c r="P249" i="4"/>
  <c r="P412" i="4"/>
  <c r="P15" i="4"/>
  <c r="P392" i="4"/>
  <c r="P44" i="4"/>
  <c r="P326" i="4"/>
  <c r="P276" i="4"/>
  <c r="P230" i="4"/>
  <c r="P61" i="4"/>
  <c r="W290" i="4"/>
  <c r="W252" i="4"/>
  <c r="Z192" i="4"/>
  <c r="AA192" i="4"/>
  <c r="AA79" i="4"/>
  <c r="Z79" i="4"/>
  <c r="W194" i="4"/>
  <c r="AA278" i="4"/>
  <c r="Z278" i="4"/>
  <c r="W275" i="4"/>
  <c r="Z260" i="4"/>
  <c r="AA260" i="4"/>
  <c r="P256" i="4"/>
  <c r="AE256" i="4"/>
  <c r="AN256" i="4" s="1"/>
  <c r="P252" i="4"/>
  <c r="AE252" i="4"/>
  <c r="AN252" i="4" s="1"/>
  <c r="P248" i="4"/>
  <c r="AE248" i="4"/>
  <c r="AN248" i="4" s="1"/>
  <c r="W228" i="4"/>
  <c r="P224" i="4"/>
  <c r="AE224" i="4"/>
  <c r="AN224" i="4" s="1"/>
  <c r="W198" i="4"/>
  <c r="W136" i="4"/>
  <c r="P107" i="4"/>
  <c r="W55" i="4"/>
  <c r="P357" i="4"/>
  <c r="P272" i="4"/>
  <c r="W272" i="4"/>
  <c r="P208" i="4"/>
  <c r="W152" i="4"/>
  <c r="Z123" i="4"/>
  <c r="AA123" i="4"/>
  <c r="W69" i="4"/>
  <c r="Z31" i="4"/>
  <c r="AA31" i="4"/>
  <c r="W23" i="4"/>
  <c r="AA23" i="4"/>
  <c r="Z23" i="4"/>
  <c r="P406" i="4"/>
  <c r="P240" i="4"/>
  <c r="AE240" i="4"/>
  <c r="AN240" i="4" s="1"/>
  <c r="P175" i="4"/>
  <c r="Z126" i="4"/>
  <c r="AA126" i="4"/>
  <c r="P98" i="4"/>
  <c r="W64" i="4"/>
  <c r="Z64" i="4"/>
  <c r="AA64" i="4"/>
  <c r="Z429" i="4"/>
  <c r="AA429" i="4"/>
  <c r="P405" i="4"/>
  <c r="AE405" i="4"/>
  <c r="AN405" i="4" s="1"/>
  <c r="P356" i="4"/>
  <c r="AE356" i="4"/>
  <c r="AN356" i="4" s="1"/>
  <c r="P313" i="4"/>
  <c r="W239" i="4"/>
  <c r="Z179" i="4"/>
  <c r="AA179" i="4"/>
  <c r="W135" i="4"/>
  <c r="P135" i="4"/>
  <c r="P48" i="4"/>
  <c r="W183" i="4"/>
  <c r="AA116" i="4"/>
  <c r="Z116" i="4"/>
  <c r="Z68" i="4"/>
  <c r="AA68" i="4"/>
  <c r="AA38" i="4"/>
  <c r="Z38" i="4"/>
  <c r="P431" i="4"/>
  <c r="W151" i="4"/>
  <c r="Z30" i="4"/>
  <c r="AA30" i="4"/>
  <c r="W200" i="4"/>
  <c r="P200" i="4"/>
  <c r="P314" i="4"/>
  <c r="P424" i="4"/>
  <c r="W363" i="4"/>
  <c r="P359" i="4"/>
  <c r="AE359" i="4"/>
  <c r="AN359" i="4" s="1"/>
  <c r="P324" i="4"/>
  <c r="AE324" i="4"/>
  <c r="AN324" i="4" s="1"/>
  <c r="Z220" i="4"/>
  <c r="AA220" i="4"/>
  <c r="W220" i="4"/>
  <c r="W176" i="4"/>
  <c r="P176" i="4"/>
  <c r="P166" i="4"/>
  <c r="Z150" i="4"/>
  <c r="AA150" i="4"/>
  <c r="AA129" i="4"/>
  <c r="Z129" i="4"/>
  <c r="P125" i="4"/>
  <c r="AE125" i="4"/>
  <c r="AN125" i="4" s="1"/>
  <c r="AA59" i="4"/>
  <c r="Z59" i="4"/>
  <c r="P428" i="4"/>
  <c r="P337" i="4"/>
  <c r="P274" i="4"/>
  <c r="P258" i="4"/>
  <c r="W258" i="4"/>
  <c r="Z250" i="4"/>
  <c r="AA250" i="4"/>
  <c r="Z234" i="4"/>
  <c r="AA234" i="4"/>
  <c r="AA210" i="4"/>
  <c r="Z210" i="4"/>
  <c r="W190" i="4"/>
  <c r="W117" i="4"/>
  <c r="AA95" i="4"/>
  <c r="Z95" i="4"/>
  <c r="W41" i="4"/>
  <c r="W37" i="4"/>
  <c r="W17" i="4"/>
  <c r="Z13" i="4"/>
  <c r="AA13" i="4"/>
  <c r="W173" i="4"/>
  <c r="Z163" i="4"/>
  <c r="AA163" i="4"/>
  <c r="W163" i="4"/>
  <c r="Z132" i="4"/>
  <c r="AA132" i="4"/>
  <c r="Z92" i="4"/>
  <c r="AA92" i="4"/>
  <c r="W60" i="4"/>
  <c r="AA423" i="4"/>
  <c r="Z423" i="4"/>
  <c r="W309" i="4"/>
  <c r="AA309" i="4"/>
  <c r="Z309" i="4"/>
  <c r="Z237" i="4"/>
  <c r="AA237" i="4"/>
  <c r="P213" i="4"/>
  <c r="AE213" i="4"/>
  <c r="AN213" i="4" s="1"/>
  <c r="Z122" i="4"/>
  <c r="AA122" i="4"/>
  <c r="Z96" i="4"/>
  <c r="AA96" i="4"/>
  <c r="AA40" i="4"/>
  <c r="Z40" i="4"/>
  <c r="Z88" i="4"/>
  <c r="AA88" i="4"/>
  <c r="W88" i="4"/>
  <c r="Z233" i="4"/>
  <c r="AA233" i="4"/>
  <c r="W54" i="4"/>
  <c r="Z310" i="4"/>
  <c r="AA310" i="4"/>
  <c r="AA351" i="4"/>
  <c r="Z351" i="4"/>
  <c r="P351" i="4"/>
  <c r="AE351" i="4"/>
  <c r="AN351" i="4" s="1"/>
  <c r="W343" i="4"/>
  <c r="W264" i="4"/>
  <c r="P202" i="4"/>
  <c r="AA119" i="4"/>
  <c r="Z119" i="4"/>
  <c r="AA103" i="4"/>
  <c r="Z103" i="4"/>
  <c r="W93" i="4"/>
  <c r="Z93" i="4"/>
  <c r="AA93" i="4"/>
  <c r="W63" i="4"/>
  <c r="W53" i="4"/>
  <c r="Z53" i="4"/>
  <c r="AA53" i="4"/>
  <c r="P49" i="4"/>
  <c r="AE49" i="4"/>
  <c r="AN49" i="4" s="1"/>
  <c r="W403" i="4"/>
  <c r="P298" i="4"/>
  <c r="AE298" i="4"/>
  <c r="AN298" i="4" s="1"/>
  <c r="P262" i="4"/>
  <c r="Z222" i="4"/>
  <c r="AA222" i="4"/>
  <c r="W134" i="4"/>
  <c r="AA127" i="4"/>
  <c r="Z127" i="4"/>
  <c r="P47" i="4"/>
  <c r="AA304" i="4"/>
  <c r="Z304" i="4"/>
  <c r="P304" i="4"/>
  <c r="Z207" i="4"/>
  <c r="AA207" i="4"/>
  <c r="W167" i="4"/>
  <c r="P139" i="4"/>
  <c r="W139" i="4"/>
  <c r="Z289" i="4"/>
  <c r="AA289" i="4"/>
  <c r="AA86" i="4"/>
  <c r="Z86" i="4"/>
  <c r="W306" i="4"/>
  <c r="P206" i="4"/>
  <c r="Z381" i="4"/>
  <c r="AA381" i="4"/>
  <c r="W361" i="4"/>
  <c r="W328" i="4"/>
  <c r="P316" i="4"/>
  <c r="P308" i="4"/>
  <c r="P162" i="4"/>
  <c r="Z162" i="4"/>
  <c r="AA162" i="4"/>
  <c r="W146" i="4"/>
  <c r="P144" i="4"/>
  <c r="W97" i="4"/>
  <c r="P45" i="4"/>
  <c r="AE45" i="4"/>
  <c r="AN45" i="4" s="1"/>
  <c r="P33" i="4"/>
  <c r="AE33" i="4"/>
  <c r="AN33" i="4" s="1"/>
  <c r="P371" i="4"/>
  <c r="P341" i="4"/>
  <c r="Z333" i="4"/>
  <c r="AA333" i="4"/>
  <c r="W326" i="4"/>
  <c r="Z320" i="4"/>
  <c r="AA320" i="4"/>
  <c r="P302" i="4"/>
  <c r="AE302" i="4"/>
  <c r="AN302" i="4" s="1"/>
  <c r="P294" i="4"/>
  <c r="AE294" i="4"/>
  <c r="AN294" i="4" s="1"/>
  <c r="W276" i="4"/>
  <c r="Z238" i="4"/>
  <c r="AA238" i="4"/>
  <c r="W214" i="4"/>
  <c r="P214" i="4"/>
  <c r="P168" i="4"/>
  <c r="W148" i="4"/>
  <c r="P148" i="4"/>
  <c r="W131" i="4"/>
  <c r="W83" i="4"/>
  <c r="AA81" i="4"/>
  <c r="Z81" i="4"/>
  <c r="P73" i="4"/>
  <c r="AE73" i="4"/>
  <c r="AN73" i="4" s="1"/>
  <c r="Z61" i="4"/>
  <c r="AA61" i="4"/>
  <c r="AA19" i="4"/>
  <c r="Z19" i="4"/>
  <c r="P243" i="4"/>
  <c r="P335" i="4"/>
  <c r="AE335" i="4"/>
  <c r="AN335" i="4" s="1"/>
  <c r="P260" i="4"/>
  <c r="AE260" i="4"/>
  <c r="AN260" i="4" s="1"/>
  <c r="Z252" i="4"/>
  <c r="AA252" i="4"/>
  <c r="Z228" i="4"/>
  <c r="AA228" i="4"/>
  <c r="W318" i="4"/>
  <c r="P318" i="4"/>
  <c r="P290" i="4"/>
  <c r="AE290" i="4"/>
  <c r="AN290" i="4" s="1"/>
  <c r="P286" i="4"/>
  <c r="W282" i="4"/>
  <c r="P278" i="4"/>
  <c r="Z275" i="4"/>
  <c r="AA275" i="4"/>
  <c r="W260" i="4"/>
  <c r="W192" i="4"/>
  <c r="AA136" i="4"/>
  <c r="Z136" i="4"/>
  <c r="AA55" i="4"/>
  <c r="Z55" i="4"/>
  <c r="W292" i="4"/>
  <c r="Z266" i="4"/>
  <c r="AA266" i="4"/>
  <c r="Z226" i="4"/>
  <c r="AA226" i="4"/>
  <c r="W208" i="4"/>
  <c r="Z208" i="4"/>
  <c r="AA208" i="4"/>
  <c r="Z186" i="4"/>
  <c r="AA186" i="4"/>
  <c r="Z170" i="4"/>
  <c r="AA170" i="4"/>
  <c r="Z160" i="4"/>
  <c r="AA160" i="4"/>
  <c r="P152" i="4"/>
  <c r="P99" i="4"/>
  <c r="W31" i="4"/>
  <c r="W165" i="4"/>
  <c r="P137" i="4"/>
  <c r="AE137" i="4"/>
  <c r="AN137" i="4" s="1"/>
  <c r="P126" i="4"/>
  <c r="W98" i="4"/>
  <c r="P64" i="4"/>
  <c r="Z42" i="4"/>
  <c r="AA42" i="4"/>
  <c r="W42" i="4"/>
  <c r="AA356" i="4"/>
  <c r="Z356" i="4"/>
  <c r="W257" i="4"/>
  <c r="AA257" i="4"/>
  <c r="Z257" i="4"/>
  <c r="W223" i="4"/>
  <c r="W199" i="4"/>
  <c r="Z199" i="4"/>
  <c r="AA199" i="4"/>
  <c r="P179" i="4"/>
  <c r="W179" i="4"/>
  <c r="AA135" i="4"/>
  <c r="Z135" i="4"/>
  <c r="Z106" i="4"/>
  <c r="AA106" i="4"/>
  <c r="Z48" i="4"/>
  <c r="AA48" i="4"/>
  <c r="Z183" i="4"/>
  <c r="AA183" i="4"/>
  <c r="W171" i="4"/>
  <c r="AA155" i="4"/>
  <c r="Z155" i="4"/>
  <c r="W130" i="4"/>
  <c r="W116" i="4"/>
  <c r="P116" i="4"/>
  <c r="W50" i="4"/>
  <c r="Z153" i="4"/>
  <c r="AA153" i="4"/>
  <c r="W68" i="4"/>
  <c r="W38" i="4"/>
  <c r="Z200" i="4"/>
  <c r="AA200" i="4"/>
  <c r="P385" i="4"/>
  <c r="AE385" i="4"/>
  <c r="AN385" i="4" s="1"/>
  <c r="Z369" i="4"/>
  <c r="AA369" i="4"/>
  <c r="W359" i="4"/>
  <c r="W324" i="4"/>
  <c r="Z212" i="4"/>
  <c r="AA212" i="4"/>
  <c r="Z188" i="4"/>
  <c r="AA188" i="4"/>
  <c r="P172" i="4"/>
  <c r="Z166" i="4"/>
  <c r="AA166" i="4"/>
  <c r="W150" i="4"/>
  <c r="P129" i="4"/>
  <c r="AE129" i="4"/>
  <c r="AN129" i="4" s="1"/>
  <c r="W29" i="4"/>
  <c r="W21" i="4"/>
  <c r="W383" i="4"/>
  <c r="P288" i="4"/>
  <c r="AE288" i="4"/>
  <c r="AN288" i="4" s="1"/>
  <c r="W288" i="4"/>
  <c r="W274" i="4"/>
  <c r="P250" i="4"/>
  <c r="Z242" i="4"/>
  <c r="AA242" i="4"/>
  <c r="P234" i="4"/>
  <c r="Z218" i="4"/>
  <c r="AA218" i="4"/>
  <c r="W210" i="4"/>
  <c r="P210" i="4"/>
  <c r="Z204" i="4"/>
  <c r="AA204" i="4"/>
  <c r="Z190" i="4"/>
  <c r="AA190" i="4"/>
  <c r="W182" i="4"/>
  <c r="W164" i="4"/>
  <c r="Z117" i="4"/>
  <c r="AA117" i="4"/>
  <c r="P95" i="4"/>
  <c r="Z87" i="4"/>
  <c r="AA87" i="4"/>
  <c r="P77" i="4"/>
  <c r="Z77" i="4"/>
  <c r="AA77" i="4"/>
  <c r="P65" i="4"/>
  <c r="Z37" i="4"/>
  <c r="AA37" i="4"/>
  <c r="Z27" i="4"/>
  <c r="AA27" i="4"/>
  <c r="AA187" i="4"/>
  <c r="Z187" i="4"/>
  <c r="P173" i="4"/>
  <c r="W132" i="4"/>
  <c r="W124" i="4"/>
  <c r="P423" i="4"/>
  <c r="P309" i="4"/>
  <c r="AA253" i="4"/>
  <c r="Z253" i="4"/>
  <c r="W237" i="4"/>
  <c r="Z161" i="4"/>
  <c r="AA161" i="4"/>
  <c r="AA193" i="4"/>
  <c r="Z193" i="4"/>
  <c r="AA374" i="4"/>
  <c r="Z374" i="4"/>
  <c r="P233" i="4"/>
  <c r="Z54" i="4"/>
  <c r="AA54" i="4"/>
  <c r="P430" i="4"/>
  <c r="AE430" i="4"/>
  <c r="AN430" i="4" s="1"/>
  <c r="P418" i="4"/>
  <c r="P377" i="4"/>
  <c r="AE377" i="4"/>
  <c r="AN377" i="4" s="1"/>
  <c r="P268" i="4"/>
  <c r="W236" i="4"/>
  <c r="W202" i="4"/>
  <c r="P158" i="4"/>
  <c r="AE158" i="4"/>
  <c r="AN158" i="4" s="1"/>
  <c r="P119" i="4"/>
  <c r="P93" i="4"/>
  <c r="AA63" i="4"/>
  <c r="Z63" i="4"/>
  <c r="AA35" i="4"/>
  <c r="Z35" i="4"/>
  <c r="Z232" i="4"/>
  <c r="AA232" i="4"/>
  <c r="P426" i="4"/>
  <c r="AE426" i="4"/>
  <c r="AN426" i="4" s="1"/>
  <c r="P416" i="4"/>
  <c r="P403" i="4"/>
  <c r="AE403" i="4"/>
  <c r="AN403" i="4" s="1"/>
  <c r="P395" i="4"/>
  <c r="AE395" i="4"/>
  <c r="AN395" i="4" s="1"/>
  <c r="P387" i="4"/>
  <c r="P375" i="4"/>
  <c r="W353" i="4"/>
  <c r="W330" i="4"/>
  <c r="W298" i="4"/>
  <c r="P127" i="4"/>
  <c r="W127" i="4"/>
  <c r="P111" i="4"/>
  <c r="AA105" i="4"/>
  <c r="Z105" i="4"/>
  <c r="AA47" i="4"/>
  <c r="Z47" i="4"/>
  <c r="W90" i="4"/>
  <c r="W177" i="4"/>
  <c r="P167" i="4"/>
  <c r="W128" i="4"/>
  <c r="P114" i="4"/>
  <c r="W66" i="4"/>
  <c r="P289" i="4"/>
  <c r="AE289" i="4"/>
  <c r="AN289" i="4" s="1"/>
  <c r="P181" i="4"/>
  <c r="P86" i="4"/>
  <c r="W86" i="4"/>
  <c r="W206" i="4"/>
  <c r="P397" i="4"/>
  <c r="P381" i="4"/>
  <c r="AE381" i="4"/>
  <c r="AN381" i="4" s="1"/>
  <c r="W308" i="4"/>
  <c r="P296" i="4"/>
  <c r="W162" i="4"/>
  <c r="W154" i="4"/>
  <c r="P146" i="4"/>
  <c r="AE146" i="4"/>
  <c r="AN146" i="4" s="1"/>
  <c r="P140" i="4"/>
  <c r="AA97" i="4"/>
  <c r="Z97" i="4"/>
  <c r="W67" i="4"/>
  <c r="W45" i="4"/>
  <c r="Z39" i="4"/>
  <c r="AA39" i="4"/>
  <c r="W39" i="4"/>
  <c r="Z89" i="4"/>
  <c r="AA89" i="4"/>
  <c r="AQ82" i="4"/>
  <c r="W113" i="4"/>
  <c r="P365" i="4"/>
  <c r="W341" i="4"/>
  <c r="W333" i="4"/>
  <c r="W320" i="4"/>
  <c r="P284" i="4"/>
  <c r="AE284" i="4"/>
  <c r="AN284" i="4" s="1"/>
  <c r="Z276" i="4"/>
  <c r="AA276" i="4"/>
  <c r="P270" i="4"/>
  <c r="P246" i="4"/>
  <c r="W238" i="4"/>
  <c r="Z230" i="4"/>
  <c r="AA230" i="4"/>
  <c r="Z178" i="4"/>
  <c r="AA178" i="4"/>
  <c r="W168" i="4"/>
  <c r="Z156" i="4"/>
  <c r="AA156" i="4"/>
  <c r="P131" i="4"/>
  <c r="Z121" i="4"/>
  <c r="AA121" i="4"/>
  <c r="AA83" i="4"/>
  <c r="Z83" i="4"/>
  <c r="W61" i="4"/>
  <c r="P57" i="4"/>
  <c r="W51" i="4"/>
  <c r="P19" i="4"/>
  <c r="P391" i="4"/>
  <c r="AE391" i="4"/>
  <c r="AN391" i="4" s="1"/>
  <c r="W108" i="4"/>
  <c r="Z180" i="4"/>
  <c r="AA180" i="4"/>
  <c r="P115" i="4"/>
  <c r="W107" i="4"/>
  <c r="P55" i="4"/>
  <c r="Z414" i="4"/>
  <c r="AA414" i="4"/>
  <c r="W399" i="4"/>
  <c r="AA292" i="4"/>
  <c r="Z292" i="4"/>
  <c r="W266" i="4"/>
  <c r="W186" i="4"/>
  <c r="W170" i="4"/>
  <c r="W123" i="4"/>
  <c r="Z69" i="4"/>
  <c r="AA69" i="4"/>
  <c r="W240" i="4"/>
  <c r="W175" i="4"/>
  <c r="Z175" i="4"/>
  <c r="AA175" i="4"/>
  <c r="Z137" i="4"/>
  <c r="AA137" i="4"/>
  <c r="W137" i="4"/>
  <c r="W126" i="4"/>
  <c r="P429" i="4"/>
  <c r="AE429" i="4"/>
  <c r="AN429" i="4" s="1"/>
  <c r="W429" i="4"/>
  <c r="W313" i="4"/>
  <c r="P257" i="4"/>
  <c r="W106" i="4"/>
  <c r="W76" i="4"/>
  <c r="W48" i="4"/>
  <c r="W219" i="4"/>
  <c r="P219" i="4"/>
  <c r="AA130" i="4"/>
  <c r="Z130" i="4"/>
  <c r="Z50" i="4"/>
  <c r="AA50" i="4"/>
  <c r="P50" i="4"/>
  <c r="AA205" i="4"/>
  <c r="Z205" i="4"/>
  <c r="W153" i="4"/>
  <c r="W30" i="4"/>
  <c r="W314" i="4"/>
  <c r="W369" i="4"/>
  <c r="Z359" i="4"/>
  <c r="AA359" i="4"/>
  <c r="P212" i="4"/>
  <c r="AE212" i="4"/>
  <c r="AN212" i="4" s="1"/>
  <c r="Z196" i="4"/>
  <c r="AA196" i="4"/>
  <c r="W188" i="4"/>
  <c r="W184" i="4"/>
  <c r="Z184" i="4"/>
  <c r="AA184" i="4"/>
  <c r="W172" i="4"/>
  <c r="W166" i="4"/>
  <c r="W125" i="4"/>
  <c r="Z29" i="4"/>
  <c r="AA29" i="4"/>
  <c r="AA345" i="4"/>
  <c r="Z345" i="4"/>
  <c r="W337" i="4"/>
  <c r="W322" i="4"/>
  <c r="Z322" i="4"/>
  <c r="AA322" i="4"/>
  <c r="Z258" i="4"/>
  <c r="AA258" i="4"/>
  <c r="W250" i="4"/>
  <c r="W234" i="4"/>
  <c r="W204" i="4"/>
  <c r="Z174" i="4"/>
  <c r="AA174" i="4"/>
  <c r="P117" i="4"/>
  <c r="P87" i="4"/>
  <c r="AA41" i="4"/>
  <c r="Z41" i="4"/>
  <c r="P37" i="4"/>
  <c r="AE37" i="4"/>
  <c r="AN37" i="4" s="1"/>
  <c r="P27" i="4"/>
  <c r="Z17" i="4"/>
  <c r="AA17" i="4"/>
  <c r="W187" i="4"/>
  <c r="P92" i="4"/>
  <c r="P237" i="4"/>
  <c r="W213" i="4"/>
  <c r="W161" i="4"/>
  <c r="P161" i="4"/>
  <c r="P96" i="4"/>
  <c r="W96" i="4"/>
  <c r="W40" i="4"/>
  <c r="P380" i="4"/>
  <c r="AE380" i="4"/>
  <c r="AN380" i="4" s="1"/>
  <c r="W332" i="4"/>
  <c r="W249" i="4"/>
  <c r="P88" i="4"/>
  <c r="P374" i="4"/>
  <c r="W317" i="4"/>
  <c r="P54" i="4"/>
  <c r="AE54" i="4"/>
  <c r="AN54" i="4" s="1"/>
  <c r="Z422" i="4"/>
  <c r="AA422" i="4"/>
  <c r="W310" i="4"/>
  <c r="W351" i="4"/>
  <c r="P347" i="4"/>
  <c r="AE347" i="4"/>
  <c r="AN347" i="4" s="1"/>
  <c r="Z343" i="4"/>
  <c r="AA343" i="4"/>
  <c r="P339" i="4"/>
  <c r="AE339" i="4"/>
  <c r="AN339" i="4" s="1"/>
  <c r="W119" i="4"/>
  <c r="W101" i="4"/>
  <c r="Z85" i="4"/>
  <c r="AA85" i="4"/>
  <c r="AA71" i="4"/>
  <c r="Z71" i="4"/>
  <c r="W71" i="4"/>
  <c r="W49" i="4"/>
  <c r="W35" i="4"/>
  <c r="W232" i="4"/>
  <c r="P232" i="4"/>
  <c r="AE232" i="4"/>
  <c r="AN232" i="4" s="1"/>
  <c r="AA353" i="4"/>
  <c r="Z353" i="4"/>
  <c r="W262" i="4"/>
  <c r="W222" i="4"/>
  <c r="P142" i="4"/>
  <c r="AE142" i="4"/>
  <c r="AN142" i="4" s="1"/>
  <c r="AA134" i="4"/>
  <c r="Z134" i="4"/>
  <c r="W111" i="4"/>
  <c r="Z355" i="4"/>
  <c r="AA355" i="4"/>
  <c r="Z90" i="4"/>
  <c r="AA90" i="4"/>
  <c r="P90" i="4"/>
  <c r="W392" i="4"/>
  <c r="Z112" i="4"/>
  <c r="AA112" i="4"/>
  <c r="Z167" i="4"/>
  <c r="AA167" i="4"/>
  <c r="AA139" i="4"/>
  <c r="Z139" i="4"/>
  <c r="W114" i="4"/>
  <c r="P66" i="4"/>
  <c r="AE66" i="4"/>
  <c r="AN66" i="4" s="1"/>
  <c r="Z181" i="4"/>
  <c r="AA181" i="4"/>
  <c r="Z328" i="4"/>
  <c r="AA328" i="4"/>
  <c r="Z316" i="4"/>
  <c r="AA316" i="4"/>
  <c r="AA296" i="4"/>
  <c r="Z296" i="4"/>
  <c r="P244" i="4"/>
  <c r="AE244" i="4"/>
  <c r="AN244" i="4" s="1"/>
  <c r="Z154" i="4"/>
  <c r="AA154" i="4"/>
  <c r="AA146" i="4"/>
  <c r="Z146" i="4"/>
  <c r="AA140" i="4"/>
  <c r="Z140" i="4"/>
  <c r="W75" i="4"/>
  <c r="AA67" i="4"/>
  <c r="Z67" i="4"/>
  <c r="W33" i="4"/>
  <c r="AA113" i="4"/>
  <c r="Z113" i="4"/>
  <c r="W371" i="4"/>
  <c r="Z365" i="4"/>
  <c r="AA365" i="4"/>
  <c r="Z312" i="4"/>
  <c r="AA312" i="4"/>
  <c r="W312" i="4"/>
  <c r="Z302" i="4"/>
  <c r="AA302" i="4"/>
  <c r="W294" i="4"/>
  <c r="W246" i="4"/>
  <c r="W230" i="4"/>
  <c r="Z131" i="4"/>
  <c r="AA131" i="4"/>
  <c r="P83" i="4"/>
  <c r="W81" i="4"/>
  <c r="P81" i="4"/>
  <c r="Z73" i="4"/>
  <c r="AA73" i="4"/>
  <c r="W73" i="4"/>
  <c r="P51" i="4"/>
  <c r="W300" i="4"/>
  <c r="W203" i="4"/>
  <c r="Z203" i="4"/>
  <c r="AA203" i="4"/>
  <c r="Z108" i="4"/>
  <c r="AA108" i="4"/>
  <c r="W256" i="4"/>
  <c r="W248" i="4"/>
  <c r="W224" i="4"/>
  <c r="Z198" i="4"/>
  <c r="AA198" i="4"/>
  <c r="W79" i="4"/>
  <c r="Z318" i="4"/>
  <c r="AA318" i="4"/>
  <c r="Z290" i="4"/>
  <c r="AA290" i="4"/>
  <c r="Z194" i="4"/>
  <c r="AA194" i="4"/>
  <c r="P194" i="4"/>
  <c r="W335" i="4"/>
  <c r="W286" i="4"/>
  <c r="P282" i="4"/>
  <c r="W278" i="4"/>
  <c r="P275" i="4"/>
  <c r="Z256" i="4"/>
  <c r="AA256" i="4"/>
  <c r="Z248" i="4"/>
  <c r="AA248" i="4"/>
  <c r="P228" i="4"/>
  <c r="AE228" i="4"/>
  <c r="AN228" i="4" s="1"/>
  <c r="Z224" i="4"/>
  <c r="AA224" i="4"/>
  <c r="P198" i="4"/>
  <c r="W180" i="4"/>
  <c r="W115" i="4"/>
  <c r="AQ409" i="4"/>
  <c r="W357" i="4"/>
  <c r="AA357" i="4"/>
  <c r="Z357" i="4"/>
  <c r="Z272" i="4"/>
  <c r="AA272" i="4"/>
  <c r="P414" i="4"/>
  <c r="P399" i="4"/>
  <c r="AE399" i="4"/>
  <c r="AN399" i="4" s="1"/>
  <c r="P292" i="4"/>
  <c r="W226" i="4"/>
  <c r="P170" i="4"/>
  <c r="W160" i="4"/>
  <c r="Z152" i="4"/>
  <c r="AA152" i="4"/>
  <c r="P138" i="4"/>
  <c r="AE138" i="4"/>
  <c r="AN138" i="4" s="1"/>
  <c r="Z138" i="4"/>
  <c r="AA138" i="4"/>
  <c r="W138" i="4"/>
  <c r="W99" i="4"/>
  <c r="AA99" i="4"/>
  <c r="Z99" i="4"/>
  <c r="P69" i="4"/>
  <c r="AE69" i="4"/>
  <c r="AN69" i="4" s="1"/>
  <c r="P31" i="4"/>
  <c r="AQ78" i="4"/>
  <c r="Z165" i="4"/>
  <c r="AA165" i="4"/>
  <c r="Z98" i="4"/>
  <c r="AA98" i="4"/>
  <c r="P42" i="4"/>
  <c r="AE42" i="4"/>
  <c r="AN42" i="4" s="1"/>
  <c r="W356" i="4"/>
  <c r="P223" i="4"/>
  <c r="Z223" i="4"/>
  <c r="AA223" i="4"/>
  <c r="P106" i="4"/>
  <c r="Z76" i="4"/>
  <c r="AA76" i="4"/>
  <c r="AA219" i="4"/>
  <c r="Z219" i="4"/>
  <c r="P183" i="4"/>
  <c r="AA171" i="4"/>
  <c r="Z171" i="4"/>
  <c r="W155" i="4"/>
  <c r="P130" i="4"/>
  <c r="P421" i="4"/>
  <c r="W205" i="4"/>
  <c r="P153" i="4"/>
  <c r="P68" i="4"/>
  <c r="AA151" i="4"/>
  <c r="Z151" i="4"/>
  <c r="Z314" i="4"/>
  <c r="AA314" i="4"/>
  <c r="AA363" i="4"/>
  <c r="Z363" i="4"/>
  <c r="Z324" i="4"/>
  <c r="AA324" i="4"/>
  <c r="P220" i="4"/>
  <c r="AE220" i="4"/>
  <c r="AN220" i="4" s="1"/>
  <c r="W212" i="4"/>
  <c r="W196" i="4"/>
  <c r="P196" i="4"/>
  <c r="P184" i="4"/>
  <c r="Z176" i="4"/>
  <c r="AA176" i="4"/>
  <c r="Z172" i="4"/>
  <c r="AA172" i="4"/>
  <c r="P150" i="4"/>
  <c r="AE150" i="4"/>
  <c r="AN150" i="4" s="1"/>
  <c r="W129" i="4"/>
  <c r="W59" i="4"/>
  <c r="P29" i="4"/>
  <c r="AE29" i="4"/>
  <c r="AN29" i="4" s="1"/>
  <c r="Z25" i="4"/>
  <c r="AA25" i="4"/>
  <c r="W25" i="4"/>
  <c r="AA21" i="4"/>
  <c r="Z21" i="4"/>
  <c r="Z383" i="4"/>
  <c r="AA383" i="4"/>
  <c r="P379" i="4"/>
  <c r="P345" i="4"/>
  <c r="W345" i="4"/>
  <c r="P280" i="4"/>
  <c r="AE280" i="4"/>
  <c r="AN280" i="4" s="1"/>
  <c r="Z280" i="4"/>
  <c r="AA280" i="4"/>
  <c r="W280" i="4"/>
  <c r="Z274" i="4"/>
  <c r="AA274" i="4"/>
  <c r="W242" i="4"/>
  <c r="W218" i="4"/>
  <c r="Z182" i="4"/>
  <c r="AA182" i="4"/>
  <c r="W174" i="4"/>
  <c r="Z164" i="4"/>
  <c r="AA164" i="4"/>
  <c r="W95" i="4"/>
  <c r="W87" i="4"/>
  <c r="W77" i="4"/>
  <c r="Z65" i="4"/>
  <c r="AA65" i="4"/>
  <c r="W65" i="4"/>
  <c r="W43" i="4"/>
  <c r="Z43" i="4"/>
  <c r="AA43" i="4"/>
  <c r="W27" i="4"/>
  <c r="P17" i="4"/>
  <c r="P13" i="4"/>
  <c r="W13" i="4"/>
  <c r="P187" i="4"/>
  <c r="AA173" i="4"/>
  <c r="Z173" i="4"/>
  <c r="P163" i="4"/>
  <c r="P132" i="4"/>
  <c r="Z124" i="4"/>
  <c r="AA124" i="4"/>
  <c r="W92" i="4"/>
  <c r="Z60" i="4"/>
  <c r="AA60" i="4"/>
  <c r="W253" i="4"/>
  <c r="Z213" i="4"/>
  <c r="AA213" i="4"/>
  <c r="W195" i="4"/>
  <c r="Z195" i="4"/>
  <c r="AA195" i="4"/>
  <c r="W122" i="4"/>
  <c r="P40" i="4"/>
  <c r="P332" i="4"/>
  <c r="AA249" i="4"/>
  <c r="Z249" i="4"/>
  <c r="W193" i="4"/>
  <c r="W233" i="4"/>
  <c r="P422" i="4"/>
  <c r="AE422" i="4"/>
  <c r="AN422" i="4" s="1"/>
  <c r="P343" i="4"/>
  <c r="AE343" i="4"/>
  <c r="AN343" i="4" s="1"/>
  <c r="W339" i="4"/>
  <c r="W268" i="4"/>
  <c r="Z268" i="4"/>
  <c r="AA268" i="4"/>
  <c r="Z264" i="4"/>
  <c r="AA264" i="4"/>
  <c r="P264" i="4"/>
  <c r="P236" i="4"/>
  <c r="AE236" i="4"/>
  <c r="AN236" i="4" s="1"/>
  <c r="Z202" i="4"/>
  <c r="AA202" i="4"/>
  <c r="W158" i="4"/>
  <c r="Z158" i="4"/>
  <c r="AA158" i="4"/>
  <c r="W103" i="4"/>
  <c r="Z101" i="4"/>
  <c r="AA101" i="4"/>
  <c r="W85" i="4"/>
  <c r="P63" i="4"/>
  <c r="P53" i="4"/>
  <c r="Z49" i="4"/>
  <c r="AA49" i="4"/>
  <c r="Z395" i="4"/>
  <c r="AA395" i="4"/>
  <c r="W387" i="4"/>
  <c r="Z375" i="4"/>
  <c r="AA375" i="4"/>
  <c r="P353" i="4"/>
  <c r="Z330" i="4"/>
  <c r="AA330" i="4"/>
  <c r="Z298" i="4"/>
  <c r="AA298" i="4"/>
  <c r="Z262" i="4"/>
  <c r="AA262" i="4"/>
  <c r="P222" i="4"/>
  <c r="Z142" i="4"/>
  <c r="AA142" i="4"/>
  <c r="W142" i="4"/>
  <c r="AA111" i="4"/>
  <c r="Z111" i="4"/>
  <c r="P105" i="4"/>
  <c r="W105" i="4"/>
  <c r="W47" i="4"/>
  <c r="W15" i="4"/>
  <c r="W355" i="4"/>
  <c r="P355" i="4"/>
  <c r="AE355" i="4"/>
  <c r="AN355" i="4" s="1"/>
  <c r="W304" i="4"/>
  <c r="W235" i="4"/>
  <c r="W112" i="4"/>
  <c r="W207" i="4"/>
  <c r="AA177" i="4"/>
  <c r="Z177" i="4"/>
  <c r="P177" i="4"/>
  <c r="AA128" i="4"/>
  <c r="Z128" i="4"/>
  <c r="P128" i="4"/>
  <c r="Z114" i="4"/>
  <c r="AA114" i="4"/>
  <c r="Z66" i="4"/>
  <c r="AA66" i="4"/>
  <c r="W44" i="4"/>
  <c r="AA44" i="4"/>
  <c r="Z44" i="4"/>
  <c r="W289" i="4"/>
  <c r="W181" i="4"/>
  <c r="P306" i="4"/>
  <c r="Z206" i="4"/>
  <c r="AA206" i="4"/>
  <c r="W381" i="4"/>
  <c r="AA361" i="4"/>
  <c r="Z361" i="4"/>
  <c r="P328" i="4"/>
  <c r="AE328" i="4"/>
  <c r="AN328" i="4" s="1"/>
  <c r="W316" i="4"/>
  <c r="W296" i="4"/>
  <c r="W244" i="4"/>
  <c r="P154" i="4"/>
  <c r="AE154" i="4"/>
  <c r="AN154" i="4" s="1"/>
  <c r="W144" i="4"/>
  <c r="Z144" i="4"/>
  <c r="AA144" i="4"/>
  <c r="W140" i="4"/>
  <c r="AA75" i="4"/>
  <c r="Z75" i="4"/>
  <c r="P67" i="4"/>
  <c r="AA45" i="4"/>
  <c r="Z45" i="4"/>
  <c r="P39" i="4"/>
  <c r="Z33" i="4"/>
  <c r="AA33" i="4"/>
  <c r="W89" i="4"/>
  <c r="P113" i="4"/>
  <c r="W365" i="4"/>
  <c r="P349" i="4"/>
  <c r="P333" i="4"/>
  <c r="P320" i="4"/>
  <c r="W302" i="4"/>
  <c r="W284" i="4"/>
  <c r="W270" i="4"/>
  <c r="Z270" i="4"/>
  <c r="AA270" i="4"/>
  <c r="W254" i="4"/>
  <c r="P238" i="4"/>
  <c r="AA214" i="4"/>
  <c r="Z214" i="4"/>
  <c r="W178" i="4"/>
  <c r="Z168" i="4"/>
  <c r="AA168" i="4"/>
  <c r="P156" i="4"/>
  <c r="W156" i="4"/>
  <c r="W121" i="4"/>
  <c r="W57" i="4"/>
  <c r="AA57" i="4"/>
  <c r="Z57" i="4"/>
  <c r="AA51" i="4"/>
  <c r="Z51" i="4"/>
  <c r="W19" i="4"/>
  <c r="W243" i="4"/>
  <c r="S7" i="98"/>
  <c r="AD436" i="8" l="1"/>
  <c r="AQ287" i="4"/>
  <c r="AX287" i="4" s="1"/>
  <c r="AC481" i="8"/>
  <c r="AQ259" i="4"/>
  <c r="BD259" i="4" s="1"/>
  <c r="AQ301" i="4"/>
  <c r="AQ352" i="4"/>
  <c r="BD352" i="4" s="1"/>
  <c r="AD467" i="8"/>
  <c r="AD452" i="8"/>
  <c r="AQ283" i="4"/>
  <c r="BD283" i="4" s="1"/>
  <c r="AQ62" i="4"/>
  <c r="BD62" i="4" s="1"/>
  <c r="AQ344" i="4"/>
  <c r="AX344" i="4" s="1"/>
  <c r="BD479" i="4"/>
  <c r="AQ231" i="4"/>
  <c r="BD231" i="4" s="1"/>
  <c r="AD470" i="8"/>
  <c r="AX479" i="4"/>
  <c r="AQ201" i="4"/>
  <c r="AX201" i="4" s="1"/>
  <c r="AQ384" i="4"/>
  <c r="BD384" i="4" s="1"/>
  <c r="AQ376" i="4"/>
  <c r="BD376" i="4" s="1"/>
  <c r="AQ411" i="4"/>
  <c r="BD411" i="4" s="1"/>
  <c r="AQ368" i="4"/>
  <c r="AX368" i="4" s="1"/>
  <c r="AQ334" i="4"/>
  <c r="BD334" i="4" s="1"/>
  <c r="AD447" i="8"/>
  <c r="AQ420" i="4"/>
  <c r="AX420" i="4" s="1"/>
  <c r="AQ227" i="4"/>
  <c r="AX227" i="4" s="1"/>
  <c r="AQ354" i="4"/>
  <c r="BD354" i="4" s="1"/>
  <c r="AQ382" i="4"/>
  <c r="BD382" i="4" s="1"/>
  <c r="AN425" i="4"/>
  <c r="AQ425" i="4" s="1"/>
  <c r="AQ417" i="4"/>
  <c r="BD417" i="4" s="1"/>
  <c r="AQ378" i="4"/>
  <c r="AX378" i="4" s="1"/>
  <c r="AQ18" i="4"/>
  <c r="AX18" i="4" s="1"/>
  <c r="AQ315" i="4"/>
  <c r="AX315" i="4" s="1"/>
  <c r="AQ20" i="4"/>
  <c r="BD20" i="4" s="1"/>
  <c r="AQ16" i="4"/>
  <c r="BD16" i="4" s="1"/>
  <c r="AQ221" i="4"/>
  <c r="BD221" i="4" s="1"/>
  <c r="AQ413" i="4"/>
  <c r="BD413" i="4" s="1"/>
  <c r="AQ195" i="4"/>
  <c r="AX195" i="4" s="1"/>
  <c r="AQ149" i="4"/>
  <c r="BD149" i="4" s="1"/>
  <c r="AQ342" i="4"/>
  <c r="AX342" i="4" s="1"/>
  <c r="AQ273" i="4"/>
  <c r="AX273" i="4" s="1"/>
  <c r="AQ364" i="4"/>
  <c r="BD364" i="4" s="1"/>
  <c r="AQ340" i="4"/>
  <c r="BD340" i="4" s="1"/>
  <c r="AX271" i="4"/>
  <c r="BD271" i="4"/>
  <c r="AX447" i="4"/>
  <c r="BD447" i="4"/>
  <c r="AQ147" i="4"/>
  <c r="AX147" i="4" s="1"/>
  <c r="AQ305" i="4"/>
  <c r="AX305" i="4" s="1"/>
  <c r="AQ28" i="4"/>
  <c r="AX28" i="4" s="1"/>
  <c r="AQ394" i="4"/>
  <c r="AX394" i="4" s="1"/>
  <c r="AQ26" i="4"/>
  <c r="AX26" i="4" s="1"/>
  <c r="BD323" i="4"/>
  <c r="AQ211" i="4"/>
  <c r="AX211" i="4" s="1"/>
  <c r="AQ319" i="4"/>
  <c r="BD319" i="4" s="1"/>
  <c r="AQ281" i="4"/>
  <c r="BD281" i="4" s="1"/>
  <c r="BD110" i="4"/>
  <c r="AQ400" i="4"/>
  <c r="BD400" i="4" s="1"/>
  <c r="AX16" i="4"/>
  <c r="BD225" i="4"/>
  <c r="AX225" i="4"/>
  <c r="BD297" i="4"/>
  <c r="AX297" i="4"/>
  <c r="BD120" i="4"/>
  <c r="AX120" i="4"/>
  <c r="BD78" i="4"/>
  <c r="AX78" i="4"/>
  <c r="BD141" i="4"/>
  <c r="AX141" i="4"/>
  <c r="AQ416" i="4"/>
  <c r="BD416" i="4" s="1"/>
  <c r="BD307" i="4"/>
  <c r="AX307" i="4"/>
  <c r="AX372" i="4"/>
  <c r="BD372" i="4"/>
  <c r="BD409" i="4"/>
  <c r="AX409" i="4"/>
  <c r="AX82" i="4"/>
  <c r="BD82" i="4"/>
  <c r="BD58" i="4"/>
  <c r="AX58" i="4"/>
  <c r="BD350" i="4"/>
  <c r="AX350" i="4"/>
  <c r="AX24" i="4"/>
  <c r="BD24" i="4"/>
  <c r="AQ419" i="4"/>
  <c r="BD419" i="4" s="1"/>
  <c r="AZ433" i="4"/>
  <c r="AX433" i="4"/>
  <c r="BD433" i="4"/>
  <c r="AZ478" i="4"/>
  <c r="AX478" i="4"/>
  <c r="BD478" i="4"/>
  <c r="AZ485" i="4"/>
  <c r="BD485" i="4"/>
  <c r="AX485" i="4"/>
  <c r="AQ36" i="4"/>
  <c r="AX36" i="4" s="1"/>
  <c r="AZ486" i="4"/>
  <c r="BD486" i="4"/>
  <c r="AX486" i="4"/>
  <c r="AZ466" i="4"/>
  <c r="BD466" i="4"/>
  <c r="AX466" i="4"/>
  <c r="BD285" i="4"/>
  <c r="BD169" i="4"/>
  <c r="AX169" i="4"/>
  <c r="AX241" i="4"/>
  <c r="BD241" i="4"/>
  <c r="AQ402" i="4"/>
  <c r="AX402" i="4" s="1"/>
  <c r="AQ338" i="4"/>
  <c r="BD338" i="4" s="1"/>
  <c r="AX52" i="4"/>
  <c r="AQ56" i="4"/>
  <c r="AX56" i="4" s="1"/>
  <c r="AQ358" i="4"/>
  <c r="BD358" i="4" s="1"/>
  <c r="AZ489" i="4"/>
  <c r="AX489" i="4"/>
  <c r="BD489" i="4"/>
  <c r="BD366" i="4"/>
  <c r="AX366" i="4"/>
  <c r="BD191" i="4"/>
  <c r="AX191" i="4"/>
  <c r="AX455" i="4"/>
  <c r="AX487" i="4"/>
  <c r="AX477" i="4"/>
  <c r="AX459" i="4"/>
  <c r="AX476" i="4"/>
  <c r="AX483" i="4"/>
  <c r="BD462" i="4"/>
  <c r="AX46" i="4"/>
  <c r="BD159" i="4"/>
  <c r="AX277" i="4"/>
  <c r="BD133" i="4"/>
  <c r="BD348" i="4"/>
  <c r="AX285" i="4"/>
  <c r="AX488" i="4"/>
  <c r="AX449" i="4"/>
  <c r="BD438" i="4"/>
  <c r="AX435" i="4"/>
  <c r="BD453" i="4"/>
  <c r="AX100" i="4"/>
  <c r="BD267" i="4"/>
  <c r="AX102" i="4"/>
  <c r="AX389" i="4"/>
  <c r="AX14" i="4"/>
  <c r="AX299" i="4"/>
  <c r="BD145" i="4"/>
  <c r="BD263" i="4"/>
  <c r="AX461" i="4"/>
  <c r="AX448" i="4"/>
  <c r="AX464" i="4"/>
  <c r="AX469" i="4"/>
  <c r="BD439" i="4"/>
  <c r="AX460" i="4"/>
  <c r="AX441" i="4"/>
  <c r="BD32" i="4"/>
  <c r="AX32" i="4"/>
  <c r="AQ247" i="4"/>
  <c r="BD247" i="4" s="1"/>
  <c r="AQ215" i="4"/>
  <c r="AX215" i="4" s="1"/>
  <c r="AZ468" i="4"/>
  <c r="BD468" i="4"/>
  <c r="AX468" i="4"/>
  <c r="AQ362" i="4"/>
  <c r="BD362" i="4" s="1"/>
  <c r="AZ458" i="4"/>
  <c r="AX458" i="4"/>
  <c r="BD458" i="4"/>
  <c r="AZ481" i="4"/>
  <c r="AX481" i="4"/>
  <c r="BD481" i="4"/>
  <c r="AQ293" i="4"/>
  <c r="BD293" i="4" s="1"/>
  <c r="AQ321" i="4"/>
  <c r="AX321" i="4" s="1"/>
  <c r="AZ437" i="4"/>
  <c r="BD437" i="4"/>
  <c r="AX437" i="4"/>
  <c r="AZ490" i="4"/>
  <c r="AX490" i="4"/>
  <c r="BD490" i="4"/>
  <c r="AX436" i="4"/>
  <c r="BD472" i="4"/>
  <c r="BD465" i="4"/>
  <c r="AX255" i="4"/>
  <c r="BD452" i="4"/>
  <c r="BD483" i="4"/>
  <c r="AX462" i="4"/>
  <c r="BD46" i="4"/>
  <c r="BD301" i="4"/>
  <c r="AX74" i="4"/>
  <c r="BD277" i="4"/>
  <c r="BD325" i="4"/>
  <c r="AX34" i="4"/>
  <c r="AX133" i="4"/>
  <c r="BD245" i="4"/>
  <c r="AX463" i="4"/>
  <c r="AX445" i="4"/>
  <c r="AX443" i="4"/>
  <c r="AX216" i="4"/>
  <c r="AX438" i="4"/>
  <c r="BD435" i="4"/>
  <c r="AX453" i="4"/>
  <c r="AX145" i="4"/>
  <c r="BD287" i="4"/>
  <c r="BD52" i="4"/>
  <c r="AX491" i="4"/>
  <c r="BD461" i="4"/>
  <c r="AX456" i="4"/>
  <c r="AX467" i="4"/>
  <c r="AX440" i="4"/>
  <c r="BD470" i="4"/>
  <c r="BD360" i="4"/>
  <c r="AX259" i="4"/>
  <c r="AX354" i="4"/>
  <c r="AQ396" i="4"/>
  <c r="BD396" i="4" s="1"/>
  <c r="AQ72" i="4"/>
  <c r="AX72" i="4" s="1"/>
  <c r="BD118" i="4"/>
  <c r="AX118" i="4"/>
  <c r="AZ475" i="4"/>
  <c r="BD475" i="4"/>
  <c r="AX475" i="4"/>
  <c r="AQ388" i="4"/>
  <c r="BD388" i="4" s="1"/>
  <c r="AZ457" i="4"/>
  <c r="AX457" i="4"/>
  <c r="BD457" i="4"/>
  <c r="BD279" i="4"/>
  <c r="BD436" i="4"/>
  <c r="AX472" i="4"/>
  <c r="AX442" i="4"/>
  <c r="AX465" i="4"/>
  <c r="BD255" i="4"/>
  <c r="AX452" i="4"/>
  <c r="AX451" i="4"/>
  <c r="BD482" i="4"/>
  <c r="AX301" i="4"/>
  <c r="BD74" i="4"/>
  <c r="AX325" i="4"/>
  <c r="BD34" i="4"/>
  <c r="AX245" i="4"/>
  <c r="BD463" i="4"/>
  <c r="BD445" i="4"/>
  <c r="AX450" i="4"/>
  <c r="BD443" i="4"/>
  <c r="BD454" i="4"/>
  <c r="BD444" i="4"/>
  <c r="AX474" i="4"/>
  <c r="AX434" i="4"/>
  <c r="AX473" i="4"/>
  <c r="AX295" i="4"/>
  <c r="AX251" i="4"/>
  <c r="BD311" i="4"/>
  <c r="BD491" i="4"/>
  <c r="BD446" i="4"/>
  <c r="BD456" i="4"/>
  <c r="BD467" i="4"/>
  <c r="BD440" i="4"/>
  <c r="AX470" i="4"/>
  <c r="AX360" i="4"/>
  <c r="AX291" i="4"/>
  <c r="AQ265" i="4"/>
  <c r="AX265" i="4" s="1"/>
  <c r="AQ261" i="4"/>
  <c r="AX261" i="4" s="1"/>
  <c r="AZ480" i="4"/>
  <c r="AX480" i="4"/>
  <c r="BD480" i="4"/>
  <c r="AZ471" i="4"/>
  <c r="BD471" i="4"/>
  <c r="AX471" i="4"/>
  <c r="AQ398" i="4"/>
  <c r="AX398" i="4" s="1"/>
  <c r="BD22" i="4"/>
  <c r="AX22" i="4"/>
  <c r="AZ484" i="4"/>
  <c r="AX484" i="4"/>
  <c r="BD484" i="4"/>
  <c r="AZ492" i="4"/>
  <c r="BD492" i="4"/>
  <c r="AX492" i="4"/>
  <c r="AX279" i="4"/>
  <c r="BD455" i="4"/>
  <c r="BD442" i="4"/>
  <c r="BD487" i="4"/>
  <c r="BD477" i="4"/>
  <c r="BD459" i="4"/>
  <c r="BD476" i="4"/>
  <c r="BD451" i="4"/>
  <c r="AX482" i="4"/>
  <c r="AX159" i="4"/>
  <c r="AX348" i="4"/>
  <c r="BD488" i="4"/>
  <c r="AX331" i="4"/>
  <c r="BD450" i="4"/>
  <c r="BD449" i="4"/>
  <c r="AX454" i="4"/>
  <c r="AX444" i="4"/>
  <c r="BD474" i="4"/>
  <c r="BD434" i="4"/>
  <c r="BD473" i="4"/>
  <c r="BD295" i="4"/>
  <c r="AX267" i="4"/>
  <c r="BD251" i="4"/>
  <c r="BD389" i="4"/>
  <c r="BD315" i="4"/>
  <c r="BD14" i="4"/>
  <c r="AX311" i="4"/>
  <c r="AX263" i="4"/>
  <c r="AX446" i="4"/>
  <c r="BD448" i="4"/>
  <c r="BD464" i="4"/>
  <c r="BD469" i="4"/>
  <c r="AX439" i="4"/>
  <c r="BD460" i="4"/>
  <c r="BD441" i="4"/>
  <c r="BD269" i="4"/>
  <c r="BD344" i="4"/>
  <c r="AX231" i="4"/>
  <c r="BD291" i="4"/>
  <c r="AX143" i="4"/>
  <c r="AX94" i="4"/>
  <c r="BD94" i="4"/>
  <c r="AQ249" i="4"/>
  <c r="AX249" i="4" s="1"/>
  <c r="AQ217" i="4"/>
  <c r="AQ174" i="4"/>
  <c r="AX174" i="4" s="1"/>
  <c r="AQ229" i="4"/>
  <c r="AQ317" i="4"/>
  <c r="BD317" i="4" s="1"/>
  <c r="AQ346" i="4"/>
  <c r="AX346" i="4" s="1"/>
  <c r="AQ218" i="4"/>
  <c r="AQ59" i="4"/>
  <c r="AX59" i="4" s="1"/>
  <c r="AQ124" i="4"/>
  <c r="AX124" i="4" s="1"/>
  <c r="AQ80" i="4"/>
  <c r="AX80" i="4" s="1"/>
  <c r="AQ427" i="4"/>
  <c r="AQ157" i="4"/>
  <c r="AX157" i="4" s="1"/>
  <c r="AQ104" i="4"/>
  <c r="AX104" i="4" s="1"/>
  <c r="AQ190" i="4"/>
  <c r="AX190" i="4" s="1"/>
  <c r="AQ370" i="4"/>
  <c r="AQ178" i="4"/>
  <c r="AX178" i="4" s="1"/>
  <c r="AQ112" i="4"/>
  <c r="AX112" i="4" s="1"/>
  <c r="AQ47" i="4"/>
  <c r="AQ41" i="4"/>
  <c r="AQ185" i="4"/>
  <c r="AX185" i="4" s="1"/>
  <c r="AQ327" i="4"/>
  <c r="AX327" i="4" s="1"/>
  <c r="AQ53" i="4"/>
  <c r="BD53" i="4" s="1"/>
  <c r="AQ108" i="4"/>
  <c r="AQ253" i="4"/>
  <c r="AX253" i="4" s="1"/>
  <c r="AQ310" i="4"/>
  <c r="BD310" i="4" s="1"/>
  <c r="AQ404" i="4"/>
  <c r="AX404" i="4" s="1"/>
  <c r="AQ205" i="4"/>
  <c r="AQ183" i="4"/>
  <c r="BD183" i="4" s="1"/>
  <c r="AQ81" i="4"/>
  <c r="AQ172" i="4"/>
  <c r="AX172" i="4" s="1"/>
  <c r="AQ386" i="4"/>
  <c r="AQ264" i="4"/>
  <c r="AX264" i="4" s="1"/>
  <c r="AQ160" i="4"/>
  <c r="AX160" i="4" s="1"/>
  <c r="AQ254" i="4"/>
  <c r="BD254" i="4" s="1"/>
  <c r="AQ407" i="4"/>
  <c r="AQ235" i="4"/>
  <c r="BD235" i="4" s="1"/>
  <c r="AQ412" i="4"/>
  <c r="AQ313" i="4"/>
  <c r="AQ432" i="4"/>
  <c r="AQ171" i="4"/>
  <c r="AX171" i="4" s="1"/>
  <c r="AQ44" i="4"/>
  <c r="AQ122" i="4"/>
  <c r="AQ230" i="4"/>
  <c r="BD230" i="4" s="1"/>
  <c r="AQ312" i="4"/>
  <c r="AX312" i="4" s="1"/>
  <c r="AQ246" i="4"/>
  <c r="BD246" i="4" s="1"/>
  <c r="AQ182" i="4"/>
  <c r="AQ329" i="4"/>
  <c r="AX329" i="4" s="1"/>
  <c r="AQ243" i="4"/>
  <c r="AX243" i="4" s="1"/>
  <c r="AQ226" i="4"/>
  <c r="BD226" i="4" s="1"/>
  <c r="AQ357" i="4"/>
  <c r="AQ106" i="4"/>
  <c r="BD106" i="4" s="1"/>
  <c r="AQ88" i="4"/>
  <c r="AQ250" i="4"/>
  <c r="AQ383" i="4"/>
  <c r="AQ117" i="4"/>
  <c r="BD117" i="4" s="1"/>
  <c r="AQ213" i="4"/>
  <c r="BD213" i="4" s="1"/>
  <c r="AQ125" i="4"/>
  <c r="BD125" i="4" s="1"/>
  <c r="AQ367" i="4"/>
  <c r="AQ89" i="4"/>
  <c r="BD89" i="4" s="1"/>
  <c r="AQ43" i="4"/>
  <c r="BD43" i="4" s="1"/>
  <c r="AQ410" i="4"/>
  <c r="AQ337" i="4"/>
  <c r="BD337" i="4" s="1"/>
  <c r="AQ415" i="4"/>
  <c r="AQ304" i="4"/>
  <c r="AQ155" i="4"/>
  <c r="BD155" i="4" s="1"/>
  <c r="AQ76" i="4"/>
  <c r="AX76" i="4" s="1"/>
  <c r="AQ330" i="4"/>
  <c r="AQ401" i="4"/>
  <c r="AQ294" i="4"/>
  <c r="BD294" i="4" s="1"/>
  <c r="AQ361" i="4"/>
  <c r="BD361" i="4" s="1"/>
  <c r="AQ103" i="4"/>
  <c r="AQ193" i="4"/>
  <c r="BD193" i="4" s="1"/>
  <c r="AQ242" i="4"/>
  <c r="AX242" i="4" s="1"/>
  <c r="AQ121" i="4"/>
  <c r="BD121" i="4" s="1"/>
  <c r="AQ33" i="4"/>
  <c r="AQ123" i="4"/>
  <c r="BD123" i="4" s="1"/>
  <c r="AQ186" i="4"/>
  <c r="BD186" i="4" s="1"/>
  <c r="AQ131" i="4"/>
  <c r="AQ65" i="4"/>
  <c r="AQ64" i="4"/>
  <c r="AX64" i="4" s="1"/>
  <c r="AQ212" i="4"/>
  <c r="BD212" i="4" s="1"/>
  <c r="AQ197" i="4"/>
  <c r="BD197" i="4" s="1"/>
  <c r="AQ23" i="4"/>
  <c r="AQ260" i="4"/>
  <c r="AX260" i="4" s="1"/>
  <c r="AQ276" i="4"/>
  <c r="AX276" i="4" s="1"/>
  <c r="AQ240" i="4"/>
  <c r="BD240" i="4" s="1"/>
  <c r="AQ320" i="4"/>
  <c r="AQ244" i="4"/>
  <c r="BD244" i="4" s="1"/>
  <c r="AQ200" i="4"/>
  <c r="AX200" i="4" s="1"/>
  <c r="AQ192" i="4"/>
  <c r="AQ300" i="4"/>
  <c r="AQ233" i="4"/>
  <c r="AX233" i="4" s="1"/>
  <c r="AQ393" i="4"/>
  <c r="BD393" i="4" s="1"/>
  <c r="AQ262" i="4"/>
  <c r="BD262" i="4" s="1"/>
  <c r="AQ132" i="4"/>
  <c r="AQ266" i="4"/>
  <c r="AX266" i="4" s="1"/>
  <c r="AQ426" i="4"/>
  <c r="AQ209" i="4"/>
  <c r="AQ256" i="4"/>
  <c r="BD256" i="4" s="1"/>
  <c r="AQ252" i="4"/>
  <c r="AQ363" i="4"/>
  <c r="AX363" i="4" s="1"/>
  <c r="AQ418" i="4"/>
  <c r="AQ95" i="4"/>
  <c r="BD95" i="4" s="1"/>
  <c r="AQ379" i="4"/>
  <c r="AX379" i="4" s="1"/>
  <c r="AQ68" i="4"/>
  <c r="AQ292" i="4"/>
  <c r="AQ282" i="4"/>
  <c r="BD282" i="4" s="1"/>
  <c r="AQ392" i="4"/>
  <c r="BD392" i="4" s="1"/>
  <c r="AQ57" i="4"/>
  <c r="AX57" i="4" s="1"/>
  <c r="AQ199" i="4"/>
  <c r="AQ239" i="4"/>
  <c r="BD239" i="4" s="1"/>
  <c r="AQ284" i="4"/>
  <c r="BD284" i="4" s="1"/>
  <c r="AQ153" i="4"/>
  <c r="AQ421" i="4"/>
  <c r="AX421" i="4" s="1"/>
  <c r="AQ322" i="4"/>
  <c r="BD322" i="4" s="1"/>
  <c r="AQ369" i="4"/>
  <c r="AX369" i="4" s="1"/>
  <c r="AQ341" i="4"/>
  <c r="AX341" i="4" s="1"/>
  <c r="AQ390" i="4"/>
  <c r="BD390" i="4" s="1"/>
  <c r="AQ137" i="4"/>
  <c r="AX137" i="4" s="1"/>
  <c r="AQ97" i="4"/>
  <c r="AQ84" i="4"/>
  <c r="AX84" i="4" s="1"/>
  <c r="AQ270" i="4"/>
  <c r="AQ181" i="4"/>
  <c r="BD181" i="4" s="1"/>
  <c r="AQ194" i="4"/>
  <c r="AQ248" i="4"/>
  <c r="BD248" i="4" s="1"/>
  <c r="AQ204" i="4"/>
  <c r="AQ126" i="4"/>
  <c r="AQ168" i="4"/>
  <c r="AQ151" i="4"/>
  <c r="BD151" i="4" s="1"/>
  <c r="AQ134" i="4"/>
  <c r="AX134" i="4" s="1"/>
  <c r="AQ17" i="4"/>
  <c r="AQ198" i="4"/>
  <c r="AQ79" i="4"/>
  <c r="AX79" i="4" s="1"/>
  <c r="AQ224" i="4"/>
  <c r="BD224" i="4" s="1"/>
  <c r="AQ35" i="4"/>
  <c r="AQ70" i="4"/>
  <c r="AQ175" i="4"/>
  <c r="BD175" i="4" s="1"/>
  <c r="AQ61" i="4"/>
  <c r="AQ258" i="4"/>
  <c r="AQ306" i="4"/>
  <c r="AQ15" i="4"/>
  <c r="BD15" i="4" s="1"/>
  <c r="AQ223" i="4"/>
  <c r="BD223" i="4" s="1"/>
  <c r="AQ180" i="4"/>
  <c r="AQ275" i="4"/>
  <c r="AQ109" i="4"/>
  <c r="BD109" i="4" s="1"/>
  <c r="AQ336" i="4"/>
  <c r="AQ234" i="4"/>
  <c r="AQ188" i="4"/>
  <c r="AQ30" i="4"/>
  <c r="BD30" i="4" s="1"/>
  <c r="AQ146" i="4"/>
  <c r="BD146" i="4" s="1"/>
  <c r="AQ397" i="4"/>
  <c r="AQ165" i="4"/>
  <c r="AQ290" i="4"/>
  <c r="AX290" i="4" s="1"/>
  <c r="AQ60" i="4"/>
  <c r="BD60" i="4" s="1"/>
  <c r="AQ184" i="4"/>
  <c r="BD184" i="4" s="1"/>
  <c r="AQ187" i="4"/>
  <c r="AQ29" i="4"/>
  <c r="AX29" i="4" s="1"/>
  <c r="AQ66" i="4"/>
  <c r="AQ399" i="4"/>
  <c r="AX399" i="4" s="1"/>
  <c r="AQ374" i="4"/>
  <c r="AQ408" i="4"/>
  <c r="AX408" i="4" s="1"/>
  <c r="AQ136" i="4"/>
  <c r="BD136" i="4" s="1"/>
  <c r="AQ403" i="4"/>
  <c r="AQ385" i="4"/>
  <c r="AQ406" i="4"/>
  <c r="BD406" i="4" s="1"/>
  <c r="AQ326" i="4"/>
  <c r="AX326" i="4" s="1"/>
  <c r="AQ49" i="4"/>
  <c r="AQ381" i="4"/>
  <c r="AQ129" i="4"/>
  <c r="AX129" i="4" s="1"/>
  <c r="AQ298" i="4"/>
  <c r="AQ38" i="4"/>
  <c r="AQ142" i="4"/>
  <c r="AQ75" i="4"/>
  <c r="AX75" i="4" s="1"/>
  <c r="AQ101" i="4"/>
  <c r="BD101" i="4" s="1"/>
  <c r="AQ93" i="4"/>
  <c r="AX93" i="4" s="1"/>
  <c r="AQ156" i="4"/>
  <c r="AQ113" i="4"/>
  <c r="AX113" i="4" s="1"/>
  <c r="AQ128" i="4"/>
  <c r="AX128" i="4" s="1"/>
  <c r="AQ423" i="4"/>
  <c r="AX423" i="4" s="1"/>
  <c r="AQ87" i="4"/>
  <c r="AQ280" i="4"/>
  <c r="AX280" i="4" s="1"/>
  <c r="AQ356" i="4"/>
  <c r="AX356" i="4" s="1"/>
  <c r="AQ42" i="4"/>
  <c r="BD42" i="4" s="1"/>
  <c r="AQ189" i="4"/>
  <c r="AQ170" i="4"/>
  <c r="BD170" i="4" s="1"/>
  <c r="AQ373" i="4"/>
  <c r="AQ71" i="4"/>
  <c r="BD71" i="4" s="1"/>
  <c r="AQ85" i="4"/>
  <c r="AX85" i="4" s="1"/>
  <c r="AQ203" i="4"/>
  <c r="BD203" i="4" s="1"/>
  <c r="AQ164" i="4"/>
  <c r="AQ274" i="4"/>
  <c r="BD274" i="4" s="1"/>
  <c r="AQ21" i="4"/>
  <c r="AX21" i="4" s="1"/>
  <c r="AQ228" i="4"/>
  <c r="AX228" i="4" s="1"/>
  <c r="AQ98" i="4"/>
  <c r="AQ127" i="4"/>
  <c r="BD127" i="4" s="1"/>
  <c r="AQ429" i="4"/>
  <c r="BD429" i="4" s="1"/>
  <c r="AQ395" i="4"/>
  <c r="AQ303" i="4"/>
  <c r="BD303" i="4" s="1"/>
  <c r="AQ339" i="4"/>
  <c r="AQ347" i="4"/>
  <c r="BD347" i="4" s="1"/>
  <c r="AQ116" i="4"/>
  <c r="AQ91" i="4"/>
  <c r="AX91" i="4" s="1"/>
  <c r="AQ220" i="4"/>
  <c r="AQ54" i="4"/>
  <c r="AQ288" i="4"/>
  <c r="AX288" i="4" s="1"/>
  <c r="AQ431" i="4"/>
  <c r="AX431" i="4" s="1"/>
  <c r="AQ377" i="4"/>
  <c r="BD377" i="4" s="1"/>
  <c r="AQ343" i="4"/>
  <c r="AQ210" i="4"/>
  <c r="AX210" i="4" s="1"/>
  <c r="AQ345" i="4"/>
  <c r="AX345" i="4" s="1"/>
  <c r="AQ380" i="4"/>
  <c r="BD380" i="4" s="1"/>
  <c r="AQ430" i="4"/>
  <c r="AQ139" i="4"/>
  <c r="AX139" i="4" s="1"/>
  <c r="AQ135" i="4"/>
  <c r="AQ196" i="4"/>
  <c r="AX196" i="4" s="1"/>
  <c r="AQ391" i="4"/>
  <c r="AQ27" i="4"/>
  <c r="AX27" i="4" s="1"/>
  <c r="AQ318" i="4"/>
  <c r="AQ328" i="4"/>
  <c r="AQ37" i="4"/>
  <c r="AX37" i="4" s="1"/>
  <c r="AQ296" i="4"/>
  <c r="AX296" i="4" s="1"/>
  <c r="AQ289" i="4"/>
  <c r="AQ158" i="4"/>
  <c r="AQ105" i="4"/>
  <c r="AX105" i="4" s="1"/>
  <c r="AQ422" i="4"/>
  <c r="AX422" i="4" s="1"/>
  <c r="AQ73" i="4"/>
  <c r="AQ324" i="4"/>
  <c r="AQ405" i="4"/>
  <c r="BD405" i="4" s="1"/>
  <c r="AQ272" i="4"/>
  <c r="AX272" i="4" s="1"/>
  <c r="AQ236" i="4"/>
  <c r="AX236" i="4" s="1"/>
  <c r="AQ232" i="4"/>
  <c r="AQ179" i="4"/>
  <c r="AX179" i="4" s="1"/>
  <c r="AQ335" i="4"/>
  <c r="BD335" i="4" s="1"/>
  <c r="AQ150" i="4"/>
  <c r="AX150" i="4" s="1"/>
  <c r="AQ154" i="4"/>
  <c r="AQ138" i="4"/>
  <c r="BD138" i="4" s="1"/>
  <c r="AQ115" i="4"/>
  <c r="AX115" i="4" s="1"/>
  <c r="AQ177" i="4"/>
  <c r="AQ375" i="4"/>
  <c r="AQ387" i="4"/>
  <c r="AX387" i="4" s="1"/>
  <c r="AQ77" i="4"/>
  <c r="AQ414" i="4"/>
  <c r="AX414" i="4" s="1"/>
  <c r="AQ371" i="4"/>
  <c r="AQ314" i="4"/>
  <c r="AX314" i="4" s="1"/>
  <c r="AQ208" i="4"/>
  <c r="AX208" i="4" s="1"/>
  <c r="AQ55" i="4"/>
  <c r="AQ355" i="4"/>
  <c r="AQ222" i="4"/>
  <c r="AX222" i="4" s="1"/>
  <c r="AQ332" i="4"/>
  <c r="AX332" i="4" s="1"/>
  <c r="AQ96" i="4"/>
  <c r="BD96" i="4" s="1"/>
  <c r="AQ92" i="4"/>
  <c r="AQ51" i="4"/>
  <c r="AQ333" i="4"/>
  <c r="AQ114" i="4"/>
  <c r="AX114" i="4" s="1"/>
  <c r="AQ207" i="4"/>
  <c r="AQ90" i="4"/>
  <c r="AX90" i="4" s="1"/>
  <c r="AQ119" i="4"/>
  <c r="AX119" i="4" s="1"/>
  <c r="AQ31" i="4"/>
  <c r="AX31" i="4" s="1"/>
  <c r="AQ99" i="4"/>
  <c r="AQ83" i="4"/>
  <c r="AQ148" i="4"/>
  <c r="AQ162" i="4"/>
  <c r="AQ163" i="4"/>
  <c r="AQ176" i="4"/>
  <c r="AX176" i="4" s="1"/>
  <c r="AQ359" i="4"/>
  <c r="AX359" i="4" s="1"/>
  <c r="AQ152" i="4"/>
  <c r="AQ40" i="4"/>
  <c r="AQ19" i="4"/>
  <c r="AQ238" i="4"/>
  <c r="AX238" i="4" s="1"/>
  <c r="AQ365" i="4"/>
  <c r="AQ86" i="4"/>
  <c r="AQ111" i="4"/>
  <c r="AQ353" i="4"/>
  <c r="AX353" i="4" s="1"/>
  <c r="AQ268" i="4"/>
  <c r="AQ50" i="4"/>
  <c r="AQ130" i="4"/>
  <c r="AX130" i="4" s="1"/>
  <c r="AQ257" i="4"/>
  <c r="AQ278" i="4"/>
  <c r="AQ286" i="4"/>
  <c r="AQ45" i="4"/>
  <c r="AQ308" i="4"/>
  <c r="AQ63" i="4"/>
  <c r="AQ173" i="4"/>
  <c r="AQ48" i="4"/>
  <c r="AQ13" i="4"/>
  <c r="BD13" i="4" s="1"/>
  <c r="AQ69" i="4"/>
  <c r="AQ161" i="4"/>
  <c r="AQ219" i="4"/>
  <c r="AQ349" i="4"/>
  <c r="BD349" i="4" s="1"/>
  <c r="AQ39" i="4"/>
  <c r="AQ67" i="4"/>
  <c r="AQ140" i="4"/>
  <c r="BD140" i="4" s="1"/>
  <c r="AQ237" i="4"/>
  <c r="AQ214" i="4"/>
  <c r="AQ302" i="4"/>
  <c r="AQ144" i="4"/>
  <c r="BD144" i="4" s="1"/>
  <c r="AQ316" i="4"/>
  <c r="AQ206" i="4"/>
  <c r="AQ167" i="4"/>
  <c r="AQ202" i="4"/>
  <c r="BD202" i="4" s="1"/>
  <c r="AQ351" i="4"/>
  <c r="BD351" i="4" s="1"/>
  <c r="AQ309" i="4"/>
  <c r="AQ428" i="4"/>
  <c r="AQ166" i="4"/>
  <c r="AQ424" i="4"/>
  <c r="AQ107" i="4"/>
  <c r="P9" i="5"/>
  <c r="AX20" i="4" l="1"/>
  <c r="AX62" i="4"/>
  <c r="AX352" i="4"/>
  <c r="AX149" i="4"/>
  <c r="BD378" i="4"/>
  <c r="AX283" i="4"/>
  <c r="BD394" i="4"/>
  <c r="AX334" i="4"/>
  <c r="AX384" i="4"/>
  <c r="BD195" i="4"/>
  <c r="BD420" i="4"/>
  <c r="AX411" i="4"/>
  <c r="AX400" i="4"/>
  <c r="BD368" i="4"/>
  <c r="BD211" i="4"/>
  <c r="BD201" i="4"/>
  <c r="AX417" i="4"/>
  <c r="BD227" i="4"/>
  <c r="AX364" i="4"/>
  <c r="AX376" i="4"/>
  <c r="AX340" i="4"/>
  <c r="AX382" i="4"/>
  <c r="BD28" i="4"/>
  <c r="BD18" i="4"/>
  <c r="BD425" i="4"/>
  <c r="AX425" i="4"/>
  <c r="AX221" i="4"/>
  <c r="BD342" i="4"/>
  <c r="BD26" i="4"/>
  <c r="AX281" i="4"/>
  <c r="BD147" i="4"/>
  <c r="BD273" i="4"/>
  <c r="AX413" i="4"/>
  <c r="BD305" i="4"/>
  <c r="AX319" i="4"/>
  <c r="BD336" i="4"/>
  <c r="BD261" i="4"/>
  <c r="BD56" i="4"/>
  <c r="BD215" i="4"/>
  <c r="BD72" i="4"/>
  <c r="BD398" i="4"/>
  <c r="AX396" i="4"/>
  <c r="BD36" i="4"/>
  <c r="AX247" i="4"/>
  <c r="AX358" i="4"/>
  <c r="AX188" i="4"/>
  <c r="AX407" i="4"/>
  <c r="AX202" i="4"/>
  <c r="BD290" i="4"/>
  <c r="BD139" i="4"/>
  <c r="AX393" i="4"/>
  <c r="AX103" i="4"/>
  <c r="BD326" i="4"/>
  <c r="BD427" i="4"/>
  <c r="BD185" i="4"/>
  <c r="BD189" i="4"/>
  <c r="BD160" i="4"/>
  <c r="BD112" i="4"/>
  <c r="BD253" i="4"/>
  <c r="BD104" i="4"/>
  <c r="AX293" i="4"/>
  <c r="BD329" i="4"/>
  <c r="AX239" i="4"/>
  <c r="BD383" i="4"/>
  <c r="AX205" i="4"/>
  <c r="BD208" i="4"/>
  <c r="BD359" i="4"/>
  <c r="AX304" i="4"/>
  <c r="BD168" i="4"/>
  <c r="AX116" i="4"/>
  <c r="AX197" i="4"/>
  <c r="AX357" i="4"/>
  <c r="BD410" i="4"/>
  <c r="AX218" i="4"/>
  <c r="AX386" i="4"/>
  <c r="BD79" i="4"/>
  <c r="AX30" i="4"/>
  <c r="BD276" i="4"/>
  <c r="BD402" i="4"/>
  <c r="AX97" i="4"/>
  <c r="BD199" i="4"/>
  <c r="AX248" i="4"/>
  <c r="BD431" i="4"/>
  <c r="BD302" i="4"/>
  <c r="BD243" i="4"/>
  <c r="BD218" i="4"/>
  <c r="BD166" i="4"/>
  <c r="BD173" i="4"/>
  <c r="AX391" i="4"/>
  <c r="AX92" i="4"/>
  <c r="BD374" i="4"/>
  <c r="BD130" i="4"/>
  <c r="BD332" i="4"/>
  <c r="AX317" i="4"/>
  <c r="AX256" i="4"/>
  <c r="AX274" i="4"/>
  <c r="AX99" i="4"/>
  <c r="BD65" i="4"/>
  <c r="AX207" i="4"/>
  <c r="AX212" i="4"/>
  <c r="AX282" i="4"/>
  <c r="AX153" i="4"/>
  <c r="BD379" i="4"/>
  <c r="BD163" i="4"/>
  <c r="AX355" i="4"/>
  <c r="BD306" i="4"/>
  <c r="AX154" i="4"/>
  <c r="BD103" i="4"/>
  <c r="AX48" i="4"/>
  <c r="BD210" i="4"/>
  <c r="BD233" i="4"/>
  <c r="BD85" i="4"/>
  <c r="BD375" i="4"/>
  <c r="AX146" i="4"/>
  <c r="BD27" i="4"/>
  <c r="BD90" i="4"/>
  <c r="AX183" i="4"/>
  <c r="BD187" i="4"/>
  <c r="BD40" i="4"/>
  <c r="BD327" i="4"/>
  <c r="AX15" i="4"/>
  <c r="AX416" i="4"/>
  <c r="BD111" i="4"/>
  <c r="AX381" i="4"/>
  <c r="BD115" i="4"/>
  <c r="AX257" i="4"/>
  <c r="BD232" i="4"/>
  <c r="AX83" i="4"/>
  <c r="BD194" i="4"/>
  <c r="BD238" i="4"/>
  <c r="BD265" i="4"/>
  <c r="BD174" i="4"/>
  <c r="BD188" i="4"/>
  <c r="AX71" i="4"/>
  <c r="BD171" i="4"/>
  <c r="AX330" i="4"/>
  <c r="BD23" i="4"/>
  <c r="AX401" i="4"/>
  <c r="AX152" i="4"/>
  <c r="BD122" i="4"/>
  <c r="BD341" i="4"/>
  <c r="AX388" i="4"/>
  <c r="AX155" i="4"/>
  <c r="BD59" i="4"/>
  <c r="BD249" i="4"/>
  <c r="BD49" i="4"/>
  <c r="BD75" i="4"/>
  <c r="AX108" i="4"/>
  <c r="BD229" i="4"/>
  <c r="BD321" i="4"/>
  <c r="AX362" i="4"/>
  <c r="AX41" i="4"/>
  <c r="AX151" i="4"/>
  <c r="BD304" i="4"/>
  <c r="AX168" i="4"/>
  <c r="AX278" i="4"/>
  <c r="AX224" i="4"/>
  <c r="AX123" i="4"/>
  <c r="BD324" i="4"/>
  <c r="BD300" i="4"/>
  <c r="AX262" i="4"/>
  <c r="AX338" i="4"/>
  <c r="AX419" i="4"/>
  <c r="AX109" i="4"/>
  <c r="AX199" i="4"/>
  <c r="AX240" i="4"/>
  <c r="AX302" i="4"/>
  <c r="AX89" i="4"/>
  <c r="AX405" i="4"/>
  <c r="BD260" i="4"/>
  <c r="BD234" i="4"/>
  <c r="AX268" i="4"/>
  <c r="BD403" i="4"/>
  <c r="BD289" i="4"/>
  <c r="AX140" i="4"/>
  <c r="BD19" i="4"/>
  <c r="BD37" i="4"/>
  <c r="AX161" i="4"/>
  <c r="AX54" i="4"/>
  <c r="BD31" i="4"/>
  <c r="AX184" i="4"/>
  <c r="BD17" i="4"/>
  <c r="BD264" i="4"/>
  <c r="BD39" i="4"/>
  <c r="AX410" i="4"/>
  <c r="BD108" i="4"/>
  <c r="AX47" i="4"/>
  <c r="BD126" i="4"/>
  <c r="BD179" i="4"/>
  <c r="BD250" i="4"/>
  <c r="AX430" i="4"/>
  <c r="AX426" i="4"/>
  <c r="BD167" i="4"/>
  <c r="AX284" i="4"/>
  <c r="AX96" i="4"/>
  <c r="AX170" i="4"/>
  <c r="BD421" i="4"/>
  <c r="BD150" i="4"/>
  <c r="BD343" i="4"/>
  <c r="BD63" i="4"/>
  <c r="BD105" i="4"/>
  <c r="BD177" i="4"/>
  <c r="AX328" i="4"/>
  <c r="BD67" i="4"/>
  <c r="AX35" i="4"/>
  <c r="BD44" i="4"/>
  <c r="AX324" i="4"/>
  <c r="BD33" i="4"/>
  <c r="AX377" i="4"/>
  <c r="AX375" i="4"/>
  <c r="AX181" i="4"/>
  <c r="AX246" i="4"/>
  <c r="BD228" i="4"/>
  <c r="BD399" i="4"/>
  <c r="BD280" i="4"/>
  <c r="BD132" i="4"/>
  <c r="AX320" i="4"/>
  <c r="BD70" i="4"/>
  <c r="BD428" i="4"/>
  <c r="AX214" i="4"/>
  <c r="BD385" i="4"/>
  <c r="BD423" i="4"/>
  <c r="AX127" i="4"/>
  <c r="BD86" i="4"/>
  <c r="BD381" i="4"/>
  <c r="BD257" i="4"/>
  <c r="AX380" i="4"/>
  <c r="AX347" i="4"/>
  <c r="AX232" i="4"/>
  <c r="BD83" i="4"/>
  <c r="AX194" i="4"/>
  <c r="BD196" i="4"/>
  <c r="BD370" i="4"/>
  <c r="AX180" i="4"/>
  <c r="BD192" i="4"/>
  <c r="BD330" i="4"/>
  <c r="AX23" i="4"/>
  <c r="BD401" i="4"/>
  <c r="BD356" i="4"/>
  <c r="BD162" i="4"/>
  <c r="AX38" i="4"/>
  <c r="BD373" i="4"/>
  <c r="AX415" i="4"/>
  <c r="BD164" i="4"/>
  <c r="AX43" i="4"/>
  <c r="AX390" i="4"/>
  <c r="AX203" i="4"/>
  <c r="AX213" i="4"/>
  <c r="AX49" i="4"/>
  <c r="BD182" i="4"/>
  <c r="BD286" i="4"/>
  <c r="AX303" i="4"/>
  <c r="BD346" i="4"/>
  <c r="BD21" i="4"/>
  <c r="BD41" i="4"/>
  <c r="AX186" i="4"/>
  <c r="AX361" i="4"/>
  <c r="AX60" i="4"/>
  <c r="AX336" i="4"/>
  <c r="AX298" i="4"/>
  <c r="AX316" i="4"/>
  <c r="BD148" i="4"/>
  <c r="BD278" i="4"/>
  <c r="BD80" i="4"/>
  <c r="BD98" i="4"/>
  <c r="AX166" i="4"/>
  <c r="BD35" i="4"/>
  <c r="BD45" i="4"/>
  <c r="AX70" i="4"/>
  <c r="BD206" i="4"/>
  <c r="AX337" i="4"/>
  <c r="BD48" i="4"/>
  <c r="BD61" i="4"/>
  <c r="BD47" i="4"/>
  <c r="BD209" i="4"/>
  <c r="AX310" i="4"/>
  <c r="AX204" i="4"/>
  <c r="AX107" i="4"/>
  <c r="BD135" i="4"/>
  <c r="BD308" i="4"/>
  <c r="BD73" i="4"/>
  <c r="AX229" i="4"/>
  <c r="BD165" i="4"/>
  <c r="AX313" i="4"/>
  <c r="AX286" i="4"/>
  <c r="AX234" i="4"/>
  <c r="BD268" i="4"/>
  <c r="AX403" i="4"/>
  <c r="AX289" i="4"/>
  <c r="AX19" i="4"/>
  <c r="AX429" i="4"/>
  <c r="BD161" i="4"/>
  <c r="BD54" i="4"/>
  <c r="AX292" i="4"/>
  <c r="AX220" i="4"/>
  <c r="AX17" i="4"/>
  <c r="AX39" i="4"/>
  <c r="AX209" i="4"/>
  <c r="BD357" i="4"/>
  <c r="AX126" i="4"/>
  <c r="AX250" i="4"/>
  <c r="BD430" i="4"/>
  <c r="BD426" i="4"/>
  <c r="AX167" i="4"/>
  <c r="BD270" i="4"/>
  <c r="BD87" i="4"/>
  <c r="AX142" i="4"/>
  <c r="BD275" i="4"/>
  <c r="AX343" i="4"/>
  <c r="AX63" i="4"/>
  <c r="AX177" i="4"/>
  <c r="BD328" i="4"/>
  <c r="AX67" i="4"/>
  <c r="AX182" i="4"/>
  <c r="AX61" i="4"/>
  <c r="AX125" i="4"/>
  <c r="AX371" i="4"/>
  <c r="BD77" i="4"/>
  <c r="AX418" i="4"/>
  <c r="BD158" i="4"/>
  <c r="BD395" i="4"/>
  <c r="BD365" i="4"/>
  <c r="AX219" i="4"/>
  <c r="BD237" i="4"/>
  <c r="AX81" i="4"/>
  <c r="BD198" i="4"/>
  <c r="BD69" i="4"/>
  <c r="AX68" i="4"/>
  <c r="AX132" i="4"/>
  <c r="BD422" i="4"/>
  <c r="BD353" i="4"/>
  <c r="BD320" i="4"/>
  <c r="AX373" i="4"/>
  <c r="BD252" i="4"/>
  <c r="AX206" i="4"/>
  <c r="BD214" i="4"/>
  <c r="AX385" i="4"/>
  <c r="AX309" i="4"/>
  <c r="AX86" i="4"/>
  <c r="BD397" i="4"/>
  <c r="AX131" i="4"/>
  <c r="BD55" i="4"/>
  <c r="AX50" i="4"/>
  <c r="BD88" i="4"/>
  <c r="BD339" i="4"/>
  <c r="AX66" i="4"/>
  <c r="BD51" i="4"/>
  <c r="BD333" i="4"/>
  <c r="AX156" i="4"/>
  <c r="AX370" i="4"/>
  <c r="BD180" i="4"/>
  <c r="AX192" i="4"/>
  <c r="BD407" i="4"/>
  <c r="BD369" i="4"/>
  <c r="AX121" i="4"/>
  <c r="BD76" i="4"/>
  <c r="BD272" i="4"/>
  <c r="AX162" i="4"/>
  <c r="AX235" i="4"/>
  <c r="BD200" i="4"/>
  <c r="BD313" i="4"/>
  <c r="BD412" i="4"/>
  <c r="BD318" i="4"/>
  <c r="AX427" i="4"/>
  <c r="AX164" i="4"/>
  <c r="AX322" i="4"/>
  <c r="AX136" i="4"/>
  <c r="BD363" i="4"/>
  <c r="BD242" i="4"/>
  <c r="AX189" i="4"/>
  <c r="BD124" i="4"/>
  <c r="BD176" i="4"/>
  <c r="AX351" i="4"/>
  <c r="AX144" i="4"/>
  <c r="BD217" i="4"/>
  <c r="AX252" i="4"/>
  <c r="AX424" i="4"/>
  <c r="BD371" i="4"/>
  <c r="BD84" i="4"/>
  <c r="AX193" i="4"/>
  <c r="BD312" i="4"/>
  <c r="AX383" i="4"/>
  <c r="BD205" i="4"/>
  <c r="AX226" i="4"/>
  <c r="AX406" i="4"/>
  <c r="BD298" i="4"/>
  <c r="BD316" i="4"/>
  <c r="AX148" i="4"/>
  <c r="BD116" i="4"/>
  <c r="BD129" i="4"/>
  <c r="BD266" i="4"/>
  <c r="BD432" i="4"/>
  <c r="AX44" i="4"/>
  <c r="AX428" i="4"/>
  <c r="AX254" i="4"/>
  <c r="BD367" i="4"/>
  <c r="BD190" i="4"/>
  <c r="AX165" i="4"/>
  <c r="BD258" i="4"/>
  <c r="AX33" i="4"/>
  <c r="BD157" i="4"/>
  <c r="BD404" i="4"/>
  <c r="BD97" i="4"/>
  <c r="BD178" i="4"/>
  <c r="BD204" i="4"/>
  <c r="BD408" i="4"/>
  <c r="AX230" i="4"/>
  <c r="BD107" i="4"/>
  <c r="AX135" i="4"/>
  <c r="AX308" i="4"/>
  <c r="AX73" i="4"/>
  <c r="AX367" i="4"/>
  <c r="BD91" i="4"/>
  <c r="AX392" i="4"/>
  <c r="BD314" i="4"/>
  <c r="AX45" i="4"/>
  <c r="BD152" i="4"/>
  <c r="BD288" i="4"/>
  <c r="AX173" i="4"/>
  <c r="BD119" i="4"/>
  <c r="BD387" i="4"/>
  <c r="BD296" i="4"/>
  <c r="BD57" i="4"/>
  <c r="BD391" i="4"/>
  <c r="AX117" i="4"/>
  <c r="BD92" i="4"/>
  <c r="AX374" i="4"/>
  <c r="AX244" i="4"/>
  <c r="BD292" i="4"/>
  <c r="AX106" i="4"/>
  <c r="BD220" i="4"/>
  <c r="BD128" i="4"/>
  <c r="AX349" i="4"/>
  <c r="BD386" i="4"/>
  <c r="AX101" i="4"/>
  <c r="AX432" i="4"/>
  <c r="AX412" i="4"/>
  <c r="BD424" i="4"/>
  <c r="AX318" i="4"/>
  <c r="BD99" i="4"/>
  <c r="BD64" i="4"/>
  <c r="AX65" i="4"/>
  <c r="BD93" i="4"/>
  <c r="BD207" i="4"/>
  <c r="BD114" i="4"/>
  <c r="AX270" i="4"/>
  <c r="AX87" i="4"/>
  <c r="BD142" i="4"/>
  <c r="AX275" i="4"/>
  <c r="BD414" i="4"/>
  <c r="AX223" i="4"/>
  <c r="BD153" i="4"/>
  <c r="BD29" i="4"/>
  <c r="AX13" i="4"/>
  <c r="AX163" i="4"/>
  <c r="BD236" i="4"/>
  <c r="BD222" i="4"/>
  <c r="BD355" i="4"/>
  <c r="AX306" i="4"/>
  <c r="BD154" i="4"/>
  <c r="AX217" i="4"/>
  <c r="AX300" i="4"/>
  <c r="AX122" i="4"/>
  <c r="AX98" i="4"/>
  <c r="AX258" i="4"/>
  <c r="AX335" i="4"/>
  <c r="AX77" i="4"/>
  <c r="BD418" i="4"/>
  <c r="AX158" i="4"/>
  <c r="AX395" i="4"/>
  <c r="AX365" i="4"/>
  <c r="BD219" i="4"/>
  <c r="AX237" i="4"/>
  <c r="BD81" i="4"/>
  <c r="AX198" i="4"/>
  <c r="AX69" i="4"/>
  <c r="BD68" i="4"/>
  <c r="BD345" i="4"/>
  <c r="AX187" i="4"/>
  <c r="AX40" i="4"/>
  <c r="AX53" i="4"/>
  <c r="BD113" i="4"/>
  <c r="BD415" i="4"/>
  <c r="BD134" i="4"/>
  <c r="BD38" i="4"/>
  <c r="AX175" i="4"/>
  <c r="AX294" i="4"/>
  <c r="BD137" i="4"/>
  <c r="BD172" i="4"/>
  <c r="AX95" i="4"/>
  <c r="BD309" i="4"/>
  <c r="AX111" i="4"/>
  <c r="AX397" i="4"/>
  <c r="BD131" i="4"/>
  <c r="AX55" i="4"/>
  <c r="BD50" i="4"/>
  <c r="AX88" i="4"/>
  <c r="AX339" i="4"/>
  <c r="BD66" i="4"/>
  <c r="AX51" i="4"/>
  <c r="AX138" i="4"/>
  <c r="AX42" i="4"/>
  <c r="AX333" i="4"/>
  <c r="BD156" i="4"/>
  <c r="AA14" i="36" l="1"/>
  <c r="AA15" i="36"/>
  <c r="AA16" i="36"/>
  <c r="AA17" i="36"/>
  <c r="AA18" i="36"/>
  <c r="AA19" i="36"/>
  <c r="AA20" i="36"/>
  <c r="AA21" i="36"/>
  <c r="AA22" i="36"/>
  <c r="AA23" i="36"/>
  <c r="AA24" i="36"/>
  <c r="AA25" i="36"/>
  <c r="AA27" i="36"/>
  <c r="AA28" i="36"/>
  <c r="AA29" i="36"/>
  <c r="AA30" i="36"/>
  <c r="AA31" i="36"/>
  <c r="AA32" i="36"/>
  <c r="AA33" i="36"/>
  <c r="AA34" i="36"/>
  <c r="AA35" i="36"/>
  <c r="AA36" i="36"/>
  <c r="AA37" i="36"/>
  <c r="AA38" i="36"/>
  <c r="AA39" i="36"/>
  <c r="AA40" i="36"/>
  <c r="AA41" i="36"/>
  <c r="AA42" i="36"/>
  <c r="AA43" i="36"/>
  <c r="AA44" i="36"/>
  <c r="AA45" i="36"/>
  <c r="AA46" i="36"/>
  <c r="AA47" i="36"/>
  <c r="AA48" i="36"/>
  <c r="AA49" i="36"/>
  <c r="AA50" i="36"/>
  <c r="AA51" i="36"/>
  <c r="AA52" i="36"/>
  <c r="AA53" i="36"/>
  <c r="AA54" i="36"/>
  <c r="AA55" i="36"/>
  <c r="AA56" i="36"/>
  <c r="AA57" i="36"/>
  <c r="AA58" i="36"/>
  <c r="AA59" i="36"/>
  <c r="AA60" i="36"/>
  <c r="AA61" i="36"/>
  <c r="AA62" i="36"/>
  <c r="AA63" i="36"/>
  <c r="AA64" i="36"/>
  <c r="AA65" i="36"/>
  <c r="AA66" i="36"/>
  <c r="AA67" i="36"/>
  <c r="AA68" i="36"/>
  <c r="AA69" i="36"/>
  <c r="AA70" i="36"/>
  <c r="AA71" i="36"/>
  <c r="AA72" i="36"/>
  <c r="AA73" i="36"/>
  <c r="AA74" i="36"/>
  <c r="AA75" i="36"/>
  <c r="AA76" i="36"/>
  <c r="AA77" i="36"/>
  <c r="AA78" i="36"/>
  <c r="AA79" i="36"/>
  <c r="AA80" i="36"/>
  <c r="AA81" i="36"/>
  <c r="AA82" i="36"/>
  <c r="AA83" i="36"/>
  <c r="AA84" i="36"/>
  <c r="AA85" i="36"/>
  <c r="AA86" i="36"/>
  <c r="AA87" i="36"/>
  <c r="AA88" i="36"/>
  <c r="AA89" i="36"/>
  <c r="AA90" i="36"/>
  <c r="AA91" i="36"/>
  <c r="AA92" i="36"/>
  <c r="AA93" i="36"/>
  <c r="AA94" i="36"/>
  <c r="AA95" i="36"/>
  <c r="AA96" i="36"/>
  <c r="AA97" i="36"/>
  <c r="AA98" i="36"/>
  <c r="AA99" i="36"/>
  <c r="AA100" i="36"/>
  <c r="AA101" i="36"/>
  <c r="AA102" i="36"/>
  <c r="AA103" i="36"/>
  <c r="AA104" i="36"/>
  <c r="AA105" i="36"/>
  <c r="AA106" i="36"/>
  <c r="AA107" i="36"/>
  <c r="AA108" i="36"/>
  <c r="AA109" i="36"/>
  <c r="AA110" i="36"/>
  <c r="AA111" i="36"/>
  <c r="AA112" i="36"/>
  <c r="AA113" i="36"/>
  <c r="AA114" i="36"/>
  <c r="AA115" i="36"/>
  <c r="AA116" i="36"/>
  <c r="AA117" i="36"/>
  <c r="AA118" i="36"/>
  <c r="AA119" i="36"/>
  <c r="AA120" i="36"/>
  <c r="AA121" i="36"/>
  <c r="AA122" i="36"/>
  <c r="AA123" i="36"/>
  <c r="AA124" i="36"/>
  <c r="AA125" i="36"/>
  <c r="AA126" i="36"/>
  <c r="AA127" i="36"/>
  <c r="AA128" i="36"/>
  <c r="AA129" i="36"/>
  <c r="AA130" i="36"/>
  <c r="AA131" i="36"/>
  <c r="AA132" i="36"/>
  <c r="AA133" i="36"/>
  <c r="AA134" i="36"/>
  <c r="AA135" i="36"/>
  <c r="AA136" i="36"/>
  <c r="AA137" i="36"/>
  <c r="AA138" i="36"/>
  <c r="AA139" i="36"/>
  <c r="AA140" i="36"/>
  <c r="AA141" i="36"/>
  <c r="AA142" i="36"/>
  <c r="AA143" i="36"/>
  <c r="AA144" i="36"/>
  <c r="AA145" i="36"/>
  <c r="AA146" i="36"/>
  <c r="AA147" i="36"/>
  <c r="AA148" i="36"/>
  <c r="AA149" i="36"/>
  <c r="AA150" i="36"/>
  <c r="AA151" i="36"/>
  <c r="AA152" i="36"/>
  <c r="AA153" i="36"/>
  <c r="AA154" i="36"/>
  <c r="AA155" i="36"/>
  <c r="AA156" i="36"/>
  <c r="AA157" i="36"/>
  <c r="AA158" i="36"/>
  <c r="AA159" i="36"/>
  <c r="AA160" i="36"/>
  <c r="AA161" i="36"/>
  <c r="AA162" i="36"/>
  <c r="AA163" i="36"/>
  <c r="AA164" i="36"/>
  <c r="AA165" i="36"/>
  <c r="AA166" i="36"/>
  <c r="AA167" i="36"/>
  <c r="AA168" i="36"/>
  <c r="AA169" i="36"/>
  <c r="AA170" i="36"/>
  <c r="AA171" i="36"/>
  <c r="AA172" i="36"/>
  <c r="AA173" i="36"/>
  <c r="AA174" i="36"/>
  <c r="AA175" i="36"/>
  <c r="AA176" i="36"/>
  <c r="AA177" i="36"/>
  <c r="AA178" i="36"/>
  <c r="AA179" i="36"/>
  <c r="AA180" i="36"/>
  <c r="AA181" i="36"/>
  <c r="AA182" i="36"/>
  <c r="AA183" i="36"/>
  <c r="AA184" i="36"/>
  <c r="AA185" i="36"/>
  <c r="AA186" i="36"/>
  <c r="AA187" i="36"/>
  <c r="AA188" i="36"/>
  <c r="AA189" i="36"/>
  <c r="AA190" i="36"/>
  <c r="AA191" i="36"/>
  <c r="AA192" i="36"/>
  <c r="AA193" i="36"/>
  <c r="AA194" i="36"/>
  <c r="AA195" i="36"/>
  <c r="AA196" i="36"/>
  <c r="AA197" i="36"/>
  <c r="AA198" i="36"/>
  <c r="AA199" i="36"/>
  <c r="AA200" i="36"/>
  <c r="AA201" i="36"/>
  <c r="AA202" i="36"/>
  <c r="AA203" i="36"/>
  <c r="AA204" i="36"/>
  <c r="AA206" i="36"/>
  <c r="AA207" i="36"/>
  <c r="AA208" i="36"/>
  <c r="AA209" i="36"/>
  <c r="AA210" i="36"/>
  <c r="AA211" i="36"/>
  <c r="AA212" i="36"/>
  <c r="AA213" i="36"/>
  <c r="AA214" i="36"/>
  <c r="AA215" i="36"/>
  <c r="AA216" i="36"/>
  <c r="AA223" i="36"/>
  <c r="AA224" i="36"/>
  <c r="AA225" i="36"/>
  <c r="AA226" i="36"/>
  <c r="AA228" i="36"/>
  <c r="AA229" i="36"/>
  <c r="AA230" i="36"/>
  <c r="AA231" i="36"/>
  <c r="AA232" i="36"/>
  <c r="AA235" i="36"/>
  <c r="AA236" i="36"/>
  <c r="AA240" i="36"/>
  <c r="AA243" i="36"/>
  <c r="AA246" i="36"/>
  <c r="AA249" i="36"/>
  <c r="AA250" i="36"/>
  <c r="AA253" i="36"/>
  <c r="AA262" i="36"/>
  <c r="AA267" i="36"/>
  <c r="AA271" i="36"/>
  <c r="AA272" i="36"/>
  <c r="AA273" i="36"/>
  <c r="AA276" i="36"/>
  <c r="AA280" i="36"/>
  <c r="AA285" i="36"/>
  <c r="AA286" i="36"/>
  <c r="AA287" i="36"/>
  <c r="AA288" i="36"/>
  <c r="AA289" i="36"/>
  <c r="AA290" i="36"/>
  <c r="AA291" i="36"/>
  <c r="AA292" i="36"/>
  <c r="AA293" i="36"/>
  <c r="AA294" i="36"/>
  <c r="AA295" i="36"/>
  <c r="AA299" i="36"/>
  <c r="AA302" i="36"/>
  <c r="AA303" i="36"/>
  <c r="AA304" i="36"/>
  <c r="AA308" i="36"/>
  <c r="AA309" i="36"/>
  <c r="AA310" i="36"/>
  <c r="AA311" i="36"/>
  <c r="AA312" i="36"/>
  <c r="AA314" i="36"/>
  <c r="AA315" i="36"/>
  <c r="AA316" i="36"/>
  <c r="AA317" i="36"/>
  <c r="AA319" i="36"/>
  <c r="AA320" i="36"/>
  <c r="AA321" i="36"/>
  <c r="AA330" i="36"/>
  <c r="AA332" i="36"/>
  <c r="AA333" i="36"/>
  <c r="AA336" i="36"/>
  <c r="AA340" i="36"/>
  <c r="AA341" i="36"/>
  <c r="AA347" i="36"/>
  <c r="AA349" i="36"/>
  <c r="AA351" i="36"/>
  <c r="AA353" i="36"/>
  <c r="AA354" i="36"/>
  <c r="AA356" i="36"/>
  <c r="AA357" i="36"/>
  <c r="AA358" i="36"/>
  <c r="AA359" i="36"/>
  <c r="AA360" i="36"/>
  <c r="AA361" i="36"/>
  <c r="AA362" i="36"/>
  <c r="AA363" i="36"/>
  <c r="AA365" i="36"/>
  <c r="AA366" i="36"/>
  <c r="AA367" i="36"/>
  <c r="AA368" i="36"/>
  <c r="AA369" i="36"/>
  <c r="AA371" i="36"/>
  <c r="AA372" i="36"/>
  <c r="AA373" i="36"/>
  <c r="AA374" i="36"/>
  <c r="AA375" i="36"/>
  <c r="AA376" i="36"/>
  <c r="AA377" i="36"/>
  <c r="AA378" i="36"/>
  <c r="AA379" i="36"/>
  <c r="AA380" i="36"/>
  <c r="AA381" i="36"/>
  <c r="AA382" i="36"/>
  <c r="AA383" i="36"/>
  <c r="AA384" i="36"/>
  <c r="AA385" i="36"/>
  <c r="AA386" i="36"/>
  <c r="AA387" i="36"/>
  <c r="AA388" i="36"/>
  <c r="AA389" i="36"/>
  <c r="AA390" i="36"/>
  <c r="AA391" i="36"/>
  <c r="AA392" i="36"/>
  <c r="AA393" i="36"/>
  <c r="AA394" i="36"/>
  <c r="AA395" i="36"/>
  <c r="AA396" i="36"/>
  <c r="AA397" i="36"/>
  <c r="AA398" i="36"/>
  <c r="AA399" i="36"/>
  <c r="AA400" i="36"/>
  <c r="AA401" i="36"/>
  <c r="AA402" i="36"/>
  <c r="AA403" i="36"/>
  <c r="AA404" i="36"/>
  <c r="AA405" i="36"/>
  <c r="AA406" i="36"/>
  <c r="AA407" i="36"/>
  <c r="AA408" i="36"/>
  <c r="AA409" i="36"/>
  <c r="AA410" i="36"/>
  <c r="AA411" i="36"/>
  <c r="AA412" i="36"/>
  <c r="AA413" i="36"/>
  <c r="AA414" i="36"/>
  <c r="AA415" i="36"/>
  <c r="AA416" i="36"/>
  <c r="AA417" i="36"/>
  <c r="AA418" i="36"/>
  <c r="AA419" i="36"/>
  <c r="AA420" i="36"/>
  <c r="AA421" i="36"/>
  <c r="AA422" i="36"/>
  <c r="AA423" i="36"/>
  <c r="AA424" i="36"/>
  <c r="AA425" i="36"/>
  <c r="AA426" i="36"/>
  <c r="AA427" i="36"/>
  <c r="AA428" i="36"/>
  <c r="AA429" i="36"/>
  <c r="AA430" i="36"/>
  <c r="AA431" i="36"/>
  <c r="AA432" i="36"/>
  <c r="AA433" i="36"/>
  <c r="S427" i="36"/>
  <c r="M427" i="36" s="1"/>
  <c r="S413" i="36"/>
  <c r="S412" i="36"/>
  <c r="S411" i="36"/>
  <c r="S410" i="36"/>
  <c r="S409" i="36"/>
  <c r="S408" i="36"/>
  <c r="S407" i="36"/>
  <c r="S406" i="36"/>
  <c r="S405" i="36"/>
  <c r="S404" i="36"/>
  <c r="S401" i="36"/>
  <c r="S400" i="36"/>
  <c r="S399" i="36"/>
  <c r="AI410" i="36" l="1"/>
  <c r="M410" i="36"/>
  <c r="AI401" i="36"/>
  <c r="M401" i="36"/>
  <c r="AI407" i="36"/>
  <c r="M407" i="36"/>
  <c r="AI411" i="36"/>
  <c r="M411" i="36"/>
  <c r="AI406" i="36"/>
  <c r="M406" i="36"/>
  <c r="AI404" i="36"/>
  <c r="M404" i="36"/>
  <c r="AI408" i="36"/>
  <c r="M408" i="36"/>
  <c r="AI412" i="36"/>
  <c r="M412" i="36"/>
  <c r="AI400" i="36"/>
  <c r="M400" i="36"/>
  <c r="AI399" i="36"/>
  <c r="M399" i="36"/>
  <c r="AI405" i="36"/>
  <c r="M405" i="36"/>
  <c r="AI409" i="36"/>
  <c r="M409" i="36"/>
  <c r="AI413" i="36"/>
  <c r="M413" i="36"/>
  <c r="J427" i="36"/>
  <c r="AI427" i="36"/>
  <c r="J406" i="36"/>
  <c r="J404" i="36"/>
  <c r="J407" i="36"/>
  <c r="J411" i="36"/>
  <c r="J408" i="36"/>
  <c r="J412" i="36"/>
  <c r="J399" i="36"/>
  <c r="J400" i="36"/>
  <c r="J405" i="36"/>
  <c r="J409" i="36"/>
  <c r="J413" i="36"/>
  <c r="J401" i="36"/>
  <c r="J410" i="36"/>
  <c r="AV400" i="4"/>
  <c r="AV399" i="4"/>
  <c r="AV412" i="4"/>
  <c r="AV404" i="4"/>
  <c r="AV411" i="4"/>
  <c r="AV408" i="4"/>
  <c r="AV398" i="4"/>
  <c r="AV407" i="4"/>
  <c r="AV426" i="4"/>
  <c r="AV410" i="4"/>
  <c r="AV406" i="4"/>
  <c r="AV403" i="4"/>
  <c r="AV409" i="4"/>
  <c r="AV405" i="4"/>
  <c r="S396" i="36"/>
  <c r="S397" i="36"/>
  <c r="S398" i="36"/>
  <c r="S402" i="36"/>
  <c r="S403" i="36"/>
  <c r="S414" i="36"/>
  <c r="S415" i="36"/>
  <c r="S416" i="36"/>
  <c r="S417" i="36"/>
  <c r="S418" i="36"/>
  <c r="S419" i="36"/>
  <c r="S420" i="36"/>
  <c r="S421" i="36"/>
  <c r="S422" i="36"/>
  <c r="S423" i="36"/>
  <c r="S424" i="36"/>
  <c r="S425" i="36"/>
  <c r="S426" i="36"/>
  <c r="S428" i="36"/>
  <c r="M428" i="36" s="1"/>
  <c r="S429" i="36"/>
  <c r="M429" i="36" s="1"/>
  <c r="S430" i="36"/>
  <c r="M430" i="36" s="1"/>
  <c r="S431" i="36"/>
  <c r="M431" i="36" s="1"/>
  <c r="S432" i="36"/>
  <c r="M432" i="36" s="1"/>
  <c r="S433" i="36"/>
  <c r="M433" i="36" s="1"/>
  <c r="AI425" i="36" l="1"/>
  <c r="M425" i="36"/>
  <c r="AI421" i="36"/>
  <c r="M421" i="36"/>
  <c r="AI417" i="36"/>
  <c r="M417" i="36"/>
  <c r="AI403" i="36"/>
  <c r="M403" i="36"/>
  <c r="AI396" i="36"/>
  <c r="M396" i="36"/>
  <c r="AI424" i="36"/>
  <c r="M424" i="36"/>
  <c r="AI420" i="36"/>
  <c r="M420" i="36"/>
  <c r="AI416" i="36"/>
  <c r="M416" i="36"/>
  <c r="AI402" i="36"/>
  <c r="M402" i="36"/>
  <c r="AI423" i="36"/>
  <c r="M423" i="36"/>
  <c r="AI419" i="36"/>
  <c r="M419" i="36"/>
  <c r="AI415" i="36"/>
  <c r="M415" i="36"/>
  <c r="AI398" i="36"/>
  <c r="M398" i="36"/>
  <c r="AI426" i="36"/>
  <c r="M426" i="36"/>
  <c r="AI422" i="36"/>
  <c r="M422" i="36"/>
  <c r="AI418" i="36"/>
  <c r="M418" i="36"/>
  <c r="P418" i="36" s="1"/>
  <c r="AI414" i="36"/>
  <c r="M414" i="36"/>
  <c r="AI397" i="36"/>
  <c r="M397" i="36"/>
  <c r="J432" i="36"/>
  <c r="AI432" i="36"/>
  <c r="J428" i="36"/>
  <c r="AI428" i="36"/>
  <c r="J433" i="36"/>
  <c r="AI433" i="36"/>
  <c r="J431" i="36"/>
  <c r="AI431" i="36"/>
  <c r="J430" i="36"/>
  <c r="AI430" i="36"/>
  <c r="J429" i="36"/>
  <c r="AI429" i="36"/>
  <c r="AT149" i="4"/>
  <c r="AV149" i="4"/>
  <c r="J424" i="36"/>
  <c r="J420" i="36"/>
  <c r="J416" i="36"/>
  <c r="J402" i="36"/>
  <c r="J423" i="36"/>
  <c r="J419" i="36"/>
  <c r="J415" i="36"/>
  <c r="J398" i="36"/>
  <c r="J426" i="36"/>
  <c r="J422" i="36"/>
  <c r="J418" i="36"/>
  <c r="J414" i="36"/>
  <c r="J397" i="36"/>
  <c r="J425" i="36"/>
  <c r="J421" i="36"/>
  <c r="J417" i="36"/>
  <c r="J403" i="36"/>
  <c r="J396" i="36"/>
  <c r="AA205" i="36"/>
  <c r="AV427" i="4"/>
  <c r="AV418" i="4"/>
  <c r="AV397" i="4"/>
  <c r="AV430" i="4"/>
  <c r="AV425" i="4"/>
  <c r="AV421" i="4"/>
  <c r="AV417" i="4"/>
  <c r="AV413" i="4"/>
  <c r="AV396" i="4"/>
  <c r="AV429" i="4"/>
  <c r="AV424" i="4"/>
  <c r="AV420" i="4"/>
  <c r="AV416" i="4"/>
  <c r="AV402" i="4"/>
  <c r="AV395" i="4"/>
  <c r="AV431" i="4"/>
  <c r="AV422" i="4"/>
  <c r="AV414" i="4"/>
  <c r="AV432" i="4"/>
  <c r="AV428" i="4"/>
  <c r="AV423" i="4"/>
  <c r="AV419" i="4"/>
  <c r="AV415" i="4"/>
  <c r="AV401" i="4"/>
  <c r="AZ149" i="4" l="1"/>
  <c r="AD150" i="36"/>
  <c r="S150" i="36"/>
  <c r="AI150" i="36" l="1"/>
  <c r="M150" i="36"/>
  <c r="J150" i="36"/>
  <c r="AA352" i="36"/>
  <c r="AA217" i="36"/>
  <c r="AA221" i="36"/>
  <c r="AA241" i="36"/>
  <c r="AA254" i="36"/>
  <c r="AA258" i="36"/>
  <c r="AA263" i="36"/>
  <c r="AA275" i="36"/>
  <c r="AA279" i="36"/>
  <c r="AA284" i="36"/>
  <c r="AA300" i="36"/>
  <c r="AA307" i="36"/>
  <c r="AA323" i="36"/>
  <c r="AA327" i="36"/>
  <c r="AA339" i="36"/>
  <c r="AA345" i="36"/>
  <c r="AA218" i="36"/>
  <c r="AA222" i="36"/>
  <c r="AA237" i="36"/>
  <c r="AA242" i="36"/>
  <c r="AA248" i="36"/>
  <c r="AA255" i="36"/>
  <c r="AA259" i="36"/>
  <c r="AA264" i="36"/>
  <c r="AA269" i="36"/>
  <c r="AA281" i="36"/>
  <c r="AA296" i="36"/>
  <c r="AA301" i="36"/>
  <c r="AA313" i="36"/>
  <c r="AA324" i="36"/>
  <c r="AA328" i="36"/>
  <c r="AA335" i="36"/>
  <c r="AA342" i="36"/>
  <c r="AA346" i="36"/>
  <c r="AA355" i="36"/>
  <c r="AA227" i="36"/>
  <c r="AA244" i="36"/>
  <c r="AA256" i="36"/>
  <c r="AA277" i="36"/>
  <c r="AA329" i="36"/>
  <c r="AA219" i="36"/>
  <c r="AA238" i="36"/>
  <c r="AA251" i="36"/>
  <c r="AA260" i="36"/>
  <c r="AA265" i="36"/>
  <c r="AA270" i="36"/>
  <c r="AA282" i="36"/>
  <c r="AA297" i="36"/>
  <c r="AA305" i="36"/>
  <c r="AA318" i="36"/>
  <c r="AA325" i="36"/>
  <c r="AA337" i="36"/>
  <c r="AA343" i="36"/>
  <c r="AA348" i="36"/>
  <c r="AA364" i="36"/>
  <c r="AA220" i="36"/>
  <c r="AA233" i="36"/>
  <c r="AA239" i="36"/>
  <c r="AA245" i="36"/>
  <c r="AA252" i="36"/>
  <c r="AA257" i="36"/>
  <c r="AA261" i="36"/>
  <c r="AA266" i="36"/>
  <c r="AA274" i="36"/>
  <c r="AA278" i="36"/>
  <c r="AA283" i="36"/>
  <c r="AA298" i="36"/>
  <c r="AA306" i="36"/>
  <c r="AA322" i="36"/>
  <c r="AA326" i="36"/>
  <c r="AA331" i="36"/>
  <c r="AA338" i="36"/>
  <c r="AA344" i="36"/>
  <c r="AA350" i="36"/>
  <c r="AA370" i="36"/>
  <c r="AA234" i="36"/>
  <c r="AA247" i="36"/>
  <c r="AA268" i="36"/>
  <c r="AA334" i="36"/>
  <c r="D396" i="36"/>
  <c r="D397" i="36"/>
  <c r="D398" i="36"/>
  <c r="D399" i="36"/>
  <c r="D400" i="36"/>
  <c r="D401" i="36"/>
  <c r="D402" i="36"/>
  <c r="D403" i="36"/>
  <c r="D404" i="36"/>
  <c r="D405" i="36"/>
  <c r="D406" i="36"/>
  <c r="D407" i="36"/>
  <c r="D408" i="36"/>
  <c r="D409" i="36"/>
  <c r="D410" i="36"/>
  <c r="D411" i="36"/>
  <c r="D412" i="36"/>
  <c r="D413" i="36"/>
  <c r="D414" i="36"/>
  <c r="D415" i="36"/>
  <c r="D416" i="36"/>
  <c r="D417" i="36"/>
  <c r="D418" i="36"/>
  <c r="D419" i="36"/>
  <c r="D420" i="36"/>
  <c r="D421" i="36"/>
  <c r="D422" i="36"/>
  <c r="D423" i="36"/>
  <c r="D424" i="36"/>
  <c r="D425" i="36"/>
  <c r="D426" i="36"/>
  <c r="D427" i="36"/>
  <c r="D428" i="36"/>
  <c r="D429" i="36"/>
  <c r="D430" i="36"/>
  <c r="D431" i="36"/>
  <c r="D432" i="36"/>
  <c r="D433" i="36"/>
  <c r="Y121" i="98" l="1"/>
  <c r="Y417" i="98"/>
  <c r="K4" i="98"/>
  <c r="Y82" i="98"/>
  <c r="Y432" i="98"/>
  <c r="Y37" i="98"/>
  <c r="Y430" i="98"/>
  <c r="Y14" i="98"/>
  <c r="Y429" i="98"/>
  <c r="Y12" i="98"/>
  <c r="Y428" i="98"/>
  <c r="Y225" i="98"/>
  <c r="Y427" i="98"/>
  <c r="Y244" i="98"/>
  <c r="Y426" i="98" s="1"/>
  <c r="P408" i="36" l="1"/>
  <c r="AK408" i="36" s="1"/>
  <c r="P402" i="36"/>
  <c r="AK402" i="36" s="1"/>
  <c r="P433" i="36"/>
  <c r="AK433" i="36" s="1"/>
  <c r="P426" i="36"/>
  <c r="AJ426" i="36" s="1"/>
  <c r="P419" i="36"/>
  <c r="AK419" i="36" s="1"/>
  <c r="P397" i="36"/>
  <c r="AJ397" i="36" s="1"/>
  <c r="P428" i="36"/>
  <c r="AK428" i="36" s="1"/>
  <c r="AJ421" i="36"/>
  <c r="P414" i="36"/>
  <c r="AJ414" i="36" s="1"/>
  <c r="P423" i="36"/>
  <c r="AK423" i="36" s="1"/>
  <c r="P401" i="36"/>
  <c r="AJ401" i="36" s="1"/>
  <c r="P416" i="36"/>
  <c r="AK416" i="36" s="1"/>
  <c r="P432" i="36"/>
  <c r="AK432" i="36" s="1"/>
  <c r="P409" i="36"/>
  <c r="AJ409" i="36" s="1"/>
  <c r="P425" i="36"/>
  <c r="AJ425" i="36" s="1"/>
  <c r="P403" i="36"/>
  <c r="AJ403" i="36" s="1"/>
  <c r="AK418" i="36"/>
  <c r="P396" i="36"/>
  <c r="AJ396" i="36" s="1"/>
  <c r="P411" i="36"/>
  <c r="AJ411" i="36" s="1"/>
  <c r="P427" i="36"/>
  <c r="AK427" i="36" s="1"/>
  <c r="P424" i="36"/>
  <c r="AK424" i="36" s="1"/>
  <c r="P417" i="36"/>
  <c r="AJ417" i="36" s="1"/>
  <c r="P410" i="36"/>
  <c r="AJ410" i="36" s="1"/>
  <c r="P404" i="36"/>
  <c r="AJ404" i="36" s="1"/>
  <c r="P412" i="36"/>
  <c r="AJ412" i="36" s="1"/>
  <c r="P405" i="36"/>
  <c r="AJ405" i="36" s="1"/>
  <c r="P399" i="36"/>
  <c r="AJ399" i="36" s="1"/>
  <c r="P430" i="36"/>
  <c r="AK430" i="36" s="1"/>
  <c r="P407" i="36"/>
  <c r="AJ407" i="36" s="1"/>
  <c r="P420" i="36"/>
  <c r="AK420" i="36" s="1"/>
  <c r="P398" i="36"/>
  <c r="AJ398" i="36" s="1"/>
  <c r="P413" i="36"/>
  <c r="AJ413" i="36" s="1"/>
  <c r="P429" i="36"/>
  <c r="AJ429" i="36" s="1"/>
  <c r="P406" i="36"/>
  <c r="AJ406" i="36" s="1"/>
  <c r="P422" i="36"/>
  <c r="AK422" i="36" s="1"/>
  <c r="P400" i="36"/>
  <c r="AJ400" i="36" s="1"/>
  <c r="P415" i="36"/>
  <c r="AJ415" i="36" s="1"/>
  <c r="P431" i="36"/>
  <c r="AK431" i="36" s="1"/>
  <c r="AJ428" i="36"/>
  <c r="AK421" i="36"/>
  <c r="AJ432" i="36"/>
  <c r="AJ408" i="36"/>
  <c r="AJ402" i="36"/>
  <c r="AJ433" i="36"/>
  <c r="AK426" i="36"/>
  <c r="Y57" i="98"/>
  <c r="Y425" i="98" s="1"/>
  <c r="AK409" i="36" l="1"/>
  <c r="AK396" i="36"/>
  <c r="AJ418" i="36"/>
  <c r="AK401" i="36"/>
  <c r="AK407" i="36"/>
  <c r="AK425" i="36"/>
  <c r="AK414" i="36"/>
  <c r="AK399" i="36"/>
  <c r="AK411" i="36"/>
  <c r="AK398" i="36"/>
  <c r="AK404" i="36"/>
  <c r="AJ427" i="36"/>
  <c r="AK403" i="36"/>
  <c r="AK397" i="36"/>
  <c r="AJ424" i="36"/>
  <c r="AJ423" i="36"/>
  <c r="AJ419" i="36"/>
  <c r="AJ416" i="36"/>
  <c r="AK412" i="36"/>
  <c r="AK405" i="36"/>
  <c r="AJ420" i="36"/>
  <c r="AJ430" i="36"/>
  <c r="AK429" i="36"/>
  <c r="AK413" i="36"/>
  <c r="AJ422" i="36"/>
  <c r="AK415" i="36"/>
  <c r="AK410" i="36"/>
  <c r="AJ431" i="36"/>
  <c r="AK406" i="36"/>
  <c r="AK400" i="36"/>
  <c r="AK417" i="36"/>
  <c r="AD397" i="36"/>
  <c r="AT396" i="4"/>
  <c r="AZ396" i="4" s="1"/>
  <c r="AD412" i="36"/>
  <c r="AT411" i="4"/>
  <c r="AZ411" i="4" s="1"/>
  <c r="AD428" i="36"/>
  <c r="AT427" i="4"/>
  <c r="AZ427" i="4" s="1"/>
  <c r="AD405" i="36"/>
  <c r="AT404" i="4"/>
  <c r="AZ404" i="4" s="1"/>
  <c r="AD421" i="36"/>
  <c r="AT420" i="4"/>
  <c r="AZ420" i="4" s="1"/>
  <c r="AD399" i="36"/>
  <c r="AT398" i="4"/>
  <c r="AZ398" i="4" s="1"/>
  <c r="AD414" i="36"/>
  <c r="AT413" i="4"/>
  <c r="AZ413" i="4" s="1"/>
  <c r="AD430" i="36"/>
  <c r="AT429" i="4"/>
  <c r="AZ429" i="4" s="1"/>
  <c r="AD404" i="36"/>
  <c r="AT403" i="4"/>
  <c r="AZ403" i="4" s="1"/>
  <c r="AD419" i="36"/>
  <c r="AT418" i="4"/>
  <c r="AZ418" i="4" s="1"/>
  <c r="AD401" i="36"/>
  <c r="AT400" i="4"/>
  <c r="AZ400" i="4" s="1"/>
  <c r="AD416" i="36"/>
  <c r="AT415" i="4"/>
  <c r="AZ415" i="4" s="1"/>
  <c r="AD432" i="36"/>
  <c r="AT431" i="4"/>
  <c r="AZ431" i="4" s="1"/>
  <c r="AD409" i="36"/>
  <c r="AT408" i="4"/>
  <c r="AZ408" i="4" s="1"/>
  <c r="AD425" i="36"/>
  <c r="AT424" i="4"/>
  <c r="AZ424" i="4" s="1"/>
  <c r="AD403" i="36"/>
  <c r="AT402" i="4"/>
  <c r="AZ402" i="4" s="1"/>
  <c r="AD418" i="36"/>
  <c r="AT417" i="4"/>
  <c r="AZ417" i="4" s="1"/>
  <c r="AD407" i="36"/>
  <c r="AT406" i="4"/>
  <c r="AZ406" i="4" s="1"/>
  <c r="AD423" i="36"/>
  <c r="AT422" i="4"/>
  <c r="AZ422" i="4" s="1"/>
  <c r="AD420" i="36"/>
  <c r="AT419" i="4"/>
  <c r="AZ419" i="4" s="1"/>
  <c r="AD398" i="36"/>
  <c r="AT397" i="4"/>
  <c r="AZ397" i="4" s="1"/>
  <c r="AD413" i="36"/>
  <c r="AT412" i="4"/>
  <c r="AZ412" i="4" s="1"/>
  <c r="AD429" i="36"/>
  <c r="AT428" i="4"/>
  <c r="AZ428" i="4" s="1"/>
  <c r="AD406" i="36"/>
  <c r="AT405" i="4"/>
  <c r="AZ405" i="4" s="1"/>
  <c r="AD422" i="36"/>
  <c r="AT421" i="4"/>
  <c r="AZ421" i="4" s="1"/>
  <c r="AD396" i="36"/>
  <c r="AT395" i="4"/>
  <c r="AZ395" i="4" s="1"/>
  <c r="AD411" i="36"/>
  <c r="AT410" i="4"/>
  <c r="AZ410" i="4" s="1"/>
  <c r="AD427" i="36"/>
  <c r="AT426" i="4"/>
  <c r="AZ426" i="4" s="1"/>
  <c r="AD408" i="36"/>
  <c r="AT407" i="4"/>
  <c r="AZ407" i="4" s="1"/>
  <c r="AD424" i="36"/>
  <c r="AT423" i="4"/>
  <c r="AZ423" i="4" s="1"/>
  <c r="AD402" i="36"/>
  <c r="AT401" i="4"/>
  <c r="AZ401" i="4" s="1"/>
  <c r="AD417" i="36"/>
  <c r="AT416" i="4"/>
  <c r="AZ416" i="4" s="1"/>
  <c r="AD433" i="36"/>
  <c r="AT432" i="4"/>
  <c r="AZ432" i="4" s="1"/>
  <c r="AD410" i="36"/>
  <c r="AT409" i="4"/>
  <c r="AZ409" i="4" s="1"/>
  <c r="AD426" i="36"/>
  <c r="AT425" i="4"/>
  <c r="AZ425" i="4" s="1"/>
  <c r="AD400" i="36"/>
  <c r="AT399" i="4"/>
  <c r="AZ399" i="4" s="1"/>
  <c r="AD415" i="36"/>
  <c r="AT414" i="4"/>
  <c r="AZ414" i="4" s="1"/>
  <c r="AD431" i="36"/>
  <c r="AT430" i="4"/>
  <c r="AZ430" i="4" s="1"/>
  <c r="D397" i="99" l="1"/>
  <c r="G397" i="99" s="1"/>
  <c r="D398" i="99"/>
  <c r="G398" i="99" s="1"/>
  <c r="D399" i="99"/>
  <c r="G399" i="99" s="1"/>
  <c r="D400" i="99"/>
  <c r="G400" i="99" s="1"/>
  <c r="D401" i="99"/>
  <c r="G401" i="99" s="1"/>
  <c r="D402" i="99"/>
  <c r="G402" i="99" s="1"/>
  <c r="D403" i="99"/>
  <c r="G403" i="99" s="1"/>
  <c r="D404" i="99"/>
  <c r="G404" i="99" s="1"/>
  <c r="D405" i="99"/>
  <c r="G405" i="99" s="1"/>
  <c r="D406" i="99"/>
  <c r="G406" i="99" s="1"/>
  <c r="D407" i="99"/>
  <c r="G407" i="99" s="1"/>
  <c r="D408" i="99"/>
  <c r="G408" i="99" s="1"/>
  <c r="D409" i="99"/>
  <c r="G409" i="99" s="1"/>
  <c r="D410" i="99"/>
  <c r="G410" i="99" s="1"/>
  <c r="P4" i="98" l="1"/>
  <c r="Q4" i="98"/>
  <c r="O4" i="98"/>
  <c r="AO424" i="98" l="1"/>
  <c r="AO245" i="98"/>
  <c r="AN424" i="98"/>
  <c r="AG245" i="98"/>
  <c r="AG424" i="98"/>
  <c r="AF424" i="98"/>
  <c r="AF245" i="98"/>
  <c r="S424" i="98"/>
  <c r="S245" i="98"/>
  <c r="H245" i="98"/>
  <c r="J7" i="8" l="1"/>
  <c r="AO308" i="98" l="1"/>
  <c r="AO138" i="98"/>
  <c r="AM138" i="98"/>
  <c r="AN138" i="98" s="1"/>
  <c r="AL138" i="98"/>
  <c r="AK308" i="98"/>
  <c r="AN308" i="98" s="1"/>
  <c r="AG308" i="98"/>
  <c r="AG138" i="98"/>
  <c r="AD138" i="98"/>
  <c r="AC308" i="98"/>
  <c r="AF308" i="98" s="1"/>
  <c r="S308" i="98"/>
  <c r="S138" i="98"/>
  <c r="R138" i="98"/>
  <c r="Q138" i="98"/>
  <c r="P308" i="98"/>
  <c r="H138" i="98"/>
  <c r="G308" i="98"/>
  <c r="E308" i="98"/>
  <c r="E138" i="98"/>
  <c r="AO307" i="98"/>
  <c r="AN307" i="98"/>
  <c r="AF307" i="98"/>
  <c r="AF138" i="98"/>
  <c r="S307" i="98"/>
  <c r="R307" i="98"/>
  <c r="Q307" i="98"/>
  <c r="H307" i="98"/>
  <c r="E307" i="98"/>
  <c r="AN109" i="98"/>
  <c r="AF109" i="98"/>
  <c r="AO417" i="98"/>
  <c r="AO109" i="98"/>
  <c r="S418" i="98"/>
  <c r="T4" i="98"/>
  <c r="AN4" i="98" l="1"/>
  <c r="F4" i="98"/>
  <c r="G4" i="98"/>
  <c r="I4" i="98"/>
  <c r="J4" i="98"/>
  <c r="D4" i="98"/>
  <c r="AO423" i="98"/>
  <c r="AO422" i="98"/>
  <c r="AO421" i="98"/>
  <c r="AO420" i="98"/>
  <c r="AO419" i="98"/>
  <c r="AO418" i="98"/>
  <c r="AG423" i="98"/>
  <c r="AG422" i="98"/>
  <c r="AG421" i="98"/>
  <c r="AG420" i="98"/>
  <c r="AG419" i="98"/>
  <c r="AG418" i="98"/>
  <c r="S423" i="98"/>
  <c r="S422" i="98"/>
  <c r="S421" i="98"/>
  <c r="S420" i="98"/>
  <c r="S419" i="98"/>
  <c r="H4" i="98"/>
  <c r="AO292" i="98"/>
  <c r="AG292" i="98"/>
  <c r="S292" i="98"/>
  <c r="AL292" i="98"/>
  <c r="AD292" i="98"/>
  <c r="AD4" i="98" s="1"/>
  <c r="Q292" i="98"/>
  <c r="H292" i="98"/>
  <c r="E292" i="98"/>
  <c r="AO290" i="98"/>
  <c r="AG290" i="98"/>
  <c r="S290" i="98"/>
  <c r="E290" i="98"/>
  <c r="AO208" i="98"/>
  <c r="AO4" i="98" s="1"/>
  <c r="AG208" i="98"/>
  <c r="S208" i="98"/>
  <c r="AK4" i="98"/>
  <c r="AL4" i="98"/>
  <c r="AM4" i="98"/>
  <c r="AJ4" i="98"/>
  <c r="AC4" i="98"/>
  <c r="AE4" i="98"/>
  <c r="AB4" i="98"/>
  <c r="X4" i="98"/>
  <c r="Y4" i="98"/>
  <c r="W4" i="98"/>
  <c r="L4" i="98"/>
  <c r="H208" i="98"/>
  <c r="E208" i="98"/>
  <c r="AG417" i="98"/>
  <c r="AG109" i="98"/>
  <c r="AG4" i="98" s="1"/>
  <c r="AF417" i="98"/>
  <c r="AF4" i="98" s="1"/>
  <c r="S417" i="98"/>
  <c r="S109" i="98"/>
  <c r="S4" i="98" s="1"/>
  <c r="B395" i="9" l="1"/>
  <c r="C395" i="9"/>
  <c r="P395" i="9" s="1"/>
  <c r="B396" i="9"/>
  <c r="C396" i="9"/>
  <c r="P396" i="9" s="1"/>
  <c r="B397" i="9"/>
  <c r="C397" i="9"/>
  <c r="P397" i="9" s="1"/>
  <c r="B398" i="9"/>
  <c r="C398" i="9"/>
  <c r="P398" i="9" s="1"/>
  <c r="B399" i="9"/>
  <c r="C399" i="9"/>
  <c r="P399" i="9" s="1"/>
  <c r="B400" i="9"/>
  <c r="C400" i="9"/>
  <c r="P400" i="9" s="1"/>
  <c r="B401" i="9"/>
  <c r="C401" i="9"/>
  <c r="P401" i="9" s="1"/>
  <c r="B402" i="9"/>
  <c r="C402" i="9"/>
  <c r="P402" i="9" s="1"/>
  <c r="B403" i="9"/>
  <c r="C403" i="9"/>
  <c r="P403" i="9" s="1"/>
  <c r="B404" i="9"/>
  <c r="C404" i="9"/>
  <c r="P404" i="9" s="1"/>
  <c r="B405" i="9"/>
  <c r="C405" i="9"/>
  <c r="P405" i="9" s="1"/>
  <c r="B406" i="9"/>
  <c r="C406" i="9"/>
  <c r="P406" i="9" s="1"/>
  <c r="B407" i="9"/>
  <c r="C407" i="9"/>
  <c r="P407" i="9" s="1"/>
  <c r="B408" i="9"/>
  <c r="C408" i="9"/>
  <c r="P408" i="9" s="1"/>
  <c r="B409" i="9"/>
  <c r="C409" i="9"/>
  <c r="P409" i="9" s="1"/>
  <c r="B410" i="9"/>
  <c r="C410" i="9"/>
  <c r="P410" i="9" s="1"/>
  <c r="B411" i="9"/>
  <c r="C411" i="9"/>
  <c r="P411" i="9" s="1"/>
  <c r="B412" i="9"/>
  <c r="C412" i="9"/>
  <c r="P412" i="9" s="1"/>
  <c r="B413" i="9"/>
  <c r="C413" i="9"/>
  <c r="P413" i="9" s="1"/>
  <c r="B414" i="9"/>
  <c r="C414" i="9"/>
  <c r="P414" i="9" s="1"/>
  <c r="B415" i="9"/>
  <c r="C415" i="9"/>
  <c r="P415" i="9" s="1"/>
  <c r="B416" i="9"/>
  <c r="C416" i="9"/>
  <c r="P416" i="9" s="1"/>
  <c r="B417" i="9"/>
  <c r="C417" i="9"/>
  <c r="P417" i="9" s="1"/>
  <c r="B418" i="9"/>
  <c r="C418" i="9"/>
  <c r="P418" i="9" s="1"/>
  <c r="B419" i="9"/>
  <c r="C419" i="9"/>
  <c r="P419" i="9" s="1"/>
  <c r="B420" i="9"/>
  <c r="C420" i="9"/>
  <c r="P420" i="9" s="1"/>
  <c r="B421" i="9"/>
  <c r="C421" i="9"/>
  <c r="P421" i="9" s="1"/>
  <c r="B422" i="9"/>
  <c r="C422" i="9"/>
  <c r="P422" i="9" s="1"/>
  <c r="B423" i="9"/>
  <c r="C423" i="9"/>
  <c r="P423" i="9" s="1"/>
  <c r="B424" i="9"/>
  <c r="C424" i="9"/>
  <c r="P424" i="9" s="1"/>
  <c r="B425" i="9"/>
  <c r="C425" i="9"/>
  <c r="P425" i="9" s="1"/>
  <c r="B426" i="9"/>
  <c r="C426" i="9"/>
  <c r="P426" i="9" s="1"/>
  <c r="B427" i="9"/>
  <c r="C427" i="9"/>
  <c r="P427" i="9" s="1"/>
  <c r="B428" i="9"/>
  <c r="C428" i="9"/>
  <c r="P428" i="9" s="1"/>
  <c r="B429" i="9"/>
  <c r="C429" i="9"/>
  <c r="P429" i="9" s="1"/>
  <c r="B430" i="9"/>
  <c r="C430" i="9"/>
  <c r="P430" i="9" s="1"/>
  <c r="B431" i="9"/>
  <c r="C431" i="9"/>
  <c r="P431" i="9" s="1"/>
  <c r="B432" i="9"/>
  <c r="C432" i="9"/>
  <c r="P432" i="9" s="1"/>
  <c r="B433" i="9"/>
  <c r="C433" i="9"/>
  <c r="P433" i="9" s="1"/>
  <c r="B395" i="8"/>
  <c r="C395" i="8"/>
  <c r="P395" i="8" s="1"/>
  <c r="B396" i="8"/>
  <c r="C396" i="8"/>
  <c r="P396" i="8" s="1"/>
  <c r="B397" i="8"/>
  <c r="C397" i="8"/>
  <c r="P397" i="8" s="1"/>
  <c r="B398" i="8"/>
  <c r="C398" i="8"/>
  <c r="P398" i="8" s="1"/>
  <c r="B399" i="8"/>
  <c r="C399" i="8"/>
  <c r="P399" i="8" s="1"/>
  <c r="B400" i="8"/>
  <c r="C400" i="8"/>
  <c r="P400" i="8" s="1"/>
  <c r="B401" i="8"/>
  <c r="C401" i="8"/>
  <c r="P401" i="8" s="1"/>
  <c r="B402" i="8"/>
  <c r="C402" i="8"/>
  <c r="P402" i="8" s="1"/>
  <c r="B403" i="8"/>
  <c r="C403" i="8"/>
  <c r="P403" i="8" s="1"/>
  <c r="B404" i="8"/>
  <c r="C404" i="8"/>
  <c r="P404" i="8" s="1"/>
  <c r="B405" i="8"/>
  <c r="C405" i="8"/>
  <c r="P405" i="8" s="1"/>
  <c r="B406" i="8"/>
  <c r="C406" i="8"/>
  <c r="P406" i="8" s="1"/>
  <c r="B407" i="8"/>
  <c r="C407" i="8"/>
  <c r="P407" i="8" s="1"/>
  <c r="B408" i="8"/>
  <c r="C408" i="8"/>
  <c r="P408" i="8" s="1"/>
  <c r="B409" i="8"/>
  <c r="C409" i="8"/>
  <c r="P409" i="8" s="1"/>
  <c r="B410" i="8"/>
  <c r="C410" i="8"/>
  <c r="P410" i="8" s="1"/>
  <c r="B411" i="8"/>
  <c r="C411" i="8"/>
  <c r="P411" i="8" s="1"/>
  <c r="B412" i="8"/>
  <c r="C412" i="8"/>
  <c r="P412" i="8" s="1"/>
  <c r="B413" i="8"/>
  <c r="C413" i="8"/>
  <c r="P413" i="8" s="1"/>
  <c r="B414" i="8"/>
  <c r="C414" i="8"/>
  <c r="P414" i="8" s="1"/>
  <c r="B415" i="8"/>
  <c r="C415" i="8"/>
  <c r="P415" i="8" s="1"/>
  <c r="B416" i="8"/>
  <c r="C416" i="8"/>
  <c r="P416" i="8" s="1"/>
  <c r="B417" i="8"/>
  <c r="C417" i="8"/>
  <c r="P417" i="8" s="1"/>
  <c r="B418" i="8"/>
  <c r="C418" i="8"/>
  <c r="P418" i="8" s="1"/>
  <c r="B419" i="8"/>
  <c r="C419" i="8"/>
  <c r="P419" i="8" s="1"/>
  <c r="B420" i="8"/>
  <c r="C420" i="8"/>
  <c r="P420" i="8" s="1"/>
  <c r="B421" i="8"/>
  <c r="C421" i="8"/>
  <c r="P421" i="8" s="1"/>
  <c r="B422" i="8"/>
  <c r="C422" i="8"/>
  <c r="P422" i="8" s="1"/>
  <c r="B423" i="8"/>
  <c r="C423" i="8"/>
  <c r="P423" i="8" s="1"/>
  <c r="B424" i="8"/>
  <c r="C424" i="8"/>
  <c r="P424" i="8" s="1"/>
  <c r="B425" i="8"/>
  <c r="C425" i="8"/>
  <c r="P425" i="8" s="1"/>
  <c r="B426" i="8"/>
  <c r="C426" i="8"/>
  <c r="P426" i="8" s="1"/>
  <c r="B427" i="8"/>
  <c r="C427" i="8"/>
  <c r="P427" i="8" s="1"/>
  <c r="B428" i="8"/>
  <c r="C428" i="8"/>
  <c r="P428" i="8" s="1"/>
  <c r="B429" i="8"/>
  <c r="C429" i="8"/>
  <c r="P429" i="8" s="1"/>
  <c r="B430" i="8"/>
  <c r="C430" i="8"/>
  <c r="P430" i="8" s="1"/>
  <c r="B431" i="8"/>
  <c r="C431" i="8"/>
  <c r="P431" i="8" s="1"/>
  <c r="B432" i="8"/>
  <c r="C432" i="8"/>
  <c r="P432" i="8" s="1"/>
  <c r="B433" i="8"/>
  <c r="C433" i="8"/>
  <c r="P433" i="8" s="1"/>
  <c r="B395" i="6"/>
  <c r="C395" i="6"/>
  <c r="B396" i="6"/>
  <c r="C396" i="6"/>
  <c r="B397" i="6"/>
  <c r="C397" i="6"/>
  <c r="B398" i="6"/>
  <c r="C398" i="6"/>
  <c r="B399" i="6"/>
  <c r="C399" i="6"/>
  <c r="B400" i="6"/>
  <c r="C400" i="6"/>
  <c r="B401" i="6"/>
  <c r="C401" i="6"/>
  <c r="B402" i="6"/>
  <c r="C402" i="6"/>
  <c r="B403" i="6"/>
  <c r="C403" i="6"/>
  <c r="B404" i="6"/>
  <c r="C404" i="6"/>
  <c r="B405" i="6"/>
  <c r="C405" i="6"/>
  <c r="B406" i="6"/>
  <c r="C406" i="6"/>
  <c r="B407" i="6"/>
  <c r="C407" i="6"/>
  <c r="B408" i="6"/>
  <c r="C408" i="6"/>
  <c r="B409" i="6"/>
  <c r="C409" i="6"/>
  <c r="B410" i="6"/>
  <c r="C410" i="6"/>
  <c r="B411" i="6"/>
  <c r="C411" i="6"/>
  <c r="B412" i="6"/>
  <c r="C412" i="6"/>
  <c r="B413" i="6"/>
  <c r="C413" i="6"/>
  <c r="B414" i="6"/>
  <c r="C414" i="6"/>
  <c r="B415" i="6"/>
  <c r="C415" i="6"/>
  <c r="B416" i="6"/>
  <c r="C416" i="6"/>
  <c r="B417" i="6"/>
  <c r="C417" i="6"/>
  <c r="B418" i="6"/>
  <c r="C418" i="6"/>
  <c r="B419" i="6"/>
  <c r="C419" i="6"/>
  <c r="B420" i="6"/>
  <c r="C420" i="6"/>
  <c r="B421" i="6"/>
  <c r="C421" i="6"/>
  <c r="B422" i="6"/>
  <c r="C422" i="6"/>
  <c r="B423" i="6"/>
  <c r="C423" i="6"/>
  <c r="B424" i="6"/>
  <c r="C424" i="6"/>
  <c r="B425" i="6"/>
  <c r="C425" i="6"/>
  <c r="B426" i="6"/>
  <c r="C426" i="6"/>
  <c r="B427" i="6"/>
  <c r="C427" i="6"/>
  <c r="B428" i="6"/>
  <c r="C428" i="6"/>
  <c r="B429" i="6"/>
  <c r="C429" i="6"/>
  <c r="B430" i="6"/>
  <c r="C430" i="6"/>
  <c r="B431" i="6"/>
  <c r="C431" i="6"/>
  <c r="B432" i="6"/>
  <c r="C432" i="6"/>
  <c r="B433" i="6"/>
  <c r="C433" i="6"/>
  <c r="C392" i="5"/>
  <c r="D392" i="5"/>
  <c r="E392" i="5" s="1"/>
  <c r="C393" i="5"/>
  <c r="D393" i="5"/>
  <c r="E393" i="5" s="1"/>
  <c r="C394" i="5"/>
  <c r="D394" i="5"/>
  <c r="E394" i="5" s="1"/>
  <c r="C395" i="5"/>
  <c r="D395" i="5"/>
  <c r="E395" i="5" s="1"/>
  <c r="C396" i="5"/>
  <c r="D396" i="5"/>
  <c r="E396" i="5" s="1"/>
  <c r="C397" i="5"/>
  <c r="D397" i="5"/>
  <c r="E397" i="5" s="1"/>
  <c r="C398" i="5"/>
  <c r="D398" i="5"/>
  <c r="E398" i="5" s="1"/>
  <c r="C399" i="5"/>
  <c r="D399" i="5"/>
  <c r="E399" i="5" s="1"/>
  <c r="C400" i="5"/>
  <c r="D400" i="5"/>
  <c r="E400" i="5" s="1"/>
  <c r="C401" i="5"/>
  <c r="D401" i="5"/>
  <c r="E401" i="5" s="1"/>
  <c r="C402" i="5"/>
  <c r="D402" i="5"/>
  <c r="E402" i="5" s="1"/>
  <c r="C403" i="5"/>
  <c r="D403" i="5"/>
  <c r="E403" i="5" s="1"/>
  <c r="C404" i="5"/>
  <c r="D404" i="5"/>
  <c r="E404" i="5" s="1"/>
  <c r="C405" i="5"/>
  <c r="D405" i="5"/>
  <c r="E405" i="5" s="1"/>
  <c r="C406" i="5"/>
  <c r="D406" i="5"/>
  <c r="E406" i="5" s="1"/>
  <c r="C407" i="5"/>
  <c r="D407" i="5"/>
  <c r="E407" i="5" s="1"/>
  <c r="C408" i="5"/>
  <c r="D408" i="5"/>
  <c r="E408" i="5" s="1"/>
  <c r="C409" i="5"/>
  <c r="D409" i="5"/>
  <c r="E409" i="5" s="1"/>
  <c r="C410" i="5"/>
  <c r="D410" i="5"/>
  <c r="E410" i="5" s="1"/>
  <c r="C411" i="5"/>
  <c r="D411" i="5"/>
  <c r="E411" i="5" s="1"/>
  <c r="C412" i="5"/>
  <c r="D412" i="5"/>
  <c r="E412" i="5" s="1"/>
  <c r="C413" i="5"/>
  <c r="D413" i="5"/>
  <c r="E413" i="5" s="1"/>
  <c r="C414" i="5"/>
  <c r="D414" i="5"/>
  <c r="E414" i="5" s="1"/>
  <c r="F414" i="5" s="1"/>
  <c r="C415" i="5"/>
  <c r="D415" i="5"/>
  <c r="E415" i="5" s="1"/>
  <c r="C416" i="5"/>
  <c r="D416" i="5"/>
  <c r="E416" i="5" s="1"/>
  <c r="C417" i="5"/>
  <c r="D417" i="5"/>
  <c r="E417" i="5" s="1"/>
  <c r="C418" i="5"/>
  <c r="D418" i="5"/>
  <c r="E418" i="5" s="1"/>
  <c r="C419" i="5"/>
  <c r="D419" i="5"/>
  <c r="E419" i="5" s="1"/>
  <c r="C420" i="5"/>
  <c r="D420" i="5"/>
  <c r="E420" i="5" s="1"/>
  <c r="C421" i="5"/>
  <c r="D421" i="5"/>
  <c r="E421" i="5" s="1"/>
  <c r="C422" i="5"/>
  <c r="D422" i="5"/>
  <c r="E422" i="5" s="1"/>
  <c r="C423" i="5"/>
  <c r="D423" i="5"/>
  <c r="E423" i="5" s="1"/>
  <c r="C424" i="5"/>
  <c r="D424" i="5"/>
  <c r="E424" i="5" s="1"/>
  <c r="C425" i="5"/>
  <c r="D425" i="5"/>
  <c r="E425" i="5" s="1"/>
  <c r="C426" i="5"/>
  <c r="D426" i="5"/>
  <c r="E426" i="5" s="1"/>
  <c r="C427" i="5"/>
  <c r="D427" i="5"/>
  <c r="E427" i="5" s="1"/>
  <c r="C428" i="5"/>
  <c r="D428" i="5"/>
  <c r="E428" i="5" s="1"/>
  <c r="C429" i="5"/>
  <c r="D429" i="5"/>
  <c r="E429" i="5" s="1"/>
  <c r="C430" i="5"/>
  <c r="D430" i="5"/>
  <c r="E430" i="5" s="1"/>
  <c r="T432" i="6" l="1"/>
  <c r="S432" i="6"/>
  <c r="T430" i="6"/>
  <c r="S430" i="6"/>
  <c r="T428" i="6"/>
  <c r="S428" i="6"/>
  <c r="T426" i="6"/>
  <c r="S426" i="6"/>
  <c r="T424" i="6"/>
  <c r="S424" i="6"/>
  <c r="T422" i="6"/>
  <c r="S422" i="6"/>
  <c r="T420" i="6"/>
  <c r="S420" i="6"/>
  <c r="T418" i="6"/>
  <c r="S418" i="6"/>
  <c r="T416" i="6"/>
  <c r="S416" i="6"/>
  <c r="T414" i="6"/>
  <c r="S414" i="6"/>
  <c r="T412" i="6"/>
  <c r="S412" i="6"/>
  <c r="T410" i="6"/>
  <c r="S410" i="6"/>
  <c r="T408" i="6"/>
  <c r="S408" i="6"/>
  <c r="T406" i="6"/>
  <c r="S406" i="6"/>
  <c r="T404" i="6"/>
  <c r="S404" i="6"/>
  <c r="T402" i="6"/>
  <c r="S402" i="6"/>
  <c r="T400" i="6"/>
  <c r="S400" i="6"/>
  <c r="T398" i="6"/>
  <c r="S398" i="6"/>
  <c r="T396" i="6"/>
  <c r="S396" i="6"/>
  <c r="T433" i="6"/>
  <c r="S433" i="6"/>
  <c r="T431" i="6"/>
  <c r="S431" i="6"/>
  <c r="T429" i="6"/>
  <c r="S429" i="6"/>
  <c r="T427" i="6"/>
  <c r="S427" i="6"/>
  <c r="T425" i="6"/>
  <c r="S425" i="6"/>
  <c r="T423" i="6"/>
  <c r="S423" i="6"/>
  <c r="T421" i="6"/>
  <c r="S421" i="6"/>
  <c r="T419" i="6"/>
  <c r="S419" i="6"/>
  <c r="T417" i="6"/>
  <c r="S417" i="6"/>
  <c r="T415" i="6"/>
  <c r="S415" i="6"/>
  <c r="T413" i="6"/>
  <c r="S413" i="6"/>
  <c r="T411" i="6"/>
  <c r="S411" i="6"/>
  <c r="T409" i="6"/>
  <c r="S409" i="6"/>
  <c r="T407" i="6"/>
  <c r="S407" i="6"/>
  <c r="T405" i="6"/>
  <c r="S405" i="6"/>
  <c r="T403" i="6"/>
  <c r="S403" i="6"/>
  <c r="T401" i="6"/>
  <c r="S401" i="6"/>
  <c r="T399" i="6"/>
  <c r="S399" i="6"/>
  <c r="T397" i="6"/>
  <c r="S397" i="6"/>
  <c r="T395" i="6"/>
  <c r="S395" i="6"/>
  <c r="T433" i="8"/>
  <c r="T431" i="8"/>
  <c r="T429" i="8"/>
  <c r="T427" i="8"/>
  <c r="T425" i="8"/>
  <c r="T423" i="8"/>
  <c r="T421" i="8"/>
  <c r="T419" i="8"/>
  <c r="T417" i="8"/>
  <c r="T415" i="8"/>
  <c r="T413" i="8"/>
  <c r="T411" i="8"/>
  <c r="T409" i="8"/>
  <c r="T407" i="8"/>
  <c r="T405" i="8"/>
  <c r="T402" i="8"/>
  <c r="T400" i="8"/>
  <c r="T398" i="8"/>
  <c r="T396" i="8"/>
  <c r="L433" i="9"/>
  <c r="T433" i="9"/>
  <c r="T431" i="9"/>
  <c r="T429" i="9"/>
  <c r="T427" i="9"/>
  <c r="T425" i="9"/>
  <c r="T423" i="9"/>
  <c r="T421" i="9"/>
  <c r="T419" i="9"/>
  <c r="T417" i="9"/>
  <c r="T415" i="9"/>
  <c r="T413" i="9"/>
  <c r="T411" i="9"/>
  <c r="T409" i="9"/>
  <c r="T407" i="9"/>
  <c r="T405" i="9"/>
  <c r="T402" i="9"/>
  <c r="T400" i="9"/>
  <c r="T398" i="9"/>
  <c r="T396" i="9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3" i="8"/>
  <c r="T401" i="8"/>
  <c r="T399" i="8"/>
  <c r="T397" i="8"/>
  <c r="T395" i="8"/>
  <c r="T432" i="9"/>
  <c r="T430" i="9"/>
  <c r="T428" i="9"/>
  <c r="T426" i="9"/>
  <c r="T424" i="9"/>
  <c r="T422" i="9"/>
  <c r="T420" i="9"/>
  <c r="T418" i="9"/>
  <c r="T416" i="9"/>
  <c r="T414" i="9"/>
  <c r="T412" i="9"/>
  <c r="T410" i="9"/>
  <c r="T408" i="9"/>
  <c r="T406" i="9"/>
  <c r="T404" i="9"/>
  <c r="T403" i="9"/>
  <c r="T401" i="9"/>
  <c r="T399" i="9"/>
  <c r="T397" i="9"/>
  <c r="T395" i="9"/>
  <c r="L433" i="8"/>
  <c r="J430" i="6"/>
  <c r="F430" i="6"/>
  <c r="K430" i="6"/>
  <c r="G430" i="6"/>
  <c r="H430" i="6"/>
  <c r="J424" i="6"/>
  <c r="F424" i="6"/>
  <c r="K424" i="6"/>
  <c r="G424" i="6"/>
  <c r="H424" i="6"/>
  <c r="G418" i="6"/>
  <c r="H418" i="6"/>
  <c r="F418" i="6"/>
  <c r="J418" i="6"/>
  <c r="K418" i="6"/>
  <c r="G412" i="6"/>
  <c r="H412" i="6"/>
  <c r="F412" i="6"/>
  <c r="J412" i="6"/>
  <c r="K412" i="6"/>
  <c r="J406" i="6"/>
  <c r="F406" i="6"/>
  <c r="K406" i="6"/>
  <c r="H406" i="6"/>
  <c r="G406" i="6"/>
  <c r="G403" i="6"/>
  <c r="H403" i="6"/>
  <c r="F403" i="6"/>
  <c r="J403" i="6"/>
  <c r="K403" i="6"/>
  <c r="J399" i="6"/>
  <c r="F399" i="6"/>
  <c r="K399" i="6"/>
  <c r="G399" i="6"/>
  <c r="H399" i="6"/>
  <c r="G397" i="6"/>
  <c r="H397" i="6"/>
  <c r="F397" i="6"/>
  <c r="J397" i="6"/>
  <c r="K397" i="6"/>
  <c r="G395" i="6"/>
  <c r="H395" i="6"/>
  <c r="K395" i="6"/>
  <c r="F395" i="6"/>
  <c r="J395" i="6"/>
  <c r="J432" i="6"/>
  <c r="F432" i="6"/>
  <c r="K432" i="6"/>
  <c r="H432" i="6"/>
  <c r="G432" i="6"/>
  <c r="G426" i="6"/>
  <c r="H426" i="6"/>
  <c r="K426" i="6"/>
  <c r="F426" i="6"/>
  <c r="J426" i="6"/>
  <c r="G420" i="6"/>
  <c r="H420" i="6"/>
  <c r="K420" i="6"/>
  <c r="F420" i="6"/>
  <c r="J420" i="6"/>
  <c r="J414" i="6"/>
  <c r="F414" i="6"/>
  <c r="K414" i="6"/>
  <c r="G414" i="6"/>
  <c r="H414" i="6"/>
  <c r="J408" i="6"/>
  <c r="F408" i="6"/>
  <c r="K408" i="6"/>
  <c r="G408" i="6"/>
  <c r="H408" i="6"/>
  <c r="J401" i="6"/>
  <c r="F401" i="6"/>
  <c r="K401" i="6"/>
  <c r="H401" i="6"/>
  <c r="G401" i="6"/>
  <c r="G428" i="6"/>
  <c r="H428" i="6"/>
  <c r="F428" i="6"/>
  <c r="J428" i="6"/>
  <c r="K428" i="6"/>
  <c r="J422" i="6"/>
  <c r="F422" i="6"/>
  <c r="K422" i="6"/>
  <c r="H422" i="6"/>
  <c r="G422" i="6"/>
  <c r="J416" i="6"/>
  <c r="F416" i="6"/>
  <c r="K416" i="6"/>
  <c r="H416" i="6"/>
  <c r="G416" i="6"/>
  <c r="G410" i="6"/>
  <c r="H410" i="6"/>
  <c r="K410" i="6"/>
  <c r="F410" i="6"/>
  <c r="J410" i="6"/>
  <c r="G404" i="6"/>
  <c r="H404" i="6"/>
  <c r="K404" i="6"/>
  <c r="F404" i="6"/>
  <c r="J404" i="6"/>
  <c r="M433" i="6"/>
  <c r="H433" i="6"/>
  <c r="J433" i="6"/>
  <c r="F433" i="6"/>
  <c r="G433" i="6"/>
  <c r="K433" i="6"/>
  <c r="G431" i="6"/>
  <c r="K431" i="6"/>
  <c r="H431" i="6"/>
  <c r="F431" i="6"/>
  <c r="J431" i="6"/>
  <c r="F429" i="6"/>
  <c r="K429" i="6"/>
  <c r="G429" i="6"/>
  <c r="J429" i="6"/>
  <c r="H429" i="6"/>
  <c r="F427" i="6"/>
  <c r="J427" i="6"/>
  <c r="G427" i="6"/>
  <c r="H427" i="6"/>
  <c r="K427" i="6"/>
  <c r="H425" i="6"/>
  <c r="J425" i="6"/>
  <c r="G425" i="6"/>
  <c r="K425" i="6"/>
  <c r="F425" i="6"/>
  <c r="G423" i="6"/>
  <c r="K423" i="6"/>
  <c r="H423" i="6"/>
  <c r="J423" i="6"/>
  <c r="F423" i="6"/>
  <c r="F421" i="6"/>
  <c r="K421" i="6"/>
  <c r="G421" i="6"/>
  <c r="H421" i="6"/>
  <c r="J421" i="6"/>
  <c r="F419" i="6"/>
  <c r="J419" i="6"/>
  <c r="H419" i="6"/>
  <c r="K419" i="6"/>
  <c r="G419" i="6"/>
  <c r="H417" i="6"/>
  <c r="J417" i="6"/>
  <c r="F417" i="6"/>
  <c r="G417" i="6"/>
  <c r="K417" i="6"/>
  <c r="G415" i="6"/>
  <c r="K415" i="6"/>
  <c r="H415" i="6"/>
  <c r="F415" i="6"/>
  <c r="J415" i="6"/>
  <c r="F413" i="6"/>
  <c r="K413" i="6"/>
  <c r="G413" i="6"/>
  <c r="J413" i="6"/>
  <c r="H413" i="6"/>
  <c r="F411" i="6"/>
  <c r="J411" i="6"/>
  <c r="G411" i="6"/>
  <c r="H411" i="6"/>
  <c r="K411" i="6"/>
  <c r="H409" i="6"/>
  <c r="J409" i="6"/>
  <c r="G409" i="6"/>
  <c r="K409" i="6"/>
  <c r="F409" i="6"/>
  <c r="G407" i="6"/>
  <c r="K407" i="6"/>
  <c r="H407" i="6"/>
  <c r="J407" i="6"/>
  <c r="F407" i="6"/>
  <c r="F405" i="6"/>
  <c r="K405" i="6"/>
  <c r="G405" i="6"/>
  <c r="H405" i="6"/>
  <c r="J405" i="6"/>
  <c r="H402" i="6"/>
  <c r="J402" i="6"/>
  <c r="F402" i="6"/>
  <c r="G402" i="6"/>
  <c r="K402" i="6"/>
  <c r="G400" i="6"/>
  <c r="K400" i="6"/>
  <c r="H400" i="6"/>
  <c r="F400" i="6"/>
  <c r="J400" i="6"/>
  <c r="F398" i="6"/>
  <c r="K398" i="6"/>
  <c r="G398" i="6"/>
  <c r="J398" i="6"/>
  <c r="H398" i="6"/>
  <c r="F396" i="6"/>
  <c r="J396" i="6"/>
  <c r="G396" i="6"/>
  <c r="H396" i="6"/>
  <c r="K396" i="6"/>
  <c r="F427" i="5"/>
  <c r="F419" i="5"/>
  <c r="F411" i="5"/>
  <c r="F401" i="5"/>
  <c r="F396" i="5"/>
  <c r="F432" i="8"/>
  <c r="G432" i="8"/>
  <c r="K432" i="8"/>
  <c r="E432" i="8"/>
  <c r="I432" i="8"/>
  <c r="I430" i="8"/>
  <c r="E430" i="8"/>
  <c r="K430" i="8"/>
  <c r="F430" i="8"/>
  <c r="G430" i="8"/>
  <c r="F428" i="8"/>
  <c r="G428" i="8"/>
  <c r="E428" i="8"/>
  <c r="I428" i="8"/>
  <c r="K428" i="8"/>
  <c r="I426" i="8"/>
  <c r="E426" i="8"/>
  <c r="K426" i="8"/>
  <c r="G426" i="8"/>
  <c r="F426" i="8"/>
  <c r="F424" i="8"/>
  <c r="G424" i="8"/>
  <c r="K424" i="8"/>
  <c r="E424" i="8"/>
  <c r="I424" i="8"/>
  <c r="I422" i="8"/>
  <c r="E422" i="8"/>
  <c r="K422" i="8"/>
  <c r="F422" i="8"/>
  <c r="G422" i="8"/>
  <c r="F420" i="8"/>
  <c r="G420" i="8"/>
  <c r="E420" i="8"/>
  <c r="I420" i="8"/>
  <c r="K420" i="8"/>
  <c r="I418" i="8"/>
  <c r="E418" i="8"/>
  <c r="K418" i="8"/>
  <c r="G418" i="8"/>
  <c r="F418" i="8"/>
  <c r="F416" i="8"/>
  <c r="G416" i="8"/>
  <c r="K416" i="8"/>
  <c r="E416" i="8"/>
  <c r="I416" i="8"/>
  <c r="I414" i="8"/>
  <c r="E414" i="8"/>
  <c r="K414" i="8"/>
  <c r="F414" i="8"/>
  <c r="G414" i="8"/>
  <c r="F412" i="8"/>
  <c r="G412" i="8"/>
  <c r="E412" i="8"/>
  <c r="I412" i="8"/>
  <c r="K412" i="8"/>
  <c r="I410" i="8"/>
  <c r="E410" i="8"/>
  <c r="K410" i="8"/>
  <c r="G410" i="8"/>
  <c r="F410" i="8"/>
  <c r="F408" i="8"/>
  <c r="G408" i="8"/>
  <c r="K408" i="8"/>
  <c r="E408" i="8"/>
  <c r="I408" i="8"/>
  <c r="I406" i="8"/>
  <c r="E406" i="8"/>
  <c r="K406" i="8"/>
  <c r="F406" i="8"/>
  <c r="G406" i="8"/>
  <c r="F404" i="8"/>
  <c r="G404" i="8"/>
  <c r="E404" i="8"/>
  <c r="I404" i="8"/>
  <c r="K404" i="8"/>
  <c r="I403" i="8"/>
  <c r="E403" i="8"/>
  <c r="K403" i="8"/>
  <c r="G403" i="8"/>
  <c r="F403" i="8"/>
  <c r="F401" i="8"/>
  <c r="G401" i="8"/>
  <c r="K401" i="8"/>
  <c r="E401" i="8"/>
  <c r="I401" i="8"/>
  <c r="I399" i="8"/>
  <c r="E399" i="8"/>
  <c r="K399" i="8"/>
  <c r="F399" i="8"/>
  <c r="G399" i="8"/>
  <c r="F397" i="8"/>
  <c r="G397" i="8"/>
  <c r="E397" i="8"/>
  <c r="I397" i="8"/>
  <c r="K397" i="8"/>
  <c r="I395" i="8"/>
  <c r="E395" i="8"/>
  <c r="K395" i="8"/>
  <c r="G395" i="8"/>
  <c r="F395" i="8"/>
  <c r="I433" i="9"/>
  <c r="E433" i="9"/>
  <c r="K433" i="9"/>
  <c r="F433" i="9"/>
  <c r="G433" i="9"/>
  <c r="E432" i="9"/>
  <c r="K432" i="9"/>
  <c r="F432" i="9"/>
  <c r="G432" i="9"/>
  <c r="I432" i="9"/>
  <c r="F431" i="9"/>
  <c r="G431" i="9"/>
  <c r="I431" i="9"/>
  <c r="E431" i="9"/>
  <c r="K431" i="9"/>
  <c r="G430" i="9"/>
  <c r="I430" i="9"/>
  <c r="E430" i="9"/>
  <c r="K430" i="9"/>
  <c r="F430" i="9"/>
  <c r="I429" i="9"/>
  <c r="E429" i="9"/>
  <c r="K429" i="9"/>
  <c r="F429" i="9"/>
  <c r="G429" i="9"/>
  <c r="E428" i="9"/>
  <c r="K428" i="9"/>
  <c r="F428" i="9"/>
  <c r="G428" i="9"/>
  <c r="I428" i="9"/>
  <c r="F427" i="9"/>
  <c r="G427" i="9"/>
  <c r="I427" i="9"/>
  <c r="E427" i="9"/>
  <c r="K427" i="9"/>
  <c r="G426" i="9"/>
  <c r="I426" i="9"/>
  <c r="E426" i="9"/>
  <c r="K426" i="9"/>
  <c r="F426" i="9"/>
  <c r="I425" i="9"/>
  <c r="E425" i="9"/>
  <c r="K425" i="9"/>
  <c r="F425" i="9"/>
  <c r="G425" i="9"/>
  <c r="E424" i="9"/>
  <c r="K424" i="9"/>
  <c r="F424" i="9"/>
  <c r="G424" i="9"/>
  <c r="I424" i="9"/>
  <c r="F423" i="9"/>
  <c r="G423" i="9"/>
  <c r="I423" i="9"/>
  <c r="E423" i="9"/>
  <c r="K423" i="9"/>
  <c r="G422" i="9"/>
  <c r="I422" i="9"/>
  <c r="E422" i="9"/>
  <c r="K422" i="9"/>
  <c r="F422" i="9"/>
  <c r="I421" i="9"/>
  <c r="E421" i="9"/>
  <c r="K421" i="9"/>
  <c r="F421" i="9"/>
  <c r="G421" i="9"/>
  <c r="E420" i="9"/>
  <c r="K420" i="9"/>
  <c r="F420" i="9"/>
  <c r="G420" i="9"/>
  <c r="I420" i="9"/>
  <c r="F419" i="9"/>
  <c r="G419" i="9"/>
  <c r="I419" i="9"/>
  <c r="K419" i="9"/>
  <c r="E419" i="9"/>
  <c r="G418" i="9"/>
  <c r="I418" i="9"/>
  <c r="E418" i="9"/>
  <c r="K418" i="9"/>
  <c r="F418" i="9"/>
  <c r="I417" i="9"/>
  <c r="G417" i="9"/>
  <c r="K417" i="9"/>
  <c r="E417" i="9"/>
  <c r="F417" i="9"/>
  <c r="E416" i="9"/>
  <c r="K416" i="9"/>
  <c r="G416" i="9"/>
  <c r="I416" i="9"/>
  <c r="F416" i="9"/>
  <c r="F415" i="9"/>
  <c r="G415" i="9"/>
  <c r="I415" i="9"/>
  <c r="K415" i="9"/>
  <c r="E415" i="9"/>
  <c r="G414" i="9"/>
  <c r="F414" i="9"/>
  <c r="I414" i="9"/>
  <c r="K414" i="9"/>
  <c r="E414" i="9"/>
  <c r="I413" i="9"/>
  <c r="F413" i="9"/>
  <c r="G413" i="9"/>
  <c r="K413" i="9"/>
  <c r="E413" i="9"/>
  <c r="E412" i="9"/>
  <c r="K412" i="9"/>
  <c r="F412" i="9"/>
  <c r="G412" i="9"/>
  <c r="I412" i="9"/>
  <c r="F411" i="9"/>
  <c r="E411" i="9"/>
  <c r="G411" i="9"/>
  <c r="I411" i="9"/>
  <c r="K411" i="9"/>
  <c r="G410" i="9"/>
  <c r="E410" i="9"/>
  <c r="F410" i="9"/>
  <c r="I410" i="9"/>
  <c r="K410" i="9"/>
  <c r="I409" i="9"/>
  <c r="E409" i="9"/>
  <c r="F409" i="9"/>
  <c r="G409" i="9"/>
  <c r="K409" i="9"/>
  <c r="E408" i="9"/>
  <c r="K408" i="9"/>
  <c r="F408" i="9"/>
  <c r="G408" i="9"/>
  <c r="I408" i="9"/>
  <c r="F407" i="9"/>
  <c r="K407" i="9"/>
  <c r="E407" i="9"/>
  <c r="G407" i="9"/>
  <c r="I407" i="9"/>
  <c r="G406" i="9"/>
  <c r="K406" i="9"/>
  <c r="E406" i="9"/>
  <c r="F406" i="9"/>
  <c r="I406" i="9"/>
  <c r="I405" i="9"/>
  <c r="K405" i="9"/>
  <c r="E405" i="9"/>
  <c r="F405" i="9"/>
  <c r="G405" i="9"/>
  <c r="E404" i="9"/>
  <c r="K404" i="9"/>
  <c r="I404" i="9"/>
  <c r="F404" i="9"/>
  <c r="G404" i="9"/>
  <c r="G403" i="9"/>
  <c r="I403" i="9"/>
  <c r="K403" i="9"/>
  <c r="E403" i="9"/>
  <c r="F403" i="9"/>
  <c r="I402" i="9"/>
  <c r="G402" i="9"/>
  <c r="K402" i="9"/>
  <c r="E402" i="9"/>
  <c r="F402" i="9"/>
  <c r="E401" i="9"/>
  <c r="K401" i="9"/>
  <c r="G401" i="9"/>
  <c r="I401" i="9"/>
  <c r="F401" i="9"/>
  <c r="F400" i="9"/>
  <c r="G400" i="9"/>
  <c r="I400" i="9"/>
  <c r="K400" i="9"/>
  <c r="E400" i="9"/>
  <c r="G399" i="9"/>
  <c r="F399" i="9"/>
  <c r="I399" i="9"/>
  <c r="K399" i="9"/>
  <c r="E399" i="9"/>
  <c r="I398" i="9"/>
  <c r="F398" i="9"/>
  <c r="G398" i="9"/>
  <c r="K398" i="9"/>
  <c r="E398" i="9"/>
  <c r="E397" i="9"/>
  <c r="K397" i="9"/>
  <c r="F397" i="9"/>
  <c r="G397" i="9"/>
  <c r="I397" i="9"/>
  <c r="F396" i="9"/>
  <c r="E396" i="9"/>
  <c r="G396" i="9"/>
  <c r="I396" i="9"/>
  <c r="K396" i="9"/>
  <c r="G395" i="9"/>
  <c r="E395" i="9"/>
  <c r="F395" i="9"/>
  <c r="I395" i="9"/>
  <c r="K395" i="9"/>
  <c r="F423" i="5"/>
  <c r="F415" i="5"/>
  <c r="F407" i="5"/>
  <c r="F400" i="5"/>
  <c r="F392" i="5"/>
  <c r="F429" i="5"/>
  <c r="F413" i="5"/>
  <c r="F405" i="5"/>
  <c r="F398" i="5"/>
  <c r="F430" i="5"/>
  <c r="F428" i="5"/>
  <c r="F426" i="5"/>
  <c r="F424" i="5"/>
  <c r="F422" i="5"/>
  <c r="F420" i="5"/>
  <c r="F418" i="5"/>
  <c r="F416" i="5"/>
  <c r="F412" i="5"/>
  <c r="F410" i="5"/>
  <c r="F408" i="5"/>
  <c r="F406" i="5"/>
  <c r="F404" i="5"/>
  <c r="F402" i="5"/>
  <c r="F399" i="5"/>
  <c r="F397" i="5"/>
  <c r="F395" i="5"/>
  <c r="F393" i="5"/>
  <c r="E433" i="8"/>
  <c r="K433" i="8"/>
  <c r="F433" i="8"/>
  <c r="G433" i="8"/>
  <c r="I433" i="8"/>
  <c r="G431" i="8"/>
  <c r="I431" i="8"/>
  <c r="F431" i="8"/>
  <c r="K431" i="8"/>
  <c r="E431" i="8"/>
  <c r="E429" i="8"/>
  <c r="K429" i="8"/>
  <c r="F429" i="8"/>
  <c r="I429" i="8"/>
  <c r="G429" i="8"/>
  <c r="G427" i="8"/>
  <c r="I427" i="8"/>
  <c r="E427" i="8"/>
  <c r="F427" i="8"/>
  <c r="K427" i="8"/>
  <c r="E425" i="8"/>
  <c r="K425" i="8"/>
  <c r="F425" i="8"/>
  <c r="G425" i="8"/>
  <c r="I425" i="8"/>
  <c r="G423" i="8"/>
  <c r="I423" i="8"/>
  <c r="F423" i="8"/>
  <c r="K423" i="8"/>
  <c r="E423" i="8"/>
  <c r="E421" i="8"/>
  <c r="K421" i="8"/>
  <c r="F421" i="8"/>
  <c r="I421" i="8"/>
  <c r="G421" i="8"/>
  <c r="G419" i="8"/>
  <c r="I419" i="8"/>
  <c r="E419" i="8"/>
  <c r="F419" i="8"/>
  <c r="K419" i="8"/>
  <c r="E417" i="8"/>
  <c r="K417" i="8"/>
  <c r="F417" i="8"/>
  <c r="G417" i="8"/>
  <c r="I417" i="8"/>
  <c r="G415" i="8"/>
  <c r="I415" i="8"/>
  <c r="F415" i="8"/>
  <c r="K415" i="8"/>
  <c r="E415" i="8"/>
  <c r="E413" i="8"/>
  <c r="K413" i="8"/>
  <c r="F413" i="8"/>
  <c r="I413" i="8"/>
  <c r="G413" i="8"/>
  <c r="G411" i="8"/>
  <c r="I411" i="8"/>
  <c r="E411" i="8"/>
  <c r="F411" i="8"/>
  <c r="K411" i="8"/>
  <c r="E409" i="8"/>
  <c r="K409" i="8"/>
  <c r="F409" i="8"/>
  <c r="G409" i="8"/>
  <c r="I409" i="8"/>
  <c r="G407" i="8"/>
  <c r="I407" i="8"/>
  <c r="F407" i="8"/>
  <c r="K407" i="8"/>
  <c r="E407" i="8"/>
  <c r="E405" i="8"/>
  <c r="K405" i="8"/>
  <c r="F405" i="8"/>
  <c r="I405" i="8"/>
  <c r="G405" i="8"/>
  <c r="E402" i="8"/>
  <c r="K402" i="8"/>
  <c r="F402" i="8"/>
  <c r="G402" i="8"/>
  <c r="I402" i="8"/>
  <c r="G400" i="8"/>
  <c r="I400" i="8"/>
  <c r="F400" i="8"/>
  <c r="K400" i="8"/>
  <c r="E400" i="8"/>
  <c r="E398" i="8"/>
  <c r="K398" i="8"/>
  <c r="F398" i="8"/>
  <c r="I398" i="8"/>
  <c r="G398" i="8"/>
  <c r="G396" i="8"/>
  <c r="I396" i="8"/>
  <c r="E396" i="8"/>
  <c r="F396" i="8"/>
  <c r="K396" i="8"/>
  <c r="F425" i="5"/>
  <c r="F417" i="5"/>
  <c r="F409" i="5"/>
  <c r="F403" i="5"/>
  <c r="F394" i="5"/>
  <c r="F421" i="5" l="1"/>
  <c r="O421" i="5"/>
  <c r="O409" i="5"/>
  <c r="O402" i="5"/>
  <c r="O418" i="5"/>
  <c r="O405" i="5"/>
  <c r="O423" i="5"/>
  <c r="O417" i="5"/>
  <c r="O412" i="5"/>
  <c r="O420" i="5"/>
  <c r="O428" i="5"/>
  <c r="O413" i="5"/>
  <c r="O400" i="5"/>
  <c r="O396" i="5"/>
  <c r="O427" i="5"/>
  <c r="O403" i="5"/>
  <c r="O408" i="5"/>
  <c r="O416" i="5"/>
  <c r="O395" i="5"/>
  <c r="O410" i="5"/>
  <c r="O426" i="5"/>
  <c r="O392" i="5"/>
  <c r="O419" i="5"/>
  <c r="O397" i="5"/>
  <c r="O404" i="5"/>
  <c r="O394" i="5"/>
  <c r="O425" i="5"/>
  <c r="O399" i="5"/>
  <c r="O406" i="5"/>
  <c r="O414" i="5"/>
  <c r="O422" i="5"/>
  <c r="O430" i="5"/>
  <c r="O407" i="5"/>
  <c r="O401" i="5"/>
  <c r="O393" i="5"/>
  <c r="O424" i="5"/>
  <c r="O398" i="5"/>
  <c r="O429" i="5"/>
  <c r="O415" i="5"/>
  <c r="O411" i="5"/>
  <c r="L402" i="6"/>
  <c r="L417" i="6"/>
  <c r="L433" i="6"/>
  <c r="L409" i="6"/>
  <c r="L425" i="6"/>
  <c r="L429" i="6"/>
  <c r="L430" i="6"/>
  <c r="L400" i="6"/>
  <c r="L431" i="6"/>
  <c r="L428" i="6"/>
  <c r="L407" i="6"/>
  <c r="I409" i="6"/>
  <c r="L419" i="6"/>
  <c r="L423" i="6"/>
  <c r="I425" i="6"/>
  <c r="L416" i="6"/>
  <c r="I428" i="6"/>
  <c r="L432" i="6"/>
  <c r="I412" i="6"/>
  <c r="I430" i="6"/>
  <c r="L397" i="6"/>
  <c r="I397" i="6"/>
  <c r="L404" i="6"/>
  <c r="I404" i="6"/>
  <c r="I420" i="6"/>
  <c r="L426" i="6"/>
  <c r="I399" i="6"/>
  <c r="I410" i="6"/>
  <c r="I422" i="6"/>
  <c r="I426" i="6"/>
  <c r="I408" i="6"/>
  <c r="L399" i="6"/>
  <c r="I400" i="6"/>
  <c r="I415" i="6"/>
  <c r="I431" i="6"/>
  <c r="L403" i="6"/>
  <c r="L396" i="6"/>
  <c r="I398" i="6"/>
  <c r="I402" i="6"/>
  <c r="I405" i="6"/>
  <c r="L411" i="6"/>
  <c r="I413" i="6"/>
  <c r="I417" i="6"/>
  <c r="I421" i="6"/>
  <c r="L427" i="6"/>
  <c r="I429" i="6"/>
  <c r="I433" i="6"/>
  <c r="L401" i="6"/>
  <c r="L408" i="6"/>
  <c r="L420" i="6"/>
  <c r="I395" i="6"/>
  <c r="L418" i="6"/>
  <c r="L424" i="6"/>
  <c r="I396" i="6"/>
  <c r="I411" i="6"/>
  <c r="I427" i="6"/>
  <c r="I414" i="6"/>
  <c r="L395" i="6"/>
  <c r="I403" i="6"/>
  <c r="I407" i="6"/>
  <c r="L415" i="6"/>
  <c r="I419" i="6"/>
  <c r="I423" i="6"/>
  <c r="I416" i="6"/>
  <c r="L422" i="6"/>
  <c r="I432" i="6"/>
  <c r="I406" i="6"/>
  <c r="L406" i="6"/>
  <c r="L412" i="6"/>
  <c r="I418" i="6"/>
  <c r="I424" i="6"/>
  <c r="L398" i="6"/>
  <c r="L405" i="6"/>
  <c r="L413" i="6"/>
  <c r="L421" i="6"/>
  <c r="L410" i="6"/>
  <c r="I401" i="6"/>
  <c r="L414" i="6"/>
  <c r="H400" i="9"/>
  <c r="H415" i="9"/>
  <c r="H419" i="9"/>
  <c r="H418" i="9"/>
  <c r="H422" i="9"/>
  <c r="H403" i="9"/>
  <c r="H395" i="9"/>
  <c r="H410" i="9"/>
  <c r="H405" i="9"/>
  <c r="H399" i="8"/>
  <c r="H406" i="8"/>
  <c r="H414" i="8"/>
  <c r="H422" i="8"/>
  <c r="H430" i="8"/>
  <c r="H426" i="9"/>
  <c r="H430" i="9"/>
  <c r="H396" i="8"/>
  <c r="H400" i="8"/>
  <c r="H407" i="8"/>
  <c r="H411" i="8"/>
  <c r="H415" i="8"/>
  <c r="H419" i="8"/>
  <c r="H423" i="8"/>
  <c r="H427" i="8"/>
  <c r="H431" i="8"/>
  <c r="H397" i="9"/>
  <c r="H401" i="9"/>
  <c r="H404" i="9"/>
  <c r="H406" i="9"/>
  <c r="H408" i="9"/>
  <c r="H409" i="9"/>
  <c r="H412" i="9"/>
  <c r="H416" i="9"/>
  <c r="H420" i="9"/>
  <c r="H421" i="9"/>
  <c r="H423" i="9"/>
  <c r="H424" i="9"/>
  <c r="H425" i="9"/>
  <c r="H427" i="9"/>
  <c r="H428" i="9"/>
  <c r="H429" i="9"/>
  <c r="H431" i="9"/>
  <c r="H433" i="9"/>
  <c r="H402" i="8"/>
  <c r="H409" i="8"/>
  <c r="H417" i="8"/>
  <c r="H425" i="8"/>
  <c r="H433" i="8"/>
  <c r="H398" i="9"/>
  <c r="H407" i="9"/>
  <c r="H413" i="9"/>
  <c r="H395" i="8"/>
  <c r="H397" i="8"/>
  <c r="H403" i="8"/>
  <c r="H404" i="8"/>
  <c r="H410" i="8"/>
  <c r="H412" i="8"/>
  <c r="H418" i="8"/>
  <c r="H420" i="8"/>
  <c r="H426" i="8"/>
  <c r="H428" i="8"/>
  <c r="H396" i="9"/>
  <c r="H399" i="9"/>
  <c r="H402" i="9"/>
  <c r="H411" i="9"/>
  <c r="H414" i="9"/>
  <c r="H417" i="9"/>
  <c r="H432" i="9"/>
  <c r="H401" i="8"/>
  <c r="H408" i="8"/>
  <c r="H416" i="8"/>
  <c r="H424" i="8"/>
  <c r="H432" i="8"/>
  <c r="H398" i="8"/>
  <c r="H405" i="8"/>
  <c r="H413" i="8"/>
  <c r="H421" i="8"/>
  <c r="H429" i="8"/>
  <c r="D87" i="36"/>
  <c r="C86" i="9"/>
  <c r="P86" i="9" s="1"/>
  <c r="C86" i="8"/>
  <c r="P86" i="8" s="1"/>
  <c r="D83" i="5"/>
  <c r="E83" i="5" s="1"/>
  <c r="B86" i="6"/>
  <c r="T86" i="6" l="1"/>
  <c r="S86" i="6"/>
  <c r="T86" i="8"/>
  <c r="T86" i="9"/>
  <c r="G86" i="6"/>
  <c r="H86" i="6"/>
  <c r="K86" i="6"/>
  <c r="F86" i="6"/>
  <c r="J86" i="6"/>
  <c r="E86" i="8"/>
  <c r="K86" i="8"/>
  <c r="F86" i="8"/>
  <c r="I86" i="8"/>
  <c r="G86" i="8"/>
  <c r="E86" i="9"/>
  <c r="K86" i="9"/>
  <c r="F86" i="9"/>
  <c r="G86" i="9"/>
  <c r="I86" i="9"/>
  <c r="F83" i="5"/>
  <c r="AT307" i="4"/>
  <c r="AV86" i="4"/>
  <c r="S87" i="36"/>
  <c r="AT86" i="4"/>
  <c r="D308" i="36"/>
  <c r="C307" i="9"/>
  <c r="P307" i="9" s="1"/>
  <c r="C307" i="8"/>
  <c r="P307" i="8" s="1"/>
  <c r="D304" i="5"/>
  <c r="E304" i="5" s="1"/>
  <c r="B307" i="6"/>
  <c r="AI87" i="36" l="1"/>
  <c r="M87" i="36"/>
  <c r="T307" i="6"/>
  <c r="S307" i="6"/>
  <c r="T307" i="8"/>
  <c r="T307" i="9"/>
  <c r="O83" i="5"/>
  <c r="AZ86" i="4"/>
  <c r="L86" i="6"/>
  <c r="I86" i="6"/>
  <c r="F307" i="6"/>
  <c r="J307" i="6"/>
  <c r="H307" i="6"/>
  <c r="K307" i="6"/>
  <c r="G307" i="6"/>
  <c r="H86" i="9"/>
  <c r="F307" i="9"/>
  <c r="G307" i="9"/>
  <c r="I307" i="9"/>
  <c r="K307" i="9"/>
  <c r="E307" i="9"/>
  <c r="F304" i="5"/>
  <c r="G307" i="8"/>
  <c r="I307" i="8"/>
  <c r="E307" i="8"/>
  <c r="K307" i="8"/>
  <c r="F307" i="8"/>
  <c r="H86" i="8"/>
  <c r="AD87" i="36"/>
  <c r="J87" i="36"/>
  <c r="S308" i="36"/>
  <c r="AI308" i="36" l="1"/>
  <c r="M308" i="36"/>
  <c r="O304" i="5"/>
  <c r="P87" i="36"/>
  <c r="AK87" i="36" s="1"/>
  <c r="L307" i="6"/>
  <c r="I307" i="6"/>
  <c r="H307" i="9"/>
  <c r="H307" i="8"/>
  <c r="AD308" i="36"/>
  <c r="AV307" i="4"/>
  <c r="AZ307" i="4" s="1"/>
  <c r="J308" i="36"/>
  <c r="AJ87" i="36" l="1"/>
  <c r="P308" i="36"/>
  <c r="AJ308" i="36" s="1"/>
  <c r="AK308" i="36" l="1"/>
  <c r="B180" i="9"/>
  <c r="B180" i="8"/>
  <c r="C180" i="6"/>
  <c r="C177" i="5"/>
  <c r="B181" i="9"/>
  <c r="B181" i="8"/>
  <c r="C181" i="6"/>
  <c r="C178" i="5"/>
  <c r="B234" i="9"/>
  <c r="B234" i="8"/>
  <c r="C231" i="5"/>
  <c r="C234" i="6"/>
  <c r="B352" i="9"/>
  <c r="B352" i="8"/>
  <c r="C352" i="6"/>
  <c r="C349" i="5"/>
  <c r="B353" i="9"/>
  <c r="B353" i="8"/>
  <c r="C350" i="5"/>
  <c r="C353" i="6"/>
  <c r="H427" i="36" l="1"/>
  <c r="H413" i="36"/>
  <c r="H412" i="36"/>
  <c r="H411" i="36"/>
  <c r="H410" i="36"/>
  <c r="H409" i="36"/>
  <c r="H408" i="36"/>
  <c r="H407" i="36"/>
  <c r="H406" i="36"/>
  <c r="H405" i="36"/>
  <c r="H404" i="36"/>
  <c r="H401" i="36"/>
  <c r="H400" i="36"/>
  <c r="H399" i="36"/>
  <c r="L403" i="8" l="1"/>
  <c r="L403" i="9"/>
  <c r="L406" i="8"/>
  <c r="L406" i="9"/>
  <c r="L410" i="8"/>
  <c r="L410" i="9"/>
  <c r="L407" i="8"/>
  <c r="L407" i="9"/>
  <c r="L411" i="8"/>
  <c r="L411" i="9"/>
  <c r="L399" i="8"/>
  <c r="L399" i="9"/>
  <c r="L404" i="8"/>
  <c r="L404" i="9"/>
  <c r="L408" i="8"/>
  <c r="L408" i="9"/>
  <c r="L412" i="8"/>
  <c r="L412" i="9"/>
  <c r="L398" i="8"/>
  <c r="L398" i="9"/>
  <c r="L400" i="8"/>
  <c r="L400" i="9"/>
  <c r="L405" i="8"/>
  <c r="L405" i="9"/>
  <c r="L409" i="8"/>
  <c r="L409" i="9"/>
  <c r="L426" i="8"/>
  <c r="L426" i="9"/>
  <c r="AH404" i="36"/>
  <c r="M403" i="6"/>
  <c r="AH407" i="36"/>
  <c r="M406" i="6"/>
  <c r="AH411" i="36"/>
  <c r="M410" i="6"/>
  <c r="AH408" i="36"/>
  <c r="M407" i="6"/>
  <c r="AH412" i="36"/>
  <c r="M411" i="6"/>
  <c r="AH400" i="36"/>
  <c r="M399" i="6"/>
  <c r="AH405" i="36"/>
  <c r="M404" i="6"/>
  <c r="AH409" i="36"/>
  <c r="M408" i="6"/>
  <c r="AH413" i="36"/>
  <c r="M412" i="6"/>
  <c r="AH399" i="36"/>
  <c r="M398" i="6"/>
  <c r="AH401" i="36"/>
  <c r="M400" i="6"/>
  <c r="AH406" i="36"/>
  <c r="M405" i="6"/>
  <c r="AH410" i="36"/>
  <c r="M409" i="6"/>
  <c r="AH427" i="36"/>
  <c r="M426" i="6"/>
  <c r="AV370" i="4"/>
  <c r="D371" i="36"/>
  <c r="C370" i="9"/>
  <c r="P370" i="9" s="1"/>
  <c r="C370" i="8"/>
  <c r="P370" i="8" s="1"/>
  <c r="D367" i="5"/>
  <c r="E367" i="5" s="1"/>
  <c r="B370" i="6"/>
  <c r="T370" i="6" l="1"/>
  <c r="S370" i="6"/>
  <c r="T370" i="8"/>
  <c r="T370" i="9"/>
  <c r="F370" i="6"/>
  <c r="J370" i="6"/>
  <c r="H370" i="6"/>
  <c r="K370" i="6"/>
  <c r="G370" i="6"/>
  <c r="G370" i="8"/>
  <c r="I370" i="8"/>
  <c r="E370" i="8"/>
  <c r="F370" i="8"/>
  <c r="K370" i="8"/>
  <c r="F367" i="5"/>
  <c r="F370" i="9"/>
  <c r="G370" i="9"/>
  <c r="I370" i="9"/>
  <c r="K370" i="9"/>
  <c r="E370" i="9"/>
  <c r="S371" i="36"/>
  <c r="AI371" i="36" l="1"/>
  <c r="M371" i="36"/>
  <c r="O367" i="5"/>
  <c r="L370" i="6"/>
  <c r="I370" i="6"/>
  <c r="H370" i="9"/>
  <c r="H370" i="8"/>
  <c r="AD371" i="36"/>
  <c r="AT370" i="4"/>
  <c r="AZ370" i="4" s="1"/>
  <c r="J371" i="36"/>
  <c r="P371" i="36" l="1"/>
  <c r="AK371" i="36" s="1"/>
  <c r="D111" i="36"/>
  <c r="C110" i="9"/>
  <c r="P110" i="9" s="1"/>
  <c r="C110" i="8"/>
  <c r="P110" i="8" s="1"/>
  <c r="D107" i="5"/>
  <c r="E107" i="5" s="1"/>
  <c r="B110" i="6"/>
  <c r="T110" i="6" l="1"/>
  <c r="S110" i="6"/>
  <c r="T110" i="9"/>
  <c r="T110" i="8"/>
  <c r="AJ371" i="36"/>
  <c r="J110" i="6"/>
  <c r="F110" i="6"/>
  <c r="K110" i="6"/>
  <c r="H110" i="6"/>
  <c r="G110" i="6"/>
  <c r="F107" i="5"/>
  <c r="E110" i="8"/>
  <c r="K110" i="8"/>
  <c r="F110" i="8"/>
  <c r="G110" i="8"/>
  <c r="I110" i="8"/>
  <c r="E110" i="9"/>
  <c r="K110" i="9"/>
  <c r="F110" i="9"/>
  <c r="G110" i="9"/>
  <c r="I110" i="9"/>
  <c r="AT70" i="4"/>
  <c r="AV110" i="4"/>
  <c r="S111" i="36"/>
  <c r="AI111" i="36" s="1"/>
  <c r="AT110" i="4"/>
  <c r="D71" i="36"/>
  <c r="C70" i="9"/>
  <c r="P70" i="9" s="1"/>
  <c r="C70" i="8"/>
  <c r="P70" i="8" s="1"/>
  <c r="D67" i="5"/>
  <c r="E67" i="5" s="1"/>
  <c r="B70" i="6"/>
  <c r="T70" i="6" l="1"/>
  <c r="S70" i="6"/>
  <c r="T70" i="8"/>
  <c r="T70" i="9"/>
  <c r="O107" i="5"/>
  <c r="AZ110" i="4"/>
  <c r="L110" i="6"/>
  <c r="I110" i="6"/>
  <c r="G70" i="6"/>
  <c r="H70" i="6"/>
  <c r="F70" i="6"/>
  <c r="J70" i="6"/>
  <c r="K70" i="6"/>
  <c r="H110" i="9"/>
  <c r="H110" i="8"/>
  <c r="E70" i="9"/>
  <c r="K70" i="9"/>
  <c r="F70" i="9"/>
  <c r="G70" i="9"/>
  <c r="I70" i="9"/>
  <c r="F67" i="5"/>
  <c r="E70" i="8"/>
  <c r="K70" i="8"/>
  <c r="F70" i="8"/>
  <c r="I70" i="8"/>
  <c r="G70" i="8"/>
  <c r="S71" i="36"/>
  <c r="M71" i="36" s="1"/>
  <c r="AD111" i="36"/>
  <c r="M111" i="36"/>
  <c r="J111" i="36"/>
  <c r="O67" i="5" l="1"/>
  <c r="P111" i="36"/>
  <c r="AK111" i="36" s="1"/>
  <c r="L70" i="6"/>
  <c r="AI71" i="36"/>
  <c r="I70" i="6"/>
  <c r="AD71" i="36"/>
  <c r="AV70" i="4"/>
  <c r="AZ70" i="4" s="1"/>
  <c r="H70" i="8"/>
  <c r="H70" i="9"/>
  <c r="J71" i="36"/>
  <c r="D119" i="36"/>
  <c r="C118" i="9"/>
  <c r="P118" i="9" s="1"/>
  <c r="C118" i="8"/>
  <c r="P118" i="8" s="1"/>
  <c r="D115" i="5"/>
  <c r="E115" i="5" s="1"/>
  <c r="B118" i="6"/>
  <c r="T118" i="6" l="1"/>
  <c r="S118" i="6"/>
  <c r="AJ111" i="36"/>
  <c r="T118" i="9"/>
  <c r="T118" i="8"/>
  <c r="P71" i="36"/>
  <c r="AK71" i="36" s="1"/>
  <c r="G118" i="6"/>
  <c r="H118" i="6"/>
  <c r="K118" i="6"/>
  <c r="J118" i="6"/>
  <c r="F118" i="6"/>
  <c r="F115" i="5"/>
  <c r="I118" i="8"/>
  <c r="E118" i="8"/>
  <c r="K118" i="8"/>
  <c r="F118" i="8"/>
  <c r="G118" i="8"/>
  <c r="E118" i="9"/>
  <c r="K118" i="9"/>
  <c r="F118" i="9"/>
  <c r="G118" i="9"/>
  <c r="I118" i="9"/>
  <c r="AT74" i="4"/>
  <c r="AV118" i="4"/>
  <c r="S119" i="36"/>
  <c r="AI119" i="36" s="1"/>
  <c r="AT118" i="4"/>
  <c r="D75" i="36"/>
  <c r="C74" i="9"/>
  <c r="P74" i="9" s="1"/>
  <c r="C74" i="8"/>
  <c r="P74" i="8" s="1"/>
  <c r="D71" i="5"/>
  <c r="E71" i="5" s="1"/>
  <c r="B74" i="6"/>
  <c r="T74" i="6" l="1"/>
  <c r="S74" i="6"/>
  <c r="T74" i="9"/>
  <c r="AJ71" i="36"/>
  <c r="T74" i="8"/>
  <c r="O115" i="5"/>
  <c r="AZ118" i="4"/>
  <c r="I118" i="6"/>
  <c r="L118" i="6"/>
  <c r="H74" i="6"/>
  <c r="J74" i="6"/>
  <c r="G74" i="6"/>
  <c r="K74" i="6"/>
  <c r="F74" i="6"/>
  <c r="H118" i="9"/>
  <c r="H118" i="8"/>
  <c r="G74" i="9"/>
  <c r="I74" i="9"/>
  <c r="E74" i="9"/>
  <c r="K74" i="9"/>
  <c r="F74" i="9"/>
  <c r="F71" i="5"/>
  <c r="G74" i="8"/>
  <c r="I74" i="8"/>
  <c r="E74" i="8"/>
  <c r="F74" i="8"/>
  <c r="K74" i="8"/>
  <c r="AD119" i="36"/>
  <c r="M119" i="36"/>
  <c r="J119" i="36"/>
  <c r="S75" i="36"/>
  <c r="AI75" i="36" s="1"/>
  <c r="O71" i="5" l="1"/>
  <c r="I74" i="6"/>
  <c r="P119" i="36"/>
  <c r="AJ119" i="36" s="1"/>
  <c r="L74" i="6"/>
  <c r="AD75" i="36"/>
  <c r="AV74" i="4"/>
  <c r="AZ74" i="4" s="1"/>
  <c r="H74" i="9"/>
  <c r="H74" i="8"/>
  <c r="M75" i="36"/>
  <c r="J75" i="36"/>
  <c r="AK119" i="36" l="1"/>
  <c r="P75" i="36"/>
  <c r="AJ75" i="36" s="1"/>
  <c r="D87" i="5"/>
  <c r="E87" i="5" s="1"/>
  <c r="AK75" i="36" l="1"/>
  <c r="F87" i="5"/>
  <c r="AT90" i="4"/>
  <c r="AV90" i="4"/>
  <c r="D112" i="36"/>
  <c r="D91" i="36"/>
  <c r="C111" i="9"/>
  <c r="P111" i="9" s="1"/>
  <c r="C111" i="8"/>
  <c r="P111" i="8" s="1"/>
  <c r="B111" i="6"/>
  <c r="D108" i="5"/>
  <c r="E108" i="5" s="1"/>
  <c r="C90" i="9"/>
  <c r="P90" i="9" s="1"/>
  <c r="C90" i="8"/>
  <c r="P90" i="8" s="1"/>
  <c r="B90" i="6"/>
  <c r="T90" i="6" l="1"/>
  <c r="S90" i="6"/>
  <c r="T111" i="6"/>
  <c r="S111" i="6"/>
  <c r="T111" i="8"/>
  <c r="T111" i="9"/>
  <c r="T90" i="8"/>
  <c r="T90" i="9"/>
  <c r="O87" i="5"/>
  <c r="AZ90" i="4"/>
  <c r="H90" i="6"/>
  <c r="J90" i="6"/>
  <c r="F90" i="6"/>
  <c r="K90" i="6"/>
  <c r="G90" i="6"/>
  <c r="H111" i="6"/>
  <c r="J111" i="6"/>
  <c r="F111" i="6"/>
  <c r="G111" i="6"/>
  <c r="K111" i="6"/>
  <c r="G90" i="8"/>
  <c r="I90" i="8"/>
  <c r="E90" i="8"/>
  <c r="F90" i="8"/>
  <c r="K90" i="8"/>
  <c r="G90" i="9"/>
  <c r="I90" i="9"/>
  <c r="E90" i="9"/>
  <c r="K90" i="9"/>
  <c r="F90" i="9"/>
  <c r="E111" i="9"/>
  <c r="I111" i="9"/>
  <c r="F111" i="9"/>
  <c r="K111" i="9"/>
  <c r="G111" i="9"/>
  <c r="F108" i="5"/>
  <c r="E111" i="8"/>
  <c r="I111" i="8"/>
  <c r="G111" i="8"/>
  <c r="K111" i="8"/>
  <c r="F111" i="8"/>
  <c r="S91" i="36"/>
  <c r="M91" i="36" s="1"/>
  <c r="AD91" i="36"/>
  <c r="AV111" i="4"/>
  <c r="S112" i="36"/>
  <c r="AI112" i="36" s="1"/>
  <c r="AT111" i="4"/>
  <c r="H431" i="36"/>
  <c r="H430" i="36"/>
  <c r="H433" i="36"/>
  <c r="H429" i="36"/>
  <c r="H432" i="36"/>
  <c r="H428" i="36"/>
  <c r="H421" i="36"/>
  <c r="H423" i="36"/>
  <c r="H426" i="36"/>
  <c r="H425" i="36"/>
  <c r="H417" i="36"/>
  <c r="H403" i="36"/>
  <c r="H396" i="36"/>
  <c r="H424" i="36"/>
  <c r="H420" i="36"/>
  <c r="H416" i="36"/>
  <c r="H402" i="36"/>
  <c r="H419" i="36"/>
  <c r="H415" i="36"/>
  <c r="H398" i="36"/>
  <c r="H422" i="36"/>
  <c r="H418" i="36"/>
  <c r="H414" i="36"/>
  <c r="H397" i="36"/>
  <c r="D36" i="99"/>
  <c r="G36" i="99" s="1"/>
  <c r="D7" i="99"/>
  <c r="G7" i="99" s="1"/>
  <c r="D8" i="99"/>
  <c r="G8" i="99" s="1"/>
  <c r="D9" i="99"/>
  <c r="G9" i="99" s="1"/>
  <c r="D10" i="99"/>
  <c r="G10" i="99" s="1"/>
  <c r="D11" i="99"/>
  <c r="G11" i="99" s="1"/>
  <c r="D12" i="99"/>
  <c r="G12" i="99" s="1"/>
  <c r="D13" i="99"/>
  <c r="G13" i="99" s="1"/>
  <c r="D14" i="99"/>
  <c r="G14" i="99" s="1"/>
  <c r="D15" i="99"/>
  <c r="G15" i="99" s="1"/>
  <c r="D16" i="99"/>
  <c r="G16" i="99" s="1"/>
  <c r="D17" i="99"/>
  <c r="G17" i="99" s="1"/>
  <c r="D18" i="99"/>
  <c r="G18" i="99" s="1"/>
  <c r="D19" i="99"/>
  <c r="G19" i="99" s="1"/>
  <c r="D20" i="99"/>
  <c r="G20" i="99" s="1"/>
  <c r="D21" i="99"/>
  <c r="G21" i="99" s="1"/>
  <c r="D22" i="99"/>
  <c r="G22" i="99" s="1"/>
  <c r="D23" i="99"/>
  <c r="G23" i="99" s="1"/>
  <c r="D24" i="99"/>
  <c r="G24" i="99" s="1"/>
  <c r="D25" i="99"/>
  <c r="G25" i="99" s="1"/>
  <c r="D26" i="99"/>
  <c r="G26" i="99" s="1"/>
  <c r="D28" i="99"/>
  <c r="G28" i="99" s="1"/>
  <c r="D29" i="99"/>
  <c r="G29" i="99" s="1"/>
  <c r="D30" i="99"/>
  <c r="G30" i="99" s="1"/>
  <c r="D31" i="99"/>
  <c r="G31" i="99" s="1"/>
  <c r="D32" i="99"/>
  <c r="G32" i="99" s="1"/>
  <c r="D33" i="99"/>
  <c r="G33" i="99" s="1"/>
  <c r="D34" i="99"/>
  <c r="G34" i="99" s="1"/>
  <c r="D35" i="99"/>
  <c r="G35" i="99" s="1"/>
  <c r="D37" i="99"/>
  <c r="G37" i="99" s="1"/>
  <c r="D38" i="99"/>
  <c r="G38" i="99" s="1"/>
  <c r="D39" i="99"/>
  <c r="G39" i="99" s="1"/>
  <c r="D40" i="99"/>
  <c r="G40" i="99" s="1"/>
  <c r="D41" i="99"/>
  <c r="G41" i="99" s="1"/>
  <c r="D42" i="99"/>
  <c r="G42" i="99" s="1"/>
  <c r="D43" i="99"/>
  <c r="G43" i="99" s="1"/>
  <c r="D44" i="99"/>
  <c r="G44" i="99" s="1"/>
  <c r="D45" i="99"/>
  <c r="G45" i="99" s="1"/>
  <c r="D46" i="99"/>
  <c r="G46" i="99" s="1"/>
  <c r="D47" i="99"/>
  <c r="G47" i="99" s="1"/>
  <c r="D48" i="99"/>
  <c r="G48" i="99" s="1"/>
  <c r="D49" i="99"/>
  <c r="G49" i="99" s="1"/>
  <c r="D50" i="99"/>
  <c r="G50" i="99" s="1"/>
  <c r="D51" i="99"/>
  <c r="G51" i="99" s="1"/>
  <c r="D52" i="99"/>
  <c r="G52" i="99" s="1"/>
  <c r="D53" i="99"/>
  <c r="G53" i="99" s="1"/>
  <c r="D54" i="99"/>
  <c r="G54" i="99" s="1"/>
  <c r="D55" i="99"/>
  <c r="G55" i="99" s="1"/>
  <c r="D57" i="99"/>
  <c r="G57" i="99" s="1"/>
  <c r="D58" i="99"/>
  <c r="G58" i="99" s="1"/>
  <c r="D59" i="99"/>
  <c r="G59" i="99" s="1"/>
  <c r="D60" i="99"/>
  <c r="G60" i="99" s="1"/>
  <c r="D61" i="99"/>
  <c r="G61" i="99" s="1"/>
  <c r="D62" i="99"/>
  <c r="G62" i="99" s="1"/>
  <c r="D63" i="99"/>
  <c r="G63" i="99" s="1"/>
  <c r="D64" i="99"/>
  <c r="G64" i="99" s="1"/>
  <c r="D65" i="99"/>
  <c r="G65" i="99" s="1"/>
  <c r="D66" i="99"/>
  <c r="G66" i="99" s="1"/>
  <c r="D69" i="99"/>
  <c r="G69" i="99" s="1"/>
  <c r="D70" i="99"/>
  <c r="G70" i="99" s="1"/>
  <c r="D71" i="99"/>
  <c r="G71" i="99" s="1"/>
  <c r="D72" i="99"/>
  <c r="G72" i="99" s="1"/>
  <c r="D73" i="99"/>
  <c r="G73" i="99" s="1"/>
  <c r="D74" i="99"/>
  <c r="G74" i="99" s="1"/>
  <c r="D75" i="99"/>
  <c r="G75" i="99" s="1"/>
  <c r="D76" i="99"/>
  <c r="G76" i="99" s="1"/>
  <c r="D77" i="99"/>
  <c r="G77" i="99" s="1"/>
  <c r="D78" i="99"/>
  <c r="G78" i="99" s="1"/>
  <c r="D79" i="99"/>
  <c r="G79" i="99" s="1"/>
  <c r="D80" i="99"/>
  <c r="G80" i="99" s="1"/>
  <c r="D81" i="99"/>
  <c r="G81" i="99" s="1"/>
  <c r="D82" i="99"/>
  <c r="G82" i="99" s="1"/>
  <c r="D83" i="99"/>
  <c r="G83" i="99" s="1"/>
  <c r="D84" i="99"/>
  <c r="G84" i="99" s="1"/>
  <c r="D85" i="99"/>
  <c r="G85" i="99" s="1"/>
  <c r="D86" i="99"/>
  <c r="G86" i="99" s="1"/>
  <c r="D87" i="99"/>
  <c r="G87" i="99" s="1"/>
  <c r="D88" i="99"/>
  <c r="G88" i="99" s="1"/>
  <c r="D89" i="99"/>
  <c r="G89" i="99" s="1"/>
  <c r="D90" i="99"/>
  <c r="G90" i="99" s="1"/>
  <c r="D91" i="99"/>
  <c r="G91" i="99" s="1"/>
  <c r="D92" i="99"/>
  <c r="G92" i="99" s="1"/>
  <c r="D93" i="99"/>
  <c r="G93" i="99" s="1"/>
  <c r="D94" i="99"/>
  <c r="G94" i="99" s="1"/>
  <c r="D95" i="99"/>
  <c r="G95" i="99" s="1"/>
  <c r="D96" i="99"/>
  <c r="G96" i="99" s="1"/>
  <c r="D97" i="99"/>
  <c r="G97" i="99" s="1"/>
  <c r="D98" i="99"/>
  <c r="G98" i="99" s="1"/>
  <c r="D99" i="99"/>
  <c r="G99" i="99" s="1"/>
  <c r="D100" i="99"/>
  <c r="G100" i="99" s="1"/>
  <c r="D101" i="99"/>
  <c r="G101" i="99" s="1"/>
  <c r="D103" i="99"/>
  <c r="G103" i="99" s="1"/>
  <c r="D104" i="99"/>
  <c r="G104" i="99" s="1"/>
  <c r="D105" i="99"/>
  <c r="G105" i="99" s="1"/>
  <c r="D106" i="99"/>
  <c r="G106" i="99" s="1"/>
  <c r="D107" i="99"/>
  <c r="G107" i="99" s="1"/>
  <c r="D108" i="99"/>
  <c r="G108" i="99" s="1"/>
  <c r="D109" i="99"/>
  <c r="G109" i="99" s="1"/>
  <c r="D110" i="99"/>
  <c r="G110" i="99" s="1"/>
  <c r="D111" i="99"/>
  <c r="G111" i="99" s="1"/>
  <c r="D112" i="99"/>
  <c r="G112" i="99" s="1"/>
  <c r="D113" i="99"/>
  <c r="G113" i="99" s="1"/>
  <c r="D114" i="99"/>
  <c r="G114" i="99" s="1"/>
  <c r="D115" i="99"/>
  <c r="G115" i="99" s="1"/>
  <c r="D116" i="99"/>
  <c r="G116" i="99" s="1"/>
  <c r="D117" i="99"/>
  <c r="G117" i="99" s="1"/>
  <c r="D118" i="99"/>
  <c r="G118" i="99" s="1"/>
  <c r="D119" i="99"/>
  <c r="G119" i="99" s="1"/>
  <c r="D121" i="99"/>
  <c r="G121" i="99" s="1"/>
  <c r="D122" i="99"/>
  <c r="G122" i="99" s="1"/>
  <c r="D123" i="99"/>
  <c r="G123" i="99" s="1"/>
  <c r="D124" i="99"/>
  <c r="G124" i="99" s="1"/>
  <c r="D125" i="99"/>
  <c r="G125" i="99" s="1"/>
  <c r="D126" i="99"/>
  <c r="G126" i="99" s="1"/>
  <c r="D127" i="99"/>
  <c r="G127" i="99" s="1"/>
  <c r="D128" i="99"/>
  <c r="G128" i="99" s="1"/>
  <c r="D129" i="99"/>
  <c r="G129" i="99" s="1"/>
  <c r="D130" i="99"/>
  <c r="G130" i="99" s="1"/>
  <c r="D131" i="99"/>
  <c r="G131" i="99" s="1"/>
  <c r="D132" i="99"/>
  <c r="G132" i="99" s="1"/>
  <c r="D133" i="99"/>
  <c r="G133" i="99" s="1"/>
  <c r="D134" i="99"/>
  <c r="G134" i="99" s="1"/>
  <c r="D135" i="99"/>
  <c r="G135" i="99" s="1"/>
  <c r="D136" i="99"/>
  <c r="G136" i="99" s="1"/>
  <c r="D137" i="99"/>
  <c r="G137" i="99" s="1"/>
  <c r="D138" i="99"/>
  <c r="G138" i="99" s="1"/>
  <c r="D139" i="99"/>
  <c r="G139" i="99" s="1"/>
  <c r="D140" i="99"/>
  <c r="G140" i="99" s="1"/>
  <c r="D141" i="99"/>
  <c r="G141" i="99" s="1"/>
  <c r="D142" i="99"/>
  <c r="G142" i="99" s="1"/>
  <c r="D144" i="99"/>
  <c r="G144" i="99" s="1"/>
  <c r="D145" i="99"/>
  <c r="G145" i="99" s="1"/>
  <c r="D146" i="99"/>
  <c r="G146" i="99" s="1"/>
  <c r="D147" i="99"/>
  <c r="G147" i="99" s="1"/>
  <c r="D148" i="99"/>
  <c r="G148" i="99" s="1"/>
  <c r="D149" i="99"/>
  <c r="G149" i="99" s="1"/>
  <c r="D150" i="99"/>
  <c r="G150" i="99" s="1"/>
  <c r="D151" i="99"/>
  <c r="G151" i="99" s="1"/>
  <c r="D152" i="99"/>
  <c r="G152" i="99" s="1"/>
  <c r="D153" i="99"/>
  <c r="G153" i="99" s="1"/>
  <c r="D154" i="99"/>
  <c r="G154" i="99" s="1"/>
  <c r="D155" i="99"/>
  <c r="G155" i="99" s="1"/>
  <c r="D156" i="99"/>
  <c r="G156" i="99" s="1"/>
  <c r="D157" i="99"/>
  <c r="G157" i="99" s="1"/>
  <c r="D158" i="99"/>
  <c r="G158" i="99" s="1"/>
  <c r="D159" i="99"/>
  <c r="G159" i="99" s="1"/>
  <c r="D160" i="99"/>
  <c r="G160" i="99" s="1"/>
  <c r="D161" i="99"/>
  <c r="G161" i="99" s="1"/>
  <c r="D162" i="99"/>
  <c r="G162" i="99" s="1"/>
  <c r="D163" i="99"/>
  <c r="G163" i="99" s="1"/>
  <c r="D164" i="99"/>
  <c r="G164" i="99" s="1"/>
  <c r="D165" i="99"/>
  <c r="G165" i="99" s="1"/>
  <c r="D166" i="99"/>
  <c r="G166" i="99" s="1"/>
  <c r="D167" i="99"/>
  <c r="G167" i="99" s="1"/>
  <c r="D168" i="99"/>
  <c r="G168" i="99" s="1"/>
  <c r="D169" i="99"/>
  <c r="G169" i="99" s="1"/>
  <c r="D170" i="99"/>
  <c r="G170" i="99" s="1"/>
  <c r="D171" i="99"/>
  <c r="G171" i="99" s="1"/>
  <c r="D172" i="99"/>
  <c r="G172" i="99" s="1"/>
  <c r="D173" i="99"/>
  <c r="G173" i="99" s="1"/>
  <c r="D174" i="99"/>
  <c r="G174" i="99" s="1"/>
  <c r="D175" i="99"/>
  <c r="G175" i="99" s="1"/>
  <c r="D176" i="99"/>
  <c r="G176" i="99" s="1"/>
  <c r="D177" i="99"/>
  <c r="G177" i="99" s="1"/>
  <c r="D178" i="99"/>
  <c r="G178" i="99" s="1"/>
  <c r="D179" i="99"/>
  <c r="G179" i="99" s="1"/>
  <c r="D180" i="99"/>
  <c r="G180" i="99" s="1"/>
  <c r="D181" i="99"/>
  <c r="G181" i="99" s="1"/>
  <c r="D182" i="99"/>
  <c r="G182" i="99" s="1"/>
  <c r="D183" i="99"/>
  <c r="G183" i="99" s="1"/>
  <c r="D184" i="99"/>
  <c r="G184" i="99" s="1"/>
  <c r="D185" i="99"/>
  <c r="G185" i="99" s="1"/>
  <c r="D186" i="99"/>
  <c r="G186" i="99" s="1"/>
  <c r="D187" i="99"/>
  <c r="G187" i="99" s="1"/>
  <c r="D188" i="99"/>
  <c r="G188" i="99" s="1"/>
  <c r="D189" i="99"/>
  <c r="G189" i="99" s="1"/>
  <c r="D190" i="99"/>
  <c r="G190" i="99" s="1"/>
  <c r="D191" i="99"/>
  <c r="G191" i="99" s="1"/>
  <c r="D192" i="99"/>
  <c r="G192" i="99" s="1"/>
  <c r="D193" i="99"/>
  <c r="G193" i="99" s="1"/>
  <c r="D194" i="99"/>
  <c r="G194" i="99" s="1"/>
  <c r="D195" i="99"/>
  <c r="G195" i="99" s="1"/>
  <c r="D196" i="99"/>
  <c r="G196" i="99" s="1"/>
  <c r="D197" i="99"/>
  <c r="G197" i="99" s="1"/>
  <c r="D198" i="99"/>
  <c r="G198" i="99" s="1"/>
  <c r="D199" i="99"/>
  <c r="G199" i="99" s="1"/>
  <c r="D200" i="99"/>
  <c r="G200" i="99" s="1"/>
  <c r="D201" i="99"/>
  <c r="G201" i="99" s="1"/>
  <c r="D203" i="99"/>
  <c r="G203" i="99" s="1"/>
  <c r="D204" i="99"/>
  <c r="G204" i="99" s="1"/>
  <c r="D205" i="99"/>
  <c r="G205" i="99" s="1"/>
  <c r="D206" i="99"/>
  <c r="G206" i="99" s="1"/>
  <c r="D207" i="99"/>
  <c r="G207" i="99" s="1"/>
  <c r="D208" i="99"/>
  <c r="G208" i="99" s="1"/>
  <c r="D209" i="99"/>
  <c r="G209" i="99" s="1"/>
  <c r="D211" i="99"/>
  <c r="G211" i="99" s="1"/>
  <c r="D212" i="99"/>
  <c r="G212" i="99" s="1"/>
  <c r="D213" i="99"/>
  <c r="G213" i="99" s="1"/>
  <c r="D214" i="99"/>
  <c r="G214" i="99" s="1"/>
  <c r="D215" i="99"/>
  <c r="G215" i="99" s="1"/>
  <c r="D216" i="99"/>
  <c r="G216" i="99" s="1"/>
  <c r="D217" i="99"/>
  <c r="G217" i="99" s="1"/>
  <c r="D218" i="99"/>
  <c r="G218" i="99" s="1"/>
  <c r="D219" i="99"/>
  <c r="G219" i="99" s="1"/>
  <c r="D220" i="99"/>
  <c r="G220" i="99" s="1"/>
  <c r="D221" i="99"/>
  <c r="G221" i="99" s="1"/>
  <c r="D222" i="99"/>
  <c r="G222" i="99" s="1"/>
  <c r="D225" i="99"/>
  <c r="G225" i="99" s="1"/>
  <c r="D226" i="99"/>
  <c r="G226" i="99" s="1"/>
  <c r="D227" i="99"/>
  <c r="G227" i="99" s="1"/>
  <c r="D228" i="99"/>
  <c r="G228" i="99" s="1"/>
  <c r="D229" i="99"/>
  <c r="G229" i="99" s="1"/>
  <c r="D230" i="99"/>
  <c r="G230" i="99" s="1"/>
  <c r="D231" i="99"/>
  <c r="G231" i="99" s="1"/>
  <c r="D232" i="99"/>
  <c r="G232" i="99" s="1"/>
  <c r="D233" i="99"/>
  <c r="G233" i="99" s="1"/>
  <c r="D234" i="99"/>
  <c r="G234" i="99" s="1"/>
  <c r="D235" i="99"/>
  <c r="G235" i="99" s="1"/>
  <c r="D236" i="99"/>
  <c r="G236" i="99" s="1"/>
  <c r="D237" i="99"/>
  <c r="G237" i="99" s="1"/>
  <c r="D238" i="99"/>
  <c r="G238" i="99" s="1"/>
  <c r="D239" i="99"/>
  <c r="G239" i="99" s="1"/>
  <c r="D240" i="99"/>
  <c r="G240" i="99" s="1"/>
  <c r="D241" i="99"/>
  <c r="G241" i="99" s="1"/>
  <c r="D242" i="99"/>
  <c r="G242" i="99" s="1"/>
  <c r="D246" i="99"/>
  <c r="G246" i="99" s="1"/>
  <c r="D247" i="99"/>
  <c r="G247" i="99" s="1"/>
  <c r="D248" i="99"/>
  <c r="G248" i="99" s="1"/>
  <c r="D249" i="99"/>
  <c r="G249" i="99" s="1"/>
  <c r="D250" i="99"/>
  <c r="G250" i="99" s="1"/>
  <c r="D251" i="99"/>
  <c r="G251" i="99" s="1"/>
  <c r="D252" i="99"/>
  <c r="G252" i="99" s="1"/>
  <c r="D253" i="99"/>
  <c r="G253" i="99" s="1"/>
  <c r="D254" i="99"/>
  <c r="G254" i="99" s="1"/>
  <c r="D255" i="99"/>
  <c r="G255" i="99" s="1"/>
  <c r="D256" i="99"/>
  <c r="G256" i="99" s="1"/>
  <c r="D257" i="99"/>
  <c r="G257" i="99" s="1"/>
  <c r="D258" i="99"/>
  <c r="G258" i="99" s="1"/>
  <c r="D259" i="99"/>
  <c r="G259" i="99" s="1"/>
  <c r="D260" i="99"/>
  <c r="G260" i="99" s="1"/>
  <c r="D261" i="99"/>
  <c r="G261" i="99" s="1"/>
  <c r="D262" i="99"/>
  <c r="G262" i="99" s="1"/>
  <c r="D263" i="99"/>
  <c r="G263" i="99" s="1"/>
  <c r="D264" i="99"/>
  <c r="G264" i="99" s="1"/>
  <c r="D265" i="99"/>
  <c r="G265" i="99" s="1"/>
  <c r="D266" i="99"/>
  <c r="G266" i="99" s="1"/>
  <c r="D267" i="99"/>
  <c r="G267" i="99" s="1"/>
  <c r="D269" i="99"/>
  <c r="G269" i="99" s="1"/>
  <c r="D270" i="99"/>
  <c r="G270" i="99" s="1"/>
  <c r="D272" i="99"/>
  <c r="G272" i="99" s="1"/>
  <c r="D274" i="99"/>
  <c r="G274" i="99" s="1"/>
  <c r="D276" i="99"/>
  <c r="G276" i="99" s="1"/>
  <c r="D277" i="99"/>
  <c r="G277" i="99" s="1"/>
  <c r="D279" i="99"/>
  <c r="G279" i="99" s="1"/>
  <c r="D280" i="99"/>
  <c r="G280" i="99" s="1"/>
  <c r="D281" i="99"/>
  <c r="G281" i="99" s="1"/>
  <c r="D282" i="99"/>
  <c r="G282" i="99" s="1"/>
  <c r="D283" i="99"/>
  <c r="G283" i="99" s="1"/>
  <c r="D284" i="99"/>
  <c r="G284" i="99" s="1"/>
  <c r="D285" i="99"/>
  <c r="G285" i="99" s="1"/>
  <c r="D286" i="99"/>
  <c r="G286" i="99" s="1"/>
  <c r="D287" i="99"/>
  <c r="G287" i="99" s="1"/>
  <c r="D288" i="99"/>
  <c r="G288" i="99" s="1"/>
  <c r="D289" i="99"/>
  <c r="G289" i="99" s="1"/>
  <c r="D290" i="99"/>
  <c r="G290" i="99" s="1"/>
  <c r="D291" i="99"/>
  <c r="G291" i="99" s="1"/>
  <c r="D292" i="99"/>
  <c r="G292" i="99" s="1"/>
  <c r="D293" i="99"/>
  <c r="G293" i="99" s="1"/>
  <c r="D294" i="99"/>
  <c r="G294" i="99" s="1"/>
  <c r="D295" i="99"/>
  <c r="G295" i="99" s="1"/>
  <c r="D296" i="99"/>
  <c r="G296" i="99" s="1"/>
  <c r="D299" i="99"/>
  <c r="G299" i="99" s="1"/>
  <c r="D303" i="99"/>
  <c r="G303" i="99" s="1"/>
  <c r="D304" i="99"/>
  <c r="G304" i="99" s="1"/>
  <c r="D305" i="99"/>
  <c r="G305" i="99" s="1"/>
  <c r="D306" i="99"/>
  <c r="G306" i="99" s="1"/>
  <c r="D308" i="99"/>
  <c r="G308" i="99" s="1"/>
  <c r="D309" i="99"/>
  <c r="G309" i="99" s="1"/>
  <c r="D310" i="99"/>
  <c r="G310" i="99" s="1"/>
  <c r="D311" i="99"/>
  <c r="G311" i="99" s="1"/>
  <c r="D312" i="99"/>
  <c r="G312" i="99" s="1"/>
  <c r="D313" i="99"/>
  <c r="G313" i="99" s="1"/>
  <c r="D314" i="99"/>
  <c r="G314" i="99" s="1"/>
  <c r="D315" i="99"/>
  <c r="G315" i="99" s="1"/>
  <c r="D316" i="99"/>
  <c r="G316" i="99" s="1"/>
  <c r="D317" i="99"/>
  <c r="G317" i="99" s="1"/>
  <c r="D318" i="99"/>
  <c r="G318" i="99" s="1"/>
  <c r="D319" i="99"/>
  <c r="G319" i="99" s="1"/>
  <c r="D320" i="99"/>
  <c r="G320" i="99" s="1"/>
  <c r="D321" i="99"/>
  <c r="G321" i="99" s="1"/>
  <c r="D322" i="99"/>
  <c r="G322" i="99" s="1"/>
  <c r="D323" i="99"/>
  <c r="G323" i="99" s="1"/>
  <c r="D324" i="99"/>
  <c r="G324" i="99" s="1"/>
  <c r="D325" i="99"/>
  <c r="G325" i="99" s="1"/>
  <c r="D326" i="99"/>
  <c r="G326" i="99" s="1"/>
  <c r="D327" i="99"/>
  <c r="G327" i="99" s="1"/>
  <c r="D328" i="99"/>
  <c r="G328" i="99" s="1"/>
  <c r="D329" i="99"/>
  <c r="G329" i="99" s="1"/>
  <c r="D330" i="99"/>
  <c r="G330" i="99" s="1"/>
  <c r="D332" i="99"/>
  <c r="G332" i="99" s="1"/>
  <c r="D333" i="99"/>
  <c r="G333" i="99" s="1"/>
  <c r="D334" i="99"/>
  <c r="G334" i="99" s="1"/>
  <c r="D335" i="99"/>
  <c r="G335" i="99" s="1"/>
  <c r="D336" i="99"/>
  <c r="G336" i="99" s="1"/>
  <c r="D337" i="99"/>
  <c r="G337" i="99" s="1"/>
  <c r="D338" i="99"/>
  <c r="G338" i="99" s="1"/>
  <c r="D339" i="99"/>
  <c r="G339" i="99" s="1"/>
  <c r="D340" i="99"/>
  <c r="G340" i="99" s="1"/>
  <c r="D341" i="99"/>
  <c r="G341" i="99" s="1"/>
  <c r="D342" i="99"/>
  <c r="G342" i="99" s="1"/>
  <c r="D343" i="99"/>
  <c r="G343" i="99" s="1"/>
  <c r="D344" i="99"/>
  <c r="G344" i="99" s="1"/>
  <c r="D345" i="99"/>
  <c r="G345" i="99" s="1"/>
  <c r="D346" i="99"/>
  <c r="G346" i="99" s="1"/>
  <c r="D350" i="99"/>
  <c r="G350" i="99" s="1"/>
  <c r="D351" i="99"/>
  <c r="G351" i="99" s="1"/>
  <c r="D352" i="99"/>
  <c r="G352" i="99" s="1"/>
  <c r="D353" i="99"/>
  <c r="G353" i="99" s="1"/>
  <c r="D354" i="99"/>
  <c r="G354" i="99" s="1"/>
  <c r="D356" i="99"/>
  <c r="G356" i="99" s="1"/>
  <c r="D359" i="99"/>
  <c r="G359" i="99" s="1"/>
  <c r="D360" i="99"/>
  <c r="G360" i="99" s="1"/>
  <c r="D362" i="99"/>
  <c r="G362" i="99" s="1"/>
  <c r="D363" i="99"/>
  <c r="G363" i="99" s="1"/>
  <c r="D364" i="99"/>
  <c r="G364" i="99" s="1"/>
  <c r="D367" i="99"/>
  <c r="G367" i="99" s="1"/>
  <c r="D369" i="99"/>
  <c r="G369" i="99" s="1"/>
  <c r="D380" i="99"/>
  <c r="G380" i="99" s="1"/>
  <c r="D386" i="99"/>
  <c r="G386" i="99" s="1"/>
  <c r="D387" i="99"/>
  <c r="G387" i="99" s="1"/>
  <c r="D388" i="99"/>
  <c r="G388" i="99" s="1"/>
  <c r="D389" i="99"/>
  <c r="G389" i="99" s="1"/>
  <c r="D390" i="99"/>
  <c r="G390" i="99" s="1"/>
  <c r="D393" i="99"/>
  <c r="G393" i="99" s="1"/>
  <c r="D420" i="99"/>
  <c r="G420" i="99" s="1"/>
  <c r="D421" i="99"/>
  <c r="G421" i="99" s="1"/>
  <c r="D422" i="99"/>
  <c r="G422" i="99" s="1"/>
  <c r="D423" i="99"/>
  <c r="G423" i="99" s="1"/>
  <c r="D424" i="99"/>
  <c r="G424" i="99" s="1"/>
  <c r="D425" i="99"/>
  <c r="G425" i="99" s="1"/>
  <c r="D426" i="99"/>
  <c r="G426" i="99" s="1"/>
  <c r="D427" i="99"/>
  <c r="G427" i="99" s="1"/>
  <c r="D428" i="99"/>
  <c r="G428" i="99" s="1"/>
  <c r="D429" i="99"/>
  <c r="G429" i="99" s="1"/>
  <c r="D430" i="99"/>
  <c r="G430" i="99" s="1"/>
  <c r="D431" i="99"/>
  <c r="G431" i="99" s="1"/>
  <c r="D432" i="99"/>
  <c r="G432" i="99" s="1"/>
  <c r="D433" i="99"/>
  <c r="G433" i="99" s="1"/>
  <c r="D434" i="99"/>
  <c r="G434" i="99" s="1"/>
  <c r="D435" i="99"/>
  <c r="G435" i="99" s="1"/>
  <c r="D436" i="99"/>
  <c r="G436" i="99" s="1"/>
  <c r="D437" i="99"/>
  <c r="G437" i="99" s="1"/>
  <c r="D438" i="99"/>
  <c r="G438" i="99" s="1"/>
  <c r="D439" i="99"/>
  <c r="G439" i="99" s="1"/>
  <c r="D440" i="99"/>
  <c r="G440" i="99" s="1"/>
  <c r="D441" i="99"/>
  <c r="G441" i="99" s="1"/>
  <c r="D442" i="99"/>
  <c r="G442" i="99" s="1"/>
  <c r="D443" i="99"/>
  <c r="G443" i="99" s="1"/>
  <c r="D444" i="99"/>
  <c r="G444" i="99" s="1"/>
  <c r="D445" i="99"/>
  <c r="G445" i="99" s="1"/>
  <c r="D446" i="99"/>
  <c r="G446" i="99" s="1"/>
  <c r="D447" i="99"/>
  <c r="G447" i="99" s="1"/>
  <c r="D448" i="99"/>
  <c r="G448" i="99" s="1"/>
  <c r="D449" i="99"/>
  <c r="G449" i="99" s="1"/>
  <c r="D450" i="99"/>
  <c r="G450" i="99" s="1"/>
  <c r="D451" i="99"/>
  <c r="G451" i="99" s="1"/>
  <c r="D452" i="99"/>
  <c r="G452" i="99" s="1"/>
  <c r="D453" i="99"/>
  <c r="G453" i="99" s="1"/>
  <c r="D454" i="99"/>
  <c r="G454" i="99" s="1"/>
  <c r="D455" i="99"/>
  <c r="G455" i="99" s="1"/>
  <c r="D456" i="99"/>
  <c r="G456" i="99" s="1"/>
  <c r="D457" i="99"/>
  <c r="G457" i="99" s="1"/>
  <c r="D458" i="99"/>
  <c r="G458" i="99" s="1"/>
  <c r="D459" i="99"/>
  <c r="G459" i="99" s="1"/>
  <c r="D460" i="99"/>
  <c r="G460" i="99" s="1"/>
  <c r="D461" i="99"/>
  <c r="G461" i="99" s="1"/>
  <c r="D462" i="99"/>
  <c r="G462" i="99" s="1"/>
  <c r="D463" i="99"/>
  <c r="G463" i="99" s="1"/>
  <c r="D464" i="99"/>
  <c r="G464" i="99" s="1"/>
  <c r="D465" i="99"/>
  <c r="G465" i="99" s="1"/>
  <c r="D466" i="99"/>
  <c r="G466" i="99" s="1"/>
  <c r="D467" i="99"/>
  <c r="G467" i="99" s="1"/>
  <c r="D468" i="99"/>
  <c r="G468" i="99" s="1"/>
  <c r="D469" i="99"/>
  <c r="G469" i="99" s="1"/>
  <c r="D470" i="99"/>
  <c r="G470" i="99" s="1"/>
  <c r="C6" i="99"/>
  <c r="D166" i="94"/>
  <c r="C27" i="99"/>
  <c r="C331" i="99"/>
  <c r="C347" i="99"/>
  <c r="C349" i="99"/>
  <c r="C355" i="99"/>
  <c r="C357" i="99"/>
  <c r="C358" i="99"/>
  <c r="C365" i="99"/>
  <c r="C366" i="99"/>
  <c r="C368" i="99"/>
  <c r="C370" i="99"/>
  <c r="C371" i="99"/>
  <c r="C372" i="99"/>
  <c r="C374" i="99"/>
  <c r="C56" i="99"/>
  <c r="D67" i="99"/>
  <c r="G67" i="99" s="1"/>
  <c r="D68" i="99"/>
  <c r="G68" i="99" s="1"/>
  <c r="D120" i="99"/>
  <c r="G120" i="99" s="1"/>
  <c r="C143" i="99"/>
  <c r="C210" i="99"/>
  <c r="D223" i="99"/>
  <c r="G223" i="99" s="1"/>
  <c r="D224" i="99"/>
  <c r="G224" i="99" s="1"/>
  <c r="D243" i="99"/>
  <c r="G243" i="99" s="1"/>
  <c r="D244" i="99"/>
  <c r="G244" i="99" s="1"/>
  <c r="C245" i="99"/>
  <c r="D268" i="99"/>
  <c r="G268" i="99" s="1"/>
  <c r="C271" i="99"/>
  <c r="C273" i="99"/>
  <c r="C275" i="99"/>
  <c r="D278" i="99"/>
  <c r="G278" i="99" s="1"/>
  <c r="C297" i="99"/>
  <c r="C298" i="99"/>
  <c r="D300" i="99"/>
  <c r="G300" i="99" s="1"/>
  <c r="C301" i="99"/>
  <c r="C307" i="99"/>
  <c r="C375" i="99"/>
  <c r="C376" i="99"/>
  <c r="C377" i="99"/>
  <c r="C378" i="99"/>
  <c r="C379" i="99"/>
  <c r="C381" i="99"/>
  <c r="C382" i="99"/>
  <c r="C383" i="99"/>
  <c r="C384" i="99"/>
  <c r="C385" i="99"/>
  <c r="C394" i="99"/>
  <c r="C395" i="99"/>
  <c r="D396" i="99"/>
  <c r="G396" i="99" s="1"/>
  <c r="D411" i="99"/>
  <c r="G411" i="99" s="1"/>
  <c r="D417" i="99"/>
  <c r="G417" i="99" s="1"/>
  <c r="B4" i="99"/>
  <c r="L417" i="8" l="1"/>
  <c r="L417" i="9"/>
  <c r="L418" i="8"/>
  <c r="L418" i="9"/>
  <c r="L423" i="8"/>
  <c r="L423" i="9"/>
  <c r="L424" i="8"/>
  <c r="L424" i="9"/>
  <c r="L427" i="8"/>
  <c r="L427" i="9"/>
  <c r="L429" i="8"/>
  <c r="L429" i="9"/>
  <c r="L421" i="8"/>
  <c r="L421" i="9"/>
  <c r="L401" i="8"/>
  <c r="L401" i="9"/>
  <c r="L395" i="8"/>
  <c r="L395" i="9"/>
  <c r="L425" i="8"/>
  <c r="L425" i="9"/>
  <c r="L431" i="8"/>
  <c r="L431" i="9"/>
  <c r="L430" i="8"/>
  <c r="L430" i="9"/>
  <c r="L396" i="8"/>
  <c r="L396" i="9"/>
  <c r="L397" i="8"/>
  <c r="L397" i="9"/>
  <c r="L415" i="8"/>
  <c r="L415" i="9"/>
  <c r="L402" i="8"/>
  <c r="L402" i="9"/>
  <c r="L422" i="8"/>
  <c r="L422" i="9"/>
  <c r="L428" i="8"/>
  <c r="L428" i="9"/>
  <c r="L413" i="8"/>
  <c r="L413" i="9"/>
  <c r="L414" i="8"/>
  <c r="L414" i="9"/>
  <c r="L419" i="8"/>
  <c r="L419" i="9"/>
  <c r="L416" i="8"/>
  <c r="L416" i="9"/>
  <c r="L420" i="8"/>
  <c r="L420" i="9"/>
  <c r="L432" i="8"/>
  <c r="L432" i="9"/>
  <c r="O108" i="5"/>
  <c r="AZ111" i="4"/>
  <c r="J91" i="36"/>
  <c r="AI91" i="36"/>
  <c r="I111" i="6"/>
  <c r="I90" i="6"/>
  <c r="AH418" i="36"/>
  <c r="M417" i="6"/>
  <c r="AH424" i="36"/>
  <c r="M423" i="6"/>
  <c r="AH430" i="36"/>
  <c r="M429" i="6"/>
  <c r="AH422" i="36"/>
  <c r="M421" i="6"/>
  <c r="AH431" i="36"/>
  <c r="M430" i="6"/>
  <c r="AH397" i="36"/>
  <c r="M396" i="6"/>
  <c r="AH398" i="36"/>
  <c r="M397" i="6"/>
  <c r="AH416" i="36"/>
  <c r="M415" i="6"/>
  <c r="AH403" i="36"/>
  <c r="M402" i="6"/>
  <c r="AH423" i="36"/>
  <c r="M422" i="6"/>
  <c r="AH429" i="36"/>
  <c r="M428" i="6"/>
  <c r="AH414" i="36"/>
  <c r="M413" i="6"/>
  <c r="AH415" i="36"/>
  <c r="M414" i="6"/>
  <c r="AH420" i="36"/>
  <c r="M419" i="6"/>
  <c r="AH417" i="36"/>
  <c r="M416" i="6"/>
  <c r="AH421" i="36"/>
  <c r="M420" i="6"/>
  <c r="AH433" i="36"/>
  <c r="M432" i="6"/>
  <c r="L90" i="6"/>
  <c r="L111" i="6"/>
  <c r="AH419" i="36"/>
  <c r="M418" i="6"/>
  <c r="AH425" i="36"/>
  <c r="M424" i="6"/>
  <c r="AH428" i="36"/>
  <c r="M427" i="6"/>
  <c r="AH402" i="36"/>
  <c r="M401" i="6"/>
  <c r="AH396" i="36"/>
  <c r="M395" i="6"/>
  <c r="AH426" i="36"/>
  <c r="M425" i="6"/>
  <c r="AH432" i="36"/>
  <c r="M431" i="6"/>
  <c r="H90" i="8"/>
  <c r="H90" i="9"/>
  <c r="H111" i="9"/>
  <c r="H111" i="8"/>
  <c r="AD112" i="36"/>
  <c r="M112" i="36"/>
  <c r="J112" i="36"/>
  <c r="D27" i="99"/>
  <c r="G27" i="99" s="1"/>
  <c r="G6" i="99"/>
  <c r="D375" i="99"/>
  <c r="G375" i="99" s="1"/>
  <c r="D298" i="99"/>
  <c r="G298" i="99" s="1"/>
  <c r="D273" i="99"/>
  <c r="G273" i="99" s="1"/>
  <c r="D374" i="99"/>
  <c r="G374" i="99" s="1"/>
  <c r="D358" i="99"/>
  <c r="G358" i="99" s="1"/>
  <c r="D412" i="99"/>
  <c r="G412" i="99" s="1"/>
  <c r="D394" i="99"/>
  <c r="G394" i="99" s="1"/>
  <c r="D210" i="99"/>
  <c r="G210" i="99" s="1"/>
  <c r="D102" i="99"/>
  <c r="G102" i="99" s="1"/>
  <c r="D419" i="99"/>
  <c r="G419" i="99" s="1"/>
  <c r="D415" i="99"/>
  <c r="G415" i="99" s="1"/>
  <c r="D383" i="99"/>
  <c r="G383" i="99" s="1"/>
  <c r="D307" i="99"/>
  <c r="G307" i="99" s="1"/>
  <c r="D271" i="99"/>
  <c r="G271" i="99" s="1"/>
  <c r="D202" i="99"/>
  <c r="G202" i="99" s="1"/>
  <c r="D368" i="99"/>
  <c r="G368" i="99" s="1"/>
  <c r="D357" i="99"/>
  <c r="G357" i="99" s="1"/>
  <c r="D413" i="99"/>
  <c r="G413" i="99" s="1"/>
  <c r="D378" i="99"/>
  <c r="G378" i="99" s="1"/>
  <c r="D297" i="99"/>
  <c r="G297" i="99" s="1"/>
  <c r="D418" i="99"/>
  <c r="G418" i="99" s="1"/>
  <c r="D414" i="99"/>
  <c r="G414" i="99" s="1"/>
  <c r="D391" i="99"/>
  <c r="G391" i="99" s="1"/>
  <c r="D382" i="99"/>
  <c r="G382" i="99" s="1"/>
  <c r="D377" i="99"/>
  <c r="G377" i="99" s="1"/>
  <c r="D301" i="99"/>
  <c r="G301" i="99" s="1"/>
  <c r="D143" i="99"/>
  <c r="G143" i="99" s="1"/>
  <c r="D372" i="99"/>
  <c r="G372" i="99" s="1"/>
  <c r="D366" i="99"/>
  <c r="G366" i="99" s="1"/>
  <c r="D385" i="99"/>
  <c r="G385" i="99" s="1"/>
  <c r="D381" i="99"/>
  <c r="G381" i="99" s="1"/>
  <c r="D275" i="99"/>
  <c r="G275" i="99" s="1"/>
  <c r="D245" i="99"/>
  <c r="G245" i="99" s="1"/>
  <c r="D56" i="99"/>
  <c r="D371" i="99"/>
  <c r="G371" i="99" s="1"/>
  <c r="D365" i="99"/>
  <c r="G365" i="99" s="1"/>
  <c r="D373" i="99"/>
  <c r="G373" i="99" s="1"/>
  <c r="D349" i="99"/>
  <c r="G349" i="99" s="1"/>
  <c r="D370" i="99"/>
  <c r="G370" i="99" s="1"/>
  <c r="D302" i="99"/>
  <c r="G302" i="99" s="1"/>
  <c r="D416" i="99"/>
  <c r="G416" i="99" s="1"/>
  <c r="D392" i="99"/>
  <c r="G392" i="99" s="1"/>
  <c r="D384" i="99"/>
  <c r="G384" i="99" s="1"/>
  <c r="D376" i="99"/>
  <c r="G376" i="99" s="1"/>
  <c r="D348" i="99"/>
  <c r="G348" i="99" s="1"/>
  <c r="D395" i="99"/>
  <c r="G395" i="99" s="1"/>
  <c r="D379" i="99"/>
  <c r="G379" i="99" s="1"/>
  <c r="D355" i="99"/>
  <c r="G355" i="99" s="1"/>
  <c r="D347" i="99"/>
  <c r="G347" i="99" s="1"/>
  <c r="D331" i="99"/>
  <c r="G331" i="99" s="1"/>
  <c r="P91" i="36" l="1"/>
  <c r="AJ91" i="36" s="1"/>
  <c r="P112" i="36"/>
  <c r="AK112" i="36" s="1"/>
  <c r="G56" i="99"/>
  <c r="AT89" i="4"/>
  <c r="AV157" i="4"/>
  <c r="AT157" i="4"/>
  <c r="AV17" i="4"/>
  <c r="AV28" i="4"/>
  <c r="AT16" i="4"/>
  <c r="AT83" i="4"/>
  <c r="D18" i="36"/>
  <c r="D29" i="36"/>
  <c r="D17" i="36"/>
  <c r="D84" i="36"/>
  <c r="D90" i="36"/>
  <c r="D158" i="36"/>
  <c r="C89" i="9"/>
  <c r="P89" i="9" s="1"/>
  <c r="C89" i="8"/>
  <c r="P89" i="8" s="1"/>
  <c r="B89" i="6"/>
  <c r="D86" i="5"/>
  <c r="E86" i="5" s="1"/>
  <c r="C157" i="9"/>
  <c r="P157" i="9" s="1"/>
  <c r="C157" i="8"/>
  <c r="P157" i="8" s="1"/>
  <c r="D154" i="5"/>
  <c r="E154" i="5" s="1"/>
  <c r="B157" i="6"/>
  <c r="C17" i="9"/>
  <c r="P17" i="9" s="1"/>
  <c r="C17" i="8"/>
  <c r="P17" i="8" s="1"/>
  <c r="B17" i="6"/>
  <c r="D14" i="5"/>
  <c r="E14" i="5" s="1"/>
  <c r="C28" i="9"/>
  <c r="P28" i="9" s="1"/>
  <c r="C28" i="8"/>
  <c r="P28" i="8" s="1"/>
  <c r="D25" i="5"/>
  <c r="E25" i="5" s="1"/>
  <c r="B28" i="6"/>
  <c r="C16" i="9"/>
  <c r="P16" i="9" s="1"/>
  <c r="C16" i="8"/>
  <c r="P16" i="8" s="1"/>
  <c r="D13" i="5"/>
  <c r="E13" i="5" s="1"/>
  <c r="B16" i="6"/>
  <c r="C83" i="9"/>
  <c r="P83" i="9" s="1"/>
  <c r="C83" i="8"/>
  <c r="P83" i="8" s="1"/>
  <c r="B83" i="6"/>
  <c r="D80" i="5"/>
  <c r="E80" i="5" s="1"/>
  <c r="AK91" i="36" l="1"/>
  <c r="T16" i="6"/>
  <c r="S16" i="6"/>
  <c r="T17" i="6"/>
  <c r="S17" i="6"/>
  <c r="T28" i="6"/>
  <c r="S28" i="6"/>
  <c r="T157" i="6"/>
  <c r="S157" i="6"/>
  <c r="T83" i="6"/>
  <c r="S83" i="6"/>
  <c r="T89" i="6"/>
  <c r="S89" i="6"/>
  <c r="T16" i="8"/>
  <c r="T28" i="8"/>
  <c r="T17" i="8"/>
  <c r="T89" i="8"/>
  <c r="T16" i="9"/>
  <c r="T28" i="9"/>
  <c r="T17" i="9"/>
  <c r="T157" i="9"/>
  <c r="T89" i="9"/>
  <c r="T83" i="8"/>
  <c r="T157" i="8"/>
  <c r="T83" i="9"/>
  <c r="AZ157" i="4"/>
  <c r="AJ112" i="36"/>
  <c r="G16" i="6"/>
  <c r="H16" i="6"/>
  <c r="K16" i="6"/>
  <c r="F16" i="6"/>
  <c r="J16" i="6"/>
  <c r="J28" i="6"/>
  <c r="F28" i="6"/>
  <c r="K28" i="6"/>
  <c r="H28" i="6"/>
  <c r="G28" i="6"/>
  <c r="F157" i="6"/>
  <c r="K157" i="6"/>
  <c r="G157" i="6"/>
  <c r="J157" i="6"/>
  <c r="H157" i="6"/>
  <c r="J83" i="6"/>
  <c r="F83" i="6"/>
  <c r="K83" i="6"/>
  <c r="G83" i="6"/>
  <c r="H83" i="6"/>
  <c r="F17" i="6"/>
  <c r="J17" i="6"/>
  <c r="G17" i="6"/>
  <c r="K17" i="6"/>
  <c r="H17" i="6"/>
  <c r="G89" i="6"/>
  <c r="K89" i="6"/>
  <c r="H89" i="6"/>
  <c r="J89" i="6"/>
  <c r="F89" i="6"/>
  <c r="F83" i="8"/>
  <c r="K83" i="8"/>
  <c r="G83" i="8"/>
  <c r="I83" i="8"/>
  <c r="E83" i="8"/>
  <c r="E16" i="8"/>
  <c r="K16" i="8"/>
  <c r="F16" i="8"/>
  <c r="G16" i="8"/>
  <c r="I16" i="8"/>
  <c r="E17" i="8"/>
  <c r="I17" i="8"/>
  <c r="F17" i="8"/>
  <c r="K17" i="8"/>
  <c r="G17" i="8"/>
  <c r="E89" i="8"/>
  <c r="I89" i="8"/>
  <c r="F89" i="8"/>
  <c r="K89" i="8"/>
  <c r="G89" i="8"/>
  <c r="F83" i="9"/>
  <c r="K83" i="9"/>
  <c r="G83" i="9"/>
  <c r="E83" i="9"/>
  <c r="I83" i="9"/>
  <c r="I28" i="9"/>
  <c r="E28" i="9"/>
  <c r="K28" i="9"/>
  <c r="F28" i="9"/>
  <c r="G28" i="9"/>
  <c r="E17" i="9"/>
  <c r="I17" i="9"/>
  <c r="F17" i="9"/>
  <c r="K17" i="9"/>
  <c r="G17" i="9"/>
  <c r="E157" i="9"/>
  <c r="K157" i="9"/>
  <c r="F157" i="9"/>
  <c r="G157" i="9"/>
  <c r="I157" i="9"/>
  <c r="E89" i="9"/>
  <c r="I89" i="9"/>
  <c r="F89" i="9"/>
  <c r="K89" i="9"/>
  <c r="G89" i="9"/>
  <c r="G28" i="8"/>
  <c r="I28" i="8"/>
  <c r="E28" i="8"/>
  <c r="K28" i="8"/>
  <c r="F28" i="8"/>
  <c r="I157" i="8"/>
  <c r="E157" i="8"/>
  <c r="K157" i="8"/>
  <c r="F157" i="8"/>
  <c r="G157" i="8"/>
  <c r="F16" i="9"/>
  <c r="G16" i="9"/>
  <c r="I16" i="9"/>
  <c r="E16" i="9"/>
  <c r="K16" i="9"/>
  <c r="F80" i="5"/>
  <c r="F14" i="5"/>
  <c r="F86" i="5"/>
  <c r="F13" i="5"/>
  <c r="F25" i="5"/>
  <c r="F154" i="5"/>
  <c r="S29" i="36"/>
  <c r="AD158" i="36"/>
  <c r="S17" i="36"/>
  <c r="S158" i="36"/>
  <c r="M158" i="36" s="1"/>
  <c r="S84" i="36"/>
  <c r="M84" i="36" s="1"/>
  <c r="S90" i="36"/>
  <c r="S18" i="36"/>
  <c r="E223" i="98"/>
  <c r="E4" i="98" s="1"/>
  <c r="AI90" i="36" l="1"/>
  <c r="M90" i="36"/>
  <c r="AI18" i="36"/>
  <c r="M18" i="36"/>
  <c r="AI17" i="36"/>
  <c r="M17" i="36"/>
  <c r="O154" i="5"/>
  <c r="O13" i="5"/>
  <c r="O86" i="5"/>
  <c r="O14" i="5"/>
  <c r="O25" i="5"/>
  <c r="O80" i="5"/>
  <c r="I16" i="6"/>
  <c r="L16" i="6"/>
  <c r="L89" i="6"/>
  <c r="L17" i="6"/>
  <c r="L157" i="6"/>
  <c r="I83" i="6"/>
  <c r="I157" i="6"/>
  <c r="L28" i="6"/>
  <c r="I17" i="6"/>
  <c r="L83" i="6"/>
  <c r="J158" i="36"/>
  <c r="AI158" i="36"/>
  <c r="J84" i="36"/>
  <c r="AI84" i="36"/>
  <c r="M29" i="36"/>
  <c r="P29" i="36" s="1"/>
  <c r="AI29" i="36"/>
  <c r="I89" i="6"/>
  <c r="I28" i="6"/>
  <c r="H83" i="8"/>
  <c r="H28" i="8"/>
  <c r="H83" i="9"/>
  <c r="AD29" i="36"/>
  <c r="AT28" i="4"/>
  <c r="AZ28" i="4" s="1"/>
  <c r="AD90" i="36"/>
  <c r="AV89" i="4"/>
  <c r="AZ89" i="4" s="1"/>
  <c r="H157" i="8"/>
  <c r="H157" i="9"/>
  <c r="H89" i="8"/>
  <c r="H16" i="8"/>
  <c r="H16" i="9"/>
  <c r="H17" i="9"/>
  <c r="H28" i="9"/>
  <c r="H17" i="8"/>
  <c r="AD18" i="36"/>
  <c r="AT17" i="4"/>
  <c r="AZ17" i="4" s="1"/>
  <c r="AD17" i="36"/>
  <c r="AV16" i="4"/>
  <c r="AZ16" i="4" s="1"/>
  <c r="AD84" i="36"/>
  <c r="AV83" i="4"/>
  <c r="AZ83" i="4" s="1"/>
  <c r="H89" i="9"/>
  <c r="J29" i="36"/>
  <c r="J17" i="36"/>
  <c r="J18" i="36"/>
  <c r="J90" i="36"/>
  <c r="D85" i="5"/>
  <c r="E85" i="5" s="1"/>
  <c r="P90" i="36" l="1"/>
  <c r="AK90" i="36" s="1"/>
  <c r="P17" i="36"/>
  <c r="AK17" i="36" s="1"/>
  <c r="AK29" i="36"/>
  <c r="P84" i="36"/>
  <c r="AJ84" i="36" s="1"/>
  <c r="P18" i="36"/>
  <c r="AK18" i="36" s="1"/>
  <c r="P158" i="36"/>
  <c r="AK158" i="36" s="1"/>
  <c r="F85" i="5"/>
  <c r="AT363" i="4"/>
  <c r="AT347" i="4"/>
  <c r="AT343" i="4"/>
  <c r="AT328" i="4"/>
  <c r="AT324" i="4"/>
  <c r="AT320" i="4"/>
  <c r="AT316" i="4"/>
  <c r="AT312" i="4"/>
  <c r="AT303" i="4"/>
  <c r="AT299" i="4"/>
  <c r="AT295" i="4"/>
  <c r="AT291" i="4"/>
  <c r="AT285" i="4"/>
  <c r="AT281" i="4"/>
  <c r="AT277" i="4"/>
  <c r="AT271" i="4"/>
  <c r="AT267" i="4"/>
  <c r="AT263" i="4"/>
  <c r="AT259" i="4"/>
  <c r="AT255" i="4"/>
  <c r="AT251" i="4"/>
  <c r="AT247" i="4"/>
  <c r="AT243" i="4"/>
  <c r="AT235" i="4"/>
  <c r="AT231" i="4"/>
  <c r="AT227" i="4"/>
  <c r="AT219" i="4"/>
  <c r="AT211" i="4"/>
  <c r="AT207" i="4"/>
  <c r="AT203" i="4"/>
  <c r="AT199" i="4"/>
  <c r="AT195" i="4"/>
  <c r="AT187" i="4"/>
  <c r="AT179" i="4"/>
  <c r="AT167" i="4"/>
  <c r="AT159" i="4"/>
  <c r="AT150" i="4"/>
  <c r="AT145" i="4"/>
  <c r="AT141" i="4"/>
  <c r="AT133" i="4"/>
  <c r="AT130" i="4"/>
  <c r="AT122" i="4"/>
  <c r="AT117" i="4"/>
  <c r="AT113" i="4"/>
  <c r="AT107" i="4"/>
  <c r="AT103" i="4"/>
  <c r="AT99" i="4"/>
  <c r="AT91" i="4"/>
  <c r="AT79" i="4"/>
  <c r="AT75" i="4"/>
  <c r="AT69" i="4"/>
  <c r="AT65" i="4"/>
  <c r="AT61" i="4"/>
  <c r="AT57" i="4"/>
  <c r="AT53" i="4"/>
  <c r="AT49" i="4"/>
  <c r="AT45" i="4"/>
  <c r="AT41" i="4"/>
  <c r="AT37" i="4"/>
  <c r="AT33" i="4"/>
  <c r="AT29" i="4"/>
  <c r="AT24" i="4"/>
  <c r="AT20" i="4"/>
  <c r="AT14" i="4"/>
  <c r="AT354" i="4"/>
  <c r="AT350" i="4"/>
  <c r="AT342" i="4"/>
  <c r="AT338" i="4"/>
  <c r="AT334" i="4"/>
  <c r="AT327" i="4"/>
  <c r="AT323" i="4"/>
  <c r="AT315" i="4"/>
  <c r="AT311" i="4"/>
  <c r="AT306" i="4"/>
  <c r="AT294" i="4"/>
  <c r="AT290" i="4"/>
  <c r="AT288" i="4"/>
  <c r="AT284" i="4"/>
  <c r="AT280" i="4"/>
  <c r="AT276" i="4"/>
  <c r="AT274" i="4"/>
  <c r="AT262" i="4"/>
  <c r="AT258" i="4"/>
  <c r="AT254" i="4"/>
  <c r="AT250" i="4"/>
  <c r="AT246" i="4"/>
  <c r="AT238" i="4"/>
  <c r="AT234" i="4"/>
  <c r="AT226" i="4"/>
  <c r="AT218" i="4"/>
  <c r="AT214" i="4"/>
  <c r="AT210" i="4"/>
  <c r="AT206" i="4"/>
  <c r="AT202" i="4"/>
  <c r="AT198" i="4"/>
  <c r="AT190" i="4"/>
  <c r="AT186" i="4"/>
  <c r="AT178" i="4"/>
  <c r="AT148" i="4"/>
  <c r="AT140" i="4"/>
  <c r="AT136" i="4"/>
  <c r="AT106" i="4"/>
  <c r="AT102" i="4"/>
  <c r="AT98" i="4"/>
  <c r="AT94" i="4"/>
  <c r="AT88" i="4"/>
  <c r="AT82" i="4"/>
  <c r="AT78" i="4"/>
  <c r="AT64" i="4"/>
  <c r="AT60" i="4"/>
  <c r="AT56" i="4"/>
  <c r="AT48" i="4"/>
  <c r="AT44" i="4"/>
  <c r="AT40" i="4"/>
  <c r="AT36" i="4"/>
  <c r="AT32" i="4"/>
  <c r="AT27" i="4"/>
  <c r="AT23" i="4"/>
  <c r="AT369" i="4"/>
  <c r="AT349" i="4"/>
  <c r="AT345" i="4"/>
  <c r="AT337" i="4"/>
  <c r="AT333" i="4"/>
  <c r="AT330" i="4"/>
  <c r="AT326" i="4"/>
  <c r="AT322" i="4"/>
  <c r="AT310" i="4"/>
  <c r="AT305" i="4"/>
  <c r="AT297" i="4"/>
  <c r="AT293" i="4"/>
  <c r="AT283" i="4"/>
  <c r="AT273" i="4"/>
  <c r="AT269" i="4"/>
  <c r="AT265" i="4"/>
  <c r="AT257" i="4"/>
  <c r="AT253" i="4"/>
  <c r="AT241" i="4"/>
  <c r="AT237" i="4"/>
  <c r="AT233" i="4"/>
  <c r="AT221" i="4"/>
  <c r="AT217" i="4"/>
  <c r="AT209" i="4"/>
  <c r="AT205" i="4"/>
  <c r="AT197" i="4"/>
  <c r="AT193" i="4"/>
  <c r="AT189" i="4"/>
  <c r="AT185" i="4"/>
  <c r="AT181" i="4"/>
  <c r="AT173" i="4"/>
  <c r="AT165" i="4"/>
  <c r="AT161" i="4"/>
  <c r="AT156" i="4"/>
  <c r="AT152" i="4"/>
  <c r="AT139" i="4"/>
  <c r="AT135" i="4"/>
  <c r="AT132" i="4"/>
  <c r="AT128" i="4"/>
  <c r="AT124" i="4"/>
  <c r="AT115" i="4"/>
  <c r="AT109" i="4"/>
  <c r="AT105" i="4"/>
  <c r="AT101" i="4"/>
  <c r="AT97" i="4"/>
  <c r="AT81" i="4"/>
  <c r="AT77" i="4"/>
  <c r="AT72" i="4"/>
  <c r="AT67" i="4"/>
  <c r="AT55" i="4"/>
  <c r="AT51" i="4"/>
  <c r="AT47" i="4"/>
  <c r="AT43" i="4"/>
  <c r="AT39" i="4"/>
  <c r="AT35" i="4"/>
  <c r="AT31" i="4"/>
  <c r="AT26" i="4"/>
  <c r="AT18" i="4"/>
  <c r="AT356" i="4"/>
  <c r="AT344" i="4"/>
  <c r="AT336" i="4"/>
  <c r="AT332" i="4"/>
  <c r="AT325" i="4"/>
  <c r="AT321" i="4"/>
  <c r="AT317" i="4"/>
  <c r="AT313" i="4"/>
  <c r="AT309" i="4"/>
  <c r="AT304" i="4"/>
  <c r="AT300" i="4"/>
  <c r="AT296" i="4"/>
  <c r="AT286" i="4"/>
  <c r="AT282" i="4"/>
  <c r="AT278" i="4"/>
  <c r="AT268" i="4"/>
  <c r="AT264" i="4"/>
  <c r="AT260" i="4"/>
  <c r="AT256" i="4"/>
  <c r="AT244" i="4"/>
  <c r="AT240" i="4"/>
  <c r="AT236" i="4"/>
  <c r="AT232" i="4"/>
  <c r="AT220" i="4"/>
  <c r="AT216" i="4"/>
  <c r="AT208" i="4"/>
  <c r="AT204" i="4"/>
  <c r="AT196" i="4"/>
  <c r="AT192" i="4"/>
  <c r="AT188" i="4"/>
  <c r="AT184" i="4"/>
  <c r="AT180" i="4"/>
  <c r="AT176" i="4"/>
  <c r="AT168" i="4"/>
  <c r="AT155" i="4"/>
  <c r="AT151" i="4"/>
  <c r="AT146" i="4"/>
  <c r="AT142" i="4"/>
  <c r="AT138" i="4"/>
  <c r="AT134" i="4"/>
  <c r="AT131" i="4"/>
  <c r="AT127" i="4"/>
  <c r="AT123" i="4"/>
  <c r="AT119" i="4"/>
  <c r="AT114" i="4"/>
  <c r="AT108" i="4"/>
  <c r="AT104" i="4"/>
  <c r="AT100" i="4"/>
  <c r="AT96" i="4"/>
  <c r="AT76" i="4"/>
  <c r="AT71" i="4"/>
  <c r="AT66" i="4"/>
  <c r="AT58" i="4"/>
  <c r="AT54" i="4"/>
  <c r="AT50" i="4"/>
  <c r="AT46" i="4"/>
  <c r="AT38" i="4"/>
  <c r="AT34" i="4"/>
  <c r="AT30" i="4"/>
  <c r="AT25" i="4"/>
  <c r="AT21" i="4"/>
  <c r="AT15" i="4"/>
  <c r="S382" i="36"/>
  <c r="AV377" i="4"/>
  <c r="AV373" i="4"/>
  <c r="AV368" i="4"/>
  <c r="AV364" i="4"/>
  <c r="S333" i="36"/>
  <c r="S330" i="36"/>
  <c r="S287" i="36"/>
  <c r="S269" i="36"/>
  <c r="AV248" i="4"/>
  <c r="S237" i="36"/>
  <c r="AV228" i="4"/>
  <c r="S221" i="36"/>
  <c r="S193" i="36"/>
  <c r="S139" i="36"/>
  <c r="AI139" i="36" s="1"/>
  <c r="S124" i="36"/>
  <c r="AI124" i="36" s="1"/>
  <c r="S115" i="36"/>
  <c r="AI115" i="36" s="1"/>
  <c r="AV42" i="4"/>
  <c r="S31" i="36"/>
  <c r="AI31" i="36" s="1"/>
  <c r="AV384" i="4"/>
  <c r="AV380" i="4"/>
  <c r="AV372" i="4"/>
  <c r="S360" i="36"/>
  <c r="AV355" i="4"/>
  <c r="AV335" i="4"/>
  <c r="S329" i="36"/>
  <c r="S296" i="36"/>
  <c r="S268" i="36"/>
  <c r="S236" i="36"/>
  <c r="S204" i="36"/>
  <c r="S172" i="36"/>
  <c r="S138" i="36"/>
  <c r="AV126" i="4"/>
  <c r="S104" i="36"/>
  <c r="AI104" i="36" s="1"/>
  <c r="S66" i="36"/>
  <c r="AI66" i="36" s="1"/>
  <c r="S34" i="36"/>
  <c r="AI34" i="36" s="1"/>
  <c r="AV387" i="4"/>
  <c r="S380" i="36"/>
  <c r="AV371" i="4"/>
  <c r="AV366" i="4"/>
  <c r="AV358" i="4"/>
  <c r="S347" i="36"/>
  <c r="S316" i="36"/>
  <c r="AV302" i="4"/>
  <c r="S285" i="36"/>
  <c r="S255" i="36"/>
  <c r="S223" i="36"/>
  <c r="S191" i="36"/>
  <c r="S159" i="36"/>
  <c r="S126" i="36"/>
  <c r="AI126" i="36" s="1"/>
  <c r="S89" i="36"/>
  <c r="S53" i="36"/>
  <c r="AV382" i="4"/>
  <c r="AV374" i="4"/>
  <c r="S370" i="36"/>
  <c r="AV365" i="4"/>
  <c r="AV361" i="4"/>
  <c r="S338" i="36"/>
  <c r="S306" i="36"/>
  <c r="AV249" i="4"/>
  <c r="S246" i="36"/>
  <c r="AV229" i="4"/>
  <c r="S214" i="36"/>
  <c r="AI214" i="36" s="1"/>
  <c r="S182" i="36"/>
  <c r="S148" i="36"/>
  <c r="S116" i="36"/>
  <c r="AI116" i="36" s="1"/>
  <c r="AV87" i="4"/>
  <c r="S78" i="36"/>
  <c r="S44" i="36"/>
  <c r="AV381" i="4"/>
  <c r="AV332" i="4"/>
  <c r="AV62" i="4"/>
  <c r="AV389" i="4"/>
  <c r="AV359" i="4"/>
  <c r="AV171" i="4"/>
  <c r="AV137" i="4"/>
  <c r="AV360" i="4"/>
  <c r="AV114" i="4"/>
  <c r="AV379" i="4"/>
  <c r="AV346" i="4"/>
  <c r="AV222" i="4"/>
  <c r="AV158" i="4"/>
  <c r="AV125" i="4"/>
  <c r="AV52" i="4"/>
  <c r="AV19" i="4"/>
  <c r="AV329" i="4"/>
  <c r="AV245" i="4"/>
  <c r="AV213" i="4"/>
  <c r="AV147" i="4"/>
  <c r="C92" i="8"/>
  <c r="P92" i="8" s="1"/>
  <c r="S93" i="36"/>
  <c r="AI93" i="36" s="1"/>
  <c r="D394" i="36"/>
  <c r="D388" i="36"/>
  <c r="D384" i="36"/>
  <c r="D380" i="36"/>
  <c r="D376" i="36"/>
  <c r="D372" i="36"/>
  <c r="D367" i="36"/>
  <c r="D363" i="36"/>
  <c r="D359" i="36"/>
  <c r="D355" i="36"/>
  <c r="D351" i="36"/>
  <c r="D347" i="36"/>
  <c r="D343" i="36"/>
  <c r="D339" i="36"/>
  <c r="D335" i="36"/>
  <c r="D332" i="36"/>
  <c r="D328" i="36"/>
  <c r="D324" i="36"/>
  <c r="D320" i="36"/>
  <c r="D316" i="36"/>
  <c r="D312" i="36"/>
  <c r="D307" i="36"/>
  <c r="D303" i="36"/>
  <c r="D299" i="36"/>
  <c r="D295" i="36"/>
  <c r="D291" i="36"/>
  <c r="D289" i="36"/>
  <c r="D285" i="36"/>
  <c r="D281" i="36"/>
  <c r="D277" i="36"/>
  <c r="D275" i="36"/>
  <c r="D271" i="36"/>
  <c r="D267" i="36"/>
  <c r="D263" i="36"/>
  <c r="D259" i="36"/>
  <c r="D255" i="36"/>
  <c r="D251" i="36"/>
  <c r="D247" i="36"/>
  <c r="D243" i="36"/>
  <c r="D239" i="36"/>
  <c r="D235" i="36"/>
  <c r="D231" i="36"/>
  <c r="D227" i="36"/>
  <c r="D223" i="36"/>
  <c r="D219" i="36"/>
  <c r="D215" i="36"/>
  <c r="D211" i="36"/>
  <c r="D207" i="36"/>
  <c r="D203" i="36"/>
  <c r="D199" i="36"/>
  <c r="D195" i="36"/>
  <c r="D191" i="36"/>
  <c r="D187" i="36"/>
  <c r="D183" i="36"/>
  <c r="D179" i="36"/>
  <c r="D175" i="36"/>
  <c r="D171" i="36"/>
  <c r="D167" i="36"/>
  <c r="D163" i="36"/>
  <c r="D159" i="36"/>
  <c r="D154" i="36"/>
  <c r="D150" i="36"/>
  <c r="D146" i="36"/>
  <c r="D142" i="36"/>
  <c r="D138" i="36"/>
  <c r="D134" i="36"/>
  <c r="D131" i="36"/>
  <c r="D127" i="36"/>
  <c r="D123" i="36"/>
  <c r="D118" i="36"/>
  <c r="D114" i="36"/>
  <c r="D108" i="36"/>
  <c r="D104" i="36"/>
  <c r="D100" i="36"/>
  <c r="D96" i="36"/>
  <c r="D92" i="36"/>
  <c r="D85" i="36"/>
  <c r="D80" i="36"/>
  <c r="D76" i="36"/>
  <c r="D70" i="36"/>
  <c r="D66" i="36"/>
  <c r="D62" i="36"/>
  <c r="D58" i="36"/>
  <c r="D54" i="36"/>
  <c r="D50" i="36"/>
  <c r="D46" i="36"/>
  <c r="D42" i="36"/>
  <c r="D38" i="36"/>
  <c r="D34" i="36"/>
  <c r="D30" i="36"/>
  <c r="D25" i="36"/>
  <c r="D21" i="36"/>
  <c r="D15" i="36"/>
  <c r="D393" i="36"/>
  <c r="D387" i="36"/>
  <c r="D383" i="36"/>
  <c r="D379" i="36"/>
  <c r="D375" i="36"/>
  <c r="D370" i="36"/>
  <c r="D366" i="36"/>
  <c r="D362" i="36"/>
  <c r="D358" i="36"/>
  <c r="D354" i="36"/>
  <c r="D350" i="36"/>
  <c r="D346" i="36"/>
  <c r="D342" i="36"/>
  <c r="D338" i="36"/>
  <c r="D334" i="36"/>
  <c r="D331" i="36"/>
  <c r="D327" i="36"/>
  <c r="D323" i="36"/>
  <c r="D319" i="36"/>
  <c r="D315" i="36"/>
  <c r="D311" i="36"/>
  <c r="D306" i="36"/>
  <c r="D302" i="36"/>
  <c r="D298" i="36"/>
  <c r="D294" i="36"/>
  <c r="D290" i="36"/>
  <c r="D288" i="36"/>
  <c r="D284" i="36"/>
  <c r="D280" i="36"/>
  <c r="D274" i="36"/>
  <c r="D270" i="36"/>
  <c r="D266" i="36"/>
  <c r="D262" i="36"/>
  <c r="D258" i="36"/>
  <c r="D254" i="36"/>
  <c r="D250" i="36"/>
  <c r="D246" i="36"/>
  <c r="D242" i="36"/>
  <c r="D238" i="36"/>
  <c r="D234" i="36"/>
  <c r="D230" i="36"/>
  <c r="D226" i="36"/>
  <c r="D222" i="36"/>
  <c r="D218" i="36"/>
  <c r="D214" i="36"/>
  <c r="D210" i="36"/>
  <c r="D206" i="36"/>
  <c r="D202" i="36"/>
  <c r="D198" i="36"/>
  <c r="D194" i="36"/>
  <c r="D190" i="36"/>
  <c r="D186" i="36"/>
  <c r="D182" i="36"/>
  <c r="D178" i="36"/>
  <c r="D174" i="36"/>
  <c r="D170" i="36"/>
  <c r="D166" i="36"/>
  <c r="D162" i="36"/>
  <c r="D157" i="36"/>
  <c r="D153" i="36"/>
  <c r="D149" i="36"/>
  <c r="D145" i="36"/>
  <c r="D141" i="36"/>
  <c r="D137" i="36"/>
  <c r="D130" i="36"/>
  <c r="D126" i="36"/>
  <c r="D122" i="36"/>
  <c r="D117" i="36"/>
  <c r="D113" i="36"/>
  <c r="D107" i="36"/>
  <c r="D103" i="36"/>
  <c r="D99" i="36"/>
  <c r="D95" i="36"/>
  <c r="D89" i="36"/>
  <c r="D83" i="36"/>
  <c r="D79" i="36"/>
  <c r="D74" i="36"/>
  <c r="D69" i="36"/>
  <c r="D65" i="36"/>
  <c r="D61" i="36"/>
  <c r="D57" i="36"/>
  <c r="D53" i="36"/>
  <c r="D49" i="36"/>
  <c r="D45" i="36"/>
  <c r="D41" i="36"/>
  <c r="D37" i="36"/>
  <c r="D33" i="36"/>
  <c r="D28" i="36"/>
  <c r="D24" i="36"/>
  <c r="D20" i="36"/>
  <c r="D14" i="36"/>
  <c r="Z432" i="6"/>
  <c r="AA430" i="6"/>
  <c r="Z430" i="6"/>
  <c r="Z428" i="6"/>
  <c r="AA426" i="6"/>
  <c r="Z426" i="6"/>
  <c r="Z424" i="6"/>
  <c r="AA422" i="6"/>
  <c r="Z422" i="6"/>
  <c r="Z420" i="6"/>
  <c r="AA418" i="6"/>
  <c r="Z416" i="6"/>
  <c r="AA414" i="6"/>
  <c r="Z414" i="6"/>
  <c r="Z412" i="6"/>
  <c r="AA410" i="6"/>
  <c r="Z410" i="6"/>
  <c r="Z408" i="6"/>
  <c r="AA406" i="6"/>
  <c r="Z406" i="6"/>
  <c r="Z404" i="6"/>
  <c r="AA403" i="6"/>
  <c r="Z401" i="6"/>
  <c r="AA399" i="6"/>
  <c r="Z399" i="6"/>
  <c r="Z397" i="6"/>
  <c r="AA395" i="6"/>
  <c r="Z433" i="6"/>
  <c r="Z429" i="6"/>
  <c r="Z425" i="6"/>
  <c r="Y425" i="6"/>
  <c r="Z421" i="6"/>
  <c r="Z417" i="6"/>
  <c r="Z413" i="6"/>
  <c r="Z409" i="6"/>
  <c r="Y409" i="6"/>
  <c r="Z405" i="6"/>
  <c r="Z402" i="6"/>
  <c r="Z398" i="6"/>
  <c r="AA433" i="6"/>
  <c r="AA429" i="6"/>
  <c r="Y429" i="6"/>
  <c r="AA427" i="6"/>
  <c r="AA425" i="6"/>
  <c r="AA421" i="6"/>
  <c r="Y421" i="6"/>
  <c r="AA417" i="6"/>
  <c r="AA415" i="6"/>
  <c r="AA413" i="6"/>
  <c r="AA411" i="6"/>
  <c r="AA409" i="6"/>
  <c r="AA407" i="6"/>
  <c r="AA405" i="6"/>
  <c r="Y405" i="6"/>
  <c r="AA402" i="6"/>
  <c r="AA398" i="6"/>
  <c r="Y398" i="6"/>
  <c r="AA396" i="6"/>
  <c r="Y432" i="6"/>
  <c r="AA432" i="6"/>
  <c r="Y428" i="6"/>
  <c r="AA428" i="6"/>
  <c r="Y424" i="6"/>
  <c r="AA424" i="6"/>
  <c r="Y420" i="6"/>
  <c r="AA420" i="6"/>
  <c r="Y416" i="6"/>
  <c r="AA416" i="6"/>
  <c r="Y412" i="6"/>
  <c r="AA412" i="6"/>
  <c r="Y408" i="6"/>
  <c r="AA408" i="6"/>
  <c r="Y404" i="6"/>
  <c r="AA404" i="6"/>
  <c r="Y401" i="6"/>
  <c r="AA401" i="6"/>
  <c r="Y397" i="6"/>
  <c r="AA397" i="6"/>
  <c r="Y431" i="6"/>
  <c r="AA431" i="6"/>
  <c r="Y427" i="6"/>
  <c r="Y423" i="6"/>
  <c r="AA423" i="6"/>
  <c r="Y419" i="6"/>
  <c r="Y415" i="6"/>
  <c r="Y413" i="6"/>
  <c r="Y411" i="6"/>
  <c r="Y407" i="6"/>
  <c r="Y400" i="6"/>
  <c r="Y396" i="6"/>
  <c r="Y430" i="6"/>
  <c r="Y426" i="6"/>
  <c r="Y422" i="6"/>
  <c r="Y418" i="6"/>
  <c r="Z418" i="6"/>
  <c r="Y414" i="6"/>
  <c r="Y410" i="6"/>
  <c r="Y406" i="6"/>
  <c r="Y403" i="6"/>
  <c r="Z403" i="6"/>
  <c r="Y399" i="6"/>
  <c r="Y395" i="6"/>
  <c r="Z395" i="6"/>
  <c r="Y433" i="6"/>
  <c r="Z431" i="6"/>
  <c r="Z427" i="6"/>
  <c r="Z423" i="6"/>
  <c r="Z419" i="6"/>
  <c r="AA419" i="6"/>
  <c r="Y417" i="6"/>
  <c r="Z415" i="6"/>
  <c r="Z411" i="6"/>
  <c r="Z407" i="6"/>
  <c r="Y402" i="6"/>
  <c r="Z400" i="6"/>
  <c r="AA400" i="6"/>
  <c r="Z396" i="6"/>
  <c r="Z86" i="6"/>
  <c r="AA86" i="6"/>
  <c r="Y86" i="6"/>
  <c r="Y307" i="6"/>
  <c r="Z307" i="6"/>
  <c r="AA307" i="6"/>
  <c r="Z370" i="6"/>
  <c r="AA370" i="6"/>
  <c r="Y370" i="6"/>
  <c r="Z110" i="6"/>
  <c r="AA110" i="6"/>
  <c r="Y110" i="6"/>
  <c r="AA70" i="6"/>
  <c r="Y70" i="6"/>
  <c r="Z70" i="6"/>
  <c r="Y118" i="6"/>
  <c r="Z118" i="6"/>
  <c r="AA118" i="6"/>
  <c r="AA74" i="6"/>
  <c r="Z74" i="6"/>
  <c r="Y74" i="6"/>
  <c r="Z90" i="6"/>
  <c r="Y90" i="6"/>
  <c r="AA111" i="6"/>
  <c r="AA90" i="6"/>
  <c r="Y111" i="6"/>
  <c r="Z111" i="6"/>
  <c r="AA83" i="6"/>
  <c r="AA16" i="6"/>
  <c r="AA157" i="6"/>
  <c r="Z28" i="6"/>
  <c r="AA89" i="6"/>
  <c r="Y83" i="6"/>
  <c r="Z83" i="6"/>
  <c r="Y17" i="6"/>
  <c r="Y157" i="6"/>
  <c r="Y16" i="6"/>
  <c r="Z17" i="6"/>
  <c r="AA28" i="6"/>
  <c r="Y89" i="6"/>
  <c r="Z16" i="6"/>
  <c r="AA17" i="6"/>
  <c r="Z157" i="6"/>
  <c r="Y28" i="6"/>
  <c r="Z89" i="6"/>
  <c r="D392" i="36"/>
  <c r="D391" i="36"/>
  <c r="D386" i="36"/>
  <c r="D382" i="36"/>
  <c r="D378" i="36"/>
  <c r="D374" i="36"/>
  <c r="D369" i="36"/>
  <c r="D365" i="36"/>
  <c r="D361" i="36"/>
  <c r="D357" i="36"/>
  <c r="D349" i="36"/>
  <c r="D345" i="36"/>
  <c r="D341" i="36"/>
  <c r="D337" i="36"/>
  <c r="D333" i="36"/>
  <c r="D330" i="36"/>
  <c r="D326" i="36"/>
  <c r="D322" i="36"/>
  <c r="D318" i="36"/>
  <c r="D314" i="36"/>
  <c r="D310" i="36"/>
  <c r="D305" i="36"/>
  <c r="D301" i="36"/>
  <c r="D297" i="36"/>
  <c r="D293" i="36"/>
  <c r="D287" i="36"/>
  <c r="D283" i="36"/>
  <c r="D279" i="36"/>
  <c r="D276" i="36"/>
  <c r="D273" i="36"/>
  <c r="D269" i="36"/>
  <c r="D265" i="36"/>
  <c r="D261" i="36"/>
  <c r="D257" i="36"/>
  <c r="D253" i="36"/>
  <c r="D249" i="36"/>
  <c r="D245" i="36"/>
  <c r="D241" i="36"/>
  <c r="D237" i="36"/>
  <c r="D233" i="36"/>
  <c r="D229" i="36"/>
  <c r="D225" i="36"/>
  <c r="D221" i="36"/>
  <c r="D217" i="36"/>
  <c r="D213" i="36"/>
  <c r="D209" i="36"/>
  <c r="D205" i="36"/>
  <c r="D201" i="36"/>
  <c r="D197" i="36"/>
  <c r="D193" i="36"/>
  <c r="D189" i="36"/>
  <c r="D185" i="36"/>
  <c r="D181" i="36"/>
  <c r="D177" i="36"/>
  <c r="D173" i="36"/>
  <c r="D169" i="36"/>
  <c r="D165" i="36"/>
  <c r="D161" i="36"/>
  <c r="D156" i="36"/>
  <c r="D152" i="36"/>
  <c r="D148" i="36"/>
  <c r="D144" i="36"/>
  <c r="D140" i="36"/>
  <c r="D136" i="36"/>
  <c r="D133" i="36"/>
  <c r="D129" i="36"/>
  <c r="D125" i="36"/>
  <c r="D121" i="36"/>
  <c r="D116" i="36"/>
  <c r="D110" i="36"/>
  <c r="D106" i="36"/>
  <c r="D102" i="36"/>
  <c r="D98" i="36"/>
  <c r="D94" i="36"/>
  <c r="D88" i="36"/>
  <c r="D82" i="36"/>
  <c r="D78" i="36"/>
  <c r="D73" i="36"/>
  <c r="D68" i="36"/>
  <c r="D64" i="36"/>
  <c r="D60" i="36"/>
  <c r="D56" i="36"/>
  <c r="D52" i="36"/>
  <c r="D48" i="36"/>
  <c r="D44" i="36"/>
  <c r="D40" i="36"/>
  <c r="D36" i="36"/>
  <c r="D32" i="36"/>
  <c r="D27" i="36"/>
  <c r="D23" i="36"/>
  <c r="D19" i="36"/>
  <c r="D395" i="36"/>
  <c r="D390" i="36"/>
  <c r="D389" i="36"/>
  <c r="D385" i="36"/>
  <c r="D381" i="36"/>
  <c r="D377" i="36"/>
  <c r="D373" i="36"/>
  <c r="D368" i="36"/>
  <c r="D364" i="36"/>
  <c r="D360" i="36"/>
  <c r="D356" i="36"/>
  <c r="D348" i="36"/>
  <c r="D344" i="36"/>
  <c r="D340" i="36"/>
  <c r="D336" i="36"/>
  <c r="D329" i="36"/>
  <c r="D325" i="36"/>
  <c r="D321" i="36"/>
  <c r="D317" i="36"/>
  <c r="D313" i="36"/>
  <c r="D309" i="36"/>
  <c r="D304" i="36"/>
  <c r="D300" i="36"/>
  <c r="D296" i="36"/>
  <c r="D292" i="36"/>
  <c r="D286" i="36"/>
  <c r="D282" i="36"/>
  <c r="D278" i="36"/>
  <c r="D272" i="36"/>
  <c r="D268" i="36"/>
  <c r="D264" i="36"/>
  <c r="D260" i="36"/>
  <c r="D256" i="36"/>
  <c r="D252" i="36"/>
  <c r="D248" i="36"/>
  <c r="D244" i="36"/>
  <c r="D240" i="36"/>
  <c r="D236" i="36"/>
  <c r="D232" i="36"/>
  <c r="D228" i="36"/>
  <c r="D224" i="36"/>
  <c r="D220" i="36"/>
  <c r="D216" i="36"/>
  <c r="D212" i="36"/>
  <c r="D208" i="36"/>
  <c r="D204" i="36"/>
  <c r="D200" i="36"/>
  <c r="D196" i="36"/>
  <c r="D192" i="36"/>
  <c r="D188" i="36"/>
  <c r="D184" i="36"/>
  <c r="D180" i="36"/>
  <c r="D176" i="36"/>
  <c r="D172" i="36"/>
  <c r="D168" i="36"/>
  <c r="D164" i="36"/>
  <c r="D160" i="36"/>
  <c r="D155" i="36"/>
  <c r="D151" i="36"/>
  <c r="D147" i="36"/>
  <c r="D143" i="36"/>
  <c r="D139" i="36"/>
  <c r="D135" i="36"/>
  <c r="D132" i="36"/>
  <c r="D128" i="36"/>
  <c r="D124" i="36"/>
  <c r="D120" i="36"/>
  <c r="D115" i="36"/>
  <c r="D109" i="36"/>
  <c r="D105" i="36"/>
  <c r="D101" i="36"/>
  <c r="D97" i="36"/>
  <c r="D93" i="36"/>
  <c r="D86" i="36"/>
  <c r="D81" i="36"/>
  <c r="D77" i="36"/>
  <c r="D72" i="36"/>
  <c r="D67" i="36"/>
  <c r="D63" i="36"/>
  <c r="D59" i="36"/>
  <c r="D55" i="36"/>
  <c r="D51" i="36"/>
  <c r="D47" i="36"/>
  <c r="D43" i="36"/>
  <c r="D39" i="36"/>
  <c r="D35" i="36"/>
  <c r="D31" i="36"/>
  <c r="D26" i="36"/>
  <c r="D22" i="36"/>
  <c r="D16" i="36"/>
  <c r="B92" i="6"/>
  <c r="D365" i="5"/>
  <c r="E365" i="5" s="1"/>
  <c r="D226" i="5"/>
  <c r="E226" i="5" s="1"/>
  <c r="B392" i="9"/>
  <c r="B392" i="8"/>
  <c r="C392" i="6"/>
  <c r="C389" i="5"/>
  <c r="B386" i="9"/>
  <c r="B386" i="8"/>
  <c r="C386" i="6"/>
  <c r="C383" i="5"/>
  <c r="B382" i="9"/>
  <c r="B382" i="8"/>
  <c r="C382" i="6"/>
  <c r="C379" i="5"/>
  <c r="B378" i="9"/>
  <c r="B378" i="8"/>
  <c r="C378" i="6"/>
  <c r="C375" i="5"/>
  <c r="B374" i="9"/>
  <c r="B374" i="8"/>
  <c r="C374" i="6"/>
  <c r="C371" i="5"/>
  <c r="B370" i="9"/>
  <c r="B370" i="8"/>
  <c r="C370" i="6"/>
  <c r="C367" i="5"/>
  <c r="B366" i="9"/>
  <c r="B366" i="8"/>
  <c r="C366" i="6"/>
  <c r="C363" i="5"/>
  <c r="B362" i="9"/>
  <c r="B362" i="8"/>
  <c r="C362" i="6"/>
  <c r="C359" i="5"/>
  <c r="B358" i="9"/>
  <c r="B358" i="8"/>
  <c r="C358" i="6"/>
  <c r="C355" i="5"/>
  <c r="B354" i="9"/>
  <c r="B354" i="8"/>
  <c r="C354" i="6"/>
  <c r="C351" i="5"/>
  <c r="B348" i="9"/>
  <c r="B348" i="8"/>
  <c r="C348" i="6"/>
  <c r="C345" i="5"/>
  <c r="B344" i="9"/>
  <c r="B344" i="8"/>
  <c r="C344" i="6"/>
  <c r="C341" i="5"/>
  <c r="B340" i="9"/>
  <c r="B340" i="8"/>
  <c r="C340" i="6"/>
  <c r="C337" i="5"/>
  <c r="B336" i="9"/>
  <c r="B336" i="8"/>
  <c r="C336" i="6"/>
  <c r="C333" i="5"/>
  <c r="B332" i="9"/>
  <c r="B332" i="8"/>
  <c r="C332" i="6"/>
  <c r="C329" i="5"/>
  <c r="B329" i="9"/>
  <c r="B329" i="8"/>
  <c r="C329" i="6"/>
  <c r="C326" i="5"/>
  <c r="B325" i="9"/>
  <c r="B325" i="8"/>
  <c r="C325" i="6"/>
  <c r="C322" i="5"/>
  <c r="B321" i="9"/>
  <c r="B321" i="8"/>
  <c r="C321" i="6"/>
  <c r="C318" i="5"/>
  <c r="B317" i="9"/>
  <c r="B317" i="8"/>
  <c r="C317" i="6"/>
  <c r="C314" i="5"/>
  <c r="B313" i="9"/>
  <c r="B313" i="8"/>
  <c r="C313" i="6"/>
  <c r="C310" i="5"/>
  <c r="B309" i="9"/>
  <c r="B309" i="8"/>
  <c r="C309" i="6"/>
  <c r="C306" i="5"/>
  <c r="B305" i="9"/>
  <c r="B305" i="8"/>
  <c r="C305" i="6"/>
  <c r="C302" i="5"/>
  <c r="B301" i="9"/>
  <c r="B301" i="8"/>
  <c r="C301" i="6"/>
  <c r="C298" i="5"/>
  <c r="B297" i="9"/>
  <c r="B297" i="8"/>
  <c r="C297" i="6"/>
  <c r="C294" i="5"/>
  <c r="B293" i="9"/>
  <c r="B293" i="8"/>
  <c r="C293" i="6"/>
  <c r="C290" i="5"/>
  <c r="B289" i="9"/>
  <c r="B289" i="8"/>
  <c r="C289" i="6"/>
  <c r="C286" i="5"/>
  <c r="B287" i="9"/>
  <c r="B287" i="8"/>
  <c r="C287" i="6"/>
  <c r="C284" i="5"/>
  <c r="B283" i="9"/>
  <c r="B283" i="8"/>
  <c r="C283" i="6"/>
  <c r="C280" i="5"/>
  <c r="B279" i="9"/>
  <c r="B279" i="8"/>
  <c r="C279" i="6"/>
  <c r="C276" i="5"/>
  <c r="B273" i="9"/>
  <c r="B273" i="8"/>
  <c r="C273" i="6"/>
  <c r="C270" i="5"/>
  <c r="B269" i="9"/>
  <c r="B269" i="8"/>
  <c r="C269" i="6"/>
  <c r="C266" i="5"/>
  <c r="B265" i="9"/>
  <c r="B265" i="8"/>
  <c r="C265" i="6"/>
  <c r="C262" i="5"/>
  <c r="B261" i="9"/>
  <c r="B261" i="8"/>
  <c r="C261" i="6"/>
  <c r="C258" i="5"/>
  <c r="B257" i="9"/>
  <c r="B257" i="8"/>
  <c r="C257" i="6"/>
  <c r="C254" i="5"/>
  <c r="B253" i="9"/>
  <c r="B253" i="8"/>
  <c r="C253" i="6"/>
  <c r="C250" i="5"/>
  <c r="B249" i="9"/>
  <c r="B249" i="8"/>
  <c r="C249" i="6"/>
  <c r="C246" i="5"/>
  <c r="B245" i="9"/>
  <c r="B245" i="8"/>
  <c r="C245" i="6"/>
  <c r="C242" i="5"/>
  <c r="B241" i="9"/>
  <c r="B241" i="8"/>
  <c r="C241" i="6"/>
  <c r="C238" i="5"/>
  <c r="B237" i="9"/>
  <c r="B237" i="8"/>
  <c r="C237" i="6"/>
  <c r="C234" i="5"/>
  <c r="B232" i="9"/>
  <c r="B232" i="8"/>
  <c r="C232" i="6"/>
  <c r="C229" i="5"/>
  <c r="B228" i="9"/>
  <c r="B228" i="8"/>
  <c r="C228" i="6"/>
  <c r="C225" i="5"/>
  <c r="B224" i="9"/>
  <c r="B224" i="8"/>
  <c r="C224" i="6"/>
  <c r="C221" i="5"/>
  <c r="B220" i="9"/>
  <c r="B220" i="8"/>
  <c r="C220" i="6"/>
  <c r="C217" i="5"/>
  <c r="B216" i="9"/>
  <c r="B216" i="8"/>
  <c r="C216" i="6"/>
  <c r="C213" i="5"/>
  <c r="B212" i="9"/>
  <c r="B212" i="8"/>
  <c r="C212" i="6"/>
  <c r="C209" i="5"/>
  <c r="B208" i="9"/>
  <c r="B208" i="8"/>
  <c r="C208" i="6"/>
  <c r="C205" i="5"/>
  <c r="B204" i="9"/>
  <c r="B204" i="8"/>
  <c r="C204" i="6"/>
  <c r="C201" i="5"/>
  <c r="B200" i="9"/>
  <c r="B200" i="8"/>
  <c r="C200" i="6"/>
  <c r="C197" i="5"/>
  <c r="B196" i="9"/>
  <c r="B196" i="8"/>
  <c r="C196" i="6"/>
  <c r="C193" i="5"/>
  <c r="B192" i="9"/>
  <c r="B192" i="8"/>
  <c r="C192" i="6"/>
  <c r="C189" i="5"/>
  <c r="B188" i="9"/>
  <c r="B188" i="8"/>
  <c r="C188" i="6"/>
  <c r="C185" i="5"/>
  <c r="B184" i="9"/>
  <c r="B184" i="8"/>
  <c r="C184" i="6"/>
  <c r="C181" i="5"/>
  <c r="B178" i="9"/>
  <c r="B178" i="8"/>
  <c r="C175" i="5"/>
  <c r="C178" i="6"/>
  <c r="B174" i="9"/>
  <c r="B174" i="8"/>
  <c r="C171" i="5"/>
  <c r="C174" i="6"/>
  <c r="B170" i="9"/>
  <c r="B170" i="8"/>
  <c r="C167" i="5"/>
  <c r="C170" i="6"/>
  <c r="B166" i="9"/>
  <c r="B166" i="8"/>
  <c r="C163" i="5"/>
  <c r="C166" i="6"/>
  <c r="B162" i="9"/>
  <c r="B162" i="8"/>
  <c r="C159" i="5"/>
  <c r="C162" i="6"/>
  <c r="B158" i="9"/>
  <c r="B158" i="8"/>
  <c r="C155" i="5"/>
  <c r="C158" i="6"/>
  <c r="B154" i="9"/>
  <c r="B154" i="8"/>
  <c r="C151" i="5"/>
  <c r="C154" i="6"/>
  <c r="B150" i="9"/>
  <c r="B150" i="8"/>
  <c r="C147" i="5"/>
  <c r="C150" i="6"/>
  <c r="B146" i="9"/>
  <c r="B146" i="8"/>
  <c r="C143" i="5"/>
  <c r="C146" i="6"/>
  <c r="B142" i="9"/>
  <c r="B142" i="8"/>
  <c r="C139" i="5"/>
  <c r="C142" i="6"/>
  <c r="B138" i="9"/>
  <c r="B138" i="8"/>
  <c r="C135" i="5"/>
  <c r="C138" i="6"/>
  <c r="B134" i="9"/>
  <c r="B134" i="8"/>
  <c r="C131" i="5"/>
  <c r="C134" i="6"/>
  <c r="B131" i="9"/>
  <c r="B131" i="8"/>
  <c r="C128" i="5"/>
  <c r="C131" i="6"/>
  <c r="B127" i="9"/>
  <c r="B127" i="8"/>
  <c r="C124" i="5"/>
  <c r="C127" i="6"/>
  <c r="B123" i="9"/>
  <c r="B123" i="8"/>
  <c r="C120" i="5"/>
  <c r="C123" i="6"/>
  <c r="B119" i="9"/>
  <c r="B119" i="8"/>
  <c r="C116" i="5"/>
  <c r="C119" i="6"/>
  <c r="B115" i="9"/>
  <c r="B115" i="8"/>
  <c r="C112" i="5"/>
  <c r="C115" i="6"/>
  <c r="B111" i="9"/>
  <c r="B111" i="8"/>
  <c r="C108" i="5"/>
  <c r="C111" i="6"/>
  <c r="B107" i="9"/>
  <c r="B107" i="8"/>
  <c r="C104" i="5"/>
  <c r="C107" i="6"/>
  <c r="B103" i="9"/>
  <c r="B103" i="8"/>
  <c r="C100" i="5"/>
  <c r="C103" i="6"/>
  <c r="B99" i="9"/>
  <c r="B99" i="8"/>
  <c r="C96" i="5"/>
  <c r="C99" i="6"/>
  <c r="B95" i="9"/>
  <c r="B95" i="8"/>
  <c r="C92" i="5"/>
  <c r="C95" i="6"/>
  <c r="B91" i="9"/>
  <c r="B91" i="8"/>
  <c r="C88" i="5"/>
  <c r="C91" i="6"/>
  <c r="B87" i="9"/>
  <c r="B87" i="8"/>
  <c r="C84" i="5"/>
  <c r="C87" i="6"/>
  <c r="B83" i="9"/>
  <c r="B83" i="8"/>
  <c r="C80" i="5"/>
  <c r="C83" i="6"/>
  <c r="B79" i="9"/>
  <c r="B79" i="8"/>
  <c r="C76" i="5"/>
  <c r="C79" i="6"/>
  <c r="B75" i="9"/>
  <c r="B75" i="8"/>
  <c r="C72" i="5"/>
  <c r="C75" i="6"/>
  <c r="B71" i="9"/>
  <c r="B71" i="8"/>
  <c r="C68" i="5"/>
  <c r="C71" i="6"/>
  <c r="B67" i="9"/>
  <c r="B67" i="8"/>
  <c r="C64" i="5"/>
  <c r="C67" i="6"/>
  <c r="B63" i="9"/>
  <c r="B63" i="8"/>
  <c r="C60" i="5"/>
  <c r="C63" i="6"/>
  <c r="B59" i="9"/>
  <c r="B59" i="8"/>
  <c r="C56" i="5"/>
  <c r="C59" i="6"/>
  <c r="B55" i="9"/>
  <c r="B55" i="8"/>
  <c r="C52" i="5"/>
  <c r="C55" i="6"/>
  <c r="B51" i="9"/>
  <c r="B51" i="8"/>
  <c r="C48" i="5"/>
  <c r="C51" i="6"/>
  <c r="B47" i="9"/>
  <c r="B47" i="8"/>
  <c r="C44" i="5"/>
  <c r="C47" i="6"/>
  <c r="B43" i="9"/>
  <c r="B43" i="8"/>
  <c r="C40" i="5"/>
  <c r="C43" i="6"/>
  <c r="B39" i="9"/>
  <c r="B39" i="8"/>
  <c r="C36" i="5"/>
  <c r="C39" i="6"/>
  <c r="B35" i="9"/>
  <c r="B35" i="8"/>
  <c r="C32" i="5"/>
  <c r="C35" i="6"/>
  <c r="B31" i="9"/>
  <c r="B31" i="8"/>
  <c r="C28" i="5"/>
  <c r="C31" i="6"/>
  <c r="B27" i="9"/>
  <c r="B27" i="8"/>
  <c r="C24" i="5"/>
  <c r="C27" i="6"/>
  <c r="B23" i="9"/>
  <c r="B23" i="8"/>
  <c r="C20" i="5"/>
  <c r="C23" i="6"/>
  <c r="B19" i="9"/>
  <c r="B19" i="8"/>
  <c r="C16" i="5"/>
  <c r="C19" i="6"/>
  <c r="B15" i="9"/>
  <c r="B15" i="8"/>
  <c r="C12" i="5"/>
  <c r="C15" i="6"/>
  <c r="C394" i="9"/>
  <c r="P394" i="9" s="1"/>
  <c r="C394" i="8"/>
  <c r="P394" i="8" s="1"/>
  <c r="D391" i="5"/>
  <c r="E391" i="5" s="1"/>
  <c r="B394" i="6"/>
  <c r="C389" i="9"/>
  <c r="P389" i="9" s="1"/>
  <c r="C389" i="8"/>
  <c r="P389" i="8" s="1"/>
  <c r="D386" i="5"/>
  <c r="E386" i="5" s="1"/>
  <c r="B389" i="6"/>
  <c r="C388" i="9"/>
  <c r="P388" i="9" s="1"/>
  <c r="C388" i="8"/>
  <c r="P388" i="8" s="1"/>
  <c r="D385" i="5"/>
  <c r="E385" i="5" s="1"/>
  <c r="B388" i="6"/>
  <c r="C384" i="9"/>
  <c r="P384" i="9" s="1"/>
  <c r="C384" i="8"/>
  <c r="P384" i="8" s="1"/>
  <c r="D381" i="5"/>
  <c r="E381" i="5" s="1"/>
  <c r="B384" i="6"/>
  <c r="C380" i="9"/>
  <c r="P380" i="9" s="1"/>
  <c r="C380" i="8"/>
  <c r="P380" i="8" s="1"/>
  <c r="D377" i="5"/>
  <c r="E377" i="5" s="1"/>
  <c r="B380" i="6"/>
  <c r="C376" i="9"/>
  <c r="P376" i="9" s="1"/>
  <c r="C376" i="8"/>
  <c r="P376" i="8" s="1"/>
  <c r="D373" i="5"/>
  <c r="E373" i="5" s="1"/>
  <c r="B376" i="6"/>
  <c r="C372" i="9"/>
  <c r="P372" i="9" s="1"/>
  <c r="C372" i="8"/>
  <c r="P372" i="8" s="1"/>
  <c r="D369" i="5"/>
  <c r="E369" i="5" s="1"/>
  <c r="B372" i="6"/>
  <c r="C368" i="9"/>
  <c r="P368" i="9" s="1"/>
  <c r="C368" i="8"/>
  <c r="P368" i="8" s="1"/>
  <c r="B368" i="6"/>
  <c r="C364" i="9"/>
  <c r="P364" i="9" s="1"/>
  <c r="C364" i="8"/>
  <c r="P364" i="8" s="1"/>
  <c r="D361" i="5"/>
  <c r="E361" i="5" s="1"/>
  <c r="B364" i="6"/>
  <c r="C360" i="9"/>
  <c r="P360" i="9" s="1"/>
  <c r="C360" i="8"/>
  <c r="P360" i="8" s="1"/>
  <c r="D357" i="5"/>
  <c r="E357" i="5" s="1"/>
  <c r="B360" i="6"/>
  <c r="C356" i="9"/>
  <c r="P356" i="9" s="1"/>
  <c r="C356" i="8"/>
  <c r="P356" i="8" s="1"/>
  <c r="D353" i="5"/>
  <c r="E353" i="5" s="1"/>
  <c r="B356" i="6"/>
  <c r="C352" i="9"/>
  <c r="P352" i="9" s="1"/>
  <c r="C352" i="8"/>
  <c r="P352" i="8" s="1"/>
  <c r="D349" i="5"/>
  <c r="E349" i="5" s="1"/>
  <c r="B352" i="6"/>
  <c r="C348" i="9"/>
  <c r="P348" i="9" s="1"/>
  <c r="C348" i="8"/>
  <c r="P348" i="8" s="1"/>
  <c r="D345" i="5"/>
  <c r="E345" i="5" s="1"/>
  <c r="B348" i="6"/>
  <c r="C344" i="9"/>
  <c r="P344" i="9" s="1"/>
  <c r="C344" i="8"/>
  <c r="P344" i="8" s="1"/>
  <c r="D341" i="5"/>
  <c r="E341" i="5" s="1"/>
  <c r="B344" i="6"/>
  <c r="C340" i="9"/>
  <c r="P340" i="9" s="1"/>
  <c r="C340" i="8"/>
  <c r="P340" i="8" s="1"/>
  <c r="D337" i="5"/>
  <c r="E337" i="5" s="1"/>
  <c r="B340" i="6"/>
  <c r="C336" i="9"/>
  <c r="P336" i="9" s="1"/>
  <c r="C336" i="8"/>
  <c r="P336" i="8" s="1"/>
  <c r="D333" i="5"/>
  <c r="E333" i="5" s="1"/>
  <c r="B336" i="6"/>
  <c r="C332" i="9"/>
  <c r="P332" i="9" s="1"/>
  <c r="C332" i="8"/>
  <c r="P332" i="8" s="1"/>
  <c r="D329" i="5"/>
  <c r="E329" i="5" s="1"/>
  <c r="B332" i="6"/>
  <c r="C329" i="9"/>
  <c r="P329" i="9" s="1"/>
  <c r="C329" i="8"/>
  <c r="P329" i="8" s="1"/>
  <c r="D326" i="5"/>
  <c r="E326" i="5" s="1"/>
  <c r="B329" i="6"/>
  <c r="C325" i="9"/>
  <c r="P325" i="9" s="1"/>
  <c r="C325" i="8"/>
  <c r="P325" i="8" s="1"/>
  <c r="D322" i="5"/>
  <c r="E322" i="5" s="1"/>
  <c r="B325" i="6"/>
  <c r="C321" i="9"/>
  <c r="P321" i="9" s="1"/>
  <c r="C321" i="8"/>
  <c r="P321" i="8" s="1"/>
  <c r="D318" i="5"/>
  <c r="E318" i="5" s="1"/>
  <c r="B321" i="6"/>
  <c r="C317" i="9"/>
  <c r="P317" i="9" s="1"/>
  <c r="C317" i="8"/>
  <c r="P317" i="8" s="1"/>
  <c r="D314" i="5"/>
  <c r="E314" i="5" s="1"/>
  <c r="B317" i="6"/>
  <c r="C313" i="9"/>
  <c r="P313" i="9" s="1"/>
  <c r="C313" i="8"/>
  <c r="P313" i="8" s="1"/>
  <c r="D310" i="5"/>
  <c r="E310" i="5" s="1"/>
  <c r="B313" i="6"/>
  <c r="C309" i="9"/>
  <c r="P309" i="9" s="1"/>
  <c r="C309" i="8"/>
  <c r="P309" i="8" s="1"/>
  <c r="D306" i="5"/>
  <c r="E306" i="5" s="1"/>
  <c r="B309" i="6"/>
  <c r="C304" i="9"/>
  <c r="P304" i="9" s="1"/>
  <c r="C304" i="8"/>
  <c r="P304" i="8" s="1"/>
  <c r="B304" i="6"/>
  <c r="D301" i="5"/>
  <c r="E301" i="5" s="1"/>
  <c r="C300" i="9"/>
  <c r="P300" i="9" s="1"/>
  <c r="C300" i="8"/>
  <c r="P300" i="8" s="1"/>
  <c r="B300" i="6"/>
  <c r="D297" i="5"/>
  <c r="E297" i="5" s="1"/>
  <c r="C296" i="9"/>
  <c r="P296" i="9" s="1"/>
  <c r="C296" i="8"/>
  <c r="P296" i="8" s="1"/>
  <c r="B296" i="6"/>
  <c r="D293" i="5"/>
  <c r="E293" i="5" s="1"/>
  <c r="C292" i="9"/>
  <c r="P292" i="9" s="1"/>
  <c r="C292" i="8"/>
  <c r="P292" i="8" s="1"/>
  <c r="B292" i="6"/>
  <c r="D289" i="5"/>
  <c r="E289" i="5" s="1"/>
  <c r="C286" i="9"/>
  <c r="P286" i="9" s="1"/>
  <c r="C286" i="8"/>
  <c r="P286" i="8" s="1"/>
  <c r="B286" i="6"/>
  <c r="D283" i="5"/>
  <c r="E283" i="5" s="1"/>
  <c r="C282" i="9"/>
  <c r="P282" i="9" s="1"/>
  <c r="C282" i="8"/>
  <c r="P282" i="8" s="1"/>
  <c r="B282" i="6"/>
  <c r="D279" i="5"/>
  <c r="E279" i="5" s="1"/>
  <c r="C278" i="9"/>
  <c r="P278" i="9" s="1"/>
  <c r="C278" i="8"/>
  <c r="P278" i="8" s="1"/>
  <c r="B278" i="6"/>
  <c r="D275" i="5"/>
  <c r="E275" i="5" s="1"/>
  <c r="C275" i="9"/>
  <c r="P275" i="9" s="1"/>
  <c r="C275" i="8"/>
  <c r="P275" i="8" s="1"/>
  <c r="B275" i="6"/>
  <c r="D272" i="5"/>
  <c r="E272" i="5" s="1"/>
  <c r="C272" i="9"/>
  <c r="P272" i="9" s="1"/>
  <c r="C272" i="8"/>
  <c r="P272" i="8" s="1"/>
  <c r="B272" i="6"/>
  <c r="D269" i="5"/>
  <c r="E269" i="5" s="1"/>
  <c r="C268" i="9"/>
  <c r="P268" i="9" s="1"/>
  <c r="C268" i="8"/>
  <c r="P268" i="8" s="1"/>
  <c r="B268" i="6"/>
  <c r="D265" i="5"/>
  <c r="E265" i="5" s="1"/>
  <c r="C264" i="9"/>
  <c r="P264" i="9" s="1"/>
  <c r="C264" i="8"/>
  <c r="P264" i="8" s="1"/>
  <c r="B264" i="6"/>
  <c r="D261" i="5"/>
  <c r="E261" i="5" s="1"/>
  <c r="C260" i="9"/>
  <c r="P260" i="9" s="1"/>
  <c r="C260" i="8"/>
  <c r="P260" i="8" s="1"/>
  <c r="B260" i="6"/>
  <c r="D257" i="5"/>
  <c r="E257" i="5" s="1"/>
  <c r="C256" i="9"/>
  <c r="P256" i="9" s="1"/>
  <c r="C256" i="8"/>
  <c r="P256" i="8" s="1"/>
  <c r="B256" i="6"/>
  <c r="D253" i="5"/>
  <c r="E253" i="5" s="1"/>
  <c r="C252" i="9"/>
  <c r="P252" i="9" s="1"/>
  <c r="C252" i="8"/>
  <c r="P252" i="8" s="1"/>
  <c r="B252" i="6"/>
  <c r="D249" i="5"/>
  <c r="E249" i="5" s="1"/>
  <c r="C248" i="9"/>
  <c r="P248" i="9" s="1"/>
  <c r="C248" i="8"/>
  <c r="P248" i="8" s="1"/>
  <c r="B248" i="6"/>
  <c r="D245" i="5"/>
  <c r="E245" i="5" s="1"/>
  <c r="C244" i="9"/>
  <c r="P244" i="9" s="1"/>
  <c r="C244" i="8"/>
  <c r="P244" i="8" s="1"/>
  <c r="B244" i="6"/>
  <c r="D241" i="5"/>
  <c r="E241" i="5" s="1"/>
  <c r="C240" i="9"/>
  <c r="P240" i="9" s="1"/>
  <c r="C240" i="8"/>
  <c r="P240" i="8" s="1"/>
  <c r="B240" i="6"/>
  <c r="D237" i="5"/>
  <c r="E237" i="5" s="1"/>
  <c r="C236" i="9"/>
  <c r="P236" i="9" s="1"/>
  <c r="C236" i="8"/>
  <c r="P236" i="8" s="1"/>
  <c r="B236" i="6"/>
  <c r="D233" i="5"/>
  <c r="E233" i="5" s="1"/>
  <c r="C232" i="9"/>
  <c r="P232" i="9" s="1"/>
  <c r="C232" i="8"/>
  <c r="P232" i="8" s="1"/>
  <c r="B232" i="6"/>
  <c r="D229" i="5"/>
  <c r="E229" i="5" s="1"/>
  <c r="C228" i="9"/>
  <c r="P228" i="9" s="1"/>
  <c r="C228" i="8"/>
  <c r="P228" i="8" s="1"/>
  <c r="B228" i="6"/>
  <c r="D225" i="5"/>
  <c r="E225" i="5" s="1"/>
  <c r="C224" i="9"/>
  <c r="P224" i="9" s="1"/>
  <c r="C224" i="8"/>
  <c r="P224" i="8" s="1"/>
  <c r="B224" i="6"/>
  <c r="D221" i="5"/>
  <c r="E221" i="5" s="1"/>
  <c r="C220" i="9"/>
  <c r="P220" i="9" s="1"/>
  <c r="C220" i="8"/>
  <c r="P220" i="8" s="1"/>
  <c r="B220" i="6"/>
  <c r="D217" i="5"/>
  <c r="E217" i="5" s="1"/>
  <c r="C216" i="9"/>
  <c r="P216" i="9" s="1"/>
  <c r="C216" i="8"/>
  <c r="P216" i="8" s="1"/>
  <c r="B216" i="6"/>
  <c r="D213" i="5"/>
  <c r="E213" i="5" s="1"/>
  <c r="C212" i="9"/>
  <c r="P212" i="9" s="1"/>
  <c r="C212" i="8"/>
  <c r="P212" i="8" s="1"/>
  <c r="B212" i="6"/>
  <c r="D209" i="5"/>
  <c r="E209" i="5" s="1"/>
  <c r="C208" i="9"/>
  <c r="P208" i="9" s="1"/>
  <c r="C208" i="8"/>
  <c r="P208" i="8" s="1"/>
  <c r="B208" i="6"/>
  <c r="D205" i="5"/>
  <c r="E205" i="5" s="1"/>
  <c r="C204" i="9"/>
  <c r="P204" i="9" s="1"/>
  <c r="C204" i="8"/>
  <c r="P204" i="8" s="1"/>
  <c r="B204" i="6"/>
  <c r="D201" i="5"/>
  <c r="E201" i="5" s="1"/>
  <c r="C200" i="9"/>
  <c r="P200" i="9" s="1"/>
  <c r="C200" i="8"/>
  <c r="P200" i="8" s="1"/>
  <c r="B200" i="6"/>
  <c r="D197" i="5"/>
  <c r="E197" i="5" s="1"/>
  <c r="C196" i="9"/>
  <c r="P196" i="9" s="1"/>
  <c r="C196" i="8"/>
  <c r="P196" i="8" s="1"/>
  <c r="B196" i="6"/>
  <c r="D193" i="5"/>
  <c r="E193" i="5" s="1"/>
  <c r="C192" i="9"/>
  <c r="P192" i="9" s="1"/>
  <c r="C192" i="8"/>
  <c r="P192" i="8" s="1"/>
  <c r="B192" i="6"/>
  <c r="D189" i="5"/>
  <c r="E189" i="5" s="1"/>
  <c r="C188" i="9"/>
  <c r="P188" i="9" s="1"/>
  <c r="C188" i="8"/>
  <c r="P188" i="8" s="1"/>
  <c r="B188" i="6"/>
  <c r="D185" i="5"/>
  <c r="E185" i="5" s="1"/>
  <c r="C184" i="9"/>
  <c r="P184" i="9" s="1"/>
  <c r="C184" i="8"/>
  <c r="P184" i="8" s="1"/>
  <c r="B184" i="6"/>
  <c r="D181" i="5"/>
  <c r="E181" i="5" s="1"/>
  <c r="C180" i="9"/>
  <c r="P180" i="9" s="1"/>
  <c r="C180" i="8"/>
  <c r="P180" i="8" s="1"/>
  <c r="B180" i="6"/>
  <c r="D177" i="5"/>
  <c r="E177" i="5" s="1"/>
  <c r="C176" i="9"/>
  <c r="P176" i="9" s="1"/>
  <c r="C176" i="8"/>
  <c r="P176" i="8" s="1"/>
  <c r="B176" i="6"/>
  <c r="D173" i="5"/>
  <c r="E173" i="5" s="1"/>
  <c r="C172" i="9"/>
  <c r="P172" i="9" s="1"/>
  <c r="C172" i="8"/>
  <c r="P172" i="8" s="1"/>
  <c r="B172" i="6"/>
  <c r="D169" i="5"/>
  <c r="E169" i="5" s="1"/>
  <c r="C168" i="9"/>
  <c r="P168" i="9" s="1"/>
  <c r="C168" i="8"/>
  <c r="P168" i="8" s="1"/>
  <c r="B168" i="6"/>
  <c r="D165" i="5"/>
  <c r="E165" i="5" s="1"/>
  <c r="C164" i="9"/>
  <c r="P164" i="9" s="1"/>
  <c r="C164" i="8"/>
  <c r="P164" i="8" s="1"/>
  <c r="B164" i="6"/>
  <c r="D161" i="5"/>
  <c r="E161" i="5" s="1"/>
  <c r="C160" i="9"/>
  <c r="P160" i="9" s="1"/>
  <c r="C160" i="8"/>
  <c r="P160" i="8" s="1"/>
  <c r="B160" i="6"/>
  <c r="D157" i="5"/>
  <c r="E157" i="5" s="1"/>
  <c r="C155" i="9"/>
  <c r="P155" i="9" s="1"/>
  <c r="C155" i="8"/>
  <c r="P155" i="8" s="1"/>
  <c r="D152" i="5"/>
  <c r="E152" i="5" s="1"/>
  <c r="B155" i="6"/>
  <c r="C151" i="9"/>
  <c r="P151" i="9" s="1"/>
  <c r="C151" i="8"/>
  <c r="P151" i="8" s="1"/>
  <c r="D148" i="5"/>
  <c r="E148" i="5" s="1"/>
  <c r="B151" i="6"/>
  <c r="C147" i="9"/>
  <c r="P147" i="9" s="1"/>
  <c r="D144" i="5"/>
  <c r="E144" i="5" s="1"/>
  <c r="C147" i="8"/>
  <c r="P147" i="8" s="1"/>
  <c r="B147" i="6"/>
  <c r="C143" i="9"/>
  <c r="P143" i="9" s="1"/>
  <c r="C143" i="8"/>
  <c r="P143" i="8" s="1"/>
  <c r="D140" i="5"/>
  <c r="E140" i="5" s="1"/>
  <c r="B143" i="6"/>
  <c r="C139" i="9"/>
  <c r="P139" i="9" s="1"/>
  <c r="C139" i="8"/>
  <c r="P139" i="8" s="1"/>
  <c r="D136" i="5"/>
  <c r="E136" i="5" s="1"/>
  <c r="B139" i="6"/>
  <c r="C135" i="9"/>
  <c r="P135" i="9" s="1"/>
  <c r="C135" i="8"/>
  <c r="P135" i="8" s="1"/>
  <c r="D132" i="5"/>
  <c r="E132" i="5" s="1"/>
  <c r="B135" i="6"/>
  <c r="C132" i="9"/>
  <c r="P132" i="9" s="1"/>
  <c r="C132" i="8"/>
  <c r="P132" i="8" s="1"/>
  <c r="D129" i="5"/>
  <c r="E129" i="5" s="1"/>
  <c r="B132" i="6"/>
  <c r="C128" i="9"/>
  <c r="P128" i="9" s="1"/>
  <c r="C128" i="8"/>
  <c r="P128" i="8" s="1"/>
  <c r="D125" i="5"/>
  <c r="E125" i="5" s="1"/>
  <c r="B128" i="6"/>
  <c r="C124" i="9"/>
  <c r="P124" i="9" s="1"/>
  <c r="C124" i="8"/>
  <c r="P124" i="8" s="1"/>
  <c r="D121" i="5"/>
  <c r="E121" i="5" s="1"/>
  <c r="B124" i="6"/>
  <c r="C120" i="9"/>
  <c r="P120" i="9" s="1"/>
  <c r="C120" i="8"/>
  <c r="P120" i="8" s="1"/>
  <c r="D117" i="5"/>
  <c r="E117" i="5" s="1"/>
  <c r="B120" i="6"/>
  <c r="C115" i="9"/>
  <c r="P115" i="9" s="1"/>
  <c r="C115" i="8"/>
  <c r="P115" i="8" s="1"/>
  <c r="B115" i="6"/>
  <c r="D112" i="5"/>
  <c r="E112" i="5" s="1"/>
  <c r="C109" i="9"/>
  <c r="P109" i="9" s="1"/>
  <c r="C109" i="8"/>
  <c r="P109" i="8" s="1"/>
  <c r="B109" i="6"/>
  <c r="D106" i="5"/>
  <c r="E106" i="5" s="1"/>
  <c r="C105" i="9"/>
  <c r="P105" i="9" s="1"/>
  <c r="C105" i="8"/>
  <c r="P105" i="8" s="1"/>
  <c r="B105" i="6"/>
  <c r="D102" i="5"/>
  <c r="E102" i="5" s="1"/>
  <c r="C101" i="9"/>
  <c r="P101" i="9" s="1"/>
  <c r="C101" i="8"/>
  <c r="P101" i="8" s="1"/>
  <c r="B101" i="6"/>
  <c r="D98" i="5"/>
  <c r="E98" i="5" s="1"/>
  <c r="C97" i="9"/>
  <c r="P97" i="9" s="1"/>
  <c r="C97" i="8"/>
  <c r="P97" i="8" s="1"/>
  <c r="B97" i="6"/>
  <c r="D94" i="5"/>
  <c r="E94" i="5" s="1"/>
  <c r="C93" i="9"/>
  <c r="P93" i="9" s="1"/>
  <c r="C93" i="8"/>
  <c r="P93" i="8" s="1"/>
  <c r="B93" i="6"/>
  <c r="D90" i="5"/>
  <c r="E90" i="5" s="1"/>
  <c r="C87" i="9"/>
  <c r="P87" i="9" s="1"/>
  <c r="C87" i="8"/>
  <c r="P87" i="8" s="1"/>
  <c r="B87" i="6"/>
  <c r="D84" i="5"/>
  <c r="E84" i="5" s="1"/>
  <c r="C81" i="9"/>
  <c r="P81" i="9" s="1"/>
  <c r="C81" i="8"/>
  <c r="P81" i="8" s="1"/>
  <c r="B81" i="6"/>
  <c r="D78" i="5"/>
  <c r="E78" i="5" s="1"/>
  <c r="C77" i="9"/>
  <c r="P77" i="9" s="1"/>
  <c r="C77" i="8"/>
  <c r="P77" i="8" s="1"/>
  <c r="B77" i="6"/>
  <c r="D74" i="5"/>
  <c r="E74" i="5" s="1"/>
  <c r="C72" i="9"/>
  <c r="P72" i="9" s="1"/>
  <c r="C72" i="8"/>
  <c r="P72" i="8" s="1"/>
  <c r="D69" i="5"/>
  <c r="E69" i="5" s="1"/>
  <c r="B72" i="6"/>
  <c r="C67" i="9"/>
  <c r="P67" i="9" s="1"/>
  <c r="C67" i="8"/>
  <c r="P67" i="8" s="1"/>
  <c r="B67" i="6"/>
  <c r="D64" i="5"/>
  <c r="E64" i="5" s="1"/>
  <c r="C63" i="9"/>
  <c r="P63" i="9" s="1"/>
  <c r="C63" i="8"/>
  <c r="P63" i="8" s="1"/>
  <c r="B63" i="6"/>
  <c r="D60" i="5"/>
  <c r="E60" i="5" s="1"/>
  <c r="C59" i="9"/>
  <c r="P59" i="9" s="1"/>
  <c r="C59" i="8"/>
  <c r="P59" i="8" s="1"/>
  <c r="B59" i="6"/>
  <c r="D56" i="5"/>
  <c r="E56" i="5" s="1"/>
  <c r="C55" i="9"/>
  <c r="P55" i="9" s="1"/>
  <c r="C55" i="8"/>
  <c r="P55" i="8" s="1"/>
  <c r="B55" i="6"/>
  <c r="D52" i="5"/>
  <c r="E52" i="5" s="1"/>
  <c r="C51" i="9"/>
  <c r="P51" i="9" s="1"/>
  <c r="C51" i="8"/>
  <c r="P51" i="8" s="1"/>
  <c r="B51" i="6"/>
  <c r="D48" i="5"/>
  <c r="E48" i="5" s="1"/>
  <c r="C47" i="9"/>
  <c r="P47" i="9" s="1"/>
  <c r="C47" i="8"/>
  <c r="P47" i="8" s="1"/>
  <c r="B47" i="6"/>
  <c r="D44" i="5"/>
  <c r="E44" i="5" s="1"/>
  <c r="C43" i="9"/>
  <c r="P43" i="9" s="1"/>
  <c r="C43" i="8"/>
  <c r="P43" i="8" s="1"/>
  <c r="B43" i="6"/>
  <c r="D40" i="5"/>
  <c r="E40" i="5" s="1"/>
  <c r="C39" i="9"/>
  <c r="P39" i="9" s="1"/>
  <c r="C39" i="8"/>
  <c r="P39" i="8" s="1"/>
  <c r="B39" i="6"/>
  <c r="D36" i="5"/>
  <c r="E36" i="5" s="1"/>
  <c r="C35" i="9"/>
  <c r="P35" i="9" s="1"/>
  <c r="C35" i="8"/>
  <c r="P35" i="8" s="1"/>
  <c r="B35" i="6"/>
  <c r="D32" i="5"/>
  <c r="E32" i="5" s="1"/>
  <c r="C31" i="9"/>
  <c r="P31" i="9" s="1"/>
  <c r="C31" i="8"/>
  <c r="P31" i="8" s="1"/>
  <c r="B31" i="6"/>
  <c r="D28" i="5"/>
  <c r="E28" i="5" s="1"/>
  <c r="C26" i="9"/>
  <c r="P26" i="9" s="1"/>
  <c r="C26" i="8"/>
  <c r="P26" i="8" s="1"/>
  <c r="D23" i="5"/>
  <c r="E23" i="5" s="1"/>
  <c r="B26" i="6"/>
  <c r="C22" i="9"/>
  <c r="P22" i="9" s="1"/>
  <c r="C22" i="8"/>
  <c r="P22" i="8" s="1"/>
  <c r="D19" i="5"/>
  <c r="E19" i="5" s="1"/>
  <c r="B22" i="6"/>
  <c r="C18" i="9"/>
  <c r="P18" i="9" s="1"/>
  <c r="C18" i="8"/>
  <c r="P18" i="8" s="1"/>
  <c r="D15" i="5"/>
  <c r="E15" i="5" s="1"/>
  <c r="B18" i="6"/>
  <c r="B391" i="9"/>
  <c r="B391" i="8"/>
  <c r="C388" i="5"/>
  <c r="C391" i="6"/>
  <c r="B390" i="9"/>
  <c r="B390" i="8"/>
  <c r="C387" i="5"/>
  <c r="C390" i="6"/>
  <c r="B381" i="9"/>
  <c r="B381" i="8"/>
  <c r="C378" i="5"/>
  <c r="C381" i="6"/>
  <c r="B369" i="9"/>
  <c r="B369" i="8"/>
  <c r="C366" i="5"/>
  <c r="C369" i="6"/>
  <c r="B357" i="9"/>
  <c r="B357" i="8"/>
  <c r="C354" i="5"/>
  <c r="C357" i="6"/>
  <c r="B351" i="9"/>
  <c r="B351" i="8"/>
  <c r="C351" i="6"/>
  <c r="C348" i="5"/>
  <c r="B347" i="9"/>
  <c r="B347" i="8"/>
  <c r="C347" i="6"/>
  <c r="C344" i="5"/>
  <c r="B343" i="9"/>
  <c r="B343" i="8"/>
  <c r="C343" i="6"/>
  <c r="C340" i="5"/>
  <c r="B339" i="9"/>
  <c r="B339" i="8"/>
  <c r="C339" i="6"/>
  <c r="C336" i="5"/>
  <c r="B335" i="9"/>
  <c r="B335" i="8"/>
  <c r="C335" i="6"/>
  <c r="C332" i="5"/>
  <c r="B328" i="9"/>
  <c r="B328" i="8"/>
  <c r="C328" i="6"/>
  <c r="C325" i="5"/>
  <c r="B324" i="9"/>
  <c r="B324" i="8"/>
  <c r="C324" i="6"/>
  <c r="C321" i="5"/>
  <c r="B320" i="9"/>
  <c r="B320" i="8"/>
  <c r="C320" i="6"/>
  <c r="C317" i="5"/>
  <c r="B316" i="9"/>
  <c r="B316" i="8"/>
  <c r="C316" i="6"/>
  <c r="C313" i="5"/>
  <c r="B312" i="9"/>
  <c r="B312" i="8"/>
  <c r="C312" i="6"/>
  <c r="C309" i="5"/>
  <c r="B308" i="9"/>
  <c r="B308" i="8"/>
  <c r="C308" i="6"/>
  <c r="C305" i="5"/>
  <c r="B304" i="9"/>
  <c r="B304" i="8"/>
  <c r="C304" i="6"/>
  <c r="C301" i="5"/>
  <c r="B300" i="9"/>
  <c r="B300" i="8"/>
  <c r="C300" i="6"/>
  <c r="C297" i="5"/>
  <c r="B296" i="9"/>
  <c r="B296" i="8"/>
  <c r="C296" i="6"/>
  <c r="C293" i="5"/>
  <c r="B292" i="9"/>
  <c r="B292" i="8"/>
  <c r="C292" i="6"/>
  <c r="C289" i="5"/>
  <c r="B286" i="9"/>
  <c r="B286" i="8"/>
  <c r="C286" i="6"/>
  <c r="C283" i="5"/>
  <c r="B282" i="9"/>
  <c r="B282" i="8"/>
  <c r="C282" i="6"/>
  <c r="C279" i="5"/>
  <c r="B278" i="9"/>
  <c r="B278" i="8"/>
  <c r="C278" i="6"/>
  <c r="C275" i="5"/>
  <c r="B275" i="9"/>
  <c r="B275" i="8"/>
  <c r="C275" i="6"/>
  <c r="C272" i="5"/>
  <c r="B272" i="9"/>
  <c r="B272" i="8"/>
  <c r="C272" i="6"/>
  <c r="C269" i="5"/>
  <c r="B268" i="9"/>
  <c r="B268" i="8"/>
  <c r="C268" i="6"/>
  <c r="C265" i="5"/>
  <c r="B264" i="9"/>
  <c r="B264" i="8"/>
  <c r="C264" i="6"/>
  <c r="C261" i="5"/>
  <c r="B260" i="9"/>
  <c r="B260" i="8"/>
  <c r="C260" i="6"/>
  <c r="C257" i="5"/>
  <c r="B256" i="9"/>
  <c r="B256" i="8"/>
  <c r="C256" i="6"/>
  <c r="C253" i="5"/>
  <c r="B252" i="9"/>
  <c r="B252" i="8"/>
  <c r="C252" i="6"/>
  <c r="C249" i="5"/>
  <c r="B248" i="9"/>
  <c r="B248" i="8"/>
  <c r="C248" i="6"/>
  <c r="C245" i="5"/>
  <c r="B244" i="9"/>
  <c r="B244" i="8"/>
  <c r="C244" i="6"/>
  <c r="C241" i="5"/>
  <c r="B240" i="9"/>
  <c r="B240" i="8"/>
  <c r="C240" i="6"/>
  <c r="C237" i="5"/>
  <c r="B236" i="9"/>
  <c r="B236" i="8"/>
  <c r="C236" i="6"/>
  <c r="C233" i="5"/>
  <c r="B231" i="9"/>
  <c r="B231" i="8"/>
  <c r="C231" i="6"/>
  <c r="C228" i="5"/>
  <c r="B227" i="9"/>
  <c r="B227" i="8"/>
  <c r="C227" i="6"/>
  <c r="C224" i="5"/>
  <c r="B223" i="9"/>
  <c r="B223" i="8"/>
  <c r="C223" i="6"/>
  <c r="C220" i="5"/>
  <c r="B219" i="9"/>
  <c r="B219" i="8"/>
  <c r="C219" i="6"/>
  <c r="C216" i="5"/>
  <c r="B215" i="9"/>
  <c r="B215" i="8"/>
  <c r="C215" i="6"/>
  <c r="C212" i="5"/>
  <c r="B211" i="9"/>
  <c r="B211" i="8"/>
  <c r="C211" i="6"/>
  <c r="C208" i="5"/>
  <c r="B207" i="9"/>
  <c r="B207" i="8"/>
  <c r="C207" i="6"/>
  <c r="C204" i="5"/>
  <c r="B203" i="9"/>
  <c r="B203" i="8"/>
  <c r="C203" i="6"/>
  <c r="C200" i="5"/>
  <c r="B199" i="9"/>
  <c r="B199" i="8"/>
  <c r="C199" i="6"/>
  <c r="C196" i="5"/>
  <c r="B195" i="9"/>
  <c r="B195" i="8"/>
  <c r="C195" i="6"/>
  <c r="C192" i="5"/>
  <c r="B191" i="9"/>
  <c r="B191" i="8"/>
  <c r="C191" i="6"/>
  <c r="C188" i="5"/>
  <c r="B187" i="9"/>
  <c r="B187" i="8"/>
  <c r="C187" i="6"/>
  <c r="C184" i="5"/>
  <c r="B183" i="9"/>
  <c r="B183" i="8"/>
  <c r="C183" i="6"/>
  <c r="C180" i="5"/>
  <c r="B177" i="9"/>
  <c r="B177" i="8"/>
  <c r="C177" i="6"/>
  <c r="C174" i="5"/>
  <c r="B173" i="9"/>
  <c r="B173" i="8"/>
  <c r="C173" i="6"/>
  <c r="C170" i="5"/>
  <c r="B169" i="9"/>
  <c r="B169" i="8"/>
  <c r="C169" i="6"/>
  <c r="C166" i="5"/>
  <c r="B165" i="9"/>
  <c r="B165" i="8"/>
  <c r="C165" i="6"/>
  <c r="C162" i="5"/>
  <c r="B161" i="9"/>
  <c r="B161" i="8"/>
  <c r="C161" i="6"/>
  <c r="C158" i="5"/>
  <c r="B157" i="9"/>
  <c r="B157" i="8"/>
  <c r="C157" i="6"/>
  <c r="C154" i="5"/>
  <c r="B153" i="9"/>
  <c r="B153" i="8"/>
  <c r="C153" i="6"/>
  <c r="C150" i="5"/>
  <c r="B149" i="9"/>
  <c r="B149" i="8"/>
  <c r="C149" i="6"/>
  <c r="C146" i="5"/>
  <c r="B145" i="9"/>
  <c r="B145" i="8"/>
  <c r="C145" i="6"/>
  <c r="C142" i="5"/>
  <c r="B141" i="9"/>
  <c r="B141" i="8"/>
  <c r="C141" i="6"/>
  <c r="C138" i="5"/>
  <c r="B137" i="9"/>
  <c r="B137" i="8"/>
  <c r="C137" i="6"/>
  <c r="C134" i="5"/>
  <c r="B133" i="9"/>
  <c r="B133" i="8"/>
  <c r="C133" i="6"/>
  <c r="C130" i="5"/>
  <c r="B130" i="9"/>
  <c r="B130" i="8"/>
  <c r="C130" i="6"/>
  <c r="C127" i="5"/>
  <c r="B126" i="9"/>
  <c r="B126" i="8"/>
  <c r="C126" i="6"/>
  <c r="C123" i="5"/>
  <c r="B122" i="9"/>
  <c r="B122" i="8"/>
  <c r="C122" i="6"/>
  <c r="C119" i="5"/>
  <c r="B118" i="9"/>
  <c r="B118" i="8"/>
  <c r="C118" i="6"/>
  <c r="C115" i="5"/>
  <c r="B114" i="9"/>
  <c r="B114" i="8"/>
  <c r="C114" i="6"/>
  <c r="C111" i="5"/>
  <c r="B110" i="9"/>
  <c r="B110" i="8"/>
  <c r="C110" i="6"/>
  <c r="C107" i="5"/>
  <c r="B106" i="9"/>
  <c r="B106" i="8"/>
  <c r="C106" i="6"/>
  <c r="C103" i="5"/>
  <c r="B102" i="9"/>
  <c r="B102" i="8"/>
  <c r="C102" i="6"/>
  <c r="C99" i="5"/>
  <c r="B98" i="9"/>
  <c r="B98" i="8"/>
  <c r="C98" i="6"/>
  <c r="C95" i="5"/>
  <c r="B94" i="9"/>
  <c r="B94" i="8"/>
  <c r="C94" i="6"/>
  <c r="C91" i="5"/>
  <c r="B90" i="9"/>
  <c r="B90" i="8"/>
  <c r="C90" i="6"/>
  <c r="C87" i="5"/>
  <c r="B86" i="9"/>
  <c r="B86" i="8"/>
  <c r="C86" i="6"/>
  <c r="C83" i="5"/>
  <c r="B82" i="9"/>
  <c r="B82" i="8"/>
  <c r="C82" i="6"/>
  <c r="C79" i="5"/>
  <c r="B78" i="9"/>
  <c r="B78" i="8"/>
  <c r="C78" i="6"/>
  <c r="C75" i="5"/>
  <c r="B74" i="9"/>
  <c r="B74" i="8"/>
  <c r="C74" i="6"/>
  <c r="C71" i="5"/>
  <c r="B70" i="9"/>
  <c r="B70" i="8"/>
  <c r="C70" i="6"/>
  <c r="C67" i="5"/>
  <c r="B66" i="9"/>
  <c r="B66" i="8"/>
  <c r="C66" i="6"/>
  <c r="C63" i="5"/>
  <c r="B62" i="9"/>
  <c r="B62" i="8"/>
  <c r="C62" i="6"/>
  <c r="C59" i="5"/>
  <c r="B58" i="9"/>
  <c r="B58" i="8"/>
  <c r="C58" i="6"/>
  <c r="C55" i="5"/>
  <c r="B54" i="9"/>
  <c r="B54" i="8"/>
  <c r="C54" i="6"/>
  <c r="C51" i="5"/>
  <c r="B50" i="9"/>
  <c r="B50" i="8"/>
  <c r="C50" i="6"/>
  <c r="C47" i="5"/>
  <c r="B46" i="9"/>
  <c r="B46" i="8"/>
  <c r="C46" i="6"/>
  <c r="C43" i="5"/>
  <c r="B42" i="9"/>
  <c r="B42" i="8"/>
  <c r="C42" i="6"/>
  <c r="C39" i="5"/>
  <c r="B38" i="9"/>
  <c r="B38" i="8"/>
  <c r="C38" i="6"/>
  <c r="C35" i="5"/>
  <c r="B34" i="9"/>
  <c r="B34" i="8"/>
  <c r="C34" i="6"/>
  <c r="C31" i="5"/>
  <c r="B30" i="9"/>
  <c r="B30" i="8"/>
  <c r="C30" i="6"/>
  <c r="C27" i="5"/>
  <c r="B26" i="9"/>
  <c r="B26" i="8"/>
  <c r="C26" i="6"/>
  <c r="C23" i="5"/>
  <c r="B22" i="9"/>
  <c r="B22" i="8"/>
  <c r="C22" i="6"/>
  <c r="C19" i="5"/>
  <c r="B18" i="9"/>
  <c r="B18" i="8"/>
  <c r="C18" i="6"/>
  <c r="C15" i="5"/>
  <c r="B14" i="9"/>
  <c r="B14" i="8"/>
  <c r="C14" i="6"/>
  <c r="C11" i="5"/>
  <c r="C393" i="9"/>
  <c r="P393" i="9" s="1"/>
  <c r="C393" i="8"/>
  <c r="P393" i="8" s="1"/>
  <c r="B393" i="6"/>
  <c r="D390" i="5"/>
  <c r="E390" i="5" s="1"/>
  <c r="C387" i="9"/>
  <c r="P387" i="9" s="1"/>
  <c r="C387" i="8"/>
  <c r="P387" i="8" s="1"/>
  <c r="B387" i="6"/>
  <c r="D384" i="5"/>
  <c r="E384" i="5" s="1"/>
  <c r="C383" i="9"/>
  <c r="P383" i="9" s="1"/>
  <c r="C383" i="8"/>
  <c r="P383" i="8" s="1"/>
  <c r="B383" i="6"/>
  <c r="D380" i="5"/>
  <c r="E380" i="5" s="1"/>
  <c r="C379" i="9"/>
  <c r="P379" i="9" s="1"/>
  <c r="C379" i="8"/>
  <c r="P379" i="8" s="1"/>
  <c r="B379" i="6"/>
  <c r="D376" i="5"/>
  <c r="E376" i="5" s="1"/>
  <c r="C375" i="9"/>
  <c r="P375" i="9" s="1"/>
  <c r="C375" i="8"/>
  <c r="P375" i="8" s="1"/>
  <c r="B375" i="6"/>
  <c r="D372" i="5"/>
  <c r="E372" i="5" s="1"/>
  <c r="C371" i="9"/>
  <c r="P371" i="9" s="1"/>
  <c r="C371" i="8"/>
  <c r="P371" i="8" s="1"/>
  <c r="B371" i="6"/>
  <c r="D368" i="5"/>
  <c r="E368" i="5" s="1"/>
  <c r="C367" i="9"/>
  <c r="P367" i="9" s="1"/>
  <c r="C367" i="8"/>
  <c r="P367" i="8" s="1"/>
  <c r="B367" i="6"/>
  <c r="D364" i="5"/>
  <c r="E364" i="5" s="1"/>
  <c r="C363" i="9"/>
  <c r="P363" i="9" s="1"/>
  <c r="C363" i="8"/>
  <c r="P363" i="8" s="1"/>
  <c r="B363" i="6"/>
  <c r="D360" i="5"/>
  <c r="E360" i="5" s="1"/>
  <c r="C359" i="9"/>
  <c r="P359" i="9" s="1"/>
  <c r="C359" i="8"/>
  <c r="P359" i="8" s="1"/>
  <c r="B359" i="6"/>
  <c r="D356" i="5"/>
  <c r="E356" i="5" s="1"/>
  <c r="C355" i="9"/>
  <c r="P355" i="9" s="1"/>
  <c r="C355" i="8"/>
  <c r="P355" i="8" s="1"/>
  <c r="B355" i="6"/>
  <c r="D352" i="5"/>
  <c r="E352" i="5" s="1"/>
  <c r="C351" i="9"/>
  <c r="P351" i="9" s="1"/>
  <c r="C351" i="8"/>
  <c r="P351" i="8" s="1"/>
  <c r="B351" i="6"/>
  <c r="D348" i="5"/>
  <c r="E348" i="5" s="1"/>
  <c r="C347" i="9"/>
  <c r="P347" i="9" s="1"/>
  <c r="C347" i="8"/>
  <c r="P347" i="8" s="1"/>
  <c r="B347" i="6"/>
  <c r="D344" i="5"/>
  <c r="E344" i="5" s="1"/>
  <c r="C343" i="9"/>
  <c r="P343" i="9" s="1"/>
  <c r="C343" i="8"/>
  <c r="P343" i="8" s="1"/>
  <c r="B343" i="6"/>
  <c r="D340" i="5"/>
  <c r="E340" i="5" s="1"/>
  <c r="C339" i="9"/>
  <c r="P339" i="9" s="1"/>
  <c r="C339" i="8"/>
  <c r="P339" i="8" s="1"/>
  <c r="B339" i="6"/>
  <c r="D336" i="5"/>
  <c r="E336" i="5" s="1"/>
  <c r="C335" i="9"/>
  <c r="P335" i="9" s="1"/>
  <c r="C335" i="8"/>
  <c r="P335" i="8" s="1"/>
  <c r="B335" i="6"/>
  <c r="D332" i="5"/>
  <c r="E332" i="5" s="1"/>
  <c r="C328" i="9"/>
  <c r="P328" i="9" s="1"/>
  <c r="C328" i="8"/>
  <c r="P328" i="8" s="1"/>
  <c r="B328" i="6"/>
  <c r="D325" i="5"/>
  <c r="E325" i="5" s="1"/>
  <c r="C324" i="9"/>
  <c r="P324" i="9" s="1"/>
  <c r="C324" i="8"/>
  <c r="P324" i="8" s="1"/>
  <c r="B324" i="6"/>
  <c r="D321" i="5"/>
  <c r="E321" i="5" s="1"/>
  <c r="C320" i="9"/>
  <c r="P320" i="9" s="1"/>
  <c r="C320" i="8"/>
  <c r="P320" i="8" s="1"/>
  <c r="B320" i="6"/>
  <c r="D317" i="5"/>
  <c r="E317" i="5" s="1"/>
  <c r="C316" i="9"/>
  <c r="P316" i="9" s="1"/>
  <c r="C316" i="8"/>
  <c r="P316" i="8" s="1"/>
  <c r="B316" i="6"/>
  <c r="D313" i="5"/>
  <c r="E313" i="5" s="1"/>
  <c r="C312" i="9"/>
  <c r="P312" i="9" s="1"/>
  <c r="C312" i="8"/>
  <c r="P312" i="8" s="1"/>
  <c r="B312" i="6"/>
  <c r="D309" i="5"/>
  <c r="E309" i="5" s="1"/>
  <c r="C308" i="9"/>
  <c r="P308" i="9" s="1"/>
  <c r="C308" i="8"/>
  <c r="P308" i="8" s="1"/>
  <c r="B308" i="6"/>
  <c r="D305" i="5"/>
  <c r="E305" i="5" s="1"/>
  <c r="C303" i="9"/>
  <c r="P303" i="9" s="1"/>
  <c r="C303" i="8"/>
  <c r="P303" i="8" s="1"/>
  <c r="D300" i="5"/>
  <c r="E300" i="5" s="1"/>
  <c r="B303" i="6"/>
  <c r="C299" i="9"/>
  <c r="P299" i="9" s="1"/>
  <c r="C299" i="8"/>
  <c r="P299" i="8" s="1"/>
  <c r="D296" i="5"/>
  <c r="E296" i="5" s="1"/>
  <c r="B299" i="6"/>
  <c r="C295" i="9"/>
  <c r="P295" i="9" s="1"/>
  <c r="C295" i="8"/>
  <c r="P295" i="8" s="1"/>
  <c r="D292" i="5"/>
  <c r="E292" i="5" s="1"/>
  <c r="B295" i="6"/>
  <c r="C291" i="9"/>
  <c r="P291" i="9" s="1"/>
  <c r="C291" i="8"/>
  <c r="P291" i="8" s="1"/>
  <c r="D288" i="5"/>
  <c r="E288" i="5" s="1"/>
  <c r="B291" i="6"/>
  <c r="C285" i="9"/>
  <c r="P285" i="9" s="1"/>
  <c r="C285" i="8"/>
  <c r="P285" i="8" s="1"/>
  <c r="D282" i="5"/>
  <c r="E282" i="5" s="1"/>
  <c r="B285" i="6"/>
  <c r="C281" i="9"/>
  <c r="P281" i="9" s="1"/>
  <c r="C281" i="8"/>
  <c r="P281" i="8" s="1"/>
  <c r="D278" i="5"/>
  <c r="E278" i="5" s="1"/>
  <c r="B281" i="6"/>
  <c r="C277" i="9"/>
  <c r="P277" i="9" s="1"/>
  <c r="C277" i="8"/>
  <c r="P277" i="8" s="1"/>
  <c r="D274" i="5"/>
  <c r="E274" i="5" s="1"/>
  <c r="B277" i="6"/>
  <c r="C271" i="9"/>
  <c r="P271" i="9" s="1"/>
  <c r="C271" i="8"/>
  <c r="P271" i="8" s="1"/>
  <c r="D268" i="5"/>
  <c r="E268" i="5" s="1"/>
  <c r="B271" i="6"/>
  <c r="C267" i="9"/>
  <c r="P267" i="9" s="1"/>
  <c r="C267" i="8"/>
  <c r="P267" i="8" s="1"/>
  <c r="D264" i="5"/>
  <c r="E264" i="5" s="1"/>
  <c r="B267" i="6"/>
  <c r="C263" i="9"/>
  <c r="P263" i="9" s="1"/>
  <c r="C263" i="8"/>
  <c r="P263" i="8" s="1"/>
  <c r="D260" i="5"/>
  <c r="E260" i="5" s="1"/>
  <c r="B263" i="6"/>
  <c r="C259" i="9"/>
  <c r="P259" i="9" s="1"/>
  <c r="C259" i="8"/>
  <c r="P259" i="8" s="1"/>
  <c r="D256" i="5"/>
  <c r="E256" i="5" s="1"/>
  <c r="B259" i="6"/>
  <c r="C255" i="9"/>
  <c r="P255" i="9" s="1"/>
  <c r="D252" i="5"/>
  <c r="E252" i="5" s="1"/>
  <c r="B255" i="6"/>
  <c r="C255" i="8"/>
  <c r="P255" i="8" s="1"/>
  <c r="C251" i="9"/>
  <c r="P251" i="9" s="1"/>
  <c r="C251" i="8"/>
  <c r="P251" i="8" s="1"/>
  <c r="D248" i="5"/>
  <c r="E248" i="5" s="1"/>
  <c r="B251" i="6"/>
  <c r="C247" i="9"/>
  <c r="P247" i="9" s="1"/>
  <c r="C247" i="8"/>
  <c r="P247" i="8" s="1"/>
  <c r="D244" i="5"/>
  <c r="E244" i="5" s="1"/>
  <c r="B247" i="6"/>
  <c r="C243" i="9"/>
  <c r="P243" i="9" s="1"/>
  <c r="C243" i="8"/>
  <c r="P243" i="8" s="1"/>
  <c r="D240" i="5"/>
  <c r="E240" i="5" s="1"/>
  <c r="B243" i="6"/>
  <c r="C239" i="9"/>
  <c r="P239" i="9" s="1"/>
  <c r="C239" i="8"/>
  <c r="P239" i="8" s="1"/>
  <c r="D236" i="5"/>
  <c r="E236" i="5" s="1"/>
  <c r="B239" i="6"/>
  <c r="C235" i="9"/>
  <c r="P235" i="9" s="1"/>
  <c r="C235" i="8"/>
  <c r="P235" i="8" s="1"/>
  <c r="D232" i="5"/>
  <c r="E232" i="5" s="1"/>
  <c r="B235" i="6"/>
  <c r="C231" i="9"/>
  <c r="P231" i="9" s="1"/>
  <c r="C231" i="8"/>
  <c r="P231" i="8" s="1"/>
  <c r="D228" i="5"/>
  <c r="E228" i="5" s="1"/>
  <c r="B231" i="6"/>
  <c r="C227" i="9"/>
  <c r="P227" i="9" s="1"/>
  <c r="C227" i="8"/>
  <c r="P227" i="8" s="1"/>
  <c r="D224" i="5"/>
  <c r="E224" i="5" s="1"/>
  <c r="B227" i="6"/>
  <c r="C223" i="9"/>
  <c r="P223" i="9" s="1"/>
  <c r="C223" i="8"/>
  <c r="P223" i="8" s="1"/>
  <c r="D220" i="5"/>
  <c r="E220" i="5" s="1"/>
  <c r="B223" i="6"/>
  <c r="C219" i="9"/>
  <c r="P219" i="9" s="1"/>
  <c r="C219" i="8"/>
  <c r="P219" i="8" s="1"/>
  <c r="D216" i="5"/>
  <c r="E216" i="5" s="1"/>
  <c r="B219" i="6"/>
  <c r="C215" i="9"/>
  <c r="P215" i="9" s="1"/>
  <c r="C215" i="8"/>
  <c r="P215" i="8" s="1"/>
  <c r="D212" i="5"/>
  <c r="E212" i="5" s="1"/>
  <c r="B215" i="6"/>
  <c r="C211" i="9"/>
  <c r="P211" i="9" s="1"/>
  <c r="C211" i="8"/>
  <c r="P211" i="8" s="1"/>
  <c r="D208" i="5"/>
  <c r="E208" i="5" s="1"/>
  <c r="B211" i="6"/>
  <c r="C207" i="9"/>
  <c r="P207" i="9" s="1"/>
  <c r="C207" i="8"/>
  <c r="P207" i="8" s="1"/>
  <c r="D204" i="5"/>
  <c r="E204" i="5" s="1"/>
  <c r="B207" i="6"/>
  <c r="C203" i="9"/>
  <c r="P203" i="9" s="1"/>
  <c r="C203" i="8"/>
  <c r="P203" i="8" s="1"/>
  <c r="D200" i="5"/>
  <c r="E200" i="5" s="1"/>
  <c r="B203" i="6"/>
  <c r="C199" i="9"/>
  <c r="P199" i="9" s="1"/>
  <c r="C199" i="8"/>
  <c r="P199" i="8" s="1"/>
  <c r="D196" i="5"/>
  <c r="E196" i="5" s="1"/>
  <c r="B199" i="6"/>
  <c r="C195" i="9"/>
  <c r="P195" i="9" s="1"/>
  <c r="C195" i="8"/>
  <c r="P195" i="8" s="1"/>
  <c r="D192" i="5"/>
  <c r="E192" i="5" s="1"/>
  <c r="B195" i="6"/>
  <c r="C191" i="9"/>
  <c r="P191" i="9" s="1"/>
  <c r="C191" i="8"/>
  <c r="P191" i="8" s="1"/>
  <c r="D188" i="5"/>
  <c r="E188" i="5" s="1"/>
  <c r="B191" i="6"/>
  <c r="C187" i="9"/>
  <c r="P187" i="9" s="1"/>
  <c r="C187" i="8"/>
  <c r="P187" i="8" s="1"/>
  <c r="D184" i="5"/>
  <c r="E184" i="5" s="1"/>
  <c r="B187" i="6"/>
  <c r="C183" i="9"/>
  <c r="P183" i="9" s="1"/>
  <c r="C183" i="8"/>
  <c r="P183" i="8" s="1"/>
  <c r="D180" i="5"/>
  <c r="E180" i="5" s="1"/>
  <c r="B183" i="6"/>
  <c r="C179" i="9"/>
  <c r="P179" i="9" s="1"/>
  <c r="C179" i="8"/>
  <c r="P179" i="8" s="1"/>
  <c r="D176" i="5"/>
  <c r="E176" i="5" s="1"/>
  <c r="B179" i="6"/>
  <c r="C175" i="9"/>
  <c r="P175" i="9" s="1"/>
  <c r="C175" i="8"/>
  <c r="P175" i="8" s="1"/>
  <c r="D172" i="5"/>
  <c r="E172" i="5" s="1"/>
  <c r="B175" i="6"/>
  <c r="C171" i="9"/>
  <c r="P171" i="9" s="1"/>
  <c r="C171" i="8"/>
  <c r="P171" i="8" s="1"/>
  <c r="D168" i="5"/>
  <c r="E168" i="5" s="1"/>
  <c r="B171" i="6"/>
  <c r="C167" i="9"/>
  <c r="P167" i="9" s="1"/>
  <c r="C167" i="8"/>
  <c r="P167" i="8" s="1"/>
  <c r="D164" i="5"/>
  <c r="E164" i="5" s="1"/>
  <c r="B167" i="6"/>
  <c r="C163" i="9"/>
  <c r="P163" i="9" s="1"/>
  <c r="C163" i="8"/>
  <c r="P163" i="8" s="1"/>
  <c r="D160" i="5"/>
  <c r="E160" i="5" s="1"/>
  <c r="B163" i="6"/>
  <c r="C159" i="9"/>
  <c r="P159" i="9" s="1"/>
  <c r="C159" i="8"/>
  <c r="P159" i="8" s="1"/>
  <c r="D156" i="5"/>
  <c r="E156" i="5" s="1"/>
  <c r="B159" i="6"/>
  <c r="C154" i="9"/>
  <c r="P154" i="9" s="1"/>
  <c r="C154" i="8"/>
  <c r="P154" i="8" s="1"/>
  <c r="B154" i="6"/>
  <c r="D151" i="5"/>
  <c r="E151" i="5" s="1"/>
  <c r="C150" i="9"/>
  <c r="P150" i="9" s="1"/>
  <c r="C150" i="8"/>
  <c r="P150" i="8" s="1"/>
  <c r="B150" i="6"/>
  <c r="D147" i="5"/>
  <c r="E147" i="5" s="1"/>
  <c r="C146" i="9"/>
  <c r="P146" i="9" s="1"/>
  <c r="C146" i="8"/>
  <c r="P146" i="8" s="1"/>
  <c r="B146" i="6"/>
  <c r="D143" i="5"/>
  <c r="E143" i="5" s="1"/>
  <c r="C142" i="9"/>
  <c r="P142" i="9" s="1"/>
  <c r="C142" i="8"/>
  <c r="P142" i="8" s="1"/>
  <c r="B142" i="6"/>
  <c r="D139" i="5"/>
  <c r="E139" i="5" s="1"/>
  <c r="C138" i="9"/>
  <c r="P138" i="9" s="1"/>
  <c r="C138" i="8"/>
  <c r="P138" i="8" s="1"/>
  <c r="B138" i="6"/>
  <c r="D135" i="5"/>
  <c r="E135" i="5" s="1"/>
  <c r="C134" i="9"/>
  <c r="P134" i="9" s="1"/>
  <c r="C134" i="8"/>
  <c r="P134" i="8" s="1"/>
  <c r="B134" i="6"/>
  <c r="D131" i="5"/>
  <c r="E131" i="5" s="1"/>
  <c r="C131" i="9"/>
  <c r="P131" i="9" s="1"/>
  <c r="C131" i="8"/>
  <c r="P131" i="8" s="1"/>
  <c r="B131" i="6"/>
  <c r="D128" i="5"/>
  <c r="E128" i="5" s="1"/>
  <c r="C127" i="9"/>
  <c r="P127" i="9" s="1"/>
  <c r="C127" i="8"/>
  <c r="P127" i="8" s="1"/>
  <c r="B127" i="6"/>
  <c r="D124" i="5"/>
  <c r="E124" i="5" s="1"/>
  <c r="C123" i="9"/>
  <c r="P123" i="9" s="1"/>
  <c r="C123" i="8"/>
  <c r="P123" i="8" s="1"/>
  <c r="B123" i="6"/>
  <c r="D120" i="5"/>
  <c r="E120" i="5" s="1"/>
  <c r="C119" i="9"/>
  <c r="P119" i="9" s="1"/>
  <c r="C119" i="8"/>
  <c r="P119" i="8" s="1"/>
  <c r="B119" i="6"/>
  <c r="D116" i="5"/>
  <c r="E116" i="5" s="1"/>
  <c r="C114" i="9"/>
  <c r="P114" i="9" s="1"/>
  <c r="C114" i="8"/>
  <c r="P114" i="8" s="1"/>
  <c r="D111" i="5"/>
  <c r="E111" i="5" s="1"/>
  <c r="B114" i="6"/>
  <c r="C108" i="9"/>
  <c r="P108" i="9" s="1"/>
  <c r="C108" i="8"/>
  <c r="P108" i="8" s="1"/>
  <c r="D105" i="5"/>
  <c r="E105" i="5" s="1"/>
  <c r="B108" i="6"/>
  <c r="C104" i="9"/>
  <c r="P104" i="9" s="1"/>
  <c r="C104" i="8"/>
  <c r="P104" i="8" s="1"/>
  <c r="D101" i="5"/>
  <c r="E101" i="5" s="1"/>
  <c r="B104" i="6"/>
  <c r="C100" i="9"/>
  <c r="P100" i="9" s="1"/>
  <c r="C100" i="8"/>
  <c r="P100" i="8" s="1"/>
  <c r="D97" i="5"/>
  <c r="E97" i="5" s="1"/>
  <c r="B100" i="6"/>
  <c r="C96" i="9"/>
  <c r="P96" i="9" s="1"/>
  <c r="C96" i="8"/>
  <c r="P96" i="8" s="1"/>
  <c r="D93" i="5"/>
  <c r="E93" i="5" s="1"/>
  <c r="B96" i="6"/>
  <c r="C92" i="9"/>
  <c r="P92" i="9" s="1"/>
  <c r="D89" i="5"/>
  <c r="E89" i="5" s="1"/>
  <c r="C85" i="9"/>
  <c r="P85" i="9" s="1"/>
  <c r="C85" i="8"/>
  <c r="P85" i="8" s="1"/>
  <c r="B85" i="6"/>
  <c r="D82" i="5"/>
  <c r="E82" i="5" s="1"/>
  <c r="C80" i="9"/>
  <c r="P80" i="9" s="1"/>
  <c r="C80" i="8"/>
  <c r="P80" i="8" s="1"/>
  <c r="D77" i="5"/>
  <c r="E77" i="5" s="1"/>
  <c r="B80" i="6"/>
  <c r="C76" i="9"/>
  <c r="P76" i="9" s="1"/>
  <c r="C76" i="8"/>
  <c r="P76" i="8" s="1"/>
  <c r="D73" i="5"/>
  <c r="E73" i="5" s="1"/>
  <c r="B76" i="6"/>
  <c r="C71" i="9"/>
  <c r="P71" i="9" s="1"/>
  <c r="C71" i="8"/>
  <c r="P71" i="8" s="1"/>
  <c r="B71" i="6"/>
  <c r="D68" i="5"/>
  <c r="E68" i="5" s="1"/>
  <c r="C66" i="9"/>
  <c r="P66" i="9" s="1"/>
  <c r="C66" i="8"/>
  <c r="P66" i="8" s="1"/>
  <c r="D63" i="5"/>
  <c r="E63" i="5" s="1"/>
  <c r="B66" i="6"/>
  <c r="C62" i="9"/>
  <c r="P62" i="9" s="1"/>
  <c r="C62" i="8"/>
  <c r="P62" i="8" s="1"/>
  <c r="D59" i="5"/>
  <c r="E59" i="5" s="1"/>
  <c r="B62" i="6"/>
  <c r="C58" i="9"/>
  <c r="P58" i="9" s="1"/>
  <c r="C58" i="8"/>
  <c r="P58" i="8" s="1"/>
  <c r="D55" i="5"/>
  <c r="E55" i="5" s="1"/>
  <c r="B58" i="6"/>
  <c r="C54" i="9"/>
  <c r="P54" i="9" s="1"/>
  <c r="C54" i="8"/>
  <c r="P54" i="8" s="1"/>
  <c r="D51" i="5"/>
  <c r="E51" i="5" s="1"/>
  <c r="B54" i="6"/>
  <c r="C50" i="9"/>
  <c r="P50" i="9" s="1"/>
  <c r="C50" i="8"/>
  <c r="P50" i="8" s="1"/>
  <c r="D47" i="5"/>
  <c r="E47" i="5" s="1"/>
  <c r="B50" i="6"/>
  <c r="C46" i="9"/>
  <c r="P46" i="9" s="1"/>
  <c r="C46" i="8"/>
  <c r="P46" i="8" s="1"/>
  <c r="D43" i="5"/>
  <c r="E43" i="5" s="1"/>
  <c r="B46" i="6"/>
  <c r="C42" i="9"/>
  <c r="P42" i="9" s="1"/>
  <c r="C42" i="8"/>
  <c r="P42" i="8" s="1"/>
  <c r="D39" i="5"/>
  <c r="E39" i="5" s="1"/>
  <c r="B42" i="6"/>
  <c r="C38" i="9"/>
  <c r="P38" i="9" s="1"/>
  <c r="C38" i="8"/>
  <c r="P38" i="8" s="1"/>
  <c r="D35" i="5"/>
  <c r="E35" i="5" s="1"/>
  <c r="B38" i="6"/>
  <c r="C34" i="9"/>
  <c r="P34" i="9" s="1"/>
  <c r="C34" i="8"/>
  <c r="P34" i="8" s="1"/>
  <c r="D31" i="5"/>
  <c r="E31" i="5" s="1"/>
  <c r="B34" i="6"/>
  <c r="C30" i="9"/>
  <c r="P30" i="9" s="1"/>
  <c r="C30" i="8"/>
  <c r="P30" i="8" s="1"/>
  <c r="D27" i="5"/>
  <c r="E27" i="5" s="1"/>
  <c r="B30" i="6"/>
  <c r="C25" i="9"/>
  <c r="C25" i="8"/>
  <c r="P25" i="8" s="1"/>
  <c r="B25" i="6"/>
  <c r="D22" i="5"/>
  <c r="E22" i="5" s="1"/>
  <c r="C21" i="9"/>
  <c r="P21" i="9" s="1"/>
  <c r="C21" i="8"/>
  <c r="P21" i="8" s="1"/>
  <c r="B21" i="6"/>
  <c r="D18" i="5"/>
  <c r="E18" i="5" s="1"/>
  <c r="C15" i="9"/>
  <c r="P15" i="9" s="1"/>
  <c r="C15" i="8"/>
  <c r="P15" i="8" s="1"/>
  <c r="B15" i="6"/>
  <c r="D12" i="5"/>
  <c r="E12" i="5" s="1"/>
  <c r="B385" i="9"/>
  <c r="B385" i="8"/>
  <c r="C382" i="5"/>
  <c r="C385" i="6"/>
  <c r="B373" i="9"/>
  <c r="B373" i="8"/>
  <c r="C370" i="5"/>
  <c r="C373" i="6"/>
  <c r="B361" i="9"/>
  <c r="B361" i="8"/>
  <c r="C358" i="5"/>
  <c r="C361" i="6"/>
  <c r="B389" i="9"/>
  <c r="B389" i="8"/>
  <c r="C389" i="6"/>
  <c r="C386" i="5"/>
  <c r="B388" i="9"/>
  <c r="B388" i="8"/>
  <c r="C388" i="6"/>
  <c r="C385" i="5"/>
  <c r="B384" i="9"/>
  <c r="B384" i="8"/>
  <c r="C384" i="6"/>
  <c r="C381" i="5"/>
  <c r="B380" i="9"/>
  <c r="B380" i="8"/>
  <c r="C380" i="6"/>
  <c r="C377" i="5"/>
  <c r="B376" i="9"/>
  <c r="B376" i="8"/>
  <c r="C376" i="6"/>
  <c r="C373" i="5"/>
  <c r="B372" i="9"/>
  <c r="B372" i="8"/>
  <c r="C372" i="6"/>
  <c r="C369" i="5"/>
  <c r="B368" i="9"/>
  <c r="B368" i="8"/>
  <c r="C368" i="6"/>
  <c r="C365" i="5"/>
  <c r="B364" i="9"/>
  <c r="B364" i="8"/>
  <c r="C364" i="6"/>
  <c r="C361" i="5"/>
  <c r="B360" i="9"/>
  <c r="B360" i="8"/>
  <c r="C360" i="6"/>
  <c r="C357" i="5"/>
  <c r="B356" i="9"/>
  <c r="B356" i="8"/>
  <c r="C356" i="6"/>
  <c r="C353" i="5"/>
  <c r="B350" i="9"/>
  <c r="B350" i="8"/>
  <c r="C350" i="6"/>
  <c r="C347" i="5"/>
  <c r="B346" i="9"/>
  <c r="B346" i="8"/>
  <c r="C346" i="6"/>
  <c r="C343" i="5"/>
  <c r="B342" i="9"/>
  <c r="B342" i="8"/>
  <c r="C342" i="6"/>
  <c r="C339" i="5"/>
  <c r="B338" i="9"/>
  <c r="B338" i="8"/>
  <c r="C338" i="6"/>
  <c r="C335" i="5"/>
  <c r="B334" i="9"/>
  <c r="B334" i="8"/>
  <c r="C334" i="6"/>
  <c r="C331" i="5"/>
  <c r="B331" i="9"/>
  <c r="B331" i="8"/>
  <c r="C331" i="6"/>
  <c r="C328" i="5"/>
  <c r="B327" i="9"/>
  <c r="B327" i="8"/>
  <c r="C327" i="6"/>
  <c r="C324" i="5"/>
  <c r="B323" i="9"/>
  <c r="B323" i="8"/>
  <c r="C323" i="6"/>
  <c r="C320" i="5"/>
  <c r="B319" i="9"/>
  <c r="B319" i="8"/>
  <c r="C319" i="6"/>
  <c r="C316" i="5"/>
  <c r="B315" i="9"/>
  <c r="B315" i="8"/>
  <c r="C315" i="6"/>
  <c r="C312" i="5"/>
  <c r="B311" i="9"/>
  <c r="B311" i="8"/>
  <c r="C311" i="6"/>
  <c r="C308" i="5"/>
  <c r="B307" i="9"/>
  <c r="B307" i="8"/>
  <c r="C307" i="6"/>
  <c r="C304" i="5"/>
  <c r="B303" i="9"/>
  <c r="B303" i="8"/>
  <c r="C303" i="6"/>
  <c r="C300" i="5"/>
  <c r="B299" i="9"/>
  <c r="B299" i="8"/>
  <c r="C299" i="6"/>
  <c r="C296" i="5"/>
  <c r="B295" i="9"/>
  <c r="B295" i="8"/>
  <c r="C295" i="6"/>
  <c r="C292" i="5"/>
  <c r="B291" i="9"/>
  <c r="B291" i="8"/>
  <c r="C291" i="6"/>
  <c r="C288" i="5"/>
  <c r="B285" i="9"/>
  <c r="B285" i="8"/>
  <c r="C285" i="6"/>
  <c r="C282" i="5"/>
  <c r="B281" i="9"/>
  <c r="B281" i="8"/>
  <c r="C281" i="6"/>
  <c r="C278" i="5"/>
  <c r="B277" i="9"/>
  <c r="B277" i="8"/>
  <c r="C277" i="6"/>
  <c r="C274" i="5"/>
  <c r="B271" i="9"/>
  <c r="B271" i="8"/>
  <c r="C271" i="6"/>
  <c r="C268" i="5"/>
  <c r="B267" i="9"/>
  <c r="B267" i="8"/>
  <c r="C267" i="6"/>
  <c r="C264" i="5"/>
  <c r="B263" i="9"/>
  <c r="B263" i="8"/>
  <c r="C263" i="6"/>
  <c r="C260" i="5"/>
  <c r="B259" i="9"/>
  <c r="B259" i="8"/>
  <c r="C259" i="6"/>
  <c r="C256" i="5"/>
  <c r="B255" i="9"/>
  <c r="B255" i="8"/>
  <c r="C255" i="6"/>
  <c r="C252" i="5"/>
  <c r="B251" i="9"/>
  <c r="B251" i="8"/>
  <c r="C251" i="6"/>
  <c r="C248" i="5"/>
  <c r="B247" i="9"/>
  <c r="B247" i="8"/>
  <c r="C247" i="6"/>
  <c r="C244" i="5"/>
  <c r="B243" i="9"/>
  <c r="B243" i="8"/>
  <c r="C243" i="6"/>
  <c r="C240" i="5"/>
  <c r="B239" i="9"/>
  <c r="B239" i="8"/>
  <c r="C239" i="6"/>
  <c r="C236" i="5"/>
  <c r="B235" i="9"/>
  <c r="B235" i="8"/>
  <c r="C235" i="6"/>
  <c r="C232" i="5"/>
  <c r="B230" i="9"/>
  <c r="B230" i="8"/>
  <c r="C227" i="5"/>
  <c r="C230" i="6"/>
  <c r="B226" i="9"/>
  <c r="B226" i="8"/>
  <c r="C223" i="5"/>
  <c r="C226" i="6"/>
  <c r="B222" i="9"/>
  <c r="B222" i="8"/>
  <c r="C219" i="5"/>
  <c r="C222" i="6"/>
  <c r="B218" i="9"/>
  <c r="B218" i="8"/>
  <c r="C215" i="5"/>
  <c r="C218" i="6"/>
  <c r="B214" i="9"/>
  <c r="B214" i="8"/>
  <c r="C211" i="5"/>
  <c r="C214" i="6"/>
  <c r="B210" i="9"/>
  <c r="B210" i="8"/>
  <c r="C207" i="5"/>
  <c r="C210" i="6"/>
  <c r="B206" i="9"/>
  <c r="B206" i="8"/>
  <c r="C203" i="5"/>
  <c r="C206" i="6"/>
  <c r="B202" i="9"/>
  <c r="B202" i="8"/>
  <c r="C199" i="5"/>
  <c r="C202" i="6"/>
  <c r="B198" i="9"/>
  <c r="B198" i="8"/>
  <c r="C195" i="5"/>
  <c r="C198" i="6"/>
  <c r="B194" i="9"/>
  <c r="B194" i="8"/>
  <c r="C191" i="5"/>
  <c r="C194" i="6"/>
  <c r="B190" i="9"/>
  <c r="B190" i="8"/>
  <c r="C187" i="5"/>
  <c r="C190" i="6"/>
  <c r="B186" i="9"/>
  <c r="B186" i="8"/>
  <c r="C183" i="5"/>
  <c r="C186" i="6"/>
  <c r="B182" i="9"/>
  <c r="B182" i="8"/>
  <c r="C179" i="5"/>
  <c r="C182" i="6"/>
  <c r="B176" i="9"/>
  <c r="B176" i="8"/>
  <c r="C176" i="6"/>
  <c r="C173" i="5"/>
  <c r="B172" i="9"/>
  <c r="B172" i="8"/>
  <c r="C172" i="6"/>
  <c r="C169" i="5"/>
  <c r="B168" i="9"/>
  <c r="B168" i="8"/>
  <c r="C168" i="6"/>
  <c r="C165" i="5"/>
  <c r="B164" i="9"/>
  <c r="B164" i="8"/>
  <c r="C164" i="6"/>
  <c r="C161" i="5"/>
  <c r="B160" i="9"/>
  <c r="B160" i="8"/>
  <c r="C160" i="6"/>
  <c r="C157" i="5"/>
  <c r="B156" i="9"/>
  <c r="B156" i="8"/>
  <c r="C156" i="6"/>
  <c r="C153" i="5"/>
  <c r="B152" i="9"/>
  <c r="B152" i="8"/>
  <c r="C152" i="6"/>
  <c r="C149" i="5"/>
  <c r="B148" i="9"/>
  <c r="B148" i="8"/>
  <c r="C148" i="6"/>
  <c r="C145" i="5"/>
  <c r="B144" i="9"/>
  <c r="B144" i="8"/>
  <c r="C144" i="6"/>
  <c r="C141" i="5"/>
  <c r="B140" i="9"/>
  <c r="B140" i="8"/>
  <c r="C140" i="6"/>
  <c r="C137" i="5"/>
  <c r="B136" i="9"/>
  <c r="B136" i="8"/>
  <c r="C136" i="6"/>
  <c r="C133" i="5"/>
  <c r="B129" i="9"/>
  <c r="B129" i="8"/>
  <c r="C129" i="6"/>
  <c r="C126" i="5"/>
  <c r="B125" i="9"/>
  <c r="B125" i="8"/>
  <c r="C125" i="6"/>
  <c r="C122" i="5"/>
  <c r="B121" i="9"/>
  <c r="B121" i="8"/>
  <c r="C121" i="6"/>
  <c r="C118" i="5"/>
  <c r="B117" i="9"/>
  <c r="B117" i="8"/>
  <c r="C117" i="6"/>
  <c r="C114" i="5"/>
  <c r="B113" i="9"/>
  <c r="B113" i="8"/>
  <c r="C113" i="6"/>
  <c r="C110" i="5"/>
  <c r="B109" i="9"/>
  <c r="B109" i="8"/>
  <c r="C109" i="6"/>
  <c r="C106" i="5"/>
  <c r="B105" i="9"/>
  <c r="B105" i="8"/>
  <c r="C105" i="6"/>
  <c r="C102" i="5"/>
  <c r="B101" i="9"/>
  <c r="B101" i="8"/>
  <c r="C101" i="6"/>
  <c r="C98" i="5"/>
  <c r="B97" i="9"/>
  <c r="B97" i="8"/>
  <c r="C97" i="6"/>
  <c r="C94" i="5"/>
  <c r="B93" i="9"/>
  <c r="B93" i="8"/>
  <c r="C93" i="6"/>
  <c r="C90" i="5"/>
  <c r="B89" i="9"/>
  <c r="B89" i="8"/>
  <c r="C89" i="6"/>
  <c r="C86" i="5"/>
  <c r="B85" i="9"/>
  <c r="B85" i="8"/>
  <c r="C85" i="6"/>
  <c r="C82" i="5"/>
  <c r="B81" i="9"/>
  <c r="B81" i="8"/>
  <c r="C81" i="6"/>
  <c r="C78" i="5"/>
  <c r="B77" i="9"/>
  <c r="B77" i="8"/>
  <c r="C77" i="6"/>
  <c r="C74" i="5"/>
  <c r="B73" i="9"/>
  <c r="B73" i="8"/>
  <c r="C73" i="6"/>
  <c r="C70" i="5"/>
  <c r="B69" i="9"/>
  <c r="B69" i="8"/>
  <c r="C69" i="6"/>
  <c r="C66" i="5"/>
  <c r="B65" i="9"/>
  <c r="B65" i="8"/>
  <c r="C65" i="6"/>
  <c r="C62" i="5"/>
  <c r="B61" i="9"/>
  <c r="B61" i="8"/>
  <c r="C61" i="6"/>
  <c r="C58" i="5"/>
  <c r="B57" i="9"/>
  <c r="B57" i="8"/>
  <c r="C57" i="6"/>
  <c r="C54" i="5"/>
  <c r="B53" i="9"/>
  <c r="B53" i="8"/>
  <c r="C53" i="6"/>
  <c r="C50" i="5"/>
  <c r="B49" i="9"/>
  <c r="B49" i="8"/>
  <c r="C49" i="6"/>
  <c r="C46" i="5"/>
  <c r="B45" i="9"/>
  <c r="B45" i="8"/>
  <c r="C45" i="6"/>
  <c r="C42" i="5"/>
  <c r="B41" i="9"/>
  <c r="B41" i="8"/>
  <c r="C41" i="6"/>
  <c r="C38" i="5"/>
  <c r="B37" i="9"/>
  <c r="B37" i="8"/>
  <c r="C37" i="6"/>
  <c r="C34" i="5"/>
  <c r="B33" i="9"/>
  <c r="B33" i="8"/>
  <c r="C33" i="6"/>
  <c r="C30" i="5"/>
  <c r="B29" i="9"/>
  <c r="B29" i="8"/>
  <c r="C29" i="6"/>
  <c r="C26" i="5"/>
  <c r="B25" i="9"/>
  <c r="B25" i="8"/>
  <c r="C25" i="6"/>
  <c r="C22" i="5"/>
  <c r="B21" i="9"/>
  <c r="B21" i="8"/>
  <c r="C21" i="6"/>
  <c r="C18" i="5"/>
  <c r="B17" i="9"/>
  <c r="B17" i="8"/>
  <c r="C17" i="6"/>
  <c r="C14" i="5"/>
  <c r="B13" i="9"/>
  <c r="B13" i="8"/>
  <c r="C13" i="6"/>
  <c r="C10" i="5"/>
  <c r="C392" i="9"/>
  <c r="P392" i="9" s="1"/>
  <c r="C392" i="8"/>
  <c r="P392" i="8" s="1"/>
  <c r="D389" i="5"/>
  <c r="E389" i="5" s="1"/>
  <c r="B392" i="6"/>
  <c r="C386" i="9"/>
  <c r="P386" i="9" s="1"/>
  <c r="C386" i="8"/>
  <c r="P386" i="8" s="1"/>
  <c r="D383" i="5"/>
  <c r="E383" i="5" s="1"/>
  <c r="B386" i="6"/>
  <c r="C382" i="9"/>
  <c r="P382" i="9" s="1"/>
  <c r="C382" i="8"/>
  <c r="P382" i="8" s="1"/>
  <c r="D379" i="5"/>
  <c r="E379" i="5" s="1"/>
  <c r="B382" i="6"/>
  <c r="C378" i="9"/>
  <c r="P378" i="9" s="1"/>
  <c r="C378" i="8"/>
  <c r="P378" i="8" s="1"/>
  <c r="D375" i="5"/>
  <c r="E375" i="5" s="1"/>
  <c r="B378" i="6"/>
  <c r="C374" i="9"/>
  <c r="P374" i="9" s="1"/>
  <c r="C374" i="8"/>
  <c r="P374" i="8" s="1"/>
  <c r="D371" i="5"/>
  <c r="E371" i="5" s="1"/>
  <c r="B374" i="6"/>
  <c r="C366" i="9"/>
  <c r="P366" i="9" s="1"/>
  <c r="C366" i="8"/>
  <c r="P366" i="8" s="1"/>
  <c r="D363" i="5"/>
  <c r="E363" i="5" s="1"/>
  <c r="B366" i="6"/>
  <c r="C362" i="9"/>
  <c r="P362" i="9" s="1"/>
  <c r="C362" i="8"/>
  <c r="P362" i="8" s="1"/>
  <c r="D359" i="5"/>
  <c r="E359" i="5" s="1"/>
  <c r="B362" i="6"/>
  <c r="C358" i="9"/>
  <c r="P358" i="9" s="1"/>
  <c r="C358" i="8"/>
  <c r="P358" i="8" s="1"/>
  <c r="D355" i="5"/>
  <c r="E355" i="5" s="1"/>
  <c r="B358" i="6"/>
  <c r="C354" i="9"/>
  <c r="P354" i="9" s="1"/>
  <c r="C354" i="8"/>
  <c r="P354" i="8" s="1"/>
  <c r="D351" i="5"/>
  <c r="E351" i="5" s="1"/>
  <c r="B354" i="6"/>
  <c r="C350" i="9"/>
  <c r="P350" i="9" s="1"/>
  <c r="C350" i="8"/>
  <c r="P350" i="8" s="1"/>
  <c r="D347" i="5"/>
  <c r="E347" i="5" s="1"/>
  <c r="B350" i="6"/>
  <c r="C346" i="9"/>
  <c r="P346" i="9" s="1"/>
  <c r="C346" i="8"/>
  <c r="P346" i="8" s="1"/>
  <c r="D343" i="5"/>
  <c r="E343" i="5" s="1"/>
  <c r="B346" i="6"/>
  <c r="C342" i="9"/>
  <c r="P342" i="9" s="1"/>
  <c r="C342" i="8"/>
  <c r="P342" i="8" s="1"/>
  <c r="D339" i="5"/>
  <c r="E339" i="5" s="1"/>
  <c r="B342" i="6"/>
  <c r="C338" i="9"/>
  <c r="P338" i="9" s="1"/>
  <c r="C338" i="8"/>
  <c r="P338" i="8" s="1"/>
  <c r="D335" i="5"/>
  <c r="E335" i="5" s="1"/>
  <c r="B338" i="6"/>
  <c r="C334" i="9"/>
  <c r="P334" i="9" s="1"/>
  <c r="C334" i="8"/>
  <c r="P334" i="8" s="1"/>
  <c r="D331" i="5"/>
  <c r="E331" i="5" s="1"/>
  <c r="B334" i="6"/>
  <c r="C331" i="9"/>
  <c r="P331" i="9" s="1"/>
  <c r="C331" i="8"/>
  <c r="P331" i="8" s="1"/>
  <c r="D328" i="5"/>
  <c r="E328" i="5" s="1"/>
  <c r="B331" i="6"/>
  <c r="C327" i="9"/>
  <c r="P327" i="9" s="1"/>
  <c r="C327" i="8"/>
  <c r="P327" i="8" s="1"/>
  <c r="D324" i="5"/>
  <c r="E324" i="5" s="1"/>
  <c r="B327" i="6"/>
  <c r="C323" i="9"/>
  <c r="P323" i="9" s="1"/>
  <c r="C323" i="8"/>
  <c r="P323" i="8" s="1"/>
  <c r="D320" i="5"/>
  <c r="E320" i="5" s="1"/>
  <c r="B323" i="6"/>
  <c r="C319" i="9"/>
  <c r="P319" i="9" s="1"/>
  <c r="C319" i="8"/>
  <c r="P319" i="8" s="1"/>
  <c r="D316" i="5"/>
  <c r="E316" i="5" s="1"/>
  <c r="B319" i="6"/>
  <c r="C315" i="9"/>
  <c r="P315" i="9" s="1"/>
  <c r="C315" i="8"/>
  <c r="P315" i="8" s="1"/>
  <c r="D312" i="5"/>
  <c r="E312" i="5" s="1"/>
  <c r="B315" i="6"/>
  <c r="C311" i="9"/>
  <c r="P311" i="9" s="1"/>
  <c r="C311" i="8"/>
  <c r="P311" i="8" s="1"/>
  <c r="D308" i="5"/>
  <c r="E308" i="5" s="1"/>
  <c r="B311" i="6"/>
  <c r="C306" i="9"/>
  <c r="P306" i="9" s="1"/>
  <c r="C306" i="8"/>
  <c r="P306" i="8" s="1"/>
  <c r="B306" i="6"/>
  <c r="D303" i="5"/>
  <c r="E303" i="5" s="1"/>
  <c r="C302" i="9"/>
  <c r="P302" i="9" s="1"/>
  <c r="C302" i="8"/>
  <c r="P302" i="8" s="1"/>
  <c r="B302" i="6"/>
  <c r="D299" i="5"/>
  <c r="E299" i="5" s="1"/>
  <c r="C298" i="9"/>
  <c r="P298" i="9" s="1"/>
  <c r="C298" i="8"/>
  <c r="P298" i="8" s="1"/>
  <c r="B298" i="6"/>
  <c r="D295" i="5"/>
  <c r="E295" i="5" s="1"/>
  <c r="C294" i="9"/>
  <c r="P294" i="9" s="1"/>
  <c r="C294" i="8"/>
  <c r="P294" i="8" s="1"/>
  <c r="B294" i="6"/>
  <c r="D291" i="5"/>
  <c r="E291" i="5" s="1"/>
  <c r="C290" i="9"/>
  <c r="P290" i="9" s="1"/>
  <c r="C290" i="8"/>
  <c r="P290" i="8" s="1"/>
  <c r="B290" i="6"/>
  <c r="D287" i="5"/>
  <c r="E287" i="5" s="1"/>
  <c r="C288" i="9"/>
  <c r="P288" i="9" s="1"/>
  <c r="C288" i="8"/>
  <c r="P288" i="8" s="1"/>
  <c r="B288" i="6"/>
  <c r="D285" i="5"/>
  <c r="E285" i="5" s="1"/>
  <c r="C284" i="9"/>
  <c r="P284" i="9" s="1"/>
  <c r="C284" i="8"/>
  <c r="P284" i="8" s="1"/>
  <c r="B284" i="6"/>
  <c r="D281" i="5"/>
  <c r="E281" i="5" s="1"/>
  <c r="C280" i="9"/>
  <c r="P280" i="9" s="1"/>
  <c r="C280" i="8"/>
  <c r="P280" i="8" s="1"/>
  <c r="B280" i="6"/>
  <c r="D277" i="5"/>
  <c r="E277" i="5" s="1"/>
  <c r="C276" i="9"/>
  <c r="P276" i="9" s="1"/>
  <c r="C276" i="8"/>
  <c r="P276" i="8" s="1"/>
  <c r="B276" i="6"/>
  <c r="D273" i="5"/>
  <c r="E273" i="5" s="1"/>
  <c r="C274" i="9"/>
  <c r="P274" i="9" s="1"/>
  <c r="C274" i="8"/>
  <c r="P274" i="8" s="1"/>
  <c r="B274" i="6"/>
  <c r="D271" i="5"/>
  <c r="E271" i="5" s="1"/>
  <c r="C270" i="9"/>
  <c r="P270" i="9" s="1"/>
  <c r="C270" i="8"/>
  <c r="P270" i="8" s="1"/>
  <c r="B270" i="6"/>
  <c r="D267" i="5"/>
  <c r="E267" i="5" s="1"/>
  <c r="C266" i="9"/>
  <c r="P266" i="9" s="1"/>
  <c r="C266" i="8"/>
  <c r="P266" i="8" s="1"/>
  <c r="B266" i="6"/>
  <c r="D263" i="5"/>
  <c r="E263" i="5" s="1"/>
  <c r="C262" i="9"/>
  <c r="P262" i="9" s="1"/>
  <c r="C262" i="8"/>
  <c r="P262" i="8" s="1"/>
  <c r="B262" i="6"/>
  <c r="D259" i="5"/>
  <c r="E259" i="5" s="1"/>
  <c r="C258" i="9"/>
  <c r="P258" i="9" s="1"/>
  <c r="C258" i="8"/>
  <c r="P258" i="8" s="1"/>
  <c r="B258" i="6"/>
  <c r="D255" i="5"/>
  <c r="E255" i="5" s="1"/>
  <c r="C254" i="9"/>
  <c r="P254" i="9" s="1"/>
  <c r="C254" i="8"/>
  <c r="P254" i="8" s="1"/>
  <c r="B254" i="6"/>
  <c r="D251" i="5"/>
  <c r="E251" i="5" s="1"/>
  <c r="C250" i="9"/>
  <c r="P250" i="9" s="1"/>
  <c r="C250" i="8"/>
  <c r="P250" i="8" s="1"/>
  <c r="B250" i="6"/>
  <c r="D247" i="5"/>
  <c r="E247" i="5" s="1"/>
  <c r="C246" i="9"/>
  <c r="P246" i="9" s="1"/>
  <c r="C246" i="8"/>
  <c r="P246" i="8" s="1"/>
  <c r="B246" i="6"/>
  <c r="D243" i="5"/>
  <c r="E243" i="5" s="1"/>
  <c r="C242" i="9"/>
  <c r="P242" i="9" s="1"/>
  <c r="C242" i="8"/>
  <c r="P242" i="8" s="1"/>
  <c r="B242" i="6"/>
  <c r="D239" i="5"/>
  <c r="E239" i="5" s="1"/>
  <c r="C238" i="9"/>
  <c r="P238" i="9" s="1"/>
  <c r="C238" i="8"/>
  <c r="P238" i="8" s="1"/>
  <c r="B238" i="6"/>
  <c r="D235" i="5"/>
  <c r="E235" i="5" s="1"/>
  <c r="C234" i="9"/>
  <c r="P234" i="9" s="1"/>
  <c r="C234" i="8"/>
  <c r="P234" i="8" s="1"/>
  <c r="B234" i="6"/>
  <c r="D231" i="5"/>
  <c r="E231" i="5" s="1"/>
  <c r="C230" i="9"/>
  <c r="P230" i="9" s="1"/>
  <c r="C230" i="8"/>
  <c r="P230" i="8" s="1"/>
  <c r="B230" i="6"/>
  <c r="D227" i="5"/>
  <c r="E227" i="5" s="1"/>
  <c r="C226" i="9"/>
  <c r="P226" i="9" s="1"/>
  <c r="C226" i="8"/>
  <c r="P226" i="8" s="1"/>
  <c r="B226" i="6"/>
  <c r="D223" i="5"/>
  <c r="E223" i="5" s="1"/>
  <c r="C222" i="9"/>
  <c r="P222" i="9" s="1"/>
  <c r="C222" i="8"/>
  <c r="P222" i="8" s="1"/>
  <c r="B222" i="6"/>
  <c r="D219" i="5"/>
  <c r="E219" i="5" s="1"/>
  <c r="C218" i="9"/>
  <c r="P218" i="9" s="1"/>
  <c r="C218" i="8"/>
  <c r="P218" i="8" s="1"/>
  <c r="B218" i="6"/>
  <c r="D215" i="5"/>
  <c r="E215" i="5" s="1"/>
  <c r="C214" i="9"/>
  <c r="P214" i="9" s="1"/>
  <c r="C214" i="8"/>
  <c r="P214" i="8" s="1"/>
  <c r="B214" i="6"/>
  <c r="D211" i="5"/>
  <c r="E211" i="5" s="1"/>
  <c r="C210" i="9"/>
  <c r="P210" i="9" s="1"/>
  <c r="C210" i="8"/>
  <c r="P210" i="8" s="1"/>
  <c r="B210" i="6"/>
  <c r="D207" i="5"/>
  <c r="E207" i="5" s="1"/>
  <c r="C206" i="9"/>
  <c r="P206" i="9" s="1"/>
  <c r="C206" i="8"/>
  <c r="P206" i="8" s="1"/>
  <c r="B206" i="6"/>
  <c r="D203" i="5"/>
  <c r="E203" i="5" s="1"/>
  <c r="C202" i="9"/>
  <c r="P202" i="9" s="1"/>
  <c r="C202" i="8"/>
  <c r="P202" i="8" s="1"/>
  <c r="B202" i="6"/>
  <c r="D199" i="5"/>
  <c r="E199" i="5" s="1"/>
  <c r="C198" i="9"/>
  <c r="P198" i="9" s="1"/>
  <c r="C198" i="8"/>
  <c r="P198" i="8" s="1"/>
  <c r="B198" i="6"/>
  <c r="D195" i="5"/>
  <c r="E195" i="5" s="1"/>
  <c r="C194" i="9"/>
  <c r="P194" i="9" s="1"/>
  <c r="C194" i="8"/>
  <c r="P194" i="8" s="1"/>
  <c r="B194" i="6"/>
  <c r="D191" i="5"/>
  <c r="E191" i="5" s="1"/>
  <c r="C190" i="9"/>
  <c r="P190" i="9" s="1"/>
  <c r="C190" i="8"/>
  <c r="P190" i="8" s="1"/>
  <c r="B190" i="6"/>
  <c r="D187" i="5"/>
  <c r="E187" i="5" s="1"/>
  <c r="C186" i="9"/>
  <c r="P186" i="9" s="1"/>
  <c r="C186" i="8"/>
  <c r="P186" i="8" s="1"/>
  <c r="B186" i="6"/>
  <c r="D183" i="5"/>
  <c r="E183" i="5" s="1"/>
  <c r="C182" i="9"/>
  <c r="P182" i="9" s="1"/>
  <c r="C182" i="8"/>
  <c r="P182" i="8" s="1"/>
  <c r="B182" i="6"/>
  <c r="D179" i="5"/>
  <c r="E179" i="5" s="1"/>
  <c r="C178" i="9"/>
  <c r="P178" i="9" s="1"/>
  <c r="C178" i="8"/>
  <c r="P178" i="8" s="1"/>
  <c r="B178" i="6"/>
  <c r="D175" i="5"/>
  <c r="E175" i="5" s="1"/>
  <c r="C174" i="9"/>
  <c r="P174" i="9" s="1"/>
  <c r="C174" i="8"/>
  <c r="P174" i="8" s="1"/>
  <c r="B174" i="6"/>
  <c r="D171" i="5"/>
  <c r="E171" i="5" s="1"/>
  <c r="C170" i="9"/>
  <c r="P170" i="9" s="1"/>
  <c r="C170" i="8"/>
  <c r="P170" i="8" s="1"/>
  <c r="B170" i="6"/>
  <c r="D167" i="5"/>
  <c r="E167" i="5" s="1"/>
  <c r="C166" i="9"/>
  <c r="P166" i="9" s="1"/>
  <c r="C166" i="8"/>
  <c r="P166" i="8" s="1"/>
  <c r="B166" i="6"/>
  <c r="D163" i="5"/>
  <c r="E163" i="5" s="1"/>
  <c r="C162" i="9"/>
  <c r="P162" i="9" s="1"/>
  <c r="C162" i="8"/>
  <c r="P162" i="8" s="1"/>
  <c r="B162" i="6"/>
  <c r="D159" i="5"/>
  <c r="E159" i="5" s="1"/>
  <c r="C158" i="9"/>
  <c r="P158" i="9" s="1"/>
  <c r="C158" i="8"/>
  <c r="P158" i="8" s="1"/>
  <c r="B158" i="6"/>
  <c r="D155" i="5"/>
  <c r="E155" i="5" s="1"/>
  <c r="C153" i="9"/>
  <c r="P153" i="9" s="1"/>
  <c r="C153" i="8"/>
  <c r="P153" i="8" s="1"/>
  <c r="D150" i="5"/>
  <c r="E150" i="5" s="1"/>
  <c r="B153" i="6"/>
  <c r="C149" i="9"/>
  <c r="P149" i="9" s="1"/>
  <c r="C149" i="8"/>
  <c r="P149" i="8" s="1"/>
  <c r="D146" i="5"/>
  <c r="E146" i="5" s="1"/>
  <c r="B149" i="6"/>
  <c r="C145" i="9"/>
  <c r="P145" i="9" s="1"/>
  <c r="C145" i="8"/>
  <c r="P145" i="8" s="1"/>
  <c r="D142" i="5"/>
  <c r="E142" i="5" s="1"/>
  <c r="B145" i="6"/>
  <c r="C141" i="9"/>
  <c r="P141" i="9" s="1"/>
  <c r="C141" i="8"/>
  <c r="P141" i="8" s="1"/>
  <c r="D138" i="5"/>
  <c r="E138" i="5" s="1"/>
  <c r="B141" i="6"/>
  <c r="C137" i="9"/>
  <c r="P137" i="9" s="1"/>
  <c r="C137" i="8"/>
  <c r="P137" i="8" s="1"/>
  <c r="D134" i="5"/>
  <c r="E134" i="5" s="1"/>
  <c r="B137" i="6"/>
  <c r="C133" i="9"/>
  <c r="P133" i="9" s="1"/>
  <c r="C133" i="8"/>
  <c r="P133" i="8" s="1"/>
  <c r="D130" i="5"/>
  <c r="E130" i="5" s="1"/>
  <c r="B133" i="6"/>
  <c r="C130" i="9"/>
  <c r="P130" i="9" s="1"/>
  <c r="C130" i="8"/>
  <c r="P130" i="8" s="1"/>
  <c r="D127" i="5"/>
  <c r="E127" i="5" s="1"/>
  <c r="B130" i="6"/>
  <c r="C126" i="9"/>
  <c r="P126" i="9" s="1"/>
  <c r="C126" i="8"/>
  <c r="P126" i="8" s="1"/>
  <c r="D123" i="5"/>
  <c r="E123" i="5" s="1"/>
  <c r="B126" i="6"/>
  <c r="C122" i="9"/>
  <c r="P122" i="9" s="1"/>
  <c r="C122" i="8"/>
  <c r="P122" i="8" s="1"/>
  <c r="D119" i="5"/>
  <c r="E119" i="5" s="1"/>
  <c r="B122" i="6"/>
  <c r="C117" i="9"/>
  <c r="P117" i="9" s="1"/>
  <c r="C117" i="8"/>
  <c r="P117" i="8" s="1"/>
  <c r="B117" i="6"/>
  <c r="D114" i="5"/>
  <c r="E114" i="5" s="1"/>
  <c r="C113" i="9"/>
  <c r="P113" i="9" s="1"/>
  <c r="C113" i="8"/>
  <c r="P113" i="8" s="1"/>
  <c r="B113" i="6"/>
  <c r="D110" i="5"/>
  <c r="E110" i="5" s="1"/>
  <c r="C107" i="9"/>
  <c r="P107" i="9" s="1"/>
  <c r="C107" i="8"/>
  <c r="P107" i="8" s="1"/>
  <c r="B107" i="6"/>
  <c r="D104" i="5"/>
  <c r="E104" i="5" s="1"/>
  <c r="C103" i="9"/>
  <c r="P103" i="9" s="1"/>
  <c r="C103" i="8"/>
  <c r="P103" i="8" s="1"/>
  <c r="B103" i="6"/>
  <c r="D100" i="5"/>
  <c r="E100" i="5" s="1"/>
  <c r="C99" i="9"/>
  <c r="P99" i="9" s="1"/>
  <c r="C99" i="8"/>
  <c r="P99" i="8" s="1"/>
  <c r="B99" i="6"/>
  <c r="D96" i="5"/>
  <c r="E96" i="5" s="1"/>
  <c r="C95" i="9"/>
  <c r="P95" i="9" s="1"/>
  <c r="C95" i="8"/>
  <c r="P95" i="8" s="1"/>
  <c r="B95" i="6"/>
  <c r="D92" i="5"/>
  <c r="E92" i="5" s="1"/>
  <c r="C91" i="9"/>
  <c r="P91" i="9" s="1"/>
  <c r="C91" i="8"/>
  <c r="P91" i="8" s="1"/>
  <c r="B91" i="6"/>
  <c r="D88" i="5"/>
  <c r="E88" i="5" s="1"/>
  <c r="C84" i="9"/>
  <c r="P84" i="9" s="1"/>
  <c r="C84" i="8"/>
  <c r="P84" i="8" s="1"/>
  <c r="D81" i="5"/>
  <c r="E81" i="5" s="1"/>
  <c r="B84" i="6"/>
  <c r="C79" i="9"/>
  <c r="P79" i="9" s="1"/>
  <c r="C79" i="8"/>
  <c r="P79" i="8" s="1"/>
  <c r="B79" i="6"/>
  <c r="D76" i="5"/>
  <c r="E76" i="5" s="1"/>
  <c r="C75" i="9"/>
  <c r="P75" i="9" s="1"/>
  <c r="C75" i="8"/>
  <c r="P75" i="8" s="1"/>
  <c r="B75" i="6"/>
  <c r="D72" i="5"/>
  <c r="E72" i="5" s="1"/>
  <c r="C69" i="9"/>
  <c r="P69" i="9" s="1"/>
  <c r="C69" i="8"/>
  <c r="P69" i="8" s="1"/>
  <c r="B69" i="6"/>
  <c r="D66" i="5"/>
  <c r="E66" i="5" s="1"/>
  <c r="C65" i="9"/>
  <c r="P65" i="9" s="1"/>
  <c r="C65" i="8"/>
  <c r="P65" i="8" s="1"/>
  <c r="B65" i="6"/>
  <c r="D62" i="5"/>
  <c r="E62" i="5" s="1"/>
  <c r="C61" i="9"/>
  <c r="P61" i="9" s="1"/>
  <c r="C61" i="8"/>
  <c r="P61" i="8" s="1"/>
  <c r="B61" i="6"/>
  <c r="D58" i="5"/>
  <c r="E58" i="5" s="1"/>
  <c r="C57" i="9"/>
  <c r="P57" i="9" s="1"/>
  <c r="C57" i="8"/>
  <c r="P57" i="8" s="1"/>
  <c r="B57" i="6"/>
  <c r="D54" i="5"/>
  <c r="E54" i="5" s="1"/>
  <c r="C53" i="9"/>
  <c r="P53" i="9" s="1"/>
  <c r="C53" i="8"/>
  <c r="P53" i="8" s="1"/>
  <c r="B53" i="6"/>
  <c r="D50" i="5"/>
  <c r="E50" i="5" s="1"/>
  <c r="C49" i="9"/>
  <c r="P49" i="9" s="1"/>
  <c r="C49" i="8"/>
  <c r="P49" i="8" s="1"/>
  <c r="B49" i="6"/>
  <c r="D46" i="5"/>
  <c r="E46" i="5" s="1"/>
  <c r="C45" i="9"/>
  <c r="P45" i="9" s="1"/>
  <c r="C45" i="8"/>
  <c r="P45" i="8" s="1"/>
  <c r="B45" i="6"/>
  <c r="D42" i="5"/>
  <c r="E42" i="5" s="1"/>
  <c r="C41" i="9"/>
  <c r="P41" i="9" s="1"/>
  <c r="C41" i="8"/>
  <c r="P41" i="8" s="1"/>
  <c r="B41" i="6"/>
  <c r="D38" i="5"/>
  <c r="E38" i="5" s="1"/>
  <c r="C37" i="9"/>
  <c r="P37" i="9" s="1"/>
  <c r="C37" i="8"/>
  <c r="P37" i="8" s="1"/>
  <c r="B37" i="6"/>
  <c r="D34" i="5"/>
  <c r="E34" i="5" s="1"/>
  <c r="C33" i="9"/>
  <c r="P33" i="9" s="1"/>
  <c r="C33" i="8"/>
  <c r="P33" i="8" s="1"/>
  <c r="B33" i="6"/>
  <c r="D30" i="5"/>
  <c r="E30" i="5" s="1"/>
  <c r="C29" i="9"/>
  <c r="P29" i="9" s="1"/>
  <c r="C29" i="8"/>
  <c r="P29" i="8" s="1"/>
  <c r="B29" i="6"/>
  <c r="D26" i="5"/>
  <c r="E26" i="5" s="1"/>
  <c r="C24" i="9"/>
  <c r="P24" i="9" s="1"/>
  <c r="C24" i="8"/>
  <c r="P24" i="8" s="1"/>
  <c r="D21" i="5"/>
  <c r="E21" i="5" s="1"/>
  <c r="B24" i="6"/>
  <c r="C20" i="9"/>
  <c r="P20" i="9" s="1"/>
  <c r="C20" i="8"/>
  <c r="P20" i="8" s="1"/>
  <c r="D17" i="5"/>
  <c r="E17" i="5" s="1"/>
  <c r="B20" i="6"/>
  <c r="C14" i="9"/>
  <c r="P14" i="9" s="1"/>
  <c r="C14" i="8"/>
  <c r="P14" i="8" s="1"/>
  <c r="D11" i="5"/>
  <c r="E11" i="5" s="1"/>
  <c r="B14" i="6"/>
  <c r="B377" i="9"/>
  <c r="B377" i="8"/>
  <c r="C374" i="5"/>
  <c r="C377" i="6"/>
  <c r="B365" i="9"/>
  <c r="B365" i="8"/>
  <c r="C362" i="5"/>
  <c r="C365" i="6"/>
  <c r="B394" i="9"/>
  <c r="B394" i="8"/>
  <c r="C394" i="6"/>
  <c r="C391" i="5"/>
  <c r="B393" i="9"/>
  <c r="B393" i="8"/>
  <c r="C393" i="6"/>
  <c r="C390" i="5"/>
  <c r="B387" i="9"/>
  <c r="B387" i="8"/>
  <c r="C387" i="6"/>
  <c r="C384" i="5"/>
  <c r="B383" i="9"/>
  <c r="B383" i="8"/>
  <c r="C383" i="6"/>
  <c r="C380" i="5"/>
  <c r="B379" i="9"/>
  <c r="B379" i="8"/>
  <c r="C379" i="6"/>
  <c r="C376" i="5"/>
  <c r="B375" i="9"/>
  <c r="B375" i="8"/>
  <c r="C375" i="6"/>
  <c r="C372" i="5"/>
  <c r="B371" i="9"/>
  <c r="B371" i="8"/>
  <c r="C371" i="6"/>
  <c r="C368" i="5"/>
  <c r="B367" i="9"/>
  <c r="B367" i="8"/>
  <c r="C367" i="6"/>
  <c r="C364" i="5"/>
  <c r="B363" i="9"/>
  <c r="B363" i="8"/>
  <c r="C363" i="6"/>
  <c r="C360" i="5"/>
  <c r="B359" i="9"/>
  <c r="B359" i="8"/>
  <c r="C359" i="6"/>
  <c r="C356" i="5"/>
  <c r="B355" i="9"/>
  <c r="B355" i="8"/>
  <c r="C355" i="6"/>
  <c r="C352" i="5"/>
  <c r="B349" i="9"/>
  <c r="B349" i="8"/>
  <c r="C346" i="5"/>
  <c r="C349" i="6"/>
  <c r="B345" i="9"/>
  <c r="B345" i="8"/>
  <c r="C342" i="5"/>
  <c r="C345" i="6"/>
  <c r="B341" i="9"/>
  <c r="B341" i="8"/>
  <c r="C338" i="5"/>
  <c r="C341" i="6"/>
  <c r="B337" i="9"/>
  <c r="B337" i="8"/>
  <c r="C334" i="5"/>
  <c r="C337" i="6"/>
  <c r="B333" i="9"/>
  <c r="B333" i="8"/>
  <c r="C330" i="5"/>
  <c r="C333" i="6"/>
  <c r="B330" i="9"/>
  <c r="B330" i="8"/>
  <c r="C327" i="5"/>
  <c r="C330" i="6"/>
  <c r="B326" i="9"/>
  <c r="B326" i="8"/>
  <c r="C323" i="5"/>
  <c r="C326" i="6"/>
  <c r="B322" i="9"/>
  <c r="B322" i="8"/>
  <c r="C319" i="5"/>
  <c r="C322" i="6"/>
  <c r="B318" i="9"/>
  <c r="B318" i="8"/>
  <c r="C315" i="5"/>
  <c r="C318" i="6"/>
  <c r="B314" i="9"/>
  <c r="B314" i="8"/>
  <c r="C311" i="5"/>
  <c r="C314" i="6"/>
  <c r="B310" i="9"/>
  <c r="B310" i="8"/>
  <c r="C307" i="5"/>
  <c r="C310" i="6"/>
  <c r="B306" i="9"/>
  <c r="B306" i="8"/>
  <c r="C303" i="5"/>
  <c r="C306" i="6"/>
  <c r="B302" i="9"/>
  <c r="B302" i="8"/>
  <c r="C299" i="5"/>
  <c r="C302" i="6"/>
  <c r="B298" i="9"/>
  <c r="B298" i="8"/>
  <c r="C295" i="5"/>
  <c r="C298" i="6"/>
  <c r="B294" i="9"/>
  <c r="B294" i="8"/>
  <c r="C291" i="5"/>
  <c r="C294" i="6"/>
  <c r="B290" i="9"/>
  <c r="B290" i="8"/>
  <c r="C287" i="5"/>
  <c r="C290" i="6"/>
  <c r="B288" i="9"/>
  <c r="B288" i="8"/>
  <c r="C285" i="5"/>
  <c r="C288" i="6"/>
  <c r="B284" i="9"/>
  <c r="B284" i="8"/>
  <c r="C281" i="5"/>
  <c r="C284" i="6"/>
  <c r="B280" i="9"/>
  <c r="B280" i="8"/>
  <c r="C277" i="5"/>
  <c r="C280" i="6"/>
  <c r="B276" i="9"/>
  <c r="B276" i="8"/>
  <c r="C273" i="5"/>
  <c r="C276" i="6"/>
  <c r="B274" i="9"/>
  <c r="B274" i="8"/>
  <c r="C271" i="5"/>
  <c r="C274" i="6"/>
  <c r="B270" i="9"/>
  <c r="B270" i="8"/>
  <c r="C267" i="5"/>
  <c r="C270" i="6"/>
  <c r="B266" i="9"/>
  <c r="B266" i="8"/>
  <c r="C263" i="5"/>
  <c r="C266" i="6"/>
  <c r="B262" i="9"/>
  <c r="B262" i="8"/>
  <c r="C259" i="5"/>
  <c r="C262" i="6"/>
  <c r="B258" i="9"/>
  <c r="B258" i="8"/>
  <c r="C255" i="5"/>
  <c r="C258" i="6"/>
  <c r="B254" i="9"/>
  <c r="B254" i="8"/>
  <c r="C251" i="5"/>
  <c r="C254" i="6"/>
  <c r="B250" i="9"/>
  <c r="B250" i="8"/>
  <c r="C247" i="5"/>
  <c r="C250" i="6"/>
  <c r="B246" i="9"/>
  <c r="B246" i="8"/>
  <c r="C243" i="5"/>
  <c r="C246" i="6"/>
  <c r="B242" i="9"/>
  <c r="B242" i="8"/>
  <c r="C239" i="5"/>
  <c r="C242" i="6"/>
  <c r="B238" i="9"/>
  <c r="B238" i="8"/>
  <c r="C235" i="5"/>
  <c r="C238" i="6"/>
  <c r="B233" i="9"/>
  <c r="B233" i="8"/>
  <c r="C233" i="6"/>
  <c r="C230" i="5"/>
  <c r="B229" i="9"/>
  <c r="B229" i="8"/>
  <c r="C229" i="6"/>
  <c r="C226" i="5"/>
  <c r="B225" i="9"/>
  <c r="B225" i="8"/>
  <c r="C225" i="6"/>
  <c r="C222" i="5"/>
  <c r="B221" i="9"/>
  <c r="B221" i="8"/>
  <c r="C221" i="6"/>
  <c r="C218" i="5"/>
  <c r="B217" i="9"/>
  <c r="B217" i="8"/>
  <c r="C217" i="6"/>
  <c r="C214" i="5"/>
  <c r="B213" i="9"/>
  <c r="B213" i="8"/>
  <c r="C213" i="6"/>
  <c r="C210" i="5"/>
  <c r="B209" i="9"/>
  <c r="B209" i="8"/>
  <c r="C209" i="6"/>
  <c r="C206" i="5"/>
  <c r="B205" i="9"/>
  <c r="B205" i="8"/>
  <c r="C205" i="6"/>
  <c r="C202" i="5"/>
  <c r="B201" i="9"/>
  <c r="B201" i="8"/>
  <c r="C201" i="6"/>
  <c r="C198" i="5"/>
  <c r="B197" i="9"/>
  <c r="B197" i="8"/>
  <c r="C197" i="6"/>
  <c r="C194" i="5"/>
  <c r="B193" i="9"/>
  <c r="B193" i="8"/>
  <c r="C193" i="6"/>
  <c r="C190" i="5"/>
  <c r="B189" i="9"/>
  <c r="B189" i="8"/>
  <c r="C189" i="6"/>
  <c r="C186" i="5"/>
  <c r="B185" i="9"/>
  <c r="B185" i="8"/>
  <c r="C185" i="6"/>
  <c r="C182" i="5"/>
  <c r="B179" i="9"/>
  <c r="B179" i="8"/>
  <c r="C179" i="6"/>
  <c r="C176" i="5"/>
  <c r="B175" i="9"/>
  <c r="B175" i="8"/>
  <c r="C175" i="6"/>
  <c r="C172" i="5"/>
  <c r="B171" i="9"/>
  <c r="B171" i="8"/>
  <c r="C171" i="6"/>
  <c r="C168" i="5"/>
  <c r="B167" i="9"/>
  <c r="B167" i="8"/>
  <c r="C167" i="6"/>
  <c r="C164" i="5"/>
  <c r="B163" i="9"/>
  <c r="B163" i="8"/>
  <c r="C163" i="6"/>
  <c r="C160" i="5"/>
  <c r="B159" i="9"/>
  <c r="B159" i="8"/>
  <c r="C159" i="6"/>
  <c r="C156" i="5"/>
  <c r="B155" i="9"/>
  <c r="B155" i="8"/>
  <c r="C155" i="6"/>
  <c r="C152" i="5"/>
  <c r="B151" i="9"/>
  <c r="B151" i="8"/>
  <c r="C151" i="6"/>
  <c r="C148" i="5"/>
  <c r="B147" i="9"/>
  <c r="B147" i="8"/>
  <c r="C147" i="6"/>
  <c r="C144" i="5"/>
  <c r="B143" i="9"/>
  <c r="B143" i="8"/>
  <c r="C143" i="6"/>
  <c r="C140" i="5"/>
  <c r="B139" i="9"/>
  <c r="B139" i="8"/>
  <c r="C139" i="6"/>
  <c r="C136" i="5"/>
  <c r="B135" i="9"/>
  <c r="B135" i="8"/>
  <c r="C135" i="6"/>
  <c r="C132" i="5"/>
  <c r="B132" i="9"/>
  <c r="B132" i="8"/>
  <c r="C132" i="6"/>
  <c r="C129" i="5"/>
  <c r="B128" i="9"/>
  <c r="B128" i="8"/>
  <c r="C128" i="6"/>
  <c r="C125" i="5"/>
  <c r="B124" i="9"/>
  <c r="B124" i="8"/>
  <c r="C124" i="6"/>
  <c r="C121" i="5"/>
  <c r="B120" i="9"/>
  <c r="B120" i="8"/>
  <c r="C120" i="6"/>
  <c r="C117" i="5"/>
  <c r="B116" i="9"/>
  <c r="B116" i="8"/>
  <c r="C116" i="6"/>
  <c r="C113" i="5"/>
  <c r="B112" i="9"/>
  <c r="B112" i="8"/>
  <c r="C112" i="6"/>
  <c r="C109" i="5"/>
  <c r="B108" i="9"/>
  <c r="B108" i="8"/>
  <c r="C108" i="6"/>
  <c r="C105" i="5"/>
  <c r="B104" i="9"/>
  <c r="B104" i="8"/>
  <c r="C104" i="6"/>
  <c r="C101" i="5"/>
  <c r="B100" i="9"/>
  <c r="B100" i="8"/>
  <c r="C100" i="6"/>
  <c r="C97" i="5"/>
  <c r="B96" i="9"/>
  <c r="B96" i="8"/>
  <c r="C96" i="6"/>
  <c r="C93" i="5"/>
  <c r="B92" i="9"/>
  <c r="B92" i="8"/>
  <c r="C92" i="6"/>
  <c r="C89" i="5"/>
  <c r="B88" i="9"/>
  <c r="B88" i="8"/>
  <c r="C88" i="6"/>
  <c r="C85" i="5"/>
  <c r="B84" i="9"/>
  <c r="B84" i="8"/>
  <c r="C84" i="6"/>
  <c r="C81" i="5"/>
  <c r="B80" i="9"/>
  <c r="B80" i="8"/>
  <c r="C80" i="6"/>
  <c r="C77" i="5"/>
  <c r="B76" i="9"/>
  <c r="B76" i="8"/>
  <c r="C76" i="6"/>
  <c r="C73" i="5"/>
  <c r="B72" i="9"/>
  <c r="B72" i="8"/>
  <c r="C72" i="6"/>
  <c r="C69" i="5"/>
  <c r="B68" i="9"/>
  <c r="B68" i="8"/>
  <c r="C68" i="6"/>
  <c r="C65" i="5"/>
  <c r="B64" i="9"/>
  <c r="B64" i="8"/>
  <c r="C64" i="6"/>
  <c r="C61" i="5"/>
  <c r="B60" i="9"/>
  <c r="B60" i="8"/>
  <c r="C60" i="6"/>
  <c r="C57" i="5"/>
  <c r="B56" i="9"/>
  <c r="B56" i="8"/>
  <c r="C56" i="6"/>
  <c r="C53" i="5"/>
  <c r="B52" i="9"/>
  <c r="B52" i="8"/>
  <c r="C52" i="6"/>
  <c r="C49" i="5"/>
  <c r="B48" i="9"/>
  <c r="B48" i="8"/>
  <c r="C48" i="6"/>
  <c r="C45" i="5"/>
  <c r="B44" i="9"/>
  <c r="B44" i="8"/>
  <c r="C44" i="6"/>
  <c r="C41" i="5"/>
  <c r="B40" i="9"/>
  <c r="B40" i="8"/>
  <c r="C40" i="6"/>
  <c r="C37" i="5"/>
  <c r="B36" i="9"/>
  <c r="B36" i="8"/>
  <c r="C36" i="6"/>
  <c r="C33" i="5"/>
  <c r="B32" i="9"/>
  <c r="B32" i="8"/>
  <c r="C32" i="6"/>
  <c r="C29" i="5"/>
  <c r="B28" i="9"/>
  <c r="B28" i="8"/>
  <c r="C28" i="6"/>
  <c r="C25" i="5"/>
  <c r="B24" i="9"/>
  <c r="B24" i="8"/>
  <c r="C24" i="6"/>
  <c r="C21" i="5"/>
  <c r="B20" i="9"/>
  <c r="B20" i="8"/>
  <c r="C20" i="6"/>
  <c r="C17" i="5"/>
  <c r="B16" i="9"/>
  <c r="B16" i="8"/>
  <c r="C16" i="6"/>
  <c r="C13" i="5"/>
  <c r="W400" i="9"/>
  <c r="X406" i="9"/>
  <c r="X412" i="9"/>
  <c r="X416" i="9"/>
  <c r="X421" i="9"/>
  <c r="X430" i="9"/>
  <c r="V397" i="9"/>
  <c r="X398" i="9"/>
  <c r="W419" i="9"/>
  <c r="V404" i="9"/>
  <c r="X410" i="9"/>
  <c r="V416" i="9"/>
  <c r="V429" i="9"/>
  <c r="X433" i="9"/>
  <c r="W397" i="9"/>
  <c r="V400" i="9"/>
  <c r="X415" i="9"/>
  <c r="V421" i="9"/>
  <c r="X429" i="9"/>
  <c r="X428" i="9"/>
  <c r="V412" i="9"/>
  <c r="X414" i="9"/>
  <c r="X397" i="9"/>
  <c r="W420" i="9"/>
  <c r="X432" i="9"/>
  <c r="V433" i="9"/>
  <c r="X411" i="9"/>
  <c r="X425" i="8"/>
  <c r="V430" i="8"/>
  <c r="V408" i="8"/>
  <c r="X402" i="8"/>
  <c r="V401" i="8"/>
  <c r="W400" i="8"/>
  <c r="W399" i="8"/>
  <c r="X404" i="8"/>
  <c r="V404" i="8"/>
  <c r="V411" i="8"/>
  <c r="W416" i="8"/>
  <c r="V416" i="8"/>
  <c r="W396" i="8"/>
  <c r="V414" i="8"/>
  <c r="V403" i="8"/>
  <c r="W401" i="8"/>
  <c r="V433" i="8"/>
  <c r="W431" i="8"/>
  <c r="X417" i="8"/>
  <c r="W427" i="8"/>
  <c r="W404" i="8"/>
  <c r="W432" i="8"/>
  <c r="X418" i="8"/>
  <c r="V398" i="8"/>
  <c r="X396" i="8"/>
  <c r="V428" i="8"/>
  <c r="W421" i="8"/>
  <c r="X421" i="8"/>
  <c r="W409" i="8"/>
  <c r="X407" i="8"/>
  <c r="W405" i="8"/>
  <c r="X405" i="8"/>
  <c r="X403" i="8"/>
  <c r="V426" i="8"/>
  <c r="W424" i="8"/>
  <c r="W419" i="8"/>
  <c r="V417" i="8"/>
  <c r="V415" i="8"/>
  <c r="X397" i="8"/>
  <c r="W415" i="8"/>
  <c r="W429" i="8"/>
  <c r="V427" i="8"/>
  <c r="X427" i="8"/>
  <c r="X422" i="8"/>
  <c r="V406" i="8"/>
  <c r="V402" i="8"/>
  <c r="V400" i="8"/>
  <c r="V432" i="8"/>
  <c r="W411" i="8"/>
  <c r="V396" i="8"/>
  <c r="X428" i="8"/>
  <c r="X414" i="8"/>
  <c r="X409" i="8"/>
  <c r="W433" i="8"/>
  <c r="V431" i="8"/>
  <c r="X419" i="8"/>
  <c r="X412" i="8"/>
  <c r="V412" i="8"/>
  <c r="W397" i="8"/>
  <c r="V397" i="8"/>
  <c r="W414" i="8"/>
  <c r="W406" i="8"/>
  <c r="X432" i="8"/>
  <c r="X411" i="8"/>
  <c r="W398" i="8"/>
  <c r="X426" i="8"/>
  <c r="W426" i="8"/>
  <c r="X424" i="8"/>
  <c r="V419" i="8"/>
  <c r="V429" i="8"/>
  <c r="X429" i="8"/>
  <c r="X406" i="8"/>
  <c r="W395" i="8"/>
  <c r="W422" i="8"/>
  <c r="X413" i="8"/>
  <c r="V425" i="8"/>
  <c r="W423" i="8"/>
  <c r="X420" i="8"/>
  <c r="V413" i="8"/>
  <c r="V410" i="8"/>
  <c r="W404" i="9"/>
  <c r="X403" i="9"/>
  <c r="V425" i="9"/>
  <c r="X408" i="9"/>
  <c r="X424" i="9"/>
  <c r="X409" i="9"/>
  <c r="X402" i="9"/>
  <c r="W418" i="8"/>
  <c r="W428" i="8"/>
  <c r="V407" i="8"/>
  <c r="W403" i="8"/>
  <c r="X433" i="8"/>
  <c r="V395" i="8"/>
  <c r="W425" i="8"/>
  <c r="X410" i="8"/>
  <c r="W410" i="8"/>
  <c r="X430" i="8"/>
  <c r="W420" i="8"/>
  <c r="X399" i="8"/>
  <c r="X417" i="9"/>
  <c r="W396" i="9"/>
  <c r="X405" i="9"/>
  <c r="X413" i="9"/>
  <c r="V408" i="9"/>
  <c r="V424" i="9"/>
  <c r="X401" i="9"/>
  <c r="V396" i="9"/>
  <c r="W432" i="9"/>
  <c r="W428" i="9"/>
  <c r="W416" i="9"/>
  <c r="W412" i="9"/>
  <c r="V418" i="8"/>
  <c r="X416" i="8"/>
  <c r="X398" i="8"/>
  <c r="V409" i="8"/>
  <c r="X401" i="8"/>
  <c r="W407" i="8"/>
  <c r="V424" i="8"/>
  <c r="X415" i="8"/>
  <c r="X395" i="8"/>
  <c r="X431" i="8"/>
  <c r="W430" i="8"/>
  <c r="W413" i="8"/>
  <c r="X408" i="8"/>
  <c r="X418" i="9"/>
  <c r="V432" i="9"/>
  <c r="V420" i="9"/>
  <c r="X425" i="9"/>
  <c r="V401" i="9"/>
  <c r="W408" i="9"/>
  <c r="W424" i="9"/>
  <c r="V409" i="9"/>
  <c r="V421" i="8"/>
  <c r="V405" i="8"/>
  <c r="W417" i="8"/>
  <c r="W412" i="8"/>
  <c r="V422" i="8"/>
  <c r="W402" i="8"/>
  <c r="X400" i="8"/>
  <c r="V420" i="8"/>
  <c r="X423" i="8"/>
  <c r="W408" i="8"/>
  <c r="V399" i="8"/>
  <c r="V423" i="8"/>
  <c r="X422" i="9"/>
  <c r="V417" i="9"/>
  <c r="X431" i="9"/>
  <c r="V405" i="9"/>
  <c r="V428" i="9"/>
  <c r="X427" i="9"/>
  <c r="X426" i="9"/>
  <c r="X407" i="9"/>
  <c r="V413" i="9"/>
  <c r="X404" i="9"/>
  <c r="X395" i="9"/>
  <c r="X399" i="9"/>
  <c r="W401" i="9"/>
  <c r="W431" i="9"/>
  <c r="X420" i="9"/>
  <c r="W415" i="9"/>
  <c r="X419" i="9"/>
  <c r="W410" i="9"/>
  <c r="W422" i="9"/>
  <c r="V411" i="9"/>
  <c r="W418" i="9"/>
  <c r="V419" i="9"/>
  <c r="V403" i="9"/>
  <c r="V395" i="9"/>
  <c r="W426" i="9"/>
  <c r="V415" i="9"/>
  <c r="V410" i="9"/>
  <c r="W407" i="9"/>
  <c r="V422" i="9"/>
  <c r="V418" i="9"/>
  <c r="W430" i="9"/>
  <c r="W398" i="9"/>
  <c r="W429" i="9"/>
  <c r="W421" i="9"/>
  <c r="W413" i="9"/>
  <c r="W405" i="9"/>
  <c r="W403" i="9"/>
  <c r="X400" i="9"/>
  <c r="V398" i="9"/>
  <c r="W395" i="9"/>
  <c r="V431" i="9"/>
  <c r="V426" i="9"/>
  <c r="W423" i="9"/>
  <c r="V427" i="9"/>
  <c r="W406" i="9"/>
  <c r="V423" i="9"/>
  <c r="V407" i="9"/>
  <c r="V430" i="9"/>
  <c r="W427" i="9"/>
  <c r="X423" i="9"/>
  <c r="W414" i="9"/>
  <c r="V399" i="9"/>
  <c r="V406" i="9"/>
  <c r="V414" i="9"/>
  <c r="W411" i="9"/>
  <c r="W402" i="9"/>
  <c r="W433" i="9"/>
  <c r="W425" i="9"/>
  <c r="W417" i="9"/>
  <c r="W409" i="9"/>
  <c r="V402" i="9"/>
  <c r="W399" i="9"/>
  <c r="X396" i="9"/>
  <c r="W86" i="8"/>
  <c r="V86" i="9"/>
  <c r="X86" i="9"/>
  <c r="X86" i="8"/>
  <c r="V86" i="8"/>
  <c r="W86" i="9"/>
  <c r="X307" i="8"/>
  <c r="V307" i="9"/>
  <c r="W307" i="8"/>
  <c r="V307" i="8"/>
  <c r="X307" i="9"/>
  <c r="W307" i="9"/>
  <c r="V370" i="8"/>
  <c r="W370" i="8"/>
  <c r="W370" i="9"/>
  <c r="V370" i="9"/>
  <c r="V110" i="8"/>
  <c r="W110" i="9"/>
  <c r="W110" i="8"/>
  <c r="X110" i="8"/>
  <c r="X110" i="9"/>
  <c r="V110" i="9"/>
  <c r="V70" i="9"/>
  <c r="V70" i="8"/>
  <c r="W70" i="9"/>
  <c r="X70" i="9"/>
  <c r="X70" i="8"/>
  <c r="W70" i="8"/>
  <c r="V118" i="8"/>
  <c r="W118" i="8"/>
  <c r="V118" i="9"/>
  <c r="X118" i="9"/>
  <c r="X118" i="8"/>
  <c r="W118" i="9"/>
  <c r="W74" i="8"/>
  <c r="V74" i="8"/>
  <c r="X74" i="8"/>
  <c r="W74" i="9"/>
  <c r="X74" i="9"/>
  <c r="V74" i="9"/>
  <c r="X90" i="8"/>
  <c r="V90" i="8"/>
  <c r="W90" i="9"/>
  <c r="X90" i="9"/>
  <c r="V90" i="9"/>
  <c r="V111" i="8"/>
  <c r="X111" i="9"/>
  <c r="V111" i="9"/>
  <c r="W90" i="8"/>
  <c r="X111" i="8"/>
  <c r="W111" i="8"/>
  <c r="W111" i="9"/>
  <c r="W28" i="9"/>
  <c r="W17" i="9"/>
  <c r="X157" i="8"/>
  <c r="X157" i="9"/>
  <c r="W157" i="9"/>
  <c r="V16" i="9"/>
  <c r="W16" i="9"/>
  <c r="V28" i="8"/>
  <c r="W28" i="8"/>
  <c r="X28" i="8"/>
  <c r="X16" i="8"/>
  <c r="W89" i="8"/>
  <c r="V89" i="9"/>
  <c r="V28" i="9"/>
  <c r="W83" i="8"/>
  <c r="W157" i="8"/>
  <c r="V157" i="8"/>
  <c r="V83" i="9"/>
  <c r="V16" i="8"/>
  <c r="W16" i="8"/>
  <c r="X89" i="9"/>
  <c r="X89" i="8"/>
  <c r="X28" i="9"/>
  <c r="W17" i="8"/>
  <c r="V17" i="9"/>
  <c r="W83" i="9"/>
  <c r="V157" i="9"/>
  <c r="V89" i="8"/>
  <c r="X16" i="9"/>
  <c r="V17" i="8"/>
  <c r="V83" i="8"/>
  <c r="X83" i="8"/>
  <c r="X83" i="9"/>
  <c r="W89" i="9"/>
  <c r="C391" i="9"/>
  <c r="P391" i="9" s="1"/>
  <c r="C391" i="8"/>
  <c r="P391" i="8" s="1"/>
  <c r="B391" i="6"/>
  <c r="D388" i="5"/>
  <c r="E388" i="5" s="1"/>
  <c r="C390" i="9"/>
  <c r="P390" i="9" s="1"/>
  <c r="C390" i="8"/>
  <c r="P390" i="8" s="1"/>
  <c r="B390" i="6"/>
  <c r="D387" i="5"/>
  <c r="E387" i="5" s="1"/>
  <c r="C385" i="9"/>
  <c r="P385" i="9" s="1"/>
  <c r="C385" i="8"/>
  <c r="P385" i="8" s="1"/>
  <c r="B385" i="6"/>
  <c r="D382" i="5"/>
  <c r="E382" i="5" s="1"/>
  <c r="C381" i="9"/>
  <c r="P381" i="9" s="1"/>
  <c r="C381" i="8"/>
  <c r="P381" i="8" s="1"/>
  <c r="B381" i="6"/>
  <c r="D378" i="5"/>
  <c r="E378" i="5" s="1"/>
  <c r="C377" i="9"/>
  <c r="P377" i="9" s="1"/>
  <c r="B377" i="6"/>
  <c r="C377" i="8"/>
  <c r="P377" i="8" s="1"/>
  <c r="D374" i="5"/>
  <c r="E374" i="5" s="1"/>
  <c r="C373" i="9"/>
  <c r="P373" i="9" s="1"/>
  <c r="C373" i="8"/>
  <c r="P373" i="8" s="1"/>
  <c r="B373" i="6"/>
  <c r="D370" i="5"/>
  <c r="E370" i="5" s="1"/>
  <c r="C369" i="9"/>
  <c r="P369" i="9" s="1"/>
  <c r="C369" i="8"/>
  <c r="P369" i="8" s="1"/>
  <c r="B369" i="6"/>
  <c r="D366" i="5"/>
  <c r="E366" i="5" s="1"/>
  <c r="C365" i="9"/>
  <c r="P365" i="9" s="1"/>
  <c r="C365" i="8"/>
  <c r="P365" i="8" s="1"/>
  <c r="B365" i="6"/>
  <c r="D362" i="5"/>
  <c r="E362" i="5" s="1"/>
  <c r="C361" i="9"/>
  <c r="P361" i="9" s="1"/>
  <c r="C361" i="8"/>
  <c r="P361" i="8" s="1"/>
  <c r="B361" i="6"/>
  <c r="D358" i="5"/>
  <c r="E358" i="5" s="1"/>
  <c r="C357" i="9"/>
  <c r="P357" i="9" s="1"/>
  <c r="C357" i="8"/>
  <c r="P357" i="8" s="1"/>
  <c r="B357" i="6"/>
  <c r="D354" i="5"/>
  <c r="E354" i="5" s="1"/>
  <c r="C353" i="9"/>
  <c r="P353" i="9" s="1"/>
  <c r="C353" i="8"/>
  <c r="P353" i="8" s="1"/>
  <c r="B353" i="6"/>
  <c r="D350" i="5"/>
  <c r="E350" i="5" s="1"/>
  <c r="C349" i="9"/>
  <c r="P349" i="9" s="1"/>
  <c r="C349" i="8"/>
  <c r="P349" i="8" s="1"/>
  <c r="B349" i="6"/>
  <c r="D346" i="5"/>
  <c r="E346" i="5" s="1"/>
  <c r="F346" i="5" s="1"/>
  <c r="C345" i="9"/>
  <c r="P345" i="9" s="1"/>
  <c r="C345" i="8"/>
  <c r="P345" i="8" s="1"/>
  <c r="B345" i="6"/>
  <c r="D342" i="5"/>
  <c r="E342" i="5" s="1"/>
  <c r="C341" i="9"/>
  <c r="P341" i="9" s="1"/>
  <c r="C341" i="8"/>
  <c r="P341" i="8" s="1"/>
  <c r="B341" i="6"/>
  <c r="D338" i="5"/>
  <c r="E338" i="5" s="1"/>
  <c r="C337" i="9"/>
  <c r="P337" i="9" s="1"/>
  <c r="C337" i="8"/>
  <c r="P337" i="8" s="1"/>
  <c r="B337" i="6"/>
  <c r="D334" i="5"/>
  <c r="E334" i="5" s="1"/>
  <c r="C333" i="9"/>
  <c r="P333" i="9" s="1"/>
  <c r="C333" i="8"/>
  <c r="P333" i="8" s="1"/>
  <c r="B333" i="6"/>
  <c r="D330" i="5"/>
  <c r="E330" i="5" s="1"/>
  <c r="C330" i="9"/>
  <c r="P330" i="9" s="1"/>
  <c r="C330" i="8"/>
  <c r="P330" i="8" s="1"/>
  <c r="B330" i="6"/>
  <c r="D327" i="5"/>
  <c r="E327" i="5" s="1"/>
  <c r="C326" i="9"/>
  <c r="P326" i="9" s="1"/>
  <c r="C326" i="8"/>
  <c r="P326" i="8" s="1"/>
  <c r="B326" i="6"/>
  <c r="D323" i="5"/>
  <c r="E323" i="5" s="1"/>
  <c r="C322" i="9"/>
  <c r="P322" i="9" s="1"/>
  <c r="C322" i="8"/>
  <c r="P322" i="8" s="1"/>
  <c r="B322" i="6"/>
  <c r="D319" i="5"/>
  <c r="E319" i="5" s="1"/>
  <c r="C318" i="9"/>
  <c r="P318" i="9" s="1"/>
  <c r="C318" i="8"/>
  <c r="P318" i="8" s="1"/>
  <c r="B318" i="6"/>
  <c r="D315" i="5"/>
  <c r="E315" i="5" s="1"/>
  <c r="C314" i="9"/>
  <c r="P314" i="9" s="1"/>
  <c r="C314" i="8"/>
  <c r="P314" i="8" s="1"/>
  <c r="B314" i="6"/>
  <c r="D311" i="5"/>
  <c r="E311" i="5" s="1"/>
  <c r="C310" i="9"/>
  <c r="P310" i="9" s="1"/>
  <c r="C310" i="8"/>
  <c r="P310" i="8" s="1"/>
  <c r="B310" i="6"/>
  <c r="D307" i="5"/>
  <c r="E307" i="5" s="1"/>
  <c r="C305" i="9"/>
  <c r="P305" i="9" s="1"/>
  <c r="C305" i="8"/>
  <c r="P305" i="8" s="1"/>
  <c r="D302" i="5"/>
  <c r="E302" i="5" s="1"/>
  <c r="B305" i="6"/>
  <c r="C301" i="9"/>
  <c r="P301" i="9" s="1"/>
  <c r="C301" i="8"/>
  <c r="P301" i="8" s="1"/>
  <c r="D298" i="5"/>
  <c r="E298" i="5" s="1"/>
  <c r="B301" i="6"/>
  <c r="C297" i="9"/>
  <c r="P297" i="9" s="1"/>
  <c r="C297" i="8"/>
  <c r="P297" i="8" s="1"/>
  <c r="D294" i="5"/>
  <c r="E294" i="5" s="1"/>
  <c r="B297" i="6"/>
  <c r="C293" i="9"/>
  <c r="P293" i="9" s="1"/>
  <c r="C293" i="8"/>
  <c r="P293" i="8" s="1"/>
  <c r="D290" i="5"/>
  <c r="E290" i="5" s="1"/>
  <c r="B293" i="6"/>
  <c r="C289" i="9"/>
  <c r="P289" i="9" s="1"/>
  <c r="C289" i="8"/>
  <c r="P289" i="8" s="1"/>
  <c r="D286" i="5"/>
  <c r="E286" i="5" s="1"/>
  <c r="B289" i="6"/>
  <c r="C287" i="9"/>
  <c r="P287" i="9" s="1"/>
  <c r="C287" i="8"/>
  <c r="P287" i="8" s="1"/>
  <c r="D284" i="5"/>
  <c r="E284" i="5" s="1"/>
  <c r="B287" i="6"/>
  <c r="C283" i="9"/>
  <c r="P283" i="9" s="1"/>
  <c r="C283" i="8"/>
  <c r="P283" i="8" s="1"/>
  <c r="D280" i="5"/>
  <c r="E280" i="5" s="1"/>
  <c r="B283" i="6"/>
  <c r="C279" i="9"/>
  <c r="P279" i="9" s="1"/>
  <c r="C279" i="8"/>
  <c r="P279" i="8" s="1"/>
  <c r="D276" i="5"/>
  <c r="E276" i="5" s="1"/>
  <c r="B279" i="6"/>
  <c r="C273" i="9"/>
  <c r="P273" i="9" s="1"/>
  <c r="C273" i="8"/>
  <c r="P273" i="8" s="1"/>
  <c r="D270" i="5"/>
  <c r="E270" i="5" s="1"/>
  <c r="B273" i="6"/>
  <c r="C269" i="9"/>
  <c r="P269" i="9" s="1"/>
  <c r="C269" i="8"/>
  <c r="P269" i="8" s="1"/>
  <c r="D266" i="5"/>
  <c r="E266" i="5" s="1"/>
  <c r="B269" i="6"/>
  <c r="C265" i="9"/>
  <c r="P265" i="9" s="1"/>
  <c r="C265" i="8"/>
  <c r="P265" i="8" s="1"/>
  <c r="D262" i="5"/>
  <c r="E262" i="5" s="1"/>
  <c r="B265" i="6"/>
  <c r="C261" i="9"/>
  <c r="P261" i="9" s="1"/>
  <c r="C261" i="8"/>
  <c r="P261" i="8" s="1"/>
  <c r="D258" i="5"/>
  <c r="E258" i="5" s="1"/>
  <c r="B261" i="6"/>
  <c r="C257" i="9"/>
  <c r="P257" i="9" s="1"/>
  <c r="C257" i="8"/>
  <c r="P257" i="8" s="1"/>
  <c r="D254" i="5"/>
  <c r="E254" i="5" s="1"/>
  <c r="B257" i="6"/>
  <c r="C253" i="9"/>
  <c r="P253" i="9" s="1"/>
  <c r="C253" i="8"/>
  <c r="P253" i="8" s="1"/>
  <c r="D250" i="5"/>
  <c r="E250" i="5" s="1"/>
  <c r="B253" i="6"/>
  <c r="C249" i="9"/>
  <c r="P249" i="9" s="1"/>
  <c r="C249" i="8"/>
  <c r="P249" i="8" s="1"/>
  <c r="D246" i="5"/>
  <c r="E246" i="5" s="1"/>
  <c r="B249" i="6"/>
  <c r="C245" i="9"/>
  <c r="P245" i="9" s="1"/>
  <c r="C245" i="8"/>
  <c r="P245" i="8" s="1"/>
  <c r="D242" i="5"/>
  <c r="E242" i="5" s="1"/>
  <c r="B245" i="6"/>
  <c r="C241" i="9"/>
  <c r="P241" i="9" s="1"/>
  <c r="C241" i="8"/>
  <c r="P241" i="8" s="1"/>
  <c r="D238" i="5"/>
  <c r="E238" i="5" s="1"/>
  <c r="B241" i="6"/>
  <c r="C237" i="9"/>
  <c r="P237" i="9" s="1"/>
  <c r="C237" i="8"/>
  <c r="P237" i="8" s="1"/>
  <c r="D234" i="5"/>
  <c r="E234" i="5" s="1"/>
  <c r="B237" i="6"/>
  <c r="C233" i="9"/>
  <c r="P233" i="9" s="1"/>
  <c r="C233" i="8"/>
  <c r="P233" i="8" s="1"/>
  <c r="D230" i="5"/>
  <c r="E230" i="5" s="1"/>
  <c r="B233" i="6"/>
  <c r="C229" i="9"/>
  <c r="P229" i="9" s="1"/>
  <c r="C229" i="8"/>
  <c r="P229" i="8" s="1"/>
  <c r="B229" i="6"/>
  <c r="C225" i="9"/>
  <c r="P225" i="9" s="1"/>
  <c r="C225" i="8"/>
  <c r="P225" i="8" s="1"/>
  <c r="D222" i="5"/>
  <c r="E222" i="5" s="1"/>
  <c r="B225" i="6"/>
  <c r="C221" i="9"/>
  <c r="P221" i="9" s="1"/>
  <c r="C221" i="8"/>
  <c r="P221" i="8" s="1"/>
  <c r="D218" i="5"/>
  <c r="E218" i="5" s="1"/>
  <c r="B221" i="6"/>
  <c r="C217" i="9"/>
  <c r="P217" i="9" s="1"/>
  <c r="C217" i="8"/>
  <c r="P217" i="8" s="1"/>
  <c r="D214" i="5"/>
  <c r="E214" i="5" s="1"/>
  <c r="B217" i="6"/>
  <c r="C213" i="9"/>
  <c r="P213" i="9" s="1"/>
  <c r="C213" i="8"/>
  <c r="P213" i="8" s="1"/>
  <c r="D210" i="5"/>
  <c r="E210" i="5" s="1"/>
  <c r="B213" i="6"/>
  <c r="C209" i="9"/>
  <c r="P209" i="9" s="1"/>
  <c r="C209" i="8"/>
  <c r="P209" i="8" s="1"/>
  <c r="D206" i="5"/>
  <c r="E206" i="5" s="1"/>
  <c r="B209" i="6"/>
  <c r="C205" i="9"/>
  <c r="P205" i="9" s="1"/>
  <c r="C205" i="8"/>
  <c r="P205" i="8" s="1"/>
  <c r="D202" i="5"/>
  <c r="E202" i="5" s="1"/>
  <c r="B205" i="6"/>
  <c r="C201" i="9"/>
  <c r="P201" i="9" s="1"/>
  <c r="C201" i="8"/>
  <c r="P201" i="8" s="1"/>
  <c r="D198" i="5"/>
  <c r="E198" i="5" s="1"/>
  <c r="B201" i="6"/>
  <c r="C197" i="9"/>
  <c r="P197" i="9" s="1"/>
  <c r="C197" i="8"/>
  <c r="P197" i="8" s="1"/>
  <c r="D194" i="5"/>
  <c r="E194" i="5" s="1"/>
  <c r="B197" i="6"/>
  <c r="C193" i="9"/>
  <c r="P193" i="9" s="1"/>
  <c r="C193" i="8"/>
  <c r="P193" i="8" s="1"/>
  <c r="D190" i="5"/>
  <c r="E190" i="5" s="1"/>
  <c r="B193" i="6"/>
  <c r="C189" i="9"/>
  <c r="P189" i="9" s="1"/>
  <c r="C189" i="8"/>
  <c r="P189" i="8" s="1"/>
  <c r="D186" i="5"/>
  <c r="E186" i="5" s="1"/>
  <c r="B189" i="6"/>
  <c r="C185" i="9"/>
  <c r="P185" i="9" s="1"/>
  <c r="C185" i="8"/>
  <c r="P185" i="8" s="1"/>
  <c r="D182" i="5"/>
  <c r="E182" i="5" s="1"/>
  <c r="B185" i="6"/>
  <c r="C181" i="9"/>
  <c r="P181" i="9" s="1"/>
  <c r="C181" i="8"/>
  <c r="P181" i="8" s="1"/>
  <c r="D178" i="5"/>
  <c r="E178" i="5" s="1"/>
  <c r="B181" i="6"/>
  <c r="C177" i="9"/>
  <c r="P177" i="9" s="1"/>
  <c r="C177" i="8"/>
  <c r="P177" i="8" s="1"/>
  <c r="D174" i="5"/>
  <c r="E174" i="5" s="1"/>
  <c r="B177" i="6"/>
  <c r="C173" i="9"/>
  <c r="P173" i="9" s="1"/>
  <c r="C173" i="8"/>
  <c r="P173" i="8" s="1"/>
  <c r="D170" i="5"/>
  <c r="E170" i="5" s="1"/>
  <c r="B173" i="6"/>
  <c r="C169" i="9"/>
  <c r="P169" i="9" s="1"/>
  <c r="C169" i="8"/>
  <c r="P169" i="8" s="1"/>
  <c r="D166" i="5"/>
  <c r="E166" i="5" s="1"/>
  <c r="B169" i="6"/>
  <c r="C165" i="9"/>
  <c r="P165" i="9" s="1"/>
  <c r="C165" i="8"/>
  <c r="P165" i="8" s="1"/>
  <c r="D162" i="5"/>
  <c r="E162" i="5" s="1"/>
  <c r="B165" i="6"/>
  <c r="C161" i="9"/>
  <c r="P161" i="9" s="1"/>
  <c r="C161" i="8"/>
  <c r="P161" i="8" s="1"/>
  <c r="D158" i="5"/>
  <c r="E158" i="5" s="1"/>
  <c r="B161" i="6"/>
  <c r="C156" i="9"/>
  <c r="P156" i="9" s="1"/>
  <c r="C156" i="8"/>
  <c r="P156" i="8" s="1"/>
  <c r="B156" i="6"/>
  <c r="D153" i="5"/>
  <c r="E153" i="5" s="1"/>
  <c r="C152" i="9"/>
  <c r="P152" i="9" s="1"/>
  <c r="C152" i="8"/>
  <c r="P152" i="8" s="1"/>
  <c r="B152" i="6"/>
  <c r="D149" i="5"/>
  <c r="E149" i="5" s="1"/>
  <c r="C148" i="9"/>
  <c r="P148" i="9" s="1"/>
  <c r="C148" i="8"/>
  <c r="P148" i="8" s="1"/>
  <c r="B148" i="6"/>
  <c r="D145" i="5"/>
  <c r="E145" i="5" s="1"/>
  <c r="C144" i="9"/>
  <c r="P144" i="9" s="1"/>
  <c r="C144" i="8"/>
  <c r="P144" i="8" s="1"/>
  <c r="B144" i="6"/>
  <c r="D141" i="5"/>
  <c r="E141" i="5" s="1"/>
  <c r="C140" i="9"/>
  <c r="P140" i="9" s="1"/>
  <c r="C140" i="8"/>
  <c r="P140" i="8" s="1"/>
  <c r="B140" i="6"/>
  <c r="D137" i="5"/>
  <c r="E137" i="5" s="1"/>
  <c r="C136" i="9"/>
  <c r="P136" i="9" s="1"/>
  <c r="C136" i="8"/>
  <c r="P136" i="8" s="1"/>
  <c r="B136" i="6"/>
  <c r="D133" i="5"/>
  <c r="E133" i="5" s="1"/>
  <c r="C129" i="9"/>
  <c r="P129" i="9" s="1"/>
  <c r="C129" i="8"/>
  <c r="P129" i="8" s="1"/>
  <c r="B129" i="6"/>
  <c r="D126" i="5"/>
  <c r="E126" i="5" s="1"/>
  <c r="C125" i="9"/>
  <c r="P125" i="9" s="1"/>
  <c r="C125" i="8"/>
  <c r="P125" i="8" s="1"/>
  <c r="B125" i="6"/>
  <c r="D122" i="5"/>
  <c r="E122" i="5" s="1"/>
  <c r="C121" i="9"/>
  <c r="P121" i="9" s="1"/>
  <c r="C121" i="8"/>
  <c r="P121" i="8" s="1"/>
  <c r="B121" i="6"/>
  <c r="D118" i="5"/>
  <c r="E118" i="5" s="1"/>
  <c r="C116" i="9"/>
  <c r="P116" i="9" s="1"/>
  <c r="C116" i="8"/>
  <c r="P116" i="8" s="1"/>
  <c r="D113" i="5"/>
  <c r="E113" i="5" s="1"/>
  <c r="B116" i="6"/>
  <c r="C112" i="9"/>
  <c r="P112" i="9" s="1"/>
  <c r="C112" i="8"/>
  <c r="P112" i="8" s="1"/>
  <c r="D109" i="5"/>
  <c r="E109" i="5" s="1"/>
  <c r="B112" i="6"/>
  <c r="C106" i="9"/>
  <c r="P106" i="9" s="1"/>
  <c r="C106" i="8"/>
  <c r="P106" i="8" s="1"/>
  <c r="D103" i="5"/>
  <c r="E103" i="5" s="1"/>
  <c r="B106" i="6"/>
  <c r="C102" i="9"/>
  <c r="P102" i="9" s="1"/>
  <c r="C102" i="8"/>
  <c r="P102" i="8" s="1"/>
  <c r="D99" i="5"/>
  <c r="E99" i="5" s="1"/>
  <c r="B102" i="6"/>
  <c r="C98" i="9"/>
  <c r="P98" i="9" s="1"/>
  <c r="C98" i="8"/>
  <c r="P98" i="8" s="1"/>
  <c r="D95" i="5"/>
  <c r="E95" i="5" s="1"/>
  <c r="B98" i="6"/>
  <c r="C94" i="9"/>
  <c r="P94" i="9" s="1"/>
  <c r="C94" i="8"/>
  <c r="P94" i="8" s="1"/>
  <c r="D91" i="5"/>
  <c r="E91" i="5" s="1"/>
  <c r="B94" i="6"/>
  <c r="C88" i="9"/>
  <c r="P88" i="9" s="1"/>
  <c r="C88" i="8"/>
  <c r="P88" i="8" s="1"/>
  <c r="B88" i="6"/>
  <c r="C82" i="9"/>
  <c r="P82" i="9" s="1"/>
  <c r="C82" i="8"/>
  <c r="P82" i="8" s="1"/>
  <c r="D79" i="5"/>
  <c r="E79" i="5" s="1"/>
  <c r="B82" i="6"/>
  <c r="C78" i="9"/>
  <c r="P78" i="9" s="1"/>
  <c r="C78" i="8"/>
  <c r="P78" i="8" s="1"/>
  <c r="D75" i="5"/>
  <c r="E75" i="5" s="1"/>
  <c r="B78" i="6"/>
  <c r="C73" i="9"/>
  <c r="P73" i="9" s="1"/>
  <c r="C73" i="8"/>
  <c r="P73" i="8" s="1"/>
  <c r="B73" i="6"/>
  <c r="D70" i="5"/>
  <c r="E70" i="5" s="1"/>
  <c r="C68" i="9"/>
  <c r="P68" i="9" s="1"/>
  <c r="C68" i="8"/>
  <c r="P68" i="8" s="1"/>
  <c r="D65" i="5"/>
  <c r="E65" i="5" s="1"/>
  <c r="B68" i="6"/>
  <c r="C64" i="9"/>
  <c r="P64" i="9" s="1"/>
  <c r="C64" i="8"/>
  <c r="P64" i="8" s="1"/>
  <c r="D61" i="5"/>
  <c r="E61" i="5" s="1"/>
  <c r="B64" i="6"/>
  <c r="C60" i="9"/>
  <c r="P60" i="9" s="1"/>
  <c r="C60" i="8"/>
  <c r="P60" i="8" s="1"/>
  <c r="D57" i="5"/>
  <c r="E57" i="5" s="1"/>
  <c r="B60" i="6"/>
  <c r="C56" i="9"/>
  <c r="P56" i="9" s="1"/>
  <c r="C56" i="8"/>
  <c r="P56" i="8" s="1"/>
  <c r="D53" i="5"/>
  <c r="E53" i="5" s="1"/>
  <c r="B56" i="6"/>
  <c r="C52" i="9"/>
  <c r="P52" i="9" s="1"/>
  <c r="C52" i="8"/>
  <c r="P52" i="8" s="1"/>
  <c r="D49" i="5"/>
  <c r="E49" i="5" s="1"/>
  <c r="B52" i="6"/>
  <c r="C48" i="9"/>
  <c r="P48" i="9" s="1"/>
  <c r="C48" i="8"/>
  <c r="P48" i="8" s="1"/>
  <c r="D45" i="5"/>
  <c r="E45" i="5" s="1"/>
  <c r="B48" i="6"/>
  <c r="C44" i="9"/>
  <c r="P44" i="9" s="1"/>
  <c r="C44" i="8"/>
  <c r="P44" i="8" s="1"/>
  <c r="D41" i="5"/>
  <c r="E41" i="5" s="1"/>
  <c r="B44" i="6"/>
  <c r="C40" i="9"/>
  <c r="P40" i="9" s="1"/>
  <c r="C40" i="8"/>
  <c r="P40" i="8" s="1"/>
  <c r="D37" i="5"/>
  <c r="E37" i="5" s="1"/>
  <c r="B40" i="6"/>
  <c r="C36" i="9"/>
  <c r="P36" i="9" s="1"/>
  <c r="C36" i="8"/>
  <c r="P36" i="8" s="1"/>
  <c r="D33" i="5"/>
  <c r="E33" i="5" s="1"/>
  <c r="B36" i="6"/>
  <c r="C32" i="9"/>
  <c r="P32" i="9" s="1"/>
  <c r="C32" i="8"/>
  <c r="P32" i="8" s="1"/>
  <c r="D29" i="5"/>
  <c r="E29" i="5" s="1"/>
  <c r="B32" i="6"/>
  <c r="C27" i="9"/>
  <c r="P27" i="9" s="1"/>
  <c r="C27" i="8"/>
  <c r="P27" i="8" s="1"/>
  <c r="B27" i="6"/>
  <c r="D24" i="5"/>
  <c r="E24" i="5" s="1"/>
  <c r="C23" i="9"/>
  <c r="P23" i="9" s="1"/>
  <c r="C23" i="8"/>
  <c r="P23" i="8" s="1"/>
  <c r="B23" i="6"/>
  <c r="D20" i="5"/>
  <c r="E20" i="5" s="1"/>
  <c r="C19" i="9"/>
  <c r="P19" i="9" s="1"/>
  <c r="C19" i="8"/>
  <c r="P19" i="8" s="1"/>
  <c r="B19" i="6"/>
  <c r="D16" i="5"/>
  <c r="E16" i="5" s="1"/>
  <c r="C13" i="9"/>
  <c r="P13" i="9" s="1"/>
  <c r="C13" i="8"/>
  <c r="P13" i="8" s="1"/>
  <c r="B13" i="6"/>
  <c r="D10" i="5"/>
  <c r="E10" i="5" s="1"/>
  <c r="AI4" i="98"/>
  <c r="AH4" i="98"/>
  <c r="AA4" i="98"/>
  <c r="Z4" i="98"/>
  <c r="N4" i="98"/>
  <c r="AI44" i="36" l="1"/>
  <c r="M44" i="36"/>
  <c r="AI148" i="36"/>
  <c r="M148" i="36"/>
  <c r="AI246" i="36"/>
  <c r="M246" i="36"/>
  <c r="AI159" i="36"/>
  <c r="M159" i="36"/>
  <c r="AI285" i="36"/>
  <c r="M285" i="36"/>
  <c r="AI236" i="36"/>
  <c r="M236" i="36"/>
  <c r="AI221" i="36"/>
  <c r="M221" i="36"/>
  <c r="AI269" i="36"/>
  <c r="M269" i="36"/>
  <c r="AI382" i="36"/>
  <c r="M382" i="36"/>
  <c r="AI78" i="36"/>
  <c r="M78" i="36"/>
  <c r="AI182" i="36"/>
  <c r="M182" i="36"/>
  <c r="AI53" i="36"/>
  <c r="M53" i="36"/>
  <c r="AI191" i="36"/>
  <c r="M191" i="36"/>
  <c r="AI138" i="36"/>
  <c r="M138" i="36"/>
  <c r="AI268" i="36"/>
  <c r="M268" i="36"/>
  <c r="AI287" i="36"/>
  <c r="M287" i="36"/>
  <c r="AI306" i="36"/>
  <c r="M306" i="36"/>
  <c r="AI370" i="36"/>
  <c r="M370" i="36"/>
  <c r="AI89" i="36"/>
  <c r="M89" i="36"/>
  <c r="AI223" i="36"/>
  <c r="M223" i="36"/>
  <c r="AI316" i="36"/>
  <c r="M316" i="36"/>
  <c r="AI172" i="36"/>
  <c r="M172" i="36"/>
  <c r="AI296" i="36"/>
  <c r="M296" i="36"/>
  <c r="AI360" i="36"/>
  <c r="M360" i="36"/>
  <c r="AI237" i="36"/>
  <c r="M237" i="36"/>
  <c r="AI330" i="36"/>
  <c r="M330" i="36"/>
  <c r="AI338" i="36"/>
  <c r="M338" i="36"/>
  <c r="AI255" i="36"/>
  <c r="M255" i="36"/>
  <c r="AI347" i="36"/>
  <c r="M347" i="36"/>
  <c r="AI380" i="36"/>
  <c r="M380" i="36"/>
  <c r="AI204" i="36"/>
  <c r="M204" i="36"/>
  <c r="AI329" i="36"/>
  <c r="M329" i="36"/>
  <c r="AI193" i="36"/>
  <c r="M193" i="36"/>
  <c r="AI333" i="36"/>
  <c r="M333" i="36"/>
  <c r="T94" i="6"/>
  <c r="S94" i="6"/>
  <c r="T112" i="6"/>
  <c r="S112" i="6"/>
  <c r="T169" i="6"/>
  <c r="S169" i="6"/>
  <c r="T185" i="6"/>
  <c r="S185" i="6"/>
  <c r="T197" i="6"/>
  <c r="S197" i="6"/>
  <c r="T205" i="6"/>
  <c r="S205" i="6"/>
  <c r="T221" i="6"/>
  <c r="S221" i="6"/>
  <c r="T314" i="6"/>
  <c r="S314" i="6"/>
  <c r="T330" i="6"/>
  <c r="S330" i="6"/>
  <c r="T345" i="6"/>
  <c r="S345" i="6"/>
  <c r="T361" i="6"/>
  <c r="S361" i="6"/>
  <c r="T391" i="6"/>
  <c r="S391" i="6"/>
  <c r="T75" i="6"/>
  <c r="S75" i="6"/>
  <c r="T99" i="6"/>
  <c r="S99" i="6"/>
  <c r="T117" i="6"/>
  <c r="S117" i="6"/>
  <c r="T170" i="6"/>
  <c r="S170" i="6"/>
  <c r="T186" i="6"/>
  <c r="S186" i="6"/>
  <c r="T202" i="6"/>
  <c r="S202" i="6"/>
  <c r="T218" i="6"/>
  <c r="S218" i="6"/>
  <c r="T234" i="6"/>
  <c r="S234" i="6"/>
  <c r="T250" i="6"/>
  <c r="S250" i="6"/>
  <c r="T258" i="6"/>
  <c r="S258" i="6"/>
  <c r="T262" i="6"/>
  <c r="S262" i="6"/>
  <c r="T276" i="6"/>
  <c r="S276" i="6"/>
  <c r="T280" i="6"/>
  <c r="S280" i="6"/>
  <c r="T284" i="6"/>
  <c r="S284" i="6"/>
  <c r="T288" i="6"/>
  <c r="S288" i="6"/>
  <c r="T290" i="6"/>
  <c r="S290" i="6"/>
  <c r="T294" i="6"/>
  <c r="S294" i="6"/>
  <c r="T298" i="6"/>
  <c r="S298" i="6"/>
  <c r="T302" i="6"/>
  <c r="S302" i="6"/>
  <c r="T306" i="6"/>
  <c r="S306" i="6"/>
  <c r="T15" i="6"/>
  <c r="S15" i="6"/>
  <c r="T21" i="6"/>
  <c r="S21" i="6"/>
  <c r="T25" i="6"/>
  <c r="S25" i="6"/>
  <c r="T71" i="6"/>
  <c r="S71" i="6"/>
  <c r="T85" i="6"/>
  <c r="S85" i="6"/>
  <c r="T372" i="6"/>
  <c r="S372" i="6"/>
  <c r="T376" i="6"/>
  <c r="S376" i="6"/>
  <c r="T380" i="6"/>
  <c r="S380" i="6"/>
  <c r="T384" i="6"/>
  <c r="S384" i="6"/>
  <c r="T388" i="6"/>
  <c r="S388" i="6"/>
  <c r="T389" i="6"/>
  <c r="S389" i="6"/>
  <c r="T394" i="6"/>
  <c r="S394" i="6"/>
  <c r="T102" i="6"/>
  <c r="S102" i="6"/>
  <c r="T165" i="6"/>
  <c r="S165" i="6"/>
  <c r="T181" i="6"/>
  <c r="S181" i="6"/>
  <c r="T201" i="6"/>
  <c r="S201" i="6"/>
  <c r="T213" i="6"/>
  <c r="S213" i="6"/>
  <c r="T225" i="6"/>
  <c r="S225" i="6"/>
  <c r="T318" i="6"/>
  <c r="S318" i="6"/>
  <c r="T333" i="6"/>
  <c r="S333" i="6"/>
  <c r="T357" i="6"/>
  <c r="S357" i="6"/>
  <c r="T369" i="6"/>
  <c r="S369" i="6"/>
  <c r="T381" i="6"/>
  <c r="S381" i="6"/>
  <c r="T37" i="6"/>
  <c r="S37" i="6"/>
  <c r="T45" i="6"/>
  <c r="S45" i="6"/>
  <c r="T57" i="6"/>
  <c r="S57" i="6"/>
  <c r="T65" i="6"/>
  <c r="S65" i="6"/>
  <c r="T95" i="6"/>
  <c r="S95" i="6"/>
  <c r="T113" i="6"/>
  <c r="S113" i="6"/>
  <c r="T162" i="6"/>
  <c r="S162" i="6"/>
  <c r="T178" i="6"/>
  <c r="S178" i="6"/>
  <c r="T194" i="6"/>
  <c r="S194" i="6"/>
  <c r="T210" i="6"/>
  <c r="S210" i="6"/>
  <c r="T226" i="6"/>
  <c r="S226" i="6"/>
  <c r="T246" i="6"/>
  <c r="S246" i="6"/>
  <c r="T270" i="6"/>
  <c r="S270" i="6"/>
  <c r="T40" i="6"/>
  <c r="S40" i="6"/>
  <c r="T52" i="6"/>
  <c r="S52" i="6"/>
  <c r="T64" i="6"/>
  <c r="S64" i="6"/>
  <c r="T82" i="6"/>
  <c r="S82" i="6"/>
  <c r="T125" i="6"/>
  <c r="S125" i="6"/>
  <c r="T136" i="6"/>
  <c r="S136" i="6"/>
  <c r="T144" i="6"/>
  <c r="S144" i="6"/>
  <c r="T156" i="6"/>
  <c r="S156" i="6"/>
  <c r="T96" i="6"/>
  <c r="S96" i="6"/>
  <c r="T100" i="6"/>
  <c r="S100" i="6"/>
  <c r="T114" i="6"/>
  <c r="S114" i="6"/>
  <c r="T163" i="6"/>
  <c r="S163" i="6"/>
  <c r="T171" i="6"/>
  <c r="S171" i="6"/>
  <c r="T179" i="6"/>
  <c r="S179" i="6"/>
  <c r="T187" i="6"/>
  <c r="S187" i="6"/>
  <c r="T191" i="6"/>
  <c r="S191" i="6"/>
  <c r="T195" i="6"/>
  <c r="S195" i="6"/>
  <c r="T199" i="6"/>
  <c r="S199" i="6"/>
  <c r="T203" i="6"/>
  <c r="S203" i="6"/>
  <c r="T207" i="6"/>
  <c r="S207" i="6"/>
  <c r="T211" i="6"/>
  <c r="S211" i="6"/>
  <c r="T219" i="6"/>
  <c r="S219" i="6"/>
  <c r="T223" i="6"/>
  <c r="S223" i="6"/>
  <c r="T227" i="6"/>
  <c r="S227" i="6"/>
  <c r="T231" i="6"/>
  <c r="S231" i="6"/>
  <c r="T235" i="6"/>
  <c r="S235" i="6"/>
  <c r="T239" i="6"/>
  <c r="S239" i="6"/>
  <c r="T243" i="6"/>
  <c r="S243" i="6"/>
  <c r="T247" i="6"/>
  <c r="S247" i="6"/>
  <c r="T251" i="6"/>
  <c r="S251" i="6"/>
  <c r="T259" i="6"/>
  <c r="S259" i="6"/>
  <c r="T263" i="6"/>
  <c r="S263" i="6"/>
  <c r="T267" i="6"/>
  <c r="S267" i="6"/>
  <c r="T271" i="6"/>
  <c r="S271" i="6"/>
  <c r="T277" i="6"/>
  <c r="S277" i="6"/>
  <c r="T281" i="6"/>
  <c r="S281" i="6"/>
  <c r="T285" i="6"/>
  <c r="S285" i="6"/>
  <c r="T291" i="6"/>
  <c r="S291" i="6"/>
  <c r="T295" i="6"/>
  <c r="S295" i="6"/>
  <c r="T299" i="6"/>
  <c r="S299" i="6"/>
  <c r="T303" i="6"/>
  <c r="S303" i="6"/>
  <c r="T18" i="6"/>
  <c r="S18" i="6"/>
  <c r="T22" i="6"/>
  <c r="S22" i="6"/>
  <c r="T26" i="6"/>
  <c r="S26" i="6"/>
  <c r="T72" i="6"/>
  <c r="S72" i="6"/>
  <c r="T120" i="6"/>
  <c r="S120" i="6"/>
  <c r="T124" i="6"/>
  <c r="S124" i="6"/>
  <c r="T128" i="6"/>
  <c r="S128" i="6"/>
  <c r="T132" i="6"/>
  <c r="S132" i="6"/>
  <c r="T135" i="6"/>
  <c r="S135" i="6"/>
  <c r="T139" i="6"/>
  <c r="S139" i="6"/>
  <c r="T143" i="6"/>
  <c r="S143" i="6"/>
  <c r="T147" i="6"/>
  <c r="S147" i="6"/>
  <c r="T151" i="6"/>
  <c r="S151" i="6"/>
  <c r="T155" i="6"/>
  <c r="S155" i="6"/>
  <c r="T309" i="6"/>
  <c r="S309" i="6"/>
  <c r="T313" i="6"/>
  <c r="S313" i="6"/>
  <c r="T317" i="6"/>
  <c r="S317" i="6"/>
  <c r="T321" i="6"/>
  <c r="S321" i="6"/>
  <c r="T325" i="6"/>
  <c r="S325" i="6"/>
  <c r="T329" i="6"/>
  <c r="S329" i="6"/>
  <c r="T332" i="6"/>
  <c r="S332" i="6"/>
  <c r="T336" i="6"/>
  <c r="S336" i="6"/>
  <c r="T340" i="6"/>
  <c r="S340" i="6"/>
  <c r="T344" i="6"/>
  <c r="S344" i="6"/>
  <c r="T348" i="6"/>
  <c r="S348" i="6"/>
  <c r="T352" i="6"/>
  <c r="S352" i="6"/>
  <c r="T356" i="6"/>
  <c r="S356" i="6"/>
  <c r="T360" i="6"/>
  <c r="S360" i="6"/>
  <c r="T364" i="6"/>
  <c r="S364" i="6"/>
  <c r="T368" i="6"/>
  <c r="S368" i="6"/>
  <c r="T106" i="6"/>
  <c r="S106" i="6"/>
  <c r="T161" i="6"/>
  <c r="S161" i="6"/>
  <c r="T177" i="6"/>
  <c r="S177" i="6"/>
  <c r="T193" i="6"/>
  <c r="S193" i="6"/>
  <c r="T217" i="6"/>
  <c r="S217" i="6"/>
  <c r="T310" i="6"/>
  <c r="S310" i="6"/>
  <c r="T322" i="6"/>
  <c r="S322" i="6"/>
  <c r="T337" i="6"/>
  <c r="S337" i="6"/>
  <c r="T349" i="6"/>
  <c r="S349" i="6"/>
  <c r="T373" i="6"/>
  <c r="S373" i="6"/>
  <c r="T390" i="6"/>
  <c r="S390" i="6"/>
  <c r="T33" i="6"/>
  <c r="S33" i="6"/>
  <c r="T41" i="6"/>
  <c r="S41" i="6"/>
  <c r="T53" i="6"/>
  <c r="S53" i="6"/>
  <c r="T69" i="6"/>
  <c r="S69" i="6"/>
  <c r="T91" i="6"/>
  <c r="S91" i="6"/>
  <c r="T107" i="6"/>
  <c r="S107" i="6"/>
  <c r="T166" i="6"/>
  <c r="S166" i="6"/>
  <c r="T182" i="6"/>
  <c r="S182" i="6"/>
  <c r="T198" i="6"/>
  <c r="S198" i="6"/>
  <c r="T214" i="6"/>
  <c r="S214" i="6"/>
  <c r="T230" i="6"/>
  <c r="S230" i="6"/>
  <c r="T242" i="6"/>
  <c r="S242" i="6"/>
  <c r="T274" i="6"/>
  <c r="S274" i="6"/>
  <c r="T32" i="6"/>
  <c r="S32" i="6"/>
  <c r="T44" i="6"/>
  <c r="S44" i="6"/>
  <c r="T60" i="6"/>
  <c r="S60" i="6"/>
  <c r="T78" i="6"/>
  <c r="S78" i="6"/>
  <c r="T121" i="6"/>
  <c r="S121" i="6"/>
  <c r="T140" i="6"/>
  <c r="S140" i="6"/>
  <c r="T148" i="6"/>
  <c r="S148" i="6"/>
  <c r="T377" i="6"/>
  <c r="S377" i="6"/>
  <c r="T104" i="6"/>
  <c r="S104" i="6"/>
  <c r="T108" i="6"/>
  <c r="S108" i="6"/>
  <c r="T159" i="6"/>
  <c r="S159" i="6"/>
  <c r="T167" i="6"/>
  <c r="S167" i="6"/>
  <c r="T175" i="6"/>
  <c r="S175" i="6"/>
  <c r="T183" i="6"/>
  <c r="S183" i="6"/>
  <c r="T215" i="6"/>
  <c r="S215" i="6"/>
  <c r="T13" i="6"/>
  <c r="S13" i="6"/>
  <c r="T19" i="6"/>
  <c r="S19" i="6"/>
  <c r="T23" i="6"/>
  <c r="S23" i="6"/>
  <c r="T27" i="6"/>
  <c r="S27" i="6"/>
  <c r="T73" i="6"/>
  <c r="S73" i="6"/>
  <c r="T119" i="6"/>
  <c r="S119" i="6"/>
  <c r="T123" i="6"/>
  <c r="S123" i="6"/>
  <c r="T127" i="6"/>
  <c r="S127" i="6"/>
  <c r="T131" i="6"/>
  <c r="S131" i="6"/>
  <c r="T134" i="6"/>
  <c r="S134" i="6"/>
  <c r="T138" i="6"/>
  <c r="S138" i="6"/>
  <c r="T142" i="6"/>
  <c r="S142" i="6"/>
  <c r="T146" i="6"/>
  <c r="S146" i="6"/>
  <c r="T150" i="6"/>
  <c r="S150" i="6"/>
  <c r="T154" i="6"/>
  <c r="S154" i="6"/>
  <c r="T255" i="6"/>
  <c r="S255" i="6"/>
  <c r="T308" i="6"/>
  <c r="S308" i="6"/>
  <c r="T312" i="6"/>
  <c r="S312" i="6"/>
  <c r="T316" i="6"/>
  <c r="S316" i="6"/>
  <c r="T320" i="6"/>
  <c r="S320" i="6"/>
  <c r="T324" i="6"/>
  <c r="S324" i="6"/>
  <c r="T328" i="6"/>
  <c r="S328" i="6"/>
  <c r="T335" i="6"/>
  <c r="S335" i="6"/>
  <c r="T339" i="6"/>
  <c r="S339" i="6"/>
  <c r="T343" i="6"/>
  <c r="S343" i="6"/>
  <c r="T347" i="6"/>
  <c r="S347" i="6"/>
  <c r="T351" i="6"/>
  <c r="S351" i="6"/>
  <c r="T355" i="6"/>
  <c r="S355" i="6"/>
  <c r="T359" i="6"/>
  <c r="S359" i="6"/>
  <c r="T363" i="6"/>
  <c r="S363" i="6"/>
  <c r="T367" i="6"/>
  <c r="S367" i="6"/>
  <c r="T371" i="6"/>
  <c r="S371" i="6"/>
  <c r="T375" i="6"/>
  <c r="S375" i="6"/>
  <c r="T379" i="6"/>
  <c r="S379" i="6"/>
  <c r="T383" i="6"/>
  <c r="S383" i="6"/>
  <c r="T387" i="6"/>
  <c r="S387" i="6"/>
  <c r="T393" i="6"/>
  <c r="S393" i="6"/>
  <c r="T31" i="6"/>
  <c r="S31" i="6"/>
  <c r="T35" i="6"/>
  <c r="S35" i="6"/>
  <c r="T39" i="6"/>
  <c r="S39" i="6"/>
  <c r="T43" i="6"/>
  <c r="S43" i="6"/>
  <c r="T47" i="6"/>
  <c r="S47" i="6"/>
  <c r="T51" i="6"/>
  <c r="S51" i="6"/>
  <c r="T55" i="6"/>
  <c r="S55" i="6"/>
  <c r="T59" i="6"/>
  <c r="S59" i="6"/>
  <c r="T63" i="6"/>
  <c r="S63" i="6"/>
  <c r="T67" i="6"/>
  <c r="S67" i="6"/>
  <c r="T77" i="6"/>
  <c r="S77" i="6"/>
  <c r="T81" i="6"/>
  <c r="S81" i="6"/>
  <c r="T87" i="6"/>
  <c r="S87" i="6"/>
  <c r="T93" i="6"/>
  <c r="S93" i="6"/>
  <c r="T97" i="6"/>
  <c r="S97" i="6"/>
  <c r="T101" i="6"/>
  <c r="S101" i="6"/>
  <c r="T105" i="6"/>
  <c r="S105" i="6"/>
  <c r="T109" i="6"/>
  <c r="S109" i="6"/>
  <c r="T115" i="6"/>
  <c r="S115" i="6"/>
  <c r="T160" i="6"/>
  <c r="S160" i="6"/>
  <c r="T164" i="6"/>
  <c r="S164" i="6"/>
  <c r="T168" i="6"/>
  <c r="S168" i="6"/>
  <c r="T172" i="6"/>
  <c r="S172" i="6"/>
  <c r="T176" i="6"/>
  <c r="S176" i="6"/>
  <c r="T180" i="6"/>
  <c r="S180" i="6"/>
  <c r="T184" i="6"/>
  <c r="S184" i="6"/>
  <c r="T188" i="6"/>
  <c r="S188" i="6"/>
  <c r="T192" i="6"/>
  <c r="S192" i="6"/>
  <c r="T196" i="6"/>
  <c r="S196" i="6"/>
  <c r="T200" i="6"/>
  <c r="S200" i="6"/>
  <c r="T204" i="6"/>
  <c r="S204" i="6"/>
  <c r="T208" i="6"/>
  <c r="S208" i="6"/>
  <c r="T212" i="6"/>
  <c r="S212" i="6"/>
  <c r="T216" i="6"/>
  <c r="S216" i="6"/>
  <c r="T220" i="6"/>
  <c r="S220" i="6"/>
  <c r="T224" i="6"/>
  <c r="S224" i="6"/>
  <c r="T228" i="6"/>
  <c r="S228" i="6"/>
  <c r="T232" i="6"/>
  <c r="S232" i="6"/>
  <c r="T236" i="6"/>
  <c r="S236" i="6"/>
  <c r="T240" i="6"/>
  <c r="S240" i="6"/>
  <c r="T244" i="6"/>
  <c r="S244" i="6"/>
  <c r="T248" i="6"/>
  <c r="S248" i="6"/>
  <c r="T252" i="6"/>
  <c r="S252" i="6"/>
  <c r="T256" i="6"/>
  <c r="S256" i="6"/>
  <c r="T260" i="6"/>
  <c r="S260" i="6"/>
  <c r="T264" i="6"/>
  <c r="S264" i="6"/>
  <c r="T268" i="6"/>
  <c r="S268" i="6"/>
  <c r="T272" i="6"/>
  <c r="S272" i="6"/>
  <c r="T275" i="6"/>
  <c r="S275" i="6"/>
  <c r="T278" i="6"/>
  <c r="S278" i="6"/>
  <c r="T282" i="6"/>
  <c r="S282" i="6"/>
  <c r="T286" i="6"/>
  <c r="S286" i="6"/>
  <c r="T292" i="6"/>
  <c r="S292" i="6"/>
  <c r="T296" i="6"/>
  <c r="S296" i="6"/>
  <c r="T300" i="6"/>
  <c r="S300" i="6"/>
  <c r="T304" i="6"/>
  <c r="S304" i="6"/>
  <c r="T92" i="6"/>
  <c r="S92" i="6"/>
  <c r="T98" i="6"/>
  <c r="S98" i="6"/>
  <c r="T116" i="6"/>
  <c r="S116" i="6"/>
  <c r="T173" i="6"/>
  <c r="S173" i="6"/>
  <c r="T189" i="6"/>
  <c r="S189" i="6"/>
  <c r="T209" i="6"/>
  <c r="S209" i="6"/>
  <c r="T229" i="6"/>
  <c r="S229" i="6"/>
  <c r="T326" i="6"/>
  <c r="S326" i="6"/>
  <c r="T341" i="6"/>
  <c r="S341" i="6"/>
  <c r="T353" i="6"/>
  <c r="S353" i="6"/>
  <c r="T365" i="6"/>
  <c r="S365" i="6"/>
  <c r="T385" i="6"/>
  <c r="S385" i="6"/>
  <c r="T29" i="6"/>
  <c r="S29" i="6"/>
  <c r="T49" i="6"/>
  <c r="S49" i="6"/>
  <c r="T61" i="6"/>
  <c r="S61" i="6"/>
  <c r="T79" i="6"/>
  <c r="S79" i="6"/>
  <c r="T103" i="6"/>
  <c r="S103" i="6"/>
  <c r="T158" i="6"/>
  <c r="S158" i="6"/>
  <c r="T174" i="6"/>
  <c r="S174" i="6"/>
  <c r="T190" i="6"/>
  <c r="S190" i="6"/>
  <c r="T206" i="6"/>
  <c r="S206" i="6"/>
  <c r="T222" i="6"/>
  <c r="S222" i="6"/>
  <c r="T238" i="6"/>
  <c r="S238" i="6"/>
  <c r="T254" i="6"/>
  <c r="S254" i="6"/>
  <c r="T266" i="6"/>
  <c r="S266" i="6"/>
  <c r="T36" i="6"/>
  <c r="S36" i="6"/>
  <c r="T48" i="6"/>
  <c r="S48" i="6"/>
  <c r="T56" i="6"/>
  <c r="S56" i="6"/>
  <c r="T68" i="6"/>
  <c r="S68" i="6"/>
  <c r="T88" i="6"/>
  <c r="S88" i="6"/>
  <c r="T129" i="6"/>
  <c r="S129" i="6"/>
  <c r="T152" i="6"/>
  <c r="S152" i="6"/>
  <c r="T233" i="6"/>
  <c r="S233" i="6"/>
  <c r="T237" i="6"/>
  <c r="S237" i="6"/>
  <c r="T241" i="6"/>
  <c r="S241" i="6"/>
  <c r="T245" i="6"/>
  <c r="S245" i="6"/>
  <c r="T249" i="6"/>
  <c r="S249" i="6"/>
  <c r="T253" i="6"/>
  <c r="S253" i="6"/>
  <c r="T257" i="6"/>
  <c r="S257" i="6"/>
  <c r="T261" i="6"/>
  <c r="S261" i="6"/>
  <c r="T265" i="6"/>
  <c r="S265" i="6"/>
  <c r="T269" i="6"/>
  <c r="S269" i="6"/>
  <c r="T273" i="6"/>
  <c r="S273" i="6"/>
  <c r="T279" i="6"/>
  <c r="S279" i="6"/>
  <c r="T283" i="6"/>
  <c r="S283" i="6"/>
  <c r="T287" i="6"/>
  <c r="S287" i="6"/>
  <c r="T289" i="6"/>
  <c r="S289" i="6"/>
  <c r="T293" i="6"/>
  <c r="S293" i="6"/>
  <c r="T297" i="6"/>
  <c r="S297" i="6"/>
  <c r="T301" i="6"/>
  <c r="S301" i="6"/>
  <c r="T305" i="6"/>
  <c r="S305" i="6"/>
  <c r="T14" i="6"/>
  <c r="S14" i="6"/>
  <c r="T20" i="6"/>
  <c r="S20" i="6"/>
  <c r="T24" i="6"/>
  <c r="S24" i="6"/>
  <c r="T84" i="6"/>
  <c r="S84" i="6"/>
  <c r="T122" i="6"/>
  <c r="S122" i="6"/>
  <c r="T126" i="6"/>
  <c r="S126" i="6"/>
  <c r="T130" i="6"/>
  <c r="S130" i="6"/>
  <c r="T133" i="6"/>
  <c r="S133" i="6"/>
  <c r="T137" i="6"/>
  <c r="S137" i="6"/>
  <c r="T141" i="6"/>
  <c r="S141" i="6"/>
  <c r="T145" i="6"/>
  <c r="S145" i="6"/>
  <c r="T149" i="6"/>
  <c r="S149" i="6"/>
  <c r="T153" i="6"/>
  <c r="S153" i="6"/>
  <c r="T311" i="6"/>
  <c r="S311" i="6"/>
  <c r="T315" i="6"/>
  <c r="S315" i="6"/>
  <c r="T319" i="6"/>
  <c r="S319" i="6"/>
  <c r="T323" i="6"/>
  <c r="S323" i="6"/>
  <c r="T327" i="6"/>
  <c r="S327" i="6"/>
  <c r="T331" i="6"/>
  <c r="S331" i="6"/>
  <c r="T334" i="6"/>
  <c r="S334" i="6"/>
  <c r="T338" i="6"/>
  <c r="S338" i="6"/>
  <c r="T342" i="6"/>
  <c r="S342" i="6"/>
  <c r="T346" i="6"/>
  <c r="S346" i="6"/>
  <c r="T350" i="6"/>
  <c r="S350" i="6"/>
  <c r="T354" i="6"/>
  <c r="S354" i="6"/>
  <c r="T358" i="6"/>
  <c r="S358" i="6"/>
  <c r="T362" i="6"/>
  <c r="S362" i="6"/>
  <c r="T366" i="6"/>
  <c r="S366" i="6"/>
  <c r="T374" i="6"/>
  <c r="S374" i="6"/>
  <c r="T378" i="6"/>
  <c r="S378" i="6"/>
  <c r="T382" i="6"/>
  <c r="S382" i="6"/>
  <c r="T386" i="6"/>
  <c r="S386" i="6"/>
  <c r="T392" i="6"/>
  <c r="S392" i="6"/>
  <c r="T30" i="6"/>
  <c r="S30" i="6"/>
  <c r="T34" i="6"/>
  <c r="S34" i="6"/>
  <c r="T38" i="6"/>
  <c r="S38" i="6"/>
  <c r="T42" i="6"/>
  <c r="S42" i="6"/>
  <c r="T46" i="6"/>
  <c r="S46" i="6"/>
  <c r="T50" i="6"/>
  <c r="S50" i="6"/>
  <c r="T54" i="6"/>
  <c r="S54" i="6"/>
  <c r="T58" i="6"/>
  <c r="S58" i="6"/>
  <c r="T62" i="6"/>
  <c r="S62" i="6"/>
  <c r="T66" i="6"/>
  <c r="S66" i="6"/>
  <c r="T76" i="6"/>
  <c r="S76" i="6"/>
  <c r="T80" i="6"/>
  <c r="S80" i="6"/>
  <c r="T13" i="9"/>
  <c r="T23" i="9"/>
  <c r="T32" i="9"/>
  <c r="T40" i="9"/>
  <c r="T48" i="9"/>
  <c r="T56" i="9"/>
  <c r="T64" i="9"/>
  <c r="T68" i="9"/>
  <c r="T82" i="9"/>
  <c r="T377" i="8"/>
  <c r="T233" i="8"/>
  <c r="T241" i="8"/>
  <c r="T249" i="8"/>
  <c r="T257" i="8"/>
  <c r="T265" i="8"/>
  <c r="T273" i="8"/>
  <c r="T279" i="8"/>
  <c r="T287" i="8"/>
  <c r="T293" i="8"/>
  <c r="T301" i="8"/>
  <c r="T310" i="8"/>
  <c r="T318" i="8"/>
  <c r="T330" i="8"/>
  <c r="T337" i="8"/>
  <c r="T345" i="8"/>
  <c r="T353" i="8"/>
  <c r="T361" i="8"/>
  <c r="T369" i="8"/>
  <c r="T88" i="8"/>
  <c r="T94" i="8"/>
  <c r="T98" i="8"/>
  <c r="T102" i="8"/>
  <c r="T106" i="8"/>
  <c r="T112" i="8"/>
  <c r="T116" i="8"/>
  <c r="T121" i="8"/>
  <c r="T125" i="8"/>
  <c r="T129" i="8"/>
  <c r="T136" i="8"/>
  <c r="T140" i="8"/>
  <c r="T144" i="8"/>
  <c r="T148" i="8"/>
  <c r="T152" i="8"/>
  <c r="T156" i="8"/>
  <c r="T161" i="8"/>
  <c r="T165" i="8"/>
  <c r="T169" i="8"/>
  <c r="T173" i="8"/>
  <c r="T177" i="8"/>
  <c r="T181" i="8"/>
  <c r="T185" i="8"/>
  <c r="T189" i="8"/>
  <c r="T193" i="8"/>
  <c r="T197" i="8"/>
  <c r="T201" i="8"/>
  <c r="T205" i="8"/>
  <c r="T209" i="8"/>
  <c r="T213" i="8"/>
  <c r="T217" i="8"/>
  <c r="T221" i="8"/>
  <c r="T225" i="8"/>
  <c r="T229" i="9"/>
  <c r="T233" i="9"/>
  <c r="T237" i="9"/>
  <c r="T241" i="9"/>
  <c r="T245" i="9"/>
  <c r="T249" i="9"/>
  <c r="T253" i="9"/>
  <c r="T257" i="9"/>
  <c r="T261" i="9"/>
  <c r="T265" i="9"/>
  <c r="T269" i="9"/>
  <c r="T273" i="9"/>
  <c r="T279" i="9"/>
  <c r="T283" i="9"/>
  <c r="T287" i="9"/>
  <c r="T289" i="9"/>
  <c r="T293" i="9"/>
  <c r="T297" i="9"/>
  <c r="T301" i="9"/>
  <c r="T305" i="9"/>
  <c r="T310" i="9"/>
  <c r="T314" i="9"/>
  <c r="T318" i="9"/>
  <c r="T322" i="9"/>
  <c r="T326" i="9"/>
  <c r="T330" i="9"/>
  <c r="T333" i="9"/>
  <c r="T337" i="9"/>
  <c r="T341" i="9"/>
  <c r="T345" i="9"/>
  <c r="T349" i="9"/>
  <c r="T353" i="9"/>
  <c r="T357" i="9"/>
  <c r="T361" i="9"/>
  <c r="T365" i="9"/>
  <c r="T369" i="9"/>
  <c r="T373" i="9"/>
  <c r="T377" i="9"/>
  <c r="T381" i="9"/>
  <c r="T385" i="9"/>
  <c r="T390" i="9"/>
  <c r="T391" i="9"/>
  <c r="T92" i="9"/>
  <c r="T96" i="9"/>
  <c r="T100" i="9"/>
  <c r="T104" i="9"/>
  <c r="T108" i="9"/>
  <c r="T114" i="9"/>
  <c r="T119" i="9"/>
  <c r="T123" i="9"/>
  <c r="T127" i="9"/>
  <c r="T131" i="9"/>
  <c r="T134" i="9"/>
  <c r="T138" i="9"/>
  <c r="T142" i="9"/>
  <c r="T146" i="9"/>
  <c r="T150" i="9"/>
  <c r="T154" i="9"/>
  <c r="T159" i="9"/>
  <c r="T163" i="9"/>
  <c r="T167" i="9"/>
  <c r="T171" i="9"/>
  <c r="T175" i="9"/>
  <c r="T179" i="9"/>
  <c r="T183" i="9"/>
  <c r="T187" i="9"/>
  <c r="T191" i="9"/>
  <c r="T195" i="9"/>
  <c r="T199" i="9"/>
  <c r="T203" i="9"/>
  <c r="T207" i="9"/>
  <c r="T211" i="9"/>
  <c r="T215" i="9"/>
  <c r="T219" i="9"/>
  <c r="T223" i="9"/>
  <c r="T227" i="9"/>
  <c r="T231" i="9"/>
  <c r="T235" i="9"/>
  <c r="T239" i="9"/>
  <c r="T243" i="9"/>
  <c r="T247" i="9"/>
  <c r="T251" i="9"/>
  <c r="T255" i="9"/>
  <c r="T259" i="9"/>
  <c r="T263" i="9"/>
  <c r="T267" i="9"/>
  <c r="T271" i="9"/>
  <c r="T277" i="9"/>
  <c r="T281" i="9"/>
  <c r="T285" i="9"/>
  <c r="T291" i="9"/>
  <c r="T295" i="9"/>
  <c r="T299" i="9"/>
  <c r="T303" i="9"/>
  <c r="T308" i="9"/>
  <c r="T312" i="9"/>
  <c r="T316" i="9"/>
  <c r="T320" i="9"/>
  <c r="T324" i="9"/>
  <c r="T328" i="9"/>
  <c r="T335" i="9"/>
  <c r="T339" i="9"/>
  <c r="T343" i="9"/>
  <c r="T347" i="9"/>
  <c r="T351" i="9"/>
  <c r="T355" i="9"/>
  <c r="T359" i="9"/>
  <c r="T363" i="9"/>
  <c r="T367" i="9"/>
  <c r="T371" i="9"/>
  <c r="T375" i="9"/>
  <c r="T379" i="9"/>
  <c r="T383" i="9"/>
  <c r="T387" i="9"/>
  <c r="T393" i="9"/>
  <c r="T18" i="9"/>
  <c r="T22" i="9"/>
  <c r="T26" i="9"/>
  <c r="T31" i="9"/>
  <c r="T35" i="9"/>
  <c r="T39" i="9"/>
  <c r="T43" i="9"/>
  <c r="T47" i="9"/>
  <c r="T51" i="9"/>
  <c r="T55" i="9"/>
  <c r="T59" i="9"/>
  <c r="T63" i="9"/>
  <c r="T67" i="9"/>
  <c r="T72" i="9"/>
  <c r="T77" i="9"/>
  <c r="T81" i="9"/>
  <c r="T87" i="9"/>
  <c r="T93" i="9"/>
  <c r="T97" i="9"/>
  <c r="T101" i="9"/>
  <c r="T105" i="9"/>
  <c r="T109" i="9"/>
  <c r="T115" i="9"/>
  <c r="T120" i="9"/>
  <c r="T124" i="9"/>
  <c r="T128" i="9"/>
  <c r="T132" i="9"/>
  <c r="T135" i="9"/>
  <c r="T139" i="9"/>
  <c r="T143" i="9"/>
  <c r="T147" i="9"/>
  <c r="T151" i="9"/>
  <c r="T155" i="9"/>
  <c r="T160" i="9"/>
  <c r="T164" i="9"/>
  <c r="T168" i="9"/>
  <c r="T172" i="9"/>
  <c r="T176" i="9"/>
  <c r="T180" i="9"/>
  <c r="T184" i="9"/>
  <c r="T188" i="9"/>
  <c r="T192" i="9"/>
  <c r="T196" i="9"/>
  <c r="T200" i="9"/>
  <c r="T204" i="9"/>
  <c r="T208" i="9"/>
  <c r="T212" i="9"/>
  <c r="T216" i="9"/>
  <c r="T220" i="9"/>
  <c r="T224" i="9"/>
  <c r="T228" i="9"/>
  <c r="T232" i="9"/>
  <c r="T236" i="9"/>
  <c r="T240" i="9"/>
  <c r="T244" i="9"/>
  <c r="T248" i="9"/>
  <c r="T252" i="9"/>
  <c r="T256" i="9"/>
  <c r="T260" i="9"/>
  <c r="T264" i="9"/>
  <c r="T268" i="9"/>
  <c r="T272" i="9"/>
  <c r="T275" i="9"/>
  <c r="T278" i="9"/>
  <c r="T282" i="9"/>
  <c r="T286" i="9"/>
  <c r="T292" i="9"/>
  <c r="T296" i="9"/>
  <c r="T300" i="9"/>
  <c r="T304" i="9"/>
  <c r="T309" i="9"/>
  <c r="T313" i="9"/>
  <c r="T317" i="9"/>
  <c r="T321" i="9"/>
  <c r="T325" i="9"/>
  <c r="T329" i="9"/>
  <c r="T332" i="9"/>
  <c r="T336" i="9"/>
  <c r="T340" i="9"/>
  <c r="T344" i="9"/>
  <c r="T348" i="9"/>
  <c r="T352" i="9"/>
  <c r="T356" i="9"/>
  <c r="T360" i="9"/>
  <c r="T364" i="9"/>
  <c r="T13" i="8"/>
  <c r="T19" i="8"/>
  <c r="T23" i="8"/>
  <c r="T27" i="8"/>
  <c r="T32" i="8"/>
  <c r="T36" i="8"/>
  <c r="T40" i="8"/>
  <c r="T44" i="8"/>
  <c r="T48" i="8"/>
  <c r="T52" i="8"/>
  <c r="T56" i="8"/>
  <c r="T60" i="8"/>
  <c r="T64" i="8"/>
  <c r="T68" i="8"/>
  <c r="T73" i="8"/>
  <c r="T78" i="8"/>
  <c r="T82" i="8"/>
  <c r="T88" i="9"/>
  <c r="T94" i="9"/>
  <c r="T98" i="9"/>
  <c r="T102" i="9"/>
  <c r="T106" i="9"/>
  <c r="T112" i="9"/>
  <c r="T116" i="9"/>
  <c r="T121" i="9"/>
  <c r="T125" i="9"/>
  <c r="T129" i="9"/>
  <c r="T136" i="9"/>
  <c r="T140" i="9"/>
  <c r="T144" i="9"/>
  <c r="T148" i="9"/>
  <c r="T152" i="9"/>
  <c r="T156" i="9"/>
  <c r="T161" i="9"/>
  <c r="T165" i="9"/>
  <c r="T169" i="9"/>
  <c r="T173" i="9"/>
  <c r="T177" i="9"/>
  <c r="T181" i="9"/>
  <c r="T185" i="9"/>
  <c r="T189" i="9"/>
  <c r="T193" i="9"/>
  <c r="T197" i="9"/>
  <c r="T201" i="9"/>
  <c r="T205" i="9"/>
  <c r="T209" i="9"/>
  <c r="T213" i="9"/>
  <c r="T217" i="9"/>
  <c r="T221" i="9"/>
  <c r="T225" i="9"/>
  <c r="T14" i="8"/>
  <c r="T20" i="8"/>
  <c r="T24" i="8"/>
  <c r="T29" i="8"/>
  <c r="T33" i="8"/>
  <c r="T37" i="8"/>
  <c r="T41" i="8"/>
  <c r="T45" i="8"/>
  <c r="T49" i="8"/>
  <c r="T53" i="8"/>
  <c r="T57" i="8"/>
  <c r="T61" i="8"/>
  <c r="T65" i="8"/>
  <c r="T69" i="8"/>
  <c r="T75" i="8"/>
  <c r="T79" i="8"/>
  <c r="T84" i="8"/>
  <c r="T91" i="8"/>
  <c r="T95" i="8"/>
  <c r="T99" i="8"/>
  <c r="T103" i="8"/>
  <c r="T107" i="8"/>
  <c r="T113" i="8"/>
  <c r="T117" i="8"/>
  <c r="T122" i="8"/>
  <c r="T126" i="8"/>
  <c r="T130" i="8"/>
  <c r="T133" i="8"/>
  <c r="T137" i="8"/>
  <c r="T141" i="8"/>
  <c r="T145" i="8"/>
  <c r="T149" i="8"/>
  <c r="T153" i="8"/>
  <c r="T158" i="8"/>
  <c r="T162" i="8"/>
  <c r="T166" i="8"/>
  <c r="T170" i="8"/>
  <c r="T174" i="8"/>
  <c r="T178" i="8"/>
  <c r="T182" i="8"/>
  <c r="T186" i="8"/>
  <c r="T190" i="8"/>
  <c r="T194" i="8"/>
  <c r="T198" i="8"/>
  <c r="T202" i="8"/>
  <c r="T206" i="8"/>
  <c r="T210" i="8"/>
  <c r="T214" i="8"/>
  <c r="T218" i="8"/>
  <c r="T222" i="8"/>
  <c r="T226" i="8"/>
  <c r="T230" i="8"/>
  <c r="T234" i="8"/>
  <c r="T238" i="8"/>
  <c r="T242" i="8"/>
  <c r="T246" i="8"/>
  <c r="T250" i="8"/>
  <c r="T254" i="8"/>
  <c r="T258" i="8"/>
  <c r="T262" i="8"/>
  <c r="T266" i="8"/>
  <c r="T270" i="8"/>
  <c r="T274" i="8"/>
  <c r="T276" i="8"/>
  <c r="T280" i="8"/>
  <c r="T284" i="8"/>
  <c r="T288" i="8"/>
  <c r="T290" i="8"/>
  <c r="T294" i="8"/>
  <c r="T298" i="8"/>
  <c r="T302" i="8"/>
  <c r="T306" i="8"/>
  <c r="T311" i="8"/>
  <c r="T315" i="8"/>
  <c r="T319" i="8"/>
  <c r="T323" i="8"/>
  <c r="T327" i="8"/>
  <c r="T331" i="8"/>
  <c r="T334" i="8"/>
  <c r="T338" i="8"/>
  <c r="T342" i="8"/>
  <c r="T346" i="8"/>
  <c r="T350" i="8"/>
  <c r="T354" i="8"/>
  <c r="T358" i="8"/>
  <c r="T362" i="8"/>
  <c r="T366" i="8"/>
  <c r="T374" i="8"/>
  <c r="T378" i="8"/>
  <c r="T382" i="8"/>
  <c r="T386" i="8"/>
  <c r="T392" i="8"/>
  <c r="T15" i="8"/>
  <c r="T21" i="8"/>
  <c r="T25" i="8"/>
  <c r="T30" i="8"/>
  <c r="T34" i="8"/>
  <c r="T38" i="8"/>
  <c r="T42" i="8"/>
  <c r="T46" i="8"/>
  <c r="T50" i="8"/>
  <c r="T54" i="8"/>
  <c r="T58" i="8"/>
  <c r="T62" i="8"/>
  <c r="T66" i="8"/>
  <c r="T71" i="8"/>
  <c r="T76" i="8"/>
  <c r="T80" i="8"/>
  <c r="T85" i="8"/>
  <c r="T255" i="8"/>
  <c r="T92" i="8"/>
  <c r="T19" i="9"/>
  <c r="T27" i="9"/>
  <c r="T36" i="9"/>
  <c r="T44" i="9"/>
  <c r="T52" i="9"/>
  <c r="T60" i="9"/>
  <c r="T73" i="9"/>
  <c r="T78" i="9"/>
  <c r="T14" i="9"/>
  <c r="T20" i="9"/>
  <c r="T24" i="9"/>
  <c r="T29" i="9"/>
  <c r="T33" i="9"/>
  <c r="T37" i="9"/>
  <c r="T41" i="9"/>
  <c r="T45" i="9"/>
  <c r="T49" i="9"/>
  <c r="T53" i="9"/>
  <c r="T57" i="9"/>
  <c r="T61" i="9"/>
  <c r="T65" i="9"/>
  <c r="T69" i="9"/>
  <c r="T75" i="9"/>
  <c r="T79" i="9"/>
  <c r="T84" i="9"/>
  <c r="T91" i="9"/>
  <c r="T95" i="9"/>
  <c r="T99" i="9"/>
  <c r="T103" i="9"/>
  <c r="T107" i="9"/>
  <c r="T113" i="9"/>
  <c r="T117" i="9"/>
  <c r="T122" i="9"/>
  <c r="T126" i="9"/>
  <c r="T130" i="9"/>
  <c r="T133" i="9"/>
  <c r="T137" i="9"/>
  <c r="T141" i="9"/>
  <c r="T145" i="9"/>
  <c r="T149" i="9"/>
  <c r="T153" i="9"/>
  <c r="T158" i="9"/>
  <c r="T162" i="9"/>
  <c r="T166" i="9"/>
  <c r="T170" i="9"/>
  <c r="T174" i="9"/>
  <c r="T178" i="9"/>
  <c r="T182" i="9"/>
  <c r="T186" i="9"/>
  <c r="T190" i="9"/>
  <c r="T194" i="9"/>
  <c r="T198" i="9"/>
  <c r="T202" i="9"/>
  <c r="T206" i="9"/>
  <c r="T210" i="9"/>
  <c r="T214" i="9"/>
  <c r="T218" i="9"/>
  <c r="T222" i="9"/>
  <c r="T226" i="9"/>
  <c r="T230" i="9"/>
  <c r="T234" i="9"/>
  <c r="T238" i="9"/>
  <c r="T242" i="9"/>
  <c r="T246" i="9"/>
  <c r="T250" i="9"/>
  <c r="T254" i="9"/>
  <c r="T258" i="9"/>
  <c r="T262" i="9"/>
  <c r="T266" i="9"/>
  <c r="T270" i="9"/>
  <c r="T274" i="9"/>
  <c r="T276" i="9"/>
  <c r="T280" i="9"/>
  <c r="T284" i="9"/>
  <c r="T288" i="9"/>
  <c r="T290" i="9"/>
  <c r="T294" i="9"/>
  <c r="T298" i="9"/>
  <c r="T302" i="9"/>
  <c r="T306" i="9"/>
  <c r="T311" i="9"/>
  <c r="T315" i="9"/>
  <c r="T319" i="9"/>
  <c r="T323" i="9"/>
  <c r="T327" i="9"/>
  <c r="T331" i="9"/>
  <c r="T334" i="9"/>
  <c r="T338" i="9"/>
  <c r="T342" i="9"/>
  <c r="T346" i="9"/>
  <c r="T350" i="9"/>
  <c r="T354" i="9"/>
  <c r="T358" i="9"/>
  <c r="T362" i="9"/>
  <c r="T366" i="9"/>
  <c r="T374" i="9"/>
  <c r="T378" i="9"/>
  <c r="T382" i="9"/>
  <c r="T386" i="9"/>
  <c r="T392" i="9"/>
  <c r="T15" i="9"/>
  <c r="T21" i="9"/>
  <c r="T25" i="9"/>
  <c r="T30" i="9"/>
  <c r="T34" i="9"/>
  <c r="T38" i="9"/>
  <c r="T42" i="9"/>
  <c r="T46" i="9"/>
  <c r="T50" i="9"/>
  <c r="T54" i="9"/>
  <c r="T58" i="9"/>
  <c r="T62" i="9"/>
  <c r="T66" i="9"/>
  <c r="T71" i="9"/>
  <c r="T76" i="9"/>
  <c r="T80" i="9"/>
  <c r="T85" i="9"/>
  <c r="T147" i="8"/>
  <c r="T368" i="8"/>
  <c r="T372" i="8"/>
  <c r="T376" i="8"/>
  <c r="T380" i="8"/>
  <c r="T384" i="8"/>
  <c r="T388" i="8"/>
  <c r="T389" i="8"/>
  <c r="T394" i="8"/>
  <c r="T229" i="8"/>
  <c r="T237" i="8"/>
  <c r="T245" i="8"/>
  <c r="T253" i="8"/>
  <c r="T261" i="8"/>
  <c r="T269" i="8"/>
  <c r="T283" i="8"/>
  <c r="T289" i="8"/>
  <c r="T297" i="8"/>
  <c r="T305" i="8"/>
  <c r="T314" i="8"/>
  <c r="T322" i="8"/>
  <c r="T326" i="8"/>
  <c r="T333" i="8"/>
  <c r="T341" i="8"/>
  <c r="T349" i="8"/>
  <c r="T357" i="8"/>
  <c r="T365" i="8"/>
  <c r="T373" i="8"/>
  <c r="T381" i="8"/>
  <c r="T385" i="8"/>
  <c r="T390" i="8"/>
  <c r="T391" i="8"/>
  <c r="T96" i="8"/>
  <c r="T100" i="8"/>
  <c r="T104" i="8"/>
  <c r="T108" i="8"/>
  <c r="T114" i="8"/>
  <c r="T119" i="8"/>
  <c r="T123" i="8"/>
  <c r="T127" i="8"/>
  <c r="T131" i="8"/>
  <c r="T134" i="8"/>
  <c r="T138" i="8"/>
  <c r="T142" i="8"/>
  <c r="T146" i="8"/>
  <c r="T150" i="8"/>
  <c r="T154" i="8"/>
  <c r="T159" i="8"/>
  <c r="T163" i="8"/>
  <c r="T167" i="8"/>
  <c r="T171" i="8"/>
  <c r="T175" i="8"/>
  <c r="T179" i="8"/>
  <c r="T183" i="8"/>
  <c r="T187" i="8"/>
  <c r="T191" i="8"/>
  <c r="T195" i="8"/>
  <c r="T199" i="8"/>
  <c r="T203" i="8"/>
  <c r="T207" i="8"/>
  <c r="T211" i="8"/>
  <c r="T215" i="8"/>
  <c r="T219" i="8"/>
  <c r="T223" i="8"/>
  <c r="T227" i="8"/>
  <c r="T231" i="8"/>
  <c r="T235" i="8"/>
  <c r="T239" i="8"/>
  <c r="T243" i="8"/>
  <c r="T247" i="8"/>
  <c r="T251" i="8"/>
  <c r="T259" i="8"/>
  <c r="T263" i="8"/>
  <c r="T267" i="8"/>
  <c r="T271" i="8"/>
  <c r="T277" i="8"/>
  <c r="T281" i="8"/>
  <c r="T285" i="8"/>
  <c r="T291" i="8"/>
  <c r="T295" i="8"/>
  <c r="T299" i="8"/>
  <c r="T303" i="8"/>
  <c r="T308" i="8"/>
  <c r="T312" i="8"/>
  <c r="T316" i="8"/>
  <c r="T320" i="8"/>
  <c r="T324" i="8"/>
  <c r="T328" i="8"/>
  <c r="T335" i="8"/>
  <c r="T339" i="8"/>
  <c r="T343" i="8"/>
  <c r="T347" i="8"/>
  <c r="T351" i="8"/>
  <c r="T355" i="8"/>
  <c r="T359" i="8"/>
  <c r="T363" i="8"/>
  <c r="T367" i="8"/>
  <c r="T371" i="8"/>
  <c r="T375" i="8"/>
  <c r="T379" i="8"/>
  <c r="T383" i="8"/>
  <c r="T387" i="8"/>
  <c r="T393" i="8"/>
  <c r="T18" i="8"/>
  <c r="T22" i="8"/>
  <c r="T26" i="8"/>
  <c r="T31" i="8"/>
  <c r="T35" i="8"/>
  <c r="T39" i="8"/>
  <c r="T43" i="8"/>
  <c r="T47" i="8"/>
  <c r="T51" i="8"/>
  <c r="T55" i="8"/>
  <c r="T59" i="8"/>
  <c r="T63" i="8"/>
  <c r="T67" i="8"/>
  <c r="T72" i="8"/>
  <c r="T77" i="8"/>
  <c r="T81" i="8"/>
  <c r="T87" i="8"/>
  <c r="T93" i="8"/>
  <c r="T97" i="8"/>
  <c r="T101" i="8"/>
  <c r="T105" i="8"/>
  <c r="T109" i="8"/>
  <c r="T115" i="8"/>
  <c r="T120" i="8"/>
  <c r="T124" i="8"/>
  <c r="T128" i="8"/>
  <c r="T132" i="8"/>
  <c r="T135" i="8"/>
  <c r="T139" i="8"/>
  <c r="T143" i="8"/>
  <c r="T151" i="8"/>
  <c r="T155" i="8"/>
  <c r="T160" i="8"/>
  <c r="T164" i="8"/>
  <c r="T168" i="8"/>
  <c r="T172" i="8"/>
  <c r="T176" i="8"/>
  <c r="T180" i="8"/>
  <c r="T184" i="8"/>
  <c r="T188" i="8"/>
  <c r="T192" i="8"/>
  <c r="T196" i="8"/>
  <c r="T200" i="8"/>
  <c r="T204" i="8"/>
  <c r="T208" i="8"/>
  <c r="T212" i="8"/>
  <c r="T216" i="8"/>
  <c r="T220" i="8"/>
  <c r="T224" i="8"/>
  <c r="T228" i="8"/>
  <c r="T232" i="8"/>
  <c r="T236" i="8"/>
  <c r="T240" i="8"/>
  <c r="T244" i="8"/>
  <c r="T248" i="8"/>
  <c r="T252" i="8"/>
  <c r="T256" i="8"/>
  <c r="T260" i="8"/>
  <c r="T264" i="8"/>
  <c r="T268" i="8"/>
  <c r="T272" i="8"/>
  <c r="T275" i="8"/>
  <c r="T278" i="8"/>
  <c r="T282" i="8"/>
  <c r="T286" i="8"/>
  <c r="T292" i="8"/>
  <c r="T296" i="8"/>
  <c r="T300" i="8"/>
  <c r="T304" i="8"/>
  <c r="T309" i="8"/>
  <c r="T313" i="8"/>
  <c r="T317" i="8"/>
  <c r="T321" i="8"/>
  <c r="T325" i="8"/>
  <c r="T329" i="8"/>
  <c r="T332" i="8"/>
  <c r="T336" i="8"/>
  <c r="T340" i="8"/>
  <c r="T344" i="8"/>
  <c r="T348" i="8"/>
  <c r="T352" i="8"/>
  <c r="T356" i="8"/>
  <c r="T360" i="8"/>
  <c r="T364" i="8"/>
  <c r="T368" i="9"/>
  <c r="T372" i="9"/>
  <c r="T376" i="9"/>
  <c r="T380" i="9"/>
  <c r="T384" i="9"/>
  <c r="T388" i="9"/>
  <c r="T389" i="9"/>
  <c r="T394" i="9"/>
  <c r="O85" i="5"/>
  <c r="AZ114" i="4"/>
  <c r="AZ332" i="4"/>
  <c r="AJ17" i="36"/>
  <c r="AK84" i="36"/>
  <c r="AJ158" i="36"/>
  <c r="AJ29" i="36"/>
  <c r="AJ90" i="36"/>
  <c r="AJ18" i="36"/>
  <c r="J40" i="6"/>
  <c r="F40" i="6"/>
  <c r="K40" i="6"/>
  <c r="G40" i="6"/>
  <c r="H40" i="6"/>
  <c r="J56" i="6"/>
  <c r="F56" i="6"/>
  <c r="K56" i="6"/>
  <c r="H56" i="6"/>
  <c r="G56" i="6"/>
  <c r="H68" i="6"/>
  <c r="J68" i="6"/>
  <c r="F68" i="6"/>
  <c r="K68" i="6"/>
  <c r="G68" i="6"/>
  <c r="F82" i="6"/>
  <c r="K82" i="6"/>
  <c r="G82" i="6"/>
  <c r="J82" i="6"/>
  <c r="H82" i="6"/>
  <c r="H156" i="6"/>
  <c r="G156" i="6"/>
  <c r="J156" i="6"/>
  <c r="F156" i="6"/>
  <c r="K156" i="6"/>
  <c r="G29" i="6"/>
  <c r="K29" i="6"/>
  <c r="H29" i="6"/>
  <c r="J29" i="6"/>
  <c r="F29" i="6"/>
  <c r="F33" i="6"/>
  <c r="J33" i="6"/>
  <c r="G33" i="6"/>
  <c r="H33" i="6"/>
  <c r="K33" i="6"/>
  <c r="F37" i="6"/>
  <c r="J37" i="6"/>
  <c r="G37" i="6"/>
  <c r="K37" i="6"/>
  <c r="H37" i="6"/>
  <c r="G41" i="6"/>
  <c r="K41" i="6"/>
  <c r="H41" i="6"/>
  <c r="F41" i="6"/>
  <c r="J41" i="6"/>
  <c r="H45" i="6"/>
  <c r="G45" i="6"/>
  <c r="J45" i="6"/>
  <c r="F45" i="6"/>
  <c r="K45" i="6"/>
  <c r="F49" i="6"/>
  <c r="J49" i="6"/>
  <c r="H49" i="6"/>
  <c r="K49" i="6"/>
  <c r="G49" i="6"/>
  <c r="F53" i="6"/>
  <c r="J53" i="6"/>
  <c r="G53" i="6"/>
  <c r="K53" i="6"/>
  <c r="H53" i="6"/>
  <c r="G57" i="6"/>
  <c r="K57" i="6"/>
  <c r="H57" i="6"/>
  <c r="J57" i="6"/>
  <c r="F57" i="6"/>
  <c r="H61" i="6"/>
  <c r="K61" i="6"/>
  <c r="F61" i="6"/>
  <c r="G61" i="6"/>
  <c r="J61" i="6"/>
  <c r="F65" i="6"/>
  <c r="J65" i="6"/>
  <c r="G65" i="6"/>
  <c r="K65" i="6"/>
  <c r="H65" i="6"/>
  <c r="F69" i="6"/>
  <c r="J69" i="6"/>
  <c r="G69" i="6"/>
  <c r="K69" i="6"/>
  <c r="H69" i="6"/>
  <c r="G75" i="6"/>
  <c r="H75" i="6"/>
  <c r="K75" i="6"/>
  <c r="F75" i="6"/>
  <c r="J75" i="6"/>
  <c r="H79" i="6"/>
  <c r="J79" i="6"/>
  <c r="F79" i="6"/>
  <c r="K79" i="6"/>
  <c r="G79" i="6"/>
  <c r="G91" i="6"/>
  <c r="H91" i="6"/>
  <c r="F91" i="6"/>
  <c r="J91" i="6"/>
  <c r="K91" i="6"/>
  <c r="H95" i="6"/>
  <c r="J95" i="6"/>
  <c r="G95" i="6"/>
  <c r="K95" i="6"/>
  <c r="F95" i="6"/>
  <c r="J99" i="6"/>
  <c r="F99" i="6"/>
  <c r="K99" i="6"/>
  <c r="H99" i="6"/>
  <c r="G99" i="6"/>
  <c r="F103" i="6"/>
  <c r="K103" i="6"/>
  <c r="G103" i="6"/>
  <c r="J103" i="6"/>
  <c r="H103" i="6"/>
  <c r="G107" i="6"/>
  <c r="H107" i="6"/>
  <c r="K107" i="6"/>
  <c r="J107" i="6"/>
  <c r="F107" i="6"/>
  <c r="F113" i="6"/>
  <c r="J113" i="6"/>
  <c r="H113" i="6"/>
  <c r="K113" i="6"/>
  <c r="G113" i="6"/>
  <c r="F117" i="6"/>
  <c r="J117" i="6"/>
  <c r="G117" i="6"/>
  <c r="K117" i="6"/>
  <c r="H117" i="6"/>
  <c r="J158" i="6"/>
  <c r="F158" i="6"/>
  <c r="K158" i="6"/>
  <c r="G158" i="6"/>
  <c r="H158" i="6"/>
  <c r="G162" i="6"/>
  <c r="H162" i="6"/>
  <c r="F162" i="6"/>
  <c r="J162" i="6"/>
  <c r="K162" i="6"/>
  <c r="J166" i="6"/>
  <c r="F166" i="6"/>
  <c r="K166" i="6"/>
  <c r="H166" i="6"/>
  <c r="G166" i="6"/>
  <c r="G170" i="6"/>
  <c r="H170" i="6"/>
  <c r="K170" i="6"/>
  <c r="F170" i="6"/>
  <c r="J170" i="6"/>
  <c r="J174" i="6"/>
  <c r="F174" i="6"/>
  <c r="K174" i="6"/>
  <c r="G174" i="6"/>
  <c r="H174" i="6"/>
  <c r="G178" i="6"/>
  <c r="H178" i="6"/>
  <c r="F178" i="6"/>
  <c r="J178" i="6"/>
  <c r="K178" i="6"/>
  <c r="J182" i="6"/>
  <c r="F182" i="6"/>
  <c r="K182" i="6"/>
  <c r="H182" i="6"/>
  <c r="G182" i="6"/>
  <c r="G186" i="6"/>
  <c r="H186" i="6"/>
  <c r="K186" i="6"/>
  <c r="J186" i="6"/>
  <c r="F186" i="6"/>
  <c r="J190" i="6"/>
  <c r="F190" i="6"/>
  <c r="K190" i="6"/>
  <c r="G190" i="6"/>
  <c r="H190" i="6"/>
  <c r="G194" i="6"/>
  <c r="H194" i="6"/>
  <c r="F194" i="6"/>
  <c r="J194" i="6"/>
  <c r="K194" i="6"/>
  <c r="J198" i="6"/>
  <c r="F198" i="6"/>
  <c r="K198" i="6"/>
  <c r="H198" i="6"/>
  <c r="G198" i="6"/>
  <c r="G202" i="6"/>
  <c r="H202" i="6"/>
  <c r="K202" i="6"/>
  <c r="F202" i="6"/>
  <c r="J202" i="6"/>
  <c r="J206" i="6"/>
  <c r="F206" i="6"/>
  <c r="K206" i="6"/>
  <c r="G206" i="6"/>
  <c r="H206" i="6"/>
  <c r="G210" i="6"/>
  <c r="H210" i="6"/>
  <c r="F210" i="6"/>
  <c r="J210" i="6"/>
  <c r="K210" i="6"/>
  <c r="J214" i="6"/>
  <c r="F214" i="6"/>
  <c r="K214" i="6"/>
  <c r="H214" i="6"/>
  <c r="G214" i="6"/>
  <c r="G218" i="6"/>
  <c r="H218" i="6"/>
  <c r="K218" i="6"/>
  <c r="J218" i="6"/>
  <c r="F218" i="6"/>
  <c r="J222" i="6"/>
  <c r="F222" i="6"/>
  <c r="K222" i="6"/>
  <c r="G222" i="6"/>
  <c r="H222" i="6"/>
  <c r="G226" i="6"/>
  <c r="H226" i="6"/>
  <c r="F226" i="6"/>
  <c r="J226" i="6"/>
  <c r="K226" i="6"/>
  <c r="J230" i="6"/>
  <c r="F230" i="6"/>
  <c r="K230" i="6"/>
  <c r="H230" i="6"/>
  <c r="G230" i="6"/>
  <c r="G234" i="6"/>
  <c r="H234" i="6"/>
  <c r="K234" i="6"/>
  <c r="F234" i="6"/>
  <c r="J234" i="6"/>
  <c r="J238" i="6"/>
  <c r="F238" i="6"/>
  <c r="K238" i="6"/>
  <c r="G238" i="6"/>
  <c r="H238" i="6"/>
  <c r="G242" i="6"/>
  <c r="H242" i="6"/>
  <c r="F242" i="6"/>
  <c r="J242" i="6"/>
  <c r="K242" i="6"/>
  <c r="J246" i="6"/>
  <c r="F246" i="6"/>
  <c r="K246" i="6"/>
  <c r="H246" i="6"/>
  <c r="G246" i="6"/>
  <c r="G250" i="6"/>
  <c r="H250" i="6"/>
  <c r="K250" i="6"/>
  <c r="J250" i="6"/>
  <c r="F250" i="6"/>
  <c r="J254" i="6"/>
  <c r="F254" i="6"/>
  <c r="K254" i="6"/>
  <c r="G254" i="6"/>
  <c r="H254" i="6"/>
  <c r="G258" i="6"/>
  <c r="H258" i="6"/>
  <c r="F258" i="6"/>
  <c r="J258" i="6"/>
  <c r="K258" i="6"/>
  <c r="J262" i="6"/>
  <c r="F262" i="6"/>
  <c r="K262" i="6"/>
  <c r="H262" i="6"/>
  <c r="G262" i="6"/>
  <c r="G266" i="6"/>
  <c r="H266" i="6"/>
  <c r="K266" i="6"/>
  <c r="F266" i="6"/>
  <c r="J266" i="6"/>
  <c r="J270" i="6"/>
  <c r="F270" i="6"/>
  <c r="K270" i="6"/>
  <c r="G270" i="6"/>
  <c r="H270" i="6"/>
  <c r="G274" i="6"/>
  <c r="H274" i="6"/>
  <c r="F274" i="6"/>
  <c r="J274" i="6"/>
  <c r="K274" i="6"/>
  <c r="J276" i="6"/>
  <c r="F276" i="6"/>
  <c r="K276" i="6"/>
  <c r="H276" i="6"/>
  <c r="G276" i="6"/>
  <c r="G280" i="6"/>
  <c r="H280" i="6"/>
  <c r="K280" i="6"/>
  <c r="J280" i="6"/>
  <c r="F280" i="6"/>
  <c r="J284" i="6"/>
  <c r="F284" i="6"/>
  <c r="K284" i="6"/>
  <c r="G284" i="6"/>
  <c r="H284" i="6"/>
  <c r="G288" i="6"/>
  <c r="H288" i="6"/>
  <c r="F288" i="6"/>
  <c r="J288" i="6"/>
  <c r="K288" i="6"/>
  <c r="J290" i="6"/>
  <c r="F290" i="6"/>
  <c r="K290" i="6"/>
  <c r="H290" i="6"/>
  <c r="G290" i="6"/>
  <c r="G294" i="6"/>
  <c r="H294" i="6"/>
  <c r="K294" i="6"/>
  <c r="F294" i="6"/>
  <c r="J294" i="6"/>
  <c r="H298" i="6"/>
  <c r="K298" i="6"/>
  <c r="F298" i="6"/>
  <c r="J298" i="6"/>
  <c r="G298" i="6"/>
  <c r="J302" i="6"/>
  <c r="F302" i="6"/>
  <c r="K302" i="6"/>
  <c r="G302" i="6"/>
  <c r="H302" i="6"/>
  <c r="G306" i="6"/>
  <c r="H306" i="6"/>
  <c r="F306" i="6"/>
  <c r="J306" i="6"/>
  <c r="K306" i="6"/>
  <c r="H15" i="6"/>
  <c r="J15" i="6"/>
  <c r="G15" i="6"/>
  <c r="K15" i="6"/>
  <c r="F15" i="6"/>
  <c r="G21" i="6"/>
  <c r="K21" i="6"/>
  <c r="H21" i="6"/>
  <c r="F21" i="6"/>
  <c r="J21" i="6"/>
  <c r="F25" i="6"/>
  <c r="J25" i="6"/>
  <c r="H25" i="6"/>
  <c r="K25" i="6"/>
  <c r="G25" i="6"/>
  <c r="F71" i="6"/>
  <c r="K71" i="6"/>
  <c r="G71" i="6"/>
  <c r="J71" i="6"/>
  <c r="H71" i="6"/>
  <c r="F85" i="6"/>
  <c r="J85" i="6"/>
  <c r="G85" i="6"/>
  <c r="K85" i="6"/>
  <c r="H85" i="6"/>
  <c r="F372" i="6"/>
  <c r="K372" i="6"/>
  <c r="G372" i="6"/>
  <c r="H372" i="6"/>
  <c r="J372" i="6"/>
  <c r="H376" i="6"/>
  <c r="J376" i="6"/>
  <c r="G376" i="6"/>
  <c r="K376" i="6"/>
  <c r="F376" i="6"/>
  <c r="F380" i="6"/>
  <c r="K380" i="6"/>
  <c r="G380" i="6"/>
  <c r="J380" i="6"/>
  <c r="H380" i="6"/>
  <c r="H384" i="6"/>
  <c r="J384" i="6"/>
  <c r="F384" i="6"/>
  <c r="G384" i="6"/>
  <c r="K384" i="6"/>
  <c r="F388" i="6"/>
  <c r="K388" i="6"/>
  <c r="G388" i="6"/>
  <c r="H388" i="6"/>
  <c r="J388" i="6"/>
  <c r="H389" i="6"/>
  <c r="J389" i="6"/>
  <c r="G389" i="6"/>
  <c r="K389" i="6"/>
  <c r="F389" i="6"/>
  <c r="H394" i="6"/>
  <c r="J394" i="6"/>
  <c r="G394" i="6"/>
  <c r="K394" i="6"/>
  <c r="F394" i="6"/>
  <c r="G48" i="6"/>
  <c r="H48" i="6"/>
  <c r="F48" i="6"/>
  <c r="J48" i="6"/>
  <c r="K48" i="6"/>
  <c r="G121" i="6"/>
  <c r="K121" i="6"/>
  <c r="H121" i="6"/>
  <c r="J121" i="6"/>
  <c r="F121" i="6"/>
  <c r="H140" i="6"/>
  <c r="G140" i="6"/>
  <c r="J140" i="6"/>
  <c r="F140" i="6"/>
  <c r="K140" i="6"/>
  <c r="H148" i="6"/>
  <c r="K148" i="6"/>
  <c r="F148" i="6"/>
  <c r="J148" i="6"/>
  <c r="G148" i="6"/>
  <c r="G377" i="6"/>
  <c r="H377" i="6"/>
  <c r="K377" i="6"/>
  <c r="F377" i="6"/>
  <c r="J377" i="6"/>
  <c r="H23" i="6"/>
  <c r="J23" i="6"/>
  <c r="F23" i="6"/>
  <c r="K23" i="6"/>
  <c r="G23" i="6"/>
  <c r="G96" i="6"/>
  <c r="H96" i="6"/>
  <c r="K96" i="6"/>
  <c r="J96" i="6"/>
  <c r="F96" i="6"/>
  <c r="H100" i="6"/>
  <c r="J100" i="6"/>
  <c r="F100" i="6"/>
  <c r="G100" i="6"/>
  <c r="K100" i="6"/>
  <c r="J104" i="6"/>
  <c r="F104" i="6"/>
  <c r="K104" i="6"/>
  <c r="G104" i="6"/>
  <c r="H104" i="6"/>
  <c r="F108" i="6"/>
  <c r="K108" i="6"/>
  <c r="G108" i="6"/>
  <c r="H108" i="6"/>
  <c r="J108" i="6"/>
  <c r="F114" i="6"/>
  <c r="K114" i="6"/>
  <c r="G114" i="6"/>
  <c r="J114" i="6"/>
  <c r="H114" i="6"/>
  <c r="H159" i="6"/>
  <c r="J159" i="6"/>
  <c r="G159" i="6"/>
  <c r="K159" i="6"/>
  <c r="F159" i="6"/>
  <c r="F163" i="6"/>
  <c r="K163" i="6"/>
  <c r="G163" i="6"/>
  <c r="J163" i="6"/>
  <c r="H163" i="6"/>
  <c r="H167" i="6"/>
  <c r="J167" i="6"/>
  <c r="F167" i="6"/>
  <c r="G167" i="6"/>
  <c r="K167" i="6"/>
  <c r="F171" i="6"/>
  <c r="K171" i="6"/>
  <c r="G171" i="6"/>
  <c r="H171" i="6"/>
  <c r="J171" i="6"/>
  <c r="H175" i="6"/>
  <c r="J175" i="6"/>
  <c r="G175" i="6"/>
  <c r="K175" i="6"/>
  <c r="F175" i="6"/>
  <c r="F179" i="6"/>
  <c r="K179" i="6"/>
  <c r="G179" i="6"/>
  <c r="J179" i="6"/>
  <c r="H179" i="6"/>
  <c r="G183" i="6"/>
  <c r="K183" i="6"/>
  <c r="H183" i="6"/>
  <c r="J183" i="6"/>
  <c r="F183" i="6"/>
  <c r="F187" i="6"/>
  <c r="J187" i="6"/>
  <c r="G187" i="6"/>
  <c r="H187" i="6"/>
  <c r="K187" i="6"/>
  <c r="G191" i="6"/>
  <c r="K191" i="6"/>
  <c r="H191" i="6"/>
  <c r="F191" i="6"/>
  <c r="J191" i="6"/>
  <c r="F195" i="6"/>
  <c r="J195" i="6"/>
  <c r="H195" i="6"/>
  <c r="K195" i="6"/>
  <c r="G195" i="6"/>
  <c r="G199" i="6"/>
  <c r="K199" i="6"/>
  <c r="H199" i="6"/>
  <c r="J199" i="6"/>
  <c r="F199" i="6"/>
  <c r="F203" i="6"/>
  <c r="J203" i="6"/>
  <c r="G203" i="6"/>
  <c r="K203" i="6"/>
  <c r="H203" i="6"/>
  <c r="G207" i="6"/>
  <c r="K207" i="6"/>
  <c r="H207" i="6"/>
  <c r="F207" i="6"/>
  <c r="J207" i="6"/>
  <c r="F211" i="6"/>
  <c r="J211" i="6"/>
  <c r="H211" i="6"/>
  <c r="K211" i="6"/>
  <c r="G211" i="6"/>
  <c r="G215" i="6"/>
  <c r="K215" i="6"/>
  <c r="H215" i="6"/>
  <c r="J215" i="6"/>
  <c r="F215" i="6"/>
  <c r="F219" i="6"/>
  <c r="J219" i="6"/>
  <c r="G219" i="6"/>
  <c r="H219" i="6"/>
  <c r="K219" i="6"/>
  <c r="G223" i="6"/>
  <c r="K223" i="6"/>
  <c r="H223" i="6"/>
  <c r="F223" i="6"/>
  <c r="J223" i="6"/>
  <c r="F227" i="6"/>
  <c r="J227" i="6"/>
  <c r="H227" i="6"/>
  <c r="K227" i="6"/>
  <c r="G227" i="6"/>
  <c r="G231" i="6"/>
  <c r="K231" i="6"/>
  <c r="H231" i="6"/>
  <c r="J231" i="6"/>
  <c r="F231" i="6"/>
  <c r="F235" i="6"/>
  <c r="J235" i="6"/>
  <c r="G235" i="6"/>
  <c r="K235" i="6"/>
  <c r="H235" i="6"/>
  <c r="G239" i="6"/>
  <c r="K239" i="6"/>
  <c r="H239" i="6"/>
  <c r="F239" i="6"/>
  <c r="J239" i="6"/>
  <c r="F243" i="6"/>
  <c r="J243" i="6"/>
  <c r="H243" i="6"/>
  <c r="K243" i="6"/>
  <c r="G243" i="6"/>
  <c r="G247" i="6"/>
  <c r="K247" i="6"/>
  <c r="H247" i="6"/>
  <c r="J247" i="6"/>
  <c r="F247" i="6"/>
  <c r="F251" i="6"/>
  <c r="J251" i="6"/>
  <c r="G251" i="6"/>
  <c r="H251" i="6"/>
  <c r="K251" i="6"/>
  <c r="F259" i="6"/>
  <c r="J259" i="6"/>
  <c r="H259" i="6"/>
  <c r="K259" i="6"/>
  <c r="G259" i="6"/>
  <c r="G263" i="6"/>
  <c r="K263" i="6"/>
  <c r="H263" i="6"/>
  <c r="J263" i="6"/>
  <c r="F263" i="6"/>
  <c r="F267" i="6"/>
  <c r="J267" i="6"/>
  <c r="G267" i="6"/>
  <c r="K267" i="6"/>
  <c r="H267" i="6"/>
  <c r="G271" i="6"/>
  <c r="K271" i="6"/>
  <c r="H271" i="6"/>
  <c r="F271" i="6"/>
  <c r="J271" i="6"/>
  <c r="G277" i="6"/>
  <c r="K277" i="6"/>
  <c r="H277" i="6"/>
  <c r="J277" i="6"/>
  <c r="F277" i="6"/>
  <c r="F281" i="6"/>
  <c r="J281" i="6"/>
  <c r="G281" i="6"/>
  <c r="H281" i="6"/>
  <c r="K281" i="6"/>
  <c r="G285" i="6"/>
  <c r="K285" i="6"/>
  <c r="H285" i="6"/>
  <c r="F285" i="6"/>
  <c r="J285" i="6"/>
  <c r="G291" i="6"/>
  <c r="K291" i="6"/>
  <c r="H291" i="6"/>
  <c r="J291" i="6"/>
  <c r="F291" i="6"/>
  <c r="F295" i="6"/>
  <c r="J295" i="6"/>
  <c r="G295" i="6"/>
  <c r="K295" i="6"/>
  <c r="H295" i="6"/>
  <c r="J299" i="6"/>
  <c r="F299" i="6"/>
  <c r="K299" i="6"/>
  <c r="G299" i="6"/>
  <c r="H299" i="6"/>
  <c r="G303" i="6"/>
  <c r="K303" i="6"/>
  <c r="H303" i="6"/>
  <c r="F303" i="6"/>
  <c r="J303" i="6"/>
  <c r="G18" i="6"/>
  <c r="H18" i="6"/>
  <c r="F18" i="6"/>
  <c r="J18" i="6"/>
  <c r="K18" i="6"/>
  <c r="J22" i="6"/>
  <c r="F22" i="6"/>
  <c r="K22" i="6"/>
  <c r="H22" i="6"/>
  <c r="G22" i="6"/>
  <c r="G26" i="6"/>
  <c r="H26" i="6"/>
  <c r="K26" i="6"/>
  <c r="J26" i="6"/>
  <c r="F26" i="6"/>
  <c r="J72" i="6"/>
  <c r="F72" i="6"/>
  <c r="K72" i="6"/>
  <c r="G72" i="6"/>
  <c r="H72" i="6"/>
  <c r="J120" i="6"/>
  <c r="F120" i="6"/>
  <c r="K120" i="6"/>
  <c r="H120" i="6"/>
  <c r="G120" i="6"/>
  <c r="F124" i="6"/>
  <c r="K124" i="6"/>
  <c r="G124" i="6"/>
  <c r="J124" i="6"/>
  <c r="H124" i="6"/>
  <c r="G128" i="6"/>
  <c r="H128" i="6"/>
  <c r="K128" i="6"/>
  <c r="F128" i="6"/>
  <c r="J128" i="6"/>
  <c r="H132" i="6"/>
  <c r="J132" i="6"/>
  <c r="F132" i="6"/>
  <c r="K132" i="6"/>
  <c r="G132" i="6"/>
  <c r="J135" i="6"/>
  <c r="F135" i="6"/>
  <c r="K135" i="6"/>
  <c r="G135" i="6"/>
  <c r="H135" i="6"/>
  <c r="F139" i="6"/>
  <c r="K139" i="6"/>
  <c r="G139" i="6"/>
  <c r="H139" i="6"/>
  <c r="J139" i="6"/>
  <c r="H143" i="6"/>
  <c r="J143" i="6"/>
  <c r="G143" i="6"/>
  <c r="K143" i="6"/>
  <c r="F143" i="6"/>
  <c r="F147" i="6"/>
  <c r="K147" i="6"/>
  <c r="G147" i="6"/>
  <c r="J147" i="6"/>
  <c r="H147" i="6"/>
  <c r="H151" i="6"/>
  <c r="J151" i="6"/>
  <c r="F151" i="6"/>
  <c r="K151" i="6"/>
  <c r="G151" i="6"/>
  <c r="F155" i="6"/>
  <c r="K155" i="6"/>
  <c r="G155" i="6"/>
  <c r="H155" i="6"/>
  <c r="J155" i="6"/>
  <c r="F309" i="6"/>
  <c r="K309" i="6"/>
  <c r="G309" i="6"/>
  <c r="H309" i="6"/>
  <c r="J309" i="6"/>
  <c r="H313" i="6"/>
  <c r="J313" i="6"/>
  <c r="G313" i="6"/>
  <c r="K313" i="6"/>
  <c r="F313" i="6"/>
  <c r="F317" i="6"/>
  <c r="K317" i="6"/>
  <c r="G317" i="6"/>
  <c r="J317" i="6"/>
  <c r="H317" i="6"/>
  <c r="H321" i="6"/>
  <c r="J321" i="6"/>
  <c r="F321" i="6"/>
  <c r="K321" i="6"/>
  <c r="G321" i="6"/>
  <c r="F325" i="6"/>
  <c r="K325" i="6"/>
  <c r="G325" i="6"/>
  <c r="H325" i="6"/>
  <c r="J325" i="6"/>
  <c r="H329" i="6"/>
  <c r="J329" i="6"/>
  <c r="G329" i="6"/>
  <c r="K329" i="6"/>
  <c r="F329" i="6"/>
  <c r="F332" i="6"/>
  <c r="K332" i="6"/>
  <c r="G332" i="6"/>
  <c r="J332" i="6"/>
  <c r="H332" i="6"/>
  <c r="H336" i="6"/>
  <c r="J336" i="6"/>
  <c r="F336" i="6"/>
  <c r="G336" i="6"/>
  <c r="K336" i="6"/>
  <c r="F340" i="6"/>
  <c r="K340" i="6"/>
  <c r="G340" i="6"/>
  <c r="H340" i="6"/>
  <c r="J340" i="6"/>
  <c r="H344" i="6"/>
  <c r="J344" i="6"/>
  <c r="G344" i="6"/>
  <c r="K344" i="6"/>
  <c r="F344" i="6"/>
  <c r="F348" i="6"/>
  <c r="K348" i="6"/>
  <c r="G348" i="6"/>
  <c r="J348" i="6"/>
  <c r="H348" i="6"/>
  <c r="H352" i="6"/>
  <c r="J352" i="6"/>
  <c r="F352" i="6"/>
  <c r="K352" i="6"/>
  <c r="G352" i="6"/>
  <c r="F356" i="6"/>
  <c r="K356" i="6"/>
  <c r="G356" i="6"/>
  <c r="H356" i="6"/>
  <c r="J356" i="6"/>
  <c r="H360" i="6"/>
  <c r="J360" i="6"/>
  <c r="G360" i="6"/>
  <c r="K360" i="6"/>
  <c r="F360" i="6"/>
  <c r="F364" i="6"/>
  <c r="K364" i="6"/>
  <c r="G364" i="6"/>
  <c r="J364" i="6"/>
  <c r="H364" i="6"/>
  <c r="H368" i="6"/>
  <c r="J368" i="6"/>
  <c r="F368" i="6"/>
  <c r="G368" i="6"/>
  <c r="K368" i="6"/>
  <c r="G32" i="6"/>
  <c r="H32" i="6"/>
  <c r="K32" i="6"/>
  <c r="J32" i="6"/>
  <c r="F32" i="6"/>
  <c r="F44" i="6"/>
  <c r="K44" i="6"/>
  <c r="G44" i="6"/>
  <c r="H44" i="6"/>
  <c r="J44" i="6"/>
  <c r="F60" i="6"/>
  <c r="K60" i="6"/>
  <c r="G60" i="6"/>
  <c r="J60" i="6"/>
  <c r="H60" i="6"/>
  <c r="J78" i="6"/>
  <c r="F78" i="6"/>
  <c r="K78" i="6"/>
  <c r="H78" i="6"/>
  <c r="G78" i="6"/>
  <c r="F129" i="6"/>
  <c r="J129" i="6"/>
  <c r="G129" i="6"/>
  <c r="K129" i="6"/>
  <c r="H129" i="6"/>
  <c r="F144" i="6"/>
  <c r="J144" i="6"/>
  <c r="G144" i="6"/>
  <c r="K144" i="6"/>
  <c r="H144" i="6"/>
  <c r="F19" i="6"/>
  <c r="K19" i="6"/>
  <c r="G19" i="6"/>
  <c r="J19" i="6"/>
  <c r="H19" i="6"/>
  <c r="F237" i="6"/>
  <c r="K237" i="6"/>
  <c r="G237" i="6"/>
  <c r="J237" i="6"/>
  <c r="H237" i="6"/>
  <c r="F245" i="6"/>
  <c r="K245" i="6"/>
  <c r="G245" i="6"/>
  <c r="H245" i="6"/>
  <c r="J245" i="6"/>
  <c r="F253" i="6"/>
  <c r="K253" i="6"/>
  <c r="G253" i="6"/>
  <c r="J253" i="6"/>
  <c r="H253" i="6"/>
  <c r="F261" i="6"/>
  <c r="K261" i="6"/>
  <c r="G261" i="6"/>
  <c r="H261" i="6"/>
  <c r="J261" i="6"/>
  <c r="F269" i="6"/>
  <c r="K269" i="6"/>
  <c r="G269" i="6"/>
  <c r="J269" i="6"/>
  <c r="H269" i="6"/>
  <c r="F283" i="6"/>
  <c r="K283" i="6"/>
  <c r="G283" i="6"/>
  <c r="J283" i="6"/>
  <c r="H283" i="6"/>
  <c r="F289" i="6"/>
  <c r="K289" i="6"/>
  <c r="G289" i="6"/>
  <c r="H289" i="6"/>
  <c r="J289" i="6"/>
  <c r="F297" i="6"/>
  <c r="K297" i="6"/>
  <c r="G297" i="6"/>
  <c r="J297" i="6"/>
  <c r="H297" i="6"/>
  <c r="H305" i="6"/>
  <c r="J305" i="6"/>
  <c r="F305" i="6"/>
  <c r="G305" i="6"/>
  <c r="K305" i="6"/>
  <c r="F119" i="6"/>
  <c r="K119" i="6"/>
  <c r="G119" i="6"/>
  <c r="H119" i="6"/>
  <c r="J119" i="6"/>
  <c r="G123" i="6"/>
  <c r="H123" i="6"/>
  <c r="F123" i="6"/>
  <c r="J123" i="6"/>
  <c r="K123" i="6"/>
  <c r="H127" i="6"/>
  <c r="J127" i="6"/>
  <c r="G127" i="6"/>
  <c r="K127" i="6"/>
  <c r="F127" i="6"/>
  <c r="J131" i="6"/>
  <c r="F131" i="6"/>
  <c r="K131" i="6"/>
  <c r="H131" i="6"/>
  <c r="G131" i="6"/>
  <c r="F134" i="6"/>
  <c r="K134" i="6"/>
  <c r="G134" i="6"/>
  <c r="J134" i="6"/>
  <c r="H134" i="6"/>
  <c r="G138" i="6"/>
  <c r="H138" i="6"/>
  <c r="K138" i="6"/>
  <c r="F138" i="6"/>
  <c r="J138" i="6"/>
  <c r="J142" i="6"/>
  <c r="F142" i="6"/>
  <c r="K142" i="6"/>
  <c r="G142" i="6"/>
  <c r="H142" i="6"/>
  <c r="G146" i="6"/>
  <c r="H146" i="6"/>
  <c r="F146" i="6"/>
  <c r="J146" i="6"/>
  <c r="K146" i="6"/>
  <c r="J150" i="6"/>
  <c r="F150" i="6"/>
  <c r="K150" i="6"/>
  <c r="H150" i="6"/>
  <c r="G150" i="6"/>
  <c r="G154" i="6"/>
  <c r="H154" i="6"/>
  <c r="K154" i="6"/>
  <c r="J154" i="6"/>
  <c r="F154" i="6"/>
  <c r="G255" i="6"/>
  <c r="K255" i="6"/>
  <c r="H255" i="6"/>
  <c r="F255" i="6"/>
  <c r="J255" i="6"/>
  <c r="G308" i="6"/>
  <c r="H308" i="6"/>
  <c r="K308" i="6"/>
  <c r="F308" i="6"/>
  <c r="J308" i="6"/>
  <c r="J312" i="6"/>
  <c r="F312" i="6"/>
  <c r="K312" i="6"/>
  <c r="G312" i="6"/>
  <c r="H312" i="6"/>
  <c r="G316" i="6"/>
  <c r="H316" i="6"/>
  <c r="F316" i="6"/>
  <c r="J316" i="6"/>
  <c r="K316" i="6"/>
  <c r="J320" i="6"/>
  <c r="F320" i="6"/>
  <c r="K320" i="6"/>
  <c r="H320" i="6"/>
  <c r="G320" i="6"/>
  <c r="G324" i="6"/>
  <c r="H324" i="6"/>
  <c r="K324" i="6"/>
  <c r="J324" i="6"/>
  <c r="F324" i="6"/>
  <c r="J328" i="6"/>
  <c r="F328" i="6"/>
  <c r="K328" i="6"/>
  <c r="G328" i="6"/>
  <c r="H328" i="6"/>
  <c r="J335" i="6"/>
  <c r="F335" i="6"/>
  <c r="K335" i="6"/>
  <c r="H335" i="6"/>
  <c r="G335" i="6"/>
  <c r="G339" i="6"/>
  <c r="H339" i="6"/>
  <c r="K339" i="6"/>
  <c r="F339" i="6"/>
  <c r="J339" i="6"/>
  <c r="J343" i="6"/>
  <c r="F343" i="6"/>
  <c r="K343" i="6"/>
  <c r="G343" i="6"/>
  <c r="H343" i="6"/>
  <c r="G347" i="6"/>
  <c r="H347" i="6"/>
  <c r="F347" i="6"/>
  <c r="J347" i="6"/>
  <c r="K347" i="6"/>
  <c r="J351" i="6"/>
  <c r="F351" i="6"/>
  <c r="K351" i="6"/>
  <c r="H351" i="6"/>
  <c r="G351" i="6"/>
  <c r="G355" i="6"/>
  <c r="H355" i="6"/>
  <c r="K355" i="6"/>
  <c r="J355" i="6"/>
  <c r="F355" i="6"/>
  <c r="J359" i="6"/>
  <c r="F359" i="6"/>
  <c r="K359" i="6"/>
  <c r="G359" i="6"/>
  <c r="H359" i="6"/>
  <c r="G363" i="6"/>
  <c r="H363" i="6"/>
  <c r="F363" i="6"/>
  <c r="J363" i="6"/>
  <c r="K363" i="6"/>
  <c r="J367" i="6"/>
  <c r="F367" i="6"/>
  <c r="H367" i="6"/>
  <c r="K367" i="6"/>
  <c r="G367" i="6"/>
  <c r="G371" i="6"/>
  <c r="H371" i="6"/>
  <c r="K371" i="6"/>
  <c r="F371" i="6"/>
  <c r="J371" i="6"/>
  <c r="J375" i="6"/>
  <c r="F375" i="6"/>
  <c r="K375" i="6"/>
  <c r="G375" i="6"/>
  <c r="H375" i="6"/>
  <c r="G379" i="6"/>
  <c r="H379" i="6"/>
  <c r="F379" i="6"/>
  <c r="J379" i="6"/>
  <c r="K379" i="6"/>
  <c r="J383" i="6"/>
  <c r="F383" i="6"/>
  <c r="K383" i="6"/>
  <c r="H383" i="6"/>
  <c r="G383" i="6"/>
  <c r="G387" i="6"/>
  <c r="H387" i="6"/>
  <c r="K387" i="6"/>
  <c r="F387" i="6"/>
  <c r="J387" i="6"/>
  <c r="J393" i="6"/>
  <c r="F393" i="6"/>
  <c r="K393" i="6"/>
  <c r="G393" i="6"/>
  <c r="H393" i="6"/>
  <c r="H31" i="6"/>
  <c r="J31" i="6"/>
  <c r="G31" i="6"/>
  <c r="K31" i="6"/>
  <c r="F31" i="6"/>
  <c r="J35" i="6"/>
  <c r="F35" i="6"/>
  <c r="K35" i="6"/>
  <c r="H35" i="6"/>
  <c r="G35" i="6"/>
  <c r="F39" i="6"/>
  <c r="K39" i="6"/>
  <c r="G39" i="6"/>
  <c r="J39" i="6"/>
  <c r="H39" i="6"/>
  <c r="G43" i="6"/>
  <c r="H43" i="6"/>
  <c r="K43" i="6"/>
  <c r="J43" i="6"/>
  <c r="F43" i="6"/>
  <c r="H47" i="6"/>
  <c r="J47" i="6"/>
  <c r="F47" i="6"/>
  <c r="G47" i="6"/>
  <c r="K47" i="6"/>
  <c r="J51" i="6"/>
  <c r="F51" i="6"/>
  <c r="K51" i="6"/>
  <c r="G51" i="6"/>
  <c r="H51" i="6"/>
  <c r="F55" i="6"/>
  <c r="K55" i="6"/>
  <c r="G55" i="6"/>
  <c r="H55" i="6"/>
  <c r="J55" i="6"/>
  <c r="G59" i="6"/>
  <c r="H59" i="6"/>
  <c r="F59" i="6"/>
  <c r="J59" i="6"/>
  <c r="K59" i="6"/>
  <c r="H63" i="6"/>
  <c r="J63" i="6"/>
  <c r="G63" i="6"/>
  <c r="K63" i="6"/>
  <c r="F63" i="6"/>
  <c r="J67" i="6"/>
  <c r="F67" i="6"/>
  <c r="K67" i="6"/>
  <c r="H67" i="6"/>
  <c r="G67" i="6"/>
  <c r="H77" i="6"/>
  <c r="G77" i="6"/>
  <c r="J77" i="6"/>
  <c r="F77" i="6"/>
  <c r="K77" i="6"/>
  <c r="F81" i="6"/>
  <c r="J81" i="6"/>
  <c r="H81" i="6"/>
  <c r="K81" i="6"/>
  <c r="G81" i="6"/>
  <c r="F87" i="6"/>
  <c r="K87" i="6"/>
  <c r="G87" i="6"/>
  <c r="H87" i="6"/>
  <c r="J87" i="6"/>
  <c r="H93" i="6"/>
  <c r="K93" i="6"/>
  <c r="F93" i="6"/>
  <c r="J93" i="6"/>
  <c r="G93" i="6"/>
  <c r="F97" i="6"/>
  <c r="J97" i="6"/>
  <c r="G97" i="6"/>
  <c r="H97" i="6"/>
  <c r="K97" i="6"/>
  <c r="F101" i="6"/>
  <c r="J101" i="6"/>
  <c r="G101" i="6"/>
  <c r="K101" i="6"/>
  <c r="H101" i="6"/>
  <c r="G105" i="6"/>
  <c r="K105" i="6"/>
  <c r="H105" i="6"/>
  <c r="F105" i="6"/>
  <c r="J105" i="6"/>
  <c r="H109" i="6"/>
  <c r="G109" i="6"/>
  <c r="J109" i="6"/>
  <c r="F109" i="6"/>
  <c r="K109" i="6"/>
  <c r="J115" i="6"/>
  <c r="F115" i="6"/>
  <c r="K115" i="6"/>
  <c r="G115" i="6"/>
  <c r="H115" i="6"/>
  <c r="F160" i="6"/>
  <c r="J160" i="6"/>
  <c r="G160" i="6"/>
  <c r="K160" i="6"/>
  <c r="H160" i="6"/>
  <c r="H164" i="6"/>
  <c r="K164" i="6"/>
  <c r="F164" i="6"/>
  <c r="G164" i="6"/>
  <c r="J164" i="6"/>
  <c r="F168" i="6"/>
  <c r="J168" i="6"/>
  <c r="G168" i="6"/>
  <c r="K168" i="6"/>
  <c r="H168" i="6"/>
  <c r="H172" i="6"/>
  <c r="G172" i="6"/>
  <c r="J172" i="6"/>
  <c r="F172" i="6"/>
  <c r="K172" i="6"/>
  <c r="F176" i="6"/>
  <c r="J176" i="6"/>
  <c r="G176" i="6"/>
  <c r="K176" i="6"/>
  <c r="H176" i="6"/>
  <c r="H180" i="6"/>
  <c r="K180" i="6"/>
  <c r="F180" i="6"/>
  <c r="J180" i="6"/>
  <c r="G180" i="6"/>
  <c r="J184" i="6"/>
  <c r="F184" i="6"/>
  <c r="K184" i="6"/>
  <c r="G184" i="6"/>
  <c r="H184" i="6"/>
  <c r="G188" i="6"/>
  <c r="H188" i="6"/>
  <c r="F188" i="6"/>
  <c r="J188" i="6"/>
  <c r="K188" i="6"/>
  <c r="J192" i="6"/>
  <c r="F192" i="6"/>
  <c r="K192" i="6"/>
  <c r="H192" i="6"/>
  <c r="G192" i="6"/>
  <c r="G196" i="6"/>
  <c r="H196" i="6"/>
  <c r="K196" i="6"/>
  <c r="F196" i="6"/>
  <c r="J196" i="6"/>
  <c r="J200" i="6"/>
  <c r="F200" i="6"/>
  <c r="K200" i="6"/>
  <c r="G200" i="6"/>
  <c r="H200" i="6"/>
  <c r="G204" i="6"/>
  <c r="H204" i="6"/>
  <c r="F204" i="6"/>
  <c r="J204" i="6"/>
  <c r="K204" i="6"/>
  <c r="J208" i="6"/>
  <c r="F208" i="6"/>
  <c r="K208" i="6"/>
  <c r="H208" i="6"/>
  <c r="G208" i="6"/>
  <c r="G212" i="6"/>
  <c r="H212" i="6"/>
  <c r="K212" i="6"/>
  <c r="J212" i="6"/>
  <c r="F212" i="6"/>
  <c r="J216" i="6"/>
  <c r="F216" i="6"/>
  <c r="K216" i="6"/>
  <c r="G216" i="6"/>
  <c r="H216" i="6"/>
  <c r="G220" i="6"/>
  <c r="H220" i="6"/>
  <c r="F220" i="6"/>
  <c r="J220" i="6"/>
  <c r="K220" i="6"/>
  <c r="J224" i="6"/>
  <c r="F224" i="6"/>
  <c r="K224" i="6"/>
  <c r="H224" i="6"/>
  <c r="G224" i="6"/>
  <c r="G228" i="6"/>
  <c r="H228" i="6"/>
  <c r="K228" i="6"/>
  <c r="F228" i="6"/>
  <c r="J228" i="6"/>
  <c r="J232" i="6"/>
  <c r="F232" i="6"/>
  <c r="K232" i="6"/>
  <c r="G232" i="6"/>
  <c r="H232" i="6"/>
  <c r="G236" i="6"/>
  <c r="H236" i="6"/>
  <c r="F236" i="6"/>
  <c r="J236" i="6"/>
  <c r="K236" i="6"/>
  <c r="J240" i="6"/>
  <c r="F240" i="6"/>
  <c r="K240" i="6"/>
  <c r="H240" i="6"/>
  <c r="G240" i="6"/>
  <c r="G244" i="6"/>
  <c r="H244" i="6"/>
  <c r="K244" i="6"/>
  <c r="J244" i="6"/>
  <c r="F244" i="6"/>
  <c r="J248" i="6"/>
  <c r="F248" i="6"/>
  <c r="K248" i="6"/>
  <c r="G248" i="6"/>
  <c r="H248" i="6"/>
  <c r="G252" i="6"/>
  <c r="H252" i="6"/>
  <c r="F252" i="6"/>
  <c r="J252" i="6"/>
  <c r="K252" i="6"/>
  <c r="J256" i="6"/>
  <c r="F256" i="6"/>
  <c r="K256" i="6"/>
  <c r="H256" i="6"/>
  <c r="G256" i="6"/>
  <c r="G260" i="6"/>
  <c r="H260" i="6"/>
  <c r="K260" i="6"/>
  <c r="F260" i="6"/>
  <c r="J260" i="6"/>
  <c r="J264" i="6"/>
  <c r="F264" i="6"/>
  <c r="K264" i="6"/>
  <c r="G264" i="6"/>
  <c r="H264" i="6"/>
  <c r="G268" i="6"/>
  <c r="H268" i="6"/>
  <c r="F268" i="6"/>
  <c r="J268" i="6"/>
  <c r="K268" i="6"/>
  <c r="J272" i="6"/>
  <c r="F272" i="6"/>
  <c r="K272" i="6"/>
  <c r="H272" i="6"/>
  <c r="G272" i="6"/>
  <c r="G275" i="6"/>
  <c r="H275" i="6"/>
  <c r="K275" i="6"/>
  <c r="J275" i="6"/>
  <c r="F275" i="6"/>
  <c r="J278" i="6"/>
  <c r="F278" i="6"/>
  <c r="K278" i="6"/>
  <c r="G278" i="6"/>
  <c r="H278" i="6"/>
  <c r="G282" i="6"/>
  <c r="H282" i="6"/>
  <c r="F282" i="6"/>
  <c r="J282" i="6"/>
  <c r="K282" i="6"/>
  <c r="J286" i="6"/>
  <c r="F286" i="6"/>
  <c r="K286" i="6"/>
  <c r="H286" i="6"/>
  <c r="G286" i="6"/>
  <c r="J292" i="6"/>
  <c r="F292" i="6"/>
  <c r="K292" i="6"/>
  <c r="G292" i="6"/>
  <c r="H292" i="6"/>
  <c r="G296" i="6"/>
  <c r="H296" i="6"/>
  <c r="F296" i="6"/>
  <c r="J296" i="6"/>
  <c r="K296" i="6"/>
  <c r="H300" i="6"/>
  <c r="G300" i="6"/>
  <c r="J300" i="6"/>
  <c r="F300" i="6"/>
  <c r="K300" i="6"/>
  <c r="J304" i="6"/>
  <c r="F304" i="6"/>
  <c r="K304" i="6"/>
  <c r="H304" i="6"/>
  <c r="G304" i="6"/>
  <c r="F92" i="6"/>
  <c r="K92" i="6"/>
  <c r="G92" i="6"/>
  <c r="J92" i="6"/>
  <c r="H92" i="6"/>
  <c r="H36" i="6"/>
  <c r="J36" i="6"/>
  <c r="F36" i="6"/>
  <c r="G36" i="6"/>
  <c r="K36" i="6"/>
  <c r="H52" i="6"/>
  <c r="J52" i="6"/>
  <c r="G52" i="6"/>
  <c r="K52" i="6"/>
  <c r="F52" i="6"/>
  <c r="G64" i="6"/>
  <c r="H64" i="6"/>
  <c r="K64" i="6"/>
  <c r="F64" i="6"/>
  <c r="J64" i="6"/>
  <c r="J88" i="6"/>
  <c r="F88" i="6"/>
  <c r="K88" i="6"/>
  <c r="H88" i="6"/>
  <c r="G88" i="6"/>
  <c r="H125" i="6"/>
  <c r="K125" i="6"/>
  <c r="F125" i="6"/>
  <c r="G125" i="6"/>
  <c r="J125" i="6"/>
  <c r="G136" i="6"/>
  <c r="K136" i="6"/>
  <c r="H136" i="6"/>
  <c r="F136" i="6"/>
  <c r="J136" i="6"/>
  <c r="F152" i="6"/>
  <c r="J152" i="6"/>
  <c r="G152" i="6"/>
  <c r="K152" i="6"/>
  <c r="H152" i="6"/>
  <c r="G13" i="6"/>
  <c r="K13" i="6"/>
  <c r="H13" i="6"/>
  <c r="J13" i="6"/>
  <c r="F13" i="6"/>
  <c r="F27" i="6"/>
  <c r="K27" i="6"/>
  <c r="G27" i="6"/>
  <c r="H27" i="6"/>
  <c r="J27" i="6"/>
  <c r="G73" i="6"/>
  <c r="K73" i="6"/>
  <c r="H73" i="6"/>
  <c r="F73" i="6"/>
  <c r="J73" i="6"/>
  <c r="H233" i="6"/>
  <c r="J233" i="6"/>
  <c r="G233" i="6"/>
  <c r="K233" i="6"/>
  <c r="F233" i="6"/>
  <c r="H241" i="6"/>
  <c r="J241" i="6"/>
  <c r="F241" i="6"/>
  <c r="K241" i="6"/>
  <c r="G241" i="6"/>
  <c r="H249" i="6"/>
  <c r="J249" i="6"/>
  <c r="G249" i="6"/>
  <c r="K249" i="6"/>
  <c r="F249" i="6"/>
  <c r="H257" i="6"/>
  <c r="J257" i="6"/>
  <c r="F257" i="6"/>
  <c r="G257" i="6"/>
  <c r="K257" i="6"/>
  <c r="H265" i="6"/>
  <c r="J265" i="6"/>
  <c r="G265" i="6"/>
  <c r="K265" i="6"/>
  <c r="F265" i="6"/>
  <c r="H273" i="6"/>
  <c r="J273" i="6"/>
  <c r="F273" i="6"/>
  <c r="K273" i="6"/>
  <c r="G273" i="6"/>
  <c r="H279" i="6"/>
  <c r="J279" i="6"/>
  <c r="G279" i="6"/>
  <c r="K279" i="6"/>
  <c r="F279" i="6"/>
  <c r="H287" i="6"/>
  <c r="J287" i="6"/>
  <c r="F287" i="6"/>
  <c r="G287" i="6"/>
  <c r="K287" i="6"/>
  <c r="H293" i="6"/>
  <c r="J293" i="6"/>
  <c r="G293" i="6"/>
  <c r="K293" i="6"/>
  <c r="F293" i="6"/>
  <c r="F301" i="6"/>
  <c r="K301" i="6"/>
  <c r="G301" i="6"/>
  <c r="J301" i="6"/>
  <c r="H301" i="6"/>
  <c r="J94" i="6"/>
  <c r="F94" i="6"/>
  <c r="K94" i="6"/>
  <c r="G94" i="6"/>
  <c r="H94" i="6"/>
  <c r="F98" i="6"/>
  <c r="K98" i="6"/>
  <c r="G98" i="6"/>
  <c r="H98" i="6"/>
  <c r="J98" i="6"/>
  <c r="G102" i="6"/>
  <c r="H102" i="6"/>
  <c r="F102" i="6"/>
  <c r="J102" i="6"/>
  <c r="K102" i="6"/>
  <c r="H106" i="6"/>
  <c r="J106" i="6"/>
  <c r="G106" i="6"/>
  <c r="K106" i="6"/>
  <c r="F106" i="6"/>
  <c r="G112" i="6"/>
  <c r="H112" i="6"/>
  <c r="F112" i="6"/>
  <c r="J112" i="6"/>
  <c r="K112" i="6"/>
  <c r="H116" i="6"/>
  <c r="J116" i="6"/>
  <c r="G116" i="6"/>
  <c r="K116" i="6"/>
  <c r="F116" i="6"/>
  <c r="H161" i="6"/>
  <c r="J161" i="6"/>
  <c r="F161" i="6"/>
  <c r="G161" i="6"/>
  <c r="K161" i="6"/>
  <c r="F165" i="6"/>
  <c r="K165" i="6"/>
  <c r="G165" i="6"/>
  <c r="H165" i="6"/>
  <c r="J165" i="6"/>
  <c r="H169" i="6"/>
  <c r="J169" i="6"/>
  <c r="G169" i="6"/>
  <c r="K169" i="6"/>
  <c r="F169" i="6"/>
  <c r="F173" i="6"/>
  <c r="K173" i="6"/>
  <c r="G173" i="6"/>
  <c r="J173" i="6"/>
  <c r="H173" i="6"/>
  <c r="H177" i="6"/>
  <c r="J177" i="6"/>
  <c r="F177" i="6"/>
  <c r="K177" i="6"/>
  <c r="G177" i="6"/>
  <c r="F181" i="6"/>
  <c r="K181" i="6"/>
  <c r="G181" i="6"/>
  <c r="H181" i="6"/>
  <c r="J181" i="6"/>
  <c r="H185" i="6"/>
  <c r="J185" i="6"/>
  <c r="G185" i="6"/>
  <c r="K185" i="6"/>
  <c r="F185" i="6"/>
  <c r="F189" i="6"/>
  <c r="K189" i="6"/>
  <c r="G189" i="6"/>
  <c r="J189" i="6"/>
  <c r="H189" i="6"/>
  <c r="H193" i="6"/>
  <c r="J193" i="6"/>
  <c r="F193" i="6"/>
  <c r="G193" i="6"/>
  <c r="K193" i="6"/>
  <c r="F197" i="6"/>
  <c r="K197" i="6"/>
  <c r="G197" i="6"/>
  <c r="H197" i="6"/>
  <c r="J197" i="6"/>
  <c r="H201" i="6"/>
  <c r="J201" i="6"/>
  <c r="G201" i="6"/>
  <c r="K201" i="6"/>
  <c r="F201" i="6"/>
  <c r="F205" i="6"/>
  <c r="K205" i="6"/>
  <c r="G205" i="6"/>
  <c r="J205" i="6"/>
  <c r="H205" i="6"/>
  <c r="H209" i="6"/>
  <c r="J209" i="6"/>
  <c r="F209" i="6"/>
  <c r="K209" i="6"/>
  <c r="G209" i="6"/>
  <c r="F213" i="6"/>
  <c r="K213" i="6"/>
  <c r="G213" i="6"/>
  <c r="H213" i="6"/>
  <c r="J213" i="6"/>
  <c r="H217" i="6"/>
  <c r="J217" i="6"/>
  <c r="G217" i="6"/>
  <c r="K217" i="6"/>
  <c r="F217" i="6"/>
  <c r="F221" i="6"/>
  <c r="K221" i="6"/>
  <c r="G221" i="6"/>
  <c r="J221" i="6"/>
  <c r="H221" i="6"/>
  <c r="H225" i="6"/>
  <c r="J225" i="6"/>
  <c r="F225" i="6"/>
  <c r="G225" i="6"/>
  <c r="K225" i="6"/>
  <c r="F229" i="6"/>
  <c r="K229" i="6"/>
  <c r="G229" i="6"/>
  <c r="H229" i="6"/>
  <c r="J229" i="6"/>
  <c r="J310" i="6"/>
  <c r="F310" i="6"/>
  <c r="K310" i="6"/>
  <c r="H310" i="6"/>
  <c r="G310" i="6"/>
  <c r="G314" i="6"/>
  <c r="H314" i="6"/>
  <c r="K314" i="6"/>
  <c r="F314" i="6"/>
  <c r="J314" i="6"/>
  <c r="J318" i="6"/>
  <c r="F318" i="6"/>
  <c r="K318" i="6"/>
  <c r="G318" i="6"/>
  <c r="H318" i="6"/>
  <c r="G322" i="6"/>
  <c r="H322" i="6"/>
  <c r="F322" i="6"/>
  <c r="J322" i="6"/>
  <c r="K322" i="6"/>
  <c r="J326" i="6"/>
  <c r="F326" i="6"/>
  <c r="K326" i="6"/>
  <c r="H326" i="6"/>
  <c r="G326" i="6"/>
  <c r="G330" i="6"/>
  <c r="H330" i="6"/>
  <c r="K330" i="6"/>
  <c r="J330" i="6"/>
  <c r="F330" i="6"/>
  <c r="J333" i="6"/>
  <c r="F333" i="6"/>
  <c r="K333" i="6"/>
  <c r="G333" i="6"/>
  <c r="H333" i="6"/>
  <c r="G337" i="6"/>
  <c r="H337" i="6"/>
  <c r="F337" i="6"/>
  <c r="J337" i="6"/>
  <c r="K337" i="6"/>
  <c r="J341" i="6"/>
  <c r="F341" i="6"/>
  <c r="K341" i="6"/>
  <c r="H341" i="6"/>
  <c r="G341" i="6"/>
  <c r="G345" i="6"/>
  <c r="H345" i="6"/>
  <c r="K345" i="6"/>
  <c r="F345" i="6"/>
  <c r="J345" i="6"/>
  <c r="J349" i="6"/>
  <c r="F349" i="6"/>
  <c r="K349" i="6"/>
  <c r="G349" i="6"/>
  <c r="H349" i="6"/>
  <c r="G353" i="6"/>
  <c r="H353" i="6"/>
  <c r="F353" i="6"/>
  <c r="J353" i="6"/>
  <c r="K353" i="6"/>
  <c r="J357" i="6"/>
  <c r="F357" i="6"/>
  <c r="K357" i="6"/>
  <c r="H357" i="6"/>
  <c r="G357" i="6"/>
  <c r="G361" i="6"/>
  <c r="H361" i="6"/>
  <c r="K361" i="6"/>
  <c r="J361" i="6"/>
  <c r="F361" i="6"/>
  <c r="J365" i="6"/>
  <c r="F365" i="6"/>
  <c r="K365" i="6"/>
  <c r="G365" i="6"/>
  <c r="H365" i="6"/>
  <c r="G369" i="6"/>
  <c r="H369" i="6"/>
  <c r="F369" i="6"/>
  <c r="J369" i="6"/>
  <c r="K369" i="6"/>
  <c r="J373" i="6"/>
  <c r="F373" i="6"/>
  <c r="K373" i="6"/>
  <c r="H373" i="6"/>
  <c r="G373" i="6"/>
  <c r="J381" i="6"/>
  <c r="F381" i="6"/>
  <c r="K381" i="6"/>
  <c r="G381" i="6"/>
  <c r="H381" i="6"/>
  <c r="G385" i="6"/>
  <c r="H385" i="6"/>
  <c r="F385" i="6"/>
  <c r="J385" i="6"/>
  <c r="K385" i="6"/>
  <c r="G390" i="6"/>
  <c r="H390" i="6"/>
  <c r="K390" i="6"/>
  <c r="F390" i="6"/>
  <c r="J390" i="6"/>
  <c r="J391" i="6"/>
  <c r="F391" i="6"/>
  <c r="K391" i="6"/>
  <c r="H391" i="6"/>
  <c r="G391" i="6"/>
  <c r="J14" i="6"/>
  <c r="F14" i="6"/>
  <c r="K14" i="6"/>
  <c r="G14" i="6"/>
  <c r="H14" i="6"/>
  <c r="J20" i="6"/>
  <c r="F20" i="6"/>
  <c r="K20" i="6"/>
  <c r="G20" i="6"/>
  <c r="H20" i="6"/>
  <c r="G24" i="6"/>
  <c r="H24" i="6"/>
  <c r="F24" i="6"/>
  <c r="J24" i="6"/>
  <c r="K24" i="6"/>
  <c r="H84" i="6"/>
  <c r="J84" i="6"/>
  <c r="G84" i="6"/>
  <c r="K84" i="6"/>
  <c r="F84" i="6"/>
  <c r="H122" i="6"/>
  <c r="J122" i="6"/>
  <c r="F122" i="6"/>
  <c r="G122" i="6"/>
  <c r="K122" i="6"/>
  <c r="J126" i="6"/>
  <c r="F126" i="6"/>
  <c r="K126" i="6"/>
  <c r="G126" i="6"/>
  <c r="H126" i="6"/>
  <c r="F130" i="6"/>
  <c r="K130" i="6"/>
  <c r="G130" i="6"/>
  <c r="H130" i="6"/>
  <c r="J130" i="6"/>
  <c r="G133" i="6"/>
  <c r="H133" i="6"/>
  <c r="F133" i="6"/>
  <c r="J133" i="6"/>
  <c r="K133" i="6"/>
  <c r="H137" i="6"/>
  <c r="J137" i="6"/>
  <c r="G137" i="6"/>
  <c r="K137" i="6"/>
  <c r="F137" i="6"/>
  <c r="F141" i="6"/>
  <c r="K141" i="6"/>
  <c r="G141" i="6"/>
  <c r="J141" i="6"/>
  <c r="H141" i="6"/>
  <c r="H145" i="6"/>
  <c r="J145" i="6"/>
  <c r="F145" i="6"/>
  <c r="K145" i="6"/>
  <c r="G145" i="6"/>
  <c r="F149" i="6"/>
  <c r="K149" i="6"/>
  <c r="G149" i="6"/>
  <c r="H149" i="6"/>
  <c r="J149" i="6"/>
  <c r="H153" i="6"/>
  <c r="J153" i="6"/>
  <c r="G153" i="6"/>
  <c r="K153" i="6"/>
  <c r="F153" i="6"/>
  <c r="G311" i="6"/>
  <c r="K311" i="6"/>
  <c r="H311" i="6"/>
  <c r="J311" i="6"/>
  <c r="F311" i="6"/>
  <c r="F315" i="6"/>
  <c r="J315" i="6"/>
  <c r="G315" i="6"/>
  <c r="K315" i="6"/>
  <c r="H315" i="6"/>
  <c r="G319" i="6"/>
  <c r="K319" i="6"/>
  <c r="H319" i="6"/>
  <c r="F319" i="6"/>
  <c r="J319" i="6"/>
  <c r="F323" i="6"/>
  <c r="J323" i="6"/>
  <c r="H323" i="6"/>
  <c r="K323" i="6"/>
  <c r="G323" i="6"/>
  <c r="G327" i="6"/>
  <c r="K327" i="6"/>
  <c r="H327" i="6"/>
  <c r="J327" i="6"/>
  <c r="F327" i="6"/>
  <c r="F331" i="6"/>
  <c r="J331" i="6"/>
  <c r="G331" i="6"/>
  <c r="H331" i="6"/>
  <c r="K331" i="6"/>
  <c r="G334" i="6"/>
  <c r="K334" i="6"/>
  <c r="H334" i="6"/>
  <c r="F334" i="6"/>
  <c r="J334" i="6"/>
  <c r="F338" i="6"/>
  <c r="J338" i="6"/>
  <c r="H338" i="6"/>
  <c r="K338" i="6"/>
  <c r="G338" i="6"/>
  <c r="G342" i="6"/>
  <c r="K342" i="6"/>
  <c r="H342" i="6"/>
  <c r="J342" i="6"/>
  <c r="F342" i="6"/>
  <c r="F346" i="6"/>
  <c r="J346" i="6"/>
  <c r="G346" i="6"/>
  <c r="K346" i="6"/>
  <c r="H346" i="6"/>
  <c r="G350" i="6"/>
  <c r="K350" i="6"/>
  <c r="H350" i="6"/>
  <c r="F350" i="6"/>
  <c r="J350" i="6"/>
  <c r="F354" i="6"/>
  <c r="J354" i="6"/>
  <c r="H354" i="6"/>
  <c r="K354" i="6"/>
  <c r="G354" i="6"/>
  <c r="G358" i="6"/>
  <c r="K358" i="6"/>
  <c r="H358" i="6"/>
  <c r="J358" i="6"/>
  <c r="F358" i="6"/>
  <c r="F362" i="6"/>
  <c r="J362" i="6"/>
  <c r="G362" i="6"/>
  <c r="H362" i="6"/>
  <c r="K362" i="6"/>
  <c r="G366" i="6"/>
  <c r="K366" i="6"/>
  <c r="H366" i="6"/>
  <c r="F366" i="6"/>
  <c r="J366" i="6"/>
  <c r="G374" i="6"/>
  <c r="K374" i="6"/>
  <c r="H374" i="6"/>
  <c r="J374" i="6"/>
  <c r="F374" i="6"/>
  <c r="F378" i="6"/>
  <c r="J378" i="6"/>
  <c r="G378" i="6"/>
  <c r="H378" i="6"/>
  <c r="K378" i="6"/>
  <c r="G382" i="6"/>
  <c r="K382" i="6"/>
  <c r="H382" i="6"/>
  <c r="F382" i="6"/>
  <c r="J382" i="6"/>
  <c r="F386" i="6"/>
  <c r="J386" i="6"/>
  <c r="H386" i="6"/>
  <c r="K386" i="6"/>
  <c r="G386" i="6"/>
  <c r="G392" i="6"/>
  <c r="K392" i="6"/>
  <c r="H392" i="6"/>
  <c r="J392" i="6"/>
  <c r="F392" i="6"/>
  <c r="J30" i="6"/>
  <c r="F30" i="6"/>
  <c r="K30" i="6"/>
  <c r="G30" i="6"/>
  <c r="H30" i="6"/>
  <c r="F34" i="6"/>
  <c r="K34" i="6"/>
  <c r="G34" i="6"/>
  <c r="H34" i="6"/>
  <c r="J34" i="6"/>
  <c r="G38" i="6"/>
  <c r="H38" i="6"/>
  <c r="F38" i="6"/>
  <c r="J38" i="6"/>
  <c r="K38" i="6"/>
  <c r="H42" i="6"/>
  <c r="J42" i="6"/>
  <c r="G42" i="6"/>
  <c r="K42" i="6"/>
  <c r="F42" i="6"/>
  <c r="J46" i="6"/>
  <c r="F46" i="6"/>
  <c r="K46" i="6"/>
  <c r="H46" i="6"/>
  <c r="G46" i="6"/>
  <c r="F50" i="6"/>
  <c r="K50" i="6"/>
  <c r="G50" i="6"/>
  <c r="J50" i="6"/>
  <c r="H50" i="6"/>
  <c r="G54" i="6"/>
  <c r="H54" i="6"/>
  <c r="K54" i="6"/>
  <c r="J54" i="6"/>
  <c r="F54" i="6"/>
  <c r="H58" i="6"/>
  <c r="J58" i="6"/>
  <c r="F58" i="6"/>
  <c r="G58" i="6"/>
  <c r="K58" i="6"/>
  <c r="J62" i="6"/>
  <c r="F62" i="6"/>
  <c r="K62" i="6"/>
  <c r="G62" i="6"/>
  <c r="H62" i="6"/>
  <c r="F66" i="6"/>
  <c r="K66" i="6"/>
  <c r="G66" i="6"/>
  <c r="H66" i="6"/>
  <c r="J66" i="6"/>
  <c r="F76" i="6"/>
  <c r="K76" i="6"/>
  <c r="G76" i="6"/>
  <c r="H76" i="6"/>
  <c r="J76" i="6"/>
  <c r="G80" i="6"/>
  <c r="H80" i="6"/>
  <c r="F80" i="6"/>
  <c r="J80" i="6"/>
  <c r="K80" i="6"/>
  <c r="G85" i="5"/>
  <c r="G431" i="5"/>
  <c r="G481" i="5"/>
  <c r="G477" i="5"/>
  <c r="L477" i="5" s="1"/>
  <c r="G446" i="5"/>
  <c r="G435" i="5"/>
  <c r="G473" i="5"/>
  <c r="G469" i="5"/>
  <c r="G443" i="5"/>
  <c r="G439" i="5"/>
  <c r="G467" i="5"/>
  <c r="G445" i="5"/>
  <c r="G482" i="5"/>
  <c r="G441" i="5"/>
  <c r="G453" i="5"/>
  <c r="G444" i="5"/>
  <c r="G480" i="5"/>
  <c r="G437" i="5"/>
  <c r="G464" i="5"/>
  <c r="G452" i="5"/>
  <c r="G457" i="5"/>
  <c r="G463" i="5"/>
  <c r="G440" i="5"/>
  <c r="G474" i="5"/>
  <c r="G475" i="5"/>
  <c r="G442" i="5"/>
  <c r="G449" i="5"/>
  <c r="G459" i="5"/>
  <c r="G448" i="5"/>
  <c r="G466" i="5"/>
  <c r="G465" i="5"/>
  <c r="G454" i="5"/>
  <c r="G483" i="5"/>
  <c r="G476" i="5"/>
  <c r="G436" i="5"/>
  <c r="G451" i="5"/>
  <c r="G472" i="5"/>
  <c r="G447" i="5"/>
  <c r="G484" i="5"/>
  <c r="F27" i="9"/>
  <c r="K27" i="9"/>
  <c r="G27" i="9"/>
  <c r="I27" i="9"/>
  <c r="E27" i="9"/>
  <c r="I44" i="9"/>
  <c r="E44" i="9"/>
  <c r="K44" i="9"/>
  <c r="F44" i="9"/>
  <c r="G44" i="9"/>
  <c r="I60" i="9"/>
  <c r="E60" i="9"/>
  <c r="K60" i="9"/>
  <c r="F60" i="9"/>
  <c r="G60" i="9"/>
  <c r="E78" i="9"/>
  <c r="K78" i="9"/>
  <c r="F78" i="9"/>
  <c r="G78" i="9"/>
  <c r="I78" i="9"/>
  <c r="F122" i="5"/>
  <c r="F133" i="5"/>
  <c r="G133" i="5"/>
  <c r="F149" i="5"/>
  <c r="G149" i="5"/>
  <c r="F230" i="5"/>
  <c r="G230" i="5"/>
  <c r="F246" i="5"/>
  <c r="G246" i="5"/>
  <c r="F266" i="5"/>
  <c r="G266" i="5"/>
  <c r="E14" i="9"/>
  <c r="K14" i="9"/>
  <c r="F14" i="9"/>
  <c r="G14" i="9"/>
  <c r="I14" i="9"/>
  <c r="I20" i="9"/>
  <c r="E20" i="9"/>
  <c r="K20" i="9"/>
  <c r="F20" i="9"/>
  <c r="G20" i="9"/>
  <c r="F24" i="9"/>
  <c r="G24" i="9"/>
  <c r="I24" i="9"/>
  <c r="K24" i="9"/>
  <c r="E24" i="9"/>
  <c r="G29" i="9"/>
  <c r="E29" i="9"/>
  <c r="I29" i="9"/>
  <c r="F29" i="9"/>
  <c r="K29" i="9"/>
  <c r="E33" i="9"/>
  <c r="I33" i="9"/>
  <c r="F33" i="9"/>
  <c r="K33" i="9"/>
  <c r="G33" i="9"/>
  <c r="G37" i="9"/>
  <c r="E37" i="9"/>
  <c r="I37" i="9"/>
  <c r="F37" i="9"/>
  <c r="K37" i="9"/>
  <c r="E41" i="9"/>
  <c r="I41" i="9"/>
  <c r="F41" i="9"/>
  <c r="K41" i="9"/>
  <c r="G41" i="9"/>
  <c r="G45" i="9"/>
  <c r="E45" i="9"/>
  <c r="I45" i="9"/>
  <c r="F45" i="9"/>
  <c r="K45" i="9"/>
  <c r="E49" i="9"/>
  <c r="I49" i="9"/>
  <c r="F49" i="9"/>
  <c r="K49" i="9"/>
  <c r="G49" i="9"/>
  <c r="G53" i="9"/>
  <c r="E53" i="9"/>
  <c r="I53" i="9"/>
  <c r="K53" i="9"/>
  <c r="F53" i="9"/>
  <c r="E57" i="9"/>
  <c r="I57" i="9"/>
  <c r="F57" i="9"/>
  <c r="K57" i="9"/>
  <c r="G57" i="9"/>
  <c r="G61" i="9"/>
  <c r="E61" i="9"/>
  <c r="I61" i="9"/>
  <c r="K61" i="9"/>
  <c r="F61" i="9"/>
  <c r="E65" i="9"/>
  <c r="I65" i="9"/>
  <c r="F65" i="9"/>
  <c r="K65" i="9"/>
  <c r="G65" i="9"/>
  <c r="G69" i="9"/>
  <c r="E69" i="9"/>
  <c r="I69" i="9"/>
  <c r="F69" i="9"/>
  <c r="K69" i="9"/>
  <c r="F75" i="9"/>
  <c r="K75" i="9"/>
  <c r="G75" i="9"/>
  <c r="E75" i="9"/>
  <c r="I75" i="9"/>
  <c r="E79" i="9"/>
  <c r="I79" i="9"/>
  <c r="F79" i="9"/>
  <c r="K79" i="9"/>
  <c r="G79" i="9"/>
  <c r="I84" i="9"/>
  <c r="E84" i="9"/>
  <c r="K84" i="9"/>
  <c r="F84" i="9"/>
  <c r="G84" i="9"/>
  <c r="F91" i="9"/>
  <c r="K91" i="9"/>
  <c r="G91" i="9"/>
  <c r="I91" i="9"/>
  <c r="E91" i="9"/>
  <c r="E95" i="9"/>
  <c r="I95" i="9"/>
  <c r="F95" i="9"/>
  <c r="K95" i="9"/>
  <c r="G95" i="9"/>
  <c r="F99" i="9"/>
  <c r="K99" i="9"/>
  <c r="G99" i="9"/>
  <c r="E99" i="9"/>
  <c r="I99" i="9"/>
  <c r="E103" i="9"/>
  <c r="I103" i="9"/>
  <c r="F103" i="9"/>
  <c r="K103" i="9"/>
  <c r="G103" i="9"/>
  <c r="F107" i="9"/>
  <c r="K107" i="9"/>
  <c r="G107" i="9"/>
  <c r="E107" i="9"/>
  <c r="I107" i="9"/>
  <c r="E113" i="9"/>
  <c r="I113" i="9"/>
  <c r="F113" i="9"/>
  <c r="K113" i="9"/>
  <c r="G113" i="9"/>
  <c r="G117" i="9"/>
  <c r="E117" i="9"/>
  <c r="I117" i="9"/>
  <c r="K117" i="9"/>
  <c r="F117" i="9"/>
  <c r="G122" i="9"/>
  <c r="I122" i="9"/>
  <c r="E122" i="9"/>
  <c r="K122" i="9"/>
  <c r="F122" i="9"/>
  <c r="E126" i="9"/>
  <c r="K126" i="9"/>
  <c r="F126" i="9"/>
  <c r="G126" i="9"/>
  <c r="I126" i="9"/>
  <c r="G130" i="9"/>
  <c r="I130" i="9"/>
  <c r="E130" i="9"/>
  <c r="K130" i="9"/>
  <c r="F130" i="9"/>
  <c r="E133" i="9"/>
  <c r="F133" i="9"/>
  <c r="G133" i="9"/>
  <c r="K133" i="9"/>
  <c r="I133" i="9"/>
  <c r="I137" i="9"/>
  <c r="E137" i="9"/>
  <c r="K137" i="9"/>
  <c r="G137" i="9"/>
  <c r="F137" i="9"/>
  <c r="F141" i="9"/>
  <c r="G141" i="9"/>
  <c r="K141" i="9"/>
  <c r="E141" i="9"/>
  <c r="I141" i="9"/>
  <c r="I145" i="9"/>
  <c r="E145" i="9"/>
  <c r="K145" i="9"/>
  <c r="F145" i="9"/>
  <c r="G145" i="9"/>
  <c r="G149" i="9"/>
  <c r="I149" i="9"/>
  <c r="F149" i="9"/>
  <c r="K149" i="9"/>
  <c r="E149" i="9"/>
  <c r="F153" i="9"/>
  <c r="G153" i="9"/>
  <c r="K153" i="9"/>
  <c r="E153" i="9"/>
  <c r="I153" i="9"/>
  <c r="I158" i="9"/>
  <c r="E158" i="9"/>
  <c r="K158" i="9"/>
  <c r="G158" i="9"/>
  <c r="F158" i="9"/>
  <c r="G162" i="9"/>
  <c r="I162" i="9"/>
  <c r="E162" i="9"/>
  <c r="F162" i="9"/>
  <c r="K162" i="9"/>
  <c r="F166" i="9"/>
  <c r="G166" i="9"/>
  <c r="E166" i="9"/>
  <c r="I166" i="9"/>
  <c r="K166" i="9"/>
  <c r="E170" i="9"/>
  <c r="K170" i="9"/>
  <c r="F170" i="9"/>
  <c r="I170" i="9"/>
  <c r="G170" i="9"/>
  <c r="I174" i="9"/>
  <c r="E174" i="9"/>
  <c r="K174" i="9"/>
  <c r="F174" i="9"/>
  <c r="G174" i="9"/>
  <c r="G178" i="9"/>
  <c r="I178" i="9"/>
  <c r="F178" i="9"/>
  <c r="K178" i="9"/>
  <c r="E178" i="9"/>
  <c r="F182" i="9"/>
  <c r="G182" i="9"/>
  <c r="K182" i="9"/>
  <c r="E182" i="9"/>
  <c r="I182" i="9"/>
  <c r="F186" i="9"/>
  <c r="G186" i="9"/>
  <c r="E186" i="9"/>
  <c r="I186" i="9"/>
  <c r="K186" i="9"/>
  <c r="F190" i="9"/>
  <c r="G190" i="9"/>
  <c r="K190" i="9"/>
  <c r="E190" i="9"/>
  <c r="I190" i="9"/>
  <c r="F194" i="9"/>
  <c r="G194" i="9"/>
  <c r="E194" i="9"/>
  <c r="I194" i="9"/>
  <c r="K194" i="9"/>
  <c r="F198" i="9"/>
  <c r="G198" i="9"/>
  <c r="K198" i="9"/>
  <c r="E198" i="9"/>
  <c r="I198" i="9"/>
  <c r="F202" i="9"/>
  <c r="G202" i="9"/>
  <c r="E202" i="9"/>
  <c r="I202" i="9"/>
  <c r="K202" i="9"/>
  <c r="F206" i="9"/>
  <c r="G206" i="9"/>
  <c r="K206" i="9"/>
  <c r="E206" i="9"/>
  <c r="I206" i="9"/>
  <c r="F210" i="9"/>
  <c r="G210" i="9"/>
  <c r="E210" i="9"/>
  <c r="I210" i="9"/>
  <c r="K210" i="9"/>
  <c r="F214" i="9"/>
  <c r="G214" i="9"/>
  <c r="K214" i="9"/>
  <c r="E214" i="9"/>
  <c r="I214" i="9"/>
  <c r="F218" i="9"/>
  <c r="G218" i="9"/>
  <c r="E218" i="9"/>
  <c r="I218" i="9"/>
  <c r="K218" i="9"/>
  <c r="F222" i="9"/>
  <c r="G222" i="9"/>
  <c r="K222" i="9"/>
  <c r="E222" i="9"/>
  <c r="I222" i="9"/>
  <c r="F226" i="9"/>
  <c r="G226" i="9"/>
  <c r="E226" i="9"/>
  <c r="I226" i="9"/>
  <c r="K226" i="9"/>
  <c r="F230" i="9"/>
  <c r="G230" i="9"/>
  <c r="K230" i="9"/>
  <c r="E230" i="9"/>
  <c r="I230" i="9"/>
  <c r="G234" i="9"/>
  <c r="I234" i="9"/>
  <c r="K234" i="9"/>
  <c r="E234" i="9"/>
  <c r="F234" i="9"/>
  <c r="G238" i="9"/>
  <c r="I238" i="9"/>
  <c r="E238" i="9"/>
  <c r="F238" i="9"/>
  <c r="K238" i="9"/>
  <c r="G242" i="9"/>
  <c r="I242" i="9"/>
  <c r="K242" i="9"/>
  <c r="E242" i="9"/>
  <c r="F242" i="9"/>
  <c r="G246" i="9"/>
  <c r="I246" i="9"/>
  <c r="E246" i="9"/>
  <c r="F246" i="9"/>
  <c r="K246" i="9"/>
  <c r="G250" i="9"/>
  <c r="I250" i="9"/>
  <c r="K250" i="9"/>
  <c r="E250" i="9"/>
  <c r="F250" i="9"/>
  <c r="G254" i="9"/>
  <c r="I254" i="9"/>
  <c r="E254" i="9"/>
  <c r="F254" i="9"/>
  <c r="K254" i="9"/>
  <c r="G258" i="9"/>
  <c r="I258" i="9"/>
  <c r="K258" i="9"/>
  <c r="E258" i="9"/>
  <c r="F258" i="9"/>
  <c r="G262" i="9"/>
  <c r="I262" i="9"/>
  <c r="E262" i="9"/>
  <c r="F262" i="9"/>
  <c r="K262" i="9"/>
  <c r="G266" i="9"/>
  <c r="I266" i="9"/>
  <c r="K266" i="9"/>
  <c r="E266" i="9"/>
  <c r="F266" i="9"/>
  <c r="G270" i="9"/>
  <c r="I270" i="9"/>
  <c r="E270" i="9"/>
  <c r="F270" i="9"/>
  <c r="K270" i="9"/>
  <c r="G274" i="9"/>
  <c r="I274" i="9"/>
  <c r="K274" i="9"/>
  <c r="E274" i="9"/>
  <c r="F274" i="9"/>
  <c r="G276" i="9"/>
  <c r="I276" i="9"/>
  <c r="E276" i="9"/>
  <c r="F276" i="9"/>
  <c r="K276" i="9"/>
  <c r="G280" i="9"/>
  <c r="I280" i="9"/>
  <c r="K280" i="9"/>
  <c r="E280" i="9"/>
  <c r="F280" i="9"/>
  <c r="G284" i="9"/>
  <c r="I284" i="9"/>
  <c r="E284" i="9"/>
  <c r="F284" i="9"/>
  <c r="K284" i="9"/>
  <c r="G288" i="9"/>
  <c r="I288" i="9"/>
  <c r="K288" i="9"/>
  <c r="E288" i="9"/>
  <c r="F288" i="9"/>
  <c r="G290" i="9"/>
  <c r="I290" i="9"/>
  <c r="E290" i="9"/>
  <c r="F290" i="9"/>
  <c r="K290" i="9"/>
  <c r="G294" i="9"/>
  <c r="I294" i="9"/>
  <c r="K294" i="9"/>
  <c r="E294" i="9"/>
  <c r="F294" i="9"/>
  <c r="G298" i="9"/>
  <c r="I298" i="9"/>
  <c r="E298" i="9"/>
  <c r="F298" i="9"/>
  <c r="K298" i="9"/>
  <c r="G302" i="9"/>
  <c r="I302" i="9"/>
  <c r="K302" i="9"/>
  <c r="E302" i="9"/>
  <c r="F302" i="9"/>
  <c r="G306" i="9"/>
  <c r="I306" i="9"/>
  <c r="E306" i="9"/>
  <c r="F306" i="9"/>
  <c r="K306" i="9"/>
  <c r="F311" i="9"/>
  <c r="G311" i="9"/>
  <c r="E311" i="9"/>
  <c r="I311" i="9"/>
  <c r="K311" i="9"/>
  <c r="F315" i="9"/>
  <c r="G315" i="9"/>
  <c r="I315" i="9"/>
  <c r="K315" i="9"/>
  <c r="E315" i="9"/>
  <c r="F319" i="9"/>
  <c r="G319" i="9"/>
  <c r="E319" i="9"/>
  <c r="I319" i="9"/>
  <c r="K319" i="9"/>
  <c r="F323" i="9"/>
  <c r="G323" i="9"/>
  <c r="I323" i="9"/>
  <c r="K323" i="9"/>
  <c r="E323" i="9"/>
  <c r="F327" i="9"/>
  <c r="G327" i="9"/>
  <c r="E327" i="9"/>
  <c r="I327" i="9"/>
  <c r="K327" i="9"/>
  <c r="F331" i="9"/>
  <c r="G331" i="9"/>
  <c r="I331" i="9"/>
  <c r="K331" i="9"/>
  <c r="E331" i="9"/>
  <c r="F334" i="9"/>
  <c r="G334" i="9"/>
  <c r="E334" i="9"/>
  <c r="I334" i="9"/>
  <c r="K334" i="9"/>
  <c r="F338" i="9"/>
  <c r="G338" i="9"/>
  <c r="I338" i="9"/>
  <c r="K338" i="9"/>
  <c r="E338" i="9"/>
  <c r="F342" i="9"/>
  <c r="G342" i="9"/>
  <c r="E342" i="9"/>
  <c r="I342" i="9"/>
  <c r="K342" i="9"/>
  <c r="F346" i="9"/>
  <c r="G346" i="9"/>
  <c r="I346" i="9"/>
  <c r="K346" i="9"/>
  <c r="E346" i="9"/>
  <c r="F350" i="9"/>
  <c r="G350" i="9"/>
  <c r="E350" i="9"/>
  <c r="I350" i="9"/>
  <c r="K350" i="9"/>
  <c r="F354" i="9"/>
  <c r="G354" i="9"/>
  <c r="I354" i="9"/>
  <c r="K354" i="9"/>
  <c r="E354" i="9"/>
  <c r="F358" i="9"/>
  <c r="G358" i="9"/>
  <c r="E358" i="9"/>
  <c r="I358" i="9"/>
  <c r="K358" i="9"/>
  <c r="F362" i="9"/>
  <c r="G362" i="9"/>
  <c r="I362" i="9"/>
  <c r="K362" i="9"/>
  <c r="E362" i="9"/>
  <c r="F366" i="9"/>
  <c r="G366" i="9"/>
  <c r="E366" i="9"/>
  <c r="I366" i="9"/>
  <c r="K366" i="9"/>
  <c r="F374" i="9"/>
  <c r="G374" i="9"/>
  <c r="E374" i="9"/>
  <c r="I374" i="9"/>
  <c r="K374" i="9"/>
  <c r="F378" i="9"/>
  <c r="G378" i="9"/>
  <c r="I378" i="9"/>
  <c r="K378" i="9"/>
  <c r="E378" i="9"/>
  <c r="F382" i="9"/>
  <c r="G382" i="9"/>
  <c r="E382" i="9"/>
  <c r="I382" i="9"/>
  <c r="K382" i="9"/>
  <c r="F386" i="9"/>
  <c r="G386" i="9"/>
  <c r="I386" i="9"/>
  <c r="K386" i="9"/>
  <c r="E386" i="9"/>
  <c r="F392" i="9"/>
  <c r="K392" i="9"/>
  <c r="E392" i="9"/>
  <c r="G392" i="9"/>
  <c r="I392" i="9"/>
  <c r="E15" i="9"/>
  <c r="I15" i="9"/>
  <c r="F15" i="9"/>
  <c r="K15" i="9"/>
  <c r="G15" i="9"/>
  <c r="G21" i="9"/>
  <c r="E21" i="9"/>
  <c r="I21" i="9"/>
  <c r="K21" i="9"/>
  <c r="F21" i="9"/>
  <c r="E25" i="9"/>
  <c r="I25" i="9"/>
  <c r="F25" i="9"/>
  <c r="K25" i="9"/>
  <c r="G25" i="9"/>
  <c r="E30" i="9"/>
  <c r="K30" i="9"/>
  <c r="F30" i="9"/>
  <c r="G30" i="9"/>
  <c r="I30" i="9"/>
  <c r="G34" i="9"/>
  <c r="I34" i="9"/>
  <c r="E34" i="9"/>
  <c r="K34" i="9"/>
  <c r="F34" i="9"/>
  <c r="E38" i="9"/>
  <c r="K38" i="9"/>
  <c r="F38" i="9"/>
  <c r="G38" i="9"/>
  <c r="I38" i="9"/>
  <c r="G42" i="9"/>
  <c r="I42" i="9"/>
  <c r="E42" i="9"/>
  <c r="K42" i="9"/>
  <c r="F42" i="9"/>
  <c r="E46" i="9"/>
  <c r="K46" i="9"/>
  <c r="F46" i="9"/>
  <c r="G46" i="9"/>
  <c r="I46" i="9"/>
  <c r="G50" i="9"/>
  <c r="I50" i="9"/>
  <c r="E50" i="9"/>
  <c r="K50" i="9"/>
  <c r="F50" i="9"/>
  <c r="E54" i="9"/>
  <c r="K54" i="9"/>
  <c r="F54" i="9"/>
  <c r="G54" i="9"/>
  <c r="I54" i="9"/>
  <c r="G58" i="9"/>
  <c r="I58" i="9"/>
  <c r="E58" i="9"/>
  <c r="K58" i="9"/>
  <c r="F58" i="9"/>
  <c r="E62" i="9"/>
  <c r="K62" i="9"/>
  <c r="F62" i="9"/>
  <c r="G62" i="9"/>
  <c r="I62" i="9"/>
  <c r="G66" i="9"/>
  <c r="I66" i="9"/>
  <c r="E66" i="9"/>
  <c r="K66" i="9"/>
  <c r="F66" i="9"/>
  <c r="E71" i="9"/>
  <c r="I71" i="9"/>
  <c r="F71" i="9"/>
  <c r="K71" i="9"/>
  <c r="G71" i="9"/>
  <c r="I76" i="9"/>
  <c r="E76" i="9"/>
  <c r="K76" i="9"/>
  <c r="F76" i="9"/>
  <c r="G76" i="9"/>
  <c r="F80" i="9"/>
  <c r="G80" i="9"/>
  <c r="I80" i="9"/>
  <c r="E80" i="9"/>
  <c r="K80" i="9"/>
  <c r="G85" i="9"/>
  <c r="E85" i="9"/>
  <c r="I85" i="9"/>
  <c r="K85" i="9"/>
  <c r="F85" i="9"/>
  <c r="F93" i="5"/>
  <c r="G93" i="5"/>
  <c r="F97" i="5"/>
  <c r="G97" i="5"/>
  <c r="F101" i="5"/>
  <c r="G101" i="5"/>
  <c r="F105" i="5"/>
  <c r="G105" i="5"/>
  <c r="F111" i="5"/>
  <c r="G111" i="5"/>
  <c r="F156" i="5"/>
  <c r="G156" i="5"/>
  <c r="F160" i="5"/>
  <c r="G160" i="5"/>
  <c r="F164" i="5"/>
  <c r="G164" i="5"/>
  <c r="F168" i="5"/>
  <c r="G168" i="5"/>
  <c r="F172" i="5"/>
  <c r="G172" i="5"/>
  <c r="F176" i="5"/>
  <c r="G176" i="5"/>
  <c r="F180" i="5"/>
  <c r="G180" i="5"/>
  <c r="F184" i="5"/>
  <c r="G184" i="5"/>
  <c r="F188" i="5"/>
  <c r="G188" i="5"/>
  <c r="F192" i="5"/>
  <c r="G192" i="5"/>
  <c r="F196" i="5"/>
  <c r="G196" i="5"/>
  <c r="F200" i="5"/>
  <c r="G200" i="5"/>
  <c r="F204" i="5"/>
  <c r="G204" i="5"/>
  <c r="F208" i="5"/>
  <c r="G208" i="5"/>
  <c r="F212" i="5"/>
  <c r="G212" i="5"/>
  <c r="F216" i="5"/>
  <c r="G216" i="5"/>
  <c r="F220" i="5"/>
  <c r="G220" i="5"/>
  <c r="F224" i="5"/>
  <c r="F228" i="5"/>
  <c r="F232" i="5"/>
  <c r="F236" i="5"/>
  <c r="F240" i="5"/>
  <c r="F244" i="5"/>
  <c r="G244" i="5"/>
  <c r="F248" i="5"/>
  <c r="G248" i="5"/>
  <c r="F256" i="5"/>
  <c r="F260" i="5"/>
  <c r="G260" i="5"/>
  <c r="F264" i="5"/>
  <c r="G264" i="5"/>
  <c r="F268" i="5"/>
  <c r="G268" i="5"/>
  <c r="F274" i="5"/>
  <c r="G274" i="5"/>
  <c r="F278" i="5"/>
  <c r="G278" i="5"/>
  <c r="F282" i="5"/>
  <c r="F288" i="5"/>
  <c r="G288" i="5"/>
  <c r="F292" i="5"/>
  <c r="G292" i="5"/>
  <c r="F296" i="5"/>
  <c r="G296" i="5"/>
  <c r="F300" i="5"/>
  <c r="F15" i="5"/>
  <c r="F19" i="5"/>
  <c r="G19" i="5"/>
  <c r="F23" i="5"/>
  <c r="F69" i="5"/>
  <c r="G69" i="5"/>
  <c r="F117" i="5"/>
  <c r="F121" i="5"/>
  <c r="G121" i="5"/>
  <c r="F125" i="5"/>
  <c r="G125" i="5"/>
  <c r="F129" i="5"/>
  <c r="G129" i="5"/>
  <c r="F132" i="5"/>
  <c r="G132" i="5"/>
  <c r="F136" i="5"/>
  <c r="G136" i="5"/>
  <c r="F140" i="5"/>
  <c r="G147" i="8"/>
  <c r="I147" i="8"/>
  <c r="E147" i="8"/>
  <c r="K147" i="8"/>
  <c r="F147" i="8"/>
  <c r="F148" i="5"/>
  <c r="G148" i="5"/>
  <c r="F152" i="5"/>
  <c r="G152" i="5"/>
  <c r="F306" i="5"/>
  <c r="G306" i="5"/>
  <c r="F310" i="5"/>
  <c r="F314" i="5"/>
  <c r="F318" i="5"/>
  <c r="F322" i="5"/>
  <c r="F326" i="5"/>
  <c r="G326" i="5"/>
  <c r="F329" i="5"/>
  <c r="F333" i="5"/>
  <c r="F337" i="5"/>
  <c r="F341" i="5"/>
  <c r="G341" i="5"/>
  <c r="F345" i="5"/>
  <c r="G345" i="5"/>
  <c r="F349" i="5"/>
  <c r="G349" i="5"/>
  <c r="F353" i="5"/>
  <c r="G353" i="5"/>
  <c r="F357" i="5"/>
  <c r="G357" i="5"/>
  <c r="F361" i="5"/>
  <c r="E368" i="8"/>
  <c r="K368" i="8"/>
  <c r="F368" i="8"/>
  <c r="G368" i="8"/>
  <c r="I368" i="8"/>
  <c r="E372" i="8"/>
  <c r="K372" i="8"/>
  <c r="F372" i="8"/>
  <c r="I372" i="8"/>
  <c r="G372" i="8"/>
  <c r="E376" i="8"/>
  <c r="K376" i="8"/>
  <c r="F376" i="8"/>
  <c r="G376" i="8"/>
  <c r="I376" i="8"/>
  <c r="E380" i="8"/>
  <c r="K380" i="8"/>
  <c r="F380" i="8"/>
  <c r="I380" i="8"/>
  <c r="G380" i="8"/>
  <c r="E384" i="8"/>
  <c r="K384" i="8"/>
  <c r="F384" i="8"/>
  <c r="G384" i="8"/>
  <c r="I384" i="8"/>
  <c r="E388" i="8"/>
  <c r="K388" i="8"/>
  <c r="F388" i="8"/>
  <c r="I388" i="8"/>
  <c r="G388" i="8"/>
  <c r="E389" i="8"/>
  <c r="K389" i="8"/>
  <c r="F389" i="8"/>
  <c r="G389" i="8"/>
  <c r="I389" i="8"/>
  <c r="E394" i="8"/>
  <c r="K394" i="8"/>
  <c r="F394" i="8"/>
  <c r="G394" i="8"/>
  <c r="I394" i="8"/>
  <c r="AD44" i="36"/>
  <c r="AV43" i="4"/>
  <c r="AZ43" i="4" s="1"/>
  <c r="AD182" i="36"/>
  <c r="AV181" i="4"/>
  <c r="AZ181" i="4" s="1"/>
  <c r="AD306" i="36"/>
  <c r="AV305" i="4"/>
  <c r="AZ305" i="4" s="1"/>
  <c r="AD139" i="36"/>
  <c r="AV138" i="4"/>
  <c r="AZ138" i="4" s="1"/>
  <c r="AD191" i="36"/>
  <c r="AV190" i="4"/>
  <c r="AZ190" i="4" s="1"/>
  <c r="AD316" i="36"/>
  <c r="AV315" i="4"/>
  <c r="AZ315" i="4" s="1"/>
  <c r="AD193" i="36"/>
  <c r="AV192" i="4"/>
  <c r="AZ192" i="4" s="1"/>
  <c r="AD66" i="36"/>
  <c r="AV65" i="4"/>
  <c r="AZ65" i="4" s="1"/>
  <c r="AD204" i="36"/>
  <c r="AV203" i="4"/>
  <c r="AZ203" i="4" s="1"/>
  <c r="AD329" i="36"/>
  <c r="AV328" i="4"/>
  <c r="AZ328" i="4" s="1"/>
  <c r="E23" i="9"/>
  <c r="I23" i="9"/>
  <c r="F23" i="9"/>
  <c r="K23" i="9"/>
  <c r="G23" i="9"/>
  <c r="F40" i="9"/>
  <c r="G40" i="9"/>
  <c r="I40" i="9"/>
  <c r="E40" i="9"/>
  <c r="K40" i="9"/>
  <c r="I52" i="9"/>
  <c r="E52" i="9"/>
  <c r="K52" i="9"/>
  <c r="F52" i="9"/>
  <c r="G52" i="9"/>
  <c r="E73" i="9"/>
  <c r="I73" i="9"/>
  <c r="F73" i="9"/>
  <c r="K73" i="9"/>
  <c r="G73" i="9"/>
  <c r="F145" i="5"/>
  <c r="F250" i="5"/>
  <c r="G250" i="5"/>
  <c r="F262" i="5"/>
  <c r="G262" i="5"/>
  <c r="F276" i="5"/>
  <c r="F286" i="5"/>
  <c r="G286" i="5"/>
  <c r="F294" i="5"/>
  <c r="G294" i="5"/>
  <c r="F24" i="5"/>
  <c r="G24" i="5"/>
  <c r="F95" i="5"/>
  <c r="G95" i="5"/>
  <c r="F109" i="5"/>
  <c r="G109" i="5"/>
  <c r="F170" i="5"/>
  <c r="G170" i="5"/>
  <c r="F182" i="5"/>
  <c r="G182" i="5"/>
  <c r="F194" i="5"/>
  <c r="G194" i="5"/>
  <c r="F206" i="5"/>
  <c r="G206" i="5"/>
  <c r="F218" i="5"/>
  <c r="G218" i="5"/>
  <c r="E233" i="8"/>
  <c r="K233" i="8"/>
  <c r="F233" i="8"/>
  <c r="G233" i="8"/>
  <c r="I233" i="8"/>
  <c r="E245" i="8"/>
  <c r="K245" i="8"/>
  <c r="F245" i="8"/>
  <c r="G245" i="8"/>
  <c r="I245" i="8"/>
  <c r="E257" i="8"/>
  <c r="K257" i="8"/>
  <c r="F257" i="8"/>
  <c r="G257" i="8"/>
  <c r="I257" i="8"/>
  <c r="E269" i="8"/>
  <c r="K269" i="8"/>
  <c r="F269" i="8"/>
  <c r="G269" i="8"/>
  <c r="I269" i="8"/>
  <c r="E279" i="8"/>
  <c r="K279" i="8"/>
  <c r="F279" i="8"/>
  <c r="G279" i="8"/>
  <c r="I279" i="8"/>
  <c r="E289" i="8"/>
  <c r="K289" i="8"/>
  <c r="F289" i="8"/>
  <c r="G289" i="8"/>
  <c r="I289" i="8"/>
  <c r="E301" i="8"/>
  <c r="K301" i="8"/>
  <c r="F301" i="8"/>
  <c r="G301" i="8"/>
  <c r="I301" i="8"/>
  <c r="I314" i="8"/>
  <c r="E314" i="8"/>
  <c r="K314" i="8"/>
  <c r="F314" i="8"/>
  <c r="G314" i="8"/>
  <c r="I326" i="8"/>
  <c r="E326" i="8"/>
  <c r="K326" i="8"/>
  <c r="F326" i="8"/>
  <c r="G326" i="8"/>
  <c r="I337" i="8"/>
  <c r="E337" i="8"/>
  <c r="K337" i="8"/>
  <c r="G337" i="8"/>
  <c r="F337" i="8"/>
  <c r="I345" i="8"/>
  <c r="E345" i="8"/>
  <c r="K345" i="8"/>
  <c r="G345" i="8"/>
  <c r="F345" i="8"/>
  <c r="I353" i="8"/>
  <c r="E353" i="8"/>
  <c r="K353" i="8"/>
  <c r="G353" i="8"/>
  <c r="F353" i="8"/>
  <c r="I361" i="8"/>
  <c r="E361" i="8"/>
  <c r="K361" i="8"/>
  <c r="G361" i="8"/>
  <c r="F361" i="8"/>
  <c r="I369" i="8"/>
  <c r="E369" i="8"/>
  <c r="K369" i="8"/>
  <c r="G369" i="8"/>
  <c r="F369" i="8"/>
  <c r="F26" i="5"/>
  <c r="G26" i="5"/>
  <c r="F30" i="5"/>
  <c r="G30" i="5"/>
  <c r="F34" i="5"/>
  <c r="G34" i="5"/>
  <c r="F38" i="5"/>
  <c r="G38" i="5"/>
  <c r="F42" i="5"/>
  <c r="G42" i="5"/>
  <c r="F46" i="5"/>
  <c r="G46" i="5"/>
  <c r="F50" i="5"/>
  <c r="G50" i="5"/>
  <c r="F54" i="5"/>
  <c r="G54" i="5"/>
  <c r="F58" i="5"/>
  <c r="G58" i="5"/>
  <c r="F62" i="5"/>
  <c r="G62" i="5"/>
  <c r="F66" i="5"/>
  <c r="G66" i="5"/>
  <c r="F72" i="5"/>
  <c r="G72" i="5"/>
  <c r="F76" i="5"/>
  <c r="G76" i="5"/>
  <c r="F88" i="5"/>
  <c r="F92" i="5"/>
  <c r="G92" i="5"/>
  <c r="F96" i="5"/>
  <c r="G96" i="5"/>
  <c r="F100" i="5"/>
  <c r="G100" i="5"/>
  <c r="F104" i="5"/>
  <c r="F110" i="5"/>
  <c r="G110" i="5"/>
  <c r="F114" i="5"/>
  <c r="G114" i="5"/>
  <c r="F155" i="5"/>
  <c r="G155" i="5"/>
  <c r="F159" i="5"/>
  <c r="G159" i="5"/>
  <c r="F163" i="5"/>
  <c r="G163" i="5"/>
  <c r="F167" i="5"/>
  <c r="G167" i="5"/>
  <c r="F171" i="5"/>
  <c r="G171" i="5"/>
  <c r="F175" i="5"/>
  <c r="G175" i="5"/>
  <c r="F179" i="5"/>
  <c r="G179" i="5"/>
  <c r="F183" i="5"/>
  <c r="G183" i="5"/>
  <c r="F187" i="5"/>
  <c r="G187" i="5"/>
  <c r="F191" i="5"/>
  <c r="G191" i="5"/>
  <c r="F195" i="5"/>
  <c r="G195" i="5"/>
  <c r="F199" i="5"/>
  <c r="G199" i="5"/>
  <c r="F203" i="5"/>
  <c r="G203" i="5"/>
  <c r="F207" i="5"/>
  <c r="G207" i="5"/>
  <c r="F211" i="5"/>
  <c r="G211" i="5"/>
  <c r="F215" i="5"/>
  <c r="G215" i="5"/>
  <c r="F219" i="5"/>
  <c r="G219" i="5"/>
  <c r="F223" i="5"/>
  <c r="G223" i="5"/>
  <c r="F227" i="5"/>
  <c r="G227" i="5"/>
  <c r="F231" i="5"/>
  <c r="G231" i="5"/>
  <c r="F235" i="5"/>
  <c r="G235" i="5"/>
  <c r="F239" i="5"/>
  <c r="G239" i="5"/>
  <c r="F243" i="5"/>
  <c r="F247" i="5"/>
  <c r="G247" i="5"/>
  <c r="F251" i="5"/>
  <c r="F255" i="5"/>
  <c r="G255" i="5"/>
  <c r="F259" i="5"/>
  <c r="G259" i="5"/>
  <c r="F263" i="5"/>
  <c r="G263" i="5"/>
  <c r="F267" i="5"/>
  <c r="G267" i="5"/>
  <c r="F271" i="5"/>
  <c r="G271" i="5"/>
  <c r="F273" i="5"/>
  <c r="G273" i="5"/>
  <c r="F277" i="5"/>
  <c r="G277" i="5"/>
  <c r="F281" i="5"/>
  <c r="F285" i="5"/>
  <c r="F287" i="5"/>
  <c r="G287" i="5"/>
  <c r="F291" i="5"/>
  <c r="F295" i="5"/>
  <c r="G295" i="5"/>
  <c r="F299" i="5"/>
  <c r="G299" i="5"/>
  <c r="F303" i="5"/>
  <c r="F12" i="5"/>
  <c r="F18" i="5"/>
  <c r="G18" i="5"/>
  <c r="F22" i="5"/>
  <c r="G22" i="5"/>
  <c r="F68" i="5"/>
  <c r="G68" i="5"/>
  <c r="F82" i="5"/>
  <c r="G82" i="5"/>
  <c r="F89" i="5"/>
  <c r="G89" i="5"/>
  <c r="F96" i="8"/>
  <c r="G96" i="8"/>
  <c r="K96" i="8"/>
  <c r="E96" i="8"/>
  <c r="I96" i="8"/>
  <c r="I100" i="8"/>
  <c r="E100" i="8"/>
  <c r="K100" i="8"/>
  <c r="F100" i="8"/>
  <c r="G100" i="8"/>
  <c r="F104" i="8"/>
  <c r="G104" i="8"/>
  <c r="E104" i="8"/>
  <c r="I104" i="8"/>
  <c r="K104" i="8"/>
  <c r="I108" i="8"/>
  <c r="E108" i="8"/>
  <c r="K108" i="8"/>
  <c r="G108" i="8"/>
  <c r="F108" i="8"/>
  <c r="G114" i="8"/>
  <c r="I114" i="8"/>
  <c r="F114" i="8"/>
  <c r="K114" i="8"/>
  <c r="E114" i="8"/>
  <c r="G119" i="8"/>
  <c r="E119" i="8"/>
  <c r="I119" i="8"/>
  <c r="K119" i="8"/>
  <c r="F119" i="8"/>
  <c r="E123" i="8"/>
  <c r="I123" i="8"/>
  <c r="F123" i="8"/>
  <c r="K123" i="8"/>
  <c r="G123" i="8"/>
  <c r="G127" i="8"/>
  <c r="E127" i="8"/>
  <c r="I127" i="8"/>
  <c r="F127" i="8"/>
  <c r="K127" i="8"/>
  <c r="E131" i="8"/>
  <c r="I131" i="8"/>
  <c r="F131" i="8"/>
  <c r="K131" i="8"/>
  <c r="G131" i="8"/>
  <c r="G134" i="8"/>
  <c r="E134" i="8"/>
  <c r="I134" i="8"/>
  <c r="F134" i="8"/>
  <c r="K134" i="8"/>
  <c r="E138" i="8"/>
  <c r="I138" i="8"/>
  <c r="F138" i="8"/>
  <c r="K138" i="8"/>
  <c r="G138" i="8"/>
  <c r="G142" i="8"/>
  <c r="E142" i="8"/>
  <c r="I142" i="8"/>
  <c r="F142" i="8"/>
  <c r="K142" i="8"/>
  <c r="E146" i="8"/>
  <c r="I146" i="8"/>
  <c r="F146" i="8"/>
  <c r="K146" i="8"/>
  <c r="G146" i="8"/>
  <c r="G150" i="8"/>
  <c r="E150" i="8"/>
  <c r="I150" i="8"/>
  <c r="K150" i="8"/>
  <c r="F150" i="8"/>
  <c r="E154" i="8"/>
  <c r="I154" i="8"/>
  <c r="F154" i="8"/>
  <c r="K154" i="8"/>
  <c r="G154" i="8"/>
  <c r="F159" i="8"/>
  <c r="G159" i="8"/>
  <c r="I159" i="8"/>
  <c r="K159" i="8"/>
  <c r="E159" i="8"/>
  <c r="F163" i="8"/>
  <c r="G163" i="8"/>
  <c r="I163" i="8"/>
  <c r="E163" i="8"/>
  <c r="K163" i="8"/>
  <c r="E167" i="8"/>
  <c r="K167" i="8"/>
  <c r="F167" i="8"/>
  <c r="G167" i="8"/>
  <c r="I167" i="8"/>
  <c r="E171" i="8"/>
  <c r="K171" i="8"/>
  <c r="F171" i="8"/>
  <c r="G171" i="8"/>
  <c r="I171" i="8"/>
  <c r="I175" i="8"/>
  <c r="E175" i="8"/>
  <c r="K175" i="8"/>
  <c r="F175" i="8"/>
  <c r="G175" i="8"/>
  <c r="I179" i="8"/>
  <c r="E179" i="8"/>
  <c r="K179" i="8"/>
  <c r="F179" i="8"/>
  <c r="G179" i="8"/>
  <c r="G183" i="8"/>
  <c r="I183" i="8"/>
  <c r="E183" i="8"/>
  <c r="K183" i="8"/>
  <c r="F183" i="8"/>
  <c r="G187" i="8"/>
  <c r="I187" i="8"/>
  <c r="E187" i="8"/>
  <c r="K187" i="8"/>
  <c r="F187" i="8"/>
  <c r="G191" i="8"/>
  <c r="I191" i="8"/>
  <c r="E191" i="8"/>
  <c r="K191" i="8"/>
  <c r="F191" i="8"/>
  <c r="G195" i="8"/>
  <c r="I195" i="8"/>
  <c r="E195" i="8"/>
  <c r="K195" i="8"/>
  <c r="F195" i="8"/>
  <c r="G199" i="8"/>
  <c r="I199" i="8"/>
  <c r="E199" i="8"/>
  <c r="K199" i="8"/>
  <c r="F199" i="8"/>
  <c r="G203" i="8"/>
  <c r="I203" i="8"/>
  <c r="E203" i="8"/>
  <c r="K203" i="8"/>
  <c r="F203" i="8"/>
  <c r="G207" i="8"/>
  <c r="I207" i="8"/>
  <c r="E207" i="8"/>
  <c r="K207" i="8"/>
  <c r="F207" i="8"/>
  <c r="G211" i="8"/>
  <c r="I211" i="8"/>
  <c r="E211" i="8"/>
  <c r="K211" i="8"/>
  <c r="F211" i="8"/>
  <c r="G215" i="8"/>
  <c r="I215" i="8"/>
  <c r="E215" i="8"/>
  <c r="K215" i="8"/>
  <c r="F215" i="8"/>
  <c r="G219" i="8"/>
  <c r="I219" i="8"/>
  <c r="E219" i="8"/>
  <c r="K219" i="8"/>
  <c r="F219" i="8"/>
  <c r="G223" i="8"/>
  <c r="I223" i="8"/>
  <c r="E223" i="8"/>
  <c r="K223" i="8"/>
  <c r="F223" i="8"/>
  <c r="G227" i="8"/>
  <c r="I227" i="8"/>
  <c r="E227" i="8"/>
  <c r="K227" i="8"/>
  <c r="F227" i="8"/>
  <c r="G231" i="8"/>
  <c r="I231" i="8"/>
  <c r="E231" i="8"/>
  <c r="K231" i="8"/>
  <c r="F231" i="8"/>
  <c r="G235" i="8"/>
  <c r="I235" i="8"/>
  <c r="E235" i="8"/>
  <c r="K235" i="8"/>
  <c r="F235" i="8"/>
  <c r="G239" i="8"/>
  <c r="I239" i="8"/>
  <c r="E239" i="8"/>
  <c r="K239" i="8"/>
  <c r="F239" i="8"/>
  <c r="G243" i="8"/>
  <c r="I243" i="8"/>
  <c r="E243" i="8"/>
  <c r="K243" i="8"/>
  <c r="F243" i="8"/>
  <c r="G247" i="8"/>
  <c r="I247" i="8"/>
  <c r="E247" i="8"/>
  <c r="K247" i="8"/>
  <c r="F247" i="8"/>
  <c r="G251" i="8"/>
  <c r="I251" i="8"/>
  <c r="E251" i="8"/>
  <c r="K251" i="8"/>
  <c r="F251" i="8"/>
  <c r="F252" i="5"/>
  <c r="G252" i="5"/>
  <c r="G259" i="8"/>
  <c r="I259" i="8"/>
  <c r="E259" i="8"/>
  <c r="K259" i="8"/>
  <c r="F259" i="8"/>
  <c r="G263" i="8"/>
  <c r="I263" i="8"/>
  <c r="E263" i="8"/>
  <c r="K263" i="8"/>
  <c r="F263" i="8"/>
  <c r="G267" i="8"/>
  <c r="I267" i="8"/>
  <c r="E267" i="8"/>
  <c r="K267" i="8"/>
  <c r="F267" i="8"/>
  <c r="G271" i="8"/>
  <c r="I271" i="8"/>
  <c r="E271" i="8"/>
  <c r="K271" i="8"/>
  <c r="F271" i="8"/>
  <c r="G277" i="8"/>
  <c r="I277" i="8"/>
  <c r="E277" i="8"/>
  <c r="K277" i="8"/>
  <c r="F277" i="8"/>
  <c r="G281" i="8"/>
  <c r="I281" i="8"/>
  <c r="E281" i="8"/>
  <c r="K281" i="8"/>
  <c r="F281" i="8"/>
  <c r="G285" i="8"/>
  <c r="I285" i="8"/>
  <c r="E285" i="8"/>
  <c r="K285" i="8"/>
  <c r="F285" i="8"/>
  <c r="G291" i="8"/>
  <c r="I291" i="8"/>
  <c r="E291" i="8"/>
  <c r="K291" i="8"/>
  <c r="F291" i="8"/>
  <c r="G295" i="8"/>
  <c r="I295" i="8"/>
  <c r="E295" i="8"/>
  <c r="K295" i="8"/>
  <c r="F295" i="8"/>
  <c r="G299" i="8"/>
  <c r="I299" i="8"/>
  <c r="E299" i="8"/>
  <c r="K299" i="8"/>
  <c r="F299" i="8"/>
  <c r="G303" i="8"/>
  <c r="I303" i="8"/>
  <c r="E303" i="8"/>
  <c r="K303" i="8"/>
  <c r="F303" i="8"/>
  <c r="F308" i="8"/>
  <c r="G308" i="8"/>
  <c r="I308" i="8"/>
  <c r="K308" i="8"/>
  <c r="E308" i="8"/>
  <c r="F312" i="8"/>
  <c r="G312" i="8"/>
  <c r="I312" i="8"/>
  <c r="E312" i="8"/>
  <c r="K312" i="8"/>
  <c r="F316" i="8"/>
  <c r="G316" i="8"/>
  <c r="I316" i="8"/>
  <c r="E316" i="8"/>
  <c r="K316" i="8"/>
  <c r="F320" i="8"/>
  <c r="G320" i="8"/>
  <c r="I320" i="8"/>
  <c r="E320" i="8"/>
  <c r="K320" i="8"/>
  <c r="F324" i="8"/>
  <c r="G324" i="8"/>
  <c r="I324" i="8"/>
  <c r="K324" i="8"/>
  <c r="E324" i="8"/>
  <c r="F328" i="8"/>
  <c r="G328" i="8"/>
  <c r="I328" i="8"/>
  <c r="E328" i="8"/>
  <c r="K328" i="8"/>
  <c r="F335" i="8"/>
  <c r="G335" i="8"/>
  <c r="K335" i="8"/>
  <c r="E335" i="8"/>
  <c r="I335" i="8"/>
  <c r="F339" i="8"/>
  <c r="G339" i="8"/>
  <c r="E339" i="8"/>
  <c r="I339" i="8"/>
  <c r="K339" i="8"/>
  <c r="F343" i="8"/>
  <c r="G343" i="8"/>
  <c r="K343" i="8"/>
  <c r="E343" i="8"/>
  <c r="I343" i="8"/>
  <c r="F347" i="8"/>
  <c r="G347" i="8"/>
  <c r="E347" i="8"/>
  <c r="I347" i="8"/>
  <c r="K347" i="8"/>
  <c r="F351" i="8"/>
  <c r="G351" i="8"/>
  <c r="K351" i="8"/>
  <c r="E351" i="8"/>
  <c r="I351" i="8"/>
  <c r="F355" i="8"/>
  <c r="G355" i="8"/>
  <c r="E355" i="8"/>
  <c r="I355" i="8"/>
  <c r="K355" i="8"/>
  <c r="F359" i="8"/>
  <c r="G359" i="8"/>
  <c r="K359" i="8"/>
  <c r="E359" i="8"/>
  <c r="I359" i="8"/>
  <c r="F363" i="8"/>
  <c r="G363" i="8"/>
  <c r="E363" i="8"/>
  <c r="I363" i="8"/>
  <c r="K363" i="8"/>
  <c r="F367" i="8"/>
  <c r="G367" i="8"/>
  <c r="K367" i="8"/>
  <c r="E367" i="8"/>
  <c r="I367" i="8"/>
  <c r="F371" i="8"/>
  <c r="G371" i="8"/>
  <c r="E371" i="8"/>
  <c r="I371" i="8"/>
  <c r="K371" i="8"/>
  <c r="F375" i="8"/>
  <c r="G375" i="8"/>
  <c r="K375" i="8"/>
  <c r="E375" i="8"/>
  <c r="I375" i="8"/>
  <c r="F379" i="8"/>
  <c r="G379" i="8"/>
  <c r="E379" i="8"/>
  <c r="I379" i="8"/>
  <c r="K379" i="8"/>
  <c r="F383" i="8"/>
  <c r="G383" i="8"/>
  <c r="K383" i="8"/>
  <c r="E383" i="8"/>
  <c r="I383" i="8"/>
  <c r="F387" i="8"/>
  <c r="G387" i="8"/>
  <c r="E387" i="8"/>
  <c r="I387" i="8"/>
  <c r="K387" i="8"/>
  <c r="F393" i="8"/>
  <c r="G393" i="8"/>
  <c r="K393" i="8"/>
  <c r="E393" i="8"/>
  <c r="I393" i="8"/>
  <c r="F18" i="8"/>
  <c r="G18" i="8"/>
  <c r="I18" i="8"/>
  <c r="E18" i="8"/>
  <c r="K18" i="8"/>
  <c r="I22" i="8"/>
  <c r="E22" i="8"/>
  <c r="K22" i="8"/>
  <c r="F22" i="8"/>
  <c r="G22" i="8"/>
  <c r="F26" i="8"/>
  <c r="G26" i="8"/>
  <c r="I26" i="8"/>
  <c r="E26" i="8"/>
  <c r="K26" i="8"/>
  <c r="G31" i="8"/>
  <c r="E31" i="8"/>
  <c r="I31" i="8"/>
  <c r="F31" i="8"/>
  <c r="K31" i="8"/>
  <c r="E35" i="8"/>
  <c r="I35" i="8"/>
  <c r="F35" i="8"/>
  <c r="K35" i="8"/>
  <c r="G35" i="8"/>
  <c r="G39" i="8"/>
  <c r="E39" i="8"/>
  <c r="I39" i="8"/>
  <c r="K39" i="8"/>
  <c r="F39" i="8"/>
  <c r="E43" i="8"/>
  <c r="I43" i="8"/>
  <c r="F43" i="8"/>
  <c r="K43" i="8"/>
  <c r="G43" i="8"/>
  <c r="G47" i="8"/>
  <c r="E47" i="8"/>
  <c r="I47" i="8"/>
  <c r="F47" i="8"/>
  <c r="K47" i="8"/>
  <c r="E51" i="8"/>
  <c r="I51" i="8"/>
  <c r="F51" i="8"/>
  <c r="K51" i="8"/>
  <c r="G51" i="8"/>
  <c r="E55" i="8"/>
  <c r="I55" i="8"/>
  <c r="F55" i="8"/>
  <c r="G55" i="8"/>
  <c r="K55" i="8"/>
  <c r="F59" i="8"/>
  <c r="K59" i="8"/>
  <c r="G59" i="8"/>
  <c r="E59" i="8"/>
  <c r="I59" i="8"/>
  <c r="E63" i="8"/>
  <c r="I63" i="8"/>
  <c r="G63" i="8"/>
  <c r="K63" i="8"/>
  <c r="F63" i="8"/>
  <c r="F67" i="8"/>
  <c r="K67" i="8"/>
  <c r="G67" i="8"/>
  <c r="I67" i="8"/>
  <c r="E67" i="8"/>
  <c r="F72" i="8"/>
  <c r="G72" i="8"/>
  <c r="E72" i="8"/>
  <c r="I72" i="8"/>
  <c r="K72" i="8"/>
  <c r="G77" i="8"/>
  <c r="K77" i="8"/>
  <c r="E77" i="8"/>
  <c r="F77" i="8"/>
  <c r="I77" i="8"/>
  <c r="E81" i="8"/>
  <c r="I81" i="8"/>
  <c r="F81" i="8"/>
  <c r="K81" i="8"/>
  <c r="G81" i="8"/>
  <c r="E87" i="8"/>
  <c r="I87" i="8"/>
  <c r="F87" i="8"/>
  <c r="G87" i="8"/>
  <c r="K87" i="8"/>
  <c r="G93" i="8"/>
  <c r="K93" i="8"/>
  <c r="E93" i="8"/>
  <c r="F93" i="8"/>
  <c r="I93" i="8"/>
  <c r="E97" i="8"/>
  <c r="I97" i="8"/>
  <c r="F97" i="8"/>
  <c r="K97" i="8"/>
  <c r="G97" i="8"/>
  <c r="G101" i="8"/>
  <c r="F101" i="8"/>
  <c r="I101" i="8"/>
  <c r="K101" i="8"/>
  <c r="E101" i="8"/>
  <c r="E105" i="8"/>
  <c r="I105" i="8"/>
  <c r="F105" i="8"/>
  <c r="K105" i="8"/>
  <c r="G105" i="8"/>
  <c r="G109" i="8"/>
  <c r="K109" i="8"/>
  <c r="E109" i="8"/>
  <c r="F109" i="8"/>
  <c r="I109" i="8"/>
  <c r="F115" i="8"/>
  <c r="G115" i="8"/>
  <c r="I115" i="8"/>
  <c r="K115" i="8"/>
  <c r="E115" i="8"/>
  <c r="E120" i="8"/>
  <c r="K120" i="8"/>
  <c r="F120" i="8"/>
  <c r="G120" i="8"/>
  <c r="I120" i="8"/>
  <c r="G124" i="8"/>
  <c r="I124" i="8"/>
  <c r="E124" i="8"/>
  <c r="K124" i="8"/>
  <c r="F124" i="8"/>
  <c r="E128" i="8"/>
  <c r="K128" i="8"/>
  <c r="F128" i="8"/>
  <c r="G128" i="8"/>
  <c r="I128" i="8"/>
  <c r="G132" i="8"/>
  <c r="I132" i="8"/>
  <c r="E132" i="8"/>
  <c r="K132" i="8"/>
  <c r="F132" i="8"/>
  <c r="E135" i="8"/>
  <c r="K135" i="8"/>
  <c r="F135" i="8"/>
  <c r="G135" i="8"/>
  <c r="I135" i="8"/>
  <c r="G139" i="8"/>
  <c r="I139" i="8"/>
  <c r="E139" i="8"/>
  <c r="K139" i="8"/>
  <c r="F139" i="8"/>
  <c r="E143" i="8"/>
  <c r="K143" i="8"/>
  <c r="F143" i="8"/>
  <c r="G143" i="8"/>
  <c r="I143" i="8"/>
  <c r="F144" i="5"/>
  <c r="G144" i="5"/>
  <c r="E151" i="8"/>
  <c r="K151" i="8"/>
  <c r="F151" i="8"/>
  <c r="G151" i="8"/>
  <c r="I151" i="8"/>
  <c r="G155" i="8"/>
  <c r="I155" i="8"/>
  <c r="E155" i="8"/>
  <c r="K155" i="8"/>
  <c r="F155" i="8"/>
  <c r="E160" i="8"/>
  <c r="K160" i="8"/>
  <c r="F160" i="8"/>
  <c r="G160" i="8"/>
  <c r="I160" i="8"/>
  <c r="E164" i="8"/>
  <c r="I164" i="8"/>
  <c r="F164" i="8"/>
  <c r="K164" i="8"/>
  <c r="G164" i="8"/>
  <c r="I168" i="8"/>
  <c r="E168" i="8"/>
  <c r="K168" i="8"/>
  <c r="F168" i="8"/>
  <c r="G168" i="8"/>
  <c r="E172" i="8"/>
  <c r="I172" i="8"/>
  <c r="F172" i="8"/>
  <c r="K172" i="8"/>
  <c r="G172" i="8"/>
  <c r="G176" i="8"/>
  <c r="I176" i="8"/>
  <c r="E176" i="8"/>
  <c r="K176" i="8"/>
  <c r="F176" i="8"/>
  <c r="G180" i="8"/>
  <c r="E180" i="8"/>
  <c r="I180" i="8"/>
  <c r="F180" i="8"/>
  <c r="K180" i="8"/>
  <c r="F184" i="8"/>
  <c r="G184" i="8"/>
  <c r="I184" i="8"/>
  <c r="K184" i="8"/>
  <c r="E184" i="8"/>
  <c r="F188" i="8"/>
  <c r="G188" i="8"/>
  <c r="I188" i="8"/>
  <c r="E188" i="8"/>
  <c r="K188" i="8"/>
  <c r="F192" i="8"/>
  <c r="G192" i="8"/>
  <c r="I192" i="8"/>
  <c r="E192" i="8"/>
  <c r="K192" i="8"/>
  <c r="F196" i="8"/>
  <c r="G196" i="8"/>
  <c r="I196" i="8"/>
  <c r="E196" i="8"/>
  <c r="K196" i="8"/>
  <c r="F200" i="8"/>
  <c r="G200" i="8"/>
  <c r="I200" i="8"/>
  <c r="K200" i="8"/>
  <c r="E200" i="8"/>
  <c r="F204" i="8"/>
  <c r="G204" i="8"/>
  <c r="I204" i="8"/>
  <c r="E204" i="8"/>
  <c r="K204" i="8"/>
  <c r="F208" i="8"/>
  <c r="G208" i="8"/>
  <c r="I208" i="8"/>
  <c r="E208" i="8"/>
  <c r="K208" i="8"/>
  <c r="F212" i="8"/>
  <c r="G212" i="8"/>
  <c r="I212" i="8"/>
  <c r="E212" i="8"/>
  <c r="K212" i="8"/>
  <c r="F216" i="8"/>
  <c r="G216" i="8"/>
  <c r="I216" i="8"/>
  <c r="K216" i="8"/>
  <c r="E216" i="8"/>
  <c r="F220" i="8"/>
  <c r="G220" i="8"/>
  <c r="I220" i="8"/>
  <c r="E220" i="8"/>
  <c r="K220" i="8"/>
  <c r="F224" i="8"/>
  <c r="G224" i="8"/>
  <c r="I224" i="8"/>
  <c r="E224" i="8"/>
  <c r="K224" i="8"/>
  <c r="F228" i="8"/>
  <c r="G228" i="8"/>
  <c r="I228" i="8"/>
  <c r="E228" i="8"/>
  <c r="K228" i="8"/>
  <c r="F232" i="8"/>
  <c r="G232" i="8"/>
  <c r="I232" i="8"/>
  <c r="K232" i="8"/>
  <c r="E232" i="8"/>
  <c r="F236" i="8"/>
  <c r="G236" i="8"/>
  <c r="I236" i="8"/>
  <c r="E236" i="8"/>
  <c r="K236" i="8"/>
  <c r="F240" i="8"/>
  <c r="G240" i="8"/>
  <c r="I240" i="8"/>
  <c r="E240" i="8"/>
  <c r="K240" i="8"/>
  <c r="F244" i="8"/>
  <c r="G244" i="8"/>
  <c r="I244" i="8"/>
  <c r="E244" i="8"/>
  <c r="K244" i="8"/>
  <c r="F248" i="8"/>
  <c r="G248" i="8"/>
  <c r="I248" i="8"/>
  <c r="K248" i="8"/>
  <c r="E248" i="8"/>
  <c r="F252" i="8"/>
  <c r="G252" i="8"/>
  <c r="I252" i="8"/>
  <c r="E252" i="8"/>
  <c r="K252" i="8"/>
  <c r="F256" i="8"/>
  <c r="G256" i="8"/>
  <c r="I256" i="8"/>
  <c r="E256" i="8"/>
  <c r="K256" i="8"/>
  <c r="F260" i="8"/>
  <c r="G260" i="8"/>
  <c r="I260" i="8"/>
  <c r="E260" i="8"/>
  <c r="K260" i="8"/>
  <c r="F264" i="8"/>
  <c r="G264" i="8"/>
  <c r="I264" i="8"/>
  <c r="K264" i="8"/>
  <c r="E264" i="8"/>
  <c r="F268" i="8"/>
  <c r="G268" i="8"/>
  <c r="I268" i="8"/>
  <c r="E268" i="8"/>
  <c r="K268" i="8"/>
  <c r="F272" i="8"/>
  <c r="G272" i="8"/>
  <c r="I272" i="8"/>
  <c r="E272" i="8"/>
  <c r="K272" i="8"/>
  <c r="F275" i="8"/>
  <c r="G275" i="8"/>
  <c r="I275" i="8"/>
  <c r="E275" i="8"/>
  <c r="K275" i="8"/>
  <c r="F278" i="8"/>
  <c r="G278" i="8"/>
  <c r="I278" i="8"/>
  <c r="K278" i="8"/>
  <c r="E278" i="8"/>
  <c r="F282" i="8"/>
  <c r="G282" i="8"/>
  <c r="I282" i="8"/>
  <c r="E282" i="8"/>
  <c r="K282" i="8"/>
  <c r="F286" i="8"/>
  <c r="G286" i="8"/>
  <c r="I286" i="8"/>
  <c r="E286" i="8"/>
  <c r="K286" i="8"/>
  <c r="F292" i="8"/>
  <c r="G292" i="8"/>
  <c r="I292" i="8"/>
  <c r="K292" i="8"/>
  <c r="E292" i="8"/>
  <c r="F296" i="8"/>
  <c r="G296" i="8"/>
  <c r="I296" i="8"/>
  <c r="E296" i="8"/>
  <c r="K296" i="8"/>
  <c r="F300" i="8"/>
  <c r="G300" i="8"/>
  <c r="I300" i="8"/>
  <c r="E300" i="8"/>
  <c r="K300" i="8"/>
  <c r="F304" i="8"/>
  <c r="G304" i="8"/>
  <c r="I304" i="8"/>
  <c r="E304" i="8"/>
  <c r="K304" i="8"/>
  <c r="E309" i="8"/>
  <c r="K309" i="8"/>
  <c r="F309" i="8"/>
  <c r="G309" i="8"/>
  <c r="I309" i="8"/>
  <c r="E313" i="8"/>
  <c r="K313" i="8"/>
  <c r="F313" i="8"/>
  <c r="G313" i="8"/>
  <c r="I313" i="8"/>
  <c r="E317" i="8"/>
  <c r="K317" i="8"/>
  <c r="F317" i="8"/>
  <c r="G317" i="8"/>
  <c r="I317" i="8"/>
  <c r="E321" i="8"/>
  <c r="K321" i="8"/>
  <c r="F321" i="8"/>
  <c r="G321" i="8"/>
  <c r="I321" i="8"/>
  <c r="E325" i="8"/>
  <c r="K325" i="8"/>
  <c r="F325" i="8"/>
  <c r="G325" i="8"/>
  <c r="I325" i="8"/>
  <c r="E329" i="8"/>
  <c r="K329" i="8"/>
  <c r="F329" i="8"/>
  <c r="G329" i="8"/>
  <c r="I329" i="8"/>
  <c r="E332" i="8"/>
  <c r="K332" i="8"/>
  <c r="F332" i="8"/>
  <c r="G332" i="8"/>
  <c r="I332" i="8"/>
  <c r="E336" i="8"/>
  <c r="K336" i="8"/>
  <c r="F336" i="8"/>
  <c r="G336" i="8"/>
  <c r="I336" i="8"/>
  <c r="E340" i="8"/>
  <c r="K340" i="8"/>
  <c r="F340" i="8"/>
  <c r="I340" i="8"/>
  <c r="G340" i="8"/>
  <c r="E344" i="8"/>
  <c r="K344" i="8"/>
  <c r="F344" i="8"/>
  <c r="G344" i="8"/>
  <c r="I344" i="8"/>
  <c r="E348" i="8"/>
  <c r="K348" i="8"/>
  <c r="F348" i="8"/>
  <c r="I348" i="8"/>
  <c r="G348" i="8"/>
  <c r="E352" i="8"/>
  <c r="K352" i="8"/>
  <c r="F352" i="8"/>
  <c r="G352" i="8"/>
  <c r="I352" i="8"/>
  <c r="E356" i="8"/>
  <c r="K356" i="8"/>
  <c r="F356" i="8"/>
  <c r="I356" i="8"/>
  <c r="G356" i="8"/>
  <c r="E360" i="8"/>
  <c r="K360" i="8"/>
  <c r="F360" i="8"/>
  <c r="G360" i="8"/>
  <c r="I360" i="8"/>
  <c r="E364" i="8"/>
  <c r="K364" i="8"/>
  <c r="F364" i="8"/>
  <c r="I364" i="8"/>
  <c r="G364" i="8"/>
  <c r="I368" i="9"/>
  <c r="E368" i="9"/>
  <c r="K368" i="9"/>
  <c r="F368" i="9"/>
  <c r="G368" i="9"/>
  <c r="I372" i="9"/>
  <c r="E372" i="9"/>
  <c r="K372" i="9"/>
  <c r="F372" i="9"/>
  <c r="G372" i="9"/>
  <c r="I376" i="9"/>
  <c r="E376" i="9"/>
  <c r="K376" i="9"/>
  <c r="F376" i="9"/>
  <c r="G376" i="9"/>
  <c r="I380" i="9"/>
  <c r="E380" i="9"/>
  <c r="K380" i="9"/>
  <c r="F380" i="9"/>
  <c r="G380" i="9"/>
  <c r="I384" i="9"/>
  <c r="E384" i="9"/>
  <c r="K384" i="9"/>
  <c r="F384" i="9"/>
  <c r="G384" i="9"/>
  <c r="I388" i="9"/>
  <c r="E388" i="9"/>
  <c r="K388" i="9"/>
  <c r="F388" i="9"/>
  <c r="G388" i="9"/>
  <c r="I389" i="9"/>
  <c r="E389" i="9"/>
  <c r="K389" i="9"/>
  <c r="F389" i="9"/>
  <c r="G389" i="9"/>
  <c r="I394" i="9"/>
  <c r="E394" i="9"/>
  <c r="F394" i="9"/>
  <c r="G394" i="9"/>
  <c r="K394" i="9"/>
  <c r="AD78" i="36"/>
  <c r="AV77" i="4"/>
  <c r="AZ77" i="4" s="1"/>
  <c r="AD338" i="36"/>
  <c r="AV337" i="4"/>
  <c r="AZ337" i="4" s="1"/>
  <c r="AD237" i="36"/>
  <c r="AV236" i="4"/>
  <c r="AZ236" i="4" s="1"/>
  <c r="AD89" i="36"/>
  <c r="AV88" i="4"/>
  <c r="AZ88" i="4" s="1"/>
  <c r="AD269" i="36"/>
  <c r="AV268" i="4"/>
  <c r="AZ268" i="4" s="1"/>
  <c r="AD104" i="36"/>
  <c r="AV103" i="4"/>
  <c r="AZ103" i="4" s="1"/>
  <c r="AD236" i="36"/>
  <c r="AV235" i="4"/>
  <c r="AZ235" i="4" s="1"/>
  <c r="AD124" i="36"/>
  <c r="AV123" i="4"/>
  <c r="AZ123" i="4" s="1"/>
  <c r="F19" i="9"/>
  <c r="K19" i="9"/>
  <c r="G19" i="9"/>
  <c r="E19" i="9"/>
  <c r="I19" i="9"/>
  <c r="I36" i="9"/>
  <c r="E36" i="9"/>
  <c r="K36" i="9"/>
  <c r="F36" i="9"/>
  <c r="G36" i="9"/>
  <c r="F56" i="9"/>
  <c r="G56" i="9"/>
  <c r="I56" i="9"/>
  <c r="K56" i="9"/>
  <c r="E56" i="9"/>
  <c r="I68" i="9"/>
  <c r="E68" i="9"/>
  <c r="K68" i="9"/>
  <c r="F68" i="9"/>
  <c r="G68" i="9"/>
  <c r="F126" i="5"/>
  <c r="G126" i="5"/>
  <c r="F141" i="5"/>
  <c r="G141" i="5"/>
  <c r="F238" i="5"/>
  <c r="F254" i="5"/>
  <c r="G254" i="5"/>
  <c r="F284" i="5"/>
  <c r="F298" i="5"/>
  <c r="I377" i="8"/>
  <c r="E377" i="8"/>
  <c r="K377" i="8"/>
  <c r="G377" i="8"/>
  <c r="F377" i="8"/>
  <c r="F16" i="5"/>
  <c r="G16" i="5"/>
  <c r="F99" i="5"/>
  <c r="G99" i="5"/>
  <c r="F113" i="5"/>
  <c r="G113" i="5"/>
  <c r="F162" i="5"/>
  <c r="G162" i="5"/>
  <c r="F174" i="5"/>
  <c r="G174" i="5"/>
  <c r="F186" i="5"/>
  <c r="F198" i="5"/>
  <c r="G198" i="5"/>
  <c r="F210" i="5"/>
  <c r="G210" i="5"/>
  <c r="F222" i="5"/>
  <c r="G222" i="5"/>
  <c r="E237" i="8"/>
  <c r="K237" i="8"/>
  <c r="F237" i="8"/>
  <c r="G237" i="8"/>
  <c r="I237" i="8"/>
  <c r="E249" i="8"/>
  <c r="K249" i="8"/>
  <c r="F249" i="8"/>
  <c r="G249" i="8"/>
  <c r="I249" i="8"/>
  <c r="E261" i="8"/>
  <c r="K261" i="8"/>
  <c r="F261" i="8"/>
  <c r="G261" i="8"/>
  <c r="I261" i="8"/>
  <c r="E273" i="8"/>
  <c r="K273" i="8"/>
  <c r="F273" i="8"/>
  <c r="G273" i="8"/>
  <c r="I273" i="8"/>
  <c r="E283" i="8"/>
  <c r="K283" i="8"/>
  <c r="F283" i="8"/>
  <c r="G283" i="8"/>
  <c r="I283" i="8"/>
  <c r="E293" i="8"/>
  <c r="K293" i="8"/>
  <c r="F293" i="8"/>
  <c r="G293" i="8"/>
  <c r="I293" i="8"/>
  <c r="E305" i="8"/>
  <c r="K305" i="8"/>
  <c r="F305" i="8"/>
  <c r="G305" i="8"/>
  <c r="I305" i="8"/>
  <c r="I318" i="8"/>
  <c r="E318" i="8"/>
  <c r="K318" i="8"/>
  <c r="F318" i="8"/>
  <c r="G318" i="8"/>
  <c r="I330" i="8"/>
  <c r="E330" i="8"/>
  <c r="K330" i="8"/>
  <c r="F330" i="8"/>
  <c r="G330" i="8"/>
  <c r="I341" i="8"/>
  <c r="E341" i="8"/>
  <c r="K341" i="8"/>
  <c r="F341" i="8"/>
  <c r="G341" i="8"/>
  <c r="I349" i="8"/>
  <c r="E349" i="8"/>
  <c r="K349" i="8"/>
  <c r="F349" i="8"/>
  <c r="G349" i="8"/>
  <c r="I357" i="8"/>
  <c r="E357" i="8"/>
  <c r="K357" i="8"/>
  <c r="F357" i="8"/>
  <c r="G357" i="8"/>
  <c r="I365" i="8"/>
  <c r="E365" i="8"/>
  <c r="K365" i="8"/>
  <c r="F365" i="8"/>
  <c r="G365" i="8"/>
  <c r="I373" i="8"/>
  <c r="E373" i="8"/>
  <c r="K373" i="8"/>
  <c r="F373" i="8"/>
  <c r="G373" i="8"/>
  <c r="I381" i="8"/>
  <c r="E381" i="8"/>
  <c r="K381" i="8"/>
  <c r="F381" i="8"/>
  <c r="G381" i="8"/>
  <c r="I385" i="8"/>
  <c r="E385" i="8"/>
  <c r="K385" i="8"/>
  <c r="G385" i="8"/>
  <c r="F385" i="8"/>
  <c r="I390" i="8"/>
  <c r="E390" i="8"/>
  <c r="K390" i="8"/>
  <c r="G390" i="8"/>
  <c r="F390" i="8"/>
  <c r="I391" i="8"/>
  <c r="E391" i="8"/>
  <c r="K391" i="8"/>
  <c r="F391" i="8"/>
  <c r="G391" i="8"/>
  <c r="F29" i="5"/>
  <c r="F33" i="5"/>
  <c r="G33" i="5"/>
  <c r="F37" i="5"/>
  <c r="G37" i="5"/>
  <c r="F41" i="5"/>
  <c r="G41" i="5"/>
  <c r="F45" i="5"/>
  <c r="G45" i="5"/>
  <c r="F49" i="5"/>
  <c r="G49" i="5"/>
  <c r="F53" i="5"/>
  <c r="G53" i="5"/>
  <c r="F57" i="5"/>
  <c r="G57" i="5"/>
  <c r="F61" i="5"/>
  <c r="G61" i="5"/>
  <c r="F65" i="5"/>
  <c r="G65" i="5"/>
  <c r="F75" i="5"/>
  <c r="G75" i="5"/>
  <c r="F79" i="5"/>
  <c r="G79" i="5"/>
  <c r="F88" i="8"/>
  <c r="G88" i="8"/>
  <c r="E88" i="8"/>
  <c r="I88" i="8"/>
  <c r="K88" i="8"/>
  <c r="E94" i="8"/>
  <c r="K94" i="8"/>
  <c r="F94" i="8"/>
  <c r="G94" i="8"/>
  <c r="I94" i="8"/>
  <c r="G98" i="8"/>
  <c r="I98" i="8"/>
  <c r="F98" i="8"/>
  <c r="K98" i="8"/>
  <c r="E98" i="8"/>
  <c r="E102" i="8"/>
  <c r="K102" i="8"/>
  <c r="F102" i="8"/>
  <c r="I102" i="8"/>
  <c r="G102" i="8"/>
  <c r="G106" i="8"/>
  <c r="I106" i="8"/>
  <c r="E106" i="8"/>
  <c r="F106" i="8"/>
  <c r="K106" i="8"/>
  <c r="F112" i="8"/>
  <c r="G112" i="8"/>
  <c r="K112" i="8"/>
  <c r="E112" i="8"/>
  <c r="I112" i="8"/>
  <c r="G116" i="8"/>
  <c r="I116" i="8"/>
  <c r="E116" i="8"/>
  <c r="K116" i="8"/>
  <c r="F116" i="8"/>
  <c r="E121" i="8"/>
  <c r="I121" i="8"/>
  <c r="F121" i="8"/>
  <c r="K121" i="8"/>
  <c r="G121" i="8"/>
  <c r="F125" i="8"/>
  <c r="K125" i="8"/>
  <c r="G125" i="8"/>
  <c r="I125" i="8"/>
  <c r="E125" i="8"/>
  <c r="E129" i="8"/>
  <c r="I129" i="8"/>
  <c r="F129" i="8"/>
  <c r="K129" i="8"/>
  <c r="G129" i="8"/>
  <c r="E136" i="8"/>
  <c r="I136" i="8"/>
  <c r="F136" i="8"/>
  <c r="K136" i="8"/>
  <c r="G136" i="8"/>
  <c r="F140" i="8"/>
  <c r="K140" i="8"/>
  <c r="G140" i="8"/>
  <c r="E140" i="8"/>
  <c r="I140" i="8"/>
  <c r="E144" i="8"/>
  <c r="I144" i="8"/>
  <c r="F144" i="8"/>
  <c r="K144" i="8"/>
  <c r="G144" i="8"/>
  <c r="F148" i="8"/>
  <c r="K148" i="8"/>
  <c r="G148" i="8"/>
  <c r="E148" i="8"/>
  <c r="I148" i="8"/>
  <c r="E152" i="8"/>
  <c r="I152" i="8"/>
  <c r="F152" i="8"/>
  <c r="K152" i="8"/>
  <c r="G152" i="8"/>
  <c r="F156" i="8"/>
  <c r="K156" i="8"/>
  <c r="G156" i="8"/>
  <c r="I156" i="8"/>
  <c r="E156" i="8"/>
  <c r="I161" i="8"/>
  <c r="E161" i="8"/>
  <c r="K161" i="8"/>
  <c r="F161" i="8"/>
  <c r="G161" i="8"/>
  <c r="G165" i="8"/>
  <c r="I165" i="8"/>
  <c r="E165" i="8"/>
  <c r="K165" i="8"/>
  <c r="F165" i="8"/>
  <c r="G169" i="8"/>
  <c r="I169" i="8"/>
  <c r="E169" i="8"/>
  <c r="K169" i="8"/>
  <c r="F169" i="8"/>
  <c r="F173" i="8"/>
  <c r="G173" i="8"/>
  <c r="I173" i="8"/>
  <c r="E173" i="8"/>
  <c r="K173" i="8"/>
  <c r="F177" i="8"/>
  <c r="G177" i="8"/>
  <c r="I177" i="8"/>
  <c r="E177" i="8"/>
  <c r="K177" i="8"/>
  <c r="E181" i="8"/>
  <c r="K181" i="8"/>
  <c r="F181" i="8"/>
  <c r="G181" i="8"/>
  <c r="I181" i="8"/>
  <c r="E185" i="8"/>
  <c r="K185" i="8"/>
  <c r="F185" i="8"/>
  <c r="G185" i="8"/>
  <c r="I185" i="8"/>
  <c r="E189" i="8"/>
  <c r="K189" i="8"/>
  <c r="F189" i="8"/>
  <c r="G189" i="8"/>
  <c r="I189" i="8"/>
  <c r="E193" i="8"/>
  <c r="K193" i="8"/>
  <c r="F193" i="8"/>
  <c r="G193" i="8"/>
  <c r="I193" i="8"/>
  <c r="E197" i="8"/>
  <c r="K197" i="8"/>
  <c r="F197" i="8"/>
  <c r="G197" i="8"/>
  <c r="I197" i="8"/>
  <c r="E201" i="8"/>
  <c r="K201" i="8"/>
  <c r="F201" i="8"/>
  <c r="G201" i="8"/>
  <c r="I201" i="8"/>
  <c r="E205" i="8"/>
  <c r="K205" i="8"/>
  <c r="F205" i="8"/>
  <c r="G205" i="8"/>
  <c r="I205" i="8"/>
  <c r="E209" i="8"/>
  <c r="K209" i="8"/>
  <c r="F209" i="8"/>
  <c r="G209" i="8"/>
  <c r="I209" i="8"/>
  <c r="E213" i="8"/>
  <c r="K213" i="8"/>
  <c r="F213" i="8"/>
  <c r="G213" i="8"/>
  <c r="I213" i="8"/>
  <c r="E217" i="8"/>
  <c r="K217" i="8"/>
  <c r="F217" i="8"/>
  <c r="G217" i="8"/>
  <c r="I217" i="8"/>
  <c r="E221" i="8"/>
  <c r="K221" i="8"/>
  <c r="F221" i="8"/>
  <c r="G221" i="8"/>
  <c r="I221" i="8"/>
  <c r="E225" i="8"/>
  <c r="K225" i="8"/>
  <c r="F225" i="8"/>
  <c r="G225" i="8"/>
  <c r="I225" i="8"/>
  <c r="G229" i="9"/>
  <c r="I229" i="9"/>
  <c r="F229" i="9"/>
  <c r="K229" i="9"/>
  <c r="E229" i="9"/>
  <c r="I233" i="9"/>
  <c r="E233" i="9"/>
  <c r="K233" i="9"/>
  <c r="F233" i="9"/>
  <c r="G233" i="9"/>
  <c r="I237" i="9"/>
  <c r="E237" i="9"/>
  <c r="K237" i="9"/>
  <c r="F237" i="9"/>
  <c r="G237" i="9"/>
  <c r="I241" i="9"/>
  <c r="E241" i="9"/>
  <c r="K241" i="9"/>
  <c r="F241" i="9"/>
  <c r="G241" i="9"/>
  <c r="I245" i="9"/>
  <c r="E245" i="9"/>
  <c r="K245" i="9"/>
  <c r="F245" i="9"/>
  <c r="G245" i="9"/>
  <c r="I249" i="9"/>
  <c r="E249" i="9"/>
  <c r="K249" i="9"/>
  <c r="F249" i="9"/>
  <c r="G249" i="9"/>
  <c r="I253" i="9"/>
  <c r="E253" i="9"/>
  <c r="K253" i="9"/>
  <c r="F253" i="9"/>
  <c r="G253" i="9"/>
  <c r="I257" i="9"/>
  <c r="E257" i="9"/>
  <c r="K257" i="9"/>
  <c r="F257" i="9"/>
  <c r="G257" i="9"/>
  <c r="I261" i="9"/>
  <c r="E261" i="9"/>
  <c r="K261" i="9"/>
  <c r="F261" i="9"/>
  <c r="G261" i="9"/>
  <c r="I265" i="9"/>
  <c r="E265" i="9"/>
  <c r="K265" i="9"/>
  <c r="F265" i="9"/>
  <c r="G265" i="9"/>
  <c r="I269" i="9"/>
  <c r="E269" i="9"/>
  <c r="K269" i="9"/>
  <c r="F269" i="9"/>
  <c r="G269" i="9"/>
  <c r="I273" i="9"/>
  <c r="E273" i="9"/>
  <c r="K273" i="9"/>
  <c r="F273" i="9"/>
  <c r="G273" i="9"/>
  <c r="I279" i="9"/>
  <c r="E279" i="9"/>
  <c r="K279" i="9"/>
  <c r="F279" i="9"/>
  <c r="G279" i="9"/>
  <c r="I283" i="9"/>
  <c r="E283" i="9"/>
  <c r="K283" i="9"/>
  <c r="F283" i="9"/>
  <c r="G283" i="9"/>
  <c r="I287" i="9"/>
  <c r="E287" i="9"/>
  <c r="K287" i="9"/>
  <c r="F287" i="9"/>
  <c r="G287" i="9"/>
  <c r="I289" i="9"/>
  <c r="E289" i="9"/>
  <c r="K289" i="9"/>
  <c r="F289" i="9"/>
  <c r="G289" i="9"/>
  <c r="I293" i="9"/>
  <c r="E293" i="9"/>
  <c r="K293" i="9"/>
  <c r="F293" i="9"/>
  <c r="G293" i="9"/>
  <c r="I297" i="9"/>
  <c r="E297" i="9"/>
  <c r="K297" i="9"/>
  <c r="F297" i="9"/>
  <c r="G297" i="9"/>
  <c r="I301" i="9"/>
  <c r="E301" i="9"/>
  <c r="K301" i="9"/>
  <c r="F301" i="9"/>
  <c r="G301" i="9"/>
  <c r="I305" i="9"/>
  <c r="E305" i="9"/>
  <c r="K305" i="9"/>
  <c r="F305" i="9"/>
  <c r="G305" i="9"/>
  <c r="G310" i="9"/>
  <c r="I310" i="9"/>
  <c r="K310" i="9"/>
  <c r="E310" i="9"/>
  <c r="F310" i="9"/>
  <c r="G314" i="9"/>
  <c r="I314" i="9"/>
  <c r="E314" i="9"/>
  <c r="F314" i="9"/>
  <c r="K314" i="9"/>
  <c r="G318" i="9"/>
  <c r="I318" i="9"/>
  <c r="K318" i="9"/>
  <c r="E318" i="9"/>
  <c r="F318" i="9"/>
  <c r="G322" i="9"/>
  <c r="I322" i="9"/>
  <c r="E322" i="9"/>
  <c r="F322" i="9"/>
  <c r="K322" i="9"/>
  <c r="G326" i="9"/>
  <c r="I326" i="9"/>
  <c r="K326" i="9"/>
  <c r="E326" i="9"/>
  <c r="F326" i="9"/>
  <c r="G330" i="9"/>
  <c r="I330" i="9"/>
  <c r="E330" i="9"/>
  <c r="F330" i="9"/>
  <c r="K330" i="9"/>
  <c r="G333" i="9"/>
  <c r="I333" i="9"/>
  <c r="K333" i="9"/>
  <c r="E333" i="9"/>
  <c r="F333" i="9"/>
  <c r="G337" i="9"/>
  <c r="I337" i="9"/>
  <c r="E337" i="9"/>
  <c r="F337" i="9"/>
  <c r="K337" i="9"/>
  <c r="G341" i="9"/>
  <c r="I341" i="9"/>
  <c r="K341" i="9"/>
  <c r="E341" i="9"/>
  <c r="F341" i="9"/>
  <c r="G345" i="9"/>
  <c r="I345" i="9"/>
  <c r="E345" i="9"/>
  <c r="F345" i="9"/>
  <c r="K345" i="9"/>
  <c r="G349" i="9"/>
  <c r="I349" i="9"/>
  <c r="K349" i="9"/>
  <c r="E349" i="9"/>
  <c r="F349" i="9"/>
  <c r="G353" i="9"/>
  <c r="I353" i="9"/>
  <c r="E353" i="9"/>
  <c r="F353" i="9"/>
  <c r="K353" i="9"/>
  <c r="G357" i="9"/>
  <c r="I357" i="9"/>
  <c r="K357" i="9"/>
  <c r="E357" i="9"/>
  <c r="F357" i="9"/>
  <c r="G361" i="9"/>
  <c r="I361" i="9"/>
  <c r="E361" i="9"/>
  <c r="F361" i="9"/>
  <c r="K361" i="9"/>
  <c r="G365" i="9"/>
  <c r="I365" i="9"/>
  <c r="K365" i="9"/>
  <c r="E365" i="9"/>
  <c r="F365" i="9"/>
  <c r="G369" i="9"/>
  <c r="I369" i="9"/>
  <c r="E369" i="9"/>
  <c r="F369" i="9"/>
  <c r="K369" i="9"/>
  <c r="G373" i="9"/>
  <c r="I373" i="9"/>
  <c r="K373" i="9"/>
  <c r="E373" i="9"/>
  <c r="F373" i="9"/>
  <c r="G377" i="9"/>
  <c r="I377" i="9"/>
  <c r="E377" i="9"/>
  <c r="F377" i="9"/>
  <c r="K377" i="9"/>
  <c r="G381" i="9"/>
  <c r="I381" i="9"/>
  <c r="K381" i="9"/>
  <c r="E381" i="9"/>
  <c r="F381" i="9"/>
  <c r="G385" i="9"/>
  <c r="I385" i="9"/>
  <c r="E385" i="9"/>
  <c r="F385" i="9"/>
  <c r="K385" i="9"/>
  <c r="G390" i="9"/>
  <c r="I390" i="9"/>
  <c r="E390" i="9"/>
  <c r="F390" i="9"/>
  <c r="K390" i="9"/>
  <c r="G391" i="9"/>
  <c r="I391" i="9"/>
  <c r="K391" i="9"/>
  <c r="E391" i="9"/>
  <c r="F391" i="9"/>
  <c r="F11" i="5"/>
  <c r="G11" i="5"/>
  <c r="F17" i="5"/>
  <c r="G17" i="5"/>
  <c r="F21" i="5"/>
  <c r="G21" i="5"/>
  <c r="F81" i="5"/>
  <c r="G81" i="5"/>
  <c r="F119" i="5"/>
  <c r="G119" i="5"/>
  <c r="F123" i="5"/>
  <c r="G123" i="5"/>
  <c r="F127" i="5"/>
  <c r="G127" i="5"/>
  <c r="F130" i="5"/>
  <c r="G130" i="5"/>
  <c r="F134" i="5"/>
  <c r="G134" i="5"/>
  <c r="F138" i="5"/>
  <c r="F142" i="5"/>
  <c r="G142" i="5"/>
  <c r="F146" i="5"/>
  <c r="F150" i="5"/>
  <c r="G150" i="5"/>
  <c r="F308" i="5"/>
  <c r="G308" i="5"/>
  <c r="F312" i="5"/>
  <c r="F316" i="5"/>
  <c r="F320" i="5"/>
  <c r="G320" i="5"/>
  <c r="F324" i="5"/>
  <c r="F328" i="5"/>
  <c r="F331" i="5"/>
  <c r="F335" i="5"/>
  <c r="F339" i="5"/>
  <c r="F343" i="5"/>
  <c r="G343" i="5"/>
  <c r="F347" i="5"/>
  <c r="G347" i="5"/>
  <c r="F351" i="5"/>
  <c r="G351" i="5"/>
  <c r="F355" i="5"/>
  <c r="G355" i="5"/>
  <c r="F359" i="5"/>
  <c r="G359" i="5"/>
  <c r="F363" i="5"/>
  <c r="F371" i="5"/>
  <c r="F375" i="5"/>
  <c r="F379" i="5"/>
  <c r="F383" i="5"/>
  <c r="F389" i="5"/>
  <c r="F27" i="5"/>
  <c r="G27" i="5"/>
  <c r="F31" i="5"/>
  <c r="G31" i="5"/>
  <c r="F35" i="5"/>
  <c r="G35" i="5"/>
  <c r="F39" i="5"/>
  <c r="G39" i="5"/>
  <c r="F43" i="5"/>
  <c r="G43" i="5"/>
  <c r="F47" i="5"/>
  <c r="G47" i="5"/>
  <c r="F51" i="5"/>
  <c r="G51" i="5"/>
  <c r="F55" i="5"/>
  <c r="F59" i="5"/>
  <c r="G59" i="5"/>
  <c r="F63" i="5"/>
  <c r="G63" i="5"/>
  <c r="F73" i="5"/>
  <c r="G73" i="5"/>
  <c r="F77" i="5"/>
  <c r="G77" i="5"/>
  <c r="I92" i="9"/>
  <c r="E92" i="9"/>
  <c r="K92" i="9"/>
  <c r="F92" i="9"/>
  <c r="G92" i="9"/>
  <c r="F96" i="9"/>
  <c r="G96" i="9"/>
  <c r="I96" i="9"/>
  <c r="K96" i="9"/>
  <c r="E96" i="9"/>
  <c r="I100" i="9"/>
  <c r="E100" i="9"/>
  <c r="K100" i="9"/>
  <c r="F100" i="9"/>
  <c r="G100" i="9"/>
  <c r="F104" i="9"/>
  <c r="G104" i="9"/>
  <c r="I104" i="9"/>
  <c r="E104" i="9"/>
  <c r="K104" i="9"/>
  <c r="I108" i="9"/>
  <c r="E108" i="9"/>
  <c r="K108" i="9"/>
  <c r="F108" i="9"/>
  <c r="G108" i="9"/>
  <c r="G114" i="9"/>
  <c r="I114" i="9"/>
  <c r="E114" i="9"/>
  <c r="K114" i="9"/>
  <c r="F114" i="9"/>
  <c r="E119" i="9"/>
  <c r="I119" i="9"/>
  <c r="F119" i="9"/>
  <c r="K119" i="9"/>
  <c r="G119" i="9"/>
  <c r="F123" i="9"/>
  <c r="K123" i="9"/>
  <c r="G123" i="9"/>
  <c r="I123" i="9"/>
  <c r="E123" i="9"/>
  <c r="E127" i="9"/>
  <c r="I127" i="9"/>
  <c r="F127" i="9"/>
  <c r="K127" i="9"/>
  <c r="G127" i="9"/>
  <c r="F131" i="9"/>
  <c r="K131" i="9"/>
  <c r="G131" i="9"/>
  <c r="I131" i="9"/>
  <c r="E131" i="9"/>
  <c r="E134" i="9"/>
  <c r="I134" i="9"/>
  <c r="F134" i="9"/>
  <c r="K134" i="9"/>
  <c r="G134" i="9"/>
  <c r="G138" i="9"/>
  <c r="K138" i="9"/>
  <c r="E138" i="9"/>
  <c r="F138" i="9"/>
  <c r="I138" i="9"/>
  <c r="E142" i="9"/>
  <c r="I142" i="9"/>
  <c r="F142" i="9"/>
  <c r="K142" i="9"/>
  <c r="G142" i="9"/>
  <c r="G146" i="9"/>
  <c r="I146" i="9"/>
  <c r="F146" i="9"/>
  <c r="K146" i="9"/>
  <c r="E146" i="9"/>
  <c r="F150" i="9"/>
  <c r="G150" i="9"/>
  <c r="K150" i="9"/>
  <c r="E150" i="9"/>
  <c r="I150" i="9"/>
  <c r="E154" i="9"/>
  <c r="K154" i="9"/>
  <c r="F154" i="9"/>
  <c r="G154" i="9"/>
  <c r="I154" i="9"/>
  <c r="G159" i="9"/>
  <c r="I159" i="9"/>
  <c r="E159" i="9"/>
  <c r="F159" i="9"/>
  <c r="K159" i="9"/>
  <c r="F163" i="9"/>
  <c r="G163" i="9"/>
  <c r="E163" i="9"/>
  <c r="I163" i="9"/>
  <c r="K163" i="9"/>
  <c r="E167" i="9"/>
  <c r="K167" i="9"/>
  <c r="F167" i="9"/>
  <c r="I167" i="9"/>
  <c r="G167" i="9"/>
  <c r="I171" i="9"/>
  <c r="E171" i="9"/>
  <c r="K171" i="9"/>
  <c r="F171" i="9"/>
  <c r="G171" i="9"/>
  <c r="G175" i="9"/>
  <c r="I175" i="9"/>
  <c r="F175" i="9"/>
  <c r="K175" i="9"/>
  <c r="E175" i="9"/>
  <c r="F179" i="9"/>
  <c r="G179" i="9"/>
  <c r="K179" i="9"/>
  <c r="E179" i="9"/>
  <c r="I179" i="9"/>
  <c r="E183" i="9"/>
  <c r="K183" i="9"/>
  <c r="F183" i="9"/>
  <c r="G183" i="9"/>
  <c r="I183" i="9"/>
  <c r="E187" i="9"/>
  <c r="K187" i="9"/>
  <c r="F187" i="9"/>
  <c r="I187" i="9"/>
  <c r="G187" i="9"/>
  <c r="E191" i="9"/>
  <c r="K191" i="9"/>
  <c r="F191" i="9"/>
  <c r="G191" i="9"/>
  <c r="I191" i="9"/>
  <c r="E195" i="9"/>
  <c r="K195" i="9"/>
  <c r="F195" i="9"/>
  <c r="I195" i="9"/>
  <c r="G195" i="9"/>
  <c r="E199" i="9"/>
  <c r="K199" i="9"/>
  <c r="F199" i="9"/>
  <c r="G199" i="9"/>
  <c r="I199" i="9"/>
  <c r="E203" i="9"/>
  <c r="K203" i="9"/>
  <c r="F203" i="9"/>
  <c r="I203" i="9"/>
  <c r="G203" i="9"/>
  <c r="E207" i="9"/>
  <c r="K207" i="9"/>
  <c r="F207" i="9"/>
  <c r="G207" i="9"/>
  <c r="I207" i="9"/>
  <c r="E211" i="9"/>
  <c r="K211" i="9"/>
  <c r="F211" i="9"/>
  <c r="I211" i="9"/>
  <c r="G211" i="9"/>
  <c r="E215" i="9"/>
  <c r="K215" i="9"/>
  <c r="F215" i="9"/>
  <c r="G215" i="9"/>
  <c r="I215" i="9"/>
  <c r="E219" i="9"/>
  <c r="K219" i="9"/>
  <c r="F219" i="9"/>
  <c r="I219" i="9"/>
  <c r="G219" i="9"/>
  <c r="E223" i="9"/>
  <c r="K223" i="9"/>
  <c r="F223" i="9"/>
  <c r="G223" i="9"/>
  <c r="I223" i="9"/>
  <c r="E227" i="9"/>
  <c r="K227" i="9"/>
  <c r="F227" i="9"/>
  <c r="I227" i="9"/>
  <c r="G227" i="9"/>
  <c r="E231" i="9"/>
  <c r="K231" i="9"/>
  <c r="F231" i="9"/>
  <c r="G231" i="9"/>
  <c r="I231" i="9"/>
  <c r="F235" i="9"/>
  <c r="G235" i="9"/>
  <c r="E235" i="9"/>
  <c r="I235" i="9"/>
  <c r="K235" i="9"/>
  <c r="F239" i="9"/>
  <c r="G239" i="9"/>
  <c r="I239" i="9"/>
  <c r="K239" i="9"/>
  <c r="E239" i="9"/>
  <c r="F243" i="9"/>
  <c r="G243" i="9"/>
  <c r="E243" i="9"/>
  <c r="I243" i="9"/>
  <c r="K243" i="9"/>
  <c r="F247" i="9"/>
  <c r="G247" i="9"/>
  <c r="I247" i="9"/>
  <c r="K247" i="9"/>
  <c r="E247" i="9"/>
  <c r="F251" i="9"/>
  <c r="G251" i="9"/>
  <c r="E251" i="9"/>
  <c r="I251" i="9"/>
  <c r="K251" i="9"/>
  <c r="F255" i="9"/>
  <c r="G255" i="9"/>
  <c r="I255" i="9"/>
  <c r="K255" i="9"/>
  <c r="E255" i="9"/>
  <c r="F259" i="9"/>
  <c r="G259" i="9"/>
  <c r="E259" i="9"/>
  <c r="I259" i="9"/>
  <c r="K259" i="9"/>
  <c r="F263" i="9"/>
  <c r="G263" i="9"/>
  <c r="I263" i="9"/>
  <c r="K263" i="9"/>
  <c r="E263" i="9"/>
  <c r="F267" i="9"/>
  <c r="G267" i="9"/>
  <c r="E267" i="9"/>
  <c r="I267" i="9"/>
  <c r="K267" i="9"/>
  <c r="F271" i="9"/>
  <c r="G271" i="9"/>
  <c r="I271" i="9"/>
  <c r="K271" i="9"/>
  <c r="E271" i="9"/>
  <c r="F277" i="9"/>
  <c r="G277" i="9"/>
  <c r="I277" i="9"/>
  <c r="K277" i="9"/>
  <c r="E277" i="9"/>
  <c r="F281" i="9"/>
  <c r="G281" i="9"/>
  <c r="E281" i="9"/>
  <c r="I281" i="9"/>
  <c r="K281" i="9"/>
  <c r="F285" i="9"/>
  <c r="G285" i="9"/>
  <c r="I285" i="9"/>
  <c r="K285" i="9"/>
  <c r="E285" i="9"/>
  <c r="F291" i="9"/>
  <c r="G291" i="9"/>
  <c r="I291" i="9"/>
  <c r="K291" i="9"/>
  <c r="E291" i="9"/>
  <c r="F295" i="9"/>
  <c r="G295" i="9"/>
  <c r="E295" i="9"/>
  <c r="I295" i="9"/>
  <c r="K295" i="9"/>
  <c r="F299" i="9"/>
  <c r="G299" i="9"/>
  <c r="I299" i="9"/>
  <c r="K299" i="9"/>
  <c r="E299" i="9"/>
  <c r="F303" i="9"/>
  <c r="G303" i="9"/>
  <c r="E303" i="9"/>
  <c r="I303" i="9"/>
  <c r="K303" i="9"/>
  <c r="E308" i="9"/>
  <c r="K308" i="9"/>
  <c r="F308" i="9"/>
  <c r="G308" i="9"/>
  <c r="I308" i="9"/>
  <c r="E312" i="9"/>
  <c r="K312" i="9"/>
  <c r="F312" i="9"/>
  <c r="G312" i="9"/>
  <c r="I312" i="9"/>
  <c r="E316" i="9"/>
  <c r="K316" i="9"/>
  <c r="F316" i="9"/>
  <c r="G316" i="9"/>
  <c r="I316" i="9"/>
  <c r="E320" i="9"/>
  <c r="K320" i="9"/>
  <c r="F320" i="9"/>
  <c r="G320" i="9"/>
  <c r="I320" i="9"/>
  <c r="E324" i="9"/>
  <c r="K324" i="9"/>
  <c r="F324" i="9"/>
  <c r="G324" i="9"/>
  <c r="I324" i="9"/>
  <c r="E328" i="9"/>
  <c r="K328" i="9"/>
  <c r="F328" i="9"/>
  <c r="G328" i="9"/>
  <c r="I328" i="9"/>
  <c r="E335" i="9"/>
  <c r="K335" i="9"/>
  <c r="F335" i="9"/>
  <c r="G335" i="9"/>
  <c r="I335" i="9"/>
  <c r="E339" i="9"/>
  <c r="K339" i="9"/>
  <c r="F339" i="9"/>
  <c r="G339" i="9"/>
  <c r="I339" i="9"/>
  <c r="E343" i="9"/>
  <c r="K343" i="9"/>
  <c r="F343" i="9"/>
  <c r="G343" i="9"/>
  <c r="I343" i="9"/>
  <c r="E347" i="9"/>
  <c r="K347" i="9"/>
  <c r="F347" i="9"/>
  <c r="G347" i="9"/>
  <c r="I347" i="9"/>
  <c r="E351" i="9"/>
  <c r="K351" i="9"/>
  <c r="F351" i="9"/>
  <c r="G351" i="9"/>
  <c r="I351" i="9"/>
  <c r="E355" i="9"/>
  <c r="K355" i="9"/>
  <c r="F355" i="9"/>
  <c r="G355" i="9"/>
  <c r="I355" i="9"/>
  <c r="E359" i="9"/>
  <c r="K359" i="9"/>
  <c r="F359" i="9"/>
  <c r="G359" i="9"/>
  <c r="I359" i="9"/>
  <c r="E363" i="9"/>
  <c r="K363" i="9"/>
  <c r="F363" i="9"/>
  <c r="G363" i="9"/>
  <c r="I363" i="9"/>
  <c r="E367" i="9"/>
  <c r="K367" i="9"/>
  <c r="F367" i="9"/>
  <c r="G367" i="9"/>
  <c r="I367" i="9"/>
  <c r="E371" i="9"/>
  <c r="K371" i="9"/>
  <c r="F371" i="9"/>
  <c r="G371" i="9"/>
  <c r="I371" i="9"/>
  <c r="E375" i="9"/>
  <c r="K375" i="9"/>
  <c r="F375" i="9"/>
  <c r="G375" i="9"/>
  <c r="I375" i="9"/>
  <c r="E379" i="9"/>
  <c r="K379" i="9"/>
  <c r="F379" i="9"/>
  <c r="G379" i="9"/>
  <c r="I379" i="9"/>
  <c r="E383" i="9"/>
  <c r="K383" i="9"/>
  <c r="F383" i="9"/>
  <c r="G383" i="9"/>
  <c r="I383" i="9"/>
  <c r="E387" i="9"/>
  <c r="K387" i="9"/>
  <c r="F387" i="9"/>
  <c r="G387" i="9"/>
  <c r="I387" i="9"/>
  <c r="E393" i="9"/>
  <c r="K393" i="9"/>
  <c r="F393" i="9"/>
  <c r="G393" i="9"/>
  <c r="I393" i="9"/>
  <c r="G18" i="9"/>
  <c r="I18" i="9"/>
  <c r="E18" i="9"/>
  <c r="K18" i="9"/>
  <c r="F18" i="9"/>
  <c r="E22" i="9"/>
  <c r="K22" i="9"/>
  <c r="F22" i="9"/>
  <c r="G22" i="9"/>
  <c r="I22" i="9"/>
  <c r="G26" i="9"/>
  <c r="I26" i="9"/>
  <c r="E26" i="9"/>
  <c r="K26" i="9"/>
  <c r="F26" i="9"/>
  <c r="E31" i="9"/>
  <c r="I31" i="9"/>
  <c r="F31" i="9"/>
  <c r="K31" i="9"/>
  <c r="G31" i="9"/>
  <c r="F35" i="9"/>
  <c r="K35" i="9"/>
  <c r="G35" i="9"/>
  <c r="E35" i="9"/>
  <c r="I35" i="9"/>
  <c r="E39" i="9"/>
  <c r="I39" i="9"/>
  <c r="F39" i="9"/>
  <c r="K39" i="9"/>
  <c r="G39" i="9"/>
  <c r="F43" i="9"/>
  <c r="K43" i="9"/>
  <c r="G43" i="9"/>
  <c r="E43" i="9"/>
  <c r="I43" i="9"/>
  <c r="E47" i="9"/>
  <c r="I47" i="9"/>
  <c r="F47" i="9"/>
  <c r="K47" i="9"/>
  <c r="G47" i="9"/>
  <c r="F51" i="9"/>
  <c r="K51" i="9"/>
  <c r="G51" i="9"/>
  <c r="E51" i="9"/>
  <c r="I51" i="9"/>
  <c r="E55" i="9"/>
  <c r="I55" i="9"/>
  <c r="F55" i="9"/>
  <c r="K55" i="9"/>
  <c r="G55" i="9"/>
  <c r="F59" i="9"/>
  <c r="K59" i="9"/>
  <c r="G59" i="9"/>
  <c r="I59" i="9"/>
  <c r="E59" i="9"/>
  <c r="E63" i="9"/>
  <c r="I63" i="9"/>
  <c r="F63" i="9"/>
  <c r="K63" i="9"/>
  <c r="G63" i="9"/>
  <c r="F67" i="9"/>
  <c r="K67" i="9"/>
  <c r="G67" i="9"/>
  <c r="I67" i="9"/>
  <c r="E67" i="9"/>
  <c r="F72" i="9"/>
  <c r="G72" i="9"/>
  <c r="I72" i="9"/>
  <c r="E72" i="9"/>
  <c r="K72" i="9"/>
  <c r="G77" i="9"/>
  <c r="E77" i="9"/>
  <c r="I77" i="9"/>
  <c r="F77" i="9"/>
  <c r="K77" i="9"/>
  <c r="E81" i="9"/>
  <c r="I81" i="9"/>
  <c r="F81" i="9"/>
  <c r="K81" i="9"/>
  <c r="G81" i="9"/>
  <c r="E87" i="9"/>
  <c r="I87" i="9"/>
  <c r="F87" i="9"/>
  <c r="K87" i="9"/>
  <c r="G87" i="9"/>
  <c r="G93" i="9"/>
  <c r="E93" i="9"/>
  <c r="I93" i="9"/>
  <c r="F93" i="9"/>
  <c r="K93" i="9"/>
  <c r="E97" i="9"/>
  <c r="I97" i="9"/>
  <c r="F97" i="9"/>
  <c r="K97" i="9"/>
  <c r="G97" i="9"/>
  <c r="G101" i="9"/>
  <c r="E101" i="9"/>
  <c r="I101" i="9"/>
  <c r="F101" i="9"/>
  <c r="K101" i="9"/>
  <c r="E105" i="9"/>
  <c r="I105" i="9"/>
  <c r="F105" i="9"/>
  <c r="K105" i="9"/>
  <c r="G105" i="9"/>
  <c r="G109" i="9"/>
  <c r="E109" i="9"/>
  <c r="I109" i="9"/>
  <c r="F109" i="9"/>
  <c r="K109" i="9"/>
  <c r="F115" i="9"/>
  <c r="K115" i="9"/>
  <c r="G115" i="9"/>
  <c r="E115" i="9"/>
  <c r="I115" i="9"/>
  <c r="F120" i="9"/>
  <c r="G120" i="9"/>
  <c r="I120" i="9"/>
  <c r="K120" i="9"/>
  <c r="E120" i="9"/>
  <c r="I124" i="9"/>
  <c r="E124" i="9"/>
  <c r="K124" i="9"/>
  <c r="F124" i="9"/>
  <c r="G124" i="9"/>
  <c r="F128" i="9"/>
  <c r="G128" i="9"/>
  <c r="I128" i="9"/>
  <c r="E128" i="9"/>
  <c r="K128" i="9"/>
  <c r="I132" i="9"/>
  <c r="E132" i="9"/>
  <c r="K132" i="9"/>
  <c r="F132" i="9"/>
  <c r="G132" i="9"/>
  <c r="G135" i="9"/>
  <c r="I135" i="9"/>
  <c r="E135" i="9"/>
  <c r="F135" i="9"/>
  <c r="K135" i="9"/>
  <c r="E139" i="9"/>
  <c r="K139" i="9"/>
  <c r="F139" i="9"/>
  <c r="G139" i="9"/>
  <c r="I139" i="9"/>
  <c r="G143" i="9"/>
  <c r="I143" i="9"/>
  <c r="F143" i="9"/>
  <c r="K143" i="9"/>
  <c r="E143" i="9"/>
  <c r="F147" i="9"/>
  <c r="G147" i="9"/>
  <c r="K147" i="9"/>
  <c r="E147" i="9"/>
  <c r="I147" i="9"/>
  <c r="E151" i="9"/>
  <c r="K151" i="9"/>
  <c r="F151" i="9"/>
  <c r="G151" i="9"/>
  <c r="I151" i="9"/>
  <c r="I155" i="9"/>
  <c r="E155" i="9"/>
  <c r="K155" i="9"/>
  <c r="G155" i="9"/>
  <c r="F155" i="9"/>
  <c r="F160" i="9"/>
  <c r="K160" i="9"/>
  <c r="G160" i="9"/>
  <c r="E160" i="9"/>
  <c r="I160" i="9"/>
  <c r="E164" i="9"/>
  <c r="I164" i="9"/>
  <c r="F164" i="9"/>
  <c r="K164" i="9"/>
  <c r="G164" i="9"/>
  <c r="E168" i="9"/>
  <c r="I168" i="9"/>
  <c r="F168" i="9"/>
  <c r="G168" i="9"/>
  <c r="K168" i="9"/>
  <c r="G172" i="9"/>
  <c r="F172" i="9"/>
  <c r="I172" i="9"/>
  <c r="K172" i="9"/>
  <c r="E172" i="9"/>
  <c r="F176" i="9"/>
  <c r="K176" i="9"/>
  <c r="G176" i="9"/>
  <c r="I176" i="9"/>
  <c r="E176" i="9"/>
  <c r="E180" i="9"/>
  <c r="I180" i="9"/>
  <c r="F180" i="9"/>
  <c r="K180" i="9"/>
  <c r="G180" i="9"/>
  <c r="I184" i="9"/>
  <c r="E184" i="9"/>
  <c r="K184" i="9"/>
  <c r="G184" i="9"/>
  <c r="F184" i="9"/>
  <c r="I188" i="9"/>
  <c r="E188" i="9"/>
  <c r="K188" i="9"/>
  <c r="F188" i="9"/>
  <c r="G188" i="9"/>
  <c r="I192" i="9"/>
  <c r="E192" i="9"/>
  <c r="K192" i="9"/>
  <c r="G192" i="9"/>
  <c r="F192" i="9"/>
  <c r="I196" i="9"/>
  <c r="E196" i="9"/>
  <c r="K196" i="9"/>
  <c r="F196" i="9"/>
  <c r="G196" i="9"/>
  <c r="I200" i="9"/>
  <c r="E200" i="9"/>
  <c r="K200" i="9"/>
  <c r="G200" i="9"/>
  <c r="F200" i="9"/>
  <c r="I204" i="9"/>
  <c r="E204" i="9"/>
  <c r="K204" i="9"/>
  <c r="F204" i="9"/>
  <c r="G204" i="9"/>
  <c r="I208" i="9"/>
  <c r="E208" i="9"/>
  <c r="K208" i="9"/>
  <c r="G208" i="9"/>
  <c r="F208" i="9"/>
  <c r="I212" i="9"/>
  <c r="E212" i="9"/>
  <c r="K212" i="9"/>
  <c r="F212" i="9"/>
  <c r="G212" i="9"/>
  <c r="I216" i="9"/>
  <c r="E216" i="9"/>
  <c r="K216" i="9"/>
  <c r="G216" i="9"/>
  <c r="F216" i="9"/>
  <c r="I220" i="9"/>
  <c r="E220" i="9"/>
  <c r="K220" i="9"/>
  <c r="F220" i="9"/>
  <c r="G220" i="9"/>
  <c r="I224" i="9"/>
  <c r="E224" i="9"/>
  <c r="K224" i="9"/>
  <c r="G224" i="9"/>
  <c r="F224" i="9"/>
  <c r="I228" i="9"/>
  <c r="E228" i="9"/>
  <c r="K228" i="9"/>
  <c r="F228" i="9"/>
  <c r="G228" i="9"/>
  <c r="I232" i="9"/>
  <c r="E232" i="9"/>
  <c r="K232" i="9"/>
  <c r="G232" i="9"/>
  <c r="F232" i="9"/>
  <c r="E236" i="9"/>
  <c r="K236" i="9"/>
  <c r="F236" i="9"/>
  <c r="G236" i="9"/>
  <c r="I236" i="9"/>
  <c r="E240" i="9"/>
  <c r="K240" i="9"/>
  <c r="F240" i="9"/>
  <c r="G240" i="9"/>
  <c r="I240" i="9"/>
  <c r="E244" i="9"/>
  <c r="K244" i="9"/>
  <c r="F244" i="9"/>
  <c r="G244" i="9"/>
  <c r="I244" i="9"/>
  <c r="E248" i="9"/>
  <c r="K248" i="9"/>
  <c r="F248" i="9"/>
  <c r="G248" i="9"/>
  <c r="I248" i="9"/>
  <c r="E252" i="9"/>
  <c r="K252" i="9"/>
  <c r="F252" i="9"/>
  <c r="G252" i="9"/>
  <c r="I252" i="9"/>
  <c r="E256" i="9"/>
  <c r="K256" i="9"/>
  <c r="F256" i="9"/>
  <c r="G256" i="9"/>
  <c r="I256" i="9"/>
  <c r="E260" i="9"/>
  <c r="K260" i="9"/>
  <c r="F260" i="9"/>
  <c r="G260" i="9"/>
  <c r="I260" i="9"/>
  <c r="E264" i="9"/>
  <c r="K264" i="9"/>
  <c r="F264" i="9"/>
  <c r="G264" i="9"/>
  <c r="I264" i="9"/>
  <c r="E268" i="9"/>
  <c r="K268" i="9"/>
  <c r="F268" i="9"/>
  <c r="G268" i="9"/>
  <c r="I268" i="9"/>
  <c r="E272" i="9"/>
  <c r="K272" i="9"/>
  <c r="F272" i="9"/>
  <c r="G272" i="9"/>
  <c r="I272" i="9"/>
  <c r="E275" i="9"/>
  <c r="K275" i="9"/>
  <c r="F275" i="9"/>
  <c r="G275" i="9"/>
  <c r="I275" i="9"/>
  <c r="E278" i="9"/>
  <c r="K278" i="9"/>
  <c r="F278" i="9"/>
  <c r="G278" i="9"/>
  <c r="I278" i="9"/>
  <c r="E282" i="9"/>
  <c r="K282" i="9"/>
  <c r="F282" i="9"/>
  <c r="G282" i="9"/>
  <c r="I282" i="9"/>
  <c r="E286" i="9"/>
  <c r="K286" i="9"/>
  <c r="F286" i="9"/>
  <c r="G286" i="9"/>
  <c r="I286" i="9"/>
  <c r="E292" i="9"/>
  <c r="K292" i="9"/>
  <c r="F292" i="9"/>
  <c r="G292" i="9"/>
  <c r="I292" i="9"/>
  <c r="E296" i="9"/>
  <c r="K296" i="9"/>
  <c r="F296" i="9"/>
  <c r="G296" i="9"/>
  <c r="I296" i="9"/>
  <c r="E300" i="9"/>
  <c r="K300" i="9"/>
  <c r="F300" i="9"/>
  <c r="G300" i="9"/>
  <c r="I300" i="9"/>
  <c r="E304" i="9"/>
  <c r="K304" i="9"/>
  <c r="F304" i="9"/>
  <c r="G304" i="9"/>
  <c r="I304" i="9"/>
  <c r="I309" i="9"/>
  <c r="E309" i="9"/>
  <c r="K309" i="9"/>
  <c r="F309" i="9"/>
  <c r="G309" i="9"/>
  <c r="I313" i="9"/>
  <c r="E313" i="9"/>
  <c r="K313" i="9"/>
  <c r="F313" i="9"/>
  <c r="G313" i="9"/>
  <c r="I317" i="9"/>
  <c r="E317" i="9"/>
  <c r="K317" i="9"/>
  <c r="F317" i="9"/>
  <c r="G317" i="9"/>
  <c r="I321" i="9"/>
  <c r="E321" i="9"/>
  <c r="K321" i="9"/>
  <c r="F321" i="9"/>
  <c r="G321" i="9"/>
  <c r="I325" i="9"/>
  <c r="E325" i="9"/>
  <c r="K325" i="9"/>
  <c r="F325" i="9"/>
  <c r="G325" i="9"/>
  <c r="I329" i="9"/>
  <c r="E329" i="9"/>
  <c r="K329" i="9"/>
  <c r="F329" i="9"/>
  <c r="G329" i="9"/>
  <c r="I332" i="9"/>
  <c r="E332" i="9"/>
  <c r="K332" i="9"/>
  <c r="F332" i="9"/>
  <c r="G332" i="9"/>
  <c r="I336" i="9"/>
  <c r="E336" i="9"/>
  <c r="K336" i="9"/>
  <c r="F336" i="9"/>
  <c r="G336" i="9"/>
  <c r="I340" i="9"/>
  <c r="E340" i="9"/>
  <c r="K340" i="9"/>
  <c r="F340" i="9"/>
  <c r="G340" i="9"/>
  <c r="I344" i="9"/>
  <c r="E344" i="9"/>
  <c r="K344" i="9"/>
  <c r="F344" i="9"/>
  <c r="G344" i="9"/>
  <c r="I348" i="9"/>
  <c r="E348" i="9"/>
  <c r="K348" i="9"/>
  <c r="F348" i="9"/>
  <c r="G348" i="9"/>
  <c r="I352" i="9"/>
  <c r="E352" i="9"/>
  <c r="K352" i="9"/>
  <c r="F352" i="9"/>
  <c r="G352" i="9"/>
  <c r="I356" i="9"/>
  <c r="E356" i="9"/>
  <c r="K356" i="9"/>
  <c r="F356" i="9"/>
  <c r="G356" i="9"/>
  <c r="I360" i="9"/>
  <c r="E360" i="9"/>
  <c r="K360" i="9"/>
  <c r="F360" i="9"/>
  <c r="G360" i="9"/>
  <c r="I364" i="9"/>
  <c r="E364" i="9"/>
  <c r="K364" i="9"/>
  <c r="F364" i="9"/>
  <c r="G364" i="9"/>
  <c r="F226" i="5"/>
  <c r="I92" i="8"/>
  <c r="E92" i="8"/>
  <c r="K92" i="8"/>
  <c r="G92" i="8"/>
  <c r="F92" i="8"/>
  <c r="AD116" i="36"/>
  <c r="AV115" i="4"/>
  <c r="AZ115" i="4" s="1"/>
  <c r="AD370" i="36"/>
  <c r="AV369" i="4"/>
  <c r="AZ369" i="4" s="1"/>
  <c r="AD255" i="36"/>
  <c r="AV254" i="4"/>
  <c r="AZ254" i="4" s="1"/>
  <c r="AD268" i="36"/>
  <c r="AV267" i="4"/>
  <c r="AZ267" i="4" s="1"/>
  <c r="AD221" i="36"/>
  <c r="AV220" i="4"/>
  <c r="AZ220" i="4" s="1"/>
  <c r="G13" i="9"/>
  <c r="E13" i="9"/>
  <c r="I13" i="9"/>
  <c r="F13" i="9"/>
  <c r="K13" i="9"/>
  <c r="F32" i="9"/>
  <c r="G32" i="9"/>
  <c r="I32" i="9"/>
  <c r="K32" i="9"/>
  <c r="E32" i="9"/>
  <c r="F48" i="9"/>
  <c r="G48" i="9"/>
  <c r="I48" i="9"/>
  <c r="E48" i="9"/>
  <c r="K48" i="9"/>
  <c r="F64" i="9"/>
  <c r="G64" i="9"/>
  <c r="I64" i="9"/>
  <c r="E64" i="9"/>
  <c r="K64" i="9"/>
  <c r="G82" i="9"/>
  <c r="I82" i="9"/>
  <c r="E82" i="9"/>
  <c r="K82" i="9"/>
  <c r="F82" i="9"/>
  <c r="F118" i="5"/>
  <c r="G118" i="5"/>
  <c r="F137" i="5"/>
  <c r="G137" i="5"/>
  <c r="F153" i="5"/>
  <c r="G153" i="5"/>
  <c r="F234" i="5"/>
  <c r="G234" i="5"/>
  <c r="F242" i="5"/>
  <c r="G242" i="5"/>
  <c r="F258" i="5"/>
  <c r="G258" i="5"/>
  <c r="F270" i="5"/>
  <c r="G270" i="5"/>
  <c r="F280" i="5"/>
  <c r="F290" i="5"/>
  <c r="G290" i="5"/>
  <c r="F302" i="5"/>
  <c r="F10" i="5"/>
  <c r="G10" i="5"/>
  <c r="F20" i="5"/>
  <c r="G20" i="5"/>
  <c r="F70" i="5"/>
  <c r="G70" i="5"/>
  <c r="F91" i="5"/>
  <c r="G91" i="5"/>
  <c r="F103" i="5"/>
  <c r="G103" i="5"/>
  <c r="F158" i="5"/>
  <c r="G158" i="5"/>
  <c r="F166" i="5"/>
  <c r="G166" i="5"/>
  <c r="F178" i="5"/>
  <c r="G178" i="5"/>
  <c r="F190" i="5"/>
  <c r="G190" i="5"/>
  <c r="F202" i="5"/>
  <c r="G202" i="5"/>
  <c r="F214" i="5"/>
  <c r="G214" i="5"/>
  <c r="E229" i="8"/>
  <c r="K229" i="8"/>
  <c r="F229" i="8"/>
  <c r="G229" i="8"/>
  <c r="I229" i="8"/>
  <c r="E241" i="8"/>
  <c r="K241" i="8"/>
  <c r="F241" i="8"/>
  <c r="G241" i="8"/>
  <c r="I241" i="8"/>
  <c r="E253" i="8"/>
  <c r="K253" i="8"/>
  <c r="F253" i="8"/>
  <c r="G253" i="8"/>
  <c r="I253" i="8"/>
  <c r="E265" i="8"/>
  <c r="K265" i="8"/>
  <c r="F265" i="8"/>
  <c r="G265" i="8"/>
  <c r="I265" i="8"/>
  <c r="E287" i="8"/>
  <c r="K287" i="8"/>
  <c r="F287" i="8"/>
  <c r="G287" i="8"/>
  <c r="I287" i="8"/>
  <c r="E297" i="8"/>
  <c r="K297" i="8"/>
  <c r="F297" i="8"/>
  <c r="G297" i="8"/>
  <c r="I297" i="8"/>
  <c r="I310" i="8"/>
  <c r="E310" i="8"/>
  <c r="K310" i="8"/>
  <c r="F310" i="8"/>
  <c r="G310" i="8"/>
  <c r="I322" i="8"/>
  <c r="E322" i="8"/>
  <c r="K322" i="8"/>
  <c r="F322" i="8"/>
  <c r="G322" i="8"/>
  <c r="I333" i="8"/>
  <c r="E333" i="8"/>
  <c r="K333" i="8"/>
  <c r="F333" i="8"/>
  <c r="G333" i="8"/>
  <c r="F13" i="8"/>
  <c r="K13" i="8"/>
  <c r="G13" i="8"/>
  <c r="I13" i="8"/>
  <c r="E13" i="8"/>
  <c r="E19" i="8"/>
  <c r="I19" i="8"/>
  <c r="F19" i="8"/>
  <c r="K19" i="8"/>
  <c r="G19" i="8"/>
  <c r="G23" i="8"/>
  <c r="E23" i="8"/>
  <c r="I23" i="8"/>
  <c r="F23" i="8"/>
  <c r="K23" i="8"/>
  <c r="E27" i="8"/>
  <c r="I27" i="8"/>
  <c r="F27" i="8"/>
  <c r="K27" i="8"/>
  <c r="G27" i="8"/>
  <c r="E32" i="8"/>
  <c r="K32" i="8"/>
  <c r="F32" i="8"/>
  <c r="G32" i="8"/>
  <c r="I32" i="8"/>
  <c r="G36" i="8"/>
  <c r="I36" i="8"/>
  <c r="E36" i="8"/>
  <c r="K36" i="8"/>
  <c r="F36" i="8"/>
  <c r="E40" i="8"/>
  <c r="K40" i="8"/>
  <c r="F40" i="8"/>
  <c r="G40" i="8"/>
  <c r="I40" i="8"/>
  <c r="G44" i="8"/>
  <c r="I44" i="8"/>
  <c r="E44" i="8"/>
  <c r="K44" i="8"/>
  <c r="F44" i="8"/>
  <c r="E48" i="8"/>
  <c r="K48" i="8"/>
  <c r="F48" i="8"/>
  <c r="G48" i="8"/>
  <c r="I48" i="8"/>
  <c r="I52" i="8"/>
  <c r="E52" i="8"/>
  <c r="K52" i="8"/>
  <c r="F52" i="8"/>
  <c r="G52" i="8"/>
  <c r="F56" i="8"/>
  <c r="G56" i="8"/>
  <c r="E56" i="8"/>
  <c r="I56" i="8"/>
  <c r="K56" i="8"/>
  <c r="I60" i="8"/>
  <c r="E60" i="8"/>
  <c r="K60" i="8"/>
  <c r="G60" i="8"/>
  <c r="F60" i="8"/>
  <c r="F64" i="8"/>
  <c r="G64" i="8"/>
  <c r="K64" i="8"/>
  <c r="E64" i="8"/>
  <c r="I64" i="8"/>
  <c r="I68" i="8"/>
  <c r="E68" i="8"/>
  <c r="K68" i="8"/>
  <c r="F68" i="8"/>
  <c r="G68" i="8"/>
  <c r="E73" i="8"/>
  <c r="I73" i="8"/>
  <c r="F73" i="8"/>
  <c r="K73" i="8"/>
  <c r="G73" i="8"/>
  <c r="E78" i="8"/>
  <c r="K78" i="8"/>
  <c r="F78" i="8"/>
  <c r="G78" i="8"/>
  <c r="I78" i="8"/>
  <c r="G82" i="8"/>
  <c r="I82" i="8"/>
  <c r="F82" i="8"/>
  <c r="K82" i="8"/>
  <c r="E82" i="8"/>
  <c r="F88" i="9"/>
  <c r="G88" i="9"/>
  <c r="I88" i="9"/>
  <c r="K88" i="9"/>
  <c r="E88" i="9"/>
  <c r="E94" i="9"/>
  <c r="K94" i="9"/>
  <c r="F94" i="9"/>
  <c r="G94" i="9"/>
  <c r="I94" i="9"/>
  <c r="G98" i="9"/>
  <c r="I98" i="9"/>
  <c r="E98" i="9"/>
  <c r="K98" i="9"/>
  <c r="F98" i="9"/>
  <c r="E102" i="9"/>
  <c r="K102" i="9"/>
  <c r="F102" i="9"/>
  <c r="G102" i="9"/>
  <c r="I102" i="9"/>
  <c r="G106" i="9"/>
  <c r="I106" i="9"/>
  <c r="E106" i="9"/>
  <c r="K106" i="9"/>
  <c r="F106" i="9"/>
  <c r="F112" i="9"/>
  <c r="G112" i="9"/>
  <c r="I112" i="9"/>
  <c r="E112" i="9"/>
  <c r="K112" i="9"/>
  <c r="I116" i="9"/>
  <c r="E116" i="9"/>
  <c r="K116" i="9"/>
  <c r="F116" i="9"/>
  <c r="G116" i="9"/>
  <c r="E121" i="9"/>
  <c r="I121" i="9"/>
  <c r="F121" i="9"/>
  <c r="K121" i="9"/>
  <c r="G121" i="9"/>
  <c r="G125" i="9"/>
  <c r="E125" i="9"/>
  <c r="I125" i="9"/>
  <c r="K125" i="9"/>
  <c r="F125" i="9"/>
  <c r="E129" i="9"/>
  <c r="I129" i="9"/>
  <c r="F129" i="9"/>
  <c r="K129" i="9"/>
  <c r="G129" i="9"/>
  <c r="F136" i="9"/>
  <c r="K136" i="9"/>
  <c r="G136" i="9"/>
  <c r="E136" i="9"/>
  <c r="I136" i="9"/>
  <c r="E140" i="9"/>
  <c r="I140" i="9"/>
  <c r="G140" i="9"/>
  <c r="K140" i="9"/>
  <c r="F140" i="9"/>
  <c r="F144" i="9"/>
  <c r="K144" i="9"/>
  <c r="G144" i="9"/>
  <c r="I144" i="9"/>
  <c r="E144" i="9"/>
  <c r="E148" i="9"/>
  <c r="I148" i="9"/>
  <c r="F148" i="9"/>
  <c r="K148" i="9"/>
  <c r="G148" i="9"/>
  <c r="E152" i="9"/>
  <c r="I152" i="9"/>
  <c r="G152" i="9"/>
  <c r="K152" i="9"/>
  <c r="F152" i="9"/>
  <c r="G156" i="9"/>
  <c r="K156" i="9"/>
  <c r="E156" i="9"/>
  <c r="F156" i="9"/>
  <c r="I156" i="9"/>
  <c r="I161" i="9"/>
  <c r="E161" i="9"/>
  <c r="K161" i="9"/>
  <c r="G161" i="9"/>
  <c r="F161" i="9"/>
  <c r="G165" i="9"/>
  <c r="I165" i="9"/>
  <c r="E165" i="9"/>
  <c r="F165" i="9"/>
  <c r="K165" i="9"/>
  <c r="F169" i="9"/>
  <c r="G169" i="9"/>
  <c r="E169" i="9"/>
  <c r="I169" i="9"/>
  <c r="K169" i="9"/>
  <c r="E173" i="9"/>
  <c r="K173" i="9"/>
  <c r="F173" i="9"/>
  <c r="I173" i="9"/>
  <c r="G173" i="9"/>
  <c r="I177" i="9"/>
  <c r="E177" i="9"/>
  <c r="K177" i="9"/>
  <c r="F177" i="9"/>
  <c r="G177" i="9"/>
  <c r="G181" i="9"/>
  <c r="I181" i="9"/>
  <c r="F181" i="9"/>
  <c r="K181" i="9"/>
  <c r="E181" i="9"/>
  <c r="G185" i="9"/>
  <c r="I185" i="9"/>
  <c r="E185" i="9"/>
  <c r="F185" i="9"/>
  <c r="K185" i="9"/>
  <c r="G189" i="9"/>
  <c r="I189" i="9"/>
  <c r="F189" i="9"/>
  <c r="K189" i="9"/>
  <c r="E189" i="9"/>
  <c r="G193" i="9"/>
  <c r="I193" i="9"/>
  <c r="E193" i="9"/>
  <c r="F193" i="9"/>
  <c r="K193" i="9"/>
  <c r="G197" i="9"/>
  <c r="I197" i="9"/>
  <c r="F197" i="9"/>
  <c r="K197" i="9"/>
  <c r="E197" i="9"/>
  <c r="G201" i="9"/>
  <c r="I201" i="9"/>
  <c r="E201" i="9"/>
  <c r="F201" i="9"/>
  <c r="K201" i="9"/>
  <c r="G205" i="9"/>
  <c r="I205" i="9"/>
  <c r="F205" i="9"/>
  <c r="K205" i="9"/>
  <c r="E205" i="9"/>
  <c r="G209" i="9"/>
  <c r="I209" i="9"/>
  <c r="E209" i="9"/>
  <c r="F209" i="9"/>
  <c r="K209" i="9"/>
  <c r="G213" i="9"/>
  <c r="I213" i="9"/>
  <c r="F213" i="9"/>
  <c r="K213" i="9"/>
  <c r="E213" i="9"/>
  <c r="G217" i="9"/>
  <c r="I217" i="9"/>
  <c r="E217" i="9"/>
  <c r="F217" i="9"/>
  <c r="K217" i="9"/>
  <c r="G221" i="9"/>
  <c r="I221" i="9"/>
  <c r="F221" i="9"/>
  <c r="K221" i="9"/>
  <c r="E221" i="9"/>
  <c r="G225" i="9"/>
  <c r="I225" i="9"/>
  <c r="E225" i="9"/>
  <c r="F225" i="9"/>
  <c r="K225" i="9"/>
  <c r="F307" i="5"/>
  <c r="G307" i="5"/>
  <c r="F311" i="5"/>
  <c r="G311" i="5"/>
  <c r="F315" i="5"/>
  <c r="G315" i="5"/>
  <c r="F319" i="5"/>
  <c r="G319" i="5"/>
  <c r="F323" i="5"/>
  <c r="F327" i="5"/>
  <c r="G327" i="5"/>
  <c r="F330" i="5"/>
  <c r="G330" i="5"/>
  <c r="F334" i="5"/>
  <c r="F338" i="5"/>
  <c r="F342" i="5"/>
  <c r="G342" i="5"/>
  <c r="F350" i="5"/>
  <c r="G350" i="5"/>
  <c r="F354" i="5"/>
  <c r="G354" i="5"/>
  <c r="F358" i="5"/>
  <c r="G358" i="5"/>
  <c r="F362" i="5"/>
  <c r="G362" i="5"/>
  <c r="F366" i="5"/>
  <c r="G366" i="5"/>
  <c r="F370" i="5"/>
  <c r="F374" i="5"/>
  <c r="F378" i="5"/>
  <c r="G378" i="5"/>
  <c r="F382" i="5"/>
  <c r="F388" i="5"/>
  <c r="G401" i="5"/>
  <c r="G430" i="5"/>
  <c r="G426" i="5"/>
  <c r="G422" i="5"/>
  <c r="G406" i="5"/>
  <c r="G83" i="5"/>
  <c r="G367" i="5"/>
  <c r="G107" i="5"/>
  <c r="G115" i="5"/>
  <c r="G71" i="5"/>
  <c r="G87" i="5"/>
  <c r="G108" i="5"/>
  <c r="G25" i="5"/>
  <c r="G154" i="5"/>
  <c r="G80" i="5"/>
  <c r="G14" i="5"/>
  <c r="G86" i="5"/>
  <c r="I14" i="8"/>
  <c r="E14" i="8"/>
  <c r="K14" i="8"/>
  <c r="F14" i="8"/>
  <c r="G14" i="8"/>
  <c r="G20" i="8"/>
  <c r="I20" i="8"/>
  <c r="E20" i="8"/>
  <c r="K20" i="8"/>
  <c r="F20" i="8"/>
  <c r="E24" i="8"/>
  <c r="K24" i="8"/>
  <c r="F24" i="8"/>
  <c r="G24" i="8"/>
  <c r="I24" i="8"/>
  <c r="F29" i="8"/>
  <c r="K29" i="8"/>
  <c r="G29" i="8"/>
  <c r="E29" i="8"/>
  <c r="I29" i="8"/>
  <c r="E33" i="8"/>
  <c r="I33" i="8"/>
  <c r="F33" i="8"/>
  <c r="K33" i="8"/>
  <c r="G33" i="8"/>
  <c r="F37" i="8"/>
  <c r="K37" i="8"/>
  <c r="G37" i="8"/>
  <c r="E37" i="8"/>
  <c r="I37" i="8"/>
  <c r="E41" i="8"/>
  <c r="I41" i="8"/>
  <c r="F41" i="8"/>
  <c r="K41" i="8"/>
  <c r="G41" i="8"/>
  <c r="F45" i="8"/>
  <c r="K45" i="8"/>
  <c r="G45" i="8"/>
  <c r="I45" i="8"/>
  <c r="E45" i="8"/>
  <c r="E49" i="8"/>
  <c r="I49" i="8"/>
  <c r="F49" i="8"/>
  <c r="K49" i="8"/>
  <c r="G49" i="8"/>
  <c r="G53" i="8"/>
  <c r="F53" i="8"/>
  <c r="I53" i="8"/>
  <c r="K53" i="8"/>
  <c r="E53" i="8"/>
  <c r="E57" i="8"/>
  <c r="I57" i="8"/>
  <c r="F57" i="8"/>
  <c r="K57" i="8"/>
  <c r="G57" i="8"/>
  <c r="G61" i="8"/>
  <c r="K61" i="8"/>
  <c r="E61" i="8"/>
  <c r="F61" i="8"/>
  <c r="I61" i="8"/>
  <c r="E65" i="8"/>
  <c r="I65" i="8"/>
  <c r="F65" i="8"/>
  <c r="K65" i="8"/>
  <c r="G65" i="8"/>
  <c r="G69" i="8"/>
  <c r="F69" i="8"/>
  <c r="I69" i="8"/>
  <c r="K69" i="8"/>
  <c r="E69" i="8"/>
  <c r="F75" i="8"/>
  <c r="K75" i="8"/>
  <c r="G75" i="8"/>
  <c r="E75" i="8"/>
  <c r="I75" i="8"/>
  <c r="E79" i="8"/>
  <c r="I79" i="8"/>
  <c r="G79" i="8"/>
  <c r="K79" i="8"/>
  <c r="F79" i="8"/>
  <c r="I84" i="8"/>
  <c r="E84" i="8"/>
  <c r="K84" i="8"/>
  <c r="F84" i="8"/>
  <c r="G84" i="8"/>
  <c r="F91" i="8"/>
  <c r="K91" i="8"/>
  <c r="G91" i="8"/>
  <c r="E91" i="8"/>
  <c r="I91" i="8"/>
  <c r="E95" i="8"/>
  <c r="I95" i="8"/>
  <c r="G95" i="8"/>
  <c r="K95" i="8"/>
  <c r="F95" i="8"/>
  <c r="F99" i="8"/>
  <c r="K99" i="8"/>
  <c r="G99" i="8"/>
  <c r="I99" i="8"/>
  <c r="E99" i="8"/>
  <c r="E103" i="8"/>
  <c r="I103" i="8"/>
  <c r="F103" i="8"/>
  <c r="G103" i="8"/>
  <c r="K103" i="8"/>
  <c r="F107" i="8"/>
  <c r="K107" i="8"/>
  <c r="G107" i="8"/>
  <c r="E107" i="8"/>
  <c r="I107" i="8"/>
  <c r="E113" i="8"/>
  <c r="I113" i="8"/>
  <c r="F113" i="8"/>
  <c r="K113" i="8"/>
  <c r="G113" i="8"/>
  <c r="F117" i="8"/>
  <c r="K117" i="8"/>
  <c r="G117" i="8"/>
  <c r="E117" i="8"/>
  <c r="I117" i="8"/>
  <c r="F122" i="8"/>
  <c r="G122" i="8"/>
  <c r="I122" i="8"/>
  <c r="K122" i="8"/>
  <c r="E122" i="8"/>
  <c r="I126" i="8"/>
  <c r="E126" i="8"/>
  <c r="K126" i="8"/>
  <c r="F126" i="8"/>
  <c r="G126" i="8"/>
  <c r="F130" i="8"/>
  <c r="G130" i="8"/>
  <c r="I130" i="8"/>
  <c r="E130" i="8"/>
  <c r="K130" i="8"/>
  <c r="I133" i="8"/>
  <c r="E133" i="8"/>
  <c r="K133" i="8"/>
  <c r="F133" i="8"/>
  <c r="G133" i="8"/>
  <c r="F137" i="8"/>
  <c r="G137" i="8"/>
  <c r="I137" i="8"/>
  <c r="E137" i="8"/>
  <c r="K137" i="8"/>
  <c r="I141" i="8"/>
  <c r="E141" i="8"/>
  <c r="K141" i="8"/>
  <c r="F141" i="8"/>
  <c r="G141" i="8"/>
  <c r="F145" i="8"/>
  <c r="G145" i="8"/>
  <c r="I145" i="8"/>
  <c r="E145" i="8"/>
  <c r="K145" i="8"/>
  <c r="I149" i="8"/>
  <c r="E149" i="8"/>
  <c r="K149" i="8"/>
  <c r="F149" i="8"/>
  <c r="G149" i="8"/>
  <c r="F153" i="8"/>
  <c r="G153" i="8"/>
  <c r="I153" i="8"/>
  <c r="K153" i="8"/>
  <c r="E153" i="8"/>
  <c r="G158" i="8"/>
  <c r="I158" i="8"/>
  <c r="E158" i="8"/>
  <c r="K158" i="8"/>
  <c r="F158" i="8"/>
  <c r="G162" i="8"/>
  <c r="I162" i="8"/>
  <c r="E162" i="8"/>
  <c r="K162" i="8"/>
  <c r="F162" i="8"/>
  <c r="F166" i="8"/>
  <c r="G166" i="8"/>
  <c r="I166" i="8"/>
  <c r="E166" i="8"/>
  <c r="K166" i="8"/>
  <c r="F170" i="8"/>
  <c r="G170" i="8"/>
  <c r="I170" i="8"/>
  <c r="E170" i="8"/>
  <c r="K170" i="8"/>
  <c r="E174" i="8"/>
  <c r="K174" i="8"/>
  <c r="F174" i="8"/>
  <c r="G174" i="8"/>
  <c r="I174" i="8"/>
  <c r="E178" i="8"/>
  <c r="K178" i="8"/>
  <c r="F178" i="8"/>
  <c r="G178" i="8"/>
  <c r="I178" i="8"/>
  <c r="I182" i="8"/>
  <c r="E182" i="8"/>
  <c r="K182" i="8"/>
  <c r="F182" i="8"/>
  <c r="G182" i="8"/>
  <c r="I186" i="8"/>
  <c r="E186" i="8"/>
  <c r="K186" i="8"/>
  <c r="F186" i="8"/>
  <c r="G186" i="8"/>
  <c r="I190" i="8"/>
  <c r="E190" i="8"/>
  <c r="K190" i="8"/>
  <c r="F190" i="8"/>
  <c r="G190" i="8"/>
  <c r="I194" i="8"/>
  <c r="E194" i="8"/>
  <c r="K194" i="8"/>
  <c r="F194" i="8"/>
  <c r="G194" i="8"/>
  <c r="I198" i="8"/>
  <c r="E198" i="8"/>
  <c r="K198" i="8"/>
  <c r="F198" i="8"/>
  <c r="G198" i="8"/>
  <c r="I202" i="8"/>
  <c r="E202" i="8"/>
  <c r="K202" i="8"/>
  <c r="F202" i="8"/>
  <c r="G202" i="8"/>
  <c r="I206" i="8"/>
  <c r="E206" i="8"/>
  <c r="K206" i="8"/>
  <c r="F206" i="8"/>
  <c r="G206" i="8"/>
  <c r="I210" i="8"/>
  <c r="E210" i="8"/>
  <c r="K210" i="8"/>
  <c r="F210" i="8"/>
  <c r="G210" i="8"/>
  <c r="I214" i="8"/>
  <c r="E214" i="8"/>
  <c r="K214" i="8"/>
  <c r="F214" i="8"/>
  <c r="G214" i="8"/>
  <c r="I218" i="8"/>
  <c r="E218" i="8"/>
  <c r="K218" i="8"/>
  <c r="F218" i="8"/>
  <c r="G218" i="8"/>
  <c r="I222" i="8"/>
  <c r="E222" i="8"/>
  <c r="K222" i="8"/>
  <c r="F222" i="8"/>
  <c r="G222" i="8"/>
  <c r="I226" i="8"/>
  <c r="E226" i="8"/>
  <c r="K226" i="8"/>
  <c r="F226" i="8"/>
  <c r="G226" i="8"/>
  <c r="I230" i="8"/>
  <c r="E230" i="8"/>
  <c r="K230" i="8"/>
  <c r="F230" i="8"/>
  <c r="G230" i="8"/>
  <c r="I234" i="8"/>
  <c r="E234" i="8"/>
  <c r="K234" i="8"/>
  <c r="F234" i="8"/>
  <c r="G234" i="8"/>
  <c r="I238" i="8"/>
  <c r="E238" i="8"/>
  <c r="K238" i="8"/>
  <c r="F238" i="8"/>
  <c r="G238" i="8"/>
  <c r="I242" i="8"/>
  <c r="E242" i="8"/>
  <c r="K242" i="8"/>
  <c r="F242" i="8"/>
  <c r="G242" i="8"/>
  <c r="I246" i="8"/>
  <c r="E246" i="8"/>
  <c r="K246" i="8"/>
  <c r="F246" i="8"/>
  <c r="G246" i="8"/>
  <c r="I250" i="8"/>
  <c r="E250" i="8"/>
  <c r="K250" i="8"/>
  <c r="F250" i="8"/>
  <c r="G250" i="8"/>
  <c r="I254" i="8"/>
  <c r="E254" i="8"/>
  <c r="K254" i="8"/>
  <c r="F254" i="8"/>
  <c r="G254" i="8"/>
  <c r="I258" i="8"/>
  <c r="E258" i="8"/>
  <c r="K258" i="8"/>
  <c r="F258" i="8"/>
  <c r="G258" i="8"/>
  <c r="I262" i="8"/>
  <c r="E262" i="8"/>
  <c r="K262" i="8"/>
  <c r="F262" i="8"/>
  <c r="G262" i="8"/>
  <c r="I266" i="8"/>
  <c r="E266" i="8"/>
  <c r="K266" i="8"/>
  <c r="F266" i="8"/>
  <c r="G266" i="8"/>
  <c r="I270" i="8"/>
  <c r="E270" i="8"/>
  <c r="K270" i="8"/>
  <c r="F270" i="8"/>
  <c r="G270" i="8"/>
  <c r="I274" i="8"/>
  <c r="E274" i="8"/>
  <c r="K274" i="8"/>
  <c r="F274" i="8"/>
  <c r="G274" i="8"/>
  <c r="I276" i="8"/>
  <c r="E276" i="8"/>
  <c r="K276" i="8"/>
  <c r="F276" i="8"/>
  <c r="G276" i="8"/>
  <c r="I280" i="8"/>
  <c r="E280" i="8"/>
  <c r="K280" i="8"/>
  <c r="F280" i="8"/>
  <c r="G280" i="8"/>
  <c r="I284" i="8"/>
  <c r="E284" i="8"/>
  <c r="K284" i="8"/>
  <c r="F284" i="8"/>
  <c r="G284" i="8"/>
  <c r="I288" i="8"/>
  <c r="E288" i="8"/>
  <c r="K288" i="8"/>
  <c r="F288" i="8"/>
  <c r="G288" i="8"/>
  <c r="I290" i="8"/>
  <c r="E290" i="8"/>
  <c r="K290" i="8"/>
  <c r="F290" i="8"/>
  <c r="G290" i="8"/>
  <c r="I294" i="8"/>
  <c r="E294" i="8"/>
  <c r="K294" i="8"/>
  <c r="F294" i="8"/>
  <c r="G294" i="8"/>
  <c r="I298" i="8"/>
  <c r="E298" i="8"/>
  <c r="K298" i="8"/>
  <c r="F298" i="8"/>
  <c r="G298" i="8"/>
  <c r="I302" i="8"/>
  <c r="E302" i="8"/>
  <c r="K302" i="8"/>
  <c r="F302" i="8"/>
  <c r="G302" i="8"/>
  <c r="I306" i="8"/>
  <c r="E306" i="8"/>
  <c r="K306" i="8"/>
  <c r="F306" i="8"/>
  <c r="G306" i="8"/>
  <c r="G311" i="8"/>
  <c r="I311" i="8"/>
  <c r="E311" i="8"/>
  <c r="K311" i="8"/>
  <c r="F311" i="8"/>
  <c r="G315" i="8"/>
  <c r="I315" i="8"/>
  <c r="E315" i="8"/>
  <c r="K315" i="8"/>
  <c r="F315" i="8"/>
  <c r="G319" i="8"/>
  <c r="I319" i="8"/>
  <c r="E319" i="8"/>
  <c r="K319" i="8"/>
  <c r="F319" i="8"/>
  <c r="G323" i="8"/>
  <c r="I323" i="8"/>
  <c r="E323" i="8"/>
  <c r="K323" i="8"/>
  <c r="F323" i="8"/>
  <c r="G327" i="8"/>
  <c r="I327" i="8"/>
  <c r="E327" i="8"/>
  <c r="K327" i="8"/>
  <c r="F327" i="8"/>
  <c r="G331" i="8"/>
  <c r="I331" i="8"/>
  <c r="E331" i="8"/>
  <c r="K331" i="8"/>
  <c r="F331" i="8"/>
  <c r="G334" i="8"/>
  <c r="I334" i="8"/>
  <c r="E334" i="8"/>
  <c r="K334" i="8"/>
  <c r="F334" i="8"/>
  <c r="G338" i="8"/>
  <c r="I338" i="8"/>
  <c r="E338" i="8"/>
  <c r="F338" i="8"/>
  <c r="K338" i="8"/>
  <c r="G342" i="8"/>
  <c r="I342" i="8"/>
  <c r="F342" i="8"/>
  <c r="K342" i="8"/>
  <c r="E342" i="8"/>
  <c r="G346" i="8"/>
  <c r="I346" i="8"/>
  <c r="E346" i="8"/>
  <c r="F346" i="8"/>
  <c r="K346" i="8"/>
  <c r="G350" i="8"/>
  <c r="I350" i="8"/>
  <c r="F350" i="8"/>
  <c r="K350" i="8"/>
  <c r="E350" i="8"/>
  <c r="G354" i="8"/>
  <c r="I354" i="8"/>
  <c r="E354" i="8"/>
  <c r="F354" i="8"/>
  <c r="K354" i="8"/>
  <c r="G358" i="8"/>
  <c r="I358" i="8"/>
  <c r="F358" i="8"/>
  <c r="K358" i="8"/>
  <c r="E358" i="8"/>
  <c r="G362" i="8"/>
  <c r="I362" i="8"/>
  <c r="E362" i="8"/>
  <c r="F362" i="8"/>
  <c r="K362" i="8"/>
  <c r="G366" i="8"/>
  <c r="I366" i="8"/>
  <c r="F366" i="8"/>
  <c r="K366" i="8"/>
  <c r="E366" i="8"/>
  <c r="G374" i="8"/>
  <c r="I374" i="8"/>
  <c r="F374" i="8"/>
  <c r="K374" i="8"/>
  <c r="E374" i="8"/>
  <c r="G378" i="8"/>
  <c r="I378" i="8"/>
  <c r="E378" i="8"/>
  <c r="F378" i="8"/>
  <c r="K378" i="8"/>
  <c r="G382" i="8"/>
  <c r="I382" i="8"/>
  <c r="F382" i="8"/>
  <c r="K382" i="8"/>
  <c r="E382" i="8"/>
  <c r="G386" i="8"/>
  <c r="I386" i="8"/>
  <c r="E386" i="8"/>
  <c r="F386" i="8"/>
  <c r="K386" i="8"/>
  <c r="G392" i="8"/>
  <c r="I392" i="8"/>
  <c r="F392" i="8"/>
  <c r="K392" i="8"/>
  <c r="E392" i="8"/>
  <c r="G15" i="8"/>
  <c r="E15" i="8"/>
  <c r="I15" i="8"/>
  <c r="F15" i="8"/>
  <c r="K15" i="8"/>
  <c r="F21" i="8"/>
  <c r="K21" i="8"/>
  <c r="G21" i="8"/>
  <c r="E21" i="8"/>
  <c r="I21" i="8"/>
  <c r="E25" i="8"/>
  <c r="I25" i="8"/>
  <c r="F25" i="8"/>
  <c r="K25" i="8"/>
  <c r="G25" i="8"/>
  <c r="I30" i="8"/>
  <c r="E30" i="8"/>
  <c r="K30" i="8"/>
  <c r="F30" i="8"/>
  <c r="G30" i="8"/>
  <c r="F34" i="8"/>
  <c r="G34" i="8"/>
  <c r="I34" i="8"/>
  <c r="E34" i="8"/>
  <c r="K34" i="8"/>
  <c r="I38" i="8"/>
  <c r="E38" i="8"/>
  <c r="K38" i="8"/>
  <c r="F38" i="8"/>
  <c r="G38" i="8"/>
  <c r="F42" i="8"/>
  <c r="G42" i="8"/>
  <c r="I42" i="8"/>
  <c r="K42" i="8"/>
  <c r="E42" i="8"/>
  <c r="I46" i="8"/>
  <c r="E46" i="8"/>
  <c r="K46" i="8"/>
  <c r="F46" i="8"/>
  <c r="G46" i="8"/>
  <c r="F50" i="8"/>
  <c r="G50" i="8"/>
  <c r="I50" i="8"/>
  <c r="E50" i="8"/>
  <c r="K50" i="8"/>
  <c r="E54" i="8"/>
  <c r="K54" i="8"/>
  <c r="F54" i="8"/>
  <c r="I54" i="8"/>
  <c r="G54" i="8"/>
  <c r="G58" i="8"/>
  <c r="I58" i="8"/>
  <c r="E58" i="8"/>
  <c r="F58" i="8"/>
  <c r="K58" i="8"/>
  <c r="E62" i="8"/>
  <c r="K62" i="8"/>
  <c r="F62" i="8"/>
  <c r="G62" i="8"/>
  <c r="I62" i="8"/>
  <c r="G66" i="8"/>
  <c r="I66" i="8"/>
  <c r="F66" i="8"/>
  <c r="K66" i="8"/>
  <c r="E66" i="8"/>
  <c r="E71" i="8"/>
  <c r="I71" i="8"/>
  <c r="F71" i="8"/>
  <c r="G71" i="8"/>
  <c r="K71" i="8"/>
  <c r="I76" i="8"/>
  <c r="E76" i="8"/>
  <c r="K76" i="8"/>
  <c r="G76" i="8"/>
  <c r="F76" i="8"/>
  <c r="F80" i="8"/>
  <c r="G80" i="8"/>
  <c r="K80" i="8"/>
  <c r="E80" i="8"/>
  <c r="I80" i="8"/>
  <c r="G85" i="8"/>
  <c r="F85" i="8"/>
  <c r="I85" i="8"/>
  <c r="K85" i="8"/>
  <c r="E85" i="8"/>
  <c r="F116" i="5"/>
  <c r="G116" i="5"/>
  <c r="F120" i="5"/>
  <c r="G120" i="5"/>
  <c r="F124" i="5"/>
  <c r="G124" i="5"/>
  <c r="F128" i="5"/>
  <c r="G128" i="5"/>
  <c r="F131" i="5"/>
  <c r="G131" i="5"/>
  <c r="F135" i="5"/>
  <c r="G135" i="5"/>
  <c r="F139" i="5"/>
  <c r="G139" i="5"/>
  <c r="F143" i="5"/>
  <c r="G143" i="5"/>
  <c r="F147" i="5"/>
  <c r="G147" i="5"/>
  <c r="F151" i="5"/>
  <c r="G151" i="5"/>
  <c r="G255" i="8"/>
  <c r="I255" i="8"/>
  <c r="E255" i="8"/>
  <c r="K255" i="8"/>
  <c r="F255" i="8"/>
  <c r="F305" i="5"/>
  <c r="F309" i="5"/>
  <c r="G309" i="5"/>
  <c r="F313" i="5"/>
  <c r="G313" i="5"/>
  <c r="F317" i="5"/>
  <c r="G317" i="5"/>
  <c r="F321" i="5"/>
  <c r="G321" i="5"/>
  <c r="F325" i="5"/>
  <c r="G325" i="5"/>
  <c r="F332" i="5"/>
  <c r="F336" i="5"/>
  <c r="F340" i="5"/>
  <c r="G340" i="5"/>
  <c r="F344" i="5"/>
  <c r="F348" i="5"/>
  <c r="G348" i="5"/>
  <c r="F352" i="5"/>
  <c r="G352" i="5"/>
  <c r="F356" i="5"/>
  <c r="G356" i="5"/>
  <c r="F360" i="5"/>
  <c r="G360" i="5"/>
  <c r="F368" i="5"/>
  <c r="F372" i="5"/>
  <c r="F376" i="5"/>
  <c r="F380" i="5"/>
  <c r="G380" i="5"/>
  <c r="F384" i="5"/>
  <c r="F390" i="5"/>
  <c r="F28" i="5"/>
  <c r="G28" i="5"/>
  <c r="F32" i="5"/>
  <c r="G32" i="5"/>
  <c r="F36" i="5"/>
  <c r="G36" i="5"/>
  <c r="F40" i="5"/>
  <c r="G40" i="5"/>
  <c r="F44" i="5"/>
  <c r="G44" i="5"/>
  <c r="F48" i="5"/>
  <c r="G48" i="5"/>
  <c r="F52" i="5"/>
  <c r="G52" i="5"/>
  <c r="F56" i="5"/>
  <c r="G56" i="5"/>
  <c r="F60" i="5"/>
  <c r="G60" i="5"/>
  <c r="F64" i="5"/>
  <c r="G64" i="5"/>
  <c r="F74" i="5"/>
  <c r="G74" i="5"/>
  <c r="F78" i="5"/>
  <c r="G78" i="5"/>
  <c r="F84" i="5"/>
  <c r="G84" i="5"/>
  <c r="F90" i="5"/>
  <c r="G90" i="5"/>
  <c r="F94" i="5"/>
  <c r="G94" i="5"/>
  <c r="F98" i="5"/>
  <c r="G98" i="5"/>
  <c r="F102" i="5"/>
  <c r="G102" i="5"/>
  <c r="F106" i="5"/>
  <c r="F112" i="5"/>
  <c r="F157" i="5"/>
  <c r="G157" i="5"/>
  <c r="F161" i="5"/>
  <c r="G161" i="5"/>
  <c r="F165" i="5"/>
  <c r="G165" i="5"/>
  <c r="F169" i="5"/>
  <c r="G169" i="5"/>
  <c r="F173" i="5"/>
  <c r="G173" i="5"/>
  <c r="F177" i="5"/>
  <c r="G177" i="5"/>
  <c r="F181" i="5"/>
  <c r="G181" i="5"/>
  <c r="F185" i="5"/>
  <c r="G185" i="5"/>
  <c r="F189" i="5"/>
  <c r="G189" i="5"/>
  <c r="F193" i="5"/>
  <c r="G193" i="5"/>
  <c r="F197" i="5"/>
  <c r="G197" i="5"/>
  <c r="F201" i="5"/>
  <c r="G201" i="5"/>
  <c r="F205" i="5"/>
  <c r="G205" i="5"/>
  <c r="F209" i="5"/>
  <c r="G209" i="5"/>
  <c r="F213" i="5"/>
  <c r="G213" i="5"/>
  <c r="F217" i="5"/>
  <c r="G217" i="5"/>
  <c r="F221" i="5"/>
  <c r="G221" i="5"/>
  <c r="F225" i="5"/>
  <c r="G225" i="5"/>
  <c r="F229" i="5"/>
  <c r="G229" i="5"/>
  <c r="F233" i="5"/>
  <c r="F237" i="5"/>
  <c r="F241" i="5"/>
  <c r="F245" i="5"/>
  <c r="G245" i="5"/>
  <c r="F249" i="5"/>
  <c r="G249" i="5"/>
  <c r="F253" i="5"/>
  <c r="G253" i="5"/>
  <c r="F257" i="5"/>
  <c r="G257" i="5"/>
  <c r="F261" i="5"/>
  <c r="G261" i="5"/>
  <c r="F265" i="5"/>
  <c r="G265" i="5"/>
  <c r="F269" i="5"/>
  <c r="G269" i="5"/>
  <c r="F272" i="5"/>
  <c r="G272" i="5"/>
  <c r="F275" i="5"/>
  <c r="G275" i="5"/>
  <c r="F279" i="5"/>
  <c r="F283" i="5"/>
  <c r="F289" i="5"/>
  <c r="G289" i="5"/>
  <c r="F293" i="5"/>
  <c r="G293" i="5"/>
  <c r="F297" i="5"/>
  <c r="F301" i="5"/>
  <c r="G301" i="5"/>
  <c r="F369" i="5"/>
  <c r="G369" i="5"/>
  <c r="F373" i="5"/>
  <c r="F377" i="5"/>
  <c r="F381" i="5"/>
  <c r="F385" i="5"/>
  <c r="F386" i="5"/>
  <c r="F391" i="5"/>
  <c r="F365" i="5"/>
  <c r="AD285" i="36"/>
  <c r="AV284" i="4"/>
  <c r="AZ284" i="4" s="1"/>
  <c r="AD34" i="36"/>
  <c r="AV33" i="4"/>
  <c r="AZ33" i="4" s="1"/>
  <c r="AD296" i="36"/>
  <c r="AV295" i="4"/>
  <c r="AZ295" i="4" s="1"/>
  <c r="AD31" i="36"/>
  <c r="AV30" i="4"/>
  <c r="AZ30" i="4" s="1"/>
  <c r="AD287" i="36"/>
  <c r="AV286" i="4"/>
  <c r="AZ286" i="4" s="1"/>
  <c r="F12" i="4"/>
  <c r="F493" i="4" s="1"/>
  <c r="E12" i="4"/>
  <c r="E493" i="4" s="1"/>
  <c r="D12" i="4"/>
  <c r="D493" i="4" s="1"/>
  <c r="AD115" i="36"/>
  <c r="AD333" i="36"/>
  <c r="AB406" i="6"/>
  <c r="AD406" i="6" s="1"/>
  <c r="AB399" i="6"/>
  <c r="AD399" i="6" s="1"/>
  <c r="AB410" i="6"/>
  <c r="AD410" i="6" s="1"/>
  <c r="AB422" i="6"/>
  <c r="AD422" i="6" s="1"/>
  <c r="AT341" i="4"/>
  <c r="S342" i="36"/>
  <c r="S250" i="36"/>
  <c r="S366" i="36"/>
  <c r="S127" i="36"/>
  <c r="S303" i="36"/>
  <c r="S359" i="36"/>
  <c r="S367" i="36"/>
  <c r="S372" i="36"/>
  <c r="S369" i="36"/>
  <c r="S336" i="36"/>
  <c r="S356" i="36"/>
  <c r="S390" i="36"/>
  <c r="S365" i="36"/>
  <c r="S374" i="36"/>
  <c r="S43" i="36"/>
  <c r="S63" i="36"/>
  <c r="S373" i="36"/>
  <c r="AI373" i="36" s="1"/>
  <c r="S381" i="36"/>
  <c r="S385" i="36"/>
  <c r="S88" i="36"/>
  <c r="S229" i="36"/>
  <c r="S249" i="36"/>
  <c r="S361" i="36"/>
  <c r="S378" i="36"/>
  <c r="S20" i="36"/>
  <c r="AI20" i="36" s="1"/>
  <c r="S230" i="36"/>
  <c r="S362" i="36"/>
  <c r="S375" i="36"/>
  <c r="S383" i="36"/>
  <c r="S388" i="36"/>
  <c r="M93" i="36"/>
  <c r="P93" i="36" s="1"/>
  <c r="J93" i="36"/>
  <c r="AI13" i="36"/>
  <c r="J13" i="36"/>
  <c r="S19" i="36"/>
  <c r="AV22" i="4"/>
  <c r="S23" i="36"/>
  <c r="AI23" i="36" s="1"/>
  <c r="S27" i="36"/>
  <c r="S32" i="36"/>
  <c r="AI32" i="36" s="1"/>
  <c r="S36" i="36"/>
  <c r="AI36" i="36" s="1"/>
  <c r="S40" i="36"/>
  <c r="AI40" i="36" s="1"/>
  <c r="J44" i="36"/>
  <c r="S48" i="36"/>
  <c r="AI48" i="36" s="1"/>
  <c r="S52" i="36"/>
  <c r="S56" i="36"/>
  <c r="AV59" i="4"/>
  <c r="S60" i="36"/>
  <c r="AI60" i="36" s="1"/>
  <c r="AV63" i="4"/>
  <c r="S64" i="36"/>
  <c r="AI64" i="36" s="1"/>
  <c r="S68" i="36"/>
  <c r="AI68" i="36" s="1"/>
  <c r="S73" i="36"/>
  <c r="AI73" i="36" s="1"/>
  <c r="J78" i="36"/>
  <c r="S82" i="36"/>
  <c r="AV93" i="4"/>
  <c r="S94" i="36"/>
  <c r="AI94" i="36" s="1"/>
  <c r="S98" i="36"/>
  <c r="AI98" i="36" s="1"/>
  <c r="S102" i="36"/>
  <c r="AI102" i="36" s="1"/>
  <c r="S106" i="36"/>
  <c r="AI106" i="36" s="1"/>
  <c r="S110" i="36"/>
  <c r="M116" i="36"/>
  <c r="J116" i="36"/>
  <c r="AV120" i="4"/>
  <c r="S121" i="36"/>
  <c r="AI121" i="36" s="1"/>
  <c r="S125" i="36"/>
  <c r="AI125" i="36" s="1"/>
  <c r="S129" i="36"/>
  <c r="S133" i="36"/>
  <c r="AI133" i="36" s="1"/>
  <c r="S136" i="36"/>
  <c r="AI136" i="36" s="1"/>
  <c r="S140" i="36"/>
  <c r="AI140" i="36" s="1"/>
  <c r="AV143" i="4"/>
  <c r="S144" i="36"/>
  <c r="J148" i="36"/>
  <c r="S153" i="36"/>
  <c r="S157" i="36"/>
  <c r="S162" i="36"/>
  <c r="AI162" i="36" s="1"/>
  <c r="S166" i="36"/>
  <c r="AV169" i="4"/>
  <c r="S170" i="36"/>
  <c r="S174" i="36"/>
  <c r="AV177" i="4"/>
  <c r="S178" i="36"/>
  <c r="P182" i="36"/>
  <c r="J182" i="36"/>
  <c r="S186" i="36"/>
  <c r="S190" i="36"/>
  <c r="S194" i="36"/>
  <c r="S198" i="36"/>
  <c r="AI198" i="36" s="1"/>
  <c r="AV201" i="4"/>
  <c r="S202" i="36"/>
  <c r="AI202" i="36" s="1"/>
  <c r="S206" i="36"/>
  <c r="S210" i="36"/>
  <c r="M214" i="36"/>
  <c r="P214" i="36" s="1"/>
  <c r="J214" i="36"/>
  <c r="S218" i="36"/>
  <c r="S222" i="36"/>
  <c r="AV225" i="4"/>
  <c r="S226" i="36"/>
  <c r="S234" i="36"/>
  <c r="AI234" i="36" s="1"/>
  <c r="S238" i="36"/>
  <c r="S242" i="36"/>
  <c r="J246" i="36"/>
  <c r="S254" i="36"/>
  <c r="S258" i="36"/>
  <c r="AV261" i="4"/>
  <c r="S262" i="36"/>
  <c r="S266" i="36"/>
  <c r="S270" i="36"/>
  <c r="S274" i="36"/>
  <c r="AV279" i="4"/>
  <c r="S280" i="36"/>
  <c r="S284" i="36"/>
  <c r="AV287" i="4"/>
  <c r="S288" i="36"/>
  <c r="AV289" i="4"/>
  <c r="S290" i="36"/>
  <c r="S294" i="36"/>
  <c r="S298" i="36"/>
  <c r="AV301" i="4"/>
  <c r="S302" i="36"/>
  <c r="J306" i="36"/>
  <c r="S311" i="36"/>
  <c r="AV314" i="4"/>
  <c r="S315" i="36"/>
  <c r="AV318" i="4"/>
  <c r="S319" i="36"/>
  <c r="S323" i="36"/>
  <c r="S327" i="36"/>
  <c r="S331" i="36"/>
  <c r="S334" i="36"/>
  <c r="J338" i="36"/>
  <c r="AV341" i="4"/>
  <c r="S346" i="36"/>
  <c r="S350" i="36"/>
  <c r="AV353" i="4"/>
  <c r="S354" i="36"/>
  <c r="AV357" i="4"/>
  <c r="S358" i="36"/>
  <c r="J370" i="36"/>
  <c r="AV378" i="4"/>
  <c r="S379" i="36"/>
  <c r="AV386" i="4"/>
  <c r="S387" i="36"/>
  <c r="AV392" i="4"/>
  <c r="S393" i="36"/>
  <c r="S24" i="36"/>
  <c r="AI24" i="36" s="1"/>
  <c r="S28" i="36"/>
  <c r="AI28" i="36" s="1"/>
  <c r="S33" i="36"/>
  <c r="S37" i="36"/>
  <c r="AI37" i="36" s="1"/>
  <c r="S41" i="36"/>
  <c r="AI41" i="36" s="1"/>
  <c r="S45" i="36"/>
  <c r="S49" i="36"/>
  <c r="J53" i="36"/>
  <c r="S57" i="36"/>
  <c r="S61" i="36"/>
  <c r="AI61" i="36" s="1"/>
  <c r="S65" i="36"/>
  <c r="AI65" i="36" s="1"/>
  <c r="AV68" i="4"/>
  <c r="S69" i="36"/>
  <c r="AI69" i="36" s="1"/>
  <c r="AV73" i="4"/>
  <c r="S74" i="36"/>
  <c r="AI74" i="36" s="1"/>
  <c r="S79" i="36"/>
  <c r="S83" i="36"/>
  <c r="J89" i="36"/>
  <c r="S95" i="36"/>
  <c r="AI95" i="36" s="1"/>
  <c r="S99" i="36"/>
  <c r="AI99" i="36" s="1"/>
  <c r="S103" i="36"/>
  <c r="AI103" i="36" s="1"/>
  <c r="S107" i="36"/>
  <c r="AI107" i="36" s="1"/>
  <c r="AV112" i="4"/>
  <c r="S113" i="36"/>
  <c r="AI113" i="36" s="1"/>
  <c r="AV116" i="4"/>
  <c r="S117" i="36"/>
  <c r="AI117" i="36" s="1"/>
  <c r="AV121" i="4"/>
  <c r="S122" i="36"/>
  <c r="AI122" i="36" s="1"/>
  <c r="M126" i="36"/>
  <c r="J126" i="36"/>
  <c r="AV129" i="4"/>
  <c r="S130" i="36"/>
  <c r="S137" i="36"/>
  <c r="AI137" i="36" s="1"/>
  <c r="S141" i="36"/>
  <c r="AI141" i="36" s="1"/>
  <c r="AV144" i="4"/>
  <c r="S145" i="36"/>
  <c r="S149" i="36"/>
  <c r="AV153" i="4"/>
  <c r="S154" i="36"/>
  <c r="J159" i="36"/>
  <c r="AV162" i="4"/>
  <c r="S163" i="36"/>
  <c r="AI163" i="36" s="1"/>
  <c r="AV166" i="4"/>
  <c r="S167" i="36"/>
  <c r="AV170" i="4"/>
  <c r="S171" i="36"/>
  <c r="AV174" i="4"/>
  <c r="S175" i="36"/>
  <c r="S179" i="36"/>
  <c r="AV182" i="4"/>
  <c r="S183" i="36"/>
  <c r="S187" i="36"/>
  <c r="P191" i="36"/>
  <c r="J191" i="36"/>
  <c r="AV194" i="4"/>
  <c r="S195" i="36"/>
  <c r="S199" i="36"/>
  <c r="AI199" i="36" s="1"/>
  <c r="S203" i="36"/>
  <c r="AI203" i="36" s="1"/>
  <c r="S207" i="36"/>
  <c r="S211" i="36"/>
  <c r="S215" i="36"/>
  <c r="S219" i="36"/>
  <c r="P223" i="36"/>
  <c r="J223" i="36"/>
  <c r="S227" i="36"/>
  <c r="M227" i="36" s="1"/>
  <c r="AV230" i="4"/>
  <c r="S231" i="36"/>
  <c r="S235" i="36"/>
  <c r="AI235" i="36" s="1"/>
  <c r="S239" i="36"/>
  <c r="AV242" i="4"/>
  <c r="S243" i="36"/>
  <c r="S247" i="36"/>
  <c r="S251" i="36"/>
  <c r="J255" i="36"/>
  <c r="S259" i="36"/>
  <c r="AI259" i="36" s="1"/>
  <c r="S263" i="36"/>
  <c r="AV266" i="4"/>
  <c r="S267" i="36"/>
  <c r="AV270" i="4"/>
  <c r="S271" i="36"/>
  <c r="S275" i="36"/>
  <c r="S277" i="36"/>
  <c r="S281" i="36"/>
  <c r="AI281" i="36" s="1"/>
  <c r="J285" i="36"/>
  <c r="S289" i="36"/>
  <c r="S291" i="36"/>
  <c r="S295" i="36"/>
  <c r="AV298" i="4"/>
  <c r="S299" i="36"/>
  <c r="S307" i="36"/>
  <c r="S312" i="36"/>
  <c r="J316" i="36"/>
  <c r="AV319" i="4"/>
  <c r="S320" i="36"/>
  <c r="S324" i="36"/>
  <c r="S328" i="36"/>
  <c r="AV331" i="4"/>
  <c r="S332" i="36"/>
  <c r="S335" i="36"/>
  <c r="S339" i="36"/>
  <c r="S343" i="36"/>
  <c r="J347" i="36"/>
  <c r="S351" i="36"/>
  <c r="S355" i="36"/>
  <c r="M355" i="36" s="1"/>
  <c r="AV362" i="4"/>
  <c r="S363" i="36"/>
  <c r="AV375" i="4"/>
  <c r="S376" i="36"/>
  <c r="J380" i="36"/>
  <c r="AV383" i="4"/>
  <c r="S384" i="36"/>
  <c r="AV393" i="4"/>
  <c r="S394" i="36"/>
  <c r="AV14" i="4"/>
  <c r="AZ14" i="4" s="1"/>
  <c r="S15" i="36"/>
  <c r="AI15" i="36" s="1"/>
  <c r="S21" i="36"/>
  <c r="S25" i="36"/>
  <c r="AI25" i="36" s="1"/>
  <c r="S30" i="36"/>
  <c r="AI30" i="36" s="1"/>
  <c r="M34" i="36"/>
  <c r="J34" i="36"/>
  <c r="S38" i="36"/>
  <c r="AI38" i="36" s="1"/>
  <c r="S42" i="36"/>
  <c r="S46" i="36"/>
  <c r="S50" i="36"/>
  <c r="S54" i="36"/>
  <c r="S58" i="36"/>
  <c r="S62" i="36"/>
  <c r="M66" i="36"/>
  <c r="J66" i="36"/>
  <c r="S70" i="36"/>
  <c r="AI70" i="36" s="1"/>
  <c r="S76" i="36"/>
  <c r="AI76" i="36" s="1"/>
  <c r="S80" i="36"/>
  <c r="AV84" i="4"/>
  <c r="S85" i="36"/>
  <c r="S92" i="36"/>
  <c r="AV95" i="4"/>
  <c r="S96" i="36"/>
  <c r="AI96" i="36" s="1"/>
  <c r="S100" i="36"/>
  <c r="AI100" i="36" s="1"/>
  <c r="M104" i="36"/>
  <c r="J104" i="36"/>
  <c r="S108" i="36"/>
  <c r="AI108" i="36" s="1"/>
  <c r="S114" i="36"/>
  <c r="AI114" i="36" s="1"/>
  <c r="S118" i="36"/>
  <c r="AI118" i="36" s="1"/>
  <c r="S123" i="36"/>
  <c r="AI123" i="36" s="1"/>
  <c r="S131" i="36"/>
  <c r="S134" i="36"/>
  <c r="AI134" i="36" s="1"/>
  <c r="J138" i="36"/>
  <c r="S142" i="36"/>
  <c r="S146" i="36"/>
  <c r="S151" i="36"/>
  <c r="AV154" i="4"/>
  <c r="S155" i="36"/>
  <c r="S160" i="36"/>
  <c r="AV163" i="4"/>
  <c r="S164" i="36"/>
  <c r="AI164" i="36" s="1"/>
  <c r="S168" i="36"/>
  <c r="P172" i="36"/>
  <c r="J172" i="36"/>
  <c r="AV175" i="4"/>
  <c r="S176" i="36"/>
  <c r="S180" i="36"/>
  <c r="AV183" i="4"/>
  <c r="S184" i="36"/>
  <c r="S188" i="36"/>
  <c r="AV191" i="4"/>
  <c r="S192" i="36"/>
  <c r="S196" i="36"/>
  <c r="S200" i="36"/>
  <c r="AI200" i="36" s="1"/>
  <c r="P204" i="36"/>
  <c r="J204" i="36"/>
  <c r="S208" i="36"/>
  <c r="AI208" i="36" s="1"/>
  <c r="S212" i="36"/>
  <c r="AI212" i="36" s="1"/>
  <c r="AV215" i="4"/>
  <c r="S216" i="36"/>
  <c r="AI216" i="36" s="1"/>
  <c r="S220" i="36"/>
  <c r="AV223" i="4"/>
  <c r="S224" i="36"/>
  <c r="S228" i="36"/>
  <c r="S232" i="36"/>
  <c r="J236" i="36"/>
  <c r="AV239" i="4"/>
  <c r="S240" i="36"/>
  <c r="S244" i="36"/>
  <c r="S248" i="36"/>
  <c r="S252" i="36"/>
  <c r="AI252" i="36" s="1"/>
  <c r="S256" i="36"/>
  <c r="S260" i="36"/>
  <c r="AI260" i="36" s="1"/>
  <c r="S264" i="36"/>
  <c r="J268" i="36"/>
  <c r="S272" i="36"/>
  <c r="S278" i="36"/>
  <c r="S282" i="36"/>
  <c r="S286" i="36"/>
  <c r="S292" i="36"/>
  <c r="J296" i="36"/>
  <c r="S300" i="36"/>
  <c r="S304" i="36"/>
  <c r="AV308" i="4"/>
  <c r="S309" i="36"/>
  <c r="S313" i="36"/>
  <c r="S317" i="36"/>
  <c r="S321" i="36"/>
  <c r="S325" i="36"/>
  <c r="J329" i="36"/>
  <c r="AV339" i="4"/>
  <c r="S340" i="36"/>
  <c r="S344" i="36"/>
  <c r="S348" i="36"/>
  <c r="AV351" i="4"/>
  <c r="S352" i="36"/>
  <c r="M352" i="36" s="1"/>
  <c r="J360" i="36"/>
  <c r="S364" i="36"/>
  <c r="AV367" i="4"/>
  <c r="S368" i="36"/>
  <c r="AV376" i="4"/>
  <c r="S377" i="36"/>
  <c r="AV388" i="4"/>
  <c r="S389" i="36"/>
  <c r="AV394" i="4"/>
  <c r="S395" i="36"/>
  <c r="S16" i="36"/>
  <c r="S22" i="36"/>
  <c r="AI22" i="36" s="1"/>
  <c r="M31" i="36"/>
  <c r="P31" i="36" s="1"/>
  <c r="J31" i="36"/>
  <c r="S35" i="36"/>
  <c r="AI35" i="36" s="1"/>
  <c r="S39" i="36"/>
  <c r="S47" i="36"/>
  <c r="S51" i="36"/>
  <c r="S55" i="36"/>
  <c r="S59" i="36"/>
  <c r="S67" i="36"/>
  <c r="S72" i="36"/>
  <c r="AI72" i="36" s="1"/>
  <c r="S77" i="36"/>
  <c r="AV80" i="4"/>
  <c r="S81" i="36"/>
  <c r="AV85" i="4"/>
  <c r="S86" i="36"/>
  <c r="S97" i="36"/>
  <c r="AI97" i="36" s="1"/>
  <c r="S101" i="36"/>
  <c r="S105" i="36"/>
  <c r="AI105" i="36" s="1"/>
  <c r="S109" i="36"/>
  <c r="AI109" i="36" s="1"/>
  <c r="M115" i="36"/>
  <c r="J115" i="36"/>
  <c r="S120" i="36"/>
  <c r="AI120" i="36" s="1"/>
  <c r="M124" i="36"/>
  <c r="J124" i="36"/>
  <c r="S128" i="36"/>
  <c r="S132" i="36"/>
  <c r="S135" i="36"/>
  <c r="AI135" i="36" s="1"/>
  <c r="M139" i="36"/>
  <c r="J139" i="36"/>
  <c r="S143" i="36"/>
  <c r="S147" i="36"/>
  <c r="S152" i="36"/>
  <c r="S156" i="36"/>
  <c r="AV160" i="4"/>
  <c r="S161" i="36"/>
  <c r="AV164" i="4"/>
  <c r="S165" i="36"/>
  <c r="AI165" i="36" s="1"/>
  <c r="S169" i="36"/>
  <c r="AV172" i="4"/>
  <c r="S173" i="36"/>
  <c r="S177" i="36"/>
  <c r="S181" i="36"/>
  <c r="S185" i="36"/>
  <c r="S189" i="36"/>
  <c r="J193" i="36"/>
  <c r="S197" i="36"/>
  <c r="AI197" i="36" s="1"/>
  <c r="AV200" i="4"/>
  <c r="S201" i="36"/>
  <c r="AI201" i="36" s="1"/>
  <c r="S205" i="36"/>
  <c r="S209" i="36"/>
  <c r="AI209" i="36" s="1"/>
  <c r="AV212" i="4"/>
  <c r="S213" i="36"/>
  <c r="AI213" i="36" s="1"/>
  <c r="S217" i="36"/>
  <c r="J221" i="36"/>
  <c r="AV224" i="4"/>
  <c r="S225" i="36"/>
  <c r="S233" i="36"/>
  <c r="AI233" i="36" s="1"/>
  <c r="P237" i="36"/>
  <c r="J237" i="36"/>
  <c r="S241" i="36"/>
  <c r="S245" i="36"/>
  <c r="AV252" i="4"/>
  <c r="S253" i="36"/>
  <c r="S257" i="36"/>
  <c r="S261" i="36"/>
  <c r="S265" i="36"/>
  <c r="J269" i="36"/>
  <c r="AV272" i="4"/>
  <c r="S273" i="36"/>
  <c r="AV275" i="4"/>
  <c r="S276" i="36"/>
  <c r="S279" i="36"/>
  <c r="S283" i="36"/>
  <c r="J287" i="36"/>
  <c r="AV292" i="4"/>
  <c r="S293" i="36"/>
  <c r="S297" i="36"/>
  <c r="S301" i="36"/>
  <c r="S305" i="36"/>
  <c r="S310" i="36"/>
  <c r="S314" i="36"/>
  <c r="S318" i="36"/>
  <c r="S322" i="36"/>
  <c r="S326" i="36"/>
  <c r="J330" i="36"/>
  <c r="J333" i="36"/>
  <c r="S337" i="36"/>
  <c r="AV340" i="4"/>
  <c r="S341" i="36"/>
  <c r="S345" i="36"/>
  <c r="AV348" i="4"/>
  <c r="S349" i="36"/>
  <c r="AV352" i="4"/>
  <c r="S353" i="36"/>
  <c r="M353" i="36" s="1"/>
  <c r="S357" i="36"/>
  <c r="J382" i="36"/>
  <c r="AV385" i="4"/>
  <c r="S386" i="36"/>
  <c r="AV390" i="4"/>
  <c r="S391" i="36"/>
  <c r="AV391" i="4"/>
  <c r="S392" i="36"/>
  <c r="AT73" i="4"/>
  <c r="AT388" i="4"/>
  <c r="AT183" i="4"/>
  <c r="AT272" i="4"/>
  <c r="AT340" i="4"/>
  <c r="AT391" i="4"/>
  <c r="AT121" i="4"/>
  <c r="AT169" i="4"/>
  <c r="AT225" i="4"/>
  <c r="AT301" i="4"/>
  <c r="AT357" i="4"/>
  <c r="AT84" i="4"/>
  <c r="AT166" i="4"/>
  <c r="AT85" i="4"/>
  <c r="AT191" i="4"/>
  <c r="AT308" i="4"/>
  <c r="AT351" i="4"/>
  <c r="AT63" i="4"/>
  <c r="AT212" i="4"/>
  <c r="AT177" i="4"/>
  <c r="AT279" i="4"/>
  <c r="AT289" i="4"/>
  <c r="AT353" i="4"/>
  <c r="AT95" i="4"/>
  <c r="AT162" i="4"/>
  <c r="AT242" i="4"/>
  <c r="AT270" i="4"/>
  <c r="AT319" i="4"/>
  <c r="H13" i="36"/>
  <c r="AT367" i="4"/>
  <c r="AT154" i="4"/>
  <c r="AT215" i="4"/>
  <c r="AT339" i="4"/>
  <c r="AT394" i="4"/>
  <c r="AT59" i="4"/>
  <c r="AT200" i="4"/>
  <c r="AT112" i="4"/>
  <c r="AT129" i="4"/>
  <c r="AT287" i="4"/>
  <c r="AT318" i="4"/>
  <c r="AT174" i="4"/>
  <c r="AT194" i="4"/>
  <c r="AT298" i="4"/>
  <c r="AT92" i="4"/>
  <c r="AT376" i="4"/>
  <c r="AT163" i="4"/>
  <c r="AT223" i="4"/>
  <c r="AT93" i="4"/>
  <c r="AT275" i="4"/>
  <c r="AT385" i="4"/>
  <c r="AT144" i="4"/>
  <c r="AT386" i="4"/>
  <c r="AT182" i="4"/>
  <c r="AB402" i="6"/>
  <c r="AD402" i="6" s="1"/>
  <c r="AV92" i="4"/>
  <c r="Y417" i="9"/>
  <c r="AC417" i="9" s="1"/>
  <c r="AB398" i="6"/>
  <c r="AD398" i="6" s="1"/>
  <c r="AB421" i="6"/>
  <c r="AD421" i="6" s="1"/>
  <c r="AB429" i="6"/>
  <c r="AD429" i="6" s="1"/>
  <c r="AB417" i="6"/>
  <c r="AD417" i="6" s="1"/>
  <c r="AB418" i="6"/>
  <c r="AD418" i="6" s="1"/>
  <c r="AB426" i="6"/>
  <c r="AD426" i="6" s="1"/>
  <c r="AB401" i="6"/>
  <c r="AD401" i="6" s="1"/>
  <c r="AB416" i="6"/>
  <c r="AD416" i="6" s="1"/>
  <c r="AB432" i="6"/>
  <c r="AD432" i="6" s="1"/>
  <c r="AB118" i="6"/>
  <c r="AB86" i="6"/>
  <c r="AB433" i="6"/>
  <c r="AD433" i="6" s="1"/>
  <c r="AB414" i="6"/>
  <c r="AD414" i="6" s="1"/>
  <c r="AB430" i="6"/>
  <c r="AD430" i="6" s="1"/>
  <c r="AB413" i="6"/>
  <c r="AD413" i="6" s="1"/>
  <c r="D352" i="36"/>
  <c r="H352" i="36"/>
  <c r="L351" i="8" s="1"/>
  <c r="AB16" i="6"/>
  <c r="D353" i="36"/>
  <c r="H353" i="36"/>
  <c r="L352" i="9" s="1"/>
  <c r="AB89" i="6"/>
  <c r="AB307" i="6"/>
  <c r="AB427" i="6"/>
  <c r="AD427" i="6" s="1"/>
  <c r="Y32" i="6"/>
  <c r="Z32" i="6"/>
  <c r="Y144" i="6"/>
  <c r="Z144" i="6"/>
  <c r="Z279" i="6"/>
  <c r="Y279" i="6"/>
  <c r="Z293" i="6"/>
  <c r="Y293" i="6"/>
  <c r="Y52" i="6"/>
  <c r="Z52" i="6"/>
  <c r="Y88" i="6"/>
  <c r="Z88" i="6"/>
  <c r="Y148" i="6"/>
  <c r="Z148" i="6"/>
  <c r="Z237" i="6"/>
  <c r="Y237" i="6"/>
  <c r="Y341" i="6"/>
  <c r="Z341" i="6"/>
  <c r="Y373" i="6"/>
  <c r="Z373" i="6"/>
  <c r="Y391" i="6"/>
  <c r="Z391" i="6"/>
  <c r="Y37" i="6"/>
  <c r="Z37" i="6"/>
  <c r="Y53" i="6"/>
  <c r="Z53" i="6"/>
  <c r="Y69" i="6"/>
  <c r="Z69" i="6"/>
  <c r="Y91" i="6"/>
  <c r="Z91" i="6"/>
  <c r="Y107" i="6"/>
  <c r="Z107" i="6"/>
  <c r="Z130" i="6"/>
  <c r="Y130" i="6"/>
  <c r="Z133" i="6"/>
  <c r="Y133" i="6"/>
  <c r="Y174" i="6"/>
  <c r="Z174" i="6"/>
  <c r="Y178" i="6"/>
  <c r="Z178" i="6"/>
  <c r="Y190" i="6"/>
  <c r="Z190" i="6"/>
  <c r="Y206" i="6"/>
  <c r="Z206" i="6"/>
  <c r="Y222" i="6"/>
  <c r="Z222" i="6"/>
  <c r="Y238" i="6"/>
  <c r="Z238" i="6"/>
  <c r="Y254" i="6"/>
  <c r="Z254" i="6"/>
  <c r="Y270" i="6"/>
  <c r="Z270" i="6"/>
  <c r="Y284" i="6"/>
  <c r="Z284" i="6"/>
  <c r="Y298" i="6"/>
  <c r="Z298" i="6"/>
  <c r="Y323" i="6"/>
  <c r="Z323" i="6"/>
  <c r="Y338" i="6"/>
  <c r="Z338" i="6"/>
  <c r="Y354" i="6"/>
  <c r="Z354" i="6"/>
  <c r="Y366" i="6"/>
  <c r="Z366" i="6"/>
  <c r="Y374" i="6"/>
  <c r="Z374" i="6"/>
  <c r="Y392" i="6"/>
  <c r="Z392" i="6"/>
  <c r="Z50" i="6"/>
  <c r="Y50" i="6"/>
  <c r="Y100" i="6"/>
  <c r="Z100" i="6"/>
  <c r="Z114" i="6"/>
  <c r="Y114" i="6"/>
  <c r="Y127" i="6"/>
  <c r="Z127" i="6"/>
  <c r="Y131" i="6"/>
  <c r="Z131" i="6"/>
  <c r="Z167" i="6"/>
  <c r="Y167" i="6"/>
  <c r="Z183" i="6"/>
  <c r="Y183" i="6"/>
  <c r="Z199" i="6"/>
  <c r="Y199" i="6"/>
  <c r="Z215" i="6"/>
  <c r="Y215" i="6"/>
  <c r="Y231" i="6"/>
  <c r="Z231" i="6"/>
  <c r="Y243" i="6"/>
  <c r="Z243" i="6"/>
  <c r="Y247" i="6"/>
  <c r="Z247" i="6"/>
  <c r="Y263" i="6"/>
  <c r="Z263" i="6"/>
  <c r="Y277" i="6"/>
  <c r="Z277" i="6"/>
  <c r="Y291" i="6"/>
  <c r="Z291" i="6"/>
  <c r="Y316" i="6"/>
  <c r="Z316" i="6"/>
  <c r="Y347" i="6"/>
  <c r="Z347" i="6"/>
  <c r="Y363" i="6"/>
  <c r="Z363" i="6"/>
  <c r="Y379" i="6"/>
  <c r="Z379" i="6"/>
  <c r="Z26" i="6"/>
  <c r="Y26" i="6"/>
  <c r="Y55" i="6"/>
  <c r="Z55" i="6"/>
  <c r="Y93" i="6"/>
  <c r="Z93" i="6"/>
  <c r="Y109" i="6"/>
  <c r="Z109" i="6"/>
  <c r="Y120" i="6"/>
  <c r="Z120" i="6"/>
  <c r="Y135" i="6"/>
  <c r="Z135" i="6"/>
  <c r="Y151" i="6"/>
  <c r="Z151" i="6"/>
  <c r="Y176" i="6"/>
  <c r="Z176" i="6"/>
  <c r="Y208" i="6"/>
  <c r="Z208" i="6"/>
  <c r="Y224" i="6"/>
  <c r="Z224" i="6"/>
  <c r="Y240" i="6"/>
  <c r="Z240" i="6"/>
  <c r="Y256" i="6"/>
  <c r="Z256" i="6"/>
  <c r="Y272" i="6"/>
  <c r="Z272" i="6"/>
  <c r="Y286" i="6"/>
  <c r="Z286" i="6"/>
  <c r="AA286" i="6"/>
  <c r="Y300" i="6"/>
  <c r="Z300" i="6"/>
  <c r="Z321" i="6"/>
  <c r="Y321" i="6"/>
  <c r="Z336" i="6"/>
  <c r="Y336" i="6"/>
  <c r="Z372" i="6"/>
  <c r="Y372" i="6"/>
  <c r="Z388" i="6"/>
  <c r="Y388" i="6"/>
  <c r="AB111" i="6"/>
  <c r="AB411" i="6"/>
  <c r="AD411" i="6" s="1"/>
  <c r="AB415" i="6"/>
  <c r="AD415" i="6" s="1"/>
  <c r="AB397" i="6"/>
  <c r="AD397" i="6" s="1"/>
  <c r="AB412" i="6"/>
  <c r="AD412" i="6" s="1"/>
  <c r="AB428" i="6"/>
  <c r="AD428" i="6" s="1"/>
  <c r="Y27" i="6"/>
  <c r="Z27" i="6"/>
  <c r="Z169" i="6"/>
  <c r="Y169" i="6"/>
  <c r="Z181" i="6"/>
  <c r="Y181" i="6"/>
  <c r="Z197" i="6"/>
  <c r="Y197" i="6"/>
  <c r="Z213" i="6"/>
  <c r="Y213" i="6"/>
  <c r="Z233" i="6"/>
  <c r="Y233" i="6"/>
  <c r="Z283" i="6"/>
  <c r="Y283" i="6"/>
  <c r="Y353" i="6"/>
  <c r="Z353" i="6"/>
  <c r="Y369" i="6"/>
  <c r="Z369" i="6"/>
  <c r="Y36" i="6"/>
  <c r="Z36" i="6"/>
  <c r="Y48" i="6"/>
  <c r="Z48" i="6"/>
  <c r="Z185" i="6"/>
  <c r="Y185" i="6"/>
  <c r="Z201" i="6"/>
  <c r="Y201" i="6"/>
  <c r="Z253" i="6"/>
  <c r="Y253" i="6"/>
  <c r="Z297" i="6"/>
  <c r="Y297" i="6"/>
  <c r="Y310" i="6"/>
  <c r="Z310" i="6"/>
  <c r="Y326" i="6"/>
  <c r="Z326" i="6"/>
  <c r="Y13" i="6"/>
  <c r="Z13" i="6"/>
  <c r="Y40" i="6"/>
  <c r="Z40" i="6"/>
  <c r="Y56" i="6"/>
  <c r="Z56" i="6"/>
  <c r="Z94" i="6"/>
  <c r="Y94" i="6"/>
  <c r="Y112" i="6"/>
  <c r="Z112" i="6"/>
  <c r="Y121" i="6"/>
  <c r="Z121" i="6"/>
  <c r="Y136" i="6"/>
  <c r="Z136" i="6"/>
  <c r="Y140" i="6"/>
  <c r="Z140" i="6"/>
  <c r="Y152" i="6"/>
  <c r="Z152" i="6"/>
  <c r="Z161" i="6"/>
  <c r="Y161" i="6"/>
  <c r="Z173" i="6"/>
  <c r="Y173" i="6"/>
  <c r="Z177" i="6"/>
  <c r="Y177" i="6"/>
  <c r="Z205" i="6"/>
  <c r="Y205" i="6"/>
  <c r="Z221" i="6"/>
  <c r="Y221" i="6"/>
  <c r="Z225" i="6"/>
  <c r="Y225" i="6"/>
  <c r="Z241" i="6"/>
  <c r="Y241" i="6"/>
  <c r="Z257" i="6"/>
  <c r="Y257" i="6"/>
  <c r="Z287" i="6"/>
  <c r="Y287" i="6"/>
  <c r="Z301" i="6"/>
  <c r="Y301" i="6"/>
  <c r="Y314" i="6"/>
  <c r="Z314" i="6"/>
  <c r="Y330" i="6"/>
  <c r="Z330" i="6"/>
  <c r="Y345" i="6"/>
  <c r="Z345" i="6"/>
  <c r="Y361" i="6"/>
  <c r="Z361" i="6"/>
  <c r="Y390" i="6"/>
  <c r="Z390" i="6"/>
  <c r="Y29" i="6"/>
  <c r="Z29" i="6"/>
  <c r="Y41" i="6"/>
  <c r="Z41" i="6"/>
  <c r="Y57" i="6"/>
  <c r="Z57" i="6"/>
  <c r="Y75" i="6"/>
  <c r="Z75" i="6"/>
  <c r="Y84" i="6"/>
  <c r="Z84" i="6"/>
  <c r="Y95" i="6"/>
  <c r="Z95" i="6"/>
  <c r="Y113" i="6"/>
  <c r="Z113" i="6"/>
  <c r="Z149" i="6"/>
  <c r="Y149" i="6"/>
  <c r="Y162" i="6"/>
  <c r="Z162" i="6"/>
  <c r="Y194" i="6"/>
  <c r="Z194" i="6"/>
  <c r="Y210" i="6"/>
  <c r="Z210" i="6"/>
  <c r="Y226" i="6"/>
  <c r="Z226" i="6"/>
  <c r="Y242" i="6"/>
  <c r="Z242" i="6"/>
  <c r="Y258" i="6"/>
  <c r="Z258" i="6"/>
  <c r="Y274" i="6"/>
  <c r="Z274" i="6"/>
  <c r="Y288" i="6"/>
  <c r="Z288" i="6"/>
  <c r="Y302" i="6"/>
  <c r="Z302" i="6"/>
  <c r="Y311" i="6"/>
  <c r="Z311" i="6"/>
  <c r="Y327" i="6"/>
  <c r="Z327" i="6"/>
  <c r="Y342" i="6"/>
  <c r="Z342" i="6"/>
  <c r="Y358" i="6"/>
  <c r="Z358" i="6"/>
  <c r="Y378" i="6"/>
  <c r="Z378" i="6"/>
  <c r="Y15" i="6"/>
  <c r="Z15" i="6"/>
  <c r="Z38" i="6"/>
  <c r="Y38" i="6"/>
  <c r="Z54" i="6"/>
  <c r="Y54" i="6"/>
  <c r="Z58" i="6"/>
  <c r="Y58" i="6"/>
  <c r="Y76" i="6"/>
  <c r="Z76" i="6"/>
  <c r="Y85" i="6"/>
  <c r="Z85" i="6"/>
  <c r="Y104" i="6"/>
  <c r="Z104" i="6"/>
  <c r="Y146" i="6"/>
  <c r="Z146" i="6"/>
  <c r="Z171" i="6"/>
  <c r="Y171" i="6"/>
  <c r="Z187" i="6"/>
  <c r="Y187" i="6"/>
  <c r="Z203" i="6"/>
  <c r="Y203" i="6"/>
  <c r="Z219" i="6"/>
  <c r="Y219" i="6"/>
  <c r="Y235" i="6"/>
  <c r="Z235" i="6"/>
  <c r="Y251" i="6"/>
  <c r="Z251" i="6"/>
  <c r="Y281" i="6"/>
  <c r="Z281" i="6"/>
  <c r="Y295" i="6"/>
  <c r="Z295" i="6"/>
  <c r="Y320" i="6"/>
  <c r="Z320" i="6"/>
  <c r="Y335" i="6"/>
  <c r="Z335" i="6"/>
  <c r="Y351" i="6"/>
  <c r="Z351" i="6"/>
  <c r="Y367" i="6"/>
  <c r="Z367" i="6"/>
  <c r="Y383" i="6"/>
  <c r="Z383" i="6"/>
  <c r="Z18" i="6"/>
  <c r="Y18" i="6"/>
  <c r="Y43" i="6"/>
  <c r="Z43" i="6"/>
  <c r="Y59" i="6"/>
  <c r="Z59" i="6"/>
  <c r="Y77" i="6"/>
  <c r="Z77" i="6"/>
  <c r="Y97" i="6"/>
  <c r="Z97" i="6"/>
  <c r="Y115" i="6"/>
  <c r="Z115" i="6"/>
  <c r="Y124" i="6"/>
  <c r="Z124" i="6"/>
  <c r="Y139" i="6"/>
  <c r="Z139" i="6"/>
  <c r="Y155" i="6"/>
  <c r="Z155" i="6"/>
  <c r="Y164" i="6"/>
  <c r="Z164" i="6"/>
  <c r="Y180" i="6"/>
  <c r="Z180" i="6"/>
  <c r="Y184" i="6"/>
  <c r="Z184" i="6"/>
  <c r="Y196" i="6"/>
  <c r="Z196" i="6"/>
  <c r="Y212" i="6"/>
  <c r="Z212" i="6"/>
  <c r="Y228" i="6"/>
  <c r="Z228" i="6"/>
  <c r="Y244" i="6"/>
  <c r="Z244" i="6"/>
  <c r="Y260" i="6"/>
  <c r="Z260" i="6"/>
  <c r="Y275" i="6"/>
  <c r="Z275" i="6"/>
  <c r="Y304" i="6"/>
  <c r="Z304" i="6"/>
  <c r="Z309" i="6"/>
  <c r="Y309" i="6"/>
  <c r="Z325" i="6"/>
  <c r="Y325" i="6"/>
  <c r="Z340" i="6"/>
  <c r="Y340" i="6"/>
  <c r="Z356" i="6"/>
  <c r="Y356" i="6"/>
  <c r="Z376" i="6"/>
  <c r="Y376" i="6"/>
  <c r="Z389" i="6"/>
  <c r="Y389" i="6"/>
  <c r="Z394" i="6"/>
  <c r="Y394" i="6"/>
  <c r="AB28" i="6"/>
  <c r="AB157" i="6"/>
  <c r="AB83" i="6"/>
  <c r="AB70" i="6"/>
  <c r="AB110" i="6"/>
  <c r="AB370" i="6"/>
  <c r="AB395" i="6"/>
  <c r="AD395" i="6" s="1"/>
  <c r="AB423" i="6"/>
  <c r="AD423" i="6" s="1"/>
  <c r="AB408" i="6"/>
  <c r="AD408" i="6" s="1"/>
  <c r="AB424" i="6"/>
  <c r="AD424" i="6" s="1"/>
  <c r="Y64" i="6"/>
  <c r="Z64" i="6"/>
  <c r="Y73" i="6"/>
  <c r="Z73" i="6"/>
  <c r="Z82" i="6"/>
  <c r="Y82" i="6"/>
  <c r="Z98" i="6"/>
  <c r="Y98" i="6"/>
  <c r="Z165" i="6"/>
  <c r="Y165" i="6"/>
  <c r="Z229" i="6"/>
  <c r="Y229" i="6"/>
  <c r="Z249" i="6"/>
  <c r="Y249" i="6"/>
  <c r="Z265" i="6"/>
  <c r="Y265" i="6"/>
  <c r="Y337" i="6"/>
  <c r="Z337" i="6"/>
  <c r="Y68" i="6"/>
  <c r="Z68" i="6"/>
  <c r="Z102" i="6"/>
  <c r="Y102" i="6"/>
  <c r="Z106" i="6"/>
  <c r="Y106" i="6"/>
  <c r="Z189" i="6"/>
  <c r="Y189" i="6"/>
  <c r="Z269" i="6"/>
  <c r="Y269" i="6"/>
  <c r="Z273" i="6"/>
  <c r="Y273" i="6"/>
  <c r="Y357" i="6"/>
  <c r="Z357" i="6"/>
  <c r="Y19" i="6"/>
  <c r="Z19" i="6"/>
  <c r="Y44" i="6"/>
  <c r="Z44" i="6"/>
  <c r="Y60" i="6"/>
  <c r="Z60" i="6"/>
  <c r="Y116" i="6"/>
  <c r="Z116" i="6"/>
  <c r="Y125" i="6"/>
  <c r="Z125" i="6"/>
  <c r="Y129" i="6"/>
  <c r="Z129" i="6"/>
  <c r="Y156" i="6"/>
  <c r="Z156" i="6"/>
  <c r="Z193" i="6"/>
  <c r="Y193" i="6"/>
  <c r="Z209" i="6"/>
  <c r="Y209" i="6"/>
  <c r="Z245" i="6"/>
  <c r="Y245" i="6"/>
  <c r="Z261" i="6"/>
  <c r="Y261" i="6"/>
  <c r="Z289" i="6"/>
  <c r="Y289" i="6"/>
  <c r="Z305" i="6"/>
  <c r="Y305" i="6"/>
  <c r="Y318" i="6"/>
  <c r="Z318" i="6"/>
  <c r="Y333" i="6"/>
  <c r="Z333" i="6"/>
  <c r="Y349" i="6"/>
  <c r="Z349" i="6"/>
  <c r="Y365" i="6"/>
  <c r="Z365" i="6"/>
  <c r="Y377" i="6"/>
  <c r="Z377" i="6"/>
  <c r="Y381" i="6"/>
  <c r="Z381" i="6"/>
  <c r="Z14" i="6"/>
  <c r="AA14" i="6"/>
  <c r="Y14" i="6"/>
  <c r="Y20" i="6"/>
  <c r="Z20" i="6"/>
  <c r="Y45" i="6"/>
  <c r="Z45" i="6"/>
  <c r="Y61" i="6"/>
  <c r="Z61" i="6"/>
  <c r="Y79" i="6"/>
  <c r="Z79" i="6"/>
  <c r="Y99" i="6"/>
  <c r="Z99" i="6"/>
  <c r="Y117" i="6"/>
  <c r="Z117" i="6"/>
  <c r="Z122" i="6"/>
  <c r="Y122" i="6"/>
  <c r="Z126" i="6"/>
  <c r="Y126" i="6"/>
  <c r="Z137" i="6"/>
  <c r="Y137" i="6"/>
  <c r="Z153" i="6"/>
  <c r="Y153" i="6"/>
  <c r="Y166" i="6"/>
  <c r="Z166" i="6"/>
  <c r="Y182" i="6"/>
  <c r="Z182" i="6"/>
  <c r="Y198" i="6"/>
  <c r="Z198" i="6"/>
  <c r="Y214" i="6"/>
  <c r="Z214" i="6"/>
  <c r="Y230" i="6"/>
  <c r="Z230" i="6"/>
  <c r="Y246" i="6"/>
  <c r="Z246" i="6"/>
  <c r="Y262" i="6"/>
  <c r="Z262" i="6"/>
  <c r="Y276" i="6"/>
  <c r="Z276" i="6"/>
  <c r="Y290" i="6"/>
  <c r="Z290" i="6"/>
  <c r="Y306" i="6"/>
  <c r="Z306" i="6"/>
  <c r="Y315" i="6"/>
  <c r="Z315" i="6"/>
  <c r="Y346" i="6"/>
  <c r="Z346" i="6"/>
  <c r="Y21" i="6"/>
  <c r="Z21" i="6"/>
  <c r="Y25" i="6"/>
  <c r="Z25" i="6"/>
  <c r="Z42" i="6"/>
  <c r="Y42" i="6"/>
  <c r="Z46" i="6"/>
  <c r="Y46" i="6"/>
  <c r="Y71" i="6"/>
  <c r="Z71" i="6"/>
  <c r="Y80" i="6"/>
  <c r="Z80" i="6"/>
  <c r="Y108" i="6"/>
  <c r="Z108" i="6"/>
  <c r="Y119" i="6"/>
  <c r="Z119" i="6"/>
  <c r="Y134" i="6"/>
  <c r="Z134" i="6"/>
  <c r="Y150" i="6"/>
  <c r="Z150" i="6"/>
  <c r="Y154" i="6"/>
  <c r="Z154" i="6"/>
  <c r="Z175" i="6"/>
  <c r="Y175" i="6"/>
  <c r="Y239" i="6"/>
  <c r="Z239" i="6"/>
  <c r="Y267" i="6"/>
  <c r="Z267" i="6"/>
  <c r="Y271" i="6"/>
  <c r="Z271" i="6"/>
  <c r="Y285" i="6"/>
  <c r="Z285" i="6"/>
  <c r="Y299" i="6"/>
  <c r="Z299" i="6"/>
  <c r="Y308" i="6"/>
  <c r="Z308" i="6"/>
  <c r="Y324" i="6"/>
  <c r="Z324" i="6"/>
  <c r="Y339" i="6"/>
  <c r="Z339" i="6"/>
  <c r="Y355" i="6"/>
  <c r="Z355" i="6"/>
  <c r="Y371" i="6"/>
  <c r="Z371" i="6"/>
  <c r="Y387" i="6"/>
  <c r="Z387" i="6"/>
  <c r="Y31" i="6"/>
  <c r="Z31" i="6"/>
  <c r="Y35" i="6"/>
  <c r="Z35" i="6"/>
  <c r="Y47" i="6"/>
  <c r="Z47" i="6"/>
  <c r="Y63" i="6"/>
  <c r="Z63" i="6"/>
  <c r="Y67" i="6"/>
  <c r="Z67" i="6"/>
  <c r="Y72" i="6"/>
  <c r="Z72" i="6"/>
  <c r="Y81" i="6"/>
  <c r="Z81" i="6"/>
  <c r="Y87" i="6"/>
  <c r="Z87" i="6"/>
  <c r="Y101" i="6"/>
  <c r="Z101" i="6"/>
  <c r="Y143" i="6"/>
  <c r="Z143" i="6"/>
  <c r="Y168" i="6"/>
  <c r="Z168" i="6"/>
  <c r="Y200" i="6"/>
  <c r="Z200" i="6"/>
  <c r="Y216" i="6"/>
  <c r="Z216" i="6"/>
  <c r="Y232" i="6"/>
  <c r="Z232" i="6"/>
  <c r="Y248" i="6"/>
  <c r="Z248" i="6"/>
  <c r="Y264" i="6"/>
  <c r="Z264" i="6"/>
  <c r="Y278" i="6"/>
  <c r="Z278" i="6"/>
  <c r="Y292" i="6"/>
  <c r="Z292" i="6"/>
  <c r="Z313" i="6"/>
  <c r="Y313" i="6"/>
  <c r="Z329" i="6"/>
  <c r="Y329" i="6"/>
  <c r="Z344" i="6"/>
  <c r="Y344" i="6"/>
  <c r="Z360" i="6"/>
  <c r="Y360" i="6"/>
  <c r="Z380" i="6"/>
  <c r="Y380" i="6"/>
  <c r="AB17" i="6"/>
  <c r="AB74" i="6"/>
  <c r="AB403" i="6"/>
  <c r="AD403" i="6" s="1"/>
  <c r="AB400" i="6"/>
  <c r="AD400" i="6" s="1"/>
  <c r="AB407" i="6"/>
  <c r="AD407" i="6" s="1"/>
  <c r="AB419" i="6"/>
  <c r="AD419" i="6" s="1"/>
  <c r="AB431" i="6"/>
  <c r="AD431" i="6" s="1"/>
  <c r="AB404" i="6"/>
  <c r="AD404" i="6" s="1"/>
  <c r="AB420" i="6"/>
  <c r="AD420" i="6" s="1"/>
  <c r="AB405" i="6"/>
  <c r="AD405" i="6" s="1"/>
  <c r="AB409" i="6"/>
  <c r="AD409" i="6" s="1"/>
  <c r="AB425" i="6"/>
  <c r="AD425" i="6" s="1"/>
  <c r="Y23" i="6"/>
  <c r="Z23" i="6"/>
  <c r="Z78" i="6"/>
  <c r="Y78" i="6"/>
  <c r="Z217" i="6"/>
  <c r="Y217" i="6"/>
  <c r="Y322" i="6"/>
  <c r="Z322" i="6"/>
  <c r="Y385" i="6"/>
  <c r="Z385" i="6"/>
  <c r="Y24" i="6"/>
  <c r="Z24" i="6"/>
  <c r="Y33" i="6"/>
  <c r="Z33" i="6"/>
  <c r="Y49" i="6"/>
  <c r="Z49" i="6"/>
  <c r="Y65" i="6"/>
  <c r="Z65" i="6"/>
  <c r="Y103" i="6"/>
  <c r="Z103" i="6"/>
  <c r="Z141" i="6"/>
  <c r="Y141" i="6"/>
  <c r="Z145" i="6"/>
  <c r="Y145" i="6"/>
  <c r="Y158" i="6"/>
  <c r="Z158" i="6"/>
  <c r="Y170" i="6"/>
  <c r="Z170" i="6"/>
  <c r="Y186" i="6"/>
  <c r="Z186" i="6"/>
  <c r="Y202" i="6"/>
  <c r="Z202" i="6"/>
  <c r="Y218" i="6"/>
  <c r="Z218" i="6"/>
  <c r="Y234" i="6"/>
  <c r="Z234" i="6"/>
  <c r="Y250" i="6"/>
  <c r="Z250" i="6"/>
  <c r="Y266" i="6"/>
  <c r="Z266" i="6"/>
  <c r="Y280" i="6"/>
  <c r="Z280" i="6"/>
  <c r="Y294" i="6"/>
  <c r="Z294" i="6"/>
  <c r="Y319" i="6"/>
  <c r="Z319" i="6"/>
  <c r="Y331" i="6"/>
  <c r="Z331" i="6"/>
  <c r="Y334" i="6"/>
  <c r="Z334" i="6"/>
  <c r="Y350" i="6"/>
  <c r="Z350" i="6"/>
  <c r="Y362" i="6"/>
  <c r="Z362" i="6"/>
  <c r="Y382" i="6"/>
  <c r="Z382" i="6"/>
  <c r="Y386" i="6"/>
  <c r="Z386" i="6"/>
  <c r="Z30" i="6"/>
  <c r="Y30" i="6"/>
  <c r="Z34" i="6"/>
  <c r="Y34" i="6"/>
  <c r="Z62" i="6"/>
  <c r="Y62" i="6"/>
  <c r="Z66" i="6"/>
  <c r="Y66" i="6"/>
  <c r="Y96" i="6"/>
  <c r="Z96" i="6"/>
  <c r="Y123" i="6"/>
  <c r="Z123" i="6"/>
  <c r="Y138" i="6"/>
  <c r="Z138" i="6"/>
  <c r="Y142" i="6"/>
  <c r="Z142" i="6"/>
  <c r="Z159" i="6"/>
  <c r="Y159" i="6"/>
  <c r="Z163" i="6"/>
  <c r="Y163" i="6"/>
  <c r="Z179" i="6"/>
  <c r="Y179" i="6"/>
  <c r="Z191" i="6"/>
  <c r="Y191" i="6"/>
  <c r="Z195" i="6"/>
  <c r="Y195" i="6"/>
  <c r="Z207" i="6"/>
  <c r="Y207" i="6"/>
  <c r="Z211" i="6"/>
  <c r="Y211" i="6"/>
  <c r="Z223" i="6"/>
  <c r="Y223" i="6"/>
  <c r="Z227" i="6"/>
  <c r="Y227" i="6"/>
  <c r="Y255" i="6"/>
  <c r="Z255" i="6"/>
  <c r="Y259" i="6"/>
  <c r="Z259" i="6"/>
  <c r="Y303" i="6"/>
  <c r="Z303" i="6"/>
  <c r="Y312" i="6"/>
  <c r="Z312" i="6"/>
  <c r="Y328" i="6"/>
  <c r="Z328" i="6"/>
  <c r="Y343" i="6"/>
  <c r="Z343" i="6"/>
  <c r="Y359" i="6"/>
  <c r="Z359" i="6"/>
  <c r="Y375" i="6"/>
  <c r="Z375" i="6"/>
  <c r="Y393" i="6"/>
  <c r="Z393" i="6"/>
  <c r="Z22" i="6"/>
  <c r="Y22" i="6"/>
  <c r="Y39" i="6"/>
  <c r="Z39" i="6"/>
  <c r="Y51" i="6"/>
  <c r="Z51" i="6"/>
  <c r="Y105" i="6"/>
  <c r="Z105" i="6"/>
  <c r="Y128" i="6"/>
  <c r="Z128" i="6"/>
  <c r="Y132" i="6"/>
  <c r="Z132" i="6"/>
  <c r="Y147" i="6"/>
  <c r="Z147" i="6"/>
  <c r="Y160" i="6"/>
  <c r="Z160" i="6"/>
  <c r="Y172" i="6"/>
  <c r="Z172" i="6"/>
  <c r="Y188" i="6"/>
  <c r="Z188" i="6"/>
  <c r="Y192" i="6"/>
  <c r="Z192" i="6"/>
  <c r="Y204" i="6"/>
  <c r="Z204" i="6"/>
  <c r="Y220" i="6"/>
  <c r="Z220" i="6"/>
  <c r="Y236" i="6"/>
  <c r="Z236" i="6"/>
  <c r="Y252" i="6"/>
  <c r="Z252" i="6"/>
  <c r="Y268" i="6"/>
  <c r="Z268" i="6"/>
  <c r="Y282" i="6"/>
  <c r="Z282" i="6"/>
  <c r="Y296" i="6"/>
  <c r="Z296" i="6"/>
  <c r="Z317" i="6"/>
  <c r="Y317" i="6"/>
  <c r="Z332" i="6"/>
  <c r="Y332" i="6"/>
  <c r="Z348" i="6"/>
  <c r="Y348" i="6"/>
  <c r="Z352" i="6"/>
  <c r="Y352" i="6"/>
  <c r="Z364" i="6"/>
  <c r="Y364" i="6"/>
  <c r="Z368" i="6"/>
  <c r="Y368" i="6"/>
  <c r="Z384" i="6"/>
  <c r="Y384" i="6"/>
  <c r="Y92" i="6"/>
  <c r="Z92" i="6"/>
  <c r="AB90" i="6"/>
  <c r="AB396" i="6"/>
  <c r="AD396" i="6" s="1"/>
  <c r="Y433" i="9"/>
  <c r="AC433" i="9" s="1"/>
  <c r="Y421" i="9"/>
  <c r="AC421" i="9" s="1"/>
  <c r="Z412" i="9"/>
  <c r="Z416" i="9"/>
  <c r="Y400" i="9"/>
  <c r="AC400" i="9" s="1"/>
  <c r="Y431" i="8"/>
  <c r="AC431" i="8" s="1"/>
  <c r="Z16" i="9"/>
  <c r="Y16" i="9"/>
  <c r="Y425" i="9"/>
  <c r="AC425" i="9" s="1"/>
  <c r="Z89" i="9"/>
  <c r="Y396" i="9"/>
  <c r="AC396" i="9" s="1"/>
  <c r="Y409" i="9"/>
  <c r="AC409" i="9" s="1"/>
  <c r="Y433" i="8"/>
  <c r="AC433" i="8" s="1"/>
  <c r="Y424" i="8"/>
  <c r="Y428" i="9"/>
  <c r="AC428" i="9" s="1"/>
  <c r="Y70" i="8"/>
  <c r="Z420" i="9"/>
  <c r="Z28" i="9"/>
  <c r="Z86" i="8"/>
  <c r="Y83" i="9"/>
  <c r="Z423" i="8"/>
  <c r="Y432" i="9"/>
  <c r="AC432" i="9" s="1"/>
  <c r="V27" i="8"/>
  <c r="W27" i="8"/>
  <c r="W40" i="9"/>
  <c r="V40" i="9"/>
  <c r="V60" i="8"/>
  <c r="W60" i="8"/>
  <c r="V78" i="8"/>
  <c r="W78" i="8"/>
  <c r="W98" i="8"/>
  <c r="V98" i="8"/>
  <c r="V112" i="9"/>
  <c r="W112" i="9"/>
  <c r="W144" i="9"/>
  <c r="V144" i="9"/>
  <c r="V161" i="9"/>
  <c r="W161" i="9"/>
  <c r="W177" i="9"/>
  <c r="V177" i="9"/>
  <c r="V197" i="8"/>
  <c r="W197" i="8"/>
  <c r="V209" i="9"/>
  <c r="W209" i="9"/>
  <c r="V229" i="8"/>
  <c r="W229" i="8"/>
  <c r="V241" i="9"/>
  <c r="W241" i="9"/>
  <c r="W245" i="8"/>
  <c r="V245" i="8"/>
  <c r="W253" i="9"/>
  <c r="V253" i="9"/>
  <c r="V257" i="8"/>
  <c r="W257" i="8"/>
  <c r="W269" i="9"/>
  <c r="V269" i="9"/>
  <c r="V273" i="8"/>
  <c r="W273" i="8"/>
  <c r="W283" i="9"/>
  <c r="V283" i="9"/>
  <c r="V287" i="8"/>
  <c r="W287" i="8"/>
  <c r="W297" i="9"/>
  <c r="V297" i="9"/>
  <c r="V301" i="8"/>
  <c r="W301" i="8"/>
  <c r="V314" i="9"/>
  <c r="W314" i="9"/>
  <c r="V318" i="8"/>
  <c r="W318" i="8"/>
  <c r="V330" i="9"/>
  <c r="W330" i="9"/>
  <c r="W333" i="8"/>
  <c r="V333" i="8"/>
  <c r="W345" i="9"/>
  <c r="V345" i="9"/>
  <c r="V349" i="8"/>
  <c r="W349" i="8"/>
  <c r="W361" i="9"/>
  <c r="V361" i="9"/>
  <c r="W365" i="8"/>
  <c r="V365" i="8"/>
  <c r="W377" i="9"/>
  <c r="V377" i="9"/>
  <c r="V381" i="8"/>
  <c r="W381" i="8"/>
  <c r="V390" i="9"/>
  <c r="W390" i="9"/>
  <c r="Y89" i="9"/>
  <c r="Y74" i="9"/>
  <c r="Z74" i="9"/>
  <c r="Y74" i="8"/>
  <c r="Z74" i="8"/>
  <c r="Y118" i="9"/>
  <c r="Z118" i="9"/>
  <c r="Y70" i="9"/>
  <c r="Z70" i="9"/>
  <c r="Y407" i="9"/>
  <c r="AC407" i="9" s="1"/>
  <c r="Z407" i="9"/>
  <c r="Y427" i="9"/>
  <c r="AC427" i="9" s="1"/>
  <c r="Z427" i="9"/>
  <c r="Z422" i="9"/>
  <c r="Y422" i="9"/>
  <c r="AC422" i="9" s="1"/>
  <c r="Z403" i="9"/>
  <c r="Y403" i="9"/>
  <c r="AC403" i="9" s="1"/>
  <c r="Z411" i="9"/>
  <c r="Y411" i="9"/>
  <c r="AC411" i="9" s="1"/>
  <c r="Z405" i="9"/>
  <c r="Y405" i="9"/>
  <c r="AC405" i="9" s="1"/>
  <c r="Y421" i="8"/>
  <c r="AC421" i="8" s="1"/>
  <c r="Z421" i="8"/>
  <c r="Z401" i="9"/>
  <c r="Y401" i="9"/>
  <c r="AC401" i="9" s="1"/>
  <c r="Z428" i="9"/>
  <c r="Y412" i="8"/>
  <c r="AC412" i="8" s="1"/>
  <c r="Z412" i="8"/>
  <c r="Z431" i="8"/>
  <c r="Y432" i="8"/>
  <c r="Y12" i="4"/>
  <c r="Y493" i="4" s="1"/>
  <c r="M12" i="4"/>
  <c r="M493" i="4" s="1"/>
  <c r="Y401" i="8"/>
  <c r="AC401" i="8" s="1"/>
  <c r="Z401" i="8"/>
  <c r="Y430" i="8"/>
  <c r="Y412" i="9"/>
  <c r="AC412" i="9" s="1"/>
  <c r="Z400" i="9"/>
  <c r="Y416" i="9"/>
  <c r="AC416" i="9" s="1"/>
  <c r="Y404" i="9"/>
  <c r="AC404" i="9" s="1"/>
  <c r="Z404" i="9"/>
  <c r="X14" i="8"/>
  <c r="W14" i="8"/>
  <c r="V14" i="8"/>
  <c r="V29" i="9"/>
  <c r="W29" i="9"/>
  <c r="W33" i="8"/>
  <c r="V33" i="8"/>
  <c r="V45" i="9"/>
  <c r="W45" i="9"/>
  <c r="W49" i="8"/>
  <c r="V49" i="8"/>
  <c r="W61" i="9"/>
  <c r="V61" i="9"/>
  <c r="V65" i="8"/>
  <c r="W65" i="8"/>
  <c r="W79" i="9"/>
  <c r="V79" i="9"/>
  <c r="V84" i="8"/>
  <c r="W84" i="8"/>
  <c r="V99" i="9"/>
  <c r="W99" i="9"/>
  <c r="W103" i="8"/>
  <c r="V103" i="8"/>
  <c r="V117" i="9"/>
  <c r="W117" i="9"/>
  <c r="V122" i="8"/>
  <c r="W122" i="8"/>
  <c r="W133" i="9"/>
  <c r="V133" i="9"/>
  <c r="W137" i="8"/>
  <c r="V137" i="8"/>
  <c r="W149" i="9"/>
  <c r="V149" i="9"/>
  <c r="V153" i="8"/>
  <c r="W153" i="8"/>
  <c r="W166" i="9"/>
  <c r="V166" i="9"/>
  <c r="W170" i="8"/>
  <c r="V170" i="8"/>
  <c r="W182" i="9"/>
  <c r="V182" i="9"/>
  <c r="V186" i="8"/>
  <c r="W186" i="8"/>
  <c r="V198" i="9"/>
  <c r="W198" i="9"/>
  <c r="V202" i="8"/>
  <c r="W202" i="8"/>
  <c r="V214" i="9"/>
  <c r="W214" i="9"/>
  <c r="V218" i="8"/>
  <c r="W218" i="8"/>
  <c r="V230" i="9"/>
  <c r="W230" i="9"/>
  <c r="V234" i="8"/>
  <c r="W234" i="8"/>
  <c r="W246" i="9"/>
  <c r="V246" i="9"/>
  <c r="V250" i="8"/>
  <c r="W250" i="8"/>
  <c r="W262" i="9"/>
  <c r="V262" i="9"/>
  <c r="W266" i="8"/>
  <c r="V266" i="8"/>
  <c r="V276" i="9"/>
  <c r="W276" i="9"/>
  <c r="V280" i="8"/>
  <c r="W280" i="8"/>
  <c r="W290" i="9"/>
  <c r="V290" i="9"/>
  <c r="V294" i="8"/>
  <c r="W294" i="8"/>
  <c r="V306" i="9"/>
  <c r="W306" i="9"/>
  <c r="V311" i="8"/>
  <c r="W311" i="8"/>
  <c r="W323" i="9"/>
  <c r="V323" i="9"/>
  <c r="W327" i="8"/>
  <c r="V327" i="8"/>
  <c r="W338" i="9"/>
  <c r="V338" i="9"/>
  <c r="W342" i="8"/>
  <c r="V342" i="8"/>
  <c r="V354" i="9"/>
  <c r="W354" i="9"/>
  <c r="W358" i="8"/>
  <c r="V358" i="8"/>
  <c r="V374" i="9"/>
  <c r="W374" i="9"/>
  <c r="V378" i="8"/>
  <c r="W392" i="9"/>
  <c r="V392" i="9"/>
  <c r="V21" i="9"/>
  <c r="W21" i="9"/>
  <c r="V25" i="8"/>
  <c r="W25" i="8"/>
  <c r="V38" i="9"/>
  <c r="W38" i="9"/>
  <c r="V42" i="8"/>
  <c r="W42" i="8"/>
  <c r="V54" i="9"/>
  <c r="W54" i="9"/>
  <c r="W58" i="8"/>
  <c r="V58" i="8"/>
  <c r="W71" i="9"/>
  <c r="V71" i="9"/>
  <c r="V76" i="8"/>
  <c r="W76" i="8"/>
  <c r="W92" i="9"/>
  <c r="V92" i="9"/>
  <c r="V96" i="8"/>
  <c r="W96" i="8"/>
  <c r="V108" i="9"/>
  <c r="W108" i="9"/>
  <c r="V114" i="8"/>
  <c r="W114" i="8"/>
  <c r="V127" i="9"/>
  <c r="W127" i="9"/>
  <c r="V131" i="8"/>
  <c r="W131" i="8"/>
  <c r="V142" i="9"/>
  <c r="W142" i="9"/>
  <c r="V146" i="8"/>
  <c r="W146" i="8"/>
  <c r="W159" i="9"/>
  <c r="V159" i="9"/>
  <c r="V163" i="8"/>
  <c r="W163" i="8"/>
  <c r="V175" i="9"/>
  <c r="W175" i="9"/>
  <c r="V179" i="8"/>
  <c r="W179" i="8"/>
  <c r="W191" i="9"/>
  <c r="V191" i="9"/>
  <c r="V195" i="8"/>
  <c r="W195" i="8"/>
  <c r="W207" i="9"/>
  <c r="V207" i="9"/>
  <c r="V211" i="8"/>
  <c r="W211" i="8"/>
  <c r="W223" i="9"/>
  <c r="V223" i="9"/>
  <c r="V227" i="8"/>
  <c r="W227" i="8"/>
  <c r="V239" i="9"/>
  <c r="W239" i="9"/>
  <c r="W243" i="8"/>
  <c r="V243" i="8"/>
  <c r="V255" i="8"/>
  <c r="W255" i="8"/>
  <c r="W255" i="9"/>
  <c r="V255" i="9"/>
  <c r="V259" i="8"/>
  <c r="W259" i="8"/>
  <c r="W271" i="9"/>
  <c r="V271" i="9"/>
  <c r="V285" i="9"/>
  <c r="W285" i="9"/>
  <c r="V299" i="9"/>
  <c r="W299" i="9"/>
  <c r="V303" i="8"/>
  <c r="W303" i="8"/>
  <c r="V316" i="9"/>
  <c r="W316" i="9"/>
  <c r="V320" i="8"/>
  <c r="W320" i="8"/>
  <c r="W335" i="8"/>
  <c r="V335" i="8"/>
  <c r="W347" i="9"/>
  <c r="V347" i="9"/>
  <c r="V351" i="8"/>
  <c r="W351" i="8"/>
  <c r="W363" i="9"/>
  <c r="V363" i="9"/>
  <c r="V367" i="8"/>
  <c r="W367" i="8"/>
  <c r="W379" i="9"/>
  <c r="V379" i="9"/>
  <c r="W383" i="8"/>
  <c r="V383" i="8"/>
  <c r="W22" i="9"/>
  <c r="V22" i="9"/>
  <c r="W26" i="8"/>
  <c r="V26" i="8"/>
  <c r="W39" i="9"/>
  <c r="V39" i="9"/>
  <c r="V43" i="8"/>
  <c r="W43" i="8"/>
  <c r="W55" i="9"/>
  <c r="V55" i="9"/>
  <c r="W59" i="8"/>
  <c r="V59" i="8"/>
  <c r="V72" i="9"/>
  <c r="W72" i="9"/>
  <c r="W77" i="8"/>
  <c r="V77" i="8"/>
  <c r="W93" i="9"/>
  <c r="V93" i="9"/>
  <c r="W97" i="8"/>
  <c r="V97" i="8"/>
  <c r="V109" i="9"/>
  <c r="W109" i="9"/>
  <c r="V115" i="8"/>
  <c r="W115" i="8"/>
  <c r="W128" i="9"/>
  <c r="V128" i="9"/>
  <c r="W132" i="8"/>
  <c r="V132" i="8"/>
  <c r="W143" i="9"/>
  <c r="V143" i="9"/>
  <c r="W160" i="9"/>
  <c r="V160" i="9"/>
  <c r="W164" i="8"/>
  <c r="V164" i="8"/>
  <c r="V176" i="9"/>
  <c r="W176" i="9"/>
  <c r="W180" i="8"/>
  <c r="V180" i="8"/>
  <c r="W192" i="9"/>
  <c r="V192" i="9"/>
  <c r="V196" i="8"/>
  <c r="W196" i="8"/>
  <c r="W208" i="9"/>
  <c r="V208" i="9"/>
  <c r="V212" i="8"/>
  <c r="W212" i="8"/>
  <c r="W224" i="9"/>
  <c r="V224" i="9"/>
  <c r="V228" i="8"/>
  <c r="W228" i="8"/>
  <c r="W240" i="9"/>
  <c r="V240" i="9"/>
  <c r="V244" i="8"/>
  <c r="W244" i="8"/>
  <c r="V252" i="9"/>
  <c r="W252" i="9"/>
  <c r="V256" i="8"/>
  <c r="W256" i="8"/>
  <c r="V268" i="9"/>
  <c r="W268" i="9"/>
  <c r="V272" i="8"/>
  <c r="W272" i="8"/>
  <c r="V282" i="9"/>
  <c r="W282" i="9"/>
  <c r="V286" i="8"/>
  <c r="W286" i="8"/>
  <c r="X286" i="8"/>
  <c r="V296" i="9"/>
  <c r="W296" i="9"/>
  <c r="V300" i="8"/>
  <c r="W300" i="8"/>
  <c r="W313" i="9"/>
  <c r="V313" i="9"/>
  <c r="V317" i="8"/>
  <c r="W317" i="8"/>
  <c r="W329" i="9"/>
  <c r="V329" i="9"/>
  <c r="V332" i="8"/>
  <c r="W332" i="8"/>
  <c r="W344" i="9"/>
  <c r="V344" i="9"/>
  <c r="V348" i="8"/>
  <c r="W348" i="8"/>
  <c r="W360" i="9"/>
  <c r="V360" i="9"/>
  <c r="V364" i="8"/>
  <c r="W364" i="8"/>
  <c r="W376" i="9"/>
  <c r="V376" i="9"/>
  <c r="W380" i="8"/>
  <c r="V380" i="8"/>
  <c r="V389" i="9"/>
  <c r="W389" i="9"/>
  <c r="W394" i="9"/>
  <c r="V394" i="9"/>
  <c r="V23" i="9"/>
  <c r="W23" i="9"/>
  <c r="V44" i="8"/>
  <c r="W44" i="8"/>
  <c r="V56" i="9"/>
  <c r="W56" i="9"/>
  <c r="V73" i="9"/>
  <c r="W73" i="9"/>
  <c r="V94" i="9"/>
  <c r="W94" i="9"/>
  <c r="W116" i="8"/>
  <c r="V116" i="8"/>
  <c r="W129" i="9"/>
  <c r="V129" i="9"/>
  <c r="V148" i="8"/>
  <c r="W148" i="8"/>
  <c r="V165" i="8"/>
  <c r="W165" i="8"/>
  <c r="V181" i="8"/>
  <c r="W181" i="8"/>
  <c r="V193" i="9"/>
  <c r="W193" i="9"/>
  <c r="V213" i="8"/>
  <c r="W213" i="8"/>
  <c r="V225" i="9"/>
  <c r="W225" i="9"/>
  <c r="V13" i="8"/>
  <c r="W13" i="8"/>
  <c r="V27" i="9"/>
  <c r="W27" i="9"/>
  <c r="W32" i="8"/>
  <c r="V32" i="8"/>
  <c r="W44" i="9"/>
  <c r="V44" i="9"/>
  <c r="V48" i="8"/>
  <c r="W48" i="8"/>
  <c r="W60" i="9"/>
  <c r="V60" i="9"/>
  <c r="W64" i="8"/>
  <c r="V64" i="8"/>
  <c r="W78" i="9"/>
  <c r="V78" i="9"/>
  <c r="W82" i="8"/>
  <c r="V82" i="8"/>
  <c r="W98" i="9"/>
  <c r="V98" i="9"/>
  <c r="V102" i="8"/>
  <c r="W102" i="8"/>
  <c r="V116" i="9"/>
  <c r="W116" i="9"/>
  <c r="V121" i="8"/>
  <c r="W121" i="8"/>
  <c r="V136" i="8"/>
  <c r="W136" i="8"/>
  <c r="W148" i="9"/>
  <c r="V148" i="9"/>
  <c r="V152" i="8"/>
  <c r="W152" i="8"/>
  <c r="V165" i="9"/>
  <c r="W165" i="9"/>
  <c r="V169" i="8"/>
  <c r="W169" i="8"/>
  <c r="W181" i="9"/>
  <c r="V181" i="9"/>
  <c r="V185" i="8"/>
  <c r="W185" i="8"/>
  <c r="V197" i="9"/>
  <c r="W197" i="9"/>
  <c r="W201" i="8"/>
  <c r="V201" i="8"/>
  <c r="V213" i="9"/>
  <c r="W213" i="9"/>
  <c r="W217" i="8"/>
  <c r="V217" i="8"/>
  <c r="V229" i="9"/>
  <c r="W229" i="9"/>
  <c r="V233" i="8"/>
  <c r="W233" i="8"/>
  <c r="V245" i="9"/>
  <c r="W245" i="9"/>
  <c r="W249" i="8"/>
  <c r="V249" i="8"/>
  <c r="W257" i="9"/>
  <c r="V257" i="9"/>
  <c r="V261" i="8"/>
  <c r="W261" i="8"/>
  <c r="W273" i="9"/>
  <c r="V273" i="9"/>
  <c r="W287" i="9"/>
  <c r="V287" i="9"/>
  <c r="W289" i="8"/>
  <c r="V289" i="8"/>
  <c r="V301" i="9"/>
  <c r="W301" i="9"/>
  <c r="W305" i="8"/>
  <c r="V305" i="8"/>
  <c r="W318" i="9"/>
  <c r="V318" i="9"/>
  <c r="V322" i="8"/>
  <c r="W322" i="8"/>
  <c r="W333" i="9"/>
  <c r="V333" i="9"/>
  <c r="W337" i="8"/>
  <c r="V337" i="8"/>
  <c r="V349" i="9"/>
  <c r="W349" i="9"/>
  <c r="W353" i="8"/>
  <c r="V353" i="8"/>
  <c r="W365" i="9"/>
  <c r="V365" i="9"/>
  <c r="V369" i="8"/>
  <c r="W369" i="8"/>
  <c r="V377" i="8"/>
  <c r="W377" i="8"/>
  <c r="W381" i="9"/>
  <c r="V381" i="9"/>
  <c r="V385" i="8"/>
  <c r="W385" i="8"/>
  <c r="Y83" i="8"/>
  <c r="Z83" i="8"/>
  <c r="Y16" i="8"/>
  <c r="Z16" i="8"/>
  <c r="Y111" i="9"/>
  <c r="Z111" i="9"/>
  <c r="Z90" i="9"/>
  <c r="Y90" i="9"/>
  <c r="Z307" i="8"/>
  <c r="Y86" i="8"/>
  <c r="Y86" i="9"/>
  <c r="Z86" i="9"/>
  <c r="Z414" i="9"/>
  <c r="Y414" i="9"/>
  <c r="AC414" i="9" s="1"/>
  <c r="Z423" i="9"/>
  <c r="Y423" i="9"/>
  <c r="AC423" i="9" s="1"/>
  <c r="Y399" i="8"/>
  <c r="Z399" i="8"/>
  <c r="Z432" i="9"/>
  <c r="Z396" i="9"/>
  <c r="Y410" i="8"/>
  <c r="AC410" i="8" s="1"/>
  <c r="Z410" i="8"/>
  <c r="Z429" i="8"/>
  <c r="Y429" i="8"/>
  <c r="Y397" i="8"/>
  <c r="AC397" i="8" s="1"/>
  <c r="Z397" i="8"/>
  <c r="Y402" i="8"/>
  <c r="Z402" i="8"/>
  <c r="Y415" i="8"/>
  <c r="AC415" i="8" s="1"/>
  <c r="Z415" i="8"/>
  <c r="Y403" i="8"/>
  <c r="AC403" i="8" s="1"/>
  <c r="Z403" i="8"/>
  <c r="Y414" i="8"/>
  <c r="AC414" i="8" s="1"/>
  <c r="Z414" i="8"/>
  <c r="Y411" i="8"/>
  <c r="Z411" i="8"/>
  <c r="Y404" i="8"/>
  <c r="AC404" i="8" s="1"/>
  <c r="Z404" i="8"/>
  <c r="Y425" i="8"/>
  <c r="AC425" i="8" s="1"/>
  <c r="X14" i="9"/>
  <c r="W14" i="9"/>
  <c r="V14" i="9"/>
  <c r="W20" i="8"/>
  <c r="V20" i="8"/>
  <c r="V33" i="9"/>
  <c r="W33" i="9"/>
  <c r="V37" i="8"/>
  <c r="W37" i="8"/>
  <c r="V49" i="9"/>
  <c r="W49" i="9"/>
  <c r="W53" i="8"/>
  <c r="V53" i="8"/>
  <c r="W65" i="9"/>
  <c r="V65" i="9"/>
  <c r="W69" i="8"/>
  <c r="V69" i="8"/>
  <c r="V84" i="9"/>
  <c r="W84" i="9"/>
  <c r="W91" i="8"/>
  <c r="V91" i="8"/>
  <c r="W103" i="9"/>
  <c r="V103" i="9"/>
  <c r="V107" i="8"/>
  <c r="W107" i="8"/>
  <c r="V122" i="9"/>
  <c r="W122" i="9"/>
  <c r="W126" i="8"/>
  <c r="V126" i="8"/>
  <c r="W137" i="9"/>
  <c r="V137" i="9"/>
  <c r="W141" i="8"/>
  <c r="V141" i="8"/>
  <c r="V153" i="9"/>
  <c r="W153" i="9"/>
  <c r="V158" i="8"/>
  <c r="W158" i="8"/>
  <c r="W170" i="9"/>
  <c r="V170" i="9"/>
  <c r="W174" i="8"/>
  <c r="V174" i="8"/>
  <c r="W186" i="9"/>
  <c r="V186" i="9"/>
  <c r="V190" i="8"/>
  <c r="W190" i="8"/>
  <c r="V202" i="9"/>
  <c r="W202" i="9"/>
  <c r="V206" i="8"/>
  <c r="W206" i="8"/>
  <c r="V218" i="9"/>
  <c r="W218" i="9"/>
  <c r="W222" i="8"/>
  <c r="V222" i="8"/>
  <c r="W234" i="9"/>
  <c r="V234" i="9"/>
  <c r="V238" i="8"/>
  <c r="W238" i="8"/>
  <c r="V250" i="9"/>
  <c r="W250" i="9"/>
  <c r="V254" i="8"/>
  <c r="W254" i="8"/>
  <c r="W266" i="9"/>
  <c r="V266" i="9"/>
  <c r="W270" i="8"/>
  <c r="V270" i="8"/>
  <c r="V280" i="9"/>
  <c r="W280" i="9"/>
  <c r="V284" i="8"/>
  <c r="W284" i="8"/>
  <c r="V294" i="9"/>
  <c r="W294" i="9"/>
  <c r="V298" i="8"/>
  <c r="W298" i="8"/>
  <c r="W311" i="9"/>
  <c r="V311" i="9"/>
  <c r="V315" i="8"/>
  <c r="W315" i="8"/>
  <c r="W327" i="9"/>
  <c r="V327" i="9"/>
  <c r="V331" i="8"/>
  <c r="W331" i="8"/>
  <c r="W342" i="9"/>
  <c r="V342" i="9"/>
  <c r="V346" i="8"/>
  <c r="W346" i="8"/>
  <c r="V358" i="9"/>
  <c r="W358" i="9"/>
  <c r="V362" i="8"/>
  <c r="W362" i="8"/>
  <c r="V378" i="9"/>
  <c r="V382" i="8"/>
  <c r="W382" i="8"/>
  <c r="V25" i="9"/>
  <c r="W25" i="9"/>
  <c r="W30" i="8"/>
  <c r="V30" i="8"/>
  <c r="W42" i="9"/>
  <c r="V42" i="9"/>
  <c r="V46" i="8"/>
  <c r="W46" i="8"/>
  <c r="W58" i="9"/>
  <c r="V58" i="9"/>
  <c r="V62" i="8"/>
  <c r="W62" i="8"/>
  <c r="W76" i="9"/>
  <c r="V76" i="9"/>
  <c r="V80" i="8"/>
  <c r="W80" i="8"/>
  <c r="V96" i="9"/>
  <c r="W96" i="9"/>
  <c r="W100" i="8"/>
  <c r="V100" i="8"/>
  <c r="V114" i="9"/>
  <c r="W114" i="9"/>
  <c r="W119" i="8"/>
  <c r="V119" i="8"/>
  <c r="V131" i="9"/>
  <c r="W131" i="9"/>
  <c r="V134" i="8"/>
  <c r="W134" i="8"/>
  <c r="V146" i="9"/>
  <c r="W146" i="9"/>
  <c r="V150" i="8"/>
  <c r="W150" i="8"/>
  <c r="V163" i="9"/>
  <c r="W163" i="9"/>
  <c r="V167" i="8"/>
  <c r="W167" i="8"/>
  <c r="W179" i="9"/>
  <c r="V179" i="9"/>
  <c r="W183" i="8"/>
  <c r="V183" i="8"/>
  <c r="V195" i="9"/>
  <c r="W195" i="9"/>
  <c r="V199" i="8"/>
  <c r="W199" i="8"/>
  <c r="V211" i="9"/>
  <c r="W211" i="9"/>
  <c r="V215" i="8"/>
  <c r="W215" i="8"/>
  <c r="V227" i="9"/>
  <c r="W227" i="9"/>
  <c r="V231" i="8"/>
  <c r="W231" i="8"/>
  <c r="W243" i="9"/>
  <c r="V243" i="9"/>
  <c r="W247" i="8"/>
  <c r="V247" i="8"/>
  <c r="V259" i="9"/>
  <c r="W259" i="9"/>
  <c r="V263" i="8"/>
  <c r="W263" i="8"/>
  <c r="V277" i="8"/>
  <c r="W277" i="8"/>
  <c r="V291" i="8"/>
  <c r="W291" i="8"/>
  <c r="V303" i="9"/>
  <c r="W303" i="9"/>
  <c r="V308" i="8"/>
  <c r="W308" i="8"/>
  <c r="W320" i="9"/>
  <c r="V320" i="9"/>
  <c r="W324" i="8"/>
  <c r="V324" i="8"/>
  <c r="V335" i="9"/>
  <c r="W335" i="9"/>
  <c r="W339" i="8"/>
  <c r="V339" i="8"/>
  <c r="V351" i="9"/>
  <c r="W351" i="9"/>
  <c r="W355" i="8"/>
  <c r="V355" i="8"/>
  <c r="W367" i="9"/>
  <c r="V367" i="9"/>
  <c r="W371" i="8"/>
  <c r="V371" i="8"/>
  <c r="W383" i="9"/>
  <c r="V383" i="9"/>
  <c r="V387" i="8"/>
  <c r="W387" i="8"/>
  <c r="V26" i="9"/>
  <c r="W26" i="9"/>
  <c r="V31" i="8"/>
  <c r="W31" i="8"/>
  <c r="V43" i="9"/>
  <c r="W43" i="9"/>
  <c r="W47" i="8"/>
  <c r="V47" i="8"/>
  <c r="W59" i="9"/>
  <c r="V59" i="9"/>
  <c r="V63" i="8"/>
  <c r="W63" i="8"/>
  <c r="V77" i="9"/>
  <c r="W77" i="9"/>
  <c r="V81" i="8"/>
  <c r="W81" i="8"/>
  <c r="V97" i="9"/>
  <c r="W97" i="9"/>
  <c r="V101" i="8"/>
  <c r="W101" i="8"/>
  <c r="W115" i="9"/>
  <c r="V115" i="9"/>
  <c r="V120" i="8"/>
  <c r="W120" i="8"/>
  <c r="V132" i="9"/>
  <c r="W132" i="9"/>
  <c r="W135" i="8"/>
  <c r="V135" i="8"/>
  <c r="V147" i="9"/>
  <c r="W147" i="9"/>
  <c r="W151" i="8"/>
  <c r="V151" i="8"/>
  <c r="W164" i="9"/>
  <c r="V164" i="9"/>
  <c r="V168" i="8"/>
  <c r="W168" i="8"/>
  <c r="V180" i="9"/>
  <c r="W180" i="9"/>
  <c r="V184" i="8"/>
  <c r="W184" i="8"/>
  <c r="W196" i="9"/>
  <c r="V196" i="9"/>
  <c r="W200" i="8"/>
  <c r="V200" i="8"/>
  <c r="W212" i="9"/>
  <c r="V212" i="9"/>
  <c r="V216" i="8"/>
  <c r="W216" i="8"/>
  <c r="V228" i="9"/>
  <c r="W228" i="9"/>
  <c r="W232" i="8"/>
  <c r="V232" i="8"/>
  <c r="W244" i="9"/>
  <c r="V244" i="9"/>
  <c r="V248" i="8"/>
  <c r="W248" i="8"/>
  <c r="W256" i="9"/>
  <c r="V256" i="9"/>
  <c r="W260" i="8"/>
  <c r="V260" i="8"/>
  <c r="W272" i="9"/>
  <c r="V272" i="9"/>
  <c r="W275" i="8"/>
  <c r="V275" i="8"/>
  <c r="X286" i="9"/>
  <c r="W286" i="9"/>
  <c r="V286" i="9"/>
  <c r="V300" i="9"/>
  <c r="W300" i="9"/>
  <c r="V304" i="8"/>
  <c r="W304" i="8"/>
  <c r="V317" i="9"/>
  <c r="W317" i="9"/>
  <c r="V321" i="8"/>
  <c r="W321" i="8"/>
  <c r="V332" i="9"/>
  <c r="W332" i="9"/>
  <c r="V336" i="8"/>
  <c r="W336" i="8"/>
  <c r="V348" i="9"/>
  <c r="W348" i="9"/>
  <c r="W352" i="8"/>
  <c r="V352" i="8"/>
  <c r="V364" i="9"/>
  <c r="W364" i="9"/>
  <c r="W368" i="8"/>
  <c r="V368" i="8"/>
  <c r="W380" i="9"/>
  <c r="V380" i="9"/>
  <c r="W384" i="8"/>
  <c r="V384" i="8"/>
  <c r="V13" i="9"/>
  <c r="W13" i="9"/>
  <c r="V19" i="8"/>
  <c r="W19" i="8"/>
  <c r="W32" i="9"/>
  <c r="V32" i="9"/>
  <c r="V36" i="8"/>
  <c r="W36" i="8"/>
  <c r="W48" i="9"/>
  <c r="V48" i="9"/>
  <c r="V52" i="8"/>
  <c r="W52" i="8"/>
  <c r="W64" i="9"/>
  <c r="V64" i="9"/>
  <c r="W68" i="8"/>
  <c r="V68" i="8"/>
  <c r="W82" i="9"/>
  <c r="V82" i="9"/>
  <c r="V88" i="8"/>
  <c r="W88" i="8"/>
  <c r="V102" i="9"/>
  <c r="W102" i="9"/>
  <c r="W106" i="8"/>
  <c r="V106" i="8"/>
  <c r="V121" i="9"/>
  <c r="W121" i="9"/>
  <c r="V125" i="8"/>
  <c r="W125" i="8"/>
  <c r="W136" i="9"/>
  <c r="V136" i="9"/>
  <c r="W140" i="8"/>
  <c r="V140" i="8"/>
  <c r="W152" i="9"/>
  <c r="V152" i="9"/>
  <c r="V156" i="8"/>
  <c r="W156" i="8"/>
  <c r="W169" i="9"/>
  <c r="V169" i="9"/>
  <c r="V173" i="8"/>
  <c r="W173" i="8"/>
  <c r="W185" i="9"/>
  <c r="V185" i="9"/>
  <c r="V189" i="8"/>
  <c r="W189" i="8"/>
  <c r="V201" i="9"/>
  <c r="W201" i="9"/>
  <c r="V205" i="8"/>
  <c r="W205" i="8"/>
  <c r="V217" i="9"/>
  <c r="W217" i="9"/>
  <c r="V221" i="8"/>
  <c r="W221" i="8"/>
  <c r="V233" i="9"/>
  <c r="W233" i="9"/>
  <c r="W237" i="8"/>
  <c r="V237" i="8"/>
  <c r="W249" i="9"/>
  <c r="V249" i="9"/>
  <c r="W261" i="9"/>
  <c r="V261" i="9"/>
  <c r="W265" i="8"/>
  <c r="V265" i="8"/>
  <c r="V279" i="8"/>
  <c r="W279" i="8"/>
  <c r="W289" i="9"/>
  <c r="V289" i="9"/>
  <c r="V293" i="8"/>
  <c r="W293" i="8"/>
  <c r="W305" i="9"/>
  <c r="V305" i="9"/>
  <c r="V310" i="8"/>
  <c r="W310" i="8"/>
  <c r="W322" i="9"/>
  <c r="V322" i="9"/>
  <c r="V326" i="8"/>
  <c r="W326" i="8"/>
  <c r="W337" i="9"/>
  <c r="V337" i="9"/>
  <c r="V341" i="8"/>
  <c r="W341" i="8"/>
  <c r="W353" i="9"/>
  <c r="V353" i="9"/>
  <c r="W357" i="8"/>
  <c r="V357" i="8"/>
  <c r="W369" i="9"/>
  <c r="V369" i="9"/>
  <c r="V373" i="8"/>
  <c r="W373" i="8"/>
  <c r="W385" i="9"/>
  <c r="V385" i="9"/>
  <c r="V391" i="8"/>
  <c r="W391" i="8"/>
  <c r="Z89" i="8"/>
  <c r="Y89" i="8"/>
  <c r="Y157" i="8"/>
  <c r="Z157" i="8"/>
  <c r="Y28" i="9"/>
  <c r="Y90" i="8"/>
  <c r="Z90" i="8"/>
  <c r="Y118" i="8"/>
  <c r="Z118" i="8"/>
  <c r="Z70" i="8"/>
  <c r="Y110" i="9"/>
  <c r="Z110" i="9"/>
  <c r="Y110" i="8"/>
  <c r="Z110" i="8"/>
  <c r="Z307" i="9"/>
  <c r="Y307" i="9"/>
  <c r="Z406" i="9"/>
  <c r="Y406" i="9"/>
  <c r="AC406" i="9" s="1"/>
  <c r="Z426" i="9"/>
  <c r="Y426" i="9"/>
  <c r="AC426" i="9" s="1"/>
  <c r="Z410" i="9"/>
  <c r="Y410" i="9"/>
  <c r="AC410" i="9" s="1"/>
  <c r="Z417" i="9"/>
  <c r="Y420" i="8"/>
  <c r="Z420" i="8"/>
  <c r="Y422" i="8"/>
  <c r="AC422" i="8" s="1"/>
  <c r="Z422" i="8"/>
  <c r="Y395" i="8"/>
  <c r="Z395" i="8"/>
  <c r="Y407" i="8"/>
  <c r="AC407" i="8" s="1"/>
  <c r="Z407" i="8"/>
  <c r="Z425" i="8"/>
  <c r="Y419" i="8"/>
  <c r="AC419" i="8" s="1"/>
  <c r="Z419" i="8"/>
  <c r="Y396" i="8"/>
  <c r="Z396" i="8"/>
  <c r="Y406" i="8"/>
  <c r="AC406" i="8" s="1"/>
  <c r="Z406" i="8"/>
  <c r="Y427" i="8"/>
  <c r="AC427" i="8" s="1"/>
  <c r="Z427" i="8"/>
  <c r="Z424" i="8"/>
  <c r="Z398" i="8"/>
  <c r="Y398" i="8"/>
  <c r="Y416" i="8"/>
  <c r="Z416" i="8"/>
  <c r="Z421" i="9"/>
  <c r="Y397" i="9"/>
  <c r="AC397" i="9" s="1"/>
  <c r="Z397" i="9"/>
  <c r="V20" i="9"/>
  <c r="W20" i="9"/>
  <c r="W24" i="8"/>
  <c r="V24" i="8"/>
  <c r="W37" i="9"/>
  <c r="V37" i="9"/>
  <c r="W41" i="8"/>
  <c r="V41" i="8"/>
  <c r="V53" i="9"/>
  <c r="W53" i="9"/>
  <c r="V57" i="8"/>
  <c r="W57" i="8"/>
  <c r="V69" i="9"/>
  <c r="W69" i="9"/>
  <c r="V75" i="8"/>
  <c r="W75" i="8"/>
  <c r="V91" i="9"/>
  <c r="W91" i="9"/>
  <c r="W95" i="8"/>
  <c r="V95" i="8"/>
  <c r="W107" i="9"/>
  <c r="V107" i="9"/>
  <c r="W113" i="8"/>
  <c r="V113" i="8"/>
  <c r="V126" i="9"/>
  <c r="W126" i="9"/>
  <c r="V130" i="8"/>
  <c r="W130" i="8"/>
  <c r="W141" i="9"/>
  <c r="V141" i="9"/>
  <c r="V145" i="8"/>
  <c r="W145" i="8"/>
  <c r="V158" i="9"/>
  <c r="W158" i="9"/>
  <c r="V162" i="8"/>
  <c r="W162" i="8"/>
  <c r="V174" i="9"/>
  <c r="W174" i="9"/>
  <c r="V178" i="8"/>
  <c r="W178" i="8"/>
  <c r="V190" i="9"/>
  <c r="W190" i="9"/>
  <c r="W194" i="8"/>
  <c r="V194" i="8"/>
  <c r="V206" i="9"/>
  <c r="W206" i="9"/>
  <c r="W210" i="8"/>
  <c r="V210" i="8"/>
  <c r="V222" i="9"/>
  <c r="W222" i="9"/>
  <c r="W226" i="8"/>
  <c r="V226" i="8"/>
  <c r="V238" i="9"/>
  <c r="W238" i="9"/>
  <c r="V242" i="8"/>
  <c r="W242" i="8"/>
  <c r="V254" i="9"/>
  <c r="W254" i="9"/>
  <c r="W258" i="8"/>
  <c r="V258" i="8"/>
  <c r="V270" i="9"/>
  <c r="W270" i="9"/>
  <c r="W274" i="8"/>
  <c r="V274" i="8"/>
  <c r="W284" i="9"/>
  <c r="V284" i="9"/>
  <c r="V288" i="8"/>
  <c r="W288" i="8"/>
  <c r="W298" i="9"/>
  <c r="V298" i="9"/>
  <c r="W302" i="8"/>
  <c r="V302" i="8"/>
  <c r="V315" i="9"/>
  <c r="W315" i="9"/>
  <c r="W319" i="8"/>
  <c r="V319" i="8"/>
  <c r="V331" i="9"/>
  <c r="W331" i="9"/>
  <c r="V334" i="8"/>
  <c r="W334" i="8"/>
  <c r="W346" i="9"/>
  <c r="V346" i="9"/>
  <c r="W350" i="8"/>
  <c r="V350" i="8"/>
  <c r="W362" i="9"/>
  <c r="V362" i="9"/>
  <c r="V366" i="8"/>
  <c r="W366" i="8"/>
  <c r="W382" i="9"/>
  <c r="V382" i="9"/>
  <c r="V386" i="8"/>
  <c r="W386" i="8"/>
  <c r="W15" i="8"/>
  <c r="V15" i="8"/>
  <c r="V30" i="9"/>
  <c r="W30" i="9"/>
  <c r="W34" i="8"/>
  <c r="V34" i="8"/>
  <c r="V46" i="9"/>
  <c r="W46" i="9"/>
  <c r="V50" i="8"/>
  <c r="W50" i="8"/>
  <c r="W62" i="9"/>
  <c r="V62" i="9"/>
  <c r="W66" i="8"/>
  <c r="V66" i="8"/>
  <c r="W80" i="9"/>
  <c r="V80" i="9"/>
  <c r="V85" i="8"/>
  <c r="W85" i="8"/>
  <c r="W100" i="9"/>
  <c r="V100" i="9"/>
  <c r="V104" i="8"/>
  <c r="W104" i="8"/>
  <c r="V119" i="9"/>
  <c r="W119" i="9"/>
  <c r="V123" i="8"/>
  <c r="W123" i="8"/>
  <c r="V134" i="9"/>
  <c r="W134" i="9"/>
  <c r="W138" i="8"/>
  <c r="V138" i="8"/>
  <c r="V150" i="9"/>
  <c r="W150" i="9"/>
  <c r="W154" i="8"/>
  <c r="V154" i="8"/>
  <c r="V167" i="9"/>
  <c r="W167" i="9"/>
  <c r="V171" i="8"/>
  <c r="W171" i="8"/>
  <c r="V183" i="9"/>
  <c r="W183" i="9"/>
  <c r="V187" i="8"/>
  <c r="W187" i="8"/>
  <c r="W199" i="9"/>
  <c r="V199" i="9"/>
  <c r="V203" i="8"/>
  <c r="W203" i="8"/>
  <c r="V215" i="9"/>
  <c r="W215" i="9"/>
  <c r="W219" i="8"/>
  <c r="V219" i="8"/>
  <c r="W231" i="9"/>
  <c r="V231" i="9"/>
  <c r="V235" i="8"/>
  <c r="W235" i="8"/>
  <c r="V247" i="9"/>
  <c r="W247" i="9"/>
  <c r="V251" i="8"/>
  <c r="W251" i="8"/>
  <c r="W263" i="9"/>
  <c r="V263" i="9"/>
  <c r="V267" i="8"/>
  <c r="W267" i="8"/>
  <c r="W277" i="9"/>
  <c r="V277" i="9"/>
  <c r="V281" i="8"/>
  <c r="W281" i="8"/>
  <c r="V291" i="9"/>
  <c r="W291" i="9"/>
  <c r="V295" i="8"/>
  <c r="W295" i="8"/>
  <c r="V308" i="9"/>
  <c r="W308" i="9"/>
  <c r="W312" i="8"/>
  <c r="V312" i="8"/>
  <c r="V324" i="9"/>
  <c r="W324" i="9"/>
  <c r="W328" i="8"/>
  <c r="V328" i="8"/>
  <c r="V339" i="9"/>
  <c r="W339" i="9"/>
  <c r="W343" i="8"/>
  <c r="V343" i="8"/>
  <c r="V355" i="9"/>
  <c r="W355" i="9"/>
  <c r="V359" i="8"/>
  <c r="W359" i="8"/>
  <c r="W371" i="9"/>
  <c r="V371" i="9"/>
  <c r="V375" i="8"/>
  <c r="W375" i="8"/>
  <c r="W387" i="9"/>
  <c r="V387" i="9"/>
  <c r="V393" i="8"/>
  <c r="W393" i="8"/>
  <c r="W18" i="8"/>
  <c r="V18" i="8"/>
  <c r="W31" i="9"/>
  <c r="V31" i="9"/>
  <c r="V35" i="8"/>
  <c r="W35" i="8"/>
  <c r="W47" i="9"/>
  <c r="V47" i="9"/>
  <c r="V51" i="8"/>
  <c r="W51" i="8"/>
  <c r="V63" i="9"/>
  <c r="W63" i="9"/>
  <c r="V67" i="8"/>
  <c r="W67" i="8"/>
  <c r="V81" i="9"/>
  <c r="W81" i="9"/>
  <c r="V87" i="8"/>
  <c r="W87" i="8"/>
  <c r="V101" i="9"/>
  <c r="W101" i="9"/>
  <c r="W105" i="8"/>
  <c r="V105" i="8"/>
  <c r="W120" i="9"/>
  <c r="V120" i="9"/>
  <c r="V124" i="8"/>
  <c r="W124" i="8"/>
  <c r="W135" i="9"/>
  <c r="V135" i="9"/>
  <c r="V139" i="8"/>
  <c r="W139" i="8"/>
  <c r="W147" i="8"/>
  <c r="V147" i="8"/>
  <c r="V151" i="9"/>
  <c r="W151" i="9"/>
  <c r="V155" i="8"/>
  <c r="W155" i="8"/>
  <c r="V168" i="9"/>
  <c r="W168" i="9"/>
  <c r="V172" i="8"/>
  <c r="W172" i="8"/>
  <c r="W184" i="9"/>
  <c r="V184" i="9"/>
  <c r="W188" i="8"/>
  <c r="V188" i="8"/>
  <c r="V200" i="9"/>
  <c r="W200" i="9"/>
  <c r="W204" i="8"/>
  <c r="V204" i="8"/>
  <c r="W216" i="9"/>
  <c r="V216" i="9"/>
  <c r="W220" i="8"/>
  <c r="V220" i="8"/>
  <c r="W232" i="9"/>
  <c r="V232" i="9"/>
  <c r="V236" i="8"/>
  <c r="W236" i="8"/>
  <c r="W248" i="9"/>
  <c r="V248" i="9"/>
  <c r="V260" i="9"/>
  <c r="W260" i="9"/>
  <c r="V264" i="8"/>
  <c r="W264" i="8"/>
  <c r="V275" i="9"/>
  <c r="W275" i="9"/>
  <c r="V278" i="8"/>
  <c r="W278" i="8"/>
  <c r="V292" i="8"/>
  <c r="W292" i="8"/>
  <c r="W304" i="9"/>
  <c r="V304" i="9"/>
  <c r="V309" i="8"/>
  <c r="W309" i="8"/>
  <c r="W321" i="9"/>
  <c r="V321" i="9"/>
  <c r="V325" i="8"/>
  <c r="W325" i="8"/>
  <c r="W336" i="9"/>
  <c r="V336" i="9"/>
  <c r="V340" i="8"/>
  <c r="W340" i="8"/>
  <c r="W352" i="9"/>
  <c r="V352" i="9"/>
  <c r="V356" i="8"/>
  <c r="W356" i="8"/>
  <c r="W368" i="9"/>
  <c r="V368" i="9"/>
  <c r="V372" i="8"/>
  <c r="W372" i="8"/>
  <c r="V384" i="9"/>
  <c r="W384" i="9"/>
  <c r="W388" i="8"/>
  <c r="V388" i="8"/>
  <c r="W19" i="9"/>
  <c r="V19" i="9"/>
  <c r="W23" i="8"/>
  <c r="V23" i="8"/>
  <c r="V36" i="9"/>
  <c r="W36" i="9"/>
  <c r="W40" i="8"/>
  <c r="V40" i="8"/>
  <c r="V52" i="9"/>
  <c r="W52" i="9"/>
  <c r="W56" i="8"/>
  <c r="V56" i="8"/>
  <c r="W68" i="9"/>
  <c r="V68" i="9"/>
  <c r="W73" i="8"/>
  <c r="V73" i="8"/>
  <c r="W88" i="9"/>
  <c r="V88" i="9"/>
  <c r="V94" i="8"/>
  <c r="W94" i="8"/>
  <c r="V106" i="9"/>
  <c r="W106" i="9"/>
  <c r="V112" i="8"/>
  <c r="W112" i="8"/>
  <c r="W125" i="9"/>
  <c r="V125" i="9"/>
  <c r="W129" i="8"/>
  <c r="V129" i="8"/>
  <c r="W140" i="9"/>
  <c r="V140" i="9"/>
  <c r="V144" i="8"/>
  <c r="W144" i="8"/>
  <c r="W156" i="9"/>
  <c r="V156" i="9"/>
  <c r="W161" i="8"/>
  <c r="V161" i="8"/>
  <c r="W173" i="9"/>
  <c r="V173" i="9"/>
  <c r="V177" i="8"/>
  <c r="W177" i="8"/>
  <c r="V189" i="9"/>
  <c r="W189" i="9"/>
  <c r="V193" i="8"/>
  <c r="W193" i="8"/>
  <c r="V205" i="9"/>
  <c r="W205" i="9"/>
  <c r="V209" i="8"/>
  <c r="W209" i="8"/>
  <c r="W221" i="9"/>
  <c r="V221" i="9"/>
  <c r="V225" i="8"/>
  <c r="W225" i="8"/>
  <c r="V237" i="9"/>
  <c r="W237" i="9"/>
  <c r="V241" i="8"/>
  <c r="W241" i="8"/>
  <c r="W253" i="8"/>
  <c r="V253" i="8"/>
  <c r="W265" i="9"/>
  <c r="V265" i="9"/>
  <c r="V269" i="8"/>
  <c r="W269" i="8"/>
  <c r="V279" i="9"/>
  <c r="W279" i="9"/>
  <c r="V283" i="8"/>
  <c r="W283" i="8"/>
  <c r="V293" i="9"/>
  <c r="W293" i="9"/>
  <c r="W297" i="8"/>
  <c r="V297" i="8"/>
  <c r="W310" i="9"/>
  <c r="V310" i="9"/>
  <c r="V314" i="8"/>
  <c r="W314" i="8"/>
  <c r="W326" i="9"/>
  <c r="V326" i="9"/>
  <c r="V330" i="8"/>
  <c r="W330" i="8"/>
  <c r="W341" i="9"/>
  <c r="V341" i="9"/>
  <c r="V345" i="8"/>
  <c r="W345" i="8"/>
  <c r="W357" i="9"/>
  <c r="V357" i="9"/>
  <c r="V361" i="8"/>
  <c r="W361" i="8"/>
  <c r="W373" i="9"/>
  <c r="V373" i="9"/>
  <c r="V390" i="8"/>
  <c r="W390" i="8"/>
  <c r="V391" i="9"/>
  <c r="W391" i="9"/>
  <c r="Y157" i="9"/>
  <c r="Z83" i="9"/>
  <c r="Y28" i="8"/>
  <c r="Z28" i="8"/>
  <c r="Z157" i="9"/>
  <c r="Y111" i="8"/>
  <c r="Z111" i="8"/>
  <c r="Y307" i="8"/>
  <c r="Z402" i="9"/>
  <c r="Y402" i="9"/>
  <c r="AC402" i="9" s="1"/>
  <c r="Z399" i="9"/>
  <c r="Y399" i="9"/>
  <c r="AC399" i="9" s="1"/>
  <c r="Y430" i="9"/>
  <c r="AC430" i="9" s="1"/>
  <c r="Z430" i="9"/>
  <c r="Z431" i="9"/>
  <c r="Y431" i="9"/>
  <c r="AC431" i="9" s="1"/>
  <c r="Z398" i="9"/>
  <c r="Y398" i="9"/>
  <c r="AC398" i="9" s="1"/>
  <c r="Z418" i="9"/>
  <c r="Y418" i="9"/>
  <c r="AC418" i="9" s="1"/>
  <c r="Y415" i="9"/>
  <c r="AC415" i="9" s="1"/>
  <c r="Z415" i="9"/>
  <c r="Z395" i="9"/>
  <c r="Y395" i="9"/>
  <c r="AC395" i="9" s="1"/>
  <c r="Z419" i="9"/>
  <c r="Y419" i="9"/>
  <c r="AC419" i="9" s="1"/>
  <c r="Z413" i="9"/>
  <c r="Y413" i="9"/>
  <c r="AC413" i="9" s="1"/>
  <c r="Y423" i="8"/>
  <c r="AC423" i="8" s="1"/>
  <c r="Y405" i="8"/>
  <c r="Z405" i="8"/>
  <c r="Z409" i="9"/>
  <c r="Y420" i="9"/>
  <c r="AC420" i="9" s="1"/>
  <c r="Z409" i="8"/>
  <c r="Y409" i="8"/>
  <c r="Y418" i="8"/>
  <c r="Z418" i="8"/>
  <c r="Z424" i="9"/>
  <c r="Y424" i="9"/>
  <c r="AC424" i="9" s="1"/>
  <c r="Y408" i="9"/>
  <c r="AC408" i="9" s="1"/>
  <c r="Z408" i="9"/>
  <c r="Z430" i="8"/>
  <c r="Z425" i="9"/>
  <c r="Y413" i="8"/>
  <c r="AC413" i="8" s="1"/>
  <c r="Z413" i="8"/>
  <c r="Y400" i="8"/>
  <c r="AC400" i="8" s="1"/>
  <c r="Z400" i="8"/>
  <c r="Y417" i="8"/>
  <c r="Z417" i="8"/>
  <c r="Y426" i="8"/>
  <c r="Z426" i="8"/>
  <c r="Y428" i="8"/>
  <c r="Z428" i="8"/>
  <c r="Z432" i="8"/>
  <c r="Z433" i="8"/>
  <c r="Y408" i="8"/>
  <c r="AC408" i="8" s="1"/>
  <c r="Z408" i="8"/>
  <c r="Z433" i="9"/>
  <c r="Y429" i="9"/>
  <c r="AC429" i="9" s="1"/>
  <c r="Z429" i="9"/>
  <c r="W24" i="9"/>
  <c r="V24" i="9"/>
  <c r="V29" i="8"/>
  <c r="W29" i="8"/>
  <c r="V41" i="9"/>
  <c r="W41" i="9"/>
  <c r="V45" i="8"/>
  <c r="W45" i="8"/>
  <c r="W57" i="9"/>
  <c r="V57" i="9"/>
  <c r="W61" i="8"/>
  <c r="V61" i="8"/>
  <c r="V75" i="9"/>
  <c r="W75" i="9"/>
  <c r="W79" i="8"/>
  <c r="V79" i="8"/>
  <c r="V95" i="9"/>
  <c r="W95" i="9"/>
  <c r="V99" i="8"/>
  <c r="W99" i="8"/>
  <c r="W113" i="9"/>
  <c r="V113" i="9"/>
  <c r="V117" i="8"/>
  <c r="W117" i="8"/>
  <c r="V130" i="9"/>
  <c r="W130" i="9"/>
  <c r="V133" i="8"/>
  <c r="W133" i="8"/>
  <c r="W145" i="9"/>
  <c r="V145" i="9"/>
  <c r="W149" i="8"/>
  <c r="V149" i="8"/>
  <c r="W162" i="9"/>
  <c r="V162" i="9"/>
  <c r="V166" i="8"/>
  <c r="W166" i="8"/>
  <c r="W178" i="9"/>
  <c r="V178" i="9"/>
  <c r="V182" i="8"/>
  <c r="W182" i="8"/>
  <c r="V194" i="9"/>
  <c r="W194" i="9"/>
  <c r="V198" i="8"/>
  <c r="W198" i="8"/>
  <c r="W210" i="9"/>
  <c r="V210" i="9"/>
  <c r="V214" i="8"/>
  <c r="W214" i="8"/>
  <c r="V226" i="9"/>
  <c r="W226" i="9"/>
  <c r="W230" i="8"/>
  <c r="V230" i="8"/>
  <c r="V242" i="9"/>
  <c r="W242" i="9"/>
  <c r="W246" i="8"/>
  <c r="V246" i="8"/>
  <c r="V258" i="9"/>
  <c r="W258" i="9"/>
  <c r="W262" i="8"/>
  <c r="V262" i="8"/>
  <c r="V274" i="9"/>
  <c r="W274" i="9"/>
  <c r="V276" i="8"/>
  <c r="W276" i="8"/>
  <c r="V288" i="9"/>
  <c r="W288" i="9"/>
  <c r="V290" i="8"/>
  <c r="W290" i="8"/>
  <c r="W302" i="9"/>
  <c r="V302" i="9"/>
  <c r="V306" i="8"/>
  <c r="W306" i="8"/>
  <c r="W319" i="9"/>
  <c r="V319" i="9"/>
  <c r="V323" i="8"/>
  <c r="W323" i="8"/>
  <c r="W334" i="9"/>
  <c r="V334" i="9"/>
  <c r="V338" i="8"/>
  <c r="W338" i="8"/>
  <c r="V350" i="9"/>
  <c r="W350" i="9"/>
  <c r="V354" i="8"/>
  <c r="W354" i="8"/>
  <c r="V366" i="9"/>
  <c r="W366" i="9"/>
  <c r="W374" i="8"/>
  <c r="V374" i="8"/>
  <c r="W386" i="9"/>
  <c r="V386" i="9"/>
  <c r="V392" i="8"/>
  <c r="W392" i="8"/>
  <c r="W15" i="9"/>
  <c r="V15" i="9"/>
  <c r="V21" i="8"/>
  <c r="W21" i="8"/>
  <c r="V34" i="9"/>
  <c r="W34" i="9"/>
  <c r="W38" i="8"/>
  <c r="V38" i="8"/>
  <c r="W50" i="9"/>
  <c r="V50" i="9"/>
  <c r="V54" i="8"/>
  <c r="W54" i="8"/>
  <c r="V66" i="9"/>
  <c r="W66" i="9"/>
  <c r="W71" i="8"/>
  <c r="V71" i="8"/>
  <c r="V85" i="9"/>
  <c r="W85" i="9"/>
  <c r="V92" i="8"/>
  <c r="W92" i="8"/>
  <c r="W104" i="9"/>
  <c r="V104" i="9"/>
  <c r="W108" i="8"/>
  <c r="V108" i="8"/>
  <c r="V123" i="9"/>
  <c r="W123" i="9"/>
  <c r="V127" i="8"/>
  <c r="W127" i="8"/>
  <c r="W138" i="9"/>
  <c r="V138" i="9"/>
  <c r="W142" i="8"/>
  <c r="V142" i="8"/>
  <c r="V154" i="9"/>
  <c r="W154" i="9"/>
  <c r="W159" i="8"/>
  <c r="V159" i="8"/>
  <c r="V171" i="9"/>
  <c r="W171" i="9"/>
  <c r="V175" i="8"/>
  <c r="W175" i="8"/>
  <c r="W187" i="9"/>
  <c r="V187" i="9"/>
  <c r="W191" i="8"/>
  <c r="V191" i="8"/>
  <c r="V203" i="9"/>
  <c r="W203" i="9"/>
  <c r="W207" i="8"/>
  <c r="V207" i="8"/>
  <c r="W219" i="9"/>
  <c r="V219" i="9"/>
  <c r="W223" i="8"/>
  <c r="V223" i="8"/>
  <c r="W235" i="9"/>
  <c r="V235" i="9"/>
  <c r="W239" i="8"/>
  <c r="V239" i="8"/>
  <c r="V251" i="9"/>
  <c r="W251" i="9"/>
  <c r="V267" i="9"/>
  <c r="W267" i="9"/>
  <c r="V271" i="8"/>
  <c r="W271" i="8"/>
  <c r="W281" i="9"/>
  <c r="V281" i="9"/>
  <c r="W285" i="8"/>
  <c r="V285" i="8"/>
  <c r="W295" i="9"/>
  <c r="V295" i="9"/>
  <c r="V299" i="8"/>
  <c r="W299" i="8"/>
  <c r="W312" i="9"/>
  <c r="V312" i="9"/>
  <c r="W316" i="8"/>
  <c r="V316" i="8"/>
  <c r="W328" i="9"/>
  <c r="V328" i="9"/>
  <c r="W343" i="9"/>
  <c r="V343" i="9"/>
  <c r="W347" i="8"/>
  <c r="V347" i="8"/>
  <c r="V359" i="9"/>
  <c r="W359" i="9"/>
  <c r="V363" i="8"/>
  <c r="W363" i="8"/>
  <c r="W375" i="9"/>
  <c r="V375" i="9"/>
  <c r="V379" i="8"/>
  <c r="W379" i="8"/>
  <c r="V393" i="9"/>
  <c r="W393" i="9"/>
  <c r="W18" i="9"/>
  <c r="V18" i="9"/>
  <c r="W22" i="8"/>
  <c r="V22" i="8"/>
  <c r="W35" i="9"/>
  <c r="V35" i="9"/>
  <c r="W39" i="8"/>
  <c r="V39" i="8"/>
  <c r="V51" i="9"/>
  <c r="W51" i="9"/>
  <c r="W55" i="8"/>
  <c r="V55" i="8"/>
  <c r="W67" i="9"/>
  <c r="V67" i="9"/>
  <c r="V72" i="8"/>
  <c r="W72" i="8"/>
  <c r="W87" i="9"/>
  <c r="V87" i="9"/>
  <c r="W93" i="8"/>
  <c r="V93" i="8"/>
  <c r="W105" i="9"/>
  <c r="V105" i="9"/>
  <c r="W109" i="8"/>
  <c r="V109" i="8"/>
  <c r="V124" i="9"/>
  <c r="W124" i="9"/>
  <c r="V128" i="8"/>
  <c r="W128" i="8"/>
  <c r="V139" i="9"/>
  <c r="W139" i="9"/>
  <c r="V143" i="8"/>
  <c r="W143" i="8"/>
  <c r="W155" i="9"/>
  <c r="V155" i="9"/>
  <c r="V160" i="8"/>
  <c r="W160" i="8"/>
  <c r="V172" i="9"/>
  <c r="W172" i="9"/>
  <c r="V176" i="8"/>
  <c r="W176" i="8"/>
  <c r="V188" i="9"/>
  <c r="W188" i="9"/>
  <c r="V192" i="8"/>
  <c r="W192" i="8"/>
  <c r="W204" i="9"/>
  <c r="V204" i="9"/>
  <c r="V208" i="8"/>
  <c r="W208" i="8"/>
  <c r="W220" i="9"/>
  <c r="V220" i="9"/>
  <c r="V224" i="8"/>
  <c r="W224" i="8"/>
  <c r="V236" i="9"/>
  <c r="W236" i="9"/>
  <c r="W240" i="8"/>
  <c r="V240" i="8"/>
  <c r="W252" i="8"/>
  <c r="V252" i="8"/>
  <c r="W264" i="9"/>
  <c r="V264" i="9"/>
  <c r="V268" i="8"/>
  <c r="W268" i="8"/>
  <c r="W278" i="9"/>
  <c r="V278" i="9"/>
  <c r="W282" i="8"/>
  <c r="V282" i="8"/>
  <c r="W292" i="9"/>
  <c r="V292" i="9"/>
  <c r="V296" i="8"/>
  <c r="W296" i="8"/>
  <c r="V309" i="9"/>
  <c r="W309" i="9"/>
  <c r="W313" i="8"/>
  <c r="V313" i="8"/>
  <c r="V325" i="9"/>
  <c r="W325" i="9"/>
  <c r="V329" i="8"/>
  <c r="W329" i="8"/>
  <c r="V340" i="9"/>
  <c r="W340" i="9"/>
  <c r="V344" i="8"/>
  <c r="W344" i="8"/>
  <c r="V356" i="9"/>
  <c r="W356" i="9"/>
  <c r="V360" i="8"/>
  <c r="W360" i="8"/>
  <c r="W372" i="9"/>
  <c r="V372" i="9"/>
  <c r="W376" i="8"/>
  <c r="V376" i="8"/>
  <c r="W388" i="9"/>
  <c r="V388" i="9"/>
  <c r="W389" i="8"/>
  <c r="V389" i="8"/>
  <c r="V394" i="8"/>
  <c r="W394" i="8"/>
  <c r="AR12" i="36"/>
  <c r="C4" i="99"/>
  <c r="D361" i="99"/>
  <c r="D414" i="94"/>
  <c r="AI337" i="36" l="1"/>
  <c r="M337" i="36"/>
  <c r="AI322" i="36"/>
  <c r="M322" i="36"/>
  <c r="AI305" i="36"/>
  <c r="M305" i="36"/>
  <c r="AI257" i="36"/>
  <c r="M257" i="36"/>
  <c r="AI241" i="36"/>
  <c r="M241" i="36"/>
  <c r="AI225" i="36"/>
  <c r="M225" i="36"/>
  <c r="AI189" i="36"/>
  <c r="M189" i="36"/>
  <c r="AI173" i="36"/>
  <c r="M173" i="36"/>
  <c r="AI152" i="36"/>
  <c r="M152" i="36"/>
  <c r="AI292" i="36"/>
  <c r="M292" i="36"/>
  <c r="AI272" i="36"/>
  <c r="M272" i="36"/>
  <c r="AI256" i="36"/>
  <c r="M256" i="36"/>
  <c r="AI240" i="36"/>
  <c r="M240" i="36"/>
  <c r="AI228" i="36"/>
  <c r="M228" i="36"/>
  <c r="AI192" i="36"/>
  <c r="M192" i="36"/>
  <c r="AI171" i="36"/>
  <c r="M171" i="36"/>
  <c r="AI323" i="36"/>
  <c r="M323" i="36"/>
  <c r="AI129" i="36"/>
  <c r="M129" i="36"/>
  <c r="AI82" i="36"/>
  <c r="M82" i="36"/>
  <c r="AI56" i="36"/>
  <c r="M56" i="36"/>
  <c r="AI383" i="36"/>
  <c r="M383" i="36"/>
  <c r="AI229" i="36"/>
  <c r="M229" i="36"/>
  <c r="AI365" i="36"/>
  <c r="M365" i="36"/>
  <c r="AI369" i="36"/>
  <c r="M369" i="36"/>
  <c r="AI303" i="36"/>
  <c r="M303" i="36"/>
  <c r="AI342" i="36"/>
  <c r="M342" i="36"/>
  <c r="AI357" i="36"/>
  <c r="M357" i="36"/>
  <c r="AI279" i="36"/>
  <c r="M279" i="36"/>
  <c r="AI59" i="36"/>
  <c r="M59" i="36"/>
  <c r="AI39" i="36"/>
  <c r="M39" i="36"/>
  <c r="AI389" i="36"/>
  <c r="M389" i="36"/>
  <c r="AI368" i="36"/>
  <c r="M368" i="36"/>
  <c r="AI340" i="36"/>
  <c r="M340" i="36"/>
  <c r="AI321" i="36"/>
  <c r="M321" i="36"/>
  <c r="AI151" i="36"/>
  <c r="M151" i="36"/>
  <c r="AI85" i="36"/>
  <c r="M85" i="36"/>
  <c r="AI58" i="36"/>
  <c r="M58" i="36"/>
  <c r="AI42" i="36"/>
  <c r="M42" i="36"/>
  <c r="AI363" i="36"/>
  <c r="M363" i="36"/>
  <c r="AI332" i="36"/>
  <c r="M332" i="36"/>
  <c r="AI320" i="36"/>
  <c r="M320" i="36"/>
  <c r="AI307" i="36"/>
  <c r="M307" i="36"/>
  <c r="AI291" i="36"/>
  <c r="M291" i="36"/>
  <c r="AI277" i="36"/>
  <c r="M277" i="36"/>
  <c r="AI267" i="36"/>
  <c r="M267" i="36"/>
  <c r="AI219" i="36"/>
  <c r="M219" i="36"/>
  <c r="AI45" i="36"/>
  <c r="M45" i="36"/>
  <c r="AI387" i="36"/>
  <c r="M387" i="36"/>
  <c r="AI280" i="36"/>
  <c r="M280" i="36"/>
  <c r="AI266" i="36"/>
  <c r="M266" i="36"/>
  <c r="AI254" i="36"/>
  <c r="M254" i="36"/>
  <c r="AI218" i="36"/>
  <c r="M218" i="36"/>
  <c r="AI206" i="36"/>
  <c r="M206" i="36"/>
  <c r="AI194" i="36"/>
  <c r="M194" i="36"/>
  <c r="AI170" i="36"/>
  <c r="M170" i="36"/>
  <c r="AI157" i="36"/>
  <c r="M157" i="36"/>
  <c r="AI392" i="36"/>
  <c r="M392" i="36"/>
  <c r="AI386" i="36"/>
  <c r="M386" i="36"/>
  <c r="AI345" i="36"/>
  <c r="M345" i="36"/>
  <c r="AI318" i="36"/>
  <c r="M318" i="36"/>
  <c r="AI301" i="36"/>
  <c r="M301" i="36"/>
  <c r="AI276" i="36"/>
  <c r="M276" i="36"/>
  <c r="AI253" i="36"/>
  <c r="M253" i="36"/>
  <c r="AI185" i="36"/>
  <c r="M185" i="36"/>
  <c r="AI161" i="36"/>
  <c r="M161" i="36"/>
  <c r="AI147" i="36"/>
  <c r="M147" i="36"/>
  <c r="AI86" i="36"/>
  <c r="M86" i="36"/>
  <c r="AI77" i="36"/>
  <c r="M77" i="36"/>
  <c r="AI55" i="36"/>
  <c r="M55" i="36"/>
  <c r="AI317" i="36"/>
  <c r="M317" i="36"/>
  <c r="AI304" i="36"/>
  <c r="M304" i="36"/>
  <c r="AI286" i="36"/>
  <c r="M286" i="36"/>
  <c r="AI224" i="36"/>
  <c r="M224" i="36"/>
  <c r="AI180" i="36"/>
  <c r="M180" i="36"/>
  <c r="AI160" i="36"/>
  <c r="M160" i="36"/>
  <c r="AI146" i="36"/>
  <c r="M146" i="36"/>
  <c r="AI131" i="36"/>
  <c r="M131" i="36"/>
  <c r="AI54" i="36"/>
  <c r="M54" i="36"/>
  <c r="AI394" i="36"/>
  <c r="M394" i="36"/>
  <c r="AI343" i="36"/>
  <c r="M343" i="36"/>
  <c r="AI299" i="36"/>
  <c r="M299" i="36"/>
  <c r="AI289" i="36"/>
  <c r="M289" i="36"/>
  <c r="AI275" i="36"/>
  <c r="M275" i="36"/>
  <c r="AI251" i="36"/>
  <c r="M251" i="36"/>
  <c r="AI239" i="36"/>
  <c r="M239" i="36"/>
  <c r="AI215" i="36"/>
  <c r="M215" i="36"/>
  <c r="AI179" i="36"/>
  <c r="M179" i="36"/>
  <c r="AI149" i="36"/>
  <c r="M149" i="36"/>
  <c r="AI83" i="36"/>
  <c r="M83" i="36"/>
  <c r="AI57" i="36"/>
  <c r="M57" i="36"/>
  <c r="AI358" i="36"/>
  <c r="M358" i="36"/>
  <c r="AI350" i="36"/>
  <c r="M350" i="36"/>
  <c r="AI334" i="36"/>
  <c r="M334" i="36"/>
  <c r="AI319" i="36"/>
  <c r="M319" i="36"/>
  <c r="AI311" i="36"/>
  <c r="M311" i="36"/>
  <c r="AI298" i="36"/>
  <c r="M298" i="36"/>
  <c r="AI288" i="36"/>
  <c r="M288" i="36"/>
  <c r="AI262" i="36"/>
  <c r="M262" i="36"/>
  <c r="AI226" i="36"/>
  <c r="M226" i="36"/>
  <c r="AI190" i="36"/>
  <c r="M190" i="36"/>
  <c r="AI178" i="36"/>
  <c r="M178" i="36"/>
  <c r="AI153" i="36"/>
  <c r="M153" i="36"/>
  <c r="AI52" i="36"/>
  <c r="M52" i="36"/>
  <c r="AI375" i="36"/>
  <c r="M375" i="36"/>
  <c r="AI378" i="36"/>
  <c r="M378" i="36"/>
  <c r="AI88" i="36"/>
  <c r="M88" i="36"/>
  <c r="AI63" i="36"/>
  <c r="M63" i="36"/>
  <c r="AI390" i="36"/>
  <c r="M390" i="36"/>
  <c r="AI372" i="36"/>
  <c r="M372" i="36"/>
  <c r="AI127" i="36"/>
  <c r="M127" i="36"/>
  <c r="AI265" i="36"/>
  <c r="M265" i="36"/>
  <c r="AI143" i="36"/>
  <c r="M143" i="36"/>
  <c r="AI132" i="36"/>
  <c r="M132" i="36"/>
  <c r="AI188" i="36"/>
  <c r="M188" i="36"/>
  <c r="AI176" i="36"/>
  <c r="M176" i="36"/>
  <c r="AI168" i="36"/>
  <c r="M168" i="36"/>
  <c r="AI155" i="36"/>
  <c r="M155" i="36"/>
  <c r="AI142" i="36"/>
  <c r="M142" i="36"/>
  <c r="AI271" i="36"/>
  <c r="M271" i="36"/>
  <c r="AI263" i="36"/>
  <c r="M263" i="36"/>
  <c r="AI211" i="36"/>
  <c r="M211" i="36"/>
  <c r="AI195" i="36"/>
  <c r="M195" i="36"/>
  <c r="AI187" i="36"/>
  <c r="M187" i="36"/>
  <c r="AI175" i="36"/>
  <c r="M175" i="36"/>
  <c r="AI167" i="36"/>
  <c r="M167" i="36"/>
  <c r="AI145" i="36"/>
  <c r="M145" i="36"/>
  <c r="AI130" i="36"/>
  <c r="M130" i="36"/>
  <c r="AI79" i="36"/>
  <c r="M79" i="36"/>
  <c r="AI346" i="36"/>
  <c r="M346" i="36"/>
  <c r="AI331" i="36"/>
  <c r="M331" i="36"/>
  <c r="AI274" i="36"/>
  <c r="M274" i="36"/>
  <c r="AI242" i="36"/>
  <c r="M242" i="36"/>
  <c r="AI166" i="36"/>
  <c r="M166" i="36"/>
  <c r="AI110" i="36"/>
  <c r="M110" i="36"/>
  <c r="AI19" i="36"/>
  <c r="M19" i="36"/>
  <c r="AI362" i="36"/>
  <c r="M362" i="36"/>
  <c r="AI361" i="36"/>
  <c r="M361" i="36"/>
  <c r="AI385" i="36"/>
  <c r="M385" i="36"/>
  <c r="AI356" i="36"/>
  <c r="M356" i="36"/>
  <c r="AI367" i="36"/>
  <c r="M367" i="36"/>
  <c r="AI366" i="36"/>
  <c r="M366" i="36"/>
  <c r="AI341" i="36"/>
  <c r="M341" i="36"/>
  <c r="AI314" i="36"/>
  <c r="M314" i="36"/>
  <c r="AI297" i="36"/>
  <c r="M297" i="36"/>
  <c r="AI181" i="36"/>
  <c r="M181" i="36"/>
  <c r="AI169" i="36"/>
  <c r="M169" i="36"/>
  <c r="AI51" i="36"/>
  <c r="M51" i="36"/>
  <c r="AI395" i="36"/>
  <c r="M395" i="36"/>
  <c r="AI377" i="36"/>
  <c r="M377" i="36"/>
  <c r="AI364" i="36"/>
  <c r="M364" i="36"/>
  <c r="AI348" i="36"/>
  <c r="M348" i="36"/>
  <c r="AI313" i="36"/>
  <c r="M313" i="36"/>
  <c r="AI300" i="36"/>
  <c r="M300" i="36"/>
  <c r="AI282" i="36"/>
  <c r="M282" i="36"/>
  <c r="AI264" i="36"/>
  <c r="M264" i="36"/>
  <c r="AI248" i="36"/>
  <c r="M248" i="36"/>
  <c r="AI80" i="36"/>
  <c r="M80" i="36"/>
  <c r="AI50" i="36"/>
  <c r="M50" i="36"/>
  <c r="AI21" i="36"/>
  <c r="M21" i="36"/>
  <c r="AI376" i="36"/>
  <c r="M376" i="36"/>
  <c r="AI339" i="36"/>
  <c r="M339" i="36"/>
  <c r="AI328" i="36"/>
  <c r="M328" i="36"/>
  <c r="AI247" i="36"/>
  <c r="M247" i="36"/>
  <c r="AI393" i="36"/>
  <c r="M393" i="36"/>
  <c r="AI379" i="36"/>
  <c r="M379" i="36"/>
  <c r="AI294" i="36"/>
  <c r="M294" i="36"/>
  <c r="AI186" i="36"/>
  <c r="M186" i="36"/>
  <c r="AI43" i="36"/>
  <c r="M43" i="36"/>
  <c r="AI391" i="36"/>
  <c r="M391" i="36"/>
  <c r="AI349" i="36"/>
  <c r="M349" i="36"/>
  <c r="AI326" i="36"/>
  <c r="M326" i="36"/>
  <c r="AI310" i="36"/>
  <c r="M310" i="36"/>
  <c r="AI293" i="36"/>
  <c r="M293" i="36"/>
  <c r="AI283" i="36"/>
  <c r="M283" i="36"/>
  <c r="AI273" i="36"/>
  <c r="M273" i="36"/>
  <c r="AI261" i="36"/>
  <c r="M261" i="36"/>
  <c r="AI245" i="36"/>
  <c r="M245" i="36"/>
  <c r="AI217" i="36"/>
  <c r="M217" i="36"/>
  <c r="AI205" i="36"/>
  <c r="M205" i="36"/>
  <c r="AI177" i="36"/>
  <c r="M177" i="36"/>
  <c r="AI156" i="36"/>
  <c r="M156" i="36"/>
  <c r="AI128" i="36"/>
  <c r="M128" i="36"/>
  <c r="AI101" i="36"/>
  <c r="M101" i="36"/>
  <c r="AI81" i="36"/>
  <c r="M81" i="36"/>
  <c r="AI67" i="36"/>
  <c r="M67" i="36"/>
  <c r="AI47" i="36"/>
  <c r="M47" i="36"/>
  <c r="AI344" i="36"/>
  <c r="M344" i="36"/>
  <c r="AI325" i="36"/>
  <c r="M325" i="36"/>
  <c r="AI309" i="36"/>
  <c r="M309" i="36"/>
  <c r="AI278" i="36"/>
  <c r="M278" i="36"/>
  <c r="AI244" i="36"/>
  <c r="M244" i="36"/>
  <c r="AI232" i="36"/>
  <c r="M232" i="36"/>
  <c r="P232" i="36" s="1"/>
  <c r="AI220" i="36"/>
  <c r="M220" i="36"/>
  <c r="AI196" i="36"/>
  <c r="M196" i="36"/>
  <c r="AI184" i="36"/>
  <c r="M184" i="36"/>
  <c r="AI92" i="36"/>
  <c r="M92" i="36"/>
  <c r="AI62" i="36"/>
  <c r="M62" i="36"/>
  <c r="AI46" i="36"/>
  <c r="M46" i="36"/>
  <c r="AI384" i="36"/>
  <c r="M384" i="36"/>
  <c r="AI351" i="36"/>
  <c r="M351" i="36"/>
  <c r="AI335" i="36"/>
  <c r="M335" i="36"/>
  <c r="AI324" i="36"/>
  <c r="M324" i="36"/>
  <c r="AI312" i="36"/>
  <c r="M312" i="36"/>
  <c r="AI295" i="36"/>
  <c r="M295" i="36"/>
  <c r="AI243" i="36"/>
  <c r="M243" i="36"/>
  <c r="AI231" i="36"/>
  <c r="M231" i="36"/>
  <c r="AI207" i="36"/>
  <c r="M207" i="36"/>
  <c r="AI183" i="36"/>
  <c r="M183" i="36"/>
  <c r="AI154" i="36"/>
  <c r="M154" i="36"/>
  <c r="AI49" i="36"/>
  <c r="M49" i="36"/>
  <c r="AI33" i="36"/>
  <c r="M33" i="36"/>
  <c r="AI354" i="36"/>
  <c r="M354" i="36"/>
  <c r="AI327" i="36"/>
  <c r="M327" i="36"/>
  <c r="AI315" i="36"/>
  <c r="M315" i="36"/>
  <c r="AI302" i="36"/>
  <c r="M302" i="36"/>
  <c r="AI290" i="36"/>
  <c r="M290" i="36"/>
  <c r="AI284" i="36"/>
  <c r="M284" i="36"/>
  <c r="AI270" i="36"/>
  <c r="M270" i="36"/>
  <c r="AI258" i="36"/>
  <c r="M258" i="36"/>
  <c r="AI238" i="36"/>
  <c r="M238" i="36"/>
  <c r="AI222" i="36"/>
  <c r="M222" i="36"/>
  <c r="AI210" i="36"/>
  <c r="M210" i="36"/>
  <c r="AI174" i="36"/>
  <c r="M174" i="36"/>
  <c r="AI144" i="36"/>
  <c r="M144" i="36"/>
  <c r="AI27" i="36"/>
  <c r="M27" i="36"/>
  <c r="AI388" i="36"/>
  <c r="M388" i="36"/>
  <c r="AI230" i="36"/>
  <c r="M230" i="36"/>
  <c r="AI249" i="36"/>
  <c r="M249" i="36"/>
  <c r="AI381" i="36"/>
  <c r="M381" i="36"/>
  <c r="AI374" i="36"/>
  <c r="M374" i="36"/>
  <c r="AI336" i="36"/>
  <c r="M336" i="36"/>
  <c r="AI359" i="36"/>
  <c r="M359" i="36"/>
  <c r="AI250" i="36"/>
  <c r="M250" i="36"/>
  <c r="AI227" i="36"/>
  <c r="AZ73" i="4"/>
  <c r="AD428" i="8"/>
  <c r="AC428" i="8"/>
  <c r="AD417" i="8"/>
  <c r="AC417" i="8"/>
  <c r="AD418" i="8"/>
  <c r="AC418" i="8"/>
  <c r="AD429" i="8"/>
  <c r="AC429" i="8"/>
  <c r="AD398" i="8"/>
  <c r="AC398" i="8"/>
  <c r="AD399" i="8"/>
  <c r="AC399" i="8"/>
  <c r="AD396" i="8"/>
  <c r="AC396" i="8"/>
  <c r="AD432" i="8"/>
  <c r="AC432" i="8"/>
  <c r="AD409" i="8"/>
  <c r="AC409" i="8"/>
  <c r="AD411" i="8"/>
  <c r="AC411" i="8"/>
  <c r="AD402" i="8"/>
  <c r="AC402" i="8"/>
  <c r="AD424" i="8"/>
  <c r="AC424" i="8"/>
  <c r="AD426" i="8"/>
  <c r="AC426" i="8"/>
  <c r="AD405" i="8"/>
  <c r="AC405" i="8"/>
  <c r="AD416" i="8"/>
  <c r="AC416" i="8"/>
  <c r="AD395" i="8"/>
  <c r="AC395" i="8"/>
  <c r="AD420" i="8"/>
  <c r="AC420" i="8"/>
  <c r="AD430" i="8"/>
  <c r="AC430" i="8"/>
  <c r="H294" i="9"/>
  <c r="H280" i="9"/>
  <c r="H266" i="9"/>
  <c r="H250" i="9"/>
  <c r="H85" i="9"/>
  <c r="H302" i="9"/>
  <c r="H288" i="9"/>
  <c r="H274" i="9"/>
  <c r="H258" i="9"/>
  <c r="AZ95" i="4"/>
  <c r="AZ289" i="4"/>
  <c r="AZ212" i="4"/>
  <c r="AZ388" i="4"/>
  <c r="H21" i="9"/>
  <c r="M7" i="4"/>
  <c r="Y7" i="4"/>
  <c r="D7" i="4"/>
  <c r="E7" i="4"/>
  <c r="F7" i="4"/>
  <c r="F387" i="5"/>
  <c r="O387" i="5"/>
  <c r="F364" i="5"/>
  <c r="O364" i="5"/>
  <c r="L351" i="9"/>
  <c r="O385" i="5"/>
  <c r="O373" i="5"/>
  <c r="O301" i="5"/>
  <c r="O293" i="5"/>
  <c r="O279" i="5"/>
  <c r="O272" i="5"/>
  <c r="O265" i="5"/>
  <c r="O257" i="5"/>
  <c r="O249" i="5"/>
  <c r="O241" i="5"/>
  <c r="O233" i="5"/>
  <c r="O225" i="5"/>
  <c r="O217" i="5"/>
  <c r="O209" i="5"/>
  <c r="O201" i="5"/>
  <c r="O193" i="5"/>
  <c r="O185" i="5"/>
  <c r="O177" i="5"/>
  <c r="O169" i="5"/>
  <c r="O161" i="5"/>
  <c r="O64" i="5"/>
  <c r="O56" i="5"/>
  <c r="O48" i="5"/>
  <c r="O40" i="5"/>
  <c r="O32" i="5"/>
  <c r="O384" i="5"/>
  <c r="O372" i="5"/>
  <c r="O344" i="5"/>
  <c r="O336" i="5"/>
  <c r="O321" i="5"/>
  <c r="O313" i="5"/>
  <c r="O305" i="5"/>
  <c r="O151" i="5"/>
  <c r="O143" i="5"/>
  <c r="O135" i="5"/>
  <c r="O128" i="5"/>
  <c r="O120" i="5"/>
  <c r="O388" i="5"/>
  <c r="O382" i="5"/>
  <c r="O370" i="5"/>
  <c r="O362" i="5"/>
  <c r="O354" i="5"/>
  <c r="O214" i="5"/>
  <c r="O190" i="5"/>
  <c r="O166" i="5"/>
  <c r="O20" i="5"/>
  <c r="O226" i="5"/>
  <c r="O59" i="5"/>
  <c r="O371" i="5"/>
  <c r="O146" i="5"/>
  <c r="O138" i="5"/>
  <c r="O130" i="5"/>
  <c r="O123" i="5"/>
  <c r="O17" i="5"/>
  <c r="O75" i="5"/>
  <c r="O29" i="5"/>
  <c r="O186" i="5"/>
  <c r="O162" i="5"/>
  <c r="O298" i="5"/>
  <c r="O238" i="5"/>
  <c r="O82" i="5"/>
  <c r="O68" i="5"/>
  <c r="O22" i="5"/>
  <c r="O12" i="5"/>
  <c r="O299" i="5"/>
  <c r="O291" i="5"/>
  <c r="O285" i="5"/>
  <c r="O277" i="5"/>
  <c r="O271" i="5"/>
  <c r="O263" i="5"/>
  <c r="O255" i="5"/>
  <c r="O247" i="5"/>
  <c r="O239" i="5"/>
  <c r="O231" i="5"/>
  <c r="O223" i="5"/>
  <c r="O215" i="5"/>
  <c r="O207" i="5"/>
  <c r="O199" i="5"/>
  <c r="O191" i="5"/>
  <c r="O183" i="5"/>
  <c r="O175" i="5"/>
  <c r="O167" i="5"/>
  <c r="O159" i="5"/>
  <c r="O88" i="5"/>
  <c r="O286" i="5"/>
  <c r="O262" i="5"/>
  <c r="O357" i="5"/>
  <c r="O349" i="5"/>
  <c r="O341" i="5"/>
  <c r="O136" i="5"/>
  <c r="O129" i="5"/>
  <c r="O121" i="5"/>
  <c r="O23" i="5"/>
  <c r="O244" i="5"/>
  <c r="O236" i="5"/>
  <c r="O228" i="5"/>
  <c r="O220" i="5"/>
  <c r="O212" i="5"/>
  <c r="O204" i="5"/>
  <c r="O196" i="5"/>
  <c r="O188" i="5"/>
  <c r="O180" i="5"/>
  <c r="O172" i="5"/>
  <c r="O164" i="5"/>
  <c r="O156" i="5"/>
  <c r="O111" i="5"/>
  <c r="O101" i="5"/>
  <c r="O93" i="5"/>
  <c r="O266" i="5"/>
  <c r="O230" i="5"/>
  <c r="O133" i="5"/>
  <c r="O102" i="5"/>
  <c r="O94" i="5"/>
  <c r="O84" i="5"/>
  <c r="O74" i="5"/>
  <c r="O360" i="5"/>
  <c r="O352" i="5"/>
  <c r="O342" i="5"/>
  <c r="O334" i="5"/>
  <c r="O327" i="5"/>
  <c r="O319" i="5"/>
  <c r="O311" i="5"/>
  <c r="O91" i="5"/>
  <c r="O290" i="5"/>
  <c r="O270" i="5"/>
  <c r="O242" i="5"/>
  <c r="O153" i="5"/>
  <c r="O118" i="5"/>
  <c r="O77" i="5"/>
  <c r="O55" i="5"/>
  <c r="O47" i="5"/>
  <c r="O39" i="5"/>
  <c r="O31" i="5"/>
  <c r="O383" i="5"/>
  <c r="O363" i="5"/>
  <c r="O355" i="5"/>
  <c r="O347" i="5"/>
  <c r="O339" i="5"/>
  <c r="O331" i="5"/>
  <c r="O324" i="5"/>
  <c r="O316" i="5"/>
  <c r="O308" i="5"/>
  <c r="O61" i="5"/>
  <c r="O53" i="5"/>
  <c r="O45" i="5"/>
  <c r="O37" i="5"/>
  <c r="O210" i="5"/>
  <c r="O113" i="5"/>
  <c r="O126" i="5"/>
  <c r="O252" i="5"/>
  <c r="O114" i="5"/>
  <c r="O104" i="5"/>
  <c r="O96" i="5"/>
  <c r="O72" i="5"/>
  <c r="O62" i="5"/>
  <c r="O54" i="5"/>
  <c r="O46" i="5"/>
  <c r="O38" i="5"/>
  <c r="O30" i="5"/>
  <c r="O206" i="5"/>
  <c r="O182" i="5"/>
  <c r="O109" i="5"/>
  <c r="O24" i="5"/>
  <c r="O145" i="5"/>
  <c r="O329" i="5"/>
  <c r="O322" i="5"/>
  <c r="O314" i="5"/>
  <c r="O306" i="5"/>
  <c r="O152" i="5"/>
  <c r="O69" i="5"/>
  <c r="O296" i="5"/>
  <c r="O288" i="5"/>
  <c r="O282" i="5"/>
  <c r="O274" i="5"/>
  <c r="O268" i="5"/>
  <c r="O260" i="5"/>
  <c r="O365" i="5"/>
  <c r="O381" i="5"/>
  <c r="O369" i="5"/>
  <c r="O297" i="5"/>
  <c r="O289" i="5"/>
  <c r="O283" i="5"/>
  <c r="O275" i="5"/>
  <c r="O269" i="5"/>
  <c r="O261" i="5"/>
  <c r="O253" i="5"/>
  <c r="O245" i="5"/>
  <c r="O237" i="5"/>
  <c r="O229" i="5"/>
  <c r="O221" i="5"/>
  <c r="O213" i="5"/>
  <c r="O205" i="5"/>
  <c r="O197" i="5"/>
  <c r="O189" i="5"/>
  <c r="O181" i="5"/>
  <c r="O173" i="5"/>
  <c r="O165" i="5"/>
  <c r="O157" i="5"/>
  <c r="O112" i="5"/>
  <c r="O60" i="5"/>
  <c r="O52" i="5"/>
  <c r="O44" i="5"/>
  <c r="O36" i="5"/>
  <c r="O28" i="5"/>
  <c r="O390" i="5"/>
  <c r="O380" i="5"/>
  <c r="O368" i="5"/>
  <c r="O340" i="5"/>
  <c r="O332" i="5"/>
  <c r="O325" i="5"/>
  <c r="O317" i="5"/>
  <c r="O309" i="5"/>
  <c r="O147" i="5"/>
  <c r="O139" i="5"/>
  <c r="O131" i="5"/>
  <c r="O124" i="5"/>
  <c r="O116" i="5"/>
  <c r="O378" i="5"/>
  <c r="O366" i="5"/>
  <c r="O358" i="5"/>
  <c r="O350" i="5"/>
  <c r="O202" i="5"/>
  <c r="O178" i="5"/>
  <c r="O158" i="5"/>
  <c r="O10" i="5"/>
  <c r="O63" i="5"/>
  <c r="O379" i="5"/>
  <c r="O150" i="5"/>
  <c r="O142" i="5"/>
  <c r="O134" i="5"/>
  <c r="O127" i="5"/>
  <c r="O119" i="5"/>
  <c r="O21" i="5"/>
  <c r="O11" i="5"/>
  <c r="O79" i="5"/>
  <c r="O174" i="5"/>
  <c r="O284" i="5"/>
  <c r="O254" i="5"/>
  <c r="O144" i="5"/>
  <c r="O89" i="5"/>
  <c r="O18" i="5"/>
  <c r="O303" i="5"/>
  <c r="O295" i="5"/>
  <c r="O287" i="5"/>
  <c r="O281" i="5"/>
  <c r="O273" i="5"/>
  <c r="O267" i="5"/>
  <c r="O259" i="5"/>
  <c r="O251" i="5"/>
  <c r="O243" i="5"/>
  <c r="O235" i="5"/>
  <c r="O227" i="5"/>
  <c r="O219" i="5"/>
  <c r="O211" i="5"/>
  <c r="O203" i="5"/>
  <c r="O195" i="5"/>
  <c r="O187" i="5"/>
  <c r="O179" i="5"/>
  <c r="O171" i="5"/>
  <c r="O163" i="5"/>
  <c r="O155" i="5"/>
  <c r="O294" i="5"/>
  <c r="O276" i="5"/>
  <c r="O250" i="5"/>
  <c r="O361" i="5"/>
  <c r="O353" i="5"/>
  <c r="O345" i="5"/>
  <c r="O337" i="5"/>
  <c r="O140" i="5"/>
  <c r="O132" i="5"/>
  <c r="O125" i="5"/>
  <c r="O117" i="5"/>
  <c r="O19" i="5"/>
  <c r="O248" i="5"/>
  <c r="O240" i="5"/>
  <c r="O232" i="5"/>
  <c r="O224" i="5"/>
  <c r="O216" i="5"/>
  <c r="O208" i="5"/>
  <c r="O200" i="5"/>
  <c r="O192" i="5"/>
  <c r="O184" i="5"/>
  <c r="O176" i="5"/>
  <c r="O168" i="5"/>
  <c r="O160" i="5"/>
  <c r="O105" i="5"/>
  <c r="O97" i="5"/>
  <c r="O246" i="5"/>
  <c r="O149" i="5"/>
  <c r="O122" i="5"/>
  <c r="O391" i="5"/>
  <c r="O386" i="5"/>
  <c r="O377" i="5"/>
  <c r="O106" i="5"/>
  <c r="O98" i="5"/>
  <c r="O90" i="5"/>
  <c r="O78" i="5"/>
  <c r="O376" i="5"/>
  <c r="O356" i="5"/>
  <c r="O348" i="5"/>
  <c r="O374" i="5"/>
  <c r="O346" i="5"/>
  <c r="O338" i="5"/>
  <c r="O330" i="5"/>
  <c r="O323" i="5"/>
  <c r="O315" i="5"/>
  <c r="O307" i="5"/>
  <c r="O103" i="5"/>
  <c r="O70" i="5"/>
  <c r="O302" i="5"/>
  <c r="O280" i="5"/>
  <c r="O258" i="5"/>
  <c r="O234" i="5"/>
  <c r="O137" i="5"/>
  <c r="O73" i="5"/>
  <c r="O51" i="5"/>
  <c r="O43" i="5"/>
  <c r="O35" i="5"/>
  <c r="O27" i="5"/>
  <c r="O389" i="5"/>
  <c r="O375" i="5"/>
  <c r="O359" i="5"/>
  <c r="O351" i="5"/>
  <c r="O343" i="5"/>
  <c r="O335" i="5"/>
  <c r="O328" i="5"/>
  <c r="O320" i="5"/>
  <c r="O312" i="5"/>
  <c r="O81" i="5"/>
  <c r="O65" i="5"/>
  <c r="O57" i="5"/>
  <c r="O49" i="5"/>
  <c r="O41" i="5"/>
  <c r="O33" i="5"/>
  <c r="O222" i="5"/>
  <c r="O198" i="5"/>
  <c r="O99" i="5"/>
  <c r="O16" i="5"/>
  <c r="O141" i="5"/>
  <c r="O110" i="5"/>
  <c r="O100" i="5"/>
  <c r="O92" i="5"/>
  <c r="O76" i="5"/>
  <c r="O66" i="5"/>
  <c r="O58" i="5"/>
  <c r="O50" i="5"/>
  <c r="O42" i="5"/>
  <c r="O34" i="5"/>
  <c r="O26" i="5"/>
  <c r="O218" i="5"/>
  <c r="O194" i="5"/>
  <c r="O170" i="5"/>
  <c r="O95" i="5"/>
  <c r="O333" i="5"/>
  <c r="O326" i="5"/>
  <c r="O318" i="5"/>
  <c r="O310" i="5"/>
  <c r="O148" i="5"/>
  <c r="O15" i="5"/>
  <c r="O300" i="5"/>
  <c r="O292" i="5"/>
  <c r="O278" i="5"/>
  <c r="O264" i="5"/>
  <c r="O256" i="5"/>
  <c r="AZ391" i="4"/>
  <c r="AZ287" i="4"/>
  <c r="H242" i="9"/>
  <c r="H234" i="9"/>
  <c r="M352" i="6"/>
  <c r="L352" i="8"/>
  <c r="AZ386" i="4"/>
  <c r="AZ367" i="4"/>
  <c r="AZ376" i="4"/>
  <c r="AZ394" i="4"/>
  <c r="AZ215" i="4"/>
  <c r="AZ194" i="4"/>
  <c r="AZ112" i="4"/>
  <c r="AZ63" i="4"/>
  <c r="AZ308" i="4"/>
  <c r="AZ84" i="4"/>
  <c r="AZ357" i="4"/>
  <c r="AZ385" i="4"/>
  <c r="AZ270" i="4"/>
  <c r="AZ177" i="4"/>
  <c r="AZ85" i="4"/>
  <c r="AZ169" i="4"/>
  <c r="AZ182" i="4"/>
  <c r="AZ144" i="4"/>
  <c r="AZ275" i="4"/>
  <c r="AZ93" i="4"/>
  <c r="AZ163" i="4"/>
  <c r="AZ92" i="4"/>
  <c r="AZ318" i="4"/>
  <c r="AZ129" i="4"/>
  <c r="AZ200" i="4"/>
  <c r="AZ154" i="4"/>
  <c r="AZ242" i="4"/>
  <c r="AZ279" i="4"/>
  <c r="AZ351" i="4"/>
  <c r="AZ166" i="4"/>
  <c r="AZ301" i="4"/>
  <c r="AZ121" i="4"/>
  <c r="AZ272" i="4"/>
  <c r="AZ341" i="4"/>
  <c r="AZ223" i="4"/>
  <c r="AZ298" i="4"/>
  <c r="AZ174" i="4"/>
  <c r="AZ59" i="4"/>
  <c r="AZ339" i="4"/>
  <c r="AZ319" i="4"/>
  <c r="AZ162" i="4"/>
  <c r="AZ353" i="4"/>
  <c r="AZ191" i="4"/>
  <c r="AZ225" i="4"/>
  <c r="AZ183" i="4"/>
  <c r="AZ340" i="4"/>
  <c r="I360" i="6"/>
  <c r="I344" i="6"/>
  <c r="I329" i="6"/>
  <c r="I313" i="6"/>
  <c r="I132" i="6"/>
  <c r="L291" i="6"/>
  <c r="L277" i="6"/>
  <c r="L263" i="6"/>
  <c r="L179" i="6"/>
  <c r="L163" i="6"/>
  <c r="P382" i="36"/>
  <c r="AK382" i="36" s="1"/>
  <c r="P333" i="36"/>
  <c r="AK333" i="36" s="1"/>
  <c r="P330" i="36"/>
  <c r="AJ330" i="36" s="1"/>
  <c r="P269" i="36"/>
  <c r="AJ269" i="36" s="1"/>
  <c r="AK237" i="36"/>
  <c r="P221" i="36"/>
  <c r="AJ221" i="36" s="1"/>
  <c r="P193" i="36"/>
  <c r="AJ193" i="36" s="1"/>
  <c r="P139" i="36"/>
  <c r="AK139" i="36" s="1"/>
  <c r="P124" i="36"/>
  <c r="AK124" i="36" s="1"/>
  <c r="P115" i="36"/>
  <c r="AJ115" i="36" s="1"/>
  <c r="AJ31" i="36"/>
  <c r="P360" i="36"/>
  <c r="AK360" i="36" s="1"/>
  <c r="P329" i="36"/>
  <c r="AK329" i="36" s="1"/>
  <c r="P296" i="36"/>
  <c r="AK296" i="36" s="1"/>
  <c r="P268" i="36"/>
  <c r="AK268" i="36" s="1"/>
  <c r="P236" i="36"/>
  <c r="AK236" i="36" s="1"/>
  <c r="AK204" i="36"/>
  <c r="AK172" i="36"/>
  <c r="P138" i="36"/>
  <c r="AJ138" i="36" s="1"/>
  <c r="P104" i="36"/>
  <c r="AK104" i="36" s="1"/>
  <c r="P66" i="36"/>
  <c r="AJ66" i="36" s="1"/>
  <c r="P34" i="36"/>
  <c r="AJ34" i="36" s="1"/>
  <c r="P380" i="36"/>
  <c r="AK380" i="36" s="1"/>
  <c r="P347" i="36"/>
  <c r="AJ347" i="36" s="1"/>
  <c r="P316" i="36"/>
  <c r="AK316" i="36" s="1"/>
  <c r="P285" i="36"/>
  <c r="AK285" i="36" s="1"/>
  <c r="P255" i="36"/>
  <c r="AK255" i="36" s="1"/>
  <c r="AK223" i="36"/>
  <c r="AJ191" i="36"/>
  <c r="P159" i="36"/>
  <c r="AJ159" i="36" s="1"/>
  <c r="P126" i="36"/>
  <c r="AJ126" i="36" s="1"/>
  <c r="P89" i="36"/>
  <c r="AK89" i="36" s="1"/>
  <c r="P53" i="36"/>
  <c r="AK53" i="36" s="1"/>
  <c r="P370" i="36"/>
  <c r="AK370" i="36" s="1"/>
  <c r="P338" i="36"/>
  <c r="AJ338" i="36" s="1"/>
  <c r="P306" i="36"/>
  <c r="AJ306" i="36" s="1"/>
  <c r="P246" i="36"/>
  <c r="AK246" i="36" s="1"/>
  <c r="AK214" i="36"/>
  <c r="AK182" i="36"/>
  <c r="P148" i="36"/>
  <c r="AJ148" i="36" s="1"/>
  <c r="P116" i="36"/>
  <c r="AK116" i="36" s="1"/>
  <c r="P78" i="36"/>
  <c r="AK78" i="36" s="1"/>
  <c r="P44" i="36"/>
  <c r="AK44" i="36" s="1"/>
  <c r="P13" i="36"/>
  <c r="AK93" i="36"/>
  <c r="P150" i="36"/>
  <c r="AK150" i="36" s="1"/>
  <c r="L66" i="6"/>
  <c r="L34" i="6"/>
  <c r="L382" i="6"/>
  <c r="L130" i="6"/>
  <c r="L353" i="6"/>
  <c r="L322" i="6"/>
  <c r="L225" i="6"/>
  <c r="L193" i="6"/>
  <c r="L196" i="6"/>
  <c r="L105" i="6"/>
  <c r="L87" i="6"/>
  <c r="L316" i="6"/>
  <c r="L142" i="6"/>
  <c r="L119" i="6"/>
  <c r="L60" i="6"/>
  <c r="L44" i="6"/>
  <c r="I368" i="6"/>
  <c r="I352" i="6"/>
  <c r="I336" i="6"/>
  <c r="I358" i="6"/>
  <c r="I342" i="6"/>
  <c r="I311" i="6"/>
  <c r="L345" i="6"/>
  <c r="L314" i="6"/>
  <c r="L209" i="6"/>
  <c r="L293" i="6"/>
  <c r="L265" i="6"/>
  <c r="L233" i="6"/>
  <c r="L286" i="6"/>
  <c r="L272" i="6"/>
  <c r="L256" i="6"/>
  <c r="L240" i="6"/>
  <c r="L224" i="6"/>
  <c r="L208" i="6"/>
  <c r="L192" i="6"/>
  <c r="L31" i="6"/>
  <c r="L308" i="6"/>
  <c r="L140" i="6"/>
  <c r="L82" i="6"/>
  <c r="I68" i="6"/>
  <c r="L38" i="6"/>
  <c r="L369" i="6"/>
  <c r="L273" i="6"/>
  <c r="L241" i="6"/>
  <c r="L43" i="6"/>
  <c r="L324" i="6"/>
  <c r="L76" i="6"/>
  <c r="L334" i="6"/>
  <c r="L319" i="6"/>
  <c r="L181" i="6"/>
  <c r="L165" i="6"/>
  <c r="L365" i="6"/>
  <c r="L349" i="6"/>
  <c r="L337" i="6"/>
  <c r="L333" i="6"/>
  <c r="L318" i="6"/>
  <c r="L221" i="6"/>
  <c r="L205" i="6"/>
  <c r="L189" i="6"/>
  <c r="L13" i="6"/>
  <c r="L92" i="6"/>
  <c r="L260" i="6"/>
  <c r="L228" i="6"/>
  <c r="L50" i="6"/>
  <c r="L137" i="6"/>
  <c r="L27" i="6"/>
  <c r="L36" i="6"/>
  <c r="L393" i="6"/>
  <c r="L375" i="6"/>
  <c r="L359" i="6"/>
  <c r="L343" i="6"/>
  <c r="L128" i="6"/>
  <c r="L32" i="6"/>
  <c r="L54" i="6"/>
  <c r="I46" i="6"/>
  <c r="I30" i="6"/>
  <c r="I366" i="6"/>
  <c r="I350" i="6"/>
  <c r="I334" i="6"/>
  <c r="I319" i="6"/>
  <c r="L133" i="6"/>
  <c r="I345" i="6"/>
  <c r="I296" i="6"/>
  <c r="I282" i="6"/>
  <c r="I268" i="6"/>
  <c r="I252" i="6"/>
  <c r="I236" i="6"/>
  <c r="I220" i="6"/>
  <c r="I204" i="6"/>
  <c r="I150" i="6"/>
  <c r="L178" i="6"/>
  <c r="I355" i="6"/>
  <c r="I306" i="6"/>
  <c r="L41" i="6"/>
  <c r="I291" i="6"/>
  <c r="L25" i="6"/>
  <c r="L158" i="6"/>
  <c r="I75" i="6"/>
  <c r="L57" i="6"/>
  <c r="I381" i="6"/>
  <c r="L98" i="6"/>
  <c r="L287" i="6"/>
  <c r="L257" i="6"/>
  <c r="I324" i="6"/>
  <c r="L171" i="6"/>
  <c r="I100" i="6"/>
  <c r="I206" i="6"/>
  <c r="I190" i="6"/>
  <c r="L61" i="6"/>
  <c r="I300" i="6"/>
  <c r="L176" i="6"/>
  <c r="L160" i="6"/>
  <c r="L298" i="6"/>
  <c r="L294" i="6"/>
  <c r="L266" i="6"/>
  <c r="L234" i="6"/>
  <c r="L202" i="6"/>
  <c r="I91" i="6"/>
  <c r="L75" i="6"/>
  <c r="I45" i="6"/>
  <c r="I277" i="6"/>
  <c r="I263" i="6"/>
  <c r="L247" i="6"/>
  <c r="L231" i="6"/>
  <c r="L215" i="6"/>
  <c r="L280" i="6"/>
  <c r="L250" i="6"/>
  <c r="L218" i="6"/>
  <c r="L186" i="6"/>
  <c r="I166" i="6"/>
  <c r="L49" i="6"/>
  <c r="I41" i="6"/>
  <c r="L33" i="6"/>
  <c r="I156" i="6"/>
  <c r="I64" i="6"/>
  <c r="L304" i="6"/>
  <c r="I188" i="6"/>
  <c r="I131" i="6"/>
  <c r="I392" i="6"/>
  <c r="I374" i="6"/>
  <c r="L358" i="6"/>
  <c r="L342" i="6"/>
  <c r="L327" i="6"/>
  <c r="L390" i="6"/>
  <c r="I201" i="6"/>
  <c r="I308" i="6"/>
  <c r="L368" i="6"/>
  <c r="L336" i="6"/>
  <c r="L139" i="6"/>
  <c r="I172" i="6"/>
  <c r="I387" i="6"/>
  <c r="I371" i="6"/>
  <c r="I339" i="6"/>
  <c r="L127" i="6"/>
  <c r="L297" i="6"/>
  <c r="L352" i="6"/>
  <c r="L321" i="6"/>
  <c r="L124" i="6"/>
  <c r="L259" i="6"/>
  <c r="L199" i="6"/>
  <c r="L183" i="6"/>
  <c r="I179" i="6"/>
  <c r="L40" i="6"/>
  <c r="I314" i="6"/>
  <c r="L77" i="6"/>
  <c r="L328" i="6"/>
  <c r="L312" i="6"/>
  <c r="I134" i="6"/>
  <c r="I321" i="6"/>
  <c r="L251" i="6"/>
  <c r="L219" i="6"/>
  <c r="L187" i="6"/>
  <c r="I167" i="6"/>
  <c r="I384" i="6"/>
  <c r="L42" i="6"/>
  <c r="L354" i="6"/>
  <c r="L338" i="6"/>
  <c r="L323" i="6"/>
  <c r="L153" i="6"/>
  <c r="L24" i="6"/>
  <c r="I20" i="6"/>
  <c r="L385" i="6"/>
  <c r="L169" i="6"/>
  <c r="L102" i="6"/>
  <c r="L154" i="6"/>
  <c r="I146" i="6"/>
  <c r="L131" i="6"/>
  <c r="I123" i="6"/>
  <c r="L305" i="6"/>
  <c r="I32" i="6"/>
  <c r="I128" i="6"/>
  <c r="L299" i="6"/>
  <c r="L281" i="6"/>
  <c r="I251" i="6"/>
  <c r="I235" i="6"/>
  <c r="I219" i="6"/>
  <c r="I203" i="6"/>
  <c r="I187" i="6"/>
  <c r="I171" i="6"/>
  <c r="I96" i="6"/>
  <c r="L284" i="6"/>
  <c r="I280" i="6"/>
  <c r="L270" i="6"/>
  <c r="L254" i="6"/>
  <c r="I250" i="6"/>
  <c r="L238" i="6"/>
  <c r="L222" i="6"/>
  <c r="I218" i="6"/>
  <c r="L206" i="6"/>
  <c r="L190" i="6"/>
  <c r="I186" i="6"/>
  <c r="L117" i="6"/>
  <c r="L107" i="6"/>
  <c r="I354" i="6"/>
  <c r="I338" i="6"/>
  <c r="I323" i="6"/>
  <c r="L311" i="6"/>
  <c r="I145" i="6"/>
  <c r="I137" i="6"/>
  <c r="L14" i="6"/>
  <c r="I225" i="6"/>
  <c r="I209" i="6"/>
  <c r="I193" i="6"/>
  <c r="I177" i="6"/>
  <c r="I169" i="6"/>
  <c r="I161" i="6"/>
  <c r="I102" i="6"/>
  <c r="L94" i="6"/>
  <c r="L125" i="6"/>
  <c r="I292" i="6"/>
  <c r="I278" i="6"/>
  <c r="I248" i="6"/>
  <c r="I232" i="6"/>
  <c r="I216" i="6"/>
  <c r="I200" i="6"/>
  <c r="I184" i="6"/>
  <c r="L115" i="6"/>
  <c r="L59" i="6"/>
  <c r="L55" i="6"/>
  <c r="I367" i="6"/>
  <c r="I335" i="6"/>
  <c r="L364" i="6"/>
  <c r="L348" i="6"/>
  <c r="L332" i="6"/>
  <c r="L317" i="6"/>
  <c r="L151" i="6"/>
  <c r="I124" i="6"/>
  <c r="L26" i="6"/>
  <c r="I295" i="6"/>
  <c r="I285" i="6"/>
  <c r="I281" i="6"/>
  <c r="I271" i="6"/>
  <c r="I267" i="6"/>
  <c r="I159" i="6"/>
  <c r="L114" i="6"/>
  <c r="L108" i="6"/>
  <c r="L96" i="6"/>
  <c r="I377" i="6"/>
  <c r="I140" i="6"/>
  <c r="L384" i="6"/>
  <c r="L380" i="6"/>
  <c r="I21" i="6"/>
  <c r="AB8" i="36"/>
  <c r="I76" i="6"/>
  <c r="I385" i="6"/>
  <c r="I373" i="6"/>
  <c r="I287" i="6"/>
  <c r="I257" i="6"/>
  <c r="I13" i="6"/>
  <c r="L88" i="6"/>
  <c r="I36" i="6"/>
  <c r="L296" i="6"/>
  <c r="L282" i="6"/>
  <c r="L268" i="6"/>
  <c r="L252" i="6"/>
  <c r="L236" i="6"/>
  <c r="L220" i="6"/>
  <c r="L204" i="6"/>
  <c r="L188" i="6"/>
  <c r="L180" i="6"/>
  <c r="I77" i="6"/>
  <c r="L39" i="6"/>
  <c r="I142" i="6"/>
  <c r="I138" i="6"/>
  <c r="L134" i="6"/>
  <c r="L123" i="6"/>
  <c r="L283" i="6"/>
  <c r="L253" i="6"/>
  <c r="L175" i="6"/>
  <c r="L159" i="6"/>
  <c r="L104" i="6"/>
  <c r="L100" i="6"/>
  <c r="L23" i="6"/>
  <c r="L377" i="6"/>
  <c r="L121" i="6"/>
  <c r="I298" i="6"/>
  <c r="I288" i="6"/>
  <c r="I274" i="6"/>
  <c r="I258" i="6"/>
  <c r="I242" i="6"/>
  <c r="I226" i="6"/>
  <c r="I210" i="6"/>
  <c r="I194" i="6"/>
  <c r="AI16" i="36"/>
  <c r="L58" i="6"/>
  <c r="I42" i="6"/>
  <c r="I386" i="6"/>
  <c r="I153" i="6"/>
  <c r="L149" i="6"/>
  <c r="I149" i="6"/>
  <c r="L122" i="6"/>
  <c r="L84" i="6"/>
  <c r="I14" i="6"/>
  <c r="I391" i="6"/>
  <c r="I229" i="6"/>
  <c r="I217" i="6"/>
  <c r="I213" i="6"/>
  <c r="I197" i="6"/>
  <c r="I185" i="6"/>
  <c r="I181" i="6"/>
  <c r="I165" i="6"/>
  <c r="I116" i="6"/>
  <c r="I94" i="6"/>
  <c r="I301" i="6"/>
  <c r="I279" i="6"/>
  <c r="I249" i="6"/>
  <c r="I52" i="6"/>
  <c r="AB494" i="36"/>
  <c r="I304" i="6"/>
  <c r="I275" i="6"/>
  <c r="I244" i="6"/>
  <c r="I212" i="6"/>
  <c r="I176" i="6"/>
  <c r="L164" i="6"/>
  <c r="I160" i="6"/>
  <c r="L109" i="6"/>
  <c r="I101" i="6"/>
  <c r="I93" i="6"/>
  <c r="I81" i="6"/>
  <c r="I63" i="6"/>
  <c r="L63" i="6"/>
  <c r="L47" i="6"/>
  <c r="I31" i="6"/>
  <c r="L355" i="6"/>
  <c r="I328" i="6"/>
  <c r="I316" i="6"/>
  <c r="I312" i="6"/>
  <c r="I255" i="6"/>
  <c r="I245" i="6"/>
  <c r="I129" i="6"/>
  <c r="I356" i="6"/>
  <c r="I340" i="6"/>
  <c r="I325" i="6"/>
  <c r="I309" i="6"/>
  <c r="I155" i="6"/>
  <c r="I151" i="6"/>
  <c r="I139" i="6"/>
  <c r="I72" i="6"/>
  <c r="I18" i="6"/>
  <c r="L303" i="6"/>
  <c r="L239" i="6"/>
  <c r="L235" i="6"/>
  <c r="L223" i="6"/>
  <c r="L207" i="6"/>
  <c r="L203" i="6"/>
  <c r="L191" i="6"/>
  <c r="I114" i="6"/>
  <c r="I108" i="6"/>
  <c r="I394" i="6"/>
  <c r="I389" i="6"/>
  <c r="I388" i="6"/>
  <c r="I376" i="6"/>
  <c r="I372" i="6"/>
  <c r="L21" i="6"/>
  <c r="I302" i="6"/>
  <c r="I174" i="6"/>
  <c r="I170" i="6"/>
  <c r="L166" i="6"/>
  <c r="L162" i="6"/>
  <c r="I158" i="6"/>
  <c r="I107" i="6"/>
  <c r="I103" i="6"/>
  <c r="L99" i="6"/>
  <c r="L65" i="6"/>
  <c r="L68" i="6"/>
  <c r="L56" i="6"/>
  <c r="AK287" i="36"/>
  <c r="AJ287" i="36"/>
  <c r="I62" i="6"/>
  <c r="L378" i="6"/>
  <c r="I126" i="6"/>
  <c r="L391" i="6"/>
  <c r="I361" i="6"/>
  <c r="I330" i="6"/>
  <c r="I264" i="6"/>
  <c r="I87" i="6"/>
  <c r="I383" i="6"/>
  <c r="I351" i="6"/>
  <c r="L138" i="6"/>
  <c r="I119" i="6"/>
  <c r="L289" i="6"/>
  <c r="I283" i="6"/>
  <c r="L261" i="6"/>
  <c r="I253" i="6"/>
  <c r="I19" i="6"/>
  <c r="I144" i="6"/>
  <c r="I135" i="6"/>
  <c r="L132" i="6"/>
  <c r="I120" i="6"/>
  <c r="I104" i="6"/>
  <c r="I25" i="6"/>
  <c r="L113" i="6"/>
  <c r="L103" i="6"/>
  <c r="I95" i="6"/>
  <c r="L95" i="6"/>
  <c r="L91" i="6"/>
  <c r="I79" i="6"/>
  <c r="L69" i="6"/>
  <c r="I65" i="6"/>
  <c r="L53" i="6"/>
  <c r="I49" i="6"/>
  <c r="L37" i="6"/>
  <c r="I33" i="6"/>
  <c r="L29" i="6"/>
  <c r="L156" i="6"/>
  <c r="I82" i="6"/>
  <c r="I40" i="6"/>
  <c r="AI353" i="36"/>
  <c r="J352" i="36"/>
  <c r="AI352" i="36"/>
  <c r="J355" i="36"/>
  <c r="AI355" i="36"/>
  <c r="L80" i="6"/>
  <c r="I80" i="6"/>
  <c r="L62" i="6"/>
  <c r="L46" i="6"/>
  <c r="I38" i="6"/>
  <c r="L30" i="6"/>
  <c r="L392" i="6"/>
  <c r="I378" i="6"/>
  <c r="L374" i="6"/>
  <c r="L362" i="6"/>
  <c r="L346" i="6"/>
  <c r="L331" i="6"/>
  <c r="I327" i="6"/>
  <c r="L315" i="6"/>
  <c r="L145" i="6"/>
  <c r="I141" i="6"/>
  <c r="I133" i="6"/>
  <c r="L126" i="6"/>
  <c r="I84" i="6"/>
  <c r="I24" i="6"/>
  <c r="L373" i="6"/>
  <c r="I369" i="6"/>
  <c r="I365" i="6"/>
  <c r="L361" i="6"/>
  <c r="L357" i="6"/>
  <c r="I349" i="6"/>
  <c r="L341" i="6"/>
  <c r="I333" i="6"/>
  <c r="L330" i="6"/>
  <c r="L326" i="6"/>
  <c r="I318" i="6"/>
  <c r="L310" i="6"/>
  <c r="I221" i="6"/>
  <c r="L217" i="6"/>
  <c r="I205" i="6"/>
  <c r="L201" i="6"/>
  <c r="I189" i="6"/>
  <c r="L185" i="6"/>
  <c r="L177" i="6"/>
  <c r="I173" i="6"/>
  <c r="L161" i="6"/>
  <c r="L116" i="6"/>
  <c r="L112" i="6"/>
  <c r="I112" i="6"/>
  <c r="I98" i="6"/>
  <c r="L279" i="6"/>
  <c r="I273" i="6"/>
  <c r="L249" i="6"/>
  <c r="I241" i="6"/>
  <c r="L73" i="6"/>
  <c r="I27" i="6"/>
  <c r="L152" i="6"/>
  <c r="L136" i="6"/>
  <c r="L64" i="6"/>
  <c r="L52" i="6"/>
  <c r="L300" i="6"/>
  <c r="L292" i="6"/>
  <c r="L278" i="6"/>
  <c r="L275" i="6"/>
  <c r="L264" i="6"/>
  <c r="I260" i="6"/>
  <c r="L248" i="6"/>
  <c r="L244" i="6"/>
  <c r="L232" i="6"/>
  <c r="I228" i="6"/>
  <c r="L216" i="6"/>
  <c r="L212" i="6"/>
  <c r="L200" i="6"/>
  <c r="I196" i="6"/>
  <c r="L184" i="6"/>
  <c r="I168" i="6"/>
  <c r="I109" i="6"/>
  <c r="I105" i="6"/>
  <c r="L97" i="6"/>
  <c r="I67" i="6"/>
  <c r="I51" i="6"/>
  <c r="I47" i="6"/>
  <c r="I35" i="6"/>
  <c r="L383" i="6"/>
  <c r="L379" i="6"/>
  <c r="L371" i="6"/>
  <c r="L367" i="6"/>
  <c r="L363" i="6"/>
  <c r="L351" i="6"/>
  <c r="L347" i="6"/>
  <c r="L335" i="6"/>
  <c r="I320" i="6"/>
  <c r="L255" i="6"/>
  <c r="I127" i="6"/>
  <c r="I305" i="6"/>
  <c r="I289" i="6"/>
  <c r="L269" i="6"/>
  <c r="I261" i="6"/>
  <c r="L237" i="6"/>
  <c r="L19" i="6"/>
  <c r="L144" i="6"/>
  <c r="I78" i="6"/>
  <c r="I44" i="6"/>
  <c r="I364" i="6"/>
  <c r="L360" i="6"/>
  <c r="I348" i="6"/>
  <c r="L344" i="6"/>
  <c r="I332" i="6"/>
  <c r="L329" i="6"/>
  <c r="I317" i="6"/>
  <c r="L313" i="6"/>
  <c r="L155" i="6"/>
  <c r="L147" i="6"/>
  <c r="I147" i="6"/>
  <c r="L72" i="6"/>
  <c r="I22" i="6"/>
  <c r="I303" i="6"/>
  <c r="I259" i="6"/>
  <c r="I247" i="6"/>
  <c r="L243" i="6"/>
  <c r="I239" i="6"/>
  <c r="I231" i="6"/>
  <c r="L227" i="6"/>
  <c r="I223" i="6"/>
  <c r="I215" i="6"/>
  <c r="L211" i="6"/>
  <c r="I207" i="6"/>
  <c r="I199" i="6"/>
  <c r="L195" i="6"/>
  <c r="I191" i="6"/>
  <c r="I183" i="6"/>
  <c r="I175" i="6"/>
  <c r="L167" i="6"/>
  <c r="I23" i="6"/>
  <c r="L148" i="6"/>
  <c r="L394" i="6"/>
  <c r="L389" i="6"/>
  <c r="I380" i="6"/>
  <c r="L376" i="6"/>
  <c r="L85" i="6"/>
  <c r="I71" i="6"/>
  <c r="I15" i="6"/>
  <c r="L15" i="6"/>
  <c r="L306" i="6"/>
  <c r="L302" i="6"/>
  <c r="L290" i="6"/>
  <c r="L288" i="6"/>
  <c r="L276" i="6"/>
  <c r="L274" i="6"/>
  <c r="L262" i="6"/>
  <c r="L258" i="6"/>
  <c r="L246" i="6"/>
  <c r="L242" i="6"/>
  <c r="L230" i="6"/>
  <c r="L226" i="6"/>
  <c r="L214" i="6"/>
  <c r="L210" i="6"/>
  <c r="L198" i="6"/>
  <c r="L194" i="6"/>
  <c r="L182" i="6"/>
  <c r="I178" i="6"/>
  <c r="L174" i="6"/>
  <c r="L170" i="6"/>
  <c r="I162" i="6"/>
  <c r="I113" i="6"/>
  <c r="I69" i="6"/>
  <c r="I61" i="6"/>
  <c r="I57" i="6"/>
  <c r="I53" i="6"/>
  <c r="L45" i="6"/>
  <c r="I37" i="6"/>
  <c r="I56" i="6"/>
  <c r="I66" i="6"/>
  <c r="I58" i="6"/>
  <c r="I54" i="6"/>
  <c r="I50" i="6"/>
  <c r="I34" i="6"/>
  <c r="L386" i="6"/>
  <c r="I382" i="6"/>
  <c r="L366" i="6"/>
  <c r="I362" i="6"/>
  <c r="L350" i="6"/>
  <c r="I346" i="6"/>
  <c r="I331" i="6"/>
  <c r="I315" i="6"/>
  <c r="L141" i="6"/>
  <c r="I130" i="6"/>
  <c r="I122" i="6"/>
  <c r="L20" i="6"/>
  <c r="I390" i="6"/>
  <c r="L381" i="6"/>
  <c r="I357" i="6"/>
  <c r="I353" i="6"/>
  <c r="I341" i="6"/>
  <c r="I337" i="6"/>
  <c r="I326" i="6"/>
  <c r="I322" i="6"/>
  <c r="I310" i="6"/>
  <c r="L229" i="6"/>
  <c r="L213" i="6"/>
  <c r="L197" i="6"/>
  <c r="L173" i="6"/>
  <c r="I106" i="6"/>
  <c r="L106" i="6"/>
  <c r="L301" i="6"/>
  <c r="I293" i="6"/>
  <c r="I265" i="6"/>
  <c r="I233" i="6"/>
  <c r="I73" i="6"/>
  <c r="I152" i="6"/>
  <c r="I136" i="6"/>
  <c r="I125" i="6"/>
  <c r="I88" i="6"/>
  <c r="I92" i="6"/>
  <c r="I286" i="6"/>
  <c r="I272" i="6"/>
  <c r="I256" i="6"/>
  <c r="I240" i="6"/>
  <c r="I224" i="6"/>
  <c r="I208" i="6"/>
  <c r="I192" i="6"/>
  <c r="I180" i="6"/>
  <c r="L172" i="6"/>
  <c r="L168" i="6"/>
  <c r="I164" i="6"/>
  <c r="I115" i="6"/>
  <c r="L101" i="6"/>
  <c r="I97" i="6"/>
  <c r="L93" i="6"/>
  <c r="L81" i="6"/>
  <c r="L67" i="6"/>
  <c r="I59" i="6"/>
  <c r="I55" i="6"/>
  <c r="L51" i="6"/>
  <c r="I43" i="6"/>
  <c r="I39" i="6"/>
  <c r="L35" i="6"/>
  <c r="I393" i="6"/>
  <c r="L387" i="6"/>
  <c r="I379" i="6"/>
  <c r="I375" i="6"/>
  <c r="I363" i="6"/>
  <c r="I359" i="6"/>
  <c r="M351" i="6"/>
  <c r="I347" i="6"/>
  <c r="I343" i="6"/>
  <c r="L339" i="6"/>
  <c r="L320" i="6"/>
  <c r="I154" i="6"/>
  <c r="L150" i="6"/>
  <c r="L146" i="6"/>
  <c r="I297" i="6"/>
  <c r="I269" i="6"/>
  <c r="L245" i="6"/>
  <c r="I237" i="6"/>
  <c r="L129" i="6"/>
  <c r="L78" i="6"/>
  <c r="I60" i="6"/>
  <c r="L356" i="6"/>
  <c r="L340" i="6"/>
  <c r="L325" i="6"/>
  <c r="L309" i="6"/>
  <c r="I143" i="6"/>
  <c r="L143" i="6"/>
  <c r="L135" i="6"/>
  <c r="L120" i="6"/>
  <c r="I26" i="6"/>
  <c r="L22" i="6"/>
  <c r="L18" i="6"/>
  <c r="I299" i="6"/>
  <c r="L295" i="6"/>
  <c r="L285" i="6"/>
  <c r="L271" i="6"/>
  <c r="L267" i="6"/>
  <c r="I243" i="6"/>
  <c r="I227" i="6"/>
  <c r="I211" i="6"/>
  <c r="I195" i="6"/>
  <c r="I163" i="6"/>
  <c r="I148" i="6"/>
  <c r="I121" i="6"/>
  <c r="L48" i="6"/>
  <c r="I48" i="6"/>
  <c r="L388" i="6"/>
  <c r="L372" i="6"/>
  <c r="I85" i="6"/>
  <c r="L71" i="6"/>
  <c r="I294" i="6"/>
  <c r="I290" i="6"/>
  <c r="I284" i="6"/>
  <c r="I276" i="6"/>
  <c r="I270" i="6"/>
  <c r="I266" i="6"/>
  <c r="I262" i="6"/>
  <c r="I254" i="6"/>
  <c r="I246" i="6"/>
  <c r="I238" i="6"/>
  <c r="I234" i="6"/>
  <c r="I230" i="6"/>
  <c r="I222" i="6"/>
  <c r="I214" i="6"/>
  <c r="I202" i="6"/>
  <c r="I198" i="6"/>
  <c r="I182" i="6"/>
  <c r="I117" i="6"/>
  <c r="I99" i="6"/>
  <c r="L79" i="6"/>
  <c r="I29" i="6"/>
  <c r="H391" i="9"/>
  <c r="H381" i="9"/>
  <c r="H373" i="9"/>
  <c r="H365" i="9"/>
  <c r="H357" i="9"/>
  <c r="H349" i="9"/>
  <c r="H341" i="9"/>
  <c r="H333" i="9"/>
  <c r="H326" i="9"/>
  <c r="H318" i="9"/>
  <c r="AT390" i="4"/>
  <c r="AZ390" i="4" s="1"/>
  <c r="H310" i="9"/>
  <c r="H185" i="8"/>
  <c r="H59" i="8"/>
  <c r="H39" i="8"/>
  <c r="H189" i="8"/>
  <c r="H148" i="8"/>
  <c r="H140" i="8"/>
  <c r="H60" i="9"/>
  <c r="H153" i="8"/>
  <c r="H122" i="8"/>
  <c r="H160" i="9"/>
  <c r="H69" i="8"/>
  <c r="H53" i="8"/>
  <c r="H88" i="9"/>
  <c r="H32" i="9"/>
  <c r="H115" i="9"/>
  <c r="H51" i="9"/>
  <c r="H43" i="9"/>
  <c r="H35" i="9"/>
  <c r="AT13" i="4"/>
  <c r="AV13" i="4"/>
  <c r="AD412" i="8"/>
  <c r="AD415" i="8"/>
  <c r="AD413" i="8"/>
  <c r="AD422" i="8"/>
  <c r="AD400" i="8"/>
  <c r="AD407" i="8"/>
  <c r="AD425" i="8"/>
  <c r="AD433" i="8"/>
  <c r="AD423" i="8"/>
  <c r="AD397" i="8"/>
  <c r="AD419" i="8"/>
  <c r="AD421" i="8"/>
  <c r="AD431" i="8"/>
  <c r="AD408" i="8"/>
  <c r="AD404" i="8"/>
  <c r="AD401" i="8"/>
  <c r="AD427" i="8"/>
  <c r="AD414" i="8"/>
  <c r="AD403" i="8"/>
  <c r="AD406" i="8"/>
  <c r="AD410" i="8"/>
  <c r="L484" i="5"/>
  <c r="I484" i="5"/>
  <c r="H484" i="5" s="1"/>
  <c r="L447" i="5"/>
  <c r="I447" i="5"/>
  <c r="H447" i="5" s="1"/>
  <c r="L472" i="5"/>
  <c r="I472" i="5"/>
  <c r="H472" i="5" s="1"/>
  <c r="L451" i="5"/>
  <c r="I451" i="5"/>
  <c r="H451" i="5" s="1"/>
  <c r="I436" i="5"/>
  <c r="H436" i="5" s="1"/>
  <c r="L436" i="5"/>
  <c r="I476" i="5"/>
  <c r="H476" i="5" s="1"/>
  <c r="L476" i="5"/>
  <c r="I483" i="5"/>
  <c r="H483" i="5" s="1"/>
  <c r="L483" i="5"/>
  <c r="I454" i="5"/>
  <c r="H454" i="5" s="1"/>
  <c r="L454" i="5"/>
  <c r="I465" i="5"/>
  <c r="H465" i="5" s="1"/>
  <c r="L465" i="5"/>
  <c r="I466" i="5"/>
  <c r="H466" i="5" s="1"/>
  <c r="L466" i="5"/>
  <c r="I448" i="5"/>
  <c r="H448" i="5" s="1"/>
  <c r="L448" i="5"/>
  <c r="I459" i="5"/>
  <c r="H459" i="5" s="1"/>
  <c r="L459" i="5"/>
  <c r="I449" i="5"/>
  <c r="H449" i="5" s="1"/>
  <c r="L449" i="5"/>
  <c r="I442" i="5"/>
  <c r="H442" i="5" s="1"/>
  <c r="L442" i="5"/>
  <c r="I475" i="5"/>
  <c r="H475" i="5" s="1"/>
  <c r="L475" i="5"/>
  <c r="I474" i="5"/>
  <c r="H474" i="5" s="1"/>
  <c r="L474" i="5"/>
  <c r="L440" i="5"/>
  <c r="I440" i="5"/>
  <c r="H440" i="5" s="1"/>
  <c r="L463" i="5"/>
  <c r="I463" i="5"/>
  <c r="H463" i="5" s="1"/>
  <c r="I457" i="5"/>
  <c r="H457" i="5" s="1"/>
  <c r="L457" i="5"/>
  <c r="L452" i="5"/>
  <c r="I452" i="5"/>
  <c r="H452" i="5" s="1"/>
  <c r="L464" i="5"/>
  <c r="I464" i="5"/>
  <c r="H464" i="5" s="1"/>
  <c r="L437" i="5"/>
  <c r="I437" i="5"/>
  <c r="H437" i="5" s="1"/>
  <c r="L480" i="5"/>
  <c r="I480" i="5"/>
  <c r="H480" i="5" s="1"/>
  <c r="L444" i="5"/>
  <c r="I444" i="5"/>
  <c r="H444" i="5" s="1"/>
  <c r="L453" i="5"/>
  <c r="I453" i="5"/>
  <c r="H453" i="5" s="1"/>
  <c r="L441" i="5"/>
  <c r="I441" i="5"/>
  <c r="H441" i="5" s="1"/>
  <c r="L482" i="5"/>
  <c r="I482" i="5"/>
  <c r="H482" i="5" s="1"/>
  <c r="L445" i="5"/>
  <c r="I445" i="5"/>
  <c r="H445" i="5" s="1"/>
  <c r="L467" i="5"/>
  <c r="I467" i="5"/>
  <c r="H467" i="5" s="1"/>
  <c r="L439" i="5"/>
  <c r="I439" i="5"/>
  <c r="H439" i="5" s="1"/>
  <c r="L443" i="5"/>
  <c r="I443" i="5"/>
  <c r="H443" i="5" s="1"/>
  <c r="L469" i="5"/>
  <c r="I469" i="5"/>
  <c r="H469" i="5" s="1"/>
  <c r="L473" i="5"/>
  <c r="I473" i="5"/>
  <c r="H473" i="5" s="1"/>
  <c r="L435" i="5"/>
  <c r="I435" i="5"/>
  <c r="H435" i="5" s="1"/>
  <c r="L446" i="5"/>
  <c r="I446" i="5"/>
  <c r="H446" i="5" s="1"/>
  <c r="I477" i="5"/>
  <c r="H477" i="5" s="1"/>
  <c r="I481" i="5"/>
  <c r="H481" i="5" s="1"/>
  <c r="L481" i="5"/>
  <c r="L431" i="5"/>
  <c r="I431" i="5"/>
  <c r="H431" i="5" s="1"/>
  <c r="H19" i="9"/>
  <c r="H117" i="9"/>
  <c r="H75" i="9"/>
  <c r="H61" i="9"/>
  <c r="H53" i="9"/>
  <c r="H107" i="9"/>
  <c r="H99" i="9"/>
  <c r="H109" i="9"/>
  <c r="H150" i="8"/>
  <c r="H119" i="8"/>
  <c r="H85" i="8"/>
  <c r="H42" i="8"/>
  <c r="H225" i="9"/>
  <c r="H221" i="9"/>
  <c r="H217" i="9"/>
  <c r="H213" i="9"/>
  <c r="H209" i="9"/>
  <c r="H205" i="9"/>
  <c r="H201" i="9"/>
  <c r="H197" i="9"/>
  <c r="H193" i="9"/>
  <c r="H189" i="9"/>
  <c r="H185" i="9"/>
  <c r="H181" i="9"/>
  <c r="H169" i="9"/>
  <c r="H78" i="8"/>
  <c r="H56" i="8"/>
  <c r="H287" i="8"/>
  <c r="H265" i="8"/>
  <c r="H241" i="8"/>
  <c r="H82" i="9"/>
  <c r="H364" i="9"/>
  <c r="H356" i="9"/>
  <c r="H348" i="9"/>
  <c r="H340" i="9"/>
  <c r="H332" i="9"/>
  <c r="H325" i="9"/>
  <c r="H317" i="9"/>
  <c r="H309" i="9"/>
  <c r="H232" i="9"/>
  <c r="H224" i="9"/>
  <c r="H216" i="9"/>
  <c r="H208" i="9"/>
  <c r="H200" i="9"/>
  <c r="H192" i="9"/>
  <c r="H184" i="9"/>
  <c r="H147" i="9"/>
  <c r="H101" i="9"/>
  <c r="H93" i="9"/>
  <c r="H171" i="9"/>
  <c r="H305" i="9"/>
  <c r="H297" i="9"/>
  <c r="H289" i="9"/>
  <c r="H283" i="9"/>
  <c r="H269" i="9"/>
  <c r="H261" i="9"/>
  <c r="H253" i="9"/>
  <c r="H245" i="9"/>
  <c r="H237" i="9"/>
  <c r="H177" i="8"/>
  <c r="H112" i="8"/>
  <c r="H391" i="8"/>
  <c r="H381" i="8"/>
  <c r="H365" i="8"/>
  <c r="H349" i="8"/>
  <c r="H330" i="8"/>
  <c r="H377" i="8"/>
  <c r="H68" i="9"/>
  <c r="H36" i="9"/>
  <c r="H394" i="9"/>
  <c r="H389" i="9"/>
  <c r="H384" i="9"/>
  <c r="H376" i="9"/>
  <c r="H368" i="9"/>
  <c r="H300" i="8"/>
  <c r="H286" i="8"/>
  <c r="H272" i="8"/>
  <c r="H256" i="8"/>
  <c r="H240" i="8"/>
  <c r="H224" i="8"/>
  <c r="H208" i="8"/>
  <c r="H192" i="8"/>
  <c r="H180" i="8"/>
  <c r="H393" i="8"/>
  <c r="H383" i="8"/>
  <c r="H375" i="8"/>
  <c r="H367" i="8"/>
  <c r="H359" i="8"/>
  <c r="H351" i="8"/>
  <c r="H343" i="8"/>
  <c r="H335" i="8"/>
  <c r="H328" i="8"/>
  <c r="H320" i="8"/>
  <c r="H312" i="8"/>
  <c r="H175" i="8"/>
  <c r="H163" i="8"/>
  <c r="H142" i="8"/>
  <c r="H134" i="8"/>
  <c r="H127" i="8"/>
  <c r="H108" i="8"/>
  <c r="H100" i="8"/>
  <c r="H96" i="8"/>
  <c r="H361" i="8"/>
  <c r="H345" i="8"/>
  <c r="H326" i="8"/>
  <c r="H178" i="9"/>
  <c r="H255" i="8"/>
  <c r="H71" i="8"/>
  <c r="H62" i="8"/>
  <c r="H58" i="8"/>
  <c r="H392" i="8"/>
  <c r="H386" i="8"/>
  <c r="H382" i="8"/>
  <c r="H378" i="8"/>
  <c r="H374" i="8"/>
  <c r="H334" i="8"/>
  <c r="H327" i="8"/>
  <c r="H319" i="8"/>
  <c r="H311" i="8"/>
  <c r="H174" i="8"/>
  <c r="H99" i="8"/>
  <c r="H45" i="8"/>
  <c r="H20" i="8"/>
  <c r="H45" i="9"/>
  <c r="H37" i="9"/>
  <c r="H29" i="9"/>
  <c r="H20" i="9"/>
  <c r="H174" i="9"/>
  <c r="H158" i="9"/>
  <c r="H153" i="9"/>
  <c r="H69" i="9"/>
  <c r="H27" i="9"/>
  <c r="H66" i="9"/>
  <c r="H50" i="9"/>
  <c r="H42" i="9"/>
  <c r="H149" i="9"/>
  <c r="H91" i="9"/>
  <c r="H67" i="9"/>
  <c r="H59" i="9"/>
  <c r="H175" i="9"/>
  <c r="H114" i="9"/>
  <c r="H165" i="8"/>
  <c r="H116" i="8"/>
  <c r="H155" i="8"/>
  <c r="H139" i="8"/>
  <c r="H132" i="8"/>
  <c r="H124" i="8"/>
  <c r="H299" i="8"/>
  <c r="H291" i="8"/>
  <c r="H285" i="8"/>
  <c r="H277" i="8"/>
  <c r="H271" i="8"/>
  <c r="H263" i="8"/>
  <c r="H247" i="8"/>
  <c r="H239" i="8"/>
  <c r="H231" i="8"/>
  <c r="H223" i="8"/>
  <c r="H215" i="8"/>
  <c r="H207" i="8"/>
  <c r="H199" i="8"/>
  <c r="H114" i="8"/>
  <c r="H58" i="9"/>
  <c r="H54" i="8"/>
  <c r="H79" i="8"/>
  <c r="H173" i="9"/>
  <c r="H148" i="9"/>
  <c r="H140" i="9"/>
  <c r="H27" i="8"/>
  <c r="H19" i="8"/>
  <c r="H66" i="8"/>
  <c r="H25" i="8"/>
  <c r="H366" i="8"/>
  <c r="H362" i="8"/>
  <c r="H358" i="8"/>
  <c r="H354" i="8"/>
  <c r="H350" i="8"/>
  <c r="H346" i="8"/>
  <c r="H342" i="8"/>
  <c r="H338" i="8"/>
  <c r="H331" i="8"/>
  <c r="H323" i="8"/>
  <c r="H315" i="8"/>
  <c r="H162" i="8"/>
  <c r="H158" i="8"/>
  <c r="H113" i="8"/>
  <c r="H103" i="8"/>
  <c r="H95" i="8"/>
  <c r="H65" i="8"/>
  <c r="H61" i="8"/>
  <c r="H57" i="8"/>
  <c r="H49" i="8"/>
  <c r="H41" i="8"/>
  <c r="H33" i="8"/>
  <c r="H24" i="8"/>
  <c r="H165" i="9"/>
  <c r="H156" i="9"/>
  <c r="H152" i="9"/>
  <c r="H144" i="9"/>
  <c r="H129" i="9"/>
  <c r="H121" i="9"/>
  <c r="H106" i="9"/>
  <c r="H102" i="9"/>
  <c r="H98" i="9"/>
  <c r="H94" i="9"/>
  <c r="H82" i="8"/>
  <c r="H73" i="8"/>
  <c r="H48" i="8"/>
  <c r="H44" i="8"/>
  <c r="H40" i="8"/>
  <c r="H36" i="8"/>
  <c r="H32" i="8"/>
  <c r="H13" i="8"/>
  <c r="H297" i="8"/>
  <c r="H253" i="8"/>
  <c r="H229" i="8"/>
  <c r="H360" i="9"/>
  <c r="H352" i="9"/>
  <c r="H344" i="9"/>
  <c r="H336" i="9"/>
  <c r="H329" i="9"/>
  <c r="H321" i="9"/>
  <c r="H313" i="9"/>
  <c r="H228" i="9"/>
  <c r="H220" i="9"/>
  <c r="H212" i="9"/>
  <c r="H204" i="9"/>
  <c r="H196" i="9"/>
  <c r="H188" i="9"/>
  <c r="H155" i="9"/>
  <c r="H132" i="9"/>
  <c r="H128" i="9"/>
  <c r="H124" i="9"/>
  <c r="H77" i="9"/>
  <c r="H72" i="9"/>
  <c r="H179" i="9"/>
  <c r="H150" i="9"/>
  <c r="H108" i="9"/>
  <c r="H104" i="9"/>
  <c r="H100" i="9"/>
  <c r="H92" i="9"/>
  <c r="H301" i="9"/>
  <c r="H293" i="9"/>
  <c r="H287" i="9"/>
  <c r="H279" i="9"/>
  <c r="H273" i="9"/>
  <c r="H265" i="9"/>
  <c r="H257" i="9"/>
  <c r="H249" i="9"/>
  <c r="H241" i="9"/>
  <c r="H233" i="9"/>
  <c r="H173" i="8"/>
  <c r="H161" i="8"/>
  <c r="H50" i="8"/>
  <c r="H46" i="8"/>
  <c r="H38" i="8"/>
  <c r="H34" i="8"/>
  <c r="H30" i="8"/>
  <c r="H306" i="8"/>
  <c r="H298" i="8"/>
  <c r="H290" i="8"/>
  <c r="H284" i="8"/>
  <c r="H276" i="8"/>
  <c r="H270" i="8"/>
  <c r="H262" i="8"/>
  <c r="H254" i="8"/>
  <c r="H246" i="8"/>
  <c r="H238" i="8"/>
  <c r="H230" i="8"/>
  <c r="H222" i="8"/>
  <c r="H214" i="8"/>
  <c r="H206" i="8"/>
  <c r="H198" i="8"/>
  <c r="H190" i="8"/>
  <c r="H182" i="8"/>
  <c r="H178" i="8"/>
  <c r="H149" i="8"/>
  <c r="H145" i="8"/>
  <c r="H141" i="8"/>
  <c r="H137" i="8"/>
  <c r="H133" i="8"/>
  <c r="H130" i="8"/>
  <c r="H126" i="8"/>
  <c r="H75" i="8"/>
  <c r="H14" i="8"/>
  <c r="H136" i="9"/>
  <c r="H125" i="9"/>
  <c r="H116" i="9"/>
  <c r="H112" i="9"/>
  <c r="H68" i="8"/>
  <c r="H64" i="8"/>
  <c r="H60" i="8"/>
  <c r="H52" i="8"/>
  <c r="H333" i="8"/>
  <c r="H310" i="8"/>
  <c r="H48" i="9"/>
  <c r="H304" i="9"/>
  <c r="H296" i="9"/>
  <c r="H282" i="9"/>
  <c r="H275" i="9"/>
  <c r="H268" i="9"/>
  <c r="H260" i="9"/>
  <c r="H252" i="9"/>
  <c r="H244" i="9"/>
  <c r="H236" i="9"/>
  <c r="H180" i="9"/>
  <c r="H172" i="9"/>
  <c r="H164" i="9"/>
  <c r="H139" i="9"/>
  <c r="H135" i="9"/>
  <c r="H105" i="9"/>
  <c r="H80" i="8"/>
  <c r="H76" i="8"/>
  <c r="H21" i="8"/>
  <c r="H15" i="8"/>
  <c r="H302" i="8"/>
  <c r="H294" i="8"/>
  <c r="H288" i="8"/>
  <c r="H280" i="8"/>
  <c r="H274" i="8"/>
  <c r="H266" i="8"/>
  <c r="H258" i="8"/>
  <c r="H250" i="8"/>
  <c r="H242" i="8"/>
  <c r="H234" i="8"/>
  <c r="H226" i="8"/>
  <c r="H218" i="8"/>
  <c r="H210" i="8"/>
  <c r="H202" i="8"/>
  <c r="H194" i="8"/>
  <c r="H186" i="8"/>
  <c r="H170" i="8"/>
  <c r="H166" i="8"/>
  <c r="H117" i="8"/>
  <c r="H107" i="8"/>
  <c r="H91" i="8"/>
  <c r="H84" i="8"/>
  <c r="H37" i="8"/>
  <c r="H29" i="8"/>
  <c r="H177" i="9"/>
  <c r="H161" i="9"/>
  <c r="H23" i="8"/>
  <c r="H390" i="8"/>
  <c r="H385" i="8"/>
  <c r="H373" i="8"/>
  <c r="H357" i="8"/>
  <c r="H341" i="8"/>
  <c r="H318" i="8"/>
  <c r="H388" i="9"/>
  <c r="H380" i="9"/>
  <c r="H372" i="9"/>
  <c r="H304" i="8"/>
  <c r="H296" i="8"/>
  <c r="H282" i="8"/>
  <c r="H275" i="8"/>
  <c r="H268" i="8"/>
  <c r="H260" i="8"/>
  <c r="H252" i="8"/>
  <c r="H244" i="8"/>
  <c r="H236" i="8"/>
  <c r="H228" i="8"/>
  <c r="H220" i="8"/>
  <c r="H212" i="8"/>
  <c r="H204" i="8"/>
  <c r="H196" i="8"/>
  <c r="H188" i="8"/>
  <c r="H168" i="8"/>
  <c r="H47" i="8"/>
  <c r="H31" i="8"/>
  <c r="H26" i="8"/>
  <c r="H22" i="8"/>
  <c r="H316" i="8"/>
  <c r="H179" i="8"/>
  <c r="H369" i="8"/>
  <c r="H353" i="8"/>
  <c r="H337" i="8"/>
  <c r="H314" i="8"/>
  <c r="H52" i="9"/>
  <c r="H40" i="9"/>
  <c r="H97" i="9"/>
  <c r="H87" i="9"/>
  <c r="H387" i="9"/>
  <c r="H379" i="9"/>
  <c r="H371" i="9"/>
  <c r="H363" i="9"/>
  <c r="H355" i="9"/>
  <c r="H347" i="9"/>
  <c r="H339" i="9"/>
  <c r="H324" i="9"/>
  <c r="H316" i="9"/>
  <c r="H308" i="9"/>
  <c r="H303" i="9"/>
  <c r="H299" i="9"/>
  <c r="H295" i="9"/>
  <c r="H291" i="9"/>
  <c r="H285" i="9"/>
  <c r="H281" i="9"/>
  <c r="H277" i="9"/>
  <c r="H271" i="9"/>
  <c r="H267" i="9"/>
  <c r="H263" i="9"/>
  <c r="H259" i="9"/>
  <c r="H255" i="9"/>
  <c r="H251" i="9"/>
  <c r="H247" i="9"/>
  <c r="H243" i="9"/>
  <c r="H239" i="9"/>
  <c r="H235" i="9"/>
  <c r="H231" i="9"/>
  <c r="H223" i="9"/>
  <c r="H215" i="9"/>
  <c r="H207" i="9"/>
  <c r="H199" i="9"/>
  <c r="H191" i="9"/>
  <c r="H183" i="9"/>
  <c r="H167" i="9"/>
  <c r="H163" i="9"/>
  <c r="H142" i="9"/>
  <c r="H138" i="9"/>
  <c r="H134" i="9"/>
  <c r="H127" i="9"/>
  <c r="H119" i="9"/>
  <c r="H390" i="9"/>
  <c r="H385" i="9"/>
  <c r="H377" i="9"/>
  <c r="H369" i="9"/>
  <c r="H361" i="9"/>
  <c r="H353" i="9"/>
  <c r="H345" i="9"/>
  <c r="H337" i="9"/>
  <c r="H330" i="9"/>
  <c r="H322" i="9"/>
  <c r="H314" i="9"/>
  <c r="H225" i="8"/>
  <c r="H217" i="8"/>
  <c r="H209" i="8"/>
  <c r="H201" i="8"/>
  <c r="H193" i="8"/>
  <c r="H152" i="8"/>
  <c r="H144" i="8"/>
  <c r="H136" i="8"/>
  <c r="H129" i="8"/>
  <c r="H121" i="8"/>
  <c r="H106" i="8"/>
  <c r="H102" i="8"/>
  <c r="H94" i="8"/>
  <c r="H88" i="8"/>
  <c r="H293" i="8"/>
  <c r="H273" i="8"/>
  <c r="H249" i="8"/>
  <c r="H56" i="9"/>
  <c r="H364" i="8"/>
  <c r="H356" i="8"/>
  <c r="H348" i="8"/>
  <c r="H340" i="8"/>
  <c r="H332" i="8"/>
  <c r="H325" i="8"/>
  <c r="H317" i="8"/>
  <c r="H309" i="8"/>
  <c r="H292" i="8"/>
  <c r="H278" i="8"/>
  <c r="H264" i="8"/>
  <c r="H248" i="8"/>
  <c r="H232" i="8"/>
  <c r="H216" i="8"/>
  <c r="H200" i="8"/>
  <c r="H184" i="8"/>
  <c r="H160" i="8"/>
  <c r="H151" i="8"/>
  <c r="H143" i="8"/>
  <c r="H135" i="8"/>
  <c r="H128" i="8"/>
  <c r="H120" i="8"/>
  <c r="H101" i="8"/>
  <c r="H81" i="8"/>
  <c r="H77" i="8"/>
  <c r="H63" i="8"/>
  <c r="H55" i="8"/>
  <c r="H387" i="8"/>
  <c r="H379" i="8"/>
  <c r="H371" i="8"/>
  <c r="H363" i="8"/>
  <c r="H355" i="8"/>
  <c r="H347" i="8"/>
  <c r="H339" i="8"/>
  <c r="H187" i="8"/>
  <c r="H171" i="8"/>
  <c r="H154" i="8"/>
  <c r="H146" i="8"/>
  <c r="H138" i="8"/>
  <c r="H131" i="8"/>
  <c r="H123" i="8"/>
  <c r="H322" i="8"/>
  <c r="H64" i="9"/>
  <c r="H13" i="9"/>
  <c r="H92" i="8"/>
  <c r="H300" i="9"/>
  <c r="H292" i="9"/>
  <c r="H286" i="9"/>
  <c r="H278" i="9"/>
  <c r="H272" i="9"/>
  <c r="H264" i="9"/>
  <c r="H256" i="9"/>
  <c r="H248" i="9"/>
  <c r="H240" i="9"/>
  <c r="H176" i="9"/>
  <c r="H168" i="9"/>
  <c r="H151" i="9"/>
  <c r="H143" i="9"/>
  <c r="H120" i="9"/>
  <c r="H81" i="9"/>
  <c r="H63" i="9"/>
  <c r="H55" i="9"/>
  <c r="H47" i="9"/>
  <c r="H39" i="9"/>
  <c r="H31" i="9"/>
  <c r="H26" i="9"/>
  <c r="H22" i="9"/>
  <c r="H18" i="9"/>
  <c r="H393" i="9"/>
  <c r="H383" i="9"/>
  <c r="H375" i="9"/>
  <c r="H367" i="9"/>
  <c r="H359" i="9"/>
  <c r="H351" i="9"/>
  <c r="H343" i="9"/>
  <c r="H335" i="9"/>
  <c r="H328" i="9"/>
  <c r="H320" i="9"/>
  <c r="H312" i="9"/>
  <c r="H227" i="9"/>
  <c r="H219" i="9"/>
  <c r="H211" i="9"/>
  <c r="H203" i="9"/>
  <c r="H195" i="9"/>
  <c r="H187" i="9"/>
  <c r="H159" i="9"/>
  <c r="H154" i="9"/>
  <c r="H146" i="9"/>
  <c r="H131" i="9"/>
  <c r="H123" i="9"/>
  <c r="H96" i="9"/>
  <c r="H289" i="8"/>
  <c r="H269" i="8"/>
  <c r="H245" i="8"/>
  <c r="H23" i="9"/>
  <c r="H394" i="8"/>
  <c r="H389" i="8"/>
  <c r="H384" i="8"/>
  <c r="H376" i="8"/>
  <c r="H368" i="8"/>
  <c r="H229" i="9"/>
  <c r="H221" i="8"/>
  <c r="H213" i="8"/>
  <c r="H205" i="8"/>
  <c r="H197" i="8"/>
  <c r="H181" i="8"/>
  <c r="H169" i="8"/>
  <c r="H156" i="8"/>
  <c r="H125" i="8"/>
  <c r="H98" i="8"/>
  <c r="H305" i="8"/>
  <c r="H283" i="8"/>
  <c r="H261" i="8"/>
  <c r="H237" i="8"/>
  <c r="H360" i="8"/>
  <c r="H352" i="8"/>
  <c r="H344" i="8"/>
  <c r="H336" i="8"/>
  <c r="H329" i="8"/>
  <c r="H321" i="8"/>
  <c r="H313" i="8"/>
  <c r="H176" i="8"/>
  <c r="H172" i="8"/>
  <c r="H164" i="8"/>
  <c r="H115" i="8"/>
  <c r="H109" i="8"/>
  <c r="H105" i="8"/>
  <c r="H97" i="8"/>
  <c r="H93" i="8"/>
  <c r="H87" i="8"/>
  <c r="H72" i="8"/>
  <c r="H67" i="8"/>
  <c r="H51" i="8"/>
  <c r="H43" i="8"/>
  <c r="H35" i="8"/>
  <c r="H18" i="8"/>
  <c r="H324" i="8"/>
  <c r="H308" i="8"/>
  <c r="H303" i="8"/>
  <c r="H295" i="8"/>
  <c r="H281" i="8"/>
  <c r="H267" i="8"/>
  <c r="H259" i="8"/>
  <c r="H251" i="8"/>
  <c r="H243" i="8"/>
  <c r="H235" i="8"/>
  <c r="H227" i="8"/>
  <c r="H219" i="8"/>
  <c r="H211" i="8"/>
  <c r="H203" i="8"/>
  <c r="H195" i="8"/>
  <c r="H191" i="8"/>
  <c r="H183" i="8"/>
  <c r="H167" i="8"/>
  <c r="H159" i="8"/>
  <c r="H104" i="8"/>
  <c r="H301" i="8"/>
  <c r="H279" i="8"/>
  <c r="H257" i="8"/>
  <c r="H233" i="8"/>
  <c r="H73" i="9"/>
  <c r="H388" i="8"/>
  <c r="H380" i="8"/>
  <c r="H372" i="8"/>
  <c r="H80" i="9"/>
  <c r="H76" i="9"/>
  <c r="H230" i="9"/>
  <c r="H222" i="9"/>
  <c r="H214" i="9"/>
  <c r="H206" i="9"/>
  <c r="H198" i="9"/>
  <c r="H190" i="9"/>
  <c r="H182" i="9"/>
  <c r="H25" i="9"/>
  <c r="H15" i="9"/>
  <c r="H392" i="9"/>
  <c r="H386" i="9"/>
  <c r="H382" i="9"/>
  <c r="H378" i="9"/>
  <c r="H374" i="9"/>
  <c r="H306" i="9"/>
  <c r="H298" i="9"/>
  <c r="H290" i="9"/>
  <c r="H284" i="9"/>
  <c r="H276" i="9"/>
  <c r="H270" i="9"/>
  <c r="H262" i="9"/>
  <c r="H254" i="9"/>
  <c r="H246" i="9"/>
  <c r="H238" i="9"/>
  <c r="H170" i="9"/>
  <c r="H166" i="9"/>
  <c r="H113" i="9"/>
  <c r="H103" i="9"/>
  <c r="H95" i="9"/>
  <c r="H65" i="9"/>
  <c r="H57" i="9"/>
  <c r="H49" i="9"/>
  <c r="H41" i="9"/>
  <c r="H33" i="9"/>
  <c r="H24" i="9"/>
  <c r="H14" i="9"/>
  <c r="H78" i="9"/>
  <c r="H147" i="8"/>
  <c r="H71" i="9"/>
  <c r="H62" i="9"/>
  <c r="H54" i="9"/>
  <c r="H46" i="9"/>
  <c r="H38" i="9"/>
  <c r="H34" i="9"/>
  <c r="H30" i="9"/>
  <c r="H366" i="9"/>
  <c r="H362" i="9"/>
  <c r="H358" i="9"/>
  <c r="H354" i="9"/>
  <c r="H350" i="9"/>
  <c r="H346" i="9"/>
  <c r="H342" i="9"/>
  <c r="H338" i="9"/>
  <c r="H334" i="9"/>
  <c r="H331" i="9"/>
  <c r="H327" i="9"/>
  <c r="H323" i="9"/>
  <c r="H319" i="9"/>
  <c r="H315" i="9"/>
  <c r="H311" i="9"/>
  <c r="H226" i="9"/>
  <c r="H218" i="9"/>
  <c r="H210" i="9"/>
  <c r="H202" i="9"/>
  <c r="H194" i="9"/>
  <c r="H186" i="9"/>
  <c r="H162" i="9"/>
  <c r="H133" i="9"/>
  <c r="H130" i="9"/>
  <c r="H126" i="9"/>
  <c r="H122" i="9"/>
  <c r="H79" i="9"/>
  <c r="H145" i="9"/>
  <c r="H141" i="9"/>
  <c r="H137" i="9"/>
  <c r="H84" i="9"/>
  <c r="H44" i="9"/>
  <c r="M429" i="9"/>
  <c r="M433" i="9"/>
  <c r="M425" i="9"/>
  <c r="M408" i="9"/>
  <c r="M424" i="9"/>
  <c r="M409" i="9"/>
  <c r="M413" i="9"/>
  <c r="M419" i="9"/>
  <c r="M395" i="9"/>
  <c r="M415" i="9"/>
  <c r="M418" i="9"/>
  <c r="M398" i="9"/>
  <c r="M431" i="9"/>
  <c r="M430" i="9"/>
  <c r="M399" i="9"/>
  <c r="M402" i="9"/>
  <c r="M397" i="9"/>
  <c r="M421" i="9"/>
  <c r="M417" i="9"/>
  <c r="M410" i="9"/>
  <c r="M426" i="9"/>
  <c r="M406" i="9"/>
  <c r="M396" i="9"/>
  <c r="M432" i="9"/>
  <c r="M423" i="9"/>
  <c r="M414" i="9"/>
  <c r="M404" i="9"/>
  <c r="M400" i="9"/>
  <c r="M428" i="9"/>
  <c r="M401" i="9"/>
  <c r="M405" i="9"/>
  <c r="M411" i="9"/>
  <c r="M403" i="9"/>
  <c r="M422" i="9"/>
  <c r="M427" i="9"/>
  <c r="M407" i="9"/>
  <c r="M420" i="9"/>
  <c r="M416" i="9"/>
  <c r="M412" i="9"/>
  <c r="AD394" i="36"/>
  <c r="AT393" i="4"/>
  <c r="AZ393" i="4" s="1"/>
  <c r="AD171" i="36"/>
  <c r="AT170" i="4"/>
  <c r="AZ170" i="4" s="1"/>
  <c r="AD154" i="36"/>
  <c r="AT153" i="4"/>
  <c r="AZ153" i="4" s="1"/>
  <c r="AD362" i="36"/>
  <c r="AT361" i="4"/>
  <c r="AZ361" i="4" s="1"/>
  <c r="AD315" i="36"/>
  <c r="AT314" i="4"/>
  <c r="AZ314" i="4" s="1"/>
  <c r="AD230" i="36"/>
  <c r="AT229" i="4"/>
  <c r="AZ229" i="4" s="1"/>
  <c r="AD126" i="36"/>
  <c r="AT125" i="4"/>
  <c r="AZ125" i="4" s="1"/>
  <c r="AD69" i="36"/>
  <c r="AT68" i="4"/>
  <c r="AZ68" i="4" s="1"/>
  <c r="AD229" i="36"/>
  <c r="AT228" i="4"/>
  <c r="AZ228" i="4" s="1"/>
  <c r="AD173" i="36"/>
  <c r="AT172" i="4"/>
  <c r="AZ172" i="4" s="1"/>
  <c r="AD161" i="36"/>
  <c r="AT160" i="4"/>
  <c r="AZ160" i="4" s="1"/>
  <c r="AD23" i="36"/>
  <c r="AT22" i="4"/>
  <c r="AZ22" i="4" s="1"/>
  <c r="AD176" i="36"/>
  <c r="AT175" i="4"/>
  <c r="AZ175" i="4" s="1"/>
  <c r="AD382" i="36"/>
  <c r="AT381" i="4"/>
  <c r="AZ381" i="4" s="1"/>
  <c r="AD369" i="36"/>
  <c r="AT368" i="4"/>
  <c r="AZ368" i="4" s="1"/>
  <c r="AD376" i="36"/>
  <c r="AT375" i="4"/>
  <c r="AZ375" i="4" s="1"/>
  <c r="AD347" i="36"/>
  <c r="AT346" i="4"/>
  <c r="AZ346" i="4" s="1"/>
  <c r="AD267" i="36"/>
  <c r="AT266" i="4"/>
  <c r="AZ266" i="4" s="1"/>
  <c r="AD231" i="36"/>
  <c r="AT230" i="4"/>
  <c r="AZ230" i="4" s="1"/>
  <c r="AD159" i="36"/>
  <c r="AT158" i="4"/>
  <c r="AZ158" i="4" s="1"/>
  <c r="AD138" i="36"/>
  <c r="AT137" i="4"/>
  <c r="AZ137" i="4" s="1"/>
  <c r="AD375" i="36"/>
  <c r="AT374" i="4"/>
  <c r="AZ374" i="4" s="1"/>
  <c r="AD202" i="36"/>
  <c r="AT201" i="4"/>
  <c r="AZ201" i="4" s="1"/>
  <c r="AD53" i="36"/>
  <c r="AT52" i="4"/>
  <c r="AZ52" i="4" s="1"/>
  <c r="AD378" i="36"/>
  <c r="AT377" i="4"/>
  <c r="AZ377" i="4" s="1"/>
  <c r="AD293" i="36"/>
  <c r="AT292" i="4"/>
  <c r="AZ292" i="4" s="1"/>
  <c r="AD249" i="36"/>
  <c r="AT248" i="4"/>
  <c r="AZ248" i="4" s="1"/>
  <c r="AD165" i="36"/>
  <c r="AT164" i="4"/>
  <c r="AZ164" i="4" s="1"/>
  <c r="AD381" i="36"/>
  <c r="AT380" i="4"/>
  <c r="AZ380" i="4" s="1"/>
  <c r="AD360" i="36"/>
  <c r="AT359" i="4"/>
  <c r="AZ359" i="4" s="1"/>
  <c r="AD81" i="36"/>
  <c r="AT80" i="4"/>
  <c r="AZ80" i="4" s="1"/>
  <c r="AD43" i="36"/>
  <c r="AT42" i="4"/>
  <c r="AZ42" i="4" s="1"/>
  <c r="AD374" i="36"/>
  <c r="AT373" i="4"/>
  <c r="AZ373" i="4" s="1"/>
  <c r="AD372" i="36"/>
  <c r="AT371" i="4"/>
  <c r="AZ371" i="4" s="1"/>
  <c r="AD332" i="36"/>
  <c r="AT331" i="4"/>
  <c r="AZ331" i="4" s="1"/>
  <c r="AD366" i="36"/>
  <c r="AT365" i="4"/>
  <c r="AZ365" i="4" s="1"/>
  <c r="AD388" i="36"/>
  <c r="AT387" i="4"/>
  <c r="AZ387" i="4" s="1"/>
  <c r="AD223" i="36"/>
  <c r="AT222" i="4"/>
  <c r="AZ222" i="4" s="1"/>
  <c r="AD393" i="36"/>
  <c r="AT392" i="4"/>
  <c r="AZ392" i="4" s="1"/>
  <c r="AD379" i="36"/>
  <c r="AT378" i="4"/>
  <c r="AZ378" i="4" s="1"/>
  <c r="AD262" i="36"/>
  <c r="AT261" i="4"/>
  <c r="AZ261" i="4" s="1"/>
  <c r="AD214" i="36"/>
  <c r="AT213" i="4"/>
  <c r="AZ213" i="4" s="1"/>
  <c r="AD117" i="36"/>
  <c r="AT116" i="4"/>
  <c r="AZ116" i="4" s="1"/>
  <c r="AD20" i="36"/>
  <c r="AT19" i="4"/>
  <c r="AZ19" i="4" s="1"/>
  <c r="AD361" i="36"/>
  <c r="AT360" i="4"/>
  <c r="AZ360" i="4" s="1"/>
  <c r="AD349" i="36"/>
  <c r="AT348" i="4"/>
  <c r="AZ348" i="4" s="1"/>
  <c r="AD330" i="36"/>
  <c r="AT329" i="4"/>
  <c r="AZ329" i="4" s="1"/>
  <c r="AD253" i="36"/>
  <c r="AT252" i="4"/>
  <c r="AZ252" i="4" s="1"/>
  <c r="AD144" i="36"/>
  <c r="AT143" i="4"/>
  <c r="AZ143" i="4" s="1"/>
  <c r="AD385" i="36"/>
  <c r="AT384" i="4"/>
  <c r="AZ384" i="4" s="1"/>
  <c r="AD373" i="36"/>
  <c r="AT372" i="4"/>
  <c r="AZ372" i="4" s="1"/>
  <c r="AD63" i="36"/>
  <c r="AT62" i="4"/>
  <c r="AZ62" i="4" s="1"/>
  <c r="AD365" i="36"/>
  <c r="AT364" i="4"/>
  <c r="AZ364" i="4" s="1"/>
  <c r="AD390" i="36"/>
  <c r="AT389" i="4"/>
  <c r="AZ389" i="4" s="1"/>
  <c r="AD356" i="36"/>
  <c r="AT355" i="4"/>
  <c r="AZ355" i="4" s="1"/>
  <c r="AD384" i="36"/>
  <c r="AT383" i="4"/>
  <c r="AZ383" i="4" s="1"/>
  <c r="AD367" i="36"/>
  <c r="AT366" i="4"/>
  <c r="AZ366" i="4" s="1"/>
  <c r="AD303" i="36"/>
  <c r="AT302" i="4"/>
  <c r="AZ302" i="4" s="1"/>
  <c r="AD250" i="36"/>
  <c r="AT249" i="4"/>
  <c r="AZ249" i="4" s="1"/>
  <c r="AD363" i="36"/>
  <c r="AT362" i="4"/>
  <c r="AZ362" i="4" s="1"/>
  <c r="AD383" i="36"/>
  <c r="AT382" i="4"/>
  <c r="AZ382" i="4" s="1"/>
  <c r="AD246" i="36"/>
  <c r="AT245" i="4"/>
  <c r="AZ245" i="4" s="1"/>
  <c r="AD353" i="36"/>
  <c r="AT352" i="4"/>
  <c r="AZ352" i="4" s="1"/>
  <c r="AD225" i="36"/>
  <c r="AT224" i="4"/>
  <c r="AZ224" i="4" s="1"/>
  <c r="AD148" i="36"/>
  <c r="AT147" i="4"/>
  <c r="AZ147" i="4" s="1"/>
  <c r="AD121" i="36"/>
  <c r="AT120" i="4"/>
  <c r="AZ120" i="4" s="1"/>
  <c r="AD88" i="36"/>
  <c r="AT87" i="4"/>
  <c r="AZ87" i="4" s="1"/>
  <c r="AD240" i="36"/>
  <c r="AT239" i="4"/>
  <c r="AZ239" i="4" s="1"/>
  <c r="AD172" i="36"/>
  <c r="AT171" i="4"/>
  <c r="AZ171" i="4" s="1"/>
  <c r="AD336" i="36"/>
  <c r="AT335" i="4"/>
  <c r="AZ335" i="4" s="1"/>
  <c r="AD380" i="36"/>
  <c r="AT379" i="4"/>
  <c r="AZ379" i="4" s="1"/>
  <c r="AD359" i="36"/>
  <c r="AT358" i="4"/>
  <c r="AZ358" i="4" s="1"/>
  <c r="AD127" i="36"/>
  <c r="AT126" i="4"/>
  <c r="AZ126" i="4" s="1"/>
  <c r="AD357" i="36"/>
  <c r="AV356" i="4"/>
  <c r="AZ356" i="4" s="1"/>
  <c r="AD345" i="36"/>
  <c r="AV344" i="4"/>
  <c r="AZ344" i="4" s="1"/>
  <c r="AD337" i="36"/>
  <c r="AV336" i="4"/>
  <c r="AZ336" i="4" s="1"/>
  <c r="AD326" i="36"/>
  <c r="AV325" i="4"/>
  <c r="AZ325" i="4" s="1"/>
  <c r="AD322" i="36"/>
  <c r="AV321" i="4"/>
  <c r="AZ321" i="4" s="1"/>
  <c r="AD318" i="36"/>
  <c r="AV317" i="4"/>
  <c r="AZ317" i="4" s="1"/>
  <c r="AD314" i="36"/>
  <c r="AV313" i="4"/>
  <c r="AZ313" i="4" s="1"/>
  <c r="AD310" i="36"/>
  <c r="AV309" i="4"/>
  <c r="AZ309" i="4" s="1"/>
  <c r="AD305" i="36"/>
  <c r="AV304" i="4"/>
  <c r="AZ304" i="4" s="1"/>
  <c r="AD301" i="36"/>
  <c r="AV300" i="4"/>
  <c r="AZ300" i="4" s="1"/>
  <c r="AD297" i="36"/>
  <c r="AV296" i="4"/>
  <c r="AZ296" i="4" s="1"/>
  <c r="AD283" i="36"/>
  <c r="AV282" i="4"/>
  <c r="AZ282" i="4" s="1"/>
  <c r="AD279" i="36"/>
  <c r="AV278" i="4"/>
  <c r="AZ278" i="4" s="1"/>
  <c r="AD265" i="36"/>
  <c r="AV264" i="4"/>
  <c r="AZ264" i="4" s="1"/>
  <c r="AD261" i="36"/>
  <c r="AV260" i="4"/>
  <c r="AZ260" i="4" s="1"/>
  <c r="AD257" i="36"/>
  <c r="AV256" i="4"/>
  <c r="AZ256" i="4" s="1"/>
  <c r="AD245" i="36"/>
  <c r="AV244" i="4"/>
  <c r="AZ244" i="4" s="1"/>
  <c r="AD241" i="36"/>
  <c r="AV240" i="4"/>
  <c r="AZ240" i="4" s="1"/>
  <c r="AD233" i="36"/>
  <c r="AV232" i="4"/>
  <c r="AZ232" i="4" s="1"/>
  <c r="AD217" i="36"/>
  <c r="AV216" i="4"/>
  <c r="AZ216" i="4" s="1"/>
  <c r="AD209" i="36"/>
  <c r="AV208" i="4"/>
  <c r="AZ208" i="4" s="1"/>
  <c r="AD205" i="36"/>
  <c r="AV204" i="4"/>
  <c r="AZ204" i="4" s="1"/>
  <c r="AD197" i="36"/>
  <c r="AV196" i="4"/>
  <c r="AZ196" i="4" s="1"/>
  <c r="AD189" i="36"/>
  <c r="AV188" i="4"/>
  <c r="AZ188" i="4" s="1"/>
  <c r="AD185" i="36"/>
  <c r="AV184" i="4"/>
  <c r="AZ184" i="4" s="1"/>
  <c r="AD181" i="36"/>
  <c r="AV180" i="4"/>
  <c r="AZ180" i="4" s="1"/>
  <c r="AD177" i="36"/>
  <c r="AV176" i="4"/>
  <c r="AZ176" i="4" s="1"/>
  <c r="AD169" i="36"/>
  <c r="AV168" i="4"/>
  <c r="AZ168" i="4" s="1"/>
  <c r="AD156" i="36"/>
  <c r="AV155" i="4"/>
  <c r="AZ155" i="4" s="1"/>
  <c r="AD152" i="36"/>
  <c r="AV151" i="4"/>
  <c r="AZ151" i="4" s="1"/>
  <c r="AD147" i="36"/>
  <c r="AV146" i="4"/>
  <c r="AZ146" i="4" s="1"/>
  <c r="AD143" i="36"/>
  <c r="AV142" i="4"/>
  <c r="AZ142" i="4" s="1"/>
  <c r="AD135" i="36"/>
  <c r="AV134" i="4"/>
  <c r="AZ134" i="4" s="1"/>
  <c r="AD132" i="36"/>
  <c r="AV131" i="4"/>
  <c r="AZ131" i="4" s="1"/>
  <c r="AD128" i="36"/>
  <c r="AV127" i="4"/>
  <c r="AZ127" i="4" s="1"/>
  <c r="AD120" i="36"/>
  <c r="AV119" i="4"/>
  <c r="AZ119" i="4" s="1"/>
  <c r="AD109" i="36"/>
  <c r="AV108" i="4"/>
  <c r="AZ108" i="4" s="1"/>
  <c r="AD105" i="36"/>
  <c r="AV104" i="4"/>
  <c r="AZ104" i="4" s="1"/>
  <c r="AD101" i="36"/>
  <c r="AV100" i="4"/>
  <c r="AZ100" i="4" s="1"/>
  <c r="AD97" i="36"/>
  <c r="AV96" i="4"/>
  <c r="AZ96" i="4" s="1"/>
  <c r="AD77" i="36"/>
  <c r="AV76" i="4"/>
  <c r="AZ76" i="4" s="1"/>
  <c r="AD72" i="36"/>
  <c r="AV71" i="4"/>
  <c r="AZ71" i="4" s="1"/>
  <c r="AD67" i="36"/>
  <c r="AV66" i="4"/>
  <c r="AZ66" i="4" s="1"/>
  <c r="AD59" i="36"/>
  <c r="AV58" i="4"/>
  <c r="AZ58" i="4" s="1"/>
  <c r="AD55" i="36"/>
  <c r="AV54" i="4"/>
  <c r="AZ54" i="4" s="1"/>
  <c r="AD51" i="36"/>
  <c r="AV50" i="4"/>
  <c r="AZ50" i="4" s="1"/>
  <c r="AD47" i="36"/>
  <c r="AV46" i="4"/>
  <c r="AZ46" i="4" s="1"/>
  <c r="AD39" i="36"/>
  <c r="AV38" i="4"/>
  <c r="AZ38" i="4" s="1"/>
  <c r="AD35" i="36"/>
  <c r="AV34" i="4"/>
  <c r="AZ34" i="4" s="1"/>
  <c r="AD22" i="36"/>
  <c r="AV21" i="4"/>
  <c r="AZ21" i="4" s="1"/>
  <c r="AD16" i="36"/>
  <c r="AV15" i="4"/>
  <c r="AZ15" i="4" s="1"/>
  <c r="AD364" i="36"/>
  <c r="AV363" i="4"/>
  <c r="AZ363" i="4" s="1"/>
  <c r="AD348" i="36"/>
  <c r="AV347" i="4"/>
  <c r="AZ347" i="4" s="1"/>
  <c r="AD344" i="36"/>
  <c r="AV343" i="4"/>
  <c r="AZ343" i="4" s="1"/>
  <c r="AD325" i="36"/>
  <c r="AV324" i="4"/>
  <c r="AZ324" i="4" s="1"/>
  <c r="AD321" i="36"/>
  <c r="AV320" i="4"/>
  <c r="AZ320" i="4" s="1"/>
  <c r="AD317" i="36"/>
  <c r="AV316" i="4"/>
  <c r="AZ316" i="4" s="1"/>
  <c r="AD313" i="36"/>
  <c r="AV312" i="4"/>
  <c r="AZ312" i="4" s="1"/>
  <c r="AD304" i="36"/>
  <c r="AV303" i="4"/>
  <c r="AZ303" i="4" s="1"/>
  <c r="AD300" i="36"/>
  <c r="AV299" i="4"/>
  <c r="AZ299" i="4" s="1"/>
  <c r="AD292" i="36"/>
  <c r="AV291" i="4"/>
  <c r="AZ291" i="4" s="1"/>
  <c r="AD286" i="36"/>
  <c r="AV285" i="4"/>
  <c r="AZ285" i="4" s="1"/>
  <c r="AD282" i="36"/>
  <c r="AV281" i="4"/>
  <c r="AZ281" i="4" s="1"/>
  <c r="AD278" i="36"/>
  <c r="AV277" i="4"/>
  <c r="AZ277" i="4" s="1"/>
  <c r="AD272" i="36"/>
  <c r="AV271" i="4"/>
  <c r="AZ271" i="4" s="1"/>
  <c r="AD264" i="36"/>
  <c r="AV263" i="4"/>
  <c r="AZ263" i="4" s="1"/>
  <c r="AD260" i="36"/>
  <c r="AV259" i="4"/>
  <c r="AZ259" i="4" s="1"/>
  <c r="AD256" i="36"/>
  <c r="AV255" i="4"/>
  <c r="AZ255" i="4" s="1"/>
  <c r="AD252" i="36"/>
  <c r="AV251" i="4"/>
  <c r="AZ251" i="4" s="1"/>
  <c r="AD248" i="36"/>
  <c r="AV247" i="4"/>
  <c r="AZ247" i="4" s="1"/>
  <c r="AD244" i="36"/>
  <c r="AV243" i="4"/>
  <c r="AZ243" i="4" s="1"/>
  <c r="AD232" i="36"/>
  <c r="AV231" i="4"/>
  <c r="AZ231" i="4" s="1"/>
  <c r="AD228" i="36"/>
  <c r="AV227" i="4"/>
  <c r="AZ227" i="4" s="1"/>
  <c r="AD220" i="36"/>
  <c r="AV219" i="4"/>
  <c r="AZ219" i="4" s="1"/>
  <c r="AD212" i="36"/>
  <c r="AV211" i="4"/>
  <c r="AZ211" i="4" s="1"/>
  <c r="AD208" i="36"/>
  <c r="AV207" i="4"/>
  <c r="AZ207" i="4" s="1"/>
  <c r="AD200" i="36"/>
  <c r="AV199" i="4"/>
  <c r="AZ199" i="4" s="1"/>
  <c r="AD196" i="36"/>
  <c r="AV195" i="4"/>
  <c r="AZ195" i="4" s="1"/>
  <c r="AD188" i="36"/>
  <c r="AV187" i="4"/>
  <c r="AZ187" i="4" s="1"/>
  <c r="AD180" i="36"/>
  <c r="AV179" i="4"/>
  <c r="AZ179" i="4" s="1"/>
  <c r="AD168" i="36"/>
  <c r="AV167" i="4"/>
  <c r="AZ167" i="4" s="1"/>
  <c r="AD160" i="36"/>
  <c r="AV159" i="4"/>
  <c r="AZ159" i="4" s="1"/>
  <c r="AD151" i="36"/>
  <c r="AV150" i="4"/>
  <c r="AZ150" i="4" s="1"/>
  <c r="AD146" i="36"/>
  <c r="AV145" i="4"/>
  <c r="AZ145" i="4" s="1"/>
  <c r="AD142" i="36"/>
  <c r="AV141" i="4"/>
  <c r="AZ141" i="4" s="1"/>
  <c r="AD134" i="36"/>
  <c r="AV133" i="4"/>
  <c r="AZ133" i="4" s="1"/>
  <c r="AD131" i="36"/>
  <c r="AV130" i="4"/>
  <c r="AZ130" i="4" s="1"/>
  <c r="AD123" i="36"/>
  <c r="AV122" i="4"/>
  <c r="AZ122" i="4" s="1"/>
  <c r="AD118" i="36"/>
  <c r="AV117" i="4"/>
  <c r="AZ117" i="4" s="1"/>
  <c r="AD114" i="36"/>
  <c r="AV113" i="4"/>
  <c r="AZ113" i="4" s="1"/>
  <c r="AD108" i="36"/>
  <c r="AV107" i="4"/>
  <c r="AZ107" i="4" s="1"/>
  <c r="AD100" i="36"/>
  <c r="AV99" i="4"/>
  <c r="AZ99" i="4" s="1"/>
  <c r="AD92" i="36"/>
  <c r="AV91" i="4"/>
  <c r="AZ91" i="4" s="1"/>
  <c r="AD80" i="36"/>
  <c r="AV79" i="4"/>
  <c r="AZ79" i="4" s="1"/>
  <c r="AD76" i="36"/>
  <c r="AV75" i="4"/>
  <c r="AZ75" i="4" s="1"/>
  <c r="AD70" i="36"/>
  <c r="AV69" i="4"/>
  <c r="AZ69" i="4" s="1"/>
  <c r="AD62" i="36"/>
  <c r="AV61" i="4"/>
  <c r="AZ61" i="4" s="1"/>
  <c r="AD58" i="36"/>
  <c r="AV57" i="4"/>
  <c r="AZ57" i="4" s="1"/>
  <c r="AD54" i="36"/>
  <c r="AV53" i="4"/>
  <c r="AZ53" i="4" s="1"/>
  <c r="AD50" i="36"/>
  <c r="AV49" i="4"/>
  <c r="AZ49" i="4" s="1"/>
  <c r="AD46" i="36"/>
  <c r="AV45" i="4"/>
  <c r="AZ45" i="4" s="1"/>
  <c r="AD42" i="36"/>
  <c r="AV41" i="4"/>
  <c r="AZ41" i="4" s="1"/>
  <c r="AD38" i="36"/>
  <c r="AV37" i="4"/>
  <c r="AZ37" i="4" s="1"/>
  <c r="AD30" i="36"/>
  <c r="AV29" i="4"/>
  <c r="AZ29" i="4" s="1"/>
  <c r="AD25" i="36"/>
  <c r="AV24" i="4"/>
  <c r="AZ24" i="4" s="1"/>
  <c r="AD21" i="36"/>
  <c r="AV20" i="4"/>
  <c r="AZ20" i="4" s="1"/>
  <c r="AD355" i="36"/>
  <c r="AV354" i="4"/>
  <c r="AZ354" i="4" s="1"/>
  <c r="AD351" i="36"/>
  <c r="AV350" i="4"/>
  <c r="AZ350" i="4" s="1"/>
  <c r="AD343" i="36"/>
  <c r="AV342" i="4"/>
  <c r="AZ342" i="4" s="1"/>
  <c r="AD339" i="36"/>
  <c r="AV338" i="4"/>
  <c r="AZ338" i="4" s="1"/>
  <c r="AD335" i="36"/>
  <c r="AV334" i="4"/>
  <c r="AZ334" i="4" s="1"/>
  <c r="AD328" i="36"/>
  <c r="AV327" i="4"/>
  <c r="AZ327" i="4" s="1"/>
  <c r="AD324" i="36"/>
  <c r="AV323" i="4"/>
  <c r="AZ323" i="4" s="1"/>
  <c r="AD312" i="36"/>
  <c r="AV311" i="4"/>
  <c r="AZ311" i="4" s="1"/>
  <c r="AD307" i="36"/>
  <c r="AV306" i="4"/>
  <c r="AZ306" i="4" s="1"/>
  <c r="AD295" i="36"/>
  <c r="AV294" i="4"/>
  <c r="AZ294" i="4" s="1"/>
  <c r="AD291" i="36"/>
  <c r="AV290" i="4"/>
  <c r="AZ290" i="4" s="1"/>
  <c r="AD289" i="36"/>
  <c r="AV288" i="4"/>
  <c r="AZ288" i="4" s="1"/>
  <c r="AD281" i="36"/>
  <c r="AV280" i="4"/>
  <c r="AZ280" i="4" s="1"/>
  <c r="AD277" i="36"/>
  <c r="AV276" i="4"/>
  <c r="AZ276" i="4" s="1"/>
  <c r="AD275" i="36"/>
  <c r="AV274" i="4"/>
  <c r="AZ274" i="4" s="1"/>
  <c r="AD263" i="36"/>
  <c r="AV262" i="4"/>
  <c r="AZ262" i="4" s="1"/>
  <c r="AD259" i="36"/>
  <c r="AV258" i="4"/>
  <c r="AZ258" i="4" s="1"/>
  <c r="AD251" i="36"/>
  <c r="AV250" i="4"/>
  <c r="AZ250" i="4" s="1"/>
  <c r="AD247" i="36"/>
  <c r="AV246" i="4"/>
  <c r="AZ246" i="4" s="1"/>
  <c r="AD239" i="36"/>
  <c r="AV238" i="4"/>
  <c r="AZ238" i="4" s="1"/>
  <c r="AD235" i="36"/>
  <c r="AV234" i="4"/>
  <c r="AZ234" i="4" s="1"/>
  <c r="AD227" i="36"/>
  <c r="AV226" i="4"/>
  <c r="AZ226" i="4" s="1"/>
  <c r="AD219" i="36"/>
  <c r="AV218" i="4"/>
  <c r="AZ218" i="4" s="1"/>
  <c r="AD215" i="36"/>
  <c r="AV214" i="4"/>
  <c r="AZ214" i="4" s="1"/>
  <c r="AD211" i="36"/>
  <c r="AV210" i="4"/>
  <c r="AZ210" i="4" s="1"/>
  <c r="AD207" i="36"/>
  <c r="AV206" i="4"/>
  <c r="AZ206" i="4" s="1"/>
  <c r="AD203" i="36"/>
  <c r="AV202" i="4"/>
  <c r="AZ202" i="4" s="1"/>
  <c r="AD199" i="36"/>
  <c r="AV198" i="4"/>
  <c r="AZ198" i="4" s="1"/>
  <c r="AD187" i="36"/>
  <c r="AV186" i="4"/>
  <c r="AZ186" i="4" s="1"/>
  <c r="AD179" i="36"/>
  <c r="AV178" i="4"/>
  <c r="AZ178" i="4" s="1"/>
  <c r="AD149" i="36"/>
  <c r="AV148" i="4"/>
  <c r="AZ148" i="4" s="1"/>
  <c r="AD141" i="36"/>
  <c r="AV140" i="4"/>
  <c r="AZ140" i="4" s="1"/>
  <c r="AD137" i="36"/>
  <c r="AV136" i="4"/>
  <c r="AZ136" i="4" s="1"/>
  <c r="AD107" i="36"/>
  <c r="AV106" i="4"/>
  <c r="AZ106" i="4" s="1"/>
  <c r="AD103" i="36"/>
  <c r="AV102" i="4"/>
  <c r="AZ102" i="4" s="1"/>
  <c r="AD99" i="36"/>
  <c r="AV98" i="4"/>
  <c r="AZ98" i="4" s="1"/>
  <c r="AD95" i="36"/>
  <c r="AV94" i="4"/>
  <c r="AZ94" i="4" s="1"/>
  <c r="AD83" i="36"/>
  <c r="AV82" i="4"/>
  <c r="AZ82" i="4" s="1"/>
  <c r="AD79" i="36"/>
  <c r="AV78" i="4"/>
  <c r="AZ78" i="4" s="1"/>
  <c r="AD65" i="36"/>
  <c r="AV64" i="4"/>
  <c r="AZ64" i="4" s="1"/>
  <c r="AD61" i="36"/>
  <c r="AV60" i="4"/>
  <c r="AZ60" i="4" s="1"/>
  <c r="AD57" i="36"/>
  <c r="AV56" i="4"/>
  <c r="AZ56" i="4" s="1"/>
  <c r="AD49" i="36"/>
  <c r="AV48" i="4"/>
  <c r="AZ48" i="4" s="1"/>
  <c r="AD45" i="36"/>
  <c r="AV44" i="4"/>
  <c r="AZ44" i="4" s="1"/>
  <c r="AD41" i="36"/>
  <c r="AV40" i="4"/>
  <c r="AZ40" i="4" s="1"/>
  <c r="AD37" i="36"/>
  <c r="AV36" i="4"/>
  <c r="AZ36" i="4" s="1"/>
  <c r="AD33" i="36"/>
  <c r="AV32" i="4"/>
  <c r="AZ32" i="4" s="1"/>
  <c r="AD28" i="36"/>
  <c r="AV27" i="4"/>
  <c r="AZ27" i="4" s="1"/>
  <c r="AD24" i="36"/>
  <c r="AV23" i="4"/>
  <c r="AZ23" i="4" s="1"/>
  <c r="AD350" i="36"/>
  <c r="AV349" i="4"/>
  <c r="AZ349" i="4" s="1"/>
  <c r="AD346" i="36"/>
  <c r="AV345" i="4"/>
  <c r="AZ345" i="4" s="1"/>
  <c r="AD334" i="36"/>
  <c r="AV333" i="4"/>
  <c r="AZ333" i="4" s="1"/>
  <c r="AD331" i="36"/>
  <c r="AV330" i="4"/>
  <c r="AZ330" i="4" s="1"/>
  <c r="AD327" i="36"/>
  <c r="AV326" i="4"/>
  <c r="AZ326" i="4" s="1"/>
  <c r="AD323" i="36"/>
  <c r="AV322" i="4"/>
  <c r="AZ322" i="4" s="1"/>
  <c r="AD311" i="36"/>
  <c r="AV310" i="4"/>
  <c r="AZ310" i="4" s="1"/>
  <c r="AD298" i="36"/>
  <c r="AV297" i="4"/>
  <c r="AZ297" i="4" s="1"/>
  <c r="AD294" i="36"/>
  <c r="AV293" i="4"/>
  <c r="AZ293" i="4" s="1"/>
  <c r="AD284" i="36"/>
  <c r="AV283" i="4"/>
  <c r="AZ283" i="4" s="1"/>
  <c r="AD274" i="36"/>
  <c r="AV273" i="4"/>
  <c r="AZ273" i="4" s="1"/>
  <c r="AD270" i="36"/>
  <c r="AV269" i="4"/>
  <c r="AZ269" i="4" s="1"/>
  <c r="AD266" i="36"/>
  <c r="AV265" i="4"/>
  <c r="AZ265" i="4" s="1"/>
  <c r="AD258" i="36"/>
  <c r="AV257" i="4"/>
  <c r="AZ257" i="4" s="1"/>
  <c r="AD254" i="36"/>
  <c r="AV253" i="4"/>
  <c r="AZ253" i="4" s="1"/>
  <c r="AD242" i="36"/>
  <c r="AV241" i="4"/>
  <c r="AZ241" i="4" s="1"/>
  <c r="AD238" i="36"/>
  <c r="AV237" i="4"/>
  <c r="AZ237" i="4" s="1"/>
  <c r="AD234" i="36"/>
  <c r="AV233" i="4"/>
  <c r="AZ233" i="4" s="1"/>
  <c r="AD222" i="36"/>
  <c r="AV221" i="4"/>
  <c r="AZ221" i="4" s="1"/>
  <c r="AD218" i="36"/>
  <c r="AV217" i="4"/>
  <c r="AZ217" i="4" s="1"/>
  <c r="AD210" i="36"/>
  <c r="AV209" i="4"/>
  <c r="AZ209" i="4" s="1"/>
  <c r="AD206" i="36"/>
  <c r="AV205" i="4"/>
  <c r="AZ205" i="4" s="1"/>
  <c r="AD198" i="36"/>
  <c r="AV197" i="4"/>
  <c r="AZ197" i="4" s="1"/>
  <c r="AD194" i="36"/>
  <c r="AV193" i="4"/>
  <c r="AZ193" i="4" s="1"/>
  <c r="AD190" i="36"/>
  <c r="AV189" i="4"/>
  <c r="AZ189" i="4" s="1"/>
  <c r="AD186" i="36"/>
  <c r="AV185" i="4"/>
  <c r="AZ185" i="4" s="1"/>
  <c r="AD174" i="36"/>
  <c r="AV173" i="4"/>
  <c r="AZ173" i="4" s="1"/>
  <c r="AD166" i="36"/>
  <c r="AV165" i="4"/>
  <c r="AZ165" i="4" s="1"/>
  <c r="AD162" i="36"/>
  <c r="AV161" i="4"/>
  <c r="AZ161" i="4" s="1"/>
  <c r="AD157" i="36"/>
  <c r="AV156" i="4"/>
  <c r="AZ156" i="4" s="1"/>
  <c r="AD153" i="36"/>
  <c r="AV152" i="4"/>
  <c r="AZ152" i="4" s="1"/>
  <c r="AD140" i="36"/>
  <c r="AV139" i="4"/>
  <c r="AZ139" i="4" s="1"/>
  <c r="AD136" i="36"/>
  <c r="AV135" i="4"/>
  <c r="AZ135" i="4" s="1"/>
  <c r="AD133" i="36"/>
  <c r="AV132" i="4"/>
  <c r="AZ132" i="4" s="1"/>
  <c r="AD129" i="36"/>
  <c r="AV128" i="4"/>
  <c r="AZ128" i="4" s="1"/>
  <c r="AD125" i="36"/>
  <c r="AV124" i="4"/>
  <c r="AZ124" i="4" s="1"/>
  <c r="AD110" i="36"/>
  <c r="AV109" i="4"/>
  <c r="AZ109" i="4" s="1"/>
  <c r="AD106" i="36"/>
  <c r="AV105" i="4"/>
  <c r="AZ105" i="4" s="1"/>
  <c r="AD102" i="36"/>
  <c r="AV101" i="4"/>
  <c r="AZ101" i="4" s="1"/>
  <c r="AD98" i="36"/>
  <c r="AV97" i="4"/>
  <c r="AZ97" i="4" s="1"/>
  <c r="AD82" i="36"/>
  <c r="AV81" i="4"/>
  <c r="AZ81" i="4" s="1"/>
  <c r="AD73" i="36"/>
  <c r="AV72" i="4"/>
  <c r="AZ72" i="4" s="1"/>
  <c r="AD68" i="36"/>
  <c r="AV67" i="4"/>
  <c r="AZ67" i="4" s="1"/>
  <c r="AD56" i="36"/>
  <c r="AV55" i="4"/>
  <c r="AZ55" i="4" s="1"/>
  <c r="AD52" i="36"/>
  <c r="AV51" i="4"/>
  <c r="AZ51" i="4" s="1"/>
  <c r="AD48" i="36"/>
  <c r="AV47" i="4"/>
  <c r="AZ47" i="4" s="1"/>
  <c r="AD40" i="36"/>
  <c r="AV39" i="4"/>
  <c r="AZ39" i="4" s="1"/>
  <c r="AD36" i="36"/>
  <c r="AV35" i="4"/>
  <c r="AZ35" i="4" s="1"/>
  <c r="AD32" i="36"/>
  <c r="AV31" i="4"/>
  <c r="AZ31" i="4" s="1"/>
  <c r="AD27" i="36"/>
  <c r="AV26" i="4"/>
  <c r="AZ26" i="4" s="1"/>
  <c r="AD19" i="36"/>
  <c r="AV18" i="4"/>
  <c r="AZ18" i="4" s="1"/>
  <c r="AD299" i="36"/>
  <c r="AD175" i="36"/>
  <c r="AD243" i="36"/>
  <c r="AD167" i="36"/>
  <c r="AD122" i="36"/>
  <c r="AD377" i="36"/>
  <c r="AD319" i="36"/>
  <c r="AD130" i="36"/>
  <c r="AD60" i="36"/>
  <c r="AD340" i="36"/>
  <c r="AD320" i="36"/>
  <c r="AD226" i="36"/>
  <c r="AD183" i="36"/>
  <c r="AD145" i="36"/>
  <c r="AD94" i="36"/>
  <c r="AD113" i="36"/>
  <c r="AD290" i="36"/>
  <c r="AD213" i="36"/>
  <c r="AD358" i="36"/>
  <c r="AD341" i="36"/>
  <c r="D4" i="99"/>
  <c r="G361" i="99"/>
  <c r="AD386" i="36"/>
  <c r="AD163" i="36"/>
  <c r="AD354" i="36"/>
  <c r="AD192" i="36"/>
  <c r="AD184" i="36"/>
  <c r="AD273" i="36"/>
  <c r="AD342" i="36"/>
  <c r="AD368" i="36"/>
  <c r="AD64" i="36"/>
  <c r="AD309" i="36"/>
  <c r="AD392" i="36"/>
  <c r="AD389" i="36"/>
  <c r="AD387" i="36"/>
  <c r="AD195" i="36"/>
  <c r="AD288" i="36"/>
  <c r="AD271" i="36"/>
  <c r="AD178" i="36"/>
  <c r="AD170" i="36"/>
  <c r="AD74" i="36"/>
  <c r="AD280" i="36"/>
  <c r="AD302" i="36"/>
  <c r="AD224" i="36"/>
  <c r="AD85" i="36"/>
  <c r="AD276" i="36"/>
  <c r="AD164" i="36"/>
  <c r="AD395" i="36"/>
  <c r="AD216" i="36"/>
  <c r="AD96" i="36"/>
  <c r="AD86" i="36"/>
  <c r="AD201" i="36"/>
  <c r="AD155" i="36"/>
  <c r="AD352" i="36"/>
  <c r="AD391" i="36"/>
  <c r="M408" i="8"/>
  <c r="M433" i="8"/>
  <c r="M432" i="8"/>
  <c r="M428" i="8"/>
  <c r="M426" i="8"/>
  <c r="M417" i="8"/>
  <c r="M400" i="8"/>
  <c r="M413" i="8"/>
  <c r="M430" i="8"/>
  <c r="M418" i="8"/>
  <c r="M409" i="8"/>
  <c r="M405" i="8"/>
  <c r="M416" i="8"/>
  <c r="M398" i="8"/>
  <c r="M424" i="8"/>
  <c r="M427" i="8"/>
  <c r="M406" i="8"/>
  <c r="M396" i="8"/>
  <c r="M419" i="8"/>
  <c r="M425" i="8"/>
  <c r="M407" i="8"/>
  <c r="M395" i="8"/>
  <c r="M422" i="8"/>
  <c r="M420" i="8"/>
  <c r="M404" i="8"/>
  <c r="M411" i="8"/>
  <c r="M414" i="8"/>
  <c r="M403" i="8"/>
  <c r="M415" i="8"/>
  <c r="M402" i="8"/>
  <c r="M397" i="8"/>
  <c r="M429" i="8"/>
  <c r="M410" i="8"/>
  <c r="M399" i="8"/>
  <c r="M401" i="8"/>
  <c r="M431" i="8"/>
  <c r="M412" i="8"/>
  <c r="M421" i="8"/>
  <c r="M423" i="8"/>
  <c r="J392" i="36"/>
  <c r="J391" i="36"/>
  <c r="J386" i="36"/>
  <c r="J357" i="36"/>
  <c r="J349" i="36"/>
  <c r="J345" i="36"/>
  <c r="J341" i="36"/>
  <c r="J337" i="36"/>
  <c r="J326" i="36"/>
  <c r="J322" i="36"/>
  <c r="J318" i="36"/>
  <c r="J314" i="36"/>
  <c r="J310" i="36"/>
  <c r="J305" i="36"/>
  <c r="J301" i="36"/>
  <c r="J297" i="36"/>
  <c r="J293" i="36"/>
  <c r="J283" i="36"/>
  <c r="J279" i="36"/>
  <c r="J276" i="36"/>
  <c r="J273" i="36"/>
  <c r="J265" i="36"/>
  <c r="J261" i="36"/>
  <c r="P257" i="36"/>
  <c r="J257" i="36"/>
  <c r="J253" i="36"/>
  <c r="J245" i="36"/>
  <c r="J241" i="36"/>
  <c r="M233" i="36"/>
  <c r="P233" i="36" s="1"/>
  <c r="J233" i="36"/>
  <c r="J225" i="36"/>
  <c r="J217" i="36"/>
  <c r="M213" i="36"/>
  <c r="P213" i="36" s="1"/>
  <c r="J213" i="36"/>
  <c r="M209" i="36"/>
  <c r="P209" i="36" s="1"/>
  <c r="J209" i="36"/>
  <c r="P205" i="36"/>
  <c r="J205" i="36"/>
  <c r="M201" i="36"/>
  <c r="P201" i="36" s="1"/>
  <c r="J201" i="36"/>
  <c r="M197" i="36"/>
  <c r="P197" i="36" s="1"/>
  <c r="J197" i="36"/>
  <c r="P189" i="36"/>
  <c r="J189" i="36"/>
  <c r="P185" i="36"/>
  <c r="J185" i="36"/>
  <c r="P181" i="36"/>
  <c r="J181" i="36"/>
  <c r="P177" i="36"/>
  <c r="J177" i="36"/>
  <c r="P173" i="36"/>
  <c r="J173" i="36"/>
  <c r="P169" i="36"/>
  <c r="J169" i="36"/>
  <c r="M165" i="36"/>
  <c r="P165" i="36" s="1"/>
  <c r="J165" i="36"/>
  <c r="J161" i="36"/>
  <c r="J156" i="36"/>
  <c r="J152" i="36"/>
  <c r="J147" i="36"/>
  <c r="J143" i="36"/>
  <c r="M135" i="36"/>
  <c r="J135" i="36"/>
  <c r="J132" i="36"/>
  <c r="J128" i="36"/>
  <c r="M120" i="36"/>
  <c r="J120" i="36"/>
  <c r="M109" i="36"/>
  <c r="J109" i="36"/>
  <c r="M105" i="36"/>
  <c r="J105" i="36"/>
  <c r="J101" i="36"/>
  <c r="M97" i="36"/>
  <c r="J97" i="36"/>
  <c r="J86" i="36"/>
  <c r="J81" i="36"/>
  <c r="J77" i="36"/>
  <c r="M72" i="36"/>
  <c r="J72" i="36"/>
  <c r="J67" i="36"/>
  <c r="J59" i="36"/>
  <c r="J55" i="36"/>
  <c r="J51" i="36"/>
  <c r="J47" i="36"/>
  <c r="J39" i="36"/>
  <c r="M35" i="36"/>
  <c r="P35" i="36" s="1"/>
  <c r="J35" i="36"/>
  <c r="M22" i="36"/>
  <c r="P22" i="36" s="1"/>
  <c r="J22" i="36"/>
  <c r="M16" i="36"/>
  <c r="P16" i="36" s="1"/>
  <c r="J16" i="36"/>
  <c r="J395" i="36"/>
  <c r="J389" i="36"/>
  <c r="J377" i="36"/>
  <c r="J368" i="36"/>
  <c r="J364" i="36"/>
  <c r="J348" i="36"/>
  <c r="J344" i="36"/>
  <c r="J340" i="36"/>
  <c r="J325" i="36"/>
  <c r="J321" i="36"/>
  <c r="J317" i="36"/>
  <c r="J313" i="36"/>
  <c r="J309" i="36"/>
  <c r="J304" i="36"/>
  <c r="J300" i="36"/>
  <c r="J292" i="36"/>
  <c r="J286" i="36"/>
  <c r="J282" i="36"/>
  <c r="J278" i="36"/>
  <c r="J272" i="36"/>
  <c r="J264" i="36"/>
  <c r="M260" i="36"/>
  <c r="P260" i="36" s="1"/>
  <c r="J260" i="36"/>
  <c r="J256" i="36"/>
  <c r="M252" i="36"/>
  <c r="P252" i="36" s="1"/>
  <c r="J252" i="36"/>
  <c r="J248" i="36"/>
  <c r="J244" i="36"/>
  <c r="P240" i="36"/>
  <c r="J240" i="36"/>
  <c r="J232" i="36"/>
  <c r="J228" i="36"/>
  <c r="J224" i="36"/>
  <c r="P220" i="36"/>
  <c r="J220" i="36"/>
  <c r="M216" i="36"/>
  <c r="P216" i="36" s="1"/>
  <c r="J216" i="36"/>
  <c r="M212" i="36"/>
  <c r="P212" i="36" s="1"/>
  <c r="J212" i="36"/>
  <c r="M208" i="36"/>
  <c r="P208" i="36" s="1"/>
  <c r="J208" i="36"/>
  <c r="M200" i="36"/>
  <c r="P200" i="36" s="1"/>
  <c r="J200" i="36"/>
  <c r="P196" i="36"/>
  <c r="J196" i="36"/>
  <c r="P192" i="36"/>
  <c r="J192" i="36"/>
  <c r="P188" i="36"/>
  <c r="J188" i="36"/>
  <c r="J184" i="36"/>
  <c r="P180" i="36"/>
  <c r="J180" i="36"/>
  <c r="P176" i="36"/>
  <c r="J176" i="36"/>
  <c r="P168" i="36"/>
  <c r="J168" i="36"/>
  <c r="M164" i="36"/>
  <c r="J164" i="36"/>
  <c r="J160" i="36"/>
  <c r="J155" i="36"/>
  <c r="J151" i="36"/>
  <c r="J146" i="36"/>
  <c r="J142" i="36"/>
  <c r="M134" i="36"/>
  <c r="J134" i="36"/>
  <c r="J131" i="36"/>
  <c r="M123" i="36"/>
  <c r="J123" i="36"/>
  <c r="M118" i="36"/>
  <c r="J118" i="36"/>
  <c r="M114" i="36"/>
  <c r="J114" i="36"/>
  <c r="M108" i="36"/>
  <c r="J108" i="36"/>
  <c r="M100" i="36"/>
  <c r="J100" i="36"/>
  <c r="M96" i="36"/>
  <c r="J96" i="36"/>
  <c r="J92" i="36"/>
  <c r="J85" i="36"/>
  <c r="J80" i="36"/>
  <c r="M76" i="36"/>
  <c r="J76" i="36"/>
  <c r="M70" i="36"/>
  <c r="J70" i="36"/>
  <c r="J62" i="36"/>
  <c r="J58" i="36"/>
  <c r="J54" i="36"/>
  <c r="J50" i="36"/>
  <c r="J46" i="36"/>
  <c r="J42" i="36"/>
  <c r="M38" i="36"/>
  <c r="J38" i="36"/>
  <c r="M30" i="36"/>
  <c r="P30" i="36" s="1"/>
  <c r="J30" i="36"/>
  <c r="M25" i="36"/>
  <c r="P25" i="36" s="1"/>
  <c r="J25" i="36"/>
  <c r="P21" i="36"/>
  <c r="J21" i="36"/>
  <c r="M15" i="36"/>
  <c r="J15" i="36"/>
  <c r="J394" i="36"/>
  <c r="J384" i="36"/>
  <c r="J376" i="36"/>
  <c r="J363" i="36"/>
  <c r="J351" i="36"/>
  <c r="J343" i="36"/>
  <c r="J339" i="36"/>
  <c r="J335" i="36"/>
  <c r="J332" i="36"/>
  <c r="J328" i="36"/>
  <c r="J324" i="36"/>
  <c r="J320" i="36"/>
  <c r="J312" i="36"/>
  <c r="J307" i="36"/>
  <c r="J299" i="36"/>
  <c r="J295" i="36"/>
  <c r="J291" i="36"/>
  <c r="J289" i="36"/>
  <c r="M281" i="36"/>
  <c r="P281" i="36" s="1"/>
  <c r="J281" i="36"/>
  <c r="J277" i="36"/>
  <c r="J275" i="36"/>
  <c r="J271" i="36"/>
  <c r="J267" i="36"/>
  <c r="J263" i="36"/>
  <c r="M259" i="36"/>
  <c r="P259" i="36" s="1"/>
  <c r="J259" i="36"/>
  <c r="J251" i="36"/>
  <c r="J247" i="36"/>
  <c r="P243" i="36"/>
  <c r="J243" i="36"/>
  <c r="P239" i="36"/>
  <c r="J239" i="36"/>
  <c r="M235" i="36"/>
  <c r="P235" i="36" s="1"/>
  <c r="J235" i="36"/>
  <c r="P231" i="36"/>
  <c r="J231" i="36"/>
  <c r="J227" i="36"/>
  <c r="J219" i="36"/>
  <c r="J215" i="36"/>
  <c r="J211" i="36"/>
  <c r="P207" i="36"/>
  <c r="J207" i="36"/>
  <c r="M203" i="36"/>
  <c r="P203" i="36" s="1"/>
  <c r="J203" i="36"/>
  <c r="M199" i="36"/>
  <c r="P199" i="36" s="1"/>
  <c r="J199" i="36"/>
  <c r="P195" i="36"/>
  <c r="J195" i="36"/>
  <c r="P187" i="36"/>
  <c r="J187" i="36"/>
  <c r="P183" i="36"/>
  <c r="J183" i="36"/>
  <c r="J179" i="36"/>
  <c r="J175" i="36"/>
  <c r="P171" i="36"/>
  <c r="J171" i="36"/>
  <c r="P167" i="36"/>
  <c r="J167" i="36"/>
  <c r="M163" i="36"/>
  <c r="J163" i="36"/>
  <c r="J154" i="36"/>
  <c r="J149" i="36"/>
  <c r="J145" i="36"/>
  <c r="M141" i="36"/>
  <c r="J141" i="36"/>
  <c r="M137" i="36"/>
  <c r="J137" i="36"/>
  <c r="J130" i="36"/>
  <c r="M122" i="36"/>
  <c r="J122" i="36"/>
  <c r="M117" i="36"/>
  <c r="J117" i="36"/>
  <c r="M113" i="36"/>
  <c r="J113" i="36"/>
  <c r="M107" i="36"/>
  <c r="J107" i="36"/>
  <c r="M103" i="36"/>
  <c r="J103" i="36"/>
  <c r="M99" i="36"/>
  <c r="J99" i="36"/>
  <c r="M95" i="36"/>
  <c r="J95" i="36"/>
  <c r="J83" i="36"/>
  <c r="J79" i="36"/>
  <c r="M74" i="36"/>
  <c r="J74" i="36"/>
  <c r="M69" i="36"/>
  <c r="J69" i="36"/>
  <c r="M65" i="36"/>
  <c r="P65" i="36" s="1"/>
  <c r="J65" i="36"/>
  <c r="M61" i="36"/>
  <c r="P61" i="36" s="1"/>
  <c r="J61" i="36"/>
  <c r="J57" i="36"/>
  <c r="J49" i="36"/>
  <c r="J45" i="36"/>
  <c r="M41" i="36"/>
  <c r="P41" i="36" s="1"/>
  <c r="J41" i="36"/>
  <c r="M37" i="36"/>
  <c r="P37" i="36" s="1"/>
  <c r="J37" i="36"/>
  <c r="J33" i="36"/>
  <c r="M28" i="36"/>
  <c r="P28" i="36" s="1"/>
  <c r="J28" i="36"/>
  <c r="M24" i="36"/>
  <c r="P24" i="36" s="1"/>
  <c r="J24" i="36"/>
  <c r="M14" i="36"/>
  <c r="J14" i="36"/>
  <c r="J393" i="36"/>
  <c r="J387" i="36"/>
  <c r="J379" i="36"/>
  <c r="J358" i="36"/>
  <c r="J350" i="36"/>
  <c r="J346" i="36"/>
  <c r="J342" i="36"/>
  <c r="J334" i="36"/>
  <c r="J331" i="36"/>
  <c r="J327" i="36"/>
  <c r="J323" i="36"/>
  <c r="J319" i="36"/>
  <c r="J315" i="36"/>
  <c r="J311" i="36"/>
  <c r="J302" i="36"/>
  <c r="J298" i="36"/>
  <c r="J294" i="36"/>
  <c r="J290" i="36"/>
  <c r="J288" i="36"/>
  <c r="J284" i="36"/>
  <c r="J280" i="36"/>
  <c r="J274" i="36"/>
  <c r="J270" i="36"/>
  <c r="J266" i="36"/>
  <c r="J262" i="36"/>
  <c r="J258" i="36"/>
  <c r="J254" i="36"/>
  <c r="J242" i="36"/>
  <c r="J238" i="36"/>
  <c r="M234" i="36"/>
  <c r="P234" i="36" s="1"/>
  <c r="J234" i="36"/>
  <c r="J226" i="36"/>
  <c r="J222" i="36"/>
  <c r="P218" i="36"/>
  <c r="J218" i="36"/>
  <c r="J210" i="36"/>
  <c r="P206" i="36"/>
  <c r="J206" i="36"/>
  <c r="M202" i="36"/>
  <c r="P202" i="36" s="1"/>
  <c r="J202" i="36"/>
  <c r="M198" i="36"/>
  <c r="P198" i="36" s="1"/>
  <c r="J198" i="36"/>
  <c r="P194" i="36"/>
  <c r="J194" i="36"/>
  <c r="J190" i="36"/>
  <c r="J186" i="36"/>
  <c r="P178" i="36"/>
  <c r="J178" i="36"/>
  <c r="P174" i="36"/>
  <c r="J174" i="36"/>
  <c r="P170" i="36"/>
  <c r="J170" i="36"/>
  <c r="P166" i="36"/>
  <c r="J166" i="36"/>
  <c r="M162" i="36"/>
  <c r="J162" i="36"/>
  <c r="J157" i="36"/>
  <c r="J153" i="36"/>
  <c r="J144" i="36"/>
  <c r="M140" i="36"/>
  <c r="J140" i="36"/>
  <c r="M136" i="36"/>
  <c r="J136" i="36"/>
  <c r="M133" i="36"/>
  <c r="P133" i="36" s="1"/>
  <c r="J133" i="36"/>
  <c r="J129" i="36"/>
  <c r="M125" i="36"/>
  <c r="J125" i="36"/>
  <c r="M121" i="36"/>
  <c r="P121" i="36" s="1"/>
  <c r="J121" i="36"/>
  <c r="J110" i="36"/>
  <c r="M106" i="36"/>
  <c r="J106" i="36"/>
  <c r="M102" i="36"/>
  <c r="J102" i="36"/>
  <c r="M98" i="36"/>
  <c r="J98" i="36"/>
  <c r="M94" i="36"/>
  <c r="J94" i="36"/>
  <c r="J82" i="36"/>
  <c r="M73" i="36"/>
  <c r="J73" i="36"/>
  <c r="M68" i="36"/>
  <c r="J68" i="36"/>
  <c r="M64" i="36"/>
  <c r="P64" i="36" s="1"/>
  <c r="J64" i="36"/>
  <c r="M60" i="36"/>
  <c r="P60" i="36" s="1"/>
  <c r="J60" i="36"/>
  <c r="J56" i="36"/>
  <c r="J52" i="36"/>
  <c r="M48" i="36"/>
  <c r="P48" i="36" s="1"/>
  <c r="J48" i="36"/>
  <c r="M40" i="36"/>
  <c r="J40" i="36"/>
  <c r="M36" i="36"/>
  <c r="J36" i="36"/>
  <c r="M32" i="36"/>
  <c r="P32" i="36" s="1"/>
  <c r="J32" i="36"/>
  <c r="J27" i="36"/>
  <c r="M23" i="36"/>
  <c r="P23" i="36" s="1"/>
  <c r="J23" i="36"/>
  <c r="J19" i="36"/>
  <c r="J388" i="36"/>
  <c r="J383" i="36"/>
  <c r="J375" i="36"/>
  <c r="J362" i="36"/>
  <c r="J230" i="36"/>
  <c r="M20" i="36"/>
  <c r="P20" i="36" s="1"/>
  <c r="J20" i="36"/>
  <c r="J378" i="36"/>
  <c r="J361" i="36"/>
  <c r="J249" i="36"/>
  <c r="J229" i="36"/>
  <c r="J88" i="36"/>
  <c r="J385" i="36"/>
  <c r="J381" i="36"/>
  <c r="M373" i="36"/>
  <c r="P373" i="36" s="1"/>
  <c r="J373" i="36"/>
  <c r="J63" i="36"/>
  <c r="J43" i="36"/>
  <c r="J374" i="36"/>
  <c r="J365" i="36"/>
  <c r="J390" i="36"/>
  <c r="J356" i="36"/>
  <c r="J336" i="36"/>
  <c r="J369" i="36"/>
  <c r="J372" i="36"/>
  <c r="J367" i="36"/>
  <c r="J359" i="36"/>
  <c r="J303" i="36"/>
  <c r="J127" i="36"/>
  <c r="J366" i="36"/>
  <c r="J250" i="36"/>
  <c r="AD93" i="36"/>
  <c r="AD13" i="36"/>
  <c r="AB286" i="6"/>
  <c r="AB14" i="6"/>
  <c r="L83" i="5"/>
  <c r="L107" i="5"/>
  <c r="L154" i="5"/>
  <c r="L108" i="5"/>
  <c r="L25" i="5"/>
  <c r="L115" i="5"/>
  <c r="Z286" i="9"/>
  <c r="Y286" i="9"/>
  <c r="Z286" i="8"/>
  <c r="Y286" i="8"/>
  <c r="Z14" i="8"/>
  <c r="Y14" i="8"/>
  <c r="Y14" i="9"/>
  <c r="Z14" i="9"/>
  <c r="AJ285" i="36" l="1"/>
  <c r="AJ104" i="36"/>
  <c r="AJ139" i="36"/>
  <c r="AJ78" i="36"/>
  <c r="AJ172" i="36"/>
  <c r="AK347" i="36"/>
  <c r="AK221" i="36"/>
  <c r="AJ89" i="36"/>
  <c r="AJ296" i="36"/>
  <c r="AJ333" i="36"/>
  <c r="AJ214" i="36"/>
  <c r="AK34" i="36"/>
  <c r="AK269" i="36"/>
  <c r="AJ223" i="36"/>
  <c r="AJ360" i="36"/>
  <c r="AJ370" i="36"/>
  <c r="AK148" i="36"/>
  <c r="AK306" i="36"/>
  <c r="AK115" i="36"/>
  <c r="AJ150" i="36"/>
  <c r="AK159" i="36"/>
  <c r="AJ236" i="36"/>
  <c r="AK31" i="36"/>
  <c r="AJ316" i="36"/>
  <c r="AJ182" i="36"/>
  <c r="AK66" i="36"/>
  <c r="AK330" i="36"/>
  <c r="AJ44" i="36"/>
  <c r="AJ246" i="36"/>
  <c r="AJ116" i="36"/>
  <c r="AJ93" i="36"/>
  <c r="AK138" i="36"/>
  <c r="AJ204" i="36"/>
  <c r="AJ268" i="36"/>
  <c r="AJ329" i="36"/>
  <c r="AK193" i="36"/>
  <c r="AK338" i="36"/>
  <c r="AJ124" i="36"/>
  <c r="AJ382" i="36"/>
  <c r="AJ53" i="36"/>
  <c r="AK126" i="36"/>
  <c r="AK191" i="36"/>
  <c r="AJ255" i="36"/>
  <c r="AJ380" i="36"/>
  <c r="AJ237" i="36"/>
  <c r="AZ13" i="4"/>
  <c r="X92" i="9"/>
  <c r="X92" i="8"/>
  <c r="AA92" i="6"/>
  <c r="AB92" i="6" s="1"/>
  <c r="X43" i="9"/>
  <c r="AA43" i="6"/>
  <c r="AB43" i="6" s="1"/>
  <c r="X43" i="8"/>
  <c r="X115" i="9"/>
  <c r="AA115" i="6"/>
  <c r="AB115" i="6" s="1"/>
  <c r="X115" i="8"/>
  <c r="X181" i="8"/>
  <c r="AA181" i="6"/>
  <c r="AB181" i="6" s="1"/>
  <c r="X181" i="9"/>
  <c r="X245" i="9"/>
  <c r="AA245" i="6"/>
  <c r="AB245" i="6" s="1"/>
  <c r="X245" i="8"/>
  <c r="AA337" i="6"/>
  <c r="AB337" i="6" s="1"/>
  <c r="X337" i="8"/>
  <c r="X337" i="9"/>
  <c r="X52" i="9"/>
  <c r="AA52" i="6"/>
  <c r="AB52" i="6" s="1"/>
  <c r="X52" i="8"/>
  <c r="X125" i="8"/>
  <c r="X125" i="9"/>
  <c r="AA125" i="6"/>
  <c r="AB125" i="6" s="1"/>
  <c r="X190" i="8"/>
  <c r="AA190" i="6"/>
  <c r="AB190" i="6" s="1"/>
  <c r="X190" i="9"/>
  <c r="AA254" i="6"/>
  <c r="AB254" i="6" s="1"/>
  <c r="X254" i="9"/>
  <c r="X254" i="8"/>
  <c r="X315" i="9"/>
  <c r="AA315" i="6"/>
  <c r="AB315" i="6" s="1"/>
  <c r="X315" i="8"/>
  <c r="AA379" i="6"/>
  <c r="AB379" i="6" s="1"/>
  <c r="X379" i="8"/>
  <c r="X379" i="9"/>
  <c r="AA65" i="6"/>
  <c r="AB65" i="6" s="1"/>
  <c r="X65" i="8"/>
  <c r="X65" i="9"/>
  <c r="X137" i="8"/>
  <c r="AA137" i="6"/>
  <c r="AB137" i="6" s="1"/>
  <c r="X137" i="9"/>
  <c r="X203" i="9"/>
  <c r="X203" i="8"/>
  <c r="AA203" i="6"/>
  <c r="AB203" i="6" s="1"/>
  <c r="AA267" i="6"/>
  <c r="AB267" i="6" s="1"/>
  <c r="X267" i="8"/>
  <c r="X267" i="9"/>
  <c r="X328" i="8"/>
  <c r="X328" i="9"/>
  <c r="AA328" i="6"/>
  <c r="AB328" i="6" s="1"/>
  <c r="AA30" i="6"/>
  <c r="AB30" i="6" s="1"/>
  <c r="X30" i="8"/>
  <c r="X30" i="9"/>
  <c r="X123" i="8"/>
  <c r="X123" i="9"/>
  <c r="AA123" i="6"/>
  <c r="AB123" i="6" s="1"/>
  <c r="X192" i="8"/>
  <c r="X192" i="9"/>
  <c r="AA192" i="6"/>
  <c r="AB192" i="6" s="1"/>
  <c r="X236" i="9"/>
  <c r="X236" i="8"/>
  <c r="AA236" i="6"/>
  <c r="AB236" i="6" s="1"/>
  <c r="X329" i="9"/>
  <c r="X329" i="8"/>
  <c r="AA329" i="6"/>
  <c r="AB329" i="6" s="1"/>
  <c r="AA381" i="6"/>
  <c r="AB381" i="6" s="1"/>
  <c r="X381" i="9"/>
  <c r="X381" i="8"/>
  <c r="X149" i="9"/>
  <c r="X149" i="8"/>
  <c r="AA149" i="6"/>
  <c r="AB149" i="6" s="1"/>
  <c r="AA77" i="6"/>
  <c r="AB77" i="6" s="1"/>
  <c r="X77" i="8"/>
  <c r="X77" i="9"/>
  <c r="AA147" i="6"/>
  <c r="AB147" i="6" s="1"/>
  <c r="X147" i="9"/>
  <c r="X147" i="8"/>
  <c r="X213" i="8"/>
  <c r="AA213" i="6"/>
  <c r="AB213" i="6" s="1"/>
  <c r="X213" i="9"/>
  <c r="X305" i="9"/>
  <c r="AA305" i="6"/>
  <c r="AB305" i="6" s="1"/>
  <c r="X305" i="8"/>
  <c r="AA369" i="6"/>
  <c r="AB369" i="6" s="1"/>
  <c r="X369" i="9"/>
  <c r="X369" i="8"/>
  <c r="X88" i="9"/>
  <c r="X88" i="8"/>
  <c r="AA88" i="6"/>
  <c r="AB88" i="6" s="1"/>
  <c r="X158" i="8"/>
  <c r="AA158" i="6"/>
  <c r="AB158" i="6" s="1"/>
  <c r="X158" i="9"/>
  <c r="X222" i="8"/>
  <c r="X222" i="9"/>
  <c r="AA222" i="6"/>
  <c r="AB222" i="6" s="1"/>
  <c r="AA284" i="6"/>
  <c r="AB284" i="6" s="1"/>
  <c r="X284" i="8"/>
  <c r="X284" i="9"/>
  <c r="X346" i="8"/>
  <c r="AA346" i="6"/>
  <c r="AB346" i="6" s="1"/>
  <c r="X346" i="9"/>
  <c r="X33" i="9"/>
  <c r="X33" i="8"/>
  <c r="AA33" i="6"/>
  <c r="AB33" i="6" s="1"/>
  <c r="AA103" i="6"/>
  <c r="AB103" i="6" s="1"/>
  <c r="X103" i="9"/>
  <c r="X103" i="8"/>
  <c r="X171" i="9"/>
  <c r="X171" i="8"/>
  <c r="AA171" i="6"/>
  <c r="AB171" i="6" s="1"/>
  <c r="AA235" i="6"/>
  <c r="AB235" i="6" s="1"/>
  <c r="X235" i="8"/>
  <c r="X235" i="9"/>
  <c r="AA295" i="6"/>
  <c r="AB295" i="6" s="1"/>
  <c r="X295" i="8"/>
  <c r="X295" i="9"/>
  <c r="AA359" i="6"/>
  <c r="AB359" i="6" s="1"/>
  <c r="X359" i="8"/>
  <c r="X359" i="9"/>
  <c r="AA114" i="6"/>
  <c r="AB114" i="6" s="1"/>
  <c r="X114" i="8"/>
  <c r="X114" i="9"/>
  <c r="AA138" i="6"/>
  <c r="AB138" i="6" s="1"/>
  <c r="X138" i="9"/>
  <c r="X138" i="8"/>
  <c r="X220" i="8"/>
  <c r="AA220" i="6"/>
  <c r="AB220" i="6" s="1"/>
  <c r="X220" i="9"/>
  <c r="X268" i="9"/>
  <c r="X268" i="8"/>
  <c r="AA268" i="6"/>
  <c r="AB268" i="6" s="1"/>
  <c r="X332" i="9"/>
  <c r="AA332" i="6"/>
  <c r="AB332" i="6" s="1"/>
  <c r="X332" i="8"/>
  <c r="P250" i="36"/>
  <c r="AJ250" i="36" s="1"/>
  <c r="P366" i="36"/>
  <c r="X365" i="8" s="1"/>
  <c r="P127" i="36"/>
  <c r="AA126" i="6" s="1"/>
  <c r="AB126" i="6" s="1"/>
  <c r="P303" i="36"/>
  <c r="AA302" i="6" s="1"/>
  <c r="AB302" i="6" s="1"/>
  <c r="P359" i="36"/>
  <c r="X358" i="8" s="1"/>
  <c r="P367" i="36"/>
  <c r="X366" i="9" s="1"/>
  <c r="P372" i="36"/>
  <c r="AA371" i="6" s="1"/>
  <c r="AB371" i="6" s="1"/>
  <c r="P369" i="36"/>
  <c r="AA368" i="6" s="1"/>
  <c r="AB368" i="6" s="1"/>
  <c r="P336" i="36"/>
  <c r="AA335" i="6" s="1"/>
  <c r="AB335" i="6" s="1"/>
  <c r="P356" i="36"/>
  <c r="X355" i="9" s="1"/>
  <c r="P390" i="36"/>
  <c r="X389" i="9" s="1"/>
  <c r="P365" i="36"/>
  <c r="AA364" i="6" s="1"/>
  <c r="AB364" i="6" s="1"/>
  <c r="P374" i="36"/>
  <c r="AA373" i="6" s="1"/>
  <c r="AB373" i="6" s="1"/>
  <c r="P43" i="36"/>
  <c r="AA42" i="6" s="1"/>
  <c r="AB42" i="6" s="1"/>
  <c r="P63" i="36"/>
  <c r="AA62" i="6" s="1"/>
  <c r="AB62" i="6" s="1"/>
  <c r="AA372" i="6"/>
  <c r="AB372" i="6" s="1"/>
  <c r="P381" i="36"/>
  <c r="AA380" i="6" s="1"/>
  <c r="AB380" i="6" s="1"/>
  <c r="P385" i="36"/>
  <c r="X384" i="8" s="1"/>
  <c r="P88" i="36"/>
  <c r="AA87" i="6" s="1"/>
  <c r="AB87" i="6" s="1"/>
  <c r="P229" i="36"/>
  <c r="AA228" i="6" s="1"/>
  <c r="AB228" i="6" s="1"/>
  <c r="P249" i="36"/>
  <c r="X248" i="9" s="1"/>
  <c r="P361" i="36"/>
  <c r="X360" i="8" s="1"/>
  <c r="P378" i="36"/>
  <c r="X377" i="8" s="1"/>
  <c r="AA19" i="6"/>
  <c r="AB19" i="6" s="1"/>
  <c r="P230" i="36"/>
  <c r="AA229" i="6" s="1"/>
  <c r="AB229" i="6" s="1"/>
  <c r="P362" i="36"/>
  <c r="AA361" i="6" s="1"/>
  <c r="AB361" i="6" s="1"/>
  <c r="P375" i="36"/>
  <c r="AA374" i="6" s="1"/>
  <c r="AB374" i="6" s="1"/>
  <c r="P383" i="36"/>
  <c r="AA382" i="6" s="1"/>
  <c r="AB382" i="6" s="1"/>
  <c r="P388" i="36"/>
  <c r="AA387" i="6" s="1"/>
  <c r="AB387" i="6" s="1"/>
  <c r="P19" i="36"/>
  <c r="X18" i="8" s="1"/>
  <c r="AA22" i="6"/>
  <c r="AB22" i="6" s="1"/>
  <c r="P27" i="36"/>
  <c r="AA26" i="6" s="1"/>
  <c r="AB26" i="6" s="1"/>
  <c r="X31" i="8"/>
  <c r="P36" i="36"/>
  <c r="X35" i="8" s="1"/>
  <c r="P40" i="36"/>
  <c r="X39" i="8" s="1"/>
  <c r="X47" i="8"/>
  <c r="P52" i="36"/>
  <c r="X51" i="9" s="1"/>
  <c r="P56" i="36"/>
  <c r="AA55" i="6" s="1"/>
  <c r="AB55" i="6" s="1"/>
  <c r="AA59" i="6"/>
  <c r="AB59" i="6" s="1"/>
  <c r="AA63" i="6"/>
  <c r="AB63" i="6" s="1"/>
  <c r="P68" i="36"/>
  <c r="X67" i="8" s="1"/>
  <c r="P73" i="36"/>
  <c r="X72" i="9" s="1"/>
  <c r="P82" i="36"/>
  <c r="X81" i="9" s="1"/>
  <c r="P94" i="36"/>
  <c r="X93" i="8" s="1"/>
  <c r="P98" i="36"/>
  <c r="X97" i="9" s="1"/>
  <c r="P102" i="36"/>
  <c r="X101" i="8" s="1"/>
  <c r="P106" i="36"/>
  <c r="X105" i="9" s="1"/>
  <c r="P110" i="36"/>
  <c r="AA109" i="6" s="1"/>
  <c r="AB109" i="6" s="1"/>
  <c r="X120" i="8"/>
  <c r="P125" i="36"/>
  <c r="X124" i="9" s="1"/>
  <c r="P129" i="36"/>
  <c r="AA128" i="6" s="1"/>
  <c r="AB128" i="6" s="1"/>
  <c r="X132" i="9"/>
  <c r="P136" i="36"/>
  <c r="X135" i="8" s="1"/>
  <c r="P140" i="36"/>
  <c r="X139" i="9" s="1"/>
  <c r="P144" i="36"/>
  <c r="X143" i="8" s="1"/>
  <c r="P153" i="36"/>
  <c r="AA152" i="6" s="1"/>
  <c r="AB152" i="6" s="1"/>
  <c r="P157" i="36"/>
  <c r="X156" i="8" s="1"/>
  <c r="P162" i="36"/>
  <c r="X161" i="9" s="1"/>
  <c r="AA165" i="6"/>
  <c r="AB165" i="6" s="1"/>
  <c r="X169" i="9"/>
  <c r="X173" i="8"/>
  <c r="X177" i="9"/>
  <c r="P186" i="36"/>
  <c r="X185" i="9" s="1"/>
  <c r="P190" i="36"/>
  <c r="AA189" i="6" s="1"/>
  <c r="AB189" i="6" s="1"/>
  <c r="AA193" i="6"/>
  <c r="AB193" i="6" s="1"/>
  <c r="X197" i="8"/>
  <c r="AA201" i="6"/>
  <c r="AB201" i="6" s="1"/>
  <c r="X205" i="9"/>
  <c r="P210" i="36"/>
  <c r="X209" i="9" s="1"/>
  <c r="X217" i="8"/>
  <c r="P222" i="36"/>
  <c r="X221" i="8" s="1"/>
  <c r="P226" i="36"/>
  <c r="X225" i="8" s="1"/>
  <c r="X233" i="8"/>
  <c r="P238" i="36"/>
  <c r="X237" i="9" s="1"/>
  <c r="P242" i="36"/>
  <c r="AA241" i="6" s="1"/>
  <c r="AB241" i="6" s="1"/>
  <c r="P254" i="36"/>
  <c r="AA253" i="6" s="1"/>
  <c r="AB253" i="6" s="1"/>
  <c r="P258" i="36"/>
  <c r="X257" i="8" s="1"/>
  <c r="P262" i="36"/>
  <c r="X261" i="8" s="1"/>
  <c r="P266" i="36"/>
  <c r="AA265" i="6" s="1"/>
  <c r="AB265" i="6" s="1"/>
  <c r="P270" i="36"/>
  <c r="AA269" i="6" s="1"/>
  <c r="AB269" i="6" s="1"/>
  <c r="P274" i="36"/>
  <c r="X273" i="9" s="1"/>
  <c r="P280" i="36"/>
  <c r="X279" i="8" s="1"/>
  <c r="P284" i="36"/>
  <c r="X283" i="8" s="1"/>
  <c r="P290" i="36"/>
  <c r="X289" i="8" s="1"/>
  <c r="P302" i="36"/>
  <c r="AA301" i="6" s="1"/>
  <c r="AB301" i="6" s="1"/>
  <c r="P311" i="36"/>
  <c r="X310" i="8" s="1"/>
  <c r="P315" i="36"/>
  <c r="X314" i="9" s="1"/>
  <c r="P319" i="36"/>
  <c r="X318" i="9" s="1"/>
  <c r="P323" i="36"/>
  <c r="X322" i="9" s="1"/>
  <c r="P327" i="36"/>
  <c r="AA326" i="6" s="1"/>
  <c r="AB326" i="6" s="1"/>
  <c r="P331" i="36"/>
  <c r="X330" i="8" s="1"/>
  <c r="P334" i="36"/>
  <c r="AA333" i="6" s="1"/>
  <c r="AB333" i="6" s="1"/>
  <c r="P342" i="36"/>
  <c r="AA341" i="6" s="1"/>
  <c r="AB341" i="6" s="1"/>
  <c r="P346" i="36"/>
  <c r="X345" i="9" s="1"/>
  <c r="P350" i="36"/>
  <c r="X349" i="9" s="1"/>
  <c r="P354" i="36"/>
  <c r="X353" i="8" s="1"/>
  <c r="P358" i="36"/>
  <c r="X357" i="8" s="1"/>
  <c r="P379" i="36"/>
  <c r="X378" i="9" s="1"/>
  <c r="P387" i="36"/>
  <c r="X386" i="8" s="1"/>
  <c r="P393" i="36"/>
  <c r="AA392" i="6" s="1"/>
  <c r="AB392" i="6" s="1"/>
  <c r="P14" i="36"/>
  <c r="X13" i="8" s="1"/>
  <c r="X23" i="9"/>
  <c r="X27" i="9"/>
  <c r="P33" i="36"/>
  <c r="X32" i="9" s="1"/>
  <c r="AA36" i="6"/>
  <c r="AB36" i="6" s="1"/>
  <c r="X40" i="9"/>
  <c r="P45" i="36"/>
  <c r="X44" i="9" s="1"/>
  <c r="P49" i="36"/>
  <c r="AA48" i="6" s="1"/>
  <c r="AB48" i="6" s="1"/>
  <c r="P57" i="36"/>
  <c r="X56" i="8" s="1"/>
  <c r="X60" i="8"/>
  <c r="X64" i="8"/>
  <c r="P69" i="36"/>
  <c r="X68" i="9" s="1"/>
  <c r="P74" i="36"/>
  <c r="AA73" i="6" s="1"/>
  <c r="AB73" i="6" s="1"/>
  <c r="P79" i="36"/>
  <c r="X78" i="8" s="1"/>
  <c r="P83" i="36"/>
  <c r="AA82" i="6" s="1"/>
  <c r="AB82" i="6" s="1"/>
  <c r="P95" i="36"/>
  <c r="AA94" i="6" s="1"/>
  <c r="AB94" i="6" s="1"/>
  <c r="P99" i="36"/>
  <c r="X98" i="8" s="1"/>
  <c r="P103" i="36"/>
  <c r="X102" i="8" s="1"/>
  <c r="P107" i="36"/>
  <c r="X106" i="9" s="1"/>
  <c r="P113" i="36"/>
  <c r="X112" i="8" s="1"/>
  <c r="P117" i="36"/>
  <c r="X116" i="8" s="1"/>
  <c r="P122" i="36"/>
  <c r="X121" i="8" s="1"/>
  <c r="P130" i="36"/>
  <c r="AA129" i="6" s="1"/>
  <c r="AB129" i="6" s="1"/>
  <c r="P137" i="36"/>
  <c r="X136" i="8" s="1"/>
  <c r="P141" i="36"/>
  <c r="X140" i="8" s="1"/>
  <c r="P145" i="36"/>
  <c r="X144" i="8" s="1"/>
  <c r="P149" i="36"/>
  <c r="X148" i="8" s="1"/>
  <c r="P154" i="36"/>
  <c r="X153" i="8" s="1"/>
  <c r="P163" i="36"/>
  <c r="X162" i="9" s="1"/>
  <c r="AA166" i="6"/>
  <c r="AB166" i="6" s="1"/>
  <c r="AA170" i="6"/>
  <c r="AB170" i="6" s="1"/>
  <c r="P175" i="36"/>
  <c r="X174" i="8" s="1"/>
  <c r="P179" i="36"/>
  <c r="X178" i="8" s="1"/>
  <c r="X182" i="8"/>
  <c r="X186" i="8"/>
  <c r="X194" i="9"/>
  <c r="X198" i="9"/>
  <c r="AA202" i="6"/>
  <c r="AB202" i="6" s="1"/>
  <c r="AA206" i="6"/>
  <c r="AB206" i="6" s="1"/>
  <c r="P211" i="36"/>
  <c r="X210" i="9" s="1"/>
  <c r="P215" i="36"/>
  <c r="X214" i="9" s="1"/>
  <c r="P219" i="36"/>
  <c r="AA218" i="6" s="1"/>
  <c r="AB218" i="6" s="1"/>
  <c r="P227" i="36"/>
  <c r="X226" i="9" s="1"/>
  <c r="X230" i="9"/>
  <c r="X234" i="8"/>
  <c r="AA238" i="6"/>
  <c r="AB238" i="6" s="1"/>
  <c r="AA242" i="6"/>
  <c r="AB242" i="6" s="1"/>
  <c r="P247" i="36"/>
  <c r="X246" i="9" s="1"/>
  <c r="P251" i="36"/>
  <c r="X250" i="9" s="1"/>
  <c r="X258" i="8"/>
  <c r="P263" i="36"/>
  <c r="X262" i="8" s="1"/>
  <c r="P267" i="36"/>
  <c r="X266" i="9" s="1"/>
  <c r="P271" i="36"/>
  <c r="X270" i="8" s="1"/>
  <c r="P275" i="36"/>
  <c r="AA274" i="6" s="1"/>
  <c r="AB274" i="6" s="1"/>
  <c r="P277" i="36"/>
  <c r="AA276" i="6" s="1"/>
  <c r="AB276" i="6" s="1"/>
  <c r="X280" i="9"/>
  <c r="P289" i="36"/>
  <c r="AK289" i="36" s="1"/>
  <c r="P291" i="36"/>
  <c r="X290" i="8" s="1"/>
  <c r="P307" i="36"/>
  <c r="X306" i="9" s="1"/>
  <c r="P312" i="36"/>
  <c r="AA311" i="6" s="1"/>
  <c r="AB311" i="6" s="1"/>
  <c r="P320" i="36"/>
  <c r="AA319" i="6" s="1"/>
  <c r="AB319" i="6" s="1"/>
  <c r="P324" i="36"/>
  <c r="X323" i="9" s="1"/>
  <c r="P328" i="36"/>
  <c r="AK328" i="36" s="1"/>
  <c r="P332" i="36"/>
  <c r="X331" i="9" s="1"/>
  <c r="P335" i="36"/>
  <c r="X334" i="9" s="1"/>
  <c r="P339" i="36"/>
  <c r="X338" i="8" s="1"/>
  <c r="P343" i="36"/>
  <c r="X342" i="9" s="1"/>
  <c r="P351" i="36"/>
  <c r="AA350" i="6" s="1"/>
  <c r="AB350" i="6" s="1"/>
  <c r="P355" i="36"/>
  <c r="X354" i="8" s="1"/>
  <c r="P363" i="36"/>
  <c r="X362" i="9" s="1"/>
  <c r="P376" i="36"/>
  <c r="AJ376" i="36" s="1"/>
  <c r="P384" i="36"/>
  <c r="AA383" i="6" s="1"/>
  <c r="AB383" i="6" s="1"/>
  <c r="P394" i="36"/>
  <c r="AA393" i="6" s="1"/>
  <c r="AB393" i="6" s="1"/>
  <c r="X20" i="8"/>
  <c r="X24" i="8"/>
  <c r="AA29" i="6"/>
  <c r="AB29" i="6" s="1"/>
  <c r="P38" i="36"/>
  <c r="AK38" i="36" s="1"/>
  <c r="P42" i="36"/>
  <c r="X41" i="8" s="1"/>
  <c r="P46" i="36"/>
  <c r="X45" i="9" s="1"/>
  <c r="P50" i="36"/>
  <c r="X49" i="9" s="1"/>
  <c r="P54" i="36"/>
  <c r="AK54" i="36" s="1"/>
  <c r="P58" i="36"/>
  <c r="X57" i="9" s="1"/>
  <c r="P62" i="36"/>
  <c r="X61" i="9" s="1"/>
  <c r="P70" i="36"/>
  <c r="AA69" i="6" s="1"/>
  <c r="AB69" i="6" s="1"/>
  <c r="P76" i="36"/>
  <c r="AK76" i="36" s="1"/>
  <c r="P80" i="36"/>
  <c r="X79" i="9" s="1"/>
  <c r="P85" i="36"/>
  <c r="X84" i="9" s="1"/>
  <c r="P92" i="36"/>
  <c r="AK92" i="36" s="1"/>
  <c r="P96" i="36"/>
  <c r="AJ96" i="36" s="1"/>
  <c r="P100" i="36"/>
  <c r="AA99" i="6" s="1"/>
  <c r="AB99" i="6" s="1"/>
  <c r="P108" i="36"/>
  <c r="X107" i="8" s="1"/>
  <c r="P114" i="36"/>
  <c r="AJ114" i="36" s="1"/>
  <c r="P118" i="36"/>
  <c r="AJ118" i="36" s="1"/>
  <c r="P123" i="36"/>
  <c r="X122" i="9" s="1"/>
  <c r="P131" i="36"/>
  <c r="X130" i="9" s="1"/>
  <c r="P134" i="36"/>
  <c r="AJ134" i="36" s="1"/>
  <c r="P142" i="36"/>
  <c r="AJ142" i="36" s="1"/>
  <c r="P146" i="36"/>
  <c r="AK146" i="36" s="1"/>
  <c r="P151" i="36"/>
  <c r="X150" i="8" s="1"/>
  <c r="P155" i="36"/>
  <c r="X154" i="9" s="1"/>
  <c r="P160" i="36"/>
  <c r="AK160" i="36" s="1"/>
  <c r="P164" i="36"/>
  <c r="X163" i="8" s="1"/>
  <c r="X167" i="8"/>
  <c r="AK176" i="36"/>
  <c r="AK180" i="36"/>
  <c r="P184" i="36"/>
  <c r="AA183" i="6" s="1"/>
  <c r="AB183" i="6" s="1"/>
  <c r="X187" i="8"/>
  <c r="AJ192" i="36"/>
  <c r="AK196" i="36"/>
  <c r="X199" i="9"/>
  <c r="X207" i="9"/>
  <c r="AK212" i="36"/>
  <c r="AK216" i="36"/>
  <c r="AK220" i="36"/>
  <c r="P224" i="36"/>
  <c r="AA223" i="6" s="1"/>
  <c r="AB223" i="6" s="1"/>
  <c r="P228" i="36"/>
  <c r="AA227" i="6" s="1"/>
  <c r="AB227" i="6" s="1"/>
  <c r="AK232" i="36"/>
  <c r="X239" i="9"/>
  <c r="P244" i="36"/>
  <c r="AK244" i="36" s="1"/>
  <c r="P248" i="36"/>
  <c r="AJ248" i="36" s="1"/>
  <c r="AA251" i="6"/>
  <c r="AB251" i="6" s="1"/>
  <c r="P256" i="36"/>
  <c r="X255" i="9" s="1"/>
  <c r="AJ260" i="36"/>
  <c r="P264" i="36"/>
  <c r="X263" i="8" s="1"/>
  <c r="P272" i="36"/>
  <c r="X271" i="8" s="1"/>
  <c r="P278" i="36"/>
  <c r="AK278" i="36" s="1"/>
  <c r="P282" i="36"/>
  <c r="AJ282" i="36" s="1"/>
  <c r="P286" i="36"/>
  <c r="X285" i="8" s="1"/>
  <c r="P292" i="36"/>
  <c r="AK292" i="36" s="1"/>
  <c r="P300" i="36"/>
  <c r="X299" i="9" s="1"/>
  <c r="P304" i="36"/>
  <c r="AA303" i="6" s="1"/>
  <c r="AB303" i="6" s="1"/>
  <c r="P309" i="36"/>
  <c r="X308" i="8" s="1"/>
  <c r="P313" i="36"/>
  <c r="AA312" i="6" s="1"/>
  <c r="AB312" i="6" s="1"/>
  <c r="P317" i="36"/>
  <c r="X316" i="9" s="1"/>
  <c r="P321" i="36"/>
  <c r="P325" i="36"/>
  <c r="AK325" i="36" s="1"/>
  <c r="P340" i="36"/>
  <c r="AA339" i="6" s="1"/>
  <c r="AB339" i="6" s="1"/>
  <c r="P344" i="36"/>
  <c r="AK344" i="36" s="1"/>
  <c r="P348" i="36"/>
  <c r="X347" i="9" s="1"/>
  <c r="P352" i="36"/>
  <c r="AK352" i="36" s="1"/>
  <c r="P364" i="36"/>
  <c r="AJ364" i="36" s="1"/>
  <c r="P368" i="36"/>
  <c r="AK368" i="36" s="1"/>
  <c r="P377" i="36"/>
  <c r="P389" i="36"/>
  <c r="X388" i="8" s="1"/>
  <c r="P395" i="36"/>
  <c r="X394" i="9" s="1"/>
  <c r="AK16" i="36"/>
  <c r="AA34" i="6"/>
  <c r="AB34" i="6" s="1"/>
  <c r="P39" i="36"/>
  <c r="AA38" i="6" s="1"/>
  <c r="AB38" i="6" s="1"/>
  <c r="P47" i="36"/>
  <c r="X46" i="8" s="1"/>
  <c r="P51" i="36"/>
  <c r="X50" i="8" s="1"/>
  <c r="P55" i="36"/>
  <c r="X54" i="8" s="1"/>
  <c r="P59" i="36"/>
  <c r="AK59" i="36" s="1"/>
  <c r="P67" i="36"/>
  <c r="AA66" i="6" s="1"/>
  <c r="AB66" i="6" s="1"/>
  <c r="P72" i="36"/>
  <c r="AA71" i="6" s="1"/>
  <c r="AB71" i="6" s="1"/>
  <c r="P77" i="36"/>
  <c r="AA76" i="6" s="1"/>
  <c r="AB76" i="6" s="1"/>
  <c r="P81" i="36"/>
  <c r="AA80" i="6" s="1"/>
  <c r="AB80" i="6" s="1"/>
  <c r="P86" i="36"/>
  <c r="P97" i="36"/>
  <c r="X96" i="8" s="1"/>
  <c r="P101" i="36"/>
  <c r="X100" i="9" s="1"/>
  <c r="P105" i="36"/>
  <c r="X104" i="9" s="1"/>
  <c r="P109" i="36"/>
  <c r="X108" i="9" s="1"/>
  <c r="P120" i="36"/>
  <c r="AJ120" i="36" s="1"/>
  <c r="P128" i="36"/>
  <c r="AA127" i="6" s="1"/>
  <c r="AB127" i="6" s="1"/>
  <c r="P132" i="36"/>
  <c r="AA131" i="6" s="1"/>
  <c r="AB131" i="6" s="1"/>
  <c r="P135" i="36"/>
  <c r="P143" i="36"/>
  <c r="X142" i="9" s="1"/>
  <c r="P147" i="36"/>
  <c r="P152" i="36"/>
  <c r="X151" i="9" s="1"/>
  <c r="P156" i="36"/>
  <c r="X155" i="9" s="1"/>
  <c r="P161" i="36"/>
  <c r="AJ161" i="36" s="1"/>
  <c r="AA164" i="6"/>
  <c r="AB164" i="6" s="1"/>
  <c r="AA168" i="6"/>
  <c r="AB168" i="6" s="1"/>
  <c r="X172" i="8"/>
  <c r="X176" i="9"/>
  <c r="X180" i="8"/>
  <c r="X184" i="9"/>
  <c r="AA188" i="6"/>
  <c r="AB188" i="6" s="1"/>
  <c r="AA196" i="6"/>
  <c r="AB196" i="6" s="1"/>
  <c r="X200" i="8"/>
  <c r="AA204" i="6"/>
  <c r="AB204" i="6" s="1"/>
  <c r="X208" i="8"/>
  <c r="P217" i="36"/>
  <c r="X216" i="9" s="1"/>
  <c r="P225" i="36"/>
  <c r="X224" i="8" s="1"/>
  <c r="AA232" i="6"/>
  <c r="AB232" i="6" s="1"/>
  <c r="P241" i="36"/>
  <c r="AA240" i="6" s="1"/>
  <c r="AB240" i="6" s="1"/>
  <c r="P245" i="36"/>
  <c r="X244" i="8" s="1"/>
  <c r="P253" i="36"/>
  <c r="AA252" i="6" s="1"/>
  <c r="AB252" i="6" s="1"/>
  <c r="X256" i="9"/>
  <c r="P261" i="36"/>
  <c r="X260" i="8" s="1"/>
  <c r="P265" i="36"/>
  <c r="X264" i="9" s="1"/>
  <c r="P273" i="36"/>
  <c r="X272" i="9" s="1"/>
  <c r="P276" i="36"/>
  <c r="AA275" i="6" s="1"/>
  <c r="AB275" i="6" s="1"/>
  <c r="P279" i="36"/>
  <c r="P283" i="36"/>
  <c r="AA282" i="6" s="1"/>
  <c r="AB282" i="6" s="1"/>
  <c r="P297" i="36"/>
  <c r="AA296" i="6" s="1"/>
  <c r="AB296" i="6" s="1"/>
  <c r="P301" i="36"/>
  <c r="X300" i="8" s="1"/>
  <c r="P305" i="36"/>
  <c r="X304" i="8" s="1"/>
  <c r="P310" i="36"/>
  <c r="AA309" i="6" s="1"/>
  <c r="AB309" i="6" s="1"/>
  <c r="P314" i="36"/>
  <c r="AK314" i="36" s="1"/>
  <c r="P318" i="36"/>
  <c r="X317" i="8" s="1"/>
  <c r="P322" i="36"/>
  <c r="X321" i="9" s="1"/>
  <c r="P326" i="36"/>
  <c r="P337" i="36"/>
  <c r="X336" i="8" s="1"/>
  <c r="P341" i="36"/>
  <c r="X340" i="8" s="1"/>
  <c r="P345" i="36"/>
  <c r="X344" i="9" s="1"/>
  <c r="P349" i="36"/>
  <c r="AA348" i="6" s="1"/>
  <c r="AB348" i="6" s="1"/>
  <c r="P357" i="36"/>
  <c r="X356" i="9" s="1"/>
  <c r="P386" i="36"/>
  <c r="X385" i="8" s="1"/>
  <c r="P391" i="36"/>
  <c r="X390" i="9" s="1"/>
  <c r="P392" i="36"/>
  <c r="X391" i="9" s="1"/>
  <c r="AA365" i="6"/>
  <c r="AB365" i="6" s="1"/>
  <c r="AA294" i="6"/>
  <c r="AB294" i="6" s="1"/>
  <c r="X294" i="8"/>
  <c r="X294" i="9"/>
  <c r="AA298" i="6"/>
  <c r="AB298" i="6" s="1"/>
  <c r="X298" i="8"/>
  <c r="X298" i="9"/>
  <c r="AA292" i="6"/>
  <c r="AB292" i="6" s="1"/>
  <c r="X292" i="9"/>
  <c r="X292" i="8"/>
  <c r="AA358" i="6"/>
  <c r="AB358" i="6" s="1"/>
  <c r="AA287" i="6"/>
  <c r="AB287" i="6" s="1"/>
  <c r="X287" i="9"/>
  <c r="X287" i="8"/>
  <c r="AA293" i="6"/>
  <c r="AB293" i="6" s="1"/>
  <c r="X293" i="8"/>
  <c r="X293" i="9"/>
  <c r="AH353" i="36"/>
  <c r="P353" i="36"/>
  <c r="AK353" i="36" s="1"/>
  <c r="AA297" i="6"/>
  <c r="AB297" i="6" s="1"/>
  <c r="X297" i="9"/>
  <c r="X297" i="8"/>
  <c r="AK288" i="36"/>
  <c r="AJ288" i="36"/>
  <c r="AK294" i="36"/>
  <c r="AJ294" i="36"/>
  <c r="AK15" i="36"/>
  <c r="AJ15" i="36"/>
  <c r="AK299" i="36"/>
  <c r="AJ299" i="36"/>
  <c r="AK293" i="36"/>
  <c r="AJ293" i="36"/>
  <c r="AH352" i="36"/>
  <c r="AK298" i="36"/>
  <c r="AJ298" i="36"/>
  <c r="AK295" i="36"/>
  <c r="AJ295" i="36"/>
  <c r="I107" i="5"/>
  <c r="H107" i="5" s="1"/>
  <c r="I108" i="5"/>
  <c r="H108" i="5" s="1"/>
  <c r="I25" i="5"/>
  <c r="H25" i="5" s="1"/>
  <c r="I154" i="5"/>
  <c r="H154" i="5" s="1"/>
  <c r="I83" i="5"/>
  <c r="H83" i="5" s="1"/>
  <c r="I115" i="5"/>
  <c r="H115" i="5" s="1"/>
  <c r="L343" i="5"/>
  <c r="L169" i="5"/>
  <c r="L163" i="5"/>
  <c r="L118" i="5"/>
  <c r="L269" i="5"/>
  <c r="L92" i="5"/>
  <c r="L369" i="5"/>
  <c r="L220" i="5"/>
  <c r="L150" i="5"/>
  <c r="L286" i="5"/>
  <c r="L249" i="5"/>
  <c r="L354" i="5"/>
  <c r="L141" i="5"/>
  <c r="L89" i="5"/>
  <c r="L166" i="5"/>
  <c r="L188" i="5"/>
  <c r="L222" i="5"/>
  <c r="L221" i="5"/>
  <c r="L56" i="5"/>
  <c r="L295" i="5"/>
  <c r="L356" i="5"/>
  <c r="L161" i="5"/>
  <c r="L113" i="5"/>
  <c r="L348" i="5"/>
  <c r="L159" i="5"/>
  <c r="L171" i="5"/>
  <c r="L311" i="5"/>
  <c r="L210" i="5"/>
  <c r="L126" i="5"/>
  <c r="L380" i="5"/>
  <c r="L219" i="5"/>
  <c r="L378" i="5"/>
  <c r="L191" i="5"/>
  <c r="L160" i="5"/>
  <c r="L82" i="5"/>
  <c r="L168" i="5"/>
  <c r="L153" i="5"/>
  <c r="L65" i="5"/>
  <c r="L19" i="5"/>
  <c r="L90" i="5"/>
  <c r="L315" i="5"/>
  <c r="L167" i="5"/>
  <c r="L258" i="5"/>
  <c r="L109" i="5"/>
  <c r="L134" i="5"/>
  <c r="L49" i="5"/>
  <c r="L151" i="5"/>
  <c r="L172" i="5"/>
  <c r="L345" i="5"/>
  <c r="L174" i="5"/>
  <c r="L81" i="5"/>
  <c r="L359" i="5"/>
  <c r="L212" i="5"/>
  <c r="L10" i="5"/>
  <c r="I92" i="5"/>
  <c r="H92" i="5" s="1"/>
  <c r="I369" i="5"/>
  <c r="H369" i="5" s="1"/>
  <c r="I348" i="5"/>
  <c r="H348" i="5" s="1"/>
  <c r="I269" i="5"/>
  <c r="H269" i="5" s="1"/>
  <c r="I210" i="5"/>
  <c r="H210" i="5" s="1"/>
  <c r="I118" i="5"/>
  <c r="H118" i="5" s="1"/>
  <c r="I249" i="5"/>
  <c r="H249" i="5" s="1"/>
  <c r="I56" i="5"/>
  <c r="H56" i="5" s="1"/>
  <c r="I163" i="5"/>
  <c r="H163" i="5" s="1"/>
  <c r="I188" i="5"/>
  <c r="H188" i="5" s="1"/>
  <c r="I141" i="5"/>
  <c r="H141" i="5" s="1"/>
  <c r="I295" i="5"/>
  <c r="H295" i="5" s="1"/>
  <c r="I356" i="5"/>
  <c r="H356" i="5" s="1"/>
  <c r="AK250" i="36" l="1"/>
  <c r="AK359" i="36"/>
  <c r="X249" i="9"/>
  <c r="AK366" i="36"/>
  <c r="AJ372" i="36"/>
  <c r="AK374" i="36"/>
  <c r="AJ303" i="36"/>
  <c r="AJ359" i="36"/>
  <c r="AJ336" i="36"/>
  <c r="AK127" i="36"/>
  <c r="AA249" i="6"/>
  <c r="AB249" i="6" s="1"/>
  <c r="X355" i="8"/>
  <c r="AJ390" i="36"/>
  <c r="AJ381" i="36"/>
  <c r="AK63" i="36"/>
  <c r="AJ63" i="36"/>
  <c r="AJ356" i="36"/>
  <c r="AK365" i="36"/>
  <c r="AK336" i="36"/>
  <c r="X249" i="8"/>
  <c r="AJ374" i="36"/>
  <c r="AK390" i="36"/>
  <c r="AK372" i="36"/>
  <c r="AJ127" i="36"/>
  <c r="AA366" i="6"/>
  <c r="AB366" i="6" s="1"/>
  <c r="X358" i="9"/>
  <c r="AK369" i="36"/>
  <c r="X366" i="8"/>
  <c r="AJ367" i="36"/>
  <c r="AK373" i="36"/>
  <c r="X302" i="8"/>
  <c r="AK361" i="36"/>
  <c r="AK43" i="36"/>
  <c r="AK385" i="36"/>
  <c r="AK249" i="36"/>
  <c r="AK362" i="36"/>
  <c r="AK20" i="36"/>
  <c r="AK383" i="36"/>
  <c r="AK229" i="36"/>
  <c r="AA248" i="6"/>
  <c r="AB248" i="6" s="1"/>
  <c r="AK381" i="36"/>
  <c r="AK356" i="36"/>
  <c r="AK303" i="36"/>
  <c r="AJ362" i="36"/>
  <c r="AJ361" i="36"/>
  <c r="AJ385" i="36"/>
  <c r="AJ43" i="36"/>
  <c r="AJ369" i="36"/>
  <c r="AJ366" i="36"/>
  <c r="AA355" i="6"/>
  <c r="AB355" i="6" s="1"/>
  <c r="X302" i="9"/>
  <c r="AJ88" i="36"/>
  <c r="AK367" i="36"/>
  <c r="AJ20" i="36"/>
  <c r="AJ229" i="36"/>
  <c r="AJ373" i="36"/>
  <c r="AJ365" i="36"/>
  <c r="AJ378" i="36"/>
  <c r="AJ36" i="36"/>
  <c r="AK19" i="36"/>
  <c r="AK170" i="36"/>
  <c r="AJ383" i="36"/>
  <c r="AJ343" i="36"/>
  <c r="AJ19" i="36"/>
  <c r="AJ23" i="36"/>
  <c r="AJ249" i="36"/>
  <c r="AK56" i="36"/>
  <c r="AJ388" i="36"/>
  <c r="X51" i="8"/>
  <c r="AK106" i="36"/>
  <c r="AJ230" i="36"/>
  <c r="AK36" i="36"/>
  <c r="AA377" i="6"/>
  <c r="AB377" i="6" s="1"/>
  <c r="AK52" i="36"/>
  <c r="AK230" i="36"/>
  <c r="AJ302" i="36"/>
  <c r="AK41" i="36"/>
  <c r="X377" i="9"/>
  <c r="AK210" i="36"/>
  <c r="AK375" i="36"/>
  <c r="AK378" i="36"/>
  <c r="AK88" i="36"/>
  <c r="AJ130" i="36"/>
  <c r="AJ110" i="36"/>
  <c r="AK27" i="36"/>
  <c r="AA233" i="6"/>
  <c r="AB233" i="6" s="1"/>
  <c r="X248" i="8"/>
  <c r="AK144" i="36"/>
  <c r="AJ32" i="36"/>
  <c r="AJ128" i="36"/>
  <c r="AK354" i="36"/>
  <c r="AJ304" i="36"/>
  <c r="AK140" i="36"/>
  <c r="X310" i="9"/>
  <c r="AA289" i="6"/>
  <c r="AB289" i="6" s="1"/>
  <c r="AK290" i="36"/>
  <c r="AJ68" i="36"/>
  <c r="AJ375" i="36"/>
  <c r="AK379" i="36"/>
  <c r="AK226" i="36"/>
  <c r="AJ94" i="36"/>
  <c r="AK388" i="36"/>
  <c r="X156" i="9"/>
  <c r="AJ174" i="36"/>
  <c r="AK98" i="36"/>
  <c r="AJ57" i="36"/>
  <c r="AJ342" i="36"/>
  <c r="AJ190" i="36"/>
  <c r="AK133" i="36"/>
  <c r="AJ64" i="36"/>
  <c r="AK141" i="36"/>
  <c r="X183" i="9"/>
  <c r="X193" i="9"/>
  <c r="AK376" i="36"/>
  <c r="AK258" i="36"/>
  <c r="AJ121" i="36"/>
  <c r="AJ60" i="36"/>
  <c r="AK23" i="36"/>
  <c r="AK211" i="36"/>
  <c r="AK270" i="36"/>
  <c r="AJ153" i="36"/>
  <c r="AJ102" i="36"/>
  <c r="AK48" i="36"/>
  <c r="X265" i="9"/>
  <c r="X105" i="8"/>
  <c r="AK192" i="36"/>
  <c r="AK327" i="36"/>
  <c r="AK274" i="36"/>
  <c r="AK194" i="36"/>
  <c r="AK136" i="36"/>
  <c r="AJ98" i="36"/>
  <c r="AK68" i="36"/>
  <c r="AJ40" i="36"/>
  <c r="AJ267" i="36"/>
  <c r="AK83" i="36"/>
  <c r="AJ323" i="36"/>
  <c r="AJ238" i="36"/>
  <c r="AK178" i="36"/>
  <c r="AK153" i="36"/>
  <c r="AK125" i="36"/>
  <c r="AK94" i="36"/>
  <c r="AK64" i="36"/>
  <c r="AK95" i="36"/>
  <c r="X273" i="8"/>
  <c r="AA209" i="6"/>
  <c r="AB209" i="6" s="1"/>
  <c r="AA135" i="6"/>
  <c r="AB135" i="6" s="1"/>
  <c r="X31" i="9"/>
  <c r="AK234" i="36"/>
  <c r="AJ157" i="36"/>
  <c r="AK121" i="36"/>
  <c r="AJ82" i="36"/>
  <c r="AJ52" i="36"/>
  <c r="AK32" i="36"/>
  <c r="AJ167" i="36"/>
  <c r="AK37" i="36"/>
  <c r="AJ280" i="36"/>
  <c r="AK206" i="36"/>
  <c r="AK162" i="36"/>
  <c r="AJ133" i="36"/>
  <c r="AK110" i="36"/>
  <c r="AK73" i="36"/>
  <c r="AJ48" i="36"/>
  <c r="AJ27" i="36"/>
  <c r="AJ271" i="36"/>
  <c r="AJ358" i="36"/>
  <c r="AA345" i="6"/>
  <c r="AB345" i="6" s="1"/>
  <c r="X241" i="8"/>
  <c r="X173" i="9"/>
  <c r="AA67" i="6"/>
  <c r="AB67" i="6" s="1"/>
  <c r="X269" i="9"/>
  <c r="X365" i="9"/>
  <c r="AJ152" i="36"/>
  <c r="AK282" i="36"/>
  <c r="AK80" i="36"/>
  <c r="AJ334" i="36"/>
  <c r="AK266" i="36"/>
  <c r="AK222" i="36"/>
  <c r="AJ186" i="36"/>
  <c r="AJ312" i="36"/>
  <c r="AK239" i="36"/>
  <c r="AJ145" i="36"/>
  <c r="AK74" i="36"/>
  <c r="AJ14" i="36"/>
  <c r="AK188" i="36"/>
  <c r="AJ331" i="36"/>
  <c r="AK122" i="36"/>
  <c r="AJ393" i="36"/>
  <c r="X299" i="8"/>
  <c r="X326" i="8"/>
  <c r="AA273" i="6"/>
  <c r="AB273" i="6" s="1"/>
  <c r="X233" i="9"/>
  <c r="X201" i="8"/>
  <c r="X165" i="8"/>
  <c r="X120" i="9"/>
  <c r="AK319" i="36"/>
  <c r="AK284" i="36"/>
  <c r="AK242" i="36"/>
  <c r="AJ202" i="36"/>
  <c r="AJ166" i="36"/>
  <c r="AK129" i="36"/>
  <c r="AJ106" i="36"/>
  <c r="AK82" i="36"/>
  <c r="AK60" i="36"/>
  <c r="AK40" i="36"/>
  <c r="AJ183" i="36"/>
  <c r="AK107" i="36"/>
  <c r="AK45" i="36"/>
  <c r="AJ350" i="36"/>
  <c r="AJ315" i="36"/>
  <c r="AJ254" i="36"/>
  <c r="AK198" i="36"/>
  <c r="AJ170" i="36"/>
  <c r="AJ140" i="36"/>
  <c r="AJ125" i="36"/>
  <c r="AK102" i="36"/>
  <c r="AJ73" i="36"/>
  <c r="AJ56" i="36"/>
  <c r="AJ199" i="36"/>
  <c r="AJ61" i="36"/>
  <c r="X69" i="8"/>
  <c r="X283" i="9"/>
  <c r="X257" i="9"/>
  <c r="AA221" i="6"/>
  <c r="AB221" i="6" s="1"/>
  <c r="X185" i="8"/>
  <c r="X143" i="9"/>
  <c r="AA97" i="6"/>
  <c r="AB97" i="6" s="1"/>
  <c r="X22" i="8"/>
  <c r="X72" i="8"/>
  <c r="AK305" i="36"/>
  <c r="AJ72" i="36"/>
  <c r="AK240" i="36"/>
  <c r="AK42" i="36"/>
  <c r="AK346" i="36"/>
  <c r="AJ319" i="36"/>
  <c r="AJ274" i="36"/>
  <c r="AJ258" i="36"/>
  <c r="AJ234" i="36"/>
  <c r="AJ210" i="36"/>
  <c r="AJ194" i="36"/>
  <c r="AK174" i="36"/>
  <c r="AK157" i="36"/>
  <c r="AJ136" i="36"/>
  <c r="AK195" i="36"/>
  <c r="AJ247" i="36"/>
  <c r="AJ203" i="36"/>
  <c r="AJ154" i="36"/>
  <c r="AK117" i="36"/>
  <c r="AJ74" i="36"/>
  <c r="AK57" i="36"/>
  <c r="AK28" i="36"/>
  <c r="AJ131" i="36"/>
  <c r="AK350" i="36"/>
  <c r="AK331" i="36"/>
  <c r="AK315" i="36"/>
  <c r="AJ270" i="36"/>
  <c r="AK254" i="36"/>
  <c r="AK218" i="36"/>
  <c r="AK190" i="36"/>
  <c r="AJ261" i="36"/>
  <c r="AK235" i="36"/>
  <c r="AK79" i="36"/>
  <c r="AJ24" i="36"/>
  <c r="AK358" i="36"/>
  <c r="AA239" i="6"/>
  <c r="AB239" i="6" s="1"/>
  <c r="X375" i="9"/>
  <c r="X318" i="8"/>
  <c r="AA283" i="6"/>
  <c r="AB283" i="6" s="1"/>
  <c r="X265" i="8"/>
  <c r="AA257" i="6"/>
  <c r="AB257" i="6" s="1"/>
  <c r="X209" i="8"/>
  <c r="X193" i="8"/>
  <c r="AA185" i="6"/>
  <c r="AB185" i="6" s="1"/>
  <c r="X165" i="9"/>
  <c r="X135" i="9"/>
  <c r="AA120" i="6"/>
  <c r="AB120" i="6" s="1"/>
  <c r="AA81" i="6"/>
  <c r="AB81" i="6" s="1"/>
  <c r="X39" i="9"/>
  <c r="AA349" i="6"/>
  <c r="AB349" i="6" s="1"/>
  <c r="X189" i="8"/>
  <c r="AJ325" i="36"/>
  <c r="AK134" i="36"/>
  <c r="AK334" i="36"/>
  <c r="AK311" i="36"/>
  <c r="AJ284" i="36"/>
  <c r="AJ266" i="36"/>
  <c r="AJ242" i="36"/>
  <c r="AJ222" i="36"/>
  <c r="AK202" i="36"/>
  <c r="AK186" i="36"/>
  <c r="AK166" i="36"/>
  <c r="AJ144" i="36"/>
  <c r="AJ129" i="36"/>
  <c r="AJ339" i="36"/>
  <c r="AJ281" i="36"/>
  <c r="AK219" i="36"/>
  <c r="AJ175" i="36"/>
  <c r="AK137" i="36"/>
  <c r="AJ99" i="36"/>
  <c r="AK65" i="36"/>
  <c r="AJ37" i="36"/>
  <c r="AK14" i="36"/>
  <c r="AK25" i="36"/>
  <c r="AK342" i="36"/>
  <c r="AK323" i="36"/>
  <c r="AK302" i="36"/>
  <c r="AJ262" i="36"/>
  <c r="AJ226" i="36"/>
  <c r="AJ206" i="36"/>
  <c r="AJ178" i="36"/>
  <c r="AJ162" i="36"/>
  <c r="AK389" i="36"/>
  <c r="AK163" i="36"/>
  <c r="AJ103" i="36"/>
  <c r="AJ49" i="36"/>
  <c r="AK387" i="36"/>
  <c r="X133" i="9"/>
  <c r="X333" i="8"/>
  <c r="X241" i="9"/>
  <c r="X221" i="9"/>
  <c r="X201" i="9"/>
  <c r="AA173" i="6"/>
  <c r="AB173" i="6" s="1"/>
  <c r="AA156" i="6"/>
  <c r="AB156" i="6" s="1"/>
  <c r="X128" i="9"/>
  <c r="X97" i="8"/>
  <c r="X59" i="8"/>
  <c r="AA31" i="6"/>
  <c r="AB31" i="6" s="1"/>
  <c r="X384" i="9"/>
  <c r="AJ105" i="36"/>
  <c r="AJ277" i="36"/>
  <c r="AK256" i="36"/>
  <c r="AK164" i="36"/>
  <c r="AK58" i="36"/>
  <c r="AJ195" i="36"/>
  <c r="AK47" i="36"/>
  <c r="AK332" i="36"/>
  <c r="AJ291" i="36"/>
  <c r="AJ259" i="36"/>
  <c r="AJ231" i="36"/>
  <c r="AK203" i="36"/>
  <c r="AK175" i="36"/>
  <c r="AK154" i="36"/>
  <c r="AJ137" i="36"/>
  <c r="AJ117" i="36"/>
  <c r="AK99" i="36"/>
  <c r="AJ354" i="36"/>
  <c r="AJ208" i="36"/>
  <c r="AJ108" i="36"/>
  <c r="AK363" i="36"/>
  <c r="AK177" i="36"/>
  <c r="AJ215" i="36"/>
  <c r="AK149" i="36"/>
  <c r="AJ122" i="36"/>
  <c r="AK103" i="36"/>
  <c r="AJ69" i="36"/>
  <c r="AJ41" i="36"/>
  <c r="AK24" i="36"/>
  <c r="X324" i="8"/>
  <c r="X211" i="9"/>
  <c r="X99" i="8"/>
  <c r="X345" i="8"/>
  <c r="X326" i="9"/>
  <c r="AA318" i="6"/>
  <c r="AB318" i="6" s="1"/>
  <c r="AA143" i="6"/>
  <c r="AB143" i="6" s="1"/>
  <c r="X128" i="8"/>
  <c r="AA105" i="6"/>
  <c r="AB105" i="6" s="1"/>
  <c r="X81" i="8"/>
  <c r="X59" i="9"/>
  <c r="AA51" i="6"/>
  <c r="AB51" i="6" s="1"/>
  <c r="X314" i="8"/>
  <c r="AA237" i="6"/>
  <c r="AB237" i="6" s="1"/>
  <c r="X387" i="8"/>
  <c r="AK205" i="36"/>
  <c r="AJ309" i="36"/>
  <c r="AJ212" i="36"/>
  <c r="AK114" i="36"/>
  <c r="AK21" i="36"/>
  <c r="AJ346" i="36"/>
  <c r="AJ327" i="36"/>
  <c r="AJ311" i="36"/>
  <c r="AJ290" i="36"/>
  <c r="AK35" i="36"/>
  <c r="AJ275" i="36"/>
  <c r="AJ239" i="36"/>
  <c r="AJ219" i="36"/>
  <c r="AK183" i="36"/>
  <c r="AK167" i="36"/>
  <c r="AK145" i="36"/>
  <c r="AK130" i="36"/>
  <c r="AJ107" i="36"/>
  <c r="AJ83" i="36"/>
  <c r="AJ65" i="36"/>
  <c r="AJ45" i="36"/>
  <c r="AJ28" i="36"/>
  <c r="AJ46" i="36"/>
  <c r="AK280" i="36"/>
  <c r="AK262" i="36"/>
  <c r="AK238" i="36"/>
  <c r="AJ218" i="36"/>
  <c r="AJ198" i="36"/>
  <c r="AJ39" i="36"/>
  <c r="AK251" i="36"/>
  <c r="AJ179" i="36"/>
  <c r="AJ141" i="36"/>
  <c r="AJ113" i="36"/>
  <c r="AJ79" i="36"/>
  <c r="AK61" i="36"/>
  <c r="AJ33" i="36"/>
  <c r="AJ387" i="36"/>
  <c r="X255" i="8"/>
  <c r="X163" i="9"/>
  <c r="X29" i="8"/>
  <c r="X333" i="9"/>
  <c r="AA310" i="6"/>
  <c r="AB310" i="6" s="1"/>
  <c r="X289" i="9"/>
  <c r="X67" i="9"/>
  <c r="AA39" i="6"/>
  <c r="AB39" i="6" s="1"/>
  <c r="X22" i="9"/>
  <c r="AA139" i="6"/>
  <c r="AB139" i="6" s="1"/>
  <c r="AA384" i="6"/>
  <c r="AB384" i="6" s="1"/>
  <c r="AJ345" i="36"/>
  <c r="AJ253" i="36"/>
  <c r="AK132" i="36"/>
  <c r="AJ51" i="36"/>
  <c r="AJ368" i="36"/>
  <c r="AJ317" i="36"/>
  <c r="AK264" i="36"/>
  <c r="AK228" i="36"/>
  <c r="AJ176" i="36"/>
  <c r="AJ123" i="36"/>
  <c r="AK70" i="36"/>
  <c r="AK30" i="36"/>
  <c r="AJ332" i="36"/>
  <c r="AK312" i="36"/>
  <c r="AK291" i="36"/>
  <c r="AK275" i="36"/>
  <c r="AK259" i="36"/>
  <c r="AJ313" i="36"/>
  <c r="AJ244" i="36"/>
  <c r="AJ151" i="36"/>
  <c r="AJ85" i="36"/>
  <c r="AK241" i="36"/>
  <c r="AK81" i="36"/>
  <c r="AJ335" i="36"/>
  <c r="AK263" i="36"/>
  <c r="AK227" i="36"/>
  <c r="AJ187" i="36"/>
  <c r="AJ163" i="36"/>
  <c r="AA281" i="6"/>
  <c r="AB281" i="6" s="1"/>
  <c r="X219" i="9"/>
  <c r="X175" i="9"/>
  <c r="AA122" i="6"/>
  <c r="AB122" i="6" s="1"/>
  <c r="X49" i="8"/>
  <c r="AA354" i="6"/>
  <c r="AB354" i="6" s="1"/>
  <c r="X330" i="9"/>
  <c r="X279" i="9"/>
  <c r="AA217" i="6"/>
  <c r="AB217" i="6" s="1"/>
  <c r="X109" i="9"/>
  <c r="AK185" i="36"/>
  <c r="AJ97" i="36"/>
  <c r="AJ320" i="36"/>
  <c r="AJ348" i="36"/>
  <c r="AJ300" i="36"/>
  <c r="AK248" i="36"/>
  <c r="AK200" i="36"/>
  <c r="AJ155" i="36"/>
  <c r="AJ92" i="36"/>
  <c r="AK50" i="36"/>
  <c r="AK394" i="36"/>
  <c r="AK257" i="36"/>
  <c r="AJ379" i="36"/>
  <c r="AK77" i="36"/>
  <c r="AJ351" i="36"/>
  <c r="AJ324" i="36"/>
  <c r="AK281" i="36"/>
  <c r="AK267" i="36"/>
  <c r="AK247" i="36"/>
  <c r="AK231" i="36"/>
  <c r="AJ211" i="36"/>
  <c r="AK286" i="36"/>
  <c r="AK224" i="36"/>
  <c r="AJ168" i="36"/>
  <c r="AK62" i="36"/>
  <c r="AK384" i="36"/>
  <c r="AK143" i="36"/>
  <c r="AK307" i="36"/>
  <c r="AK243" i="36"/>
  <c r="AJ207" i="36"/>
  <c r="AJ171" i="36"/>
  <c r="AJ149" i="36"/>
  <c r="AK113" i="36"/>
  <c r="AJ95" i="36"/>
  <c r="AK69" i="36"/>
  <c r="AK49" i="36"/>
  <c r="AK33" i="36"/>
  <c r="AK393" i="36"/>
  <c r="AA316" i="6"/>
  <c r="AB316" i="6" s="1"/>
  <c r="X247" i="8"/>
  <c r="AA199" i="6"/>
  <c r="AB199" i="6" s="1"/>
  <c r="X145" i="9"/>
  <c r="AA91" i="6"/>
  <c r="AB91" i="6" s="1"/>
  <c r="AA20" i="6"/>
  <c r="AB20" i="6" s="1"/>
  <c r="X253" i="8"/>
  <c r="X161" i="8"/>
  <c r="AA47" i="6"/>
  <c r="AB47" i="6" s="1"/>
  <c r="AA389" i="6"/>
  <c r="AB389" i="6" s="1"/>
  <c r="AJ322" i="36"/>
  <c r="AK273" i="36"/>
  <c r="AJ185" i="36"/>
  <c r="AK152" i="36"/>
  <c r="AK105" i="36"/>
  <c r="AK72" i="36"/>
  <c r="AK320" i="36"/>
  <c r="AK277" i="36"/>
  <c r="AK309" i="36"/>
  <c r="AJ264" i="36"/>
  <c r="AJ228" i="36"/>
  <c r="AK184" i="36"/>
  <c r="AK155" i="36"/>
  <c r="AJ100" i="36"/>
  <c r="AJ70" i="36"/>
  <c r="AJ50" i="36"/>
  <c r="AJ30" i="36"/>
  <c r="AJ394" i="36"/>
  <c r="AK67" i="36"/>
  <c r="AK165" i="36"/>
  <c r="AK55" i="36"/>
  <c r="AK339" i="36"/>
  <c r="AK324" i="36"/>
  <c r="AK313" i="36"/>
  <c r="AJ188" i="36"/>
  <c r="AK168" i="36"/>
  <c r="AK108" i="36"/>
  <c r="AK85" i="36"/>
  <c r="AJ25" i="36"/>
  <c r="AJ363" i="36"/>
  <c r="AJ337" i="36"/>
  <c r="AJ241" i="36"/>
  <c r="AJ81" i="36"/>
  <c r="AK39" i="36"/>
  <c r="AJ307" i="36"/>
  <c r="AK271" i="36"/>
  <c r="AJ243" i="36"/>
  <c r="AJ227" i="36"/>
  <c r="AK207" i="36"/>
  <c r="AK187" i="36"/>
  <c r="AK171" i="36"/>
  <c r="X239" i="8"/>
  <c r="AA219" i="6"/>
  <c r="AB219" i="6" s="1"/>
  <c r="X191" i="9"/>
  <c r="AA145" i="6"/>
  <c r="AB145" i="6" s="1"/>
  <c r="X113" i="8"/>
  <c r="AA79" i="6"/>
  <c r="AB79" i="6" s="1"/>
  <c r="X41" i="9"/>
  <c r="X341" i="8"/>
  <c r="X301" i="8"/>
  <c r="AA279" i="6"/>
  <c r="AB279" i="6" s="1"/>
  <c r="X237" i="8"/>
  <c r="X197" i="9"/>
  <c r="X152" i="8"/>
  <c r="AA101" i="6"/>
  <c r="AB101" i="6" s="1"/>
  <c r="X18" i="9"/>
  <c r="AJ225" i="36"/>
  <c r="AJ169" i="36"/>
  <c r="AJ132" i="36"/>
  <c r="AK97" i="36"/>
  <c r="AK51" i="36"/>
  <c r="AK343" i="36"/>
  <c r="AK340" i="36"/>
  <c r="AK317" i="36"/>
  <c r="AK300" i="36"/>
  <c r="AJ256" i="36"/>
  <c r="AJ240" i="36"/>
  <c r="AJ58" i="36"/>
  <c r="AJ42" i="36"/>
  <c r="AJ21" i="36"/>
  <c r="AK355" i="36"/>
  <c r="AK395" i="36"/>
  <c r="AK109" i="36"/>
  <c r="AK351" i="36"/>
  <c r="AJ286" i="36"/>
  <c r="AJ252" i="36"/>
  <c r="AJ224" i="36"/>
  <c r="AK208" i="36"/>
  <c r="AK151" i="36"/>
  <c r="AK131" i="36"/>
  <c r="AJ62" i="36"/>
  <c r="AK46" i="36"/>
  <c r="AJ384" i="36"/>
  <c r="AJ297" i="36"/>
  <c r="AJ197" i="36"/>
  <c r="AJ143" i="36"/>
  <c r="AJ389" i="36"/>
  <c r="AK335" i="36"/>
  <c r="AJ251" i="36"/>
  <c r="AJ235" i="36"/>
  <c r="AK215" i="36"/>
  <c r="AK199" i="36"/>
  <c r="AK179" i="36"/>
  <c r="X316" i="8"/>
  <c r="AA299" i="6"/>
  <c r="AB299" i="6" s="1"/>
  <c r="AA255" i="6"/>
  <c r="AB255" i="6" s="1"/>
  <c r="X57" i="8"/>
  <c r="X20" i="9"/>
  <c r="X349" i="8"/>
  <c r="X322" i="8"/>
  <c r="X261" i="9"/>
  <c r="AA225" i="6"/>
  <c r="AB225" i="6" s="1"/>
  <c r="AA177" i="6"/>
  <c r="AB177" i="6" s="1"/>
  <c r="X124" i="8"/>
  <c r="X55" i="9"/>
  <c r="X382" i="8"/>
  <c r="X335" i="8"/>
  <c r="X313" i="8"/>
  <c r="AJ314" i="36"/>
  <c r="AA278" i="6"/>
  <c r="AB278" i="6" s="1"/>
  <c r="AK279" i="36"/>
  <c r="AA160" i="6"/>
  <c r="AB160" i="6" s="1"/>
  <c r="AK161" i="36"/>
  <c r="AA119" i="6"/>
  <c r="AB119" i="6" s="1"/>
  <c r="AK120" i="36"/>
  <c r="X58" i="9"/>
  <c r="AJ59" i="36"/>
  <c r="X15" i="8"/>
  <c r="AJ16" i="36"/>
  <c r="X367" i="9"/>
  <c r="X367" i="8"/>
  <c r="AA351" i="6"/>
  <c r="AB351" i="6" s="1"/>
  <c r="AD351" i="6" s="1"/>
  <c r="AJ352" i="36"/>
  <c r="X343" i="8"/>
  <c r="AJ344" i="36"/>
  <c r="AA324" i="6"/>
  <c r="AB324" i="6" s="1"/>
  <c r="X324" i="9"/>
  <c r="X308" i="9"/>
  <c r="AA308" i="6"/>
  <c r="AB308" i="6" s="1"/>
  <c r="X277" i="8"/>
  <c r="AJ278" i="36"/>
  <c r="X263" i="9"/>
  <c r="AA263" i="6"/>
  <c r="AB263" i="6" s="1"/>
  <c r="AA247" i="6"/>
  <c r="AB247" i="6" s="1"/>
  <c r="X247" i="9"/>
  <c r="X227" i="9"/>
  <c r="X227" i="8"/>
  <c r="X219" i="8"/>
  <c r="AJ220" i="36"/>
  <c r="AA211" i="6"/>
  <c r="AB211" i="6" s="1"/>
  <c r="X211" i="8"/>
  <c r="X199" i="8"/>
  <c r="AJ200" i="36"/>
  <c r="X191" i="8"/>
  <c r="AA191" i="6"/>
  <c r="AB191" i="6" s="1"/>
  <c r="X183" i="8"/>
  <c r="AJ184" i="36"/>
  <c r="AA175" i="6"/>
  <c r="AB175" i="6" s="1"/>
  <c r="X175" i="8"/>
  <c r="AA163" i="6"/>
  <c r="AB163" i="6" s="1"/>
  <c r="AJ164" i="36"/>
  <c r="X154" i="8"/>
  <c r="AA154" i="6"/>
  <c r="AB154" i="6" s="1"/>
  <c r="X145" i="8"/>
  <c r="AJ146" i="36"/>
  <c r="AA133" i="6"/>
  <c r="AB133" i="6" s="1"/>
  <c r="X133" i="8"/>
  <c r="X122" i="8"/>
  <c r="AK123" i="36"/>
  <c r="X113" i="9"/>
  <c r="AA113" i="6"/>
  <c r="AB113" i="6" s="1"/>
  <c r="X99" i="9"/>
  <c r="AK100" i="36"/>
  <c r="X91" i="9"/>
  <c r="X91" i="8"/>
  <c r="X212" i="8"/>
  <c r="AK213" i="36"/>
  <c r="AJ305" i="36"/>
  <c r="AJ273" i="36"/>
  <c r="AK225" i="36"/>
  <c r="AJ340" i="36"/>
  <c r="AJ156" i="36"/>
  <c r="AK101" i="36"/>
  <c r="AJ272" i="36"/>
  <c r="AJ357" i="36"/>
  <c r="AJ279" i="36"/>
  <c r="AK197" i="36"/>
  <c r="X339" i="8"/>
  <c r="X146" i="9"/>
  <c r="AK147" i="36"/>
  <c r="X134" i="8"/>
  <c r="AJ135" i="36"/>
  <c r="X85" i="8"/>
  <c r="AK86" i="36"/>
  <c r="X21" i="9"/>
  <c r="AK22" i="36"/>
  <c r="X376" i="8"/>
  <c r="AK377" i="36"/>
  <c r="AA363" i="6"/>
  <c r="AB363" i="6" s="1"/>
  <c r="AK364" i="36"/>
  <c r="AK348" i="36"/>
  <c r="AA347" i="6"/>
  <c r="AB347" i="6" s="1"/>
  <c r="X347" i="8"/>
  <c r="X320" i="9"/>
  <c r="AJ321" i="36"/>
  <c r="X291" i="8"/>
  <c r="AJ292" i="36"/>
  <c r="X281" i="8"/>
  <c r="X281" i="9"/>
  <c r="X259" i="9"/>
  <c r="AK260" i="36"/>
  <c r="X243" i="9"/>
  <c r="X243" i="8"/>
  <c r="X231" i="9"/>
  <c r="AJ232" i="36"/>
  <c r="AA215" i="6"/>
  <c r="AB215" i="6" s="1"/>
  <c r="AJ216" i="36"/>
  <c r="X195" i="8"/>
  <c r="AJ196" i="36"/>
  <c r="AA179" i="6"/>
  <c r="AB179" i="6" s="1"/>
  <c r="AJ180" i="36"/>
  <c r="X159" i="8"/>
  <c r="AJ160" i="36"/>
  <c r="AA141" i="6"/>
  <c r="AB141" i="6" s="1"/>
  <c r="AK142" i="36"/>
  <c r="X117" i="8"/>
  <c r="AK118" i="36"/>
  <c r="AA95" i="6"/>
  <c r="AB95" i="6" s="1"/>
  <c r="AK96" i="36"/>
  <c r="X75" i="8"/>
  <c r="AJ76" i="36"/>
  <c r="AA53" i="6"/>
  <c r="AB53" i="6" s="1"/>
  <c r="AJ54" i="36"/>
  <c r="X37" i="9"/>
  <c r="AJ38" i="36"/>
  <c r="X393" i="9"/>
  <c r="X393" i="8"/>
  <c r="AA375" i="6"/>
  <c r="AB375" i="6" s="1"/>
  <c r="X375" i="8"/>
  <c r="X354" i="9"/>
  <c r="AJ355" i="36"/>
  <c r="X327" i="8"/>
  <c r="AJ328" i="36"/>
  <c r="X288" i="9"/>
  <c r="AJ289" i="36"/>
  <c r="X325" i="9"/>
  <c r="AK326" i="36"/>
  <c r="AJ80" i="36"/>
  <c r="AJ263" i="36"/>
  <c r="X69" i="9"/>
  <c r="AA57" i="6"/>
  <c r="AB57" i="6" s="1"/>
  <c r="AA41" i="6"/>
  <c r="AB41" i="6" s="1"/>
  <c r="X341" i="9"/>
  <c r="AA330" i="6"/>
  <c r="AB330" i="6" s="1"/>
  <c r="AA314" i="6"/>
  <c r="AB314" i="6" s="1"/>
  <c r="X269" i="8"/>
  <c r="AA261" i="6"/>
  <c r="AB261" i="6" s="1"/>
  <c r="X217" i="9"/>
  <c r="AA197" i="6"/>
  <c r="AB197" i="6" s="1"/>
  <c r="X169" i="8"/>
  <c r="X139" i="8"/>
  <c r="AA124" i="6"/>
  <c r="AB124" i="6" s="1"/>
  <c r="X93" i="9"/>
  <c r="X47" i="9"/>
  <c r="AA18" i="6"/>
  <c r="AB18" i="6" s="1"/>
  <c r="X360" i="9"/>
  <c r="Y360" i="9" s="1"/>
  <c r="X335" i="9"/>
  <c r="X79" i="8"/>
  <c r="AA49" i="6"/>
  <c r="AB49" i="6" s="1"/>
  <c r="X29" i="9"/>
  <c r="AA322" i="6"/>
  <c r="AB322" i="6" s="1"/>
  <c r="X301" i="9"/>
  <c r="X253" i="9"/>
  <c r="X225" i="9"/>
  <c r="Y225" i="9" s="1"/>
  <c r="X205" i="8"/>
  <c r="X177" i="8"/>
  <c r="AA161" i="6"/>
  <c r="AB161" i="6" s="1"/>
  <c r="X132" i="8"/>
  <c r="Y132" i="8" s="1"/>
  <c r="X101" i="9"/>
  <c r="AA72" i="6"/>
  <c r="AB72" i="6" s="1"/>
  <c r="X35" i="9"/>
  <c r="X382" i="9"/>
  <c r="Y382" i="9" s="1"/>
  <c r="AJ391" i="36"/>
  <c r="AK322" i="36"/>
  <c r="AK253" i="36"/>
  <c r="AJ205" i="36"/>
  <c r="AK169" i="36"/>
  <c r="AK135" i="36"/>
  <c r="AJ35" i="36"/>
  <c r="AJ377" i="36"/>
  <c r="AK217" i="36"/>
  <c r="AK128" i="36"/>
  <c r="AJ101" i="36"/>
  <c r="AJ77" i="36"/>
  <c r="AJ47" i="36"/>
  <c r="AK321" i="36"/>
  <c r="AK304" i="36"/>
  <c r="AK272" i="36"/>
  <c r="AK252" i="36"/>
  <c r="AK337" i="36"/>
  <c r="AK297" i="36"/>
  <c r="AK261" i="36"/>
  <c r="AJ213" i="36"/>
  <c r="AJ177" i="36"/>
  <c r="X339" i="9"/>
  <c r="X37" i="8"/>
  <c r="Y37" i="8" s="1"/>
  <c r="AA205" i="6"/>
  <c r="AB205" i="6" s="1"/>
  <c r="X189" i="9"/>
  <c r="AA169" i="6"/>
  <c r="AB169" i="6" s="1"/>
  <c r="X152" i="9"/>
  <c r="Y152" i="9" s="1"/>
  <c r="AA132" i="6"/>
  <c r="AB132" i="6" s="1"/>
  <c r="X109" i="8"/>
  <c r="AA93" i="6"/>
  <c r="AB93" i="6" s="1"/>
  <c r="X55" i="8"/>
  <c r="Z55" i="8" s="1"/>
  <c r="AA35" i="6"/>
  <c r="AB35" i="6" s="1"/>
  <c r="X387" i="9"/>
  <c r="AA360" i="6"/>
  <c r="AB360" i="6" s="1"/>
  <c r="X389" i="8"/>
  <c r="Y389" i="8" s="1"/>
  <c r="AK345" i="36"/>
  <c r="AK173" i="36"/>
  <c r="AJ67" i="36"/>
  <c r="AJ395" i="36"/>
  <c r="AJ165" i="36"/>
  <c r="AJ109" i="36"/>
  <c r="AJ86" i="36"/>
  <c r="AJ55" i="36"/>
  <c r="AJ22" i="36"/>
  <c r="AK357" i="36"/>
  <c r="AJ209" i="36"/>
  <c r="AK276" i="36"/>
  <c r="AK391" i="36"/>
  <c r="AJ173" i="36"/>
  <c r="AK181" i="36"/>
  <c r="AA150" i="6"/>
  <c r="AB150" i="6" s="1"/>
  <c r="AJ257" i="36"/>
  <c r="AK189" i="36"/>
  <c r="AK156" i="36"/>
  <c r="AK310" i="36"/>
  <c r="AJ217" i="36"/>
  <c r="AJ181" i="36"/>
  <c r="AJ147" i="36"/>
  <c r="X291" i="9"/>
  <c r="Y291" i="9" s="1"/>
  <c r="X84" i="8"/>
  <c r="AA85" i="6"/>
  <c r="AB85" i="6" s="1"/>
  <c r="X36" i="8"/>
  <c r="AK209" i="36"/>
  <c r="AK386" i="36"/>
  <c r="AJ201" i="36"/>
  <c r="X195" i="9"/>
  <c r="Z195" i="9" s="1"/>
  <c r="AJ233" i="36"/>
  <c r="AJ189" i="36"/>
  <c r="AK392" i="36"/>
  <c r="AK349" i="36"/>
  <c r="AK245" i="36"/>
  <c r="AK201" i="36"/>
  <c r="X271" i="9"/>
  <c r="Z271" i="9" s="1"/>
  <c r="X167" i="9"/>
  <c r="AA61" i="6"/>
  <c r="AB61" i="6" s="1"/>
  <c r="AA216" i="6"/>
  <c r="AB216" i="6" s="1"/>
  <c r="AA336" i="6"/>
  <c r="AB336" i="6" s="1"/>
  <c r="AK318" i="36"/>
  <c r="AK283" i="36"/>
  <c r="X343" i="9"/>
  <c r="X223" i="9"/>
  <c r="Z223" i="9" s="1"/>
  <c r="X117" i="9"/>
  <c r="Y117" i="9" s="1"/>
  <c r="X338" i="9"/>
  <c r="Z338" i="9" s="1"/>
  <c r="X246" i="8"/>
  <c r="AJ301" i="36"/>
  <c r="AK341" i="36"/>
  <c r="AK265" i="36"/>
  <c r="AA320" i="6"/>
  <c r="AB320" i="6" s="1"/>
  <c r="AA259" i="6"/>
  <c r="AB259" i="6" s="1"/>
  <c r="X207" i="8"/>
  <c r="X159" i="9"/>
  <c r="Y159" i="9" s="1"/>
  <c r="AA107" i="6"/>
  <c r="AB107" i="6" s="1"/>
  <c r="X45" i="8"/>
  <c r="Y45" i="8" s="1"/>
  <c r="X164" i="8"/>
  <c r="AA153" i="6"/>
  <c r="AB153" i="6" s="1"/>
  <c r="X58" i="8"/>
  <c r="AA285" i="6"/>
  <c r="AB285" i="6" s="1"/>
  <c r="X231" i="8"/>
  <c r="Z231" i="8" s="1"/>
  <c r="AA187" i="6"/>
  <c r="AB187" i="6" s="1"/>
  <c r="X130" i="8"/>
  <c r="X75" i="9"/>
  <c r="Z75" i="9" s="1"/>
  <c r="AA24" i="6"/>
  <c r="AB24" i="6" s="1"/>
  <c r="X309" i="8"/>
  <c r="Y309" i="8" s="1"/>
  <c r="X275" i="9"/>
  <c r="X394" i="8"/>
  <c r="Z394" i="8" s="1"/>
  <c r="AA378" i="6"/>
  <c r="AB378" i="6" s="1"/>
  <c r="AA385" i="6"/>
  <c r="AB385" i="6" s="1"/>
  <c r="AK301" i="36"/>
  <c r="AK233" i="36"/>
  <c r="AJ392" i="36"/>
  <c r="AJ386" i="36"/>
  <c r="AJ341" i="36"/>
  <c r="AJ318" i="36"/>
  <c r="AJ276" i="36"/>
  <c r="AJ245" i="36"/>
  <c r="X320" i="8"/>
  <c r="AA291" i="6"/>
  <c r="AB291" i="6" s="1"/>
  <c r="X259" i="8"/>
  <c r="Z259" i="8" s="1"/>
  <c r="AA243" i="6"/>
  <c r="AB243" i="6" s="1"/>
  <c r="X215" i="8"/>
  <c r="X187" i="9"/>
  <c r="Y187" i="9" s="1"/>
  <c r="AA167" i="6"/>
  <c r="AB167" i="6" s="1"/>
  <c r="X141" i="8"/>
  <c r="Y141" i="8" s="1"/>
  <c r="X107" i="9"/>
  <c r="AA84" i="6"/>
  <c r="AB84" i="6" s="1"/>
  <c r="X53" i="8"/>
  <c r="Y53" i="8" s="1"/>
  <c r="X24" i="9"/>
  <c r="Y24" i="9" s="1"/>
  <c r="AA340" i="6"/>
  <c r="AB340" i="6" s="1"/>
  <c r="X188" i="9"/>
  <c r="Y188" i="9" s="1"/>
  <c r="X46" i="9"/>
  <c r="Y46" i="9" s="1"/>
  <c r="X202" i="8"/>
  <c r="Y202" i="8" s="1"/>
  <c r="AA13" i="6"/>
  <c r="AB13" i="6" s="1"/>
  <c r="AA176" i="6"/>
  <c r="AB176" i="6" s="1"/>
  <c r="AA342" i="6"/>
  <c r="AB342" i="6" s="1"/>
  <c r="AA121" i="6"/>
  <c r="AB121" i="6" s="1"/>
  <c r="AJ349" i="36"/>
  <c r="AJ326" i="36"/>
  <c r="AJ310" i="36"/>
  <c r="AJ283" i="36"/>
  <c r="AJ265" i="36"/>
  <c r="X312" i="9"/>
  <c r="Z312" i="9" s="1"/>
  <c r="AA277" i="6"/>
  <c r="AB277" i="6" s="1"/>
  <c r="X251" i="9"/>
  <c r="Z251" i="9" s="1"/>
  <c r="X223" i="8"/>
  <c r="AA207" i="6"/>
  <c r="AB207" i="6" s="1"/>
  <c r="X179" i="8"/>
  <c r="Y179" i="8" s="1"/>
  <c r="X150" i="9"/>
  <c r="Y150" i="9" s="1"/>
  <c r="AA130" i="6"/>
  <c r="AB130" i="6" s="1"/>
  <c r="X95" i="9"/>
  <c r="Y95" i="9" s="1"/>
  <c r="X61" i="8"/>
  <c r="Y61" i="8" s="1"/>
  <c r="AA45" i="6"/>
  <c r="AB45" i="6" s="1"/>
  <c r="AA362" i="6"/>
  <c r="AB362" i="6" s="1"/>
  <c r="X391" i="8"/>
  <c r="Z391" i="8" s="1"/>
  <c r="X244" i="9"/>
  <c r="Y244" i="9" s="1"/>
  <c r="X127" i="8"/>
  <c r="Z127" i="8" s="1"/>
  <c r="X376" i="9"/>
  <c r="X98" i="9"/>
  <c r="Z98" i="9" s="1"/>
  <c r="AA353" i="6"/>
  <c r="AB353" i="6" s="1"/>
  <c r="X388" i="9"/>
  <c r="Z388" i="9" s="1"/>
  <c r="AA343" i="6"/>
  <c r="AB343" i="6" s="1"/>
  <c r="X312" i="8"/>
  <c r="Y312" i="8" s="1"/>
  <c r="X277" i="9"/>
  <c r="Z277" i="9" s="1"/>
  <c r="AA271" i="6"/>
  <c r="AB271" i="6" s="1"/>
  <c r="X251" i="8"/>
  <c r="AA231" i="6"/>
  <c r="AB231" i="6" s="1"/>
  <c r="X215" i="9"/>
  <c r="Y215" i="9" s="1"/>
  <c r="AA195" i="6"/>
  <c r="AB195" i="6" s="1"/>
  <c r="X179" i="9"/>
  <c r="AA159" i="6"/>
  <c r="AB159" i="6" s="1"/>
  <c r="X141" i="9"/>
  <c r="Z141" i="9" s="1"/>
  <c r="AA117" i="6"/>
  <c r="AB117" i="6" s="1"/>
  <c r="X95" i="8"/>
  <c r="AA75" i="6"/>
  <c r="AB75" i="6" s="1"/>
  <c r="X53" i="9"/>
  <c r="Z53" i="9" s="1"/>
  <c r="AA37" i="6"/>
  <c r="AB37" i="6" s="1"/>
  <c r="X362" i="8"/>
  <c r="X340" i="9"/>
  <c r="Y340" i="9" s="1"/>
  <c r="AA300" i="6"/>
  <c r="AB300" i="6" s="1"/>
  <c r="X282" i="8"/>
  <c r="Z282" i="8" s="1"/>
  <c r="X232" i="8"/>
  <c r="AA180" i="6"/>
  <c r="AB180" i="6" s="1"/>
  <c r="AA108" i="6"/>
  <c r="AB108" i="6" s="1"/>
  <c r="X21" i="8"/>
  <c r="Z21" i="8" s="1"/>
  <c r="X363" i="9"/>
  <c r="AA230" i="6"/>
  <c r="AB230" i="6" s="1"/>
  <c r="X129" i="9"/>
  <c r="Y129" i="9" s="1"/>
  <c r="X13" i="9"/>
  <c r="Y13" i="9" s="1"/>
  <c r="X353" i="9"/>
  <c r="X278" i="9"/>
  <c r="Y278" i="9" s="1"/>
  <c r="AA58" i="6"/>
  <c r="AB58" i="6" s="1"/>
  <c r="X351" i="8"/>
  <c r="Z351" i="8" s="1"/>
  <c r="M351" i="8" s="1"/>
  <c r="X392" i="9"/>
  <c r="X285" i="9"/>
  <c r="Y285" i="9" s="1"/>
  <c r="X385" i="9"/>
  <c r="Z385" i="9" s="1"/>
  <c r="X317" i="9"/>
  <c r="Z317" i="9" s="1"/>
  <c r="AA264" i="6"/>
  <c r="AB264" i="6" s="1"/>
  <c r="X200" i="9"/>
  <c r="Z200" i="9" s="1"/>
  <c r="X146" i="8"/>
  <c r="Y146" i="8" s="1"/>
  <c r="X66" i="8"/>
  <c r="Z66" i="8" s="1"/>
  <c r="AA394" i="6"/>
  <c r="AB394" i="6" s="1"/>
  <c r="X331" i="8"/>
  <c r="Y331" i="8" s="1"/>
  <c r="X274" i="8"/>
  <c r="Z274" i="8" s="1"/>
  <c r="X174" i="9"/>
  <c r="Z174" i="9" s="1"/>
  <c r="AA64" i="6"/>
  <c r="AB64" i="6" s="1"/>
  <c r="X378" i="8"/>
  <c r="X336" i="9"/>
  <c r="X119" i="9"/>
  <c r="Z119" i="9" s="1"/>
  <c r="AA388" i="6"/>
  <c r="AB388" i="6" s="1"/>
  <c r="AA327" i="6"/>
  <c r="AB327" i="6" s="1"/>
  <c r="X242" i="9"/>
  <c r="Y242" i="9" s="1"/>
  <c r="AA391" i="6"/>
  <c r="AB391" i="6" s="1"/>
  <c r="X348" i="8"/>
  <c r="X325" i="8"/>
  <c r="Z325" i="8" s="1"/>
  <c r="X300" i="9"/>
  <c r="Y300" i="9" s="1"/>
  <c r="X264" i="8"/>
  <c r="Z264" i="8" s="1"/>
  <c r="AA244" i="6"/>
  <c r="AB244" i="6" s="1"/>
  <c r="X208" i="9"/>
  <c r="Y208" i="9" s="1"/>
  <c r="X180" i="9"/>
  <c r="Z180" i="9" s="1"/>
  <c r="X155" i="8"/>
  <c r="Y155" i="8" s="1"/>
  <c r="X108" i="8"/>
  <c r="X76" i="8"/>
  <c r="Z76" i="8" s="1"/>
  <c r="X34" i="8"/>
  <c r="Y34" i="8" s="1"/>
  <c r="AA376" i="6"/>
  <c r="AB376" i="6" s="1"/>
  <c r="AA338" i="6"/>
  <c r="AB338" i="6" s="1"/>
  <c r="AA266" i="6"/>
  <c r="AB266" i="6" s="1"/>
  <c r="X210" i="8"/>
  <c r="Y210" i="8" s="1"/>
  <c r="X166" i="9"/>
  <c r="Y166" i="9" s="1"/>
  <c r="AA116" i="6"/>
  <c r="AB116" i="6" s="1"/>
  <c r="X44" i="8"/>
  <c r="Y44" i="8" s="1"/>
  <c r="X356" i="8"/>
  <c r="Z356" i="8" s="1"/>
  <c r="X313" i="9"/>
  <c r="Z313" i="9" s="1"/>
  <c r="X151" i="8"/>
  <c r="Y151" i="8" s="1"/>
  <c r="AA367" i="6"/>
  <c r="AB367" i="6" s="1"/>
  <c r="X327" i="9"/>
  <c r="Y327" i="9" s="1"/>
  <c r="X170" i="9"/>
  <c r="Y170" i="9" s="1"/>
  <c r="AA386" i="6"/>
  <c r="AB386" i="6" s="1"/>
  <c r="AA317" i="6"/>
  <c r="AB317" i="6" s="1"/>
  <c r="X282" i="9"/>
  <c r="Y282" i="9" s="1"/>
  <c r="X256" i="8"/>
  <c r="Y256" i="8" s="1"/>
  <c r="X216" i="8"/>
  <c r="Y216" i="8" s="1"/>
  <c r="AA200" i="6"/>
  <c r="AB200" i="6" s="1"/>
  <c r="AA172" i="6"/>
  <c r="AB172" i="6" s="1"/>
  <c r="X134" i="9"/>
  <c r="Z134" i="9" s="1"/>
  <c r="AA100" i="6"/>
  <c r="AB100" i="6" s="1"/>
  <c r="X54" i="9"/>
  <c r="Z54" i="9" s="1"/>
  <c r="AA21" i="6"/>
  <c r="AB21" i="6" s="1"/>
  <c r="AA323" i="6"/>
  <c r="AB323" i="6" s="1"/>
  <c r="X280" i="8"/>
  <c r="Z280" i="8" s="1"/>
  <c r="X238" i="8"/>
  <c r="Z238" i="8" s="1"/>
  <c r="AA194" i="6"/>
  <c r="AB194" i="6" s="1"/>
  <c r="X136" i="9"/>
  <c r="Z136" i="9" s="1"/>
  <c r="X82" i="8"/>
  <c r="Z82" i="8" s="1"/>
  <c r="AA27" i="6"/>
  <c r="AB27" i="6" s="1"/>
  <c r="X224" i="9"/>
  <c r="Z224" i="9" s="1"/>
  <c r="AA96" i="6"/>
  <c r="AB96" i="6" s="1"/>
  <c r="X342" i="8"/>
  <c r="Z342" i="8" s="1"/>
  <c r="AA306" i="6"/>
  <c r="AB306" i="6" s="1"/>
  <c r="X288" i="8"/>
  <c r="Z288" i="8" s="1"/>
  <c r="X60" i="9"/>
  <c r="Z60" i="9" s="1"/>
  <c r="X348" i="9"/>
  <c r="Z348" i="9" s="1"/>
  <c r="AA325" i="6"/>
  <c r="AB325" i="6" s="1"/>
  <c r="X309" i="9"/>
  <c r="Z309" i="9" s="1"/>
  <c r="X275" i="8"/>
  <c r="Z275" i="8" s="1"/>
  <c r="AA256" i="6"/>
  <c r="AB256" i="6" s="1"/>
  <c r="X232" i="9"/>
  <c r="Z232" i="9" s="1"/>
  <c r="AA208" i="6"/>
  <c r="AB208" i="6" s="1"/>
  <c r="X188" i="8"/>
  <c r="Z188" i="8" s="1"/>
  <c r="X164" i="9"/>
  <c r="Z164" i="9" s="1"/>
  <c r="AA155" i="6"/>
  <c r="AB155" i="6" s="1"/>
  <c r="AA134" i="6"/>
  <c r="AB134" i="6" s="1"/>
  <c r="X85" i="9"/>
  <c r="Y85" i="9" s="1"/>
  <c r="X66" i="9"/>
  <c r="Y66" i="9" s="1"/>
  <c r="AA54" i="6"/>
  <c r="AB54" i="6" s="1"/>
  <c r="X34" i="9"/>
  <c r="Y34" i="9" s="1"/>
  <c r="X323" i="8"/>
  <c r="Y323" i="8" s="1"/>
  <c r="AA280" i="6"/>
  <c r="AB280" i="6" s="1"/>
  <c r="X258" i="9"/>
  <c r="Z258" i="9" s="1"/>
  <c r="X230" i="8"/>
  <c r="Z230" i="8" s="1"/>
  <c r="AA210" i="6"/>
  <c r="AB210" i="6" s="1"/>
  <c r="X182" i="9"/>
  <c r="Y182" i="9" s="1"/>
  <c r="X153" i="9"/>
  <c r="Z153" i="9" s="1"/>
  <c r="AA136" i="6"/>
  <c r="AB136" i="6" s="1"/>
  <c r="X106" i="8"/>
  <c r="Y106" i="8" s="1"/>
  <c r="X64" i="9"/>
  <c r="Z64" i="9" s="1"/>
  <c r="AA44" i="6"/>
  <c r="AB44" i="6" s="1"/>
  <c r="X344" i="8"/>
  <c r="Y344" i="8" s="1"/>
  <c r="X304" i="9"/>
  <c r="Y304" i="9" s="1"/>
  <c r="X272" i="8"/>
  <c r="Z272" i="8" s="1"/>
  <c r="AA212" i="6"/>
  <c r="AB212" i="6" s="1"/>
  <c r="X160" i="8"/>
  <c r="Y160" i="8" s="1"/>
  <c r="X104" i="8"/>
  <c r="Z104" i="8" s="1"/>
  <c r="X15" i="9"/>
  <c r="Z15" i="9" s="1"/>
  <c r="AA214" i="6"/>
  <c r="AB214" i="6" s="1"/>
  <c r="X94" i="9"/>
  <c r="Y94" i="9" s="1"/>
  <c r="X390" i="8"/>
  <c r="Z390" i="8" s="1"/>
  <c r="AA344" i="6"/>
  <c r="AB344" i="6" s="1"/>
  <c r="X321" i="8"/>
  <c r="Z321" i="8" s="1"/>
  <c r="AA304" i="6"/>
  <c r="AB304" i="6" s="1"/>
  <c r="AA260" i="6"/>
  <c r="AB260" i="6" s="1"/>
  <c r="X196" i="9"/>
  <c r="Y196" i="9" s="1"/>
  <c r="X172" i="9"/>
  <c r="Y172" i="9" s="1"/>
  <c r="AA146" i="6"/>
  <c r="AB146" i="6" s="1"/>
  <c r="X127" i="9"/>
  <c r="Z127" i="9" s="1"/>
  <c r="X100" i="8"/>
  <c r="Z100" i="8" s="1"/>
  <c r="X76" i="9"/>
  <c r="Z76" i="9" s="1"/>
  <c r="AA46" i="6"/>
  <c r="AB46" i="6" s="1"/>
  <c r="X363" i="8"/>
  <c r="Z363" i="8" s="1"/>
  <c r="X311" i="8"/>
  <c r="Z311" i="8" s="1"/>
  <c r="X290" i="9"/>
  <c r="Y290" i="9" s="1"/>
  <c r="X266" i="8"/>
  <c r="Y266" i="8" s="1"/>
  <c r="AA246" i="6"/>
  <c r="AB246" i="6" s="1"/>
  <c r="X218" i="9"/>
  <c r="Y218" i="9" s="1"/>
  <c r="X194" i="8"/>
  <c r="Y194" i="8" s="1"/>
  <c r="AA174" i="6"/>
  <c r="AB174" i="6" s="1"/>
  <c r="X144" i="9"/>
  <c r="Y144" i="9" s="1"/>
  <c r="X116" i="9"/>
  <c r="Z116" i="9" s="1"/>
  <c r="AA98" i="6"/>
  <c r="AB98" i="6" s="1"/>
  <c r="X56" i="9"/>
  <c r="Z56" i="9" s="1"/>
  <c r="X27" i="8"/>
  <c r="Z27" i="8" s="1"/>
  <c r="AA390" i="6"/>
  <c r="AB390" i="6" s="1"/>
  <c r="AA321" i="6"/>
  <c r="AB321" i="6" s="1"/>
  <c r="X296" i="9"/>
  <c r="Y296" i="9" s="1"/>
  <c r="X240" i="8"/>
  <c r="Z240" i="8" s="1"/>
  <c r="X184" i="8"/>
  <c r="Y184" i="8" s="1"/>
  <c r="AA142" i="6"/>
  <c r="AB142" i="6" s="1"/>
  <c r="X71" i="8"/>
  <c r="Y71" i="8" s="1"/>
  <c r="AA50" i="6"/>
  <c r="AB50" i="6" s="1"/>
  <c r="X334" i="8"/>
  <c r="Z334" i="8" s="1"/>
  <c r="AA270" i="6"/>
  <c r="AB270" i="6" s="1"/>
  <c r="X140" i="9"/>
  <c r="Z140" i="9" s="1"/>
  <c r="AA40" i="6"/>
  <c r="AB40" i="6" s="1"/>
  <c r="AA331" i="6"/>
  <c r="AB331" i="6" s="1"/>
  <c r="X311" i="9"/>
  <c r="Z311" i="9" s="1"/>
  <c r="AA290" i="6"/>
  <c r="AB290" i="6" s="1"/>
  <c r="X274" i="9"/>
  <c r="Z274" i="9" s="1"/>
  <c r="AA258" i="6"/>
  <c r="AB258" i="6" s="1"/>
  <c r="X238" i="9"/>
  <c r="Y238" i="9" s="1"/>
  <c r="X218" i="8"/>
  <c r="Y218" i="8" s="1"/>
  <c r="X202" i="9"/>
  <c r="Y202" i="9" s="1"/>
  <c r="AA182" i="6"/>
  <c r="AB182" i="6" s="1"/>
  <c r="X166" i="8"/>
  <c r="Z166" i="8" s="1"/>
  <c r="AA144" i="6"/>
  <c r="AB144" i="6" s="1"/>
  <c r="X129" i="8"/>
  <c r="Y129" i="8" s="1"/>
  <c r="AA106" i="6"/>
  <c r="AB106" i="6" s="1"/>
  <c r="X82" i="9"/>
  <c r="Z82" i="9" s="1"/>
  <c r="AA56" i="6"/>
  <c r="AB56" i="6" s="1"/>
  <c r="X36" i="9"/>
  <c r="Y36" i="9" s="1"/>
  <c r="AA356" i="6"/>
  <c r="AB356" i="6" s="1"/>
  <c r="AA313" i="6"/>
  <c r="AB313" i="6" s="1"/>
  <c r="X296" i="8"/>
  <c r="Y296" i="8" s="1"/>
  <c r="X278" i="8"/>
  <c r="Y278" i="8" s="1"/>
  <c r="AA272" i="6"/>
  <c r="AB272" i="6" s="1"/>
  <c r="X252" i="8"/>
  <c r="Y252" i="8" s="1"/>
  <c r="X240" i="9"/>
  <c r="Y240" i="9" s="1"/>
  <c r="AA224" i="6"/>
  <c r="AB224" i="6" s="1"/>
  <c r="X204" i="9"/>
  <c r="Z204" i="9" s="1"/>
  <c r="X196" i="8"/>
  <c r="Z196" i="8" s="1"/>
  <c r="AA184" i="6"/>
  <c r="AB184" i="6" s="1"/>
  <c r="X168" i="9"/>
  <c r="Y168" i="9" s="1"/>
  <c r="X160" i="9"/>
  <c r="Z160" i="9" s="1"/>
  <c r="AA151" i="6"/>
  <c r="AB151" i="6" s="1"/>
  <c r="X131" i="8"/>
  <c r="Y131" i="8" s="1"/>
  <c r="X119" i="8"/>
  <c r="Y119" i="8" s="1"/>
  <c r="AA104" i="6"/>
  <c r="AB104" i="6" s="1"/>
  <c r="X80" i="9"/>
  <c r="Y80" i="9" s="1"/>
  <c r="X71" i="9"/>
  <c r="Y71" i="9" s="1"/>
  <c r="X38" i="8"/>
  <c r="Y38" i="8" s="1"/>
  <c r="AA15" i="6"/>
  <c r="AB15" i="6" s="1"/>
  <c r="X351" i="9"/>
  <c r="Z351" i="9" s="1"/>
  <c r="M351" i="9" s="1"/>
  <c r="X276" i="9"/>
  <c r="Z276" i="9" s="1"/>
  <c r="AA234" i="6"/>
  <c r="AB234" i="6" s="1"/>
  <c r="AA162" i="6"/>
  <c r="AB162" i="6" s="1"/>
  <c r="X102" i="9"/>
  <c r="Z102" i="9" s="1"/>
  <c r="X48" i="8"/>
  <c r="Y48" i="8" s="1"/>
  <c r="X260" i="9"/>
  <c r="Y260" i="9" s="1"/>
  <c r="X252" i="9"/>
  <c r="Y252" i="9" s="1"/>
  <c r="X212" i="9"/>
  <c r="Y212" i="9" s="1"/>
  <c r="X204" i="8"/>
  <c r="Y204" i="8" s="1"/>
  <c r="X176" i="8"/>
  <c r="Z176" i="8" s="1"/>
  <c r="X168" i="8"/>
  <c r="Z168" i="8" s="1"/>
  <c r="X142" i="8"/>
  <c r="Y142" i="8" s="1"/>
  <c r="X131" i="9"/>
  <c r="Z131" i="9" s="1"/>
  <c r="X96" i="9"/>
  <c r="Z96" i="9" s="1"/>
  <c r="X80" i="8"/>
  <c r="Z80" i="8" s="1"/>
  <c r="X50" i="9"/>
  <c r="Y50" i="9" s="1"/>
  <c r="X38" i="9"/>
  <c r="Y38" i="9" s="1"/>
  <c r="AJ353" i="36"/>
  <c r="X319" i="9"/>
  <c r="Y319" i="9" s="1"/>
  <c r="AA250" i="6"/>
  <c r="AB250" i="6" s="1"/>
  <c r="AA198" i="6"/>
  <c r="AB198" i="6" s="1"/>
  <c r="AA78" i="6"/>
  <c r="AB78" i="6" s="1"/>
  <c r="X23" i="8"/>
  <c r="Z23" i="8" s="1"/>
  <c r="X306" i="8"/>
  <c r="Z306" i="8" s="1"/>
  <c r="AA288" i="6"/>
  <c r="AB288" i="6" s="1"/>
  <c r="X270" i="9"/>
  <c r="Z270" i="9" s="1"/>
  <c r="X262" i="9"/>
  <c r="Y262" i="9" s="1"/>
  <c r="X250" i="8"/>
  <c r="Z250" i="8" s="1"/>
  <c r="X234" i="9"/>
  <c r="Z234" i="9" s="1"/>
  <c r="AA226" i="6"/>
  <c r="AB226" i="6" s="1"/>
  <c r="X206" i="8"/>
  <c r="Y206" i="8" s="1"/>
  <c r="X178" i="9"/>
  <c r="Z178" i="9" s="1"/>
  <c r="AA334" i="6"/>
  <c r="AB334" i="6" s="1"/>
  <c r="X319" i="8"/>
  <c r="Z319" i="8" s="1"/>
  <c r="X276" i="8"/>
  <c r="Z276" i="8" s="1"/>
  <c r="AA262" i="6"/>
  <c r="AB262" i="6" s="1"/>
  <c r="X242" i="8"/>
  <c r="Z242" i="8" s="1"/>
  <c r="X214" i="8"/>
  <c r="Z214" i="8" s="1"/>
  <c r="X198" i="8"/>
  <c r="Y198" i="8" s="1"/>
  <c r="AA178" i="6"/>
  <c r="AB178" i="6" s="1"/>
  <c r="X148" i="9"/>
  <c r="Y148" i="9" s="1"/>
  <c r="X121" i="9"/>
  <c r="Z121" i="9" s="1"/>
  <c r="AA102" i="6"/>
  <c r="AB102" i="6" s="1"/>
  <c r="X68" i="8"/>
  <c r="Z68" i="8" s="1"/>
  <c r="X40" i="8"/>
  <c r="Z40" i="8" s="1"/>
  <c r="AA23" i="6"/>
  <c r="AB23" i="6" s="1"/>
  <c r="X357" i="9"/>
  <c r="Y357" i="9" s="1"/>
  <c r="X226" i="8"/>
  <c r="Z226" i="8" s="1"/>
  <c r="X206" i="9"/>
  <c r="Y206" i="9" s="1"/>
  <c r="AA186" i="6"/>
  <c r="AB186" i="6" s="1"/>
  <c r="X162" i="8"/>
  <c r="Y162" i="8" s="1"/>
  <c r="AA140" i="6"/>
  <c r="AB140" i="6" s="1"/>
  <c r="X112" i="9"/>
  <c r="Z112" i="9" s="1"/>
  <c r="X78" i="9"/>
  <c r="Z78" i="9" s="1"/>
  <c r="AA60" i="6"/>
  <c r="AB60" i="6" s="1"/>
  <c r="X32" i="8"/>
  <c r="Y32" i="8" s="1"/>
  <c r="X386" i="9"/>
  <c r="Z386" i="9" s="1"/>
  <c r="Y359" i="9"/>
  <c r="Z359" i="9"/>
  <c r="Z295" i="8"/>
  <c r="Y295" i="8"/>
  <c r="Z103" i="8"/>
  <c r="Y103" i="8"/>
  <c r="Y33" i="8"/>
  <c r="Z33" i="8"/>
  <c r="Z346" i="8"/>
  <c r="Y346" i="8"/>
  <c r="Y88" i="9"/>
  <c r="Z88" i="9"/>
  <c r="Z305" i="8"/>
  <c r="Y305" i="8"/>
  <c r="Y381" i="9"/>
  <c r="Z381" i="9"/>
  <c r="Y329" i="9"/>
  <c r="Z329" i="9"/>
  <c r="Y123" i="9"/>
  <c r="Z123" i="9"/>
  <c r="Y267" i="9"/>
  <c r="Z267" i="9"/>
  <c r="Z203" i="8"/>
  <c r="Y203" i="8"/>
  <c r="Y137" i="8"/>
  <c r="Z137" i="8"/>
  <c r="Y379" i="9"/>
  <c r="Z379" i="9"/>
  <c r="Z181" i="9"/>
  <c r="Y181" i="9"/>
  <c r="Y43" i="9"/>
  <c r="Z43" i="9"/>
  <c r="X186" i="9"/>
  <c r="Y186" i="9" s="1"/>
  <c r="X170" i="8"/>
  <c r="Z170" i="8" s="1"/>
  <c r="AA148" i="6"/>
  <c r="AB148" i="6" s="1"/>
  <c r="AA112" i="6"/>
  <c r="AB112" i="6" s="1"/>
  <c r="X94" i="8"/>
  <c r="Y94" i="8" s="1"/>
  <c r="AA68" i="6"/>
  <c r="AB68" i="6" s="1"/>
  <c r="X48" i="9"/>
  <c r="Y48" i="9" s="1"/>
  <c r="AA32" i="6"/>
  <c r="AB32" i="6" s="1"/>
  <c r="X392" i="8"/>
  <c r="Y392" i="8" s="1"/>
  <c r="AA357" i="6"/>
  <c r="AB357" i="6" s="1"/>
  <c r="Z332" i="8"/>
  <c r="Y332" i="8"/>
  <c r="Z268" i="8"/>
  <c r="Y268" i="8"/>
  <c r="Y220" i="8"/>
  <c r="Z220" i="8"/>
  <c r="Y114" i="9"/>
  <c r="Z114" i="9"/>
  <c r="Z359" i="8"/>
  <c r="Y359" i="8"/>
  <c r="Z103" i="9"/>
  <c r="Y103" i="9"/>
  <c r="Z33" i="9"/>
  <c r="Y33" i="9"/>
  <c r="Y284" i="9"/>
  <c r="Z284" i="9"/>
  <c r="Y222" i="9"/>
  <c r="Z222" i="9"/>
  <c r="Z158" i="8"/>
  <c r="Y158" i="8"/>
  <c r="Y369" i="8"/>
  <c r="Z369" i="8"/>
  <c r="Y213" i="8"/>
  <c r="Z213" i="8"/>
  <c r="Z77" i="9"/>
  <c r="Y77" i="9"/>
  <c r="Z149" i="8"/>
  <c r="Y149" i="8"/>
  <c r="Y192" i="9"/>
  <c r="Z192" i="9"/>
  <c r="Y123" i="8"/>
  <c r="Z123" i="8"/>
  <c r="Z267" i="8"/>
  <c r="Y267" i="8"/>
  <c r="Y203" i="9"/>
  <c r="Z203" i="9"/>
  <c r="Y65" i="9"/>
  <c r="Z65" i="9"/>
  <c r="Y379" i="8"/>
  <c r="Z379" i="8"/>
  <c r="Y315" i="9"/>
  <c r="Z315" i="9"/>
  <c r="Y190" i="9"/>
  <c r="Z190" i="9"/>
  <c r="Y125" i="9"/>
  <c r="Z125" i="9"/>
  <c r="Y52" i="9"/>
  <c r="Z52" i="9"/>
  <c r="Z245" i="8"/>
  <c r="Y245" i="8"/>
  <c r="Z115" i="9"/>
  <c r="Y115" i="9"/>
  <c r="Z268" i="9"/>
  <c r="Y268" i="9"/>
  <c r="Z138" i="8"/>
  <c r="Y138" i="8"/>
  <c r="Z114" i="8"/>
  <c r="Y114" i="8"/>
  <c r="Y235" i="9"/>
  <c r="Z235" i="9"/>
  <c r="Z171" i="8"/>
  <c r="Y171" i="8"/>
  <c r="Y346" i="9"/>
  <c r="Z346" i="9"/>
  <c r="Z284" i="8"/>
  <c r="Y284" i="8"/>
  <c r="Z222" i="8"/>
  <c r="Y222" i="8"/>
  <c r="Y369" i="9"/>
  <c r="Z369" i="9"/>
  <c r="Z305" i="9"/>
  <c r="Y305" i="9"/>
  <c r="Y147" i="8"/>
  <c r="Z147" i="8"/>
  <c r="Z77" i="8"/>
  <c r="Y77" i="8"/>
  <c r="Z149" i="9"/>
  <c r="Y149" i="9"/>
  <c r="Z236" i="8"/>
  <c r="Y236" i="8"/>
  <c r="Y192" i="8"/>
  <c r="Z192" i="8"/>
  <c r="Z30" i="9"/>
  <c r="Y30" i="9"/>
  <c r="Z328" i="9"/>
  <c r="Y328" i="9"/>
  <c r="Z137" i="9"/>
  <c r="Y137" i="9"/>
  <c r="Z65" i="8"/>
  <c r="Y65" i="8"/>
  <c r="Z254" i="8"/>
  <c r="Y254" i="8"/>
  <c r="Y125" i="8"/>
  <c r="Z125" i="8"/>
  <c r="Y337" i="9"/>
  <c r="Z337" i="9"/>
  <c r="Y181" i="8"/>
  <c r="Z181" i="8"/>
  <c r="Z43" i="8"/>
  <c r="Y43" i="8"/>
  <c r="Y92" i="8"/>
  <c r="Z92" i="8"/>
  <c r="Y332" i="9"/>
  <c r="Z332" i="9"/>
  <c r="Y220" i="9"/>
  <c r="Z220" i="9"/>
  <c r="Y138" i="9"/>
  <c r="Z138" i="9"/>
  <c r="Z295" i="9"/>
  <c r="Y295" i="9"/>
  <c r="Z235" i="8"/>
  <c r="Y235" i="8"/>
  <c r="Y171" i="9"/>
  <c r="Z171" i="9"/>
  <c r="Y158" i="9"/>
  <c r="Z158" i="9"/>
  <c r="Y88" i="8"/>
  <c r="Z88" i="8"/>
  <c r="Y213" i="9"/>
  <c r="Z213" i="9"/>
  <c r="Y147" i="9"/>
  <c r="Z147" i="9"/>
  <c r="Y381" i="8"/>
  <c r="Z381" i="8"/>
  <c r="Y329" i="8"/>
  <c r="Z329" i="8"/>
  <c r="Z236" i="9"/>
  <c r="Y236" i="9"/>
  <c r="Z30" i="8"/>
  <c r="Y30" i="8"/>
  <c r="Z328" i="8"/>
  <c r="Y328" i="8"/>
  <c r="Z315" i="8"/>
  <c r="Y315" i="8"/>
  <c r="Z254" i="9"/>
  <c r="Y254" i="9"/>
  <c r="Z190" i="8"/>
  <c r="Y190" i="8"/>
  <c r="Z52" i="8"/>
  <c r="Y52" i="8"/>
  <c r="Y337" i="8"/>
  <c r="Z337" i="8"/>
  <c r="Y245" i="9"/>
  <c r="Z245" i="9"/>
  <c r="Z115" i="8"/>
  <c r="Y115" i="8"/>
  <c r="Y92" i="9"/>
  <c r="Z92" i="9"/>
  <c r="Y339" i="8"/>
  <c r="Z339" i="8"/>
  <c r="Z347" i="9"/>
  <c r="Y347" i="9"/>
  <c r="Z316" i="8"/>
  <c r="Y316" i="8"/>
  <c r="Y308" i="8"/>
  <c r="Z308" i="8"/>
  <c r="Y263" i="9"/>
  <c r="Z263" i="9"/>
  <c r="Y255" i="9"/>
  <c r="Z255" i="9"/>
  <c r="Y227" i="9"/>
  <c r="Z227" i="9"/>
  <c r="Z219" i="8"/>
  <c r="Y219" i="8"/>
  <c r="Y191" i="8"/>
  <c r="Z191" i="8"/>
  <c r="Y183" i="8"/>
  <c r="Z183" i="8"/>
  <c r="Y154" i="8"/>
  <c r="Z154" i="8"/>
  <c r="Z145" i="8"/>
  <c r="Y145" i="8"/>
  <c r="Y113" i="9"/>
  <c r="Z113" i="9"/>
  <c r="Y99" i="9"/>
  <c r="Z99" i="9"/>
  <c r="Y69" i="9"/>
  <c r="Z69" i="9"/>
  <c r="Z57" i="8"/>
  <c r="Y57" i="8"/>
  <c r="Y29" i="8"/>
  <c r="Z29" i="8"/>
  <c r="Z20" i="8"/>
  <c r="Y20" i="8"/>
  <c r="Y354" i="8"/>
  <c r="Z354" i="8"/>
  <c r="Y345" i="9"/>
  <c r="Z345" i="9"/>
  <c r="Z318" i="9"/>
  <c r="Y318" i="9"/>
  <c r="Y310" i="8"/>
  <c r="Z310" i="8"/>
  <c r="Z283" i="8"/>
  <c r="Y283" i="8"/>
  <c r="Z273" i="9"/>
  <c r="Y273" i="9"/>
  <c r="Z241" i="8"/>
  <c r="Y241" i="8"/>
  <c r="Z233" i="8"/>
  <c r="Y233" i="8"/>
  <c r="Y201" i="9"/>
  <c r="Z201" i="9"/>
  <c r="Y193" i="9"/>
  <c r="Z193" i="9"/>
  <c r="Z165" i="8"/>
  <c r="Y165" i="8"/>
  <c r="Y156" i="8"/>
  <c r="Z156" i="8"/>
  <c r="Y128" i="8"/>
  <c r="Z128" i="8"/>
  <c r="Z120" i="8"/>
  <c r="Y120" i="8"/>
  <c r="Z81" i="9"/>
  <c r="Y81" i="9"/>
  <c r="Z67" i="8"/>
  <c r="Y67" i="8"/>
  <c r="Z39" i="8"/>
  <c r="Y39" i="8"/>
  <c r="Z31" i="8"/>
  <c r="Y31" i="8"/>
  <c r="Z248" i="9"/>
  <c r="Y248" i="9"/>
  <c r="Z355" i="8"/>
  <c r="Y355" i="8"/>
  <c r="Y249" i="9"/>
  <c r="Z249" i="9"/>
  <c r="Y320" i="8"/>
  <c r="Z320" i="8"/>
  <c r="Z243" i="8"/>
  <c r="Y243" i="8"/>
  <c r="Y231" i="8"/>
  <c r="Y223" i="9"/>
  <c r="Z207" i="8"/>
  <c r="Y207" i="8"/>
  <c r="Y195" i="9"/>
  <c r="Y167" i="9"/>
  <c r="Z167" i="9"/>
  <c r="Z159" i="9"/>
  <c r="Z130" i="8"/>
  <c r="Y130" i="8"/>
  <c r="Z117" i="9"/>
  <c r="Y84" i="8"/>
  <c r="Z84" i="8"/>
  <c r="Y75" i="9"/>
  <c r="Z37" i="8"/>
  <c r="Z349" i="8"/>
  <c r="Y349" i="8"/>
  <c r="Z341" i="8"/>
  <c r="Y341" i="8"/>
  <c r="Y314" i="8"/>
  <c r="Z314" i="8"/>
  <c r="Z301" i="9"/>
  <c r="Y301" i="9"/>
  <c r="Z279" i="9"/>
  <c r="Y279" i="9"/>
  <c r="Y269" i="9"/>
  <c r="Z269" i="9"/>
  <c r="Y237" i="8"/>
  <c r="Z237" i="8"/>
  <c r="Z225" i="9"/>
  <c r="Z197" i="9"/>
  <c r="Y197" i="9"/>
  <c r="Y189" i="8"/>
  <c r="Z189" i="8"/>
  <c r="Y161" i="8"/>
  <c r="Z161" i="8"/>
  <c r="Y152" i="8"/>
  <c r="Z152" i="8"/>
  <c r="Y124" i="8"/>
  <c r="Z124" i="8"/>
  <c r="Y109" i="9"/>
  <c r="Z109" i="9"/>
  <c r="Y72" i="8"/>
  <c r="Z72" i="8"/>
  <c r="Y55" i="9"/>
  <c r="Z55" i="9"/>
  <c r="Z18" i="9"/>
  <c r="Y18" i="9"/>
  <c r="Z387" i="8"/>
  <c r="Y387" i="8"/>
  <c r="Y382" i="8"/>
  <c r="Z382" i="8"/>
  <c r="Z384" i="9"/>
  <c r="Y384" i="9"/>
  <c r="Y389" i="9"/>
  <c r="Z389" i="9"/>
  <c r="Y391" i="9"/>
  <c r="Z391" i="9"/>
  <c r="Z385" i="8"/>
  <c r="Y385" i="8"/>
  <c r="Z325" i="9"/>
  <c r="Y325" i="9"/>
  <c r="Y317" i="8"/>
  <c r="Z317" i="8"/>
  <c r="Z292" i="8"/>
  <c r="Y292" i="8"/>
  <c r="Y256" i="9"/>
  <c r="Z256" i="9"/>
  <c r="Z244" i="8"/>
  <c r="Y244" i="8"/>
  <c r="Z208" i="8"/>
  <c r="Y208" i="8"/>
  <c r="Y200" i="8"/>
  <c r="Z200" i="8"/>
  <c r="Z164" i="8"/>
  <c r="Y164" i="8"/>
  <c r="Y376" i="8"/>
  <c r="Z376" i="8"/>
  <c r="Y363" i="9"/>
  <c r="Z363" i="9"/>
  <c r="Z246" i="8"/>
  <c r="Y246" i="8"/>
  <c r="Z202" i="8"/>
  <c r="Y36" i="8"/>
  <c r="Z36" i="8"/>
  <c r="Z13" i="8"/>
  <c r="Y13" i="8"/>
  <c r="Z151" i="8"/>
  <c r="Y58" i="9"/>
  <c r="Z58" i="9"/>
  <c r="Y351" i="8"/>
  <c r="AC351" i="8" s="1"/>
  <c r="Z342" i="9"/>
  <c r="Y342" i="9"/>
  <c r="Y306" i="9"/>
  <c r="Z306" i="9"/>
  <c r="Z270" i="8"/>
  <c r="Y270" i="8"/>
  <c r="Y234" i="8"/>
  <c r="Z234" i="8"/>
  <c r="Z198" i="9"/>
  <c r="Y198" i="9"/>
  <c r="Y162" i="9"/>
  <c r="Z162" i="9"/>
  <c r="Z121" i="8"/>
  <c r="Y121" i="8"/>
  <c r="Y78" i="8"/>
  <c r="Z78" i="8"/>
  <c r="Z40" i="9"/>
  <c r="Y40" i="9"/>
  <c r="Y386" i="8"/>
  <c r="Z386" i="8"/>
  <c r="Y324" i="9"/>
  <c r="Z324" i="9"/>
  <c r="Y316" i="9"/>
  <c r="Z316" i="9"/>
  <c r="Z281" i="9"/>
  <c r="Y281" i="9"/>
  <c r="Z263" i="8"/>
  <c r="Y263" i="8"/>
  <c r="Y239" i="8"/>
  <c r="Z239" i="8"/>
  <c r="Y199" i="9"/>
  <c r="Z199" i="9"/>
  <c r="Y191" i="9"/>
  <c r="Z191" i="9"/>
  <c r="Z163" i="8"/>
  <c r="Y163" i="8"/>
  <c r="Z154" i="9"/>
  <c r="Y154" i="9"/>
  <c r="Y122" i="9"/>
  <c r="Z122" i="9"/>
  <c r="Z113" i="8"/>
  <c r="Y113" i="8"/>
  <c r="Z79" i="8"/>
  <c r="Y79" i="8"/>
  <c r="Z69" i="8"/>
  <c r="Y69" i="8"/>
  <c r="Y41" i="9"/>
  <c r="Z41" i="9"/>
  <c r="Z29" i="9"/>
  <c r="Y29" i="9"/>
  <c r="Y375" i="8"/>
  <c r="Z375" i="8"/>
  <c r="Z354" i="9"/>
  <c r="Y354" i="9"/>
  <c r="Y326" i="9"/>
  <c r="Z326" i="9"/>
  <c r="Z318" i="8"/>
  <c r="Y318" i="8"/>
  <c r="Y289" i="9"/>
  <c r="Z289" i="9"/>
  <c r="Z283" i="9"/>
  <c r="Y283" i="9"/>
  <c r="Z257" i="9"/>
  <c r="Y257" i="9"/>
  <c r="Y241" i="9"/>
  <c r="Z241" i="9"/>
  <c r="Y209" i="8"/>
  <c r="Z209" i="8"/>
  <c r="Y201" i="8"/>
  <c r="Z201" i="8"/>
  <c r="Z173" i="9"/>
  <c r="Y173" i="9"/>
  <c r="Y165" i="9"/>
  <c r="Z165" i="9"/>
  <c r="Z135" i="9"/>
  <c r="Y135" i="9"/>
  <c r="Z128" i="9"/>
  <c r="Y128" i="9"/>
  <c r="Y97" i="8"/>
  <c r="Z97" i="8"/>
  <c r="Y81" i="8"/>
  <c r="Z81" i="8"/>
  <c r="Y51" i="9"/>
  <c r="Z51" i="9"/>
  <c r="Y39" i="9"/>
  <c r="Z39" i="9"/>
  <c r="Y377" i="9"/>
  <c r="Z377" i="9"/>
  <c r="Y248" i="8"/>
  <c r="Z248" i="8"/>
  <c r="Y302" i="9"/>
  <c r="Z302" i="9"/>
  <c r="Y249" i="8"/>
  <c r="Z249" i="8"/>
  <c r="Y343" i="8"/>
  <c r="Z343" i="8"/>
  <c r="Y320" i="9"/>
  <c r="Z320" i="9"/>
  <c r="Z285" i="8"/>
  <c r="Y285" i="8"/>
  <c r="Y277" i="8"/>
  <c r="Z277" i="8"/>
  <c r="Y251" i="8"/>
  <c r="Z251" i="8"/>
  <c r="Y243" i="9"/>
  <c r="Z243" i="9"/>
  <c r="Y207" i="9"/>
  <c r="Z207" i="9"/>
  <c r="Y179" i="9"/>
  <c r="Z179" i="9"/>
  <c r="Z167" i="8"/>
  <c r="Y167" i="8"/>
  <c r="Y130" i="9"/>
  <c r="Z130" i="9"/>
  <c r="Z95" i="8"/>
  <c r="Y95" i="8"/>
  <c r="Y84" i="9"/>
  <c r="Z84" i="9"/>
  <c r="Y45" i="9"/>
  <c r="Z45" i="9"/>
  <c r="Z362" i="9"/>
  <c r="Y362" i="9"/>
  <c r="Y349" i="9"/>
  <c r="Z349" i="9"/>
  <c r="Z322" i="9"/>
  <c r="Y322" i="9"/>
  <c r="Y314" i="9"/>
  <c r="Z314" i="9"/>
  <c r="Z287" i="8"/>
  <c r="Y287" i="8"/>
  <c r="Y279" i="8"/>
  <c r="Z279" i="8"/>
  <c r="Z253" i="8"/>
  <c r="Y253" i="8"/>
  <c r="Y237" i="9"/>
  <c r="Z237" i="9"/>
  <c r="Y205" i="9"/>
  <c r="Z205" i="9"/>
  <c r="Y197" i="8"/>
  <c r="Z197" i="8"/>
  <c r="Y169" i="9"/>
  <c r="Z169" i="9"/>
  <c r="Y161" i="9"/>
  <c r="Z161" i="9"/>
  <c r="Z132" i="9"/>
  <c r="Y132" i="9"/>
  <c r="Y124" i="9"/>
  <c r="Z124" i="9"/>
  <c r="Z93" i="8"/>
  <c r="Y93" i="8"/>
  <c r="Z72" i="9"/>
  <c r="Y72" i="9"/>
  <c r="Y35" i="8"/>
  <c r="Z35" i="8"/>
  <c r="Y18" i="8"/>
  <c r="Z18" i="8"/>
  <c r="Y360" i="8"/>
  <c r="Z360" i="8"/>
  <c r="Y384" i="8"/>
  <c r="Z384" i="8"/>
  <c r="Y358" i="8"/>
  <c r="Z358" i="8"/>
  <c r="Z292" i="9"/>
  <c r="Y292" i="9"/>
  <c r="Z172" i="8"/>
  <c r="Y172" i="8"/>
  <c r="Y146" i="9"/>
  <c r="Z146" i="9"/>
  <c r="Z134" i="8"/>
  <c r="Y134" i="8"/>
  <c r="Y100" i="9"/>
  <c r="Z100" i="9"/>
  <c r="Y85" i="8"/>
  <c r="Z85" i="8"/>
  <c r="Y54" i="8"/>
  <c r="Z54" i="8"/>
  <c r="Z46" i="8"/>
  <c r="Y46" i="8"/>
  <c r="Y376" i="9"/>
  <c r="Z376" i="9"/>
  <c r="Z331" i="9"/>
  <c r="Y331" i="9"/>
  <c r="Z323" i="9"/>
  <c r="Y323" i="9"/>
  <c r="Z290" i="8"/>
  <c r="Y290" i="8"/>
  <c r="Z280" i="9"/>
  <c r="Y280" i="9"/>
  <c r="Z258" i="8"/>
  <c r="Y258" i="8"/>
  <c r="Y246" i="9"/>
  <c r="Z246" i="9"/>
  <c r="Y210" i="9"/>
  <c r="Z210" i="9"/>
  <c r="Z182" i="8"/>
  <c r="Y182" i="8"/>
  <c r="Y174" i="8"/>
  <c r="Z174" i="8"/>
  <c r="Z144" i="8"/>
  <c r="Y144" i="8"/>
  <c r="Z136" i="8"/>
  <c r="Y136" i="8"/>
  <c r="Y106" i="9"/>
  <c r="Z106" i="9"/>
  <c r="Z98" i="8"/>
  <c r="Y98" i="8"/>
  <c r="Y56" i="8"/>
  <c r="Z56" i="8"/>
  <c r="Y44" i="9"/>
  <c r="Z44" i="9"/>
  <c r="Z353" i="9"/>
  <c r="Y353" i="9"/>
  <c r="Z390" i="9"/>
  <c r="Y390" i="9"/>
  <c r="Z321" i="9"/>
  <c r="Y321" i="9"/>
  <c r="Y367" i="9"/>
  <c r="Z367" i="9"/>
  <c r="Y392" i="9"/>
  <c r="Z392" i="9"/>
  <c r="Y365" i="9"/>
  <c r="Z365" i="9"/>
  <c r="Y347" i="8"/>
  <c r="Z347" i="8"/>
  <c r="Z339" i="9"/>
  <c r="Y339" i="9"/>
  <c r="Y324" i="8"/>
  <c r="Z324" i="8"/>
  <c r="Z299" i="8"/>
  <c r="Y299" i="8"/>
  <c r="Z281" i="8"/>
  <c r="Y281" i="8"/>
  <c r="Y247" i="9"/>
  <c r="Z247" i="9"/>
  <c r="Y239" i="9"/>
  <c r="Z239" i="9"/>
  <c r="Z227" i="8"/>
  <c r="Y227" i="8"/>
  <c r="Z211" i="8"/>
  <c r="Y211" i="8"/>
  <c r="Y199" i="8"/>
  <c r="Z199" i="8"/>
  <c r="Y175" i="8"/>
  <c r="Z175" i="8"/>
  <c r="Y133" i="8"/>
  <c r="Z133" i="8"/>
  <c r="Y122" i="8"/>
  <c r="Z122" i="8"/>
  <c r="Z91" i="9"/>
  <c r="Y91" i="9"/>
  <c r="Z79" i="9"/>
  <c r="Y79" i="9"/>
  <c r="Y49" i="9"/>
  <c r="Z49" i="9"/>
  <c r="Z41" i="8"/>
  <c r="Y41" i="8"/>
  <c r="Y393" i="8"/>
  <c r="Z393" i="8"/>
  <c r="Z375" i="9"/>
  <c r="Y375" i="9"/>
  <c r="Y333" i="9"/>
  <c r="Z333" i="9"/>
  <c r="Y326" i="8"/>
  <c r="Z326" i="8"/>
  <c r="Y297" i="8"/>
  <c r="Z297" i="8"/>
  <c r="Z289" i="8"/>
  <c r="Y289" i="8"/>
  <c r="Z265" i="8"/>
  <c r="Y265" i="8"/>
  <c r="Z257" i="8"/>
  <c r="Y257" i="8"/>
  <c r="Y221" i="8"/>
  <c r="Z221" i="8"/>
  <c r="Y209" i="9"/>
  <c r="Z209" i="9"/>
  <c r="Y185" i="9"/>
  <c r="Z185" i="9"/>
  <c r="Z173" i="8"/>
  <c r="Y173" i="8"/>
  <c r="Z143" i="8"/>
  <c r="Y143" i="8"/>
  <c r="Z135" i="8"/>
  <c r="Y135" i="8"/>
  <c r="Z105" i="9"/>
  <c r="Y105" i="9"/>
  <c r="Z97" i="9"/>
  <c r="Y97" i="9"/>
  <c r="Z59" i="9"/>
  <c r="Y59" i="9"/>
  <c r="Z51" i="8"/>
  <c r="Y51" i="8"/>
  <c r="Y22" i="8"/>
  <c r="Z22" i="8"/>
  <c r="Y377" i="8"/>
  <c r="Z377" i="8"/>
  <c r="Y366" i="8"/>
  <c r="Z366" i="8"/>
  <c r="Z302" i="8"/>
  <c r="Y302" i="8"/>
  <c r="Z343" i="9"/>
  <c r="Y343" i="9"/>
  <c r="Z291" i="9"/>
  <c r="Z223" i="8"/>
  <c r="Y223" i="8"/>
  <c r="Z215" i="8"/>
  <c r="Y215" i="8"/>
  <c r="Y107" i="9"/>
  <c r="Z107" i="9"/>
  <c r="Z362" i="8"/>
  <c r="Y362" i="8"/>
  <c r="Z330" i="8"/>
  <c r="Y330" i="8"/>
  <c r="Z322" i="8"/>
  <c r="Y322" i="8"/>
  <c r="Y293" i="9"/>
  <c r="Z293" i="9"/>
  <c r="Y287" i="9"/>
  <c r="Z287" i="9"/>
  <c r="Z261" i="9"/>
  <c r="Y261" i="9"/>
  <c r="Z253" i="9"/>
  <c r="Y253" i="9"/>
  <c r="Z217" i="9"/>
  <c r="Y217" i="9"/>
  <c r="Z205" i="8"/>
  <c r="Y205" i="8"/>
  <c r="Z177" i="8"/>
  <c r="Y177" i="8"/>
  <c r="Y169" i="8"/>
  <c r="Z169" i="8"/>
  <c r="Z139" i="8"/>
  <c r="Y139" i="8"/>
  <c r="Z132" i="8"/>
  <c r="Y101" i="9"/>
  <c r="Z101" i="9"/>
  <c r="Y93" i="9"/>
  <c r="Z93" i="9"/>
  <c r="Y47" i="9"/>
  <c r="Z47" i="9"/>
  <c r="Y35" i="9"/>
  <c r="Z35" i="9"/>
  <c r="Z382" i="9"/>
  <c r="Z360" i="9"/>
  <c r="Y335" i="9"/>
  <c r="Z335" i="9"/>
  <c r="Y358" i="9"/>
  <c r="Z358" i="9"/>
  <c r="Z340" i="8"/>
  <c r="Y340" i="8"/>
  <c r="Z300" i="8"/>
  <c r="Y300" i="8"/>
  <c r="Y264" i="9"/>
  <c r="Z264" i="9"/>
  <c r="Y216" i="9"/>
  <c r="Z216" i="9"/>
  <c r="Y180" i="8"/>
  <c r="Z180" i="8"/>
  <c r="Y155" i="9"/>
  <c r="Z155" i="9"/>
  <c r="Z108" i="8"/>
  <c r="Y108" i="8"/>
  <c r="Z394" i="9"/>
  <c r="Y394" i="9"/>
  <c r="Z338" i="8"/>
  <c r="Y338" i="8"/>
  <c r="Z298" i="9"/>
  <c r="Y298" i="9"/>
  <c r="Y353" i="8"/>
  <c r="Z353" i="8"/>
  <c r="Y336" i="8"/>
  <c r="Z336" i="8"/>
  <c r="Z367" i="8"/>
  <c r="Y367" i="8"/>
  <c r="Y334" i="9"/>
  <c r="Z334" i="9"/>
  <c r="Y327" i="8"/>
  <c r="Z327" i="8"/>
  <c r="Z294" i="9"/>
  <c r="Y294" i="9"/>
  <c r="Y288" i="9"/>
  <c r="Z288" i="9"/>
  <c r="Z262" i="8"/>
  <c r="Y262" i="8"/>
  <c r="Y250" i="9"/>
  <c r="Z250" i="9"/>
  <c r="Y226" i="9"/>
  <c r="Z226" i="9"/>
  <c r="Z214" i="9"/>
  <c r="Y214" i="9"/>
  <c r="Y186" i="8"/>
  <c r="Z186" i="8"/>
  <c r="Y178" i="8"/>
  <c r="Z178" i="8"/>
  <c r="Z148" i="8"/>
  <c r="Y148" i="8"/>
  <c r="Y140" i="8"/>
  <c r="Z140" i="8"/>
  <c r="Y112" i="8"/>
  <c r="Z112" i="8"/>
  <c r="Y102" i="8"/>
  <c r="Z102" i="8"/>
  <c r="Z68" i="9"/>
  <c r="Y68" i="9"/>
  <c r="Y60" i="8"/>
  <c r="Z60" i="8"/>
  <c r="Z32" i="9"/>
  <c r="Y32" i="9"/>
  <c r="Z23" i="9"/>
  <c r="Y23" i="9"/>
  <c r="Z357" i="8"/>
  <c r="Y357" i="8"/>
  <c r="Y365" i="8"/>
  <c r="Z365" i="8"/>
  <c r="Y308" i="9"/>
  <c r="Z308" i="9"/>
  <c r="Y299" i="9"/>
  <c r="Z299" i="9"/>
  <c r="Z255" i="8"/>
  <c r="Y255" i="8"/>
  <c r="Z247" i="8"/>
  <c r="Y247" i="8"/>
  <c r="Y219" i="9"/>
  <c r="Z219" i="9"/>
  <c r="Y211" i="9"/>
  <c r="Z211" i="9"/>
  <c r="Y183" i="9"/>
  <c r="Z183" i="9"/>
  <c r="Z175" i="9"/>
  <c r="Y175" i="9"/>
  <c r="Z163" i="9"/>
  <c r="Y163" i="9"/>
  <c r="Y145" i="9"/>
  <c r="Z145" i="9"/>
  <c r="Z133" i="9"/>
  <c r="Y133" i="9"/>
  <c r="Z99" i="8"/>
  <c r="Y99" i="8"/>
  <c r="Y91" i="8"/>
  <c r="Z91" i="8"/>
  <c r="Z57" i="9"/>
  <c r="Y57" i="9"/>
  <c r="Z49" i="8"/>
  <c r="Y49" i="8"/>
  <c r="Y20" i="9"/>
  <c r="Z20" i="9"/>
  <c r="Z393" i="9"/>
  <c r="Y393" i="9"/>
  <c r="Z345" i="8"/>
  <c r="Y345" i="8"/>
  <c r="Z333" i="8"/>
  <c r="Y333" i="8"/>
  <c r="Y310" i="9"/>
  <c r="Z310" i="9"/>
  <c r="Y297" i="9"/>
  <c r="Z297" i="9"/>
  <c r="Z273" i="8"/>
  <c r="Y273" i="8"/>
  <c r="Y265" i="9"/>
  <c r="Z265" i="9"/>
  <c r="Y233" i="9"/>
  <c r="Z233" i="9"/>
  <c r="Z221" i="9"/>
  <c r="Y221" i="9"/>
  <c r="Z193" i="8"/>
  <c r="Y193" i="8"/>
  <c r="Y185" i="8"/>
  <c r="Z185" i="8"/>
  <c r="Z156" i="9"/>
  <c r="Y156" i="9"/>
  <c r="Y143" i="9"/>
  <c r="Z143" i="9"/>
  <c r="Z120" i="9"/>
  <c r="Y120" i="9"/>
  <c r="Y105" i="8"/>
  <c r="Z105" i="8"/>
  <c r="Z67" i="9"/>
  <c r="Y67" i="9"/>
  <c r="Z59" i="8"/>
  <c r="Y59" i="8"/>
  <c r="Y31" i="9"/>
  <c r="Z31" i="9"/>
  <c r="Z22" i="9"/>
  <c r="Y22" i="9"/>
  <c r="Y355" i="9"/>
  <c r="Z355" i="9"/>
  <c r="Y366" i="9"/>
  <c r="Z366" i="9"/>
  <c r="AA352" i="6"/>
  <c r="AB352" i="6" s="1"/>
  <c r="AD352" i="6" s="1"/>
  <c r="X352" i="9"/>
  <c r="X352" i="8"/>
  <c r="Z291" i="8"/>
  <c r="Y291" i="8"/>
  <c r="Y271" i="8"/>
  <c r="Z271" i="8"/>
  <c r="Z259" i="9"/>
  <c r="Y259" i="9"/>
  <c r="Z231" i="9"/>
  <c r="Y231" i="9"/>
  <c r="Y195" i="8"/>
  <c r="Z195" i="8"/>
  <c r="Z187" i="8"/>
  <c r="Y187" i="8"/>
  <c r="Y159" i="8"/>
  <c r="Z159" i="8"/>
  <c r="Y150" i="8"/>
  <c r="Z150" i="8"/>
  <c r="Z117" i="8"/>
  <c r="Y117" i="8"/>
  <c r="Z107" i="8"/>
  <c r="Y107" i="8"/>
  <c r="Y75" i="8"/>
  <c r="Z75" i="8"/>
  <c r="Y61" i="9"/>
  <c r="Z61" i="9"/>
  <c r="Y37" i="9"/>
  <c r="Z37" i="9"/>
  <c r="Z24" i="8"/>
  <c r="Y24" i="8"/>
  <c r="Z341" i="9"/>
  <c r="Y341" i="9"/>
  <c r="Y330" i="9"/>
  <c r="Z330" i="9"/>
  <c r="Y301" i="8"/>
  <c r="Z301" i="8"/>
  <c r="Z293" i="8"/>
  <c r="Y293" i="8"/>
  <c r="Z269" i="8"/>
  <c r="Y269" i="8"/>
  <c r="Z261" i="8"/>
  <c r="Y261" i="8"/>
  <c r="Y225" i="8"/>
  <c r="Z225" i="8"/>
  <c r="Z217" i="8"/>
  <c r="Y217" i="8"/>
  <c r="Y189" i="9"/>
  <c r="Z189" i="9"/>
  <c r="Z177" i="9"/>
  <c r="Y177" i="9"/>
  <c r="Z152" i="9"/>
  <c r="Y139" i="9"/>
  <c r="Z139" i="9"/>
  <c r="Y109" i="8"/>
  <c r="Z109" i="8"/>
  <c r="Z101" i="8"/>
  <c r="Y101" i="8"/>
  <c r="Y55" i="8"/>
  <c r="Y47" i="8"/>
  <c r="Z47" i="8"/>
  <c r="Z387" i="9"/>
  <c r="Y387" i="9"/>
  <c r="Z389" i="8"/>
  <c r="Z335" i="8"/>
  <c r="Y335" i="8"/>
  <c r="Y348" i="8"/>
  <c r="Z348" i="8"/>
  <c r="Z309" i="8"/>
  <c r="Y275" i="9"/>
  <c r="Z275" i="9"/>
  <c r="Z232" i="8"/>
  <c r="Y232" i="8"/>
  <c r="Y200" i="9"/>
  <c r="Y127" i="8"/>
  <c r="Y108" i="9"/>
  <c r="Z108" i="9"/>
  <c r="Y21" i="9"/>
  <c r="Z21" i="9"/>
  <c r="Y338" i="9"/>
  <c r="Z298" i="8"/>
  <c r="Y298" i="8"/>
  <c r="Y266" i="9"/>
  <c r="Z266" i="9"/>
  <c r="Y230" i="9"/>
  <c r="Z230" i="9"/>
  <c r="Y194" i="9"/>
  <c r="Z194" i="9"/>
  <c r="Y153" i="8"/>
  <c r="Z153" i="8"/>
  <c r="Z116" i="8"/>
  <c r="Y116" i="8"/>
  <c r="Y64" i="8"/>
  <c r="Z64" i="8"/>
  <c r="Y27" i="9"/>
  <c r="Z27" i="9"/>
  <c r="Z13" i="9"/>
  <c r="Z356" i="9"/>
  <c r="Y356" i="9"/>
  <c r="Y344" i="9"/>
  <c r="Z344" i="9"/>
  <c r="Z313" i="8"/>
  <c r="Y313" i="8"/>
  <c r="Z304" i="8"/>
  <c r="Y304" i="8"/>
  <c r="Z272" i="9"/>
  <c r="Y272" i="9"/>
  <c r="Z260" i="8"/>
  <c r="Y260" i="8"/>
  <c r="Y224" i="8"/>
  <c r="Z224" i="8"/>
  <c r="Z212" i="8"/>
  <c r="Y212" i="8"/>
  <c r="Y184" i="9"/>
  <c r="Z184" i="9"/>
  <c r="Z176" i="9"/>
  <c r="Y176" i="9"/>
  <c r="Y151" i="9"/>
  <c r="Z151" i="9"/>
  <c r="Y142" i="9"/>
  <c r="Z142" i="9"/>
  <c r="Y104" i="9"/>
  <c r="Z104" i="9"/>
  <c r="Z96" i="8"/>
  <c r="Y96" i="8"/>
  <c r="Y58" i="8"/>
  <c r="Z58" i="8"/>
  <c r="Y50" i="8"/>
  <c r="Z50" i="8"/>
  <c r="Y15" i="8"/>
  <c r="Z15" i="8"/>
  <c r="Y388" i="8"/>
  <c r="Z388" i="8"/>
  <c r="Z294" i="8"/>
  <c r="Y294" i="8"/>
  <c r="I161" i="5"/>
  <c r="H161" i="5" s="1"/>
  <c r="I258" i="5"/>
  <c r="H258" i="5" s="1"/>
  <c r="I168" i="5"/>
  <c r="H168" i="5" s="1"/>
  <c r="I166" i="5"/>
  <c r="H166" i="5" s="1"/>
  <c r="I221" i="5"/>
  <c r="H221" i="5" s="1"/>
  <c r="I49" i="5"/>
  <c r="H49" i="5" s="1"/>
  <c r="I65" i="5"/>
  <c r="H65" i="5" s="1"/>
  <c r="I160" i="5"/>
  <c r="H160" i="5" s="1"/>
  <c r="I153" i="5"/>
  <c r="H153" i="5" s="1"/>
  <c r="I167" i="5"/>
  <c r="H167" i="5" s="1"/>
  <c r="I113" i="5"/>
  <c r="H113" i="5" s="1"/>
  <c r="I19" i="5"/>
  <c r="H19" i="5" s="1"/>
  <c r="I286" i="5"/>
  <c r="H286" i="5" s="1"/>
  <c r="I126" i="5"/>
  <c r="H126" i="5" s="1"/>
  <c r="I151" i="5"/>
  <c r="H151" i="5" s="1"/>
  <c r="I220" i="5"/>
  <c r="H220" i="5" s="1"/>
  <c r="I354" i="5"/>
  <c r="H354" i="5" s="1"/>
  <c r="I343" i="5"/>
  <c r="H343" i="5" s="1"/>
  <c r="I150" i="5"/>
  <c r="H150" i="5" s="1"/>
  <c r="I171" i="5"/>
  <c r="H171" i="5" s="1"/>
  <c r="I222" i="5"/>
  <c r="H222" i="5" s="1"/>
  <c r="I109" i="5"/>
  <c r="H109" i="5" s="1"/>
  <c r="I311" i="5"/>
  <c r="H311" i="5" s="1"/>
  <c r="I359" i="5"/>
  <c r="H359" i="5" s="1"/>
  <c r="I169" i="5"/>
  <c r="H169" i="5" s="1"/>
  <c r="I134" i="5"/>
  <c r="H134" i="5" s="1"/>
  <c r="I315" i="5"/>
  <c r="H315" i="5" s="1"/>
  <c r="I89" i="5"/>
  <c r="H89" i="5" s="1"/>
  <c r="I219" i="5"/>
  <c r="H219" i="5" s="1"/>
  <c r="I345" i="5"/>
  <c r="H345" i="5" s="1"/>
  <c r="I191" i="5"/>
  <c r="H191" i="5" s="1"/>
  <c r="I90" i="5"/>
  <c r="H90" i="5" s="1"/>
  <c r="I82" i="5"/>
  <c r="H82" i="5" s="1"/>
  <c r="I174" i="5"/>
  <c r="H174" i="5" s="1"/>
  <c r="I378" i="5"/>
  <c r="H378" i="5" s="1"/>
  <c r="I159" i="5"/>
  <c r="H159" i="5" s="1"/>
  <c r="I380" i="5"/>
  <c r="H380" i="5" s="1"/>
  <c r="I212" i="5"/>
  <c r="H212" i="5" s="1"/>
  <c r="I81" i="5"/>
  <c r="H81" i="5" s="1"/>
  <c r="I172" i="5"/>
  <c r="H172" i="5" s="1"/>
  <c r="I10" i="5"/>
  <c r="H10" i="5" s="1"/>
  <c r="Z46" i="9" l="1"/>
  <c r="Z188" i="9"/>
  <c r="Z187" i="9"/>
  <c r="Y391" i="8"/>
  <c r="Y98" i="9"/>
  <c r="Z45" i="8"/>
  <c r="Y271" i="9"/>
  <c r="Y394" i="8"/>
  <c r="Z278" i="9"/>
  <c r="Y277" i="9"/>
  <c r="Z244" i="9"/>
  <c r="Z179" i="8"/>
  <c r="Z53" i="8"/>
  <c r="Y66" i="8"/>
  <c r="Z155" i="8"/>
  <c r="Y282" i="8"/>
  <c r="Z170" i="9"/>
  <c r="Y134" i="9"/>
  <c r="Z141" i="8"/>
  <c r="Y251" i="9"/>
  <c r="Y264" i="8"/>
  <c r="Y136" i="9"/>
  <c r="Z24" i="9"/>
  <c r="Y388" i="9"/>
  <c r="Z150" i="9"/>
  <c r="Y174" i="9"/>
  <c r="Y309" i="9"/>
  <c r="Y259" i="8"/>
  <c r="Y288" i="8"/>
  <c r="Z34" i="8"/>
  <c r="Y230" i="8"/>
  <c r="Z256" i="8"/>
  <c r="Y313" i="9"/>
  <c r="Y119" i="9"/>
  <c r="Y321" i="8"/>
  <c r="Z166" i="9"/>
  <c r="Y317" i="9"/>
  <c r="Z282" i="9"/>
  <c r="Y224" i="9"/>
  <c r="Z172" i="9"/>
  <c r="Z160" i="8"/>
  <c r="Z312" i="8"/>
  <c r="Z344" i="8"/>
  <c r="Z71" i="8"/>
  <c r="Z94" i="9"/>
  <c r="Y258" i="9"/>
  <c r="Y232" i="9"/>
  <c r="Z71" i="9"/>
  <c r="Z266" i="8"/>
  <c r="Y102" i="9"/>
  <c r="Z34" i="9"/>
  <c r="Y351" i="9"/>
  <c r="AC351" i="9" s="1"/>
  <c r="Z240" i="9"/>
  <c r="Z218" i="8"/>
  <c r="Z296" i="9"/>
  <c r="Y56" i="9"/>
  <c r="Y140" i="9"/>
  <c r="Z296" i="8"/>
  <c r="Y76" i="9"/>
  <c r="Z85" i="9"/>
  <c r="Z44" i="8"/>
  <c r="Z216" i="8"/>
  <c r="Y325" i="8"/>
  <c r="Y153" i="9"/>
  <c r="Y336" i="9"/>
  <c r="Z131" i="8"/>
  <c r="Z106" i="8"/>
  <c r="Z290" i="9"/>
  <c r="Y240" i="8"/>
  <c r="Y21" i="8"/>
  <c r="Z323" i="8"/>
  <c r="Y385" i="9"/>
  <c r="Z212" i="9"/>
  <c r="Z194" i="8"/>
  <c r="Z252" i="9"/>
  <c r="Z50" i="9"/>
  <c r="Z202" i="9"/>
  <c r="Y311" i="9"/>
  <c r="Z142" i="8"/>
  <c r="Z36" i="9"/>
  <c r="Z238" i="9"/>
  <c r="Y82" i="9"/>
  <c r="Y166" i="8"/>
  <c r="Z262" i="9"/>
  <c r="Z129" i="8"/>
  <c r="Y23" i="8"/>
  <c r="Z278" i="8"/>
  <c r="Y319" i="8"/>
  <c r="Y160" i="9"/>
  <c r="Y15" i="9"/>
  <c r="Z184" i="8"/>
  <c r="Y272" i="8"/>
  <c r="Y40" i="8"/>
  <c r="Y342" i="8"/>
  <c r="Y164" i="9"/>
  <c r="Z66" i="9"/>
  <c r="Y141" i="9"/>
  <c r="Z215" i="9"/>
  <c r="Z210" i="8"/>
  <c r="Z61" i="8"/>
  <c r="Y53" i="9"/>
  <c r="Y116" i="9"/>
  <c r="Y348" i="9"/>
  <c r="Z300" i="9"/>
  <c r="Y356" i="8"/>
  <c r="Y168" i="8"/>
  <c r="Z357" i="9"/>
  <c r="Z168" i="9"/>
  <c r="Y270" i="9"/>
  <c r="Z80" i="9"/>
  <c r="Y196" i="8"/>
  <c r="Z198" i="8"/>
  <c r="Z319" i="9"/>
  <c r="Y80" i="8"/>
  <c r="Z48" i="8"/>
  <c r="Y276" i="8"/>
  <c r="Y96" i="9"/>
  <c r="Y176" i="8"/>
  <c r="Y64" i="9"/>
  <c r="Z260" i="9"/>
  <c r="Y121" i="9"/>
  <c r="Z38" i="8"/>
  <c r="Z252" i="8"/>
  <c r="Z38" i="9"/>
  <c r="Z206" i="8"/>
  <c r="Y214" i="8"/>
  <c r="Z204" i="8"/>
  <c r="Z144" i="9"/>
  <c r="Y188" i="8"/>
  <c r="Y275" i="8"/>
  <c r="Z95" i="9"/>
  <c r="Y60" i="9"/>
  <c r="Y178" i="9"/>
  <c r="Y276" i="9"/>
  <c r="Z119" i="8"/>
  <c r="Z208" i="9"/>
  <c r="Z340" i="9"/>
  <c r="Y104" i="8"/>
  <c r="Y390" i="8"/>
  <c r="Y82" i="8"/>
  <c r="Y280" i="8"/>
  <c r="Y76" i="8"/>
  <c r="Y127" i="9"/>
  <c r="Y312" i="9"/>
  <c r="Y250" i="8"/>
  <c r="Y306" i="8"/>
  <c r="Y274" i="9"/>
  <c r="Y363" i="8"/>
  <c r="Y131" i="9"/>
  <c r="Z304" i="9"/>
  <c r="Y27" i="8"/>
  <c r="Z331" i="8"/>
  <c r="Z285" i="9"/>
  <c r="Y68" i="8"/>
  <c r="Y386" i="9"/>
  <c r="Z148" i="9"/>
  <c r="Y234" i="9"/>
  <c r="Y334" i="8"/>
  <c r="Y180" i="9"/>
  <c r="Z196" i="9"/>
  <c r="Z129" i="9"/>
  <c r="Y238" i="8"/>
  <c r="Y274" i="8"/>
  <c r="Y311" i="8"/>
  <c r="Y112" i="9"/>
  <c r="Z182" i="9"/>
  <c r="Z218" i="9"/>
  <c r="Y54" i="9"/>
  <c r="Y100" i="8"/>
  <c r="Z146" i="8"/>
  <c r="Z242" i="9"/>
  <c r="Z327" i="9"/>
  <c r="Y204" i="9"/>
  <c r="Z336" i="9"/>
  <c r="Y242" i="8"/>
  <c r="Z48" i="9"/>
  <c r="Z206" i="9"/>
  <c r="Y78" i="9"/>
  <c r="Z32" i="8"/>
  <c r="Y226" i="8"/>
  <c r="Z162" i="8"/>
  <c r="Z186" i="9"/>
  <c r="Y170" i="8"/>
  <c r="Z94" i="8"/>
  <c r="Z392" i="8"/>
  <c r="Z352" i="8"/>
  <c r="M352" i="8" s="1"/>
  <c r="Y352" i="8"/>
  <c r="AC352" i="8" s="1"/>
  <c r="AD351" i="8"/>
  <c r="Y352" i="9"/>
  <c r="AC352" i="9" s="1"/>
  <c r="Z352" i="9"/>
  <c r="M352" i="9" s="1"/>
  <c r="D4" i="94"/>
  <c r="D5" i="94"/>
  <c r="D6" i="94"/>
  <c r="D7" i="94"/>
  <c r="D8" i="94"/>
  <c r="D9" i="94"/>
  <c r="D10" i="94"/>
  <c r="D11" i="94"/>
  <c r="D12" i="94"/>
  <c r="D13" i="94"/>
  <c r="D14" i="94"/>
  <c r="D15" i="94"/>
  <c r="D16" i="94"/>
  <c r="D17" i="94"/>
  <c r="D18" i="94"/>
  <c r="D19" i="94"/>
  <c r="D20" i="94"/>
  <c r="D21" i="94"/>
  <c r="D22" i="94"/>
  <c r="D23" i="94"/>
  <c r="D24" i="94"/>
  <c r="D25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D41" i="94"/>
  <c r="D42" i="94"/>
  <c r="D43" i="94"/>
  <c r="D44" i="94"/>
  <c r="D45" i="94"/>
  <c r="D46" i="94"/>
  <c r="D47" i="94"/>
  <c r="D48" i="94"/>
  <c r="D49" i="94"/>
  <c r="D50" i="94"/>
  <c r="D51" i="94"/>
  <c r="D52" i="94"/>
  <c r="D53" i="94"/>
  <c r="D54" i="94"/>
  <c r="D55" i="94"/>
  <c r="D56" i="94"/>
  <c r="D57" i="94"/>
  <c r="D58" i="94"/>
  <c r="D59" i="94"/>
  <c r="D60" i="94"/>
  <c r="D61" i="94"/>
  <c r="D62" i="94"/>
  <c r="D63" i="94"/>
  <c r="D64" i="94"/>
  <c r="D65" i="94"/>
  <c r="D66" i="94"/>
  <c r="D68" i="94"/>
  <c r="D69" i="94"/>
  <c r="D70" i="94"/>
  <c r="D71" i="94"/>
  <c r="D72" i="94"/>
  <c r="D73" i="94"/>
  <c r="D74" i="94"/>
  <c r="D75" i="94"/>
  <c r="D76" i="94"/>
  <c r="D77" i="94"/>
  <c r="D78" i="94"/>
  <c r="D79" i="94"/>
  <c r="D80" i="94"/>
  <c r="D81" i="94"/>
  <c r="D82" i="94"/>
  <c r="D83" i="94"/>
  <c r="D84" i="94"/>
  <c r="D85" i="94"/>
  <c r="D86" i="94"/>
  <c r="D87" i="94"/>
  <c r="D88" i="94"/>
  <c r="D89" i="94"/>
  <c r="D90" i="94"/>
  <c r="D91" i="94"/>
  <c r="D92" i="94"/>
  <c r="D93" i="94"/>
  <c r="D94" i="94"/>
  <c r="D95" i="94"/>
  <c r="D96" i="94"/>
  <c r="D97" i="94"/>
  <c r="D98" i="94"/>
  <c r="D99" i="94"/>
  <c r="D100" i="94"/>
  <c r="D102" i="94"/>
  <c r="D103" i="94"/>
  <c r="D104" i="94"/>
  <c r="D105" i="94"/>
  <c r="D106" i="94"/>
  <c r="D107" i="94"/>
  <c r="D108" i="94"/>
  <c r="D109" i="94"/>
  <c r="D110" i="94"/>
  <c r="D111" i="94"/>
  <c r="D113" i="94"/>
  <c r="D114" i="94"/>
  <c r="D115" i="94"/>
  <c r="D116" i="94"/>
  <c r="D117" i="94"/>
  <c r="D118" i="94"/>
  <c r="D119" i="94"/>
  <c r="AD352" i="8" l="1"/>
  <c r="A363" i="97" l="1"/>
  <c r="A362" i="97"/>
  <c r="A361" i="97"/>
  <c r="A360" i="97"/>
  <c r="A359" i="97"/>
  <c r="A358" i="97"/>
  <c r="A357" i="97"/>
  <c r="A356" i="97"/>
  <c r="A355" i="97"/>
  <c r="A354" i="97"/>
  <c r="A353" i="97"/>
  <c r="A352" i="97"/>
  <c r="A351" i="97"/>
  <c r="A350" i="97"/>
  <c r="A349" i="97"/>
  <c r="A348" i="97"/>
  <c r="A347" i="97"/>
  <c r="A346" i="97"/>
  <c r="A345" i="97"/>
  <c r="A344" i="97"/>
  <c r="A343" i="97"/>
  <c r="A342" i="97"/>
  <c r="A341" i="97"/>
  <c r="A340" i="97"/>
  <c r="A339" i="97"/>
  <c r="A338" i="97"/>
  <c r="A337" i="97"/>
  <c r="A336" i="97"/>
  <c r="A335" i="97"/>
  <c r="A334" i="97"/>
  <c r="A333" i="97"/>
  <c r="A332" i="97"/>
  <c r="A331" i="97"/>
  <c r="A330" i="97"/>
  <c r="A329" i="97"/>
  <c r="A328" i="97"/>
  <c r="A327" i="97"/>
  <c r="A326" i="97"/>
  <c r="A325" i="97"/>
  <c r="A324" i="97"/>
  <c r="A323" i="97"/>
  <c r="A322" i="97"/>
  <c r="A321" i="97"/>
  <c r="A320" i="97"/>
  <c r="A319" i="97"/>
  <c r="A318" i="97"/>
  <c r="A317" i="97"/>
  <c r="A316" i="97"/>
  <c r="A315" i="97"/>
  <c r="A314" i="97"/>
  <c r="A313" i="97"/>
  <c r="A312" i="97"/>
  <c r="A311" i="97"/>
  <c r="A310" i="97"/>
  <c r="A309" i="97"/>
  <c r="A308" i="97"/>
  <c r="A307" i="97"/>
  <c r="A306" i="97"/>
  <c r="A305" i="97"/>
  <c r="A304" i="97"/>
  <c r="A303" i="97"/>
  <c r="A302" i="97"/>
  <c r="A301" i="97"/>
  <c r="A300" i="97"/>
  <c r="A299" i="97"/>
  <c r="A298" i="97"/>
  <c r="A297" i="97"/>
  <c r="A296" i="97"/>
  <c r="A295" i="97"/>
  <c r="A294" i="97"/>
  <c r="A293" i="97"/>
  <c r="A292" i="97"/>
  <c r="A291" i="97"/>
  <c r="A290" i="97"/>
  <c r="A289" i="97"/>
  <c r="A288" i="97"/>
  <c r="A287" i="97"/>
  <c r="A286" i="97"/>
  <c r="A285" i="97"/>
  <c r="A284" i="97"/>
  <c r="A283" i="97"/>
  <c r="A282" i="97"/>
  <c r="A281" i="97"/>
  <c r="A280" i="97"/>
  <c r="A279" i="97"/>
  <c r="A278" i="97"/>
  <c r="A277" i="97"/>
  <c r="A276" i="97"/>
  <c r="A275" i="97"/>
  <c r="A274" i="97"/>
  <c r="A273" i="97"/>
  <c r="A272" i="97"/>
  <c r="A271" i="97"/>
  <c r="A270" i="97"/>
  <c r="A269" i="97"/>
  <c r="A268" i="97"/>
  <c r="A267" i="97"/>
  <c r="A266" i="97"/>
  <c r="A265" i="97"/>
  <c r="A264" i="97"/>
  <c r="A263" i="97"/>
  <c r="A262" i="97"/>
  <c r="A261" i="97"/>
  <c r="A260" i="97"/>
  <c r="A259" i="97"/>
  <c r="A258" i="97"/>
  <c r="A257" i="97"/>
  <c r="A256" i="97"/>
  <c r="A255" i="97"/>
  <c r="A254" i="97"/>
  <c r="A253" i="97"/>
  <c r="A252" i="97"/>
  <c r="A251" i="97"/>
  <c r="A250" i="97"/>
  <c r="A249" i="97"/>
  <c r="A248" i="97"/>
  <c r="A247" i="97"/>
  <c r="A246" i="97"/>
  <c r="A245" i="97"/>
  <c r="A244" i="97"/>
  <c r="A243" i="97"/>
  <c r="A242" i="97"/>
  <c r="A241" i="97"/>
  <c r="A240" i="97"/>
  <c r="A239" i="97"/>
  <c r="A238" i="97"/>
  <c r="A237" i="97"/>
  <c r="A236" i="97"/>
  <c r="A235" i="97"/>
  <c r="A234" i="97"/>
  <c r="A233" i="97"/>
  <c r="A232" i="97"/>
  <c r="A231" i="97"/>
  <c r="A230" i="97"/>
  <c r="A229" i="97"/>
  <c r="A228" i="97"/>
  <c r="A227" i="97"/>
  <c r="A226" i="97"/>
  <c r="A225" i="97"/>
  <c r="A224" i="97"/>
  <c r="A223" i="97"/>
  <c r="A222" i="97"/>
  <c r="A221" i="97"/>
  <c r="A220" i="97"/>
  <c r="A219" i="97"/>
  <c r="A218" i="97"/>
  <c r="A217" i="97"/>
  <c r="A216" i="97"/>
  <c r="A215" i="97"/>
  <c r="A214" i="97"/>
  <c r="A213" i="97"/>
  <c r="A212" i="97"/>
  <c r="A211" i="97"/>
  <c r="A210" i="97"/>
  <c r="A209" i="97"/>
  <c r="A208" i="97"/>
  <c r="A207" i="97"/>
  <c r="A206" i="97"/>
  <c r="A205" i="97"/>
  <c r="A204" i="97"/>
  <c r="A203" i="97"/>
  <c r="A202" i="97"/>
  <c r="A201" i="97"/>
  <c r="A200" i="97"/>
  <c r="A199" i="97"/>
  <c r="A198" i="97"/>
  <c r="A197" i="97"/>
  <c r="A196" i="97"/>
  <c r="A195" i="97"/>
  <c r="A194" i="97"/>
  <c r="A193" i="97"/>
  <c r="A192" i="97"/>
  <c r="A191" i="97"/>
  <c r="A190" i="97"/>
  <c r="A189" i="97"/>
  <c r="A188" i="97"/>
  <c r="A187" i="97"/>
  <c r="A186" i="97"/>
  <c r="A185" i="97"/>
  <c r="A184" i="97"/>
  <c r="A183" i="97"/>
  <c r="A182" i="97"/>
  <c r="A181" i="97"/>
  <c r="A180" i="97"/>
  <c r="A179" i="97"/>
  <c r="A178" i="97"/>
  <c r="A177" i="97"/>
  <c r="A176" i="97"/>
  <c r="A175" i="97"/>
  <c r="A174" i="97"/>
  <c r="A173" i="97"/>
  <c r="A172" i="97"/>
  <c r="A171" i="97"/>
  <c r="A170" i="97"/>
  <c r="A169" i="97"/>
  <c r="A168" i="97"/>
  <c r="A167" i="97"/>
  <c r="A166" i="97"/>
  <c r="A165" i="97"/>
  <c r="A164" i="97"/>
  <c r="A163" i="97"/>
  <c r="A162" i="97"/>
  <c r="A161" i="97"/>
  <c r="A160" i="97"/>
  <c r="A159" i="97"/>
  <c r="A158" i="97"/>
  <c r="A157" i="97"/>
  <c r="A156" i="97"/>
  <c r="A155" i="97"/>
  <c r="A154" i="97"/>
  <c r="A153" i="97"/>
  <c r="A152" i="97"/>
  <c r="A151" i="97"/>
  <c r="A150" i="97"/>
  <c r="A149" i="97"/>
  <c r="A148" i="97"/>
  <c r="A147" i="97"/>
  <c r="A146" i="97"/>
  <c r="A145" i="97"/>
  <c r="A144" i="97"/>
  <c r="A143" i="97"/>
  <c r="A142" i="97"/>
  <c r="A141" i="97"/>
  <c r="A140" i="97"/>
  <c r="A139" i="97"/>
  <c r="A138" i="97"/>
  <c r="A137" i="97"/>
  <c r="A136" i="97"/>
  <c r="A135" i="97"/>
  <c r="A134" i="97"/>
  <c r="A133" i="97"/>
  <c r="A132" i="97"/>
  <c r="A131" i="97"/>
  <c r="A130" i="97"/>
  <c r="A129" i="97"/>
  <c r="A128" i="97"/>
  <c r="A127" i="97"/>
  <c r="A126" i="97"/>
  <c r="A125" i="97"/>
  <c r="A124" i="97"/>
  <c r="A123" i="97"/>
  <c r="A122" i="97"/>
  <c r="A121" i="97"/>
  <c r="A120" i="97"/>
  <c r="A119" i="97"/>
  <c r="A118" i="97"/>
  <c r="A117" i="97"/>
  <c r="A116" i="97"/>
  <c r="A115" i="97"/>
  <c r="A114" i="97"/>
  <c r="A113" i="97"/>
  <c r="A112" i="97"/>
  <c r="A111" i="97"/>
  <c r="A110" i="97"/>
  <c r="A109" i="97"/>
  <c r="A108" i="97"/>
  <c r="A107" i="97"/>
  <c r="A106" i="97"/>
  <c r="A105" i="97"/>
  <c r="A104" i="97"/>
  <c r="A103" i="97"/>
  <c r="A102" i="97"/>
  <c r="A101" i="97"/>
  <c r="A100" i="97"/>
  <c r="A99" i="97"/>
  <c r="A98" i="97"/>
  <c r="A97" i="97"/>
  <c r="A96" i="97"/>
  <c r="A95" i="97"/>
  <c r="A94" i="97"/>
  <c r="A93" i="97"/>
  <c r="A92" i="97"/>
  <c r="A91" i="97"/>
  <c r="A90" i="97"/>
  <c r="A89" i="97"/>
  <c r="A88" i="97"/>
  <c r="A87" i="97"/>
  <c r="A86" i="97"/>
  <c r="A85" i="97"/>
  <c r="A84" i="97"/>
  <c r="A83" i="97"/>
  <c r="A82" i="97"/>
  <c r="A81" i="97"/>
  <c r="A80" i="97"/>
  <c r="A79" i="97"/>
  <c r="A78" i="97"/>
  <c r="A77" i="97"/>
  <c r="A76" i="97"/>
  <c r="A75" i="97"/>
  <c r="A74" i="97"/>
  <c r="A73" i="97"/>
  <c r="A72" i="97"/>
  <c r="A71" i="97"/>
  <c r="A70" i="97"/>
  <c r="A69" i="97"/>
  <c r="A68" i="97"/>
  <c r="A67" i="97"/>
  <c r="A66" i="97"/>
  <c r="A65" i="97"/>
  <c r="A64" i="97"/>
  <c r="A63" i="97"/>
  <c r="A62" i="97"/>
  <c r="A61" i="97"/>
  <c r="A60" i="97"/>
  <c r="A59" i="97"/>
  <c r="A58" i="97"/>
  <c r="A57" i="97"/>
  <c r="A56" i="97"/>
  <c r="A55" i="97"/>
  <c r="A54" i="97"/>
  <c r="A53" i="97"/>
  <c r="A52" i="97"/>
  <c r="A51" i="97"/>
  <c r="A50" i="97"/>
  <c r="A49" i="97"/>
  <c r="A48" i="97"/>
  <c r="A47" i="97"/>
  <c r="A46" i="97"/>
  <c r="A45" i="97"/>
  <c r="A44" i="97"/>
  <c r="A43" i="97"/>
  <c r="A42" i="97"/>
  <c r="A41" i="97"/>
  <c r="A40" i="97"/>
  <c r="A39" i="97"/>
  <c r="A38" i="97"/>
  <c r="A37" i="97"/>
  <c r="A36" i="97"/>
  <c r="A35" i="97"/>
  <c r="A34" i="97"/>
  <c r="A33" i="97"/>
  <c r="A32" i="97"/>
  <c r="A31" i="97"/>
  <c r="A30" i="97"/>
  <c r="A29" i="97"/>
  <c r="A28" i="97"/>
  <c r="A27" i="97"/>
  <c r="A26" i="97"/>
  <c r="A25" i="97"/>
  <c r="A24" i="97"/>
  <c r="A23" i="97"/>
  <c r="A22" i="97"/>
  <c r="A21" i="97"/>
  <c r="A20" i="97"/>
  <c r="A19" i="97"/>
  <c r="A18" i="97"/>
  <c r="A17" i="97"/>
  <c r="A16" i="97"/>
  <c r="A15" i="97"/>
  <c r="A14" i="97"/>
  <c r="A13" i="97"/>
  <c r="A12" i="97"/>
  <c r="A11" i="97"/>
  <c r="A10" i="97"/>
  <c r="A9" i="97"/>
  <c r="A8" i="97"/>
  <c r="A7" i="97"/>
  <c r="AO4" i="97"/>
  <c r="AN4" i="97"/>
  <c r="AM4" i="97"/>
  <c r="AL4" i="97"/>
  <c r="AK4" i="97"/>
  <c r="AJ4" i="97"/>
  <c r="AI4" i="97"/>
  <c r="AH4" i="97"/>
  <c r="AG4" i="97"/>
  <c r="AF4" i="97"/>
  <c r="AE4" i="97"/>
  <c r="AD4" i="97"/>
  <c r="AC4" i="97"/>
  <c r="AB4" i="97"/>
  <c r="AA4" i="97"/>
  <c r="Z4" i="97"/>
  <c r="Y4" i="97"/>
  <c r="X4" i="97"/>
  <c r="W4" i="97"/>
  <c r="V4" i="97"/>
  <c r="U4" i="97"/>
  <c r="T4" i="97"/>
  <c r="S4" i="97"/>
  <c r="R4" i="97"/>
  <c r="Q4" i="97"/>
  <c r="P4" i="97"/>
  <c r="O4" i="97"/>
  <c r="N4" i="97"/>
  <c r="M4" i="97"/>
  <c r="L4" i="97"/>
  <c r="K4" i="97"/>
  <c r="J4" i="97"/>
  <c r="I4" i="97"/>
  <c r="H4" i="97"/>
  <c r="G4" i="97"/>
  <c r="F4" i="97"/>
  <c r="E4" i="97"/>
  <c r="D4" i="97"/>
  <c r="H394" i="36" l="1"/>
  <c r="H395" i="36"/>
  <c r="H393" i="36"/>
  <c r="H392" i="36"/>
  <c r="D413" i="94"/>
  <c r="D412" i="94"/>
  <c r="L394" i="8" l="1"/>
  <c r="AC394" i="8" s="1"/>
  <c r="L394" i="9"/>
  <c r="L391" i="8"/>
  <c r="AC391" i="8" s="1"/>
  <c r="L391" i="9"/>
  <c r="L392" i="8"/>
  <c r="AC392" i="8" s="1"/>
  <c r="L392" i="9"/>
  <c r="L393" i="8"/>
  <c r="AC393" i="8" s="1"/>
  <c r="L393" i="9"/>
  <c r="AH395" i="36"/>
  <c r="M394" i="6"/>
  <c r="AD394" i="6" s="1"/>
  <c r="AH392" i="36"/>
  <c r="M391" i="6"/>
  <c r="AD391" i="6" s="1"/>
  <c r="AH393" i="36"/>
  <c r="M392" i="6"/>
  <c r="AD392" i="6" s="1"/>
  <c r="AH394" i="36"/>
  <c r="M393" i="6"/>
  <c r="AD393" i="6" s="1"/>
  <c r="M393" i="8" l="1"/>
  <c r="AD393" i="8"/>
  <c r="M394" i="8"/>
  <c r="AD394" i="8"/>
  <c r="M393" i="9"/>
  <c r="AC393" i="9"/>
  <c r="M392" i="8"/>
  <c r="AD392" i="8"/>
  <c r="M391" i="8"/>
  <c r="AD391" i="8"/>
  <c r="M394" i="9"/>
  <c r="AC394" i="9"/>
  <c r="M392" i="9"/>
  <c r="AC392" i="9"/>
  <c r="M391" i="9"/>
  <c r="AC391" i="9"/>
  <c r="H378" i="36" l="1"/>
  <c r="H18" i="36"/>
  <c r="L377" i="8" l="1"/>
  <c r="AC377" i="8" s="1"/>
  <c r="L377" i="9"/>
  <c r="L17" i="8"/>
  <c r="L17" i="9"/>
  <c r="AH18" i="36"/>
  <c r="M17" i="6"/>
  <c r="AD17" i="6" s="1"/>
  <c r="AH378" i="36"/>
  <c r="M377" i="6"/>
  <c r="AD377" i="6" s="1"/>
  <c r="M377" i="8" l="1"/>
  <c r="AD377" i="8"/>
  <c r="M377" i="9"/>
  <c r="AC377" i="9"/>
  <c r="H19" i="36"/>
  <c r="L18" i="8" l="1"/>
  <c r="L18" i="9"/>
  <c r="AH19" i="36"/>
  <c r="M18" i="6"/>
  <c r="AD18" i="6" s="1"/>
  <c r="M18" i="8" l="1"/>
  <c r="AC18" i="8"/>
  <c r="AD18" i="8"/>
  <c r="M18" i="9"/>
  <c r="AC18" i="9"/>
  <c r="X17" i="8" l="1"/>
  <c r="X17" i="9"/>
  <c r="Y17" i="9" l="1"/>
  <c r="AC17" i="9" s="1"/>
  <c r="Z17" i="9"/>
  <c r="Z17" i="8"/>
  <c r="Y17" i="8"/>
  <c r="AD17" i="8" l="1"/>
  <c r="AC17" i="8"/>
  <c r="M17" i="9"/>
  <c r="M17" i="8"/>
  <c r="H361" i="36" l="1"/>
  <c r="H362" i="36"/>
  <c r="H363" i="36"/>
  <c r="H364" i="36"/>
  <c r="H365" i="36"/>
  <c r="H366" i="36"/>
  <c r="H367" i="36"/>
  <c r="H368" i="36"/>
  <c r="H369" i="36"/>
  <c r="H370" i="36"/>
  <c r="H371" i="36"/>
  <c r="H372" i="36"/>
  <c r="H373" i="36"/>
  <c r="H374" i="36"/>
  <c r="H375" i="36"/>
  <c r="H376" i="36"/>
  <c r="H377" i="36"/>
  <c r="H379" i="36"/>
  <c r="H380" i="36"/>
  <c r="H381" i="36"/>
  <c r="H382" i="36"/>
  <c r="H383" i="36"/>
  <c r="H384" i="36"/>
  <c r="H385" i="36"/>
  <c r="H386" i="36"/>
  <c r="H387" i="36"/>
  <c r="H388" i="36"/>
  <c r="H389" i="36"/>
  <c r="H390" i="36"/>
  <c r="H391" i="36"/>
  <c r="L389" i="8" l="1"/>
  <c r="AC389" i="8" s="1"/>
  <c r="L389" i="9"/>
  <c r="L388" i="8"/>
  <c r="AC388" i="8" s="1"/>
  <c r="L388" i="9"/>
  <c r="L384" i="8"/>
  <c r="AC384" i="8" s="1"/>
  <c r="L384" i="9"/>
  <c r="L380" i="8"/>
  <c r="L380" i="9"/>
  <c r="L375" i="8"/>
  <c r="AC375" i="8" s="1"/>
  <c r="L375" i="9"/>
  <c r="L371" i="8"/>
  <c r="L371" i="9"/>
  <c r="L367" i="8"/>
  <c r="AC367" i="8" s="1"/>
  <c r="L367" i="9"/>
  <c r="L363" i="8"/>
  <c r="AC363" i="8" s="1"/>
  <c r="L363" i="9"/>
  <c r="L387" i="8"/>
  <c r="AC387" i="8" s="1"/>
  <c r="L387" i="9"/>
  <c r="L383" i="8"/>
  <c r="L383" i="9"/>
  <c r="L379" i="8"/>
  <c r="AC379" i="8" s="1"/>
  <c r="L379" i="9"/>
  <c r="L374" i="8"/>
  <c r="L374" i="9"/>
  <c r="L370" i="8"/>
  <c r="L370" i="9"/>
  <c r="L366" i="8"/>
  <c r="AC366" i="8" s="1"/>
  <c r="L366" i="9"/>
  <c r="L362" i="8"/>
  <c r="AC362" i="8" s="1"/>
  <c r="L362" i="9"/>
  <c r="L386" i="8"/>
  <c r="AC386" i="8" s="1"/>
  <c r="L386" i="9"/>
  <c r="L382" i="8"/>
  <c r="AC382" i="8" s="1"/>
  <c r="L382" i="9"/>
  <c r="L378" i="8"/>
  <c r="L378" i="9"/>
  <c r="L373" i="8"/>
  <c r="L373" i="9"/>
  <c r="L369" i="8"/>
  <c r="AC369" i="8" s="1"/>
  <c r="L369" i="9"/>
  <c r="L365" i="8"/>
  <c r="AC365" i="8" s="1"/>
  <c r="L365" i="9"/>
  <c r="L361" i="8"/>
  <c r="L361" i="9"/>
  <c r="L390" i="8"/>
  <c r="AC390" i="8" s="1"/>
  <c r="L390" i="9"/>
  <c r="L385" i="8"/>
  <c r="AC385" i="8" s="1"/>
  <c r="L385" i="9"/>
  <c r="L381" i="8"/>
  <c r="AC381" i="8" s="1"/>
  <c r="L381" i="9"/>
  <c r="L376" i="8"/>
  <c r="AC376" i="8" s="1"/>
  <c r="L376" i="9"/>
  <c r="L372" i="8"/>
  <c r="L372" i="9"/>
  <c r="L368" i="8"/>
  <c r="L368" i="9"/>
  <c r="L364" i="8"/>
  <c r="L364" i="9"/>
  <c r="L360" i="8"/>
  <c r="AC360" i="8" s="1"/>
  <c r="L360" i="9"/>
  <c r="AH390" i="36"/>
  <c r="M389" i="6"/>
  <c r="AD389" i="6" s="1"/>
  <c r="AH389" i="36"/>
  <c r="M388" i="6"/>
  <c r="AD388" i="6" s="1"/>
  <c r="AH385" i="36"/>
  <c r="M384" i="6"/>
  <c r="AD384" i="6" s="1"/>
  <c r="AH381" i="36"/>
  <c r="M380" i="6"/>
  <c r="AH376" i="36"/>
  <c r="M375" i="6"/>
  <c r="AD375" i="6" s="1"/>
  <c r="AH372" i="36"/>
  <c r="M371" i="6"/>
  <c r="AH368" i="36"/>
  <c r="M367" i="6"/>
  <c r="AD367" i="6" s="1"/>
  <c r="AH364" i="36"/>
  <c r="M363" i="6"/>
  <c r="AD363" i="6" s="1"/>
  <c r="AH388" i="36"/>
  <c r="M387" i="6"/>
  <c r="AD387" i="6" s="1"/>
  <c r="AH384" i="36"/>
  <c r="M383" i="6"/>
  <c r="AH380" i="36"/>
  <c r="M379" i="6"/>
  <c r="AD379" i="6" s="1"/>
  <c r="AH375" i="36"/>
  <c r="M374" i="6"/>
  <c r="AH371" i="36"/>
  <c r="M370" i="6"/>
  <c r="AH367" i="36"/>
  <c r="M366" i="6"/>
  <c r="AD366" i="6" s="1"/>
  <c r="AH363" i="36"/>
  <c r="M362" i="6"/>
  <c r="AD362" i="6" s="1"/>
  <c r="AH387" i="36"/>
  <c r="M386" i="6"/>
  <c r="AD386" i="6" s="1"/>
  <c r="AH383" i="36"/>
  <c r="M382" i="6"/>
  <c r="AD382" i="6" s="1"/>
  <c r="AH379" i="36"/>
  <c r="M378" i="6"/>
  <c r="AH374" i="36"/>
  <c r="M373" i="6"/>
  <c r="AH370" i="36"/>
  <c r="M369" i="6"/>
  <c r="AD369" i="6" s="1"/>
  <c r="AH366" i="36"/>
  <c r="M365" i="6"/>
  <c r="AD365" i="6" s="1"/>
  <c r="AH362" i="36"/>
  <c r="M361" i="6"/>
  <c r="AH391" i="36"/>
  <c r="M390" i="6"/>
  <c r="AD390" i="6" s="1"/>
  <c r="AH386" i="36"/>
  <c r="M385" i="6"/>
  <c r="AD385" i="6" s="1"/>
  <c r="AH382" i="36"/>
  <c r="M381" i="6"/>
  <c r="AD381" i="6" s="1"/>
  <c r="AH377" i="36"/>
  <c r="M376" i="6"/>
  <c r="AD376" i="6" s="1"/>
  <c r="AH373" i="36"/>
  <c r="M372" i="6"/>
  <c r="AH369" i="36"/>
  <c r="M368" i="6"/>
  <c r="AH365" i="36"/>
  <c r="M364" i="6"/>
  <c r="AH361" i="36"/>
  <c r="M360" i="6"/>
  <c r="AD360" i="6" s="1"/>
  <c r="D360" i="94"/>
  <c r="D361" i="94"/>
  <c r="D362" i="94"/>
  <c r="D363" i="94"/>
  <c r="D364" i="94"/>
  <c r="D365" i="94"/>
  <c r="D366" i="94"/>
  <c r="D368" i="94"/>
  <c r="D369" i="94"/>
  <c r="D370" i="94"/>
  <c r="D371" i="94"/>
  <c r="D372" i="94"/>
  <c r="D373" i="94"/>
  <c r="D374" i="94"/>
  <c r="D375" i="94"/>
  <c r="D376" i="94"/>
  <c r="D377" i="94"/>
  <c r="D378" i="94"/>
  <c r="D379" i="94"/>
  <c r="D380" i="94"/>
  <c r="D381" i="94"/>
  <c r="D382" i="94"/>
  <c r="D383" i="94"/>
  <c r="D384" i="94"/>
  <c r="D385" i="94"/>
  <c r="D386" i="94"/>
  <c r="D387" i="94"/>
  <c r="D388" i="94"/>
  <c r="D389" i="94"/>
  <c r="D390" i="94"/>
  <c r="D391" i="94"/>
  <c r="D392" i="94"/>
  <c r="D393" i="94"/>
  <c r="D394" i="94"/>
  <c r="D395" i="94"/>
  <c r="D396" i="94"/>
  <c r="D397" i="94"/>
  <c r="D398" i="94"/>
  <c r="D399" i="94"/>
  <c r="D400" i="94"/>
  <c r="D401" i="94"/>
  <c r="D402" i="94"/>
  <c r="D403" i="94"/>
  <c r="D404" i="94"/>
  <c r="D405" i="94"/>
  <c r="D407" i="94"/>
  <c r="D408" i="94"/>
  <c r="D409" i="94"/>
  <c r="D410" i="94"/>
  <c r="D411" i="94"/>
  <c r="D120" i="94"/>
  <c r="D121" i="94"/>
  <c r="D122" i="94"/>
  <c r="D123" i="94"/>
  <c r="D124" i="94"/>
  <c r="D125" i="94"/>
  <c r="D126" i="94"/>
  <c r="D127" i="94"/>
  <c r="D128" i="94"/>
  <c r="D129" i="94"/>
  <c r="D130" i="94"/>
  <c r="D131" i="94"/>
  <c r="D132" i="94"/>
  <c r="D133" i="94"/>
  <c r="D134" i="94"/>
  <c r="D135" i="94"/>
  <c r="D136" i="94"/>
  <c r="D137" i="94"/>
  <c r="D138" i="94"/>
  <c r="D139" i="94"/>
  <c r="D140" i="94"/>
  <c r="D141" i="94"/>
  <c r="D142" i="94"/>
  <c r="D143" i="94"/>
  <c r="D144" i="94"/>
  <c r="D145" i="94"/>
  <c r="D146" i="94"/>
  <c r="D147" i="94"/>
  <c r="D148" i="94"/>
  <c r="D149" i="94"/>
  <c r="D150" i="94"/>
  <c r="D151" i="94"/>
  <c r="D152" i="94"/>
  <c r="D153" i="94"/>
  <c r="D154" i="94"/>
  <c r="D155" i="94"/>
  <c r="D156" i="94"/>
  <c r="D157" i="94"/>
  <c r="D158" i="94"/>
  <c r="D159" i="94"/>
  <c r="D160" i="94"/>
  <c r="D161" i="94"/>
  <c r="D162" i="94"/>
  <c r="D163" i="94"/>
  <c r="D164" i="94"/>
  <c r="D165" i="94"/>
  <c r="D167" i="94"/>
  <c r="D168" i="94"/>
  <c r="D169" i="94"/>
  <c r="D170" i="94"/>
  <c r="D171" i="94"/>
  <c r="D172" i="94"/>
  <c r="D173" i="94"/>
  <c r="D174" i="94"/>
  <c r="D175" i="94"/>
  <c r="D176" i="94"/>
  <c r="D177" i="94"/>
  <c r="D178" i="94"/>
  <c r="D179" i="94"/>
  <c r="D180" i="94"/>
  <c r="D181" i="94"/>
  <c r="D182" i="94"/>
  <c r="D183" i="94"/>
  <c r="D184" i="94"/>
  <c r="D185" i="94"/>
  <c r="D186" i="94"/>
  <c r="D188" i="94"/>
  <c r="D189" i="94"/>
  <c r="D190" i="94"/>
  <c r="D191" i="94"/>
  <c r="D192" i="94"/>
  <c r="D193" i="94"/>
  <c r="D194" i="94"/>
  <c r="D195" i="94"/>
  <c r="D196" i="94"/>
  <c r="D197" i="94"/>
  <c r="D198" i="94"/>
  <c r="D199" i="94"/>
  <c r="D200" i="94"/>
  <c r="D201" i="94"/>
  <c r="D202" i="94"/>
  <c r="D203" i="94"/>
  <c r="D204" i="94"/>
  <c r="D205" i="94"/>
  <c r="D206" i="94"/>
  <c r="D207" i="94"/>
  <c r="D208" i="94"/>
  <c r="D209" i="94"/>
  <c r="D210" i="94"/>
  <c r="D211" i="94"/>
  <c r="D212" i="94"/>
  <c r="D213" i="94"/>
  <c r="D214" i="94"/>
  <c r="D215" i="94"/>
  <c r="D216" i="94"/>
  <c r="D217" i="94"/>
  <c r="D218" i="94"/>
  <c r="D219" i="94"/>
  <c r="D220" i="94"/>
  <c r="D221" i="94"/>
  <c r="D222" i="94"/>
  <c r="D223" i="94"/>
  <c r="D225" i="94"/>
  <c r="D226" i="94"/>
  <c r="D227" i="94"/>
  <c r="D228" i="94"/>
  <c r="D230" i="94"/>
  <c r="D232" i="94"/>
  <c r="D234" i="94"/>
  <c r="D235" i="94"/>
  <c r="D236" i="94"/>
  <c r="D237" i="94"/>
  <c r="D238" i="94"/>
  <c r="D240" i="94"/>
  <c r="D242" i="94"/>
  <c r="D246" i="94"/>
  <c r="D247" i="94"/>
  <c r="D248" i="94"/>
  <c r="D249" i="94"/>
  <c r="D250" i="94"/>
  <c r="D251" i="94"/>
  <c r="D253" i="94"/>
  <c r="D254" i="94"/>
  <c r="D256" i="94"/>
  <c r="D257" i="94"/>
  <c r="D258" i="94"/>
  <c r="D259" i="94"/>
  <c r="D261" i="94"/>
  <c r="D262" i="94"/>
  <c r="D263" i="94"/>
  <c r="D265" i="94"/>
  <c r="D266" i="94"/>
  <c r="D268" i="94"/>
  <c r="D270" i="94"/>
  <c r="D271" i="94"/>
  <c r="D274" i="94"/>
  <c r="D277" i="94"/>
  <c r="D278" i="94"/>
  <c r="D279" i="94"/>
  <c r="D282" i="94"/>
  <c r="D286" i="94"/>
  <c r="D288" i="94"/>
  <c r="D290" i="94"/>
  <c r="D291" i="94"/>
  <c r="D293" i="94"/>
  <c r="D294" i="94"/>
  <c r="D295" i="94"/>
  <c r="D297" i="94"/>
  <c r="D298" i="94"/>
  <c r="D302" i="94"/>
  <c r="D304" i="94"/>
  <c r="D306" i="94"/>
  <c r="D307" i="94"/>
  <c r="D310" i="94"/>
  <c r="D311" i="94"/>
  <c r="D313" i="94"/>
  <c r="D314" i="94"/>
  <c r="D316" i="94"/>
  <c r="D318" i="94"/>
  <c r="D322" i="94"/>
  <c r="D326" i="94"/>
  <c r="D327" i="94"/>
  <c r="D328" i="94"/>
  <c r="D330" i="94"/>
  <c r="D331" i="94"/>
  <c r="D332" i="94"/>
  <c r="D334" i="94"/>
  <c r="D335" i="94"/>
  <c r="D336" i="94"/>
  <c r="D338" i="94"/>
  <c r="D342" i="94"/>
  <c r="D346" i="94"/>
  <c r="D347" i="94"/>
  <c r="D348" i="94"/>
  <c r="D350" i="94"/>
  <c r="D351" i="94"/>
  <c r="D353" i="94"/>
  <c r="D354" i="94"/>
  <c r="D355" i="94"/>
  <c r="D357" i="94"/>
  <c r="D358" i="94"/>
  <c r="M379" i="8" l="1"/>
  <c r="AD379" i="8"/>
  <c r="M362" i="8"/>
  <c r="AD362" i="8"/>
  <c r="M387" i="9"/>
  <c r="AC387" i="9"/>
  <c r="M363" i="9"/>
  <c r="AC363" i="9"/>
  <c r="M375" i="9"/>
  <c r="AC375" i="9"/>
  <c r="M384" i="8"/>
  <c r="AD384" i="8"/>
  <c r="M388" i="9"/>
  <c r="AC388" i="9"/>
  <c r="M360" i="8"/>
  <c r="AD360" i="8"/>
  <c r="M376" i="8"/>
  <c r="AD376" i="8"/>
  <c r="M381" i="9"/>
  <c r="AC381" i="9"/>
  <c r="M365" i="8"/>
  <c r="AD365" i="8"/>
  <c r="M382" i="8"/>
  <c r="AD382" i="8"/>
  <c r="M366" i="8"/>
  <c r="AD366" i="8"/>
  <c r="M379" i="9"/>
  <c r="AC379" i="9"/>
  <c r="M366" i="9"/>
  <c r="AC366" i="9"/>
  <c r="M362" i="9"/>
  <c r="AC362" i="9"/>
  <c r="M384" i="9"/>
  <c r="AC384" i="9"/>
  <c r="M376" i="9"/>
  <c r="AC376" i="9"/>
  <c r="M385" i="8"/>
  <c r="AD385" i="8"/>
  <c r="M365" i="9"/>
  <c r="AC365" i="9"/>
  <c r="M382" i="9"/>
  <c r="AC382" i="9"/>
  <c r="M367" i="8"/>
  <c r="AD367" i="8"/>
  <c r="M381" i="8"/>
  <c r="AD381" i="8"/>
  <c r="M385" i="9"/>
  <c r="AC385" i="9"/>
  <c r="AD390" i="8"/>
  <c r="M369" i="8"/>
  <c r="AD369" i="8"/>
  <c r="M386" i="8"/>
  <c r="AD386" i="8"/>
  <c r="M389" i="8"/>
  <c r="AD389" i="8"/>
  <c r="M387" i="8"/>
  <c r="AD387" i="8"/>
  <c r="M363" i="8"/>
  <c r="AD363" i="8"/>
  <c r="M367" i="9"/>
  <c r="AC367" i="9"/>
  <c r="M375" i="8"/>
  <c r="AD375" i="8"/>
  <c r="M388" i="8"/>
  <c r="AD388" i="8"/>
  <c r="M389" i="9"/>
  <c r="AC389" i="9"/>
  <c r="M360" i="9"/>
  <c r="AC360" i="9"/>
  <c r="M390" i="9"/>
  <c r="AC390" i="9"/>
  <c r="M369" i="9"/>
  <c r="AC369" i="9"/>
  <c r="M386" i="9"/>
  <c r="AC386" i="9"/>
  <c r="W378" i="9"/>
  <c r="W378" i="8"/>
  <c r="AD378" i="6"/>
  <c r="AD370" i="6"/>
  <c r="X370" i="8"/>
  <c r="X370" i="9"/>
  <c r="X383" i="8"/>
  <c r="X383" i="9"/>
  <c r="AD383" i="6"/>
  <c r="AD372" i="6"/>
  <c r="X372" i="8"/>
  <c r="X372" i="9"/>
  <c r="X374" i="9"/>
  <c r="AD374" i="6"/>
  <c r="X374" i="8"/>
  <c r="AD368" i="6"/>
  <c r="X368" i="8"/>
  <c r="X368" i="9"/>
  <c r="X364" i="8"/>
  <c r="AD364" i="6"/>
  <c r="X364" i="9"/>
  <c r="AD373" i="6"/>
  <c r="X373" i="8"/>
  <c r="X373" i="9"/>
  <c r="X380" i="8"/>
  <c r="Z380" i="8" s="1"/>
  <c r="X380" i="9"/>
  <c r="AD380" i="6"/>
  <c r="X361" i="8"/>
  <c r="X361" i="9"/>
  <c r="AD361" i="6"/>
  <c r="X371" i="8"/>
  <c r="X371" i="9"/>
  <c r="AD371" i="6"/>
  <c r="D337" i="94"/>
  <c r="D273" i="94"/>
  <c r="D321" i="94"/>
  <c r="D305" i="94"/>
  <c r="D241" i="94"/>
  <c r="D289" i="94"/>
  <c r="D349" i="94"/>
  <c r="D333" i="94"/>
  <c r="D317" i="94"/>
  <c r="D301" i="94"/>
  <c r="D285" i="94"/>
  <c r="D269" i="94"/>
  <c r="D345" i="94"/>
  <c r="D329" i="94"/>
  <c r="D281" i="94"/>
  <c r="D233" i="94"/>
  <c r="D341" i="94"/>
  <c r="D325" i="94"/>
  <c r="D309" i="94"/>
  <c r="D245" i="94"/>
  <c r="D229" i="94"/>
  <c r="D356" i="94"/>
  <c r="D352" i="94"/>
  <c r="D344" i="94"/>
  <c r="D340" i="94"/>
  <c r="D324" i="94"/>
  <c r="D320" i="94"/>
  <c r="D312" i="94"/>
  <c r="D308" i="94"/>
  <c r="D296" i="94"/>
  <c r="D292" i="94"/>
  <c r="D284" i="94"/>
  <c r="D280" i="94"/>
  <c r="D276" i="94"/>
  <c r="D272" i="94"/>
  <c r="D264" i="94"/>
  <c r="D260" i="94"/>
  <c r="D252" i="94"/>
  <c r="D244" i="94"/>
  <c r="D224" i="94"/>
  <c r="D359" i="94"/>
  <c r="D343" i="94"/>
  <c r="D339" i="94"/>
  <c r="D323" i="94"/>
  <c r="D319" i="94"/>
  <c r="D315" i="94"/>
  <c r="D303" i="94"/>
  <c r="D299" i="94"/>
  <c r="D287" i="94"/>
  <c r="D283" i="94"/>
  <c r="D275" i="94"/>
  <c r="D267" i="94"/>
  <c r="D255" i="94"/>
  <c r="D243" i="94"/>
  <c r="D239" i="94"/>
  <c r="D231" i="94"/>
  <c r="D187" i="94"/>
  <c r="D2" i="94" l="1"/>
  <c r="Z372" i="9"/>
  <c r="Y372" i="9"/>
  <c r="AC372" i="9" s="1"/>
  <c r="Y370" i="9"/>
  <c r="AC370" i="9" s="1"/>
  <c r="Z370" i="9"/>
  <c r="Z368" i="9"/>
  <c r="Y368" i="9"/>
  <c r="AC368" i="9" s="1"/>
  <c r="Z383" i="9"/>
  <c r="Y383" i="9"/>
  <c r="AC383" i="9" s="1"/>
  <c r="Z371" i="9"/>
  <c r="Y371" i="9"/>
  <c r="AC371" i="9" s="1"/>
  <c r="Z380" i="9"/>
  <c r="Y380" i="9"/>
  <c r="AC380" i="9" s="1"/>
  <c r="Z378" i="9"/>
  <c r="Y378" i="9"/>
  <c r="AC378" i="9" s="1"/>
  <c r="Z374" i="9"/>
  <c r="Y374" i="9"/>
  <c r="AC374" i="9" s="1"/>
  <c r="Z361" i="9"/>
  <c r="Y361" i="9"/>
  <c r="AC361" i="9" s="1"/>
  <c r="Z373" i="8"/>
  <c r="Y373" i="8"/>
  <c r="AC373" i="8" s="1"/>
  <c r="Z368" i="8"/>
  <c r="Y368" i="8"/>
  <c r="AC368" i="8" s="1"/>
  <c r="Y371" i="8"/>
  <c r="AC371" i="8" s="1"/>
  <c r="Z371" i="8"/>
  <c r="Y380" i="8"/>
  <c r="AC380" i="8" s="1"/>
  <c r="Y364" i="8"/>
  <c r="AC364" i="8" s="1"/>
  <c r="Z364" i="8"/>
  <c r="Z361" i="8"/>
  <c r="Y361" i="8"/>
  <c r="AC361" i="8" s="1"/>
  <c r="Y372" i="8"/>
  <c r="AC372" i="8" s="1"/>
  <c r="Z372" i="8"/>
  <c r="Y370" i="8"/>
  <c r="AC370" i="8" s="1"/>
  <c r="Z370" i="8"/>
  <c r="Z378" i="8"/>
  <c r="Y378" i="8"/>
  <c r="AC378" i="8" s="1"/>
  <c r="Y373" i="9"/>
  <c r="AC373" i="9" s="1"/>
  <c r="Z373" i="9"/>
  <c r="Y364" i="9"/>
  <c r="AC364" i="9" s="1"/>
  <c r="Z364" i="9"/>
  <c r="Y374" i="8"/>
  <c r="AC374" i="8" s="1"/>
  <c r="Z374" i="8"/>
  <c r="Z383" i="8"/>
  <c r="Y383" i="8"/>
  <c r="AC383" i="8" s="1"/>
  <c r="AD372" i="8" l="1"/>
  <c r="AD364" i="8"/>
  <c r="AD371" i="8"/>
  <c r="AD361" i="8"/>
  <c r="AD380" i="8"/>
  <c r="AD368" i="8"/>
  <c r="AD374" i="8"/>
  <c r="AD370" i="8"/>
  <c r="AD383" i="8"/>
  <c r="AD378" i="8"/>
  <c r="AD373" i="8"/>
  <c r="M364" i="9"/>
  <c r="M373" i="9"/>
  <c r="M361" i="9"/>
  <c r="M374" i="9"/>
  <c r="M378" i="9"/>
  <c r="M380" i="9"/>
  <c r="M371" i="9"/>
  <c r="M368" i="9"/>
  <c r="M370" i="9"/>
  <c r="M372" i="9"/>
  <c r="M383" i="8"/>
  <c r="M374" i="8"/>
  <c r="M378" i="8"/>
  <c r="M370" i="8"/>
  <c r="M372" i="8"/>
  <c r="M361" i="8"/>
  <c r="M364" i="8"/>
  <c r="M380" i="8"/>
  <c r="M371" i="8"/>
  <c r="M368" i="8"/>
  <c r="M373" i="8"/>
  <c r="M383" i="9"/>
  <c r="H275" i="36" l="1"/>
  <c r="L274" i="8" l="1"/>
  <c r="AC274" i="8" s="1"/>
  <c r="L274" i="9"/>
  <c r="AH275" i="36"/>
  <c r="M274" i="6"/>
  <c r="AD274" i="6" s="1"/>
  <c r="H66" i="36"/>
  <c r="H50" i="36"/>
  <c r="H22" i="36"/>
  <c r="H90" i="36"/>
  <c r="H26" i="36"/>
  <c r="H58" i="36"/>
  <c r="H96" i="36"/>
  <c r="H16" i="36"/>
  <c r="H70" i="36"/>
  <c r="H351" i="36"/>
  <c r="H34" i="36"/>
  <c r="H69" i="36"/>
  <c r="H97" i="36"/>
  <c r="H62" i="36"/>
  <c r="H60" i="36"/>
  <c r="H138" i="36"/>
  <c r="H115" i="36"/>
  <c r="H91" i="36"/>
  <c r="H188" i="36"/>
  <c r="H122" i="36"/>
  <c r="H98" i="36"/>
  <c r="H131" i="36"/>
  <c r="H85" i="36"/>
  <c r="H104" i="36"/>
  <c r="H51" i="36"/>
  <c r="H108" i="36"/>
  <c r="H54" i="36"/>
  <c r="H310" i="36"/>
  <c r="H252" i="36"/>
  <c r="H99" i="36"/>
  <c r="H154" i="36"/>
  <c r="H282" i="36"/>
  <c r="H357" i="36"/>
  <c r="H38" i="36"/>
  <c r="H44" i="36"/>
  <c r="H304" i="36"/>
  <c r="H356" i="36"/>
  <c r="H245" i="36"/>
  <c r="H218" i="36"/>
  <c r="H83" i="36"/>
  <c r="H347" i="36"/>
  <c r="H53" i="36"/>
  <c r="H162" i="36"/>
  <c r="H123" i="36"/>
  <c r="H93" i="36"/>
  <c r="H143" i="36"/>
  <c r="H59" i="36"/>
  <c r="H335" i="36"/>
  <c r="H349" i="36"/>
  <c r="H220" i="36"/>
  <c r="H92" i="36"/>
  <c r="H14" i="36"/>
  <c r="H86" i="36"/>
  <c r="H76" i="36"/>
  <c r="H358" i="36"/>
  <c r="H250" i="36"/>
  <c r="H283" i="36"/>
  <c r="H120" i="36"/>
  <c r="H67" i="36"/>
  <c r="H169" i="36"/>
  <c r="H29" i="36"/>
  <c r="H25" i="36"/>
  <c r="H332" i="36"/>
  <c r="H77" i="36"/>
  <c r="H202" i="36"/>
  <c r="H100" i="36"/>
  <c r="H128" i="36"/>
  <c r="H151" i="36"/>
  <c r="H359" i="36"/>
  <c r="H116" i="36"/>
  <c r="H78" i="36"/>
  <c r="H30" i="36"/>
  <c r="H328" i="36"/>
  <c r="H47" i="36"/>
  <c r="H45" i="36"/>
  <c r="H64" i="36"/>
  <c r="H286" i="36"/>
  <c r="H327" i="36"/>
  <c r="H170" i="36"/>
  <c r="H251" i="36"/>
  <c r="H249" i="36"/>
  <c r="H243" i="36"/>
  <c r="H223" i="36"/>
  <c r="H137" i="36"/>
  <c r="H244" i="36"/>
  <c r="H342" i="36"/>
  <c r="H113" i="36"/>
  <c r="H312" i="36"/>
  <c r="H146" i="36"/>
  <c r="H27" i="36"/>
  <c r="H330" i="36"/>
  <c r="H303" i="36"/>
  <c r="H264" i="36"/>
  <c r="H84" i="36"/>
  <c r="H258" i="36"/>
  <c r="H121" i="36"/>
  <c r="H295" i="36"/>
  <c r="H281" i="36"/>
  <c r="H193" i="36"/>
  <c r="H280" i="36"/>
  <c r="H292" i="36"/>
  <c r="H271" i="36"/>
  <c r="H256" i="36"/>
  <c r="H278" i="36"/>
  <c r="H284" i="36"/>
  <c r="H237" i="36"/>
  <c r="H269" i="36"/>
  <c r="H231" i="36"/>
  <c r="H17" i="36"/>
  <c r="H293" i="36"/>
  <c r="H241" i="36"/>
  <c r="H39" i="36"/>
  <c r="H235" i="36"/>
  <c r="H277" i="36"/>
  <c r="H239" i="36"/>
  <c r="H287" i="36"/>
  <c r="H267" i="36"/>
  <c r="H265" i="36"/>
  <c r="H290" i="36"/>
  <c r="H279" i="36"/>
  <c r="H289" i="36"/>
  <c r="H296" i="36"/>
  <c r="H268" i="36"/>
  <c r="H199" i="36"/>
  <c r="H35" i="36"/>
  <c r="H260" i="36"/>
  <c r="H111" i="36"/>
  <c r="H157" i="36"/>
  <c r="H24" i="36"/>
  <c r="H210" i="36"/>
  <c r="H331" i="36"/>
  <c r="H167" i="36"/>
  <c r="H224" i="36"/>
  <c r="H180" i="36"/>
  <c r="H74" i="36"/>
  <c r="H89" i="36"/>
  <c r="H240" i="36"/>
  <c r="H234" i="36"/>
  <c r="H191" i="36"/>
  <c r="H153" i="36"/>
  <c r="H320" i="36"/>
  <c r="H177" i="36"/>
  <c r="H106" i="36"/>
  <c r="H186" i="36"/>
  <c r="H183" i="36"/>
  <c r="H236" i="36"/>
  <c r="H37" i="36"/>
  <c r="H172" i="36"/>
  <c r="H291" i="36"/>
  <c r="H215" i="36"/>
  <c r="H43" i="36"/>
  <c r="H161" i="36"/>
  <c r="H126" i="36"/>
  <c r="H192" i="36"/>
  <c r="H140" i="36"/>
  <c r="H288" i="36"/>
  <c r="H65" i="36"/>
  <c r="H308" i="36"/>
  <c r="H95" i="36"/>
  <c r="H176" i="36"/>
  <c r="H118" i="36"/>
  <c r="H315" i="36"/>
  <c r="H107" i="36"/>
  <c r="H61" i="36"/>
  <c r="H56" i="36"/>
  <c r="H145" i="36"/>
  <c r="H21" i="36"/>
  <c r="H160" i="36"/>
  <c r="H133" i="36"/>
  <c r="H316" i="36"/>
  <c r="H164" i="36"/>
  <c r="H136" i="36"/>
  <c r="H110" i="36"/>
  <c r="H300" i="36"/>
  <c r="H80" i="36"/>
  <c r="H198" i="36"/>
  <c r="H266" i="36"/>
  <c r="H323" i="36"/>
  <c r="H232" i="36"/>
  <c r="H333" i="36"/>
  <c r="H48" i="36"/>
  <c r="H207" i="36"/>
  <c r="H339" i="36"/>
  <c r="H141" i="36"/>
  <c r="H200" i="36"/>
  <c r="H152" i="36"/>
  <c r="H32" i="36"/>
  <c r="H212" i="36"/>
  <c r="H28" i="36"/>
  <c r="H57" i="36"/>
  <c r="H307" i="36"/>
  <c r="H299" i="36"/>
  <c r="H228" i="36"/>
  <c r="H130" i="36"/>
  <c r="H204" i="36"/>
  <c r="H178" i="36"/>
  <c r="H46" i="36"/>
  <c r="H88" i="36"/>
  <c r="H255" i="36"/>
  <c r="H175" i="36"/>
  <c r="H135" i="36"/>
  <c r="H31" i="36"/>
  <c r="H81" i="36"/>
  <c r="H72" i="36"/>
  <c r="H52" i="36"/>
  <c r="H248" i="36"/>
  <c r="H168" i="36"/>
  <c r="H148" i="36"/>
  <c r="H129" i="36"/>
  <c r="H216" i="36"/>
  <c r="H114" i="36"/>
  <c r="H272" i="36"/>
  <c r="H227" i="36"/>
  <c r="H103" i="36"/>
  <c r="H196" i="36"/>
  <c r="H102" i="36"/>
  <c r="H247" i="36"/>
  <c r="H285" i="36"/>
  <c r="H75" i="36"/>
  <c r="H263" i="36"/>
  <c r="H159" i="36"/>
  <c r="H94" i="36"/>
  <c r="H343" i="36"/>
  <c r="H226" i="36"/>
  <c r="H105" i="36"/>
  <c r="H73" i="36"/>
  <c r="H49" i="36"/>
  <c r="H144" i="36"/>
  <c r="H36" i="36"/>
  <c r="H211" i="36"/>
  <c r="H68" i="36"/>
  <c r="H297" i="36"/>
  <c r="H354" i="36"/>
  <c r="H311" i="36"/>
  <c r="H195" i="36"/>
  <c r="H341" i="36"/>
  <c r="H242" i="36"/>
  <c r="H360" i="36"/>
  <c r="H350" i="36"/>
  <c r="H294" i="36"/>
  <c r="H165" i="36"/>
  <c r="H344" i="36"/>
  <c r="H112" i="36"/>
  <c r="H276" i="36"/>
  <c r="H41" i="36"/>
  <c r="H214" i="36"/>
  <c r="H194" i="36"/>
  <c r="H213" i="36"/>
  <c r="H147" i="36"/>
  <c r="H55" i="36"/>
  <c r="H221" i="36"/>
  <c r="H149" i="36"/>
  <c r="H208" i="36"/>
  <c r="H261" i="36"/>
  <c r="H348" i="36"/>
  <c r="H319" i="36"/>
  <c r="H119" i="36"/>
  <c r="H334" i="36"/>
  <c r="H203" i="36"/>
  <c r="H156" i="36"/>
  <c r="H125" i="36"/>
  <c r="H40" i="36"/>
  <c r="H173" i="36"/>
  <c r="H184" i="36"/>
  <c r="H82" i="36"/>
  <c r="H355" i="36"/>
  <c r="H205" i="36"/>
  <c r="H163" i="36"/>
  <c r="H229" i="36"/>
  <c r="H274" i="36"/>
  <c r="H185" i="36"/>
  <c r="H225" i="36"/>
  <c r="H101" i="36"/>
  <c r="H182" i="36"/>
  <c r="H259" i="36"/>
  <c r="H139" i="36"/>
  <c r="H336" i="36"/>
  <c r="H150" i="36"/>
  <c r="H309" i="36"/>
  <c r="H181" i="36"/>
  <c r="H33" i="36"/>
  <c r="H326" i="36"/>
  <c r="H42" i="36"/>
  <c r="H340" i="36"/>
  <c r="H253" i="36"/>
  <c r="H318" i="36"/>
  <c r="H109" i="36"/>
  <c r="H230" i="36"/>
  <c r="H262" i="36"/>
  <c r="H127" i="36"/>
  <c r="H142" i="36"/>
  <c r="H197" i="36"/>
  <c r="H246" i="36"/>
  <c r="H171" i="36"/>
  <c r="H63" i="36"/>
  <c r="H321" i="36"/>
  <c r="H257" i="36"/>
  <c r="H201" i="36"/>
  <c r="H166" i="36"/>
  <c r="H71" i="36"/>
  <c r="H305" i="36"/>
  <c r="H209" i="36"/>
  <c r="H189" i="36"/>
  <c r="H134" i="36"/>
  <c r="H15" i="36"/>
  <c r="H174" i="36"/>
  <c r="H158" i="36"/>
  <c r="H337" i="36"/>
  <c r="H306" i="36"/>
  <c r="H206" i="36"/>
  <c r="H317" i="36"/>
  <c r="H273" i="36"/>
  <c r="H155" i="36"/>
  <c r="H217" i="36"/>
  <c r="H179" i="36"/>
  <c r="H132" i="36"/>
  <c r="H87" i="36"/>
  <c r="H298" i="36"/>
  <c r="H270" i="36"/>
  <c r="H238" i="36"/>
  <c r="H124" i="36"/>
  <c r="H233" i="36"/>
  <c r="H79" i="36"/>
  <c r="H117" i="36"/>
  <c r="H23" i="36"/>
  <c r="H254" i="36"/>
  <c r="H346" i="36"/>
  <c r="H314" i="36"/>
  <c r="H338" i="36"/>
  <c r="H345" i="36"/>
  <c r="H222" i="36"/>
  <c r="H190" i="36"/>
  <c r="H301" i="36"/>
  <c r="H313" i="36"/>
  <c r="H187" i="36"/>
  <c r="H329" i="36"/>
  <c r="H325" i="36"/>
  <c r="H219" i="36"/>
  <c r="L328" i="8" l="1"/>
  <c r="AC328" i="8" s="1"/>
  <c r="L328" i="9"/>
  <c r="L300" i="8"/>
  <c r="AC300" i="8" s="1"/>
  <c r="L300" i="9"/>
  <c r="L337" i="8"/>
  <c r="AC337" i="8" s="1"/>
  <c r="L337" i="9"/>
  <c r="L22" i="8"/>
  <c r="L22" i="9"/>
  <c r="L123" i="8"/>
  <c r="L123" i="9"/>
  <c r="L86" i="8"/>
  <c r="L86" i="9"/>
  <c r="L154" i="8"/>
  <c r="L154" i="9"/>
  <c r="L305" i="8"/>
  <c r="AC305" i="8" s="1"/>
  <c r="L305" i="9"/>
  <c r="L14" i="8"/>
  <c r="L14" i="9"/>
  <c r="L304" i="8"/>
  <c r="AC304" i="8" s="1"/>
  <c r="L304" i="9"/>
  <c r="L256" i="8"/>
  <c r="AC256" i="8" s="1"/>
  <c r="L256" i="9"/>
  <c r="L245" i="8"/>
  <c r="AC245" i="8" s="1"/>
  <c r="L245" i="9"/>
  <c r="L261" i="8"/>
  <c r="AC261" i="8" s="1"/>
  <c r="L261" i="9"/>
  <c r="L252" i="8"/>
  <c r="AC252" i="8" s="1"/>
  <c r="L252" i="9"/>
  <c r="L32" i="8"/>
  <c r="L32" i="9"/>
  <c r="L335" i="8"/>
  <c r="AC335" i="8" s="1"/>
  <c r="L335" i="9"/>
  <c r="L100" i="8"/>
  <c r="L100" i="9"/>
  <c r="L228" i="8"/>
  <c r="L228" i="9"/>
  <c r="L81" i="8"/>
  <c r="L81" i="9"/>
  <c r="L124" i="8"/>
  <c r="L124" i="9"/>
  <c r="L118" i="8"/>
  <c r="L118" i="9"/>
  <c r="L207" i="8"/>
  <c r="AC207" i="8" s="1"/>
  <c r="L207" i="9"/>
  <c r="L146" i="8"/>
  <c r="L146" i="9"/>
  <c r="L40" i="8"/>
  <c r="L40" i="9"/>
  <c r="L343" i="8"/>
  <c r="AC343" i="8" s="1"/>
  <c r="L343" i="9"/>
  <c r="L359" i="8"/>
  <c r="AC359" i="8" s="1"/>
  <c r="L359" i="9"/>
  <c r="L310" i="8"/>
  <c r="AC310" i="8" s="1"/>
  <c r="L310" i="9"/>
  <c r="L210" i="8"/>
  <c r="AC210" i="8" s="1"/>
  <c r="L210" i="9"/>
  <c r="L72" i="8"/>
  <c r="L72" i="9"/>
  <c r="L93" i="8"/>
  <c r="L93" i="9"/>
  <c r="L284" i="8"/>
  <c r="AC284" i="8" s="1"/>
  <c r="L284" i="9"/>
  <c r="L102" i="8"/>
  <c r="L102" i="9"/>
  <c r="L215" i="8"/>
  <c r="AC215" i="8" s="1"/>
  <c r="L215" i="9"/>
  <c r="L247" i="8"/>
  <c r="AC247" i="8" s="1"/>
  <c r="L247" i="9"/>
  <c r="L30" i="8"/>
  <c r="L30" i="9"/>
  <c r="L87" i="8"/>
  <c r="L87" i="9"/>
  <c r="L203" i="8"/>
  <c r="AC203" i="8" s="1"/>
  <c r="L203" i="9"/>
  <c r="L306" i="8"/>
  <c r="AC306" i="8" s="1"/>
  <c r="L306" i="9"/>
  <c r="L31" i="8"/>
  <c r="L31" i="9"/>
  <c r="L338" i="8"/>
  <c r="AC338" i="8" s="1"/>
  <c r="L338" i="9"/>
  <c r="L231" i="8"/>
  <c r="AC231" i="8" s="1"/>
  <c r="L231" i="9"/>
  <c r="L79" i="8"/>
  <c r="L79" i="9"/>
  <c r="L163" i="8"/>
  <c r="L163" i="9"/>
  <c r="L20" i="8"/>
  <c r="L20" i="9"/>
  <c r="L106" i="8"/>
  <c r="L106" i="9"/>
  <c r="L94" i="8"/>
  <c r="L94" i="9"/>
  <c r="L139" i="8"/>
  <c r="L139" i="9"/>
  <c r="L42" i="8"/>
  <c r="L42" i="9"/>
  <c r="L36" i="8"/>
  <c r="L36" i="9"/>
  <c r="L105" i="8"/>
  <c r="L105" i="9"/>
  <c r="L190" i="8"/>
  <c r="AC190" i="8" s="1"/>
  <c r="L190" i="9"/>
  <c r="L73" i="8"/>
  <c r="L73" i="9"/>
  <c r="L330" i="8"/>
  <c r="AC330" i="8" s="1"/>
  <c r="L330" i="9"/>
  <c r="L110" i="8"/>
  <c r="L110" i="9"/>
  <c r="L267" i="8"/>
  <c r="AC267" i="8" s="1"/>
  <c r="L267" i="9"/>
  <c r="L289" i="8"/>
  <c r="AC289" i="8" s="1"/>
  <c r="L289" i="9"/>
  <c r="L238" i="8"/>
  <c r="AC238" i="8" s="1"/>
  <c r="L238" i="9"/>
  <c r="L38" i="8"/>
  <c r="L38" i="9"/>
  <c r="L230" i="8"/>
  <c r="AC230" i="8" s="1"/>
  <c r="L230" i="9"/>
  <c r="L283" i="8"/>
  <c r="AC283" i="8" s="1"/>
  <c r="L283" i="9"/>
  <c r="L270" i="8"/>
  <c r="AC270" i="8" s="1"/>
  <c r="L270" i="9"/>
  <c r="L280" i="8"/>
  <c r="AC280" i="8" s="1"/>
  <c r="L280" i="9"/>
  <c r="L83" i="8"/>
  <c r="L83" i="9"/>
  <c r="L26" i="8"/>
  <c r="L26" i="9"/>
  <c r="L341" i="8"/>
  <c r="AC341" i="8" s="1"/>
  <c r="L341" i="9"/>
  <c r="L242" i="8"/>
  <c r="AC242" i="8" s="1"/>
  <c r="L242" i="9"/>
  <c r="L326" i="8"/>
  <c r="AC326" i="8" s="1"/>
  <c r="L326" i="9"/>
  <c r="L46" i="8"/>
  <c r="L46" i="9"/>
  <c r="L115" i="8"/>
  <c r="L115" i="9"/>
  <c r="L99" i="8"/>
  <c r="L99" i="9"/>
  <c r="L24" i="8"/>
  <c r="L24" i="9"/>
  <c r="L119" i="8"/>
  <c r="L119" i="9"/>
  <c r="L75" i="8"/>
  <c r="L75" i="9"/>
  <c r="L219" i="8"/>
  <c r="AC219" i="8" s="1"/>
  <c r="L219" i="9"/>
  <c r="L142" i="8"/>
  <c r="L142" i="9"/>
  <c r="L52" i="8"/>
  <c r="L52" i="9"/>
  <c r="L244" i="8"/>
  <c r="AC244" i="8" s="1"/>
  <c r="L244" i="9"/>
  <c r="L37" i="8"/>
  <c r="L37" i="9"/>
  <c r="L98" i="8"/>
  <c r="L98" i="9"/>
  <c r="L107" i="8"/>
  <c r="L107" i="9"/>
  <c r="L130" i="8"/>
  <c r="L130" i="9"/>
  <c r="L90" i="8"/>
  <c r="L90" i="9"/>
  <c r="L61" i="8"/>
  <c r="L61" i="9"/>
  <c r="L350" i="8"/>
  <c r="L350" i="9"/>
  <c r="L57" i="8"/>
  <c r="L57" i="9"/>
  <c r="L49" i="8"/>
  <c r="L49" i="9"/>
  <c r="L186" i="8"/>
  <c r="L186" i="9"/>
  <c r="L189" i="8"/>
  <c r="AC189" i="8" s="1"/>
  <c r="L189" i="9"/>
  <c r="L313" i="8"/>
  <c r="AC313" i="8" s="1"/>
  <c r="L313" i="9"/>
  <c r="L116" i="8"/>
  <c r="L116" i="9"/>
  <c r="L237" i="8"/>
  <c r="AC237" i="8" s="1"/>
  <c r="L237" i="9"/>
  <c r="L131" i="8"/>
  <c r="L131" i="9"/>
  <c r="L272" i="8"/>
  <c r="AC272" i="8" s="1"/>
  <c r="L272" i="9"/>
  <c r="L336" i="8"/>
  <c r="AC336" i="8" s="1"/>
  <c r="L336" i="9"/>
  <c r="L133" i="8"/>
  <c r="L133" i="9"/>
  <c r="L70" i="8"/>
  <c r="L70" i="9"/>
  <c r="L320" i="8"/>
  <c r="AC320" i="8" s="1"/>
  <c r="L320" i="9"/>
  <c r="L196" i="8"/>
  <c r="AC196" i="8" s="1"/>
  <c r="L196" i="9"/>
  <c r="L229" i="8"/>
  <c r="L229" i="9"/>
  <c r="L339" i="8"/>
  <c r="AC339" i="8" s="1"/>
  <c r="L339" i="9"/>
  <c r="L180" i="8"/>
  <c r="L180" i="9"/>
  <c r="L138" i="8"/>
  <c r="L138" i="9"/>
  <c r="L224" i="8"/>
  <c r="AC224" i="8" s="1"/>
  <c r="L224" i="9"/>
  <c r="L162" i="8"/>
  <c r="L162" i="9"/>
  <c r="L183" i="8"/>
  <c r="L183" i="9"/>
  <c r="L155" i="8"/>
  <c r="L155" i="9"/>
  <c r="L318" i="8"/>
  <c r="AC318" i="8" s="1"/>
  <c r="L318" i="9"/>
  <c r="L148" i="8"/>
  <c r="L148" i="9"/>
  <c r="L212" i="8"/>
  <c r="AC212" i="8" s="1"/>
  <c r="L212" i="9"/>
  <c r="L275" i="8"/>
  <c r="AC275" i="8" s="1"/>
  <c r="L275" i="9"/>
  <c r="L164" i="8"/>
  <c r="L164" i="9"/>
  <c r="L241" i="8"/>
  <c r="AC241" i="8" s="1"/>
  <c r="L241" i="9"/>
  <c r="L353" i="8"/>
  <c r="AC353" i="8" s="1"/>
  <c r="L353" i="9"/>
  <c r="L35" i="8"/>
  <c r="L35" i="9"/>
  <c r="L104" i="8"/>
  <c r="L104" i="9"/>
  <c r="L158" i="8"/>
  <c r="L158" i="9"/>
  <c r="L246" i="8"/>
  <c r="AC246" i="8" s="1"/>
  <c r="L246" i="9"/>
  <c r="L226" i="8"/>
  <c r="AC226" i="8" s="1"/>
  <c r="L226" i="9"/>
  <c r="L128" i="8"/>
  <c r="L128" i="9"/>
  <c r="L51" i="8"/>
  <c r="L51" i="9"/>
  <c r="L134" i="8"/>
  <c r="L134" i="9"/>
  <c r="L129" i="8"/>
  <c r="L129" i="9"/>
  <c r="L56" i="8"/>
  <c r="L56" i="9"/>
  <c r="L151" i="8"/>
  <c r="L151" i="9"/>
  <c r="L206" i="8"/>
  <c r="AC206" i="8" s="1"/>
  <c r="L206" i="9"/>
  <c r="L322" i="8"/>
  <c r="AC322" i="8" s="1"/>
  <c r="L322" i="9"/>
  <c r="L299" i="8"/>
  <c r="AC299" i="8" s="1"/>
  <c r="L299" i="9"/>
  <c r="L315" i="8"/>
  <c r="AC315" i="8" s="1"/>
  <c r="L315" i="9"/>
  <c r="L144" i="8"/>
  <c r="L144" i="9"/>
  <c r="L314" i="8"/>
  <c r="AC314" i="8" s="1"/>
  <c r="L314" i="9"/>
  <c r="L307" i="8"/>
  <c r="AC307" i="8" s="1"/>
  <c r="L307" i="9"/>
  <c r="L191" i="8"/>
  <c r="AC191" i="8" s="1"/>
  <c r="L191" i="9"/>
  <c r="L214" i="8"/>
  <c r="AC214" i="8" s="1"/>
  <c r="L214" i="9"/>
  <c r="L235" i="8"/>
  <c r="AC235" i="8" s="1"/>
  <c r="L235" i="9"/>
  <c r="L176" i="8"/>
  <c r="L176" i="9"/>
  <c r="L233" i="8"/>
  <c r="AC233" i="8" s="1"/>
  <c r="L233" i="9"/>
  <c r="L179" i="8"/>
  <c r="L179" i="9"/>
  <c r="L209" i="8"/>
  <c r="AC209" i="8" s="1"/>
  <c r="L209" i="9"/>
  <c r="L259" i="8"/>
  <c r="AC259" i="8" s="1"/>
  <c r="L259" i="9"/>
  <c r="L295" i="8"/>
  <c r="AC295" i="8" s="1"/>
  <c r="L295" i="9"/>
  <c r="L264" i="8"/>
  <c r="AC264" i="8" s="1"/>
  <c r="L264" i="9"/>
  <c r="L240" i="8"/>
  <c r="AC240" i="8" s="1"/>
  <c r="L240" i="9"/>
  <c r="L268" i="8"/>
  <c r="AC268" i="8" s="1"/>
  <c r="L268" i="9"/>
  <c r="L277" i="8"/>
  <c r="AC277" i="8" s="1"/>
  <c r="L277" i="9"/>
  <c r="L291" i="8"/>
  <c r="AC291" i="8" s="1"/>
  <c r="L291" i="9"/>
  <c r="L294" i="8"/>
  <c r="AC294" i="8" s="1"/>
  <c r="L294" i="9"/>
  <c r="L263" i="8"/>
  <c r="AC263" i="8" s="1"/>
  <c r="L263" i="9"/>
  <c r="L145" i="8"/>
  <c r="L145" i="9"/>
  <c r="L243" i="8"/>
  <c r="AC243" i="8" s="1"/>
  <c r="L243" i="9"/>
  <c r="L248" i="8"/>
  <c r="AC248" i="8" s="1"/>
  <c r="L248" i="9"/>
  <c r="L285" i="8"/>
  <c r="AC285" i="8" s="1"/>
  <c r="L285" i="9"/>
  <c r="L327" i="8"/>
  <c r="AC327" i="8" s="1"/>
  <c r="L327" i="9"/>
  <c r="L358" i="8"/>
  <c r="AC358" i="8" s="1"/>
  <c r="L358" i="9"/>
  <c r="L201" i="8"/>
  <c r="AC201" i="8" s="1"/>
  <c r="L201" i="9"/>
  <c r="L28" i="8"/>
  <c r="L28" i="9"/>
  <c r="L282" i="8"/>
  <c r="AC282" i="8" s="1"/>
  <c r="L282" i="9"/>
  <c r="L85" i="8"/>
  <c r="L85" i="9"/>
  <c r="L348" i="8"/>
  <c r="AC348" i="8" s="1"/>
  <c r="L348" i="9"/>
  <c r="L92" i="8"/>
  <c r="L92" i="9"/>
  <c r="L346" i="8"/>
  <c r="AC346" i="8" s="1"/>
  <c r="L346" i="9"/>
  <c r="L355" i="8"/>
  <c r="AC355" i="8" s="1"/>
  <c r="L355" i="9"/>
  <c r="L356" i="8"/>
  <c r="AC356" i="8" s="1"/>
  <c r="L356" i="9"/>
  <c r="L251" i="8"/>
  <c r="AC251" i="8" s="1"/>
  <c r="L251" i="9"/>
  <c r="L50" i="8"/>
  <c r="L50" i="9"/>
  <c r="L97" i="8"/>
  <c r="L97" i="9"/>
  <c r="L114" i="8"/>
  <c r="L114" i="9"/>
  <c r="L96" i="8"/>
  <c r="L96" i="9"/>
  <c r="L69" i="8"/>
  <c r="L69" i="9"/>
  <c r="L25" i="8"/>
  <c r="L25" i="9"/>
  <c r="L65" i="8"/>
  <c r="L65" i="9"/>
  <c r="L218" i="8"/>
  <c r="AC218" i="8" s="1"/>
  <c r="L218" i="9"/>
  <c r="L312" i="8"/>
  <c r="AC312" i="8" s="1"/>
  <c r="L312" i="9"/>
  <c r="L221" i="8"/>
  <c r="AC221" i="8" s="1"/>
  <c r="L221" i="9"/>
  <c r="L345" i="8"/>
  <c r="AC345" i="8" s="1"/>
  <c r="L345" i="9"/>
  <c r="L78" i="8"/>
  <c r="L78" i="9"/>
  <c r="L269" i="8"/>
  <c r="AC269" i="8" s="1"/>
  <c r="L269" i="9"/>
  <c r="L178" i="8"/>
  <c r="L178" i="9"/>
  <c r="L316" i="8"/>
  <c r="AC316" i="8" s="1"/>
  <c r="L316" i="9"/>
  <c r="L157" i="8"/>
  <c r="L157" i="9"/>
  <c r="L188" i="8"/>
  <c r="L188" i="9"/>
  <c r="L165" i="8"/>
  <c r="L165" i="9"/>
  <c r="L62" i="8"/>
  <c r="L62" i="9"/>
  <c r="L141" i="8"/>
  <c r="L141" i="9"/>
  <c r="L108" i="8"/>
  <c r="L108" i="9"/>
  <c r="L41" i="8"/>
  <c r="L41" i="9"/>
  <c r="L308" i="8"/>
  <c r="AC308" i="8" s="1"/>
  <c r="L308" i="9"/>
  <c r="L258" i="8"/>
  <c r="AC258" i="8" s="1"/>
  <c r="L258" i="9"/>
  <c r="L184" i="8"/>
  <c r="L184" i="9"/>
  <c r="L204" i="8"/>
  <c r="AC204" i="8" s="1"/>
  <c r="L204" i="9"/>
  <c r="L172" i="8"/>
  <c r="L172" i="9"/>
  <c r="L202" i="8"/>
  <c r="AC202" i="8" s="1"/>
  <c r="L202" i="9"/>
  <c r="L347" i="8"/>
  <c r="AC347" i="8" s="1"/>
  <c r="L347" i="9"/>
  <c r="L220" i="8"/>
  <c r="AC220" i="8" s="1"/>
  <c r="L220" i="9"/>
  <c r="L193" i="8"/>
  <c r="AC193" i="8" s="1"/>
  <c r="L193" i="9"/>
  <c r="L293" i="8"/>
  <c r="AC293" i="8" s="1"/>
  <c r="L293" i="9"/>
  <c r="L340" i="8"/>
  <c r="AC340" i="8" s="1"/>
  <c r="L340" i="9"/>
  <c r="L296" i="8"/>
  <c r="AC296" i="8" s="1"/>
  <c r="L296" i="9"/>
  <c r="L143" i="8"/>
  <c r="L143" i="9"/>
  <c r="L225" i="8"/>
  <c r="AC225" i="8" s="1"/>
  <c r="L225" i="9"/>
  <c r="L262" i="8"/>
  <c r="AC262" i="8" s="1"/>
  <c r="L262" i="9"/>
  <c r="L101" i="8"/>
  <c r="L101" i="9"/>
  <c r="L271" i="8"/>
  <c r="AC271" i="8" s="1"/>
  <c r="L271" i="9"/>
  <c r="L147" i="8"/>
  <c r="L147" i="9"/>
  <c r="L71" i="8"/>
  <c r="L71" i="9"/>
  <c r="L174" i="8"/>
  <c r="L174" i="9"/>
  <c r="L45" i="8"/>
  <c r="L45" i="9"/>
  <c r="L227" i="8"/>
  <c r="AC227" i="8" s="1"/>
  <c r="L227" i="9"/>
  <c r="L27" i="8"/>
  <c r="L27" i="9"/>
  <c r="L199" i="8"/>
  <c r="AC199" i="8" s="1"/>
  <c r="L199" i="9"/>
  <c r="L47" i="8"/>
  <c r="L47" i="9"/>
  <c r="L265" i="8"/>
  <c r="AC265" i="8" s="1"/>
  <c r="L265" i="9"/>
  <c r="L109" i="8"/>
  <c r="L109" i="9"/>
  <c r="L132" i="8"/>
  <c r="L132" i="9"/>
  <c r="L55" i="8"/>
  <c r="L55" i="9"/>
  <c r="L117" i="8"/>
  <c r="L117" i="9"/>
  <c r="L64" i="8"/>
  <c r="L64" i="9"/>
  <c r="L125" i="8"/>
  <c r="L125" i="9"/>
  <c r="L290" i="8"/>
  <c r="AC290" i="8" s="1"/>
  <c r="L290" i="9"/>
  <c r="L182" i="8"/>
  <c r="L182" i="9"/>
  <c r="L319" i="8"/>
  <c r="AC319" i="8" s="1"/>
  <c r="L319" i="9"/>
  <c r="L239" i="8"/>
  <c r="AC239" i="8" s="1"/>
  <c r="L239" i="9"/>
  <c r="L223" i="8"/>
  <c r="AC223" i="8" s="1"/>
  <c r="L223" i="9"/>
  <c r="L23" i="8"/>
  <c r="L23" i="9"/>
  <c r="L34" i="8"/>
  <c r="L34" i="9"/>
  <c r="L288" i="8"/>
  <c r="AC288" i="8" s="1"/>
  <c r="L288" i="9"/>
  <c r="L266" i="8"/>
  <c r="AC266" i="8" s="1"/>
  <c r="L266" i="9"/>
  <c r="L276" i="8"/>
  <c r="AC276" i="8" s="1"/>
  <c r="L276" i="9"/>
  <c r="L292" i="8"/>
  <c r="AC292" i="8" s="1"/>
  <c r="L292" i="9"/>
  <c r="L236" i="8"/>
  <c r="AC236" i="8" s="1"/>
  <c r="L236" i="9"/>
  <c r="L279" i="8"/>
  <c r="AC279" i="8" s="1"/>
  <c r="L279" i="9"/>
  <c r="L120" i="8"/>
  <c r="L120" i="9"/>
  <c r="L302" i="8"/>
  <c r="AC302" i="8" s="1"/>
  <c r="L302" i="9"/>
  <c r="L311" i="8"/>
  <c r="AC311" i="8" s="1"/>
  <c r="L311" i="9"/>
  <c r="L136" i="8"/>
  <c r="L136" i="9"/>
  <c r="L250" i="8"/>
  <c r="AC250" i="8" s="1"/>
  <c r="L250" i="9"/>
  <c r="L63" i="8"/>
  <c r="L63" i="9"/>
  <c r="L29" i="8"/>
  <c r="L29" i="9"/>
  <c r="L150" i="8"/>
  <c r="L150" i="9"/>
  <c r="L76" i="8"/>
  <c r="L76" i="9"/>
  <c r="L168" i="8"/>
  <c r="L168" i="9"/>
  <c r="L249" i="8"/>
  <c r="AC249" i="8" s="1"/>
  <c r="L249" i="9"/>
  <c r="L13" i="8"/>
  <c r="L13" i="9"/>
  <c r="L334" i="8"/>
  <c r="AC334" i="8" s="1"/>
  <c r="L334" i="9"/>
  <c r="L122" i="8"/>
  <c r="L122" i="9"/>
  <c r="L82" i="8"/>
  <c r="L82" i="9"/>
  <c r="L303" i="8"/>
  <c r="L303" i="9"/>
  <c r="L281" i="8"/>
  <c r="AC281" i="8" s="1"/>
  <c r="L281" i="9"/>
  <c r="L309" i="8"/>
  <c r="AC309" i="8" s="1"/>
  <c r="L309" i="9"/>
  <c r="L103" i="8"/>
  <c r="L103" i="9"/>
  <c r="L121" i="8"/>
  <c r="L121" i="9"/>
  <c r="L137" i="8"/>
  <c r="L137" i="9"/>
  <c r="L68" i="8"/>
  <c r="L68" i="9"/>
  <c r="L15" i="8"/>
  <c r="L15" i="9"/>
  <c r="L89" i="8"/>
  <c r="L89" i="9"/>
  <c r="L324" i="8"/>
  <c r="AC324" i="8" s="1"/>
  <c r="L324" i="9"/>
  <c r="L344" i="8"/>
  <c r="AC344" i="8" s="1"/>
  <c r="L344" i="9"/>
  <c r="L253" i="8"/>
  <c r="AC253" i="8" s="1"/>
  <c r="L253" i="9"/>
  <c r="L232" i="8"/>
  <c r="AC232" i="8" s="1"/>
  <c r="L232" i="9"/>
  <c r="L297" i="8"/>
  <c r="AC297" i="8" s="1"/>
  <c r="L297" i="9"/>
  <c r="L216" i="8"/>
  <c r="AC216" i="8" s="1"/>
  <c r="L216" i="9"/>
  <c r="L205" i="8"/>
  <c r="AC205" i="8" s="1"/>
  <c r="L205" i="9"/>
  <c r="L173" i="8"/>
  <c r="L173" i="9"/>
  <c r="L208" i="8"/>
  <c r="AC208" i="8" s="1"/>
  <c r="L208" i="9"/>
  <c r="L200" i="8"/>
  <c r="AC200" i="8" s="1"/>
  <c r="L200" i="9"/>
  <c r="L170" i="8"/>
  <c r="L170" i="9"/>
  <c r="L126" i="8"/>
  <c r="L126" i="9"/>
  <c r="L317" i="8"/>
  <c r="AC317" i="8" s="1"/>
  <c r="L317" i="9"/>
  <c r="L325" i="8"/>
  <c r="AC325" i="8" s="1"/>
  <c r="L325" i="9"/>
  <c r="L149" i="8"/>
  <c r="L149" i="9"/>
  <c r="L181" i="8"/>
  <c r="L181" i="9"/>
  <c r="L273" i="8"/>
  <c r="AC273" i="8" s="1"/>
  <c r="L273" i="9"/>
  <c r="L354" i="8"/>
  <c r="AC354" i="8" s="1"/>
  <c r="L354" i="9"/>
  <c r="L39" i="8"/>
  <c r="L39" i="9"/>
  <c r="L333" i="8"/>
  <c r="AC333" i="8" s="1"/>
  <c r="L333" i="9"/>
  <c r="L260" i="8"/>
  <c r="AC260" i="8" s="1"/>
  <c r="L260" i="9"/>
  <c r="L54" i="8"/>
  <c r="L54" i="9"/>
  <c r="L213" i="8"/>
  <c r="AC213" i="8" s="1"/>
  <c r="L213" i="9"/>
  <c r="L111" i="8"/>
  <c r="L111" i="9"/>
  <c r="L349" i="8"/>
  <c r="AC349" i="8" s="1"/>
  <c r="L349" i="9"/>
  <c r="L194" i="8"/>
  <c r="AC194" i="8" s="1"/>
  <c r="L194" i="9"/>
  <c r="L67" i="8"/>
  <c r="L67" i="9"/>
  <c r="L48" i="8"/>
  <c r="L48" i="9"/>
  <c r="L342" i="8"/>
  <c r="AC342" i="8" s="1"/>
  <c r="L342" i="9"/>
  <c r="L74" i="8"/>
  <c r="L74" i="9"/>
  <c r="L195" i="8"/>
  <c r="AC195" i="8" s="1"/>
  <c r="L195" i="9"/>
  <c r="L113" i="8"/>
  <c r="L113" i="9"/>
  <c r="L167" i="8"/>
  <c r="L167" i="9"/>
  <c r="L80" i="8"/>
  <c r="L80" i="9"/>
  <c r="L254" i="8"/>
  <c r="AC254" i="8" s="1"/>
  <c r="L254" i="9"/>
  <c r="L177" i="8"/>
  <c r="L177" i="9"/>
  <c r="L298" i="8"/>
  <c r="AC298" i="8" s="1"/>
  <c r="L298" i="9"/>
  <c r="L211" i="8"/>
  <c r="AC211" i="8" s="1"/>
  <c r="L211" i="9"/>
  <c r="L140" i="8"/>
  <c r="L140" i="9"/>
  <c r="L332" i="8"/>
  <c r="AC332" i="8" s="1"/>
  <c r="L332" i="9"/>
  <c r="L197" i="8"/>
  <c r="AC197" i="8" s="1"/>
  <c r="L197" i="9"/>
  <c r="L135" i="8"/>
  <c r="L135" i="9"/>
  <c r="L159" i="8"/>
  <c r="L159" i="9"/>
  <c r="L60" i="8"/>
  <c r="L60" i="9"/>
  <c r="L175" i="8"/>
  <c r="L175" i="9"/>
  <c r="L287" i="8"/>
  <c r="AC287" i="8" s="1"/>
  <c r="L287" i="9"/>
  <c r="L160" i="8"/>
  <c r="L160" i="9"/>
  <c r="L171" i="8"/>
  <c r="L171" i="9"/>
  <c r="L185" i="8"/>
  <c r="L185" i="9"/>
  <c r="L152" i="8"/>
  <c r="L152" i="9"/>
  <c r="L88" i="8"/>
  <c r="L88" i="9"/>
  <c r="L166" i="8"/>
  <c r="L166" i="9"/>
  <c r="L156" i="8"/>
  <c r="L156" i="9"/>
  <c r="L198" i="8"/>
  <c r="AC198" i="8" s="1"/>
  <c r="L198" i="9"/>
  <c r="L278" i="8"/>
  <c r="AC278" i="8" s="1"/>
  <c r="L278" i="9"/>
  <c r="L286" i="8"/>
  <c r="AC286" i="8" s="1"/>
  <c r="L286" i="9"/>
  <c r="L234" i="8"/>
  <c r="AC234" i="8" s="1"/>
  <c r="L234" i="9"/>
  <c r="L16" i="8"/>
  <c r="L16" i="9"/>
  <c r="L255" i="8"/>
  <c r="AC255" i="8" s="1"/>
  <c r="L255" i="9"/>
  <c r="L192" i="8"/>
  <c r="AC192" i="8" s="1"/>
  <c r="L192" i="9"/>
  <c r="L257" i="8"/>
  <c r="AC257" i="8" s="1"/>
  <c r="L257" i="9"/>
  <c r="L329" i="8"/>
  <c r="AC329" i="8" s="1"/>
  <c r="L329" i="9"/>
  <c r="L112" i="8"/>
  <c r="L112" i="9"/>
  <c r="L222" i="8"/>
  <c r="AC222" i="8" s="1"/>
  <c r="L222" i="9"/>
  <c r="L169" i="8"/>
  <c r="L169" i="9"/>
  <c r="L44" i="8"/>
  <c r="L44" i="9"/>
  <c r="L77" i="8"/>
  <c r="L77" i="9"/>
  <c r="L127" i="8"/>
  <c r="L127" i="9"/>
  <c r="L331" i="8"/>
  <c r="AC331" i="8" s="1"/>
  <c r="L331" i="9"/>
  <c r="L66" i="8"/>
  <c r="L66" i="9"/>
  <c r="L357" i="8"/>
  <c r="AC357" i="8" s="1"/>
  <c r="L357" i="9"/>
  <c r="L91" i="8"/>
  <c r="L91" i="9"/>
  <c r="L58" i="8"/>
  <c r="L58" i="9"/>
  <c r="L161" i="8"/>
  <c r="L161" i="9"/>
  <c r="L217" i="8"/>
  <c r="AC217" i="8" s="1"/>
  <c r="L217" i="9"/>
  <c r="L43" i="8"/>
  <c r="L43" i="9"/>
  <c r="L153" i="8"/>
  <c r="L153" i="9"/>
  <c r="L53" i="8"/>
  <c r="L53" i="9"/>
  <c r="L84" i="8"/>
  <c r="L84" i="9"/>
  <c r="L187" i="8"/>
  <c r="L187" i="9"/>
  <c r="L59" i="8"/>
  <c r="L59" i="9"/>
  <c r="L33" i="8"/>
  <c r="L33" i="9"/>
  <c r="L95" i="8"/>
  <c r="L95" i="9"/>
  <c r="L21" i="8"/>
  <c r="L21" i="9"/>
  <c r="AH325" i="36"/>
  <c r="M324" i="6"/>
  <c r="AD324" i="6" s="1"/>
  <c r="AH345" i="36"/>
  <c r="M344" i="6"/>
  <c r="AD344" i="6" s="1"/>
  <c r="AH254" i="36"/>
  <c r="M253" i="6"/>
  <c r="AD253" i="6" s="1"/>
  <c r="AH233" i="36"/>
  <c r="M232" i="6"/>
  <c r="AD232" i="6" s="1"/>
  <c r="AH298" i="36"/>
  <c r="M297" i="6"/>
  <c r="AD297" i="6" s="1"/>
  <c r="AH217" i="36"/>
  <c r="M216" i="6"/>
  <c r="AD216" i="6" s="1"/>
  <c r="AH206" i="36"/>
  <c r="M205" i="6"/>
  <c r="AD205" i="6" s="1"/>
  <c r="AH174" i="36"/>
  <c r="M173" i="6"/>
  <c r="AD173" i="6" s="1"/>
  <c r="AH209" i="36"/>
  <c r="M208" i="6"/>
  <c r="AD208" i="6" s="1"/>
  <c r="AH201" i="36"/>
  <c r="M200" i="6"/>
  <c r="AD200" i="6" s="1"/>
  <c r="AH171" i="36"/>
  <c r="M170" i="6"/>
  <c r="AD170" i="6" s="1"/>
  <c r="AH127" i="36"/>
  <c r="M126" i="6"/>
  <c r="AH318" i="36"/>
  <c r="M317" i="6"/>
  <c r="AD317" i="6" s="1"/>
  <c r="AH326" i="36"/>
  <c r="M325" i="6"/>
  <c r="AD325" i="6" s="1"/>
  <c r="AH150" i="36"/>
  <c r="M149" i="6"/>
  <c r="AD149" i="6" s="1"/>
  <c r="AH182" i="36"/>
  <c r="M181" i="6"/>
  <c r="AD181" i="6" s="1"/>
  <c r="AH274" i="36"/>
  <c r="M273" i="6"/>
  <c r="AD273" i="6" s="1"/>
  <c r="AH355" i="36"/>
  <c r="M354" i="6"/>
  <c r="AD354" i="6" s="1"/>
  <c r="AH40" i="36"/>
  <c r="M39" i="6"/>
  <c r="AD39" i="6" s="1"/>
  <c r="AH334" i="36"/>
  <c r="M333" i="6"/>
  <c r="AD333" i="6" s="1"/>
  <c r="AH261" i="36"/>
  <c r="M260" i="6"/>
  <c r="AD260" i="6" s="1"/>
  <c r="AH55" i="36"/>
  <c r="M54" i="6"/>
  <c r="AD54" i="6" s="1"/>
  <c r="AH214" i="36"/>
  <c r="M213" i="6"/>
  <c r="AD213" i="6" s="1"/>
  <c r="AH112" i="36"/>
  <c r="M111" i="6"/>
  <c r="AD111" i="6" s="1"/>
  <c r="AH350" i="36"/>
  <c r="M349" i="6"/>
  <c r="AD349" i="6" s="1"/>
  <c r="AH195" i="36"/>
  <c r="M194" i="6"/>
  <c r="AD194" i="6" s="1"/>
  <c r="AH68" i="36"/>
  <c r="M67" i="6"/>
  <c r="AD67" i="6" s="1"/>
  <c r="AH49" i="36"/>
  <c r="M48" i="6"/>
  <c r="AD48" i="6" s="1"/>
  <c r="AH343" i="36"/>
  <c r="M342" i="6"/>
  <c r="AD342" i="6" s="1"/>
  <c r="AH75" i="36"/>
  <c r="M74" i="6"/>
  <c r="AD74" i="6" s="1"/>
  <c r="AH196" i="36"/>
  <c r="M195" i="6"/>
  <c r="AD195" i="6" s="1"/>
  <c r="AH114" i="36"/>
  <c r="M113" i="6"/>
  <c r="AD113" i="6" s="1"/>
  <c r="AH168" i="36"/>
  <c r="M167" i="6"/>
  <c r="AD167" i="6" s="1"/>
  <c r="AH81" i="36"/>
  <c r="M80" i="6"/>
  <c r="AD80" i="6" s="1"/>
  <c r="AH255" i="36"/>
  <c r="M254" i="6"/>
  <c r="AD254" i="6" s="1"/>
  <c r="AH178" i="36"/>
  <c r="M177" i="6"/>
  <c r="AD177" i="6" s="1"/>
  <c r="AH299" i="36"/>
  <c r="M298" i="6"/>
  <c r="AD298" i="6" s="1"/>
  <c r="AH212" i="36"/>
  <c r="M211" i="6"/>
  <c r="AD211" i="6" s="1"/>
  <c r="AH141" i="36"/>
  <c r="M140" i="6"/>
  <c r="AD140" i="6" s="1"/>
  <c r="AH333" i="36"/>
  <c r="M332" i="6"/>
  <c r="AD332" i="6" s="1"/>
  <c r="AH198" i="36"/>
  <c r="M197" i="6"/>
  <c r="AD197" i="6" s="1"/>
  <c r="AH136" i="36"/>
  <c r="M135" i="6"/>
  <c r="AD135" i="6" s="1"/>
  <c r="AH160" i="36"/>
  <c r="M159" i="6"/>
  <c r="AD159" i="6" s="1"/>
  <c r="AH61" i="36"/>
  <c r="M60" i="6"/>
  <c r="AD60" i="6" s="1"/>
  <c r="AH176" i="36"/>
  <c r="M175" i="6"/>
  <c r="AD175" i="6" s="1"/>
  <c r="AH288" i="36"/>
  <c r="M287" i="6"/>
  <c r="AD287" i="6" s="1"/>
  <c r="AH161" i="36"/>
  <c r="M160" i="6"/>
  <c r="AD160" i="6" s="1"/>
  <c r="AH172" i="36"/>
  <c r="M171" i="6"/>
  <c r="AD171" i="6" s="1"/>
  <c r="AH186" i="36"/>
  <c r="M185" i="6"/>
  <c r="AD185" i="6" s="1"/>
  <c r="AH153" i="36"/>
  <c r="M152" i="6"/>
  <c r="AD152" i="6" s="1"/>
  <c r="AH89" i="36"/>
  <c r="M88" i="6"/>
  <c r="AD88" i="6" s="1"/>
  <c r="AH167" i="36"/>
  <c r="M166" i="6"/>
  <c r="AD166" i="6" s="1"/>
  <c r="AH157" i="36"/>
  <c r="M156" i="6"/>
  <c r="AD156" i="6" s="1"/>
  <c r="AH199" i="36"/>
  <c r="M198" i="6"/>
  <c r="AD198" i="6" s="1"/>
  <c r="AH279" i="36"/>
  <c r="M278" i="6"/>
  <c r="AD278" i="6" s="1"/>
  <c r="AH287" i="36"/>
  <c r="M286" i="6"/>
  <c r="AD286" i="6" s="1"/>
  <c r="AH235" i="36"/>
  <c r="M234" i="6"/>
  <c r="AD234" i="6" s="1"/>
  <c r="AH17" i="36"/>
  <c r="M16" i="6"/>
  <c r="AD16" i="6" s="1"/>
  <c r="AH256" i="36"/>
  <c r="M255" i="6"/>
  <c r="AD255" i="6" s="1"/>
  <c r="AH193" i="36"/>
  <c r="M192" i="6"/>
  <c r="AD192" i="6" s="1"/>
  <c r="AH258" i="36"/>
  <c r="M257" i="6"/>
  <c r="AD257" i="6" s="1"/>
  <c r="AH330" i="36"/>
  <c r="M329" i="6"/>
  <c r="AD329" i="6" s="1"/>
  <c r="AH113" i="36"/>
  <c r="M112" i="6"/>
  <c r="AD112" i="6" s="1"/>
  <c r="AH223" i="36"/>
  <c r="M222" i="6"/>
  <c r="AD222" i="6" s="1"/>
  <c r="AH170" i="36"/>
  <c r="M169" i="6"/>
  <c r="AD169" i="6" s="1"/>
  <c r="AH45" i="36"/>
  <c r="M44" i="6"/>
  <c r="AD44" i="6" s="1"/>
  <c r="AH78" i="36"/>
  <c r="M77" i="6"/>
  <c r="AD77" i="6" s="1"/>
  <c r="AH128" i="36"/>
  <c r="M127" i="6"/>
  <c r="AD127" i="6" s="1"/>
  <c r="AH332" i="36"/>
  <c r="M331" i="6"/>
  <c r="AD331" i="6" s="1"/>
  <c r="AH67" i="36"/>
  <c r="M66" i="6"/>
  <c r="AD66" i="6" s="1"/>
  <c r="AH358" i="36"/>
  <c r="M357" i="6"/>
  <c r="AD357" i="6" s="1"/>
  <c r="AH92" i="36"/>
  <c r="M91" i="6"/>
  <c r="AD91" i="6" s="1"/>
  <c r="AH59" i="36"/>
  <c r="M58" i="6"/>
  <c r="AD58" i="6" s="1"/>
  <c r="AH162" i="36"/>
  <c r="M161" i="6"/>
  <c r="AD161" i="6" s="1"/>
  <c r="AH218" i="36"/>
  <c r="M217" i="6"/>
  <c r="AD217" i="6" s="1"/>
  <c r="AH44" i="36"/>
  <c r="M43" i="6"/>
  <c r="AD43" i="6" s="1"/>
  <c r="AH154" i="36"/>
  <c r="M153" i="6"/>
  <c r="AD153" i="6" s="1"/>
  <c r="AH54" i="36"/>
  <c r="M53" i="6"/>
  <c r="AD53" i="6" s="1"/>
  <c r="AH85" i="36"/>
  <c r="M84" i="6"/>
  <c r="AD84" i="6" s="1"/>
  <c r="AH188" i="36"/>
  <c r="M187" i="6"/>
  <c r="AD187" i="6" s="1"/>
  <c r="AH60" i="36"/>
  <c r="M59" i="6"/>
  <c r="AD59" i="6" s="1"/>
  <c r="AH34" i="36"/>
  <c r="M33" i="6"/>
  <c r="AD33" i="6" s="1"/>
  <c r="AH96" i="36"/>
  <c r="M95" i="6"/>
  <c r="AD95" i="6" s="1"/>
  <c r="AH22" i="36"/>
  <c r="M21" i="6"/>
  <c r="AD21" i="6" s="1"/>
  <c r="AH329" i="36"/>
  <c r="M328" i="6"/>
  <c r="AD328" i="6" s="1"/>
  <c r="AH301" i="36"/>
  <c r="M300" i="6"/>
  <c r="AD300" i="6" s="1"/>
  <c r="AH338" i="36"/>
  <c r="M337" i="6"/>
  <c r="AD337" i="6" s="1"/>
  <c r="AH23" i="36"/>
  <c r="M22" i="6"/>
  <c r="AD22" i="6" s="1"/>
  <c r="AH124" i="36"/>
  <c r="M123" i="6"/>
  <c r="AD123" i="6" s="1"/>
  <c r="AH87" i="36"/>
  <c r="M86" i="6"/>
  <c r="AD86" i="6" s="1"/>
  <c r="AH155" i="36"/>
  <c r="M154" i="6"/>
  <c r="AD154" i="6" s="1"/>
  <c r="AH306" i="36"/>
  <c r="M305" i="6"/>
  <c r="AD305" i="6" s="1"/>
  <c r="AH15" i="36"/>
  <c r="M14" i="6"/>
  <c r="AD14" i="6" s="1"/>
  <c r="AH305" i="36"/>
  <c r="M304" i="6"/>
  <c r="AD304" i="6" s="1"/>
  <c r="AH257" i="36"/>
  <c r="M256" i="6"/>
  <c r="AD256" i="6" s="1"/>
  <c r="AH246" i="36"/>
  <c r="M245" i="6"/>
  <c r="AD245" i="6" s="1"/>
  <c r="AH262" i="36"/>
  <c r="M261" i="6"/>
  <c r="AD261" i="6" s="1"/>
  <c r="AH253" i="36"/>
  <c r="M252" i="6"/>
  <c r="AD252" i="6" s="1"/>
  <c r="AH33" i="36"/>
  <c r="M32" i="6"/>
  <c r="AD32" i="6" s="1"/>
  <c r="AH336" i="36"/>
  <c r="M335" i="6"/>
  <c r="AD335" i="6" s="1"/>
  <c r="AH101" i="36"/>
  <c r="M100" i="6"/>
  <c r="AD100" i="6" s="1"/>
  <c r="AH229" i="36"/>
  <c r="M228" i="6"/>
  <c r="AH82" i="36"/>
  <c r="M81" i="6"/>
  <c r="AD81" i="6" s="1"/>
  <c r="AH125" i="36"/>
  <c r="M124" i="6"/>
  <c r="AD124" i="6" s="1"/>
  <c r="AH119" i="36"/>
  <c r="M118" i="6"/>
  <c r="AD118" i="6" s="1"/>
  <c r="AH208" i="36"/>
  <c r="M207" i="6"/>
  <c r="AD207" i="6" s="1"/>
  <c r="AH147" i="36"/>
  <c r="M146" i="6"/>
  <c r="AD146" i="6" s="1"/>
  <c r="AH41" i="36"/>
  <c r="M40" i="6"/>
  <c r="AD40" i="6" s="1"/>
  <c r="AH344" i="36"/>
  <c r="M343" i="6"/>
  <c r="AD343" i="6" s="1"/>
  <c r="AH360" i="36"/>
  <c r="M359" i="6"/>
  <c r="AD359" i="6" s="1"/>
  <c r="AH311" i="36"/>
  <c r="M310" i="6"/>
  <c r="AD310" i="6" s="1"/>
  <c r="AH211" i="36"/>
  <c r="M210" i="6"/>
  <c r="AD210" i="6" s="1"/>
  <c r="AH73" i="36"/>
  <c r="M72" i="6"/>
  <c r="AD72" i="6" s="1"/>
  <c r="AH94" i="36"/>
  <c r="M93" i="6"/>
  <c r="AD93" i="6" s="1"/>
  <c r="AH285" i="36"/>
  <c r="M284" i="6"/>
  <c r="AD284" i="6" s="1"/>
  <c r="AH103" i="36"/>
  <c r="M102" i="6"/>
  <c r="AD102" i="6" s="1"/>
  <c r="AH216" i="36"/>
  <c r="M215" i="6"/>
  <c r="AD215" i="6" s="1"/>
  <c r="AH248" i="36"/>
  <c r="M247" i="6"/>
  <c r="AD247" i="6" s="1"/>
  <c r="AH31" i="36"/>
  <c r="M30" i="6"/>
  <c r="AD30" i="6" s="1"/>
  <c r="AH88" i="36"/>
  <c r="M87" i="6"/>
  <c r="AH204" i="36"/>
  <c r="M203" i="6"/>
  <c r="AD203" i="6" s="1"/>
  <c r="AH307" i="36"/>
  <c r="M306" i="6"/>
  <c r="AD306" i="6" s="1"/>
  <c r="AH32" i="36"/>
  <c r="M31" i="6"/>
  <c r="AD31" i="6" s="1"/>
  <c r="AH339" i="36"/>
  <c r="M338" i="6"/>
  <c r="AD338" i="6" s="1"/>
  <c r="AH232" i="36"/>
  <c r="M231" i="6"/>
  <c r="AD231" i="6" s="1"/>
  <c r="AH80" i="36"/>
  <c r="M79" i="6"/>
  <c r="AD79" i="6" s="1"/>
  <c r="AH164" i="36"/>
  <c r="M163" i="6"/>
  <c r="AD163" i="6" s="1"/>
  <c r="AH21" i="36"/>
  <c r="M20" i="6"/>
  <c r="AD20" i="6" s="1"/>
  <c r="AH107" i="36"/>
  <c r="M106" i="6"/>
  <c r="AD106" i="6" s="1"/>
  <c r="AH95" i="36"/>
  <c r="M94" i="6"/>
  <c r="AD94" i="6" s="1"/>
  <c r="AH140" i="36"/>
  <c r="M139" i="6"/>
  <c r="AD139" i="6" s="1"/>
  <c r="AH43" i="36"/>
  <c r="M42" i="6"/>
  <c r="AH37" i="36"/>
  <c r="M36" i="6"/>
  <c r="AD36" i="6" s="1"/>
  <c r="AH106" i="36"/>
  <c r="M105" i="6"/>
  <c r="AD105" i="6" s="1"/>
  <c r="AH191" i="36"/>
  <c r="M190" i="6"/>
  <c r="AD190" i="6" s="1"/>
  <c r="AH74" i="36"/>
  <c r="M73" i="6"/>
  <c r="AH331" i="36"/>
  <c r="M330" i="6"/>
  <c r="AD330" i="6" s="1"/>
  <c r="AH111" i="36"/>
  <c r="M110" i="6"/>
  <c r="AD110" i="6" s="1"/>
  <c r="AH268" i="36"/>
  <c r="M267" i="6"/>
  <c r="AD267" i="6" s="1"/>
  <c r="AH290" i="36"/>
  <c r="M289" i="6"/>
  <c r="AD289" i="6" s="1"/>
  <c r="AH239" i="36"/>
  <c r="M238" i="6"/>
  <c r="AD238" i="6" s="1"/>
  <c r="AH39" i="36"/>
  <c r="M38" i="6"/>
  <c r="AD38" i="6" s="1"/>
  <c r="AH231" i="36"/>
  <c r="M230" i="6"/>
  <c r="AD230" i="6" s="1"/>
  <c r="AH284" i="36"/>
  <c r="M283" i="6"/>
  <c r="AD283" i="6" s="1"/>
  <c r="AH271" i="36"/>
  <c r="M270" i="6"/>
  <c r="AD270" i="6" s="1"/>
  <c r="AH281" i="36"/>
  <c r="M280" i="6"/>
  <c r="AD280" i="6" s="1"/>
  <c r="AH84" i="36"/>
  <c r="M83" i="6"/>
  <c r="AD83" i="6" s="1"/>
  <c r="AH27" i="36"/>
  <c r="M26" i="6"/>
  <c r="AH342" i="36"/>
  <c r="M341" i="6"/>
  <c r="AD341" i="6" s="1"/>
  <c r="AH243" i="36"/>
  <c r="M242" i="6"/>
  <c r="AD242" i="6" s="1"/>
  <c r="AH327" i="36"/>
  <c r="M326" i="6"/>
  <c r="AD326" i="6" s="1"/>
  <c r="AH47" i="36"/>
  <c r="M46" i="6"/>
  <c r="AD46" i="6" s="1"/>
  <c r="AH116" i="36"/>
  <c r="M115" i="6"/>
  <c r="AD115" i="6" s="1"/>
  <c r="AH100" i="36"/>
  <c r="M99" i="6"/>
  <c r="AD99" i="6" s="1"/>
  <c r="AH25" i="36"/>
  <c r="M24" i="6"/>
  <c r="AD24" i="6" s="1"/>
  <c r="AH120" i="36"/>
  <c r="M119" i="6"/>
  <c r="AD119" i="6" s="1"/>
  <c r="AH76" i="36"/>
  <c r="M75" i="6"/>
  <c r="AD75" i="6" s="1"/>
  <c r="AH220" i="36"/>
  <c r="M219" i="6"/>
  <c r="AD219" i="6" s="1"/>
  <c r="AH143" i="36"/>
  <c r="M142" i="6"/>
  <c r="AD142" i="6" s="1"/>
  <c r="AH53" i="36"/>
  <c r="M52" i="6"/>
  <c r="AD52" i="6" s="1"/>
  <c r="AH245" i="36"/>
  <c r="M244" i="6"/>
  <c r="AD244" i="6" s="1"/>
  <c r="AH38" i="36"/>
  <c r="M37" i="6"/>
  <c r="AD37" i="6" s="1"/>
  <c r="AH99" i="36"/>
  <c r="M98" i="6"/>
  <c r="AD98" i="6" s="1"/>
  <c r="AH108" i="36"/>
  <c r="M107" i="6"/>
  <c r="AD107" i="6" s="1"/>
  <c r="AH131" i="36"/>
  <c r="M130" i="6"/>
  <c r="AD130" i="6" s="1"/>
  <c r="AH91" i="36"/>
  <c r="M90" i="6"/>
  <c r="AD90" i="6" s="1"/>
  <c r="AH62" i="36"/>
  <c r="M61" i="6"/>
  <c r="AD61" i="6" s="1"/>
  <c r="AH351" i="36"/>
  <c r="M350" i="6"/>
  <c r="AH58" i="36"/>
  <c r="M57" i="6"/>
  <c r="AD57" i="6" s="1"/>
  <c r="AH50" i="36"/>
  <c r="M49" i="6"/>
  <c r="AD49" i="6" s="1"/>
  <c r="AH187" i="36"/>
  <c r="M186" i="6"/>
  <c r="AD186" i="6" s="1"/>
  <c r="AH190" i="36"/>
  <c r="M189" i="6"/>
  <c r="AD189" i="6" s="1"/>
  <c r="AH314" i="36"/>
  <c r="M313" i="6"/>
  <c r="AD313" i="6" s="1"/>
  <c r="AH117" i="36"/>
  <c r="M116" i="6"/>
  <c r="AD116" i="6" s="1"/>
  <c r="AH238" i="36"/>
  <c r="M237" i="6"/>
  <c r="AD237" i="6" s="1"/>
  <c r="AH132" i="36"/>
  <c r="M131" i="6"/>
  <c r="AD131" i="6" s="1"/>
  <c r="AH273" i="36"/>
  <c r="M272" i="6"/>
  <c r="AD272" i="6" s="1"/>
  <c r="AH337" i="36"/>
  <c r="M336" i="6"/>
  <c r="AD336" i="6" s="1"/>
  <c r="AH134" i="36"/>
  <c r="M133" i="6"/>
  <c r="AD133" i="6" s="1"/>
  <c r="AH71" i="36"/>
  <c r="M70" i="6"/>
  <c r="AD70" i="6" s="1"/>
  <c r="AH321" i="36"/>
  <c r="M320" i="6"/>
  <c r="AD320" i="6" s="1"/>
  <c r="AH197" i="36"/>
  <c r="M196" i="6"/>
  <c r="AD196" i="6" s="1"/>
  <c r="AH230" i="36"/>
  <c r="M229" i="6"/>
  <c r="AH340" i="36"/>
  <c r="M339" i="6"/>
  <c r="AD339" i="6" s="1"/>
  <c r="AH181" i="36"/>
  <c r="M180" i="6"/>
  <c r="AD180" i="6" s="1"/>
  <c r="AH139" i="36"/>
  <c r="M138" i="6"/>
  <c r="AD138" i="6" s="1"/>
  <c r="AH225" i="36"/>
  <c r="M224" i="6"/>
  <c r="AD224" i="6" s="1"/>
  <c r="AH163" i="36"/>
  <c r="M162" i="6"/>
  <c r="AD162" i="6" s="1"/>
  <c r="AH184" i="36"/>
  <c r="M183" i="6"/>
  <c r="AD183" i="6" s="1"/>
  <c r="AH156" i="36"/>
  <c r="M155" i="6"/>
  <c r="AD155" i="6" s="1"/>
  <c r="AH319" i="36"/>
  <c r="M318" i="6"/>
  <c r="AD318" i="6" s="1"/>
  <c r="AH149" i="36"/>
  <c r="M148" i="6"/>
  <c r="AD148" i="6" s="1"/>
  <c r="AH213" i="36"/>
  <c r="M212" i="6"/>
  <c r="AD212" i="6" s="1"/>
  <c r="AH276" i="36"/>
  <c r="M275" i="6"/>
  <c r="AD275" i="6" s="1"/>
  <c r="AH165" i="36"/>
  <c r="M164" i="6"/>
  <c r="AD164" i="6" s="1"/>
  <c r="AH242" i="36"/>
  <c r="M241" i="6"/>
  <c r="AD241" i="6" s="1"/>
  <c r="AH354" i="36"/>
  <c r="M353" i="6"/>
  <c r="AD353" i="6" s="1"/>
  <c r="AH36" i="36"/>
  <c r="M35" i="6"/>
  <c r="AD35" i="6" s="1"/>
  <c r="AH105" i="36"/>
  <c r="M104" i="6"/>
  <c r="AD104" i="6" s="1"/>
  <c r="AH159" i="36"/>
  <c r="M158" i="6"/>
  <c r="AD158" i="6" s="1"/>
  <c r="AH247" i="36"/>
  <c r="M246" i="6"/>
  <c r="AD246" i="6" s="1"/>
  <c r="AH227" i="36"/>
  <c r="M226" i="6"/>
  <c r="AD226" i="6" s="1"/>
  <c r="AH129" i="36"/>
  <c r="M128" i="6"/>
  <c r="AD128" i="6" s="1"/>
  <c r="AH52" i="36"/>
  <c r="M51" i="6"/>
  <c r="AD51" i="6" s="1"/>
  <c r="AH135" i="36"/>
  <c r="M134" i="6"/>
  <c r="AD134" i="6" s="1"/>
  <c r="AH130" i="36"/>
  <c r="M129" i="6"/>
  <c r="AD129" i="6" s="1"/>
  <c r="AH57" i="36"/>
  <c r="M56" i="6"/>
  <c r="AD56" i="6" s="1"/>
  <c r="AH152" i="36"/>
  <c r="M151" i="6"/>
  <c r="AD151" i="6" s="1"/>
  <c r="AH207" i="36"/>
  <c r="M206" i="6"/>
  <c r="AD206" i="6" s="1"/>
  <c r="AH323" i="36"/>
  <c r="M322" i="6"/>
  <c r="AD322" i="6" s="1"/>
  <c r="AH300" i="36"/>
  <c r="M299" i="6"/>
  <c r="AD299" i="6" s="1"/>
  <c r="AH316" i="36"/>
  <c r="M315" i="6"/>
  <c r="AD315" i="6" s="1"/>
  <c r="AH145" i="36"/>
  <c r="M144" i="6"/>
  <c r="AD144" i="6" s="1"/>
  <c r="AH315" i="36"/>
  <c r="M314" i="6"/>
  <c r="AD314" i="6" s="1"/>
  <c r="AH308" i="36"/>
  <c r="M307" i="6"/>
  <c r="AD307" i="6" s="1"/>
  <c r="AH192" i="36"/>
  <c r="M191" i="6"/>
  <c r="AD191" i="6" s="1"/>
  <c r="AH215" i="36"/>
  <c r="M214" i="6"/>
  <c r="AD214" i="6" s="1"/>
  <c r="AH236" i="36"/>
  <c r="M235" i="6"/>
  <c r="AD235" i="6" s="1"/>
  <c r="AH177" i="36"/>
  <c r="M176" i="6"/>
  <c r="AD176" i="6" s="1"/>
  <c r="AH234" i="36"/>
  <c r="M233" i="6"/>
  <c r="AD233" i="6" s="1"/>
  <c r="AH180" i="36"/>
  <c r="M179" i="6"/>
  <c r="AD179" i="6" s="1"/>
  <c r="AH210" i="36"/>
  <c r="M209" i="6"/>
  <c r="AD209" i="6" s="1"/>
  <c r="AH260" i="36"/>
  <c r="M259" i="6"/>
  <c r="AD259" i="6" s="1"/>
  <c r="AH296" i="36"/>
  <c r="M295" i="6"/>
  <c r="AD295" i="6" s="1"/>
  <c r="AH265" i="36"/>
  <c r="M264" i="6"/>
  <c r="AD264" i="6" s="1"/>
  <c r="AH241" i="36"/>
  <c r="M240" i="6"/>
  <c r="AD240" i="6" s="1"/>
  <c r="AH269" i="36"/>
  <c r="M268" i="6"/>
  <c r="AD268" i="6" s="1"/>
  <c r="AH278" i="36"/>
  <c r="M277" i="6"/>
  <c r="AD277" i="6" s="1"/>
  <c r="AH292" i="36"/>
  <c r="M291" i="6"/>
  <c r="AD291" i="6" s="1"/>
  <c r="AH295" i="36"/>
  <c r="M294" i="6"/>
  <c r="AD294" i="6" s="1"/>
  <c r="AH264" i="36"/>
  <c r="M263" i="6"/>
  <c r="AD263" i="6" s="1"/>
  <c r="AH146" i="36"/>
  <c r="M145" i="6"/>
  <c r="AD145" i="6" s="1"/>
  <c r="AH244" i="36"/>
  <c r="M243" i="6"/>
  <c r="AD243" i="6" s="1"/>
  <c r="AH249" i="36"/>
  <c r="M248" i="6"/>
  <c r="AD248" i="6" s="1"/>
  <c r="AH286" i="36"/>
  <c r="M285" i="6"/>
  <c r="AD285" i="6" s="1"/>
  <c r="AH328" i="36"/>
  <c r="M327" i="6"/>
  <c r="AD327" i="6" s="1"/>
  <c r="AH359" i="36"/>
  <c r="M358" i="6"/>
  <c r="AD358" i="6" s="1"/>
  <c r="AH202" i="36"/>
  <c r="M201" i="6"/>
  <c r="AD201" i="6" s="1"/>
  <c r="AH29" i="36"/>
  <c r="M28" i="6"/>
  <c r="AD28" i="6" s="1"/>
  <c r="AH283" i="36"/>
  <c r="M282" i="6"/>
  <c r="AD282" i="6" s="1"/>
  <c r="AH86" i="36"/>
  <c r="M85" i="6"/>
  <c r="AD85" i="6" s="1"/>
  <c r="AH349" i="36"/>
  <c r="M348" i="6"/>
  <c r="AD348" i="6" s="1"/>
  <c r="AH93" i="36"/>
  <c r="M92" i="6"/>
  <c r="AD92" i="6" s="1"/>
  <c r="AH347" i="36"/>
  <c r="M346" i="6"/>
  <c r="AD346" i="6" s="1"/>
  <c r="AH356" i="36"/>
  <c r="M355" i="6"/>
  <c r="AD355" i="6" s="1"/>
  <c r="AH357" i="36"/>
  <c r="M356" i="6"/>
  <c r="AD356" i="6" s="1"/>
  <c r="AH252" i="36"/>
  <c r="M251" i="6"/>
  <c r="AD251" i="6" s="1"/>
  <c r="AH51" i="36"/>
  <c r="M50" i="6"/>
  <c r="AD50" i="6" s="1"/>
  <c r="AH98" i="36"/>
  <c r="M97" i="6"/>
  <c r="AD97" i="6" s="1"/>
  <c r="AH115" i="36"/>
  <c r="M114" i="6"/>
  <c r="AD114" i="6" s="1"/>
  <c r="AH97" i="36"/>
  <c r="M96" i="6"/>
  <c r="AD96" i="6" s="1"/>
  <c r="AH70" i="36"/>
  <c r="M69" i="6"/>
  <c r="AD69" i="6" s="1"/>
  <c r="M25" i="6"/>
  <c r="AH66" i="36"/>
  <c r="M65" i="6"/>
  <c r="AD65" i="6" s="1"/>
  <c r="AH219" i="36"/>
  <c r="M218" i="6"/>
  <c r="AD218" i="6" s="1"/>
  <c r="AH313" i="36"/>
  <c r="M312" i="6"/>
  <c r="AD312" i="6" s="1"/>
  <c r="AH222" i="36"/>
  <c r="M221" i="6"/>
  <c r="AD221" i="6" s="1"/>
  <c r="AH346" i="36"/>
  <c r="M345" i="6"/>
  <c r="AD345" i="6" s="1"/>
  <c r="AH79" i="36"/>
  <c r="M78" i="6"/>
  <c r="AD78" i="6" s="1"/>
  <c r="AH270" i="36"/>
  <c r="M269" i="6"/>
  <c r="AD269" i="6" s="1"/>
  <c r="AH179" i="36"/>
  <c r="M178" i="6"/>
  <c r="AD178" i="6" s="1"/>
  <c r="AH317" i="36"/>
  <c r="M316" i="6"/>
  <c r="AD316" i="6" s="1"/>
  <c r="AH158" i="36"/>
  <c r="M157" i="6"/>
  <c r="AD157" i="6" s="1"/>
  <c r="AH189" i="36"/>
  <c r="M188" i="6"/>
  <c r="AD188" i="6" s="1"/>
  <c r="AH166" i="36"/>
  <c r="M165" i="6"/>
  <c r="AD165" i="6" s="1"/>
  <c r="AH63" i="36"/>
  <c r="M62" i="6"/>
  <c r="AH142" i="36"/>
  <c r="M141" i="6"/>
  <c r="AD141" i="6" s="1"/>
  <c r="AH109" i="36"/>
  <c r="M108" i="6"/>
  <c r="AD108" i="6" s="1"/>
  <c r="AH42" i="36"/>
  <c r="M41" i="6"/>
  <c r="AD41" i="6" s="1"/>
  <c r="AH309" i="36"/>
  <c r="M308" i="6"/>
  <c r="AD308" i="6" s="1"/>
  <c r="AH259" i="36"/>
  <c r="M258" i="6"/>
  <c r="AD258" i="6" s="1"/>
  <c r="AH185" i="36"/>
  <c r="M184" i="6"/>
  <c r="AD184" i="6" s="1"/>
  <c r="AH205" i="36"/>
  <c r="M204" i="6"/>
  <c r="AD204" i="6" s="1"/>
  <c r="AH173" i="36"/>
  <c r="M172" i="6"/>
  <c r="AD172" i="6" s="1"/>
  <c r="AH203" i="36"/>
  <c r="M202" i="6"/>
  <c r="AD202" i="6" s="1"/>
  <c r="AH348" i="36"/>
  <c r="M347" i="6"/>
  <c r="AD347" i="6" s="1"/>
  <c r="AH221" i="36"/>
  <c r="M220" i="6"/>
  <c r="AD220" i="6" s="1"/>
  <c r="AH194" i="36"/>
  <c r="M193" i="6"/>
  <c r="AD193" i="6" s="1"/>
  <c r="AH294" i="36"/>
  <c r="M293" i="6"/>
  <c r="AD293" i="6" s="1"/>
  <c r="AH341" i="36"/>
  <c r="M340" i="6"/>
  <c r="AD340" i="6" s="1"/>
  <c r="AH297" i="36"/>
  <c r="M296" i="6"/>
  <c r="AD296" i="6" s="1"/>
  <c r="AH144" i="36"/>
  <c r="M143" i="6"/>
  <c r="AD143" i="6" s="1"/>
  <c r="AH226" i="36"/>
  <c r="M225" i="6"/>
  <c r="AD225" i="6" s="1"/>
  <c r="AH263" i="36"/>
  <c r="M262" i="6"/>
  <c r="AD262" i="6" s="1"/>
  <c r="AH102" i="36"/>
  <c r="M101" i="6"/>
  <c r="AD101" i="6" s="1"/>
  <c r="AH272" i="36"/>
  <c r="M271" i="6"/>
  <c r="AD271" i="6" s="1"/>
  <c r="AH148" i="36"/>
  <c r="M147" i="6"/>
  <c r="AD147" i="6" s="1"/>
  <c r="AH72" i="36"/>
  <c r="M71" i="6"/>
  <c r="AD71" i="6" s="1"/>
  <c r="AH175" i="36"/>
  <c r="M174" i="6"/>
  <c r="AD174" i="6" s="1"/>
  <c r="AH46" i="36"/>
  <c r="M45" i="6"/>
  <c r="AD45" i="6" s="1"/>
  <c r="AH228" i="36"/>
  <c r="M227" i="6"/>
  <c r="AD227" i="6" s="1"/>
  <c r="AH28" i="36"/>
  <c r="M27" i="6"/>
  <c r="AD27" i="6" s="1"/>
  <c r="AH200" i="36"/>
  <c r="M199" i="6"/>
  <c r="AD199" i="6" s="1"/>
  <c r="AH48" i="36"/>
  <c r="M47" i="6"/>
  <c r="AD47" i="6" s="1"/>
  <c r="AH266" i="36"/>
  <c r="M265" i="6"/>
  <c r="AD265" i="6" s="1"/>
  <c r="AH110" i="36"/>
  <c r="M109" i="6"/>
  <c r="AD109" i="6" s="1"/>
  <c r="AH133" i="36"/>
  <c r="M132" i="6"/>
  <c r="AD132" i="6" s="1"/>
  <c r="AH56" i="36"/>
  <c r="M55" i="6"/>
  <c r="AD55" i="6" s="1"/>
  <c r="AH118" i="36"/>
  <c r="M117" i="6"/>
  <c r="AD117" i="6" s="1"/>
  <c r="AH65" i="36"/>
  <c r="M64" i="6"/>
  <c r="AD64" i="6" s="1"/>
  <c r="AH126" i="36"/>
  <c r="M125" i="6"/>
  <c r="AD125" i="6" s="1"/>
  <c r="AH291" i="36"/>
  <c r="M290" i="6"/>
  <c r="AD290" i="6" s="1"/>
  <c r="AH183" i="36"/>
  <c r="M182" i="6"/>
  <c r="AD182" i="6" s="1"/>
  <c r="AH320" i="36"/>
  <c r="M319" i="6"/>
  <c r="AD319" i="6" s="1"/>
  <c r="AH240" i="36"/>
  <c r="M239" i="6"/>
  <c r="AD239" i="6" s="1"/>
  <c r="AH224" i="36"/>
  <c r="M223" i="6"/>
  <c r="AD223" i="6" s="1"/>
  <c r="AH24" i="36"/>
  <c r="M23" i="6"/>
  <c r="AD23" i="6" s="1"/>
  <c r="AH35" i="36"/>
  <c r="M34" i="6"/>
  <c r="AD34" i="6" s="1"/>
  <c r="AH289" i="36"/>
  <c r="M288" i="6"/>
  <c r="AD288" i="6" s="1"/>
  <c r="AH267" i="36"/>
  <c r="M266" i="6"/>
  <c r="AD266" i="6" s="1"/>
  <c r="AH277" i="36"/>
  <c r="M276" i="6"/>
  <c r="AD276" i="6" s="1"/>
  <c r="AH293" i="36"/>
  <c r="M292" i="6"/>
  <c r="AD292" i="6" s="1"/>
  <c r="AH237" i="36"/>
  <c r="M236" i="6"/>
  <c r="AD236" i="6" s="1"/>
  <c r="AH280" i="36"/>
  <c r="M279" i="6"/>
  <c r="AD279" i="6" s="1"/>
  <c r="AH121" i="36"/>
  <c r="M120" i="6"/>
  <c r="AD120" i="6" s="1"/>
  <c r="AH303" i="36"/>
  <c r="M302" i="6"/>
  <c r="AD302" i="6" s="1"/>
  <c r="AH312" i="36"/>
  <c r="M311" i="6"/>
  <c r="AD311" i="6" s="1"/>
  <c r="AH137" i="36"/>
  <c r="M136" i="6"/>
  <c r="AD136" i="6" s="1"/>
  <c r="AH251" i="36"/>
  <c r="M250" i="6"/>
  <c r="AD250" i="6" s="1"/>
  <c r="AH64" i="36"/>
  <c r="M63" i="6"/>
  <c r="AH30" i="36"/>
  <c r="M29" i="6"/>
  <c r="AD29" i="6" s="1"/>
  <c r="AH151" i="36"/>
  <c r="M150" i="6"/>
  <c r="AD150" i="6" s="1"/>
  <c r="AH77" i="36"/>
  <c r="M76" i="6"/>
  <c r="AD76" i="6" s="1"/>
  <c r="AH169" i="36"/>
  <c r="M168" i="6"/>
  <c r="AD168" i="6" s="1"/>
  <c r="AH250" i="36"/>
  <c r="M249" i="6"/>
  <c r="AD249" i="6" s="1"/>
  <c r="AH14" i="36"/>
  <c r="M13" i="6"/>
  <c r="AD13" i="6" s="1"/>
  <c r="AH335" i="36"/>
  <c r="M334" i="6"/>
  <c r="AD334" i="6" s="1"/>
  <c r="AH123" i="36"/>
  <c r="M122" i="6"/>
  <c r="AD122" i="6" s="1"/>
  <c r="AH83" i="36"/>
  <c r="M82" i="6"/>
  <c r="AD82" i="6" s="1"/>
  <c r="AH304" i="36"/>
  <c r="M303" i="6"/>
  <c r="AH282" i="36"/>
  <c r="M281" i="6"/>
  <c r="AD281" i="6" s="1"/>
  <c r="AH310" i="36"/>
  <c r="M309" i="6"/>
  <c r="AD309" i="6" s="1"/>
  <c r="AH104" i="36"/>
  <c r="M103" i="6"/>
  <c r="AD103" i="6" s="1"/>
  <c r="AH122" i="36"/>
  <c r="M121" i="6"/>
  <c r="AD121" i="6" s="1"/>
  <c r="AH138" i="36"/>
  <c r="M137" i="6"/>
  <c r="AD137" i="6" s="1"/>
  <c r="AH69" i="36"/>
  <c r="M68" i="6"/>
  <c r="AD68" i="6" s="1"/>
  <c r="AH16" i="36"/>
  <c r="M15" i="6"/>
  <c r="AD15" i="6" s="1"/>
  <c r="AH90" i="36"/>
  <c r="M89" i="6"/>
  <c r="AD89" i="6" s="1"/>
  <c r="M274" i="8"/>
  <c r="AD274" i="8"/>
  <c r="M274" i="9"/>
  <c r="AC274" i="9"/>
  <c r="AD15" i="36"/>
  <c r="AC21" i="8" l="1"/>
  <c r="AD21" i="8"/>
  <c r="M242" i="9"/>
  <c r="AC242" i="9"/>
  <c r="M259" i="8"/>
  <c r="AD259" i="8"/>
  <c r="M145" i="8"/>
  <c r="AC145" i="8"/>
  <c r="AD145" i="8"/>
  <c r="M240" i="8"/>
  <c r="AD240" i="8"/>
  <c r="M319" i="8"/>
  <c r="AD319" i="8"/>
  <c r="M290" i="9"/>
  <c r="AC290" i="9"/>
  <c r="M265" i="8"/>
  <c r="AD265" i="8"/>
  <c r="M199" i="9"/>
  <c r="AC199" i="9"/>
  <c r="M247" i="8"/>
  <c r="AD247" i="8"/>
  <c r="M215" i="9"/>
  <c r="AC215" i="9"/>
  <c r="M210" i="8"/>
  <c r="AD210" i="8"/>
  <c r="M359" i="9"/>
  <c r="AC359" i="9"/>
  <c r="M118" i="8"/>
  <c r="AC118" i="8"/>
  <c r="AD118" i="8"/>
  <c r="M81" i="9"/>
  <c r="AC81" i="9"/>
  <c r="M261" i="8"/>
  <c r="AD261" i="8"/>
  <c r="M256" i="9"/>
  <c r="AC256" i="9"/>
  <c r="M123" i="8"/>
  <c r="AD123" i="8"/>
  <c r="AC123" i="8"/>
  <c r="M337" i="9"/>
  <c r="AC337" i="9"/>
  <c r="M57" i="8"/>
  <c r="AD57" i="8"/>
  <c r="AC57" i="8"/>
  <c r="M69" i="9"/>
  <c r="AC69" i="9"/>
  <c r="M90" i="9"/>
  <c r="AC90" i="9"/>
  <c r="M251" i="8"/>
  <c r="AD251" i="8"/>
  <c r="M356" i="9"/>
  <c r="AC356" i="9"/>
  <c r="M217" i="9"/>
  <c r="AC217" i="9"/>
  <c r="M334" i="8"/>
  <c r="AD334" i="8"/>
  <c r="M331" i="8"/>
  <c r="AD331" i="8"/>
  <c r="M44" i="9"/>
  <c r="AC44" i="9"/>
  <c r="M169" i="9"/>
  <c r="AC169" i="9"/>
  <c r="M341" i="9"/>
  <c r="AC341" i="9"/>
  <c r="M83" i="8"/>
  <c r="AD83" i="8"/>
  <c r="AC83" i="8"/>
  <c r="M270" i="8"/>
  <c r="AD270" i="8"/>
  <c r="M283" i="9"/>
  <c r="AC283" i="9"/>
  <c r="AC38" i="8"/>
  <c r="AD38" i="8"/>
  <c r="M238" i="9"/>
  <c r="AC238" i="9"/>
  <c r="M110" i="9"/>
  <c r="AC110" i="9"/>
  <c r="M179" i="8"/>
  <c r="AC179" i="8"/>
  <c r="AD179" i="8"/>
  <c r="M176" i="8"/>
  <c r="AD176" i="8"/>
  <c r="AC176" i="8"/>
  <c r="M235" i="9"/>
  <c r="AC235" i="9"/>
  <c r="AD191" i="8"/>
  <c r="M159" i="9"/>
  <c r="AC159" i="9"/>
  <c r="M206" i="9"/>
  <c r="AC206" i="9"/>
  <c r="M56" i="8"/>
  <c r="AD56" i="8"/>
  <c r="AC56" i="8"/>
  <c r="M45" i="8"/>
  <c r="AD45" i="8"/>
  <c r="AC45" i="8"/>
  <c r="M167" i="9"/>
  <c r="AC167" i="9"/>
  <c r="M195" i="8"/>
  <c r="AD195" i="8"/>
  <c r="M342" i="8"/>
  <c r="AD342" i="8"/>
  <c r="M194" i="9"/>
  <c r="AC194" i="9"/>
  <c r="M111" i="8"/>
  <c r="AD111" i="8"/>
  <c r="AC111" i="8"/>
  <c r="M54" i="8"/>
  <c r="AC54" i="8"/>
  <c r="AD54" i="8"/>
  <c r="M333" i="8"/>
  <c r="AD333" i="8"/>
  <c r="M39" i="9"/>
  <c r="AC39" i="9"/>
  <c r="M273" i="8"/>
  <c r="AD273" i="8"/>
  <c r="M325" i="8"/>
  <c r="AD325" i="8"/>
  <c r="M170" i="9"/>
  <c r="AC170" i="9"/>
  <c r="M208" i="9"/>
  <c r="AC208" i="9"/>
  <c r="M205" i="8"/>
  <c r="AD205" i="8"/>
  <c r="M216" i="9"/>
  <c r="AC216" i="9"/>
  <c r="M232" i="9"/>
  <c r="AC232" i="9"/>
  <c r="M218" i="9"/>
  <c r="AC218" i="9"/>
  <c r="M21" i="9"/>
  <c r="AC21" i="9"/>
  <c r="M137" i="9"/>
  <c r="AC137" i="9"/>
  <c r="M50" i="9"/>
  <c r="AC50" i="9"/>
  <c r="M309" i="9"/>
  <c r="AC309" i="9"/>
  <c r="M37" i="9"/>
  <c r="AC37" i="9"/>
  <c r="M122" i="9"/>
  <c r="AC122" i="9"/>
  <c r="M249" i="9"/>
  <c r="AC249" i="9"/>
  <c r="M76" i="8"/>
  <c r="AC76" i="8"/>
  <c r="AD76" i="8"/>
  <c r="M112" i="9"/>
  <c r="AC112" i="9"/>
  <c r="M257" i="9"/>
  <c r="AC257" i="9"/>
  <c r="M255" i="9"/>
  <c r="AC255" i="9"/>
  <c r="M234" i="9"/>
  <c r="AC234" i="9"/>
  <c r="M278" i="8"/>
  <c r="AD278" i="8"/>
  <c r="M330" i="8"/>
  <c r="AD330" i="8"/>
  <c r="M105" i="8"/>
  <c r="AD105" i="8"/>
  <c r="AC105" i="8"/>
  <c r="M94" i="8"/>
  <c r="AC94" i="8"/>
  <c r="AD94" i="8"/>
  <c r="M132" i="8"/>
  <c r="AC132" i="8"/>
  <c r="AD132" i="8"/>
  <c r="M79" i="8"/>
  <c r="AD79" i="8"/>
  <c r="AC79" i="8"/>
  <c r="M338" i="8"/>
  <c r="AD338" i="8"/>
  <c r="M31" i="9"/>
  <c r="AC31" i="9"/>
  <c r="M71" i="8"/>
  <c r="AD71" i="8"/>
  <c r="AC71" i="8"/>
  <c r="M271" i="8"/>
  <c r="AD271" i="8"/>
  <c r="M225" i="9"/>
  <c r="AC225" i="9"/>
  <c r="M296" i="9"/>
  <c r="AC296" i="9"/>
  <c r="M293" i="9"/>
  <c r="AC293" i="9"/>
  <c r="M193" i="9"/>
  <c r="AC193" i="9"/>
  <c r="M347" i="9"/>
  <c r="AC347" i="9"/>
  <c r="M172" i="9"/>
  <c r="AC172" i="9"/>
  <c r="M184" i="9"/>
  <c r="AC184" i="9"/>
  <c r="M308" i="9"/>
  <c r="AC308" i="9"/>
  <c r="M108" i="9"/>
  <c r="AC108" i="9"/>
  <c r="M188" i="9"/>
  <c r="AC188" i="9"/>
  <c r="M316" i="9"/>
  <c r="AC316" i="9"/>
  <c r="M269" i="9"/>
  <c r="AC269" i="9"/>
  <c r="M345" i="9"/>
  <c r="AC345" i="9"/>
  <c r="M300" i="9"/>
  <c r="AC300" i="9"/>
  <c r="M49" i="9"/>
  <c r="AC49" i="9"/>
  <c r="M95" i="9"/>
  <c r="AC95" i="9"/>
  <c r="M33" i="9"/>
  <c r="AC33" i="9"/>
  <c r="M84" i="9"/>
  <c r="AC84" i="9"/>
  <c r="M346" i="9"/>
  <c r="AC346" i="9"/>
  <c r="M142" i="9"/>
  <c r="AC142" i="9"/>
  <c r="M13" i="9"/>
  <c r="AC13" i="9"/>
  <c r="M282" i="9"/>
  <c r="AC282" i="9"/>
  <c r="M201" i="9"/>
  <c r="AC201" i="9"/>
  <c r="M327" i="9"/>
  <c r="AC327" i="9"/>
  <c r="M248" i="9"/>
  <c r="AC248" i="9"/>
  <c r="M311" i="9"/>
  <c r="AC311" i="9"/>
  <c r="M120" i="9"/>
  <c r="AC120" i="9"/>
  <c r="M292" i="9"/>
  <c r="AC292" i="9"/>
  <c r="M266" i="9"/>
  <c r="AC266" i="9"/>
  <c r="M34" i="9"/>
  <c r="AC34" i="9"/>
  <c r="M166" i="9"/>
  <c r="AC166" i="9"/>
  <c r="M152" i="9"/>
  <c r="AC152" i="9"/>
  <c r="M171" i="9"/>
  <c r="AC171" i="9"/>
  <c r="M287" i="9"/>
  <c r="AC287" i="9"/>
  <c r="M314" i="9"/>
  <c r="AC314" i="9"/>
  <c r="M315" i="9"/>
  <c r="AC315" i="9"/>
  <c r="M197" i="9"/>
  <c r="AC197" i="9"/>
  <c r="M140" i="9"/>
  <c r="AC140" i="9"/>
  <c r="M306" i="9"/>
  <c r="AC306" i="9"/>
  <c r="M51" i="9"/>
  <c r="AC51" i="9"/>
  <c r="M226" i="9"/>
  <c r="AC226" i="9"/>
  <c r="M158" i="9"/>
  <c r="AC158" i="9"/>
  <c r="M35" i="9"/>
  <c r="AC35" i="9"/>
  <c r="M241" i="9"/>
  <c r="AC241" i="9"/>
  <c r="M275" i="9"/>
  <c r="AC275" i="9"/>
  <c r="M148" i="9"/>
  <c r="AC148" i="9"/>
  <c r="M155" i="9"/>
  <c r="AC155" i="9"/>
  <c r="M162" i="9"/>
  <c r="AC162" i="9"/>
  <c r="M138" i="9"/>
  <c r="AC138" i="9"/>
  <c r="M339" i="9"/>
  <c r="AC339" i="9"/>
  <c r="M196" i="9"/>
  <c r="AC196" i="9"/>
  <c r="M70" i="9"/>
  <c r="AC70" i="9"/>
  <c r="M336" i="9"/>
  <c r="AC336" i="9"/>
  <c r="M131" i="9"/>
  <c r="AC131" i="9"/>
  <c r="M116" i="9"/>
  <c r="AC116" i="9"/>
  <c r="M189" i="9"/>
  <c r="AC189" i="9"/>
  <c r="M328" i="9"/>
  <c r="AC328" i="9"/>
  <c r="M15" i="9"/>
  <c r="AC15" i="9"/>
  <c r="M114" i="9"/>
  <c r="AC114" i="9"/>
  <c r="M103" i="9"/>
  <c r="AC103" i="9"/>
  <c r="M244" i="9"/>
  <c r="AC244" i="9"/>
  <c r="M58" i="9"/>
  <c r="AC58" i="9"/>
  <c r="M75" i="9"/>
  <c r="AC75" i="9"/>
  <c r="M24" i="9"/>
  <c r="AC24" i="9"/>
  <c r="M46" i="9"/>
  <c r="AC46" i="9"/>
  <c r="M243" i="9"/>
  <c r="AC243" i="9"/>
  <c r="M268" i="9"/>
  <c r="AC268" i="9"/>
  <c r="M295" i="9"/>
  <c r="AC295" i="9"/>
  <c r="M239" i="9"/>
  <c r="AC239" i="9"/>
  <c r="M125" i="9"/>
  <c r="AC125" i="9"/>
  <c r="M20" i="9"/>
  <c r="AC20" i="9"/>
  <c r="M47" i="9"/>
  <c r="AC47" i="9"/>
  <c r="M177" i="9"/>
  <c r="AC177" i="9"/>
  <c r="M72" i="9"/>
  <c r="AC72" i="9"/>
  <c r="M40" i="9"/>
  <c r="AC40" i="9"/>
  <c r="M124" i="9"/>
  <c r="AC124" i="9"/>
  <c r="M335" i="9"/>
  <c r="AC335" i="9"/>
  <c r="M245" i="9"/>
  <c r="AC245" i="9"/>
  <c r="M305" i="9"/>
  <c r="AC305" i="9"/>
  <c r="M22" i="9"/>
  <c r="AC22" i="9"/>
  <c r="M277" i="9"/>
  <c r="AC277" i="9"/>
  <c r="M263" i="9"/>
  <c r="AC263" i="9"/>
  <c r="M264" i="9"/>
  <c r="AC264" i="9"/>
  <c r="M242" i="8"/>
  <c r="AD242" i="8"/>
  <c r="M145" i="9"/>
  <c r="AC145" i="9"/>
  <c r="M277" i="8"/>
  <c r="AD277" i="8"/>
  <c r="M240" i="9"/>
  <c r="AC240" i="9"/>
  <c r="M223" i="8"/>
  <c r="AD223" i="8"/>
  <c r="M319" i="9"/>
  <c r="AC319" i="9"/>
  <c r="M106" i="8"/>
  <c r="AD106" i="8"/>
  <c r="AC106" i="8"/>
  <c r="M265" i="9"/>
  <c r="AC265" i="9"/>
  <c r="M254" i="8"/>
  <c r="AD254" i="8"/>
  <c r="M247" i="9"/>
  <c r="AC247" i="9"/>
  <c r="M93" i="8"/>
  <c r="AD93" i="8"/>
  <c r="AC93" i="8"/>
  <c r="M210" i="9"/>
  <c r="AC210" i="9"/>
  <c r="M146" i="8"/>
  <c r="AD146" i="8"/>
  <c r="AC146" i="8"/>
  <c r="M118" i="9"/>
  <c r="AC118" i="9"/>
  <c r="M32" i="8"/>
  <c r="AD32" i="8"/>
  <c r="AC32" i="8"/>
  <c r="M261" i="9"/>
  <c r="AC261" i="9"/>
  <c r="M154" i="8"/>
  <c r="AD154" i="8"/>
  <c r="AC154" i="8"/>
  <c r="M123" i="9"/>
  <c r="AC123" i="9"/>
  <c r="M57" i="9"/>
  <c r="AC57" i="9"/>
  <c r="M59" i="8"/>
  <c r="AD59" i="8"/>
  <c r="AC59" i="8"/>
  <c r="M107" i="8"/>
  <c r="AD107" i="8"/>
  <c r="AC107" i="8"/>
  <c r="M251" i="9"/>
  <c r="AC251" i="9"/>
  <c r="M356" i="8"/>
  <c r="AD356" i="8"/>
  <c r="M334" i="9"/>
  <c r="AC334" i="9"/>
  <c r="AC66" i="8"/>
  <c r="AD66" i="8"/>
  <c r="M331" i="9"/>
  <c r="AC331" i="9"/>
  <c r="M77" i="8"/>
  <c r="AD77" i="8"/>
  <c r="AC77" i="8"/>
  <c r="M44" i="8"/>
  <c r="AC44" i="8"/>
  <c r="AD44" i="8"/>
  <c r="M222" i="8"/>
  <c r="AD222" i="8"/>
  <c r="M83" i="9"/>
  <c r="AC83" i="9"/>
  <c r="M270" i="9"/>
  <c r="AC270" i="9"/>
  <c r="M38" i="9"/>
  <c r="AC38" i="9"/>
  <c r="M267" i="8"/>
  <c r="AD267" i="8"/>
  <c r="M179" i="9"/>
  <c r="AC179" i="9"/>
  <c r="M176" i="9"/>
  <c r="AC176" i="9"/>
  <c r="M214" i="8"/>
  <c r="AD214" i="8"/>
  <c r="M191" i="9"/>
  <c r="AC191" i="9"/>
  <c r="M60" i="8"/>
  <c r="AD60" i="8"/>
  <c r="AC60" i="8"/>
  <c r="AD299" i="8"/>
  <c r="M322" i="9"/>
  <c r="AC322" i="9"/>
  <c r="M151" i="8"/>
  <c r="AD151" i="8"/>
  <c r="AC151" i="8"/>
  <c r="M56" i="9"/>
  <c r="AC56" i="9"/>
  <c r="M45" i="9"/>
  <c r="AC45" i="9"/>
  <c r="M80" i="8"/>
  <c r="AD80" i="8"/>
  <c r="AC80" i="8"/>
  <c r="M113" i="8"/>
  <c r="AD113" i="8"/>
  <c r="AC113" i="8"/>
  <c r="M195" i="9"/>
  <c r="AC195" i="9"/>
  <c r="M342" i="9"/>
  <c r="AC342" i="9"/>
  <c r="M67" i="8"/>
  <c r="AD67" i="8"/>
  <c r="AC67" i="8"/>
  <c r="M349" i="8"/>
  <c r="AD349" i="8"/>
  <c r="M111" i="9"/>
  <c r="AC111" i="9"/>
  <c r="M54" i="9"/>
  <c r="AC54" i="9"/>
  <c r="M333" i="9"/>
  <c r="AC333" i="9"/>
  <c r="M273" i="9"/>
  <c r="AC273" i="9"/>
  <c r="M149" i="8"/>
  <c r="AC149" i="8"/>
  <c r="AD149" i="8"/>
  <c r="M325" i="9"/>
  <c r="AC325" i="9"/>
  <c r="M200" i="8"/>
  <c r="AD200" i="8"/>
  <c r="M173" i="8"/>
  <c r="AC173" i="8"/>
  <c r="AD173" i="8"/>
  <c r="M205" i="9"/>
  <c r="AC205" i="9"/>
  <c r="M297" i="8"/>
  <c r="AD297" i="8"/>
  <c r="M344" i="9"/>
  <c r="AC344" i="9"/>
  <c r="M65" i="8"/>
  <c r="AD65" i="8"/>
  <c r="AC65" i="8"/>
  <c r="M61" i="8"/>
  <c r="AD61" i="8"/>
  <c r="AC61" i="8"/>
  <c r="M187" i="8"/>
  <c r="AC187" i="8"/>
  <c r="AD187" i="8"/>
  <c r="M53" i="8"/>
  <c r="AD53" i="8"/>
  <c r="AC53" i="8"/>
  <c r="M281" i="8"/>
  <c r="AD281" i="8"/>
  <c r="M82" i="8"/>
  <c r="AC82" i="8"/>
  <c r="AD82" i="8"/>
  <c r="M348" i="9"/>
  <c r="AC348" i="9"/>
  <c r="M76" i="9"/>
  <c r="AC76" i="9"/>
  <c r="M29" i="8"/>
  <c r="AD29" i="8"/>
  <c r="AC29" i="8"/>
  <c r="M250" i="8"/>
  <c r="AD250" i="8"/>
  <c r="M329" i="8"/>
  <c r="AD329" i="8"/>
  <c r="M192" i="8"/>
  <c r="AD192" i="8"/>
  <c r="M16" i="8"/>
  <c r="AD16" i="8"/>
  <c r="AC16" i="8"/>
  <c r="M286" i="8"/>
  <c r="AD286" i="8"/>
  <c r="M278" i="9"/>
  <c r="AC278" i="9"/>
  <c r="M330" i="9"/>
  <c r="AC330" i="9"/>
  <c r="AD190" i="8"/>
  <c r="M105" i="9"/>
  <c r="AC105" i="9"/>
  <c r="M94" i="9"/>
  <c r="AC94" i="9"/>
  <c r="M132" i="9"/>
  <c r="AC132" i="9"/>
  <c r="M79" i="9"/>
  <c r="AC79" i="9"/>
  <c r="M338" i="9"/>
  <c r="AC338" i="9"/>
  <c r="M71" i="9"/>
  <c r="AC71" i="9"/>
  <c r="M271" i="9"/>
  <c r="AC271" i="9"/>
  <c r="M262" i="8"/>
  <c r="AD262" i="8"/>
  <c r="M143" i="8"/>
  <c r="AD143" i="8"/>
  <c r="AC143" i="8"/>
  <c r="M340" i="8"/>
  <c r="AD340" i="8"/>
  <c r="M220" i="8"/>
  <c r="AD220" i="8"/>
  <c r="M202" i="8"/>
  <c r="AD202" i="8"/>
  <c r="M204" i="8"/>
  <c r="AD204" i="8"/>
  <c r="M258" i="8"/>
  <c r="AD258" i="8"/>
  <c r="M41" i="8"/>
  <c r="AD41" i="8"/>
  <c r="AC41" i="8"/>
  <c r="M141" i="8"/>
  <c r="AC141" i="8"/>
  <c r="AD141" i="8"/>
  <c r="M165" i="8"/>
  <c r="AC165" i="8"/>
  <c r="AD165" i="8"/>
  <c r="M157" i="8"/>
  <c r="AC157" i="8"/>
  <c r="AD157" i="8"/>
  <c r="M178" i="8"/>
  <c r="AD178" i="8"/>
  <c r="AC178" i="8"/>
  <c r="M78" i="8"/>
  <c r="AC78" i="8"/>
  <c r="AD78" i="8"/>
  <c r="M221" i="8"/>
  <c r="AD221" i="8"/>
  <c r="M186" i="8"/>
  <c r="AC186" i="8"/>
  <c r="AD186" i="8"/>
  <c r="M89" i="8"/>
  <c r="AD89" i="8"/>
  <c r="AC89" i="8"/>
  <c r="M121" i="8"/>
  <c r="AD121" i="8"/>
  <c r="AC121" i="8"/>
  <c r="M43" i="8"/>
  <c r="AD43" i="8"/>
  <c r="AC43" i="8"/>
  <c r="M355" i="8"/>
  <c r="AD355" i="8"/>
  <c r="M92" i="8"/>
  <c r="AD92" i="8"/>
  <c r="AC92" i="8"/>
  <c r="M219" i="8"/>
  <c r="AD219" i="8"/>
  <c r="M85" i="8"/>
  <c r="AD85" i="8"/>
  <c r="AC85" i="8"/>
  <c r="M28" i="9"/>
  <c r="AC28" i="9"/>
  <c r="M358" i="8"/>
  <c r="AD358" i="8"/>
  <c r="M285" i="8"/>
  <c r="AD285" i="8"/>
  <c r="M136" i="8"/>
  <c r="AD136" i="8"/>
  <c r="AC136" i="8"/>
  <c r="M302" i="8"/>
  <c r="AD302" i="8"/>
  <c r="M279" i="8"/>
  <c r="AD279" i="8"/>
  <c r="M236" i="8"/>
  <c r="AD236" i="8"/>
  <c r="M276" i="8"/>
  <c r="AD276" i="8"/>
  <c r="M288" i="8"/>
  <c r="AD288" i="8"/>
  <c r="M156" i="8"/>
  <c r="AD156" i="8"/>
  <c r="AC156" i="8"/>
  <c r="M88" i="8"/>
  <c r="AD88" i="8"/>
  <c r="AC88" i="8"/>
  <c r="M185" i="8"/>
  <c r="AC185" i="8"/>
  <c r="AD185" i="8"/>
  <c r="M160" i="8"/>
  <c r="AD160" i="8"/>
  <c r="AC160" i="8"/>
  <c r="M175" i="8"/>
  <c r="AD175" i="8"/>
  <c r="AC175" i="8"/>
  <c r="M144" i="8"/>
  <c r="AD144" i="8"/>
  <c r="AC144" i="8"/>
  <c r="M135" i="8"/>
  <c r="AD135" i="8"/>
  <c r="AC135" i="8"/>
  <c r="AD332" i="8"/>
  <c r="M211" i="8"/>
  <c r="AD211" i="8"/>
  <c r="M203" i="8"/>
  <c r="AD203" i="8"/>
  <c r="M30" i="8"/>
  <c r="AC30" i="8"/>
  <c r="AD30" i="8"/>
  <c r="M128" i="8"/>
  <c r="AD128" i="8"/>
  <c r="AC128" i="8"/>
  <c r="M246" i="8"/>
  <c r="AD246" i="8"/>
  <c r="M104" i="8"/>
  <c r="AD104" i="8"/>
  <c r="AC104" i="8"/>
  <c r="M353" i="8"/>
  <c r="AD353" i="8"/>
  <c r="M164" i="8"/>
  <c r="AD164" i="8"/>
  <c r="AC164" i="8"/>
  <c r="M212" i="8"/>
  <c r="AD212" i="8"/>
  <c r="M318" i="8"/>
  <c r="AD318" i="8"/>
  <c r="M183" i="8"/>
  <c r="AC183" i="8"/>
  <c r="AD183" i="8"/>
  <c r="M224" i="8"/>
  <c r="AD224" i="8"/>
  <c r="M180" i="8"/>
  <c r="AD180" i="8"/>
  <c r="AC180" i="8"/>
  <c r="M320" i="8"/>
  <c r="AD320" i="8"/>
  <c r="M133" i="8"/>
  <c r="AC133" i="8"/>
  <c r="AD133" i="8"/>
  <c r="M272" i="8"/>
  <c r="AD272" i="8"/>
  <c r="M237" i="8"/>
  <c r="AD237" i="8"/>
  <c r="M313" i="8"/>
  <c r="AD313" i="8"/>
  <c r="M68" i="8"/>
  <c r="AC68" i="8"/>
  <c r="AD68" i="8"/>
  <c r="M97" i="8"/>
  <c r="AD97" i="8"/>
  <c r="AC97" i="8"/>
  <c r="M98" i="8"/>
  <c r="AC98" i="8"/>
  <c r="AD98" i="8"/>
  <c r="M52" i="8"/>
  <c r="AC52" i="8"/>
  <c r="AD52" i="8"/>
  <c r="M91" i="8"/>
  <c r="AD91" i="8"/>
  <c r="AC91" i="8"/>
  <c r="M119" i="8"/>
  <c r="AD119" i="8"/>
  <c r="AC119" i="8"/>
  <c r="M99" i="8"/>
  <c r="AD99" i="8"/>
  <c r="AC99" i="8"/>
  <c r="M326" i="8"/>
  <c r="AD326" i="8"/>
  <c r="M294" i="8"/>
  <c r="AD294" i="8"/>
  <c r="M23" i="8"/>
  <c r="AD23" i="8"/>
  <c r="AC23" i="8"/>
  <c r="M182" i="8"/>
  <c r="AC182" i="8"/>
  <c r="AD182" i="8"/>
  <c r="M117" i="8"/>
  <c r="AD117" i="8"/>
  <c r="AC117" i="8"/>
  <c r="M109" i="8"/>
  <c r="AD109" i="8"/>
  <c r="AC109" i="8"/>
  <c r="M27" i="8"/>
  <c r="AD27" i="8"/>
  <c r="AC27" i="8"/>
  <c r="M284" i="8"/>
  <c r="AD284" i="8"/>
  <c r="M310" i="8"/>
  <c r="AD310" i="8"/>
  <c r="M207" i="8"/>
  <c r="AD207" i="8"/>
  <c r="M252" i="8"/>
  <c r="AD252" i="8"/>
  <c r="M304" i="8"/>
  <c r="AD304" i="8"/>
  <c r="M86" i="8"/>
  <c r="AC86" i="8"/>
  <c r="AD86" i="8"/>
  <c r="M312" i="8"/>
  <c r="AD312" i="8"/>
  <c r="M291" i="8"/>
  <c r="AD291" i="8"/>
  <c r="M64" i="8"/>
  <c r="AD64" i="8"/>
  <c r="AC64" i="8"/>
  <c r="M106" i="9"/>
  <c r="AC106" i="9"/>
  <c r="M298" i="8"/>
  <c r="AD298" i="8"/>
  <c r="M254" i="9"/>
  <c r="AC254" i="9"/>
  <c r="M102" i="8"/>
  <c r="AC102" i="8"/>
  <c r="AD102" i="8"/>
  <c r="M93" i="9"/>
  <c r="AC93" i="9"/>
  <c r="M343" i="8"/>
  <c r="AD343" i="8"/>
  <c r="M146" i="9"/>
  <c r="AC146" i="9"/>
  <c r="M100" i="8"/>
  <c r="AC100" i="8"/>
  <c r="AD100" i="8"/>
  <c r="M32" i="9"/>
  <c r="AC32" i="9"/>
  <c r="M14" i="8"/>
  <c r="AC14" i="8"/>
  <c r="AD14" i="8"/>
  <c r="M154" i="9"/>
  <c r="AC154" i="9"/>
  <c r="M337" i="8"/>
  <c r="AD337" i="8"/>
  <c r="M324" i="8"/>
  <c r="AD324" i="8"/>
  <c r="M96" i="8"/>
  <c r="AD96" i="8"/>
  <c r="AC96" i="8"/>
  <c r="M59" i="9"/>
  <c r="AC59" i="9"/>
  <c r="M130" i="8"/>
  <c r="AD130" i="8"/>
  <c r="AC130" i="8"/>
  <c r="M107" i="9"/>
  <c r="AC107" i="9"/>
  <c r="M153" i="8"/>
  <c r="AD153" i="8"/>
  <c r="AC153" i="8"/>
  <c r="M161" i="8"/>
  <c r="AC161" i="8"/>
  <c r="AD161" i="8"/>
  <c r="M357" i="8"/>
  <c r="AD357" i="8"/>
  <c r="M66" i="9"/>
  <c r="AC66" i="9"/>
  <c r="M127" i="8"/>
  <c r="AD127" i="8"/>
  <c r="AC127" i="8"/>
  <c r="M77" i="9"/>
  <c r="AC77" i="9"/>
  <c r="M222" i="9"/>
  <c r="AC222" i="9"/>
  <c r="M280" i="8"/>
  <c r="AD280" i="8"/>
  <c r="M230" i="8"/>
  <c r="AD230" i="8"/>
  <c r="AD289" i="8"/>
  <c r="M267" i="9"/>
  <c r="AC267" i="9"/>
  <c r="M209" i="8"/>
  <c r="AD209" i="8"/>
  <c r="M233" i="8"/>
  <c r="AD233" i="8"/>
  <c r="M214" i="9"/>
  <c r="AC214" i="9"/>
  <c r="M307" i="8"/>
  <c r="AD307" i="8"/>
  <c r="M60" i="9"/>
  <c r="AC60" i="9"/>
  <c r="M299" i="9"/>
  <c r="AC299" i="9"/>
  <c r="M151" i="9"/>
  <c r="AC151" i="9"/>
  <c r="M227" i="8"/>
  <c r="AD227" i="8"/>
  <c r="M174" i="8"/>
  <c r="AD174" i="8"/>
  <c r="AC174" i="8"/>
  <c r="M80" i="9"/>
  <c r="AC80" i="9"/>
  <c r="M113" i="9"/>
  <c r="AC113" i="9"/>
  <c r="M74" i="8"/>
  <c r="AD74" i="8"/>
  <c r="AC74" i="8"/>
  <c r="M48" i="8"/>
  <c r="AD48" i="8"/>
  <c r="AC48" i="8"/>
  <c r="M67" i="9"/>
  <c r="AC67" i="9"/>
  <c r="AD213" i="8"/>
  <c r="M260" i="8"/>
  <c r="AD260" i="8"/>
  <c r="M354" i="8"/>
  <c r="AD354" i="8"/>
  <c r="M181" i="8"/>
  <c r="AC181" i="8"/>
  <c r="AD181" i="8"/>
  <c r="M149" i="9"/>
  <c r="AC149" i="9"/>
  <c r="M317" i="8"/>
  <c r="AD317" i="8"/>
  <c r="M200" i="9"/>
  <c r="AC200" i="9"/>
  <c r="M173" i="9"/>
  <c r="AC173" i="9"/>
  <c r="M297" i="9"/>
  <c r="AC297" i="9"/>
  <c r="M253" i="8"/>
  <c r="AD253" i="8"/>
  <c r="M344" i="8"/>
  <c r="AD344" i="8"/>
  <c r="M65" i="9"/>
  <c r="AC65" i="9"/>
  <c r="M61" i="9"/>
  <c r="AC61" i="9"/>
  <c r="M187" i="9"/>
  <c r="AC187" i="9"/>
  <c r="M53" i="9"/>
  <c r="AC53" i="9"/>
  <c r="M281" i="9"/>
  <c r="AC281" i="9"/>
  <c r="M82" i="9"/>
  <c r="AC82" i="9"/>
  <c r="M348" i="8"/>
  <c r="AD348" i="8"/>
  <c r="M168" i="8"/>
  <c r="AD168" i="8"/>
  <c r="AC168" i="8"/>
  <c r="M150" i="8"/>
  <c r="AD150" i="8"/>
  <c r="AC150" i="8"/>
  <c r="M29" i="9"/>
  <c r="AC29" i="9"/>
  <c r="M250" i="9"/>
  <c r="AC250" i="9"/>
  <c r="M329" i="9"/>
  <c r="AC329" i="9"/>
  <c r="M192" i="9"/>
  <c r="AC192" i="9"/>
  <c r="M16" i="9"/>
  <c r="AC16" i="9"/>
  <c r="M286" i="9"/>
  <c r="AC286" i="9"/>
  <c r="M198" i="8"/>
  <c r="AD198" i="8"/>
  <c r="M190" i="9"/>
  <c r="AC190" i="9"/>
  <c r="M36" i="8"/>
  <c r="AC36" i="8"/>
  <c r="AD36" i="8"/>
  <c r="M139" i="8"/>
  <c r="AD139" i="8"/>
  <c r="AC139" i="8"/>
  <c r="AD55" i="8"/>
  <c r="AC55" i="8"/>
  <c r="M163" i="8"/>
  <c r="AC163" i="8"/>
  <c r="AD163" i="8"/>
  <c r="M231" i="8"/>
  <c r="AD231" i="8"/>
  <c r="M129" i="8"/>
  <c r="AD129" i="8"/>
  <c r="AC129" i="8"/>
  <c r="M134" i="8"/>
  <c r="AD134" i="8"/>
  <c r="AC134" i="8"/>
  <c r="M147" i="8"/>
  <c r="AC147" i="8"/>
  <c r="AD147" i="8"/>
  <c r="M101" i="8"/>
  <c r="AD101" i="8"/>
  <c r="AC101" i="8"/>
  <c r="M262" i="9"/>
  <c r="AC262" i="9"/>
  <c r="M143" i="9"/>
  <c r="AC143" i="9"/>
  <c r="M340" i="9"/>
  <c r="AC340" i="9"/>
  <c r="M220" i="9"/>
  <c r="AC220" i="9"/>
  <c r="M202" i="9"/>
  <c r="AC202" i="9"/>
  <c r="M204" i="9"/>
  <c r="AC204" i="9"/>
  <c r="M258" i="9"/>
  <c r="AC258" i="9"/>
  <c r="M41" i="9"/>
  <c r="AC41" i="9"/>
  <c r="M141" i="9"/>
  <c r="AC141" i="9"/>
  <c r="M165" i="9"/>
  <c r="AC165" i="9"/>
  <c r="M157" i="9"/>
  <c r="AC157" i="9"/>
  <c r="M178" i="9"/>
  <c r="AC178" i="9"/>
  <c r="M78" i="9"/>
  <c r="AC78" i="9"/>
  <c r="M221" i="9"/>
  <c r="AC221" i="9"/>
  <c r="M186" i="9"/>
  <c r="AC186" i="9"/>
  <c r="M89" i="9"/>
  <c r="AC89" i="9"/>
  <c r="M121" i="9"/>
  <c r="AC121" i="9"/>
  <c r="M43" i="9"/>
  <c r="AC43" i="9"/>
  <c r="M355" i="9"/>
  <c r="AC355" i="9"/>
  <c r="M92" i="9"/>
  <c r="AC92" i="9"/>
  <c r="M219" i="9"/>
  <c r="AC219" i="9"/>
  <c r="M85" i="9"/>
  <c r="AC85" i="9"/>
  <c r="M28" i="8"/>
  <c r="AD28" i="8"/>
  <c r="AC28" i="8"/>
  <c r="M358" i="9"/>
  <c r="AC358" i="9"/>
  <c r="M285" i="9"/>
  <c r="AC285" i="9"/>
  <c r="M136" i="9"/>
  <c r="AC136" i="9"/>
  <c r="M302" i="9"/>
  <c r="AC302" i="9"/>
  <c r="M279" i="9"/>
  <c r="AC279" i="9"/>
  <c r="M236" i="9"/>
  <c r="AC236" i="9"/>
  <c r="M276" i="9"/>
  <c r="AC276" i="9"/>
  <c r="M288" i="9"/>
  <c r="AC288" i="9"/>
  <c r="M156" i="9"/>
  <c r="AC156" i="9"/>
  <c r="M88" i="9"/>
  <c r="AC88" i="9"/>
  <c r="M185" i="9"/>
  <c r="AC185" i="9"/>
  <c r="M160" i="9"/>
  <c r="AC160" i="9"/>
  <c r="M175" i="9"/>
  <c r="AC175" i="9"/>
  <c r="M144" i="9"/>
  <c r="AC144" i="9"/>
  <c r="M135" i="9"/>
  <c r="AC135" i="9"/>
  <c r="M332" i="9"/>
  <c r="AC332" i="9"/>
  <c r="M211" i="9"/>
  <c r="AC211" i="9"/>
  <c r="M203" i="9"/>
  <c r="AC203" i="9"/>
  <c r="M30" i="9"/>
  <c r="AC30" i="9"/>
  <c r="M128" i="9"/>
  <c r="AC128" i="9"/>
  <c r="M246" i="9"/>
  <c r="AC246" i="9"/>
  <c r="M104" i="9"/>
  <c r="AC104" i="9"/>
  <c r="M353" i="9"/>
  <c r="AC353" i="9"/>
  <c r="M164" i="9"/>
  <c r="AC164" i="9"/>
  <c r="M212" i="9"/>
  <c r="AC212" i="9"/>
  <c r="M318" i="9"/>
  <c r="AC318" i="9"/>
  <c r="M183" i="9"/>
  <c r="AC183" i="9"/>
  <c r="M224" i="9"/>
  <c r="AC224" i="9"/>
  <c r="M180" i="9"/>
  <c r="AC180" i="9"/>
  <c r="M320" i="9"/>
  <c r="AC320" i="9"/>
  <c r="M133" i="9"/>
  <c r="AC133" i="9"/>
  <c r="M272" i="9"/>
  <c r="AC272" i="9"/>
  <c r="M237" i="9"/>
  <c r="AC237" i="9"/>
  <c r="M313" i="9"/>
  <c r="AC313" i="9"/>
  <c r="M68" i="9"/>
  <c r="AC68" i="9"/>
  <c r="M97" i="9"/>
  <c r="AC97" i="9"/>
  <c r="M98" i="9"/>
  <c r="AC98" i="9"/>
  <c r="M52" i="9"/>
  <c r="AC52" i="9"/>
  <c r="M91" i="9"/>
  <c r="AC91" i="9"/>
  <c r="M119" i="9"/>
  <c r="AC119" i="9"/>
  <c r="M99" i="9"/>
  <c r="AC99" i="9"/>
  <c r="M326" i="9"/>
  <c r="AC326" i="9"/>
  <c r="M294" i="9"/>
  <c r="AC294" i="9"/>
  <c r="M23" i="9"/>
  <c r="AC23" i="9"/>
  <c r="M182" i="9"/>
  <c r="AC182" i="9"/>
  <c r="M117" i="9"/>
  <c r="AC117" i="9"/>
  <c r="M109" i="9"/>
  <c r="AC109" i="9"/>
  <c r="M27" i="9"/>
  <c r="AC27" i="9"/>
  <c r="M284" i="9"/>
  <c r="AC284" i="9"/>
  <c r="M310" i="9"/>
  <c r="AC310" i="9"/>
  <c r="M207" i="9"/>
  <c r="AC207" i="9"/>
  <c r="M252" i="9"/>
  <c r="AC252" i="9"/>
  <c r="M304" i="9"/>
  <c r="AC304" i="9"/>
  <c r="M86" i="9"/>
  <c r="AC86" i="9"/>
  <c r="M312" i="9"/>
  <c r="AC312" i="9"/>
  <c r="M115" i="8"/>
  <c r="AD115" i="8"/>
  <c r="AC115" i="8"/>
  <c r="M223" i="9"/>
  <c r="AC223" i="9"/>
  <c r="M115" i="9"/>
  <c r="AC115" i="9"/>
  <c r="M263" i="8"/>
  <c r="AD263" i="8"/>
  <c r="M291" i="9"/>
  <c r="AC291" i="9"/>
  <c r="M264" i="8"/>
  <c r="AD264" i="8"/>
  <c r="M259" i="9"/>
  <c r="AC259" i="9"/>
  <c r="M290" i="8"/>
  <c r="AD290" i="8"/>
  <c r="M64" i="9"/>
  <c r="AC64" i="9"/>
  <c r="M199" i="8"/>
  <c r="AD199" i="8"/>
  <c r="M298" i="9"/>
  <c r="AC298" i="9"/>
  <c r="M215" i="8"/>
  <c r="AD215" i="8"/>
  <c r="M102" i="9"/>
  <c r="AC102" i="9"/>
  <c r="M359" i="8"/>
  <c r="AD359" i="8"/>
  <c r="M343" i="9"/>
  <c r="AC343" i="9"/>
  <c r="M81" i="8"/>
  <c r="AD81" i="8"/>
  <c r="AC81" i="8"/>
  <c r="M100" i="9"/>
  <c r="AC100" i="9"/>
  <c r="M256" i="8"/>
  <c r="AD256" i="8"/>
  <c r="M14" i="9"/>
  <c r="AC14" i="9"/>
  <c r="M324" i="9"/>
  <c r="AC324" i="9"/>
  <c r="M69" i="8"/>
  <c r="AD69" i="8"/>
  <c r="AC69" i="8"/>
  <c r="M96" i="9"/>
  <c r="AC96" i="9"/>
  <c r="M90" i="8"/>
  <c r="AC90" i="8"/>
  <c r="AD90" i="8"/>
  <c r="M130" i="9"/>
  <c r="AC130" i="9"/>
  <c r="M153" i="9"/>
  <c r="AC153" i="9"/>
  <c r="M217" i="8"/>
  <c r="AD217" i="8"/>
  <c r="M161" i="9"/>
  <c r="AC161" i="9"/>
  <c r="M357" i="9"/>
  <c r="AC357" i="9"/>
  <c r="M127" i="9"/>
  <c r="AC127" i="9"/>
  <c r="M169" i="8"/>
  <c r="AD169" i="8"/>
  <c r="AC169" i="8"/>
  <c r="M341" i="8"/>
  <c r="AD341" i="8"/>
  <c r="M280" i="9"/>
  <c r="AC280" i="9"/>
  <c r="M283" i="8"/>
  <c r="AD283" i="8"/>
  <c r="M230" i="9"/>
  <c r="AC230" i="9"/>
  <c r="M238" i="8"/>
  <c r="AD238" i="8"/>
  <c r="M289" i="9"/>
  <c r="AC289" i="9"/>
  <c r="M110" i="8"/>
  <c r="AC110" i="8"/>
  <c r="AD110" i="8"/>
  <c r="M209" i="9"/>
  <c r="AC209" i="9"/>
  <c r="M233" i="9"/>
  <c r="AC233" i="9"/>
  <c r="M235" i="8"/>
  <c r="AD235" i="8"/>
  <c r="M307" i="9"/>
  <c r="AC307" i="9"/>
  <c r="M159" i="8"/>
  <c r="AD159" i="8"/>
  <c r="AC159" i="8"/>
  <c r="M322" i="8"/>
  <c r="AD322" i="8"/>
  <c r="M206" i="8"/>
  <c r="AD206" i="8"/>
  <c r="M227" i="9"/>
  <c r="AC227" i="9"/>
  <c r="M174" i="9"/>
  <c r="AC174" i="9"/>
  <c r="M167" i="8"/>
  <c r="AD167" i="8"/>
  <c r="AC167" i="8"/>
  <c r="M74" i="9"/>
  <c r="AC74" i="9"/>
  <c r="M48" i="9"/>
  <c r="AC48" i="9"/>
  <c r="AD194" i="8"/>
  <c r="M349" i="9"/>
  <c r="AC349" i="9"/>
  <c r="M213" i="9"/>
  <c r="AC213" i="9"/>
  <c r="M260" i="9"/>
  <c r="AC260" i="9"/>
  <c r="M39" i="8"/>
  <c r="AD39" i="8"/>
  <c r="AC39" i="8"/>
  <c r="M354" i="9"/>
  <c r="AC354" i="9"/>
  <c r="M181" i="9"/>
  <c r="AC181" i="9"/>
  <c r="M317" i="9"/>
  <c r="AC317" i="9"/>
  <c r="M170" i="8"/>
  <c r="AD170" i="8"/>
  <c r="AC170" i="8"/>
  <c r="M208" i="8"/>
  <c r="AD208" i="8"/>
  <c r="M216" i="8"/>
  <c r="AD216" i="8"/>
  <c r="M232" i="8"/>
  <c r="AD232" i="8"/>
  <c r="M253" i="9"/>
  <c r="AC253" i="9"/>
  <c r="M218" i="8"/>
  <c r="AD218" i="8"/>
  <c r="M21" i="8"/>
  <c r="M137" i="8"/>
  <c r="AD137" i="8"/>
  <c r="AC137" i="8"/>
  <c r="M50" i="8"/>
  <c r="AC50" i="8"/>
  <c r="AD50" i="8"/>
  <c r="M309" i="8"/>
  <c r="AD309" i="8"/>
  <c r="M37" i="8"/>
  <c r="AD37" i="8"/>
  <c r="AC37" i="8"/>
  <c r="M122" i="8"/>
  <c r="AC122" i="8"/>
  <c r="AD122" i="8"/>
  <c r="M249" i="8"/>
  <c r="AD249" i="8"/>
  <c r="M168" i="9"/>
  <c r="AC168" i="9"/>
  <c r="M150" i="9"/>
  <c r="AC150" i="9"/>
  <c r="M112" i="8"/>
  <c r="AD112" i="8"/>
  <c r="AC112" i="8"/>
  <c r="M257" i="8"/>
  <c r="AD257" i="8"/>
  <c r="M255" i="8"/>
  <c r="AD255" i="8"/>
  <c r="M234" i="8"/>
  <c r="AD234" i="8"/>
  <c r="M198" i="9"/>
  <c r="AC198" i="9"/>
  <c r="M36" i="9"/>
  <c r="AC36" i="9"/>
  <c r="M139" i="9"/>
  <c r="AC139" i="9"/>
  <c r="M55" i="9"/>
  <c r="AC55" i="9"/>
  <c r="M163" i="9"/>
  <c r="AC163" i="9"/>
  <c r="M231" i="9"/>
  <c r="AC231" i="9"/>
  <c r="M31" i="8"/>
  <c r="AD31" i="8"/>
  <c r="AC31" i="8"/>
  <c r="M129" i="9"/>
  <c r="AC129" i="9"/>
  <c r="M134" i="9"/>
  <c r="AC134" i="9"/>
  <c r="M147" i="9"/>
  <c r="AC147" i="9"/>
  <c r="M101" i="9"/>
  <c r="AC101" i="9"/>
  <c r="M225" i="8"/>
  <c r="AD225" i="8"/>
  <c r="M296" i="8"/>
  <c r="AD296" i="8"/>
  <c r="AD293" i="8"/>
  <c r="M193" i="8"/>
  <c r="AD193" i="8"/>
  <c r="M347" i="8"/>
  <c r="AD347" i="8"/>
  <c r="M172" i="8"/>
  <c r="AD172" i="8"/>
  <c r="AC172" i="8"/>
  <c r="M184" i="8"/>
  <c r="AC184" i="8"/>
  <c r="AD184" i="8"/>
  <c r="M308" i="8"/>
  <c r="AD308" i="8"/>
  <c r="M108" i="8"/>
  <c r="AC108" i="8"/>
  <c r="AD108" i="8"/>
  <c r="M188" i="8"/>
  <c r="AD188" i="8"/>
  <c r="AC188" i="8"/>
  <c r="M316" i="8"/>
  <c r="AD316" i="8"/>
  <c r="M269" i="8"/>
  <c r="AD269" i="8"/>
  <c r="M345" i="8"/>
  <c r="AD345" i="8"/>
  <c r="M300" i="8"/>
  <c r="AD300" i="8"/>
  <c r="M49" i="8"/>
  <c r="AD49" i="8"/>
  <c r="AC49" i="8"/>
  <c r="M95" i="8"/>
  <c r="AD95" i="8"/>
  <c r="AC95" i="8"/>
  <c r="M33" i="8"/>
  <c r="AD33" i="8"/>
  <c r="AC33" i="8"/>
  <c r="M84" i="8"/>
  <c r="AC84" i="8"/>
  <c r="AD84" i="8"/>
  <c r="M346" i="8"/>
  <c r="AD346" i="8"/>
  <c r="M142" i="8"/>
  <c r="AD142" i="8"/>
  <c r="AC142" i="8"/>
  <c r="AD13" i="8"/>
  <c r="AC13" i="8"/>
  <c r="M282" i="8"/>
  <c r="AD282" i="8"/>
  <c r="M201" i="8"/>
  <c r="AD201" i="8"/>
  <c r="M327" i="8"/>
  <c r="AD327" i="8"/>
  <c r="M248" i="8"/>
  <c r="AD248" i="8"/>
  <c r="M311" i="8"/>
  <c r="AD311" i="8"/>
  <c r="M120" i="8"/>
  <c r="AD120" i="8"/>
  <c r="AC120" i="8"/>
  <c r="M292" i="8"/>
  <c r="AD292" i="8"/>
  <c r="M266" i="8"/>
  <c r="AD266" i="8"/>
  <c r="M34" i="8"/>
  <c r="AC34" i="8"/>
  <c r="AD34" i="8"/>
  <c r="M166" i="8"/>
  <c r="AD166" i="8"/>
  <c r="AC166" i="8"/>
  <c r="M152" i="8"/>
  <c r="AD152" i="8"/>
  <c r="AC152" i="8"/>
  <c r="M171" i="8"/>
  <c r="AC171" i="8"/>
  <c r="AD171" i="8"/>
  <c r="M287" i="8"/>
  <c r="AD287" i="8"/>
  <c r="M314" i="8"/>
  <c r="AD314" i="8"/>
  <c r="M315" i="8"/>
  <c r="AD315" i="8"/>
  <c r="M197" i="8"/>
  <c r="AD197" i="8"/>
  <c r="M140" i="8"/>
  <c r="AD140" i="8"/>
  <c r="AC140" i="8"/>
  <c r="AD306" i="8"/>
  <c r="M51" i="8"/>
  <c r="AD51" i="8"/>
  <c r="AC51" i="8"/>
  <c r="M226" i="8"/>
  <c r="AD226" i="8"/>
  <c r="M158" i="8"/>
  <c r="AD158" i="8"/>
  <c r="AC158" i="8"/>
  <c r="M35" i="8"/>
  <c r="AD35" i="8"/>
  <c r="AC35" i="8"/>
  <c r="M241" i="8"/>
  <c r="AD241" i="8"/>
  <c r="M275" i="8"/>
  <c r="AD275" i="8"/>
  <c r="M148" i="8"/>
  <c r="AD148" i="8"/>
  <c r="AC148" i="8"/>
  <c r="M155" i="8"/>
  <c r="AD155" i="8"/>
  <c r="AC155" i="8"/>
  <c r="M162" i="8"/>
  <c r="AD162" i="8"/>
  <c r="AC162" i="8"/>
  <c r="M138" i="8"/>
  <c r="AD138" i="8"/>
  <c r="AC138" i="8"/>
  <c r="M339" i="8"/>
  <c r="AD339" i="8"/>
  <c r="M196" i="8"/>
  <c r="AD196" i="8"/>
  <c r="M70" i="8"/>
  <c r="AC70" i="8"/>
  <c r="AD70" i="8"/>
  <c r="M336" i="8"/>
  <c r="AD336" i="8"/>
  <c r="M131" i="8"/>
  <c r="AD131" i="8"/>
  <c r="AC131" i="8"/>
  <c r="M116" i="8"/>
  <c r="AD116" i="8"/>
  <c r="AC116" i="8"/>
  <c r="M189" i="8"/>
  <c r="AD189" i="8"/>
  <c r="M328" i="8"/>
  <c r="AD328" i="8"/>
  <c r="M15" i="8"/>
  <c r="AD15" i="8"/>
  <c r="AC15" i="8"/>
  <c r="M114" i="8"/>
  <c r="AC114" i="8"/>
  <c r="AD114" i="8"/>
  <c r="M103" i="8"/>
  <c r="AD103" i="8"/>
  <c r="AC103" i="8"/>
  <c r="M244" i="8"/>
  <c r="AD244" i="8"/>
  <c r="M58" i="8"/>
  <c r="AC58" i="8"/>
  <c r="AD58" i="8"/>
  <c r="M75" i="8"/>
  <c r="AD75" i="8"/>
  <c r="AC75" i="8"/>
  <c r="M24" i="8"/>
  <c r="AD24" i="8"/>
  <c r="AC24" i="8"/>
  <c r="M46" i="8"/>
  <c r="AC46" i="8"/>
  <c r="AD46" i="8"/>
  <c r="M243" i="8"/>
  <c r="AD243" i="8"/>
  <c r="M268" i="8"/>
  <c r="AD268" i="8"/>
  <c r="M295" i="8"/>
  <c r="AD295" i="8"/>
  <c r="M239" i="8"/>
  <c r="AD239" i="8"/>
  <c r="M125" i="8"/>
  <c r="AD125" i="8"/>
  <c r="AC125" i="8"/>
  <c r="M20" i="8"/>
  <c r="AC20" i="8"/>
  <c r="AD20" i="8"/>
  <c r="M47" i="8"/>
  <c r="AD47" i="8"/>
  <c r="AC47" i="8"/>
  <c r="M177" i="8"/>
  <c r="AC177" i="8"/>
  <c r="AD177" i="8"/>
  <c r="M72" i="8"/>
  <c r="AD72" i="8"/>
  <c r="AC72" i="8"/>
  <c r="M40" i="8"/>
  <c r="AD40" i="8"/>
  <c r="AC40" i="8"/>
  <c r="M124" i="8"/>
  <c r="AD124" i="8"/>
  <c r="AC124" i="8"/>
  <c r="M335" i="8"/>
  <c r="AD335" i="8"/>
  <c r="M245" i="8"/>
  <c r="AD245" i="8"/>
  <c r="M305" i="8"/>
  <c r="AD305" i="8"/>
  <c r="M22" i="8"/>
  <c r="AC22" i="8"/>
  <c r="AD22" i="8"/>
  <c r="M38" i="8"/>
  <c r="M55" i="8"/>
  <c r="M191" i="8"/>
  <c r="M299" i="8"/>
  <c r="M194" i="8"/>
  <c r="M293" i="8"/>
  <c r="M13" i="8"/>
  <c r="M66" i="8"/>
  <c r="M289" i="8"/>
  <c r="M213" i="8"/>
  <c r="M190" i="8"/>
  <c r="M332" i="8"/>
  <c r="M306" i="8"/>
  <c r="X62" i="8" l="1"/>
  <c r="X62" i="9"/>
  <c r="AD62" i="6"/>
  <c r="AD87" i="6"/>
  <c r="X87" i="8"/>
  <c r="X87" i="9"/>
  <c r="AD26" i="6"/>
  <c r="X26" i="9"/>
  <c r="X26" i="8"/>
  <c r="X73" i="9"/>
  <c r="X73" i="8"/>
  <c r="AD73" i="6"/>
  <c r="X63" i="9"/>
  <c r="AD63" i="6"/>
  <c r="X63" i="8"/>
  <c r="X350" i="8"/>
  <c r="X350" i="9"/>
  <c r="AD350" i="6"/>
  <c r="X126" i="8"/>
  <c r="AD126" i="6"/>
  <c r="X126" i="9"/>
  <c r="X303" i="8"/>
  <c r="X303" i="9"/>
  <c r="AD303" i="6"/>
  <c r="X229" i="8"/>
  <c r="AD229" i="6"/>
  <c r="X229" i="9"/>
  <c r="X228" i="9"/>
  <c r="X228" i="8"/>
  <c r="AD228" i="6"/>
  <c r="X42" i="8"/>
  <c r="AD42" i="6"/>
  <c r="X42" i="9"/>
  <c r="Z63" i="9" l="1"/>
  <c r="Y63" i="9"/>
  <c r="AC63" i="9" s="1"/>
  <c r="Z229" i="9"/>
  <c r="Y229" i="9"/>
  <c r="AC229" i="9" s="1"/>
  <c r="Z62" i="9"/>
  <c r="Y62" i="9"/>
  <c r="AC62" i="9" s="1"/>
  <c r="Z350" i="9"/>
  <c r="Y350" i="9"/>
  <c r="AC350" i="9" s="1"/>
  <c r="Z26" i="9"/>
  <c r="Y26" i="9"/>
  <c r="AC26" i="9" s="1"/>
  <c r="Z303" i="9"/>
  <c r="Y303" i="9"/>
  <c r="AC303" i="9" s="1"/>
  <c r="Z126" i="9"/>
  <c r="Y126" i="9"/>
  <c r="AC126" i="9" s="1"/>
  <c r="Z228" i="8"/>
  <c r="Y228" i="8"/>
  <c r="AC228" i="8" s="1"/>
  <c r="Z303" i="8"/>
  <c r="Y303" i="8"/>
  <c r="AC303" i="8" s="1"/>
  <c r="Z126" i="8"/>
  <c r="Y126" i="8"/>
  <c r="Y87" i="9"/>
  <c r="AC87" i="9" s="1"/>
  <c r="Z87" i="9"/>
  <c r="Y42" i="9"/>
  <c r="AC42" i="9" s="1"/>
  <c r="Z42" i="9"/>
  <c r="Y63" i="8"/>
  <c r="Z63" i="8"/>
  <c r="Y26" i="8"/>
  <c r="Z26" i="8"/>
  <c r="Z87" i="8"/>
  <c r="Y87" i="8"/>
  <c r="Z73" i="8"/>
  <c r="Y73" i="8"/>
  <c r="Z62" i="8"/>
  <c r="Y62" i="8"/>
  <c r="Y42" i="8"/>
  <c r="Z42" i="8"/>
  <c r="Y228" i="9"/>
  <c r="AC228" i="9" s="1"/>
  <c r="Z228" i="9"/>
  <c r="Y229" i="8"/>
  <c r="AC229" i="8" s="1"/>
  <c r="Z229" i="8"/>
  <c r="Y350" i="8"/>
  <c r="AC350" i="8" s="1"/>
  <c r="Z350" i="8"/>
  <c r="Z73" i="9"/>
  <c r="Y73" i="9"/>
  <c r="AC73" i="9" s="1"/>
  <c r="AD14" i="36"/>
  <c r="AD73" i="8" l="1"/>
  <c r="AC73" i="8"/>
  <c r="AC126" i="8"/>
  <c r="AD126" i="8"/>
  <c r="AD228" i="8"/>
  <c r="AD229" i="8"/>
  <c r="AD42" i="8"/>
  <c r="AC42" i="8"/>
  <c r="AC26" i="8"/>
  <c r="AD26" i="8"/>
  <c r="AC62" i="8"/>
  <c r="AD62" i="8"/>
  <c r="AD87" i="8"/>
  <c r="AC87" i="8"/>
  <c r="AD303" i="8"/>
  <c r="AD350" i="8"/>
  <c r="AD63" i="8"/>
  <c r="AC63" i="8"/>
  <c r="M73" i="9"/>
  <c r="M228" i="9"/>
  <c r="M42" i="9"/>
  <c r="M87" i="9"/>
  <c r="M126" i="9"/>
  <c r="M303" i="9"/>
  <c r="M26" i="9"/>
  <c r="M350" i="9"/>
  <c r="M62" i="9"/>
  <c r="M229" i="9"/>
  <c r="M63" i="9"/>
  <c r="M350" i="8"/>
  <c r="M229" i="8"/>
  <c r="M42" i="8"/>
  <c r="M62" i="8"/>
  <c r="M73" i="8"/>
  <c r="M87" i="8"/>
  <c r="M26" i="8"/>
  <c r="M63" i="8"/>
  <c r="M126" i="8"/>
  <c r="M303" i="8"/>
  <c r="M228" i="8"/>
  <c r="A6" i="8" l="1"/>
  <c r="O493" i="9" l="1"/>
  <c r="A4" i="5" l="1"/>
  <c r="A2" i="9" l="1"/>
  <c r="B2" i="4" l="1"/>
  <c r="A2" i="6"/>
  <c r="A1" i="6"/>
  <c r="A6" i="9" l="1"/>
  <c r="B5" i="4"/>
  <c r="A1" i="8" l="1"/>
  <c r="S12" i="8" l="1"/>
  <c r="S493" i="8" s="1"/>
  <c r="S7" i="8" l="1"/>
  <c r="S12" i="9"/>
  <c r="S7" i="9" l="1"/>
  <c r="S493" i="9"/>
  <c r="R12" i="8"/>
  <c r="R12" i="9" l="1"/>
  <c r="R7" i="9" l="1"/>
  <c r="R493" i="9"/>
  <c r="B12" i="8"/>
  <c r="B12" i="9"/>
  <c r="C12" i="6"/>
  <c r="C9" i="5"/>
  <c r="C12" i="8"/>
  <c r="P12" i="8" s="1"/>
  <c r="C12" i="9"/>
  <c r="B12" i="6"/>
  <c r="S12" i="6" s="1"/>
  <c r="S7" i="6" s="1"/>
  <c r="T6" i="6" s="1"/>
  <c r="D9" i="5"/>
  <c r="E9" i="5" s="1"/>
  <c r="L12" i="9" l="1"/>
  <c r="P12" i="9"/>
  <c r="T12" i="6"/>
  <c r="R390" i="8"/>
  <c r="E15" i="6"/>
  <c r="E19" i="6"/>
  <c r="E23" i="6"/>
  <c r="D23" i="8" s="1"/>
  <c r="E27" i="6"/>
  <c r="E31" i="6"/>
  <c r="E35" i="6"/>
  <c r="E39" i="6"/>
  <c r="E43" i="6"/>
  <c r="D43" i="8" s="1"/>
  <c r="E47" i="6"/>
  <c r="E51" i="6"/>
  <c r="E55" i="6"/>
  <c r="D55" i="9" s="1"/>
  <c r="E59" i="6"/>
  <c r="E63" i="6"/>
  <c r="E67" i="6"/>
  <c r="E71" i="6"/>
  <c r="E75" i="6"/>
  <c r="E79" i="6"/>
  <c r="E83" i="6"/>
  <c r="E87" i="6"/>
  <c r="D87" i="8" s="1"/>
  <c r="E91" i="6"/>
  <c r="E95" i="6"/>
  <c r="E99" i="6"/>
  <c r="E103" i="6"/>
  <c r="D103" i="8" s="1"/>
  <c r="E107" i="6"/>
  <c r="D107" i="9" s="1"/>
  <c r="E111" i="6"/>
  <c r="E115" i="6"/>
  <c r="E119" i="6"/>
  <c r="E123" i="6"/>
  <c r="D123" i="8" s="1"/>
  <c r="E127" i="6"/>
  <c r="E131" i="6"/>
  <c r="E134" i="6"/>
  <c r="E138" i="6"/>
  <c r="E142" i="6"/>
  <c r="E146" i="6"/>
  <c r="E150" i="6"/>
  <c r="D150" i="8" s="1"/>
  <c r="E154" i="6"/>
  <c r="E158" i="6"/>
  <c r="E16" i="6"/>
  <c r="E20" i="6"/>
  <c r="D20" i="9" s="1"/>
  <c r="E24" i="6"/>
  <c r="E28" i="6"/>
  <c r="E32" i="6"/>
  <c r="E36" i="6"/>
  <c r="D36" i="8" s="1"/>
  <c r="E40" i="6"/>
  <c r="E44" i="6"/>
  <c r="E48" i="6"/>
  <c r="E52" i="6"/>
  <c r="E56" i="6"/>
  <c r="D56" i="9" s="1"/>
  <c r="E60" i="6"/>
  <c r="E64" i="6"/>
  <c r="E68" i="6"/>
  <c r="E72" i="6"/>
  <c r="E76" i="6"/>
  <c r="E80" i="6"/>
  <c r="E84" i="6"/>
  <c r="E88" i="6"/>
  <c r="E92" i="6"/>
  <c r="E96" i="6"/>
  <c r="E100" i="6"/>
  <c r="E104" i="6"/>
  <c r="E108" i="6"/>
  <c r="E112" i="6"/>
  <c r="E116" i="6"/>
  <c r="E120" i="6"/>
  <c r="D120" i="9" s="1"/>
  <c r="E124" i="6"/>
  <c r="E128" i="6"/>
  <c r="E132" i="6"/>
  <c r="E135" i="6"/>
  <c r="E139" i="6"/>
  <c r="E143" i="6"/>
  <c r="E147" i="6"/>
  <c r="E151" i="6"/>
  <c r="E155" i="6"/>
  <c r="E159" i="6"/>
  <c r="E163" i="6"/>
  <c r="E167" i="6"/>
  <c r="E171" i="6"/>
  <c r="E175" i="6"/>
  <c r="E179" i="6"/>
  <c r="E183" i="6"/>
  <c r="D183" i="8" s="1"/>
  <c r="E187" i="6"/>
  <c r="E191" i="6"/>
  <c r="E195" i="6"/>
  <c r="D195" i="8" s="1"/>
  <c r="E199" i="6"/>
  <c r="E203" i="6"/>
  <c r="E207" i="6"/>
  <c r="E211" i="6"/>
  <c r="E215" i="6"/>
  <c r="D215" i="9" s="1"/>
  <c r="E219" i="6"/>
  <c r="E223" i="6"/>
  <c r="E227" i="6"/>
  <c r="D227" i="9" s="1"/>
  <c r="E231" i="6"/>
  <c r="E235" i="6"/>
  <c r="E239" i="6"/>
  <c r="E243" i="6"/>
  <c r="E247" i="6"/>
  <c r="D247" i="8" s="1"/>
  <c r="E251" i="6"/>
  <c r="E255" i="6"/>
  <c r="E259" i="6"/>
  <c r="D259" i="8" s="1"/>
  <c r="E263" i="6"/>
  <c r="D263" i="8" s="1"/>
  <c r="E267" i="6"/>
  <c r="E271" i="6"/>
  <c r="E277" i="6"/>
  <c r="E281" i="6"/>
  <c r="E285" i="6"/>
  <c r="E291" i="6"/>
  <c r="E295" i="6"/>
  <c r="E299" i="6"/>
  <c r="D299" i="9" s="1"/>
  <c r="E303" i="6"/>
  <c r="E307" i="6"/>
  <c r="E311" i="6"/>
  <c r="D311" i="8" s="1"/>
  <c r="E315" i="6"/>
  <c r="D315" i="9" s="1"/>
  <c r="E319" i="6"/>
  <c r="E323" i="6"/>
  <c r="D323" i="9" s="1"/>
  <c r="E327" i="6"/>
  <c r="E331" i="6"/>
  <c r="E334" i="6"/>
  <c r="E338" i="6"/>
  <c r="E342" i="6"/>
  <c r="E13" i="6"/>
  <c r="E17" i="6"/>
  <c r="E21" i="6"/>
  <c r="D21" i="9" s="1"/>
  <c r="E25" i="6"/>
  <c r="E29" i="6"/>
  <c r="E33" i="6"/>
  <c r="E37" i="6"/>
  <c r="D37" i="8" s="1"/>
  <c r="E41" i="6"/>
  <c r="E45" i="6"/>
  <c r="D45" i="8" s="1"/>
  <c r="E49" i="6"/>
  <c r="E53" i="6"/>
  <c r="E57" i="6"/>
  <c r="E61" i="6"/>
  <c r="E65" i="6"/>
  <c r="E69" i="6"/>
  <c r="D69" i="8" s="1"/>
  <c r="E73" i="6"/>
  <c r="E77" i="6"/>
  <c r="E81" i="6"/>
  <c r="E85" i="6"/>
  <c r="E89" i="6"/>
  <c r="E93" i="6"/>
  <c r="D93" i="8" s="1"/>
  <c r="E97" i="6"/>
  <c r="E101" i="6"/>
  <c r="D101" i="8" s="1"/>
  <c r="E105" i="6"/>
  <c r="E109" i="6"/>
  <c r="E113" i="6"/>
  <c r="E117" i="6"/>
  <c r="D117" i="9" s="1"/>
  <c r="E121" i="6"/>
  <c r="E125" i="6"/>
  <c r="D125" i="9" s="1"/>
  <c r="E129" i="6"/>
  <c r="E136" i="6"/>
  <c r="D136" i="8" s="1"/>
  <c r="E140" i="6"/>
  <c r="E144" i="6"/>
  <c r="D144" i="9" s="1"/>
  <c r="E148" i="6"/>
  <c r="E152" i="6"/>
  <c r="D152" i="8" s="1"/>
  <c r="E156" i="6"/>
  <c r="E160" i="6"/>
  <c r="E164" i="6"/>
  <c r="E168" i="6"/>
  <c r="D168" i="9" s="1"/>
  <c r="E172" i="6"/>
  <c r="E176" i="6"/>
  <c r="D176" i="8" s="1"/>
  <c r="E180" i="6"/>
  <c r="D180" i="8" s="1"/>
  <c r="E184" i="6"/>
  <c r="E188" i="6"/>
  <c r="D188" i="8" s="1"/>
  <c r="E192" i="6"/>
  <c r="E196" i="6"/>
  <c r="D196" i="8" s="1"/>
  <c r="E200" i="6"/>
  <c r="D200" i="8" s="1"/>
  <c r="E204" i="6"/>
  <c r="E208" i="6"/>
  <c r="D208" i="9" s="1"/>
  <c r="E212" i="6"/>
  <c r="D212" i="9" s="1"/>
  <c r="E216" i="6"/>
  <c r="E220" i="6"/>
  <c r="E224" i="6"/>
  <c r="E228" i="6"/>
  <c r="E232" i="6"/>
  <c r="D232" i="9" s="1"/>
  <c r="E236" i="6"/>
  <c r="E240" i="6"/>
  <c r="E244" i="6"/>
  <c r="E248" i="6"/>
  <c r="D248" i="8" s="1"/>
  <c r="E252" i="6"/>
  <c r="E256" i="6"/>
  <c r="E260" i="6"/>
  <c r="E264" i="6"/>
  <c r="E268" i="6"/>
  <c r="E272" i="6"/>
  <c r="E275" i="6"/>
  <c r="D275" i="9" s="1"/>
  <c r="E278" i="6"/>
  <c r="D278" i="8" s="1"/>
  <c r="E282" i="6"/>
  <c r="E286" i="6"/>
  <c r="D286" i="8" s="1"/>
  <c r="E292" i="6"/>
  <c r="E296" i="6"/>
  <c r="E300" i="6"/>
  <c r="E304" i="6"/>
  <c r="D304" i="9" s="1"/>
  <c r="E308" i="6"/>
  <c r="E312" i="6"/>
  <c r="E316" i="6"/>
  <c r="D316" i="8" s="1"/>
  <c r="E320" i="6"/>
  <c r="E324" i="6"/>
  <c r="E328" i="6"/>
  <c r="E335" i="6"/>
  <c r="E339" i="6"/>
  <c r="D339" i="9" s="1"/>
  <c r="E343" i="6"/>
  <c r="E14" i="6"/>
  <c r="D14" i="9" s="1"/>
  <c r="E18" i="6"/>
  <c r="E22" i="6"/>
  <c r="D22" i="9" s="1"/>
  <c r="E26" i="6"/>
  <c r="E30" i="6"/>
  <c r="E34" i="6"/>
  <c r="D34" i="9" s="1"/>
  <c r="E38" i="6"/>
  <c r="E42" i="6"/>
  <c r="D42" i="9" s="1"/>
  <c r="E46" i="6"/>
  <c r="E50" i="6"/>
  <c r="E54" i="6"/>
  <c r="E58" i="6"/>
  <c r="E62" i="6"/>
  <c r="D62" i="9" s="1"/>
  <c r="E66" i="6"/>
  <c r="E70" i="6"/>
  <c r="E74" i="6"/>
  <c r="D74" i="9" s="1"/>
  <c r="E78" i="6"/>
  <c r="D78" i="8" s="1"/>
  <c r="E82" i="6"/>
  <c r="E86" i="6"/>
  <c r="E90" i="6"/>
  <c r="E94" i="6"/>
  <c r="D94" i="8" s="1"/>
  <c r="E98" i="6"/>
  <c r="E102" i="6"/>
  <c r="E106" i="6"/>
  <c r="D106" i="9" s="1"/>
  <c r="E110" i="6"/>
  <c r="E114" i="6"/>
  <c r="D114" i="9" s="1"/>
  <c r="E118" i="6"/>
  <c r="E122" i="6"/>
  <c r="E126" i="6"/>
  <c r="E130" i="6"/>
  <c r="D130" i="8" s="1"/>
  <c r="E133" i="6"/>
  <c r="E137" i="6"/>
  <c r="E141" i="6"/>
  <c r="E145" i="6"/>
  <c r="E149" i="6"/>
  <c r="E153" i="6"/>
  <c r="E157" i="6"/>
  <c r="E161" i="6"/>
  <c r="D161" i="9" s="1"/>
  <c r="E165" i="6"/>
  <c r="E169" i="6"/>
  <c r="D169" i="8" s="1"/>
  <c r="E173" i="6"/>
  <c r="E177" i="6"/>
  <c r="D177" i="8" s="1"/>
  <c r="E181" i="6"/>
  <c r="E185" i="6"/>
  <c r="E189" i="6"/>
  <c r="D189" i="8" s="1"/>
  <c r="E193" i="6"/>
  <c r="E197" i="6"/>
  <c r="D197" i="9" s="1"/>
  <c r="E201" i="6"/>
  <c r="E205" i="6"/>
  <c r="E209" i="6"/>
  <c r="E213" i="6"/>
  <c r="D213" i="9" s="1"/>
  <c r="E217" i="6"/>
  <c r="E221" i="6"/>
  <c r="D221" i="9" s="1"/>
  <c r="E225" i="6"/>
  <c r="E229" i="6"/>
  <c r="D229" i="8" s="1"/>
  <c r="E233" i="6"/>
  <c r="E237" i="6"/>
  <c r="D237" i="8" s="1"/>
  <c r="E241" i="6"/>
  <c r="D241" i="9" s="1"/>
  <c r="E245" i="6"/>
  <c r="E249" i="6"/>
  <c r="D249" i="9" s="1"/>
  <c r="E253" i="6"/>
  <c r="E257" i="6"/>
  <c r="E261" i="6"/>
  <c r="E265" i="6"/>
  <c r="E269" i="6"/>
  <c r="D269" i="9" s="1"/>
  <c r="E273" i="6"/>
  <c r="E279" i="6"/>
  <c r="E283" i="6"/>
  <c r="E287" i="6"/>
  <c r="D287" i="8" s="1"/>
  <c r="E289" i="6"/>
  <c r="E293" i="6"/>
  <c r="E297" i="6"/>
  <c r="E301" i="6"/>
  <c r="E305" i="6"/>
  <c r="E309" i="6"/>
  <c r="D309" i="8" s="1"/>
  <c r="E313" i="6"/>
  <c r="D313" i="9" s="1"/>
  <c r="E317" i="6"/>
  <c r="D317" i="8" s="1"/>
  <c r="E321" i="6"/>
  <c r="E325" i="6"/>
  <c r="D325" i="8" s="1"/>
  <c r="E329" i="6"/>
  <c r="D329" i="8" s="1"/>
  <c r="E332" i="6"/>
  <c r="E336" i="6"/>
  <c r="E340" i="6"/>
  <c r="E344" i="6"/>
  <c r="D344" i="8" s="1"/>
  <c r="E162" i="6"/>
  <c r="D162" i="8" s="1"/>
  <c r="E178" i="6"/>
  <c r="D178" i="8" s="1"/>
  <c r="E194" i="6"/>
  <c r="E210" i="6"/>
  <c r="E226" i="6"/>
  <c r="E242" i="6"/>
  <c r="E258" i="6"/>
  <c r="E274" i="6"/>
  <c r="E288" i="6"/>
  <c r="E302" i="6"/>
  <c r="E318" i="6"/>
  <c r="E333" i="6"/>
  <c r="D333" i="8" s="1"/>
  <c r="E346" i="6"/>
  <c r="D346" i="9" s="1"/>
  <c r="E350" i="6"/>
  <c r="E354" i="6"/>
  <c r="D354" i="9" s="1"/>
  <c r="E358" i="6"/>
  <c r="E362" i="6"/>
  <c r="D362" i="8" s="1"/>
  <c r="E366" i="6"/>
  <c r="E370" i="6"/>
  <c r="E374" i="6"/>
  <c r="E378" i="6"/>
  <c r="E382" i="6"/>
  <c r="E386" i="6"/>
  <c r="E392" i="6"/>
  <c r="E396" i="6"/>
  <c r="E400" i="6"/>
  <c r="E407" i="6"/>
  <c r="E411" i="6"/>
  <c r="E415" i="6"/>
  <c r="E419" i="6"/>
  <c r="E423" i="6"/>
  <c r="E427" i="6"/>
  <c r="D427" i="9" s="1"/>
  <c r="E431" i="6"/>
  <c r="E434" i="6"/>
  <c r="D434" i="9" s="1"/>
  <c r="N434" i="9" s="1"/>
  <c r="E438" i="6"/>
  <c r="D438" i="9" s="1"/>
  <c r="N438" i="9" s="1"/>
  <c r="E442" i="6"/>
  <c r="D442" i="8" s="1"/>
  <c r="E446" i="6"/>
  <c r="D446" i="9" s="1"/>
  <c r="N446" i="9" s="1"/>
  <c r="E450" i="6"/>
  <c r="D450" i="8" s="1"/>
  <c r="E454" i="6"/>
  <c r="D454" i="9" s="1"/>
  <c r="N454" i="9" s="1"/>
  <c r="E458" i="6"/>
  <c r="D458" i="8" s="1"/>
  <c r="E462" i="6"/>
  <c r="D462" i="9" s="1"/>
  <c r="N462" i="9" s="1"/>
  <c r="E466" i="6"/>
  <c r="D466" i="8" s="1"/>
  <c r="E470" i="6"/>
  <c r="D470" i="8" s="1"/>
  <c r="E474" i="6"/>
  <c r="D474" i="8" s="1"/>
  <c r="E478" i="6"/>
  <c r="D478" i="8" s="1"/>
  <c r="E482" i="6"/>
  <c r="D482" i="8" s="1"/>
  <c r="E486" i="6"/>
  <c r="D486" i="8" s="1"/>
  <c r="E490" i="6"/>
  <c r="D490" i="9" s="1"/>
  <c r="N490" i="9" s="1"/>
  <c r="E206" i="6"/>
  <c r="E238" i="6"/>
  <c r="E284" i="6"/>
  <c r="D284" i="8" s="1"/>
  <c r="E330" i="6"/>
  <c r="E353" i="6"/>
  <c r="D353" i="8" s="1"/>
  <c r="E365" i="6"/>
  <c r="D365" i="8" s="1"/>
  <c r="E377" i="6"/>
  <c r="E395" i="6"/>
  <c r="E414" i="6"/>
  <c r="E426" i="6"/>
  <c r="E437" i="6"/>
  <c r="D437" i="9" s="1"/>
  <c r="N437" i="9" s="1"/>
  <c r="E449" i="6"/>
  <c r="D449" i="9" s="1"/>
  <c r="N449" i="9" s="1"/>
  <c r="E461" i="6"/>
  <c r="D461" i="8" s="1"/>
  <c r="E473" i="6"/>
  <c r="D473" i="8" s="1"/>
  <c r="E485" i="6"/>
  <c r="D485" i="9" s="1"/>
  <c r="N485" i="9" s="1"/>
  <c r="E166" i="6"/>
  <c r="D166" i="8" s="1"/>
  <c r="E182" i="6"/>
  <c r="E198" i="6"/>
  <c r="D198" i="9" s="1"/>
  <c r="E214" i="6"/>
  <c r="D214" i="9" s="1"/>
  <c r="E230" i="6"/>
  <c r="D230" i="9" s="1"/>
  <c r="E246" i="6"/>
  <c r="D246" i="9" s="1"/>
  <c r="E262" i="6"/>
  <c r="D262" i="8" s="1"/>
  <c r="E276" i="6"/>
  <c r="D276" i="9" s="1"/>
  <c r="E290" i="6"/>
  <c r="D290" i="9" s="1"/>
  <c r="E306" i="6"/>
  <c r="E322" i="6"/>
  <c r="D322" i="9" s="1"/>
  <c r="E337" i="6"/>
  <c r="D337" i="8" s="1"/>
  <c r="E347" i="6"/>
  <c r="E351" i="6"/>
  <c r="E355" i="6"/>
  <c r="D355" i="8" s="1"/>
  <c r="E359" i="6"/>
  <c r="E363" i="6"/>
  <c r="E367" i="6"/>
  <c r="E371" i="6"/>
  <c r="D371" i="8" s="1"/>
  <c r="E375" i="6"/>
  <c r="E379" i="6"/>
  <c r="D379" i="9" s="1"/>
  <c r="E383" i="6"/>
  <c r="E387" i="6"/>
  <c r="D387" i="9" s="1"/>
  <c r="E393" i="6"/>
  <c r="D393" i="8" s="1"/>
  <c r="E397" i="6"/>
  <c r="E401" i="6"/>
  <c r="E404" i="6"/>
  <c r="E408" i="6"/>
  <c r="D408" i="9" s="1"/>
  <c r="E412" i="6"/>
  <c r="E416" i="6"/>
  <c r="E420" i="6"/>
  <c r="D420" i="8" s="1"/>
  <c r="E424" i="6"/>
  <c r="E428" i="6"/>
  <c r="D428" i="8" s="1"/>
  <c r="E432" i="6"/>
  <c r="D432" i="9" s="1"/>
  <c r="E435" i="6"/>
  <c r="D435" i="9" s="1"/>
  <c r="N435" i="9" s="1"/>
  <c r="E439" i="6"/>
  <c r="D439" i="8" s="1"/>
  <c r="E443" i="6"/>
  <c r="D443" i="8" s="1"/>
  <c r="E447" i="6"/>
  <c r="D447" i="9" s="1"/>
  <c r="N447" i="9" s="1"/>
  <c r="E451" i="6"/>
  <c r="D451" i="8" s="1"/>
  <c r="E455" i="6"/>
  <c r="D455" i="8" s="1"/>
  <c r="E459" i="6"/>
  <c r="D459" i="8" s="1"/>
  <c r="E463" i="6"/>
  <c r="D463" i="8" s="1"/>
  <c r="E467" i="6"/>
  <c r="D467" i="9" s="1"/>
  <c r="N467" i="9" s="1"/>
  <c r="E471" i="6"/>
  <c r="D471" i="8" s="1"/>
  <c r="E475" i="6"/>
  <c r="D475" i="8" s="1"/>
  <c r="E479" i="6"/>
  <c r="D479" i="8" s="1"/>
  <c r="E483" i="6"/>
  <c r="D483" i="8" s="1"/>
  <c r="E487" i="6"/>
  <c r="D487" i="8" s="1"/>
  <c r="E491" i="6"/>
  <c r="D491" i="8" s="1"/>
  <c r="E190" i="6"/>
  <c r="D190" i="8" s="1"/>
  <c r="E254" i="6"/>
  <c r="D254" i="8" s="1"/>
  <c r="E298" i="6"/>
  <c r="E345" i="6"/>
  <c r="E357" i="6"/>
  <c r="E369" i="6"/>
  <c r="D369" i="8" s="1"/>
  <c r="E381" i="6"/>
  <c r="D381" i="8" s="1"/>
  <c r="E390" i="6"/>
  <c r="D390" i="9" s="1"/>
  <c r="E391" i="6"/>
  <c r="E403" i="6"/>
  <c r="D403" i="8" s="1"/>
  <c r="E410" i="6"/>
  <c r="E422" i="6"/>
  <c r="E445" i="6"/>
  <c r="D445" i="8" s="1"/>
  <c r="E457" i="6"/>
  <c r="E469" i="6"/>
  <c r="D469" i="9" s="1"/>
  <c r="N469" i="9" s="1"/>
  <c r="E481" i="6"/>
  <c r="D481" i="9" s="1"/>
  <c r="N481" i="9" s="1"/>
  <c r="E12" i="6"/>
  <c r="E170" i="6"/>
  <c r="E186" i="6"/>
  <c r="D186" i="8" s="1"/>
  <c r="E202" i="6"/>
  <c r="E218" i="6"/>
  <c r="E234" i="6"/>
  <c r="E250" i="6"/>
  <c r="D250" i="9" s="1"/>
  <c r="E266" i="6"/>
  <c r="D266" i="9" s="1"/>
  <c r="E280" i="6"/>
  <c r="E294" i="6"/>
  <c r="D294" i="8" s="1"/>
  <c r="E310" i="6"/>
  <c r="D310" i="9" s="1"/>
  <c r="E326" i="6"/>
  <c r="D326" i="9" s="1"/>
  <c r="E341" i="6"/>
  <c r="D341" i="9" s="1"/>
  <c r="E348" i="6"/>
  <c r="E352" i="6"/>
  <c r="E356" i="6"/>
  <c r="D356" i="9" s="1"/>
  <c r="E360" i="6"/>
  <c r="E364" i="6"/>
  <c r="D364" i="8" s="1"/>
  <c r="E368" i="6"/>
  <c r="E372" i="6"/>
  <c r="E376" i="6"/>
  <c r="E380" i="6"/>
  <c r="E384" i="6"/>
  <c r="D384" i="9" s="1"/>
  <c r="E388" i="6"/>
  <c r="E389" i="6"/>
  <c r="E394" i="6"/>
  <c r="D394" i="9" s="1"/>
  <c r="E398" i="6"/>
  <c r="E402" i="6"/>
  <c r="E405" i="6"/>
  <c r="E409" i="6"/>
  <c r="E413" i="6"/>
  <c r="E417" i="6"/>
  <c r="E421" i="6"/>
  <c r="D421" i="8" s="1"/>
  <c r="E425" i="6"/>
  <c r="E429" i="6"/>
  <c r="D429" i="9" s="1"/>
  <c r="E433" i="6"/>
  <c r="E436" i="6"/>
  <c r="D436" i="8" s="1"/>
  <c r="E440" i="6"/>
  <c r="D440" i="8" s="1"/>
  <c r="E444" i="6"/>
  <c r="D444" i="9" s="1"/>
  <c r="N444" i="9" s="1"/>
  <c r="E448" i="6"/>
  <c r="D448" i="8" s="1"/>
  <c r="E452" i="6"/>
  <c r="D452" i="8" s="1"/>
  <c r="E456" i="6"/>
  <c r="D456" i="8" s="1"/>
  <c r="E460" i="6"/>
  <c r="D460" i="8" s="1"/>
  <c r="E464" i="6"/>
  <c r="D464" i="8" s="1"/>
  <c r="E468" i="6"/>
  <c r="D468" i="9" s="1"/>
  <c r="N468" i="9" s="1"/>
  <c r="E472" i="6"/>
  <c r="D472" i="8" s="1"/>
  <c r="E476" i="6"/>
  <c r="D476" i="9" s="1"/>
  <c r="N476" i="9" s="1"/>
  <c r="E480" i="6"/>
  <c r="D480" i="8" s="1"/>
  <c r="E484" i="6"/>
  <c r="D484" i="9" s="1"/>
  <c r="N484" i="9" s="1"/>
  <c r="E488" i="6"/>
  <c r="D488" i="9" s="1"/>
  <c r="N488" i="9" s="1"/>
  <c r="E492" i="6"/>
  <c r="D492" i="8" s="1"/>
  <c r="E174" i="6"/>
  <c r="D174" i="8" s="1"/>
  <c r="E222" i="6"/>
  <c r="D222" i="8" s="1"/>
  <c r="E270" i="6"/>
  <c r="D270" i="9" s="1"/>
  <c r="E314" i="6"/>
  <c r="E349" i="6"/>
  <c r="D349" i="8" s="1"/>
  <c r="E361" i="6"/>
  <c r="E373" i="6"/>
  <c r="E385" i="6"/>
  <c r="E399" i="6"/>
  <c r="E406" i="6"/>
  <c r="E418" i="6"/>
  <c r="E430" i="6"/>
  <c r="D430" i="8" s="1"/>
  <c r="E441" i="6"/>
  <c r="D441" i="8" s="1"/>
  <c r="E453" i="6"/>
  <c r="D453" i="9" s="1"/>
  <c r="N453" i="9" s="1"/>
  <c r="E465" i="6"/>
  <c r="D465" i="9" s="1"/>
  <c r="N465" i="9" s="1"/>
  <c r="E477" i="6"/>
  <c r="D477" i="8" s="1"/>
  <c r="E489" i="6"/>
  <c r="D489" i="9" s="1"/>
  <c r="N489" i="9" s="1"/>
  <c r="L12" i="8"/>
  <c r="D457" i="8"/>
  <c r="D60" i="8"/>
  <c r="D81" i="9"/>
  <c r="D327" i="9"/>
  <c r="D79" i="8"/>
  <c r="D48" i="9"/>
  <c r="D187" i="8"/>
  <c r="D235" i="9"/>
  <c r="D31" i="9"/>
  <c r="D63" i="8"/>
  <c r="D97" i="8"/>
  <c r="D96" i="9"/>
  <c r="D207" i="9"/>
  <c r="D239" i="9"/>
  <c r="D128" i="9"/>
  <c r="D32" i="8"/>
  <c r="D131" i="9"/>
  <c r="D115" i="8"/>
  <c r="D80" i="8"/>
  <c r="D33" i="8"/>
  <c r="D65" i="8"/>
  <c r="D15" i="8"/>
  <c r="D139" i="9"/>
  <c r="D155" i="8"/>
  <c r="D142" i="9"/>
  <c r="D64" i="9"/>
  <c r="E492" i="5"/>
  <c r="J12" i="6"/>
  <c r="G12" i="6"/>
  <c r="K12" i="6"/>
  <c r="H12" i="6"/>
  <c r="F12" i="6"/>
  <c r="G12" i="9"/>
  <c r="F12" i="9"/>
  <c r="K12" i="9"/>
  <c r="E12" i="9"/>
  <c r="I12" i="9"/>
  <c r="F12" i="8"/>
  <c r="K12" i="8"/>
  <c r="K493" i="8" s="1"/>
  <c r="E12" i="8"/>
  <c r="G12" i="8"/>
  <c r="I12" i="8"/>
  <c r="T12" i="8"/>
  <c r="T493" i="8" s="1"/>
  <c r="V12" i="9"/>
  <c r="Y12" i="6"/>
  <c r="AH171" i="6"/>
  <c r="AH190" i="6"/>
  <c r="AH138" i="6"/>
  <c r="AH36" i="6"/>
  <c r="AH118" i="6"/>
  <c r="AH200" i="6"/>
  <c r="AH117" i="6"/>
  <c r="AH180" i="6"/>
  <c r="AH78" i="6"/>
  <c r="AH143" i="6"/>
  <c r="AH177" i="6"/>
  <c r="AH301" i="6"/>
  <c r="AH15" i="6"/>
  <c r="AH160" i="6"/>
  <c r="AH195" i="6"/>
  <c r="AH234" i="6"/>
  <c r="AH183" i="6"/>
  <c r="AH66" i="6"/>
  <c r="AH133" i="6"/>
  <c r="AH69" i="6"/>
  <c r="AH159" i="6"/>
  <c r="AH266" i="6"/>
  <c r="AH263" i="6"/>
  <c r="AH113" i="6"/>
  <c r="AH176" i="6"/>
  <c r="AH211" i="6"/>
  <c r="AH186" i="6"/>
  <c r="AH199" i="6"/>
  <c r="AH71" i="6"/>
  <c r="AH222" i="6"/>
  <c r="AH27" i="6"/>
  <c r="AH170" i="6"/>
  <c r="AH149" i="6"/>
  <c r="AH85" i="6"/>
  <c r="AH148" i="6"/>
  <c r="AH30" i="6"/>
  <c r="AH112" i="6"/>
  <c r="AH296" i="6"/>
  <c r="AH129" i="6"/>
  <c r="AH92" i="6"/>
  <c r="AH87" i="6"/>
  <c r="AH48" i="6"/>
  <c r="AH64" i="6"/>
  <c r="AH123" i="6"/>
  <c r="AH165" i="6"/>
  <c r="AH37" i="6"/>
  <c r="AH164" i="6"/>
  <c r="AH287" i="6"/>
  <c r="AH243" i="6"/>
  <c r="AH256" i="6"/>
  <c r="AH302" i="6"/>
  <c r="AH218" i="6"/>
  <c r="AH231" i="6"/>
  <c r="AH23" i="6"/>
  <c r="AH39" i="6"/>
  <c r="AH103" i="6"/>
  <c r="AH80" i="6"/>
  <c r="AH220" i="6"/>
  <c r="AH147" i="6"/>
  <c r="AH214" i="6"/>
  <c r="AH292" i="6"/>
  <c r="AH51" i="6"/>
  <c r="AH94" i="6"/>
  <c r="AH297" i="6"/>
  <c r="AH29" i="6"/>
  <c r="AH156" i="6"/>
  <c r="AH38" i="6"/>
  <c r="AH120" i="6"/>
  <c r="AH255" i="6"/>
  <c r="AH260" i="6"/>
  <c r="AH185" i="6"/>
  <c r="AH168" i="6"/>
  <c r="AH242" i="6"/>
  <c r="AH13" i="6"/>
  <c r="AH158" i="6"/>
  <c r="AH163" i="6"/>
  <c r="AH230" i="6"/>
  <c r="AH308" i="6"/>
  <c r="AH67" i="6"/>
  <c r="AH173" i="6"/>
  <c r="AH208" i="6"/>
  <c r="AH109" i="6"/>
  <c r="AH172" i="6"/>
  <c r="AH70" i="6"/>
  <c r="AH323" i="6"/>
  <c r="AH275" i="6"/>
  <c r="AH201" i="6"/>
  <c r="AH265" i="6"/>
  <c r="AH25" i="6"/>
  <c r="AH41" i="6"/>
  <c r="AH57" i="6"/>
  <c r="AH31" i="6"/>
  <c r="AH179" i="6"/>
  <c r="AH60" i="6"/>
  <c r="AH126" i="6"/>
  <c r="AH197" i="6"/>
  <c r="AH217" i="6"/>
  <c r="AH136" i="6"/>
  <c r="AH100" i="6"/>
  <c r="AH235" i="6"/>
  <c r="AH210" i="6"/>
  <c r="AH198" i="6"/>
  <c r="AH99" i="6"/>
  <c r="AH162" i="6"/>
  <c r="AH140" i="6"/>
  <c r="AH89" i="6"/>
  <c r="AH116" i="6"/>
  <c r="AH187" i="6"/>
  <c r="AH223" i="6"/>
  <c r="AH56" i="6"/>
  <c r="AH122" i="6"/>
  <c r="AH72" i="6"/>
  <c r="AH228" i="6"/>
  <c r="AH244" i="6"/>
  <c r="AH314" i="6"/>
  <c r="D13" i="36"/>
  <c r="D485" i="8" l="1"/>
  <c r="N485" i="8" s="1"/>
  <c r="D492" i="9"/>
  <c r="N492" i="9" s="1"/>
  <c r="D454" i="8"/>
  <c r="D486" i="9"/>
  <c r="N486" i="9" s="1"/>
  <c r="D448" i="9"/>
  <c r="N448" i="9" s="1"/>
  <c r="F7" i="6"/>
  <c r="F493" i="6"/>
  <c r="H493" i="6"/>
  <c r="H7" i="6"/>
  <c r="K7" i="6"/>
  <c r="K493" i="6"/>
  <c r="G7" i="6"/>
  <c r="G493" i="6"/>
  <c r="J493" i="6"/>
  <c r="J7" i="6"/>
  <c r="E7" i="9"/>
  <c r="E493" i="9"/>
  <c r="K7" i="9"/>
  <c r="K493" i="9"/>
  <c r="V7" i="9"/>
  <c r="V493" i="9"/>
  <c r="F7" i="9"/>
  <c r="F493" i="9"/>
  <c r="I7" i="9"/>
  <c r="I493" i="9"/>
  <c r="G7" i="9"/>
  <c r="G493" i="9"/>
  <c r="I7" i="8"/>
  <c r="I493" i="8"/>
  <c r="F7" i="8"/>
  <c r="F493" i="8"/>
  <c r="G7" i="8"/>
  <c r="G493" i="8"/>
  <c r="E7" i="8"/>
  <c r="E493" i="8"/>
  <c r="Y7" i="6"/>
  <c r="Y493" i="6"/>
  <c r="D490" i="8"/>
  <c r="N490" i="8" s="1"/>
  <c r="D440" i="9"/>
  <c r="N440" i="9" s="1"/>
  <c r="F9" i="5"/>
  <c r="E5" i="5"/>
  <c r="D488" i="8"/>
  <c r="N488" i="8" s="1"/>
  <c r="D458" i="9"/>
  <c r="N458" i="9" s="1"/>
  <c r="D476" i="8"/>
  <c r="N476" i="8" s="1"/>
  <c r="D441" i="9"/>
  <c r="N441" i="9" s="1"/>
  <c r="D489" i="8"/>
  <c r="N489" i="8" s="1"/>
  <c r="D446" i="8"/>
  <c r="N446" i="8" s="1"/>
  <c r="D466" i="9"/>
  <c r="N466" i="9" s="1"/>
  <c r="O9" i="5"/>
  <c r="O5" i="5" s="1"/>
  <c r="D477" i="9"/>
  <c r="N477" i="9" s="1"/>
  <c r="D442" i="9"/>
  <c r="N442" i="9" s="1"/>
  <c r="D471" i="9"/>
  <c r="N471" i="9" s="1"/>
  <c r="D468" i="8"/>
  <c r="N468" i="8" s="1"/>
  <c r="D434" i="8"/>
  <c r="N434" i="8" s="1"/>
  <c r="N483" i="8"/>
  <c r="N479" i="8"/>
  <c r="N460" i="8"/>
  <c r="N443" i="8"/>
  <c r="N459" i="8"/>
  <c r="N436" i="8"/>
  <c r="N457" i="8"/>
  <c r="N466" i="8"/>
  <c r="N442" i="8"/>
  <c r="N491" i="8"/>
  <c r="N441" i="8"/>
  <c r="N461" i="8"/>
  <c r="N474" i="8"/>
  <c r="N454" i="8"/>
  <c r="N448" i="8"/>
  <c r="N480" i="8"/>
  <c r="N472" i="8"/>
  <c r="N451" i="8"/>
  <c r="N440" i="8"/>
  <c r="N458" i="8"/>
  <c r="N456" i="8"/>
  <c r="N445" i="8"/>
  <c r="N463" i="8"/>
  <c r="N473" i="8"/>
  <c r="N475" i="8"/>
  <c r="N492" i="8"/>
  <c r="N471" i="8"/>
  <c r="N486" i="8"/>
  <c r="N470" i="8"/>
  <c r="N452" i="8"/>
  <c r="N439" i="8"/>
  <c r="N455" i="8"/>
  <c r="N477" i="8"/>
  <c r="N487" i="8"/>
  <c r="N478" i="8"/>
  <c r="N450" i="8"/>
  <c r="N464" i="8"/>
  <c r="N482" i="8"/>
  <c r="D460" i="9"/>
  <c r="N460" i="9" s="1"/>
  <c r="D484" i="8"/>
  <c r="D457" i="9"/>
  <c r="N457" i="9" s="1"/>
  <c r="D436" i="9"/>
  <c r="N436" i="9" s="1"/>
  <c r="D491" i="9"/>
  <c r="N491" i="9" s="1"/>
  <c r="D447" i="8"/>
  <c r="D439" i="9"/>
  <c r="N439" i="9" s="1"/>
  <c r="D449" i="8"/>
  <c r="D437" i="8"/>
  <c r="D450" i="9"/>
  <c r="N450" i="9" s="1"/>
  <c r="D462" i="8"/>
  <c r="D455" i="9"/>
  <c r="N455" i="9" s="1"/>
  <c r="D467" i="8"/>
  <c r="D469" i="8"/>
  <c r="D494" i="36"/>
  <c r="D8" i="36"/>
  <c r="K7" i="8"/>
  <c r="D451" i="9"/>
  <c r="N451" i="9" s="1"/>
  <c r="D459" i="9"/>
  <c r="N459" i="9" s="1"/>
  <c r="D474" i="9"/>
  <c r="N474" i="9" s="1"/>
  <c r="D465" i="8"/>
  <c r="D472" i="9"/>
  <c r="N472" i="9" s="1"/>
  <c r="D478" i="9"/>
  <c r="N478" i="9" s="1"/>
  <c r="D435" i="8"/>
  <c r="D453" i="8"/>
  <c r="D463" i="9"/>
  <c r="N463" i="9" s="1"/>
  <c r="D461" i="9"/>
  <c r="N461" i="9" s="1"/>
  <c r="D444" i="8"/>
  <c r="D483" i="9"/>
  <c r="N483" i="9" s="1"/>
  <c r="D464" i="9"/>
  <c r="N464" i="9" s="1"/>
  <c r="D443" i="9"/>
  <c r="N443" i="9" s="1"/>
  <c r="D481" i="8"/>
  <c r="D438" i="8"/>
  <c r="D480" i="9"/>
  <c r="N480" i="9" s="1"/>
  <c r="D479" i="9"/>
  <c r="N479" i="9" s="1"/>
  <c r="D473" i="9"/>
  <c r="N473" i="9" s="1"/>
  <c r="D445" i="9"/>
  <c r="N445" i="9" s="1"/>
  <c r="D470" i="9"/>
  <c r="N470" i="9" s="1"/>
  <c r="D482" i="9"/>
  <c r="N482" i="9" s="1"/>
  <c r="D452" i="9"/>
  <c r="N452" i="9" s="1"/>
  <c r="D487" i="9"/>
  <c r="N487" i="9" s="1"/>
  <c r="D475" i="9"/>
  <c r="N475" i="9" s="1"/>
  <c r="D456" i="9"/>
  <c r="N456" i="9" s="1"/>
  <c r="D417" i="9"/>
  <c r="N417" i="9" s="1"/>
  <c r="D404" i="9"/>
  <c r="N404" i="9" s="1"/>
  <c r="D413" i="9"/>
  <c r="N413" i="9" s="1"/>
  <c r="D410" i="8"/>
  <c r="D395" i="9"/>
  <c r="N395" i="9" s="1"/>
  <c r="D412" i="9"/>
  <c r="N412" i="9" s="1"/>
  <c r="D397" i="9"/>
  <c r="N397" i="9" s="1"/>
  <c r="D419" i="9"/>
  <c r="N419" i="9" s="1"/>
  <c r="D396" i="9"/>
  <c r="N396" i="9" s="1"/>
  <c r="D264" i="8"/>
  <c r="D343" i="9"/>
  <c r="N343" i="9" s="1"/>
  <c r="D281" i="9"/>
  <c r="N281" i="9" s="1"/>
  <c r="D219" i="9"/>
  <c r="N219" i="9" s="1"/>
  <c r="D171" i="8"/>
  <c r="D201" i="8"/>
  <c r="D252" i="9"/>
  <c r="N252" i="9" s="1"/>
  <c r="D35" i="8"/>
  <c r="D363" i="8"/>
  <c r="D291" i="9"/>
  <c r="N291" i="9" s="1"/>
  <c r="D243" i="9"/>
  <c r="N243" i="9" s="1"/>
  <c r="D154" i="8"/>
  <c r="D100" i="8"/>
  <c r="D392" i="9"/>
  <c r="N392" i="9" s="1"/>
  <c r="D133" i="8"/>
  <c r="D391" i="8"/>
  <c r="D289" i="8"/>
  <c r="D233" i="9"/>
  <c r="N233" i="9" s="1"/>
  <c r="D181" i="8"/>
  <c r="D140" i="9"/>
  <c r="N140" i="9" s="1"/>
  <c r="D73" i="9"/>
  <c r="N73" i="9" s="1"/>
  <c r="D336" i="8"/>
  <c r="D272" i="8"/>
  <c r="D204" i="9"/>
  <c r="N204" i="9" s="1"/>
  <c r="D160" i="9"/>
  <c r="N160" i="9" s="1"/>
  <c r="D105" i="8"/>
  <c r="D18" i="8"/>
  <c r="D351" i="8"/>
  <c r="D295" i="8"/>
  <c r="D223" i="9"/>
  <c r="N223" i="9" s="1"/>
  <c r="D179" i="9"/>
  <c r="N179" i="9" s="1"/>
  <c r="D104" i="8"/>
  <c r="D38" i="8"/>
  <c r="D378" i="8"/>
  <c r="D319" i="8"/>
  <c r="D258" i="9"/>
  <c r="N258" i="9" s="1"/>
  <c r="D194" i="9"/>
  <c r="N194" i="9" s="1"/>
  <c r="D113" i="9"/>
  <c r="N113" i="9" s="1"/>
  <c r="D41" i="8"/>
  <c r="D361" i="9"/>
  <c r="N361" i="9" s="1"/>
  <c r="D293" i="8"/>
  <c r="D209" i="9"/>
  <c r="N209" i="9" s="1"/>
  <c r="D129" i="8"/>
  <c r="D52" i="9"/>
  <c r="N52" i="9" s="1"/>
  <c r="D89" i="8"/>
  <c r="D16" i="8"/>
  <c r="D370" i="9"/>
  <c r="N370" i="9" s="1"/>
  <c r="D398" i="9"/>
  <c r="N398" i="9" s="1"/>
  <c r="D407" i="8"/>
  <c r="D415" i="8"/>
  <c r="D53" i="8"/>
  <c r="D388" i="9"/>
  <c r="N388" i="9" s="1"/>
  <c r="D59" i="9"/>
  <c r="N59" i="9" s="1"/>
  <c r="D159" i="9"/>
  <c r="N159" i="9" s="1"/>
  <c r="D76" i="9"/>
  <c r="N76" i="9" s="1"/>
  <c r="D350" i="9"/>
  <c r="N350" i="9" s="1"/>
  <c r="D84" i="8"/>
  <c r="D24" i="8"/>
  <c r="D279" i="9"/>
  <c r="N279" i="9" s="1"/>
  <c r="D352" i="8"/>
  <c r="D26" i="9"/>
  <c r="N26" i="9" s="1"/>
  <c r="D231" i="8"/>
  <c r="D182" i="8"/>
  <c r="D126" i="8"/>
  <c r="D273" i="8"/>
  <c r="D173" i="9"/>
  <c r="N173" i="9" s="1"/>
  <c r="D192" i="9"/>
  <c r="N192" i="9" s="1"/>
  <c r="D77" i="8"/>
  <c r="D335" i="9"/>
  <c r="N335" i="9" s="1"/>
  <c r="D211" i="8"/>
  <c r="D85" i="8"/>
  <c r="D358" i="9"/>
  <c r="N358" i="9" s="1"/>
  <c r="D302" i="8"/>
  <c r="D242" i="9"/>
  <c r="N242" i="9" s="1"/>
  <c r="D95" i="9"/>
  <c r="N95" i="9" s="1"/>
  <c r="D29" i="8"/>
  <c r="D345" i="9"/>
  <c r="N345" i="9" s="1"/>
  <c r="D283" i="9"/>
  <c r="N283" i="9" s="1"/>
  <c r="D193" i="8"/>
  <c r="D116" i="9"/>
  <c r="N116" i="9" s="1"/>
  <c r="D17" i="9"/>
  <c r="N17" i="9" s="1"/>
  <c r="D118" i="9"/>
  <c r="N118" i="9" s="1"/>
  <c r="D307" i="8"/>
  <c r="D414" i="8"/>
  <c r="D119" i="9"/>
  <c r="N119" i="9" s="1"/>
  <c r="D373" i="8"/>
  <c r="D292" i="9"/>
  <c r="N292" i="9" s="1"/>
  <c r="D320" i="9"/>
  <c r="N320" i="9" s="1"/>
  <c r="D251" i="8"/>
  <c r="D218" i="9"/>
  <c r="N218" i="9" s="1"/>
  <c r="D257" i="8"/>
  <c r="D389" i="8"/>
  <c r="D282" i="9"/>
  <c r="N282" i="9" s="1"/>
  <c r="D224" i="9"/>
  <c r="N224" i="9" s="1"/>
  <c r="D271" i="9"/>
  <c r="N271" i="9" s="1"/>
  <c r="D199" i="8"/>
  <c r="D127" i="9"/>
  <c r="N127" i="9" s="1"/>
  <c r="D46" i="9"/>
  <c r="N46" i="9" s="1"/>
  <c r="D366" i="8"/>
  <c r="D377" i="9"/>
  <c r="N377" i="9" s="1"/>
  <c r="D261" i="8"/>
  <c r="D98" i="9"/>
  <c r="N98" i="9" s="1"/>
  <c r="D300" i="9"/>
  <c r="N300" i="9" s="1"/>
  <c r="D236" i="8"/>
  <c r="D184" i="8"/>
  <c r="D132" i="9"/>
  <c r="N132" i="9" s="1"/>
  <c r="D51" i="8"/>
  <c r="D328" i="8"/>
  <c r="D66" i="9"/>
  <c r="N66" i="9" s="1"/>
  <c r="D288" i="8"/>
  <c r="D226" i="8"/>
  <c r="D158" i="9"/>
  <c r="N158" i="9" s="1"/>
  <c r="D75" i="9"/>
  <c r="N75" i="9" s="1"/>
  <c r="D330" i="8"/>
  <c r="D185" i="8"/>
  <c r="D102" i="8"/>
  <c r="D19" i="8"/>
  <c r="D83" i="8"/>
  <c r="D401" i="8"/>
  <c r="D416" i="8"/>
  <c r="D423" i="8"/>
  <c r="D400" i="8"/>
  <c r="D411" i="8"/>
  <c r="D424" i="9"/>
  <c r="N424" i="9" s="1"/>
  <c r="D359" i="9"/>
  <c r="N359" i="9" s="1"/>
  <c r="D141" i="9"/>
  <c r="N141" i="9" s="1"/>
  <c r="D301" i="8"/>
  <c r="D308" i="8"/>
  <c r="D175" i="9"/>
  <c r="N175" i="9" s="1"/>
  <c r="D25" i="9"/>
  <c r="D205" i="8"/>
  <c r="D82" i="9"/>
  <c r="N82" i="9" s="1"/>
  <c r="D360" i="9"/>
  <c r="N360" i="9" s="1"/>
  <c r="D172" i="8"/>
  <c r="D124" i="8"/>
  <c r="D39" i="9"/>
  <c r="N39" i="9" s="1"/>
  <c r="D367" i="9"/>
  <c r="N367" i="9" s="1"/>
  <c r="D312" i="9"/>
  <c r="N312" i="9" s="1"/>
  <c r="D331" i="9"/>
  <c r="N331" i="9" s="1"/>
  <c r="D274" i="9"/>
  <c r="N274" i="9" s="1"/>
  <c r="D210" i="8"/>
  <c r="D385" i="8"/>
  <c r="D245" i="8"/>
  <c r="D148" i="9"/>
  <c r="N148" i="9" s="1"/>
  <c r="D68" i="9"/>
  <c r="N68" i="9" s="1"/>
  <c r="D92" i="8"/>
  <c r="D157" i="8"/>
  <c r="D420" i="9"/>
  <c r="D209" i="8"/>
  <c r="D395" i="8"/>
  <c r="D415" i="9"/>
  <c r="D262" i="9"/>
  <c r="D100" i="9"/>
  <c r="D89" i="9"/>
  <c r="D398" i="8"/>
  <c r="D52" i="8"/>
  <c r="D74" i="8"/>
  <c r="D427" i="8"/>
  <c r="D293" i="9"/>
  <c r="D129" i="9"/>
  <c r="D407" i="9"/>
  <c r="D412" i="8"/>
  <c r="D38" i="9"/>
  <c r="D160" i="8"/>
  <c r="D361" i="8"/>
  <c r="D41" i="9"/>
  <c r="D319" i="9"/>
  <c r="D258" i="8"/>
  <c r="D351" i="9"/>
  <c r="D219" i="8"/>
  <c r="D179" i="8"/>
  <c r="D291" i="8"/>
  <c r="N299" i="9"/>
  <c r="N21" i="9"/>
  <c r="N270" i="9"/>
  <c r="N14" i="9"/>
  <c r="N241" i="9"/>
  <c r="N197" i="9"/>
  <c r="N144" i="9"/>
  <c r="N212" i="9"/>
  <c r="N22" i="9"/>
  <c r="N227" i="9"/>
  <c r="N327" i="9"/>
  <c r="N266" i="9"/>
  <c r="N208" i="9"/>
  <c r="N55" i="9"/>
  <c r="N379" i="9"/>
  <c r="N114" i="9"/>
  <c r="N346" i="9"/>
  <c r="N276" i="9"/>
  <c r="N214" i="9"/>
  <c r="N20" i="9"/>
  <c r="N249" i="9"/>
  <c r="N235" i="9"/>
  <c r="N356" i="9"/>
  <c r="N304" i="9"/>
  <c r="N168" i="9"/>
  <c r="N31" i="9"/>
  <c r="N239" i="9"/>
  <c r="N315" i="9"/>
  <c r="N341" i="9"/>
  <c r="N64" i="9"/>
  <c r="N96" i="9"/>
  <c r="N34" i="9"/>
  <c r="N250" i="9"/>
  <c r="N125" i="9"/>
  <c r="N48" i="9"/>
  <c r="N198" i="9"/>
  <c r="N74" i="9"/>
  <c r="N427" i="9"/>
  <c r="N394" i="9"/>
  <c r="N232" i="9"/>
  <c r="N339" i="9"/>
  <c r="N215" i="9"/>
  <c r="N131" i="9"/>
  <c r="N326" i="9"/>
  <c r="N269" i="9"/>
  <c r="N221" i="9"/>
  <c r="N313" i="9"/>
  <c r="N139" i="9"/>
  <c r="N207" i="9"/>
  <c r="N106" i="9"/>
  <c r="N81" i="9"/>
  <c r="N246" i="9"/>
  <c r="N56" i="9"/>
  <c r="N429" i="9"/>
  <c r="N384" i="9"/>
  <c r="N275" i="9"/>
  <c r="N120" i="9"/>
  <c r="N387" i="9"/>
  <c r="N42" i="9"/>
  <c r="N354" i="9"/>
  <c r="N107" i="9"/>
  <c r="N310" i="9"/>
  <c r="N213" i="9"/>
  <c r="N161" i="9"/>
  <c r="N128" i="9"/>
  <c r="N142" i="9"/>
  <c r="N62" i="9"/>
  <c r="N390" i="9"/>
  <c r="N322" i="9"/>
  <c r="N290" i="9"/>
  <c r="N230" i="9"/>
  <c r="N117" i="9"/>
  <c r="N408" i="9"/>
  <c r="N432" i="9"/>
  <c r="N317" i="8"/>
  <c r="N200" i="8"/>
  <c r="N101" i="8"/>
  <c r="N371" i="8"/>
  <c r="N247" i="8"/>
  <c r="N78" i="8"/>
  <c r="N344" i="8"/>
  <c r="N278" i="8"/>
  <c r="N115" i="8"/>
  <c r="N187" i="8"/>
  <c r="N123" i="8"/>
  <c r="N369" i="8"/>
  <c r="N237" i="8"/>
  <c r="N60" i="8"/>
  <c r="N325" i="8"/>
  <c r="N263" i="8"/>
  <c r="N365" i="8"/>
  <c r="N152" i="8"/>
  <c r="N23" i="8"/>
  <c r="N286" i="8"/>
  <c r="N403" i="8"/>
  <c r="N248" i="8"/>
  <c r="N87" i="8"/>
  <c r="N355" i="8"/>
  <c r="N150" i="8"/>
  <c r="N80" i="8"/>
  <c r="N254" i="8"/>
  <c r="N190" i="8"/>
  <c r="N130" i="8"/>
  <c r="N69" i="8"/>
  <c r="N229" i="8"/>
  <c r="N177" i="8"/>
  <c r="N136" i="8"/>
  <c r="N329" i="8"/>
  <c r="N196" i="8"/>
  <c r="N155" i="8"/>
  <c r="N97" i="8"/>
  <c r="N393" i="8"/>
  <c r="N362" i="8"/>
  <c r="N311" i="8"/>
  <c r="N186" i="8"/>
  <c r="N103" i="8"/>
  <c r="N33" i="8"/>
  <c r="N353" i="8"/>
  <c r="N287" i="8"/>
  <c r="N364" i="8"/>
  <c r="N309" i="8"/>
  <c r="N176" i="8"/>
  <c r="N93" i="8"/>
  <c r="N262" i="8"/>
  <c r="N79" i="8"/>
  <c r="N349" i="8"/>
  <c r="N420" i="8"/>
  <c r="N428" i="8"/>
  <c r="N178" i="8"/>
  <c r="N381" i="8"/>
  <c r="N169" i="8"/>
  <c r="N188" i="8"/>
  <c r="N259" i="8"/>
  <c r="N15" i="8"/>
  <c r="N294" i="8"/>
  <c r="N162" i="8"/>
  <c r="N337" i="8"/>
  <c r="N189" i="8"/>
  <c r="N36" i="8"/>
  <c r="N333" i="8"/>
  <c r="N421" i="8"/>
  <c r="N430" i="8"/>
  <c r="N63" i="8"/>
  <c r="N316" i="8"/>
  <c r="N183" i="8"/>
  <c r="N284" i="8"/>
  <c r="N222" i="8"/>
  <c r="N166" i="8"/>
  <c r="N37" i="8"/>
  <c r="N94" i="8"/>
  <c r="N180" i="8"/>
  <c r="N43" i="8"/>
  <c r="N195" i="8"/>
  <c r="N65" i="8"/>
  <c r="N174" i="8"/>
  <c r="N45" i="8"/>
  <c r="N32" i="8"/>
  <c r="D48" i="8"/>
  <c r="D353" i="9"/>
  <c r="D287" i="9"/>
  <c r="D349" i="9"/>
  <c r="D35" i="9"/>
  <c r="D125" i="8"/>
  <c r="D186" i="9"/>
  <c r="D289" i="9"/>
  <c r="P12" i="4"/>
  <c r="D18" i="9"/>
  <c r="D309" i="9"/>
  <c r="D198" i="8"/>
  <c r="D34" i="8"/>
  <c r="D133" i="9"/>
  <c r="D194" i="8"/>
  <c r="D113" i="8"/>
  <c r="D363" i="9"/>
  <c r="D79" i="9"/>
  <c r="D370" i="8"/>
  <c r="D252" i="8"/>
  <c r="D295" i="9"/>
  <c r="D272" i="9"/>
  <c r="D176" i="9"/>
  <c r="D201" i="9"/>
  <c r="D204" i="8"/>
  <c r="D140" i="8"/>
  <c r="D233" i="8"/>
  <c r="D96" i="8"/>
  <c r="D393" i="9"/>
  <c r="D343" i="8"/>
  <c r="D250" i="8"/>
  <c r="D341" i="8"/>
  <c r="D196" i="9"/>
  <c r="D103" i="9"/>
  <c r="D329" i="9"/>
  <c r="D171" i="9"/>
  <c r="D281" i="8"/>
  <c r="D315" i="8"/>
  <c r="D130" i="9"/>
  <c r="D64" i="8"/>
  <c r="D239" i="8"/>
  <c r="D155" i="9"/>
  <c r="D87" i="9"/>
  <c r="D248" i="9"/>
  <c r="D304" i="8"/>
  <c r="D356" i="8"/>
  <c r="D150" i="9"/>
  <c r="D364" i="9"/>
  <c r="D229" i="9"/>
  <c r="D69" i="9"/>
  <c r="D93" i="9"/>
  <c r="D355" i="9"/>
  <c r="D168" i="8"/>
  <c r="D223" i="8"/>
  <c r="D323" i="8"/>
  <c r="D264" i="9"/>
  <c r="D391" i="9"/>
  <c r="D105" i="9"/>
  <c r="D154" i="9"/>
  <c r="D97" i="9"/>
  <c r="D378" i="9"/>
  <c r="D73" i="8"/>
  <c r="D80" i="9"/>
  <c r="D254" i="9"/>
  <c r="D31" i="8"/>
  <c r="D311" i="9"/>
  <c r="D181" i="9"/>
  <c r="D336" i="9"/>
  <c r="D190" i="9"/>
  <c r="D243" i="8"/>
  <c r="D177" i="9"/>
  <c r="D16" i="9"/>
  <c r="D428" i="9"/>
  <c r="D404" i="8"/>
  <c r="D104" i="9"/>
  <c r="D392" i="8"/>
  <c r="D33" i="9"/>
  <c r="D362" i="9"/>
  <c r="D136" i="9"/>
  <c r="D235" i="8"/>
  <c r="D249" i="8"/>
  <c r="D241" i="8"/>
  <c r="D214" i="8"/>
  <c r="D227" i="8"/>
  <c r="D144" i="8"/>
  <c r="D25" i="8"/>
  <c r="D325" i="9"/>
  <c r="D344" i="9"/>
  <c r="D92" i="9"/>
  <c r="D278" i="9"/>
  <c r="D22" i="8"/>
  <c r="D205" i="9"/>
  <c r="D148" i="8"/>
  <c r="D308" i="9"/>
  <c r="D299" i="8"/>
  <c r="D187" i="9"/>
  <c r="D360" i="8"/>
  <c r="D359" i="8"/>
  <c r="D274" i="8"/>
  <c r="D152" i="9"/>
  <c r="D367" i="8"/>
  <c r="D413" i="8"/>
  <c r="D21" i="8"/>
  <c r="D78" i="9"/>
  <c r="D199" i="9"/>
  <c r="D98" i="8"/>
  <c r="D63" i="9"/>
  <c r="D316" i="9"/>
  <c r="D236" i="9"/>
  <c r="D51" i="9"/>
  <c r="D230" i="8"/>
  <c r="D128" i="8"/>
  <c r="D271" i="8"/>
  <c r="D158" i="8"/>
  <c r="D300" i="8"/>
  <c r="D416" i="9"/>
  <c r="D366" i="9"/>
  <c r="D101" i="9"/>
  <c r="D66" i="8"/>
  <c r="D222" i="9"/>
  <c r="D120" i="8"/>
  <c r="D212" i="8"/>
  <c r="D162" i="9"/>
  <c r="D275" i="8"/>
  <c r="D19" i="9"/>
  <c r="D43" i="9"/>
  <c r="D352" i="9"/>
  <c r="D46" i="8"/>
  <c r="D390" i="8"/>
  <c r="D37" i="9"/>
  <c r="D193" i="9"/>
  <c r="D42" i="8"/>
  <c r="D432" i="8"/>
  <c r="D117" i="8"/>
  <c r="D242" i="8"/>
  <c r="D14" i="8"/>
  <c r="D371" i="9"/>
  <c r="D195" i="9"/>
  <c r="D401" i="9"/>
  <c r="D332" i="8"/>
  <c r="D332" i="9"/>
  <c r="D216" i="8"/>
  <c r="D216" i="9"/>
  <c r="D253" i="8"/>
  <c r="D253" i="9"/>
  <c r="D375" i="8"/>
  <c r="D375" i="9"/>
  <c r="D149" i="9"/>
  <c r="D149" i="8"/>
  <c r="D340" i="8"/>
  <c r="D340" i="9"/>
  <c r="D135" i="8"/>
  <c r="D135" i="9"/>
  <c r="D67" i="8"/>
  <c r="D67" i="9"/>
  <c r="D318" i="8"/>
  <c r="D318" i="9"/>
  <c r="D217" i="8"/>
  <c r="D217" i="9"/>
  <c r="D380" i="9"/>
  <c r="D380" i="8"/>
  <c r="D383" i="9"/>
  <c r="D383" i="8"/>
  <c r="D255" i="8"/>
  <c r="D255" i="9"/>
  <c r="D203" i="8"/>
  <c r="D203" i="9"/>
  <c r="D146" i="9"/>
  <c r="D146" i="8"/>
  <c r="D342" i="9"/>
  <c r="D342" i="8"/>
  <c r="D265" i="8"/>
  <c r="D265" i="9"/>
  <c r="D111" i="8"/>
  <c r="D111" i="9"/>
  <c r="D70" i="9"/>
  <c r="D70" i="8"/>
  <c r="D86" i="9"/>
  <c r="D86" i="8"/>
  <c r="D431" i="8"/>
  <c r="D431" i="9"/>
  <c r="D288" i="9"/>
  <c r="D251" i="9"/>
  <c r="D142" i="8"/>
  <c r="D218" i="8"/>
  <c r="D174" i="9"/>
  <c r="D310" i="8"/>
  <c r="D213" i="8"/>
  <c r="D322" i="8"/>
  <c r="D419" i="8"/>
  <c r="D368" i="9"/>
  <c r="D368" i="8"/>
  <c r="D260" i="9"/>
  <c r="D260" i="8"/>
  <c r="D47" i="8"/>
  <c r="D47" i="9"/>
  <c r="D167" i="8"/>
  <c r="D167" i="9"/>
  <c r="D108" i="9"/>
  <c r="D108" i="8"/>
  <c r="D338" i="9"/>
  <c r="D338" i="8"/>
  <c r="D206" i="8"/>
  <c r="D206" i="9"/>
  <c r="D137" i="9"/>
  <c r="D137" i="8"/>
  <c r="D91" i="9"/>
  <c r="D91" i="8"/>
  <c r="D357" i="8"/>
  <c r="D357" i="9"/>
  <c r="D297" i="8"/>
  <c r="D297" i="9"/>
  <c r="D13" i="8"/>
  <c r="D13" i="9"/>
  <c r="D164" i="8"/>
  <c r="D164" i="9"/>
  <c r="D303" i="8"/>
  <c r="D303" i="9"/>
  <c r="D54" i="9"/>
  <c r="D54" i="8"/>
  <c r="D202" i="9"/>
  <c r="D202" i="8"/>
  <c r="D376" i="9"/>
  <c r="D376" i="8"/>
  <c r="D268" i="9"/>
  <c r="D268" i="8"/>
  <c r="D109" i="9"/>
  <c r="D109" i="8"/>
  <c r="D153" i="8"/>
  <c r="D153" i="9"/>
  <c r="D99" i="9"/>
  <c r="D99" i="8"/>
  <c r="D220" i="9"/>
  <c r="D220" i="8"/>
  <c r="D191" i="8"/>
  <c r="D191" i="9"/>
  <c r="D138" i="9"/>
  <c r="D138" i="8"/>
  <c r="D386" i="9"/>
  <c r="D386" i="8"/>
  <c r="D145" i="9"/>
  <c r="D145" i="8"/>
  <c r="D57" i="8"/>
  <c r="D57" i="9"/>
  <c r="D314" i="8"/>
  <c r="D314" i="9"/>
  <c r="D110" i="9"/>
  <c r="D110" i="8"/>
  <c r="D405" i="9"/>
  <c r="D405" i="8"/>
  <c r="D267" i="8"/>
  <c r="D267" i="9"/>
  <c r="D27" i="8"/>
  <c r="D27" i="9"/>
  <c r="D372" i="9"/>
  <c r="D372" i="8"/>
  <c r="D228" i="8"/>
  <c r="D228" i="9"/>
  <c r="D334" i="9"/>
  <c r="D334" i="8"/>
  <c r="D280" i="8"/>
  <c r="D280" i="9"/>
  <c r="D156" i="8"/>
  <c r="D156" i="9"/>
  <c r="D88" i="9"/>
  <c r="D88" i="8"/>
  <c r="D324" i="9"/>
  <c r="D324" i="8"/>
  <c r="D165" i="9"/>
  <c r="D165" i="8"/>
  <c r="D127" i="8"/>
  <c r="D208" i="8"/>
  <c r="D226" i="9"/>
  <c r="D224" i="8"/>
  <c r="D55" i="8"/>
  <c r="D276" i="8"/>
  <c r="D161" i="8"/>
  <c r="D184" i="9"/>
  <c r="D115" i="9"/>
  <c r="D107" i="8"/>
  <c r="D82" i="8"/>
  <c r="D320" i="8"/>
  <c r="D327" i="8"/>
  <c r="D62" i="8"/>
  <c r="D20" i="8"/>
  <c r="D45" i="9"/>
  <c r="D330" i="9"/>
  <c r="D317" i="9"/>
  <c r="D387" i="8"/>
  <c r="D257" i="9"/>
  <c r="D411" i="9"/>
  <c r="D408" i="8"/>
  <c r="D424" i="8"/>
  <c r="D348" i="8"/>
  <c r="D348" i="9"/>
  <c r="D143" i="9"/>
  <c r="D143" i="8"/>
  <c r="D72" i="8"/>
  <c r="D72" i="9"/>
  <c r="D50" i="9"/>
  <c r="D50" i="8"/>
  <c r="D374" i="9"/>
  <c r="D374" i="8"/>
  <c r="D298" i="8"/>
  <c r="D298" i="9"/>
  <c r="D122" i="9"/>
  <c r="D122" i="8"/>
  <c r="D112" i="9"/>
  <c r="D112" i="8"/>
  <c r="D40" i="8"/>
  <c r="D40" i="9"/>
  <c r="D244" i="9"/>
  <c r="D244" i="8"/>
  <c r="D234" i="8"/>
  <c r="D234" i="9"/>
  <c r="D296" i="8"/>
  <c r="D296" i="9"/>
  <c r="D240" i="8"/>
  <c r="D240" i="9"/>
  <c r="D151" i="8"/>
  <c r="D151" i="9"/>
  <c r="D347" i="9"/>
  <c r="D347" i="8"/>
  <c r="D285" i="8"/>
  <c r="D285" i="9"/>
  <c r="D71" i="8"/>
  <c r="D71" i="9"/>
  <c r="D306" i="9"/>
  <c r="D306" i="8"/>
  <c r="D61" i="9"/>
  <c r="D61" i="8"/>
  <c r="D225" i="8"/>
  <c r="D225" i="9"/>
  <c r="D121" i="8"/>
  <c r="D121" i="9"/>
  <c r="D321" i="9"/>
  <c r="D321" i="8"/>
  <c r="D147" i="9"/>
  <c r="D147" i="8"/>
  <c r="D163" i="8"/>
  <c r="D163" i="9"/>
  <c r="D170" i="9"/>
  <c r="D170" i="8"/>
  <c r="D44" i="9"/>
  <c r="D44" i="8"/>
  <c r="D406" i="8"/>
  <c r="D406" i="9"/>
  <c r="D381" i="9"/>
  <c r="D269" i="8"/>
  <c r="D76" i="8"/>
  <c r="D232" i="8"/>
  <c r="D279" i="8"/>
  <c r="D282" i="8"/>
  <c r="D354" i="8"/>
  <c r="D183" i="9"/>
  <c r="D32" i="9"/>
  <c r="D65" i="9"/>
  <c r="D389" i="9"/>
  <c r="D166" i="9"/>
  <c r="D261" i="9"/>
  <c r="D185" i="9"/>
  <c r="D94" i="9"/>
  <c r="D292" i="8"/>
  <c r="D377" i="8"/>
  <c r="D373" i="9"/>
  <c r="D75" i="8"/>
  <c r="D102" i="9"/>
  <c r="D384" i="8"/>
  <c r="D180" i="9"/>
  <c r="D83" i="9"/>
  <c r="D400" i="9"/>
  <c r="D328" i="9"/>
  <c r="D290" i="8"/>
  <c r="D284" i="9"/>
  <c r="D119" i="8"/>
  <c r="D132" i="8"/>
  <c r="D423" i="9"/>
  <c r="D277" i="8"/>
  <c r="D277" i="9"/>
  <c r="D238" i="8"/>
  <c r="D238" i="9"/>
  <c r="D134" i="9"/>
  <c r="D134" i="8"/>
  <c r="D256" i="8"/>
  <c r="D256" i="9"/>
  <c r="D30" i="8"/>
  <c r="D30" i="9"/>
  <c r="D28" i="8"/>
  <c r="D28" i="9"/>
  <c r="D399" i="9"/>
  <c r="D399" i="8"/>
  <c r="D409" i="8"/>
  <c r="D409" i="9"/>
  <c r="D422" i="8"/>
  <c r="D422" i="9"/>
  <c r="D192" i="8"/>
  <c r="D124" i="9"/>
  <c r="D175" i="8"/>
  <c r="D15" i="9"/>
  <c r="D207" i="8"/>
  <c r="D379" i="8"/>
  <c r="D159" i="8"/>
  <c r="D123" i="9"/>
  <c r="D24" i="9"/>
  <c r="D36" i="9"/>
  <c r="D231" i="9"/>
  <c r="D126" i="9"/>
  <c r="D221" i="8"/>
  <c r="D106" i="8"/>
  <c r="D286" i="9"/>
  <c r="D215" i="8"/>
  <c r="D346" i="8"/>
  <c r="D116" i="8"/>
  <c r="D114" i="8"/>
  <c r="D388" i="8"/>
  <c r="D200" i="9"/>
  <c r="D312" i="8"/>
  <c r="D337" i="9"/>
  <c r="D339" i="8"/>
  <c r="D331" i="8"/>
  <c r="D333" i="9"/>
  <c r="D60" i="9"/>
  <c r="D23" i="9"/>
  <c r="D358" i="8"/>
  <c r="D266" i="8"/>
  <c r="D197" i="8"/>
  <c r="D237" i="9"/>
  <c r="D95" i="8"/>
  <c r="D385" i="9"/>
  <c r="D77" i="9"/>
  <c r="D141" i="8"/>
  <c r="D365" i="9"/>
  <c r="D182" i="9"/>
  <c r="D345" i="8"/>
  <c r="D56" i="8"/>
  <c r="D139" i="8"/>
  <c r="D81" i="8"/>
  <c r="D259" i="9"/>
  <c r="D301" i="9"/>
  <c r="D59" i="8"/>
  <c r="D157" i="9"/>
  <c r="D118" i="8"/>
  <c r="D403" i="9"/>
  <c r="D417" i="8"/>
  <c r="D397" i="8"/>
  <c r="D188" i="9"/>
  <c r="D394" i="8"/>
  <c r="D313" i="8"/>
  <c r="D85" i="9"/>
  <c r="D246" i="8"/>
  <c r="D178" i="9"/>
  <c r="D53" i="9"/>
  <c r="D211" i="9"/>
  <c r="D294" i="9"/>
  <c r="D335" i="8"/>
  <c r="D29" i="9"/>
  <c r="D189" i="9"/>
  <c r="D350" i="8"/>
  <c r="D326" i="8"/>
  <c r="D173" i="8"/>
  <c r="D84" i="9"/>
  <c r="D131" i="8"/>
  <c r="D17" i="8"/>
  <c r="D430" i="9"/>
  <c r="D421" i="9"/>
  <c r="D382" i="8"/>
  <c r="D382" i="9"/>
  <c r="D49" i="9"/>
  <c r="D49" i="8"/>
  <c r="D305" i="8"/>
  <c r="D305" i="9"/>
  <c r="D58" i="8"/>
  <c r="D58" i="9"/>
  <c r="D90" i="9"/>
  <c r="D90" i="8"/>
  <c r="D402" i="9"/>
  <c r="D402" i="8"/>
  <c r="D418" i="9"/>
  <c r="D418" i="8"/>
  <c r="D425" i="8"/>
  <c r="D425" i="9"/>
  <c r="D426" i="9"/>
  <c r="D426" i="8"/>
  <c r="D433" i="8"/>
  <c r="D433" i="9"/>
  <c r="D302" i="9"/>
  <c r="D172" i="9"/>
  <c r="D39" i="8"/>
  <c r="D210" i="9"/>
  <c r="D369" i="9"/>
  <c r="D26" i="8"/>
  <c r="D263" i="9"/>
  <c r="D270" i="8"/>
  <c r="D245" i="9"/>
  <c r="D283" i="8"/>
  <c r="D247" i="9"/>
  <c r="D169" i="9"/>
  <c r="D68" i="8"/>
  <c r="D273" i="9"/>
  <c r="D307" i="9"/>
  <c r="D410" i="9"/>
  <c r="D414" i="9"/>
  <c r="D396" i="8"/>
  <c r="D429" i="8"/>
  <c r="L12" i="6"/>
  <c r="AH134" i="6"/>
  <c r="AH52" i="6"/>
  <c r="AH55" i="6"/>
  <c r="AH61" i="6"/>
  <c r="AH50" i="6"/>
  <c r="AH102" i="6"/>
  <c r="AH178" i="6"/>
  <c r="AH166" i="6"/>
  <c r="AH14" i="6"/>
  <c r="AH226" i="6"/>
  <c r="AH104" i="6"/>
  <c r="AH188" i="6"/>
  <c r="AH206" i="6"/>
  <c r="AH91" i="6"/>
  <c r="AH175" i="6"/>
  <c r="AH139" i="6"/>
  <c r="AH65" i="6"/>
  <c r="AH229" i="6"/>
  <c r="AH81" i="6"/>
  <c r="AH203" i="6"/>
  <c r="AH95" i="6"/>
  <c r="AH204" i="6"/>
  <c r="AH150" i="6"/>
  <c r="AH42" i="6"/>
  <c r="AH236" i="6"/>
  <c r="AH246" i="6"/>
  <c r="AH174" i="6"/>
  <c r="AH44" i="6"/>
  <c r="AH88" i="6"/>
  <c r="AH145" i="6"/>
  <c r="AH82" i="6"/>
  <c r="AH68" i="6"/>
  <c r="AH202" i="6"/>
  <c r="AH238" i="6"/>
  <c r="AH115" i="6"/>
  <c r="AH192" i="6"/>
  <c r="AH227" i="6"/>
  <c r="AH114" i="6"/>
  <c r="AH101" i="6"/>
  <c r="AH84" i="6"/>
  <c r="AH96" i="6"/>
  <c r="AH189" i="6"/>
  <c r="AH119" i="6"/>
  <c r="AH146" i="6"/>
  <c r="AH157" i="6"/>
  <c r="AH54" i="6"/>
  <c r="AH132" i="6"/>
  <c r="AH194" i="6"/>
  <c r="AH47" i="6"/>
  <c r="AH184" i="6"/>
  <c r="AH121" i="6"/>
  <c r="AH205" i="6"/>
  <c r="AH124" i="6"/>
  <c r="AH161" i="6"/>
  <c r="AH63" i="6"/>
  <c r="AH131" i="6"/>
  <c r="AH22" i="6"/>
  <c r="AH144" i="6"/>
  <c r="AH24" i="6"/>
  <c r="AH237" i="6"/>
  <c r="AH49" i="6"/>
  <c r="AH240" i="6"/>
  <c r="AH153" i="6"/>
  <c r="AH128" i="6"/>
  <c r="AH224" i="6"/>
  <c r="AH21" i="6"/>
  <c r="AH20" i="6"/>
  <c r="AH182" i="6"/>
  <c r="AH40" i="6"/>
  <c r="AH93" i="6"/>
  <c r="AH141" i="6"/>
  <c r="AH127" i="6"/>
  <c r="AH97" i="6"/>
  <c r="AH142" i="6"/>
  <c r="AH225" i="6"/>
  <c r="AH137" i="6"/>
  <c r="AH83" i="6"/>
  <c r="AH221" i="6"/>
  <c r="AH32" i="6"/>
  <c r="AH28" i="6"/>
  <c r="AH245" i="6"/>
  <c r="AH193" i="6"/>
  <c r="AH53" i="6"/>
  <c r="AH155" i="6"/>
  <c r="AH105" i="6"/>
  <c r="AH239" i="6"/>
  <c r="AH108" i="6"/>
  <c r="AH212" i="6"/>
  <c r="AH76" i="6"/>
  <c r="AH62" i="6"/>
  <c r="AH125" i="6"/>
  <c r="AH111" i="6"/>
  <c r="AH191" i="6"/>
  <c r="AH35" i="6"/>
  <c r="AH77" i="6"/>
  <c r="AH196" i="6"/>
  <c r="AH167" i="6"/>
  <c r="AH45" i="6"/>
  <c r="AH181" i="6"/>
  <c r="AH98" i="6"/>
  <c r="AH216" i="6"/>
  <c r="AH151" i="6"/>
  <c r="AH59" i="6"/>
  <c r="AH215" i="6"/>
  <c r="AH219" i="6"/>
  <c r="AH79" i="6"/>
  <c r="AH90" i="6"/>
  <c r="AH107" i="6"/>
  <c r="AH154" i="6"/>
  <c r="AH46" i="6"/>
  <c r="AH209" i="6"/>
  <c r="AH73" i="6"/>
  <c r="AH213" i="6"/>
  <c r="AH58" i="6"/>
  <c r="AH207" i="6"/>
  <c r="AH106" i="6"/>
  <c r="AH135" i="6"/>
  <c r="AH169" i="6"/>
  <c r="AH86" i="6"/>
  <c r="AH34" i="6"/>
  <c r="AH322" i="6"/>
  <c r="AH12" i="6"/>
  <c r="AH251" i="6"/>
  <c r="AH152" i="6"/>
  <c r="AH233" i="6"/>
  <c r="AH16" i="6"/>
  <c r="AH248" i="6"/>
  <c r="AH110" i="6"/>
  <c r="AH19" i="6"/>
  <c r="AH249" i="6"/>
  <c r="AH74" i="6"/>
  <c r="AH43" i="6"/>
  <c r="AH26" i="6"/>
  <c r="AH130" i="6"/>
  <c r="AH232" i="6"/>
  <c r="AH252" i="6"/>
  <c r="AH250" i="6"/>
  <c r="AH33" i="6"/>
  <c r="AH247" i="6"/>
  <c r="AH241" i="6"/>
  <c r="AH253" i="6"/>
  <c r="AH75" i="6"/>
  <c r="AH254" i="6"/>
  <c r="AH17" i="6"/>
  <c r="AH18" i="6"/>
  <c r="AH262" i="6"/>
  <c r="AH270" i="6"/>
  <c r="AH264" i="6"/>
  <c r="AH268" i="6"/>
  <c r="AH283" i="6"/>
  <c r="AH300" i="6"/>
  <c r="AH267" i="6"/>
  <c r="AH273" i="6"/>
  <c r="AH274" i="6"/>
  <c r="AH277" i="6"/>
  <c r="AH257" i="6"/>
  <c r="AH258" i="6"/>
  <c r="AH278" i="6"/>
  <c r="AH269" i="6"/>
  <c r="AH284" i="6"/>
  <c r="AH313" i="6"/>
  <c r="AH295" i="6"/>
  <c r="AH276" i="6"/>
  <c r="AH316" i="6"/>
  <c r="AH303" i="6"/>
  <c r="AH285" i="6"/>
  <c r="AH286" i="6"/>
  <c r="AH306" i="6"/>
  <c r="AH272" i="6"/>
  <c r="AH271" i="6"/>
  <c r="AH289" i="6"/>
  <c r="AH311" i="6"/>
  <c r="AH305" i="6"/>
  <c r="AH259" i="6"/>
  <c r="AH298" i="6"/>
  <c r="H12" i="8"/>
  <c r="AH321" i="6"/>
  <c r="AH261" i="6"/>
  <c r="AH299" i="6"/>
  <c r="AH282" i="6"/>
  <c r="H12" i="9"/>
  <c r="AH288" i="6"/>
  <c r="AH294" i="6"/>
  <c r="AH312" i="6"/>
  <c r="AH280" i="6"/>
  <c r="AH320" i="6"/>
  <c r="AH281" i="6"/>
  <c r="AH309" i="6"/>
  <c r="AH307" i="6"/>
  <c r="AH291" i="6"/>
  <c r="AH310" i="6"/>
  <c r="AH317" i="6"/>
  <c r="AH293" i="6"/>
  <c r="AH290" i="6"/>
  <c r="AH318" i="6"/>
  <c r="AH319" i="6"/>
  <c r="AH279" i="6"/>
  <c r="AH304" i="6"/>
  <c r="AH315" i="6"/>
  <c r="I12" i="6"/>
  <c r="H493" i="8" l="1"/>
  <c r="I493" i="6"/>
  <c r="I7" i="6"/>
  <c r="L7" i="6"/>
  <c r="L493" i="6"/>
  <c r="F5" i="5"/>
  <c r="F492" i="5"/>
  <c r="H7" i="9"/>
  <c r="H493" i="9"/>
  <c r="N157" i="8"/>
  <c r="N245" i="8"/>
  <c r="N124" i="8"/>
  <c r="N205" i="8"/>
  <c r="N411" i="8"/>
  <c r="N401" i="8"/>
  <c r="N185" i="8"/>
  <c r="N226" i="8"/>
  <c r="N328" i="8"/>
  <c r="N236" i="8"/>
  <c r="N199" i="8"/>
  <c r="N251" i="8"/>
  <c r="N302" i="8"/>
  <c r="N182" i="8"/>
  <c r="N352" i="8"/>
  <c r="N407" i="8"/>
  <c r="N89" i="8"/>
  <c r="N293" i="8"/>
  <c r="N38" i="8"/>
  <c r="N295" i="8"/>
  <c r="N201" i="8"/>
  <c r="N438" i="8"/>
  <c r="N453" i="8"/>
  <c r="N465" i="8"/>
  <c r="N447" i="8"/>
  <c r="N92" i="8"/>
  <c r="N385" i="8"/>
  <c r="N172" i="8"/>
  <c r="N400" i="8"/>
  <c r="N83" i="8"/>
  <c r="N330" i="8"/>
  <c r="N288" i="8"/>
  <c r="N51" i="8"/>
  <c r="N366" i="8"/>
  <c r="N389" i="8"/>
  <c r="N414" i="8"/>
  <c r="N29" i="8"/>
  <c r="N104" i="8"/>
  <c r="N351" i="8"/>
  <c r="N289" i="8"/>
  <c r="N100" i="8"/>
  <c r="N363" i="8"/>
  <c r="N171" i="8"/>
  <c r="N264" i="8"/>
  <c r="N410" i="8"/>
  <c r="N481" i="8"/>
  <c r="N444" i="8"/>
  <c r="N435" i="8"/>
  <c r="N462" i="8"/>
  <c r="N437" i="8"/>
  <c r="N210" i="8"/>
  <c r="N423" i="8"/>
  <c r="N257" i="8"/>
  <c r="N307" i="8"/>
  <c r="N193" i="8"/>
  <c r="N85" i="8"/>
  <c r="N77" i="8"/>
  <c r="N273" i="8"/>
  <c r="N231" i="8"/>
  <c r="N24" i="8"/>
  <c r="N53" i="8"/>
  <c r="N129" i="8"/>
  <c r="N41" i="8"/>
  <c r="N319" i="8"/>
  <c r="N18" i="8"/>
  <c r="N272" i="8"/>
  <c r="N391" i="8"/>
  <c r="N154" i="8"/>
  <c r="N35" i="8"/>
  <c r="N469" i="8"/>
  <c r="N449" i="8"/>
  <c r="N484" i="8"/>
  <c r="N308" i="8"/>
  <c r="N416" i="8"/>
  <c r="N102" i="8"/>
  <c r="N184" i="8"/>
  <c r="N261" i="8"/>
  <c r="N373" i="8"/>
  <c r="N211" i="8"/>
  <c r="N126" i="8"/>
  <c r="N84" i="8"/>
  <c r="N415" i="8"/>
  <c r="N16" i="8"/>
  <c r="N378" i="8"/>
  <c r="N105" i="8"/>
  <c r="N336" i="8"/>
  <c r="N181" i="8"/>
  <c r="N133" i="8"/>
  <c r="N467" i="8"/>
  <c r="H7" i="8"/>
  <c r="N41" i="9"/>
  <c r="N407" i="9"/>
  <c r="N89" i="9"/>
  <c r="N415" i="9"/>
  <c r="N351" i="9"/>
  <c r="N129" i="9"/>
  <c r="N100" i="9"/>
  <c r="N293" i="9"/>
  <c r="N262" i="9"/>
  <c r="N319" i="9"/>
  <c r="N38" i="9"/>
  <c r="N420" i="9"/>
  <c r="N179" i="8"/>
  <c r="N427" i="8"/>
  <c r="N219" i="8"/>
  <c r="N412" i="8"/>
  <c r="N398" i="8"/>
  <c r="N361" i="8"/>
  <c r="N74" i="8"/>
  <c r="N395" i="8"/>
  <c r="N291" i="8"/>
  <c r="N258" i="8"/>
  <c r="N160" i="8"/>
  <c r="N52" i="8"/>
  <c r="N209" i="8"/>
  <c r="N273" i="9"/>
  <c r="N418" i="9"/>
  <c r="N402" i="9"/>
  <c r="N49" i="9"/>
  <c r="N430" i="9"/>
  <c r="N84" i="9"/>
  <c r="N237" i="9"/>
  <c r="N23" i="9"/>
  <c r="N200" i="9"/>
  <c r="N36" i="9"/>
  <c r="N124" i="9"/>
  <c r="N423" i="9"/>
  <c r="N261" i="9"/>
  <c r="N32" i="9"/>
  <c r="N406" i="9"/>
  <c r="N225" i="9"/>
  <c r="N71" i="9"/>
  <c r="N240" i="9"/>
  <c r="N234" i="9"/>
  <c r="N40" i="9"/>
  <c r="N72" i="9"/>
  <c r="N348" i="9"/>
  <c r="N226" i="9"/>
  <c r="N324" i="9"/>
  <c r="N334" i="9"/>
  <c r="N372" i="9"/>
  <c r="N57" i="9"/>
  <c r="N191" i="9"/>
  <c r="N164" i="9"/>
  <c r="N297" i="9"/>
  <c r="N206" i="9"/>
  <c r="N47" i="9"/>
  <c r="N431" i="9"/>
  <c r="N265" i="9"/>
  <c r="N203" i="9"/>
  <c r="N217" i="9"/>
  <c r="N67" i="9"/>
  <c r="N340" i="9"/>
  <c r="N375" i="9"/>
  <c r="N216" i="9"/>
  <c r="N371" i="9"/>
  <c r="N366" i="9"/>
  <c r="N51" i="9"/>
  <c r="N308" i="9"/>
  <c r="N278" i="9"/>
  <c r="N344" i="9"/>
  <c r="N136" i="9"/>
  <c r="N104" i="9"/>
  <c r="N190" i="9"/>
  <c r="N311" i="9"/>
  <c r="N105" i="9"/>
  <c r="N69" i="9"/>
  <c r="N155" i="9"/>
  <c r="N171" i="9"/>
  <c r="N201" i="9"/>
  <c r="N79" i="9"/>
  <c r="N133" i="9"/>
  <c r="N18" i="9"/>
  <c r="N186" i="9"/>
  <c r="N287" i="9"/>
  <c r="N414" i="9"/>
  <c r="N245" i="9"/>
  <c r="N172" i="9"/>
  <c r="N425" i="9"/>
  <c r="N305" i="9"/>
  <c r="N382" i="9"/>
  <c r="N189" i="9"/>
  <c r="N294" i="9"/>
  <c r="N178" i="9"/>
  <c r="N403" i="9"/>
  <c r="N259" i="9"/>
  <c r="N77" i="9"/>
  <c r="N60" i="9"/>
  <c r="N337" i="9"/>
  <c r="N24" i="9"/>
  <c r="N422" i="9"/>
  <c r="N30" i="9"/>
  <c r="N277" i="9"/>
  <c r="N328" i="9"/>
  <c r="N400" i="9"/>
  <c r="N102" i="9"/>
  <c r="N166" i="9"/>
  <c r="N183" i="9"/>
  <c r="N381" i="9"/>
  <c r="N170" i="9"/>
  <c r="N61" i="9"/>
  <c r="N347" i="9"/>
  <c r="N122" i="9"/>
  <c r="N374" i="9"/>
  <c r="N317" i="9"/>
  <c r="N280" i="9"/>
  <c r="N228" i="9"/>
  <c r="N27" i="9"/>
  <c r="N405" i="9"/>
  <c r="N110" i="9"/>
  <c r="N386" i="9"/>
  <c r="N99" i="9"/>
  <c r="N109" i="9"/>
  <c r="N376" i="9"/>
  <c r="N54" i="9"/>
  <c r="N91" i="9"/>
  <c r="N108" i="9"/>
  <c r="N368" i="9"/>
  <c r="N70" i="9"/>
  <c r="N342" i="9"/>
  <c r="N383" i="9"/>
  <c r="N222" i="9"/>
  <c r="N416" i="9"/>
  <c r="N236" i="9"/>
  <c r="N199" i="9"/>
  <c r="N325" i="9"/>
  <c r="N362" i="9"/>
  <c r="N16" i="9"/>
  <c r="N336" i="9"/>
  <c r="N378" i="9"/>
  <c r="N391" i="9"/>
  <c r="N229" i="9"/>
  <c r="N130" i="9"/>
  <c r="N329" i="9"/>
  <c r="N393" i="9"/>
  <c r="N176" i="9"/>
  <c r="N363" i="9"/>
  <c r="N353" i="9"/>
  <c r="N410" i="9"/>
  <c r="N169" i="9"/>
  <c r="N369" i="9"/>
  <c r="N302" i="9"/>
  <c r="N426" i="9"/>
  <c r="N90" i="9"/>
  <c r="N29" i="9"/>
  <c r="N211" i="9"/>
  <c r="N188" i="9"/>
  <c r="N157" i="9"/>
  <c r="N182" i="9"/>
  <c r="N385" i="9"/>
  <c r="N333" i="9"/>
  <c r="N126" i="9"/>
  <c r="N123" i="9"/>
  <c r="N15" i="9"/>
  <c r="N399" i="9"/>
  <c r="N134" i="9"/>
  <c r="N83" i="9"/>
  <c r="N94" i="9"/>
  <c r="N389" i="9"/>
  <c r="N163" i="9"/>
  <c r="N121" i="9"/>
  <c r="N285" i="9"/>
  <c r="N151" i="9"/>
  <c r="N296" i="9"/>
  <c r="N298" i="9"/>
  <c r="N411" i="9"/>
  <c r="N330" i="9"/>
  <c r="N115" i="9"/>
  <c r="N165" i="9"/>
  <c r="N88" i="9"/>
  <c r="N314" i="9"/>
  <c r="N153" i="9"/>
  <c r="N303" i="9"/>
  <c r="N13" i="9"/>
  <c r="N357" i="9"/>
  <c r="N167" i="9"/>
  <c r="N251" i="9"/>
  <c r="N111" i="9"/>
  <c r="N255" i="9"/>
  <c r="N318" i="9"/>
  <c r="N135" i="9"/>
  <c r="N253" i="9"/>
  <c r="N332" i="9"/>
  <c r="N401" i="9"/>
  <c r="N193" i="9"/>
  <c r="N352" i="9"/>
  <c r="N162" i="9"/>
  <c r="N316" i="9"/>
  <c r="N78" i="9"/>
  <c r="N152" i="9"/>
  <c r="N187" i="9"/>
  <c r="N205" i="9"/>
  <c r="N33" i="9"/>
  <c r="N428" i="9"/>
  <c r="N177" i="9"/>
  <c r="N254" i="9"/>
  <c r="N97" i="9"/>
  <c r="N264" i="9"/>
  <c r="N355" i="9"/>
  <c r="N364" i="9"/>
  <c r="N248" i="9"/>
  <c r="N103" i="9"/>
  <c r="N272" i="9"/>
  <c r="N35" i="9"/>
  <c r="N307" i="9"/>
  <c r="N247" i="9"/>
  <c r="N263" i="9"/>
  <c r="N210" i="9"/>
  <c r="N433" i="9"/>
  <c r="N58" i="9"/>
  <c r="N421" i="9"/>
  <c r="N53" i="9"/>
  <c r="N85" i="9"/>
  <c r="N365" i="9"/>
  <c r="N286" i="9"/>
  <c r="N231" i="9"/>
  <c r="N409" i="9"/>
  <c r="N28" i="9"/>
  <c r="N256" i="9"/>
  <c r="N238" i="9"/>
  <c r="N284" i="9"/>
  <c r="N180" i="9"/>
  <c r="N373" i="9"/>
  <c r="N185" i="9"/>
  <c r="N65" i="9"/>
  <c r="N44" i="9"/>
  <c r="N147" i="9"/>
  <c r="N306" i="9"/>
  <c r="N244" i="9"/>
  <c r="N112" i="9"/>
  <c r="N50" i="9"/>
  <c r="N143" i="9"/>
  <c r="N257" i="9"/>
  <c r="N45" i="9"/>
  <c r="N184" i="9"/>
  <c r="N156" i="9"/>
  <c r="N267" i="9"/>
  <c r="N145" i="9"/>
  <c r="N138" i="9"/>
  <c r="N220" i="9"/>
  <c r="N268" i="9"/>
  <c r="N202" i="9"/>
  <c r="N137" i="9"/>
  <c r="N338" i="9"/>
  <c r="N260" i="9"/>
  <c r="N174" i="9"/>
  <c r="N288" i="9"/>
  <c r="N86" i="9"/>
  <c r="N146" i="9"/>
  <c r="N380" i="9"/>
  <c r="N149" i="9"/>
  <c r="N195" i="9"/>
  <c r="N37" i="9"/>
  <c r="N43" i="9"/>
  <c r="N101" i="9"/>
  <c r="N63" i="9"/>
  <c r="N92" i="9"/>
  <c r="N181" i="9"/>
  <c r="N80" i="9"/>
  <c r="N154" i="9"/>
  <c r="N93" i="9"/>
  <c r="N150" i="9"/>
  <c r="N87" i="9"/>
  <c r="N196" i="9"/>
  <c r="N295" i="9"/>
  <c r="N309" i="9"/>
  <c r="N289" i="9"/>
  <c r="N349" i="9"/>
  <c r="N429" i="8"/>
  <c r="N270" i="8"/>
  <c r="N425" i="8"/>
  <c r="N305" i="8"/>
  <c r="N382" i="8"/>
  <c r="N17" i="8"/>
  <c r="N326" i="8"/>
  <c r="N246" i="8"/>
  <c r="N81" i="8"/>
  <c r="N266" i="8"/>
  <c r="N312" i="8"/>
  <c r="N114" i="8"/>
  <c r="N215" i="8"/>
  <c r="N422" i="8"/>
  <c r="N30" i="8"/>
  <c r="N277" i="8"/>
  <c r="N119" i="8"/>
  <c r="N75" i="8"/>
  <c r="N354" i="8"/>
  <c r="N232" i="8"/>
  <c r="N44" i="8"/>
  <c r="N147" i="8"/>
  <c r="N306" i="8"/>
  <c r="N244" i="8"/>
  <c r="N112" i="8"/>
  <c r="N50" i="8"/>
  <c r="N143" i="8"/>
  <c r="N327" i="8"/>
  <c r="N55" i="8"/>
  <c r="N127" i="8"/>
  <c r="N280" i="8"/>
  <c r="N228" i="8"/>
  <c r="N27" i="8"/>
  <c r="N145" i="8"/>
  <c r="N138" i="8"/>
  <c r="N220" i="8"/>
  <c r="N268" i="8"/>
  <c r="N202" i="8"/>
  <c r="N137" i="8"/>
  <c r="N338" i="8"/>
  <c r="N260" i="8"/>
  <c r="N310" i="8"/>
  <c r="N86" i="8"/>
  <c r="N146" i="8"/>
  <c r="N380" i="8"/>
  <c r="N149" i="8"/>
  <c r="N242" i="8"/>
  <c r="N66" i="8"/>
  <c r="N128" i="8"/>
  <c r="N315" i="8"/>
  <c r="N140" i="8"/>
  <c r="N113" i="8"/>
  <c r="N198" i="8"/>
  <c r="N125" i="8"/>
  <c r="N396" i="8"/>
  <c r="N418" i="8"/>
  <c r="N402" i="8"/>
  <c r="N49" i="8"/>
  <c r="N131" i="8"/>
  <c r="N350" i="8"/>
  <c r="N335" i="8"/>
  <c r="N59" i="8"/>
  <c r="N139" i="8"/>
  <c r="N95" i="8"/>
  <c r="N358" i="8"/>
  <c r="N331" i="8"/>
  <c r="N159" i="8"/>
  <c r="N175" i="8"/>
  <c r="N282" i="8"/>
  <c r="N163" i="8"/>
  <c r="N121" i="8"/>
  <c r="N285" i="8"/>
  <c r="N151" i="8"/>
  <c r="N296" i="8"/>
  <c r="N298" i="8"/>
  <c r="N320" i="8"/>
  <c r="N224" i="8"/>
  <c r="N324" i="8"/>
  <c r="N334" i="8"/>
  <c r="N372" i="8"/>
  <c r="N314" i="8"/>
  <c r="N153" i="8"/>
  <c r="N303" i="8"/>
  <c r="N13" i="8"/>
  <c r="N357" i="8"/>
  <c r="N167" i="8"/>
  <c r="N419" i="8"/>
  <c r="N111" i="8"/>
  <c r="N255" i="8"/>
  <c r="N318" i="8"/>
  <c r="N135" i="8"/>
  <c r="N253" i="8"/>
  <c r="N332" i="8"/>
  <c r="N117" i="8"/>
  <c r="N212" i="8"/>
  <c r="N300" i="8"/>
  <c r="N230" i="8"/>
  <c r="N21" i="8"/>
  <c r="N413" i="8"/>
  <c r="N274" i="8"/>
  <c r="N299" i="8"/>
  <c r="N22" i="8"/>
  <c r="N144" i="8"/>
  <c r="N214" i="8"/>
  <c r="N241" i="8"/>
  <c r="N235" i="8"/>
  <c r="N392" i="8"/>
  <c r="N243" i="8"/>
  <c r="N281" i="8"/>
  <c r="N250" i="8"/>
  <c r="N204" i="8"/>
  <c r="N370" i="8"/>
  <c r="N194" i="8"/>
  <c r="N48" i="8"/>
  <c r="N283" i="8"/>
  <c r="N39" i="8"/>
  <c r="N433" i="8"/>
  <c r="N58" i="8"/>
  <c r="N313" i="8"/>
  <c r="N417" i="8"/>
  <c r="N56" i="8"/>
  <c r="N141" i="8"/>
  <c r="N339" i="8"/>
  <c r="N116" i="8"/>
  <c r="N106" i="8"/>
  <c r="N379" i="8"/>
  <c r="N409" i="8"/>
  <c r="N28" i="8"/>
  <c r="N256" i="8"/>
  <c r="N238" i="8"/>
  <c r="N290" i="8"/>
  <c r="N384" i="8"/>
  <c r="N377" i="8"/>
  <c r="N76" i="8"/>
  <c r="N269" i="8"/>
  <c r="N170" i="8"/>
  <c r="N61" i="8"/>
  <c r="N347" i="8"/>
  <c r="N122" i="8"/>
  <c r="N374" i="8"/>
  <c r="N424" i="8"/>
  <c r="N387" i="8"/>
  <c r="N20" i="8"/>
  <c r="N82" i="8"/>
  <c r="N161" i="8"/>
  <c r="N156" i="8"/>
  <c r="N267" i="8"/>
  <c r="N405" i="8"/>
  <c r="N110" i="8"/>
  <c r="N386" i="8"/>
  <c r="N99" i="8"/>
  <c r="N109" i="8"/>
  <c r="N376" i="8"/>
  <c r="N54" i="8"/>
  <c r="N91" i="8"/>
  <c r="N108" i="8"/>
  <c r="N368" i="8"/>
  <c r="N322" i="8"/>
  <c r="N218" i="8"/>
  <c r="N70" i="8"/>
  <c r="N342" i="8"/>
  <c r="N383" i="8"/>
  <c r="N432" i="8"/>
  <c r="N120" i="8"/>
  <c r="N158" i="8"/>
  <c r="N98" i="8"/>
  <c r="N367" i="8"/>
  <c r="N359" i="8"/>
  <c r="N227" i="8"/>
  <c r="N73" i="8"/>
  <c r="N223" i="8"/>
  <c r="N356" i="8"/>
  <c r="N64" i="8"/>
  <c r="N341" i="8"/>
  <c r="N343" i="8"/>
  <c r="N96" i="8"/>
  <c r="N252" i="8"/>
  <c r="N68" i="8"/>
  <c r="N26" i="8"/>
  <c r="N426" i="8"/>
  <c r="N90" i="8"/>
  <c r="N173" i="8"/>
  <c r="N394" i="8"/>
  <c r="N397" i="8"/>
  <c r="N118" i="8"/>
  <c r="N345" i="8"/>
  <c r="N197" i="8"/>
  <c r="N388" i="8"/>
  <c r="N346" i="8"/>
  <c r="N221" i="8"/>
  <c r="N207" i="8"/>
  <c r="N192" i="8"/>
  <c r="N399" i="8"/>
  <c r="N134" i="8"/>
  <c r="N132" i="8"/>
  <c r="N292" i="8"/>
  <c r="N279" i="8"/>
  <c r="N406" i="8"/>
  <c r="N225" i="8"/>
  <c r="N71" i="8"/>
  <c r="N240" i="8"/>
  <c r="N234" i="8"/>
  <c r="N40" i="8"/>
  <c r="N72" i="8"/>
  <c r="N348" i="8"/>
  <c r="N408" i="8"/>
  <c r="N62" i="8"/>
  <c r="N107" i="8"/>
  <c r="N276" i="8"/>
  <c r="N208" i="8"/>
  <c r="N165" i="8"/>
  <c r="N88" i="8"/>
  <c r="N57" i="8"/>
  <c r="N191" i="8"/>
  <c r="N164" i="8"/>
  <c r="N297" i="8"/>
  <c r="N206" i="8"/>
  <c r="N47" i="8"/>
  <c r="N213" i="8"/>
  <c r="N142" i="8"/>
  <c r="N431" i="8"/>
  <c r="N265" i="8"/>
  <c r="N203" i="8"/>
  <c r="N217" i="8"/>
  <c r="N67" i="8"/>
  <c r="N340" i="8"/>
  <c r="N375" i="8"/>
  <c r="N216" i="8"/>
  <c r="N14" i="8"/>
  <c r="N42" i="8"/>
  <c r="N46" i="8"/>
  <c r="N275" i="8"/>
  <c r="N271" i="8"/>
  <c r="N360" i="8"/>
  <c r="N148" i="8"/>
  <c r="N249" i="8"/>
  <c r="N404" i="8"/>
  <c r="N31" i="8"/>
  <c r="N168" i="8"/>
  <c r="N304" i="8"/>
  <c r="N239" i="8"/>
  <c r="N233" i="8"/>
  <c r="N34" i="8"/>
  <c r="H302" i="36"/>
  <c r="J488" i="5" l="1"/>
  <c r="J485" i="5"/>
  <c r="N485" i="5" s="1"/>
  <c r="J486" i="5"/>
  <c r="N486" i="5" s="1"/>
  <c r="J491" i="5"/>
  <c r="N491" i="5" s="1"/>
  <c r="J490" i="5"/>
  <c r="N490" i="5" s="1"/>
  <c r="L301" i="8"/>
  <c r="AC301" i="8" s="1"/>
  <c r="L301" i="9"/>
  <c r="J464" i="5"/>
  <c r="N464" i="5" s="1"/>
  <c r="M464" i="5" s="1"/>
  <c r="J450" i="5"/>
  <c r="N450" i="5" s="1"/>
  <c r="J473" i="5"/>
  <c r="N473" i="5" s="1"/>
  <c r="M473" i="5" s="1"/>
  <c r="J443" i="5"/>
  <c r="N443" i="5" s="1"/>
  <c r="M443" i="5" s="1"/>
  <c r="J442" i="5"/>
  <c r="N442" i="5" s="1"/>
  <c r="M442" i="5" s="1"/>
  <c r="J444" i="5"/>
  <c r="N444" i="5" s="1"/>
  <c r="M444" i="5" s="1"/>
  <c r="J476" i="5"/>
  <c r="N476" i="5" s="1"/>
  <c r="M476" i="5" s="1"/>
  <c r="J436" i="5"/>
  <c r="N436" i="5" s="1"/>
  <c r="M436" i="5" s="1"/>
  <c r="J462" i="5"/>
  <c r="N462" i="5" s="1"/>
  <c r="J469" i="5"/>
  <c r="N469" i="5" s="1"/>
  <c r="M469" i="5" s="1"/>
  <c r="J472" i="5"/>
  <c r="N472" i="5" s="1"/>
  <c r="M472" i="5" s="1"/>
  <c r="J471" i="5"/>
  <c r="N471" i="5" s="1"/>
  <c r="J457" i="5"/>
  <c r="N457" i="5" s="1"/>
  <c r="M457" i="5" s="1"/>
  <c r="J463" i="5"/>
  <c r="N463" i="5" s="1"/>
  <c r="M463" i="5" s="1"/>
  <c r="J474" i="5"/>
  <c r="N474" i="5" s="1"/>
  <c r="M474" i="5" s="1"/>
  <c r="J454" i="5"/>
  <c r="N454" i="5" s="1"/>
  <c r="M454" i="5" s="1"/>
  <c r="J479" i="5"/>
  <c r="N479" i="5" s="1"/>
  <c r="J452" i="5"/>
  <c r="N452" i="5" s="1"/>
  <c r="M452" i="5" s="1"/>
  <c r="J449" i="5"/>
  <c r="N449" i="5" s="1"/>
  <c r="M449" i="5" s="1"/>
  <c r="J431" i="5"/>
  <c r="N431" i="5" s="1"/>
  <c r="M431" i="5" s="1"/>
  <c r="J459" i="5"/>
  <c r="N459" i="5" s="1"/>
  <c r="M459" i="5" s="1"/>
  <c r="J453" i="5"/>
  <c r="N453" i="5" s="1"/>
  <c r="M453" i="5" s="1"/>
  <c r="J455" i="5"/>
  <c r="N455" i="5" s="1"/>
  <c r="J480" i="5"/>
  <c r="N480" i="5" s="1"/>
  <c r="M480" i="5" s="1"/>
  <c r="J482" i="5"/>
  <c r="N482" i="5" s="1"/>
  <c r="M482" i="5" s="1"/>
  <c r="J446" i="5"/>
  <c r="N446" i="5" s="1"/>
  <c r="M446" i="5" s="1"/>
  <c r="J437" i="5"/>
  <c r="N437" i="5" s="1"/>
  <c r="M437" i="5" s="1"/>
  <c r="N488" i="5"/>
  <c r="J489" i="5"/>
  <c r="N489" i="5" s="1"/>
  <c r="J460" i="5"/>
  <c r="N460" i="5" s="1"/>
  <c r="J478" i="5"/>
  <c r="N478" i="5" s="1"/>
  <c r="J438" i="5"/>
  <c r="N438" i="5" s="1"/>
  <c r="J458" i="5"/>
  <c r="N458" i="5" s="1"/>
  <c r="J461" i="5"/>
  <c r="N461" i="5" s="1"/>
  <c r="J433" i="5"/>
  <c r="N433" i="5" s="1"/>
  <c r="J439" i="5"/>
  <c r="N439" i="5" s="1"/>
  <c r="M439" i="5" s="1"/>
  <c r="J481" i="5"/>
  <c r="N481" i="5" s="1"/>
  <c r="M481" i="5" s="1"/>
  <c r="J475" i="5"/>
  <c r="N475" i="5" s="1"/>
  <c r="M475" i="5" s="1"/>
  <c r="J441" i="5"/>
  <c r="N441" i="5" s="1"/>
  <c r="M441" i="5" s="1"/>
  <c r="J432" i="5"/>
  <c r="N432" i="5" s="1"/>
  <c r="J445" i="5"/>
  <c r="N445" i="5" s="1"/>
  <c r="M445" i="5" s="1"/>
  <c r="J477" i="5"/>
  <c r="N477" i="5" s="1"/>
  <c r="M477" i="5" s="1"/>
  <c r="J435" i="5"/>
  <c r="N435" i="5" s="1"/>
  <c r="M435" i="5" s="1"/>
  <c r="J487" i="5"/>
  <c r="N487" i="5" s="1"/>
  <c r="J468" i="5"/>
  <c r="N468" i="5" s="1"/>
  <c r="J456" i="5"/>
  <c r="N456" i="5" s="1"/>
  <c r="J448" i="5"/>
  <c r="N448" i="5" s="1"/>
  <c r="M448" i="5" s="1"/>
  <c r="J466" i="5"/>
  <c r="N466" i="5" s="1"/>
  <c r="M466" i="5" s="1"/>
  <c r="J483" i="5"/>
  <c r="N483" i="5" s="1"/>
  <c r="M483" i="5" s="1"/>
  <c r="J465" i="5"/>
  <c r="N465" i="5" s="1"/>
  <c r="M465" i="5" s="1"/>
  <c r="J440" i="5"/>
  <c r="N440" i="5" s="1"/>
  <c r="M440" i="5" s="1"/>
  <c r="J434" i="5"/>
  <c r="N434" i="5" s="1"/>
  <c r="J484" i="5"/>
  <c r="N484" i="5" s="1"/>
  <c r="M484" i="5" s="1"/>
  <c r="J470" i="5"/>
  <c r="N470" i="5" s="1"/>
  <c r="J451" i="5"/>
  <c r="N451" i="5" s="1"/>
  <c r="M451" i="5" s="1"/>
  <c r="J467" i="5"/>
  <c r="N467" i="5" s="1"/>
  <c r="M467" i="5" s="1"/>
  <c r="J447" i="5"/>
  <c r="N447" i="5" s="1"/>
  <c r="M447" i="5" s="1"/>
  <c r="AH302" i="36"/>
  <c r="M301" i="6"/>
  <c r="AD301" i="6" s="1"/>
  <c r="H324" i="36"/>
  <c r="L323" i="8" l="1"/>
  <c r="AC323" i="8" s="1"/>
  <c r="L323" i="9"/>
  <c r="AH324" i="36"/>
  <c r="M323" i="6"/>
  <c r="AD323" i="6" s="1"/>
  <c r="M301" i="8"/>
  <c r="AD301" i="8"/>
  <c r="M301" i="9"/>
  <c r="AC301" i="9"/>
  <c r="N301" i="9" l="1"/>
  <c r="N301" i="8"/>
  <c r="M323" i="8"/>
  <c r="AD323" i="8"/>
  <c r="M323" i="9"/>
  <c r="AC323" i="9"/>
  <c r="N323" i="9" l="1"/>
  <c r="N323" i="8"/>
  <c r="AJ13" i="36"/>
  <c r="AH13" i="36"/>
  <c r="AK13" i="36"/>
  <c r="AA12" i="6" l="1"/>
  <c r="W12" i="9"/>
  <c r="Z12" i="6"/>
  <c r="V12" i="8"/>
  <c r="V493" i="8" s="1"/>
  <c r="T12" i="9"/>
  <c r="AE12" i="4"/>
  <c r="X12" i="9"/>
  <c r="M12" i="6"/>
  <c r="W12" i="8"/>
  <c r="W493" i="8" s="1"/>
  <c r="X12" i="8"/>
  <c r="AN12" i="4" l="1"/>
  <c r="AN493" i="4" s="1"/>
  <c r="AE493" i="4"/>
  <c r="T493" i="6"/>
  <c r="T7" i="6"/>
  <c r="Z493" i="6"/>
  <c r="Z7" i="6"/>
  <c r="W7" i="9"/>
  <c r="W493" i="9"/>
  <c r="T7" i="9"/>
  <c r="T493" i="9"/>
  <c r="AE7" i="4"/>
  <c r="Z12" i="9"/>
  <c r="Y12" i="9"/>
  <c r="V7" i="8"/>
  <c r="Y12" i="8"/>
  <c r="AC12" i="8" s="1"/>
  <c r="Z12" i="8"/>
  <c r="W7" i="8"/>
  <c r="D12" i="9"/>
  <c r="D12" i="8"/>
  <c r="AB12" i="6"/>
  <c r="H322" i="36"/>
  <c r="AQ12" i="4" l="1"/>
  <c r="AN7" i="4"/>
  <c r="L321" i="8"/>
  <c r="AC321" i="8" s="1"/>
  <c r="L321" i="9"/>
  <c r="AH322" i="36"/>
  <c r="M321" i="6"/>
  <c r="AD321" i="6" s="1"/>
  <c r="AD12" i="6"/>
  <c r="AC12" i="9"/>
  <c r="D31" i="22"/>
  <c r="F31" i="22" s="1"/>
  <c r="M12" i="9"/>
  <c r="G31" i="22"/>
  <c r="I31" i="22" s="1"/>
  <c r="E6" i="22"/>
  <c r="F6" i="22"/>
  <c r="F29" i="22"/>
  <c r="F14" i="22"/>
  <c r="AH329" i="6"/>
  <c r="AH337" i="6"/>
  <c r="AH331" i="6"/>
  <c r="AH344" i="6"/>
  <c r="AH335" i="6"/>
  <c r="AH339" i="6"/>
  <c r="AH346" i="6"/>
  <c r="AH347" i="6"/>
  <c r="AH351" i="6"/>
  <c r="AH326" i="6"/>
  <c r="AH341" i="6"/>
  <c r="AH353" i="6"/>
  <c r="AH324" i="6"/>
  <c r="AH350" i="6"/>
  <c r="AH327" i="6"/>
  <c r="AH340" i="6"/>
  <c r="AH349" i="6"/>
  <c r="AH354" i="6"/>
  <c r="AH345" i="6"/>
  <c r="AH357" i="6"/>
  <c r="AH342" i="6"/>
  <c r="AH328" i="6"/>
  <c r="AH348" i="6"/>
  <c r="AH330" i="6"/>
  <c r="AH356" i="6"/>
  <c r="AH355" i="6"/>
  <c r="AH334" i="6"/>
  <c r="AH332" i="6"/>
  <c r="AH343" i="6"/>
  <c r="AH352" i="6"/>
  <c r="AH338" i="6"/>
  <c r="AH336" i="6"/>
  <c r="AH333" i="6"/>
  <c r="AH325" i="6"/>
  <c r="M321" i="8" l="1"/>
  <c r="AD321" i="8"/>
  <c r="M321" i="9"/>
  <c r="AC321" i="9"/>
  <c r="N12" i="9"/>
  <c r="G30" i="22"/>
  <c r="I30" i="22" s="1"/>
  <c r="BD12" i="4"/>
  <c r="AX12" i="4"/>
  <c r="J11" i="5"/>
  <c r="N11" i="5" s="1"/>
  <c r="J227" i="5"/>
  <c r="N227" i="5" s="1"/>
  <c r="J235" i="5"/>
  <c r="N235" i="5" s="1"/>
  <c r="J226" i="5"/>
  <c r="N226" i="5" s="1"/>
  <c r="J271" i="5"/>
  <c r="N271" i="5" s="1"/>
  <c r="J277" i="5"/>
  <c r="N277" i="5" s="1"/>
  <c r="J285" i="5"/>
  <c r="N285" i="5" s="1"/>
  <c r="J291" i="5"/>
  <c r="N291" i="5" s="1"/>
  <c r="J299" i="5"/>
  <c r="N299" i="5" s="1"/>
  <c r="J307" i="5"/>
  <c r="N307" i="5" s="1"/>
  <c r="J211" i="5"/>
  <c r="N211" i="5" s="1"/>
  <c r="J219" i="5"/>
  <c r="N219" i="5" s="1"/>
  <c r="M219" i="5" s="1"/>
  <c r="J210" i="5"/>
  <c r="N210" i="5" s="1"/>
  <c r="M210" i="5" s="1"/>
  <c r="J218" i="5"/>
  <c r="N218" i="5" s="1"/>
  <c r="J261" i="5"/>
  <c r="N261" i="5" s="1"/>
  <c r="J266" i="5"/>
  <c r="N266" i="5" s="1"/>
  <c r="J267" i="5"/>
  <c r="N267" i="5" s="1"/>
  <c r="J273" i="5"/>
  <c r="N273" i="5" s="1"/>
  <c r="J281" i="5"/>
  <c r="N281" i="5" s="1"/>
  <c r="J287" i="5"/>
  <c r="N287" i="5" s="1"/>
  <c r="J280" i="5"/>
  <c r="N280" i="5" s="1"/>
  <c r="J286" i="5"/>
  <c r="N286" i="5" s="1"/>
  <c r="M286" i="5" s="1"/>
  <c r="J294" i="5"/>
  <c r="N294" i="5" s="1"/>
  <c r="J302" i="5"/>
  <c r="N302" i="5" s="1"/>
  <c r="J310" i="5"/>
  <c r="N310" i="5" s="1"/>
  <c r="J319" i="5"/>
  <c r="N319" i="5" s="1"/>
  <c r="J315" i="5"/>
  <c r="N315" i="5" s="1"/>
  <c r="M315" i="5" s="1"/>
  <c r="J330" i="5"/>
  <c r="N330" i="5" s="1"/>
  <c r="J303" i="5"/>
  <c r="N303" i="5" s="1"/>
  <c r="J314" i="5"/>
  <c r="N314" i="5" s="1"/>
  <c r="J326" i="5"/>
  <c r="N326" i="5" s="1"/>
  <c r="J329" i="5"/>
  <c r="N329" i="5" s="1"/>
  <c r="J295" i="5"/>
  <c r="N295" i="5" s="1"/>
  <c r="M295" i="5" s="1"/>
  <c r="J311" i="5"/>
  <c r="N311" i="5" s="1"/>
  <c r="M311" i="5" s="1"/>
  <c r="J323" i="5"/>
  <c r="N323" i="5" s="1"/>
  <c r="J327" i="5"/>
  <c r="N327" i="5" s="1"/>
  <c r="J334" i="5"/>
  <c r="N334" i="5" s="1"/>
  <c r="J399" i="5"/>
  <c r="N399" i="5" s="1"/>
  <c r="J414" i="5"/>
  <c r="N414" i="5" s="1"/>
  <c r="J430" i="5"/>
  <c r="N430" i="5" s="1"/>
  <c r="J406" i="5"/>
  <c r="N406" i="5" s="1"/>
  <c r="J372" i="5"/>
  <c r="N372" i="5" s="1"/>
  <c r="J401" i="5"/>
  <c r="N401" i="5" s="1"/>
  <c r="J381" i="5"/>
  <c r="N381" i="5" s="1"/>
  <c r="J402" i="5"/>
  <c r="N402" i="5" s="1"/>
  <c r="J322" i="5"/>
  <c r="N322" i="5" s="1"/>
  <c r="J316" i="5"/>
  <c r="N316" i="5" s="1"/>
  <c r="J300" i="5"/>
  <c r="N300" i="5" s="1"/>
  <c r="J336" i="5"/>
  <c r="N336" i="5" s="1"/>
  <c r="J304" i="5"/>
  <c r="N304" i="5" s="1"/>
  <c r="J298" i="5"/>
  <c r="N298" i="5" s="1"/>
  <c r="J264" i="5"/>
  <c r="N264" i="5" s="1"/>
  <c r="J313" i="5"/>
  <c r="N313" i="5" s="1"/>
  <c r="J283" i="5"/>
  <c r="N283" i="5" s="1"/>
  <c r="J276" i="5"/>
  <c r="N276" i="5" s="1"/>
  <c r="J270" i="5"/>
  <c r="N270" i="5" s="1"/>
  <c r="J258" i="5"/>
  <c r="N258" i="5" s="1"/>
  <c r="M258" i="5" s="1"/>
  <c r="J250" i="5"/>
  <c r="N250" i="5" s="1"/>
  <c r="J214" i="5"/>
  <c r="N214" i="5" s="1"/>
  <c r="J208" i="5"/>
  <c r="N208" i="5" s="1"/>
  <c r="J192" i="5"/>
  <c r="N192" i="5" s="1"/>
  <c r="J184" i="5"/>
  <c r="N184" i="5" s="1"/>
  <c r="J176" i="5"/>
  <c r="N176" i="5" s="1"/>
  <c r="J168" i="5"/>
  <c r="N168" i="5" s="1"/>
  <c r="M168" i="5" s="1"/>
  <c r="J160" i="5"/>
  <c r="N160" i="5" s="1"/>
  <c r="M160" i="5" s="1"/>
  <c r="J152" i="5"/>
  <c r="N152" i="5" s="1"/>
  <c r="J255" i="5"/>
  <c r="N255" i="5" s="1"/>
  <c r="J248" i="5"/>
  <c r="N248" i="5" s="1"/>
  <c r="J240" i="5"/>
  <c r="N240" i="5" s="1"/>
  <c r="J193" i="5"/>
  <c r="N193" i="5" s="1"/>
  <c r="J221" i="5"/>
  <c r="N221" i="5" s="1"/>
  <c r="M221" i="5" s="1"/>
  <c r="J217" i="5"/>
  <c r="N217" i="5" s="1"/>
  <c r="J197" i="5"/>
  <c r="N197" i="5" s="1"/>
  <c r="J223" i="5"/>
  <c r="N223" i="5" s="1"/>
  <c r="J207" i="5"/>
  <c r="N207" i="5" s="1"/>
  <c r="J186" i="5"/>
  <c r="N186" i="5" s="1"/>
  <c r="J178" i="5"/>
  <c r="N178" i="5" s="1"/>
  <c r="J170" i="5"/>
  <c r="N170" i="5" s="1"/>
  <c r="J162" i="5"/>
  <c r="N162" i="5" s="1"/>
  <c r="J154" i="5"/>
  <c r="N154" i="5" s="1"/>
  <c r="M154" i="5" s="1"/>
  <c r="J201" i="5"/>
  <c r="N201" i="5" s="1"/>
  <c r="J114" i="5"/>
  <c r="N114" i="5" s="1"/>
  <c r="J115" i="5"/>
  <c r="N115" i="5" s="1"/>
  <c r="M115" i="5" s="1"/>
  <c r="J107" i="5"/>
  <c r="N107" i="5" s="1"/>
  <c r="M107" i="5" s="1"/>
  <c r="J99" i="5"/>
  <c r="N99" i="5" s="1"/>
  <c r="J113" i="5"/>
  <c r="N113" i="5" s="1"/>
  <c r="M113" i="5" s="1"/>
  <c r="J105" i="5"/>
  <c r="N105" i="5" s="1"/>
  <c r="J97" i="5"/>
  <c r="N97" i="5" s="1"/>
  <c r="J35" i="5"/>
  <c r="N35" i="5" s="1"/>
  <c r="J31" i="5"/>
  <c r="N31" i="5" s="1"/>
  <c r="J42" i="5"/>
  <c r="N42" i="5" s="1"/>
  <c r="J20" i="5"/>
  <c r="N20" i="5" s="1"/>
  <c r="J10" i="5"/>
  <c r="N10" i="5" s="1"/>
  <c r="M10" i="5" s="1"/>
  <c r="J27" i="5"/>
  <c r="N27" i="5" s="1"/>
  <c r="J45" i="5"/>
  <c r="N45" i="5" s="1"/>
  <c r="J421" i="5"/>
  <c r="N421" i="5" s="1"/>
  <c r="J384" i="5"/>
  <c r="N384" i="5" s="1"/>
  <c r="J429" i="5"/>
  <c r="N429" i="5" s="1"/>
  <c r="J352" i="5"/>
  <c r="N352" i="5" s="1"/>
  <c r="J390" i="5"/>
  <c r="N390" i="5" s="1"/>
  <c r="J365" i="5"/>
  <c r="N365" i="5" s="1"/>
  <c r="J337" i="5"/>
  <c r="N337" i="5" s="1"/>
  <c r="J290" i="5"/>
  <c r="N290" i="5" s="1"/>
  <c r="J308" i="5"/>
  <c r="N308" i="5" s="1"/>
  <c r="J332" i="5"/>
  <c r="N332" i="5" s="1"/>
  <c r="J317" i="5"/>
  <c r="N317" i="5" s="1"/>
  <c r="J297" i="5"/>
  <c r="N297" i="5" s="1"/>
  <c r="J293" i="5"/>
  <c r="N293" i="5" s="1"/>
  <c r="J275" i="5"/>
  <c r="N275" i="5" s="1"/>
  <c r="J269" i="5"/>
  <c r="N269" i="5" s="1"/>
  <c r="M269" i="5" s="1"/>
  <c r="J288" i="5"/>
  <c r="N288" i="5" s="1"/>
  <c r="J274" i="5"/>
  <c r="N274" i="5" s="1"/>
  <c r="J257" i="5"/>
  <c r="N257" i="5" s="1"/>
  <c r="J249" i="5"/>
  <c r="N249" i="5" s="1"/>
  <c r="M249" i="5" s="1"/>
  <c r="J242" i="5"/>
  <c r="N242" i="5" s="1"/>
  <c r="J213" i="5"/>
  <c r="N213" i="5" s="1"/>
  <c r="J110" i="5"/>
  <c r="N110" i="5" s="1"/>
  <c r="J260" i="5"/>
  <c r="N260" i="5" s="1"/>
  <c r="J247" i="5"/>
  <c r="N247" i="5" s="1"/>
  <c r="J239" i="5"/>
  <c r="N239" i="5" s="1"/>
  <c r="J94" i="5"/>
  <c r="N94" i="5" s="1"/>
  <c r="J253" i="5"/>
  <c r="N253" i="5" s="1"/>
  <c r="J225" i="5"/>
  <c r="J209" i="5"/>
  <c r="N209" i="5" s="1"/>
  <c r="J187" i="5"/>
  <c r="N187" i="5" s="1"/>
  <c r="J179" i="5"/>
  <c r="N179" i="5" s="1"/>
  <c r="J171" i="5"/>
  <c r="N171" i="5" s="1"/>
  <c r="M171" i="5" s="1"/>
  <c r="J163" i="5"/>
  <c r="N163" i="5" s="1"/>
  <c r="M163" i="5" s="1"/>
  <c r="J155" i="5"/>
  <c r="N155" i="5" s="1"/>
  <c r="J231" i="5"/>
  <c r="N231" i="5" s="1"/>
  <c r="J203" i="5"/>
  <c r="N203" i="5" s="1"/>
  <c r="J118" i="5"/>
  <c r="N118" i="5" s="1"/>
  <c r="M118" i="5" s="1"/>
  <c r="J220" i="5"/>
  <c r="N220" i="5" s="1"/>
  <c r="M220" i="5" s="1"/>
  <c r="J189" i="5"/>
  <c r="N189" i="5" s="1"/>
  <c r="J181" i="5"/>
  <c r="N181" i="5" s="1"/>
  <c r="J173" i="5"/>
  <c r="N173" i="5" s="1"/>
  <c r="J165" i="5"/>
  <c r="N165" i="5" s="1"/>
  <c r="J157" i="5"/>
  <c r="N157" i="5" s="1"/>
  <c r="J147" i="5"/>
  <c r="N147" i="5" s="1"/>
  <c r="J112" i="5"/>
  <c r="N112" i="5" s="1"/>
  <c r="J104" i="5"/>
  <c r="N104" i="5" s="1"/>
  <c r="J96" i="5"/>
  <c r="N96" i="5" s="1"/>
  <c r="J46" i="5"/>
  <c r="N46" i="5" s="1"/>
  <c r="J41" i="5"/>
  <c r="N41" i="5" s="1"/>
  <c r="J15" i="5"/>
  <c r="N15" i="5" s="1"/>
  <c r="J14" i="5"/>
  <c r="N14" i="5" s="1"/>
  <c r="J36" i="5"/>
  <c r="N36" i="5" s="1"/>
  <c r="J47" i="5"/>
  <c r="N47" i="5" s="1"/>
  <c r="J17" i="5"/>
  <c r="N17" i="5" s="1"/>
  <c r="J398" i="5"/>
  <c r="N398" i="5" s="1"/>
  <c r="J259" i="5"/>
  <c r="N259" i="5" s="1"/>
  <c r="J309" i="5"/>
  <c r="N309" i="5" s="1"/>
  <c r="J284" i="5"/>
  <c r="N284" i="5" s="1"/>
  <c r="J282" i="5"/>
  <c r="N282" i="5" s="1"/>
  <c r="J263" i="5"/>
  <c r="N263" i="5" s="1"/>
  <c r="J236" i="5"/>
  <c r="N236" i="5" s="1"/>
  <c r="J243" i="5"/>
  <c r="N243" i="5" s="1"/>
  <c r="J228" i="5"/>
  <c r="N228" i="5" s="1"/>
  <c r="J222" i="5"/>
  <c r="N222" i="5" s="1"/>
  <c r="M222" i="5" s="1"/>
  <c r="J199" i="5"/>
  <c r="N199" i="5" s="1"/>
  <c r="J198" i="5"/>
  <c r="N198" i="5" s="1"/>
  <c r="J191" i="5"/>
  <c r="N191" i="5" s="1"/>
  <c r="M191" i="5" s="1"/>
  <c r="J183" i="5"/>
  <c r="N183" i="5" s="1"/>
  <c r="J175" i="5"/>
  <c r="N175" i="5" s="1"/>
  <c r="J167" i="5"/>
  <c r="N167" i="5" s="1"/>
  <c r="M167" i="5" s="1"/>
  <c r="J159" i="5"/>
  <c r="N159" i="5" s="1"/>
  <c r="M159" i="5" s="1"/>
  <c r="J151" i="5"/>
  <c r="N151" i="5" s="1"/>
  <c r="M151" i="5" s="1"/>
  <c r="J106" i="5"/>
  <c r="N106" i="5" s="1"/>
  <c r="J195" i="5"/>
  <c r="N195" i="5" s="1"/>
  <c r="J185" i="5"/>
  <c r="N185" i="5" s="1"/>
  <c r="J177" i="5"/>
  <c r="N177" i="5" s="1"/>
  <c r="J169" i="5"/>
  <c r="N169" i="5" s="1"/>
  <c r="M169" i="5" s="1"/>
  <c r="J161" i="5"/>
  <c r="N161" i="5" s="1"/>
  <c r="M161" i="5" s="1"/>
  <c r="J153" i="5"/>
  <c r="N153" i="5" s="1"/>
  <c r="M153" i="5" s="1"/>
  <c r="J136" i="5"/>
  <c r="N136" i="5" s="1"/>
  <c r="J12" i="5"/>
  <c r="N12" i="5" s="1"/>
  <c r="J422" i="5"/>
  <c r="N422" i="5" s="1"/>
  <c r="J344" i="5"/>
  <c r="N344" i="5" s="1"/>
  <c r="J413" i="5"/>
  <c r="N413" i="5" s="1"/>
  <c r="J391" i="5"/>
  <c r="N391" i="5" s="1"/>
  <c r="J340" i="5"/>
  <c r="N340" i="5" s="1"/>
  <c r="J368" i="5"/>
  <c r="N368" i="5" s="1"/>
  <c r="J405" i="5"/>
  <c r="N405" i="5" s="1"/>
  <c r="J328" i="5"/>
  <c r="N328" i="5" s="1"/>
  <c r="J318" i="5"/>
  <c r="N318" i="5" s="1"/>
  <c r="J312" i="5"/>
  <c r="N312" i="5" s="1"/>
  <c r="J306" i="5"/>
  <c r="N306" i="5" s="1"/>
  <c r="J289" i="5"/>
  <c r="N289" i="5" s="1"/>
  <c r="J292" i="5"/>
  <c r="N292" i="5" s="1"/>
  <c r="J325" i="5"/>
  <c r="N325" i="5" s="1"/>
  <c r="J301" i="5"/>
  <c r="N301" i="5" s="1"/>
  <c r="J272" i="5"/>
  <c r="N272" i="5" s="1"/>
  <c r="J278" i="5"/>
  <c r="N278" i="5" s="1"/>
  <c r="J241" i="5"/>
  <c r="N241" i="5" s="1"/>
  <c r="J216" i="5"/>
  <c r="N216" i="5" s="1"/>
  <c r="J206" i="5"/>
  <c r="N206" i="5" s="1"/>
  <c r="J200" i="5"/>
  <c r="N200" i="5" s="1"/>
  <c r="J188" i="5"/>
  <c r="N188" i="5" s="1"/>
  <c r="M188" i="5" s="1"/>
  <c r="J180" i="5"/>
  <c r="N180" i="5" s="1"/>
  <c r="J172" i="5"/>
  <c r="N172" i="5" s="1"/>
  <c r="M172" i="5" s="1"/>
  <c r="J164" i="5"/>
  <c r="N164" i="5" s="1"/>
  <c r="J156" i="5"/>
  <c r="N156" i="5" s="1"/>
  <c r="J265" i="5"/>
  <c r="N265" i="5" s="1"/>
  <c r="J233" i="5"/>
  <c r="N233" i="5" s="1"/>
  <c r="J245" i="5"/>
  <c r="N245" i="5" s="1"/>
  <c r="M245" i="5" s="1"/>
  <c r="J237" i="5"/>
  <c r="N237" i="5" s="1"/>
  <c r="J230" i="5"/>
  <c r="N230" i="5" s="1"/>
  <c r="J251" i="5"/>
  <c r="N251" i="5" s="1"/>
  <c r="J212" i="5"/>
  <c r="N212" i="5" s="1"/>
  <c r="M212" i="5" s="1"/>
  <c r="J215" i="5"/>
  <c r="N215" i="5" s="1"/>
  <c r="J190" i="5"/>
  <c r="N190" i="5" s="1"/>
  <c r="J182" i="5"/>
  <c r="N182" i="5" s="1"/>
  <c r="J174" i="5"/>
  <c r="N174" i="5" s="1"/>
  <c r="M174" i="5" s="1"/>
  <c r="J166" i="5"/>
  <c r="N166" i="5" s="1"/>
  <c r="M166" i="5" s="1"/>
  <c r="J158" i="5"/>
  <c r="N158" i="5" s="1"/>
  <c r="J102" i="5"/>
  <c r="N102" i="5" s="1"/>
  <c r="J204" i="5"/>
  <c r="N204" i="5" s="1"/>
  <c r="J98" i="5"/>
  <c r="N98" i="5" s="1"/>
  <c r="J111" i="5"/>
  <c r="N111" i="5" s="1"/>
  <c r="J103" i="5"/>
  <c r="N103" i="5" s="1"/>
  <c r="J95" i="5"/>
  <c r="N95" i="5" s="1"/>
  <c r="J132" i="5"/>
  <c r="N132" i="5" s="1"/>
  <c r="J117" i="5"/>
  <c r="N117" i="5" s="1"/>
  <c r="J109" i="5"/>
  <c r="N109" i="5" s="1"/>
  <c r="M109" i="5" s="1"/>
  <c r="J101" i="5"/>
  <c r="N101" i="5" s="1"/>
  <c r="J418" i="5"/>
  <c r="N418" i="5" s="1"/>
  <c r="J380" i="5"/>
  <c r="N380" i="5" s="1"/>
  <c r="M380" i="5" s="1"/>
  <c r="J417" i="5"/>
  <c r="N417" i="5" s="1"/>
  <c r="J385" i="5"/>
  <c r="N385" i="5" s="1"/>
  <c r="J386" i="5"/>
  <c r="N386" i="5" s="1"/>
  <c r="J348" i="5"/>
  <c r="N348" i="5" s="1"/>
  <c r="M348" i="5" s="1"/>
  <c r="J333" i="5"/>
  <c r="N333" i="5" s="1"/>
  <c r="J296" i="5"/>
  <c r="N296" i="5" s="1"/>
  <c r="J305" i="5"/>
  <c r="N305" i="5" s="1"/>
  <c r="J364" i="5"/>
  <c r="N364" i="5" s="1"/>
  <c r="J321" i="5"/>
  <c r="N321" i="5" s="1"/>
  <c r="J279" i="5"/>
  <c r="N279" i="5" s="1"/>
  <c r="J268" i="5"/>
  <c r="N268" i="5" s="1"/>
  <c r="J205" i="5"/>
  <c r="N205" i="5" s="1"/>
  <c r="J256" i="5"/>
  <c r="N256" i="5" s="1"/>
  <c r="J234" i="5"/>
  <c r="N234" i="5" s="1"/>
  <c r="J229" i="5"/>
  <c r="N229" i="5" s="1"/>
  <c r="J116" i="5"/>
  <c r="N116" i="5" s="1"/>
  <c r="J108" i="5"/>
  <c r="N108" i="5" s="1"/>
  <c r="M108" i="5" s="1"/>
  <c r="J100" i="5"/>
  <c r="N100" i="5" s="1"/>
  <c r="J13" i="5"/>
  <c r="N13" i="5" s="1"/>
  <c r="J39" i="5"/>
  <c r="N39" i="5" s="1"/>
  <c r="J40" i="5"/>
  <c r="N40" i="5" s="1"/>
  <c r="J338" i="5"/>
  <c r="N338" i="5" s="1"/>
  <c r="J410" i="5"/>
  <c r="N410" i="5" s="1"/>
  <c r="J395" i="5"/>
  <c r="N395" i="5" s="1"/>
  <c r="J142" i="5"/>
  <c r="N142" i="5" s="1"/>
  <c r="J123" i="5"/>
  <c r="N123" i="5" s="1"/>
  <c r="J335" i="5"/>
  <c r="N335" i="5" s="1"/>
  <c r="J423" i="5"/>
  <c r="N423" i="5" s="1"/>
  <c r="J361" i="5"/>
  <c r="N361" i="5" s="1"/>
  <c r="J427" i="5"/>
  <c r="N427" i="5" s="1"/>
  <c r="J404" i="5"/>
  <c r="N404" i="5" s="1"/>
  <c r="J62" i="5"/>
  <c r="N62" i="5" s="1"/>
  <c r="J202" i="5"/>
  <c r="N202" i="5" s="1"/>
  <c r="J130" i="5"/>
  <c r="N130" i="5" s="1"/>
  <c r="J346" i="5"/>
  <c r="N346" i="5" s="1"/>
  <c r="J393" i="5"/>
  <c r="N393" i="5" s="1"/>
  <c r="J392" i="5"/>
  <c r="N392" i="5" s="1"/>
  <c r="J357" i="5"/>
  <c r="N357" i="5" s="1"/>
  <c r="J143" i="5"/>
  <c r="N143" i="5" s="1"/>
  <c r="J196" i="5"/>
  <c r="N196" i="5" s="1"/>
  <c r="J403" i="5"/>
  <c r="N403" i="5" s="1"/>
  <c r="J341" i="5"/>
  <c r="N341" i="5" s="1"/>
  <c r="J92" i="5"/>
  <c r="N92" i="5" s="1"/>
  <c r="M92" i="5" s="1"/>
  <c r="J76" i="5"/>
  <c r="N76" i="5" s="1"/>
  <c r="J120" i="5"/>
  <c r="N120" i="5" s="1"/>
  <c r="J135" i="5"/>
  <c r="N135" i="5" s="1"/>
  <c r="J262" i="5"/>
  <c r="N262" i="5" s="1"/>
  <c r="J411" i="5"/>
  <c r="N411" i="5" s="1"/>
  <c r="J360" i="5"/>
  <c r="N360" i="5" s="1"/>
  <c r="J25" i="5"/>
  <c r="N25" i="5" s="1"/>
  <c r="M25" i="5" s="1"/>
  <c r="J371" i="5"/>
  <c r="N371" i="5" s="1"/>
  <c r="J82" i="5"/>
  <c r="N82" i="5" s="1"/>
  <c r="M82" i="5" s="1"/>
  <c r="J16" i="5"/>
  <c r="N16" i="5" s="1"/>
  <c r="J24" i="5"/>
  <c r="N24" i="5" s="1"/>
  <c r="J70" i="5"/>
  <c r="N70" i="5" s="1"/>
  <c r="J63" i="5"/>
  <c r="N63" i="5" s="1"/>
  <c r="J87" i="5"/>
  <c r="N87" i="5" s="1"/>
  <c r="J252" i="5"/>
  <c r="N252" i="5" s="1"/>
  <c r="J320" i="5"/>
  <c r="N320" i="5" s="1"/>
  <c r="J369" i="5"/>
  <c r="N369" i="5" s="1"/>
  <c r="M369" i="5" s="1"/>
  <c r="J51" i="5"/>
  <c r="N51" i="5" s="1"/>
  <c r="J67" i="5"/>
  <c r="N67" i="5" s="1"/>
  <c r="J60" i="5"/>
  <c r="N60" i="5" s="1"/>
  <c r="J74" i="5"/>
  <c r="N74" i="5" s="1"/>
  <c r="J49" i="5"/>
  <c r="N49" i="5" s="1"/>
  <c r="M49" i="5" s="1"/>
  <c r="J138" i="5"/>
  <c r="N138" i="5" s="1"/>
  <c r="J139" i="5"/>
  <c r="N139" i="5" s="1"/>
  <c r="J254" i="5"/>
  <c r="N254" i="5" s="1"/>
  <c r="J343" i="5"/>
  <c r="N343" i="5" s="1"/>
  <c r="M343" i="5" s="1"/>
  <c r="J408" i="5"/>
  <c r="N408" i="5" s="1"/>
  <c r="J331" i="5"/>
  <c r="N331" i="5" s="1"/>
  <c r="J354" i="5"/>
  <c r="N354" i="5" s="1"/>
  <c r="M354" i="5" s="1"/>
  <c r="J394" i="5"/>
  <c r="N394" i="5" s="1"/>
  <c r="J426" i="5"/>
  <c r="N426" i="5" s="1"/>
  <c r="J400" i="5"/>
  <c r="N400" i="5" s="1"/>
  <c r="J425" i="5"/>
  <c r="N425" i="5" s="1"/>
  <c r="J43" i="5"/>
  <c r="N43" i="5" s="1"/>
  <c r="J134" i="5"/>
  <c r="N134" i="5" s="1"/>
  <c r="M134" i="5" s="1"/>
  <c r="J150" i="5"/>
  <c r="N150" i="5" s="1"/>
  <c r="M150" i="5" s="1"/>
  <c r="J84" i="5"/>
  <c r="N84" i="5" s="1"/>
  <c r="J244" i="5"/>
  <c r="N244" i="5" s="1"/>
  <c r="J324" i="5"/>
  <c r="N324" i="5" s="1"/>
  <c r="J396" i="5"/>
  <c r="N396" i="5" s="1"/>
  <c r="J78" i="5"/>
  <c r="N78" i="5" s="1"/>
  <c r="J65" i="5"/>
  <c r="N65" i="5" s="1"/>
  <c r="M65" i="5" s="1"/>
  <c r="J93" i="5"/>
  <c r="N93" i="5" s="1"/>
  <c r="J194" i="5"/>
  <c r="N194" i="5" s="1"/>
  <c r="J339" i="5"/>
  <c r="N339" i="5" s="1"/>
  <c r="J428" i="5"/>
  <c r="N428" i="5" s="1"/>
  <c r="J19" i="5"/>
  <c r="N19" i="5" s="1"/>
  <c r="M19" i="5" s="1"/>
  <c r="J131" i="5"/>
  <c r="N131" i="5" s="1"/>
  <c r="J246" i="5"/>
  <c r="N246" i="5" s="1"/>
  <c r="J350" i="5"/>
  <c r="N350" i="5" s="1"/>
  <c r="J32" i="5"/>
  <c r="N32" i="5" s="1"/>
  <c r="J34" i="5"/>
  <c r="N34" i="5" s="1"/>
  <c r="J91" i="5"/>
  <c r="N91" i="5" s="1"/>
  <c r="J141" i="5"/>
  <c r="N141" i="5" s="1"/>
  <c r="M141" i="5" s="1"/>
  <c r="J370" i="5"/>
  <c r="N370" i="5" s="1"/>
  <c r="J366" i="5"/>
  <c r="N366" i="5" s="1"/>
  <c r="J378" i="5"/>
  <c r="N378" i="5" s="1"/>
  <c r="M378" i="5" s="1"/>
  <c r="J415" i="5"/>
  <c r="N415" i="5" s="1"/>
  <c r="J356" i="5"/>
  <c r="N356" i="5" s="1"/>
  <c r="M356" i="5" s="1"/>
  <c r="J342" i="5"/>
  <c r="N342" i="5" s="1"/>
  <c r="J37" i="5"/>
  <c r="N37" i="5" s="1"/>
  <c r="J121" i="5"/>
  <c r="N121" i="5" s="1"/>
  <c r="J124" i="5"/>
  <c r="N124" i="5" s="1"/>
  <c r="J23" i="5"/>
  <c r="N23" i="5" s="1"/>
  <c r="J75" i="5"/>
  <c r="N75" i="5" s="1"/>
  <c r="J61" i="5"/>
  <c r="N61" i="5" s="1"/>
  <c r="J148" i="5"/>
  <c r="N148" i="5" s="1"/>
  <c r="J376" i="5"/>
  <c r="N376" i="5" s="1"/>
  <c r="J50" i="5"/>
  <c r="N50" i="5" s="1"/>
  <c r="J349" i="5"/>
  <c r="N349" i="5" s="1"/>
  <c r="J140" i="5"/>
  <c r="N140" i="5" s="1"/>
  <c r="J388" i="5"/>
  <c r="N388" i="5" s="1"/>
  <c r="J127" i="5"/>
  <c r="N127" i="5" s="1"/>
  <c r="J363" i="5"/>
  <c r="N363" i="5" s="1"/>
  <c r="J66" i="5"/>
  <c r="N66" i="5" s="1"/>
  <c r="J83" i="5"/>
  <c r="N83" i="5" s="1"/>
  <c r="M83" i="5" s="1"/>
  <c r="J54" i="5"/>
  <c r="N54" i="5" s="1"/>
  <c r="J86" i="5"/>
  <c r="N86" i="5" s="1"/>
  <c r="J55" i="5"/>
  <c r="N55" i="5" s="1"/>
  <c r="J71" i="5"/>
  <c r="N71" i="5" s="1"/>
  <c r="J224" i="5"/>
  <c r="N224" i="5" s="1"/>
  <c r="J59" i="5"/>
  <c r="N59" i="5" s="1"/>
  <c r="J79" i="5"/>
  <c r="N79" i="5" s="1"/>
  <c r="J58" i="5"/>
  <c r="N58" i="5" s="1"/>
  <c r="J90" i="5"/>
  <c r="N90" i="5" s="1"/>
  <c r="M90" i="5" s="1"/>
  <c r="J29" i="5"/>
  <c r="N29" i="5" s="1"/>
  <c r="J44" i="5"/>
  <c r="N44" i="5" s="1"/>
  <c r="J146" i="5"/>
  <c r="N146" i="5" s="1"/>
  <c r="J232" i="5"/>
  <c r="N232" i="5" s="1"/>
  <c r="J358" i="5"/>
  <c r="N358" i="5" s="1"/>
  <c r="J419" i="5"/>
  <c r="N419" i="5" s="1"/>
  <c r="J397" i="5"/>
  <c r="N397" i="5" s="1"/>
  <c r="J33" i="5"/>
  <c r="N33" i="5" s="1"/>
  <c r="J28" i="5"/>
  <c r="N28" i="5" s="1"/>
  <c r="J238" i="5"/>
  <c r="N238" i="5" s="1"/>
  <c r="J387" i="5"/>
  <c r="N387" i="5" s="1"/>
  <c r="J407" i="5"/>
  <c r="N407" i="5" s="1"/>
  <c r="J359" i="5"/>
  <c r="N359" i="5" s="1"/>
  <c r="M359" i="5" s="1"/>
  <c r="J377" i="5"/>
  <c r="N377" i="5" s="1"/>
  <c r="J409" i="5"/>
  <c r="N409" i="5" s="1"/>
  <c r="J57" i="5"/>
  <c r="N57" i="5" s="1"/>
  <c r="J374" i="5"/>
  <c r="N374" i="5" s="1"/>
  <c r="J128" i="5"/>
  <c r="N128" i="5" s="1"/>
  <c r="J68" i="5"/>
  <c r="N68" i="5" s="1"/>
  <c r="J73" i="5"/>
  <c r="N73" i="5" s="1"/>
  <c r="J80" i="5"/>
  <c r="N80" i="5" s="1"/>
  <c r="J345" i="5"/>
  <c r="N345" i="5" s="1"/>
  <c r="M345" i="5" s="1"/>
  <c r="J347" i="5"/>
  <c r="N347" i="5" s="1"/>
  <c r="J18" i="5"/>
  <c r="J424" i="5"/>
  <c r="N424" i="5" s="1"/>
  <c r="J38" i="5"/>
  <c r="N38" i="5" s="1"/>
  <c r="J64" i="5"/>
  <c r="N64" i="5" s="1"/>
  <c r="J362" i="5"/>
  <c r="N362" i="5" s="1"/>
  <c r="J355" i="5"/>
  <c r="N355" i="5" s="1"/>
  <c r="J353" i="5"/>
  <c r="N353" i="5" s="1"/>
  <c r="J119" i="5"/>
  <c r="N119" i="5" s="1"/>
  <c r="J126" i="5"/>
  <c r="N126" i="5" s="1"/>
  <c r="M126" i="5" s="1"/>
  <c r="J85" i="5"/>
  <c r="N85" i="5" s="1"/>
  <c r="J53" i="5"/>
  <c r="N53" i="5" s="1"/>
  <c r="J389" i="5"/>
  <c r="N389" i="5" s="1"/>
  <c r="J145" i="5"/>
  <c r="N145" i="5" s="1"/>
  <c r="J21" i="5"/>
  <c r="N21" i="5" s="1"/>
  <c r="J383" i="5"/>
  <c r="N383" i="5" s="1"/>
  <c r="J420" i="5"/>
  <c r="N420" i="5" s="1"/>
  <c r="J30" i="5"/>
  <c r="N30" i="5" s="1"/>
  <c r="J351" i="5"/>
  <c r="N351" i="5" s="1"/>
  <c r="J375" i="5"/>
  <c r="N375" i="5" s="1"/>
  <c r="J88" i="5"/>
  <c r="N88" i="5" s="1"/>
  <c r="J69" i="5"/>
  <c r="N69" i="5" s="1"/>
  <c r="J416" i="5"/>
  <c r="N416" i="5" s="1"/>
  <c r="J133" i="5"/>
  <c r="N133" i="5" s="1"/>
  <c r="J144" i="5"/>
  <c r="N144" i="5" s="1"/>
  <c r="J137" i="5"/>
  <c r="N137" i="5" s="1"/>
  <c r="J56" i="5"/>
  <c r="N56" i="5" s="1"/>
  <c r="M56" i="5" s="1"/>
  <c r="J149" i="5"/>
  <c r="N149" i="5" s="1"/>
  <c r="J48" i="5"/>
  <c r="N48" i="5" s="1"/>
  <c r="J412" i="5"/>
  <c r="N412" i="5" s="1"/>
  <c r="J379" i="5"/>
  <c r="N379" i="5" s="1"/>
  <c r="J77" i="5"/>
  <c r="N77" i="5" s="1"/>
  <c r="J122" i="5"/>
  <c r="N122" i="5" s="1"/>
  <c r="J52" i="5"/>
  <c r="N52" i="5" s="1"/>
  <c r="J89" i="5"/>
  <c r="N89" i="5" s="1"/>
  <c r="M89" i="5" s="1"/>
  <c r="J382" i="5"/>
  <c r="N382" i="5" s="1"/>
  <c r="J26" i="5"/>
  <c r="N26" i="5" s="1"/>
  <c r="J22" i="5"/>
  <c r="N22" i="5" s="1"/>
  <c r="J72" i="5"/>
  <c r="N72" i="5" s="1"/>
  <c r="J373" i="5"/>
  <c r="N373" i="5" s="1"/>
  <c r="J81" i="5"/>
  <c r="N81" i="5" s="1"/>
  <c r="M81" i="5" s="1"/>
  <c r="J367" i="5"/>
  <c r="N367" i="5" s="1"/>
  <c r="J125" i="5"/>
  <c r="N125" i="5" s="1"/>
  <c r="J129" i="5"/>
  <c r="N129" i="5" s="1"/>
  <c r="C29" i="22"/>
  <c r="C14" i="22"/>
  <c r="C19" i="22" s="1"/>
  <c r="J9" i="5"/>
  <c r="J5" i="5" l="1"/>
  <c r="N321" i="9"/>
  <c r="N321" i="8"/>
  <c r="G32" i="22"/>
  <c r="N18" i="5"/>
  <c r="N225" i="5"/>
  <c r="N9" i="5"/>
  <c r="N5" i="5" l="1"/>
  <c r="I32" i="22"/>
  <c r="I35" i="22" s="1"/>
  <c r="G35" i="22"/>
  <c r="H20" i="36" l="1"/>
  <c r="L19" i="8" l="1"/>
  <c r="L19" i="9"/>
  <c r="AH20" i="36"/>
  <c r="M19" i="6"/>
  <c r="H8" i="36"/>
  <c r="H494" i="36"/>
  <c r="M493" i="6" l="1"/>
  <c r="M7" i="6"/>
  <c r="L7" i="9"/>
  <c r="L493" i="9"/>
  <c r="L7" i="8"/>
  <c r="L493" i="8"/>
  <c r="AD19" i="6"/>
  <c r="X19" i="9"/>
  <c r="X19" i="8"/>
  <c r="C32" i="22"/>
  <c r="C35" i="22" s="1"/>
  <c r="Y19" i="8" l="1"/>
  <c r="Z19" i="8"/>
  <c r="Z19" i="9"/>
  <c r="Y19" i="9"/>
  <c r="AC19" i="9" l="1"/>
  <c r="AD19" i="8"/>
  <c r="AC19" i="8"/>
  <c r="M19" i="8"/>
  <c r="M19" i="9"/>
  <c r="N19" i="8" l="1"/>
  <c r="N19" i="9"/>
  <c r="AT12" i="4" l="1"/>
  <c r="AT493" i="4" s="1"/>
  <c r="AV12" i="4"/>
  <c r="AT7" i="4" l="1"/>
  <c r="G39" i="22" s="1"/>
  <c r="AZ12" i="4"/>
  <c r="AD12" i="8" l="1"/>
  <c r="T7" i="8"/>
  <c r="M12" i="8"/>
  <c r="N12" i="8" l="1"/>
  <c r="L490" i="5" l="1"/>
  <c r="M490" i="5" s="1"/>
  <c r="I490" i="5"/>
  <c r="H490" i="5" s="1"/>
  <c r="L491" i="5" l="1"/>
  <c r="M491" i="5" s="1"/>
  <c r="I491" i="5"/>
  <c r="H491" i="5" s="1"/>
  <c r="AA12" i="4"/>
  <c r="I245" i="5"/>
  <c r="H245" i="5" s="1"/>
  <c r="I208" i="5" l="1"/>
  <c r="H208" i="5" s="1"/>
  <c r="L208" i="5"/>
  <c r="M208" i="5" s="1"/>
  <c r="L97" i="5"/>
  <c r="M97" i="5" s="1"/>
  <c r="I97" i="5"/>
  <c r="H97" i="5" s="1"/>
  <c r="L164" i="5"/>
  <c r="M164" i="5" s="1"/>
  <c r="I164" i="5"/>
  <c r="H164" i="5" s="1"/>
  <c r="I342" i="5"/>
  <c r="H342" i="5" s="1"/>
  <c r="L342" i="5"/>
  <c r="M342" i="5" s="1"/>
  <c r="I102" i="5"/>
  <c r="H102" i="5" s="1"/>
  <c r="L102" i="5"/>
  <c r="M102" i="5" s="1"/>
  <c r="I125" i="5"/>
  <c r="H125" i="5" s="1"/>
  <c r="L125" i="5"/>
  <c r="M125" i="5" s="1"/>
  <c r="I22" i="5"/>
  <c r="H22" i="5" s="1"/>
  <c r="L22" i="5"/>
  <c r="M22" i="5" s="1"/>
  <c r="L360" i="5"/>
  <c r="M360" i="5" s="1"/>
  <c r="I360" i="5"/>
  <c r="H360" i="5" s="1"/>
  <c r="I94" i="5"/>
  <c r="H94" i="5" s="1"/>
  <c r="L94" i="5"/>
  <c r="M94" i="5" s="1"/>
  <c r="I234" i="5"/>
  <c r="H234" i="5" s="1"/>
  <c r="L234" i="5"/>
  <c r="M234" i="5" s="1"/>
  <c r="L367" i="5"/>
  <c r="M367" i="5" s="1"/>
  <c r="I367" i="5"/>
  <c r="H367" i="5" s="1"/>
  <c r="I294" i="5"/>
  <c r="H294" i="5" s="1"/>
  <c r="L294" i="5"/>
  <c r="M294" i="5" s="1"/>
  <c r="I74" i="5"/>
  <c r="H74" i="5" s="1"/>
  <c r="L74" i="5"/>
  <c r="M74" i="5" s="1"/>
  <c r="I26" i="5"/>
  <c r="H26" i="5" s="1"/>
  <c r="L26" i="5"/>
  <c r="M26" i="5" s="1"/>
  <c r="L352" i="5"/>
  <c r="M352" i="5" s="1"/>
  <c r="I352" i="5"/>
  <c r="H352" i="5" s="1"/>
  <c r="I362" i="5"/>
  <c r="H362" i="5" s="1"/>
  <c r="L362" i="5"/>
  <c r="M362" i="5" s="1"/>
  <c r="I148" i="5"/>
  <c r="H148" i="5" s="1"/>
  <c r="L148" i="5"/>
  <c r="M148" i="5" s="1"/>
  <c r="I207" i="5"/>
  <c r="H207" i="5" s="1"/>
  <c r="L207" i="5"/>
  <c r="M207" i="5" s="1"/>
  <c r="I187" i="5"/>
  <c r="H187" i="5" s="1"/>
  <c r="L187" i="5"/>
  <c r="M187" i="5" s="1"/>
  <c r="I213" i="5"/>
  <c r="H213" i="5" s="1"/>
  <c r="L213" i="5"/>
  <c r="M213" i="5" s="1"/>
  <c r="L24" i="5"/>
  <c r="M24" i="5" s="1"/>
  <c r="I24" i="5"/>
  <c r="H24" i="5" s="1"/>
  <c r="L351" i="5"/>
  <c r="M351" i="5" s="1"/>
  <c r="I351" i="5"/>
  <c r="H351" i="5" s="1"/>
  <c r="L39" i="5"/>
  <c r="M39" i="5" s="1"/>
  <c r="I39" i="5"/>
  <c r="H39" i="5" s="1"/>
  <c r="L203" i="5"/>
  <c r="M203" i="5" s="1"/>
  <c r="I203" i="5"/>
  <c r="H203" i="5" s="1"/>
  <c r="I99" i="5"/>
  <c r="H99" i="5" s="1"/>
  <c r="L99" i="5"/>
  <c r="M99" i="5" s="1"/>
  <c r="L57" i="5"/>
  <c r="M57" i="5" s="1"/>
  <c r="I57" i="5"/>
  <c r="H57" i="5" s="1"/>
  <c r="L179" i="5"/>
  <c r="M179" i="5" s="1"/>
  <c r="I179" i="5"/>
  <c r="H179" i="5" s="1"/>
  <c r="I59" i="5"/>
  <c r="H59" i="5" s="1"/>
  <c r="L59" i="5"/>
  <c r="M59" i="5" s="1"/>
  <c r="L136" i="5"/>
  <c r="M136" i="5" s="1"/>
  <c r="I136" i="5"/>
  <c r="H136" i="5" s="1"/>
  <c r="I259" i="5"/>
  <c r="H259" i="5" s="1"/>
  <c r="L259" i="5"/>
  <c r="M259" i="5" s="1"/>
  <c r="L41" i="5"/>
  <c r="M41" i="5" s="1"/>
  <c r="I41" i="5"/>
  <c r="H41" i="5" s="1"/>
  <c r="L76" i="5"/>
  <c r="M76" i="5" s="1"/>
  <c r="I76" i="5"/>
  <c r="H76" i="5" s="1"/>
  <c r="I123" i="5"/>
  <c r="H123" i="5" s="1"/>
  <c r="L123" i="5"/>
  <c r="M123" i="5" s="1"/>
  <c r="I139" i="5"/>
  <c r="H139" i="5" s="1"/>
  <c r="L139" i="5"/>
  <c r="M139" i="5" s="1"/>
  <c r="I47" i="5"/>
  <c r="H47" i="5" s="1"/>
  <c r="L47" i="5"/>
  <c r="M47" i="5" s="1"/>
  <c r="I190" i="5"/>
  <c r="H190" i="5" s="1"/>
  <c r="L190" i="5"/>
  <c r="M190" i="5" s="1"/>
  <c r="L165" i="5"/>
  <c r="M165" i="5" s="1"/>
  <c r="I165" i="5"/>
  <c r="H165" i="5" s="1"/>
  <c r="L177" i="5"/>
  <c r="M177" i="5" s="1"/>
  <c r="I177" i="5"/>
  <c r="H177" i="5" s="1"/>
  <c r="I293" i="5"/>
  <c r="H293" i="5" s="1"/>
  <c r="L293" i="5"/>
  <c r="M293" i="5" s="1"/>
  <c r="L162" i="5"/>
  <c r="M162" i="5" s="1"/>
  <c r="I162" i="5"/>
  <c r="H162" i="5" s="1"/>
  <c r="I307" i="5"/>
  <c r="H307" i="5" s="1"/>
  <c r="L307" i="5"/>
  <c r="M307" i="5" s="1"/>
  <c r="L158" i="5"/>
  <c r="M158" i="5" s="1"/>
  <c r="I158" i="5"/>
  <c r="H158" i="5" s="1"/>
  <c r="L349" i="5"/>
  <c r="M349" i="5" s="1"/>
  <c r="I349" i="5"/>
  <c r="H349" i="5" s="1"/>
  <c r="I204" i="5"/>
  <c r="H204" i="5" s="1"/>
  <c r="L204" i="5"/>
  <c r="M204" i="5" s="1"/>
  <c r="L51" i="5"/>
  <c r="M51" i="5" s="1"/>
  <c r="I51" i="5"/>
  <c r="H51" i="5" s="1"/>
  <c r="I189" i="5"/>
  <c r="H189" i="5" s="1"/>
  <c r="L189" i="5"/>
  <c r="M189" i="5" s="1"/>
  <c r="L143" i="5"/>
  <c r="M143" i="5" s="1"/>
  <c r="I143" i="5"/>
  <c r="H143" i="5" s="1"/>
  <c r="L50" i="5"/>
  <c r="M50" i="5" s="1"/>
  <c r="I50" i="5"/>
  <c r="H50" i="5" s="1"/>
  <c r="I129" i="5"/>
  <c r="H129" i="5" s="1"/>
  <c r="L129" i="5"/>
  <c r="M129" i="5" s="1"/>
  <c r="I93" i="5"/>
  <c r="H93" i="5" s="1"/>
  <c r="L93" i="5"/>
  <c r="M93" i="5" s="1"/>
  <c r="L103" i="5"/>
  <c r="M103" i="5" s="1"/>
  <c r="I103" i="5"/>
  <c r="H103" i="5" s="1"/>
  <c r="L231" i="5"/>
  <c r="M231" i="5" s="1"/>
  <c r="I231" i="5"/>
  <c r="H231" i="5" s="1"/>
  <c r="L32" i="5"/>
  <c r="M32" i="5" s="1"/>
  <c r="I32" i="5"/>
  <c r="H32" i="5" s="1"/>
  <c r="I306" i="5"/>
  <c r="H306" i="5" s="1"/>
  <c r="L306" i="5"/>
  <c r="M306" i="5" s="1"/>
  <c r="L288" i="5"/>
  <c r="M288" i="5" s="1"/>
  <c r="I288" i="5"/>
  <c r="H288" i="5" s="1"/>
  <c r="L78" i="5"/>
  <c r="M78" i="5" s="1"/>
  <c r="I78" i="5"/>
  <c r="H78" i="5" s="1"/>
  <c r="I85" i="5"/>
  <c r="H85" i="5" s="1"/>
  <c r="L85" i="5"/>
  <c r="M85" i="5" s="1"/>
  <c r="L252" i="5"/>
  <c r="M252" i="5" s="1"/>
  <c r="I252" i="5"/>
  <c r="H252" i="5" s="1"/>
  <c r="I430" i="5"/>
  <c r="H430" i="5" s="1"/>
  <c r="L430" i="5"/>
  <c r="M430" i="5" s="1"/>
  <c r="I406" i="5"/>
  <c r="H406" i="5" s="1"/>
  <c r="L406" i="5"/>
  <c r="M406" i="5" s="1"/>
  <c r="I192" i="5"/>
  <c r="H192" i="5" s="1"/>
  <c r="L192" i="5"/>
  <c r="M192" i="5" s="1"/>
  <c r="I70" i="5"/>
  <c r="H70" i="5" s="1"/>
  <c r="L70" i="5"/>
  <c r="M70" i="5" s="1"/>
  <c r="I96" i="5"/>
  <c r="H96" i="5" s="1"/>
  <c r="L96" i="5"/>
  <c r="M96" i="5" s="1"/>
  <c r="L183" i="5"/>
  <c r="M183" i="5" s="1"/>
  <c r="I183" i="5"/>
  <c r="H183" i="5" s="1"/>
  <c r="I18" i="5"/>
  <c r="H18" i="5" s="1"/>
  <c r="L18" i="5"/>
  <c r="M18" i="5" s="1"/>
  <c r="L73" i="5"/>
  <c r="M73" i="5" s="1"/>
  <c r="I73" i="5"/>
  <c r="H73" i="5" s="1"/>
  <c r="I27" i="5"/>
  <c r="H27" i="5" s="1"/>
  <c r="L27" i="5"/>
  <c r="M27" i="5" s="1"/>
  <c r="L135" i="5"/>
  <c r="M135" i="5" s="1"/>
  <c r="I135" i="5"/>
  <c r="H135" i="5" s="1"/>
  <c r="I111" i="5"/>
  <c r="H111" i="5" s="1"/>
  <c r="L111" i="5"/>
  <c r="M111" i="5" s="1"/>
  <c r="L242" i="5"/>
  <c r="M242" i="5" s="1"/>
  <c r="I242" i="5"/>
  <c r="H242" i="5" s="1"/>
  <c r="L132" i="5"/>
  <c r="M132" i="5" s="1"/>
  <c r="I132" i="5"/>
  <c r="H132" i="5" s="1"/>
  <c r="I197" i="5"/>
  <c r="H197" i="5" s="1"/>
  <c r="L197" i="5"/>
  <c r="M197" i="5" s="1"/>
  <c r="I75" i="5"/>
  <c r="H75" i="5" s="1"/>
  <c r="L75" i="5"/>
  <c r="M75" i="5" s="1"/>
  <c r="L133" i="5"/>
  <c r="M133" i="5" s="1"/>
  <c r="I133" i="5"/>
  <c r="H133" i="5" s="1"/>
  <c r="I255" i="5"/>
  <c r="H255" i="5" s="1"/>
  <c r="L255" i="5"/>
  <c r="M255" i="5" s="1"/>
  <c r="L175" i="5"/>
  <c r="M175" i="5" s="1"/>
  <c r="I175" i="5"/>
  <c r="H175" i="5" s="1"/>
  <c r="L11" i="5"/>
  <c r="M11" i="5" s="1"/>
  <c r="I11" i="5"/>
  <c r="H11" i="5" s="1"/>
  <c r="I211" i="5"/>
  <c r="H211" i="5" s="1"/>
  <c r="L211" i="5"/>
  <c r="M211" i="5" s="1"/>
  <c r="L205" i="5"/>
  <c r="M205" i="5" s="1"/>
  <c r="I205" i="5"/>
  <c r="H205" i="5" s="1"/>
  <c r="I71" i="5"/>
  <c r="H71" i="5" s="1"/>
  <c r="L71" i="5"/>
  <c r="M71" i="5" s="1"/>
  <c r="I144" i="5"/>
  <c r="H144" i="5" s="1"/>
  <c r="L144" i="5"/>
  <c r="M144" i="5" s="1"/>
  <c r="L46" i="5"/>
  <c r="M46" i="5" s="1"/>
  <c r="I46" i="5"/>
  <c r="H46" i="5" s="1"/>
  <c r="L330" i="5"/>
  <c r="M330" i="5" s="1"/>
  <c r="I330" i="5"/>
  <c r="H330" i="5" s="1"/>
  <c r="L265" i="5"/>
  <c r="M265" i="5" s="1"/>
  <c r="I265" i="5"/>
  <c r="H265" i="5" s="1"/>
  <c r="I257" i="5"/>
  <c r="H257" i="5" s="1"/>
  <c r="L257" i="5"/>
  <c r="M257" i="5" s="1"/>
  <c r="I340" i="5"/>
  <c r="H340" i="5" s="1"/>
  <c r="L340" i="5"/>
  <c r="M340" i="5" s="1"/>
  <c r="I42" i="5"/>
  <c r="H42" i="5" s="1"/>
  <c r="L42" i="5"/>
  <c r="M42" i="5" s="1"/>
  <c r="L353" i="5"/>
  <c r="M353" i="5" s="1"/>
  <c r="I353" i="5"/>
  <c r="H353" i="5" s="1"/>
  <c r="L227" i="5"/>
  <c r="M227" i="5" s="1"/>
  <c r="I227" i="5"/>
  <c r="H227" i="5" s="1"/>
  <c r="L193" i="5"/>
  <c r="M193" i="5" s="1"/>
  <c r="I193" i="5"/>
  <c r="H193" i="5" s="1"/>
  <c r="I215" i="5"/>
  <c r="H215" i="5" s="1"/>
  <c r="L215" i="5"/>
  <c r="M215" i="5" s="1"/>
  <c r="I95" i="5"/>
  <c r="H95" i="5" s="1"/>
  <c r="L95" i="5"/>
  <c r="M95" i="5" s="1"/>
  <c r="L347" i="5"/>
  <c r="M347" i="5" s="1"/>
  <c r="I347" i="5"/>
  <c r="H347" i="5" s="1"/>
  <c r="I341" i="5"/>
  <c r="H341" i="5" s="1"/>
  <c r="L341" i="5"/>
  <c r="M341" i="5" s="1"/>
  <c r="L264" i="5"/>
  <c r="M264" i="5" s="1"/>
  <c r="I264" i="5"/>
  <c r="H264" i="5" s="1"/>
  <c r="L54" i="5"/>
  <c r="M54" i="5" s="1"/>
  <c r="I54" i="5"/>
  <c r="H54" i="5" s="1"/>
  <c r="I277" i="5"/>
  <c r="H277" i="5" s="1"/>
  <c r="L277" i="5"/>
  <c r="M277" i="5" s="1"/>
  <c r="L137" i="5"/>
  <c r="M137" i="5" s="1"/>
  <c r="I137" i="5"/>
  <c r="H137" i="5" s="1"/>
  <c r="L30" i="5"/>
  <c r="M30" i="5" s="1"/>
  <c r="I30" i="5"/>
  <c r="H30" i="5" s="1"/>
  <c r="I268" i="5"/>
  <c r="H268" i="5" s="1"/>
  <c r="L268" i="5"/>
  <c r="M268" i="5" s="1"/>
  <c r="I110" i="5"/>
  <c r="H110" i="5" s="1"/>
  <c r="L110" i="5"/>
  <c r="M110" i="5" s="1"/>
  <c r="I272" i="5"/>
  <c r="H272" i="5" s="1"/>
  <c r="L272" i="5"/>
  <c r="M272" i="5" s="1"/>
  <c r="L77" i="5"/>
  <c r="M77" i="5" s="1"/>
  <c r="I77" i="5"/>
  <c r="H77" i="5" s="1"/>
  <c r="Z12" i="4"/>
  <c r="L130" i="5"/>
  <c r="M130" i="5" s="1"/>
  <c r="I130" i="5"/>
  <c r="H130" i="5" s="1"/>
  <c r="L86" i="5"/>
  <c r="M86" i="5" s="1"/>
  <c r="I86" i="5"/>
  <c r="H86" i="5" s="1"/>
  <c r="L63" i="5"/>
  <c r="M63" i="5" s="1"/>
  <c r="I63" i="5"/>
  <c r="H63" i="5" s="1"/>
  <c r="I230" i="5"/>
  <c r="H230" i="5" s="1"/>
  <c r="L230" i="5"/>
  <c r="M230" i="5" s="1"/>
  <c r="I262" i="5"/>
  <c r="H262" i="5" s="1"/>
  <c r="L262" i="5"/>
  <c r="M262" i="5" s="1"/>
  <c r="L290" i="5"/>
  <c r="M290" i="5" s="1"/>
  <c r="I290" i="5"/>
  <c r="H290" i="5" s="1"/>
  <c r="I37" i="5"/>
  <c r="H37" i="5" s="1"/>
  <c r="L37" i="5"/>
  <c r="M37" i="5" s="1"/>
  <c r="L120" i="5"/>
  <c r="M120" i="5" s="1"/>
  <c r="I120" i="5"/>
  <c r="H120" i="5" s="1"/>
  <c r="L206" i="5"/>
  <c r="M206" i="5" s="1"/>
  <c r="I206" i="5"/>
  <c r="H206" i="5" s="1"/>
  <c r="L209" i="5"/>
  <c r="M209" i="5" s="1"/>
  <c r="I209" i="5"/>
  <c r="H209" i="5" s="1"/>
  <c r="L149" i="5"/>
  <c r="M149" i="5" s="1"/>
  <c r="I149" i="5"/>
  <c r="H149" i="5" s="1"/>
  <c r="L142" i="5"/>
  <c r="M142" i="5" s="1"/>
  <c r="I142" i="5"/>
  <c r="H142" i="5" s="1"/>
  <c r="I273" i="5"/>
  <c r="H273" i="5" s="1"/>
  <c r="L273" i="5"/>
  <c r="M273" i="5" s="1"/>
  <c r="L147" i="5"/>
  <c r="M147" i="5" s="1"/>
  <c r="I147" i="5"/>
  <c r="H147" i="5" s="1"/>
  <c r="I296" i="5"/>
  <c r="H296" i="5" s="1"/>
  <c r="L296" i="5"/>
  <c r="M296" i="5" s="1"/>
  <c r="L176" i="5"/>
  <c r="M176" i="5" s="1"/>
  <c r="I176" i="5"/>
  <c r="H176" i="5" s="1"/>
  <c r="I267" i="5"/>
  <c r="H267" i="5" s="1"/>
  <c r="L267" i="5"/>
  <c r="M267" i="5" s="1"/>
  <c r="I319" i="5"/>
  <c r="H319" i="5" s="1"/>
  <c r="L319" i="5"/>
  <c r="M319" i="5" s="1"/>
  <c r="I313" i="5"/>
  <c r="H313" i="5" s="1"/>
  <c r="L313" i="5"/>
  <c r="M313" i="5" s="1"/>
  <c r="L309" i="5"/>
  <c r="M309" i="5" s="1"/>
  <c r="I309" i="5"/>
  <c r="H309" i="5" s="1"/>
  <c r="I43" i="5"/>
  <c r="H43" i="5" s="1"/>
  <c r="L43" i="5"/>
  <c r="M43" i="5" s="1"/>
  <c r="L182" i="5"/>
  <c r="M182" i="5" s="1"/>
  <c r="I182" i="5"/>
  <c r="H182" i="5" s="1"/>
  <c r="I321" i="5"/>
  <c r="H321" i="5" s="1"/>
  <c r="L321" i="5"/>
  <c r="M321" i="5" s="1"/>
  <c r="L194" i="5"/>
  <c r="M194" i="5" s="1"/>
  <c r="I194" i="5"/>
  <c r="H194" i="5" s="1"/>
  <c r="L69" i="5"/>
  <c r="M69" i="5" s="1"/>
  <c r="I69" i="5"/>
  <c r="H69" i="5" s="1"/>
  <c r="L61" i="5"/>
  <c r="M61" i="5" s="1"/>
  <c r="I61" i="5"/>
  <c r="H61" i="5" s="1"/>
  <c r="L195" i="5"/>
  <c r="M195" i="5" s="1"/>
  <c r="I195" i="5"/>
  <c r="H195" i="5" s="1"/>
  <c r="L225" i="5"/>
  <c r="M225" i="5" s="1"/>
  <c r="I225" i="5"/>
  <c r="H225" i="5" s="1"/>
  <c r="I250" i="5"/>
  <c r="H250" i="5" s="1"/>
  <c r="L250" i="5"/>
  <c r="M250" i="5" s="1"/>
  <c r="I253" i="5"/>
  <c r="H253" i="5" s="1"/>
  <c r="L253" i="5"/>
  <c r="M253" i="5" s="1"/>
  <c r="I289" i="5"/>
  <c r="H289" i="5" s="1"/>
  <c r="L289" i="5"/>
  <c r="M289" i="5" s="1"/>
  <c r="L35" i="5"/>
  <c r="M35" i="5" s="1"/>
  <c r="I35" i="5"/>
  <c r="H35" i="5" s="1"/>
  <c r="L127" i="5"/>
  <c r="M127" i="5" s="1"/>
  <c r="I127" i="5"/>
  <c r="H127" i="5" s="1"/>
  <c r="L261" i="5"/>
  <c r="M261" i="5" s="1"/>
  <c r="I261" i="5"/>
  <c r="H261" i="5" s="1"/>
  <c r="L66" i="5"/>
  <c r="M66" i="5" s="1"/>
  <c r="I66" i="5"/>
  <c r="H66" i="5" s="1"/>
  <c r="I181" i="5"/>
  <c r="H181" i="5" s="1"/>
  <c r="L181" i="5"/>
  <c r="M181" i="5" s="1"/>
  <c r="I308" i="5"/>
  <c r="H308" i="5" s="1"/>
  <c r="L308" i="5"/>
  <c r="M308" i="5" s="1"/>
  <c r="I58" i="5"/>
  <c r="H58" i="5" s="1"/>
  <c r="L58" i="5"/>
  <c r="M58" i="5" s="1"/>
  <c r="I101" i="5"/>
  <c r="H101" i="5" s="1"/>
  <c r="L101" i="5"/>
  <c r="M101" i="5" s="1"/>
  <c r="I38" i="5"/>
  <c r="H38" i="5" s="1"/>
  <c r="L38" i="5"/>
  <c r="M38" i="5" s="1"/>
  <c r="I235" i="5"/>
  <c r="H235" i="5" s="1"/>
  <c r="L235" i="5"/>
  <c r="M235" i="5" s="1"/>
  <c r="L80" i="5"/>
  <c r="M80" i="5" s="1"/>
  <c r="I80" i="5"/>
  <c r="H80" i="5" s="1"/>
  <c r="L275" i="5"/>
  <c r="M275" i="5" s="1"/>
  <c r="I275" i="5"/>
  <c r="H275" i="5" s="1"/>
  <c r="I20" i="5"/>
  <c r="H20" i="5" s="1"/>
  <c r="L20" i="5"/>
  <c r="M20" i="5" s="1"/>
  <c r="L72" i="5"/>
  <c r="M72" i="5" s="1"/>
  <c r="I72" i="5"/>
  <c r="H72" i="5" s="1"/>
  <c r="L278" i="5"/>
  <c r="M278" i="5" s="1"/>
  <c r="I278" i="5"/>
  <c r="H278" i="5" s="1"/>
  <c r="L157" i="5"/>
  <c r="M157" i="5" s="1"/>
  <c r="I157" i="5"/>
  <c r="H157" i="5" s="1"/>
  <c r="I201" i="5"/>
  <c r="H201" i="5" s="1"/>
  <c r="L201" i="5"/>
  <c r="M201" i="5" s="1"/>
  <c r="I40" i="5"/>
  <c r="H40" i="5" s="1"/>
  <c r="L40" i="5"/>
  <c r="M40" i="5" s="1"/>
  <c r="L178" i="5"/>
  <c r="M178" i="5" s="1"/>
  <c r="I178" i="5"/>
  <c r="H178" i="5" s="1"/>
  <c r="L155" i="5"/>
  <c r="M155" i="5" s="1"/>
  <c r="I155" i="5"/>
  <c r="H155" i="5" s="1"/>
  <c r="L254" i="5"/>
  <c r="M254" i="5" s="1"/>
  <c r="I254" i="5"/>
  <c r="H254" i="5" s="1"/>
  <c r="L14" i="5"/>
  <c r="M14" i="5" s="1"/>
  <c r="I14" i="5"/>
  <c r="H14" i="5" s="1"/>
  <c r="L350" i="5"/>
  <c r="M350" i="5" s="1"/>
  <c r="I350" i="5"/>
  <c r="H350" i="5" s="1"/>
  <c r="L299" i="5"/>
  <c r="M299" i="5" s="1"/>
  <c r="I299" i="5"/>
  <c r="H299" i="5" s="1"/>
  <c r="I31" i="5"/>
  <c r="H31" i="5" s="1"/>
  <c r="L31" i="5"/>
  <c r="M31" i="5" s="1"/>
  <c r="L355" i="5"/>
  <c r="M355" i="5" s="1"/>
  <c r="I355" i="5"/>
  <c r="H355" i="5" s="1"/>
  <c r="I317" i="5"/>
  <c r="H317" i="5" s="1"/>
  <c r="L317" i="5"/>
  <c r="M317" i="5" s="1"/>
  <c r="L426" i="5"/>
  <c r="M426" i="5" s="1"/>
  <c r="I426" i="5"/>
  <c r="H426" i="5" s="1"/>
  <c r="I170" i="5"/>
  <c r="H170" i="5" s="1"/>
  <c r="L170" i="5"/>
  <c r="M170" i="5" s="1"/>
  <c r="I128" i="5"/>
  <c r="H128" i="5" s="1"/>
  <c r="L128" i="5"/>
  <c r="M128" i="5" s="1"/>
  <c r="L326" i="5"/>
  <c r="M326" i="5" s="1"/>
  <c r="I326" i="5"/>
  <c r="H326" i="5" s="1"/>
  <c r="I274" i="5"/>
  <c r="H274" i="5" s="1"/>
  <c r="L274" i="5"/>
  <c r="M274" i="5" s="1"/>
  <c r="L199" i="5"/>
  <c r="M199" i="5" s="1"/>
  <c r="I199" i="5"/>
  <c r="H199" i="5" s="1"/>
  <c r="L152" i="5"/>
  <c r="M152" i="5" s="1"/>
  <c r="I152" i="5"/>
  <c r="H152" i="5" s="1"/>
  <c r="L301" i="5"/>
  <c r="M301" i="5" s="1"/>
  <c r="I301" i="5"/>
  <c r="H301" i="5" s="1"/>
  <c r="I60" i="5"/>
  <c r="H60" i="5" s="1"/>
  <c r="L60" i="5"/>
  <c r="M60" i="5" s="1"/>
  <c r="L79" i="5"/>
  <c r="M79" i="5" s="1"/>
  <c r="I79" i="5"/>
  <c r="H79" i="5" s="1"/>
  <c r="L357" i="5"/>
  <c r="M357" i="5" s="1"/>
  <c r="I357" i="5"/>
  <c r="H357" i="5" s="1"/>
  <c r="I180" i="5"/>
  <c r="H180" i="5" s="1"/>
  <c r="L180" i="5"/>
  <c r="M180" i="5" s="1"/>
  <c r="I325" i="5"/>
  <c r="H325" i="5" s="1"/>
  <c r="L325" i="5"/>
  <c r="M325" i="5" s="1"/>
  <c r="I53" i="5"/>
  <c r="H53" i="5" s="1"/>
  <c r="L53" i="5"/>
  <c r="M53" i="5" s="1"/>
  <c r="L48" i="5"/>
  <c r="M48" i="5" s="1"/>
  <c r="I48" i="5"/>
  <c r="H48" i="5" s="1"/>
  <c r="L44" i="5"/>
  <c r="M44" i="5" s="1"/>
  <c r="I44" i="5"/>
  <c r="H44" i="5" s="1"/>
  <c r="L271" i="5"/>
  <c r="M271" i="5" s="1"/>
  <c r="I271" i="5"/>
  <c r="H271" i="5" s="1"/>
  <c r="L320" i="5"/>
  <c r="M320" i="5" s="1"/>
  <c r="I320" i="5"/>
  <c r="H320" i="5" s="1"/>
  <c r="I247" i="5"/>
  <c r="H247" i="5" s="1"/>
  <c r="L247" i="5"/>
  <c r="M247" i="5" s="1"/>
  <c r="I45" i="5"/>
  <c r="H45" i="5" s="1"/>
  <c r="L45" i="5"/>
  <c r="M45" i="5" s="1"/>
  <c r="L91" i="5"/>
  <c r="M91" i="5" s="1"/>
  <c r="I91" i="5"/>
  <c r="H91" i="5" s="1"/>
  <c r="L34" i="5"/>
  <c r="M34" i="5" s="1"/>
  <c r="I34" i="5"/>
  <c r="H34" i="5" s="1"/>
  <c r="I266" i="5"/>
  <c r="H266" i="5" s="1"/>
  <c r="L266" i="5"/>
  <c r="M266" i="5" s="1"/>
  <c r="I52" i="5"/>
  <c r="H52" i="5" s="1"/>
  <c r="L52" i="5"/>
  <c r="M52" i="5" s="1"/>
  <c r="L246" i="5"/>
  <c r="M246" i="5" s="1"/>
  <c r="I246" i="5"/>
  <c r="H246" i="5" s="1"/>
  <c r="I229" i="5"/>
  <c r="H229" i="5" s="1"/>
  <c r="L229" i="5"/>
  <c r="M229" i="5" s="1"/>
  <c r="L119" i="5"/>
  <c r="M119" i="5" s="1"/>
  <c r="I119" i="5"/>
  <c r="H119" i="5" s="1"/>
  <c r="L239" i="5"/>
  <c r="M239" i="5" s="1"/>
  <c r="I239" i="5"/>
  <c r="H239" i="5" s="1"/>
  <c r="I217" i="5"/>
  <c r="H217" i="5" s="1"/>
  <c r="L217" i="5"/>
  <c r="M217" i="5" s="1"/>
  <c r="I131" i="5"/>
  <c r="H131" i="5" s="1"/>
  <c r="L131" i="5"/>
  <c r="M131" i="5" s="1"/>
  <c r="I116" i="5"/>
  <c r="H116" i="5" s="1"/>
  <c r="L116" i="5"/>
  <c r="M116" i="5" s="1"/>
  <c r="L100" i="5"/>
  <c r="M100" i="5" s="1"/>
  <c r="I100" i="5"/>
  <c r="H100" i="5" s="1"/>
  <c r="I196" i="5"/>
  <c r="H196" i="5" s="1"/>
  <c r="L196" i="5"/>
  <c r="M196" i="5" s="1"/>
  <c r="I248" i="5"/>
  <c r="H248" i="5" s="1"/>
  <c r="L248" i="5"/>
  <c r="M248" i="5" s="1"/>
  <c r="L33" i="5"/>
  <c r="M33" i="5" s="1"/>
  <c r="I33" i="5"/>
  <c r="H33" i="5" s="1"/>
  <c r="I216" i="5"/>
  <c r="H216" i="5" s="1"/>
  <c r="L216" i="5"/>
  <c r="M216" i="5" s="1"/>
  <c r="L260" i="5"/>
  <c r="M260" i="5" s="1"/>
  <c r="I260" i="5"/>
  <c r="H260" i="5" s="1"/>
  <c r="L84" i="5"/>
  <c r="M84" i="5" s="1"/>
  <c r="I84" i="5"/>
  <c r="H84" i="5" s="1"/>
  <c r="L185" i="5"/>
  <c r="M185" i="5" s="1"/>
  <c r="I185" i="5"/>
  <c r="H185" i="5" s="1"/>
  <c r="I36" i="5"/>
  <c r="H36" i="5" s="1"/>
  <c r="L36" i="5"/>
  <c r="M36" i="5" s="1"/>
  <c r="I366" i="5"/>
  <c r="H366" i="5" s="1"/>
  <c r="L366" i="5"/>
  <c r="M366" i="5" s="1"/>
  <c r="I17" i="5"/>
  <c r="H17" i="5" s="1"/>
  <c r="L17" i="5"/>
  <c r="M17" i="5" s="1"/>
  <c r="L62" i="5"/>
  <c r="M62" i="5" s="1"/>
  <c r="I62" i="5"/>
  <c r="H62" i="5" s="1"/>
  <c r="L198" i="5"/>
  <c r="M198" i="5" s="1"/>
  <c r="I198" i="5"/>
  <c r="H198" i="5" s="1"/>
  <c r="I184" i="5"/>
  <c r="H184" i="5" s="1"/>
  <c r="L184" i="5"/>
  <c r="M184" i="5" s="1"/>
  <c r="I358" i="5"/>
  <c r="H358" i="5" s="1"/>
  <c r="L358" i="5"/>
  <c r="M358" i="5" s="1"/>
  <c r="L218" i="5"/>
  <c r="M218" i="5" s="1"/>
  <c r="I218" i="5"/>
  <c r="H218" i="5" s="1"/>
  <c r="I292" i="5"/>
  <c r="H292" i="5" s="1"/>
  <c r="L292" i="5"/>
  <c r="M292" i="5" s="1"/>
  <c r="L98" i="5"/>
  <c r="M98" i="5" s="1"/>
  <c r="I98" i="5"/>
  <c r="H98" i="5" s="1"/>
  <c r="I105" i="5"/>
  <c r="H105" i="5" s="1"/>
  <c r="L105" i="5"/>
  <c r="M105" i="5" s="1"/>
  <c r="L68" i="5"/>
  <c r="M68" i="5" s="1"/>
  <c r="I68" i="5"/>
  <c r="H68" i="5" s="1"/>
  <c r="L401" i="5"/>
  <c r="M401" i="5" s="1"/>
  <c r="I401" i="5"/>
  <c r="H401" i="5" s="1"/>
  <c r="I263" i="5"/>
  <c r="H263" i="5" s="1"/>
  <c r="L263" i="5"/>
  <c r="M263" i="5" s="1"/>
  <c r="I16" i="5"/>
  <c r="H16" i="5" s="1"/>
  <c r="L16" i="5"/>
  <c r="M16" i="5" s="1"/>
  <c r="L214" i="5"/>
  <c r="M214" i="5" s="1"/>
  <c r="I214" i="5"/>
  <c r="H214" i="5" s="1"/>
  <c r="L422" i="5"/>
  <c r="M422" i="5" s="1"/>
  <c r="I422" i="5"/>
  <c r="H422" i="5" s="1"/>
  <c r="L156" i="5"/>
  <c r="M156" i="5" s="1"/>
  <c r="I156" i="5"/>
  <c r="H156" i="5" s="1"/>
  <c r="L121" i="5"/>
  <c r="M121" i="5" s="1"/>
  <c r="I121" i="5"/>
  <c r="H121" i="5" s="1"/>
  <c r="I124" i="5"/>
  <c r="H124" i="5" s="1"/>
  <c r="L124" i="5"/>
  <c r="M124" i="5" s="1"/>
  <c r="L28" i="5"/>
  <c r="M28" i="5" s="1"/>
  <c r="I28" i="5"/>
  <c r="H28" i="5" s="1"/>
  <c r="L200" i="5"/>
  <c r="M200" i="5" s="1"/>
  <c r="I200" i="5"/>
  <c r="H200" i="5" s="1"/>
  <c r="L287" i="5"/>
  <c r="M287" i="5" s="1"/>
  <c r="I287" i="5"/>
  <c r="H287" i="5" s="1"/>
  <c r="L223" i="5"/>
  <c r="M223" i="5" s="1"/>
  <c r="I223" i="5"/>
  <c r="H223" i="5" s="1"/>
  <c r="L173" i="5"/>
  <c r="M173" i="5" s="1"/>
  <c r="I173" i="5"/>
  <c r="H173" i="5" s="1"/>
  <c r="I64" i="5"/>
  <c r="H64" i="5" s="1"/>
  <c r="L64" i="5"/>
  <c r="M64" i="5" s="1"/>
  <c r="I202" i="5"/>
  <c r="H202" i="5" s="1"/>
  <c r="L202" i="5"/>
  <c r="M202" i="5" s="1"/>
  <c r="I244" i="5"/>
  <c r="H244" i="5" s="1"/>
  <c r="L244" i="5"/>
  <c r="M244" i="5" s="1"/>
  <c r="I87" i="5"/>
  <c r="H87" i="5" s="1"/>
  <c r="L87" i="5"/>
  <c r="M87" i="5" s="1"/>
  <c r="I21" i="5"/>
  <c r="H21" i="5" s="1"/>
  <c r="L21" i="5"/>
  <c r="M21" i="5" s="1"/>
  <c r="L270" i="5"/>
  <c r="M270" i="5" s="1"/>
  <c r="I270" i="5"/>
  <c r="H270" i="5" s="1"/>
  <c r="L327" i="5"/>
  <c r="M327" i="5" s="1"/>
  <c r="I327" i="5"/>
  <c r="H327" i="5" s="1"/>
  <c r="I114" i="5"/>
  <c r="H114" i="5" s="1"/>
  <c r="L114" i="5"/>
  <c r="M114" i="5" s="1"/>
  <c r="U423" i="98" l="1"/>
  <c r="U422" i="98"/>
  <c r="U420" i="98"/>
  <c r="U290" i="98"/>
  <c r="U132" i="98" l="1"/>
  <c r="U349" i="98"/>
  <c r="U245" i="98"/>
  <c r="U7" i="98"/>
  <c r="U8" i="98"/>
  <c r="U9" i="98"/>
  <c r="U10" i="98"/>
  <c r="U13" i="98"/>
  <c r="U14" i="98"/>
  <c r="U15" i="98"/>
  <c r="U16" i="98"/>
  <c r="U17" i="98"/>
  <c r="U19" i="98"/>
  <c r="U21" i="98"/>
  <c r="U22" i="98"/>
  <c r="U23" i="98"/>
  <c r="U24" i="98"/>
  <c r="U25" i="98"/>
  <c r="U26" i="98"/>
  <c r="U27" i="98"/>
  <c r="U28" i="98"/>
  <c r="U29" i="98"/>
  <c r="U32" i="98"/>
  <c r="U33" i="98"/>
  <c r="U34" i="98"/>
  <c r="U35" i="98"/>
  <c r="U36" i="98"/>
  <c r="U37" i="98"/>
  <c r="U38" i="98"/>
  <c r="U39" i="98"/>
  <c r="U40" i="98"/>
  <c r="U41" i="98"/>
  <c r="U42" i="98"/>
  <c r="U43" i="98"/>
  <c r="U44" i="98"/>
  <c r="U45" i="98"/>
  <c r="U46" i="98"/>
  <c r="U47" i="98"/>
  <c r="U48" i="98"/>
  <c r="U49" i="98"/>
  <c r="U50" i="98"/>
  <c r="U51" i="98"/>
  <c r="U52" i="98"/>
  <c r="U53" i="98"/>
  <c r="U54" i="98"/>
  <c r="U55" i="98"/>
  <c r="U56" i="98"/>
  <c r="U57" i="98"/>
  <c r="U58" i="98"/>
  <c r="U59" i="98"/>
  <c r="U60" i="98"/>
  <c r="U61" i="98"/>
  <c r="U62" i="98"/>
  <c r="U63" i="98"/>
  <c r="U64" i="98"/>
  <c r="U65" i="98"/>
  <c r="U66" i="98"/>
  <c r="U67" i="98"/>
  <c r="U68" i="98"/>
  <c r="U69" i="98"/>
  <c r="U70" i="98"/>
  <c r="U71" i="98"/>
  <c r="U72" i="98"/>
  <c r="U73" i="98"/>
  <c r="U74" i="98"/>
  <c r="U75" i="98"/>
  <c r="U76" i="98"/>
  <c r="U77" i="98"/>
  <c r="U78" i="98"/>
  <c r="U79" i="98"/>
  <c r="U80" i="98"/>
  <c r="U81" i="98"/>
  <c r="U82" i="98"/>
  <c r="U83" i="98"/>
  <c r="U84" i="98"/>
  <c r="U85" i="98"/>
  <c r="U86" i="98"/>
  <c r="U87" i="98"/>
  <c r="U223" i="98"/>
  <c r="U88" i="98"/>
  <c r="U89" i="98"/>
  <c r="U90" i="98"/>
  <c r="U91" i="98"/>
  <c r="U92" i="98"/>
  <c r="U93" i="98"/>
  <c r="U94" i="98"/>
  <c r="U95" i="98"/>
  <c r="U96" i="98"/>
  <c r="U97" i="98"/>
  <c r="U98" i="98"/>
  <c r="U99" i="98"/>
  <c r="U100" i="98"/>
  <c r="U101" i="98"/>
  <c r="U102" i="98"/>
  <c r="U103" i="98"/>
  <c r="U104" i="98"/>
  <c r="U105" i="98"/>
  <c r="U106" i="98"/>
  <c r="U107" i="98"/>
  <c r="U108" i="98"/>
  <c r="U110" i="98"/>
  <c r="U111" i="98"/>
  <c r="U264" i="98"/>
  <c r="U112" i="98"/>
  <c r="U113" i="98"/>
  <c r="U114" i="98"/>
  <c r="U115" i="98"/>
  <c r="U116" i="98"/>
  <c r="U117" i="98"/>
  <c r="U118" i="98"/>
  <c r="U119" i="98"/>
  <c r="U120" i="98"/>
  <c r="U121" i="98"/>
  <c r="U122" i="98"/>
  <c r="U123" i="98"/>
  <c r="U124" i="98"/>
  <c r="U125" i="98"/>
  <c r="U126" i="98"/>
  <c r="U127" i="98"/>
  <c r="U128" i="98"/>
  <c r="U129" i="98"/>
  <c r="U130" i="98"/>
  <c r="U131" i="98"/>
  <c r="U133" i="98"/>
  <c r="U134" i="98"/>
  <c r="U135" i="98"/>
  <c r="U136" i="98"/>
  <c r="U137" i="98"/>
  <c r="U139" i="98"/>
  <c r="U140" i="98"/>
  <c r="U141" i="98"/>
  <c r="U142" i="98"/>
  <c r="U143" i="98"/>
  <c r="U144" i="98"/>
  <c r="U146" i="98"/>
  <c r="U147" i="98"/>
  <c r="U148" i="98"/>
  <c r="U149" i="98"/>
  <c r="U150" i="98"/>
  <c r="U151" i="98"/>
  <c r="U152" i="98"/>
  <c r="U153" i="98"/>
  <c r="U154" i="98"/>
  <c r="U155" i="98"/>
  <c r="U156" i="98"/>
  <c r="U157" i="98"/>
  <c r="U158" i="98"/>
  <c r="U159" i="98"/>
  <c r="U160" i="98"/>
  <c r="U161" i="98"/>
  <c r="U162" i="98"/>
  <c r="U163" i="98"/>
  <c r="U164" i="98"/>
  <c r="U165" i="98"/>
  <c r="U166" i="98"/>
  <c r="U167" i="98"/>
  <c r="U168" i="98"/>
  <c r="U169" i="98"/>
  <c r="U170" i="98"/>
  <c r="U171" i="98"/>
  <c r="U172" i="98"/>
  <c r="U173" i="98"/>
  <c r="U174" i="98"/>
  <c r="U175" i="98"/>
  <c r="U176" i="98"/>
  <c r="U177" i="98"/>
  <c r="U178" i="98"/>
  <c r="U179" i="98"/>
  <c r="U180" i="98"/>
  <c r="U181" i="98"/>
  <c r="U182" i="98"/>
  <c r="U183" i="98"/>
  <c r="U184" i="98"/>
  <c r="U185" i="98"/>
  <c r="U186" i="98"/>
  <c r="U187" i="98"/>
  <c r="U188" i="98"/>
  <c r="U189" i="98"/>
  <c r="U190" i="98"/>
  <c r="U191" i="98"/>
  <c r="U192" i="98"/>
  <c r="U193" i="98"/>
  <c r="U194" i="98"/>
  <c r="U195" i="98"/>
  <c r="U196" i="98"/>
  <c r="U197" i="98"/>
  <c r="U198" i="98"/>
  <c r="U199" i="98"/>
  <c r="U200" i="98"/>
  <c r="U201" i="98"/>
  <c r="U202" i="98"/>
  <c r="U203" i="98"/>
  <c r="U204" i="98"/>
  <c r="U205" i="98"/>
  <c r="U206" i="98"/>
  <c r="U207" i="98"/>
  <c r="U209" i="98"/>
  <c r="U210" i="98"/>
  <c r="U212" i="98"/>
  <c r="U213" i="98"/>
  <c r="U214" i="98"/>
  <c r="U215" i="98"/>
  <c r="U216" i="98"/>
  <c r="U217" i="98"/>
  <c r="U218" i="98"/>
  <c r="U219" i="98"/>
  <c r="U220" i="98"/>
  <c r="U221" i="98"/>
  <c r="U222" i="98"/>
  <c r="U224" i="98"/>
  <c r="U225" i="98"/>
  <c r="U226" i="98"/>
  <c r="U227" i="98"/>
  <c r="U228" i="98"/>
  <c r="U229" i="98"/>
  <c r="U230" i="98"/>
  <c r="U231" i="98"/>
  <c r="U232" i="98"/>
  <c r="U233" i="98"/>
  <c r="U234" i="98"/>
  <c r="U235" i="98"/>
  <c r="U236" i="98"/>
  <c r="U237" i="98"/>
  <c r="U238" i="98"/>
  <c r="U239" i="98"/>
  <c r="U240" i="98"/>
  <c r="U241" i="98"/>
  <c r="U242" i="98"/>
  <c r="U243" i="98"/>
  <c r="U244" i="98"/>
  <c r="U246" i="98"/>
  <c r="U247" i="98"/>
  <c r="U248" i="98"/>
  <c r="U249" i="98"/>
  <c r="U250" i="98"/>
  <c r="U251" i="98"/>
  <c r="U252" i="98"/>
  <c r="U253" i="98"/>
  <c r="U254" i="98"/>
  <c r="U255" i="98"/>
  <c r="U256" i="98"/>
  <c r="U257" i="98"/>
  <c r="U258" i="98"/>
  <c r="U259" i="98"/>
  <c r="U260" i="98"/>
  <c r="U261" i="98"/>
  <c r="U262" i="98"/>
  <c r="U263" i="98"/>
  <c r="U265" i="98"/>
  <c r="U266" i="98"/>
  <c r="U267" i="98"/>
  <c r="U268" i="98"/>
  <c r="U269" i="98"/>
  <c r="U11" i="98"/>
  <c r="U270" i="98"/>
  <c r="U271" i="98"/>
  <c r="U272" i="98"/>
  <c r="U273" i="98"/>
  <c r="U274" i="98"/>
  <c r="U275" i="98"/>
  <c r="U276" i="98"/>
  <c r="U277" i="98"/>
  <c r="U278" i="98"/>
  <c r="U279" i="98"/>
  <c r="U280" i="98"/>
  <c r="U281" i="98"/>
  <c r="U282" i="98"/>
  <c r="U283" i="98"/>
  <c r="U284" i="98"/>
  <c r="U285" i="98"/>
  <c r="U286" i="98"/>
  <c r="U287" i="98"/>
  <c r="U288" i="98"/>
  <c r="U289" i="98"/>
  <c r="U291" i="98"/>
  <c r="U293" i="98"/>
  <c r="U294" i="98"/>
  <c r="U295" i="98"/>
  <c r="U296" i="98"/>
  <c r="U298" i="98"/>
  <c r="U299" i="98"/>
  <c r="U300" i="98"/>
  <c r="U301" i="98"/>
  <c r="U302" i="98"/>
  <c r="U303" i="98"/>
  <c r="U304" i="98"/>
  <c r="U305" i="98"/>
  <c r="U306" i="98"/>
  <c r="U309" i="98"/>
  <c r="U310" i="98"/>
  <c r="U311" i="98"/>
  <c r="U312" i="98"/>
  <c r="U313" i="98"/>
  <c r="U314" i="98"/>
  <c r="U315" i="98"/>
  <c r="U316" i="98"/>
  <c r="U317" i="98"/>
  <c r="U318" i="98"/>
  <c r="U319" i="98"/>
  <c r="U320" i="98"/>
  <c r="U321" i="98"/>
  <c r="U322" i="98"/>
  <c r="U323" i="98"/>
  <c r="U324" i="98"/>
  <c r="U325" i="98"/>
  <c r="U326" i="98"/>
  <c r="U327" i="98"/>
  <c r="U328" i="98"/>
  <c r="U329" i="98"/>
  <c r="U330" i="98"/>
  <c r="U331" i="98"/>
  <c r="U332" i="98"/>
  <c r="U333" i="98"/>
  <c r="U334" i="98"/>
  <c r="U335" i="98"/>
  <c r="U336" i="98"/>
  <c r="U337" i="98"/>
  <c r="U338" i="98"/>
  <c r="U339" i="98"/>
  <c r="U340" i="98"/>
  <c r="U341" i="98"/>
  <c r="U342" i="98"/>
  <c r="U343" i="98"/>
  <c r="U344" i="98"/>
  <c r="U345" i="98"/>
  <c r="U346" i="98"/>
  <c r="U347" i="98"/>
  <c r="U348" i="98"/>
  <c r="U350" i="98"/>
  <c r="U351" i="98"/>
  <c r="U355" i="98"/>
  <c r="U356" i="98"/>
  <c r="U357" i="98"/>
  <c r="U358" i="98"/>
  <c r="U359" i="98"/>
  <c r="U361" i="98"/>
  <c r="U362" i="98"/>
  <c r="U363" i="98"/>
  <c r="U364" i="98"/>
  <c r="U365" i="98"/>
  <c r="U366" i="98"/>
  <c r="U367" i="98"/>
  <c r="U368" i="98"/>
  <c r="U369" i="98"/>
  <c r="U370" i="98"/>
  <c r="U371" i="98"/>
  <c r="U372" i="98"/>
  <c r="U373" i="98"/>
  <c r="U374" i="98"/>
  <c r="U375" i="98"/>
  <c r="U376" i="98"/>
  <c r="U377" i="98"/>
  <c r="U378" i="98"/>
  <c r="U379" i="98"/>
  <c r="U380" i="98"/>
  <c r="U381" i="98"/>
  <c r="U382" i="98"/>
  <c r="U383" i="98"/>
  <c r="U384" i="98"/>
  <c r="U385" i="98"/>
  <c r="U386" i="98"/>
  <c r="U387" i="98"/>
  <c r="U388" i="98"/>
  <c r="U389" i="98"/>
  <c r="U390" i="98"/>
  <c r="U391" i="98"/>
  <c r="U392" i="98"/>
  <c r="U393" i="98"/>
  <c r="U394" i="98"/>
  <c r="U395" i="98"/>
  <c r="U396" i="98"/>
  <c r="U397" i="98"/>
  <c r="U404" i="98"/>
  <c r="U405" i="98"/>
  <c r="U406" i="98"/>
  <c r="U407" i="98"/>
  <c r="U408" i="98"/>
  <c r="U409" i="98"/>
  <c r="U410" i="98"/>
  <c r="U411" i="98"/>
  <c r="U412" i="98"/>
  <c r="U413" i="98"/>
  <c r="U414" i="98"/>
  <c r="U416" i="98"/>
  <c r="U4" i="98" l="1"/>
  <c r="U421" i="98"/>
  <c r="U109" i="98"/>
  <c r="U208" i="98"/>
  <c r="U292" i="98"/>
  <c r="U308" i="98"/>
  <c r="U419" i="98"/>
  <c r="U138" i="98"/>
  <c r="U418" i="98"/>
  <c r="U307" i="98"/>
  <c r="R493" i="8"/>
  <c r="R7" i="8" s="1"/>
  <c r="M390" i="8"/>
  <c r="N390" i="8" l="1"/>
  <c r="AA382" i="4" l="1"/>
  <c r="Z382" i="4" s="1"/>
  <c r="AA432" i="4"/>
  <c r="Z432" i="4" s="1"/>
  <c r="AA342" i="4"/>
  <c r="AA376" i="4"/>
  <c r="Z376" i="4" s="1"/>
  <c r="AA418" i="4"/>
  <c r="Z418" i="4" s="1"/>
  <c r="AA407" i="4"/>
  <c r="Z407" i="4" s="1"/>
  <c r="AA26" i="4"/>
  <c r="AA371" i="4"/>
  <c r="AA461" i="4"/>
  <c r="Z461" i="4" s="1"/>
  <c r="AA459" i="4"/>
  <c r="Z459" i="4" s="1"/>
  <c r="AA428" i="4"/>
  <c r="Z428" i="4" s="1"/>
  <c r="AA385" i="4"/>
  <c r="Z385" i="4" s="1"/>
  <c r="AA387" i="4"/>
  <c r="AA338" i="4"/>
  <c r="AA347" i="4"/>
  <c r="Z347" i="4" s="1"/>
  <c r="AA406" i="4"/>
  <c r="Z406" i="4" s="1"/>
  <c r="AA426" i="4"/>
  <c r="Z426" i="4" s="1"/>
  <c r="AA403" i="4"/>
  <c r="AA431" i="4"/>
  <c r="Z431" i="4" s="1"/>
  <c r="AA398" i="4"/>
  <c r="Z398" i="4" s="1"/>
  <c r="AA437" i="4"/>
  <c r="Z437" i="4" s="1"/>
  <c r="AA416" i="4"/>
  <c r="Z416" i="4" s="1"/>
  <c r="AA389" i="4"/>
  <c r="AA391" i="4"/>
  <c r="Z391" i="4" s="1"/>
  <c r="AA399" i="4"/>
  <c r="AA379" i="4"/>
  <c r="Z379" i="4" s="1"/>
  <c r="AA91" i="4"/>
  <c r="Z91" i="4" s="1"/>
  <c r="AA393" i="4"/>
  <c r="Z393" i="4" s="1"/>
  <c r="AA427" i="4"/>
  <c r="Z427" i="4" s="1"/>
  <c r="AA378" i="4"/>
  <c r="Z378" i="4" s="1"/>
  <c r="AA482" i="4"/>
  <c r="Z482" i="4" s="1"/>
  <c r="AA58" i="4"/>
  <c r="Z58" i="4" s="1"/>
  <c r="AA384" i="4"/>
  <c r="AA408" i="4"/>
  <c r="Z408" i="4" s="1"/>
  <c r="AA405" i="4"/>
  <c r="Z405" i="4" s="1"/>
  <c r="AA465" i="4"/>
  <c r="Z465" i="4" s="1"/>
  <c r="AA386" i="4"/>
  <c r="AA413" i="4"/>
  <c r="Z413" i="4" s="1"/>
  <c r="AA471" i="4"/>
  <c r="Z471" i="4" s="1"/>
  <c r="AA400" i="4"/>
  <c r="AA410" i="4"/>
  <c r="Z410" i="4" s="1"/>
  <c r="AA377" i="4"/>
  <c r="Z377" i="4" s="1"/>
  <c r="AA394" i="4"/>
  <c r="Z394" i="4" s="1"/>
  <c r="AA481" i="4"/>
  <c r="Z481" i="4" s="1"/>
  <c r="AA435" i="4"/>
  <c r="Z435" i="4" s="1"/>
  <c r="AA349" i="4"/>
  <c r="Z349" i="4" s="1"/>
  <c r="AA441" i="4"/>
  <c r="Z441" i="4" s="1"/>
  <c r="AA368" i="4"/>
  <c r="AA397" i="4"/>
  <c r="Z397" i="4" s="1"/>
  <c r="AA402" i="4"/>
  <c r="AA337" i="4"/>
  <c r="Z386" i="4" l="1"/>
  <c r="G383" i="5"/>
  <c r="Z403" i="4"/>
  <c r="G400" i="5"/>
  <c r="Z387" i="4"/>
  <c r="G384" i="5"/>
  <c r="Z371" i="4"/>
  <c r="G368" i="5"/>
  <c r="Z337" i="4"/>
  <c r="G334" i="5"/>
  <c r="Z402" i="4"/>
  <c r="G399" i="5"/>
  <c r="Z400" i="4"/>
  <c r="G397" i="5"/>
  <c r="Z384" i="4"/>
  <c r="G381" i="5"/>
  <c r="Z338" i="4"/>
  <c r="G335" i="5"/>
  <c r="Z389" i="4"/>
  <c r="G386" i="5"/>
  <c r="Z26" i="4"/>
  <c r="Z342" i="4"/>
  <c r="G339" i="5"/>
  <c r="Z368" i="4"/>
  <c r="G365" i="5"/>
  <c r="Z399" i="4"/>
  <c r="G396" i="5"/>
  <c r="L396" i="5" l="1"/>
  <c r="M396" i="5" s="1"/>
  <c r="I396" i="5"/>
  <c r="H396" i="5" s="1"/>
  <c r="L339" i="5"/>
  <c r="M339" i="5" s="1"/>
  <c r="I339" i="5"/>
  <c r="H339" i="5" s="1"/>
  <c r="I368" i="5"/>
  <c r="H368" i="5" s="1"/>
  <c r="L368" i="5"/>
  <c r="M368" i="5" s="1"/>
  <c r="I335" i="5"/>
  <c r="H335" i="5" s="1"/>
  <c r="L335" i="5"/>
  <c r="M335" i="5" s="1"/>
  <c r="L397" i="5"/>
  <c r="M397" i="5" s="1"/>
  <c r="I397" i="5"/>
  <c r="H397" i="5" s="1"/>
  <c r="L399" i="5"/>
  <c r="M399" i="5" s="1"/>
  <c r="I399" i="5"/>
  <c r="H399" i="5" s="1"/>
  <c r="I334" i="5"/>
  <c r="H334" i="5" s="1"/>
  <c r="L334" i="5"/>
  <c r="M334" i="5" s="1"/>
  <c r="I365" i="5"/>
  <c r="H365" i="5" s="1"/>
  <c r="L365" i="5"/>
  <c r="M365" i="5" s="1"/>
  <c r="I386" i="5"/>
  <c r="H386" i="5" s="1"/>
  <c r="L386" i="5"/>
  <c r="M386" i="5" s="1"/>
  <c r="L381" i="5"/>
  <c r="M381" i="5" s="1"/>
  <c r="I381" i="5"/>
  <c r="H381" i="5" s="1"/>
  <c r="I400" i="5"/>
  <c r="H400" i="5" s="1"/>
  <c r="L400" i="5"/>
  <c r="M400" i="5" s="1"/>
  <c r="I384" i="5"/>
  <c r="H384" i="5" s="1"/>
  <c r="L384" i="5"/>
  <c r="M384" i="5" s="1"/>
  <c r="I383" i="5"/>
  <c r="H383" i="5" s="1"/>
  <c r="L383" i="5"/>
  <c r="M383" i="5" s="1"/>
  <c r="AA26" i="36"/>
  <c r="AA8" i="36" s="1"/>
  <c r="P25" i="9"/>
  <c r="U494" i="36"/>
  <c r="AC494" i="36"/>
  <c r="D30" i="22"/>
  <c r="D35" i="22" s="1"/>
  <c r="D37" i="22" s="1"/>
  <c r="S26" i="36"/>
  <c r="M26" i="36" s="1"/>
  <c r="H25" i="4"/>
  <c r="H7" i="4" l="1"/>
  <c r="F30" i="22" s="1"/>
  <c r="F35" i="22" s="1"/>
  <c r="G37" i="22" s="1"/>
  <c r="H493" i="4"/>
  <c r="P25" i="4"/>
  <c r="P493" i="4" s="1"/>
  <c r="M494" i="36"/>
  <c r="AI26" i="36"/>
  <c r="AI8" i="36" s="1"/>
  <c r="S8" i="36"/>
  <c r="AA494" i="36"/>
  <c r="J26" i="36"/>
  <c r="S494" i="36"/>
  <c r="AI494" i="36" s="1"/>
  <c r="AD26" i="36"/>
  <c r="P493" i="9"/>
  <c r="P7" i="4"/>
  <c r="P493" i="8"/>
  <c r="P7" i="8" s="1"/>
  <c r="P26" i="36"/>
  <c r="AK26" i="36" s="1"/>
  <c r="AQ25" i="4"/>
  <c r="P7" i="9"/>
  <c r="AC8" i="36"/>
  <c r="AD7" i="36" s="1"/>
  <c r="M8" i="36"/>
  <c r="S493" i="6"/>
  <c r="AV25" i="4"/>
  <c r="AV493" i="4" s="1"/>
  <c r="BD25" i="4" l="1"/>
  <c r="AQ493" i="4"/>
  <c r="AX25" i="4"/>
  <c r="AH26" i="36"/>
  <c r="AH8" i="36" s="1"/>
  <c r="J8" i="36"/>
  <c r="J494" i="36"/>
  <c r="AH494" i="36" s="1"/>
  <c r="AZ25" i="4"/>
  <c r="AQ7" i="4"/>
  <c r="AD8" i="36"/>
  <c r="AD494" i="36"/>
  <c r="AV7" i="4"/>
  <c r="G40" i="22" s="1"/>
  <c r="P494" i="36"/>
  <c r="P8" i="36"/>
  <c r="K2" i="36" s="1"/>
  <c r="X25" i="8"/>
  <c r="X25" i="9"/>
  <c r="AA25" i="6"/>
  <c r="AJ26" i="36"/>
  <c r="AJ8" i="36" s="1"/>
  <c r="L5" i="36"/>
  <c r="M2" i="36" l="1"/>
  <c r="Y25" i="8"/>
  <c r="Z25" i="8"/>
  <c r="X493" i="8"/>
  <c r="X7" i="8" s="1"/>
  <c r="R2" i="4"/>
  <c r="AA493" i="6"/>
  <c r="AA7" i="6"/>
  <c r="AB25" i="6"/>
  <c r="AJ494" i="36"/>
  <c r="AK494" i="36"/>
  <c r="AZ493" i="4"/>
  <c r="AX493" i="4"/>
  <c r="Y25" i="9"/>
  <c r="Z25" i="9"/>
  <c r="X493" i="9"/>
  <c r="X7" i="9"/>
  <c r="AS2" i="4"/>
  <c r="AB7" i="6" l="1"/>
  <c r="AB493" i="6"/>
  <c r="AD25" i="6"/>
  <c r="Z493" i="8"/>
  <c r="Z7" i="8" s="1"/>
  <c r="M25" i="8"/>
  <c r="Y493" i="8"/>
  <c r="Y7" i="8" s="1"/>
  <c r="AD25" i="8"/>
  <c r="AC25" i="8"/>
  <c r="M25" i="9"/>
  <c r="Z493" i="9"/>
  <c r="Z7" i="9"/>
  <c r="Y7" i="9"/>
  <c r="Y493" i="9"/>
  <c r="AC25" i="9"/>
  <c r="M7" i="8" l="1"/>
  <c r="M493" i="8"/>
  <c r="N25" i="8"/>
  <c r="N7" i="8" s="1"/>
  <c r="M493" i="9"/>
  <c r="N25" i="9"/>
  <c r="M7" i="9"/>
  <c r="N493" i="9" l="1"/>
  <c r="N7" i="9"/>
  <c r="N493" i="8"/>
  <c r="O342" i="8" l="1"/>
  <c r="O115" i="8"/>
  <c r="O80" i="8"/>
  <c r="O294" i="8"/>
  <c r="O72" i="8"/>
  <c r="O50" i="8"/>
  <c r="O128" i="8"/>
  <c r="O403" i="8"/>
  <c r="O51" i="8"/>
  <c r="O372" i="8"/>
  <c r="O310" i="8"/>
  <c r="O333" i="8"/>
  <c r="O398" i="8"/>
  <c r="O418" i="8"/>
  <c r="O482" i="8"/>
  <c r="O62" i="8"/>
  <c r="O21" i="8"/>
  <c r="O37" i="8"/>
  <c r="O295" i="8"/>
  <c r="O393" i="8"/>
  <c r="O224" i="8"/>
  <c r="O99" i="8"/>
  <c r="O364" i="8"/>
  <c r="O29" i="8"/>
  <c r="O301" i="8"/>
  <c r="O443" i="8"/>
  <c r="O103" i="8"/>
  <c r="O287" i="8"/>
  <c r="O445" i="8"/>
  <c r="O190" i="8"/>
  <c r="O202" i="8"/>
  <c r="O239" i="8"/>
  <c r="O59" i="8"/>
  <c r="O132" i="8"/>
  <c r="O349" i="8"/>
  <c r="O219" i="8"/>
  <c r="O42" i="8"/>
  <c r="O329" i="8"/>
  <c r="O187" i="8"/>
  <c r="O350" i="8"/>
  <c r="O265" i="8"/>
  <c r="O206" i="8"/>
  <c r="O305" i="8"/>
  <c r="O355" i="8"/>
  <c r="O409" i="8"/>
  <c r="O111" i="8"/>
  <c r="O336" i="8"/>
  <c r="O323" i="8"/>
  <c r="O436" i="8"/>
  <c r="O43" i="8"/>
  <c r="O327" i="8"/>
  <c r="O432" i="8"/>
  <c r="O257" i="8"/>
  <c r="O340" i="8"/>
  <c r="O129" i="8"/>
  <c r="O125" i="8"/>
  <c r="O440" i="8"/>
  <c r="O53" i="8"/>
  <c r="O255" i="8"/>
  <c r="O36" i="8"/>
  <c r="O457" i="8"/>
  <c r="O413" i="8"/>
  <c r="O160" i="8"/>
  <c r="O71" i="8"/>
  <c r="O270" i="8"/>
  <c r="O165" i="8"/>
  <c r="O455" i="8"/>
  <c r="O74" i="8"/>
  <c r="O198" i="8"/>
  <c r="O299" i="8"/>
  <c r="O126" i="8"/>
  <c r="O169" i="8"/>
  <c r="O307" i="8"/>
  <c r="O337" i="8"/>
  <c r="O420" i="8"/>
  <c r="O285" i="8"/>
  <c r="O177" i="8"/>
  <c r="O209" i="8"/>
  <c r="O470" i="8"/>
  <c r="O250" i="8"/>
  <c r="O97" i="8"/>
  <c r="O78" i="8"/>
  <c r="O490" i="8"/>
  <c r="O262" i="8"/>
  <c r="O354" i="8"/>
  <c r="O55" i="8"/>
  <c r="O31" i="8"/>
  <c r="O338" i="8"/>
  <c r="O134" i="8"/>
  <c r="O32" i="8"/>
  <c r="O17" i="8"/>
  <c r="O263" i="8"/>
  <c r="O313" i="8"/>
  <c r="O19" i="8"/>
  <c r="O38" i="8"/>
  <c r="O476" i="8"/>
  <c r="O346" i="8"/>
  <c r="O46" i="8"/>
  <c r="O138" i="8"/>
  <c r="O218" i="8"/>
  <c r="O468" i="8"/>
  <c r="O12" i="8"/>
  <c r="O136" i="8"/>
  <c r="O288" i="8"/>
  <c r="O208" i="8"/>
  <c r="O347" i="8"/>
  <c r="O88" i="8"/>
  <c r="O380" i="8"/>
  <c r="O24" i="8"/>
  <c r="O65" i="8"/>
  <c r="O251" i="8"/>
  <c r="O464" i="8"/>
  <c r="O377" i="8"/>
  <c r="O308" i="8"/>
  <c r="O424" i="8"/>
  <c r="O143" i="8"/>
  <c r="O416" i="8"/>
  <c r="O60" i="8"/>
  <c r="O93" i="8"/>
  <c r="O359" i="8"/>
  <c r="O175" i="8"/>
  <c r="O306" i="8"/>
  <c r="O414" i="8"/>
  <c r="O362" i="8"/>
  <c r="O28" i="8"/>
  <c r="O442" i="8"/>
  <c r="O293" i="8"/>
  <c r="O469" i="8"/>
  <c r="O303" i="8"/>
  <c r="O123" i="8"/>
  <c r="O137" i="8"/>
  <c r="O161" i="8"/>
  <c r="O371" i="8"/>
  <c r="O182" i="8"/>
  <c r="O466" i="8"/>
  <c r="O247" i="8"/>
  <c r="O405" i="8"/>
  <c r="O283" i="8"/>
  <c r="O44" i="8"/>
  <c r="O366" i="8"/>
  <c r="O124" i="8"/>
  <c r="O370" i="8"/>
  <c r="O252" i="8"/>
  <c r="O149" i="8"/>
  <c r="O382" i="8"/>
  <c r="O406" i="8"/>
  <c r="O225" i="8"/>
  <c r="O326" i="8"/>
  <c r="O450" i="8"/>
  <c r="O394" i="8"/>
  <c r="O116" i="8"/>
  <c r="O16" i="8"/>
  <c r="O240" i="8"/>
  <c r="O375" i="8"/>
  <c r="O384" i="8"/>
  <c r="O271" i="8"/>
  <c r="O77" i="8"/>
  <c r="O260" i="8"/>
  <c r="O68" i="8"/>
  <c r="O454" i="8"/>
  <c r="O155" i="8"/>
  <c r="O253" i="8"/>
  <c r="O280" i="8"/>
  <c r="O462" i="8"/>
  <c r="O290" i="8"/>
  <c r="O471" i="8"/>
  <c r="O230" i="8"/>
  <c r="O139" i="8"/>
  <c r="O444" i="8"/>
  <c r="O95" i="8"/>
  <c r="O373" i="8"/>
  <c r="O421" i="8"/>
  <c r="O368" i="8"/>
  <c r="O45" i="8"/>
  <c r="O461" i="8"/>
  <c r="O386" i="8"/>
  <c r="O204" i="8"/>
  <c r="O275" i="8"/>
  <c r="O261" i="8"/>
  <c r="O200" i="8"/>
  <c r="O483" i="8"/>
  <c r="O266" i="8"/>
  <c r="O174" i="8"/>
  <c r="O112" i="8"/>
  <c r="O203" i="8"/>
  <c r="O48" i="8"/>
  <c r="O339" i="8"/>
  <c r="O259" i="8"/>
  <c r="O437" i="8"/>
  <c r="O408" i="8"/>
  <c r="O325" i="8"/>
  <c r="O463" i="8"/>
  <c r="O130" i="8"/>
  <c r="O318" i="8"/>
  <c r="O278" i="8"/>
  <c r="O201" i="8"/>
  <c r="O153" i="8"/>
  <c r="O220" i="8"/>
  <c r="O194" i="8"/>
  <c r="O284" i="8"/>
  <c r="O164" i="8"/>
  <c r="O101" i="8"/>
  <c r="O302" i="8"/>
  <c r="O98" i="8"/>
  <c r="O489" i="8"/>
  <c r="O102" i="8"/>
  <c r="O236" i="8"/>
  <c r="O361" i="8"/>
  <c r="O281" i="8"/>
  <c r="O192" i="8"/>
  <c r="O392" i="8"/>
  <c r="O79" i="8"/>
  <c r="O234" i="8"/>
  <c r="O465" i="8"/>
  <c r="O213" i="8"/>
  <c r="O84" i="8"/>
  <c r="O196" i="8"/>
  <c r="O341" i="8"/>
  <c r="O314" i="8"/>
  <c r="O47" i="8"/>
  <c r="O319" i="8"/>
  <c r="O211" i="8"/>
  <c r="O390" i="8"/>
  <c r="O395" i="8"/>
  <c r="O223" i="8"/>
  <c r="O311" i="8"/>
  <c r="O186" i="8"/>
  <c r="O473" i="8"/>
  <c r="O379" i="8"/>
  <c r="O304" i="8"/>
  <c r="O89" i="8"/>
  <c r="O227" i="8"/>
  <c r="O167" i="8"/>
  <c r="O316" i="8"/>
  <c r="O120" i="8"/>
  <c r="O147" i="8"/>
  <c r="O30" i="8"/>
  <c r="O52" i="8"/>
  <c r="O332" i="8"/>
  <c r="O245" i="8"/>
  <c r="O474" i="8"/>
  <c r="O199" i="8"/>
  <c r="O127" i="8"/>
  <c r="O15" i="8"/>
  <c r="O401" i="8"/>
  <c r="O415" i="8"/>
  <c r="O485" i="8"/>
  <c r="O133" i="8"/>
  <c r="O197" i="8"/>
  <c r="O334" i="8"/>
  <c r="O383" i="8"/>
  <c r="O429" i="8"/>
  <c r="O472" i="8"/>
  <c r="O363" i="8"/>
  <c r="O315" i="8"/>
  <c r="O231" i="8"/>
  <c r="O447" i="8"/>
  <c r="O321" i="8"/>
  <c r="O248" i="8"/>
  <c r="O365" i="8"/>
  <c r="O156" i="8"/>
  <c r="O57" i="8"/>
  <c r="O56" i="8"/>
  <c r="O238" i="8"/>
  <c r="O360" i="8"/>
  <c r="O61" i="8"/>
  <c r="O121" i="8"/>
  <c r="O479" i="8"/>
  <c r="O195" i="8"/>
  <c r="O154" i="8"/>
  <c r="O277" i="8"/>
  <c r="O66" i="8"/>
  <c r="O289" i="8"/>
  <c r="O425" i="8"/>
  <c r="O282" i="8"/>
  <c r="O272" i="8"/>
  <c r="O54" i="8"/>
  <c r="O226" i="8"/>
  <c r="O407" i="8"/>
  <c r="O269" i="8"/>
  <c r="O402" i="8"/>
  <c r="O343" i="8"/>
  <c r="O273" i="8"/>
  <c r="O467" i="8"/>
  <c r="O480" i="8"/>
  <c r="O279" i="8"/>
  <c r="O189" i="8"/>
  <c r="O488" i="8"/>
  <c r="O358" i="8"/>
  <c r="O205" i="8"/>
  <c r="O426" i="8"/>
  <c r="O298" i="8"/>
  <c r="O422" i="8"/>
  <c r="O309" i="8"/>
  <c r="O412" i="8"/>
  <c r="O452" i="8"/>
  <c r="O427" i="8"/>
  <c r="O254" i="8"/>
  <c r="O297" i="8"/>
  <c r="O33" i="8"/>
  <c r="O357" i="8"/>
  <c r="O107" i="8"/>
  <c r="O162" i="8"/>
  <c r="O141" i="8"/>
  <c r="O486" i="8"/>
  <c r="O159" i="8"/>
  <c r="O152" i="8"/>
  <c r="O83" i="8"/>
  <c r="O86" i="8"/>
  <c r="O214" i="8"/>
  <c r="O114" i="8"/>
  <c r="O249" i="8"/>
  <c r="O179" i="8"/>
  <c r="O35" i="8"/>
  <c r="O345" i="8"/>
  <c r="O385" i="8"/>
  <c r="O163" i="8"/>
  <c r="O256" i="8"/>
  <c r="O106" i="8"/>
  <c r="O387" i="8"/>
  <c r="O291" i="8"/>
  <c r="O91" i="8"/>
  <c r="O140" i="8"/>
  <c r="O258" i="8"/>
  <c r="O232" i="8"/>
  <c r="O39" i="8"/>
  <c r="O178" i="8"/>
  <c r="O110" i="8"/>
  <c r="O446" i="8"/>
  <c r="O170" i="8"/>
  <c r="O216" i="8"/>
  <c r="O243" i="8"/>
  <c r="O122" i="8"/>
  <c r="O207" i="8"/>
  <c r="O317" i="8"/>
  <c r="O320" i="8"/>
  <c r="O228" i="8"/>
  <c r="O456" i="8"/>
  <c r="O145" i="8"/>
  <c r="O391" i="8"/>
  <c r="O296" i="8"/>
  <c r="O233" i="8"/>
  <c r="O374" i="8"/>
  <c r="O168" i="8"/>
  <c r="O41" i="8"/>
  <c r="O351" i="8"/>
  <c r="O171" i="8"/>
  <c r="O217" i="8"/>
  <c r="O312" i="8"/>
  <c r="O431" i="8"/>
  <c r="O135" i="8"/>
  <c r="O381" i="8"/>
  <c r="O173" i="8"/>
  <c r="O411" i="8"/>
  <c r="O417" i="8"/>
  <c r="O237" i="8"/>
  <c r="O142" i="8"/>
  <c r="O113" i="8"/>
  <c r="O328" i="8"/>
  <c r="O369" i="8"/>
  <c r="O460" i="8"/>
  <c r="O146" i="8"/>
  <c r="O76" i="8"/>
  <c r="O428" i="8"/>
  <c r="O459" i="8"/>
  <c r="O212" i="8"/>
  <c r="O191" i="8"/>
  <c r="O376" i="8"/>
  <c r="O276" i="8"/>
  <c r="O441" i="8"/>
  <c r="O378" i="8"/>
  <c r="O344" i="8"/>
  <c r="O87" i="8"/>
  <c r="O181" i="8"/>
  <c r="O388" i="8"/>
  <c r="O58" i="8"/>
  <c r="O242" i="8"/>
  <c r="O300" i="8"/>
  <c r="O64" i="8"/>
  <c r="O438" i="8"/>
  <c r="O367" i="8"/>
  <c r="O478" i="8"/>
  <c r="O267" i="8"/>
  <c r="O92" i="8"/>
  <c r="O481" i="8"/>
  <c r="O274" i="8"/>
  <c r="O104" i="8"/>
  <c r="O63" i="8"/>
  <c r="O18" i="8"/>
  <c r="O23" i="8"/>
  <c r="O396" i="8"/>
  <c r="O151" i="8"/>
  <c r="O292" i="8"/>
  <c r="O331" i="8"/>
  <c r="O235" i="8"/>
  <c r="O193" i="8"/>
  <c r="O69" i="8"/>
  <c r="O475" i="8"/>
  <c r="O119" i="8"/>
  <c r="O435" i="8"/>
  <c r="O449" i="8"/>
  <c r="O477" i="8"/>
  <c r="O180" i="8"/>
  <c r="O423" i="8"/>
  <c r="O244" i="8"/>
  <c r="O85" i="8"/>
  <c r="O322" i="8"/>
  <c r="O27" i="8"/>
  <c r="O356" i="8"/>
  <c r="O492" i="8"/>
  <c r="O176" i="8"/>
  <c r="O264" i="8"/>
  <c r="O172" i="8"/>
  <c r="O324" i="8"/>
  <c r="O439" i="8"/>
  <c r="O184" i="8"/>
  <c r="O105" i="8"/>
  <c r="O286" i="8"/>
  <c r="O458" i="8"/>
  <c r="O397" i="8"/>
  <c r="O183" i="8"/>
  <c r="O49" i="8"/>
  <c r="O491" i="8"/>
  <c r="O67" i="8"/>
  <c r="O229" i="8"/>
  <c r="O150" i="8"/>
  <c r="O434" i="8"/>
  <c r="O73" i="8"/>
  <c r="O40" i="8"/>
  <c r="O158" i="8"/>
  <c r="O221" i="8"/>
  <c r="O487" i="8"/>
  <c r="O22" i="8"/>
  <c r="O148" i="8"/>
  <c r="O389" i="8"/>
  <c r="O82" i="8"/>
  <c r="O117" i="8"/>
  <c r="O90" i="8"/>
  <c r="O348" i="8"/>
  <c r="O185" i="8"/>
  <c r="O404" i="8"/>
  <c r="O13" i="8"/>
  <c r="O14" i="8"/>
  <c r="O108" i="8"/>
  <c r="O210" i="8"/>
  <c r="O34" i="8"/>
  <c r="O26" i="8"/>
  <c r="O70" i="8"/>
  <c r="O453" i="8"/>
  <c r="O118" i="8"/>
  <c r="O75" i="8"/>
  <c r="O131" i="8"/>
  <c r="O352" i="8"/>
  <c r="O81" i="8"/>
  <c r="O335" i="8"/>
  <c r="O96" i="8"/>
  <c r="O241" i="8"/>
  <c r="O188" i="8"/>
  <c r="O419" i="8"/>
  <c r="O20" i="8"/>
  <c r="O100" i="8"/>
  <c r="O353" i="8"/>
  <c r="O448" i="8"/>
  <c r="O484" i="8"/>
  <c r="O430" i="8"/>
  <c r="O399" i="8"/>
  <c r="O215" i="8"/>
  <c r="O400" i="8"/>
  <c r="O433" i="8"/>
  <c r="O166" i="8"/>
  <c r="O157" i="8"/>
  <c r="O246" i="8"/>
  <c r="O144" i="8"/>
  <c r="O94" i="8"/>
  <c r="O268" i="8"/>
  <c r="O222" i="8"/>
  <c r="O451" i="8"/>
  <c r="O410" i="8"/>
  <c r="O109" i="8"/>
  <c r="O330" i="8"/>
  <c r="O25" i="8"/>
  <c r="O45" i="9"/>
  <c r="O94" i="9"/>
  <c r="O259" i="9"/>
  <c r="O348" i="9"/>
  <c r="O401" i="9"/>
  <c r="O190" i="9"/>
  <c r="O216" i="9"/>
  <c r="O440" i="9"/>
  <c r="O285" i="9"/>
  <c r="O331" i="9"/>
  <c r="O459" i="9"/>
  <c r="O225" i="9"/>
  <c r="O326" i="9"/>
  <c r="O271" i="9"/>
  <c r="O188" i="9"/>
  <c r="O131" i="9"/>
  <c r="O219" i="9"/>
  <c r="O480" i="9"/>
  <c r="O251" i="9"/>
  <c r="O297" i="9"/>
  <c r="O325" i="9"/>
  <c r="O262" i="9"/>
  <c r="O153" i="9"/>
  <c r="O98" i="9"/>
  <c r="O476" i="9"/>
  <c r="O434" i="9"/>
  <c r="O211" i="9"/>
  <c r="O141" i="9"/>
  <c r="O181" i="9"/>
  <c r="O95" i="9"/>
  <c r="O103" i="9"/>
  <c r="O303" i="9"/>
  <c r="O56" i="9"/>
  <c r="O332" i="9"/>
  <c r="O291" i="9"/>
  <c r="O338" i="9"/>
  <c r="O84" i="9"/>
  <c r="O486" i="9"/>
  <c r="O223" i="9"/>
  <c r="O280" i="9"/>
  <c r="O235" i="9"/>
  <c r="O442" i="9"/>
  <c r="O152" i="9"/>
  <c r="O462" i="9"/>
  <c r="O463" i="9"/>
  <c r="O445" i="9"/>
  <c r="O158" i="9"/>
  <c r="O102" i="9"/>
  <c r="O20" i="9"/>
  <c r="O115" i="9"/>
  <c r="O404" i="9"/>
  <c r="O296" i="9"/>
  <c r="O386" i="9"/>
  <c r="O137" i="9"/>
  <c r="O481" i="9"/>
  <c r="O302" i="9"/>
  <c r="O354" i="9"/>
  <c r="O257" i="9"/>
  <c r="O117" i="9"/>
  <c r="O92" i="9"/>
  <c r="O93" i="9"/>
  <c r="O487" i="9"/>
  <c r="O380" i="9"/>
  <c r="O173" i="9"/>
  <c r="O36" i="9"/>
  <c r="O66" i="9"/>
  <c r="O408" i="9"/>
  <c r="O391" i="9"/>
  <c r="O142" i="9"/>
  <c r="O221" i="9"/>
  <c r="O107" i="9"/>
  <c r="O335" i="9"/>
  <c r="O166" i="9"/>
  <c r="O375" i="9"/>
  <c r="O160" i="9"/>
  <c r="O339" i="9"/>
  <c r="O295" i="9"/>
  <c r="O269" i="9"/>
  <c r="O112" i="9"/>
  <c r="O229" i="9"/>
  <c r="O460" i="9"/>
  <c r="O236" i="9"/>
  <c r="O213" i="9"/>
  <c r="O272" i="9"/>
  <c r="O467" i="9"/>
  <c r="O243" i="9"/>
  <c r="O422" i="9"/>
  <c r="O189" i="9"/>
  <c r="O195" i="9"/>
  <c r="O246" i="9"/>
  <c r="O433" i="9"/>
  <c r="O357" i="9"/>
  <c r="O374" i="9"/>
  <c r="O252" i="9"/>
  <c r="O143" i="9"/>
  <c r="O72" i="9"/>
  <c r="O119" i="9"/>
  <c r="O443" i="9"/>
  <c r="O178" i="9"/>
  <c r="O265" i="9"/>
  <c r="O410" i="9"/>
  <c r="O121" i="9"/>
  <c r="O273" i="9"/>
  <c r="O286" i="9"/>
  <c r="O352" i="9"/>
  <c r="O167" i="9"/>
  <c r="O147" i="9"/>
  <c r="O488" i="9"/>
  <c r="O171" i="9"/>
  <c r="O412" i="9"/>
  <c r="O175" i="9"/>
  <c r="O234" i="9"/>
  <c r="O80" i="9"/>
  <c r="O129" i="9"/>
  <c r="O320" i="9"/>
  <c r="O350" i="9"/>
  <c r="O316" i="9"/>
  <c r="O64" i="9"/>
  <c r="AA64" i="9" s="1"/>
  <c r="O105" i="9"/>
  <c r="O328" i="9"/>
  <c r="O267" i="9"/>
  <c r="O431" i="9"/>
  <c r="O353" i="9"/>
  <c r="O384" i="9"/>
  <c r="O78" i="9"/>
  <c r="O185" i="9"/>
  <c r="O369" i="9"/>
  <c r="O362" i="9"/>
  <c r="O200" i="9"/>
  <c r="O472" i="9"/>
  <c r="O437" i="9"/>
  <c r="O203" i="9"/>
  <c r="O329" i="9"/>
  <c r="O361" i="9"/>
  <c r="O427" i="9"/>
  <c r="O63" i="9"/>
  <c r="AA63" i="9" s="1"/>
  <c r="O388" i="9"/>
  <c r="O204" i="9"/>
  <c r="O146" i="9"/>
  <c r="O256" i="9"/>
  <c r="O290" i="9"/>
  <c r="O193" i="9"/>
  <c r="O183" i="9"/>
  <c r="O222" i="9"/>
  <c r="O209" i="9"/>
  <c r="O169" i="9"/>
  <c r="O113" i="9"/>
  <c r="O439" i="9"/>
  <c r="O61" i="9"/>
  <c r="O161" i="9"/>
  <c r="O136" i="9"/>
  <c r="O268" i="9"/>
  <c r="O425" i="9"/>
  <c r="O207" i="9"/>
  <c r="O406" i="9"/>
  <c r="O407" i="9"/>
  <c r="O58" i="9"/>
  <c r="O278" i="9"/>
  <c r="O48" i="9"/>
  <c r="Q48" i="9" s="1"/>
  <c r="O134" i="9"/>
  <c r="O192" i="9"/>
  <c r="O12" i="9"/>
  <c r="O74" i="9"/>
  <c r="O281" i="9"/>
  <c r="O130" i="9"/>
  <c r="O441" i="9"/>
  <c r="O395" i="9"/>
  <c r="O490" i="9"/>
  <c r="O206" i="9"/>
  <c r="O304" i="9"/>
  <c r="O415" i="9"/>
  <c r="O306" i="9"/>
  <c r="O310" i="9"/>
  <c r="O89" i="9"/>
  <c r="O424" i="9"/>
  <c r="O18" i="9"/>
  <c r="O16" i="9"/>
  <c r="O196" i="9"/>
  <c r="O438" i="9"/>
  <c r="O270" i="9"/>
  <c r="O145" i="9"/>
  <c r="O277" i="9"/>
  <c r="O276" i="9"/>
  <c r="O413" i="9"/>
  <c r="O409" i="9"/>
  <c r="O42" i="9"/>
  <c r="O81" i="9"/>
  <c r="O248" i="9"/>
  <c r="O279" i="9"/>
  <c r="O237" i="9"/>
  <c r="O57" i="9"/>
  <c r="O249" i="9"/>
  <c r="O239" i="9"/>
  <c r="O82" i="9"/>
  <c r="O389" i="9"/>
  <c r="O418" i="9"/>
  <c r="O397" i="9"/>
  <c r="O165" i="9"/>
  <c r="O177" i="9"/>
  <c r="O485" i="9"/>
  <c r="O274" i="9"/>
  <c r="O253" i="9"/>
  <c r="O471" i="9"/>
  <c r="O448" i="9"/>
  <c r="O356" i="9"/>
  <c r="O26" i="9"/>
  <c r="O450" i="9"/>
  <c r="O313" i="9"/>
  <c r="O29" i="9"/>
  <c r="O327" i="9"/>
  <c r="O298" i="9"/>
  <c r="O197" i="9"/>
  <c r="O417" i="9"/>
  <c r="O39" i="9"/>
  <c r="O75" i="9"/>
  <c r="O383" i="9"/>
  <c r="O469" i="9"/>
  <c r="O49" i="9"/>
  <c r="O176" i="9"/>
  <c r="O212" i="9"/>
  <c r="O205" i="9"/>
  <c r="O31" i="9"/>
  <c r="O118" i="9"/>
  <c r="O377" i="9"/>
  <c r="O162" i="9"/>
  <c r="O151" i="9"/>
  <c r="O288" i="9"/>
  <c r="O62" i="9"/>
  <c r="O199" i="9"/>
  <c r="O124" i="9"/>
  <c r="O371" i="9"/>
  <c r="O90" i="9"/>
  <c r="O184" i="9"/>
  <c r="O96" i="9"/>
  <c r="O387" i="9"/>
  <c r="O122" i="9"/>
  <c r="O321" i="9"/>
  <c r="O186" i="9"/>
  <c r="O255" i="9"/>
  <c r="O260" i="9"/>
  <c r="O73" i="9"/>
  <c r="O68" i="9"/>
  <c r="O263" i="9"/>
  <c r="O489" i="9"/>
  <c r="O491" i="9"/>
  <c r="O69" i="9"/>
  <c r="O358" i="9"/>
  <c r="O421" i="9"/>
  <c r="O232" i="9"/>
  <c r="O364" i="9"/>
  <c r="O411" i="9"/>
  <c r="O44" i="9"/>
  <c r="O475" i="9"/>
  <c r="O37" i="9"/>
  <c r="O157" i="9"/>
  <c r="O347" i="9"/>
  <c r="O453" i="9"/>
  <c r="O65" i="9"/>
  <c r="O300" i="9"/>
  <c r="O464" i="9"/>
  <c r="O399" i="9"/>
  <c r="O474" i="9"/>
  <c r="O83" i="9"/>
  <c r="O104" i="9"/>
  <c r="O187" i="9"/>
  <c r="O312" i="9"/>
  <c r="O355" i="9"/>
  <c r="O155" i="9"/>
  <c r="O230" i="9"/>
  <c r="O319" i="9"/>
  <c r="O228" i="9"/>
  <c r="O133" i="9"/>
  <c r="O366" i="9"/>
  <c r="O390" i="9"/>
  <c r="O138" i="9"/>
  <c r="O483" i="9"/>
  <c r="O323" i="9"/>
  <c r="O292" i="9"/>
  <c r="O156" i="9"/>
  <c r="O148" i="9"/>
  <c r="O373" i="9"/>
  <c r="O163" i="9"/>
  <c r="O372" i="9"/>
  <c r="O368" i="9"/>
  <c r="O215" i="9"/>
  <c r="O85" i="9"/>
  <c r="O482" i="9"/>
  <c r="O465" i="9"/>
  <c r="O101" i="9"/>
  <c r="O283" i="9"/>
  <c r="O123" i="9"/>
  <c r="O210" i="9"/>
  <c r="O333" i="9"/>
  <c r="O398" i="9"/>
  <c r="O132" i="9"/>
  <c r="O484" i="9"/>
  <c r="O305" i="9"/>
  <c r="O214" i="9"/>
  <c r="O41" i="9"/>
  <c r="O208" i="9"/>
  <c r="O258" i="9"/>
  <c r="O405" i="9"/>
  <c r="O429" i="9"/>
  <c r="O43" i="9"/>
  <c r="O309" i="9"/>
  <c r="O299" i="9"/>
  <c r="O363" i="9"/>
  <c r="O266" i="9"/>
  <c r="O346" i="9"/>
  <c r="O344" i="9"/>
  <c r="O419" i="9"/>
  <c r="O50" i="9"/>
  <c r="O217" i="9"/>
  <c r="O282" i="9"/>
  <c r="O159" i="9"/>
  <c r="O458" i="9"/>
  <c r="O394" i="9"/>
  <c r="O293" i="9"/>
  <c r="O393" i="9"/>
  <c r="O455" i="9"/>
  <c r="O120" i="9"/>
  <c r="O403" i="9"/>
  <c r="O180" i="9"/>
  <c r="O201" i="9"/>
  <c r="O351" i="9"/>
  <c r="O164" i="9"/>
  <c r="O242" i="9"/>
  <c r="O314" i="9"/>
  <c r="O54" i="9"/>
  <c r="O135" i="9"/>
  <c r="O144" i="9"/>
  <c r="O86" i="9"/>
  <c r="O140" i="9"/>
  <c r="O53" i="9"/>
  <c r="O330" i="9"/>
  <c r="O365" i="9"/>
  <c r="O30" i="9"/>
  <c r="O224" i="9"/>
  <c r="O35" i="9"/>
  <c r="O322" i="9"/>
  <c r="O379" i="9"/>
  <c r="O21" i="9"/>
  <c r="O91" i="9"/>
  <c r="O202" i="9"/>
  <c r="O13" i="9"/>
  <c r="O32" i="9"/>
  <c r="O451" i="9"/>
  <c r="O227" i="9"/>
  <c r="O315" i="9"/>
  <c r="O275" i="9"/>
  <c r="O59" i="9"/>
  <c r="O111" i="9"/>
  <c r="O79" i="9"/>
  <c r="O233" i="9"/>
  <c r="O33" i="9"/>
  <c r="O264" i="9"/>
  <c r="O381" i="9"/>
  <c r="O345" i="9"/>
  <c r="O27" i="9"/>
  <c r="O430" i="9"/>
  <c r="O341" i="9"/>
  <c r="O492" i="9"/>
  <c r="O88" i="9"/>
  <c r="O432" i="9"/>
  <c r="O301" i="9"/>
  <c r="O52" i="9"/>
  <c r="O218" i="9"/>
  <c r="O170" i="9"/>
  <c r="O359" i="9"/>
  <c r="O284" i="9"/>
  <c r="O392" i="9"/>
  <c r="O318" i="9"/>
  <c r="O77" i="9"/>
  <c r="O452" i="9"/>
  <c r="O402" i="9"/>
  <c r="O191" i="9"/>
  <c r="O360" i="9"/>
  <c r="O343" i="9"/>
  <c r="O51" i="9"/>
  <c r="O87" i="9"/>
  <c r="O14" i="9"/>
  <c r="O150" i="9"/>
  <c r="O241" i="9"/>
  <c r="O376" i="9"/>
  <c r="O226" i="9"/>
  <c r="O245" i="9"/>
  <c r="O378" i="9"/>
  <c r="O416" i="9"/>
  <c r="O400" i="9"/>
  <c r="O340" i="9"/>
  <c r="O324" i="9"/>
  <c r="O19" i="9"/>
  <c r="O261" i="9"/>
  <c r="O447" i="9"/>
  <c r="O307" i="9"/>
  <c r="O125" i="9"/>
  <c r="O231" i="9"/>
  <c r="O414" i="9"/>
  <c r="O473" i="9"/>
  <c r="O334" i="9"/>
  <c r="O34" i="9"/>
  <c r="O244" i="9"/>
  <c r="O337" i="9"/>
  <c r="O468" i="9"/>
  <c r="O194" i="9"/>
  <c r="O308" i="9"/>
  <c r="O238" i="9"/>
  <c r="O46" i="9"/>
  <c r="O466" i="9"/>
  <c r="O444" i="9"/>
  <c r="O250" i="9"/>
  <c r="O71" i="9"/>
  <c r="O336" i="9"/>
  <c r="O426" i="9"/>
  <c r="O349" i="9"/>
  <c r="O22" i="9"/>
  <c r="O382" i="9"/>
  <c r="O370" i="9"/>
  <c r="O311" i="9"/>
  <c r="O198" i="9"/>
  <c r="O60" i="9"/>
  <c r="O449" i="9"/>
  <c r="O446" i="9"/>
  <c r="O127" i="9"/>
  <c r="O15" i="9"/>
  <c r="O172" i="9"/>
  <c r="O396" i="9"/>
  <c r="O457" i="9"/>
  <c r="O456" i="9"/>
  <c r="O454" i="9"/>
  <c r="O477" i="9"/>
  <c r="O342" i="9"/>
  <c r="O461" i="9"/>
  <c r="O116" i="9"/>
  <c r="O106" i="9"/>
  <c r="O367" i="9"/>
  <c r="O289" i="9"/>
  <c r="O420" i="9"/>
  <c r="O385" i="9"/>
  <c r="O220" i="9"/>
  <c r="O287" i="9"/>
  <c r="O70" i="9"/>
  <c r="O240" i="9"/>
  <c r="O28" i="9"/>
  <c r="O67" i="9"/>
  <c r="O99" i="9"/>
  <c r="O126" i="9"/>
  <c r="O479" i="9"/>
  <c r="O435" i="9"/>
  <c r="O436" i="9"/>
  <c r="O128" i="9"/>
  <c r="O478" i="9"/>
  <c r="O17" i="9"/>
  <c r="O38" i="9"/>
  <c r="O149" i="9"/>
  <c r="O470" i="9"/>
  <c r="O139" i="9"/>
  <c r="O294" i="9"/>
  <c r="O168" i="9"/>
  <c r="O55" i="9"/>
  <c r="O114" i="9"/>
  <c r="O108" i="9"/>
  <c r="O100" i="9"/>
  <c r="O110" i="9"/>
  <c r="O24" i="9"/>
  <c r="O174" i="9"/>
  <c r="O23" i="9"/>
  <c r="O428" i="9"/>
  <c r="O109" i="9"/>
  <c r="O47" i="9"/>
  <c r="O317" i="9"/>
  <c r="O76" i="9"/>
  <c r="O423" i="9"/>
  <c r="O40" i="9"/>
  <c r="O97" i="9"/>
  <c r="O247" i="9"/>
  <c r="O154" i="9"/>
  <c r="O254" i="9"/>
  <c r="O182" i="9"/>
  <c r="O179" i="9"/>
  <c r="O25" i="9"/>
  <c r="O7" i="8" l="1"/>
  <c r="Q423" i="9"/>
  <c r="AA423" i="9"/>
  <c r="Q24" i="9"/>
  <c r="AA24" i="9"/>
  <c r="Q139" i="9"/>
  <c r="AA139" i="9"/>
  <c r="Q67" i="9"/>
  <c r="AA67" i="9"/>
  <c r="Q289" i="9"/>
  <c r="AA289" i="9"/>
  <c r="Q15" i="9"/>
  <c r="AA15" i="9"/>
  <c r="Q466" i="9"/>
  <c r="AA466" i="9"/>
  <c r="Q231" i="9"/>
  <c r="AA231" i="9"/>
  <c r="Q400" i="9"/>
  <c r="AA400" i="9"/>
  <c r="Q360" i="9"/>
  <c r="AA360" i="9"/>
  <c r="Q301" i="9"/>
  <c r="AA301" i="9"/>
  <c r="Q79" i="9"/>
  <c r="AA79" i="9"/>
  <c r="Q379" i="9"/>
  <c r="AA379" i="9"/>
  <c r="Q54" i="9"/>
  <c r="AA54" i="9"/>
  <c r="Q394" i="9"/>
  <c r="AA394" i="9"/>
  <c r="Q309" i="9"/>
  <c r="AA309" i="9"/>
  <c r="Q305" i="9"/>
  <c r="AA305" i="9"/>
  <c r="Q101" i="9"/>
  <c r="AA101" i="9"/>
  <c r="Q323" i="9"/>
  <c r="AA323" i="9"/>
  <c r="Q187" i="9"/>
  <c r="AA187" i="9"/>
  <c r="Q475" i="9"/>
  <c r="AA475" i="9"/>
  <c r="Q321" i="9"/>
  <c r="AA321" i="9"/>
  <c r="Q469" i="9"/>
  <c r="AA469" i="9"/>
  <c r="Q356" i="9"/>
  <c r="AA356" i="9"/>
  <c r="Q239" i="9"/>
  <c r="AA239" i="9"/>
  <c r="Q16" i="9"/>
  <c r="AA16" i="9"/>
  <c r="Q130" i="9"/>
  <c r="AA130" i="9"/>
  <c r="Q425" i="9"/>
  <c r="AA425" i="9"/>
  <c r="Q290" i="9"/>
  <c r="AA290" i="9"/>
  <c r="Q200" i="9"/>
  <c r="AA200" i="9"/>
  <c r="Q316" i="9"/>
  <c r="AA316" i="9"/>
  <c r="Q171" i="9"/>
  <c r="AA171" i="9"/>
  <c r="Q410" i="9"/>
  <c r="AA410" i="9"/>
  <c r="Q460" i="9"/>
  <c r="AA460" i="9"/>
  <c r="Q142" i="9"/>
  <c r="AA142" i="9"/>
  <c r="Q354" i="9"/>
  <c r="AA354" i="9"/>
  <c r="Q463" i="9"/>
  <c r="AA463" i="9"/>
  <c r="Q56" i="9"/>
  <c r="AA56" i="9"/>
  <c r="Q325" i="9"/>
  <c r="AA325" i="9"/>
  <c r="Q285" i="9"/>
  <c r="AA285" i="9"/>
  <c r="Q182" i="9"/>
  <c r="AA182" i="9"/>
  <c r="Q97" i="9"/>
  <c r="AA97" i="9"/>
  <c r="Q317" i="9"/>
  <c r="AA317" i="9"/>
  <c r="Q23" i="9"/>
  <c r="AA23" i="9"/>
  <c r="Q100" i="9"/>
  <c r="AA100" i="9"/>
  <c r="Q168" i="9"/>
  <c r="AA168" i="9"/>
  <c r="Q149" i="9"/>
  <c r="AA149" i="9"/>
  <c r="Q128" i="9"/>
  <c r="AA128" i="9"/>
  <c r="Q126" i="9"/>
  <c r="AA126" i="9"/>
  <c r="Q240" i="9"/>
  <c r="AA240" i="9"/>
  <c r="Q385" i="9"/>
  <c r="AA385" i="9"/>
  <c r="Q106" i="9"/>
  <c r="AA106" i="9"/>
  <c r="Q477" i="9"/>
  <c r="AA477" i="9"/>
  <c r="Q396" i="9"/>
  <c r="AA396" i="9"/>
  <c r="Q446" i="9"/>
  <c r="AA446" i="9"/>
  <c r="Q311" i="9"/>
  <c r="AA311" i="9"/>
  <c r="Q349" i="9"/>
  <c r="AA349" i="9"/>
  <c r="Q250" i="9"/>
  <c r="AA250" i="9"/>
  <c r="Q238" i="9"/>
  <c r="AA238" i="9"/>
  <c r="Q337" i="9"/>
  <c r="AA337" i="9"/>
  <c r="Q473" i="9"/>
  <c r="AA473" i="9"/>
  <c r="Q307" i="9"/>
  <c r="AA307" i="9"/>
  <c r="Q324" i="9"/>
  <c r="AA324" i="9"/>
  <c r="Q378" i="9"/>
  <c r="AA378" i="9"/>
  <c r="Q241" i="9"/>
  <c r="AA241" i="9"/>
  <c r="Q51" i="9"/>
  <c r="AA51" i="9"/>
  <c r="Q402" i="9"/>
  <c r="AA402" i="9"/>
  <c r="Q392" i="9"/>
  <c r="AA392" i="9"/>
  <c r="Q218" i="9"/>
  <c r="AA218" i="9"/>
  <c r="Q88" i="9"/>
  <c r="AA88" i="9"/>
  <c r="Q27" i="9"/>
  <c r="AA27" i="9"/>
  <c r="Q33" i="9"/>
  <c r="AA33" i="9"/>
  <c r="Q59" i="9"/>
  <c r="AA59" i="9"/>
  <c r="Q451" i="9"/>
  <c r="AA451" i="9"/>
  <c r="Q91" i="9"/>
  <c r="AA91" i="9"/>
  <c r="Q35" i="9"/>
  <c r="AA35" i="9"/>
  <c r="Q330" i="9"/>
  <c r="AA330" i="9"/>
  <c r="Q144" i="9"/>
  <c r="AA144" i="9"/>
  <c r="Q242" i="9"/>
  <c r="AA242" i="9"/>
  <c r="Q180" i="9"/>
  <c r="AA180" i="9"/>
  <c r="Q393" i="9"/>
  <c r="AA393" i="9"/>
  <c r="Q159" i="9"/>
  <c r="AA159" i="9"/>
  <c r="Q419" i="9"/>
  <c r="AA419" i="9"/>
  <c r="Q363" i="9"/>
  <c r="AA363" i="9"/>
  <c r="Q429" i="9"/>
  <c r="AA429" i="9"/>
  <c r="Q41" i="9"/>
  <c r="AA41" i="9"/>
  <c r="Q132" i="9"/>
  <c r="AA132" i="9"/>
  <c r="Q123" i="9"/>
  <c r="AA123" i="9"/>
  <c r="Q482" i="9"/>
  <c r="AA482" i="9"/>
  <c r="Q372" i="9"/>
  <c r="AA372" i="9"/>
  <c r="Q156" i="9"/>
  <c r="AA156" i="9"/>
  <c r="Q138" i="9"/>
  <c r="AA138" i="9"/>
  <c r="Q228" i="9"/>
  <c r="AA228" i="9"/>
  <c r="Q355" i="9"/>
  <c r="AA355" i="9"/>
  <c r="Q83" i="9"/>
  <c r="AA83" i="9"/>
  <c r="Q300" i="9"/>
  <c r="AA300" i="9"/>
  <c r="Q157" i="9"/>
  <c r="AA157" i="9"/>
  <c r="Q411" i="9"/>
  <c r="AA411" i="9"/>
  <c r="Q358" i="9"/>
  <c r="AA358" i="9"/>
  <c r="Q263" i="9"/>
  <c r="AA263" i="9"/>
  <c r="Q255" i="9"/>
  <c r="AA255" i="9"/>
  <c r="Q387" i="9"/>
  <c r="AA387" i="9"/>
  <c r="Q371" i="9"/>
  <c r="AA371" i="9"/>
  <c r="Q288" i="9"/>
  <c r="AA288" i="9"/>
  <c r="Q118" i="9"/>
  <c r="AA118" i="9"/>
  <c r="Q176" i="9"/>
  <c r="AA176" i="9"/>
  <c r="Q75" i="9"/>
  <c r="AA75" i="9"/>
  <c r="Q298" i="9"/>
  <c r="AA298" i="9"/>
  <c r="Q450" i="9"/>
  <c r="AA450" i="9"/>
  <c r="Q471" i="9"/>
  <c r="AA471" i="9"/>
  <c r="Q177" i="9"/>
  <c r="AA177" i="9"/>
  <c r="Q389" i="9"/>
  <c r="AA389" i="9"/>
  <c r="Q57" i="9"/>
  <c r="AA57" i="9"/>
  <c r="Q81" i="9"/>
  <c r="AA81" i="9"/>
  <c r="Q276" i="9"/>
  <c r="AA276" i="9"/>
  <c r="Q438" i="9"/>
  <c r="AA438" i="9"/>
  <c r="Q424" i="9"/>
  <c r="AA424" i="9"/>
  <c r="Q415" i="9"/>
  <c r="AA415" i="9"/>
  <c r="Q395" i="9"/>
  <c r="AA395" i="9"/>
  <c r="Q74" i="9"/>
  <c r="AA74" i="9"/>
  <c r="AA48" i="9"/>
  <c r="Q406" i="9"/>
  <c r="AA406" i="9"/>
  <c r="Q136" i="9"/>
  <c r="AA136" i="9"/>
  <c r="Q113" i="9"/>
  <c r="AA113" i="9"/>
  <c r="Q183" i="9"/>
  <c r="AA183" i="9"/>
  <c r="Q146" i="9"/>
  <c r="AA146" i="9"/>
  <c r="Q427" i="9"/>
  <c r="AA427" i="9"/>
  <c r="Q437" i="9"/>
  <c r="AA437" i="9"/>
  <c r="Q369" i="9"/>
  <c r="AA369" i="9"/>
  <c r="Q353" i="9"/>
  <c r="AA353" i="9"/>
  <c r="Q105" i="9"/>
  <c r="AA105" i="9"/>
  <c r="Q320" i="9"/>
  <c r="AA320" i="9"/>
  <c r="Q175" i="9"/>
  <c r="AA175" i="9"/>
  <c r="Q147" i="9"/>
  <c r="AA147" i="9"/>
  <c r="Q273" i="9"/>
  <c r="AA273" i="9"/>
  <c r="Q178" i="9"/>
  <c r="AA178" i="9"/>
  <c r="Q143" i="9"/>
  <c r="AA143" i="9"/>
  <c r="Q433" i="9"/>
  <c r="AA433" i="9"/>
  <c r="Q422" i="9"/>
  <c r="AA422" i="9"/>
  <c r="Q213" i="9"/>
  <c r="AA213" i="9"/>
  <c r="Q112" i="9"/>
  <c r="AA112" i="9"/>
  <c r="Q160" i="9"/>
  <c r="AA160" i="9"/>
  <c r="Q107" i="9"/>
  <c r="AA107" i="9"/>
  <c r="Q408" i="9"/>
  <c r="AA408" i="9"/>
  <c r="Q380" i="9"/>
  <c r="AA380" i="9"/>
  <c r="Q117" i="9"/>
  <c r="AA117" i="9"/>
  <c r="Q481" i="9"/>
  <c r="AA481" i="9"/>
  <c r="Q404" i="9"/>
  <c r="AA404" i="9"/>
  <c r="Q158" i="9"/>
  <c r="AA158" i="9"/>
  <c r="Q152" i="9"/>
  <c r="AA152" i="9"/>
  <c r="Q223" i="9"/>
  <c r="AA223" i="9"/>
  <c r="Q291" i="9"/>
  <c r="AA291" i="9"/>
  <c r="Q103" i="9"/>
  <c r="AA103" i="9"/>
  <c r="Q211" i="9"/>
  <c r="AA211" i="9"/>
  <c r="Q153" i="9"/>
  <c r="AA153" i="9"/>
  <c r="Q251" i="9"/>
  <c r="AA251" i="9"/>
  <c r="Q188" i="9"/>
  <c r="AA188" i="9"/>
  <c r="Q459" i="9"/>
  <c r="AA459" i="9"/>
  <c r="Q216" i="9"/>
  <c r="AA216" i="9"/>
  <c r="Q259" i="9"/>
  <c r="AA259" i="9"/>
  <c r="Q154" i="9"/>
  <c r="AA154" i="9"/>
  <c r="Q114" i="9"/>
  <c r="AA114" i="9"/>
  <c r="Q17" i="9"/>
  <c r="AA17" i="9"/>
  <c r="Q287" i="9"/>
  <c r="AA287" i="9"/>
  <c r="Q456" i="9"/>
  <c r="AA456" i="9"/>
  <c r="Q382" i="9"/>
  <c r="AA382" i="9"/>
  <c r="Q194" i="9"/>
  <c r="AA194" i="9"/>
  <c r="Q261" i="9"/>
  <c r="AA261" i="9"/>
  <c r="Q14" i="9"/>
  <c r="AA14" i="9"/>
  <c r="Q359" i="9"/>
  <c r="AA359" i="9"/>
  <c r="Q381" i="9"/>
  <c r="AA381" i="9"/>
  <c r="Q13" i="9"/>
  <c r="AA13" i="9"/>
  <c r="Q140" i="9"/>
  <c r="AA140" i="9"/>
  <c r="Q351" i="9"/>
  <c r="AA351" i="9"/>
  <c r="Q217" i="9"/>
  <c r="AA217" i="9"/>
  <c r="Q258" i="9"/>
  <c r="AA258" i="9"/>
  <c r="Q373" i="9"/>
  <c r="AA373" i="9"/>
  <c r="Q366" i="9"/>
  <c r="AA366" i="9"/>
  <c r="Q399" i="9"/>
  <c r="AA399" i="9"/>
  <c r="Q232" i="9"/>
  <c r="AA232" i="9"/>
  <c r="Q73" i="9"/>
  <c r="AA73" i="9"/>
  <c r="Q199" i="9"/>
  <c r="AA199" i="9"/>
  <c r="Q205" i="9"/>
  <c r="AA205" i="9"/>
  <c r="Q29" i="9"/>
  <c r="AA29" i="9"/>
  <c r="Q397" i="9"/>
  <c r="AA397" i="9"/>
  <c r="Q409" i="9"/>
  <c r="AA409" i="9"/>
  <c r="Q310" i="9"/>
  <c r="AA310" i="9"/>
  <c r="Q192" i="9"/>
  <c r="AA192" i="9"/>
  <c r="Q61" i="9"/>
  <c r="AA61" i="9"/>
  <c r="Q388" i="9"/>
  <c r="AA388" i="9"/>
  <c r="Q78" i="9"/>
  <c r="AA78" i="9"/>
  <c r="Q352" i="9"/>
  <c r="AA352" i="9"/>
  <c r="Q374" i="9"/>
  <c r="AA374" i="9"/>
  <c r="Q195" i="9"/>
  <c r="AA195" i="9"/>
  <c r="Q295" i="9"/>
  <c r="AA295" i="9"/>
  <c r="Q36" i="9"/>
  <c r="AA36" i="9"/>
  <c r="Q386" i="9"/>
  <c r="AA386" i="9"/>
  <c r="Q235" i="9"/>
  <c r="AA235" i="9"/>
  <c r="Q476" i="9"/>
  <c r="AA476" i="9"/>
  <c r="Q326" i="9"/>
  <c r="AA326" i="9"/>
  <c r="Q45" i="9"/>
  <c r="AA45" i="9"/>
  <c r="Q254" i="9"/>
  <c r="AA254" i="9"/>
  <c r="Q40" i="9"/>
  <c r="AA40" i="9"/>
  <c r="Q47" i="9"/>
  <c r="AA47" i="9"/>
  <c r="Q174" i="9"/>
  <c r="AA174" i="9"/>
  <c r="Q108" i="9"/>
  <c r="AA108" i="9"/>
  <c r="Q294" i="9"/>
  <c r="AA294" i="9"/>
  <c r="Q38" i="9"/>
  <c r="AA38" i="9"/>
  <c r="Q436" i="9"/>
  <c r="AA436" i="9"/>
  <c r="Q99" i="9"/>
  <c r="AA99" i="9"/>
  <c r="Q70" i="9"/>
  <c r="AA70" i="9"/>
  <c r="Q420" i="9"/>
  <c r="AA420" i="9"/>
  <c r="Q116" i="9"/>
  <c r="AA116" i="9"/>
  <c r="Q454" i="9"/>
  <c r="AA454" i="9"/>
  <c r="Q172" i="9"/>
  <c r="AA172" i="9"/>
  <c r="Q449" i="9"/>
  <c r="AA449" i="9"/>
  <c r="Q370" i="9"/>
  <c r="AA370" i="9"/>
  <c r="Q426" i="9"/>
  <c r="AA426" i="9"/>
  <c r="Q444" i="9"/>
  <c r="AA444" i="9"/>
  <c r="Q308" i="9"/>
  <c r="AA308" i="9"/>
  <c r="Q244" i="9"/>
  <c r="AA244" i="9"/>
  <c r="Q414" i="9"/>
  <c r="AA414" i="9"/>
  <c r="Q447" i="9"/>
  <c r="AA447" i="9"/>
  <c r="Q340" i="9"/>
  <c r="AA340" i="9"/>
  <c r="Q245" i="9"/>
  <c r="AA245" i="9"/>
  <c r="Q150" i="9"/>
  <c r="AA150" i="9"/>
  <c r="Q343" i="9"/>
  <c r="AA343" i="9"/>
  <c r="Q452" i="9"/>
  <c r="AA452" i="9"/>
  <c r="Q284" i="9"/>
  <c r="AA284" i="9"/>
  <c r="Q52" i="9"/>
  <c r="AA52" i="9"/>
  <c r="Q492" i="9"/>
  <c r="AA492" i="9"/>
  <c r="Q345" i="9"/>
  <c r="AA345" i="9"/>
  <c r="Q233" i="9"/>
  <c r="AA233" i="9"/>
  <c r="Q275" i="9"/>
  <c r="AA275" i="9"/>
  <c r="Q32" i="9"/>
  <c r="AA32" i="9"/>
  <c r="Q21" i="9"/>
  <c r="AA21" i="9"/>
  <c r="Q224" i="9"/>
  <c r="AA224" i="9"/>
  <c r="Q53" i="9"/>
  <c r="AA53" i="9"/>
  <c r="Q135" i="9"/>
  <c r="AA135" i="9"/>
  <c r="Q164" i="9"/>
  <c r="AA164" i="9"/>
  <c r="Q403" i="9"/>
  <c r="AA403" i="9"/>
  <c r="Q293" i="9"/>
  <c r="AA293" i="9"/>
  <c r="Q282" i="9"/>
  <c r="AA282" i="9"/>
  <c r="Q344" i="9"/>
  <c r="AA344" i="9"/>
  <c r="Q299" i="9"/>
  <c r="AA299" i="9"/>
  <c r="Q405" i="9"/>
  <c r="AA405" i="9"/>
  <c r="Q214" i="9"/>
  <c r="AA214" i="9"/>
  <c r="Q398" i="9"/>
  <c r="AA398" i="9"/>
  <c r="Q283" i="9"/>
  <c r="AA283" i="9"/>
  <c r="Q85" i="9"/>
  <c r="AA85" i="9"/>
  <c r="Q163" i="9"/>
  <c r="AA163" i="9"/>
  <c r="Q292" i="9"/>
  <c r="AA292" i="9"/>
  <c r="Q390" i="9"/>
  <c r="AA390" i="9"/>
  <c r="Q319" i="9"/>
  <c r="AA319" i="9"/>
  <c r="Q312" i="9"/>
  <c r="AA312" i="9"/>
  <c r="Q474" i="9"/>
  <c r="AA474" i="9"/>
  <c r="Q65" i="9"/>
  <c r="AA65" i="9"/>
  <c r="Q37" i="9"/>
  <c r="AA37" i="9"/>
  <c r="Q364" i="9"/>
  <c r="AA364" i="9"/>
  <c r="Q69" i="9"/>
  <c r="AA69" i="9"/>
  <c r="Q68" i="9"/>
  <c r="AA68" i="9"/>
  <c r="Q186" i="9"/>
  <c r="AA186" i="9"/>
  <c r="Q96" i="9"/>
  <c r="AA96" i="9"/>
  <c r="Q124" i="9"/>
  <c r="AA124" i="9"/>
  <c r="Q151" i="9"/>
  <c r="AA151" i="9"/>
  <c r="Q31" i="9"/>
  <c r="AA31" i="9"/>
  <c r="Q49" i="9"/>
  <c r="AA49" i="9"/>
  <c r="Q39" i="9"/>
  <c r="AA39" i="9"/>
  <c r="Q327" i="9"/>
  <c r="AA327" i="9"/>
  <c r="Q26" i="9"/>
  <c r="AA26" i="9"/>
  <c r="Q253" i="9"/>
  <c r="AA253" i="9"/>
  <c r="Q165" i="9"/>
  <c r="AA165" i="9"/>
  <c r="Q82" i="9"/>
  <c r="AA82" i="9"/>
  <c r="Q237" i="9"/>
  <c r="AA237" i="9"/>
  <c r="Q42" i="9"/>
  <c r="AA42" i="9"/>
  <c r="Q277" i="9"/>
  <c r="AA277" i="9"/>
  <c r="Q196" i="9"/>
  <c r="AA196" i="9"/>
  <c r="Q89" i="9"/>
  <c r="AA89" i="9"/>
  <c r="Q304" i="9"/>
  <c r="AA304" i="9"/>
  <c r="Q441" i="9"/>
  <c r="AA441" i="9"/>
  <c r="Q12" i="9"/>
  <c r="AA12" i="9"/>
  <c r="Q278" i="9"/>
  <c r="AA278" i="9"/>
  <c r="Q207" i="9"/>
  <c r="AA207" i="9"/>
  <c r="Q161" i="9"/>
  <c r="AA161" i="9"/>
  <c r="Q169" i="9"/>
  <c r="AA169" i="9"/>
  <c r="Q193" i="9"/>
  <c r="AA193" i="9"/>
  <c r="Q204" i="9"/>
  <c r="AA204" i="9"/>
  <c r="Q361" i="9"/>
  <c r="AA361" i="9"/>
  <c r="Q472" i="9"/>
  <c r="AA472" i="9"/>
  <c r="Q185" i="9"/>
  <c r="AA185" i="9"/>
  <c r="Q431" i="9"/>
  <c r="AA431" i="9"/>
  <c r="Q64" i="9"/>
  <c r="Q129" i="9"/>
  <c r="AA129" i="9"/>
  <c r="Q412" i="9"/>
  <c r="AA412" i="9"/>
  <c r="Q167" i="9"/>
  <c r="AA167" i="9"/>
  <c r="Q121" i="9"/>
  <c r="AA121" i="9"/>
  <c r="Q443" i="9"/>
  <c r="AA443" i="9"/>
  <c r="Q252" i="9"/>
  <c r="AA252" i="9"/>
  <c r="Q246" i="9"/>
  <c r="AA246" i="9"/>
  <c r="Q243" i="9"/>
  <c r="AA243" i="9"/>
  <c r="Q236" i="9"/>
  <c r="AA236" i="9"/>
  <c r="Q269" i="9"/>
  <c r="AA269" i="9"/>
  <c r="Q375" i="9"/>
  <c r="AA375" i="9"/>
  <c r="Q221" i="9"/>
  <c r="AA221" i="9"/>
  <c r="Q66" i="9"/>
  <c r="AA66" i="9"/>
  <c r="Q487" i="9"/>
  <c r="AA487" i="9"/>
  <c r="Q257" i="9"/>
  <c r="AA257" i="9"/>
  <c r="Q137" i="9"/>
  <c r="AA137" i="9"/>
  <c r="Q115" i="9"/>
  <c r="AA115" i="9"/>
  <c r="Q445" i="9"/>
  <c r="AA445" i="9"/>
  <c r="Q442" i="9"/>
  <c r="AA442" i="9"/>
  <c r="Q486" i="9"/>
  <c r="AA486" i="9"/>
  <c r="Q332" i="9"/>
  <c r="AA332" i="9"/>
  <c r="Q95" i="9"/>
  <c r="AA95" i="9"/>
  <c r="Q434" i="9"/>
  <c r="AA434" i="9"/>
  <c r="Q262" i="9"/>
  <c r="AA262" i="9"/>
  <c r="Q480" i="9"/>
  <c r="AA480" i="9"/>
  <c r="Q271" i="9"/>
  <c r="AA271" i="9"/>
  <c r="Q331" i="9"/>
  <c r="AA331" i="9"/>
  <c r="Q190" i="9"/>
  <c r="AA190" i="9"/>
  <c r="Q94" i="9"/>
  <c r="AA94" i="9"/>
  <c r="Q25" i="9"/>
  <c r="AA25" i="9"/>
  <c r="Q109" i="9"/>
  <c r="AA109" i="9"/>
  <c r="Q435" i="9"/>
  <c r="AA435" i="9"/>
  <c r="Q461" i="9"/>
  <c r="AA461" i="9"/>
  <c r="Q60" i="9"/>
  <c r="AA60" i="9"/>
  <c r="Q336" i="9"/>
  <c r="AA336" i="9"/>
  <c r="Q34" i="9"/>
  <c r="AA34" i="9"/>
  <c r="Q226" i="9"/>
  <c r="AA226" i="9"/>
  <c r="Q77" i="9"/>
  <c r="AA77" i="9"/>
  <c r="Q341" i="9"/>
  <c r="AA341" i="9"/>
  <c r="Q315" i="9"/>
  <c r="AA315" i="9"/>
  <c r="Q30" i="9"/>
  <c r="AA30" i="9"/>
  <c r="Q120" i="9"/>
  <c r="AA120" i="9"/>
  <c r="Q346" i="9"/>
  <c r="AA346" i="9"/>
  <c r="Q333" i="9"/>
  <c r="AA333" i="9"/>
  <c r="Q215" i="9"/>
  <c r="AA215" i="9"/>
  <c r="Q230" i="9"/>
  <c r="AA230" i="9"/>
  <c r="Q453" i="9"/>
  <c r="AA453" i="9"/>
  <c r="Q491" i="9"/>
  <c r="AA491" i="9"/>
  <c r="Q184" i="9"/>
  <c r="AA184" i="9"/>
  <c r="Q162" i="9"/>
  <c r="AA162" i="9"/>
  <c r="Q417" i="9"/>
  <c r="AA417" i="9"/>
  <c r="Q274" i="9"/>
  <c r="AA274" i="9"/>
  <c r="Q279" i="9"/>
  <c r="AA279" i="9"/>
  <c r="Q145" i="9"/>
  <c r="AA145" i="9"/>
  <c r="Q206" i="9"/>
  <c r="AA206" i="9"/>
  <c r="Q58" i="9"/>
  <c r="AA58" i="9"/>
  <c r="Q209" i="9"/>
  <c r="AA209" i="9"/>
  <c r="Q329" i="9"/>
  <c r="AA329" i="9"/>
  <c r="Q267" i="9"/>
  <c r="AA267" i="9"/>
  <c r="Q80" i="9"/>
  <c r="AA80" i="9"/>
  <c r="Q119" i="9"/>
  <c r="AA119" i="9"/>
  <c r="Q467" i="9"/>
  <c r="AA467" i="9"/>
  <c r="Q166" i="9"/>
  <c r="AA166" i="9"/>
  <c r="Q93" i="9"/>
  <c r="AA93" i="9"/>
  <c r="Q20" i="9"/>
  <c r="AA20" i="9"/>
  <c r="Q84" i="9"/>
  <c r="AA84" i="9"/>
  <c r="Q181" i="9"/>
  <c r="AA181" i="9"/>
  <c r="Q219" i="9"/>
  <c r="AA219" i="9"/>
  <c r="Q401" i="9"/>
  <c r="AA401" i="9"/>
  <c r="Q179" i="9"/>
  <c r="AA179" i="9"/>
  <c r="Q247" i="9"/>
  <c r="AA247" i="9"/>
  <c r="Q76" i="9"/>
  <c r="AA76" i="9"/>
  <c r="Q428" i="9"/>
  <c r="AA428" i="9"/>
  <c r="Q110" i="9"/>
  <c r="AA110" i="9"/>
  <c r="Q55" i="9"/>
  <c r="AA55" i="9"/>
  <c r="Q470" i="9"/>
  <c r="AA470" i="9"/>
  <c r="Q478" i="9"/>
  <c r="AA478" i="9"/>
  <c r="Q479" i="9"/>
  <c r="AA479" i="9"/>
  <c r="Q28" i="9"/>
  <c r="AA28" i="9"/>
  <c r="Q220" i="9"/>
  <c r="AA220" i="9"/>
  <c r="Q367" i="9"/>
  <c r="AA367" i="9"/>
  <c r="Q342" i="9"/>
  <c r="AA342" i="9"/>
  <c r="Q457" i="9"/>
  <c r="AA457" i="9"/>
  <c r="Q127" i="9"/>
  <c r="AA127" i="9"/>
  <c r="Q198" i="9"/>
  <c r="AA198" i="9"/>
  <c r="Q22" i="9"/>
  <c r="AA22" i="9"/>
  <c r="Q71" i="9"/>
  <c r="AA71" i="9"/>
  <c r="Q46" i="9"/>
  <c r="AA46" i="9"/>
  <c r="Q468" i="9"/>
  <c r="AA468" i="9"/>
  <c r="Q334" i="9"/>
  <c r="AA334" i="9"/>
  <c r="Q125" i="9"/>
  <c r="AA125" i="9"/>
  <c r="Q19" i="9"/>
  <c r="AA19" i="9"/>
  <c r="Q416" i="9"/>
  <c r="AA416" i="9"/>
  <c r="Q376" i="9"/>
  <c r="AA376" i="9"/>
  <c r="Q87" i="9"/>
  <c r="AA87" i="9"/>
  <c r="Q191" i="9"/>
  <c r="AA191" i="9"/>
  <c r="Q318" i="9"/>
  <c r="AA318" i="9"/>
  <c r="Q170" i="9"/>
  <c r="AA170" i="9"/>
  <c r="Q432" i="9"/>
  <c r="AA432" i="9"/>
  <c r="Q430" i="9"/>
  <c r="AA430" i="9"/>
  <c r="Q264" i="9"/>
  <c r="AA264" i="9"/>
  <c r="Q111" i="9"/>
  <c r="AA111" i="9"/>
  <c r="Q227" i="9"/>
  <c r="AA227" i="9"/>
  <c r="Q202" i="9"/>
  <c r="AA202" i="9"/>
  <c r="Q322" i="9"/>
  <c r="AA322" i="9"/>
  <c r="Q365" i="9"/>
  <c r="AA365" i="9"/>
  <c r="Q86" i="9"/>
  <c r="AA86" i="9"/>
  <c r="Q314" i="9"/>
  <c r="AA314" i="9"/>
  <c r="Q201" i="9"/>
  <c r="AA201" i="9"/>
  <c r="Q455" i="9"/>
  <c r="AA455" i="9"/>
  <c r="Q458" i="9"/>
  <c r="AA458" i="9"/>
  <c r="Q50" i="9"/>
  <c r="AA50" i="9"/>
  <c r="Q266" i="9"/>
  <c r="AA266" i="9"/>
  <c r="Q43" i="9"/>
  <c r="AA43" i="9"/>
  <c r="Q208" i="9"/>
  <c r="AA208" i="9"/>
  <c r="Q484" i="9"/>
  <c r="AA484" i="9"/>
  <c r="Q210" i="9"/>
  <c r="AA210" i="9"/>
  <c r="Q465" i="9"/>
  <c r="AA465" i="9"/>
  <c r="Q368" i="9"/>
  <c r="AA368" i="9"/>
  <c r="Q148" i="9"/>
  <c r="AA148" i="9"/>
  <c r="Q483" i="9"/>
  <c r="AA483" i="9"/>
  <c r="Q133" i="9"/>
  <c r="AA133" i="9"/>
  <c r="Q155" i="9"/>
  <c r="AA155" i="9"/>
  <c r="Q104" i="9"/>
  <c r="AA104" i="9"/>
  <c r="Q464" i="9"/>
  <c r="AA464" i="9"/>
  <c r="Q347" i="9"/>
  <c r="AA347" i="9"/>
  <c r="Q44" i="9"/>
  <c r="AA44" i="9"/>
  <c r="Q421" i="9"/>
  <c r="AA421" i="9"/>
  <c r="Q489" i="9"/>
  <c r="AA489" i="9"/>
  <c r="Q260" i="9"/>
  <c r="AA260" i="9"/>
  <c r="Q122" i="9"/>
  <c r="AA122" i="9"/>
  <c r="Q90" i="9"/>
  <c r="AA90" i="9"/>
  <c r="Q62" i="9"/>
  <c r="AA62" i="9"/>
  <c r="Q377" i="9"/>
  <c r="AA377" i="9"/>
  <c r="Q212" i="9"/>
  <c r="AA212" i="9"/>
  <c r="Q383" i="9"/>
  <c r="AA383" i="9"/>
  <c r="Q197" i="9"/>
  <c r="AA197" i="9"/>
  <c r="Q313" i="9"/>
  <c r="AA313" i="9"/>
  <c r="Q448" i="9"/>
  <c r="AA448" i="9"/>
  <c r="Q485" i="9"/>
  <c r="AA485" i="9"/>
  <c r="Q418" i="9"/>
  <c r="AA418" i="9"/>
  <c r="Q249" i="9"/>
  <c r="AA249" i="9"/>
  <c r="Q248" i="9"/>
  <c r="AA248" i="9"/>
  <c r="Q413" i="9"/>
  <c r="AA413" i="9"/>
  <c r="Q270" i="9"/>
  <c r="AA270" i="9"/>
  <c r="Q18" i="9"/>
  <c r="AA18" i="9"/>
  <c r="Q306" i="9"/>
  <c r="AA306" i="9"/>
  <c r="Q490" i="9"/>
  <c r="AA490" i="9"/>
  <c r="Q281" i="9"/>
  <c r="AA281" i="9"/>
  <c r="Q134" i="9"/>
  <c r="AA134" i="9"/>
  <c r="Q407" i="9"/>
  <c r="AA407" i="9"/>
  <c r="Q268" i="9"/>
  <c r="AA268" i="9"/>
  <c r="Q439" i="9"/>
  <c r="AA439" i="9"/>
  <c r="Q222" i="9"/>
  <c r="AA222" i="9"/>
  <c r="Q256" i="9"/>
  <c r="AA256" i="9"/>
  <c r="Q63" i="9"/>
  <c r="Q203" i="9"/>
  <c r="AA203" i="9"/>
  <c r="Q362" i="9"/>
  <c r="AA362" i="9"/>
  <c r="Q384" i="9"/>
  <c r="AA384" i="9"/>
  <c r="Q328" i="9"/>
  <c r="AA328" i="9"/>
  <c r="Q350" i="9"/>
  <c r="AA350" i="9"/>
  <c r="Q234" i="9"/>
  <c r="AA234" i="9"/>
  <c r="Q488" i="9"/>
  <c r="AA488" i="9"/>
  <c r="Q286" i="9"/>
  <c r="AA286" i="9"/>
  <c r="Q265" i="9"/>
  <c r="AA265" i="9"/>
  <c r="Q72" i="9"/>
  <c r="AA72" i="9"/>
  <c r="Q357" i="9"/>
  <c r="AA357" i="9"/>
  <c r="Q189" i="9"/>
  <c r="AA189" i="9"/>
  <c r="Q272" i="9"/>
  <c r="AA272" i="9"/>
  <c r="Q229" i="9"/>
  <c r="AA229" i="9"/>
  <c r="Q339" i="9"/>
  <c r="AA339" i="9"/>
  <c r="Q335" i="9"/>
  <c r="AA335" i="9"/>
  <c r="Q391" i="9"/>
  <c r="AA391" i="9"/>
  <c r="Q173" i="9"/>
  <c r="AA173" i="9"/>
  <c r="Q92" i="9"/>
  <c r="AA92" i="9"/>
  <c r="Q302" i="9"/>
  <c r="AA302" i="9"/>
  <c r="Q296" i="9"/>
  <c r="AA296" i="9"/>
  <c r="Q102" i="9"/>
  <c r="AA102" i="9"/>
  <c r="Q462" i="9"/>
  <c r="AA462" i="9"/>
  <c r="Q280" i="9"/>
  <c r="AA280" i="9"/>
  <c r="Q338" i="9"/>
  <c r="AA338" i="9"/>
  <c r="Q303" i="9"/>
  <c r="AA303" i="9"/>
  <c r="Q141" i="9"/>
  <c r="AA141" i="9"/>
  <c r="Q98" i="9"/>
  <c r="AA98" i="9"/>
  <c r="Q297" i="9"/>
  <c r="AA297" i="9"/>
  <c r="Q131" i="9"/>
  <c r="AA131" i="9"/>
  <c r="Q225" i="9"/>
  <c r="AA225" i="9"/>
  <c r="Q440" i="9"/>
  <c r="AA440" i="9"/>
  <c r="Q348" i="9"/>
  <c r="AA348" i="9"/>
  <c r="Q330" i="8"/>
  <c r="AA330" i="8"/>
  <c r="Q222" i="8"/>
  <c r="AA222" i="8"/>
  <c r="Q246" i="8"/>
  <c r="AA246" i="8"/>
  <c r="Q400" i="8"/>
  <c r="AA400" i="8"/>
  <c r="Q484" i="8"/>
  <c r="AA484" i="8"/>
  <c r="Q20" i="8"/>
  <c r="AA20" i="8"/>
  <c r="Q96" i="8"/>
  <c r="AA96" i="8"/>
  <c r="Q131" i="8"/>
  <c r="AA131" i="8"/>
  <c r="Q70" i="8"/>
  <c r="AA70" i="8"/>
  <c r="Q108" i="8"/>
  <c r="AA108" i="8"/>
  <c r="Q185" i="8"/>
  <c r="AA185" i="8"/>
  <c r="Q82" i="8"/>
  <c r="AA82" i="8"/>
  <c r="Q487" i="8"/>
  <c r="AA487" i="8"/>
  <c r="Q73" i="8"/>
  <c r="AA73" i="8"/>
  <c r="Q67" i="8"/>
  <c r="AA67" i="8"/>
  <c r="Q397" i="8"/>
  <c r="AA397" i="8"/>
  <c r="Q184" i="8"/>
  <c r="AA184" i="8"/>
  <c r="Q264" i="8"/>
  <c r="AA264" i="8"/>
  <c r="Q27" i="8"/>
  <c r="AA27" i="8"/>
  <c r="Q423" i="8"/>
  <c r="AA423" i="8"/>
  <c r="Q435" i="8"/>
  <c r="AA435" i="8"/>
  <c r="Q193" i="8"/>
  <c r="AA193" i="8"/>
  <c r="Q151" i="8"/>
  <c r="AA151" i="8"/>
  <c r="Q63" i="8"/>
  <c r="AA63" i="8"/>
  <c r="Q92" i="8"/>
  <c r="AA92" i="8"/>
  <c r="Q438" i="8"/>
  <c r="AA438" i="8"/>
  <c r="Q58" i="8"/>
  <c r="AA58" i="8"/>
  <c r="Q344" i="8"/>
  <c r="AA344" i="8"/>
  <c r="Q376" i="8"/>
  <c r="AA376" i="8"/>
  <c r="Q428" i="8"/>
  <c r="AA428" i="8"/>
  <c r="Q369" i="8"/>
  <c r="AA369" i="8"/>
  <c r="Q237" i="8"/>
  <c r="AA237" i="8"/>
  <c r="Q381" i="8"/>
  <c r="AA381" i="8"/>
  <c r="Q217" i="8"/>
  <c r="AA217" i="8"/>
  <c r="Q168" i="8"/>
  <c r="AA168" i="8"/>
  <c r="Q391" i="8"/>
  <c r="AA391" i="8"/>
  <c r="Q320" i="8"/>
  <c r="AA320" i="8"/>
  <c r="Q243" i="8"/>
  <c r="AA243" i="8"/>
  <c r="Q110" i="8"/>
  <c r="AA110" i="8"/>
  <c r="Q258" i="8"/>
  <c r="AA258" i="8"/>
  <c r="Q387" i="8"/>
  <c r="AA387" i="8"/>
  <c r="Q385" i="8"/>
  <c r="AA385" i="8"/>
  <c r="Q249" i="8"/>
  <c r="AA249" i="8"/>
  <c r="Q83" i="8"/>
  <c r="AA83" i="8"/>
  <c r="Q141" i="8"/>
  <c r="AA141" i="8"/>
  <c r="Q33" i="8"/>
  <c r="AA33" i="8"/>
  <c r="Q452" i="8"/>
  <c r="AA452" i="8"/>
  <c r="Q298" i="8"/>
  <c r="AA298" i="8"/>
  <c r="Q488" i="8"/>
  <c r="AA488" i="8"/>
  <c r="Q467" i="8"/>
  <c r="AA467" i="8"/>
  <c r="Q269" i="8"/>
  <c r="AA269" i="8"/>
  <c r="Q272" i="8"/>
  <c r="AA272" i="8"/>
  <c r="Q66" i="8"/>
  <c r="AA66" i="8"/>
  <c r="Q479" i="8"/>
  <c r="AA479" i="8"/>
  <c r="Q238" i="8"/>
  <c r="AA238" i="8"/>
  <c r="Q365" i="8"/>
  <c r="AA365" i="8"/>
  <c r="Q231" i="8"/>
  <c r="AA231" i="8"/>
  <c r="Q429" i="8"/>
  <c r="AA429" i="8"/>
  <c r="Q133" i="8"/>
  <c r="AA133" i="8"/>
  <c r="Q15" i="8"/>
  <c r="AA15" i="8"/>
  <c r="Q245" i="8"/>
  <c r="AA245" i="8"/>
  <c r="Q147" i="8"/>
  <c r="AA147" i="8"/>
  <c r="Q227" i="8"/>
  <c r="AA227" i="8"/>
  <c r="Q473" i="8"/>
  <c r="AA473" i="8"/>
  <c r="Q395" i="8"/>
  <c r="AA395" i="8"/>
  <c r="Q47" i="8"/>
  <c r="AA47" i="8"/>
  <c r="Q84" i="8"/>
  <c r="AA84" i="8"/>
  <c r="Q79" i="8"/>
  <c r="AA79" i="8"/>
  <c r="Q361" i="8"/>
  <c r="AA361" i="8"/>
  <c r="Q98" i="8"/>
  <c r="AA98" i="8"/>
  <c r="Q284" i="8"/>
  <c r="AA284" i="8"/>
  <c r="Q201" i="8"/>
  <c r="AA201" i="8"/>
  <c r="Q463" i="8"/>
  <c r="AA463" i="8"/>
  <c r="Q259" i="8"/>
  <c r="AA259" i="8"/>
  <c r="Q112" i="8"/>
  <c r="AA112" i="8"/>
  <c r="Q200" i="8"/>
  <c r="AA200" i="8"/>
  <c r="Q386" i="8"/>
  <c r="AA386" i="8"/>
  <c r="Q421" i="8"/>
  <c r="AA421" i="8"/>
  <c r="Q139" i="8"/>
  <c r="AA139" i="8"/>
  <c r="Q462" i="8"/>
  <c r="AA462" i="8"/>
  <c r="Q454" i="8"/>
  <c r="AA454" i="8"/>
  <c r="Q271" i="8"/>
  <c r="AA271" i="8"/>
  <c r="Q16" i="8"/>
  <c r="AA16" i="8"/>
  <c r="Q326" i="8"/>
  <c r="AA326" i="8"/>
  <c r="Q149" i="8"/>
  <c r="AA149" i="8"/>
  <c r="Q366" i="8"/>
  <c r="AA366" i="8"/>
  <c r="Q247" i="8"/>
  <c r="AA247" i="8"/>
  <c r="Q161" i="8"/>
  <c r="AA161" i="8"/>
  <c r="Q469" i="8"/>
  <c r="AA469" i="8"/>
  <c r="Q362" i="8"/>
  <c r="AA362" i="8"/>
  <c r="Q359" i="8"/>
  <c r="AA359" i="8"/>
  <c r="Q143" i="8"/>
  <c r="AA143" i="8"/>
  <c r="Q464" i="8"/>
  <c r="AA464" i="8"/>
  <c r="Q380" i="8"/>
  <c r="AA380" i="8"/>
  <c r="Q288" i="8"/>
  <c r="AA288" i="8"/>
  <c r="Q218" i="8"/>
  <c r="AA218" i="8"/>
  <c r="Q476" i="8"/>
  <c r="AA476" i="8"/>
  <c r="Q263" i="8"/>
  <c r="AA263" i="8"/>
  <c r="Q338" i="8"/>
  <c r="AA338" i="8"/>
  <c r="Q262" i="8"/>
  <c r="AA262" i="8"/>
  <c r="Q250" i="8"/>
  <c r="AA250" i="8"/>
  <c r="Q285" i="8"/>
  <c r="AA285" i="8"/>
  <c r="Q169" i="8"/>
  <c r="AA169" i="8"/>
  <c r="Q74" i="8"/>
  <c r="AA74" i="8"/>
  <c r="Q71" i="8"/>
  <c r="AA71" i="8"/>
  <c r="Q36" i="8"/>
  <c r="AA36" i="8"/>
  <c r="Q125" i="8"/>
  <c r="AA125" i="8"/>
  <c r="Q432" i="8"/>
  <c r="AA432" i="8"/>
  <c r="Q323" i="8"/>
  <c r="AA323" i="8"/>
  <c r="Q355" i="8"/>
  <c r="AA355" i="8"/>
  <c r="Q350" i="8"/>
  <c r="AA350" i="8"/>
  <c r="Q219" i="8"/>
  <c r="AA219" i="8"/>
  <c r="Q239" i="8"/>
  <c r="AA239" i="8"/>
  <c r="Q287" i="8"/>
  <c r="AA287" i="8"/>
  <c r="Q29" i="8"/>
  <c r="AA29" i="8"/>
  <c r="Q393" i="8"/>
  <c r="AA393" i="8"/>
  <c r="Q62" i="8"/>
  <c r="AA62" i="8"/>
  <c r="Q333" i="8"/>
  <c r="AA333" i="8"/>
  <c r="Q403" i="8"/>
  <c r="AA403" i="8"/>
  <c r="Q294" i="8"/>
  <c r="AA294" i="8"/>
  <c r="Q109" i="8"/>
  <c r="AA109" i="8"/>
  <c r="Q268" i="8"/>
  <c r="AA268" i="8"/>
  <c r="Q157" i="8"/>
  <c r="AA157" i="8"/>
  <c r="Q215" i="8"/>
  <c r="AA215" i="8"/>
  <c r="Q448" i="8"/>
  <c r="AA448" i="8"/>
  <c r="Q419" i="8"/>
  <c r="AA419" i="8"/>
  <c r="Q335" i="8"/>
  <c r="AA335" i="8"/>
  <c r="Q75" i="8"/>
  <c r="AA75" i="8"/>
  <c r="Q26" i="8"/>
  <c r="AA26" i="8"/>
  <c r="Q14" i="8"/>
  <c r="AA14" i="8"/>
  <c r="Q348" i="8"/>
  <c r="AA348" i="8"/>
  <c r="Q389" i="8"/>
  <c r="AA389" i="8"/>
  <c r="Q221" i="8"/>
  <c r="AA221" i="8"/>
  <c r="Q434" i="8"/>
  <c r="AA434" i="8"/>
  <c r="Q491" i="8"/>
  <c r="AA491" i="8"/>
  <c r="Q458" i="8"/>
  <c r="AA458" i="8"/>
  <c r="Q439" i="8"/>
  <c r="AA439" i="8"/>
  <c r="Q176" i="8"/>
  <c r="AA176" i="8"/>
  <c r="Q322" i="8"/>
  <c r="AA322" i="8"/>
  <c r="Q180" i="8"/>
  <c r="AA180" i="8"/>
  <c r="Q119" i="8"/>
  <c r="AA119" i="8"/>
  <c r="Q235" i="8"/>
  <c r="AA235" i="8"/>
  <c r="Q396" i="8"/>
  <c r="AA396" i="8"/>
  <c r="Q104" i="8"/>
  <c r="AA104" i="8"/>
  <c r="Q267" i="8"/>
  <c r="AA267" i="8"/>
  <c r="Q64" i="8"/>
  <c r="AA64" i="8"/>
  <c r="Q388" i="8"/>
  <c r="AA388" i="8"/>
  <c r="Q378" i="8"/>
  <c r="AA378" i="8"/>
  <c r="Q191" i="8"/>
  <c r="AA191" i="8"/>
  <c r="Q76" i="8"/>
  <c r="AA76" i="8"/>
  <c r="Q328" i="8"/>
  <c r="AA328" i="8"/>
  <c r="Q417" i="8"/>
  <c r="AA417" i="8"/>
  <c r="Q135" i="8"/>
  <c r="AA135" i="8"/>
  <c r="Q171" i="8"/>
  <c r="AA171" i="8"/>
  <c r="Q374" i="8"/>
  <c r="AA374" i="8"/>
  <c r="Q145" i="8"/>
  <c r="AA145" i="8"/>
  <c r="Q317" i="8"/>
  <c r="AA317" i="8"/>
  <c r="Q216" i="8"/>
  <c r="AA216" i="8"/>
  <c r="Q178" i="8"/>
  <c r="AA178" i="8"/>
  <c r="Q140" i="8"/>
  <c r="AA140" i="8"/>
  <c r="Q106" i="8"/>
  <c r="AA106" i="8"/>
  <c r="Q345" i="8"/>
  <c r="AA345" i="8"/>
  <c r="Q114" i="8"/>
  <c r="AA114" i="8"/>
  <c r="Q152" i="8"/>
  <c r="AA152" i="8"/>
  <c r="Q162" i="8"/>
  <c r="AA162" i="8"/>
  <c r="Q297" i="8"/>
  <c r="AA297" i="8"/>
  <c r="Q412" i="8"/>
  <c r="AA412" i="8"/>
  <c r="Q426" i="8"/>
  <c r="AA426" i="8"/>
  <c r="Q189" i="8"/>
  <c r="AA189" i="8"/>
  <c r="Q273" i="8"/>
  <c r="AA273" i="8"/>
  <c r="Q407" i="8"/>
  <c r="AA407" i="8"/>
  <c r="Q282" i="8"/>
  <c r="AA282" i="8"/>
  <c r="Q277" i="8"/>
  <c r="AA277" i="8"/>
  <c r="Q121" i="8"/>
  <c r="AA121" i="8"/>
  <c r="Q56" i="8"/>
  <c r="AA56" i="8"/>
  <c r="Q248" i="8"/>
  <c r="AA248" i="8"/>
  <c r="Q315" i="8"/>
  <c r="AA315" i="8"/>
  <c r="Q383" i="8"/>
  <c r="AA383" i="8"/>
  <c r="Q485" i="8"/>
  <c r="AA485" i="8"/>
  <c r="Q127" i="8"/>
  <c r="AA127" i="8"/>
  <c r="Q332" i="8"/>
  <c r="AA332" i="8"/>
  <c r="Q120" i="8"/>
  <c r="AA120" i="8"/>
  <c r="Q89" i="8"/>
  <c r="AA89" i="8"/>
  <c r="Q186" i="8"/>
  <c r="AA186" i="8"/>
  <c r="Q390" i="8"/>
  <c r="AA390" i="8"/>
  <c r="Q314" i="8"/>
  <c r="AA314" i="8"/>
  <c r="Q213" i="8"/>
  <c r="AA213" i="8"/>
  <c r="Q392" i="8"/>
  <c r="AA392" i="8"/>
  <c r="Q236" i="8"/>
  <c r="AA236" i="8"/>
  <c r="Q302" i="8"/>
  <c r="AA302" i="8"/>
  <c r="Q194" i="8"/>
  <c r="AA194" i="8"/>
  <c r="Q278" i="8"/>
  <c r="AA278" i="8"/>
  <c r="Q325" i="8"/>
  <c r="AA325" i="8"/>
  <c r="Q339" i="8"/>
  <c r="AA339" i="8"/>
  <c r="Q174" i="8"/>
  <c r="AA174" i="8"/>
  <c r="Q261" i="8"/>
  <c r="AA261" i="8"/>
  <c r="Q461" i="8"/>
  <c r="AA461" i="8"/>
  <c r="Q373" i="8"/>
  <c r="AA373" i="8"/>
  <c r="Q230" i="8"/>
  <c r="AA230" i="8"/>
  <c r="Q280" i="8"/>
  <c r="AA280" i="8"/>
  <c r="Q68" i="8"/>
  <c r="AA68" i="8"/>
  <c r="Q384" i="8"/>
  <c r="AA384" i="8"/>
  <c r="Q116" i="8"/>
  <c r="AA116" i="8"/>
  <c r="Q225" i="8"/>
  <c r="AA225" i="8"/>
  <c r="Q252" i="8"/>
  <c r="AA252" i="8"/>
  <c r="Q44" i="8"/>
  <c r="AA44" i="8"/>
  <c r="Q466" i="8"/>
  <c r="AA466" i="8"/>
  <c r="Q137" i="8"/>
  <c r="AA137" i="8"/>
  <c r="Q293" i="8"/>
  <c r="AA293" i="8"/>
  <c r="Q414" i="8"/>
  <c r="AA414" i="8"/>
  <c r="Q93" i="8"/>
  <c r="AA93" i="8"/>
  <c r="Q424" i="8"/>
  <c r="AA424" i="8"/>
  <c r="Q251" i="8"/>
  <c r="AA251" i="8"/>
  <c r="Q88" i="8"/>
  <c r="AA88" i="8"/>
  <c r="Q136" i="8"/>
  <c r="AA136" i="8"/>
  <c r="Q138" i="8"/>
  <c r="AA138" i="8"/>
  <c r="Q38" i="8"/>
  <c r="AA38" i="8"/>
  <c r="Q17" i="8"/>
  <c r="AA17" i="8"/>
  <c r="Q31" i="8"/>
  <c r="AA31" i="8"/>
  <c r="Q490" i="8"/>
  <c r="AA490" i="8"/>
  <c r="Q470" i="8"/>
  <c r="AA470" i="8"/>
  <c r="Q420" i="8"/>
  <c r="AA420" i="8"/>
  <c r="Q126" i="8"/>
  <c r="AA126" i="8"/>
  <c r="Q455" i="8"/>
  <c r="AA455" i="8"/>
  <c r="Q160" i="8"/>
  <c r="AA160" i="8"/>
  <c r="Q255" i="8"/>
  <c r="AA255" i="8"/>
  <c r="Q129" i="8"/>
  <c r="AA129" i="8"/>
  <c r="Q327" i="8"/>
  <c r="AA327" i="8"/>
  <c r="Q336" i="8"/>
  <c r="AA336" i="8"/>
  <c r="Q305" i="8"/>
  <c r="AA305" i="8"/>
  <c r="Q187" i="8"/>
  <c r="AA187" i="8"/>
  <c r="Q349" i="8"/>
  <c r="AA349" i="8"/>
  <c r="Q202" i="8"/>
  <c r="AA202" i="8"/>
  <c r="Q103" i="8"/>
  <c r="AA103" i="8"/>
  <c r="Q364" i="8"/>
  <c r="AA364" i="8"/>
  <c r="Q295" i="8"/>
  <c r="AA295" i="8"/>
  <c r="Q482" i="8"/>
  <c r="AA482" i="8"/>
  <c r="Q310" i="8"/>
  <c r="AA310" i="8"/>
  <c r="Q128" i="8"/>
  <c r="AA128" i="8"/>
  <c r="Q80" i="8"/>
  <c r="AA80" i="8"/>
  <c r="Q410" i="8"/>
  <c r="AA410" i="8"/>
  <c r="Q94" i="8"/>
  <c r="AA94" i="8"/>
  <c r="Q166" i="8"/>
  <c r="AA166" i="8"/>
  <c r="Q399" i="8"/>
  <c r="AA399" i="8"/>
  <c r="Q353" i="8"/>
  <c r="AA353" i="8"/>
  <c r="Q188" i="8"/>
  <c r="AA188" i="8"/>
  <c r="Q81" i="8"/>
  <c r="AA81" i="8"/>
  <c r="Q118" i="8"/>
  <c r="AA118" i="8"/>
  <c r="Q34" i="8"/>
  <c r="AA34" i="8"/>
  <c r="Q13" i="8"/>
  <c r="AA13" i="8"/>
  <c r="Q90" i="8"/>
  <c r="AA90" i="8"/>
  <c r="Q148" i="8"/>
  <c r="AA148" i="8"/>
  <c r="Q158" i="8"/>
  <c r="AA158" i="8"/>
  <c r="Q150" i="8"/>
  <c r="AA150" i="8"/>
  <c r="Q49" i="8"/>
  <c r="AA49" i="8"/>
  <c r="Q286" i="8"/>
  <c r="AA286" i="8"/>
  <c r="Q324" i="8"/>
  <c r="AA324" i="8"/>
  <c r="Q492" i="8"/>
  <c r="AA492" i="8"/>
  <c r="Q85" i="8"/>
  <c r="AA85" i="8"/>
  <c r="Q477" i="8"/>
  <c r="AA477" i="8"/>
  <c r="Q475" i="8"/>
  <c r="AA475" i="8"/>
  <c r="Q331" i="8"/>
  <c r="AA331" i="8"/>
  <c r="Q23" i="8"/>
  <c r="AA23" i="8"/>
  <c r="Q274" i="8"/>
  <c r="AA274" i="8"/>
  <c r="Q478" i="8"/>
  <c r="AA478" i="8"/>
  <c r="Q300" i="8"/>
  <c r="AA300" i="8"/>
  <c r="Q181" i="8"/>
  <c r="AA181" i="8"/>
  <c r="Q441" i="8"/>
  <c r="AA441" i="8"/>
  <c r="Q212" i="8"/>
  <c r="AA212" i="8"/>
  <c r="Q146" i="8"/>
  <c r="AA146" i="8"/>
  <c r="Q113" i="8"/>
  <c r="AA113" i="8"/>
  <c r="Q411" i="8"/>
  <c r="AA411" i="8"/>
  <c r="Q431" i="8"/>
  <c r="AA431" i="8"/>
  <c r="Q351" i="8"/>
  <c r="AA351" i="8"/>
  <c r="Q233" i="8"/>
  <c r="AA233" i="8"/>
  <c r="Q456" i="8"/>
  <c r="AA456" i="8"/>
  <c r="Q207" i="8"/>
  <c r="AA207" i="8"/>
  <c r="Q170" i="8"/>
  <c r="AA170" i="8"/>
  <c r="Q39" i="8"/>
  <c r="AA39" i="8"/>
  <c r="Q91" i="8"/>
  <c r="AA91" i="8"/>
  <c r="Q256" i="8"/>
  <c r="AA256" i="8"/>
  <c r="Q35" i="8"/>
  <c r="AA35" i="8"/>
  <c r="Q214" i="8"/>
  <c r="AA214" i="8"/>
  <c r="Q159" i="8"/>
  <c r="AA159" i="8"/>
  <c r="Q107" i="8"/>
  <c r="AA107" i="8"/>
  <c r="Q254" i="8"/>
  <c r="AA254" i="8"/>
  <c r="Q309" i="8"/>
  <c r="AA309" i="8"/>
  <c r="Q205" i="8"/>
  <c r="AA205" i="8"/>
  <c r="Q279" i="8"/>
  <c r="AA279" i="8"/>
  <c r="Q343" i="8"/>
  <c r="AA343" i="8"/>
  <c r="Q226" i="8"/>
  <c r="AA226" i="8"/>
  <c r="Q425" i="8"/>
  <c r="AA425" i="8"/>
  <c r="Q154" i="8"/>
  <c r="AA154" i="8"/>
  <c r="Q61" i="8"/>
  <c r="AA61" i="8"/>
  <c r="Q57" i="8"/>
  <c r="AA57" i="8"/>
  <c r="Q321" i="8"/>
  <c r="AA321" i="8"/>
  <c r="Q363" i="8"/>
  <c r="AA363" i="8"/>
  <c r="Q334" i="8"/>
  <c r="AA334" i="8"/>
  <c r="Q415" i="8"/>
  <c r="AA415" i="8"/>
  <c r="Q199" i="8"/>
  <c r="AA199" i="8"/>
  <c r="Q52" i="8"/>
  <c r="AA52" i="8"/>
  <c r="Q316" i="8"/>
  <c r="AA316" i="8"/>
  <c r="Q304" i="8"/>
  <c r="AA304" i="8"/>
  <c r="Q311" i="8"/>
  <c r="AA311" i="8"/>
  <c r="Q211" i="8"/>
  <c r="AA211" i="8"/>
  <c r="Q341" i="8"/>
  <c r="AA341" i="8"/>
  <c r="Q465" i="8"/>
  <c r="AA465" i="8"/>
  <c r="Q192" i="8"/>
  <c r="AA192" i="8"/>
  <c r="Q102" i="8"/>
  <c r="AA102" i="8"/>
  <c r="Q101" i="8"/>
  <c r="AA101" i="8"/>
  <c r="Q220" i="8"/>
  <c r="AA220" i="8"/>
  <c r="Q318" i="8"/>
  <c r="AA318" i="8"/>
  <c r="Q408" i="8"/>
  <c r="AA408" i="8"/>
  <c r="Q48" i="8"/>
  <c r="AA48" i="8"/>
  <c r="Q266" i="8"/>
  <c r="AA266" i="8"/>
  <c r="Q275" i="8"/>
  <c r="AA275" i="8"/>
  <c r="Q45" i="8"/>
  <c r="AA45" i="8"/>
  <c r="Q95" i="8"/>
  <c r="AA95" i="8"/>
  <c r="Q471" i="8"/>
  <c r="AA471" i="8"/>
  <c r="Q253" i="8"/>
  <c r="AA253" i="8"/>
  <c r="Q260" i="8"/>
  <c r="AA260" i="8"/>
  <c r="Q375" i="8"/>
  <c r="AA375" i="8"/>
  <c r="Q394" i="8"/>
  <c r="AA394" i="8"/>
  <c r="Q406" i="8"/>
  <c r="AA406" i="8"/>
  <c r="Q370" i="8"/>
  <c r="AA370" i="8"/>
  <c r="Q283" i="8"/>
  <c r="AA283" i="8"/>
  <c r="Q182" i="8"/>
  <c r="AA182" i="8"/>
  <c r="Q123" i="8"/>
  <c r="AA123" i="8"/>
  <c r="Q442" i="8"/>
  <c r="AA442" i="8"/>
  <c r="Q306" i="8"/>
  <c r="AA306" i="8"/>
  <c r="Q60" i="8"/>
  <c r="AA60" i="8"/>
  <c r="Q308" i="8"/>
  <c r="AA308" i="8"/>
  <c r="Q65" i="8"/>
  <c r="AA65" i="8"/>
  <c r="Q347" i="8"/>
  <c r="AA347" i="8"/>
  <c r="Q12" i="8"/>
  <c r="AA12" i="8"/>
  <c r="Q46" i="8"/>
  <c r="AA46" i="8"/>
  <c r="Q19" i="8"/>
  <c r="AA19" i="8"/>
  <c r="Q32" i="8"/>
  <c r="AA32" i="8"/>
  <c r="Q55" i="8"/>
  <c r="AA55" i="8"/>
  <c r="Q78" i="8"/>
  <c r="AA78" i="8"/>
  <c r="Q209" i="8"/>
  <c r="AA209" i="8"/>
  <c r="Q337" i="8"/>
  <c r="AA337" i="8"/>
  <c r="Q299" i="8"/>
  <c r="AA299" i="8"/>
  <c r="Q165" i="8"/>
  <c r="AA165" i="8"/>
  <c r="Q413" i="8"/>
  <c r="AA413" i="8"/>
  <c r="Q53" i="8"/>
  <c r="AA53" i="8"/>
  <c r="Q340" i="8"/>
  <c r="AA340" i="8"/>
  <c r="Q43" i="8"/>
  <c r="AA43" i="8"/>
  <c r="Q111" i="8"/>
  <c r="AA111" i="8"/>
  <c r="Q206" i="8"/>
  <c r="AA206" i="8"/>
  <c r="Q329" i="8"/>
  <c r="AA329" i="8"/>
  <c r="Q132" i="8"/>
  <c r="AA132" i="8"/>
  <c r="Q190" i="8"/>
  <c r="AA190" i="8"/>
  <c r="Q443" i="8"/>
  <c r="AA443" i="8"/>
  <c r="Q99" i="8"/>
  <c r="AA99" i="8"/>
  <c r="Q37" i="8"/>
  <c r="AA37" i="8"/>
  <c r="Q418" i="8"/>
  <c r="AA418" i="8"/>
  <c r="Q372" i="8"/>
  <c r="AA372" i="8"/>
  <c r="Q50" i="8"/>
  <c r="AA50" i="8"/>
  <c r="Q115" i="8"/>
  <c r="AA115" i="8"/>
  <c r="Q25" i="8"/>
  <c r="AA25" i="8"/>
  <c r="Q451" i="8"/>
  <c r="AA451" i="8"/>
  <c r="Q144" i="8"/>
  <c r="AA144" i="8"/>
  <c r="Q433" i="8"/>
  <c r="AA433" i="8"/>
  <c r="Q430" i="8"/>
  <c r="AA430" i="8"/>
  <c r="Q100" i="8"/>
  <c r="AA100" i="8"/>
  <c r="Q241" i="8"/>
  <c r="AA241" i="8"/>
  <c r="Q352" i="8"/>
  <c r="AA352" i="8"/>
  <c r="Q453" i="8"/>
  <c r="AA453" i="8"/>
  <c r="Q210" i="8"/>
  <c r="AA210" i="8"/>
  <c r="Q404" i="8"/>
  <c r="AA404" i="8"/>
  <c r="Q117" i="8"/>
  <c r="AA117" i="8"/>
  <c r="Q22" i="8"/>
  <c r="AA22" i="8"/>
  <c r="Q40" i="8"/>
  <c r="AA40" i="8"/>
  <c r="Q229" i="8"/>
  <c r="AA229" i="8"/>
  <c r="Q183" i="8"/>
  <c r="AA183" i="8"/>
  <c r="Q105" i="8"/>
  <c r="AA105" i="8"/>
  <c r="Q172" i="8"/>
  <c r="AA172" i="8"/>
  <c r="Q356" i="8"/>
  <c r="AA356" i="8"/>
  <c r="Q244" i="8"/>
  <c r="AA244" i="8"/>
  <c r="Q449" i="8"/>
  <c r="AA449" i="8"/>
  <c r="Q69" i="8"/>
  <c r="AA69" i="8"/>
  <c r="Q292" i="8"/>
  <c r="AA292" i="8"/>
  <c r="Q18" i="8"/>
  <c r="AA18" i="8"/>
  <c r="Q481" i="8"/>
  <c r="AA481" i="8"/>
  <c r="Q367" i="8"/>
  <c r="AA367" i="8"/>
  <c r="Q242" i="8"/>
  <c r="AA242" i="8"/>
  <c r="Q87" i="8"/>
  <c r="AA87" i="8"/>
  <c r="Q276" i="8"/>
  <c r="AA276" i="8"/>
  <c r="Q459" i="8"/>
  <c r="AA459" i="8"/>
  <c r="Q460" i="8"/>
  <c r="AA460" i="8"/>
  <c r="Q142" i="8"/>
  <c r="AA142" i="8"/>
  <c r="Q173" i="8"/>
  <c r="AA173" i="8"/>
  <c r="Q312" i="8"/>
  <c r="AA312" i="8"/>
  <c r="Q41" i="8"/>
  <c r="AA41" i="8"/>
  <c r="Q296" i="8"/>
  <c r="AA296" i="8"/>
  <c r="Q228" i="8"/>
  <c r="AA228" i="8"/>
  <c r="Q122" i="8"/>
  <c r="AA122" i="8"/>
  <c r="Q446" i="8"/>
  <c r="AA446" i="8"/>
  <c r="Q232" i="8"/>
  <c r="AA232" i="8"/>
  <c r="Q291" i="8"/>
  <c r="AA291" i="8"/>
  <c r="Q163" i="8"/>
  <c r="AA163" i="8"/>
  <c r="Q179" i="8"/>
  <c r="AA179" i="8"/>
  <c r="Q86" i="8"/>
  <c r="AA86" i="8"/>
  <c r="Q486" i="8"/>
  <c r="AA486" i="8"/>
  <c r="Q357" i="8"/>
  <c r="AA357" i="8"/>
  <c r="Q427" i="8"/>
  <c r="AA427" i="8"/>
  <c r="Q422" i="8"/>
  <c r="AA422" i="8"/>
  <c r="Q358" i="8"/>
  <c r="AA358" i="8"/>
  <c r="Q480" i="8"/>
  <c r="AA480" i="8"/>
  <c r="Q402" i="8"/>
  <c r="AA402" i="8"/>
  <c r="Q54" i="8"/>
  <c r="AA54" i="8"/>
  <c r="Q289" i="8"/>
  <c r="AA289" i="8"/>
  <c r="Q195" i="8"/>
  <c r="AA195" i="8"/>
  <c r="Q360" i="8"/>
  <c r="AA360" i="8"/>
  <c r="Q156" i="8"/>
  <c r="AA156" i="8"/>
  <c r="Q447" i="8"/>
  <c r="AA447" i="8"/>
  <c r="Q472" i="8"/>
  <c r="AA472" i="8"/>
  <c r="Q197" i="8"/>
  <c r="AA197" i="8"/>
  <c r="Q401" i="8"/>
  <c r="AA401" i="8"/>
  <c r="Q474" i="8"/>
  <c r="AA474" i="8"/>
  <c r="Q30" i="8"/>
  <c r="AA30" i="8"/>
  <c r="Q167" i="8"/>
  <c r="AA167" i="8"/>
  <c r="Q379" i="8"/>
  <c r="AA379" i="8"/>
  <c r="Q223" i="8"/>
  <c r="AA223" i="8"/>
  <c r="Q319" i="8"/>
  <c r="AA319" i="8"/>
  <c r="Q196" i="8"/>
  <c r="AA196" i="8"/>
  <c r="Q234" i="8"/>
  <c r="AA234" i="8"/>
  <c r="Q281" i="8"/>
  <c r="AA281" i="8"/>
  <c r="Q489" i="8"/>
  <c r="AA489" i="8"/>
  <c r="Q164" i="8"/>
  <c r="AA164" i="8"/>
  <c r="Q153" i="8"/>
  <c r="AA153" i="8"/>
  <c r="Q130" i="8"/>
  <c r="AA130" i="8"/>
  <c r="Q437" i="8"/>
  <c r="AA437" i="8"/>
  <c r="Q203" i="8"/>
  <c r="AA203" i="8"/>
  <c r="Q483" i="8"/>
  <c r="AA483" i="8"/>
  <c r="Q204" i="8"/>
  <c r="AA204" i="8"/>
  <c r="Q368" i="8"/>
  <c r="AA368" i="8"/>
  <c r="Q444" i="8"/>
  <c r="AA444" i="8"/>
  <c r="Q290" i="8"/>
  <c r="AA290" i="8"/>
  <c r="Q155" i="8"/>
  <c r="AA155" i="8"/>
  <c r="Q77" i="8"/>
  <c r="AA77" i="8"/>
  <c r="Q240" i="8"/>
  <c r="AA240" i="8"/>
  <c r="Q450" i="8"/>
  <c r="AA450" i="8"/>
  <c r="Q382" i="8"/>
  <c r="AA382" i="8"/>
  <c r="Q124" i="8"/>
  <c r="AA124" i="8"/>
  <c r="Q405" i="8"/>
  <c r="AA405" i="8"/>
  <c r="Q371" i="8"/>
  <c r="AA371" i="8"/>
  <c r="Q303" i="8"/>
  <c r="AA303" i="8"/>
  <c r="Q28" i="8"/>
  <c r="AA28" i="8"/>
  <c r="Q175" i="8"/>
  <c r="AA175" i="8"/>
  <c r="Q416" i="8"/>
  <c r="AA416" i="8"/>
  <c r="Q377" i="8"/>
  <c r="AA377" i="8"/>
  <c r="Q24" i="8"/>
  <c r="AA24" i="8"/>
  <c r="Q208" i="8"/>
  <c r="AA208" i="8"/>
  <c r="Q468" i="8"/>
  <c r="AA468" i="8"/>
  <c r="Q346" i="8"/>
  <c r="AA346" i="8"/>
  <c r="Q313" i="8"/>
  <c r="AA313" i="8"/>
  <c r="Q134" i="8"/>
  <c r="AA134" i="8"/>
  <c r="Q354" i="8"/>
  <c r="AA354" i="8"/>
  <c r="Q97" i="8"/>
  <c r="AA97" i="8"/>
  <c r="Q177" i="8"/>
  <c r="AA177" i="8"/>
  <c r="Q307" i="8"/>
  <c r="AA307" i="8"/>
  <c r="Q198" i="8"/>
  <c r="AA198" i="8"/>
  <c r="Q270" i="8"/>
  <c r="AA270" i="8"/>
  <c r="Q457" i="8"/>
  <c r="AA457" i="8"/>
  <c r="Q440" i="8"/>
  <c r="AA440" i="8"/>
  <c r="Q257" i="8"/>
  <c r="AA257" i="8"/>
  <c r="Q436" i="8"/>
  <c r="AA436" i="8"/>
  <c r="Q409" i="8"/>
  <c r="AA409" i="8"/>
  <c r="Q265" i="8"/>
  <c r="AA265" i="8"/>
  <c r="Q42" i="8"/>
  <c r="AA42" i="8"/>
  <c r="Q59" i="8"/>
  <c r="AA59" i="8"/>
  <c r="Q445" i="8"/>
  <c r="AA445" i="8"/>
  <c r="Q301" i="8"/>
  <c r="AA301" i="8"/>
  <c r="Q224" i="8"/>
  <c r="AA224" i="8"/>
  <c r="Q21" i="8"/>
  <c r="AA21" i="8"/>
  <c r="Q398" i="8"/>
  <c r="AA398" i="8"/>
  <c r="Q51" i="8"/>
  <c r="AA51" i="8"/>
  <c r="Q72" i="8"/>
  <c r="AA72" i="8"/>
  <c r="Q342" i="8"/>
  <c r="AA342" i="8"/>
  <c r="O7" i="9"/>
  <c r="U247" i="9"/>
  <c r="O247" i="6"/>
  <c r="O76" i="6"/>
  <c r="U76" i="9"/>
  <c r="U110" i="9"/>
  <c r="O110" i="6"/>
  <c r="O55" i="6"/>
  <c r="U55" i="9"/>
  <c r="O478" i="6"/>
  <c r="U478" i="9"/>
  <c r="U28" i="9"/>
  <c r="O28" i="6"/>
  <c r="O367" i="6"/>
  <c r="U367" i="9"/>
  <c r="O342" i="6"/>
  <c r="U342" i="9"/>
  <c r="U182" i="9"/>
  <c r="O182" i="6"/>
  <c r="U97" i="9"/>
  <c r="O97" i="6"/>
  <c r="O317" i="6"/>
  <c r="U317" i="9"/>
  <c r="O23" i="6"/>
  <c r="U23" i="9"/>
  <c r="U100" i="9"/>
  <c r="O100" i="6"/>
  <c r="O168" i="6"/>
  <c r="U168" i="9"/>
  <c r="U149" i="9"/>
  <c r="O149" i="6"/>
  <c r="U128" i="9"/>
  <c r="O128" i="6"/>
  <c r="U126" i="9"/>
  <c r="O126" i="6"/>
  <c r="O240" i="6"/>
  <c r="U240" i="9"/>
  <c r="U385" i="9"/>
  <c r="O385" i="6"/>
  <c r="O106" i="6"/>
  <c r="U106" i="9"/>
  <c r="U477" i="9"/>
  <c r="O477" i="6"/>
  <c r="U396" i="9"/>
  <c r="O396" i="6"/>
  <c r="O446" i="6"/>
  <c r="U446" i="9"/>
  <c r="O311" i="6"/>
  <c r="U311" i="9"/>
  <c r="O349" i="6"/>
  <c r="U349" i="9"/>
  <c r="O250" i="6"/>
  <c r="U250" i="9"/>
  <c r="U238" i="9"/>
  <c r="O238" i="6"/>
  <c r="O337" i="6"/>
  <c r="U337" i="9"/>
  <c r="O473" i="6"/>
  <c r="U473" i="9"/>
  <c r="U307" i="9"/>
  <c r="O307" i="6"/>
  <c r="U324" i="9"/>
  <c r="O324" i="6"/>
  <c r="U378" i="9"/>
  <c r="O378" i="6"/>
  <c r="U241" i="9"/>
  <c r="O241" i="6"/>
  <c r="O51" i="6"/>
  <c r="U51" i="9"/>
  <c r="O402" i="6"/>
  <c r="U402" i="9"/>
  <c r="U392" i="9"/>
  <c r="O392" i="6"/>
  <c r="O218" i="6"/>
  <c r="U218" i="9"/>
  <c r="O88" i="6"/>
  <c r="U88" i="9"/>
  <c r="U27" i="9"/>
  <c r="O27" i="6"/>
  <c r="U33" i="9"/>
  <c r="O33" i="6"/>
  <c r="U59" i="9"/>
  <c r="O59" i="6"/>
  <c r="O451" i="6"/>
  <c r="U451" i="9"/>
  <c r="U91" i="9"/>
  <c r="O91" i="6"/>
  <c r="U35" i="9"/>
  <c r="O35" i="6"/>
  <c r="U330" i="9"/>
  <c r="O330" i="6"/>
  <c r="O144" i="6"/>
  <c r="U144" i="9"/>
  <c r="U242" i="9"/>
  <c r="O242" i="6"/>
  <c r="U180" i="9"/>
  <c r="O180" i="6"/>
  <c r="U393" i="9"/>
  <c r="O393" i="6"/>
  <c r="O159" i="6"/>
  <c r="U159" i="9"/>
  <c r="O419" i="6"/>
  <c r="U419" i="9"/>
  <c r="O363" i="6"/>
  <c r="U363" i="9"/>
  <c r="U429" i="9"/>
  <c r="O429" i="6"/>
  <c r="O41" i="6"/>
  <c r="U41" i="9"/>
  <c r="U132" i="9"/>
  <c r="O132" i="6"/>
  <c r="O123" i="6"/>
  <c r="U123" i="9"/>
  <c r="O482" i="6"/>
  <c r="U482" i="9"/>
  <c r="O372" i="6"/>
  <c r="U372" i="9"/>
  <c r="O156" i="6"/>
  <c r="U156" i="9"/>
  <c r="O138" i="6"/>
  <c r="U138" i="9"/>
  <c r="O228" i="6"/>
  <c r="U228" i="9"/>
  <c r="O355" i="6"/>
  <c r="U355" i="9"/>
  <c r="U83" i="9"/>
  <c r="O83" i="6"/>
  <c r="U300" i="9"/>
  <c r="O300" i="6"/>
  <c r="U157" i="9"/>
  <c r="O157" i="6"/>
  <c r="O411" i="6"/>
  <c r="U411" i="9"/>
  <c r="U358" i="9"/>
  <c r="O358" i="6"/>
  <c r="U263" i="9"/>
  <c r="O263" i="6"/>
  <c r="O255" i="6"/>
  <c r="U255" i="9"/>
  <c r="U387" i="9"/>
  <c r="O387" i="6"/>
  <c r="U371" i="9"/>
  <c r="O371" i="6"/>
  <c r="O288" i="6"/>
  <c r="U288" i="9"/>
  <c r="O118" i="6"/>
  <c r="U118" i="9"/>
  <c r="U176" i="9"/>
  <c r="O176" i="6"/>
  <c r="U75" i="9"/>
  <c r="O75" i="6"/>
  <c r="U298" i="9"/>
  <c r="O298" i="6"/>
  <c r="U450" i="9"/>
  <c r="O450" i="6"/>
  <c r="O471" i="6"/>
  <c r="U471" i="9"/>
  <c r="U177" i="9"/>
  <c r="O177" i="6"/>
  <c r="U389" i="9"/>
  <c r="O389" i="6"/>
  <c r="U57" i="9"/>
  <c r="O57" i="6"/>
  <c r="U81" i="9"/>
  <c r="O81" i="6"/>
  <c r="O276" i="6"/>
  <c r="U276" i="9"/>
  <c r="U438" i="9"/>
  <c r="O438" i="6"/>
  <c r="U424" i="9"/>
  <c r="O424" i="6"/>
  <c r="O415" i="6"/>
  <c r="U415" i="9"/>
  <c r="U395" i="9"/>
  <c r="O395" i="6"/>
  <c r="O74" i="6"/>
  <c r="U74" i="9"/>
  <c r="O48" i="6"/>
  <c r="U48" i="9"/>
  <c r="U406" i="9"/>
  <c r="O406" i="6"/>
  <c r="U136" i="9"/>
  <c r="O136" i="6"/>
  <c r="O113" i="6"/>
  <c r="U113" i="9"/>
  <c r="U183" i="9"/>
  <c r="O183" i="6"/>
  <c r="O146" i="6"/>
  <c r="U146" i="9"/>
  <c r="O427" i="6"/>
  <c r="U427" i="9"/>
  <c r="O437" i="6"/>
  <c r="U437" i="9"/>
  <c r="U369" i="9"/>
  <c r="O369" i="6"/>
  <c r="O353" i="6"/>
  <c r="U353" i="9"/>
  <c r="U105" i="9"/>
  <c r="O105" i="6"/>
  <c r="U320" i="9"/>
  <c r="O320" i="6"/>
  <c r="U175" i="9"/>
  <c r="O175" i="6"/>
  <c r="O147" i="6"/>
  <c r="U147" i="9"/>
  <c r="O273" i="6"/>
  <c r="U273" i="9"/>
  <c r="O178" i="6"/>
  <c r="U178" i="9"/>
  <c r="O143" i="6"/>
  <c r="U143" i="9"/>
  <c r="O433" i="6"/>
  <c r="U433" i="9"/>
  <c r="O422" i="6"/>
  <c r="U422" i="9"/>
  <c r="O213" i="6"/>
  <c r="U213" i="9"/>
  <c r="U112" i="9"/>
  <c r="O112" i="6"/>
  <c r="U160" i="9"/>
  <c r="O160" i="6"/>
  <c r="U107" i="9"/>
  <c r="O107" i="6"/>
  <c r="O408" i="6"/>
  <c r="U408" i="9"/>
  <c r="U380" i="9"/>
  <c r="O380" i="6"/>
  <c r="O117" i="6"/>
  <c r="U117" i="9"/>
  <c r="U481" i="9"/>
  <c r="O481" i="6"/>
  <c r="O404" i="6"/>
  <c r="U404" i="9"/>
  <c r="U158" i="9"/>
  <c r="O158" i="6"/>
  <c r="O152" i="6"/>
  <c r="U152" i="9"/>
  <c r="U223" i="9"/>
  <c r="O223" i="6"/>
  <c r="O291" i="6"/>
  <c r="U291" i="9"/>
  <c r="O103" i="6"/>
  <c r="U103" i="9"/>
  <c r="O211" i="6"/>
  <c r="U211" i="9"/>
  <c r="O153" i="6"/>
  <c r="U153" i="9"/>
  <c r="O251" i="6"/>
  <c r="U251" i="9"/>
  <c r="O188" i="6"/>
  <c r="U188" i="9"/>
  <c r="O459" i="6"/>
  <c r="U459" i="9"/>
  <c r="U216" i="9"/>
  <c r="O216" i="6"/>
  <c r="O259" i="6"/>
  <c r="U259" i="9"/>
  <c r="U330" i="8"/>
  <c r="N330" i="6"/>
  <c r="U222" i="8"/>
  <c r="N222" i="6"/>
  <c r="U246" i="8"/>
  <c r="N246" i="6"/>
  <c r="U400" i="8"/>
  <c r="N400" i="6"/>
  <c r="U484" i="8"/>
  <c r="N484" i="6"/>
  <c r="U20" i="8"/>
  <c r="N20" i="6"/>
  <c r="U96" i="8"/>
  <c r="N96" i="6"/>
  <c r="U131" i="8"/>
  <c r="N131" i="6"/>
  <c r="U70" i="8"/>
  <c r="N70" i="6"/>
  <c r="U108" i="8"/>
  <c r="N108" i="6"/>
  <c r="U185" i="8"/>
  <c r="N185" i="6"/>
  <c r="N82" i="6"/>
  <c r="U82" i="8"/>
  <c r="N487" i="6"/>
  <c r="U487" i="8"/>
  <c r="N73" i="6"/>
  <c r="U73" i="8"/>
  <c r="U67" i="8"/>
  <c r="N67" i="6"/>
  <c r="U397" i="8"/>
  <c r="N397" i="6"/>
  <c r="U184" i="8"/>
  <c r="N184" i="6"/>
  <c r="U264" i="8"/>
  <c r="N264" i="6"/>
  <c r="N27" i="6"/>
  <c r="U27" i="8"/>
  <c r="U423" i="8"/>
  <c r="N423" i="6"/>
  <c r="U435" i="8"/>
  <c r="N435" i="6"/>
  <c r="U193" i="8"/>
  <c r="N193" i="6"/>
  <c r="N151" i="6"/>
  <c r="U151" i="8"/>
  <c r="N63" i="6"/>
  <c r="U63" i="8"/>
  <c r="U92" i="8"/>
  <c r="N92" i="6"/>
  <c r="U438" i="8"/>
  <c r="N438" i="6"/>
  <c r="U58" i="8"/>
  <c r="N58" i="6"/>
  <c r="N344" i="6"/>
  <c r="U344" i="8"/>
  <c r="N376" i="6"/>
  <c r="U376" i="8"/>
  <c r="U428" i="8"/>
  <c r="N428" i="6"/>
  <c r="U369" i="8"/>
  <c r="N369" i="6"/>
  <c r="P369" i="6" s="1"/>
  <c r="U237" i="8"/>
  <c r="N237" i="6"/>
  <c r="N381" i="6"/>
  <c r="U381" i="8"/>
  <c r="N217" i="6"/>
  <c r="U217" i="8"/>
  <c r="N168" i="6"/>
  <c r="U168" i="8"/>
  <c r="U391" i="8"/>
  <c r="N391" i="6"/>
  <c r="U320" i="8"/>
  <c r="N320" i="6"/>
  <c r="U243" i="8"/>
  <c r="N243" i="6"/>
  <c r="U110" i="8"/>
  <c r="N110" i="6"/>
  <c r="P110" i="6" s="1"/>
  <c r="N258" i="6"/>
  <c r="U258" i="8"/>
  <c r="N387" i="6"/>
  <c r="U387" i="8"/>
  <c r="U385" i="8"/>
  <c r="N385" i="6"/>
  <c r="U249" i="8"/>
  <c r="N249" i="6"/>
  <c r="U83" i="8"/>
  <c r="N83" i="6"/>
  <c r="U141" i="8"/>
  <c r="N141" i="6"/>
  <c r="N33" i="6"/>
  <c r="P33" i="6" s="1"/>
  <c r="U33" i="8"/>
  <c r="N452" i="6"/>
  <c r="U452" i="8"/>
  <c r="U298" i="8"/>
  <c r="N298" i="6"/>
  <c r="P298" i="6" s="1"/>
  <c r="U488" i="8"/>
  <c r="N488" i="6"/>
  <c r="N467" i="6"/>
  <c r="U467" i="8"/>
  <c r="U269" i="8"/>
  <c r="N269" i="6"/>
  <c r="N272" i="6"/>
  <c r="U272" i="8"/>
  <c r="U66" i="8"/>
  <c r="N66" i="6"/>
  <c r="U479" i="8"/>
  <c r="N479" i="6"/>
  <c r="U238" i="8"/>
  <c r="N238" i="6"/>
  <c r="P238" i="6" s="1"/>
  <c r="U365" i="8"/>
  <c r="N365" i="6"/>
  <c r="N231" i="6"/>
  <c r="U231" i="8"/>
  <c r="U429" i="8"/>
  <c r="N429" i="6"/>
  <c r="U133" i="8"/>
  <c r="N133" i="6"/>
  <c r="N15" i="6"/>
  <c r="U15" i="8"/>
  <c r="U245" i="8"/>
  <c r="N245" i="6"/>
  <c r="U147" i="8"/>
  <c r="N147" i="6"/>
  <c r="N227" i="6"/>
  <c r="U227" i="8"/>
  <c r="U473" i="8"/>
  <c r="N473" i="6"/>
  <c r="P473" i="6" s="1"/>
  <c r="U395" i="8"/>
  <c r="N395" i="6"/>
  <c r="P395" i="6" s="1"/>
  <c r="U47" i="8"/>
  <c r="N47" i="6"/>
  <c r="N84" i="6"/>
  <c r="U84" i="8"/>
  <c r="U79" i="8"/>
  <c r="N79" i="6"/>
  <c r="U361" i="8"/>
  <c r="N361" i="6"/>
  <c r="N98" i="6"/>
  <c r="U98" i="8"/>
  <c r="U284" i="8"/>
  <c r="N284" i="6"/>
  <c r="U201" i="8"/>
  <c r="N201" i="6"/>
  <c r="N463" i="6"/>
  <c r="U463" i="8"/>
  <c r="U259" i="8"/>
  <c r="N259" i="6"/>
  <c r="U112" i="8"/>
  <c r="N112" i="6"/>
  <c r="P112" i="6" s="1"/>
  <c r="U200" i="8"/>
  <c r="N200" i="6"/>
  <c r="U386" i="8"/>
  <c r="N386" i="6"/>
  <c r="U421" i="8"/>
  <c r="N421" i="6"/>
  <c r="N139" i="6"/>
  <c r="U139" i="8"/>
  <c r="U462" i="8"/>
  <c r="N462" i="6"/>
  <c r="N454" i="6"/>
  <c r="U454" i="8"/>
  <c r="U271" i="8"/>
  <c r="N271" i="6"/>
  <c r="N16" i="6"/>
  <c r="U16" i="8"/>
  <c r="N326" i="6"/>
  <c r="U326" i="8"/>
  <c r="U149" i="8"/>
  <c r="N149" i="6"/>
  <c r="P149" i="6" s="1"/>
  <c r="U366" i="8"/>
  <c r="N366" i="6"/>
  <c r="N247" i="6"/>
  <c r="U247" i="8"/>
  <c r="U161" i="8"/>
  <c r="N161" i="6"/>
  <c r="U469" i="8"/>
  <c r="N469" i="6"/>
  <c r="N362" i="6"/>
  <c r="U362" i="8"/>
  <c r="U359" i="8"/>
  <c r="N359" i="6"/>
  <c r="U143" i="8"/>
  <c r="N143" i="6"/>
  <c r="U464" i="8"/>
  <c r="N464" i="6"/>
  <c r="U380" i="8"/>
  <c r="N380" i="6"/>
  <c r="N288" i="6"/>
  <c r="U288" i="8"/>
  <c r="N218" i="6"/>
  <c r="P218" i="6" s="1"/>
  <c r="U218" i="8"/>
  <c r="U476" i="8"/>
  <c r="N476" i="6"/>
  <c r="U263" i="8"/>
  <c r="N263" i="6"/>
  <c r="U338" i="8"/>
  <c r="N338" i="6"/>
  <c r="U262" i="8"/>
  <c r="N262" i="6"/>
  <c r="N250" i="6"/>
  <c r="U250" i="8"/>
  <c r="N285" i="6"/>
  <c r="U285" i="8"/>
  <c r="U169" i="8"/>
  <c r="N169" i="6"/>
  <c r="N74" i="6"/>
  <c r="U74" i="8"/>
  <c r="U71" i="8"/>
  <c r="N71" i="6"/>
  <c r="U36" i="8"/>
  <c r="N36" i="6"/>
  <c r="U125" i="8"/>
  <c r="N125" i="6"/>
  <c r="U432" i="8"/>
  <c r="N432" i="6"/>
  <c r="U323" i="8"/>
  <c r="N323" i="6"/>
  <c r="N355" i="6"/>
  <c r="U355" i="8"/>
  <c r="U350" i="8"/>
  <c r="N350" i="6"/>
  <c r="U219" i="8"/>
  <c r="N219" i="6"/>
  <c r="N239" i="6"/>
  <c r="U239" i="8"/>
  <c r="U287" i="8"/>
  <c r="N287" i="6"/>
  <c r="U29" i="8"/>
  <c r="N29" i="6"/>
  <c r="U393" i="8"/>
  <c r="N393" i="6"/>
  <c r="P393" i="6" s="1"/>
  <c r="U62" i="8"/>
  <c r="N62" i="6"/>
  <c r="N333" i="6"/>
  <c r="U333" i="8"/>
  <c r="U403" i="8"/>
  <c r="N403" i="6"/>
  <c r="U294" i="8"/>
  <c r="N294" i="6"/>
  <c r="U254" i="9"/>
  <c r="O254" i="6"/>
  <c r="U47" i="9"/>
  <c r="O47" i="6"/>
  <c r="O294" i="6"/>
  <c r="U294" i="9"/>
  <c r="O38" i="6"/>
  <c r="U38" i="9"/>
  <c r="U99" i="9"/>
  <c r="O99" i="6"/>
  <c r="O420" i="6"/>
  <c r="U420" i="9"/>
  <c r="O454" i="6"/>
  <c r="U454" i="9"/>
  <c r="O172" i="6"/>
  <c r="U172" i="9"/>
  <c r="U449" i="9"/>
  <c r="O449" i="6"/>
  <c r="O370" i="6"/>
  <c r="U370" i="9"/>
  <c r="O426" i="6"/>
  <c r="U426" i="9"/>
  <c r="U444" i="9"/>
  <c r="O444" i="6"/>
  <c r="O308" i="6"/>
  <c r="U308" i="9"/>
  <c r="U244" i="9"/>
  <c r="O244" i="6"/>
  <c r="U414" i="9"/>
  <c r="O414" i="6"/>
  <c r="O447" i="6"/>
  <c r="U447" i="9"/>
  <c r="O340" i="6"/>
  <c r="U340" i="9"/>
  <c r="O245" i="6"/>
  <c r="U245" i="9"/>
  <c r="U150" i="9"/>
  <c r="O150" i="6"/>
  <c r="O343" i="6"/>
  <c r="U343" i="9"/>
  <c r="U452" i="9"/>
  <c r="O452" i="6"/>
  <c r="U284" i="9"/>
  <c r="O284" i="6"/>
  <c r="U52" i="9"/>
  <c r="O52" i="6"/>
  <c r="U492" i="9"/>
  <c r="O492" i="6"/>
  <c r="O345" i="6"/>
  <c r="U345" i="9"/>
  <c r="U233" i="9"/>
  <c r="O233" i="6"/>
  <c r="U275" i="9"/>
  <c r="O275" i="6"/>
  <c r="U32" i="9"/>
  <c r="O32" i="6"/>
  <c r="O21" i="6"/>
  <c r="U21" i="9"/>
  <c r="U224" i="9"/>
  <c r="O224" i="6"/>
  <c r="O53" i="6"/>
  <c r="U53" i="9"/>
  <c r="U135" i="9"/>
  <c r="O135" i="6"/>
  <c r="O164" i="6"/>
  <c r="U164" i="9"/>
  <c r="U403" i="9"/>
  <c r="O403" i="6"/>
  <c r="O293" i="6"/>
  <c r="U293" i="9"/>
  <c r="O282" i="6"/>
  <c r="U282" i="9"/>
  <c r="O344" i="6"/>
  <c r="U344" i="9"/>
  <c r="O299" i="6"/>
  <c r="U299" i="9"/>
  <c r="U405" i="9"/>
  <c r="O405" i="6"/>
  <c r="O214" i="6"/>
  <c r="U214" i="9"/>
  <c r="U398" i="9"/>
  <c r="O398" i="6"/>
  <c r="O283" i="6"/>
  <c r="U283" i="9"/>
  <c r="O85" i="6"/>
  <c r="U85" i="9"/>
  <c r="U163" i="9"/>
  <c r="O163" i="6"/>
  <c r="U292" i="9"/>
  <c r="O292" i="6"/>
  <c r="O390" i="6"/>
  <c r="U390" i="9"/>
  <c r="U319" i="9"/>
  <c r="O319" i="6"/>
  <c r="O312" i="6"/>
  <c r="U312" i="9"/>
  <c r="O474" i="6"/>
  <c r="U474" i="9"/>
  <c r="O65" i="6"/>
  <c r="U65" i="9"/>
  <c r="O37" i="6"/>
  <c r="U37" i="9"/>
  <c r="U364" i="9"/>
  <c r="O364" i="6"/>
  <c r="U69" i="9"/>
  <c r="O69" i="6"/>
  <c r="O68" i="6"/>
  <c r="U68" i="9"/>
  <c r="O186" i="6"/>
  <c r="U186" i="9"/>
  <c r="U96" i="9"/>
  <c r="O96" i="6"/>
  <c r="U124" i="9"/>
  <c r="O124" i="6"/>
  <c r="O151" i="6"/>
  <c r="U151" i="9"/>
  <c r="U31" i="9"/>
  <c r="O31" i="6"/>
  <c r="U49" i="9"/>
  <c r="O49" i="6"/>
  <c r="O39" i="6"/>
  <c r="U39" i="9"/>
  <c r="U327" i="9"/>
  <c r="O327" i="6"/>
  <c r="O26" i="6"/>
  <c r="U26" i="9"/>
  <c r="U253" i="9"/>
  <c r="O253" i="6"/>
  <c r="O165" i="6"/>
  <c r="U165" i="9"/>
  <c r="U82" i="9"/>
  <c r="O82" i="6"/>
  <c r="U237" i="9"/>
  <c r="O237" i="6"/>
  <c r="U42" i="9"/>
  <c r="O42" i="6"/>
  <c r="U277" i="9"/>
  <c r="O277" i="6"/>
  <c r="U196" i="9"/>
  <c r="O196" i="6"/>
  <c r="O89" i="6"/>
  <c r="U89" i="9"/>
  <c r="U304" i="9"/>
  <c r="O304" i="6"/>
  <c r="O441" i="6"/>
  <c r="U441" i="9"/>
  <c r="U12" i="9"/>
  <c r="O12" i="6"/>
  <c r="U278" i="9"/>
  <c r="O278" i="6"/>
  <c r="U207" i="9"/>
  <c r="O207" i="6"/>
  <c r="O161" i="6"/>
  <c r="U161" i="9"/>
  <c r="O169" i="6"/>
  <c r="U169" i="9"/>
  <c r="U193" i="9"/>
  <c r="O193" i="6"/>
  <c r="U204" i="9"/>
  <c r="O204" i="6"/>
  <c r="U361" i="9"/>
  <c r="O361" i="6"/>
  <c r="U472" i="9"/>
  <c r="O472" i="6"/>
  <c r="O185" i="6"/>
  <c r="U185" i="9"/>
  <c r="U431" i="9"/>
  <c r="O431" i="6"/>
  <c r="O64" i="6"/>
  <c r="U64" i="9"/>
  <c r="U129" i="9"/>
  <c r="O129" i="6"/>
  <c r="U412" i="9"/>
  <c r="O412" i="6"/>
  <c r="U167" i="9"/>
  <c r="O167" i="6"/>
  <c r="U121" i="9"/>
  <c r="O121" i="6"/>
  <c r="U443" i="9"/>
  <c r="O443" i="6"/>
  <c r="O252" i="6"/>
  <c r="U252" i="9"/>
  <c r="U246" i="9"/>
  <c r="O246" i="6"/>
  <c r="O243" i="6"/>
  <c r="U243" i="9"/>
  <c r="O236" i="6"/>
  <c r="U236" i="9"/>
  <c r="O269" i="6"/>
  <c r="U269" i="9"/>
  <c r="U375" i="9"/>
  <c r="O375" i="6"/>
  <c r="O221" i="6"/>
  <c r="U221" i="9"/>
  <c r="U66" i="9"/>
  <c r="O66" i="6"/>
  <c r="U487" i="9"/>
  <c r="O487" i="6"/>
  <c r="O257" i="6"/>
  <c r="U257" i="9"/>
  <c r="U137" i="9"/>
  <c r="O137" i="6"/>
  <c r="U115" i="9"/>
  <c r="O115" i="6"/>
  <c r="U445" i="9"/>
  <c r="O445" i="6"/>
  <c r="O442" i="6"/>
  <c r="U442" i="9"/>
  <c r="U486" i="9"/>
  <c r="O486" i="6"/>
  <c r="U332" i="9"/>
  <c r="O332" i="6"/>
  <c r="U95" i="9"/>
  <c r="O95" i="6"/>
  <c r="U434" i="9"/>
  <c r="O434" i="6"/>
  <c r="U262" i="9"/>
  <c r="O262" i="6"/>
  <c r="O480" i="6"/>
  <c r="U480" i="9"/>
  <c r="O271" i="6"/>
  <c r="U271" i="9"/>
  <c r="O331" i="6"/>
  <c r="U331" i="9"/>
  <c r="O190" i="6"/>
  <c r="U190" i="9"/>
  <c r="O94" i="6"/>
  <c r="U94" i="9"/>
  <c r="N109" i="6"/>
  <c r="U109" i="8"/>
  <c r="U268" i="8"/>
  <c r="N268" i="6"/>
  <c r="U157" i="8"/>
  <c r="N157" i="6"/>
  <c r="U215" i="8"/>
  <c r="N215" i="6"/>
  <c r="N448" i="6"/>
  <c r="U448" i="8"/>
  <c r="N419" i="6"/>
  <c r="P419" i="6" s="1"/>
  <c r="U419" i="8"/>
  <c r="U335" i="8"/>
  <c r="N335" i="6"/>
  <c r="U75" i="8"/>
  <c r="N75" i="6"/>
  <c r="P75" i="6" s="1"/>
  <c r="U26" i="8"/>
  <c r="N26" i="6"/>
  <c r="U14" i="8"/>
  <c r="N14" i="6"/>
  <c r="U348" i="8"/>
  <c r="N348" i="6"/>
  <c r="N389" i="6"/>
  <c r="P389" i="6" s="1"/>
  <c r="U389" i="8"/>
  <c r="U221" i="8"/>
  <c r="N221" i="6"/>
  <c r="N434" i="6"/>
  <c r="U434" i="8"/>
  <c r="U491" i="8"/>
  <c r="N491" i="6"/>
  <c r="U458" i="8"/>
  <c r="N458" i="6"/>
  <c r="U439" i="8"/>
  <c r="N439" i="6"/>
  <c r="N176" i="6"/>
  <c r="P176" i="6" s="1"/>
  <c r="U176" i="8"/>
  <c r="U322" i="8"/>
  <c r="N322" i="6"/>
  <c r="N180" i="6"/>
  <c r="P180" i="6" s="1"/>
  <c r="U180" i="8"/>
  <c r="N119" i="6"/>
  <c r="U119" i="8"/>
  <c r="U235" i="8"/>
  <c r="N235" i="6"/>
  <c r="N396" i="6"/>
  <c r="P396" i="6" s="1"/>
  <c r="U396" i="8"/>
  <c r="N104" i="6"/>
  <c r="U104" i="8"/>
  <c r="N267" i="6"/>
  <c r="U267" i="8"/>
  <c r="N64" i="6"/>
  <c r="U64" i="8"/>
  <c r="U388" i="8"/>
  <c r="N388" i="6"/>
  <c r="U378" i="8"/>
  <c r="N378" i="6"/>
  <c r="P378" i="6" s="1"/>
  <c r="N191" i="6"/>
  <c r="U191" i="8"/>
  <c r="U76" i="8"/>
  <c r="N76" i="6"/>
  <c r="U328" i="8"/>
  <c r="N328" i="6"/>
  <c r="U417" i="8"/>
  <c r="N417" i="6"/>
  <c r="U135" i="8"/>
  <c r="N135" i="6"/>
  <c r="N171" i="6"/>
  <c r="U171" i="8"/>
  <c r="U374" i="8"/>
  <c r="N374" i="6"/>
  <c r="N145" i="6"/>
  <c r="U145" i="8"/>
  <c r="U317" i="8"/>
  <c r="N317" i="6"/>
  <c r="U216" i="8"/>
  <c r="N216" i="6"/>
  <c r="N178" i="6"/>
  <c r="U178" i="8"/>
  <c r="N140" i="6"/>
  <c r="U140" i="8"/>
  <c r="U106" i="8"/>
  <c r="N106" i="6"/>
  <c r="U345" i="8"/>
  <c r="N345" i="6"/>
  <c r="N114" i="6"/>
  <c r="U114" i="8"/>
  <c r="N152" i="6"/>
  <c r="P152" i="6" s="1"/>
  <c r="U152" i="8"/>
  <c r="N162" i="6"/>
  <c r="U162" i="8"/>
  <c r="U297" i="8"/>
  <c r="N297" i="6"/>
  <c r="N412" i="6"/>
  <c r="U412" i="8"/>
  <c r="U426" i="8"/>
  <c r="N426" i="6"/>
  <c r="N189" i="6"/>
  <c r="U189" i="8"/>
  <c r="N273" i="6"/>
  <c r="U273" i="8"/>
  <c r="U407" i="8"/>
  <c r="N407" i="6"/>
  <c r="U282" i="8"/>
  <c r="N282" i="6"/>
  <c r="N277" i="6"/>
  <c r="U277" i="8"/>
  <c r="N121" i="6"/>
  <c r="U121" i="8"/>
  <c r="U56" i="8"/>
  <c r="N56" i="6"/>
  <c r="N248" i="6"/>
  <c r="U248" i="8"/>
  <c r="N315" i="6"/>
  <c r="U315" i="8"/>
  <c r="N383" i="6"/>
  <c r="U383" i="8"/>
  <c r="N485" i="6"/>
  <c r="U485" i="8"/>
  <c r="U127" i="8"/>
  <c r="N127" i="6"/>
  <c r="U332" i="8"/>
  <c r="N332" i="6"/>
  <c r="U120" i="8"/>
  <c r="N120" i="6"/>
  <c r="U89" i="8"/>
  <c r="N89" i="6"/>
  <c r="U186" i="8"/>
  <c r="N186" i="6"/>
  <c r="U390" i="8"/>
  <c r="N390" i="6"/>
  <c r="N314" i="6"/>
  <c r="U314" i="8"/>
  <c r="N213" i="6"/>
  <c r="U213" i="8"/>
  <c r="N392" i="6"/>
  <c r="P392" i="6" s="1"/>
  <c r="U392" i="8"/>
  <c r="N236" i="6"/>
  <c r="U236" i="8"/>
  <c r="U302" i="8"/>
  <c r="N302" i="6"/>
  <c r="U194" i="8"/>
  <c r="N194" i="6"/>
  <c r="U278" i="8"/>
  <c r="N278" i="6"/>
  <c r="U325" i="8"/>
  <c r="N325" i="6"/>
  <c r="U339" i="8"/>
  <c r="N339" i="6"/>
  <c r="U174" i="8"/>
  <c r="N174" i="6"/>
  <c r="U261" i="8"/>
  <c r="N261" i="6"/>
  <c r="N461" i="6"/>
  <c r="U461" i="8"/>
  <c r="U373" i="8"/>
  <c r="N373" i="6"/>
  <c r="U230" i="8"/>
  <c r="N230" i="6"/>
  <c r="U280" i="8"/>
  <c r="N280" i="6"/>
  <c r="U68" i="8"/>
  <c r="N68" i="6"/>
  <c r="N384" i="6"/>
  <c r="U384" i="8"/>
  <c r="U116" i="8"/>
  <c r="N116" i="6"/>
  <c r="U225" i="8"/>
  <c r="N225" i="6"/>
  <c r="N252" i="6"/>
  <c r="U252" i="8"/>
  <c r="U44" i="8"/>
  <c r="N44" i="6"/>
  <c r="U466" i="8"/>
  <c r="N466" i="6"/>
  <c r="N137" i="6"/>
  <c r="U137" i="8"/>
  <c r="U293" i="8"/>
  <c r="N293" i="6"/>
  <c r="U414" i="8"/>
  <c r="N414" i="6"/>
  <c r="U93" i="8"/>
  <c r="N93" i="6"/>
  <c r="U424" i="8"/>
  <c r="N424" i="6"/>
  <c r="P424" i="6" s="1"/>
  <c r="U251" i="8"/>
  <c r="N251" i="6"/>
  <c r="U88" i="8"/>
  <c r="N88" i="6"/>
  <c r="P88" i="6" s="1"/>
  <c r="N136" i="6"/>
  <c r="P136" i="6" s="1"/>
  <c r="U136" i="8"/>
  <c r="N138" i="6"/>
  <c r="P138" i="6" s="1"/>
  <c r="U138" i="8"/>
  <c r="U38" i="8"/>
  <c r="N38" i="6"/>
  <c r="N17" i="6"/>
  <c r="U17" i="8"/>
  <c r="U31" i="8"/>
  <c r="N31" i="6"/>
  <c r="U490" i="8"/>
  <c r="N490" i="6"/>
  <c r="U470" i="8"/>
  <c r="N470" i="6"/>
  <c r="N420" i="6"/>
  <c r="U420" i="8"/>
  <c r="U126" i="8"/>
  <c r="N126" i="6"/>
  <c r="U455" i="8"/>
  <c r="N455" i="6"/>
  <c r="U160" i="8"/>
  <c r="N160" i="6"/>
  <c r="U255" i="8"/>
  <c r="N255" i="6"/>
  <c r="N129" i="6"/>
  <c r="U129" i="8"/>
  <c r="U327" i="8"/>
  <c r="N327" i="6"/>
  <c r="N336" i="6"/>
  <c r="U336" i="8"/>
  <c r="N305" i="6"/>
  <c r="U305" i="8"/>
  <c r="N187" i="6"/>
  <c r="U187" i="8"/>
  <c r="U349" i="8"/>
  <c r="N349" i="6"/>
  <c r="P349" i="6" s="1"/>
  <c r="U202" i="8"/>
  <c r="N202" i="6"/>
  <c r="U103" i="8"/>
  <c r="N103" i="6"/>
  <c r="P103" i="6" s="1"/>
  <c r="U364" i="8"/>
  <c r="N364" i="6"/>
  <c r="U295" i="8"/>
  <c r="N295" i="6"/>
  <c r="U482" i="8"/>
  <c r="N482" i="6"/>
  <c r="P482" i="6" s="1"/>
  <c r="N310" i="6"/>
  <c r="U310" i="8"/>
  <c r="U128" i="8"/>
  <c r="N128" i="6"/>
  <c r="P128" i="6" s="1"/>
  <c r="U80" i="8"/>
  <c r="N80" i="6"/>
  <c r="U40" i="9"/>
  <c r="O40" i="6"/>
  <c r="U174" i="9"/>
  <c r="O174" i="6"/>
  <c r="U108" i="9"/>
  <c r="O108" i="6"/>
  <c r="U436" i="9"/>
  <c r="O436" i="6"/>
  <c r="U70" i="9"/>
  <c r="O70" i="6"/>
  <c r="O116" i="6"/>
  <c r="U116" i="9"/>
  <c r="O25" i="6"/>
  <c r="U25" i="9"/>
  <c r="O154" i="6"/>
  <c r="U154" i="9"/>
  <c r="O423" i="6"/>
  <c r="U423" i="9"/>
  <c r="U109" i="9"/>
  <c r="O109" i="6"/>
  <c r="O24" i="6"/>
  <c r="U24" i="9"/>
  <c r="O114" i="6"/>
  <c r="U114" i="9"/>
  <c r="O139" i="6"/>
  <c r="U139" i="9"/>
  <c r="O17" i="6"/>
  <c r="U17" i="9"/>
  <c r="U435" i="9"/>
  <c r="O435" i="6"/>
  <c r="O67" i="6"/>
  <c r="U67" i="9"/>
  <c r="O287" i="6"/>
  <c r="U287" i="9"/>
  <c r="U289" i="9"/>
  <c r="O289" i="6"/>
  <c r="O461" i="6"/>
  <c r="U461" i="9"/>
  <c r="U456" i="9"/>
  <c r="O456" i="6"/>
  <c r="O15" i="6"/>
  <c r="U15" i="9"/>
  <c r="U60" i="9"/>
  <c r="O60" i="6"/>
  <c r="O382" i="6"/>
  <c r="U382" i="9"/>
  <c r="U336" i="9"/>
  <c r="O336" i="6"/>
  <c r="U466" i="9"/>
  <c r="O466" i="6"/>
  <c r="U194" i="9"/>
  <c r="O194" i="6"/>
  <c r="U34" i="9"/>
  <c r="O34" i="6"/>
  <c r="U231" i="9"/>
  <c r="O231" i="6"/>
  <c r="U261" i="9"/>
  <c r="O261" i="6"/>
  <c r="U400" i="9"/>
  <c r="O400" i="6"/>
  <c r="O226" i="6"/>
  <c r="U226" i="9"/>
  <c r="U14" i="9"/>
  <c r="O14" i="6"/>
  <c r="U360" i="9"/>
  <c r="O360" i="6"/>
  <c r="U77" i="9"/>
  <c r="O77" i="6"/>
  <c r="U359" i="9"/>
  <c r="O359" i="6"/>
  <c r="O301" i="6"/>
  <c r="U301" i="9"/>
  <c r="U341" i="9"/>
  <c r="O341" i="6"/>
  <c r="U381" i="9"/>
  <c r="O381" i="6"/>
  <c r="U79" i="9"/>
  <c r="O79" i="6"/>
  <c r="O315" i="6"/>
  <c r="U315" i="9"/>
  <c r="U13" i="9"/>
  <c r="O13" i="6"/>
  <c r="O379" i="6"/>
  <c r="U379" i="9"/>
  <c r="U30" i="9"/>
  <c r="O30" i="6"/>
  <c r="U140" i="9"/>
  <c r="O140" i="6"/>
  <c r="U54" i="9"/>
  <c r="O54" i="6"/>
  <c r="U351" i="9"/>
  <c r="O351" i="6"/>
  <c r="U120" i="9"/>
  <c r="O120" i="6"/>
  <c r="U394" i="9"/>
  <c r="O394" i="6"/>
  <c r="U217" i="9"/>
  <c r="O217" i="6"/>
  <c r="O346" i="6"/>
  <c r="U346" i="9"/>
  <c r="U309" i="9"/>
  <c r="O309" i="6"/>
  <c r="U258" i="9"/>
  <c r="O258" i="6"/>
  <c r="O305" i="6"/>
  <c r="U305" i="9"/>
  <c r="O333" i="6"/>
  <c r="U333" i="9"/>
  <c r="O101" i="6"/>
  <c r="U101" i="9"/>
  <c r="U215" i="9"/>
  <c r="O215" i="6"/>
  <c r="O373" i="6"/>
  <c r="U373" i="9"/>
  <c r="U323" i="9"/>
  <c r="O323" i="6"/>
  <c r="O366" i="6"/>
  <c r="U366" i="9"/>
  <c r="O230" i="6"/>
  <c r="U230" i="9"/>
  <c r="O187" i="6"/>
  <c r="U187" i="9"/>
  <c r="U399" i="9"/>
  <c r="O399" i="6"/>
  <c r="O453" i="6"/>
  <c r="U453" i="9"/>
  <c r="U475" i="9"/>
  <c r="O475" i="6"/>
  <c r="U232" i="9"/>
  <c r="O232" i="6"/>
  <c r="U491" i="9"/>
  <c r="O491" i="6"/>
  <c r="O73" i="6"/>
  <c r="U73" i="9"/>
  <c r="U321" i="9"/>
  <c r="O321" i="6"/>
  <c r="O184" i="6"/>
  <c r="U184" i="9"/>
  <c r="O199" i="6"/>
  <c r="U199" i="9"/>
  <c r="U162" i="9"/>
  <c r="O162" i="6"/>
  <c r="U205" i="9"/>
  <c r="O205" i="6"/>
  <c r="U469" i="9"/>
  <c r="O469" i="6"/>
  <c r="O417" i="6"/>
  <c r="U417" i="9"/>
  <c r="U29" i="9"/>
  <c r="O29" i="6"/>
  <c r="O356" i="6"/>
  <c r="U356" i="9"/>
  <c r="U274" i="9"/>
  <c r="O274" i="6"/>
  <c r="O397" i="6"/>
  <c r="U397" i="9"/>
  <c r="O239" i="6"/>
  <c r="U239" i="9"/>
  <c r="O279" i="6"/>
  <c r="U279" i="9"/>
  <c r="U409" i="9"/>
  <c r="O409" i="6"/>
  <c r="U145" i="9"/>
  <c r="O145" i="6"/>
  <c r="O16" i="6"/>
  <c r="U16" i="9"/>
  <c r="O310" i="6"/>
  <c r="U310" i="9"/>
  <c r="O206" i="6"/>
  <c r="U206" i="9"/>
  <c r="U130" i="9"/>
  <c r="O130" i="6"/>
  <c r="O192" i="6"/>
  <c r="U192" i="9"/>
  <c r="U58" i="9"/>
  <c r="O58" i="6"/>
  <c r="O425" i="6"/>
  <c r="U425" i="9"/>
  <c r="O61" i="6"/>
  <c r="U61" i="9"/>
  <c r="O209" i="6"/>
  <c r="U209" i="9"/>
  <c r="U290" i="9"/>
  <c r="O290" i="6"/>
  <c r="O388" i="6"/>
  <c r="U388" i="9"/>
  <c r="O329" i="6"/>
  <c r="U329" i="9"/>
  <c r="O200" i="6"/>
  <c r="U200" i="9"/>
  <c r="U78" i="9"/>
  <c r="O78" i="6"/>
  <c r="U267" i="9"/>
  <c r="O267" i="6"/>
  <c r="U316" i="9"/>
  <c r="O316" i="6"/>
  <c r="O80" i="6"/>
  <c r="U80" i="9"/>
  <c r="O171" i="6"/>
  <c r="U171" i="9"/>
  <c r="O352" i="6"/>
  <c r="U352" i="9"/>
  <c r="O410" i="6"/>
  <c r="U410" i="9"/>
  <c r="O119" i="6"/>
  <c r="U119" i="9"/>
  <c r="O374" i="6"/>
  <c r="U374" i="9"/>
  <c r="U195" i="9"/>
  <c r="O195" i="6"/>
  <c r="O467" i="6"/>
  <c r="U467" i="9"/>
  <c r="U460" i="9"/>
  <c r="O460" i="6"/>
  <c r="U295" i="9"/>
  <c r="O295" i="6"/>
  <c r="U166" i="9"/>
  <c r="O166" i="6"/>
  <c r="U142" i="9"/>
  <c r="O142" i="6"/>
  <c r="U36" i="9"/>
  <c r="O36" i="6"/>
  <c r="O93" i="6"/>
  <c r="U93" i="9"/>
  <c r="U354" i="9"/>
  <c r="O354" i="6"/>
  <c r="U386" i="9"/>
  <c r="O386" i="6"/>
  <c r="O20" i="6"/>
  <c r="U20" i="9"/>
  <c r="U463" i="9"/>
  <c r="O463" i="6"/>
  <c r="O235" i="6"/>
  <c r="U235" i="9"/>
  <c r="U84" i="9"/>
  <c r="O84" i="6"/>
  <c r="U56" i="9"/>
  <c r="O56" i="6"/>
  <c r="U181" i="9"/>
  <c r="O181" i="6"/>
  <c r="U476" i="9"/>
  <c r="O476" i="6"/>
  <c r="O325" i="6"/>
  <c r="U325" i="9"/>
  <c r="U219" i="9"/>
  <c r="O219" i="6"/>
  <c r="O326" i="6"/>
  <c r="U326" i="9"/>
  <c r="U285" i="9"/>
  <c r="O285" i="6"/>
  <c r="U401" i="9"/>
  <c r="O401" i="6"/>
  <c r="U45" i="9"/>
  <c r="O45" i="6"/>
  <c r="N410" i="6"/>
  <c r="U410" i="8"/>
  <c r="U94" i="8"/>
  <c r="N94" i="6"/>
  <c r="N166" i="6"/>
  <c r="U166" i="8"/>
  <c r="N399" i="6"/>
  <c r="U399" i="8"/>
  <c r="N353" i="6"/>
  <c r="P353" i="6" s="1"/>
  <c r="U353" i="8"/>
  <c r="N188" i="6"/>
  <c r="P188" i="6" s="1"/>
  <c r="U188" i="8"/>
  <c r="U81" i="8"/>
  <c r="N81" i="6"/>
  <c r="P81" i="6" s="1"/>
  <c r="U118" i="8"/>
  <c r="N118" i="6"/>
  <c r="P118" i="6" s="1"/>
  <c r="U34" i="8"/>
  <c r="N34" i="6"/>
  <c r="U13" i="8"/>
  <c r="N13" i="6"/>
  <c r="N90" i="6"/>
  <c r="U90" i="8"/>
  <c r="U148" i="8"/>
  <c r="N148" i="6"/>
  <c r="U158" i="8"/>
  <c r="N158" i="6"/>
  <c r="P158" i="6" s="1"/>
  <c r="U150" i="8"/>
  <c r="N150" i="6"/>
  <c r="P150" i="6" s="1"/>
  <c r="U49" i="8"/>
  <c r="N49" i="6"/>
  <c r="P49" i="6" s="1"/>
  <c r="N286" i="6"/>
  <c r="U286" i="8"/>
  <c r="U324" i="8"/>
  <c r="N324" i="6"/>
  <c r="P324" i="6" s="1"/>
  <c r="U492" i="8"/>
  <c r="N492" i="6"/>
  <c r="N85" i="6"/>
  <c r="U85" i="8"/>
  <c r="U477" i="8"/>
  <c r="N477" i="6"/>
  <c r="P477" i="6" s="1"/>
  <c r="U475" i="8"/>
  <c r="N475" i="6"/>
  <c r="N331" i="6"/>
  <c r="U331" i="8"/>
  <c r="U23" i="8"/>
  <c r="N23" i="6"/>
  <c r="P23" i="6" s="1"/>
  <c r="N274" i="6"/>
  <c r="U274" i="8"/>
  <c r="N478" i="6"/>
  <c r="P478" i="6" s="1"/>
  <c r="U478" i="8"/>
  <c r="U300" i="8"/>
  <c r="N300" i="6"/>
  <c r="P300" i="6" s="1"/>
  <c r="U181" i="8"/>
  <c r="N181" i="6"/>
  <c r="N441" i="6"/>
  <c r="P441" i="6" s="1"/>
  <c r="U441" i="8"/>
  <c r="N212" i="6"/>
  <c r="U212" i="8"/>
  <c r="U146" i="8"/>
  <c r="N146" i="6"/>
  <c r="P146" i="6" s="1"/>
  <c r="U113" i="8"/>
  <c r="N113" i="6"/>
  <c r="P113" i="6" s="1"/>
  <c r="N411" i="6"/>
  <c r="P411" i="6" s="1"/>
  <c r="U411" i="8"/>
  <c r="N431" i="6"/>
  <c r="U431" i="8"/>
  <c r="N351" i="6"/>
  <c r="U351" i="8"/>
  <c r="N233" i="6"/>
  <c r="U233" i="8"/>
  <c r="U456" i="8"/>
  <c r="N456" i="6"/>
  <c r="U207" i="8"/>
  <c r="N207" i="6"/>
  <c r="P207" i="6" s="1"/>
  <c r="U170" i="8"/>
  <c r="N170" i="6"/>
  <c r="U39" i="8"/>
  <c r="N39" i="6"/>
  <c r="U91" i="8"/>
  <c r="N91" i="6"/>
  <c r="P91" i="6" s="1"/>
  <c r="U256" i="8"/>
  <c r="N256" i="6"/>
  <c r="N35" i="6"/>
  <c r="P35" i="6" s="1"/>
  <c r="U35" i="8"/>
  <c r="N214" i="6"/>
  <c r="U214" i="8"/>
  <c r="U159" i="8"/>
  <c r="N159" i="6"/>
  <c r="P159" i="6" s="1"/>
  <c r="N107" i="6"/>
  <c r="P107" i="6" s="1"/>
  <c r="U107" i="8"/>
  <c r="N254" i="6"/>
  <c r="U254" i="8"/>
  <c r="U309" i="8"/>
  <c r="N309" i="6"/>
  <c r="U205" i="8"/>
  <c r="N205" i="6"/>
  <c r="N279" i="6"/>
  <c r="P279" i="6" s="1"/>
  <c r="U279" i="8"/>
  <c r="U343" i="8"/>
  <c r="N343" i="6"/>
  <c r="P343" i="6" s="1"/>
  <c r="U226" i="8"/>
  <c r="N226" i="6"/>
  <c r="N425" i="6"/>
  <c r="U425" i="8"/>
  <c r="U154" i="8"/>
  <c r="N154" i="6"/>
  <c r="U61" i="8"/>
  <c r="N61" i="6"/>
  <c r="N57" i="6"/>
  <c r="P57" i="6" s="1"/>
  <c r="U57" i="8"/>
  <c r="U321" i="8"/>
  <c r="N321" i="6"/>
  <c r="N363" i="6"/>
  <c r="P363" i="6" s="1"/>
  <c r="U363" i="8"/>
  <c r="U334" i="8"/>
  <c r="N334" i="6"/>
  <c r="N415" i="6"/>
  <c r="P415" i="6" s="1"/>
  <c r="U415" i="8"/>
  <c r="N199" i="6"/>
  <c r="U199" i="8"/>
  <c r="N52" i="6"/>
  <c r="U52" i="8"/>
  <c r="U316" i="8"/>
  <c r="N316" i="6"/>
  <c r="N304" i="6"/>
  <c r="U304" i="8"/>
  <c r="N311" i="6"/>
  <c r="P311" i="6" s="1"/>
  <c r="U311" i="8"/>
  <c r="U211" i="8"/>
  <c r="N211" i="6"/>
  <c r="P211" i="6" s="1"/>
  <c r="U341" i="8"/>
  <c r="N341" i="6"/>
  <c r="U465" i="8"/>
  <c r="N465" i="6"/>
  <c r="N192" i="6"/>
  <c r="P192" i="6" s="1"/>
  <c r="U192" i="8"/>
  <c r="N102" i="6"/>
  <c r="U102" i="8"/>
  <c r="N101" i="6"/>
  <c r="U101" i="8"/>
  <c r="U220" i="8"/>
  <c r="N220" i="6"/>
  <c r="U318" i="8"/>
  <c r="N318" i="6"/>
  <c r="U408" i="8"/>
  <c r="N408" i="6"/>
  <c r="P408" i="6" s="1"/>
  <c r="U48" i="8"/>
  <c r="N48" i="6"/>
  <c r="P48" i="6" s="1"/>
  <c r="U266" i="8"/>
  <c r="N266" i="6"/>
  <c r="U275" i="8"/>
  <c r="N275" i="6"/>
  <c r="P275" i="6" s="1"/>
  <c r="N45" i="6"/>
  <c r="U45" i="8"/>
  <c r="U95" i="8"/>
  <c r="N95" i="6"/>
  <c r="P95" i="6" s="1"/>
  <c r="U471" i="8"/>
  <c r="N471" i="6"/>
  <c r="P471" i="6" s="1"/>
  <c r="U253" i="8"/>
  <c r="N253" i="6"/>
  <c r="P253" i="6" s="1"/>
  <c r="N260" i="6"/>
  <c r="U260" i="8"/>
  <c r="U375" i="8"/>
  <c r="N375" i="6"/>
  <c r="N394" i="6"/>
  <c r="U394" i="8"/>
  <c r="U406" i="8"/>
  <c r="N406" i="6"/>
  <c r="P406" i="6" s="1"/>
  <c r="N370" i="6"/>
  <c r="U370" i="8"/>
  <c r="U283" i="8"/>
  <c r="N283" i="6"/>
  <c r="N182" i="6"/>
  <c r="P182" i="6" s="1"/>
  <c r="U182" i="8"/>
  <c r="U123" i="8"/>
  <c r="N123" i="6"/>
  <c r="P123" i="6" s="1"/>
  <c r="U442" i="8"/>
  <c r="N442" i="6"/>
  <c r="U306" i="8"/>
  <c r="N306" i="6"/>
  <c r="U60" i="8"/>
  <c r="N60" i="6"/>
  <c r="P60" i="6" s="1"/>
  <c r="U308" i="8"/>
  <c r="N308" i="6"/>
  <c r="P308" i="6" s="1"/>
  <c r="U65" i="8"/>
  <c r="N65" i="6"/>
  <c r="N347" i="6"/>
  <c r="U347" i="8"/>
  <c r="N12" i="6"/>
  <c r="U12" i="8"/>
  <c r="N46" i="6"/>
  <c r="U46" i="8"/>
  <c r="U19" i="8"/>
  <c r="N19" i="6"/>
  <c r="N32" i="6"/>
  <c r="U32" i="8"/>
  <c r="U55" i="8"/>
  <c r="N55" i="6"/>
  <c r="P55" i="6" s="1"/>
  <c r="N78" i="6"/>
  <c r="U78" i="8"/>
  <c r="U209" i="8"/>
  <c r="N209" i="6"/>
  <c r="U337" i="8"/>
  <c r="N337" i="6"/>
  <c r="P337" i="6" s="1"/>
  <c r="U299" i="8"/>
  <c r="N299" i="6"/>
  <c r="U165" i="8"/>
  <c r="N165" i="6"/>
  <c r="U413" i="8"/>
  <c r="N413" i="6"/>
  <c r="U53" i="8"/>
  <c r="N53" i="6"/>
  <c r="U340" i="8"/>
  <c r="N340" i="6"/>
  <c r="U43" i="8"/>
  <c r="N43" i="6"/>
  <c r="N111" i="6"/>
  <c r="U111" i="8"/>
  <c r="U206" i="8"/>
  <c r="N206" i="6"/>
  <c r="U329" i="8"/>
  <c r="N329" i="6"/>
  <c r="U132" i="8"/>
  <c r="N132" i="6"/>
  <c r="P132" i="6" s="1"/>
  <c r="N190" i="6"/>
  <c r="U190" i="8"/>
  <c r="N443" i="6"/>
  <c r="U443" i="8"/>
  <c r="U99" i="8"/>
  <c r="N99" i="6"/>
  <c r="U37" i="8"/>
  <c r="N37" i="6"/>
  <c r="P37" i="6" s="1"/>
  <c r="U418" i="8"/>
  <c r="N418" i="6"/>
  <c r="U372" i="8"/>
  <c r="N372" i="6"/>
  <c r="P372" i="6" s="1"/>
  <c r="U50" i="8"/>
  <c r="N50" i="6"/>
  <c r="U115" i="8"/>
  <c r="N115" i="6"/>
  <c r="O179" i="6"/>
  <c r="U179" i="9"/>
  <c r="O428" i="6"/>
  <c r="U428" i="9"/>
  <c r="O470" i="6"/>
  <c r="U470" i="9"/>
  <c r="O479" i="6"/>
  <c r="U479" i="9"/>
  <c r="U220" i="9"/>
  <c r="O220" i="6"/>
  <c r="O457" i="6"/>
  <c r="U457" i="9"/>
  <c r="O127" i="6"/>
  <c r="U127" i="9"/>
  <c r="O198" i="6"/>
  <c r="U198" i="9"/>
  <c r="O22" i="6"/>
  <c r="U22" i="9"/>
  <c r="O71" i="6"/>
  <c r="U71" i="9"/>
  <c r="O46" i="6"/>
  <c r="U46" i="9"/>
  <c r="U468" i="9"/>
  <c r="O468" i="6"/>
  <c r="U334" i="9"/>
  <c r="O334" i="6"/>
  <c r="O125" i="6"/>
  <c r="U125" i="9"/>
  <c r="O19" i="6"/>
  <c r="U19" i="9"/>
  <c r="U416" i="9"/>
  <c r="O416" i="6"/>
  <c r="U376" i="9"/>
  <c r="O376" i="6"/>
  <c r="U87" i="9"/>
  <c r="O87" i="6"/>
  <c r="O191" i="6"/>
  <c r="U191" i="9"/>
  <c r="U318" i="9"/>
  <c r="O318" i="6"/>
  <c r="U170" i="9"/>
  <c r="O170" i="6"/>
  <c r="O432" i="6"/>
  <c r="U432" i="9"/>
  <c r="U430" i="9"/>
  <c r="O430" i="6"/>
  <c r="O264" i="6"/>
  <c r="U264" i="9"/>
  <c r="U111" i="9"/>
  <c r="O111" i="6"/>
  <c r="O227" i="6"/>
  <c r="U227" i="9"/>
  <c r="U202" i="9"/>
  <c r="O202" i="6"/>
  <c r="O322" i="6"/>
  <c r="U322" i="9"/>
  <c r="O365" i="6"/>
  <c r="U365" i="9"/>
  <c r="U86" i="9"/>
  <c r="O86" i="6"/>
  <c r="O314" i="6"/>
  <c r="U314" i="9"/>
  <c r="O201" i="6"/>
  <c r="U201" i="9"/>
  <c r="U455" i="9"/>
  <c r="O455" i="6"/>
  <c r="U458" i="9"/>
  <c r="O458" i="6"/>
  <c r="U50" i="9"/>
  <c r="O50" i="6"/>
  <c r="U266" i="9"/>
  <c r="O266" i="6"/>
  <c r="U43" i="9"/>
  <c r="O43" i="6"/>
  <c r="O208" i="6"/>
  <c r="U208" i="9"/>
  <c r="O484" i="6"/>
  <c r="U484" i="9"/>
  <c r="U210" i="9"/>
  <c r="O210" i="6"/>
  <c r="U465" i="9"/>
  <c r="O465" i="6"/>
  <c r="O368" i="6"/>
  <c r="U368" i="9"/>
  <c r="U148" i="9"/>
  <c r="O148" i="6"/>
  <c r="U483" i="9"/>
  <c r="O483" i="6"/>
  <c r="O133" i="6"/>
  <c r="U133" i="9"/>
  <c r="O155" i="6"/>
  <c r="U155" i="9"/>
  <c r="O104" i="6"/>
  <c r="U104" i="9"/>
  <c r="O464" i="6"/>
  <c r="U464" i="9"/>
  <c r="U347" i="9"/>
  <c r="O347" i="6"/>
  <c r="O44" i="6"/>
  <c r="U44" i="9"/>
  <c r="O421" i="6"/>
  <c r="U421" i="9"/>
  <c r="U489" i="9"/>
  <c r="O489" i="6"/>
  <c r="U260" i="9"/>
  <c r="O260" i="6"/>
  <c r="U122" i="9"/>
  <c r="O122" i="6"/>
  <c r="U90" i="9"/>
  <c r="O90" i="6"/>
  <c r="U62" i="9"/>
  <c r="O62" i="6"/>
  <c r="U377" i="9"/>
  <c r="O377" i="6"/>
  <c r="U212" i="9"/>
  <c r="O212" i="6"/>
  <c r="U383" i="9"/>
  <c r="O383" i="6"/>
  <c r="O197" i="6"/>
  <c r="U197" i="9"/>
  <c r="O313" i="6"/>
  <c r="U313" i="9"/>
  <c r="U448" i="9"/>
  <c r="O448" i="6"/>
  <c r="U485" i="9"/>
  <c r="O485" i="6"/>
  <c r="U418" i="9"/>
  <c r="O418" i="6"/>
  <c r="O249" i="6"/>
  <c r="U249" i="9"/>
  <c r="U248" i="9"/>
  <c r="O248" i="6"/>
  <c r="O413" i="6"/>
  <c r="U413" i="9"/>
  <c r="U270" i="9"/>
  <c r="O270" i="6"/>
  <c r="U18" i="9"/>
  <c r="O18" i="6"/>
  <c r="U306" i="9"/>
  <c r="O306" i="6"/>
  <c r="U490" i="9"/>
  <c r="O490" i="6"/>
  <c r="O281" i="6"/>
  <c r="U281" i="9"/>
  <c r="O134" i="6"/>
  <c r="U134" i="9"/>
  <c r="O407" i="6"/>
  <c r="U407" i="9"/>
  <c r="U268" i="9"/>
  <c r="O268" i="6"/>
  <c r="O439" i="6"/>
  <c r="U439" i="9"/>
  <c r="U222" i="9"/>
  <c r="O222" i="6"/>
  <c r="U256" i="9"/>
  <c r="O256" i="6"/>
  <c r="O63" i="6"/>
  <c r="U63" i="9"/>
  <c r="O203" i="6"/>
  <c r="U203" i="9"/>
  <c r="U362" i="9"/>
  <c r="O362" i="6"/>
  <c r="O384" i="6"/>
  <c r="U384" i="9"/>
  <c r="O328" i="6"/>
  <c r="U328" i="9"/>
  <c r="U350" i="9"/>
  <c r="O350" i="6"/>
  <c r="O234" i="6"/>
  <c r="U234" i="9"/>
  <c r="O488" i="6"/>
  <c r="U488" i="9"/>
  <c r="U286" i="9"/>
  <c r="O286" i="6"/>
  <c r="U265" i="9"/>
  <c r="O265" i="6"/>
  <c r="U72" i="9"/>
  <c r="O72" i="6"/>
  <c r="U357" i="9"/>
  <c r="O357" i="6"/>
  <c r="O189" i="6"/>
  <c r="U189" i="9"/>
  <c r="U272" i="9"/>
  <c r="O272" i="6"/>
  <c r="U229" i="9"/>
  <c r="O229" i="6"/>
  <c r="O339" i="6"/>
  <c r="U339" i="9"/>
  <c r="U335" i="9"/>
  <c r="O335" i="6"/>
  <c r="U391" i="9"/>
  <c r="O391" i="6"/>
  <c r="U173" i="9"/>
  <c r="O173" i="6"/>
  <c r="U92" i="9"/>
  <c r="O92" i="6"/>
  <c r="O302" i="6"/>
  <c r="U302" i="9"/>
  <c r="O296" i="6"/>
  <c r="U296" i="9"/>
  <c r="O102" i="6"/>
  <c r="U102" i="9"/>
  <c r="U462" i="9"/>
  <c r="O462" i="6"/>
  <c r="U280" i="9"/>
  <c r="O280" i="6"/>
  <c r="O338" i="6"/>
  <c r="U338" i="9"/>
  <c r="U303" i="9"/>
  <c r="O303" i="6"/>
  <c r="O141" i="6"/>
  <c r="U141" i="9"/>
  <c r="O98" i="6"/>
  <c r="U98" i="9"/>
  <c r="O297" i="6"/>
  <c r="U297" i="9"/>
  <c r="O131" i="6"/>
  <c r="U131" i="9"/>
  <c r="U225" i="9"/>
  <c r="O225" i="6"/>
  <c r="O440" i="6"/>
  <c r="U440" i="9"/>
  <c r="O348" i="6"/>
  <c r="U348" i="9"/>
  <c r="N25" i="6"/>
  <c r="P25" i="6" s="1"/>
  <c r="U25" i="8"/>
  <c r="U451" i="8"/>
  <c r="N451" i="6"/>
  <c r="P451" i="6" s="1"/>
  <c r="N144" i="6"/>
  <c r="P144" i="6" s="1"/>
  <c r="U144" i="8"/>
  <c r="U433" i="8"/>
  <c r="N433" i="6"/>
  <c r="P433" i="6" s="1"/>
  <c r="N430" i="6"/>
  <c r="U430" i="8"/>
  <c r="N100" i="6"/>
  <c r="P100" i="6" s="1"/>
  <c r="U100" i="8"/>
  <c r="N241" i="6"/>
  <c r="P241" i="6" s="1"/>
  <c r="U241" i="8"/>
  <c r="N352" i="6"/>
  <c r="U352" i="8"/>
  <c r="N453" i="6"/>
  <c r="U453" i="8"/>
  <c r="N210" i="6"/>
  <c r="U210" i="8"/>
  <c r="U404" i="8"/>
  <c r="N404" i="6"/>
  <c r="P404" i="6" s="1"/>
  <c r="U117" i="8"/>
  <c r="N117" i="6"/>
  <c r="P117" i="6" s="1"/>
  <c r="U22" i="8"/>
  <c r="N22" i="6"/>
  <c r="U40" i="8"/>
  <c r="N40" i="6"/>
  <c r="N229" i="6"/>
  <c r="U229" i="8"/>
  <c r="U183" i="8"/>
  <c r="N183" i="6"/>
  <c r="P183" i="6" s="1"/>
  <c r="N105" i="6"/>
  <c r="P105" i="6" s="1"/>
  <c r="U105" i="8"/>
  <c r="U172" i="8"/>
  <c r="N172" i="6"/>
  <c r="P172" i="6" s="1"/>
  <c r="U356" i="8"/>
  <c r="N356" i="6"/>
  <c r="U244" i="8"/>
  <c r="N244" i="6"/>
  <c r="P244" i="6" s="1"/>
  <c r="U449" i="8"/>
  <c r="N449" i="6"/>
  <c r="P449" i="6" s="1"/>
  <c r="U69" i="8"/>
  <c r="N69" i="6"/>
  <c r="P69" i="6" s="1"/>
  <c r="N292" i="6"/>
  <c r="U292" i="8"/>
  <c r="U18" i="8"/>
  <c r="N18" i="6"/>
  <c r="N481" i="6"/>
  <c r="P481" i="6" s="1"/>
  <c r="U481" i="8"/>
  <c r="N367" i="6"/>
  <c r="P367" i="6" s="1"/>
  <c r="U367" i="8"/>
  <c r="N242" i="6"/>
  <c r="P242" i="6" s="1"/>
  <c r="U242" i="8"/>
  <c r="U87" i="8"/>
  <c r="N87" i="6"/>
  <c r="U276" i="8"/>
  <c r="N276" i="6"/>
  <c r="P276" i="6" s="1"/>
  <c r="N459" i="6"/>
  <c r="P459" i="6" s="1"/>
  <c r="U459" i="8"/>
  <c r="N460" i="6"/>
  <c r="U460" i="8"/>
  <c r="N142" i="6"/>
  <c r="U142" i="8"/>
  <c r="N173" i="6"/>
  <c r="U173" i="8"/>
  <c r="U312" i="8"/>
  <c r="N312" i="6"/>
  <c r="P312" i="6" s="1"/>
  <c r="U41" i="8"/>
  <c r="N41" i="6"/>
  <c r="P41" i="6" s="1"/>
  <c r="U296" i="8"/>
  <c r="N296" i="6"/>
  <c r="U228" i="8"/>
  <c r="N228" i="6"/>
  <c r="P228" i="6" s="1"/>
  <c r="U122" i="8"/>
  <c r="N122" i="6"/>
  <c r="U446" i="8"/>
  <c r="N446" i="6"/>
  <c r="P446" i="6" s="1"/>
  <c r="N232" i="6"/>
  <c r="U232" i="8"/>
  <c r="U291" i="8"/>
  <c r="N291" i="6"/>
  <c r="P291" i="6" s="1"/>
  <c r="N163" i="6"/>
  <c r="P163" i="6" s="1"/>
  <c r="U163" i="8"/>
  <c r="N179" i="6"/>
  <c r="U179" i="8"/>
  <c r="N86" i="6"/>
  <c r="U86" i="8"/>
  <c r="U486" i="8"/>
  <c r="N486" i="6"/>
  <c r="P486" i="6" s="1"/>
  <c r="U357" i="8"/>
  <c r="N357" i="6"/>
  <c r="U427" i="8"/>
  <c r="N427" i="6"/>
  <c r="P427" i="6" s="1"/>
  <c r="U422" i="8"/>
  <c r="N422" i="6"/>
  <c r="P422" i="6" s="1"/>
  <c r="N358" i="6"/>
  <c r="P358" i="6" s="1"/>
  <c r="U358" i="8"/>
  <c r="U480" i="8"/>
  <c r="N480" i="6"/>
  <c r="P480" i="6" s="1"/>
  <c r="U402" i="8"/>
  <c r="N402" i="6"/>
  <c r="P402" i="6" s="1"/>
  <c r="U54" i="8"/>
  <c r="N54" i="6"/>
  <c r="P54" i="6" s="1"/>
  <c r="N289" i="6"/>
  <c r="U289" i="8"/>
  <c r="U195" i="8"/>
  <c r="N195" i="6"/>
  <c r="U360" i="8"/>
  <c r="N360" i="6"/>
  <c r="N156" i="6"/>
  <c r="P156" i="6" s="1"/>
  <c r="U156" i="8"/>
  <c r="N447" i="6"/>
  <c r="P447" i="6" s="1"/>
  <c r="U447" i="8"/>
  <c r="U472" i="8"/>
  <c r="N472" i="6"/>
  <c r="P472" i="6" s="1"/>
  <c r="N197" i="6"/>
  <c r="U197" i="8"/>
  <c r="U401" i="8"/>
  <c r="N401" i="6"/>
  <c r="U474" i="8"/>
  <c r="N474" i="6"/>
  <c r="P474" i="6" s="1"/>
  <c r="N30" i="6"/>
  <c r="U30" i="8"/>
  <c r="N167" i="6"/>
  <c r="P167" i="6" s="1"/>
  <c r="U167" i="8"/>
  <c r="U379" i="8"/>
  <c r="N379" i="6"/>
  <c r="U223" i="8"/>
  <c r="N223" i="6"/>
  <c r="P223" i="6" s="1"/>
  <c r="U319" i="8"/>
  <c r="N319" i="6"/>
  <c r="P319" i="6" s="1"/>
  <c r="N196" i="6"/>
  <c r="P196" i="6" s="1"/>
  <c r="U196" i="8"/>
  <c r="N234" i="6"/>
  <c r="U234" i="8"/>
  <c r="U281" i="8"/>
  <c r="N281" i="6"/>
  <c r="N489" i="6"/>
  <c r="U489" i="8"/>
  <c r="U164" i="8"/>
  <c r="N164" i="6"/>
  <c r="P164" i="6" s="1"/>
  <c r="U153" i="8"/>
  <c r="N153" i="6"/>
  <c r="P153" i="6" s="1"/>
  <c r="U130" i="8"/>
  <c r="N130" i="6"/>
  <c r="N437" i="6"/>
  <c r="P437" i="6" s="1"/>
  <c r="U437" i="8"/>
  <c r="U203" i="8"/>
  <c r="N203" i="6"/>
  <c r="U483" i="8"/>
  <c r="N483" i="6"/>
  <c r="N204" i="6"/>
  <c r="P204" i="6" s="1"/>
  <c r="U204" i="8"/>
  <c r="N368" i="6"/>
  <c r="U368" i="8"/>
  <c r="N444" i="6"/>
  <c r="P444" i="6" s="1"/>
  <c r="U444" i="8"/>
  <c r="U290" i="8"/>
  <c r="N290" i="6"/>
  <c r="U155" i="8"/>
  <c r="N155" i="6"/>
  <c r="N77" i="6"/>
  <c r="U77" i="8"/>
  <c r="U240" i="8"/>
  <c r="N240" i="6"/>
  <c r="P240" i="6" s="1"/>
  <c r="U450" i="8"/>
  <c r="N450" i="6"/>
  <c r="P450" i="6" s="1"/>
  <c r="U382" i="8"/>
  <c r="N382" i="6"/>
  <c r="P382" i="6" s="1"/>
  <c r="U124" i="8"/>
  <c r="N124" i="6"/>
  <c r="P124" i="6" s="1"/>
  <c r="U405" i="8"/>
  <c r="N405" i="6"/>
  <c r="P405" i="6" s="1"/>
  <c r="U371" i="8"/>
  <c r="N371" i="6"/>
  <c r="P371" i="6" s="1"/>
  <c r="U303" i="8"/>
  <c r="N303" i="6"/>
  <c r="U28" i="8"/>
  <c r="N28" i="6"/>
  <c r="P28" i="6" s="1"/>
  <c r="U175" i="8"/>
  <c r="N175" i="6"/>
  <c r="P175" i="6" s="1"/>
  <c r="U416" i="8"/>
  <c r="N416" i="6"/>
  <c r="U377" i="8"/>
  <c r="N377" i="6"/>
  <c r="U24" i="8"/>
  <c r="N24" i="6"/>
  <c r="P24" i="6" s="1"/>
  <c r="N208" i="6"/>
  <c r="U208" i="8"/>
  <c r="N468" i="6"/>
  <c r="U468" i="8"/>
  <c r="U346" i="8"/>
  <c r="N346" i="6"/>
  <c r="P346" i="6" s="1"/>
  <c r="N313" i="6"/>
  <c r="U313" i="8"/>
  <c r="U134" i="8"/>
  <c r="N134" i="6"/>
  <c r="N354" i="6"/>
  <c r="U354" i="8"/>
  <c r="U97" i="8"/>
  <c r="N97" i="6"/>
  <c r="P97" i="6" s="1"/>
  <c r="U177" i="8"/>
  <c r="N177" i="6"/>
  <c r="P177" i="6" s="1"/>
  <c r="N307" i="6"/>
  <c r="P307" i="6" s="1"/>
  <c r="U307" i="8"/>
  <c r="U198" i="8"/>
  <c r="N198" i="6"/>
  <c r="N270" i="6"/>
  <c r="U270" i="8"/>
  <c r="U457" i="8"/>
  <c r="N457" i="6"/>
  <c r="U440" i="8"/>
  <c r="N440" i="6"/>
  <c r="N257" i="6"/>
  <c r="P257" i="6" s="1"/>
  <c r="U257" i="8"/>
  <c r="N436" i="6"/>
  <c r="U436" i="8"/>
  <c r="U409" i="8"/>
  <c r="N409" i="6"/>
  <c r="N265" i="6"/>
  <c r="U265" i="8"/>
  <c r="N42" i="6"/>
  <c r="P42" i="6" s="1"/>
  <c r="U42" i="8"/>
  <c r="U59" i="8"/>
  <c r="N59" i="6"/>
  <c r="P59" i="6" s="1"/>
  <c r="U445" i="8"/>
  <c r="N445" i="6"/>
  <c r="P445" i="6" s="1"/>
  <c r="U301" i="8"/>
  <c r="N301" i="6"/>
  <c r="P301" i="6" s="1"/>
  <c r="N224" i="6"/>
  <c r="P224" i="6" s="1"/>
  <c r="U224" i="8"/>
  <c r="N21" i="6"/>
  <c r="P21" i="6" s="1"/>
  <c r="U21" i="8"/>
  <c r="U398" i="8"/>
  <c r="N398" i="6"/>
  <c r="P398" i="6" s="1"/>
  <c r="U51" i="8"/>
  <c r="N51" i="6"/>
  <c r="P51" i="6" s="1"/>
  <c r="U72" i="8"/>
  <c r="N72" i="6"/>
  <c r="U342" i="8"/>
  <c r="N342" i="6"/>
  <c r="P342" i="6" s="1"/>
  <c r="P250" i="6" l="1"/>
  <c r="P288" i="6"/>
  <c r="P168" i="6"/>
  <c r="AB477" i="9"/>
  <c r="P38" i="6"/>
  <c r="P375" i="6"/>
  <c r="P492" i="6"/>
  <c r="P77" i="6"/>
  <c r="P443" i="6"/>
  <c r="P32" i="6"/>
  <c r="P289" i="6"/>
  <c r="P233" i="6"/>
  <c r="P199" i="6"/>
  <c r="P331" i="6"/>
  <c r="P27" i="6"/>
  <c r="P385" i="6"/>
  <c r="P99" i="6"/>
  <c r="P309" i="6"/>
  <c r="P292" i="6"/>
  <c r="P52" i="6"/>
  <c r="P401" i="6"/>
  <c r="P316" i="6"/>
  <c r="P236" i="6"/>
  <c r="AB21" i="8"/>
  <c r="P332" i="6"/>
  <c r="P387" i="6"/>
  <c r="P278" i="6"/>
  <c r="P72" i="6"/>
  <c r="P265" i="6"/>
  <c r="P483" i="6"/>
  <c r="P270" i="6"/>
  <c r="P214" i="6"/>
  <c r="P213" i="6"/>
  <c r="P355" i="6"/>
  <c r="P379" i="6"/>
  <c r="P317" i="6"/>
  <c r="P76" i="6"/>
  <c r="P263" i="6"/>
  <c r="P313" i="6"/>
  <c r="P197" i="6"/>
  <c r="P460" i="6"/>
  <c r="P457" i="6"/>
  <c r="P436" i="6"/>
  <c r="P30" i="6"/>
  <c r="P304" i="6"/>
  <c r="P254" i="6"/>
  <c r="P31" i="6"/>
  <c r="P354" i="6"/>
  <c r="P327" i="6"/>
  <c r="AA7" i="9"/>
  <c r="D23" i="22" s="1"/>
  <c r="P380" i="6"/>
  <c r="P377" i="6"/>
  <c r="P137" i="6"/>
  <c r="P282" i="6"/>
  <c r="P290" i="6"/>
  <c r="P360" i="6"/>
  <c r="P40" i="6"/>
  <c r="P115" i="6"/>
  <c r="P299" i="6"/>
  <c r="P370" i="6"/>
  <c r="P129" i="6"/>
  <c r="P420" i="6"/>
  <c r="P412" i="6"/>
  <c r="AB28" i="9"/>
  <c r="P39" i="6"/>
  <c r="P456" i="6"/>
  <c r="P351" i="6"/>
  <c r="P13" i="6"/>
  <c r="P34" i="6"/>
  <c r="P390" i="6"/>
  <c r="P89" i="6"/>
  <c r="P345" i="6"/>
  <c r="P78" i="6"/>
  <c r="P155" i="6"/>
  <c r="P130" i="6"/>
  <c r="P195" i="6"/>
  <c r="P122" i="6"/>
  <c r="P394" i="6"/>
  <c r="P399" i="6"/>
  <c r="P142" i="6"/>
  <c r="P229" i="6"/>
  <c r="P321" i="6"/>
  <c r="P475" i="6"/>
  <c r="P453" i="6"/>
  <c r="P352" i="6"/>
  <c r="P409" i="6"/>
  <c r="P232" i="6"/>
  <c r="P320" i="6"/>
  <c r="P341" i="6"/>
  <c r="P226" i="6"/>
  <c r="P198" i="6"/>
  <c r="P203" i="6"/>
  <c r="P281" i="6"/>
  <c r="P101" i="6"/>
  <c r="AB68" i="9"/>
  <c r="P143" i="6"/>
  <c r="P147" i="6"/>
  <c r="P356" i="6"/>
  <c r="P431" i="6"/>
  <c r="P277" i="6"/>
  <c r="P273" i="6"/>
  <c r="AB275" i="9"/>
  <c r="P74" i="6"/>
  <c r="P134" i="6"/>
  <c r="P489" i="6"/>
  <c r="P179" i="6"/>
  <c r="P329" i="6"/>
  <c r="P206" i="6"/>
  <c r="P216" i="6"/>
  <c r="P416" i="6"/>
  <c r="P86" i="6"/>
  <c r="P173" i="6"/>
  <c r="P210" i="6"/>
  <c r="P340" i="6"/>
  <c r="P53" i="6"/>
  <c r="P165" i="6"/>
  <c r="P65" i="6"/>
  <c r="P154" i="6"/>
  <c r="P364" i="6"/>
  <c r="P160" i="6"/>
  <c r="P126" i="6"/>
  <c r="P135" i="6"/>
  <c r="P247" i="6"/>
  <c r="AB438" i="9"/>
  <c r="AB276" i="9"/>
  <c r="AB176" i="9"/>
  <c r="P468" i="6"/>
  <c r="P190" i="6"/>
  <c r="P209" i="6"/>
  <c r="P442" i="6"/>
  <c r="P283" i="6"/>
  <c r="AB233" i="8"/>
  <c r="AB331" i="8"/>
  <c r="P85" i="6"/>
  <c r="P94" i="6"/>
  <c r="AB366" i="9"/>
  <c r="AB333" i="9"/>
  <c r="AB305" i="9"/>
  <c r="P255" i="6"/>
  <c r="P251" i="6"/>
  <c r="P414" i="6"/>
  <c r="P293" i="6"/>
  <c r="P426" i="6"/>
  <c r="P106" i="6"/>
  <c r="P157" i="6"/>
  <c r="P429" i="6"/>
  <c r="P83" i="6"/>
  <c r="AB402" i="9"/>
  <c r="AB385" i="9"/>
  <c r="P87" i="6"/>
  <c r="P425" i="6"/>
  <c r="AB356" i="9"/>
  <c r="AB491" i="9"/>
  <c r="AB187" i="9"/>
  <c r="AB215" i="9"/>
  <c r="P252" i="6"/>
  <c r="P68" i="6"/>
  <c r="P178" i="6"/>
  <c r="P259" i="6"/>
  <c r="P330" i="6"/>
  <c r="P296" i="6"/>
  <c r="P22" i="6"/>
  <c r="P45" i="6"/>
  <c r="P64" i="6"/>
  <c r="P208" i="6"/>
  <c r="P368" i="6"/>
  <c r="P234" i="6"/>
  <c r="AB362" i="9"/>
  <c r="AB383" i="9"/>
  <c r="AB148" i="9"/>
  <c r="AB432" i="9"/>
  <c r="P205" i="6"/>
  <c r="P181" i="6"/>
  <c r="P186" i="6"/>
  <c r="P221" i="6"/>
  <c r="P26" i="6"/>
  <c r="AB463" i="8"/>
  <c r="AB426" i="8"/>
  <c r="AB439" i="8"/>
  <c r="AB82" i="8"/>
  <c r="AB54" i="9"/>
  <c r="AB30" i="9"/>
  <c r="AB17" i="8"/>
  <c r="AB393" i="8"/>
  <c r="AB231" i="8"/>
  <c r="AB184" i="8"/>
  <c r="AB70" i="8"/>
  <c r="AB211" i="9"/>
  <c r="AB422" i="9"/>
  <c r="AB415" i="9"/>
  <c r="AB222" i="9"/>
  <c r="AB206" i="8"/>
  <c r="AB111" i="8"/>
  <c r="AB43" i="8"/>
  <c r="AB165" i="8"/>
  <c r="AB58" i="9"/>
  <c r="AB49" i="9"/>
  <c r="AB186" i="9"/>
  <c r="AB85" i="9"/>
  <c r="AB271" i="8"/>
  <c r="AB259" i="9"/>
  <c r="AB298" i="9"/>
  <c r="AB127" i="9"/>
  <c r="AB220" i="9"/>
  <c r="AB492" i="8"/>
  <c r="AB192" i="9"/>
  <c r="AB95" i="9"/>
  <c r="AB285" i="8"/>
  <c r="AB246" i="8"/>
  <c r="AB238" i="9"/>
  <c r="AB15" i="9"/>
  <c r="AB435" i="9"/>
  <c r="AB108" i="9"/>
  <c r="AB40" i="9"/>
  <c r="AB136" i="8"/>
  <c r="AB416" i="8"/>
  <c r="AB483" i="8"/>
  <c r="AB130" i="8"/>
  <c r="AB153" i="8"/>
  <c r="AB234" i="8"/>
  <c r="AB319" i="8"/>
  <c r="AB30" i="8"/>
  <c r="AB54" i="8"/>
  <c r="AB480" i="8"/>
  <c r="AB242" i="8"/>
  <c r="AB452" i="9"/>
  <c r="AB338" i="8"/>
  <c r="AB387" i="8"/>
  <c r="AB320" i="8"/>
  <c r="AB173" i="8"/>
  <c r="AB40" i="8"/>
  <c r="AB173" i="9"/>
  <c r="AB286" i="9"/>
  <c r="AB489" i="9"/>
  <c r="AB201" i="9"/>
  <c r="AB470" i="9"/>
  <c r="AB372" i="8"/>
  <c r="AB299" i="8"/>
  <c r="AB55" i="8"/>
  <c r="AB102" i="8"/>
  <c r="AB465" i="8"/>
  <c r="AB199" i="8"/>
  <c r="AB415" i="8"/>
  <c r="AB334" i="8"/>
  <c r="AB181" i="8"/>
  <c r="AB56" i="9"/>
  <c r="AB463" i="9"/>
  <c r="AB295" i="9"/>
  <c r="AB17" i="9"/>
  <c r="AB114" i="9"/>
  <c r="AB80" i="8"/>
  <c r="AB295" i="8"/>
  <c r="AB345" i="8"/>
  <c r="AB444" i="9"/>
  <c r="AB178" i="9"/>
  <c r="AB355" i="9"/>
  <c r="AB429" i="9"/>
  <c r="AB242" i="9"/>
  <c r="AB218" i="9"/>
  <c r="AB269" i="8"/>
  <c r="AB243" i="8"/>
  <c r="AB459" i="9"/>
  <c r="AB153" i="9"/>
  <c r="AB152" i="9"/>
  <c r="AB358" i="9"/>
  <c r="AB134" i="8"/>
  <c r="AB481" i="8"/>
  <c r="AB356" i="8"/>
  <c r="AB453" i="8"/>
  <c r="AB433" i="8"/>
  <c r="AB485" i="9"/>
  <c r="AB90" i="9"/>
  <c r="AB50" i="9"/>
  <c r="AB86" i="9"/>
  <c r="AB111" i="9"/>
  <c r="AB87" i="9"/>
  <c r="AB166" i="8"/>
  <c r="AB94" i="8"/>
  <c r="AB460" i="9"/>
  <c r="AB329" i="9"/>
  <c r="AB289" i="9"/>
  <c r="AB442" i="9"/>
  <c r="AB193" i="9"/>
  <c r="AB441" i="9"/>
  <c r="AB237" i="9"/>
  <c r="AB165" i="9"/>
  <c r="AB39" i="9"/>
  <c r="AB151" i="9"/>
  <c r="AB292" i="9"/>
  <c r="AB224" i="9"/>
  <c r="AB200" i="8"/>
  <c r="AB284" i="8"/>
  <c r="AB473" i="8"/>
  <c r="AB27" i="8"/>
  <c r="AB96" i="8"/>
  <c r="AB106" i="9"/>
  <c r="AB301" i="8"/>
  <c r="AB59" i="8"/>
  <c r="P303" i="6"/>
  <c r="AB291" i="8"/>
  <c r="P18" i="6"/>
  <c r="AB439" i="9"/>
  <c r="AB413" i="8"/>
  <c r="AB442" i="8"/>
  <c r="AB341" i="8"/>
  <c r="P61" i="6"/>
  <c r="P274" i="6"/>
  <c r="AB188" i="8"/>
  <c r="AB166" i="9"/>
  <c r="AB467" i="9"/>
  <c r="AB119" i="9"/>
  <c r="AB410" i="9"/>
  <c r="AB80" i="9"/>
  <c r="AB290" i="9"/>
  <c r="AB126" i="8"/>
  <c r="AB280" i="8"/>
  <c r="AB339" i="8"/>
  <c r="AB221" i="8"/>
  <c r="AB389" i="8"/>
  <c r="AB26" i="8"/>
  <c r="AB190" i="9"/>
  <c r="AB443" i="9"/>
  <c r="AB185" i="9"/>
  <c r="AB164" i="9"/>
  <c r="AB492" i="9"/>
  <c r="AB172" i="9"/>
  <c r="AB420" i="9"/>
  <c r="AB47" i="9"/>
  <c r="AB294" i="8"/>
  <c r="AB62" i="8"/>
  <c r="AB386" i="8"/>
  <c r="AB361" i="8"/>
  <c r="AB237" i="8"/>
  <c r="AB369" i="9"/>
  <c r="AB59" i="9"/>
  <c r="AB378" i="9"/>
  <c r="AB337" i="9"/>
  <c r="AB126" i="9"/>
  <c r="AB97" i="8"/>
  <c r="AB346" i="8"/>
  <c r="AB175" i="8"/>
  <c r="AB371" i="8"/>
  <c r="AB382" i="8"/>
  <c r="AB409" i="8"/>
  <c r="AB198" i="8"/>
  <c r="AB177" i="8"/>
  <c r="AB357" i="8"/>
  <c r="AB183" i="8"/>
  <c r="AB117" i="8"/>
  <c r="AB348" i="9"/>
  <c r="AB141" i="9"/>
  <c r="AB270" i="9"/>
  <c r="AB249" i="9"/>
  <c r="AB418" i="9"/>
  <c r="AB347" i="9"/>
  <c r="AB465" i="9"/>
  <c r="AB334" i="9"/>
  <c r="AB37" i="8"/>
  <c r="AB65" i="8"/>
  <c r="AB406" i="8"/>
  <c r="AB61" i="8"/>
  <c r="AB411" i="8"/>
  <c r="AB113" i="8"/>
  <c r="AB478" i="8"/>
  <c r="AB150" i="8"/>
  <c r="AB13" i="8"/>
  <c r="AB401" i="9"/>
  <c r="AB285" i="9"/>
  <c r="AB386" i="9"/>
  <c r="AB36" i="9"/>
  <c r="AB171" i="9"/>
  <c r="AB316" i="9"/>
  <c r="AB206" i="9"/>
  <c r="AB409" i="9"/>
  <c r="AB73" i="9"/>
  <c r="AB120" i="9"/>
  <c r="AB351" i="9"/>
  <c r="AB140" i="9"/>
  <c r="AB77" i="9"/>
  <c r="AB360" i="9"/>
  <c r="AB14" i="9"/>
  <c r="AB261" i="9"/>
  <c r="AB336" i="9"/>
  <c r="AB60" i="9"/>
  <c r="AB67" i="9"/>
  <c r="AB327" i="8"/>
  <c r="AB378" i="8"/>
  <c r="AB235" i="8"/>
  <c r="AB157" i="8"/>
  <c r="AB330" i="8"/>
  <c r="AB264" i="9"/>
  <c r="AB337" i="8"/>
  <c r="AB19" i="8"/>
  <c r="AB220" i="8"/>
  <c r="AB45" i="9"/>
  <c r="AB352" i="9"/>
  <c r="AB346" i="9"/>
  <c r="AB301" i="9"/>
  <c r="AB287" i="9"/>
  <c r="AB24" i="9"/>
  <c r="AB70" i="9"/>
  <c r="AB436" i="9"/>
  <c r="AB202" i="8"/>
  <c r="AB490" i="8"/>
  <c r="AB251" i="8"/>
  <c r="AB414" i="8"/>
  <c r="AB384" i="8"/>
  <c r="AB390" i="8"/>
  <c r="AB243" i="9"/>
  <c r="AB252" i="9"/>
  <c r="AB64" i="9"/>
  <c r="AB12" i="9"/>
  <c r="AB390" i="9"/>
  <c r="AB283" i="9"/>
  <c r="AB293" i="9"/>
  <c r="AB403" i="9"/>
  <c r="AB414" i="9"/>
  <c r="AB432" i="8"/>
  <c r="AB36" i="8"/>
  <c r="AB71" i="8"/>
  <c r="AB147" i="8"/>
  <c r="AB245" i="8"/>
  <c r="AB133" i="8"/>
  <c r="AB353" i="9"/>
  <c r="AB113" i="9"/>
  <c r="AB48" i="9"/>
  <c r="AB330" i="9"/>
  <c r="AB392" i="9"/>
  <c r="AB241" i="9"/>
  <c r="AB208" i="8"/>
  <c r="AB28" i="8"/>
  <c r="AB303" i="9"/>
  <c r="AB92" i="9"/>
  <c r="AB335" i="9"/>
  <c r="AB483" i="9"/>
  <c r="AB202" i="9"/>
  <c r="AB78" i="8"/>
  <c r="AB306" i="8"/>
  <c r="AB35" i="8"/>
  <c r="AB90" i="8"/>
  <c r="AB81" i="8"/>
  <c r="AB353" i="8"/>
  <c r="AB476" i="9"/>
  <c r="AB20" i="9"/>
  <c r="AB354" i="9"/>
  <c r="AB16" i="9"/>
  <c r="AB145" i="9"/>
  <c r="AB397" i="9"/>
  <c r="AB274" i="9"/>
  <c r="AB29" i="9"/>
  <c r="AB162" i="9"/>
  <c r="AB461" i="9"/>
  <c r="AB423" i="9"/>
  <c r="AB364" i="8"/>
  <c r="AB420" i="8"/>
  <c r="AB302" i="8"/>
  <c r="AB314" i="8"/>
  <c r="AB56" i="8"/>
  <c r="AB277" i="8"/>
  <c r="AB374" i="8"/>
  <c r="AB417" i="8"/>
  <c r="AB161" i="9"/>
  <c r="AB65" i="9"/>
  <c r="AB319" i="9"/>
  <c r="AB299" i="9"/>
  <c r="AB282" i="9"/>
  <c r="AB135" i="9"/>
  <c r="AB345" i="9"/>
  <c r="AB150" i="9"/>
  <c r="AB350" i="8"/>
  <c r="AB355" i="8"/>
  <c r="AB263" i="8"/>
  <c r="AB476" i="8"/>
  <c r="AB366" i="8"/>
  <c r="AB149" i="8"/>
  <c r="AB326" i="8"/>
  <c r="AB16" i="8"/>
  <c r="AB344" i="8"/>
  <c r="AB193" i="8"/>
  <c r="AB435" i="8"/>
  <c r="AB223" i="9"/>
  <c r="AB57" i="9"/>
  <c r="AB371" i="9"/>
  <c r="AB300" i="9"/>
  <c r="AB363" i="9"/>
  <c r="AB396" i="9"/>
  <c r="AB182" i="9"/>
  <c r="AB110" i="9"/>
  <c r="AB87" i="8"/>
  <c r="AB367" i="8"/>
  <c r="AB18" i="8"/>
  <c r="AB449" i="8"/>
  <c r="AB413" i="9"/>
  <c r="AB248" i="9"/>
  <c r="AB365" i="9"/>
  <c r="AB322" i="9"/>
  <c r="AB216" i="8"/>
  <c r="AB145" i="8"/>
  <c r="AB491" i="8"/>
  <c r="AB486" i="9"/>
  <c r="AB137" i="9"/>
  <c r="AB361" i="9"/>
  <c r="AB37" i="9"/>
  <c r="AB32" i="9"/>
  <c r="AB233" i="9"/>
  <c r="AB287" i="8"/>
  <c r="AB464" i="8"/>
  <c r="AB452" i="8"/>
  <c r="AB141" i="8"/>
  <c r="AB83" i="8"/>
  <c r="AB258" i="8"/>
  <c r="AB376" i="8"/>
  <c r="AB404" i="9"/>
  <c r="AB408" i="9"/>
  <c r="AB433" i="9"/>
  <c r="AB437" i="9"/>
  <c r="AB81" i="9"/>
  <c r="AB288" i="9"/>
  <c r="AB128" i="9"/>
  <c r="AB100" i="9"/>
  <c r="AB405" i="8"/>
  <c r="AB444" i="8"/>
  <c r="AB196" i="8"/>
  <c r="AB18" i="9"/>
  <c r="AB448" i="9"/>
  <c r="AB155" i="9"/>
  <c r="AB266" i="9"/>
  <c r="AB314" i="9"/>
  <c r="AB318" i="9"/>
  <c r="AB46" i="9"/>
  <c r="AB418" i="8"/>
  <c r="P111" i="6"/>
  <c r="P43" i="6"/>
  <c r="AB53" i="8"/>
  <c r="AB318" i="8"/>
  <c r="AB158" i="8"/>
  <c r="AB326" i="9"/>
  <c r="AB61" i="9"/>
  <c r="AB184" i="9"/>
  <c r="AB203" i="8"/>
  <c r="AB197" i="8"/>
  <c r="AB447" i="8"/>
  <c r="AB86" i="8"/>
  <c r="AB404" i="8"/>
  <c r="AB131" i="9"/>
  <c r="AB391" i="9"/>
  <c r="AB72" i="9"/>
  <c r="AB265" i="9"/>
  <c r="AB350" i="9"/>
  <c r="AB407" i="9"/>
  <c r="AB490" i="9"/>
  <c r="AB306" i="9"/>
  <c r="AB212" i="9"/>
  <c r="AB122" i="9"/>
  <c r="AB260" i="9"/>
  <c r="AB210" i="9"/>
  <c r="AB43" i="9"/>
  <c r="AB458" i="9"/>
  <c r="AB170" i="9"/>
  <c r="AB468" i="9"/>
  <c r="AB71" i="9"/>
  <c r="AB457" i="9"/>
  <c r="AB479" i="9"/>
  <c r="AB32" i="8"/>
  <c r="AB347" i="8"/>
  <c r="AB375" i="8"/>
  <c r="AB471" i="8"/>
  <c r="AB101" i="8"/>
  <c r="AB441" i="8"/>
  <c r="AB23" i="8"/>
  <c r="AB49" i="8"/>
  <c r="AB148" i="8"/>
  <c r="AB195" i="9"/>
  <c r="AB78" i="9"/>
  <c r="AB388" i="9"/>
  <c r="AB440" i="8"/>
  <c r="AB342" i="8"/>
  <c r="AB445" i="8"/>
  <c r="AB303" i="8"/>
  <c r="AB223" i="8"/>
  <c r="AB360" i="8"/>
  <c r="AB402" i="8"/>
  <c r="AB296" i="8"/>
  <c r="AB312" i="8"/>
  <c r="AB280" i="9"/>
  <c r="AB268" i="9"/>
  <c r="AB12" i="8"/>
  <c r="AB200" i="9"/>
  <c r="AB209" i="9"/>
  <c r="AB130" i="9"/>
  <c r="AB279" i="9"/>
  <c r="AB417" i="9"/>
  <c r="AB199" i="9"/>
  <c r="AB217" i="9"/>
  <c r="AB315" i="9"/>
  <c r="AB422" i="8"/>
  <c r="AB446" i="8"/>
  <c r="AB430" i="8"/>
  <c r="AB272" i="9"/>
  <c r="AB488" i="9"/>
  <c r="AB203" i="9"/>
  <c r="AB256" i="9"/>
  <c r="AB281" i="9"/>
  <c r="AB313" i="9"/>
  <c r="AB227" i="9"/>
  <c r="AB430" i="9"/>
  <c r="AB416" i="9"/>
  <c r="AB99" i="8"/>
  <c r="AB209" i="8"/>
  <c r="P46" i="6"/>
  <c r="P347" i="6"/>
  <c r="AB182" i="8"/>
  <c r="AB283" i="8"/>
  <c r="AB370" i="8"/>
  <c r="AB275" i="8"/>
  <c r="AB311" i="8"/>
  <c r="AB316" i="8"/>
  <c r="AB363" i="8"/>
  <c r="AB154" i="8"/>
  <c r="AB456" i="8"/>
  <c r="AB181" i="9"/>
  <c r="AB235" i="9"/>
  <c r="AB142" i="9"/>
  <c r="AB232" i="9"/>
  <c r="AB309" i="9"/>
  <c r="AB379" i="9"/>
  <c r="AB381" i="9"/>
  <c r="AB382" i="9"/>
  <c r="AB154" i="9"/>
  <c r="AB160" i="8"/>
  <c r="AB455" i="8"/>
  <c r="AB470" i="8"/>
  <c r="AB31" i="8"/>
  <c r="AB225" i="8"/>
  <c r="P116" i="6"/>
  <c r="AB325" i="8"/>
  <c r="AB278" i="8"/>
  <c r="AB213" i="8"/>
  <c r="AB396" i="8"/>
  <c r="AB180" i="8"/>
  <c r="AB176" i="8"/>
  <c r="AB448" i="8"/>
  <c r="AB109" i="8"/>
  <c r="AB115" i="9"/>
  <c r="AB236" i="9"/>
  <c r="AB472" i="9"/>
  <c r="AB398" i="9"/>
  <c r="AB214" i="9"/>
  <c r="AB344" i="9"/>
  <c r="AB284" i="9"/>
  <c r="AB245" i="9"/>
  <c r="AB447" i="9"/>
  <c r="AB426" i="9"/>
  <c r="AB29" i="8"/>
  <c r="AB239" i="8"/>
  <c r="AB218" i="8"/>
  <c r="AB454" i="8"/>
  <c r="AB84" i="8"/>
  <c r="AB395" i="8"/>
  <c r="AB66" i="8"/>
  <c r="AB298" i="8"/>
  <c r="AB251" i="9"/>
  <c r="AB103" i="9"/>
  <c r="AB118" i="9"/>
  <c r="AB228" i="9"/>
  <c r="AB138" i="9"/>
  <c r="AB123" i="9"/>
  <c r="AB35" i="9"/>
  <c r="AB27" i="9"/>
  <c r="AB311" i="9"/>
  <c r="AB149" i="9"/>
  <c r="AB97" i="9"/>
  <c r="AB478" i="9"/>
  <c r="AB79" i="9"/>
  <c r="AB400" i="9"/>
  <c r="AB34" i="9"/>
  <c r="AB109" i="9"/>
  <c r="AB128" i="8"/>
  <c r="AB349" i="8"/>
  <c r="AB424" i="8"/>
  <c r="AB293" i="8"/>
  <c r="AB466" i="8"/>
  <c r="AB252" i="8"/>
  <c r="AB116" i="8"/>
  <c r="AB261" i="8"/>
  <c r="AB120" i="8"/>
  <c r="AB485" i="8"/>
  <c r="AB191" i="8"/>
  <c r="AB322" i="8"/>
  <c r="AB434" i="8"/>
  <c r="AB331" i="9"/>
  <c r="AB434" i="9"/>
  <c r="AB445" i="9"/>
  <c r="AB487" i="9"/>
  <c r="AB277" i="9"/>
  <c r="AB26" i="9"/>
  <c r="AB364" i="9"/>
  <c r="AB474" i="9"/>
  <c r="AB405" i="9"/>
  <c r="AB52" i="9"/>
  <c r="AB308" i="9"/>
  <c r="AB370" i="9"/>
  <c r="AB449" i="9"/>
  <c r="AB454" i="9"/>
  <c r="AB99" i="9"/>
  <c r="AB254" i="9"/>
  <c r="AB74" i="8"/>
  <c r="AB359" i="8"/>
  <c r="AB247" i="8"/>
  <c r="AB98" i="8"/>
  <c r="AB488" i="8"/>
  <c r="P438" i="6"/>
  <c r="AB423" i="8"/>
  <c r="AB264" i="8"/>
  <c r="AB20" i="8"/>
  <c r="AB216" i="9"/>
  <c r="AB117" i="9"/>
  <c r="AB213" i="9"/>
  <c r="AB273" i="9"/>
  <c r="AB175" i="9"/>
  <c r="AB395" i="9"/>
  <c r="AB387" i="9"/>
  <c r="AB255" i="9"/>
  <c r="AB144" i="9"/>
  <c r="AB33" i="9"/>
  <c r="AB239" i="9"/>
  <c r="AB475" i="9"/>
  <c r="AB399" i="9"/>
  <c r="AB230" i="9"/>
  <c r="AB101" i="9"/>
  <c r="AB258" i="9"/>
  <c r="AB341" i="9"/>
  <c r="AB226" i="9"/>
  <c r="AB456" i="9"/>
  <c r="AB139" i="9"/>
  <c r="AB25" i="9"/>
  <c r="AB174" i="9"/>
  <c r="P336" i="6"/>
  <c r="AB38" i="8"/>
  <c r="AB68" i="8"/>
  <c r="AB461" i="8"/>
  <c r="AB174" i="8"/>
  <c r="P121" i="6"/>
  <c r="AB273" i="8"/>
  <c r="AB162" i="8"/>
  <c r="AB135" i="8"/>
  <c r="P434" i="6"/>
  <c r="AB480" i="9"/>
  <c r="AB269" i="9"/>
  <c r="AB246" i="9"/>
  <c r="AB129" i="9"/>
  <c r="AB207" i="9"/>
  <c r="AB278" i="9"/>
  <c r="AB42" i="9"/>
  <c r="AB82" i="9"/>
  <c r="AB53" i="9"/>
  <c r="AB343" i="9"/>
  <c r="AB340" i="9"/>
  <c r="AB38" i="9"/>
  <c r="AB288" i="8"/>
  <c r="AB421" i="8"/>
  <c r="AB47" i="8"/>
  <c r="AB429" i="8"/>
  <c r="AB479" i="8"/>
  <c r="AB272" i="8"/>
  <c r="AB217" i="8"/>
  <c r="AB397" i="8"/>
  <c r="AB108" i="8"/>
  <c r="AB222" i="8"/>
  <c r="AB112" i="9"/>
  <c r="AB183" i="9"/>
  <c r="AB74" i="9"/>
  <c r="AB419" i="9"/>
  <c r="AB451" i="9"/>
  <c r="AB88" i="9"/>
  <c r="AB349" i="9"/>
  <c r="AB446" i="9"/>
  <c r="AB168" i="9"/>
  <c r="AB342" i="9"/>
  <c r="AB367" i="9"/>
  <c r="J72" i="4"/>
  <c r="V72" i="6"/>
  <c r="U51" i="6"/>
  <c r="O51" i="4"/>
  <c r="O450" i="4"/>
  <c r="U450" i="6"/>
  <c r="U240" i="6"/>
  <c r="O240" i="4"/>
  <c r="J290" i="4"/>
  <c r="V290" i="6"/>
  <c r="U290" i="6"/>
  <c r="O290" i="4"/>
  <c r="O167" i="4"/>
  <c r="U167" i="6"/>
  <c r="J51" i="4"/>
  <c r="V51" i="6"/>
  <c r="AB51" i="8"/>
  <c r="U398" i="6"/>
  <c r="O398" i="4"/>
  <c r="U224" i="6"/>
  <c r="O224" i="4"/>
  <c r="J301" i="4"/>
  <c r="V301" i="6"/>
  <c r="O42" i="4"/>
  <c r="U42" i="6"/>
  <c r="O265" i="4"/>
  <c r="U265" i="6"/>
  <c r="AB265" i="8"/>
  <c r="J257" i="4"/>
  <c r="V257" i="6"/>
  <c r="J440" i="4"/>
  <c r="V440" i="6"/>
  <c r="O440" i="4"/>
  <c r="U440" i="6"/>
  <c r="J270" i="4"/>
  <c r="V270" i="6"/>
  <c r="J307" i="4"/>
  <c r="V307" i="6"/>
  <c r="AB307" i="8"/>
  <c r="J354" i="4"/>
  <c r="V354" i="6"/>
  <c r="J134" i="4"/>
  <c r="V134" i="6"/>
  <c r="O134" i="4"/>
  <c r="U134" i="6"/>
  <c r="U346" i="6"/>
  <c r="O346" i="4"/>
  <c r="U468" i="6"/>
  <c r="O468" i="4"/>
  <c r="J208" i="4"/>
  <c r="V208" i="6"/>
  <c r="J377" i="4"/>
  <c r="V377" i="6"/>
  <c r="U175" i="6"/>
  <c r="O175" i="4"/>
  <c r="J371" i="4"/>
  <c r="V371" i="6"/>
  <c r="J405" i="4"/>
  <c r="V405" i="6"/>
  <c r="U124" i="6"/>
  <c r="O124" i="4"/>
  <c r="U382" i="6"/>
  <c r="O382" i="4"/>
  <c r="J450" i="4"/>
  <c r="V450" i="6"/>
  <c r="AB240" i="8"/>
  <c r="U444" i="6"/>
  <c r="O444" i="4"/>
  <c r="J203" i="4"/>
  <c r="V203" i="6"/>
  <c r="U437" i="6"/>
  <c r="O437" i="4"/>
  <c r="J281" i="4"/>
  <c r="V281" i="6"/>
  <c r="O196" i="4"/>
  <c r="U196" i="6"/>
  <c r="O379" i="4"/>
  <c r="U379" i="6"/>
  <c r="U474" i="6"/>
  <c r="O474" i="4"/>
  <c r="U156" i="6"/>
  <c r="O156" i="4"/>
  <c r="J360" i="4"/>
  <c r="V360" i="6"/>
  <c r="U402" i="6"/>
  <c r="O402" i="4"/>
  <c r="U358" i="6"/>
  <c r="O358" i="4"/>
  <c r="U422" i="6"/>
  <c r="O422" i="4"/>
  <c r="J427" i="4"/>
  <c r="V427" i="6"/>
  <c r="O427" i="4"/>
  <c r="U427" i="6"/>
  <c r="O357" i="4"/>
  <c r="U357" i="6"/>
  <c r="J179" i="4"/>
  <c r="V179" i="6"/>
  <c r="J291" i="4"/>
  <c r="V291" i="6"/>
  <c r="U228" i="6"/>
  <c r="O228" i="4"/>
  <c r="J41" i="4"/>
  <c r="V41" i="6"/>
  <c r="J142" i="4"/>
  <c r="V142" i="6"/>
  <c r="V460" i="6"/>
  <c r="J460" i="4"/>
  <c r="U276" i="6"/>
  <c r="O276" i="4"/>
  <c r="J242" i="4"/>
  <c r="V242" i="6"/>
  <c r="U481" i="6"/>
  <c r="O481" i="4"/>
  <c r="U292" i="6"/>
  <c r="O292" i="4"/>
  <c r="J356" i="4"/>
  <c r="V356" i="6"/>
  <c r="U356" i="6"/>
  <c r="O356" i="4"/>
  <c r="J229" i="4"/>
  <c r="V229" i="6"/>
  <c r="J40" i="4"/>
  <c r="V40" i="6"/>
  <c r="U404" i="6"/>
  <c r="O404" i="4"/>
  <c r="U352" i="6"/>
  <c r="O352" i="4"/>
  <c r="J241" i="4"/>
  <c r="V241" i="6"/>
  <c r="U100" i="6"/>
  <c r="O100" i="4"/>
  <c r="J25" i="4"/>
  <c r="V25" i="6"/>
  <c r="K440" i="4"/>
  <c r="W440" i="6"/>
  <c r="W131" i="6"/>
  <c r="K131" i="4"/>
  <c r="K297" i="4"/>
  <c r="W297" i="6"/>
  <c r="W280" i="6"/>
  <c r="K280" i="4"/>
  <c r="K302" i="4"/>
  <c r="W302" i="6"/>
  <c r="W92" i="6"/>
  <c r="K92" i="4"/>
  <c r="W339" i="6"/>
  <c r="K339" i="4"/>
  <c r="W189" i="6"/>
  <c r="K189" i="4"/>
  <c r="W357" i="6"/>
  <c r="K357" i="4"/>
  <c r="K222" i="4"/>
  <c r="W222" i="6"/>
  <c r="K134" i="4"/>
  <c r="W134" i="6"/>
  <c r="W485" i="6"/>
  <c r="K485" i="4"/>
  <c r="K313" i="4"/>
  <c r="W313" i="6"/>
  <c r="W197" i="6"/>
  <c r="K197" i="4"/>
  <c r="W62" i="6"/>
  <c r="K62" i="4"/>
  <c r="AB62" i="9"/>
  <c r="W489" i="6"/>
  <c r="K489" i="4"/>
  <c r="K464" i="4"/>
  <c r="W464" i="6"/>
  <c r="W148" i="6"/>
  <c r="K148" i="4"/>
  <c r="K368" i="4"/>
  <c r="W368" i="6"/>
  <c r="W201" i="6"/>
  <c r="K201" i="4"/>
  <c r="K365" i="4"/>
  <c r="W365" i="6"/>
  <c r="W111" i="6"/>
  <c r="K111" i="4"/>
  <c r="K264" i="4"/>
  <c r="W264" i="6"/>
  <c r="W432" i="6"/>
  <c r="K432" i="4"/>
  <c r="W87" i="6"/>
  <c r="K87" i="4"/>
  <c r="K125" i="4"/>
  <c r="W125" i="6"/>
  <c r="W22" i="6"/>
  <c r="K22" i="4"/>
  <c r="K220" i="4"/>
  <c r="W220" i="6"/>
  <c r="O372" i="4"/>
  <c r="U372" i="6"/>
  <c r="P418" i="6"/>
  <c r="J37" i="4"/>
  <c r="V37" i="6"/>
  <c r="O190" i="4"/>
  <c r="U190" i="6"/>
  <c r="J132" i="4"/>
  <c r="V132" i="6"/>
  <c r="U132" i="6"/>
  <c r="O132" i="4"/>
  <c r="U111" i="6"/>
  <c r="O111" i="4"/>
  <c r="J43" i="4"/>
  <c r="V43" i="6"/>
  <c r="J413" i="4"/>
  <c r="V413" i="6"/>
  <c r="J165" i="4"/>
  <c r="V165" i="6"/>
  <c r="P19" i="6"/>
  <c r="J46" i="4"/>
  <c r="V46" i="6"/>
  <c r="AB46" i="8"/>
  <c r="U347" i="6"/>
  <c r="O347" i="4"/>
  <c r="J65" i="4"/>
  <c r="V65" i="6"/>
  <c r="O60" i="4"/>
  <c r="U60" i="6"/>
  <c r="J442" i="4"/>
  <c r="V442" i="6"/>
  <c r="O182" i="4"/>
  <c r="U182" i="6"/>
  <c r="V406" i="6"/>
  <c r="J406" i="4"/>
  <c r="J260" i="4"/>
  <c r="V260" i="6"/>
  <c r="AB260" i="8"/>
  <c r="O253" i="4"/>
  <c r="U253" i="6"/>
  <c r="J95" i="4"/>
  <c r="V95" i="6"/>
  <c r="J45" i="4"/>
  <c r="V45" i="6"/>
  <c r="AB45" i="8"/>
  <c r="O275" i="4"/>
  <c r="U275" i="6"/>
  <c r="J266" i="4"/>
  <c r="V266" i="6"/>
  <c r="J408" i="4"/>
  <c r="V408" i="6"/>
  <c r="U408" i="6"/>
  <c r="O408" i="4"/>
  <c r="O101" i="4"/>
  <c r="U101" i="6"/>
  <c r="O102" i="4"/>
  <c r="U102" i="6"/>
  <c r="P465" i="6"/>
  <c r="J211" i="4"/>
  <c r="V211" i="6"/>
  <c r="AB211" i="8"/>
  <c r="O52" i="4"/>
  <c r="U52" i="6"/>
  <c r="J334" i="4"/>
  <c r="V334" i="6"/>
  <c r="O363" i="4"/>
  <c r="U363" i="6"/>
  <c r="J61" i="4"/>
  <c r="V61" i="6"/>
  <c r="U226" i="6"/>
  <c r="O226" i="4"/>
  <c r="J343" i="4"/>
  <c r="V343" i="6"/>
  <c r="U279" i="6"/>
  <c r="O279" i="4"/>
  <c r="AB279" i="8"/>
  <c r="U254" i="6"/>
  <c r="O254" i="4"/>
  <c r="J107" i="4"/>
  <c r="V107" i="6"/>
  <c r="U35" i="6"/>
  <c r="O35" i="4"/>
  <c r="J256" i="4"/>
  <c r="V256" i="6"/>
  <c r="O39" i="4"/>
  <c r="U39" i="6"/>
  <c r="J207" i="4"/>
  <c r="V207" i="6"/>
  <c r="U233" i="6"/>
  <c r="O233" i="4"/>
  <c r="J431" i="4"/>
  <c r="V431" i="6"/>
  <c r="U411" i="6"/>
  <c r="O411" i="4"/>
  <c r="J212" i="4"/>
  <c r="V212" i="6"/>
  <c r="P212" i="6"/>
  <c r="J300" i="4"/>
  <c r="V300" i="6"/>
  <c r="J478" i="4"/>
  <c r="V478" i="6"/>
  <c r="J331" i="4"/>
  <c r="V331" i="6"/>
  <c r="J475" i="4"/>
  <c r="V475" i="6"/>
  <c r="V477" i="6"/>
  <c r="J477" i="4"/>
  <c r="J324" i="4"/>
  <c r="V324" i="6"/>
  <c r="P286" i="6"/>
  <c r="U158" i="6"/>
  <c r="O158" i="4"/>
  <c r="P90" i="6"/>
  <c r="J34" i="4"/>
  <c r="V34" i="6"/>
  <c r="AB34" i="8"/>
  <c r="U188" i="6"/>
  <c r="O188" i="4"/>
  <c r="J353" i="4"/>
  <c r="V353" i="6"/>
  <c r="P166" i="6"/>
  <c r="J410" i="4"/>
  <c r="V410" i="6"/>
  <c r="K326" i="4"/>
  <c r="W326" i="6"/>
  <c r="K181" i="4"/>
  <c r="W181" i="6"/>
  <c r="W235" i="6"/>
  <c r="K235" i="4"/>
  <c r="K20" i="4"/>
  <c r="W20" i="6"/>
  <c r="W36" i="6"/>
  <c r="K36" i="4"/>
  <c r="W166" i="6"/>
  <c r="K166" i="4"/>
  <c r="W467" i="6"/>
  <c r="K467" i="4"/>
  <c r="W374" i="6"/>
  <c r="K374" i="4"/>
  <c r="AB374" i="9"/>
  <c r="W119" i="6"/>
  <c r="K119" i="4"/>
  <c r="K329" i="4"/>
  <c r="W329" i="6"/>
  <c r="K290" i="4"/>
  <c r="W290" i="6"/>
  <c r="K58" i="4"/>
  <c r="W58" i="6"/>
  <c r="W130" i="6"/>
  <c r="K130" i="4"/>
  <c r="K409" i="4"/>
  <c r="W409" i="6"/>
  <c r="W239" i="6"/>
  <c r="K239" i="4"/>
  <c r="W29" i="6"/>
  <c r="K29" i="4"/>
  <c r="W184" i="6"/>
  <c r="K184" i="4"/>
  <c r="W232" i="6"/>
  <c r="K232" i="4"/>
  <c r="W475" i="6"/>
  <c r="K475" i="4"/>
  <c r="W230" i="6"/>
  <c r="K230" i="4"/>
  <c r="W215" i="6"/>
  <c r="K215" i="4"/>
  <c r="W258" i="6"/>
  <c r="K258" i="4"/>
  <c r="W217" i="6"/>
  <c r="K217" i="4"/>
  <c r="K351" i="4"/>
  <c r="W351" i="6"/>
  <c r="W54" i="6"/>
  <c r="K54" i="4"/>
  <c r="K341" i="4"/>
  <c r="W341" i="6"/>
  <c r="W301" i="6"/>
  <c r="K301" i="4"/>
  <c r="K360" i="4"/>
  <c r="W360" i="6"/>
  <c r="W226" i="6"/>
  <c r="K226" i="4"/>
  <c r="K261" i="4"/>
  <c r="W261" i="6"/>
  <c r="W336" i="6"/>
  <c r="K336" i="4"/>
  <c r="W382" i="6"/>
  <c r="K382" i="4"/>
  <c r="K60" i="4"/>
  <c r="W60" i="6"/>
  <c r="K15" i="4"/>
  <c r="W15" i="6"/>
  <c r="K289" i="4"/>
  <c r="W289" i="6"/>
  <c r="W17" i="6"/>
  <c r="K17" i="4"/>
  <c r="W109" i="6"/>
  <c r="K109" i="4"/>
  <c r="W174" i="6"/>
  <c r="K174" i="4"/>
  <c r="J80" i="4"/>
  <c r="V80" i="6"/>
  <c r="U80" i="6"/>
  <c r="O80" i="4"/>
  <c r="J295" i="4"/>
  <c r="V295" i="6"/>
  <c r="U364" i="6"/>
  <c r="O364" i="4"/>
  <c r="J202" i="4"/>
  <c r="V202" i="6"/>
  <c r="J349" i="4"/>
  <c r="V349" i="6"/>
  <c r="O349" i="4"/>
  <c r="U349" i="6"/>
  <c r="U187" i="6"/>
  <c r="O187" i="4"/>
  <c r="P305" i="6"/>
  <c r="J336" i="4"/>
  <c r="L336" i="4" s="1"/>
  <c r="AA336" i="4" s="1"/>
  <c r="Z336" i="4" s="1"/>
  <c r="V336" i="6"/>
  <c r="J327" i="4"/>
  <c r="V327" i="6"/>
  <c r="U327" i="6"/>
  <c r="O327" i="4"/>
  <c r="J160" i="4"/>
  <c r="V160" i="6"/>
  <c r="J455" i="4"/>
  <c r="V455" i="6"/>
  <c r="O455" i="4"/>
  <c r="U455" i="6"/>
  <c r="U126" i="6"/>
  <c r="O126" i="4"/>
  <c r="J420" i="4"/>
  <c r="V420" i="6"/>
  <c r="P490" i="6"/>
  <c r="O490" i="4"/>
  <c r="U490" i="6"/>
  <c r="U17" i="6"/>
  <c r="O17" i="4"/>
  <c r="J38" i="4"/>
  <c r="V38" i="6"/>
  <c r="V138" i="6"/>
  <c r="J138" i="4"/>
  <c r="U93" i="6"/>
  <c r="O93" i="4"/>
  <c r="J137" i="4"/>
  <c r="V137" i="6"/>
  <c r="AB137" i="8"/>
  <c r="J44" i="4"/>
  <c r="V44" i="6"/>
  <c r="O252" i="4"/>
  <c r="U252" i="6"/>
  <c r="J225" i="4"/>
  <c r="V225" i="6"/>
  <c r="O225" i="4"/>
  <c r="U225" i="6"/>
  <c r="U384" i="6"/>
  <c r="O384" i="4"/>
  <c r="J280" i="4"/>
  <c r="L280" i="4" s="1"/>
  <c r="V280" i="6"/>
  <c r="O373" i="4"/>
  <c r="U373" i="6"/>
  <c r="U461" i="6"/>
  <c r="O461" i="4"/>
  <c r="P261" i="6"/>
  <c r="O174" i="4"/>
  <c r="U174" i="6"/>
  <c r="O194" i="4"/>
  <c r="U194" i="6"/>
  <c r="J236" i="4"/>
  <c r="V236" i="6"/>
  <c r="J392" i="4"/>
  <c r="V392" i="6"/>
  <c r="O213" i="4"/>
  <c r="U213" i="6"/>
  <c r="J186" i="4"/>
  <c r="V186" i="6"/>
  <c r="O186" i="4"/>
  <c r="U186" i="6"/>
  <c r="O89" i="4"/>
  <c r="U89" i="6"/>
  <c r="U332" i="6"/>
  <c r="O332" i="4"/>
  <c r="J127" i="4"/>
  <c r="V127" i="6"/>
  <c r="AB127" i="8"/>
  <c r="J315" i="4"/>
  <c r="V315" i="6"/>
  <c r="J248" i="4"/>
  <c r="V248" i="6"/>
  <c r="AB248" i="8"/>
  <c r="J56" i="4"/>
  <c r="V56" i="6"/>
  <c r="J277" i="4"/>
  <c r="V277" i="6"/>
  <c r="J282" i="4"/>
  <c r="V282" i="6"/>
  <c r="AB282" i="8"/>
  <c r="P407" i="6"/>
  <c r="O273" i="4"/>
  <c r="U273" i="6"/>
  <c r="U189" i="6"/>
  <c r="O189" i="4"/>
  <c r="J426" i="4"/>
  <c r="V426" i="6"/>
  <c r="O162" i="4"/>
  <c r="U162" i="6"/>
  <c r="J152" i="4"/>
  <c r="V152" i="6"/>
  <c r="AB152" i="8"/>
  <c r="U345" i="6"/>
  <c r="O345" i="4"/>
  <c r="J140" i="4"/>
  <c r="V140" i="6"/>
  <c r="AB140" i="8"/>
  <c r="J317" i="4"/>
  <c r="V317" i="6"/>
  <c r="J145" i="4"/>
  <c r="V145" i="6"/>
  <c r="P145" i="6"/>
  <c r="U374" i="6"/>
  <c r="O374" i="4"/>
  <c r="J135" i="4"/>
  <c r="V135" i="6"/>
  <c r="J417" i="4"/>
  <c r="V417" i="6"/>
  <c r="U417" i="6"/>
  <c r="O417" i="4"/>
  <c r="U328" i="6"/>
  <c r="O328" i="4"/>
  <c r="O76" i="4"/>
  <c r="U76" i="6"/>
  <c r="U64" i="6"/>
  <c r="O64" i="4"/>
  <c r="U267" i="6"/>
  <c r="O267" i="4"/>
  <c r="V104" i="6"/>
  <c r="J104" i="4"/>
  <c r="AB104" i="8"/>
  <c r="O180" i="4"/>
  <c r="U180" i="6"/>
  <c r="O322" i="4"/>
  <c r="U322" i="6"/>
  <c r="J458" i="4"/>
  <c r="V458" i="6"/>
  <c r="O458" i="4"/>
  <c r="U458" i="6"/>
  <c r="P491" i="6"/>
  <c r="J389" i="4"/>
  <c r="V389" i="6"/>
  <c r="U14" i="6"/>
  <c r="O14" i="4"/>
  <c r="J75" i="4"/>
  <c r="V75" i="6"/>
  <c r="U335" i="6"/>
  <c r="O335" i="4"/>
  <c r="O448" i="4"/>
  <c r="U448" i="6"/>
  <c r="J215" i="4"/>
  <c r="L215" i="4" s="1"/>
  <c r="V215" i="6"/>
  <c r="AB215" i="8"/>
  <c r="P268" i="6"/>
  <c r="O109" i="4"/>
  <c r="U109" i="6"/>
  <c r="K271" i="4"/>
  <c r="W271" i="6"/>
  <c r="K262" i="4"/>
  <c r="W262" i="6"/>
  <c r="W332" i="6"/>
  <c r="K332" i="4"/>
  <c r="K252" i="4"/>
  <c r="W252" i="6"/>
  <c r="K121" i="4"/>
  <c r="W121" i="6"/>
  <c r="W129" i="6"/>
  <c r="K129" i="4"/>
  <c r="K64" i="4"/>
  <c r="W64" i="6"/>
  <c r="K204" i="4"/>
  <c r="W204" i="6"/>
  <c r="W169" i="6"/>
  <c r="K169" i="4"/>
  <c r="AA493" i="9"/>
  <c r="W42" i="6"/>
  <c r="K42" i="4"/>
  <c r="W237" i="6"/>
  <c r="K237" i="4"/>
  <c r="K82" i="4"/>
  <c r="W82" i="6"/>
  <c r="W26" i="6"/>
  <c r="K26" i="4"/>
  <c r="W364" i="6"/>
  <c r="K364" i="4"/>
  <c r="K474" i="4"/>
  <c r="W474" i="6"/>
  <c r="K319" i="4"/>
  <c r="W319" i="6"/>
  <c r="W85" i="6"/>
  <c r="K85" i="4"/>
  <c r="W214" i="6"/>
  <c r="K214" i="4"/>
  <c r="W282" i="6"/>
  <c r="K282" i="4"/>
  <c r="W293" i="6"/>
  <c r="K293" i="4"/>
  <c r="W403" i="6"/>
  <c r="K403" i="4"/>
  <c r="W164" i="6"/>
  <c r="K164" i="4"/>
  <c r="K135" i="4"/>
  <c r="W135" i="6"/>
  <c r="W53" i="6"/>
  <c r="K53" i="4"/>
  <c r="K492" i="4"/>
  <c r="W492" i="6"/>
  <c r="K452" i="4"/>
  <c r="W452" i="6"/>
  <c r="W150" i="6"/>
  <c r="K150" i="4"/>
  <c r="W245" i="6"/>
  <c r="K245" i="4"/>
  <c r="K414" i="4"/>
  <c r="W414" i="6"/>
  <c r="W308" i="6"/>
  <c r="K308" i="4"/>
  <c r="W454" i="6"/>
  <c r="K454" i="4"/>
  <c r="K420" i="4"/>
  <c r="W420" i="6"/>
  <c r="W294" i="6"/>
  <c r="K294" i="4"/>
  <c r="AB294" i="9"/>
  <c r="P294" i="6"/>
  <c r="J403" i="4"/>
  <c r="V403" i="6"/>
  <c r="P333" i="6"/>
  <c r="J393" i="4"/>
  <c r="V393" i="6"/>
  <c r="J29" i="4"/>
  <c r="V29" i="6"/>
  <c r="O29" i="4"/>
  <c r="U29" i="6"/>
  <c r="O287" i="4"/>
  <c r="U287" i="6"/>
  <c r="U239" i="6"/>
  <c r="O239" i="4"/>
  <c r="P219" i="6"/>
  <c r="J350" i="4"/>
  <c r="V350" i="6"/>
  <c r="U350" i="6"/>
  <c r="O350" i="4"/>
  <c r="U323" i="6"/>
  <c r="O323" i="4"/>
  <c r="J125" i="4"/>
  <c r="L125" i="4" s="1"/>
  <c r="AA125" i="4" s="1"/>
  <c r="V125" i="6"/>
  <c r="X125" i="6" s="1"/>
  <c r="AB125" i="8"/>
  <c r="O36" i="4"/>
  <c r="U36" i="6"/>
  <c r="U71" i="6"/>
  <c r="O71" i="4"/>
  <c r="O74" i="4"/>
  <c r="U74" i="6"/>
  <c r="J169" i="4"/>
  <c r="V169" i="6"/>
  <c r="O169" i="4"/>
  <c r="U169" i="6"/>
  <c r="P285" i="6"/>
  <c r="P262" i="6"/>
  <c r="P338" i="6"/>
  <c r="U218" i="6"/>
  <c r="O218" i="4"/>
  <c r="J380" i="4"/>
  <c r="V380" i="6"/>
  <c r="J359" i="4"/>
  <c r="V359" i="6"/>
  <c r="U469" i="6"/>
  <c r="O469" i="4"/>
  <c r="O247" i="4"/>
  <c r="U247" i="6"/>
  <c r="U149" i="6"/>
  <c r="O149" i="4"/>
  <c r="J326" i="4"/>
  <c r="V326" i="6"/>
  <c r="J16" i="4"/>
  <c r="V16" i="6"/>
  <c r="P271" i="6"/>
  <c r="P462" i="6"/>
  <c r="P139" i="6"/>
  <c r="O112" i="4"/>
  <c r="U112" i="6"/>
  <c r="U463" i="6"/>
  <c r="O463" i="4"/>
  <c r="J201" i="4"/>
  <c r="L201" i="4" s="1"/>
  <c r="V201" i="6"/>
  <c r="X201" i="6" s="1"/>
  <c r="J284" i="4"/>
  <c r="V284" i="6"/>
  <c r="J361" i="4"/>
  <c r="V361" i="6"/>
  <c r="P79" i="6"/>
  <c r="U84" i="6"/>
  <c r="O84" i="4"/>
  <c r="O395" i="4"/>
  <c r="U395" i="6"/>
  <c r="J227" i="4"/>
  <c r="V227" i="6"/>
  <c r="AB227" i="8"/>
  <c r="O245" i="4"/>
  <c r="U245" i="6"/>
  <c r="U15" i="6"/>
  <c r="O15" i="4"/>
  <c r="J133" i="4"/>
  <c r="V133" i="6"/>
  <c r="P231" i="6"/>
  <c r="P365" i="6"/>
  <c r="V238" i="6"/>
  <c r="J238" i="4"/>
  <c r="AB238" i="8"/>
  <c r="O66" i="4"/>
  <c r="U66" i="6"/>
  <c r="J269" i="4"/>
  <c r="V269" i="6"/>
  <c r="U269" i="6"/>
  <c r="O269" i="4"/>
  <c r="U452" i="6"/>
  <c r="O452" i="4"/>
  <c r="J249" i="4"/>
  <c r="V249" i="6"/>
  <c r="AB249" i="8"/>
  <c r="O387" i="4"/>
  <c r="U387" i="6"/>
  <c r="J110" i="4"/>
  <c r="V110" i="6"/>
  <c r="U243" i="6"/>
  <c r="O243" i="4"/>
  <c r="U320" i="6"/>
  <c r="O320" i="4"/>
  <c r="J391" i="4"/>
  <c r="V391" i="6"/>
  <c r="J168" i="4"/>
  <c r="V168" i="6"/>
  <c r="AB168" i="8"/>
  <c r="U381" i="6"/>
  <c r="O381" i="4"/>
  <c r="P237" i="6"/>
  <c r="J369" i="4"/>
  <c r="V369" i="6"/>
  <c r="AB369" i="8"/>
  <c r="O428" i="4"/>
  <c r="U428" i="6"/>
  <c r="P376" i="6"/>
  <c r="J58" i="4"/>
  <c r="L58" i="4" s="1"/>
  <c r="V58" i="6"/>
  <c r="X58" i="6" s="1"/>
  <c r="U438" i="6"/>
  <c r="O438" i="4"/>
  <c r="J151" i="4"/>
  <c r="V151" i="6"/>
  <c r="P151" i="6"/>
  <c r="P423" i="6"/>
  <c r="O27" i="4"/>
  <c r="U27" i="6"/>
  <c r="J67" i="4"/>
  <c r="V67" i="6"/>
  <c r="O67" i="4"/>
  <c r="U67" i="6"/>
  <c r="P73" i="6"/>
  <c r="P487" i="6"/>
  <c r="J185" i="4"/>
  <c r="V185" i="6"/>
  <c r="J108" i="4"/>
  <c r="V108" i="6"/>
  <c r="J96" i="4"/>
  <c r="V96" i="6"/>
  <c r="P484" i="6"/>
  <c r="P400" i="6"/>
  <c r="J246" i="4"/>
  <c r="V246" i="6"/>
  <c r="U246" i="6"/>
  <c r="O246" i="4"/>
  <c r="K291" i="4"/>
  <c r="W291" i="6"/>
  <c r="W223" i="6"/>
  <c r="K223" i="4"/>
  <c r="K152" i="4"/>
  <c r="W152" i="6"/>
  <c r="W158" i="6"/>
  <c r="K158" i="4"/>
  <c r="W408" i="6"/>
  <c r="K408" i="4"/>
  <c r="K213" i="4"/>
  <c r="W213" i="6"/>
  <c r="W147" i="6"/>
  <c r="K147" i="4"/>
  <c r="W105" i="6"/>
  <c r="K105" i="4"/>
  <c r="W437" i="6"/>
  <c r="K437" i="4"/>
  <c r="K146" i="4"/>
  <c r="W146" i="6"/>
  <c r="K406" i="4"/>
  <c r="W406" i="6"/>
  <c r="K438" i="4"/>
  <c r="W438" i="6"/>
  <c r="K389" i="4"/>
  <c r="W389" i="6"/>
  <c r="AB389" i="9"/>
  <c r="W177" i="6"/>
  <c r="K177" i="4"/>
  <c r="K471" i="4"/>
  <c r="W471" i="6"/>
  <c r="W450" i="6"/>
  <c r="K450" i="4"/>
  <c r="W75" i="6"/>
  <c r="K75" i="4"/>
  <c r="W263" i="6"/>
  <c r="K263" i="4"/>
  <c r="AB263" i="9"/>
  <c r="W83" i="6"/>
  <c r="K83" i="4"/>
  <c r="K482" i="4"/>
  <c r="W482" i="6"/>
  <c r="K159" i="4"/>
  <c r="W159" i="6"/>
  <c r="K180" i="4"/>
  <c r="W180" i="6"/>
  <c r="AB180" i="9"/>
  <c r="W307" i="6"/>
  <c r="K307" i="4"/>
  <c r="W473" i="6"/>
  <c r="K473" i="4"/>
  <c r="W238" i="6"/>
  <c r="K238" i="4"/>
  <c r="W250" i="6"/>
  <c r="K250" i="4"/>
  <c r="W106" i="6"/>
  <c r="K106" i="4"/>
  <c r="W23" i="6"/>
  <c r="K23" i="4"/>
  <c r="W97" i="6"/>
  <c r="K97" i="4"/>
  <c r="W367" i="6"/>
  <c r="K367" i="4"/>
  <c r="K55" i="4"/>
  <c r="W55" i="6"/>
  <c r="K76" i="4"/>
  <c r="W76" i="6"/>
  <c r="U21" i="6"/>
  <c r="O21" i="4"/>
  <c r="J224" i="4"/>
  <c r="V224" i="6"/>
  <c r="AB224" i="8"/>
  <c r="J42" i="4"/>
  <c r="V42" i="6"/>
  <c r="X42" i="6" s="1"/>
  <c r="J468" i="4"/>
  <c r="V468" i="6"/>
  <c r="J445" i="4"/>
  <c r="V445" i="6"/>
  <c r="U445" i="6"/>
  <c r="O445" i="4"/>
  <c r="U307" i="6"/>
  <c r="O307" i="4"/>
  <c r="J177" i="4"/>
  <c r="V177" i="6"/>
  <c r="O177" i="4"/>
  <c r="U177" i="6"/>
  <c r="J97" i="4"/>
  <c r="V97" i="6"/>
  <c r="O28" i="4"/>
  <c r="U28" i="6"/>
  <c r="J124" i="4"/>
  <c r="V124" i="6"/>
  <c r="AB124" i="8"/>
  <c r="AB450" i="8"/>
  <c r="J77" i="4"/>
  <c r="V77" i="6"/>
  <c r="AB77" i="8"/>
  <c r="U155" i="6"/>
  <c r="O155" i="4"/>
  <c r="AB290" i="8"/>
  <c r="J444" i="4"/>
  <c r="V444" i="6"/>
  <c r="J368" i="4"/>
  <c r="L368" i="4" s="1"/>
  <c r="V368" i="6"/>
  <c r="X368" i="6" s="1"/>
  <c r="AB368" i="8"/>
  <c r="J164" i="4"/>
  <c r="V164" i="6"/>
  <c r="J489" i="4"/>
  <c r="L489" i="4" s="1"/>
  <c r="V489" i="6"/>
  <c r="X489" i="6" s="1"/>
  <c r="J196" i="4"/>
  <c r="V196" i="6"/>
  <c r="J319" i="4"/>
  <c r="V319" i="6"/>
  <c r="U319" i="6"/>
  <c r="O319" i="4"/>
  <c r="O223" i="4"/>
  <c r="U223" i="6"/>
  <c r="J379" i="4"/>
  <c r="V379" i="6"/>
  <c r="J167" i="4"/>
  <c r="V167" i="6"/>
  <c r="U30" i="6"/>
  <c r="O30" i="4"/>
  <c r="J195" i="4"/>
  <c r="V195" i="6"/>
  <c r="AB195" i="8"/>
  <c r="J480" i="4"/>
  <c r="V480" i="6"/>
  <c r="O480" i="4"/>
  <c r="U480" i="6"/>
  <c r="J357" i="4"/>
  <c r="L357" i="4" s="1"/>
  <c r="V357" i="6"/>
  <c r="X357" i="6" s="1"/>
  <c r="O486" i="4"/>
  <c r="U486" i="6"/>
  <c r="U86" i="6"/>
  <c r="O86" i="4"/>
  <c r="O179" i="4"/>
  <c r="U179" i="6"/>
  <c r="J163" i="4"/>
  <c r="V163" i="6"/>
  <c r="V312" i="6"/>
  <c r="J312" i="4"/>
  <c r="O460" i="4"/>
  <c r="U460" i="6"/>
  <c r="J459" i="4"/>
  <c r="V459" i="6"/>
  <c r="AB459" i="8"/>
  <c r="J367" i="4"/>
  <c r="V367" i="6"/>
  <c r="O40" i="4"/>
  <c r="U40" i="6"/>
  <c r="O22" i="4"/>
  <c r="U22" i="6"/>
  <c r="J210" i="4"/>
  <c r="V210" i="6"/>
  <c r="AB210" i="8"/>
  <c r="J144" i="4"/>
  <c r="V144" i="6"/>
  <c r="AB144" i="8"/>
  <c r="O451" i="4"/>
  <c r="U451" i="6"/>
  <c r="W225" i="6"/>
  <c r="K225" i="4"/>
  <c r="W98" i="6"/>
  <c r="K98" i="4"/>
  <c r="W338" i="6"/>
  <c r="K338" i="4"/>
  <c r="K102" i="4"/>
  <c r="W102" i="6"/>
  <c r="K229" i="4"/>
  <c r="W229" i="6"/>
  <c r="K265" i="4"/>
  <c r="W265" i="6"/>
  <c r="W234" i="6"/>
  <c r="K234" i="4"/>
  <c r="K350" i="4"/>
  <c r="W350" i="6"/>
  <c r="K328" i="4"/>
  <c r="W328" i="6"/>
  <c r="W384" i="6"/>
  <c r="K384" i="4"/>
  <c r="K203" i="4"/>
  <c r="W203" i="6"/>
  <c r="W63" i="6"/>
  <c r="K63" i="4"/>
  <c r="K281" i="4"/>
  <c r="W281" i="6"/>
  <c r="K413" i="4"/>
  <c r="W413" i="6"/>
  <c r="W383" i="6"/>
  <c r="K383" i="4"/>
  <c r="W377" i="6"/>
  <c r="K377" i="4"/>
  <c r="W421" i="6"/>
  <c r="K421" i="4"/>
  <c r="AB421" i="9"/>
  <c r="W44" i="6"/>
  <c r="K44" i="4"/>
  <c r="W104" i="6"/>
  <c r="K104" i="4"/>
  <c r="AB104" i="9"/>
  <c r="W133" i="6"/>
  <c r="K133" i="4"/>
  <c r="K484" i="4"/>
  <c r="W484" i="6"/>
  <c r="K208" i="4"/>
  <c r="W208" i="6"/>
  <c r="W50" i="6"/>
  <c r="K50" i="4"/>
  <c r="K455" i="4"/>
  <c r="W455" i="6"/>
  <c r="W86" i="6"/>
  <c r="K86" i="4"/>
  <c r="K318" i="4"/>
  <c r="W318" i="6"/>
  <c r="W191" i="6"/>
  <c r="K191" i="4"/>
  <c r="W376" i="6"/>
  <c r="K376" i="4"/>
  <c r="W19" i="6"/>
  <c r="K19" i="4"/>
  <c r="AB19" i="9"/>
  <c r="K198" i="4"/>
  <c r="W198" i="6"/>
  <c r="K470" i="4"/>
  <c r="W470" i="6"/>
  <c r="K428" i="4"/>
  <c r="W428" i="6"/>
  <c r="W179" i="6"/>
  <c r="K179" i="4"/>
  <c r="J115" i="4"/>
  <c r="V115" i="6"/>
  <c r="J50" i="4"/>
  <c r="L50" i="4" s="1"/>
  <c r="V50" i="6"/>
  <c r="O50" i="4"/>
  <c r="U50" i="6"/>
  <c r="U418" i="6"/>
  <c r="O418" i="4"/>
  <c r="V443" i="6"/>
  <c r="J443" i="4"/>
  <c r="J329" i="4"/>
  <c r="L329" i="4" s="1"/>
  <c r="V329" i="6"/>
  <c r="X329" i="6" s="1"/>
  <c r="AB329" i="8"/>
  <c r="V340" i="6"/>
  <c r="J340" i="4"/>
  <c r="O340" i="4"/>
  <c r="U340" i="6"/>
  <c r="U53" i="6"/>
  <c r="O53" i="4"/>
  <c r="O299" i="4"/>
  <c r="U299" i="6"/>
  <c r="J78" i="4"/>
  <c r="V78" i="6"/>
  <c r="U19" i="6"/>
  <c r="O19" i="4"/>
  <c r="U46" i="6"/>
  <c r="O46" i="4"/>
  <c r="O12" i="4"/>
  <c r="U493" i="8"/>
  <c r="U7" i="8" s="1"/>
  <c r="U12" i="6"/>
  <c r="AA493" i="8"/>
  <c r="AA7" i="8" s="1"/>
  <c r="D22" i="22" s="1"/>
  <c r="U308" i="6"/>
  <c r="O308" i="4"/>
  <c r="J60" i="4"/>
  <c r="L60" i="4" s="1"/>
  <c r="V60" i="6"/>
  <c r="X60" i="6" s="1"/>
  <c r="P306" i="6"/>
  <c r="J123" i="4"/>
  <c r="V123" i="6"/>
  <c r="AB123" i="8"/>
  <c r="U283" i="6"/>
  <c r="O283" i="4"/>
  <c r="J370" i="4"/>
  <c r="V370" i="6"/>
  <c r="U406" i="6"/>
  <c r="O406" i="4"/>
  <c r="J375" i="4"/>
  <c r="V375" i="6"/>
  <c r="U260" i="6"/>
  <c r="O260" i="4"/>
  <c r="J253" i="4"/>
  <c r="V253" i="6"/>
  <c r="AB253" i="8"/>
  <c r="O45" i="4"/>
  <c r="U45" i="6"/>
  <c r="O266" i="4"/>
  <c r="U266" i="6"/>
  <c r="U48" i="6"/>
  <c r="O48" i="4"/>
  <c r="J318" i="4"/>
  <c r="V318" i="6"/>
  <c r="U318" i="6"/>
  <c r="O318" i="4"/>
  <c r="J102" i="4"/>
  <c r="V102" i="6"/>
  <c r="J192" i="4"/>
  <c r="V192" i="6"/>
  <c r="O311" i="4"/>
  <c r="U311" i="6"/>
  <c r="O304" i="4"/>
  <c r="U304" i="6"/>
  <c r="J52" i="4"/>
  <c r="V52" i="6"/>
  <c r="J363" i="4"/>
  <c r="V363" i="6"/>
  <c r="J321" i="4"/>
  <c r="V321" i="6"/>
  <c r="U321" i="6"/>
  <c r="O321" i="4"/>
  <c r="U57" i="6"/>
  <c r="O57" i="4"/>
  <c r="U154" i="6"/>
  <c r="O154" i="4"/>
  <c r="U425" i="6"/>
  <c r="O425" i="4"/>
  <c r="J205" i="4"/>
  <c r="V205" i="6"/>
  <c r="O205" i="4"/>
  <c r="U205" i="6"/>
  <c r="U309" i="6"/>
  <c r="O309" i="4"/>
  <c r="V254" i="6"/>
  <c r="J254" i="4"/>
  <c r="U107" i="6"/>
  <c r="O107" i="4"/>
  <c r="J159" i="4"/>
  <c r="V159" i="6"/>
  <c r="O159" i="4"/>
  <c r="U159" i="6"/>
  <c r="P256" i="6"/>
  <c r="J91" i="4"/>
  <c r="V91" i="6"/>
  <c r="AB91" i="8"/>
  <c r="O170" i="4"/>
  <c r="U170" i="6"/>
  <c r="J456" i="4"/>
  <c r="V456" i="6"/>
  <c r="U456" i="6"/>
  <c r="O456" i="4"/>
  <c r="J351" i="4"/>
  <c r="V351" i="6"/>
  <c r="X351" i="6" s="1"/>
  <c r="U431" i="6"/>
  <c r="O431" i="4"/>
  <c r="U146" i="6"/>
  <c r="O146" i="4"/>
  <c r="U441" i="6"/>
  <c r="O441" i="4"/>
  <c r="J274" i="4"/>
  <c r="V274" i="6"/>
  <c r="U477" i="6"/>
  <c r="O477" i="4"/>
  <c r="J85" i="4"/>
  <c r="V85" i="6"/>
  <c r="X85" i="6" s="1"/>
  <c r="J286" i="4"/>
  <c r="V286" i="6"/>
  <c r="O49" i="4"/>
  <c r="U49" i="6"/>
  <c r="P148" i="6"/>
  <c r="U148" i="6"/>
  <c r="O148" i="4"/>
  <c r="J118" i="4"/>
  <c r="V118" i="6"/>
  <c r="AB118" i="8"/>
  <c r="J399" i="4"/>
  <c r="V399" i="6"/>
  <c r="U410" i="6"/>
  <c r="O410" i="4"/>
  <c r="W219" i="6"/>
  <c r="K219" i="4"/>
  <c r="K325" i="4"/>
  <c r="W325" i="6"/>
  <c r="W84" i="6"/>
  <c r="K84" i="4"/>
  <c r="K93" i="4"/>
  <c r="W93" i="6"/>
  <c r="K460" i="4"/>
  <c r="W460" i="6"/>
  <c r="W316" i="6"/>
  <c r="K316" i="4"/>
  <c r="W209" i="6"/>
  <c r="K209" i="4"/>
  <c r="W61" i="6"/>
  <c r="K61" i="4"/>
  <c r="W425" i="6"/>
  <c r="K425" i="4"/>
  <c r="W310" i="6"/>
  <c r="K310" i="4"/>
  <c r="W397" i="6"/>
  <c r="K397" i="4"/>
  <c r="W469" i="6"/>
  <c r="K469" i="4"/>
  <c r="K205" i="4"/>
  <c r="W205" i="6"/>
  <c r="K321" i="4"/>
  <c r="W321" i="6"/>
  <c r="K73" i="4"/>
  <c r="W73" i="6"/>
  <c r="K453" i="4"/>
  <c r="W453" i="6"/>
  <c r="W323" i="6"/>
  <c r="K323" i="4"/>
  <c r="K373" i="4"/>
  <c r="W373" i="6"/>
  <c r="W394" i="6"/>
  <c r="K394" i="4"/>
  <c r="W13" i="6"/>
  <c r="K13" i="4"/>
  <c r="W79" i="6"/>
  <c r="K79" i="4"/>
  <c r="W359" i="6"/>
  <c r="K359" i="4"/>
  <c r="AB359" i="9"/>
  <c r="K231" i="4"/>
  <c r="W231" i="6"/>
  <c r="W194" i="6"/>
  <c r="K194" i="4"/>
  <c r="W466" i="6"/>
  <c r="K466" i="4"/>
  <c r="K116" i="4"/>
  <c r="W116" i="6"/>
  <c r="J128" i="4"/>
  <c r="V128" i="6"/>
  <c r="O310" i="4"/>
  <c r="U310" i="6"/>
  <c r="P295" i="6"/>
  <c r="U103" i="6"/>
  <c r="O103" i="4"/>
  <c r="J187" i="4"/>
  <c r="V187" i="6"/>
  <c r="P187" i="6"/>
  <c r="J129" i="4"/>
  <c r="V129" i="6"/>
  <c r="AB129" i="8"/>
  <c r="O255" i="4"/>
  <c r="U255" i="6"/>
  <c r="P455" i="6"/>
  <c r="J31" i="4"/>
  <c r="V31" i="6"/>
  <c r="U31" i="6"/>
  <c r="O31" i="4"/>
  <c r="P17" i="6"/>
  <c r="U138" i="6"/>
  <c r="O138" i="4"/>
  <c r="J136" i="4"/>
  <c r="V136" i="6"/>
  <c r="U88" i="6"/>
  <c r="O88" i="4"/>
  <c r="U251" i="6"/>
  <c r="O251" i="4"/>
  <c r="J424" i="4"/>
  <c r="V424" i="6"/>
  <c r="J93" i="4"/>
  <c r="V93" i="6"/>
  <c r="AB93" i="8"/>
  <c r="U293" i="6"/>
  <c r="O293" i="4"/>
  <c r="O137" i="4"/>
  <c r="U137" i="6"/>
  <c r="J466" i="4"/>
  <c r="V466" i="6"/>
  <c r="U466" i="6"/>
  <c r="O466" i="4"/>
  <c r="O44" i="4"/>
  <c r="U44" i="6"/>
  <c r="P225" i="6"/>
  <c r="J116" i="4"/>
  <c r="V116" i="6"/>
  <c r="O116" i="4"/>
  <c r="U116" i="6"/>
  <c r="P384" i="6"/>
  <c r="P280" i="6"/>
  <c r="J230" i="4"/>
  <c r="L230" i="4" s="1"/>
  <c r="V230" i="6"/>
  <c r="X230" i="6" s="1"/>
  <c r="AB230" i="8"/>
  <c r="P461" i="6"/>
  <c r="J278" i="4"/>
  <c r="V278" i="6"/>
  <c r="J194" i="4"/>
  <c r="V194" i="6"/>
  <c r="X194" i="6" s="1"/>
  <c r="AB194" i="8"/>
  <c r="U392" i="6"/>
  <c r="O392" i="4"/>
  <c r="P314" i="6"/>
  <c r="J89" i="4"/>
  <c r="V89" i="6"/>
  <c r="AB89" i="8"/>
  <c r="J332" i="4"/>
  <c r="L332" i="4" s="1"/>
  <c r="AA332" i="4" s="1"/>
  <c r="V332" i="6"/>
  <c r="X332" i="6" s="1"/>
  <c r="P127" i="6"/>
  <c r="U485" i="6"/>
  <c r="O485" i="4"/>
  <c r="P485" i="6"/>
  <c r="O383" i="4"/>
  <c r="U383" i="6"/>
  <c r="P315" i="6"/>
  <c r="U248" i="6"/>
  <c r="O248" i="4"/>
  <c r="P56" i="6"/>
  <c r="J407" i="4"/>
  <c r="V407" i="6"/>
  <c r="O407" i="4"/>
  <c r="U407" i="6"/>
  <c r="J189" i="4"/>
  <c r="L189" i="4" s="1"/>
  <c r="AA189" i="4" s="1"/>
  <c r="V189" i="6"/>
  <c r="X189" i="6" s="1"/>
  <c r="V412" i="6"/>
  <c r="J412" i="4"/>
  <c r="AB412" i="8"/>
  <c r="U297" i="6"/>
  <c r="O297" i="4"/>
  <c r="P162" i="6"/>
  <c r="U152" i="6"/>
  <c r="O152" i="4"/>
  <c r="J114" i="4"/>
  <c r="V114" i="6"/>
  <c r="P114" i="6"/>
  <c r="U140" i="6"/>
  <c r="O140" i="4"/>
  <c r="V178" i="6"/>
  <c r="J178" i="4"/>
  <c r="O216" i="4"/>
  <c r="U216" i="6"/>
  <c r="J374" i="4"/>
  <c r="L374" i="4" s="1"/>
  <c r="V374" i="6"/>
  <c r="X374" i="6" s="1"/>
  <c r="P171" i="6"/>
  <c r="J328" i="4"/>
  <c r="V328" i="6"/>
  <c r="J76" i="4"/>
  <c r="L76" i="4" s="1"/>
  <c r="V76" i="6"/>
  <c r="X76" i="6" s="1"/>
  <c r="U191" i="6"/>
  <c r="O191" i="4"/>
  <c r="P388" i="6"/>
  <c r="J388" i="4"/>
  <c r="V388" i="6"/>
  <c r="J64" i="4"/>
  <c r="L64" i="4" s="1"/>
  <c r="V64" i="6"/>
  <c r="X64" i="6" s="1"/>
  <c r="P267" i="6"/>
  <c r="O396" i="4"/>
  <c r="U396" i="6"/>
  <c r="J119" i="4"/>
  <c r="L119" i="4" s="1"/>
  <c r="V119" i="6"/>
  <c r="X119" i="6" s="1"/>
  <c r="J180" i="4"/>
  <c r="V180" i="6"/>
  <c r="P322" i="6"/>
  <c r="P458" i="6"/>
  <c r="U491" i="6"/>
  <c r="O491" i="4"/>
  <c r="J348" i="4"/>
  <c r="V348" i="6"/>
  <c r="O348" i="4"/>
  <c r="U348" i="6"/>
  <c r="J14" i="4"/>
  <c r="V14" i="6"/>
  <c r="J335" i="4"/>
  <c r="V335" i="6"/>
  <c r="J157" i="4"/>
  <c r="V157" i="6"/>
  <c r="U157" i="6"/>
  <c r="O157" i="4"/>
  <c r="O268" i="4"/>
  <c r="U268" i="6"/>
  <c r="K94" i="4"/>
  <c r="W94" i="6"/>
  <c r="K442" i="4"/>
  <c r="W442" i="6"/>
  <c r="K66" i="4"/>
  <c r="W66" i="6"/>
  <c r="K221" i="4"/>
  <c r="W221" i="6"/>
  <c r="K236" i="4"/>
  <c r="W236" i="6"/>
  <c r="W243" i="6"/>
  <c r="K243" i="4"/>
  <c r="W167" i="6"/>
  <c r="K167" i="4"/>
  <c r="K412" i="4"/>
  <c r="W412" i="6"/>
  <c r="K431" i="4"/>
  <c r="W431" i="6"/>
  <c r="K207" i="4"/>
  <c r="W207" i="6"/>
  <c r="O493" i="6"/>
  <c r="O7" i="6"/>
  <c r="W304" i="6"/>
  <c r="K304" i="4"/>
  <c r="W89" i="6"/>
  <c r="K89" i="4"/>
  <c r="K196" i="4"/>
  <c r="W196" i="6"/>
  <c r="K327" i="4"/>
  <c r="W327" i="6"/>
  <c r="AB327" i="9"/>
  <c r="W31" i="6"/>
  <c r="K31" i="4"/>
  <c r="W96" i="6"/>
  <c r="K96" i="4"/>
  <c r="W312" i="6"/>
  <c r="K312" i="4"/>
  <c r="W163" i="6"/>
  <c r="K163" i="4"/>
  <c r="W21" i="6"/>
  <c r="K21" i="4"/>
  <c r="K52" i="4"/>
  <c r="W52" i="6"/>
  <c r="W244" i="6"/>
  <c r="K244" i="4"/>
  <c r="W426" i="6"/>
  <c r="K426" i="4"/>
  <c r="K47" i="4"/>
  <c r="W47" i="6"/>
  <c r="P403" i="6"/>
  <c r="J333" i="4"/>
  <c r="V333" i="6"/>
  <c r="AB333" i="8"/>
  <c r="P29" i="6"/>
  <c r="J287" i="4"/>
  <c r="V287" i="6"/>
  <c r="J323" i="4"/>
  <c r="L323" i="4" s="1"/>
  <c r="V323" i="6"/>
  <c r="P432" i="6"/>
  <c r="P125" i="6"/>
  <c r="J36" i="4"/>
  <c r="L36" i="4" s="1"/>
  <c r="V36" i="6"/>
  <c r="X36" i="6" s="1"/>
  <c r="P169" i="6"/>
  <c r="J285" i="4"/>
  <c r="V285" i="6"/>
  <c r="J250" i="4"/>
  <c r="L250" i="4" s="1"/>
  <c r="V250" i="6"/>
  <c r="X250" i="6" s="1"/>
  <c r="U338" i="6"/>
  <c r="O338" i="4"/>
  <c r="J263" i="4"/>
  <c r="L263" i="4" s="1"/>
  <c r="V263" i="6"/>
  <c r="X263" i="6" s="1"/>
  <c r="U263" i="6"/>
  <c r="O263" i="4"/>
  <c r="U288" i="6"/>
  <c r="O288" i="4"/>
  <c r="U380" i="6"/>
  <c r="O380" i="4"/>
  <c r="P464" i="6"/>
  <c r="P359" i="6"/>
  <c r="J362" i="4"/>
  <c r="V362" i="6"/>
  <c r="AB362" i="8"/>
  <c r="V161" i="6"/>
  <c r="J161" i="4"/>
  <c r="J366" i="4"/>
  <c r="V366" i="6"/>
  <c r="O326" i="4"/>
  <c r="U326" i="6"/>
  <c r="U16" i="6"/>
  <c r="O16" i="4"/>
  <c r="O271" i="4"/>
  <c r="U271" i="6"/>
  <c r="J139" i="4"/>
  <c r="V139" i="6"/>
  <c r="J421" i="4"/>
  <c r="L421" i="4" s="1"/>
  <c r="AA421" i="4" s="1"/>
  <c r="Z421" i="4" s="1"/>
  <c r="V421" i="6"/>
  <c r="U421" i="6"/>
  <c r="O421" i="4"/>
  <c r="U200" i="6"/>
  <c r="O200" i="4"/>
  <c r="J112" i="4"/>
  <c r="V112" i="6"/>
  <c r="J259" i="4"/>
  <c r="V259" i="6"/>
  <c r="AB259" i="8"/>
  <c r="P463" i="6"/>
  <c r="P284" i="6"/>
  <c r="J98" i="4"/>
  <c r="V98" i="6"/>
  <c r="X98" i="6" s="1"/>
  <c r="O361" i="4"/>
  <c r="U361" i="6"/>
  <c r="O79" i="4"/>
  <c r="U79" i="6"/>
  <c r="J84" i="4"/>
  <c r="V84" i="6"/>
  <c r="J47" i="4"/>
  <c r="V47" i="6"/>
  <c r="O47" i="4"/>
  <c r="U47" i="6"/>
  <c r="J147" i="4"/>
  <c r="L147" i="4" s="1"/>
  <c r="V147" i="6"/>
  <c r="X147" i="6" s="1"/>
  <c r="U147" i="6"/>
  <c r="O147" i="4"/>
  <c r="P133" i="6"/>
  <c r="O429" i="4"/>
  <c r="U429" i="6"/>
  <c r="U365" i="6"/>
  <c r="O365" i="4"/>
  <c r="J479" i="4"/>
  <c r="V479" i="6"/>
  <c r="U479" i="6"/>
  <c r="O479" i="4"/>
  <c r="U272" i="6"/>
  <c r="O272" i="4"/>
  <c r="P269" i="6"/>
  <c r="J467" i="4"/>
  <c r="L467" i="4" s="1"/>
  <c r="V467" i="6"/>
  <c r="X467" i="6" s="1"/>
  <c r="AB467" i="8"/>
  <c r="U488" i="6"/>
  <c r="O488" i="4"/>
  <c r="J452" i="4"/>
  <c r="L452" i="4" s="1"/>
  <c r="V452" i="6"/>
  <c r="X452" i="6" s="1"/>
  <c r="J33" i="4"/>
  <c r="V33" i="6"/>
  <c r="J83" i="4"/>
  <c r="L83" i="4" s="1"/>
  <c r="V83" i="6"/>
  <c r="X83" i="6" s="1"/>
  <c r="P249" i="6"/>
  <c r="J385" i="4"/>
  <c r="V385" i="6"/>
  <c r="O385" i="4"/>
  <c r="U385" i="6"/>
  <c r="P243" i="6"/>
  <c r="U217" i="6"/>
  <c r="O217" i="4"/>
  <c r="P381" i="6"/>
  <c r="J428" i="4"/>
  <c r="L428" i="4" s="1"/>
  <c r="V428" i="6"/>
  <c r="X428" i="6" s="1"/>
  <c r="AB428" i="8"/>
  <c r="U344" i="6"/>
  <c r="O344" i="4"/>
  <c r="P58" i="6"/>
  <c r="J438" i="4"/>
  <c r="L438" i="4" s="1"/>
  <c r="V438" i="6"/>
  <c r="X438" i="6" s="1"/>
  <c r="J92" i="4"/>
  <c r="L92" i="4" s="1"/>
  <c r="V92" i="6"/>
  <c r="X92" i="6" s="1"/>
  <c r="U63" i="6"/>
  <c r="O63" i="4"/>
  <c r="U151" i="6"/>
  <c r="O151" i="4"/>
  <c r="J193" i="4"/>
  <c r="V193" i="6"/>
  <c r="U423" i="6"/>
  <c r="O423" i="4"/>
  <c r="J264" i="4"/>
  <c r="L264" i="4" s="1"/>
  <c r="V264" i="6"/>
  <c r="X264" i="6" s="1"/>
  <c r="U264" i="6"/>
  <c r="O264" i="4"/>
  <c r="P397" i="6"/>
  <c r="P67" i="6"/>
  <c r="O73" i="4"/>
  <c r="U73" i="6"/>
  <c r="AB73" i="8"/>
  <c r="J487" i="4"/>
  <c r="V487" i="6"/>
  <c r="P185" i="6"/>
  <c r="P108" i="6"/>
  <c r="P70" i="6"/>
  <c r="O131" i="4"/>
  <c r="U131" i="6"/>
  <c r="P96" i="6"/>
  <c r="J20" i="4"/>
  <c r="L20" i="4" s="1"/>
  <c r="V20" i="6"/>
  <c r="X20" i="6" s="1"/>
  <c r="U20" i="6"/>
  <c r="O20" i="4"/>
  <c r="O484" i="4"/>
  <c r="U484" i="6"/>
  <c r="U400" i="6"/>
  <c r="O400" i="4"/>
  <c r="P246" i="6"/>
  <c r="J222" i="4"/>
  <c r="L222" i="4" s="1"/>
  <c r="V222" i="6"/>
  <c r="X222" i="6" s="1"/>
  <c r="U222" i="6"/>
  <c r="O222" i="4"/>
  <c r="K188" i="4"/>
  <c r="W188" i="6"/>
  <c r="W481" i="6"/>
  <c r="K481" i="4"/>
  <c r="W380" i="6"/>
  <c r="K380" i="4"/>
  <c r="K107" i="4"/>
  <c r="W107" i="6"/>
  <c r="K160" i="4"/>
  <c r="W160" i="6"/>
  <c r="AB160" i="9"/>
  <c r="K433" i="4"/>
  <c r="W433" i="6"/>
  <c r="W143" i="6"/>
  <c r="K143" i="4"/>
  <c r="W175" i="6"/>
  <c r="K175" i="4"/>
  <c r="K320" i="4"/>
  <c r="W320" i="6"/>
  <c r="K427" i="4"/>
  <c r="W427" i="6"/>
  <c r="K113" i="4"/>
  <c r="W113" i="6"/>
  <c r="K136" i="4"/>
  <c r="W136" i="6"/>
  <c r="K74" i="4"/>
  <c r="W74" i="6"/>
  <c r="W424" i="6"/>
  <c r="K424" i="4"/>
  <c r="AB177" i="9"/>
  <c r="AB471" i="9"/>
  <c r="AB75" i="9"/>
  <c r="K358" i="4"/>
  <c r="W358" i="6"/>
  <c r="K300" i="4"/>
  <c r="W300" i="6"/>
  <c r="W228" i="6"/>
  <c r="K228" i="4"/>
  <c r="K156" i="4"/>
  <c r="W156" i="6"/>
  <c r="AB156" i="9"/>
  <c r="K372" i="4"/>
  <c r="W372" i="6"/>
  <c r="K132" i="4"/>
  <c r="W132" i="6"/>
  <c r="K41" i="4"/>
  <c r="W41" i="6"/>
  <c r="AB159" i="9"/>
  <c r="W393" i="6"/>
  <c r="K393" i="4"/>
  <c r="K91" i="4"/>
  <c r="W91" i="6"/>
  <c r="AB91" i="9"/>
  <c r="W59" i="6"/>
  <c r="K59" i="4"/>
  <c r="W33" i="6"/>
  <c r="K33" i="4"/>
  <c r="W402" i="6"/>
  <c r="K402" i="4"/>
  <c r="W51" i="6"/>
  <c r="K51" i="4"/>
  <c r="K241" i="4"/>
  <c r="W241" i="6"/>
  <c r="K378" i="4"/>
  <c r="W378" i="6"/>
  <c r="W324" i="6"/>
  <c r="K324" i="4"/>
  <c r="W128" i="6"/>
  <c r="K128" i="4"/>
  <c r="K168" i="4"/>
  <c r="W168" i="6"/>
  <c r="W317" i="6"/>
  <c r="K317" i="4"/>
  <c r="W247" i="6"/>
  <c r="K247" i="4"/>
  <c r="J342" i="4"/>
  <c r="V342" i="6"/>
  <c r="U72" i="6"/>
  <c r="O72" i="4"/>
  <c r="U257" i="6"/>
  <c r="O257" i="4"/>
  <c r="J198" i="4"/>
  <c r="L198" i="4" s="1"/>
  <c r="V198" i="6"/>
  <c r="X198" i="6" s="1"/>
  <c r="U354" i="6"/>
  <c r="O354" i="4"/>
  <c r="AB354" i="8"/>
  <c r="U313" i="6"/>
  <c r="O313" i="4"/>
  <c r="AB72" i="8"/>
  <c r="V398" i="6"/>
  <c r="J398" i="4"/>
  <c r="AB398" i="8"/>
  <c r="J409" i="4"/>
  <c r="L409" i="4" s="1"/>
  <c r="V409" i="6"/>
  <c r="X409" i="6" s="1"/>
  <c r="U409" i="6"/>
  <c r="O409" i="4"/>
  <c r="J457" i="4"/>
  <c r="V457" i="6"/>
  <c r="O457" i="4"/>
  <c r="U457" i="6"/>
  <c r="J313" i="4"/>
  <c r="L313" i="4" s="1"/>
  <c r="AA313" i="4" s="1"/>
  <c r="V313" i="6"/>
  <c r="X313" i="6" s="1"/>
  <c r="AB313" i="8"/>
  <c r="AB468" i="8"/>
  <c r="O208" i="4"/>
  <c r="U208" i="6"/>
  <c r="J24" i="4"/>
  <c r="V24" i="6"/>
  <c r="O24" i="4"/>
  <c r="U24" i="6"/>
  <c r="O377" i="4"/>
  <c r="U377" i="6"/>
  <c r="U371" i="6"/>
  <c r="O371" i="4"/>
  <c r="J437" i="4"/>
  <c r="L437" i="4" s="1"/>
  <c r="V437" i="6"/>
  <c r="X437" i="6" s="1"/>
  <c r="AC437" i="6" s="1"/>
  <c r="O197" i="4"/>
  <c r="U197" i="6"/>
  <c r="J472" i="4"/>
  <c r="V472" i="6"/>
  <c r="U472" i="6"/>
  <c r="O472" i="4"/>
  <c r="U232" i="6"/>
  <c r="O232" i="4"/>
  <c r="O446" i="4"/>
  <c r="U446" i="6"/>
  <c r="J122" i="4"/>
  <c r="V122" i="6"/>
  <c r="AB122" i="8"/>
  <c r="U296" i="6"/>
  <c r="O296" i="4"/>
  <c r="J292" i="4"/>
  <c r="V292" i="6"/>
  <c r="J69" i="4"/>
  <c r="V69" i="6"/>
  <c r="O69" i="4"/>
  <c r="U69" i="6"/>
  <c r="J172" i="4"/>
  <c r="V172" i="6"/>
  <c r="U172" i="6"/>
  <c r="O172" i="4"/>
  <c r="J105" i="4"/>
  <c r="L105" i="4" s="1"/>
  <c r="V105" i="6"/>
  <c r="X105" i="6" s="1"/>
  <c r="O241" i="4"/>
  <c r="U241" i="6"/>
  <c r="J100" i="4"/>
  <c r="V100" i="6"/>
  <c r="K462" i="4"/>
  <c r="W462" i="6"/>
  <c r="W296" i="6"/>
  <c r="K296" i="4"/>
  <c r="O342" i="4"/>
  <c r="U342" i="6"/>
  <c r="J21" i="4"/>
  <c r="V21" i="6"/>
  <c r="O301" i="4"/>
  <c r="U301" i="6"/>
  <c r="J59" i="4"/>
  <c r="V59" i="6"/>
  <c r="U59" i="6"/>
  <c r="O59" i="4"/>
  <c r="AB42" i="8"/>
  <c r="J265" i="4"/>
  <c r="L265" i="4" s="1"/>
  <c r="V265" i="6"/>
  <c r="X265" i="6" s="1"/>
  <c r="AC265" i="6" s="1"/>
  <c r="J436" i="4"/>
  <c r="V436" i="6"/>
  <c r="AB436" i="8"/>
  <c r="AB257" i="8"/>
  <c r="P440" i="6"/>
  <c r="AB457" i="8"/>
  <c r="O270" i="4"/>
  <c r="U270" i="6"/>
  <c r="AB270" i="8"/>
  <c r="U198" i="6"/>
  <c r="O198" i="4"/>
  <c r="O97" i="4"/>
  <c r="U97" i="6"/>
  <c r="J346" i="4"/>
  <c r="V346" i="6"/>
  <c r="AB24" i="8"/>
  <c r="AB377" i="8"/>
  <c r="J175" i="4"/>
  <c r="V175" i="6"/>
  <c r="J28" i="4"/>
  <c r="V28" i="6"/>
  <c r="J303" i="4"/>
  <c r="V303" i="6"/>
  <c r="O303" i="4"/>
  <c r="U303" i="6"/>
  <c r="O405" i="4"/>
  <c r="U405" i="6"/>
  <c r="J382" i="4"/>
  <c r="L382" i="4" s="1"/>
  <c r="V382" i="6"/>
  <c r="X382" i="6" s="1"/>
  <c r="J240" i="4"/>
  <c r="V240" i="6"/>
  <c r="U77" i="6"/>
  <c r="O77" i="4"/>
  <c r="J155" i="4"/>
  <c r="V155" i="6"/>
  <c r="AB155" i="8"/>
  <c r="U368" i="6"/>
  <c r="O368" i="4"/>
  <c r="J204" i="4"/>
  <c r="L204" i="4" s="1"/>
  <c r="V204" i="6"/>
  <c r="X204" i="6" s="1"/>
  <c r="AB204" i="8"/>
  <c r="U483" i="6"/>
  <c r="O483" i="4"/>
  <c r="AB437" i="8"/>
  <c r="O130" i="4"/>
  <c r="U130" i="6"/>
  <c r="AB164" i="8"/>
  <c r="AB489" i="8"/>
  <c r="AB281" i="8"/>
  <c r="U234" i="6"/>
  <c r="O234" i="4"/>
  <c r="J223" i="4"/>
  <c r="L223" i="4" s="1"/>
  <c r="V223" i="6"/>
  <c r="X223" i="6" s="1"/>
  <c r="AC223" i="6" s="1"/>
  <c r="AE223" i="6" s="1"/>
  <c r="AB379" i="8"/>
  <c r="AB167" i="8"/>
  <c r="J30" i="4"/>
  <c r="V30" i="6"/>
  <c r="J474" i="4"/>
  <c r="L474" i="4" s="1"/>
  <c r="V474" i="6"/>
  <c r="X474" i="6" s="1"/>
  <c r="AB474" i="8"/>
  <c r="U401" i="6"/>
  <c r="O401" i="4"/>
  <c r="J197" i="4"/>
  <c r="L197" i="4" s="1"/>
  <c r="V197" i="6"/>
  <c r="X197" i="6" s="1"/>
  <c r="AB472" i="8"/>
  <c r="U447" i="6"/>
  <c r="O447" i="4"/>
  <c r="J289" i="4"/>
  <c r="L289" i="4" s="1"/>
  <c r="V289" i="6"/>
  <c r="X289" i="6" s="1"/>
  <c r="AB289" i="8"/>
  <c r="U54" i="6"/>
  <c r="O54" i="4"/>
  <c r="J358" i="4"/>
  <c r="V358" i="6"/>
  <c r="AB358" i="8"/>
  <c r="J422" i="4"/>
  <c r="V422" i="6"/>
  <c r="AB427" i="8"/>
  <c r="P357" i="6"/>
  <c r="J486" i="4"/>
  <c r="V486" i="6"/>
  <c r="AB486" i="8"/>
  <c r="AB179" i="8"/>
  <c r="U163" i="6"/>
  <c r="O163" i="4"/>
  <c r="O291" i="4"/>
  <c r="U291" i="6"/>
  <c r="J446" i="4"/>
  <c r="V446" i="6"/>
  <c r="J228" i="4"/>
  <c r="V228" i="6"/>
  <c r="AB228" i="8"/>
  <c r="AB41" i="8"/>
  <c r="O173" i="4"/>
  <c r="U173" i="6"/>
  <c r="V173" i="6"/>
  <c r="J173" i="4"/>
  <c r="U459" i="6"/>
  <c r="O459" i="4"/>
  <c r="J276" i="4"/>
  <c r="V276" i="6"/>
  <c r="AB276" i="8"/>
  <c r="V87" i="6"/>
  <c r="X87" i="6" s="1"/>
  <c r="J87" i="4"/>
  <c r="L87" i="4" s="1"/>
  <c r="U242" i="6"/>
  <c r="O242" i="4"/>
  <c r="O367" i="4"/>
  <c r="U367" i="6"/>
  <c r="J481" i="4"/>
  <c r="V481" i="6"/>
  <c r="J449" i="4"/>
  <c r="V449" i="6"/>
  <c r="U449" i="6"/>
  <c r="O449" i="4"/>
  <c r="O244" i="4"/>
  <c r="U244" i="6"/>
  <c r="AB105" i="8"/>
  <c r="U183" i="6"/>
  <c r="O183" i="4"/>
  <c r="AB229" i="8"/>
  <c r="J22" i="4"/>
  <c r="L22" i="4" s="1"/>
  <c r="V22" i="6"/>
  <c r="X22" i="6" s="1"/>
  <c r="O117" i="4"/>
  <c r="U117" i="6"/>
  <c r="J404" i="4"/>
  <c r="V404" i="6"/>
  <c r="O210" i="4"/>
  <c r="U210" i="6"/>
  <c r="J453" i="4"/>
  <c r="L453" i="4" s="1"/>
  <c r="V453" i="6"/>
  <c r="X453" i="6" s="1"/>
  <c r="AB100" i="8"/>
  <c r="J430" i="4"/>
  <c r="V430" i="6"/>
  <c r="P430" i="6"/>
  <c r="O144" i="4"/>
  <c r="U144" i="6"/>
  <c r="J451" i="4"/>
  <c r="V451" i="6"/>
  <c r="AB25" i="8"/>
  <c r="W348" i="6"/>
  <c r="K348" i="4"/>
  <c r="AB440" i="9"/>
  <c r="AB297" i="9"/>
  <c r="AB462" i="9"/>
  <c r="AB302" i="9"/>
  <c r="AB339" i="9"/>
  <c r="K272" i="4"/>
  <c r="W272" i="6"/>
  <c r="AB189" i="9"/>
  <c r="AB357" i="9"/>
  <c r="W286" i="6"/>
  <c r="K286" i="4"/>
  <c r="K488" i="4"/>
  <c r="W488" i="6"/>
  <c r="AB234" i="9"/>
  <c r="AB384" i="9"/>
  <c r="W256" i="6"/>
  <c r="K256" i="4"/>
  <c r="K268" i="4"/>
  <c r="W268" i="6"/>
  <c r="W407" i="6"/>
  <c r="K407" i="4"/>
  <c r="AB134" i="9"/>
  <c r="K306" i="4"/>
  <c r="W306" i="6"/>
  <c r="W249" i="6"/>
  <c r="K249" i="4"/>
  <c r="AB197" i="9"/>
  <c r="K212" i="4"/>
  <c r="W212" i="6"/>
  <c r="W90" i="6"/>
  <c r="K90" i="4"/>
  <c r="AB464" i="9"/>
  <c r="W155" i="6"/>
  <c r="K155" i="4"/>
  <c r="AB368" i="9"/>
  <c r="AB208" i="9"/>
  <c r="K43" i="4"/>
  <c r="W43" i="6"/>
  <c r="W266" i="6"/>
  <c r="K266" i="4"/>
  <c r="W458" i="6"/>
  <c r="K458" i="4"/>
  <c r="AB455" i="9"/>
  <c r="K314" i="4"/>
  <c r="W314" i="6"/>
  <c r="W227" i="6"/>
  <c r="K227" i="4"/>
  <c r="K170" i="4"/>
  <c r="W170" i="6"/>
  <c r="AB376" i="9"/>
  <c r="W416" i="6"/>
  <c r="K416" i="4"/>
  <c r="AB125" i="9"/>
  <c r="W334" i="6"/>
  <c r="K334" i="4"/>
  <c r="W468" i="6"/>
  <c r="K468" i="4"/>
  <c r="W46" i="6"/>
  <c r="K46" i="4"/>
  <c r="AB22" i="9"/>
  <c r="W457" i="6"/>
  <c r="K457" i="4"/>
  <c r="AB115" i="8"/>
  <c r="P50" i="6"/>
  <c r="J372" i="4"/>
  <c r="V372" i="6"/>
  <c r="O37" i="4"/>
  <c r="U37" i="6"/>
  <c r="J99" i="4"/>
  <c r="V99" i="6"/>
  <c r="U443" i="6"/>
  <c r="O443" i="4"/>
  <c r="AB443" i="8"/>
  <c r="AB132" i="8"/>
  <c r="J206" i="4"/>
  <c r="V206" i="6"/>
  <c r="O206" i="4"/>
  <c r="U206" i="6"/>
  <c r="U43" i="6"/>
  <c r="O43" i="4"/>
  <c r="AB340" i="8"/>
  <c r="O413" i="4"/>
  <c r="U413" i="6"/>
  <c r="U165" i="6"/>
  <c r="O165" i="4"/>
  <c r="J337" i="4"/>
  <c r="V337" i="6"/>
  <c r="O337" i="4"/>
  <c r="U337" i="6"/>
  <c r="O78" i="4"/>
  <c r="U78" i="6"/>
  <c r="U55" i="6"/>
  <c r="O55" i="4"/>
  <c r="J32" i="4"/>
  <c r="V32" i="6"/>
  <c r="N7" i="6"/>
  <c r="P12" i="6"/>
  <c r="N493" i="6"/>
  <c r="U65" i="6"/>
  <c r="O65" i="4"/>
  <c r="J308" i="4"/>
  <c r="L308" i="4" s="1"/>
  <c r="AA308" i="4" s="1"/>
  <c r="V308" i="6"/>
  <c r="X308" i="6" s="1"/>
  <c r="AC308" i="6" s="1"/>
  <c r="AC60" i="6"/>
  <c r="AE60" i="6" s="1"/>
  <c r="J394" i="4"/>
  <c r="L394" i="4" s="1"/>
  <c r="V394" i="6"/>
  <c r="X394" i="6" s="1"/>
  <c r="AB394" i="8"/>
  <c r="U375" i="6"/>
  <c r="O375" i="4"/>
  <c r="P260" i="6"/>
  <c r="O471" i="4"/>
  <c r="U471" i="6"/>
  <c r="AB95" i="8"/>
  <c r="J275" i="4"/>
  <c r="V275" i="6"/>
  <c r="AB266" i="8"/>
  <c r="AB408" i="8"/>
  <c r="P318" i="6"/>
  <c r="P220" i="6"/>
  <c r="U220" i="6"/>
  <c r="O220" i="4"/>
  <c r="P102" i="6"/>
  <c r="U192" i="6"/>
  <c r="O192" i="4"/>
  <c r="J465" i="4"/>
  <c r="V465" i="6"/>
  <c r="O465" i="4"/>
  <c r="U465" i="6"/>
  <c r="U341" i="6"/>
  <c r="O341" i="4"/>
  <c r="O211" i="4"/>
  <c r="U211" i="6"/>
  <c r="J311" i="4"/>
  <c r="V311" i="6"/>
  <c r="J304" i="4"/>
  <c r="V304" i="6"/>
  <c r="O199" i="4"/>
  <c r="U199" i="6"/>
  <c r="U415" i="6"/>
  <c r="O415" i="4"/>
  <c r="J57" i="4"/>
  <c r="V57" i="6"/>
  <c r="U61" i="6"/>
  <c r="O61" i="4"/>
  <c r="J154" i="4"/>
  <c r="V154" i="6"/>
  <c r="V425" i="6"/>
  <c r="X425" i="6" s="1"/>
  <c r="J425" i="4"/>
  <c r="L425" i="4" s="1"/>
  <c r="J226" i="4"/>
  <c r="L226" i="4" s="1"/>
  <c r="V226" i="6"/>
  <c r="X226" i="6" s="1"/>
  <c r="AB226" i="8"/>
  <c r="AB343" i="8"/>
  <c r="J279" i="4"/>
  <c r="V279" i="6"/>
  <c r="J309" i="4"/>
  <c r="V309" i="6"/>
  <c r="AB309" i="8"/>
  <c r="AB107" i="8"/>
  <c r="AB159" i="8"/>
  <c r="J214" i="4"/>
  <c r="L214" i="4" s="1"/>
  <c r="V214" i="6"/>
  <c r="X214" i="6" s="1"/>
  <c r="AB214" i="8"/>
  <c r="AB256" i="8"/>
  <c r="J39" i="4"/>
  <c r="V39" i="6"/>
  <c r="AB39" i="8"/>
  <c r="J170" i="4"/>
  <c r="V170" i="6"/>
  <c r="AB207" i="8"/>
  <c r="J233" i="4"/>
  <c r="V233" i="6"/>
  <c r="AB351" i="8"/>
  <c r="AB431" i="8"/>
  <c r="J411" i="4"/>
  <c r="V411" i="6"/>
  <c r="J113" i="4"/>
  <c r="V113" i="6"/>
  <c r="O113" i="4"/>
  <c r="U113" i="6"/>
  <c r="AB212" i="8"/>
  <c r="J441" i="4"/>
  <c r="V441" i="6"/>
  <c r="J181" i="4"/>
  <c r="L181" i="4" s="1"/>
  <c r="V181" i="6"/>
  <c r="X181" i="6" s="1"/>
  <c r="O181" i="4"/>
  <c r="U181" i="6"/>
  <c r="AB300" i="8"/>
  <c r="U478" i="6"/>
  <c r="O478" i="4"/>
  <c r="U274" i="6"/>
  <c r="O274" i="4"/>
  <c r="J23" i="4"/>
  <c r="L23" i="4" s="1"/>
  <c r="V23" i="6"/>
  <c r="X23" i="6" s="1"/>
  <c r="U23" i="6"/>
  <c r="O23" i="4"/>
  <c r="AB475" i="8"/>
  <c r="AB85" i="8"/>
  <c r="U492" i="6"/>
  <c r="O492" i="4"/>
  <c r="AB324" i="8"/>
  <c r="U286" i="6"/>
  <c r="O286" i="4"/>
  <c r="J49" i="4"/>
  <c r="V49" i="6"/>
  <c r="J150" i="4"/>
  <c r="L150" i="4" s="1"/>
  <c r="V150" i="6"/>
  <c r="X150" i="6" s="1"/>
  <c r="J148" i="4"/>
  <c r="L148" i="4" s="1"/>
  <c r="AA148" i="4" s="1"/>
  <c r="V148" i="6"/>
  <c r="X148" i="6" s="1"/>
  <c r="J90" i="4"/>
  <c r="V90" i="6"/>
  <c r="O13" i="4"/>
  <c r="U13" i="6"/>
  <c r="U34" i="6"/>
  <c r="O34" i="4"/>
  <c r="J81" i="4"/>
  <c r="V81" i="6"/>
  <c r="O81" i="4"/>
  <c r="U81" i="6"/>
  <c r="O353" i="4"/>
  <c r="U353" i="6"/>
  <c r="O399" i="4"/>
  <c r="U399" i="6"/>
  <c r="J166" i="4"/>
  <c r="L166" i="4" s="1"/>
  <c r="V166" i="6"/>
  <c r="X166" i="6" s="1"/>
  <c r="O94" i="4"/>
  <c r="U94" i="6"/>
  <c r="AB410" i="8"/>
  <c r="AB325" i="9"/>
  <c r="K476" i="4"/>
  <c r="W476" i="6"/>
  <c r="AB84" i="9"/>
  <c r="W386" i="6"/>
  <c r="K386" i="4"/>
  <c r="W354" i="6"/>
  <c r="K354" i="4"/>
  <c r="AB93" i="9"/>
  <c r="W142" i="6"/>
  <c r="K142" i="4"/>
  <c r="W295" i="6"/>
  <c r="K295" i="4"/>
  <c r="K195" i="4"/>
  <c r="W195" i="6"/>
  <c r="K200" i="4"/>
  <c r="W200" i="6"/>
  <c r="W192" i="6"/>
  <c r="K192" i="4"/>
  <c r="AB310" i="9"/>
  <c r="W145" i="6"/>
  <c r="K145" i="4"/>
  <c r="W279" i="6"/>
  <c r="K279" i="4"/>
  <c r="W274" i="6"/>
  <c r="K274" i="4"/>
  <c r="K417" i="4"/>
  <c r="W417" i="6"/>
  <c r="W162" i="6"/>
  <c r="K162" i="4"/>
  <c r="K199" i="4"/>
  <c r="W199" i="6"/>
  <c r="AB321" i="9"/>
  <c r="W491" i="6"/>
  <c r="K491" i="4"/>
  <c r="W187" i="6"/>
  <c r="K187" i="4"/>
  <c r="K366" i="4"/>
  <c r="W366" i="6"/>
  <c r="AB323" i="9"/>
  <c r="W333" i="6"/>
  <c r="K333" i="4"/>
  <c r="K309" i="4"/>
  <c r="W309" i="6"/>
  <c r="W346" i="6"/>
  <c r="K346" i="4"/>
  <c r="AB394" i="9"/>
  <c r="K120" i="4"/>
  <c r="W120" i="6"/>
  <c r="W140" i="6"/>
  <c r="K140" i="4"/>
  <c r="K30" i="4"/>
  <c r="W30" i="6"/>
  <c r="W379" i="6"/>
  <c r="K379" i="4"/>
  <c r="W381" i="6"/>
  <c r="K381" i="4"/>
  <c r="W77" i="6"/>
  <c r="K77" i="4"/>
  <c r="W14" i="6"/>
  <c r="K14" i="4"/>
  <c r="K400" i="4"/>
  <c r="W400" i="6"/>
  <c r="AB231" i="9"/>
  <c r="K34" i="4"/>
  <c r="W34" i="6"/>
  <c r="AB194" i="9"/>
  <c r="K456" i="4"/>
  <c r="W456" i="6"/>
  <c r="K461" i="4"/>
  <c r="W461" i="6"/>
  <c r="K287" i="4"/>
  <c r="W287" i="6"/>
  <c r="W67" i="6"/>
  <c r="K67" i="4"/>
  <c r="W139" i="6"/>
  <c r="K139" i="4"/>
  <c r="K154" i="4"/>
  <c r="W154" i="6"/>
  <c r="W25" i="6"/>
  <c r="K25" i="4"/>
  <c r="AB116" i="9"/>
  <c r="W70" i="6"/>
  <c r="K70" i="4"/>
  <c r="W436" i="6"/>
  <c r="K436" i="4"/>
  <c r="P80" i="6"/>
  <c r="J310" i="4"/>
  <c r="L310" i="4" s="1"/>
  <c r="V310" i="6"/>
  <c r="X310" i="6" s="1"/>
  <c r="P310" i="6"/>
  <c r="O482" i="4"/>
  <c r="U482" i="6"/>
  <c r="O295" i="4"/>
  <c r="U295" i="6"/>
  <c r="J103" i="4"/>
  <c r="V103" i="6"/>
  <c r="AB103" i="8"/>
  <c r="U202" i="6"/>
  <c r="O202" i="4"/>
  <c r="AB187" i="8"/>
  <c r="J305" i="4"/>
  <c r="V305" i="6"/>
  <c r="AB305" i="8"/>
  <c r="U129" i="6"/>
  <c r="O129" i="4"/>
  <c r="J255" i="4"/>
  <c r="V255" i="6"/>
  <c r="AB255" i="8"/>
  <c r="U160" i="6"/>
  <c r="O160" i="4"/>
  <c r="J126" i="4"/>
  <c r="V126" i="6"/>
  <c r="U420" i="6"/>
  <c r="O420" i="4"/>
  <c r="P470" i="6"/>
  <c r="J490" i="4"/>
  <c r="V490" i="6"/>
  <c r="J17" i="4"/>
  <c r="L17" i="4" s="1"/>
  <c r="V17" i="6"/>
  <c r="X17" i="6" s="1"/>
  <c r="O38" i="4"/>
  <c r="U38" i="6"/>
  <c r="AB138" i="8"/>
  <c r="U136" i="6"/>
  <c r="O136" i="4"/>
  <c r="J88" i="4"/>
  <c r="V88" i="6"/>
  <c r="AB88" i="8"/>
  <c r="U424" i="6"/>
  <c r="O424" i="4"/>
  <c r="J414" i="4"/>
  <c r="L414" i="4" s="1"/>
  <c r="V414" i="6"/>
  <c r="X414" i="6" s="1"/>
  <c r="O414" i="4"/>
  <c r="U414" i="6"/>
  <c r="P466" i="6"/>
  <c r="P44" i="6"/>
  <c r="AB44" i="8"/>
  <c r="J384" i="4"/>
  <c r="L384" i="4" s="1"/>
  <c r="V384" i="6"/>
  <c r="X384" i="6" s="1"/>
  <c r="P230" i="6"/>
  <c r="J373" i="4"/>
  <c r="L373" i="4" s="1"/>
  <c r="AA373" i="4" s="1"/>
  <c r="Z373" i="4" s="1"/>
  <c r="V373" i="6"/>
  <c r="X373" i="6" s="1"/>
  <c r="AB373" i="8"/>
  <c r="U261" i="6"/>
  <c r="O261" i="4"/>
  <c r="P174" i="6"/>
  <c r="J339" i="4"/>
  <c r="L339" i="4" s="1"/>
  <c r="AA339" i="4" s="1"/>
  <c r="V339" i="6"/>
  <c r="X339" i="6" s="1"/>
  <c r="O339" i="4"/>
  <c r="U339" i="6"/>
  <c r="P325" i="6"/>
  <c r="P194" i="6"/>
  <c r="P302" i="6"/>
  <c r="O302" i="4"/>
  <c r="U302" i="6"/>
  <c r="J213" i="4"/>
  <c r="L213" i="4" s="1"/>
  <c r="V213" i="6"/>
  <c r="X213" i="6" s="1"/>
  <c r="AC213" i="6" s="1"/>
  <c r="J314" i="4"/>
  <c r="V314" i="6"/>
  <c r="AB186" i="8"/>
  <c r="J120" i="4"/>
  <c r="V120" i="6"/>
  <c r="O120" i="4"/>
  <c r="U120" i="6"/>
  <c r="AB332" i="8"/>
  <c r="J383" i="4"/>
  <c r="L383" i="4" s="1"/>
  <c r="V383" i="6"/>
  <c r="X383" i="6" s="1"/>
  <c r="P383" i="6"/>
  <c r="AB315" i="8"/>
  <c r="P248" i="6"/>
  <c r="O56" i="4"/>
  <c r="U56" i="6"/>
  <c r="J121" i="4"/>
  <c r="L121" i="4" s="1"/>
  <c r="V121" i="6"/>
  <c r="X121" i="6" s="1"/>
  <c r="AB121" i="8"/>
  <c r="O277" i="4"/>
  <c r="U277" i="6"/>
  <c r="P189" i="6"/>
  <c r="O426" i="4"/>
  <c r="U426" i="6"/>
  <c r="J297" i="4"/>
  <c r="L297" i="4" s="1"/>
  <c r="V297" i="6"/>
  <c r="X297" i="6" s="1"/>
  <c r="AB297" i="8"/>
  <c r="U114" i="6"/>
  <c r="O114" i="4"/>
  <c r="J345" i="4"/>
  <c r="V345" i="6"/>
  <c r="O106" i="4"/>
  <c r="U106" i="6"/>
  <c r="O178" i="4"/>
  <c r="U178" i="6"/>
  <c r="AB317" i="8"/>
  <c r="U145" i="6"/>
  <c r="O145" i="4"/>
  <c r="J171" i="4"/>
  <c r="V171" i="6"/>
  <c r="AB171" i="8"/>
  <c r="O135" i="4"/>
  <c r="U135" i="6"/>
  <c r="P328" i="6"/>
  <c r="AC76" i="6"/>
  <c r="AE76" i="6" s="1"/>
  <c r="P191" i="6"/>
  <c r="O378" i="4"/>
  <c r="U378" i="6"/>
  <c r="AB388" i="8"/>
  <c r="AC64" i="6"/>
  <c r="AE64" i="6" s="1"/>
  <c r="O104" i="4"/>
  <c r="U104" i="6"/>
  <c r="J235" i="4"/>
  <c r="L235" i="4" s="1"/>
  <c r="AA235" i="4" s="1"/>
  <c r="V235" i="6"/>
  <c r="X235" i="6" s="1"/>
  <c r="O235" i="4"/>
  <c r="U235" i="6"/>
  <c r="P119" i="6"/>
  <c r="J322" i="4"/>
  <c r="V322" i="6"/>
  <c r="J176" i="4"/>
  <c r="V176" i="6"/>
  <c r="P439" i="6"/>
  <c r="AB458" i="8"/>
  <c r="J434" i="4"/>
  <c r="V434" i="6"/>
  <c r="O221" i="4"/>
  <c r="U221" i="6"/>
  <c r="P348" i="6"/>
  <c r="P14" i="6"/>
  <c r="AB75" i="8"/>
  <c r="AB335" i="8"/>
  <c r="J419" i="4"/>
  <c r="V419" i="6"/>
  <c r="AB419" i="8"/>
  <c r="P215" i="6"/>
  <c r="J268" i="4"/>
  <c r="V268" i="6"/>
  <c r="AB271" i="9"/>
  <c r="K480" i="4"/>
  <c r="W480" i="6"/>
  <c r="AB262" i="9"/>
  <c r="W95" i="6"/>
  <c r="K95" i="4"/>
  <c r="AB332" i="9"/>
  <c r="W115" i="6"/>
  <c r="K115" i="4"/>
  <c r="W257" i="6"/>
  <c r="K257" i="4"/>
  <c r="AB257" i="9"/>
  <c r="W487" i="6"/>
  <c r="K487" i="4"/>
  <c r="AB66" i="9"/>
  <c r="K375" i="4"/>
  <c r="W375" i="6"/>
  <c r="AB375" i="9"/>
  <c r="K246" i="4"/>
  <c r="W246" i="6"/>
  <c r="AB121" i="9"/>
  <c r="K472" i="4"/>
  <c r="W472" i="6"/>
  <c r="K361" i="4"/>
  <c r="W361" i="6"/>
  <c r="AB204" i="9"/>
  <c r="K193" i="4"/>
  <c r="W193" i="6"/>
  <c r="AB169" i="9"/>
  <c r="W161" i="6"/>
  <c r="K161" i="4"/>
  <c r="W278" i="6"/>
  <c r="K278" i="4"/>
  <c r="U493" i="9"/>
  <c r="U7" i="9"/>
  <c r="AB304" i="9"/>
  <c r="AB89" i="9"/>
  <c r="W277" i="6"/>
  <c r="K277" i="4"/>
  <c r="K151" i="4"/>
  <c r="W151" i="6"/>
  <c r="W124" i="6"/>
  <c r="K124" i="4"/>
  <c r="AB124" i="9"/>
  <c r="AB96" i="9"/>
  <c r="W69" i="6"/>
  <c r="K69" i="4"/>
  <c r="AB69" i="9"/>
  <c r="W292" i="6"/>
  <c r="K292" i="4"/>
  <c r="W283" i="6"/>
  <c r="K283" i="4"/>
  <c r="K405" i="4"/>
  <c r="W405" i="6"/>
  <c r="W299" i="6"/>
  <c r="K299" i="4"/>
  <c r="K344" i="4"/>
  <c r="W344" i="6"/>
  <c r="W224" i="6"/>
  <c r="K224" i="4"/>
  <c r="AB21" i="9"/>
  <c r="W32" i="6"/>
  <c r="K32" i="4"/>
  <c r="K233" i="4"/>
  <c r="W233" i="6"/>
  <c r="K345" i="4"/>
  <c r="W345" i="6"/>
  <c r="W343" i="6"/>
  <c r="K343" i="4"/>
  <c r="W340" i="6"/>
  <c r="K340" i="4"/>
  <c r="K447" i="4"/>
  <c r="W447" i="6"/>
  <c r="W444" i="6"/>
  <c r="K444" i="4"/>
  <c r="K449" i="4"/>
  <c r="W449" i="6"/>
  <c r="W38" i="6"/>
  <c r="K38" i="4"/>
  <c r="AB403" i="8"/>
  <c r="J62" i="4"/>
  <c r="L62" i="4" s="1"/>
  <c r="V62" i="6"/>
  <c r="X62" i="6" s="1"/>
  <c r="O62" i="4"/>
  <c r="U62" i="6"/>
  <c r="O393" i="4"/>
  <c r="U393" i="6"/>
  <c r="P287" i="6"/>
  <c r="J239" i="4"/>
  <c r="L239" i="4" s="1"/>
  <c r="AA239" i="4" s="1"/>
  <c r="V239" i="6"/>
  <c r="X239" i="6" s="1"/>
  <c r="P239" i="6"/>
  <c r="O219" i="4"/>
  <c r="U219" i="6"/>
  <c r="U355" i="6"/>
  <c r="O355" i="4"/>
  <c r="P323" i="6"/>
  <c r="AB323" i="8"/>
  <c r="P36" i="6"/>
  <c r="J71" i="4"/>
  <c r="V71" i="6"/>
  <c r="AB169" i="8"/>
  <c r="O285" i="4"/>
  <c r="U285" i="6"/>
  <c r="AB250" i="8"/>
  <c r="U262" i="6"/>
  <c r="O262" i="4"/>
  <c r="J338" i="4"/>
  <c r="L338" i="4" s="1"/>
  <c r="V338" i="6"/>
  <c r="X338" i="6" s="1"/>
  <c r="AC263" i="6"/>
  <c r="AE263" i="6" s="1"/>
  <c r="J476" i="4"/>
  <c r="V476" i="6"/>
  <c r="U476" i="6"/>
  <c r="O476" i="4"/>
  <c r="AB380" i="8"/>
  <c r="V464" i="6"/>
  <c r="X464" i="6" s="1"/>
  <c r="J464" i="4"/>
  <c r="L464" i="4" s="1"/>
  <c r="AA464" i="4" s="1"/>
  <c r="O464" i="4"/>
  <c r="U464" i="6"/>
  <c r="O143" i="4"/>
  <c r="U143" i="6"/>
  <c r="U362" i="6"/>
  <c r="O362" i="4"/>
  <c r="J469" i="4"/>
  <c r="L469" i="4" s="1"/>
  <c r="V469" i="6"/>
  <c r="X469" i="6" s="1"/>
  <c r="AB469" i="8"/>
  <c r="AB161" i="8"/>
  <c r="J247" i="4"/>
  <c r="L247" i="4" s="1"/>
  <c r="V247" i="6"/>
  <c r="P366" i="6"/>
  <c r="J149" i="4"/>
  <c r="V149" i="6"/>
  <c r="P326" i="6"/>
  <c r="P16" i="6"/>
  <c r="J271" i="4"/>
  <c r="L271" i="4" s="1"/>
  <c r="V271" i="6"/>
  <c r="X271" i="6" s="1"/>
  <c r="J454" i="4"/>
  <c r="L454" i="4" s="1"/>
  <c r="V454" i="6"/>
  <c r="X454" i="6" s="1"/>
  <c r="P454" i="6"/>
  <c r="O462" i="4"/>
  <c r="U462" i="6"/>
  <c r="AB139" i="8"/>
  <c r="P421" i="6"/>
  <c r="J386" i="4"/>
  <c r="L386" i="4" s="1"/>
  <c r="V386" i="6"/>
  <c r="O386" i="4"/>
  <c r="U386" i="6"/>
  <c r="J200" i="4"/>
  <c r="V200" i="6"/>
  <c r="AB112" i="8"/>
  <c r="J463" i="4"/>
  <c r="V463" i="6"/>
  <c r="AB201" i="8"/>
  <c r="U284" i="6"/>
  <c r="O284" i="4"/>
  <c r="U98" i="6"/>
  <c r="O98" i="4"/>
  <c r="P361" i="6"/>
  <c r="P47" i="6"/>
  <c r="O227" i="4"/>
  <c r="U227" i="6"/>
  <c r="J245" i="4"/>
  <c r="L245" i="4" s="1"/>
  <c r="V245" i="6"/>
  <c r="X245" i="6" s="1"/>
  <c r="P15" i="6"/>
  <c r="U133" i="6"/>
  <c r="O133" i="4"/>
  <c r="J231" i="4"/>
  <c r="L231" i="4" s="1"/>
  <c r="AA231" i="4" s="1"/>
  <c r="V231" i="6"/>
  <c r="X231" i="6" s="1"/>
  <c r="P66" i="6"/>
  <c r="P272" i="6"/>
  <c r="O467" i="4"/>
  <c r="U467" i="6"/>
  <c r="J488" i="4"/>
  <c r="V488" i="6"/>
  <c r="U33" i="6"/>
  <c r="O33" i="4"/>
  <c r="P141" i="6"/>
  <c r="U141" i="6"/>
  <c r="O141" i="4"/>
  <c r="O249" i="4"/>
  <c r="U249" i="6"/>
  <c r="AB385" i="8"/>
  <c r="J387" i="4"/>
  <c r="V387" i="6"/>
  <c r="O258" i="4"/>
  <c r="U258" i="6"/>
  <c r="AB110" i="8"/>
  <c r="AB391" i="8"/>
  <c r="U168" i="6"/>
  <c r="O168" i="4"/>
  <c r="J217" i="4"/>
  <c r="L217" i="4" s="1"/>
  <c r="V217" i="6"/>
  <c r="X217" i="6" s="1"/>
  <c r="J381" i="4"/>
  <c r="V381" i="6"/>
  <c r="AB381" i="8"/>
  <c r="U237" i="6"/>
  <c r="O237" i="4"/>
  <c r="O369" i="4"/>
  <c r="U369" i="6"/>
  <c r="P428" i="6"/>
  <c r="U376" i="6"/>
  <c r="O376" i="4"/>
  <c r="AB58" i="8"/>
  <c r="AC438" i="6"/>
  <c r="AE438" i="6" s="1"/>
  <c r="P92" i="6"/>
  <c r="O92" i="4"/>
  <c r="U92" i="6"/>
  <c r="P63" i="6"/>
  <c r="AB151" i="8"/>
  <c r="P193" i="6"/>
  <c r="J435" i="4"/>
  <c r="V435" i="6"/>
  <c r="U435" i="6"/>
  <c r="O435" i="4"/>
  <c r="V184" i="6"/>
  <c r="X184" i="6" s="1"/>
  <c r="J184" i="4"/>
  <c r="L184" i="4" s="1"/>
  <c r="O184" i="4"/>
  <c r="U184" i="6"/>
  <c r="O397" i="4"/>
  <c r="U397" i="6"/>
  <c r="AB67" i="8"/>
  <c r="AB487" i="8"/>
  <c r="O82" i="4"/>
  <c r="U82" i="6"/>
  <c r="AB185" i="8"/>
  <c r="U108" i="6"/>
  <c r="O108" i="4"/>
  <c r="J70" i="4"/>
  <c r="V70" i="6"/>
  <c r="O70" i="4"/>
  <c r="U70" i="6"/>
  <c r="J131" i="4"/>
  <c r="L131" i="4" s="1"/>
  <c r="V131" i="6"/>
  <c r="X131" i="6" s="1"/>
  <c r="U96" i="6"/>
  <c r="O96" i="4"/>
  <c r="P20" i="6"/>
  <c r="J484" i="4"/>
  <c r="L484" i="4" s="1"/>
  <c r="V484" i="6"/>
  <c r="X484" i="6" s="1"/>
  <c r="AB484" i="8"/>
  <c r="P222" i="6"/>
  <c r="J330" i="4"/>
  <c r="V330" i="6"/>
  <c r="O330" i="4"/>
  <c r="U330" i="6"/>
  <c r="K216" i="4"/>
  <c r="W216" i="6"/>
  <c r="AB188" i="9"/>
  <c r="K103" i="4"/>
  <c r="W103" i="6"/>
  <c r="AB291" i="9"/>
  <c r="AB158" i="9"/>
  <c r="W404" i="6"/>
  <c r="K404" i="4"/>
  <c r="AB481" i="9"/>
  <c r="AB107" i="9"/>
  <c r="K112" i="4"/>
  <c r="W112" i="6"/>
  <c r="K422" i="4"/>
  <c r="W422" i="6"/>
  <c r="AB143" i="9"/>
  <c r="AB147" i="9"/>
  <c r="AB320" i="9"/>
  <c r="AB105" i="9"/>
  <c r="K353" i="4"/>
  <c r="W353" i="6"/>
  <c r="AB427" i="9"/>
  <c r="AB146" i="9"/>
  <c r="AB136" i="9"/>
  <c r="AB406" i="9"/>
  <c r="K415" i="4"/>
  <c r="W415" i="6"/>
  <c r="W81" i="6"/>
  <c r="K81" i="4"/>
  <c r="K176" i="4"/>
  <c r="W176" i="6"/>
  <c r="K288" i="4"/>
  <c r="W288" i="6"/>
  <c r="K371" i="4"/>
  <c r="W371" i="6"/>
  <c r="W255" i="6"/>
  <c r="K255" i="4"/>
  <c r="K411" i="4"/>
  <c r="W411" i="6"/>
  <c r="AB411" i="9"/>
  <c r="AB83" i="9"/>
  <c r="W355" i="6"/>
  <c r="K355" i="4"/>
  <c r="W138" i="6"/>
  <c r="K138" i="4"/>
  <c r="AB372" i="9"/>
  <c r="AB482" i="9"/>
  <c r="W123" i="6"/>
  <c r="K123" i="4"/>
  <c r="AB132" i="9"/>
  <c r="AB41" i="9"/>
  <c r="W363" i="6"/>
  <c r="K363" i="4"/>
  <c r="AB393" i="9"/>
  <c r="K242" i="4"/>
  <c r="W242" i="6"/>
  <c r="W144" i="6"/>
  <c r="K144" i="4"/>
  <c r="K392" i="4"/>
  <c r="W392" i="6"/>
  <c r="AB51" i="9"/>
  <c r="AB324" i="9"/>
  <c r="AB307" i="9"/>
  <c r="AB473" i="9"/>
  <c r="W337" i="6"/>
  <c r="K337" i="4"/>
  <c r="AB250" i="9"/>
  <c r="W349" i="6"/>
  <c r="K349" i="4"/>
  <c r="W311" i="6"/>
  <c r="K311" i="4"/>
  <c r="W446" i="6"/>
  <c r="K446" i="4"/>
  <c r="W396" i="6"/>
  <c r="K396" i="4"/>
  <c r="W477" i="6"/>
  <c r="K477" i="4"/>
  <c r="K385" i="4"/>
  <c r="W385" i="6"/>
  <c r="K240" i="4"/>
  <c r="W240" i="6"/>
  <c r="AB240" i="9"/>
  <c r="K149" i="4"/>
  <c r="W149" i="6"/>
  <c r="AB23" i="9"/>
  <c r="AB317" i="9"/>
  <c r="W342" i="6"/>
  <c r="K342" i="4"/>
  <c r="W28" i="6"/>
  <c r="K28" i="4"/>
  <c r="AB55" i="9"/>
  <c r="W110" i="6"/>
  <c r="K110" i="4"/>
  <c r="AB76" i="9"/>
  <c r="AC42" i="6"/>
  <c r="AE42" i="6" s="1"/>
  <c r="U436" i="6"/>
  <c r="O436" i="4"/>
  <c r="J416" i="4"/>
  <c r="L416" i="4" s="1"/>
  <c r="V416" i="6"/>
  <c r="X416" i="6" s="1"/>
  <c r="O416" i="4"/>
  <c r="U416" i="6"/>
  <c r="AC382" i="6"/>
  <c r="AE382" i="6" s="1"/>
  <c r="AC368" i="6"/>
  <c r="AE368" i="6" s="1"/>
  <c r="U204" i="6"/>
  <c r="O204" i="4"/>
  <c r="J483" i="4"/>
  <c r="V483" i="6"/>
  <c r="U203" i="6"/>
  <c r="O203" i="4"/>
  <c r="J130" i="4"/>
  <c r="L130" i="4" s="1"/>
  <c r="V130" i="6"/>
  <c r="X130" i="6" s="1"/>
  <c r="J153" i="4"/>
  <c r="V153" i="6"/>
  <c r="O153" i="4"/>
  <c r="U153" i="6"/>
  <c r="O164" i="4"/>
  <c r="U164" i="6"/>
  <c r="U489" i="6"/>
  <c r="O489" i="4"/>
  <c r="U281" i="6"/>
  <c r="O281" i="4"/>
  <c r="J234" i="4"/>
  <c r="L234" i="4" s="1"/>
  <c r="V234" i="6"/>
  <c r="X234" i="6" s="1"/>
  <c r="AC474" i="6"/>
  <c r="AE474" i="6" s="1"/>
  <c r="J401" i="4"/>
  <c r="V401" i="6"/>
  <c r="AB401" i="8"/>
  <c r="J447" i="4"/>
  <c r="L447" i="4" s="1"/>
  <c r="V447" i="6"/>
  <c r="J156" i="4"/>
  <c r="L156" i="4" s="1"/>
  <c r="V156" i="6"/>
  <c r="X156" i="6" s="1"/>
  <c r="AC156" i="6" s="1"/>
  <c r="AB156" i="8"/>
  <c r="U360" i="6"/>
  <c r="O360" i="4"/>
  <c r="O195" i="4"/>
  <c r="U195" i="6"/>
  <c r="U289" i="6"/>
  <c r="O289" i="4"/>
  <c r="V54" i="6"/>
  <c r="X54" i="6" s="1"/>
  <c r="AC54" i="6" s="1"/>
  <c r="J54" i="4"/>
  <c r="L54" i="4" s="1"/>
  <c r="J402" i="4"/>
  <c r="L402" i="4" s="1"/>
  <c r="V402" i="6"/>
  <c r="X402" i="6" s="1"/>
  <c r="AC402" i="6" s="1"/>
  <c r="J86" i="4"/>
  <c r="L86" i="4" s="1"/>
  <c r="V86" i="6"/>
  <c r="X86" i="6" s="1"/>
  <c r="AC86" i="6" s="1"/>
  <c r="AB163" i="8"/>
  <c r="J232" i="4"/>
  <c r="L232" i="4" s="1"/>
  <c r="V232" i="6"/>
  <c r="X232" i="6" s="1"/>
  <c r="AC232" i="6" s="1"/>
  <c r="AB232" i="8"/>
  <c r="U122" i="6"/>
  <c r="O122" i="4"/>
  <c r="J296" i="4"/>
  <c r="L296" i="4" s="1"/>
  <c r="V296" i="6"/>
  <c r="X296" i="6" s="1"/>
  <c r="O41" i="4"/>
  <c r="U41" i="6"/>
  <c r="O312" i="4"/>
  <c r="U312" i="6"/>
  <c r="U142" i="6"/>
  <c r="O142" i="4"/>
  <c r="AB142" i="8"/>
  <c r="AB460" i="8"/>
  <c r="O87" i="4"/>
  <c r="U87" i="6"/>
  <c r="J18" i="4"/>
  <c r="V18" i="6"/>
  <c r="U18" i="6"/>
  <c r="O18" i="4"/>
  <c r="AB292" i="8"/>
  <c r="AB69" i="8"/>
  <c r="J244" i="4"/>
  <c r="L244" i="4" s="1"/>
  <c r="AA244" i="4" s="1"/>
  <c r="V244" i="6"/>
  <c r="X244" i="6" s="1"/>
  <c r="AB244" i="8"/>
  <c r="AB172" i="8"/>
  <c r="U105" i="6"/>
  <c r="O105" i="4"/>
  <c r="J183" i="4"/>
  <c r="V183" i="6"/>
  <c r="O229" i="4"/>
  <c r="U229" i="6"/>
  <c r="AB22" i="8"/>
  <c r="J117" i="4"/>
  <c r="V117" i="6"/>
  <c r="U453" i="6"/>
  <c r="O453" i="4"/>
  <c r="J352" i="4"/>
  <c r="V352" i="6"/>
  <c r="AB352" i="8"/>
  <c r="AB241" i="8"/>
  <c r="O430" i="4"/>
  <c r="U430" i="6"/>
  <c r="J433" i="4"/>
  <c r="L433" i="4" s="1"/>
  <c r="V433" i="6"/>
  <c r="X433" i="6" s="1"/>
  <c r="U433" i="6"/>
  <c r="O433" i="4"/>
  <c r="AB451" i="8"/>
  <c r="U25" i="6"/>
  <c r="O25" i="4"/>
  <c r="AB225" i="9"/>
  <c r="AB98" i="9"/>
  <c r="W141" i="6"/>
  <c r="K141" i="4"/>
  <c r="K303" i="4"/>
  <c r="W303" i="6"/>
  <c r="AB338" i="9"/>
  <c r="AB102" i="9"/>
  <c r="AB296" i="9"/>
  <c r="K173" i="4"/>
  <c r="W173" i="6"/>
  <c r="K391" i="4"/>
  <c r="W391" i="6"/>
  <c r="W335" i="6"/>
  <c r="K335" i="4"/>
  <c r="AB229" i="9"/>
  <c r="W72" i="6"/>
  <c r="K72" i="4"/>
  <c r="AB328" i="9"/>
  <c r="K362" i="4"/>
  <c r="W362" i="6"/>
  <c r="AB63" i="9"/>
  <c r="W439" i="6"/>
  <c r="K439" i="4"/>
  <c r="K490" i="4"/>
  <c r="W490" i="6"/>
  <c r="K18" i="4"/>
  <c r="W18" i="6"/>
  <c r="W270" i="6"/>
  <c r="K270" i="4"/>
  <c r="K248" i="4"/>
  <c r="W248" i="6"/>
  <c r="K418" i="4"/>
  <c r="W418" i="6"/>
  <c r="K448" i="4"/>
  <c r="W448" i="6"/>
  <c r="AB377" i="9"/>
  <c r="W122" i="6"/>
  <c r="K122" i="4"/>
  <c r="W260" i="6"/>
  <c r="K260" i="4"/>
  <c r="AB44" i="9"/>
  <c r="W347" i="6"/>
  <c r="K347" i="4"/>
  <c r="AB133" i="9"/>
  <c r="K483" i="4"/>
  <c r="W483" i="6"/>
  <c r="W465" i="6"/>
  <c r="K465" i="4"/>
  <c r="K210" i="4"/>
  <c r="W210" i="6"/>
  <c r="AB484" i="9"/>
  <c r="K322" i="4"/>
  <c r="W322" i="6"/>
  <c r="K202" i="4"/>
  <c r="W202" i="6"/>
  <c r="W430" i="6"/>
  <c r="K430" i="4"/>
  <c r="AB191" i="9"/>
  <c r="K71" i="4"/>
  <c r="W71" i="6"/>
  <c r="AB198" i="9"/>
  <c r="W127" i="6"/>
  <c r="K127" i="4"/>
  <c r="W479" i="6"/>
  <c r="K479" i="4"/>
  <c r="AB428" i="9"/>
  <c r="AB179" i="9"/>
  <c r="O115" i="4"/>
  <c r="U115" i="6"/>
  <c r="AB50" i="8"/>
  <c r="V418" i="6"/>
  <c r="J418" i="4"/>
  <c r="O99" i="4"/>
  <c r="U99" i="6"/>
  <c r="J190" i="4"/>
  <c r="V190" i="6"/>
  <c r="AB190" i="8"/>
  <c r="U329" i="6"/>
  <c r="AC329" i="6" s="1"/>
  <c r="O329" i="4"/>
  <c r="J111" i="4"/>
  <c r="L111" i="4" s="1"/>
  <c r="V111" i="6"/>
  <c r="X111" i="6" s="1"/>
  <c r="AC111" i="6" s="1"/>
  <c r="J53" i="4"/>
  <c r="L53" i="4" s="1"/>
  <c r="V53" i="6"/>
  <c r="X53" i="6" s="1"/>
  <c r="P413" i="6"/>
  <c r="J299" i="4"/>
  <c r="L299" i="4" s="1"/>
  <c r="V299" i="6"/>
  <c r="J209" i="4"/>
  <c r="L209" i="4" s="1"/>
  <c r="V209" i="6"/>
  <c r="X209" i="6" s="1"/>
  <c r="O209" i="4"/>
  <c r="U209" i="6"/>
  <c r="J55" i="4"/>
  <c r="L55" i="4" s="1"/>
  <c r="V55" i="6"/>
  <c r="X55" i="6" s="1"/>
  <c r="U32" i="6"/>
  <c r="O32" i="4"/>
  <c r="J19" i="4"/>
  <c r="L19" i="4" s="1"/>
  <c r="V19" i="6"/>
  <c r="X19" i="6" s="1"/>
  <c r="J12" i="4"/>
  <c r="Q493" i="8"/>
  <c r="Q7" i="8" s="1"/>
  <c r="V12" i="6"/>
  <c r="J347" i="4"/>
  <c r="V347" i="6"/>
  <c r="AB308" i="8"/>
  <c r="AB60" i="8"/>
  <c r="J306" i="4"/>
  <c r="V306" i="6"/>
  <c r="X306" i="6" s="1"/>
  <c r="O306" i="4"/>
  <c r="U306" i="6"/>
  <c r="U442" i="6"/>
  <c r="O442" i="4"/>
  <c r="O123" i="4"/>
  <c r="U123" i="6"/>
  <c r="J182" i="4"/>
  <c r="V182" i="6"/>
  <c r="J283" i="4"/>
  <c r="L283" i="4" s="1"/>
  <c r="AA283" i="4" s="1"/>
  <c r="V283" i="6"/>
  <c r="O370" i="4"/>
  <c r="U370" i="6"/>
  <c r="U394" i="6"/>
  <c r="O394" i="4"/>
  <c r="J471" i="4"/>
  <c r="L471" i="4" s="1"/>
  <c r="V471" i="6"/>
  <c r="X471" i="6" s="1"/>
  <c r="O95" i="4"/>
  <c r="U95" i="6"/>
  <c r="P266" i="6"/>
  <c r="J48" i="4"/>
  <c r="V48" i="6"/>
  <c r="AB48" i="8"/>
  <c r="J220" i="4"/>
  <c r="L220" i="4" s="1"/>
  <c r="V220" i="6"/>
  <c r="X220" i="6" s="1"/>
  <c r="J101" i="4"/>
  <c r="V101" i="6"/>
  <c r="AB192" i="8"/>
  <c r="J341" i="4"/>
  <c r="L341" i="4" s="1"/>
  <c r="AA341" i="4" s="1"/>
  <c r="V341" i="6"/>
  <c r="X341" i="6" s="1"/>
  <c r="AB304" i="8"/>
  <c r="J316" i="4"/>
  <c r="L316" i="4" s="1"/>
  <c r="V316" i="6"/>
  <c r="X316" i="6" s="1"/>
  <c r="U316" i="6"/>
  <c r="O316" i="4"/>
  <c r="AB52" i="8"/>
  <c r="J199" i="4"/>
  <c r="V199" i="6"/>
  <c r="X199" i="6" s="1"/>
  <c r="AC199" i="6" s="1"/>
  <c r="J415" i="4"/>
  <c r="V415" i="6"/>
  <c r="P334" i="6"/>
  <c r="O334" i="4"/>
  <c r="U334" i="6"/>
  <c r="AB321" i="8"/>
  <c r="AB57" i="8"/>
  <c r="AB425" i="8"/>
  <c r="AC226" i="6"/>
  <c r="AE226" i="6" s="1"/>
  <c r="U343" i="6"/>
  <c r="O343" i="4"/>
  <c r="AB205" i="8"/>
  <c r="AB254" i="8"/>
  <c r="U214" i="6"/>
  <c r="O214" i="4"/>
  <c r="J35" i="4"/>
  <c r="V35" i="6"/>
  <c r="O256" i="4"/>
  <c r="U256" i="6"/>
  <c r="O91" i="4"/>
  <c r="U91" i="6"/>
  <c r="P170" i="6"/>
  <c r="AB170" i="8"/>
  <c r="U207" i="6"/>
  <c r="O207" i="4"/>
  <c r="O351" i="4"/>
  <c r="U351" i="6"/>
  <c r="J146" i="4"/>
  <c r="L146" i="4" s="1"/>
  <c r="V146" i="6"/>
  <c r="X146" i="6" s="1"/>
  <c r="AB146" i="8"/>
  <c r="O212" i="4"/>
  <c r="U212" i="6"/>
  <c r="AC181" i="6"/>
  <c r="AE181" i="6" s="1"/>
  <c r="O300" i="4"/>
  <c r="U300" i="6"/>
  <c r="AB274" i="8"/>
  <c r="U331" i="6"/>
  <c r="O331" i="4"/>
  <c r="U475" i="6"/>
  <c r="O475" i="4"/>
  <c r="AB477" i="8"/>
  <c r="O85" i="4"/>
  <c r="U85" i="6"/>
  <c r="J492" i="4"/>
  <c r="L492" i="4" s="1"/>
  <c r="V492" i="6"/>
  <c r="X492" i="6" s="1"/>
  <c r="O324" i="4"/>
  <c r="U324" i="6"/>
  <c r="AB286" i="8"/>
  <c r="U150" i="6"/>
  <c r="O150" i="4"/>
  <c r="J158" i="4"/>
  <c r="L158" i="4" s="1"/>
  <c r="V158" i="6"/>
  <c r="X158" i="6" s="1"/>
  <c r="AC158" i="6" s="1"/>
  <c r="U90" i="6"/>
  <c r="O90" i="4"/>
  <c r="J13" i="4"/>
  <c r="L13" i="4" s="1"/>
  <c r="V13" i="6"/>
  <c r="X13" i="6" s="1"/>
  <c r="O118" i="4"/>
  <c r="U118" i="6"/>
  <c r="J188" i="4"/>
  <c r="L188" i="4" s="1"/>
  <c r="V188" i="6"/>
  <c r="X188" i="6" s="1"/>
  <c r="AC188" i="6" s="1"/>
  <c r="AB399" i="8"/>
  <c r="U166" i="6"/>
  <c r="O166" i="4"/>
  <c r="J94" i="4"/>
  <c r="L94" i="4" s="1"/>
  <c r="V94" i="6"/>
  <c r="X94" i="6" s="1"/>
  <c r="P410" i="6"/>
  <c r="K45" i="4"/>
  <c r="W45" i="6"/>
  <c r="W401" i="6"/>
  <c r="K401" i="4"/>
  <c r="K285" i="4"/>
  <c r="W285" i="6"/>
  <c r="AB219" i="9"/>
  <c r="W56" i="6"/>
  <c r="K56" i="4"/>
  <c r="K463" i="4"/>
  <c r="W463" i="6"/>
  <c r="W410" i="6"/>
  <c r="K410" i="4"/>
  <c r="K352" i="4"/>
  <c r="W352" i="6"/>
  <c r="K171" i="4"/>
  <c r="W171" i="6"/>
  <c r="W80" i="6"/>
  <c r="K80" i="4"/>
  <c r="K267" i="4"/>
  <c r="W267" i="6"/>
  <c r="AB267" i="9"/>
  <c r="W78" i="6"/>
  <c r="K78" i="4"/>
  <c r="W388" i="6"/>
  <c r="K388" i="4"/>
  <c r="AB425" i="9"/>
  <c r="W206" i="6"/>
  <c r="K206" i="4"/>
  <c r="W16" i="6"/>
  <c r="K16" i="4"/>
  <c r="W356" i="6"/>
  <c r="K356" i="4"/>
  <c r="AB469" i="9"/>
  <c r="AB205" i="9"/>
  <c r="AB453" i="9"/>
  <c r="W399" i="6"/>
  <c r="K399" i="4"/>
  <c r="AB373" i="9"/>
  <c r="W101" i="6"/>
  <c r="K101" i="4"/>
  <c r="K305" i="4"/>
  <c r="W305" i="6"/>
  <c r="AB13" i="9"/>
  <c r="K315" i="4"/>
  <c r="W315" i="6"/>
  <c r="AB466" i="9"/>
  <c r="K435" i="4"/>
  <c r="W435" i="6"/>
  <c r="W114" i="6"/>
  <c r="K114" i="4"/>
  <c r="K24" i="4"/>
  <c r="W24" i="6"/>
  <c r="K423" i="4"/>
  <c r="W423" i="6"/>
  <c r="K108" i="4"/>
  <c r="W108" i="6"/>
  <c r="W40" i="6"/>
  <c r="K40" i="4"/>
  <c r="O128" i="4"/>
  <c r="U128" i="6"/>
  <c r="AB310" i="8"/>
  <c r="J482" i="4"/>
  <c r="L482" i="4" s="1"/>
  <c r="V482" i="6"/>
  <c r="X482" i="6" s="1"/>
  <c r="AC482" i="6" s="1"/>
  <c r="AB482" i="8"/>
  <c r="J364" i="4"/>
  <c r="L364" i="4" s="1"/>
  <c r="V364" i="6"/>
  <c r="X364" i="6" s="1"/>
  <c r="P202" i="6"/>
  <c r="O305" i="4"/>
  <c r="U305" i="6"/>
  <c r="O336" i="4"/>
  <c r="U336" i="6"/>
  <c r="AB336" i="8"/>
  <c r="J470" i="4"/>
  <c r="L470" i="4" s="1"/>
  <c r="V470" i="6"/>
  <c r="X470" i="6" s="1"/>
  <c r="O470" i="4"/>
  <c r="U470" i="6"/>
  <c r="J251" i="4"/>
  <c r="V251" i="6"/>
  <c r="P93" i="6"/>
  <c r="J293" i="4"/>
  <c r="L293" i="4" s="1"/>
  <c r="V293" i="6"/>
  <c r="X293" i="6" s="1"/>
  <c r="J252" i="4"/>
  <c r="L252" i="4" s="1"/>
  <c r="V252" i="6"/>
  <c r="X252" i="6" s="1"/>
  <c r="AC252" i="6" s="1"/>
  <c r="J68" i="4"/>
  <c r="V68" i="6"/>
  <c r="O68" i="4"/>
  <c r="U68" i="6"/>
  <c r="U280" i="6"/>
  <c r="O280" i="4"/>
  <c r="U230" i="6"/>
  <c r="O230" i="4"/>
  <c r="P373" i="6"/>
  <c r="J461" i="4"/>
  <c r="L461" i="4" s="1"/>
  <c r="V461" i="6"/>
  <c r="X461" i="6" s="1"/>
  <c r="J261" i="4"/>
  <c r="L261" i="4" s="1"/>
  <c r="V261" i="6"/>
  <c r="X261" i="6" s="1"/>
  <c r="J174" i="4"/>
  <c r="L174" i="4" s="1"/>
  <c r="V174" i="6"/>
  <c r="X174" i="6" s="1"/>
  <c r="P339" i="6"/>
  <c r="J325" i="4"/>
  <c r="L325" i="4" s="1"/>
  <c r="AA325" i="4" s="1"/>
  <c r="V325" i="6"/>
  <c r="X325" i="6" s="1"/>
  <c r="O325" i="4"/>
  <c r="U325" i="6"/>
  <c r="O278" i="4"/>
  <c r="U278" i="6"/>
  <c r="J302" i="4"/>
  <c r="L302" i="4" s="1"/>
  <c r="V302" i="6"/>
  <c r="X302" i="6" s="1"/>
  <c r="O236" i="4"/>
  <c r="U236" i="6"/>
  <c r="AB236" i="8"/>
  <c r="AB392" i="8"/>
  <c r="O314" i="4"/>
  <c r="U314" i="6"/>
  <c r="J390" i="4"/>
  <c r="V390" i="6"/>
  <c r="O390" i="4"/>
  <c r="U390" i="6"/>
  <c r="P120" i="6"/>
  <c r="AC332" i="6"/>
  <c r="AE332" i="6" s="1"/>
  <c r="U127" i="6"/>
  <c r="O127" i="4"/>
  <c r="J485" i="4"/>
  <c r="L485" i="4" s="1"/>
  <c r="V485" i="6"/>
  <c r="X485" i="6" s="1"/>
  <c r="AB383" i="8"/>
  <c r="O315" i="4"/>
  <c r="U315" i="6"/>
  <c r="U121" i="6"/>
  <c r="O121" i="4"/>
  <c r="U282" i="6"/>
  <c r="O282" i="4"/>
  <c r="AB407" i="8"/>
  <c r="J273" i="4"/>
  <c r="V273" i="6"/>
  <c r="AB189" i="8"/>
  <c r="U412" i="6"/>
  <c r="O412" i="4"/>
  <c r="P297" i="6"/>
  <c r="J162" i="4"/>
  <c r="V162" i="6"/>
  <c r="AB114" i="8"/>
  <c r="J106" i="4"/>
  <c r="L106" i="4" s="1"/>
  <c r="V106" i="6"/>
  <c r="X106" i="6" s="1"/>
  <c r="AB106" i="8"/>
  <c r="P140" i="6"/>
  <c r="AB178" i="8"/>
  <c r="J216" i="4"/>
  <c r="V216" i="6"/>
  <c r="U317" i="6"/>
  <c r="O317" i="4"/>
  <c r="P374" i="6"/>
  <c r="U171" i="6"/>
  <c r="O171" i="4"/>
  <c r="P417" i="6"/>
  <c r="AB328" i="8"/>
  <c r="AB76" i="8"/>
  <c r="J191" i="4"/>
  <c r="L191" i="4" s="1"/>
  <c r="V191" i="6"/>
  <c r="X191" i="6" s="1"/>
  <c r="J378" i="4"/>
  <c r="L378" i="4" s="1"/>
  <c r="V378" i="6"/>
  <c r="O388" i="4"/>
  <c r="U388" i="6"/>
  <c r="AB64" i="8"/>
  <c r="J267" i="4"/>
  <c r="V267" i="6"/>
  <c r="AB267" i="8"/>
  <c r="P104" i="6"/>
  <c r="V396" i="6"/>
  <c r="J396" i="4"/>
  <c r="P235" i="6"/>
  <c r="U119" i="6"/>
  <c r="O119" i="4"/>
  <c r="AB119" i="8"/>
  <c r="U176" i="6"/>
  <c r="O176" i="4"/>
  <c r="J439" i="4"/>
  <c r="V439" i="6"/>
  <c r="O439" i="4"/>
  <c r="U439" i="6"/>
  <c r="J491" i="4"/>
  <c r="L491" i="4" s="1"/>
  <c r="V491" i="6"/>
  <c r="X491" i="6" s="1"/>
  <c r="U434" i="6"/>
  <c r="O434" i="4"/>
  <c r="J221" i="4"/>
  <c r="L221" i="4" s="1"/>
  <c r="V221" i="6"/>
  <c r="X221" i="6" s="1"/>
  <c r="AC221" i="6" s="1"/>
  <c r="O389" i="4"/>
  <c r="U389" i="6"/>
  <c r="AB348" i="8"/>
  <c r="AB14" i="8"/>
  <c r="J26" i="4"/>
  <c r="L26" i="4" s="1"/>
  <c r="V26" i="6"/>
  <c r="X26" i="6" s="1"/>
  <c r="U26" i="6"/>
  <c r="O26" i="4"/>
  <c r="U75" i="6"/>
  <c r="O75" i="4"/>
  <c r="P335" i="6"/>
  <c r="O419" i="4"/>
  <c r="U419" i="6"/>
  <c r="J448" i="4"/>
  <c r="V448" i="6"/>
  <c r="P448" i="6"/>
  <c r="U215" i="6"/>
  <c r="O215" i="4"/>
  <c r="AB268" i="8"/>
  <c r="J109" i="4"/>
  <c r="L109" i="4" s="1"/>
  <c r="AA109" i="4" s="1"/>
  <c r="Z109" i="4" s="1"/>
  <c r="V109" i="6"/>
  <c r="X109" i="6" s="1"/>
  <c r="P109" i="6"/>
  <c r="AB94" i="9"/>
  <c r="W190" i="6"/>
  <c r="K190" i="4"/>
  <c r="K331" i="4"/>
  <c r="W331" i="6"/>
  <c r="W434" i="6"/>
  <c r="K434" i="4"/>
  <c r="W486" i="6"/>
  <c r="K486" i="4"/>
  <c r="K445" i="4"/>
  <c r="W445" i="6"/>
  <c r="W137" i="6"/>
  <c r="K137" i="4"/>
  <c r="AB221" i="9"/>
  <c r="W269" i="6"/>
  <c r="K269" i="4"/>
  <c r="K443" i="4"/>
  <c r="W443" i="6"/>
  <c r="AB167" i="9"/>
  <c r="AB412" i="9"/>
  <c r="AB431" i="9"/>
  <c r="W185" i="6"/>
  <c r="K185" i="4"/>
  <c r="W12" i="6"/>
  <c r="Q493" i="9"/>
  <c r="Q7" i="9"/>
  <c r="K12" i="4"/>
  <c r="K441" i="4"/>
  <c r="W441" i="6"/>
  <c r="AB196" i="9"/>
  <c r="W165" i="6"/>
  <c r="K165" i="4"/>
  <c r="K253" i="4"/>
  <c r="W253" i="6"/>
  <c r="AB253" i="9"/>
  <c r="K39" i="4"/>
  <c r="W39" i="6"/>
  <c r="K49" i="4"/>
  <c r="W49" i="6"/>
  <c r="AB31" i="9"/>
  <c r="W186" i="6"/>
  <c r="K186" i="4"/>
  <c r="K68" i="4"/>
  <c r="W68" i="6"/>
  <c r="K37" i="4"/>
  <c r="W37" i="6"/>
  <c r="K65" i="4"/>
  <c r="W65" i="6"/>
  <c r="AB312" i="9"/>
  <c r="K390" i="4"/>
  <c r="W390" i="6"/>
  <c r="AB163" i="9"/>
  <c r="W398" i="6"/>
  <c r="K398" i="4"/>
  <c r="K275" i="4"/>
  <c r="W275" i="6"/>
  <c r="K284" i="4"/>
  <c r="W284" i="6"/>
  <c r="AB244" i="9"/>
  <c r="W370" i="6"/>
  <c r="K370" i="4"/>
  <c r="W172" i="6"/>
  <c r="K172" i="4"/>
  <c r="K99" i="4"/>
  <c r="W99" i="6"/>
  <c r="K254" i="4"/>
  <c r="W254" i="6"/>
  <c r="J294" i="4"/>
  <c r="L294" i="4" s="1"/>
  <c r="AA294" i="4" s="1"/>
  <c r="V294" i="6"/>
  <c r="X294" i="6" s="1"/>
  <c r="U294" i="6"/>
  <c r="O294" i="4"/>
  <c r="U403" i="6"/>
  <c r="O403" i="4"/>
  <c r="U333" i="6"/>
  <c r="O333" i="4"/>
  <c r="P62" i="6"/>
  <c r="J219" i="4"/>
  <c r="L219" i="4" s="1"/>
  <c r="V219" i="6"/>
  <c r="X219" i="6" s="1"/>
  <c r="AB219" i="8"/>
  <c r="P350" i="6"/>
  <c r="J355" i="4"/>
  <c r="V355" i="6"/>
  <c r="X355" i="6" s="1"/>
  <c r="J432" i="4"/>
  <c r="L432" i="4" s="1"/>
  <c r="V432" i="6"/>
  <c r="X432" i="6" s="1"/>
  <c r="O432" i="4"/>
  <c r="U432" i="6"/>
  <c r="U125" i="6"/>
  <c r="O125" i="4"/>
  <c r="P71" i="6"/>
  <c r="J74" i="4"/>
  <c r="L74" i="4" s="1"/>
  <c r="V74" i="6"/>
  <c r="X74" i="6" s="1"/>
  <c r="AC74" i="6" s="1"/>
  <c r="U250" i="6"/>
  <c r="O250" i="4"/>
  <c r="J262" i="4"/>
  <c r="L262" i="4" s="1"/>
  <c r="V262" i="6"/>
  <c r="X262" i="6" s="1"/>
  <c r="AB262" i="8"/>
  <c r="P476" i="6"/>
  <c r="J218" i="4"/>
  <c r="V218" i="6"/>
  <c r="J288" i="4"/>
  <c r="V288" i="6"/>
  <c r="X288" i="6" s="1"/>
  <c r="AC288" i="6" s="1"/>
  <c r="J143" i="4"/>
  <c r="L143" i="4" s="1"/>
  <c r="AA143" i="4" s="1"/>
  <c r="V143" i="6"/>
  <c r="X143" i="6" s="1"/>
  <c r="AB143" i="8"/>
  <c r="O359" i="4"/>
  <c r="U359" i="6"/>
  <c r="P362" i="6"/>
  <c r="P469" i="6"/>
  <c r="P161" i="6"/>
  <c r="U161" i="6"/>
  <c r="O161" i="4"/>
  <c r="U366" i="6"/>
  <c r="O366" i="4"/>
  <c r="U454" i="6"/>
  <c r="O454" i="4"/>
  <c r="J462" i="4"/>
  <c r="L462" i="4" s="1"/>
  <c r="V462" i="6"/>
  <c r="AB462" i="8"/>
  <c r="U139" i="6"/>
  <c r="O139" i="4"/>
  <c r="P386" i="6"/>
  <c r="P200" i="6"/>
  <c r="U259" i="6"/>
  <c r="O259" i="4"/>
  <c r="P201" i="6"/>
  <c r="U201" i="6"/>
  <c r="O201" i="4"/>
  <c r="P98" i="6"/>
  <c r="J79" i="4"/>
  <c r="L79" i="4" s="1"/>
  <c r="V79" i="6"/>
  <c r="X79" i="6" s="1"/>
  <c r="AB79" i="8"/>
  <c r="P84" i="6"/>
  <c r="J395" i="4"/>
  <c r="V395" i="6"/>
  <c r="J473" i="4"/>
  <c r="L473" i="4" s="1"/>
  <c r="V473" i="6"/>
  <c r="X473" i="6" s="1"/>
  <c r="U473" i="6"/>
  <c r="O473" i="4"/>
  <c r="P227" i="6"/>
  <c r="P245" i="6"/>
  <c r="J15" i="4"/>
  <c r="L15" i="4" s="1"/>
  <c r="AA15" i="4" s="1"/>
  <c r="V15" i="6"/>
  <c r="X15" i="6" s="1"/>
  <c r="AB15" i="8"/>
  <c r="J429" i="4"/>
  <c r="V429" i="6"/>
  <c r="O231" i="4"/>
  <c r="U231" i="6"/>
  <c r="J365" i="4"/>
  <c r="L365" i="4" s="1"/>
  <c r="V365" i="6"/>
  <c r="X365" i="6" s="1"/>
  <c r="AB365" i="8"/>
  <c r="U238" i="6"/>
  <c r="O238" i="4"/>
  <c r="P479" i="6"/>
  <c r="J66" i="4"/>
  <c r="L66" i="4" s="1"/>
  <c r="V66" i="6"/>
  <c r="X66" i="6" s="1"/>
  <c r="J272" i="4"/>
  <c r="L272" i="4" s="1"/>
  <c r="V272" i="6"/>
  <c r="P467" i="6"/>
  <c r="P488" i="6"/>
  <c r="J298" i="4"/>
  <c r="V298" i="6"/>
  <c r="U298" i="6"/>
  <c r="O298" i="4"/>
  <c r="P452" i="6"/>
  <c r="AB33" i="8"/>
  <c r="J141" i="4"/>
  <c r="V141" i="6"/>
  <c r="U83" i="6"/>
  <c r="AC83" i="6" s="1"/>
  <c r="O83" i="4"/>
  <c r="J258" i="4"/>
  <c r="L258" i="4" s="1"/>
  <c r="V258" i="6"/>
  <c r="X258" i="6" s="1"/>
  <c r="P258" i="6"/>
  <c r="O110" i="4"/>
  <c r="U110" i="6"/>
  <c r="J243" i="4"/>
  <c r="L243" i="4" s="1"/>
  <c r="AA243" i="4" s="1"/>
  <c r="V243" i="6"/>
  <c r="X243" i="6" s="1"/>
  <c r="V320" i="6"/>
  <c r="X320" i="6" s="1"/>
  <c r="J320" i="4"/>
  <c r="L320" i="4" s="1"/>
  <c r="P391" i="6"/>
  <c r="O391" i="4"/>
  <c r="U391" i="6"/>
  <c r="P217" i="6"/>
  <c r="J237" i="4"/>
  <c r="L237" i="4" s="1"/>
  <c r="V237" i="6"/>
  <c r="X237" i="6" s="1"/>
  <c r="J376" i="4"/>
  <c r="L376" i="4" s="1"/>
  <c r="V376" i="6"/>
  <c r="X376" i="6" s="1"/>
  <c r="J344" i="4"/>
  <c r="L344" i="4" s="1"/>
  <c r="V344" i="6"/>
  <c r="P344" i="6"/>
  <c r="U58" i="6"/>
  <c r="O58" i="4"/>
  <c r="AB438" i="8"/>
  <c r="AB92" i="8"/>
  <c r="J63" i="4"/>
  <c r="L63" i="4" s="1"/>
  <c r="V63" i="6"/>
  <c r="X63" i="6" s="1"/>
  <c r="AB63" i="8"/>
  <c r="O193" i="4"/>
  <c r="U193" i="6"/>
  <c r="P435" i="6"/>
  <c r="J423" i="4"/>
  <c r="V423" i="6"/>
  <c r="J27" i="4"/>
  <c r="V27" i="6"/>
  <c r="P264" i="6"/>
  <c r="P184" i="6"/>
  <c r="J397" i="4"/>
  <c r="L397" i="4" s="1"/>
  <c r="V397" i="6"/>
  <c r="X397" i="6" s="1"/>
  <c r="J73" i="4"/>
  <c r="L73" i="4" s="1"/>
  <c r="V73" i="6"/>
  <c r="X73" i="6" s="1"/>
  <c r="U487" i="6"/>
  <c r="O487" i="4"/>
  <c r="J82" i="4"/>
  <c r="L82" i="4" s="1"/>
  <c r="V82" i="6"/>
  <c r="X82" i="6" s="1"/>
  <c r="P82" i="6"/>
  <c r="U185" i="6"/>
  <c r="O185" i="4"/>
  <c r="P131" i="6"/>
  <c r="AB131" i="8"/>
  <c r="J400" i="4"/>
  <c r="L400" i="4" s="1"/>
  <c r="V400" i="6"/>
  <c r="X400" i="6" s="1"/>
  <c r="AB400" i="8"/>
  <c r="K259" i="4"/>
  <c r="W259" i="6"/>
  <c r="K459" i="4"/>
  <c r="W459" i="6"/>
  <c r="W251" i="6"/>
  <c r="K251" i="4"/>
  <c r="K153" i="4"/>
  <c r="W153" i="6"/>
  <c r="W211" i="6"/>
  <c r="K211" i="4"/>
  <c r="K117" i="4"/>
  <c r="W117" i="6"/>
  <c r="AB380" i="9"/>
  <c r="W178" i="6"/>
  <c r="K178" i="4"/>
  <c r="W273" i="6"/>
  <c r="K273" i="4"/>
  <c r="K369" i="4"/>
  <c r="W369" i="6"/>
  <c r="W183" i="6"/>
  <c r="K183" i="4"/>
  <c r="K48" i="4"/>
  <c r="W48" i="6"/>
  <c r="W395" i="6"/>
  <c r="K395" i="4"/>
  <c r="AB424" i="9"/>
  <c r="K276" i="4"/>
  <c r="W276" i="6"/>
  <c r="K57" i="4"/>
  <c r="W57" i="6"/>
  <c r="AB450" i="9"/>
  <c r="W298" i="6"/>
  <c r="K298" i="4"/>
  <c r="K118" i="4"/>
  <c r="W118" i="6"/>
  <c r="W387" i="6"/>
  <c r="K387" i="4"/>
  <c r="W157" i="6"/>
  <c r="K157" i="4"/>
  <c r="AB157" i="9"/>
  <c r="K429" i="4"/>
  <c r="W429" i="6"/>
  <c r="K419" i="4"/>
  <c r="W419" i="6"/>
  <c r="W330" i="6"/>
  <c r="K330" i="4"/>
  <c r="W35" i="6"/>
  <c r="K35" i="4"/>
  <c r="W451" i="6"/>
  <c r="K451" i="4"/>
  <c r="W27" i="6"/>
  <c r="K27" i="4"/>
  <c r="K88" i="4"/>
  <c r="W88" i="6"/>
  <c r="W218" i="6"/>
  <c r="K218" i="4"/>
  <c r="K126" i="4"/>
  <c r="W126" i="6"/>
  <c r="K100" i="4"/>
  <c r="W100" i="6"/>
  <c r="W182" i="6"/>
  <c r="K182" i="4"/>
  <c r="K478" i="4"/>
  <c r="W478" i="6"/>
  <c r="AB247" i="9"/>
  <c r="L415" i="4" l="1"/>
  <c r="L396" i="4"/>
  <c r="R396" i="4" s="1"/>
  <c r="L304" i="4"/>
  <c r="L216" i="4"/>
  <c r="I216" i="4" s="1"/>
  <c r="X283" i="6"/>
  <c r="AC283" i="6" s="1"/>
  <c r="AE283" i="6" s="1"/>
  <c r="L141" i="4"/>
  <c r="AA141" i="4" s="1"/>
  <c r="G138" i="5" s="1"/>
  <c r="X169" i="6"/>
  <c r="X175" i="6"/>
  <c r="AC175" i="6" s="1"/>
  <c r="AE175" i="6" s="1"/>
  <c r="L59" i="4"/>
  <c r="R59" i="4" s="1"/>
  <c r="K493" i="4"/>
  <c r="J493" i="4"/>
  <c r="O493" i="4"/>
  <c r="AC414" i="6"/>
  <c r="AE414" i="6" s="1"/>
  <c r="L21" i="4"/>
  <c r="I21" i="4" s="1"/>
  <c r="L84" i="4"/>
  <c r="R84" i="4" s="1"/>
  <c r="X447" i="6"/>
  <c r="AC447" i="6" s="1"/>
  <c r="AC147" i="6"/>
  <c r="AE147" i="6" s="1"/>
  <c r="L180" i="4"/>
  <c r="I180" i="4" s="1"/>
  <c r="X396" i="6"/>
  <c r="AC396" i="6" s="1"/>
  <c r="AE396" i="6" s="1"/>
  <c r="X378" i="6"/>
  <c r="AC378" i="6" s="1"/>
  <c r="X216" i="6"/>
  <c r="AC216" i="6" s="1"/>
  <c r="AE216" i="6" s="1"/>
  <c r="X162" i="6"/>
  <c r="L85" i="4"/>
  <c r="I85" i="4" s="1"/>
  <c r="L351" i="4"/>
  <c r="I351" i="4" s="1"/>
  <c r="X272" i="6"/>
  <c r="AC272" i="6" s="1"/>
  <c r="AE272" i="6" s="1"/>
  <c r="X462" i="6"/>
  <c r="AC462" i="6" s="1"/>
  <c r="AE462" i="6" s="1"/>
  <c r="L355" i="4"/>
  <c r="I355" i="4" s="1"/>
  <c r="X344" i="6"/>
  <c r="AC344" i="6" s="1"/>
  <c r="AE344" i="6" s="1"/>
  <c r="L448" i="4"/>
  <c r="R448" i="4" s="1"/>
  <c r="L162" i="4"/>
  <c r="I162" i="4" s="1"/>
  <c r="L306" i="4"/>
  <c r="AA306" i="4" s="1"/>
  <c r="Z306" i="4" s="1"/>
  <c r="X247" i="6"/>
  <c r="AC247" i="6" s="1"/>
  <c r="AE247" i="6" s="1"/>
  <c r="L129" i="4"/>
  <c r="R129" i="4" s="1"/>
  <c r="Z141" i="4"/>
  <c r="Z143" i="4"/>
  <c r="G140" i="5"/>
  <c r="Z341" i="4"/>
  <c r="G338" i="5"/>
  <c r="Z239" i="4"/>
  <c r="G236" i="5"/>
  <c r="Z235" i="4"/>
  <c r="G232" i="5"/>
  <c r="Z148" i="4"/>
  <c r="G145" i="5"/>
  <c r="Z15" i="4"/>
  <c r="G12" i="5"/>
  <c r="Z294" i="4"/>
  <c r="G291" i="5"/>
  <c r="Z464" i="4"/>
  <c r="G461" i="5"/>
  <c r="Z308" i="4"/>
  <c r="G305" i="5"/>
  <c r="Z332" i="4"/>
  <c r="G329" i="5"/>
  <c r="Z243" i="4"/>
  <c r="G240" i="5"/>
  <c r="Z231" i="4"/>
  <c r="G228" i="5"/>
  <c r="Z339" i="4"/>
  <c r="G336" i="5"/>
  <c r="Z325" i="4"/>
  <c r="G322" i="5"/>
  <c r="Z283" i="4"/>
  <c r="G280" i="5"/>
  <c r="Z244" i="4"/>
  <c r="G241" i="5"/>
  <c r="Z313" i="4"/>
  <c r="G310" i="5"/>
  <c r="Z125" i="4"/>
  <c r="G122" i="5"/>
  <c r="X381" i="6"/>
  <c r="AC381" i="6" s="1"/>
  <c r="AE381" i="6" s="1"/>
  <c r="X29" i="6"/>
  <c r="AC29" i="6" s="1"/>
  <c r="AE29" i="6" s="1"/>
  <c r="L102" i="4"/>
  <c r="R102" i="4" s="1"/>
  <c r="Z189" i="4"/>
  <c r="X180" i="6"/>
  <c r="AC180" i="6" s="1"/>
  <c r="AE180" i="6" s="1"/>
  <c r="L29" i="4"/>
  <c r="I29" i="4" s="1"/>
  <c r="X448" i="6"/>
  <c r="L439" i="4"/>
  <c r="R439" i="4" s="1"/>
  <c r="L476" i="4"/>
  <c r="R476" i="4" s="1"/>
  <c r="L314" i="4"/>
  <c r="I314" i="4" s="1"/>
  <c r="L113" i="4"/>
  <c r="I113" i="4" s="1"/>
  <c r="L328" i="4"/>
  <c r="I328" i="4" s="1"/>
  <c r="L319" i="4"/>
  <c r="L326" i="4"/>
  <c r="AA326" i="4" s="1"/>
  <c r="X421" i="6"/>
  <c r="AC421" i="6" s="1"/>
  <c r="AE421" i="6" s="1"/>
  <c r="L164" i="4"/>
  <c r="R164" i="4" s="1"/>
  <c r="X328" i="6"/>
  <c r="AC328" i="6" s="1"/>
  <c r="AE328" i="6" s="1"/>
  <c r="L159" i="4"/>
  <c r="R159" i="4" s="1"/>
  <c r="X319" i="6"/>
  <c r="AC319" i="6" s="1"/>
  <c r="AE319" i="6" s="1"/>
  <c r="L42" i="4"/>
  <c r="I42" i="4" s="1"/>
  <c r="X326" i="6"/>
  <c r="AC326" i="6" s="1"/>
  <c r="AE326" i="6" s="1"/>
  <c r="X215" i="6"/>
  <c r="AC215" i="6" s="1"/>
  <c r="AE215" i="6" s="1"/>
  <c r="X423" i="6"/>
  <c r="AC423" i="6" s="1"/>
  <c r="AE423" i="6" s="1"/>
  <c r="L372" i="4"/>
  <c r="I372" i="4" s="1"/>
  <c r="X481" i="6"/>
  <c r="AC481" i="6" s="1"/>
  <c r="L228" i="4"/>
  <c r="R228" i="4" s="1"/>
  <c r="X164" i="6"/>
  <c r="AC164" i="6" s="1"/>
  <c r="AE164" i="6" s="1"/>
  <c r="L318" i="4"/>
  <c r="I318" i="4" s="1"/>
  <c r="X367" i="6"/>
  <c r="AC367" i="6" s="1"/>
  <c r="AE367" i="6" s="1"/>
  <c r="L200" i="4"/>
  <c r="R200" i="4" s="1"/>
  <c r="X159" i="6"/>
  <c r="AC159" i="6" s="1"/>
  <c r="AE159" i="6" s="1"/>
  <c r="X280" i="6"/>
  <c r="AC280" i="6" s="1"/>
  <c r="AE280" i="6" s="1"/>
  <c r="X141" i="6"/>
  <c r="AC141" i="6" s="1"/>
  <c r="AE141" i="6" s="1"/>
  <c r="L199" i="4"/>
  <c r="R199" i="4" s="1"/>
  <c r="L381" i="4"/>
  <c r="I381" i="4" s="1"/>
  <c r="L488" i="4"/>
  <c r="R488" i="4" s="1"/>
  <c r="X268" i="6"/>
  <c r="AC268" i="6" s="1"/>
  <c r="AE268" i="6" s="1"/>
  <c r="L98" i="4"/>
  <c r="I98" i="4" s="1"/>
  <c r="X129" i="6"/>
  <c r="AC129" i="6" s="1"/>
  <c r="AE129" i="6" s="1"/>
  <c r="X358" i="6"/>
  <c r="AC358" i="6" s="1"/>
  <c r="AE358" i="6" s="1"/>
  <c r="X102" i="6"/>
  <c r="AC102" i="6" s="1"/>
  <c r="AE102" i="6" s="1"/>
  <c r="L170" i="4"/>
  <c r="I170" i="4" s="1"/>
  <c r="X59" i="6"/>
  <c r="AC59" i="6" s="1"/>
  <c r="AE59" i="6" s="1"/>
  <c r="X84" i="6"/>
  <c r="AC84" i="6" s="1"/>
  <c r="AE84" i="6" s="1"/>
  <c r="X415" i="6"/>
  <c r="AC415" i="6" s="1"/>
  <c r="AE415" i="6" s="1"/>
  <c r="L93" i="4"/>
  <c r="I93" i="4" s="1"/>
  <c r="X200" i="6"/>
  <c r="AC200" i="6" s="1"/>
  <c r="AE200" i="6" s="1"/>
  <c r="X386" i="6"/>
  <c r="AC386" i="6" s="1"/>
  <c r="AE386" i="6" s="1"/>
  <c r="L90" i="4"/>
  <c r="I90" i="4" s="1"/>
  <c r="X323" i="6"/>
  <c r="AC323" i="6" s="1"/>
  <c r="AE323" i="6" s="1"/>
  <c r="L367" i="4"/>
  <c r="R367" i="4" s="1"/>
  <c r="X439" i="6"/>
  <c r="AC439" i="6" s="1"/>
  <c r="AE439" i="6" s="1"/>
  <c r="L70" i="4"/>
  <c r="X70" i="4" s="1"/>
  <c r="L268" i="4"/>
  <c r="R268" i="4" s="1"/>
  <c r="X90" i="6"/>
  <c r="AC90" i="6" s="1"/>
  <c r="AE90" i="6" s="1"/>
  <c r="X21" i="6"/>
  <c r="AC21" i="6" s="1"/>
  <c r="AE21" i="6" s="1"/>
  <c r="L169" i="4"/>
  <c r="R169" i="4" s="1"/>
  <c r="L423" i="4"/>
  <c r="I423" i="4" s="1"/>
  <c r="L288" i="4"/>
  <c r="AA288" i="4" s="1"/>
  <c r="X299" i="6"/>
  <c r="AC299" i="6" s="1"/>
  <c r="X476" i="6"/>
  <c r="AC476" i="6" s="1"/>
  <c r="AE476" i="6" s="1"/>
  <c r="X314" i="6"/>
  <c r="AC314" i="6" s="1"/>
  <c r="AE314" i="6" s="1"/>
  <c r="X113" i="6"/>
  <c r="AC113" i="6" s="1"/>
  <c r="AE113" i="6" s="1"/>
  <c r="L481" i="4"/>
  <c r="R481" i="4" s="1"/>
  <c r="X488" i="6"/>
  <c r="AC488" i="6" s="1"/>
  <c r="AE488" i="6" s="1"/>
  <c r="X170" i="6"/>
  <c r="AC170" i="6" s="1"/>
  <c r="AE170" i="6" s="1"/>
  <c r="X304" i="6"/>
  <c r="AC304" i="6" s="1"/>
  <c r="AE304" i="6" s="1"/>
  <c r="X93" i="6"/>
  <c r="AC93" i="6" s="1"/>
  <c r="AE93" i="6" s="1"/>
  <c r="L418" i="4"/>
  <c r="X418" i="4" s="1"/>
  <c r="G415" i="5" s="1"/>
  <c r="X70" i="6"/>
  <c r="AC70" i="6" s="1"/>
  <c r="AE70" i="6" s="1"/>
  <c r="X372" i="6"/>
  <c r="AC372" i="6" s="1"/>
  <c r="AE372" i="6" s="1"/>
  <c r="X466" i="6"/>
  <c r="AC466" i="6" s="1"/>
  <c r="AE466" i="6" s="1"/>
  <c r="X267" i="6"/>
  <c r="AC267" i="6" s="1"/>
  <c r="AE267" i="6" s="1"/>
  <c r="X418" i="6"/>
  <c r="AC418" i="6" s="1"/>
  <c r="AE418" i="6" s="1"/>
  <c r="X403" i="6"/>
  <c r="AC403" i="6" s="1"/>
  <c r="AE403" i="6" s="1"/>
  <c r="L267" i="4"/>
  <c r="R267" i="4" s="1"/>
  <c r="L347" i="4"/>
  <c r="R347" i="4" s="1"/>
  <c r="AC209" i="6"/>
  <c r="AE209" i="6" s="1"/>
  <c r="X18" i="6"/>
  <c r="AC18" i="6" s="1"/>
  <c r="AE18" i="6" s="1"/>
  <c r="AC198" i="6"/>
  <c r="AE198" i="6" s="1"/>
  <c r="X116" i="6"/>
  <c r="AC116" i="6" s="1"/>
  <c r="AE116" i="6" s="1"/>
  <c r="L177" i="4"/>
  <c r="R177" i="4" s="1"/>
  <c r="AC409" i="6"/>
  <c r="AE409" i="6" s="1"/>
  <c r="X347" i="6"/>
  <c r="AC347" i="6" s="1"/>
  <c r="AE347" i="6" s="1"/>
  <c r="L345" i="4"/>
  <c r="I345" i="4" s="1"/>
  <c r="L155" i="4"/>
  <c r="R155" i="4" s="1"/>
  <c r="L412" i="4"/>
  <c r="I412" i="4" s="1"/>
  <c r="L194" i="4"/>
  <c r="R194" i="4" s="1"/>
  <c r="L116" i="4"/>
  <c r="R116" i="4" s="1"/>
  <c r="L97" i="4"/>
  <c r="I97" i="4" s="1"/>
  <c r="X68" i="6"/>
  <c r="AC68" i="6" s="1"/>
  <c r="AC289" i="6"/>
  <c r="AE289" i="6" s="1"/>
  <c r="X412" i="6"/>
  <c r="AC412" i="6" s="1"/>
  <c r="AC85" i="6"/>
  <c r="AE85" i="6" s="1"/>
  <c r="X50" i="6"/>
  <c r="AC50" i="6" s="1"/>
  <c r="AE50" i="6" s="1"/>
  <c r="X101" i="6"/>
  <c r="AC101" i="6" s="1"/>
  <c r="AC150" i="6"/>
  <c r="AE150" i="6" s="1"/>
  <c r="AC313" i="6"/>
  <c r="AE313" i="6" s="1"/>
  <c r="X27" i="6"/>
  <c r="AB493" i="9"/>
  <c r="K4" i="8"/>
  <c r="AC23" i="6"/>
  <c r="AE23" i="6" s="1"/>
  <c r="AC214" i="6"/>
  <c r="AE214" i="6" s="1"/>
  <c r="AC394" i="6"/>
  <c r="AE394" i="6" s="1"/>
  <c r="R344" i="4"/>
  <c r="I344" i="4"/>
  <c r="R473" i="4"/>
  <c r="I473" i="4"/>
  <c r="X473" i="4"/>
  <c r="AG201" i="4"/>
  <c r="N201" i="4"/>
  <c r="AF201" i="4" s="1"/>
  <c r="AG454" i="4"/>
  <c r="AP454" i="4" s="1"/>
  <c r="AO454" i="4" s="1"/>
  <c r="N454" i="4"/>
  <c r="AF454" i="4" s="1"/>
  <c r="AG366" i="4"/>
  <c r="N366" i="4"/>
  <c r="AF366" i="4" s="1"/>
  <c r="AG359" i="4"/>
  <c r="N359" i="4"/>
  <c r="AF359" i="4" s="1"/>
  <c r="AG250" i="4"/>
  <c r="N250" i="4"/>
  <c r="AF250" i="4" s="1"/>
  <c r="AG432" i="4"/>
  <c r="N432" i="4"/>
  <c r="AF432" i="4" s="1"/>
  <c r="R219" i="4"/>
  <c r="I219" i="4"/>
  <c r="AG333" i="4"/>
  <c r="N333" i="4"/>
  <c r="AF333" i="4" s="1"/>
  <c r="AG294" i="4"/>
  <c r="N294" i="4"/>
  <c r="AF294" i="4" s="1"/>
  <c r="K7" i="4"/>
  <c r="X26" i="4"/>
  <c r="R26" i="4"/>
  <c r="I26" i="4"/>
  <c r="AG389" i="4"/>
  <c r="N389" i="4"/>
  <c r="AF389" i="4" s="1"/>
  <c r="N439" i="4"/>
  <c r="AF439" i="4" s="1"/>
  <c r="AG439" i="4"/>
  <c r="AP439" i="4" s="1"/>
  <c r="AO439" i="4" s="1"/>
  <c r="AG119" i="4"/>
  <c r="N119" i="4"/>
  <c r="AF119" i="4" s="1"/>
  <c r="AG317" i="4"/>
  <c r="N317" i="4"/>
  <c r="AF317" i="4" s="1"/>
  <c r="AG315" i="4"/>
  <c r="N315" i="4"/>
  <c r="AF315" i="4" s="1"/>
  <c r="AG127" i="4"/>
  <c r="N127" i="4"/>
  <c r="AF127" i="4" s="1"/>
  <c r="L390" i="4"/>
  <c r="AA390" i="4" s="1"/>
  <c r="Z390" i="4" s="1"/>
  <c r="R302" i="4"/>
  <c r="I302" i="4"/>
  <c r="AG325" i="4"/>
  <c r="N325" i="4"/>
  <c r="AF325" i="4" s="1"/>
  <c r="AG68" i="4"/>
  <c r="N68" i="4"/>
  <c r="AF68" i="4" s="1"/>
  <c r="I293" i="4"/>
  <c r="R293" i="4"/>
  <c r="X251" i="6"/>
  <c r="AG305" i="4"/>
  <c r="N305" i="4"/>
  <c r="AF305" i="4" s="1"/>
  <c r="X482" i="4"/>
  <c r="R482" i="4"/>
  <c r="I482" i="4"/>
  <c r="AE188" i="6"/>
  <c r="R13" i="4"/>
  <c r="I13" i="4"/>
  <c r="R158" i="4"/>
  <c r="I158" i="4"/>
  <c r="R146" i="4"/>
  <c r="I146" i="4"/>
  <c r="AG256" i="4"/>
  <c r="N256" i="4"/>
  <c r="AF256" i="4" s="1"/>
  <c r="L35" i="4"/>
  <c r="R415" i="4"/>
  <c r="X415" i="4"/>
  <c r="I415" i="4"/>
  <c r="AG316" i="4"/>
  <c r="N316" i="4"/>
  <c r="AF316" i="4" s="1"/>
  <c r="X182" i="6"/>
  <c r="N442" i="4"/>
  <c r="AF442" i="4" s="1"/>
  <c r="AG442" i="4"/>
  <c r="AP442" i="4" s="1"/>
  <c r="AO442" i="4" s="1"/>
  <c r="X352" i="6"/>
  <c r="X117" i="6"/>
  <c r="L183" i="4"/>
  <c r="AG312" i="4"/>
  <c r="N312" i="4"/>
  <c r="AF312" i="4" s="1"/>
  <c r="I296" i="4"/>
  <c r="R296" i="4"/>
  <c r="R402" i="4"/>
  <c r="I402" i="4"/>
  <c r="R234" i="4"/>
  <c r="I234" i="4"/>
  <c r="AG153" i="4"/>
  <c r="N153" i="4"/>
  <c r="AF153" i="4" s="1"/>
  <c r="R130" i="4"/>
  <c r="I130" i="4"/>
  <c r="L483" i="4"/>
  <c r="R416" i="4"/>
  <c r="I416" i="4"/>
  <c r="X416" i="4"/>
  <c r="AG330" i="4"/>
  <c r="N330" i="4"/>
  <c r="AF330" i="4" s="1"/>
  <c r="AG96" i="4"/>
  <c r="N96" i="4"/>
  <c r="AF96" i="4" s="1"/>
  <c r="AG108" i="4"/>
  <c r="N108" i="4"/>
  <c r="AF108" i="4" s="1"/>
  <c r="AG82" i="4"/>
  <c r="N82" i="4"/>
  <c r="AF82" i="4" s="1"/>
  <c r="AG397" i="4"/>
  <c r="N397" i="4"/>
  <c r="AF397" i="4" s="1"/>
  <c r="AC92" i="6"/>
  <c r="AE92" i="6" s="1"/>
  <c r="AG376" i="4"/>
  <c r="N376" i="4"/>
  <c r="AF376" i="4" s="1"/>
  <c r="AG369" i="4"/>
  <c r="N369" i="4"/>
  <c r="AF369" i="4" s="1"/>
  <c r="AG168" i="4"/>
  <c r="N168" i="4"/>
  <c r="AF168" i="4" s="1"/>
  <c r="AC320" i="6"/>
  <c r="AE320" i="6" s="1"/>
  <c r="X387" i="6"/>
  <c r="AG249" i="4"/>
  <c r="N249" i="4"/>
  <c r="AF249" i="4" s="1"/>
  <c r="AG33" i="4"/>
  <c r="N33" i="4"/>
  <c r="AF33" i="4" s="1"/>
  <c r="AC15" i="6"/>
  <c r="AE15" i="6" s="1"/>
  <c r="X463" i="6"/>
  <c r="AC463" i="6" s="1"/>
  <c r="AE463" i="6" s="1"/>
  <c r="AG386" i="4"/>
  <c r="N386" i="4"/>
  <c r="AF386" i="4" s="1"/>
  <c r="N464" i="4"/>
  <c r="AF464" i="4" s="1"/>
  <c r="AG464" i="4"/>
  <c r="AP464" i="4" s="1"/>
  <c r="AO464" i="4" s="1"/>
  <c r="AE288" i="6"/>
  <c r="AG476" i="4"/>
  <c r="AP476" i="4" s="1"/>
  <c r="AO476" i="4" s="1"/>
  <c r="N476" i="4"/>
  <c r="AF476" i="4" s="1"/>
  <c r="AG262" i="4"/>
  <c r="N262" i="4"/>
  <c r="AF262" i="4" s="1"/>
  <c r="AG285" i="4"/>
  <c r="N285" i="4"/>
  <c r="AF285" i="4" s="1"/>
  <c r="AC36" i="6"/>
  <c r="AE36" i="6" s="1"/>
  <c r="AG393" i="4"/>
  <c r="N393" i="4"/>
  <c r="AF393" i="4" s="1"/>
  <c r="R62" i="4"/>
  <c r="I62" i="4"/>
  <c r="L419" i="4"/>
  <c r="L434" i="4"/>
  <c r="L322" i="4"/>
  <c r="N378" i="4"/>
  <c r="AF378" i="4" s="1"/>
  <c r="AG378" i="4"/>
  <c r="X171" i="6"/>
  <c r="AC171" i="6" s="1"/>
  <c r="AE171" i="6" s="1"/>
  <c r="AG178" i="4"/>
  <c r="N178" i="4"/>
  <c r="AF178" i="4" s="1"/>
  <c r="AC189" i="6"/>
  <c r="AE189" i="6" s="1"/>
  <c r="AG277" i="4"/>
  <c r="N277" i="4"/>
  <c r="AF277" i="4" s="1"/>
  <c r="AC383" i="6"/>
  <c r="AE383" i="6" s="1"/>
  <c r="AC194" i="6"/>
  <c r="AE194" i="6" s="1"/>
  <c r="AC174" i="6"/>
  <c r="AE174" i="6" s="1"/>
  <c r="R384" i="4"/>
  <c r="I384" i="4"/>
  <c r="X490" i="6"/>
  <c r="AC490" i="6" s="1"/>
  <c r="AE490" i="6" s="1"/>
  <c r="L126" i="4"/>
  <c r="X255" i="6"/>
  <c r="AG202" i="4"/>
  <c r="N202" i="4"/>
  <c r="AF202" i="4" s="1"/>
  <c r="L103" i="4"/>
  <c r="AG482" i="4"/>
  <c r="N482" i="4"/>
  <c r="AF482" i="4" s="1"/>
  <c r="X81" i="6"/>
  <c r="AG34" i="4"/>
  <c r="N34" i="4"/>
  <c r="AF34" i="4" s="1"/>
  <c r="AE158" i="6"/>
  <c r="X49" i="6"/>
  <c r="X441" i="6"/>
  <c r="AG113" i="4"/>
  <c r="N113" i="4"/>
  <c r="AF113" i="4" s="1"/>
  <c r="L411" i="4"/>
  <c r="L233" i="4"/>
  <c r="L39" i="4"/>
  <c r="I425" i="4"/>
  <c r="R425" i="4"/>
  <c r="AG61" i="4"/>
  <c r="N61" i="4"/>
  <c r="AF61" i="4" s="1"/>
  <c r="X57" i="6"/>
  <c r="X311" i="6"/>
  <c r="AG341" i="4"/>
  <c r="N341" i="4"/>
  <c r="AF341" i="4" s="1"/>
  <c r="X465" i="6"/>
  <c r="AC465" i="6" s="1"/>
  <c r="AE465" i="6" s="1"/>
  <c r="L275" i="4"/>
  <c r="X32" i="6"/>
  <c r="X337" i="6"/>
  <c r="L206" i="4"/>
  <c r="L99" i="4"/>
  <c r="X451" i="6"/>
  <c r="L430" i="4"/>
  <c r="AA430" i="4" s="1"/>
  <c r="Z430" i="4" s="1"/>
  <c r="X404" i="6"/>
  <c r="AG449" i="4"/>
  <c r="AP449" i="4" s="1"/>
  <c r="AO449" i="4" s="1"/>
  <c r="N449" i="4"/>
  <c r="AF449" i="4" s="1"/>
  <c r="AG242" i="4"/>
  <c r="N242" i="4"/>
  <c r="AF242" i="4" s="1"/>
  <c r="X173" i="6"/>
  <c r="L446" i="4"/>
  <c r="AG291" i="4"/>
  <c r="N291" i="4"/>
  <c r="AF291" i="4" s="1"/>
  <c r="AE86" i="6"/>
  <c r="L486" i="4"/>
  <c r="L422" i="4"/>
  <c r="AE156" i="6"/>
  <c r="L30" i="4"/>
  <c r="I223" i="4"/>
  <c r="R223" i="4"/>
  <c r="L240" i="4"/>
  <c r="AA240" i="4" s="1"/>
  <c r="AG303" i="4"/>
  <c r="N303" i="4"/>
  <c r="AF303" i="4" s="1"/>
  <c r="L28" i="4"/>
  <c r="L346" i="4"/>
  <c r="AG97" i="4"/>
  <c r="N97" i="4"/>
  <c r="AF97" i="4" s="1"/>
  <c r="X172" i="6"/>
  <c r="X69" i="6"/>
  <c r="AG296" i="4"/>
  <c r="N296" i="4"/>
  <c r="AF296" i="4" s="1"/>
  <c r="L122" i="4"/>
  <c r="L472" i="4"/>
  <c r="AG24" i="4"/>
  <c r="N24" i="4"/>
  <c r="AF24" i="4" s="1"/>
  <c r="AG208" i="4"/>
  <c r="N208" i="4"/>
  <c r="AF208" i="4" s="1"/>
  <c r="R313" i="4"/>
  <c r="I313" i="4"/>
  <c r="N457" i="4"/>
  <c r="AF457" i="4" s="1"/>
  <c r="AG457" i="4"/>
  <c r="AP457" i="4" s="1"/>
  <c r="AO457" i="4" s="1"/>
  <c r="R409" i="4"/>
  <c r="I409" i="4"/>
  <c r="X342" i="6"/>
  <c r="AG264" i="4"/>
  <c r="N264" i="4"/>
  <c r="AF264" i="4" s="1"/>
  <c r="AG423" i="4"/>
  <c r="N423" i="4"/>
  <c r="AF423" i="4" s="1"/>
  <c r="AG151" i="4"/>
  <c r="N151" i="4"/>
  <c r="AF151" i="4" s="1"/>
  <c r="AC58" i="6"/>
  <c r="AE58" i="6" s="1"/>
  <c r="X385" i="6"/>
  <c r="R83" i="4"/>
  <c r="I83" i="4"/>
  <c r="I452" i="4"/>
  <c r="R452" i="4"/>
  <c r="L479" i="4"/>
  <c r="N429" i="4"/>
  <c r="AF429" i="4" s="1"/>
  <c r="AG429" i="4"/>
  <c r="AP429" i="4" s="1"/>
  <c r="AO429" i="4" s="1"/>
  <c r="AG147" i="4"/>
  <c r="N147" i="4"/>
  <c r="AF147" i="4" s="1"/>
  <c r="L259" i="4"/>
  <c r="AA259" i="4" s="1"/>
  <c r="I421" i="4"/>
  <c r="R421" i="4"/>
  <c r="X421" i="4"/>
  <c r="N271" i="4"/>
  <c r="AF271" i="4" s="1"/>
  <c r="AG271" i="4"/>
  <c r="AG326" i="4"/>
  <c r="N326" i="4"/>
  <c r="AF326" i="4" s="1"/>
  <c r="X161" i="6"/>
  <c r="AG263" i="4"/>
  <c r="N263" i="4"/>
  <c r="AF263" i="4" s="1"/>
  <c r="AG338" i="4"/>
  <c r="N338" i="4"/>
  <c r="AF338" i="4" s="1"/>
  <c r="X285" i="6"/>
  <c r="AC285" i="6" s="1"/>
  <c r="AE285" i="6" s="1"/>
  <c r="AE74" i="6"/>
  <c r="AC432" i="6"/>
  <c r="AE432" i="6" s="1"/>
  <c r="AC355" i="6"/>
  <c r="AE355" i="6" s="1"/>
  <c r="AG157" i="4"/>
  <c r="N157" i="4"/>
  <c r="AF157" i="4" s="1"/>
  <c r="X335" i="6"/>
  <c r="AC335" i="6" s="1"/>
  <c r="AE335" i="6" s="1"/>
  <c r="X14" i="6"/>
  <c r="AC14" i="6" s="1"/>
  <c r="AE14" i="6" s="1"/>
  <c r="X348" i="6"/>
  <c r="AG491" i="4"/>
  <c r="N491" i="4"/>
  <c r="AF491" i="4" s="1"/>
  <c r="I64" i="4"/>
  <c r="R64" i="4"/>
  <c r="AG191" i="4"/>
  <c r="N191" i="4"/>
  <c r="AF191" i="4" s="1"/>
  <c r="I374" i="4"/>
  <c r="R374" i="4"/>
  <c r="X374" i="4"/>
  <c r="X178" i="6"/>
  <c r="X114" i="6"/>
  <c r="AC114" i="6" s="1"/>
  <c r="AE114" i="6" s="1"/>
  <c r="AC162" i="6"/>
  <c r="AE162" i="6" s="1"/>
  <c r="AG392" i="4"/>
  <c r="N392" i="4"/>
  <c r="AF392" i="4" s="1"/>
  <c r="L278" i="4"/>
  <c r="R230" i="4"/>
  <c r="I230" i="4"/>
  <c r="AC384" i="6"/>
  <c r="AE384" i="6" s="1"/>
  <c r="AG293" i="4"/>
  <c r="N293" i="4"/>
  <c r="AF293" i="4" s="1"/>
  <c r="L136" i="4"/>
  <c r="N31" i="4"/>
  <c r="AF31" i="4" s="1"/>
  <c r="AG31" i="4"/>
  <c r="N255" i="4"/>
  <c r="AF255" i="4" s="1"/>
  <c r="AG255" i="4"/>
  <c r="L187" i="4"/>
  <c r="AC364" i="6"/>
  <c r="AE364" i="6" s="1"/>
  <c r="X128" i="6"/>
  <c r="L399" i="4"/>
  <c r="AC148" i="6"/>
  <c r="AE148" i="6" s="1"/>
  <c r="AG49" i="4"/>
  <c r="N49" i="4"/>
  <c r="AF49" i="4" s="1"/>
  <c r="L274" i="4"/>
  <c r="X91" i="6"/>
  <c r="X254" i="6"/>
  <c r="AG205" i="4"/>
  <c r="N205" i="4"/>
  <c r="AF205" i="4" s="1"/>
  <c r="L321" i="4"/>
  <c r="AA321" i="4" s="1"/>
  <c r="L52" i="4"/>
  <c r="L192" i="4"/>
  <c r="AC471" i="6"/>
  <c r="AE471" i="6" s="1"/>
  <c r="AG260" i="4"/>
  <c r="N260" i="4"/>
  <c r="AF260" i="4" s="1"/>
  <c r="X370" i="6"/>
  <c r="L123" i="4"/>
  <c r="AG308" i="4"/>
  <c r="N308" i="4"/>
  <c r="AF308" i="4" s="1"/>
  <c r="AG19" i="4"/>
  <c r="N19" i="4"/>
  <c r="AF19" i="4" s="1"/>
  <c r="AC55" i="6"/>
  <c r="AE55" i="6" s="1"/>
  <c r="AG53" i="4"/>
  <c r="N53" i="4"/>
  <c r="AF53" i="4" s="1"/>
  <c r="L340" i="4"/>
  <c r="AA340" i="4" s="1"/>
  <c r="AE111" i="6"/>
  <c r="R329" i="4"/>
  <c r="I329" i="4"/>
  <c r="X443" i="6"/>
  <c r="AG50" i="4"/>
  <c r="N50" i="4"/>
  <c r="AF50" i="4" s="1"/>
  <c r="L115" i="4"/>
  <c r="AA115" i="4" s="1"/>
  <c r="L459" i="4"/>
  <c r="X312" i="6"/>
  <c r="L163" i="4"/>
  <c r="R357" i="4"/>
  <c r="I357" i="4"/>
  <c r="N480" i="4"/>
  <c r="AF480" i="4" s="1"/>
  <c r="AG480" i="4"/>
  <c r="AP480" i="4" s="1"/>
  <c r="AO480" i="4" s="1"/>
  <c r="X195" i="6"/>
  <c r="AG30" i="4"/>
  <c r="N30" i="4"/>
  <c r="AF30" i="4" s="1"/>
  <c r="X379" i="6"/>
  <c r="AG319" i="4"/>
  <c r="N319" i="4"/>
  <c r="AF319" i="4" s="1"/>
  <c r="X196" i="6"/>
  <c r="R368" i="4"/>
  <c r="I368" i="4"/>
  <c r="AG155" i="4"/>
  <c r="N155" i="4"/>
  <c r="AF155" i="4" s="1"/>
  <c r="L77" i="4"/>
  <c r="L124" i="4"/>
  <c r="AG28" i="4"/>
  <c r="N28" i="4"/>
  <c r="AF28" i="4" s="1"/>
  <c r="L468" i="4"/>
  <c r="X224" i="6"/>
  <c r="L246" i="4"/>
  <c r="AA246" i="4" s="1"/>
  <c r="L96" i="4"/>
  <c r="L185" i="4"/>
  <c r="AG67" i="4"/>
  <c r="N67" i="4"/>
  <c r="AF67" i="4" s="1"/>
  <c r="AG27" i="4"/>
  <c r="N27" i="4"/>
  <c r="AF27" i="4" s="1"/>
  <c r="L151" i="4"/>
  <c r="R58" i="4"/>
  <c r="I58" i="4"/>
  <c r="X58" i="4"/>
  <c r="AG381" i="4"/>
  <c r="N381" i="4"/>
  <c r="AF381" i="4" s="1"/>
  <c r="L168" i="4"/>
  <c r="L110" i="4"/>
  <c r="AG387" i="4"/>
  <c r="N387" i="4"/>
  <c r="AF387" i="4" s="1"/>
  <c r="X249" i="6"/>
  <c r="AC249" i="6" s="1"/>
  <c r="AE249" i="6" s="1"/>
  <c r="N452" i="4"/>
  <c r="AF452" i="4" s="1"/>
  <c r="AG452" i="4"/>
  <c r="AP452" i="4" s="1"/>
  <c r="AO452" i="4" s="1"/>
  <c r="X269" i="6"/>
  <c r="AC269" i="6" s="1"/>
  <c r="AE269" i="6" s="1"/>
  <c r="AC231" i="6"/>
  <c r="AE231" i="6" s="1"/>
  <c r="X227" i="6"/>
  <c r="AC227" i="6" s="1"/>
  <c r="AC79" i="6"/>
  <c r="AE79" i="6" s="1"/>
  <c r="L284" i="4"/>
  <c r="AA284" i="4" s="1"/>
  <c r="X16" i="6"/>
  <c r="AG149" i="4"/>
  <c r="N149" i="4"/>
  <c r="AF149" i="4" s="1"/>
  <c r="X359" i="6"/>
  <c r="X380" i="6"/>
  <c r="AC338" i="6"/>
  <c r="AE338" i="6" s="1"/>
  <c r="N350" i="4"/>
  <c r="AF350" i="4" s="1"/>
  <c r="AG350" i="4"/>
  <c r="AC219" i="6"/>
  <c r="AE219" i="6" s="1"/>
  <c r="AG287" i="4"/>
  <c r="N287" i="4"/>
  <c r="AF287" i="4" s="1"/>
  <c r="X75" i="6"/>
  <c r="AG14" i="4"/>
  <c r="N14" i="4"/>
  <c r="AF14" i="4" s="1"/>
  <c r="X389" i="6"/>
  <c r="AC491" i="6"/>
  <c r="AE491" i="6" s="1"/>
  <c r="L458" i="4"/>
  <c r="AG180" i="4"/>
  <c r="N180" i="4"/>
  <c r="AF180" i="4" s="1"/>
  <c r="L104" i="4"/>
  <c r="AG64" i="4"/>
  <c r="N64" i="4"/>
  <c r="AF64" i="4" s="1"/>
  <c r="AG417" i="4"/>
  <c r="N417" i="4"/>
  <c r="AF417" i="4" s="1"/>
  <c r="X135" i="6"/>
  <c r="L317" i="4"/>
  <c r="AA317" i="4" s="1"/>
  <c r="X140" i="6"/>
  <c r="AC140" i="6" s="1"/>
  <c r="AE140" i="6" s="1"/>
  <c r="N345" i="4"/>
  <c r="AF345" i="4" s="1"/>
  <c r="AG345" i="4"/>
  <c r="L152" i="4"/>
  <c r="L277" i="4"/>
  <c r="L56" i="4"/>
  <c r="X315" i="6"/>
  <c r="AC315" i="6" s="1"/>
  <c r="AE315" i="6" s="1"/>
  <c r="L127" i="4"/>
  <c r="AG89" i="4"/>
  <c r="N89" i="4"/>
  <c r="AF89" i="4" s="1"/>
  <c r="L186" i="4"/>
  <c r="AG213" i="4"/>
  <c r="N213" i="4"/>
  <c r="AF213" i="4" s="1"/>
  <c r="L236" i="4"/>
  <c r="AA236" i="4" s="1"/>
  <c r="AG174" i="4"/>
  <c r="N174" i="4"/>
  <c r="AF174" i="4" s="1"/>
  <c r="AG384" i="4"/>
  <c r="N384" i="4"/>
  <c r="AF384" i="4" s="1"/>
  <c r="X225" i="6"/>
  <c r="AC225" i="6" s="1"/>
  <c r="AE225" i="6" s="1"/>
  <c r="X44" i="6"/>
  <c r="AC44" i="6" s="1"/>
  <c r="AE44" i="6" s="1"/>
  <c r="L137" i="4"/>
  <c r="L38" i="4"/>
  <c r="AG490" i="4"/>
  <c r="N490" i="4"/>
  <c r="AF490" i="4" s="1"/>
  <c r="AG126" i="4"/>
  <c r="N126" i="4"/>
  <c r="AF126" i="4" s="1"/>
  <c r="X455" i="6"/>
  <c r="AC455" i="6" s="1"/>
  <c r="AE455" i="6" s="1"/>
  <c r="X327" i="6"/>
  <c r="AG349" i="4"/>
  <c r="N349" i="4"/>
  <c r="AF349" i="4" s="1"/>
  <c r="L202" i="4"/>
  <c r="AE482" i="6"/>
  <c r="L80" i="4"/>
  <c r="AC94" i="6"/>
  <c r="AE94" i="6" s="1"/>
  <c r="L353" i="4"/>
  <c r="X34" i="6"/>
  <c r="X324" i="6"/>
  <c r="X475" i="6"/>
  <c r="X300" i="6"/>
  <c r="L212" i="4"/>
  <c r="L431" i="4"/>
  <c r="AG39" i="4"/>
  <c r="N39" i="4"/>
  <c r="AF39" i="4" s="1"/>
  <c r="AG279" i="4"/>
  <c r="N279" i="4"/>
  <c r="AF279" i="4" s="1"/>
  <c r="AG226" i="4"/>
  <c r="N226" i="4"/>
  <c r="AF226" i="4" s="1"/>
  <c r="AC341" i="6"/>
  <c r="AE341" i="6" s="1"/>
  <c r="X408" i="6"/>
  <c r="X266" i="6"/>
  <c r="AC266" i="6" s="1"/>
  <c r="AE266" i="6" s="1"/>
  <c r="L95" i="4"/>
  <c r="X260" i="6"/>
  <c r="AC260" i="6" s="1"/>
  <c r="AE260" i="6" s="1"/>
  <c r="X65" i="6"/>
  <c r="AG347" i="4"/>
  <c r="N347" i="4"/>
  <c r="AF347" i="4" s="1"/>
  <c r="L46" i="4"/>
  <c r="X413" i="6"/>
  <c r="X43" i="6"/>
  <c r="AG132" i="4"/>
  <c r="N132" i="4"/>
  <c r="AF132" i="4" s="1"/>
  <c r="AG100" i="4"/>
  <c r="N100" i="4"/>
  <c r="AF100" i="4" s="1"/>
  <c r="AG352" i="4"/>
  <c r="N352" i="4"/>
  <c r="AF352" i="4" s="1"/>
  <c r="AG404" i="4"/>
  <c r="N404" i="4"/>
  <c r="AF404" i="4" s="1"/>
  <c r="X40" i="6"/>
  <c r="X229" i="6"/>
  <c r="AG356" i="4"/>
  <c r="N356" i="4"/>
  <c r="AF356" i="4" s="1"/>
  <c r="AC244" i="6"/>
  <c r="AE244" i="6" s="1"/>
  <c r="X242" i="6"/>
  <c r="AG276" i="4"/>
  <c r="N276" i="4"/>
  <c r="AF276" i="4" s="1"/>
  <c r="L460" i="4"/>
  <c r="AC296" i="6"/>
  <c r="AE296" i="6" s="1"/>
  <c r="X179" i="6"/>
  <c r="N422" i="4"/>
  <c r="AF422" i="4" s="1"/>
  <c r="AG422" i="4"/>
  <c r="AG402" i="4"/>
  <c r="N402" i="4"/>
  <c r="AF402" i="4" s="1"/>
  <c r="AE54" i="6"/>
  <c r="X360" i="6"/>
  <c r="X281" i="6"/>
  <c r="AC130" i="6"/>
  <c r="AE130" i="6" s="1"/>
  <c r="X203" i="6"/>
  <c r="AG444" i="4"/>
  <c r="AP444" i="4" s="1"/>
  <c r="AO444" i="4" s="1"/>
  <c r="N444" i="4"/>
  <c r="AF444" i="4" s="1"/>
  <c r="L450" i="4"/>
  <c r="L371" i="4"/>
  <c r="L377" i="4"/>
  <c r="L134" i="4"/>
  <c r="X270" i="6"/>
  <c r="X257" i="6"/>
  <c r="AG265" i="4"/>
  <c r="N265" i="4"/>
  <c r="AF265" i="4" s="1"/>
  <c r="L301" i="4"/>
  <c r="AA301" i="4" s="1"/>
  <c r="AC234" i="6"/>
  <c r="AE234" i="6" s="1"/>
  <c r="X290" i="6"/>
  <c r="AG240" i="4"/>
  <c r="N240" i="4"/>
  <c r="AF240" i="4" s="1"/>
  <c r="AG51" i="4"/>
  <c r="N51" i="4"/>
  <c r="AF51" i="4" s="1"/>
  <c r="R400" i="4"/>
  <c r="I400" i="4"/>
  <c r="N487" i="4"/>
  <c r="AF487" i="4" s="1"/>
  <c r="AG487" i="4"/>
  <c r="AP487" i="4" s="1"/>
  <c r="AO487" i="4" s="1"/>
  <c r="R237" i="4"/>
  <c r="I237" i="4"/>
  <c r="AG298" i="4"/>
  <c r="N298" i="4"/>
  <c r="AF298" i="4" s="1"/>
  <c r="R63" i="4"/>
  <c r="I63" i="4"/>
  <c r="AC217" i="6"/>
  <c r="AE217" i="6" s="1"/>
  <c r="AC258" i="6"/>
  <c r="AE258" i="6" s="1"/>
  <c r="R66" i="4"/>
  <c r="I66" i="4"/>
  <c r="AG125" i="4"/>
  <c r="N125" i="4"/>
  <c r="AF125" i="4" s="1"/>
  <c r="I109" i="4"/>
  <c r="R109" i="4"/>
  <c r="X109" i="4"/>
  <c r="AC448" i="6"/>
  <c r="AE448" i="6" s="1"/>
  <c r="N419" i="4"/>
  <c r="AF419" i="4" s="1"/>
  <c r="AG419" i="4"/>
  <c r="AG26" i="4"/>
  <c r="N26" i="4"/>
  <c r="AF26" i="4" s="1"/>
  <c r="I378" i="4"/>
  <c r="R378" i="4"/>
  <c r="X378" i="4"/>
  <c r="AG171" i="4"/>
  <c r="N171" i="4"/>
  <c r="AF171" i="4" s="1"/>
  <c r="R216" i="4"/>
  <c r="AG282" i="4"/>
  <c r="N282" i="4"/>
  <c r="AF282" i="4" s="1"/>
  <c r="AG121" i="4"/>
  <c r="N121" i="4"/>
  <c r="AF121" i="4" s="1"/>
  <c r="I174" i="4"/>
  <c r="R174" i="4"/>
  <c r="R461" i="4"/>
  <c r="X461" i="4"/>
  <c r="I461" i="4"/>
  <c r="AG280" i="4"/>
  <c r="N280" i="4"/>
  <c r="AF280" i="4" s="1"/>
  <c r="L251" i="4"/>
  <c r="R470" i="4"/>
  <c r="I470" i="4"/>
  <c r="R364" i="4"/>
  <c r="I364" i="4"/>
  <c r="X364" i="4"/>
  <c r="I94" i="4"/>
  <c r="R94" i="4"/>
  <c r="AG90" i="4"/>
  <c r="N90" i="4"/>
  <c r="AF90" i="4" s="1"/>
  <c r="AG150" i="4"/>
  <c r="N150" i="4"/>
  <c r="AF150" i="4" s="1"/>
  <c r="R492" i="4"/>
  <c r="I492" i="4"/>
  <c r="X492" i="4"/>
  <c r="N475" i="4"/>
  <c r="AF475" i="4" s="1"/>
  <c r="AG475" i="4"/>
  <c r="AP475" i="4" s="1"/>
  <c r="AO475" i="4" s="1"/>
  <c r="AG300" i="4"/>
  <c r="N300" i="4"/>
  <c r="AF300" i="4" s="1"/>
  <c r="AG212" i="4"/>
  <c r="N212" i="4"/>
  <c r="AF212" i="4" s="1"/>
  <c r="AG214" i="4"/>
  <c r="N214" i="4"/>
  <c r="AF214" i="4" s="1"/>
  <c r="AG343" i="4"/>
  <c r="N343" i="4"/>
  <c r="AF343" i="4" s="1"/>
  <c r="AG334" i="4"/>
  <c r="N334" i="4"/>
  <c r="AF334" i="4" s="1"/>
  <c r="L101" i="4"/>
  <c r="X48" i="6"/>
  <c r="AG370" i="4"/>
  <c r="N370" i="4"/>
  <c r="AF370" i="4" s="1"/>
  <c r="L182" i="4"/>
  <c r="L12" i="4"/>
  <c r="X12" i="4" s="1"/>
  <c r="W12" i="4" s="1"/>
  <c r="J7" i="4"/>
  <c r="I19" i="4"/>
  <c r="R19" i="4"/>
  <c r="R55" i="4"/>
  <c r="I55" i="4"/>
  <c r="AG209" i="4"/>
  <c r="N209" i="4"/>
  <c r="AF209" i="4" s="1"/>
  <c r="AG329" i="4"/>
  <c r="N329" i="4"/>
  <c r="AF329" i="4" s="1"/>
  <c r="AG25" i="4"/>
  <c r="N25" i="4"/>
  <c r="AF25" i="4" s="1"/>
  <c r="AG430" i="4"/>
  <c r="N430" i="4"/>
  <c r="AF430" i="4" s="1"/>
  <c r="L352" i="4"/>
  <c r="L117" i="4"/>
  <c r="AG105" i="4"/>
  <c r="N105" i="4"/>
  <c r="AF105" i="4" s="1"/>
  <c r="AG142" i="4"/>
  <c r="N142" i="4"/>
  <c r="AF142" i="4" s="1"/>
  <c r="R54" i="4"/>
  <c r="I54" i="4"/>
  <c r="R447" i="4"/>
  <c r="I447" i="4"/>
  <c r="X401" i="6"/>
  <c r="AG281" i="4"/>
  <c r="N281" i="4"/>
  <c r="AF281" i="4" s="1"/>
  <c r="X153" i="6"/>
  <c r="AG203" i="4"/>
  <c r="N203" i="4"/>
  <c r="AF203" i="4" s="1"/>
  <c r="AG204" i="4"/>
  <c r="N204" i="4"/>
  <c r="AF204" i="4" s="1"/>
  <c r="AG436" i="4"/>
  <c r="N436" i="4"/>
  <c r="AF436" i="4" s="1"/>
  <c r="X330" i="6"/>
  <c r="AG70" i="4"/>
  <c r="N70" i="4"/>
  <c r="AF70" i="4" s="1"/>
  <c r="AC27" i="6"/>
  <c r="AE27" i="6" s="1"/>
  <c r="X435" i="6"/>
  <c r="AC63" i="6"/>
  <c r="AE63" i="6" s="1"/>
  <c r="AG237" i="4"/>
  <c r="N237" i="4"/>
  <c r="AF237" i="4" s="1"/>
  <c r="L387" i="4"/>
  <c r="AG141" i="4"/>
  <c r="N141" i="4"/>
  <c r="AF141" i="4" s="1"/>
  <c r="AC66" i="6"/>
  <c r="AE66" i="6" s="1"/>
  <c r="I231" i="4"/>
  <c r="R231" i="4"/>
  <c r="AG284" i="4"/>
  <c r="N284" i="4"/>
  <c r="AF284" i="4" s="1"/>
  <c r="L463" i="4"/>
  <c r="R454" i="4"/>
  <c r="I454" i="4"/>
  <c r="I464" i="4"/>
  <c r="R464" i="4"/>
  <c r="R239" i="4"/>
  <c r="I239" i="4"/>
  <c r="X176" i="6"/>
  <c r="AC119" i="6"/>
  <c r="AE119" i="6" s="1"/>
  <c r="R235" i="4"/>
  <c r="I235" i="4"/>
  <c r="AC191" i="6"/>
  <c r="AE191" i="6" s="1"/>
  <c r="L171" i="4"/>
  <c r="AG114" i="4"/>
  <c r="N114" i="4"/>
  <c r="AF114" i="4" s="1"/>
  <c r="I297" i="4"/>
  <c r="R297" i="4"/>
  <c r="AG56" i="4"/>
  <c r="N56" i="4"/>
  <c r="AF56" i="4" s="1"/>
  <c r="AG120" i="4"/>
  <c r="N120" i="4"/>
  <c r="AF120" i="4" s="1"/>
  <c r="AG339" i="4"/>
  <c r="N339" i="4"/>
  <c r="AF339" i="4" s="1"/>
  <c r="AG261" i="4"/>
  <c r="N261" i="4"/>
  <c r="AF261" i="4" s="1"/>
  <c r="R373" i="4"/>
  <c r="I373" i="4"/>
  <c r="X373" i="4"/>
  <c r="X414" i="4"/>
  <c r="R414" i="4"/>
  <c r="I414" i="4"/>
  <c r="X88" i="6"/>
  <c r="R17" i="4"/>
  <c r="I17" i="4"/>
  <c r="L490" i="4"/>
  <c r="N420" i="4"/>
  <c r="AF420" i="4" s="1"/>
  <c r="AG420" i="4"/>
  <c r="AG160" i="4"/>
  <c r="N160" i="4"/>
  <c r="AF160" i="4" s="1"/>
  <c r="L255" i="4"/>
  <c r="X305" i="6"/>
  <c r="AC310" i="6"/>
  <c r="AE310" i="6" s="1"/>
  <c r="R166" i="4"/>
  <c r="I166" i="4"/>
  <c r="AG353" i="4"/>
  <c r="N353" i="4"/>
  <c r="AF353" i="4" s="1"/>
  <c r="L81" i="4"/>
  <c r="L49" i="4"/>
  <c r="AG492" i="4"/>
  <c r="N492" i="4"/>
  <c r="AF492" i="4" s="1"/>
  <c r="N478" i="4"/>
  <c r="AF478" i="4" s="1"/>
  <c r="AG478" i="4"/>
  <c r="AP478" i="4" s="1"/>
  <c r="AO478" i="4" s="1"/>
  <c r="AG181" i="4"/>
  <c r="N181" i="4"/>
  <c r="AF181" i="4" s="1"/>
  <c r="L441" i="4"/>
  <c r="L57" i="4"/>
  <c r="AG199" i="4"/>
  <c r="N199" i="4"/>
  <c r="AF199" i="4" s="1"/>
  <c r="L311" i="4"/>
  <c r="L465" i="4"/>
  <c r="AG220" i="4"/>
  <c r="N220" i="4"/>
  <c r="AF220" i="4" s="1"/>
  <c r="I308" i="4"/>
  <c r="R308" i="4"/>
  <c r="L32" i="4"/>
  <c r="AG78" i="4"/>
  <c r="N78" i="4"/>
  <c r="AF78" i="4" s="1"/>
  <c r="L337" i="4"/>
  <c r="N413" i="4"/>
  <c r="AF413" i="4" s="1"/>
  <c r="AG413" i="4"/>
  <c r="AE329" i="6"/>
  <c r="AG443" i="4"/>
  <c r="AP443" i="4" s="1"/>
  <c r="AO443" i="4" s="1"/>
  <c r="N443" i="4"/>
  <c r="AF443" i="4" s="1"/>
  <c r="L451" i="4"/>
  <c r="R453" i="4"/>
  <c r="I453" i="4"/>
  <c r="X453" i="4"/>
  <c r="L404" i="4"/>
  <c r="R22" i="4"/>
  <c r="I22" i="4"/>
  <c r="X276" i="6"/>
  <c r="AE232" i="6"/>
  <c r="AG163" i="4"/>
  <c r="N163" i="4"/>
  <c r="AF163" i="4" s="1"/>
  <c r="AC357" i="6"/>
  <c r="AE357" i="6" s="1"/>
  <c r="N447" i="4"/>
  <c r="AF447" i="4" s="1"/>
  <c r="AG447" i="4"/>
  <c r="AP447" i="4" s="1"/>
  <c r="AO447" i="4" s="1"/>
  <c r="R197" i="4"/>
  <c r="I197" i="4"/>
  <c r="N483" i="4"/>
  <c r="AF483" i="4" s="1"/>
  <c r="AG483" i="4"/>
  <c r="AP483" i="4" s="1"/>
  <c r="AO483" i="4" s="1"/>
  <c r="R204" i="4"/>
  <c r="I204" i="4"/>
  <c r="AG77" i="4"/>
  <c r="N77" i="4"/>
  <c r="AF77" i="4" s="1"/>
  <c r="X303" i="6"/>
  <c r="AG198" i="4"/>
  <c r="N198" i="4"/>
  <c r="AF198" i="4" s="1"/>
  <c r="AG270" i="4"/>
  <c r="N270" i="4"/>
  <c r="AF270" i="4" s="1"/>
  <c r="I265" i="4"/>
  <c r="R265" i="4"/>
  <c r="AG342" i="4"/>
  <c r="N342" i="4"/>
  <c r="AF342" i="4" s="1"/>
  <c r="AG241" i="4"/>
  <c r="N241" i="4"/>
  <c r="AF241" i="4" s="1"/>
  <c r="R105" i="4"/>
  <c r="I105" i="4"/>
  <c r="L172" i="4"/>
  <c r="L69" i="4"/>
  <c r="N472" i="4"/>
  <c r="AF472" i="4" s="1"/>
  <c r="AG472" i="4"/>
  <c r="AP472" i="4" s="1"/>
  <c r="AO472" i="4" s="1"/>
  <c r="AG371" i="4"/>
  <c r="N371" i="4"/>
  <c r="AF371" i="4" s="1"/>
  <c r="X24" i="6"/>
  <c r="X457" i="6"/>
  <c r="N409" i="4"/>
  <c r="AF409" i="4" s="1"/>
  <c r="AG409" i="4"/>
  <c r="AE265" i="6"/>
  <c r="R198" i="4"/>
  <c r="I198" i="4"/>
  <c r="L342" i="4"/>
  <c r="R222" i="4"/>
  <c r="I222" i="4"/>
  <c r="AG131" i="4"/>
  <c r="N131" i="4"/>
  <c r="AF131" i="4" s="1"/>
  <c r="X487" i="6"/>
  <c r="AC487" i="6" s="1"/>
  <c r="AE487" i="6" s="1"/>
  <c r="AG73" i="4"/>
  <c r="N73" i="4"/>
  <c r="AF73" i="4" s="1"/>
  <c r="I92" i="4"/>
  <c r="R92" i="4"/>
  <c r="AG344" i="4"/>
  <c r="N344" i="4"/>
  <c r="AF344" i="4" s="1"/>
  <c r="R428" i="4"/>
  <c r="I428" i="4"/>
  <c r="X428" i="4"/>
  <c r="AG217" i="4"/>
  <c r="N217" i="4"/>
  <c r="AF217" i="4" s="1"/>
  <c r="L385" i="4"/>
  <c r="X33" i="6"/>
  <c r="N488" i="4"/>
  <c r="AF488" i="4" s="1"/>
  <c r="AG488" i="4"/>
  <c r="R467" i="4"/>
  <c r="I467" i="4"/>
  <c r="AG479" i="4"/>
  <c r="AP479" i="4" s="1"/>
  <c r="AO479" i="4" s="1"/>
  <c r="N479" i="4"/>
  <c r="AF479" i="4" s="1"/>
  <c r="N365" i="4"/>
  <c r="AF365" i="4" s="1"/>
  <c r="AG365" i="4"/>
  <c r="AG47" i="4"/>
  <c r="N47" i="4"/>
  <c r="AF47" i="4" s="1"/>
  <c r="AG361" i="4"/>
  <c r="N361" i="4"/>
  <c r="AF361" i="4" s="1"/>
  <c r="X112" i="6"/>
  <c r="AG421" i="4"/>
  <c r="N421" i="4"/>
  <c r="AF421" i="4" s="1"/>
  <c r="X139" i="6"/>
  <c r="AC139" i="6" s="1"/>
  <c r="AE139" i="6" s="1"/>
  <c r="AG16" i="4"/>
  <c r="N16" i="4"/>
  <c r="AF16" i="4" s="1"/>
  <c r="X366" i="6"/>
  <c r="AC464" i="6"/>
  <c r="AE464" i="6" s="1"/>
  <c r="L285" i="4"/>
  <c r="AA285" i="4" s="1"/>
  <c r="X287" i="6"/>
  <c r="AC287" i="6" s="1"/>
  <c r="AE287" i="6" s="1"/>
  <c r="X333" i="6"/>
  <c r="AC333" i="6" s="1"/>
  <c r="AE333" i="6" s="1"/>
  <c r="L335" i="4"/>
  <c r="AA335" i="4" s="1"/>
  <c r="L14" i="4"/>
  <c r="L348" i="4"/>
  <c r="N396" i="4"/>
  <c r="AF396" i="4" s="1"/>
  <c r="AG396" i="4"/>
  <c r="X388" i="6"/>
  <c r="AC388" i="6" s="1"/>
  <c r="AE388" i="6" s="1"/>
  <c r="AG140" i="4"/>
  <c r="N140" i="4"/>
  <c r="AF140" i="4" s="1"/>
  <c r="L114" i="4"/>
  <c r="AG297" i="4"/>
  <c r="N297" i="4"/>
  <c r="AF297" i="4" s="1"/>
  <c r="I189" i="4"/>
  <c r="R189" i="4"/>
  <c r="X189" i="4"/>
  <c r="N407" i="4"/>
  <c r="AF407" i="4" s="1"/>
  <c r="AG407" i="4"/>
  <c r="AG248" i="4"/>
  <c r="N248" i="4"/>
  <c r="AF248" i="4" s="1"/>
  <c r="AG383" i="4"/>
  <c r="N383" i="4"/>
  <c r="AF383" i="4" s="1"/>
  <c r="X89" i="6"/>
  <c r="AC461" i="6"/>
  <c r="AE461" i="6" s="1"/>
  <c r="AG44" i="4"/>
  <c r="N44" i="4"/>
  <c r="AF44" i="4" s="1"/>
  <c r="L466" i="4"/>
  <c r="X424" i="6"/>
  <c r="AG88" i="4"/>
  <c r="N88" i="4"/>
  <c r="AF88" i="4" s="1"/>
  <c r="AG138" i="4"/>
  <c r="N138" i="4"/>
  <c r="AF138" i="4" s="1"/>
  <c r="AG103" i="4"/>
  <c r="N103" i="4"/>
  <c r="AF103" i="4" s="1"/>
  <c r="L128" i="4"/>
  <c r="X286" i="6"/>
  <c r="AC286" i="6" s="1"/>
  <c r="AE286" i="6" s="1"/>
  <c r="AG441" i="4"/>
  <c r="N441" i="4"/>
  <c r="AF441" i="4" s="1"/>
  <c r="AG431" i="4"/>
  <c r="N431" i="4"/>
  <c r="AF431" i="4" s="1"/>
  <c r="X456" i="6"/>
  <c r="L91" i="4"/>
  <c r="AG107" i="4"/>
  <c r="N107" i="4"/>
  <c r="AF107" i="4" s="1"/>
  <c r="AG309" i="4"/>
  <c r="N309" i="4"/>
  <c r="AF309" i="4" s="1"/>
  <c r="X205" i="6"/>
  <c r="AG154" i="4"/>
  <c r="N154" i="4"/>
  <c r="AF154" i="4" s="1"/>
  <c r="AG321" i="4"/>
  <c r="N321" i="4"/>
  <c r="AF321" i="4" s="1"/>
  <c r="X363" i="6"/>
  <c r="AG318" i="4"/>
  <c r="N318" i="4"/>
  <c r="AF318" i="4" s="1"/>
  <c r="L370" i="4"/>
  <c r="AC306" i="6"/>
  <c r="AE306" i="6" s="1"/>
  <c r="O7" i="4"/>
  <c r="F16" i="22" s="1"/>
  <c r="N12" i="4"/>
  <c r="AG12" i="4"/>
  <c r="X340" i="6"/>
  <c r="N418" i="4"/>
  <c r="AF418" i="4" s="1"/>
  <c r="AG418" i="4"/>
  <c r="X144" i="6"/>
  <c r="AG40" i="4"/>
  <c r="N40" i="4"/>
  <c r="AF40" i="4" s="1"/>
  <c r="X480" i="6"/>
  <c r="L195" i="4"/>
  <c r="L379" i="4"/>
  <c r="L196" i="4"/>
  <c r="X444" i="6"/>
  <c r="AC416" i="6"/>
  <c r="AE416" i="6" s="1"/>
  <c r="AG307" i="4"/>
  <c r="N307" i="4"/>
  <c r="AF307" i="4" s="1"/>
  <c r="X445" i="6"/>
  <c r="L224" i="4"/>
  <c r="AG246" i="4"/>
  <c r="N246" i="4"/>
  <c r="AF246" i="4" s="1"/>
  <c r="AC400" i="6"/>
  <c r="AE400" i="6" s="1"/>
  <c r="X108" i="6"/>
  <c r="AC108" i="6" s="1"/>
  <c r="AE108" i="6" s="1"/>
  <c r="X67" i="6"/>
  <c r="AC67" i="6" s="1"/>
  <c r="AE67" i="6" s="1"/>
  <c r="N438" i="4"/>
  <c r="AF438" i="4" s="1"/>
  <c r="AG438" i="4"/>
  <c r="AP438" i="4" s="1"/>
  <c r="AO438" i="4" s="1"/>
  <c r="AC376" i="6"/>
  <c r="AE376" i="6" s="1"/>
  <c r="X369" i="6"/>
  <c r="X391" i="6"/>
  <c r="AC391" i="6" s="1"/>
  <c r="AG243" i="4"/>
  <c r="N243" i="4"/>
  <c r="AF243" i="4" s="1"/>
  <c r="L249" i="4"/>
  <c r="L269" i="4"/>
  <c r="L238" i="4"/>
  <c r="X133" i="6"/>
  <c r="AC133" i="6" s="1"/>
  <c r="AE133" i="6" s="1"/>
  <c r="L227" i="4"/>
  <c r="AA227" i="4" s="1"/>
  <c r="AG395" i="4"/>
  <c r="N395" i="4"/>
  <c r="AF395" i="4" s="1"/>
  <c r="X361" i="6"/>
  <c r="L16" i="4"/>
  <c r="N247" i="4"/>
  <c r="AF247" i="4" s="1"/>
  <c r="AG247" i="4"/>
  <c r="L359" i="4"/>
  <c r="L380" i="4"/>
  <c r="AA380" i="4" s="1"/>
  <c r="Z380" i="4" s="1"/>
  <c r="AC262" i="6"/>
  <c r="AE262" i="6" s="1"/>
  <c r="R125" i="4"/>
  <c r="I125" i="4"/>
  <c r="AG239" i="4"/>
  <c r="N239" i="4"/>
  <c r="AF239" i="4" s="1"/>
  <c r="X393" i="6"/>
  <c r="L403" i="4"/>
  <c r="AG109" i="4"/>
  <c r="N109" i="4"/>
  <c r="AF109" i="4" s="1"/>
  <c r="R215" i="4"/>
  <c r="I215" i="4"/>
  <c r="L75" i="4"/>
  <c r="L389" i="4"/>
  <c r="X104" i="6"/>
  <c r="AG76" i="4"/>
  <c r="N76" i="4"/>
  <c r="AF76" i="4" s="1"/>
  <c r="L135" i="4"/>
  <c r="X145" i="6"/>
  <c r="AC145" i="6" s="1"/>
  <c r="L140" i="4"/>
  <c r="X426" i="6"/>
  <c r="X282" i="6"/>
  <c r="AC121" i="6"/>
  <c r="AE121" i="6" s="1"/>
  <c r="L315" i="4"/>
  <c r="AA315" i="4" s="1"/>
  <c r="AG332" i="4"/>
  <c r="N332" i="4"/>
  <c r="AF332" i="4" s="1"/>
  <c r="X392" i="6"/>
  <c r="AC261" i="6"/>
  <c r="AE261" i="6" s="1"/>
  <c r="AG373" i="4"/>
  <c r="N373" i="4"/>
  <c r="AF373" i="4" s="1"/>
  <c r="L225" i="4"/>
  <c r="L44" i="4"/>
  <c r="AC293" i="6"/>
  <c r="AE293" i="6" s="1"/>
  <c r="L138" i="4"/>
  <c r="AG17" i="4"/>
  <c r="N17" i="4"/>
  <c r="AF17" i="4" s="1"/>
  <c r="L455" i="4"/>
  <c r="L327" i="4"/>
  <c r="AA327" i="4" s="1"/>
  <c r="AG187" i="4"/>
  <c r="N187" i="4"/>
  <c r="AF187" i="4" s="1"/>
  <c r="X349" i="6"/>
  <c r="X295" i="6"/>
  <c r="AG80" i="4"/>
  <c r="N80" i="4"/>
  <c r="AF80" i="4" s="1"/>
  <c r="AG188" i="4"/>
  <c r="N188" i="4"/>
  <c r="AF188" i="4" s="1"/>
  <c r="L34" i="4"/>
  <c r="AG158" i="4"/>
  <c r="N158" i="4"/>
  <c r="AF158" i="4" s="1"/>
  <c r="L324" i="4"/>
  <c r="L475" i="4"/>
  <c r="L300" i="4"/>
  <c r="AA300" i="4" s="1"/>
  <c r="AC146" i="6"/>
  <c r="AE146" i="6" s="1"/>
  <c r="AC351" i="6"/>
  <c r="AE351" i="6" s="1"/>
  <c r="X207" i="6"/>
  <c r="X256" i="6"/>
  <c r="AC256" i="6" s="1"/>
  <c r="AE256" i="6" s="1"/>
  <c r="X107" i="6"/>
  <c r="AG363" i="4"/>
  <c r="N363" i="4"/>
  <c r="AF363" i="4" s="1"/>
  <c r="AG52" i="4"/>
  <c r="N52" i="4"/>
  <c r="AF52" i="4" s="1"/>
  <c r="X211" i="6"/>
  <c r="AG101" i="4"/>
  <c r="N101" i="4"/>
  <c r="AF101" i="4" s="1"/>
  <c r="L408" i="4"/>
  <c r="L266" i="4"/>
  <c r="X45" i="6"/>
  <c r="L260" i="4"/>
  <c r="AG182" i="4"/>
  <c r="N182" i="4"/>
  <c r="AF182" i="4" s="1"/>
  <c r="AG60" i="4"/>
  <c r="N60" i="4"/>
  <c r="AF60" i="4" s="1"/>
  <c r="L65" i="4"/>
  <c r="AC19" i="6"/>
  <c r="AE19" i="6" s="1"/>
  <c r="L413" i="4"/>
  <c r="L43" i="4"/>
  <c r="AG190" i="4"/>
  <c r="N190" i="4"/>
  <c r="AF190" i="4" s="1"/>
  <c r="L40" i="4"/>
  <c r="L229" i="4"/>
  <c r="L242" i="4"/>
  <c r="X460" i="6"/>
  <c r="L179" i="4"/>
  <c r="AG427" i="4"/>
  <c r="N427" i="4"/>
  <c r="AF427" i="4" s="1"/>
  <c r="L360" i="4"/>
  <c r="L281" i="4"/>
  <c r="L203" i="4"/>
  <c r="AG382" i="4"/>
  <c r="N382" i="4"/>
  <c r="AF382" i="4" s="1"/>
  <c r="X405" i="6"/>
  <c r="X208" i="6"/>
  <c r="AG346" i="4"/>
  <c r="N346" i="4"/>
  <c r="AF346" i="4" s="1"/>
  <c r="X354" i="6"/>
  <c r="L270" i="4"/>
  <c r="AG440" i="4"/>
  <c r="AP440" i="4" s="1"/>
  <c r="AO440" i="4" s="1"/>
  <c r="N440" i="4"/>
  <c r="AF440" i="4" s="1"/>
  <c r="L257" i="4"/>
  <c r="AG224" i="4"/>
  <c r="N224" i="4"/>
  <c r="AF224" i="4" s="1"/>
  <c r="AG167" i="4"/>
  <c r="N167" i="4"/>
  <c r="AF167" i="4" s="1"/>
  <c r="L290" i="4"/>
  <c r="N110" i="4"/>
  <c r="AF110" i="4" s="1"/>
  <c r="AG110" i="4"/>
  <c r="I397" i="4"/>
  <c r="R397" i="4"/>
  <c r="X397" i="4"/>
  <c r="AG391" i="4"/>
  <c r="N391" i="4"/>
  <c r="AF391" i="4" s="1"/>
  <c r="AC467" i="6"/>
  <c r="AE467" i="6" s="1"/>
  <c r="AG473" i="4"/>
  <c r="N473" i="4"/>
  <c r="AF473" i="4" s="1"/>
  <c r="AC469" i="6"/>
  <c r="AE469" i="6" s="1"/>
  <c r="AC131" i="6"/>
  <c r="AE131" i="6" s="1"/>
  <c r="AC184" i="6"/>
  <c r="AE184" i="6" s="1"/>
  <c r="AG193" i="4"/>
  <c r="N193" i="4"/>
  <c r="AF193" i="4" s="1"/>
  <c r="I376" i="4"/>
  <c r="R376" i="4"/>
  <c r="X376" i="4"/>
  <c r="R243" i="4"/>
  <c r="I243" i="4"/>
  <c r="AE83" i="6"/>
  <c r="X298" i="6"/>
  <c r="X429" i="6"/>
  <c r="R15" i="4"/>
  <c r="I15" i="4"/>
  <c r="L395" i="4"/>
  <c r="R79" i="4"/>
  <c r="I79" i="4"/>
  <c r="AC201" i="6"/>
  <c r="AE201" i="6" s="1"/>
  <c r="AG161" i="4"/>
  <c r="N161" i="4"/>
  <c r="AF161" i="4" s="1"/>
  <c r="X218" i="6"/>
  <c r="I432" i="4"/>
  <c r="R432" i="4"/>
  <c r="X432" i="4"/>
  <c r="AG403" i="4"/>
  <c r="N403" i="4"/>
  <c r="AF403" i="4" s="1"/>
  <c r="R221" i="4"/>
  <c r="I221" i="4"/>
  <c r="I491" i="4"/>
  <c r="X491" i="4"/>
  <c r="R491" i="4"/>
  <c r="AC235" i="6"/>
  <c r="AE235" i="6" s="1"/>
  <c r="I106" i="4"/>
  <c r="R106" i="4"/>
  <c r="AC297" i="6"/>
  <c r="AE297" i="6" s="1"/>
  <c r="X273" i="6"/>
  <c r="N390" i="4"/>
  <c r="AF390" i="4" s="1"/>
  <c r="AG390" i="4"/>
  <c r="AG314" i="4"/>
  <c r="N314" i="4"/>
  <c r="AF314" i="4" s="1"/>
  <c r="AG236" i="4"/>
  <c r="N236" i="4"/>
  <c r="AF236" i="4" s="1"/>
  <c r="AG278" i="4"/>
  <c r="N278" i="4"/>
  <c r="AF278" i="4" s="1"/>
  <c r="R325" i="4"/>
  <c r="I325" i="4"/>
  <c r="AC373" i="6"/>
  <c r="AE373" i="6" s="1"/>
  <c r="L68" i="4"/>
  <c r="R252" i="4"/>
  <c r="I252" i="4"/>
  <c r="N336" i="4"/>
  <c r="AF336" i="4" s="1"/>
  <c r="AG336" i="4"/>
  <c r="AG166" i="4"/>
  <c r="N166" i="4"/>
  <c r="AF166" i="4" s="1"/>
  <c r="R188" i="4"/>
  <c r="I188" i="4"/>
  <c r="AG118" i="4"/>
  <c r="N118" i="4"/>
  <c r="AF118" i="4" s="1"/>
  <c r="AG351" i="4"/>
  <c r="N351" i="4"/>
  <c r="AF351" i="4" s="1"/>
  <c r="AG91" i="4"/>
  <c r="N91" i="4"/>
  <c r="AF91" i="4" s="1"/>
  <c r="I341" i="4"/>
  <c r="R341" i="4"/>
  <c r="L48" i="4"/>
  <c r="AG394" i="4"/>
  <c r="N394" i="4"/>
  <c r="AF394" i="4" s="1"/>
  <c r="AG32" i="4"/>
  <c r="N32" i="4"/>
  <c r="AF32" i="4" s="1"/>
  <c r="I53" i="4"/>
  <c r="R53" i="4"/>
  <c r="R111" i="4"/>
  <c r="I111" i="4"/>
  <c r="X190" i="6"/>
  <c r="AG115" i="4"/>
  <c r="N115" i="4"/>
  <c r="AF115" i="4" s="1"/>
  <c r="N433" i="4"/>
  <c r="AF433" i="4" s="1"/>
  <c r="AG433" i="4"/>
  <c r="AP433" i="4" s="1"/>
  <c r="AO433" i="4" s="1"/>
  <c r="AG453" i="4"/>
  <c r="N453" i="4"/>
  <c r="AF453" i="4" s="1"/>
  <c r="AG229" i="4"/>
  <c r="N229" i="4"/>
  <c r="AF229" i="4" s="1"/>
  <c r="R244" i="4"/>
  <c r="I244" i="4"/>
  <c r="L18" i="4"/>
  <c r="AA18" i="4" s="1"/>
  <c r="Z18" i="4" s="1"/>
  <c r="AG87" i="4"/>
  <c r="N87" i="4"/>
  <c r="AF87" i="4" s="1"/>
  <c r="AG41" i="4"/>
  <c r="N41" i="4"/>
  <c r="AF41" i="4" s="1"/>
  <c r="R86" i="4"/>
  <c r="I86" i="4"/>
  <c r="AG195" i="4"/>
  <c r="N195" i="4"/>
  <c r="AF195" i="4" s="1"/>
  <c r="L401" i="4"/>
  <c r="AA401" i="4" s="1"/>
  <c r="Z401" i="4" s="1"/>
  <c r="AG164" i="4"/>
  <c r="N164" i="4"/>
  <c r="AF164" i="4" s="1"/>
  <c r="L153" i="4"/>
  <c r="N416" i="4"/>
  <c r="AF416" i="4" s="1"/>
  <c r="AG416" i="4"/>
  <c r="L330" i="4"/>
  <c r="R484" i="4"/>
  <c r="I484" i="4"/>
  <c r="AG184" i="4"/>
  <c r="N184" i="4"/>
  <c r="AF184" i="4" s="1"/>
  <c r="L435" i="4"/>
  <c r="AC428" i="6"/>
  <c r="AE428" i="6" s="1"/>
  <c r="AG133" i="4"/>
  <c r="N133" i="4"/>
  <c r="AF133" i="4" s="1"/>
  <c r="R245" i="4"/>
  <c r="I245" i="4"/>
  <c r="AG227" i="4"/>
  <c r="N227" i="4"/>
  <c r="AF227" i="4" s="1"/>
  <c r="R386" i="4"/>
  <c r="I386" i="4"/>
  <c r="N462" i="4"/>
  <c r="AF462" i="4" s="1"/>
  <c r="AG462" i="4"/>
  <c r="AP462" i="4" s="1"/>
  <c r="AO462" i="4" s="1"/>
  <c r="X149" i="6"/>
  <c r="R247" i="4"/>
  <c r="I247" i="4"/>
  <c r="R469" i="4"/>
  <c r="I469" i="4"/>
  <c r="AG143" i="4"/>
  <c r="N143" i="4"/>
  <c r="AF143" i="4" s="1"/>
  <c r="X71" i="6"/>
  <c r="AG219" i="4"/>
  <c r="N219" i="4"/>
  <c r="AF219" i="4" s="1"/>
  <c r="AG62" i="4"/>
  <c r="N62" i="4"/>
  <c r="AF62" i="4" s="1"/>
  <c r="AG221" i="4"/>
  <c r="N221" i="4"/>
  <c r="AF221" i="4" s="1"/>
  <c r="L176" i="4"/>
  <c r="N135" i="4"/>
  <c r="AF135" i="4" s="1"/>
  <c r="AG135" i="4"/>
  <c r="AG145" i="4"/>
  <c r="N145" i="4"/>
  <c r="AF145" i="4" s="1"/>
  <c r="AG106" i="4"/>
  <c r="N106" i="4"/>
  <c r="AF106" i="4" s="1"/>
  <c r="R383" i="4"/>
  <c r="I383" i="4"/>
  <c r="X120" i="6"/>
  <c r="I213" i="4"/>
  <c r="R213" i="4"/>
  <c r="AG302" i="4"/>
  <c r="N302" i="4"/>
  <c r="AF302" i="4" s="1"/>
  <c r="AC230" i="6"/>
  <c r="AE230" i="6" s="1"/>
  <c r="AG424" i="4"/>
  <c r="N424" i="4"/>
  <c r="AF424" i="4" s="1"/>
  <c r="L88" i="4"/>
  <c r="AC470" i="6"/>
  <c r="AE470" i="6" s="1"/>
  <c r="AG129" i="4"/>
  <c r="N129" i="4"/>
  <c r="AF129" i="4" s="1"/>
  <c r="L305" i="4"/>
  <c r="AA305" i="4" s="1"/>
  <c r="AG295" i="4"/>
  <c r="N295" i="4"/>
  <c r="AF295" i="4" s="1"/>
  <c r="AG286" i="4"/>
  <c r="N286" i="4"/>
  <c r="AF286" i="4" s="1"/>
  <c r="R23" i="4"/>
  <c r="I23" i="4"/>
  <c r="I214" i="4"/>
  <c r="R214" i="4"/>
  <c r="X309" i="6"/>
  <c r="X279" i="6"/>
  <c r="X154" i="6"/>
  <c r="N415" i="4"/>
  <c r="AF415" i="4" s="1"/>
  <c r="AG415" i="4"/>
  <c r="AG192" i="4"/>
  <c r="N192" i="4"/>
  <c r="AF192" i="4" s="1"/>
  <c r="AG65" i="4"/>
  <c r="N65" i="4"/>
  <c r="AF65" i="4" s="1"/>
  <c r="P7" i="6"/>
  <c r="P493" i="6"/>
  <c r="AG55" i="4"/>
  <c r="N55" i="4"/>
  <c r="AF55" i="4" s="1"/>
  <c r="AG165" i="4"/>
  <c r="N165" i="4"/>
  <c r="AF165" i="4" s="1"/>
  <c r="AG206" i="4"/>
  <c r="N206" i="4"/>
  <c r="AF206" i="4" s="1"/>
  <c r="AG37" i="4"/>
  <c r="N37" i="4"/>
  <c r="AF37" i="4" s="1"/>
  <c r="X449" i="6"/>
  <c r="R87" i="4"/>
  <c r="I87" i="4"/>
  <c r="L276" i="4"/>
  <c r="AG173" i="4"/>
  <c r="N173" i="4"/>
  <c r="AF173" i="4" s="1"/>
  <c r="AG54" i="4"/>
  <c r="N54" i="4"/>
  <c r="AF54" i="4" s="1"/>
  <c r="I289" i="4"/>
  <c r="R289" i="4"/>
  <c r="N401" i="4"/>
  <c r="AF401" i="4" s="1"/>
  <c r="AG401" i="4"/>
  <c r="R474" i="4"/>
  <c r="X474" i="4"/>
  <c r="I474" i="4"/>
  <c r="AG368" i="4"/>
  <c r="N368" i="4"/>
  <c r="AF368" i="4" s="1"/>
  <c r="X382" i="4"/>
  <c r="I382" i="4"/>
  <c r="R382" i="4"/>
  <c r="AG405" i="4"/>
  <c r="N405" i="4"/>
  <c r="AF405" i="4" s="1"/>
  <c r="L303" i="4"/>
  <c r="AA303" i="4" s="1"/>
  <c r="L175" i="4"/>
  <c r="X436" i="6"/>
  <c r="AG301" i="4"/>
  <c r="N301" i="4"/>
  <c r="AF301" i="4" s="1"/>
  <c r="X100" i="6"/>
  <c r="AG172" i="4"/>
  <c r="N172" i="4"/>
  <c r="AF172" i="4" s="1"/>
  <c r="X292" i="6"/>
  <c r="N446" i="4"/>
  <c r="AF446" i="4" s="1"/>
  <c r="AG446" i="4"/>
  <c r="AP446" i="4" s="1"/>
  <c r="AO446" i="4" s="1"/>
  <c r="AG197" i="4"/>
  <c r="N197" i="4"/>
  <c r="AF197" i="4" s="1"/>
  <c r="R437" i="4"/>
  <c r="X437" i="4"/>
  <c r="I437" i="4"/>
  <c r="N377" i="4"/>
  <c r="AF377" i="4" s="1"/>
  <c r="AG377" i="4"/>
  <c r="L24" i="4"/>
  <c r="L457" i="4"/>
  <c r="L398" i="4"/>
  <c r="AG354" i="4"/>
  <c r="N354" i="4"/>
  <c r="AF354" i="4" s="1"/>
  <c r="AG257" i="4"/>
  <c r="N257" i="4"/>
  <c r="AF257" i="4" s="1"/>
  <c r="AG72" i="4"/>
  <c r="N72" i="4"/>
  <c r="AF72" i="4" s="1"/>
  <c r="AG222" i="4"/>
  <c r="N222" i="4"/>
  <c r="AF222" i="4" s="1"/>
  <c r="N484" i="4"/>
  <c r="AF484" i="4" s="1"/>
  <c r="AG484" i="4"/>
  <c r="AP484" i="4" s="1"/>
  <c r="AO484" i="4" s="1"/>
  <c r="R20" i="4"/>
  <c r="I20" i="4"/>
  <c r="L487" i="4"/>
  <c r="X193" i="6"/>
  <c r="AC193" i="6" s="1"/>
  <c r="AE193" i="6" s="1"/>
  <c r="AG63" i="4"/>
  <c r="N63" i="4"/>
  <c r="AF63" i="4" s="1"/>
  <c r="L33" i="4"/>
  <c r="X47" i="6"/>
  <c r="AC47" i="6" s="1"/>
  <c r="L112" i="4"/>
  <c r="L139" i="4"/>
  <c r="L366" i="4"/>
  <c r="AA366" i="4" s="1"/>
  <c r="Z366" i="4" s="1"/>
  <c r="X362" i="6"/>
  <c r="AC362" i="6" s="1"/>
  <c r="AE362" i="6" s="1"/>
  <c r="AG380" i="4"/>
  <c r="N380" i="4"/>
  <c r="AF380" i="4" s="1"/>
  <c r="AG288" i="4"/>
  <c r="N288" i="4"/>
  <c r="AF288" i="4" s="1"/>
  <c r="AC169" i="6"/>
  <c r="AE169" i="6" s="1"/>
  <c r="R36" i="4"/>
  <c r="I36" i="4"/>
  <c r="R323" i="4"/>
  <c r="I323" i="4"/>
  <c r="L287" i="4"/>
  <c r="AA287" i="4" s="1"/>
  <c r="L333" i="4"/>
  <c r="X157" i="6"/>
  <c r="L388" i="4"/>
  <c r="AA388" i="4" s="1"/>
  <c r="Z388" i="4" s="1"/>
  <c r="AG216" i="4"/>
  <c r="N216" i="4"/>
  <c r="AF216" i="4" s="1"/>
  <c r="AG152" i="4"/>
  <c r="N152" i="4"/>
  <c r="AF152" i="4" s="1"/>
  <c r="X407" i="6"/>
  <c r="AC407" i="6" s="1"/>
  <c r="AE407" i="6" s="1"/>
  <c r="AC485" i="6"/>
  <c r="AE485" i="6" s="1"/>
  <c r="L89" i="4"/>
  <c r="AE213" i="6"/>
  <c r="AG116" i="4"/>
  <c r="N116" i="4"/>
  <c r="AF116" i="4" s="1"/>
  <c r="AE252" i="6"/>
  <c r="N466" i="4"/>
  <c r="AF466" i="4" s="1"/>
  <c r="AG466" i="4"/>
  <c r="AP466" i="4" s="1"/>
  <c r="AO466" i="4" s="1"/>
  <c r="L424" i="4"/>
  <c r="AA424" i="4" s="1"/>
  <c r="Z424" i="4" s="1"/>
  <c r="X31" i="6"/>
  <c r="X118" i="6"/>
  <c r="AG148" i="4"/>
  <c r="N148" i="4"/>
  <c r="AF148" i="4" s="1"/>
  <c r="L286" i="4"/>
  <c r="AA286" i="4" s="1"/>
  <c r="L456" i="4"/>
  <c r="AG170" i="4"/>
  <c r="N170" i="4"/>
  <c r="AF170" i="4" s="1"/>
  <c r="AG159" i="4"/>
  <c r="N159" i="4"/>
  <c r="AF159" i="4" s="1"/>
  <c r="L205" i="4"/>
  <c r="L363" i="4"/>
  <c r="AG304" i="4"/>
  <c r="N304" i="4"/>
  <c r="AF304" i="4" s="1"/>
  <c r="AG311" i="4"/>
  <c r="N311" i="4"/>
  <c r="AF311" i="4" s="1"/>
  <c r="AG266" i="4"/>
  <c r="N266" i="4"/>
  <c r="AF266" i="4" s="1"/>
  <c r="AG45" i="4"/>
  <c r="N45" i="4"/>
  <c r="AF45" i="4" s="1"/>
  <c r="X253" i="6"/>
  <c r="X375" i="6"/>
  <c r="AG406" i="4"/>
  <c r="N406" i="4"/>
  <c r="AF406" i="4" s="1"/>
  <c r="N283" i="4"/>
  <c r="AF283" i="4" s="1"/>
  <c r="AG283" i="4"/>
  <c r="U493" i="6"/>
  <c r="U7" i="6"/>
  <c r="D16" i="22" s="1"/>
  <c r="AG46" i="4"/>
  <c r="N46" i="4"/>
  <c r="AF46" i="4" s="1"/>
  <c r="X78" i="6"/>
  <c r="R50" i="4"/>
  <c r="I50" i="4"/>
  <c r="L144" i="4"/>
  <c r="X210" i="6"/>
  <c r="N460" i="4"/>
  <c r="AF460" i="4" s="1"/>
  <c r="AG460" i="4"/>
  <c r="AP460" i="4" s="1"/>
  <c r="AO460" i="4" s="1"/>
  <c r="AG179" i="4"/>
  <c r="N179" i="4"/>
  <c r="AF179" i="4" s="1"/>
  <c r="AG486" i="4"/>
  <c r="AP486" i="4" s="1"/>
  <c r="AO486" i="4" s="1"/>
  <c r="N486" i="4"/>
  <c r="AF486" i="4" s="1"/>
  <c r="L480" i="4"/>
  <c r="X167" i="6"/>
  <c r="AE437" i="6"/>
  <c r="L444" i="4"/>
  <c r="AG177" i="4"/>
  <c r="N177" i="4"/>
  <c r="AF177" i="4" s="1"/>
  <c r="L445" i="4"/>
  <c r="AG21" i="4"/>
  <c r="N21" i="4"/>
  <c r="AF21" i="4" s="1"/>
  <c r="AC484" i="6"/>
  <c r="AE484" i="6" s="1"/>
  <c r="L108" i="4"/>
  <c r="AC73" i="6"/>
  <c r="AE73" i="6" s="1"/>
  <c r="L67" i="4"/>
  <c r="L369" i="4"/>
  <c r="L391" i="4"/>
  <c r="AG269" i="4"/>
  <c r="N269" i="4"/>
  <c r="AF269" i="4" s="1"/>
  <c r="X238" i="6"/>
  <c r="L133" i="4"/>
  <c r="AG245" i="4"/>
  <c r="N245" i="4"/>
  <c r="AF245" i="4" s="1"/>
  <c r="AC473" i="6"/>
  <c r="AE473" i="6" s="1"/>
  <c r="AG84" i="4"/>
  <c r="N84" i="4"/>
  <c r="AF84" i="4" s="1"/>
  <c r="L361" i="4"/>
  <c r="R201" i="4"/>
  <c r="I201" i="4"/>
  <c r="AG112" i="4"/>
  <c r="N112" i="4"/>
  <c r="AF112" i="4" s="1"/>
  <c r="N469" i="4"/>
  <c r="AF469" i="4" s="1"/>
  <c r="AG469" i="4"/>
  <c r="AP469" i="4" s="1"/>
  <c r="AO469" i="4" s="1"/>
  <c r="AC143" i="6"/>
  <c r="AE143" i="6" s="1"/>
  <c r="AG218" i="4"/>
  <c r="N218" i="4"/>
  <c r="AF218" i="4" s="1"/>
  <c r="AC250" i="6"/>
  <c r="AE250" i="6" s="1"/>
  <c r="AG169" i="4"/>
  <c r="N169" i="4"/>
  <c r="AF169" i="4" s="1"/>
  <c r="AG74" i="4"/>
  <c r="N74" i="4"/>
  <c r="AF74" i="4" s="1"/>
  <c r="AG36" i="4"/>
  <c r="N36" i="4"/>
  <c r="AF36" i="4" s="1"/>
  <c r="AG323" i="4"/>
  <c r="N323" i="4"/>
  <c r="AF323" i="4" s="1"/>
  <c r="X350" i="6"/>
  <c r="AG29" i="4"/>
  <c r="N29" i="4"/>
  <c r="AF29" i="4" s="1"/>
  <c r="L393" i="4"/>
  <c r="AC294" i="6"/>
  <c r="AE294" i="6" s="1"/>
  <c r="AG335" i="4"/>
  <c r="N335" i="4"/>
  <c r="AF335" i="4" s="1"/>
  <c r="AC26" i="6"/>
  <c r="AE26" i="6" s="1"/>
  <c r="AE221" i="6"/>
  <c r="AG458" i="4"/>
  <c r="N458" i="4"/>
  <c r="AF458" i="4" s="1"/>
  <c r="AG322" i="4"/>
  <c r="N322" i="4"/>
  <c r="AF322" i="4" s="1"/>
  <c r="AG267" i="4"/>
  <c r="N267" i="4"/>
  <c r="AF267" i="4" s="1"/>
  <c r="AG328" i="4"/>
  <c r="N328" i="4"/>
  <c r="AF328" i="4" s="1"/>
  <c r="X417" i="6"/>
  <c r="AG374" i="4"/>
  <c r="N374" i="4"/>
  <c r="AF374" i="4" s="1"/>
  <c r="L145" i="4"/>
  <c r="AC106" i="6"/>
  <c r="AE106" i="6" s="1"/>
  <c r="AG162" i="4"/>
  <c r="N162" i="4"/>
  <c r="AF162" i="4" s="1"/>
  <c r="L426" i="4"/>
  <c r="AG273" i="4"/>
  <c r="N273" i="4"/>
  <c r="AF273" i="4" s="1"/>
  <c r="L282" i="4"/>
  <c r="AA282" i="4" s="1"/>
  <c r="X248" i="6"/>
  <c r="AG186" i="4"/>
  <c r="N186" i="4"/>
  <c r="AF186" i="4" s="1"/>
  <c r="L392" i="4"/>
  <c r="AA392" i="4" s="1"/>
  <c r="AG194" i="4"/>
  <c r="N194" i="4"/>
  <c r="AF194" i="4" s="1"/>
  <c r="AG461" i="4"/>
  <c r="N461" i="4"/>
  <c r="AF461" i="4" s="1"/>
  <c r="X138" i="6"/>
  <c r="X420" i="6"/>
  <c r="X160" i="6"/>
  <c r="AG327" i="4"/>
  <c r="N327" i="4"/>
  <c r="AF327" i="4" s="1"/>
  <c r="X336" i="6"/>
  <c r="L349" i="4"/>
  <c r="L295" i="4"/>
  <c r="X410" i="6"/>
  <c r="AC410" i="6" s="1"/>
  <c r="AE410" i="6" s="1"/>
  <c r="AC166" i="6"/>
  <c r="AE166" i="6" s="1"/>
  <c r="AC13" i="6"/>
  <c r="AE13" i="6" s="1"/>
  <c r="AC492" i="6"/>
  <c r="AE492" i="6" s="1"/>
  <c r="L477" i="4"/>
  <c r="X331" i="6"/>
  <c r="X478" i="6"/>
  <c r="L207" i="4"/>
  <c r="L256" i="4"/>
  <c r="L107" i="4"/>
  <c r="AA107" i="4" s="1"/>
  <c r="X343" i="6"/>
  <c r="AC425" i="6"/>
  <c r="AE425" i="6" s="1"/>
  <c r="X61" i="6"/>
  <c r="X334" i="6"/>
  <c r="AE199" i="6"/>
  <c r="AC316" i="6"/>
  <c r="AE316" i="6" s="1"/>
  <c r="L211" i="4"/>
  <c r="AG408" i="4"/>
  <c r="N408" i="4"/>
  <c r="AF408" i="4" s="1"/>
  <c r="L45" i="4"/>
  <c r="AG253" i="4"/>
  <c r="N253" i="4"/>
  <c r="AF253" i="4" s="1"/>
  <c r="L406" i="4"/>
  <c r="X442" i="6"/>
  <c r="AE308" i="6"/>
  <c r="X165" i="6"/>
  <c r="AC53" i="6"/>
  <c r="AE53" i="6" s="1"/>
  <c r="AG111" i="4"/>
  <c r="N111" i="4"/>
  <c r="AF111" i="4" s="1"/>
  <c r="X132" i="6"/>
  <c r="X37" i="6"/>
  <c r="AG372" i="4"/>
  <c r="N372" i="4"/>
  <c r="AF372" i="4" s="1"/>
  <c r="X25" i="6"/>
  <c r="AC433" i="6"/>
  <c r="AE433" i="6" s="1"/>
  <c r="X241" i="6"/>
  <c r="AC453" i="6"/>
  <c r="AE453" i="6" s="1"/>
  <c r="AC22" i="6"/>
  <c r="AE22" i="6" s="1"/>
  <c r="AC105" i="6"/>
  <c r="AE105" i="6" s="1"/>
  <c r="X356" i="6"/>
  <c r="AG292" i="4"/>
  <c r="N292" i="4"/>
  <c r="AF292" i="4" s="1"/>
  <c r="N481" i="4"/>
  <c r="AF481" i="4" s="1"/>
  <c r="AG481" i="4"/>
  <c r="AC87" i="6"/>
  <c r="AE87" i="6" s="1"/>
  <c r="X142" i="6"/>
  <c r="X41" i="6"/>
  <c r="AG228" i="4"/>
  <c r="N228" i="4"/>
  <c r="AF228" i="4" s="1"/>
  <c r="X291" i="6"/>
  <c r="X427" i="6"/>
  <c r="AG358" i="4"/>
  <c r="N358" i="4"/>
  <c r="AF358" i="4" s="1"/>
  <c r="AE402" i="6"/>
  <c r="AG156" i="4"/>
  <c r="N156" i="4"/>
  <c r="AF156" i="4" s="1"/>
  <c r="N474" i="4"/>
  <c r="AF474" i="4" s="1"/>
  <c r="AG474" i="4"/>
  <c r="AC489" i="6"/>
  <c r="AE489" i="6" s="1"/>
  <c r="AG437" i="4"/>
  <c r="N437" i="4"/>
  <c r="AF437" i="4" s="1"/>
  <c r="AC204" i="6"/>
  <c r="AE204" i="6" s="1"/>
  <c r="L405" i="4"/>
  <c r="L208" i="4"/>
  <c r="AG134" i="4"/>
  <c r="N134" i="4"/>
  <c r="AF134" i="4" s="1"/>
  <c r="L354" i="4"/>
  <c r="X307" i="6"/>
  <c r="X440" i="6"/>
  <c r="AC440" i="6" s="1"/>
  <c r="AE440" i="6" s="1"/>
  <c r="AG42" i="4"/>
  <c r="N42" i="4"/>
  <c r="AF42" i="4" s="1"/>
  <c r="X51" i="6"/>
  <c r="AC197" i="6"/>
  <c r="AE197" i="6" s="1"/>
  <c r="AG290" i="4"/>
  <c r="N290" i="4"/>
  <c r="AF290" i="4" s="1"/>
  <c r="X72" i="6"/>
  <c r="N58" i="4"/>
  <c r="AF58" i="4" s="1"/>
  <c r="AG58" i="4"/>
  <c r="AG83" i="4"/>
  <c r="N83" i="4"/>
  <c r="AF83" i="4" s="1"/>
  <c r="AC82" i="6"/>
  <c r="AE82" i="6" s="1"/>
  <c r="L27" i="4"/>
  <c r="AG231" i="4"/>
  <c r="N231" i="4"/>
  <c r="AF231" i="4" s="1"/>
  <c r="X395" i="6"/>
  <c r="N185" i="4"/>
  <c r="AF185" i="4" s="1"/>
  <c r="AG185" i="4"/>
  <c r="R82" i="4"/>
  <c r="I82" i="4"/>
  <c r="R73" i="4"/>
  <c r="I73" i="4"/>
  <c r="AC264" i="6"/>
  <c r="AE264" i="6" s="1"/>
  <c r="R320" i="4"/>
  <c r="I320" i="4"/>
  <c r="R258" i="4"/>
  <c r="I258" i="4"/>
  <c r="AC452" i="6"/>
  <c r="AE452" i="6" s="1"/>
  <c r="L298" i="4"/>
  <c r="R272" i="4"/>
  <c r="I272" i="4"/>
  <c r="AG238" i="4"/>
  <c r="N238" i="4"/>
  <c r="AF238" i="4" s="1"/>
  <c r="I365" i="4"/>
  <c r="R365" i="4"/>
  <c r="L429" i="4"/>
  <c r="AC245" i="6"/>
  <c r="AE245" i="6" s="1"/>
  <c r="AC98" i="6"/>
  <c r="AE98" i="6" s="1"/>
  <c r="AG259" i="4"/>
  <c r="N259" i="4"/>
  <c r="AF259" i="4" s="1"/>
  <c r="AG139" i="4"/>
  <c r="N139" i="4"/>
  <c r="AF139" i="4" s="1"/>
  <c r="R462" i="4"/>
  <c r="I462" i="4"/>
  <c r="R143" i="4"/>
  <c r="I143" i="4"/>
  <c r="L218" i="4"/>
  <c r="I262" i="4"/>
  <c r="R262" i="4"/>
  <c r="I74" i="4"/>
  <c r="R74" i="4"/>
  <c r="AC62" i="6"/>
  <c r="AE62" i="6" s="1"/>
  <c r="I294" i="4"/>
  <c r="R294" i="4"/>
  <c r="W493" i="6"/>
  <c r="W7" i="6"/>
  <c r="AC109" i="6"/>
  <c r="AE109" i="6" s="1"/>
  <c r="AG215" i="4"/>
  <c r="N215" i="4"/>
  <c r="AF215" i="4" s="1"/>
  <c r="AG75" i="4"/>
  <c r="N75" i="4"/>
  <c r="AF75" i="4" s="1"/>
  <c r="N434" i="4"/>
  <c r="AF434" i="4" s="1"/>
  <c r="AG434" i="4"/>
  <c r="AP434" i="4" s="1"/>
  <c r="AO434" i="4" s="1"/>
  <c r="AG176" i="4"/>
  <c r="N176" i="4"/>
  <c r="AF176" i="4" s="1"/>
  <c r="I396" i="4"/>
  <c r="X396" i="4"/>
  <c r="AG388" i="4"/>
  <c r="N388" i="4"/>
  <c r="AF388" i="4" s="1"/>
  <c r="I191" i="4"/>
  <c r="R191" i="4"/>
  <c r="AC374" i="6"/>
  <c r="AE374" i="6" s="1"/>
  <c r="AG412" i="4"/>
  <c r="N412" i="4"/>
  <c r="AF412" i="4" s="1"/>
  <c r="L273" i="4"/>
  <c r="R485" i="4"/>
  <c r="I485" i="4"/>
  <c r="X390" i="6"/>
  <c r="AC339" i="6"/>
  <c r="AE339" i="6" s="1"/>
  <c r="R261" i="4"/>
  <c r="I261" i="4"/>
  <c r="AG230" i="4"/>
  <c r="N230" i="4"/>
  <c r="AF230" i="4" s="1"/>
  <c r="N470" i="4"/>
  <c r="AF470" i="4" s="1"/>
  <c r="AG470" i="4"/>
  <c r="AP470" i="4" s="1"/>
  <c r="AO470" i="4" s="1"/>
  <c r="AG128" i="4"/>
  <c r="N128" i="4"/>
  <c r="AF128" i="4" s="1"/>
  <c r="N324" i="4"/>
  <c r="AF324" i="4" s="1"/>
  <c r="AG324" i="4"/>
  <c r="AG85" i="4"/>
  <c r="N85" i="4"/>
  <c r="AF85" i="4" s="1"/>
  <c r="AG331" i="4"/>
  <c r="N331" i="4"/>
  <c r="AF331" i="4" s="1"/>
  <c r="AG207" i="4"/>
  <c r="N207" i="4"/>
  <c r="AF207" i="4" s="1"/>
  <c r="X35" i="6"/>
  <c r="R316" i="4"/>
  <c r="I316" i="4"/>
  <c r="R220" i="4"/>
  <c r="I220" i="4"/>
  <c r="AG95" i="4"/>
  <c r="N95" i="4"/>
  <c r="AF95" i="4" s="1"/>
  <c r="R471" i="4"/>
  <c r="I471" i="4"/>
  <c r="X471" i="4"/>
  <c r="I283" i="4"/>
  <c r="R283" i="4"/>
  <c r="AG123" i="4"/>
  <c r="N123" i="4"/>
  <c r="AF123" i="4" s="1"/>
  <c r="AG306" i="4"/>
  <c r="N306" i="4"/>
  <c r="AF306" i="4" s="1"/>
  <c r="V493" i="6"/>
  <c r="V7" i="6"/>
  <c r="X12" i="6"/>
  <c r="R209" i="4"/>
  <c r="I209" i="4"/>
  <c r="I299" i="4"/>
  <c r="R299" i="4"/>
  <c r="L190" i="4"/>
  <c r="AG99" i="4"/>
  <c r="N99" i="4"/>
  <c r="AF99" i="4" s="1"/>
  <c r="I433" i="4"/>
  <c r="R433" i="4"/>
  <c r="X183" i="6"/>
  <c r="N18" i="4"/>
  <c r="AF18" i="4" s="1"/>
  <c r="AG18" i="4"/>
  <c r="AG122" i="4"/>
  <c r="N122" i="4"/>
  <c r="AF122" i="4" s="1"/>
  <c r="I232" i="4"/>
  <c r="R232" i="4"/>
  <c r="N289" i="4"/>
  <c r="AF289" i="4" s="1"/>
  <c r="AG289" i="4"/>
  <c r="AG360" i="4"/>
  <c r="N360" i="4"/>
  <c r="AF360" i="4" s="1"/>
  <c r="R156" i="4"/>
  <c r="I156" i="4"/>
  <c r="N489" i="4"/>
  <c r="AF489" i="4" s="1"/>
  <c r="AG489" i="4"/>
  <c r="X483" i="6"/>
  <c r="AC222" i="6"/>
  <c r="AE222" i="6" s="1"/>
  <c r="AC20" i="6"/>
  <c r="AE20" i="6" s="1"/>
  <c r="R131" i="4"/>
  <c r="I131" i="4"/>
  <c r="R184" i="4"/>
  <c r="I184" i="4"/>
  <c r="AG435" i="4"/>
  <c r="N435" i="4"/>
  <c r="AF435" i="4" s="1"/>
  <c r="AG92" i="4"/>
  <c r="N92" i="4"/>
  <c r="AF92" i="4" s="1"/>
  <c r="I217" i="4"/>
  <c r="R217" i="4"/>
  <c r="AG258" i="4"/>
  <c r="N258" i="4"/>
  <c r="AF258" i="4" s="1"/>
  <c r="N467" i="4"/>
  <c r="AF467" i="4" s="1"/>
  <c r="AG467" i="4"/>
  <c r="AP467" i="4" s="1"/>
  <c r="AO467" i="4" s="1"/>
  <c r="AG98" i="4"/>
  <c r="N98" i="4"/>
  <c r="AF98" i="4" s="1"/>
  <c r="AC454" i="6"/>
  <c r="AE454" i="6" s="1"/>
  <c r="R271" i="4"/>
  <c r="I271" i="4"/>
  <c r="L149" i="4"/>
  <c r="AA149" i="4" s="1"/>
  <c r="AG362" i="4"/>
  <c r="N362" i="4"/>
  <c r="AF362" i="4" s="1"/>
  <c r="R338" i="4"/>
  <c r="I338" i="4"/>
  <c r="L71" i="4"/>
  <c r="AG355" i="4"/>
  <c r="N355" i="4"/>
  <c r="AF355" i="4" s="1"/>
  <c r="AC239" i="6"/>
  <c r="AE239" i="6" s="1"/>
  <c r="X419" i="6"/>
  <c r="X434" i="6"/>
  <c r="X322" i="6"/>
  <c r="AG235" i="4"/>
  <c r="N235" i="4"/>
  <c r="AF235" i="4" s="1"/>
  <c r="AG104" i="4"/>
  <c r="N104" i="4"/>
  <c r="AF104" i="4" s="1"/>
  <c r="X345" i="6"/>
  <c r="AG426" i="4"/>
  <c r="N426" i="4"/>
  <c r="AF426" i="4" s="1"/>
  <c r="R121" i="4"/>
  <c r="I121" i="4"/>
  <c r="L120" i="4"/>
  <c r="AA120" i="4" s="1"/>
  <c r="AC302" i="6"/>
  <c r="AE302" i="6" s="1"/>
  <c r="AC325" i="6"/>
  <c r="AE325" i="6" s="1"/>
  <c r="R339" i="4"/>
  <c r="I339" i="4"/>
  <c r="AG414" i="4"/>
  <c r="N414" i="4"/>
  <c r="AF414" i="4" s="1"/>
  <c r="AG136" i="4"/>
  <c r="N136" i="4"/>
  <c r="AF136" i="4" s="1"/>
  <c r="AG38" i="4"/>
  <c r="N38" i="4"/>
  <c r="AF38" i="4" s="1"/>
  <c r="X126" i="6"/>
  <c r="X103" i="6"/>
  <c r="I310" i="4"/>
  <c r="R310" i="4"/>
  <c r="AG94" i="4"/>
  <c r="N94" i="4"/>
  <c r="AF94" i="4" s="1"/>
  <c r="AG399" i="4"/>
  <c r="N399" i="4"/>
  <c r="AF399" i="4" s="1"/>
  <c r="N81" i="4"/>
  <c r="AF81" i="4" s="1"/>
  <c r="AG81" i="4"/>
  <c r="AG13" i="4"/>
  <c r="N13" i="4"/>
  <c r="AF13" i="4" s="1"/>
  <c r="R148" i="4"/>
  <c r="I148" i="4"/>
  <c r="I150" i="4"/>
  <c r="R150" i="4"/>
  <c r="AG23" i="4"/>
  <c r="N23" i="4"/>
  <c r="AF23" i="4" s="1"/>
  <c r="AG274" i="4"/>
  <c r="N274" i="4"/>
  <c r="AF274" i="4" s="1"/>
  <c r="R181" i="4"/>
  <c r="I181" i="4"/>
  <c r="X411" i="6"/>
  <c r="X233" i="6"/>
  <c r="X39" i="6"/>
  <c r="L309" i="4"/>
  <c r="L279" i="4"/>
  <c r="AA279" i="4" s="1"/>
  <c r="R226" i="4"/>
  <c r="I226" i="4"/>
  <c r="L154" i="4"/>
  <c r="R304" i="4"/>
  <c r="I304" i="4"/>
  <c r="AG211" i="4"/>
  <c r="N211" i="4"/>
  <c r="AF211" i="4" s="1"/>
  <c r="AG465" i="4"/>
  <c r="N465" i="4"/>
  <c r="AF465" i="4" s="1"/>
  <c r="AC220" i="6"/>
  <c r="AE220" i="6" s="1"/>
  <c r="X275" i="6"/>
  <c r="N471" i="4"/>
  <c r="AF471" i="4" s="1"/>
  <c r="AG471" i="4"/>
  <c r="N375" i="4"/>
  <c r="AF375" i="4" s="1"/>
  <c r="AG375" i="4"/>
  <c r="R394" i="4"/>
  <c r="X394" i="4"/>
  <c r="I394" i="4"/>
  <c r="AG337" i="4"/>
  <c r="N337" i="4"/>
  <c r="AF337" i="4" s="1"/>
  <c r="AG43" i="4"/>
  <c r="N43" i="4"/>
  <c r="AF43" i="4" s="1"/>
  <c r="X206" i="6"/>
  <c r="X99" i="6"/>
  <c r="AG144" i="4"/>
  <c r="N144" i="4"/>
  <c r="AF144" i="4" s="1"/>
  <c r="X430" i="6"/>
  <c r="AC430" i="6" s="1"/>
  <c r="AG210" i="4"/>
  <c r="N210" i="4"/>
  <c r="AF210" i="4" s="1"/>
  <c r="AG117" i="4"/>
  <c r="N117" i="4"/>
  <c r="AF117" i="4" s="1"/>
  <c r="AG183" i="4"/>
  <c r="N183" i="4"/>
  <c r="AF183" i="4" s="1"/>
  <c r="AG244" i="4"/>
  <c r="N244" i="4"/>
  <c r="AF244" i="4" s="1"/>
  <c r="L449" i="4"/>
  <c r="AG367" i="4"/>
  <c r="N367" i="4"/>
  <c r="AF367" i="4" s="1"/>
  <c r="AG459" i="4"/>
  <c r="N459" i="4"/>
  <c r="AF459" i="4" s="1"/>
  <c r="L173" i="4"/>
  <c r="X228" i="6"/>
  <c r="X446" i="6"/>
  <c r="X486" i="6"/>
  <c r="X422" i="6"/>
  <c r="L358" i="4"/>
  <c r="X30" i="6"/>
  <c r="AG234" i="4"/>
  <c r="N234" i="4"/>
  <c r="AF234" i="4" s="1"/>
  <c r="AG130" i="4"/>
  <c r="N130" i="4"/>
  <c r="AF130" i="4" s="1"/>
  <c r="X155" i="6"/>
  <c r="X240" i="6"/>
  <c r="X28" i="6"/>
  <c r="X346" i="6"/>
  <c r="L436" i="4"/>
  <c r="AG59" i="4"/>
  <c r="N59" i="4"/>
  <c r="AF59" i="4" s="1"/>
  <c r="L100" i="4"/>
  <c r="AG69" i="4"/>
  <c r="N69" i="4"/>
  <c r="AF69" i="4" s="1"/>
  <c r="L292" i="4"/>
  <c r="X122" i="6"/>
  <c r="AG232" i="4"/>
  <c r="N232" i="4"/>
  <c r="AF232" i="4" s="1"/>
  <c r="X472" i="6"/>
  <c r="X398" i="6"/>
  <c r="AG313" i="4"/>
  <c r="N313" i="4"/>
  <c r="AF313" i="4" s="1"/>
  <c r="AG400" i="4"/>
  <c r="N400" i="4"/>
  <c r="AF400" i="4" s="1"/>
  <c r="AG20" i="4"/>
  <c r="N20" i="4"/>
  <c r="AF20" i="4" s="1"/>
  <c r="AC397" i="6"/>
  <c r="AE397" i="6" s="1"/>
  <c r="R264" i="4"/>
  <c r="I264" i="4"/>
  <c r="L193" i="4"/>
  <c r="I438" i="4"/>
  <c r="R438" i="4"/>
  <c r="AC243" i="6"/>
  <c r="AE243" i="6" s="1"/>
  <c r="N385" i="4"/>
  <c r="AF385" i="4" s="1"/>
  <c r="AG385" i="4"/>
  <c r="AG272" i="4"/>
  <c r="N272" i="4"/>
  <c r="AF272" i="4" s="1"/>
  <c r="X479" i="6"/>
  <c r="R147" i="4"/>
  <c r="I147" i="4"/>
  <c r="L47" i="4"/>
  <c r="AG79" i="4"/>
  <c r="N79" i="4"/>
  <c r="AF79" i="4" s="1"/>
  <c r="X259" i="6"/>
  <c r="AG200" i="4"/>
  <c r="N200" i="4"/>
  <c r="AF200" i="4" s="1"/>
  <c r="L161" i="4"/>
  <c r="L362" i="4"/>
  <c r="R263" i="4"/>
  <c r="I263" i="4"/>
  <c r="I250" i="4"/>
  <c r="R250" i="4"/>
  <c r="AC125" i="6"/>
  <c r="AE125" i="6" s="1"/>
  <c r="AG268" i="4"/>
  <c r="N268" i="4"/>
  <c r="AF268" i="4" s="1"/>
  <c r="L157" i="4"/>
  <c r="AG348" i="4"/>
  <c r="N348" i="4"/>
  <c r="AF348" i="4" s="1"/>
  <c r="I119" i="4"/>
  <c r="R119" i="4"/>
  <c r="R76" i="4"/>
  <c r="I76" i="4"/>
  <c r="L178" i="4"/>
  <c r="L407" i="4"/>
  <c r="N485" i="4"/>
  <c r="AF485" i="4" s="1"/>
  <c r="AG485" i="4"/>
  <c r="AP485" i="4" s="1"/>
  <c r="AO485" i="4" s="1"/>
  <c r="I332" i="4"/>
  <c r="R332" i="4"/>
  <c r="X278" i="6"/>
  <c r="AG137" i="4"/>
  <c r="N137" i="4"/>
  <c r="AF137" i="4" s="1"/>
  <c r="AG251" i="4"/>
  <c r="N251" i="4"/>
  <c r="AF251" i="4" s="1"/>
  <c r="X136" i="6"/>
  <c r="AC17" i="6"/>
  <c r="AE17" i="6" s="1"/>
  <c r="L31" i="4"/>
  <c r="X187" i="6"/>
  <c r="AG310" i="4"/>
  <c r="N310" i="4"/>
  <c r="AF310" i="4" s="1"/>
  <c r="AG410" i="4"/>
  <c r="N410" i="4"/>
  <c r="AF410" i="4" s="1"/>
  <c r="X399" i="6"/>
  <c r="L118" i="4"/>
  <c r="AG477" i="4"/>
  <c r="AP477" i="4" s="1"/>
  <c r="AO477" i="4" s="1"/>
  <c r="N477" i="4"/>
  <c r="AF477" i="4" s="1"/>
  <c r="X274" i="6"/>
  <c r="AG146" i="4"/>
  <c r="N146" i="4"/>
  <c r="AF146" i="4" s="1"/>
  <c r="N456" i="4"/>
  <c r="AF456" i="4" s="1"/>
  <c r="AG456" i="4"/>
  <c r="AP456" i="4" s="1"/>
  <c r="AO456" i="4" s="1"/>
  <c r="L254" i="4"/>
  <c r="AA254" i="4" s="1"/>
  <c r="AG425" i="4"/>
  <c r="N425" i="4"/>
  <c r="AF425" i="4" s="1"/>
  <c r="AG57" i="4"/>
  <c r="N57" i="4"/>
  <c r="AF57" i="4" s="1"/>
  <c r="X321" i="6"/>
  <c r="X52" i="6"/>
  <c r="X192" i="6"/>
  <c r="X318" i="6"/>
  <c r="AG48" i="4"/>
  <c r="N48" i="4"/>
  <c r="AF48" i="4" s="1"/>
  <c r="L253" i="4"/>
  <c r="L375" i="4"/>
  <c r="X123" i="6"/>
  <c r="R60" i="4"/>
  <c r="I60" i="4"/>
  <c r="L78" i="4"/>
  <c r="AG299" i="4"/>
  <c r="N299" i="4"/>
  <c r="AF299" i="4" s="1"/>
  <c r="AG340" i="4"/>
  <c r="N340" i="4"/>
  <c r="AF340" i="4" s="1"/>
  <c r="L443" i="4"/>
  <c r="X115" i="6"/>
  <c r="N451" i="4"/>
  <c r="AF451" i="4" s="1"/>
  <c r="AG451" i="4"/>
  <c r="AP451" i="4" s="1"/>
  <c r="AO451" i="4" s="1"/>
  <c r="L210" i="4"/>
  <c r="AG22" i="4"/>
  <c r="N22" i="4"/>
  <c r="AF22" i="4" s="1"/>
  <c r="X459" i="6"/>
  <c r="L312" i="4"/>
  <c r="X163" i="6"/>
  <c r="AG86" i="4"/>
  <c r="N86" i="4"/>
  <c r="AF86" i="4" s="1"/>
  <c r="L167" i="4"/>
  <c r="AG223" i="4"/>
  <c r="N223" i="4"/>
  <c r="AF223" i="4" s="1"/>
  <c r="R489" i="4"/>
  <c r="I489" i="4"/>
  <c r="X489" i="4"/>
  <c r="X77" i="6"/>
  <c r="X124" i="6"/>
  <c r="X97" i="6"/>
  <c r="X177" i="6"/>
  <c r="N445" i="4"/>
  <c r="AF445" i="4" s="1"/>
  <c r="AG445" i="4"/>
  <c r="AP445" i="4" s="1"/>
  <c r="AO445" i="4" s="1"/>
  <c r="X468" i="6"/>
  <c r="X246" i="6"/>
  <c r="X96" i="6"/>
  <c r="X185" i="6"/>
  <c r="X151" i="6"/>
  <c r="AC151" i="6" s="1"/>
  <c r="AG428" i="4"/>
  <c r="N428" i="4"/>
  <c r="AF428" i="4" s="1"/>
  <c r="AC237" i="6"/>
  <c r="AE237" i="6" s="1"/>
  <c r="X168" i="6"/>
  <c r="AG320" i="4"/>
  <c r="N320" i="4"/>
  <c r="AF320" i="4" s="1"/>
  <c r="X110" i="6"/>
  <c r="AG66" i="4"/>
  <c r="N66" i="4"/>
  <c r="AF66" i="4" s="1"/>
  <c r="AC365" i="6"/>
  <c r="AE365" i="6" s="1"/>
  <c r="AG15" i="4"/>
  <c r="N15" i="4"/>
  <c r="AF15" i="4" s="1"/>
  <c r="X284" i="6"/>
  <c r="AC284" i="6" s="1"/>
  <c r="AG463" i="4"/>
  <c r="N463" i="4"/>
  <c r="AF463" i="4" s="1"/>
  <c r="AC271" i="6"/>
  <c r="AE271" i="6" s="1"/>
  <c r="AG71" i="4"/>
  <c r="N71" i="4"/>
  <c r="AF71" i="4" s="1"/>
  <c r="L350" i="4"/>
  <c r="N448" i="4"/>
  <c r="AF448" i="4" s="1"/>
  <c r="AG448" i="4"/>
  <c r="AP448" i="4" s="1"/>
  <c r="AO448" i="4" s="1"/>
  <c r="X458" i="6"/>
  <c r="AC458" i="6" s="1"/>
  <c r="L417" i="4"/>
  <c r="X317" i="6"/>
  <c r="X152" i="6"/>
  <c r="AG189" i="4"/>
  <c r="N189" i="4"/>
  <c r="AF189" i="4" s="1"/>
  <c r="X277" i="6"/>
  <c r="X56" i="6"/>
  <c r="L248" i="4"/>
  <c r="X127" i="6"/>
  <c r="AC127" i="6" s="1"/>
  <c r="X186" i="6"/>
  <c r="X236" i="6"/>
  <c r="I280" i="4"/>
  <c r="R280" i="4"/>
  <c r="AG225" i="4"/>
  <c r="N225" i="4"/>
  <c r="AF225" i="4" s="1"/>
  <c r="AG252" i="4"/>
  <c r="N252" i="4"/>
  <c r="AF252" i="4" s="1"/>
  <c r="X137" i="6"/>
  <c r="AG93" i="4"/>
  <c r="N93" i="4"/>
  <c r="AF93" i="4" s="1"/>
  <c r="X38" i="6"/>
  <c r="L420" i="4"/>
  <c r="N455" i="4"/>
  <c r="AF455" i="4" s="1"/>
  <c r="AG455" i="4"/>
  <c r="AP455" i="4" s="1"/>
  <c r="AO455" i="4" s="1"/>
  <c r="L160" i="4"/>
  <c r="R336" i="4"/>
  <c r="I336" i="4"/>
  <c r="X336" i="4"/>
  <c r="X202" i="6"/>
  <c r="N364" i="4"/>
  <c r="AF364" i="4" s="1"/>
  <c r="AG364" i="4"/>
  <c r="X80" i="6"/>
  <c r="AC80" i="6" s="1"/>
  <c r="L410" i="4"/>
  <c r="X353" i="6"/>
  <c r="X477" i="6"/>
  <c r="L331" i="4"/>
  <c r="AA331" i="4" s="1"/>
  <c r="L478" i="4"/>
  <c r="X212" i="6"/>
  <c r="AC212" i="6" s="1"/>
  <c r="N411" i="4"/>
  <c r="AF411" i="4" s="1"/>
  <c r="AG411" i="4"/>
  <c r="X431" i="6"/>
  <c r="AG233" i="4"/>
  <c r="N233" i="4"/>
  <c r="AF233" i="4" s="1"/>
  <c r="AG35" i="4"/>
  <c r="N35" i="4"/>
  <c r="AF35" i="4" s="1"/>
  <c r="AG254" i="4"/>
  <c r="N254" i="4"/>
  <c r="AF254" i="4" s="1"/>
  <c r="L343" i="4"/>
  <c r="L61" i="4"/>
  <c r="L334" i="4"/>
  <c r="AA334" i="4" s="1"/>
  <c r="AG102" i="4"/>
  <c r="N102" i="4"/>
  <c r="AF102" i="4" s="1"/>
  <c r="AG275" i="4"/>
  <c r="N275" i="4"/>
  <c r="AF275" i="4" s="1"/>
  <c r="X95" i="6"/>
  <c r="X406" i="6"/>
  <c r="L442" i="4"/>
  <c r="X46" i="6"/>
  <c r="L165" i="4"/>
  <c r="L132" i="4"/>
  <c r="L37" i="4"/>
  <c r="L25" i="4"/>
  <c r="L241" i="4"/>
  <c r="AA241" i="4" s="1"/>
  <c r="L356" i="4"/>
  <c r="L142" i="4"/>
  <c r="L41" i="4"/>
  <c r="L291" i="4"/>
  <c r="AG357" i="4"/>
  <c r="N357" i="4"/>
  <c r="AF357" i="4" s="1"/>
  <c r="L427" i="4"/>
  <c r="AG379" i="4"/>
  <c r="N379" i="4"/>
  <c r="AF379" i="4" s="1"/>
  <c r="AG196" i="4"/>
  <c r="N196" i="4"/>
  <c r="AF196" i="4" s="1"/>
  <c r="X450" i="6"/>
  <c r="AG124" i="4"/>
  <c r="N124" i="4"/>
  <c r="AF124" i="4" s="1"/>
  <c r="X371" i="6"/>
  <c r="N175" i="4"/>
  <c r="AF175" i="4" s="1"/>
  <c r="AG175" i="4"/>
  <c r="X377" i="6"/>
  <c r="AG468" i="4"/>
  <c r="AP468" i="4" s="1"/>
  <c r="AO468" i="4" s="1"/>
  <c r="N468" i="4"/>
  <c r="AF468" i="4" s="1"/>
  <c r="X134" i="6"/>
  <c r="L307" i="4"/>
  <c r="AA307" i="4" s="1"/>
  <c r="L440" i="4"/>
  <c r="X301" i="6"/>
  <c r="AG398" i="4"/>
  <c r="N398" i="4"/>
  <c r="AF398" i="4" s="1"/>
  <c r="L51" i="4"/>
  <c r="N450" i="4"/>
  <c r="AF450" i="4" s="1"/>
  <c r="AG450" i="4"/>
  <c r="AP450" i="4" s="1"/>
  <c r="AO450" i="4" s="1"/>
  <c r="L72" i="4"/>
  <c r="I102" i="4" l="1"/>
  <c r="I129" i="4"/>
  <c r="AE68" i="6"/>
  <c r="R113" i="4"/>
  <c r="I448" i="4"/>
  <c r="I288" i="4"/>
  <c r="R288" i="4"/>
  <c r="I141" i="4"/>
  <c r="R162" i="4"/>
  <c r="Q162" i="4" s="1"/>
  <c r="R141" i="4"/>
  <c r="R180" i="4"/>
  <c r="R21" i="4"/>
  <c r="I59" i="4"/>
  <c r="R85" i="4"/>
  <c r="I306" i="4"/>
  <c r="I84" i="4"/>
  <c r="R306" i="4"/>
  <c r="AP12" i="4"/>
  <c r="AO12" i="4" s="1"/>
  <c r="AP492" i="4"/>
  <c r="L493" i="4"/>
  <c r="N493" i="4"/>
  <c r="AG493" i="4"/>
  <c r="AE447" i="6"/>
  <c r="AE378" i="6"/>
  <c r="R351" i="4"/>
  <c r="I476" i="4"/>
  <c r="I347" i="4"/>
  <c r="R355" i="4"/>
  <c r="G303" i="5"/>
  <c r="L303" i="5" s="1"/>
  <c r="M303" i="5" s="1"/>
  <c r="R42" i="4"/>
  <c r="R372" i="4"/>
  <c r="I326" i="4"/>
  <c r="I159" i="4"/>
  <c r="I228" i="4"/>
  <c r="I200" i="4"/>
  <c r="R170" i="4"/>
  <c r="R328" i="4"/>
  <c r="Q328" i="4" s="1"/>
  <c r="I481" i="4"/>
  <c r="R98" i="4"/>
  <c r="I194" i="4"/>
  <c r="I439" i="4"/>
  <c r="I164" i="4"/>
  <c r="I488" i="4"/>
  <c r="Z107" i="4"/>
  <c r="G104" i="5"/>
  <c r="Z285" i="4"/>
  <c r="G282" i="5"/>
  <c r="Z236" i="4"/>
  <c r="G233" i="5"/>
  <c r="G281" i="5"/>
  <c r="Z284" i="4"/>
  <c r="Z246" i="4"/>
  <c r="G243" i="5"/>
  <c r="Z321" i="4"/>
  <c r="G318" i="5"/>
  <c r="I241" i="5"/>
  <c r="H241" i="5" s="1"/>
  <c r="L241" i="5"/>
  <c r="M241" i="5" s="1"/>
  <c r="L228" i="5"/>
  <c r="M228" i="5" s="1"/>
  <c r="I228" i="5"/>
  <c r="H228" i="5" s="1"/>
  <c r="I461" i="5"/>
  <c r="H461" i="5" s="1"/>
  <c r="L461" i="5"/>
  <c r="M461" i="5" s="1"/>
  <c r="I291" i="5"/>
  <c r="H291" i="5" s="1"/>
  <c r="L291" i="5"/>
  <c r="M291" i="5" s="1"/>
  <c r="L145" i="5"/>
  <c r="M145" i="5" s="1"/>
  <c r="I145" i="5"/>
  <c r="H145" i="5" s="1"/>
  <c r="L236" i="5"/>
  <c r="M236" i="5" s="1"/>
  <c r="I236" i="5"/>
  <c r="H236" i="5" s="1"/>
  <c r="L140" i="5"/>
  <c r="M140" i="5" s="1"/>
  <c r="I140" i="5"/>
  <c r="H140" i="5" s="1"/>
  <c r="Z241" i="4"/>
  <c r="G238" i="5"/>
  <c r="I122" i="5"/>
  <c r="H122" i="5" s="1"/>
  <c r="L122" i="5"/>
  <c r="M122" i="5" s="1"/>
  <c r="I322" i="5"/>
  <c r="H322" i="5" s="1"/>
  <c r="L322" i="5"/>
  <c r="M322" i="5" s="1"/>
  <c r="L329" i="5"/>
  <c r="M329" i="5" s="1"/>
  <c r="I329" i="5"/>
  <c r="H329" i="5" s="1"/>
  <c r="Z334" i="4"/>
  <c r="G331" i="5"/>
  <c r="R423" i="4"/>
  <c r="I199" i="4"/>
  <c r="Z327" i="4"/>
  <c r="G324" i="5"/>
  <c r="Z335" i="4"/>
  <c r="G332" i="5"/>
  <c r="X481" i="4"/>
  <c r="AP481" i="4" s="1"/>
  <c r="AO481" i="4" s="1"/>
  <c r="X488" i="4"/>
  <c r="Z301" i="4"/>
  <c r="G298" i="5"/>
  <c r="Z340" i="4"/>
  <c r="G337" i="5"/>
  <c r="Z240" i="4"/>
  <c r="G237" i="5"/>
  <c r="Z288" i="4"/>
  <c r="G285" i="5"/>
  <c r="I367" i="4"/>
  <c r="AA367" i="4"/>
  <c r="Z367" i="4" s="1"/>
  <c r="Z149" i="4"/>
  <c r="G146" i="5"/>
  <c r="Z282" i="4"/>
  <c r="G279" i="5"/>
  <c r="Z115" i="4"/>
  <c r="G112" i="5"/>
  <c r="I310" i="5"/>
  <c r="H310" i="5" s="1"/>
  <c r="L310" i="5"/>
  <c r="M310" i="5" s="1"/>
  <c r="L336" i="5"/>
  <c r="M336" i="5" s="1"/>
  <c r="I336" i="5"/>
  <c r="H336" i="5" s="1"/>
  <c r="L240" i="5"/>
  <c r="M240" i="5" s="1"/>
  <c r="I240" i="5"/>
  <c r="H240" i="5" s="1"/>
  <c r="L12" i="5"/>
  <c r="M12" i="5" s="1"/>
  <c r="I12" i="5"/>
  <c r="H12" i="5" s="1"/>
  <c r="L232" i="5"/>
  <c r="M232" i="5" s="1"/>
  <c r="I232" i="5"/>
  <c r="H232" i="5" s="1"/>
  <c r="I338" i="5"/>
  <c r="H338" i="5" s="1"/>
  <c r="L338" i="5"/>
  <c r="M338" i="5" s="1"/>
  <c r="L138" i="5"/>
  <c r="M138" i="5" s="1"/>
  <c r="I138" i="5"/>
  <c r="H138" i="5" s="1"/>
  <c r="Z120" i="4"/>
  <c r="G117" i="5"/>
  <c r="Z307" i="4"/>
  <c r="G304" i="5"/>
  <c r="Z254" i="4"/>
  <c r="G251" i="5"/>
  <c r="Z279" i="4"/>
  <c r="G276" i="5"/>
  <c r="Z286" i="4"/>
  <c r="G283" i="5"/>
  <c r="Z303" i="4"/>
  <c r="G300" i="5"/>
  <c r="Z317" i="4"/>
  <c r="G314" i="5"/>
  <c r="Z326" i="4"/>
  <c r="G323" i="5"/>
  <c r="L280" i="5"/>
  <c r="M280" i="5" s="1"/>
  <c r="I280" i="5"/>
  <c r="H280" i="5" s="1"/>
  <c r="I305" i="5"/>
  <c r="H305" i="5" s="1"/>
  <c r="L305" i="5"/>
  <c r="M305" i="5" s="1"/>
  <c r="Z331" i="4"/>
  <c r="G328" i="5"/>
  <c r="R326" i="4"/>
  <c r="Z287" i="4"/>
  <c r="G284" i="5"/>
  <c r="Z305" i="4"/>
  <c r="G302" i="5"/>
  <c r="Z300" i="4"/>
  <c r="G297" i="5"/>
  <c r="Z315" i="4"/>
  <c r="G312" i="5"/>
  <c r="Z227" i="4"/>
  <c r="G224" i="5"/>
  <c r="Z259" i="4"/>
  <c r="G256" i="5"/>
  <c r="R319" i="4"/>
  <c r="Q319" i="4" s="1"/>
  <c r="AA319" i="4"/>
  <c r="BG319" i="4" s="1"/>
  <c r="I268" i="4"/>
  <c r="R29" i="4"/>
  <c r="Q29" i="4" s="1"/>
  <c r="I177" i="4"/>
  <c r="R93" i="4"/>
  <c r="R314" i="4"/>
  <c r="R418" i="4"/>
  <c r="Q418" i="4" s="1"/>
  <c r="R90" i="4"/>
  <c r="Q90" i="4" s="1"/>
  <c r="R345" i="4"/>
  <c r="Q345" i="4" s="1"/>
  <c r="I155" i="4"/>
  <c r="R70" i="4"/>
  <c r="Q70" i="4" s="1"/>
  <c r="AA70" i="4"/>
  <c r="Z70" i="4" s="1"/>
  <c r="X412" i="4"/>
  <c r="AA412" i="4"/>
  <c r="Z412" i="4" s="1"/>
  <c r="Z392" i="4"/>
  <c r="G389" i="5"/>
  <c r="AE101" i="6"/>
  <c r="R318" i="4"/>
  <c r="Q318" i="4" s="1"/>
  <c r="I169" i="4"/>
  <c r="I70" i="4"/>
  <c r="X347" i="4"/>
  <c r="BG347" i="4" s="1"/>
  <c r="I116" i="4"/>
  <c r="AE481" i="6"/>
  <c r="I319" i="4"/>
  <c r="I418" i="4"/>
  <c r="R412" i="4"/>
  <c r="Q412" i="4" s="1"/>
  <c r="R381" i="4"/>
  <c r="Q381" i="4" s="1"/>
  <c r="X423" i="4"/>
  <c r="G420" i="5" s="1"/>
  <c r="AE412" i="6"/>
  <c r="X367" i="4"/>
  <c r="R97" i="4"/>
  <c r="Q97" i="4" s="1"/>
  <c r="I267" i="4"/>
  <c r="AE299" i="6"/>
  <c r="AE391" i="6"/>
  <c r="AC322" i="6"/>
  <c r="AE322" i="6" s="1"/>
  <c r="AC348" i="6"/>
  <c r="AE348" i="6" s="1"/>
  <c r="AC16" i="6"/>
  <c r="AE16" i="6" s="1"/>
  <c r="I37" i="4"/>
  <c r="R37" i="4"/>
  <c r="AC236" i="6"/>
  <c r="AE236" i="6" s="1"/>
  <c r="I210" i="4"/>
  <c r="R210" i="4"/>
  <c r="AC123" i="6"/>
  <c r="AE123" i="6" s="1"/>
  <c r="R362" i="4"/>
  <c r="I362" i="4"/>
  <c r="BG79" i="4"/>
  <c r="AP79" i="4"/>
  <c r="AO79" i="4" s="1"/>
  <c r="AC346" i="6"/>
  <c r="AE346" i="6" s="1"/>
  <c r="AC206" i="6"/>
  <c r="AE206" i="6" s="1"/>
  <c r="I279" i="4"/>
  <c r="R279" i="4"/>
  <c r="BG399" i="4"/>
  <c r="AP399" i="4"/>
  <c r="AO399" i="4" s="1"/>
  <c r="BG38" i="4"/>
  <c r="AP38" i="4"/>
  <c r="AO38" i="4" s="1"/>
  <c r="BG104" i="4"/>
  <c r="AP104" i="4"/>
  <c r="AO104" i="4" s="1"/>
  <c r="I71" i="4"/>
  <c r="R71" i="4"/>
  <c r="BG99" i="4"/>
  <c r="AP99" i="4"/>
  <c r="AO99" i="4" s="1"/>
  <c r="BG175" i="4"/>
  <c r="AP175" i="4"/>
  <c r="AO175" i="4" s="1"/>
  <c r="R356" i="4"/>
  <c r="I356" i="4"/>
  <c r="AC406" i="6"/>
  <c r="AE406" i="6" s="1"/>
  <c r="BG35" i="4"/>
  <c r="AP35" i="4"/>
  <c r="AO35" i="4" s="1"/>
  <c r="I331" i="4"/>
  <c r="R331" i="4"/>
  <c r="AC353" i="6"/>
  <c r="AE353" i="6" s="1"/>
  <c r="Q336" i="4"/>
  <c r="AC137" i="6"/>
  <c r="AE137" i="6" s="1"/>
  <c r="BG225" i="4"/>
  <c r="AP225" i="4"/>
  <c r="AO225" i="4" s="1"/>
  <c r="AC277" i="6"/>
  <c r="AE277" i="6" s="1"/>
  <c r="BG15" i="4"/>
  <c r="AP15" i="4"/>
  <c r="AO15" i="4" s="1"/>
  <c r="AC168" i="6"/>
  <c r="AE168" i="6" s="1"/>
  <c r="AC177" i="6"/>
  <c r="AE177" i="6" s="1"/>
  <c r="R375" i="4"/>
  <c r="I375" i="4"/>
  <c r="X375" i="4"/>
  <c r="R254" i="4"/>
  <c r="I254" i="4"/>
  <c r="R118" i="4"/>
  <c r="I118" i="4"/>
  <c r="BG268" i="4"/>
  <c r="AP268" i="4"/>
  <c r="AO268" i="4" s="1"/>
  <c r="I161" i="4"/>
  <c r="R161" i="4"/>
  <c r="R47" i="4"/>
  <c r="I47" i="4"/>
  <c r="AS438" i="4"/>
  <c r="AY438" i="4" s="1"/>
  <c r="Q438" i="4"/>
  <c r="BG313" i="4"/>
  <c r="AP313" i="4"/>
  <c r="AO313" i="4" s="1"/>
  <c r="R436" i="4"/>
  <c r="I436" i="4"/>
  <c r="X436" i="4"/>
  <c r="BG130" i="4"/>
  <c r="AP130" i="4"/>
  <c r="AO130" i="4" s="1"/>
  <c r="R358" i="4"/>
  <c r="I358" i="4"/>
  <c r="BG117" i="4"/>
  <c r="AP117" i="4"/>
  <c r="AO117" i="4" s="1"/>
  <c r="AP81" i="4"/>
  <c r="AO81" i="4" s="1"/>
  <c r="BG81" i="4"/>
  <c r="AC103" i="6"/>
  <c r="AE103" i="6" s="1"/>
  <c r="AC301" i="6"/>
  <c r="AE301" i="6" s="1"/>
  <c r="AC450" i="6"/>
  <c r="AE450" i="6" s="1"/>
  <c r="I291" i="4"/>
  <c r="R291" i="4"/>
  <c r="R241" i="4"/>
  <c r="I241" i="4"/>
  <c r="R165" i="4"/>
  <c r="I165" i="4"/>
  <c r="AC95" i="6"/>
  <c r="AE95" i="6" s="1"/>
  <c r="BG102" i="4"/>
  <c r="AP102" i="4"/>
  <c r="AO102" i="4" s="1"/>
  <c r="AC477" i="6"/>
  <c r="AE477" i="6" s="1"/>
  <c r="R410" i="4"/>
  <c r="I410" i="4"/>
  <c r="X410" i="4"/>
  <c r="R160" i="4"/>
  <c r="I160" i="4"/>
  <c r="AC38" i="6"/>
  <c r="AE38" i="6" s="1"/>
  <c r="Q280" i="4"/>
  <c r="AC152" i="6"/>
  <c r="AE152" i="6" s="1"/>
  <c r="R350" i="4"/>
  <c r="I350" i="4"/>
  <c r="AC110" i="6"/>
  <c r="AE110" i="6" s="1"/>
  <c r="AC468" i="6"/>
  <c r="AE468" i="6" s="1"/>
  <c r="AC97" i="6"/>
  <c r="AE97" i="6" s="1"/>
  <c r="BG86" i="4"/>
  <c r="AP86" i="4"/>
  <c r="AO86" i="4" s="1"/>
  <c r="BG340" i="4"/>
  <c r="AP340" i="4"/>
  <c r="AO340" i="4" s="1"/>
  <c r="R253" i="4"/>
  <c r="I253" i="4"/>
  <c r="AC192" i="6"/>
  <c r="AE192" i="6" s="1"/>
  <c r="AP57" i="4"/>
  <c r="AO57" i="4" s="1"/>
  <c r="BG57" i="4"/>
  <c r="AC274" i="6"/>
  <c r="AE274" i="6" s="1"/>
  <c r="AC399" i="6"/>
  <c r="AE399" i="6" s="1"/>
  <c r="BG310" i="4"/>
  <c r="AP310" i="4"/>
  <c r="AO310" i="4" s="1"/>
  <c r="R31" i="4"/>
  <c r="I31" i="4"/>
  <c r="AC278" i="6"/>
  <c r="AE278" i="6" s="1"/>
  <c r="Q76" i="4"/>
  <c r="BG348" i="4"/>
  <c r="AP348" i="4"/>
  <c r="AO348" i="4" s="1"/>
  <c r="AC96" i="6"/>
  <c r="AE96" i="6" s="1"/>
  <c r="AC398" i="6"/>
  <c r="AE398" i="6" s="1"/>
  <c r="AC122" i="6"/>
  <c r="AE122" i="6" s="1"/>
  <c r="R100" i="4"/>
  <c r="I100" i="4"/>
  <c r="AC240" i="6"/>
  <c r="AE240" i="6" s="1"/>
  <c r="AC422" i="6"/>
  <c r="AE422" i="6" s="1"/>
  <c r="R173" i="4"/>
  <c r="I173" i="4"/>
  <c r="BG144" i="4"/>
  <c r="AP144" i="4"/>
  <c r="AO144" i="4" s="1"/>
  <c r="BG43" i="4"/>
  <c r="AP43" i="4"/>
  <c r="AO43" i="4" s="1"/>
  <c r="G391" i="5"/>
  <c r="W394" i="4"/>
  <c r="AP394" i="4"/>
  <c r="AO394" i="4" s="1"/>
  <c r="BG394" i="4"/>
  <c r="BG211" i="4"/>
  <c r="AP211" i="4"/>
  <c r="AO211" i="4" s="1"/>
  <c r="AC39" i="6"/>
  <c r="AE39" i="6" s="1"/>
  <c r="Q181" i="4"/>
  <c r="BG23" i="4"/>
  <c r="AP23" i="4"/>
  <c r="AO23" i="4" s="1"/>
  <c r="Q148" i="4"/>
  <c r="BG94" i="4"/>
  <c r="AP94" i="4"/>
  <c r="AO94" i="4" s="1"/>
  <c r="AC126" i="6"/>
  <c r="AE126" i="6" s="1"/>
  <c r="AP136" i="4"/>
  <c r="AO136" i="4" s="1"/>
  <c r="BG136" i="4"/>
  <c r="AC345" i="6"/>
  <c r="AE345" i="6" s="1"/>
  <c r="AP235" i="4"/>
  <c r="AO235" i="4" s="1"/>
  <c r="BG235" i="4"/>
  <c r="Q338" i="4"/>
  <c r="BG362" i="4"/>
  <c r="AP362" i="4"/>
  <c r="AO362" i="4" s="1"/>
  <c r="Q217" i="4"/>
  <c r="Q232" i="4"/>
  <c r="Q299" i="4"/>
  <c r="X493" i="6"/>
  <c r="X7" i="6"/>
  <c r="D15" i="22" s="1"/>
  <c r="BG306" i="4"/>
  <c r="AP306" i="4"/>
  <c r="AO306" i="4" s="1"/>
  <c r="AC35" i="6"/>
  <c r="AE35" i="6" s="1"/>
  <c r="BG331" i="4"/>
  <c r="AP331" i="4"/>
  <c r="AO331" i="4" s="1"/>
  <c r="BG128" i="4"/>
  <c r="AP128" i="4"/>
  <c r="AO128" i="4" s="1"/>
  <c r="BG230" i="4"/>
  <c r="AP230" i="4"/>
  <c r="AO230" i="4" s="1"/>
  <c r="R273" i="4"/>
  <c r="I273" i="4"/>
  <c r="Q294" i="4"/>
  <c r="Q74" i="4"/>
  <c r="R218" i="4"/>
  <c r="I218" i="4"/>
  <c r="Q462" i="4"/>
  <c r="AS462" i="4"/>
  <c r="AY462" i="4" s="1"/>
  <c r="BG259" i="4"/>
  <c r="AP259" i="4"/>
  <c r="AO259" i="4" s="1"/>
  <c r="Q365" i="4"/>
  <c r="Q320" i="4"/>
  <c r="BG231" i="4"/>
  <c r="AP231" i="4"/>
  <c r="AO231" i="4" s="1"/>
  <c r="AC72" i="6"/>
  <c r="AE72" i="6" s="1"/>
  <c r="AC51" i="6"/>
  <c r="AE51" i="6" s="1"/>
  <c r="AC307" i="6"/>
  <c r="AE307" i="6" s="1"/>
  <c r="I208" i="4"/>
  <c r="R208" i="4"/>
  <c r="BG292" i="4"/>
  <c r="AP292" i="4"/>
  <c r="AO292" i="4" s="1"/>
  <c r="R107" i="4"/>
  <c r="I107" i="4"/>
  <c r="AE212" i="6"/>
  <c r="AC138" i="6"/>
  <c r="AE138" i="6" s="1"/>
  <c r="BG194" i="4"/>
  <c r="AP194" i="4"/>
  <c r="AO194" i="4" s="1"/>
  <c r="R426" i="4"/>
  <c r="I426" i="4"/>
  <c r="X426" i="4"/>
  <c r="R145" i="4"/>
  <c r="I145" i="4"/>
  <c r="BG267" i="4"/>
  <c r="AP267" i="4"/>
  <c r="AO267" i="4" s="1"/>
  <c r="BG335" i="4"/>
  <c r="AP335" i="4"/>
  <c r="AO335" i="4" s="1"/>
  <c r="BG36" i="4"/>
  <c r="AP36" i="4"/>
  <c r="AO36" i="4" s="1"/>
  <c r="BG169" i="4"/>
  <c r="AP169" i="4"/>
  <c r="AO169" i="4" s="1"/>
  <c r="BG84" i="4"/>
  <c r="AP84" i="4"/>
  <c r="AO84" i="4" s="1"/>
  <c r="R133" i="4"/>
  <c r="I133" i="4"/>
  <c r="I391" i="4"/>
  <c r="X391" i="4"/>
  <c r="R391" i="4"/>
  <c r="R67" i="4"/>
  <c r="I67" i="4"/>
  <c r="R445" i="4"/>
  <c r="I445" i="4"/>
  <c r="BG46" i="4"/>
  <c r="AP46" i="4"/>
  <c r="AO46" i="4" s="1"/>
  <c r="BG283" i="4"/>
  <c r="AP283" i="4"/>
  <c r="AO283" i="4" s="1"/>
  <c r="AC375" i="6"/>
  <c r="AE375" i="6" s="1"/>
  <c r="I363" i="4"/>
  <c r="R363" i="4"/>
  <c r="R456" i="4"/>
  <c r="I456" i="4"/>
  <c r="AC187" i="6"/>
  <c r="AE187" i="6" s="1"/>
  <c r="X424" i="4"/>
  <c r="R424" i="4"/>
  <c r="I424" i="4"/>
  <c r="Q194" i="4"/>
  <c r="X388" i="4"/>
  <c r="R388" i="4"/>
  <c r="I388" i="4"/>
  <c r="AE458" i="6"/>
  <c r="R139" i="4"/>
  <c r="I139" i="4"/>
  <c r="AC246" i="6"/>
  <c r="AE246" i="6" s="1"/>
  <c r="R24" i="4"/>
  <c r="I24" i="4"/>
  <c r="G434" i="5"/>
  <c r="W437" i="4"/>
  <c r="AP437" i="4"/>
  <c r="AO437" i="4" s="1"/>
  <c r="BG301" i="4"/>
  <c r="AP301" i="4"/>
  <c r="AO301" i="4" s="1"/>
  <c r="R175" i="4"/>
  <c r="I175" i="4"/>
  <c r="Q382" i="4"/>
  <c r="BG368" i="4"/>
  <c r="AP368" i="4"/>
  <c r="AO368" i="4" s="1"/>
  <c r="R276" i="4"/>
  <c r="I276" i="4"/>
  <c r="AE430" i="6"/>
  <c r="AC309" i="6"/>
  <c r="AE309" i="6" s="1"/>
  <c r="BG286" i="4"/>
  <c r="AP286" i="4"/>
  <c r="AO286" i="4" s="1"/>
  <c r="BG295" i="4"/>
  <c r="AP295" i="4"/>
  <c r="AO295" i="4" s="1"/>
  <c r="AC248" i="6"/>
  <c r="AE248" i="6" s="1"/>
  <c r="R176" i="4"/>
  <c r="I176" i="4"/>
  <c r="BG221" i="4"/>
  <c r="AP221" i="4"/>
  <c r="AO221" i="4" s="1"/>
  <c r="BG62" i="4"/>
  <c r="AP62" i="4"/>
  <c r="AO62" i="4" s="1"/>
  <c r="BG219" i="4"/>
  <c r="AP219" i="4"/>
  <c r="AO219" i="4" s="1"/>
  <c r="Q200" i="4"/>
  <c r="BG227" i="4"/>
  <c r="AP227" i="4"/>
  <c r="AO227" i="4" s="1"/>
  <c r="BG133" i="4"/>
  <c r="AP133" i="4"/>
  <c r="AO133" i="4" s="1"/>
  <c r="I330" i="4"/>
  <c r="R330" i="4"/>
  <c r="BG195" i="4"/>
  <c r="AP195" i="4"/>
  <c r="AO195" i="4" s="1"/>
  <c r="AP41" i="4"/>
  <c r="AO41" i="4" s="1"/>
  <c r="BG41" i="4"/>
  <c r="Q111" i="4"/>
  <c r="Q341" i="4"/>
  <c r="AC334" i="6"/>
  <c r="AE334" i="6" s="1"/>
  <c r="BG278" i="4"/>
  <c r="AP278" i="4"/>
  <c r="AO278" i="4" s="1"/>
  <c r="BG314" i="4"/>
  <c r="AP314" i="4"/>
  <c r="AO314" i="4" s="1"/>
  <c r="AC417" i="6"/>
  <c r="AE417" i="6" s="1"/>
  <c r="Q432" i="4"/>
  <c r="Q79" i="4"/>
  <c r="AC429" i="6"/>
  <c r="AE429" i="6" s="1"/>
  <c r="G394" i="5"/>
  <c r="W397" i="4"/>
  <c r="BG397" i="4"/>
  <c r="AP397" i="4"/>
  <c r="AO397" i="4" s="1"/>
  <c r="BG346" i="4"/>
  <c r="AP346" i="4"/>
  <c r="AO346" i="4" s="1"/>
  <c r="I360" i="4"/>
  <c r="R360" i="4"/>
  <c r="AC460" i="6"/>
  <c r="AE460" i="6" s="1"/>
  <c r="BG60" i="4"/>
  <c r="AP60" i="4"/>
  <c r="AO60" i="4" s="1"/>
  <c r="AC45" i="6"/>
  <c r="AE45" i="6" s="1"/>
  <c r="BG101" i="4"/>
  <c r="AP101" i="4"/>
  <c r="AO101" i="4" s="1"/>
  <c r="AC107" i="6"/>
  <c r="AE107" i="6" s="1"/>
  <c r="BG188" i="4"/>
  <c r="AP188" i="4"/>
  <c r="AO188" i="4" s="1"/>
  <c r="AC349" i="6"/>
  <c r="AE349" i="6" s="1"/>
  <c r="R455" i="4"/>
  <c r="I455" i="4"/>
  <c r="BG17" i="4"/>
  <c r="AP17" i="4"/>
  <c r="AO17" i="4" s="1"/>
  <c r="R225" i="4"/>
  <c r="I225" i="4"/>
  <c r="R315" i="4"/>
  <c r="I315" i="4"/>
  <c r="R140" i="4"/>
  <c r="I140" i="4"/>
  <c r="BG76" i="4"/>
  <c r="AP76" i="4"/>
  <c r="AO76" i="4" s="1"/>
  <c r="R75" i="4"/>
  <c r="I75" i="4"/>
  <c r="BG239" i="4"/>
  <c r="AP239" i="4"/>
  <c r="AO239" i="4" s="1"/>
  <c r="R196" i="4"/>
  <c r="I196" i="4"/>
  <c r="BG40" i="4"/>
  <c r="AP40" i="4"/>
  <c r="AO40" i="4" s="1"/>
  <c r="AC340" i="6"/>
  <c r="AE340" i="6" s="1"/>
  <c r="BG321" i="4"/>
  <c r="AP321" i="4"/>
  <c r="AO321" i="4" s="1"/>
  <c r="X91" i="4"/>
  <c r="R91" i="4"/>
  <c r="I91" i="4"/>
  <c r="AE127" i="6"/>
  <c r="BG248" i="4"/>
  <c r="AP248" i="4"/>
  <c r="AO248" i="4" s="1"/>
  <c r="Q189" i="4"/>
  <c r="R114" i="4"/>
  <c r="I114" i="4"/>
  <c r="Q180" i="4"/>
  <c r="R335" i="4"/>
  <c r="I335" i="4"/>
  <c r="AC112" i="6"/>
  <c r="AE112" i="6" s="1"/>
  <c r="BG361" i="4"/>
  <c r="AP361" i="4"/>
  <c r="AO361" i="4" s="1"/>
  <c r="BG47" i="4"/>
  <c r="AP47" i="4"/>
  <c r="AO47" i="4" s="1"/>
  <c r="BG217" i="4"/>
  <c r="AP217" i="4"/>
  <c r="AO217" i="4" s="1"/>
  <c r="BG131" i="4"/>
  <c r="AP131" i="4"/>
  <c r="AO131" i="4" s="1"/>
  <c r="BG371" i="4"/>
  <c r="AP371" i="4"/>
  <c r="AO371" i="4" s="1"/>
  <c r="I172" i="4"/>
  <c r="R172" i="4"/>
  <c r="BG241" i="4"/>
  <c r="AP241" i="4"/>
  <c r="AO241" i="4" s="1"/>
  <c r="Q21" i="4"/>
  <c r="BG270" i="4"/>
  <c r="AP270" i="4"/>
  <c r="AO270" i="4" s="1"/>
  <c r="Q22" i="4"/>
  <c r="Q453" i="4"/>
  <c r="R32" i="4"/>
  <c r="X32" i="4"/>
  <c r="I32" i="4"/>
  <c r="BG220" i="4"/>
  <c r="AP220" i="4"/>
  <c r="AO220" i="4" s="1"/>
  <c r="BG199" i="4"/>
  <c r="AP199" i="4"/>
  <c r="AO199" i="4" s="1"/>
  <c r="X441" i="4"/>
  <c r="I441" i="4"/>
  <c r="R441" i="4"/>
  <c r="AP353" i="4"/>
  <c r="AO353" i="4" s="1"/>
  <c r="BG353" i="4"/>
  <c r="BG160" i="4"/>
  <c r="AP160" i="4"/>
  <c r="AO160" i="4" s="1"/>
  <c r="Q414" i="4"/>
  <c r="Q373" i="4"/>
  <c r="BG339" i="4"/>
  <c r="AP339" i="4"/>
  <c r="AO339" i="4" s="1"/>
  <c r="BG56" i="4"/>
  <c r="AP56" i="4"/>
  <c r="AO56" i="4" s="1"/>
  <c r="BG114" i="4"/>
  <c r="AP114" i="4"/>
  <c r="AO114" i="4" s="1"/>
  <c r="R463" i="4"/>
  <c r="I463" i="4"/>
  <c r="X463" i="4"/>
  <c r="AE47" i="6"/>
  <c r="AC153" i="6"/>
  <c r="AE153" i="6" s="1"/>
  <c r="R117" i="4"/>
  <c r="I117" i="4"/>
  <c r="Q19" i="4"/>
  <c r="L7" i="4"/>
  <c r="F15" i="22" s="1"/>
  <c r="F19" i="22" s="1"/>
  <c r="R12" i="4"/>
  <c r="I12" i="4"/>
  <c r="Q306" i="4"/>
  <c r="BG370" i="4"/>
  <c r="AP370" i="4"/>
  <c r="AO370" i="4" s="1"/>
  <c r="BG334" i="4"/>
  <c r="AP334" i="4"/>
  <c r="AO334" i="4" s="1"/>
  <c r="BG214" i="4"/>
  <c r="AP214" i="4"/>
  <c r="AO214" i="4" s="1"/>
  <c r="BG300" i="4"/>
  <c r="AP300" i="4"/>
  <c r="AO300" i="4" s="1"/>
  <c r="BG364" i="4"/>
  <c r="W364" i="4"/>
  <c r="G361" i="5"/>
  <c r="AP364" i="4"/>
  <c r="AO364" i="4" s="1"/>
  <c r="AS470" i="4"/>
  <c r="BC470" i="4" s="1"/>
  <c r="Q470" i="4"/>
  <c r="BG282" i="4"/>
  <c r="AP282" i="4"/>
  <c r="AO282" i="4" s="1"/>
  <c r="Q216" i="4"/>
  <c r="Q378" i="4"/>
  <c r="BG125" i="4"/>
  <c r="AP125" i="4"/>
  <c r="AO125" i="4" s="1"/>
  <c r="Q66" i="4"/>
  <c r="Q63" i="4"/>
  <c r="BG298" i="4"/>
  <c r="AP298" i="4"/>
  <c r="AO298" i="4" s="1"/>
  <c r="AC435" i="6"/>
  <c r="AE435" i="6" s="1"/>
  <c r="Q400" i="4"/>
  <c r="BG240" i="4"/>
  <c r="AP240" i="4"/>
  <c r="AO240" i="4" s="1"/>
  <c r="R134" i="4"/>
  <c r="I134" i="4"/>
  <c r="R450" i="4"/>
  <c r="I450" i="4"/>
  <c r="AC360" i="6"/>
  <c r="AE360" i="6" s="1"/>
  <c r="I460" i="4"/>
  <c r="R460" i="4"/>
  <c r="AC229" i="6"/>
  <c r="AE229" i="6" s="1"/>
  <c r="AC43" i="6"/>
  <c r="AE43" i="6" s="1"/>
  <c r="AC300" i="6"/>
  <c r="AE300" i="6" s="1"/>
  <c r="AC324" i="6"/>
  <c r="AE324" i="6" s="1"/>
  <c r="R353" i="4"/>
  <c r="I353" i="4"/>
  <c r="R202" i="4"/>
  <c r="I202" i="4"/>
  <c r="AC305" i="6"/>
  <c r="AE305" i="6" s="1"/>
  <c r="R38" i="4"/>
  <c r="I38" i="4"/>
  <c r="I236" i="4"/>
  <c r="R236" i="4"/>
  <c r="R56" i="4"/>
  <c r="I56" i="4"/>
  <c r="BG345" i="4"/>
  <c r="AP345" i="4"/>
  <c r="AO345" i="4" s="1"/>
  <c r="AE145" i="6"/>
  <c r="AC75" i="6"/>
  <c r="AE75" i="6" s="1"/>
  <c r="BG287" i="4"/>
  <c r="AP287" i="4"/>
  <c r="AO287" i="4" s="1"/>
  <c r="R284" i="4"/>
  <c r="I284" i="4"/>
  <c r="R110" i="4"/>
  <c r="I110" i="4"/>
  <c r="W58" i="4"/>
  <c r="G55" i="5"/>
  <c r="BG58" i="4"/>
  <c r="AP58" i="4"/>
  <c r="AO58" i="4" s="1"/>
  <c r="R185" i="4"/>
  <c r="I185" i="4"/>
  <c r="AC196" i="6"/>
  <c r="AE196" i="6" s="1"/>
  <c r="AC312" i="6"/>
  <c r="AE312" i="6" s="1"/>
  <c r="BG50" i="4"/>
  <c r="AP50" i="4"/>
  <c r="AO50" i="4" s="1"/>
  <c r="BG19" i="4"/>
  <c r="AP19" i="4"/>
  <c r="AO19" i="4" s="1"/>
  <c r="R123" i="4"/>
  <c r="I123" i="4"/>
  <c r="BG260" i="4"/>
  <c r="AP260" i="4"/>
  <c r="AO260" i="4" s="1"/>
  <c r="Q159" i="4"/>
  <c r="BG31" i="4"/>
  <c r="AP31" i="4"/>
  <c r="AO31" i="4" s="1"/>
  <c r="Q116" i="4"/>
  <c r="Q230" i="4"/>
  <c r="AC56" i="6"/>
  <c r="AE56" i="6" s="1"/>
  <c r="AC178" i="6"/>
  <c r="AE178" i="6" s="1"/>
  <c r="AC359" i="6"/>
  <c r="AE359" i="6" s="1"/>
  <c r="BG326" i="4"/>
  <c r="AP326" i="4"/>
  <c r="AO326" i="4" s="1"/>
  <c r="Q421" i="4"/>
  <c r="AE284" i="6"/>
  <c r="BG151" i="4"/>
  <c r="AP151" i="4"/>
  <c r="AO151" i="4" s="1"/>
  <c r="BG264" i="4"/>
  <c r="AP264" i="4"/>
  <c r="AO264" i="4" s="1"/>
  <c r="AC172" i="6"/>
  <c r="AE172" i="6" s="1"/>
  <c r="I28" i="4"/>
  <c r="R28" i="4"/>
  <c r="I30" i="4"/>
  <c r="R30" i="4"/>
  <c r="BG242" i="4"/>
  <c r="AP242" i="4"/>
  <c r="AO242" i="4" s="1"/>
  <c r="R430" i="4"/>
  <c r="I430" i="4"/>
  <c r="X430" i="4"/>
  <c r="Q372" i="4"/>
  <c r="AC32" i="6"/>
  <c r="AE32" i="6" s="1"/>
  <c r="BG341" i="4"/>
  <c r="AP341" i="4"/>
  <c r="AO341" i="4" s="1"/>
  <c r="BG61" i="4"/>
  <c r="AP61" i="4"/>
  <c r="AO61" i="4" s="1"/>
  <c r="R233" i="4"/>
  <c r="I233" i="4"/>
  <c r="AC441" i="6"/>
  <c r="AE441" i="6" s="1"/>
  <c r="BG34" i="4"/>
  <c r="AP34" i="4"/>
  <c r="AO34" i="4" s="1"/>
  <c r="R103" i="4"/>
  <c r="I103" i="4"/>
  <c r="I126" i="4"/>
  <c r="R126" i="4"/>
  <c r="AC387" i="6"/>
  <c r="AE387" i="6" s="1"/>
  <c r="BG416" i="4"/>
  <c r="W416" i="4"/>
  <c r="G413" i="5"/>
  <c r="AP416" i="4"/>
  <c r="AO416" i="4" s="1"/>
  <c r="Q296" i="4"/>
  <c r="R183" i="4"/>
  <c r="I183" i="4"/>
  <c r="BG316" i="4"/>
  <c r="AP316" i="4"/>
  <c r="AO316" i="4" s="1"/>
  <c r="I35" i="4"/>
  <c r="R35" i="4"/>
  <c r="Q146" i="4"/>
  <c r="Q13" i="4"/>
  <c r="W482" i="4"/>
  <c r="G479" i="5"/>
  <c r="AP482" i="4"/>
  <c r="AO482" i="4" s="1"/>
  <c r="Q293" i="4"/>
  <c r="X390" i="4"/>
  <c r="R390" i="4"/>
  <c r="I390" i="4"/>
  <c r="BG127" i="4"/>
  <c r="AP127" i="4"/>
  <c r="AO127" i="4" s="1"/>
  <c r="AP317" i="4"/>
  <c r="AO317" i="4" s="1"/>
  <c r="BG317" i="4"/>
  <c r="BG119" i="4"/>
  <c r="AP119" i="4"/>
  <c r="AO119" i="4" s="1"/>
  <c r="BG389" i="4"/>
  <c r="AP389" i="4"/>
  <c r="AO389" i="4" s="1"/>
  <c r="AC71" i="6"/>
  <c r="AE71" i="6" s="1"/>
  <c r="AC161" i="6"/>
  <c r="AE161" i="6" s="1"/>
  <c r="G470" i="5"/>
  <c r="I470" i="5" s="1"/>
  <c r="W473" i="4"/>
  <c r="AP473" i="4"/>
  <c r="AO473" i="4" s="1"/>
  <c r="AE227" i="6"/>
  <c r="AC377" i="6"/>
  <c r="AE377" i="6" s="1"/>
  <c r="R61" i="4"/>
  <c r="I61" i="4"/>
  <c r="AC431" i="6"/>
  <c r="AE431" i="6" s="1"/>
  <c r="AC77" i="6"/>
  <c r="AE77" i="6" s="1"/>
  <c r="AC321" i="6"/>
  <c r="AE321" i="6" s="1"/>
  <c r="R51" i="4"/>
  <c r="I51" i="4"/>
  <c r="R440" i="4"/>
  <c r="I440" i="4"/>
  <c r="AC371" i="6"/>
  <c r="AE371" i="6" s="1"/>
  <c r="R427" i="4"/>
  <c r="X427" i="4"/>
  <c r="I427" i="4"/>
  <c r="R41" i="4"/>
  <c r="I41" i="4"/>
  <c r="R25" i="4"/>
  <c r="I25" i="4"/>
  <c r="AC46" i="6"/>
  <c r="AE46" i="6" s="1"/>
  <c r="I334" i="4"/>
  <c r="R334" i="4"/>
  <c r="BG254" i="4"/>
  <c r="AP254" i="4"/>
  <c r="AO254" i="4" s="1"/>
  <c r="BG233" i="4"/>
  <c r="AP233" i="4"/>
  <c r="AO233" i="4" s="1"/>
  <c r="W336" i="4"/>
  <c r="BG336" i="4"/>
  <c r="G333" i="5"/>
  <c r="AP336" i="4"/>
  <c r="AO336" i="4" s="1"/>
  <c r="BG252" i="4"/>
  <c r="AP252" i="4"/>
  <c r="AO252" i="4" s="1"/>
  <c r="R248" i="4"/>
  <c r="I248" i="4"/>
  <c r="AC317" i="6"/>
  <c r="AE317" i="6" s="1"/>
  <c r="AC124" i="6"/>
  <c r="AE124" i="6" s="1"/>
  <c r="Q489" i="4"/>
  <c r="BG223" i="4"/>
  <c r="AP223" i="4"/>
  <c r="AO223" i="4" s="1"/>
  <c r="AC163" i="6"/>
  <c r="AE163" i="6" s="1"/>
  <c r="BG22" i="4"/>
  <c r="AP22" i="4"/>
  <c r="AO22" i="4" s="1"/>
  <c r="AC115" i="6"/>
  <c r="AE115" i="6" s="1"/>
  <c r="Q60" i="4"/>
  <c r="AC52" i="6"/>
  <c r="AE52" i="6" s="1"/>
  <c r="BG251" i="4"/>
  <c r="AP251" i="4"/>
  <c r="AO251" i="4" s="1"/>
  <c r="Q332" i="4"/>
  <c r="R157" i="4"/>
  <c r="I157" i="4"/>
  <c r="Q263" i="4"/>
  <c r="BG200" i="4"/>
  <c r="AP200" i="4"/>
  <c r="AO200" i="4" s="1"/>
  <c r="Q147" i="4"/>
  <c r="R193" i="4"/>
  <c r="I193" i="4"/>
  <c r="BG400" i="4"/>
  <c r="AP400" i="4"/>
  <c r="AO400" i="4" s="1"/>
  <c r="AC472" i="6"/>
  <c r="AE472" i="6" s="1"/>
  <c r="R292" i="4"/>
  <c r="I292" i="4"/>
  <c r="AC155" i="6"/>
  <c r="AE155" i="6" s="1"/>
  <c r="BG234" i="4"/>
  <c r="AP234" i="4"/>
  <c r="AO234" i="4" s="1"/>
  <c r="AC486" i="6"/>
  <c r="AE486" i="6" s="1"/>
  <c r="R449" i="4"/>
  <c r="I449" i="4"/>
  <c r="BG183" i="4"/>
  <c r="AP183" i="4"/>
  <c r="AO183" i="4" s="1"/>
  <c r="BG210" i="4"/>
  <c r="AP210" i="4"/>
  <c r="AO210" i="4" s="1"/>
  <c r="AC99" i="6"/>
  <c r="AE99" i="6" s="1"/>
  <c r="Q394" i="4"/>
  <c r="Q226" i="4"/>
  <c r="AC233" i="6"/>
  <c r="AE233" i="6" s="1"/>
  <c r="Q150" i="4"/>
  <c r="Q310" i="4"/>
  <c r="Q121" i="4"/>
  <c r="AC419" i="6"/>
  <c r="AE419" i="6" s="1"/>
  <c r="BG355" i="4"/>
  <c r="AP355" i="4"/>
  <c r="AO355" i="4" s="1"/>
  <c r="I149" i="4"/>
  <c r="R149" i="4"/>
  <c r="BG98" i="4"/>
  <c r="AP98" i="4"/>
  <c r="AO98" i="4" s="1"/>
  <c r="Q184" i="4"/>
  <c r="BG360" i="4"/>
  <c r="AP360" i="4"/>
  <c r="AO360" i="4" s="1"/>
  <c r="G468" i="5"/>
  <c r="W471" i="4"/>
  <c r="AP471" i="4"/>
  <c r="AO471" i="4" s="1"/>
  <c r="BG95" i="4"/>
  <c r="AP95" i="4"/>
  <c r="AO95" i="4" s="1"/>
  <c r="AO505" i="4"/>
  <c r="Q220" i="4"/>
  <c r="AC202" i="6"/>
  <c r="AE202" i="6" s="1"/>
  <c r="AC390" i="6"/>
  <c r="AE390" i="6" s="1"/>
  <c r="Q396" i="4"/>
  <c r="Q448" i="4"/>
  <c r="AS448" i="4"/>
  <c r="BF448" i="4" s="1"/>
  <c r="Q272" i="4"/>
  <c r="Q423" i="4"/>
  <c r="Q82" i="4"/>
  <c r="Q288" i="4"/>
  <c r="R27" i="4"/>
  <c r="I27" i="4"/>
  <c r="BG83" i="4"/>
  <c r="AP83" i="4"/>
  <c r="AO83" i="4" s="1"/>
  <c r="R354" i="4"/>
  <c r="I354" i="4"/>
  <c r="R405" i="4"/>
  <c r="X405" i="4"/>
  <c r="I405" i="4"/>
  <c r="BG156" i="4"/>
  <c r="AP156" i="4"/>
  <c r="AO156" i="4" s="1"/>
  <c r="BG358" i="4"/>
  <c r="AP358" i="4"/>
  <c r="AO358" i="4" s="1"/>
  <c r="BG228" i="4"/>
  <c r="AP228" i="4"/>
  <c r="AO228" i="4" s="1"/>
  <c r="AC356" i="6"/>
  <c r="AE356" i="6" s="1"/>
  <c r="AC241" i="6"/>
  <c r="AE241" i="6" s="1"/>
  <c r="BG372" i="4"/>
  <c r="AP372" i="4"/>
  <c r="AO372" i="4" s="1"/>
  <c r="BG111" i="4"/>
  <c r="AP111" i="4"/>
  <c r="AO111" i="4" s="1"/>
  <c r="AC442" i="6"/>
  <c r="AE442" i="6" s="1"/>
  <c r="BG253" i="4"/>
  <c r="AP253" i="4"/>
  <c r="AO253" i="4" s="1"/>
  <c r="R211" i="4"/>
  <c r="I211" i="4"/>
  <c r="AC61" i="6"/>
  <c r="AE61" i="6" s="1"/>
  <c r="I256" i="4"/>
  <c r="R256" i="4"/>
  <c r="AC478" i="6"/>
  <c r="AE478" i="6" s="1"/>
  <c r="R295" i="4"/>
  <c r="I295" i="4"/>
  <c r="BG327" i="4"/>
  <c r="AP327" i="4"/>
  <c r="AO327" i="4" s="1"/>
  <c r="I392" i="4"/>
  <c r="R392" i="4"/>
  <c r="R282" i="4"/>
  <c r="I282" i="4"/>
  <c r="BG328" i="4"/>
  <c r="AP328" i="4"/>
  <c r="AO328" i="4" s="1"/>
  <c r="X393" i="4"/>
  <c r="R393" i="4"/>
  <c r="I393" i="4"/>
  <c r="Q201" i="4"/>
  <c r="AC238" i="6"/>
  <c r="AE238" i="6" s="1"/>
  <c r="R369" i="4"/>
  <c r="I369" i="4"/>
  <c r="AC167" i="6"/>
  <c r="AE167" i="6" s="1"/>
  <c r="Q50" i="4"/>
  <c r="AC253" i="6"/>
  <c r="AE253" i="6" s="1"/>
  <c r="BG266" i="4"/>
  <c r="AP266" i="4"/>
  <c r="AO266" i="4" s="1"/>
  <c r="BG311" i="4"/>
  <c r="AP311" i="4"/>
  <c r="AO311" i="4" s="1"/>
  <c r="I205" i="4"/>
  <c r="R205" i="4"/>
  <c r="BG148" i="4"/>
  <c r="AP148" i="4"/>
  <c r="AO148" i="4" s="1"/>
  <c r="BG116" i="4"/>
  <c r="AP116" i="4"/>
  <c r="AO116" i="4" s="1"/>
  <c r="BG216" i="4"/>
  <c r="AP216" i="4"/>
  <c r="AO216" i="4" s="1"/>
  <c r="AC157" i="6"/>
  <c r="AE157" i="6" s="1"/>
  <c r="Q323" i="4"/>
  <c r="R112" i="4"/>
  <c r="I112" i="4"/>
  <c r="R33" i="4"/>
  <c r="I33" i="4"/>
  <c r="BG63" i="4"/>
  <c r="AP63" i="4"/>
  <c r="AO63" i="4" s="1"/>
  <c r="R487" i="4"/>
  <c r="I487" i="4"/>
  <c r="Q20" i="4"/>
  <c r="BG72" i="4"/>
  <c r="AP72" i="4"/>
  <c r="AO72" i="4" s="1"/>
  <c r="BG354" i="4"/>
  <c r="AP354" i="4"/>
  <c r="AO354" i="4" s="1"/>
  <c r="Q437" i="4"/>
  <c r="BG172" i="4"/>
  <c r="AP172" i="4"/>
  <c r="AO172" i="4" s="1"/>
  <c r="R303" i="4"/>
  <c r="I303" i="4"/>
  <c r="BG54" i="4"/>
  <c r="AP54" i="4"/>
  <c r="AO54" i="4" s="1"/>
  <c r="BG206" i="4"/>
  <c r="AP206" i="4"/>
  <c r="AO206" i="4" s="1"/>
  <c r="BG55" i="4"/>
  <c r="AP55" i="4"/>
  <c r="AO55" i="4" s="1"/>
  <c r="Q214" i="4"/>
  <c r="AE80" i="6"/>
  <c r="R305" i="4"/>
  <c r="I305" i="4"/>
  <c r="BG145" i="4"/>
  <c r="AP145" i="4"/>
  <c r="AO145" i="4" s="1"/>
  <c r="BG143" i="4"/>
  <c r="AP143" i="4"/>
  <c r="AO143" i="4" s="1"/>
  <c r="Q247" i="4"/>
  <c r="AC361" i="6"/>
  <c r="AE361" i="6" s="1"/>
  <c r="BG184" i="4"/>
  <c r="AP184" i="4"/>
  <c r="AO184" i="4" s="1"/>
  <c r="BG164" i="4"/>
  <c r="AP164" i="4"/>
  <c r="AO164" i="4" s="1"/>
  <c r="Q244" i="4"/>
  <c r="BG115" i="4"/>
  <c r="AP115" i="4"/>
  <c r="AO115" i="4" s="1"/>
  <c r="Q53" i="4"/>
  <c r="BG118" i="4"/>
  <c r="AP118" i="4"/>
  <c r="AO118" i="4" s="1"/>
  <c r="BG166" i="4"/>
  <c r="AP166" i="4"/>
  <c r="AO166" i="4" s="1"/>
  <c r="Q252" i="4"/>
  <c r="Q439" i="4"/>
  <c r="AS439" i="4"/>
  <c r="AY439" i="4" s="1"/>
  <c r="R395" i="4"/>
  <c r="I395" i="4"/>
  <c r="X395" i="4"/>
  <c r="AC479" i="6"/>
  <c r="AE479" i="6" s="1"/>
  <c r="BG376" i="4"/>
  <c r="W376" i="4"/>
  <c r="G373" i="5"/>
  <c r="AP376" i="4"/>
  <c r="AO376" i="4" s="1"/>
  <c r="Q397" i="4"/>
  <c r="R290" i="4"/>
  <c r="I290" i="4"/>
  <c r="BG224" i="4"/>
  <c r="AP224" i="4"/>
  <c r="AO224" i="4" s="1"/>
  <c r="I270" i="4"/>
  <c r="R270" i="4"/>
  <c r="AC208" i="6"/>
  <c r="AE208" i="6" s="1"/>
  <c r="R242" i="4"/>
  <c r="I242" i="4"/>
  <c r="BG190" i="4"/>
  <c r="AP190" i="4"/>
  <c r="AO190" i="4" s="1"/>
  <c r="R266" i="4"/>
  <c r="I266" i="4"/>
  <c r="BG52" i="4"/>
  <c r="AP52" i="4"/>
  <c r="AO52" i="4" s="1"/>
  <c r="I300" i="4"/>
  <c r="R300" i="4"/>
  <c r="BG158" i="4"/>
  <c r="AP158" i="4"/>
  <c r="AO158" i="4" s="1"/>
  <c r="I138" i="4"/>
  <c r="R138" i="4"/>
  <c r="AC392" i="6"/>
  <c r="AE392" i="6" s="1"/>
  <c r="R403" i="4"/>
  <c r="I403" i="4"/>
  <c r="I380" i="4"/>
  <c r="R380" i="4"/>
  <c r="X380" i="4"/>
  <c r="R16" i="4"/>
  <c r="I16" i="4"/>
  <c r="X16" i="4"/>
  <c r="R238" i="4"/>
  <c r="I238" i="4"/>
  <c r="BG243" i="4"/>
  <c r="AP243" i="4"/>
  <c r="AO243" i="4" s="1"/>
  <c r="BG246" i="4"/>
  <c r="AP246" i="4"/>
  <c r="AO246" i="4" s="1"/>
  <c r="AC445" i="6"/>
  <c r="AE445" i="6" s="1"/>
  <c r="AC444" i="6"/>
  <c r="AE444" i="6" s="1"/>
  <c r="R379" i="4"/>
  <c r="I379" i="4"/>
  <c r="X379" i="4"/>
  <c r="AC144" i="6"/>
  <c r="AE144" i="6" s="1"/>
  <c r="AG7" i="4"/>
  <c r="G17" i="22" s="1"/>
  <c r="I17" i="22" s="1"/>
  <c r="BG318" i="4"/>
  <c r="AP318" i="4"/>
  <c r="AO318" i="4" s="1"/>
  <c r="BG309" i="4"/>
  <c r="AP309" i="4"/>
  <c r="AO309" i="4" s="1"/>
  <c r="AC456" i="6"/>
  <c r="AE456" i="6" s="1"/>
  <c r="I128" i="4"/>
  <c r="R128" i="4"/>
  <c r="BG103" i="4"/>
  <c r="AP103" i="4"/>
  <c r="AO103" i="4" s="1"/>
  <c r="BG88" i="4"/>
  <c r="AP88" i="4"/>
  <c r="AO88" i="4" s="1"/>
  <c r="BG44" i="4"/>
  <c r="AP44" i="4"/>
  <c r="AO44" i="4" s="1"/>
  <c r="BG365" i="4"/>
  <c r="AP365" i="4"/>
  <c r="AO365" i="4" s="1"/>
  <c r="AC33" i="6"/>
  <c r="AE33" i="6" s="1"/>
  <c r="W428" i="4"/>
  <c r="G425" i="5"/>
  <c r="AP428" i="4"/>
  <c r="AO428" i="4" s="1"/>
  <c r="BG344" i="4"/>
  <c r="AP344" i="4"/>
  <c r="AO344" i="4" s="1"/>
  <c r="BG73" i="4"/>
  <c r="AP73" i="4"/>
  <c r="AO73" i="4" s="1"/>
  <c r="Q198" i="4"/>
  <c r="AC457" i="6"/>
  <c r="AE457" i="6" s="1"/>
  <c r="Q265" i="4"/>
  <c r="BG77" i="4"/>
  <c r="AP77" i="4"/>
  <c r="AO77" i="4" s="1"/>
  <c r="BG163" i="4"/>
  <c r="AP163" i="4"/>
  <c r="AO163" i="4" s="1"/>
  <c r="R404" i="4"/>
  <c r="I404" i="4"/>
  <c r="R451" i="4"/>
  <c r="I451" i="4"/>
  <c r="I337" i="4"/>
  <c r="R337" i="4"/>
  <c r="Q308" i="4"/>
  <c r="R465" i="4"/>
  <c r="I465" i="4"/>
  <c r="X465" i="4"/>
  <c r="R57" i="4"/>
  <c r="I57" i="4"/>
  <c r="Q17" i="4"/>
  <c r="BG414" i="4"/>
  <c r="W414" i="4"/>
  <c r="G411" i="5"/>
  <c r="AP414" i="4"/>
  <c r="AO414" i="4" s="1"/>
  <c r="Q297" i="4"/>
  <c r="AC176" i="6"/>
  <c r="AE176" i="6" s="1"/>
  <c r="Q239" i="4"/>
  <c r="Q231" i="4"/>
  <c r="BG141" i="4"/>
  <c r="AP141" i="4"/>
  <c r="AO141" i="4" s="1"/>
  <c r="AC330" i="6"/>
  <c r="AE330" i="6" s="1"/>
  <c r="BG204" i="4"/>
  <c r="AP204" i="4"/>
  <c r="AO204" i="4" s="1"/>
  <c r="AS447" i="4"/>
  <c r="AY447" i="4" s="1"/>
  <c r="Q447" i="4"/>
  <c r="BG142" i="4"/>
  <c r="AP142" i="4"/>
  <c r="AO142" i="4" s="1"/>
  <c r="I352" i="4"/>
  <c r="R352" i="4"/>
  <c r="BG25" i="4"/>
  <c r="AP25" i="4"/>
  <c r="AO25" i="4" s="1"/>
  <c r="BG209" i="4"/>
  <c r="AP209" i="4"/>
  <c r="AO209" i="4" s="1"/>
  <c r="AC48" i="6"/>
  <c r="AE48" i="6" s="1"/>
  <c r="Q492" i="4"/>
  <c r="BG90" i="4"/>
  <c r="AP90" i="4"/>
  <c r="AO90" i="4" s="1"/>
  <c r="R251" i="4"/>
  <c r="I251" i="4"/>
  <c r="G458" i="5"/>
  <c r="W461" i="4"/>
  <c r="AP461" i="4"/>
  <c r="AO461" i="4" s="1"/>
  <c r="AC350" i="6"/>
  <c r="AE350" i="6" s="1"/>
  <c r="AC290" i="6"/>
  <c r="AE290" i="6" s="1"/>
  <c r="BG265" i="4"/>
  <c r="AP265" i="4"/>
  <c r="AO265" i="4" s="1"/>
  <c r="AC40" i="6"/>
  <c r="AE40" i="6" s="1"/>
  <c r="BG352" i="4"/>
  <c r="AP352" i="4"/>
  <c r="AO352" i="4" s="1"/>
  <c r="AC65" i="6"/>
  <c r="AE65" i="6" s="1"/>
  <c r="AC408" i="6"/>
  <c r="AE408" i="6" s="1"/>
  <c r="BG226" i="4"/>
  <c r="AP226" i="4"/>
  <c r="AO226" i="4" s="1"/>
  <c r="BG39" i="4"/>
  <c r="AP39" i="4"/>
  <c r="AO39" i="4" s="1"/>
  <c r="AC327" i="6"/>
  <c r="AE327" i="6" s="1"/>
  <c r="BG126" i="4"/>
  <c r="AP126" i="4"/>
  <c r="AO126" i="4" s="1"/>
  <c r="I137" i="4"/>
  <c r="R137" i="4"/>
  <c r="BG384" i="4"/>
  <c r="AP384" i="4"/>
  <c r="AO384" i="4" s="1"/>
  <c r="BG89" i="4"/>
  <c r="AP89" i="4"/>
  <c r="AO89" i="4" s="1"/>
  <c r="I277" i="4"/>
  <c r="R277" i="4"/>
  <c r="BG180" i="4"/>
  <c r="AP180" i="4"/>
  <c r="AO180" i="4" s="1"/>
  <c r="AC389" i="6"/>
  <c r="AE389" i="6" s="1"/>
  <c r="I168" i="4"/>
  <c r="R168" i="4"/>
  <c r="BG27" i="4"/>
  <c r="AP27" i="4"/>
  <c r="AO27" i="4" s="1"/>
  <c r="R96" i="4"/>
  <c r="I96" i="4"/>
  <c r="Q42" i="4"/>
  <c r="Q177" i="4"/>
  <c r="BG28" i="4"/>
  <c r="AP28" i="4"/>
  <c r="AO28" i="4" s="1"/>
  <c r="BG155" i="4"/>
  <c r="AP155" i="4"/>
  <c r="AO155" i="4" s="1"/>
  <c r="BG30" i="4"/>
  <c r="AP30" i="4"/>
  <c r="AO30" i="4" s="1"/>
  <c r="R459" i="4"/>
  <c r="I459" i="4"/>
  <c r="X459" i="4"/>
  <c r="AC443" i="6"/>
  <c r="AE443" i="6" s="1"/>
  <c r="R340" i="4"/>
  <c r="I340" i="4"/>
  <c r="AC370" i="6"/>
  <c r="AE370" i="6" s="1"/>
  <c r="R192" i="4"/>
  <c r="I192" i="4"/>
  <c r="BG205" i="4"/>
  <c r="AP205" i="4"/>
  <c r="AO205" i="4" s="1"/>
  <c r="R274" i="4"/>
  <c r="I274" i="4"/>
  <c r="R187" i="4"/>
  <c r="I187" i="4"/>
  <c r="R278" i="4"/>
  <c r="I278" i="4"/>
  <c r="W374" i="4"/>
  <c r="BG374" i="4"/>
  <c r="G371" i="5"/>
  <c r="AP374" i="4"/>
  <c r="AO374" i="4" s="1"/>
  <c r="BG191" i="4"/>
  <c r="AP191" i="4"/>
  <c r="AO191" i="4" s="1"/>
  <c r="BG338" i="4"/>
  <c r="AP338" i="4"/>
  <c r="AO338" i="4" s="1"/>
  <c r="BG271" i="4"/>
  <c r="AP271" i="4"/>
  <c r="AO271" i="4" s="1"/>
  <c r="I479" i="4"/>
  <c r="R479" i="4"/>
  <c r="Q83" i="4"/>
  <c r="AC185" i="6"/>
  <c r="AE185" i="6" s="1"/>
  <c r="Q409" i="4"/>
  <c r="Q313" i="4"/>
  <c r="BG24" i="4"/>
  <c r="AP24" i="4"/>
  <c r="AO24" i="4" s="1"/>
  <c r="BG296" i="4"/>
  <c r="AP296" i="4"/>
  <c r="AO296" i="4" s="1"/>
  <c r="Q155" i="4"/>
  <c r="Q228" i="4"/>
  <c r="I99" i="4"/>
  <c r="R99" i="4"/>
  <c r="I275" i="4"/>
  <c r="R275" i="4"/>
  <c r="AC311" i="6"/>
  <c r="AE311" i="6" s="1"/>
  <c r="Q425" i="4"/>
  <c r="R411" i="4"/>
  <c r="I411" i="4"/>
  <c r="X411" i="4"/>
  <c r="AC49" i="6"/>
  <c r="AE49" i="6" s="1"/>
  <c r="AC81" i="6"/>
  <c r="AE81" i="6" s="1"/>
  <c r="BG277" i="4"/>
  <c r="AP277" i="4"/>
  <c r="AO277" i="4" s="1"/>
  <c r="I322" i="4"/>
  <c r="R322" i="4"/>
  <c r="I419" i="4"/>
  <c r="R419" i="4"/>
  <c r="X419" i="4"/>
  <c r="BG285" i="4"/>
  <c r="AP285" i="4"/>
  <c r="AO285" i="4" s="1"/>
  <c r="AC366" i="6"/>
  <c r="AE366" i="6" s="1"/>
  <c r="BG33" i="4"/>
  <c r="AP33" i="4"/>
  <c r="AO33" i="4" s="1"/>
  <c r="BG369" i="4"/>
  <c r="AP369" i="4"/>
  <c r="AO369" i="4" s="1"/>
  <c r="BG82" i="4"/>
  <c r="AP82" i="4"/>
  <c r="AO82" i="4" s="1"/>
  <c r="BG96" i="4"/>
  <c r="AP96" i="4"/>
  <c r="AO96" i="4" s="1"/>
  <c r="Q130" i="4"/>
  <c r="Q234" i="4"/>
  <c r="AC117" i="6"/>
  <c r="AE117" i="6" s="1"/>
  <c r="BG325" i="4"/>
  <c r="AP325" i="4"/>
  <c r="AO325" i="4" s="1"/>
  <c r="AC120" i="6"/>
  <c r="AE120" i="6" s="1"/>
  <c r="BG333" i="4"/>
  <c r="AP333" i="4"/>
  <c r="AO333" i="4" s="1"/>
  <c r="Q355" i="4"/>
  <c r="R442" i="4"/>
  <c r="I442" i="4"/>
  <c r="BG93" i="4"/>
  <c r="AP93" i="4"/>
  <c r="AO93" i="4" s="1"/>
  <c r="X417" i="4"/>
  <c r="R417" i="4"/>
  <c r="I417" i="4"/>
  <c r="BG71" i="4"/>
  <c r="AP71" i="4"/>
  <c r="AO71" i="4" s="1"/>
  <c r="BG320" i="4"/>
  <c r="AP320" i="4"/>
  <c r="AO320" i="4" s="1"/>
  <c r="R167" i="4"/>
  <c r="I167" i="4"/>
  <c r="R443" i="4"/>
  <c r="I443" i="4"/>
  <c r="BG299" i="4"/>
  <c r="AP299" i="4"/>
  <c r="AO299" i="4" s="1"/>
  <c r="BG48" i="4"/>
  <c r="AP48" i="4"/>
  <c r="AO48" i="4" s="1"/>
  <c r="BG425" i="4"/>
  <c r="AP425" i="4"/>
  <c r="AO425" i="4" s="1"/>
  <c r="Q129" i="4"/>
  <c r="Q250" i="4"/>
  <c r="BG59" i="4"/>
  <c r="AP59" i="4"/>
  <c r="AO59" i="4" s="1"/>
  <c r="AC446" i="6"/>
  <c r="AE446" i="6" s="1"/>
  <c r="AC275" i="6"/>
  <c r="AE275" i="6" s="1"/>
  <c r="Q304" i="4"/>
  <c r="BG274" i="4"/>
  <c r="AP274" i="4"/>
  <c r="AO274" i="4" s="1"/>
  <c r="BG13" i="4"/>
  <c r="AP13" i="4"/>
  <c r="AO13" i="4" s="1"/>
  <c r="Q339" i="4"/>
  <c r="AS476" i="4"/>
  <c r="BF476" i="4" s="1"/>
  <c r="Q476" i="4"/>
  <c r="BG123" i="4"/>
  <c r="AP123" i="4"/>
  <c r="AO123" i="4" s="1"/>
  <c r="BG207" i="4"/>
  <c r="AP207" i="4"/>
  <c r="AO207" i="4" s="1"/>
  <c r="BG85" i="4"/>
  <c r="AP85" i="4"/>
  <c r="AO85" i="4" s="1"/>
  <c r="Q261" i="4"/>
  <c r="Q262" i="4"/>
  <c r="Q143" i="4"/>
  <c r="BG139" i="4"/>
  <c r="AP139" i="4"/>
  <c r="AO139" i="4" s="1"/>
  <c r="R298" i="4"/>
  <c r="I298" i="4"/>
  <c r="Q258" i="4"/>
  <c r="BG185" i="4"/>
  <c r="AP185" i="4"/>
  <c r="AO185" i="4" s="1"/>
  <c r="AC395" i="6"/>
  <c r="AE395" i="6" s="1"/>
  <c r="BG290" i="4"/>
  <c r="AP290" i="4"/>
  <c r="AO290" i="4" s="1"/>
  <c r="BG42" i="4"/>
  <c r="AP42" i="4"/>
  <c r="AO42" i="4" s="1"/>
  <c r="AC427" i="6"/>
  <c r="AE427" i="6" s="1"/>
  <c r="AC41" i="6"/>
  <c r="AE41" i="6" s="1"/>
  <c r="AC37" i="6"/>
  <c r="AE37" i="6" s="1"/>
  <c r="R45" i="4"/>
  <c r="I45" i="4"/>
  <c r="I207" i="4"/>
  <c r="R207" i="4"/>
  <c r="AC331" i="6"/>
  <c r="AE331" i="6" s="1"/>
  <c r="R349" i="4"/>
  <c r="I349" i="4"/>
  <c r="X349" i="4"/>
  <c r="AC160" i="6"/>
  <c r="AE160" i="6" s="1"/>
  <c r="BG162" i="4"/>
  <c r="AP162" i="4"/>
  <c r="AO162" i="4" s="1"/>
  <c r="BG322" i="4"/>
  <c r="AP322" i="4"/>
  <c r="AO322" i="4" s="1"/>
  <c r="BG323" i="4"/>
  <c r="AP323" i="4"/>
  <c r="AO323" i="4" s="1"/>
  <c r="BG74" i="4"/>
  <c r="AP74" i="4"/>
  <c r="AO74" i="4" s="1"/>
  <c r="I361" i="4"/>
  <c r="R361" i="4"/>
  <c r="AE151" i="6"/>
  <c r="BG177" i="4"/>
  <c r="AP177" i="4"/>
  <c r="AO177" i="4" s="1"/>
  <c r="AC210" i="6"/>
  <c r="AE210" i="6" s="1"/>
  <c r="AC78" i="6"/>
  <c r="AE78" i="6" s="1"/>
  <c r="Q85" i="4"/>
  <c r="AC118" i="6"/>
  <c r="AE118" i="6" s="1"/>
  <c r="R89" i="4"/>
  <c r="I89" i="4"/>
  <c r="R333" i="4"/>
  <c r="I333" i="4"/>
  <c r="X398" i="4"/>
  <c r="I398" i="4"/>
  <c r="R398" i="4"/>
  <c r="AC100" i="6"/>
  <c r="AE100" i="6" s="1"/>
  <c r="Q59" i="4"/>
  <c r="BG382" i="4"/>
  <c r="W382" i="4"/>
  <c r="G379" i="5"/>
  <c r="AP382" i="4"/>
  <c r="AO382" i="4" s="1"/>
  <c r="G471" i="5"/>
  <c r="W474" i="4"/>
  <c r="AP474" i="4"/>
  <c r="AO474" i="4" s="1"/>
  <c r="Q289" i="4"/>
  <c r="Q87" i="4"/>
  <c r="AC12" i="6"/>
  <c r="AC154" i="6"/>
  <c r="AE154" i="6" s="1"/>
  <c r="Q23" i="4"/>
  <c r="R88" i="4"/>
  <c r="I88" i="4"/>
  <c r="BG302" i="4"/>
  <c r="AP302" i="4"/>
  <c r="AO302" i="4" s="1"/>
  <c r="BG135" i="4"/>
  <c r="AP135" i="4"/>
  <c r="AO135" i="4" s="1"/>
  <c r="Q268" i="4"/>
  <c r="AC149" i="6"/>
  <c r="AE149" i="6" s="1"/>
  <c r="Q386" i="4"/>
  <c r="Q245" i="4"/>
  <c r="X401" i="4"/>
  <c r="R401" i="4"/>
  <c r="I401" i="4"/>
  <c r="Q86" i="4"/>
  <c r="BG87" i="4"/>
  <c r="AP87" i="4"/>
  <c r="AO87" i="4" s="1"/>
  <c r="AC190" i="6"/>
  <c r="AE190" i="6" s="1"/>
  <c r="R68" i="4"/>
  <c r="I68" i="4"/>
  <c r="Q325" i="4"/>
  <c r="BG236" i="4"/>
  <c r="AP236" i="4"/>
  <c r="AO236" i="4" s="1"/>
  <c r="Q106" i="4"/>
  <c r="Q491" i="4"/>
  <c r="Q221" i="4"/>
  <c r="BG403" i="4"/>
  <c r="AP403" i="4"/>
  <c r="AO403" i="4" s="1"/>
  <c r="AC218" i="6"/>
  <c r="AE218" i="6" s="1"/>
  <c r="BG161" i="4"/>
  <c r="AP161" i="4"/>
  <c r="AO161" i="4" s="1"/>
  <c r="Q243" i="4"/>
  <c r="Q376" i="4"/>
  <c r="R257" i="4"/>
  <c r="I257" i="4"/>
  <c r="AC354" i="6"/>
  <c r="AE354" i="6" s="1"/>
  <c r="I203" i="4"/>
  <c r="R203" i="4"/>
  <c r="X229" i="4"/>
  <c r="R229" i="4"/>
  <c r="I229" i="4"/>
  <c r="R43" i="4"/>
  <c r="I43" i="4"/>
  <c r="R65" i="4"/>
  <c r="I65" i="4"/>
  <c r="BG182" i="4"/>
  <c r="AP182" i="4"/>
  <c r="AO182" i="4" s="1"/>
  <c r="I408" i="4"/>
  <c r="R408" i="4"/>
  <c r="X408" i="4"/>
  <c r="AC207" i="6"/>
  <c r="AE207" i="6" s="1"/>
  <c r="R475" i="4"/>
  <c r="I475" i="4"/>
  <c r="R34" i="4"/>
  <c r="I34" i="4"/>
  <c r="BG80" i="4"/>
  <c r="AP80" i="4"/>
  <c r="AO80" i="4" s="1"/>
  <c r="BG187" i="4"/>
  <c r="AP187" i="4"/>
  <c r="AO187" i="4" s="1"/>
  <c r="AC282" i="6"/>
  <c r="AE282" i="6" s="1"/>
  <c r="R135" i="4"/>
  <c r="I135" i="4"/>
  <c r="Q215" i="4"/>
  <c r="AC393" i="6"/>
  <c r="AE393" i="6" s="1"/>
  <c r="Q125" i="4"/>
  <c r="R359" i="4"/>
  <c r="I359" i="4"/>
  <c r="R269" i="4"/>
  <c r="I269" i="4"/>
  <c r="R224" i="4"/>
  <c r="I224" i="4"/>
  <c r="R195" i="4"/>
  <c r="I195" i="4"/>
  <c r="Q367" i="4"/>
  <c r="N7" i="4"/>
  <c r="AF12" i="4"/>
  <c r="AF493" i="4" s="1"/>
  <c r="AC363" i="6"/>
  <c r="AE363" i="6" s="1"/>
  <c r="BG154" i="4"/>
  <c r="AP154" i="4"/>
  <c r="AO154" i="4" s="1"/>
  <c r="AC295" i="6"/>
  <c r="AE295" i="6" s="1"/>
  <c r="AC424" i="6"/>
  <c r="AE424" i="6" s="1"/>
  <c r="AC89" i="6"/>
  <c r="AE89" i="6" s="1"/>
  <c r="BG383" i="4"/>
  <c r="AP383" i="4"/>
  <c r="AO383" i="4" s="1"/>
  <c r="BG140" i="4"/>
  <c r="AP140" i="4"/>
  <c r="AO140" i="4" s="1"/>
  <c r="R348" i="4"/>
  <c r="I348" i="4"/>
  <c r="Q84" i="4"/>
  <c r="Q467" i="4"/>
  <c r="AS467" i="4"/>
  <c r="AY467" i="4" s="1"/>
  <c r="R385" i="4"/>
  <c r="I385" i="4"/>
  <c r="X385" i="4"/>
  <c r="Q92" i="4"/>
  <c r="Q222" i="4"/>
  <c r="AC24" i="6"/>
  <c r="AE24" i="6" s="1"/>
  <c r="Q105" i="4"/>
  <c r="BG342" i="4"/>
  <c r="AP342" i="4"/>
  <c r="AO342" i="4" s="1"/>
  <c r="BG198" i="4"/>
  <c r="AP198" i="4"/>
  <c r="AO198" i="4" s="1"/>
  <c r="Q481" i="4"/>
  <c r="G450" i="5"/>
  <c r="W453" i="4"/>
  <c r="AP453" i="4"/>
  <c r="AO453" i="4" s="1"/>
  <c r="R311" i="4"/>
  <c r="I311" i="4"/>
  <c r="Q170" i="4"/>
  <c r="BG181" i="4"/>
  <c r="AP181" i="4"/>
  <c r="AO181" i="4" s="1"/>
  <c r="R81" i="4"/>
  <c r="I81" i="4"/>
  <c r="Q166" i="4"/>
  <c r="R255" i="4"/>
  <c r="I255" i="4"/>
  <c r="AC88" i="6"/>
  <c r="AE88" i="6" s="1"/>
  <c r="W373" i="4"/>
  <c r="G370" i="5"/>
  <c r="BG373" i="4"/>
  <c r="AP373" i="4"/>
  <c r="AO373" i="4" s="1"/>
  <c r="BG261" i="4"/>
  <c r="AP261" i="4"/>
  <c r="AO261" i="4" s="1"/>
  <c r="BG120" i="4"/>
  <c r="AP120" i="4"/>
  <c r="AO120" i="4" s="1"/>
  <c r="R171" i="4"/>
  <c r="I171" i="4"/>
  <c r="Q235" i="4"/>
  <c r="AS464" i="4"/>
  <c r="BC464" i="4" s="1"/>
  <c r="Q464" i="4"/>
  <c r="BG284" i="4"/>
  <c r="AP284" i="4"/>
  <c r="AO284" i="4" s="1"/>
  <c r="I387" i="4"/>
  <c r="R387" i="4"/>
  <c r="BG237" i="4"/>
  <c r="AP237" i="4"/>
  <c r="AO237" i="4" s="1"/>
  <c r="BG281" i="4"/>
  <c r="AP281" i="4"/>
  <c r="AO281" i="4" s="1"/>
  <c r="Q347" i="4"/>
  <c r="R182" i="4"/>
  <c r="I182" i="4"/>
  <c r="R101" i="4"/>
  <c r="I101" i="4"/>
  <c r="BG343" i="4"/>
  <c r="AP343" i="4"/>
  <c r="AO343" i="4" s="1"/>
  <c r="BG212" i="4"/>
  <c r="AP212" i="4"/>
  <c r="AO212" i="4" s="1"/>
  <c r="Q94" i="4"/>
  <c r="Q364" i="4"/>
  <c r="Q461" i="4"/>
  <c r="BG121" i="4"/>
  <c r="AP121" i="4"/>
  <c r="AO121" i="4" s="1"/>
  <c r="BG171" i="4"/>
  <c r="AP171" i="4"/>
  <c r="AO171" i="4" s="1"/>
  <c r="AC104" i="6"/>
  <c r="AE104" i="6" s="1"/>
  <c r="BG109" i="4"/>
  <c r="W109" i="4"/>
  <c r="G106" i="5"/>
  <c r="AP109" i="4"/>
  <c r="AO109" i="4" s="1"/>
  <c r="Q141" i="4"/>
  <c r="Q237" i="4"/>
  <c r="BG51" i="4"/>
  <c r="AP51" i="4"/>
  <c r="AO51" i="4" s="1"/>
  <c r="AC257" i="6"/>
  <c r="AE257" i="6" s="1"/>
  <c r="R377" i="4"/>
  <c r="I377" i="4"/>
  <c r="X377" i="4"/>
  <c r="AC281" i="6"/>
  <c r="AE281" i="6" s="1"/>
  <c r="AC179" i="6"/>
  <c r="AE179" i="6" s="1"/>
  <c r="BG276" i="4"/>
  <c r="AP276" i="4"/>
  <c r="AO276" i="4" s="1"/>
  <c r="R46" i="4"/>
  <c r="I46" i="4"/>
  <c r="R431" i="4"/>
  <c r="I431" i="4"/>
  <c r="X431" i="4"/>
  <c r="AC475" i="6"/>
  <c r="AE475" i="6" s="1"/>
  <c r="R80" i="4"/>
  <c r="I80" i="4"/>
  <c r="BG213" i="4"/>
  <c r="AP213" i="4"/>
  <c r="AO213" i="4" s="1"/>
  <c r="R127" i="4"/>
  <c r="I127" i="4"/>
  <c r="AC135" i="6"/>
  <c r="AE135" i="6" s="1"/>
  <c r="BG64" i="4"/>
  <c r="AP64" i="4"/>
  <c r="AO64" i="4" s="1"/>
  <c r="R458" i="4"/>
  <c r="I458" i="4"/>
  <c r="X458" i="4"/>
  <c r="Q169" i="4"/>
  <c r="BG149" i="4"/>
  <c r="AP149" i="4"/>
  <c r="AO149" i="4" s="1"/>
  <c r="Q58" i="4"/>
  <c r="R246" i="4"/>
  <c r="I246" i="4"/>
  <c r="R468" i="4"/>
  <c r="I468" i="4"/>
  <c r="R124" i="4"/>
  <c r="I124" i="4"/>
  <c r="AC195" i="6"/>
  <c r="AE195" i="6" s="1"/>
  <c r="Q357" i="4"/>
  <c r="R115" i="4"/>
  <c r="I115" i="4"/>
  <c r="R52" i="4"/>
  <c r="I52" i="4"/>
  <c r="AC254" i="6"/>
  <c r="AE254" i="6" s="1"/>
  <c r="AC91" i="6"/>
  <c r="AE91" i="6" s="1"/>
  <c r="R399" i="4"/>
  <c r="I399" i="4"/>
  <c r="BG255" i="4"/>
  <c r="AP255" i="4"/>
  <c r="AO255" i="4" s="1"/>
  <c r="I136" i="4"/>
  <c r="R136" i="4"/>
  <c r="BG293" i="4"/>
  <c r="AP293" i="4"/>
  <c r="AO293" i="4" s="1"/>
  <c r="Q374" i="4"/>
  <c r="Q64" i="4"/>
  <c r="BG157" i="4"/>
  <c r="AP157" i="4"/>
  <c r="AO157" i="4" s="1"/>
  <c r="R259" i="4"/>
  <c r="I259" i="4"/>
  <c r="BG147" i="4"/>
  <c r="AP147" i="4"/>
  <c r="AO147" i="4" s="1"/>
  <c r="Q452" i="4"/>
  <c r="AS452" i="4"/>
  <c r="BC452" i="4" s="1"/>
  <c r="AC385" i="6"/>
  <c r="AE385" i="6" s="1"/>
  <c r="I472" i="4"/>
  <c r="R472" i="4"/>
  <c r="BG97" i="4"/>
  <c r="AP97" i="4"/>
  <c r="AO97" i="4" s="1"/>
  <c r="BG303" i="4"/>
  <c r="AP303" i="4"/>
  <c r="AO303" i="4" s="1"/>
  <c r="Q223" i="4"/>
  <c r="R422" i="4"/>
  <c r="I422" i="4"/>
  <c r="X422" i="4"/>
  <c r="BG291" i="4"/>
  <c r="AP291" i="4"/>
  <c r="AO291" i="4" s="1"/>
  <c r="AC173" i="6"/>
  <c r="AE173" i="6" s="1"/>
  <c r="AC451" i="6"/>
  <c r="AE451" i="6" s="1"/>
  <c r="R206" i="4"/>
  <c r="I206" i="4"/>
  <c r="AC318" i="6"/>
  <c r="AE318" i="6" s="1"/>
  <c r="AC57" i="6"/>
  <c r="AE57" i="6" s="1"/>
  <c r="BG202" i="4"/>
  <c r="AP202" i="4"/>
  <c r="AO202" i="4" s="1"/>
  <c r="R434" i="4"/>
  <c r="I434" i="4"/>
  <c r="BG386" i="4"/>
  <c r="AP386" i="4"/>
  <c r="AO386" i="4" s="1"/>
  <c r="Q416" i="4"/>
  <c r="AC352" i="6"/>
  <c r="AE352" i="6" s="1"/>
  <c r="AC413" i="6"/>
  <c r="AE413" i="6" s="1"/>
  <c r="AC182" i="6"/>
  <c r="AE182" i="6" s="1"/>
  <c r="W415" i="4"/>
  <c r="BG415" i="4"/>
  <c r="G412" i="5"/>
  <c r="AP415" i="4"/>
  <c r="AO415" i="4" s="1"/>
  <c r="BG256" i="4"/>
  <c r="AP256" i="4"/>
  <c r="AO256" i="4" s="1"/>
  <c r="Q158" i="4"/>
  <c r="BG305" i="4"/>
  <c r="AP305" i="4"/>
  <c r="AO305" i="4" s="1"/>
  <c r="BG315" i="4"/>
  <c r="AP315" i="4"/>
  <c r="AO315" i="4" s="1"/>
  <c r="Q267" i="4"/>
  <c r="Q26" i="4"/>
  <c r="Q473" i="4"/>
  <c r="Q344" i="4"/>
  <c r="R72" i="4"/>
  <c r="I72" i="4"/>
  <c r="R307" i="4"/>
  <c r="I307" i="4"/>
  <c r="BG196" i="4"/>
  <c r="AP196" i="4"/>
  <c r="AO196" i="4" s="1"/>
  <c r="R142" i="4"/>
  <c r="I142" i="4"/>
  <c r="BG275" i="4"/>
  <c r="AP275" i="4"/>
  <c r="AO275" i="4" s="1"/>
  <c r="R478" i="4"/>
  <c r="I478" i="4"/>
  <c r="I312" i="4"/>
  <c r="R312" i="4"/>
  <c r="R178" i="4"/>
  <c r="I178" i="4"/>
  <c r="AC259" i="6"/>
  <c r="AE259" i="6" s="1"/>
  <c r="BG272" i="4"/>
  <c r="AP272" i="4"/>
  <c r="AO272" i="4" s="1"/>
  <c r="AC30" i="6"/>
  <c r="AE30" i="6" s="1"/>
  <c r="BG337" i="4"/>
  <c r="AP337" i="4"/>
  <c r="AO337" i="4" s="1"/>
  <c r="AC411" i="6"/>
  <c r="AE411" i="6" s="1"/>
  <c r="AC434" i="6"/>
  <c r="AE434" i="6" s="1"/>
  <c r="W70" i="4"/>
  <c r="Q131" i="4"/>
  <c r="BG289" i="4"/>
  <c r="AP289" i="4"/>
  <c r="AO289" i="4" s="1"/>
  <c r="AC183" i="6"/>
  <c r="AE183" i="6" s="1"/>
  <c r="AC134" i="6"/>
  <c r="AE134" i="6" s="1"/>
  <c r="AP124" i="4"/>
  <c r="AO124" i="4" s="1"/>
  <c r="BG124" i="4"/>
  <c r="BG357" i="4"/>
  <c r="AP357" i="4"/>
  <c r="AO357" i="4" s="1"/>
  <c r="R132" i="4"/>
  <c r="I132" i="4"/>
  <c r="I343" i="4"/>
  <c r="R343" i="4"/>
  <c r="R420" i="4"/>
  <c r="X420" i="4"/>
  <c r="I420" i="4"/>
  <c r="AC186" i="6"/>
  <c r="AE186" i="6" s="1"/>
  <c r="Q326" i="4"/>
  <c r="BG66" i="4"/>
  <c r="AP66" i="4"/>
  <c r="AO66" i="4" s="1"/>
  <c r="W489" i="4"/>
  <c r="G486" i="5"/>
  <c r="AP489" i="4"/>
  <c r="AO489" i="4" s="1"/>
  <c r="AC459" i="6"/>
  <c r="AE459" i="6" s="1"/>
  <c r="R78" i="4"/>
  <c r="I78" i="4"/>
  <c r="BG146" i="4"/>
  <c r="AP146" i="4"/>
  <c r="AO146" i="4" s="1"/>
  <c r="AC136" i="6"/>
  <c r="AE136" i="6" s="1"/>
  <c r="BG137" i="4"/>
  <c r="AP137" i="4"/>
  <c r="AO137" i="4" s="1"/>
  <c r="R407" i="4"/>
  <c r="I407" i="4"/>
  <c r="X407" i="4"/>
  <c r="Q119" i="4"/>
  <c r="Q98" i="4"/>
  <c r="Q264" i="4"/>
  <c r="BG20" i="4"/>
  <c r="AP20" i="4"/>
  <c r="AO20" i="4" s="1"/>
  <c r="BG232" i="4"/>
  <c r="AP232" i="4"/>
  <c r="AO232" i="4" s="1"/>
  <c r="BG69" i="4"/>
  <c r="AP69" i="4"/>
  <c r="AO69" i="4" s="1"/>
  <c r="AC28" i="6"/>
  <c r="AE28" i="6" s="1"/>
  <c r="AC228" i="6"/>
  <c r="AE228" i="6" s="1"/>
  <c r="BG244" i="4"/>
  <c r="AP244" i="4"/>
  <c r="AO244" i="4" s="1"/>
  <c r="I154" i="4"/>
  <c r="R154" i="4"/>
  <c r="R309" i="4"/>
  <c r="I309" i="4"/>
  <c r="R120" i="4"/>
  <c r="I120" i="4"/>
  <c r="Q271" i="4"/>
  <c r="BG258" i="4"/>
  <c r="AP258" i="4"/>
  <c r="AO258" i="4" s="1"/>
  <c r="BG92" i="4"/>
  <c r="AP92" i="4"/>
  <c r="AO92" i="4" s="1"/>
  <c r="AC483" i="6"/>
  <c r="AE483" i="6" s="1"/>
  <c r="Q156" i="4"/>
  <c r="BG122" i="4"/>
  <c r="AP122" i="4"/>
  <c r="AO122" i="4" s="1"/>
  <c r="AS433" i="4"/>
  <c r="BC433" i="4" s="1"/>
  <c r="Q433" i="4"/>
  <c r="R190" i="4"/>
  <c r="I190" i="4"/>
  <c r="Q209" i="4"/>
  <c r="Q283" i="4"/>
  <c r="Q471" i="4"/>
  <c r="Q316" i="4"/>
  <c r="BG324" i="4"/>
  <c r="AP324" i="4"/>
  <c r="AO324" i="4" s="1"/>
  <c r="AS485" i="4"/>
  <c r="Q485" i="4"/>
  <c r="Q191" i="4"/>
  <c r="BG396" i="4"/>
  <c r="G393" i="5"/>
  <c r="W396" i="4"/>
  <c r="AP396" i="4"/>
  <c r="AO396" i="4" s="1"/>
  <c r="BG176" i="4"/>
  <c r="AP176" i="4"/>
  <c r="AO176" i="4" s="1"/>
  <c r="BG75" i="4"/>
  <c r="AP75" i="4"/>
  <c r="AO75" i="4" s="1"/>
  <c r="AP215" i="4"/>
  <c r="AO215" i="4" s="1"/>
  <c r="BG215" i="4"/>
  <c r="R429" i="4"/>
  <c r="I429" i="4"/>
  <c r="BG238" i="4"/>
  <c r="AP238" i="4"/>
  <c r="AO238" i="4" s="1"/>
  <c r="Q73" i="4"/>
  <c r="BG134" i="4"/>
  <c r="AP134" i="4"/>
  <c r="AO134" i="4" s="1"/>
  <c r="AC291" i="6"/>
  <c r="AE291" i="6" s="1"/>
  <c r="AC142" i="6"/>
  <c r="AE142" i="6" s="1"/>
  <c r="AC25" i="6"/>
  <c r="AE25" i="6" s="1"/>
  <c r="AC132" i="6"/>
  <c r="AE132" i="6" s="1"/>
  <c r="AC165" i="6"/>
  <c r="AE165" i="6" s="1"/>
  <c r="I406" i="4"/>
  <c r="R406" i="4"/>
  <c r="X406" i="4"/>
  <c r="AC343" i="6"/>
  <c r="AE343" i="6" s="1"/>
  <c r="R477" i="4"/>
  <c r="I477" i="4"/>
  <c r="AC336" i="6"/>
  <c r="AE336" i="6" s="1"/>
  <c r="AC420" i="6"/>
  <c r="AE420" i="6" s="1"/>
  <c r="BG186" i="4"/>
  <c r="AP186" i="4"/>
  <c r="AO186" i="4" s="1"/>
  <c r="BG273" i="4"/>
  <c r="AP273" i="4"/>
  <c r="AO273" i="4" s="1"/>
  <c r="BG29" i="4"/>
  <c r="AP29" i="4"/>
  <c r="AO29" i="4" s="1"/>
  <c r="BG218" i="4"/>
  <c r="AP218" i="4"/>
  <c r="AO218" i="4" s="1"/>
  <c r="BG112" i="4"/>
  <c r="AP112" i="4"/>
  <c r="AO112" i="4" s="1"/>
  <c r="BG245" i="4"/>
  <c r="AP245" i="4"/>
  <c r="AO245" i="4" s="1"/>
  <c r="BG269" i="4"/>
  <c r="AP269" i="4"/>
  <c r="AO269" i="4" s="1"/>
  <c r="R108" i="4"/>
  <c r="I108" i="4"/>
  <c r="BG21" i="4"/>
  <c r="AP21" i="4"/>
  <c r="AO21" i="4" s="1"/>
  <c r="R444" i="4"/>
  <c r="I444" i="4"/>
  <c r="I480" i="4"/>
  <c r="R480" i="4"/>
  <c r="BG179" i="4"/>
  <c r="AP179" i="4"/>
  <c r="AO179" i="4" s="1"/>
  <c r="I144" i="4"/>
  <c r="R144" i="4"/>
  <c r="AP45" i="4"/>
  <c r="AO45" i="4" s="1"/>
  <c r="BG45" i="4"/>
  <c r="Q102" i="4"/>
  <c r="BG304" i="4"/>
  <c r="AP304" i="4"/>
  <c r="AO304" i="4" s="1"/>
  <c r="BG159" i="4"/>
  <c r="AP159" i="4"/>
  <c r="AO159" i="4" s="1"/>
  <c r="BG170" i="4"/>
  <c r="AP170" i="4"/>
  <c r="AO170" i="4" s="1"/>
  <c r="R286" i="4"/>
  <c r="I286" i="4"/>
  <c r="AC31" i="6"/>
  <c r="AE31" i="6" s="1"/>
  <c r="BG152" i="4"/>
  <c r="AP152" i="4"/>
  <c r="AO152" i="4" s="1"/>
  <c r="R287" i="4"/>
  <c r="I287" i="4"/>
  <c r="Q36" i="4"/>
  <c r="BG288" i="4"/>
  <c r="AP288" i="4"/>
  <c r="AO288" i="4" s="1"/>
  <c r="R366" i="4"/>
  <c r="I366" i="4"/>
  <c r="X366" i="4"/>
  <c r="BG222" i="4"/>
  <c r="AP222" i="4"/>
  <c r="AO222" i="4" s="1"/>
  <c r="BG257" i="4"/>
  <c r="AP257" i="4"/>
  <c r="AO257" i="4" s="1"/>
  <c r="I457" i="4"/>
  <c r="R457" i="4"/>
  <c r="BG197" i="4"/>
  <c r="AP197" i="4"/>
  <c r="AO197" i="4" s="1"/>
  <c r="AC292" i="6"/>
  <c r="AE292" i="6" s="1"/>
  <c r="AC436" i="6"/>
  <c r="AE436" i="6" s="1"/>
  <c r="Q474" i="4"/>
  <c r="BG173" i="4"/>
  <c r="AP173" i="4"/>
  <c r="AO173" i="4" s="1"/>
  <c r="AC449" i="6"/>
  <c r="AE449" i="6" s="1"/>
  <c r="BG37" i="4"/>
  <c r="AP37" i="4"/>
  <c r="AO37" i="4" s="1"/>
  <c r="BG165" i="4"/>
  <c r="AP165" i="4"/>
  <c r="AO165" i="4" s="1"/>
  <c r="BG65" i="4"/>
  <c r="AP65" i="4"/>
  <c r="AO65" i="4" s="1"/>
  <c r="BG192" i="4"/>
  <c r="AP192" i="4"/>
  <c r="AO192" i="4" s="1"/>
  <c r="AC279" i="6"/>
  <c r="AE279" i="6" s="1"/>
  <c r="Q113" i="4"/>
  <c r="BG129" i="4"/>
  <c r="AP129" i="4"/>
  <c r="AO129" i="4" s="1"/>
  <c r="Q213" i="4"/>
  <c r="Q383" i="4"/>
  <c r="BG106" i="4"/>
  <c r="AP106" i="4"/>
  <c r="AO106" i="4" s="1"/>
  <c r="Q469" i="4"/>
  <c r="AS469" i="4"/>
  <c r="BF469" i="4" s="1"/>
  <c r="R435" i="4"/>
  <c r="I435" i="4"/>
  <c r="X435" i="4"/>
  <c r="Q484" i="4"/>
  <c r="AS484" i="4"/>
  <c r="AY484" i="4" s="1"/>
  <c r="R153" i="4"/>
  <c r="I153" i="4"/>
  <c r="R18" i="4"/>
  <c r="I18" i="4"/>
  <c r="X18" i="4"/>
  <c r="R48" i="4"/>
  <c r="I48" i="4"/>
  <c r="Q199" i="4"/>
  <c r="BG351" i="4"/>
  <c r="AP351" i="4"/>
  <c r="AO351" i="4" s="1"/>
  <c r="Q188" i="4"/>
  <c r="AC273" i="6"/>
  <c r="AE273" i="6" s="1"/>
  <c r="W491" i="4"/>
  <c r="G488" i="5"/>
  <c r="AP491" i="4"/>
  <c r="AO491" i="4" s="1"/>
  <c r="W432" i="4"/>
  <c r="AP432" i="4"/>
  <c r="AO432" i="4" s="1"/>
  <c r="G429" i="5"/>
  <c r="Q15" i="4"/>
  <c r="AC298" i="6"/>
  <c r="AE298" i="6" s="1"/>
  <c r="BG193" i="4"/>
  <c r="AP193" i="4"/>
  <c r="AO193" i="4" s="1"/>
  <c r="BG110" i="4"/>
  <c r="AP110" i="4"/>
  <c r="AO110" i="4" s="1"/>
  <c r="BG167" i="4"/>
  <c r="AP167" i="4"/>
  <c r="AO167" i="4" s="1"/>
  <c r="AC405" i="6"/>
  <c r="AE405" i="6" s="1"/>
  <c r="I281" i="4"/>
  <c r="R281" i="4"/>
  <c r="I179" i="4"/>
  <c r="R179" i="4"/>
  <c r="R40" i="4"/>
  <c r="I40" i="4"/>
  <c r="I413" i="4"/>
  <c r="X413" i="4"/>
  <c r="R413" i="4"/>
  <c r="R260" i="4"/>
  <c r="I260" i="4"/>
  <c r="AC211" i="6"/>
  <c r="AE211" i="6" s="1"/>
  <c r="BG363" i="4"/>
  <c r="AP363" i="4"/>
  <c r="AO363" i="4" s="1"/>
  <c r="I324" i="4"/>
  <c r="R324" i="4"/>
  <c r="R327" i="4"/>
  <c r="I327" i="4"/>
  <c r="R44" i="4"/>
  <c r="I44" i="4"/>
  <c r="BG332" i="4"/>
  <c r="AP332" i="4"/>
  <c r="AO332" i="4" s="1"/>
  <c r="AC426" i="6"/>
  <c r="AE426" i="6" s="1"/>
  <c r="R389" i="4"/>
  <c r="I389" i="4"/>
  <c r="BG247" i="4"/>
  <c r="AP247" i="4"/>
  <c r="AO247" i="4" s="1"/>
  <c r="R227" i="4"/>
  <c r="I227" i="4"/>
  <c r="R249" i="4"/>
  <c r="I249" i="4"/>
  <c r="AC369" i="6"/>
  <c r="AE369" i="6" s="1"/>
  <c r="AP307" i="4"/>
  <c r="AO307" i="4" s="1"/>
  <c r="BG307" i="4"/>
  <c r="Q164" i="4"/>
  <c r="AC480" i="6"/>
  <c r="AE480" i="6" s="1"/>
  <c r="I370" i="4"/>
  <c r="R370" i="4"/>
  <c r="AC205" i="6"/>
  <c r="AE205" i="6" s="1"/>
  <c r="BG107" i="4"/>
  <c r="AP107" i="4"/>
  <c r="AO107" i="4" s="1"/>
  <c r="BG138" i="4"/>
  <c r="AP138" i="4"/>
  <c r="AO138" i="4" s="1"/>
  <c r="R466" i="4"/>
  <c r="I466" i="4"/>
  <c r="W189" i="4"/>
  <c r="BG189" i="4"/>
  <c r="G186" i="5"/>
  <c r="AP189" i="4"/>
  <c r="AO189" i="4" s="1"/>
  <c r="BG297" i="4"/>
  <c r="AP297" i="4"/>
  <c r="AO297" i="4" s="1"/>
  <c r="R14" i="4"/>
  <c r="I14" i="4"/>
  <c r="R285" i="4"/>
  <c r="I285" i="4"/>
  <c r="Q428" i="4"/>
  <c r="R342" i="4"/>
  <c r="I342" i="4"/>
  <c r="BG409" i="4"/>
  <c r="AP409" i="4"/>
  <c r="AO409" i="4" s="1"/>
  <c r="R69" i="4"/>
  <c r="I69" i="4"/>
  <c r="AC303" i="6"/>
  <c r="AE303" i="6" s="1"/>
  <c r="Q204" i="4"/>
  <c r="Q197" i="4"/>
  <c r="AC276" i="6"/>
  <c r="AE276" i="6" s="1"/>
  <c r="BG78" i="4"/>
  <c r="AP78" i="4"/>
  <c r="AO78" i="4" s="1"/>
  <c r="I49" i="4"/>
  <c r="R49" i="4"/>
  <c r="X490" i="4"/>
  <c r="I490" i="4"/>
  <c r="R490" i="4"/>
  <c r="Q454" i="4"/>
  <c r="AS454" i="4"/>
  <c r="AY454" i="4" s="1"/>
  <c r="Q488" i="4"/>
  <c r="BG203" i="4"/>
  <c r="AP203" i="4"/>
  <c r="AO203" i="4" s="1"/>
  <c r="AC401" i="6"/>
  <c r="AE401" i="6" s="1"/>
  <c r="Q54" i="4"/>
  <c r="BG105" i="4"/>
  <c r="AP105" i="4"/>
  <c r="AO105" i="4" s="1"/>
  <c r="AP329" i="4"/>
  <c r="AO329" i="4" s="1"/>
  <c r="BG329" i="4"/>
  <c r="Q55" i="4"/>
  <c r="W492" i="4"/>
  <c r="G489" i="5"/>
  <c r="AO492" i="4"/>
  <c r="BG150" i="4"/>
  <c r="AP150" i="4"/>
  <c r="AO150" i="4" s="1"/>
  <c r="BG280" i="4"/>
  <c r="AP280" i="4"/>
  <c r="AO280" i="4" s="1"/>
  <c r="Q174" i="4"/>
  <c r="W378" i="4"/>
  <c r="BG378" i="4"/>
  <c r="G375" i="5"/>
  <c r="AP378" i="4"/>
  <c r="AO378" i="4" s="1"/>
  <c r="Q109" i="4"/>
  <c r="R301" i="4"/>
  <c r="I301" i="4"/>
  <c r="AC270" i="6"/>
  <c r="AE270" i="6" s="1"/>
  <c r="R371" i="4"/>
  <c r="I371" i="4"/>
  <c r="AC203" i="6"/>
  <c r="AE203" i="6" s="1"/>
  <c r="AP402" i="4"/>
  <c r="AO402" i="4" s="1"/>
  <c r="BG402" i="4"/>
  <c r="AC242" i="6"/>
  <c r="AE242" i="6" s="1"/>
  <c r="BG356" i="4"/>
  <c r="AP356" i="4"/>
  <c r="AO356" i="4" s="1"/>
  <c r="BG404" i="4"/>
  <c r="AP404" i="4"/>
  <c r="AO404" i="4" s="1"/>
  <c r="BG100" i="4"/>
  <c r="AP100" i="4"/>
  <c r="AO100" i="4" s="1"/>
  <c r="BG132" i="4"/>
  <c r="AP132" i="4"/>
  <c r="AO132" i="4" s="1"/>
  <c r="R95" i="4"/>
  <c r="I95" i="4"/>
  <c r="BG279" i="4"/>
  <c r="AP279" i="4"/>
  <c r="AO279" i="4" s="1"/>
  <c r="I212" i="4"/>
  <c r="R212" i="4"/>
  <c r="AC34" i="6"/>
  <c r="AE34" i="6" s="1"/>
  <c r="BG174" i="4"/>
  <c r="AP174" i="4"/>
  <c r="AO174" i="4" s="1"/>
  <c r="I186" i="4"/>
  <c r="R186" i="4"/>
  <c r="R152" i="4"/>
  <c r="I152" i="4"/>
  <c r="I317" i="4"/>
  <c r="R317" i="4"/>
  <c r="R104" i="4"/>
  <c r="I104" i="4"/>
  <c r="BG14" i="4"/>
  <c r="AP14" i="4"/>
  <c r="AO14" i="4" s="1"/>
  <c r="BG350" i="4"/>
  <c r="AP350" i="4"/>
  <c r="AO350" i="4" s="1"/>
  <c r="AC380" i="6"/>
  <c r="AE380" i="6" s="1"/>
  <c r="BG387" i="4"/>
  <c r="AP387" i="4"/>
  <c r="AO387" i="4" s="1"/>
  <c r="BG381" i="4"/>
  <c r="AP381" i="4"/>
  <c r="AO381" i="4" s="1"/>
  <c r="R151" i="4"/>
  <c r="I151" i="4"/>
  <c r="BG67" i="4"/>
  <c r="AP67" i="4"/>
  <c r="AO67" i="4" s="1"/>
  <c r="AC224" i="6"/>
  <c r="AE224" i="6" s="1"/>
  <c r="R77" i="4"/>
  <c r="I77" i="4"/>
  <c r="Q368" i="4"/>
  <c r="AC379" i="6"/>
  <c r="AE379" i="6" s="1"/>
  <c r="R163" i="4"/>
  <c r="I163" i="4"/>
  <c r="Q329" i="4"/>
  <c r="BG53" i="4"/>
  <c r="AP53" i="4"/>
  <c r="AO53" i="4" s="1"/>
  <c r="BG308" i="4"/>
  <c r="AP308" i="4"/>
  <c r="AO308" i="4" s="1"/>
  <c r="R321" i="4"/>
  <c r="I321" i="4"/>
  <c r="Q351" i="4"/>
  <c r="BG49" i="4"/>
  <c r="AP49" i="4"/>
  <c r="AO49" i="4" s="1"/>
  <c r="AC128" i="6"/>
  <c r="AE128" i="6" s="1"/>
  <c r="Q93" i="4"/>
  <c r="BG392" i="4"/>
  <c r="AP392" i="4"/>
  <c r="AO392" i="4" s="1"/>
  <c r="W412" i="4"/>
  <c r="AP263" i="4"/>
  <c r="AO263" i="4" s="1"/>
  <c r="BG263" i="4"/>
  <c r="W421" i="4"/>
  <c r="G418" i="5"/>
  <c r="BG421" i="4"/>
  <c r="AP421" i="4"/>
  <c r="AO421" i="4" s="1"/>
  <c r="AC342" i="6"/>
  <c r="AE342" i="6" s="1"/>
  <c r="BG208" i="4"/>
  <c r="AP208" i="4"/>
  <c r="AO208" i="4" s="1"/>
  <c r="R122" i="4"/>
  <c r="I122" i="4"/>
  <c r="AC69" i="6"/>
  <c r="AE69" i="6" s="1"/>
  <c r="R346" i="4"/>
  <c r="I346" i="4"/>
  <c r="R240" i="4"/>
  <c r="I240" i="4"/>
  <c r="I486" i="4"/>
  <c r="R486" i="4"/>
  <c r="R446" i="4"/>
  <c r="I446" i="4"/>
  <c r="AC404" i="6"/>
  <c r="AE404" i="6" s="1"/>
  <c r="AC337" i="6"/>
  <c r="AE337" i="6" s="1"/>
  <c r="R39" i="4"/>
  <c r="I39" i="4"/>
  <c r="BG113" i="4"/>
  <c r="AP113" i="4"/>
  <c r="AO113" i="4" s="1"/>
  <c r="AC255" i="6"/>
  <c r="AE255" i="6" s="1"/>
  <c r="Q384" i="4"/>
  <c r="BG178" i="4"/>
  <c r="AP178" i="4"/>
  <c r="AO178" i="4" s="1"/>
  <c r="Q62" i="4"/>
  <c r="BG262" i="4"/>
  <c r="AP262" i="4"/>
  <c r="AO262" i="4" s="1"/>
  <c r="BG249" i="4"/>
  <c r="AP249" i="4"/>
  <c r="AO249" i="4" s="1"/>
  <c r="BG168" i="4"/>
  <c r="AP168" i="4"/>
  <c r="AO168" i="4" s="1"/>
  <c r="BG108" i="4"/>
  <c r="AP108" i="4"/>
  <c r="AO108" i="4" s="1"/>
  <c r="BG330" i="4"/>
  <c r="AP330" i="4"/>
  <c r="AO330" i="4" s="1"/>
  <c r="R483" i="4"/>
  <c r="I483" i="4"/>
  <c r="BG153" i="4"/>
  <c r="AP153" i="4"/>
  <c r="AO153" i="4" s="1"/>
  <c r="Q402" i="4"/>
  <c r="BG312" i="4"/>
  <c r="AP312" i="4"/>
  <c r="AO312" i="4" s="1"/>
  <c r="BG418" i="4"/>
  <c r="W418" i="4"/>
  <c r="AP418" i="4"/>
  <c r="AO418" i="4" s="1"/>
  <c r="Q415" i="4"/>
  <c r="Q482" i="4"/>
  <c r="AC251" i="6"/>
  <c r="AE251" i="6" s="1"/>
  <c r="BG68" i="4"/>
  <c r="AP68" i="4"/>
  <c r="AO68" i="4" s="1"/>
  <c r="Q302" i="4"/>
  <c r="BG26" i="4"/>
  <c r="W26" i="4"/>
  <c r="AP26" i="4"/>
  <c r="AO26" i="4" s="1"/>
  <c r="G23" i="5"/>
  <c r="BG294" i="4"/>
  <c r="AP294" i="4"/>
  <c r="AO294" i="4" s="1"/>
  <c r="Q219" i="4"/>
  <c r="BG250" i="4"/>
  <c r="AP250" i="4"/>
  <c r="AO250" i="4" s="1"/>
  <c r="BG359" i="4"/>
  <c r="AP359" i="4"/>
  <c r="AO359" i="4" s="1"/>
  <c r="BG201" i="4"/>
  <c r="AP201" i="4"/>
  <c r="AO201" i="4" s="1"/>
  <c r="W488" i="4" l="1"/>
  <c r="G485" i="5"/>
  <c r="AS169" i="4"/>
  <c r="BF169" i="4" s="1"/>
  <c r="AS36" i="4"/>
  <c r="AR36" i="4" s="1"/>
  <c r="AS264" i="4"/>
  <c r="BF264" i="4" s="1"/>
  <c r="D19" i="22"/>
  <c r="D21" i="22" s="1"/>
  <c r="D24" i="22" s="1"/>
  <c r="G344" i="5"/>
  <c r="I303" i="5"/>
  <c r="H303" i="5" s="1"/>
  <c r="X493" i="4"/>
  <c r="R493" i="4"/>
  <c r="AA493" i="4"/>
  <c r="I493" i="4"/>
  <c r="AS84" i="4"/>
  <c r="BF84" i="4" s="1"/>
  <c r="AP319" i="4"/>
  <c r="AO319" i="4" s="1"/>
  <c r="G478" i="5"/>
  <c r="AS267" i="4"/>
  <c r="BC267" i="4" s="1"/>
  <c r="W481" i="4"/>
  <c r="AP347" i="4"/>
  <c r="AO347" i="4" s="1"/>
  <c r="W347" i="4"/>
  <c r="AS239" i="4"/>
  <c r="AY239" i="4" s="1"/>
  <c r="AS17" i="4"/>
  <c r="AY17" i="4" s="1"/>
  <c r="AS79" i="4"/>
  <c r="BF79" i="4" s="1"/>
  <c r="G364" i="5"/>
  <c r="AS231" i="4"/>
  <c r="AY231" i="4" s="1"/>
  <c r="AS482" i="4"/>
  <c r="BC482" i="4" s="1"/>
  <c r="AS471" i="4"/>
  <c r="BF471" i="4" s="1"/>
  <c r="AS119" i="4"/>
  <c r="AY119" i="4" s="1"/>
  <c r="AS156" i="4"/>
  <c r="AY156" i="4" s="1"/>
  <c r="AS339" i="4"/>
  <c r="BC339" i="4" s="1"/>
  <c r="G409" i="5"/>
  <c r="BG423" i="4"/>
  <c r="AP488" i="4"/>
  <c r="AO488" i="4" s="1"/>
  <c r="AS23" i="4"/>
  <c r="AY23" i="4" s="1"/>
  <c r="AP412" i="4"/>
  <c r="AO412" i="4" s="1"/>
  <c r="AS188" i="4"/>
  <c r="AR188" i="4" s="1"/>
  <c r="AS199" i="4"/>
  <c r="AR199" i="4" s="1"/>
  <c r="AS283" i="4"/>
  <c r="BC283" i="4" s="1"/>
  <c r="AP70" i="4"/>
  <c r="AO70" i="4" s="1"/>
  <c r="G67" i="5"/>
  <c r="L67" i="5" s="1"/>
  <c r="M67" i="5" s="1"/>
  <c r="AA7" i="4"/>
  <c r="G16" i="22" s="1"/>
  <c r="I16" i="22" s="1"/>
  <c r="AS314" i="4"/>
  <c r="BF314" i="4" s="1"/>
  <c r="AS62" i="4"/>
  <c r="AY62" i="4" s="1"/>
  <c r="BG412" i="4"/>
  <c r="BH412" i="4" s="1"/>
  <c r="AS130" i="4"/>
  <c r="BC130" i="4" s="1"/>
  <c r="Q314" i="4"/>
  <c r="AS397" i="4"/>
  <c r="BF397" i="4" s="1"/>
  <c r="AS368" i="4"/>
  <c r="AR368" i="4" s="1"/>
  <c r="AS54" i="4"/>
  <c r="AY54" i="4" s="1"/>
  <c r="AS102" i="4"/>
  <c r="BF102" i="4" s="1"/>
  <c r="AS271" i="4"/>
  <c r="AR271" i="4" s="1"/>
  <c r="AS461" i="4"/>
  <c r="AR461" i="4" s="1"/>
  <c r="W423" i="4"/>
  <c r="W367" i="4"/>
  <c r="AS55" i="4"/>
  <c r="BF55" i="4" s="1"/>
  <c r="BG70" i="4"/>
  <c r="BH70" i="4" s="1"/>
  <c r="AS235" i="4"/>
  <c r="BC235" i="4" s="1"/>
  <c r="AS86" i="4"/>
  <c r="BF86" i="4" s="1"/>
  <c r="BC462" i="4"/>
  <c r="BH211" i="4"/>
  <c r="L323" i="5"/>
  <c r="M323" i="5" s="1"/>
  <c r="I323" i="5"/>
  <c r="H323" i="5" s="1"/>
  <c r="I300" i="5"/>
  <c r="H300" i="5" s="1"/>
  <c r="L300" i="5"/>
  <c r="M300" i="5" s="1"/>
  <c r="L276" i="5"/>
  <c r="M276" i="5" s="1"/>
  <c r="I276" i="5"/>
  <c r="H276" i="5" s="1"/>
  <c r="L304" i="5"/>
  <c r="M304" i="5" s="1"/>
  <c r="I304" i="5"/>
  <c r="H304" i="5" s="1"/>
  <c r="L112" i="5"/>
  <c r="M112" i="5" s="1"/>
  <c r="I112" i="5"/>
  <c r="H112" i="5" s="1"/>
  <c r="L146" i="5"/>
  <c r="M146" i="5" s="1"/>
  <c r="I146" i="5"/>
  <c r="H146" i="5" s="1"/>
  <c r="I285" i="5"/>
  <c r="H285" i="5" s="1"/>
  <c r="L285" i="5"/>
  <c r="M285" i="5" s="1"/>
  <c r="L337" i="5"/>
  <c r="M337" i="5" s="1"/>
  <c r="I337" i="5"/>
  <c r="H337" i="5" s="1"/>
  <c r="L324" i="5"/>
  <c r="M324" i="5" s="1"/>
  <c r="I324" i="5"/>
  <c r="H324" i="5" s="1"/>
  <c r="L331" i="5"/>
  <c r="M331" i="5" s="1"/>
  <c r="I331" i="5"/>
  <c r="H331" i="5" s="1"/>
  <c r="I238" i="5"/>
  <c r="H238" i="5" s="1"/>
  <c r="L238" i="5"/>
  <c r="M238" i="5" s="1"/>
  <c r="L318" i="5"/>
  <c r="M318" i="5" s="1"/>
  <c r="I318" i="5"/>
  <c r="H318" i="5" s="1"/>
  <c r="L282" i="5"/>
  <c r="M282" i="5" s="1"/>
  <c r="I282" i="5"/>
  <c r="H282" i="5" s="1"/>
  <c r="AS428" i="4"/>
  <c r="BF428" i="4" s="1"/>
  <c r="AS164" i="4"/>
  <c r="BF164" i="4" s="1"/>
  <c r="AS473" i="4"/>
  <c r="BC473" i="4" s="1"/>
  <c r="AS481" i="4"/>
  <c r="BC481" i="4" s="1"/>
  <c r="AP423" i="4"/>
  <c r="AO423" i="4" s="1"/>
  <c r="L256" i="5"/>
  <c r="M256" i="5" s="1"/>
  <c r="I256" i="5"/>
  <c r="H256" i="5" s="1"/>
  <c r="I312" i="5"/>
  <c r="H312" i="5" s="1"/>
  <c r="L312" i="5"/>
  <c r="M312" i="5" s="1"/>
  <c r="I302" i="5"/>
  <c r="H302" i="5" s="1"/>
  <c r="L302" i="5"/>
  <c r="M302" i="5" s="1"/>
  <c r="I281" i="5"/>
  <c r="H281" i="5" s="1"/>
  <c r="L281" i="5"/>
  <c r="M281" i="5" s="1"/>
  <c r="I328" i="5"/>
  <c r="H328" i="5" s="1"/>
  <c r="L328" i="5"/>
  <c r="M328" i="5" s="1"/>
  <c r="I314" i="5"/>
  <c r="H314" i="5" s="1"/>
  <c r="L314" i="5"/>
  <c r="M314" i="5" s="1"/>
  <c r="I283" i="5"/>
  <c r="H283" i="5" s="1"/>
  <c r="L283" i="5"/>
  <c r="M283" i="5" s="1"/>
  <c r="L251" i="5"/>
  <c r="M251" i="5" s="1"/>
  <c r="I251" i="5"/>
  <c r="H251" i="5" s="1"/>
  <c r="L117" i="5"/>
  <c r="M117" i="5" s="1"/>
  <c r="I117" i="5"/>
  <c r="H117" i="5" s="1"/>
  <c r="I279" i="5"/>
  <c r="H279" i="5" s="1"/>
  <c r="L279" i="5"/>
  <c r="M279" i="5" s="1"/>
  <c r="I237" i="5"/>
  <c r="H237" i="5" s="1"/>
  <c r="L237" i="5"/>
  <c r="M237" i="5" s="1"/>
  <c r="L298" i="5"/>
  <c r="M298" i="5" s="1"/>
  <c r="I298" i="5"/>
  <c r="H298" i="5" s="1"/>
  <c r="I332" i="5"/>
  <c r="H332" i="5" s="1"/>
  <c r="L332" i="5"/>
  <c r="M332" i="5" s="1"/>
  <c r="I243" i="5"/>
  <c r="H243" i="5" s="1"/>
  <c r="L243" i="5"/>
  <c r="M243" i="5" s="1"/>
  <c r="I233" i="5"/>
  <c r="H233" i="5" s="1"/>
  <c r="L233" i="5"/>
  <c r="M233" i="5" s="1"/>
  <c r="L104" i="5"/>
  <c r="M104" i="5" s="1"/>
  <c r="I104" i="5"/>
  <c r="H104" i="5" s="1"/>
  <c r="AS131" i="4"/>
  <c r="BF131" i="4" s="1"/>
  <c r="AS219" i="4"/>
  <c r="AY219" i="4" s="1"/>
  <c r="AS384" i="4"/>
  <c r="AY384" i="4" s="1"/>
  <c r="AS328" i="4"/>
  <c r="BF328" i="4" s="1"/>
  <c r="AS94" i="4"/>
  <c r="AY94" i="4" s="1"/>
  <c r="Z319" i="4"/>
  <c r="Z493" i="4" s="1"/>
  <c r="G316" i="5"/>
  <c r="L224" i="5"/>
  <c r="M224" i="5" s="1"/>
  <c r="I224" i="5"/>
  <c r="H224" i="5" s="1"/>
  <c r="I297" i="5"/>
  <c r="H297" i="5" s="1"/>
  <c r="L297" i="5"/>
  <c r="M297" i="5" s="1"/>
  <c r="I284" i="5"/>
  <c r="H284" i="5" s="1"/>
  <c r="L284" i="5"/>
  <c r="M284" i="5" s="1"/>
  <c r="AS158" i="4"/>
  <c r="AY158" i="4" s="1"/>
  <c r="AS310" i="4"/>
  <c r="BF310" i="4" s="1"/>
  <c r="AS302" i="4"/>
  <c r="BC302" i="4" s="1"/>
  <c r="AS316" i="4"/>
  <c r="BF316" i="4" s="1"/>
  <c r="AS209" i="4"/>
  <c r="AY209" i="4" s="1"/>
  <c r="AS230" i="4"/>
  <c r="AY230" i="4" s="1"/>
  <c r="I389" i="5"/>
  <c r="H389" i="5" s="1"/>
  <c r="L389" i="5"/>
  <c r="M389" i="5" s="1"/>
  <c r="AS326" i="4"/>
  <c r="AY326" i="4" s="1"/>
  <c r="AS416" i="4"/>
  <c r="AR416" i="4" s="1"/>
  <c r="AS213" i="4"/>
  <c r="BC213" i="4" s="1"/>
  <c r="BH341" i="4"/>
  <c r="AS268" i="4"/>
  <c r="AY268" i="4" s="1"/>
  <c r="AP367" i="4"/>
  <c r="AS318" i="4"/>
  <c r="AY318" i="4" s="1"/>
  <c r="AS15" i="4"/>
  <c r="BF15" i="4" s="1"/>
  <c r="AS221" i="4"/>
  <c r="BC221" i="4" s="1"/>
  <c r="AS394" i="4"/>
  <c r="BC394" i="4" s="1"/>
  <c r="BG367" i="4"/>
  <c r="AS223" i="4"/>
  <c r="AR223" i="4" s="1"/>
  <c r="AS313" i="4"/>
  <c r="AY313" i="4" s="1"/>
  <c r="AS60" i="4"/>
  <c r="BC60" i="4" s="1"/>
  <c r="AS344" i="4"/>
  <c r="BC344" i="4" s="1"/>
  <c r="BH81" i="4"/>
  <c r="BH102" i="4"/>
  <c r="AS376" i="4"/>
  <c r="AR376" i="4" s="1"/>
  <c r="BH141" i="4"/>
  <c r="AS243" i="4"/>
  <c r="AR243" i="4" s="1"/>
  <c r="AY476" i="4"/>
  <c r="AS58" i="4"/>
  <c r="AY58" i="4" s="1"/>
  <c r="AS364" i="4"/>
  <c r="BF364" i="4" s="1"/>
  <c r="AS347" i="4"/>
  <c r="BC347" i="4" s="1"/>
  <c r="AS125" i="4"/>
  <c r="AR125" i="4" s="1"/>
  <c r="AS345" i="4"/>
  <c r="AY345" i="4" s="1"/>
  <c r="AS155" i="4"/>
  <c r="AR155" i="4" s="1"/>
  <c r="BH336" i="4"/>
  <c r="AS174" i="4"/>
  <c r="BC174" i="4" s="1"/>
  <c r="AS143" i="4"/>
  <c r="AY143" i="4" s="1"/>
  <c r="AS437" i="4"/>
  <c r="BC437" i="4" s="1"/>
  <c r="AS220" i="4"/>
  <c r="AR220" i="4" s="1"/>
  <c r="BH281" i="4"/>
  <c r="AS98" i="4"/>
  <c r="BC98" i="4" s="1"/>
  <c r="AS166" i="4"/>
  <c r="AR166" i="4" s="1"/>
  <c r="AY464" i="4"/>
  <c r="BH222" i="4"/>
  <c r="BH170" i="4"/>
  <c r="BH304" i="4"/>
  <c r="BH45" i="4"/>
  <c r="BH234" i="4"/>
  <c r="AS234" i="4"/>
  <c r="AR234" i="4" s="1"/>
  <c r="AS228" i="4"/>
  <c r="BF228" i="4" s="1"/>
  <c r="AS83" i="4"/>
  <c r="AY83" i="4" s="1"/>
  <c r="BC484" i="4"/>
  <c r="AS415" i="4"/>
  <c r="AS204" i="4"/>
  <c r="AY204" i="4" s="1"/>
  <c r="AY471" i="4"/>
  <c r="BH208" i="4"/>
  <c r="BH275" i="4"/>
  <c r="BH196" i="4"/>
  <c r="BH216" i="4"/>
  <c r="BH148" i="4"/>
  <c r="BH311" i="4"/>
  <c r="BH360" i="4"/>
  <c r="BH210" i="4"/>
  <c r="AS93" i="4"/>
  <c r="BC93" i="4" s="1"/>
  <c r="BH350" i="4"/>
  <c r="BH174" i="4"/>
  <c r="BH129" i="4"/>
  <c r="AS191" i="4"/>
  <c r="BC191" i="4" s="1"/>
  <c r="AS141" i="4"/>
  <c r="BC141" i="4" s="1"/>
  <c r="BH265" i="4"/>
  <c r="BH204" i="4"/>
  <c r="BC439" i="4"/>
  <c r="BH354" i="4"/>
  <c r="BH119" i="4"/>
  <c r="BH127" i="4"/>
  <c r="BH34" i="4"/>
  <c r="BH314" i="4"/>
  <c r="BH62" i="4"/>
  <c r="BC264" i="4"/>
  <c r="AS214" i="4"/>
  <c r="AY214" i="4" s="1"/>
  <c r="BH345" i="4"/>
  <c r="BH313" i="4"/>
  <c r="BH225" i="4"/>
  <c r="BH175" i="4"/>
  <c r="BH38" i="4"/>
  <c r="BF484" i="4"/>
  <c r="AY433" i="4"/>
  <c r="BH42" i="4"/>
  <c r="BH28" i="4"/>
  <c r="BH39" i="4"/>
  <c r="BH416" i="4"/>
  <c r="BH144" i="4"/>
  <c r="BH215" i="4"/>
  <c r="BF433" i="4"/>
  <c r="BH244" i="4"/>
  <c r="BH124" i="4"/>
  <c r="BH213" i="4"/>
  <c r="BF464" i="4"/>
  <c r="BC84" i="4"/>
  <c r="AS325" i="4"/>
  <c r="BF325" i="4" s="1"/>
  <c r="BH302" i="4"/>
  <c r="BH126" i="4"/>
  <c r="BH300" i="4"/>
  <c r="BH334" i="4"/>
  <c r="BH84" i="4"/>
  <c r="BH36" i="4"/>
  <c r="BH267" i="4"/>
  <c r="BH94" i="4"/>
  <c r="BH153" i="4"/>
  <c r="BH330" i="4"/>
  <c r="BH168" i="4"/>
  <c r="BH262" i="4"/>
  <c r="BH113" i="4"/>
  <c r="BH201" i="4"/>
  <c r="BH250" i="4"/>
  <c r="BH294" i="4"/>
  <c r="BH44" i="4"/>
  <c r="BH103" i="4"/>
  <c r="BH318" i="4"/>
  <c r="BH166" i="4"/>
  <c r="BH164" i="4"/>
  <c r="BH145" i="4"/>
  <c r="BH116" i="4"/>
  <c r="BH266" i="4"/>
  <c r="BH56" i="4"/>
  <c r="BH220" i="4"/>
  <c r="BH292" i="4"/>
  <c r="BH231" i="4"/>
  <c r="BH259" i="4"/>
  <c r="BH421" i="4"/>
  <c r="BH280" i="4"/>
  <c r="AS381" i="4"/>
  <c r="AR381" i="4" s="1"/>
  <c r="AS197" i="4"/>
  <c r="BC197" i="4" s="1"/>
  <c r="BH409" i="4"/>
  <c r="BH134" i="4"/>
  <c r="BH122" i="4"/>
  <c r="BH352" i="4"/>
  <c r="BH83" i="4"/>
  <c r="BH183" i="4"/>
  <c r="BH22" i="4"/>
  <c r="BH169" i="4"/>
  <c r="BH335" i="4"/>
  <c r="BC485" i="4"/>
  <c r="AY485" i="4"/>
  <c r="BF485" i="4"/>
  <c r="BH312" i="4"/>
  <c r="BH308" i="4"/>
  <c r="BH387" i="4"/>
  <c r="BH247" i="4"/>
  <c r="BH106" i="4"/>
  <c r="BH232" i="4"/>
  <c r="BF452" i="4"/>
  <c r="AS170" i="4"/>
  <c r="BC170" i="4" s="1"/>
  <c r="AS59" i="4"/>
  <c r="AY59" i="4" s="1"/>
  <c r="AS85" i="4"/>
  <c r="AR85" i="4" s="1"/>
  <c r="BH185" i="4"/>
  <c r="BH85" i="4"/>
  <c r="BH123" i="4"/>
  <c r="BH13" i="4"/>
  <c r="BH30" i="4"/>
  <c r="BH384" i="4"/>
  <c r="AS252" i="4"/>
  <c r="BF252" i="4" s="1"/>
  <c r="BH118" i="4"/>
  <c r="BH184" i="4"/>
  <c r="BH143" i="4"/>
  <c r="BH72" i="4"/>
  <c r="BH400" i="4"/>
  <c r="BH223" i="4"/>
  <c r="BH264" i="4"/>
  <c r="AS116" i="4"/>
  <c r="AY116" i="4" s="1"/>
  <c r="BH298" i="4"/>
  <c r="BH125" i="4"/>
  <c r="BH282" i="4"/>
  <c r="AY470" i="4"/>
  <c r="BH346" i="4"/>
  <c r="AS194" i="4"/>
  <c r="BF194" i="4" s="1"/>
  <c r="BH15" i="4"/>
  <c r="BC467" i="4"/>
  <c r="AS215" i="4"/>
  <c r="BF215" i="4" s="1"/>
  <c r="AS245" i="4"/>
  <c r="AR245" i="4" s="1"/>
  <c r="AS289" i="4"/>
  <c r="BC289" i="4" s="1"/>
  <c r="BH290" i="4"/>
  <c r="BH93" i="4"/>
  <c r="BH325" i="4"/>
  <c r="BH285" i="4"/>
  <c r="BH277" i="4"/>
  <c r="AS42" i="4"/>
  <c r="BC42" i="4" s="1"/>
  <c r="BH27" i="4"/>
  <c r="BH90" i="4"/>
  <c r="BH414" i="4"/>
  <c r="AS265" i="4"/>
  <c r="AY265" i="4" s="1"/>
  <c r="BH365" i="4"/>
  <c r="BH88" i="4"/>
  <c r="BH309" i="4"/>
  <c r="BH389" i="4"/>
  <c r="BH242" i="4"/>
  <c r="BH240" i="4"/>
  <c r="BF470" i="4"/>
  <c r="BH364" i="4"/>
  <c r="BH239" i="4"/>
  <c r="BH76" i="4"/>
  <c r="BH17" i="4"/>
  <c r="BH41" i="4"/>
  <c r="BH43" i="4"/>
  <c r="BH310" i="4"/>
  <c r="BH86" i="4"/>
  <c r="BH26" i="4"/>
  <c r="BH100" i="4"/>
  <c r="BH356" i="4"/>
  <c r="BH378" i="4"/>
  <c r="BH203" i="4"/>
  <c r="BH189" i="4"/>
  <c r="AS383" i="4"/>
  <c r="AY383" i="4" s="1"/>
  <c r="BH305" i="4"/>
  <c r="BH303" i="4"/>
  <c r="BH109" i="4"/>
  <c r="BH120" i="4"/>
  <c r="BH373" i="4"/>
  <c r="BH198" i="4"/>
  <c r="AS105" i="4"/>
  <c r="AR105" i="4" s="1"/>
  <c r="AS222" i="4"/>
  <c r="BC222" i="4" s="1"/>
  <c r="BH140" i="4"/>
  <c r="AS491" i="4"/>
  <c r="AY491" i="4" s="1"/>
  <c r="BH236" i="4"/>
  <c r="AS87" i="4"/>
  <c r="AR87" i="4" s="1"/>
  <c r="BH177" i="4"/>
  <c r="BH207" i="4"/>
  <c r="BH274" i="4"/>
  <c r="BH155" i="4"/>
  <c r="AS177" i="4"/>
  <c r="AR177" i="4" s="1"/>
  <c r="BH180" i="4"/>
  <c r="BH89" i="4"/>
  <c r="BH226" i="4"/>
  <c r="BH376" i="4"/>
  <c r="AS400" i="4"/>
  <c r="AY400" i="4" s="1"/>
  <c r="BH340" i="4"/>
  <c r="L489" i="5"/>
  <c r="M489" i="5" s="1"/>
  <c r="I489" i="5"/>
  <c r="H489" i="5" s="1"/>
  <c r="Q285" i="4"/>
  <c r="AS285" i="4"/>
  <c r="Q44" i="4"/>
  <c r="AS44" i="4"/>
  <c r="BF44" i="4" s="1"/>
  <c r="Q179" i="4"/>
  <c r="AS179" i="4"/>
  <c r="BC179" i="4" s="1"/>
  <c r="Q287" i="4"/>
  <c r="AS287" i="4"/>
  <c r="BF287" i="4" s="1"/>
  <c r="AS309" i="4"/>
  <c r="BF309" i="4" s="1"/>
  <c r="Q309" i="4"/>
  <c r="BG420" i="4"/>
  <c r="W420" i="4"/>
  <c r="G417" i="5"/>
  <c r="AP420" i="4"/>
  <c r="AO420" i="4" s="1"/>
  <c r="AS206" i="4"/>
  <c r="AY206" i="4" s="1"/>
  <c r="Q206" i="4"/>
  <c r="Q246" i="4"/>
  <c r="AS246" i="4"/>
  <c r="AY246" i="4" s="1"/>
  <c r="Q65" i="4"/>
  <c r="AS65" i="4"/>
  <c r="BC65" i="4" s="1"/>
  <c r="AS361" i="4"/>
  <c r="BF361" i="4" s="1"/>
  <c r="Q361" i="4"/>
  <c r="W349" i="4"/>
  <c r="G346" i="5"/>
  <c r="BG349" i="4"/>
  <c r="AP349" i="4"/>
  <c r="AO349" i="4" s="1"/>
  <c r="AS45" i="4"/>
  <c r="BF45" i="4" s="1"/>
  <c r="Q45" i="4"/>
  <c r="W417" i="4"/>
  <c r="G414" i="5"/>
  <c r="BG417" i="4"/>
  <c r="AP417" i="4"/>
  <c r="AO417" i="4" s="1"/>
  <c r="AS442" i="4"/>
  <c r="BC442" i="4" s="1"/>
  <c r="Q442" i="4"/>
  <c r="Q419" i="4"/>
  <c r="W411" i="4"/>
  <c r="G408" i="5"/>
  <c r="BG411" i="4"/>
  <c r="AP411" i="4"/>
  <c r="AO411" i="4" s="1"/>
  <c r="AS425" i="4"/>
  <c r="AS99" i="4"/>
  <c r="BF99" i="4" s="1"/>
  <c r="Q99" i="4"/>
  <c r="Q479" i="4"/>
  <c r="AS479" i="4"/>
  <c r="BF479" i="4" s="1"/>
  <c r="G456" i="5"/>
  <c r="W459" i="4"/>
  <c r="AP459" i="4"/>
  <c r="AO459" i="4" s="1"/>
  <c r="AS96" i="4"/>
  <c r="AY96" i="4" s="1"/>
  <c r="Q96" i="4"/>
  <c r="I458" i="5"/>
  <c r="H458" i="5" s="1"/>
  <c r="L458" i="5"/>
  <c r="M458" i="5" s="1"/>
  <c r="Q352" i="4"/>
  <c r="AS352" i="4"/>
  <c r="BF352" i="4" s="1"/>
  <c r="AR447" i="4"/>
  <c r="I485" i="5"/>
  <c r="H485" i="5" s="1"/>
  <c r="L485" i="5"/>
  <c r="M485" i="5" s="1"/>
  <c r="AS297" i="4"/>
  <c r="BF297" i="4" s="1"/>
  <c r="L411" i="5"/>
  <c r="M411" i="5" s="1"/>
  <c r="I411" i="5"/>
  <c r="H411" i="5" s="1"/>
  <c r="AR17" i="4"/>
  <c r="Q465" i="4"/>
  <c r="Q16" i="4"/>
  <c r="Q138" i="4"/>
  <c r="AS138" i="4"/>
  <c r="AY138" i="4" s="1"/>
  <c r="Q300" i="4"/>
  <c r="AS300" i="4"/>
  <c r="AY300" i="4" s="1"/>
  <c r="AS270" i="4"/>
  <c r="BC270" i="4" s="1"/>
  <c r="Q270" i="4"/>
  <c r="I373" i="5"/>
  <c r="H373" i="5" s="1"/>
  <c r="L373" i="5"/>
  <c r="M373" i="5" s="1"/>
  <c r="W395" i="4"/>
  <c r="BG395" i="4"/>
  <c r="G392" i="5"/>
  <c r="AP395" i="4"/>
  <c r="AO395" i="4" s="1"/>
  <c r="AS305" i="4"/>
  <c r="BC305" i="4" s="1"/>
  <c r="Q305" i="4"/>
  <c r="AR437" i="4"/>
  <c r="AS392" i="4"/>
  <c r="AY392" i="4" s="1"/>
  <c r="Q392" i="4"/>
  <c r="AS256" i="4"/>
  <c r="Q256" i="4"/>
  <c r="AS354" i="4"/>
  <c r="BC354" i="4" s="1"/>
  <c r="Q354" i="4"/>
  <c r="Q27" i="4"/>
  <c r="AS27" i="4"/>
  <c r="BC27" i="4" s="1"/>
  <c r="AS272" i="4"/>
  <c r="BC272" i="4" s="1"/>
  <c r="I468" i="5"/>
  <c r="H468" i="5" s="1"/>
  <c r="L468" i="5"/>
  <c r="M468" i="5" s="1"/>
  <c r="AS150" i="4"/>
  <c r="BC150" i="4" s="1"/>
  <c r="AS193" i="4"/>
  <c r="BF193" i="4" s="1"/>
  <c r="Q193" i="4"/>
  <c r="AS263" i="4"/>
  <c r="BC263" i="4" s="1"/>
  <c r="AS489" i="4"/>
  <c r="BC489" i="4" s="1"/>
  <c r="Q427" i="4"/>
  <c r="Q440" i="4"/>
  <c r="AS440" i="4"/>
  <c r="H470" i="5"/>
  <c r="L470" i="5"/>
  <c r="M470" i="5" s="1"/>
  <c r="Q390" i="4"/>
  <c r="L479" i="5"/>
  <c r="M479" i="5" s="1"/>
  <c r="I479" i="5"/>
  <c r="H479" i="5" s="1"/>
  <c r="AS146" i="4"/>
  <c r="BC146" i="4" s="1"/>
  <c r="AS35" i="4"/>
  <c r="AY35" i="4" s="1"/>
  <c r="Q35" i="4"/>
  <c r="I413" i="5"/>
  <c r="H413" i="5" s="1"/>
  <c r="L413" i="5"/>
  <c r="M413" i="5" s="1"/>
  <c r="Q103" i="4"/>
  <c r="AS103" i="4"/>
  <c r="BF103" i="4" s="1"/>
  <c r="BH61" i="4"/>
  <c r="AS372" i="4"/>
  <c r="BF372" i="4" s="1"/>
  <c r="Q430" i="4"/>
  <c r="BH151" i="4"/>
  <c r="BH326" i="4"/>
  <c r="BH31" i="4"/>
  <c r="Q56" i="4"/>
  <c r="AS56" i="4"/>
  <c r="AY56" i="4" s="1"/>
  <c r="Q38" i="4"/>
  <c r="AS38" i="4"/>
  <c r="AY38" i="4" s="1"/>
  <c r="AS63" i="4"/>
  <c r="BC63" i="4" s="1"/>
  <c r="AS66" i="4"/>
  <c r="AY66" i="4" s="1"/>
  <c r="BH214" i="4"/>
  <c r="BH370" i="4"/>
  <c r="R7" i="4"/>
  <c r="Q12" i="4"/>
  <c r="AS19" i="4"/>
  <c r="BF19" i="4" s="1"/>
  <c r="BH241" i="4"/>
  <c r="BH371" i="4"/>
  <c r="BH217" i="4"/>
  <c r="BH361" i="4"/>
  <c r="AS335" i="4"/>
  <c r="AY335" i="4" s="1"/>
  <c r="Q335" i="4"/>
  <c r="AS180" i="4"/>
  <c r="BF180" i="4" s="1"/>
  <c r="AS189" i="4"/>
  <c r="BC189" i="4" s="1"/>
  <c r="BH321" i="4"/>
  <c r="BH40" i="4"/>
  <c r="AS315" i="4"/>
  <c r="BC315" i="4" s="1"/>
  <c r="Q315" i="4"/>
  <c r="L394" i="5"/>
  <c r="M394" i="5" s="1"/>
  <c r="I394" i="5"/>
  <c r="H394" i="5" s="1"/>
  <c r="AS111" i="4"/>
  <c r="AY111" i="4" s="1"/>
  <c r="BH195" i="4"/>
  <c r="BH133" i="4"/>
  <c r="BH286" i="4"/>
  <c r="BH368" i="4"/>
  <c r="I434" i="5"/>
  <c r="H434" i="5" s="1"/>
  <c r="L434" i="5"/>
  <c r="M434" i="5" s="1"/>
  <c r="Q388" i="4"/>
  <c r="Q424" i="4"/>
  <c r="Q456" i="4"/>
  <c r="AS456" i="4"/>
  <c r="AY456" i="4" s="1"/>
  <c r="BH46" i="4"/>
  <c r="Q67" i="4"/>
  <c r="AS67" i="4"/>
  <c r="BC67" i="4" s="1"/>
  <c r="Q426" i="4"/>
  <c r="AS320" i="4"/>
  <c r="BC320" i="4" s="1"/>
  <c r="BH230" i="4"/>
  <c r="BH331" i="4"/>
  <c r="BH306" i="4"/>
  <c r="AS217" i="4"/>
  <c r="AY217" i="4" s="1"/>
  <c r="BH362" i="4"/>
  <c r="AS148" i="4"/>
  <c r="AY148" i="4" s="1"/>
  <c r="BH394" i="4"/>
  <c r="AS280" i="4"/>
  <c r="AY280" i="4" s="1"/>
  <c r="AS291" i="4"/>
  <c r="AY291" i="4" s="1"/>
  <c r="Q291" i="4"/>
  <c r="G433" i="5"/>
  <c r="W436" i="4"/>
  <c r="AP436" i="4"/>
  <c r="AO436" i="4" s="1"/>
  <c r="AS161" i="4"/>
  <c r="BC161" i="4" s="1"/>
  <c r="Q161" i="4"/>
  <c r="BG375" i="4"/>
  <c r="W375" i="4"/>
  <c r="G372" i="5"/>
  <c r="AP375" i="4"/>
  <c r="AO375" i="4" s="1"/>
  <c r="AS319" i="4"/>
  <c r="BF319" i="4" s="1"/>
  <c r="Q362" i="4"/>
  <c r="AS362" i="4"/>
  <c r="L418" i="5"/>
  <c r="M418" i="5" s="1"/>
  <c r="I418" i="5"/>
  <c r="H418" i="5" s="1"/>
  <c r="Q151" i="4"/>
  <c r="AS151" i="4"/>
  <c r="AY151" i="4" s="1"/>
  <c r="Q152" i="4"/>
  <c r="AS152" i="4"/>
  <c r="AY152" i="4" s="1"/>
  <c r="AS371" i="4"/>
  <c r="BF371" i="4" s="1"/>
  <c r="Q371" i="4"/>
  <c r="AS48" i="4"/>
  <c r="BC48" i="4" s="1"/>
  <c r="Q48" i="4"/>
  <c r="Q144" i="4"/>
  <c r="AS144" i="4"/>
  <c r="BF144" i="4" s="1"/>
  <c r="AS480" i="4"/>
  <c r="AY480" i="4" s="1"/>
  <c r="Q480" i="4"/>
  <c r="Q407" i="4"/>
  <c r="AS78" i="4"/>
  <c r="BF78" i="4" s="1"/>
  <c r="Q78" i="4"/>
  <c r="Q115" i="4"/>
  <c r="AS115" i="4"/>
  <c r="AY115" i="4" s="1"/>
  <c r="BH108" i="4"/>
  <c r="AS39" i="4"/>
  <c r="BC39" i="4" s="1"/>
  <c r="Q39" i="4"/>
  <c r="Q122" i="4"/>
  <c r="AS122" i="4"/>
  <c r="AY122" i="4" s="1"/>
  <c r="BH392" i="4"/>
  <c r="AS163" i="4"/>
  <c r="BC163" i="4" s="1"/>
  <c r="Q163" i="4"/>
  <c r="Q317" i="4"/>
  <c r="AS317" i="4"/>
  <c r="BC317" i="4" s="1"/>
  <c r="G487" i="5"/>
  <c r="W490" i="4"/>
  <c r="AP490" i="4"/>
  <c r="AO490" i="4" s="1"/>
  <c r="L412" i="5"/>
  <c r="M412" i="5" s="1"/>
  <c r="I412" i="5"/>
  <c r="H412" i="5" s="1"/>
  <c r="AS434" i="4"/>
  <c r="Q434" i="4"/>
  <c r="Q422" i="4"/>
  <c r="BH147" i="4"/>
  <c r="BH157" i="4"/>
  <c r="AS374" i="4"/>
  <c r="BF374" i="4" s="1"/>
  <c r="BH319" i="4"/>
  <c r="AS97" i="4"/>
  <c r="BF97" i="4" s="1"/>
  <c r="W431" i="4"/>
  <c r="G428" i="5"/>
  <c r="AP431" i="4"/>
  <c r="AO431" i="4" s="1"/>
  <c r="Q46" i="4"/>
  <c r="AS46" i="4"/>
  <c r="BF46" i="4" s="1"/>
  <c r="BH343" i="4"/>
  <c r="Q182" i="4"/>
  <c r="AS182" i="4"/>
  <c r="AY182" i="4" s="1"/>
  <c r="L370" i="5"/>
  <c r="M370" i="5" s="1"/>
  <c r="I370" i="5"/>
  <c r="H370" i="5" s="1"/>
  <c r="AS81" i="4"/>
  <c r="AY81" i="4" s="1"/>
  <c r="Q81" i="4"/>
  <c r="I450" i="5"/>
  <c r="H450" i="5" s="1"/>
  <c r="L450" i="5"/>
  <c r="M450" i="5" s="1"/>
  <c r="BH154" i="4"/>
  <c r="AS195" i="4"/>
  <c r="AY195" i="4" s="1"/>
  <c r="Q195" i="4"/>
  <c r="Q269" i="4"/>
  <c r="AS269" i="4"/>
  <c r="BC269" i="4" s="1"/>
  <c r="AS135" i="4"/>
  <c r="BC135" i="4" s="1"/>
  <c r="Q135" i="4"/>
  <c r="BH187" i="4"/>
  <c r="AS34" i="4"/>
  <c r="BC34" i="4" s="1"/>
  <c r="Q34" i="4"/>
  <c r="W229" i="4"/>
  <c r="G226" i="5"/>
  <c r="AP229" i="4"/>
  <c r="AO229" i="4" s="1"/>
  <c r="BG229" i="4"/>
  <c r="AR86" i="4"/>
  <c r="L379" i="5"/>
  <c r="M379" i="5" s="1"/>
  <c r="I379" i="5"/>
  <c r="H379" i="5" s="1"/>
  <c r="BG398" i="4"/>
  <c r="W398" i="4"/>
  <c r="G395" i="5"/>
  <c r="AP398" i="4"/>
  <c r="AO398" i="4" s="1"/>
  <c r="AS89" i="4"/>
  <c r="BC89" i="4" s="1"/>
  <c r="Q89" i="4"/>
  <c r="BH323" i="4"/>
  <c r="BH162" i="4"/>
  <c r="AS207" i="4"/>
  <c r="AY207" i="4" s="1"/>
  <c r="Q207" i="4"/>
  <c r="L420" i="5"/>
  <c r="M420" i="5" s="1"/>
  <c r="I420" i="5"/>
  <c r="H420" i="5" s="1"/>
  <c r="AS298" i="4"/>
  <c r="AY298" i="4" s="1"/>
  <c r="Q298" i="4"/>
  <c r="BH59" i="4"/>
  <c r="BH425" i="4"/>
  <c r="BH299" i="4"/>
  <c r="Q167" i="4"/>
  <c r="AS167" i="4"/>
  <c r="AY167" i="4" s="1"/>
  <c r="BH71" i="4"/>
  <c r="AS355" i="4"/>
  <c r="AY355" i="4" s="1"/>
  <c r="BH96" i="4"/>
  <c r="BH369" i="4"/>
  <c r="BH296" i="4"/>
  <c r="BH338" i="4"/>
  <c r="I371" i="5"/>
  <c r="H371" i="5" s="1"/>
  <c r="L371" i="5"/>
  <c r="M371" i="5" s="1"/>
  <c r="AS278" i="4"/>
  <c r="BC278" i="4" s="1"/>
  <c r="Q278" i="4"/>
  <c r="AS274" i="4"/>
  <c r="AY274" i="4" s="1"/>
  <c r="Q274" i="4"/>
  <c r="AS192" i="4"/>
  <c r="BF192" i="4" s="1"/>
  <c r="Q192" i="4"/>
  <c r="Q340" i="4"/>
  <c r="AS340" i="4"/>
  <c r="BF340" i="4" s="1"/>
  <c r="Q277" i="4"/>
  <c r="AS277" i="4"/>
  <c r="AY277" i="4" s="1"/>
  <c r="BH347" i="4"/>
  <c r="BH209" i="4"/>
  <c r="BC447" i="4"/>
  <c r="AS57" i="4"/>
  <c r="AY57" i="4" s="1"/>
  <c r="Q57" i="4"/>
  <c r="AS308" i="4"/>
  <c r="BF308" i="4" s="1"/>
  <c r="Q451" i="4"/>
  <c r="AS451" i="4"/>
  <c r="BF451" i="4" s="1"/>
  <c r="BH163" i="4"/>
  <c r="AS198" i="4"/>
  <c r="BF198" i="4" s="1"/>
  <c r="BH73" i="4"/>
  <c r="L425" i="5"/>
  <c r="M425" i="5" s="1"/>
  <c r="I425" i="5"/>
  <c r="H425" i="5" s="1"/>
  <c r="Q128" i="4"/>
  <c r="AS128" i="4"/>
  <c r="BC128" i="4" s="1"/>
  <c r="BG379" i="4"/>
  <c r="W379" i="4"/>
  <c r="G376" i="5"/>
  <c r="AP379" i="4"/>
  <c r="AO379" i="4" s="1"/>
  <c r="BH246" i="4"/>
  <c r="AS238" i="4"/>
  <c r="BC238" i="4" s="1"/>
  <c r="Q238" i="4"/>
  <c r="BG380" i="4"/>
  <c r="W380" i="4"/>
  <c r="G377" i="5"/>
  <c r="AP380" i="4"/>
  <c r="AO380" i="4" s="1"/>
  <c r="Q403" i="4"/>
  <c r="AS403" i="4"/>
  <c r="BC403" i="4" s="1"/>
  <c r="AS266" i="4"/>
  <c r="BF266" i="4" s="1"/>
  <c r="Q266" i="4"/>
  <c r="AS242" i="4"/>
  <c r="AY242" i="4" s="1"/>
  <c r="Q242" i="4"/>
  <c r="Q290" i="4"/>
  <c r="AS290" i="4"/>
  <c r="AY290" i="4" s="1"/>
  <c r="BH55" i="4"/>
  <c r="BH54" i="4"/>
  <c r="BH172" i="4"/>
  <c r="AS20" i="4"/>
  <c r="AY20" i="4" s="1"/>
  <c r="Q487" i="4"/>
  <c r="AS487" i="4"/>
  <c r="BF487" i="4" s="1"/>
  <c r="Q33" i="4"/>
  <c r="AS33" i="4"/>
  <c r="AY33" i="4" s="1"/>
  <c r="Q205" i="4"/>
  <c r="AS205" i="4"/>
  <c r="BF205" i="4" s="1"/>
  <c r="AS50" i="4"/>
  <c r="AY50" i="4" s="1"/>
  <c r="Q369" i="4"/>
  <c r="AS369" i="4"/>
  <c r="AY369" i="4" s="1"/>
  <c r="BH328" i="4"/>
  <c r="Q295" i="4"/>
  <c r="AS295" i="4"/>
  <c r="BF295" i="4" s="1"/>
  <c r="Q211" i="4"/>
  <c r="AS211" i="4"/>
  <c r="AY211" i="4" s="1"/>
  <c r="BH372" i="4"/>
  <c r="BH358" i="4"/>
  <c r="BG405" i="4"/>
  <c r="W405" i="4"/>
  <c r="G402" i="5"/>
  <c r="AP405" i="4"/>
  <c r="AO405" i="4" s="1"/>
  <c r="AS288" i="4"/>
  <c r="BC288" i="4" s="1"/>
  <c r="AS82" i="4"/>
  <c r="BC82" i="4" s="1"/>
  <c r="AY448" i="4"/>
  <c r="BH95" i="4"/>
  <c r="BH98" i="4"/>
  <c r="BH355" i="4"/>
  <c r="AS121" i="4"/>
  <c r="BF121" i="4" s="1"/>
  <c r="AR310" i="4"/>
  <c r="AS226" i="4"/>
  <c r="AY226" i="4" s="1"/>
  <c r="AS147" i="4"/>
  <c r="BC147" i="4" s="1"/>
  <c r="AS332" i="4"/>
  <c r="AY332" i="4" s="1"/>
  <c r="BH251" i="4"/>
  <c r="BH252" i="4"/>
  <c r="BH254" i="4"/>
  <c r="AS41" i="4"/>
  <c r="BC41" i="4" s="1"/>
  <c r="Q41" i="4"/>
  <c r="BG390" i="4"/>
  <c r="W390" i="4"/>
  <c r="G387" i="5"/>
  <c r="AP390" i="4"/>
  <c r="AO390" i="4" s="1"/>
  <c r="Q183" i="4"/>
  <c r="AS183" i="4"/>
  <c r="BC183" i="4" s="1"/>
  <c r="AS296" i="4"/>
  <c r="BF296" i="4" s="1"/>
  <c r="Q126" i="4"/>
  <c r="AS126" i="4"/>
  <c r="BF126" i="4" s="1"/>
  <c r="AS28" i="4"/>
  <c r="AY28" i="4" s="1"/>
  <c r="Q28" i="4"/>
  <c r="Q123" i="4"/>
  <c r="AS123" i="4"/>
  <c r="BH50" i="4"/>
  <c r="BH58" i="4"/>
  <c r="AS110" i="4"/>
  <c r="BF110" i="4" s="1"/>
  <c r="Q110" i="4"/>
  <c r="BH287" i="4"/>
  <c r="Q236" i="4"/>
  <c r="AS236" i="4"/>
  <c r="BC236" i="4" s="1"/>
  <c r="Q353" i="4"/>
  <c r="AS353" i="4"/>
  <c r="AY353" i="4" s="1"/>
  <c r="Q134" i="4"/>
  <c r="AS134" i="4"/>
  <c r="AS306" i="4"/>
  <c r="AS117" i="4"/>
  <c r="BF117" i="4" s="1"/>
  <c r="Q117" i="4"/>
  <c r="G460" i="5"/>
  <c r="W463" i="4"/>
  <c r="AP463" i="4"/>
  <c r="AO463" i="4" s="1"/>
  <c r="BH114" i="4"/>
  <c r="BH339" i="4"/>
  <c r="BH160" i="4"/>
  <c r="AS90" i="4"/>
  <c r="BF90" i="4" s="1"/>
  <c r="Q441" i="4"/>
  <c r="BH199" i="4"/>
  <c r="G29" i="5"/>
  <c r="W32" i="4"/>
  <c r="BG32" i="4"/>
  <c r="AP32" i="4"/>
  <c r="AO32" i="4" s="1"/>
  <c r="AS453" i="4"/>
  <c r="AY453" i="4" s="1"/>
  <c r="AS22" i="4"/>
  <c r="BF22" i="4" s="1"/>
  <c r="BH270" i="4"/>
  <c r="AS21" i="4"/>
  <c r="BC21" i="4" s="1"/>
  <c r="Q172" i="4"/>
  <c r="AS172" i="4"/>
  <c r="BF172" i="4" s="1"/>
  <c r="Q91" i="4"/>
  <c r="AS360" i="4"/>
  <c r="BF360" i="4" s="1"/>
  <c r="Q360" i="4"/>
  <c r="AY79" i="4"/>
  <c r="AS432" i="4"/>
  <c r="BH278" i="4"/>
  <c r="AS341" i="4"/>
  <c r="AY341" i="4" s="1"/>
  <c r="Q330" i="4"/>
  <c r="AS330" i="4"/>
  <c r="AY330" i="4" s="1"/>
  <c r="BH219" i="4"/>
  <c r="BH221" i="4"/>
  <c r="BH301" i="4"/>
  <c r="Q139" i="4"/>
  <c r="AS139" i="4"/>
  <c r="AY139" i="4" s="1"/>
  <c r="BG388" i="4"/>
  <c r="W388" i="4"/>
  <c r="G385" i="5"/>
  <c r="AP388" i="4"/>
  <c r="AO388" i="4" s="1"/>
  <c r="W424" i="4"/>
  <c r="BG424" i="4"/>
  <c r="G421" i="5"/>
  <c r="AP424" i="4"/>
  <c r="AO424" i="4" s="1"/>
  <c r="Q363" i="4"/>
  <c r="AS363" i="4"/>
  <c r="BF363" i="4" s="1"/>
  <c r="Q391" i="4"/>
  <c r="Q133" i="4"/>
  <c r="AS133" i="4"/>
  <c r="AS145" i="4"/>
  <c r="BC145" i="4" s="1"/>
  <c r="Q145" i="4"/>
  <c r="AR462" i="4"/>
  <c r="AS232" i="4"/>
  <c r="BF232" i="4" s="1"/>
  <c r="AS70" i="4"/>
  <c r="BF70" i="4" s="1"/>
  <c r="Q173" i="4"/>
  <c r="AS173" i="4"/>
  <c r="AY173" i="4" s="1"/>
  <c r="Q410" i="4"/>
  <c r="AS165" i="4"/>
  <c r="Q165" i="4"/>
  <c r="Q358" i="4"/>
  <c r="AS358" i="4"/>
  <c r="AR438" i="4"/>
  <c r="AS118" i="4"/>
  <c r="BF118" i="4" s="1"/>
  <c r="Q118" i="4"/>
  <c r="I23" i="5"/>
  <c r="H23" i="5" s="1"/>
  <c r="L23" i="5"/>
  <c r="M23" i="5" s="1"/>
  <c r="AR415" i="4"/>
  <c r="I486" i="5"/>
  <c r="H486" i="5" s="1"/>
  <c r="L486" i="5"/>
  <c r="M486" i="5" s="1"/>
  <c r="Q72" i="4"/>
  <c r="AS72" i="4"/>
  <c r="BF72" i="4" s="1"/>
  <c r="Q399" i="4"/>
  <c r="AS399" i="4"/>
  <c r="BF399" i="4" s="1"/>
  <c r="Q458" i="4"/>
  <c r="W377" i="4"/>
  <c r="BG377" i="4"/>
  <c r="G374" i="5"/>
  <c r="AP377" i="4"/>
  <c r="AO377" i="4" s="1"/>
  <c r="AR141" i="4"/>
  <c r="W385" i="4"/>
  <c r="G382" i="5"/>
  <c r="BG385" i="4"/>
  <c r="AP385" i="4"/>
  <c r="AS385" i="4" s="1"/>
  <c r="BF385" i="4" s="1"/>
  <c r="AF7" i="4"/>
  <c r="Q229" i="4"/>
  <c r="AY302" i="4"/>
  <c r="AS402" i="4"/>
  <c r="BF402" i="4" s="1"/>
  <c r="AS483" i="4"/>
  <c r="BC483" i="4" s="1"/>
  <c r="Q483" i="4"/>
  <c r="BH249" i="4"/>
  <c r="AS346" i="4"/>
  <c r="Q346" i="4"/>
  <c r="Q321" i="4"/>
  <c r="AS321" i="4"/>
  <c r="BF321" i="4" s="1"/>
  <c r="AS329" i="4"/>
  <c r="BF329" i="4" s="1"/>
  <c r="AS186" i="4"/>
  <c r="BF186" i="4" s="1"/>
  <c r="Q186" i="4"/>
  <c r="BH78" i="4"/>
  <c r="AR204" i="4"/>
  <c r="AS69" i="4"/>
  <c r="Q69" i="4"/>
  <c r="AS342" i="4"/>
  <c r="AY342" i="4" s="1"/>
  <c r="Q342" i="4"/>
  <c r="BH297" i="4"/>
  <c r="BH138" i="4"/>
  <c r="BH110" i="4"/>
  <c r="BH351" i="4"/>
  <c r="G15" i="5"/>
  <c r="BG18" i="4"/>
  <c r="W18" i="4"/>
  <c r="AP18" i="4"/>
  <c r="AO18" i="4" s="1"/>
  <c r="AS153" i="4"/>
  <c r="BF153" i="4" s="1"/>
  <c r="Q153" i="4"/>
  <c r="Q435" i="4"/>
  <c r="BH192" i="4"/>
  <c r="BH165" i="4"/>
  <c r="G363" i="5"/>
  <c r="BG366" i="4"/>
  <c r="W366" i="4"/>
  <c r="AP366" i="4"/>
  <c r="AO366" i="4" s="1"/>
  <c r="BH288" i="4"/>
  <c r="BH21" i="4"/>
  <c r="BH269" i="4"/>
  <c r="BH112" i="4"/>
  <c r="BH29" i="4"/>
  <c r="BH186" i="4"/>
  <c r="AS429" i="4"/>
  <c r="AY429" i="4" s="1"/>
  <c r="Q429" i="4"/>
  <c r="BH75" i="4"/>
  <c r="AS190" i="4"/>
  <c r="AY190" i="4" s="1"/>
  <c r="Q190" i="4"/>
  <c r="BH92" i="4"/>
  <c r="Q154" i="4"/>
  <c r="AS154" i="4"/>
  <c r="AR119" i="4"/>
  <c r="Q420" i="4"/>
  <c r="AS132" i="4"/>
  <c r="BF132" i="4" s="1"/>
  <c r="Q132" i="4"/>
  <c r="AS26" i="4"/>
  <c r="BC26" i="4" s="1"/>
  <c r="BH359" i="4"/>
  <c r="BH68" i="4"/>
  <c r="AR482" i="4"/>
  <c r="BF415" i="4"/>
  <c r="AY415" i="4"/>
  <c r="BH418" i="4"/>
  <c r="AR62" i="4"/>
  <c r="BH178" i="4"/>
  <c r="BH263" i="4"/>
  <c r="L409" i="5"/>
  <c r="M409" i="5" s="1"/>
  <c r="I409" i="5"/>
  <c r="H409" i="5" s="1"/>
  <c r="BH49" i="4"/>
  <c r="AR318" i="4"/>
  <c r="BH53" i="4"/>
  <c r="Q77" i="4"/>
  <c r="AS77" i="4"/>
  <c r="BH67" i="4"/>
  <c r="BH381" i="4"/>
  <c r="BH14" i="4"/>
  <c r="BH279" i="4"/>
  <c r="BH132" i="4"/>
  <c r="BH404" i="4"/>
  <c r="AS109" i="4"/>
  <c r="BH150" i="4"/>
  <c r="BC55" i="4"/>
  <c r="BH105" i="4"/>
  <c r="BF454" i="4"/>
  <c r="AS49" i="4"/>
  <c r="AY49" i="4" s="1"/>
  <c r="Q49" i="4"/>
  <c r="BF197" i="4"/>
  <c r="AR428" i="4"/>
  <c r="AS14" i="4"/>
  <c r="BF14" i="4" s="1"/>
  <c r="Q14" i="4"/>
  <c r="AS370" i="4"/>
  <c r="BC370" i="4" s="1"/>
  <c r="Q370" i="4"/>
  <c r="AY164" i="4"/>
  <c r="Q227" i="4"/>
  <c r="AS227" i="4"/>
  <c r="Q389" i="4"/>
  <c r="AS389" i="4"/>
  <c r="AY389" i="4" s="1"/>
  <c r="BH332" i="4"/>
  <c r="AS327" i="4"/>
  <c r="AY327" i="4" s="1"/>
  <c r="Q327" i="4"/>
  <c r="BH363" i="4"/>
  <c r="AS260" i="4"/>
  <c r="Q260" i="4"/>
  <c r="Q281" i="4"/>
  <c r="AS281" i="4"/>
  <c r="BC281" i="4" s="1"/>
  <c r="BC188" i="4"/>
  <c r="AY469" i="4"/>
  <c r="AR213" i="4"/>
  <c r="AS113" i="4"/>
  <c r="BC113" i="4" s="1"/>
  <c r="BH197" i="4"/>
  <c r="BH257" i="4"/>
  <c r="BH152" i="4"/>
  <c r="Q286" i="4"/>
  <c r="AS286" i="4"/>
  <c r="BH159" i="4"/>
  <c r="BG406" i="4"/>
  <c r="W406" i="4"/>
  <c r="G403" i="5"/>
  <c r="AP406" i="4"/>
  <c r="AO406" i="4" s="1"/>
  <c r="L393" i="5"/>
  <c r="M393" i="5" s="1"/>
  <c r="I393" i="5"/>
  <c r="H393" i="5" s="1"/>
  <c r="AR471" i="4"/>
  <c r="AR283" i="4"/>
  <c r="AY283" i="4"/>
  <c r="BF271" i="4"/>
  <c r="AS120" i="4"/>
  <c r="BC120" i="4" s="1"/>
  <c r="Q120" i="4"/>
  <c r="BH69" i="4"/>
  <c r="BH20" i="4"/>
  <c r="AR264" i="4"/>
  <c r="W407" i="4"/>
  <c r="G404" i="5"/>
  <c r="BG407" i="4"/>
  <c r="AP407" i="4"/>
  <c r="AO407" i="4" s="1"/>
  <c r="BH137" i="4"/>
  <c r="BH146" i="4"/>
  <c r="Q343" i="4"/>
  <c r="AS343" i="4"/>
  <c r="BC131" i="4"/>
  <c r="BH337" i="4"/>
  <c r="BH272" i="4"/>
  <c r="AS178" i="4"/>
  <c r="BC178" i="4" s="1"/>
  <c r="Q178" i="4"/>
  <c r="AS478" i="4"/>
  <c r="AY478" i="4" s="1"/>
  <c r="Q478" i="4"/>
  <c r="AS142" i="4"/>
  <c r="BC142" i="4" s="1"/>
  <c r="Q142" i="4"/>
  <c r="AS307" i="4"/>
  <c r="Q307" i="4"/>
  <c r="BH315" i="4"/>
  <c r="BH415" i="4"/>
  <c r="BF416" i="4"/>
  <c r="BH291" i="4"/>
  <c r="BF223" i="4"/>
  <c r="BH97" i="4"/>
  <c r="AS64" i="4"/>
  <c r="BF64" i="4" s="1"/>
  <c r="BH293" i="4"/>
  <c r="BH255" i="4"/>
  <c r="AS52" i="4"/>
  <c r="BC52" i="4" s="1"/>
  <c r="Q52" i="4"/>
  <c r="AS468" i="4"/>
  <c r="BF468" i="4" s="1"/>
  <c r="Q468" i="4"/>
  <c r="AR58" i="4"/>
  <c r="AS29" i="4"/>
  <c r="AY29" i="4" s="1"/>
  <c r="W458" i="4"/>
  <c r="G455" i="5"/>
  <c r="AP458" i="4"/>
  <c r="BH64" i="4"/>
  <c r="AS127" i="4"/>
  <c r="AY127" i="4" s="1"/>
  <c r="Q127" i="4"/>
  <c r="AS80" i="4"/>
  <c r="AY80" i="4" s="1"/>
  <c r="Q80" i="4"/>
  <c r="Q377" i="4"/>
  <c r="BH51" i="4"/>
  <c r="BF141" i="4"/>
  <c r="L106" i="5"/>
  <c r="M106" i="5" s="1"/>
  <c r="I106" i="5"/>
  <c r="H106" i="5" s="1"/>
  <c r="AS162" i="4"/>
  <c r="BC162" i="4" s="1"/>
  <c r="BH121" i="4"/>
  <c r="AY364" i="4"/>
  <c r="BH237" i="4"/>
  <c r="BH284" i="4"/>
  <c r="AS171" i="4"/>
  <c r="Q171" i="4"/>
  <c r="BH261" i="4"/>
  <c r="Q255" i="4"/>
  <c r="AS255" i="4"/>
  <c r="BC255" i="4" s="1"/>
  <c r="BF166" i="4"/>
  <c r="AS311" i="4"/>
  <c r="Q311" i="4"/>
  <c r="BH342" i="4"/>
  <c r="AY222" i="4"/>
  <c r="Q385" i="4"/>
  <c r="AR84" i="4"/>
  <c r="AS348" i="4"/>
  <c r="AY348" i="4" s="1"/>
  <c r="Q348" i="4"/>
  <c r="BH383" i="4"/>
  <c r="W408" i="4"/>
  <c r="G405" i="5"/>
  <c r="BG408" i="4"/>
  <c r="AP408" i="4"/>
  <c r="AO408" i="4" s="1"/>
  <c r="BH182" i="4"/>
  <c r="AS43" i="4"/>
  <c r="AY43" i="4" s="1"/>
  <c r="Q43" i="4"/>
  <c r="Q203" i="4"/>
  <c r="AS203" i="4"/>
  <c r="BF203" i="4" s="1"/>
  <c r="BF376" i="4"/>
  <c r="BF243" i="4"/>
  <c r="BC491" i="4"/>
  <c r="AS106" i="4"/>
  <c r="BF106" i="4" s="1"/>
  <c r="Q401" i="4"/>
  <c r="AS386" i="4"/>
  <c r="BC386" i="4" s="1"/>
  <c r="BH135" i="4"/>
  <c r="AS88" i="4"/>
  <c r="Q88" i="4"/>
  <c r="AC493" i="6"/>
  <c r="AC7" i="6"/>
  <c r="O2" i="6" s="1"/>
  <c r="Q349" i="4"/>
  <c r="AS258" i="4"/>
  <c r="AY258" i="4" s="1"/>
  <c r="BC143" i="4"/>
  <c r="AS261" i="4"/>
  <c r="BC261" i="4" s="1"/>
  <c r="AR476" i="4"/>
  <c r="AR339" i="4"/>
  <c r="AY339" i="4"/>
  <c r="AS250" i="4"/>
  <c r="BF250" i="4" s="1"/>
  <c r="BF234" i="4"/>
  <c r="AY234" i="4"/>
  <c r="AS322" i="4"/>
  <c r="Q322" i="4"/>
  <c r="Q411" i="4"/>
  <c r="Q275" i="4"/>
  <c r="AS275" i="4"/>
  <c r="AY275" i="4" s="1"/>
  <c r="AR228" i="4"/>
  <c r="AY155" i="4"/>
  <c r="AS409" i="4"/>
  <c r="AY409" i="4" s="1"/>
  <c r="BH374" i="4"/>
  <c r="Q459" i="4"/>
  <c r="BC177" i="4"/>
  <c r="AR42" i="4"/>
  <c r="AS251" i="4"/>
  <c r="AY251" i="4" s="1"/>
  <c r="Q251" i="4"/>
  <c r="AS492" i="4"/>
  <c r="AY492" i="4" s="1"/>
  <c r="L344" i="5"/>
  <c r="M344" i="5" s="1"/>
  <c r="I344" i="5"/>
  <c r="H344" i="5" s="1"/>
  <c r="BC17" i="4"/>
  <c r="W465" i="4"/>
  <c r="G462" i="5"/>
  <c r="AP465" i="4"/>
  <c r="AO465" i="4" s="1"/>
  <c r="Q337" i="4"/>
  <c r="AS337" i="4"/>
  <c r="BC337" i="4" s="1"/>
  <c r="AR265" i="4"/>
  <c r="W16" i="4"/>
  <c r="G13" i="5"/>
  <c r="BG16" i="4"/>
  <c r="AP16" i="4"/>
  <c r="AO16" i="4" s="1"/>
  <c r="Q380" i="4"/>
  <c r="Q395" i="4"/>
  <c r="AR439" i="4"/>
  <c r="AS244" i="4"/>
  <c r="BF244" i="4" s="1"/>
  <c r="AY437" i="4"/>
  <c r="BF437" i="4"/>
  <c r="AS323" i="4"/>
  <c r="AS201" i="4"/>
  <c r="Q393" i="4"/>
  <c r="Q405" i="4"/>
  <c r="AR448" i="4"/>
  <c r="BC220" i="4"/>
  <c r="Q149" i="4"/>
  <c r="AS149" i="4"/>
  <c r="AR394" i="4"/>
  <c r="Q449" i="4"/>
  <c r="AS449" i="4"/>
  <c r="Q292" i="4"/>
  <c r="AS292" i="4"/>
  <c r="BF292" i="4" s="1"/>
  <c r="AS157" i="4"/>
  <c r="BC157" i="4" s="1"/>
  <c r="Q157" i="4"/>
  <c r="AS334" i="4"/>
  <c r="Q334" i="4"/>
  <c r="AS51" i="4"/>
  <c r="BF51" i="4" s="1"/>
  <c r="Q51" i="4"/>
  <c r="AS61" i="4"/>
  <c r="BF61" i="4" s="1"/>
  <c r="Q61" i="4"/>
  <c r="AS293" i="4"/>
  <c r="AY293" i="4" s="1"/>
  <c r="AS13" i="4"/>
  <c r="BF13" i="4" s="1"/>
  <c r="Q233" i="4"/>
  <c r="AS233" i="4"/>
  <c r="BC233" i="4" s="1"/>
  <c r="BC372" i="4"/>
  <c r="W430" i="4"/>
  <c r="G427" i="5"/>
  <c r="AP430" i="4"/>
  <c r="AO430" i="4" s="1"/>
  <c r="AR116" i="4"/>
  <c r="I55" i="5"/>
  <c r="H55" i="5" s="1"/>
  <c r="L55" i="5"/>
  <c r="M55" i="5" s="1"/>
  <c r="Q460" i="4"/>
  <c r="AS460" i="4"/>
  <c r="AS378" i="4"/>
  <c r="AS216" i="4"/>
  <c r="BF216" i="4" s="1"/>
  <c r="AR470" i="4"/>
  <c r="L361" i="5"/>
  <c r="M361" i="5" s="1"/>
  <c r="I361" i="5"/>
  <c r="H361" i="5" s="1"/>
  <c r="I7" i="4"/>
  <c r="AS373" i="4"/>
  <c r="BF373" i="4" s="1"/>
  <c r="BH353" i="4"/>
  <c r="Q32" i="4"/>
  <c r="L478" i="5"/>
  <c r="M478" i="5" s="1"/>
  <c r="I478" i="5"/>
  <c r="H478" i="5" s="1"/>
  <c r="BH131" i="4"/>
  <c r="BH47" i="4"/>
  <c r="BH248" i="4"/>
  <c r="W91" i="4"/>
  <c r="BG91" i="4"/>
  <c r="G88" i="5"/>
  <c r="AP91" i="4"/>
  <c r="AO91" i="4" s="1"/>
  <c r="BH367" i="4"/>
  <c r="Q196" i="4"/>
  <c r="AS196" i="4"/>
  <c r="BF196" i="4" s="1"/>
  <c r="Q75" i="4"/>
  <c r="AS75" i="4"/>
  <c r="Q140" i="4"/>
  <c r="AS140" i="4"/>
  <c r="AY140" i="4" s="1"/>
  <c r="AS225" i="4"/>
  <c r="Q225" i="4"/>
  <c r="Q455" i="4"/>
  <c r="AS455" i="4"/>
  <c r="BH188" i="4"/>
  <c r="BH101" i="4"/>
  <c r="BH60" i="4"/>
  <c r="BH397" i="4"/>
  <c r="BH227" i="4"/>
  <c r="BH295" i="4"/>
  <c r="Q276" i="4"/>
  <c r="AS276" i="4"/>
  <c r="Q24" i="4"/>
  <c r="AS24" i="4"/>
  <c r="BC24" i="4" s="1"/>
  <c r="AY194" i="4"/>
  <c r="BH283" i="4"/>
  <c r="Q445" i="4"/>
  <c r="AS445" i="4"/>
  <c r="BC445" i="4" s="1"/>
  <c r="W391" i="4"/>
  <c r="BG391" i="4"/>
  <c r="G388" i="5"/>
  <c r="AP391" i="4"/>
  <c r="AO391" i="4" s="1"/>
  <c r="W426" i="4"/>
  <c r="BG426" i="4"/>
  <c r="G423" i="5"/>
  <c r="AP426" i="4"/>
  <c r="AO426" i="4" s="1"/>
  <c r="BH194" i="4"/>
  <c r="Q208" i="4"/>
  <c r="AS208" i="4"/>
  <c r="BF208" i="4" s="1"/>
  <c r="AS365" i="4"/>
  <c r="BC365" i="4" s="1"/>
  <c r="BF462" i="4"/>
  <c r="AS218" i="4"/>
  <c r="BC218" i="4" s="1"/>
  <c r="Q218" i="4"/>
  <c r="Q273" i="4"/>
  <c r="AS273" i="4"/>
  <c r="AY273" i="4" s="1"/>
  <c r="BH128" i="4"/>
  <c r="BH235" i="4"/>
  <c r="BH136" i="4"/>
  <c r="BH23" i="4"/>
  <c r="BH348" i="4"/>
  <c r="BH57" i="4"/>
  <c r="BF280" i="4"/>
  <c r="AS160" i="4"/>
  <c r="AY160" i="4" s="1"/>
  <c r="Q160" i="4"/>
  <c r="Q436" i="4"/>
  <c r="BC438" i="4"/>
  <c r="AS375" i="4"/>
  <c r="BC375" i="4" s="1"/>
  <c r="Q375" i="4"/>
  <c r="AY319" i="4"/>
  <c r="AS336" i="4"/>
  <c r="BC336" i="4" s="1"/>
  <c r="BH35" i="4"/>
  <c r="Q356" i="4"/>
  <c r="AS356" i="4"/>
  <c r="BH99" i="4"/>
  <c r="BH104" i="4"/>
  <c r="BH399" i="4"/>
  <c r="BH79" i="4"/>
  <c r="L415" i="5"/>
  <c r="M415" i="5" s="1"/>
  <c r="I415" i="5"/>
  <c r="AR384" i="4"/>
  <c r="AS486" i="4"/>
  <c r="BC486" i="4" s="1"/>
  <c r="Q486" i="4"/>
  <c r="Q104" i="4"/>
  <c r="AS104" i="4"/>
  <c r="BC104" i="4" s="1"/>
  <c r="AS95" i="4"/>
  <c r="Q95" i="4"/>
  <c r="Q301" i="4"/>
  <c r="AS301" i="4"/>
  <c r="AR55" i="4"/>
  <c r="AR454" i="4"/>
  <c r="AR197" i="4"/>
  <c r="Q249" i="4"/>
  <c r="AS249" i="4"/>
  <c r="W413" i="4"/>
  <c r="BG413" i="4"/>
  <c r="G410" i="5"/>
  <c r="AP413" i="4"/>
  <c r="AO413" i="4" s="1"/>
  <c r="AR15" i="4"/>
  <c r="AR469" i="4"/>
  <c r="AR302" i="4"/>
  <c r="BC415" i="4"/>
  <c r="BC384" i="4"/>
  <c r="BF384" i="4"/>
  <c r="AS446" i="4"/>
  <c r="BC446" i="4" s="1"/>
  <c r="Q446" i="4"/>
  <c r="AS240" i="4"/>
  <c r="BC240" i="4" s="1"/>
  <c r="Q240" i="4"/>
  <c r="AS351" i="4"/>
  <c r="BF368" i="4"/>
  <c r="AS212" i="4"/>
  <c r="AY212" i="4" s="1"/>
  <c r="Q212" i="4"/>
  <c r="BH402" i="4"/>
  <c r="L375" i="5"/>
  <c r="M375" i="5" s="1"/>
  <c r="I375" i="5"/>
  <c r="H375" i="5" s="1"/>
  <c r="BH329" i="4"/>
  <c r="BC454" i="4"/>
  <c r="Q490" i="4"/>
  <c r="AY197" i="4"/>
  <c r="BF204" i="4"/>
  <c r="AR328" i="4"/>
  <c r="L186" i="5"/>
  <c r="M186" i="5" s="1"/>
  <c r="I186" i="5"/>
  <c r="H186" i="5" s="1"/>
  <c r="AS466" i="4"/>
  <c r="BC466" i="4" s="1"/>
  <c r="Q466" i="4"/>
  <c r="BH107" i="4"/>
  <c r="BH307" i="4"/>
  <c r="Q324" i="4"/>
  <c r="AS324" i="4"/>
  <c r="BC324" i="4" s="1"/>
  <c r="Q413" i="4"/>
  <c r="AS40" i="4"/>
  <c r="AY40" i="4" s="1"/>
  <c r="Q40" i="4"/>
  <c r="BH167" i="4"/>
  <c r="BH193" i="4"/>
  <c r="BC15" i="4"/>
  <c r="L429" i="5"/>
  <c r="M429" i="5" s="1"/>
  <c r="I429" i="5"/>
  <c r="H429" i="5" s="1"/>
  <c r="I488" i="5"/>
  <c r="H488" i="5" s="1"/>
  <c r="L488" i="5"/>
  <c r="M488" i="5" s="1"/>
  <c r="BF188" i="4"/>
  <c r="AY188" i="4"/>
  <c r="Q18" i="4"/>
  <c r="AR484" i="4"/>
  <c r="G432" i="5"/>
  <c r="W435" i="4"/>
  <c r="AP435" i="4"/>
  <c r="AO435" i="4" s="1"/>
  <c r="BC469" i="4"/>
  <c r="BH65" i="4"/>
  <c r="BH37" i="4"/>
  <c r="BH173" i="4"/>
  <c r="AS474" i="4"/>
  <c r="Q457" i="4"/>
  <c r="AS457" i="4"/>
  <c r="BF457" i="4" s="1"/>
  <c r="Q366" i="4"/>
  <c r="AR102" i="4"/>
  <c r="BH179" i="4"/>
  <c r="Q444" i="4"/>
  <c r="AS444" i="4"/>
  <c r="BF444" i="4" s="1"/>
  <c r="Q108" i="4"/>
  <c r="AS108" i="4"/>
  <c r="AY108" i="4" s="1"/>
  <c r="BH245" i="4"/>
  <c r="BH218" i="4"/>
  <c r="BH273" i="4"/>
  <c r="AS477" i="4"/>
  <c r="BC477" i="4" s="1"/>
  <c r="Q477" i="4"/>
  <c r="Q406" i="4"/>
  <c r="AS73" i="4"/>
  <c r="BH238" i="4"/>
  <c r="BH176" i="4"/>
  <c r="BH396" i="4"/>
  <c r="AR485" i="4"/>
  <c r="BH324" i="4"/>
  <c r="AR316" i="4"/>
  <c r="BC471" i="4"/>
  <c r="BF283" i="4"/>
  <c r="AR433" i="4"/>
  <c r="BH258" i="4"/>
  <c r="AY271" i="4"/>
  <c r="AY264" i="4"/>
  <c r="AR98" i="4"/>
  <c r="BF119" i="4"/>
  <c r="BH66" i="4"/>
  <c r="BH357" i="4"/>
  <c r="BH289" i="4"/>
  <c r="I67" i="5"/>
  <c r="H67" i="5" s="1"/>
  <c r="Q312" i="4"/>
  <c r="AS312" i="4"/>
  <c r="AY312" i="4" s="1"/>
  <c r="AR344" i="4"/>
  <c r="BH256" i="4"/>
  <c r="BC416" i="4"/>
  <c r="BH386" i="4"/>
  <c r="BH202" i="4"/>
  <c r="W422" i="4"/>
  <c r="BG422" i="4"/>
  <c r="G419" i="5"/>
  <c r="AP422" i="4"/>
  <c r="AO422" i="4" s="1"/>
  <c r="Q472" i="4"/>
  <c r="AS472" i="4"/>
  <c r="BF472" i="4" s="1"/>
  <c r="AR452" i="4"/>
  <c r="AY452" i="4"/>
  <c r="AS259" i="4"/>
  <c r="BF259" i="4" s="1"/>
  <c r="Q259" i="4"/>
  <c r="AS412" i="4"/>
  <c r="Q136" i="4"/>
  <c r="AS136" i="4"/>
  <c r="AY136" i="4" s="1"/>
  <c r="AS357" i="4"/>
  <c r="AS124" i="4"/>
  <c r="BC124" i="4" s="1"/>
  <c r="Q124" i="4"/>
  <c r="BF58" i="4"/>
  <c r="BH149" i="4"/>
  <c r="AR169" i="4"/>
  <c r="Q431" i="4"/>
  <c r="BH276" i="4"/>
  <c r="AS237" i="4"/>
  <c r="AY141" i="4"/>
  <c r="BH171" i="4"/>
  <c r="AY461" i="4"/>
  <c r="BC461" i="4"/>
  <c r="BC94" i="4"/>
  <c r="BH212" i="4"/>
  <c r="Q101" i="4"/>
  <c r="AS101" i="4"/>
  <c r="AY101" i="4" s="1"/>
  <c r="AY347" i="4"/>
  <c r="AS387" i="4"/>
  <c r="BF387" i="4" s="1"/>
  <c r="Q387" i="4"/>
  <c r="AR464" i="4"/>
  <c r="AY166" i="4"/>
  <c r="BH181" i="4"/>
  <c r="BF170" i="4"/>
  <c r="AR481" i="4"/>
  <c r="AS92" i="4"/>
  <c r="AR467" i="4"/>
  <c r="BF467" i="4"/>
  <c r="AY84" i="4"/>
  <c r="AS224" i="4"/>
  <c r="BC224" i="4" s="1"/>
  <c r="Q224" i="4"/>
  <c r="AS359" i="4"/>
  <c r="AY359" i="4" s="1"/>
  <c r="Q359" i="4"/>
  <c r="BC215" i="4"/>
  <c r="AY215" i="4"/>
  <c r="BH80" i="4"/>
  <c r="AS475" i="4"/>
  <c r="AY475" i="4" s="1"/>
  <c r="Q475" i="4"/>
  <c r="Q408" i="4"/>
  <c r="AS257" i="4"/>
  <c r="Q257" i="4"/>
  <c r="BC243" i="4"/>
  <c r="BH161" i="4"/>
  <c r="BH403" i="4"/>
  <c r="BF491" i="4"/>
  <c r="AS68" i="4"/>
  <c r="BF68" i="4" s="1"/>
  <c r="Q68" i="4"/>
  <c r="BH87" i="4"/>
  <c r="AY86" i="4"/>
  <c r="W401" i="4"/>
  <c r="BG401" i="4"/>
  <c r="G398" i="5"/>
  <c r="AP401" i="4"/>
  <c r="AO401" i="4" s="1"/>
  <c r="AR23" i="4"/>
  <c r="AY87" i="4"/>
  <c r="I471" i="5"/>
  <c r="H471" i="5" s="1"/>
  <c r="L471" i="5"/>
  <c r="M471" i="5" s="1"/>
  <c r="BH382" i="4"/>
  <c r="Q398" i="4"/>
  <c r="Q333" i="4"/>
  <c r="AS333" i="4"/>
  <c r="BH74" i="4"/>
  <c r="BH322" i="4"/>
  <c r="BH139" i="4"/>
  <c r="BF143" i="4"/>
  <c r="AS262" i="4"/>
  <c r="BC262" i="4" s="1"/>
  <c r="BC476" i="4"/>
  <c r="AS304" i="4"/>
  <c r="AS129" i="4"/>
  <c r="BF129" i="4" s="1"/>
  <c r="BH48" i="4"/>
  <c r="AS443" i="4"/>
  <c r="Q443" i="4"/>
  <c r="BH320" i="4"/>
  <c r="Q417" i="4"/>
  <c r="AS417" i="4"/>
  <c r="BF417" i="4" s="1"/>
  <c r="BH333" i="4"/>
  <c r="AS418" i="4"/>
  <c r="BC418" i="4" s="1"/>
  <c r="BH82" i="4"/>
  <c r="BH33" i="4"/>
  <c r="G416" i="5"/>
  <c r="W419" i="4"/>
  <c r="BG419" i="4"/>
  <c r="AP419" i="4"/>
  <c r="AO419" i="4" s="1"/>
  <c r="AR345" i="4"/>
  <c r="AY314" i="4"/>
  <c r="BC314" i="4"/>
  <c r="BC425" i="4"/>
  <c r="AY425" i="4"/>
  <c r="AY228" i="4"/>
  <c r="BC155" i="4"/>
  <c r="BF155" i="4"/>
  <c r="BH24" i="4"/>
  <c r="BC83" i="4"/>
  <c r="BH271" i="4"/>
  <c r="BH191" i="4"/>
  <c r="AS187" i="4"/>
  <c r="BF187" i="4" s="1"/>
  <c r="Q187" i="4"/>
  <c r="BH205" i="4"/>
  <c r="AY42" i="4"/>
  <c r="AS168" i="4"/>
  <c r="BC168" i="4" s="1"/>
  <c r="Q168" i="4"/>
  <c r="AS137" i="4"/>
  <c r="AY137" i="4" s="1"/>
  <c r="Q137" i="4"/>
  <c r="BH25" i="4"/>
  <c r="BH142" i="4"/>
  <c r="BF447" i="4"/>
  <c r="BF17" i="4"/>
  <c r="AS404" i="4"/>
  <c r="AY404" i="4" s="1"/>
  <c r="Q404" i="4"/>
  <c r="BH77" i="4"/>
  <c r="BH344" i="4"/>
  <c r="Q379" i="4"/>
  <c r="BH243" i="4"/>
  <c r="BH158" i="4"/>
  <c r="BH52" i="4"/>
  <c r="BH190" i="4"/>
  <c r="BH224" i="4"/>
  <c r="AR397" i="4"/>
  <c r="BF439" i="4"/>
  <c r="AS53" i="4"/>
  <c r="AY53" i="4" s="1"/>
  <c r="BH115" i="4"/>
  <c r="AS247" i="4"/>
  <c r="AE12" i="6"/>
  <c r="BH206" i="4"/>
  <c r="Q303" i="4"/>
  <c r="AS303" i="4"/>
  <c r="BF303" i="4" s="1"/>
  <c r="BH63" i="4"/>
  <c r="AS112" i="4"/>
  <c r="AY112" i="4" s="1"/>
  <c r="Q112" i="4"/>
  <c r="BG393" i="4"/>
  <c r="W393" i="4"/>
  <c r="AP393" i="4"/>
  <c r="AO393" i="4" s="1"/>
  <c r="G390" i="5"/>
  <c r="AS282" i="4"/>
  <c r="Q282" i="4"/>
  <c r="BH327" i="4"/>
  <c r="BH253" i="4"/>
  <c r="BH111" i="4"/>
  <c r="BH228" i="4"/>
  <c r="BH156" i="4"/>
  <c r="AY82" i="4"/>
  <c r="BC448" i="4"/>
  <c r="AS396" i="4"/>
  <c r="BF220" i="4"/>
  <c r="AS184" i="4"/>
  <c r="BF184" i="4" s="1"/>
  <c r="BH200" i="4"/>
  <c r="AY263" i="4"/>
  <c r="AS248" i="4"/>
  <c r="AY248" i="4" s="1"/>
  <c r="Q248" i="4"/>
  <c r="L333" i="5"/>
  <c r="M333" i="5" s="1"/>
  <c r="I333" i="5"/>
  <c r="H333" i="5" s="1"/>
  <c r="BH233" i="4"/>
  <c r="AS25" i="4"/>
  <c r="Q25" i="4"/>
  <c r="W427" i="4"/>
  <c r="G424" i="5"/>
  <c r="AP427" i="4"/>
  <c r="AO427" i="4" s="1"/>
  <c r="BH317" i="4"/>
  <c r="AY146" i="4"/>
  <c r="BH316" i="4"/>
  <c r="AS30" i="4"/>
  <c r="BF30" i="4" s="1"/>
  <c r="Q30" i="4"/>
  <c r="AS421" i="4"/>
  <c r="AY421" i="4" s="1"/>
  <c r="AS159" i="4"/>
  <c r="BH260" i="4"/>
  <c r="BH19" i="4"/>
  <c r="AS185" i="4"/>
  <c r="BF185" i="4" s="1"/>
  <c r="Q185" i="4"/>
  <c r="Q284" i="4"/>
  <c r="AS284" i="4"/>
  <c r="BC284" i="4" s="1"/>
  <c r="AS202" i="4"/>
  <c r="AY202" i="4" s="1"/>
  <c r="Q202" i="4"/>
  <c r="Q450" i="4"/>
  <c r="AS450" i="4"/>
  <c r="BC450" i="4" s="1"/>
  <c r="BF66" i="4"/>
  <c r="G9" i="5"/>
  <c r="X7" i="4"/>
  <c r="G15" i="22" s="1"/>
  <c r="BG12" i="4"/>
  <c r="Q463" i="4"/>
  <c r="AS414" i="4"/>
  <c r="W441" i="4"/>
  <c r="G438" i="5"/>
  <c r="AP441" i="4"/>
  <c r="AO441" i="4" s="1"/>
  <c r="Q114" i="4"/>
  <c r="AS114" i="4"/>
  <c r="BC114" i="4" s="1"/>
  <c r="L364" i="5"/>
  <c r="M364" i="5" s="1"/>
  <c r="I364" i="5"/>
  <c r="H364" i="5" s="1"/>
  <c r="AR79" i="4"/>
  <c r="BC79" i="4"/>
  <c r="AS200" i="4"/>
  <c r="BC200" i="4" s="1"/>
  <c r="Q176" i="4"/>
  <c r="AS176" i="4"/>
  <c r="BF176" i="4" s="1"/>
  <c r="AS382" i="4"/>
  <c r="AY382" i="4" s="1"/>
  <c r="Q175" i="4"/>
  <c r="AS175" i="4"/>
  <c r="BC175" i="4" s="1"/>
  <c r="Q107" i="4"/>
  <c r="AS107" i="4"/>
  <c r="BC107" i="4" s="1"/>
  <c r="AS74" i="4"/>
  <c r="AS294" i="4"/>
  <c r="AS299" i="4"/>
  <c r="AS338" i="4"/>
  <c r="BC338" i="4" s="1"/>
  <c r="AS181" i="4"/>
  <c r="BF181" i="4" s="1"/>
  <c r="L391" i="5"/>
  <c r="M391" i="5" s="1"/>
  <c r="I391" i="5"/>
  <c r="H391" i="5" s="1"/>
  <c r="AS100" i="4"/>
  <c r="BC100" i="4" s="1"/>
  <c r="Q100" i="4"/>
  <c r="AS76" i="4"/>
  <c r="AY76" i="4" s="1"/>
  <c r="Q31" i="4"/>
  <c r="AS31" i="4"/>
  <c r="BF31" i="4" s="1"/>
  <c r="AS253" i="4"/>
  <c r="AY253" i="4" s="1"/>
  <c r="Q253" i="4"/>
  <c r="Q350" i="4"/>
  <c r="AS350" i="4"/>
  <c r="BF350" i="4" s="1"/>
  <c r="BC280" i="4"/>
  <c r="G407" i="5"/>
  <c r="W410" i="4"/>
  <c r="BG410" i="4"/>
  <c r="AP410" i="4"/>
  <c r="AO410" i="4" s="1"/>
  <c r="Q241" i="4"/>
  <c r="AS241" i="4"/>
  <c r="BC241" i="4" s="1"/>
  <c r="BH117" i="4"/>
  <c r="BH130" i="4"/>
  <c r="BF438" i="4"/>
  <c r="Q47" i="4"/>
  <c r="AS47" i="4"/>
  <c r="AY47" i="4" s="1"/>
  <c r="BH268" i="4"/>
  <c r="Q254" i="4"/>
  <c r="AS254" i="4"/>
  <c r="BC254" i="4" s="1"/>
  <c r="BC319" i="4"/>
  <c r="Q331" i="4"/>
  <c r="AS331" i="4"/>
  <c r="BC331" i="4" s="1"/>
  <c r="Q71" i="4"/>
  <c r="AS71" i="4"/>
  <c r="BC71" i="4" s="1"/>
  <c r="AS279" i="4"/>
  <c r="BF279" i="4" s="1"/>
  <c r="Q279" i="4"/>
  <c r="Q210" i="4"/>
  <c r="AS210" i="4"/>
  <c r="BF210" i="4" s="1"/>
  <c r="Q37" i="4"/>
  <c r="AS37" i="4"/>
  <c r="BF37" i="4" s="1"/>
  <c r="AR491" i="4" l="1"/>
  <c r="AY376" i="4"/>
  <c r="BC376" i="4"/>
  <c r="BF148" i="4"/>
  <c r="AS395" i="4"/>
  <c r="BC395" i="4" s="1"/>
  <c r="BF339" i="4"/>
  <c r="AY19" i="4"/>
  <c r="AR60" i="4"/>
  <c r="AY245" i="4"/>
  <c r="AR194" i="4"/>
  <c r="AY105" i="4"/>
  <c r="AS490" i="4"/>
  <c r="BC490" i="4" s="1"/>
  <c r="AY177" i="4"/>
  <c r="AY63" i="4"/>
  <c r="BC223" i="4"/>
  <c r="BC164" i="4"/>
  <c r="AY220" i="4"/>
  <c r="BF85" i="4"/>
  <c r="BF94" i="4"/>
  <c r="AY223" i="4"/>
  <c r="AY15" i="4"/>
  <c r="BC368" i="4"/>
  <c r="AR131" i="4"/>
  <c r="AW131" i="4" s="1"/>
  <c r="BC119" i="4"/>
  <c r="AR164" i="4"/>
  <c r="AW164" i="4" s="1"/>
  <c r="BF461" i="4"/>
  <c r="AY169" i="4"/>
  <c r="BF347" i="4"/>
  <c r="AY368" i="4"/>
  <c r="BC271" i="4"/>
  <c r="BC169" i="4"/>
  <c r="BF63" i="4"/>
  <c r="AR209" i="4"/>
  <c r="AU209" i="4" s="1"/>
  <c r="BC85" i="4"/>
  <c r="AR473" i="4"/>
  <c r="AU473" i="4" s="1"/>
  <c r="BF217" i="4"/>
  <c r="BF320" i="4"/>
  <c r="AS459" i="4"/>
  <c r="AY459" i="4" s="1"/>
  <c r="AS411" i="4"/>
  <c r="BF411" i="4" s="1"/>
  <c r="BC217" i="4"/>
  <c r="AY267" i="4"/>
  <c r="BF146" i="4"/>
  <c r="BF87" i="4"/>
  <c r="BC36" i="4"/>
  <c r="BC383" i="4"/>
  <c r="BC59" i="4"/>
  <c r="BF221" i="4"/>
  <c r="BC125" i="4"/>
  <c r="AR383" i="4"/>
  <c r="AU383" i="4" s="1"/>
  <c r="BF36" i="4"/>
  <c r="BC116" i="4"/>
  <c r="AY252" i="4"/>
  <c r="BF156" i="4"/>
  <c r="AS349" i="4"/>
  <c r="AR349" i="4" s="1"/>
  <c r="BF289" i="4"/>
  <c r="AR268" i="4"/>
  <c r="AW268" i="4" s="1"/>
  <c r="AY372" i="4"/>
  <c r="AR313" i="4"/>
  <c r="AW313" i="4" s="1"/>
  <c r="AR130" i="4"/>
  <c r="AW130" i="4" s="1"/>
  <c r="AY272" i="4"/>
  <c r="BF59" i="4"/>
  <c r="AY289" i="4"/>
  <c r="BC374" i="4"/>
  <c r="AR158" i="4"/>
  <c r="AW158" i="4" s="1"/>
  <c r="AY381" i="4"/>
  <c r="BF272" i="4"/>
  <c r="BF222" i="4"/>
  <c r="AS420" i="4"/>
  <c r="BF420" i="4" s="1"/>
  <c r="BF381" i="4"/>
  <c r="BC87" i="4"/>
  <c r="BF20" i="4"/>
  <c r="AR239" i="4"/>
  <c r="AU239" i="4" s="1"/>
  <c r="BF268" i="4"/>
  <c r="AY221" i="4"/>
  <c r="BF125" i="4"/>
  <c r="BC97" i="4"/>
  <c r="BF267" i="4"/>
  <c r="BF191" i="4"/>
  <c r="BF214" i="4"/>
  <c r="BC156" i="4"/>
  <c r="BC381" i="4"/>
  <c r="BF93" i="4"/>
  <c r="AR156" i="4"/>
  <c r="AU156" i="4" s="1"/>
  <c r="AR326" i="4"/>
  <c r="AW326" i="4" s="1"/>
  <c r="BF105" i="4"/>
  <c r="AY36" i="4"/>
  <c r="BF245" i="4"/>
  <c r="BC105" i="4"/>
  <c r="BF209" i="4"/>
  <c r="AY174" i="4"/>
  <c r="AY93" i="4"/>
  <c r="AR400" i="4"/>
  <c r="AU400" i="4" s="1"/>
  <c r="AR214" i="4"/>
  <c r="AU214" i="4" s="1"/>
  <c r="BC268" i="4"/>
  <c r="AY235" i="4"/>
  <c r="AY199" i="4"/>
  <c r="AR54" i="4"/>
  <c r="AU54" i="4" s="1"/>
  <c r="BF174" i="4"/>
  <c r="AR267" i="4"/>
  <c r="AU267" i="4" s="1"/>
  <c r="AY189" i="4"/>
  <c r="BC19" i="4"/>
  <c r="AR325" i="4"/>
  <c r="AU325" i="4" s="1"/>
  <c r="BC209" i="4"/>
  <c r="AR219" i="4"/>
  <c r="AU219" i="4" s="1"/>
  <c r="AR174" i="4"/>
  <c r="AU174" i="4" s="1"/>
  <c r="BF189" i="4"/>
  <c r="AR231" i="4"/>
  <c r="AU231" i="4" s="1"/>
  <c r="BC326" i="4"/>
  <c r="BC199" i="4"/>
  <c r="BF326" i="4"/>
  <c r="BF199" i="4"/>
  <c r="BF219" i="4"/>
  <c r="AY125" i="4"/>
  <c r="W493" i="4"/>
  <c r="Q493" i="4"/>
  <c r="AP493" i="4"/>
  <c r="BF130" i="4"/>
  <c r="AY130" i="4"/>
  <c r="AS431" i="4"/>
  <c r="BC431" i="4" s="1"/>
  <c r="BC230" i="4"/>
  <c r="BF177" i="4"/>
  <c r="BF318" i="4"/>
  <c r="AS488" i="4"/>
  <c r="BC239" i="4"/>
  <c r="BC252" i="4"/>
  <c r="BC231" i="4"/>
  <c r="BF239" i="4"/>
  <c r="BF231" i="4"/>
  <c r="BF344" i="4"/>
  <c r="AY397" i="4"/>
  <c r="BC62" i="4"/>
  <c r="BC400" i="4"/>
  <c r="AY482" i="4"/>
  <c r="BC23" i="4"/>
  <c r="BF54" i="4"/>
  <c r="BF482" i="4"/>
  <c r="BF23" i="4"/>
  <c r="BC397" i="4"/>
  <c r="BF147" i="4"/>
  <c r="AS463" i="4"/>
  <c r="BF463" i="4" s="1"/>
  <c r="AY147" i="4"/>
  <c r="BC20" i="4"/>
  <c r="AY297" i="4"/>
  <c r="AS379" i="4"/>
  <c r="AY379" i="4" s="1"/>
  <c r="BC297" i="4"/>
  <c r="BC234" i="4"/>
  <c r="AY85" i="4"/>
  <c r="AR289" i="4"/>
  <c r="AW289" i="4" s="1"/>
  <c r="BC111" i="4"/>
  <c r="BC180" i="4"/>
  <c r="BC308" i="4"/>
  <c r="BF21" i="4"/>
  <c r="BF489" i="4"/>
  <c r="AY198" i="4"/>
  <c r="AY308" i="4"/>
  <c r="AY70" i="4"/>
  <c r="AS405" i="4"/>
  <c r="BC405" i="4" s="1"/>
  <c r="BF332" i="4"/>
  <c r="BF111" i="4"/>
  <c r="AS398" i="4"/>
  <c r="AY398" i="4" s="1"/>
  <c r="AY180" i="4"/>
  <c r="BF150" i="4"/>
  <c r="AS436" i="4"/>
  <c r="AY436" i="4" s="1"/>
  <c r="AY150" i="4"/>
  <c r="AR252" i="4"/>
  <c r="AU252" i="4" s="1"/>
  <c r="BH423" i="4"/>
  <c r="BC265" i="4"/>
  <c r="AR170" i="4"/>
  <c r="AU170" i="4" s="1"/>
  <c r="AR364" i="4"/>
  <c r="AW364" i="4" s="1"/>
  <c r="AY55" i="4"/>
  <c r="AY328" i="4"/>
  <c r="AY428" i="4"/>
  <c r="BF313" i="4"/>
  <c r="Z7" i="4"/>
  <c r="AR215" i="4"/>
  <c r="AW215" i="4" s="1"/>
  <c r="AY316" i="4"/>
  <c r="AR191" i="4"/>
  <c r="AU191" i="4" s="1"/>
  <c r="AR235" i="4"/>
  <c r="AW235" i="4" s="1"/>
  <c r="BC214" i="4"/>
  <c r="BF42" i="4"/>
  <c r="AR314" i="4"/>
  <c r="AU314" i="4" s="1"/>
  <c r="AY243" i="4"/>
  <c r="BC166" i="4"/>
  <c r="BC316" i="4"/>
  <c r="BF473" i="4"/>
  <c r="BC54" i="4"/>
  <c r="AR83" i="4"/>
  <c r="AW83" i="4" s="1"/>
  <c r="AR94" i="4"/>
  <c r="AW94" i="4" s="1"/>
  <c r="BC219" i="4"/>
  <c r="BF235" i="4"/>
  <c r="AY473" i="4"/>
  <c r="AY416" i="4"/>
  <c r="AS423" i="4"/>
  <c r="BC428" i="4"/>
  <c r="BF62" i="4"/>
  <c r="AY481" i="4"/>
  <c r="BC310" i="4"/>
  <c r="BF481" i="4"/>
  <c r="AY191" i="4"/>
  <c r="BF158" i="4"/>
  <c r="BC86" i="4"/>
  <c r="BC158" i="4"/>
  <c r="BC102" i="4"/>
  <c r="AR221" i="4"/>
  <c r="AU221" i="4" s="1"/>
  <c r="AY102" i="4"/>
  <c r="AY310" i="4"/>
  <c r="BC313" i="4"/>
  <c r="AY394" i="4"/>
  <c r="BC228" i="4"/>
  <c r="BF230" i="4"/>
  <c r="BF302" i="4"/>
  <c r="L316" i="5"/>
  <c r="M316" i="5" s="1"/>
  <c r="I316" i="5"/>
  <c r="H316" i="5" s="1"/>
  <c r="BC194" i="4"/>
  <c r="AR230" i="4"/>
  <c r="AU230" i="4" s="1"/>
  <c r="AY170" i="4"/>
  <c r="AY60" i="4"/>
  <c r="BF60" i="4"/>
  <c r="AY213" i="4"/>
  <c r="BF213" i="4"/>
  <c r="BC318" i="4"/>
  <c r="BF394" i="4"/>
  <c r="AY131" i="4"/>
  <c r="BC328" i="4"/>
  <c r="AY344" i="4"/>
  <c r="AS408" i="4"/>
  <c r="BC408" i="4" s="1"/>
  <c r="AR222" i="4"/>
  <c r="AW222" i="4" s="1"/>
  <c r="AR347" i="4"/>
  <c r="AW347" i="4" s="1"/>
  <c r="AO367" i="4"/>
  <c r="AS367" i="4"/>
  <c r="BF83" i="4"/>
  <c r="BF265" i="4"/>
  <c r="BF163" i="4"/>
  <c r="BC58" i="4"/>
  <c r="BF345" i="4"/>
  <c r="BC364" i="4"/>
  <c r="BC204" i="4"/>
  <c r="BF242" i="4"/>
  <c r="AY128" i="4"/>
  <c r="BC66" i="4"/>
  <c r="BC192" i="4"/>
  <c r="BF115" i="4"/>
  <c r="BC296" i="4"/>
  <c r="AR93" i="4"/>
  <c r="AW93" i="4" s="1"/>
  <c r="AR59" i="4"/>
  <c r="AW59" i="4" s="1"/>
  <c r="AY98" i="4"/>
  <c r="BF98" i="4"/>
  <c r="AY489" i="4"/>
  <c r="BC245" i="4"/>
  <c r="AR143" i="4"/>
  <c r="AU143" i="4" s="1"/>
  <c r="BF116" i="4"/>
  <c r="BC226" i="4"/>
  <c r="BC273" i="4"/>
  <c r="AY37" i="4"/>
  <c r="BC64" i="4"/>
  <c r="BF212" i="4"/>
  <c r="BC355" i="4"/>
  <c r="AY296" i="4"/>
  <c r="BC345" i="4"/>
  <c r="BC342" i="4"/>
  <c r="BF173" i="4"/>
  <c r="BC37" i="4"/>
  <c r="AY365" i="4"/>
  <c r="AY210" i="4"/>
  <c r="AY52" i="4"/>
  <c r="AY370" i="4"/>
  <c r="BC14" i="4"/>
  <c r="BC206" i="4"/>
  <c r="BF453" i="4"/>
  <c r="BC108" i="4"/>
  <c r="AY14" i="4"/>
  <c r="BC173" i="4"/>
  <c r="BF253" i="4"/>
  <c r="BC417" i="4"/>
  <c r="AY472" i="4"/>
  <c r="AY477" i="4"/>
  <c r="BC148" i="4"/>
  <c r="BC70" i="4"/>
  <c r="AS380" i="4"/>
  <c r="BC380" i="4" s="1"/>
  <c r="AY142" i="4"/>
  <c r="BC30" i="4"/>
  <c r="AY457" i="4"/>
  <c r="AY324" i="4"/>
  <c r="AS366" i="4"/>
  <c r="AY366" i="4" s="1"/>
  <c r="BC208" i="4"/>
  <c r="BC49" i="4"/>
  <c r="BC321" i="4"/>
  <c r="BH377" i="4"/>
  <c r="BF195" i="4"/>
  <c r="AY203" i="4"/>
  <c r="BF224" i="4"/>
  <c r="BC472" i="4"/>
  <c r="BC40" i="4"/>
  <c r="AS413" i="4"/>
  <c r="BF413" i="4" s="1"/>
  <c r="AY466" i="4"/>
  <c r="BF38" i="4"/>
  <c r="BH395" i="4"/>
  <c r="BF270" i="4"/>
  <c r="AY65" i="4"/>
  <c r="BF49" i="4"/>
  <c r="BF207" i="4"/>
  <c r="BC195" i="4"/>
  <c r="BC291" i="4"/>
  <c r="BC352" i="4"/>
  <c r="BC176" i="4"/>
  <c r="BC279" i="4"/>
  <c r="AY331" i="4"/>
  <c r="BF254" i="4"/>
  <c r="BC29" i="4"/>
  <c r="BC136" i="4"/>
  <c r="BF490" i="4"/>
  <c r="AY490" i="4"/>
  <c r="BF157" i="4"/>
  <c r="BC203" i="4"/>
  <c r="BC127" i="4"/>
  <c r="BC295" i="4"/>
  <c r="BF480" i="4"/>
  <c r="BF263" i="4"/>
  <c r="AY295" i="4"/>
  <c r="BF269" i="4"/>
  <c r="AY163" i="4"/>
  <c r="BH375" i="4"/>
  <c r="BC193" i="4"/>
  <c r="BF27" i="4"/>
  <c r="AY354" i="4"/>
  <c r="BC45" i="4"/>
  <c r="BF100" i="4"/>
  <c r="BC202" i="4"/>
  <c r="AY13" i="4"/>
  <c r="BF248" i="4"/>
  <c r="BH419" i="4"/>
  <c r="AY417" i="4"/>
  <c r="BF359" i="4"/>
  <c r="AY387" i="4"/>
  <c r="BC101" i="4"/>
  <c r="BF477" i="4"/>
  <c r="BC212" i="4"/>
  <c r="BF218" i="4"/>
  <c r="AY157" i="4"/>
  <c r="BF348" i="4"/>
  <c r="BF211" i="4"/>
  <c r="BC274" i="4"/>
  <c r="BF315" i="4"/>
  <c r="AY193" i="4"/>
  <c r="AY44" i="4"/>
  <c r="AY185" i="4"/>
  <c r="BC248" i="4"/>
  <c r="AY303" i="4"/>
  <c r="BF137" i="4"/>
  <c r="BF161" i="4"/>
  <c r="BH349" i="4"/>
  <c r="BF246" i="4"/>
  <c r="BF206" i="4"/>
  <c r="AY224" i="4"/>
  <c r="BC387" i="4"/>
  <c r="AY124" i="4"/>
  <c r="BF26" i="4"/>
  <c r="AY444" i="4"/>
  <c r="AY446" i="4"/>
  <c r="BF140" i="4"/>
  <c r="AY255" i="4"/>
  <c r="BF142" i="4"/>
  <c r="BF389" i="4"/>
  <c r="AY402" i="4"/>
  <c r="BC132" i="4"/>
  <c r="BF342" i="4"/>
  <c r="AS229" i="4"/>
  <c r="BC229" i="4" s="1"/>
  <c r="BC118" i="4"/>
  <c r="BF139" i="4"/>
  <c r="BC360" i="4"/>
  <c r="AY205" i="4"/>
  <c r="BC266" i="4"/>
  <c r="AY238" i="4"/>
  <c r="BC340" i="4"/>
  <c r="BC207" i="4"/>
  <c r="BC144" i="4"/>
  <c r="BF392" i="4"/>
  <c r="BH411" i="4"/>
  <c r="AY45" i="4"/>
  <c r="AY325" i="4"/>
  <c r="BC325" i="4"/>
  <c r="BF71" i="4"/>
  <c r="AY71" i="4"/>
  <c r="BF331" i="4"/>
  <c r="AY21" i="4"/>
  <c r="AY61" i="4"/>
  <c r="BC43" i="4"/>
  <c r="BC216" i="4"/>
  <c r="AY30" i="4"/>
  <c r="BH393" i="4"/>
  <c r="BC244" i="4"/>
  <c r="AY374" i="4"/>
  <c r="BF40" i="4"/>
  <c r="BF324" i="4"/>
  <c r="BC402" i="4"/>
  <c r="BH413" i="4"/>
  <c r="AS32" i="4"/>
  <c r="BF32" i="4" s="1"/>
  <c r="BC251" i="4"/>
  <c r="BC275" i="4"/>
  <c r="BF52" i="4"/>
  <c r="BH407" i="4"/>
  <c r="AY132" i="4"/>
  <c r="AS435" i="4"/>
  <c r="AR435" i="4" s="1"/>
  <c r="AY399" i="4"/>
  <c r="AY118" i="4"/>
  <c r="AY266" i="4"/>
  <c r="BH379" i="4"/>
  <c r="AY340" i="4"/>
  <c r="AY192" i="4"/>
  <c r="BC115" i="4"/>
  <c r="BF335" i="4"/>
  <c r="BC392" i="4"/>
  <c r="BF65" i="4"/>
  <c r="BC44" i="4"/>
  <c r="AY329" i="4"/>
  <c r="AY375" i="4"/>
  <c r="BC292" i="4"/>
  <c r="BF43" i="4"/>
  <c r="BC389" i="4"/>
  <c r="BH388" i="4"/>
  <c r="BC369" i="4"/>
  <c r="BC57" i="4"/>
  <c r="BC167" i="4"/>
  <c r="BF298" i="4"/>
  <c r="AY317" i="4"/>
  <c r="BC480" i="4"/>
  <c r="BC335" i="4"/>
  <c r="AY442" i="4"/>
  <c r="AY247" i="4"/>
  <c r="BF247" i="4"/>
  <c r="BF404" i="4"/>
  <c r="AY68" i="4"/>
  <c r="BF382" i="4"/>
  <c r="AY233" i="4"/>
  <c r="BF395" i="4"/>
  <c r="AY281" i="4"/>
  <c r="BC190" i="4"/>
  <c r="BF190" i="4"/>
  <c r="BC429" i="4"/>
  <c r="BF429" i="4"/>
  <c r="AY346" i="4"/>
  <c r="BF346" i="4"/>
  <c r="BC346" i="4"/>
  <c r="AY350" i="4"/>
  <c r="BF450" i="4"/>
  <c r="BC303" i="4"/>
  <c r="BC68" i="4"/>
  <c r="BC457" i="4"/>
  <c r="BF104" i="4"/>
  <c r="AY486" i="4"/>
  <c r="AY445" i="4"/>
  <c r="BH91" i="4"/>
  <c r="BC171" i="4"/>
  <c r="BF171" i="4"/>
  <c r="BF165" i="4"/>
  <c r="BC165" i="4"/>
  <c r="AY165" i="4"/>
  <c r="BC396" i="4"/>
  <c r="AY396" i="4"/>
  <c r="AY241" i="4"/>
  <c r="BC31" i="4"/>
  <c r="AY100" i="4"/>
  <c r="BC350" i="4"/>
  <c r="BC294" i="4"/>
  <c r="BF294" i="4"/>
  <c r="BC187" i="4"/>
  <c r="BF304" i="4"/>
  <c r="AY304" i="4"/>
  <c r="BC312" i="4"/>
  <c r="BF466" i="4"/>
  <c r="BC160" i="4"/>
  <c r="AY24" i="4"/>
  <c r="BF75" i="4"/>
  <c r="BC75" i="4"/>
  <c r="AY292" i="4"/>
  <c r="AS393" i="4"/>
  <c r="AR393" i="4" s="1"/>
  <c r="BF492" i="4"/>
  <c r="BC492" i="4"/>
  <c r="BF418" i="4"/>
  <c r="BC80" i="4"/>
  <c r="BF80" i="4"/>
  <c r="BC468" i="4"/>
  <c r="AY468" i="4"/>
  <c r="AY120" i="4"/>
  <c r="BF120" i="4"/>
  <c r="BC260" i="4"/>
  <c r="AY260" i="4"/>
  <c r="AY154" i="4"/>
  <c r="BF154" i="4"/>
  <c r="BC358" i="4"/>
  <c r="AY358" i="4"/>
  <c r="BF358" i="4"/>
  <c r="BC133" i="4"/>
  <c r="BF133" i="4"/>
  <c r="AY133" i="4"/>
  <c r="BC123" i="4"/>
  <c r="AY123" i="4"/>
  <c r="BF123" i="4"/>
  <c r="BF312" i="4"/>
  <c r="BF375" i="4"/>
  <c r="BF273" i="4"/>
  <c r="BC247" i="4"/>
  <c r="AY88" i="4"/>
  <c r="BF88" i="4"/>
  <c r="AO458" i="4"/>
  <c r="AS458" i="4"/>
  <c r="BC458" i="4" s="1"/>
  <c r="BF478" i="4"/>
  <c r="BC478" i="4"/>
  <c r="AY227" i="4"/>
  <c r="BC227" i="4"/>
  <c r="BC186" i="4"/>
  <c r="AY186" i="4"/>
  <c r="AY483" i="4"/>
  <c r="BF483" i="4"/>
  <c r="AO385" i="4"/>
  <c r="AY385" i="4"/>
  <c r="BC385" i="4"/>
  <c r="BC348" i="4"/>
  <c r="BH424" i="4"/>
  <c r="BC139" i="4"/>
  <c r="AY360" i="4"/>
  <c r="BH32" i="4"/>
  <c r="BF369" i="4"/>
  <c r="BC205" i="4"/>
  <c r="BC33" i="4"/>
  <c r="BF238" i="4"/>
  <c r="AY451" i="4"/>
  <c r="BC451" i="4"/>
  <c r="BF57" i="4"/>
  <c r="AY278" i="4"/>
  <c r="BF81" i="4"/>
  <c r="BC81" i="4"/>
  <c r="BF122" i="4"/>
  <c r="AY39" i="4"/>
  <c r="BC78" i="4"/>
  <c r="AS407" i="4"/>
  <c r="BC407" i="4" s="1"/>
  <c r="AY48" i="4"/>
  <c r="BC152" i="4"/>
  <c r="BF151" i="4"/>
  <c r="AY161" i="4"/>
  <c r="BF291" i="4"/>
  <c r="BC38" i="4"/>
  <c r="BF56" i="4"/>
  <c r="BC300" i="4"/>
  <c r="BF138" i="4"/>
  <c r="BF442" i="4"/>
  <c r="AS424" i="4"/>
  <c r="BF424" i="4" s="1"/>
  <c r="BF300" i="4"/>
  <c r="BF96" i="4"/>
  <c r="BF400" i="4"/>
  <c r="AS377" i="4"/>
  <c r="AR377" i="4" s="1"/>
  <c r="BH385" i="4"/>
  <c r="BC211" i="4"/>
  <c r="BF33" i="4"/>
  <c r="BC298" i="4"/>
  <c r="BF182" i="4"/>
  <c r="BF39" i="4"/>
  <c r="AY78" i="4"/>
  <c r="BF48" i="4"/>
  <c r="BC151" i="4"/>
  <c r="BC99" i="4"/>
  <c r="BF383" i="4"/>
  <c r="BC277" i="4"/>
  <c r="AY269" i="4"/>
  <c r="BF317" i="4"/>
  <c r="BC122" i="4"/>
  <c r="BF354" i="4"/>
  <c r="BC96" i="4"/>
  <c r="BH417" i="4"/>
  <c r="AY361" i="4"/>
  <c r="I15" i="22"/>
  <c r="I19" i="22" s="1"/>
  <c r="G19" i="22"/>
  <c r="G21" i="22" s="1"/>
  <c r="I398" i="5"/>
  <c r="H398" i="5" s="1"/>
  <c r="L398" i="5"/>
  <c r="M398" i="5" s="1"/>
  <c r="AR257" i="4"/>
  <c r="AR475" i="4"/>
  <c r="AR92" i="4"/>
  <c r="AW481" i="4"/>
  <c r="AU481" i="4"/>
  <c r="AR237" i="4"/>
  <c r="AY237" i="4"/>
  <c r="BC237" i="4"/>
  <c r="AY259" i="4"/>
  <c r="AR73" i="4"/>
  <c r="BF73" i="4"/>
  <c r="BC73" i="4"/>
  <c r="AY73" i="4"/>
  <c r="I423" i="5"/>
  <c r="H423" i="5" s="1"/>
  <c r="L423" i="5"/>
  <c r="M423" i="5" s="1"/>
  <c r="I427" i="5"/>
  <c r="H427" i="5" s="1"/>
  <c r="L427" i="5"/>
  <c r="M427" i="5" s="1"/>
  <c r="AR293" i="4"/>
  <c r="AR334" i="4"/>
  <c r="AR449" i="4"/>
  <c r="BC449" i="4"/>
  <c r="AR149" i="4"/>
  <c r="AW448" i="4"/>
  <c r="AU448" i="4"/>
  <c r="AR201" i="4"/>
  <c r="AU439" i="4"/>
  <c r="AW439" i="4"/>
  <c r="AW228" i="4"/>
  <c r="AU228" i="4"/>
  <c r="AR322" i="4"/>
  <c r="AR258" i="4"/>
  <c r="BC258" i="4"/>
  <c r="AS401" i="4"/>
  <c r="AY401" i="4" s="1"/>
  <c r="AR311" i="4"/>
  <c r="AR307" i="4"/>
  <c r="AR343" i="4"/>
  <c r="AU264" i="4"/>
  <c r="AW264" i="4"/>
  <c r="AR286" i="4"/>
  <c r="AR109" i="4"/>
  <c r="BF109" i="4"/>
  <c r="BC109" i="4"/>
  <c r="AY109" i="4"/>
  <c r="AR77" i="4"/>
  <c r="AU119" i="4"/>
  <c r="AW119" i="4"/>
  <c r="I363" i="5"/>
  <c r="H363" i="5" s="1"/>
  <c r="L363" i="5"/>
  <c r="M363" i="5" s="1"/>
  <c r="L15" i="5"/>
  <c r="M15" i="5" s="1"/>
  <c r="I15" i="5"/>
  <c r="H15" i="5" s="1"/>
  <c r="AW188" i="4"/>
  <c r="AU188" i="4"/>
  <c r="AR69" i="4"/>
  <c r="AU204" i="4"/>
  <c r="AW204" i="4"/>
  <c r="AU491" i="4"/>
  <c r="AW491" i="4"/>
  <c r="L382" i="5"/>
  <c r="M382" i="5" s="1"/>
  <c r="I382" i="5"/>
  <c r="H382" i="5" s="1"/>
  <c r="AU141" i="4"/>
  <c r="AW141" i="4"/>
  <c r="AR72" i="4"/>
  <c r="AY72" i="4"/>
  <c r="AY338" i="4"/>
  <c r="AR232" i="4"/>
  <c r="AY294" i="4"/>
  <c r="AR145" i="4"/>
  <c r="AR330" i="4"/>
  <c r="BC330" i="4"/>
  <c r="AR432" i="4"/>
  <c r="AS91" i="4"/>
  <c r="AY91" i="4" s="1"/>
  <c r="AR22" i="4"/>
  <c r="AR90" i="4"/>
  <c r="L460" i="5"/>
  <c r="M460" i="5" s="1"/>
  <c r="I460" i="5"/>
  <c r="H460" i="5" s="1"/>
  <c r="AR117" i="4"/>
  <c r="AR306" i="4"/>
  <c r="BC306" i="4"/>
  <c r="AR134" i="4"/>
  <c r="AR353" i="4"/>
  <c r="BF236" i="4"/>
  <c r="AR110" i="4"/>
  <c r="AR126" i="4"/>
  <c r="AY126" i="4"/>
  <c r="AR183" i="4"/>
  <c r="BC293" i="4"/>
  <c r="BH390" i="4"/>
  <c r="AR41" i="4"/>
  <c r="AR332" i="4"/>
  <c r="AR226" i="4"/>
  <c r="BF226" i="4"/>
  <c r="AR121" i="4"/>
  <c r="AR82" i="4"/>
  <c r="BF82" i="4"/>
  <c r="I402" i="5"/>
  <c r="H402" i="5" s="1"/>
  <c r="L402" i="5"/>
  <c r="M402" i="5" s="1"/>
  <c r="AR290" i="4"/>
  <c r="AR403" i="4"/>
  <c r="AR274" i="4"/>
  <c r="L395" i="5"/>
  <c r="M395" i="5" s="1"/>
  <c r="I395" i="5"/>
  <c r="H395" i="5" s="1"/>
  <c r="AU86" i="4"/>
  <c r="AW86" i="4"/>
  <c r="AR34" i="4"/>
  <c r="AU461" i="4"/>
  <c r="AW461" i="4"/>
  <c r="AR46" i="4"/>
  <c r="AR97" i="4"/>
  <c r="AY97" i="4"/>
  <c r="AW376" i="4"/>
  <c r="AU376" i="4"/>
  <c r="AU368" i="4"/>
  <c r="AW368" i="4"/>
  <c r="AR362" i="4"/>
  <c r="BC232" i="4"/>
  <c r="AR320" i="4"/>
  <c r="AS426" i="4"/>
  <c r="BC426" i="4" s="1"/>
  <c r="AR111" i="4"/>
  <c r="AY90" i="4"/>
  <c r="Q7" i="4"/>
  <c r="AR63" i="4"/>
  <c r="BC421" i="4"/>
  <c r="AR35" i="4"/>
  <c r="AR440" i="4"/>
  <c r="BC332" i="4"/>
  <c r="AR150" i="4"/>
  <c r="AR256" i="4"/>
  <c r="BF201" i="4"/>
  <c r="AU437" i="4"/>
  <c r="AW437" i="4"/>
  <c r="AS16" i="4"/>
  <c r="BF16" i="4" s="1"/>
  <c r="I456" i="5"/>
  <c r="H456" i="5" s="1"/>
  <c r="L456" i="5"/>
  <c r="M456" i="5" s="1"/>
  <c r="AR99" i="4"/>
  <c r="I408" i="5"/>
  <c r="H408" i="5" s="1"/>
  <c r="L408" i="5"/>
  <c r="M408" i="5" s="1"/>
  <c r="AU234" i="4"/>
  <c r="AW234" i="4"/>
  <c r="AU85" i="4"/>
  <c r="AW85" i="4"/>
  <c r="AU87" i="4"/>
  <c r="AW87" i="4"/>
  <c r="AU166" i="4"/>
  <c r="AW166" i="4"/>
  <c r="I417" i="5"/>
  <c r="H417" i="5" s="1"/>
  <c r="L417" i="5"/>
  <c r="M417" i="5" s="1"/>
  <c r="AU271" i="4"/>
  <c r="AW271" i="4"/>
  <c r="AY287" i="4"/>
  <c r="AW199" i="4"/>
  <c r="AU199" i="4"/>
  <c r="AR285" i="4"/>
  <c r="L407" i="5"/>
  <c r="M407" i="5" s="1"/>
  <c r="I407" i="5"/>
  <c r="H407" i="5" s="1"/>
  <c r="AR338" i="4"/>
  <c r="AR299" i="4"/>
  <c r="AR74" i="4"/>
  <c r="AW194" i="4"/>
  <c r="AU194" i="4"/>
  <c r="AU79" i="4"/>
  <c r="AW79" i="4"/>
  <c r="L419" i="5"/>
  <c r="M419" i="5" s="1"/>
  <c r="I419" i="5"/>
  <c r="H419" i="5" s="1"/>
  <c r="AW98" i="4"/>
  <c r="AU98" i="4"/>
  <c r="AU316" i="4"/>
  <c r="AW316" i="4"/>
  <c r="AR444" i="4"/>
  <c r="AR240" i="4"/>
  <c r="AR249" i="4"/>
  <c r="AW197" i="4"/>
  <c r="AU197" i="4"/>
  <c r="AW55" i="4"/>
  <c r="AU55" i="4"/>
  <c r="AR301" i="4"/>
  <c r="AR95" i="4"/>
  <c r="AR356" i="4"/>
  <c r="AR378" i="4"/>
  <c r="L404" i="5"/>
  <c r="M404" i="5" s="1"/>
  <c r="I404" i="5"/>
  <c r="H404" i="5" s="1"/>
  <c r="BF286" i="4"/>
  <c r="AU213" i="4"/>
  <c r="AW213" i="4"/>
  <c r="AW428" i="4"/>
  <c r="AU428" i="4"/>
  <c r="AR241" i="4"/>
  <c r="AR382" i="4"/>
  <c r="AR450" i="4"/>
  <c r="L390" i="5"/>
  <c r="M390" i="5" s="1"/>
  <c r="I390" i="5"/>
  <c r="H390" i="5" s="1"/>
  <c r="AY201" i="4"/>
  <c r="AR53" i="4"/>
  <c r="AR404" i="4"/>
  <c r="AR137" i="4"/>
  <c r="AU345" i="4"/>
  <c r="AW345" i="4"/>
  <c r="AR61" i="4"/>
  <c r="BC334" i="4"/>
  <c r="AR323" i="4"/>
  <c r="BH16" i="4"/>
  <c r="AR251" i="4"/>
  <c r="AW42" i="4"/>
  <c r="AU42" i="4"/>
  <c r="AR409" i="4"/>
  <c r="BC409" i="4"/>
  <c r="AR275" i="4"/>
  <c r="BF322" i="4"/>
  <c r="BC129" i="4"/>
  <c r="AU339" i="4"/>
  <c r="AW339" i="4"/>
  <c r="AR261" i="4"/>
  <c r="AY261" i="4"/>
  <c r="L29" i="5"/>
  <c r="M29" i="5" s="1"/>
  <c r="I29" i="5"/>
  <c r="H29" i="5" s="1"/>
  <c r="AS441" i="4"/>
  <c r="BF441" i="4" s="1"/>
  <c r="AY216" i="4"/>
  <c r="AR236" i="4"/>
  <c r="AR28" i="4"/>
  <c r="AR296" i="4"/>
  <c r="AU60" i="4"/>
  <c r="AW60" i="4"/>
  <c r="AR288" i="4"/>
  <c r="AR487" i="4"/>
  <c r="AR242" i="4"/>
  <c r="L377" i="5"/>
  <c r="M377" i="5" s="1"/>
  <c r="I377" i="5"/>
  <c r="H377" i="5" s="1"/>
  <c r="AR278" i="4"/>
  <c r="AR89" i="4"/>
  <c r="AW243" i="4"/>
  <c r="AU243" i="4"/>
  <c r="L226" i="5"/>
  <c r="M226" i="5" s="1"/>
  <c r="I226" i="5"/>
  <c r="H226" i="5" s="1"/>
  <c r="AR135" i="4"/>
  <c r="BF92" i="4"/>
  <c r="I428" i="5"/>
  <c r="H428" i="5" s="1"/>
  <c r="L428" i="5"/>
  <c r="M428" i="5" s="1"/>
  <c r="AR434" i="4"/>
  <c r="AU416" i="4"/>
  <c r="AW416" i="4"/>
  <c r="AR371" i="4"/>
  <c r="AR319" i="4"/>
  <c r="L433" i="5"/>
  <c r="M433" i="5" s="1"/>
  <c r="I433" i="5"/>
  <c r="H433" i="5" s="1"/>
  <c r="BF299" i="4"/>
  <c r="AY320" i="4"/>
  <c r="AR67" i="4"/>
  <c r="AR456" i="4"/>
  <c r="BF432" i="4"/>
  <c r="AR315" i="4"/>
  <c r="AR189" i="4"/>
  <c r="AY22" i="4"/>
  <c r="BC90" i="4"/>
  <c r="AR103" i="4"/>
  <c r="AY103" i="4"/>
  <c r="BC35" i="4"/>
  <c r="AR146" i="4"/>
  <c r="BF293" i="4"/>
  <c r="AY440" i="4"/>
  <c r="BC121" i="4"/>
  <c r="AU220" i="4"/>
  <c r="AW220" i="4"/>
  <c r="AY256" i="4"/>
  <c r="BF256" i="4"/>
  <c r="AY323" i="4"/>
  <c r="AR305" i="4"/>
  <c r="AW177" i="4"/>
  <c r="AU177" i="4"/>
  <c r="AR479" i="4"/>
  <c r="AY479" i="4"/>
  <c r="AR425" i="4"/>
  <c r="I414" i="5"/>
  <c r="H414" i="5" s="1"/>
  <c r="L414" i="5"/>
  <c r="M414" i="5" s="1"/>
  <c r="I346" i="5"/>
  <c r="H346" i="5" s="1"/>
  <c r="L346" i="5"/>
  <c r="M346" i="5" s="1"/>
  <c r="BC361" i="4"/>
  <c r="BC246" i="4"/>
  <c r="AR206" i="4"/>
  <c r="AR309" i="4"/>
  <c r="AR179" i="4"/>
  <c r="BC285" i="4"/>
  <c r="AW381" i="4"/>
  <c r="AU381" i="4"/>
  <c r="AR47" i="4"/>
  <c r="BF47" i="4"/>
  <c r="AR107" i="4"/>
  <c r="L424" i="5"/>
  <c r="M424" i="5" s="1"/>
  <c r="I424" i="5"/>
  <c r="H424" i="5" s="1"/>
  <c r="AR25" i="4"/>
  <c r="AR184" i="4"/>
  <c r="AR282" i="4"/>
  <c r="AR112" i="4"/>
  <c r="AR443" i="4"/>
  <c r="AR333" i="4"/>
  <c r="AR279" i="4"/>
  <c r="AR254" i="4"/>
  <c r="AR253" i="4"/>
  <c r="AR31" i="4"/>
  <c r="AR76" i="4"/>
  <c r="BC299" i="4"/>
  <c r="AR175" i="4"/>
  <c r="AY175" i="4"/>
  <c r="AR200" i="4"/>
  <c r="AR114" i="4"/>
  <c r="AY114" i="4"/>
  <c r="AR414" i="4"/>
  <c r="W7" i="4"/>
  <c r="AR202" i="4"/>
  <c r="AY284" i="4"/>
  <c r="AR421" i="4"/>
  <c r="BC25" i="4"/>
  <c r="BF282" i="4"/>
  <c r="BC112" i="4"/>
  <c r="AW397" i="4"/>
  <c r="AU397" i="4"/>
  <c r="AW239" i="4"/>
  <c r="AR168" i="4"/>
  <c r="AR187" i="4"/>
  <c r="BF443" i="4"/>
  <c r="AR129" i="4"/>
  <c r="AY129" i="4"/>
  <c r="BC333" i="4"/>
  <c r="L388" i="5"/>
  <c r="M388" i="5" s="1"/>
  <c r="I388" i="5"/>
  <c r="H388" i="5" s="1"/>
  <c r="AR276" i="4"/>
  <c r="AR455" i="4"/>
  <c r="AR225" i="4"/>
  <c r="AR460" i="4"/>
  <c r="I403" i="5"/>
  <c r="H403" i="5" s="1"/>
  <c r="L403" i="5"/>
  <c r="M403" i="5" s="1"/>
  <c r="BH410" i="4"/>
  <c r="AY31" i="4"/>
  <c r="AR181" i="4"/>
  <c r="AR294" i="4"/>
  <c r="AY107" i="4"/>
  <c r="BF414" i="4"/>
  <c r="AP7" i="4"/>
  <c r="BC378" i="4"/>
  <c r="BF202" i="4"/>
  <c r="AR185" i="4"/>
  <c r="BF25" i="4"/>
  <c r="AR396" i="4"/>
  <c r="BC282" i="4"/>
  <c r="I416" i="5"/>
  <c r="H416" i="5" s="1"/>
  <c r="L416" i="5"/>
  <c r="M416" i="5" s="1"/>
  <c r="AY443" i="4"/>
  <c r="AR262" i="4"/>
  <c r="BF262" i="4"/>
  <c r="BF258" i="4"/>
  <c r="BF333" i="4"/>
  <c r="BH401" i="4"/>
  <c r="AY257" i="4"/>
  <c r="BC475" i="4"/>
  <c r="AR359" i="4"/>
  <c r="AY92" i="4"/>
  <c r="AU464" i="4"/>
  <c r="AW464" i="4"/>
  <c r="AR101" i="4"/>
  <c r="BF237" i="4"/>
  <c r="AW169" i="4"/>
  <c r="AU169" i="4"/>
  <c r="AR124" i="4"/>
  <c r="AR136" i="4"/>
  <c r="AR412" i="4"/>
  <c r="BC259" i="4"/>
  <c r="BH422" i="4"/>
  <c r="AR312" i="4"/>
  <c r="AU484" i="4"/>
  <c r="AW484" i="4"/>
  <c r="AR351" i="4"/>
  <c r="AY351" i="4"/>
  <c r="AY240" i="4"/>
  <c r="AR446" i="4"/>
  <c r="AW219" i="4"/>
  <c r="AW15" i="4"/>
  <c r="AU15" i="4"/>
  <c r="AU454" i="4"/>
  <c r="AW454" i="4"/>
  <c r="AY301" i="4"/>
  <c r="AY95" i="4"/>
  <c r="AY104" i="4"/>
  <c r="BF486" i="4"/>
  <c r="BF356" i="4"/>
  <c r="AR336" i="4"/>
  <c r="AR160" i="4"/>
  <c r="AR273" i="4"/>
  <c r="AR218" i="4"/>
  <c r="AR208" i="4"/>
  <c r="BH426" i="4"/>
  <c r="BH391" i="4"/>
  <c r="BF276" i="4"/>
  <c r="BC455" i="4"/>
  <c r="BF225" i="4"/>
  <c r="BC140" i="4"/>
  <c r="BC196" i="4"/>
  <c r="BC414" i="4"/>
  <c r="BC460" i="4"/>
  <c r="AW116" i="4"/>
  <c r="AU116" i="4"/>
  <c r="AR51" i="4"/>
  <c r="AR292" i="4"/>
  <c r="AU394" i="4"/>
  <c r="AW394" i="4"/>
  <c r="BC149" i="4"/>
  <c r="BF337" i="4"/>
  <c r="BC88" i="4"/>
  <c r="AR106" i="4"/>
  <c r="BC106" i="4"/>
  <c r="AY106" i="4"/>
  <c r="BF311" i="4"/>
  <c r="AY171" i="4"/>
  <c r="AR162" i="4"/>
  <c r="BF162" i="4"/>
  <c r="AR127" i="4"/>
  <c r="AR29" i="4"/>
  <c r="BC412" i="4"/>
  <c r="AY307" i="4"/>
  <c r="AR178" i="4"/>
  <c r="BF343" i="4"/>
  <c r="AU471" i="4"/>
  <c r="AW471" i="4"/>
  <c r="BC286" i="4"/>
  <c r="AW383" i="4"/>
  <c r="AR281" i="4"/>
  <c r="AR260" i="4"/>
  <c r="AR327" i="4"/>
  <c r="AR370" i="4"/>
  <c r="BF77" i="4"/>
  <c r="AU482" i="4"/>
  <c r="AW482" i="4"/>
  <c r="AR26" i="4"/>
  <c r="AR153" i="4"/>
  <c r="BC69" i="4"/>
  <c r="AR329" i="4"/>
  <c r="BC329" i="4"/>
  <c r="AW223" i="4"/>
  <c r="AU223" i="4"/>
  <c r="AS410" i="4"/>
  <c r="BC410" i="4" s="1"/>
  <c r="BC181" i="4"/>
  <c r="AY299" i="4"/>
  <c r="AY74" i="4"/>
  <c r="AS391" i="4"/>
  <c r="BF391" i="4" s="1"/>
  <c r="AR363" i="4"/>
  <c r="BC363" i="4"/>
  <c r="AR172" i="4"/>
  <c r="BC172" i="4"/>
  <c r="AR453" i="4"/>
  <c r="AR37" i="4"/>
  <c r="AR210" i="4"/>
  <c r="BC210" i="4"/>
  <c r="AY279" i="4"/>
  <c r="AR71" i="4"/>
  <c r="AR331" i="4"/>
  <c r="AY336" i="4"/>
  <c r="AY254" i="4"/>
  <c r="BC47" i="4"/>
  <c r="BF241" i="4"/>
  <c r="AR350" i="4"/>
  <c r="BC253" i="4"/>
  <c r="AR100" i="4"/>
  <c r="BC74" i="4"/>
  <c r="BF107" i="4"/>
  <c r="BF175" i="4"/>
  <c r="AR176" i="4"/>
  <c r="AY176" i="4"/>
  <c r="BF114" i="4"/>
  <c r="I438" i="5"/>
  <c r="H438" i="5" s="1"/>
  <c r="L438" i="5"/>
  <c r="M438" i="5" s="1"/>
  <c r="BH12" i="4"/>
  <c r="AY450" i="4"/>
  <c r="BF284" i="4"/>
  <c r="BC185" i="4"/>
  <c r="AR159" i="4"/>
  <c r="AR30" i="4"/>
  <c r="AY25" i="4"/>
  <c r="AR248" i="4"/>
  <c r="AY184" i="4"/>
  <c r="BF288" i="4"/>
  <c r="AY282" i="4"/>
  <c r="BF323" i="4"/>
  <c r="BF112" i="4"/>
  <c r="AR303" i="4"/>
  <c r="AR247" i="4"/>
  <c r="BC404" i="4"/>
  <c r="BC137" i="4"/>
  <c r="BF168" i="4"/>
  <c r="AY168" i="4"/>
  <c r="AY187" i="4"/>
  <c r="AR418" i="4"/>
  <c r="AR417" i="4"/>
  <c r="BC443" i="4"/>
  <c r="AR304" i="4"/>
  <c r="BC304" i="4"/>
  <c r="AY333" i="4"/>
  <c r="AW23" i="4"/>
  <c r="AU23" i="4"/>
  <c r="AR68" i="4"/>
  <c r="BF257" i="4"/>
  <c r="BC257" i="4"/>
  <c r="BF475" i="4"/>
  <c r="BC359" i="4"/>
  <c r="AR224" i="4"/>
  <c r="AW467" i="4"/>
  <c r="AU467" i="4"/>
  <c r="AR387" i="4"/>
  <c r="BF101" i="4"/>
  <c r="BF124" i="4"/>
  <c r="BF136" i="4"/>
  <c r="AR472" i="4"/>
  <c r="AY26" i="4"/>
  <c r="AU344" i="4"/>
  <c r="AW344" i="4"/>
  <c r="AU433" i="4"/>
  <c r="AW433" i="4"/>
  <c r="AU485" i="4"/>
  <c r="AW485" i="4"/>
  <c r="AS406" i="4"/>
  <c r="AR477" i="4"/>
  <c r="AR108" i="4"/>
  <c r="BF108" i="4"/>
  <c r="BC444" i="4"/>
  <c r="AU102" i="4"/>
  <c r="AW102" i="4"/>
  <c r="AR457" i="4"/>
  <c r="AR474" i="4"/>
  <c r="BF474" i="4"/>
  <c r="AY474" i="4"/>
  <c r="BC474" i="4"/>
  <c r="AS18" i="4"/>
  <c r="BC18" i="4" s="1"/>
  <c r="AR324" i="4"/>
  <c r="AR466" i="4"/>
  <c r="AU328" i="4"/>
  <c r="AW328" i="4"/>
  <c r="AR490" i="4"/>
  <c r="AR212" i="4"/>
  <c r="BF351" i="4"/>
  <c r="BF240" i="4"/>
  <c r="BF446" i="4"/>
  <c r="AU302" i="4"/>
  <c r="AW302" i="4"/>
  <c r="AY249" i="4"/>
  <c r="BC249" i="4"/>
  <c r="BC301" i="4"/>
  <c r="BF95" i="4"/>
  <c r="BC356" i="4"/>
  <c r="AR375" i="4"/>
  <c r="BF160" i="4"/>
  <c r="BC76" i="4"/>
  <c r="AY218" i="4"/>
  <c r="AY208" i="4"/>
  <c r="BF24" i="4"/>
  <c r="AY276" i="4"/>
  <c r="AY200" i="4"/>
  <c r="BC432" i="4"/>
  <c r="BC225" i="4"/>
  <c r="AY75" i="4"/>
  <c r="I88" i="5"/>
  <c r="H88" i="5" s="1"/>
  <c r="L88" i="5"/>
  <c r="M88" i="5" s="1"/>
  <c r="AR373" i="4"/>
  <c r="AY306" i="4"/>
  <c r="AU470" i="4"/>
  <c r="AW470" i="4"/>
  <c r="BF460" i="4"/>
  <c r="BF421" i="4"/>
  <c r="BC13" i="4"/>
  <c r="BC61" i="4"/>
  <c r="AY51" i="4"/>
  <c r="BC51" i="4"/>
  <c r="AY334" i="4"/>
  <c r="AR157" i="4"/>
  <c r="BF449" i="4"/>
  <c r="AY121" i="4"/>
  <c r="AY149" i="4"/>
  <c r="AR244" i="4"/>
  <c r="AY395" i="4"/>
  <c r="L13" i="5"/>
  <c r="M13" i="5" s="1"/>
  <c r="I13" i="5"/>
  <c r="H13" i="5" s="1"/>
  <c r="AW265" i="4"/>
  <c r="AU265" i="4"/>
  <c r="L462" i="5"/>
  <c r="M462" i="5" s="1"/>
  <c r="I462" i="5"/>
  <c r="H462" i="5" s="1"/>
  <c r="AR492" i="4"/>
  <c r="BF251" i="4"/>
  <c r="BF275" i="4"/>
  <c r="BF425" i="4"/>
  <c r="AY322" i="4"/>
  <c r="AR250" i="4"/>
  <c r="BF261" i="4"/>
  <c r="AR386" i="4"/>
  <c r="BF386" i="4"/>
  <c r="AY386" i="4"/>
  <c r="AR203" i="4"/>
  <c r="AR43" i="4"/>
  <c r="BH408" i="4"/>
  <c r="AR348" i="4"/>
  <c r="AU84" i="4"/>
  <c r="AW84" i="4"/>
  <c r="AR385" i="4"/>
  <c r="BC311" i="4"/>
  <c r="BF255" i="4"/>
  <c r="BF127" i="4"/>
  <c r="AW58" i="4"/>
  <c r="AU58" i="4"/>
  <c r="AR52" i="4"/>
  <c r="BC307" i="4"/>
  <c r="AR478" i="4"/>
  <c r="BF178" i="4"/>
  <c r="AY343" i="4"/>
  <c r="AR120" i="4"/>
  <c r="BH406" i="4"/>
  <c r="AY286" i="4"/>
  <c r="AW36" i="4"/>
  <c r="AU36" i="4"/>
  <c r="AR113" i="4"/>
  <c r="BF113" i="4"/>
  <c r="AY113" i="4"/>
  <c r="BF327" i="4"/>
  <c r="AR227" i="4"/>
  <c r="BF227" i="4"/>
  <c r="AR14" i="4"/>
  <c r="AR49" i="4"/>
  <c r="AR132" i="4"/>
  <c r="AR154" i="4"/>
  <c r="BC154" i="4"/>
  <c r="AR190" i="4"/>
  <c r="BC153" i="4"/>
  <c r="AU164" i="4"/>
  <c r="AR342" i="4"/>
  <c r="BF69" i="4"/>
  <c r="AR321" i="4"/>
  <c r="AY321" i="4"/>
  <c r="AU268" i="4"/>
  <c r="AU326" i="4"/>
  <c r="AU415" i="4"/>
  <c r="AW415" i="4"/>
  <c r="AR358" i="4"/>
  <c r="AR165" i="4"/>
  <c r="AR173" i="4"/>
  <c r="AR70" i="4"/>
  <c r="AU462" i="4"/>
  <c r="AW462" i="4"/>
  <c r="AY145" i="4"/>
  <c r="AR133" i="4"/>
  <c r="AR139" i="4"/>
  <c r="AR341" i="4"/>
  <c r="BF341" i="4"/>
  <c r="BC341" i="4"/>
  <c r="AR360" i="4"/>
  <c r="AR21" i="4"/>
  <c r="AY414" i="4"/>
  <c r="AY117" i="4"/>
  <c r="AY378" i="4"/>
  <c r="AY134" i="4"/>
  <c r="BC134" i="4"/>
  <c r="BC110" i="4"/>
  <c r="AY110" i="4"/>
  <c r="AR123" i="4"/>
  <c r="BC159" i="4"/>
  <c r="BF28" i="4"/>
  <c r="BC126" i="4"/>
  <c r="BF183" i="4"/>
  <c r="I387" i="5"/>
  <c r="H387" i="5" s="1"/>
  <c r="L387" i="5"/>
  <c r="M387" i="5" s="1"/>
  <c r="BF41" i="4"/>
  <c r="AR147" i="4"/>
  <c r="AW310" i="4"/>
  <c r="AU310" i="4"/>
  <c r="AY288" i="4"/>
  <c r="BH405" i="4"/>
  <c r="AR295" i="4"/>
  <c r="AR369" i="4"/>
  <c r="AR50" i="4"/>
  <c r="BC50" i="4"/>
  <c r="BF50" i="4"/>
  <c r="AR33" i="4"/>
  <c r="BC487" i="4"/>
  <c r="AR20" i="4"/>
  <c r="BF53" i="4"/>
  <c r="BC290" i="4"/>
  <c r="BC242" i="4"/>
  <c r="AR266" i="4"/>
  <c r="AR238" i="4"/>
  <c r="AR128" i="4"/>
  <c r="BF128" i="4"/>
  <c r="AR198" i="4"/>
  <c r="BC198" i="4"/>
  <c r="AR451" i="4"/>
  <c r="AR308" i="4"/>
  <c r="BF277" i="4"/>
  <c r="AR340" i="4"/>
  <c r="BF274" i="4"/>
  <c r="AY418" i="4"/>
  <c r="BF167" i="4"/>
  <c r="BC250" i="4"/>
  <c r="AY262" i="4"/>
  <c r="AR207" i="4"/>
  <c r="AY89" i="4"/>
  <c r="BH398" i="4"/>
  <c r="AY34" i="4"/>
  <c r="AY135" i="4"/>
  <c r="AR269" i="4"/>
  <c r="AR195" i="4"/>
  <c r="AR182" i="4"/>
  <c r="BC182" i="4"/>
  <c r="AY162" i="4"/>
  <c r="AY46" i="4"/>
  <c r="AY412" i="4"/>
  <c r="AS422" i="4"/>
  <c r="AY422" i="4" s="1"/>
  <c r="BC434" i="4"/>
  <c r="AR163" i="4"/>
  <c r="AU105" i="4"/>
  <c r="AW105" i="4"/>
  <c r="BF412" i="4"/>
  <c r="AR78" i="4"/>
  <c r="BC371" i="4"/>
  <c r="AR152" i="4"/>
  <c r="BF152" i="4"/>
  <c r="AR151" i="4"/>
  <c r="AY362" i="4"/>
  <c r="BC362" i="4"/>
  <c r="AR161" i="4"/>
  <c r="AR291" i="4"/>
  <c r="AY181" i="4"/>
  <c r="AR217" i="4"/>
  <c r="BF74" i="4"/>
  <c r="AY67" i="4"/>
  <c r="BC456" i="4"/>
  <c r="AY432" i="4"/>
  <c r="AR180" i="4"/>
  <c r="AR335" i="4"/>
  <c r="BC22" i="4"/>
  <c r="BC373" i="4"/>
  <c r="AS12" i="4"/>
  <c r="BF378" i="4"/>
  <c r="AR38" i="4"/>
  <c r="AR56" i="4"/>
  <c r="BC56" i="4"/>
  <c r="BC103" i="4"/>
  <c r="BF35" i="4"/>
  <c r="AS390" i="4"/>
  <c r="AY390" i="4" s="1"/>
  <c r="BC440" i="4"/>
  <c r="AS427" i="4"/>
  <c r="AR263" i="4"/>
  <c r="BF396" i="4"/>
  <c r="AR354" i="4"/>
  <c r="BC323" i="4"/>
  <c r="AY305" i="4"/>
  <c r="AY244" i="4"/>
  <c r="AR270" i="4"/>
  <c r="AR300" i="4"/>
  <c r="AR138" i="4"/>
  <c r="AS465" i="4"/>
  <c r="BC465" i="4" s="1"/>
  <c r="AU17" i="4"/>
  <c r="AW17" i="4"/>
  <c r="AR297" i="4"/>
  <c r="AU447" i="4"/>
  <c r="AW447" i="4"/>
  <c r="BC479" i="4"/>
  <c r="AW155" i="4"/>
  <c r="AU155" i="4"/>
  <c r="AY99" i="4"/>
  <c r="AS419" i="4"/>
  <c r="BC419" i="4" s="1"/>
  <c r="AR442" i="4"/>
  <c r="AW245" i="4"/>
  <c r="AU245" i="4"/>
  <c r="AR65" i="4"/>
  <c r="BH420" i="4"/>
  <c r="AY309" i="4"/>
  <c r="AR287" i="4"/>
  <c r="AY179" i="4"/>
  <c r="I9" i="5"/>
  <c r="G5" i="5"/>
  <c r="G492" i="5"/>
  <c r="L9" i="5"/>
  <c r="AR284" i="4"/>
  <c r="AR357" i="4"/>
  <c r="BC357" i="4"/>
  <c r="BF357" i="4"/>
  <c r="AY357" i="4"/>
  <c r="AR259" i="4"/>
  <c r="AW452" i="4"/>
  <c r="AU452" i="4"/>
  <c r="AU158" i="4"/>
  <c r="I432" i="5"/>
  <c r="H432" i="5" s="1"/>
  <c r="L432" i="5"/>
  <c r="M432" i="5" s="1"/>
  <c r="AR40" i="4"/>
  <c r="AU469" i="4"/>
  <c r="AW469" i="4"/>
  <c r="L410" i="5"/>
  <c r="M410" i="5" s="1"/>
  <c r="I410" i="5"/>
  <c r="H410" i="5" s="1"/>
  <c r="BF249" i="4"/>
  <c r="BF301" i="4"/>
  <c r="BC95" i="4"/>
  <c r="AR104" i="4"/>
  <c r="AR486" i="4"/>
  <c r="AW384" i="4"/>
  <c r="AU384" i="4"/>
  <c r="AY356" i="4"/>
  <c r="AR365" i="4"/>
  <c r="AR445" i="4"/>
  <c r="BF445" i="4"/>
  <c r="AR24" i="4"/>
  <c r="BC276" i="4"/>
  <c r="AY455" i="4"/>
  <c r="BF455" i="4"/>
  <c r="AY225" i="4"/>
  <c r="AR140" i="4"/>
  <c r="AR75" i="4"/>
  <c r="AR196" i="4"/>
  <c r="AY196" i="4"/>
  <c r="AR216" i="4"/>
  <c r="AY460" i="4"/>
  <c r="AR233" i="4"/>
  <c r="BF233" i="4"/>
  <c r="AR13" i="4"/>
  <c r="BF334" i="4"/>
  <c r="AY449" i="4"/>
  <c r="BF149" i="4"/>
  <c r="AR395" i="4"/>
  <c r="AR337" i="4"/>
  <c r="AY337" i="4"/>
  <c r="BC322" i="4"/>
  <c r="AU476" i="4"/>
  <c r="AW476" i="4"/>
  <c r="AR88" i="4"/>
  <c r="I405" i="5"/>
  <c r="H405" i="5" s="1"/>
  <c r="L405" i="5"/>
  <c r="M405" i="5" s="1"/>
  <c r="AY311" i="4"/>
  <c r="AR255" i="4"/>
  <c r="AR171" i="4"/>
  <c r="AR80" i="4"/>
  <c r="L455" i="5"/>
  <c r="M455" i="5" s="1"/>
  <c r="I455" i="5"/>
  <c r="H455" i="5" s="1"/>
  <c r="AR468" i="4"/>
  <c r="AR64" i="4"/>
  <c r="AY64" i="4"/>
  <c r="BF307" i="4"/>
  <c r="AR142" i="4"/>
  <c r="AY178" i="4"/>
  <c r="BC343" i="4"/>
  <c r="AU283" i="4"/>
  <c r="AW283" i="4"/>
  <c r="BF281" i="4"/>
  <c r="BF260" i="4"/>
  <c r="BC327" i="4"/>
  <c r="AR389" i="4"/>
  <c r="BF370" i="4"/>
  <c r="AY77" i="4"/>
  <c r="BC77" i="4"/>
  <c r="AW318" i="4"/>
  <c r="AU318" i="4"/>
  <c r="AU62" i="4"/>
  <c r="AW62" i="4"/>
  <c r="AR429" i="4"/>
  <c r="BH366" i="4"/>
  <c r="AY153" i="4"/>
  <c r="BH18" i="4"/>
  <c r="AY69" i="4"/>
  <c r="AR186" i="4"/>
  <c r="AR346" i="4"/>
  <c r="AR483" i="4"/>
  <c r="AR402" i="4"/>
  <c r="L374" i="5"/>
  <c r="M374" i="5" s="1"/>
  <c r="I374" i="5"/>
  <c r="H374" i="5" s="1"/>
  <c r="AR399" i="4"/>
  <c r="BC399" i="4"/>
  <c r="BC72" i="4"/>
  <c r="AR118" i="4"/>
  <c r="AW438" i="4"/>
  <c r="AU438" i="4"/>
  <c r="BF76" i="4"/>
  <c r="BF338" i="4"/>
  <c r="BF145" i="4"/>
  <c r="AY363" i="4"/>
  <c r="I421" i="5"/>
  <c r="H421" i="5" s="1"/>
  <c r="L421" i="5"/>
  <c r="M421" i="5" s="1"/>
  <c r="L385" i="5"/>
  <c r="M385" i="5" s="1"/>
  <c r="I385" i="5"/>
  <c r="H385" i="5" s="1"/>
  <c r="BF200" i="4"/>
  <c r="BF330" i="4"/>
  <c r="AY172" i="4"/>
  <c r="AY373" i="4"/>
  <c r="BC117" i="4"/>
  <c r="BF306" i="4"/>
  <c r="BF134" i="4"/>
  <c r="BC353" i="4"/>
  <c r="BF353" i="4"/>
  <c r="AY236" i="4"/>
  <c r="AY159" i="4"/>
  <c r="BC28" i="4"/>
  <c r="AY183" i="4"/>
  <c r="AY41" i="4"/>
  <c r="BC184" i="4"/>
  <c r="AR211" i="4"/>
  <c r="AR205" i="4"/>
  <c r="AY487" i="4"/>
  <c r="BF290" i="4"/>
  <c r="AY403" i="4"/>
  <c r="BF403" i="4"/>
  <c r="BH380" i="4"/>
  <c r="I376" i="5"/>
  <c r="H376" i="5" s="1"/>
  <c r="L376" i="5"/>
  <c r="M376" i="5" s="1"/>
  <c r="AR57" i="4"/>
  <c r="AR277" i="4"/>
  <c r="AR192" i="4"/>
  <c r="BF278" i="4"/>
  <c r="BF409" i="4"/>
  <c r="AR355" i="4"/>
  <c r="BF355" i="4"/>
  <c r="AR167" i="4"/>
  <c r="AR298" i="4"/>
  <c r="BF89" i="4"/>
  <c r="BH229" i="4"/>
  <c r="BF34" i="4"/>
  <c r="BF135" i="4"/>
  <c r="AR81" i="4"/>
  <c r="BC46" i="4"/>
  <c r="BF29" i="4"/>
  <c r="AR374" i="4"/>
  <c r="BF434" i="4"/>
  <c r="AY434" i="4"/>
  <c r="I487" i="5"/>
  <c r="H487" i="5" s="1"/>
  <c r="L487" i="5"/>
  <c r="M487" i="5" s="1"/>
  <c r="AR317" i="4"/>
  <c r="BC351" i="4"/>
  <c r="AR122" i="4"/>
  <c r="AR39" i="4"/>
  <c r="AW125" i="4"/>
  <c r="AU125" i="4"/>
  <c r="AR115" i="4"/>
  <c r="AR480" i="4"/>
  <c r="AR144" i="4"/>
  <c r="AY144" i="4"/>
  <c r="AR48" i="4"/>
  <c r="AY371" i="4"/>
  <c r="BF362" i="4"/>
  <c r="BF336" i="4"/>
  <c r="L372" i="5"/>
  <c r="M372" i="5" s="1"/>
  <c r="I372" i="5"/>
  <c r="H372" i="5" s="1"/>
  <c r="AR280" i="4"/>
  <c r="AR148" i="4"/>
  <c r="AY232" i="4"/>
  <c r="BF365" i="4"/>
  <c r="BF67" i="4"/>
  <c r="BF456" i="4"/>
  <c r="AS388" i="4"/>
  <c r="AY388" i="4" s="1"/>
  <c r="BC382" i="4"/>
  <c r="AY315" i="4"/>
  <c r="BC453" i="4"/>
  <c r="AR19" i="4"/>
  <c r="AR66" i="4"/>
  <c r="BF159" i="4"/>
  <c r="AS430" i="4"/>
  <c r="BF430" i="4" s="1"/>
  <c r="AR372" i="4"/>
  <c r="BF440" i="4"/>
  <c r="AR489" i="4"/>
  <c r="AR193" i="4"/>
  <c r="AR272" i="4"/>
  <c r="AR27" i="4"/>
  <c r="AY27" i="4"/>
  <c r="BC256" i="4"/>
  <c r="AR392" i="4"/>
  <c r="BC201" i="4"/>
  <c r="BF305" i="4"/>
  <c r="BC53" i="4"/>
  <c r="I392" i="5"/>
  <c r="H392" i="5" s="1"/>
  <c r="L392" i="5"/>
  <c r="M392" i="5" s="1"/>
  <c r="AY270" i="4"/>
  <c r="BC138" i="4"/>
  <c r="AR352" i="4"/>
  <c r="AY352" i="4"/>
  <c r="AR96" i="4"/>
  <c r="AY250" i="4"/>
  <c r="AR45" i="4"/>
  <c r="AR361" i="4"/>
  <c r="BC92" i="4"/>
  <c r="AR246" i="4"/>
  <c r="BC309" i="4"/>
  <c r="BC287" i="4"/>
  <c r="BF179" i="4"/>
  <c r="AR44" i="4"/>
  <c r="BF285" i="4"/>
  <c r="AY285" i="4"/>
  <c r="AW473" i="4" l="1"/>
  <c r="BC411" i="4"/>
  <c r="AU131" i="4"/>
  <c r="AW267" i="4"/>
  <c r="AR411" i="4"/>
  <c r="AW231" i="4"/>
  <c r="AW209" i="4"/>
  <c r="AW325" i="4"/>
  <c r="AR459" i="4"/>
  <c r="BC413" i="4"/>
  <c r="BC420" i="4"/>
  <c r="AY420" i="4"/>
  <c r="AU347" i="4"/>
  <c r="AW400" i="4"/>
  <c r="BA400" i="4" s="1"/>
  <c r="AR420" i="4"/>
  <c r="BF459" i="4"/>
  <c r="BF349" i="4"/>
  <c r="BC349" i="4"/>
  <c r="AY349" i="4"/>
  <c r="AU313" i="4"/>
  <c r="BC459" i="4"/>
  <c r="AU235" i="4"/>
  <c r="BA235" i="4" s="1"/>
  <c r="AR380" i="4"/>
  <c r="AW380" i="4" s="1"/>
  <c r="AR436" i="4"/>
  <c r="AU222" i="4"/>
  <c r="AU130" i="4"/>
  <c r="BA130" i="4" s="1"/>
  <c r="AW156" i="4"/>
  <c r="BA156" i="4" s="1"/>
  <c r="AY431" i="4"/>
  <c r="AY411" i="4"/>
  <c r="AU364" i="4"/>
  <c r="BA364" i="4" s="1"/>
  <c r="BF435" i="4"/>
  <c r="AY229" i="4"/>
  <c r="BF431" i="4"/>
  <c r="AR431" i="4"/>
  <c r="AU431" i="4" s="1"/>
  <c r="AU215" i="4"/>
  <c r="BA215" i="4" s="1"/>
  <c r="BF380" i="4"/>
  <c r="AW214" i="4"/>
  <c r="AW54" i="4"/>
  <c r="BA54" i="4" s="1"/>
  <c r="AW174" i="4"/>
  <c r="BA174" i="4" s="1"/>
  <c r="BC435" i="4"/>
  <c r="AY408" i="4"/>
  <c r="AR413" i="4"/>
  <c r="AW413" i="4" s="1"/>
  <c r="AR408" i="4"/>
  <c r="AW408" i="4" s="1"/>
  <c r="BF408" i="4"/>
  <c r="AO493" i="4"/>
  <c r="BC398" i="4"/>
  <c r="BC379" i="4"/>
  <c r="AU93" i="4"/>
  <c r="BA93" i="4" s="1"/>
  <c r="BC463" i="4"/>
  <c r="AR458" i="4"/>
  <c r="AU458" i="4" s="1"/>
  <c r="BF405" i="4"/>
  <c r="BF458" i="4"/>
  <c r="AR405" i="4"/>
  <c r="AW405" i="4" s="1"/>
  <c r="AY405" i="4"/>
  <c r="AW191" i="4"/>
  <c r="BA191" i="4" s="1"/>
  <c r="AY435" i="4"/>
  <c r="AW143" i="4"/>
  <c r="BA143" i="4" s="1"/>
  <c r="AY12" i="4"/>
  <c r="AS493" i="4"/>
  <c r="BC493" i="4" s="1"/>
  <c r="AY441" i="4"/>
  <c r="BF398" i="4"/>
  <c r="AR463" i="4"/>
  <c r="AU463" i="4" s="1"/>
  <c r="AW221" i="4"/>
  <c r="BA221" i="4" s="1"/>
  <c r="AU94" i="4"/>
  <c r="BA94" i="4" s="1"/>
  <c r="AU289" i="4"/>
  <c r="BA289" i="4" s="1"/>
  <c r="BF379" i="4"/>
  <c r="AY488" i="4"/>
  <c r="AR488" i="4"/>
  <c r="BF488" i="4"/>
  <c r="BC488" i="4"/>
  <c r="AR398" i="4"/>
  <c r="AU398" i="4" s="1"/>
  <c r="AW170" i="4"/>
  <c r="BA170" i="4" s="1"/>
  <c r="AY463" i="4"/>
  <c r="AR379" i="4"/>
  <c r="AW379" i="4" s="1"/>
  <c r="BC424" i="4"/>
  <c r="AW230" i="4"/>
  <c r="BA230" i="4" s="1"/>
  <c r="BF229" i="4"/>
  <c r="AR229" i="4"/>
  <c r="AU229" i="4" s="1"/>
  <c r="BF436" i="4"/>
  <c r="AU83" i="4"/>
  <c r="BA83" i="4" s="1"/>
  <c r="BC436" i="4"/>
  <c r="BC401" i="4"/>
  <c r="BC377" i="4"/>
  <c r="AY413" i="4"/>
  <c r="AW252" i="4"/>
  <c r="BA252" i="4" s="1"/>
  <c r="AW314" i="4"/>
  <c r="BA314" i="4" s="1"/>
  <c r="AR423" i="4"/>
  <c r="BC423" i="4"/>
  <c r="AY423" i="4"/>
  <c r="BF423" i="4"/>
  <c r="BC91" i="4"/>
  <c r="AR424" i="4"/>
  <c r="AU424" i="4" s="1"/>
  <c r="D10" i="22"/>
  <c r="AY424" i="4"/>
  <c r="BF377" i="4"/>
  <c r="BF401" i="4"/>
  <c r="BC441" i="4"/>
  <c r="AY377" i="4"/>
  <c r="AY419" i="4"/>
  <c r="AY380" i="4"/>
  <c r="BF390" i="4"/>
  <c r="BF367" i="4"/>
  <c r="AR367" i="4"/>
  <c r="BC367" i="4"/>
  <c r="AY367" i="4"/>
  <c r="BA79" i="4"/>
  <c r="BA394" i="4"/>
  <c r="BA482" i="4"/>
  <c r="AY426" i="4"/>
  <c r="BF426" i="4"/>
  <c r="AY16" i="4"/>
  <c r="AY393" i="4"/>
  <c r="BA158" i="4"/>
  <c r="AU59" i="4"/>
  <c r="BA59" i="4" s="1"/>
  <c r="BC393" i="4"/>
  <c r="BF393" i="4"/>
  <c r="BC16" i="4"/>
  <c r="BF91" i="4"/>
  <c r="BA316" i="4"/>
  <c r="BA471" i="4"/>
  <c r="BA476" i="4"/>
  <c r="BA42" i="4"/>
  <c r="BA17" i="4"/>
  <c r="BA213" i="4"/>
  <c r="AY407" i="4"/>
  <c r="BC422" i="4"/>
  <c r="BA485" i="4"/>
  <c r="BF366" i="4"/>
  <c r="BA234" i="4"/>
  <c r="BA437" i="4"/>
  <c r="BC366" i="4"/>
  <c r="BA318" i="4"/>
  <c r="BA155" i="4"/>
  <c r="AR32" i="4"/>
  <c r="AU32" i="4" s="1"/>
  <c r="AR407" i="4"/>
  <c r="AU407" i="4" s="1"/>
  <c r="BA428" i="4"/>
  <c r="AR366" i="4"/>
  <c r="AU366" i="4" s="1"/>
  <c r="BA98" i="4"/>
  <c r="BA194" i="4"/>
  <c r="BA199" i="4"/>
  <c r="AY391" i="4"/>
  <c r="AY410" i="4"/>
  <c r="BF407" i="4"/>
  <c r="AY32" i="4"/>
  <c r="BC32" i="4"/>
  <c r="BA264" i="4"/>
  <c r="BA439" i="4"/>
  <c r="BA481" i="4"/>
  <c r="BA87" i="4"/>
  <c r="BF465" i="4"/>
  <c r="BA344" i="4"/>
  <c r="BA452" i="4"/>
  <c r="BA347" i="4"/>
  <c r="BA58" i="4"/>
  <c r="BA271" i="4"/>
  <c r="BA188" i="4"/>
  <c r="BA268" i="4"/>
  <c r="BA166" i="4"/>
  <c r="BA85" i="4"/>
  <c r="BA105" i="4"/>
  <c r="BA328" i="4"/>
  <c r="BA245" i="4"/>
  <c r="BA447" i="4"/>
  <c r="BA467" i="4"/>
  <c r="BA223" i="4"/>
  <c r="BA484" i="4"/>
  <c r="BA345" i="4"/>
  <c r="BA376" i="4"/>
  <c r="AY458" i="4"/>
  <c r="BA125" i="4"/>
  <c r="BA313" i="4"/>
  <c r="BF419" i="4"/>
  <c r="BA265" i="4"/>
  <c r="BA116" i="4"/>
  <c r="BA60" i="4"/>
  <c r="BA339" i="4"/>
  <c r="AU65" i="4"/>
  <c r="AW65" i="4"/>
  <c r="AW138" i="4"/>
  <c r="AU138" i="4"/>
  <c r="AW270" i="4"/>
  <c r="AU270" i="4"/>
  <c r="AW354" i="4"/>
  <c r="AU354" i="4"/>
  <c r="AR427" i="4"/>
  <c r="AS7" i="4"/>
  <c r="AN2" i="4" s="1"/>
  <c r="AR12" i="4"/>
  <c r="AW335" i="4"/>
  <c r="AU335" i="4"/>
  <c r="AU291" i="4"/>
  <c r="AW291" i="4"/>
  <c r="AU152" i="4"/>
  <c r="AW152" i="4"/>
  <c r="AU163" i="4"/>
  <c r="AW163" i="4"/>
  <c r="AW195" i="4"/>
  <c r="AU195" i="4"/>
  <c r="AU340" i="4"/>
  <c r="AW340" i="4"/>
  <c r="AU308" i="4"/>
  <c r="AW308" i="4"/>
  <c r="AU198" i="4"/>
  <c r="AW198" i="4"/>
  <c r="AU128" i="4"/>
  <c r="AW128" i="4"/>
  <c r="AW266" i="4"/>
  <c r="AU266" i="4"/>
  <c r="AW21" i="4"/>
  <c r="AU21" i="4"/>
  <c r="AW342" i="4"/>
  <c r="AU342" i="4"/>
  <c r="AW49" i="4"/>
  <c r="AU49" i="4"/>
  <c r="AU227" i="4"/>
  <c r="AW227" i="4"/>
  <c r="AW478" i="4"/>
  <c r="AU478" i="4"/>
  <c r="AW348" i="4"/>
  <c r="AU348" i="4"/>
  <c r="AW203" i="4"/>
  <c r="AU203" i="4"/>
  <c r="AW250" i="4"/>
  <c r="AU250" i="4"/>
  <c r="AW373" i="4"/>
  <c r="AU373" i="4"/>
  <c r="AU490" i="4"/>
  <c r="AW490" i="4"/>
  <c r="AW466" i="4"/>
  <c r="AU466" i="4"/>
  <c r="AW303" i="4"/>
  <c r="AU303" i="4"/>
  <c r="AU159" i="4"/>
  <c r="AW159" i="4"/>
  <c r="BH11" i="4"/>
  <c r="AW100" i="4"/>
  <c r="AU100" i="4"/>
  <c r="AU370" i="4"/>
  <c r="AW370" i="4"/>
  <c r="AW260" i="4"/>
  <c r="AU260" i="4"/>
  <c r="AU127" i="4"/>
  <c r="AW127" i="4"/>
  <c r="AU51" i="4"/>
  <c r="AW51" i="4"/>
  <c r="AW208" i="4"/>
  <c r="AU208" i="4"/>
  <c r="AW273" i="4"/>
  <c r="AU273" i="4"/>
  <c r="AW351" i="4"/>
  <c r="AU351" i="4"/>
  <c r="AW262" i="4"/>
  <c r="AU262" i="4"/>
  <c r="AW185" i="4"/>
  <c r="AU185" i="4"/>
  <c r="AU294" i="4"/>
  <c r="AW294" i="4"/>
  <c r="AW460" i="4"/>
  <c r="AU460" i="4"/>
  <c r="AW455" i="4"/>
  <c r="AU455" i="4"/>
  <c r="AU202" i="4"/>
  <c r="AW202" i="4"/>
  <c r="AW114" i="4"/>
  <c r="AU114" i="4"/>
  <c r="AU76" i="4"/>
  <c r="AW76" i="4"/>
  <c r="AW253" i="4"/>
  <c r="AU253" i="4"/>
  <c r="AU279" i="4"/>
  <c r="AW279" i="4"/>
  <c r="AU443" i="4"/>
  <c r="AW443" i="4"/>
  <c r="AW47" i="4"/>
  <c r="AU47" i="4"/>
  <c r="AW146" i="4"/>
  <c r="AU146" i="4"/>
  <c r="AW315" i="4"/>
  <c r="AU315" i="4"/>
  <c r="AW456" i="4"/>
  <c r="AU456" i="4"/>
  <c r="AU371" i="4"/>
  <c r="AW371" i="4"/>
  <c r="AU434" i="4"/>
  <c r="AW434" i="4"/>
  <c r="AW242" i="4"/>
  <c r="AU242" i="4"/>
  <c r="AW404" i="4"/>
  <c r="AU404" i="4"/>
  <c r="AU450" i="4"/>
  <c r="AW450" i="4"/>
  <c r="BA197" i="4"/>
  <c r="AU240" i="4"/>
  <c r="AW240" i="4"/>
  <c r="AW74" i="4"/>
  <c r="AU74" i="4"/>
  <c r="AW338" i="4"/>
  <c r="AU338" i="4"/>
  <c r="AW285" i="4"/>
  <c r="AU285" i="4"/>
  <c r="BF427" i="4"/>
  <c r="AU35" i="4"/>
  <c r="AW35" i="4"/>
  <c r="AU63" i="4"/>
  <c r="AW63" i="4"/>
  <c r="AU111" i="4"/>
  <c r="AW111" i="4"/>
  <c r="BA368" i="4"/>
  <c r="AW46" i="4"/>
  <c r="AU46" i="4"/>
  <c r="BA86" i="4"/>
  <c r="AW274" i="4"/>
  <c r="AU274" i="4"/>
  <c r="AU290" i="4"/>
  <c r="AW290" i="4"/>
  <c r="AU82" i="4"/>
  <c r="AW82" i="4"/>
  <c r="AU332" i="4"/>
  <c r="AW332" i="4"/>
  <c r="AU126" i="4"/>
  <c r="AW126" i="4"/>
  <c r="AW134" i="4"/>
  <c r="AU134" i="4"/>
  <c r="AW232" i="4"/>
  <c r="AU232" i="4"/>
  <c r="BA141" i="4"/>
  <c r="BA491" i="4"/>
  <c r="AW69" i="4"/>
  <c r="AU69" i="4"/>
  <c r="BA119" i="4"/>
  <c r="AR401" i="4"/>
  <c r="AU449" i="4"/>
  <c r="AW449" i="4"/>
  <c r="AW293" i="4"/>
  <c r="AU293" i="4"/>
  <c r="AU392" i="4"/>
  <c r="AW392" i="4"/>
  <c r="AW193" i="4"/>
  <c r="AU193" i="4"/>
  <c r="AW480" i="4"/>
  <c r="AU480" i="4"/>
  <c r="AU196" i="4"/>
  <c r="AW196" i="4"/>
  <c r="AW104" i="4"/>
  <c r="AU104" i="4"/>
  <c r="AW357" i="4"/>
  <c r="AU357" i="4"/>
  <c r="AW45" i="4"/>
  <c r="AU45" i="4"/>
  <c r="AW298" i="4"/>
  <c r="AU298" i="4"/>
  <c r="AU468" i="4"/>
  <c r="AW468" i="4"/>
  <c r="AU413" i="4"/>
  <c r="AU361" i="4"/>
  <c r="AW361" i="4"/>
  <c r="AU489" i="4"/>
  <c r="AW489" i="4"/>
  <c r="AR388" i="4"/>
  <c r="BF388" i="4"/>
  <c r="BC388" i="4"/>
  <c r="AW122" i="4"/>
  <c r="AU122" i="4"/>
  <c r="AU355" i="4"/>
  <c r="AW355" i="4"/>
  <c r="AU399" i="4"/>
  <c r="AW399" i="4"/>
  <c r="AW337" i="4"/>
  <c r="AU337" i="4"/>
  <c r="AW259" i="4"/>
  <c r="AU259" i="4"/>
  <c r="I5" i="5"/>
  <c r="H9" i="5"/>
  <c r="H5" i="5" s="1"/>
  <c r="AW38" i="4"/>
  <c r="AU38" i="4"/>
  <c r="AW180" i="4"/>
  <c r="AU180" i="4"/>
  <c r="AU20" i="4"/>
  <c r="AW20" i="4"/>
  <c r="AU369" i="4"/>
  <c r="AW369" i="4"/>
  <c r="AU139" i="4"/>
  <c r="AW139" i="4"/>
  <c r="AU173" i="4"/>
  <c r="AW173" i="4"/>
  <c r="AU165" i="4"/>
  <c r="AW165" i="4"/>
  <c r="BA415" i="4"/>
  <c r="BA267" i="4"/>
  <c r="AW321" i="4"/>
  <c r="AU321" i="4"/>
  <c r="AU154" i="4"/>
  <c r="AW154" i="4"/>
  <c r="AW386" i="4"/>
  <c r="AU386" i="4"/>
  <c r="BA214" i="4"/>
  <c r="AU157" i="4"/>
  <c r="AW157" i="4"/>
  <c r="AU375" i="4"/>
  <c r="AW375" i="4"/>
  <c r="AR18" i="4"/>
  <c r="AY18" i="4"/>
  <c r="BF18" i="4"/>
  <c r="AU474" i="4"/>
  <c r="AW474" i="4"/>
  <c r="AW108" i="4"/>
  <c r="AU108" i="4"/>
  <c r="AR406" i="4"/>
  <c r="BC406" i="4"/>
  <c r="BF406" i="4"/>
  <c r="AY406" i="4"/>
  <c r="BA433" i="4"/>
  <c r="AU417" i="4"/>
  <c r="AW417" i="4"/>
  <c r="AW331" i="4"/>
  <c r="AU331" i="4"/>
  <c r="AU37" i="4"/>
  <c r="AW37" i="4"/>
  <c r="AU172" i="4"/>
  <c r="AW172" i="4"/>
  <c r="AW329" i="4"/>
  <c r="AU329" i="4"/>
  <c r="AW26" i="4"/>
  <c r="AU26" i="4"/>
  <c r="AW281" i="4"/>
  <c r="AU281" i="4"/>
  <c r="AU178" i="4"/>
  <c r="AW178" i="4"/>
  <c r="AU106" i="4"/>
  <c r="AW106" i="4"/>
  <c r="AW292" i="4"/>
  <c r="AU292" i="4"/>
  <c r="AU312" i="4"/>
  <c r="AW312" i="4"/>
  <c r="AW124" i="4"/>
  <c r="AU124" i="4"/>
  <c r="AW359" i="4"/>
  <c r="AU359" i="4"/>
  <c r="AW396" i="4"/>
  <c r="AU396" i="4"/>
  <c r="AO7" i="4"/>
  <c r="AW421" i="4"/>
  <c r="AU421" i="4"/>
  <c r="AU414" i="4"/>
  <c r="AW414" i="4"/>
  <c r="AW282" i="4"/>
  <c r="AU282" i="4"/>
  <c r="AU179" i="4"/>
  <c r="AW179" i="4"/>
  <c r="AU479" i="4"/>
  <c r="AW479" i="4"/>
  <c r="AU305" i="4"/>
  <c r="AW305" i="4"/>
  <c r="AW189" i="4"/>
  <c r="AU189" i="4"/>
  <c r="AW319" i="4"/>
  <c r="AU319" i="4"/>
  <c r="AU278" i="4"/>
  <c r="AW278" i="4"/>
  <c r="AW288" i="4"/>
  <c r="AU288" i="4"/>
  <c r="AU296" i="4"/>
  <c r="AW296" i="4"/>
  <c r="AU236" i="4"/>
  <c r="AW236" i="4"/>
  <c r="AW261" i="4"/>
  <c r="AU261" i="4"/>
  <c r="AW409" i="4"/>
  <c r="AU409" i="4"/>
  <c r="AW382" i="4"/>
  <c r="AU382" i="4"/>
  <c r="AU356" i="4"/>
  <c r="AW356" i="4"/>
  <c r="AU301" i="4"/>
  <c r="AW301" i="4"/>
  <c r="AU150" i="4"/>
  <c r="AW150" i="4"/>
  <c r="AR426" i="4"/>
  <c r="AU362" i="4"/>
  <c r="AW362" i="4"/>
  <c r="AU97" i="4"/>
  <c r="AW97" i="4"/>
  <c r="AW403" i="4"/>
  <c r="AU403" i="4"/>
  <c r="AW226" i="4"/>
  <c r="AU226" i="4"/>
  <c r="AU41" i="4"/>
  <c r="AW41" i="4"/>
  <c r="AW183" i="4"/>
  <c r="AU183" i="4"/>
  <c r="AU117" i="4"/>
  <c r="AW117" i="4"/>
  <c r="AW90" i="4"/>
  <c r="AU90" i="4"/>
  <c r="AR91" i="4"/>
  <c r="AW330" i="4"/>
  <c r="AU330" i="4"/>
  <c r="AU145" i="4"/>
  <c r="AW145" i="4"/>
  <c r="AW77" i="4"/>
  <c r="AU77" i="4"/>
  <c r="AW286" i="4"/>
  <c r="AU286" i="4"/>
  <c r="AW343" i="4"/>
  <c r="AU343" i="4"/>
  <c r="AW377" i="4"/>
  <c r="AU377" i="4"/>
  <c r="AW322" i="4"/>
  <c r="AU322" i="4"/>
  <c r="AW393" i="4"/>
  <c r="AU393" i="4"/>
  <c r="AW149" i="4"/>
  <c r="AU149" i="4"/>
  <c r="AU73" i="4"/>
  <c r="AW73" i="4"/>
  <c r="AU237" i="4"/>
  <c r="AW237" i="4"/>
  <c r="AW352" i="4"/>
  <c r="AU352" i="4"/>
  <c r="AU27" i="4"/>
  <c r="AW27" i="4"/>
  <c r="AR430" i="4"/>
  <c r="AW115" i="4"/>
  <c r="AU115" i="4"/>
  <c r="AW317" i="4"/>
  <c r="AU317" i="4"/>
  <c r="AW374" i="4"/>
  <c r="AU374" i="4"/>
  <c r="AU402" i="4"/>
  <c r="AW402" i="4"/>
  <c r="AU88" i="4"/>
  <c r="AW88" i="4"/>
  <c r="AU411" i="4"/>
  <c r="AW411" i="4"/>
  <c r="AW13" i="4"/>
  <c r="AU13" i="4"/>
  <c r="AU216" i="4"/>
  <c r="AW216" i="4"/>
  <c r="AW140" i="4"/>
  <c r="AU140" i="4"/>
  <c r="AW445" i="4"/>
  <c r="AU445" i="4"/>
  <c r="AW96" i="4"/>
  <c r="AU96" i="4"/>
  <c r="AW148" i="4"/>
  <c r="AU148" i="4"/>
  <c r="AW277" i="4"/>
  <c r="AU277" i="4"/>
  <c r="AU118" i="4"/>
  <c r="AW118" i="4"/>
  <c r="AU346" i="4"/>
  <c r="AW346" i="4"/>
  <c r="AU389" i="4"/>
  <c r="AW389" i="4"/>
  <c r="AW80" i="4"/>
  <c r="AU80" i="4"/>
  <c r="AW75" i="4"/>
  <c r="AU75" i="4"/>
  <c r="AU436" i="4"/>
  <c r="AW436" i="4"/>
  <c r="AU272" i="4"/>
  <c r="AW272" i="4"/>
  <c r="AW66" i="4"/>
  <c r="AU66" i="4"/>
  <c r="AW19" i="4"/>
  <c r="AU19" i="4"/>
  <c r="AU192" i="4"/>
  <c r="AW192" i="4"/>
  <c r="AU211" i="4"/>
  <c r="AW211" i="4"/>
  <c r="AU429" i="4"/>
  <c r="AW429" i="4"/>
  <c r="AU142" i="4"/>
  <c r="AW142" i="4"/>
  <c r="AW64" i="4"/>
  <c r="AU64" i="4"/>
  <c r="AU255" i="4"/>
  <c r="AW255" i="4"/>
  <c r="AW349" i="4"/>
  <c r="AU349" i="4"/>
  <c r="AW24" i="4"/>
  <c r="AU24" i="4"/>
  <c r="AW486" i="4"/>
  <c r="AU486" i="4"/>
  <c r="AW284" i="4"/>
  <c r="AU284" i="4"/>
  <c r="AR465" i="4"/>
  <c r="AU217" i="4"/>
  <c r="AW217" i="4"/>
  <c r="AU269" i="4"/>
  <c r="AW269" i="4"/>
  <c r="AU207" i="4"/>
  <c r="AW207" i="4"/>
  <c r="AU44" i="4"/>
  <c r="AW44" i="4"/>
  <c r="AW246" i="4"/>
  <c r="AU246" i="4"/>
  <c r="BC427" i="4"/>
  <c r="AU372" i="4"/>
  <c r="AW372" i="4"/>
  <c r="AW280" i="4"/>
  <c r="AU280" i="4"/>
  <c r="AW48" i="4"/>
  <c r="AU48" i="4"/>
  <c r="AU144" i="4"/>
  <c r="AW144" i="4"/>
  <c r="AU39" i="4"/>
  <c r="AW39" i="4"/>
  <c r="AW81" i="4"/>
  <c r="AU81" i="4"/>
  <c r="AW167" i="4"/>
  <c r="AU167" i="4"/>
  <c r="AW57" i="4"/>
  <c r="AU57" i="4"/>
  <c r="AU205" i="4"/>
  <c r="AW205" i="4"/>
  <c r="BA438" i="4"/>
  <c r="AU483" i="4"/>
  <c r="AW483" i="4"/>
  <c r="AW186" i="4"/>
  <c r="AU186" i="4"/>
  <c r="BA209" i="4"/>
  <c r="BA62" i="4"/>
  <c r="BA283" i="4"/>
  <c r="AU171" i="4"/>
  <c r="AW171" i="4"/>
  <c r="AU395" i="4"/>
  <c r="AW395" i="4"/>
  <c r="AW233" i="4"/>
  <c r="AU233" i="4"/>
  <c r="AW365" i="4"/>
  <c r="AU365" i="4"/>
  <c r="BA384" i="4"/>
  <c r="BA469" i="4"/>
  <c r="AW40" i="4"/>
  <c r="AU40" i="4"/>
  <c r="BA325" i="4"/>
  <c r="L5" i="5"/>
  <c r="M9" i="5"/>
  <c r="M5" i="5" s="1"/>
  <c r="AR419" i="4"/>
  <c r="AU297" i="4"/>
  <c r="AW297" i="4"/>
  <c r="AU300" i="4"/>
  <c r="AW300" i="4"/>
  <c r="AW263" i="4"/>
  <c r="AU263" i="4"/>
  <c r="AR390" i="4"/>
  <c r="AY430" i="4"/>
  <c r="AW161" i="4"/>
  <c r="AU161" i="4"/>
  <c r="AW151" i="4"/>
  <c r="AU151" i="4"/>
  <c r="BA222" i="4"/>
  <c r="AW451" i="4"/>
  <c r="AU451" i="4"/>
  <c r="AU238" i="4"/>
  <c r="AW238" i="4"/>
  <c r="AW147" i="4"/>
  <c r="AU147" i="4"/>
  <c r="BA462" i="4"/>
  <c r="BA326" i="4"/>
  <c r="BA164" i="4"/>
  <c r="AW190" i="4"/>
  <c r="AU190" i="4"/>
  <c r="BA131" i="4"/>
  <c r="AU14" i="4"/>
  <c r="AW14" i="4"/>
  <c r="AW113" i="4"/>
  <c r="AU113" i="4"/>
  <c r="BA84" i="4"/>
  <c r="BA231" i="4"/>
  <c r="AW244" i="4"/>
  <c r="AU244" i="4"/>
  <c r="BA470" i="4"/>
  <c r="BA302" i="4"/>
  <c r="BA102" i="4"/>
  <c r="AU472" i="4"/>
  <c r="AW472" i="4"/>
  <c r="AU68" i="4"/>
  <c r="AW68" i="4"/>
  <c r="AW304" i="4"/>
  <c r="AU304" i="4"/>
  <c r="AW247" i="4"/>
  <c r="AU247" i="4"/>
  <c r="AW30" i="4"/>
  <c r="AU30" i="4"/>
  <c r="AW350" i="4"/>
  <c r="AU350" i="4"/>
  <c r="AU210" i="4"/>
  <c r="AW210" i="4"/>
  <c r="AW453" i="4"/>
  <c r="AU453" i="4"/>
  <c r="AU363" i="4"/>
  <c r="AW363" i="4"/>
  <c r="AW153" i="4"/>
  <c r="AU153" i="4"/>
  <c r="AU420" i="4"/>
  <c r="AW420" i="4"/>
  <c r="AW327" i="4"/>
  <c r="AU327" i="4"/>
  <c r="AW29" i="4"/>
  <c r="AU29" i="4"/>
  <c r="AW162" i="4"/>
  <c r="AU162" i="4"/>
  <c r="AU218" i="4"/>
  <c r="AW218" i="4"/>
  <c r="AW160" i="4"/>
  <c r="AU160" i="4"/>
  <c r="BA454" i="4"/>
  <c r="BA219" i="4"/>
  <c r="AU412" i="4"/>
  <c r="AW412" i="4"/>
  <c r="BA464" i="4"/>
  <c r="AW187" i="4"/>
  <c r="AU187" i="4"/>
  <c r="BA239" i="4"/>
  <c r="AW200" i="4"/>
  <c r="AU200" i="4"/>
  <c r="AW175" i="4"/>
  <c r="AU175" i="4"/>
  <c r="AU25" i="4"/>
  <c r="AW25" i="4"/>
  <c r="AW107" i="4"/>
  <c r="AU107" i="4"/>
  <c r="BA381" i="4"/>
  <c r="AW206" i="4"/>
  <c r="AU206" i="4"/>
  <c r="BA220" i="4"/>
  <c r="AU67" i="4"/>
  <c r="AW67" i="4"/>
  <c r="BA416" i="4"/>
  <c r="BA243" i="4"/>
  <c r="AW275" i="4"/>
  <c r="AU275" i="4"/>
  <c r="AU323" i="4"/>
  <c r="AW323" i="4"/>
  <c r="AW61" i="4"/>
  <c r="AU61" i="4"/>
  <c r="AW137" i="4"/>
  <c r="AU137" i="4"/>
  <c r="AW378" i="4"/>
  <c r="AU378" i="4"/>
  <c r="BA55" i="4"/>
  <c r="AW249" i="4"/>
  <c r="AU249" i="4"/>
  <c r="AU444" i="4"/>
  <c r="AW444" i="4"/>
  <c r="AU299" i="4"/>
  <c r="AW299" i="4"/>
  <c r="AW99" i="4"/>
  <c r="AU99" i="4"/>
  <c r="AY465" i="4"/>
  <c r="AU440" i="4"/>
  <c r="AW440" i="4"/>
  <c r="BC430" i="4"/>
  <c r="BA461" i="4"/>
  <c r="AW34" i="4"/>
  <c r="AU34" i="4"/>
  <c r="AU121" i="4"/>
  <c r="AW121" i="4"/>
  <c r="AU353" i="4"/>
  <c r="AW353" i="4"/>
  <c r="AU72" i="4"/>
  <c r="AW72" i="4"/>
  <c r="BA204" i="4"/>
  <c r="AU435" i="4"/>
  <c r="AW435" i="4"/>
  <c r="AW109" i="4"/>
  <c r="AU109" i="4"/>
  <c r="AW307" i="4"/>
  <c r="AU307" i="4"/>
  <c r="AW258" i="4"/>
  <c r="AU258" i="4"/>
  <c r="BA228" i="4"/>
  <c r="BA448" i="4"/>
  <c r="AW334" i="4"/>
  <c r="AU334" i="4"/>
  <c r="AU92" i="4"/>
  <c r="AW92" i="4"/>
  <c r="AW257" i="4"/>
  <c r="AU257" i="4"/>
  <c r="AW287" i="4"/>
  <c r="AU287" i="4"/>
  <c r="AU442" i="4"/>
  <c r="AW442" i="4"/>
  <c r="AY427" i="4"/>
  <c r="AU56" i="4"/>
  <c r="AW56" i="4"/>
  <c r="BF12" i="4"/>
  <c r="AW78" i="4"/>
  <c r="AU78" i="4"/>
  <c r="AR422" i="4"/>
  <c r="AW182" i="4"/>
  <c r="AU182" i="4"/>
  <c r="AU33" i="4"/>
  <c r="AW33" i="4"/>
  <c r="AU50" i="4"/>
  <c r="AW50" i="4"/>
  <c r="AW295" i="4"/>
  <c r="AU295" i="4"/>
  <c r="BA310" i="4"/>
  <c r="AU123" i="4"/>
  <c r="AW123" i="4"/>
  <c r="AU360" i="4"/>
  <c r="AW360" i="4"/>
  <c r="AU341" i="4"/>
  <c r="AW341" i="4"/>
  <c r="AW133" i="4"/>
  <c r="AU133" i="4"/>
  <c r="AU70" i="4"/>
  <c r="AW70" i="4"/>
  <c r="AW358" i="4"/>
  <c r="AU358" i="4"/>
  <c r="AU132" i="4"/>
  <c r="AW132" i="4"/>
  <c r="BA36" i="4"/>
  <c r="AW120" i="4"/>
  <c r="AU120" i="4"/>
  <c r="AW52" i="4"/>
  <c r="AU52" i="4"/>
  <c r="AU385" i="4"/>
  <c r="AW385" i="4"/>
  <c r="AW43" i="4"/>
  <c r="AU43" i="4"/>
  <c r="AU492" i="4"/>
  <c r="AW492" i="4"/>
  <c r="AW212" i="4"/>
  <c r="AU212" i="4"/>
  <c r="AU324" i="4"/>
  <c r="AW324" i="4"/>
  <c r="AU457" i="4"/>
  <c r="AW457" i="4"/>
  <c r="AW477" i="4"/>
  <c r="AU477" i="4"/>
  <c r="AW387" i="4"/>
  <c r="AU387" i="4"/>
  <c r="AU224" i="4"/>
  <c r="AW224" i="4"/>
  <c r="BA23" i="4"/>
  <c r="AU418" i="4"/>
  <c r="AW418" i="4"/>
  <c r="AU248" i="4"/>
  <c r="AW248" i="4"/>
  <c r="AU176" i="4"/>
  <c r="AW176" i="4"/>
  <c r="AU71" i="4"/>
  <c r="AW71" i="4"/>
  <c r="AR391" i="4"/>
  <c r="AR410" i="4"/>
  <c r="BA383" i="4"/>
  <c r="AU336" i="4"/>
  <c r="AW336" i="4"/>
  <c r="BA15" i="4"/>
  <c r="AU446" i="4"/>
  <c r="AW446" i="4"/>
  <c r="AU136" i="4"/>
  <c r="AW136" i="4"/>
  <c r="BA169" i="4"/>
  <c r="AU101" i="4"/>
  <c r="AW101" i="4"/>
  <c r="AW181" i="4"/>
  <c r="AU181" i="4"/>
  <c r="AU225" i="4"/>
  <c r="AW225" i="4"/>
  <c r="AU276" i="4"/>
  <c r="AW276" i="4"/>
  <c r="AW129" i="4"/>
  <c r="AU129" i="4"/>
  <c r="AU168" i="4"/>
  <c r="AW168" i="4"/>
  <c r="BA397" i="4"/>
  <c r="AU31" i="4"/>
  <c r="AW31" i="4"/>
  <c r="AU254" i="4"/>
  <c r="AW254" i="4"/>
  <c r="AW333" i="4"/>
  <c r="AU333" i="4"/>
  <c r="AU112" i="4"/>
  <c r="AW112" i="4"/>
  <c r="AW184" i="4"/>
  <c r="AU184" i="4"/>
  <c r="AU309" i="4"/>
  <c r="AW309" i="4"/>
  <c r="AW425" i="4"/>
  <c r="AU425" i="4"/>
  <c r="BA177" i="4"/>
  <c r="AW103" i="4"/>
  <c r="AU103" i="4"/>
  <c r="AW135" i="4"/>
  <c r="AU135" i="4"/>
  <c r="AU89" i="4"/>
  <c r="AW89" i="4"/>
  <c r="AU487" i="4"/>
  <c r="AW487" i="4"/>
  <c r="AW28" i="4"/>
  <c r="AU28" i="4"/>
  <c r="AR441" i="4"/>
  <c r="AW459" i="4"/>
  <c r="AU459" i="4"/>
  <c r="AW251" i="4"/>
  <c r="AU251" i="4"/>
  <c r="AW53" i="4"/>
  <c r="AU53" i="4"/>
  <c r="AW241" i="4"/>
  <c r="AU241" i="4"/>
  <c r="AU95" i="4"/>
  <c r="AW95" i="4"/>
  <c r="BA473" i="4"/>
  <c r="AR16" i="4"/>
  <c r="AW256" i="4"/>
  <c r="AU256" i="4"/>
  <c r="BC390" i="4"/>
  <c r="AU320" i="4"/>
  <c r="AW320" i="4"/>
  <c r="BF422" i="4"/>
  <c r="AW110" i="4"/>
  <c r="AU110" i="4"/>
  <c r="AU306" i="4"/>
  <c r="AW306" i="4"/>
  <c r="AW22" i="4"/>
  <c r="AU22" i="4"/>
  <c r="AU432" i="4"/>
  <c r="AW432" i="4"/>
  <c r="BC391" i="4"/>
  <c r="BF410" i="4"/>
  <c r="AW311" i="4"/>
  <c r="AU311" i="4"/>
  <c r="AU201" i="4"/>
  <c r="AW201" i="4"/>
  <c r="AU475" i="4"/>
  <c r="AW475" i="4"/>
  <c r="BC12" i="4"/>
  <c r="AW458" i="4" l="1"/>
  <c r="AU379" i="4"/>
  <c r="AW463" i="4"/>
  <c r="AW229" i="4"/>
  <c r="BA229" i="4" s="1"/>
  <c r="AW431" i="4"/>
  <c r="AU408" i="4"/>
  <c r="AW398" i="4"/>
  <c r="BA398" i="4" s="1"/>
  <c r="AU380" i="4"/>
  <c r="BA380" i="4" s="1"/>
  <c r="AU405" i="4"/>
  <c r="AW424" i="4"/>
  <c r="BA424" i="4" s="1"/>
  <c r="AR493" i="4"/>
  <c r="AW366" i="4"/>
  <c r="BA366" i="4" s="1"/>
  <c r="AU488" i="4"/>
  <c r="AW488" i="4"/>
  <c r="AS3" i="4"/>
  <c r="BA80" i="4"/>
  <c r="AU423" i="4"/>
  <c r="AW423" i="4"/>
  <c r="AW407" i="4"/>
  <c r="BA407" i="4" s="1"/>
  <c r="AW32" i="4"/>
  <c r="BA32" i="4" s="1"/>
  <c r="AW367" i="4"/>
  <c r="AU367" i="4"/>
  <c r="BA154" i="4"/>
  <c r="BA227" i="4"/>
  <c r="BA198" i="4"/>
  <c r="BA340" i="4"/>
  <c r="BA291" i="4"/>
  <c r="BA232" i="4"/>
  <c r="BA274" i="4"/>
  <c r="BA46" i="4"/>
  <c r="BA338" i="4"/>
  <c r="BA315" i="4"/>
  <c r="BA460" i="4"/>
  <c r="BA185" i="4"/>
  <c r="BA351" i="4"/>
  <c r="BA47" i="4"/>
  <c r="BA173" i="4"/>
  <c r="BA159" i="4"/>
  <c r="BA157" i="4"/>
  <c r="BA474" i="4"/>
  <c r="BA69" i="4"/>
  <c r="BA399" i="4"/>
  <c r="BA208" i="4"/>
  <c r="BA369" i="4"/>
  <c r="BA63" i="4"/>
  <c r="BA163" i="4"/>
  <c r="BA19" i="4"/>
  <c r="BA75" i="4"/>
  <c r="BA277" i="4"/>
  <c r="BA96" i="4"/>
  <c r="BA445" i="4"/>
  <c r="BA317" i="4"/>
  <c r="BA382" i="4"/>
  <c r="BA261" i="4"/>
  <c r="BA189" i="4"/>
  <c r="BA429" i="4"/>
  <c r="BA192" i="4"/>
  <c r="BA436" i="4"/>
  <c r="BA389" i="4"/>
  <c r="BA118" i="4"/>
  <c r="BA88" i="4"/>
  <c r="BA150" i="4"/>
  <c r="BA356" i="4"/>
  <c r="BA236" i="4"/>
  <c r="AY493" i="4"/>
  <c r="BA110" i="4"/>
  <c r="BA387" i="4"/>
  <c r="BA358" i="4"/>
  <c r="BA133" i="4"/>
  <c r="BA90" i="4"/>
  <c r="BA183" i="4"/>
  <c r="BA226" i="4"/>
  <c r="BA455" i="4"/>
  <c r="BA262" i="4"/>
  <c r="BA273" i="4"/>
  <c r="BA285" i="4"/>
  <c r="BA74" i="4"/>
  <c r="BA456" i="4"/>
  <c r="BA146" i="4"/>
  <c r="BA253" i="4"/>
  <c r="BA114" i="4"/>
  <c r="BA22" i="4"/>
  <c r="BA43" i="4"/>
  <c r="BA483" i="4"/>
  <c r="BA207" i="4"/>
  <c r="BA40" i="4"/>
  <c r="BA365" i="4"/>
  <c r="BA186" i="4"/>
  <c r="BA24" i="4"/>
  <c r="BA57" i="4"/>
  <c r="BA81" i="4"/>
  <c r="BA280" i="4"/>
  <c r="BA108" i="4"/>
  <c r="BA117" i="4"/>
  <c r="BA41" i="4"/>
  <c r="BA260" i="4"/>
  <c r="BA270" i="4"/>
  <c r="BA135" i="4"/>
  <c r="BA39" i="4"/>
  <c r="BA362" i="4"/>
  <c r="BA212" i="4"/>
  <c r="BA52" i="4"/>
  <c r="BA372" i="4"/>
  <c r="BA61" i="4"/>
  <c r="BA275" i="4"/>
  <c r="BA175" i="4"/>
  <c r="BA100" i="4"/>
  <c r="BA171" i="4"/>
  <c r="BA205" i="4"/>
  <c r="BA217" i="4"/>
  <c r="BA107" i="4"/>
  <c r="BA134" i="4"/>
  <c r="BA129" i="4"/>
  <c r="BA378" i="4"/>
  <c r="BA29" i="4"/>
  <c r="BA161" i="4"/>
  <c r="BA263" i="4"/>
  <c r="BA71" i="4"/>
  <c r="BA354" i="4"/>
  <c r="BA138" i="4"/>
  <c r="BA89" i="4"/>
  <c r="BA168" i="4"/>
  <c r="BA300" i="4"/>
  <c r="BA276" i="4"/>
  <c r="BA311" i="4"/>
  <c r="BA248" i="4"/>
  <c r="BA33" i="4"/>
  <c r="BA182" i="4"/>
  <c r="BA137" i="4"/>
  <c r="BA200" i="4"/>
  <c r="BA160" i="4"/>
  <c r="BA162" i="4"/>
  <c r="BA327" i="4"/>
  <c r="BA190" i="4"/>
  <c r="BA151" i="4"/>
  <c r="BA361" i="4"/>
  <c r="BA468" i="4"/>
  <c r="BA392" i="4"/>
  <c r="BA449" i="4"/>
  <c r="BA73" i="4"/>
  <c r="BA145" i="4"/>
  <c r="BA95" i="4"/>
  <c r="BA442" i="4"/>
  <c r="BA353" i="4"/>
  <c r="BA444" i="4"/>
  <c r="BA68" i="4"/>
  <c r="BA14" i="4"/>
  <c r="BA27" i="4"/>
  <c r="BA149" i="4"/>
  <c r="BA322" i="4"/>
  <c r="BA343" i="4"/>
  <c r="BA77" i="4"/>
  <c r="BA330" i="4"/>
  <c r="BA479" i="4"/>
  <c r="BA178" i="4"/>
  <c r="BA172" i="4"/>
  <c r="BA489" i="4"/>
  <c r="BA413" i="4"/>
  <c r="BA196" i="4"/>
  <c r="BA256" i="4"/>
  <c r="BA241" i="4"/>
  <c r="BA251" i="4"/>
  <c r="BA425" i="4"/>
  <c r="BA184" i="4"/>
  <c r="BA333" i="4"/>
  <c r="BA477" i="4"/>
  <c r="BA120" i="4"/>
  <c r="BA132" i="4"/>
  <c r="BA78" i="4"/>
  <c r="BA287" i="4"/>
  <c r="BA307" i="4"/>
  <c r="BA249" i="4"/>
  <c r="BA206" i="4"/>
  <c r="BA187" i="4"/>
  <c r="BA30" i="4"/>
  <c r="BA304" i="4"/>
  <c r="BA244" i="4"/>
  <c r="BA113" i="4"/>
  <c r="BA352" i="4"/>
  <c r="BA359" i="4"/>
  <c r="BA281" i="4"/>
  <c r="BA329" i="4"/>
  <c r="BA165" i="4"/>
  <c r="BA139" i="4"/>
  <c r="BA20" i="4"/>
  <c r="BA408" i="4"/>
  <c r="BA355" i="4"/>
  <c r="BA111" i="4"/>
  <c r="BA35" i="4"/>
  <c r="BA450" i="4"/>
  <c r="BA490" i="4"/>
  <c r="BA128" i="4"/>
  <c r="BA308" i="4"/>
  <c r="BA152" i="4"/>
  <c r="BA475" i="4"/>
  <c r="BA306" i="4"/>
  <c r="BA309" i="4"/>
  <c r="BA254" i="4"/>
  <c r="BA136" i="4"/>
  <c r="AW391" i="4"/>
  <c r="AU391" i="4"/>
  <c r="BA224" i="4"/>
  <c r="BA492" i="4"/>
  <c r="BA70" i="4"/>
  <c r="BA56" i="4"/>
  <c r="BA218" i="4"/>
  <c r="BA458" i="4"/>
  <c r="BA44" i="4"/>
  <c r="BA269" i="4"/>
  <c r="AW465" i="4"/>
  <c r="AU465" i="4"/>
  <c r="AW430" i="4"/>
  <c r="AU430" i="4"/>
  <c r="BA305" i="4"/>
  <c r="BA179" i="4"/>
  <c r="BA414" i="4"/>
  <c r="BA312" i="4"/>
  <c r="BA106" i="4"/>
  <c r="BA37" i="4"/>
  <c r="BA417" i="4"/>
  <c r="BA375" i="4"/>
  <c r="BA386" i="4"/>
  <c r="BA321" i="4"/>
  <c r="BA38" i="4"/>
  <c r="BA337" i="4"/>
  <c r="BA298" i="4"/>
  <c r="BA357" i="4"/>
  <c r="BA193" i="4"/>
  <c r="BA293" i="4"/>
  <c r="BA126" i="4"/>
  <c r="BA82" i="4"/>
  <c r="BA240" i="4"/>
  <c r="BA404" i="4"/>
  <c r="BA371" i="4"/>
  <c r="BA279" i="4"/>
  <c r="BA76" i="4"/>
  <c r="BA202" i="4"/>
  <c r="BA127" i="4"/>
  <c r="BA370" i="4"/>
  <c r="BA466" i="4"/>
  <c r="BA373" i="4"/>
  <c r="BA250" i="4"/>
  <c r="BA348" i="4"/>
  <c r="BA342" i="4"/>
  <c r="BA266" i="4"/>
  <c r="AR7" i="4"/>
  <c r="AW12" i="4"/>
  <c r="AU12" i="4"/>
  <c r="AU422" i="4"/>
  <c r="AW422" i="4"/>
  <c r="BA432" i="4"/>
  <c r="BA112" i="4"/>
  <c r="BA324" i="4"/>
  <c r="BA341" i="4"/>
  <c r="AW16" i="4"/>
  <c r="AU16" i="4"/>
  <c r="AW441" i="4"/>
  <c r="AU441" i="4"/>
  <c r="BA101" i="4"/>
  <c r="BA418" i="4"/>
  <c r="BA50" i="4"/>
  <c r="BA121" i="4"/>
  <c r="BA395" i="4"/>
  <c r="BA144" i="4"/>
  <c r="BA246" i="4"/>
  <c r="BA431" i="4"/>
  <c r="BA255" i="4"/>
  <c r="BA142" i="4"/>
  <c r="BA211" i="4"/>
  <c r="BA272" i="4"/>
  <c r="BA346" i="4"/>
  <c r="BA216" i="4"/>
  <c r="BA411" i="4"/>
  <c r="BA402" i="4"/>
  <c r="BA237" i="4"/>
  <c r="BA97" i="4"/>
  <c r="AW426" i="4"/>
  <c r="AU426" i="4"/>
  <c r="BA301" i="4"/>
  <c r="BA296" i="4"/>
  <c r="BA278" i="4"/>
  <c r="BA282" i="4"/>
  <c r="BA421" i="4"/>
  <c r="BA396" i="4"/>
  <c r="BA124" i="4"/>
  <c r="BA292" i="4"/>
  <c r="BA26" i="4"/>
  <c r="BA331" i="4"/>
  <c r="AU18" i="4"/>
  <c r="AW18" i="4"/>
  <c r="AU401" i="4"/>
  <c r="AW401" i="4"/>
  <c r="AW427" i="4"/>
  <c r="AU427" i="4"/>
  <c r="BA65" i="4"/>
  <c r="AW410" i="4"/>
  <c r="AU410" i="4"/>
  <c r="AW390" i="4"/>
  <c r="AU390" i="4"/>
  <c r="BA463" i="4"/>
  <c r="BA385" i="4"/>
  <c r="BA123" i="4"/>
  <c r="BA440" i="4"/>
  <c r="BA320" i="4"/>
  <c r="BA487" i="4"/>
  <c r="BA225" i="4"/>
  <c r="BA336" i="4"/>
  <c r="BA176" i="4"/>
  <c r="BA92" i="4"/>
  <c r="BA72" i="4"/>
  <c r="BA299" i="4"/>
  <c r="BA420" i="4"/>
  <c r="BA363" i="4"/>
  <c r="BA210" i="4"/>
  <c r="BA472" i="4"/>
  <c r="BA238" i="4"/>
  <c r="BA297" i="4"/>
  <c r="BA201" i="4"/>
  <c r="BA53" i="4"/>
  <c r="BA459" i="4"/>
  <c r="BA28" i="4"/>
  <c r="BA103" i="4"/>
  <c r="BA31" i="4"/>
  <c r="BA181" i="4"/>
  <c r="BA446" i="4"/>
  <c r="BA457" i="4"/>
  <c r="BA360" i="4"/>
  <c r="BA295" i="4"/>
  <c r="BA257" i="4"/>
  <c r="BA334" i="4"/>
  <c r="BA258" i="4"/>
  <c r="BA109" i="4"/>
  <c r="BA435" i="4"/>
  <c r="BA34" i="4"/>
  <c r="BA99" i="4"/>
  <c r="BA323" i="4"/>
  <c r="BA67" i="4"/>
  <c r="BA25" i="4"/>
  <c r="BA412" i="4"/>
  <c r="BA153" i="4"/>
  <c r="BA453" i="4"/>
  <c r="BA350" i="4"/>
  <c r="BA247" i="4"/>
  <c r="BA147" i="4"/>
  <c r="BA451" i="4"/>
  <c r="AW419" i="4"/>
  <c r="AU419" i="4"/>
  <c r="BA233" i="4"/>
  <c r="BA167" i="4"/>
  <c r="BA48" i="4"/>
  <c r="BA284" i="4"/>
  <c r="BA486" i="4"/>
  <c r="BA349" i="4"/>
  <c r="BA64" i="4"/>
  <c r="BA66" i="4"/>
  <c r="BA148" i="4"/>
  <c r="BA379" i="4"/>
  <c r="BA140" i="4"/>
  <c r="BA13" i="4"/>
  <c r="BA374" i="4"/>
  <c r="BA115" i="4"/>
  <c r="BA393" i="4"/>
  <c r="BA377" i="4"/>
  <c r="BA286" i="4"/>
  <c r="AU91" i="4"/>
  <c r="AW91" i="4"/>
  <c r="BA403" i="4"/>
  <c r="BA409" i="4"/>
  <c r="BA288" i="4"/>
  <c r="BA319" i="4"/>
  <c r="AU406" i="4"/>
  <c r="AW406" i="4"/>
  <c r="BA180" i="4"/>
  <c r="BA259" i="4"/>
  <c r="BA122" i="4"/>
  <c r="AW388" i="4"/>
  <c r="AU388" i="4"/>
  <c r="BA45" i="4"/>
  <c r="BA104" i="4"/>
  <c r="BA480" i="4"/>
  <c r="BA332" i="4"/>
  <c r="BA290" i="4"/>
  <c r="BA242" i="4"/>
  <c r="BA434" i="4"/>
  <c r="BA443" i="4"/>
  <c r="BA294" i="4"/>
  <c r="BA51" i="4"/>
  <c r="BA303" i="4"/>
  <c r="BA405" i="4"/>
  <c r="BA203" i="4"/>
  <c r="BA478" i="4"/>
  <c r="BA49" i="4"/>
  <c r="BA21" i="4"/>
  <c r="BA195" i="4"/>
  <c r="BA335" i="4"/>
  <c r="AU493" i="4" l="1"/>
  <c r="AW493" i="4"/>
  <c r="BA488" i="4"/>
  <c r="BA423" i="4"/>
  <c r="BA367" i="4"/>
  <c r="BA410" i="4"/>
  <c r="BA18" i="4"/>
  <c r="BA16" i="4"/>
  <c r="BA388" i="4"/>
  <c r="BA91" i="4"/>
  <c r="BA441" i="4"/>
  <c r="BA430" i="4"/>
  <c r="BA391" i="4"/>
  <c r="BA422" i="4"/>
  <c r="BA406" i="4"/>
  <c r="BA390" i="4"/>
  <c r="BA401" i="4"/>
  <c r="AU7" i="4"/>
  <c r="G22" i="22" s="1"/>
  <c r="BA12" i="4"/>
  <c r="BA419" i="4"/>
  <c r="BA427" i="4"/>
  <c r="BA426" i="4"/>
  <c r="AW7" i="4"/>
  <c r="G23" i="22" s="1"/>
  <c r="BA465" i="4"/>
  <c r="BA493" i="4" l="1"/>
  <c r="G24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  <author>CS</author>
  </authors>
  <commentList>
    <comment ref="G3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sending kocal
</t>
        </r>
      </text>
    </comment>
    <comment ref="C32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acc:
increase WIP
+ oursourcing</t>
        </r>
      </text>
    </comment>
    <comment ref="G3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deffect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  <author>CS</author>
  </authors>
  <commentList>
    <comment ref="T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finish
</t>
        </r>
      </text>
    </comment>
    <comment ref="V9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CS:</t>
        </r>
        <r>
          <rPr>
            <sz val="9"/>
            <color indexed="81"/>
            <rFont val="Tahoma"/>
            <family val="2"/>
          </rPr>
          <t xml:space="preserve">
NHẬP GIA CÔNG NGOÀI</t>
        </r>
      </text>
    </comment>
    <comment ref="AB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ENDING OF QUY</t>
        </r>
      </text>
    </comment>
    <comment ref="AC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ENDING OF WARE HOUSE 
</t>
        </r>
      </text>
    </comment>
    <comment ref="W1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shipping</t>
        </r>
      </text>
    </comment>
    <comment ref="Z11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warehouse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  <author>thuan</author>
  </authors>
  <commentList>
    <comment ref="H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QUY NHAP+STOCK
</t>
        </r>
      </text>
    </comment>
    <comment ref="M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HÀNG PHẾ
</t>
        </r>
      </text>
    </comment>
    <comment ref="O7" authorId="1" shapeId="0" xr:uid="{00000000-0006-0000-0400-000003000000}">
      <text>
        <r>
          <rPr>
            <b/>
            <sz val="9"/>
            <color indexed="81"/>
            <rFont val="Tahoma"/>
            <family val="2"/>
            <charset val="163"/>
          </rPr>
          <t>thuan:</t>
        </r>
        <r>
          <rPr>
            <sz val="9"/>
            <color indexed="81"/>
            <rFont val="Tahoma"/>
            <family val="2"/>
            <charset val="163"/>
          </rPr>
          <t xml:space="preserve">
TONG PHE
</t>
        </r>
      </text>
    </comment>
    <comment ref="P8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= NHẬP QUÝ + GIA CÔNG + PHẾ</t>
        </r>
      </text>
    </comment>
    <comment ref="G9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nhập gia công 
</t>
        </r>
      </text>
    </comment>
    <comment ref="M9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HÀNG PHẾ 
</t>
        </r>
      </text>
    </comment>
    <comment ref="H10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NHẬP TỪ QUÝ
</t>
        </r>
      </text>
    </comment>
    <comment ref="V10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ECUS
</t>
        </r>
      </text>
    </comment>
    <comment ref="AE10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HÀNG PHẾ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CS</author>
  </authors>
  <commentList>
    <comment ref="B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CS:</t>
        </r>
        <r>
          <rPr>
            <sz val="9"/>
            <color indexed="81"/>
            <rFont val="Tahoma"/>
            <family val="2"/>
          </rPr>
          <t xml:space="preserve">
FS MUA VAO TAI NGAY KET THUC THANG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</authors>
  <commentList>
    <comment ref="J9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Acc:
CUỐI KỲ 622</t>
        </r>
      </text>
    </comment>
    <comment ref="K9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CUỐI KỲ 627
</t>
        </r>
      </text>
    </comment>
    <comment ref="M9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wip tang + gia cong ngoai M+Y (WIP)
</t>
        </r>
      </text>
    </comment>
    <comment ref="N9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Acc:622 TRONG THÁNG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627 TRONG THÁNG</t>
        </r>
      </text>
    </comment>
    <comment ref="S9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QUÝ NHẬP + GIA CÔNG</t>
        </r>
      </text>
    </comment>
    <comment ref="T9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HÀNG PHẾ
deffect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</authors>
  <commentList>
    <comment ref="L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WIP TANG+ GIA CONG NGOi
</t>
        </r>
      </text>
    </comment>
    <comment ref="P10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SP HOÀN THÀNH NHẬP KHO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</author>
  </authors>
  <commentList>
    <comment ref="L9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WIP TANG+GIA CONG
</t>
        </r>
      </text>
    </comment>
    <comment ref="O9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TK 627
</t>
        </r>
      </text>
    </comment>
  </commentList>
</comments>
</file>

<file path=xl/sharedStrings.xml><?xml version="1.0" encoding="utf-8"?>
<sst xmlns="http://schemas.openxmlformats.org/spreadsheetml/2006/main" count="4848" uniqueCount="664">
  <si>
    <t>TOTAL</t>
  </si>
  <si>
    <t>All. By Fac</t>
  </si>
  <si>
    <t>All. all</t>
  </si>
  <si>
    <t>Damages
 Exp</t>
  </si>
  <si>
    <t>Khách hàng/
Buyer</t>
  </si>
  <si>
    <t>Khách hàng/Buyer</t>
  </si>
  <si>
    <t>Số lượng</t>
  </si>
  <si>
    <t>Đầu kỳ/Beginning of month</t>
  </si>
  <si>
    <t>Cắt/Cut (20%)</t>
  </si>
  <si>
    <t>May/Made (50%)</t>
  </si>
  <si>
    <t>CP SXC/Overhead exp.</t>
  </si>
  <si>
    <t>Tổng/Total</t>
  </si>
  <si>
    <t>SL/Q'ty</t>
  </si>
  <si>
    <t>Phân bổ CP/Allocate expenses inc. in month</t>
  </si>
  <si>
    <t xml:space="preserve">Tính Chi phí /Calculate expenses </t>
  </si>
  <si>
    <t>SL/Quantity</t>
  </si>
  <si>
    <t>BTP đầu kỳ/Beg WIP</t>
  </si>
  <si>
    <t>SPDD Cuối kỳ/Ending of month</t>
  </si>
  <si>
    <t>Mã hàng/STYLE-ACC</t>
  </si>
  <si>
    <t>Số cắt
 luỹ kế
cuối  tháng/ Cutting of ending month</t>
  </si>
  <si>
    <t>Số cắt
 luỹ kế
đấu tháng/ Cutting of beginning month</t>
  </si>
  <si>
    <t>WIP dư
đầu kỳ/ WIP of beginning</t>
  </si>
  <si>
    <t>WIP tăng
trong kỳ/ WIP in month</t>
  </si>
  <si>
    <t>Nhận bán thành phẩm tu xưởng khác/ Receipt Wip from other factory</t>
  </si>
  <si>
    <t>WIP giảm
trong kỳ/ Output WIP in month</t>
  </si>
  <si>
    <t>TP tăng trong kỳ/ FG in month</t>
  </si>
  <si>
    <t>Chuyển bán thành phẩm sang xưởng khác/Transfer WIP to other</t>
  </si>
  <si>
    <t>Hàng phế
(Chuyền May)/ Damages</t>
  </si>
  <si>
    <t>WIP 
cuối kỳ/ WIP of ending month</t>
  </si>
  <si>
    <t>Mức độ hoàn thành WIP/ WIP Equivalent</t>
  </si>
  <si>
    <t xml:space="preserve">Số đóng gói
 luỹ kế/ Packing </t>
  </si>
  <si>
    <t>Xuất TP/ Output FG</t>
  </si>
  <si>
    <t>Nhân Điều chuyển TP 
từ xưởng khác/ receipt FG from other factory</t>
  </si>
  <si>
    <t>Xuất xưởng
(Đã xuất khẩu)/ Export</t>
  </si>
  <si>
    <t>Xuất xưởng
(Chưa xuất khẩu)/ Output warehouse but have not export</t>
  </si>
  <si>
    <t>FG cuối
kỳ trong Kho TP PX chưa Xk/ FG ending at Warehouse have not export</t>
  </si>
  <si>
    <t>Tổng Tp cuối
kỳ kho PX/Sum FG ending at Warehouse</t>
  </si>
  <si>
    <t>Stt/
Ref.</t>
  </si>
  <si>
    <t>Mã hàng/
Style No.</t>
  </si>
  <si>
    <t>Doanh thu/
Revenue</t>
  </si>
  <si>
    <t>Giá vốn/
COGS</t>
  </si>
  <si>
    <t>Số tiền/
Amt</t>
  </si>
  <si>
    <t>Customer</t>
  </si>
  <si>
    <t>Openning</t>
  </si>
  <si>
    <t>Input from WIP</t>
  </si>
  <si>
    <t>Processing Expense</t>
  </si>
  <si>
    <t>Transferring to Factories</t>
  </si>
  <si>
    <t>In which production Area</t>
  </si>
  <si>
    <t>In which Brand protection Area</t>
  </si>
  <si>
    <t>Tổng SL/
Total</t>
  </si>
  <si>
    <t>Hao hụt/
Damages</t>
  </si>
  <si>
    <t>Mã hàng/
Style</t>
  </si>
  <si>
    <t>Hàng mẫu/Output for sample products</t>
  </si>
  <si>
    <t>Xưởng/
All. By Fac</t>
  </si>
  <si>
    <t>CP SXC/
Overhead exp.</t>
  </si>
  <si>
    <t>Đơn giá phân bổ
/UP for allocating</t>
  </si>
  <si>
    <t>STT/
Ref.</t>
  </si>
  <si>
    <t>Số lượng hoàn thành tương đương/
Quantity in equivalent units</t>
  </si>
  <si>
    <t>Số lượng TP nhập kho/
Quantity of finished goods input</t>
  </si>
  <si>
    <t>SPHT nhập kho/Finished Products input</t>
  </si>
  <si>
    <t>Nhận SPDD từ xưởng khác
/Receive WIP from other factory</t>
  </si>
  <si>
    <t>SL chuyển BTP/
Transfer WiP Qty</t>
  </si>
  <si>
    <t>SPDD Tăng trong kỳ/
WIP Inc. in month</t>
  </si>
  <si>
    <t>SPDD cuối kỳ/Ending of WIP</t>
  </si>
  <si>
    <t>Đơn giá phân bổ/
UP for allocating (CMP)</t>
  </si>
  <si>
    <t>Số lượng hoàn thành dở dang/Quantity</t>
  </si>
  <si>
    <t>Phân bổ CP trong tháng/Allocate expenses inc. in month</t>
  </si>
  <si>
    <t>TP nhập kho/Finished products input</t>
  </si>
  <si>
    <t>SPDD Cuối kỳ/Ending of WIP</t>
  </si>
  <si>
    <t>SL nhận BTP/
Receive from Wip</t>
  </si>
  <si>
    <t>Cp NCTT/
Direct labour exps</t>
  </si>
  <si>
    <t>CP NCTT/Direct labour exps</t>
  </si>
  <si>
    <t>Damages
 Exps</t>
  </si>
  <si>
    <t>SL HTTD/
Quantity in equivalent units</t>
  </si>
  <si>
    <t>BTP tăng trong kỳ
/Inc. wip</t>
  </si>
  <si>
    <t>Gía trị SP HTTD/ 
Eq wip</t>
  </si>
  <si>
    <t>Số Lượng SP HTTD/ 
Eq wip</t>
  </si>
  <si>
    <t>Cp tổng/
All. all</t>
  </si>
  <si>
    <t>Phân bổ chi phí tất cả/
All. By all</t>
  </si>
  <si>
    <t>TP nhập kho/
Finished products input</t>
  </si>
  <si>
    <t>SL hao hụt/Srcap
Damages
 Qty</t>
  </si>
  <si>
    <t>Scrap Damages
 Qty</t>
  </si>
  <si>
    <t>SL chuyển BTP/
Transer WiP Qty</t>
  </si>
  <si>
    <t>Khách hàng</t>
  </si>
  <si>
    <t>Đầu kỳ</t>
  </si>
  <si>
    <t>Nhập kho TP</t>
  </si>
  <si>
    <t>Chuyển sang xưởng khác</t>
  </si>
  <si>
    <t>Xuất mẫu/Output for sample</t>
  </si>
  <si>
    <t>Xuất khác/Output for Others</t>
  </si>
  <si>
    <t>Cuối kỳ</t>
  </si>
  <si>
    <t>Tồn kho thành phẩm</t>
  </si>
  <si>
    <t>Tồn kho hàng tồn</t>
  </si>
  <si>
    <t>Thành tiền</t>
  </si>
  <si>
    <t>Đơn giá</t>
  </si>
  <si>
    <t>Xuất hàng tồn/Output for Stock</t>
  </si>
  <si>
    <t>Xuất ra/Output</t>
  </si>
  <si>
    <t>COSTING SUMMARY</t>
    <phoneticPr fontId="5" type="noConversion"/>
  </si>
  <si>
    <t>CUTTING</t>
  </si>
  <si>
    <t>PACKING</t>
  </si>
  <si>
    <t>CHOI&amp;SHIN'S VINA CO., LTD</t>
  </si>
  <si>
    <t>CHARTER CLUB</t>
  </si>
  <si>
    <t>INC</t>
  </si>
  <si>
    <t>Ecus</t>
  </si>
  <si>
    <t>STYLE</t>
  </si>
  <si>
    <t>BUYER</t>
  </si>
  <si>
    <t>ANN TAYLOR</t>
  </si>
  <si>
    <t>J JILL</t>
  </si>
  <si>
    <t>NORDSTROM</t>
  </si>
  <si>
    <t>TALBOTS</t>
  </si>
  <si>
    <t>Nhận từ Cp gia công</t>
  </si>
  <si>
    <t>WIP</t>
  </si>
  <si>
    <t>Thành tiền/Amount</t>
  </si>
  <si>
    <t>Tổng số lượng/ The quantity</t>
  </si>
  <si>
    <t>236C Nguyễn Trung Trực, Áp Mỹ Thạnh, Xã Mỹ Phong, Tp Mỹ Tho, Tiền Giang</t>
  </si>
  <si>
    <t>BÁO CÁO SẢN PHẨM DỞ DANG (TỪ PHÂN XƯỞNG)
WORK IN PROCESS REPORT (FROM FACTORY SIDE)</t>
  </si>
  <si>
    <t xml:space="preserve">SỔ TỔNG HỢP CHI TIẾT NHẬP - XUẤT - TỒN THÀNH PHẨM /IN - OUT - BALANCE OF PRODUCTS </t>
  </si>
  <si>
    <t>ĐÁNH GIÁ SẢN PHẨM DỞ DANG - CHI PHÍ NHÂN CÔNG TRỰC TIẾP/WORK IN PROCESS EVALUATION - DIRECT LABOUR EXPENSES</t>
  </si>
  <si>
    <t>ĐÁNH GIÁ SẢN PHẨM DỞ DANG - CHI PHÍ SẢN XUẤT CHUNG/WORK IN PROCESS EVALUATION - OVERHEAD EXPENSES</t>
  </si>
  <si>
    <t>THÀNH TIỀN</t>
  </si>
  <si>
    <t>Tất cả 622/
All. all</t>
  </si>
  <si>
    <t>Tất cả 627/All. all</t>
  </si>
  <si>
    <t>Thành tiền TK 154/Amount</t>
  </si>
  <si>
    <t>Tổng SL TK 154
/Total</t>
  </si>
  <si>
    <t>TỔNG HAO HỤT/Total Amount Damages</t>
  </si>
  <si>
    <t>Số lượng nhập TP</t>
  </si>
  <si>
    <t>THE QUANTITY</t>
  </si>
  <si>
    <t xml:space="preserve"> ACC 154</t>
  </si>
  <si>
    <t>ACC 155</t>
  </si>
  <si>
    <t>ACC 632</t>
  </si>
  <si>
    <t>THE AMOUNT</t>
  </si>
  <si>
    <t>PRICE</t>
  </si>
  <si>
    <t>QUANTITY</t>
  </si>
  <si>
    <t>AMOUNT</t>
  </si>
  <si>
    <t>Xuất khẩu bán/Exporting for sale</t>
  </si>
  <si>
    <t>TỔNG Xuất trong kỳ/
 TOTAL Output in the period</t>
  </si>
  <si>
    <t xml:space="preserve"> TỔNG Nhập trong kỳ/
TOTAL  Input in the period</t>
  </si>
  <si>
    <t>Inventory of Ms Qui</t>
  </si>
  <si>
    <t>Inventory of Ms Nga</t>
  </si>
  <si>
    <t xml:space="preserve">Hàng phế </t>
  </si>
  <si>
    <t>Số cắt trong tháng( Cutting in month)</t>
  </si>
  <si>
    <t>Tp cuối kỳ warehouse/ Sum FG ending at Warehouse</t>
  </si>
  <si>
    <t>FG cuối
kỳ trong Kho TP PX/ FG ending INVENTORY OF QUY</t>
  </si>
  <si>
    <t>Tổng kết chuyển TP/ Total Transfer into FG</t>
  </si>
  <si>
    <t>Số tiền/
Amt USD</t>
  </si>
  <si>
    <t>Số tiền/
Amt vnd</t>
  </si>
  <si>
    <t>FX</t>
  </si>
  <si>
    <t>CMP USD - REVENUES</t>
  </si>
  <si>
    <t>Số lượng xuất Ecus/
Qty</t>
  </si>
  <si>
    <t xml:space="preserve">GIÁ CMP
</t>
  </si>
  <si>
    <t>CMP price</t>
  </si>
  <si>
    <t xml:space="preserve">                                 REVENUE(USD)</t>
  </si>
  <si>
    <t>Ủi/Ironed (80%)</t>
  </si>
  <si>
    <t>pcs</t>
  </si>
  <si>
    <t xml:space="preserve">WIP </t>
  </si>
  <si>
    <t>ACC 622</t>
  </si>
  <si>
    <t>ACC 627</t>
  </si>
  <si>
    <t>NGA</t>
  </si>
  <si>
    <t>In. from line</t>
  </si>
  <si>
    <t>QUY</t>
  </si>
  <si>
    <t>TOTAL TP</t>
  </si>
  <si>
    <t>EQUIVALENT</t>
  </si>
  <si>
    <t>ALFANI</t>
  </si>
  <si>
    <t>100003226</t>
  </si>
  <si>
    <t>7N304</t>
  </si>
  <si>
    <t>7N403</t>
  </si>
  <si>
    <t>7N713</t>
  </si>
  <si>
    <t>RK368419MI</t>
  </si>
  <si>
    <t>Ending 155</t>
  </si>
  <si>
    <t>CMP</t>
  </si>
  <si>
    <t>6D398</t>
  </si>
  <si>
    <t>BUFFALO</t>
  </si>
  <si>
    <t>JONES NY</t>
  </si>
  <si>
    <t>NAMYANG</t>
  </si>
  <si>
    <t>CMP USD  COGS</t>
  </si>
  <si>
    <t>MÃ HÀNG/STYLE</t>
  </si>
  <si>
    <t>KHÁCH HÀNG
BUYER</t>
  </si>
  <si>
    <t>MÃ HÀNG
STYLE</t>
  </si>
  <si>
    <t>TK 641+TK 642</t>
  </si>
  <si>
    <t>CMP USD  641+642</t>
  </si>
  <si>
    <t>STOCK</t>
  </si>
  <si>
    <t>S-69717</t>
  </si>
  <si>
    <t>KPT128571</t>
  </si>
  <si>
    <t>KPT128581</t>
  </si>
  <si>
    <t>KTP115221</t>
  </si>
  <si>
    <t>BP381295MI</t>
  </si>
  <si>
    <t>R2072</t>
  </si>
  <si>
    <t>KPT001611</t>
  </si>
  <si>
    <t>KPT101081</t>
  </si>
  <si>
    <t>79201S</t>
  </si>
  <si>
    <t>7X408</t>
  </si>
  <si>
    <t>7X708</t>
  </si>
  <si>
    <t>7N900</t>
  </si>
  <si>
    <t>KPT114841</t>
  </si>
  <si>
    <t>7D400</t>
  </si>
  <si>
    <t>7D701</t>
  </si>
  <si>
    <t>7D707</t>
  </si>
  <si>
    <t>7D713</t>
  </si>
  <si>
    <t>7D902</t>
  </si>
  <si>
    <t>7N714</t>
  </si>
  <si>
    <t>457050(457434)</t>
  </si>
  <si>
    <t>10010195(7D324)</t>
  </si>
  <si>
    <t>7D320(100010192)</t>
  </si>
  <si>
    <t>7D534(100010660)</t>
  </si>
  <si>
    <t>7D635(100006969)</t>
  </si>
  <si>
    <t>7D650(1000010275)</t>
  </si>
  <si>
    <t>7D664(100007920)</t>
  </si>
  <si>
    <t>7D670(100007909)</t>
  </si>
  <si>
    <t>258G824</t>
  </si>
  <si>
    <t>7X733</t>
  </si>
  <si>
    <t>452172(456261)</t>
  </si>
  <si>
    <t>453516(456278)</t>
  </si>
  <si>
    <t>456532(456692)</t>
  </si>
  <si>
    <t>KCL0026</t>
  </si>
  <si>
    <t>KDR112751</t>
  </si>
  <si>
    <t>KJT112641</t>
  </si>
  <si>
    <t>KJT113771</t>
  </si>
  <si>
    <t>KPT128561</t>
  </si>
  <si>
    <t>KTP101721</t>
  </si>
  <si>
    <t>KTP109571</t>
  </si>
  <si>
    <t>KTP109581</t>
  </si>
  <si>
    <t>KTP112701</t>
  </si>
  <si>
    <t>JMML9R1668</t>
  </si>
  <si>
    <t>JPMR8KT003</t>
  </si>
  <si>
    <t>BK381915MI</t>
  </si>
  <si>
    <t>BP381321MI</t>
  </si>
  <si>
    <t>HA372336MI</t>
  </si>
  <si>
    <t>RK381125MI</t>
  </si>
  <si>
    <t>258G823</t>
  </si>
  <si>
    <t>258G827</t>
  </si>
  <si>
    <t>444136(444143)</t>
  </si>
  <si>
    <t>453289(456581)</t>
  </si>
  <si>
    <t>453595(456582)</t>
  </si>
  <si>
    <t>456729(456854)</t>
  </si>
  <si>
    <t>458244(458839)</t>
  </si>
  <si>
    <t>RK380880MI</t>
  </si>
  <si>
    <t>RK381912MI</t>
  </si>
  <si>
    <t>KPT118131</t>
  </si>
  <si>
    <t>KTP121661</t>
  </si>
  <si>
    <t>A74211</t>
  </si>
  <si>
    <t>100009618</t>
  </si>
  <si>
    <t>100003227</t>
  </si>
  <si>
    <t>100004407</t>
  </si>
  <si>
    <t>100008598</t>
  </si>
  <si>
    <t>100008605</t>
  </si>
  <si>
    <t>100008660</t>
  </si>
  <si>
    <t>100008704</t>
  </si>
  <si>
    <t>100008746</t>
  </si>
  <si>
    <t>100010055</t>
  </si>
  <si>
    <t>100010579</t>
  </si>
  <si>
    <t>100013421</t>
  </si>
  <si>
    <t>100015669</t>
  </si>
  <si>
    <t>100018310</t>
  </si>
  <si>
    <t>100020548</t>
  </si>
  <si>
    <t>457802</t>
  </si>
  <si>
    <t>457815</t>
  </si>
  <si>
    <t>460591</t>
  </si>
  <si>
    <t>461609</t>
  </si>
  <si>
    <t>464818</t>
  </si>
  <si>
    <t>465409</t>
  </si>
  <si>
    <t>466852</t>
  </si>
  <si>
    <t>468248</t>
  </si>
  <si>
    <t>100015151</t>
  </si>
  <si>
    <t>100021859</t>
  </si>
  <si>
    <t>100021861</t>
  </si>
  <si>
    <t>182034355</t>
  </si>
  <si>
    <t>182034365</t>
  </si>
  <si>
    <t>463036</t>
  </si>
  <si>
    <t>468543</t>
  </si>
  <si>
    <t>TL298630MI</t>
  </si>
  <si>
    <t>100015358</t>
  </si>
  <si>
    <t>100022090</t>
  </si>
  <si>
    <t>182034820</t>
  </si>
  <si>
    <t>457223</t>
  </si>
  <si>
    <t>461186</t>
  </si>
  <si>
    <t>461795</t>
  </si>
  <si>
    <t>463022</t>
  </si>
  <si>
    <t>463024</t>
  </si>
  <si>
    <t>463029</t>
  </si>
  <si>
    <t>463030</t>
  </si>
  <si>
    <t>466459</t>
  </si>
  <si>
    <t>467476</t>
  </si>
  <si>
    <t>468585</t>
  </si>
  <si>
    <t>471857</t>
  </si>
  <si>
    <t>KTP122131</t>
  </si>
  <si>
    <t>KTP124011</t>
  </si>
  <si>
    <t>KTP124021</t>
  </si>
  <si>
    <t>2072S</t>
  </si>
  <si>
    <t>ANNTAYLOR</t>
  </si>
  <si>
    <t>HA114491MI</t>
  </si>
  <si>
    <t>style</t>
  </si>
  <si>
    <t>đầu kỳ</t>
  </si>
  <si>
    <t>tổng cat</t>
  </si>
  <si>
    <t>tăng</t>
  </si>
  <si>
    <t>KPT122931</t>
  </si>
  <si>
    <t>Xuất hủy phế/Output for Destruction</t>
  </si>
  <si>
    <t>Beginning</t>
  </si>
  <si>
    <t>Ending</t>
  </si>
  <si>
    <t>LÃI GỘP /SALES PROFIT</t>
  </si>
  <si>
    <t>Lãi gộp/sales profit</t>
  </si>
  <si>
    <t>SALES PROFIT USD</t>
  </si>
  <si>
    <t>69717</t>
  </si>
  <si>
    <t>73738</t>
  </si>
  <si>
    <t>73736</t>
  </si>
  <si>
    <t>73746</t>
  </si>
  <si>
    <t>73640</t>
  </si>
  <si>
    <t>7285</t>
  </si>
  <si>
    <t>79708</t>
  </si>
  <si>
    <t>1596</t>
  </si>
  <si>
    <t>100002317</t>
  </si>
  <si>
    <t>1323</t>
  </si>
  <si>
    <t>79201</t>
  </si>
  <si>
    <t>446749</t>
  </si>
  <si>
    <t>446053</t>
  </si>
  <si>
    <t>100004405</t>
  </si>
  <si>
    <t>100003246</t>
  </si>
  <si>
    <t>100001802</t>
  </si>
  <si>
    <t>68416</t>
  </si>
  <si>
    <t>1622</t>
  </si>
  <si>
    <t>1623</t>
  </si>
  <si>
    <t>100004400</t>
  </si>
  <si>
    <t>100008889</t>
  </si>
  <si>
    <t>100006911</t>
  </si>
  <si>
    <t>174034722</t>
  </si>
  <si>
    <t>174034719</t>
  </si>
  <si>
    <t>174034721</t>
  </si>
  <si>
    <t>174034717</t>
  </si>
  <si>
    <t>76710</t>
  </si>
  <si>
    <t>453280</t>
  </si>
  <si>
    <t>100003486</t>
  </si>
  <si>
    <t>100003532</t>
  </si>
  <si>
    <t>100003576</t>
  </si>
  <si>
    <t>100004422</t>
  </si>
  <si>
    <t>100004424</t>
  </si>
  <si>
    <t>100005621</t>
  </si>
  <si>
    <t>100005705</t>
  </si>
  <si>
    <t>100005710</t>
  </si>
  <si>
    <t>100006873</t>
  </si>
  <si>
    <t>100006874</t>
  </si>
  <si>
    <t>100008197</t>
  </si>
  <si>
    <t>100008887</t>
  </si>
  <si>
    <t>100010879</t>
  </si>
  <si>
    <t>100010914</t>
  </si>
  <si>
    <t>100011006</t>
  </si>
  <si>
    <t>100011101</t>
  </si>
  <si>
    <t>100011102</t>
  </si>
  <si>
    <t>2335</t>
  </si>
  <si>
    <t>7220</t>
  </si>
  <si>
    <t>448556</t>
  </si>
  <si>
    <t>454819</t>
  </si>
  <si>
    <t>100007750</t>
  </si>
  <si>
    <t>100008168</t>
  </si>
  <si>
    <t>100003487</t>
  </si>
  <si>
    <t>100003506</t>
  </si>
  <si>
    <t>100003522</t>
  </si>
  <si>
    <t>100003523</t>
  </si>
  <si>
    <t>100003547</t>
  </si>
  <si>
    <t>100003559</t>
  </si>
  <si>
    <t>100003582</t>
  </si>
  <si>
    <t>100003585</t>
  </si>
  <si>
    <t>100003592</t>
  </si>
  <si>
    <t>100004432</t>
  </si>
  <si>
    <t>100008196</t>
  </si>
  <si>
    <t>100008212</t>
  </si>
  <si>
    <t>100008214</t>
  </si>
  <si>
    <t>100008216</t>
  </si>
  <si>
    <t>100009597</t>
  </si>
  <si>
    <t>74401</t>
  </si>
  <si>
    <t>453609</t>
  </si>
  <si>
    <t>455129</t>
  </si>
  <si>
    <t>455571</t>
  </si>
  <si>
    <t>100005023</t>
  </si>
  <si>
    <t>100007764</t>
  </si>
  <si>
    <t>100007863</t>
  </si>
  <si>
    <t>100009688</t>
  </si>
  <si>
    <t>100012436</t>
  </si>
  <si>
    <t>100012476</t>
  </si>
  <si>
    <t>100013564</t>
  </si>
  <si>
    <t>174034833</t>
  </si>
  <si>
    <t>174034834</t>
  </si>
  <si>
    <t>174034840</t>
  </si>
  <si>
    <t>174034863</t>
  </si>
  <si>
    <t>181013004</t>
  </si>
  <si>
    <t>100003498</t>
  </si>
  <si>
    <t>100003560</t>
  </si>
  <si>
    <t>100003581</t>
  </si>
  <si>
    <t>100003599</t>
  </si>
  <si>
    <t>100016414</t>
  </si>
  <si>
    <t>69216</t>
  </si>
  <si>
    <t>451230</t>
  </si>
  <si>
    <t>451311</t>
  </si>
  <si>
    <t>451365</t>
  </si>
  <si>
    <t>453089</t>
  </si>
  <si>
    <t>453590</t>
  </si>
  <si>
    <t>457839</t>
  </si>
  <si>
    <t>457840</t>
  </si>
  <si>
    <t>457841</t>
  </si>
  <si>
    <t>457842</t>
  </si>
  <si>
    <t>458624</t>
  </si>
  <si>
    <t>458626</t>
  </si>
  <si>
    <t>459044</t>
  </si>
  <si>
    <t>459046</t>
  </si>
  <si>
    <t>459199</t>
  </si>
  <si>
    <t>459200</t>
  </si>
  <si>
    <t>459648</t>
  </si>
  <si>
    <t>459700</t>
  </si>
  <si>
    <t>459701</t>
  </si>
  <si>
    <t>459702</t>
  </si>
  <si>
    <t>459703</t>
  </si>
  <si>
    <t>459704</t>
  </si>
  <si>
    <t>459715</t>
  </si>
  <si>
    <t>460424</t>
  </si>
  <si>
    <t>460886</t>
  </si>
  <si>
    <t>14612</t>
  </si>
  <si>
    <t>100014882</t>
  </si>
  <si>
    <t>100008562</t>
  </si>
  <si>
    <t>100008572</t>
  </si>
  <si>
    <t>100008587</t>
  </si>
  <si>
    <t>100008588</t>
  </si>
  <si>
    <t>100008624</t>
  </si>
  <si>
    <t>100008652</t>
  </si>
  <si>
    <t>100008653</t>
  </si>
  <si>
    <t>100008702</t>
  </si>
  <si>
    <t>100008703</t>
  </si>
  <si>
    <t>100008706</t>
  </si>
  <si>
    <t>100008707</t>
  </si>
  <si>
    <t>100008708</t>
  </si>
  <si>
    <t>100008709</t>
  </si>
  <si>
    <t>100008714</t>
  </si>
  <si>
    <t>100008716</t>
  </si>
  <si>
    <t>100008730</t>
  </si>
  <si>
    <t>100008747</t>
  </si>
  <si>
    <t>100008749</t>
  </si>
  <si>
    <t>100008773</t>
  </si>
  <si>
    <t>100011932</t>
  </si>
  <si>
    <t>100011933</t>
  </si>
  <si>
    <t>100011935</t>
  </si>
  <si>
    <t>100013594</t>
  </si>
  <si>
    <t>100016320</t>
  </si>
  <si>
    <t>100016323</t>
  </si>
  <si>
    <t>100016362</t>
  </si>
  <si>
    <t>100017250</t>
  </si>
  <si>
    <t>100017251</t>
  </si>
  <si>
    <t>100017330</t>
  </si>
  <si>
    <t>100017339</t>
  </si>
  <si>
    <t>100018342</t>
  </si>
  <si>
    <t>453088</t>
  </si>
  <si>
    <t>453616</t>
  </si>
  <si>
    <t>453707</t>
  </si>
  <si>
    <t>454208</t>
  </si>
  <si>
    <t>455769</t>
  </si>
  <si>
    <t>455770</t>
  </si>
  <si>
    <t>456858</t>
  </si>
  <si>
    <t>465443</t>
  </si>
  <si>
    <t>465452</t>
  </si>
  <si>
    <t>465456</t>
  </si>
  <si>
    <t>100003058</t>
  </si>
  <si>
    <t>100014739</t>
  </si>
  <si>
    <t>181034126</t>
  </si>
  <si>
    <t>181034892</t>
  </si>
  <si>
    <t>100008604</t>
  </si>
  <si>
    <t>100008607</t>
  </si>
  <si>
    <t>100009162</t>
  </si>
  <si>
    <t>100009622</t>
  </si>
  <si>
    <t>100015352</t>
  </si>
  <si>
    <t>100015355</t>
  </si>
  <si>
    <t>100021064</t>
  </si>
  <si>
    <t>73301</t>
  </si>
  <si>
    <t>74902</t>
  </si>
  <si>
    <t>75303</t>
  </si>
  <si>
    <t>7999</t>
  </si>
  <si>
    <t>460895</t>
  </si>
  <si>
    <t>452546</t>
  </si>
  <si>
    <t>457814</t>
  </si>
  <si>
    <t>459065</t>
  </si>
  <si>
    <t>460586</t>
  </si>
  <si>
    <t>460588</t>
  </si>
  <si>
    <t>460727</t>
  </si>
  <si>
    <t>465184</t>
  </si>
  <si>
    <t>100006969</t>
  </si>
  <si>
    <t>77511</t>
  </si>
  <si>
    <t>100015354</t>
  </si>
  <si>
    <t>100008608</t>
  </si>
  <si>
    <t>16661</t>
  </si>
  <si>
    <t>75740</t>
  </si>
  <si>
    <t>76733</t>
  </si>
  <si>
    <t>467914</t>
  </si>
  <si>
    <t>468229</t>
  </si>
  <si>
    <t>468230</t>
  </si>
  <si>
    <t>468249</t>
  </si>
  <si>
    <t>100013593</t>
  </si>
  <si>
    <t>100014855</t>
  </si>
  <si>
    <t>100015130</t>
  </si>
  <si>
    <t>100015136</t>
  </si>
  <si>
    <t>100015145</t>
  </si>
  <si>
    <t>100015153</t>
  </si>
  <si>
    <t>100015224</t>
  </si>
  <si>
    <t>100015225</t>
  </si>
  <si>
    <t>100015357</t>
  </si>
  <si>
    <t>100022985</t>
  </si>
  <si>
    <t>100024114</t>
  </si>
  <si>
    <t>445300</t>
  </si>
  <si>
    <t>73206</t>
  </si>
  <si>
    <t>76203</t>
  </si>
  <si>
    <t>457309</t>
  </si>
  <si>
    <t>462511</t>
  </si>
  <si>
    <t>462516</t>
  </si>
  <si>
    <t>464101</t>
  </si>
  <si>
    <t>469135</t>
  </si>
  <si>
    <t>469615</t>
  </si>
  <si>
    <t>471355</t>
  </si>
  <si>
    <t>100014854</t>
  </si>
  <si>
    <t>100014856</t>
  </si>
  <si>
    <t>100014860</t>
  </si>
  <si>
    <t>100014861</t>
  </si>
  <si>
    <t>100014862</t>
  </si>
  <si>
    <t>100014863</t>
  </si>
  <si>
    <t>100014864</t>
  </si>
  <si>
    <t>100014869</t>
  </si>
  <si>
    <t>100015148</t>
  </si>
  <si>
    <t>100015173</t>
  </si>
  <si>
    <t>100015180</t>
  </si>
  <si>
    <t>100015249</t>
  </si>
  <si>
    <t>100015301</t>
  </si>
  <si>
    <t>100015303</t>
  </si>
  <si>
    <t>100015304</t>
  </si>
  <si>
    <t>100015356</t>
  </si>
  <si>
    <t>100015404</t>
  </si>
  <si>
    <t>100015437</t>
  </si>
  <si>
    <t>100016367</t>
  </si>
  <si>
    <t>100016575</t>
  </si>
  <si>
    <t>100019839</t>
  </si>
  <si>
    <t>100021862</t>
  </si>
  <si>
    <t>100025244</t>
  </si>
  <si>
    <t>100025245</t>
  </si>
  <si>
    <t>182013373</t>
  </si>
  <si>
    <t>182013374</t>
  </si>
  <si>
    <t>182034338</t>
  </si>
  <si>
    <t>100023338</t>
  </si>
  <si>
    <t>100025351</t>
  </si>
  <si>
    <t>182034821</t>
  </si>
  <si>
    <t>182034836</t>
  </si>
  <si>
    <t>182034837</t>
  </si>
  <si>
    <t>465318</t>
  </si>
  <si>
    <t>465985</t>
  </si>
  <si>
    <t>466092</t>
  </si>
  <si>
    <t>470322</t>
  </si>
  <si>
    <t>471823</t>
  </si>
  <si>
    <t>471825</t>
  </si>
  <si>
    <t>472140</t>
  </si>
  <si>
    <t>472629</t>
  </si>
  <si>
    <t>100015200</t>
  </si>
  <si>
    <t>100015306</t>
  </si>
  <si>
    <t>100016101</t>
  </si>
  <si>
    <t>100017974</t>
  </si>
  <si>
    <t>100018139</t>
  </si>
  <si>
    <t>100018175</t>
  </si>
  <si>
    <t>100018176</t>
  </si>
  <si>
    <t>100018178</t>
  </si>
  <si>
    <t>100018179</t>
  </si>
  <si>
    <t>100018197</t>
  </si>
  <si>
    <t>100018235</t>
  </si>
  <si>
    <t>100018237</t>
  </si>
  <si>
    <t>100018239</t>
  </si>
  <si>
    <t>100018240</t>
  </si>
  <si>
    <t>100018242</t>
  </si>
  <si>
    <t>100019044</t>
  </si>
  <si>
    <t>100023527</t>
  </si>
  <si>
    <t>100024705</t>
  </si>
  <si>
    <t>100027400</t>
  </si>
  <si>
    <t>100027987</t>
  </si>
  <si>
    <t>100033322</t>
  </si>
  <si>
    <t>100034173</t>
  </si>
  <si>
    <t>182034833</t>
  </si>
  <si>
    <t>464035</t>
  </si>
  <si>
    <t>464354</t>
  </si>
  <si>
    <t>469491</t>
  </si>
  <si>
    <t>474304</t>
  </si>
  <si>
    <t>7X211</t>
  </si>
  <si>
    <t>KPT116131</t>
  </si>
  <si>
    <t>HA385887MI</t>
  </si>
  <si>
    <t>HA385887MP</t>
  </si>
  <si>
    <t>RK383292MI</t>
  </si>
  <si>
    <t>RK383292WN</t>
  </si>
  <si>
    <t>RK387467MI</t>
  </si>
  <si>
    <t>RK387467WN</t>
  </si>
  <si>
    <t>100019047</t>
  </si>
  <si>
    <t>466798</t>
  </si>
  <si>
    <t>468921</t>
  </si>
  <si>
    <t>469052</t>
  </si>
  <si>
    <t>469493</t>
  </si>
  <si>
    <t>470238</t>
  </si>
  <si>
    <t>470342</t>
  </si>
  <si>
    <t>474049</t>
  </si>
  <si>
    <t>474816</t>
  </si>
  <si>
    <t>471157</t>
  </si>
  <si>
    <t>482924</t>
  </si>
  <si>
    <t>450895</t>
  </si>
  <si>
    <t>466742</t>
  </si>
  <si>
    <t xml:space="preserve">6D398 </t>
  </si>
  <si>
    <t>RK381915MI</t>
  </si>
  <si>
    <t>CN380880MI</t>
  </si>
  <si>
    <t>KTP118131</t>
  </si>
  <si>
    <t>7D300</t>
  </si>
  <si>
    <t>JPMR8KT004</t>
  </si>
  <si>
    <t>KPT020401</t>
  </si>
  <si>
    <t>KPT072751</t>
  </si>
  <si>
    <t>KTP109851</t>
  </si>
  <si>
    <t>KTP117791</t>
  </si>
  <si>
    <t xml:space="preserve">7X727 </t>
  </si>
  <si>
    <t>EESOQ-T4577</t>
  </si>
  <si>
    <t>F8SOQ-T4578M</t>
  </si>
  <si>
    <t>7D650(100010275)</t>
  </si>
  <si>
    <t>7D670(10007909)</t>
  </si>
  <si>
    <t>BAR III</t>
  </si>
  <si>
    <t>KPT001631</t>
  </si>
  <si>
    <t>EILEEN FISHER</t>
  </si>
  <si>
    <t>K-2072</t>
  </si>
  <si>
    <t>KOCAL</t>
  </si>
  <si>
    <t>K-KPT101081</t>
  </si>
  <si>
    <t>K-100010579</t>
  </si>
  <si>
    <t>K-100005705</t>
  </si>
  <si>
    <t>K-2335</t>
  </si>
  <si>
    <t>K-6D398</t>
  </si>
  <si>
    <t>K-KPT128561</t>
  </si>
  <si>
    <t>K-KPT128581</t>
  </si>
  <si>
    <t>K-73301</t>
  </si>
  <si>
    <t>K-74902</t>
  </si>
  <si>
    <t>TP tăng trong kỳ/ FG in month - packing</t>
  </si>
  <si>
    <t>TP DK QUÝ/ OPENING FINISING</t>
  </si>
  <si>
    <t xml:space="preserve">TP DK NGA/ OPENING AT WAREHOUSE
</t>
  </si>
  <si>
    <t>TP chuyển kho nga/ FG in month - WAREHOUSE</t>
  </si>
  <si>
    <t>BÁO CÁO CẮT THÁNG 05/2018</t>
  </si>
  <si>
    <t>TỒN ĐẦU KỲ</t>
  </si>
  <si>
    <t>TỔNG CĂT</t>
  </si>
  <si>
    <t>TĂNG CẮT</t>
  </si>
  <si>
    <t>TĂNG THỰC TẾ WIP</t>
  </si>
  <si>
    <t>TĂNG KOCAL</t>
  </si>
  <si>
    <t>THÁNG 06 /JUNE '18</t>
  </si>
  <si>
    <t>For the month of JUNE 2018</t>
  </si>
  <si>
    <t>COGS OF GOOD SOLD JUNE '18</t>
  </si>
  <si>
    <t>7X721</t>
  </si>
  <si>
    <t>KDR132731</t>
  </si>
  <si>
    <t>KJT138251</t>
  </si>
  <si>
    <t>KPT130311</t>
  </si>
  <si>
    <t>KTP134791</t>
  </si>
  <si>
    <t>KTP142391</t>
  </si>
  <si>
    <t>TỔNG CẮT</t>
  </si>
  <si>
    <t>ĐẦU KỲ</t>
  </si>
  <si>
    <t>TĂNG THỰC TẾ</t>
  </si>
  <si>
    <t xml:space="preserve">CHÊNH LỆCH </t>
  </si>
  <si>
    <t>6X717</t>
  </si>
  <si>
    <t>F8SOQ-T4368</t>
  </si>
  <si>
    <t>EESOQ-T4607</t>
  </si>
  <si>
    <t>472379 (483561)</t>
  </si>
  <si>
    <t>HA385921MI</t>
  </si>
  <si>
    <t>HA385921MP</t>
  </si>
  <si>
    <t>SJ301654WN</t>
  </si>
  <si>
    <t xml:space="preserve">TALBOTS </t>
  </si>
  <si>
    <t>ĐÃ HẾT SẢN XUẤT</t>
  </si>
  <si>
    <t xml:space="preserve"> Hàng phế
(sample)</t>
  </si>
  <si>
    <t>Xuất xưởng
(Đã xuất khẩu)/ warehouse</t>
  </si>
  <si>
    <t xml:space="preserve">  </t>
  </si>
  <si>
    <t xml:space="preserve">cắt thay đổi </t>
  </si>
  <si>
    <t>Tăng cắt số order này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</si>
</sst>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&quot;$&quot;* #,##0_-;\-&quot;$&quot;* #,##0_-;_-&quot;$&quot;* &quot;-&quot;_-;_-@_-"/>
    <numFmt numFmtId="166" formatCode="_-* #,##0_-;\-* #,##0_-;_-* &quot;-&quot;_-;_-@_-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(* #,##0_);_(* \(#,##0\);_(* &quot;-&quot;??_);_(@_)"/>
    <numFmt numFmtId="170" formatCode="_ * #,##0_ ;_ * \-#,##0_ ;_ * &quot;-&quot;_ ;_ @_ "/>
    <numFmt numFmtId="171" formatCode="_ * #,##0.00_ ;_ * \-#,##0.00_ ;_ * &quot;-&quot;??_ ;_ @_ "/>
    <numFmt numFmtId="172" formatCode="_(* #,##0.0000_);_(* \(#,##0.0000\);_(* &quot;-&quot;??_);_(@_)"/>
    <numFmt numFmtId="173" formatCode="\$#,##0\ ;\(\$#,##0\)"/>
    <numFmt numFmtId="174" formatCode="mm&quot;월&quot;\ dd&quot;일&quot;"/>
    <numFmt numFmtId="175" formatCode="&quot;$&quot;#,##0"/>
    <numFmt numFmtId="176" formatCode="0.00000%"/>
    <numFmt numFmtId="177" formatCode="#,##0;\(#,##0\ &quot;CTN&quot;\)"/>
    <numFmt numFmtId="178" formatCode="\(#,##0\ &quot;CTN&quot;\)"/>
    <numFmt numFmtId="179" formatCode="#,##0.00&quot;GRS&quot;"/>
    <numFmt numFmtId="180" formatCode="_ &quot;\&quot;* #,##0_ ;_ &quot;\&quot;* \-#,##0_ ;_ &quot;\&quot;* &quot;-&quot;_ ;_ @_ "/>
    <numFmt numFmtId="181" formatCode="_ &quot;\&quot;* #,##0.00_ ;_ &quot;\&quot;* \-#,##0.00_ ;_ &quot;\&quot;* &quot;-&quot;??_ ;_ @_ "/>
    <numFmt numFmtId="182" formatCode="#,##0.0_);\(#,##0.0\)"/>
    <numFmt numFmtId="183" formatCode="&quot;\&quot;\!\(#,##0&quot;\&quot;\!\ &quot;CTN&quot;&quot;\&quot;\!\)"/>
    <numFmt numFmtId="184" formatCode="#,##0;#,##0&quot;\&quot;\!\ &quot;CTN&quot;"/>
    <numFmt numFmtId="185" formatCode="&quot;\&quot;\!\(#,##0.00&quot;/12DOZ&quot;&quot;\&quot;\!\)"/>
    <numFmt numFmtId="186" formatCode="&quot;\&quot;#,##0;&quot;\&quot;&quot;\&quot;\!\-#,##0"/>
    <numFmt numFmtId="187" formatCode="&quot;\&quot;#,##0;[Red]&quot;\&quot;&quot;\&quot;\!\-#,##0"/>
    <numFmt numFmtId="188" formatCode="&quot;\&quot;#,##0.00;[Red]&quot;\&quot;&quot;\&quot;\!\-#,##0.00"/>
    <numFmt numFmtId="189" formatCode="_ * #,##0_ ;_ * &quot;\&quot;\!\-#,##0_ ;_ * &quot;-&quot;_ ;_ @_ "/>
    <numFmt numFmtId="190" formatCode="&quot;\&quot;#,##0;[Red]&quot;\&quot;&quot;\&quot;\-#,##0"/>
    <numFmt numFmtId="191" formatCode="&quot;$&quot;#&quot;,&quot;##0_);[Red]\(&quot;$&quot;#&quot;,&quot;##0\)"/>
    <numFmt numFmtId="192" formatCode="_-* #\!\,##0\!.00_-;&quot;?&quot;\!\-* #\!\,##0\!.00_-;_-* &quot;-&quot;??_-;_-@_-"/>
    <numFmt numFmtId="193" formatCode="General_)"/>
    <numFmt numFmtId="194" formatCode="_([$€]* #,##0.00_);_([$€]* \(#,##0.00\);_([$€]* &quot;-&quot;??_);_(@_)"/>
    <numFmt numFmtId="195" formatCode="0.0"/>
    <numFmt numFmtId="196" formatCode="0.000"/>
    <numFmt numFmtId="197" formatCode="_-* #,##0\ _V_N_D_-;\-* #,##0\ _V_N_D_-;_-* &quot;-&quot;\ _V_N_D_-;_-@_-"/>
    <numFmt numFmtId="198" formatCode="_-* #,##0.00\ _V_N_D_-;\-* #,##0.00\ _V_N_D_-;_-* &quot;-&quot;??\ _V_N_D_-;_-@_-"/>
    <numFmt numFmtId="199" formatCode="&quot;SFr.&quot;\ #,##0.00;&quot;SFr.&quot;\ \-#,##0.00"/>
    <numFmt numFmtId="200" formatCode="_-* #,##0\ &quot;DM&quot;_-;\-* #,##0\ &quot;DM&quot;_-;_-* &quot;-&quot;\ &quot;DM&quot;_-;_-@_-"/>
    <numFmt numFmtId="201" formatCode="_-* #,##0\ _D_M_-;\-* #,##0\ _D_M_-;_-* &quot;-&quot;\ _D_M_-;_-@_-"/>
    <numFmt numFmtId="202" formatCode="_-* #,##0.00\ &quot;DM&quot;_-;\-* #,##0.00\ &quot;DM&quot;_-;_-* &quot;-&quot;??\ &quot;DM&quot;_-;_-@_-"/>
    <numFmt numFmtId="203" formatCode="_-* #,##0.00\ _D_M_-;\-* #,##0.00\ _D_M_-;_-* &quot;-&quot;??\ _D_M_-;_-@_-"/>
    <numFmt numFmtId="204" formatCode="#."/>
    <numFmt numFmtId="205" formatCode="_-* #,##0\ &quot;$&quot;_-;\-* #,##0\ &quot;$&quot;_-;_-* &quot;-&quot;\ &quot;$&quot;_-;_-@_-"/>
    <numFmt numFmtId="206" formatCode="_-* #,##0\ _$_-;\-* #,##0\ _$_-;_-* &quot;-&quot;\ _$_-;_-@_-"/>
    <numFmt numFmtId="207" formatCode="#,##0\ &quot;F&quot;;\-#,##0\ &quot;F&quot;"/>
    <numFmt numFmtId="208" formatCode="_-* #,##0.00\ _F_-;\-* #,##0.00\ _F_-;_-* &quot;-&quot;??\ _F_-;_-@_-"/>
    <numFmt numFmtId="209" formatCode="&quot;$&quot;\ #,##0.00;&quot;$&quot;\ \-#,##0.00"/>
    <numFmt numFmtId="210" formatCode="_ * #,##0.00_)\ &quot;F&quot;_ ;_ * \(#,##0.00\)\ &quot;F&quot;_ ;_ * &quot;-&quot;??_)\ &quot;F&quot;_ ;_ @_ "/>
    <numFmt numFmtId="211" formatCode="_-* #,##0\ &quot;F&quot;_-;\-* #,##0\ &quot;F&quot;_-;_-* &quot;-&quot;\ &quot;F&quot;_-;_-@_-"/>
    <numFmt numFmtId="212" formatCode="_-* #,##0\ _F_-;\-* #,##0\ _F_-;_-* &quot;-&quot;\ _F_-;_-@_-"/>
    <numFmt numFmtId="213" formatCode="_-* #,##0.00\ &quot;F&quot;_-;\-* #,##0.00\ &quot;F&quot;_-;_-* &quot;-&quot;??\ &quot;F&quot;_-;_-@_-"/>
    <numFmt numFmtId="214" formatCode="_(&quot;$&quot;\ * #,##0_);_(&quot;$&quot;\ * \(#,##0\);_(&quot;$&quot;\ * &quot;-&quot;_);_(@_)"/>
    <numFmt numFmtId="215" formatCode="_-* #,##0\ &quot;ñ&quot;_-;\-* #,##0\ &quot;ñ&quot;_-;_-* &quot;-&quot;\ &quot;ñ&quot;_-;_-@_-"/>
    <numFmt numFmtId="216" formatCode="_-* #,##0\ _ñ_-;\-* #,##0\ _ñ_-;_-* &quot;-&quot;\ _ñ_-;_-@_-"/>
    <numFmt numFmtId="217" formatCode="_-* #,##0.00\ _ñ_-;\-* #,##0.00\ _ñ_-;_-* &quot;-&quot;??\ _ñ_-;_-@_-"/>
    <numFmt numFmtId="218" formatCode="_-&quot;ñ&quot;* #,##0_-;\-&quot;ñ&quot;* #,##0_-;_-&quot;ñ&quot;* &quot;-&quot;_-;_-@_-"/>
    <numFmt numFmtId="219" formatCode="#,##0.00\ &quot;F&quot;;[Red]\-#,##0.00\ &quot;F&quot;"/>
    <numFmt numFmtId="220" formatCode="m\o\n\th\ d\,\ \y\y\y\y"/>
    <numFmt numFmtId="221" formatCode="_-* #,##0.00_N_T_$_-;\-* #,##0.00_N_T_$_-;_-* &quot;-&quot;??_N_T_$_-;_-@_-"/>
    <numFmt numFmtId="222" formatCode="&quot;£¤&quot;#,##0;[Red]&quot;£¤&quot;\-#,##0"/>
    <numFmt numFmtId="223" formatCode="&quot;US$&quot;#,##0_);[Red]\(&quot;US$&quot;#,##0\)"/>
    <numFmt numFmtId="224" formatCode="#,##0.000;[Red]\-#,##0.000"/>
    <numFmt numFmtId="225" formatCode="00000000"/>
    <numFmt numFmtId="226" formatCode="0.000_)"/>
    <numFmt numFmtId="227" formatCode="#,##0_)_%;\(#,##0\)_%;"/>
    <numFmt numFmtId="228" formatCode="_._.* #,##0.0_)_%;_._.* \(#,##0.0\)_%"/>
    <numFmt numFmtId="229" formatCode="#,##0.0_)_%;\(#,##0.0\)_%;\ \ .0_)_%"/>
    <numFmt numFmtId="230" formatCode="_._.* #,##0.00_)_%;_._.* \(#,##0.00\)_%"/>
    <numFmt numFmtId="231" formatCode="#,##0.00_)_%;\(#,##0.00\)_%;\ \ .00_)_%"/>
    <numFmt numFmtId="232" formatCode="_._.* #,##0.000_)_%;_._.* \(#,##0.000\)_%"/>
    <numFmt numFmtId="233" formatCode="#,##0.000_)_%;\(#,##0.000\)_%;\ \ .000_)_%"/>
    <numFmt numFmtId="234" formatCode="_._.* \(#,##0\)_%;_._.* #,##0_)_%;_._.* 0_)_%;_._.@_)_%"/>
    <numFmt numFmtId="235" formatCode="_._.&quot;$&quot;* \(#,##0\)_%;_._.&quot;$&quot;* #,##0_)_%;_._.&quot;$&quot;* 0_)_%;_._.@_)_%"/>
    <numFmt numFmtId="236" formatCode="&quot;$&quot;* #,##0_)_%;&quot;$&quot;* \(#,##0\)_%;&quot;$&quot;* &quot;-&quot;??_)_%;@_)_%"/>
    <numFmt numFmtId="237" formatCode="_._.&quot;$&quot;* #,##0.0_)_%;_._.&quot;$&quot;* \(#,##0.0\)_%"/>
    <numFmt numFmtId="238" formatCode="&quot;$&quot;* #,##0.0_)_%;&quot;$&quot;* \(#,##0.0\)_%;&quot;$&quot;* \ .0_)_%"/>
    <numFmt numFmtId="239" formatCode="_._.&quot;$&quot;* #,##0.00_)_%;_._.&quot;$&quot;* \(#,##0.00\)_%"/>
    <numFmt numFmtId="240" formatCode="&quot;$&quot;* #,##0.00_)_%;&quot;$&quot;* \(#,##0.00\)_%;&quot;$&quot;* \ .00_)_%"/>
    <numFmt numFmtId="241" formatCode="_._.&quot;$&quot;* #,##0.000_)_%;_._.&quot;$&quot;* \(#,##0.000\)_%"/>
    <numFmt numFmtId="242" formatCode="&quot;$&quot;* #,##0.000_)_%;&quot;$&quot;* \(#,##0.000\)_%;&quot;$&quot;* \ .000_)_%"/>
    <numFmt numFmtId="243" formatCode="_(0_)%;\(0\)%"/>
    <numFmt numFmtId="244" formatCode="_._._(* 0_)%;_._.* \(0\)%"/>
    <numFmt numFmtId="245" formatCode="0%_);\(0%\)"/>
    <numFmt numFmtId="246" formatCode="_(0.0_)%;\(0.0\)%"/>
    <numFmt numFmtId="247" formatCode="_._._(* 0.0_)%;_._.* \(0.0\)%"/>
    <numFmt numFmtId="248" formatCode="_(0.00_)%;\(0.00\)%"/>
    <numFmt numFmtId="249" formatCode="_._._(* 0.00_)%;_._.* \(0.00\)%"/>
    <numFmt numFmtId="250" formatCode="_(0.000_)%;\(0.000\)%"/>
    <numFmt numFmtId="251" formatCode="_._._(* 0.000_)%;_._.* \(0.000\)%"/>
    <numFmt numFmtId="252" formatCode="&quot;True&quot;;&quot;True&quot;;&quot;False&quot;"/>
    <numFmt numFmtId="253" formatCode="0.0_);[Red]\(0.0\)"/>
    <numFmt numFmtId="254" formatCode="_-&quot;\&quot;* #,##0.00_-;\-&quot;\&quot;* #,##0.00_-;_-&quot;\&quot;* &quot;-&quot;??_-;_-@_-"/>
    <numFmt numFmtId="255" formatCode="&quot;$&quot;#,##0.0000_);\(&quot;$&quot;#,##0.0000\)"/>
    <numFmt numFmtId="256" formatCode="_-* #,##0\ _D_M_-;\-* #,##0\ _D_M_-;_-* &quot;-&quot;??\ _D_M_-;_-@_-"/>
    <numFmt numFmtId="257" formatCode="0.00_)"/>
    <numFmt numFmtId="258" formatCode="0_);\(0\)"/>
    <numFmt numFmtId="259" formatCode="_(* #,##0.00000_);_(* \(#,##0.00000\);_(* &quot;-&quot;??_);_(@_)"/>
    <numFmt numFmtId="260" formatCode="_(* #,##0.0_);_(* \(#,##0.0\);_(* &quot;-&quot;??_);_(@_)"/>
  </numFmts>
  <fonts count="2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b/>
      <sz val="10"/>
      <name val="Times New Roman"/>
      <family val="1"/>
    </font>
    <font>
      <sz val="11"/>
      <name val="돋움"/>
      <family val="2"/>
    </font>
    <font>
      <sz val="12"/>
      <name val="VNI-Times"/>
    </font>
    <font>
      <sz val="1"/>
      <color indexed="8"/>
      <name val="Courier"/>
      <family val="3"/>
    </font>
    <font>
      <sz val="12"/>
      <name val="VNtimes new roman"/>
    </font>
    <font>
      <b/>
      <sz val="11"/>
      <color indexed="9"/>
      <name val="?? ??"/>
      <family val="3"/>
      <charset val="129"/>
    </font>
    <font>
      <u/>
      <sz val="10"/>
      <color indexed="36"/>
      <name val="???"/>
      <family val="1"/>
      <charset val="129"/>
    </font>
    <font>
      <i/>
      <sz val="11"/>
      <color indexed="23"/>
      <name val="?? ??"/>
      <family val="3"/>
      <charset val="129"/>
    </font>
    <font>
      <sz val="10"/>
      <name val="?? ??"/>
      <family val="1"/>
      <charset val="136"/>
    </font>
    <font>
      <b/>
      <sz val="15"/>
      <color indexed="56"/>
      <name val="?? ??"/>
      <family val="3"/>
      <charset val="129"/>
    </font>
    <font>
      <b/>
      <sz val="13"/>
      <color indexed="56"/>
      <name val="?? ??"/>
      <family val="3"/>
      <charset val="129"/>
    </font>
    <font>
      <b/>
      <sz val="11"/>
      <color indexed="56"/>
      <name val="?? ??"/>
      <family val="3"/>
      <charset val="129"/>
    </font>
    <font>
      <sz val="11"/>
      <name val="돋움"/>
      <family val="3"/>
      <charset val="129"/>
    </font>
    <font>
      <sz val="11"/>
      <color indexed="10"/>
      <name val="?? ??"/>
      <family val="3"/>
      <charset val="129"/>
    </font>
    <font>
      <sz val="11"/>
      <color indexed="52"/>
      <name val="?? ??"/>
      <family val="3"/>
      <charset val="129"/>
    </font>
    <font>
      <sz val="12"/>
      <name val="???"/>
      <family val="1"/>
      <charset val="129"/>
    </font>
    <font>
      <sz val="10"/>
      <name val=".VnArial"/>
      <family val="2"/>
    </font>
    <font>
      <u/>
      <sz val="10"/>
      <color indexed="12"/>
      <name val="???"/>
      <family val="1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1"/>
      <color indexed="9"/>
      <name val="?? ??"/>
      <family val="3"/>
      <charset val="129"/>
    </font>
    <font>
      <sz val="12"/>
      <name val="Courier"/>
      <family val="3"/>
    </font>
    <font>
      <sz val="12"/>
      <name val="???"/>
      <family val="3"/>
      <charset val="129"/>
    </font>
    <font>
      <sz val="10"/>
      <name val="Helv"/>
    </font>
    <font>
      <sz val="12"/>
      <name val="Times New Roman"/>
      <family val="1"/>
    </font>
    <font>
      <sz val="10"/>
      <name val="MS Sans Serif"/>
      <family val="2"/>
    </font>
    <font>
      <sz val="10"/>
      <name val="VNI-Times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4"/>
      <name val="‚l‚r –¾’©"/>
      <family val="1"/>
      <charset val="128"/>
    </font>
    <font>
      <u/>
      <sz val="8.25"/>
      <color indexed="36"/>
      <name val="‚l‚r ‚oƒSƒVƒbƒN"/>
      <family val="3"/>
      <charset val="128"/>
    </font>
    <font>
      <sz val="10"/>
      <name val="Courier"/>
      <family val="3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sz val="11"/>
      <color indexed="8"/>
      <name val="?? ??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宋体"/>
      <charset val="134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color indexed="9"/>
      <name val="Arial"/>
      <family val="2"/>
    </font>
    <font>
      <sz val="11"/>
      <color indexed="9"/>
      <name val="맑은 고딕"/>
      <family val="3"/>
      <charset val="129"/>
    </font>
    <font>
      <sz val="10"/>
      <color indexed="9"/>
      <name val="宋体"/>
      <charset val="134"/>
    </font>
    <font>
      <sz val="12"/>
      <color indexed="9"/>
      <name val="Arial"/>
      <family val="2"/>
    </font>
    <font>
      <sz val="12"/>
      <color indexed="8"/>
      <name val="Arial"/>
      <family val="2"/>
    </font>
    <font>
      <sz val="12"/>
      <name val="¹UAAA¼"/>
      <family val="3"/>
      <charset val="129"/>
    </font>
    <font>
      <sz val="12"/>
      <name val="¹UAAA¼"/>
      <family val="1"/>
    </font>
    <font>
      <sz val="8"/>
      <name val="Times New Roman"/>
      <family val="1"/>
    </font>
    <font>
      <sz val="10"/>
      <color indexed="20"/>
      <name val="Arial"/>
      <family val="2"/>
    </font>
    <font>
      <b/>
      <sz val="10"/>
      <color indexed="9"/>
      <name val="Arial"/>
      <family val="2"/>
    </font>
    <font>
      <sz val="11"/>
      <name val="µ¸¿ò"/>
      <charset val="129"/>
    </font>
    <font>
      <b/>
      <sz val="10"/>
      <color indexed="52"/>
      <name val="Arial"/>
      <family val="2"/>
    </font>
    <font>
      <b/>
      <sz val="10"/>
      <name val="Helv"/>
      <family val="2"/>
    </font>
    <font>
      <sz val="10"/>
      <name val="VNI-Aptima"/>
    </font>
    <font>
      <b/>
      <sz val="8"/>
      <name val="Arial"/>
      <family val="2"/>
    </font>
    <font>
      <sz val="11"/>
      <name val="Tms Rmn"/>
      <family val="1"/>
    </font>
    <font>
      <sz val="10"/>
      <name val="MS Serif"/>
      <family val="1"/>
    </font>
    <font>
      <sz val="10"/>
      <color indexed="12"/>
      <name val="Arial"/>
      <family val="2"/>
    </font>
    <font>
      <sz val="10"/>
      <color indexed="16"/>
      <name val="MS Serif"/>
      <family val="1"/>
    </font>
    <font>
      <i/>
      <sz val="10"/>
      <color indexed="23"/>
      <name val="Arial"/>
      <family val="2"/>
    </font>
    <font>
      <u/>
      <sz val="8.25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sz val="10"/>
      <color indexed="62"/>
      <name val="Arial"/>
      <family val="2"/>
    </font>
    <font>
      <sz val="12"/>
      <name val="Helv"/>
      <family val="2"/>
    </font>
    <font>
      <sz val="10"/>
      <color indexed="14"/>
      <name val="Arial"/>
      <family val="2"/>
    </font>
    <font>
      <sz val="10"/>
      <color indexed="52"/>
      <name val="Arial"/>
      <family val="2"/>
    </font>
    <font>
      <sz val="12"/>
      <color indexed="9"/>
      <name val="Helv"/>
      <family val="2"/>
    </font>
    <font>
      <sz val="10"/>
      <name val="Helv"/>
      <family val="2"/>
    </font>
    <font>
      <b/>
      <sz val="11"/>
      <name val="Helv"/>
      <family val="2"/>
    </font>
    <font>
      <sz val="12"/>
      <name val="Arial"/>
      <family val="2"/>
    </font>
    <font>
      <sz val="9"/>
      <name val="VNI-Helve-Condense"/>
    </font>
    <font>
      <sz val="10"/>
      <color indexed="60"/>
      <name val="Arial"/>
      <family val="2"/>
    </font>
    <font>
      <sz val="7"/>
      <name val="Small Fonts"/>
      <family val="2"/>
    </font>
    <font>
      <b/>
      <sz val="12"/>
      <name val="VN-NTime"/>
    </font>
    <font>
      <b/>
      <sz val="10"/>
      <color indexed="63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sz val="7"/>
      <name val="MS Serif"/>
      <family val="1"/>
    </font>
    <font>
      <b/>
      <sz val="8"/>
      <color indexed="8"/>
      <name val="Helv"/>
      <family val="2"/>
    </font>
    <font>
      <sz val="13"/>
      <name val=".VnTime"/>
      <family val="2"/>
    </font>
    <font>
      <sz val="13"/>
      <name val=".VnTime"/>
      <family val="2"/>
    </font>
    <font>
      <b/>
      <sz val="18"/>
      <color indexed="56"/>
      <name val="Cambria"/>
      <family val="2"/>
    </font>
    <font>
      <sz val="10"/>
      <name val="VNtimes new roman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6"/>
      <name val="AngsanaUPC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0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u/>
      <sz val="22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34"/>
    </font>
    <font>
      <sz val="12"/>
      <name val="바탕체"/>
      <family val="1"/>
      <charset val="129"/>
    </font>
    <font>
      <b/>
      <sz val="11"/>
      <color indexed="63"/>
      <name val="맑은 고딕"/>
      <family val="3"/>
      <charset val="129"/>
    </font>
    <font>
      <sz val="12"/>
      <name val="굴림체"/>
      <family val="3"/>
      <charset val="129"/>
    </font>
    <font>
      <sz val="12"/>
      <color indexed="17"/>
      <name val="Arial"/>
      <family val="2"/>
    </font>
    <font>
      <sz val="10"/>
      <color indexed="17"/>
      <name val="宋体"/>
      <charset val="134"/>
    </font>
    <font>
      <sz val="12"/>
      <color indexed="16"/>
      <name val="Arial"/>
      <family val="2"/>
    </font>
    <font>
      <sz val="10"/>
      <color indexed="20"/>
      <name val="宋体"/>
      <charset val="134"/>
    </font>
    <font>
      <sz val="12"/>
      <name val="宋体"/>
      <charset val="134"/>
    </font>
    <font>
      <b/>
      <sz val="12"/>
      <color indexed="8"/>
      <name val="Arial"/>
      <family val="2"/>
    </font>
    <font>
      <b/>
      <sz val="18"/>
      <color indexed="56"/>
      <name val="宋体"/>
      <charset val="134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10"/>
      <name val=".VnArial"/>
      <family val="1"/>
    </font>
    <font>
      <b/>
      <sz val="12"/>
      <color indexed="9"/>
      <name val="Arial"/>
      <family val="2"/>
    </font>
    <font>
      <sz val="11"/>
      <name val="ＭＳ Ｐゴシック"/>
      <family val="3"/>
      <charset val="128"/>
    </font>
    <font>
      <b/>
      <sz val="18"/>
      <color indexed="62"/>
      <name val="宋体"/>
      <charset val="134"/>
    </font>
    <font>
      <i/>
      <sz val="10"/>
      <color indexed="23"/>
      <name val="宋体"/>
      <charset val="134"/>
    </font>
    <font>
      <sz val="12"/>
      <color indexed="10"/>
      <name val="Arial"/>
      <family val="2"/>
    </font>
    <font>
      <b/>
      <sz val="12"/>
      <color indexed="53"/>
      <name val="Arial"/>
      <family val="2"/>
    </font>
    <font>
      <u/>
      <sz val="8.4"/>
      <color indexed="12"/>
      <name val="Arial"/>
      <family val="2"/>
    </font>
    <font>
      <sz val="12"/>
      <color indexed="62"/>
      <name val="Arial"/>
      <family val="2"/>
    </font>
    <font>
      <b/>
      <sz val="12"/>
      <color indexed="63"/>
      <name val="Arial"/>
      <family val="2"/>
    </font>
    <font>
      <sz val="12"/>
      <color indexed="60"/>
      <name val="Arial"/>
      <family val="2"/>
    </font>
    <font>
      <sz val="12"/>
      <color indexed="53"/>
      <name val="Arial"/>
      <family val="2"/>
    </font>
    <font>
      <sz val="10"/>
      <name val=" 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0"/>
      <name val="VNI-Times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u/>
      <sz val="8.25"/>
      <color indexed="12"/>
      <name val="Arial"/>
      <family val="2"/>
    </font>
    <font>
      <sz val="12"/>
      <name val="·s²Ó©úÅé"/>
      <family val="1"/>
    </font>
    <font>
      <u/>
      <sz val="8.25"/>
      <color indexed="36"/>
      <name val="Arial"/>
      <family val="2"/>
    </font>
    <font>
      <b/>
      <sz val="11"/>
      <name val="Arial"/>
      <family val="2"/>
    </font>
    <font>
      <u val="singleAccounting"/>
      <sz val="11"/>
      <name val="Times New Roman"/>
      <family val="1"/>
    </font>
    <font>
      <b/>
      <sz val="14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name val="MetaPlusBook-Roman"/>
      <family val="2"/>
    </font>
    <font>
      <sz val="11"/>
      <name val="VNI-Times"/>
      <family val="2"/>
    </font>
    <font>
      <b/>
      <sz val="10"/>
      <color indexed="10"/>
      <name val="Arial"/>
      <family val="2"/>
    </font>
    <font>
      <sz val="14"/>
      <name val="Cordia New"/>
      <family val="2"/>
    </font>
    <font>
      <sz val="9"/>
      <name val="Trebuchet MS"/>
      <family val="2"/>
    </font>
    <font>
      <u/>
      <sz val="12"/>
      <color indexed="36"/>
      <name val="Times New Roman"/>
      <family val="1"/>
    </font>
    <font>
      <sz val="12"/>
      <name val="新細明體"/>
      <family val="1"/>
      <charset val="136"/>
    </font>
    <font>
      <sz val="10"/>
      <name val="Arial"/>
      <family val="2"/>
    </font>
    <font>
      <sz val="11"/>
      <name val="돋움"/>
      <charset val="8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charset val="129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Times New Roman"/>
      <family val="1"/>
    </font>
    <font>
      <sz val="11"/>
      <color theme="1"/>
      <name val="Calibri"/>
      <family val="3"/>
      <charset val="129"/>
      <scheme val="minor"/>
    </font>
    <font>
      <sz val="1"/>
      <color indexed="16"/>
      <name val="Courier"/>
      <family val="3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i/>
      <sz val="16"/>
      <name val="Helv"/>
      <family val="2"/>
    </font>
    <font>
      <sz val="8.25"/>
      <name val="Microsoft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name val="Times New Roman"/>
      <family val="1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8"/>
      <name val="BatangChe"/>
      <family val="3"/>
      <charset val="129"/>
    </font>
    <font>
      <b/>
      <sz val="15"/>
      <color rgb="FF0000FF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3"/>
      <charset val="129"/>
      <scheme val="minor"/>
    </font>
    <font>
      <b/>
      <sz val="10"/>
      <color rgb="FF0000FF"/>
      <name val="Times New Roman"/>
      <family val="1"/>
    </font>
    <font>
      <sz val="10"/>
      <color rgb="FFFF0000"/>
      <name val="Times New Roman"/>
      <family val="1"/>
    </font>
    <font>
      <b/>
      <sz val="14"/>
      <name val="Times New Roman"/>
      <family val="1"/>
    </font>
    <font>
      <sz val="10"/>
      <color rgb="FF00B05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3" tint="0.3999755851924192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color theme="3" tint="0.39997558519241921"/>
      <name val="Times New Roman"/>
      <family val="1"/>
    </font>
    <font>
      <sz val="14"/>
      <color theme="3" tint="0.39997558519241921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i/>
      <sz val="11"/>
      <name val="Times New Roman"/>
      <family val="1"/>
    </font>
    <font>
      <b/>
      <u/>
      <sz val="10"/>
      <name val="Times New Roman"/>
      <family val="1"/>
    </font>
    <font>
      <b/>
      <sz val="10"/>
      <name val="Times New Roman"/>
      <family val="1"/>
    </font>
    <font>
      <b/>
      <u val="singleAccounting"/>
      <sz val="10"/>
      <name val="Times New Roman"/>
      <family val="1"/>
    </font>
    <font>
      <i/>
      <sz val="10"/>
      <name val="Times New Roman"/>
      <family val="1"/>
    </font>
    <font>
      <u/>
      <sz val="10"/>
      <color theme="10"/>
      <name val="Arial"/>
      <family val="2"/>
    </font>
    <font>
      <u/>
      <sz val="10"/>
      <name val="Arial"/>
      <family val="2"/>
    </font>
    <font>
      <sz val="10"/>
      <color rgb="FFFFFFFF"/>
      <name val="Times New Roman"/>
      <family val="1"/>
    </font>
    <font>
      <sz val="10"/>
      <color rgb="FF0000FF"/>
      <name val="Times New Roman"/>
      <family val="1"/>
    </font>
    <font>
      <b/>
      <sz val="16"/>
      <color rgb="FF0000FF"/>
      <name val="Times New Roman"/>
      <family val="1"/>
    </font>
  </fonts>
  <fills count="7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8"/>
        <bgColor indexed="64"/>
      </patternFill>
    </fill>
    <fill>
      <patternFill patternType="solid">
        <fgColor indexed="22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gray125">
        <fgColor indexed="35"/>
      </patternFill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ck">
        <color indexed="26"/>
      </left>
      <right style="thin">
        <color indexed="65"/>
      </right>
      <top style="medium">
        <color indexed="5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6611">
    <xf numFmtId="194" fontId="0" fillId="0" borderId="0" applyNumberFormat="0" applyFill="0" applyBorder="0" applyAlignment="0" applyProtection="0"/>
    <xf numFmtId="204" fontId="47" fillId="0" borderId="0">
      <protection locked="0"/>
    </xf>
    <xf numFmtId="194" fontId="119" fillId="0" borderId="0"/>
    <xf numFmtId="169" fontId="48" fillId="0" borderId="1" applyFont="0" applyBorder="0"/>
    <xf numFmtId="43" fontId="190" fillId="0" borderId="0" applyFont="0" applyFill="0" applyBorder="0" applyAlignment="0"/>
    <xf numFmtId="194" fontId="41" fillId="0" borderId="0"/>
    <xf numFmtId="194" fontId="49" fillId="2" borderId="2" applyNumberFormat="0" applyAlignment="0" applyProtection="0">
      <alignment vertical="center"/>
    </xf>
    <xf numFmtId="194" fontId="41" fillId="0" borderId="0"/>
    <xf numFmtId="194" fontId="50" fillId="0" borderId="0" applyNumberFormat="0" applyFill="0" applyBorder="0" applyAlignment="0" applyProtection="0">
      <alignment vertical="top"/>
      <protection locked="0"/>
    </xf>
    <xf numFmtId="194" fontId="51" fillId="0" borderId="0" applyNumberFormat="0" applyFill="0" applyBorder="0" applyAlignment="0" applyProtection="0">
      <alignment vertical="center"/>
    </xf>
    <xf numFmtId="194" fontId="52" fillId="0" borderId="0" applyFont="0" applyFill="0" applyBorder="0" applyAlignment="0" applyProtection="0"/>
    <xf numFmtId="190" fontId="41" fillId="0" borderId="0" applyFont="0" applyFill="0" applyBorder="0" applyAlignment="0" applyProtection="0"/>
    <xf numFmtId="194" fontId="53" fillId="0" borderId="3" applyNumberFormat="0" applyFill="0" applyAlignment="0" applyProtection="0">
      <alignment vertical="center"/>
    </xf>
    <xf numFmtId="194" fontId="54" fillId="0" borderId="4" applyNumberFormat="0" applyFill="0" applyAlignment="0" applyProtection="0">
      <alignment vertical="center"/>
    </xf>
    <xf numFmtId="194" fontId="55" fillId="0" borderId="5" applyNumberFormat="0" applyFill="0" applyAlignment="0" applyProtection="0">
      <alignment vertical="center"/>
    </xf>
    <xf numFmtId="194" fontId="55" fillId="0" borderId="0" applyNumberFormat="0" applyFill="0" applyBorder="0" applyAlignment="0" applyProtection="0">
      <alignment vertical="center"/>
    </xf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56" fillId="0" borderId="0"/>
    <xf numFmtId="194" fontId="57" fillId="0" borderId="0" applyNumberFormat="0" applyFill="0" applyBorder="0" applyAlignment="0" applyProtection="0">
      <alignment vertical="center"/>
    </xf>
    <xf numFmtId="194" fontId="58" fillId="0" borderId="6" applyNumberFormat="0" applyFill="0" applyAlignment="0" applyProtection="0">
      <alignment vertical="center"/>
    </xf>
    <xf numFmtId="194" fontId="59" fillId="0" borderId="0"/>
    <xf numFmtId="171" fontId="60" fillId="0" borderId="0" applyFont="0" applyFill="0" applyBorder="0" applyAlignment="0" applyProtection="0"/>
    <xf numFmtId="194" fontId="61" fillId="0" borderId="0" applyNumberFormat="0" applyFill="0" applyBorder="0" applyAlignment="0" applyProtection="0">
      <alignment vertical="top"/>
      <protection locked="0"/>
    </xf>
    <xf numFmtId="170" fontId="60" fillId="0" borderId="0" applyFont="0" applyFill="0" applyBorder="0" applyAlignment="0" applyProtection="0"/>
    <xf numFmtId="166" fontId="62" fillId="0" borderId="0" applyFont="0" applyFill="0" applyBorder="0" applyAlignment="0" applyProtection="0"/>
    <xf numFmtId="9" fontId="63" fillId="0" borderId="0" applyFont="0" applyFill="0" applyBorder="0" applyAlignment="0" applyProtection="0"/>
    <xf numFmtId="194" fontId="59" fillId="0" borderId="0" applyFont="0" applyFill="0" applyBorder="0" applyAlignment="0" applyProtection="0"/>
    <xf numFmtId="194" fontId="64" fillId="3" borderId="0" applyNumberFormat="0" applyBorder="0" applyAlignment="0" applyProtection="0">
      <alignment vertical="center"/>
    </xf>
    <xf numFmtId="194" fontId="64" fillId="4" borderId="0" applyNumberFormat="0" applyBorder="0" applyAlignment="0" applyProtection="0">
      <alignment vertical="center"/>
    </xf>
    <xf numFmtId="194" fontId="64" fillId="5" borderId="0" applyNumberFormat="0" applyBorder="0" applyAlignment="0" applyProtection="0">
      <alignment vertical="center"/>
    </xf>
    <xf numFmtId="194" fontId="64" fillId="6" borderId="0" applyNumberFormat="0" applyBorder="0" applyAlignment="0" applyProtection="0">
      <alignment vertical="center"/>
    </xf>
    <xf numFmtId="194" fontId="64" fillId="7" borderId="0" applyNumberFormat="0" applyBorder="0" applyAlignment="0" applyProtection="0">
      <alignment vertical="center"/>
    </xf>
    <xf numFmtId="194" fontId="64" fillId="8" borderId="0" applyNumberFormat="0" applyBorder="0" applyAlignment="0" applyProtection="0">
      <alignment vertical="center"/>
    </xf>
    <xf numFmtId="191" fontId="65" fillId="0" borderId="0" applyFont="0" applyFill="0" applyBorder="0" applyAlignment="0" applyProtection="0"/>
    <xf numFmtId="192" fontId="66" fillId="0" borderId="0" applyFont="0" applyFill="0" applyBorder="0" applyAlignment="0" applyProtection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163" fillId="9" borderId="0" applyNumberFormat="0" applyBorder="0" applyAlignment="0" applyProtection="0"/>
    <xf numFmtId="194" fontId="41" fillId="0" borderId="0"/>
    <xf numFmtId="194" fontId="41" fillId="0" borderId="0"/>
    <xf numFmtId="194" fontId="42" fillId="0" borderId="0"/>
    <xf numFmtId="186" fontId="45" fillId="0" borderId="0" applyFont="0" applyFill="0" applyBorder="0" applyAlignment="0" applyProtection="0"/>
    <xf numFmtId="175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94" fontId="41" fillId="0" borderId="0"/>
    <xf numFmtId="194" fontId="41" fillId="0" borderId="0"/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67" fillId="0" borderId="0"/>
    <xf numFmtId="194" fontId="41" fillId="0" borderId="0"/>
    <xf numFmtId="194" fontId="42" fillId="0" borderId="0" applyNumberFormat="0" applyFill="0" applyBorder="0" applyAlignment="0" applyProtection="0"/>
    <xf numFmtId="194" fontId="42" fillId="0" borderId="0" applyNumberFormat="0" applyFill="0" applyBorder="0" applyAlignment="0" applyProtection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2" fillId="0" borderId="0" applyNumberFormat="0" applyFill="0" applyBorder="0" applyAlignment="0" applyProtection="0"/>
    <xf numFmtId="194" fontId="41" fillId="0" borderId="0"/>
    <xf numFmtId="194" fontId="41" fillId="0" borderId="0"/>
    <xf numFmtId="194" fontId="42" fillId="0" borderId="0" applyNumberFormat="0" applyFill="0" applyBorder="0" applyAlignment="0" applyProtection="0"/>
    <xf numFmtId="194" fontId="68" fillId="0" borderId="0"/>
    <xf numFmtId="194" fontId="42" fillId="0" borderId="0" applyNumberFormat="0" applyFill="0" applyBorder="0" applyAlignment="0" applyProtection="0"/>
    <xf numFmtId="194" fontId="42" fillId="0" borderId="0" applyNumberFormat="0" applyFill="0" applyBorder="0" applyAlignment="0" applyProtection="0"/>
    <xf numFmtId="194" fontId="42" fillId="0" borderId="0" applyNumberFormat="0" applyFill="0" applyBorder="0" applyAlignment="0" applyProtection="0"/>
    <xf numFmtId="194" fontId="42" fillId="0" borderId="0" applyNumberFormat="0" applyFill="0" applyBorder="0" applyAlignment="0" applyProtection="0"/>
    <xf numFmtId="194" fontId="41" fillId="0" borderId="0"/>
    <xf numFmtId="204" fontId="47" fillId="0" borderId="0">
      <protection locked="0"/>
    </xf>
    <xf numFmtId="194" fontId="41" fillId="0" borderId="0"/>
    <xf numFmtId="194" fontId="41" fillId="0" borderId="0"/>
    <xf numFmtId="194" fontId="41" fillId="0" borderId="0"/>
    <xf numFmtId="204" fontId="47" fillId="0" borderId="0">
      <protection locked="0"/>
    </xf>
    <xf numFmtId="194" fontId="41" fillId="0" borderId="0"/>
    <xf numFmtId="204" fontId="47" fillId="0" borderId="0">
      <protection locked="0"/>
    </xf>
    <xf numFmtId="194" fontId="41" fillId="0" borderId="0"/>
    <xf numFmtId="194" fontId="41" fillId="0" borderId="0"/>
    <xf numFmtId="204" fontId="47" fillId="0" borderId="0">
      <protection locked="0"/>
    </xf>
    <xf numFmtId="204" fontId="47" fillId="0" borderId="0">
      <protection locked="0"/>
    </xf>
    <xf numFmtId="194" fontId="41" fillId="0" borderId="0"/>
    <xf numFmtId="204" fontId="47" fillId="0" borderId="0">
      <protection locked="0"/>
    </xf>
    <xf numFmtId="194" fontId="41" fillId="0" borderId="0"/>
    <xf numFmtId="194" fontId="41" fillId="0" borderId="0"/>
    <xf numFmtId="194" fontId="41" fillId="0" borderId="0"/>
    <xf numFmtId="194" fontId="41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41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191" fillId="0" borderId="0"/>
    <xf numFmtId="194" fontId="41" fillId="0" borderId="0"/>
    <xf numFmtId="194" fontId="41" fillId="0" borderId="0"/>
    <xf numFmtId="194" fontId="68" fillId="0" borderId="0"/>
    <xf numFmtId="211" fontId="46" fillId="0" borderId="0" applyFont="0" applyFill="0" applyBorder="0" applyAlignment="0" applyProtection="0"/>
    <xf numFmtId="194" fontId="41" fillId="0" borderId="0"/>
    <xf numFmtId="204" fontId="47" fillId="0" borderId="0">
      <protection locked="0"/>
    </xf>
    <xf numFmtId="194" fontId="41" fillId="0" borderId="0"/>
    <xf numFmtId="205" fontId="70" fillId="0" borderId="0" applyFont="0" applyFill="0" applyBorder="0" applyAlignment="0" applyProtection="0"/>
    <xf numFmtId="204" fontId="47" fillId="0" borderId="0">
      <protection locked="0"/>
    </xf>
    <xf numFmtId="194" fontId="191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41" fillId="0" borderId="0"/>
    <xf numFmtId="194" fontId="68" fillId="0" borderId="0"/>
    <xf numFmtId="194" fontId="41" fillId="0" borderId="0"/>
    <xf numFmtId="194" fontId="41" fillId="0" borderId="0"/>
    <xf numFmtId="194" fontId="41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68" fillId="0" borderId="0"/>
    <xf numFmtId="194" fontId="41" fillId="0" borderId="0"/>
    <xf numFmtId="194" fontId="191" fillId="0" borderId="0"/>
    <xf numFmtId="194" fontId="69" fillId="0" borderId="0"/>
    <xf numFmtId="194" fontId="69" fillId="0" borderId="0"/>
    <xf numFmtId="194" fontId="42" fillId="0" borderId="0" applyNumberFormat="0" applyFill="0" applyBorder="0" applyAlignment="0" applyProtection="0"/>
    <xf numFmtId="194" fontId="41" fillId="0" borderId="0"/>
    <xf numFmtId="194" fontId="41" fillId="0" borderId="0"/>
    <xf numFmtId="194" fontId="42" fillId="0" borderId="0" applyNumberFormat="0" applyFill="0" applyBorder="0" applyAlignment="0" applyProtection="0"/>
    <xf numFmtId="204" fontId="73" fillId="0" borderId="0">
      <protection locked="0"/>
    </xf>
    <xf numFmtId="204" fontId="73" fillId="0" borderId="0">
      <protection locked="0"/>
    </xf>
    <xf numFmtId="204" fontId="47" fillId="0" borderId="0">
      <protection locked="0"/>
    </xf>
    <xf numFmtId="204" fontId="73" fillId="0" borderId="0">
      <protection locked="0"/>
    </xf>
    <xf numFmtId="204" fontId="47" fillId="0" borderId="0">
      <protection locked="0"/>
    </xf>
    <xf numFmtId="194" fontId="192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68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68" fillId="0" borderId="0"/>
    <xf numFmtId="194" fontId="68" fillId="0" borderId="0"/>
    <xf numFmtId="194" fontId="68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68" fillId="0" borderId="0"/>
    <xf numFmtId="194" fontId="41" fillId="0" borderId="0"/>
    <xf numFmtId="194" fontId="68" fillId="0" borderId="0"/>
    <xf numFmtId="194" fontId="191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42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/>
    <xf numFmtId="194" fontId="41" fillId="0" borderId="0"/>
    <xf numFmtId="194" fontId="42" fillId="0" borderId="0" applyNumberFormat="0" applyFill="0" applyBorder="0" applyAlignment="0" applyProtection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204" fontId="47" fillId="0" borderId="0">
      <protection locked="0"/>
    </xf>
    <xf numFmtId="204" fontId="73" fillId="0" borderId="0">
      <protection locked="0"/>
    </xf>
    <xf numFmtId="204" fontId="47" fillId="0" borderId="0">
      <protection locked="0"/>
    </xf>
    <xf numFmtId="194" fontId="41" fillId="0" borderId="0"/>
    <xf numFmtId="42" fontId="70" fillId="0" borderId="0" applyFont="0" applyFill="0" applyBorder="0" applyAlignment="0" applyProtection="0"/>
    <xf numFmtId="194" fontId="42" fillId="0" borderId="0" applyNumberFormat="0" applyFill="0" applyBorder="0" applyAlignment="0" applyProtection="0"/>
    <xf numFmtId="42" fontId="70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21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4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2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05" fontId="70" fillId="0" borderId="0" applyFont="0" applyFill="0" applyBorder="0" applyAlignment="0" applyProtection="0"/>
    <xf numFmtId="42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5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4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212" fontId="46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06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05" fontId="70" fillId="0" borderId="0" applyFont="0" applyFill="0" applyBorder="0" applyAlignment="0" applyProtection="0"/>
    <xf numFmtId="42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5" fontId="70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212" fontId="46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06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4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21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94" fontId="68" fillId="0" borderId="0"/>
    <xf numFmtId="194" fontId="68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8" fillId="0" borderId="0"/>
    <xf numFmtId="42" fontId="70" fillId="0" borderId="0" applyFont="0" applyFill="0" applyBorder="0" applyAlignment="0" applyProtection="0"/>
    <xf numFmtId="194" fontId="41" fillId="0" borderId="0"/>
    <xf numFmtId="194" fontId="41" fillId="0" borderId="0"/>
    <xf numFmtId="194" fontId="71" fillId="0" borderId="0">
      <alignment vertical="top"/>
    </xf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41" fillId="0" borderId="0"/>
    <xf numFmtId="194" fontId="41" fillId="0" borderId="0"/>
    <xf numFmtId="194" fontId="42" fillId="0" borderId="0" applyNumberFormat="0" applyFill="0" applyBorder="0" applyAlignment="0" applyProtection="0"/>
    <xf numFmtId="194" fontId="210" fillId="0" borderId="7" quotePrefix="1" pivotButton="1" applyNumberFormat="0" applyFont="0" applyBorder="0">
      <alignment horizontal="justify" vertical="justify" textRotation="90"/>
      <protection locked="0"/>
    </xf>
    <xf numFmtId="194" fontId="42" fillId="0" borderId="0" applyNumberFormat="0" applyFill="0" applyBorder="0" applyAlignment="0" applyProtection="0"/>
    <xf numFmtId="194" fontId="210" fillId="0" borderId="7" quotePrefix="1" pivotButton="1" applyNumberFormat="0" applyFont="0" applyBorder="0">
      <alignment horizontal="justify" vertical="justify" textRotation="90"/>
      <protection locked="0"/>
    </xf>
    <xf numFmtId="21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04" fontId="47" fillId="0" borderId="0">
      <protection locked="0"/>
    </xf>
    <xf numFmtId="204" fontId="73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41" fillId="0" borderId="0"/>
    <xf numFmtId="215" fontId="70" fillId="0" borderId="0" applyFont="0" applyFill="0" applyBorder="0" applyAlignment="0" applyProtection="0"/>
    <xf numFmtId="194" fontId="69" fillId="0" borderId="0"/>
    <xf numFmtId="204" fontId="73" fillId="0" borderId="0">
      <protection locked="0"/>
    </xf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69" fillId="0" borderId="0"/>
    <xf numFmtId="194" fontId="191" fillId="0" borderId="0"/>
    <xf numFmtId="194" fontId="41" fillId="0" borderId="0"/>
    <xf numFmtId="194" fontId="41" fillId="0" borderId="0"/>
    <xf numFmtId="194" fontId="41" fillId="0" borderId="0"/>
    <xf numFmtId="204" fontId="73" fillId="0" borderId="0">
      <protection locked="0"/>
    </xf>
    <xf numFmtId="194" fontId="41" fillId="0" borderId="0"/>
    <xf numFmtId="194" fontId="41" fillId="0" borderId="0"/>
    <xf numFmtId="194" fontId="68" fillId="0" borderId="0"/>
    <xf numFmtId="194" fontId="41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72" fillId="0" borderId="0">
      <alignment vertical="top"/>
    </xf>
    <xf numFmtId="194" fontId="71" fillId="0" borderId="0">
      <alignment vertical="top"/>
    </xf>
    <xf numFmtId="194" fontId="68" fillId="0" borderId="0"/>
    <xf numFmtId="194" fontId="42" fillId="0" borderId="0" applyNumberFormat="0" applyFill="0" applyBorder="0" applyAlignment="0" applyProtection="0"/>
    <xf numFmtId="194" fontId="69" fillId="0" borderId="0"/>
    <xf numFmtId="194" fontId="69" fillId="0" borderId="0"/>
    <xf numFmtId="204" fontId="73" fillId="0" borderId="0">
      <protection locked="0"/>
    </xf>
    <xf numFmtId="194" fontId="69" fillId="0" borderId="0"/>
    <xf numFmtId="194" fontId="41" fillId="0" borderId="0"/>
    <xf numFmtId="194" fontId="191" fillId="0" borderId="0"/>
    <xf numFmtId="194" fontId="69" fillId="0" borderId="0"/>
    <xf numFmtId="194" fontId="69" fillId="0" borderId="0"/>
    <xf numFmtId="194" fontId="41" fillId="0" borderId="0"/>
    <xf numFmtId="194" fontId="41" fillId="0" borderId="0"/>
    <xf numFmtId="194" fontId="191" fillId="0" borderId="0"/>
    <xf numFmtId="204" fontId="47" fillId="0" borderId="0">
      <protection locked="0"/>
    </xf>
    <xf numFmtId="166" fontId="46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212" fontId="46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06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194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198" fontId="70" fillId="0" borderId="0" applyFont="0" applyFill="0" applyBorder="0" applyAlignment="0" applyProtection="0"/>
    <xf numFmtId="208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168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21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41" fillId="0" borderId="0"/>
    <xf numFmtId="194" fontId="41" fillId="0" borderId="0"/>
    <xf numFmtId="194" fontId="68" fillId="0" borderId="0"/>
    <xf numFmtId="194" fontId="42" fillId="0" borderId="0" applyNumberFormat="0" applyFill="0" applyBorder="0" applyAlignment="0" applyProtection="0"/>
    <xf numFmtId="194" fontId="210" fillId="0" borderId="7" quotePrefix="1" pivotButton="1" applyNumberFormat="0" applyFont="0" applyBorder="0">
      <alignment horizontal="justify" vertical="justify" textRotation="90"/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8" fillId="0" borderId="0"/>
    <xf numFmtId="194" fontId="119" fillId="0" borderId="0"/>
    <xf numFmtId="194" fontId="119" fillId="0" borderId="0"/>
    <xf numFmtId="194" fontId="68" fillId="0" borderId="0"/>
    <xf numFmtId="194" fontId="68" fillId="0" borderId="0"/>
    <xf numFmtId="187" fontId="45" fillId="0" borderId="0" applyFont="0" applyFill="0" applyBorder="0" applyAlignment="0" applyProtection="0"/>
    <xf numFmtId="185" fontId="45" fillId="0" borderId="0" applyFont="0" applyFill="0" applyBorder="0" applyAlignment="0" applyProtection="0"/>
    <xf numFmtId="194" fontId="74" fillId="0" borderId="0"/>
    <xf numFmtId="194" fontId="193" fillId="0" borderId="0" applyNumberFormat="0" applyFill="0" applyBorder="0" applyAlignment="0" applyProtection="0">
      <alignment vertical="top"/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73" fillId="0" borderId="0">
      <protection locked="0"/>
    </xf>
    <xf numFmtId="204" fontId="73" fillId="0" borderId="0">
      <protection locked="0"/>
    </xf>
    <xf numFmtId="204" fontId="73" fillId="0" borderId="0">
      <protection locked="0"/>
    </xf>
    <xf numFmtId="204" fontId="73" fillId="0" borderId="0">
      <protection locked="0"/>
    </xf>
    <xf numFmtId="204" fontId="47" fillId="0" borderId="0">
      <protection locked="0"/>
    </xf>
    <xf numFmtId="194" fontId="75" fillId="0" borderId="0" applyNumberFormat="0" applyFill="0" applyBorder="0" applyAlignment="0" applyProtection="0">
      <alignment vertical="top"/>
      <protection locked="0"/>
    </xf>
    <xf numFmtId="194" fontId="69" fillId="0" borderId="0"/>
    <xf numFmtId="193" fontId="7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19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94" fontId="77" fillId="10" borderId="0"/>
    <xf numFmtId="9" fontId="78" fillId="0" borderId="0" applyFont="0" applyFill="0" applyBorder="0" applyAlignment="0" applyProtection="0"/>
    <xf numFmtId="194" fontId="79" fillId="10" borderId="0"/>
    <xf numFmtId="194" fontId="80" fillId="11" borderId="0" applyNumberFormat="0" applyBorder="0" applyAlignment="0" applyProtection="0">
      <alignment vertical="center"/>
    </xf>
    <xf numFmtId="194" fontId="80" fillId="12" borderId="0" applyNumberFormat="0" applyBorder="0" applyAlignment="0" applyProtection="0">
      <alignment vertical="center"/>
    </xf>
    <xf numFmtId="194" fontId="80" fillId="13" borderId="0" applyNumberFormat="0" applyBorder="0" applyAlignment="0" applyProtection="0">
      <alignment vertical="center"/>
    </xf>
    <xf numFmtId="194" fontId="80" fillId="14" borderId="0" applyNumberFormat="0" applyBorder="0" applyAlignment="0" applyProtection="0">
      <alignment vertical="center"/>
    </xf>
    <xf numFmtId="194" fontId="80" fillId="15" borderId="0" applyNumberFormat="0" applyBorder="0" applyAlignment="0" applyProtection="0">
      <alignment vertical="center"/>
    </xf>
    <xf numFmtId="194" fontId="80" fillId="16" borderId="0" applyNumberFormat="0" applyBorder="0" applyAlignment="0" applyProtection="0">
      <alignment vertical="center"/>
    </xf>
    <xf numFmtId="194" fontId="81" fillId="11" borderId="0" applyNumberFormat="0" applyBorder="0" applyAlignment="0" applyProtection="0">
      <alignment vertical="center"/>
    </xf>
    <xf numFmtId="194" fontId="81" fillId="12" borderId="0" applyNumberFormat="0" applyBorder="0" applyAlignment="0" applyProtection="0">
      <alignment vertical="center"/>
    </xf>
    <xf numFmtId="194" fontId="81" fillId="13" borderId="0" applyNumberFormat="0" applyBorder="0" applyAlignment="0" applyProtection="0">
      <alignment vertical="center"/>
    </xf>
    <xf numFmtId="194" fontId="81" fillId="14" borderId="0" applyNumberFormat="0" applyBorder="0" applyAlignment="0" applyProtection="0">
      <alignment vertical="center"/>
    </xf>
    <xf numFmtId="194" fontId="81" fillId="15" borderId="0" applyNumberFormat="0" applyBorder="0" applyAlignment="0" applyProtection="0">
      <alignment vertical="center"/>
    </xf>
    <xf numFmtId="194" fontId="81" fillId="16" borderId="0" applyNumberFormat="0" applyBorder="0" applyAlignment="0" applyProtection="0">
      <alignment vertical="center"/>
    </xf>
    <xf numFmtId="194" fontId="82" fillId="11" borderId="0" applyNumberFormat="0" applyBorder="0" applyAlignment="0" applyProtection="0">
      <alignment vertical="center"/>
    </xf>
    <xf numFmtId="194" fontId="82" fillId="12" borderId="0" applyNumberFormat="0" applyBorder="0" applyAlignment="0" applyProtection="0">
      <alignment vertical="center"/>
    </xf>
    <xf numFmtId="194" fontId="82" fillId="13" borderId="0" applyNumberFormat="0" applyBorder="0" applyAlignment="0" applyProtection="0">
      <alignment vertical="center"/>
    </xf>
    <xf numFmtId="194" fontId="82" fillId="14" borderId="0" applyNumberFormat="0" applyBorder="0" applyAlignment="0" applyProtection="0">
      <alignment vertical="center"/>
    </xf>
    <xf numFmtId="194" fontId="82" fillId="15" borderId="0" applyNumberFormat="0" applyBorder="0" applyAlignment="0" applyProtection="0">
      <alignment vertical="center"/>
    </xf>
    <xf numFmtId="194" fontId="82" fillId="16" borderId="0" applyNumberFormat="0" applyBorder="0" applyAlignment="0" applyProtection="0">
      <alignment vertical="center"/>
    </xf>
    <xf numFmtId="194" fontId="83" fillId="10" borderId="0"/>
    <xf numFmtId="165" fontId="194" fillId="0" borderId="0" applyFont="0" applyFill="0" applyBorder="0" applyAlignment="0" applyProtection="0"/>
    <xf numFmtId="167" fontId="194" fillId="0" borderId="0" applyFont="0" applyFill="0" applyBorder="0" applyAlignment="0" applyProtection="0"/>
    <xf numFmtId="194" fontId="84" fillId="0" borderId="0">
      <alignment wrapText="1"/>
    </xf>
    <xf numFmtId="194" fontId="80" fillId="17" borderId="0" applyNumberFormat="0" applyBorder="0" applyAlignment="0" applyProtection="0">
      <alignment vertical="center"/>
    </xf>
    <xf numFmtId="194" fontId="80" fillId="18" borderId="0" applyNumberFormat="0" applyBorder="0" applyAlignment="0" applyProtection="0">
      <alignment vertical="center"/>
    </xf>
    <xf numFmtId="194" fontId="80" fillId="19" borderId="0" applyNumberFormat="0" applyBorder="0" applyAlignment="0" applyProtection="0">
      <alignment vertical="center"/>
    </xf>
    <xf numFmtId="194" fontId="80" fillId="14" borderId="0" applyNumberFormat="0" applyBorder="0" applyAlignment="0" applyProtection="0">
      <alignment vertical="center"/>
    </xf>
    <xf numFmtId="194" fontId="80" fillId="17" borderId="0" applyNumberFormat="0" applyBorder="0" applyAlignment="0" applyProtection="0">
      <alignment vertical="center"/>
    </xf>
    <xf numFmtId="194" fontId="80" fillId="20" borderId="0" applyNumberFormat="0" applyBorder="0" applyAlignment="0" applyProtection="0">
      <alignment vertical="center"/>
    </xf>
    <xf numFmtId="194" fontId="81" fillId="17" borderId="0" applyNumberFormat="0" applyBorder="0" applyAlignment="0" applyProtection="0">
      <alignment vertical="center"/>
    </xf>
    <xf numFmtId="194" fontId="81" fillId="18" borderId="0" applyNumberFormat="0" applyBorder="0" applyAlignment="0" applyProtection="0">
      <alignment vertical="center"/>
    </xf>
    <xf numFmtId="194" fontId="81" fillId="19" borderId="0" applyNumberFormat="0" applyBorder="0" applyAlignment="0" applyProtection="0">
      <alignment vertical="center"/>
    </xf>
    <xf numFmtId="194" fontId="81" fillId="14" borderId="0" applyNumberFormat="0" applyBorder="0" applyAlignment="0" applyProtection="0">
      <alignment vertical="center"/>
    </xf>
    <xf numFmtId="194" fontId="81" fillId="17" borderId="0" applyNumberFormat="0" applyBorder="0" applyAlignment="0" applyProtection="0">
      <alignment vertical="center"/>
    </xf>
    <xf numFmtId="194" fontId="81" fillId="20" borderId="0" applyNumberFormat="0" applyBorder="0" applyAlignment="0" applyProtection="0">
      <alignment vertical="center"/>
    </xf>
    <xf numFmtId="194" fontId="82" fillId="17" borderId="0" applyNumberFormat="0" applyBorder="0" applyAlignment="0" applyProtection="0">
      <alignment vertical="center"/>
    </xf>
    <xf numFmtId="194" fontId="82" fillId="18" borderId="0" applyNumberFormat="0" applyBorder="0" applyAlignment="0" applyProtection="0">
      <alignment vertical="center"/>
    </xf>
    <xf numFmtId="194" fontId="82" fillId="19" borderId="0" applyNumberFormat="0" applyBorder="0" applyAlignment="0" applyProtection="0">
      <alignment vertical="center"/>
    </xf>
    <xf numFmtId="194" fontId="82" fillId="14" borderId="0" applyNumberFormat="0" applyBorder="0" applyAlignment="0" applyProtection="0">
      <alignment vertical="center"/>
    </xf>
    <xf numFmtId="194" fontId="82" fillId="17" borderId="0" applyNumberFormat="0" applyBorder="0" applyAlignment="0" applyProtection="0">
      <alignment vertical="center"/>
    </xf>
    <xf numFmtId="194" fontId="82" fillId="20" borderId="0" applyNumberFormat="0" applyBorder="0" applyAlignment="0" applyProtection="0">
      <alignment vertical="center"/>
    </xf>
    <xf numFmtId="194" fontId="64" fillId="21" borderId="0" applyNumberFormat="0" applyBorder="0" applyAlignment="0" applyProtection="0">
      <alignment vertical="center"/>
    </xf>
    <xf numFmtId="194" fontId="64" fillId="18" borderId="0" applyNumberFormat="0" applyBorder="0" applyAlignment="0" applyProtection="0">
      <alignment vertical="center"/>
    </xf>
    <xf numFmtId="194" fontId="64" fillId="19" borderId="0" applyNumberFormat="0" applyBorder="0" applyAlignment="0" applyProtection="0">
      <alignment vertical="center"/>
    </xf>
    <xf numFmtId="194" fontId="64" fillId="6" borderId="0" applyNumberFormat="0" applyBorder="0" applyAlignment="0" applyProtection="0">
      <alignment vertical="center"/>
    </xf>
    <xf numFmtId="194" fontId="64" fillId="7" borderId="0" applyNumberFormat="0" applyBorder="0" applyAlignment="0" applyProtection="0">
      <alignment vertical="center"/>
    </xf>
    <xf numFmtId="194" fontId="64" fillId="22" borderId="0" applyNumberFormat="0" applyBorder="0" applyAlignment="0" applyProtection="0">
      <alignment vertical="center"/>
    </xf>
    <xf numFmtId="194" fontId="86" fillId="21" borderId="0" applyNumberFormat="0" applyBorder="0" applyAlignment="0" applyProtection="0">
      <alignment vertical="center"/>
    </xf>
    <xf numFmtId="194" fontId="86" fillId="18" borderId="0" applyNumberFormat="0" applyBorder="0" applyAlignment="0" applyProtection="0">
      <alignment vertical="center"/>
    </xf>
    <xf numFmtId="194" fontId="86" fillId="19" borderId="0" applyNumberFormat="0" applyBorder="0" applyAlignment="0" applyProtection="0">
      <alignment vertical="center"/>
    </xf>
    <xf numFmtId="194" fontId="86" fillId="6" borderId="0" applyNumberFormat="0" applyBorder="0" applyAlignment="0" applyProtection="0">
      <alignment vertical="center"/>
    </xf>
    <xf numFmtId="194" fontId="86" fillId="7" borderId="0" applyNumberFormat="0" applyBorder="0" applyAlignment="0" applyProtection="0">
      <alignment vertical="center"/>
    </xf>
    <xf numFmtId="194" fontId="86" fillId="22" borderId="0" applyNumberFormat="0" applyBorder="0" applyAlignment="0" applyProtection="0">
      <alignment vertical="center"/>
    </xf>
    <xf numFmtId="194" fontId="87" fillId="21" borderId="0" applyNumberFormat="0" applyBorder="0" applyAlignment="0" applyProtection="0">
      <alignment vertical="center"/>
    </xf>
    <xf numFmtId="194" fontId="87" fillId="18" borderId="0" applyNumberFormat="0" applyBorder="0" applyAlignment="0" applyProtection="0">
      <alignment vertical="center"/>
    </xf>
    <xf numFmtId="194" fontId="87" fillId="19" borderId="0" applyNumberFormat="0" applyBorder="0" applyAlignment="0" applyProtection="0">
      <alignment vertical="center"/>
    </xf>
    <xf numFmtId="194" fontId="87" fillId="6" borderId="0" applyNumberFormat="0" applyBorder="0" applyAlignment="0" applyProtection="0">
      <alignment vertical="center"/>
    </xf>
    <xf numFmtId="194" fontId="87" fillId="7" borderId="0" applyNumberFormat="0" applyBorder="0" applyAlignment="0" applyProtection="0">
      <alignment vertical="center"/>
    </xf>
    <xf numFmtId="194" fontId="87" fillId="22" borderId="0" applyNumberFormat="0" applyBorder="0" applyAlignment="0" applyProtection="0">
      <alignment vertical="center"/>
    </xf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94" fontId="89" fillId="24" borderId="0" applyNumberFormat="0" applyBorder="0" applyAlignment="0" applyProtection="0"/>
    <xf numFmtId="194" fontId="89" fillId="24" borderId="0" applyNumberFormat="0" applyBorder="0" applyAlignment="0" applyProtection="0"/>
    <xf numFmtId="194" fontId="88" fillId="25" borderId="0" applyNumberFormat="0" applyBorder="0" applyAlignment="0" applyProtection="0"/>
    <xf numFmtId="194" fontId="89" fillId="27" borderId="0" applyNumberFormat="0" applyBorder="0" applyAlignment="0" applyProtection="0"/>
    <xf numFmtId="194" fontId="89" fillId="28" borderId="0" applyNumberFormat="0" applyBorder="0" applyAlignment="0" applyProtection="0"/>
    <xf numFmtId="194" fontId="88" fillId="29" borderId="0" applyNumberFormat="0" applyBorder="0" applyAlignment="0" applyProtection="0"/>
    <xf numFmtId="194" fontId="89" fillId="27" borderId="0" applyNumberFormat="0" applyBorder="0" applyAlignment="0" applyProtection="0"/>
    <xf numFmtId="194" fontId="89" fillId="9" borderId="0" applyNumberFormat="0" applyBorder="0" applyAlignment="0" applyProtection="0"/>
    <xf numFmtId="194" fontId="88" fillId="28" borderId="0" applyNumberFormat="0" applyBorder="0" applyAlignment="0" applyProtection="0"/>
    <xf numFmtId="194" fontId="89" fillId="24" borderId="0" applyNumberFormat="0" applyBorder="0" applyAlignment="0" applyProtection="0"/>
    <xf numFmtId="194" fontId="89" fillId="28" borderId="0" applyNumberFormat="0" applyBorder="0" applyAlignment="0" applyProtection="0"/>
    <xf numFmtId="194" fontId="88" fillId="28" borderId="0" applyNumberFormat="0" applyBorder="0" applyAlignment="0" applyProtection="0"/>
    <xf numFmtId="194" fontId="89" fillId="31" borderId="0" applyNumberFormat="0" applyBorder="0" applyAlignment="0" applyProtection="0"/>
    <xf numFmtId="194" fontId="89" fillId="24" borderId="0" applyNumberFormat="0" applyBorder="0" applyAlignment="0" applyProtection="0"/>
    <xf numFmtId="194" fontId="88" fillId="25" borderId="0" applyNumberFormat="0" applyBorder="0" applyAlignment="0" applyProtection="0"/>
    <xf numFmtId="194" fontId="89" fillId="27" borderId="0" applyNumberFormat="0" applyBorder="0" applyAlignment="0" applyProtection="0"/>
    <xf numFmtId="194" fontId="89" fillId="33" borderId="0" applyNumberFormat="0" applyBorder="0" applyAlignment="0" applyProtection="0"/>
    <xf numFmtId="194" fontId="88" fillId="33" borderId="0" applyNumberFormat="0" applyBorder="0" applyAlignment="0" applyProtection="0"/>
    <xf numFmtId="210" fontId="41" fillId="0" borderId="0" applyFont="0" applyFill="0" applyBorder="0" applyAlignment="0" applyProtection="0"/>
    <xf numFmtId="194" fontId="90" fillId="0" borderId="0" applyFont="0" applyFill="0" applyBorder="0" applyAlignment="0" applyProtection="0"/>
    <xf numFmtId="199" fontId="46" fillId="0" borderId="0" applyFont="0" applyFill="0" applyBorder="0" applyAlignment="0" applyProtection="0"/>
    <xf numFmtId="180" fontId="91" fillId="0" borderId="0" applyFont="0" applyFill="0" applyBorder="0" applyAlignment="0" applyProtection="0"/>
    <xf numFmtId="195" fontId="41" fillId="0" borderId="0" applyFont="0" applyFill="0" applyBorder="0" applyAlignment="0" applyProtection="0"/>
    <xf numFmtId="194" fontId="90" fillId="0" borderId="0" applyFont="0" applyFill="0" applyBorder="0" applyAlignment="0" applyProtection="0"/>
    <xf numFmtId="181" fontId="78" fillId="0" borderId="0" applyFont="0" applyFill="0" applyBorder="0" applyAlignment="0" applyProtection="0"/>
    <xf numFmtId="181" fontId="91" fillId="0" borderId="0" applyFont="0" applyFill="0" applyBorder="0" applyAlignment="0" applyProtection="0"/>
    <xf numFmtId="194" fontId="195" fillId="0" borderId="0" applyNumberFormat="0" applyFill="0" applyBorder="0" applyAlignment="0" applyProtection="0">
      <alignment vertical="top"/>
      <protection locked="0"/>
    </xf>
    <xf numFmtId="194" fontId="92" fillId="0" borderId="0">
      <alignment horizontal="center" wrapText="1"/>
      <protection locked="0"/>
    </xf>
    <xf numFmtId="172" fontId="46" fillId="0" borderId="0" applyFont="0" applyFill="0" applyBorder="0" applyAlignment="0" applyProtection="0"/>
    <xf numFmtId="194" fontId="90" fillId="0" borderId="0" applyFont="0" applyFill="0" applyBorder="0" applyAlignment="0" applyProtection="0"/>
    <xf numFmtId="170" fontId="78" fillId="0" borderId="0" applyFont="0" applyFill="0" applyBorder="0" applyAlignment="0" applyProtection="0"/>
    <xf numFmtId="170" fontId="91" fillId="0" borderId="0" applyFont="0" applyFill="0" applyBorder="0" applyAlignment="0" applyProtection="0"/>
    <xf numFmtId="196" fontId="41" fillId="0" borderId="0" applyFont="0" applyFill="0" applyBorder="0" applyAlignment="0" applyProtection="0"/>
    <xf numFmtId="194" fontId="90" fillId="0" borderId="0" applyFont="0" applyFill="0" applyBorder="0" applyAlignment="0" applyProtection="0"/>
    <xf numFmtId="171" fontId="78" fillId="0" borderId="0" applyFont="0" applyFill="0" applyBorder="0" applyAlignment="0" applyProtection="0"/>
    <xf numFmtId="171" fontId="91" fillId="0" borderId="0" applyFont="0" applyFill="0" applyBorder="0" applyAlignment="0" applyProtection="0"/>
    <xf numFmtId="165" fontId="46" fillId="0" borderId="0" applyFont="0" applyFill="0" applyBorder="0" applyAlignment="0" applyProtection="0"/>
    <xf numFmtId="194" fontId="94" fillId="34" borderId="0" applyNumberFormat="0" applyBorder="0" applyAlignment="0"/>
    <xf numFmtId="194" fontId="90" fillId="0" borderId="0"/>
    <xf numFmtId="194" fontId="95" fillId="0" borderId="0"/>
    <xf numFmtId="194" fontId="90" fillId="0" borderId="0"/>
    <xf numFmtId="194" fontId="95" fillId="0" borderId="0"/>
    <xf numFmtId="194" fontId="91" fillId="0" borderId="0"/>
    <xf numFmtId="194" fontId="41" fillId="0" borderId="0"/>
    <xf numFmtId="194" fontId="71" fillId="0" borderId="0" applyFill="0" applyBorder="0" applyAlignment="0"/>
    <xf numFmtId="194" fontId="71" fillId="0" borderId="0" applyFill="0" applyBorder="0" applyAlignment="0"/>
    <xf numFmtId="194" fontId="41" fillId="0" borderId="0" applyFill="0" applyBorder="0" applyAlignment="0"/>
    <xf numFmtId="194" fontId="41" fillId="0" borderId="0" applyFill="0" applyBorder="0" applyAlignment="0"/>
    <xf numFmtId="194" fontId="41" fillId="0" borderId="0" applyFill="0" applyBorder="0" applyAlignment="0"/>
    <xf numFmtId="194" fontId="71" fillId="0" borderId="0" applyFill="0" applyBorder="0" applyAlignment="0"/>
    <xf numFmtId="194" fontId="41" fillId="0" borderId="0" applyFill="0" applyBorder="0" applyAlignment="0"/>
    <xf numFmtId="194" fontId="71" fillId="0" borderId="0" applyFill="0" applyBorder="0" applyAlignment="0"/>
    <xf numFmtId="194" fontId="97" fillId="0" borderId="0"/>
    <xf numFmtId="194" fontId="196" fillId="0" borderId="0" applyFill="0" applyBorder="0" applyProtection="0">
      <alignment horizontal="center"/>
      <protection locked="0"/>
    </xf>
    <xf numFmtId="213" fontId="70" fillId="0" borderId="0" applyFont="0" applyFill="0" applyBorder="0" applyAlignment="0" applyProtection="0"/>
    <xf numFmtId="1" fontId="98" fillId="0" borderId="9" applyBorder="0"/>
    <xf numFmtId="194" fontId="99" fillId="0" borderId="10">
      <alignment horizontal="center"/>
    </xf>
    <xf numFmtId="43" fontId="39" fillId="0" borderId="0" applyFont="0" applyFill="0" applyBorder="0" applyAlignment="0" applyProtection="0"/>
    <xf numFmtId="226" fontId="100" fillId="0" borderId="0"/>
    <xf numFmtId="226" fontId="100" fillId="0" borderId="0"/>
    <xf numFmtId="226" fontId="100" fillId="0" borderId="0"/>
    <xf numFmtId="226" fontId="100" fillId="0" borderId="0"/>
    <xf numFmtId="226" fontId="100" fillId="0" borderId="0"/>
    <xf numFmtId="226" fontId="100" fillId="0" borderId="0"/>
    <xf numFmtId="226" fontId="100" fillId="0" borderId="0"/>
    <xf numFmtId="226" fontId="100" fillId="0" borderId="0"/>
    <xf numFmtId="227" fontId="38" fillId="0" borderId="0" applyFont="0" applyFill="0" applyBorder="0" applyAlignment="0" applyProtection="0"/>
    <xf numFmtId="194" fontId="41" fillId="0" borderId="0" applyFont="0" applyFill="0" applyBorder="0" applyAlignment="0" applyProtection="0"/>
    <xf numFmtId="228" fontId="189" fillId="0" borderId="0" applyFont="0" applyFill="0" applyBorder="0" applyAlignment="0" applyProtection="0"/>
    <xf numFmtId="229" fontId="62" fillId="0" borderId="0" applyFont="0" applyFill="0" applyBorder="0" applyAlignment="0" applyProtection="0"/>
    <xf numFmtId="230" fontId="197" fillId="0" borderId="0" applyFont="0" applyFill="0" applyBorder="0" applyAlignment="0" applyProtection="0"/>
    <xf numFmtId="231" fontId="62" fillId="0" borderId="0" applyFont="0" applyFill="0" applyBorder="0" applyAlignment="0" applyProtection="0"/>
    <xf numFmtId="232" fontId="197" fillId="0" borderId="0" applyFont="0" applyFill="0" applyBorder="0" applyAlignment="0" applyProtection="0"/>
    <xf numFmtId="233" fontId="62" fillId="0" borderId="0" applyFont="0" applyFill="0" applyBorder="0" applyAlignment="0" applyProtection="0"/>
    <xf numFmtId="3" fontId="41" fillId="0" borderId="0" applyFont="0" applyFill="0" applyBorder="0" applyAlignment="0" applyProtection="0"/>
    <xf numFmtId="194" fontId="198" fillId="0" borderId="0" applyFill="0" applyBorder="0" applyAlignment="0" applyProtection="0">
      <protection locked="0"/>
    </xf>
    <xf numFmtId="194" fontId="101" fillId="0" borderId="0" applyNumberFormat="0" applyAlignment="0">
      <alignment horizontal="left"/>
    </xf>
    <xf numFmtId="194" fontId="76" fillId="0" borderId="0" applyNumberFormat="0" applyAlignment="0"/>
    <xf numFmtId="234" fontId="188" fillId="0" borderId="0" applyFill="0" applyBorder="0" applyProtection="0"/>
    <xf numFmtId="235" fontId="189" fillId="0" borderId="0" applyFont="0" applyFill="0" applyBorder="0" applyAlignment="0" applyProtection="0"/>
    <xf numFmtId="236" fontId="38" fillId="0" borderId="0" applyFont="0" applyFill="0" applyBorder="0" applyAlignment="0" applyProtection="0"/>
    <xf numFmtId="194" fontId="41" fillId="0" borderId="0" applyFont="0" applyFill="0" applyBorder="0" applyAlignment="0" applyProtection="0"/>
    <xf numFmtId="237" fontId="197" fillId="0" borderId="0" applyFont="0" applyFill="0" applyBorder="0" applyAlignment="0" applyProtection="0"/>
    <xf numFmtId="238" fontId="62" fillId="0" borderId="0" applyFont="0" applyFill="0" applyBorder="0" applyAlignment="0" applyProtection="0"/>
    <xf numFmtId="239" fontId="197" fillId="0" borderId="0" applyFont="0" applyFill="0" applyBorder="0" applyAlignment="0" applyProtection="0"/>
    <xf numFmtId="240" fontId="62" fillId="0" borderId="0" applyFont="0" applyFill="0" applyBorder="0" applyAlignment="0" applyProtection="0"/>
    <xf numFmtId="241" fontId="197" fillId="0" borderId="0" applyFont="0" applyFill="0" applyBorder="0" applyAlignment="0" applyProtection="0"/>
    <xf numFmtId="242" fontId="62" fillId="0" borderId="0" applyFont="0" applyFill="0" applyBorder="0" applyAlignment="0" applyProtection="0"/>
    <xf numFmtId="173" fontId="41" fillId="0" borderId="0" applyFont="0" applyFill="0" applyBorder="0" applyAlignment="0" applyProtection="0"/>
    <xf numFmtId="194" fontId="41" fillId="0" borderId="0" applyFont="0" applyFill="0" applyBorder="0" applyAlignment="0" applyProtection="0"/>
    <xf numFmtId="14" fontId="71" fillId="0" borderId="0" applyFill="0" applyBorder="0" applyAlignment="0"/>
    <xf numFmtId="220" fontId="47" fillId="0" borderId="0">
      <protection locked="0"/>
    </xf>
    <xf numFmtId="201" fontId="41" fillId="0" borderId="0" applyFont="0" applyFill="0" applyBorder="0" applyAlignment="0" applyProtection="0"/>
    <xf numFmtId="203" fontId="41" fillId="0" borderId="0" applyFont="0" applyFill="0" applyBorder="0" applyAlignment="0" applyProtection="0"/>
    <xf numFmtId="194" fontId="70" fillId="0" borderId="0"/>
    <xf numFmtId="194" fontId="102" fillId="0" borderId="0" applyFill="0" applyBorder="0" applyAlignment="0"/>
    <xf numFmtId="194" fontId="102" fillId="0" borderId="0" applyFill="0" applyBorder="0" applyAlignment="0"/>
    <xf numFmtId="194" fontId="102" fillId="0" borderId="0" applyFill="0" applyBorder="0" applyAlignment="0"/>
    <xf numFmtId="194" fontId="41" fillId="0" borderId="0" applyFill="0" applyBorder="0" applyAlignment="0"/>
    <xf numFmtId="194" fontId="102" fillId="0" borderId="0" applyFill="0" applyBorder="0" applyAlignment="0"/>
    <xf numFmtId="194" fontId="103" fillId="0" borderId="0" applyNumberFormat="0" applyAlignment="0">
      <alignment horizontal="left"/>
    </xf>
    <xf numFmtId="194" fontId="41" fillId="0" borderId="0" applyFont="0" applyFill="0" applyBorder="0" applyAlignment="0" applyProtection="0"/>
    <xf numFmtId="194" fontId="41" fillId="0" borderId="0"/>
    <xf numFmtId="2" fontId="41" fillId="0" borderId="0" applyFont="0" applyFill="0" applyBorder="0" applyAlignment="0" applyProtection="0"/>
    <xf numFmtId="194" fontId="105" fillId="0" borderId="0" applyNumberFormat="0" applyFill="0" applyBorder="0" applyAlignment="0" applyProtection="0">
      <alignment vertical="top"/>
      <protection locked="0"/>
    </xf>
    <xf numFmtId="38" fontId="107" fillId="10" borderId="0" applyNumberFormat="0" applyBorder="0" applyAlignment="0" applyProtection="0"/>
    <xf numFmtId="194" fontId="108" fillId="0" borderId="0">
      <alignment horizontal="left"/>
    </xf>
    <xf numFmtId="194" fontId="109" fillId="0" borderId="11" applyNumberFormat="0" applyAlignment="0" applyProtection="0">
      <alignment horizontal="left" vertical="center"/>
    </xf>
    <xf numFmtId="194" fontId="109" fillId="0" borderId="12">
      <alignment horizontal="left" vertical="center"/>
    </xf>
    <xf numFmtId="14" fontId="40" fillId="36" borderId="13">
      <alignment horizontal="center" vertical="center" wrapText="1"/>
    </xf>
    <xf numFmtId="194" fontId="196" fillId="0" borderId="0" applyFill="0" applyAlignment="0" applyProtection="0">
      <protection locked="0"/>
    </xf>
    <xf numFmtId="194" fontId="196" fillId="0" borderId="14" applyFill="0" applyAlignment="0" applyProtection="0">
      <protection locked="0"/>
    </xf>
    <xf numFmtId="204" fontId="112" fillId="0" borderId="0">
      <protection locked="0"/>
    </xf>
    <xf numFmtId="204" fontId="112" fillId="0" borderId="0">
      <protection locked="0"/>
    </xf>
    <xf numFmtId="194" fontId="113" fillId="0" borderId="13">
      <alignment horizontal="center"/>
    </xf>
    <xf numFmtId="194" fontId="113" fillId="0" borderId="0">
      <alignment horizontal="center"/>
    </xf>
    <xf numFmtId="41" fontId="70" fillId="0" borderId="0" applyFont="0" applyFill="0" applyBorder="0" applyAlignment="0" applyProtection="0"/>
    <xf numFmtId="10" fontId="107" fillId="37" borderId="15" applyNumberFormat="0" applyBorder="0" applyAlignment="0" applyProtection="0"/>
    <xf numFmtId="182" fontId="115" fillId="38" borderId="0"/>
    <xf numFmtId="194" fontId="69" fillId="0" borderId="0"/>
    <xf numFmtId="194" fontId="116" fillId="0" borderId="0" applyFill="0" applyBorder="0" applyAlignment="0"/>
    <xf numFmtId="194" fontId="116" fillId="0" borderId="0" applyFill="0" applyBorder="0" applyAlignment="0"/>
    <xf numFmtId="194" fontId="116" fillId="0" borderId="0" applyFill="0" applyBorder="0" applyAlignment="0"/>
    <xf numFmtId="194" fontId="41" fillId="0" borderId="0" applyFill="0" applyBorder="0" applyAlignment="0"/>
    <xf numFmtId="194" fontId="116" fillId="0" borderId="0" applyFill="0" applyBorder="0" applyAlignment="0"/>
    <xf numFmtId="182" fontId="118" fillId="39" borderId="0"/>
    <xf numFmtId="166" fontId="56" fillId="0" borderId="0" applyFont="0" applyFill="0" applyBorder="0" applyAlignment="0" applyProtection="0"/>
    <xf numFmtId="4" fontId="119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94" fontId="120" fillId="0" borderId="13"/>
    <xf numFmtId="165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77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4" fontId="41" fillId="0" borderId="0" applyFont="0" applyFill="0" applyBorder="0" applyAlignment="0" applyProtection="0"/>
    <xf numFmtId="188" fontId="45" fillId="0" borderId="0" applyFont="0" applyFill="0" applyBorder="0" applyAlignment="0" applyProtection="0"/>
    <xf numFmtId="6" fontId="69" fillId="0" borderId="0" applyFont="0" applyFill="0" applyBorder="0" applyAlignment="0" applyProtection="0"/>
    <xf numFmtId="14" fontId="41" fillId="0" borderId="0" applyFont="0" applyFill="0" applyBorder="0" applyAlignment="0" applyProtection="0"/>
    <xf numFmtId="6" fontId="119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221" fontId="41" fillId="0" borderId="0" applyFont="0" applyFill="0" applyBorder="0" applyAlignment="0" applyProtection="0"/>
    <xf numFmtId="6" fontId="119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167" fontId="41" fillId="0" borderId="0" applyFont="0" applyFill="0" applyBorder="0" applyAlignment="0" applyProtection="0"/>
    <xf numFmtId="222" fontId="41" fillId="0" borderId="0" applyFont="0" applyFill="0" applyBorder="0" applyAlignment="0" applyProtection="0"/>
    <xf numFmtId="189" fontId="45" fillId="0" borderId="0" applyFont="0" applyFill="0" applyBorder="0" applyAlignment="0" applyProtection="0"/>
    <xf numFmtId="8" fontId="69" fillId="0" borderId="0" applyFont="0" applyFill="0" applyBorder="0" applyAlignment="0" applyProtection="0"/>
    <xf numFmtId="223" fontId="41" fillId="0" borderId="0" applyFont="0" applyFill="0" applyBorder="0" applyAlignment="0" applyProtection="0"/>
    <xf numFmtId="8" fontId="119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224" fontId="41" fillId="0" borderId="0" applyFont="0" applyFill="0" applyBorder="0" applyAlignment="0" applyProtection="0"/>
    <xf numFmtId="8" fontId="119" fillId="0" borderId="0" applyFont="0" applyFill="0" applyBorder="0" applyAlignment="0" applyProtection="0"/>
    <xf numFmtId="8" fontId="69" fillId="0" borderId="0" applyFont="0" applyFill="0" applyBorder="0" applyAlignment="0" applyProtection="0"/>
    <xf numFmtId="8" fontId="69" fillId="0" borderId="0" applyFont="0" applyFill="0" applyBorder="0" applyAlignment="0" applyProtection="0"/>
    <xf numFmtId="8" fontId="69" fillId="0" borderId="0" applyFont="0" applyFill="0" applyBorder="0" applyAlignment="0" applyProtection="0"/>
    <xf numFmtId="8" fontId="69" fillId="0" borderId="0" applyFont="0" applyFill="0" applyBorder="0" applyAlignment="0" applyProtection="0"/>
    <xf numFmtId="8" fontId="69" fillId="0" borderId="0" applyFont="0" applyFill="0" applyBorder="0" applyAlignment="0" applyProtection="0"/>
    <xf numFmtId="8" fontId="69" fillId="0" borderId="0" applyFont="0" applyFill="0" applyBorder="0" applyAlignment="0" applyProtection="0"/>
    <xf numFmtId="225" fontId="41" fillId="0" borderId="0" applyFont="0" applyFill="0" applyBorder="0" applyAlignment="0" applyProtection="0"/>
    <xf numFmtId="8" fontId="69" fillId="0" borderId="0" applyFont="0" applyFill="0" applyBorder="0" applyAlignment="0" applyProtection="0"/>
    <xf numFmtId="167" fontId="41" fillId="0" borderId="0" applyFont="0" applyFill="0" applyBorder="0" applyAlignment="0" applyProtection="0"/>
    <xf numFmtId="194" fontId="121" fillId="0" borderId="0" applyNumberFormat="0" applyFont="0" applyFill="0" applyAlignment="0"/>
    <xf numFmtId="4" fontId="122" fillId="0" borderId="16" applyBorder="0"/>
    <xf numFmtId="194" fontId="121" fillId="0" borderId="0" applyNumberFormat="0" applyFont="0" applyFill="0" applyAlignment="0"/>
    <xf numFmtId="4" fontId="122" fillId="0" borderId="16" applyBorder="0"/>
    <xf numFmtId="4" fontId="122" fillId="0" borderId="16" applyBorder="0"/>
    <xf numFmtId="4" fontId="122" fillId="0" borderId="16" applyBorder="0"/>
    <xf numFmtId="4" fontId="122" fillId="0" borderId="16" applyBorder="0"/>
    <xf numFmtId="4" fontId="122" fillId="0" borderId="16" applyBorder="0"/>
    <xf numFmtId="4" fontId="122" fillId="0" borderId="16" applyBorder="0"/>
    <xf numFmtId="4" fontId="122" fillId="0" borderId="16" applyBorder="0"/>
    <xf numFmtId="4" fontId="122" fillId="0" borderId="16" applyBorder="0"/>
    <xf numFmtId="194" fontId="121" fillId="0" borderId="0" applyNumberFormat="0" applyFont="0" applyFill="0" applyAlignment="0"/>
    <xf numFmtId="4" fontId="122" fillId="0" borderId="16" applyBorder="0"/>
    <xf numFmtId="4" fontId="122" fillId="0" borderId="16" applyBorder="0"/>
    <xf numFmtId="4" fontId="122" fillId="0" borderId="16" applyBorder="0"/>
    <xf numFmtId="37" fontId="124" fillId="0" borderId="0"/>
    <xf numFmtId="194" fontId="125" fillId="0" borderId="15" applyNumberFormat="0" applyFont="0" applyFill="0" applyBorder="0" applyAlignment="0">
      <alignment horizontal="center"/>
    </xf>
    <xf numFmtId="194" fontId="41" fillId="0" borderId="0"/>
    <xf numFmtId="169" fontId="41" fillId="0" borderId="0"/>
    <xf numFmtId="194" fontId="199" fillId="0" borderId="0"/>
    <xf numFmtId="194" fontId="199" fillId="0" borderId="0"/>
    <xf numFmtId="194" fontId="199" fillId="0" borderId="0"/>
    <xf numFmtId="194" fontId="199" fillId="0" borderId="0"/>
    <xf numFmtId="194" fontId="199" fillId="0" borderId="0"/>
    <xf numFmtId="194" fontId="199" fillId="0" borderId="0"/>
    <xf numFmtId="194" fontId="199" fillId="0" borderId="0"/>
    <xf numFmtId="194" fontId="199" fillId="0" borderId="0"/>
    <xf numFmtId="194" fontId="69" fillId="0" borderId="0"/>
    <xf numFmtId="184" fontId="45" fillId="0" borderId="0" applyFont="0" applyFill="0" applyBorder="0" applyAlignment="0" applyProtection="0"/>
    <xf numFmtId="183" fontId="45" fillId="0" borderId="0" applyFont="0" applyFill="0" applyBorder="0" applyAlignment="0" applyProtection="0"/>
    <xf numFmtId="194" fontId="41" fillId="0" borderId="0" applyFont="0" applyFill="0" applyBorder="0" applyAlignment="0" applyProtection="0"/>
    <xf numFmtId="194" fontId="42" fillId="0" borderId="0"/>
    <xf numFmtId="14" fontId="92" fillId="0" borderId="0">
      <alignment horizontal="center" wrapText="1"/>
      <protection locked="0"/>
    </xf>
    <xf numFmtId="243" fontId="197" fillId="0" borderId="0" applyFont="0" applyFill="0" applyBorder="0" applyAlignment="0" applyProtection="0"/>
    <xf numFmtId="244" fontId="189" fillId="0" borderId="0" applyFont="0" applyFill="0" applyBorder="0" applyAlignment="0" applyProtection="0"/>
    <xf numFmtId="245" fontId="38" fillId="0" borderId="0" applyFont="0" applyFill="0" applyBorder="0" applyAlignment="0" applyProtection="0"/>
    <xf numFmtId="194" fontId="41" fillId="0" borderId="0" applyFont="0" applyFill="0" applyBorder="0" applyAlignment="0" applyProtection="0"/>
    <xf numFmtId="174" fontId="45" fillId="0" borderId="0" applyFont="0" applyFill="0" applyBorder="0" applyAlignment="0" applyProtection="0"/>
    <xf numFmtId="10" fontId="41" fillId="0" borderId="0" applyFont="0" applyFill="0" applyBorder="0" applyAlignment="0" applyProtection="0"/>
    <xf numFmtId="246" fontId="197" fillId="0" borderId="0" applyFont="0" applyFill="0" applyBorder="0" applyAlignment="0" applyProtection="0"/>
    <xf numFmtId="247" fontId="189" fillId="0" borderId="0" applyFont="0" applyFill="0" applyBorder="0" applyAlignment="0" applyProtection="0"/>
    <xf numFmtId="248" fontId="197" fillId="0" borderId="0" applyFont="0" applyFill="0" applyBorder="0" applyAlignment="0" applyProtection="0"/>
    <xf numFmtId="249" fontId="189" fillId="0" borderId="0" applyFont="0" applyFill="0" applyBorder="0" applyAlignment="0" applyProtection="0"/>
    <xf numFmtId="250" fontId="197" fillId="0" borderId="0" applyFont="0" applyFill="0" applyBorder="0" applyAlignment="0" applyProtection="0"/>
    <xf numFmtId="251" fontId="189" fillId="0" borderId="0" applyFont="0" applyFill="0" applyBorder="0" applyAlignment="0" applyProtection="0"/>
    <xf numFmtId="9" fontId="69" fillId="0" borderId="19" applyNumberFormat="0" applyBorder="0"/>
    <xf numFmtId="194" fontId="121" fillId="0" borderId="15">
      <alignment horizontal="center"/>
    </xf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06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94" fontId="43" fillId="0" borderId="0" applyFill="0" applyBorder="0" applyAlignment="0"/>
    <xf numFmtId="194" fontId="43" fillId="0" borderId="0" applyFill="0" applyBorder="0" applyAlignment="0"/>
    <xf numFmtId="194" fontId="43" fillId="0" borderId="0" applyFill="0" applyBorder="0" applyAlignment="0"/>
    <xf numFmtId="194" fontId="41" fillId="0" borderId="0" applyFill="0" applyBorder="0" applyAlignment="0"/>
    <xf numFmtId="194" fontId="43" fillId="0" borderId="0" applyFill="0" applyBorder="0" applyAlignment="0"/>
    <xf numFmtId="179" fontId="45" fillId="0" borderId="0"/>
    <xf numFmtId="194" fontId="69" fillId="0" borderId="0" applyNumberFormat="0" applyFont="0" applyFill="0" applyBorder="0" applyAlignment="0" applyProtection="0">
      <alignment horizontal="left"/>
    </xf>
    <xf numFmtId="194" fontId="127" fillId="0" borderId="13">
      <alignment horizontal="center"/>
    </xf>
    <xf numFmtId="194" fontId="128" fillId="42" borderId="0" applyNumberFormat="0" applyFont="0" applyBorder="0" applyAlignment="0">
      <alignment horizontal="center"/>
    </xf>
    <xf numFmtId="14" fontId="129" fillId="0" borderId="0" applyNumberFormat="0" applyFill="0" applyBorder="0" applyAlignment="0" applyProtection="0">
      <alignment horizontal="left"/>
    </xf>
    <xf numFmtId="41" fontId="70" fillId="0" borderId="0" applyFont="0" applyFill="0" applyBorder="0" applyAlignment="0" applyProtection="0"/>
    <xf numFmtId="4" fontId="200" fillId="40" borderId="20" applyNumberFormat="0" applyProtection="0">
      <alignment vertical="center"/>
    </xf>
    <xf numFmtId="4" fontId="201" fillId="43" borderId="20" applyNumberFormat="0" applyProtection="0">
      <alignment vertical="center"/>
    </xf>
    <xf numFmtId="4" fontId="200" fillId="43" borderId="20" applyNumberFormat="0" applyProtection="0">
      <alignment horizontal="left" vertical="center" indent="1"/>
    </xf>
    <xf numFmtId="194" fontId="200" fillId="43" borderId="20" applyNumberFormat="0" applyProtection="0">
      <alignment horizontal="left" vertical="top" indent="1"/>
    </xf>
    <xf numFmtId="4" fontId="200" fillId="44" borderId="0" applyNumberFormat="0" applyProtection="0">
      <alignment horizontal="left" vertical="center" indent="1"/>
    </xf>
    <xf numFmtId="4" fontId="71" fillId="12" borderId="20" applyNumberFormat="0" applyProtection="0">
      <alignment horizontal="right" vertical="center"/>
    </xf>
    <xf numFmtId="4" fontId="71" fillId="18" borderId="20" applyNumberFormat="0" applyProtection="0">
      <alignment horizontal="right" vertical="center"/>
    </xf>
    <xf numFmtId="4" fontId="71" fillId="4" borderId="20" applyNumberFormat="0" applyProtection="0">
      <alignment horizontal="right" vertical="center"/>
    </xf>
    <xf numFmtId="4" fontId="71" fillId="20" borderId="20" applyNumberFormat="0" applyProtection="0">
      <alignment horizontal="right" vertical="center"/>
    </xf>
    <xf numFmtId="4" fontId="71" fillId="22" borderId="20" applyNumberFormat="0" applyProtection="0">
      <alignment horizontal="right" vertical="center"/>
    </xf>
    <xf numFmtId="4" fontId="71" fillId="8" borderId="20" applyNumberFormat="0" applyProtection="0">
      <alignment horizontal="right" vertical="center"/>
    </xf>
    <xf numFmtId="4" fontId="71" fillId="5" borderId="20" applyNumberFormat="0" applyProtection="0">
      <alignment horizontal="right" vertical="center"/>
    </xf>
    <xf numFmtId="4" fontId="71" fillId="45" borderId="20" applyNumberFormat="0" applyProtection="0">
      <alignment horizontal="right" vertical="center"/>
    </xf>
    <xf numFmtId="4" fontId="71" fillId="19" borderId="20" applyNumberFormat="0" applyProtection="0">
      <alignment horizontal="right" vertical="center"/>
    </xf>
    <xf numFmtId="4" fontId="200" fillId="46" borderId="21" applyNumberFormat="0" applyProtection="0">
      <alignment horizontal="left" vertical="center" indent="1"/>
    </xf>
    <xf numFmtId="4" fontId="71" fillId="47" borderId="0" applyNumberFormat="0" applyProtection="0">
      <alignment horizontal="left" vertical="center" indent="1"/>
    </xf>
    <xf numFmtId="4" fontId="168" fillId="48" borderId="0" applyNumberFormat="0" applyProtection="0">
      <alignment horizontal="left" vertical="center" indent="1"/>
    </xf>
    <xf numFmtId="4" fontId="71" fillId="49" borderId="20" applyNumberFormat="0" applyProtection="0">
      <alignment horizontal="right" vertical="center"/>
    </xf>
    <xf numFmtId="4" fontId="71" fillId="47" borderId="0" applyNumberFormat="0" applyProtection="0">
      <alignment horizontal="left" vertical="center" indent="1"/>
    </xf>
    <xf numFmtId="4" fontId="71" fillId="44" borderId="0" applyNumberFormat="0" applyProtection="0">
      <alignment horizontal="left" vertical="center" indent="1"/>
    </xf>
    <xf numFmtId="194" fontId="41" fillId="48" borderId="20" applyNumberFormat="0" applyProtection="0">
      <alignment horizontal="left" vertical="center" indent="1"/>
    </xf>
    <xf numFmtId="194" fontId="41" fillId="48" borderId="20" applyNumberFormat="0" applyProtection="0">
      <alignment horizontal="left" vertical="top" indent="1"/>
    </xf>
    <xf numFmtId="194" fontId="41" fillId="44" borderId="20" applyNumberFormat="0" applyProtection="0">
      <alignment horizontal="left" vertical="center" indent="1"/>
    </xf>
    <xf numFmtId="194" fontId="41" fillId="44" borderId="20" applyNumberFormat="0" applyProtection="0">
      <alignment horizontal="left" vertical="top" indent="1"/>
    </xf>
    <xf numFmtId="194" fontId="41" fillId="50" borderId="20" applyNumberFormat="0" applyProtection="0">
      <alignment horizontal="left" vertical="center" indent="1"/>
    </xf>
    <xf numFmtId="194" fontId="41" fillId="50" borderId="20" applyNumberFormat="0" applyProtection="0">
      <alignment horizontal="left" vertical="top" indent="1"/>
    </xf>
    <xf numFmtId="194" fontId="41" fillId="51" borderId="20" applyNumberFormat="0" applyProtection="0">
      <alignment horizontal="left" vertical="center" indent="1"/>
    </xf>
    <xf numFmtId="194" fontId="41" fillId="51" borderId="20" applyNumberFormat="0" applyProtection="0">
      <alignment horizontal="left" vertical="top" indent="1"/>
    </xf>
    <xf numFmtId="4" fontId="71" fillId="37" borderId="20" applyNumberFormat="0" applyProtection="0">
      <alignment vertical="center"/>
    </xf>
    <xf numFmtId="4" fontId="202" fillId="37" borderId="20" applyNumberFormat="0" applyProtection="0">
      <alignment vertical="center"/>
    </xf>
    <xf numFmtId="4" fontId="71" fillId="37" borderId="20" applyNumberFormat="0" applyProtection="0">
      <alignment horizontal="left" vertical="center" indent="1"/>
    </xf>
    <xf numFmtId="194" fontId="71" fillId="37" borderId="20" applyNumberFormat="0" applyProtection="0">
      <alignment horizontal="left" vertical="top" indent="1"/>
    </xf>
    <xf numFmtId="4" fontId="71" fillId="47" borderId="20" applyNumberFormat="0" applyProtection="0">
      <alignment horizontal="right" vertical="center"/>
    </xf>
    <xf numFmtId="4" fontId="202" fillId="47" borderId="20" applyNumberFormat="0" applyProtection="0">
      <alignment horizontal="right" vertical="center"/>
    </xf>
    <xf numFmtId="4" fontId="71" fillId="49" borderId="20" applyNumberFormat="0" applyProtection="0">
      <alignment horizontal="left" vertical="center" indent="1"/>
    </xf>
    <xf numFmtId="194" fontId="71" fillId="44" borderId="20" applyNumberFormat="0" applyProtection="0">
      <alignment horizontal="left" vertical="top" indent="1"/>
    </xf>
    <xf numFmtId="4" fontId="203" fillId="38" borderId="0" applyNumberFormat="0" applyProtection="0">
      <alignment horizontal="left" vertical="center" indent="1"/>
    </xf>
    <xf numFmtId="4" fontId="43" fillId="47" borderId="20" applyNumberFormat="0" applyProtection="0">
      <alignment horizontal="right" vertical="center"/>
    </xf>
    <xf numFmtId="194" fontId="128" fillId="1" borderId="12" applyNumberFormat="0" applyFont="0" applyAlignment="0">
      <alignment horizontal="center"/>
    </xf>
    <xf numFmtId="194" fontId="204" fillId="0" borderId="0" applyNumberFormat="0" applyBorder="0" applyAlignment="0"/>
    <xf numFmtId="194" fontId="130" fillId="0" borderId="0" applyNumberFormat="0" applyFill="0" applyBorder="0" applyAlignment="0">
      <alignment horizontal="center"/>
    </xf>
    <xf numFmtId="194" fontId="69" fillId="0" borderId="0"/>
    <xf numFmtId="194" fontId="41" fillId="0" borderId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9" fontId="131" fillId="0" borderId="22" applyFill="0" applyProtection="0">
      <alignment horizontal="left" wrapText="1"/>
    </xf>
    <xf numFmtId="206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212" fontId="46" fillId="0" borderId="0" applyFont="0" applyFill="0" applyBorder="0" applyAlignment="0" applyProtection="0"/>
    <xf numFmtId="41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206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2" fontId="70" fillId="0" borderId="0" applyFont="0" applyFill="0" applyBorder="0" applyAlignment="0" applyProtection="0"/>
    <xf numFmtId="216" fontId="70" fillId="0" borderId="0" applyFont="0" applyFill="0" applyBorder="0" applyAlignment="0" applyProtection="0"/>
    <xf numFmtId="166" fontId="70" fillId="0" borderId="0" applyFont="0" applyFill="0" applyBorder="0" applyAlignment="0" applyProtection="0"/>
    <xf numFmtId="42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05" fontId="70" fillId="0" borderId="0" applyFont="0" applyFill="0" applyBorder="0" applyAlignment="0" applyProtection="0"/>
    <xf numFmtId="42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5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3" fontId="131" fillId="0" borderId="22" applyFill="0" applyProtection="0">
      <alignment horizontal="right" wrapText="1"/>
    </xf>
    <xf numFmtId="170" fontId="70" fillId="0" borderId="0" applyFont="0" applyFill="0" applyBorder="0" applyAlignment="0" applyProtection="0"/>
    <xf numFmtId="212" fontId="46" fillId="0" borderId="0" applyFont="0" applyFill="0" applyBorder="0" applyAlignment="0" applyProtection="0"/>
    <xf numFmtId="38" fontId="102" fillId="0" borderId="0"/>
    <xf numFmtId="194" fontId="120" fillId="0" borderId="0"/>
    <xf numFmtId="40" fontId="132" fillId="0" borderId="0" applyBorder="0">
      <alignment horizontal="right"/>
    </xf>
    <xf numFmtId="42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05" fontId="70" fillId="0" borderId="0" applyFont="0" applyFill="0" applyBorder="0" applyAlignment="0" applyProtection="0"/>
    <xf numFmtId="42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46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211" fontId="70" fillId="0" borderId="0" applyFont="0" applyFill="0" applyBorder="0" applyAlignment="0" applyProtection="0"/>
    <xf numFmtId="215" fontId="70" fillId="0" borderId="0" applyFont="0" applyFill="0" applyBorder="0" applyAlignment="0" applyProtection="0"/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4" fillId="0" borderId="23">
      <alignment horizontal="right" vertical="center"/>
    </xf>
    <xf numFmtId="219" fontId="134" fillId="0" borderId="23">
      <alignment horizontal="right" vertical="center"/>
    </xf>
    <xf numFmtId="219" fontId="134" fillId="0" borderId="23">
      <alignment horizontal="right" vertical="center"/>
    </xf>
    <xf numFmtId="219" fontId="134" fillId="0" borderId="23">
      <alignment horizontal="right" vertical="center"/>
    </xf>
    <xf numFmtId="219" fontId="133" fillId="0" borderId="23">
      <alignment horizontal="right" vertical="center"/>
    </xf>
    <xf numFmtId="49" fontId="71" fillId="0" borderId="0" applyFill="0" applyBorder="0" applyAlignment="0"/>
    <xf numFmtId="194" fontId="41" fillId="0" borderId="0" applyFill="0" applyBorder="0" applyAlignment="0"/>
    <xf numFmtId="194" fontId="41" fillId="0" borderId="0" applyFill="0" applyBorder="0" applyAlignment="0"/>
    <xf numFmtId="207" fontId="70" fillId="0" borderId="15">
      <alignment horizontal="left"/>
    </xf>
    <xf numFmtId="194" fontId="41" fillId="0" borderId="0"/>
    <xf numFmtId="218" fontId="46" fillId="0" borderId="0" applyFont="0" applyFill="0" applyBorder="0" applyAlignment="0" applyProtection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194" fontId="41" fillId="0" borderId="0"/>
    <xf numFmtId="49" fontId="205" fillId="0" borderId="0">
      <alignment horizontal="center"/>
    </xf>
    <xf numFmtId="194" fontId="206" fillId="0" borderId="0">
      <alignment horizontal="center" vertical="top"/>
    </xf>
    <xf numFmtId="195" fontId="70" fillId="0" borderId="0"/>
    <xf numFmtId="209" fontId="70" fillId="0" borderId="15"/>
    <xf numFmtId="194" fontId="136" fillId="0" borderId="0"/>
    <xf numFmtId="194" fontId="136" fillId="0" borderId="0"/>
    <xf numFmtId="194" fontId="137" fillId="52" borderId="15">
      <alignment horizontal="left" vertical="center"/>
    </xf>
    <xf numFmtId="5" fontId="138" fillId="0" borderId="10">
      <alignment horizontal="left" vertical="top"/>
    </xf>
    <xf numFmtId="5" fontId="139" fillId="0" borderId="25">
      <alignment horizontal="left" vertical="top"/>
    </xf>
    <xf numFmtId="194" fontId="140" fillId="0" borderId="25">
      <alignment horizontal="left" vertical="center"/>
    </xf>
    <xf numFmtId="194" fontId="41" fillId="0" borderId="0"/>
    <xf numFmtId="200" fontId="41" fillId="0" borderId="0" applyFont="0" applyFill="0" applyBorder="0" applyAlignment="0" applyProtection="0"/>
    <xf numFmtId="202" fontId="41" fillId="0" borderId="0" applyFont="0" applyFill="0" applyBorder="0" applyAlignment="0" applyProtection="0"/>
    <xf numFmtId="43" fontId="207" fillId="0" borderId="0" applyFont="0" applyFill="0" applyBorder="0" applyAlignment="0" applyProtection="0"/>
    <xf numFmtId="42" fontId="141" fillId="0" borderId="0" applyFont="0" applyFill="0" applyBorder="0" applyAlignment="0" applyProtection="0"/>
    <xf numFmtId="44" fontId="141" fillId="0" borderId="0" applyFont="0" applyFill="0" applyBorder="0" applyAlignment="0" applyProtection="0"/>
    <xf numFmtId="194" fontId="208" fillId="0" borderId="0"/>
    <xf numFmtId="194" fontId="86" fillId="3" borderId="0" applyNumberFormat="0" applyBorder="0" applyAlignment="0" applyProtection="0">
      <alignment vertical="center"/>
    </xf>
    <xf numFmtId="194" fontId="86" fillId="4" borderId="0" applyNumberFormat="0" applyBorder="0" applyAlignment="0" applyProtection="0">
      <alignment vertical="center"/>
    </xf>
    <xf numFmtId="194" fontId="86" fillId="5" borderId="0" applyNumberFormat="0" applyBorder="0" applyAlignment="0" applyProtection="0">
      <alignment vertical="center"/>
    </xf>
    <xf numFmtId="194" fontId="86" fillId="6" borderId="0" applyNumberFormat="0" applyBorder="0" applyAlignment="0" applyProtection="0">
      <alignment vertical="center"/>
    </xf>
    <xf numFmtId="194" fontId="86" fillId="7" borderId="0" applyNumberFormat="0" applyBorder="0" applyAlignment="0" applyProtection="0">
      <alignment vertical="center"/>
    </xf>
    <xf numFmtId="194" fontId="86" fillId="8" borderId="0" applyNumberFormat="0" applyBorder="0" applyAlignment="0" applyProtection="0">
      <alignment vertical="center"/>
    </xf>
    <xf numFmtId="194" fontId="142" fillId="0" borderId="0" applyNumberFormat="0" applyFill="0" applyBorder="0" applyAlignment="0" applyProtection="0">
      <alignment vertical="center"/>
    </xf>
    <xf numFmtId="194" fontId="143" fillId="35" borderId="8" applyNumberFormat="0" applyAlignment="0" applyProtection="0">
      <alignment vertical="center"/>
    </xf>
    <xf numFmtId="194" fontId="144" fillId="12" borderId="0" applyNumberFormat="0" applyBorder="0" applyAlignment="0" applyProtection="0">
      <alignment vertical="center"/>
    </xf>
    <xf numFmtId="194" fontId="145" fillId="0" borderId="0" applyNumberFormat="0" applyFill="0" applyBorder="0" applyAlignment="0" applyProtection="0">
      <alignment vertical="top"/>
      <protection locked="0"/>
    </xf>
    <xf numFmtId="40" fontId="146" fillId="0" borderId="0" applyFont="0" applyFill="0" applyBorder="0" applyAlignment="0" applyProtection="0"/>
    <xf numFmtId="38" fontId="146" fillId="0" borderId="0" applyFont="0" applyFill="0" applyBorder="0" applyAlignment="0" applyProtection="0"/>
    <xf numFmtId="194" fontId="56" fillId="41" borderId="17" applyNumberFormat="0" applyFont="0" applyAlignment="0" applyProtection="0">
      <alignment vertical="center"/>
    </xf>
    <xf numFmtId="194" fontId="41" fillId="41" borderId="17" applyNumberFormat="0" applyFont="0" applyAlignment="0" applyProtection="0">
      <alignment vertical="center"/>
    </xf>
    <xf numFmtId="194" fontId="146" fillId="0" borderId="0" applyFont="0" applyFill="0" applyBorder="0" applyAlignment="0" applyProtection="0"/>
    <xf numFmtId="194" fontId="146" fillId="0" borderId="0" applyFont="0" applyFill="0" applyBorder="0" applyAlignment="0" applyProtection="0"/>
    <xf numFmtId="9" fontId="81" fillId="0" borderId="0" applyFont="0" applyFill="0" applyBorder="0" applyAlignment="0" applyProtection="0">
      <alignment vertical="center"/>
    </xf>
    <xf numFmtId="9" fontId="81" fillId="0" borderId="0" applyFont="0" applyFill="0" applyBorder="0" applyAlignment="0" applyProtection="0">
      <alignment vertical="center"/>
    </xf>
    <xf numFmtId="194" fontId="147" fillId="40" borderId="0" applyNumberFormat="0" applyBorder="0" applyAlignment="0" applyProtection="0">
      <alignment vertical="center"/>
    </xf>
    <xf numFmtId="194" fontId="148" fillId="0" borderId="0"/>
    <xf numFmtId="194" fontId="149" fillId="0" borderId="0" applyNumberFormat="0" applyFill="0" applyBorder="0" applyAlignment="0" applyProtection="0">
      <alignment vertical="center"/>
    </xf>
    <xf numFmtId="194" fontId="150" fillId="2" borderId="2" applyNumberFormat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194" fontId="41" fillId="0" borderId="0" applyFont="0" applyFill="0" applyBorder="0" applyAlignment="0" applyProtection="0"/>
    <xf numFmtId="166" fontId="81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166" fontId="81" fillId="0" borderId="0" applyFont="0" applyFill="0" applyBorder="0" applyAlignment="0" applyProtection="0">
      <alignment vertical="center"/>
    </xf>
    <xf numFmtId="166" fontId="5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252" fontId="56" fillId="0" borderId="0" applyFont="0" applyFill="0" applyBorder="0" applyAlignment="0" applyProtection="0">
      <alignment vertical="center"/>
    </xf>
    <xf numFmtId="252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166" fontId="56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253" fontId="41" fillId="0" borderId="0" applyFont="0" applyFill="0" applyBorder="0" applyAlignment="0" applyProtection="0"/>
    <xf numFmtId="166" fontId="81" fillId="0" borderId="0" applyFont="0" applyFill="0" applyBorder="0" applyAlignment="0" applyProtection="0">
      <alignment vertical="center"/>
    </xf>
    <xf numFmtId="166" fontId="8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168" fontId="81" fillId="0" borderId="0" applyFont="0" applyFill="0" applyBorder="0" applyAlignment="0" applyProtection="0">
      <alignment vertical="center"/>
    </xf>
    <xf numFmtId="167" fontId="56" fillId="0" borderId="0" applyFont="0" applyFill="0" applyBorder="0" applyAlignment="0" applyProtection="0">
      <alignment vertical="center"/>
    </xf>
    <xf numFmtId="168" fontId="56" fillId="0" borderId="0" applyFont="0" applyFill="0" applyBorder="0" applyAlignment="0" applyProtection="0">
      <alignment vertical="center"/>
    </xf>
    <xf numFmtId="194" fontId="42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41" fillId="0" borderId="0" applyNumberFormat="0" applyFill="0" applyBorder="0" applyAlignment="0" applyProtection="0"/>
    <xf numFmtId="194" fontId="151" fillId="0" borderId="6" applyNumberFormat="0" applyFill="0" applyAlignment="0" applyProtection="0">
      <alignment vertical="center"/>
    </xf>
    <xf numFmtId="194" fontId="152" fillId="0" borderId="26" applyNumberFormat="0" applyFill="0" applyAlignment="0" applyProtection="0">
      <alignment vertical="center"/>
    </xf>
    <xf numFmtId="194" fontId="153" fillId="16" borderId="8" applyNumberFormat="0" applyAlignment="0" applyProtection="0">
      <alignment vertical="center"/>
    </xf>
    <xf numFmtId="3" fontId="154" fillId="0" borderId="0">
      <alignment vertical="center"/>
    </xf>
    <xf numFmtId="194" fontId="155" fillId="0" borderId="3" applyNumberFormat="0" applyFill="0" applyAlignment="0" applyProtection="0">
      <alignment vertical="center"/>
    </xf>
    <xf numFmtId="194" fontId="156" fillId="0" borderId="4" applyNumberFormat="0" applyFill="0" applyAlignment="0" applyProtection="0">
      <alignment vertical="center"/>
    </xf>
    <xf numFmtId="194" fontId="157" fillId="0" borderId="5" applyNumberFormat="0" applyFill="0" applyAlignment="0" applyProtection="0">
      <alignment vertical="center"/>
    </xf>
    <xf numFmtId="194" fontId="157" fillId="0" borderId="0" applyNumberFormat="0" applyFill="0" applyBorder="0" applyAlignment="0" applyProtection="0">
      <alignment vertical="center"/>
    </xf>
    <xf numFmtId="194" fontId="158" fillId="13" borderId="0" applyNumberFormat="0" applyBorder="0" applyAlignment="0" applyProtection="0">
      <alignment vertical="center"/>
    </xf>
    <xf numFmtId="194" fontId="159" fillId="0" borderId="0"/>
    <xf numFmtId="194" fontId="160" fillId="0" borderId="0"/>
    <xf numFmtId="194" fontId="161" fillId="35" borderId="18" applyNumberFormat="0" applyAlignment="0" applyProtection="0">
      <alignment vertical="center"/>
    </xf>
    <xf numFmtId="166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94" fontId="160" fillId="0" borderId="0" applyFont="0" applyFill="0" applyBorder="0" applyAlignment="0" applyProtection="0"/>
    <xf numFmtId="166" fontId="162" fillId="0" borderId="0" applyFont="0" applyFill="0" applyBorder="0" applyAlignment="0" applyProtection="0"/>
    <xf numFmtId="168" fontId="162" fillId="0" borderId="0" applyFont="0" applyFill="0" applyBorder="0" applyAlignment="0" applyProtection="0"/>
    <xf numFmtId="254" fontId="81" fillId="0" borderId="0" applyFont="0" applyFill="0" applyBorder="0" applyAlignment="0" applyProtection="0">
      <alignment vertical="center"/>
    </xf>
    <xf numFmtId="194" fontId="56" fillId="0" borderId="0"/>
    <xf numFmtId="194" fontId="81" fillId="0" borderId="0">
      <alignment vertical="center"/>
    </xf>
    <xf numFmtId="194" fontId="41" fillId="0" borderId="0"/>
    <xf numFmtId="194" fontId="81" fillId="0" borderId="0">
      <alignment vertical="center"/>
    </xf>
    <xf numFmtId="194" fontId="81" fillId="0" borderId="0">
      <alignment vertical="center"/>
    </xf>
    <xf numFmtId="194" fontId="41" fillId="0" borderId="0"/>
    <xf numFmtId="194" fontId="81" fillId="0" borderId="0">
      <alignment vertical="center"/>
    </xf>
    <xf numFmtId="194" fontId="56" fillId="0" borderId="0">
      <alignment vertical="center"/>
    </xf>
    <xf numFmtId="194" fontId="81" fillId="0" borderId="0">
      <alignment vertical="center"/>
    </xf>
    <xf numFmtId="194" fontId="41" fillId="0" borderId="0"/>
    <xf numFmtId="194" fontId="56" fillId="0" borderId="0">
      <alignment vertical="center"/>
    </xf>
    <xf numFmtId="194" fontId="41" fillId="0" borderId="0"/>
    <xf numFmtId="194" fontId="56" fillId="0" borderId="0">
      <alignment vertical="center"/>
    </xf>
    <xf numFmtId="194" fontId="81" fillId="0" borderId="0">
      <alignment vertical="center"/>
    </xf>
    <xf numFmtId="194" fontId="81" fillId="0" borderId="0">
      <alignment vertical="center"/>
    </xf>
    <xf numFmtId="194" fontId="163" fillId="9" borderId="0" applyNumberFormat="0" applyBorder="0" applyAlignment="0" applyProtection="0"/>
    <xf numFmtId="194" fontId="164" fillId="13" borderId="0" applyNumberFormat="0" applyBorder="0" applyAlignment="0" applyProtection="0">
      <alignment vertical="center"/>
    </xf>
    <xf numFmtId="194" fontId="165" fillId="53" borderId="0" applyNumberFormat="0" applyBorder="0" applyAlignment="0" applyProtection="0"/>
    <xf numFmtId="194" fontId="166" fillId="12" borderId="0" applyNumberFormat="0" applyBorder="0" applyAlignment="0" applyProtection="0">
      <alignment vertical="center"/>
    </xf>
    <xf numFmtId="194" fontId="168" fillId="54" borderId="0" applyNumberFormat="0" applyBorder="0" applyAlignment="0" applyProtection="0"/>
    <xf numFmtId="194" fontId="168" fillId="55" borderId="0" applyNumberFormat="0" applyBorder="0" applyAlignment="0" applyProtection="0"/>
    <xf numFmtId="194" fontId="168" fillId="56" borderId="0" applyNumberFormat="0" applyBorder="0" applyAlignment="0" applyProtection="0"/>
    <xf numFmtId="194" fontId="87" fillId="3" borderId="0" applyNumberFormat="0" applyBorder="0" applyAlignment="0" applyProtection="0">
      <alignment vertical="center"/>
    </xf>
    <xf numFmtId="194" fontId="87" fillId="4" borderId="0" applyNumberFormat="0" applyBorder="0" applyAlignment="0" applyProtection="0">
      <alignment vertical="center"/>
    </xf>
    <xf numFmtId="194" fontId="87" fillId="5" borderId="0" applyNumberFormat="0" applyBorder="0" applyAlignment="0" applyProtection="0">
      <alignment vertical="center"/>
    </xf>
    <xf numFmtId="194" fontId="87" fillId="6" borderId="0" applyNumberFormat="0" applyBorder="0" applyAlignment="0" applyProtection="0">
      <alignment vertical="center"/>
    </xf>
    <xf numFmtId="194" fontId="87" fillId="7" borderId="0" applyNumberFormat="0" applyBorder="0" applyAlignment="0" applyProtection="0">
      <alignment vertical="center"/>
    </xf>
    <xf numFmtId="194" fontId="87" fillId="8" borderId="0" applyNumberFormat="0" applyBorder="0" applyAlignment="0" applyProtection="0">
      <alignment vertical="center"/>
    </xf>
    <xf numFmtId="194" fontId="169" fillId="0" borderId="0" applyNumberFormat="0" applyFill="0" applyBorder="0" applyAlignment="0" applyProtection="0">
      <alignment vertical="center"/>
    </xf>
    <xf numFmtId="194" fontId="170" fillId="0" borderId="27" applyNumberFormat="0" applyFill="0" applyAlignment="0" applyProtection="0"/>
    <xf numFmtId="194" fontId="171" fillId="0" borderId="4" applyNumberFormat="0" applyFill="0" applyAlignment="0" applyProtection="0"/>
    <xf numFmtId="194" fontId="172" fillId="0" borderId="28" applyNumberFormat="0" applyFill="0" applyAlignment="0" applyProtection="0"/>
    <xf numFmtId="194" fontId="172" fillId="0" borderId="0" applyNumberFormat="0" applyFill="0" applyBorder="0" applyAlignment="0" applyProtection="0"/>
    <xf numFmtId="171" fontId="173" fillId="0" borderId="0" applyFont="0" applyFill="0" applyBorder="0" applyAlignment="0" applyProtection="0"/>
    <xf numFmtId="170" fontId="173" fillId="0" borderId="0" applyFont="0" applyFill="0" applyBorder="0" applyAlignment="0" applyProtection="0"/>
    <xf numFmtId="194" fontId="174" fillId="29" borderId="2" applyNumberFormat="0" applyAlignment="0" applyProtection="0"/>
    <xf numFmtId="194" fontId="175" fillId="0" borderId="0" applyProtection="0"/>
    <xf numFmtId="194" fontId="168" fillId="0" borderId="29" applyNumberFormat="0" applyFill="0" applyAlignment="0" applyProtection="0"/>
    <xf numFmtId="194" fontId="167" fillId="27" borderId="17" applyNumberFormat="0" applyFont="0" applyAlignment="0" applyProtection="0"/>
    <xf numFmtId="194" fontId="176" fillId="0" borderId="0" applyNumberFormat="0" applyFill="0" applyBorder="0" applyAlignment="0" applyProtection="0"/>
    <xf numFmtId="194" fontId="177" fillId="0" borderId="0" applyNumberFormat="0" applyFill="0" applyBorder="0" applyAlignment="0" applyProtection="0">
      <alignment vertical="center"/>
    </xf>
    <xf numFmtId="194" fontId="178" fillId="0" borderId="0" applyNumberFormat="0" applyFill="0" applyBorder="0" applyAlignment="0" applyProtection="0"/>
    <xf numFmtId="194" fontId="179" fillId="57" borderId="8" applyNumberFormat="0" applyAlignment="0" applyProtection="0"/>
    <xf numFmtId="165" fontId="62" fillId="0" borderId="0" applyFont="0" applyFill="0" applyBorder="0" applyAlignment="0" applyProtection="0"/>
    <xf numFmtId="6" fontId="65" fillId="0" borderId="0" applyFont="0" applyFill="0" applyBorder="0" applyAlignment="0" applyProtection="0"/>
    <xf numFmtId="167" fontId="62" fillId="0" borderId="0" applyFont="0" applyFill="0" applyBorder="0" applyAlignment="0" applyProtection="0"/>
    <xf numFmtId="194" fontId="180" fillId="0" borderId="0" applyNumberFormat="0" applyFill="0" applyBorder="0" applyAlignment="0" applyProtection="0">
      <alignment vertical="top"/>
      <protection locked="0"/>
    </xf>
    <xf numFmtId="194" fontId="181" fillId="33" borderId="8" applyNumberFormat="0" applyAlignment="0" applyProtection="0"/>
    <xf numFmtId="194" fontId="182" fillId="57" borderId="18" applyNumberFormat="0" applyAlignment="0" applyProtection="0"/>
    <xf numFmtId="194" fontId="183" fillId="58" borderId="0" applyNumberFormat="0" applyBorder="0" applyAlignment="0" applyProtection="0"/>
    <xf numFmtId="44" fontId="173" fillId="0" borderId="0" applyFont="0" applyFill="0" applyBorder="0" applyAlignment="0" applyProtection="0"/>
    <xf numFmtId="42" fontId="173" fillId="0" borderId="0" applyFont="0" applyFill="0" applyBorder="0" applyAlignment="0" applyProtection="0"/>
    <xf numFmtId="194" fontId="184" fillId="0" borderId="6" applyNumberFormat="0" applyFill="0" applyAlignment="0" applyProtection="0"/>
    <xf numFmtId="194" fontId="209" fillId="0" borderId="0" applyNumberFormat="0" applyFill="0" applyBorder="0" applyAlignment="0" applyProtection="0">
      <alignment vertical="top"/>
      <protection locked="0"/>
    </xf>
    <xf numFmtId="194" fontId="185" fillId="0" borderId="0" applyFont="0" applyFill="0" applyBorder="0" applyAlignment="0" applyProtection="0"/>
    <xf numFmtId="194" fontId="185" fillId="0" borderId="0" applyFont="0" applyFill="0" applyBorder="0" applyAlignment="0" applyProtection="0"/>
    <xf numFmtId="194" fontId="68" fillId="0" borderId="0">
      <alignment vertical="center"/>
    </xf>
    <xf numFmtId="194" fontId="37" fillId="0" borderId="0"/>
    <xf numFmtId="194" fontId="37" fillId="0" borderId="0"/>
    <xf numFmtId="194" fontId="37" fillId="0" borderId="0"/>
    <xf numFmtId="194" fontId="37" fillId="0" borderId="0"/>
    <xf numFmtId="194" fontId="37" fillId="0" borderId="0"/>
    <xf numFmtId="194" fontId="37" fillId="0" borderId="0"/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43" fontId="41" fillId="0" borderId="0" applyFont="0" applyFill="0" applyBorder="0" applyAlignment="0" applyProtection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" fontId="69" fillId="0" borderId="0"/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" fontId="69" fillId="0" borderId="0"/>
    <xf numFmtId="194" fontId="69" fillId="0" borderId="0"/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" fontId="69" fillId="0" borderId="0"/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69" fillId="0" borderId="0"/>
    <xf numFmtId="1" fontId="69" fillId="0" borderId="0"/>
    <xf numFmtId="204" fontId="47" fillId="0" borderId="0">
      <protection locked="0"/>
    </xf>
    <xf numFmtId="1" fontId="69" fillId="0" borderId="0"/>
    <xf numFmtId="194" fontId="69" fillId="0" borderId="0"/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69" fillId="0" borderId="0"/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204" fontId="47" fillId="0" borderId="0">
      <protection locked="0"/>
    </xf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194" fontId="69" fillId="0" borderId="0"/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204" fontId="47" fillId="0" borderId="0">
      <protection locked="0"/>
    </xf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194" fontId="69" fillId="0" borderId="0"/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" fontId="69" fillId="0" borderId="0"/>
    <xf numFmtId="194" fontId="69" fillId="0" borderId="0"/>
    <xf numFmtId="204" fontId="47" fillId="0" borderId="0">
      <protection locked="0"/>
    </xf>
    <xf numFmtId="1" fontId="69" fillId="0" borderId="0"/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69" fillId="0" borderId="0"/>
    <xf numFmtId="1" fontId="69" fillId="0" borderId="0"/>
    <xf numFmtId="194" fontId="69" fillId="0" borderId="0"/>
    <xf numFmtId="1" fontId="69" fillId="0" borderId="0"/>
    <xf numFmtId="1" fontId="69" fillId="0" borderId="0"/>
    <xf numFmtId="204" fontId="47" fillId="0" borderId="0">
      <protection locked="0"/>
    </xf>
    <xf numFmtId="194" fontId="69" fillId="0" borderId="0"/>
    <xf numFmtId="1" fontId="69" fillId="0" borderId="0"/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04" fontId="47" fillId="0" borderId="0">
      <protection locked="0"/>
    </xf>
    <xf numFmtId="194" fontId="71" fillId="0" borderId="0">
      <alignment vertical="top"/>
    </xf>
    <xf numFmtId="204" fontId="47" fillId="0" borderId="0">
      <protection locked="0"/>
    </xf>
    <xf numFmtId="204" fontId="47" fillId="0" borderId="0">
      <protection locked="0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194" fontId="37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37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69" fillId="0" borderId="0"/>
    <xf numFmtId="194" fontId="69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219" fontId="133" fillId="0" borderId="23">
      <alignment horizontal="right" vertical="center"/>
    </xf>
    <xf numFmtId="194" fontId="37" fillId="0" borderId="0"/>
    <xf numFmtId="194" fontId="37" fillId="0" borderId="0"/>
    <xf numFmtId="194" fontId="37" fillId="0" borderId="0"/>
    <xf numFmtId="194" fontId="211" fillId="0" borderId="0" applyNumberFormat="0" applyFill="0" applyBorder="0" applyAlignment="0" applyProtection="0"/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36" fillId="0" borderId="0"/>
    <xf numFmtId="194" fontId="35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0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5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71" fillId="11" borderId="0" applyNumberFormat="0" applyBorder="0" applyAlignment="0" applyProtection="0"/>
    <xf numFmtId="194" fontId="71" fillId="12" borderId="0" applyNumberFormat="0" applyBorder="0" applyAlignment="0" applyProtection="0"/>
    <xf numFmtId="194" fontId="71" fillId="13" borderId="0" applyNumberFormat="0" applyBorder="0" applyAlignment="0" applyProtection="0"/>
    <xf numFmtId="194" fontId="71" fillId="14" borderId="0" applyNumberFormat="0" applyBorder="0" applyAlignment="0" applyProtection="0"/>
    <xf numFmtId="194" fontId="71" fillId="15" borderId="0" applyNumberFormat="0" applyBorder="0" applyAlignment="0" applyProtection="0"/>
    <xf numFmtId="194" fontId="71" fillId="16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71" fillId="17" borderId="0" applyNumberFormat="0" applyBorder="0" applyAlignment="0" applyProtection="0"/>
    <xf numFmtId="194" fontId="71" fillId="18" borderId="0" applyNumberFormat="0" applyBorder="0" applyAlignment="0" applyProtection="0"/>
    <xf numFmtId="194" fontId="71" fillId="19" borderId="0" applyNumberFormat="0" applyBorder="0" applyAlignment="0" applyProtection="0"/>
    <xf numFmtId="194" fontId="71" fillId="14" borderId="0" applyNumberFormat="0" applyBorder="0" applyAlignment="0" applyProtection="0"/>
    <xf numFmtId="194" fontId="71" fillId="17" borderId="0" applyNumberFormat="0" applyBorder="0" applyAlignment="0" applyProtection="0"/>
    <xf numFmtId="194" fontId="71" fillId="20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85" fillId="21" borderId="0" applyNumberFormat="0" applyBorder="0" applyAlignment="0" applyProtection="0"/>
    <xf numFmtId="194" fontId="85" fillId="18" borderId="0" applyNumberFormat="0" applyBorder="0" applyAlignment="0" applyProtection="0"/>
    <xf numFmtId="194" fontId="85" fillId="19" borderId="0" applyNumberFormat="0" applyBorder="0" applyAlignment="0" applyProtection="0"/>
    <xf numFmtId="194" fontId="85" fillId="6" borderId="0" applyNumberFormat="0" applyBorder="0" applyAlignment="0" applyProtection="0"/>
    <xf numFmtId="194" fontId="85" fillId="7" borderId="0" applyNumberFormat="0" applyBorder="0" applyAlignment="0" applyProtection="0"/>
    <xf numFmtId="194" fontId="85" fillId="22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88" fillId="23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88" fillId="26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88" fillId="29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88" fillId="23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88" fillId="30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88" fillId="32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93" fillId="12" borderId="0" applyNumberFormat="0" applyBorder="0" applyAlignment="0" applyProtection="0"/>
    <xf numFmtId="194" fontId="38" fillId="0" borderId="0" applyFill="0" applyBorder="0" applyAlignment="0"/>
    <xf numFmtId="194" fontId="38" fillId="0" borderId="0" applyFill="0" applyBorder="0" applyAlignment="0"/>
    <xf numFmtId="194" fontId="38" fillId="0" borderId="0" applyFill="0" applyBorder="0" applyAlignment="0"/>
    <xf numFmtId="194" fontId="38" fillId="0" borderId="0" applyFill="0" applyBorder="0" applyAlignment="0"/>
    <xf numFmtId="194" fontId="96" fillId="35" borderId="8" applyNumberFormat="0" applyAlignment="0" applyProtection="0"/>
    <xf numFmtId="194" fontId="94" fillId="2" borderId="2" applyNumberFormat="0" applyAlignment="0" applyProtection="0"/>
    <xf numFmtId="43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94" fontId="38" fillId="0" borderId="0" applyFill="0" applyBorder="0" applyAlignment="0"/>
    <xf numFmtId="194" fontId="38" fillId="0" borderId="0" applyFont="0" applyFill="0" applyBorder="0" applyAlignment="0" applyProtection="0"/>
    <xf numFmtId="194" fontId="38" fillId="0" borderId="0"/>
    <xf numFmtId="194" fontId="104" fillId="0" borderId="0" applyNumberFormat="0" applyFill="0" applyBorder="0" applyAlignment="0" applyProtection="0"/>
    <xf numFmtId="2" fontId="38" fillId="0" borderId="0" applyFont="0" applyFill="0" applyBorder="0" applyAlignment="0" applyProtection="0"/>
    <xf numFmtId="194" fontId="106" fillId="13" borderId="0" applyNumberFormat="0" applyBorder="0" applyAlignment="0" applyProtection="0"/>
    <xf numFmtId="194" fontId="110" fillId="0" borderId="0" applyNumberFormat="0" applyFill="0" applyBorder="0" applyAlignment="0" applyProtection="0"/>
    <xf numFmtId="194" fontId="109" fillId="0" borderId="0" applyNumberFormat="0" applyFill="0" applyBorder="0" applyAlignment="0" applyProtection="0"/>
    <xf numFmtId="194" fontId="111" fillId="0" borderId="5" applyNumberFormat="0" applyFill="0" applyAlignment="0" applyProtection="0"/>
    <xf numFmtId="194" fontId="111" fillId="0" borderId="0" applyNumberFormat="0" applyFill="0" applyBorder="0" applyAlignment="0" applyProtection="0"/>
    <xf numFmtId="194" fontId="114" fillId="16" borderId="8" applyNumberFormat="0" applyAlignment="0" applyProtection="0"/>
    <xf numFmtId="194" fontId="38" fillId="0" borderId="0" applyFill="0" applyBorder="0" applyAlignment="0"/>
    <xf numFmtId="194" fontId="117" fillId="0" borderId="6" applyNumberFormat="0" applyFill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123" fillId="40" borderId="0" applyNumberFormat="0" applyBorder="0" applyAlignment="0" applyProtection="0"/>
    <xf numFmtId="194" fontId="38" fillId="0" borderId="0"/>
    <xf numFmtId="169" fontId="38" fillId="0" borderId="0"/>
    <xf numFmtId="194" fontId="56" fillId="41" borderId="17" applyNumberFormat="0" applyFont="0" applyAlignment="0" applyProtection="0"/>
    <xf numFmtId="194" fontId="126" fillId="35" borderId="18" applyNumberFormat="0" applyAlignment="0" applyProtection="0"/>
    <xf numFmtId="9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 applyFill="0" applyBorder="0" applyAlignment="0"/>
    <xf numFmtId="194" fontId="38" fillId="48" borderId="20" applyNumberFormat="0" applyProtection="0">
      <alignment horizontal="left" vertical="center" indent="1"/>
    </xf>
    <xf numFmtId="194" fontId="38" fillId="48" borderId="20" applyNumberFormat="0" applyProtection="0">
      <alignment horizontal="left" vertical="top" indent="1"/>
    </xf>
    <xf numFmtId="194" fontId="38" fillId="44" borderId="20" applyNumberFormat="0" applyProtection="0">
      <alignment horizontal="left" vertical="center" indent="1"/>
    </xf>
    <xf numFmtId="194" fontId="38" fillId="44" borderId="20" applyNumberFormat="0" applyProtection="0">
      <alignment horizontal="left" vertical="top" indent="1"/>
    </xf>
    <xf numFmtId="194" fontId="38" fillId="50" borderId="20" applyNumberFormat="0" applyProtection="0">
      <alignment horizontal="left" vertical="center" indent="1"/>
    </xf>
    <xf numFmtId="194" fontId="38" fillId="50" borderId="20" applyNumberFormat="0" applyProtection="0">
      <alignment horizontal="left" vertical="top" indent="1"/>
    </xf>
    <xf numFmtId="194" fontId="38" fillId="51" borderId="20" applyNumberFormat="0" applyProtection="0">
      <alignment horizontal="left" vertical="center" indent="1"/>
    </xf>
    <xf numFmtId="194" fontId="38" fillId="51" borderId="20" applyNumberFormat="0" applyProtection="0">
      <alignment horizontal="left" vertical="top" indent="1"/>
    </xf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 applyFill="0" applyBorder="0" applyAlignment="0"/>
    <xf numFmtId="194" fontId="38" fillId="0" borderId="0" applyFill="0" applyBorder="0" applyAlignment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35" fillId="0" borderId="0" applyNumberFormat="0" applyFill="0" applyBorder="0" applyAlignment="0" applyProtection="0"/>
    <xf numFmtId="194" fontId="38" fillId="0" borderId="24" applyNumberFormat="0" applyFont="0" applyFill="0" applyAlignment="0" applyProtection="0"/>
    <xf numFmtId="194" fontId="43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41" borderId="17" applyNumberFormat="0" applyFont="0" applyAlignment="0" applyProtection="0">
      <alignment vertical="center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52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1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5" fillId="0" borderId="0"/>
    <xf numFmtId="194" fontId="35" fillId="0" borderId="0"/>
    <xf numFmtId="194" fontId="35" fillId="0" borderId="0"/>
    <xf numFmtId="194" fontId="35" fillId="0" borderId="0"/>
    <xf numFmtId="194" fontId="35" fillId="0" borderId="0"/>
    <xf numFmtId="194" fontId="35" fillId="0" borderId="0"/>
    <xf numFmtId="194" fontId="35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5" fillId="0" borderId="0"/>
    <xf numFmtId="194" fontId="38" fillId="0" borderId="0"/>
    <xf numFmtId="194" fontId="38" fillId="0" borderId="0"/>
    <xf numFmtId="194" fontId="35" fillId="0" borderId="0"/>
    <xf numFmtId="194" fontId="35" fillId="0" borderId="0"/>
    <xf numFmtId="194" fontId="38" fillId="0" borderId="0"/>
    <xf numFmtId="194" fontId="35" fillId="0" borderId="0"/>
    <xf numFmtId="194" fontId="35" fillId="0" borderId="0"/>
    <xf numFmtId="194" fontId="35" fillId="0" borderId="0"/>
    <xf numFmtId="194" fontId="38" fillId="0" borderId="0" applyNumberFormat="0" applyFill="0" applyBorder="0" applyAlignment="0" applyProtection="0"/>
    <xf numFmtId="194" fontId="35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4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4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69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4" fillId="0" borderId="0"/>
    <xf numFmtId="194" fontId="34" fillId="0" borderId="0"/>
    <xf numFmtId="194" fontId="34" fillId="0" borderId="0"/>
    <xf numFmtId="194" fontId="34" fillId="0" borderId="0"/>
    <xf numFmtId="194" fontId="34" fillId="0" borderId="0"/>
    <xf numFmtId="194" fontId="34" fillId="0" borderId="0"/>
    <xf numFmtId="194" fontId="34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4" fillId="0" borderId="0"/>
    <xf numFmtId="194" fontId="34" fillId="0" borderId="0"/>
    <xf numFmtId="42" fontId="38" fillId="0" borderId="0" applyFont="0" applyFill="0" applyBorder="0" applyAlignment="0" applyProtection="0"/>
    <xf numFmtId="194" fontId="34" fillId="0" borderId="0"/>
    <xf numFmtId="194" fontId="34" fillId="0" borderId="0"/>
    <xf numFmtId="194" fontId="34" fillId="0" borderId="0"/>
    <xf numFmtId="194" fontId="34" fillId="0" borderId="0"/>
    <xf numFmtId="194" fontId="38" fillId="0" borderId="0"/>
    <xf numFmtId="194" fontId="38" fillId="0" borderId="0"/>
    <xf numFmtId="194" fontId="38" fillId="0" borderId="0"/>
    <xf numFmtId="194" fontId="33" fillId="0" borderId="0"/>
    <xf numFmtId="194" fontId="33" fillId="0" borderId="0"/>
    <xf numFmtId="194" fontId="32" fillId="0" borderId="0"/>
    <xf numFmtId="194" fontId="32" fillId="0" borderId="0"/>
    <xf numFmtId="194" fontId="32" fillId="0" borderId="0"/>
    <xf numFmtId="194" fontId="32" fillId="0" borderId="0"/>
    <xf numFmtId="194" fontId="31" fillId="0" borderId="0"/>
    <xf numFmtId="194" fontId="31" fillId="0" borderId="0"/>
    <xf numFmtId="194" fontId="31" fillId="0" borderId="0"/>
    <xf numFmtId="194" fontId="31" fillId="0" borderId="0"/>
    <xf numFmtId="194" fontId="31" fillId="0" borderId="0"/>
    <xf numFmtId="9" fontId="38" fillId="0" borderId="0" applyFont="0" applyFill="0" applyBorder="0" applyAlignment="0" applyProtection="0"/>
    <xf numFmtId="194" fontId="212" fillId="0" borderId="0"/>
    <xf numFmtId="41" fontId="213" fillId="0" borderId="0" applyFont="0" applyFill="0" applyBorder="0" applyAlignment="0" applyProtection="0"/>
    <xf numFmtId="43" fontId="213" fillId="0" borderId="0" applyFont="0" applyFill="0" applyBorder="0" applyAlignment="0" applyProtection="0"/>
    <xf numFmtId="9" fontId="213" fillId="0" borderId="0" applyFont="0" applyFill="0" applyBorder="0" applyAlignment="0" applyProtection="0"/>
    <xf numFmtId="194" fontId="30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69" fillId="0" borderId="0"/>
    <xf numFmtId="43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29" fillId="0" borderId="0"/>
    <xf numFmtId="41" fontId="38" fillId="0" borderId="0" applyFont="0" applyFill="0" applyBorder="0" applyAlignment="0" applyProtection="0"/>
    <xf numFmtId="194" fontId="56" fillId="0" borderId="0" applyNumberFormat="0" applyFill="0" applyBorder="0" applyAlignment="0" applyProtection="0"/>
    <xf numFmtId="194" fontId="56" fillId="0" borderId="0" applyNumberFormat="0" applyFill="0" applyBorder="0" applyAlignment="0" applyProtection="0"/>
    <xf numFmtId="194" fontId="28" fillId="0" borderId="0"/>
    <xf numFmtId="194" fontId="38" fillId="0" borderId="0" applyNumberFormat="0" applyFill="0" applyBorder="0" applyAlignment="0" applyProtection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27" fillId="0" borderId="0" applyFont="0" applyFill="0" applyBorder="0" applyAlignment="0" applyProtection="0"/>
    <xf numFmtId="194" fontId="26" fillId="0" borderId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25" fillId="0" borderId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24" fillId="0" borderId="0"/>
    <xf numFmtId="194" fontId="23" fillId="0" borderId="0"/>
    <xf numFmtId="43" fontId="23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204" fontId="47" fillId="0" borderId="0">
      <protection locked="0"/>
    </xf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4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222" fontId="38" fillId="0" borderId="0" applyFont="0" applyFill="0" applyBorder="0" applyAlignment="0" applyProtection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42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71" fillId="11" borderId="0" applyNumberFormat="0" applyBorder="0" applyAlignment="0" applyProtection="0"/>
    <xf numFmtId="194" fontId="71" fillId="12" borderId="0" applyNumberFormat="0" applyBorder="0" applyAlignment="0" applyProtection="0"/>
    <xf numFmtId="194" fontId="71" fillId="13" borderId="0" applyNumberFormat="0" applyBorder="0" applyAlignment="0" applyProtection="0"/>
    <xf numFmtId="194" fontId="71" fillId="14" borderId="0" applyNumberFormat="0" applyBorder="0" applyAlignment="0" applyProtection="0"/>
    <xf numFmtId="194" fontId="71" fillId="15" borderId="0" applyNumberFormat="0" applyBorder="0" applyAlignment="0" applyProtection="0"/>
    <xf numFmtId="194" fontId="71" fillId="16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71" fillId="17" borderId="0" applyNumberFormat="0" applyBorder="0" applyAlignment="0" applyProtection="0"/>
    <xf numFmtId="194" fontId="71" fillId="18" borderId="0" applyNumberFormat="0" applyBorder="0" applyAlignment="0" applyProtection="0"/>
    <xf numFmtId="194" fontId="71" fillId="19" borderId="0" applyNumberFormat="0" applyBorder="0" applyAlignment="0" applyProtection="0"/>
    <xf numFmtId="194" fontId="71" fillId="14" borderId="0" applyNumberFormat="0" applyBorder="0" applyAlignment="0" applyProtection="0"/>
    <xf numFmtId="194" fontId="71" fillId="17" borderId="0" applyNumberFormat="0" applyBorder="0" applyAlignment="0" applyProtection="0"/>
    <xf numFmtId="194" fontId="71" fillId="20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85" fillId="21" borderId="0" applyNumberFormat="0" applyBorder="0" applyAlignment="0" applyProtection="0"/>
    <xf numFmtId="194" fontId="85" fillId="18" borderId="0" applyNumberFormat="0" applyBorder="0" applyAlignment="0" applyProtection="0"/>
    <xf numFmtId="194" fontId="85" fillId="19" borderId="0" applyNumberFormat="0" applyBorder="0" applyAlignment="0" applyProtection="0"/>
    <xf numFmtId="194" fontId="85" fillId="6" borderId="0" applyNumberFormat="0" applyBorder="0" applyAlignment="0" applyProtection="0"/>
    <xf numFmtId="194" fontId="85" fillId="7" borderId="0" applyNumberFormat="0" applyBorder="0" applyAlignment="0" applyProtection="0"/>
    <xf numFmtId="194" fontId="85" fillId="22" borderId="0" applyNumberFormat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88" fillId="23" borderId="0" applyNumberFormat="0" applyBorder="0" applyAlignment="0" applyProtection="0"/>
    <xf numFmtId="194" fontId="69" fillId="0" borderId="0"/>
    <xf numFmtId="194" fontId="38" fillId="0" borderId="0"/>
    <xf numFmtId="194" fontId="38" fillId="0" borderId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/>
    <xf numFmtId="194" fontId="88" fillId="30" borderId="0" applyNumberFormat="0" applyBorder="0" applyAlignment="0" applyProtection="0"/>
    <xf numFmtId="194" fontId="38" fillId="0" borderId="0"/>
    <xf numFmtId="194" fontId="88" fillId="32" borderId="0" applyNumberFormat="0" applyBorder="0" applyAlignment="0" applyProtection="0"/>
    <xf numFmtId="194" fontId="38" fillId="0" borderId="0"/>
    <xf numFmtId="194" fontId="38" fillId="0" borderId="0"/>
    <xf numFmtId="194" fontId="93" fillId="12" borderId="0" applyNumberFormat="0" applyBorder="0" applyAlignment="0" applyProtection="0"/>
    <xf numFmtId="194" fontId="38" fillId="0" borderId="0"/>
    <xf numFmtId="194" fontId="38" fillId="0" borderId="0"/>
    <xf numFmtId="194" fontId="96" fillId="35" borderId="8" applyNumberFormat="0" applyAlignment="0" applyProtection="0"/>
    <xf numFmtId="194" fontId="94" fillId="2" borderId="2" applyNumberFormat="0" applyAlignment="0" applyProtection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41" fontId="38" fillId="0" borderId="0" applyFon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04" fillId="0" borderId="0" applyNumberFormat="0" applyFill="0" applyBorder="0" applyAlignment="0" applyProtection="0"/>
    <xf numFmtId="194" fontId="38" fillId="0" borderId="0"/>
    <xf numFmtId="194" fontId="106" fillId="13" borderId="0" applyNumberFormat="0" applyBorder="0" applyAlignment="0" applyProtection="0"/>
    <xf numFmtId="194" fontId="38" fillId="0" borderId="0"/>
    <xf numFmtId="194" fontId="38" fillId="0" borderId="0"/>
    <xf numFmtId="194" fontId="110" fillId="0" borderId="0" applyNumberFormat="0" applyFill="0" applyBorder="0" applyAlignment="0" applyProtection="0"/>
    <xf numFmtId="194" fontId="109" fillId="0" borderId="0" applyNumberFormat="0" applyFill="0" applyBorder="0" applyAlignment="0" applyProtection="0"/>
    <xf numFmtId="194" fontId="111" fillId="0" borderId="5" applyNumberFormat="0" applyFill="0" applyAlignment="0" applyProtection="0"/>
    <xf numFmtId="194" fontId="111" fillId="0" borderId="0" applyNumberFormat="0" applyFill="0" applyBorder="0" applyAlignment="0" applyProtection="0"/>
    <xf numFmtId="194" fontId="38" fillId="0" borderId="0"/>
    <xf numFmtId="194" fontId="114" fillId="16" borderId="8" applyNumberFormat="0" applyAlignment="0" applyProtection="0"/>
    <xf numFmtId="194" fontId="38" fillId="0" borderId="0"/>
    <xf numFmtId="194" fontId="38" fillId="0" borderId="0"/>
    <xf numFmtId="194" fontId="38" fillId="0" borderId="0"/>
    <xf numFmtId="194" fontId="117" fillId="0" borderId="6" applyNumberFormat="0" applyFill="0" applyAlignment="0" applyProtection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23" fillId="40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56" fillId="41" borderId="17" applyNumberFormat="0" applyFont="0" applyAlignment="0" applyProtection="0"/>
    <xf numFmtId="194" fontId="38" fillId="0" borderId="0"/>
    <xf numFmtId="194" fontId="126" fillId="35" borderId="18" applyNumberFormat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23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35" fillId="0" borderId="0" applyNumberFormat="0" applyFill="0" applyBorder="0" applyAlignment="0" applyProtection="0"/>
    <xf numFmtId="194" fontId="38" fillId="0" borderId="24" applyNumberFormat="0" applyFont="0" applyFill="0" applyAlignment="0" applyProtection="0"/>
    <xf numFmtId="194" fontId="38" fillId="0" borderId="0"/>
    <xf numFmtId="194" fontId="38" fillId="0" borderId="0"/>
    <xf numFmtId="194" fontId="38" fillId="0" borderId="0"/>
    <xf numFmtId="194" fontId="43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38" fillId="0" borderId="0"/>
    <xf numFmtId="194" fontId="23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194" fontId="23" fillId="0" borderId="0"/>
    <xf numFmtId="43" fontId="23" fillId="0" borderId="0" applyFont="0" applyFill="0" applyBorder="0" applyAlignment="0" applyProtection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23" fillId="0" borderId="0"/>
    <xf numFmtId="44" fontId="38" fillId="0" borderId="0" applyFont="0" applyFill="0" applyBorder="0" applyAlignment="0" applyProtection="0"/>
    <xf numFmtId="44" fontId="23" fillId="0" borderId="0" applyFont="0" applyFill="0" applyBorder="0" applyAlignment="0" applyProtection="0"/>
    <xf numFmtId="194" fontId="23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23" fillId="0" borderId="0"/>
    <xf numFmtId="194" fontId="23" fillId="0" borderId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9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2" borderId="0" applyNumberFormat="0" applyBorder="0" applyAlignment="0" applyProtection="0"/>
    <xf numFmtId="194" fontId="114" fillId="16" borderId="8" applyNumberFormat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2" borderId="0" applyNumberFormat="0" applyBorder="0" applyAlignment="0" applyProtection="0"/>
    <xf numFmtId="194" fontId="114" fillId="16" borderId="8" applyNumberFormat="0" applyAlignment="0" applyProtection="0"/>
    <xf numFmtId="43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3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88" fillId="29" borderId="0" applyNumberFormat="0" applyBorder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88" fillId="29" borderId="0" applyNumberFormat="0" applyBorder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88" fillId="32" borderId="0" applyNumberFormat="0" applyBorder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88" fillId="32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88" fillId="32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114" fillId="16" borderId="8" applyNumberFormat="0" applyAlignment="0" applyProtection="0"/>
    <xf numFmtId="194" fontId="88" fillId="32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9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44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194" fontId="114" fillId="16" borderId="8" applyNumberFormat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4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4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9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114" fillId="16" borderId="8" applyNumberFormat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194" fontId="88" fillId="26" borderId="0" applyNumberFormat="0" applyBorder="0" applyAlignment="0" applyProtection="0"/>
    <xf numFmtId="44" fontId="38" fillId="0" borderId="0" applyFont="0" applyFill="0" applyBorder="0" applyAlignment="0" applyProtection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23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23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2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2" fillId="0" borderId="0"/>
    <xf numFmtId="194" fontId="21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69" fillId="0" borderId="0"/>
    <xf numFmtId="194" fontId="69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44" fontId="38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20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38" fillId="0" borderId="0"/>
    <xf numFmtId="194" fontId="20" fillId="0" borderId="0"/>
    <xf numFmtId="194" fontId="20" fillId="0" borderId="0"/>
    <xf numFmtId="194" fontId="38" fillId="0" borderId="0"/>
    <xf numFmtId="44" fontId="38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38" fillId="0" borderId="0" applyNumberFormat="0" applyFill="0" applyBorder="0" applyAlignment="0" applyProtection="0"/>
    <xf numFmtId="194" fontId="38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38" fillId="0" borderId="0"/>
    <xf numFmtId="194" fontId="20" fillId="0" borderId="0"/>
    <xf numFmtId="44" fontId="38" fillId="0" borderId="0" applyFont="0" applyFill="0" applyBorder="0" applyAlignment="0" applyProtection="0"/>
    <xf numFmtId="44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38" fillId="0" borderId="0"/>
    <xf numFmtId="194" fontId="20" fillId="0" borderId="0"/>
    <xf numFmtId="194" fontId="38" fillId="0" borderId="0"/>
    <xf numFmtId="194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94" fontId="38" fillId="0" borderId="0"/>
    <xf numFmtId="194" fontId="38" fillId="0" borderId="0"/>
    <xf numFmtId="194" fontId="20" fillId="0" borderId="0"/>
    <xf numFmtId="44" fontId="38" fillId="0" borderId="0" applyFont="0" applyFill="0" applyBorder="0" applyAlignment="0" applyProtection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38" fillId="0" borderId="0"/>
    <xf numFmtId="194" fontId="20" fillId="0" borderId="0"/>
    <xf numFmtId="43" fontId="20" fillId="0" borderId="0" applyFont="0" applyFill="0" applyBorder="0" applyAlignment="0" applyProtection="0"/>
    <xf numFmtId="194" fontId="38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44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3" fontId="20" fillId="0" borderId="0" applyFont="0" applyFill="0" applyBorder="0" applyAlignment="0" applyProtection="0"/>
    <xf numFmtId="42" fontId="38" fillId="0" borderId="0" applyFont="0" applyFill="0" applyBorder="0" applyAlignment="0" applyProtection="0"/>
    <xf numFmtId="194" fontId="38" fillId="0" borderId="0"/>
    <xf numFmtId="43" fontId="20" fillId="0" borderId="0" applyFont="0" applyFill="0" applyBorder="0" applyAlignment="0" applyProtection="0"/>
    <xf numFmtId="194" fontId="20" fillId="0" borderId="0"/>
    <xf numFmtId="194" fontId="38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94" fontId="20" fillId="0" borderId="0"/>
    <xf numFmtId="194" fontId="20" fillId="0" borderId="0"/>
    <xf numFmtId="194" fontId="20" fillId="0" borderId="0"/>
    <xf numFmtId="194" fontId="20" fillId="0" borderId="0"/>
    <xf numFmtId="194" fontId="20" fillId="0" borderId="0"/>
    <xf numFmtId="42" fontId="38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69" fillId="0" borderId="0"/>
    <xf numFmtId="194" fontId="71" fillId="11" borderId="0" applyNumberFormat="0" applyBorder="0" applyAlignment="0" applyProtection="0"/>
    <xf numFmtId="194" fontId="71" fillId="12" borderId="0" applyNumberFormat="0" applyBorder="0" applyAlignment="0" applyProtection="0"/>
    <xf numFmtId="194" fontId="71" fillId="13" borderId="0" applyNumberFormat="0" applyBorder="0" applyAlignment="0" applyProtection="0"/>
    <xf numFmtId="194" fontId="71" fillId="14" borderId="0" applyNumberFormat="0" applyBorder="0" applyAlignment="0" applyProtection="0"/>
    <xf numFmtId="194" fontId="71" fillId="15" borderId="0" applyNumberFormat="0" applyBorder="0" applyAlignment="0" applyProtection="0"/>
    <xf numFmtId="194" fontId="71" fillId="16" borderId="0" applyNumberFormat="0" applyBorder="0" applyAlignment="0" applyProtection="0"/>
    <xf numFmtId="194" fontId="71" fillId="17" borderId="0" applyNumberFormat="0" applyBorder="0" applyAlignment="0" applyProtection="0"/>
    <xf numFmtId="194" fontId="71" fillId="18" borderId="0" applyNumberFormat="0" applyBorder="0" applyAlignment="0" applyProtection="0"/>
    <xf numFmtId="194" fontId="71" fillId="19" borderId="0" applyNumberFormat="0" applyBorder="0" applyAlignment="0" applyProtection="0"/>
    <xf numFmtId="194" fontId="71" fillId="14" borderId="0" applyNumberFormat="0" applyBorder="0" applyAlignment="0" applyProtection="0"/>
    <xf numFmtId="194" fontId="71" fillId="17" borderId="0" applyNumberFormat="0" applyBorder="0" applyAlignment="0" applyProtection="0"/>
    <xf numFmtId="194" fontId="71" fillId="20" borderId="0" applyNumberFormat="0" applyBorder="0" applyAlignment="0" applyProtection="0"/>
    <xf numFmtId="194" fontId="85" fillId="21" borderId="0" applyNumberFormat="0" applyBorder="0" applyAlignment="0" applyProtection="0"/>
    <xf numFmtId="194" fontId="85" fillId="18" borderId="0" applyNumberFormat="0" applyBorder="0" applyAlignment="0" applyProtection="0"/>
    <xf numFmtId="194" fontId="85" fillId="19" borderId="0" applyNumberFormat="0" applyBorder="0" applyAlignment="0" applyProtection="0"/>
    <xf numFmtId="194" fontId="85" fillId="6" borderId="0" applyNumberFormat="0" applyBorder="0" applyAlignment="0" applyProtection="0"/>
    <xf numFmtId="194" fontId="85" fillId="7" borderId="0" applyNumberFormat="0" applyBorder="0" applyAlignment="0" applyProtection="0"/>
    <xf numFmtId="194" fontId="85" fillId="22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88" fillId="32" borderId="0" applyNumberFormat="0" applyBorder="0" applyAlignment="0" applyProtection="0"/>
    <xf numFmtId="194" fontId="93" fillId="12" borderId="0" applyNumberFormat="0" applyBorder="0" applyAlignment="0" applyProtection="0"/>
    <xf numFmtId="194" fontId="96" fillId="35" borderId="8" applyNumberFormat="0" applyAlignment="0" applyProtection="0"/>
    <xf numFmtId="194" fontId="94" fillId="2" borderId="2" applyNumberFormat="0" applyAlignment="0" applyProtection="0"/>
    <xf numFmtId="43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94" fontId="104" fillId="0" borderId="0" applyNumberFormat="0" applyFill="0" applyBorder="0" applyAlignment="0" applyProtection="0"/>
    <xf numFmtId="194" fontId="106" fillId="13" borderId="0" applyNumberFormat="0" applyBorder="0" applyAlignment="0" applyProtection="0"/>
    <xf numFmtId="194" fontId="110" fillId="0" borderId="0" applyNumberFormat="0" applyFill="0" applyBorder="0" applyAlignment="0" applyProtection="0"/>
    <xf numFmtId="194" fontId="109" fillId="0" borderId="0" applyNumberFormat="0" applyFill="0" applyBorder="0" applyAlignment="0" applyProtection="0"/>
    <xf numFmtId="194" fontId="111" fillId="0" borderId="5" applyNumberFormat="0" applyFill="0" applyAlignment="0" applyProtection="0"/>
    <xf numFmtId="194" fontId="111" fillId="0" borderId="0" applyNumberFormat="0" applyFill="0" applyBorder="0" applyAlignment="0" applyProtection="0"/>
    <xf numFmtId="194" fontId="114" fillId="16" borderId="8" applyNumberFormat="0" applyAlignment="0" applyProtection="0"/>
    <xf numFmtId="194" fontId="117" fillId="0" borderId="6" applyNumberFormat="0" applyFill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123" fillId="40" borderId="0" applyNumberFormat="0" applyBorder="0" applyAlignment="0" applyProtection="0"/>
    <xf numFmtId="194" fontId="56" fillId="41" borderId="17" applyNumberFormat="0" applyFont="0" applyAlignment="0" applyProtection="0"/>
    <xf numFmtId="194" fontId="126" fillId="35" borderId="18" applyNumberFormat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35" fillId="0" borderId="0" applyNumberFormat="0" applyFill="0" applyBorder="0" applyAlignment="0" applyProtection="0"/>
    <xf numFmtId="194" fontId="38" fillId="0" borderId="24" applyNumberFormat="0" applyFont="0" applyFill="0" applyAlignment="0" applyProtection="0"/>
    <xf numFmtId="194" fontId="43" fillId="0" borderId="0" applyNumberForma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4" fontId="38" fillId="0" borderId="0" applyFont="0" applyFill="0" applyBorder="0" applyAlignment="0" applyProtection="0"/>
    <xf numFmtId="44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4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4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44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4" fontId="19" fillId="0" borderId="0"/>
    <xf numFmtId="43" fontId="19" fillId="0" borderId="0" applyFont="0" applyFill="0" applyBorder="0" applyAlignment="0" applyProtection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19" fillId="0" borderId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44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114" fillId="16" borderId="8" applyNumberFormat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194" fontId="88" fillId="26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43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32" borderId="0" applyNumberFormat="0" applyBorder="0" applyAlignment="0" applyProtection="0"/>
    <xf numFmtId="194" fontId="88" fillId="26" borderId="0" applyNumberFormat="0" applyBorder="0" applyAlignment="0" applyProtection="0"/>
    <xf numFmtId="194" fontId="88" fillId="32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114" fillId="16" borderId="8" applyNumberFormat="0" applyAlignment="0" applyProtection="0"/>
    <xf numFmtId="194" fontId="114" fillId="16" borderId="8" applyNumberFormat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9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114" fillId="16" borderId="8" applyNumberFormat="0" applyAlignment="0" applyProtection="0"/>
    <xf numFmtId="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114" fillId="16" borderId="8" applyNumberFormat="0" applyAlignment="0" applyProtection="0"/>
    <xf numFmtId="9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9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44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114" fillId="16" borderId="8" applyNumberFormat="0" applyAlignment="0" applyProtection="0"/>
    <xf numFmtId="194" fontId="114" fillId="16" borderId="8" applyNumberFormat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114" fillId="16" borderId="8" applyNumberFormat="0" applyAlignment="0" applyProtection="0"/>
    <xf numFmtId="194" fontId="88" fillId="26" borderId="0" applyNumberFormat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194" fontId="114" fillId="16" borderId="8" applyNumberFormat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9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9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38" fillId="0" borderId="0" applyNumberFormat="0" applyFill="0" applyBorder="0" applyAlignment="0" applyProtection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88" fillId="32" borderId="0" applyNumberFormat="0" applyBorder="0" applyAlignment="0" applyProtection="0"/>
    <xf numFmtId="194" fontId="88" fillId="32" borderId="0" applyNumberFormat="0" applyBorder="0" applyAlignment="0" applyProtection="0"/>
    <xf numFmtId="194" fontId="88" fillId="29" borderId="0" applyNumberFormat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43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114" fillId="16" borderId="8" applyNumberFormat="0" applyAlignment="0" applyProtection="0"/>
    <xf numFmtId="194" fontId="88" fillId="32" borderId="0" applyNumberFormat="0" applyBorder="0" applyAlignment="0" applyProtection="0"/>
    <xf numFmtId="194" fontId="88" fillId="29" borderId="0" applyNumberFormat="0" applyBorder="0" applyAlignment="0" applyProtection="0"/>
    <xf numFmtId="194" fontId="114" fillId="16" borderId="8" applyNumberFormat="0" applyAlignment="0" applyProtection="0"/>
    <xf numFmtId="194" fontId="88" fillId="26" borderId="0" applyNumberFormat="0" applyBorder="0" applyAlignment="0" applyProtection="0"/>
    <xf numFmtId="194" fontId="88" fillId="32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30" borderId="0" applyNumberFormat="0" applyBorder="0" applyAlignment="0" applyProtection="0"/>
    <xf numFmtId="194" fontId="88" fillId="32" borderId="0" applyNumberFormat="0" applyBorder="0" applyAlignment="0" applyProtection="0"/>
    <xf numFmtId="194" fontId="88" fillId="29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29" borderId="0" applyNumberFormat="0" applyBorder="0" applyAlignment="0" applyProtection="0"/>
    <xf numFmtId="194" fontId="88" fillId="23" borderId="0" applyNumberFormat="0" applyBorder="0" applyAlignment="0" applyProtection="0"/>
    <xf numFmtId="194" fontId="88" fillId="23" borderId="0" applyNumberFormat="0" applyBorder="0" applyAlignment="0" applyProtection="0"/>
    <xf numFmtId="194" fontId="114" fillId="16" borderId="8" applyNumberFormat="0" applyAlignment="0" applyProtection="0"/>
    <xf numFmtId="194" fontId="114" fillId="16" borderId="8" applyNumberFormat="0" applyAlignment="0" applyProtection="0"/>
    <xf numFmtId="194" fontId="88" fillId="30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6" borderId="0" applyNumberFormat="0" applyBorder="0" applyAlignment="0" applyProtection="0"/>
    <xf numFmtId="194" fontId="88" fillId="30" borderId="0" applyNumberFormat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114" fillId="16" borderId="8" applyNumberFormat="0" applyAlignment="0" applyProtection="0"/>
    <xf numFmtId="194" fontId="88" fillId="26" borderId="0" applyNumberFormat="0" applyBorder="0" applyAlignment="0" applyProtection="0"/>
    <xf numFmtId="43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43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88" fillId="26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88" fillId="29" borderId="0" applyNumberFormat="0" applyBorder="0" applyAlignment="0" applyProtection="0"/>
    <xf numFmtId="194" fontId="88" fillId="29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30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29" borderId="0" applyNumberFormat="0" applyBorder="0" applyAlignment="0" applyProtection="0"/>
    <xf numFmtId="9" fontId="38" fillId="0" borderId="0" applyFont="0" applyFill="0" applyBorder="0" applyAlignment="0" applyProtection="0"/>
    <xf numFmtId="194" fontId="88" fillId="23" borderId="0" applyNumberFormat="0" applyBorder="0" applyAlignment="0" applyProtection="0"/>
    <xf numFmtId="194" fontId="88" fillId="29" borderId="0" applyNumberFormat="0" applyBorder="0" applyAlignment="0" applyProtection="0"/>
    <xf numFmtId="194" fontId="88" fillId="30" borderId="0" applyNumberFormat="0" applyBorder="0" applyAlignment="0" applyProtection="0"/>
    <xf numFmtId="194" fontId="88" fillId="30" borderId="0" applyNumberFormat="0" applyBorder="0" applyAlignment="0" applyProtection="0"/>
    <xf numFmtId="194" fontId="114" fillId="16" borderId="8" applyNumberFormat="0" applyAlignment="0" applyProtection="0"/>
    <xf numFmtId="194" fontId="88" fillId="29" borderId="0" applyNumberFormat="0" applyBorder="0" applyAlignment="0" applyProtection="0"/>
    <xf numFmtId="194" fontId="88" fillId="29" borderId="0" applyNumberFormat="0" applyBorder="0" applyAlignment="0" applyProtection="0"/>
    <xf numFmtId="194" fontId="88" fillId="30" borderId="0" applyNumberFormat="0" applyBorder="0" applyAlignment="0" applyProtection="0"/>
    <xf numFmtId="44" fontId="38" fillId="0" borderId="0" applyFont="0" applyFill="0" applyBorder="0" applyAlignment="0" applyProtection="0"/>
    <xf numFmtId="194" fontId="88" fillId="32" borderId="0" applyNumberFormat="0" applyBorder="0" applyAlignment="0" applyProtection="0"/>
    <xf numFmtId="194" fontId="38" fillId="0" borderId="0" applyNumberFormat="0" applyFill="0" applyBorder="0" applyAlignment="0" applyProtection="0"/>
    <xf numFmtId="194" fontId="88" fillId="30" borderId="0" applyNumberFormat="0" applyBorder="0" applyAlignment="0" applyProtection="0"/>
    <xf numFmtId="194" fontId="114" fillId="16" borderId="8" applyNumberFormat="0" applyAlignment="0" applyProtection="0"/>
    <xf numFmtId="194" fontId="88" fillId="32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3" borderId="0" applyNumberFormat="0" applyBorder="0" applyAlignment="0" applyProtection="0"/>
    <xf numFmtId="194" fontId="88" fillId="26" borderId="0" applyNumberFormat="0" applyBorder="0" applyAlignment="0" applyProtection="0"/>
    <xf numFmtId="194" fontId="88" fillId="26" borderId="0" applyNumberFormat="0" applyBorder="0" applyAlignment="0" applyProtection="0"/>
    <xf numFmtId="194" fontId="88" fillId="30" borderId="0" applyNumberFormat="0" applyBorder="0" applyAlignment="0" applyProtection="0"/>
    <xf numFmtId="194" fontId="88" fillId="26" borderId="0" applyNumberFormat="0" applyBorder="0" applyAlignment="0" applyProtection="0"/>
    <xf numFmtId="194" fontId="88" fillId="26" borderId="0" applyNumberFormat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69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18" fillId="0" borderId="0"/>
    <xf numFmtId="194" fontId="69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18" fillId="0" borderId="0"/>
    <xf numFmtId="44" fontId="38" fillId="0" borderId="0" applyFont="0" applyFill="0" applyBorder="0" applyAlignment="0" applyProtection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18" fillId="0" borderId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38" fillId="0" borderId="0"/>
    <xf numFmtId="194" fontId="18" fillId="0" borderId="0"/>
    <xf numFmtId="44" fontId="38" fillId="0" borderId="0" applyFont="0" applyFill="0" applyBorder="0" applyAlignment="0" applyProtection="0"/>
    <xf numFmtId="194" fontId="3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43" fontId="18" fillId="0" borderId="0" applyFont="0" applyFill="0" applyBorder="0" applyAlignment="0" applyProtection="0"/>
    <xf numFmtId="194" fontId="38" fillId="0" borderId="0"/>
    <xf numFmtId="194" fontId="18" fillId="0" borderId="0"/>
    <xf numFmtId="44" fontId="3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69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8" fillId="0" borderId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43" fontId="18" fillId="0" borderId="0" applyFont="0" applyFill="0" applyBorder="0" applyAlignment="0" applyProtection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43" fontId="18" fillId="0" borderId="0" applyFont="0" applyFill="0" applyBorder="0" applyAlignment="0" applyProtection="0"/>
    <xf numFmtId="194" fontId="38" fillId="0" borderId="0"/>
    <xf numFmtId="194" fontId="18" fillId="0" borderId="0"/>
    <xf numFmtId="194" fontId="38" fillId="0" borderId="0"/>
    <xf numFmtId="194" fontId="18" fillId="0" borderId="0"/>
    <xf numFmtId="194" fontId="38" fillId="0" borderId="0"/>
    <xf numFmtId="194" fontId="1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2" fontId="38" fillId="0" borderId="0" applyFont="0" applyFill="0" applyBorder="0" applyAlignment="0" applyProtection="0"/>
    <xf numFmtId="194" fontId="3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69" fillId="0" borderId="0"/>
    <xf numFmtId="194" fontId="3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44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4" fontId="18" fillId="0" borderId="0"/>
    <xf numFmtId="43" fontId="18" fillId="0" borderId="0" applyFont="0" applyFill="0" applyBorder="0" applyAlignment="0" applyProtection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1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69" fillId="0" borderId="0"/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204" fontId="47" fillId="0" borderId="0">
      <protection locked="0"/>
    </xf>
    <xf numFmtId="194" fontId="38" fillId="0" borderId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43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44" fontId="38" fillId="0" borderId="0" applyFont="0" applyFill="0" applyBorder="0" applyAlignment="0" applyProtection="0"/>
    <xf numFmtId="194" fontId="56" fillId="0" borderId="0"/>
    <xf numFmtId="194" fontId="56" fillId="0" borderId="0"/>
    <xf numFmtId="166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69" fillId="0" borderId="0"/>
    <xf numFmtId="43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38" fillId="0" borderId="0" applyFont="0" applyFill="0" applyBorder="0" applyAlignment="0" applyProtection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44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4" fontId="17" fillId="0" borderId="0"/>
    <xf numFmtId="43" fontId="17" fillId="0" borderId="0" applyFont="0" applyFill="0" applyBorder="0" applyAlignment="0" applyProtection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7" fillId="0" borderId="0"/>
    <xf numFmtId="194" fontId="16" fillId="0" borderId="0"/>
    <xf numFmtId="43" fontId="16" fillId="0" borderId="0" applyFont="0" applyFill="0" applyBorder="0" applyAlignment="0" applyProtection="0"/>
    <xf numFmtId="194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94" fontId="46" fillId="0" borderId="0"/>
    <xf numFmtId="194" fontId="46" fillId="0" borderId="0"/>
    <xf numFmtId="41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46" fillId="0" borderId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46" fillId="0" borderId="0"/>
    <xf numFmtId="9" fontId="46" fillId="0" borderId="0" applyFont="0" applyFill="0" applyBorder="0" applyAlignment="0" applyProtection="0"/>
    <xf numFmtId="194" fontId="46" fillId="0" borderId="0"/>
    <xf numFmtId="194" fontId="46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204" fontId="47" fillId="0" borderId="0">
      <protection locked="0"/>
    </xf>
    <xf numFmtId="194" fontId="38" fillId="0" borderId="0"/>
    <xf numFmtId="204" fontId="47" fillId="0" borderId="0">
      <protection locked="0"/>
    </xf>
    <xf numFmtId="194" fontId="38" fillId="0" borderId="0"/>
    <xf numFmtId="194" fontId="38" fillId="0" borderId="0"/>
    <xf numFmtId="194" fontId="38" fillId="0" borderId="0"/>
    <xf numFmtId="194" fontId="69" fillId="0" borderId="0"/>
    <xf numFmtId="194" fontId="69" fillId="0" borderId="0"/>
    <xf numFmtId="194" fontId="69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15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 applyNumberFormat="0" applyFill="0" applyBorder="0" applyAlignment="0" applyProtection="0"/>
    <xf numFmtId="194" fontId="38" fillId="0" borderId="0"/>
    <xf numFmtId="204" fontId="47" fillId="0" borderId="0">
      <protection locked="0"/>
    </xf>
    <xf numFmtId="194" fontId="38" fillId="0" borderId="0"/>
    <xf numFmtId="194" fontId="69" fillId="0" borderId="0"/>
    <xf numFmtId="43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38" fillId="0" borderId="0" applyFont="0" applyFill="0" applyBorder="0" applyAlignment="0" applyProtection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4" fontId="14" fillId="0" borderId="0"/>
    <xf numFmtId="43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4" fillId="0" borderId="0"/>
    <xf numFmtId="194" fontId="13" fillId="0" borderId="0"/>
    <xf numFmtId="194" fontId="12" fillId="0" borderId="0"/>
    <xf numFmtId="194" fontId="12" fillId="0" borderId="0"/>
    <xf numFmtId="194" fontId="11" fillId="0" borderId="0"/>
    <xf numFmtId="194" fontId="56" fillId="0" borderId="0"/>
    <xf numFmtId="194" fontId="56" fillId="0" borderId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41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10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56" fillId="0" borderId="0"/>
    <xf numFmtId="9" fontId="56" fillId="0" borderId="0" applyFont="0" applyFill="0" applyBorder="0" applyAlignment="0" applyProtection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9" fillId="0" borderId="0"/>
    <xf numFmtId="194" fontId="8" fillId="0" borderId="0"/>
    <xf numFmtId="194" fontId="56" fillId="0" borderId="0" applyNumberForma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194" fontId="56" fillId="0" borderId="0" applyNumberFormat="0" applyFill="0" applyBorder="0" applyAlignment="0" applyProtection="0"/>
    <xf numFmtId="194" fontId="38" fillId="0" borderId="0" applyNumberForma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194" fontId="56" fillId="0" borderId="0" applyNumberFormat="0" applyFill="0" applyBorder="0" applyAlignment="0" applyProtection="0"/>
    <xf numFmtId="194" fontId="56" fillId="0" borderId="0" applyNumberFormat="0" applyFill="0" applyBorder="0" applyAlignment="0" applyProtection="0"/>
    <xf numFmtId="194" fontId="56" fillId="0" borderId="0" applyNumberFormat="0" applyFill="0" applyBorder="0" applyAlignment="0" applyProtection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6" fillId="0" borderId="0"/>
    <xf numFmtId="43" fontId="6" fillId="0" borderId="0" applyFont="0" applyFill="0" applyBorder="0" applyAlignment="0" applyProtection="0"/>
    <xf numFmtId="194" fontId="6" fillId="0" borderId="0"/>
    <xf numFmtId="194" fontId="6" fillId="0" borderId="0"/>
    <xf numFmtId="194" fontId="5" fillId="0" borderId="0"/>
    <xf numFmtId="194" fontId="4" fillId="0" borderId="0"/>
    <xf numFmtId="194" fontId="4" fillId="0" borderId="0"/>
    <xf numFmtId="43" fontId="4" fillId="0" borderId="0" applyFont="0" applyFill="0" applyBorder="0" applyAlignment="0" applyProtection="0"/>
    <xf numFmtId="194" fontId="3" fillId="0" borderId="0"/>
    <xf numFmtId="166" fontId="68" fillId="0" borderId="0" applyFont="0" applyFill="0" applyBorder="0" applyAlignment="0" applyProtection="0"/>
    <xf numFmtId="194" fontId="2" fillId="0" borderId="0"/>
    <xf numFmtId="43" fontId="2" fillId="0" borderId="0" applyFont="0" applyFill="0" applyBorder="0" applyAlignment="0" applyProtection="0"/>
    <xf numFmtId="194" fontId="216" fillId="0" borderId="0">
      <alignment vertical="center"/>
    </xf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1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2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3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5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2" fillId="63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6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8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9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4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17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199" fillId="20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21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8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19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6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7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7" fillId="2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194" fontId="218" fillId="12" borderId="0" applyNumberFormat="0" applyBorder="0" applyAlignment="0" applyProtection="0"/>
    <xf numFmtId="255" fontId="38" fillId="0" borderId="0" applyFill="0" applyBorder="0" applyAlignment="0"/>
    <xf numFmtId="255" fontId="38" fillId="0" borderId="0" applyFill="0" applyBorder="0" applyAlignment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19" fillId="35" borderId="8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94" fontId="220" fillId="2" borderId="2" applyNumberFormat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41" fontId="221" fillId="0" borderId="0" applyFont="0" applyFill="0" applyBorder="0" applyAlignment="0" applyProtection="0"/>
    <xf numFmtId="41" fontId="221" fillId="0" borderId="0" applyFont="0" applyFill="0" applyBorder="0" applyAlignment="0" applyProtection="0"/>
    <xf numFmtId="43" fontId="19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1" fillId="0" borderId="0" applyFont="0" applyFill="0" applyBorder="0" applyAlignment="0" applyProtection="0">
      <alignment vertical="top"/>
    </xf>
    <xf numFmtId="43" fontId="3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43" fontId="19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19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0" fillId="0" borderId="0" applyFont="0" applyFill="0" applyBorder="0" applyAlignment="0" applyProtection="0"/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256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56" fontId="38" fillId="0" borderId="0" applyFont="0" applyFill="0" applyBorder="0" applyAlignment="0" applyProtection="0"/>
    <xf numFmtId="256" fontId="38" fillId="0" borderId="0" applyFont="0" applyFill="0" applyBorder="0" applyAlignment="0" applyProtection="0"/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164" fontId="71" fillId="0" borderId="0" applyFont="0" applyFill="0" applyBorder="0" applyAlignment="0" applyProtection="0">
      <alignment vertical="top"/>
    </xf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194" fontId="38" fillId="0" borderId="0" applyFon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194" fontId="224" fillId="0" borderId="0" applyNumberFormat="0" applyFill="0" applyBorder="0" applyAlignment="0" applyProtection="0"/>
    <xf numFmtId="2" fontId="38" fillId="0" borderId="0" applyFont="0" applyFill="0" applyBorder="0" applyAlignment="0" applyProtection="0"/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04" fontId="223" fillId="0" borderId="0">
      <protection locked="0"/>
    </xf>
    <xf numFmtId="2" fontId="38" fillId="0" borderId="0" applyFont="0" applyFill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225" fillId="13" borderId="0" applyNumberFormat="0" applyBorder="0" applyAlignment="0" applyProtection="0"/>
    <xf numFmtId="194" fontId="109" fillId="0" borderId="12">
      <alignment horizontal="left" vertical="center"/>
    </xf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6" fillId="0" borderId="3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7" fillId="0" borderId="4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5" applyNumberFormat="0" applyFill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8" fillId="0" borderId="0" applyNumberFormat="0" applyFill="0" applyBorder="0" applyAlignment="0" applyProtection="0"/>
    <xf numFmtId="194" fontId="229" fillId="0" borderId="0" applyNumberFormat="0" applyFill="0" applyBorder="0" applyAlignment="0" applyProtection="0">
      <alignment vertical="top"/>
      <protection locked="0"/>
    </xf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0" fillId="16" borderId="8" applyNumberFormat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1" fillId="0" borderId="6" applyNumberFormat="0" applyFill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194" fontId="232" fillId="40" borderId="0" applyNumberFormat="0" applyBorder="0" applyAlignment="0" applyProtection="0"/>
    <xf numFmtId="257" fontId="233" fillId="0" borderId="0"/>
    <xf numFmtId="257" fontId="23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57" fontId="23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257" fontId="233" fillId="0" borderId="0"/>
    <xf numFmtId="257" fontId="233" fillId="0" borderId="0"/>
    <xf numFmtId="257" fontId="233" fillId="0" borderId="0"/>
    <xf numFmtId="194" fontId="38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257" fontId="233" fillId="0" borderId="0"/>
    <xf numFmtId="194" fontId="2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68" fillId="0" borderId="0"/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38" fillId="0" borderId="0"/>
    <xf numFmtId="194" fontId="2" fillId="0" borderId="0"/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234" fillId="0" borderId="0">
      <alignment vertical="top"/>
    </xf>
    <xf numFmtId="194" fontId="56" fillId="0" borderId="0">
      <alignment vertical="center"/>
    </xf>
    <xf numFmtId="194" fontId="71" fillId="0" borderId="0">
      <alignment vertical="top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38" fillId="0" borderId="0"/>
    <xf numFmtId="194" fontId="38" fillId="0" borderId="0"/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/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>
      <alignment vertical="top"/>
    </xf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0" borderId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38" fillId="41" borderId="17" applyNumberFormat="0" applyFon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94" fontId="235" fillId="35" borderId="18" applyNumberFormat="0" applyAlignment="0" applyProtection="0"/>
    <xf numFmtId="10" fontId="38" fillId="0" borderId="0" applyFont="0" applyFill="0" applyBorder="0" applyAlignment="0" applyProtection="0"/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9" fontId="199" fillId="0" borderId="0" applyFont="0" applyFill="0" applyBorder="0" applyAlignment="0" applyProtection="0">
      <alignment vertical="center"/>
    </xf>
    <xf numFmtId="194" fontId="38" fillId="0" borderId="0"/>
    <xf numFmtId="194" fontId="38" fillId="0" borderId="0"/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71" fillId="0" borderId="0">
      <alignment vertical="top"/>
    </xf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6" fillId="0" borderId="0" applyNumberFormat="0" applyFill="0" applyBorder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7" fillId="0" borderId="26" applyNumberFormat="0" applyFill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238" fillId="0" borderId="0" applyNumberFormat="0" applyFill="0" applyBorder="0" applyAlignment="0" applyProtection="0"/>
    <xf numFmtId="194" fontId="38" fillId="0" borderId="0"/>
    <xf numFmtId="194" fontId="38" fillId="0" borderId="0"/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>
      <alignment vertical="center"/>
    </xf>
    <xf numFmtId="194" fontId="56" fillId="0" borderId="0"/>
    <xf numFmtId="44" fontId="247" fillId="0" borderId="0" applyFont="0" applyFill="0" applyBorder="0" applyAlignment="0" applyProtection="0"/>
    <xf numFmtId="194" fontId="1" fillId="0" borderId="0"/>
    <xf numFmtId="9" fontId="1" fillId="0" borderId="0" applyFont="0" applyFill="0" applyBorder="0" applyAlignment="0" applyProtection="0"/>
    <xf numFmtId="194" fontId="222" fillId="0" borderId="0"/>
    <xf numFmtId="168" fontId="248" fillId="0" borderId="0" applyFont="0" applyFill="0" applyBorder="0" applyAlignment="0" applyProtection="0"/>
    <xf numFmtId="194" fontId="38" fillId="0" borderId="0" applyNumberFormat="0" applyFill="0" applyBorder="0" applyAlignment="0" applyProtection="0"/>
    <xf numFmtId="194" fontId="222" fillId="0" borderId="0"/>
    <xf numFmtId="43" fontId="222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22" fillId="0" borderId="0" applyFont="0" applyFill="0" applyBorder="0" applyAlignment="0" applyProtection="0"/>
    <xf numFmtId="166" fontId="222" fillId="0" borderId="0" applyFont="0" applyFill="0" applyBorder="0" applyAlignment="0" applyProtection="0"/>
    <xf numFmtId="166" fontId="222" fillId="0" borderId="0" applyFont="0" applyFill="0" applyBorder="0" applyAlignment="0" applyProtection="0"/>
    <xf numFmtId="166" fontId="222" fillId="0" borderId="0" applyFont="0" applyFill="0" applyBorder="0" applyAlignment="0" applyProtection="0"/>
    <xf numFmtId="166" fontId="232" fillId="0" borderId="0" applyFont="0" applyFill="0" applyBorder="0" applyAlignment="0" applyProtection="0"/>
    <xf numFmtId="166" fontId="232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199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>
      <alignment vertical="center"/>
    </xf>
    <xf numFmtId="166" fontId="248" fillId="0" borderId="0" applyFont="0" applyFill="0" applyBorder="0" applyAlignment="0" applyProtection="0">
      <alignment vertical="center"/>
    </xf>
    <xf numFmtId="166" fontId="248" fillId="0" borderId="0" applyFont="0" applyFill="0" applyBorder="0" applyAlignment="0" applyProtection="0">
      <alignment vertical="center"/>
    </xf>
    <xf numFmtId="166" fontId="248" fillId="0" borderId="0" applyFont="0" applyFill="0" applyBorder="0" applyAlignment="0" applyProtection="0">
      <alignment vertical="center"/>
    </xf>
    <xf numFmtId="166" fontId="248" fillId="0" borderId="0" applyFont="0" applyFill="0" applyBorder="0" applyAlignment="0" applyProtection="0">
      <alignment vertical="center"/>
    </xf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43" fontId="22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32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94" fontId="222" fillId="0" borderId="0"/>
    <xf numFmtId="194" fontId="56" fillId="0" borderId="0"/>
    <xf numFmtId="194" fontId="248" fillId="0" borderId="0"/>
    <xf numFmtId="194" fontId="248" fillId="0" borderId="0">
      <alignment vertical="center"/>
    </xf>
    <xf numFmtId="194" fontId="248" fillId="0" borderId="0"/>
    <xf numFmtId="194" fontId="248" fillId="0" borderId="0">
      <alignment vertical="center"/>
    </xf>
    <xf numFmtId="194" fontId="248" fillId="0" borderId="0">
      <alignment vertical="center"/>
    </xf>
    <xf numFmtId="194" fontId="248" fillId="0" borderId="0"/>
    <xf numFmtId="194" fontId="248" fillId="0" borderId="0">
      <alignment vertical="center"/>
    </xf>
    <xf numFmtId="194" fontId="248" fillId="0" borderId="0"/>
    <xf numFmtId="194" fontId="222" fillId="0" borderId="0"/>
    <xf numFmtId="194" fontId="222" fillId="0" borderId="0">
      <alignment vertical="center"/>
    </xf>
    <xf numFmtId="194" fontId="1" fillId="0" borderId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48" fillId="0" borderId="0" applyFont="0" applyFill="0" applyBorder="0" applyAlignment="0" applyProtection="0"/>
    <xf numFmtId="166" fontId="222" fillId="0" borderId="0" applyFont="0" applyFill="0" applyBorder="0" applyAlignment="0" applyProtection="0"/>
    <xf numFmtId="166" fontId="199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48" fillId="0" borderId="0" applyFont="0" applyFill="0" applyBorder="0" applyAlignment="0" applyProtection="0"/>
    <xf numFmtId="168" fontId="222" fillId="0" borderId="0" applyFont="0" applyFill="0" applyBorder="0" applyAlignment="0" applyProtection="0"/>
    <xf numFmtId="168" fontId="199" fillId="0" borderId="0" applyFont="0" applyFill="0" applyBorder="0" applyAlignment="0" applyProtection="0"/>
    <xf numFmtId="194" fontId="248" fillId="0" borderId="0"/>
    <xf numFmtId="194" fontId="248" fillId="0" borderId="0"/>
    <xf numFmtId="194" fontId="248" fillId="0" borderId="0"/>
    <xf numFmtId="194" fontId="222" fillId="0" borderId="0"/>
    <xf numFmtId="194" fontId="248" fillId="0" borderId="0">
      <alignment vertical="center"/>
    </xf>
    <xf numFmtId="43" fontId="222" fillId="0" borderId="0" applyFont="0" applyFill="0" applyBorder="0" applyAlignment="0" applyProtection="0"/>
    <xf numFmtId="194" fontId="222" fillId="0" borderId="0"/>
    <xf numFmtId="43" fontId="222" fillId="0" borderId="0" applyFont="0" applyFill="0" applyBorder="0" applyAlignment="0" applyProtection="0"/>
    <xf numFmtId="194" fontId="222" fillId="0" borderId="0"/>
    <xf numFmtId="43" fontId="222" fillId="0" borderId="0" applyFont="0" applyFill="0" applyBorder="0" applyAlignment="0" applyProtection="0"/>
    <xf numFmtId="194" fontId="222" fillId="0" borderId="0"/>
    <xf numFmtId="194" fontId="273" fillId="0" borderId="0" applyNumberFormat="0" applyFill="0" applyBorder="0" applyAlignment="0" applyProtection="0"/>
    <xf numFmtId="0" fontId="222" fillId="0" borderId="0"/>
  </cellStyleXfs>
  <cellXfs count="635">
    <xf numFmtId="194" fontId="0" fillId="0" borderId="0" xfId="0"/>
    <xf numFmtId="194" fontId="44" fillId="0" borderId="0" xfId="0" applyFont="1"/>
    <xf numFmtId="194" fontId="42" fillId="0" borderId="0" xfId="0" applyFont="1" applyAlignment="1">
      <alignment horizontal="center" vertical="center"/>
    </xf>
    <xf numFmtId="194" fontId="42" fillId="0" borderId="0" xfId="0" applyFont="1" applyFill="1"/>
    <xf numFmtId="194" fontId="42" fillId="0" borderId="0" xfId="0" applyFont="1"/>
    <xf numFmtId="169" fontId="42" fillId="0" borderId="0" xfId="0" applyNumberFormat="1" applyFont="1"/>
    <xf numFmtId="169" fontId="42" fillId="0" borderId="44" xfId="1783" applyNumberFormat="1" applyFont="1" applyFill="1" applyBorder="1"/>
    <xf numFmtId="194" fontId="44" fillId="62" borderId="0" xfId="0" applyFont="1" applyFill="1" applyAlignment="1"/>
    <xf numFmtId="194" fontId="44" fillId="59" borderId="31" xfId="0" applyFont="1" applyFill="1" applyBorder="1" applyAlignment="1">
      <alignment horizontal="center" vertical="center"/>
    </xf>
    <xf numFmtId="194" fontId="44" fillId="59" borderId="31" xfId="0" applyFont="1" applyFill="1" applyBorder="1" applyAlignment="1">
      <alignment vertical="center"/>
    </xf>
    <xf numFmtId="194" fontId="42" fillId="69" borderId="0" xfId="0" applyFont="1" applyFill="1" applyBorder="1"/>
    <xf numFmtId="194" fontId="42" fillId="69" borderId="0" xfId="0" applyFont="1" applyFill="1"/>
    <xf numFmtId="169" fontId="42" fillId="69" borderId="0" xfId="1783" applyNumberFormat="1" applyFont="1" applyFill="1"/>
    <xf numFmtId="169" fontId="42" fillId="69" borderId="0" xfId="0" applyNumberFormat="1" applyFont="1" applyFill="1"/>
    <xf numFmtId="169" fontId="244" fillId="69" borderId="0" xfId="1783" applyNumberFormat="1" applyFont="1" applyFill="1" applyAlignment="1">
      <alignment horizontal="centerContinuous"/>
    </xf>
    <xf numFmtId="194" fontId="244" fillId="69" borderId="0" xfId="0" applyFont="1" applyFill="1" applyAlignment="1"/>
    <xf numFmtId="169" fontId="244" fillId="69" borderId="0" xfId="1783" applyNumberFormat="1" applyFont="1" applyFill="1" applyAlignment="1"/>
    <xf numFmtId="194" fontId="244" fillId="69" borderId="0" xfId="0" applyFont="1" applyFill="1" applyBorder="1"/>
    <xf numFmtId="169" fontId="42" fillId="69" borderId="0" xfId="1783" applyNumberFormat="1" applyFont="1" applyFill="1" applyBorder="1"/>
    <xf numFmtId="43" fontId="42" fillId="69" borderId="0" xfId="1783" applyFont="1" applyFill="1"/>
    <xf numFmtId="194" fontId="42" fillId="0" borderId="44" xfId="0" applyFont="1" applyFill="1" applyBorder="1"/>
    <xf numFmtId="194" fontId="42" fillId="0" borderId="44" xfId="0" applyFont="1" applyFill="1" applyBorder="1" applyAlignment="1">
      <alignment horizontal="center"/>
    </xf>
    <xf numFmtId="194" fontId="44" fillId="59" borderId="31" xfId="0" applyFont="1" applyFill="1" applyBorder="1" applyAlignment="1">
      <alignment horizontal="center" vertical="center" wrapText="1"/>
    </xf>
    <xf numFmtId="169" fontId="44" fillId="59" borderId="31" xfId="1783" applyNumberFormat="1" applyFont="1" applyFill="1" applyBorder="1" applyAlignment="1">
      <alignment horizontal="center" vertical="center" wrapText="1"/>
    </xf>
    <xf numFmtId="194" fontId="44" fillId="59" borderId="31" xfId="0" applyFont="1" applyFill="1" applyBorder="1" applyAlignment="1">
      <alignment horizontal="center" vertical="center"/>
    </xf>
    <xf numFmtId="194" fontId="245" fillId="69" borderId="0" xfId="0" applyFont="1" applyFill="1" applyAlignment="1"/>
    <xf numFmtId="169" fontId="42" fillId="64" borderId="44" xfId="1783" applyNumberFormat="1" applyFont="1" applyFill="1" applyBorder="1"/>
    <xf numFmtId="194" fontId="44" fillId="59" borderId="53" xfId="0" applyFont="1" applyFill="1" applyBorder="1"/>
    <xf numFmtId="194" fontId="44" fillId="59" borderId="53" xfId="0" applyFont="1" applyFill="1" applyBorder="1" applyAlignment="1">
      <alignment horizontal="center" wrapText="1"/>
    </xf>
    <xf numFmtId="169" fontId="42" fillId="60" borderId="44" xfId="1783" applyNumberFormat="1" applyFont="1" applyFill="1" applyBorder="1"/>
    <xf numFmtId="38" fontId="251" fillId="69" borderId="0" xfId="0" applyNumberFormat="1" applyFont="1" applyFill="1" applyBorder="1" applyAlignment="1">
      <alignment horizontal="center" vertical="center" shrinkToFit="1"/>
    </xf>
    <xf numFmtId="169" fontId="252" fillId="69" borderId="0" xfId="1783" applyNumberFormat="1" applyFont="1" applyFill="1"/>
    <xf numFmtId="194" fontId="252" fillId="69" borderId="0" xfId="0" applyFont="1" applyFill="1"/>
    <xf numFmtId="43" fontId="252" fillId="69" borderId="0" xfId="1783" applyFont="1" applyFill="1"/>
    <xf numFmtId="43" fontId="250" fillId="69" borderId="0" xfId="1783" applyFont="1" applyFill="1"/>
    <xf numFmtId="194" fontId="253" fillId="69" borderId="0" xfId="0" applyFont="1" applyFill="1"/>
    <xf numFmtId="169" fontId="253" fillId="69" borderId="0" xfId="1783" applyNumberFormat="1" applyFont="1" applyFill="1"/>
    <xf numFmtId="169" fontId="254" fillId="69" borderId="0" xfId="4132" applyNumberFormat="1" applyFont="1" applyFill="1" applyBorder="1" applyAlignment="1"/>
    <xf numFmtId="3" fontId="254" fillId="69" borderId="0" xfId="4132" applyNumberFormat="1" applyFont="1" applyFill="1" applyBorder="1" applyAlignment="1"/>
    <xf numFmtId="169" fontId="254" fillId="69" borderId="0" xfId="4132" applyNumberFormat="1" applyFont="1" applyFill="1" applyBorder="1" applyAlignment="1">
      <alignment vertical="center"/>
    </xf>
    <xf numFmtId="3" fontId="254" fillId="69" borderId="0" xfId="4132" applyNumberFormat="1" applyFont="1" applyFill="1" applyBorder="1" applyAlignment="1">
      <alignment vertical="center"/>
    </xf>
    <xf numFmtId="3" fontId="253" fillId="69" borderId="0" xfId="1783" applyNumberFormat="1" applyFont="1" applyFill="1"/>
    <xf numFmtId="169" fontId="256" fillId="69" borderId="0" xfId="1783" applyNumberFormat="1" applyFont="1" applyFill="1"/>
    <xf numFmtId="169" fontId="253" fillId="69" borderId="0" xfId="0" applyNumberFormat="1" applyFont="1" applyFill="1"/>
    <xf numFmtId="169" fontId="254" fillId="69" borderId="0" xfId="1783" applyNumberFormat="1" applyFont="1" applyFill="1"/>
    <xf numFmtId="194" fontId="254" fillId="59" borderId="15" xfId="0" applyFont="1" applyFill="1" applyBorder="1" applyAlignment="1">
      <alignment wrapText="1"/>
    </xf>
    <xf numFmtId="169" fontId="254" fillId="59" borderId="23" xfId="4132" applyNumberFormat="1" applyFont="1" applyFill="1" applyBorder="1" applyAlignment="1"/>
    <xf numFmtId="169" fontId="254" fillId="59" borderId="32" xfId="4132" applyNumberFormat="1" applyFont="1" applyFill="1" applyBorder="1" applyAlignment="1"/>
    <xf numFmtId="194" fontId="254" fillId="59" borderId="15" xfId="0" applyFont="1" applyFill="1" applyBorder="1" applyAlignment="1">
      <alignment horizontal="center" vertical="center"/>
    </xf>
    <xf numFmtId="169" fontId="254" fillId="59" borderId="23" xfId="4132" applyNumberFormat="1" applyFont="1" applyFill="1" applyBorder="1" applyAlignment="1">
      <alignment vertical="center"/>
    </xf>
    <xf numFmtId="169" fontId="254" fillId="59" borderId="32" xfId="4132" applyNumberFormat="1" applyFont="1" applyFill="1" applyBorder="1" applyAlignment="1">
      <alignment vertical="center"/>
    </xf>
    <xf numFmtId="194" fontId="254" fillId="59" borderId="10" xfId="0" applyFont="1" applyFill="1" applyBorder="1"/>
    <xf numFmtId="169" fontId="254" fillId="59" borderId="10" xfId="4132" applyNumberFormat="1" applyFont="1" applyFill="1" applyBorder="1"/>
    <xf numFmtId="169" fontId="254" fillId="59" borderId="10" xfId="4132" applyNumberFormat="1" applyFont="1" applyFill="1" applyBorder="1" applyAlignment="1">
      <alignment vertical="center"/>
    </xf>
    <xf numFmtId="3" fontId="254" fillId="59" borderId="10" xfId="4132" applyNumberFormat="1" applyFont="1" applyFill="1" applyBorder="1"/>
    <xf numFmtId="169" fontId="254" fillId="59" borderId="10" xfId="1783" applyNumberFormat="1" applyFont="1" applyFill="1" applyBorder="1"/>
    <xf numFmtId="194" fontId="253" fillId="69" borderId="0" xfId="0" applyFont="1" applyFill="1" applyAlignment="1">
      <alignment horizontal="left" indent="1"/>
    </xf>
    <xf numFmtId="194" fontId="253" fillId="0" borderId="44" xfId="0" applyFont="1" applyFill="1" applyBorder="1"/>
    <xf numFmtId="169" fontId="253" fillId="0" borderId="44" xfId="1783" applyNumberFormat="1" applyFont="1" applyFill="1" applyBorder="1"/>
    <xf numFmtId="169" fontId="253" fillId="0" borderId="44" xfId="4144" applyNumberFormat="1" applyFont="1" applyFill="1" applyBorder="1"/>
    <xf numFmtId="169" fontId="253" fillId="0" borderId="44" xfId="4132" applyNumberFormat="1" applyFont="1" applyFill="1" applyBorder="1"/>
    <xf numFmtId="169" fontId="253" fillId="0" borderId="44" xfId="3568" applyNumberFormat="1" applyFont="1" applyFill="1" applyBorder="1"/>
    <xf numFmtId="43" fontId="253" fillId="69" borderId="0" xfId="1783" applyFont="1" applyFill="1"/>
    <xf numFmtId="169" fontId="253" fillId="64" borderId="0" xfId="1783" applyNumberFormat="1" applyFont="1" applyFill="1"/>
    <xf numFmtId="169" fontId="253" fillId="66" borderId="0" xfId="1783" applyNumberFormat="1" applyFont="1" applyFill="1"/>
    <xf numFmtId="194" fontId="253" fillId="66" borderId="0" xfId="0" applyFont="1" applyFill="1"/>
    <xf numFmtId="3" fontId="253" fillId="66" borderId="0" xfId="1783" applyNumberFormat="1" applyFont="1" applyFill="1"/>
    <xf numFmtId="194" fontId="257" fillId="69" borderId="0" xfId="0" applyFont="1" applyFill="1"/>
    <xf numFmtId="194" fontId="258" fillId="69" borderId="0" xfId="0" applyFont="1" applyFill="1"/>
    <xf numFmtId="194" fontId="258" fillId="69" borderId="0" xfId="0" applyFont="1" applyFill="1" applyAlignment="1">
      <alignment horizontal="left"/>
    </xf>
    <xf numFmtId="169" fontId="258" fillId="69" borderId="0" xfId="1783" applyNumberFormat="1" applyFont="1" applyFill="1"/>
    <xf numFmtId="43" fontId="258" fillId="69" borderId="0" xfId="1783" applyFont="1" applyFill="1"/>
    <xf numFmtId="194" fontId="257" fillId="69" borderId="0" xfId="0" applyFont="1" applyFill="1" applyAlignment="1">
      <alignment horizontal="left"/>
    </xf>
    <xf numFmtId="169" fontId="257" fillId="69" borderId="0" xfId="1783" applyNumberFormat="1" applyFont="1" applyFill="1"/>
    <xf numFmtId="43" fontId="257" fillId="59" borderId="15" xfId="1783" applyFont="1" applyFill="1" applyBorder="1" applyAlignment="1">
      <alignment horizontal="center" wrapText="1"/>
    </xf>
    <xf numFmtId="169" fontId="257" fillId="59" borderId="15" xfId="1783" applyNumberFormat="1" applyFont="1" applyFill="1" applyBorder="1" applyAlignment="1">
      <alignment horizontal="center" wrapText="1"/>
    </xf>
    <xf numFmtId="43" fontId="257" fillId="59" borderId="10" xfId="1783" applyFont="1" applyFill="1" applyBorder="1" applyAlignment="1">
      <alignment horizontal="center" wrapText="1"/>
    </xf>
    <xf numFmtId="169" fontId="257" fillId="59" borderId="10" xfId="1783" applyNumberFormat="1" applyFont="1" applyFill="1" applyBorder="1" applyAlignment="1">
      <alignment horizontal="center" wrapText="1"/>
    </xf>
    <xf numFmtId="43" fontId="258" fillId="69" borderId="0" xfId="1783" applyFont="1" applyFill="1" applyAlignment="1">
      <alignment horizontal="center" vertical="center"/>
    </xf>
    <xf numFmtId="4" fontId="42" fillId="0" borderId="44" xfId="0" applyNumberFormat="1" applyFont="1" applyFill="1" applyBorder="1" applyAlignment="1">
      <alignment horizontal="center" vertical="center"/>
    </xf>
    <xf numFmtId="169" fontId="42" fillId="0" borderId="44" xfId="1783" applyNumberFormat="1" applyFont="1" applyFill="1" applyBorder="1" applyAlignment="1">
      <alignment horizontal="center" vertical="center"/>
    </xf>
    <xf numFmtId="169" fontId="42" fillId="0" borderId="44" xfId="1783" applyNumberFormat="1" applyFont="1" applyFill="1" applyBorder="1" applyAlignment="1">
      <alignment horizontal="center" vertical="center" wrapText="1"/>
    </xf>
    <xf numFmtId="169" fontId="42" fillId="70" borderId="44" xfId="1783" applyNumberFormat="1" applyFont="1" applyFill="1" applyBorder="1"/>
    <xf numFmtId="194" fontId="260" fillId="65" borderId="0" xfId="0" applyFont="1" applyFill="1" applyAlignment="1">
      <alignment horizontal="center"/>
    </xf>
    <xf numFmtId="43" fontId="261" fillId="65" borderId="0" xfId="1783" applyNumberFormat="1" applyFont="1" applyFill="1" applyAlignment="1">
      <alignment horizontal="left"/>
    </xf>
    <xf numFmtId="169" fontId="261" fillId="65" borderId="0" xfId="1783" applyNumberFormat="1" applyFont="1" applyFill="1"/>
    <xf numFmtId="194" fontId="261" fillId="65" borderId="0" xfId="0" applyFont="1" applyFill="1"/>
    <xf numFmtId="194" fontId="261" fillId="69" borderId="0" xfId="0" applyFont="1" applyFill="1" applyBorder="1"/>
    <xf numFmtId="194" fontId="262" fillId="65" borderId="0" xfId="0" applyFont="1" applyFill="1" applyAlignment="1">
      <alignment horizontal="left"/>
    </xf>
    <xf numFmtId="194" fontId="262" fillId="65" borderId="0" xfId="0" applyFont="1" applyFill="1" applyAlignment="1">
      <alignment horizontal="left" wrapText="1"/>
    </xf>
    <xf numFmtId="43" fontId="262" fillId="65" borderId="0" xfId="1783" applyNumberFormat="1" applyFont="1" applyFill="1" applyAlignment="1">
      <alignment horizontal="left" wrapText="1"/>
    </xf>
    <xf numFmtId="169" fontId="262" fillId="65" borderId="0" xfId="0" applyNumberFormat="1" applyFont="1" applyFill="1" applyAlignment="1">
      <alignment horizontal="left" wrapText="1"/>
    </xf>
    <xf numFmtId="194" fontId="263" fillId="65" borderId="0" xfId="0" applyFont="1" applyFill="1"/>
    <xf numFmtId="194" fontId="263" fillId="65" borderId="0" xfId="0" applyFont="1" applyFill="1" applyAlignment="1">
      <alignment vertical="center" wrapText="1"/>
    </xf>
    <xf numFmtId="43" fontId="263" fillId="65" borderId="0" xfId="1783" applyNumberFormat="1" applyFont="1" applyFill="1" applyAlignment="1">
      <alignment vertical="center" wrapText="1"/>
    </xf>
    <xf numFmtId="169" fontId="263" fillId="65" borderId="0" xfId="0" applyNumberFormat="1" applyFont="1" applyFill="1" applyAlignment="1">
      <alignment vertical="center" wrapText="1"/>
    </xf>
    <xf numFmtId="194" fontId="261" fillId="65" borderId="0" xfId="0" applyFont="1" applyFill="1" applyAlignment="1"/>
    <xf numFmtId="43" fontId="261" fillId="65" borderId="0" xfId="1783" applyNumberFormat="1" applyFont="1" applyFill="1" applyAlignment="1"/>
    <xf numFmtId="169" fontId="261" fillId="65" borderId="0" xfId="0" applyNumberFormat="1" applyFont="1" applyFill="1" applyAlignment="1"/>
    <xf numFmtId="194" fontId="264" fillId="65" borderId="0" xfId="0" applyFont="1" applyFill="1" applyAlignment="1"/>
    <xf numFmtId="43" fontId="260" fillId="65" borderId="0" xfId="1783" applyNumberFormat="1" applyFont="1" applyFill="1" applyAlignment="1">
      <alignment horizontal="left"/>
    </xf>
    <xf numFmtId="169" fontId="264" fillId="65" borderId="0" xfId="1783" applyNumberFormat="1" applyFont="1" applyFill="1"/>
    <xf numFmtId="43" fontId="260" fillId="67" borderId="10" xfId="1783" applyNumberFormat="1" applyFont="1" applyFill="1" applyBorder="1" applyAlignment="1">
      <alignment horizontal="center" vertical="center" wrapText="1"/>
    </xf>
    <xf numFmtId="43" fontId="260" fillId="67" borderId="25" xfId="1783" applyNumberFormat="1" applyFont="1" applyFill="1" applyBorder="1" applyAlignment="1">
      <alignment horizontal="center" vertical="center" wrapText="1"/>
    </xf>
    <xf numFmtId="194" fontId="260" fillId="67" borderId="25" xfId="0" applyFont="1" applyFill="1" applyBorder="1" applyAlignment="1">
      <alignment horizontal="center" vertical="center" wrapText="1"/>
    </xf>
    <xf numFmtId="194" fontId="260" fillId="67" borderId="10" xfId="0" applyFont="1" applyFill="1" applyBorder="1" applyAlignment="1">
      <alignment horizontal="center" vertical="center" wrapText="1"/>
    </xf>
    <xf numFmtId="169" fontId="260" fillId="67" borderId="10" xfId="1783" applyNumberFormat="1" applyFont="1" applyFill="1" applyBorder="1" applyAlignment="1">
      <alignment horizontal="center" vertical="center" wrapText="1"/>
    </xf>
    <xf numFmtId="43" fontId="260" fillId="67" borderId="9" xfId="1783" applyNumberFormat="1" applyFont="1" applyFill="1" applyBorder="1" applyAlignment="1">
      <alignment horizontal="center" vertical="center" wrapText="1"/>
    </xf>
    <xf numFmtId="194" fontId="260" fillId="67" borderId="15" xfId="0" applyFont="1" applyFill="1" applyBorder="1" applyAlignment="1">
      <alignment horizontal="center" vertical="center" wrapText="1"/>
    </xf>
    <xf numFmtId="194" fontId="260" fillId="67" borderId="9" xfId="0" applyFont="1" applyFill="1" applyBorder="1" applyAlignment="1">
      <alignment horizontal="center" vertical="center" wrapText="1"/>
    </xf>
    <xf numFmtId="169" fontId="260" fillId="67" borderId="9" xfId="1783" applyNumberFormat="1" applyFont="1" applyFill="1" applyBorder="1" applyAlignment="1">
      <alignment horizontal="center" vertical="center" wrapText="1"/>
    </xf>
    <xf numFmtId="194" fontId="260" fillId="67" borderId="15" xfId="0" applyFont="1" applyFill="1" applyBorder="1" applyAlignment="1">
      <alignment horizontal="center" vertical="center"/>
    </xf>
    <xf numFmtId="169" fontId="261" fillId="0" borderId="44" xfId="4132" applyNumberFormat="1" applyFont="1" applyFill="1" applyBorder="1"/>
    <xf numFmtId="169" fontId="261" fillId="69" borderId="0" xfId="1783" applyNumberFormat="1" applyFont="1" applyFill="1" applyBorder="1"/>
    <xf numFmtId="169" fontId="261" fillId="70" borderId="45" xfId="1783" applyNumberFormat="1" applyFont="1" applyFill="1" applyBorder="1" applyAlignment="1"/>
    <xf numFmtId="194" fontId="260" fillId="69" borderId="0" xfId="0" applyFont="1" applyFill="1" applyBorder="1" applyAlignment="1">
      <alignment horizontal="center"/>
    </xf>
    <xf numFmtId="43" fontId="261" fillId="69" borderId="0" xfId="1783" applyNumberFormat="1" applyFont="1" applyFill="1" applyBorder="1" applyAlignment="1">
      <alignment horizontal="left"/>
    </xf>
    <xf numFmtId="194" fontId="261" fillId="69" borderId="0" xfId="0" applyFont="1" applyFill="1"/>
    <xf numFmtId="194" fontId="260" fillId="69" borderId="0" xfId="0" applyFont="1" applyFill="1" applyAlignment="1">
      <alignment horizontal="center"/>
    </xf>
    <xf numFmtId="43" fontId="261" fillId="69" borderId="0" xfId="1783" applyNumberFormat="1" applyFont="1" applyFill="1" applyAlignment="1">
      <alignment horizontal="left"/>
    </xf>
    <xf numFmtId="169" fontId="261" fillId="69" borderId="0" xfId="1783" applyNumberFormat="1" applyFont="1" applyFill="1"/>
    <xf numFmtId="49" fontId="265" fillId="0" borderId="0" xfId="0" applyNumberFormat="1" applyFont="1" applyFill="1"/>
    <xf numFmtId="169" fontId="266" fillId="0" borderId="0" xfId="1783" applyNumberFormat="1" applyFont="1"/>
    <xf numFmtId="43" fontId="266" fillId="0" borderId="0" xfId="1783" applyFont="1"/>
    <xf numFmtId="194" fontId="267" fillId="0" borderId="0" xfId="0" applyFont="1"/>
    <xf numFmtId="43" fontId="267" fillId="0" borderId="0" xfId="1783" applyFont="1"/>
    <xf numFmtId="43" fontId="265" fillId="0" borderId="0" xfId="1783" applyFont="1" applyAlignment="1">
      <alignment horizontal="center"/>
    </xf>
    <xf numFmtId="169" fontId="265" fillId="0" borderId="0" xfId="1783" applyNumberFormat="1" applyFont="1" applyFill="1" applyAlignment="1">
      <alignment horizontal="center"/>
    </xf>
    <xf numFmtId="44" fontId="265" fillId="0" borderId="0" xfId="34641" applyFont="1" applyAlignment="1">
      <alignment horizontal="center"/>
    </xf>
    <xf numFmtId="169" fontId="265" fillId="0" borderId="0" xfId="1783" applyNumberFormat="1" applyFont="1" applyAlignment="1">
      <alignment horizontal="center"/>
    </xf>
    <xf numFmtId="43" fontId="265" fillId="0" borderId="0" xfId="1783" applyFont="1" applyAlignment="1">
      <alignment horizontal="left"/>
    </xf>
    <xf numFmtId="169" fontId="267" fillId="0" borderId="0" xfId="0" applyNumberFormat="1" applyFont="1"/>
    <xf numFmtId="169" fontId="265" fillId="0" borderId="0" xfId="1783" applyNumberFormat="1" applyFont="1"/>
    <xf numFmtId="43" fontId="267" fillId="0" borderId="0" xfId="0" applyNumberFormat="1" applyFont="1"/>
    <xf numFmtId="43" fontId="268" fillId="0" borderId="0" xfId="1783" applyFont="1" applyAlignment="1">
      <alignment horizontal="right"/>
    </xf>
    <xf numFmtId="169" fontId="268" fillId="0" borderId="41" xfId="1783" applyNumberFormat="1" applyFont="1" applyBorder="1"/>
    <xf numFmtId="169" fontId="267" fillId="64" borderId="0" xfId="1783" applyNumberFormat="1" applyFont="1" applyFill="1" applyBorder="1"/>
    <xf numFmtId="194" fontId="269" fillId="0" borderId="0" xfId="0" applyFont="1"/>
    <xf numFmtId="194" fontId="270" fillId="0" borderId="0" xfId="0" applyFont="1"/>
    <xf numFmtId="194" fontId="267" fillId="0" borderId="33" xfId="0" applyFont="1" applyBorder="1"/>
    <xf numFmtId="194" fontId="267" fillId="0" borderId="0" xfId="0" applyFont="1" applyAlignment="1">
      <alignment horizontal="right"/>
    </xf>
    <xf numFmtId="169" fontId="271" fillId="0" borderId="0" xfId="1783" applyNumberFormat="1" applyFont="1"/>
    <xf numFmtId="169" fontId="267" fillId="0" borderId="42" xfId="1783" applyNumberFormat="1" applyFont="1" applyBorder="1"/>
    <xf numFmtId="169" fontId="267" fillId="0" borderId="0" xfId="1783" applyNumberFormat="1" applyFont="1" applyAlignment="1">
      <alignment horizontal="right"/>
    </xf>
    <xf numFmtId="169" fontId="267" fillId="0" borderId="0" xfId="1783" applyNumberFormat="1" applyFont="1"/>
    <xf numFmtId="169" fontId="267" fillId="0" borderId="14" xfId="1783" applyNumberFormat="1" applyFont="1" applyBorder="1" applyAlignment="1">
      <alignment horizontal="right"/>
    </xf>
    <xf numFmtId="169" fontId="267" fillId="0" borderId="14" xfId="1783" applyNumberFormat="1" applyFont="1" applyBorder="1"/>
    <xf numFmtId="169" fontId="270" fillId="0" borderId="41" xfId="1783" applyNumberFormat="1" applyFont="1" applyBorder="1"/>
    <xf numFmtId="169" fontId="270" fillId="0" borderId="43" xfId="1783" applyNumberFormat="1" applyFont="1" applyBorder="1"/>
    <xf numFmtId="169" fontId="270" fillId="0" borderId="0" xfId="1783" applyNumberFormat="1" applyFont="1" applyAlignment="1">
      <alignment horizontal="right"/>
    </xf>
    <xf numFmtId="169" fontId="270" fillId="0" borderId="0" xfId="1783" applyNumberFormat="1" applyFont="1"/>
    <xf numFmtId="169" fontId="270" fillId="0" borderId="42" xfId="1783" applyNumberFormat="1" applyFont="1" applyBorder="1"/>
    <xf numFmtId="169" fontId="272" fillId="0" borderId="0" xfId="1783" applyNumberFormat="1" applyFont="1"/>
    <xf numFmtId="169" fontId="272" fillId="0" borderId="42" xfId="1783" applyNumberFormat="1" applyFont="1" applyBorder="1"/>
    <xf numFmtId="169" fontId="272" fillId="0" borderId="0" xfId="1783" applyNumberFormat="1" applyFont="1" applyBorder="1"/>
    <xf numFmtId="169" fontId="267" fillId="0" borderId="0" xfId="1783" applyNumberFormat="1" applyFont="1" applyBorder="1" applyAlignment="1">
      <alignment horizontal="right"/>
    </xf>
    <xf numFmtId="169" fontId="267" fillId="0" borderId="0" xfId="1783" applyNumberFormat="1" applyFont="1" applyBorder="1"/>
    <xf numFmtId="194" fontId="267" fillId="0" borderId="0" xfId="0" applyFont="1" applyBorder="1"/>
    <xf numFmtId="169" fontId="267" fillId="0" borderId="0" xfId="0" applyNumberFormat="1" applyFont="1" applyBorder="1"/>
    <xf numFmtId="169" fontId="267" fillId="0" borderId="42" xfId="1783" applyNumberFormat="1" applyFont="1" applyBorder="1" applyAlignment="1"/>
    <xf numFmtId="169" fontId="270" fillId="0" borderId="43" xfId="1783" applyNumberFormat="1" applyFont="1" applyBorder="1" applyAlignment="1"/>
    <xf numFmtId="169" fontId="270" fillId="0" borderId="42" xfId="1783" applyNumberFormat="1" applyFont="1" applyBorder="1" applyAlignment="1"/>
    <xf numFmtId="194" fontId="42" fillId="61" borderId="0" xfId="0" applyFont="1" applyFill="1" applyAlignment="1">
      <alignment horizontal="center" vertical="center"/>
    </xf>
    <xf numFmtId="194" fontId="42" fillId="69" borderId="0" xfId="0" applyFont="1" applyFill="1" applyAlignment="1">
      <alignment horizontal="center" vertical="center"/>
    </xf>
    <xf numFmtId="169" fontId="44" fillId="59" borderId="60" xfId="1783" applyNumberFormat="1" applyFont="1" applyFill="1" applyBorder="1" applyAlignment="1">
      <alignment horizontal="center" vertical="center"/>
    </xf>
    <xf numFmtId="169" fontId="0" fillId="0" borderId="0" xfId="0" applyNumberFormat="1" applyFill="1"/>
    <xf numFmtId="169" fontId="44" fillId="69" borderId="0" xfId="0" applyNumberFormat="1" applyFont="1" applyFill="1"/>
    <xf numFmtId="169" fontId="42" fillId="0" borderId="44" xfId="4132" applyNumberFormat="1" applyFont="1" applyFill="1" applyBorder="1"/>
    <xf numFmtId="194" fontId="261" fillId="65" borderId="0" xfId="0" applyFont="1" applyFill="1" applyAlignment="1">
      <alignment horizontal="right"/>
    </xf>
    <xf numFmtId="194" fontId="0" fillId="0" borderId="0" xfId="0" applyFill="1"/>
    <xf numFmtId="169" fontId="189" fillId="0" borderId="0" xfId="1783" applyNumberFormat="1" applyFont="1" applyAlignment="1">
      <alignment horizontal="center"/>
    </xf>
    <xf numFmtId="43" fontId="189" fillId="0" borderId="0" xfId="1783" applyFont="1"/>
    <xf numFmtId="169" fontId="38" fillId="0" borderId="0" xfId="36609" applyNumberFormat="1" applyFont="1"/>
    <xf numFmtId="169" fontId="42" fillId="0" borderId="0" xfId="1783" applyNumberFormat="1" applyFont="1"/>
    <xf numFmtId="1" fontId="42" fillId="0" borderId="44" xfId="8322" applyNumberFormat="1" applyFont="1" applyFill="1" applyBorder="1" applyAlignment="1">
      <alignment horizontal="center" vertical="center"/>
    </xf>
    <xf numFmtId="164" fontId="259" fillId="65" borderId="0" xfId="0" applyNumberFormat="1" applyFont="1" applyFill="1" applyAlignment="1">
      <alignment horizontal="left" wrapText="1"/>
    </xf>
    <xf numFmtId="169" fontId="42" fillId="71" borderId="0" xfId="0" applyNumberFormat="1" applyFont="1" applyFill="1" applyBorder="1" applyAlignment="1">
      <alignment horizontal="center"/>
    </xf>
    <xf numFmtId="194" fontId="42" fillId="71" borderId="0" xfId="0" applyFont="1" applyFill="1" applyBorder="1"/>
    <xf numFmtId="169" fontId="44" fillId="69" borderId="0" xfId="1783" applyNumberFormat="1" applyFont="1" applyFill="1"/>
    <xf numFmtId="194" fontId="44" fillId="69" borderId="0" xfId="0" applyFont="1" applyFill="1" applyAlignment="1">
      <alignment horizontal="center" vertical="center"/>
    </xf>
    <xf numFmtId="1" fontId="44" fillId="69" borderId="0" xfId="0" applyNumberFormat="1" applyFont="1" applyFill="1" applyAlignment="1">
      <alignment horizontal="center" vertical="center"/>
    </xf>
    <xf numFmtId="194" fontId="44" fillId="69" borderId="0" xfId="0" applyFont="1" applyFill="1"/>
    <xf numFmtId="43" fontId="44" fillId="69" borderId="0" xfId="1783" applyFont="1" applyFill="1"/>
    <xf numFmtId="194" fontId="44" fillId="71" borderId="0" xfId="0" applyFont="1" applyFill="1" applyBorder="1"/>
    <xf numFmtId="169" fontId="44" fillId="69" borderId="0" xfId="1783" applyNumberFormat="1" applyFont="1" applyFill="1" applyAlignment="1"/>
    <xf numFmtId="43" fontId="44" fillId="69" borderId="0" xfId="1783" applyFont="1" applyFill="1" applyAlignment="1"/>
    <xf numFmtId="1" fontId="42" fillId="69" borderId="0" xfId="0" applyNumberFormat="1" applyFont="1" applyFill="1" applyBorder="1" applyAlignment="1">
      <alignment horizontal="center" vertical="center"/>
    </xf>
    <xf numFmtId="169" fontId="42" fillId="69" borderId="0" xfId="1783" applyNumberFormat="1" applyFont="1" applyFill="1" applyBorder="1" applyAlignment="1">
      <alignment horizontal="left"/>
    </xf>
    <xf numFmtId="43" fontId="42" fillId="69" borderId="0" xfId="1783" applyFont="1" applyFill="1" applyBorder="1" applyAlignment="1">
      <alignment horizontal="left"/>
    </xf>
    <xf numFmtId="194" fontId="42" fillId="69" borderId="0" xfId="0" applyFont="1" applyFill="1" applyBorder="1" applyAlignment="1">
      <alignment horizontal="left"/>
    </xf>
    <xf numFmtId="169" fontId="42" fillId="69" borderId="0" xfId="0" applyNumberFormat="1" applyFont="1" applyFill="1" applyBorder="1" applyAlignment="1">
      <alignment horizontal="left"/>
    </xf>
    <xf numFmtId="194" fontId="42" fillId="69" borderId="0" xfId="0" applyFont="1" applyFill="1" applyAlignment="1">
      <alignment horizontal="center" wrapText="1"/>
    </xf>
    <xf numFmtId="169" fontId="42" fillId="69" borderId="0" xfId="1783" applyNumberFormat="1" applyFont="1" applyFill="1" applyAlignment="1">
      <alignment horizontal="center" vertical="center"/>
    </xf>
    <xf numFmtId="194" fontId="42" fillId="69" borderId="0" xfId="0" applyFont="1" applyFill="1" applyAlignment="1">
      <alignment wrapText="1"/>
    </xf>
    <xf numFmtId="1" fontId="42" fillId="69" borderId="0" xfId="1783" applyNumberFormat="1" applyFont="1" applyFill="1" applyBorder="1" applyAlignment="1">
      <alignment horizontal="center" vertical="center"/>
    </xf>
    <xf numFmtId="169" fontId="42" fillId="71" borderId="0" xfId="1783" applyNumberFormat="1" applyFont="1" applyFill="1" applyBorder="1" applyAlignment="1">
      <alignment horizontal="left"/>
    </xf>
    <xf numFmtId="169" fontId="42" fillId="71" borderId="0" xfId="1783" applyNumberFormat="1" applyFont="1" applyFill="1" applyBorder="1"/>
    <xf numFmtId="4" fontId="44" fillId="67" borderId="31" xfId="0" applyNumberFormat="1" applyFont="1" applyFill="1" applyBorder="1" applyAlignment="1">
      <alignment horizontal="center" vertical="center" wrapText="1"/>
    </xf>
    <xf numFmtId="194" fontId="42" fillId="71" borderId="0" xfId="0" applyFont="1" applyFill="1" applyBorder="1" applyAlignment="1"/>
    <xf numFmtId="169" fontId="42" fillId="64" borderId="44" xfId="1783" applyNumberFormat="1" applyFont="1" applyFill="1" applyBorder="1" applyAlignment="1">
      <alignment vertical="center"/>
    </xf>
    <xf numFmtId="194" fontId="42" fillId="64" borderId="44" xfId="0" applyFont="1" applyFill="1" applyBorder="1" applyAlignment="1">
      <alignment vertical="center"/>
    </xf>
    <xf numFmtId="169" fontId="42" fillId="64" borderId="44" xfId="1783" applyNumberFormat="1" applyFont="1" applyFill="1" applyBorder="1" applyAlignment="1">
      <alignment horizontal="center" vertical="center"/>
    </xf>
    <xf numFmtId="169" fontId="42" fillId="69" borderId="0" xfId="1783" applyNumberFormat="1" applyFont="1" applyFill="1" applyBorder="1" applyAlignment="1">
      <alignment horizontal="center" vertical="center"/>
    </xf>
    <xf numFmtId="169" fontId="42" fillId="69" borderId="0" xfId="1783" applyNumberFormat="1" applyFont="1" applyFill="1" applyBorder="1" applyAlignment="1">
      <alignment horizontal="center" vertical="center" wrapText="1"/>
    </xf>
    <xf numFmtId="169" fontId="42" fillId="69" borderId="0" xfId="0" applyNumberFormat="1" applyFont="1" applyFill="1" applyAlignment="1"/>
    <xf numFmtId="1" fontId="42" fillId="69" borderId="0" xfId="0" applyNumberFormat="1" applyFont="1" applyFill="1" applyAlignment="1">
      <alignment horizontal="center" vertical="center"/>
    </xf>
    <xf numFmtId="194" fontId="42" fillId="69" borderId="0" xfId="0" applyFont="1" applyFill="1" applyAlignment="1">
      <alignment horizontal="left"/>
    </xf>
    <xf numFmtId="194" fontId="42" fillId="71" borderId="0" xfId="0" applyFont="1" applyFill="1"/>
    <xf numFmtId="169" fontId="42" fillId="0" borderId="0" xfId="0" applyNumberFormat="1" applyFont="1" applyFill="1"/>
    <xf numFmtId="169" fontId="42" fillId="0" borderId="44" xfId="1783" quotePrefix="1" applyNumberFormat="1" applyFont="1" applyFill="1" applyBorder="1" applyAlignment="1" applyProtection="1">
      <alignment horizontal="left" vertical="center"/>
      <protection locked="0"/>
    </xf>
    <xf numFmtId="194" fontId="42" fillId="71" borderId="0" xfId="0" applyFont="1" applyFill="1" applyAlignment="1">
      <alignment horizontal="center" vertical="center"/>
    </xf>
    <xf numFmtId="194" fontId="0" fillId="71" borderId="0" xfId="0" applyFill="1"/>
    <xf numFmtId="43" fontId="42" fillId="0" borderId="44" xfId="1783" applyNumberFormat="1" applyFont="1" applyFill="1" applyBorder="1" applyAlignment="1">
      <alignment horizontal="left"/>
    </xf>
    <xf numFmtId="194" fontId="244" fillId="69" borderId="0" xfId="0" applyFont="1" applyFill="1" applyAlignment="1">
      <alignment horizontal="center"/>
    </xf>
    <xf numFmtId="169" fontId="244" fillId="69" borderId="0" xfId="1783" applyNumberFormat="1" applyFont="1" applyFill="1" applyBorder="1" applyAlignment="1">
      <alignment horizontal="center"/>
    </xf>
    <xf numFmtId="194" fontId="244" fillId="69" borderId="0" xfId="0" applyFont="1" applyFill="1" applyBorder="1" applyAlignment="1">
      <alignment horizontal="center"/>
    </xf>
    <xf numFmtId="169" fontId="244" fillId="69" borderId="0" xfId="0" applyNumberFormat="1" applyFont="1" applyFill="1" applyAlignment="1">
      <alignment horizontal="center"/>
    </xf>
    <xf numFmtId="4" fontId="244" fillId="69" borderId="0" xfId="1783" applyNumberFormat="1" applyFont="1" applyFill="1" applyAlignment="1">
      <alignment horizontal="center"/>
    </xf>
    <xf numFmtId="169" fontId="244" fillId="69" borderId="0" xfId="1783" applyNumberFormat="1" applyFont="1" applyFill="1" applyAlignment="1">
      <alignment horizontal="center"/>
    </xf>
    <xf numFmtId="43" fontId="42" fillId="69" borderId="0" xfId="1783" applyFont="1" applyFill="1" applyAlignment="1"/>
    <xf numFmtId="169" fontId="44" fillId="69" borderId="0" xfId="1783" applyNumberFormat="1" applyFont="1" applyFill="1" applyBorder="1" applyAlignment="1">
      <alignment vertical="center" wrapText="1"/>
    </xf>
    <xf numFmtId="43" fontId="44" fillId="59" borderId="31" xfId="1783" applyFont="1" applyFill="1" applyBorder="1" applyAlignment="1">
      <alignment horizontal="center" vertical="center"/>
    </xf>
    <xf numFmtId="1" fontId="257" fillId="69" borderId="0" xfId="0" applyNumberFormat="1" applyFont="1" applyFill="1"/>
    <xf numFmtId="1" fontId="258" fillId="69" borderId="0" xfId="0" applyNumberFormat="1" applyFont="1" applyFill="1"/>
    <xf numFmtId="1" fontId="258" fillId="0" borderId="54" xfId="0" applyNumberFormat="1" applyFont="1" applyBorder="1" applyAlignment="1">
      <alignment horizontal="center"/>
    </xf>
    <xf numFmtId="1" fontId="258" fillId="0" borderId="55" xfId="0" applyNumberFormat="1" applyFont="1" applyBorder="1" applyAlignment="1">
      <alignment horizontal="center"/>
    </xf>
    <xf numFmtId="1" fontId="258" fillId="0" borderId="55" xfId="1783" applyNumberFormat="1" applyFont="1" applyBorder="1" applyAlignment="1">
      <alignment horizontal="center"/>
    </xf>
    <xf numFmtId="1" fontId="258" fillId="0" borderId="58" xfId="0" applyNumberFormat="1" applyFont="1" applyBorder="1" applyAlignment="1">
      <alignment horizontal="center"/>
    </xf>
    <xf numFmtId="1" fontId="258" fillId="0" borderId="44" xfId="0" applyNumberFormat="1" applyFont="1" applyFill="1" applyBorder="1" applyAlignment="1">
      <alignment horizontal="center"/>
    </xf>
    <xf numFmtId="1" fontId="258" fillId="69" borderId="0" xfId="1783" applyNumberFormat="1" applyFont="1" applyFill="1"/>
    <xf numFmtId="1" fontId="260" fillId="65" borderId="0" xfId="0" applyNumberFormat="1" applyFont="1" applyFill="1"/>
    <xf numFmtId="1" fontId="261" fillId="65" borderId="0" xfId="0" applyNumberFormat="1" applyFont="1" applyFill="1" applyAlignment="1">
      <alignment horizontal="center"/>
    </xf>
    <xf numFmtId="1" fontId="261" fillId="65" borderId="0" xfId="0" applyNumberFormat="1" applyFont="1" applyFill="1"/>
    <xf numFmtId="1" fontId="262" fillId="65" borderId="0" xfId="0" applyNumberFormat="1" applyFont="1" applyFill="1" applyAlignment="1">
      <alignment horizontal="left"/>
    </xf>
    <xf numFmtId="1" fontId="262" fillId="65" borderId="0" xfId="0" applyNumberFormat="1" applyFont="1" applyFill="1" applyAlignment="1">
      <alignment horizontal="left" wrapText="1"/>
    </xf>
    <xf numFmtId="1" fontId="263" fillId="65" borderId="0" xfId="0" applyNumberFormat="1" applyFont="1" applyFill="1" applyAlignment="1">
      <alignment horizontal="left" vertical="center"/>
    </xf>
    <xf numFmtId="1" fontId="263" fillId="65" borderId="0" xfId="0" applyNumberFormat="1" applyFont="1" applyFill="1" applyAlignment="1">
      <alignment horizontal="center" vertical="center" wrapText="1"/>
    </xf>
    <xf numFmtId="1" fontId="261" fillId="65" borderId="0" xfId="0" applyNumberFormat="1" applyFont="1" applyFill="1" applyAlignment="1"/>
    <xf numFmtId="1" fontId="260" fillId="68" borderId="54" xfId="0" applyNumberFormat="1" applyFont="1" applyFill="1" applyBorder="1" applyAlignment="1">
      <alignment horizontal="center" vertical="center"/>
    </xf>
    <xf numFmtId="1" fontId="260" fillId="68" borderId="55" xfId="0" applyNumberFormat="1" applyFont="1" applyFill="1" applyBorder="1" applyAlignment="1">
      <alignment horizontal="center" vertical="center"/>
    </xf>
    <xf numFmtId="1" fontId="42" fillId="0" borderId="44" xfId="0" applyNumberFormat="1" applyFont="1" applyFill="1" applyBorder="1" applyAlignment="1">
      <alignment horizontal="center"/>
    </xf>
    <xf numFmtId="1" fontId="261" fillId="70" borderId="45" xfId="1783" applyNumberFormat="1" applyFont="1" applyFill="1" applyBorder="1" applyAlignment="1"/>
    <xf numFmtId="1" fontId="261" fillId="0" borderId="0" xfId="0" applyNumberFormat="1" applyFont="1" applyFill="1" applyBorder="1"/>
    <xf numFmtId="1" fontId="261" fillId="69" borderId="0" xfId="0" applyNumberFormat="1" applyFont="1" applyFill="1" applyBorder="1" applyAlignment="1">
      <alignment horizontal="center"/>
    </xf>
    <xf numFmtId="1" fontId="261" fillId="69" borderId="0" xfId="0" applyNumberFormat="1" applyFont="1" applyFill="1"/>
    <xf numFmtId="1" fontId="261" fillId="69" borderId="0" xfId="0" applyNumberFormat="1" applyFont="1" applyFill="1" applyAlignment="1">
      <alignment horizontal="center"/>
    </xf>
    <xf numFmtId="1" fontId="260" fillId="68" borderId="55" xfId="1783" applyNumberFormat="1" applyFont="1" applyFill="1" applyBorder="1" applyAlignment="1">
      <alignment horizontal="center" vertical="center"/>
    </xf>
    <xf numFmtId="1" fontId="260" fillId="68" borderId="56" xfId="0" applyNumberFormat="1" applyFont="1" applyFill="1" applyBorder="1" applyAlignment="1">
      <alignment horizontal="center" vertical="center"/>
    </xf>
    <xf numFmtId="1" fontId="254" fillId="69" borderId="0" xfId="1783" applyNumberFormat="1" applyFont="1" applyFill="1"/>
    <xf numFmtId="1" fontId="253" fillId="69" borderId="0" xfId="1783" applyNumberFormat="1" applyFont="1" applyFill="1"/>
    <xf numFmtId="1" fontId="255" fillId="69" borderId="0" xfId="1783" applyNumberFormat="1" applyFont="1" applyFill="1"/>
    <xf numFmtId="1" fontId="254" fillId="59" borderId="10" xfId="1783" applyNumberFormat="1" applyFont="1" applyFill="1" applyBorder="1"/>
    <xf numFmtId="1" fontId="254" fillId="59" borderId="15" xfId="1783" applyNumberFormat="1" applyFont="1" applyFill="1" applyBorder="1" applyAlignment="1">
      <alignment horizontal="center"/>
    </xf>
    <xf numFmtId="1" fontId="253" fillId="0" borderId="44" xfId="1783" applyNumberFormat="1" applyFont="1" applyFill="1" applyBorder="1" applyAlignment="1">
      <alignment horizontal="center"/>
    </xf>
    <xf numFmtId="1" fontId="253" fillId="66" borderId="0" xfId="1783" applyNumberFormat="1" applyFont="1" applyFill="1"/>
    <xf numFmtId="1" fontId="254" fillId="59" borderId="15" xfId="0" applyNumberFormat="1" applyFont="1" applyFill="1" applyBorder="1" applyAlignment="1">
      <alignment horizontal="center"/>
    </xf>
    <xf numFmtId="1" fontId="253" fillId="69" borderId="0" xfId="0" applyNumberFormat="1" applyFont="1" applyFill="1"/>
    <xf numFmtId="1" fontId="253" fillId="69" borderId="0" xfId="0" applyNumberFormat="1" applyFont="1" applyFill="1" applyAlignment="1">
      <alignment horizontal="left" indent="1"/>
    </xf>
    <xf numFmtId="1" fontId="42" fillId="69" borderId="0" xfId="0" applyNumberFormat="1" applyFont="1" applyFill="1"/>
    <xf numFmtId="1" fontId="44" fillId="69" borderId="0" xfId="1783" applyNumberFormat="1" applyFont="1" applyFill="1" applyBorder="1" applyAlignment="1">
      <alignment vertical="center" wrapText="1"/>
    </xf>
    <xf numFmtId="1" fontId="243" fillId="69" borderId="0" xfId="0" applyNumberFormat="1" applyFont="1" applyFill="1" applyAlignment="1">
      <alignment horizontal="center"/>
    </xf>
    <xf numFmtId="1" fontId="244" fillId="69" borderId="0" xfId="0" applyNumberFormat="1" applyFont="1" applyFill="1" applyAlignment="1">
      <alignment horizontal="center"/>
    </xf>
    <xf numFmtId="1" fontId="243" fillId="69" borderId="0" xfId="0" applyNumberFormat="1" applyFont="1" applyFill="1" applyAlignment="1">
      <alignment horizontal="left"/>
    </xf>
    <xf numFmtId="1" fontId="244" fillId="69" borderId="0" xfId="0" applyNumberFormat="1" applyFont="1" applyFill="1" applyAlignment="1">
      <alignment horizontal="centerContinuous"/>
    </xf>
    <xf numFmtId="1" fontId="44" fillId="62" borderId="0" xfId="0" applyNumberFormat="1" applyFont="1" applyFill="1" applyAlignment="1"/>
    <xf numFmtId="1" fontId="42" fillId="0" borderId="49" xfId="0" applyNumberFormat="1" applyFont="1" applyBorder="1" applyAlignment="1">
      <alignment horizontal="center"/>
    </xf>
    <xf numFmtId="1" fontId="42" fillId="0" borderId="50" xfId="0" applyNumberFormat="1" applyFont="1" applyBorder="1" applyAlignment="1">
      <alignment horizontal="center"/>
    </xf>
    <xf numFmtId="1" fontId="186" fillId="0" borderId="44" xfId="1783" applyNumberFormat="1" applyFont="1" applyFill="1" applyBorder="1" applyAlignment="1" applyProtection="1">
      <alignment horizontal="center" vertical="center"/>
      <protection locked="0"/>
    </xf>
    <xf numFmtId="1" fontId="42" fillId="0" borderId="44" xfId="1783" applyNumberFormat="1" applyFont="1" applyFill="1" applyBorder="1"/>
    <xf numFmtId="1" fontId="42" fillId="0" borderId="50" xfId="1783" applyNumberFormat="1" applyFont="1" applyBorder="1" applyAlignment="1">
      <alignment horizontal="center"/>
    </xf>
    <xf numFmtId="1" fontId="42" fillId="0" borderId="57" xfId="0" applyNumberFormat="1" applyFont="1" applyBorder="1" applyAlignment="1">
      <alignment horizontal="center"/>
    </xf>
    <xf numFmtId="1" fontId="42" fillId="69" borderId="0" xfId="0" applyNumberFormat="1" applyFont="1" applyFill="1" applyBorder="1"/>
    <xf numFmtId="1" fontId="42" fillId="0" borderId="44" xfId="0" applyNumberFormat="1" applyFont="1" applyFill="1" applyBorder="1" applyAlignment="1">
      <alignment horizontal="left"/>
    </xf>
    <xf numFmtId="1" fontId="42" fillId="0" borderId="50" xfId="1783" applyNumberFormat="1" applyFont="1" applyBorder="1" applyAlignment="1">
      <alignment vertical="center"/>
    </xf>
    <xf numFmtId="1" fontId="42" fillId="0" borderId="50" xfId="1783" applyNumberFormat="1" applyFont="1" applyBorder="1" applyAlignment="1">
      <alignment horizontal="left"/>
    </xf>
    <xf numFmtId="1" fontId="44" fillId="0" borderId="0" xfId="0" applyNumberFormat="1" applyFont="1" applyFill="1"/>
    <xf numFmtId="1" fontId="42" fillId="0" borderId="0" xfId="0" applyNumberFormat="1" applyFont="1" applyFill="1"/>
    <xf numFmtId="1" fontId="44" fillId="0" borderId="0" xfId="0" applyNumberFormat="1" applyFont="1"/>
    <xf numFmtId="1" fontId="44" fillId="61" borderId="0" xfId="0" applyNumberFormat="1" applyFont="1" applyFill="1" applyAlignment="1">
      <alignment horizontal="center" vertical="center"/>
    </xf>
    <xf numFmtId="1" fontId="40" fillId="0" borderId="0" xfId="0" applyNumberFormat="1" applyFont="1" applyFill="1"/>
    <xf numFmtId="1" fontId="44" fillId="61" borderId="0" xfId="4132" applyNumberFormat="1" applyFont="1" applyFill="1" applyAlignment="1">
      <alignment horizontal="center" vertical="center"/>
    </xf>
    <xf numFmtId="43" fontId="261" fillId="69" borderId="0" xfId="1783" applyFont="1" applyFill="1" applyBorder="1"/>
    <xf numFmtId="258" fontId="42" fillId="0" borderId="44" xfId="0" applyNumberFormat="1" applyFont="1" applyFill="1" applyBorder="1" applyAlignment="1">
      <alignment horizontal="left"/>
    </xf>
    <xf numFmtId="43" fontId="42" fillId="0" borderId="44" xfId="1783" applyFont="1" applyFill="1" applyBorder="1"/>
    <xf numFmtId="43" fontId="42" fillId="0" borderId="44" xfId="0" applyNumberFormat="1" applyFont="1" applyFill="1" applyBorder="1"/>
    <xf numFmtId="43" fontId="42" fillId="0" borderId="44" xfId="1783" applyNumberFormat="1" applyFont="1" applyFill="1" applyBorder="1"/>
    <xf numFmtId="43" fontId="187" fillId="0" borderId="0" xfId="1783" applyFont="1" applyAlignment="1">
      <alignment horizontal="center"/>
    </xf>
    <xf numFmtId="194" fontId="261" fillId="72" borderId="0" xfId="0" applyFont="1" applyFill="1" applyBorder="1"/>
    <xf numFmtId="43" fontId="261" fillId="72" borderId="0" xfId="1783" applyFont="1" applyFill="1" applyBorder="1"/>
    <xf numFmtId="194" fontId="263" fillId="72" borderId="0" xfId="0" applyFont="1" applyFill="1" applyBorder="1"/>
    <xf numFmtId="43" fontId="263" fillId="72" borderId="0" xfId="1783" applyFont="1" applyFill="1" applyBorder="1"/>
    <xf numFmtId="194" fontId="261" fillId="72" borderId="0" xfId="0" applyFont="1" applyFill="1" applyBorder="1" applyAlignment="1"/>
    <xf numFmtId="43" fontId="261" fillId="72" borderId="0" xfId="1783" applyFont="1" applyFill="1" applyBorder="1" applyAlignment="1"/>
    <xf numFmtId="194" fontId="261" fillId="72" borderId="0" xfId="0" applyFont="1" applyFill="1" applyBorder="1" applyAlignment="1">
      <alignment horizontal="center" vertical="center"/>
    </xf>
    <xf numFmtId="43" fontId="261" fillId="72" borderId="0" xfId="1783" applyFont="1" applyFill="1" applyBorder="1" applyAlignment="1">
      <alignment horizontal="center" vertical="center"/>
    </xf>
    <xf numFmtId="1" fontId="260" fillId="72" borderId="0" xfId="0" applyNumberFormat="1" applyFont="1" applyFill="1" applyBorder="1" applyAlignment="1">
      <alignment vertical="center"/>
    </xf>
    <xf numFmtId="1" fontId="260" fillId="72" borderId="0" xfId="1783" applyNumberFormat="1" applyFont="1" applyFill="1" applyBorder="1" applyAlignment="1">
      <alignment vertical="center"/>
    </xf>
    <xf numFmtId="169" fontId="42" fillId="70" borderId="49" xfId="1783" applyNumberFormat="1" applyFont="1" applyFill="1" applyBorder="1" applyAlignment="1">
      <alignment horizontal="center"/>
    </xf>
    <xf numFmtId="169" fontId="42" fillId="70" borderId="50" xfId="1783" applyNumberFormat="1" applyFont="1" applyFill="1" applyBorder="1" applyAlignment="1">
      <alignment horizontal="center" vertical="center"/>
    </xf>
    <xf numFmtId="169" fontId="250" fillId="70" borderId="50" xfId="1783" applyNumberFormat="1" applyFont="1" applyFill="1" applyBorder="1" applyAlignment="1">
      <alignment horizontal="center" vertical="center"/>
    </xf>
    <xf numFmtId="169" fontId="42" fillId="70" borderId="50" xfId="1783" applyNumberFormat="1" applyFont="1" applyFill="1" applyBorder="1" applyAlignment="1">
      <alignment horizontal="center"/>
    </xf>
    <xf numFmtId="169" fontId="42" fillId="70" borderId="57" xfId="1783" applyNumberFormat="1" applyFont="1" applyFill="1" applyBorder="1" applyAlignment="1">
      <alignment horizontal="center"/>
    </xf>
    <xf numFmtId="169" fontId="44" fillId="71" borderId="0" xfId="1783" applyNumberFormat="1" applyFont="1" applyFill="1" applyBorder="1"/>
    <xf numFmtId="1" fontId="42" fillId="71" borderId="0" xfId="0" applyNumberFormat="1" applyFont="1" applyFill="1" applyBorder="1"/>
    <xf numFmtId="169" fontId="42" fillId="71" borderId="0" xfId="1783" applyNumberFormat="1" applyFont="1" applyFill="1"/>
    <xf numFmtId="1" fontId="186" fillId="71" borderId="0" xfId="1783" applyNumberFormat="1" applyFont="1" applyFill="1" applyBorder="1" applyAlignment="1" applyProtection="1">
      <alignment horizontal="center" vertical="center"/>
      <protection locked="0"/>
    </xf>
    <xf numFmtId="1" fontId="42" fillId="71" borderId="0" xfId="0" applyNumberFormat="1" applyFont="1" applyFill="1" applyBorder="1" applyAlignment="1">
      <alignment horizontal="center"/>
    </xf>
    <xf numFmtId="1" fontId="42" fillId="71" borderId="0" xfId="0" applyNumberFormat="1" applyFont="1" applyFill="1"/>
    <xf numFmtId="169" fontId="244" fillId="69" borderId="0" xfId="1783" applyNumberFormat="1" applyFont="1" applyFill="1" applyBorder="1"/>
    <xf numFmtId="0" fontId="222" fillId="0" borderId="45" xfId="36610" applyFont="1" applyFill="1" applyBorder="1"/>
    <xf numFmtId="169" fontId="0" fillId="0" borderId="45" xfId="34126" applyNumberFormat="1" applyFont="1" applyFill="1" applyBorder="1"/>
    <xf numFmtId="169" fontId="222" fillId="0" borderId="45" xfId="36610" applyNumberFormat="1" applyFont="1" applyFill="1" applyBorder="1"/>
    <xf numFmtId="0" fontId="222" fillId="0" borderId="44" xfId="36610" applyFont="1" applyFill="1" applyBorder="1"/>
    <xf numFmtId="169" fontId="0" fillId="0" borderId="44" xfId="34126" applyNumberFormat="1" applyFont="1" applyFill="1" applyBorder="1"/>
    <xf numFmtId="0" fontId="222" fillId="0" borderId="25" xfId="36610" applyFont="1" applyFill="1" applyBorder="1"/>
    <xf numFmtId="169" fontId="0" fillId="0" borderId="25" xfId="34126" applyNumberFormat="1" applyFont="1" applyFill="1" applyBorder="1"/>
    <xf numFmtId="0" fontId="222" fillId="0" borderId="9" xfId="36610" applyFont="1" applyFill="1" applyBorder="1"/>
    <xf numFmtId="169" fontId="0" fillId="0" borderId="9" xfId="34126" applyNumberFormat="1" applyFont="1" applyFill="1" applyBorder="1"/>
    <xf numFmtId="1" fontId="222" fillId="0" borderId="44" xfId="34644" applyNumberFormat="1" applyFont="1" applyFill="1" applyBorder="1"/>
    <xf numFmtId="194" fontId="42" fillId="0" borderId="0" xfId="0" applyFont="1" applyAlignment="1">
      <alignment horizontal="right"/>
    </xf>
    <xf numFmtId="194" fontId="275" fillId="65" borderId="0" xfId="0" applyFont="1" applyFill="1"/>
    <xf numFmtId="169" fontId="44" fillId="69" borderId="0" xfId="1783" applyNumberFormat="1" applyFont="1" applyFill="1" applyAlignment="1">
      <alignment vertical="top"/>
    </xf>
    <xf numFmtId="169" fontId="44" fillId="69" borderId="0" xfId="1783" applyNumberFormat="1" applyFont="1" applyFill="1" applyAlignment="1">
      <alignment vertical="center"/>
    </xf>
    <xf numFmtId="169" fontId="42" fillId="0" borderId="44" xfId="4132" applyNumberFormat="1" applyFont="1" applyFill="1" applyBorder="1" applyAlignment="1">
      <alignment horizontal="center" vertical="center"/>
    </xf>
    <xf numFmtId="169" fontId="42" fillId="0" borderId="44" xfId="4132" applyNumberFormat="1" applyFont="1" applyFill="1" applyBorder="1" applyAlignment="1">
      <alignment horizontal="center" vertical="center" wrapText="1"/>
    </xf>
    <xf numFmtId="169" fontId="222" fillId="0" borderId="44" xfId="36610" applyNumberFormat="1" applyFont="1" applyFill="1" applyBorder="1"/>
    <xf numFmtId="169" fontId="42" fillId="0" borderId="0" xfId="0" applyNumberFormat="1" applyFont="1" applyFill="1" applyBorder="1" applyAlignment="1">
      <alignment horizontal="center"/>
    </xf>
    <xf numFmtId="169" fontId="42" fillId="0" borderId="0" xfId="1783" applyNumberFormat="1" applyFont="1" applyFill="1" applyBorder="1" applyAlignment="1">
      <alignment horizontal="center"/>
    </xf>
    <xf numFmtId="169" fontId="42" fillId="0" borderId="0" xfId="4132" applyNumberFormat="1" applyFont="1"/>
    <xf numFmtId="169" fontId="42" fillId="0" borderId="0" xfId="4132" applyNumberFormat="1" applyFont="1" applyFill="1"/>
    <xf numFmtId="169" fontId="42" fillId="0" borderId="0" xfId="4132" applyNumberFormat="1" applyFont="1" applyAlignment="1">
      <alignment horizontal="center" vertical="center"/>
    </xf>
    <xf numFmtId="169" fontId="42" fillId="61" borderId="0" xfId="4132" applyNumberFormat="1" applyFont="1" applyFill="1" applyAlignment="1">
      <alignment horizontal="center" vertical="center"/>
    </xf>
    <xf numFmtId="169" fontId="42" fillId="61" borderId="0" xfId="4132" quotePrefix="1" applyNumberFormat="1" applyFont="1" applyFill="1" applyAlignment="1">
      <alignment horizontal="center" vertical="center"/>
    </xf>
    <xf numFmtId="169" fontId="0" fillId="0" borderId="0" xfId="4132" applyNumberFormat="1" applyFont="1" applyFill="1"/>
    <xf numFmtId="43" fontId="0" fillId="0" borderId="0" xfId="4132" applyFont="1" applyFill="1"/>
    <xf numFmtId="43" fontId="42" fillId="0" borderId="0" xfId="4132" applyFont="1" applyFill="1"/>
    <xf numFmtId="1" fontId="42" fillId="0" borderId="47" xfId="0" applyNumberFormat="1" applyFont="1" applyFill="1" applyBorder="1"/>
    <xf numFmtId="194" fontId="42" fillId="64" borderId="0" xfId="0" applyFont="1" applyFill="1" applyAlignment="1">
      <alignment horizontal="center"/>
    </xf>
    <xf numFmtId="0" fontId="0" fillId="0" borderId="44" xfId="0" applyNumberFormat="1" applyFont="1" applyFill="1" applyBorder="1" applyAlignment="1">
      <alignment horizontal="left"/>
    </xf>
    <xf numFmtId="169" fontId="0" fillId="0" borderId="0" xfId="34126" applyNumberFormat="1" applyFont="1" applyFill="1"/>
    <xf numFmtId="43" fontId="222" fillId="0" borderId="0" xfId="1783" applyFont="1" applyFill="1"/>
    <xf numFmtId="0" fontId="222" fillId="0" borderId="0" xfId="36610" applyFont="1" applyFill="1"/>
    <xf numFmtId="0" fontId="222" fillId="0" borderId="44" xfId="36610" quotePrefix="1" applyFont="1" applyFill="1" applyBorder="1"/>
    <xf numFmtId="169" fontId="246" fillId="68" borderId="0" xfId="1783" applyNumberFormat="1" applyFont="1" applyFill="1" applyAlignment="1"/>
    <xf numFmtId="169" fontId="260" fillId="68" borderId="0" xfId="1783" applyNumberFormat="1" applyFont="1" applyFill="1"/>
    <xf numFmtId="0" fontId="40" fillId="0" borderId="0" xfId="0" applyNumberFormat="1" applyFont="1" applyFill="1"/>
    <xf numFmtId="0" fontId="44" fillId="0" borderId="0" xfId="0" applyNumberFormat="1" applyFont="1" applyFill="1"/>
    <xf numFmtId="0" fontId="40" fillId="0" borderId="0" xfId="0" applyNumberFormat="1" applyFont="1" applyFill="1" applyAlignment="1">
      <alignment horizontal="center"/>
    </xf>
    <xf numFmtId="0" fontId="44" fillId="0" borderId="0" xfId="0" applyNumberFormat="1" applyFont="1" applyFill="1" applyAlignment="1">
      <alignment horizontal="center"/>
    </xf>
    <xf numFmtId="1" fontId="40" fillId="0" borderId="0" xfId="0" applyNumberFormat="1" applyFont="1" applyFill="1" applyAlignment="1">
      <alignment horizontal="center"/>
    </xf>
    <xf numFmtId="1" fontId="44" fillId="0" borderId="0" xfId="0" applyNumberFormat="1" applyFont="1" applyFill="1" applyAlignment="1">
      <alignment horizontal="center"/>
    </xf>
    <xf numFmtId="0" fontId="44" fillId="0" borderId="0" xfId="0" applyNumberFormat="1" applyFont="1" applyAlignment="1">
      <alignment horizontal="center"/>
    </xf>
    <xf numFmtId="1" fontId="44" fillId="0" borderId="0" xfId="0" applyNumberFormat="1" applyFont="1" applyAlignment="1">
      <alignment horizontal="center"/>
    </xf>
    <xf numFmtId="194" fontId="42" fillId="64" borderId="44" xfId="0" applyFont="1" applyFill="1" applyBorder="1" applyAlignment="1">
      <alignment horizontal="center" vertical="center"/>
    </xf>
    <xf numFmtId="194" fontId="42" fillId="0" borderId="0" xfId="0" applyFont="1" applyAlignment="1">
      <alignment horizontal="center"/>
    </xf>
    <xf numFmtId="169" fontId="42" fillId="0" borderId="0" xfId="1783" applyNumberFormat="1" applyFont="1" applyFill="1" applyBorder="1" applyAlignment="1">
      <alignment horizontal="left"/>
    </xf>
    <xf numFmtId="1" fontId="44" fillId="59" borderId="31" xfId="1783" applyNumberFormat="1" applyFont="1" applyFill="1" applyBorder="1" applyAlignment="1">
      <alignment horizontal="center" vertical="center" wrapText="1"/>
    </xf>
    <xf numFmtId="1" fontId="44" fillId="59" borderId="31" xfId="0" applyNumberFormat="1" applyFont="1" applyFill="1" applyBorder="1" applyAlignment="1">
      <alignment horizontal="center" vertical="center"/>
    </xf>
    <xf numFmtId="1" fontId="44" fillId="59" borderId="31" xfId="0" applyNumberFormat="1" applyFont="1" applyFill="1" applyBorder="1" applyAlignment="1">
      <alignment horizontal="center" vertical="center" wrapText="1"/>
    </xf>
    <xf numFmtId="43" fontId="68" fillId="69" borderId="0" xfId="1783" applyFont="1" applyFill="1"/>
    <xf numFmtId="1" fontId="249" fillId="69" borderId="0" xfId="0" applyNumberFormat="1" applyFont="1" applyFill="1" applyAlignment="1">
      <alignment horizontal="left"/>
    </xf>
    <xf numFmtId="1" fontId="276" fillId="69" borderId="0" xfId="0" applyNumberFormat="1" applyFont="1" applyFill="1" applyAlignment="1">
      <alignment horizontal="left"/>
    </xf>
    <xf numFmtId="194" fontId="42" fillId="69" borderId="0" xfId="0" applyFont="1" applyFill="1" applyAlignment="1">
      <alignment horizontal="centerContinuous"/>
    </xf>
    <xf numFmtId="1" fontId="42" fillId="69" borderId="0" xfId="0" applyNumberFormat="1" applyFont="1" applyFill="1" applyAlignment="1">
      <alignment horizontal="centerContinuous"/>
    </xf>
    <xf numFmtId="169" fontId="42" fillId="69" borderId="0" xfId="1783" applyNumberFormat="1" applyFont="1" applyFill="1" applyAlignment="1">
      <alignment horizontal="centerContinuous"/>
    </xf>
    <xf numFmtId="194" fontId="250" fillId="69" borderId="0" xfId="0" applyFont="1" applyFill="1" applyAlignment="1">
      <alignment horizontal="center"/>
    </xf>
    <xf numFmtId="194" fontId="42" fillId="69" borderId="0" xfId="0" applyFont="1" applyFill="1" applyAlignment="1"/>
    <xf numFmtId="169" fontId="42" fillId="69" borderId="0" xfId="1783" applyNumberFormat="1" applyFont="1" applyFill="1" applyAlignment="1"/>
    <xf numFmtId="1" fontId="42" fillId="69" borderId="0" xfId="0" applyNumberFormat="1" applyFont="1" applyFill="1" applyAlignment="1"/>
    <xf numFmtId="169" fontId="42" fillId="68" borderId="0" xfId="1783" applyNumberFormat="1" applyFont="1" applyFill="1" applyAlignment="1"/>
    <xf numFmtId="0" fontId="222" fillId="60" borderId="44" xfId="36610" applyFont="1" applyFill="1" applyBorder="1"/>
    <xf numFmtId="169" fontId="0" fillId="60" borderId="44" xfId="34126" applyNumberFormat="1" applyFont="1" applyFill="1" applyBorder="1"/>
    <xf numFmtId="169" fontId="222" fillId="60" borderId="45" xfId="36610" applyNumberFormat="1" applyFont="1" applyFill="1" applyBorder="1"/>
    <xf numFmtId="169" fontId="222" fillId="0" borderId="0" xfId="36610" applyNumberFormat="1" applyFont="1" applyFill="1"/>
    <xf numFmtId="169" fontId="222" fillId="60" borderId="44" xfId="36610" applyNumberFormat="1" applyFont="1" applyFill="1" applyBorder="1"/>
    <xf numFmtId="0" fontId="222" fillId="60" borderId="0" xfId="36610" applyFont="1" applyFill="1"/>
    <xf numFmtId="169" fontId="253" fillId="0" borderId="0" xfId="1783" applyNumberFormat="1" applyFont="1" applyFill="1"/>
    <xf numFmtId="169" fontId="253" fillId="0" borderId="0" xfId="0" applyNumberFormat="1" applyFont="1" applyFill="1"/>
    <xf numFmtId="194" fontId="253" fillId="0" borderId="0" xfId="0" applyFont="1" applyFill="1"/>
    <xf numFmtId="194" fontId="256" fillId="0" borderId="0" xfId="0" applyFont="1" applyFill="1"/>
    <xf numFmtId="169" fontId="277" fillId="69" borderId="0" xfId="1783" applyNumberFormat="1" applyFont="1" applyFill="1"/>
    <xf numFmtId="169" fontId="261" fillId="0" borderId="0" xfId="0" applyNumberFormat="1" applyFont="1" applyFill="1" applyBorder="1"/>
    <xf numFmtId="43" fontId="261" fillId="0" borderId="0" xfId="1783" applyFont="1" applyFill="1" applyBorder="1"/>
    <xf numFmtId="43" fontId="261" fillId="0" borderId="0" xfId="0" applyNumberFormat="1" applyFont="1" applyFill="1" applyBorder="1"/>
    <xf numFmtId="194" fontId="261" fillId="0" borderId="0" xfId="0" applyFont="1" applyFill="1" applyBorder="1"/>
    <xf numFmtId="164" fontId="261" fillId="0" borderId="0" xfId="0" applyNumberFormat="1" applyFont="1" applyFill="1" applyBorder="1"/>
    <xf numFmtId="194" fontId="260" fillId="0" borderId="0" xfId="0" applyFont="1" applyFill="1" applyBorder="1"/>
    <xf numFmtId="194" fontId="264" fillId="0" borderId="0" xfId="0" applyFont="1" applyFill="1" applyBorder="1"/>
    <xf numFmtId="169" fontId="260" fillId="0" borderId="0" xfId="1783" applyNumberFormat="1" applyFont="1" applyFill="1" applyBorder="1"/>
    <xf numFmtId="169" fontId="42" fillId="0" borderId="0" xfId="1783" applyNumberFormat="1" applyFont="1" applyFill="1" applyBorder="1"/>
    <xf numFmtId="194" fontId="42" fillId="0" borderId="0" xfId="0" applyFont="1" applyFill="1" applyBorder="1"/>
    <xf numFmtId="169" fontId="42" fillId="0" borderId="0" xfId="0" applyNumberFormat="1" applyFont="1" applyFill="1" applyBorder="1"/>
    <xf numFmtId="194" fontId="44" fillId="0" borderId="0" xfId="0" applyFont="1" applyFill="1" applyBorder="1"/>
    <xf numFmtId="43" fontId="42" fillId="0" borderId="0" xfId="0" applyNumberFormat="1" applyFont="1" applyFill="1" applyBorder="1"/>
    <xf numFmtId="194" fontId="239" fillId="0" borderId="0" xfId="0" applyFont="1" applyFill="1" applyBorder="1"/>
    <xf numFmtId="194" fontId="42" fillId="64" borderId="0" xfId="0" applyFont="1" applyFill="1" applyAlignment="1">
      <alignment horizontal="center"/>
    </xf>
    <xf numFmtId="1" fontId="42" fillId="0" borderId="44" xfId="8322" applyNumberFormat="1" applyFont="1" applyFill="1" applyBorder="1" applyAlignment="1">
      <alignment horizontal="left" vertical="center"/>
    </xf>
    <xf numFmtId="1" fontId="40" fillId="0" borderId="0" xfId="0" applyNumberFormat="1" applyFont="1" applyFill="1" applyAlignment="1">
      <alignment horizontal="left"/>
    </xf>
    <xf numFmtId="1" fontId="44" fillId="0" borderId="0" xfId="0" applyNumberFormat="1" applyFont="1" applyFill="1" applyAlignment="1">
      <alignment horizontal="left"/>
    </xf>
    <xf numFmtId="1" fontId="44" fillId="0" borderId="0" xfId="0" applyNumberFormat="1" applyFont="1" applyAlignment="1">
      <alignment horizontal="left"/>
    </xf>
    <xf numFmtId="0" fontId="40" fillId="0" borderId="0" xfId="0" applyNumberFormat="1" applyFont="1" applyFill="1" applyAlignment="1">
      <alignment horizontal="left"/>
    </xf>
    <xf numFmtId="0" fontId="44" fillId="0" borderId="0" xfId="0" applyNumberFormat="1" applyFont="1" applyFill="1" applyAlignment="1">
      <alignment horizontal="left"/>
    </xf>
    <xf numFmtId="0" fontId="44" fillId="0" borderId="0" xfId="0" applyNumberFormat="1" applyFont="1" applyAlignment="1">
      <alignment horizontal="left"/>
    </xf>
    <xf numFmtId="259" fontId="253" fillId="69" borderId="0" xfId="1783" applyNumberFormat="1" applyFont="1" applyFill="1"/>
    <xf numFmtId="169" fontId="0" fillId="0" borderId="0" xfId="4132" applyNumberFormat="1" applyFont="1" applyFill="1" applyBorder="1"/>
    <xf numFmtId="169" fontId="253" fillId="0" borderId="0" xfId="1783" applyNumberFormat="1" applyFont="1" applyFill="1" applyBorder="1"/>
    <xf numFmtId="169" fontId="42" fillId="0" borderId="0" xfId="4132" applyNumberFormat="1" applyFont="1" applyFill="1" applyBorder="1"/>
    <xf numFmtId="169" fontId="42" fillId="0" borderId="0" xfId="4132" applyNumberFormat="1" applyFont="1" applyBorder="1"/>
    <xf numFmtId="169" fontId="68" fillId="0" borderId="0" xfId="4132" applyNumberFormat="1" applyFont="1" applyFill="1" applyBorder="1"/>
    <xf numFmtId="1" fontId="42" fillId="0" borderId="48" xfId="0" applyNumberFormat="1" applyFont="1" applyFill="1" applyBorder="1"/>
    <xf numFmtId="169" fontId="42" fillId="73" borderId="0" xfId="0" applyNumberFormat="1" applyFont="1" applyFill="1" applyBorder="1" applyAlignment="1">
      <alignment horizontal="center"/>
    </xf>
    <xf numFmtId="194" fontId="42" fillId="0" borderId="0" xfId="0" applyFont="1" applyFill="1" applyBorder="1" applyAlignment="1">
      <alignment horizontal="center"/>
    </xf>
    <xf numFmtId="169" fontId="42" fillId="0" borderId="0" xfId="1783" applyNumberFormat="1" applyFont="1" applyFill="1" applyBorder="1" applyAlignment="1"/>
    <xf numFmtId="194" fontId="42" fillId="0" borderId="0" xfId="0" applyFont="1" applyFill="1" applyBorder="1" applyAlignment="1"/>
    <xf numFmtId="169" fontId="42" fillId="71" borderId="0" xfId="1783" applyNumberFormat="1" applyFont="1" applyFill="1" applyBorder="1" applyAlignment="1">
      <alignment vertical="center"/>
    </xf>
    <xf numFmtId="169" fontId="42" fillId="71" borderId="0" xfId="1783" applyNumberFormat="1" applyFont="1" applyFill="1" applyBorder="1" applyAlignment="1">
      <alignment horizontal="left" vertical="center"/>
    </xf>
    <xf numFmtId="43" fontId="258" fillId="0" borderId="0" xfId="1783" applyFont="1" applyFill="1"/>
    <xf numFmtId="194" fontId="258" fillId="0" borderId="0" xfId="0" applyFont="1" applyFill="1"/>
    <xf numFmtId="194" fontId="257" fillId="0" borderId="0" xfId="0" applyFont="1" applyFill="1"/>
    <xf numFmtId="169" fontId="0" fillId="60" borderId="0" xfId="4132" applyNumberFormat="1" applyFont="1" applyFill="1"/>
    <xf numFmtId="194" fontId="0" fillId="60" borderId="0" xfId="0" applyFill="1"/>
    <xf numFmtId="0" fontId="40" fillId="60" borderId="0" xfId="0" applyNumberFormat="1" applyFont="1" applyFill="1" applyAlignment="1">
      <alignment horizontal="left"/>
    </xf>
    <xf numFmtId="169" fontId="0" fillId="60" borderId="0" xfId="0" applyNumberFormat="1" applyFill="1"/>
    <xf numFmtId="169" fontId="0" fillId="60" borderId="0" xfId="4132" applyNumberFormat="1" applyFont="1" applyFill="1" applyBorder="1"/>
    <xf numFmtId="169" fontId="253" fillId="60" borderId="0" xfId="1783" applyNumberFormat="1" applyFont="1" applyFill="1" applyBorder="1"/>
    <xf numFmtId="194" fontId="42" fillId="60" borderId="0" xfId="0" applyFont="1" applyFill="1"/>
    <xf numFmtId="0" fontId="44" fillId="60" borderId="0" xfId="0" applyNumberFormat="1" applyFont="1" applyFill="1" applyAlignment="1">
      <alignment horizontal="left"/>
    </xf>
    <xf numFmtId="169" fontId="42" fillId="60" borderId="0" xfId="4132" applyNumberFormat="1" applyFont="1" applyFill="1"/>
    <xf numFmtId="169" fontId="42" fillId="60" borderId="0" xfId="4132" applyNumberFormat="1" applyFont="1" applyFill="1" applyBorder="1"/>
    <xf numFmtId="169" fontId="38" fillId="60" borderId="0" xfId="4132" applyNumberFormat="1" applyFont="1" applyFill="1"/>
    <xf numFmtId="169" fontId="254" fillId="70" borderId="44" xfId="1783" applyNumberFormat="1" applyFont="1" applyFill="1" applyBorder="1"/>
    <xf numFmtId="169" fontId="254" fillId="74" borderId="44" xfId="1783" applyNumberFormat="1" applyFont="1" applyFill="1" applyBorder="1"/>
    <xf numFmtId="169" fontId="246" fillId="74" borderId="0" xfId="1783" applyNumberFormat="1" applyFont="1" applyFill="1" applyAlignment="1"/>
    <xf numFmtId="43" fontId="253" fillId="0" borderId="0" xfId="1783" applyFont="1" applyFill="1"/>
    <xf numFmtId="259" fontId="253" fillId="0" borderId="0" xfId="1783" applyNumberFormat="1" applyFont="1" applyFill="1"/>
    <xf numFmtId="169" fontId="245" fillId="69" borderId="0" xfId="1783" applyNumberFormat="1" applyFont="1" applyFill="1" applyAlignment="1"/>
    <xf numFmtId="169" fontId="250" fillId="69" borderId="0" xfId="1783" applyNumberFormat="1" applyFont="1" applyFill="1" applyAlignment="1">
      <alignment horizontal="center"/>
    </xf>
    <xf numFmtId="194" fontId="44" fillId="67" borderId="31" xfId="0" applyFont="1" applyFill="1" applyBorder="1" applyAlignment="1">
      <alignment horizontal="center" vertical="center" wrapText="1"/>
    </xf>
    <xf numFmtId="169" fontId="44" fillId="67" borderId="31" xfId="1783" applyNumberFormat="1" applyFont="1" applyFill="1" applyBorder="1" applyAlignment="1">
      <alignment horizontal="center" vertical="center" wrapText="1"/>
    </xf>
    <xf numFmtId="1" fontId="42" fillId="60" borderId="44" xfId="0" applyNumberFormat="1" applyFont="1" applyFill="1" applyBorder="1" applyAlignment="1">
      <alignment horizontal="left"/>
    </xf>
    <xf numFmtId="169" fontId="42" fillId="70" borderId="61" xfId="1783" applyNumberFormat="1" applyFont="1" applyFill="1" applyBorder="1" applyAlignment="1">
      <alignment horizontal="center"/>
    </xf>
    <xf numFmtId="169" fontId="258" fillId="0" borderId="0" xfId="1783" applyNumberFormat="1" applyFont="1" applyFill="1"/>
    <xf numFmtId="194" fontId="42" fillId="64" borderId="0" xfId="0" applyFont="1" applyFill="1" applyAlignment="1">
      <alignment horizontal="center"/>
    </xf>
    <xf numFmtId="169" fontId="222" fillId="0" borderId="0" xfId="1783" applyNumberFormat="1" applyFont="1" applyFill="1"/>
    <xf numFmtId="169" fontId="222" fillId="0" borderId="44" xfId="1783" applyNumberFormat="1" applyFont="1" applyFill="1" applyBorder="1"/>
    <xf numFmtId="0" fontId="248" fillId="0" borderId="44" xfId="36610" applyFont="1" applyFill="1" applyBorder="1" applyAlignment="1">
      <alignment horizontal="center" vertical="center"/>
    </xf>
    <xf numFmtId="169" fontId="40" fillId="0" borderId="44" xfId="34126" applyNumberFormat="1" applyFont="1" applyFill="1" applyBorder="1" applyAlignment="1">
      <alignment horizontal="center" vertical="center"/>
    </xf>
    <xf numFmtId="169" fontId="248" fillId="0" borderId="44" xfId="1783" applyNumberFormat="1" applyFont="1" applyFill="1" applyBorder="1" applyAlignment="1">
      <alignment horizontal="center" vertical="center"/>
    </xf>
    <xf numFmtId="0" fontId="248" fillId="0" borderId="0" xfId="36610" applyFont="1" applyFill="1" applyAlignment="1">
      <alignment horizontal="center" vertical="center"/>
    </xf>
    <xf numFmtId="169" fontId="42" fillId="0" borderId="0" xfId="4132" applyNumberFormat="1" applyFont="1" applyAlignment="1">
      <alignment horizontal="left"/>
    </xf>
    <xf numFmtId="1" fontId="44" fillId="61" borderId="0" xfId="4132" applyNumberFormat="1" applyFont="1" applyFill="1" applyAlignment="1">
      <alignment horizontal="left" vertical="center"/>
    </xf>
    <xf numFmtId="1" fontId="44" fillId="61" borderId="0" xfId="0" applyNumberFormat="1" applyFont="1" applyFill="1" applyAlignment="1">
      <alignment horizontal="left" vertical="center"/>
    </xf>
    <xf numFmtId="1" fontId="44" fillId="0" borderId="44" xfId="8322" applyNumberFormat="1" applyFont="1" applyFill="1" applyBorder="1" applyAlignment="1">
      <alignment horizontal="left" vertical="center"/>
    </xf>
    <xf numFmtId="2" fontId="0" fillId="0" borderId="0" xfId="0" applyNumberFormat="1" applyFont="1"/>
    <xf numFmtId="1" fontId="0" fillId="0" borderId="0" xfId="0" applyNumberFormat="1" applyFont="1"/>
    <xf numFmtId="260" fontId="0" fillId="0" borderId="0" xfId="1783" applyNumberFormat="1" applyFont="1"/>
    <xf numFmtId="43" fontId="0" fillId="0" borderId="0" xfId="1783" applyNumberFormat="1" applyFont="1"/>
    <xf numFmtId="43" fontId="42" fillId="0" borderId="0" xfId="1783" applyFont="1"/>
    <xf numFmtId="43" fontId="42" fillId="0" borderId="0" xfId="1783" applyFont="1" applyFill="1"/>
    <xf numFmtId="43" fontId="42" fillId="61" borderId="0" xfId="1783" applyFont="1" applyFill="1" applyAlignment="1">
      <alignment horizontal="center" vertical="center"/>
    </xf>
    <xf numFmtId="43" fontId="0" fillId="0" borderId="0" xfId="1783" applyFont="1" applyFill="1"/>
    <xf numFmtId="43" fontId="0" fillId="60" borderId="0" xfId="1783" applyFont="1" applyFill="1"/>
    <xf numFmtId="43" fontId="42" fillId="60" borderId="0" xfId="1783" applyFont="1" applyFill="1"/>
    <xf numFmtId="169" fontId="252" fillId="69" borderId="0" xfId="1783" applyNumberFormat="1" applyFont="1" applyFill="1" applyAlignment="1">
      <alignment horizontal="left"/>
    </xf>
    <xf numFmtId="169" fontId="42" fillId="69" borderId="0" xfId="1783" applyNumberFormat="1" applyFont="1" applyFill="1" applyAlignment="1">
      <alignment horizontal="left"/>
    </xf>
    <xf numFmtId="1" fontId="0" fillId="0" borderId="44" xfId="0" applyNumberFormat="1" applyFont="1" applyBorder="1"/>
    <xf numFmtId="43" fontId="0" fillId="0" borderId="44" xfId="1783" applyNumberFormat="1" applyFont="1" applyBorder="1"/>
    <xf numFmtId="260" fontId="0" fillId="0" borderId="44" xfId="1783" applyNumberFormat="1" applyFont="1" applyBorder="1"/>
    <xf numFmtId="1" fontId="0" fillId="0" borderId="44" xfId="0" applyNumberFormat="1" applyFont="1" applyBorder="1" applyAlignment="1">
      <alignment horizontal="right"/>
    </xf>
    <xf numFmtId="1" fontId="40" fillId="0" borderId="44" xfId="0" applyNumberFormat="1" applyFont="1" applyBorder="1" applyAlignment="1">
      <alignment horizontal="center"/>
    </xf>
    <xf numFmtId="43" fontId="40" fillId="0" borderId="44" xfId="1783" applyNumberFormat="1" applyFont="1" applyBorder="1" applyAlignment="1">
      <alignment horizontal="center"/>
    </xf>
    <xf numFmtId="260" fontId="40" fillId="0" borderId="44" xfId="1783" applyNumberFormat="1" applyFont="1" applyBorder="1" applyAlignment="1">
      <alignment horizontal="center"/>
    </xf>
    <xf numFmtId="2" fontId="40" fillId="0" borderId="44" xfId="0" applyNumberFormat="1" applyFont="1" applyBorder="1" applyAlignment="1">
      <alignment horizontal="center"/>
    </xf>
    <xf numFmtId="2" fontId="40" fillId="0" borderId="0" xfId="0" applyNumberFormat="1" applyFont="1" applyAlignment="1">
      <alignment horizontal="center"/>
    </xf>
    <xf numFmtId="169" fontId="42" fillId="0" borderId="59" xfId="4132" applyNumberFormat="1" applyFont="1" applyFill="1" applyBorder="1"/>
    <xf numFmtId="194" fontId="42" fillId="0" borderId="47" xfId="0" applyFont="1" applyFill="1" applyBorder="1"/>
    <xf numFmtId="43" fontId="257" fillId="69" borderId="0" xfId="1783" applyFont="1" applyFill="1"/>
    <xf numFmtId="258" fontId="42" fillId="60" borderId="48" xfId="0" applyNumberFormat="1" applyFont="1" applyFill="1" applyBorder="1" applyAlignment="1">
      <alignment horizontal="left"/>
    </xf>
    <xf numFmtId="258" fontId="42" fillId="60" borderId="44" xfId="0" applyNumberFormat="1" applyFont="1" applyFill="1" applyBorder="1" applyAlignment="1">
      <alignment horizontal="left"/>
    </xf>
    <xf numFmtId="258" fontId="42" fillId="75" borderId="44" xfId="0" applyNumberFormat="1" applyFont="1" applyFill="1" applyBorder="1" applyAlignment="1">
      <alignment horizontal="left"/>
    </xf>
    <xf numFmtId="258" fontId="42" fillId="75" borderId="48" xfId="0" applyNumberFormat="1" applyFont="1" applyFill="1" applyBorder="1" applyAlignment="1">
      <alignment horizontal="left"/>
    </xf>
    <xf numFmtId="169" fontId="42" fillId="75" borderId="44" xfId="4132" applyNumberFormat="1" applyFont="1" applyFill="1" applyBorder="1"/>
    <xf numFmtId="1" fontId="186" fillId="75" borderId="44" xfId="1783" applyNumberFormat="1" applyFont="1" applyFill="1" applyBorder="1" applyAlignment="1" applyProtection="1">
      <alignment horizontal="center" vertical="center"/>
      <protection locked="0"/>
    </xf>
    <xf numFmtId="1" fontId="42" fillId="75" borderId="44" xfId="0" applyNumberFormat="1" applyFont="1" applyFill="1" applyBorder="1" applyAlignment="1">
      <alignment horizontal="center"/>
    </xf>
    <xf numFmtId="169" fontId="42" fillId="75" borderId="44" xfId="1783" applyNumberFormat="1" applyFont="1" applyFill="1" applyBorder="1"/>
    <xf numFmtId="169" fontId="42" fillId="75" borderId="0" xfId="1783" applyNumberFormat="1" applyFont="1" applyFill="1" applyBorder="1"/>
    <xf numFmtId="194" fontId="42" fillId="75" borderId="0" xfId="0" applyFont="1" applyFill="1" applyBorder="1"/>
    <xf numFmtId="194" fontId="42" fillId="75" borderId="44" xfId="0" applyFont="1" applyFill="1" applyBorder="1"/>
    <xf numFmtId="1" fontId="42" fillId="75" borderId="44" xfId="0" applyNumberFormat="1" applyFont="1" applyFill="1" applyBorder="1" applyAlignment="1">
      <alignment horizontal="left"/>
    </xf>
    <xf numFmtId="169" fontId="42" fillId="75" borderId="0" xfId="0" applyNumberFormat="1" applyFont="1" applyFill="1" applyBorder="1"/>
    <xf numFmtId="169" fontId="42" fillId="60" borderId="44" xfId="4132" applyNumberFormat="1" applyFont="1" applyFill="1" applyBorder="1"/>
    <xf numFmtId="4" fontId="42" fillId="60" borderId="44" xfId="0" applyNumberFormat="1" applyFont="1" applyFill="1" applyBorder="1" applyAlignment="1">
      <alignment horizontal="center" vertical="center"/>
    </xf>
    <xf numFmtId="169" fontId="42" fillId="60" borderId="44" xfId="1783" applyNumberFormat="1" applyFont="1" applyFill="1" applyBorder="1" applyAlignment="1">
      <alignment horizontal="center" vertical="center"/>
    </xf>
    <xf numFmtId="169" fontId="42" fillId="60" borderId="44" xfId="1783" applyNumberFormat="1" applyFont="1" applyFill="1" applyBorder="1" applyAlignment="1">
      <alignment horizontal="center" vertical="center" wrapText="1"/>
    </xf>
    <xf numFmtId="169" fontId="42" fillId="60" borderId="44" xfId="4132" applyNumberFormat="1" applyFont="1" applyFill="1" applyBorder="1" applyAlignment="1">
      <alignment horizontal="center" vertical="center"/>
    </xf>
    <xf numFmtId="169" fontId="42" fillId="60" borderId="44" xfId="4132" applyNumberFormat="1" applyFont="1" applyFill="1" applyBorder="1" applyAlignment="1">
      <alignment horizontal="center" vertical="center" wrapText="1"/>
    </xf>
    <xf numFmtId="169" fontId="42" fillId="60" borderId="0" xfId="0" applyNumberFormat="1" applyFont="1" applyFill="1" applyBorder="1" applyAlignment="1">
      <alignment horizontal="center"/>
    </xf>
    <xf numFmtId="169" fontId="42" fillId="60" borderId="44" xfId="1783" quotePrefix="1" applyNumberFormat="1" applyFont="1" applyFill="1" applyBorder="1" applyAlignment="1" applyProtection="1">
      <alignment horizontal="left" vertical="center"/>
      <protection locked="0"/>
    </xf>
    <xf numFmtId="194" fontId="42" fillId="60" borderId="0" xfId="0" applyFont="1" applyFill="1" applyBorder="1" applyAlignment="1">
      <alignment horizontal="center"/>
    </xf>
    <xf numFmtId="194" fontId="42" fillId="60" borderId="0" xfId="0" applyFont="1" applyFill="1" applyBorder="1"/>
    <xf numFmtId="169" fontId="44" fillId="67" borderId="31" xfId="1783" applyNumberFormat="1" applyFont="1" applyFill="1" applyBorder="1" applyAlignment="1">
      <alignment horizontal="center" vertical="center" wrapText="1"/>
    </xf>
    <xf numFmtId="1" fontId="186" fillId="60" borderId="44" xfId="1783" applyNumberFormat="1" applyFont="1" applyFill="1" applyBorder="1" applyAlignment="1" applyProtection="1">
      <alignment horizontal="center" vertical="center"/>
      <protection locked="0"/>
    </xf>
    <xf numFmtId="1" fontId="42" fillId="60" borderId="44" xfId="0" applyNumberFormat="1" applyFont="1" applyFill="1" applyBorder="1" applyAlignment="1">
      <alignment horizontal="center"/>
    </xf>
    <xf numFmtId="169" fontId="42" fillId="60" borderId="0" xfId="1783" applyNumberFormat="1" applyFont="1" applyFill="1" applyBorder="1"/>
    <xf numFmtId="169" fontId="189" fillId="0" borderId="44" xfId="1783" quotePrefix="1" applyNumberFormat="1" applyFont="1" applyFill="1" applyBorder="1" applyAlignment="1" applyProtection="1">
      <alignment horizontal="left" vertical="center"/>
      <protection locked="0"/>
    </xf>
    <xf numFmtId="169" fontId="267" fillId="67" borderId="0" xfId="1783" applyNumberFormat="1" applyFont="1" applyFill="1"/>
    <xf numFmtId="169" fontId="270" fillId="67" borderId="42" xfId="1783" applyNumberFormat="1" applyFont="1" applyFill="1" applyBorder="1" applyAlignment="1"/>
    <xf numFmtId="169" fontId="42" fillId="73" borderId="44" xfId="1783" applyNumberFormat="1" applyFont="1" applyFill="1" applyBorder="1" applyAlignment="1">
      <alignment horizontal="center" vertical="center" wrapText="1"/>
    </xf>
    <xf numFmtId="2" fontId="38" fillId="0" borderId="0" xfId="0" applyNumberFormat="1" applyFont="1"/>
    <xf numFmtId="1" fontId="0" fillId="0" borderId="44" xfId="0" applyNumberFormat="1" applyFont="1" applyFill="1" applyBorder="1" applyAlignment="1">
      <alignment horizontal="center"/>
    </xf>
    <xf numFmtId="1" fontId="0" fillId="60" borderId="44" xfId="0" applyNumberFormat="1" applyFont="1" applyFill="1" applyBorder="1" applyAlignment="1">
      <alignment horizontal="right"/>
    </xf>
    <xf numFmtId="43" fontId="0" fillId="60" borderId="44" xfId="1783" applyNumberFormat="1" applyFont="1" applyFill="1" applyBorder="1"/>
    <xf numFmtId="260" fontId="0" fillId="60" borderId="44" xfId="1783" applyNumberFormat="1" applyFont="1" applyFill="1" applyBorder="1"/>
    <xf numFmtId="49" fontId="268" fillId="0" borderId="0" xfId="0" applyNumberFormat="1" applyFont="1" applyFill="1" applyAlignment="1">
      <alignment horizontal="left"/>
    </xf>
    <xf numFmtId="194" fontId="270" fillId="0" borderId="14" xfId="0" applyFont="1" applyBorder="1" applyAlignment="1">
      <alignment horizontal="center"/>
    </xf>
    <xf numFmtId="43" fontId="187" fillId="0" borderId="0" xfId="1783" applyFont="1" applyAlignment="1">
      <alignment horizontal="center"/>
    </xf>
    <xf numFmtId="43" fontId="265" fillId="0" borderId="0" xfId="1783" applyFont="1" applyAlignment="1">
      <alignment horizontal="center"/>
    </xf>
    <xf numFmtId="194" fontId="274" fillId="0" borderId="14" xfId="36609" applyFont="1" applyBorder="1" applyAlignment="1">
      <alignment horizontal="center"/>
    </xf>
    <xf numFmtId="194" fontId="44" fillId="0" borderId="14" xfId="0" applyFont="1" applyBorder="1" applyAlignment="1">
      <alignment horizontal="center"/>
    </xf>
    <xf numFmtId="169" fontId="42" fillId="69" borderId="0" xfId="0" applyNumberFormat="1" applyFont="1" applyFill="1" applyBorder="1" applyAlignment="1">
      <alignment horizontal="center"/>
    </xf>
    <xf numFmtId="169" fontId="44" fillId="67" borderId="38" xfId="1783" applyNumberFormat="1" applyFont="1" applyFill="1" applyBorder="1" applyAlignment="1">
      <alignment horizontal="center" vertical="center" wrapText="1"/>
    </xf>
    <xf numFmtId="169" fontId="44" fillId="67" borderId="30" xfId="1783" applyNumberFormat="1" applyFont="1" applyFill="1" applyBorder="1" applyAlignment="1">
      <alignment horizontal="center" vertical="center" wrapText="1"/>
    </xf>
    <xf numFmtId="194" fontId="44" fillId="67" borderId="39" xfId="0" applyFont="1" applyFill="1" applyBorder="1" applyAlignment="1">
      <alignment horizontal="center" vertical="center" wrapText="1"/>
    </xf>
    <xf numFmtId="194" fontId="44" fillId="67" borderId="31" xfId="0" applyFont="1" applyFill="1" applyBorder="1" applyAlignment="1">
      <alignment horizontal="center" vertical="center" wrapText="1"/>
    </xf>
    <xf numFmtId="1" fontId="44" fillId="67" borderId="39" xfId="0" applyNumberFormat="1" applyFont="1" applyFill="1" applyBorder="1" applyAlignment="1">
      <alignment horizontal="center" vertical="center" wrapText="1"/>
    </xf>
    <xf numFmtId="1" fontId="44" fillId="67" borderId="31" xfId="0" applyNumberFormat="1" applyFont="1" applyFill="1" applyBorder="1" applyAlignment="1">
      <alignment horizontal="center" vertical="center" wrapText="1"/>
    </xf>
    <xf numFmtId="43" fontId="44" fillId="67" borderId="39" xfId="1783" applyFont="1" applyFill="1" applyBorder="1" applyAlignment="1">
      <alignment horizontal="center" vertical="center" wrapText="1"/>
    </xf>
    <xf numFmtId="43" fontId="44" fillId="67" borderId="31" xfId="1783" applyFont="1" applyFill="1" applyBorder="1" applyAlignment="1">
      <alignment horizontal="center" vertical="center" wrapText="1"/>
    </xf>
    <xf numFmtId="194" fontId="44" fillId="67" borderId="39" xfId="0" applyFont="1" applyFill="1" applyBorder="1" applyAlignment="1">
      <alignment horizontal="center" vertical="center"/>
    </xf>
    <xf numFmtId="194" fontId="44" fillId="67" borderId="31" xfId="0" applyFont="1" applyFill="1" applyBorder="1" applyAlignment="1">
      <alignment horizontal="center" vertical="center"/>
    </xf>
    <xf numFmtId="169" fontId="44" fillId="67" borderId="39" xfId="1783" applyNumberFormat="1" applyFont="1" applyFill="1" applyBorder="1" applyAlignment="1">
      <alignment horizontal="center" vertical="center" wrapText="1"/>
    </xf>
    <xf numFmtId="169" fontId="44" fillId="67" borderId="31" xfId="1783" applyNumberFormat="1" applyFont="1" applyFill="1" applyBorder="1" applyAlignment="1">
      <alignment horizontal="center" vertical="center" wrapText="1"/>
    </xf>
    <xf numFmtId="169" fontId="44" fillId="67" borderId="31" xfId="1783" applyNumberFormat="1" applyFont="1" applyFill="1" applyBorder="1" applyAlignment="1">
      <alignment horizontal="center" vertical="center"/>
    </xf>
    <xf numFmtId="194" fontId="44" fillId="67" borderId="52" xfId="0" applyFont="1" applyFill="1" applyBorder="1" applyAlignment="1">
      <alignment horizontal="center" vertical="center"/>
    </xf>
    <xf numFmtId="194" fontId="44" fillId="67" borderId="53" xfId="0" applyFont="1" applyFill="1" applyBorder="1" applyAlignment="1">
      <alignment horizontal="center" vertical="center"/>
    </xf>
    <xf numFmtId="169" fontId="44" fillId="67" borderId="39" xfId="1783" applyNumberFormat="1" applyFont="1" applyFill="1" applyBorder="1" applyAlignment="1">
      <alignment horizontal="center" vertical="center"/>
    </xf>
    <xf numFmtId="194" fontId="44" fillId="67" borderId="55" xfId="0" applyFont="1" applyFill="1" applyBorder="1" applyAlignment="1">
      <alignment horizontal="center" vertical="center" wrapText="1"/>
    </xf>
    <xf numFmtId="194" fontId="44" fillId="67" borderId="62" xfId="0" applyFont="1" applyFill="1" applyBorder="1" applyAlignment="1">
      <alignment horizontal="center" vertical="center" wrapText="1"/>
    </xf>
    <xf numFmtId="194" fontId="44" fillId="67" borderId="63" xfId="0" applyFont="1" applyFill="1" applyBorder="1" applyAlignment="1">
      <alignment horizontal="center" vertical="center" wrapText="1"/>
    </xf>
    <xf numFmtId="194" fontId="42" fillId="64" borderId="0" xfId="0" applyFont="1" applyFill="1" applyAlignment="1">
      <alignment horizontal="center"/>
    </xf>
    <xf numFmtId="169" fontId="110" fillId="0" borderId="0" xfId="34126" applyNumberFormat="1" applyFont="1" applyFill="1" applyAlignment="1">
      <alignment horizontal="center"/>
    </xf>
    <xf numFmtId="194" fontId="253" fillId="64" borderId="42" xfId="0" applyFont="1" applyFill="1" applyBorder="1" applyAlignment="1">
      <alignment horizontal="center"/>
    </xf>
    <xf numFmtId="194" fontId="253" fillId="64" borderId="0" xfId="0" applyFont="1" applyFill="1" applyBorder="1" applyAlignment="1">
      <alignment horizontal="center"/>
    </xf>
    <xf numFmtId="169" fontId="254" fillId="59" borderId="23" xfId="4132" applyNumberFormat="1" applyFont="1" applyFill="1" applyBorder="1" applyAlignment="1">
      <alignment horizontal="center" vertical="center"/>
    </xf>
    <xf numFmtId="169" fontId="254" fillId="59" borderId="12" xfId="4132" applyNumberFormat="1" applyFont="1" applyFill="1" applyBorder="1" applyAlignment="1">
      <alignment horizontal="center" vertical="center"/>
    </xf>
    <xf numFmtId="169" fontId="254" fillId="59" borderId="32" xfId="4132" applyNumberFormat="1" applyFont="1" applyFill="1" applyBorder="1" applyAlignment="1">
      <alignment horizontal="center" vertical="center"/>
    </xf>
    <xf numFmtId="169" fontId="254" fillId="59" borderId="10" xfId="1783" applyNumberFormat="1" applyFont="1" applyFill="1" applyBorder="1" applyAlignment="1">
      <alignment horizontal="center" vertical="center" wrapText="1"/>
    </xf>
    <xf numFmtId="169" fontId="254" fillId="59" borderId="9" xfId="1783" applyNumberFormat="1" applyFont="1" applyFill="1" applyBorder="1" applyAlignment="1">
      <alignment horizontal="center" vertical="center"/>
    </xf>
    <xf numFmtId="1" fontId="254" fillId="59" borderId="10" xfId="1783" applyNumberFormat="1" applyFont="1" applyFill="1" applyBorder="1" applyAlignment="1">
      <alignment horizontal="center" vertical="center" wrapText="1"/>
    </xf>
    <xf numFmtId="1" fontId="254" fillId="59" borderId="9" xfId="1783" applyNumberFormat="1" applyFont="1" applyFill="1" applyBorder="1" applyAlignment="1">
      <alignment horizontal="center" vertical="center"/>
    </xf>
    <xf numFmtId="169" fontId="254" fillId="59" borderId="23" xfId="4132" applyNumberFormat="1" applyFont="1" applyFill="1" applyBorder="1" applyAlignment="1">
      <alignment horizontal="center"/>
    </xf>
    <xf numFmtId="169" fontId="254" fillId="59" borderId="12" xfId="4132" applyNumberFormat="1" applyFont="1" applyFill="1" applyBorder="1" applyAlignment="1">
      <alignment horizontal="center"/>
    </xf>
    <xf numFmtId="169" fontId="254" fillId="59" borderId="23" xfId="4132" applyNumberFormat="1" applyFont="1" applyFill="1" applyBorder="1" applyAlignment="1">
      <alignment horizontal="center" vertical="center" wrapText="1"/>
    </xf>
    <xf numFmtId="169" fontId="254" fillId="59" borderId="12" xfId="4132" applyNumberFormat="1" applyFont="1" applyFill="1" applyBorder="1" applyAlignment="1">
      <alignment horizontal="center" vertical="center" wrapText="1"/>
    </xf>
    <xf numFmtId="169" fontId="254" fillId="59" borderId="32" xfId="4132" applyNumberFormat="1" applyFont="1" applyFill="1" applyBorder="1" applyAlignment="1">
      <alignment horizontal="center" vertical="center" wrapText="1"/>
    </xf>
    <xf numFmtId="169" fontId="254" fillId="59" borderId="32" xfId="4132" applyNumberFormat="1" applyFont="1" applyFill="1" applyBorder="1" applyAlignment="1">
      <alignment horizontal="center"/>
    </xf>
    <xf numFmtId="169" fontId="254" fillId="59" borderId="15" xfId="3568" applyNumberFormat="1" applyFont="1" applyFill="1" applyBorder="1" applyAlignment="1">
      <alignment horizontal="center" vertical="center" wrapText="1"/>
    </xf>
    <xf numFmtId="169" fontId="254" fillId="59" borderId="33" xfId="3568" applyNumberFormat="1" applyFont="1" applyFill="1" applyBorder="1" applyAlignment="1">
      <alignment horizontal="center" vertical="center" wrapText="1"/>
    </xf>
    <xf numFmtId="169" fontId="254" fillId="59" borderId="35" xfId="3568" applyNumberFormat="1" applyFont="1" applyFill="1" applyBorder="1" applyAlignment="1">
      <alignment horizontal="center" vertical="center"/>
    </xf>
    <xf numFmtId="169" fontId="254" fillId="59" borderId="34" xfId="3568" applyNumberFormat="1" applyFont="1" applyFill="1" applyBorder="1" applyAlignment="1">
      <alignment horizontal="center" vertical="center"/>
    </xf>
    <xf numFmtId="169" fontId="254" fillId="59" borderId="36" xfId="3568" applyNumberFormat="1" applyFont="1" applyFill="1" applyBorder="1" applyAlignment="1">
      <alignment horizontal="center" vertical="center"/>
    </xf>
    <xf numFmtId="169" fontId="254" fillId="59" borderId="14" xfId="3568" applyNumberFormat="1" applyFont="1" applyFill="1" applyBorder="1" applyAlignment="1">
      <alignment horizontal="center" vertical="center"/>
    </xf>
    <xf numFmtId="169" fontId="254" fillId="59" borderId="37" xfId="3568" applyNumberFormat="1" applyFont="1" applyFill="1" applyBorder="1" applyAlignment="1">
      <alignment horizontal="center" vertical="center"/>
    </xf>
    <xf numFmtId="169" fontId="254" fillId="59" borderId="23" xfId="4132" applyNumberFormat="1" applyFont="1" applyFill="1" applyBorder="1" applyAlignment="1">
      <alignment horizontal="center" wrapText="1"/>
    </xf>
    <xf numFmtId="169" fontId="254" fillId="59" borderId="23" xfId="4132" applyNumberFormat="1" applyFont="1" applyFill="1" applyBorder="1" applyAlignment="1">
      <alignment horizontal="left" vertical="center"/>
    </xf>
    <xf numFmtId="169" fontId="254" fillId="59" borderId="12" xfId="4132" applyNumberFormat="1" applyFont="1" applyFill="1" applyBorder="1" applyAlignment="1">
      <alignment horizontal="left" vertical="center"/>
    </xf>
    <xf numFmtId="169" fontId="254" fillId="59" borderId="32" xfId="4132" applyNumberFormat="1" applyFont="1" applyFill="1" applyBorder="1" applyAlignment="1">
      <alignment horizontal="left" vertical="center"/>
    </xf>
    <xf numFmtId="169" fontId="254" fillId="59" borderId="46" xfId="4132" applyNumberFormat="1" applyFont="1" applyFill="1" applyBorder="1" applyAlignment="1">
      <alignment horizontal="center"/>
    </xf>
    <xf numFmtId="169" fontId="254" fillId="59" borderId="47" xfId="4132" applyNumberFormat="1" applyFont="1" applyFill="1" applyBorder="1" applyAlignment="1">
      <alignment horizontal="center"/>
    </xf>
    <xf numFmtId="169" fontId="254" fillId="59" borderId="48" xfId="4132" applyNumberFormat="1" applyFont="1" applyFill="1" applyBorder="1" applyAlignment="1">
      <alignment horizontal="center"/>
    </xf>
    <xf numFmtId="169" fontId="254" fillId="59" borderId="46" xfId="4132" applyNumberFormat="1" applyFont="1" applyFill="1" applyBorder="1" applyAlignment="1">
      <alignment horizontal="center" vertical="center"/>
    </xf>
    <xf numFmtId="169" fontId="254" fillId="59" borderId="47" xfId="4132" applyNumberFormat="1" applyFont="1" applyFill="1" applyBorder="1" applyAlignment="1">
      <alignment horizontal="center" vertical="center"/>
    </xf>
    <xf numFmtId="169" fontId="254" fillId="59" borderId="48" xfId="4132" applyNumberFormat="1" applyFont="1" applyFill="1" applyBorder="1" applyAlignment="1">
      <alignment horizontal="center" vertical="center"/>
    </xf>
    <xf numFmtId="43" fontId="44" fillId="70" borderId="45" xfId="4132" applyFont="1" applyFill="1" applyBorder="1" applyAlignment="1">
      <alignment horizontal="center" vertical="center" wrapText="1"/>
    </xf>
    <xf numFmtId="43" fontId="44" fillId="70" borderId="9" xfId="4132" applyFont="1" applyFill="1" applyBorder="1" applyAlignment="1">
      <alignment horizontal="center" vertical="center" wrapText="1"/>
    </xf>
    <xf numFmtId="169" fontId="254" fillId="70" borderId="46" xfId="1783" applyNumberFormat="1" applyFont="1" applyFill="1" applyBorder="1" applyAlignment="1">
      <alignment horizontal="center"/>
    </xf>
    <xf numFmtId="169" fontId="254" fillId="70" borderId="47" xfId="1783" applyNumberFormat="1" applyFont="1" applyFill="1" applyBorder="1" applyAlignment="1">
      <alignment horizontal="center"/>
    </xf>
    <xf numFmtId="169" fontId="254" fillId="70" borderId="48" xfId="1783" applyNumberFormat="1" applyFont="1" applyFill="1" applyBorder="1" applyAlignment="1">
      <alignment horizontal="center"/>
    </xf>
    <xf numFmtId="169" fontId="44" fillId="70" borderId="44" xfId="1783" applyNumberFormat="1" applyFont="1" applyFill="1" applyBorder="1" applyAlignment="1">
      <alignment horizontal="center" vertical="center" wrapText="1"/>
    </xf>
    <xf numFmtId="169" fontId="257" fillId="70" borderId="44" xfId="1783" applyNumberFormat="1" applyFont="1" applyFill="1" applyBorder="1" applyAlignment="1">
      <alignment horizontal="center" vertical="center"/>
    </xf>
    <xf numFmtId="194" fontId="259" fillId="69" borderId="0" xfId="0" applyFont="1" applyFill="1" applyAlignment="1">
      <alignment horizontal="center"/>
    </xf>
    <xf numFmtId="49" fontId="259" fillId="69" borderId="0" xfId="0" applyNumberFormat="1" applyFont="1" applyFill="1" applyAlignment="1">
      <alignment horizontal="center"/>
    </xf>
    <xf numFmtId="169" fontId="44" fillId="70" borderId="10" xfId="1783" applyNumberFormat="1" applyFont="1" applyFill="1" applyBorder="1" applyAlignment="1">
      <alignment horizontal="center" vertical="center" wrapText="1"/>
    </xf>
    <xf numFmtId="169" fontId="257" fillId="70" borderId="9" xfId="1783" applyNumberFormat="1" applyFont="1" applyFill="1" applyBorder="1" applyAlignment="1">
      <alignment horizontal="center" vertical="center"/>
    </xf>
    <xf numFmtId="1" fontId="257" fillId="59" borderId="10" xfId="1783" applyNumberFormat="1" applyFont="1" applyFill="1" applyBorder="1" applyAlignment="1">
      <alignment horizontal="center" vertical="center" wrapText="1"/>
    </xf>
    <xf numFmtId="1" fontId="257" fillId="59" borderId="9" xfId="1783" applyNumberFormat="1" applyFont="1" applyFill="1" applyBorder="1" applyAlignment="1">
      <alignment horizontal="center" vertical="center"/>
    </xf>
    <xf numFmtId="169" fontId="44" fillId="59" borderId="46" xfId="1783" applyNumberFormat="1" applyFont="1" applyFill="1" applyBorder="1" applyAlignment="1">
      <alignment horizontal="center" vertical="center"/>
    </xf>
    <xf numFmtId="169" fontId="257" fillId="59" borderId="48" xfId="1783" applyNumberFormat="1" applyFont="1" applyFill="1" applyBorder="1" applyAlignment="1">
      <alignment horizontal="center" vertical="center"/>
    </xf>
    <xf numFmtId="43" fontId="257" fillId="70" borderId="45" xfId="1783" applyFont="1" applyFill="1" applyBorder="1" applyAlignment="1">
      <alignment horizontal="center" vertical="center" wrapText="1"/>
    </xf>
    <xf numFmtId="43" fontId="257" fillId="70" borderId="9" xfId="1783" applyFont="1" applyFill="1" applyBorder="1" applyAlignment="1">
      <alignment horizontal="center" vertical="center" wrapText="1"/>
    </xf>
    <xf numFmtId="169" fontId="257" fillId="59" borderId="10" xfId="1783" applyNumberFormat="1" applyFont="1" applyFill="1" applyBorder="1" applyAlignment="1">
      <alignment horizontal="center" vertical="center" wrapText="1"/>
    </xf>
    <xf numFmtId="169" fontId="257" fillId="59" borderId="9" xfId="1783" applyNumberFormat="1" applyFont="1" applyFill="1" applyBorder="1" applyAlignment="1">
      <alignment horizontal="center" vertical="center"/>
    </xf>
    <xf numFmtId="169" fontId="257" fillId="59" borderId="45" xfId="1783" applyNumberFormat="1" applyFont="1" applyFill="1" applyBorder="1" applyAlignment="1">
      <alignment horizontal="center" vertical="center" wrapText="1"/>
    </xf>
    <xf numFmtId="169" fontId="257" fillId="59" borderId="9" xfId="1783" applyNumberFormat="1" applyFont="1" applyFill="1" applyBorder="1" applyAlignment="1">
      <alignment horizontal="center" vertical="center" wrapText="1"/>
    </xf>
    <xf numFmtId="1" fontId="260" fillId="67" borderId="45" xfId="1783" applyNumberFormat="1" applyFont="1" applyFill="1" applyBorder="1" applyAlignment="1">
      <alignment horizontal="center" vertical="center" wrapText="1"/>
    </xf>
    <xf numFmtId="1" fontId="260" fillId="67" borderId="25" xfId="1783" applyNumberFormat="1" applyFont="1" applyFill="1" applyBorder="1" applyAlignment="1">
      <alignment horizontal="center" vertical="center" wrapText="1"/>
    </xf>
    <xf numFmtId="1" fontId="260" fillId="67" borderId="9" xfId="1783" applyNumberFormat="1" applyFont="1" applyFill="1" applyBorder="1" applyAlignment="1">
      <alignment horizontal="center" vertical="center" wrapText="1"/>
    </xf>
    <xf numFmtId="194" fontId="260" fillId="67" borderId="46" xfId="0" applyFont="1" applyFill="1" applyBorder="1" applyAlignment="1">
      <alignment horizontal="center" vertical="center"/>
    </xf>
    <xf numFmtId="194" fontId="260" fillId="67" borderId="47" xfId="0" applyFont="1" applyFill="1" applyBorder="1" applyAlignment="1">
      <alignment horizontal="center" vertical="center"/>
    </xf>
    <xf numFmtId="194" fontId="260" fillId="67" borderId="48" xfId="0" applyFont="1" applyFill="1" applyBorder="1" applyAlignment="1">
      <alignment horizontal="center" vertical="center"/>
    </xf>
    <xf numFmtId="194" fontId="260" fillId="67" borderId="46" xfId="0" applyFont="1" applyFill="1" applyBorder="1" applyAlignment="1">
      <alignment horizontal="center" vertical="center" wrapText="1"/>
    </xf>
    <xf numFmtId="194" fontId="260" fillId="67" borderId="47" xfId="0" applyFont="1" applyFill="1" applyBorder="1" applyAlignment="1">
      <alignment horizontal="center" vertical="center" wrapText="1"/>
    </xf>
    <xf numFmtId="194" fontId="260" fillId="67" borderId="48" xfId="0" applyFont="1" applyFill="1" applyBorder="1" applyAlignment="1">
      <alignment horizontal="center" vertical="center" wrapText="1"/>
    </xf>
    <xf numFmtId="169" fontId="260" fillId="67" borderId="46" xfId="1783" applyNumberFormat="1" applyFont="1" applyFill="1" applyBorder="1" applyAlignment="1">
      <alignment horizontal="center" vertical="center"/>
    </xf>
    <xf numFmtId="169" fontId="260" fillId="67" borderId="47" xfId="1783" applyNumberFormat="1" applyFont="1" applyFill="1" applyBorder="1" applyAlignment="1">
      <alignment horizontal="center" vertical="center"/>
    </xf>
    <xf numFmtId="169" fontId="260" fillId="67" borderId="48" xfId="1783" applyNumberFormat="1" applyFont="1" applyFill="1" applyBorder="1" applyAlignment="1">
      <alignment horizontal="center" vertical="center"/>
    </xf>
    <xf numFmtId="194" fontId="260" fillId="67" borderId="45" xfId="0" applyFont="1" applyFill="1" applyBorder="1" applyAlignment="1">
      <alignment horizontal="center" vertical="center" wrapText="1"/>
    </xf>
    <xf numFmtId="194" fontId="260" fillId="67" borderId="9" xfId="0" applyFont="1" applyFill="1" applyBorder="1" applyAlignment="1">
      <alignment horizontal="center" vertical="center" wrapText="1"/>
    </xf>
    <xf numFmtId="194" fontId="260" fillId="67" borderId="51" xfId="0" applyFont="1" applyFill="1" applyBorder="1" applyAlignment="1">
      <alignment horizontal="center" vertical="center" wrapText="1"/>
    </xf>
    <xf numFmtId="194" fontId="260" fillId="67" borderId="36" xfId="0" applyFont="1" applyFill="1" applyBorder="1" applyAlignment="1">
      <alignment horizontal="center" vertical="center" wrapText="1"/>
    </xf>
    <xf numFmtId="169" fontId="260" fillId="67" borderId="45" xfId="1783" applyNumberFormat="1" applyFont="1" applyFill="1" applyBorder="1" applyAlignment="1">
      <alignment horizontal="center" vertical="center" wrapText="1"/>
    </xf>
    <xf numFmtId="169" fontId="260" fillId="67" borderId="25" xfId="1783" applyNumberFormat="1" applyFont="1" applyFill="1" applyBorder="1" applyAlignment="1">
      <alignment horizontal="center" vertical="center" wrapText="1"/>
    </xf>
    <xf numFmtId="169" fontId="260" fillId="67" borderId="9" xfId="1783" applyNumberFormat="1" applyFont="1" applyFill="1" applyBorder="1" applyAlignment="1">
      <alignment horizontal="center" vertical="center" wrapText="1"/>
    </xf>
    <xf numFmtId="43" fontId="262" fillId="65" borderId="0" xfId="1783" applyFont="1" applyFill="1" applyAlignment="1">
      <alignment horizontal="center" wrapText="1"/>
    </xf>
    <xf numFmtId="1" fontId="44" fillId="59" borderId="38" xfId="1783" applyNumberFormat="1" applyFont="1" applyFill="1" applyBorder="1" applyAlignment="1">
      <alignment horizontal="center" vertical="center" wrapText="1"/>
    </xf>
    <xf numFmtId="1" fontId="44" fillId="59" borderId="30" xfId="1783" applyNumberFormat="1" applyFont="1" applyFill="1" applyBorder="1" applyAlignment="1">
      <alignment horizontal="center" vertical="center" wrapText="1"/>
    </xf>
    <xf numFmtId="194" fontId="44" fillId="59" borderId="31" xfId="0" applyFont="1" applyFill="1" applyBorder="1" applyAlignment="1">
      <alignment horizontal="center" vertical="center" wrapText="1"/>
    </xf>
    <xf numFmtId="1" fontId="44" fillId="59" borderId="39" xfId="1783" applyNumberFormat="1" applyFont="1" applyFill="1" applyBorder="1" applyAlignment="1">
      <alignment horizontal="center" vertical="center" wrapText="1"/>
    </xf>
    <xf numFmtId="1" fontId="44" fillId="59" borderId="31" xfId="1783" applyNumberFormat="1" applyFont="1" applyFill="1" applyBorder="1" applyAlignment="1">
      <alignment horizontal="center" vertical="center" wrapText="1"/>
    </xf>
    <xf numFmtId="169" fontId="44" fillId="59" borderId="39" xfId="1783" applyNumberFormat="1" applyFont="1" applyFill="1" applyBorder="1" applyAlignment="1">
      <alignment horizontal="center" wrapText="1"/>
    </xf>
    <xf numFmtId="169" fontId="44" fillId="59" borderId="31" xfId="1783" applyNumberFormat="1" applyFont="1" applyFill="1" applyBorder="1" applyAlignment="1">
      <alignment horizontal="center" wrapText="1"/>
    </xf>
    <xf numFmtId="194" fontId="44" fillId="59" borderId="39" xfId="0" applyFont="1" applyFill="1" applyBorder="1" applyAlignment="1">
      <alignment horizontal="center"/>
    </xf>
    <xf numFmtId="194" fontId="44" fillId="59" borderId="31" xfId="0" applyFont="1" applyFill="1" applyBorder="1" applyAlignment="1">
      <alignment horizontal="center"/>
    </xf>
    <xf numFmtId="194" fontId="44" fillId="59" borderId="31" xfId="0" applyFont="1" applyFill="1" applyBorder="1" applyAlignment="1">
      <alignment horizontal="center" wrapText="1"/>
    </xf>
    <xf numFmtId="194" fontId="44" fillId="59" borderId="40" xfId="0" applyFont="1" applyFill="1" applyBorder="1" applyAlignment="1">
      <alignment horizontal="center"/>
    </xf>
    <xf numFmtId="194" fontId="44" fillId="59" borderId="31" xfId="0" applyFont="1" applyFill="1" applyBorder="1" applyAlignment="1">
      <alignment horizontal="center" vertical="center"/>
    </xf>
    <xf numFmtId="169" fontId="42" fillId="64" borderId="59" xfId="1783" applyNumberFormat="1" applyFont="1" applyFill="1" applyBorder="1" applyAlignment="1">
      <alignment horizontal="center"/>
    </xf>
    <xf numFmtId="169" fontId="42" fillId="64" borderId="60" xfId="1783" applyNumberFormat="1" applyFont="1" applyFill="1" applyBorder="1" applyAlignment="1">
      <alignment horizontal="center"/>
    </xf>
    <xf numFmtId="169" fontId="42" fillId="69" borderId="0" xfId="0" applyNumberFormat="1" applyFont="1" applyFill="1" applyAlignment="1">
      <alignment horizontal="center"/>
    </xf>
    <xf numFmtId="1" fontId="44" fillId="59" borderId="31" xfId="0" applyNumberFormat="1" applyFont="1" applyFill="1" applyBorder="1" applyAlignment="1">
      <alignment horizontal="center" vertical="center" wrapText="1"/>
    </xf>
    <xf numFmtId="1" fontId="44" fillId="59" borderId="31" xfId="0" applyNumberFormat="1" applyFont="1" applyFill="1" applyBorder="1" applyAlignment="1">
      <alignment horizontal="center" vertical="center"/>
    </xf>
    <xf numFmtId="1" fontId="44" fillId="59" borderId="52" xfId="0" applyNumberFormat="1" applyFont="1" applyFill="1" applyBorder="1" applyAlignment="1">
      <alignment horizontal="center" vertical="center"/>
    </xf>
    <xf numFmtId="1" fontId="44" fillId="59" borderId="53" xfId="0" applyNumberFormat="1" applyFont="1" applyFill="1" applyBorder="1" applyAlignment="1">
      <alignment horizontal="center" vertical="center"/>
    </xf>
    <xf numFmtId="1" fontId="44" fillId="59" borderId="39" xfId="0" applyNumberFormat="1" applyFont="1" applyFill="1" applyBorder="1" applyAlignment="1">
      <alignment horizontal="center" vertical="center"/>
    </xf>
    <xf numFmtId="1" fontId="44" fillId="59" borderId="31" xfId="1783" applyNumberFormat="1" applyFont="1" applyFill="1" applyBorder="1" applyAlignment="1">
      <alignment horizontal="center" vertical="center"/>
    </xf>
  </cellXfs>
  <cellStyles count="36611">
    <cellStyle name="_x0001_" xfId="2123" xr:uid="{00000000-0005-0000-0000-000000000000}"/>
    <cellStyle name=" 1" xfId="2" xr:uid="{00000000-0005-0000-0000-000001000000}"/>
    <cellStyle name="." xfId="3" xr:uid="{00000000-0005-0000-0000-000002000000}"/>
    <cellStyle name=";;;" xfId="4" xr:uid="{00000000-0005-0000-0000-000003000000}"/>
    <cellStyle name="?" xfId="5" xr:uid="{00000000-0005-0000-0000-000004000000}"/>
    <cellStyle name="? ??" xfId="6" xr:uid="{00000000-0005-0000-0000-000005000000}"/>
    <cellStyle name="? 10" xfId="4144" xr:uid="{00000000-0005-0000-0000-000006000000}"/>
    <cellStyle name="? 11" xfId="4987" xr:uid="{00000000-0005-0000-0000-000007000000}"/>
    <cellStyle name="? 12" xfId="5044" xr:uid="{00000000-0005-0000-0000-000008000000}"/>
    <cellStyle name="? 13" xfId="5472" xr:uid="{00000000-0005-0000-0000-000009000000}"/>
    <cellStyle name="? 14" xfId="4834" xr:uid="{00000000-0005-0000-0000-00000A000000}"/>
    <cellStyle name="? 15" xfId="5140" xr:uid="{00000000-0005-0000-0000-00000B000000}"/>
    <cellStyle name="? 16" xfId="4519" xr:uid="{00000000-0005-0000-0000-00000C000000}"/>
    <cellStyle name="? 17" xfId="4864" xr:uid="{00000000-0005-0000-0000-00000D000000}"/>
    <cellStyle name="? 18" xfId="4754" xr:uid="{00000000-0005-0000-0000-00000E000000}"/>
    <cellStyle name="? 19" xfId="5086" xr:uid="{00000000-0005-0000-0000-00000F000000}"/>
    <cellStyle name="? 2" xfId="3031" xr:uid="{00000000-0005-0000-0000-000010000000}"/>
    <cellStyle name="? 20" xfId="5072" xr:uid="{00000000-0005-0000-0000-000011000000}"/>
    <cellStyle name="? 21" xfId="4566" xr:uid="{00000000-0005-0000-0000-000012000000}"/>
    <cellStyle name="? 22" xfId="5062" xr:uid="{00000000-0005-0000-0000-000013000000}"/>
    <cellStyle name="? 23" xfId="4831" xr:uid="{00000000-0005-0000-0000-000014000000}"/>
    <cellStyle name="? 24" xfId="6146" xr:uid="{00000000-0005-0000-0000-000015000000}"/>
    <cellStyle name="? 25" xfId="6005" xr:uid="{00000000-0005-0000-0000-000016000000}"/>
    <cellStyle name="? 26" xfId="4229" xr:uid="{00000000-0005-0000-0000-000017000000}"/>
    <cellStyle name="? 27" xfId="5433" xr:uid="{00000000-0005-0000-0000-000018000000}"/>
    <cellStyle name="? 28" xfId="6253" xr:uid="{00000000-0005-0000-0000-000019000000}"/>
    <cellStyle name="? 29" xfId="6511" xr:uid="{00000000-0005-0000-0000-00001A000000}"/>
    <cellStyle name="? 3" xfId="3536" xr:uid="{00000000-0005-0000-0000-00001B000000}"/>
    <cellStyle name="? 30" xfId="6349" xr:uid="{00000000-0005-0000-0000-00001C000000}"/>
    <cellStyle name="? 31" xfId="6827" xr:uid="{00000000-0005-0000-0000-00001D000000}"/>
    <cellStyle name="? 32" xfId="7716" xr:uid="{00000000-0005-0000-0000-00001E000000}"/>
    <cellStyle name="? 33" xfId="8059" xr:uid="{00000000-0005-0000-0000-00001F000000}"/>
    <cellStyle name="? 34" xfId="7862" xr:uid="{00000000-0005-0000-0000-000020000000}"/>
    <cellStyle name="? 35" xfId="9439" xr:uid="{00000000-0005-0000-0000-000021000000}"/>
    <cellStyle name="? 36" xfId="8294" xr:uid="{00000000-0005-0000-0000-000022000000}"/>
    <cellStyle name="? 37" xfId="8518" xr:uid="{00000000-0005-0000-0000-000023000000}"/>
    <cellStyle name="? 38" xfId="8441" xr:uid="{00000000-0005-0000-0000-000024000000}"/>
    <cellStyle name="? 39" xfId="9509" xr:uid="{00000000-0005-0000-0000-000025000000}"/>
    <cellStyle name="? 4" xfId="3581" xr:uid="{00000000-0005-0000-0000-000026000000}"/>
    <cellStyle name="? 40" xfId="11800" xr:uid="{00000000-0005-0000-0000-000027000000}"/>
    <cellStyle name="? 41" xfId="11801" xr:uid="{00000000-0005-0000-0000-000028000000}"/>
    <cellStyle name="? 42" xfId="11802" xr:uid="{00000000-0005-0000-0000-000029000000}"/>
    <cellStyle name="? 43" xfId="20723" xr:uid="{00000000-0005-0000-0000-00002A000000}"/>
    <cellStyle name="? 5" xfId="3373" xr:uid="{00000000-0005-0000-0000-00002B000000}"/>
    <cellStyle name="? 6" xfId="3642" xr:uid="{00000000-0005-0000-0000-00002C000000}"/>
    <cellStyle name="? 7" xfId="3876" xr:uid="{00000000-0005-0000-0000-00002D000000}"/>
    <cellStyle name="? 8" xfId="3885" xr:uid="{00000000-0005-0000-0000-00002E000000}"/>
    <cellStyle name="? 9" xfId="3962" xr:uid="{00000000-0005-0000-0000-00002F000000}"/>
    <cellStyle name="??" xfId="7" xr:uid="{00000000-0005-0000-0000-000030000000}"/>
    <cellStyle name="?? ?? ?????_(334) ?? HSI0308028N PO#P35027A2,3 208PCS (A) ??" xfId="8" xr:uid="{00000000-0005-0000-0000-000031000000}"/>
    <cellStyle name="?? ???" xfId="9" xr:uid="{00000000-0005-0000-0000-000032000000}"/>
    <cellStyle name="?? [0.00]_ Att. 1- Cover" xfId="10" xr:uid="{00000000-0005-0000-0000-000033000000}"/>
    <cellStyle name="?? [0]" xfId="11" xr:uid="{00000000-0005-0000-0000-000034000000}"/>
    <cellStyle name="?? [0] 2" xfId="3034" xr:uid="{00000000-0005-0000-0000-000035000000}"/>
    <cellStyle name="?? 1" xfId="12" xr:uid="{00000000-0005-0000-0000-000036000000}"/>
    <cellStyle name="?? 10" xfId="3875" xr:uid="{00000000-0005-0000-0000-000037000000}"/>
    <cellStyle name="?? 11" xfId="3899" xr:uid="{00000000-0005-0000-0000-000038000000}"/>
    <cellStyle name="?? 12" xfId="3963" xr:uid="{00000000-0005-0000-0000-000039000000}"/>
    <cellStyle name="?? 13" xfId="4146" xr:uid="{00000000-0005-0000-0000-00003A000000}"/>
    <cellStyle name="?? 14" xfId="4986" xr:uid="{00000000-0005-0000-0000-00003B000000}"/>
    <cellStyle name="?? 15" xfId="5071" xr:uid="{00000000-0005-0000-0000-00003C000000}"/>
    <cellStyle name="?? 16" xfId="5450" xr:uid="{00000000-0005-0000-0000-00003D000000}"/>
    <cellStyle name="?? 17" xfId="4835" xr:uid="{00000000-0005-0000-0000-00003E000000}"/>
    <cellStyle name="?? 18" xfId="5078" xr:uid="{00000000-0005-0000-0000-00003F000000}"/>
    <cellStyle name="?? 19" xfId="5892" xr:uid="{00000000-0005-0000-0000-000040000000}"/>
    <cellStyle name="?? 2" xfId="13" xr:uid="{00000000-0005-0000-0000-000041000000}"/>
    <cellStyle name="?? 20" xfId="5280" xr:uid="{00000000-0005-0000-0000-000042000000}"/>
    <cellStyle name="?? 21" xfId="4507" xr:uid="{00000000-0005-0000-0000-000043000000}"/>
    <cellStyle name="?? 22" xfId="4854" xr:uid="{00000000-0005-0000-0000-000044000000}"/>
    <cellStyle name="?? 23" xfId="4311" xr:uid="{00000000-0005-0000-0000-000045000000}"/>
    <cellStyle name="?? 24" xfId="4565" xr:uid="{00000000-0005-0000-0000-000046000000}"/>
    <cellStyle name="?? 25" xfId="5858" xr:uid="{00000000-0005-0000-0000-000047000000}"/>
    <cellStyle name="?? 26" xfId="5239" xr:uid="{00000000-0005-0000-0000-000048000000}"/>
    <cellStyle name="?? 27" xfId="6155" xr:uid="{00000000-0005-0000-0000-000049000000}"/>
    <cellStyle name="?? 28" xfId="6177" xr:uid="{00000000-0005-0000-0000-00004A000000}"/>
    <cellStyle name="?? 29" xfId="6195" xr:uid="{00000000-0005-0000-0000-00004B000000}"/>
    <cellStyle name="?? 3" xfId="14" xr:uid="{00000000-0005-0000-0000-00004C000000}"/>
    <cellStyle name="?? 30" xfId="6210" xr:uid="{00000000-0005-0000-0000-00004D000000}"/>
    <cellStyle name="?? 31" xfId="6254" xr:uid="{00000000-0005-0000-0000-00004E000000}"/>
    <cellStyle name="?? 32" xfId="6510" xr:uid="{00000000-0005-0000-0000-00004F000000}"/>
    <cellStyle name="?? 33" xfId="6350" xr:uid="{00000000-0005-0000-0000-000050000000}"/>
    <cellStyle name="?? 34" xfId="6828" xr:uid="{00000000-0005-0000-0000-000051000000}"/>
    <cellStyle name="?? 35" xfId="7717" xr:uid="{00000000-0005-0000-0000-000052000000}"/>
    <cellStyle name="?? 36" xfId="8058" xr:uid="{00000000-0005-0000-0000-000053000000}"/>
    <cellStyle name="?? 37" xfId="7863" xr:uid="{00000000-0005-0000-0000-000054000000}"/>
    <cellStyle name="?? 38" xfId="9466" xr:uid="{00000000-0005-0000-0000-000055000000}"/>
    <cellStyle name="?? 39" xfId="9477" xr:uid="{00000000-0005-0000-0000-000056000000}"/>
    <cellStyle name="?? 4" xfId="15" xr:uid="{00000000-0005-0000-0000-000057000000}"/>
    <cellStyle name="?? 40" xfId="9459" xr:uid="{00000000-0005-0000-0000-000058000000}"/>
    <cellStyle name="?? 41" xfId="9437" xr:uid="{00000000-0005-0000-0000-000059000000}"/>
    <cellStyle name="?? 42" xfId="9510" xr:uid="{00000000-0005-0000-0000-00005A000000}"/>
    <cellStyle name="?? 43" xfId="11803" xr:uid="{00000000-0005-0000-0000-00005B000000}"/>
    <cellStyle name="?? 44" xfId="11804" xr:uid="{00000000-0005-0000-0000-00005C000000}"/>
    <cellStyle name="?? 45" xfId="11805" xr:uid="{00000000-0005-0000-0000-00005D000000}"/>
    <cellStyle name="?? 46" xfId="20724" xr:uid="{00000000-0005-0000-0000-00005E000000}"/>
    <cellStyle name="?? 5" xfId="3033" xr:uid="{00000000-0005-0000-0000-00005F000000}"/>
    <cellStyle name="?? 6" xfId="3535" xr:uid="{00000000-0005-0000-0000-000060000000}"/>
    <cellStyle name="?? 7" xfId="3593" xr:uid="{00000000-0005-0000-0000-000061000000}"/>
    <cellStyle name="?? 8" xfId="3372" xr:uid="{00000000-0005-0000-0000-000062000000}"/>
    <cellStyle name="?? 9" xfId="3643" xr:uid="{00000000-0005-0000-0000-000063000000}"/>
    <cellStyle name="??_x000c_" xfId="16" xr:uid="{00000000-0005-0000-0000-000064000000}"/>
    <cellStyle name="??_x000c_ 2" xfId="3035" xr:uid="{00000000-0005-0000-0000-000065000000}"/>
    <cellStyle name="??_x000c_&quot;" xfId="17" xr:uid="{00000000-0005-0000-0000-000066000000}"/>
    <cellStyle name="??_x000c_&quot; 2" xfId="3036" xr:uid="{00000000-0005-0000-0000-000067000000}"/>
    <cellStyle name="??_x000c_&quot;?" xfId="18" xr:uid="{00000000-0005-0000-0000-000068000000}"/>
    <cellStyle name="??_x000c_&quot;?_x001b_" xfId="19" xr:uid="{00000000-0005-0000-0000-000069000000}"/>
    <cellStyle name="??_x000c_&quot;? 10" xfId="4148" xr:uid="{00000000-0005-0000-0000-00006A000000}"/>
    <cellStyle name="??_x000c_&quot;?_x001b_ 10" xfId="4149" xr:uid="{00000000-0005-0000-0000-00006B000000}"/>
    <cellStyle name="??_x000c_&quot;? 11" xfId="4980" xr:uid="{00000000-0005-0000-0000-00006C000000}"/>
    <cellStyle name="??_x000c_&quot;?_x001b_ 11" xfId="4979" xr:uid="{00000000-0005-0000-0000-00006D000000}"/>
    <cellStyle name="??_x000c_&quot;? 12" xfId="5162" xr:uid="{00000000-0005-0000-0000-00006E000000}"/>
    <cellStyle name="??_x000c_&quot;?_x001b_ 12" xfId="5046" xr:uid="{00000000-0005-0000-0000-00006F000000}"/>
    <cellStyle name="??_x000c_&quot;? 13" xfId="5387" xr:uid="{00000000-0005-0000-0000-000070000000}"/>
    <cellStyle name="??_x000c_&quot;?_x001b_ 13" xfId="5357" xr:uid="{00000000-0005-0000-0000-000071000000}"/>
    <cellStyle name="??_x000c_&quot;? 14" xfId="4357" xr:uid="{00000000-0005-0000-0000-000072000000}"/>
    <cellStyle name="??_x000c_&quot;?_x001b_ 14" xfId="4449" xr:uid="{00000000-0005-0000-0000-000073000000}"/>
    <cellStyle name="??_x000c_&quot;? 15" xfId="4751" xr:uid="{00000000-0005-0000-0000-000074000000}"/>
    <cellStyle name="??_x000c_&quot;?_x001b_ 15" xfId="5138" xr:uid="{00000000-0005-0000-0000-000075000000}"/>
    <cellStyle name="??_x000c_&quot;? 16" xfId="4524" xr:uid="{00000000-0005-0000-0000-000076000000}"/>
    <cellStyle name="??_x000c_&quot;?_x001b_ 16" xfId="5411" xr:uid="{00000000-0005-0000-0000-000077000000}"/>
    <cellStyle name="??_x000c_&quot;? 17" xfId="4664" xr:uid="{00000000-0005-0000-0000-000078000000}"/>
    <cellStyle name="??_x000c_&quot;?_x001b_ 17" xfId="5228" xr:uid="{00000000-0005-0000-0000-000079000000}"/>
    <cellStyle name="??_x000c_&quot;? 18" xfId="4842" xr:uid="{00000000-0005-0000-0000-00007A000000}"/>
    <cellStyle name="??_x000c_&quot;?_x001b_ 18" xfId="6009" xr:uid="{00000000-0005-0000-0000-00007B000000}"/>
    <cellStyle name="??_x000c_&quot;? 19" xfId="5035" xr:uid="{00000000-0005-0000-0000-00007C000000}"/>
    <cellStyle name="??_x000c_&quot;?_x001b_ 19" xfId="4749" xr:uid="{00000000-0005-0000-0000-00007D000000}"/>
    <cellStyle name="??_x000c_&quot;? 2" xfId="3037" xr:uid="{00000000-0005-0000-0000-00007E000000}"/>
    <cellStyle name="??_x000c_&quot;?_x001b_ 2" xfId="3038" xr:uid="{00000000-0005-0000-0000-00007F000000}"/>
    <cellStyle name="??_x000c_&quot;? 20" xfId="5170" xr:uid="{00000000-0005-0000-0000-000080000000}"/>
    <cellStyle name="??_x000c_&quot;?_x001b_ 20" xfId="5575" xr:uid="{00000000-0005-0000-0000-000081000000}"/>
    <cellStyle name="??_x000c_&quot;? 21" xfId="5187" xr:uid="{00000000-0005-0000-0000-000082000000}"/>
    <cellStyle name="??_x000c_&quot;?_x001b_ 21" xfId="4226" xr:uid="{00000000-0005-0000-0000-000083000000}"/>
    <cellStyle name="??_x000c_&quot;? 22" xfId="5092" xr:uid="{00000000-0005-0000-0000-000084000000}"/>
    <cellStyle name="??_x000c_&quot;?_x001b_ 22" xfId="4574" xr:uid="{00000000-0005-0000-0000-000085000000}"/>
    <cellStyle name="??_x000c_&quot;? 23" xfId="5970" xr:uid="{00000000-0005-0000-0000-000086000000}"/>
    <cellStyle name="??_x000c_&quot;?_x001b_ 23" xfId="4981" xr:uid="{00000000-0005-0000-0000-000087000000}"/>
    <cellStyle name="??_x000c_&quot;? 24" xfId="4845" xr:uid="{00000000-0005-0000-0000-000088000000}"/>
    <cellStyle name="??_x000c_&quot;?_x001b_ 24" xfId="6085" xr:uid="{00000000-0005-0000-0000-000089000000}"/>
    <cellStyle name="??_x000c_&quot;? 25" xfId="4868" xr:uid="{00000000-0005-0000-0000-00008A000000}"/>
    <cellStyle name="??_x000c_&quot;?_x001b_ 25" xfId="4445" xr:uid="{00000000-0005-0000-0000-00008B000000}"/>
    <cellStyle name="??_x000c_&quot;? 26" xfId="5201" xr:uid="{00000000-0005-0000-0000-00008C000000}"/>
    <cellStyle name="??_x000c_&quot;?_x001b_ 26" xfId="5018" xr:uid="{00000000-0005-0000-0000-00008D000000}"/>
    <cellStyle name="??_x000c_&quot;? 27" xfId="5131" xr:uid="{00000000-0005-0000-0000-00008E000000}"/>
    <cellStyle name="??_x000c_&quot;?_x001b_ 27" xfId="5447" xr:uid="{00000000-0005-0000-0000-00008F000000}"/>
    <cellStyle name="??_x000c_&quot;? 28" xfId="6255" xr:uid="{00000000-0005-0000-0000-000090000000}"/>
    <cellStyle name="??_x000c_&quot;?_x001b_ 28" xfId="6256" xr:uid="{00000000-0005-0000-0000-000091000000}"/>
    <cellStyle name="??_x000c_&quot;? 29" xfId="6509" xr:uid="{00000000-0005-0000-0000-000092000000}"/>
    <cellStyle name="??_x000c_&quot;?_x001b_ 29" xfId="6508" xr:uid="{00000000-0005-0000-0000-000093000000}"/>
    <cellStyle name="??_x000c_&quot;? 3" xfId="3534" xr:uid="{00000000-0005-0000-0000-000094000000}"/>
    <cellStyle name="??_x000c_&quot;?_x001b_ 3" xfId="3533" xr:uid="{00000000-0005-0000-0000-000095000000}"/>
    <cellStyle name="??_x000c_&quot;? 30" xfId="6351" xr:uid="{00000000-0005-0000-0000-000096000000}"/>
    <cellStyle name="??_x000c_&quot;?_x001b_ 30" xfId="6352" xr:uid="{00000000-0005-0000-0000-000097000000}"/>
    <cellStyle name="??_x000c_&quot;? 31" xfId="6829" xr:uid="{00000000-0005-0000-0000-000098000000}"/>
    <cellStyle name="??_x000c_&quot;?_x001b_ 31" xfId="6830" xr:uid="{00000000-0005-0000-0000-000099000000}"/>
    <cellStyle name="??_x000c_&quot;? 32" xfId="7718" xr:uid="{00000000-0005-0000-0000-00009A000000}"/>
    <cellStyle name="??_x000c_&quot;?_x001b_ 32" xfId="7719" xr:uid="{00000000-0005-0000-0000-00009B000000}"/>
    <cellStyle name="??_x000c_&quot;? 33" xfId="8055" xr:uid="{00000000-0005-0000-0000-00009C000000}"/>
    <cellStyle name="??_x000c_&quot;?_x001b_ 33" xfId="8054" xr:uid="{00000000-0005-0000-0000-00009D000000}"/>
    <cellStyle name="??_x000c_&quot;? 34" xfId="7866" xr:uid="{00000000-0005-0000-0000-00009E000000}"/>
    <cellStyle name="??_x000c_&quot;?_x001b_ 34" xfId="7867" xr:uid="{00000000-0005-0000-0000-00009F000000}"/>
    <cellStyle name="??_x000c_&quot;? 35" xfId="8122" xr:uid="{00000000-0005-0000-0000-0000A0000000}"/>
    <cellStyle name="??_x000c_&quot;?_x001b_ 35" xfId="8568" xr:uid="{00000000-0005-0000-0000-0000A1000000}"/>
    <cellStyle name="??_x000c_&quot;? 36" xfId="9408" xr:uid="{00000000-0005-0000-0000-0000A2000000}"/>
    <cellStyle name="??_x000c_&quot;?_x001b_ 36" xfId="8541" xr:uid="{00000000-0005-0000-0000-0000A3000000}"/>
    <cellStyle name="??_x000c_&quot;? 37" xfId="8534" xr:uid="{00000000-0005-0000-0000-0000A4000000}"/>
    <cellStyle name="??_x000c_&quot;?_x001b_ 37" xfId="7835" xr:uid="{00000000-0005-0000-0000-0000A5000000}"/>
    <cellStyle name="??_x000c_&quot;? 38" xfId="9496" xr:uid="{00000000-0005-0000-0000-0000A6000000}"/>
    <cellStyle name="??_x000c_&quot;?_x001b_ 38" xfId="8104" xr:uid="{00000000-0005-0000-0000-0000A7000000}"/>
    <cellStyle name="??_x000c_&quot;? 39" xfId="9511" xr:uid="{00000000-0005-0000-0000-0000A8000000}"/>
    <cellStyle name="??_x000c_&quot;?_x001b_ 39" xfId="9512" xr:uid="{00000000-0005-0000-0000-0000A9000000}"/>
    <cellStyle name="??_x000c_&quot;? 4" xfId="3554" xr:uid="{00000000-0005-0000-0000-0000AA000000}"/>
    <cellStyle name="??_x000c_&quot;?_x001b_ 4" xfId="3580" xr:uid="{00000000-0005-0000-0000-0000AB000000}"/>
    <cellStyle name="??_x000c_&quot;? 40" xfId="11806" xr:uid="{00000000-0005-0000-0000-0000AC000000}"/>
    <cellStyle name="??_x000c_&quot;?_x001b_ 40" xfId="11807" xr:uid="{00000000-0005-0000-0000-0000AD000000}"/>
    <cellStyle name="??_x000c_&quot;? 41" xfId="11808" xr:uid="{00000000-0005-0000-0000-0000AE000000}"/>
    <cellStyle name="??_x000c_&quot;?_x001b_ 41" xfId="11809" xr:uid="{00000000-0005-0000-0000-0000AF000000}"/>
    <cellStyle name="??_x000c_&quot;? 42" xfId="11810" xr:uid="{00000000-0005-0000-0000-0000B0000000}"/>
    <cellStyle name="??_x000c_&quot;?_x001b_ 42" xfId="11811" xr:uid="{00000000-0005-0000-0000-0000B1000000}"/>
    <cellStyle name="??_x000c_&quot;? 43" xfId="20725" xr:uid="{00000000-0005-0000-0000-0000B2000000}"/>
    <cellStyle name="??_x000c_&quot;?_x001b_ 43" xfId="20726" xr:uid="{00000000-0005-0000-0000-0000B3000000}"/>
    <cellStyle name="??_x000c_&quot;? 5" xfId="3582" xr:uid="{00000000-0005-0000-0000-0000B4000000}"/>
    <cellStyle name="??_x000c_&quot;?_x001b_ 5" xfId="3627" xr:uid="{00000000-0005-0000-0000-0000B5000000}"/>
    <cellStyle name="??_x000c_&quot;? 6" xfId="3644" xr:uid="{00000000-0005-0000-0000-0000B6000000}"/>
    <cellStyle name="??_x000c_&quot;?_x001b_ 6" xfId="3645" xr:uid="{00000000-0005-0000-0000-0000B7000000}"/>
    <cellStyle name="??_x000c_&quot;? 7" xfId="3874" xr:uid="{00000000-0005-0000-0000-0000B8000000}"/>
    <cellStyle name="??_x000c_&quot;?_x001b_ 7" xfId="3873" xr:uid="{00000000-0005-0000-0000-0000B9000000}"/>
    <cellStyle name="??_x000c_&quot;? 8" xfId="3726" xr:uid="{00000000-0005-0000-0000-0000BA000000}"/>
    <cellStyle name="??_x000c_&quot;?_x001b_ 8" xfId="3894" xr:uid="{00000000-0005-0000-0000-0000BB000000}"/>
    <cellStyle name="??_x000c_&quot;? 9" xfId="3964" xr:uid="{00000000-0005-0000-0000-0000BC000000}"/>
    <cellStyle name="??_x000c_&quot;?_x001b_ 9" xfId="3965" xr:uid="{00000000-0005-0000-0000-0000BD000000}"/>
    <cellStyle name="??_x000c_&quot;?_x001b__x000d_" xfId="20" xr:uid="{00000000-0005-0000-0000-0000BE000000}"/>
    <cellStyle name="??_x000c_&quot;?_x001b__x000d__x0015_" xfId="21" xr:uid="{00000000-0005-0000-0000-0000BF000000}"/>
    <cellStyle name="??_x000c_&quot;?_x001b__x000d_ 10" xfId="4150" xr:uid="{00000000-0005-0000-0000-0000C0000000}"/>
    <cellStyle name="??_x000c_&quot;?_x001b__x000d__x0015_ 10" xfId="4151" xr:uid="{00000000-0005-0000-0000-0000C1000000}"/>
    <cellStyle name="??_x000c_&quot;?_x001b__x000d_ 11" xfId="4978" xr:uid="{00000000-0005-0000-0000-0000C2000000}"/>
    <cellStyle name="??_x000c_&quot;?_x001b__x000d__x0015_ 11" xfId="4977" xr:uid="{00000000-0005-0000-0000-0000C3000000}"/>
    <cellStyle name="??_x000c_&quot;?_x001b__x000d_ 12" xfId="5175" xr:uid="{00000000-0005-0000-0000-0000C4000000}"/>
    <cellStyle name="??_x000c_&quot;?_x001b__x000d__x0015_ 12" xfId="5073" xr:uid="{00000000-0005-0000-0000-0000C5000000}"/>
    <cellStyle name="??_x000c_&quot;?_x001b__x000d_ 13" xfId="5276" xr:uid="{00000000-0005-0000-0000-0000C6000000}"/>
    <cellStyle name="??_x000c_&quot;?_x001b__x000d__x0015_ 13" xfId="5356" xr:uid="{00000000-0005-0000-0000-0000C7000000}"/>
    <cellStyle name="??_x000c_&quot;?_x001b__x000d_ 14" xfId="5250" xr:uid="{00000000-0005-0000-0000-0000C8000000}"/>
    <cellStyle name="??_x000c_&quot;?_x001b__x000d__x0015_ 14" xfId="4450" xr:uid="{00000000-0005-0000-0000-0000C9000000}"/>
    <cellStyle name="??_x000c_&quot;?_x001b__x000d_ 15" xfId="4275" xr:uid="{00000000-0005-0000-0000-0000CA000000}"/>
    <cellStyle name="??_x000c_&quot;?_x001b__x000d__x0015_ 15" xfId="5093" xr:uid="{00000000-0005-0000-0000-0000CB000000}"/>
    <cellStyle name="??_x000c_&quot;?_x001b__x000d_ 16" xfId="5266" xr:uid="{00000000-0005-0000-0000-0000CC000000}"/>
    <cellStyle name="??_x000c_&quot;?_x001b__x000d__x0015_ 16" xfId="4367" xr:uid="{00000000-0005-0000-0000-0000CD000000}"/>
    <cellStyle name="??_x000c_&quot;?_x001b__x000d_ 17" xfId="4909" xr:uid="{00000000-0005-0000-0000-0000CE000000}"/>
    <cellStyle name="??_x000c_&quot;?_x001b__x000d__x0015_ 17" xfId="4625" xr:uid="{00000000-0005-0000-0000-0000CF000000}"/>
    <cellStyle name="??_x000c_&quot;?_x001b__x000d_ 18" xfId="4544" xr:uid="{00000000-0005-0000-0000-0000D0000000}"/>
    <cellStyle name="??_x000c_&quot;?_x001b__x000d__x0015_ 18" xfId="5167" xr:uid="{00000000-0005-0000-0000-0000D1000000}"/>
    <cellStyle name="??_x000c_&quot;?_x001b__x000d_ 19" xfId="4270" xr:uid="{00000000-0005-0000-0000-0000D2000000}"/>
    <cellStyle name="??_x000c_&quot;?_x001b__x000d__x0015_ 19" xfId="6019" xr:uid="{00000000-0005-0000-0000-0000D3000000}"/>
    <cellStyle name="??_x000c_&quot;?_x001b__x000d_ 2" xfId="3039" xr:uid="{00000000-0005-0000-0000-0000D4000000}"/>
    <cellStyle name="??_x000c_&quot;?_x001b__x000d__x0015_ 2" xfId="3040" xr:uid="{00000000-0005-0000-0000-0000D5000000}"/>
    <cellStyle name="??_x000c_&quot;?_x001b__x000d_ 20" xfId="5074" xr:uid="{00000000-0005-0000-0000-0000D6000000}"/>
    <cellStyle name="??_x000c_&quot;?_x001b__x000d__x0015_ 20" xfId="5224" xr:uid="{00000000-0005-0000-0000-0000D7000000}"/>
    <cellStyle name="??_x000c_&quot;?_x001b__x000d_ 21" xfId="6027" xr:uid="{00000000-0005-0000-0000-0000D8000000}"/>
    <cellStyle name="??_x000c_&quot;?_x001b__x000d__x0015_ 21" xfId="4259" xr:uid="{00000000-0005-0000-0000-0000D9000000}"/>
    <cellStyle name="??_x000c_&quot;?_x001b__x000d_ 22" xfId="5262" xr:uid="{00000000-0005-0000-0000-0000DA000000}"/>
    <cellStyle name="??_x000c_&quot;?_x001b__x000d__x0015_ 22" xfId="4494" xr:uid="{00000000-0005-0000-0000-0000DB000000}"/>
    <cellStyle name="??_x000c_&quot;?_x001b__x000d_ 23" xfId="5845" xr:uid="{00000000-0005-0000-0000-0000DC000000}"/>
    <cellStyle name="??_x000c_&quot;?_x001b__x000d__x0015_ 23" xfId="5203" xr:uid="{00000000-0005-0000-0000-0000DD000000}"/>
    <cellStyle name="??_x000c_&quot;?_x001b__x000d_ 24" xfId="6101" xr:uid="{00000000-0005-0000-0000-0000DE000000}"/>
    <cellStyle name="??_x000c_&quot;?_x001b__x000d__x0015_ 24" xfId="4600" xr:uid="{00000000-0005-0000-0000-0000DF000000}"/>
    <cellStyle name="??_x000c_&quot;?_x001b__x000d_ 25" xfId="6141" xr:uid="{00000000-0005-0000-0000-0000E0000000}"/>
    <cellStyle name="??_x000c_&quot;?_x001b__x000d__x0015_ 25" xfId="6078" xr:uid="{00000000-0005-0000-0000-0000E1000000}"/>
    <cellStyle name="??_x000c_&quot;?_x001b__x000d_ 26" xfId="6166" xr:uid="{00000000-0005-0000-0000-0000E2000000}"/>
    <cellStyle name="??_x000c_&quot;?_x001b__x000d__x0015_ 26" xfId="6082" xr:uid="{00000000-0005-0000-0000-0000E3000000}"/>
    <cellStyle name="??_x000c_&quot;?_x001b__x000d_ 27" xfId="6185" xr:uid="{00000000-0005-0000-0000-0000E4000000}"/>
    <cellStyle name="??_x000c_&quot;?_x001b__x000d__x0015_ 27" xfId="4536" xr:uid="{00000000-0005-0000-0000-0000E5000000}"/>
    <cellStyle name="??_x000c_&quot;?_x001b__x000d_ 28" xfId="6257" xr:uid="{00000000-0005-0000-0000-0000E6000000}"/>
    <cellStyle name="??_x000c_&quot;?_x001b__x000d__x0015_ 28" xfId="6258" xr:uid="{00000000-0005-0000-0000-0000E7000000}"/>
    <cellStyle name="??_x000c_&quot;?_x001b__x000d_ 29" xfId="6507" xr:uid="{00000000-0005-0000-0000-0000E8000000}"/>
    <cellStyle name="??_x000c_&quot;?_x001b__x000d__x0015_ 29" xfId="6506" xr:uid="{00000000-0005-0000-0000-0000E9000000}"/>
    <cellStyle name="??_x000c_&quot;?_x001b__x000d_ 3" xfId="3532" xr:uid="{00000000-0005-0000-0000-0000EA000000}"/>
    <cellStyle name="??_x000c_&quot;?_x001b__x000d__x0015_ 3" xfId="3531" xr:uid="{00000000-0005-0000-0000-0000EB000000}"/>
    <cellStyle name="??_x000c_&quot;?_x001b__x000d_ 30" xfId="6353" xr:uid="{00000000-0005-0000-0000-0000EC000000}"/>
    <cellStyle name="??_x000c_&quot;?_x001b__x000d__x0015_ 30" xfId="6354" xr:uid="{00000000-0005-0000-0000-0000ED000000}"/>
    <cellStyle name="??_x000c_&quot;?_x001b__x000d_ 31" xfId="6831" xr:uid="{00000000-0005-0000-0000-0000EE000000}"/>
    <cellStyle name="??_x000c_&quot;?_x001b__x000d__x0015_ 31" xfId="6832" xr:uid="{00000000-0005-0000-0000-0000EF000000}"/>
    <cellStyle name="??_x000c_&quot;?_x001b__x000d_ 32" xfId="7720" xr:uid="{00000000-0005-0000-0000-0000F0000000}"/>
    <cellStyle name="??_x000c_&quot;?_x001b__x000d__x0015_ 32" xfId="7721" xr:uid="{00000000-0005-0000-0000-0000F1000000}"/>
    <cellStyle name="??_x000c_&quot;?_x001b__x000d_ 33" xfId="8053" xr:uid="{00000000-0005-0000-0000-0000F2000000}"/>
    <cellStyle name="??_x000c_&quot;?_x001b__x000d__x0015_ 33" xfId="8052" xr:uid="{00000000-0005-0000-0000-0000F3000000}"/>
    <cellStyle name="??_x000c_&quot;?_x001b__x000d_ 34" xfId="7868" xr:uid="{00000000-0005-0000-0000-0000F4000000}"/>
    <cellStyle name="??_x000c_&quot;?_x001b__x000d__x0015_ 34" xfId="7869" xr:uid="{00000000-0005-0000-0000-0000F5000000}"/>
    <cellStyle name="??_x000c_&quot;?_x001b__x000d_ 35" xfId="8345" xr:uid="{00000000-0005-0000-0000-0000F6000000}"/>
    <cellStyle name="??_x000c_&quot;?_x001b__x000d__x0015_ 35" xfId="8409" xr:uid="{00000000-0005-0000-0000-0000F7000000}"/>
    <cellStyle name="??_x000c_&quot;?_x001b__x000d_ 36" xfId="8296" xr:uid="{00000000-0005-0000-0000-0000F8000000}"/>
    <cellStyle name="??_x000c_&quot;?_x001b__x000d__x0015_ 36" xfId="8561" xr:uid="{00000000-0005-0000-0000-0000F9000000}"/>
    <cellStyle name="??_x000c_&quot;?_x001b__x000d_ 37" xfId="7821" xr:uid="{00000000-0005-0000-0000-0000FA000000}"/>
    <cellStyle name="??_x000c_&quot;?_x001b__x000d__x0015_ 37" xfId="7830" xr:uid="{00000000-0005-0000-0000-0000FB000000}"/>
    <cellStyle name="??_x000c_&quot;?_x001b__x000d_ 38" xfId="7838" xr:uid="{00000000-0005-0000-0000-0000FC000000}"/>
    <cellStyle name="??_x000c_&quot;?_x001b__x000d__x0015_ 38" xfId="7844" xr:uid="{00000000-0005-0000-0000-0000FD000000}"/>
    <cellStyle name="??_x000c_&quot;?_x001b__x000d_ 39" xfId="9513" xr:uid="{00000000-0005-0000-0000-0000FE000000}"/>
    <cellStyle name="??_x000c_&quot;?_x001b__x000d__x0015_ 39" xfId="9514" xr:uid="{00000000-0005-0000-0000-0000FF000000}"/>
    <cellStyle name="??_x000c_&quot;?_x001b__x000d_ 4" xfId="3547" xr:uid="{00000000-0005-0000-0000-000000010000}"/>
    <cellStyle name="??_x000c_&quot;?_x001b__x000d__x0015_ 4" xfId="3592" xr:uid="{00000000-0005-0000-0000-000001010000}"/>
    <cellStyle name="??_x000c_&quot;?_x001b__x000d_ 40" xfId="11812" xr:uid="{00000000-0005-0000-0000-000002010000}"/>
    <cellStyle name="??_x000c_&quot;?_x001b__x000d__x0015_ 40" xfId="11813" xr:uid="{00000000-0005-0000-0000-000003010000}"/>
    <cellStyle name="??_x000c_&quot;?_x001b__x000d_ 41" xfId="11814" xr:uid="{00000000-0005-0000-0000-000004010000}"/>
    <cellStyle name="??_x000c_&quot;?_x001b__x000d__x0015_ 41" xfId="11815" xr:uid="{00000000-0005-0000-0000-000005010000}"/>
    <cellStyle name="??_x000c_&quot;?_x001b__x000d_ 42" xfId="11816" xr:uid="{00000000-0005-0000-0000-000006010000}"/>
    <cellStyle name="??_x000c_&quot;?_x001b__x000d__x0015_ 42" xfId="11817" xr:uid="{00000000-0005-0000-0000-000007010000}"/>
    <cellStyle name="??_x000c_&quot;?_x001b__x000d_ 43" xfId="20727" xr:uid="{00000000-0005-0000-0000-000008010000}"/>
    <cellStyle name="??_x000c_&quot;?_x001b__x000d__x0015_ 43" xfId="20728" xr:uid="{00000000-0005-0000-0000-000009010000}"/>
    <cellStyle name="??_x000c_&quot;?_x001b__x000d_ 5" xfId="3544" xr:uid="{00000000-0005-0000-0000-00000A010000}"/>
    <cellStyle name="??_x000c_&quot;?_x001b__x000d__x0015_ 5" xfId="3633" xr:uid="{00000000-0005-0000-0000-00000B010000}"/>
    <cellStyle name="??_x000c_&quot;?_x001b__x000d_ 6" xfId="3646" xr:uid="{00000000-0005-0000-0000-00000C010000}"/>
    <cellStyle name="??_x000c_&quot;?_x001b__x000d__x0015_ 6" xfId="3647" xr:uid="{00000000-0005-0000-0000-00000D010000}"/>
    <cellStyle name="??_x000c_&quot;?_x001b__x000d_ 7" xfId="3872" xr:uid="{00000000-0005-0000-0000-00000E010000}"/>
    <cellStyle name="??_x000c_&quot;?_x001b__x000d__x0015_ 7" xfId="3871" xr:uid="{00000000-0005-0000-0000-00000F010000}"/>
    <cellStyle name="??_x000c_&quot;?_x001b__x000d_ 8" xfId="3919" xr:uid="{00000000-0005-0000-0000-000010010000}"/>
    <cellStyle name="??_x000c_&quot;?_x001b__x000d__x0015_ 8" xfId="3886" xr:uid="{00000000-0005-0000-0000-000011010000}"/>
    <cellStyle name="??_x000c_&quot;?_x001b__x000d_ 9" xfId="3966" xr:uid="{00000000-0005-0000-0000-000012010000}"/>
    <cellStyle name="??_x000c_&quot;?_x001b__x000d__x0015_ 9" xfId="3967" xr:uid="{00000000-0005-0000-0000-000013010000}"/>
    <cellStyle name="??_x000c_&quot;?_x001b__x000d__x0015_?" xfId="22" xr:uid="{00000000-0005-0000-0000-000014010000}"/>
    <cellStyle name="??_x000c_&quot;?_x001b__x000d__x0015_? 2" xfId="3041" xr:uid="{00000000-0005-0000-0000-000015010000}"/>
    <cellStyle name="??_x000c_&quot;?_x001b__x000d__x0015_?U" xfId="23" xr:uid="{00000000-0005-0000-0000-000016010000}"/>
    <cellStyle name="??_x000c_&quot;?_x001b__x000d__x0015_?U_x0001_" xfId="24" xr:uid="{00000000-0005-0000-0000-000017010000}"/>
    <cellStyle name="??_x000c_&quot;?_x001b__x000d__x0015_?U 10" xfId="4152" xr:uid="{00000000-0005-0000-0000-000018010000}"/>
    <cellStyle name="??_x000c_&quot;?_x001b__x000d__x0015_?U_x0001_ 10" xfId="4153" xr:uid="{00000000-0005-0000-0000-000019010000}"/>
    <cellStyle name="??_x000c_&quot;?_x001b__x000d__x0015_?U 11" xfId="4975" xr:uid="{00000000-0005-0000-0000-00001A010000}"/>
    <cellStyle name="??_x000c_&quot;?_x001b__x000d__x0015_?U_x0001_ 11" xfId="4974" xr:uid="{00000000-0005-0000-0000-00001B010000}"/>
    <cellStyle name="??_x000c_&quot;?_x001b__x000d__x0015_?U 12" xfId="4360" xr:uid="{00000000-0005-0000-0000-00001C010000}"/>
    <cellStyle name="??_x000c_&quot;?_x001b__x000d__x0015_?U_x0001_ 12" xfId="4361" xr:uid="{00000000-0005-0000-0000-00001D010000}"/>
    <cellStyle name="??_x000c_&quot;?_x001b__x000d__x0015_?U 13" xfId="5355" xr:uid="{00000000-0005-0000-0000-00001E010000}"/>
    <cellStyle name="??_x000c_&quot;?_x001b__x000d__x0015_?U_x0001_ 13" xfId="5588" xr:uid="{00000000-0005-0000-0000-00001F010000}"/>
    <cellStyle name="??_x000c_&quot;?_x001b__x000d__x0015_?U 14" xfId="5932" xr:uid="{00000000-0005-0000-0000-000020010000}"/>
    <cellStyle name="??_x000c_&quot;?_x001b__x000d__x0015_?U_x0001_ 14" xfId="4837" xr:uid="{00000000-0005-0000-0000-000021010000}"/>
    <cellStyle name="??_x000c_&quot;?_x001b__x000d__x0015_?U 15" xfId="5840" xr:uid="{00000000-0005-0000-0000-000022010000}"/>
    <cellStyle name="??_x000c_&quot;?_x001b__x000d__x0015_?U_x0001_ 15" xfId="4410" xr:uid="{00000000-0005-0000-0000-000023010000}"/>
    <cellStyle name="??_x000c_&quot;?_x001b__x000d__x0015_?U 16" xfId="5469" xr:uid="{00000000-0005-0000-0000-000024010000}"/>
    <cellStyle name="??_x000c_&quot;?_x001b__x000d__x0015_?U_x0001_ 16" xfId="4856" xr:uid="{00000000-0005-0000-0000-000025010000}"/>
    <cellStyle name="??_x000c_&quot;?_x001b__x000d__x0015_?U 17" xfId="5236" xr:uid="{00000000-0005-0000-0000-000026010000}"/>
    <cellStyle name="??_x000c_&quot;?_x001b__x000d__x0015_?U_x0001_ 17" xfId="5977" xr:uid="{00000000-0005-0000-0000-000027010000}"/>
    <cellStyle name="??_x000c_&quot;?_x001b__x000d__x0015_?U 18" xfId="4545" xr:uid="{00000000-0005-0000-0000-000028010000}"/>
    <cellStyle name="??_x000c_&quot;?_x001b__x000d__x0015_?U_x0001_ 18" xfId="4289" xr:uid="{00000000-0005-0000-0000-000029010000}"/>
    <cellStyle name="??_x000c_&quot;?_x001b__x000d__x0015_?U 19" xfId="6023" xr:uid="{00000000-0005-0000-0000-00002A010000}"/>
    <cellStyle name="??_x000c_&quot;?_x001b__x000d__x0015_?U_x0001_ 19" xfId="4328" xr:uid="{00000000-0005-0000-0000-00002B010000}"/>
    <cellStyle name="??_x000c_&quot;?_x001b__x000d__x0015_?U 2" xfId="3042" xr:uid="{00000000-0005-0000-0000-00002C010000}"/>
    <cellStyle name="??_x000c_&quot;?_x001b__x000d__x0015_?U_x0001_ 2" xfId="3043" xr:uid="{00000000-0005-0000-0000-00002D010000}"/>
    <cellStyle name="??_x000c_&quot;?_x001b__x000d__x0015_?U 20" xfId="5904" xr:uid="{00000000-0005-0000-0000-00002E010000}"/>
    <cellStyle name="??_x000c_&quot;?_x001b__x000d__x0015_?U_x0001_ 20" xfId="5026" xr:uid="{00000000-0005-0000-0000-00002F010000}"/>
    <cellStyle name="??_x000c_&quot;?_x001b__x000d__x0015_?U 21" xfId="6149" xr:uid="{00000000-0005-0000-0000-000030010000}"/>
    <cellStyle name="??_x000c_&quot;?_x001b__x000d__x0015_?U_x0001_ 21" xfId="4307" xr:uid="{00000000-0005-0000-0000-000031010000}"/>
    <cellStyle name="??_x000c_&quot;?_x001b__x000d__x0015_?U 22" xfId="5110" xr:uid="{00000000-0005-0000-0000-000032010000}"/>
    <cellStyle name="??_x000c_&quot;?_x001b__x000d__x0015_?U_x0001_ 22" xfId="4263" xr:uid="{00000000-0005-0000-0000-000033010000}"/>
    <cellStyle name="??_x000c_&quot;?_x001b__x000d__x0015_?U 23" xfId="4295" xr:uid="{00000000-0005-0000-0000-000034010000}"/>
    <cellStyle name="??_x000c_&quot;?_x001b__x000d__x0015_?U_x0001_ 23" xfId="4497" xr:uid="{00000000-0005-0000-0000-000035010000}"/>
    <cellStyle name="??_x000c_&quot;?_x001b__x000d__x0015_?U 24" xfId="4653" xr:uid="{00000000-0005-0000-0000-000036010000}"/>
    <cellStyle name="??_x000c_&quot;?_x001b__x000d__x0015_?U_x0001_ 24" xfId="4500" xr:uid="{00000000-0005-0000-0000-000037010000}"/>
    <cellStyle name="??_x000c_&quot;?_x001b__x000d__x0015_?U 25" xfId="4636" xr:uid="{00000000-0005-0000-0000-000038010000}"/>
    <cellStyle name="??_x000c_&quot;?_x001b__x000d__x0015_?U_x0001_ 25" xfId="5993" xr:uid="{00000000-0005-0000-0000-000039010000}"/>
    <cellStyle name="??_x000c_&quot;?_x001b__x000d__x0015_?U 26" xfId="5238" xr:uid="{00000000-0005-0000-0000-00003A010000}"/>
    <cellStyle name="??_x000c_&quot;?_x001b__x000d__x0015_?U_x0001_ 26" xfId="4396" xr:uid="{00000000-0005-0000-0000-00003B010000}"/>
    <cellStyle name="??_x000c_&quot;?_x001b__x000d__x0015_?U 27" xfId="5106" xr:uid="{00000000-0005-0000-0000-00003C010000}"/>
    <cellStyle name="??_x000c_&quot;?_x001b__x000d__x0015_?U_x0001_ 27" xfId="4302" xr:uid="{00000000-0005-0000-0000-00003D010000}"/>
    <cellStyle name="??_x000c_&quot;?_x001b__x000d__x0015_?U 28" xfId="6259" xr:uid="{00000000-0005-0000-0000-00003E010000}"/>
    <cellStyle name="??_x000c_&quot;?_x001b__x000d__x0015_?U_x0001_ 28" xfId="6260" xr:uid="{00000000-0005-0000-0000-00003F010000}"/>
    <cellStyle name="??_x000c_&quot;?_x001b__x000d__x0015_?U 29" xfId="6505" xr:uid="{00000000-0005-0000-0000-000040010000}"/>
    <cellStyle name="??_x000c_&quot;?_x001b__x000d__x0015_?U_x0001_ 29" xfId="6504" xr:uid="{00000000-0005-0000-0000-000041010000}"/>
    <cellStyle name="??_x000c_&quot;?_x001b__x000d__x0015_?U 3" xfId="3530" xr:uid="{00000000-0005-0000-0000-000042010000}"/>
    <cellStyle name="??_x000c_&quot;?_x001b__x000d__x0015_?U_x0001_ 3" xfId="3529" xr:uid="{00000000-0005-0000-0000-000043010000}"/>
    <cellStyle name="??_x000c_&quot;?_x001b__x000d__x0015_?U 30" xfId="6355" xr:uid="{00000000-0005-0000-0000-000044010000}"/>
    <cellStyle name="??_x000c_&quot;?_x001b__x000d__x0015_?U_x0001_ 30" xfId="6356" xr:uid="{00000000-0005-0000-0000-000045010000}"/>
    <cellStyle name="??_x000c_&quot;?_x001b__x000d__x0015_?U 31" xfId="6833" xr:uid="{00000000-0005-0000-0000-000046010000}"/>
    <cellStyle name="??_x000c_&quot;?_x001b__x000d__x0015_?U_x0001_ 31" xfId="6834" xr:uid="{00000000-0005-0000-0000-000047010000}"/>
    <cellStyle name="??_x000c_&quot;?_x001b__x000d__x0015_?U 32" xfId="7722" xr:uid="{00000000-0005-0000-0000-000048010000}"/>
    <cellStyle name="??_x000c_&quot;?_x001b__x000d__x0015_?U_x0001_ 32" xfId="7723" xr:uid="{00000000-0005-0000-0000-000049010000}"/>
    <cellStyle name="??_x000c_&quot;?_x001b__x000d__x0015_?U 33" xfId="8051" xr:uid="{00000000-0005-0000-0000-00004A010000}"/>
    <cellStyle name="??_x000c_&quot;?_x001b__x000d__x0015_?U_x0001_ 33" xfId="8050" xr:uid="{00000000-0005-0000-0000-00004B010000}"/>
    <cellStyle name="??_x000c_&quot;?_x001b__x000d__x0015_?U 34" xfId="8129" xr:uid="{00000000-0005-0000-0000-00004C010000}"/>
    <cellStyle name="??_x000c_&quot;?_x001b__x000d__x0015_?U_x0001_ 34" xfId="7870" xr:uid="{00000000-0005-0000-0000-00004D010000}"/>
    <cellStyle name="??_x000c_&quot;?_x001b__x000d__x0015_?U 35" xfId="8543" xr:uid="{00000000-0005-0000-0000-00004E010000}"/>
    <cellStyle name="??_x000c_&quot;?_x001b__x000d__x0015_?U_x0001_ 35" xfId="7959" xr:uid="{00000000-0005-0000-0000-00004F010000}"/>
    <cellStyle name="??_x000c_&quot;?_x001b__x000d__x0015_?U 36" xfId="8583" xr:uid="{00000000-0005-0000-0000-000050010000}"/>
    <cellStyle name="??_x000c_&quot;?_x001b__x000d__x0015_?U_x0001_ 36" xfId="8292" xr:uid="{00000000-0005-0000-0000-000051010000}"/>
    <cellStyle name="??_x000c_&quot;?_x001b__x000d__x0015_?U 37" xfId="7798" xr:uid="{00000000-0005-0000-0000-000052010000}"/>
    <cellStyle name="??_x000c_&quot;?_x001b__x000d__x0015_?U_x0001_ 37" xfId="8373" xr:uid="{00000000-0005-0000-0000-000053010000}"/>
    <cellStyle name="??_x000c_&quot;?_x001b__x000d__x0015_?U 38" xfId="8520" xr:uid="{00000000-0005-0000-0000-000054010000}"/>
    <cellStyle name="??_x000c_&quot;?_x001b__x000d__x0015_?U_x0001_ 38" xfId="8305" xr:uid="{00000000-0005-0000-0000-000055010000}"/>
    <cellStyle name="??_x000c_&quot;?_x001b__x000d__x0015_?U 39" xfId="9515" xr:uid="{00000000-0005-0000-0000-000056010000}"/>
    <cellStyle name="??_x000c_&quot;?_x001b__x000d__x0015_?U_x0001_ 39" xfId="9516" xr:uid="{00000000-0005-0000-0000-000057010000}"/>
    <cellStyle name="??_x000c_&quot;?_x001b__x000d__x0015_?U 4" xfId="3602" xr:uid="{00000000-0005-0000-0000-000058010000}"/>
    <cellStyle name="??_x000c_&quot;?_x001b__x000d__x0015_?U_x0001_ 4" xfId="3171" xr:uid="{00000000-0005-0000-0000-000059010000}"/>
    <cellStyle name="??_x000c_&quot;?_x001b__x000d__x0015_?U 40" xfId="11818" xr:uid="{00000000-0005-0000-0000-00005A010000}"/>
    <cellStyle name="??_x000c_&quot;?_x001b__x000d__x0015_?U_x0001_ 40" xfId="11819" xr:uid="{00000000-0005-0000-0000-00005B010000}"/>
    <cellStyle name="??_x000c_&quot;?_x001b__x000d__x0015_?U 41" xfId="11820" xr:uid="{00000000-0005-0000-0000-00005C010000}"/>
    <cellStyle name="??_x000c_&quot;?_x001b__x000d__x0015_?U_x0001_ 41" xfId="11821" xr:uid="{00000000-0005-0000-0000-00005D010000}"/>
    <cellStyle name="??_x000c_&quot;?_x001b__x000d__x0015_?U 42" xfId="11822" xr:uid="{00000000-0005-0000-0000-00005E010000}"/>
    <cellStyle name="??_x000c_&quot;?_x001b__x000d__x0015_?U_x0001_ 42" xfId="11823" xr:uid="{00000000-0005-0000-0000-00005F010000}"/>
    <cellStyle name="??_x000c_&quot;?_x001b__x000d__x0015_?U 43" xfId="20729" xr:uid="{00000000-0005-0000-0000-000060010000}"/>
    <cellStyle name="??_x000c_&quot;?_x001b__x000d__x0015_?U_x0001_ 43" xfId="20730" xr:uid="{00000000-0005-0000-0000-000061010000}"/>
    <cellStyle name="??_x000c_&quot;?_x001b__x000d__x0015_?U 5" xfId="3168" xr:uid="{00000000-0005-0000-0000-000062010000}"/>
    <cellStyle name="??_x000c_&quot;?_x001b__x000d__x0015_?U_x0001_ 5" xfId="3619" xr:uid="{00000000-0005-0000-0000-000063010000}"/>
    <cellStyle name="??_x000c_&quot;?_x001b__x000d__x0015_?U 6" xfId="3648" xr:uid="{00000000-0005-0000-0000-000064010000}"/>
    <cellStyle name="??_x000c_&quot;?_x001b__x000d__x0015_?U_x0001_ 6" xfId="3649" xr:uid="{00000000-0005-0000-0000-000065010000}"/>
    <cellStyle name="??_x000c_&quot;?_x001b__x000d__x0015_?U 7" xfId="3870" xr:uid="{00000000-0005-0000-0000-000066010000}"/>
    <cellStyle name="??_x000c_&quot;?_x001b__x000d__x0015_?U_x0001_ 7" xfId="3869" xr:uid="{00000000-0005-0000-0000-000067010000}"/>
    <cellStyle name="??_x000c_&quot;?_x001b__x000d__x0015_?U 8" xfId="3900" xr:uid="{00000000-0005-0000-0000-000068010000}"/>
    <cellStyle name="??_x000c_&quot;?_x001b__x000d__x0015_?U_x0001_ 8" xfId="3933" xr:uid="{00000000-0005-0000-0000-000069010000}"/>
    <cellStyle name="??_x000c_&quot;?_x001b__x000d__x0015_?U 9" xfId="3968" xr:uid="{00000000-0005-0000-0000-00006A010000}"/>
    <cellStyle name="??_x000c_&quot;?_x001b__x000d__x0015_?U_x0001_ 9" xfId="3969" xr:uid="{00000000-0005-0000-0000-00006B010000}"/>
    <cellStyle name="??_x000c_&quot;?_x001b__x000d__x0015_?U_x0001_?" xfId="25" xr:uid="{00000000-0005-0000-0000-00006C010000}"/>
    <cellStyle name="??_x000c_&quot;?_x001b__x000d__x0015_?U_x0001_? 2" xfId="3044" xr:uid="{00000000-0005-0000-0000-00006D010000}"/>
    <cellStyle name="??_x000c_&quot;?_x001b__x000d__x0015_?U_x0001_??_x0007_" xfId="26" xr:uid="{00000000-0005-0000-0000-00006E010000}"/>
    <cellStyle name="??_x000c_&quot;?_x001b__x000d__x0015_?U_x0001_??_x0007__x0001__x0001_" xfId="27" xr:uid="{00000000-0005-0000-0000-00006F010000}"/>
    <cellStyle name="??_x000c_&quot;?_x001b__x000d__x0015_?U_x0001_??_x0007_ 10" xfId="4154" xr:uid="{00000000-0005-0000-0000-000070010000}"/>
    <cellStyle name="??_x000c_&quot;?_x001b__x000d__x0015_?U_x0001_??_x0007__x0001__x0001_ 10" xfId="4155" xr:uid="{00000000-0005-0000-0000-000071010000}"/>
    <cellStyle name="??_x000c_&quot;?_x001b__x000d__x0015_?U_x0001_??_x0007_ 11" xfId="4972" xr:uid="{00000000-0005-0000-0000-000072010000}"/>
    <cellStyle name="??_x000c_&quot;?_x001b__x000d__x0015_?U_x0001_??_x0007__x0001__x0001_ 11" xfId="4971" xr:uid="{00000000-0005-0000-0000-000073010000}"/>
    <cellStyle name="??_x000c_&quot;?_x001b__x000d__x0015_?U_x0001_??_x0007_ 12" xfId="5057" xr:uid="{00000000-0005-0000-0000-000074010000}"/>
    <cellStyle name="??_x000c_&quot;?_x001b__x000d__x0015_?U_x0001_??_x0007__x0001__x0001_ 12" xfId="5161" xr:uid="{00000000-0005-0000-0000-000075010000}"/>
    <cellStyle name="??_x000c_&quot;?_x001b__x000d__x0015_?U_x0001_??_x0007_ 13" xfId="5587" xr:uid="{00000000-0005-0000-0000-000076010000}"/>
    <cellStyle name="??_x000c_&quot;?_x001b__x000d__x0015_?U_x0001_??_x0007__x0001__x0001_ 13" xfId="4738" xr:uid="{00000000-0005-0000-0000-000077010000}"/>
    <cellStyle name="??_x000c_&quot;?_x001b__x000d__x0015_?U_x0001_??_x0007_ 14" xfId="4838" xr:uid="{00000000-0005-0000-0000-000078010000}"/>
    <cellStyle name="??_x000c_&quot;?_x001b__x000d__x0015_?U_x0001_??_x0007__x0001__x0001_ 14" xfId="5931" xr:uid="{00000000-0005-0000-0000-000079010000}"/>
    <cellStyle name="??_x000c_&quot;?_x001b__x000d__x0015_?U_x0001_??_x0007_ 15" xfId="4425" xr:uid="{00000000-0005-0000-0000-00007A010000}"/>
    <cellStyle name="??_x000c_&quot;?_x001b__x000d__x0015_?U_x0001_??_x0007__x0001__x0001_ 15" xfId="4985" xr:uid="{00000000-0005-0000-0000-00007B010000}"/>
    <cellStyle name="??_x000c_&quot;?_x001b__x000d__x0015_?U_x0001_??_x0007_ 16" xfId="5410" xr:uid="{00000000-0005-0000-0000-00007C010000}"/>
    <cellStyle name="??_x000c_&quot;?_x001b__x000d__x0015_?U_x0001_??_x0007__x0001__x0001_ 16" xfId="5522" xr:uid="{00000000-0005-0000-0000-00007D010000}"/>
    <cellStyle name="??_x000c_&quot;?_x001b__x000d__x0015_?U_x0001_??_x0007_ 17" xfId="4657" xr:uid="{00000000-0005-0000-0000-00007E010000}"/>
    <cellStyle name="??_x000c_&quot;?_x001b__x000d__x0015_?U_x0001_??_x0007__x0001__x0001_ 17" xfId="5306" xr:uid="{00000000-0005-0000-0000-00007F010000}"/>
    <cellStyle name="??_x000c_&quot;?_x001b__x000d__x0015_?U_x0001_??_x0007_ 18" xfId="4547" xr:uid="{00000000-0005-0000-0000-000080010000}"/>
    <cellStyle name="??_x000c_&quot;?_x001b__x000d__x0015_?U_x0001_??_x0007__x0001__x0001_ 18" xfId="5570" xr:uid="{00000000-0005-0000-0000-000081010000}"/>
    <cellStyle name="??_x000c_&quot;?_x001b__x000d__x0015_?U_x0001_??_x0007_ 19" xfId="6043" xr:uid="{00000000-0005-0000-0000-000082010000}"/>
    <cellStyle name="??_x000c_&quot;?_x001b__x000d__x0015_?U_x0001_??_x0007__x0001__x0001_ 19" xfId="4436" xr:uid="{00000000-0005-0000-0000-000083010000}"/>
    <cellStyle name="??_x000c_&quot;?_x001b__x000d__x0015_?U_x0001_??_x0007_ 2" xfId="3045" xr:uid="{00000000-0005-0000-0000-000084010000}"/>
    <cellStyle name="??_x000c_&quot;?_x001b__x000d__x0015_?U_x0001_??_x0007__x0001__x0001_ 2" xfId="3046" xr:uid="{00000000-0005-0000-0000-000085010000}"/>
    <cellStyle name="??_x000c_&quot;?_x001b__x000d__x0015_?U_x0001_??_x0007_ 20" xfId="4300" xr:uid="{00000000-0005-0000-0000-000086010000}"/>
    <cellStyle name="??_x000c_&quot;?_x001b__x000d__x0015_?U_x0001_??_x0007__x0001__x0001_ 20" xfId="5914" xr:uid="{00000000-0005-0000-0000-000087010000}"/>
    <cellStyle name="??_x000c_&quot;?_x001b__x000d__x0015_?U_x0001_??_x0007_ 21" xfId="4777" xr:uid="{00000000-0005-0000-0000-000088010000}"/>
    <cellStyle name="??_x000c_&quot;?_x001b__x000d__x0015_?U_x0001_??_x0007__x0001__x0001_ 21" xfId="6148" xr:uid="{00000000-0005-0000-0000-000089010000}"/>
    <cellStyle name="??_x000c_&quot;?_x001b__x000d__x0015_?U_x0001_??_x0007_ 22" xfId="6112" xr:uid="{00000000-0005-0000-0000-00008A010000}"/>
    <cellStyle name="??_x000c_&quot;?_x001b__x000d__x0015_?U_x0001_??_x0007__x0001__x0001_ 22" xfId="5133" xr:uid="{00000000-0005-0000-0000-00008B010000}"/>
    <cellStyle name="??_x000c_&quot;?_x001b__x000d__x0015_?U_x0001_??_x0007_ 23" xfId="4568" xr:uid="{00000000-0005-0000-0000-00008C010000}"/>
    <cellStyle name="??_x000c_&quot;?_x001b__x000d__x0015_?U_x0001_??_x0007__x0001__x0001_ 23" xfId="4659" xr:uid="{00000000-0005-0000-0000-00008D010000}"/>
    <cellStyle name="??_x000c_&quot;?_x001b__x000d__x0015_?U_x0001_??_x0007_ 24" xfId="6168" xr:uid="{00000000-0005-0000-0000-00008E010000}"/>
    <cellStyle name="??_x000c_&quot;?_x001b__x000d__x0015_?U_x0001_??_x0007__x0001__x0001_ 24" xfId="4806" xr:uid="{00000000-0005-0000-0000-00008F010000}"/>
    <cellStyle name="??_x000c_&quot;?_x001b__x000d__x0015_?U_x0001_??_x0007_ 25" xfId="6186" xr:uid="{00000000-0005-0000-0000-000090010000}"/>
    <cellStyle name="??_x000c_&quot;?_x001b__x000d__x0015_?U_x0001_??_x0007__x0001__x0001_ 25" xfId="4846" xr:uid="{00000000-0005-0000-0000-000091010000}"/>
    <cellStyle name="??_x000c_&quot;?_x001b__x000d__x0015_?U_x0001_??_x0007_ 26" xfId="6201" xr:uid="{00000000-0005-0000-0000-000092010000}"/>
    <cellStyle name="??_x000c_&quot;?_x001b__x000d__x0015_?U_x0001_??_x0007__x0001__x0001_ 26" xfId="4645" xr:uid="{00000000-0005-0000-0000-000093010000}"/>
    <cellStyle name="??_x000c_&quot;?_x001b__x000d__x0015_?U_x0001_??_x0007_ 27" xfId="6215" xr:uid="{00000000-0005-0000-0000-000094010000}"/>
    <cellStyle name="??_x000c_&quot;?_x001b__x000d__x0015_?U_x0001_??_x0007__x0001__x0001_ 27" xfId="4785" xr:uid="{00000000-0005-0000-0000-000095010000}"/>
    <cellStyle name="??_x000c_&quot;?_x001b__x000d__x0015_?U_x0001_??_x0007_ 28" xfId="6261" xr:uid="{00000000-0005-0000-0000-000096010000}"/>
    <cellStyle name="??_x000c_&quot;?_x001b__x000d__x0015_?U_x0001_??_x0007__x0001__x0001_ 28" xfId="6262" xr:uid="{00000000-0005-0000-0000-000097010000}"/>
    <cellStyle name="??_x000c_&quot;?_x001b__x000d__x0015_?U_x0001_??_x0007_ 29" xfId="6503" xr:uid="{00000000-0005-0000-0000-000098010000}"/>
    <cellStyle name="??_x000c_&quot;?_x001b__x000d__x0015_?U_x0001_??_x0007__x0001__x0001_ 29" xfId="6502" xr:uid="{00000000-0005-0000-0000-000099010000}"/>
    <cellStyle name="??_x000c_&quot;?_x001b__x000d__x0015_?U_x0001_??_x0007_ 3" xfId="3528" xr:uid="{00000000-0005-0000-0000-00009A010000}"/>
    <cellStyle name="??_x000c_&quot;?_x001b__x000d__x0015_?U_x0001_??_x0007__x0001__x0001_ 3" xfId="3527" xr:uid="{00000000-0005-0000-0000-00009B010000}"/>
    <cellStyle name="??_x000c_&quot;?_x001b__x000d__x0015_?U_x0001_??_x0007_ 30" xfId="6357" xr:uid="{00000000-0005-0000-0000-00009C010000}"/>
    <cellStyle name="??_x000c_&quot;?_x001b__x000d__x0015_?U_x0001_??_x0007__x0001__x0001_ 30" xfId="6358" xr:uid="{00000000-0005-0000-0000-00009D010000}"/>
    <cellStyle name="??_x000c_&quot;?_x001b__x000d__x0015_?U_x0001_??_x0007_ 31" xfId="6835" xr:uid="{00000000-0005-0000-0000-00009E010000}"/>
    <cellStyle name="??_x000c_&quot;?_x001b__x000d__x0015_?U_x0001_??_x0007__x0001__x0001_ 31" xfId="6836" xr:uid="{00000000-0005-0000-0000-00009F010000}"/>
    <cellStyle name="??_x000c_&quot;?_x001b__x000d__x0015_?U_x0001_??_x0007_ 32" xfId="7724" xr:uid="{00000000-0005-0000-0000-0000A0010000}"/>
    <cellStyle name="??_x000c_&quot;?_x001b__x000d__x0015_?U_x0001_??_x0007__x0001__x0001_ 32" xfId="7725" xr:uid="{00000000-0005-0000-0000-0000A1010000}"/>
    <cellStyle name="??_x000c_&quot;?_x001b__x000d__x0015_?U_x0001_??_x0007_ 33" xfId="8049" xr:uid="{00000000-0005-0000-0000-0000A2010000}"/>
    <cellStyle name="??_x000c_&quot;?_x001b__x000d__x0015_?U_x0001_??_x0007__x0001__x0001_ 33" xfId="8048" xr:uid="{00000000-0005-0000-0000-0000A3010000}"/>
    <cellStyle name="??_x000c_&quot;?_x001b__x000d__x0015_?U_x0001_??_x0007_ 34" xfId="7871" xr:uid="{00000000-0005-0000-0000-0000A4010000}"/>
    <cellStyle name="??_x000c_&quot;?_x001b__x000d__x0015_?U_x0001_??_x0007__x0001__x0001_ 34" xfId="7872" xr:uid="{00000000-0005-0000-0000-0000A5010000}"/>
    <cellStyle name="??_x000c_&quot;?_x001b__x000d__x0015_?U_x0001_??_x0007_ 35" xfId="7958" xr:uid="{00000000-0005-0000-0000-0000A6010000}"/>
    <cellStyle name="??_x000c_&quot;?_x001b__x000d__x0015_?U_x0001_??_x0007__x0001__x0001_ 35" xfId="7957" xr:uid="{00000000-0005-0000-0000-0000A7010000}"/>
    <cellStyle name="??_x000c_&quot;?_x001b__x000d__x0015_?U_x0001_??_x0007_ 36" xfId="8525" xr:uid="{00000000-0005-0000-0000-0000A8010000}"/>
    <cellStyle name="??_x000c_&quot;?_x001b__x000d__x0015_?U_x0001_??_x0007__x0001__x0001_ 36" xfId="8533" xr:uid="{00000000-0005-0000-0000-0000A9010000}"/>
    <cellStyle name="??_x000c_&quot;?_x001b__x000d__x0015_?U_x0001_??_x0007_ 37" xfId="8102" xr:uid="{00000000-0005-0000-0000-0000AA010000}"/>
    <cellStyle name="??_x000c_&quot;?_x001b__x000d__x0015_?U_x0001_??_x0007__x0001__x0001_ 37" xfId="9387" xr:uid="{00000000-0005-0000-0000-0000AB010000}"/>
    <cellStyle name="??_x000c_&quot;?_x001b__x000d__x0015_?U_x0001_??_x0007_ 38" xfId="8321" xr:uid="{00000000-0005-0000-0000-0000AC010000}"/>
    <cellStyle name="??_x000c_&quot;?_x001b__x000d__x0015_?U_x0001_??_x0007__x0001__x0001_ 38" xfId="9449" xr:uid="{00000000-0005-0000-0000-0000AD010000}"/>
    <cellStyle name="??_x000c_&quot;?_x001b__x000d__x0015_?U_x0001_??_x0007_ 39" xfId="9517" xr:uid="{00000000-0005-0000-0000-0000AE010000}"/>
    <cellStyle name="??_x000c_&quot;?_x001b__x000d__x0015_?U_x0001_??_x0007__x0001__x0001_ 39" xfId="9518" xr:uid="{00000000-0005-0000-0000-0000AF010000}"/>
    <cellStyle name="??_x000c_&quot;?_x001b__x000d__x0015_?U_x0001_??_x0007_ 4" xfId="3172" xr:uid="{00000000-0005-0000-0000-0000B0010000}"/>
    <cellStyle name="??_x000c_&quot;?_x001b__x000d__x0015_?U_x0001_??_x0007__x0001__x0001_ 4" xfId="3555" xr:uid="{00000000-0005-0000-0000-0000B1010000}"/>
    <cellStyle name="??_x000c_&quot;?_x001b__x000d__x0015_?U_x0001_??_x0007_ 40" xfId="11824" xr:uid="{00000000-0005-0000-0000-0000B2010000}"/>
    <cellStyle name="??_x000c_&quot;?_x001b__x000d__x0015_?U_x0001_??_x0007__x0001__x0001_ 40" xfId="11825" xr:uid="{00000000-0005-0000-0000-0000B3010000}"/>
    <cellStyle name="??_x000c_&quot;?_x001b__x000d__x0015_?U_x0001_??_x0007_ 41" xfId="11826" xr:uid="{00000000-0005-0000-0000-0000B4010000}"/>
    <cellStyle name="??_x000c_&quot;?_x001b__x000d__x0015_?U_x0001_??_x0007__x0001__x0001_ 41" xfId="11827" xr:uid="{00000000-0005-0000-0000-0000B5010000}"/>
    <cellStyle name="??_x000c_&quot;?_x001b__x000d__x0015_?U_x0001_??_x0007_ 42" xfId="11828" xr:uid="{00000000-0005-0000-0000-0000B6010000}"/>
    <cellStyle name="??_x000c_&quot;?_x001b__x000d__x0015_?U_x0001_??_x0007__x0001__x0001_ 42" xfId="11829" xr:uid="{00000000-0005-0000-0000-0000B7010000}"/>
    <cellStyle name="??_x000c_&quot;?_x001b__x000d__x0015_?U_x0001_??_x0007_ 43" xfId="20731" xr:uid="{00000000-0005-0000-0000-0000B8010000}"/>
    <cellStyle name="??_x000c_&quot;?_x001b__x000d__x0015_?U_x0001_??_x0007__x0001__x0001_ 43" xfId="20732" xr:uid="{00000000-0005-0000-0000-0000B9010000}"/>
    <cellStyle name="??_x000c_&quot;?_x001b__x000d__x0015_?U_x0001_??_x0007_ 5" xfId="3626" xr:uid="{00000000-0005-0000-0000-0000BA010000}"/>
    <cellStyle name="??_x000c_&quot;?_x001b__x000d__x0015_?U_x0001_??_x0007__x0001__x0001_ 5" xfId="3594" xr:uid="{00000000-0005-0000-0000-0000BB010000}"/>
    <cellStyle name="??_x000c_&quot;?_x001b__x000d__x0015_?U_x0001_??_x0007_ 6" xfId="3650" xr:uid="{00000000-0005-0000-0000-0000BC010000}"/>
    <cellStyle name="??_x000c_&quot;?_x001b__x000d__x0015_?U_x0001_??_x0007__x0001__x0001_ 6" xfId="3651" xr:uid="{00000000-0005-0000-0000-0000BD010000}"/>
    <cellStyle name="??_x000c_&quot;?_x001b__x000d__x0015_?U_x0001_??_x0007_ 7" xfId="3868" xr:uid="{00000000-0005-0000-0000-0000BE010000}"/>
    <cellStyle name="??_x000c_&quot;?_x001b__x000d__x0015_?U_x0001_??_x0007__x0001__x0001_ 7" xfId="3867" xr:uid="{00000000-0005-0000-0000-0000BF010000}"/>
    <cellStyle name="??_x000c_&quot;?_x001b__x000d__x0015_?U_x0001_??_x0007_ 8" xfId="3727" xr:uid="{00000000-0005-0000-0000-0000C0010000}"/>
    <cellStyle name="??_x000c_&quot;?_x001b__x000d__x0015_?U_x0001_??_x0007__x0001__x0001_ 8" xfId="3895" xr:uid="{00000000-0005-0000-0000-0000C1010000}"/>
    <cellStyle name="??_x000c_&quot;?_x001b__x000d__x0015_?U_x0001_??_x0007_ 9" xfId="3970" xr:uid="{00000000-0005-0000-0000-0000C2010000}"/>
    <cellStyle name="??_x000c_&quot;?_x001b__x000d__x0015_?U_x0001_??_x0007__x0001__x0001_ 9" xfId="3971" xr:uid="{00000000-0005-0000-0000-0000C3010000}"/>
    <cellStyle name="??_x000c_&quot;?_x001b__x000d__x0015_?U_x0001_??_x0007__138 - OtherReceivableAccount_28022010" xfId="28" xr:uid="{00000000-0005-0000-0000-0000C4010000}"/>
    <cellStyle name="??_x000c_&quot;?_x001b__x000d__x0015_?U_x0001_??_x0007__x0001__x0001__138 - OtherReceivableAccount_30112009" xfId="29" xr:uid="{00000000-0005-0000-0000-0000C5010000}"/>
    <cellStyle name="??_x000c_&quot;?_x001b__x000d__x0015_?U_x0001_??_x0007__138 - OtherReceivableAccount_30112009_EVALUATION_EX_311208" xfId="30" xr:uid="{00000000-0005-0000-0000-0000C6010000}"/>
    <cellStyle name="??_x000c_&quot;?_x001b__x000d__x0015_?U_x0001_??_x0007__x0001__x0001__138 - OtherReceivableAccount_30112009_EVALUATION_EX_311208" xfId="31" xr:uid="{00000000-0005-0000-0000-0000C7010000}"/>
    <cellStyle name="??_x000c_&quot;?_x001b__x000d__x0015_?U_x0001_??_x0007__138 - OtherReceivableAccount_30112009_EVALUATION_EX_311208 10" xfId="4156" xr:uid="{00000000-0005-0000-0000-0000C8010000}"/>
    <cellStyle name="??_x000c_&quot;?_x001b__x000d__x0015_?U_x0001_??_x0007__x0001__x0001__138 - OtherReceivableAccount_30112009_EVALUATION_EX_311208 10" xfId="4157" xr:uid="{00000000-0005-0000-0000-0000C9010000}"/>
    <cellStyle name="??_x000c_&quot;?_x001b__x000d__x0015_?U_x0001_??_x0007__138 - OtherReceivableAccount_30112009_EVALUATION_EX_311208 11" xfId="4970" xr:uid="{00000000-0005-0000-0000-0000CA010000}"/>
    <cellStyle name="??_x000c_&quot;?_x001b__x000d__x0015_?U_x0001_??_x0007__x0001__x0001__138 - OtherReceivableAccount_30112009_EVALUATION_EX_311208 11" xfId="4969" xr:uid="{00000000-0005-0000-0000-0000CB010000}"/>
    <cellStyle name="??_x000c_&quot;?_x001b__x000d__x0015_?U_x0001_??_x0007__138 - OtherReceivableAccount_30112009_EVALUATION_EX_311208 12" xfId="5076" xr:uid="{00000000-0005-0000-0000-0000CC010000}"/>
    <cellStyle name="??_x000c_&quot;?_x001b__x000d__x0015_?U_x0001_??_x0007__x0001__x0001__138 - OtherReceivableAccount_30112009_EVALUATION_EX_311208 12" xfId="5218" xr:uid="{00000000-0005-0000-0000-0000CD010000}"/>
    <cellStyle name="??_x000c_&quot;?_x001b__x000d__x0015_?U_x0001_??_x0007__138 - OtherReceivableAccount_30112009_EVALUATION_EX_311208 13" xfId="5490" xr:uid="{00000000-0005-0000-0000-0000CE010000}"/>
    <cellStyle name="??_x000c_&quot;?_x001b__x000d__x0015_?U_x0001_??_x0007__x0001__x0001__138 - OtherReceivableAccount_30112009_EVALUATION_EX_311208 13" xfId="4737" xr:uid="{00000000-0005-0000-0000-0000CF010000}"/>
    <cellStyle name="??_x000c_&quot;?_x001b__x000d__x0015_?U_x0001_??_x0007__138 - OtherReceivableAccount_30112009_EVALUATION_EX_311208 14" xfId="4839" xr:uid="{00000000-0005-0000-0000-0000D0010000}"/>
    <cellStyle name="??_x000c_&quot;?_x001b__x000d__x0015_?U_x0001_??_x0007__x0001__x0001__138 - OtherReceivableAccount_30112009_EVALUATION_EX_311208 14" xfId="5922" xr:uid="{00000000-0005-0000-0000-0000D1010000}"/>
    <cellStyle name="??_x000c_&quot;?_x001b__x000d__x0015_?U_x0001_??_x0007__138 - OtherReceivableAccount_30112009_EVALUATION_EX_311208 15" xfId="5189" xr:uid="{00000000-0005-0000-0000-0000D2010000}"/>
    <cellStyle name="??_x000c_&quot;?_x001b__x000d__x0015_?U_x0001_??_x0007__x0001__x0001__138 - OtherReceivableAccount_30112009_EVALUATION_EX_311208 15" xfId="4982" xr:uid="{00000000-0005-0000-0000-0000D3010000}"/>
    <cellStyle name="??_x000c_&quot;?_x001b__x000d__x0015_?U_x0001_??_x0007__138 - OtherReceivableAccount_30112009_EVALUATION_EX_311208 16" xfId="4359" xr:uid="{00000000-0005-0000-0000-0000D4010000}"/>
    <cellStyle name="??_x000c_&quot;?_x001b__x000d__x0015_?U_x0001_??_x0007__x0001__x0001__138 - OtherReceivableAccount_30112009_EVALUATION_EX_311208 16" xfId="5434" xr:uid="{00000000-0005-0000-0000-0000D5010000}"/>
    <cellStyle name="??_x000c_&quot;?_x001b__x000d__x0015_?U_x0001_??_x0007__138 - OtherReceivableAccount_30112009_EVALUATION_EX_311208 17" xfId="4635" xr:uid="{00000000-0005-0000-0000-0000D6010000}"/>
    <cellStyle name="??_x000c_&quot;?_x001b__x000d__x0015_?U_x0001_??_x0007__x0001__x0001__138 - OtherReceivableAccount_30112009_EVALUATION_EX_311208 17" xfId="5031" xr:uid="{00000000-0005-0000-0000-0000D7010000}"/>
    <cellStyle name="??_x000c_&quot;?_x001b__x000d__x0015_?U_x0001_??_x0007__138 - OtherReceivableAccount_30112009_EVALUATION_EX_311208 18" xfId="4548" xr:uid="{00000000-0005-0000-0000-0000D8010000}"/>
    <cellStyle name="??_x000c_&quot;?_x001b__x000d__x0015_?U_x0001_??_x0007__x0001__x0001__138 - OtherReceivableAccount_30112009_EVALUATION_EX_311208 18" xfId="4549" xr:uid="{00000000-0005-0000-0000-0000D9010000}"/>
    <cellStyle name="??_x000c_&quot;?_x001b__x000d__x0015_?U_x0001_??_x0007__138 - OtherReceivableAccount_30112009_EVALUATION_EX_311208 19" xfId="4490" xr:uid="{00000000-0005-0000-0000-0000DA010000}"/>
    <cellStyle name="??_x000c_&quot;?_x001b__x000d__x0015_?U_x0001_??_x0007__x0001__x0001__138 - OtherReceivableAccount_30112009_EVALUATION_EX_311208 19" xfId="4298" xr:uid="{00000000-0005-0000-0000-0000DB010000}"/>
    <cellStyle name="??_x000c_&quot;?_x001b__x000d__x0015_?U_x0001_??_x0007__138 - OtherReceivableAccount_30112009_EVALUATION_EX_311208 2" xfId="3047" xr:uid="{00000000-0005-0000-0000-0000DC010000}"/>
    <cellStyle name="??_x000c_&quot;?_x001b__x000d__x0015_?U_x0001_??_x0007__x0001__x0001__138 - OtherReceivableAccount_30112009_EVALUATION_EX_311208 2" xfId="3048" xr:uid="{00000000-0005-0000-0000-0000DD010000}"/>
    <cellStyle name="??_x000c_&quot;?_x001b__x000d__x0015_?U_x0001_??_x0007__138 - OtherReceivableAccount_30112009_EVALUATION_EX_311208 20" xfId="4649" xr:uid="{00000000-0005-0000-0000-0000DE010000}"/>
    <cellStyle name="??_x000c_&quot;?_x001b__x000d__x0015_?U_x0001_??_x0007__x0001__x0001__138 - OtherReceivableAccount_30112009_EVALUATION_EX_311208 20" xfId="4661" xr:uid="{00000000-0005-0000-0000-0000DF010000}"/>
    <cellStyle name="??_x000c_&quot;?_x001b__x000d__x0015_?U_x0001_??_x0007__138 - OtherReceivableAccount_30112009_EVALUATION_EX_311208 21" xfId="4906" xr:uid="{00000000-0005-0000-0000-0000E0010000}"/>
    <cellStyle name="??_x000c_&quot;?_x001b__x000d__x0015_?U_x0001_??_x0007__x0001__x0001__138 - OtherReceivableAccount_30112009_EVALUATION_EX_311208 21" xfId="6144" xr:uid="{00000000-0005-0000-0000-0000E1010000}"/>
    <cellStyle name="??_x000c_&quot;?_x001b__x000d__x0015_?U_x0001_??_x0007__138 - OtherReceivableAccount_30112009_EVALUATION_EX_311208 22" xfId="6109" xr:uid="{00000000-0005-0000-0000-0000E2010000}"/>
    <cellStyle name="??_x000c_&quot;?_x001b__x000d__x0015_?U_x0001_??_x0007__x0001__x0001__138 - OtherReceivableAccount_30112009_EVALUATION_EX_311208 22" xfId="5297" xr:uid="{00000000-0005-0000-0000-0000E3010000}"/>
    <cellStyle name="??_x000c_&quot;?_x001b__x000d__x0015_?U_x0001_??_x0007__138 - OtherReceivableAccount_30112009_EVALUATION_EX_311208 23" xfId="4407" xr:uid="{00000000-0005-0000-0000-0000E4010000}"/>
    <cellStyle name="??_x000c_&quot;?_x001b__x000d__x0015_?U_x0001_??_x0007__x0001__x0001__138 - OtherReceivableAccount_30112009_EVALUATION_EX_311208 23" xfId="5241" xr:uid="{00000000-0005-0000-0000-0000E5010000}"/>
    <cellStyle name="??_x000c_&quot;?_x001b__x000d__x0015_?U_x0001_??_x0007__138 - OtherReceivableAccount_30112009_EVALUATION_EX_311208 24" xfId="6170" xr:uid="{00000000-0005-0000-0000-0000E6010000}"/>
    <cellStyle name="??_x000c_&quot;?_x001b__x000d__x0015_?U_x0001_??_x0007__x0001__x0001__138 - OtherReceivableAccount_30112009_EVALUATION_EX_311208 24" xfId="5023" xr:uid="{00000000-0005-0000-0000-0000E7010000}"/>
    <cellStyle name="??_x000c_&quot;?_x001b__x000d__x0015_?U_x0001_??_x0007__138 - OtherReceivableAccount_30112009_EVALUATION_EX_311208 25" xfId="6188" xr:uid="{00000000-0005-0000-0000-0000E8010000}"/>
    <cellStyle name="??_x000c_&quot;?_x001b__x000d__x0015_?U_x0001_??_x0007__x0001__x0001__138 - OtherReceivableAccount_30112009_EVALUATION_EX_311208 25" xfId="4822" xr:uid="{00000000-0005-0000-0000-0000E9010000}"/>
    <cellStyle name="??_x000c_&quot;?_x001b__x000d__x0015_?U_x0001_??_x0007__138 - OtherReceivableAccount_30112009_EVALUATION_EX_311208 26" xfId="6203" xr:uid="{00000000-0005-0000-0000-0000EA010000}"/>
    <cellStyle name="??_x000c_&quot;?_x001b__x000d__x0015_?U_x0001_??_x0007__x0001__x0001__138 - OtherReceivableAccount_30112009_EVALUATION_EX_311208 26" xfId="4573" xr:uid="{00000000-0005-0000-0000-0000EB010000}"/>
    <cellStyle name="??_x000c_&quot;?_x001b__x000d__x0015_?U_x0001_??_x0007__138 - OtherReceivableAccount_30112009_EVALUATION_EX_311208 27" xfId="6217" xr:uid="{00000000-0005-0000-0000-0000EC010000}"/>
    <cellStyle name="??_x000c_&quot;?_x001b__x000d__x0015_?U_x0001_??_x0007__x0001__x0001__138 - OtherReceivableAccount_30112009_EVALUATION_EX_311208 27" xfId="4502" xr:uid="{00000000-0005-0000-0000-0000ED010000}"/>
    <cellStyle name="??_x000c_&quot;?_x001b__x000d__x0015_?U_x0001_??_x0007__138 - OtherReceivableAccount_30112009_EVALUATION_EX_311208 28" xfId="6263" xr:uid="{00000000-0005-0000-0000-0000EE010000}"/>
    <cellStyle name="??_x000c_&quot;?_x001b__x000d__x0015_?U_x0001_??_x0007__x0001__x0001__138 - OtherReceivableAccount_30112009_EVALUATION_EX_311208 28" xfId="6264" xr:uid="{00000000-0005-0000-0000-0000EF010000}"/>
    <cellStyle name="??_x000c_&quot;?_x001b__x000d__x0015_?U_x0001_??_x0007__138 - OtherReceivableAccount_30112009_EVALUATION_EX_311208 29" xfId="6501" xr:uid="{00000000-0005-0000-0000-0000F0010000}"/>
    <cellStyle name="??_x000c_&quot;?_x001b__x000d__x0015_?U_x0001_??_x0007__x0001__x0001__138 - OtherReceivableAccount_30112009_EVALUATION_EX_311208 29" xfId="6500" xr:uid="{00000000-0005-0000-0000-0000F1010000}"/>
    <cellStyle name="??_x000c_&quot;?_x001b__x000d__x0015_?U_x0001_??_x0007__138 - OtherReceivableAccount_30112009_EVALUATION_EX_311208 3" xfId="3526" xr:uid="{00000000-0005-0000-0000-0000F2010000}"/>
    <cellStyle name="??_x000c_&quot;?_x001b__x000d__x0015_?U_x0001_??_x0007__x0001__x0001__138 - OtherReceivableAccount_30112009_EVALUATION_EX_311208 3" xfId="3525" xr:uid="{00000000-0005-0000-0000-0000F3010000}"/>
    <cellStyle name="??_x000c_&quot;?_x001b__x000d__x0015_?U_x0001_??_x0007__138 - OtherReceivableAccount_30112009_EVALUATION_EX_311208 30" xfId="6359" xr:uid="{00000000-0005-0000-0000-0000F4010000}"/>
    <cellStyle name="??_x000c_&quot;?_x001b__x000d__x0015_?U_x0001_??_x0007__x0001__x0001__138 - OtherReceivableAccount_30112009_EVALUATION_EX_311208 30" xfId="6360" xr:uid="{00000000-0005-0000-0000-0000F5010000}"/>
    <cellStyle name="??_x000c_&quot;?_x001b__x000d__x0015_?U_x0001_??_x0007__138 - OtherReceivableAccount_30112009_EVALUATION_EX_311208 31" xfId="6837" xr:uid="{00000000-0005-0000-0000-0000F6010000}"/>
    <cellStyle name="??_x000c_&quot;?_x001b__x000d__x0015_?U_x0001_??_x0007__x0001__x0001__138 - OtherReceivableAccount_30112009_EVALUATION_EX_311208 31" xfId="6838" xr:uid="{00000000-0005-0000-0000-0000F7010000}"/>
    <cellStyle name="??_x000c_&quot;?_x001b__x000d__x0015_?U_x0001_??_x0007__138 - OtherReceivableAccount_30112009_EVALUATION_EX_311208 32" xfId="7726" xr:uid="{00000000-0005-0000-0000-0000F8010000}"/>
    <cellStyle name="??_x000c_&quot;?_x001b__x000d__x0015_?U_x0001_??_x0007__x0001__x0001__138 - OtherReceivableAccount_30112009_EVALUATION_EX_311208 32" xfId="7727" xr:uid="{00000000-0005-0000-0000-0000F9010000}"/>
    <cellStyle name="??_x000c_&quot;?_x001b__x000d__x0015_?U_x0001_??_x0007__138 - OtherReceivableAccount_30112009_EVALUATION_EX_311208 33" xfId="8047" xr:uid="{00000000-0005-0000-0000-0000FA010000}"/>
    <cellStyle name="??_x000c_&quot;?_x001b__x000d__x0015_?U_x0001_??_x0007__x0001__x0001__138 - OtherReceivableAccount_30112009_EVALUATION_EX_311208 33" xfId="8046" xr:uid="{00000000-0005-0000-0000-0000FB010000}"/>
    <cellStyle name="??_x000c_&quot;?_x001b__x000d__x0015_?U_x0001_??_x0007__138 - OtherReceivableAccount_30112009_EVALUATION_EX_311208 34" xfId="8130" xr:uid="{00000000-0005-0000-0000-0000FC010000}"/>
    <cellStyle name="??_x000c_&quot;?_x001b__x000d__x0015_?U_x0001_??_x0007__x0001__x0001__138 - OtherReceivableAccount_30112009_EVALUATION_EX_311208 34" xfId="7873" xr:uid="{00000000-0005-0000-0000-0000FD010000}"/>
    <cellStyle name="??_x000c_&quot;?_x001b__x000d__x0015_?U_x0001_??_x0007__138 - OtherReceivableAccount_30112009_EVALUATION_EX_311208 35" xfId="8301" xr:uid="{00000000-0005-0000-0000-0000FE010000}"/>
    <cellStyle name="??_x000c_&quot;?_x001b__x000d__x0015_?U_x0001_??_x0007__x0001__x0001__138 - OtherReceivableAccount_30112009_EVALUATION_EX_311208 35" xfId="8548" xr:uid="{00000000-0005-0000-0000-0000FF010000}"/>
    <cellStyle name="??_x000c_&quot;?_x001b__x000d__x0015_?U_x0001_??_x0007__138 - OtherReceivableAccount_30112009_EVALUATION_EX_311208 36" xfId="8298" xr:uid="{00000000-0005-0000-0000-000000020000}"/>
    <cellStyle name="??_x000c_&quot;?_x001b__x000d__x0015_?U_x0001_??_x0007__x0001__x0001__138 - OtherReceivableAccount_30112009_EVALUATION_EX_311208 36" xfId="8138" xr:uid="{00000000-0005-0000-0000-000001020000}"/>
    <cellStyle name="??_x000c_&quot;?_x001b__x000d__x0015_?U_x0001_??_x0007__138 - OtherReceivableAccount_30112009_EVALUATION_EX_311208 37" xfId="7980" xr:uid="{00000000-0005-0000-0000-000002020000}"/>
    <cellStyle name="??_x000c_&quot;?_x001b__x000d__x0015_?U_x0001_??_x0007__x0001__x0001__138 - OtherReceivableAccount_30112009_EVALUATION_EX_311208 37" xfId="8226" xr:uid="{00000000-0005-0000-0000-000003020000}"/>
    <cellStyle name="??_x000c_&quot;?_x001b__x000d__x0015_?U_x0001_??_x0007__138 - OtherReceivableAccount_30112009_EVALUATION_EX_311208 38" xfId="9461" xr:uid="{00000000-0005-0000-0000-000004020000}"/>
    <cellStyle name="??_x000c_&quot;?_x001b__x000d__x0015_?U_x0001_??_x0007__x0001__x0001__138 - OtherReceivableAccount_30112009_EVALUATION_EX_311208 38" xfId="8195" xr:uid="{00000000-0005-0000-0000-000005020000}"/>
    <cellStyle name="??_x000c_&quot;?_x001b__x000d__x0015_?U_x0001_??_x0007__138 - OtherReceivableAccount_30112009_EVALUATION_EX_311208 39" xfId="9519" xr:uid="{00000000-0005-0000-0000-000006020000}"/>
    <cellStyle name="??_x000c_&quot;?_x001b__x000d__x0015_?U_x0001_??_x0007__x0001__x0001__138 - OtherReceivableAccount_30112009_EVALUATION_EX_311208 39" xfId="9520" xr:uid="{00000000-0005-0000-0000-000007020000}"/>
    <cellStyle name="??_x000c_&quot;?_x001b__x000d__x0015_?U_x0001_??_x0007__138 - OtherReceivableAccount_30112009_EVALUATION_EX_311208 4" xfId="3591" xr:uid="{00000000-0005-0000-0000-000008020000}"/>
    <cellStyle name="??_x000c_&quot;?_x001b__x000d__x0015_?U_x0001_??_x0007__x0001__x0001__138 - OtherReceivableAccount_30112009_EVALUATION_EX_311208 4" xfId="3553" xr:uid="{00000000-0005-0000-0000-000009020000}"/>
    <cellStyle name="??_x000c_&quot;?_x001b__x000d__x0015_?U_x0001_??_x0007__138 - OtherReceivableAccount_30112009_EVALUATION_EX_311208 40" xfId="11830" xr:uid="{00000000-0005-0000-0000-00000A020000}"/>
    <cellStyle name="??_x000c_&quot;?_x001b__x000d__x0015_?U_x0001_??_x0007__x0001__x0001__138 - OtherReceivableAccount_30112009_EVALUATION_EX_311208 40" xfId="11831" xr:uid="{00000000-0005-0000-0000-00000B020000}"/>
    <cellStyle name="??_x000c_&quot;?_x001b__x000d__x0015_?U_x0001_??_x0007__138 - OtherReceivableAccount_30112009_EVALUATION_EX_311208 41" xfId="11832" xr:uid="{00000000-0005-0000-0000-00000C020000}"/>
    <cellStyle name="??_x000c_&quot;?_x001b__x000d__x0015_?U_x0001_??_x0007__x0001__x0001__138 - OtherReceivableAccount_30112009_EVALUATION_EX_311208 41" xfId="11833" xr:uid="{00000000-0005-0000-0000-00000D020000}"/>
    <cellStyle name="??_x000c_&quot;?_x001b__x000d__x0015_?U_x0001_??_x0007__138 - OtherReceivableAccount_30112009_EVALUATION_EX_311208 42" xfId="11834" xr:uid="{00000000-0005-0000-0000-00000E020000}"/>
    <cellStyle name="??_x000c_&quot;?_x001b__x000d__x0015_?U_x0001_??_x0007__x0001__x0001__138 - OtherReceivableAccount_30112009_EVALUATION_EX_311208 42" xfId="11835" xr:uid="{00000000-0005-0000-0000-00000F020000}"/>
    <cellStyle name="??_x000c_&quot;?_x001b__x000d__x0015_?U_x0001_??_x0007__138 - OtherReceivableAccount_30112009_EVALUATION_EX_311208 43" xfId="20733" xr:uid="{00000000-0005-0000-0000-000010020000}"/>
    <cellStyle name="??_x000c_&quot;?_x001b__x000d__x0015_?U_x0001_??_x0007__x0001__x0001__138 - OtherReceivableAccount_30112009_EVALUATION_EX_311208 43" xfId="20734" xr:uid="{00000000-0005-0000-0000-000011020000}"/>
    <cellStyle name="??_x000c_&quot;?_x001b__x000d__x0015_?U_x0001_??_x0007__138 - OtherReceivableAccount_30112009_EVALUATION_EX_311208 5" xfId="3371" xr:uid="{00000000-0005-0000-0000-000012020000}"/>
    <cellStyle name="??_x000c_&quot;?_x001b__x000d__x0015_?U_x0001_??_x0007__x0001__x0001__138 - OtherReceivableAccount_30112009_EVALUATION_EX_311208 5" xfId="3370" xr:uid="{00000000-0005-0000-0000-000013020000}"/>
    <cellStyle name="??_x000c_&quot;?_x001b__x000d__x0015_?U_x0001_??_x0007__138 - OtherReceivableAccount_30112009_EVALUATION_EX_311208 6" xfId="3652" xr:uid="{00000000-0005-0000-0000-000014020000}"/>
    <cellStyle name="??_x000c_&quot;?_x001b__x000d__x0015_?U_x0001_??_x0007__x0001__x0001__138 - OtherReceivableAccount_30112009_EVALUATION_EX_311208 6" xfId="3653" xr:uid="{00000000-0005-0000-0000-000015020000}"/>
    <cellStyle name="??_x000c_&quot;?_x001b__x000d__x0015_?U_x0001_??_x0007__138 - OtherReceivableAccount_30112009_EVALUATION_EX_311208 7" xfId="3866" xr:uid="{00000000-0005-0000-0000-000016020000}"/>
    <cellStyle name="??_x000c_&quot;?_x001b__x000d__x0015_?U_x0001_??_x0007__x0001__x0001__138 - OtherReceivableAccount_30112009_EVALUATION_EX_311208 7" xfId="3865" xr:uid="{00000000-0005-0000-0000-000017020000}"/>
    <cellStyle name="??_x000c_&quot;?_x001b__x000d__x0015_?U_x0001_??_x0007__138 - OtherReceivableAccount_30112009_EVALUATION_EX_311208 8" xfId="3927" xr:uid="{00000000-0005-0000-0000-000018020000}"/>
    <cellStyle name="??_x000c_&quot;?_x001b__x000d__x0015_?U_x0001_??_x0007__x0001__x0001__138 - OtherReceivableAccount_30112009_EVALUATION_EX_311208 8" xfId="3901" xr:uid="{00000000-0005-0000-0000-000019020000}"/>
    <cellStyle name="??_x000c_&quot;?_x001b__x000d__x0015_?U_x0001_??_x0007__138 - OtherReceivableAccount_30112009_EVALUATION_EX_311208 9" xfId="3972" xr:uid="{00000000-0005-0000-0000-00001A020000}"/>
    <cellStyle name="??_x000c_&quot;?_x001b__x000d__x0015_?U_x0001_??_x0007__x0001__x0001__138 - OtherReceivableAccount_30112009_EVALUATION_EX_311208 9" xfId="3973" xr:uid="{00000000-0005-0000-0000-00001B020000}"/>
    <cellStyle name="??_x000c_&quot;?_x001b__x000d__x0015_?U_x0001_??_x0007__138 - OtherReceivableAccount_31012010" xfId="32" xr:uid="{00000000-0005-0000-0000-00001C020000}"/>
    <cellStyle name="??_x000c_&quot;?_x001b__x000d__x0015_?U_x0001_??_x0007__x0001__x0001__138 - OtherReceivableAccount_31122009" xfId="33" xr:uid="{00000000-0005-0000-0000-00001D020000}"/>
    <cellStyle name="??_x000c_&quot;?_x001b__x000d__x0015_?U_x0001_??_x0007__EVALUATION_EX_311208" xfId="34" xr:uid="{00000000-0005-0000-0000-00001E020000}"/>
    <cellStyle name="??_x000c_&quot;?_x001b__x000d__x0015_?U_x0001_??_x0007__x0001__x0001__EVALUATION_EX_311208" xfId="35" xr:uid="{00000000-0005-0000-0000-00001F020000}"/>
    <cellStyle name="??_x000c_&quot;?_x001b__x000d__x0015_?U_x0001_??_x0007__EVALUATION_EX_311208 10" xfId="4158" xr:uid="{00000000-0005-0000-0000-000020020000}"/>
    <cellStyle name="??_x000c_&quot;?_x001b__x000d__x0015_?U_x0001_??_x0007__x0001__x0001__EVALUATION_EX_311208 10" xfId="4159" xr:uid="{00000000-0005-0000-0000-000021020000}"/>
    <cellStyle name="??_x000c_&quot;?_x001b__x000d__x0015_?U_x0001_??_x0007__EVALUATION_EX_311208 11" xfId="4967" xr:uid="{00000000-0005-0000-0000-000022020000}"/>
    <cellStyle name="??_x000c_&quot;?_x001b__x000d__x0015_?U_x0001_??_x0007__x0001__x0001__EVALUATION_EX_311208 11" xfId="4966" xr:uid="{00000000-0005-0000-0000-000023020000}"/>
    <cellStyle name="??_x000c_&quot;?_x001b__x000d__x0015_?U_x0001_??_x0007__EVALUATION_EX_311208 12" xfId="4363" xr:uid="{00000000-0005-0000-0000-000024020000}"/>
    <cellStyle name="??_x000c_&quot;?_x001b__x000d__x0015_?U_x0001_??_x0007__x0001__x0001__EVALUATION_EX_311208 12" xfId="4364" xr:uid="{00000000-0005-0000-0000-000025020000}"/>
    <cellStyle name="??_x000c_&quot;?_x001b__x000d__x0015_?U_x0001_??_x0007__EVALUATION_EX_311208 13" xfId="5503" xr:uid="{00000000-0005-0000-0000-000026020000}"/>
    <cellStyle name="??_x000c_&quot;?_x001b__x000d__x0015_?U_x0001_??_x0007__x0001__x0001__EVALUATION_EX_311208 13" xfId="4736" xr:uid="{00000000-0005-0000-0000-000027020000}"/>
    <cellStyle name="??_x000c_&quot;?_x001b__x000d__x0015_?U_x0001_??_x0007__EVALUATION_EX_311208 14" xfId="4840" xr:uid="{00000000-0005-0000-0000-000028020000}"/>
    <cellStyle name="??_x000c_&quot;?_x001b__x000d__x0015_?U_x0001_??_x0007__x0001__x0001__EVALUATION_EX_311208 14" xfId="4452" xr:uid="{00000000-0005-0000-0000-000029020000}"/>
    <cellStyle name="??_x000c_&quot;?_x001b__x000d__x0015_?U_x0001_??_x0007__EVALUATION_EX_311208 15" xfId="4424" xr:uid="{00000000-0005-0000-0000-00002A020000}"/>
    <cellStyle name="??_x000c_&quot;?_x001b__x000d__x0015_?U_x0001_??_x0007__x0001__x0001__EVALUATION_EX_311208 15" xfId="5096" xr:uid="{00000000-0005-0000-0000-00002B020000}"/>
    <cellStyle name="??_x000c_&quot;?_x001b__x000d__x0015_?U_x0001_??_x0007__EVALUATION_EX_311208 16" xfId="5283" xr:uid="{00000000-0005-0000-0000-00002C020000}"/>
    <cellStyle name="??_x000c_&quot;?_x001b__x000d__x0015_?U_x0001_??_x0007__x0001__x0001__EVALUATION_EX_311208 16" xfId="5997" xr:uid="{00000000-0005-0000-0000-00002D020000}"/>
    <cellStyle name="??_x000c_&quot;?_x001b__x000d__x0015_?U_x0001_??_x0007__EVALUATION_EX_311208 17" xfId="5880" xr:uid="{00000000-0005-0000-0000-00002E020000}"/>
    <cellStyle name="??_x000c_&quot;?_x001b__x000d__x0015_?U_x0001_??_x0007__x0001__x0001__EVALUATION_EX_311208 17" xfId="5853" xr:uid="{00000000-0005-0000-0000-00002F020000}"/>
    <cellStyle name="??_x000c_&quot;?_x001b__x000d__x0015_?U_x0001_??_x0007__EVALUATION_EX_311208 18" xfId="4232" xr:uid="{00000000-0005-0000-0000-000030020000}"/>
    <cellStyle name="??_x000c_&quot;?_x001b__x000d__x0015_?U_x0001_??_x0007__x0001__x0001__EVALUATION_EX_311208 18" xfId="4550" xr:uid="{00000000-0005-0000-0000-000031020000}"/>
    <cellStyle name="??_x000c_&quot;?_x001b__x000d__x0015_?U_x0001_??_x0007__EVALUATION_EX_311208 19" xfId="5516" xr:uid="{00000000-0005-0000-0000-000032020000}"/>
    <cellStyle name="??_x000c_&quot;?_x001b__x000d__x0015_?U_x0001_??_x0007__x0001__x0001__EVALUATION_EX_311208 19" xfId="4514" xr:uid="{00000000-0005-0000-0000-000033020000}"/>
    <cellStyle name="??_x000c_&quot;?_x001b__x000d__x0015_?U_x0001_??_x0007__EVALUATION_EX_311208 2" xfId="3049" xr:uid="{00000000-0005-0000-0000-000034020000}"/>
    <cellStyle name="??_x000c_&quot;?_x001b__x000d__x0015_?U_x0001_??_x0007__x0001__x0001__EVALUATION_EX_311208 2" xfId="3050" xr:uid="{00000000-0005-0000-0000-000035020000}"/>
    <cellStyle name="??_x000c_&quot;?_x001b__x000d__x0015_?U_x0001_??_x0007__EVALUATION_EX_311208 20" xfId="6034" xr:uid="{00000000-0005-0000-0000-000036020000}"/>
    <cellStyle name="??_x000c_&quot;?_x001b__x000d__x0015_?U_x0001_??_x0007__x0001__x0001__EVALUATION_EX_311208 20" xfId="4660" xr:uid="{00000000-0005-0000-0000-000037020000}"/>
    <cellStyle name="??_x000c_&quot;?_x001b__x000d__x0015_?U_x0001_??_x0007__EVALUATION_EX_311208 21" xfId="6067" xr:uid="{00000000-0005-0000-0000-000038020000}"/>
    <cellStyle name="??_x000c_&quot;?_x001b__x000d__x0015_?U_x0001_??_x0007__x0001__x0001__EVALUATION_EX_311208 21" xfId="4343" xr:uid="{00000000-0005-0000-0000-000039020000}"/>
    <cellStyle name="??_x000c_&quot;?_x001b__x000d__x0015_?U_x0001_??_x0007__EVALUATION_EX_311208 22" xfId="6099" xr:uid="{00000000-0005-0000-0000-00003A020000}"/>
    <cellStyle name="??_x000c_&quot;?_x001b__x000d__x0015_?U_x0001_??_x0007__x0001__x0001__EVALUATION_EX_311208 22" xfId="4402" xr:uid="{00000000-0005-0000-0000-00003B020000}"/>
    <cellStyle name="??_x000c_&quot;?_x001b__x000d__x0015_?U_x0001_??_x0007__EVALUATION_EX_311208 23" xfId="5969" xr:uid="{00000000-0005-0000-0000-00003C020000}"/>
    <cellStyle name="??_x000c_&quot;?_x001b__x000d__x0015_?U_x0001_??_x0007__x0001__x0001__EVALUATION_EX_311208 23" xfId="4282" xr:uid="{00000000-0005-0000-0000-00003D020000}"/>
    <cellStyle name="??_x000c_&quot;?_x001b__x000d__x0015_?U_x0001_??_x0007__EVALUATION_EX_311208 24" xfId="5083" xr:uid="{00000000-0005-0000-0000-00003E020000}"/>
    <cellStyle name="??_x000c_&quot;?_x001b__x000d__x0015_?U_x0001_??_x0007__x0001__x0001__EVALUATION_EX_311208 24" xfId="5321" xr:uid="{00000000-0005-0000-0000-00003F020000}"/>
    <cellStyle name="??_x000c_&quot;?_x001b__x000d__x0015_?U_x0001_??_x0007__EVALUATION_EX_311208 25" xfId="4147" xr:uid="{00000000-0005-0000-0000-000040020000}"/>
    <cellStyle name="??_x000c_&quot;?_x001b__x000d__x0015_?U_x0001_??_x0007__x0001__x0001__EVALUATION_EX_311208 25" xfId="4651" xr:uid="{00000000-0005-0000-0000-000041020000}"/>
    <cellStyle name="??_x000c_&quot;?_x001b__x000d__x0015_?U_x0001_??_x0007__EVALUATION_EX_311208 26" xfId="5292" xr:uid="{00000000-0005-0000-0000-000042020000}"/>
    <cellStyle name="??_x000c_&quot;?_x001b__x000d__x0015_?U_x0001_??_x0007__x0001__x0001__EVALUATION_EX_311208 26" xfId="6084" xr:uid="{00000000-0005-0000-0000-000043020000}"/>
    <cellStyle name="??_x000c_&quot;?_x001b__x000d__x0015_?U_x0001_??_x0007__EVALUATION_EX_311208 27" xfId="4411" xr:uid="{00000000-0005-0000-0000-000044020000}"/>
    <cellStyle name="??_x000c_&quot;?_x001b__x000d__x0015_?U_x0001_??_x0007__x0001__x0001__EVALUATION_EX_311208 27" xfId="4998" xr:uid="{00000000-0005-0000-0000-000045020000}"/>
    <cellStyle name="??_x000c_&quot;?_x001b__x000d__x0015_?U_x0001_??_x0007__EVALUATION_EX_311208 28" xfId="6265" xr:uid="{00000000-0005-0000-0000-000046020000}"/>
    <cellStyle name="??_x000c_&quot;?_x001b__x000d__x0015_?U_x0001_??_x0007__x0001__x0001__EVALUATION_EX_311208 28" xfId="6266" xr:uid="{00000000-0005-0000-0000-000047020000}"/>
    <cellStyle name="??_x000c_&quot;?_x001b__x000d__x0015_?U_x0001_??_x0007__EVALUATION_EX_311208 29" xfId="6499" xr:uid="{00000000-0005-0000-0000-000048020000}"/>
    <cellStyle name="??_x000c_&quot;?_x001b__x000d__x0015_?U_x0001_??_x0007__x0001__x0001__EVALUATION_EX_311208 29" xfId="6498" xr:uid="{00000000-0005-0000-0000-000049020000}"/>
    <cellStyle name="??_x000c_&quot;?_x001b__x000d__x0015_?U_x0001_??_x0007__EVALUATION_EX_311208 3" xfId="3524" xr:uid="{00000000-0005-0000-0000-00004A020000}"/>
    <cellStyle name="??_x000c_&quot;?_x001b__x000d__x0015_?U_x0001_??_x0007__x0001__x0001__EVALUATION_EX_311208 3" xfId="3523" xr:uid="{00000000-0005-0000-0000-00004B020000}"/>
    <cellStyle name="??_x000c_&quot;?_x001b__x000d__x0015_?U_x0001_??_x0007__EVALUATION_EX_311208 30" xfId="6361" xr:uid="{00000000-0005-0000-0000-00004C020000}"/>
    <cellStyle name="??_x000c_&quot;?_x001b__x000d__x0015_?U_x0001_??_x0007__x0001__x0001__EVALUATION_EX_311208 30" xfId="6362" xr:uid="{00000000-0005-0000-0000-00004D020000}"/>
    <cellStyle name="??_x000c_&quot;?_x001b__x000d__x0015_?U_x0001_??_x0007__EVALUATION_EX_311208 31" xfId="6839" xr:uid="{00000000-0005-0000-0000-00004E020000}"/>
    <cellStyle name="??_x000c_&quot;?_x001b__x000d__x0015_?U_x0001_??_x0007__x0001__x0001__EVALUATION_EX_311208 31" xfId="6840" xr:uid="{00000000-0005-0000-0000-00004F020000}"/>
    <cellStyle name="??_x000c_&quot;?_x001b__x000d__x0015_?U_x0001_??_x0007__EVALUATION_EX_311208 32" xfId="7728" xr:uid="{00000000-0005-0000-0000-000050020000}"/>
    <cellStyle name="??_x000c_&quot;?_x001b__x000d__x0015_?U_x0001_??_x0007__x0001__x0001__EVALUATION_EX_311208 32" xfId="7729" xr:uid="{00000000-0005-0000-0000-000051020000}"/>
    <cellStyle name="??_x000c_&quot;?_x001b__x000d__x0015_?U_x0001_??_x0007__EVALUATION_EX_311208 33" xfId="8045" xr:uid="{00000000-0005-0000-0000-000052020000}"/>
    <cellStyle name="??_x000c_&quot;?_x001b__x000d__x0015_?U_x0001_??_x0007__x0001__x0001__EVALUATION_EX_311208 33" xfId="8044" xr:uid="{00000000-0005-0000-0000-000053020000}"/>
    <cellStyle name="??_x000c_&quot;?_x001b__x000d__x0015_?U_x0001_??_x0007__EVALUATION_EX_311208 34" xfId="8131" xr:uid="{00000000-0005-0000-0000-000054020000}"/>
    <cellStyle name="??_x000c_&quot;?_x001b__x000d__x0015_?U_x0001_??_x0007__x0001__x0001__EVALUATION_EX_311208 34" xfId="7874" xr:uid="{00000000-0005-0000-0000-000055020000}"/>
    <cellStyle name="??_x000c_&quot;?_x001b__x000d__x0015_?U_x0001_??_x0007__EVALUATION_EX_311208 35" xfId="8842" xr:uid="{00000000-0005-0000-0000-000056020000}"/>
    <cellStyle name="??_x000c_&quot;?_x001b__x000d__x0015_?U_x0001_??_x0007__x0001__x0001__EVALUATION_EX_311208 35" xfId="8222" xr:uid="{00000000-0005-0000-0000-000057020000}"/>
    <cellStyle name="??_x000c_&quot;?_x001b__x000d__x0015_?U_x0001_??_x0007__EVALUATION_EX_311208 36" xfId="8361" xr:uid="{00000000-0005-0000-0000-000058020000}"/>
    <cellStyle name="??_x000c_&quot;?_x001b__x000d__x0015_?U_x0001_??_x0007__x0001__x0001__EVALUATION_EX_311208 36" xfId="8099" xr:uid="{00000000-0005-0000-0000-000059020000}"/>
    <cellStyle name="??_x000c_&quot;?_x001b__x000d__x0015_?U_x0001_??_x0007__EVALUATION_EX_311208 37" xfId="8202" xr:uid="{00000000-0005-0000-0000-00005A020000}"/>
    <cellStyle name="??_x000c_&quot;?_x001b__x000d__x0015_?U_x0001_??_x0007__x0001__x0001__EVALUATION_EX_311208 37" xfId="8079" xr:uid="{00000000-0005-0000-0000-00005B020000}"/>
    <cellStyle name="??_x000c_&quot;?_x001b__x000d__x0015_?U_x0001_??_x0007__EVALUATION_EX_311208 38" xfId="8077" xr:uid="{00000000-0005-0000-0000-00005C020000}"/>
    <cellStyle name="??_x000c_&quot;?_x001b__x000d__x0015_?U_x0001_??_x0007__x0001__x0001__EVALUATION_EX_311208 38" xfId="8168" xr:uid="{00000000-0005-0000-0000-00005D020000}"/>
    <cellStyle name="??_x000c_&quot;?_x001b__x000d__x0015_?U_x0001_??_x0007__EVALUATION_EX_311208 39" xfId="9521" xr:uid="{00000000-0005-0000-0000-00005E020000}"/>
    <cellStyle name="??_x000c_&quot;?_x001b__x000d__x0015_?U_x0001_??_x0007__x0001__x0001__EVALUATION_EX_311208 39" xfId="9522" xr:uid="{00000000-0005-0000-0000-00005F020000}"/>
    <cellStyle name="??_x000c_&quot;?_x001b__x000d__x0015_?U_x0001_??_x0007__EVALUATION_EX_311208 4" xfId="3173" xr:uid="{00000000-0005-0000-0000-000060020000}"/>
    <cellStyle name="??_x000c_&quot;?_x001b__x000d__x0015_?U_x0001_??_x0007__x0001__x0001__EVALUATION_EX_311208 4" xfId="3174" xr:uid="{00000000-0005-0000-0000-000061020000}"/>
    <cellStyle name="??_x000c_&quot;?_x001b__x000d__x0015_?U_x0001_??_x0007__EVALUATION_EX_311208 40" xfId="11836" xr:uid="{00000000-0005-0000-0000-000062020000}"/>
    <cellStyle name="??_x000c_&quot;?_x001b__x000d__x0015_?U_x0001_??_x0007__x0001__x0001__EVALUATION_EX_311208 40" xfId="11837" xr:uid="{00000000-0005-0000-0000-000063020000}"/>
    <cellStyle name="??_x000c_&quot;?_x001b__x000d__x0015_?U_x0001_??_x0007__EVALUATION_EX_311208 41" xfId="11838" xr:uid="{00000000-0005-0000-0000-000064020000}"/>
    <cellStyle name="??_x000c_&quot;?_x001b__x000d__x0015_?U_x0001_??_x0007__x0001__x0001__EVALUATION_EX_311208 41" xfId="11839" xr:uid="{00000000-0005-0000-0000-000065020000}"/>
    <cellStyle name="??_x000c_&quot;?_x001b__x000d__x0015_?U_x0001_??_x0007__EVALUATION_EX_311208 42" xfId="11840" xr:uid="{00000000-0005-0000-0000-000066020000}"/>
    <cellStyle name="??_x000c_&quot;?_x001b__x000d__x0015_?U_x0001_??_x0007__x0001__x0001__EVALUATION_EX_311208 42" xfId="11841" xr:uid="{00000000-0005-0000-0000-000067020000}"/>
    <cellStyle name="??_x000c_&quot;?_x001b__x000d__x0015_?U_x0001_??_x0007__EVALUATION_EX_311208 43" xfId="20735" xr:uid="{00000000-0005-0000-0000-000068020000}"/>
    <cellStyle name="??_x000c_&quot;?_x001b__x000d__x0015_?U_x0001_??_x0007__x0001__x0001__EVALUATION_EX_311208 43" xfId="20736" xr:uid="{00000000-0005-0000-0000-000069020000}"/>
    <cellStyle name="??_x000c_&quot;?_x001b__x000d__x0015_?U_x0001_??_x0007__EVALUATION_EX_311208 5" xfId="3170" xr:uid="{00000000-0005-0000-0000-00006A020000}"/>
    <cellStyle name="??_x000c_&quot;?_x001b__x000d__x0015_?U_x0001_??_x0007__x0001__x0001__EVALUATION_EX_311208 5" xfId="3625" xr:uid="{00000000-0005-0000-0000-00006B020000}"/>
    <cellStyle name="??_x000c_&quot;?_x001b__x000d__x0015_?U_x0001_??_x0007__EVALUATION_EX_311208 6" xfId="3654" xr:uid="{00000000-0005-0000-0000-00006C020000}"/>
    <cellStyle name="??_x000c_&quot;?_x001b__x000d__x0015_?U_x0001_??_x0007__x0001__x0001__EVALUATION_EX_311208 6" xfId="3655" xr:uid="{00000000-0005-0000-0000-00006D020000}"/>
    <cellStyle name="??_x000c_&quot;?_x001b__x000d__x0015_?U_x0001_??_x0007__EVALUATION_EX_311208 7" xfId="3864" xr:uid="{00000000-0005-0000-0000-00006E020000}"/>
    <cellStyle name="??_x000c_&quot;?_x001b__x000d__x0015_?U_x0001_??_x0007__x0001__x0001__EVALUATION_EX_311208 7" xfId="3863" xr:uid="{00000000-0005-0000-0000-00006F020000}"/>
    <cellStyle name="??_x000c_&quot;?_x001b__x000d__x0015_?U_x0001_??_x0007__EVALUATION_EX_311208 8" xfId="3728" xr:uid="{00000000-0005-0000-0000-000070020000}"/>
    <cellStyle name="??_x000c_&quot;?_x001b__x000d__x0015_?U_x0001_??_x0007__x0001__x0001__EVALUATION_EX_311208 8" xfId="3729" xr:uid="{00000000-0005-0000-0000-000071020000}"/>
    <cellStyle name="??_x000c_&quot;?_x001b__x000d__x0015_?U_x0001_??_x0007__EVALUATION_EX_311208 9" xfId="3974" xr:uid="{00000000-0005-0000-0000-000072020000}"/>
    <cellStyle name="??_x000c_&quot;?_x001b__x000d__x0015_?U_x0001_??_x0007__x0001__x0001__EVALUATION_EX_311208 9" xfId="3975" xr:uid="{00000000-0005-0000-0000-000073020000}"/>
    <cellStyle name="??_x000c_&quot;?_x001b__x000d__x0015_?U_x0001_??_x0007__HSV-DBT061051" xfId="36" xr:uid="{00000000-0005-0000-0000-000074020000}"/>
    <cellStyle name="??_x000c_&quot;?_x001b__x000d__x0015_?U_EVALUATION_EX_311208" xfId="37" xr:uid="{00000000-0005-0000-0000-000075020000}"/>
    <cellStyle name="??_x000c_&quot;?_x001b__x000d__x0015_?U_x0001__EVALUATION_EX_311208" xfId="38" xr:uid="{00000000-0005-0000-0000-000076020000}"/>
    <cellStyle name="??_x000c_&quot;?_x001b__x000d__x0015_?U_EVALUATION_EX_311208 10" xfId="4160" xr:uid="{00000000-0005-0000-0000-000077020000}"/>
    <cellStyle name="??_x000c_&quot;?_x001b__x000d__x0015_?U_x0001__EVALUATION_EX_311208 10" xfId="4161" xr:uid="{00000000-0005-0000-0000-000078020000}"/>
    <cellStyle name="??_x000c_&quot;?_x001b__x000d__x0015_?U_EVALUATION_EX_311208 11" xfId="4964" xr:uid="{00000000-0005-0000-0000-000079020000}"/>
    <cellStyle name="??_x000c_&quot;?_x001b__x000d__x0015_?U_x0001__EVALUATION_EX_311208 11" xfId="4963" xr:uid="{00000000-0005-0000-0000-00007A020000}"/>
    <cellStyle name="??_x000c_&quot;?_x001b__x000d__x0015_?U_EVALUATION_EX_311208 12" xfId="4365" xr:uid="{00000000-0005-0000-0000-00007B020000}"/>
    <cellStyle name="??_x000c_&quot;?_x001b__x000d__x0015_?U_x0001__EVALUATION_EX_311208 12" xfId="4366" xr:uid="{00000000-0005-0000-0000-00007C020000}"/>
    <cellStyle name="??_x000c_&quot;?_x001b__x000d__x0015_?U_EVALUATION_EX_311208 13" xfId="4735" xr:uid="{00000000-0005-0000-0000-00007D020000}"/>
    <cellStyle name="??_x000c_&quot;?_x001b__x000d__x0015_?U_x0001__EVALUATION_EX_311208 13" xfId="4734" xr:uid="{00000000-0005-0000-0000-00007E020000}"/>
    <cellStyle name="??_x000c_&quot;?_x001b__x000d__x0015_?U_EVALUATION_EX_311208 14" xfId="5392" xr:uid="{00000000-0005-0000-0000-00007F020000}"/>
    <cellStyle name="??_x000c_&quot;?_x001b__x000d__x0015_?U_x0001__EVALUATION_EX_311208 14" xfId="5962" xr:uid="{00000000-0005-0000-0000-000080020000}"/>
    <cellStyle name="??_x000c_&quot;?_x001b__x000d__x0015_?U_EVALUATION_EX_311208 15" xfId="5495" xr:uid="{00000000-0005-0000-0000-000081020000}"/>
    <cellStyle name="??_x000c_&quot;?_x001b__x000d__x0015_?U_x0001__EVALUATION_EX_311208 15" xfId="5982" xr:uid="{00000000-0005-0000-0000-000082020000}"/>
    <cellStyle name="??_x000c_&quot;?_x001b__x000d__x0015_?U_EVALUATION_EX_311208 16" xfId="6002" xr:uid="{00000000-0005-0000-0000-000083020000}"/>
    <cellStyle name="??_x000c_&quot;?_x001b__x000d__x0015_?U_x0001__EVALUATION_EX_311208 16" xfId="5884" xr:uid="{00000000-0005-0000-0000-000084020000}"/>
    <cellStyle name="??_x000c_&quot;?_x001b__x000d__x0015_?U_EVALUATION_EX_311208 17" xfId="5389" xr:uid="{00000000-0005-0000-0000-000085020000}"/>
    <cellStyle name="??_x000c_&quot;?_x001b__x000d__x0015_?U_x0001__EVALUATION_EX_311208 17" xfId="5293" xr:uid="{00000000-0005-0000-0000-000086020000}"/>
    <cellStyle name="??_x000c_&quot;?_x001b__x000d__x0015_?U_EVALUATION_EX_311208 18" xfId="4551" xr:uid="{00000000-0005-0000-0000-000087020000}"/>
    <cellStyle name="??_x000c_&quot;?_x001b__x000d__x0015_?U_x0001__EVALUATION_EX_311208 18" xfId="4552" xr:uid="{00000000-0005-0000-0000-000088020000}"/>
    <cellStyle name="??_x000c_&quot;?_x001b__x000d__x0015_?U_EVALUATION_EX_311208 19" xfId="4234" xr:uid="{00000000-0005-0000-0000-000089020000}"/>
    <cellStyle name="??_x000c_&quot;?_x001b__x000d__x0015_?U_x0001__EVALUATION_EX_311208 19" xfId="6033" xr:uid="{00000000-0005-0000-0000-00008A020000}"/>
    <cellStyle name="??_x000c_&quot;?_x001b__x000d__x0015_?U_EVALUATION_EX_311208 2" xfId="3051" xr:uid="{00000000-0005-0000-0000-00008B020000}"/>
    <cellStyle name="??_x000c_&quot;?_x001b__x000d__x0015_?U_x0001__EVALUATION_EX_311208 2" xfId="3052" xr:uid="{00000000-0005-0000-0000-00008C020000}"/>
    <cellStyle name="??_x000c_&quot;?_x001b__x000d__x0015_?U_EVALUATION_EX_311208 20" xfId="4772" xr:uid="{00000000-0005-0000-0000-00008D020000}"/>
    <cellStyle name="??_x000c_&quot;?_x001b__x000d__x0015_?U_x0001__EVALUATION_EX_311208 20" xfId="4809" xr:uid="{00000000-0005-0000-0000-00008E020000}"/>
    <cellStyle name="??_x000c_&quot;?_x001b__x000d__x0015_?U_EVALUATION_EX_311208 21" xfId="6047" xr:uid="{00000000-0005-0000-0000-00008F020000}"/>
    <cellStyle name="??_x000c_&quot;?_x001b__x000d__x0015_?U_x0001__EVALUATION_EX_311208 21" xfId="6171" xr:uid="{00000000-0005-0000-0000-000090020000}"/>
    <cellStyle name="??_x000c_&quot;?_x001b__x000d__x0015_?U_EVALUATION_EX_311208 22" xfId="6073" xr:uid="{00000000-0005-0000-0000-000091020000}"/>
    <cellStyle name="??_x000c_&quot;?_x001b__x000d__x0015_?U_x0001__EVALUATION_EX_311208 22" xfId="6189" xr:uid="{00000000-0005-0000-0000-000092020000}"/>
    <cellStyle name="??_x000c_&quot;?_x001b__x000d__x0015_?U_EVALUATION_EX_311208 23" xfId="5214" xr:uid="{00000000-0005-0000-0000-000093020000}"/>
    <cellStyle name="??_x000c_&quot;?_x001b__x000d__x0015_?U_x0001__EVALUATION_EX_311208 23" xfId="6204" xr:uid="{00000000-0005-0000-0000-000094020000}"/>
    <cellStyle name="??_x000c_&quot;?_x001b__x000d__x0015_?U_EVALUATION_EX_311208 24" xfId="6017" xr:uid="{00000000-0005-0000-0000-000095020000}"/>
    <cellStyle name="??_x000c_&quot;?_x001b__x000d__x0015_?U_x0001__EVALUATION_EX_311208 24" xfId="6218" xr:uid="{00000000-0005-0000-0000-000096020000}"/>
    <cellStyle name="??_x000c_&quot;?_x001b__x000d__x0015_?U_EVALUATION_EX_311208 25" xfId="4439" xr:uid="{00000000-0005-0000-0000-000097020000}"/>
    <cellStyle name="??_x000c_&quot;?_x001b__x000d__x0015_?U_x0001__EVALUATION_EX_311208 25" xfId="6229" xr:uid="{00000000-0005-0000-0000-000098020000}"/>
    <cellStyle name="??_x000c_&quot;?_x001b__x000d__x0015_?U_EVALUATION_EX_311208 26" xfId="5087" xr:uid="{00000000-0005-0000-0000-000099020000}"/>
    <cellStyle name="??_x000c_&quot;?_x001b__x000d__x0015_?U_x0001__EVALUATION_EX_311208 26" xfId="6237" xr:uid="{00000000-0005-0000-0000-00009A020000}"/>
    <cellStyle name="??_x000c_&quot;?_x001b__x000d__x0015_?U_EVALUATION_EX_311208 27" xfId="5971" xr:uid="{00000000-0005-0000-0000-00009B020000}"/>
    <cellStyle name="??_x000c_&quot;?_x001b__x000d__x0015_?U_x0001__EVALUATION_EX_311208 27" xfId="6244" xr:uid="{00000000-0005-0000-0000-00009C020000}"/>
    <cellStyle name="??_x000c_&quot;?_x001b__x000d__x0015_?U_EVALUATION_EX_311208 28" xfId="6267" xr:uid="{00000000-0005-0000-0000-00009D020000}"/>
    <cellStyle name="??_x000c_&quot;?_x001b__x000d__x0015_?U_x0001__EVALUATION_EX_311208 28" xfId="6268" xr:uid="{00000000-0005-0000-0000-00009E020000}"/>
    <cellStyle name="??_x000c_&quot;?_x001b__x000d__x0015_?U_EVALUATION_EX_311208 29" xfId="6497" xr:uid="{00000000-0005-0000-0000-00009F020000}"/>
    <cellStyle name="??_x000c_&quot;?_x001b__x000d__x0015_?U_x0001__EVALUATION_EX_311208 29" xfId="6496" xr:uid="{00000000-0005-0000-0000-0000A0020000}"/>
    <cellStyle name="??_x000c_&quot;?_x001b__x000d__x0015_?U_EVALUATION_EX_311208 3" xfId="3522" xr:uid="{00000000-0005-0000-0000-0000A1020000}"/>
    <cellStyle name="??_x000c_&quot;?_x001b__x000d__x0015_?U_x0001__EVALUATION_EX_311208 3" xfId="3521" xr:uid="{00000000-0005-0000-0000-0000A2020000}"/>
    <cellStyle name="??_x000c_&quot;?_x001b__x000d__x0015_?U_EVALUATION_EX_311208 30" xfId="6363" xr:uid="{00000000-0005-0000-0000-0000A3020000}"/>
    <cellStyle name="??_x000c_&quot;?_x001b__x000d__x0015_?U_x0001__EVALUATION_EX_311208 30" xfId="6364" xr:uid="{00000000-0005-0000-0000-0000A4020000}"/>
    <cellStyle name="??_x000c_&quot;?_x001b__x000d__x0015_?U_EVALUATION_EX_311208 31" xfId="6841" xr:uid="{00000000-0005-0000-0000-0000A5020000}"/>
    <cellStyle name="??_x000c_&quot;?_x001b__x000d__x0015_?U_x0001__EVALUATION_EX_311208 31" xfId="6842" xr:uid="{00000000-0005-0000-0000-0000A6020000}"/>
    <cellStyle name="??_x000c_&quot;?_x001b__x000d__x0015_?U_EVALUATION_EX_311208 32" xfId="7730" xr:uid="{00000000-0005-0000-0000-0000A7020000}"/>
    <cellStyle name="??_x000c_&quot;?_x001b__x000d__x0015_?U_x0001__EVALUATION_EX_311208 32" xfId="7731" xr:uid="{00000000-0005-0000-0000-0000A8020000}"/>
    <cellStyle name="??_x000c_&quot;?_x001b__x000d__x0015_?U_EVALUATION_EX_311208 33" xfId="8043" xr:uid="{00000000-0005-0000-0000-0000A9020000}"/>
    <cellStyle name="??_x000c_&quot;?_x001b__x000d__x0015_?U_x0001__EVALUATION_EX_311208 33" xfId="8042" xr:uid="{00000000-0005-0000-0000-0000AA020000}"/>
    <cellStyle name="??_x000c_&quot;?_x001b__x000d__x0015_?U_EVALUATION_EX_311208 34" xfId="7875" xr:uid="{00000000-0005-0000-0000-0000AB020000}"/>
    <cellStyle name="??_x000c_&quot;?_x001b__x000d__x0015_?U_x0001__EVALUATION_EX_311208 34" xfId="8132" xr:uid="{00000000-0005-0000-0000-0000AC020000}"/>
    <cellStyle name="??_x000c_&quot;?_x001b__x000d__x0015_?U_EVALUATION_EX_311208 35" xfId="9411" xr:uid="{00000000-0005-0000-0000-0000AD020000}"/>
    <cellStyle name="??_x000c_&quot;?_x001b__x000d__x0015_?U_x0001__EVALUATION_EX_311208 35" xfId="7827" xr:uid="{00000000-0005-0000-0000-0000AE020000}"/>
    <cellStyle name="??_x000c_&quot;?_x001b__x000d__x0015_?U_EVALUATION_EX_311208 36" xfId="8073" xr:uid="{00000000-0005-0000-0000-0000AF020000}"/>
    <cellStyle name="??_x000c_&quot;?_x001b__x000d__x0015_?U_x0001__EVALUATION_EX_311208 36" xfId="8140" xr:uid="{00000000-0005-0000-0000-0000B0020000}"/>
    <cellStyle name="??_x000c_&quot;?_x001b__x000d__x0015_?U_EVALUATION_EX_311208 37" xfId="7795" xr:uid="{00000000-0005-0000-0000-0000B1020000}"/>
    <cellStyle name="??_x000c_&quot;?_x001b__x000d__x0015_?U_x0001__EVALUATION_EX_311208 37" xfId="8847" xr:uid="{00000000-0005-0000-0000-0000B2020000}"/>
    <cellStyle name="??_x000c_&quot;?_x001b__x000d__x0015_?U_EVALUATION_EX_311208 38" xfId="7962" xr:uid="{00000000-0005-0000-0000-0000B3020000}"/>
    <cellStyle name="??_x000c_&quot;?_x001b__x000d__x0015_?U_x0001__EVALUATION_EX_311208 38" xfId="9397" xr:uid="{00000000-0005-0000-0000-0000B4020000}"/>
    <cellStyle name="??_x000c_&quot;?_x001b__x000d__x0015_?U_EVALUATION_EX_311208 39" xfId="9523" xr:uid="{00000000-0005-0000-0000-0000B5020000}"/>
    <cellStyle name="??_x000c_&quot;?_x001b__x000d__x0015_?U_x0001__EVALUATION_EX_311208 39" xfId="9524" xr:uid="{00000000-0005-0000-0000-0000B6020000}"/>
    <cellStyle name="??_x000c_&quot;?_x001b__x000d__x0015_?U_EVALUATION_EX_311208 4" xfId="3175" xr:uid="{00000000-0005-0000-0000-0000B7020000}"/>
    <cellStyle name="??_x000c_&quot;?_x001b__x000d__x0015_?U_x0001__EVALUATION_EX_311208 4" xfId="3176" xr:uid="{00000000-0005-0000-0000-0000B8020000}"/>
    <cellStyle name="??_x000c_&quot;?_x001b__x000d__x0015_?U_EVALUATION_EX_311208 40" xfId="11842" xr:uid="{00000000-0005-0000-0000-0000B9020000}"/>
    <cellStyle name="??_x000c_&quot;?_x001b__x000d__x0015_?U_x0001__EVALUATION_EX_311208 40" xfId="11843" xr:uid="{00000000-0005-0000-0000-0000BA020000}"/>
    <cellStyle name="??_x000c_&quot;?_x001b__x000d__x0015_?U_EVALUATION_EX_311208 41" xfId="11844" xr:uid="{00000000-0005-0000-0000-0000BB020000}"/>
    <cellStyle name="??_x000c_&quot;?_x001b__x000d__x0015_?U_x0001__EVALUATION_EX_311208 41" xfId="11845" xr:uid="{00000000-0005-0000-0000-0000BC020000}"/>
    <cellStyle name="??_x000c_&quot;?_x001b__x000d__x0015_?U_EVALUATION_EX_311208 42" xfId="11846" xr:uid="{00000000-0005-0000-0000-0000BD020000}"/>
    <cellStyle name="??_x000c_&quot;?_x001b__x000d__x0015_?U_x0001__EVALUATION_EX_311208 42" xfId="11847" xr:uid="{00000000-0005-0000-0000-0000BE020000}"/>
    <cellStyle name="??_x000c_&quot;?_x001b__x000d__x0015_?U_EVALUATION_EX_311208 43" xfId="20737" xr:uid="{00000000-0005-0000-0000-0000BF020000}"/>
    <cellStyle name="??_x000c_&quot;?_x001b__x000d__x0015_?U_x0001__EVALUATION_EX_311208 43" xfId="20738" xr:uid="{00000000-0005-0000-0000-0000C0020000}"/>
    <cellStyle name="??_x000c_&quot;?_x001b__x000d__x0015_?U_EVALUATION_EX_311208 5" xfId="3628" xr:uid="{00000000-0005-0000-0000-0000C1020000}"/>
    <cellStyle name="??_x000c_&quot;?_x001b__x000d__x0015_?U_x0001__EVALUATION_EX_311208 5" xfId="3369" xr:uid="{00000000-0005-0000-0000-0000C2020000}"/>
    <cellStyle name="??_x000c_&quot;?_x001b__x000d__x0015_?U_EVALUATION_EX_311208 6" xfId="3656" xr:uid="{00000000-0005-0000-0000-0000C3020000}"/>
    <cellStyle name="??_x000c_&quot;?_x001b__x000d__x0015_?U_x0001__EVALUATION_EX_311208 6" xfId="3657" xr:uid="{00000000-0005-0000-0000-0000C4020000}"/>
    <cellStyle name="??_x000c_&quot;?_x001b__x000d__x0015_?U_EVALUATION_EX_311208 7" xfId="3862" xr:uid="{00000000-0005-0000-0000-0000C5020000}"/>
    <cellStyle name="??_x000c_&quot;?_x001b__x000d__x0015_?U_x0001__EVALUATION_EX_311208 7" xfId="3861" xr:uid="{00000000-0005-0000-0000-0000C6020000}"/>
    <cellStyle name="??_x000c_&quot;?_x001b__x000d__x0015_?U_EVALUATION_EX_311208 8" xfId="3730" xr:uid="{00000000-0005-0000-0000-0000C7020000}"/>
    <cellStyle name="??_x000c_&quot;?_x001b__x000d__x0015_?U_x0001__EVALUATION_EX_311208 8" xfId="3731" xr:uid="{00000000-0005-0000-0000-0000C8020000}"/>
    <cellStyle name="??_x000c_&quot;?_x001b__x000d__x0015_?U_EVALUATION_EX_311208 9" xfId="3976" xr:uid="{00000000-0005-0000-0000-0000C9020000}"/>
    <cellStyle name="??_x000c_&quot;?_x001b__x000d__x0015_?U_x0001__EVALUATION_EX_311208 9" xfId="3977" xr:uid="{00000000-0005-0000-0000-0000CA020000}"/>
    <cellStyle name="??_x000c_&quot;?_x001b__x000d__x0015__EVALUATION_EX_311208" xfId="39" xr:uid="{00000000-0005-0000-0000-0000CB020000}"/>
    <cellStyle name="??_x000c_&quot;?_x001b__EVALUATION_EX_311208" xfId="40" xr:uid="{00000000-0005-0000-0000-0000CC020000}"/>
    <cellStyle name="??_x000c_&quot;_EVALUATION_EX_311208" xfId="41" xr:uid="{00000000-0005-0000-0000-0000CD020000}"/>
    <cellStyle name="??_x000c_&quot;" xfId="42" xr:uid="{00000000-0005-0000-0000-0000CE020000}"/>
    <cellStyle name="??_x000c_&quot;_x001b_" xfId="43" xr:uid="{00000000-0005-0000-0000-0000CF020000}"/>
    <cellStyle name="??_x000c_&quot; 10" xfId="4162" xr:uid="{00000000-0005-0000-0000-0000D0020000}"/>
    <cellStyle name="??_x000c_&quot;_x001b_ 10" xfId="4163" xr:uid="{00000000-0005-0000-0000-0000D1020000}"/>
    <cellStyle name="??_x000c_&quot; 11" xfId="4961" xr:uid="{00000000-0005-0000-0000-0000D2020000}"/>
    <cellStyle name="??_x000c_&quot;_x001b_ 11" xfId="4960" xr:uid="{00000000-0005-0000-0000-0000D3020000}"/>
    <cellStyle name="??_x000c_&quot; 12" xfId="4368" xr:uid="{00000000-0005-0000-0000-0000D4020000}"/>
    <cellStyle name="??_x000c_&quot;_x001b_ 12" xfId="4369" xr:uid="{00000000-0005-0000-0000-0000D5020000}"/>
    <cellStyle name="??_x000c_&quot; 13" xfId="5190" xr:uid="{00000000-0005-0000-0000-0000D6020000}"/>
    <cellStyle name="??_x000c_&quot;_x001b_ 13" xfId="5022" xr:uid="{00000000-0005-0000-0000-0000D7020000}"/>
    <cellStyle name="??_x000c_&quot; 14" xfId="5005" xr:uid="{00000000-0005-0000-0000-0000D8020000}"/>
    <cellStyle name="??_x000c_&quot;_x001b_ 14" xfId="5370" xr:uid="{00000000-0005-0000-0000-0000D9020000}"/>
    <cellStyle name="??_x000c_&quot; 15" xfId="4816" xr:uid="{00000000-0005-0000-0000-0000DA020000}"/>
    <cellStyle name="??_x000c_&quot;_x001b_ 15" xfId="5461" xr:uid="{00000000-0005-0000-0000-0000DB020000}"/>
    <cellStyle name="??_x000c_&quot; 16" xfId="5364" xr:uid="{00000000-0005-0000-0000-0000DC020000}"/>
    <cellStyle name="??_x000c_&quot;_x001b_ 16" xfId="5184" xr:uid="{00000000-0005-0000-0000-0000DD020000}"/>
    <cellStyle name="??_x000c_&quot; 17" xfId="5100" xr:uid="{00000000-0005-0000-0000-0000DE020000}"/>
    <cellStyle name="??_x000c_&quot;_x001b_ 17" xfId="4313" xr:uid="{00000000-0005-0000-0000-0000DF020000}"/>
    <cellStyle name="??_x000c_&quot; 18" xfId="5386" xr:uid="{00000000-0005-0000-0000-0000E0020000}"/>
    <cellStyle name="??_x000c_&quot;_x001b_ 18" xfId="4779" xr:uid="{00000000-0005-0000-0000-0000E1020000}"/>
    <cellStyle name="??_x000c_&quot; 19" xfId="5848" xr:uid="{00000000-0005-0000-0000-0000E2020000}"/>
    <cellStyle name="??_x000c_&quot;_x001b_ 19" xfId="6007" xr:uid="{00000000-0005-0000-0000-0000E3020000}"/>
    <cellStyle name="??_x000c_&quot; 2" xfId="3053" xr:uid="{00000000-0005-0000-0000-0000E4020000}"/>
    <cellStyle name="??_x000c_&quot;_x001b_ 2" xfId="3054" xr:uid="{00000000-0005-0000-0000-0000E5020000}"/>
    <cellStyle name="??_x000c_&quot; 20" xfId="5871" xr:uid="{00000000-0005-0000-0000-0000E6020000}"/>
    <cellStyle name="??_x000c_&quot;_x001b_ 20" xfId="6040" xr:uid="{00000000-0005-0000-0000-0000E7020000}"/>
    <cellStyle name="??_x000c_&quot; 21" xfId="4540" xr:uid="{00000000-0005-0000-0000-0000E8020000}"/>
    <cellStyle name="??_x000c_&quot;_x001b_ 21" xfId="5001" xr:uid="{00000000-0005-0000-0000-0000E9020000}"/>
    <cellStyle name="??_x000c_&quot; 22" xfId="5510" xr:uid="{00000000-0005-0000-0000-0000EA020000}"/>
    <cellStyle name="??_x000c_&quot;_x001b_ 22" xfId="5566" xr:uid="{00000000-0005-0000-0000-0000EB020000}"/>
    <cellStyle name="??_x000c_&quot; 23" xfId="6159" xr:uid="{00000000-0005-0000-0000-0000EC020000}"/>
    <cellStyle name="??_x000c_&quot;_x001b_ 23" xfId="4634" xr:uid="{00000000-0005-0000-0000-0000ED020000}"/>
    <cellStyle name="??_x000c_&quot; 24" xfId="6179" xr:uid="{00000000-0005-0000-0000-0000EE020000}"/>
    <cellStyle name="??_x000c_&quot;_x001b_ 24" xfId="5320" xr:uid="{00000000-0005-0000-0000-0000EF020000}"/>
    <cellStyle name="??_x000c_&quot; 25" xfId="6197" xr:uid="{00000000-0005-0000-0000-0000F0020000}"/>
    <cellStyle name="??_x000c_&quot;_x001b_ 25" xfId="4488" xr:uid="{00000000-0005-0000-0000-0000F1020000}"/>
    <cellStyle name="??_x000c_&quot; 26" xfId="6211" xr:uid="{00000000-0005-0000-0000-0000F2020000}"/>
    <cellStyle name="??_x000c_&quot;_x001b_ 26" xfId="6098" xr:uid="{00000000-0005-0000-0000-0000F3020000}"/>
    <cellStyle name="??_x000c_&quot; 27" xfId="6224" xr:uid="{00000000-0005-0000-0000-0000F4020000}"/>
    <cellStyle name="??_x000c_&quot;_x001b_ 27" xfId="4561" xr:uid="{00000000-0005-0000-0000-0000F5020000}"/>
    <cellStyle name="??_x000c_&quot; 28" xfId="6269" xr:uid="{00000000-0005-0000-0000-0000F6020000}"/>
    <cellStyle name="??_x000c_&quot;_x001b_ 28" xfId="6270" xr:uid="{00000000-0005-0000-0000-0000F7020000}"/>
    <cellStyle name="??_x000c_&quot; 29" xfId="6495" xr:uid="{00000000-0005-0000-0000-0000F8020000}"/>
    <cellStyle name="??_x000c_&quot;_x001b_ 29" xfId="6494" xr:uid="{00000000-0005-0000-0000-0000F9020000}"/>
    <cellStyle name="??_x000c_&quot; 3" xfId="3520" xr:uid="{00000000-0005-0000-0000-0000FA020000}"/>
    <cellStyle name="??_x000c_&quot;_x001b_ 3" xfId="3519" xr:uid="{00000000-0005-0000-0000-0000FB020000}"/>
    <cellStyle name="??_x000c_&quot; 30" xfId="6365" xr:uid="{00000000-0005-0000-0000-0000FC020000}"/>
    <cellStyle name="??_x000c_&quot;_x001b_ 30" xfId="6366" xr:uid="{00000000-0005-0000-0000-0000FD020000}"/>
    <cellStyle name="??_x000c_&quot; 31" xfId="6843" xr:uid="{00000000-0005-0000-0000-0000FE020000}"/>
    <cellStyle name="??_x000c_&quot;_x001b_ 31" xfId="6844" xr:uid="{00000000-0005-0000-0000-0000FF020000}"/>
    <cellStyle name="??_x000c_&quot; 32" xfId="7732" xr:uid="{00000000-0005-0000-0000-000000030000}"/>
    <cellStyle name="??_x000c_&quot;_x001b_ 32" xfId="7733" xr:uid="{00000000-0005-0000-0000-000001030000}"/>
    <cellStyle name="??_x000c_&quot; 33" xfId="8041" xr:uid="{00000000-0005-0000-0000-000002030000}"/>
    <cellStyle name="??_x000c_&quot;_x001b_ 33" xfId="8040" xr:uid="{00000000-0005-0000-0000-000003030000}"/>
    <cellStyle name="??_x000c_&quot; 34" xfId="8133" xr:uid="{00000000-0005-0000-0000-000004030000}"/>
    <cellStyle name="??_x000c_&quot;_x001b_ 34" xfId="7876" xr:uid="{00000000-0005-0000-0000-000005030000}"/>
    <cellStyle name="??_x000c_&quot; 35" xfId="9457" xr:uid="{00000000-0005-0000-0000-000006030000}"/>
    <cellStyle name="??_x000c_&quot;_x001b_ 35" xfId="9455" xr:uid="{00000000-0005-0000-0000-000007030000}"/>
    <cellStyle name="??_x000c_&quot; 36" xfId="9472" xr:uid="{00000000-0005-0000-0000-000008030000}"/>
    <cellStyle name="??_x000c_&quot;_x001b_ 36" xfId="9470" xr:uid="{00000000-0005-0000-0000-000009030000}"/>
    <cellStyle name="??_x000c_&quot; 37" xfId="9481" xr:uid="{00000000-0005-0000-0000-00000A030000}"/>
    <cellStyle name="??_x000c_&quot;_x001b_ 37" xfId="7864" xr:uid="{00000000-0005-0000-0000-00000B030000}"/>
    <cellStyle name="??_x000c_&quot; 38" xfId="9495" xr:uid="{00000000-0005-0000-0000-00000C030000}"/>
    <cellStyle name="??_x000c_&quot;_x001b_ 38" xfId="9491" xr:uid="{00000000-0005-0000-0000-00000D030000}"/>
    <cellStyle name="??_x000c_&quot; 39" xfId="9525" xr:uid="{00000000-0005-0000-0000-00000E030000}"/>
    <cellStyle name="??_x000c_&quot;_x001b_ 39" xfId="9526" xr:uid="{00000000-0005-0000-0000-00000F030000}"/>
    <cellStyle name="??_x000c_&quot; 4" xfId="3177" xr:uid="{00000000-0005-0000-0000-000010030000}"/>
    <cellStyle name="??_x000c_&quot;_x001b_ 4" xfId="3178" xr:uid="{00000000-0005-0000-0000-000011030000}"/>
    <cellStyle name="??_x000c_&quot; 40" xfId="11848" xr:uid="{00000000-0005-0000-0000-000012030000}"/>
    <cellStyle name="??_x000c_&quot;_x001b_ 40" xfId="11849" xr:uid="{00000000-0005-0000-0000-000013030000}"/>
    <cellStyle name="??_x000c_&quot; 41" xfId="11850" xr:uid="{00000000-0005-0000-0000-000014030000}"/>
    <cellStyle name="??_x000c_&quot;_x001b_ 41" xfId="11851" xr:uid="{00000000-0005-0000-0000-000015030000}"/>
    <cellStyle name="??_x000c_&quot; 42" xfId="11852" xr:uid="{00000000-0005-0000-0000-000016030000}"/>
    <cellStyle name="??_x000c_&quot;_x001b_ 42" xfId="11853" xr:uid="{00000000-0005-0000-0000-000017030000}"/>
    <cellStyle name="??_x000c_&quot; 43" xfId="20739" xr:uid="{00000000-0005-0000-0000-000018030000}"/>
    <cellStyle name="??_x000c_&quot;_x001b_ 43" xfId="20740" xr:uid="{00000000-0005-0000-0000-000019030000}"/>
    <cellStyle name="??_x000c_&quot; 5" xfId="3368" xr:uid="{00000000-0005-0000-0000-00001A030000}"/>
    <cellStyle name="??_x000c_&quot;_x001b_ 5" xfId="3366" xr:uid="{00000000-0005-0000-0000-00001B030000}"/>
    <cellStyle name="??_x000c_&quot; 6" xfId="3658" xr:uid="{00000000-0005-0000-0000-00001C030000}"/>
    <cellStyle name="??_x000c_&quot;_x001b_ 6" xfId="3659" xr:uid="{00000000-0005-0000-0000-00001D030000}"/>
    <cellStyle name="??_x000c_&quot; 7" xfId="3860" xr:uid="{00000000-0005-0000-0000-00001E030000}"/>
    <cellStyle name="??_x000c_&quot;_x001b_ 7" xfId="3859" xr:uid="{00000000-0005-0000-0000-00001F030000}"/>
    <cellStyle name="??_x000c_&quot; 8" xfId="3887" xr:uid="{00000000-0005-0000-0000-000020030000}"/>
    <cellStyle name="??_x000c_&quot;_x001b_ 8" xfId="3926" xr:uid="{00000000-0005-0000-0000-000021030000}"/>
    <cellStyle name="??_x000c_&quot; 9" xfId="3978" xr:uid="{00000000-0005-0000-0000-000022030000}"/>
    <cellStyle name="??_x000c_&quot;_x001b_ 9" xfId="3979" xr:uid="{00000000-0005-0000-0000-000023030000}"/>
    <cellStyle name="??_x000c_&quot;_x001b__x000d_" xfId="44" xr:uid="{00000000-0005-0000-0000-000024030000}"/>
    <cellStyle name="??_x000c_&quot;_x001b__x000d__x0015_" xfId="45" xr:uid="{00000000-0005-0000-0000-000025030000}"/>
    <cellStyle name="??_x000c_&quot;_x001b__x000d_ 10" xfId="4164" xr:uid="{00000000-0005-0000-0000-000026030000}"/>
    <cellStyle name="??_x000c_&quot;_x001b__x000d__x0015_ 10" xfId="4165" xr:uid="{00000000-0005-0000-0000-000027030000}"/>
    <cellStyle name="??_x000c_&quot;_x001b__x000d_ 11" xfId="4959" xr:uid="{00000000-0005-0000-0000-000028030000}"/>
    <cellStyle name="??_x000c_&quot;_x001b__x000d__x0015_ 11" xfId="4958" xr:uid="{00000000-0005-0000-0000-000029030000}"/>
    <cellStyle name="??_x000c_&quot;_x001b__x000d_ 12" xfId="4370" xr:uid="{00000000-0005-0000-0000-00002A030000}"/>
    <cellStyle name="??_x000c_&quot;_x001b__x000d__x0015_ 12" xfId="4371" xr:uid="{00000000-0005-0000-0000-00002B030000}"/>
    <cellStyle name="??_x000c_&quot;_x001b__x000d_ 13" xfId="5024" xr:uid="{00000000-0005-0000-0000-00002C030000}"/>
    <cellStyle name="??_x000c_&quot;_x001b__x000d__x0015_ 13" xfId="4733" xr:uid="{00000000-0005-0000-0000-00002D030000}"/>
    <cellStyle name="??_x000c_&quot;_x001b__x000d_ 14" xfId="4349" xr:uid="{00000000-0005-0000-0000-00002E030000}"/>
    <cellStyle name="??_x000c_&quot;_x001b__x000d__x0015_ 14" xfId="5965" xr:uid="{00000000-0005-0000-0000-00002F030000}"/>
    <cellStyle name="??_x000c_&quot;_x001b__x000d_ 15" xfId="5352" xr:uid="{00000000-0005-0000-0000-000030030000}"/>
    <cellStyle name="??_x000c_&quot;_x001b__x000d__x0015_ 15" xfId="5985" xr:uid="{00000000-0005-0000-0000-000031030000}"/>
    <cellStyle name="??_x000c_&quot;_x001b__x000d_ 16" xfId="5438" xr:uid="{00000000-0005-0000-0000-000032030000}"/>
    <cellStyle name="??_x000c_&quot;_x001b__x000d__x0015_ 16" xfId="4237" xr:uid="{00000000-0005-0000-0000-000033030000}"/>
    <cellStyle name="??_x000c_&quot;_x001b__x000d_ 17" xfId="5449" xr:uid="{00000000-0005-0000-0000-000034030000}"/>
    <cellStyle name="??_x000c_&quot;_x001b__x000d__x0015_ 17" xfId="5186" xr:uid="{00000000-0005-0000-0000-000035030000}"/>
    <cellStyle name="??_x000c_&quot;_x001b__x000d_ 18" xfId="4771" xr:uid="{00000000-0005-0000-0000-000036030000}"/>
    <cellStyle name="??_x000c_&quot;_x001b__x000d__x0015_ 18" xfId="4553" xr:uid="{00000000-0005-0000-0000-000037030000}"/>
    <cellStyle name="??_x000c_&quot;_x001b__x000d_ 19" xfId="6032" xr:uid="{00000000-0005-0000-0000-000038030000}"/>
    <cellStyle name="??_x000c_&quot;_x001b__x000d__x0015_ 19" xfId="5591" xr:uid="{00000000-0005-0000-0000-000039030000}"/>
    <cellStyle name="??_x000c_&quot;_x001b__x000d_ 2" xfId="3055" xr:uid="{00000000-0005-0000-0000-00003A030000}"/>
    <cellStyle name="??_x000c_&quot;_x001b__x000d__x0015_ 2" xfId="3056" xr:uid="{00000000-0005-0000-0000-00003B030000}"/>
    <cellStyle name="??_x000c_&quot;_x001b__x000d_ 20" xfId="5008" xr:uid="{00000000-0005-0000-0000-00003C030000}"/>
    <cellStyle name="??_x000c_&quot;_x001b__x000d__x0015_ 20" xfId="5842" xr:uid="{00000000-0005-0000-0000-00003D030000}"/>
    <cellStyle name="??_x000c_&quot;_x001b__x000d_ 21" xfId="4869" xr:uid="{00000000-0005-0000-0000-00003E030000}"/>
    <cellStyle name="??_x000c_&quot;_x001b__x000d__x0015_ 21" xfId="6173" xr:uid="{00000000-0005-0000-0000-00003F030000}"/>
    <cellStyle name="??_x000c_&quot;_x001b__x000d_ 22" xfId="5981" xr:uid="{00000000-0005-0000-0000-000040030000}"/>
    <cellStyle name="??_x000c_&quot;_x001b__x000d__x0015_ 22" xfId="6191" xr:uid="{00000000-0005-0000-0000-000041030000}"/>
    <cellStyle name="??_x000c_&quot;_x001b__x000d_ 23" xfId="5229" xr:uid="{00000000-0005-0000-0000-000042030000}"/>
    <cellStyle name="??_x000c_&quot;_x001b__x000d__x0015_ 23" xfId="6206" xr:uid="{00000000-0005-0000-0000-000043030000}"/>
    <cellStyle name="??_x000c_&quot;_x001b__x000d_ 24" xfId="6107" xr:uid="{00000000-0005-0000-0000-000044030000}"/>
    <cellStyle name="??_x000c_&quot;_x001b__x000d__x0015_ 24" xfId="6220" xr:uid="{00000000-0005-0000-0000-000045030000}"/>
    <cellStyle name="??_x000c_&quot;_x001b__x000d_ 25" xfId="4592" xr:uid="{00000000-0005-0000-0000-000046030000}"/>
    <cellStyle name="??_x000c_&quot;_x001b__x000d__x0015_ 25" xfId="6231" xr:uid="{00000000-0005-0000-0000-000047030000}"/>
    <cellStyle name="??_x000c_&quot;_x001b__x000d_ 26" xfId="4404" xr:uid="{00000000-0005-0000-0000-000048030000}"/>
    <cellStyle name="??_x000c_&quot;_x001b__x000d__x0015_ 26" xfId="6239" xr:uid="{00000000-0005-0000-0000-000049030000}"/>
    <cellStyle name="??_x000c_&quot;_x001b__x000d_ 27" xfId="4892" xr:uid="{00000000-0005-0000-0000-00004A030000}"/>
    <cellStyle name="??_x000c_&quot;_x001b__x000d__x0015_ 27" xfId="6246" xr:uid="{00000000-0005-0000-0000-00004B030000}"/>
    <cellStyle name="??_x000c_&quot;_x001b__x000d_ 28" xfId="6271" xr:uid="{00000000-0005-0000-0000-00004C030000}"/>
    <cellStyle name="??_x000c_&quot;_x001b__x000d__x0015_ 28" xfId="6272" xr:uid="{00000000-0005-0000-0000-00004D030000}"/>
    <cellStyle name="??_x000c_&quot;_x001b__x000d_ 29" xfId="6493" xr:uid="{00000000-0005-0000-0000-00004E030000}"/>
    <cellStyle name="??_x000c_&quot;_x001b__x000d__x0015_ 29" xfId="6492" xr:uid="{00000000-0005-0000-0000-00004F030000}"/>
    <cellStyle name="??_x000c_&quot;_x001b__x000d_ 3" xfId="3518" xr:uid="{00000000-0005-0000-0000-000050030000}"/>
    <cellStyle name="??_x000c_&quot;_x001b__x000d__x0015_ 3" xfId="3517" xr:uid="{00000000-0005-0000-0000-000051030000}"/>
    <cellStyle name="??_x000c_&quot;_x001b__x000d_ 30" xfId="6367" xr:uid="{00000000-0005-0000-0000-000052030000}"/>
    <cellStyle name="??_x000c_&quot;_x001b__x000d__x0015_ 30" xfId="6368" xr:uid="{00000000-0005-0000-0000-000053030000}"/>
    <cellStyle name="??_x000c_&quot;_x001b__x000d_ 31" xfId="6845" xr:uid="{00000000-0005-0000-0000-000054030000}"/>
    <cellStyle name="??_x000c_&quot;_x001b__x000d__x0015_ 31" xfId="6846" xr:uid="{00000000-0005-0000-0000-000055030000}"/>
    <cellStyle name="??_x000c_&quot;_x001b__x000d_ 32" xfId="7734" xr:uid="{00000000-0005-0000-0000-000056030000}"/>
    <cellStyle name="??_x000c_&quot;_x001b__x000d__x0015_ 32" xfId="7735" xr:uid="{00000000-0005-0000-0000-000057030000}"/>
    <cellStyle name="??_x000c_&quot;_x001b__x000d_ 33" xfId="8039" xr:uid="{00000000-0005-0000-0000-000058030000}"/>
    <cellStyle name="??_x000c_&quot;_x001b__x000d__x0015_ 33" xfId="8038" xr:uid="{00000000-0005-0000-0000-000059030000}"/>
    <cellStyle name="??_x000c_&quot;_x001b__x000d_ 34" xfId="8134" xr:uid="{00000000-0005-0000-0000-00005A030000}"/>
    <cellStyle name="??_x000c_&quot;_x001b__x000d__x0015_ 34" xfId="7877" xr:uid="{00000000-0005-0000-0000-00005B030000}"/>
    <cellStyle name="??_x000c_&quot;_x001b__x000d_ 35" xfId="9447" xr:uid="{00000000-0005-0000-0000-00005C030000}"/>
    <cellStyle name="??_x000c_&quot;_x001b__x000d__x0015_ 35" xfId="9443" xr:uid="{00000000-0005-0000-0000-00005D030000}"/>
    <cellStyle name="??_x000c_&quot;_x001b__x000d_ 36" xfId="8057" xr:uid="{00000000-0005-0000-0000-00005E030000}"/>
    <cellStyle name="??_x000c_&quot;_x001b__x000d__x0015_ 36" xfId="7807" xr:uid="{00000000-0005-0000-0000-00005F030000}"/>
    <cellStyle name="??_x000c_&quot;_x001b__x000d_ 37" xfId="7970" xr:uid="{00000000-0005-0000-0000-000060030000}"/>
    <cellStyle name="??_x000c_&quot;_x001b__x000d__x0015_ 37" xfId="9485" xr:uid="{00000000-0005-0000-0000-000061030000}"/>
    <cellStyle name="??_x000c_&quot;_x001b__x000d_ 38" xfId="9490" xr:uid="{00000000-0005-0000-0000-000062030000}"/>
    <cellStyle name="??_x000c_&quot;_x001b__x000d__x0015_ 38" xfId="8145" xr:uid="{00000000-0005-0000-0000-000063030000}"/>
    <cellStyle name="??_x000c_&quot;_x001b__x000d_ 39" xfId="9527" xr:uid="{00000000-0005-0000-0000-000064030000}"/>
    <cellStyle name="??_x000c_&quot;_x001b__x000d__x0015_ 39" xfId="9528" xr:uid="{00000000-0005-0000-0000-000065030000}"/>
    <cellStyle name="??_x000c_&quot;_x001b__x000d_ 4" xfId="3179" xr:uid="{00000000-0005-0000-0000-000066030000}"/>
    <cellStyle name="??_x000c_&quot;_x001b__x000d__x0015_ 4" xfId="3180" xr:uid="{00000000-0005-0000-0000-000067030000}"/>
    <cellStyle name="??_x000c_&quot;_x001b__x000d_ 40" xfId="11854" xr:uid="{00000000-0005-0000-0000-000068030000}"/>
    <cellStyle name="??_x000c_&quot;_x001b__x000d__x0015_ 40" xfId="11855" xr:uid="{00000000-0005-0000-0000-000069030000}"/>
    <cellStyle name="??_x000c_&quot;_x001b__x000d_ 41" xfId="11856" xr:uid="{00000000-0005-0000-0000-00006A030000}"/>
    <cellStyle name="??_x000c_&quot;_x001b__x000d__x0015_ 41" xfId="11857" xr:uid="{00000000-0005-0000-0000-00006B030000}"/>
    <cellStyle name="??_x000c_&quot;_x001b__x000d_ 42" xfId="11858" xr:uid="{00000000-0005-0000-0000-00006C030000}"/>
    <cellStyle name="??_x000c_&quot;_x001b__x000d__x0015_ 42" xfId="11859" xr:uid="{00000000-0005-0000-0000-00006D030000}"/>
    <cellStyle name="??_x000c_&quot;_x001b__x000d_ 43" xfId="20741" xr:uid="{00000000-0005-0000-0000-00006E030000}"/>
    <cellStyle name="??_x000c_&quot;_x001b__x000d__x0015_ 43" xfId="20742" xr:uid="{00000000-0005-0000-0000-00006F030000}"/>
    <cellStyle name="??_x000c_&quot;_x001b__x000d_ 5" xfId="3365" xr:uid="{00000000-0005-0000-0000-000070030000}"/>
    <cellStyle name="??_x000c_&quot;_x001b__x000d__x0015_ 5" xfId="3364" xr:uid="{00000000-0005-0000-0000-000071030000}"/>
    <cellStyle name="??_x000c_&quot;_x001b__x000d_ 6" xfId="3660" xr:uid="{00000000-0005-0000-0000-000072030000}"/>
    <cellStyle name="??_x000c_&quot;_x001b__x000d__x0015_ 6" xfId="3661" xr:uid="{00000000-0005-0000-0000-000073030000}"/>
    <cellStyle name="??_x000c_&quot;_x001b__x000d_ 7" xfId="3858" xr:uid="{00000000-0005-0000-0000-000074030000}"/>
    <cellStyle name="??_x000c_&quot;_x001b__x000d__x0015_ 7" xfId="3857" xr:uid="{00000000-0005-0000-0000-000075030000}"/>
    <cellStyle name="??_x000c_&quot;_x001b__x000d_ 8" xfId="3904" xr:uid="{00000000-0005-0000-0000-000076030000}"/>
    <cellStyle name="??_x000c_&quot;_x001b__x000d__x0015_ 8" xfId="3931" xr:uid="{00000000-0005-0000-0000-000077030000}"/>
    <cellStyle name="??_x000c_&quot;_x001b__x000d_ 9" xfId="3980" xr:uid="{00000000-0005-0000-0000-000078030000}"/>
    <cellStyle name="??_x000c_&quot;_x001b__x000d__x0015_ 9" xfId="3981" xr:uid="{00000000-0005-0000-0000-000079030000}"/>
    <cellStyle name="??_x000c_&quot;_x001b__x000d__138 - OtherReceivableAccount_28022010" xfId="46" xr:uid="{00000000-0005-0000-0000-00007A030000}"/>
    <cellStyle name="??_x000c_&quot;_x001b__x000d__x0015__138 - OtherReceivableAccount_28022010" xfId="47" xr:uid="{00000000-0005-0000-0000-00007B030000}"/>
    <cellStyle name="??_x000c_&quot;_x001b__x000d__138 - OtherReceivableAccount_28022010 10" xfId="4166" xr:uid="{00000000-0005-0000-0000-00007C030000}"/>
    <cellStyle name="??_x000c_&quot;_x001b__x000d__x0015__138 - OtherReceivableAccount_28022010 10" xfId="4167" xr:uid="{00000000-0005-0000-0000-00007D030000}"/>
    <cellStyle name="??_x000c_&quot;_x001b__x000d__138 - OtherReceivableAccount_28022010 11" xfId="5415" xr:uid="{00000000-0005-0000-0000-00007E030000}"/>
    <cellStyle name="??_x000c_&quot;_x001b__x000d__x0015__138 - OtherReceivableAccount_28022010 11" xfId="4957" xr:uid="{00000000-0005-0000-0000-00007F030000}"/>
    <cellStyle name="??_x000c_&quot;_x001b__x000d__138 - OtherReceivableAccount_28022010 12" xfId="4372" xr:uid="{00000000-0005-0000-0000-000080030000}"/>
    <cellStyle name="??_x000c_&quot;_x001b__x000d__x0015__138 - OtherReceivableAccount_28022010 12" xfId="5361" xr:uid="{00000000-0005-0000-0000-000081030000}"/>
    <cellStyle name="??_x000c_&quot;_x001b__x000d__138 - OtherReceivableAccount_28022010 13" xfId="4732" xr:uid="{00000000-0005-0000-0000-000082030000}"/>
    <cellStyle name="??_x000c_&quot;_x001b__x000d__x0015__138 - OtherReceivableAccount_28022010 13" xfId="4904" xr:uid="{00000000-0005-0000-0000-000083030000}"/>
    <cellStyle name="??_x000c_&quot;_x001b__x000d__138 - OtherReceivableAccount_28022010 14" xfId="5964" xr:uid="{00000000-0005-0000-0000-000084030000}"/>
    <cellStyle name="??_x000c_&quot;_x001b__x000d__x0015__138 - OtherReceivableAccount_28022010 14" xfId="5155" xr:uid="{00000000-0005-0000-0000-000085030000}"/>
    <cellStyle name="??_x000c_&quot;_x001b__x000d__138 - OtherReceivableAccount_28022010 15" xfId="5984" xr:uid="{00000000-0005-0000-0000-000086030000}"/>
    <cellStyle name="??_x000c_&quot;_x001b__x000d__x0015__138 - OtherReceivableAccount_28022010 15" xfId="5198" xr:uid="{00000000-0005-0000-0000-000087030000}"/>
    <cellStyle name="??_x000c_&quot;_x001b__x000d__138 - OtherReceivableAccount_28022010 16" xfId="5075" xr:uid="{00000000-0005-0000-0000-000088030000}"/>
    <cellStyle name="??_x000c_&quot;_x001b__x000d__x0015__138 - OtherReceivableAccount_28022010 16" xfId="5507" xr:uid="{00000000-0005-0000-0000-000089030000}"/>
    <cellStyle name="??_x000c_&quot;_x001b__x000d__138 - OtherReceivableAccount_28022010 17" xfId="4323" xr:uid="{00000000-0005-0000-0000-00008A030000}"/>
    <cellStyle name="??_x000c_&quot;_x001b__x000d__x0015__138 - OtherReceivableAccount_28022010 17" xfId="4421" xr:uid="{00000000-0005-0000-0000-00008B030000}"/>
    <cellStyle name="??_x000c_&quot;_x001b__x000d__138 - OtherReceivableAccount_28022010 18" xfId="5367" xr:uid="{00000000-0005-0000-0000-00008C030000}"/>
    <cellStyle name="??_x000c_&quot;_x001b__x000d__x0015__138 - OtherReceivableAccount_28022010 18" xfId="4554" xr:uid="{00000000-0005-0000-0000-00008D030000}"/>
    <cellStyle name="??_x000c_&quot;_x001b__x000d__138 - OtherReceivableAccount_28022010 19" xfId="5875" xr:uid="{00000000-0005-0000-0000-00008E030000}"/>
    <cellStyle name="??_x000c_&quot;_x001b__x000d__x0015__138 - OtherReceivableAccount_28022010 19" xfId="5082" xr:uid="{00000000-0005-0000-0000-00008F030000}"/>
    <cellStyle name="??_x000c_&quot;_x001b__x000d__138 - OtherReceivableAccount_28022010 2" xfId="3057" xr:uid="{00000000-0005-0000-0000-000090030000}"/>
    <cellStyle name="??_x000c_&quot;_x001b__x000d__x0015__138 - OtherReceivableAccount_28022010 2" xfId="3058" xr:uid="{00000000-0005-0000-0000-000091030000}"/>
    <cellStyle name="??_x000c_&quot;_x001b__x000d__138 - OtherReceivableAccount_28022010 20" xfId="5911" xr:uid="{00000000-0005-0000-0000-000092030000}"/>
    <cellStyle name="??_x000c_&quot;_x001b__x000d__x0015__138 - OtherReceivableAccount_28022010 20" xfId="4655" xr:uid="{00000000-0005-0000-0000-000093030000}"/>
    <cellStyle name="??_x000c_&quot;_x001b__x000d__138 - OtherReceivableAccount_28022010 21" xfId="6172" xr:uid="{00000000-0005-0000-0000-000094030000}"/>
    <cellStyle name="??_x000c_&quot;_x001b__x000d__x0015__138 - OtherReceivableAccount_28022010 21" xfId="5069" xr:uid="{00000000-0005-0000-0000-000095030000}"/>
    <cellStyle name="??_x000c_&quot;_x001b__x000d__138 - OtherReceivableAccount_28022010 22" xfId="6190" xr:uid="{00000000-0005-0000-0000-000096030000}"/>
    <cellStyle name="??_x000c_&quot;_x001b__x000d__x0015__138 - OtherReceivableAccount_28022010 22" xfId="4867" xr:uid="{00000000-0005-0000-0000-000097030000}"/>
    <cellStyle name="??_x000c_&quot;_x001b__x000d__138 - OtherReceivableAccount_28022010 23" xfId="6205" xr:uid="{00000000-0005-0000-0000-000098030000}"/>
    <cellStyle name="??_x000c_&quot;_x001b__x000d__x0015__138 - OtherReceivableAccount_28022010 23" xfId="6164" xr:uid="{00000000-0005-0000-0000-000099030000}"/>
    <cellStyle name="??_x000c_&quot;_x001b__x000d__138 - OtherReceivableAccount_28022010 24" xfId="6219" xr:uid="{00000000-0005-0000-0000-00009A030000}"/>
    <cellStyle name="??_x000c_&quot;_x001b__x000d__x0015__138 - OtherReceivableAccount_28022010 24" xfId="6183" xr:uid="{00000000-0005-0000-0000-00009B030000}"/>
    <cellStyle name="??_x000c_&quot;_x001b__x000d__138 - OtherReceivableAccount_28022010 25" xfId="6230" xr:uid="{00000000-0005-0000-0000-00009C030000}"/>
    <cellStyle name="??_x000c_&quot;_x001b__x000d__x0015__138 - OtherReceivableAccount_28022010 25" xfId="6199" xr:uid="{00000000-0005-0000-0000-00009D030000}"/>
    <cellStyle name="??_x000c_&quot;_x001b__x000d__138 - OtherReceivableAccount_28022010 26" xfId="6238" xr:uid="{00000000-0005-0000-0000-00009E030000}"/>
    <cellStyle name="??_x000c_&quot;_x001b__x000d__x0015__138 - OtherReceivableAccount_28022010 26" xfId="6213" xr:uid="{00000000-0005-0000-0000-00009F030000}"/>
    <cellStyle name="??_x000c_&quot;_x001b__x000d__138 - OtherReceivableAccount_28022010 27" xfId="6245" xr:uid="{00000000-0005-0000-0000-0000A0030000}"/>
    <cellStyle name="??_x000c_&quot;_x001b__x000d__x0015__138 - OtherReceivableAccount_28022010 27" xfId="6226" xr:uid="{00000000-0005-0000-0000-0000A1030000}"/>
    <cellStyle name="??_x000c_&quot;_x001b__x000d__138 - OtherReceivableAccount_28022010 28" xfId="6273" xr:uid="{00000000-0005-0000-0000-0000A2030000}"/>
    <cellStyle name="??_x000c_&quot;_x001b__x000d__x0015__138 - OtherReceivableAccount_28022010 28" xfId="6274" xr:uid="{00000000-0005-0000-0000-0000A3030000}"/>
    <cellStyle name="??_x000c_&quot;_x001b__x000d__138 - OtherReceivableAccount_28022010 29" xfId="6491" xr:uid="{00000000-0005-0000-0000-0000A4030000}"/>
    <cellStyle name="??_x000c_&quot;_x001b__x000d__x0015__138 - OtherReceivableAccount_28022010 29" xfId="6490" xr:uid="{00000000-0005-0000-0000-0000A5030000}"/>
    <cellStyle name="??_x000c_&quot;_x001b__x000d__138 - OtherReceivableAccount_28022010 3" xfId="3516" xr:uid="{00000000-0005-0000-0000-0000A6030000}"/>
    <cellStyle name="??_x000c_&quot;_x001b__x000d__x0015__138 - OtherReceivableAccount_28022010 3" xfId="3515" xr:uid="{00000000-0005-0000-0000-0000A7030000}"/>
    <cellStyle name="??_x000c_&quot;_x001b__x000d__138 - OtherReceivableAccount_28022010 30" xfId="6369" xr:uid="{00000000-0005-0000-0000-0000A8030000}"/>
    <cellStyle name="??_x000c_&quot;_x001b__x000d__x0015__138 - OtherReceivableAccount_28022010 30" xfId="6370" xr:uid="{00000000-0005-0000-0000-0000A9030000}"/>
    <cellStyle name="??_x000c_&quot;_x001b__x000d__138 - OtherReceivableAccount_28022010 31" xfId="6847" xr:uid="{00000000-0005-0000-0000-0000AA030000}"/>
    <cellStyle name="??_x000c_&quot;_x001b__x000d__x0015__138 - OtherReceivableAccount_28022010 31" xfId="6848" xr:uid="{00000000-0005-0000-0000-0000AB030000}"/>
    <cellStyle name="??_x000c_&quot;_x001b__x000d__138 - OtherReceivableAccount_28022010 32" xfId="7736" xr:uid="{00000000-0005-0000-0000-0000AC030000}"/>
    <cellStyle name="??_x000c_&quot;_x001b__x000d__x0015__138 - OtherReceivableAccount_28022010 32" xfId="7737" xr:uid="{00000000-0005-0000-0000-0000AD030000}"/>
    <cellStyle name="??_x000c_&quot;_x001b__x000d__138 - OtherReceivableAccount_28022010 33" xfId="8037" xr:uid="{00000000-0005-0000-0000-0000AE030000}"/>
    <cellStyle name="??_x000c_&quot;_x001b__x000d__x0015__138 - OtherReceivableAccount_28022010 33" xfId="8158" xr:uid="{00000000-0005-0000-0000-0000AF030000}"/>
    <cellStyle name="??_x000c_&quot;_x001b__x000d__138 - OtherReceivableAccount_28022010 34" xfId="7878" xr:uid="{00000000-0005-0000-0000-0000B0030000}"/>
    <cellStyle name="??_x000c_&quot;_x001b__x000d__x0015__138 - OtherReceivableAccount_28022010 34" xfId="7879" xr:uid="{00000000-0005-0000-0000-0000B1030000}"/>
    <cellStyle name="??_x000c_&quot;_x001b__x000d__138 - OtherReceivableAccount_28022010 35" xfId="9465" xr:uid="{00000000-0005-0000-0000-0000B2030000}"/>
    <cellStyle name="??_x000c_&quot;_x001b__x000d__x0015__138 - OtherReceivableAccount_28022010 35" xfId="9454" xr:uid="{00000000-0005-0000-0000-0000B3030000}"/>
    <cellStyle name="??_x000c_&quot;_x001b__x000d__138 - OtherReceivableAccount_28022010 36" xfId="9476" xr:uid="{00000000-0005-0000-0000-0000B4030000}"/>
    <cellStyle name="??_x000c_&quot;_x001b__x000d__x0015__138 - OtherReceivableAccount_28022010 36" xfId="9469" xr:uid="{00000000-0005-0000-0000-0000B5030000}"/>
    <cellStyle name="??_x000c_&quot;_x001b__x000d__138 - OtherReceivableAccount_28022010 37" xfId="9480" xr:uid="{00000000-0005-0000-0000-0000B6030000}"/>
    <cellStyle name="??_x000c_&quot;_x001b__x000d__x0015__138 - OtherReceivableAccount_28022010 37" xfId="7865" xr:uid="{00000000-0005-0000-0000-0000B7030000}"/>
    <cellStyle name="??_x000c_&quot;_x001b__x000d__138 - OtherReceivableAccount_28022010 38" xfId="9405" xr:uid="{00000000-0005-0000-0000-0000B8030000}"/>
    <cellStyle name="??_x000c_&quot;_x001b__x000d__x0015__138 - OtherReceivableAccount_28022010 38" xfId="9497" xr:uid="{00000000-0005-0000-0000-0000B9030000}"/>
    <cellStyle name="??_x000c_&quot;_x001b__x000d__138 - OtherReceivableAccount_28022010 39" xfId="9529" xr:uid="{00000000-0005-0000-0000-0000BA030000}"/>
    <cellStyle name="??_x000c_&quot;_x001b__x000d__x0015__138 - OtherReceivableAccount_28022010 39" xfId="9530" xr:uid="{00000000-0005-0000-0000-0000BB030000}"/>
    <cellStyle name="??_x000c_&quot;_x001b__x000d__138 - OtherReceivableAccount_28022010 4" xfId="3181" xr:uid="{00000000-0005-0000-0000-0000BC030000}"/>
    <cellStyle name="??_x000c_&quot;_x001b__x000d__x0015__138 - OtherReceivableAccount_28022010 4" xfId="3182" xr:uid="{00000000-0005-0000-0000-0000BD030000}"/>
    <cellStyle name="??_x000c_&quot;_x001b__x000d__138 - OtherReceivableAccount_28022010 40" xfId="11860" xr:uid="{00000000-0005-0000-0000-0000BE030000}"/>
    <cellStyle name="??_x000c_&quot;_x001b__x000d__x0015__138 - OtherReceivableAccount_28022010 40" xfId="11861" xr:uid="{00000000-0005-0000-0000-0000BF030000}"/>
    <cellStyle name="??_x000c_&quot;_x001b__x000d__138 - OtherReceivableAccount_28022010 41" xfId="11862" xr:uid="{00000000-0005-0000-0000-0000C0030000}"/>
    <cellStyle name="??_x000c_&quot;_x001b__x000d__x0015__138 - OtherReceivableAccount_28022010 41" xfId="11863" xr:uid="{00000000-0005-0000-0000-0000C1030000}"/>
    <cellStyle name="??_x000c_&quot;_x001b__x000d__138 - OtherReceivableAccount_28022010 42" xfId="11864" xr:uid="{00000000-0005-0000-0000-0000C2030000}"/>
    <cellStyle name="??_x000c_&quot;_x001b__x000d__x0015__138 - OtherReceivableAccount_28022010 42" xfId="11865" xr:uid="{00000000-0005-0000-0000-0000C3030000}"/>
    <cellStyle name="??_x000c_&quot;_x001b__x000d__138 - OtherReceivableAccount_28022010 43" xfId="20743" xr:uid="{00000000-0005-0000-0000-0000C4030000}"/>
    <cellStyle name="??_x000c_&quot;_x001b__x000d__x0015__138 - OtherReceivableAccount_28022010 43" xfId="20744" xr:uid="{00000000-0005-0000-0000-0000C5030000}"/>
    <cellStyle name="??_x000c_&quot;_x001b__x000d__138 - OtherReceivableAccount_28022010 5" xfId="3362" xr:uid="{00000000-0005-0000-0000-0000C6030000}"/>
    <cellStyle name="??_x000c_&quot;_x001b__x000d__x0015__138 - OtherReceivableAccount_28022010 5" xfId="3361" xr:uid="{00000000-0005-0000-0000-0000C7030000}"/>
    <cellStyle name="??_x000c_&quot;_x001b__x000d__138 - OtherReceivableAccount_28022010 6" xfId="3662" xr:uid="{00000000-0005-0000-0000-0000C8030000}"/>
    <cellStyle name="??_x000c_&quot;_x001b__x000d__x0015__138 - OtherReceivableAccount_28022010 6" xfId="3663" xr:uid="{00000000-0005-0000-0000-0000C9030000}"/>
    <cellStyle name="??_x000c_&quot;_x001b__x000d__138 - OtherReceivableAccount_28022010 7" xfId="3856" xr:uid="{00000000-0005-0000-0000-0000CA030000}"/>
    <cellStyle name="??_x000c_&quot;_x001b__x000d__x0015__138 - OtherReceivableAccount_28022010 7" xfId="3855" xr:uid="{00000000-0005-0000-0000-0000CB030000}"/>
    <cellStyle name="??_x000c_&quot;_x001b__x000d__138 - OtherReceivableAccount_28022010 8" xfId="3732" xr:uid="{00000000-0005-0000-0000-0000CC030000}"/>
    <cellStyle name="??_x000c_&quot;_x001b__x000d__x0015__138 - OtherReceivableAccount_28022010 8" xfId="3733" xr:uid="{00000000-0005-0000-0000-0000CD030000}"/>
    <cellStyle name="??_x000c_&quot;_x001b__x000d__138 - OtherReceivableAccount_28022010 9" xfId="3982" xr:uid="{00000000-0005-0000-0000-0000CE030000}"/>
    <cellStyle name="??_x000c_&quot;_x001b__x000d__x0015__138 - OtherReceivableAccount_28022010 9" xfId="3983" xr:uid="{00000000-0005-0000-0000-0000CF030000}"/>
    <cellStyle name="??_x000c_&quot;_x001b__x000d__138 - OtherReceivableAccount_30112009" xfId="48" xr:uid="{00000000-0005-0000-0000-0000D0030000}"/>
    <cellStyle name="??_x000c_&quot;_x001b__x000d__x0015__138 - OtherReceivableAccount_30112009" xfId="49" xr:uid="{00000000-0005-0000-0000-0000D1030000}"/>
    <cellStyle name="??_x000c_&quot;_x001b__x000d__138 - OtherReceivableAccount_30112009 10" xfId="4168" xr:uid="{00000000-0005-0000-0000-0000D2030000}"/>
    <cellStyle name="??_x000c_&quot;_x001b__x000d__x0015__138 - OtherReceivableAccount_30112009 10" xfId="4169" xr:uid="{00000000-0005-0000-0000-0000D3030000}"/>
    <cellStyle name="??_x000c_&quot;_x001b__x000d__138 - OtherReceivableAccount_30112009 11" xfId="4956" xr:uid="{00000000-0005-0000-0000-0000D4030000}"/>
    <cellStyle name="??_x000c_&quot;_x001b__x000d__x0015__138 - OtherReceivableAccount_30112009 11" xfId="5654" xr:uid="{00000000-0005-0000-0000-0000D5030000}"/>
    <cellStyle name="??_x000c_&quot;_x001b__x000d__138 - OtherReceivableAccount_30112009 12" xfId="4373" xr:uid="{00000000-0005-0000-0000-0000D6030000}"/>
    <cellStyle name="??_x000c_&quot;_x001b__x000d__x0015__138 - OtherReceivableAccount_30112009 12" xfId="4374" xr:uid="{00000000-0005-0000-0000-0000D7030000}"/>
    <cellStyle name="??_x000c_&quot;_x001b__x000d__138 - OtherReceivableAccount_30112009 13" xfId="5471" xr:uid="{00000000-0005-0000-0000-0000D8030000}"/>
    <cellStyle name="??_x000c_&quot;_x001b__x000d__x0015__138 - OtherReceivableAccount_30112009 13" xfId="4731" xr:uid="{00000000-0005-0000-0000-0000D9030000}"/>
    <cellStyle name="??_x000c_&quot;_x001b__x000d__138 - OtherReceivableAccount_30112009 14" xfId="5289" xr:uid="{00000000-0005-0000-0000-0000DA030000}"/>
    <cellStyle name="??_x000c_&quot;_x001b__x000d__x0015__138 - OtherReceivableAccount_30112009 14" xfId="5968" xr:uid="{00000000-0005-0000-0000-0000DB030000}"/>
    <cellStyle name="??_x000c_&quot;_x001b__x000d__138 - OtherReceivableAccount_30112009 15" xfId="4855" xr:uid="{00000000-0005-0000-0000-0000DC030000}"/>
    <cellStyle name="??_x000c_&quot;_x001b__x000d__x0015__138 - OtherReceivableAccount_30112009 15" xfId="5989" xr:uid="{00000000-0005-0000-0000-0000DD030000}"/>
    <cellStyle name="??_x000c_&quot;_x001b__x000d__138 - OtherReceivableAccount_30112009 16" xfId="5088" xr:uid="{00000000-0005-0000-0000-0000DE030000}"/>
    <cellStyle name="??_x000c_&quot;_x001b__x000d__x0015__138 - OtherReceivableAccount_30112009 16" xfId="5193" xr:uid="{00000000-0005-0000-0000-0000DF030000}"/>
    <cellStyle name="??_x000c_&quot;_x001b__x000d__138 - OtherReceivableAccount_30112009 17" xfId="5030" xr:uid="{00000000-0005-0000-0000-0000E0030000}"/>
    <cellStyle name="??_x000c_&quot;_x001b__x000d__x0015__138 - OtherReceivableAccount_30112009 17" xfId="5272" xr:uid="{00000000-0005-0000-0000-0000E1030000}"/>
    <cellStyle name="??_x000c_&quot;_x001b__x000d__138 - OtherReceivableAccount_30112009 18" xfId="6090" xr:uid="{00000000-0005-0000-0000-0000E2030000}"/>
    <cellStyle name="??_x000c_&quot;_x001b__x000d__x0015__138 - OtherReceivableAccount_30112009 18" xfId="4644" xr:uid="{00000000-0005-0000-0000-0000E3030000}"/>
    <cellStyle name="??_x000c_&quot;_x001b__x000d__138 - OtherReceivableAccount_30112009 19" xfId="5381" xr:uid="{00000000-0005-0000-0000-0000E4030000}"/>
    <cellStyle name="??_x000c_&quot;_x001b__x000d__x0015__138 - OtherReceivableAccount_30112009 19" xfId="5511" xr:uid="{00000000-0005-0000-0000-0000E5030000}"/>
    <cellStyle name="??_x000c_&quot;_x001b__x000d__138 - OtherReceivableAccount_30112009 2" xfId="3059" xr:uid="{00000000-0005-0000-0000-0000E6030000}"/>
    <cellStyle name="??_x000c_&quot;_x001b__x000d__x0015__138 - OtherReceivableAccount_30112009 2" xfId="3060" xr:uid="{00000000-0005-0000-0000-0000E7030000}"/>
    <cellStyle name="??_x000c_&quot;_x001b__x000d__138 - OtherReceivableAccount_30112009 20" xfId="5377" xr:uid="{00000000-0005-0000-0000-0000E8030000}"/>
    <cellStyle name="??_x000c_&quot;_x001b__x000d__x0015__138 - OtherReceivableAccount_30112009 20" xfId="4310" xr:uid="{00000000-0005-0000-0000-0000E9030000}"/>
    <cellStyle name="??_x000c_&quot;_x001b__x000d__138 - OtherReceivableAccount_30112009 21" xfId="5120" xr:uid="{00000000-0005-0000-0000-0000EA030000}"/>
    <cellStyle name="??_x000c_&quot;_x001b__x000d__x0015__138 - OtherReceivableAccount_30112009 21" xfId="6175" xr:uid="{00000000-0005-0000-0000-0000EB030000}"/>
    <cellStyle name="??_x000c_&quot;_x001b__x000d__138 - OtherReceivableAccount_30112009 22" xfId="5578" xr:uid="{00000000-0005-0000-0000-0000EC030000}"/>
    <cellStyle name="??_x000c_&quot;_x001b__x000d__x0015__138 - OtherReceivableAccount_30112009 22" xfId="6193" xr:uid="{00000000-0005-0000-0000-0000ED030000}"/>
    <cellStyle name="??_x000c_&quot;_x001b__x000d__138 - OtherReceivableAccount_30112009 23" xfId="5898" xr:uid="{00000000-0005-0000-0000-0000EE030000}"/>
    <cellStyle name="??_x000c_&quot;_x001b__x000d__x0015__138 - OtherReceivableAccount_30112009 23" xfId="6208" xr:uid="{00000000-0005-0000-0000-0000EF030000}"/>
    <cellStyle name="??_x000c_&quot;_x001b__x000d__138 - OtherReceivableAccount_30112009 24" xfId="6135" xr:uid="{00000000-0005-0000-0000-0000F0030000}"/>
    <cellStyle name="??_x000c_&quot;_x001b__x000d__x0015__138 - OtherReceivableAccount_30112009 24" xfId="6222" xr:uid="{00000000-0005-0000-0000-0000F1030000}"/>
    <cellStyle name="??_x000c_&quot;_x001b__x000d__138 - OtherReceivableAccount_30112009 25" xfId="6143" xr:uid="{00000000-0005-0000-0000-0000F2030000}"/>
    <cellStyle name="??_x000c_&quot;_x001b__x000d__x0015__138 - OtherReceivableAccount_30112009 25" xfId="6233" xr:uid="{00000000-0005-0000-0000-0000F3030000}"/>
    <cellStyle name="??_x000c_&quot;_x001b__x000d__138 - OtherReceivableAccount_30112009 26" xfId="4329" xr:uid="{00000000-0005-0000-0000-0000F4030000}"/>
    <cellStyle name="??_x000c_&quot;_x001b__x000d__x0015__138 - OtherReceivableAccount_30112009 26" xfId="6241" xr:uid="{00000000-0005-0000-0000-0000F5030000}"/>
    <cellStyle name="??_x000c_&quot;_x001b__x000d__138 - OtherReceivableAccount_30112009 27" xfId="5281" xr:uid="{00000000-0005-0000-0000-0000F6030000}"/>
    <cellStyle name="??_x000c_&quot;_x001b__x000d__x0015__138 - OtherReceivableAccount_30112009 27" xfId="6248" xr:uid="{00000000-0005-0000-0000-0000F7030000}"/>
    <cellStyle name="??_x000c_&quot;_x001b__x000d__138 - OtherReceivableAccount_30112009 28" xfId="6275" xr:uid="{00000000-0005-0000-0000-0000F8030000}"/>
    <cellStyle name="??_x000c_&quot;_x001b__x000d__x0015__138 - OtherReceivableAccount_30112009 28" xfId="6276" xr:uid="{00000000-0005-0000-0000-0000F9030000}"/>
    <cellStyle name="??_x000c_&quot;_x001b__x000d__138 - OtherReceivableAccount_30112009 29" xfId="6550" xr:uid="{00000000-0005-0000-0000-0000FA030000}"/>
    <cellStyle name="??_x000c_&quot;_x001b__x000d__x0015__138 - OtherReceivableAccount_30112009 29" xfId="6489" xr:uid="{00000000-0005-0000-0000-0000FB030000}"/>
    <cellStyle name="??_x000c_&quot;_x001b__x000d__138 - OtherReceivableAccount_30112009 3" xfId="3513" xr:uid="{00000000-0005-0000-0000-0000FC030000}"/>
    <cellStyle name="??_x000c_&quot;_x001b__x000d__x0015__138 - OtherReceivableAccount_30112009 3" xfId="3512" xr:uid="{00000000-0005-0000-0000-0000FD030000}"/>
    <cellStyle name="??_x000c_&quot;_x001b__x000d__138 - OtherReceivableAccount_30112009 30" xfId="6371" xr:uid="{00000000-0005-0000-0000-0000FE030000}"/>
    <cellStyle name="??_x000c_&quot;_x001b__x000d__x0015__138 - OtherReceivableAccount_30112009 30" xfId="6697" xr:uid="{00000000-0005-0000-0000-0000FF030000}"/>
    <cellStyle name="??_x000c_&quot;_x001b__x000d__138 - OtherReceivableAccount_30112009 31" xfId="6849" xr:uid="{00000000-0005-0000-0000-000000040000}"/>
    <cellStyle name="??_x000c_&quot;_x001b__x000d__x0015__138 - OtherReceivableAccount_30112009 31" xfId="6850" xr:uid="{00000000-0005-0000-0000-000001040000}"/>
    <cellStyle name="??_x000c_&quot;_x001b__x000d__138 - OtherReceivableAccount_30112009 32" xfId="7738" xr:uid="{00000000-0005-0000-0000-000002040000}"/>
    <cellStyle name="??_x000c_&quot;_x001b__x000d__x0015__138 - OtherReceivableAccount_30112009 32" xfId="7739" xr:uid="{00000000-0005-0000-0000-000003040000}"/>
    <cellStyle name="??_x000c_&quot;_x001b__x000d__138 - OtherReceivableAccount_30112009 33" xfId="8036" xr:uid="{00000000-0005-0000-0000-000004040000}"/>
    <cellStyle name="??_x000c_&quot;_x001b__x000d__x0015__138 - OtherReceivableAccount_30112009 33" xfId="8035" xr:uid="{00000000-0005-0000-0000-000005040000}"/>
    <cellStyle name="??_x000c_&quot;_x001b__x000d__138 - OtherReceivableAccount_30112009 34" xfId="7880" xr:uid="{00000000-0005-0000-0000-000006040000}"/>
    <cellStyle name="??_x000c_&quot;_x001b__x000d__x0015__138 - OtherReceivableAccount_30112009 34" xfId="8105" xr:uid="{00000000-0005-0000-0000-000007040000}"/>
    <cellStyle name="??_x000c_&quot;_x001b__x000d__138 - OtherReceivableAccount_30112009 35" xfId="9446" xr:uid="{00000000-0005-0000-0000-000008040000}"/>
    <cellStyle name="??_x000c_&quot;_x001b__x000d__x0015__138 - OtherReceivableAccount_30112009 35" xfId="9389" xr:uid="{00000000-0005-0000-0000-000009040000}"/>
    <cellStyle name="??_x000c_&quot;_x001b__x000d__138 - OtherReceivableAccount_30112009 36" xfId="8056" xr:uid="{00000000-0005-0000-0000-00000A040000}"/>
    <cellStyle name="??_x000c_&quot;_x001b__x000d__x0015__138 - OtherReceivableAccount_30112009 36" xfId="9425" xr:uid="{00000000-0005-0000-0000-00000B040000}"/>
    <cellStyle name="??_x000c_&quot;_x001b__x000d__138 - OtherReceivableAccount_30112009 37" xfId="7806" xr:uid="{00000000-0005-0000-0000-00000C040000}"/>
    <cellStyle name="??_x000c_&quot;_x001b__x000d__x0015__138 - OtherReceivableAccount_30112009 37" xfId="7822" xr:uid="{00000000-0005-0000-0000-00000D040000}"/>
    <cellStyle name="??_x000c_&quot;_x001b__x000d__138 - OtherReceivableAccount_30112009 38" xfId="9488" xr:uid="{00000000-0005-0000-0000-00000E040000}"/>
    <cellStyle name="??_x000c_&quot;_x001b__x000d__x0015__138 - OtherReceivableAccount_30112009 38" xfId="8382" xr:uid="{00000000-0005-0000-0000-00000F040000}"/>
    <cellStyle name="??_x000c_&quot;_x001b__x000d__138 - OtherReceivableAccount_30112009 39" xfId="9531" xr:uid="{00000000-0005-0000-0000-000010040000}"/>
    <cellStyle name="??_x000c_&quot;_x001b__x000d__x0015__138 - OtherReceivableAccount_30112009 39" xfId="9532" xr:uid="{00000000-0005-0000-0000-000011040000}"/>
    <cellStyle name="??_x000c_&quot;_x001b__x000d__138 - OtherReceivableAccount_30112009 4" xfId="3183" xr:uid="{00000000-0005-0000-0000-000012040000}"/>
    <cellStyle name="??_x000c_&quot;_x001b__x000d__x0015__138 - OtherReceivableAccount_30112009 4" xfId="3184" xr:uid="{00000000-0005-0000-0000-000013040000}"/>
    <cellStyle name="??_x000c_&quot;_x001b__x000d__138 - OtherReceivableAccount_30112009 40" xfId="11866" xr:uid="{00000000-0005-0000-0000-000014040000}"/>
    <cellStyle name="??_x000c_&quot;_x001b__x000d__x0015__138 - OtherReceivableAccount_30112009 40" xfId="11867" xr:uid="{00000000-0005-0000-0000-000015040000}"/>
    <cellStyle name="??_x000c_&quot;_x001b__x000d__138 - OtherReceivableAccount_30112009 41" xfId="11868" xr:uid="{00000000-0005-0000-0000-000016040000}"/>
    <cellStyle name="??_x000c_&quot;_x001b__x000d__x0015__138 - OtherReceivableAccount_30112009 41" xfId="11869" xr:uid="{00000000-0005-0000-0000-000017040000}"/>
    <cellStyle name="??_x000c_&quot;_x001b__x000d__138 - OtherReceivableAccount_30112009 42" xfId="11870" xr:uid="{00000000-0005-0000-0000-000018040000}"/>
    <cellStyle name="??_x000c_&quot;_x001b__x000d__x0015__138 - OtherReceivableAccount_30112009 42" xfId="11871" xr:uid="{00000000-0005-0000-0000-000019040000}"/>
    <cellStyle name="??_x000c_&quot;_x001b__x000d__138 - OtherReceivableAccount_30112009 43" xfId="20745" xr:uid="{00000000-0005-0000-0000-00001A040000}"/>
    <cellStyle name="??_x000c_&quot;_x001b__x000d__x0015__138 - OtherReceivableAccount_30112009 43" xfId="20746" xr:uid="{00000000-0005-0000-0000-00001B040000}"/>
    <cellStyle name="??_x000c_&quot;_x001b__x000d__138 - OtherReceivableAccount_30112009 5" xfId="3360" xr:uid="{00000000-0005-0000-0000-00001C040000}"/>
    <cellStyle name="??_x000c_&quot;_x001b__x000d__x0015__138 - OtherReceivableAccount_30112009 5" xfId="3358" xr:uid="{00000000-0005-0000-0000-00001D040000}"/>
    <cellStyle name="??_x000c_&quot;_x001b__x000d__138 - OtherReceivableAccount_30112009 6" xfId="3664" xr:uid="{00000000-0005-0000-0000-00001E040000}"/>
    <cellStyle name="??_x000c_&quot;_x001b__x000d__x0015__138 - OtherReceivableAccount_30112009 6" xfId="3665" xr:uid="{00000000-0005-0000-0000-00001F040000}"/>
    <cellStyle name="??_x000c_&quot;_x001b__x000d__138 - OtherReceivableAccount_30112009 7" xfId="3854" xr:uid="{00000000-0005-0000-0000-000020040000}"/>
    <cellStyle name="??_x000c_&quot;_x001b__x000d__x0015__138 - OtherReceivableAccount_30112009 7" xfId="3853" xr:uid="{00000000-0005-0000-0000-000021040000}"/>
    <cellStyle name="??_x000c_&quot;_x001b__x000d__138 - OtherReceivableAccount_30112009 8" xfId="3734" xr:uid="{00000000-0005-0000-0000-000022040000}"/>
    <cellStyle name="??_x000c_&quot;_x001b__x000d__x0015__138 - OtherReceivableAccount_30112009 8" xfId="3735" xr:uid="{00000000-0005-0000-0000-000023040000}"/>
    <cellStyle name="??_x000c_&quot;_x001b__x000d__138 - OtherReceivableAccount_30112009 9" xfId="3984" xr:uid="{00000000-0005-0000-0000-000024040000}"/>
    <cellStyle name="??_x000c_&quot;_x001b__x000d__x0015__138 - OtherReceivableAccount_30112009 9" xfId="3985" xr:uid="{00000000-0005-0000-0000-000025040000}"/>
    <cellStyle name="??_x000c_&quot;_x001b__x000d__138 - OtherReceivableAccount_30112009_EVALUATION_EX_311208" xfId="50" xr:uid="{00000000-0005-0000-0000-000026040000}"/>
    <cellStyle name="??_x000c_&quot;_x001b__x000d__x0015__138 - OtherReceivableAccount_30112009_EVALUATION_EX_311208" xfId="51" xr:uid="{00000000-0005-0000-0000-000027040000}"/>
    <cellStyle name="??_x000c_&quot;_x001b__x000d__138 - OtherReceivableAccount_30112009_EVALUATION_EX_311208 10" xfId="4170" xr:uid="{00000000-0005-0000-0000-000028040000}"/>
    <cellStyle name="??_x000c_&quot;_x001b__x000d__x0015__138 - OtherReceivableAccount_30112009_EVALUATION_EX_311208 10" xfId="4171" xr:uid="{00000000-0005-0000-0000-000029040000}"/>
    <cellStyle name="??_x000c_&quot;_x001b__x000d__138 - OtherReceivableAccount_30112009_EVALUATION_EX_311208 11" xfId="4955" xr:uid="{00000000-0005-0000-0000-00002A040000}"/>
    <cellStyle name="??_x000c_&quot;_x001b__x000d__x0015__138 - OtherReceivableAccount_30112009_EVALUATION_EX_311208 11" xfId="4954" xr:uid="{00000000-0005-0000-0000-00002B040000}"/>
    <cellStyle name="??_x000c_&quot;_x001b__x000d__138 - OtherReceivableAccount_30112009_EVALUATION_EX_311208 12" xfId="5908" xr:uid="{00000000-0005-0000-0000-00002C040000}"/>
    <cellStyle name="??_x000c_&quot;_x001b__x000d__x0015__138 - OtherReceivableAccount_30112009_EVALUATION_EX_311208 12" xfId="4375" xr:uid="{00000000-0005-0000-0000-00002D040000}"/>
    <cellStyle name="??_x000c_&quot;_x001b__x000d__138 - OtherReceivableAccount_30112009_EVALUATION_EX_311208 13" xfId="4973" xr:uid="{00000000-0005-0000-0000-00002E040000}"/>
    <cellStyle name="??_x000c_&quot;_x001b__x000d__x0015__138 - OtherReceivableAccount_30112009_EVALUATION_EX_311208 13" xfId="4730" xr:uid="{00000000-0005-0000-0000-00002F040000}"/>
    <cellStyle name="??_x000c_&quot;_x001b__x000d__138 - OtherReceivableAccount_30112009_EVALUATION_EX_311208 14" xfId="4362" xr:uid="{00000000-0005-0000-0000-000030040000}"/>
    <cellStyle name="??_x000c_&quot;_x001b__x000d__x0015__138 - OtherReceivableAccount_30112009_EVALUATION_EX_311208 14" xfId="5960" xr:uid="{00000000-0005-0000-0000-000031040000}"/>
    <cellStyle name="??_x000c_&quot;_x001b__x000d__138 - OtherReceivableAccount_30112009_EVALUATION_EX_311208 15" xfId="4739" xr:uid="{00000000-0005-0000-0000-000032040000}"/>
    <cellStyle name="??_x000c_&quot;_x001b__x000d__x0015__138 - OtherReceivableAccount_30112009_EVALUATION_EX_311208 15" xfId="5980" xr:uid="{00000000-0005-0000-0000-000033040000}"/>
    <cellStyle name="??_x000c_&quot;_x001b__x000d__138 - OtherReceivableAccount_30112009_EVALUATION_EX_311208 16" xfId="5662" xr:uid="{00000000-0005-0000-0000-000034040000}"/>
    <cellStyle name="??_x000c_&quot;_x001b__x000d__x0015__138 - OtherReceivableAccount_30112009_EVALUATION_EX_311208 16" xfId="5150" xr:uid="{00000000-0005-0000-0000-000035040000}"/>
    <cellStyle name="??_x000c_&quot;_x001b__x000d__138 - OtherReceivableAccount_30112009_EVALUATION_EX_311208 17" xfId="6088" xr:uid="{00000000-0005-0000-0000-000036040000}"/>
    <cellStyle name="??_x000c_&quot;_x001b__x000d__x0015__138 - OtherReceivableAccount_30112009_EVALUATION_EX_311208 17" xfId="4505" xr:uid="{00000000-0005-0000-0000-000037040000}"/>
    <cellStyle name="??_x000c_&quot;_x001b__x000d__138 - OtherReceivableAccount_30112009_EVALUATION_EX_311208 18" xfId="6093" xr:uid="{00000000-0005-0000-0000-000038040000}"/>
    <cellStyle name="??_x000c_&quot;_x001b__x000d__x0015__138 - OtherReceivableAccount_30112009_EVALUATION_EX_311208 18" xfId="5206" xr:uid="{00000000-0005-0000-0000-000039040000}"/>
    <cellStyle name="??_x000c_&quot;_x001b__x000d__138 - OtherReceivableAccount_30112009_EVALUATION_EX_311208 19" xfId="5834" xr:uid="{00000000-0005-0000-0000-00003A040000}"/>
    <cellStyle name="??_x000c_&quot;_x001b__x000d__x0015__138 - OtherReceivableAccount_30112009_EVALUATION_EX_311208 19" xfId="4593" xr:uid="{00000000-0005-0000-0000-00003B040000}"/>
    <cellStyle name="??_x000c_&quot;_x001b__x000d__138 - OtherReceivableAccount_30112009_EVALUATION_EX_311208 2" xfId="3061" xr:uid="{00000000-0005-0000-0000-00003C040000}"/>
    <cellStyle name="??_x000c_&quot;_x001b__x000d__x0015__138 - OtherReceivableAccount_30112009_EVALUATION_EX_311208 2" xfId="3062" xr:uid="{00000000-0005-0000-0000-00003D040000}"/>
    <cellStyle name="??_x000c_&quot;_x001b__x000d__138 - OtherReceivableAccount_30112009_EVALUATION_EX_311208 20" xfId="4546" xr:uid="{00000000-0005-0000-0000-00003E040000}"/>
    <cellStyle name="??_x000c_&quot;_x001b__x000d__x0015__138 - OtherReceivableAccount_30112009_EVALUATION_EX_311208 20" xfId="4812" xr:uid="{00000000-0005-0000-0000-00003F040000}"/>
    <cellStyle name="??_x000c_&quot;_x001b__x000d__138 - OtherReceivableAccount_30112009_EVALUATION_EX_311208 21" xfId="5975" xr:uid="{00000000-0005-0000-0000-000040040000}"/>
    <cellStyle name="??_x000c_&quot;_x001b__x000d__x0015__138 - OtherReceivableAccount_30112009_EVALUATION_EX_311208 21" xfId="6169" xr:uid="{00000000-0005-0000-0000-000041040000}"/>
    <cellStyle name="??_x000c_&quot;_x001b__x000d__138 - OtherReceivableAccount_30112009_EVALUATION_EX_311208 22" xfId="4559" xr:uid="{00000000-0005-0000-0000-000042040000}"/>
    <cellStyle name="??_x000c_&quot;_x001b__x000d__x0015__138 - OtherReceivableAccount_30112009_EVALUATION_EX_311208 22" xfId="6187" xr:uid="{00000000-0005-0000-0000-000043040000}"/>
    <cellStyle name="??_x000c_&quot;_x001b__x000d__138 - OtherReceivableAccount_30112009_EVALUATION_EX_311208 23" xfId="6153" xr:uid="{00000000-0005-0000-0000-000044040000}"/>
    <cellStyle name="??_x000c_&quot;_x001b__x000d__x0015__138 - OtherReceivableAccount_30112009_EVALUATION_EX_311208 23" xfId="6202" xr:uid="{00000000-0005-0000-0000-000045040000}"/>
    <cellStyle name="??_x000c_&quot;_x001b__x000d__138 - OtherReceivableAccount_30112009_EVALUATION_EX_311208 24" xfId="5118" xr:uid="{00000000-0005-0000-0000-000046040000}"/>
    <cellStyle name="??_x000c_&quot;_x001b__x000d__x0015__138 - OtherReceivableAccount_30112009_EVALUATION_EX_311208 24" xfId="6216" xr:uid="{00000000-0005-0000-0000-000047040000}"/>
    <cellStyle name="??_x000c_&quot;_x001b__x000d__138 - OtherReceivableAccount_30112009_EVALUATION_EX_311208 25" xfId="5290" xr:uid="{00000000-0005-0000-0000-000048040000}"/>
    <cellStyle name="??_x000c_&quot;_x001b__x000d__x0015__138 - OtherReceivableAccount_30112009_EVALUATION_EX_311208 25" xfId="6228" xr:uid="{00000000-0005-0000-0000-000049040000}"/>
    <cellStyle name="??_x000c_&quot;_x001b__x000d__138 - OtherReceivableAccount_30112009_EVALUATION_EX_311208 26" xfId="6035" xr:uid="{00000000-0005-0000-0000-00004A040000}"/>
    <cellStyle name="??_x000c_&quot;_x001b__x000d__x0015__138 - OtherReceivableAccount_30112009_EVALUATION_EX_311208 26" xfId="6236" xr:uid="{00000000-0005-0000-0000-00004B040000}"/>
    <cellStyle name="??_x000c_&quot;_x001b__x000d__138 - OtherReceivableAccount_30112009_EVALUATION_EX_311208 27" xfId="4580" xr:uid="{00000000-0005-0000-0000-00004C040000}"/>
    <cellStyle name="??_x000c_&quot;_x001b__x000d__x0015__138 - OtherReceivableAccount_30112009_EVALUATION_EX_311208 27" xfId="6243" xr:uid="{00000000-0005-0000-0000-00004D040000}"/>
    <cellStyle name="??_x000c_&quot;_x001b__x000d__138 - OtherReceivableAccount_30112009_EVALUATION_EX_311208 28" xfId="6277" xr:uid="{00000000-0005-0000-0000-00004E040000}"/>
    <cellStyle name="??_x000c_&quot;_x001b__x000d__x0015__138 - OtherReceivableAccount_30112009_EVALUATION_EX_311208 28" xfId="6278" xr:uid="{00000000-0005-0000-0000-00004F040000}"/>
    <cellStyle name="??_x000c_&quot;_x001b__x000d__138 - OtherReceivableAccount_30112009_EVALUATION_EX_311208 29" xfId="6488" xr:uid="{00000000-0005-0000-0000-000050040000}"/>
    <cellStyle name="??_x000c_&quot;_x001b__x000d__x0015__138 - OtherReceivableAccount_30112009_EVALUATION_EX_311208 29" xfId="6652" xr:uid="{00000000-0005-0000-0000-000051040000}"/>
    <cellStyle name="??_x000c_&quot;_x001b__x000d__138 - OtherReceivableAccount_30112009_EVALUATION_EX_311208 3" xfId="3511" xr:uid="{00000000-0005-0000-0000-000052040000}"/>
    <cellStyle name="??_x000c_&quot;_x001b__x000d__x0015__138 - OtherReceivableAccount_30112009_EVALUATION_EX_311208 3" xfId="3510" xr:uid="{00000000-0005-0000-0000-000053040000}"/>
    <cellStyle name="??_x000c_&quot;_x001b__x000d__138 - OtherReceivableAccount_30112009_EVALUATION_EX_311208 30" xfId="6372" xr:uid="{00000000-0005-0000-0000-000054040000}"/>
    <cellStyle name="??_x000c_&quot;_x001b__x000d__x0015__138 - OtherReceivableAccount_30112009_EVALUATION_EX_311208 30" xfId="6373" xr:uid="{00000000-0005-0000-0000-000055040000}"/>
    <cellStyle name="??_x000c_&quot;_x001b__x000d__138 - OtherReceivableAccount_30112009_EVALUATION_EX_311208 31" xfId="6851" xr:uid="{00000000-0005-0000-0000-000056040000}"/>
    <cellStyle name="??_x000c_&quot;_x001b__x000d__x0015__138 - OtherReceivableAccount_30112009_EVALUATION_EX_311208 31" xfId="6852" xr:uid="{00000000-0005-0000-0000-000057040000}"/>
    <cellStyle name="??_x000c_&quot;_x001b__x000d__138 - OtherReceivableAccount_30112009_EVALUATION_EX_311208 32" xfId="7740" xr:uid="{00000000-0005-0000-0000-000058040000}"/>
    <cellStyle name="??_x000c_&quot;_x001b__x000d__x0015__138 - OtherReceivableAccount_30112009_EVALUATION_EX_311208 32" xfId="7741" xr:uid="{00000000-0005-0000-0000-000059040000}"/>
    <cellStyle name="??_x000c_&quot;_x001b__x000d__138 - OtherReceivableAccount_30112009_EVALUATION_EX_311208 33" xfId="8283" xr:uid="{00000000-0005-0000-0000-00005A040000}"/>
    <cellStyle name="??_x000c_&quot;_x001b__x000d__x0015__138 - OtherReceivableAccount_30112009_EVALUATION_EX_311208 33" xfId="8034" xr:uid="{00000000-0005-0000-0000-00005B040000}"/>
    <cellStyle name="??_x000c_&quot;_x001b__x000d__138 - OtherReceivableAccount_30112009_EVALUATION_EX_311208 34" xfId="7881" xr:uid="{00000000-0005-0000-0000-00005C040000}"/>
    <cellStyle name="??_x000c_&quot;_x001b__x000d__x0015__138 - OtherReceivableAccount_30112009_EVALUATION_EX_311208 34" xfId="7882" xr:uid="{00000000-0005-0000-0000-00005D040000}"/>
    <cellStyle name="??_x000c_&quot;_x001b__x000d__138 - OtherReceivableAccount_30112009_EVALUATION_EX_311208 35" xfId="8567" xr:uid="{00000000-0005-0000-0000-00005E040000}"/>
    <cellStyle name="??_x000c_&quot;_x001b__x000d__x0015__138 - OtherReceivableAccount_30112009_EVALUATION_EX_311208 35" xfId="9444" xr:uid="{00000000-0005-0000-0000-00005F040000}"/>
    <cellStyle name="??_x000c_&quot;_x001b__x000d__138 - OtherReceivableAccount_30112009_EVALUATION_EX_311208 36" xfId="8320" xr:uid="{00000000-0005-0000-0000-000060040000}"/>
    <cellStyle name="??_x000c_&quot;_x001b__x000d__x0015__138 - OtherReceivableAccount_30112009_EVALUATION_EX_311208 36" xfId="9406" xr:uid="{00000000-0005-0000-0000-000061040000}"/>
    <cellStyle name="??_x000c_&quot;_x001b__x000d__138 - OtherReceivableAccount_30112009_EVALUATION_EX_311208 37" xfId="8198" xr:uid="{00000000-0005-0000-0000-000062040000}"/>
    <cellStyle name="??_x000c_&quot;_x001b__x000d__x0015__138 - OtherReceivableAccount_30112009_EVALUATION_EX_311208 37" xfId="8442" xr:uid="{00000000-0005-0000-0000-000063040000}"/>
    <cellStyle name="??_x000c_&quot;_x001b__x000d__138 - OtherReceivableAccount_30112009_EVALUATION_EX_311208 38" xfId="9441" xr:uid="{00000000-0005-0000-0000-000064040000}"/>
    <cellStyle name="??_x000c_&quot;_x001b__x000d__x0015__138 - OtherReceivableAccount_30112009_EVALUATION_EX_311208 38" xfId="8141" xr:uid="{00000000-0005-0000-0000-000065040000}"/>
    <cellStyle name="??_x000c_&quot;_x001b__x000d__138 - OtherReceivableAccount_30112009_EVALUATION_EX_311208 39" xfId="9533" xr:uid="{00000000-0005-0000-0000-000066040000}"/>
    <cellStyle name="??_x000c_&quot;_x001b__x000d__x0015__138 - OtherReceivableAccount_30112009_EVALUATION_EX_311208 39" xfId="9534" xr:uid="{00000000-0005-0000-0000-000067040000}"/>
    <cellStyle name="??_x000c_&quot;_x001b__x000d__138 - OtherReceivableAccount_30112009_EVALUATION_EX_311208 4" xfId="3185" xr:uid="{00000000-0005-0000-0000-000068040000}"/>
    <cellStyle name="??_x000c_&quot;_x001b__x000d__x0015__138 - OtherReceivableAccount_30112009_EVALUATION_EX_311208 4" xfId="3186" xr:uid="{00000000-0005-0000-0000-000069040000}"/>
    <cellStyle name="??_x000c_&quot;_x001b__x000d__138 - OtherReceivableAccount_30112009_EVALUATION_EX_311208 40" xfId="11872" xr:uid="{00000000-0005-0000-0000-00006A040000}"/>
    <cellStyle name="??_x000c_&quot;_x001b__x000d__x0015__138 - OtherReceivableAccount_30112009_EVALUATION_EX_311208 40" xfId="11873" xr:uid="{00000000-0005-0000-0000-00006B040000}"/>
    <cellStyle name="??_x000c_&quot;_x001b__x000d__138 - OtherReceivableAccount_30112009_EVALUATION_EX_311208 41" xfId="11874" xr:uid="{00000000-0005-0000-0000-00006C040000}"/>
    <cellStyle name="??_x000c_&quot;_x001b__x000d__x0015__138 - OtherReceivableAccount_30112009_EVALUATION_EX_311208 41" xfId="11875" xr:uid="{00000000-0005-0000-0000-00006D040000}"/>
    <cellStyle name="??_x000c_&quot;_x001b__x000d__138 - OtherReceivableAccount_30112009_EVALUATION_EX_311208 42" xfId="11876" xr:uid="{00000000-0005-0000-0000-00006E040000}"/>
    <cellStyle name="??_x000c_&quot;_x001b__x000d__x0015__138 - OtherReceivableAccount_30112009_EVALUATION_EX_311208 42" xfId="11877" xr:uid="{00000000-0005-0000-0000-00006F040000}"/>
    <cellStyle name="??_x000c_&quot;_x001b__x000d__138 - OtherReceivableAccount_30112009_EVALUATION_EX_311208 43" xfId="20747" xr:uid="{00000000-0005-0000-0000-000070040000}"/>
    <cellStyle name="??_x000c_&quot;_x001b__x000d__x0015__138 - OtherReceivableAccount_30112009_EVALUATION_EX_311208 43" xfId="20748" xr:uid="{00000000-0005-0000-0000-000071040000}"/>
    <cellStyle name="??_x000c_&quot;_x001b__x000d__138 - OtherReceivableAccount_30112009_EVALUATION_EX_311208 5" xfId="3357" xr:uid="{00000000-0005-0000-0000-000072040000}"/>
    <cellStyle name="??_x000c_&quot;_x001b__x000d__x0015__138 - OtherReceivableAccount_30112009_EVALUATION_EX_311208 5" xfId="3356" xr:uid="{00000000-0005-0000-0000-000073040000}"/>
    <cellStyle name="??_x000c_&quot;_x001b__x000d__138 - OtherReceivableAccount_30112009_EVALUATION_EX_311208 6" xfId="3666" xr:uid="{00000000-0005-0000-0000-000074040000}"/>
    <cellStyle name="??_x000c_&quot;_x001b__x000d__x0015__138 - OtherReceivableAccount_30112009_EVALUATION_EX_311208 6" xfId="3667" xr:uid="{00000000-0005-0000-0000-000075040000}"/>
    <cellStyle name="??_x000c_&quot;_x001b__x000d__138 - OtherReceivableAccount_30112009_EVALUATION_EX_311208 7" xfId="3852" xr:uid="{00000000-0005-0000-0000-000076040000}"/>
    <cellStyle name="??_x000c_&quot;_x001b__x000d__x0015__138 - OtherReceivableAccount_30112009_EVALUATION_EX_311208 7" xfId="3851" xr:uid="{00000000-0005-0000-0000-000077040000}"/>
    <cellStyle name="??_x000c_&quot;_x001b__x000d__138 - OtherReceivableAccount_30112009_EVALUATION_EX_311208 8" xfId="3896" xr:uid="{00000000-0005-0000-0000-000078040000}"/>
    <cellStyle name="??_x000c_&quot;_x001b__x000d__x0015__138 - OtherReceivableAccount_30112009_EVALUATION_EX_311208 8" xfId="3918" xr:uid="{00000000-0005-0000-0000-000079040000}"/>
    <cellStyle name="??_x000c_&quot;_x001b__x000d__138 - OtherReceivableAccount_30112009_EVALUATION_EX_311208 9" xfId="3986" xr:uid="{00000000-0005-0000-0000-00007A040000}"/>
    <cellStyle name="??_x000c_&quot;_x001b__x000d__x0015__138 - OtherReceivableAccount_30112009_EVALUATION_EX_311208 9" xfId="3987" xr:uid="{00000000-0005-0000-0000-00007B040000}"/>
    <cellStyle name="??_x000c_&quot;_x001b__x000d__138 - OtherReceivableAccount_31012010" xfId="52" xr:uid="{00000000-0005-0000-0000-00007C040000}"/>
    <cellStyle name="??_x000c_&quot;_x001b__x000d__x0015__138 - OtherReceivableAccount_31012010" xfId="53" xr:uid="{00000000-0005-0000-0000-00007D040000}"/>
    <cellStyle name="??_x000c_&quot;_x001b__x000d__138 - OtherReceivableAccount_31012010 10" xfId="4172" xr:uid="{00000000-0005-0000-0000-00007E040000}"/>
    <cellStyle name="??_x000c_&quot;_x001b__x000d__x0015__138 - OtherReceivableAccount_31012010 10" xfId="4173" xr:uid="{00000000-0005-0000-0000-00007F040000}"/>
    <cellStyle name="??_x000c_&quot;_x001b__x000d__138 - OtherReceivableAccount_31012010 11" xfId="4953" xr:uid="{00000000-0005-0000-0000-000080040000}"/>
    <cellStyle name="??_x000c_&quot;_x001b__x000d__x0015__138 - OtherReceivableAccount_31012010 11" xfId="5412" xr:uid="{00000000-0005-0000-0000-000081040000}"/>
    <cellStyle name="??_x000c_&quot;_x001b__x000d__138 - OtherReceivableAccount_31012010 12" xfId="4376" xr:uid="{00000000-0005-0000-0000-000082040000}"/>
    <cellStyle name="??_x000c_&quot;_x001b__x000d__x0015__138 - OtherReceivableAccount_31012010 12" xfId="4377" xr:uid="{00000000-0005-0000-0000-000083040000}"/>
    <cellStyle name="??_x000c_&quot;_x001b__x000d__138 - OtherReceivableAccount_31012010 13" xfId="4729" xr:uid="{00000000-0005-0000-0000-000084040000}"/>
    <cellStyle name="??_x000c_&quot;_x001b__x000d__x0015__138 - OtherReceivableAccount_31012010 13" xfId="4728" xr:uid="{00000000-0005-0000-0000-000085040000}"/>
    <cellStyle name="??_x000c_&quot;_x001b__x000d__138 - OtherReceivableAccount_31012010 14" xfId="5966" xr:uid="{00000000-0005-0000-0000-000086040000}"/>
    <cellStyle name="??_x000c_&quot;_x001b__x000d__x0015__138 - OtherReceivableAccount_31012010 14" xfId="5934" xr:uid="{00000000-0005-0000-0000-000087040000}"/>
    <cellStyle name="??_x000c_&quot;_x001b__x000d__138 - OtherReceivableAccount_31012010 15" xfId="5986" xr:uid="{00000000-0005-0000-0000-000088040000}"/>
    <cellStyle name="??_x000c_&quot;_x001b__x000d__x0015__138 - OtherReceivableAccount_31012010 15" xfId="4260" xr:uid="{00000000-0005-0000-0000-000089040000}"/>
    <cellStyle name="??_x000c_&quot;_x001b__x000d__138 - OtherReceivableAccount_31012010 16" xfId="5881" xr:uid="{00000000-0005-0000-0000-00008A040000}"/>
    <cellStyle name="??_x000c_&quot;_x001b__x000d__x0015__138 - OtherReceivableAccount_31012010 16" xfId="4284" xr:uid="{00000000-0005-0000-0000-00008B040000}"/>
    <cellStyle name="??_x000c_&quot;_x001b__x000d__138 - OtherReceivableAccount_31012010 17" xfId="5894" xr:uid="{00000000-0005-0000-0000-00008C040000}"/>
    <cellStyle name="??_x000c_&quot;_x001b__x000d__x0015__138 - OtherReceivableAccount_31012010 17" xfId="5541" xr:uid="{00000000-0005-0000-0000-00008D040000}"/>
    <cellStyle name="??_x000c_&quot;_x001b__x000d__138 - OtherReceivableAccount_31012010 18" xfId="6087" xr:uid="{00000000-0005-0000-0000-00008E040000}"/>
    <cellStyle name="??_x000c_&quot;_x001b__x000d__x0015__138 - OtherReceivableAccount_31012010 18" xfId="4555" xr:uid="{00000000-0005-0000-0000-00008F040000}"/>
    <cellStyle name="??_x000c_&quot;_x001b__x000d__138 - OtherReceivableAccount_31012010 19" xfId="6039" xr:uid="{00000000-0005-0000-0000-000090040000}"/>
    <cellStyle name="??_x000c_&quot;_x001b__x000d__x0015__138 - OtherReceivableAccount_31012010 19" xfId="4322" xr:uid="{00000000-0005-0000-0000-000091040000}"/>
    <cellStyle name="??_x000c_&quot;_x001b__x000d__138 - OtherReceivableAccount_31012010 2" xfId="3063" xr:uid="{00000000-0005-0000-0000-000092040000}"/>
    <cellStyle name="??_x000c_&quot;_x001b__x000d__x0015__138 - OtherReceivableAccount_31012010 2" xfId="3064" xr:uid="{00000000-0005-0000-0000-000093040000}"/>
    <cellStyle name="??_x000c_&quot;_x001b__x000d__138 - OtherReceivableAccount_31012010 20" xfId="5382" xr:uid="{00000000-0005-0000-0000-000094040000}"/>
    <cellStyle name="??_x000c_&quot;_x001b__x000d__x0015__138 - OtherReceivableAccount_31012010 20" xfId="4753" xr:uid="{00000000-0005-0000-0000-000095040000}"/>
    <cellStyle name="??_x000c_&quot;_x001b__x000d__138 - OtherReceivableAccount_31012010 21" xfId="6174" xr:uid="{00000000-0005-0000-0000-000096040000}"/>
    <cellStyle name="??_x000c_&quot;_x001b__x000d__x0015__138 - OtherReceivableAccount_31012010 21" xfId="6151" xr:uid="{00000000-0005-0000-0000-000097040000}"/>
    <cellStyle name="??_x000c_&quot;_x001b__x000d__138 - OtherReceivableAccount_31012010 22" xfId="6192" xr:uid="{00000000-0005-0000-0000-000098040000}"/>
    <cellStyle name="??_x000c_&quot;_x001b__x000d__x0015__138 - OtherReceivableAccount_31012010 22" xfId="4643" xr:uid="{00000000-0005-0000-0000-000099040000}"/>
    <cellStyle name="??_x000c_&quot;_x001b__x000d__138 - OtherReceivableAccount_31012010 23" xfId="6207" xr:uid="{00000000-0005-0000-0000-00009A040000}"/>
    <cellStyle name="??_x000c_&quot;_x001b__x000d__x0015__138 - OtherReceivableAccount_31012010 23" xfId="5226" xr:uid="{00000000-0005-0000-0000-00009B040000}"/>
    <cellStyle name="??_x000c_&quot;_x001b__x000d__138 - OtherReceivableAccount_31012010 24" xfId="6221" xr:uid="{00000000-0005-0000-0000-00009C040000}"/>
    <cellStyle name="??_x000c_&quot;_x001b__x000d__x0015__138 - OtherReceivableAccount_31012010 24" xfId="5901" xr:uid="{00000000-0005-0000-0000-00009D040000}"/>
    <cellStyle name="??_x000c_&quot;_x001b__x000d__138 - OtherReceivableAccount_31012010 25" xfId="6232" xr:uid="{00000000-0005-0000-0000-00009E040000}"/>
    <cellStyle name="??_x000c_&quot;_x001b__x000d__x0015__138 - OtherReceivableAccount_31012010 25" xfId="4683" xr:uid="{00000000-0005-0000-0000-00009F040000}"/>
    <cellStyle name="??_x000c_&quot;_x001b__x000d__138 - OtherReceivableAccount_31012010 26" xfId="6240" xr:uid="{00000000-0005-0000-0000-0000A0040000}"/>
    <cellStyle name="??_x000c_&quot;_x001b__x000d__x0015__138 - OtherReceivableAccount_31012010 26" xfId="4620" xr:uid="{00000000-0005-0000-0000-0000A1040000}"/>
    <cellStyle name="??_x000c_&quot;_x001b__x000d__138 - OtherReceivableAccount_31012010 27" xfId="6247" xr:uid="{00000000-0005-0000-0000-0000A2040000}"/>
    <cellStyle name="??_x000c_&quot;_x001b__x000d__x0015__138 - OtherReceivableAccount_31012010 27" xfId="4321" xr:uid="{00000000-0005-0000-0000-0000A3040000}"/>
    <cellStyle name="??_x000c_&quot;_x001b__x000d__138 - OtherReceivableAccount_31012010 28" xfId="6279" xr:uid="{00000000-0005-0000-0000-0000A4040000}"/>
    <cellStyle name="??_x000c_&quot;_x001b__x000d__x0015__138 - OtherReceivableAccount_31012010 28" xfId="6280" xr:uid="{00000000-0005-0000-0000-0000A5040000}"/>
    <cellStyle name="??_x000c_&quot;_x001b__x000d__138 - OtherReceivableAccount_31012010 29" xfId="6487" xr:uid="{00000000-0005-0000-0000-0000A6040000}"/>
    <cellStyle name="??_x000c_&quot;_x001b__x000d__x0015__138 - OtherReceivableAccount_31012010 29" xfId="6486" xr:uid="{00000000-0005-0000-0000-0000A7040000}"/>
    <cellStyle name="??_x000c_&quot;_x001b__x000d__138 - OtherReceivableAccount_31012010 3" xfId="3509" xr:uid="{00000000-0005-0000-0000-0000A8040000}"/>
    <cellStyle name="??_x000c_&quot;_x001b__x000d__x0015__138 - OtherReceivableAccount_31012010 3" xfId="3507" xr:uid="{00000000-0005-0000-0000-0000A9040000}"/>
    <cellStyle name="??_x000c_&quot;_x001b__x000d__138 - OtherReceivableAccount_31012010 30" xfId="6661" xr:uid="{00000000-0005-0000-0000-0000AA040000}"/>
    <cellStyle name="??_x000c_&quot;_x001b__x000d__x0015__138 - OtherReceivableAccount_31012010 30" xfId="6374" xr:uid="{00000000-0005-0000-0000-0000AB040000}"/>
    <cellStyle name="??_x000c_&quot;_x001b__x000d__138 - OtherReceivableAccount_31012010 31" xfId="6853" xr:uid="{00000000-0005-0000-0000-0000AC040000}"/>
    <cellStyle name="??_x000c_&quot;_x001b__x000d__x0015__138 - OtherReceivableAccount_31012010 31" xfId="6854" xr:uid="{00000000-0005-0000-0000-0000AD040000}"/>
    <cellStyle name="??_x000c_&quot;_x001b__x000d__138 - OtherReceivableAccount_31012010 32" xfId="7742" xr:uid="{00000000-0005-0000-0000-0000AE040000}"/>
    <cellStyle name="??_x000c_&quot;_x001b__x000d__x0015__138 - OtherReceivableAccount_31012010 32" xfId="7743" xr:uid="{00000000-0005-0000-0000-0000AF040000}"/>
    <cellStyle name="??_x000c_&quot;_x001b__x000d__138 - OtherReceivableAccount_31012010 33" xfId="8033" xr:uid="{00000000-0005-0000-0000-0000B0040000}"/>
    <cellStyle name="??_x000c_&quot;_x001b__x000d__x0015__138 - OtherReceivableAccount_31012010 33" xfId="8032" xr:uid="{00000000-0005-0000-0000-0000B1040000}"/>
    <cellStyle name="??_x000c_&quot;_x001b__x000d__138 - OtherReceivableAccount_31012010 34" xfId="8364" xr:uid="{00000000-0005-0000-0000-0000B2040000}"/>
    <cellStyle name="??_x000c_&quot;_x001b__x000d__x0015__138 - OtherReceivableAccount_31012010 34" xfId="7883" xr:uid="{00000000-0005-0000-0000-0000B3040000}"/>
    <cellStyle name="??_x000c_&quot;_x001b__x000d__138 - OtherReceivableAccount_31012010 35" xfId="7977" xr:uid="{00000000-0005-0000-0000-0000B4040000}"/>
    <cellStyle name="??_x000c_&quot;_x001b__x000d__x0015__138 - OtherReceivableAccount_31012010 35" xfId="9440" xr:uid="{00000000-0005-0000-0000-0000B5040000}"/>
    <cellStyle name="??_x000c_&quot;_x001b__x000d__138 - OtherReceivableAccount_31012010 36" xfId="7926" xr:uid="{00000000-0005-0000-0000-0000B6040000}"/>
    <cellStyle name="??_x000c_&quot;_x001b__x000d__x0015__138 - OtherReceivableAccount_31012010 36" xfId="8325" xr:uid="{00000000-0005-0000-0000-0000B7040000}"/>
    <cellStyle name="??_x000c_&quot;_x001b__x000d__138 - OtherReceivableAccount_31012010 37" xfId="7991" xr:uid="{00000000-0005-0000-0000-0000B8040000}"/>
    <cellStyle name="??_x000c_&quot;_x001b__x000d__x0015__138 - OtherReceivableAccount_31012010 37" xfId="7855" xr:uid="{00000000-0005-0000-0000-0000B9040000}"/>
    <cellStyle name="??_x000c_&quot;_x001b__x000d__138 - OtherReceivableAccount_31012010 38" xfId="9416" xr:uid="{00000000-0005-0000-0000-0000BA040000}"/>
    <cellStyle name="??_x000c_&quot;_x001b__x000d__x0015__138 - OtherReceivableAccount_31012010 38" xfId="8167" xr:uid="{00000000-0005-0000-0000-0000BB040000}"/>
    <cellStyle name="??_x000c_&quot;_x001b__x000d__138 - OtherReceivableAccount_31012010 39" xfId="9535" xr:uid="{00000000-0005-0000-0000-0000BC040000}"/>
    <cellStyle name="??_x000c_&quot;_x001b__x000d__x0015__138 - OtherReceivableAccount_31012010 39" xfId="9536" xr:uid="{00000000-0005-0000-0000-0000BD040000}"/>
    <cellStyle name="??_x000c_&quot;_x001b__x000d__138 - OtherReceivableAccount_31012010 4" xfId="3187" xr:uid="{00000000-0005-0000-0000-0000BE040000}"/>
    <cellStyle name="??_x000c_&quot;_x001b__x000d__x0015__138 - OtherReceivableAccount_31012010 4" xfId="3188" xr:uid="{00000000-0005-0000-0000-0000BF040000}"/>
    <cellStyle name="??_x000c_&quot;_x001b__x000d__138 - OtherReceivableAccount_31012010 40" xfId="11878" xr:uid="{00000000-0005-0000-0000-0000C0040000}"/>
    <cellStyle name="??_x000c_&quot;_x001b__x000d__x0015__138 - OtherReceivableAccount_31012010 40" xfId="11879" xr:uid="{00000000-0005-0000-0000-0000C1040000}"/>
    <cellStyle name="??_x000c_&quot;_x001b__x000d__138 - OtherReceivableAccount_31012010 41" xfId="11880" xr:uid="{00000000-0005-0000-0000-0000C2040000}"/>
    <cellStyle name="??_x000c_&quot;_x001b__x000d__x0015__138 - OtherReceivableAccount_31012010 41" xfId="11881" xr:uid="{00000000-0005-0000-0000-0000C3040000}"/>
    <cellStyle name="??_x000c_&quot;_x001b__x000d__138 - OtherReceivableAccount_31012010 42" xfId="11882" xr:uid="{00000000-0005-0000-0000-0000C4040000}"/>
    <cellStyle name="??_x000c_&quot;_x001b__x000d__x0015__138 - OtherReceivableAccount_31012010 42" xfId="11883" xr:uid="{00000000-0005-0000-0000-0000C5040000}"/>
    <cellStyle name="??_x000c_&quot;_x001b__x000d__138 - OtherReceivableAccount_31012010 43" xfId="20749" xr:uid="{00000000-0005-0000-0000-0000C6040000}"/>
    <cellStyle name="??_x000c_&quot;_x001b__x000d__x0015__138 - OtherReceivableAccount_31012010 43" xfId="20750" xr:uid="{00000000-0005-0000-0000-0000C7040000}"/>
    <cellStyle name="??_x000c_&quot;_x001b__x000d__138 - OtherReceivableAccount_31012010 5" xfId="3354" xr:uid="{00000000-0005-0000-0000-0000C8040000}"/>
    <cellStyle name="??_x000c_&quot;_x001b__x000d__x0015__138 - OtherReceivableAccount_31012010 5" xfId="3353" xr:uid="{00000000-0005-0000-0000-0000C9040000}"/>
    <cellStyle name="??_x000c_&quot;_x001b__x000d__138 - OtherReceivableAccount_31012010 6" xfId="3668" xr:uid="{00000000-0005-0000-0000-0000CA040000}"/>
    <cellStyle name="??_x000c_&quot;_x001b__x000d__x0015__138 - OtherReceivableAccount_31012010 6" xfId="3669" xr:uid="{00000000-0005-0000-0000-0000CB040000}"/>
    <cellStyle name="??_x000c_&quot;_x001b__x000d__138 - OtherReceivableAccount_31012010 7" xfId="3850" xr:uid="{00000000-0005-0000-0000-0000CC040000}"/>
    <cellStyle name="??_x000c_&quot;_x001b__x000d__x0015__138 - OtherReceivableAccount_31012010 7" xfId="3849" xr:uid="{00000000-0005-0000-0000-0000CD040000}"/>
    <cellStyle name="??_x000c_&quot;_x001b__x000d__138 - OtherReceivableAccount_31012010 8" xfId="3888" xr:uid="{00000000-0005-0000-0000-0000CE040000}"/>
    <cellStyle name="??_x000c_&quot;_x001b__x000d__x0015__138 - OtherReceivableAccount_31012010 8" xfId="3925" xr:uid="{00000000-0005-0000-0000-0000CF040000}"/>
    <cellStyle name="??_x000c_&quot;_x001b__x000d__138 - OtherReceivableAccount_31012010 9" xfId="3988" xr:uid="{00000000-0005-0000-0000-0000D0040000}"/>
    <cellStyle name="??_x000c_&quot;_x001b__x000d__x0015__138 - OtherReceivableAccount_31012010 9" xfId="3989" xr:uid="{00000000-0005-0000-0000-0000D1040000}"/>
    <cellStyle name="??_x000c_&quot;_x001b__x000d__138 - OtherReceivableAccount_31122009" xfId="54" xr:uid="{00000000-0005-0000-0000-0000D2040000}"/>
    <cellStyle name="??_x000c_&quot;_x001b__x000d__x0015__138 - OtherReceivableAccount_31122009" xfId="55" xr:uid="{00000000-0005-0000-0000-0000D3040000}"/>
    <cellStyle name="??_x000c_&quot;_x001b__x000d__138 - OtherReceivableAccount_31122009 10" xfId="4174" xr:uid="{00000000-0005-0000-0000-0000D4040000}"/>
    <cellStyle name="??_x000c_&quot;_x001b__x000d__x0015__138 - OtherReceivableAccount_31122009 10" xfId="4175" xr:uid="{00000000-0005-0000-0000-0000D5040000}"/>
    <cellStyle name="??_x000c_&quot;_x001b__x000d__138 - OtherReceivableAccount_31122009 11" xfId="4952" xr:uid="{00000000-0005-0000-0000-0000D6040000}"/>
    <cellStyle name="??_x000c_&quot;_x001b__x000d__x0015__138 - OtherReceivableAccount_31122009 11" xfId="4951" xr:uid="{00000000-0005-0000-0000-0000D7040000}"/>
    <cellStyle name="??_x000c_&quot;_x001b__x000d__138 - OtherReceivableAccount_31122009 12" xfId="4378" xr:uid="{00000000-0005-0000-0000-0000D8040000}"/>
    <cellStyle name="??_x000c_&quot;_x001b__x000d__x0015__138 - OtherReceivableAccount_31122009 12" xfId="5477" xr:uid="{00000000-0005-0000-0000-0000D9040000}"/>
    <cellStyle name="??_x000c_&quot;_x001b__x000d__138 - OtherReceivableAccount_31122009 13" xfId="4727" xr:uid="{00000000-0005-0000-0000-0000DA040000}"/>
    <cellStyle name="??_x000c_&quot;_x001b__x000d__x0015__138 - OtherReceivableAccount_31122009 13" xfId="4903" xr:uid="{00000000-0005-0000-0000-0000DB040000}"/>
    <cellStyle name="??_x000c_&quot;_x001b__x000d__138 - OtherReceivableAccount_31122009 14" xfId="5933" xr:uid="{00000000-0005-0000-0000-0000DC040000}"/>
    <cellStyle name="??_x000c_&quot;_x001b__x000d__x0015__138 - OtherReceivableAccount_31122009 14" xfId="4397" xr:uid="{00000000-0005-0000-0000-0000DD040000}"/>
    <cellStyle name="??_x000c_&quot;_x001b__x000d__138 - OtherReceivableAccount_31122009 15" xfId="5305" xr:uid="{00000000-0005-0000-0000-0000DE040000}"/>
    <cellStyle name="??_x000c_&quot;_x001b__x000d__x0015__138 - OtherReceivableAccount_31122009 15" xfId="4682" xr:uid="{00000000-0005-0000-0000-0000DF040000}"/>
    <cellStyle name="??_x000c_&quot;_x001b__x000d__138 - OtherReceivableAccount_31122009 16" xfId="4412" xr:uid="{00000000-0005-0000-0000-0000E0040000}"/>
    <cellStyle name="??_x000c_&quot;_x001b__x000d__x0015__138 - OtherReceivableAccount_31122009 16" xfId="5225" xr:uid="{00000000-0005-0000-0000-0000E1040000}"/>
    <cellStyle name="??_x000c_&quot;_x001b__x000d__138 - OtherReceivableAccount_31122009 17" xfId="5036" xr:uid="{00000000-0005-0000-0000-0000E2040000}"/>
    <cellStyle name="??_x000c_&quot;_x001b__x000d__x0015__138 - OtherReceivableAccount_31122009 17" xfId="5051" xr:uid="{00000000-0005-0000-0000-0000E3040000}"/>
    <cellStyle name="??_x000c_&quot;_x001b__x000d__138 - OtherReceivableAccount_31122009 18" xfId="6012" xr:uid="{00000000-0005-0000-0000-0000E4040000}"/>
    <cellStyle name="??_x000c_&quot;_x001b__x000d__x0015__138 - OtherReceivableAccount_31122009 18" xfId="4658" xr:uid="{00000000-0005-0000-0000-0000E5040000}"/>
    <cellStyle name="??_x000c_&quot;_x001b__x000d__138 - OtherReceivableAccount_31122009 19" xfId="6036" xr:uid="{00000000-0005-0000-0000-0000E6040000}"/>
    <cellStyle name="??_x000c_&quot;_x001b__x000d__x0015__138 - OtherReceivableAccount_31122009 19" xfId="5416" xr:uid="{00000000-0005-0000-0000-0000E7040000}"/>
    <cellStyle name="??_x000c_&quot;_x001b__x000d__138 - OtherReceivableAccount_31122009 2" xfId="3065" xr:uid="{00000000-0005-0000-0000-0000E8040000}"/>
    <cellStyle name="??_x000c_&quot;_x001b__x000d__x0015__138 - OtherReceivableAccount_31122009 2" xfId="3066" xr:uid="{00000000-0005-0000-0000-0000E9040000}"/>
    <cellStyle name="??_x000c_&quot;_x001b__x000d__138 - OtherReceivableAccount_31122009 20" xfId="5945" xr:uid="{00000000-0005-0000-0000-0000EA040000}"/>
    <cellStyle name="??_x000c_&quot;_x001b__x000d__x0015__138 - OtherReceivableAccount_31122009 20" xfId="6064" xr:uid="{00000000-0005-0000-0000-0000EB040000}"/>
    <cellStyle name="??_x000c_&quot;_x001b__x000d__138 - OtherReceivableAccount_31122009 21" xfId="6150" xr:uid="{00000000-0005-0000-0000-0000EC040000}"/>
    <cellStyle name="??_x000c_&quot;_x001b__x000d__x0015__138 - OtherReceivableAccount_31122009 21" xfId="6028" xr:uid="{00000000-0005-0000-0000-0000ED040000}"/>
    <cellStyle name="??_x000c_&quot;_x001b__x000d__138 - OtherReceivableAccount_31122009 22" xfId="5278" xr:uid="{00000000-0005-0000-0000-0000EE040000}"/>
    <cellStyle name="??_x000c_&quot;_x001b__x000d__x0015__138 - OtherReceivableAccount_31122009 22" xfId="5315" xr:uid="{00000000-0005-0000-0000-0000EF040000}"/>
    <cellStyle name="??_x000c_&quot;_x001b__x000d__138 - OtherReceivableAccount_31122009 23" xfId="4304" xr:uid="{00000000-0005-0000-0000-0000F0040000}"/>
    <cellStyle name="??_x000c_&quot;_x001b__x000d__x0015__138 - OtherReceivableAccount_31122009 23" xfId="4291" xr:uid="{00000000-0005-0000-0000-0000F1040000}"/>
    <cellStyle name="??_x000c_&quot;_x001b__x000d__138 - OtherReceivableAccount_31122009 24" xfId="5333" xr:uid="{00000000-0005-0000-0000-0000F2040000}"/>
    <cellStyle name="??_x000c_&quot;_x001b__x000d__x0015__138 - OtherReceivableAccount_31122009 24" xfId="5301" xr:uid="{00000000-0005-0000-0000-0000F3040000}"/>
    <cellStyle name="??_x000c_&quot;_x001b__x000d__138 - OtherReceivableAccount_31122009 25" xfId="5902" xr:uid="{00000000-0005-0000-0000-0000F4040000}"/>
    <cellStyle name="??_x000c_&quot;_x001b__x000d__x0015__138 - OtherReceivableAccount_31122009 25" xfId="5319" xr:uid="{00000000-0005-0000-0000-0000F5040000}"/>
    <cellStyle name="??_x000c_&quot;_x001b__x000d__138 - OtherReceivableAccount_31122009 26" xfId="6013" xr:uid="{00000000-0005-0000-0000-0000F6040000}"/>
    <cellStyle name="??_x000c_&quot;_x001b__x000d__x0015__138 - OtherReceivableAccount_31122009 26" xfId="5988" xr:uid="{00000000-0005-0000-0000-0000F7040000}"/>
    <cellStyle name="??_x000c_&quot;_x001b__x000d__138 - OtherReceivableAccount_31122009 27" xfId="6137" xr:uid="{00000000-0005-0000-0000-0000F8040000}"/>
    <cellStyle name="??_x000c_&quot;_x001b__x000d__x0015__138 - OtherReceivableAccount_31122009 27" xfId="4815" xr:uid="{00000000-0005-0000-0000-0000F9040000}"/>
    <cellStyle name="??_x000c_&quot;_x001b__x000d__138 - OtherReceivableAccount_31122009 28" xfId="6281" xr:uid="{00000000-0005-0000-0000-0000FA040000}"/>
    <cellStyle name="??_x000c_&quot;_x001b__x000d__x0015__138 - OtherReceivableAccount_31122009 28" xfId="6282" xr:uid="{00000000-0005-0000-0000-0000FB040000}"/>
    <cellStyle name="??_x000c_&quot;_x001b__x000d__138 - OtherReceivableAccount_31122009 29" xfId="6485" xr:uid="{00000000-0005-0000-0000-0000FC040000}"/>
    <cellStyle name="??_x000c_&quot;_x001b__x000d__x0015__138 - OtherReceivableAccount_31122009 29" xfId="6549" xr:uid="{00000000-0005-0000-0000-0000FD040000}"/>
    <cellStyle name="??_x000c_&quot;_x001b__x000d__138 - OtherReceivableAccount_31122009 3" xfId="3506" xr:uid="{00000000-0005-0000-0000-0000FE040000}"/>
    <cellStyle name="??_x000c_&quot;_x001b__x000d__x0015__138 - OtherReceivableAccount_31122009 3" xfId="3505" xr:uid="{00000000-0005-0000-0000-0000FF040000}"/>
    <cellStyle name="??_x000c_&quot;_x001b__x000d__138 - OtherReceivableAccount_31122009 30" xfId="6375" xr:uid="{00000000-0005-0000-0000-000000050000}"/>
    <cellStyle name="??_x000c_&quot;_x001b__x000d__x0015__138 - OtherReceivableAccount_31122009 30" xfId="6376" xr:uid="{00000000-0005-0000-0000-000001050000}"/>
    <cellStyle name="??_x000c_&quot;_x001b__x000d__138 - OtherReceivableAccount_31122009 31" xfId="6855" xr:uid="{00000000-0005-0000-0000-000002050000}"/>
    <cellStyle name="??_x000c_&quot;_x001b__x000d__x0015__138 - OtherReceivableAccount_31122009 31" xfId="6856" xr:uid="{00000000-0005-0000-0000-000003050000}"/>
    <cellStyle name="??_x000c_&quot;_x001b__x000d__138 - OtherReceivableAccount_31122009 32" xfId="7744" xr:uid="{00000000-0005-0000-0000-000004050000}"/>
    <cellStyle name="??_x000c_&quot;_x001b__x000d__x0015__138 - OtherReceivableAccount_31122009 32" xfId="7745" xr:uid="{00000000-0005-0000-0000-000005050000}"/>
    <cellStyle name="??_x000c_&quot;_x001b__x000d__138 - OtherReceivableAccount_31122009 33" xfId="8157" xr:uid="{00000000-0005-0000-0000-000006050000}"/>
    <cellStyle name="??_x000c_&quot;_x001b__x000d__x0015__138 - OtherReceivableAccount_31122009 33" xfId="8031" xr:uid="{00000000-0005-0000-0000-000007050000}"/>
    <cellStyle name="??_x000c_&quot;_x001b__x000d__138 - OtherReceivableAccount_31122009 34" xfId="7884" xr:uid="{00000000-0005-0000-0000-000008050000}"/>
    <cellStyle name="??_x000c_&quot;_x001b__x000d__x0015__138 - OtherReceivableAccount_31122009 34" xfId="7885" xr:uid="{00000000-0005-0000-0000-000009050000}"/>
    <cellStyle name="??_x000c_&quot;_x001b__x000d__138 - OtherReceivableAccount_31122009 35" xfId="9438" xr:uid="{00000000-0005-0000-0000-00000A050000}"/>
    <cellStyle name="??_x000c_&quot;_x001b__x000d__x0015__138 - OtherReceivableAccount_31122009 35" xfId="9452" xr:uid="{00000000-0005-0000-0000-00000B050000}"/>
    <cellStyle name="??_x000c_&quot;_x001b__x000d__138 - OtherReceivableAccount_31122009 36" xfId="8224" xr:uid="{00000000-0005-0000-0000-00000C050000}"/>
    <cellStyle name="??_x000c_&quot;_x001b__x000d__x0015__138 - OtherReceivableAccount_31122009 36" xfId="9468" xr:uid="{00000000-0005-0000-0000-00000D050000}"/>
    <cellStyle name="??_x000c_&quot;_x001b__x000d__138 - OtherReceivableAccount_31122009 37" xfId="9479" xr:uid="{00000000-0005-0000-0000-00000E050000}"/>
    <cellStyle name="??_x000c_&quot;_x001b__x000d__x0015__138 - OtherReceivableAccount_31122009 37" xfId="8517" xr:uid="{00000000-0005-0000-0000-00000F050000}"/>
    <cellStyle name="??_x000c_&quot;_x001b__x000d__138 - OtherReceivableAccount_31122009 38" xfId="8075" xr:uid="{00000000-0005-0000-0000-000010050000}"/>
    <cellStyle name="??_x000c_&quot;_x001b__x000d__x0015__138 - OtherReceivableAccount_31122009 38" xfId="9464" xr:uid="{00000000-0005-0000-0000-000011050000}"/>
    <cellStyle name="??_x000c_&quot;_x001b__x000d__138 - OtherReceivableAccount_31122009 39" xfId="9537" xr:uid="{00000000-0005-0000-0000-000012050000}"/>
    <cellStyle name="??_x000c_&quot;_x001b__x000d__x0015__138 - OtherReceivableAccount_31122009 39" xfId="9538" xr:uid="{00000000-0005-0000-0000-000013050000}"/>
    <cellStyle name="??_x000c_&quot;_x001b__x000d__138 - OtherReceivableAccount_31122009 4" xfId="3189" xr:uid="{00000000-0005-0000-0000-000014050000}"/>
    <cellStyle name="??_x000c_&quot;_x001b__x000d__x0015__138 - OtherReceivableAccount_31122009 4" xfId="3190" xr:uid="{00000000-0005-0000-0000-000015050000}"/>
    <cellStyle name="??_x000c_&quot;_x001b__x000d__138 - OtherReceivableAccount_31122009 40" xfId="11884" xr:uid="{00000000-0005-0000-0000-000016050000}"/>
    <cellStyle name="??_x000c_&quot;_x001b__x000d__x0015__138 - OtherReceivableAccount_31122009 40" xfId="11885" xr:uid="{00000000-0005-0000-0000-000017050000}"/>
    <cellStyle name="??_x000c_&quot;_x001b__x000d__138 - OtherReceivableAccount_31122009 41" xfId="11886" xr:uid="{00000000-0005-0000-0000-000018050000}"/>
    <cellStyle name="??_x000c_&quot;_x001b__x000d__x0015__138 - OtherReceivableAccount_31122009 41" xfId="11887" xr:uid="{00000000-0005-0000-0000-000019050000}"/>
    <cellStyle name="??_x000c_&quot;_x001b__x000d__138 - OtherReceivableAccount_31122009 42" xfId="11888" xr:uid="{00000000-0005-0000-0000-00001A050000}"/>
    <cellStyle name="??_x000c_&quot;_x001b__x000d__x0015__138 - OtherReceivableAccount_31122009 42" xfId="11889" xr:uid="{00000000-0005-0000-0000-00001B050000}"/>
    <cellStyle name="??_x000c_&quot;_x001b__x000d__138 - OtherReceivableAccount_31122009 43" xfId="20751" xr:uid="{00000000-0005-0000-0000-00001C050000}"/>
    <cellStyle name="??_x000c_&quot;_x001b__x000d__x0015__138 - OtherReceivableAccount_31122009 43" xfId="20752" xr:uid="{00000000-0005-0000-0000-00001D050000}"/>
    <cellStyle name="??_x000c_&quot;_x001b__x000d__138 - OtherReceivableAccount_31122009 5" xfId="3352" xr:uid="{00000000-0005-0000-0000-00001E050000}"/>
    <cellStyle name="??_x000c_&quot;_x001b__x000d__x0015__138 - OtherReceivableAccount_31122009 5" xfId="3350" xr:uid="{00000000-0005-0000-0000-00001F050000}"/>
    <cellStyle name="??_x000c_&quot;_x001b__x000d__138 - OtherReceivableAccount_31122009 6" xfId="3670" xr:uid="{00000000-0005-0000-0000-000020050000}"/>
    <cellStyle name="??_x000c_&quot;_x001b__x000d__x0015__138 - OtherReceivableAccount_31122009 6" xfId="3671" xr:uid="{00000000-0005-0000-0000-000021050000}"/>
    <cellStyle name="??_x000c_&quot;_x001b__x000d__138 - OtherReceivableAccount_31122009 7" xfId="3848" xr:uid="{00000000-0005-0000-0000-000022050000}"/>
    <cellStyle name="??_x000c_&quot;_x001b__x000d__x0015__138 - OtherReceivableAccount_31122009 7" xfId="3847" xr:uid="{00000000-0005-0000-0000-000023050000}"/>
    <cellStyle name="??_x000c_&quot;_x001b__x000d__138 - OtherReceivableAccount_31122009 8" xfId="3905" xr:uid="{00000000-0005-0000-0000-000024050000}"/>
    <cellStyle name="??_x000c_&quot;_x001b__x000d__x0015__138 - OtherReceivableAccount_31122009 8" xfId="3930" xr:uid="{00000000-0005-0000-0000-000025050000}"/>
    <cellStyle name="??_x000c_&quot;_x001b__x000d__138 - OtherReceivableAccount_31122009 9" xfId="3990" xr:uid="{00000000-0005-0000-0000-000026050000}"/>
    <cellStyle name="??_x000c_&quot;_x001b__x000d__x0015__138 - OtherReceivableAccount_31122009 9" xfId="3991" xr:uid="{00000000-0005-0000-0000-000027050000}"/>
    <cellStyle name="??_x000c_&quot;_x001b__x000d__138 - OtherReceivableAccount_31122009_EVALUATION_EX_311208" xfId="56" xr:uid="{00000000-0005-0000-0000-000028050000}"/>
    <cellStyle name="??_x000c_&quot;_x001b__x000d__x0015__138 - OtherReceivableAccount_31122009_EVALUATION_EX_311208" xfId="57" xr:uid="{00000000-0005-0000-0000-000029050000}"/>
    <cellStyle name="??_x000c_&quot;_x001b__x000d__138 - OtherReceivableAccount_31122009_EVALUATION_EX_311208 10" xfId="4176" xr:uid="{00000000-0005-0000-0000-00002A050000}"/>
    <cellStyle name="??_x000c_&quot;_x001b__x000d__x0015__138 - OtherReceivableAccount_31122009_EVALUATION_EX_311208 10" xfId="4177" xr:uid="{00000000-0005-0000-0000-00002B050000}"/>
    <cellStyle name="??_x000c_&quot;_x001b__x000d__138 - OtherReceivableAccount_31122009_EVALUATION_EX_311208 11" xfId="4950" xr:uid="{00000000-0005-0000-0000-00002C050000}"/>
    <cellStyle name="??_x000c_&quot;_x001b__x000d__x0015__138 - OtherReceivableAccount_31122009_EVALUATION_EX_311208 11" xfId="4949" xr:uid="{00000000-0005-0000-0000-00002D050000}"/>
    <cellStyle name="??_x000c_&quot;_x001b__x000d__138 - OtherReceivableAccount_31122009_EVALUATION_EX_311208 12" xfId="4379" xr:uid="{00000000-0005-0000-0000-00002E050000}"/>
    <cellStyle name="??_x000c_&quot;_x001b__x000d__x0015__138 - OtherReceivableAccount_31122009_EVALUATION_EX_311208 12" xfId="4380" xr:uid="{00000000-0005-0000-0000-00002F050000}"/>
    <cellStyle name="??_x000c_&quot;_x001b__x000d__138 - OtherReceivableAccount_31122009_EVALUATION_EX_311208 13" xfId="4726" xr:uid="{00000000-0005-0000-0000-000030050000}"/>
    <cellStyle name="??_x000c_&quot;_x001b__x000d__x0015__138 - OtherReceivableAccount_31122009_EVALUATION_EX_311208 13" xfId="4725" xr:uid="{00000000-0005-0000-0000-000031050000}"/>
    <cellStyle name="??_x000c_&quot;_x001b__x000d__138 - OtherReceivableAccount_31122009_EVALUATION_EX_311208 14" xfId="5935" xr:uid="{00000000-0005-0000-0000-000032050000}"/>
    <cellStyle name="??_x000c_&quot;_x001b__x000d__x0015__138 - OtherReceivableAccount_31122009_EVALUATION_EX_311208 14" xfId="4451" xr:uid="{00000000-0005-0000-0000-000033050000}"/>
    <cellStyle name="??_x000c_&quot;_x001b__x000d__138 - OtherReceivableAccount_31122009_EVALUATION_EX_311208 15" xfId="4988" xr:uid="{00000000-0005-0000-0000-000034050000}"/>
    <cellStyle name="??_x000c_&quot;_x001b__x000d__x0015__138 - OtherReceivableAccount_31122009_EVALUATION_EX_311208 15" xfId="5126" xr:uid="{00000000-0005-0000-0000-000035050000}"/>
    <cellStyle name="??_x000c_&quot;_x001b__x000d__138 - OtherReceivableAccount_31122009_EVALUATION_EX_311208 16" xfId="4303" xr:uid="{00000000-0005-0000-0000-000036050000}"/>
    <cellStyle name="??_x000c_&quot;_x001b__x000d__x0015__138 - OtherReceivableAccount_31122009_EVALUATION_EX_311208 16" xfId="4848" xr:uid="{00000000-0005-0000-0000-000037050000}"/>
    <cellStyle name="??_x000c_&quot;_x001b__x000d__138 - OtherReceivableAccount_31122009_EVALUATION_EX_311208 17" xfId="5885" xr:uid="{00000000-0005-0000-0000-000038050000}"/>
    <cellStyle name="??_x000c_&quot;_x001b__x000d__x0015__138 - OtherReceivableAccount_31122009_EVALUATION_EX_311208 17" xfId="4319" xr:uid="{00000000-0005-0000-0000-000039050000}"/>
    <cellStyle name="??_x000c_&quot;_x001b__x000d__138 - OtherReceivableAccount_31122009_EVALUATION_EX_311208 18" xfId="4525" xr:uid="{00000000-0005-0000-0000-00003A050000}"/>
    <cellStyle name="??_x000c_&quot;_x001b__x000d__x0015__138 - OtherReceivableAccount_31122009_EVALUATION_EX_311208 18" xfId="4556" xr:uid="{00000000-0005-0000-0000-00003B050000}"/>
    <cellStyle name="??_x000c_&quot;_x001b__x000d__138 - OtherReceivableAccount_31122009_EVALUATION_EX_311208 19" xfId="4748" xr:uid="{00000000-0005-0000-0000-00003C050000}"/>
    <cellStyle name="??_x000c_&quot;_x001b__x000d__x0015__138 - OtherReceivableAccount_31122009_EVALUATION_EX_311208 19" xfId="4591" xr:uid="{00000000-0005-0000-0000-00003D050000}"/>
    <cellStyle name="??_x000c_&quot;_x001b__x000d__138 - OtherReceivableAccount_31122009_EVALUATION_EX_311208 2" xfId="3067" xr:uid="{00000000-0005-0000-0000-00003E050000}"/>
    <cellStyle name="??_x000c_&quot;_x001b__x000d__x0015__138 - OtherReceivableAccount_31122009_EVALUATION_EX_311208 2" xfId="3068" xr:uid="{00000000-0005-0000-0000-00003F050000}"/>
    <cellStyle name="??_x000c_&quot;_x001b__x000d__138 - OtherReceivableAccount_31122009_EVALUATION_EX_311208 20" xfId="5299" xr:uid="{00000000-0005-0000-0000-000040050000}"/>
    <cellStyle name="??_x000c_&quot;_x001b__x000d__x0015__138 - OtherReceivableAccount_31122009_EVALUATION_EX_311208 20" xfId="4250" xr:uid="{00000000-0005-0000-0000-000041050000}"/>
    <cellStyle name="??_x000c_&quot;_x001b__x000d__138 - OtherReceivableAccount_31122009_EVALUATION_EX_311208 21" xfId="6152" xr:uid="{00000000-0005-0000-0000-000042050000}"/>
    <cellStyle name="??_x000c_&quot;_x001b__x000d__x0015__138 - OtherReceivableAccount_31122009_EVALUATION_EX_311208 21" xfId="5171" xr:uid="{00000000-0005-0000-0000-000043050000}"/>
    <cellStyle name="??_x000c_&quot;_x001b__x000d__138 - OtherReceivableAccount_31122009_EVALUATION_EX_311208 22" xfId="5259" xr:uid="{00000000-0005-0000-0000-000044050000}"/>
    <cellStyle name="??_x000c_&quot;_x001b__x000d__x0015__138 - OtherReceivableAccount_31122009_EVALUATION_EX_311208 22" xfId="5577" xr:uid="{00000000-0005-0000-0000-000045050000}"/>
    <cellStyle name="??_x000c_&quot;_x001b__x000d__138 - OtherReceivableAccount_31122009_EVALUATION_EX_311208 23" xfId="4491" xr:uid="{00000000-0005-0000-0000-000046050000}"/>
    <cellStyle name="??_x000c_&quot;_x001b__x000d__x0015__138 - OtherReceivableAccount_31122009_EVALUATION_EX_311208 23" xfId="5233" xr:uid="{00000000-0005-0000-0000-000047050000}"/>
    <cellStyle name="??_x000c_&quot;_x001b__x000d__138 - OtherReceivableAccount_31122009_EVALUATION_EX_311208 24" xfId="4802" xr:uid="{00000000-0005-0000-0000-000048050000}"/>
    <cellStyle name="??_x000c_&quot;_x001b__x000d__x0015__138 - OtherReceivableAccount_31122009_EVALUATION_EX_311208 24" xfId="5963" xr:uid="{00000000-0005-0000-0000-000049050000}"/>
    <cellStyle name="??_x000c_&quot;_x001b__x000d__138 - OtherReceivableAccount_31122009_EVALUATION_EX_311208 25" xfId="4965" xr:uid="{00000000-0005-0000-0000-00004A050000}"/>
    <cellStyle name="??_x000c_&quot;_x001b__x000d__x0015__138 - OtherReceivableAccount_31122009_EVALUATION_EX_311208 25" xfId="5882" xr:uid="{00000000-0005-0000-0000-00004B050000}"/>
    <cellStyle name="??_x000c_&quot;_x001b__x000d__138 - OtherReceivableAccount_31122009_EVALUATION_EX_311208 26" xfId="4819" xr:uid="{00000000-0005-0000-0000-00004C050000}"/>
    <cellStyle name="??_x000c_&quot;_x001b__x000d__x0015__138 - OtherReceivableAccount_31122009_EVALUATION_EX_311208 26" xfId="4646" xr:uid="{00000000-0005-0000-0000-00004D050000}"/>
    <cellStyle name="??_x000c_&quot;_x001b__x000d__138 - OtherReceivableAccount_31122009_EVALUATION_EX_311208 27" xfId="4503" xr:uid="{00000000-0005-0000-0000-00004E050000}"/>
    <cellStyle name="??_x000c_&quot;_x001b__x000d__x0015__138 - OtherReceivableAccount_31122009_EVALUATION_EX_311208 27" xfId="6014" xr:uid="{00000000-0005-0000-0000-00004F050000}"/>
    <cellStyle name="??_x000c_&quot;_x001b__x000d__138 - OtherReceivableAccount_31122009_EVALUATION_EX_311208 28" xfId="6283" xr:uid="{00000000-0005-0000-0000-000050050000}"/>
    <cellStyle name="??_x000c_&quot;_x001b__x000d__x0015__138 - OtherReceivableAccount_31122009_EVALUATION_EX_311208 28" xfId="6284" xr:uid="{00000000-0005-0000-0000-000051050000}"/>
    <cellStyle name="??_x000c_&quot;_x001b__x000d__138 - OtherReceivableAccount_31122009_EVALUATION_EX_311208 29" xfId="6484" xr:uid="{00000000-0005-0000-0000-000052050000}"/>
    <cellStyle name="??_x000c_&quot;_x001b__x000d__x0015__138 - OtherReceivableAccount_31122009_EVALUATION_EX_311208 29" xfId="6483" xr:uid="{00000000-0005-0000-0000-000053050000}"/>
    <cellStyle name="??_x000c_&quot;_x001b__x000d__138 - OtherReceivableAccount_31122009_EVALUATION_EX_311208 3" xfId="3504" xr:uid="{00000000-0005-0000-0000-000054050000}"/>
    <cellStyle name="??_x000c_&quot;_x001b__x000d__x0015__138 - OtherReceivableAccount_31122009_EVALUATION_EX_311208 3" xfId="3503" xr:uid="{00000000-0005-0000-0000-000055050000}"/>
    <cellStyle name="??_x000c_&quot;_x001b__x000d__138 - OtherReceivableAccount_31122009_EVALUATION_EX_311208 30" xfId="6377" xr:uid="{00000000-0005-0000-0000-000056050000}"/>
    <cellStyle name="??_x000c_&quot;_x001b__x000d__x0015__138 - OtherReceivableAccount_31122009_EVALUATION_EX_311208 30" xfId="6565" xr:uid="{00000000-0005-0000-0000-000057050000}"/>
    <cellStyle name="??_x000c_&quot;_x001b__x000d__138 - OtherReceivableAccount_31122009_EVALUATION_EX_311208 31" xfId="6857" xr:uid="{00000000-0005-0000-0000-000058050000}"/>
    <cellStyle name="??_x000c_&quot;_x001b__x000d__x0015__138 - OtherReceivableAccount_31122009_EVALUATION_EX_311208 31" xfId="6858" xr:uid="{00000000-0005-0000-0000-000059050000}"/>
    <cellStyle name="??_x000c_&quot;_x001b__x000d__138 - OtherReceivableAccount_31122009_EVALUATION_EX_311208 32" xfId="7746" xr:uid="{00000000-0005-0000-0000-00005A050000}"/>
    <cellStyle name="??_x000c_&quot;_x001b__x000d__x0015__138 - OtherReceivableAccount_31122009_EVALUATION_EX_311208 32" xfId="7747" xr:uid="{00000000-0005-0000-0000-00005B050000}"/>
    <cellStyle name="??_x000c_&quot;_x001b__x000d__138 - OtherReceivableAccount_31122009_EVALUATION_EX_311208 33" xfId="8030" xr:uid="{00000000-0005-0000-0000-00005C050000}"/>
    <cellStyle name="??_x000c_&quot;_x001b__x000d__x0015__138 - OtherReceivableAccount_31122009_EVALUATION_EX_311208 33" xfId="8029" xr:uid="{00000000-0005-0000-0000-00005D050000}"/>
    <cellStyle name="??_x000c_&quot;_x001b__x000d__138 - OtherReceivableAccount_31122009_EVALUATION_EX_311208 34" xfId="7886" xr:uid="{00000000-0005-0000-0000-00005E050000}"/>
    <cellStyle name="??_x000c_&quot;_x001b__x000d__x0015__138 - OtherReceivableAccount_31122009_EVALUATION_EX_311208 34" xfId="8074" xr:uid="{00000000-0005-0000-0000-00005F050000}"/>
    <cellStyle name="??_x000c_&quot;_x001b__x000d__138 - OtherReceivableAccount_31122009_EVALUATION_EX_311208 35" xfId="9442" xr:uid="{00000000-0005-0000-0000-000060050000}"/>
    <cellStyle name="??_x000c_&quot;_x001b__x000d__x0015__138 - OtherReceivableAccount_31122009_EVALUATION_EX_311208 35" xfId="9386" xr:uid="{00000000-0005-0000-0000-000061050000}"/>
    <cellStyle name="??_x000c_&quot;_x001b__x000d__138 - OtherReceivableAccount_31122009_EVALUATION_EX_311208 36" xfId="8069" xr:uid="{00000000-0005-0000-0000-000062050000}"/>
    <cellStyle name="??_x000c_&quot;_x001b__x000d__x0015__138 - OtherReceivableAccount_31122009_EVALUATION_EX_311208 36" xfId="9428" xr:uid="{00000000-0005-0000-0000-000063050000}"/>
    <cellStyle name="??_x000c_&quot;_x001b__x000d__138 - OtherReceivableAccount_31122009_EVALUATION_EX_311208 37" xfId="8557" xr:uid="{00000000-0005-0000-0000-000064050000}"/>
    <cellStyle name="??_x000c_&quot;_x001b__x000d__x0015__138 - OtherReceivableAccount_31122009_EVALUATION_EX_311208 37" xfId="9486" xr:uid="{00000000-0005-0000-0000-000065050000}"/>
    <cellStyle name="??_x000c_&quot;_x001b__x000d__138 - OtherReceivableAccount_31122009_EVALUATION_EX_311208 38" xfId="9487" xr:uid="{00000000-0005-0000-0000-000066050000}"/>
    <cellStyle name="??_x000c_&quot;_x001b__x000d__x0015__138 - OtherReceivableAccount_31122009_EVALUATION_EX_311208 38" xfId="8126" xr:uid="{00000000-0005-0000-0000-000067050000}"/>
    <cellStyle name="??_x000c_&quot;_x001b__x000d__138 - OtherReceivableAccount_31122009_EVALUATION_EX_311208 39" xfId="9539" xr:uid="{00000000-0005-0000-0000-000068050000}"/>
    <cellStyle name="??_x000c_&quot;_x001b__x000d__x0015__138 - OtherReceivableAccount_31122009_EVALUATION_EX_311208 39" xfId="9540" xr:uid="{00000000-0005-0000-0000-000069050000}"/>
    <cellStyle name="??_x000c_&quot;_x001b__x000d__138 - OtherReceivableAccount_31122009_EVALUATION_EX_311208 4" xfId="3191" xr:uid="{00000000-0005-0000-0000-00006A050000}"/>
    <cellStyle name="??_x000c_&quot;_x001b__x000d__x0015__138 - OtherReceivableAccount_31122009_EVALUATION_EX_311208 4" xfId="3192" xr:uid="{00000000-0005-0000-0000-00006B050000}"/>
    <cellStyle name="??_x000c_&quot;_x001b__x000d__138 - OtherReceivableAccount_31122009_EVALUATION_EX_311208 40" xfId="11890" xr:uid="{00000000-0005-0000-0000-00006C050000}"/>
    <cellStyle name="??_x000c_&quot;_x001b__x000d__x0015__138 - OtherReceivableAccount_31122009_EVALUATION_EX_311208 40" xfId="11891" xr:uid="{00000000-0005-0000-0000-00006D050000}"/>
    <cellStyle name="??_x000c_&quot;_x001b__x000d__138 - OtherReceivableAccount_31122009_EVALUATION_EX_311208 41" xfId="11892" xr:uid="{00000000-0005-0000-0000-00006E050000}"/>
    <cellStyle name="??_x000c_&quot;_x001b__x000d__x0015__138 - OtherReceivableAccount_31122009_EVALUATION_EX_311208 41" xfId="11893" xr:uid="{00000000-0005-0000-0000-00006F050000}"/>
    <cellStyle name="??_x000c_&quot;_x001b__x000d__138 - OtherReceivableAccount_31122009_EVALUATION_EX_311208 42" xfId="11894" xr:uid="{00000000-0005-0000-0000-000070050000}"/>
    <cellStyle name="??_x000c_&quot;_x001b__x000d__x0015__138 - OtherReceivableAccount_31122009_EVALUATION_EX_311208 42" xfId="11895" xr:uid="{00000000-0005-0000-0000-000071050000}"/>
    <cellStyle name="??_x000c_&quot;_x001b__x000d__138 - OtherReceivableAccount_31122009_EVALUATION_EX_311208 43" xfId="20753" xr:uid="{00000000-0005-0000-0000-000072050000}"/>
    <cellStyle name="??_x000c_&quot;_x001b__x000d__x0015__138 - OtherReceivableAccount_31122009_EVALUATION_EX_311208 43" xfId="20754" xr:uid="{00000000-0005-0000-0000-000073050000}"/>
    <cellStyle name="??_x000c_&quot;_x001b__x000d__138 - OtherReceivableAccount_31122009_EVALUATION_EX_311208 5" xfId="3349" xr:uid="{00000000-0005-0000-0000-000074050000}"/>
    <cellStyle name="??_x000c_&quot;_x001b__x000d__x0015__138 - OtherReceivableAccount_31122009_EVALUATION_EX_311208 5" xfId="3348" xr:uid="{00000000-0005-0000-0000-000075050000}"/>
    <cellStyle name="??_x000c_&quot;_x001b__x000d__138 - OtherReceivableAccount_31122009_EVALUATION_EX_311208 6" xfId="3672" xr:uid="{00000000-0005-0000-0000-000076050000}"/>
    <cellStyle name="??_x000c_&quot;_x001b__x000d__x0015__138 - OtherReceivableAccount_31122009_EVALUATION_EX_311208 6" xfId="3673" xr:uid="{00000000-0005-0000-0000-000077050000}"/>
    <cellStyle name="??_x000c_&quot;_x001b__x000d__138 - OtherReceivableAccount_31122009_EVALUATION_EX_311208 7" xfId="3846" xr:uid="{00000000-0005-0000-0000-000078050000}"/>
    <cellStyle name="??_x000c_&quot;_x001b__x000d__x0015__138 - OtherReceivableAccount_31122009_EVALUATION_EX_311208 7" xfId="3845" xr:uid="{00000000-0005-0000-0000-000079050000}"/>
    <cellStyle name="??_x000c_&quot;_x001b__x000d__138 - OtherReceivableAccount_31122009_EVALUATION_EX_311208 8" xfId="3736" xr:uid="{00000000-0005-0000-0000-00007A050000}"/>
    <cellStyle name="??_x000c_&quot;_x001b__x000d__x0015__138 - OtherReceivableAccount_31122009_EVALUATION_EX_311208 8" xfId="3897" xr:uid="{00000000-0005-0000-0000-00007B050000}"/>
    <cellStyle name="??_x000c_&quot;_x001b__x000d__138 - OtherReceivableAccount_31122009_EVALUATION_EX_311208 9" xfId="3992" xr:uid="{00000000-0005-0000-0000-00007C050000}"/>
    <cellStyle name="??_x000c_&quot;_x001b__x000d__x0015__138 - OtherReceivableAccount_31122009_EVALUATION_EX_311208 9" xfId="3993" xr:uid="{00000000-0005-0000-0000-00007D050000}"/>
    <cellStyle name="??_x000c_&quot;_x001b__x000d__EVALUATION_EX_311208" xfId="58" xr:uid="{00000000-0005-0000-0000-00007E050000}"/>
    <cellStyle name="??_x000c_&quot;_x001b__x000d__x0015__EVALUATION_EX_311208" xfId="59" xr:uid="{00000000-0005-0000-0000-00007F050000}"/>
    <cellStyle name="??_x000c_&quot;_x001b__x000d__EVALUATION_EX_311208 10" xfId="4178" xr:uid="{00000000-0005-0000-0000-000080050000}"/>
    <cellStyle name="??_x000c_&quot;_x001b__x000d__x0015__EVALUATION_EX_311208 10" xfId="4179" xr:uid="{00000000-0005-0000-0000-000081050000}"/>
    <cellStyle name="??_x000c_&quot;_x001b__x000d__EVALUATION_EX_311208 11" xfId="4948" xr:uid="{00000000-0005-0000-0000-000082050000}"/>
    <cellStyle name="??_x000c_&quot;_x001b__x000d__x0015__EVALUATION_EX_311208 11" xfId="4947" xr:uid="{00000000-0005-0000-0000-000083050000}"/>
    <cellStyle name="??_x000c_&quot;_x001b__x000d__EVALUATION_EX_311208 12" xfId="4381" xr:uid="{00000000-0005-0000-0000-000084050000}"/>
    <cellStyle name="??_x000c_&quot;_x001b__x000d__x0015__EVALUATION_EX_311208 12" xfId="4382" xr:uid="{00000000-0005-0000-0000-000085050000}"/>
    <cellStyle name="??_x000c_&quot;_x001b__x000d__EVALUATION_EX_311208 13" xfId="4724" xr:uid="{00000000-0005-0000-0000-000086050000}"/>
    <cellStyle name="??_x000c_&quot;_x001b__x000d__x0015__EVALUATION_EX_311208 13" xfId="5351" xr:uid="{00000000-0005-0000-0000-000087050000}"/>
    <cellStyle name="??_x000c_&quot;_x001b__x000d__EVALUATION_EX_311208 14" xfId="4453" xr:uid="{00000000-0005-0000-0000-000088050000}"/>
    <cellStyle name="??_x000c_&quot;_x001b__x000d__x0015__EVALUATION_EX_311208 14" xfId="4454" xr:uid="{00000000-0005-0000-0000-000089050000}"/>
    <cellStyle name="??_x000c_&quot;_x001b__x000d__EVALUATION_EX_311208 15" xfId="5125" xr:uid="{00000000-0005-0000-0000-00008A050000}"/>
    <cellStyle name="??_x000c_&quot;_x001b__x000d__x0015__EVALUATION_EX_311208 15" xfId="5593" xr:uid="{00000000-0005-0000-0000-00008B050000}"/>
    <cellStyle name="??_x000c_&quot;_x001b__x000d__EVALUATION_EX_311208 16" xfId="4253" xr:uid="{00000000-0005-0000-0000-00008C050000}"/>
    <cellStyle name="??_x000c_&quot;_x001b__x000d__x0015__EVALUATION_EX_311208 16" xfId="5148" xr:uid="{00000000-0005-0000-0000-00008D050000}"/>
    <cellStyle name="??_x000c_&quot;_x001b__x000d__EVALUATION_EX_311208 17" xfId="5122" xr:uid="{00000000-0005-0000-0000-00008E050000}"/>
    <cellStyle name="??_x000c_&quot;_x001b__x000d__x0015__EVALUATION_EX_311208 17" xfId="4312" xr:uid="{00000000-0005-0000-0000-00008F050000}"/>
    <cellStyle name="??_x000c_&quot;_x001b__x000d__EVALUATION_EX_311208 18" xfId="6010" xr:uid="{00000000-0005-0000-0000-000090050000}"/>
    <cellStyle name="??_x000c_&quot;_x001b__x000d__x0015__EVALUATION_EX_311208 18" xfId="4557" xr:uid="{00000000-0005-0000-0000-000091050000}"/>
    <cellStyle name="??_x000c_&quot;_x001b__x000d__EVALUATION_EX_311208 19" xfId="5014" xr:uid="{00000000-0005-0000-0000-000092050000}"/>
    <cellStyle name="??_x000c_&quot;_x001b__x000d__x0015__EVALUATION_EX_311208 19" xfId="5095" xr:uid="{00000000-0005-0000-0000-000093050000}"/>
    <cellStyle name="??_x000c_&quot;_x001b__x000d__EVALUATION_EX_311208 2" xfId="3069" xr:uid="{00000000-0005-0000-0000-000094050000}"/>
    <cellStyle name="??_x000c_&quot;_x001b__x000d__x0015__EVALUATION_EX_311208 2" xfId="3070" xr:uid="{00000000-0005-0000-0000-000095050000}"/>
    <cellStyle name="??_x000c_&quot;_x001b__x000d__EVALUATION_EX_311208 20" xfId="4242" xr:uid="{00000000-0005-0000-0000-000096050000}"/>
    <cellStyle name="??_x000c_&quot;_x001b__x000d__x0015__EVALUATION_EX_311208 20" xfId="4331" xr:uid="{00000000-0005-0000-0000-000097050000}"/>
    <cellStyle name="??_x000c_&quot;_x001b__x000d__EVALUATION_EX_311208 21" xfId="5375" xr:uid="{00000000-0005-0000-0000-000098050000}"/>
    <cellStyle name="??_x000c_&quot;_x001b__x000d__x0015__EVALUATION_EX_311208 21" xfId="5534" xr:uid="{00000000-0005-0000-0000-000099050000}"/>
    <cellStyle name="??_x000c_&quot;_x001b__x000d__EVALUATION_EX_311208 22" xfId="5521" xr:uid="{00000000-0005-0000-0000-00009A050000}"/>
    <cellStyle name="??_x000c_&quot;_x001b__x000d__x0015__EVALUATION_EX_311208 22" xfId="4628" xr:uid="{00000000-0005-0000-0000-00009B050000}"/>
    <cellStyle name="??_x000c_&quot;_x001b__x000d__EVALUATION_EX_311208 23" xfId="5192" xr:uid="{00000000-0005-0000-0000-00009C050000}"/>
    <cellStyle name="??_x000c_&quot;_x001b__x000d__x0015__EVALUATION_EX_311208 23" xfId="5172" xr:uid="{00000000-0005-0000-0000-00009D050000}"/>
    <cellStyle name="??_x000c_&quot;_x001b__x000d__EVALUATION_EX_311208 24" xfId="5865" xr:uid="{00000000-0005-0000-0000-00009E050000}"/>
    <cellStyle name="??_x000c_&quot;_x001b__x000d__x0015__EVALUATION_EX_311208 24" xfId="4584" xr:uid="{00000000-0005-0000-0000-00009F050000}"/>
    <cellStyle name="??_x000c_&quot;_x001b__x000d__EVALUATION_EX_311208 25" xfId="5291" xr:uid="{00000000-0005-0000-0000-0000A0050000}"/>
    <cellStyle name="??_x000c_&quot;_x001b__x000d__x0015__EVALUATION_EX_311208 25" xfId="4832" xr:uid="{00000000-0005-0000-0000-0000A1050000}"/>
    <cellStyle name="??_x000c_&quot;_x001b__x000d__EVALUATION_EX_311208 26" xfId="5144" xr:uid="{00000000-0005-0000-0000-0000A2050000}"/>
    <cellStyle name="??_x000c_&quot;_x001b__x000d__x0015__EVALUATION_EX_311208 26" xfId="4301" xr:uid="{00000000-0005-0000-0000-0000A3050000}"/>
    <cellStyle name="??_x000c_&quot;_x001b__x000d__EVALUATION_EX_311208 27" xfId="5569" xr:uid="{00000000-0005-0000-0000-0000A4050000}"/>
    <cellStyle name="??_x000c_&quot;_x001b__x000d__x0015__EVALUATION_EX_311208 27" xfId="5353" xr:uid="{00000000-0005-0000-0000-0000A5050000}"/>
    <cellStyle name="??_x000c_&quot;_x001b__x000d__EVALUATION_EX_311208 28" xfId="6285" xr:uid="{00000000-0005-0000-0000-0000A6050000}"/>
    <cellStyle name="??_x000c_&quot;_x001b__x000d__x0015__EVALUATION_EX_311208 28" xfId="6286" xr:uid="{00000000-0005-0000-0000-0000A7050000}"/>
    <cellStyle name="??_x000c_&quot;_x001b__x000d__EVALUATION_EX_311208 29" xfId="6482" xr:uid="{00000000-0005-0000-0000-0000A8050000}"/>
    <cellStyle name="??_x000c_&quot;_x001b__x000d__x0015__EVALUATION_EX_311208 29" xfId="6481" xr:uid="{00000000-0005-0000-0000-0000A9050000}"/>
    <cellStyle name="??_x000c_&quot;_x001b__x000d__EVALUATION_EX_311208 3" xfId="3502" xr:uid="{00000000-0005-0000-0000-0000AA050000}"/>
    <cellStyle name="??_x000c_&quot;_x001b__x000d__x0015__EVALUATION_EX_311208 3" xfId="3501" xr:uid="{00000000-0005-0000-0000-0000AB050000}"/>
    <cellStyle name="??_x000c_&quot;_x001b__x000d__EVALUATION_EX_311208 30" xfId="6378" xr:uid="{00000000-0005-0000-0000-0000AC050000}"/>
    <cellStyle name="??_x000c_&quot;_x001b__x000d__x0015__EVALUATION_EX_311208 30" xfId="6379" xr:uid="{00000000-0005-0000-0000-0000AD050000}"/>
    <cellStyle name="??_x000c_&quot;_x001b__x000d__EVALUATION_EX_311208 31" xfId="6859" xr:uid="{00000000-0005-0000-0000-0000AE050000}"/>
    <cellStyle name="??_x000c_&quot;_x001b__x000d__x0015__EVALUATION_EX_311208 31" xfId="6860" xr:uid="{00000000-0005-0000-0000-0000AF050000}"/>
    <cellStyle name="??_x000c_&quot;_x001b__x000d__EVALUATION_EX_311208 32" xfId="7748" xr:uid="{00000000-0005-0000-0000-0000B0050000}"/>
    <cellStyle name="??_x000c_&quot;_x001b__x000d__x0015__EVALUATION_EX_311208 32" xfId="7749" xr:uid="{00000000-0005-0000-0000-0000B1050000}"/>
    <cellStyle name="??_x000c_&quot;_x001b__x000d__EVALUATION_EX_311208 33" xfId="8028" xr:uid="{00000000-0005-0000-0000-0000B2050000}"/>
    <cellStyle name="??_x000c_&quot;_x001b__x000d__x0015__EVALUATION_EX_311208 33" xfId="8027" xr:uid="{00000000-0005-0000-0000-0000B3050000}"/>
    <cellStyle name="??_x000c_&quot;_x001b__x000d__EVALUATION_EX_311208 34" xfId="7887" xr:uid="{00000000-0005-0000-0000-0000B4050000}"/>
    <cellStyle name="??_x000c_&quot;_x001b__x000d__x0015__EVALUATION_EX_311208 34" xfId="7888" xr:uid="{00000000-0005-0000-0000-0000B5050000}"/>
    <cellStyle name="??_x000c_&quot;_x001b__x000d__EVALUATION_EX_311208 35" xfId="9467" xr:uid="{00000000-0005-0000-0000-0000B6050000}"/>
    <cellStyle name="??_x000c_&quot;_x001b__x000d__x0015__EVALUATION_EX_311208 35" xfId="9458" xr:uid="{00000000-0005-0000-0000-0000B7050000}"/>
    <cellStyle name="??_x000c_&quot;_x001b__x000d__EVALUATION_EX_311208 36" xfId="9478" xr:uid="{00000000-0005-0000-0000-0000B8050000}"/>
    <cellStyle name="??_x000c_&quot;_x001b__x000d__x0015__EVALUATION_EX_311208 36" xfId="9473" xr:uid="{00000000-0005-0000-0000-0000B9050000}"/>
    <cellStyle name="??_x000c_&quot;_x001b__x000d__EVALUATION_EX_311208 37" xfId="9483" xr:uid="{00000000-0005-0000-0000-0000BA050000}"/>
    <cellStyle name="??_x000c_&quot;_x001b__x000d__x0015__EVALUATION_EX_311208 37" xfId="9484" xr:uid="{00000000-0005-0000-0000-0000BB050000}"/>
    <cellStyle name="??_x000c_&quot;_x001b__x000d__EVALUATION_EX_311208 38" xfId="9426" xr:uid="{00000000-0005-0000-0000-0000BC050000}"/>
    <cellStyle name="??_x000c_&quot;_x001b__x000d__x0015__EVALUATION_EX_311208 38" xfId="9498" xr:uid="{00000000-0005-0000-0000-0000BD050000}"/>
    <cellStyle name="??_x000c_&quot;_x001b__x000d__EVALUATION_EX_311208 39" xfId="9541" xr:uid="{00000000-0005-0000-0000-0000BE050000}"/>
    <cellStyle name="??_x000c_&quot;_x001b__x000d__x0015__EVALUATION_EX_311208 39" xfId="9542" xr:uid="{00000000-0005-0000-0000-0000BF050000}"/>
    <cellStyle name="??_x000c_&quot;_x001b__x000d__EVALUATION_EX_311208 4" xfId="3193" xr:uid="{00000000-0005-0000-0000-0000C0050000}"/>
    <cellStyle name="??_x000c_&quot;_x001b__x000d__x0015__EVALUATION_EX_311208 4" xfId="3194" xr:uid="{00000000-0005-0000-0000-0000C1050000}"/>
    <cellStyle name="??_x000c_&quot;_x001b__x000d__EVALUATION_EX_311208 40" xfId="11896" xr:uid="{00000000-0005-0000-0000-0000C2050000}"/>
    <cellStyle name="??_x000c_&quot;_x001b__x000d__x0015__EVALUATION_EX_311208 40" xfId="11897" xr:uid="{00000000-0005-0000-0000-0000C3050000}"/>
    <cellStyle name="??_x000c_&quot;_x001b__x000d__EVALUATION_EX_311208 41" xfId="11898" xr:uid="{00000000-0005-0000-0000-0000C4050000}"/>
    <cellStyle name="??_x000c_&quot;_x001b__x000d__x0015__EVALUATION_EX_311208 41" xfId="11899" xr:uid="{00000000-0005-0000-0000-0000C5050000}"/>
    <cellStyle name="??_x000c_&quot;_x001b__x000d__EVALUATION_EX_311208 42" xfId="11900" xr:uid="{00000000-0005-0000-0000-0000C6050000}"/>
    <cellStyle name="??_x000c_&quot;_x001b__x000d__x0015__EVALUATION_EX_311208 42" xfId="11901" xr:uid="{00000000-0005-0000-0000-0000C7050000}"/>
    <cellStyle name="??_x000c_&quot;_x001b__x000d__EVALUATION_EX_311208 43" xfId="20755" xr:uid="{00000000-0005-0000-0000-0000C8050000}"/>
    <cellStyle name="??_x000c_&quot;_x001b__x000d__x0015__EVALUATION_EX_311208 43" xfId="20756" xr:uid="{00000000-0005-0000-0000-0000C9050000}"/>
    <cellStyle name="??_x000c_&quot;_x001b__x000d__EVALUATION_EX_311208 5" xfId="3346" xr:uid="{00000000-0005-0000-0000-0000CA050000}"/>
    <cellStyle name="??_x000c_&quot;_x001b__x000d__x0015__EVALUATION_EX_311208 5" xfId="3345" xr:uid="{00000000-0005-0000-0000-0000CB050000}"/>
    <cellStyle name="??_x000c_&quot;_x001b__x000d__EVALUATION_EX_311208 6" xfId="3674" xr:uid="{00000000-0005-0000-0000-0000CC050000}"/>
    <cellStyle name="??_x000c_&quot;_x001b__x000d__x0015__EVALUATION_EX_311208 6" xfId="3675" xr:uid="{00000000-0005-0000-0000-0000CD050000}"/>
    <cellStyle name="??_x000c_&quot;_x001b__x000d__EVALUATION_EX_311208 7" xfId="3844" xr:uid="{00000000-0005-0000-0000-0000CE050000}"/>
    <cellStyle name="??_x000c_&quot;_x001b__x000d__x0015__EVALUATION_EX_311208 7" xfId="3843" xr:uid="{00000000-0005-0000-0000-0000CF050000}"/>
    <cellStyle name="??_x000c_&quot;_x001b__x000d__EVALUATION_EX_311208 8" xfId="3917" xr:uid="{00000000-0005-0000-0000-0000D0050000}"/>
    <cellStyle name="??_x000c_&quot;_x001b__x000d__x0015__EVALUATION_EX_311208 8" xfId="3889" xr:uid="{00000000-0005-0000-0000-0000D1050000}"/>
    <cellStyle name="??_x000c_&quot;_x001b__x000d__EVALUATION_EX_311208 9" xfId="3994" xr:uid="{00000000-0005-0000-0000-0000D2050000}"/>
    <cellStyle name="??_x000c_&quot;_x001b__x000d__x0015__EVALUATION_EX_311208 9" xfId="3995" xr:uid="{00000000-0005-0000-0000-0000D3050000}"/>
    <cellStyle name="??_x000c_&quot;_x001b__x000d__YTDHST " xfId="60" xr:uid="{00000000-0005-0000-0000-0000D4050000}"/>
    <cellStyle name="??_x000c_&quot;_x001b__x000d__x0015__YTDHST " xfId="61" xr:uid="{00000000-0005-0000-0000-0000D5050000}"/>
    <cellStyle name="??_x000c_&quot;_x001b__x000d__YTDHST  10" xfId="4180" xr:uid="{00000000-0005-0000-0000-0000D6050000}"/>
    <cellStyle name="??_x000c_&quot;_x001b__x000d__x0015__YTDHST  10" xfId="4181" xr:uid="{00000000-0005-0000-0000-0000D7050000}"/>
    <cellStyle name="??_x000c_&quot;_x001b__x000d__YTDHST  11" xfId="4946" xr:uid="{00000000-0005-0000-0000-0000D8050000}"/>
    <cellStyle name="??_x000c_&quot;_x001b__x000d__x0015__YTDHST  11" xfId="4945" xr:uid="{00000000-0005-0000-0000-0000D9050000}"/>
    <cellStyle name="??_x000c_&quot;_x001b__x000d__YTDHST  12" xfId="4383" xr:uid="{00000000-0005-0000-0000-0000DA050000}"/>
    <cellStyle name="??_x000c_&quot;_x001b__x000d__x0015__YTDHST  12" xfId="4384" xr:uid="{00000000-0005-0000-0000-0000DB050000}"/>
    <cellStyle name="??_x000c_&quot;_x001b__x000d__YTDHST  13" xfId="5350" xr:uid="{00000000-0005-0000-0000-0000DC050000}"/>
    <cellStyle name="??_x000c_&quot;_x001b__x000d__x0015__YTDHST  13" xfId="5349" xr:uid="{00000000-0005-0000-0000-0000DD050000}"/>
    <cellStyle name="??_x000c_&quot;_x001b__x000d__YTDHST  14" xfId="4455" xr:uid="{00000000-0005-0000-0000-0000DE050000}"/>
    <cellStyle name="??_x000c_&quot;_x001b__x000d__x0015__YTDHST  14" xfId="4456" xr:uid="{00000000-0005-0000-0000-0000DF050000}"/>
    <cellStyle name="??_x000c_&quot;_x001b__x000d__YTDHST  15" xfId="5494" xr:uid="{00000000-0005-0000-0000-0000E0050000}"/>
    <cellStyle name="??_x000c_&quot;_x001b__x000d__x0015__YTDHST  15" xfId="5492" xr:uid="{00000000-0005-0000-0000-0000E1050000}"/>
    <cellStyle name="??_x000c_&quot;_x001b__x000d__YTDHST  16" xfId="5143" xr:uid="{00000000-0005-0000-0000-0000E2050000}"/>
    <cellStyle name="??_x000c_&quot;_x001b__x000d__x0015__YTDHST  16" xfId="4280" xr:uid="{00000000-0005-0000-0000-0000E3050000}"/>
    <cellStyle name="??_x000c_&quot;_x001b__x000d__YTDHST  17" xfId="5021" xr:uid="{00000000-0005-0000-0000-0000E4050000}"/>
    <cellStyle name="??_x000c_&quot;_x001b__x000d__x0015__YTDHST  17" xfId="4428" xr:uid="{00000000-0005-0000-0000-0000E5050000}"/>
    <cellStyle name="??_x000c_&quot;_x001b__x000d__YTDHST  18" xfId="5992" xr:uid="{00000000-0005-0000-0000-0000E6050000}"/>
    <cellStyle name="??_x000c_&quot;_x001b__x000d__x0015__YTDHST  18" xfId="4558" xr:uid="{00000000-0005-0000-0000-0000E7050000}"/>
    <cellStyle name="??_x000c_&quot;_x001b__x000d__YTDHST  19" xfId="4325" xr:uid="{00000000-0005-0000-0000-0000E8050000}"/>
    <cellStyle name="??_x000c_&quot;_x001b__x000d__x0015__YTDHST  19" xfId="4818" xr:uid="{00000000-0005-0000-0000-0000E9050000}"/>
    <cellStyle name="??_x000c_&quot;_x001b__x000d__YTDHST  2" xfId="3071" xr:uid="{00000000-0005-0000-0000-0000EA050000}"/>
    <cellStyle name="??_x000c_&quot;_x001b__x000d__x0015__YTDHST  2" xfId="3072" xr:uid="{00000000-0005-0000-0000-0000EB050000}"/>
    <cellStyle name="??_x000c_&quot;_x001b__x000d__YTDHST  20" xfId="5859" xr:uid="{00000000-0005-0000-0000-0000EC050000}"/>
    <cellStyle name="??_x000c_&quot;_x001b__x000d__x0015__YTDHST  20" xfId="4784" xr:uid="{00000000-0005-0000-0000-0000ED050000}"/>
    <cellStyle name="??_x000c_&quot;_x001b__x000d__YTDHST  21" xfId="4423" xr:uid="{00000000-0005-0000-0000-0000EE050000}"/>
    <cellStyle name="??_x000c_&quot;_x001b__x000d__x0015__YTDHST  21" xfId="4264" xr:uid="{00000000-0005-0000-0000-0000EF050000}"/>
    <cellStyle name="??_x000c_&quot;_x001b__x000d__YTDHST  22" xfId="5991" xr:uid="{00000000-0005-0000-0000-0000F0050000}"/>
    <cellStyle name="??_x000c_&quot;_x001b__x000d__x0015__YTDHST  22" xfId="4537" xr:uid="{00000000-0005-0000-0000-0000F1050000}"/>
    <cellStyle name="??_x000c_&quot;_x001b__x000d__YTDHST  23" xfId="5009" xr:uid="{00000000-0005-0000-0000-0000F2050000}"/>
    <cellStyle name="??_x000c_&quot;_x001b__x000d__x0015__YTDHST  23" xfId="4782" xr:uid="{00000000-0005-0000-0000-0000F3050000}"/>
    <cellStyle name="??_x000c_&quot;_x001b__x000d__YTDHST  24" xfId="5270" xr:uid="{00000000-0005-0000-0000-0000F4050000}"/>
    <cellStyle name="??_x000c_&quot;_x001b__x000d__x0015__YTDHST  24" xfId="5368" xr:uid="{00000000-0005-0000-0000-0000F5050000}"/>
    <cellStyle name="??_x000c_&quot;_x001b__x000d__YTDHST  25" xfId="5063" xr:uid="{00000000-0005-0000-0000-0000F6050000}"/>
    <cellStyle name="??_x000c_&quot;_x001b__x000d__x0015__YTDHST  25" xfId="5939" xr:uid="{00000000-0005-0000-0000-0000F7050000}"/>
    <cellStyle name="??_x000c_&quot;_x001b__x000d__YTDHST  26" xfId="6095" xr:uid="{00000000-0005-0000-0000-0000F8050000}"/>
    <cellStyle name="??_x000c_&quot;_x001b__x000d__x0015__YTDHST  26" xfId="5983" xr:uid="{00000000-0005-0000-0000-0000F9050000}"/>
    <cellStyle name="??_x000c_&quot;_x001b__x000d__YTDHST  27" xfId="5017" xr:uid="{00000000-0005-0000-0000-0000FA050000}"/>
    <cellStyle name="??_x000c_&quot;_x001b__x000d__x0015__YTDHST  27" xfId="5309" xr:uid="{00000000-0005-0000-0000-0000FB050000}"/>
    <cellStyle name="??_x000c_&quot;_x001b__x000d__YTDHST  28" xfId="6287" xr:uid="{00000000-0005-0000-0000-0000FC050000}"/>
    <cellStyle name="??_x000c_&quot;_x001b__x000d__x0015__YTDHST  28" xfId="6288" xr:uid="{00000000-0005-0000-0000-0000FD050000}"/>
    <cellStyle name="??_x000c_&quot;_x001b__x000d__YTDHST  29" xfId="6480" xr:uid="{00000000-0005-0000-0000-0000FE050000}"/>
    <cellStyle name="??_x000c_&quot;_x001b__x000d__x0015__YTDHST  29" xfId="6479" xr:uid="{00000000-0005-0000-0000-0000FF050000}"/>
    <cellStyle name="??_x000c_&quot;_x001b__x000d__YTDHST  3" xfId="3500" xr:uid="{00000000-0005-0000-0000-000000060000}"/>
    <cellStyle name="??_x000c_&quot;_x001b__x000d__x0015__YTDHST  3" xfId="3499" xr:uid="{00000000-0005-0000-0000-000001060000}"/>
    <cellStyle name="??_x000c_&quot;_x001b__x000d__YTDHST  30" xfId="6380" xr:uid="{00000000-0005-0000-0000-000002060000}"/>
    <cellStyle name="??_x000c_&quot;_x001b__x000d__x0015__YTDHST  30" xfId="6381" xr:uid="{00000000-0005-0000-0000-000003060000}"/>
    <cellStyle name="??_x000c_&quot;_x001b__x000d__YTDHST  31" xfId="6861" xr:uid="{00000000-0005-0000-0000-000004060000}"/>
    <cellStyle name="??_x000c_&quot;_x001b__x000d__x0015__YTDHST  31" xfId="6862" xr:uid="{00000000-0005-0000-0000-000005060000}"/>
    <cellStyle name="??_x000c_&quot;_x001b__x000d__YTDHST  32" xfId="7750" xr:uid="{00000000-0005-0000-0000-000006060000}"/>
    <cellStyle name="??_x000c_&quot;_x001b__x000d__x0015__YTDHST  32" xfId="7751" xr:uid="{00000000-0005-0000-0000-000007060000}"/>
    <cellStyle name="??_x000c_&quot;_x001b__x000d__YTDHST  33" xfId="8026" xr:uid="{00000000-0005-0000-0000-000008060000}"/>
    <cellStyle name="??_x000c_&quot;_x001b__x000d__x0015__YTDHST  33" xfId="8025" xr:uid="{00000000-0005-0000-0000-000009060000}"/>
    <cellStyle name="??_x000c_&quot;_x001b__x000d__YTDHST  34" xfId="7889" xr:uid="{00000000-0005-0000-0000-00000A060000}"/>
    <cellStyle name="??_x000c_&quot;_x001b__x000d__x0015__YTDHST  34" xfId="7890" xr:uid="{00000000-0005-0000-0000-00000B060000}"/>
    <cellStyle name="??_x000c_&quot;_x001b__x000d__YTDHST  35" xfId="9462" xr:uid="{00000000-0005-0000-0000-00000C060000}"/>
    <cellStyle name="??_x000c_&quot;_x001b__x000d__x0015__YTDHST  35" xfId="9448" xr:uid="{00000000-0005-0000-0000-00000D060000}"/>
    <cellStyle name="??_x000c_&quot;_x001b__x000d__YTDHST  36" xfId="9475" xr:uid="{00000000-0005-0000-0000-00000E060000}"/>
    <cellStyle name="??_x000c_&quot;_x001b__x000d__x0015__YTDHST  36" xfId="7801" xr:uid="{00000000-0005-0000-0000-00000F060000}"/>
    <cellStyle name="??_x000c_&quot;_x001b__x000d__YTDHST  37" xfId="7845" xr:uid="{00000000-0005-0000-0000-000010060000}"/>
    <cellStyle name="??_x000c_&quot;_x001b__x000d__x0015__YTDHST  37" xfId="8556" xr:uid="{00000000-0005-0000-0000-000011060000}"/>
    <cellStyle name="??_x000c_&quot;_x001b__x000d__YTDHST  38" xfId="9492" xr:uid="{00000000-0005-0000-0000-000012060000}"/>
    <cellStyle name="??_x000c_&quot;_x001b__x000d__x0015__YTDHST  38" xfId="9494" xr:uid="{00000000-0005-0000-0000-000013060000}"/>
    <cellStyle name="??_x000c_&quot;_x001b__x000d__YTDHST  39" xfId="9543" xr:uid="{00000000-0005-0000-0000-000014060000}"/>
    <cellStyle name="??_x000c_&quot;_x001b__x000d__x0015__YTDHST  39" xfId="9544" xr:uid="{00000000-0005-0000-0000-000015060000}"/>
    <cellStyle name="??_x000c_&quot;_x001b__x000d__YTDHST  4" xfId="3558" xr:uid="{00000000-0005-0000-0000-000016060000}"/>
    <cellStyle name="??_x000c_&quot;_x001b__x000d__x0015__YTDHST  4" xfId="3579" xr:uid="{00000000-0005-0000-0000-000017060000}"/>
    <cellStyle name="??_x000c_&quot;_x001b__x000d__YTDHST  40" xfId="11902" xr:uid="{00000000-0005-0000-0000-000018060000}"/>
    <cellStyle name="??_x000c_&quot;_x001b__x000d__x0015__YTDHST  40" xfId="11903" xr:uid="{00000000-0005-0000-0000-000019060000}"/>
    <cellStyle name="??_x000c_&quot;_x001b__x000d__YTDHST  41" xfId="11904" xr:uid="{00000000-0005-0000-0000-00001A060000}"/>
    <cellStyle name="??_x000c_&quot;_x001b__x000d__x0015__YTDHST  41" xfId="11905" xr:uid="{00000000-0005-0000-0000-00001B060000}"/>
    <cellStyle name="??_x000c_&quot;_x001b__x000d__YTDHST  42" xfId="11906" xr:uid="{00000000-0005-0000-0000-00001C060000}"/>
    <cellStyle name="??_x000c_&quot;_x001b__x000d__x0015__YTDHST  42" xfId="11907" xr:uid="{00000000-0005-0000-0000-00001D060000}"/>
    <cellStyle name="??_x000c_&quot;_x001b__x000d__YTDHST  43" xfId="20757" xr:uid="{00000000-0005-0000-0000-00001E060000}"/>
    <cellStyle name="??_x000c_&quot;_x001b__x000d__x0015__YTDHST  43" xfId="20758" xr:uid="{00000000-0005-0000-0000-00001F060000}"/>
    <cellStyle name="??_x000c_&quot;_x001b__x000d__YTDHST  5" xfId="3344" xr:uid="{00000000-0005-0000-0000-000020060000}"/>
    <cellStyle name="??_x000c_&quot;_x001b__x000d__x0015__YTDHST  5" xfId="3343" xr:uid="{00000000-0005-0000-0000-000021060000}"/>
    <cellStyle name="??_x000c_&quot;_x001b__x000d__YTDHST  6" xfId="3676" xr:uid="{00000000-0005-0000-0000-000022060000}"/>
    <cellStyle name="??_x000c_&quot;_x001b__x000d__x0015__YTDHST  6" xfId="3677" xr:uid="{00000000-0005-0000-0000-000023060000}"/>
    <cellStyle name="??_x000c_&quot;_x001b__x000d__YTDHST  7" xfId="3842" xr:uid="{00000000-0005-0000-0000-000024060000}"/>
    <cellStyle name="??_x000c_&quot;_x001b__x000d__x0015__YTDHST  7" xfId="3841" xr:uid="{00000000-0005-0000-0000-000025060000}"/>
    <cellStyle name="??_x000c_&quot;_x001b__x000d__YTDHST  8" xfId="3924" xr:uid="{00000000-0005-0000-0000-000026060000}"/>
    <cellStyle name="??_x000c_&quot;_x001b__x000d__x0015__YTDHST  8" xfId="3907" xr:uid="{00000000-0005-0000-0000-000027060000}"/>
    <cellStyle name="??_x000c_&quot;_x001b__x000d__YTDHST  9" xfId="3996" xr:uid="{00000000-0005-0000-0000-000028060000}"/>
    <cellStyle name="??_x000c_&quot;_x001b__x000d__x0015__YTDHST  9" xfId="3997" xr:uid="{00000000-0005-0000-0000-000029060000}"/>
    <cellStyle name="??_x000c_&quot;_x001b__x000d__x0015_" xfId="62" xr:uid="{00000000-0005-0000-0000-00002A060000}"/>
    <cellStyle name="??_x000c_&quot;_x001b__x000d__x0015_ 2" xfId="3073" xr:uid="{00000000-0005-0000-0000-00002B060000}"/>
    <cellStyle name="??_x000c_&quot;_x001b__x000d__x0015_U" xfId="63" xr:uid="{00000000-0005-0000-0000-00002C060000}"/>
    <cellStyle name="??_x000c_&quot;_x001b__x000d__x0015_U_x0001_" xfId="64" xr:uid="{00000000-0005-0000-0000-00002D060000}"/>
    <cellStyle name="??_x000c_&quot;_x001b__x000d__x0015_U 10" xfId="4182" xr:uid="{00000000-0005-0000-0000-00002E060000}"/>
    <cellStyle name="??_x000c_&quot;_x001b__x000d__x0015_U_x0001_ 10" xfId="4183" xr:uid="{00000000-0005-0000-0000-00002F060000}"/>
    <cellStyle name="??_x000c_&quot;_x001b__x000d__x0015_U 11" xfId="4944" xr:uid="{00000000-0005-0000-0000-000030060000}"/>
    <cellStyle name="??_x000c_&quot;_x001b__x000d__x0015_U_x0001_ 11" xfId="4943" xr:uid="{00000000-0005-0000-0000-000031060000}"/>
    <cellStyle name="??_x000c_&quot;_x001b__x000d__x0015_U 12" xfId="5160" xr:uid="{00000000-0005-0000-0000-000032060000}"/>
    <cellStyle name="??_x000c_&quot;_x001b__x000d__x0015_U_x0001_ 12" xfId="5050" xr:uid="{00000000-0005-0000-0000-000033060000}"/>
    <cellStyle name="??_x000c_&quot;_x001b__x000d__x0015_U 13" xfId="5348" xr:uid="{00000000-0005-0000-0000-000034060000}"/>
    <cellStyle name="??_x000c_&quot;_x001b__x000d__x0015_U_x0001_ 13" xfId="5347" xr:uid="{00000000-0005-0000-0000-000035060000}"/>
    <cellStyle name="??_x000c_&quot;_x001b__x000d__x0015_U 14" xfId="4457" xr:uid="{00000000-0005-0000-0000-000036060000}"/>
    <cellStyle name="??_x000c_&quot;_x001b__x000d__x0015_U_x0001_ 14" xfId="4458" xr:uid="{00000000-0005-0000-0000-000037060000}"/>
    <cellStyle name="??_x000c_&quot;_x001b__x000d__x0015_U 15" xfId="5286" xr:uid="{00000000-0005-0000-0000-000038060000}"/>
    <cellStyle name="??_x000c_&quot;_x001b__x000d__x0015_U_x0001_ 15" xfId="5331" xr:uid="{00000000-0005-0000-0000-000039060000}"/>
    <cellStyle name="??_x000c_&quot;_x001b__x000d__x0015_U 16" xfId="5940" xr:uid="{00000000-0005-0000-0000-00003A060000}"/>
    <cellStyle name="??_x000c_&quot;_x001b__x000d__x0015_U_x0001_ 16" xfId="5954" xr:uid="{00000000-0005-0000-0000-00003B060000}"/>
    <cellStyle name="??_x000c_&quot;_x001b__x000d__x0015_U 17" xfId="5181" xr:uid="{00000000-0005-0000-0000-00003C060000}"/>
    <cellStyle name="??_x000c_&quot;_x001b__x000d__x0015_U_x0001_ 17" xfId="5890" xr:uid="{00000000-0005-0000-0000-00003D060000}"/>
    <cellStyle name="??_x000c_&quot;_x001b__x000d__x0015_U 18" xfId="4804" xr:uid="{00000000-0005-0000-0000-00003E060000}"/>
    <cellStyle name="??_x000c_&quot;_x001b__x000d__x0015_U_x0001_ 18" xfId="5332" xr:uid="{00000000-0005-0000-0000-00003F060000}"/>
    <cellStyle name="??_x000c_&quot;_x001b__x000d__x0015_U 19" xfId="6000" xr:uid="{00000000-0005-0000-0000-000040060000}"/>
    <cellStyle name="??_x000c_&quot;_x001b__x000d__x0015_U_x0001_ 19" xfId="6108" xr:uid="{00000000-0005-0000-0000-000041060000}"/>
    <cellStyle name="??_x000c_&quot;_x001b__x000d__x0015_U 2" xfId="3074" xr:uid="{00000000-0005-0000-0000-000042060000}"/>
    <cellStyle name="??_x000c_&quot;_x001b__x000d__x0015_U_x0001_ 2" xfId="3075" xr:uid="{00000000-0005-0000-0000-000043060000}"/>
    <cellStyle name="??_x000c_&quot;_x001b__x000d__x0015_U 20" xfId="4238" xr:uid="{00000000-0005-0000-0000-000044060000}"/>
    <cellStyle name="??_x000c_&quot;_x001b__x000d__x0015_U_x0001_ 20" xfId="4597" xr:uid="{00000000-0005-0000-0000-000045060000}"/>
    <cellStyle name="??_x000c_&quot;_x001b__x000d__x0015_U 21" xfId="4285" xr:uid="{00000000-0005-0000-0000-000046060000}"/>
    <cellStyle name="??_x000c_&quot;_x001b__x000d__x0015_U_x0001_ 21" xfId="4247" xr:uid="{00000000-0005-0000-0000-000047060000}"/>
    <cellStyle name="??_x000c_&quot;_x001b__x000d__x0015_U 22" xfId="6041" xr:uid="{00000000-0005-0000-0000-000048060000}"/>
    <cellStyle name="??_x000c_&quot;_x001b__x000d__x0015_U_x0001_ 22" xfId="4499" xr:uid="{00000000-0005-0000-0000-000049060000}"/>
    <cellStyle name="??_x000c_&quot;_x001b__x000d__x0015_U 23" xfId="5029" xr:uid="{00000000-0005-0000-0000-00004A060000}"/>
    <cellStyle name="??_x000c_&quot;_x001b__x000d__x0015_U_x0001_ 23" xfId="5223" xr:uid="{00000000-0005-0000-0000-00004B060000}"/>
    <cellStyle name="??_x000c_&quot;_x001b__x000d__x0015_U 24" xfId="4865" xr:uid="{00000000-0005-0000-0000-00004C060000}"/>
    <cellStyle name="??_x000c_&quot;_x001b__x000d__x0015_U_x0001_ 24" xfId="4273" xr:uid="{00000000-0005-0000-0000-00004D060000}"/>
    <cellStyle name="??_x000c_&quot;_x001b__x000d__x0015_U 25" xfId="5955" xr:uid="{00000000-0005-0000-0000-00004E060000}"/>
    <cellStyle name="??_x000c_&quot;_x001b__x000d__x0015_U_x0001_ 25" xfId="5040" xr:uid="{00000000-0005-0000-0000-00004F060000}"/>
    <cellStyle name="??_x000c_&quot;_x001b__x000d__x0015_U 26" xfId="4976" xr:uid="{00000000-0005-0000-0000-000050060000}"/>
    <cellStyle name="??_x000c_&quot;_x001b__x000d__x0015_U_x0001_ 26" xfId="5866" xr:uid="{00000000-0005-0000-0000-000051060000}"/>
    <cellStyle name="??_x000c_&quot;_x001b__x000d__x0015_U 27" xfId="5572" xr:uid="{00000000-0005-0000-0000-000052060000}"/>
    <cellStyle name="??_x000c_&quot;_x001b__x000d__x0015_U_x0001_ 27" xfId="4983" xr:uid="{00000000-0005-0000-0000-000053060000}"/>
    <cellStyle name="??_x000c_&quot;_x001b__x000d__x0015_U 28" xfId="6289" xr:uid="{00000000-0005-0000-0000-000054060000}"/>
    <cellStyle name="??_x000c_&quot;_x001b__x000d__x0015_U_x0001_ 28" xfId="6290" xr:uid="{00000000-0005-0000-0000-000055060000}"/>
    <cellStyle name="??_x000c_&quot;_x001b__x000d__x0015_U 29" xfId="6478" xr:uid="{00000000-0005-0000-0000-000056060000}"/>
    <cellStyle name="??_x000c_&quot;_x001b__x000d__x0015_U_x0001_ 29" xfId="6477" xr:uid="{00000000-0005-0000-0000-000057060000}"/>
    <cellStyle name="??_x000c_&quot;_x001b__x000d__x0015_U 3" xfId="3498" xr:uid="{00000000-0005-0000-0000-000058060000}"/>
    <cellStyle name="??_x000c_&quot;_x001b__x000d__x0015_U_x0001_ 3" xfId="3497" xr:uid="{00000000-0005-0000-0000-000059060000}"/>
    <cellStyle name="??_x000c_&quot;_x001b__x000d__x0015_U 30" xfId="6382" xr:uid="{00000000-0005-0000-0000-00005A060000}"/>
    <cellStyle name="??_x000c_&quot;_x001b__x000d__x0015_U_x0001_ 30" xfId="6383" xr:uid="{00000000-0005-0000-0000-00005B060000}"/>
    <cellStyle name="??_x000c_&quot;_x001b__x000d__x0015_U 31" xfId="6863" xr:uid="{00000000-0005-0000-0000-00005C060000}"/>
    <cellStyle name="??_x000c_&quot;_x001b__x000d__x0015_U_x0001_ 31" xfId="6864" xr:uid="{00000000-0005-0000-0000-00005D060000}"/>
    <cellStyle name="??_x000c_&quot;_x001b__x000d__x0015_U 32" xfId="7752" xr:uid="{00000000-0005-0000-0000-00005E060000}"/>
    <cellStyle name="??_x000c_&quot;_x001b__x000d__x0015_U_x0001_ 32" xfId="7753" xr:uid="{00000000-0005-0000-0000-00005F060000}"/>
    <cellStyle name="??_x000c_&quot;_x001b__x000d__x0015_U 33" xfId="8024" xr:uid="{00000000-0005-0000-0000-000060060000}"/>
    <cellStyle name="??_x000c_&quot;_x001b__x000d__x0015_U_x0001_ 33" xfId="8023" xr:uid="{00000000-0005-0000-0000-000061060000}"/>
    <cellStyle name="??_x000c_&quot;_x001b__x000d__x0015_U 34" xfId="7891" xr:uid="{00000000-0005-0000-0000-000062060000}"/>
    <cellStyle name="??_x000c_&quot;_x001b__x000d__x0015_U_x0001_ 34" xfId="7892" xr:uid="{00000000-0005-0000-0000-000063060000}"/>
    <cellStyle name="??_x000c_&quot;_x001b__x000d__x0015_U 35" xfId="8680" xr:uid="{00000000-0005-0000-0000-000064060000}"/>
    <cellStyle name="??_x000c_&quot;_x001b__x000d__x0015_U_x0001_ 35" xfId="8346" xr:uid="{00000000-0005-0000-0000-000065060000}"/>
    <cellStyle name="??_x000c_&quot;_x001b__x000d__x0015_U 36" xfId="8319" xr:uid="{00000000-0005-0000-0000-000066060000}"/>
    <cellStyle name="??_x000c_&quot;_x001b__x000d__x0015_U_x0001_ 36" xfId="8297" xr:uid="{00000000-0005-0000-0000-000067060000}"/>
    <cellStyle name="??_x000c_&quot;_x001b__x000d__x0015_U 37" xfId="9393" xr:uid="{00000000-0005-0000-0000-000068060000}"/>
    <cellStyle name="??_x000c_&quot;_x001b__x000d__x0015_U_x0001_ 37" xfId="7853" xr:uid="{00000000-0005-0000-0000-000069060000}"/>
    <cellStyle name="??_x000c_&quot;_x001b__x000d__x0015_U 38" xfId="7803" xr:uid="{00000000-0005-0000-0000-00006A060000}"/>
    <cellStyle name="??_x000c_&quot;_x001b__x000d__x0015_U_x0001_ 38" xfId="7992" xr:uid="{00000000-0005-0000-0000-00006B060000}"/>
    <cellStyle name="??_x000c_&quot;_x001b__x000d__x0015_U 39" xfId="9545" xr:uid="{00000000-0005-0000-0000-00006C060000}"/>
    <cellStyle name="??_x000c_&quot;_x001b__x000d__x0015_U_x0001_ 39" xfId="9546" xr:uid="{00000000-0005-0000-0000-00006D060000}"/>
    <cellStyle name="??_x000c_&quot;_x001b__x000d__x0015_U 4" xfId="3590" xr:uid="{00000000-0005-0000-0000-00006E060000}"/>
    <cellStyle name="??_x000c_&quot;_x001b__x000d__x0015_U_x0001_ 4" xfId="3556" xr:uid="{00000000-0005-0000-0000-00006F060000}"/>
    <cellStyle name="??_x000c_&quot;_x001b__x000d__x0015_U 40" xfId="11908" xr:uid="{00000000-0005-0000-0000-000070060000}"/>
    <cellStyle name="??_x000c_&quot;_x001b__x000d__x0015_U_x0001_ 40" xfId="11909" xr:uid="{00000000-0005-0000-0000-000071060000}"/>
    <cellStyle name="??_x000c_&quot;_x001b__x000d__x0015_U 41" xfId="11910" xr:uid="{00000000-0005-0000-0000-000072060000}"/>
    <cellStyle name="??_x000c_&quot;_x001b__x000d__x0015_U_x0001_ 41" xfId="11911" xr:uid="{00000000-0005-0000-0000-000073060000}"/>
    <cellStyle name="??_x000c_&quot;_x001b__x000d__x0015_U 42" xfId="11912" xr:uid="{00000000-0005-0000-0000-000074060000}"/>
    <cellStyle name="??_x000c_&quot;_x001b__x000d__x0015_U_x0001_ 42" xfId="11913" xr:uid="{00000000-0005-0000-0000-000075060000}"/>
    <cellStyle name="??_x000c_&quot;_x001b__x000d__x0015_U 43" xfId="20759" xr:uid="{00000000-0005-0000-0000-000076060000}"/>
    <cellStyle name="??_x000c_&quot;_x001b__x000d__x0015_U_x0001_ 43" xfId="20760" xr:uid="{00000000-0005-0000-0000-000077060000}"/>
    <cellStyle name="??_x000c_&quot;_x001b__x000d__x0015_U 5" xfId="3342" xr:uid="{00000000-0005-0000-0000-000078060000}"/>
    <cellStyle name="??_x000c_&quot;_x001b__x000d__x0015_U_x0001_ 5" xfId="3341" xr:uid="{00000000-0005-0000-0000-000079060000}"/>
    <cellStyle name="??_x000c_&quot;_x001b__x000d__x0015_U 6" xfId="3678" xr:uid="{00000000-0005-0000-0000-00007A060000}"/>
    <cellStyle name="??_x000c_&quot;_x001b__x000d__x0015_U_x0001_ 6" xfId="3679" xr:uid="{00000000-0005-0000-0000-00007B060000}"/>
    <cellStyle name="??_x000c_&quot;_x001b__x000d__x0015_U 7" xfId="3840" xr:uid="{00000000-0005-0000-0000-00007C060000}"/>
    <cellStyle name="??_x000c_&quot;_x001b__x000d__x0015_U_x0001_ 7" xfId="3839" xr:uid="{00000000-0005-0000-0000-00007D060000}"/>
    <cellStyle name="??_x000c_&quot;_x001b__x000d__x0015_U 8" xfId="3737" xr:uid="{00000000-0005-0000-0000-00007E060000}"/>
    <cellStyle name="??_x000c_&quot;_x001b__x000d__x0015_U_x0001_ 8" xfId="3898" xr:uid="{00000000-0005-0000-0000-00007F060000}"/>
    <cellStyle name="??_x000c_&quot;_x001b__x000d__x0015_U 9" xfId="3998" xr:uid="{00000000-0005-0000-0000-000080060000}"/>
    <cellStyle name="??_x000c_&quot;_x001b__x000d__x0015_U_x0001_ 9" xfId="3999" xr:uid="{00000000-0005-0000-0000-000081060000}"/>
    <cellStyle name="??_x000c_&quot;_x001b__x000d__x0015_U_x0001_?" xfId="65" xr:uid="{00000000-0005-0000-0000-000082060000}"/>
    <cellStyle name="??_x000c_&quot;_x001b__x000d__x0015_U_x0001_? 2" xfId="3076" xr:uid="{00000000-0005-0000-0000-000083060000}"/>
    <cellStyle name="??_x000c_&quot;_x001b__x000d__x0015_U_x0001_??_x0007_" xfId="66" xr:uid="{00000000-0005-0000-0000-000084060000}"/>
    <cellStyle name="??_x000c_&quot;_x001b__x000d__x0015_U_x0001_??_x0007__x0001_" xfId="67" xr:uid="{00000000-0005-0000-0000-000085060000}"/>
    <cellStyle name="??_x000c_&quot;_x001b__x000d__x0015_U_x0001_??_x0007__x0001__x0001_" xfId="68" xr:uid="{00000000-0005-0000-0000-000086060000}"/>
    <cellStyle name="??_x000c_&quot;_x001b__x000d__x0015_U_x0001_??_x0007_ 10" xfId="4184" xr:uid="{00000000-0005-0000-0000-000087060000}"/>
    <cellStyle name="??_x000c_&quot;_x001b__x000d__x0015_U_x0001_??_x0007__x0001_ 10" xfId="4185" xr:uid="{00000000-0005-0000-0000-000088060000}"/>
    <cellStyle name="??_x000c_&quot;_x001b__x000d__x0015_U_x0001_??_x0007__x0001__x0001_ 10" xfId="4186" xr:uid="{00000000-0005-0000-0000-000089060000}"/>
    <cellStyle name="??_x000c_&quot;_x001b__x000d__x0015_U_x0001_??_x0007_ 11" xfId="4942" xr:uid="{00000000-0005-0000-0000-00008A060000}"/>
    <cellStyle name="??_x000c_&quot;_x001b__x000d__x0015_U_x0001_??_x0007__x0001_ 11" xfId="4941" xr:uid="{00000000-0005-0000-0000-00008B060000}"/>
    <cellStyle name="??_x000c_&quot;_x001b__x000d__x0015_U_x0001_??_x0007__x0001__x0001_ 11" xfId="4940" xr:uid="{00000000-0005-0000-0000-00008C060000}"/>
    <cellStyle name="??_x000c_&quot;_x001b__x000d__x0015_U_x0001_??_x0007_ 12" xfId="5079" xr:uid="{00000000-0005-0000-0000-00008D060000}"/>
    <cellStyle name="??_x000c_&quot;_x001b__x000d__x0015_U_x0001_??_x0007__x0001_ 12" xfId="5219" xr:uid="{00000000-0005-0000-0000-00008E060000}"/>
    <cellStyle name="??_x000c_&quot;_x001b__x000d__x0015_U_x0001_??_x0007__x0001__x0001_ 12" xfId="4385" xr:uid="{00000000-0005-0000-0000-00008F060000}"/>
    <cellStyle name="??_x000c_&quot;_x001b__x000d__x0015_U_x0001_??_x0007_ 13" xfId="4717" xr:uid="{00000000-0005-0000-0000-000090060000}"/>
    <cellStyle name="??_x000c_&quot;_x001b__x000d__x0015_U_x0001_??_x0007__x0001_ 13" xfId="4716" xr:uid="{00000000-0005-0000-0000-000091060000}"/>
    <cellStyle name="??_x000c_&quot;_x001b__x000d__x0015_U_x0001_??_x0007__x0001__x0001_ 13" xfId="4715" xr:uid="{00000000-0005-0000-0000-000092060000}"/>
    <cellStyle name="??_x000c_&quot;_x001b__x000d__x0015_U_x0001_??_x0007_ 14" xfId="5391" xr:uid="{00000000-0005-0000-0000-000093060000}"/>
    <cellStyle name="??_x000c_&quot;_x001b__x000d__x0015_U_x0001_??_x0007__x0001_ 14" xfId="4460" xr:uid="{00000000-0005-0000-0000-000094060000}"/>
    <cellStyle name="??_x000c_&quot;_x001b__x000d__x0015_U_x0001_??_x0007__x0001__x0001_ 14" xfId="5428" xr:uid="{00000000-0005-0000-0000-000095060000}"/>
    <cellStyle name="??_x000c_&quot;_x001b__x000d__x0015_U_x0001_??_x0007_ 15" xfId="4236" xr:uid="{00000000-0005-0000-0000-000096060000}"/>
    <cellStyle name="??_x000c_&quot;_x001b__x000d__x0015_U_x0001_??_x0007__x0001_ 15" xfId="5592" xr:uid="{00000000-0005-0000-0000-000097060000}"/>
    <cellStyle name="??_x000c_&quot;_x001b__x000d__x0015_U_x0001_??_x0007__x0001__x0001_ 15" xfId="5542" xr:uid="{00000000-0005-0000-0000-000098060000}"/>
    <cellStyle name="??_x000c_&quot;_x001b__x000d__x0015_U_x0001_??_x0007_ 16" xfId="5251" xr:uid="{00000000-0005-0000-0000-000099060000}"/>
    <cellStyle name="??_x000c_&quot;_x001b__x000d__x0015_U_x0001_??_x0007__x0001_ 16" xfId="5240" xr:uid="{00000000-0005-0000-0000-00009A060000}"/>
    <cellStyle name="??_x000c_&quot;_x001b__x000d__x0015_U_x0001_??_x0007__x0001__x0001_ 16" xfId="5145" xr:uid="{00000000-0005-0000-0000-00009B060000}"/>
    <cellStyle name="??_x000c_&quot;_x001b__x000d__x0015_U_x0001_??_x0007_ 17" xfId="4627" xr:uid="{00000000-0005-0000-0000-00009C060000}"/>
    <cellStyle name="??_x000c_&quot;_x001b__x000d__x0015_U_x0001_??_x0007__x0001_ 17" xfId="5015" xr:uid="{00000000-0005-0000-0000-00009D060000}"/>
    <cellStyle name="??_x000c_&quot;_x001b__x000d__x0015_U_x0001_??_x0007__x0001__x0001_ 17" xfId="5574" xr:uid="{00000000-0005-0000-0000-00009E060000}"/>
    <cellStyle name="??_x000c_&quot;_x001b__x000d__x0015_U_x0001_??_x0007_ 18" xfId="5995" xr:uid="{00000000-0005-0000-0000-00009F060000}"/>
    <cellStyle name="??_x000c_&quot;_x001b__x000d__x0015_U_x0001_??_x0007__x0001_ 18" xfId="5248" xr:uid="{00000000-0005-0000-0000-0000A0060000}"/>
    <cellStyle name="??_x000c_&quot;_x001b__x000d__x0015_U_x0001_??_x0007__x0001__x0001_ 18" xfId="4790" xr:uid="{00000000-0005-0000-0000-0000A1060000}"/>
    <cellStyle name="??_x000c_&quot;_x001b__x000d__x0015_U_x0001_??_x0007_ 19" xfId="6104" xr:uid="{00000000-0005-0000-0000-0000A2060000}"/>
    <cellStyle name="??_x000c_&quot;_x001b__x000d__x0015_U_x0001_??_x0007__x0001_ 19" xfId="4332" xr:uid="{00000000-0005-0000-0000-0000A3060000}"/>
    <cellStyle name="??_x000c_&quot;_x001b__x000d__x0015_U_x0001_??_x0007__x0001__x0001_ 19" xfId="6111" xr:uid="{00000000-0005-0000-0000-0000A4060000}"/>
    <cellStyle name="??_x000c_&quot;_x001b__x000d__x0015_U_x0001_??_x0007_ 2" xfId="3077" xr:uid="{00000000-0005-0000-0000-0000A5060000}"/>
    <cellStyle name="??_x000c_&quot;_x001b__x000d__x0015_U_x0001_??_x0007__x0001_ 2" xfId="3078" xr:uid="{00000000-0005-0000-0000-0000A6060000}"/>
    <cellStyle name="??_x000c_&quot;_x001b__x000d__x0015_U_x0001_??_x0007__x0001__x0001_ 2" xfId="3079" xr:uid="{00000000-0005-0000-0000-0000A7060000}"/>
    <cellStyle name="??_x000c_&quot;_x001b__x000d__x0015_U_x0001_??_x0007_ 20" xfId="5435" xr:uid="{00000000-0005-0000-0000-0000A8060000}"/>
    <cellStyle name="??_x000c_&quot;_x001b__x000d__x0015_U_x0001_??_x0007__x0001_ 20" xfId="5246" xr:uid="{00000000-0005-0000-0000-0000A9060000}"/>
    <cellStyle name="??_x000c_&quot;_x001b__x000d__x0015_U_x0001_??_x0007__x0001__x0001_ 20" xfId="5294" xr:uid="{00000000-0005-0000-0000-0000AA060000}"/>
    <cellStyle name="??_x000c_&quot;_x001b__x000d__x0015_U_x0001_??_x0007_ 21" xfId="4239" xr:uid="{00000000-0005-0000-0000-0000AB060000}"/>
    <cellStyle name="??_x000c_&quot;_x001b__x000d__x0015_U_x0001_??_x0007__x0001_ 21" xfId="5261" xr:uid="{00000000-0005-0000-0000-0000AC060000}"/>
    <cellStyle name="??_x000c_&quot;_x001b__x000d__x0015_U_x0001_??_x0007__x0001__x0001_ 21" xfId="4417" xr:uid="{00000000-0005-0000-0000-0000AD060000}"/>
    <cellStyle name="??_x000c_&quot;_x001b__x000d__x0015_U_x0001_??_x0007_ 22" xfId="5565" xr:uid="{00000000-0005-0000-0000-0000AE060000}"/>
    <cellStyle name="??_x000c_&quot;_x001b__x000d__x0015_U_x0001_??_x0007__x0001_ 22" xfId="5252" xr:uid="{00000000-0005-0000-0000-0000AF060000}"/>
    <cellStyle name="??_x000c_&quot;_x001b__x000d__x0015_U_x0001_??_x0007__x0001__x0001_ 22" xfId="6072" xr:uid="{00000000-0005-0000-0000-0000B0060000}"/>
    <cellStyle name="??_x000c_&quot;_x001b__x000d__x0015_U_x0001_??_x0007_ 23" xfId="4288" xr:uid="{00000000-0005-0000-0000-0000B1060000}"/>
    <cellStyle name="??_x000c_&quot;_x001b__x000d__x0015_U_x0001_??_x0007__x0001_ 23" xfId="5987" xr:uid="{00000000-0005-0000-0000-0000B2060000}"/>
    <cellStyle name="??_x000c_&quot;_x001b__x000d__x0015_U_x0001_??_x0007__x0001__x0001_ 23" xfId="4486" xr:uid="{00000000-0005-0000-0000-0000B3060000}"/>
    <cellStyle name="??_x000c_&quot;_x001b__x000d__x0015_U_x0001_??_x0007_ 24" xfId="6114" xr:uid="{00000000-0005-0000-0000-0000B4060000}"/>
    <cellStyle name="??_x000c_&quot;_x001b__x000d__x0015_U_x0001_??_x0007__x0001_ 24" xfId="5089" xr:uid="{00000000-0005-0000-0000-0000B5060000}"/>
    <cellStyle name="??_x000c_&quot;_x001b__x000d__x0015_U_x0001_??_x0007__x0001__x0001_ 24" xfId="5878" xr:uid="{00000000-0005-0000-0000-0000B6060000}"/>
    <cellStyle name="??_x000c_&quot;_x001b__x000d__x0015_U_x0001_??_x0007_ 25" xfId="4900" xr:uid="{00000000-0005-0000-0000-0000B7060000}"/>
    <cellStyle name="??_x000c_&quot;_x001b__x000d__x0015_U_x0001_??_x0007__x0001_ 25" xfId="5835" xr:uid="{00000000-0005-0000-0000-0000B8060000}"/>
    <cellStyle name="??_x000c_&quot;_x001b__x000d__x0015_U_x0001_??_x0007__x0001__x0001_ 25" xfId="4413" xr:uid="{00000000-0005-0000-0000-0000B9060000}"/>
    <cellStyle name="??_x000c_&quot;_x001b__x000d__x0015_U_x0001_??_x0007_ 26" xfId="4863" xr:uid="{00000000-0005-0000-0000-0000BA060000}"/>
    <cellStyle name="??_x000c_&quot;_x001b__x000d__x0015_U_x0001_??_x0007__x0001_ 26" xfId="5302" xr:uid="{00000000-0005-0000-0000-0000BB060000}"/>
    <cellStyle name="??_x000c_&quot;_x001b__x000d__x0015_U_x0001_??_x0007__x0001__x0001_ 26" xfId="5041" xr:uid="{00000000-0005-0000-0000-0000BC060000}"/>
    <cellStyle name="??_x000c_&quot;_x001b__x000d__x0015_U_x0001_??_x0007_ 27" xfId="5952" xr:uid="{00000000-0005-0000-0000-0000BD060000}"/>
    <cellStyle name="??_x000c_&quot;_x001b__x000d__x0015_U_x0001_??_x0007__x0001_ 27" xfId="5000" xr:uid="{00000000-0005-0000-0000-0000BE060000}"/>
    <cellStyle name="??_x000c_&quot;_x001b__x000d__x0015_U_x0001_??_x0007__x0001__x0001_ 27" xfId="6119" xr:uid="{00000000-0005-0000-0000-0000BF060000}"/>
    <cellStyle name="??_x000c_&quot;_x001b__x000d__x0015_U_x0001_??_x0007_ 28" xfId="6291" xr:uid="{00000000-0005-0000-0000-0000C0060000}"/>
    <cellStyle name="??_x000c_&quot;_x001b__x000d__x0015_U_x0001_??_x0007__x0001_ 28" xfId="6292" xr:uid="{00000000-0005-0000-0000-0000C1060000}"/>
    <cellStyle name="??_x000c_&quot;_x001b__x000d__x0015_U_x0001_??_x0007__x0001__x0001_ 28" xfId="6293" xr:uid="{00000000-0005-0000-0000-0000C2060000}"/>
    <cellStyle name="??_x000c_&quot;_x001b__x000d__x0015_U_x0001_??_x0007_ 29" xfId="6476" xr:uid="{00000000-0005-0000-0000-0000C3060000}"/>
    <cellStyle name="??_x000c_&quot;_x001b__x000d__x0015_U_x0001_??_x0007__x0001_ 29" xfId="6475" xr:uid="{00000000-0005-0000-0000-0000C4060000}"/>
    <cellStyle name="??_x000c_&quot;_x001b__x000d__x0015_U_x0001_??_x0007__x0001__x0001_ 29" xfId="6474" xr:uid="{00000000-0005-0000-0000-0000C5060000}"/>
    <cellStyle name="??_x000c_&quot;_x001b__x000d__x0015_U_x0001_??_x0007_ 3" xfId="3496" xr:uid="{00000000-0005-0000-0000-0000C6060000}"/>
    <cellStyle name="??_x000c_&quot;_x001b__x000d__x0015_U_x0001_??_x0007__x0001_ 3" xfId="3495" xr:uid="{00000000-0005-0000-0000-0000C7060000}"/>
    <cellStyle name="??_x000c_&quot;_x001b__x000d__x0015_U_x0001_??_x0007__x0001__x0001_ 3" xfId="3494" xr:uid="{00000000-0005-0000-0000-0000C8060000}"/>
    <cellStyle name="??_x000c_&quot;_x001b__x000d__x0015_U_x0001_??_x0007_ 30" xfId="6384" xr:uid="{00000000-0005-0000-0000-0000C9060000}"/>
    <cellStyle name="??_x000c_&quot;_x001b__x000d__x0015_U_x0001_??_x0007__x0001_ 30" xfId="6385" xr:uid="{00000000-0005-0000-0000-0000CA060000}"/>
    <cellStyle name="??_x000c_&quot;_x001b__x000d__x0015_U_x0001_??_x0007__x0001__x0001_ 30" xfId="6386" xr:uid="{00000000-0005-0000-0000-0000CB060000}"/>
    <cellStyle name="??_x000c_&quot;_x001b__x000d__x0015_U_x0001_??_x0007_ 31" xfId="6865" xr:uid="{00000000-0005-0000-0000-0000CC060000}"/>
    <cellStyle name="??_x000c_&quot;_x001b__x000d__x0015_U_x0001_??_x0007__x0001_ 31" xfId="6866" xr:uid="{00000000-0005-0000-0000-0000CD060000}"/>
    <cellStyle name="??_x000c_&quot;_x001b__x000d__x0015_U_x0001_??_x0007__x0001__x0001_ 31" xfId="6867" xr:uid="{00000000-0005-0000-0000-0000CE060000}"/>
    <cellStyle name="??_x000c_&quot;_x001b__x000d__x0015_U_x0001_??_x0007_ 32" xfId="7754" xr:uid="{00000000-0005-0000-0000-0000CF060000}"/>
    <cellStyle name="??_x000c_&quot;_x001b__x000d__x0015_U_x0001_??_x0007__x0001_ 32" xfId="7755" xr:uid="{00000000-0005-0000-0000-0000D0060000}"/>
    <cellStyle name="??_x000c_&quot;_x001b__x000d__x0015_U_x0001_??_x0007__x0001__x0001_ 32" xfId="7756" xr:uid="{00000000-0005-0000-0000-0000D1060000}"/>
    <cellStyle name="??_x000c_&quot;_x001b__x000d__x0015_U_x0001_??_x0007_ 33" xfId="8022" xr:uid="{00000000-0005-0000-0000-0000D2060000}"/>
    <cellStyle name="??_x000c_&quot;_x001b__x000d__x0015_U_x0001_??_x0007__x0001_ 33" xfId="8021" xr:uid="{00000000-0005-0000-0000-0000D3060000}"/>
    <cellStyle name="??_x000c_&quot;_x001b__x000d__x0015_U_x0001_??_x0007__x0001__x0001_ 33" xfId="8020" xr:uid="{00000000-0005-0000-0000-0000D4060000}"/>
    <cellStyle name="??_x000c_&quot;_x001b__x000d__x0015_U_x0001_??_x0007_ 34" xfId="7893" xr:uid="{00000000-0005-0000-0000-0000D5060000}"/>
    <cellStyle name="??_x000c_&quot;_x001b__x000d__x0015_U_x0001_??_x0007__x0001_ 34" xfId="7894" xr:uid="{00000000-0005-0000-0000-0000D6060000}"/>
    <cellStyle name="??_x000c_&quot;_x001b__x000d__x0015_U_x0001_??_x0007__x0001__x0001_ 34" xfId="7895" xr:uid="{00000000-0005-0000-0000-0000D7060000}"/>
    <cellStyle name="??_x000c_&quot;_x001b__x000d__x0015_U_x0001_??_x0007_ 35" xfId="8328" xr:uid="{00000000-0005-0000-0000-0000D8060000}"/>
    <cellStyle name="??_x000c_&quot;_x001b__x000d__x0015_U_x0001_??_x0007__x0001_ 35" xfId="8553" xr:uid="{00000000-0005-0000-0000-0000D9060000}"/>
    <cellStyle name="??_x000c_&quot;_x001b__x000d__x0015_U_x0001_??_x0007__x0001__x0001_ 35" xfId="7956" xr:uid="{00000000-0005-0000-0000-0000DA060000}"/>
    <cellStyle name="??_x000c_&quot;_x001b__x000d__x0015_U_x0001_??_x0007_ 36" xfId="8564" xr:uid="{00000000-0005-0000-0000-0000DB060000}"/>
    <cellStyle name="??_x000c_&quot;_x001b__x000d__x0015_U_x0001_??_x0007__x0001_ 36" xfId="8340" xr:uid="{00000000-0005-0000-0000-0000DC060000}"/>
    <cellStyle name="??_x000c_&quot;_x001b__x000d__x0015_U_x0001_??_x0007__x0001__x0001_ 36" xfId="8559" xr:uid="{00000000-0005-0000-0000-0000DD060000}"/>
    <cellStyle name="??_x000c_&quot;_x001b__x000d__x0015_U_x0001_??_x0007_ 37" xfId="7981" xr:uid="{00000000-0005-0000-0000-0000DE060000}"/>
    <cellStyle name="??_x000c_&quot;_x001b__x000d__x0015_U_x0001_??_x0007__x0001_ 37" xfId="7836" xr:uid="{00000000-0005-0000-0000-0000DF060000}"/>
    <cellStyle name="??_x000c_&quot;_x001b__x000d__x0015_U_x0001_??_x0007__x0001__x0001_ 37" xfId="7984" xr:uid="{00000000-0005-0000-0000-0000E0060000}"/>
    <cellStyle name="??_x000c_&quot;_x001b__x000d__x0015_U_x0001_??_x0007_ 38" xfId="9410" xr:uid="{00000000-0005-0000-0000-0000E1060000}"/>
    <cellStyle name="??_x000c_&quot;_x001b__x000d__x0015_U_x0001_??_x0007__x0001_ 38" xfId="8408" xr:uid="{00000000-0005-0000-0000-0000E2060000}"/>
    <cellStyle name="??_x000c_&quot;_x001b__x000d__x0015_U_x0001_??_x0007__x0001__x0001_ 38" xfId="8181" xr:uid="{00000000-0005-0000-0000-0000E3060000}"/>
    <cellStyle name="??_x000c_&quot;_x001b__x000d__x0015_U_x0001_??_x0007_ 39" xfId="9547" xr:uid="{00000000-0005-0000-0000-0000E4060000}"/>
    <cellStyle name="??_x000c_&quot;_x001b__x000d__x0015_U_x0001_??_x0007__x0001_ 39" xfId="9548" xr:uid="{00000000-0005-0000-0000-0000E5060000}"/>
    <cellStyle name="??_x000c_&quot;_x001b__x000d__x0015_U_x0001_??_x0007__x0001__x0001_ 39" xfId="9549" xr:uid="{00000000-0005-0000-0000-0000E6060000}"/>
    <cellStyle name="??_x000c_&quot;_x001b__x000d__x0015_U_x0001_??_x0007_ 4" xfId="3195" xr:uid="{00000000-0005-0000-0000-0000E7060000}"/>
    <cellStyle name="??_x000c_&quot;_x001b__x000d__x0015_U_x0001_??_x0007__x0001_ 4" xfId="3196" xr:uid="{00000000-0005-0000-0000-0000E8060000}"/>
    <cellStyle name="??_x000c_&quot;_x001b__x000d__x0015_U_x0001_??_x0007__x0001__x0001_ 4" xfId="3197" xr:uid="{00000000-0005-0000-0000-0000E9060000}"/>
    <cellStyle name="??_x000c_&quot;_x001b__x000d__x0015_U_x0001_??_x0007_ 40" xfId="11914" xr:uid="{00000000-0005-0000-0000-0000EA060000}"/>
    <cellStyle name="??_x000c_&quot;_x001b__x000d__x0015_U_x0001_??_x0007__x0001_ 40" xfId="11915" xr:uid="{00000000-0005-0000-0000-0000EB060000}"/>
    <cellStyle name="??_x000c_&quot;_x001b__x000d__x0015_U_x0001_??_x0007__x0001__x0001_ 40" xfId="11916" xr:uid="{00000000-0005-0000-0000-0000EC060000}"/>
    <cellStyle name="??_x000c_&quot;_x001b__x000d__x0015_U_x0001_??_x0007_ 41" xfId="11917" xr:uid="{00000000-0005-0000-0000-0000ED060000}"/>
    <cellStyle name="??_x000c_&quot;_x001b__x000d__x0015_U_x0001_??_x0007__x0001_ 41" xfId="11918" xr:uid="{00000000-0005-0000-0000-0000EE060000}"/>
    <cellStyle name="??_x000c_&quot;_x001b__x000d__x0015_U_x0001_??_x0007__x0001__x0001_ 41" xfId="11919" xr:uid="{00000000-0005-0000-0000-0000EF060000}"/>
    <cellStyle name="??_x000c_&quot;_x001b__x000d__x0015_U_x0001_??_x0007_ 42" xfId="11920" xr:uid="{00000000-0005-0000-0000-0000F0060000}"/>
    <cellStyle name="??_x000c_&quot;_x001b__x000d__x0015_U_x0001_??_x0007__x0001_ 42" xfId="11921" xr:uid="{00000000-0005-0000-0000-0000F1060000}"/>
    <cellStyle name="??_x000c_&quot;_x001b__x000d__x0015_U_x0001_??_x0007__x0001__x0001_ 42" xfId="11922" xr:uid="{00000000-0005-0000-0000-0000F2060000}"/>
    <cellStyle name="??_x000c_&quot;_x001b__x000d__x0015_U_x0001_??_x0007_ 43" xfId="20761" xr:uid="{00000000-0005-0000-0000-0000F3060000}"/>
    <cellStyle name="??_x000c_&quot;_x001b__x000d__x0015_U_x0001_??_x0007__x0001_ 43" xfId="20762" xr:uid="{00000000-0005-0000-0000-0000F4060000}"/>
    <cellStyle name="??_x000c_&quot;_x001b__x000d__x0015_U_x0001_??_x0007__x0001__x0001_ 43" xfId="20763" xr:uid="{00000000-0005-0000-0000-0000F5060000}"/>
    <cellStyle name="??_x000c_&quot;_x001b__x000d__x0015_U_x0001_??_x0007_ 5" xfId="3618" xr:uid="{00000000-0005-0000-0000-0000F6060000}"/>
    <cellStyle name="??_x000c_&quot;_x001b__x000d__x0015_U_x0001_??_x0007__x0001_ 5" xfId="3548" xr:uid="{00000000-0005-0000-0000-0000F7060000}"/>
    <cellStyle name="??_x000c_&quot;_x001b__x000d__x0015_U_x0001_??_x0007__x0001__x0001_ 5" xfId="3624" xr:uid="{00000000-0005-0000-0000-0000F8060000}"/>
    <cellStyle name="??_x000c_&quot;_x001b__x000d__x0015_U_x0001_??_x0007_ 6" xfId="3680" xr:uid="{00000000-0005-0000-0000-0000F9060000}"/>
    <cellStyle name="??_x000c_&quot;_x001b__x000d__x0015_U_x0001_??_x0007__x0001_ 6" xfId="3681" xr:uid="{00000000-0005-0000-0000-0000FA060000}"/>
    <cellStyle name="??_x000c_&quot;_x001b__x000d__x0015_U_x0001_??_x0007__x0001__x0001_ 6" xfId="3682" xr:uid="{00000000-0005-0000-0000-0000FB060000}"/>
    <cellStyle name="??_x000c_&quot;_x001b__x000d__x0015_U_x0001_??_x0007_ 7" xfId="3838" xr:uid="{00000000-0005-0000-0000-0000FC060000}"/>
    <cellStyle name="??_x000c_&quot;_x001b__x000d__x0015_U_x0001_??_x0007__x0001_ 7" xfId="3837" xr:uid="{00000000-0005-0000-0000-0000FD060000}"/>
    <cellStyle name="??_x000c_&quot;_x001b__x000d__x0015_U_x0001_??_x0007__x0001__x0001_ 7" xfId="3836" xr:uid="{00000000-0005-0000-0000-0000FE060000}"/>
    <cellStyle name="??_x000c_&quot;_x001b__x000d__x0015_U_x0001_??_x0007_ 8" xfId="3890" xr:uid="{00000000-0005-0000-0000-0000FF060000}"/>
    <cellStyle name="??_x000c_&quot;_x001b__x000d__x0015_U_x0001_??_x0007__x0001_ 8" xfId="3923" xr:uid="{00000000-0005-0000-0000-000000070000}"/>
    <cellStyle name="??_x000c_&quot;_x001b__x000d__x0015_U_x0001_??_x0007__x0001__x0001_ 8" xfId="3908" xr:uid="{00000000-0005-0000-0000-000001070000}"/>
    <cellStyle name="??_x000c_&quot;_x001b__x000d__x0015_U_x0001_??_x0007_ 9" xfId="4000" xr:uid="{00000000-0005-0000-0000-000002070000}"/>
    <cellStyle name="??_x000c_&quot;_x001b__x000d__x0015_U_x0001_??_x0007__x0001_ 9" xfId="4001" xr:uid="{00000000-0005-0000-0000-000003070000}"/>
    <cellStyle name="??_x000c_&quot;_x001b__x000d__x0015_U_x0001_??_x0007__x0001__x0001_ 9" xfId="4002" xr:uid="{00000000-0005-0000-0000-000004070000}"/>
    <cellStyle name="??_x000c_&quot;_x001b__x000d__x0015_U_x0001_??_x0007__138 - OtherReceivableAccount_28022010" xfId="69" xr:uid="{00000000-0005-0000-0000-000005070000}"/>
    <cellStyle name="??_x000c_&quot;_x001b__x000d__x0015_U_x0001_??_x0007__x0001__x0001__138 - OtherReceivableAccount_30112009" xfId="70" xr:uid="{00000000-0005-0000-0000-000006070000}"/>
    <cellStyle name="??_x000c_&quot;_x001b__x000d__x0015_U_x0001_??_x0007__138 - OtherReceivableAccount_30112009_EVALUATION_EX_311208" xfId="71" xr:uid="{00000000-0005-0000-0000-000007070000}"/>
    <cellStyle name="??_x000c_&quot;_x001b__x000d__x0015_U_x0001_??_x0007__x0001__x0001__138 - OtherReceivableAccount_30112009_EVALUATION_EX_311208" xfId="72" xr:uid="{00000000-0005-0000-0000-000008070000}"/>
    <cellStyle name="??_x000c_&quot;_x001b__x000d__x0015_U_x0001_??_x0007__138 - OtherReceivableAccount_30112009_EVALUATION_EX_311208 10" xfId="4187" xr:uid="{00000000-0005-0000-0000-000009070000}"/>
    <cellStyle name="??_x000c_&quot;_x001b__x000d__x0015_U_x0001_??_x0007__x0001__x0001__138 - OtherReceivableAccount_30112009_EVALUATION_EX_311208 10" xfId="4188" xr:uid="{00000000-0005-0000-0000-00000A070000}"/>
    <cellStyle name="??_x000c_&quot;_x001b__x000d__x0015_U_x0001_??_x0007__138 - OtherReceivableAccount_30112009_EVALUATION_EX_311208 11" xfId="4939" xr:uid="{00000000-0005-0000-0000-00000B070000}"/>
    <cellStyle name="??_x000c_&quot;_x001b__x000d__x0015_U_x0001_??_x0007__x0001__x0001__138 - OtherReceivableAccount_30112009_EVALUATION_EX_311208 11" xfId="4938" xr:uid="{00000000-0005-0000-0000-00000C070000}"/>
    <cellStyle name="??_x000c_&quot;_x001b__x000d__x0015_U_x0001_??_x0007__138 - OtherReceivableAccount_30112009_EVALUATION_EX_311208 12" xfId="5060" xr:uid="{00000000-0005-0000-0000-00000D070000}"/>
    <cellStyle name="??_x000c_&quot;_x001b__x000d__x0015_U_x0001_??_x0007__x0001__x0001__138 - OtherReceivableAccount_30112009_EVALUATION_EX_311208 12" xfId="5159" xr:uid="{00000000-0005-0000-0000-00000E070000}"/>
    <cellStyle name="??_x000c_&quot;_x001b__x000d__x0015_U_x0001_??_x0007__138 - OtherReceivableAccount_30112009_EVALUATION_EX_311208 13" xfId="4714" xr:uid="{00000000-0005-0000-0000-00000F070000}"/>
    <cellStyle name="??_x000c_&quot;_x001b__x000d__x0015_U_x0001_??_x0007__x0001__x0001__138 - OtherReceivableAccount_30112009_EVALUATION_EX_311208 13" xfId="4713" xr:uid="{00000000-0005-0000-0000-000010070000}"/>
    <cellStyle name="??_x000c_&quot;_x001b__x000d__x0015_U_x0001_??_x0007__138 - OtherReceivableAccount_30112009_EVALUATION_EX_311208 14" xfId="4461" xr:uid="{00000000-0005-0000-0000-000011070000}"/>
    <cellStyle name="??_x000c_&quot;_x001b__x000d__x0015_U_x0001_??_x0007__x0001__x0001__138 - OtherReceivableAccount_30112009_EVALUATION_EX_311208 14" xfId="5451" xr:uid="{00000000-0005-0000-0000-000012070000}"/>
    <cellStyle name="??_x000c_&quot;_x001b__x000d__x0015_U_x0001_??_x0007__138 - OtherReceivableAccount_30112009_EVALUATION_EX_311208 15" xfId="5493" xr:uid="{00000000-0005-0000-0000-000013070000}"/>
    <cellStyle name="??_x000c_&quot;_x001b__x000d__x0015_U_x0001_??_x0007__x0001__x0001__138 - OtherReceivableAccount_30112009_EVALUATION_EX_311208 15" xfId="5538" xr:uid="{00000000-0005-0000-0000-000014070000}"/>
    <cellStyle name="??_x000c_&quot;_x001b__x000d__x0015_U_x0001_??_x0007__138 - OtherReceivableAccount_30112009_EVALUATION_EX_311208 16" xfId="5139" xr:uid="{00000000-0005-0000-0000-000015070000}"/>
    <cellStyle name="??_x000c_&quot;_x001b__x000d__x0015_U_x0001_??_x0007__x0001__x0001__138 - OtherReceivableAccount_30112009_EVALUATION_EX_311208 16" xfId="5583" xr:uid="{00000000-0005-0000-0000-000016070000}"/>
    <cellStyle name="??_x000c_&quot;_x001b__x000d__x0015_U_x0001_??_x0007__138 - OtherReceivableAccount_30112009_EVALUATION_EX_311208 17" xfId="5178" xr:uid="{00000000-0005-0000-0000-000017070000}"/>
    <cellStyle name="??_x000c_&quot;_x001b__x000d__x0015_U_x0001_??_x0007__x0001__x0001__138 - OtherReceivableAccount_30112009_EVALUATION_EX_311208 17" xfId="5499" xr:uid="{00000000-0005-0000-0000-000018070000}"/>
    <cellStyle name="??_x000c_&quot;_x001b__x000d__x0015_U_x0001_??_x0007__138 - OtherReceivableAccount_30112009_EVALUATION_EX_311208 18" xfId="5660" xr:uid="{00000000-0005-0000-0000-000019070000}"/>
    <cellStyle name="??_x000c_&quot;_x001b__x000d__x0015_U_x0001_??_x0007__x0001__x0001__138 - OtherReceivableAccount_30112009_EVALUATION_EX_311208 18" xfId="5860" xr:uid="{00000000-0005-0000-0000-00001A070000}"/>
    <cellStyle name="??_x000c_&quot;_x001b__x000d__x0015_U_x0001_??_x0007__138 - OtherReceivableAccount_30112009_EVALUATION_EX_311208 19" xfId="5883" xr:uid="{00000000-0005-0000-0000-00001B070000}"/>
    <cellStyle name="??_x000c_&quot;_x001b__x000d__x0015_U_x0001_??_x0007__x0001__x0001__138 - OtherReceivableAccount_30112009_EVALUATION_EX_311208 19" xfId="6116" xr:uid="{00000000-0005-0000-0000-00001C070000}"/>
    <cellStyle name="??_x000c_&quot;_x001b__x000d__x0015_U_x0001_??_x0007__138 - OtherReceivableAccount_30112009_EVALUATION_EX_311208 2" xfId="3080" xr:uid="{00000000-0005-0000-0000-00001D070000}"/>
    <cellStyle name="??_x000c_&quot;_x001b__x000d__x0015_U_x0001_??_x0007__x0001__x0001__138 - OtherReceivableAccount_30112009_EVALUATION_EX_311208 2" xfId="3081" xr:uid="{00000000-0005-0000-0000-00001E070000}"/>
    <cellStyle name="??_x000c_&quot;_x001b__x000d__x0015_U_x0001_??_x0007__138 - OtherReceivableAccount_30112009_EVALUATION_EX_311208 20" xfId="6138" xr:uid="{00000000-0005-0000-0000-00001F070000}"/>
    <cellStyle name="??_x000c_&quot;_x001b__x000d__x0015_U_x0001_??_x0007__x0001__x0001__138 - OtherReceivableAccount_30112009_EVALUATION_EX_311208 20" xfId="6134" xr:uid="{00000000-0005-0000-0000-000020070000}"/>
    <cellStyle name="??_x000c_&quot;_x001b__x000d__x0015_U_x0001_??_x0007__138 - OtherReceivableAccount_30112009_EVALUATION_EX_311208 21" xfId="5260" xr:uid="{00000000-0005-0000-0000-000021070000}"/>
    <cellStyle name="??_x000c_&quot;_x001b__x000d__x0015_U_x0001_??_x0007__x0001__x0001__138 - OtherReceivableAccount_30112009_EVALUATION_EX_311208 21" xfId="4233" xr:uid="{00000000-0005-0000-0000-000022070000}"/>
    <cellStyle name="??_x000c_&quot;_x001b__x000d__x0015_U_x0001_??_x0007__138 - OtherReceivableAccount_30112009_EVALUATION_EX_311208 22" xfId="4595" xr:uid="{00000000-0005-0000-0000-000023070000}"/>
    <cellStyle name="??_x000c_&quot;_x001b__x000d__x0015_U_x0001_??_x0007__x0001__x0001__138 - OtherReceivableAccount_30112009_EVALUATION_EX_311208 22" xfId="6070" xr:uid="{00000000-0005-0000-0000-000024070000}"/>
    <cellStyle name="??_x000c_&quot;_x001b__x000d__x0015_U_x0001_??_x0007__138 - OtherReceivableAccount_30112009_EVALUATION_EX_311208 23" xfId="4984" xr:uid="{00000000-0005-0000-0000-000025070000}"/>
    <cellStyle name="??_x000c_&quot;_x001b__x000d__x0015_U_x0001_??_x0007__x0001__x0001__138 - OtherReceivableAccount_30112009_EVALUATION_EX_311208 23" xfId="5037" xr:uid="{00000000-0005-0000-0000-000026070000}"/>
    <cellStyle name="??_x000c_&quot;_x001b__x000d__x0015_U_x0001_??_x0007__138 - OtherReceivableAccount_30112009_EVALUATION_EX_311208 24" xfId="5197" xr:uid="{00000000-0005-0000-0000-000027070000}"/>
    <cellStyle name="??_x000c_&quot;_x001b__x000d__x0015_U_x0001_??_x0007__x0001__x0001__138 - OtherReceivableAccount_30112009_EVALUATION_EX_311208 24" xfId="4431" xr:uid="{00000000-0005-0000-0000-000028070000}"/>
    <cellStyle name="??_x000c_&quot;_x001b__x000d__x0015_U_x0001_??_x0007__138 - OtherReceivableAccount_30112009_EVALUATION_EX_311208 25" xfId="4515" xr:uid="{00000000-0005-0000-0000-000029070000}"/>
    <cellStyle name="??_x000c_&quot;_x001b__x000d__x0015_U_x0001_??_x0007__x0001__x0001__138 - OtherReceivableAccount_30112009_EVALUATION_EX_311208 25" xfId="5002" xr:uid="{00000000-0005-0000-0000-00002A070000}"/>
    <cellStyle name="??_x000c_&quot;_x001b__x000d__x0015_U_x0001_??_x0007__138 - OtherReceivableAccount_30112009_EVALUATION_EX_311208 26" xfId="4231" xr:uid="{00000000-0005-0000-0000-00002B070000}"/>
    <cellStyle name="??_x000c_&quot;_x001b__x000d__x0015_U_x0001_??_x0007__x0001__x0001__138 - OtherReceivableAccount_30112009_EVALUATION_EX_311208 26" xfId="4853" xr:uid="{00000000-0005-0000-0000-00002C070000}"/>
    <cellStyle name="??_x000c_&quot;_x001b__x000d__x0015_U_x0001_??_x0007__138 - OtherReceivableAccount_30112009_EVALUATION_EX_311208 27" xfId="5831" xr:uid="{00000000-0005-0000-0000-00002D070000}"/>
    <cellStyle name="??_x000c_&quot;_x001b__x000d__x0015_U_x0001_??_x0007__x0001__x0001__138 - OtherReceivableAccount_30112009_EVALUATION_EX_311208 27" xfId="4788" xr:uid="{00000000-0005-0000-0000-00002E070000}"/>
    <cellStyle name="??_x000c_&quot;_x001b__x000d__x0015_U_x0001_??_x0007__138 - OtherReceivableAccount_30112009_EVALUATION_EX_311208 28" xfId="6294" xr:uid="{00000000-0005-0000-0000-00002F070000}"/>
    <cellStyle name="??_x000c_&quot;_x001b__x000d__x0015_U_x0001_??_x0007__x0001__x0001__138 - OtherReceivableAccount_30112009_EVALUATION_EX_311208 28" xfId="6295" xr:uid="{00000000-0005-0000-0000-000030070000}"/>
    <cellStyle name="??_x000c_&quot;_x001b__x000d__x0015_U_x0001_??_x0007__138 - OtherReceivableAccount_30112009_EVALUATION_EX_311208 29" xfId="6473" xr:uid="{00000000-0005-0000-0000-000031070000}"/>
    <cellStyle name="??_x000c_&quot;_x001b__x000d__x0015_U_x0001_??_x0007__x0001__x0001__138 - OtherReceivableAccount_30112009_EVALUATION_EX_311208 29" xfId="6472" xr:uid="{00000000-0005-0000-0000-000032070000}"/>
    <cellStyle name="??_x000c_&quot;_x001b__x000d__x0015_U_x0001_??_x0007__138 - OtherReceivableAccount_30112009_EVALUATION_EX_311208 3" xfId="3493" xr:uid="{00000000-0005-0000-0000-000033070000}"/>
    <cellStyle name="??_x000c_&quot;_x001b__x000d__x0015_U_x0001_??_x0007__x0001__x0001__138 - OtherReceivableAccount_30112009_EVALUATION_EX_311208 3" xfId="3492" xr:uid="{00000000-0005-0000-0000-000034070000}"/>
    <cellStyle name="??_x000c_&quot;_x001b__x000d__x0015_U_x0001_??_x0007__138 - OtherReceivableAccount_30112009_EVALUATION_EX_311208 30" xfId="6387" xr:uid="{00000000-0005-0000-0000-000035070000}"/>
    <cellStyle name="??_x000c_&quot;_x001b__x000d__x0015_U_x0001_??_x0007__x0001__x0001__138 - OtherReceivableAccount_30112009_EVALUATION_EX_311208 30" xfId="6388" xr:uid="{00000000-0005-0000-0000-000036070000}"/>
    <cellStyle name="??_x000c_&quot;_x001b__x000d__x0015_U_x0001_??_x0007__138 - OtherReceivableAccount_30112009_EVALUATION_EX_311208 31" xfId="6868" xr:uid="{00000000-0005-0000-0000-000037070000}"/>
    <cellStyle name="??_x000c_&quot;_x001b__x000d__x0015_U_x0001_??_x0007__x0001__x0001__138 - OtherReceivableAccount_30112009_EVALUATION_EX_311208 31" xfId="6869" xr:uid="{00000000-0005-0000-0000-000038070000}"/>
    <cellStyle name="??_x000c_&quot;_x001b__x000d__x0015_U_x0001_??_x0007__138 - OtherReceivableAccount_30112009_EVALUATION_EX_311208 32" xfId="7757" xr:uid="{00000000-0005-0000-0000-000039070000}"/>
    <cellStyle name="??_x000c_&quot;_x001b__x000d__x0015_U_x0001_??_x0007__x0001__x0001__138 - OtherReceivableAccount_30112009_EVALUATION_EX_311208 32" xfId="7758" xr:uid="{00000000-0005-0000-0000-00003A070000}"/>
    <cellStyle name="??_x000c_&quot;_x001b__x000d__x0015_U_x0001_??_x0007__138 - OtherReceivableAccount_30112009_EVALUATION_EX_311208 33" xfId="8019" xr:uid="{00000000-0005-0000-0000-00003B070000}"/>
    <cellStyle name="??_x000c_&quot;_x001b__x000d__x0015_U_x0001_??_x0007__x0001__x0001__138 - OtherReceivableAccount_30112009_EVALUATION_EX_311208 33" xfId="8018" xr:uid="{00000000-0005-0000-0000-00003C070000}"/>
    <cellStyle name="??_x000c_&quot;_x001b__x000d__x0015_U_x0001_??_x0007__138 - OtherReceivableAccount_30112009_EVALUATION_EX_311208 34" xfId="7896" xr:uid="{00000000-0005-0000-0000-00003D070000}"/>
    <cellStyle name="??_x000c_&quot;_x001b__x000d__x0015_U_x0001_??_x0007__x0001__x0001__138 - OtherReceivableAccount_30112009_EVALUATION_EX_311208 34" xfId="7897" xr:uid="{00000000-0005-0000-0000-00003E070000}"/>
    <cellStyle name="??_x000c_&quot;_x001b__x000d__x0015_U_x0001_??_x0007__138 - OtherReceivableAccount_30112009_EVALUATION_EX_311208 35" xfId="7955" xr:uid="{00000000-0005-0000-0000-00003F070000}"/>
    <cellStyle name="??_x000c_&quot;_x001b__x000d__x0015_U_x0001_??_x0007__x0001__x0001__138 - OtherReceivableAccount_30112009_EVALUATION_EX_311208 35" xfId="7954" xr:uid="{00000000-0005-0000-0000-000040070000}"/>
    <cellStyle name="??_x000c_&quot;_x001b__x000d__x0015_U_x0001_??_x0007__138 - OtherReceivableAccount_30112009_EVALUATION_EX_311208 36" xfId="8357" xr:uid="{00000000-0005-0000-0000-000041070000}"/>
    <cellStyle name="??_x000c_&quot;_x001b__x000d__x0015_U_x0001_??_x0007__x0001__x0001__138 - OtherReceivableAccount_30112009_EVALUATION_EX_311208 36" xfId="8397" xr:uid="{00000000-0005-0000-0000-000042070000}"/>
    <cellStyle name="??_x000c_&quot;_x001b__x000d__x0015_U_x0001_??_x0007__138 - OtherReceivableAccount_30112009_EVALUATION_EX_311208 37" xfId="8067" xr:uid="{00000000-0005-0000-0000-000043070000}"/>
    <cellStyle name="??_x000c_&quot;_x001b__x000d__x0015_U_x0001_??_x0007__x0001__x0001__138 - OtherReceivableAccount_30112009_EVALUATION_EX_311208 37" xfId="9390" xr:uid="{00000000-0005-0000-0000-000044070000}"/>
    <cellStyle name="??_x000c_&quot;_x001b__x000d__x0015_U_x0001_??_x0007__138 - OtherReceivableAccount_30112009_EVALUATION_EX_311208 38" xfId="8084" xr:uid="{00000000-0005-0000-0000-000045070000}"/>
    <cellStyle name="??_x000c_&quot;_x001b__x000d__x0015_U_x0001_??_x0007__x0001__x0001__138 - OtherReceivableAccount_30112009_EVALUATION_EX_311208 38" xfId="9409" xr:uid="{00000000-0005-0000-0000-000046070000}"/>
    <cellStyle name="??_x000c_&quot;_x001b__x000d__x0015_U_x0001_??_x0007__138 - OtherReceivableAccount_30112009_EVALUATION_EX_311208 39" xfId="9550" xr:uid="{00000000-0005-0000-0000-000047070000}"/>
    <cellStyle name="??_x000c_&quot;_x001b__x000d__x0015_U_x0001_??_x0007__x0001__x0001__138 - OtherReceivableAccount_30112009_EVALUATION_EX_311208 39" xfId="9551" xr:uid="{00000000-0005-0000-0000-000048070000}"/>
    <cellStyle name="??_x000c_&quot;_x001b__x000d__x0015_U_x0001_??_x0007__138 - OtherReceivableAccount_30112009_EVALUATION_EX_311208 4" xfId="3549" xr:uid="{00000000-0005-0000-0000-000049070000}"/>
    <cellStyle name="??_x000c_&quot;_x001b__x000d__x0015_U_x0001_??_x0007__x0001__x0001__138 - OtherReceivableAccount_30112009_EVALUATION_EX_311208 4" xfId="3589" xr:uid="{00000000-0005-0000-0000-00004A070000}"/>
    <cellStyle name="??_x000c_&quot;_x001b__x000d__x0015_U_x0001_??_x0007__138 - OtherReceivableAccount_30112009_EVALUATION_EX_311208 40" xfId="11923" xr:uid="{00000000-0005-0000-0000-00004B070000}"/>
    <cellStyle name="??_x000c_&quot;_x001b__x000d__x0015_U_x0001_??_x0007__x0001__x0001__138 - OtherReceivableAccount_30112009_EVALUATION_EX_311208 40" xfId="11924" xr:uid="{00000000-0005-0000-0000-00004C070000}"/>
    <cellStyle name="??_x000c_&quot;_x001b__x000d__x0015_U_x0001_??_x0007__138 - OtherReceivableAccount_30112009_EVALUATION_EX_311208 41" xfId="11925" xr:uid="{00000000-0005-0000-0000-00004D070000}"/>
    <cellStyle name="??_x000c_&quot;_x001b__x000d__x0015_U_x0001_??_x0007__x0001__x0001__138 - OtherReceivableAccount_30112009_EVALUATION_EX_311208 41" xfId="11926" xr:uid="{00000000-0005-0000-0000-00004E070000}"/>
    <cellStyle name="??_x000c_&quot;_x001b__x000d__x0015_U_x0001_??_x0007__138 - OtherReceivableAccount_30112009_EVALUATION_EX_311208 42" xfId="11927" xr:uid="{00000000-0005-0000-0000-00004F070000}"/>
    <cellStyle name="??_x000c_&quot;_x001b__x000d__x0015_U_x0001_??_x0007__x0001__x0001__138 - OtherReceivableAccount_30112009_EVALUATION_EX_311208 42" xfId="11928" xr:uid="{00000000-0005-0000-0000-000050070000}"/>
    <cellStyle name="??_x000c_&quot;_x001b__x000d__x0015_U_x0001_??_x0007__138 - OtherReceivableAccount_30112009_EVALUATION_EX_311208 43" xfId="20764" xr:uid="{00000000-0005-0000-0000-000051070000}"/>
    <cellStyle name="??_x000c_&quot;_x001b__x000d__x0015_U_x0001_??_x0007__x0001__x0001__138 - OtherReceivableAccount_30112009_EVALUATION_EX_311208 43" xfId="20765" xr:uid="{00000000-0005-0000-0000-000052070000}"/>
    <cellStyle name="??_x000c_&quot;_x001b__x000d__x0015_U_x0001_??_x0007__138 - OtherReceivableAccount_30112009_EVALUATION_EX_311208 5" xfId="3340" xr:uid="{00000000-0005-0000-0000-000053070000}"/>
    <cellStyle name="??_x000c_&quot;_x001b__x000d__x0015_U_x0001_??_x0007__x0001__x0001__138 - OtherReceivableAccount_30112009_EVALUATION_EX_311208 5" xfId="3339" xr:uid="{00000000-0005-0000-0000-000054070000}"/>
    <cellStyle name="??_x000c_&quot;_x001b__x000d__x0015_U_x0001_??_x0007__138 - OtherReceivableAccount_30112009_EVALUATION_EX_311208 6" xfId="3683" xr:uid="{00000000-0005-0000-0000-000055070000}"/>
    <cellStyle name="??_x000c_&quot;_x001b__x000d__x0015_U_x0001_??_x0007__x0001__x0001__138 - OtherReceivableAccount_30112009_EVALUATION_EX_311208 6" xfId="3684" xr:uid="{00000000-0005-0000-0000-000056070000}"/>
    <cellStyle name="??_x000c_&quot;_x001b__x000d__x0015_U_x0001_??_x0007__138 - OtherReceivableAccount_30112009_EVALUATION_EX_311208 7" xfId="3835" xr:uid="{00000000-0005-0000-0000-000057070000}"/>
    <cellStyle name="??_x000c_&quot;_x001b__x000d__x0015_U_x0001_??_x0007__x0001__x0001__138 - OtherReceivableAccount_30112009_EVALUATION_EX_311208 7" xfId="3834" xr:uid="{00000000-0005-0000-0000-000058070000}"/>
    <cellStyle name="??_x000c_&quot;_x001b__x000d__x0015_U_x0001_??_x0007__138 - OtherReceivableAccount_30112009_EVALUATION_EX_311208 8" xfId="3738" xr:uid="{00000000-0005-0000-0000-000059070000}"/>
    <cellStyle name="??_x000c_&quot;_x001b__x000d__x0015_U_x0001_??_x0007__x0001__x0001__138 - OtherReceivableAccount_30112009_EVALUATION_EX_311208 8" xfId="3739" xr:uid="{00000000-0005-0000-0000-00005A070000}"/>
    <cellStyle name="??_x000c_&quot;_x001b__x000d__x0015_U_x0001_??_x0007__138 - OtherReceivableAccount_30112009_EVALUATION_EX_311208 9" xfId="4003" xr:uid="{00000000-0005-0000-0000-00005B070000}"/>
    <cellStyle name="??_x000c_&quot;_x001b__x000d__x0015_U_x0001_??_x0007__x0001__x0001__138 - OtherReceivableAccount_30112009_EVALUATION_EX_311208 9" xfId="4004" xr:uid="{00000000-0005-0000-0000-00005C070000}"/>
    <cellStyle name="??_x000c_&quot;_x001b__x000d__x0015_U_x0001_??_x0007__138 - OtherReceivableAccount_31012010" xfId="73" xr:uid="{00000000-0005-0000-0000-00005D070000}"/>
    <cellStyle name="??_x000c_&quot;_x001b__x000d__x0015_U_x0001_??_x0007__x0001__x0001__138 - OtherReceivableAccount_31122009" xfId="74" xr:uid="{00000000-0005-0000-0000-00005E070000}"/>
    <cellStyle name="??_x000c_&quot;_x001b__x000d__x0015_U_x0001_??_x0007__138 - OtherReceivableAccount_31122009_EVALUATION_EX_311208" xfId="75" xr:uid="{00000000-0005-0000-0000-00005F070000}"/>
    <cellStyle name="??_x000c_&quot;_x001b__x000d__x0015_U_x0001_??_x0007__x0001__x0001__138 - OtherReceivableAccount_31122009_EVALUATION_EX_311208" xfId="76" xr:uid="{00000000-0005-0000-0000-000060070000}"/>
    <cellStyle name="??_x000c_&quot;_x001b__x000d__x0015_U_x0001_??_x0007__138 - OtherReceivableAccount_31122009_EVALUATION_EX_311208 10" xfId="4189" xr:uid="{00000000-0005-0000-0000-000061070000}"/>
    <cellStyle name="??_x000c_&quot;_x001b__x000d__x0015_U_x0001_??_x0007__x0001__x0001__138 - OtherReceivableAccount_31122009_EVALUATION_EX_311208 10" xfId="4190" xr:uid="{00000000-0005-0000-0000-000062070000}"/>
    <cellStyle name="??_x000c_&quot;_x001b__x000d__x0015_U_x0001_??_x0007__138 - OtherReceivableAccount_31122009_EVALUATION_EX_311208 11" xfId="4936" xr:uid="{00000000-0005-0000-0000-000063070000}"/>
    <cellStyle name="??_x000c_&quot;_x001b__x000d__x0015_U_x0001_??_x0007__x0001__x0001__138 - OtherReceivableAccount_31122009_EVALUATION_EX_311208 11" xfId="4935" xr:uid="{00000000-0005-0000-0000-000064070000}"/>
    <cellStyle name="??_x000c_&quot;_x001b__x000d__x0015_U_x0001_??_x0007__138 - OtherReceivableAccount_31122009_EVALUATION_EX_311208 12" xfId="5080" xr:uid="{00000000-0005-0000-0000-000065070000}"/>
    <cellStyle name="??_x000c_&quot;_x001b__x000d__x0015_U_x0001_??_x0007__x0001__x0001__138 - OtherReceivableAccount_31122009_EVALUATION_EX_311208 12" xfId="5196" xr:uid="{00000000-0005-0000-0000-000066070000}"/>
    <cellStyle name="??_x000c_&quot;_x001b__x000d__x0015_U_x0001_??_x0007__138 - OtherReceivableAccount_31122009_EVALUATION_EX_311208 13" xfId="4712" xr:uid="{00000000-0005-0000-0000-000067070000}"/>
    <cellStyle name="??_x000c_&quot;_x001b__x000d__x0015_U_x0001_??_x0007__x0001__x0001__138 - OtherReceivableAccount_31122009_EVALUATION_EX_311208 13" xfId="4711" xr:uid="{00000000-0005-0000-0000-000068070000}"/>
    <cellStyle name="??_x000c_&quot;_x001b__x000d__x0015_U_x0001_??_x0007__138 - OtherReceivableAccount_31122009_EVALUATION_EX_311208 14" xfId="4462" xr:uid="{00000000-0005-0000-0000-000069070000}"/>
    <cellStyle name="??_x000c_&quot;_x001b__x000d__x0015_U_x0001_??_x0007__x0001__x0001__138 - OtherReceivableAccount_31122009_EVALUATION_EX_311208 14" xfId="4463" xr:uid="{00000000-0005-0000-0000-00006A070000}"/>
    <cellStyle name="??_x000c_&quot;_x001b__x000d__x0015_U_x0001_??_x0007__138 - OtherReceivableAccount_31122009_EVALUATION_EX_311208 15" xfId="5330" xr:uid="{00000000-0005-0000-0000-00006B070000}"/>
    <cellStyle name="??_x000c_&quot;_x001b__x000d__x0015_U_x0001_??_x0007__x0001__x0001__138 - OtherReceivableAccount_31122009_EVALUATION_EX_311208 15" xfId="5326" xr:uid="{00000000-0005-0000-0000-00006C070000}"/>
    <cellStyle name="??_x000c_&quot;_x001b__x000d__x0015_U_x0001_??_x0007__138 - OtherReceivableAccount_31122009_EVALUATION_EX_311208 16" xfId="5462" xr:uid="{00000000-0005-0000-0000-00006D070000}"/>
    <cellStyle name="??_x000c_&quot;_x001b__x000d__x0015_U_x0001_??_x0007__x0001__x0001__138 - OtherReceivableAccount_31122009_EVALUATION_EX_311208 16" xfId="5581" xr:uid="{00000000-0005-0000-0000-00006E070000}"/>
    <cellStyle name="??_x000c_&quot;_x001b__x000d__x0015_U_x0001_??_x0007__138 - OtherReceivableAccount_31122009_EVALUATION_EX_311208 17" xfId="5019" xr:uid="{00000000-0005-0000-0000-00006F070000}"/>
    <cellStyle name="??_x000c_&quot;_x001b__x000d__x0015_U_x0001_??_x0007__x0001__x0001__138 - OtherReceivableAccount_31122009_EVALUATION_EX_311208 17" xfId="5473" xr:uid="{00000000-0005-0000-0000-000070070000}"/>
    <cellStyle name="??_x000c_&quot;_x001b__x000d__x0015_U_x0001_??_x0007__138 - OtherReceivableAccount_31122009_EVALUATION_EX_311208 18" xfId="4847" xr:uid="{00000000-0005-0000-0000-000071070000}"/>
    <cellStyle name="??_x000c_&quot;_x001b__x000d__x0015_U_x0001_??_x0007__x0001__x0001__138 - OtherReceivableAccount_31122009_EVALUATION_EX_311208 18" xfId="4341" xr:uid="{00000000-0005-0000-0000-000072070000}"/>
    <cellStyle name="??_x000c_&quot;_x001b__x000d__x0015_U_x0001_??_x0007__138 - OtherReceivableAccount_31122009_EVALUATION_EX_311208 19" xfId="4414" xr:uid="{00000000-0005-0000-0000-000073070000}"/>
    <cellStyle name="??_x000c_&quot;_x001b__x000d__x0015_U_x0001_??_x0007__x0001__x0001__138 - OtherReceivableAccount_31122009_EVALUATION_EX_311208 19" xfId="5165" xr:uid="{00000000-0005-0000-0000-000074070000}"/>
    <cellStyle name="??_x000c_&quot;_x001b__x000d__x0015_U_x0001_??_x0007__138 - OtherReceivableAccount_31122009_EVALUATION_EX_311208 2" xfId="3082" xr:uid="{00000000-0005-0000-0000-000075070000}"/>
    <cellStyle name="??_x000c_&quot;_x001b__x000d__x0015_U_x0001_??_x0007__x0001__x0001__138 - OtherReceivableAccount_31122009_EVALUATION_EX_311208 2" xfId="3083" xr:uid="{00000000-0005-0000-0000-000076070000}"/>
    <cellStyle name="??_x000c_&quot;_x001b__x000d__x0015_U_x0001_??_x0007__138 - OtherReceivableAccount_31122009_EVALUATION_EX_311208 20" xfId="6142" xr:uid="{00000000-0005-0000-0000-000077070000}"/>
    <cellStyle name="??_x000c_&quot;_x001b__x000d__x0015_U_x0001_??_x0007__x0001__x0001__138 - OtherReceivableAccount_31122009_EVALUATION_EX_311208 20" xfId="4905" xr:uid="{00000000-0005-0000-0000-000078070000}"/>
    <cellStyle name="??_x000c_&quot;_x001b__x000d__x0015_U_x0001_??_x0007__138 - OtherReceivableAccount_31122009_EVALUATION_EX_311208 21" xfId="4422" xr:uid="{00000000-0005-0000-0000-000079070000}"/>
    <cellStyle name="??_x000c_&quot;_x001b__x000d__x0015_U_x0001_??_x0007__x0001__x0001__138 - OtherReceivableAccount_31122009_EVALUATION_EX_311208 21" xfId="5889" xr:uid="{00000000-0005-0000-0000-00007A070000}"/>
    <cellStyle name="??_x000c_&quot;_x001b__x000d__x0015_U_x0001_??_x0007__138 - OtherReceivableAccount_31122009_EVALUATION_EX_311208 22" xfId="5504" xr:uid="{00000000-0005-0000-0000-00007B070000}"/>
    <cellStyle name="??_x000c_&quot;_x001b__x000d__x0015_U_x0001_??_x0007__x0001__x0001__138 - OtherReceivableAccount_31122009_EVALUATION_EX_311208 22" xfId="5974" xr:uid="{00000000-0005-0000-0000-00007C070000}"/>
    <cellStyle name="??_x000c_&quot;_x001b__x000d__x0015_U_x0001_??_x0007__138 - OtherReceivableAccount_31122009_EVALUATION_EX_311208 23" xfId="4339" xr:uid="{00000000-0005-0000-0000-00007D070000}"/>
    <cellStyle name="??_x000c_&quot;_x001b__x000d__x0015_U_x0001_??_x0007__x0001__x0001__138 - OtherReceivableAccount_31122009_EVALUATION_EX_311208 23" xfId="6077" xr:uid="{00000000-0005-0000-0000-00007E070000}"/>
    <cellStyle name="??_x000c_&quot;_x001b__x000d__x0015_U_x0001_??_x0007__138 - OtherReceivableAccount_31122009_EVALUATION_EX_311208 24" xfId="5033" xr:uid="{00000000-0005-0000-0000-00007F070000}"/>
    <cellStyle name="??_x000c_&quot;_x001b__x000d__x0015_U_x0001_??_x0007__x0001__x0001__138 - OtherReceivableAccount_31122009_EVALUATION_EX_311208 24" xfId="4309" xr:uid="{00000000-0005-0000-0000-000080070000}"/>
    <cellStyle name="??_x000c_&quot;_x001b__x000d__x0015_U_x0001_??_x0007__138 - OtherReceivableAccount_31122009_EVALUATION_EX_311208 25" xfId="5166" xr:uid="{00000000-0005-0000-0000-000081070000}"/>
    <cellStyle name="??_x000c_&quot;_x001b__x000d__x0015_U_x0001_??_x0007__x0001__x0001__138 - OtherReceivableAccount_31122009_EVALUATION_EX_311208 25" xfId="6081" xr:uid="{00000000-0005-0000-0000-000082070000}"/>
    <cellStyle name="??_x000c_&quot;_x001b__x000d__x0015_U_x0001_??_x0007__138 - OtherReceivableAccount_31122009_EVALUATION_EX_311208 26" xfId="4674" xr:uid="{00000000-0005-0000-0000-000083070000}"/>
    <cellStyle name="??_x000c_&quot;_x001b__x000d__x0015_U_x0001_??_x0007__x0001__x0001__138 - OtherReceivableAccount_31122009_EVALUATION_EX_311208 26" xfId="5567" xr:uid="{00000000-0005-0000-0000-000084070000}"/>
    <cellStyle name="??_x000c_&quot;_x001b__x000d__x0015_U_x0001_??_x0007__138 - OtherReceivableAccount_31122009_EVALUATION_EX_311208 27" xfId="6045" xr:uid="{00000000-0005-0000-0000-000085070000}"/>
    <cellStyle name="??_x000c_&quot;_x001b__x000d__x0015_U_x0001_??_x0007__x0001__x0001__138 - OtherReceivableAccount_31122009_EVALUATION_EX_311208 27" xfId="6097" xr:uid="{00000000-0005-0000-0000-000086070000}"/>
    <cellStyle name="??_x000c_&quot;_x001b__x000d__x0015_U_x0001_??_x0007__138 - OtherReceivableAccount_31122009_EVALUATION_EX_311208 28" xfId="6296" xr:uid="{00000000-0005-0000-0000-000087070000}"/>
    <cellStyle name="??_x000c_&quot;_x001b__x000d__x0015_U_x0001_??_x0007__x0001__x0001__138 - OtherReceivableAccount_31122009_EVALUATION_EX_311208 28" xfId="6297" xr:uid="{00000000-0005-0000-0000-000088070000}"/>
    <cellStyle name="??_x000c_&quot;_x001b__x000d__x0015_U_x0001_??_x0007__138 - OtherReceivableAccount_31122009_EVALUATION_EX_311208 29" xfId="6471" xr:uid="{00000000-0005-0000-0000-000089070000}"/>
    <cellStyle name="??_x000c_&quot;_x001b__x000d__x0015_U_x0001_??_x0007__x0001__x0001__138 - OtherReceivableAccount_31122009_EVALUATION_EX_311208 29" xfId="6470" xr:uid="{00000000-0005-0000-0000-00008A070000}"/>
    <cellStyle name="??_x000c_&quot;_x001b__x000d__x0015_U_x0001_??_x0007__138 - OtherReceivableAccount_31122009_EVALUATION_EX_311208 3" xfId="3491" xr:uid="{00000000-0005-0000-0000-00008B070000}"/>
    <cellStyle name="??_x000c_&quot;_x001b__x000d__x0015_U_x0001_??_x0007__x0001__x0001__138 - OtherReceivableAccount_31122009_EVALUATION_EX_311208 3" xfId="3479" xr:uid="{00000000-0005-0000-0000-00008C070000}"/>
    <cellStyle name="??_x000c_&quot;_x001b__x000d__x0015_U_x0001_??_x0007__138 - OtherReceivableAccount_31122009_EVALUATION_EX_311208 30" xfId="6389" xr:uid="{00000000-0005-0000-0000-00008D070000}"/>
    <cellStyle name="??_x000c_&quot;_x001b__x000d__x0015_U_x0001_??_x0007__x0001__x0001__138 - OtherReceivableAccount_31122009_EVALUATION_EX_311208 30" xfId="6390" xr:uid="{00000000-0005-0000-0000-00008E070000}"/>
    <cellStyle name="??_x000c_&quot;_x001b__x000d__x0015_U_x0001_??_x0007__138 - OtherReceivableAccount_31122009_EVALUATION_EX_311208 31" xfId="6870" xr:uid="{00000000-0005-0000-0000-00008F070000}"/>
    <cellStyle name="??_x000c_&quot;_x001b__x000d__x0015_U_x0001_??_x0007__x0001__x0001__138 - OtherReceivableAccount_31122009_EVALUATION_EX_311208 31" xfId="6871" xr:uid="{00000000-0005-0000-0000-000090070000}"/>
    <cellStyle name="??_x000c_&quot;_x001b__x000d__x0015_U_x0001_??_x0007__138 - OtherReceivableAccount_31122009_EVALUATION_EX_311208 32" xfId="7759" xr:uid="{00000000-0005-0000-0000-000091070000}"/>
    <cellStyle name="??_x000c_&quot;_x001b__x000d__x0015_U_x0001_??_x0007__x0001__x0001__138 - OtherReceivableAccount_31122009_EVALUATION_EX_311208 32" xfId="7760" xr:uid="{00000000-0005-0000-0000-000092070000}"/>
    <cellStyle name="??_x000c_&quot;_x001b__x000d__x0015_U_x0001_??_x0007__138 - OtherReceivableAccount_31122009_EVALUATION_EX_311208 33" xfId="8017" xr:uid="{00000000-0005-0000-0000-000093070000}"/>
    <cellStyle name="??_x000c_&quot;_x001b__x000d__x0015_U_x0001_??_x0007__x0001__x0001__138 - OtherReceivableAccount_31122009_EVALUATION_EX_311208 33" xfId="8016" xr:uid="{00000000-0005-0000-0000-000094070000}"/>
    <cellStyle name="??_x000c_&quot;_x001b__x000d__x0015_U_x0001_??_x0007__138 - OtherReceivableAccount_31122009_EVALUATION_EX_311208 34" xfId="7898" xr:uid="{00000000-0005-0000-0000-000095070000}"/>
    <cellStyle name="??_x000c_&quot;_x001b__x000d__x0015_U_x0001_??_x0007__x0001__x0001__138 - OtherReceivableAccount_31122009_EVALUATION_EX_311208 34" xfId="7899" xr:uid="{00000000-0005-0000-0000-000096070000}"/>
    <cellStyle name="??_x000c_&quot;_x001b__x000d__x0015_U_x0001_??_x0007__138 - OtherReceivableAccount_31122009_EVALUATION_EX_311208 35" xfId="7953" xr:uid="{00000000-0005-0000-0000-000097070000}"/>
    <cellStyle name="??_x000c_&quot;_x001b__x000d__x0015_U_x0001_??_x0007__x0001__x0001__138 - OtherReceivableAccount_31122009_EVALUATION_EX_311208 35" xfId="7952" xr:uid="{00000000-0005-0000-0000-000098070000}"/>
    <cellStyle name="??_x000c_&quot;_x001b__x000d__x0015_U_x0001_??_x0007__138 - OtherReceivableAccount_31122009_EVALUATION_EX_311208 36" xfId="8565" xr:uid="{00000000-0005-0000-0000-000099070000}"/>
    <cellStyle name="??_x000c_&quot;_x001b__x000d__x0015_U_x0001_??_x0007__x0001__x0001__138 - OtherReceivableAccount_31122009_EVALUATION_EX_311208 36" xfId="8183" xr:uid="{00000000-0005-0000-0000-00009A070000}"/>
    <cellStyle name="??_x000c_&quot;_x001b__x000d__x0015_U_x0001_??_x0007__138 - OtherReceivableAccount_31122009_EVALUATION_EX_311208 37" xfId="8098" xr:uid="{00000000-0005-0000-0000-00009B070000}"/>
    <cellStyle name="??_x000c_&quot;_x001b__x000d__x0015_U_x0001_??_x0007__x0001__x0001__138 - OtherReceivableAccount_31122009_EVALUATION_EX_311208 37" xfId="8091" xr:uid="{00000000-0005-0000-0000-00009C070000}"/>
    <cellStyle name="??_x000c_&quot;_x001b__x000d__x0015_U_x0001_??_x0007__138 - OtherReceivableAccount_31122009_EVALUATION_EX_311208 38" xfId="8318" xr:uid="{00000000-0005-0000-0000-00009D070000}"/>
    <cellStyle name="??_x000c_&quot;_x001b__x000d__x0015_U_x0001_??_x0007__x0001__x0001__138 - OtherReceivableAccount_31122009_EVALUATION_EX_311208 38" xfId="7969" xr:uid="{00000000-0005-0000-0000-00009E070000}"/>
    <cellStyle name="??_x000c_&quot;_x001b__x000d__x0015_U_x0001_??_x0007__138 - OtherReceivableAccount_31122009_EVALUATION_EX_311208 39" xfId="9552" xr:uid="{00000000-0005-0000-0000-00009F070000}"/>
    <cellStyle name="??_x000c_&quot;_x001b__x000d__x0015_U_x0001_??_x0007__x0001__x0001__138 - OtherReceivableAccount_31122009_EVALUATION_EX_311208 39" xfId="9553" xr:uid="{00000000-0005-0000-0000-0000A0070000}"/>
    <cellStyle name="??_x000c_&quot;_x001b__x000d__x0015_U_x0001_??_x0007__138 - OtherReceivableAccount_31122009_EVALUATION_EX_311208 4" xfId="3198" xr:uid="{00000000-0005-0000-0000-0000A1070000}"/>
    <cellStyle name="??_x000c_&quot;_x001b__x000d__x0015_U_x0001_??_x0007__x0001__x0001__138 - OtherReceivableAccount_31122009_EVALUATION_EX_311208 4" xfId="3559" xr:uid="{00000000-0005-0000-0000-0000A2070000}"/>
    <cellStyle name="??_x000c_&quot;_x001b__x000d__x0015_U_x0001_??_x0007__138 - OtherReceivableAccount_31122009_EVALUATION_EX_311208 40" xfId="11929" xr:uid="{00000000-0005-0000-0000-0000A3070000}"/>
    <cellStyle name="??_x000c_&quot;_x001b__x000d__x0015_U_x0001_??_x0007__x0001__x0001__138 - OtherReceivableAccount_31122009_EVALUATION_EX_311208 40" xfId="11930" xr:uid="{00000000-0005-0000-0000-0000A4070000}"/>
    <cellStyle name="??_x000c_&quot;_x001b__x000d__x0015_U_x0001_??_x0007__138 - OtherReceivableAccount_31122009_EVALUATION_EX_311208 41" xfId="11931" xr:uid="{00000000-0005-0000-0000-0000A5070000}"/>
    <cellStyle name="??_x000c_&quot;_x001b__x000d__x0015_U_x0001_??_x0007__x0001__x0001__138 - OtherReceivableAccount_31122009_EVALUATION_EX_311208 41" xfId="11932" xr:uid="{00000000-0005-0000-0000-0000A6070000}"/>
    <cellStyle name="??_x000c_&quot;_x001b__x000d__x0015_U_x0001_??_x0007__138 - OtherReceivableAccount_31122009_EVALUATION_EX_311208 42" xfId="11933" xr:uid="{00000000-0005-0000-0000-0000A7070000}"/>
    <cellStyle name="??_x000c_&quot;_x001b__x000d__x0015_U_x0001_??_x0007__x0001__x0001__138 - OtherReceivableAccount_31122009_EVALUATION_EX_311208 42" xfId="11934" xr:uid="{00000000-0005-0000-0000-0000A8070000}"/>
    <cellStyle name="??_x000c_&quot;_x001b__x000d__x0015_U_x0001_??_x0007__138 - OtherReceivableAccount_31122009_EVALUATION_EX_311208 43" xfId="20766" xr:uid="{00000000-0005-0000-0000-0000A9070000}"/>
    <cellStyle name="??_x000c_&quot;_x001b__x000d__x0015_U_x0001_??_x0007__x0001__x0001__138 - OtherReceivableAccount_31122009_EVALUATION_EX_311208 43" xfId="20767" xr:uid="{00000000-0005-0000-0000-0000AA070000}"/>
    <cellStyle name="??_x000c_&quot;_x001b__x000d__x0015_U_x0001_??_x0007__138 - OtherReceivableAccount_31122009_EVALUATION_EX_311208 5" xfId="3617" xr:uid="{00000000-0005-0000-0000-0000AB070000}"/>
    <cellStyle name="??_x000c_&quot;_x001b__x000d__x0015_U_x0001_??_x0007__x0001__x0001__138 - OtherReceivableAccount_31122009_EVALUATION_EX_311208 5" xfId="3583" xr:uid="{00000000-0005-0000-0000-0000AC070000}"/>
    <cellStyle name="??_x000c_&quot;_x001b__x000d__x0015_U_x0001_??_x0007__138 - OtherReceivableAccount_31122009_EVALUATION_EX_311208 6" xfId="3685" xr:uid="{00000000-0005-0000-0000-0000AD070000}"/>
    <cellStyle name="??_x000c_&quot;_x001b__x000d__x0015_U_x0001_??_x0007__x0001__x0001__138 - OtherReceivableAccount_31122009_EVALUATION_EX_311208 6" xfId="3686" xr:uid="{00000000-0005-0000-0000-0000AE070000}"/>
    <cellStyle name="??_x000c_&quot;_x001b__x000d__x0015_U_x0001_??_x0007__138 - OtherReceivableAccount_31122009_EVALUATION_EX_311208 7" xfId="3833" xr:uid="{00000000-0005-0000-0000-0000AF070000}"/>
    <cellStyle name="??_x000c_&quot;_x001b__x000d__x0015_U_x0001_??_x0007__x0001__x0001__138 - OtherReceivableAccount_31122009_EVALUATION_EX_311208 7" xfId="3832" xr:uid="{00000000-0005-0000-0000-0000B0070000}"/>
    <cellStyle name="??_x000c_&quot;_x001b__x000d__x0015_U_x0001_??_x0007__138 - OtherReceivableAccount_31122009_EVALUATION_EX_311208 8" xfId="3891" xr:uid="{00000000-0005-0000-0000-0000B1070000}"/>
    <cellStyle name="??_x000c_&quot;_x001b__x000d__x0015_U_x0001_??_x0007__x0001__x0001__138 - OtherReceivableAccount_31122009_EVALUATION_EX_311208 8" xfId="3922" xr:uid="{00000000-0005-0000-0000-0000B2070000}"/>
    <cellStyle name="??_x000c_&quot;_x001b__x000d__x0015_U_x0001_??_x0007__138 - OtherReceivableAccount_31122009_EVALUATION_EX_311208 9" xfId="4005" xr:uid="{00000000-0005-0000-0000-0000B3070000}"/>
    <cellStyle name="??_x000c_&quot;_x001b__x000d__x0015_U_x0001_??_x0007__x0001__x0001__138 - OtherReceivableAccount_31122009_EVALUATION_EX_311208 9" xfId="4006" xr:uid="{00000000-0005-0000-0000-0000B4070000}"/>
    <cellStyle name="??_x000c_&quot;_x001b__x000d__x0015_U_x0001_??_x0007__x0001__2011-06-08 판매 가능 수량" xfId="77" xr:uid="{00000000-0005-0000-0000-0000B5070000}"/>
    <cellStyle name="??_x000c_&quot;_x001b__x000d__x0015_U_x0001_??_x0007__x0001__x0001__Copy of SUM LIST OTHER BUYER SELL OFF  2011-11-10" xfId="78" xr:uid="{00000000-0005-0000-0000-0000B6070000}"/>
    <cellStyle name="??_x000c_&quot;_x001b__x000d__x0015_U_x0001_??_x0007__EVALUATION_EX_311208" xfId="79" xr:uid="{00000000-0005-0000-0000-0000B7070000}"/>
    <cellStyle name="??_x000c_&quot;_x001b__x000d__x0015_U_x0001_??_x0007__x0001__x0001__EVALUATION_EX_311208" xfId="80" xr:uid="{00000000-0005-0000-0000-0000B8070000}"/>
    <cellStyle name="??_x000c_&quot;_x001b__x000d__x0015_U_x0001_??_x0007__EVALUATION_EX_311208 10" xfId="4191" xr:uid="{00000000-0005-0000-0000-0000B9070000}"/>
    <cellStyle name="??_x000c_&quot;_x001b__x000d__x0015_U_x0001_??_x0007__x0001__x0001__EVALUATION_EX_311208 10" xfId="4192" xr:uid="{00000000-0005-0000-0000-0000BA070000}"/>
    <cellStyle name="??_x000c_&quot;_x001b__x000d__x0015_U_x0001_??_x0007__EVALUATION_EX_311208 11" xfId="4934" xr:uid="{00000000-0005-0000-0000-0000BB070000}"/>
    <cellStyle name="??_x000c_&quot;_x001b__x000d__x0015_U_x0001_??_x0007__x0001__x0001__EVALUATION_EX_311208 11" xfId="5406" xr:uid="{00000000-0005-0000-0000-0000BC070000}"/>
    <cellStyle name="??_x000c_&quot;_x001b__x000d__x0015_U_x0001_??_x0007__EVALUATION_EX_311208 12" xfId="5158" xr:uid="{00000000-0005-0000-0000-0000BD070000}"/>
    <cellStyle name="??_x000c_&quot;_x001b__x000d__x0015_U_x0001_??_x0007__x0001__x0001__EVALUATION_EX_311208 12" xfId="5052" xr:uid="{00000000-0005-0000-0000-0000BE070000}"/>
    <cellStyle name="??_x000c_&quot;_x001b__x000d__x0015_U_x0001_??_x0007__EVALUATION_EX_311208 13" xfId="4710" xr:uid="{00000000-0005-0000-0000-0000BF070000}"/>
    <cellStyle name="??_x000c_&quot;_x001b__x000d__x0015_U_x0001_??_x0007__x0001__x0001__EVALUATION_EX_311208 13" xfId="4709" xr:uid="{00000000-0005-0000-0000-0000C0070000}"/>
    <cellStyle name="??_x000c_&quot;_x001b__x000d__x0015_U_x0001_??_x0007__EVALUATION_EX_311208 14" xfId="5359" xr:uid="{00000000-0005-0000-0000-0000C1070000}"/>
    <cellStyle name="??_x000c_&quot;_x001b__x000d__x0015_U_x0001_??_x0007__x0001__x0001__EVALUATION_EX_311208 14" xfId="4464" xr:uid="{00000000-0005-0000-0000-0000C2070000}"/>
    <cellStyle name="??_x000c_&quot;_x001b__x000d__x0015_U_x0001_??_x0007__EVALUATION_EX_311208 15" xfId="5497" xr:uid="{00000000-0005-0000-0000-0000C3070000}"/>
    <cellStyle name="??_x000c_&quot;_x001b__x000d__x0015_U_x0001_??_x0007__x0001__x0001__EVALUATION_EX_311208 15" xfId="4612" xr:uid="{00000000-0005-0000-0000-0000C4070000}"/>
    <cellStyle name="??_x000c_&quot;_x001b__x000d__x0015_U_x0001_??_x0007__EVALUATION_EX_311208 16" xfId="5034" xr:uid="{00000000-0005-0000-0000-0000C5070000}"/>
    <cellStyle name="??_x000c_&quot;_x001b__x000d__x0015_U_x0001_??_x0007__x0001__x0001__EVALUATION_EX_311208 16" xfId="4766" xr:uid="{00000000-0005-0000-0000-0000C6070000}"/>
    <cellStyle name="??_x000c_&quot;_x001b__x000d__x0015_U_x0001_??_x0007__EVALUATION_EX_311208 17" xfId="4911" xr:uid="{00000000-0005-0000-0000-0000C7070000}"/>
    <cellStyle name="??_x000c_&quot;_x001b__x000d__x0015_U_x0001_??_x0007__x0001__x0001__EVALUATION_EX_311208 17" xfId="5496" xr:uid="{00000000-0005-0000-0000-0000C8070000}"/>
    <cellStyle name="??_x000c_&quot;_x001b__x000d__x0015_U_x0001_??_x0007__EVALUATION_EX_311208 18" xfId="5573" xr:uid="{00000000-0005-0000-0000-0000C9070000}"/>
    <cellStyle name="??_x000c_&quot;_x001b__x000d__x0015_U_x0001_??_x0007__x0001__x0001__EVALUATION_EX_311208 18" xfId="5247" xr:uid="{00000000-0005-0000-0000-0000CA070000}"/>
    <cellStyle name="??_x000c_&quot;_x001b__x000d__x0015_U_x0001_??_x0007__EVALUATION_EX_311208 19" xfId="4631" xr:uid="{00000000-0005-0000-0000-0000CB070000}"/>
    <cellStyle name="??_x000c_&quot;_x001b__x000d__x0015_U_x0001_??_x0007__x0001__x0001__EVALUATION_EX_311208 19" xfId="4336" xr:uid="{00000000-0005-0000-0000-0000CC070000}"/>
    <cellStyle name="??_x000c_&quot;_x001b__x000d__x0015_U_x0001_??_x0007__EVALUATION_EX_311208 2" xfId="3084" xr:uid="{00000000-0005-0000-0000-0000CD070000}"/>
    <cellStyle name="??_x000c_&quot;_x001b__x000d__x0015_U_x0001_??_x0007__x0001__x0001__EVALUATION_EX_311208 2" xfId="3085" xr:uid="{00000000-0005-0000-0000-0000CE070000}"/>
    <cellStyle name="??_x000c_&quot;_x001b__x000d__x0015_U_x0001_??_x0007__EVALUATION_EX_311208 20" xfId="6132" xr:uid="{00000000-0005-0000-0000-0000CF070000}"/>
    <cellStyle name="??_x000c_&quot;_x001b__x000d__x0015_U_x0001_??_x0007__x0001__x0001__EVALUATION_EX_311208 20" xfId="6131" xr:uid="{00000000-0005-0000-0000-0000D0070000}"/>
    <cellStyle name="??_x000c_&quot;_x001b__x000d__x0015_U_x0001_??_x0007__EVALUATION_EX_311208 21" xfId="4496" xr:uid="{00000000-0005-0000-0000-0000D1070000}"/>
    <cellStyle name="??_x000c_&quot;_x001b__x000d__x0015_U_x0001_??_x0007__x0001__x0001__EVALUATION_EX_311208 21" xfId="5210" xr:uid="{00000000-0005-0000-0000-0000D2070000}"/>
    <cellStyle name="??_x000c_&quot;_x001b__x000d__x0015_U_x0001_??_x0007__EVALUATION_EX_311208 22" xfId="4824" xr:uid="{00000000-0005-0000-0000-0000D3070000}"/>
    <cellStyle name="??_x000c_&quot;_x001b__x000d__x0015_U_x0001_??_x0007__x0001__x0001__EVALUATION_EX_311208 22" xfId="4485" xr:uid="{00000000-0005-0000-0000-0000D4070000}"/>
    <cellStyle name="??_x000c_&quot;_x001b__x000d__x0015_U_x0001_??_x0007__EVALUATION_EX_311208 23" xfId="5930" xr:uid="{00000000-0005-0000-0000-0000D5070000}"/>
    <cellStyle name="??_x000c_&quot;_x001b__x000d__x0015_U_x0001_??_x0007__x0001__x0001__EVALUATION_EX_311208 23" xfId="5235" xr:uid="{00000000-0005-0000-0000-0000D6070000}"/>
    <cellStyle name="??_x000c_&quot;_x001b__x000d__x0015_U_x0001_??_x0007__EVALUATION_EX_311208 24" xfId="4626" xr:uid="{00000000-0005-0000-0000-0000D7070000}"/>
    <cellStyle name="??_x000c_&quot;_x001b__x000d__x0015_U_x0001_??_x0007__x0001__x0001__EVALUATION_EX_311208 24" xfId="6110" xr:uid="{00000000-0005-0000-0000-0000D8070000}"/>
    <cellStyle name="??_x000c_&quot;_x001b__x000d__x0015_U_x0001_??_x0007__EVALUATION_EX_311208 25" xfId="5123" xr:uid="{00000000-0005-0000-0000-0000D9070000}"/>
    <cellStyle name="??_x000c_&quot;_x001b__x000d__x0015_U_x0001_??_x0007__x0001__x0001__EVALUATION_EX_311208 25" xfId="5091" xr:uid="{00000000-0005-0000-0000-0000DA070000}"/>
    <cellStyle name="??_x000c_&quot;_x001b__x000d__x0015_U_x0001_??_x0007__EVALUATION_EX_311208 26" xfId="4443" xr:uid="{00000000-0005-0000-0000-0000DB070000}"/>
    <cellStyle name="??_x000c_&quot;_x001b__x000d__x0015_U_x0001_??_x0007__x0001__x0001__EVALUATION_EX_311208 26" xfId="6129" xr:uid="{00000000-0005-0000-0000-0000DC070000}"/>
    <cellStyle name="??_x000c_&quot;_x001b__x000d__x0015_U_x0001_??_x0007__EVALUATION_EX_311208 27" xfId="4432" xr:uid="{00000000-0005-0000-0000-0000DD070000}"/>
    <cellStyle name="??_x000c_&quot;_x001b__x000d__x0015_U_x0001_??_x0007__x0001__x0001__EVALUATION_EX_311208 27" xfId="6103" xr:uid="{00000000-0005-0000-0000-0000DE070000}"/>
    <cellStyle name="??_x000c_&quot;_x001b__x000d__x0015_U_x0001_??_x0007__EVALUATION_EX_311208 28" xfId="6298" xr:uid="{00000000-0005-0000-0000-0000DF070000}"/>
    <cellStyle name="??_x000c_&quot;_x001b__x000d__x0015_U_x0001_??_x0007__x0001__x0001__EVALUATION_EX_311208 28" xfId="6299" xr:uid="{00000000-0005-0000-0000-0000E0070000}"/>
    <cellStyle name="??_x000c_&quot;_x001b__x000d__x0015_U_x0001_??_x0007__EVALUATION_EX_311208 29" xfId="6469" xr:uid="{00000000-0005-0000-0000-0000E1070000}"/>
    <cellStyle name="??_x000c_&quot;_x001b__x000d__x0015_U_x0001_??_x0007__x0001__x0001__EVALUATION_EX_311208 29" xfId="6468" xr:uid="{00000000-0005-0000-0000-0000E2070000}"/>
    <cellStyle name="??_x000c_&quot;_x001b__x000d__x0015_U_x0001_??_x0007__EVALUATION_EX_311208 3" xfId="3478" xr:uid="{00000000-0005-0000-0000-0000E3070000}"/>
    <cellStyle name="??_x000c_&quot;_x001b__x000d__x0015_U_x0001_??_x0007__x0001__x0001__EVALUATION_EX_311208 3" xfId="3477" xr:uid="{00000000-0005-0000-0000-0000E4070000}"/>
    <cellStyle name="??_x000c_&quot;_x001b__x000d__x0015_U_x0001_??_x0007__EVALUATION_EX_311208 30" xfId="6391" xr:uid="{00000000-0005-0000-0000-0000E5070000}"/>
    <cellStyle name="??_x000c_&quot;_x001b__x000d__x0015_U_x0001_??_x0007__x0001__x0001__EVALUATION_EX_311208 30" xfId="6392" xr:uid="{00000000-0005-0000-0000-0000E6070000}"/>
    <cellStyle name="??_x000c_&quot;_x001b__x000d__x0015_U_x0001_??_x0007__EVALUATION_EX_311208 31" xfId="6872" xr:uid="{00000000-0005-0000-0000-0000E7070000}"/>
    <cellStyle name="??_x000c_&quot;_x001b__x000d__x0015_U_x0001_??_x0007__x0001__x0001__EVALUATION_EX_311208 31" xfId="6873" xr:uid="{00000000-0005-0000-0000-0000E8070000}"/>
    <cellStyle name="??_x000c_&quot;_x001b__x000d__x0015_U_x0001_??_x0007__EVALUATION_EX_311208 32" xfId="7761" xr:uid="{00000000-0005-0000-0000-0000E9070000}"/>
    <cellStyle name="??_x000c_&quot;_x001b__x000d__x0015_U_x0001_??_x0007__x0001__x0001__EVALUATION_EX_311208 32" xfId="7762" xr:uid="{00000000-0005-0000-0000-0000EA070000}"/>
    <cellStyle name="??_x000c_&quot;_x001b__x000d__x0015_U_x0001_??_x0007__EVALUATION_EX_311208 33" xfId="8015" xr:uid="{00000000-0005-0000-0000-0000EB070000}"/>
    <cellStyle name="??_x000c_&quot;_x001b__x000d__x0015_U_x0001_??_x0007__x0001__x0001__EVALUATION_EX_311208 33" xfId="8014" xr:uid="{00000000-0005-0000-0000-0000EC070000}"/>
    <cellStyle name="??_x000c_&quot;_x001b__x000d__x0015_U_x0001_??_x0007__EVALUATION_EX_311208 34" xfId="7900" xr:uid="{00000000-0005-0000-0000-0000ED070000}"/>
    <cellStyle name="??_x000c_&quot;_x001b__x000d__x0015_U_x0001_??_x0007__x0001__x0001__EVALUATION_EX_311208 34" xfId="7901" xr:uid="{00000000-0005-0000-0000-0000EE070000}"/>
    <cellStyle name="??_x000c_&quot;_x001b__x000d__x0015_U_x0001_??_x0007__EVALUATION_EX_311208 35" xfId="7951" xr:uid="{00000000-0005-0000-0000-0000EF070000}"/>
    <cellStyle name="??_x000c_&quot;_x001b__x000d__x0015_U_x0001_??_x0007__x0001__x0001__EVALUATION_EX_311208 35" xfId="7950" xr:uid="{00000000-0005-0000-0000-0000F0070000}"/>
    <cellStyle name="??_x000c_&quot;_x001b__x000d__x0015_U_x0001_??_x0007__EVALUATION_EX_311208 36" xfId="8185" xr:uid="{00000000-0005-0000-0000-0000F1070000}"/>
    <cellStyle name="??_x000c_&quot;_x001b__x000d__x0015_U_x0001_??_x0007__x0001__x0001__EVALUATION_EX_311208 36" xfId="8177" xr:uid="{00000000-0005-0000-0000-0000F2070000}"/>
    <cellStyle name="??_x000c_&quot;_x001b__x000d__x0015_U_x0001_??_x0007__EVALUATION_EX_311208 37" xfId="7854" xr:uid="{00000000-0005-0000-0000-0000F3070000}"/>
    <cellStyle name="??_x000c_&quot;_x001b__x000d__x0015_U_x0001_??_x0007__x0001__x0001__EVALUATION_EX_311208 37" xfId="7966" xr:uid="{00000000-0005-0000-0000-0000F4070000}"/>
    <cellStyle name="??_x000c_&quot;_x001b__x000d__x0015_U_x0001_??_x0007__EVALUATION_EX_311208 38" xfId="7848" xr:uid="{00000000-0005-0000-0000-0000F5070000}"/>
    <cellStyle name="??_x000c_&quot;_x001b__x000d__x0015_U_x0001_??_x0007__x0001__x0001__EVALUATION_EX_311208 38" xfId="7842" xr:uid="{00000000-0005-0000-0000-0000F6070000}"/>
    <cellStyle name="??_x000c_&quot;_x001b__x000d__x0015_U_x0001_??_x0007__EVALUATION_EX_311208 39" xfId="9554" xr:uid="{00000000-0005-0000-0000-0000F7070000}"/>
    <cellStyle name="??_x000c_&quot;_x001b__x000d__x0015_U_x0001_??_x0007__x0001__x0001__EVALUATION_EX_311208 39" xfId="9555" xr:uid="{00000000-0005-0000-0000-0000F8070000}"/>
    <cellStyle name="??_x000c_&quot;_x001b__x000d__x0015_U_x0001_??_x0007__EVALUATION_EX_311208 4" xfId="3588" xr:uid="{00000000-0005-0000-0000-0000F9070000}"/>
    <cellStyle name="??_x000c_&quot;_x001b__x000d__x0015_U_x0001_??_x0007__x0001__x0001__EVALUATION_EX_311208 4" xfId="3557" xr:uid="{00000000-0005-0000-0000-0000FA070000}"/>
    <cellStyle name="??_x000c_&quot;_x001b__x000d__x0015_U_x0001_??_x0007__EVALUATION_EX_311208 40" xfId="11935" xr:uid="{00000000-0005-0000-0000-0000FB070000}"/>
    <cellStyle name="??_x000c_&quot;_x001b__x000d__x0015_U_x0001_??_x0007__x0001__x0001__EVALUATION_EX_311208 40" xfId="11936" xr:uid="{00000000-0005-0000-0000-0000FC070000}"/>
    <cellStyle name="??_x000c_&quot;_x001b__x000d__x0015_U_x0001_??_x0007__EVALUATION_EX_311208 41" xfId="11937" xr:uid="{00000000-0005-0000-0000-0000FD070000}"/>
    <cellStyle name="??_x000c_&quot;_x001b__x000d__x0015_U_x0001_??_x0007__x0001__x0001__EVALUATION_EX_311208 41" xfId="11938" xr:uid="{00000000-0005-0000-0000-0000FE070000}"/>
    <cellStyle name="??_x000c_&quot;_x001b__x000d__x0015_U_x0001_??_x0007__EVALUATION_EX_311208 42" xfId="11939" xr:uid="{00000000-0005-0000-0000-0000FF070000}"/>
    <cellStyle name="??_x000c_&quot;_x001b__x000d__x0015_U_x0001_??_x0007__x0001__x0001__EVALUATION_EX_311208 42" xfId="11940" xr:uid="{00000000-0005-0000-0000-000000080000}"/>
    <cellStyle name="??_x000c_&quot;_x001b__x000d__x0015_U_x0001_??_x0007__EVALUATION_EX_311208 43" xfId="20768" xr:uid="{00000000-0005-0000-0000-000001080000}"/>
    <cellStyle name="??_x000c_&quot;_x001b__x000d__x0015_U_x0001_??_x0007__x0001__x0001__EVALUATION_EX_311208 43" xfId="20769" xr:uid="{00000000-0005-0000-0000-000002080000}"/>
    <cellStyle name="??_x000c_&quot;_x001b__x000d__x0015_U_x0001_??_x0007__EVALUATION_EX_311208 5" xfId="3632" xr:uid="{00000000-0005-0000-0000-000003080000}"/>
    <cellStyle name="??_x000c_&quot;_x001b__x000d__x0015_U_x0001_??_x0007__x0001__x0001__EVALUATION_EX_311208 5" xfId="3338" xr:uid="{00000000-0005-0000-0000-000004080000}"/>
    <cellStyle name="??_x000c_&quot;_x001b__x000d__x0015_U_x0001_??_x0007__EVALUATION_EX_311208 6" xfId="3687" xr:uid="{00000000-0005-0000-0000-000005080000}"/>
    <cellStyle name="??_x000c_&quot;_x001b__x000d__x0015_U_x0001_??_x0007__x0001__x0001__EVALUATION_EX_311208 6" xfId="3688" xr:uid="{00000000-0005-0000-0000-000006080000}"/>
    <cellStyle name="??_x000c_&quot;_x001b__x000d__x0015_U_x0001_??_x0007__EVALUATION_EX_311208 7" xfId="3831" xr:uid="{00000000-0005-0000-0000-000007080000}"/>
    <cellStyle name="??_x000c_&quot;_x001b__x000d__x0015_U_x0001_??_x0007__x0001__x0001__EVALUATION_EX_311208 7" xfId="3830" xr:uid="{00000000-0005-0000-0000-000008080000}"/>
    <cellStyle name="??_x000c_&quot;_x001b__x000d__x0015_U_x0001_??_x0007__EVALUATION_EX_311208 8" xfId="3740" xr:uid="{00000000-0005-0000-0000-000009080000}"/>
    <cellStyle name="??_x000c_&quot;_x001b__x000d__x0015_U_x0001_??_x0007__x0001__x0001__EVALUATION_EX_311208 8" xfId="3741" xr:uid="{00000000-0005-0000-0000-00000A080000}"/>
    <cellStyle name="??_x000c_&quot;_x001b__x000d__x0015_U_x0001_??_x0007__EVALUATION_EX_311208 9" xfId="4007" xr:uid="{00000000-0005-0000-0000-00000B080000}"/>
    <cellStyle name="??_x000c_&quot;_x001b__x000d__x0015_U_x0001_??_x0007__x0001__x0001__EVALUATION_EX_311208 9" xfId="4008" xr:uid="{00000000-0005-0000-0000-00000C080000}"/>
    <cellStyle name="??_x000c_&quot;_x001b__x000d__x0015_U_x0001_??_x0007__HS-0701217-0582360-957-328100-960PCS-A-CMS" xfId="81" xr:uid="{00000000-0005-0000-0000-00000D080000}"/>
    <cellStyle name="??_x000c_&quot;_x001b__x000d__x0015_U_x0001_??_x0007__x0001__WALMART LIST" xfId="82" xr:uid="{00000000-0005-0000-0000-00000E080000}"/>
    <cellStyle name="??_x000c_&quot;_x001b__x000d__x0015_U_x0001_??_x0007__x0001__x0001__WALMART LIST" xfId="83" xr:uid="{00000000-0005-0000-0000-00000F080000}"/>
    <cellStyle name="??_x000c_&quot;_x001b__x000d__x0015_U_x0001_??_x0007__x0001__WALMART LIST 10" xfId="4193" xr:uid="{00000000-0005-0000-0000-000010080000}"/>
    <cellStyle name="??_x000c_&quot;_x001b__x000d__x0015_U_x0001_??_x0007__x0001__x0001__WALMART LIST 10" xfId="4194" xr:uid="{00000000-0005-0000-0000-000011080000}"/>
    <cellStyle name="??_x000c_&quot;_x001b__x000d__x0015_U_x0001_??_x0007__x0001__WALMART LIST 11" xfId="5405" xr:uid="{00000000-0005-0000-0000-000012080000}"/>
    <cellStyle name="??_x000c_&quot;_x001b__x000d__x0015_U_x0001_??_x0007__x0001__x0001__WALMART LIST 11" xfId="4932" xr:uid="{00000000-0005-0000-0000-000013080000}"/>
    <cellStyle name="??_x000c_&quot;_x001b__x000d__x0015_U_x0001_??_x0007__x0001__WALMART LIST 12" xfId="5464" xr:uid="{00000000-0005-0000-0000-000014080000}"/>
    <cellStyle name="??_x000c_&quot;_x001b__x000d__x0015_U_x0001_??_x0007__x0001__x0001__WALMART LIST 12" xfId="5081" xr:uid="{00000000-0005-0000-0000-000015080000}"/>
    <cellStyle name="??_x000c_&quot;_x001b__x000d__x0015_U_x0001_??_x0007__x0001__WALMART LIST 13" xfId="4240" xr:uid="{00000000-0005-0000-0000-000016080000}"/>
    <cellStyle name="??_x000c_&quot;_x001b__x000d__x0015_U_x0001_??_x0007__x0001__x0001__WALMART LIST 13" xfId="4707" xr:uid="{00000000-0005-0000-0000-000017080000}"/>
    <cellStyle name="??_x000c_&quot;_x001b__x000d__x0015_U_x0001_??_x0007__x0001__WALMART LIST 14" xfId="5004" xr:uid="{00000000-0005-0000-0000-000018080000}"/>
    <cellStyle name="??_x000c_&quot;_x001b__x000d__x0015_U_x0001_??_x0007__x0001__x0001__WALMART LIST 14" xfId="4465" xr:uid="{00000000-0005-0000-0000-000019080000}"/>
    <cellStyle name="??_x000c_&quot;_x001b__x000d__x0015_U_x0001_??_x0007__x0001__WALMART LIST 15" xfId="5216" xr:uid="{00000000-0005-0000-0000-00001A080000}"/>
    <cellStyle name="??_x000c_&quot;_x001b__x000d__x0015_U_x0001_??_x0007__x0001__x0001__WALMART LIST 15" xfId="4610" xr:uid="{00000000-0005-0000-0000-00001B080000}"/>
    <cellStyle name="??_x000c_&quot;_x001b__x000d__x0015_U_x0001_??_x0007__x0001__WALMART LIST 16" xfId="5049" xr:uid="{00000000-0005-0000-0000-00001C080000}"/>
    <cellStyle name="??_x000c_&quot;_x001b__x000d__x0015_U_x0001_??_x0007__x0001__x0001__WALMART LIST 16" xfId="4352" xr:uid="{00000000-0005-0000-0000-00001D080000}"/>
    <cellStyle name="??_x000c_&quot;_x001b__x000d__x0015_U_x0001_??_x0007__x0001__WALMART LIST 17" xfId="4684" xr:uid="{00000000-0005-0000-0000-00001E080000}"/>
    <cellStyle name="??_x000c_&quot;_x001b__x000d__x0015_U_x0001_??_x0007__x0001__x0001__WALMART LIST 17" xfId="4997" xr:uid="{00000000-0005-0000-0000-00001F080000}"/>
    <cellStyle name="??_x000c_&quot;_x001b__x000d__x0015_U_x0001_??_x0007__x0001__WALMART LIST 18" xfId="4344" xr:uid="{00000000-0005-0000-0000-000020080000}"/>
    <cellStyle name="??_x000c_&quot;_x001b__x000d__x0015_U_x0001_??_x0007__x0001__x0001__WALMART LIST 18" xfId="6011" xr:uid="{00000000-0005-0000-0000-000021080000}"/>
    <cellStyle name="??_x000c_&quot;_x001b__x000d__x0015_U_x0001_??_x0007__x0001__WALMART LIST 19" xfId="5925" xr:uid="{00000000-0005-0000-0000-000022080000}"/>
    <cellStyle name="??_x000c_&quot;_x001b__x000d__x0015_U_x0001_??_x0007__x0001__x0001__WALMART LIST 19" xfId="4844" xr:uid="{00000000-0005-0000-0000-000023080000}"/>
    <cellStyle name="??_x000c_&quot;_x001b__x000d__x0015_U_x0001_??_x0007__x0001__WALMART LIST 2" xfId="3086" xr:uid="{00000000-0005-0000-0000-000024080000}"/>
    <cellStyle name="??_x000c_&quot;_x001b__x000d__x0015_U_x0001_??_x0007__x0001__x0001__WALMART LIST 2" xfId="3087" xr:uid="{00000000-0005-0000-0000-000025080000}"/>
    <cellStyle name="??_x000c_&quot;_x001b__x000d__x0015_U_x0001_??_x0007__x0001__WALMART LIST 20" xfId="5208" xr:uid="{00000000-0005-0000-0000-000026080000}"/>
    <cellStyle name="??_x000c_&quot;_x001b__x000d__x0015_U_x0001_??_x0007__x0001__x0001__WALMART LIST 20" xfId="6130" xr:uid="{00000000-0005-0000-0000-000027080000}"/>
    <cellStyle name="??_x000c_&quot;_x001b__x000d__x0015_U_x0001_??_x0007__x0001__WALMART LIST 21" xfId="4878" xr:uid="{00000000-0005-0000-0000-000028080000}"/>
    <cellStyle name="??_x000c_&quot;_x001b__x000d__x0015_U_x0001_??_x0007__x0001__x0001__WALMART LIST 21" xfId="4353" xr:uid="{00000000-0005-0000-0000-000029080000}"/>
    <cellStyle name="??_x000c_&quot;_x001b__x000d__x0015_U_x0001_??_x0007__x0001__WALMART LIST 22" xfId="5442" xr:uid="{00000000-0005-0000-0000-00002A080000}"/>
    <cellStyle name="??_x000c_&quot;_x001b__x000d__x0015_U_x0001_??_x0007__x0001__x0001__WALMART LIST 22" xfId="4685" xr:uid="{00000000-0005-0000-0000-00002B080000}"/>
    <cellStyle name="??_x000c_&quot;_x001b__x000d__x0015_U_x0001_??_x0007__x0001__WALMART LIST 23" xfId="4429" xr:uid="{00000000-0005-0000-0000-00002C080000}"/>
    <cellStyle name="??_x000c_&quot;_x001b__x000d__x0015_U_x0001_??_x0007__x0001__x0001__WALMART LIST 23" xfId="4756" xr:uid="{00000000-0005-0000-0000-00002D080000}"/>
    <cellStyle name="??_x000c_&quot;_x001b__x000d__x0015_U_x0001_??_x0007__x0001__WALMART LIST 24" xfId="4225" xr:uid="{00000000-0005-0000-0000-00002E080000}"/>
    <cellStyle name="??_x000c_&quot;_x001b__x000d__x0015_U_x0001_??_x0007__x0001__x0001__WALMART LIST 24" xfId="5316" xr:uid="{00000000-0005-0000-0000-00002F080000}"/>
    <cellStyle name="??_x000c_&quot;_x001b__x000d__x0015_U_x0001_??_x0007__x0001__WALMART LIST 25" xfId="5163" xr:uid="{00000000-0005-0000-0000-000030080000}"/>
    <cellStyle name="??_x000c_&quot;_x001b__x000d__x0015_U_x0001_??_x0007__x0001__x0001__WALMART LIST 25" xfId="5502" xr:uid="{00000000-0005-0000-0000-000031080000}"/>
    <cellStyle name="??_x000c_&quot;_x001b__x000d__x0015_U_x0001_??_x0007__x0001__WALMART LIST 26" xfId="5916" xr:uid="{00000000-0005-0000-0000-000032080000}"/>
    <cellStyle name="??_x000c_&quot;_x001b__x000d__x0015_U_x0001_??_x0007__x0001__x0001__WALMART LIST 26" xfId="6161" xr:uid="{00000000-0005-0000-0000-000033080000}"/>
    <cellStyle name="??_x000c_&quot;_x001b__x000d__x0015_U_x0001_??_x0007__x0001__WALMART LIST 27" xfId="4290" xr:uid="{00000000-0005-0000-0000-000034080000}"/>
    <cellStyle name="??_x000c_&quot;_x001b__x000d__x0015_U_x0001_??_x0007__x0001__x0001__WALMART LIST 27" xfId="6181" xr:uid="{00000000-0005-0000-0000-000035080000}"/>
    <cellStyle name="??_x000c_&quot;_x001b__x000d__x0015_U_x0001_??_x0007__x0001__WALMART LIST 28" xfId="6300" xr:uid="{00000000-0005-0000-0000-000036080000}"/>
    <cellStyle name="??_x000c_&quot;_x001b__x000d__x0015_U_x0001_??_x0007__x0001__x0001__WALMART LIST 28" xfId="6301" xr:uid="{00000000-0005-0000-0000-000037080000}"/>
    <cellStyle name="??_x000c_&quot;_x001b__x000d__x0015_U_x0001_??_x0007__x0001__WALMART LIST 29" xfId="6548" xr:uid="{00000000-0005-0000-0000-000038080000}"/>
    <cellStyle name="??_x000c_&quot;_x001b__x000d__x0015_U_x0001_??_x0007__x0001__x0001__WALMART LIST 29" xfId="6467" xr:uid="{00000000-0005-0000-0000-000039080000}"/>
    <cellStyle name="??_x000c_&quot;_x001b__x000d__x0015_U_x0001_??_x0007__x0001__WALMART LIST 3" xfId="3475" xr:uid="{00000000-0005-0000-0000-00003A080000}"/>
    <cellStyle name="??_x000c_&quot;_x001b__x000d__x0015_U_x0001_??_x0007__x0001__x0001__WALMART LIST 3" xfId="3474" xr:uid="{00000000-0005-0000-0000-00003B080000}"/>
    <cellStyle name="??_x000c_&quot;_x001b__x000d__x0015_U_x0001_??_x0007__x0001__WALMART LIST 30" xfId="6393" xr:uid="{00000000-0005-0000-0000-00003C080000}"/>
    <cellStyle name="??_x000c_&quot;_x001b__x000d__x0015_U_x0001_??_x0007__x0001__x0001__WALMART LIST 30" xfId="6394" xr:uid="{00000000-0005-0000-0000-00003D080000}"/>
    <cellStyle name="??_x000c_&quot;_x001b__x000d__x0015_U_x0001_??_x0007__x0001__WALMART LIST 31" xfId="6874" xr:uid="{00000000-0005-0000-0000-00003E080000}"/>
    <cellStyle name="??_x000c_&quot;_x001b__x000d__x0015_U_x0001_??_x0007__x0001__x0001__WALMART LIST 31" xfId="6875" xr:uid="{00000000-0005-0000-0000-00003F080000}"/>
    <cellStyle name="??_x000c_&quot;_x001b__x000d__x0015_U_x0001_??_x0007__x0001__WALMART LIST 32" xfId="7763" xr:uid="{00000000-0005-0000-0000-000040080000}"/>
    <cellStyle name="??_x000c_&quot;_x001b__x000d__x0015_U_x0001_??_x0007__x0001__x0001__WALMART LIST 32" xfId="7764" xr:uid="{00000000-0005-0000-0000-000041080000}"/>
    <cellStyle name="??_x000c_&quot;_x001b__x000d__x0015_U_x0001_??_x0007__x0001__WALMART LIST 33" xfId="8013" xr:uid="{00000000-0005-0000-0000-000042080000}"/>
    <cellStyle name="??_x000c_&quot;_x001b__x000d__x0015_U_x0001_??_x0007__x0001__x0001__WALMART LIST 33" xfId="8156" xr:uid="{00000000-0005-0000-0000-000043080000}"/>
    <cellStyle name="??_x000c_&quot;_x001b__x000d__x0015_U_x0001_??_x0007__x0001__WALMART LIST 34" xfId="7902" xr:uid="{00000000-0005-0000-0000-000044080000}"/>
    <cellStyle name="??_x000c_&quot;_x001b__x000d__x0015_U_x0001_??_x0007__x0001__x0001__WALMART LIST 34" xfId="7903" xr:uid="{00000000-0005-0000-0000-000045080000}"/>
    <cellStyle name="??_x000c_&quot;_x001b__x000d__x0015_U_x0001_??_x0007__x0001__WALMART LIST 35" xfId="7949" xr:uid="{00000000-0005-0000-0000-000046080000}"/>
    <cellStyle name="??_x000c_&quot;_x001b__x000d__x0015_U_x0001_??_x0007__x0001__x0001__WALMART LIST 35" xfId="7948" xr:uid="{00000000-0005-0000-0000-000047080000}"/>
    <cellStyle name="??_x000c_&quot;_x001b__x000d__x0015_U_x0001_??_x0007__x0001__WALMART LIST 36" xfId="7823" xr:uid="{00000000-0005-0000-0000-000048080000}"/>
    <cellStyle name="??_x000c_&quot;_x001b__x000d__x0015_U_x0001_??_x0007__x0001__x0001__WALMART LIST 36" xfId="8225" xr:uid="{00000000-0005-0000-0000-000049080000}"/>
    <cellStyle name="??_x000c_&quot;_x001b__x000d__x0015_U_x0001_??_x0007__x0001__WALMART LIST 37" xfId="7979" xr:uid="{00000000-0005-0000-0000-00004A080000}"/>
    <cellStyle name="??_x000c_&quot;_x001b__x000d__x0015_U_x0001_??_x0007__x0001__x0001__WALMART LIST 37" xfId="8115" xr:uid="{00000000-0005-0000-0000-00004B080000}"/>
    <cellStyle name="??_x000c_&quot;_x001b__x000d__x0015_U_x0001_??_x0007__x0001__WALMART LIST 38" xfId="9429" xr:uid="{00000000-0005-0000-0000-00004C080000}"/>
    <cellStyle name="??_x000c_&quot;_x001b__x000d__x0015_U_x0001_??_x0007__x0001__x0001__WALMART LIST 38" xfId="9398" xr:uid="{00000000-0005-0000-0000-00004D080000}"/>
    <cellStyle name="??_x000c_&quot;_x001b__x000d__x0015_U_x0001_??_x0007__x0001__WALMART LIST 39" xfId="9556" xr:uid="{00000000-0005-0000-0000-00004E080000}"/>
    <cellStyle name="??_x000c_&quot;_x001b__x000d__x0015_U_x0001_??_x0007__x0001__x0001__WALMART LIST 39" xfId="9557" xr:uid="{00000000-0005-0000-0000-00004F080000}"/>
    <cellStyle name="??_x000c_&quot;_x001b__x000d__x0015_U_x0001_??_x0007__x0001__WALMART LIST 4" xfId="3199" xr:uid="{00000000-0005-0000-0000-000050080000}"/>
    <cellStyle name="??_x000c_&quot;_x001b__x000d__x0015_U_x0001_??_x0007__x0001__x0001__WALMART LIST 4" xfId="3200" xr:uid="{00000000-0005-0000-0000-000051080000}"/>
    <cellStyle name="??_x000c_&quot;_x001b__x000d__x0015_U_x0001_??_x0007__x0001__WALMART LIST 40" xfId="11941" xr:uid="{00000000-0005-0000-0000-000052080000}"/>
    <cellStyle name="??_x000c_&quot;_x001b__x000d__x0015_U_x0001_??_x0007__x0001__x0001__WALMART LIST 40" xfId="11942" xr:uid="{00000000-0005-0000-0000-000053080000}"/>
    <cellStyle name="??_x000c_&quot;_x001b__x000d__x0015_U_x0001_??_x0007__x0001__WALMART LIST 41" xfId="11943" xr:uid="{00000000-0005-0000-0000-000054080000}"/>
    <cellStyle name="??_x000c_&quot;_x001b__x000d__x0015_U_x0001_??_x0007__x0001__x0001__WALMART LIST 41" xfId="11944" xr:uid="{00000000-0005-0000-0000-000055080000}"/>
    <cellStyle name="??_x000c_&quot;_x001b__x000d__x0015_U_x0001_??_x0007__x0001__WALMART LIST 42" xfId="11945" xr:uid="{00000000-0005-0000-0000-000056080000}"/>
    <cellStyle name="??_x000c_&quot;_x001b__x000d__x0015_U_x0001_??_x0007__x0001__x0001__WALMART LIST 42" xfId="11946" xr:uid="{00000000-0005-0000-0000-000057080000}"/>
    <cellStyle name="??_x000c_&quot;_x001b__x000d__x0015_U_x0001_??_x0007__x0001__WALMART LIST 43" xfId="20770" xr:uid="{00000000-0005-0000-0000-000058080000}"/>
    <cellStyle name="??_x000c_&quot;_x001b__x000d__x0015_U_x0001_??_x0007__x0001__x0001__WALMART LIST 43" xfId="20771" xr:uid="{00000000-0005-0000-0000-000059080000}"/>
    <cellStyle name="??_x000c_&quot;_x001b__x000d__x0015_U_x0001_??_x0007__x0001__WALMART LIST 5" xfId="3616" xr:uid="{00000000-0005-0000-0000-00005A080000}"/>
    <cellStyle name="??_x000c_&quot;_x001b__x000d__x0015_U_x0001_??_x0007__x0001__x0001__WALMART LIST 5" xfId="3552" xr:uid="{00000000-0005-0000-0000-00005B080000}"/>
    <cellStyle name="??_x000c_&quot;_x001b__x000d__x0015_U_x0001_??_x0007__x0001__WALMART LIST 6" xfId="3689" xr:uid="{00000000-0005-0000-0000-00005C080000}"/>
    <cellStyle name="??_x000c_&quot;_x001b__x000d__x0015_U_x0001_??_x0007__x0001__x0001__WALMART LIST 6" xfId="3690" xr:uid="{00000000-0005-0000-0000-00005D080000}"/>
    <cellStyle name="??_x000c_&quot;_x001b__x000d__x0015_U_x0001_??_x0007__x0001__WALMART LIST 7" xfId="3829" xr:uid="{00000000-0005-0000-0000-00005E080000}"/>
    <cellStyle name="??_x000c_&quot;_x001b__x000d__x0015_U_x0001_??_x0007__x0001__x0001__WALMART LIST 7" xfId="3828" xr:uid="{00000000-0005-0000-0000-00005F080000}"/>
    <cellStyle name="??_x000c_&quot;_x001b__x000d__x0015_U_x0001_??_x0007__x0001__WALMART LIST 8" xfId="3742" xr:uid="{00000000-0005-0000-0000-000060080000}"/>
    <cellStyle name="??_x000c_&quot;_x001b__x000d__x0015_U_x0001_??_x0007__x0001__x0001__WALMART LIST 8" xfId="3743" xr:uid="{00000000-0005-0000-0000-000061080000}"/>
    <cellStyle name="??_x000c_&quot;_x001b__x000d__x0015_U_x0001_??_x0007__x0001__WALMART LIST 9" xfId="4009" xr:uid="{00000000-0005-0000-0000-000062080000}"/>
    <cellStyle name="??_x000c_&quot;_x001b__x000d__x0015_U_x0001_??_x0007__x0001__x0001__WALMART LIST 9" xfId="4010" xr:uid="{00000000-0005-0000-0000-000063080000}"/>
    <cellStyle name="??_x000c_&quot;_x001b__x000d__x0015_U_138 - OtherReceivableAccount_28022010" xfId="84" xr:uid="{00000000-0005-0000-0000-000064080000}"/>
    <cellStyle name="??_x000c_&quot;_x001b__x000d__x0015_U_x0001__138 - OtherReceivableAccount_28022010" xfId="85" xr:uid="{00000000-0005-0000-0000-000065080000}"/>
    <cellStyle name="??_x000c_&quot;_x001b__x000d__x0015_U_138 - OtherReceivableAccount_28022010 10" xfId="4195" xr:uid="{00000000-0005-0000-0000-000066080000}"/>
    <cellStyle name="??_x000c_&quot;_x001b__x000d__x0015_U_x0001__138 - OtherReceivableAccount_28022010 10" xfId="4196" xr:uid="{00000000-0005-0000-0000-000067080000}"/>
    <cellStyle name="??_x000c_&quot;_x001b__x000d__x0015_U_138 - OtherReceivableAccount_28022010 11" xfId="5404" xr:uid="{00000000-0005-0000-0000-000068080000}"/>
    <cellStyle name="??_x000c_&quot;_x001b__x000d__x0015_U_x0001__138 - OtherReceivableAccount_28022010 11" xfId="4931" xr:uid="{00000000-0005-0000-0000-000069080000}"/>
    <cellStyle name="??_x000c_&quot;_x001b__x000d__x0015_U_138 - OtherReceivableAccount_28022010 12" xfId="5465" xr:uid="{00000000-0005-0000-0000-00006A080000}"/>
    <cellStyle name="??_x000c_&quot;_x001b__x000d__x0015_U_x0001__138 - OtherReceivableAccount_28022010 12" xfId="5195" xr:uid="{00000000-0005-0000-0000-00006B080000}"/>
    <cellStyle name="??_x000c_&quot;_x001b__x000d__x0015_U_138 - OtherReceivableAccount_28022010 13" xfId="5909" xr:uid="{00000000-0005-0000-0000-00006C080000}"/>
    <cellStyle name="??_x000c_&quot;_x001b__x000d__x0015_U_x0001__138 - OtherReceivableAccount_28022010 13" xfId="4706" xr:uid="{00000000-0005-0000-0000-00006D080000}"/>
    <cellStyle name="??_x000c_&quot;_x001b__x000d__x0015_U_138 - OtherReceivableAccount_28022010 14" xfId="5864" xr:uid="{00000000-0005-0000-0000-00006E080000}"/>
    <cellStyle name="??_x000c_&quot;_x001b__x000d__x0015_U_x0001__138 - OtherReceivableAccount_28022010 14" xfId="4466" xr:uid="{00000000-0005-0000-0000-00006F080000}"/>
    <cellStyle name="??_x000c_&quot;_x001b__x000d__x0015_U_138 - OtherReceivableAccount_28022010 15" xfId="5872" xr:uid="{00000000-0005-0000-0000-000070080000}"/>
    <cellStyle name="??_x000c_&quot;_x001b__x000d__x0015_U_x0001__138 - OtherReceivableAccount_28022010 15" xfId="4609" xr:uid="{00000000-0005-0000-0000-000071080000}"/>
    <cellStyle name="??_x000c_&quot;_x001b__x000d__x0015_U_138 - OtherReceivableAccount_28022010 16" xfId="4596" xr:uid="{00000000-0005-0000-0000-000072080000}"/>
    <cellStyle name="??_x000c_&quot;_x001b__x000d__x0015_U_x0001__138 - OtherReceivableAccount_28022010 16" xfId="5191" xr:uid="{00000000-0005-0000-0000-000073080000}"/>
    <cellStyle name="??_x000c_&quot;_x001b__x000d__x0015_U_138 - OtherReceivableAccount_28022010 17" xfId="5946" xr:uid="{00000000-0005-0000-0000-000074080000}"/>
    <cellStyle name="??_x000c_&quot;_x001b__x000d__x0015_U_x0001__138 - OtherReceivableAccount_28022010 17" xfId="4355" xr:uid="{00000000-0005-0000-0000-000075080000}"/>
    <cellStyle name="??_x000c_&quot;_x001b__x000d__x0015_U_138 - OtherReceivableAccount_28022010 18" xfId="6065" xr:uid="{00000000-0005-0000-0000-000076080000}"/>
    <cellStyle name="??_x000c_&quot;_x001b__x000d__x0015_U_x0001__138 - OtherReceivableAccount_28022010 18" xfId="6050" xr:uid="{00000000-0005-0000-0000-000077080000}"/>
    <cellStyle name="??_x000c_&quot;_x001b__x000d__x0015_U_138 - OtherReceivableAccount_28022010 19" xfId="4901" xr:uid="{00000000-0005-0000-0000-000078080000}"/>
    <cellStyle name="??_x000c_&quot;_x001b__x000d__x0015_U_x0001__138 - OtherReceivableAccount_28022010 19" xfId="5413" xr:uid="{00000000-0005-0000-0000-000079080000}"/>
    <cellStyle name="??_x000c_&quot;_x001b__x000d__x0015_U_138 - OtherReceivableAccount_28022010 2" xfId="3088" xr:uid="{00000000-0005-0000-0000-00007A080000}"/>
    <cellStyle name="??_x000c_&quot;_x001b__x000d__x0015_U_x0001__138 - OtherReceivableAccount_28022010 2" xfId="3089" xr:uid="{00000000-0005-0000-0000-00007B080000}"/>
    <cellStyle name="??_x000c_&quot;_x001b__x000d__x0015_U_138 - OtherReceivableAccount_28022010 20" xfId="5517" xr:uid="{00000000-0005-0000-0000-00007C080000}"/>
    <cellStyle name="??_x000c_&quot;_x001b__x000d__x0015_U_x0001__138 - OtherReceivableAccount_28022010 20" xfId="4598" xr:uid="{00000000-0005-0000-0000-00007D080000}"/>
    <cellStyle name="??_x000c_&quot;_x001b__x000d__x0015_U_138 - OtherReceivableAccount_28022010 21" xfId="5010" xr:uid="{00000000-0005-0000-0000-00007E080000}"/>
    <cellStyle name="??_x000c_&quot;_x001b__x000d__x0015_U_x0001__138 - OtherReceivableAccount_28022010 21" xfId="5376" xr:uid="{00000000-0005-0000-0000-00007F080000}"/>
    <cellStyle name="??_x000c_&quot;_x001b__x000d__x0015_U_138 - OtherReceivableAccount_28022010 22" xfId="5318" xr:uid="{00000000-0005-0000-0000-000080080000}"/>
    <cellStyle name="??_x000c_&quot;_x001b__x000d__x0015_U_x0001__138 - OtherReceivableAccount_28022010 22" xfId="5277" xr:uid="{00000000-0005-0000-0000-000081080000}"/>
    <cellStyle name="??_x000c_&quot;_x001b__x000d__x0015_U_138 - OtherReceivableAccount_28022010 23" xfId="4530" xr:uid="{00000000-0005-0000-0000-000082080000}"/>
    <cellStyle name="??_x000c_&quot;_x001b__x000d__x0015_U_x0001__138 - OtherReceivableAccount_28022010 23" xfId="6100" xr:uid="{00000000-0005-0000-0000-000083080000}"/>
    <cellStyle name="??_x000c_&quot;_x001b__x000d__x0015_U_138 - OtherReceivableAccount_28022010 24" xfId="4256" xr:uid="{00000000-0005-0000-0000-000084080000}"/>
    <cellStyle name="??_x000c_&quot;_x001b__x000d__x0015_U_x0001__138 - OtherReceivableAccount_28022010 24" xfId="5372" xr:uid="{00000000-0005-0000-0000-000085080000}"/>
    <cellStyle name="??_x000c_&quot;_x001b__x000d__x0015_U_138 - OtherReceivableAccount_28022010 25" xfId="5077" xr:uid="{00000000-0005-0000-0000-000086080000}"/>
    <cellStyle name="??_x000c_&quot;_x001b__x000d__x0015_U_x0001__138 - OtherReceivableAccount_28022010 25" xfId="5903" xr:uid="{00000000-0005-0000-0000-000087080000}"/>
    <cellStyle name="??_x000c_&quot;_x001b__x000d__x0015_U_138 - OtherReceivableAccount_28022010 26" xfId="5056" xr:uid="{00000000-0005-0000-0000-000088080000}"/>
    <cellStyle name="??_x000c_&quot;_x001b__x000d__x0015_U_x0001__138 - OtherReceivableAccount_28022010 26" xfId="5042" xr:uid="{00000000-0005-0000-0000-000089080000}"/>
    <cellStyle name="??_x000c_&quot;_x001b__x000d__x0015_U_138 - OtherReceivableAccount_28022010 27" xfId="4426" xr:uid="{00000000-0005-0000-0000-00008A080000}"/>
    <cellStyle name="??_x000c_&quot;_x001b__x000d__x0015_U_x0001__138 - OtherReceivableAccount_28022010 27" xfId="4755" xr:uid="{00000000-0005-0000-0000-00008B080000}"/>
    <cellStyle name="??_x000c_&quot;_x001b__x000d__x0015_U_138 - OtherReceivableAccount_28022010 28" xfId="6302" xr:uid="{00000000-0005-0000-0000-00008C080000}"/>
    <cellStyle name="??_x000c_&quot;_x001b__x000d__x0015_U_x0001__138 - OtherReceivableAccount_28022010 28" xfId="6303" xr:uid="{00000000-0005-0000-0000-00008D080000}"/>
    <cellStyle name="??_x000c_&quot;_x001b__x000d__x0015_U_138 - OtherReceivableAccount_28022010 29" xfId="6547" xr:uid="{00000000-0005-0000-0000-00008E080000}"/>
    <cellStyle name="??_x000c_&quot;_x001b__x000d__x0015_U_x0001__138 - OtherReceivableAccount_28022010 29" xfId="6466" xr:uid="{00000000-0005-0000-0000-00008F080000}"/>
    <cellStyle name="??_x000c_&quot;_x001b__x000d__x0015_U_138 - OtherReceivableAccount_28022010 3" xfId="3473" xr:uid="{00000000-0005-0000-0000-000090080000}"/>
    <cellStyle name="??_x000c_&quot;_x001b__x000d__x0015_U_x0001__138 - OtherReceivableAccount_28022010 3" xfId="3470" xr:uid="{00000000-0005-0000-0000-000091080000}"/>
    <cellStyle name="??_x000c_&quot;_x001b__x000d__x0015_U_138 - OtherReceivableAccount_28022010 30" xfId="6519" xr:uid="{00000000-0005-0000-0000-000092080000}"/>
    <cellStyle name="??_x000c_&quot;_x001b__x000d__x0015_U_x0001__138 - OtherReceivableAccount_28022010 30" xfId="6395" xr:uid="{00000000-0005-0000-0000-000093080000}"/>
    <cellStyle name="??_x000c_&quot;_x001b__x000d__x0015_U_138 - OtherReceivableAccount_28022010 31" xfId="6876" xr:uid="{00000000-0005-0000-0000-000094080000}"/>
    <cellStyle name="??_x000c_&quot;_x001b__x000d__x0015_U_x0001__138 - OtherReceivableAccount_28022010 31" xfId="6877" xr:uid="{00000000-0005-0000-0000-000095080000}"/>
    <cellStyle name="??_x000c_&quot;_x001b__x000d__x0015_U_138 - OtherReceivableAccount_28022010 32" xfId="7765" xr:uid="{00000000-0005-0000-0000-000096080000}"/>
    <cellStyle name="??_x000c_&quot;_x001b__x000d__x0015_U_x0001__138 - OtherReceivableAccount_28022010 32" xfId="7766" xr:uid="{00000000-0005-0000-0000-000097080000}"/>
    <cellStyle name="??_x000c_&quot;_x001b__x000d__x0015_U_138 - OtherReceivableAccount_28022010 33" xfId="8012" xr:uid="{00000000-0005-0000-0000-000098080000}"/>
    <cellStyle name="??_x000c_&quot;_x001b__x000d__x0015_U_x0001__138 - OtherReceivableAccount_28022010 33" xfId="8155" xr:uid="{00000000-0005-0000-0000-000099080000}"/>
    <cellStyle name="??_x000c_&quot;_x001b__x000d__x0015_U_138 - OtherReceivableAccount_28022010 34" xfId="7810" xr:uid="{00000000-0005-0000-0000-00009A080000}"/>
    <cellStyle name="??_x000c_&quot;_x001b__x000d__x0015_U_x0001__138 - OtherReceivableAccount_28022010 34" xfId="7904" xr:uid="{00000000-0005-0000-0000-00009B080000}"/>
    <cellStyle name="??_x000c_&quot;_x001b__x000d__x0015_U_138 - OtherReceivableAccount_28022010 35" xfId="8511" xr:uid="{00000000-0005-0000-0000-00009C080000}"/>
    <cellStyle name="??_x000c_&quot;_x001b__x000d__x0015_U_x0001__138 - OtherReceivableAccount_28022010 35" xfId="7947" xr:uid="{00000000-0005-0000-0000-00009D080000}"/>
    <cellStyle name="??_x000c_&quot;_x001b__x000d__x0015_U_138 - OtherReceivableAccount_28022010 36" xfId="9424" xr:uid="{00000000-0005-0000-0000-00009E080000}"/>
    <cellStyle name="??_x000c_&quot;_x001b__x000d__x0015_U_x0001__138 - OtherReceivableAccount_28022010 36" xfId="8303" xr:uid="{00000000-0005-0000-0000-00009F080000}"/>
    <cellStyle name="??_x000c_&quot;_x001b__x000d__x0015_U_138 - OtherReceivableAccount_28022010 37" xfId="8380" xr:uid="{00000000-0005-0000-0000-0000A0080000}"/>
    <cellStyle name="??_x000c_&quot;_x001b__x000d__x0015_U_x0001__138 - OtherReceivableAccount_28022010 37" xfId="8335" xr:uid="{00000000-0005-0000-0000-0000A1080000}"/>
    <cellStyle name="??_x000c_&quot;_x001b__x000d__x0015_U_138 - OtherReceivableAccount_28022010 38" xfId="7850" xr:uid="{00000000-0005-0000-0000-0000A2080000}"/>
    <cellStyle name="??_x000c_&quot;_x001b__x000d__x0015_U_x0001__138 - OtherReceivableAccount_28022010 38" xfId="8089" xr:uid="{00000000-0005-0000-0000-0000A3080000}"/>
    <cellStyle name="??_x000c_&quot;_x001b__x000d__x0015_U_138 - OtherReceivableAccount_28022010 39" xfId="9558" xr:uid="{00000000-0005-0000-0000-0000A4080000}"/>
    <cellStyle name="??_x000c_&quot;_x001b__x000d__x0015_U_x0001__138 - OtherReceivableAccount_28022010 39" xfId="9559" xr:uid="{00000000-0005-0000-0000-0000A5080000}"/>
    <cellStyle name="??_x000c_&quot;_x001b__x000d__x0015_U_138 - OtherReceivableAccount_28022010 4" xfId="3561" xr:uid="{00000000-0005-0000-0000-0000A6080000}"/>
    <cellStyle name="??_x000c_&quot;_x001b__x000d__x0015_U_x0001__138 - OtherReceivableAccount_28022010 4" xfId="3578" xr:uid="{00000000-0005-0000-0000-0000A7080000}"/>
    <cellStyle name="??_x000c_&quot;_x001b__x000d__x0015_U_138 - OtherReceivableAccount_28022010 40" xfId="11947" xr:uid="{00000000-0005-0000-0000-0000A8080000}"/>
    <cellStyle name="??_x000c_&quot;_x001b__x000d__x0015_U_x0001__138 - OtherReceivableAccount_28022010 40" xfId="11948" xr:uid="{00000000-0005-0000-0000-0000A9080000}"/>
    <cellStyle name="??_x000c_&quot;_x001b__x000d__x0015_U_138 - OtherReceivableAccount_28022010 41" xfId="11949" xr:uid="{00000000-0005-0000-0000-0000AA080000}"/>
    <cellStyle name="??_x000c_&quot;_x001b__x000d__x0015_U_x0001__138 - OtherReceivableAccount_28022010 41" xfId="11950" xr:uid="{00000000-0005-0000-0000-0000AB080000}"/>
    <cellStyle name="??_x000c_&quot;_x001b__x000d__x0015_U_138 - OtherReceivableAccount_28022010 42" xfId="11951" xr:uid="{00000000-0005-0000-0000-0000AC080000}"/>
    <cellStyle name="??_x000c_&quot;_x001b__x000d__x0015_U_x0001__138 - OtherReceivableAccount_28022010 42" xfId="11952" xr:uid="{00000000-0005-0000-0000-0000AD080000}"/>
    <cellStyle name="??_x000c_&quot;_x001b__x000d__x0015_U_138 - OtherReceivableAccount_28022010 43" xfId="20772" xr:uid="{00000000-0005-0000-0000-0000AE080000}"/>
    <cellStyle name="??_x000c_&quot;_x001b__x000d__x0015_U_x0001__138 - OtherReceivableAccount_28022010 43" xfId="20773" xr:uid="{00000000-0005-0000-0000-0000AF080000}"/>
    <cellStyle name="??_x000c_&quot;_x001b__x000d__x0015_U_138 - OtherReceivableAccount_28022010 5" xfId="3623" xr:uid="{00000000-0005-0000-0000-0000B0080000}"/>
    <cellStyle name="??_x000c_&quot;_x001b__x000d__x0015_U_x0001__138 - OtherReceivableAccount_28022010 5" xfId="3164" xr:uid="{00000000-0005-0000-0000-0000B1080000}"/>
    <cellStyle name="??_x000c_&quot;_x001b__x000d__x0015_U_138 - OtherReceivableAccount_28022010 6" xfId="3691" xr:uid="{00000000-0005-0000-0000-0000B2080000}"/>
    <cellStyle name="??_x000c_&quot;_x001b__x000d__x0015_U_x0001__138 - OtherReceivableAccount_28022010 6" xfId="3692" xr:uid="{00000000-0005-0000-0000-0000B3080000}"/>
    <cellStyle name="??_x000c_&quot;_x001b__x000d__x0015_U_138 - OtherReceivableAccount_28022010 7" xfId="3827" xr:uid="{00000000-0005-0000-0000-0000B4080000}"/>
    <cellStyle name="??_x000c_&quot;_x001b__x000d__x0015_U_x0001__138 - OtherReceivableAccount_28022010 7" xfId="3826" xr:uid="{00000000-0005-0000-0000-0000B5080000}"/>
    <cellStyle name="??_x000c_&quot;_x001b__x000d__x0015_U_138 - OtherReceivableAccount_28022010 8" xfId="3744" xr:uid="{00000000-0005-0000-0000-0000B6080000}"/>
    <cellStyle name="??_x000c_&quot;_x001b__x000d__x0015_U_x0001__138 - OtherReceivableAccount_28022010 8" xfId="3745" xr:uid="{00000000-0005-0000-0000-0000B7080000}"/>
    <cellStyle name="??_x000c_&quot;_x001b__x000d__x0015_U_138 - OtherReceivableAccount_28022010 9" xfId="4011" xr:uid="{00000000-0005-0000-0000-0000B8080000}"/>
    <cellStyle name="??_x000c_&quot;_x001b__x000d__x0015_U_x0001__138 - OtherReceivableAccount_28022010 9" xfId="4012" xr:uid="{00000000-0005-0000-0000-0000B9080000}"/>
    <cellStyle name="??_x000c_&quot;_x001b__x000d__x0015_U_138 - OtherReceivableAccount_30112009" xfId="86" xr:uid="{00000000-0005-0000-0000-0000BA080000}"/>
    <cellStyle name="??_x000c_&quot;_x001b__x000d__x0015_U_x0001__138 - OtherReceivableAccount_30112009" xfId="87" xr:uid="{00000000-0005-0000-0000-0000BB080000}"/>
    <cellStyle name="??_x000c_&quot;_x001b__x000d__x0015_U_138 - OtherReceivableAccount_30112009 10" xfId="4197" xr:uid="{00000000-0005-0000-0000-0000BC080000}"/>
    <cellStyle name="??_x000c_&quot;_x001b__x000d__x0015_U_x0001__138 - OtherReceivableAccount_30112009 10" xfId="4198" xr:uid="{00000000-0005-0000-0000-0000BD080000}"/>
    <cellStyle name="??_x000c_&quot;_x001b__x000d__x0015_U_138 - OtherReceivableAccount_30112009 11" xfId="5403" xr:uid="{00000000-0005-0000-0000-0000BE080000}"/>
    <cellStyle name="??_x000c_&quot;_x001b__x000d__x0015_U_x0001__138 - OtherReceivableAccount_30112009 11" xfId="4930" xr:uid="{00000000-0005-0000-0000-0000BF080000}"/>
    <cellStyle name="??_x000c_&quot;_x001b__x000d__x0015_U_138 - OtherReceivableAccount_30112009 12" xfId="5466" xr:uid="{00000000-0005-0000-0000-0000C0080000}"/>
    <cellStyle name="??_x000c_&quot;_x001b__x000d__x0015_U_x0001__138 - OtherReceivableAccount_30112009 12" xfId="4387" xr:uid="{00000000-0005-0000-0000-0000C1080000}"/>
    <cellStyle name="??_x000c_&quot;_x001b__x000d__x0015_U_138 - OtherReceivableAccount_30112009 13" xfId="5913" xr:uid="{00000000-0005-0000-0000-0000C2080000}"/>
    <cellStyle name="??_x000c_&quot;_x001b__x000d__x0015_U_x0001__138 - OtherReceivableAccount_30112009 13" xfId="4705" xr:uid="{00000000-0005-0000-0000-0000C3080000}"/>
    <cellStyle name="??_x000c_&quot;_x001b__x000d__x0015_U_138 - OtherReceivableAccount_30112009 14" xfId="5288" xr:uid="{00000000-0005-0000-0000-0000C4080000}"/>
    <cellStyle name="??_x000c_&quot;_x001b__x000d__x0015_U_x0001__138 - OtherReceivableAccount_30112009 14" xfId="5468" xr:uid="{00000000-0005-0000-0000-0000C5080000}"/>
    <cellStyle name="??_x000c_&quot;_x001b__x000d__x0015_U_138 - OtherReceivableAccount_30112009 15" xfId="4857" xr:uid="{00000000-0005-0000-0000-0000C6080000}"/>
    <cellStyle name="??_x000c_&quot;_x001b__x000d__x0015_U_x0001__138 - OtherReceivableAccount_30112009 15" xfId="5430" xr:uid="{00000000-0005-0000-0000-0000C7080000}"/>
    <cellStyle name="??_x000c_&quot;_x001b__x000d__x0015_U_138 - OtherReceivableAccount_30112009 16" xfId="4902" xr:uid="{00000000-0005-0000-0000-0000C8080000}"/>
    <cellStyle name="??_x000c_&quot;_x001b__x000d__x0015_U_x0001__138 - OtherReceivableAccount_30112009 16" xfId="5180" xr:uid="{00000000-0005-0000-0000-0000C9080000}"/>
    <cellStyle name="??_x000c_&quot;_x001b__x000d__x0015_U_138 - OtherReceivableAccount_30112009 17" xfId="5926" xr:uid="{00000000-0005-0000-0000-0000CA080000}"/>
    <cellStyle name="??_x000c_&quot;_x001b__x000d__x0015_U_x0001__138 - OtherReceivableAccount_30112009 17" xfId="4241" xr:uid="{00000000-0005-0000-0000-0000CB080000}"/>
    <cellStyle name="??_x000c_&quot;_x001b__x000d__x0015_U_138 - OtherReceivableAccount_30112009 18" xfId="5304" xr:uid="{00000000-0005-0000-0000-0000CC080000}"/>
    <cellStyle name="??_x000c_&quot;_x001b__x000d__x0015_U_x0001__138 - OtherReceivableAccount_30112009 18" xfId="6055" xr:uid="{00000000-0005-0000-0000-0000CD080000}"/>
    <cellStyle name="??_x000c_&quot;_x001b__x000d__x0015_U_138 - OtherReceivableAccount_30112009 19" xfId="4642" xr:uid="{00000000-0005-0000-0000-0000CE080000}"/>
    <cellStyle name="??_x000c_&quot;_x001b__x000d__x0015_U_x0001__138 - OtherReceivableAccount_30112009 19" xfId="6124" xr:uid="{00000000-0005-0000-0000-0000CF080000}"/>
    <cellStyle name="??_x000c_&quot;_x001b__x000d__x0015_U_138 - OtherReceivableAccount_30112009 2" xfId="3090" xr:uid="{00000000-0005-0000-0000-0000D0080000}"/>
    <cellStyle name="??_x000c_&quot;_x001b__x000d__x0015_U_x0001__138 - OtherReceivableAccount_30112009 2" xfId="3091" xr:uid="{00000000-0005-0000-0000-0000D1080000}"/>
    <cellStyle name="??_x000c_&quot;_x001b__x000d__x0015_U_138 - OtherReceivableAccount_30112009 20" xfId="5232" xr:uid="{00000000-0005-0000-0000-0000D2080000}"/>
    <cellStyle name="??_x000c_&quot;_x001b__x000d__x0015_U_x0001__138 - OtherReceivableAccount_30112009 20" xfId="6140" xr:uid="{00000000-0005-0000-0000-0000D3080000}"/>
    <cellStyle name="??_x000c_&quot;_x001b__x000d__x0015_U_138 - OtherReceivableAccount_30112009 21" xfId="6037" xr:uid="{00000000-0005-0000-0000-0000D4080000}"/>
    <cellStyle name="??_x000c_&quot;_x001b__x000d__x0015_U_x0001__138 - OtherReceivableAccount_30112009 21" xfId="5085" xr:uid="{00000000-0005-0000-0000-0000D5080000}"/>
    <cellStyle name="??_x000c_&quot;_x001b__x000d__x0015_U_138 - OtherReceivableAccount_30112009 22" xfId="4281" xr:uid="{00000000-0005-0000-0000-0000D6080000}"/>
    <cellStyle name="??_x000c_&quot;_x001b__x000d__x0015_U_x0001__138 - OtherReceivableAccount_30112009 22" xfId="4338" xr:uid="{00000000-0005-0000-0000-0000D7080000}"/>
    <cellStyle name="??_x000c_&quot;_x001b__x000d__x0015_U_138 - OtherReceivableAccount_30112009 23" xfId="6092" xr:uid="{00000000-0005-0000-0000-0000D8080000}"/>
    <cellStyle name="??_x000c_&quot;_x001b__x000d__x0015_U_x0001__138 - OtherReceivableAccount_30112009 23" xfId="5487" xr:uid="{00000000-0005-0000-0000-0000D9080000}"/>
    <cellStyle name="??_x000c_&quot;_x001b__x000d__x0015_U_138 - OtherReceivableAccount_30112009 24" xfId="4562" xr:uid="{00000000-0005-0000-0000-0000DA080000}"/>
    <cellStyle name="??_x000c_&quot;_x001b__x000d__x0015_U_x0001__138 - OtherReceivableAccount_30112009 24" xfId="5317" xr:uid="{00000000-0005-0000-0000-0000DB080000}"/>
    <cellStyle name="??_x000c_&quot;_x001b__x000d__x0015_U_138 - OtherReceivableAccount_30112009 25" xfId="5844" xr:uid="{00000000-0005-0000-0000-0000DC080000}"/>
    <cellStyle name="??_x000c_&quot;_x001b__x000d__x0015_U_x0001__138 - OtherReceivableAccount_30112009 25" xfId="5265" xr:uid="{00000000-0005-0000-0000-0000DD080000}"/>
    <cellStyle name="??_x000c_&quot;_x001b__x000d__x0015_U_138 - OtherReceivableAccount_30112009 26" xfId="4249" xr:uid="{00000000-0005-0000-0000-0000DE080000}"/>
    <cellStyle name="??_x000c_&quot;_x001b__x000d__x0015_U_x0001__138 - OtherReceivableAccount_30112009 26" xfId="4523" xr:uid="{00000000-0005-0000-0000-0000DF080000}"/>
    <cellStyle name="??_x000c_&quot;_x001b__x000d__x0015_U_138 - OtherReceivableAccount_30112009 27" xfId="5142" xr:uid="{00000000-0005-0000-0000-0000E0080000}"/>
    <cellStyle name="??_x000c_&quot;_x001b__x000d__x0015_U_x0001__138 - OtherReceivableAccount_30112009 27" xfId="6156" xr:uid="{00000000-0005-0000-0000-0000E1080000}"/>
    <cellStyle name="??_x000c_&quot;_x001b__x000d__x0015_U_138 - OtherReceivableAccount_30112009 28" xfId="6304" xr:uid="{00000000-0005-0000-0000-0000E2080000}"/>
    <cellStyle name="??_x000c_&quot;_x001b__x000d__x0015_U_x0001__138 - OtherReceivableAccount_30112009 28" xfId="6305" xr:uid="{00000000-0005-0000-0000-0000E3080000}"/>
    <cellStyle name="??_x000c_&quot;_x001b__x000d__x0015_U_138 - OtherReceivableAccount_30112009 29" xfId="6546" xr:uid="{00000000-0005-0000-0000-0000E4080000}"/>
    <cellStyle name="??_x000c_&quot;_x001b__x000d__x0015_U_x0001__138 - OtherReceivableAccount_30112009 29" xfId="6465" xr:uid="{00000000-0005-0000-0000-0000E5080000}"/>
    <cellStyle name="??_x000c_&quot;_x001b__x000d__x0015_U_138 - OtherReceivableAccount_30112009 3" xfId="3469" xr:uid="{00000000-0005-0000-0000-0000E6080000}"/>
    <cellStyle name="??_x000c_&quot;_x001b__x000d__x0015_U_x0001__138 - OtherReceivableAccount_30112009 3" xfId="3468" xr:uid="{00000000-0005-0000-0000-0000E7080000}"/>
    <cellStyle name="??_x000c_&quot;_x001b__x000d__x0015_U_138 - OtherReceivableAccount_30112009 30" xfId="6336" xr:uid="{00000000-0005-0000-0000-0000E8080000}"/>
    <cellStyle name="??_x000c_&quot;_x001b__x000d__x0015_U_x0001__138 - OtherReceivableAccount_30112009 30" xfId="6396" xr:uid="{00000000-0005-0000-0000-0000E9080000}"/>
    <cellStyle name="??_x000c_&quot;_x001b__x000d__x0015_U_138 - OtherReceivableAccount_30112009 31" xfId="6878" xr:uid="{00000000-0005-0000-0000-0000EA080000}"/>
    <cellStyle name="??_x000c_&quot;_x001b__x000d__x0015_U_x0001__138 - OtherReceivableAccount_30112009 31" xfId="6879" xr:uid="{00000000-0005-0000-0000-0000EB080000}"/>
    <cellStyle name="??_x000c_&quot;_x001b__x000d__x0015_U_138 - OtherReceivableAccount_30112009 32" xfId="7767" xr:uid="{00000000-0005-0000-0000-0000EC080000}"/>
    <cellStyle name="??_x000c_&quot;_x001b__x000d__x0015_U_x0001__138 - OtherReceivableAccount_30112009 32" xfId="7768" xr:uid="{00000000-0005-0000-0000-0000ED080000}"/>
    <cellStyle name="??_x000c_&quot;_x001b__x000d__x0015_U_138 - OtherReceivableAccount_30112009 33" xfId="8011" xr:uid="{00000000-0005-0000-0000-0000EE080000}"/>
    <cellStyle name="??_x000c_&quot;_x001b__x000d__x0015_U_x0001__138 - OtherReceivableAccount_30112009 33" xfId="8154" xr:uid="{00000000-0005-0000-0000-0000EF080000}"/>
    <cellStyle name="??_x000c_&quot;_x001b__x000d__x0015_U_138 - OtherReceivableAccount_30112009 34" xfId="7811" xr:uid="{00000000-0005-0000-0000-0000F0080000}"/>
    <cellStyle name="??_x000c_&quot;_x001b__x000d__x0015_U_x0001__138 - OtherReceivableAccount_30112009 34" xfId="7905" xr:uid="{00000000-0005-0000-0000-0000F1080000}"/>
    <cellStyle name="??_x000c_&quot;_x001b__x000d__x0015_U_138 - OtherReceivableAccount_30112009 35" xfId="8510" xr:uid="{00000000-0005-0000-0000-0000F2080000}"/>
    <cellStyle name="??_x000c_&quot;_x001b__x000d__x0015_U_x0001__138 - OtherReceivableAccount_30112009 35" xfId="7946" xr:uid="{00000000-0005-0000-0000-0000F3080000}"/>
    <cellStyle name="??_x000c_&quot;_x001b__x000d__x0015_U_138 - OtherReceivableAccount_30112009 36" xfId="9434" xr:uid="{00000000-0005-0000-0000-0000F4080000}"/>
    <cellStyle name="??_x000c_&quot;_x001b__x000d__x0015_U_x0001__138 - OtherReceivableAccount_30112009 36" xfId="8530" xr:uid="{00000000-0005-0000-0000-0000F5080000}"/>
    <cellStyle name="??_x000c_&quot;_x001b__x000d__x0015_U_138 - OtherReceivableAccount_30112009 37" xfId="8137" xr:uid="{00000000-0005-0000-0000-0000F6080000}"/>
    <cellStyle name="??_x000c_&quot;_x001b__x000d__x0015_U_x0001__138 - OtherReceivableAccount_30112009 37" xfId="8538" xr:uid="{00000000-0005-0000-0000-0000F7080000}"/>
    <cellStyle name="??_x000c_&quot;_x001b__x000d__x0015_U_138 - OtherReceivableAccount_30112009 38" xfId="8095" xr:uid="{00000000-0005-0000-0000-0000F8080000}"/>
    <cellStyle name="??_x000c_&quot;_x001b__x000d__x0015_U_x0001__138 - OtherReceivableAccount_30112009 38" xfId="7837" xr:uid="{00000000-0005-0000-0000-0000F9080000}"/>
    <cellStyle name="??_x000c_&quot;_x001b__x000d__x0015_U_138 - OtherReceivableAccount_30112009 39" xfId="9560" xr:uid="{00000000-0005-0000-0000-0000FA080000}"/>
    <cellStyle name="??_x000c_&quot;_x001b__x000d__x0015_U_x0001__138 - OtherReceivableAccount_30112009 39" xfId="9561" xr:uid="{00000000-0005-0000-0000-0000FB080000}"/>
    <cellStyle name="??_x000c_&quot;_x001b__x000d__x0015_U_138 - OtherReceivableAccount_30112009 4" xfId="3550" xr:uid="{00000000-0005-0000-0000-0000FC080000}"/>
    <cellStyle name="??_x000c_&quot;_x001b__x000d__x0015_U_x0001__138 - OtherReceivableAccount_30112009 4" xfId="3587" xr:uid="{00000000-0005-0000-0000-0000FD080000}"/>
    <cellStyle name="??_x000c_&quot;_x001b__x000d__x0015_U_138 - OtherReceivableAccount_30112009 40" xfId="11953" xr:uid="{00000000-0005-0000-0000-0000FE080000}"/>
    <cellStyle name="??_x000c_&quot;_x001b__x000d__x0015_U_x0001__138 - OtherReceivableAccount_30112009 40" xfId="11954" xr:uid="{00000000-0005-0000-0000-0000FF080000}"/>
    <cellStyle name="??_x000c_&quot;_x001b__x000d__x0015_U_138 - OtherReceivableAccount_30112009 41" xfId="11955" xr:uid="{00000000-0005-0000-0000-000000090000}"/>
    <cellStyle name="??_x000c_&quot;_x001b__x000d__x0015_U_x0001__138 - OtherReceivableAccount_30112009 41" xfId="11956" xr:uid="{00000000-0005-0000-0000-000001090000}"/>
    <cellStyle name="??_x000c_&quot;_x001b__x000d__x0015_U_138 - OtherReceivableAccount_30112009 42" xfId="11957" xr:uid="{00000000-0005-0000-0000-000002090000}"/>
    <cellStyle name="??_x000c_&quot;_x001b__x000d__x0015_U_x0001__138 - OtherReceivableAccount_30112009 42" xfId="11958" xr:uid="{00000000-0005-0000-0000-000003090000}"/>
    <cellStyle name="??_x000c_&quot;_x001b__x000d__x0015_U_138 - OtherReceivableAccount_30112009 43" xfId="20774" xr:uid="{00000000-0005-0000-0000-000004090000}"/>
    <cellStyle name="??_x000c_&quot;_x001b__x000d__x0015_U_x0001__138 - OtherReceivableAccount_30112009 43" xfId="20775" xr:uid="{00000000-0005-0000-0000-000005090000}"/>
    <cellStyle name="??_x000c_&quot;_x001b__x000d__x0015_U_138 - OtherReceivableAccount_30112009 5" xfId="3631" xr:uid="{00000000-0005-0000-0000-000006090000}"/>
    <cellStyle name="??_x000c_&quot;_x001b__x000d__x0015_U_x0001__138 - OtherReceivableAccount_30112009 5" xfId="3337" xr:uid="{00000000-0005-0000-0000-000007090000}"/>
    <cellStyle name="??_x000c_&quot;_x001b__x000d__x0015_U_138 - OtherReceivableAccount_30112009 6" xfId="3693" xr:uid="{00000000-0005-0000-0000-000008090000}"/>
    <cellStyle name="??_x000c_&quot;_x001b__x000d__x0015_U_x0001__138 - OtherReceivableAccount_30112009 6" xfId="3694" xr:uid="{00000000-0005-0000-0000-000009090000}"/>
    <cellStyle name="??_x000c_&quot;_x001b__x000d__x0015_U_138 - OtherReceivableAccount_30112009 7" xfId="3825" xr:uid="{00000000-0005-0000-0000-00000A090000}"/>
    <cellStyle name="??_x000c_&quot;_x001b__x000d__x0015_U_x0001__138 - OtherReceivableAccount_30112009 7" xfId="3824" xr:uid="{00000000-0005-0000-0000-00000B090000}"/>
    <cellStyle name="??_x000c_&quot;_x001b__x000d__x0015_U_138 - OtherReceivableAccount_30112009 8" xfId="3746" xr:uid="{00000000-0005-0000-0000-00000C090000}"/>
    <cellStyle name="??_x000c_&quot;_x001b__x000d__x0015_U_x0001__138 - OtherReceivableAccount_30112009 8" xfId="3747" xr:uid="{00000000-0005-0000-0000-00000D090000}"/>
    <cellStyle name="??_x000c_&quot;_x001b__x000d__x0015_U_138 - OtherReceivableAccount_30112009 9" xfId="4013" xr:uid="{00000000-0005-0000-0000-00000E090000}"/>
    <cellStyle name="??_x000c_&quot;_x001b__x000d__x0015_U_x0001__138 - OtherReceivableAccount_30112009 9" xfId="4014" xr:uid="{00000000-0005-0000-0000-00000F090000}"/>
    <cellStyle name="??_x000c_&quot;_x001b__x000d__x0015_U_138 - OtherReceivableAccount_30112009_EVALUATION_EX_311208" xfId="88" xr:uid="{00000000-0005-0000-0000-000010090000}"/>
    <cellStyle name="??_x000c_&quot;_x001b__x000d__x0015_U_x0001__138 - OtherReceivableAccount_30112009_EVALUATION_EX_311208" xfId="89" xr:uid="{00000000-0005-0000-0000-000011090000}"/>
    <cellStyle name="??_x000c_&quot;_x001b__x000d__x0015_U_138 - OtherReceivableAccount_30112009_EVALUATION_EX_311208 10" xfId="4199" xr:uid="{00000000-0005-0000-0000-000012090000}"/>
    <cellStyle name="??_x000c_&quot;_x001b__x000d__x0015_U_x0001__138 - OtherReceivableAccount_30112009_EVALUATION_EX_311208 10" xfId="4200" xr:uid="{00000000-0005-0000-0000-000013090000}"/>
    <cellStyle name="??_x000c_&quot;_x001b__x000d__x0015_U_138 - OtherReceivableAccount_30112009_EVALUATION_EX_311208 11" xfId="5402" xr:uid="{00000000-0005-0000-0000-000014090000}"/>
    <cellStyle name="??_x000c_&quot;_x001b__x000d__x0015_U_x0001__138 - OtherReceivableAccount_30112009_EVALUATION_EX_311208 11" xfId="4929" xr:uid="{00000000-0005-0000-0000-000015090000}"/>
    <cellStyle name="??_x000c_&quot;_x001b__x000d__x0015_U_138 - OtherReceivableAccount_30112009_EVALUATION_EX_311208 12" xfId="5515" xr:uid="{00000000-0005-0000-0000-000016090000}"/>
    <cellStyle name="??_x000c_&quot;_x001b__x000d__x0015_U_x0001__138 - OtherReceivableAccount_30112009_EVALUATION_EX_311208 12" xfId="4388" xr:uid="{00000000-0005-0000-0000-000017090000}"/>
    <cellStyle name="??_x000c_&quot;_x001b__x000d__x0015_U_138 - OtherReceivableAccount_30112009_EVALUATION_EX_311208 13" xfId="5907" xr:uid="{00000000-0005-0000-0000-000018090000}"/>
    <cellStyle name="??_x000c_&quot;_x001b__x000d__x0015_U_x0001__138 - OtherReceivableAccount_30112009_EVALUATION_EX_311208 13" xfId="4704" xr:uid="{00000000-0005-0000-0000-000019090000}"/>
    <cellStyle name="??_x000c_&quot;_x001b__x000d__x0015_U_138 - OtherReceivableAccount_30112009_EVALUATION_EX_311208 14" xfId="4258" xr:uid="{00000000-0005-0000-0000-00001A090000}"/>
    <cellStyle name="??_x000c_&quot;_x001b__x000d__x0015_U_x0001__138 - OtherReceivableAccount_30112009_EVALUATION_EX_311208 14" xfId="5506" xr:uid="{00000000-0005-0000-0000-00001B090000}"/>
    <cellStyle name="??_x000c_&quot;_x001b__x000d__x0015_U_138 - OtherReceivableAccount_30112009_EVALUATION_EX_311208 15" xfId="4858" xr:uid="{00000000-0005-0000-0000-00001C090000}"/>
    <cellStyle name="??_x000c_&quot;_x001b__x000d__x0015_U_x0001__138 - OtherReceivableAccount_30112009_EVALUATION_EX_311208 15" xfId="5431" xr:uid="{00000000-0005-0000-0000-00001D090000}"/>
    <cellStyle name="??_x000c_&quot;_x001b__x000d__x0015_U_138 - OtherReceivableAccount_30112009_EVALUATION_EX_311208 16" xfId="5877" xr:uid="{00000000-0005-0000-0000-00001E090000}"/>
    <cellStyle name="??_x000c_&quot;_x001b__x000d__x0015_U_x0001__138 - OtherReceivableAccount_30112009_EVALUATION_EX_311208 16" xfId="4520" xr:uid="{00000000-0005-0000-0000-00001F090000}"/>
    <cellStyle name="??_x000c_&quot;_x001b__x000d__x0015_U_138 - OtherReceivableAccount_30112009_EVALUATION_EX_311208 17" xfId="4316" xr:uid="{00000000-0005-0000-0000-000020090000}"/>
    <cellStyle name="??_x000c_&quot;_x001b__x000d__x0015_U_x0001__138 - OtherReceivableAccount_30112009_EVALUATION_EX_311208 17" xfId="4633" xr:uid="{00000000-0005-0000-0000-000021090000}"/>
    <cellStyle name="??_x000c_&quot;_x001b__x000d__x0015_U_138 - OtherReceivableAccount_30112009_EVALUATION_EX_311208 18" xfId="5868" xr:uid="{00000000-0005-0000-0000-000022090000}"/>
    <cellStyle name="??_x000c_&quot;_x001b__x000d__x0015_U_x0001__138 - OtherReceivableAccount_30112009_EVALUATION_EX_311208 18" xfId="5016" xr:uid="{00000000-0005-0000-0000-000023090000}"/>
    <cellStyle name="??_x000c_&quot;_x001b__x000d__x0015_U_138 - OtherReceivableAccount_30112009_EVALUATION_EX_311208 19" xfId="5886" xr:uid="{00000000-0005-0000-0000-000024090000}"/>
    <cellStyle name="??_x000c_&quot;_x001b__x000d__x0015_U_x0001__138 - OtherReceivableAccount_30112009_EVALUATION_EX_311208 19" xfId="6123" xr:uid="{00000000-0005-0000-0000-000025090000}"/>
    <cellStyle name="??_x000c_&quot;_x001b__x000d__x0015_U_138 - OtherReceivableAccount_30112009_EVALUATION_EX_311208 2" xfId="3092" xr:uid="{00000000-0005-0000-0000-000026090000}"/>
    <cellStyle name="??_x000c_&quot;_x001b__x000d__x0015_U_x0001__138 - OtherReceivableAccount_30112009_EVALUATION_EX_311208 2" xfId="3093" xr:uid="{00000000-0005-0000-0000-000027090000}"/>
    <cellStyle name="??_x000c_&quot;_x001b__x000d__x0015_U_138 - OtherReceivableAccount_30112009_EVALUATION_EX_311208 20" xfId="4603" xr:uid="{00000000-0005-0000-0000-000028090000}"/>
    <cellStyle name="??_x000c_&quot;_x001b__x000d__x0015_U_x0001__138 - OtherReceivableAccount_30112009_EVALUATION_EX_311208 20" xfId="6139" xr:uid="{00000000-0005-0000-0000-000029090000}"/>
    <cellStyle name="??_x000c_&quot;_x001b__x000d__x0015_U_138 - OtherReceivableAccount_30112009_EVALUATION_EX_311208 21" xfId="6029" xr:uid="{00000000-0005-0000-0000-00002A090000}"/>
    <cellStyle name="??_x000c_&quot;_x001b__x000d__x0015_U_x0001__138 - OtherReceivableAccount_30112009_EVALUATION_EX_311208 21" xfId="5395" xr:uid="{00000000-0005-0000-0000-00002B090000}"/>
    <cellStyle name="??_x000c_&quot;_x001b__x000d__x0015_U_138 - OtherReceivableAccount_30112009_EVALUATION_EX_311208 22" xfId="5324" xr:uid="{00000000-0005-0000-0000-00002C090000}"/>
    <cellStyle name="??_x000c_&quot;_x001b__x000d__x0015_U_x0001__138 - OtherReceivableAccount_30112009_EVALUATION_EX_311208 22" xfId="4786" xr:uid="{00000000-0005-0000-0000-00002D090000}"/>
    <cellStyle name="??_x000c_&quot;_x001b__x000d__x0015_U_138 - OtherReceivableAccount_30112009_EVALUATION_EX_311208 23" xfId="6102" xr:uid="{00000000-0005-0000-0000-00002E090000}"/>
    <cellStyle name="??_x000c_&quot;_x001b__x000d__x0015_U_x0001__138 - OtherReceivableAccount_30112009_EVALUATION_EX_311208 23" xfId="4299" xr:uid="{00000000-0005-0000-0000-00002F090000}"/>
    <cellStyle name="??_x000c_&quot;_x001b__x000d__x0015_U_138 - OtherReceivableAccount_30112009_EVALUATION_EX_311208 24" xfId="5329" xr:uid="{00000000-0005-0000-0000-000030090000}"/>
    <cellStyle name="??_x000c_&quot;_x001b__x000d__x0015_U_x0001__138 - OtherReceivableAccount_30112009_EVALUATION_EX_311208 24" xfId="4567" xr:uid="{00000000-0005-0000-0000-000031090000}"/>
    <cellStyle name="??_x000c_&quot;_x001b__x000d__x0015_U_138 - OtherReceivableAccount_30112009_EVALUATION_EX_311208 25" xfId="5264" xr:uid="{00000000-0005-0000-0000-000032090000}"/>
    <cellStyle name="??_x000c_&quot;_x001b__x000d__x0015_U_x0001__138 - OtherReceivableAccount_30112009_EVALUATION_EX_311208 25" xfId="5058" xr:uid="{00000000-0005-0000-0000-000033090000}"/>
    <cellStyle name="??_x000c_&quot;_x001b__x000d__x0015_U_138 - OtherReceivableAccount_30112009_EVALUATION_EX_311208 26" xfId="4890" xr:uid="{00000000-0005-0000-0000-000034090000}"/>
    <cellStyle name="??_x000c_&quot;_x001b__x000d__x0015_U_x0001__138 - OtherReceivableAccount_30112009_EVALUATION_EX_311208 26" xfId="4315" xr:uid="{00000000-0005-0000-0000-000035090000}"/>
    <cellStyle name="??_x000c_&quot;_x001b__x000d__x0015_U_138 - OtherReceivableAccount_30112009_EVALUATION_EX_311208 27" xfId="4823" xr:uid="{00000000-0005-0000-0000-000036090000}"/>
    <cellStyle name="??_x000c_&quot;_x001b__x000d__x0015_U_x0001__138 - OtherReceivableAccount_30112009_EVALUATION_EX_311208 27" xfId="6167" xr:uid="{00000000-0005-0000-0000-000037090000}"/>
    <cellStyle name="??_x000c_&quot;_x001b__x000d__x0015_U_138 - OtherReceivableAccount_30112009_EVALUATION_EX_311208 28" xfId="6306" xr:uid="{00000000-0005-0000-0000-000038090000}"/>
    <cellStyle name="??_x000c_&quot;_x001b__x000d__x0015_U_x0001__138 - OtherReceivableAccount_30112009_EVALUATION_EX_311208 28" xfId="6307" xr:uid="{00000000-0005-0000-0000-000039090000}"/>
    <cellStyle name="??_x000c_&quot;_x001b__x000d__x0015_U_138 - OtherReceivableAccount_30112009_EVALUATION_EX_311208 29" xfId="6545" xr:uid="{00000000-0005-0000-0000-00003A090000}"/>
    <cellStyle name="??_x000c_&quot;_x001b__x000d__x0015_U_x0001__138 - OtherReceivableAccount_30112009_EVALUATION_EX_311208 29" xfId="6464" xr:uid="{00000000-0005-0000-0000-00003B090000}"/>
    <cellStyle name="??_x000c_&quot;_x001b__x000d__x0015_U_138 - OtherReceivableAccount_30112009_EVALUATION_EX_311208 3" xfId="3467" xr:uid="{00000000-0005-0000-0000-00003C090000}"/>
    <cellStyle name="??_x000c_&quot;_x001b__x000d__x0015_U_x0001__138 - OtherReceivableAccount_30112009_EVALUATION_EX_311208 3" xfId="3466" xr:uid="{00000000-0005-0000-0000-00003D090000}"/>
    <cellStyle name="??_x000c_&quot;_x001b__x000d__x0015_U_138 - OtherReceivableAccount_30112009_EVALUATION_EX_311208 30" xfId="6337" xr:uid="{00000000-0005-0000-0000-00003E090000}"/>
    <cellStyle name="??_x000c_&quot;_x001b__x000d__x0015_U_x0001__138 - OtherReceivableAccount_30112009_EVALUATION_EX_311208 30" xfId="6397" xr:uid="{00000000-0005-0000-0000-00003F090000}"/>
    <cellStyle name="??_x000c_&quot;_x001b__x000d__x0015_U_138 - OtherReceivableAccount_30112009_EVALUATION_EX_311208 31" xfId="6880" xr:uid="{00000000-0005-0000-0000-000040090000}"/>
    <cellStyle name="??_x000c_&quot;_x001b__x000d__x0015_U_x0001__138 - OtherReceivableAccount_30112009_EVALUATION_EX_311208 31" xfId="6881" xr:uid="{00000000-0005-0000-0000-000041090000}"/>
    <cellStyle name="??_x000c_&quot;_x001b__x000d__x0015_U_138 - OtherReceivableAccount_30112009_EVALUATION_EX_311208 32" xfId="7769" xr:uid="{00000000-0005-0000-0000-000042090000}"/>
    <cellStyle name="??_x000c_&quot;_x001b__x000d__x0015_U_x0001__138 - OtherReceivableAccount_30112009_EVALUATION_EX_311208 32" xfId="7770" xr:uid="{00000000-0005-0000-0000-000043090000}"/>
    <cellStyle name="??_x000c_&quot;_x001b__x000d__x0015_U_138 - OtherReceivableAccount_30112009_EVALUATION_EX_311208 33" xfId="8010" xr:uid="{00000000-0005-0000-0000-000044090000}"/>
    <cellStyle name="??_x000c_&quot;_x001b__x000d__x0015_U_x0001__138 - OtherReceivableAccount_30112009_EVALUATION_EX_311208 33" xfId="8153" xr:uid="{00000000-0005-0000-0000-000045090000}"/>
    <cellStyle name="??_x000c_&quot;_x001b__x000d__x0015_U_138 - OtherReceivableAccount_30112009_EVALUATION_EX_311208 34" xfId="7812" xr:uid="{00000000-0005-0000-0000-000046090000}"/>
    <cellStyle name="??_x000c_&quot;_x001b__x000d__x0015_U_x0001__138 - OtherReceivableAccount_30112009_EVALUATION_EX_311208 34" xfId="7906" xr:uid="{00000000-0005-0000-0000-000047090000}"/>
    <cellStyle name="??_x000c_&quot;_x001b__x000d__x0015_U_138 - OtherReceivableAccount_30112009_EVALUATION_EX_311208 35" xfId="8512" xr:uid="{00000000-0005-0000-0000-000048090000}"/>
    <cellStyle name="??_x000c_&quot;_x001b__x000d__x0015_U_x0001__138 - OtherReceivableAccount_30112009_EVALUATION_EX_311208 35" xfId="7945" xr:uid="{00000000-0005-0000-0000-000049090000}"/>
    <cellStyle name="??_x000c_&quot;_x001b__x000d__x0015_U_138 - OtherReceivableAccount_30112009_EVALUATION_EX_311208 36" xfId="9400" xr:uid="{00000000-0005-0000-0000-00004A090000}"/>
    <cellStyle name="??_x000c_&quot;_x001b__x000d__x0015_U_x0001__138 - OtherReceivableAccount_30112009_EVALUATION_EX_311208 36" xfId="8843" xr:uid="{00000000-0005-0000-0000-00004B090000}"/>
    <cellStyle name="??_x000c_&quot;_x001b__x000d__x0015_U_138 - OtherReceivableAccount_30112009_EVALUATION_EX_311208 37" xfId="8526" xr:uid="{00000000-0005-0000-0000-00004C090000}"/>
    <cellStyle name="??_x000c_&quot;_x001b__x000d__x0015_U_x0001__138 - OtherReceivableAccount_30112009_EVALUATION_EX_311208 37" xfId="8120" xr:uid="{00000000-0005-0000-0000-00004D090000}"/>
    <cellStyle name="??_x000c_&quot;_x001b__x000d__x0015_U_138 - OtherReceivableAccount_30112009_EVALUATION_EX_311208 38" xfId="8125" xr:uid="{00000000-0005-0000-0000-00004E090000}"/>
    <cellStyle name="??_x000c_&quot;_x001b__x000d__x0015_U_x0001__138 - OtherReceivableAccount_30112009_EVALUATION_EX_311208 38" xfId="7851" xr:uid="{00000000-0005-0000-0000-00004F090000}"/>
    <cellStyle name="??_x000c_&quot;_x001b__x000d__x0015_U_138 - OtherReceivableAccount_30112009_EVALUATION_EX_311208 39" xfId="9562" xr:uid="{00000000-0005-0000-0000-000050090000}"/>
    <cellStyle name="??_x000c_&quot;_x001b__x000d__x0015_U_x0001__138 - OtherReceivableAccount_30112009_EVALUATION_EX_311208 39" xfId="9563" xr:uid="{00000000-0005-0000-0000-000051090000}"/>
    <cellStyle name="??_x000c_&quot;_x001b__x000d__x0015_U_138 - OtherReceivableAccount_30112009_EVALUATION_EX_311208 4" xfId="3560" xr:uid="{00000000-0005-0000-0000-000052090000}"/>
    <cellStyle name="??_x000c_&quot;_x001b__x000d__x0015_U_x0001__138 - OtherReceivableAccount_30112009_EVALUATION_EX_311208 4" xfId="3601" xr:uid="{00000000-0005-0000-0000-000053090000}"/>
    <cellStyle name="??_x000c_&quot;_x001b__x000d__x0015_U_138 - OtherReceivableAccount_30112009_EVALUATION_EX_311208 40" xfId="11959" xr:uid="{00000000-0005-0000-0000-000054090000}"/>
    <cellStyle name="??_x000c_&quot;_x001b__x000d__x0015_U_x0001__138 - OtherReceivableAccount_30112009_EVALUATION_EX_311208 40" xfId="11960" xr:uid="{00000000-0005-0000-0000-000055090000}"/>
    <cellStyle name="??_x000c_&quot;_x001b__x000d__x0015_U_138 - OtherReceivableAccount_30112009_EVALUATION_EX_311208 41" xfId="11961" xr:uid="{00000000-0005-0000-0000-000056090000}"/>
    <cellStyle name="??_x000c_&quot;_x001b__x000d__x0015_U_x0001__138 - OtherReceivableAccount_30112009_EVALUATION_EX_311208 41" xfId="11962" xr:uid="{00000000-0005-0000-0000-000057090000}"/>
    <cellStyle name="??_x000c_&quot;_x001b__x000d__x0015_U_138 - OtherReceivableAccount_30112009_EVALUATION_EX_311208 42" xfId="11963" xr:uid="{00000000-0005-0000-0000-000058090000}"/>
    <cellStyle name="??_x000c_&quot;_x001b__x000d__x0015_U_x0001__138 - OtherReceivableAccount_30112009_EVALUATION_EX_311208 42" xfId="11964" xr:uid="{00000000-0005-0000-0000-000059090000}"/>
    <cellStyle name="??_x000c_&quot;_x001b__x000d__x0015_U_138 - OtherReceivableAccount_30112009_EVALUATION_EX_311208 43" xfId="20776" xr:uid="{00000000-0005-0000-0000-00005A090000}"/>
    <cellStyle name="??_x000c_&quot;_x001b__x000d__x0015_U_x0001__138 - OtherReceivableAccount_30112009_EVALUATION_EX_311208 43" xfId="20777" xr:uid="{00000000-0005-0000-0000-00005B090000}"/>
    <cellStyle name="??_x000c_&quot;_x001b__x000d__x0015_U_138 - OtherReceivableAccount_30112009_EVALUATION_EX_311208 5" xfId="3330" xr:uid="{00000000-0005-0000-0000-00005C090000}"/>
    <cellStyle name="??_x000c_&quot;_x001b__x000d__x0015_U_x0001__138 - OtherReceivableAccount_30112009_EVALUATION_EX_311208 5" xfId="3167" xr:uid="{00000000-0005-0000-0000-00005D090000}"/>
    <cellStyle name="??_x000c_&quot;_x001b__x000d__x0015_U_138 - OtherReceivableAccount_30112009_EVALUATION_EX_311208 6" xfId="3695" xr:uid="{00000000-0005-0000-0000-00005E090000}"/>
    <cellStyle name="??_x000c_&quot;_x001b__x000d__x0015_U_x0001__138 - OtherReceivableAccount_30112009_EVALUATION_EX_311208 6" xfId="3696" xr:uid="{00000000-0005-0000-0000-00005F090000}"/>
    <cellStyle name="??_x000c_&quot;_x001b__x000d__x0015_U_138 - OtherReceivableAccount_30112009_EVALUATION_EX_311208 7" xfId="3823" xr:uid="{00000000-0005-0000-0000-000060090000}"/>
    <cellStyle name="??_x000c_&quot;_x001b__x000d__x0015_U_x0001__138 - OtherReceivableAccount_30112009_EVALUATION_EX_311208 7" xfId="3822" xr:uid="{00000000-0005-0000-0000-000061090000}"/>
    <cellStyle name="??_x000c_&quot;_x001b__x000d__x0015_U_138 - OtherReceivableAccount_30112009_EVALUATION_EX_311208 8" xfId="3748" xr:uid="{00000000-0005-0000-0000-000062090000}"/>
    <cellStyle name="??_x000c_&quot;_x001b__x000d__x0015_U_x0001__138 - OtherReceivableAccount_30112009_EVALUATION_EX_311208 8" xfId="3749" xr:uid="{00000000-0005-0000-0000-000063090000}"/>
    <cellStyle name="??_x000c_&quot;_x001b__x000d__x0015_U_138 - OtherReceivableAccount_30112009_EVALUATION_EX_311208 9" xfId="4015" xr:uid="{00000000-0005-0000-0000-000064090000}"/>
    <cellStyle name="??_x000c_&quot;_x001b__x000d__x0015_U_x0001__138 - OtherReceivableAccount_30112009_EVALUATION_EX_311208 9" xfId="4016" xr:uid="{00000000-0005-0000-0000-000065090000}"/>
    <cellStyle name="??_x000c_&quot;_x001b__x000d__x0015_U_138 - OtherReceivableAccount_31012010" xfId="90" xr:uid="{00000000-0005-0000-0000-000066090000}"/>
    <cellStyle name="??_x000c_&quot;_x001b__x000d__x0015_U_x0001__138 - OtherReceivableAccount_31012010" xfId="91" xr:uid="{00000000-0005-0000-0000-000067090000}"/>
    <cellStyle name="??_x000c_&quot;_x001b__x000d__x0015_U_138 - OtherReceivableAccount_31012010 10" xfId="4201" xr:uid="{00000000-0005-0000-0000-000068090000}"/>
    <cellStyle name="??_x000c_&quot;_x001b__x000d__x0015_U_x0001__138 - OtherReceivableAccount_31012010 10" xfId="4202" xr:uid="{00000000-0005-0000-0000-000069090000}"/>
    <cellStyle name="??_x000c_&quot;_x001b__x000d__x0015_U_138 - OtherReceivableAccount_31012010 11" xfId="5401" xr:uid="{00000000-0005-0000-0000-00006A090000}"/>
    <cellStyle name="??_x000c_&quot;_x001b__x000d__x0015_U_x0001__138 - OtherReceivableAccount_31012010 11" xfId="4928" xr:uid="{00000000-0005-0000-0000-00006B090000}"/>
    <cellStyle name="??_x000c_&quot;_x001b__x000d__x0015_U_138 - OtherReceivableAccount_31012010 12" xfId="5514" xr:uid="{00000000-0005-0000-0000-00006C090000}"/>
    <cellStyle name="??_x000c_&quot;_x001b__x000d__x0015_U_x0001__138 - OtherReceivableAccount_31012010 12" xfId="5061" xr:uid="{00000000-0005-0000-0000-00006D090000}"/>
    <cellStyle name="??_x000c_&quot;_x001b__x000d__x0015_U_138 - OtherReceivableAccount_31012010 13" xfId="4899" xr:uid="{00000000-0005-0000-0000-00006E090000}"/>
    <cellStyle name="??_x000c_&quot;_x001b__x000d__x0015_U_x0001__138 - OtherReceivableAccount_31012010 13" xfId="4703" xr:uid="{00000000-0005-0000-0000-00006F090000}"/>
    <cellStyle name="??_x000c_&quot;_x001b__x000d__x0015_U_138 - OtherReceivableAccount_31012010 14" xfId="4398" xr:uid="{00000000-0005-0000-0000-000070090000}"/>
    <cellStyle name="??_x000c_&quot;_x001b__x000d__x0015_U_x0001__138 - OtherReceivableAccount_31012010 14" xfId="4467" xr:uid="{00000000-0005-0000-0000-000071090000}"/>
    <cellStyle name="??_x000c_&quot;_x001b__x000d__x0015_U_138 - OtherReceivableAccount_31012010 15" xfId="4680" xr:uid="{00000000-0005-0000-0000-000072090000}"/>
    <cellStyle name="??_x000c_&quot;_x001b__x000d__x0015_U_x0001__138 - OtherReceivableAccount_31012010 15" xfId="5109" xr:uid="{00000000-0005-0000-0000-000073090000}"/>
    <cellStyle name="??_x000c_&quot;_x001b__x000d__x0015_U_138 - OtherReceivableAccount_31012010 16" xfId="5258" xr:uid="{00000000-0005-0000-0000-000074090000}"/>
    <cellStyle name="??_x000c_&quot;_x001b__x000d__x0015_U_x0001__138 - OtherReceivableAccount_31012010 16" xfId="4405" xr:uid="{00000000-0005-0000-0000-000075090000}"/>
    <cellStyle name="??_x000c_&quot;_x001b__x000d__x0015_U_138 - OtherReceivableAccount_31012010 17" xfId="4261" xr:uid="{00000000-0005-0000-0000-000076090000}"/>
    <cellStyle name="??_x000c_&quot;_x001b__x000d__x0015_U_x0001__138 - OtherReceivableAccount_31012010 17" xfId="5915" xr:uid="{00000000-0005-0000-0000-000077090000}"/>
    <cellStyle name="??_x000c_&quot;_x001b__x000d__x0015_U_138 - OtherReceivableAccount_31012010 18" xfId="4836" xr:uid="{00000000-0005-0000-0000-000078090000}"/>
    <cellStyle name="??_x000c_&quot;_x001b__x000d__x0015_U_x0001__138 - OtherReceivableAccount_31012010 18" xfId="6051" xr:uid="{00000000-0005-0000-0000-000079090000}"/>
    <cellStyle name="??_x000c_&quot;_x001b__x000d__x0015_U_138 - OtherReceivableAccount_31012010 19" xfId="4907" xr:uid="{00000000-0005-0000-0000-00007A090000}"/>
    <cellStyle name="??_x000c_&quot;_x001b__x000d__x0015_U_x0001__138 - OtherReceivableAccount_31012010 19" xfId="5594" xr:uid="{00000000-0005-0000-0000-00007B090000}"/>
    <cellStyle name="??_x000c_&quot;_x001b__x000d__x0015_U_138 - OtherReceivableAccount_31012010 2" xfId="3094" xr:uid="{00000000-0005-0000-0000-00007C090000}"/>
    <cellStyle name="??_x000c_&quot;_x001b__x000d__x0015_U_x0001__138 - OtherReceivableAccount_31012010 2" xfId="3095" xr:uid="{00000000-0005-0000-0000-00007D090000}"/>
    <cellStyle name="??_x000c_&quot;_x001b__x000d__x0015_U_138 - OtherReceivableAccount_31012010 20" xfId="4495" xr:uid="{00000000-0005-0000-0000-00007E090000}"/>
    <cellStyle name="??_x000c_&quot;_x001b__x000d__x0015_U_x0001__138 - OtherReceivableAccount_31012010 20" xfId="5300" xr:uid="{00000000-0005-0000-0000-00007F090000}"/>
    <cellStyle name="??_x000c_&quot;_x001b__x000d__x0015_U_138 - OtherReceivableAccount_31012010 21" xfId="5476" xr:uid="{00000000-0005-0000-0000-000080090000}"/>
    <cellStyle name="??_x000c_&quot;_x001b__x000d__x0015_U_x0001__138 - OtherReceivableAccount_31012010 21" xfId="5979" xr:uid="{00000000-0005-0000-0000-000081090000}"/>
    <cellStyle name="??_x000c_&quot;_x001b__x000d__x0015_U_138 - OtherReceivableAccount_31012010 22" xfId="4662" xr:uid="{00000000-0005-0000-0000-000082090000}"/>
    <cellStyle name="??_x000c_&quot;_x001b__x000d__x0015_U_x0001__138 - OtherReceivableAccount_31012010 22" xfId="5132" xr:uid="{00000000-0005-0000-0000-000083090000}"/>
    <cellStyle name="??_x000c_&quot;_x001b__x000d__x0015_U_138 - OtherReceivableAccount_31012010 23" xfId="4587" xr:uid="{00000000-0005-0000-0000-000084090000}"/>
    <cellStyle name="??_x000c_&quot;_x001b__x000d__x0015_U_x0001__138 - OtherReceivableAccount_31012010 23" xfId="5308" xr:uid="{00000000-0005-0000-0000-000085090000}"/>
    <cellStyle name="??_x000c_&quot;_x001b__x000d__x0015_U_138 - OtherReceivableAccount_31012010 24" xfId="4579" xr:uid="{00000000-0005-0000-0000-000086090000}"/>
    <cellStyle name="??_x000c_&quot;_x001b__x000d__x0015_U_x0001__138 - OtherReceivableAccount_31012010 24" xfId="4251" xr:uid="{00000000-0005-0000-0000-000087090000}"/>
    <cellStyle name="??_x000c_&quot;_x001b__x000d__x0015_U_138 - OtherReceivableAccount_31012010 25" xfId="5832" xr:uid="{00000000-0005-0000-0000-000088090000}"/>
    <cellStyle name="??_x000c_&quot;_x001b__x000d__x0015_U_x0001__138 - OtherReceivableAccount_31012010 25" xfId="4535" xr:uid="{00000000-0005-0000-0000-000089090000}"/>
    <cellStyle name="??_x000c_&quot;_x001b__x000d__x0015_U_138 - OtherReceivableAccount_31012010 26" xfId="4326" xr:uid="{00000000-0005-0000-0000-00008A090000}"/>
    <cellStyle name="??_x000c_&quot;_x001b__x000d__x0015_U_x0001__138 - OtherReceivableAccount_31012010 26" xfId="5847" xr:uid="{00000000-0005-0000-0000-00008B090000}"/>
    <cellStyle name="??_x000c_&quot;_x001b__x000d__x0015_U_138 - OtherReceivableAccount_31012010 27" xfId="6025" xr:uid="{00000000-0005-0000-0000-00008C090000}"/>
    <cellStyle name="??_x000c_&quot;_x001b__x000d__x0015_U_x0001__138 - OtherReceivableAccount_31012010 27" xfId="6053" xr:uid="{00000000-0005-0000-0000-00008D090000}"/>
    <cellStyle name="??_x000c_&quot;_x001b__x000d__x0015_U_138 - OtherReceivableAccount_31012010 28" xfId="6308" xr:uid="{00000000-0005-0000-0000-00008E090000}"/>
    <cellStyle name="??_x000c_&quot;_x001b__x000d__x0015_U_x0001__138 - OtherReceivableAccount_31012010 28" xfId="6309" xr:uid="{00000000-0005-0000-0000-00008F090000}"/>
    <cellStyle name="??_x000c_&quot;_x001b__x000d__x0015_U_138 - OtherReceivableAccount_31012010 29" xfId="6544" xr:uid="{00000000-0005-0000-0000-000090090000}"/>
    <cellStyle name="??_x000c_&quot;_x001b__x000d__x0015_U_x0001__138 - OtherReceivableAccount_31012010 29" xfId="6463" xr:uid="{00000000-0005-0000-0000-000091090000}"/>
    <cellStyle name="??_x000c_&quot;_x001b__x000d__x0015_U_138 - OtherReceivableAccount_31012010 3" xfId="3465" xr:uid="{00000000-0005-0000-0000-000092090000}"/>
    <cellStyle name="??_x000c_&quot;_x001b__x000d__x0015_U_x0001__138 - OtherReceivableAccount_31012010 3" xfId="3464" xr:uid="{00000000-0005-0000-0000-000093090000}"/>
    <cellStyle name="??_x000c_&quot;_x001b__x000d__x0015_U_138 - OtherReceivableAccount_31012010 30" xfId="6338" xr:uid="{00000000-0005-0000-0000-000094090000}"/>
    <cellStyle name="??_x000c_&quot;_x001b__x000d__x0015_U_x0001__138 - OtherReceivableAccount_31012010 30" xfId="6398" xr:uid="{00000000-0005-0000-0000-000095090000}"/>
    <cellStyle name="??_x000c_&quot;_x001b__x000d__x0015_U_138 - OtherReceivableAccount_31012010 31" xfId="6882" xr:uid="{00000000-0005-0000-0000-000096090000}"/>
    <cellStyle name="??_x000c_&quot;_x001b__x000d__x0015_U_x0001__138 - OtherReceivableAccount_31012010 31" xfId="6883" xr:uid="{00000000-0005-0000-0000-000097090000}"/>
    <cellStyle name="??_x000c_&quot;_x001b__x000d__x0015_U_138 - OtherReceivableAccount_31012010 32" xfId="7771" xr:uid="{00000000-0005-0000-0000-000098090000}"/>
    <cellStyle name="??_x000c_&quot;_x001b__x000d__x0015_U_x0001__138 - OtherReceivableAccount_31012010 32" xfId="7772" xr:uid="{00000000-0005-0000-0000-000099090000}"/>
    <cellStyle name="??_x000c_&quot;_x001b__x000d__x0015_U_138 - OtherReceivableAccount_31012010 33" xfId="8009" xr:uid="{00000000-0005-0000-0000-00009A090000}"/>
    <cellStyle name="??_x000c_&quot;_x001b__x000d__x0015_U_x0001__138 - OtherReceivableAccount_31012010 33" xfId="8152" xr:uid="{00000000-0005-0000-0000-00009B090000}"/>
    <cellStyle name="??_x000c_&quot;_x001b__x000d__x0015_U_138 - OtherReceivableAccount_31012010 34" xfId="7813" xr:uid="{00000000-0005-0000-0000-00009C090000}"/>
    <cellStyle name="??_x000c_&quot;_x001b__x000d__x0015_U_x0001__138 - OtherReceivableAccount_31012010 34" xfId="7907" xr:uid="{00000000-0005-0000-0000-00009D090000}"/>
    <cellStyle name="??_x000c_&quot;_x001b__x000d__x0015_U_138 - OtherReceivableAccount_31012010 35" xfId="8509" xr:uid="{00000000-0005-0000-0000-00009E090000}"/>
    <cellStyle name="??_x000c_&quot;_x001b__x000d__x0015_U_x0001__138 - OtherReceivableAccount_31012010 35" xfId="7944" xr:uid="{00000000-0005-0000-0000-00009F090000}"/>
    <cellStyle name="??_x000c_&quot;_x001b__x000d__x0015_U_138 - OtherReceivableAccount_31012010 36" xfId="8223" xr:uid="{00000000-0005-0000-0000-0000A0090000}"/>
    <cellStyle name="??_x000c_&quot;_x001b__x000d__x0015_U_x0001__138 - OtherReceivableAccount_31012010 36" xfId="8186" xr:uid="{00000000-0005-0000-0000-0000A1090000}"/>
    <cellStyle name="??_x000c_&quot;_x001b__x000d__x0015_U_138 - OtherReceivableAccount_31012010 37" xfId="8070" xr:uid="{00000000-0005-0000-0000-0000A2090000}"/>
    <cellStyle name="??_x000c_&quot;_x001b__x000d__x0015_U_x0001__138 - OtherReceivableAccount_31012010 37" xfId="8119" xr:uid="{00000000-0005-0000-0000-0000A3090000}"/>
    <cellStyle name="??_x000c_&quot;_x001b__x000d__x0015_U_138 - OtherReceivableAccount_31012010 38" xfId="8128" xr:uid="{00000000-0005-0000-0000-0000A4090000}"/>
    <cellStyle name="??_x000c_&quot;_x001b__x000d__x0015_U_x0001__138 - OtherReceivableAccount_31012010 38" xfId="8563" xr:uid="{00000000-0005-0000-0000-0000A5090000}"/>
    <cellStyle name="??_x000c_&quot;_x001b__x000d__x0015_U_138 - OtherReceivableAccount_31012010 39" xfId="9564" xr:uid="{00000000-0005-0000-0000-0000A6090000}"/>
    <cellStyle name="??_x000c_&quot;_x001b__x000d__x0015_U_x0001__138 - OtherReceivableAccount_31012010 39" xfId="9565" xr:uid="{00000000-0005-0000-0000-0000A7090000}"/>
    <cellStyle name="??_x000c_&quot;_x001b__x000d__x0015_U_138 - OtherReceivableAccount_31012010 4" xfId="3201" xr:uid="{00000000-0005-0000-0000-0000A8090000}"/>
    <cellStyle name="??_x000c_&quot;_x001b__x000d__x0015_U_x0001__138 - OtherReceivableAccount_31012010 4" xfId="3202" xr:uid="{00000000-0005-0000-0000-0000A9090000}"/>
    <cellStyle name="??_x000c_&quot;_x001b__x000d__x0015_U_138 - OtherReceivableAccount_31012010 40" xfId="11965" xr:uid="{00000000-0005-0000-0000-0000AA090000}"/>
    <cellStyle name="??_x000c_&quot;_x001b__x000d__x0015_U_x0001__138 - OtherReceivableAccount_31012010 40" xfId="11966" xr:uid="{00000000-0005-0000-0000-0000AB090000}"/>
    <cellStyle name="??_x000c_&quot;_x001b__x000d__x0015_U_138 - OtherReceivableAccount_31012010 41" xfId="11967" xr:uid="{00000000-0005-0000-0000-0000AC090000}"/>
    <cellStyle name="??_x000c_&quot;_x001b__x000d__x0015_U_x0001__138 - OtherReceivableAccount_31012010 41" xfId="11968" xr:uid="{00000000-0005-0000-0000-0000AD090000}"/>
    <cellStyle name="??_x000c_&quot;_x001b__x000d__x0015_U_138 - OtherReceivableAccount_31012010 42" xfId="11969" xr:uid="{00000000-0005-0000-0000-0000AE090000}"/>
    <cellStyle name="??_x000c_&quot;_x001b__x000d__x0015_U_x0001__138 - OtherReceivableAccount_31012010 42" xfId="11970" xr:uid="{00000000-0005-0000-0000-0000AF090000}"/>
    <cellStyle name="??_x000c_&quot;_x001b__x000d__x0015_U_138 - OtherReceivableAccount_31012010 43" xfId="20778" xr:uid="{00000000-0005-0000-0000-0000B0090000}"/>
    <cellStyle name="??_x000c_&quot;_x001b__x000d__x0015_U_x0001__138 - OtherReceivableAccount_31012010 43" xfId="20779" xr:uid="{00000000-0005-0000-0000-0000B1090000}"/>
    <cellStyle name="??_x000c_&quot;_x001b__x000d__x0015_U_138 - OtherReceivableAccount_31012010 5" xfId="3615" xr:uid="{00000000-0005-0000-0000-0000B2090000}"/>
    <cellStyle name="??_x000c_&quot;_x001b__x000d__x0015_U_x0001__138 - OtherReceivableAccount_31012010 5" xfId="3595" xr:uid="{00000000-0005-0000-0000-0000B3090000}"/>
    <cellStyle name="??_x000c_&quot;_x001b__x000d__x0015_U_138 - OtherReceivableAccount_31012010 6" xfId="3697" xr:uid="{00000000-0005-0000-0000-0000B4090000}"/>
    <cellStyle name="??_x000c_&quot;_x001b__x000d__x0015_U_x0001__138 - OtherReceivableAccount_31012010 6" xfId="3698" xr:uid="{00000000-0005-0000-0000-0000B5090000}"/>
    <cellStyle name="??_x000c_&quot;_x001b__x000d__x0015_U_138 - OtherReceivableAccount_31012010 7" xfId="3821" xr:uid="{00000000-0005-0000-0000-0000B6090000}"/>
    <cellStyle name="??_x000c_&quot;_x001b__x000d__x0015_U_x0001__138 - OtherReceivableAccount_31012010 7" xfId="3820" xr:uid="{00000000-0005-0000-0000-0000B7090000}"/>
    <cellStyle name="??_x000c_&quot;_x001b__x000d__x0015_U_138 - OtherReceivableAccount_31012010 8" xfId="3750" xr:uid="{00000000-0005-0000-0000-0000B8090000}"/>
    <cellStyle name="??_x000c_&quot;_x001b__x000d__x0015_U_x0001__138 - OtherReceivableAccount_31012010 8" xfId="3751" xr:uid="{00000000-0005-0000-0000-0000B9090000}"/>
    <cellStyle name="??_x000c_&quot;_x001b__x000d__x0015_U_138 - OtherReceivableAccount_31012010 9" xfId="4017" xr:uid="{00000000-0005-0000-0000-0000BA090000}"/>
    <cellStyle name="??_x000c_&quot;_x001b__x000d__x0015_U_x0001__138 - OtherReceivableAccount_31012010 9" xfId="4018" xr:uid="{00000000-0005-0000-0000-0000BB090000}"/>
    <cellStyle name="??_x000c_&quot;_x001b__x000d__x0015_U_138 - OtherReceivableAccount_31122009" xfId="92" xr:uid="{00000000-0005-0000-0000-0000BC090000}"/>
    <cellStyle name="??_x000c_&quot;_x001b__x000d__x0015_U_x0001__138 - OtherReceivableAccount_31122009" xfId="93" xr:uid="{00000000-0005-0000-0000-0000BD090000}"/>
    <cellStyle name="??_x000c_&quot;_x001b__x000d__x0015_U_138 - OtherReceivableAccount_31122009 10" xfId="4203" xr:uid="{00000000-0005-0000-0000-0000BE090000}"/>
    <cellStyle name="??_x000c_&quot;_x001b__x000d__x0015_U_x0001__138 - OtherReceivableAccount_31122009 10" xfId="4204" xr:uid="{00000000-0005-0000-0000-0000BF090000}"/>
    <cellStyle name="??_x000c_&quot;_x001b__x000d__x0015_U_138 - OtherReceivableAccount_31122009 11" xfId="5400" xr:uid="{00000000-0005-0000-0000-0000C0090000}"/>
    <cellStyle name="??_x000c_&quot;_x001b__x000d__x0015_U_x0001__138 - OtherReceivableAccount_31122009 11" xfId="4927" xr:uid="{00000000-0005-0000-0000-0000C1090000}"/>
    <cellStyle name="??_x000c_&quot;_x001b__x000d__x0015_U_138 - OtherReceivableAccount_31122009 12" xfId="5513" xr:uid="{00000000-0005-0000-0000-0000C2090000}"/>
    <cellStyle name="??_x000c_&quot;_x001b__x000d__x0015_U_x0001__138 - OtherReceivableAccount_31122009 12" xfId="5157" xr:uid="{00000000-0005-0000-0000-0000C3090000}"/>
    <cellStyle name="??_x000c_&quot;_x001b__x000d__x0015_U_138 - OtherReceivableAccount_31122009 13" xfId="4898" xr:uid="{00000000-0005-0000-0000-0000C4090000}"/>
    <cellStyle name="??_x000c_&quot;_x001b__x000d__x0015_U_x0001__138 - OtherReceivableAccount_31122009 13" xfId="5343" xr:uid="{00000000-0005-0000-0000-0000C5090000}"/>
    <cellStyle name="??_x000c_&quot;_x001b__x000d__x0015_U_138 - OtherReceivableAccount_31122009 14" xfId="4399" xr:uid="{00000000-0005-0000-0000-0000C6090000}"/>
    <cellStyle name="??_x000c_&quot;_x001b__x000d__x0015_U_x0001__138 - OtherReceivableAccount_31122009 14" xfId="5505" xr:uid="{00000000-0005-0000-0000-0000C7090000}"/>
    <cellStyle name="??_x000c_&quot;_x001b__x000d__x0015_U_138 - OtherReceivableAccount_31122009 15" xfId="4679" xr:uid="{00000000-0005-0000-0000-0000C8090000}"/>
    <cellStyle name="??_x000c_&quot;_x001b__x000d__x0015_U_x0001__138 - OtherReceivableAccount_31122009 15" xfId="5344" xr:uid="{00000000-0005-0000-0000-0000C9090000}"/>
    <cellStyle name="??_x000c_&quot;_x001b__x000d__x0015_U_138 - OtherReceivableAccount_31122009 16" xfId="4521" xr:uid="{00000000-0005-0000-0000-0000CA090000}"/>
    <cellStyle name="??_x000c_&quot;_x001b__x000d__x0015_U_x0001__138 - OtherReceivableAccount_31122009 16" xfId="5452" xr:uid="{00000000-0005-0000-0000-0000CB090000}"/>
    <cellStyle name="??_x000c_&quot;_x001b__x000d__x0015_U_138 - OtherReceivableAccount_31122009 17" xfId="5923" xr:uid="{00000000-0005-0000-0000-0000CC090000}"/>
    <cellStyle name="??_x000c_&quot;_x001b__x000d__x0015_U_x0001__138 - OtherReceivableAccount_31122009 17" xfId="5310" xr:uid="{00000000-0005-0000-0000-0000CD090000}"/>
    <cellStyle name="??_x000c_&quot;_x001b__x000d__x0015_U_138 - OtherReceivableAccount_31122009 18" xfId="5479" xr:uid="{00000000-0005-0000-0000-0000CE090000}"/>
    <cellStyle name="??_x000c_&quot;_x001b__x000d__x0015_U_x0001__138 - OtherReceivableAccount_31122009 18" xfId="6056" xr:uid="{00000000-0005-0000-0000-0000CF090000}"/>
    <cellStyle name="??_x000c_&quot;_x001b__x000d__x0015_U_138 - OtherReceivableAccount_31122009 19" xfId="5217" xr:uid="{00000000-0005-0000-0000-0000D0090000}"/>
    <cellStyle name="??_x000c_&quot;_x001b__x000d__x0015_U_x0001__138 - OtherReceivableAccount_31122009 19" xfId="6127" xr:uid="{00000000-0005-0000-0000-0000D1090000}"/>
    <cellStyle name="??_x000c_&quot;_x001b__x000d__x0015_U_138 - OtherReceivableAccount_31122009 2" xfId="3096" xr:uid="{00000000-0005-0000-0000-0000D2090000}"/>
    <cellStyle name="??_x000c_&quot;_x001b__x000d__x0015_U_x0001__138 - OtherReceivableAccount_31122009 2" xfId="3097" xr:uid="{00000000-0005-0000-0000-0000D3090000}"/>
    <cellStyle name="??_x000c_&quot;_x001b__x000d__x0015_U_138 - OtherReceivableAccount_31122009 20" xfId="4420" xr:uid="{00000000-0005-0000-0000-0000D4090000}"/>
    <cellStyle name="??_x000c_&quot;_x001b__x000d__x0015_U_x0001__138 - OtherReceivableAccount_31122009 20" xfId="5059" xr:uid="{00000000-0005-0000-0000-0000D5090000}"/>
    <cellStyle name="??_x000c_&quot;_x001b__x000d__x0015_U_138 - OtherReceivableAccount_31122009 21" xfId="5491" xr:uid="{00000000-0005-0000-0000-0000D6090000}"/>
    <cellStyle name="??_x000c_&quot;_x001b__x000d__x0015_U_x0001__138 - OtherReceivableAccount_31122009 21" xfId="5177" xr:uid="{00000000-0005-0000-0000-0000D7090000}"/>
    <cellStyle name="??_x000c_&quot;_x001b__x000d__x0015_U_138 - OtherReceivableAccount_31122009 22" xfId="4833" xr:uid="{00000000-0005-0000-0000-0000D8090000}"/>
    <cellStyle name="??_x000c_&quot;_x001b__x000d__x0015_U_x0001__138 - OtherReceivableAccount_31122009 22" xfId="5243" xr:uid="{00000000-0005-0000-0000-0000D9090000}"/>
    <cellStyle name="??_x000c_&quot;_x001b__x000d__x0015_U_138 - OtherReceivableAccount_31122009 23" xfId="5295" xr:uid="{00000000-0005-0000-0000-0000DA090000}"/>
    <cellStyle name="??_x000c_&quot;_x001b__x000d__x0015_U_x0001__138 - OtherReceivableAccount_31122009 23" xfId="5274" xr:uid="{00000000-0005-0000-0000-0000DB090000}"/>
    <cellStyle name="??_x000c_&quot;_x001b__x000d__x0015_U_138 - OtherReceivableAccount_31122009 24" xfId="6031" xr:uid="{00000000-0005-0000-0000-0000DC090000}"/>
    <cellStyle name="??_x000c_&quot;_x001b__x000d__x0015_U_x0001__138 - OtherReceivableAccount_31122009 24" xfId="5870" xr:uid="{00000000-0005-0000-0000-0000DD090000}"/>
    <cellStyle name="??_x000c_&quot;_x001b__x000d__x0015_U_138 - OtherReceivableAccount_31122009 25" xfId="6060" xr:uid="{00000000-0005-0000-0000-0000DE090000}"/>
    <cellStyle name="??_x000c_&quot;_x001b__x000d__x0015_U_x0001__138 - OtherReceivableAccount_31122009 25" xfId="5539" xr:uid="{00000000-0005-0000-0000-0000DF090000}"/>
    <cellStyle name="??_x000c_&quot;_x001b__x000d__x0015_U_138 - OtherReceivableAccount_31122009 26" xfId="5432" xr:uid="{00000000-0005-0000-0000-0000E0090000}"/>
    <cellStyle name="??_x000c_&quot;_x001b__x000d__x0015_U_x0001__138 - OtherReceivableAccount_31122009 26" xfId="4622" xr:uid="{00000000-0005-0000-0000-0000E1090000}"/>
    <cellStyle name="??_x000c_&quot;_x001b__x000d__x0015_U_138 - OtherReceivableAccount_31122009 27" xfId="4317" xr:uid="{00000000-0005-0000-0000-0000E2090000}"/>
    <cellStyle name="??_x000c_&quot;_x001b__x000d__x0015_U_x0001__138 - OtherReceivableAccount_31122009 27" xfId="5498" xr:uid="{00000000-0005-0000-0000-0000E3090000}"/>
    <cellStyle name="??_x000c_&quot;_x001b__x000d__x0015_U_138 - OtherReceivableAccount_31122009 28" xfId="6310" xr:uid="{00000000-0005-0000-0000-0000E4090000}"/>
    <cellStyle name="??_x000c_&quot;_x001b__x000d__x0015_U_x0001__138 - OtherReceivableAccount_31122009 28" xfId="6311" xr:uid="{00000000-0005-0000-0000-0000E5090000}"/>
    <cellStyle name="??_x000c_&quot;_x001b__x000d__x0015_U_138 - OtherReceivableAccount_31122009 29" xfId="6543" xr:uid="{00000000-0005-0000-0000-0000E6090000}"/>
    <cellStyle name="??_x000c_&quot;_x001b__x000d__x0015_U_x0001__138 - OtherReceivableAccount_31122009 29" xfId="6462" xr:uid="{00000000-0005-0000-0000-0000E7090000}"/>
    <cellStyle name="??_x000c_&quot;_x001b__x000d__x0015_U_138 - OtherReceivableAccount_31122009 3" xfId="3463" xr:uid="{00000000-0005-0000-0000-0000E8090000}"/>
    <cellStyle name="??_x000c_&quot;_x001b__x000d__x0015_U_x0001__138 - OtherReceivableAccount_31122009 3" xfId="3462" xr:uid="{00000000-0005-0000-0000-0000E9090000}"/>
    <cellStyle name="??_x000c_&quot;_x001b__x000d__x0015_U_138 - OtherReceivableAccount_31122009 30" xfId="6339" xr:uid="{00000000-0005-0000-0000-0000EA090000}"/>
    <cellStyle name="??_x000c_&quot;_x001b__x000d__x0015_U_x0001__138 - OtherReceivableAccount_31122009 30" xfId="6399" xr:uid="{00000000-0005-0000-0000-0000EB090000}"/>
    <cellStyle name="??_x000c_&quot;_x001b__x000d__x0015_U_138 - OtherReceivableAccount_31122009 31" xfId="6884" xr:uid="{00000000-0005-0000-0000-0000EC090000}"/>
    <cellStyle name="??_x000c_&quot;_x001b__x000d__x0015_U_x0001__138 - OtherReceivableAccount_31122009 31" xfId="6885" xr:uid="{00000000-0005-0000-0000-0000ED090000}"/>
    <cellStyle name="??_x000c_&quot;_x001b__x000d__x0015_U_138 - OtherReceivableAccount_31122009 32" xfId="7773" xr:uid="{00000000-0005-0000-0000-0000EE090000}"/>
    <cellStyle name="??_x000c_&quot;_x001b__x000d__x0015_U_x0001__138 - OtherReceivableAccount_31122009 32" xfId="7774" xr:uid="{00000000-0005-0000-0000-0000EF090000}"/>
    <cellStyle name="??_x000c_&quot;_x001b__x000d__x0015_U_138 - OtherReceivableAccount_31122009 33" xfId="8008" xr:uid="{00000000-0005-0000-0000-0000F0090000}"/>
    <cellStyle name="??_x000c_&quot;_x001b__x000d__x0015_U_x0001__138 - OtherReceivableAccount_31122009 33" xfId="8151" xr:uid="{00000000-0005-0000-0000-0000F1090000}"/>
    <cellStyle name="??_x000c_&quot;_x001b__x000d__x0015_U_138 - OtherReceivableAccount_31122009 34" xfId="7814" xr:uid="{00000000-0005-0000-0000-0000F2090000}"/>
    <cellStyle name="??_x000c_&quot;_x001b__x000d__x0015_U_x0001__138 - OtherReceivableAccount_31122009 34" xfId="7908" xr:uid="{00000000-0005-0000-0000-0000F3090000}"/>
    <cellStyle name="??_x000c_&quot;_x001b__x000d__x0015_U_138 - OtherReceivableAccount_31122009 35" xfId="8513" xr:uid="{00000000-0005-0000-0000-0000F4090000}"/>
    <cellStyle name="??_x000c_&quot;_x001b__x000d__x0015_U_x0001__138 - OtherReceivableAccount_31122009 35" xfId="7826" xr:uid="{00000000-0005-0000-0000-0000F5090000}"/>
    <cellStyle name="??_x000c_&quot;_x001b__x000d__x0015_U_138 - OtherReceivableAccount_31122009 36" xfId="9418" xr:uid="{00000000-0005-0000-0000-0000F6090000}"/>
    <cellStyle name="??_x000c_&quot;_x001b__x000d__x0015_U_x0001__138 - OtherReceivableAccount_31122009 36" xfId="9388" xr:uid="{00000000-0005-0000-0000-0000F7090000}"/>
    <cellStyle name="??_x000c_&quot;_x001b__x000d__x0015_U_138 - OtherReceivableAccount_31122009 37" xfId="9419" xr:uid="{00000000-0005-0000-0000-0000F8090000}"/>
    <cellStyle name="??_x000c_&quot;_x001b__x000d__x0015_U_x0001__138 - OtherReceivableAccount_31122009 37" xfId="8550" xr:uid="{00000000-0005-0000-0000-0000F9090000}"/>
    <cellStyle name="??_x000c_&quot;_x001b__x000d__x0015_U_138 - OtherReceivableAccount_31122009 38" xfId="8323" xr:uid="{00000000-0005-0000-0000-0000FA090000}"/>
    <cellStyle name="??_x000c_&quot;_x001b__x000d__x0015_U_x0001__138 - OtherReceivableAccount_31122009 38" xfId="8332" xr:uid="{00000000-0005-0000-0000-0000FB090000}"/>
    <cellStyle name="??_x000c_&quot;_x001b__x000d__x0015_U_138 - OtherReceivableAccount_31122009 39" xfId="9566" xr:uid="{00000000-0005-0000-0000-0000FC090000}"/>
    <cellStyle name="??_x000c_&quot;_x001b__x000d__x0015_U_x0001__138 - OtherReceivableAccount_31122009 39" xfId="9567" xr:uid="{00000000-0005-0000-0000-0000FD090000}"/>
    <cellStyle name="??_x000c_&quot;_x001b__x000d__x0015_U_138 - OtherReceivableAccount_31122009 4" xfId="3203" xr:uid="{00000000-0005-0000-0000-0000FE090000}"/>
    <cellStyle name="??_x000c_&quot;_x001b__x000d__x0015_U_x0001__138 - OtherReceivableAccount_31122009 4" xfId="3204" xr:uid="{00000000-0005-0000-0000-0000FF090000}"/>
    <cellStyle name="??_x000c_&quot;_x001b__x000d__x0015_U_138 - OtherReceivableAccount_31122009 40" xfId="11971" xr:uid="{00000000-0005-0000-0000-0000000A0000}"/>
    <cellStyle name="??_x000c_&quot;_x001b__x000d__x0015_U_x0001__138 - OtherReceivableAccount_31122009 40" xfId="11972" xr:uid="{00000000-0005-0000-0000-0000010A0000}"/>
    <cellStyle name="??_x000c_&quot;_x001b__x000d__x0015_U_138 - OtherReceivableAccount_31122009 41" xfId="11973" xr:uid="{00000000-0005-0000-0000-0000020A0000}"/>
    <cellStyle name="??_x000c_&quot;_x001b__x000d__x0015_U_x0001__138 - OtherReceivableAccount_31122009 41" xfId="11974" xr:uid="{00000000-0005-0000-0000-0000030A0000}"/>
    <cellStyle name="??_x000c_&quot;_x001b__x000d__x0015_U_138 - OtherReceivableAccount_31122009 42" xfId="11975" xr:uid="{00000000-0005-0000-0000-0000040A0000}"/>
    <cellStyle name="??_x000c_&quot;_x001b__x000d__x0015_U_x0001__138 - OtherReceivableAccount_31122009 42" xfId="11976" xr:uid="{00000000-0005-0000-0000-0000050A0000}"/>
    <cellStyle name="??_x000c_&quot;_x001b__x000d__x0015_U_138 - OtherReceivableAccount_31122009 43" xfId="20780" xr:uid="{00000000-0005-0000-0000-0000060A0000}"/>
    <cellStyle name="??_x000c_&quot;_x001b__x000d__x0015_U_x0001__138 - OtherReceivableAccount_31122009 43" xfId="20781" xr:uid="{00000000-0005-0000-0000-0000070A0000}"/>
    <cellStyle name="??_x000c_&quot;_x001b__x000d__x0015_U_138 - OtherReceivableAccount_31122009 5" xfId="3622" xr:uid="{00000000-0005-0000-0000-0000080A0000}"/>
    <cellStyle name="??_x000c_&quot;_x001b__x000d__x0015_U_x0001__138 - OtherReceivableAccount_31122009 5" xfId="3163" xr:uid="{00000000-0005-0000-0000-0000090A0000}"/>
    <cellStyle name="??_x000c_&quot;_x001b__x000d__x0015_U_138 - OtherReceivableAccount_31122009 6" xfId="3699" xr:uid="{00000000-0005-0000-0000-00000A0A0000}"/>
    <cellStyle name="??_x000c_&quot;_x001b__x000d__x0015_U_x0001__138 - OtherReceivableAccount_31122009 6" xfId="3700" xr:uid="{00000000-0005-0000-0000-00000B0A0000}"/>
    <cellStyle name="??_x000c_&quot;_x001b__x000d__x0015_U_138 - OtherReceivableAccount_31122009 7" xfId="3819" xr:uid="{00000000-0005-0000-0000-00000C0A0000}"/>
    <cellStyle name="??_x000c_&quot;_x001b__x000d__x0015_U_x0001__138 - OtherReceivableAccount_31122009 7" xfId="3818" xr:uid="{00000000-0005-0000-0000-00000D0A0000}"/>
    <cellStyle name="??_x000c_&quot;_x001b__x000d__x0015_U_138 - OtherReceivableAccount_31122009 8" xfId="3752" xr:uid="{00000000-0005-0000-0000-00000E0A0000}"/>
    <cellStyle name="??_x000c_&quot;_x001b__x000d__x0015_U_x0001__138 - OtherReceivableAccount_31122009 8" xfId="3753" xr:uid="{00000000-0005-0000-0000-00000F0A0000}"/>
    <cellStyle name="??_x000c_&quot;_x001b__x000d__x0015_U_138 - OtherReceivableAccount_31122009 9" xfId="4019" xr:uid="{00000000-0005-0000-0000-0000100A0000}"/>
    <cellStyle name="??_x000c_&quot;_x001b__x000d__x0015_U_x0001__138 - OtherReceivableAccount_31122009 9" xfId="4020" xr:uid="{00000000-0005-0000-0000-0000110A0000}"/>
    <cellStyle name="??_x000c_&quot;_x001b__x000d__x0015_U_138 - OtherReceivableAccount_31122009_EVALUATION_EX_311208" xfId="94" xr:uid="{00000000-0005-0000-0000-0000120A0000}"/>
    <cellStyle name="??_x000c_&quot;_x001b__x000d__x0015_U_x0001__138 - OtherReceivableAccount_31122009_EVALUATION_EX_311208" xfId="95" xr:uid="{00000000-0005-0000-0000-0000130A0000}"/>
    <cellStyle name="??_x000c_&quot;_x001b__x000d__x0015_U_138 - OtherReceivableAccount_31122009_EVALUATION_EX_311208 10" xfId="4205" xr:uid="{00000000-0005-0000-0000-0000140A0000}"/>
    <cellStyle name="??_x000c_&quot;_x001b__x000d__x0015_U_x0001__138 - OtherReceivableAccount_31122009_EVALUATION_EX_311208 10" xfId="4206" xr:uid="{00000000-0005-0000-0000-0000150A0000}"/>
    <cellStyle name="??_x000c_&quot;_x001b__x000d__x0015_U_138 - OtherReceivableAccount_31122009_EVALUATION_EX_311208 11" xfId="5399" xr:uid="{00000000-0005-0000-0000-0000160A0000}"/>
    <cellStyle name="??_x000c_&quot;_x001b__x000d__x0015_U_x0001__138 - OtherReceivableAccount_31122009_EVALUATION_EX_311208 11" xfId="4926" xr:uid="{00000000-0005-0000-0000-0000170A0000}"/>
    <cellStyle name="??_x000c_&quot;_x001b__x000d__x0015_U_138 - OtherReceivableAccount_31122009_EVALUATION_EX_311208 12" xfId="5533" xr:uid="{00000000-0005-0000-0000-0000180A0000}"/>
    <cellStyle name="??_x000c_&quot;_x001b__x000d__x0015_U_x0001__138 - OtherReceivableAccount_31122009_EVALUATION_EX_311208 12" xfId="5053" xr:uid="{00000000-0005-0000-0000-0000190A0000}"/>
    <cellStyle name="??_x000c_&quot;_x001b__x000d__x0015_U_138 - OtherReceivableAccount_31122009_EVALUATION_EX_311208 13" xfId="4897" xr:uid="{00000000-0005-0000-0000-00001A0A0000}"/>
    <cellStyle name="??_x000c_&quot;_x001b__x000d__x0015_U_x0001__138 - OtherReceivableAccount_31122009_EVALUATION_EX_311208 13" xfId="5342" xr:uid="{00000000-0005-0000-0000-00001B0A0000}"/>
    <cellStyle name="??_x000c_&quot;_x001b__x000d__x0015_U_138 - OtherReceivableAccount_31122009_EVALUATION_EX_311208 14" xfId="5065" xr:uid="{00000000-0005-0000-0000-00001C0A0000}"/>
    <cellStyle name="??_x000c_&quot;_x001b__x000d__x0015_U_x0001__138 - OtherReceivableAccount_31122009_EVALUATION_EX_311208 14" xfId="4468" xr:uid="{00000000-0005-0000-0000-00001D0A0000}"/>
    <cellStyle name="??_x000c_&quot;_x001b__x000d__x0015_U_138 - OtherReceivableAccount_31122009_EVALUATION_EX_311208 15" xfId="4678" xr:uid="{00000000-0005-0000-0000-00001E0A0000}"/>
    <cellStyle name="??_x000c_&quot;_x001b__x000d__x0015_U_x0001__138 - OtherReceivableAccount_31122009_EVALUATION_EX_311208 15" xfId="5136" xr:uid="{00000000-0005-0000-0000-00001F0A0000}"/>
    <cellStyle name="??_x000c_&quot;_x001b__x000d__x0015_U_138 - OtherReceivableAccount_31122009_EVALUATION_EX_311208 16" xfId="5303" xr:uid="{00000000-0005-0000-0000-0000200A0000}"/>
    <cellStyle name="??_x000c_&quot;_x001b__x000d__x0015_U_x0001__138 - OtherReceivableAccount_31122009_EVALUATION_EX_311208 16" xfId="4522" xr:uid="{00000000-0005-0000-0000-0000210A0000}"/>
    <cellStyle name="??_x000c_&quot;_x001b__x000d__x0015_U_138 - OtherReceivableAccount_31122009_EVALUATION_EX_311208 17" xfId="5312" xr:uid="{00000000-0005-0000-0000-0000220A0000}"/>
    <cellStyle name="??_x000c_&quot;_x001b__x000d__x0015_U_x0001__138 - OtherReceivableAccount_31122009_EVALUATION_EX_311208 17" xfId="4287" xr:uid="{00000000-0005-0000-0000-0000230A0000}"/>
    <cellStyle name="??_x000c_&quot;_x001b__x000d__x0015_U_138 - OtherReceivableAccount_31122009_EVALUATION_EX_311208 18" xfId="5436" xr:uid="{00000000-0005-0000-0000-0000240A0000}"/>
    <cellStyle name="??_x000c_&quot;_x001b__x000d__x0015_U_x0001__138 - OtherReceivableAccount_31122009_EVALUATION_EX_311208 18" xfId="6058" xr:uid="{00000000-0005-0000-0000-0000250A0000}"/>
    <cellStyle name="??_x000c_&quot;_x001b__x000d__x0015_U_138 - OtherReceivableAccount_31122009_EVALUATION_EX_311208 19" xfId="5958" xr:uid="{00000000-0005-0000-0000-0000260A0000}"/>
    <cellStyle name="??_x000c_&quot;_x001b__x000d__x0015_U_x0001__138 - OtherReceivableAccount_31122009_EVALUATION_EX_311208 19" xfId="6121" xr:uid="{00000000-0005-0000-0000-0000270A0000}"/>
    <cellStyle name="??_x000c_&quot;_x001b__x000d__x0015_U_138 - OtherReceivableAccount_31122009_EVALUATION_EX_311208 2" xfId="3098" xr:uid="{00000000-0005-0000-0000-0000280A0000}"/>
    <cellStyle name="??_x000c_&quot;_x001b__x000d__x0015_U_x0001__138 - OtherReceivableAccount_31122009_EVALUATION_EX_311208 2" xfId="3099" xr:uid="{00000000-0005-0000-0000-0000290A0000}"/>
    <cellStyle name="??_x000c_&quot;_x001b__x000d__x0015_U_138 - OtherReceivableAccount_31122009_EVALUATION_EX_311208 20" xfId="4279" xr:uid="{00000000-0005-0000-0000-00002A0A0000}"/>
    <cellStyle name="??_x000c_&quot;_x001b__x000d__x0015_U_x0001__138 - OtherReceivableAccount_31122009_EVALUATION_EX_311208 20" xfId="4648" xr:uid="{00000000-0005-0000-0000-00002B0A0000}"/>
    <cellStyle name="??_x000c_&quot;_x001b__x000d__x0015_U_138 - OtherReceivableAccount_31122009_EVALUATION_EX_311208 21" xfId="6024" xr:uid="{00000000-0005-0000-0000-00002C0A0000}"/>
    <cellStyle name="??_x000c_&quot;_x001b__x000d__x0015_U_x0001__138 - OtherReceivableAccount_31122009_EVALUATION_EX_311208 21" xfId="5204" xr:uid="{00000000-0005-0000-0000-00002D0A0000}"/>
    <cellStyle name="??_x000c_&quot;_x001b__x000d__x0015_U_138 - OtherReceivableAccount_31122009_EVALUATION_EX_311208 22" xfId="5843" xr:uid="{00000000-0005-0000-0000-00002E0A0000}"/>
    <cellStyle name="??_x000c_&quot;_x001b__x000d__x0015_U_x0001__138 - OtherReceivableAccount_31122009_EVALUATION_EX_311208 22" xfId="4577" xr:uid="{00000000-0005-0000-0000-00002F0A0000}"/>
    <cellStyle name="??_x000c_&quot;_x001b__x000d__x0015_U_138 - OtherReceivableAccount_31122009_EVALUATION_EX_311208 23" xfId="4586" xr:uid="{00000000-0005-0000-0000-0000300A0000}"/>
    <cellStyle name="??_x000c_&quot;_x001b__x000d__x0015_U_x0001__138 - OtherReceivableAccount_31122009_EVALUATION_EX_311208 23" xfId="6004" xr:uid="{00000000-0005-0000-0000-0000310A0000}"/>
    <cellStyle name="??_x000c_&quot;_x001b__x000d__x0015_U_138 - OtherReceivableAccount_31122009_EVALUATION_EX_311208 24" xfId="4283" xr:uid="{00000000-0005-0000-0000-0000320A0000}"/>
    <cellStyle name="??_x000c_&quot;_x001b__x000d__x0015_U_x0001__138 - OtherReceivableAccount_31122009_EVALUATION_EX_311208 24" xfId="4866" xr:uid="{00000000-0005-0000-0000-0000330A0000}"/>
    <cellStyle name="??_x000c_&quot;_x001b__x000d__x0015_U_138 - OtherReceivableAccount_31122009_EVALUATION_EX_311208 25" xfId="5111" xr:uid="{00000000-0005-0000-0000-0000340A0000}"/>
    <cellStyle name="??_x000c_&quot;_x001b__x000d__x0015_U_x0001__138 - OtherReceivableAccount_31122009_EVALUATION_EX_311208 25" xfId="4266" xr:uid="{00000000-0005-0000-0000-0000350A0000}"/>
    <cellStyle name="??_x000c_&quot;_x001b__x000d__x0015_U_138 - OtherReceivableAccount_31122009_EVALUATION_EX_311208 26" xfId="4509" xr:uid="{00000000-0005-0000-0000-0000360A0000}"/>
    <cellStyle name="??_x000c_&quot;_x001b__x000d__x0015_U_x0001__138 - OtherReceivableAccount_31122009_EVALUATION_EX_311208 26" xfId="4861" xr:uid="{00000000-0005-0000-0000-0000370A0000}"/>
    <cellStyle name="??_x000c_&quot;_x001b__x000d__x0015_U_138 - OtherReceivableAccount_31122009_EVALUATION_EX_311208 27" xfId="5269" xr:uid="{00000000-0005-0000-0000-0000380A0000}"/>
    <cellStyle name="??_x000c_&quot;_x001b__x000d__x0015_U_x0001__138 - OtherReceivableAccount_31122009_EVALUATION_EX_311208 27" xfId="4330" xr:uid="{00000000-0005-0000-0000-0000390A0000}"/>
    <cellStyle name="??_x000c_&quot;_x001b__x000d__x0015_U_138 - OtherReceivableAccount_31122009_EVALUATION_EX_311208 28" xfId="6312" xr:uid="{00000000-0005-0000-0000-00003A0A0000}"/>
    <cellStyle name="??_x000c_&quot;_x001b__x000d__x0015_U_x0001__138 - OtherReceivableAccount_31122009_EVALUATION_EX_311208 28" xfId="6313" xr:uid="{00000000-0005-0000-0000-00003B0A0000}"/>
    <cellStyle name="??_x000c_&quot;_x001b__x000d__x0015_U_138 - OtherReceivableAccount_31122009_EVALUATION_EX_311208 29" xfId="6542" xr:uid="{00000000-0005-0000-0000-00003C0A0000}"/>
    <cellStyle name="??_x000c_&quot;_x001b__x000d__x0015_U_x0001__138 - OtherReceivableAccount_31122009_EVALUATION_EX_311208 29" xfId="6461" xr:uid="{00000000-0005-0000-0000-00003D0A0000}"/>
    <cellStyle name="??_x000c_&quot;_x001b__x000d__x0015_U_138 - OtherReceivableAccount_31122009_EVALUATION_EX_311208 3" xfId="3461" xr:uid="{00000000-0005-0000-0000-00003E0A0000}"/>
    <cellStyle name="??_x000c_&quot;_x001b__x000d__x0015_U_x0001__138 - OtherReceivableAccount_31122009_EVALUATION_EX_311208 3" xfId="3460" xr:uid="{00000000-0005-0000-0000-00003F0A0000}"/>
    <cellStyle name="??_x000c_&quot;_x001b__x000d__x0015_U_138 - OtherReceivableAccount_31122009_EVALUATION_EX_311208 30" xfId="6340" xr:uid="{00000000-0005-0000-0000-0000400A0000}"/>
    <cellStyle name="??_x000c_&quot;_x001b__x000d__x0015_U_x0001__138 - OtherReceivableAccount_31122009_EVALUATION_EX_311208 30" xfId="6400" xr:uid="{00000000-0005-0000-0000-0000410A0000}"/>
    <cellStyle name="??_x000c_&quot;_x001b__x000d__x0015_U_138 - OtherReceivableAccount_31122009_EVALUATION_EX_311208 31" xfId="6886" xr:uid="{00000000-0005-0000-0000-0000420A0000}"/>
    <cellStyle name="??_x000c_&quot;_x001b__x000d__x0015_U_x0001__138 - OtherReceivableAccount_31122009_EVALUATION_EX_311208 31" xfId="6887" xr:uid="{00000000-0005-0000-0000-0000430A0000}"/>
    <cellStyle name="??_x000c_&quot;_x001b__x000d__x0015_U_138 - OtherReceivableAccount_31122009_EVALUATION_EX_311208 32" xfId="7775" xr:uid="{00000000-0005-0000-0000-0000440A0000}"/>
    <cellStyle name="??_x000c_&quot;_x001b__x000d__x0015_U_x0001__138 - OtherReceivableAccount_31122009_EVALUATION_EX_311208 32" xfId="7776" xr:uid="{00000000-0005-0000-0000-0000450A0000}"/>
    <cellStyle name="??_x000c_&quot;_x001b__x000d__x0015_U_138 - OtherReceivableAccount_31122009_EVALUATION_EX_311208 33" xfId="8007" xr:uid="{00000000-0005-0000-0000-0000460A0000}"/>
    <cellStyle name="??_x000c_&quot;_x001b__x000d__x0015_U_x0001__138 - OtherReceivableAccount_31122009_EVALUATION_EX_311208 33" xfId="8150" xr:uid="{00000000-0005-0000-0000-0000470A0000}"/>
    <cellStyle name="??_x000c_&quot;_x001b__x000d__x0015_U_138 - OtherReceivableAccount_31122009_EVALUATION_EX_311208 34" xfId="7815" xr:uid="{00000000-0005-0000-0000-0000480A0000}"/>
    <cellStyle name="??_x000c_&quot;_x001b__x000d__x0015_U_x0001__138 - OtherReceivableAccount_31122009_EVALUATION_EX_311208 34" xfId="7909" xr:uid="{00000000-0005-0000-0000-0000490A0000}"/>
    <cellStyle name="??_x000c_&quot;_x001b__x000d__x0015_U_138 - OtherReceivableAccount_31122009_EVALUATION_EX_311208 35" xfId="8111" xr:uid="{00000000-0005-0000-0000-00004A0A0000}"/>
    <cellStyle name="??_x000c_&quot;_x001b__x000d__x0015_U_x0001__138 - OtherReceivableAccount_31122009_EVALUATION_EX_311208 35" xfId="8558" xr:uid="{00000000-0005-0000-0000-00004B0A0000}"/>
    <cellStyle name="??_x000c_&quot;_x001b__x000d__x0015_U_138 - OtherReceivableAccount_31122009_EVALUATION_EX_311208 36" xfId="9430" xr:uid="{00000000-0005-0000-0000-00004C0A0000}"/>
    <cellStyle name="??_x000c_&quot;_x001b__x000d__x0015_U_x0001__138 - OtherReceivableAccount_31122009_EVALUATION_EX_311208 36" xfId="8330" xr:uid="{00000000-0005-0000-0000-00004D0A0000}"/>
    <cellStyle name="??_x000c_&quot;_x001b__x000d__x0015_U_138 - OtherReceivableAccount_31122009_EVALUATION_EX_311208 37" xfId="8326" xr:uid="{00000000-0005-0000-0000-00004E0A0000}"/>
    <cellStyle name="??_x000c_&quot;_x001b__x000d__x0015_U_x0001__138 - OtherReceivableAccount_31122009_EVALUATION_EX_311208 37" xfId="8314" xr:uid="{00000000-0005-0000-0000-00004F0A0000}"/>
    <cellStyle name="??_x000c_&quot;_x001b__x000d__x0015_U_138 - OtherReceivableAccount_31122009_EVALUATION_EX_311208 38" xfId="8388" xr:uid="{00000000-0005-0000-0000-0000500A0000}"/>
    <cellStyle name="??_x000c_&quot;_x001b__x000d__x0015_U_x0001__138 - OtherReceivableAccount_31122009_EVALUATION_EX_311208 38" xfId="8068" xr:uid="{00000000-0005-0000-0000-0000510A0000}"/>
    <cellStyle name="??_x000c_&quot;_x001b__x000d__x0015_U_138 - OtherReceivableAccount_31122009_EVALUATION_EX_311208 39" xfId="9568" xr:uid="{00000000-0005-0000-0000-0000520A0000}"/>
    <cellStyle name="??_x000c_&quot;_x001b__x000d__x0015_U_x0001__138 - OtherReceivableAccount_31122009_EVALUATION_EX_311208 39" xfId="9569" xr:uid="{00000000-0005-0000-0000-0000530A0000}"/>
    <cellStyle name="??_x000c_&quot;_x001b__x000d__x0015_U_138 - OtherReceivableAccount_31122009_EVALUATION_EX_311208 4" xfId="3205" xr:uid="{00000000-0005-0000-0000-0000540A0000}"/>
    <cellStyle name="??_x000c_&quot;_x001b__x000d__x0015_U_x0001__138 - OtherReceivableAccount_31122009_EVALUATION_EX_311208 4" xfId="3206" xr:uid="{00000000-0005-0000-0000-0000550A0000}"/>
    <cellStyle name="??_x000c_&quot;_x001b__x000d__x0015_U_138 - OtherReceivableAccount_31122009_EVALUATION_EX_311208 40" xfId="11977" xr:uid="{00000000-0005-0000-0000-0000560A0000}"/>
    <cellStyle name="??_x000c_&quot;_x001b__x000d__x0015_U_x0001__138 - OtherReceivableAccount_31122009_EVALUATION_EX_311208 40" xfId="11978" xr:uid="{00000000-0005-0000-0000-0000570A0000}"/>
    <cellStyle name="??_x000c_&quot;_x001b__x000d__x0015_U_138 - OtherReceivableAccount_31122009_EVALUATION_EX_311208 41" xfId="11979" xr:uid="{00000000-0005-0000-0000-0000580A0000}"/>
    <cellStyle name="??_x000c_&quot;_x001b__x000d__x0015_U_x0001__138 - OtherReceivableAccount_31122009_EVALUATION_EX_311208 41" xfId="11980" xr:uid="{00000000-0005-0000-0000-0000590A0000}"/>
    <cellStyle name="??_x000c_&quot;_x001b__x000d__x0015_U_138 - OtherReceivableAccount_31122009_EVALUATION_EX_311208 42" xfId="11981" xr:uid="{00000000-0005-0000-0000-00005A0A0000}"/>
    <cellStyle name="??_x000c_&quot;_x001b__x000d__x0015_U_x0001__138 - OtherReceivableAccount_31122009_EVALUATION_EX_311208 42" xfId="11982" xr:uid="{00000000-0005-0000-0000-00005B0A0000}"/>
    <cellStyle name="??_x000c_&quot;_x001b__x000d__x0015_U_138 - OtherReceivableAccount_31122009_EVALUATION_EX_311208 43" xfId="20782" xr:uid="{00000000-0005-0000-0000-00005C0A0000}"/>
    <cellStyle name="??_x000c_&quot;_x001b__x000d__x0015_U_x0001__138 - OtherReceivableAccount_31122009_EVALUATION_EX_311208 43" xfId="20783" xr:uid="{00000000-0005-0000-0000-00005D0A0000}"/>
    <cellStyle name="??_x000c_&quot;_x001b__x000d__x0015_U_138 - OtherReceivableAccount_31122009_EVALUATION_EX_311208 5" xfId="3630" xr:uid="{00000000-0005-0000-0000-00005E0A0000}"/>
    <cellStyle name="??_x000c_&quot;_x001b__x000d__x0015_U_x0001__138 - OtherReceivableAccount_31122009_EVALUATION_EX_311208 5" xfId="3329" xr:uid="{00000000-0005-0000-0000-00005F0A0000}"/>
    <cellStyle name="??_x000c_&quot;_x001b__x000d__x0015_U_138 - OtherReceivableAccount_31122009_EVALUATION_EX_311208 6" xfId="3701" xr:uid="{00000000-0005-0000-0000-0000600A0000}"/>
    <cellStyle name="??_x000c_&quot;_x001b__x000d__x0015_U_x0001__138 - OtherReceivableAccount_31122009_EVALUATION_EX_311208 6" xfId="3702" xr:uid="{00000000-0005-0000-0000-0000610A0000}"/>
    <cellStyle name="??_x000c_&quot;_x001b__x000d__x0015_U_138 - OtherReceivableAccount_31122009_EVALUATION_EX_311208 7" xfId="3817" xr:uid="{00000000-0005-0000-0000-0000620A0000}"/>
    <cellStyle name="??_x000c_&quot;_x001b__x000d__x0015_U_x0001__138 - OtherReceivableAccount_31122009_EVALUATION_EX_311208 7" xfId="3816" xr:uid="{00000000-0005-0000-0000-0000630A0000}"/>
    <cellStyle name="??_x000c_&quot;_x001b__x000d__x0015_U_138 - OtherReceivableAccount_31122009_EVALUATION_EX_311208 8" xfId="3754" xr:uid="{00000000-0005-0000-0000-0000640A0000}"/>
    <cellStyle name="??_x000c_&quot;_x001b__x000d__x0015_U_x0001__138 - OtherReceivableAccount_31122009_EVALUATION_EX_311208 8" xfId="3755" xr:uid="{00000000-0005-0000-0000-0000650A0000}"/>
    <cellStyle name="??_x000c_&quot;_x001b__x000d__x0015_U_138 - OtherReceivableAccount_31122009_EVALUATION_EX_311208 9" xfId="4021" xr:uid="{00000000-0005-0000-0000-0000660A0000}"/>
    <cellStyle name="??_x000c_&quot;_x001b__x000d__x0015_U_x0001__138 - OtherReceivableAccount_31122009_EVALUATION_EX_311208 9" xfId="4022" xr:uid="{00000000-0005-0000-0000-0000670A0000}"/>
    <cellStyle name="??_x000c_&quot;_x001b__x000d__x0015_U_EVALUATION_EX_311208" xfId="96" xr:uid="{00000000-0005-0000-0000-0000680A0000}"/>
    <cellStyle name="??_x000c_&quot;_x001b__x000d__x0015_U_x0001__EVALUATION_EX_311208" xfId="97" xr:uid="{00000000-0005-0000-0000-0000690A0000}"/>
    <cellStyle name="??_x000c_&quot;_x001b__x000d__x0015_U_EVALUATION_EX_311208 10" xfId="4207" xr:uid="{00000000-0005-0000-0000-00006A0A0000}"/>
    <cellStyle name="??_x000c_&quot;_x001b__x000d__x0015_U_x0001__EVALUATION_EX_311208 10" xfId="4208" xr:uid="{00000000-0005-0000-0000-00006B0A0000}"/>
    <cellStyle name="??_x000c_&quot;_x001b__x000d__x0015_U_EVALUATION_EX_311208 11" xfId="5398" xr:uid="{00000000-0005-0000-0000-00006C0A0000}"/>
    <cellStyle name="??_x000c_&quot;_x001b__x000d__x0015_U_x0001__EVALUATION_EX_311208 11" xfId="4925" xr:uid="{00000000-0005-0000-0000-00006D0A0000}"/>
    <cellStyle name="??_x000c_&quot;_x001b__x000d__x0015_U_EVALUATION_EX_311208 12" xfId="5543" xr:uid="{00000000-0005-0000-0000-00006E0A0000}"/>
    <cellStyle name="??_x000c_&quot;_x001b__x000d__x0015_U_x0001__EVALUATION_EX_311208 12" xfId="5169" xr:uid="{00000000-0005-0000-0000-00006F0A0000}"/>
    <cellStyle name="??_x000c_&quot;_x001b__x000d__x0015_U_EVALUATION_EX_311208 13" xfId="4896" xr:uid="{00000000-0005-0000-0000-0000700A0000}"/>
    <cellStyle name="??_x000c_&quot;_x001b__x000d__x0015_U_x0001__EVALUATION_EX_311208 13" xfId="5341" xr:uid="{00000000-0005-0000-0000-0000710A0000}"/>
    <cellStyle name="??_x000c_&quot;_x001b__x000d__x0015_U_EVALUATION_EX_311208 14" xfId="5153" xr:uid="{00000000-0005-0000-0000-0000720A0000}"/>
    <cellStyle name="??_x000c_&quot;_x001b__x000d__x0015_U_x0001__EVALUATION_EX_311208 14" xfId="4469" xr:uid="{00000000-0005-0000-0000-0000730A0000}"/>
    <cellStyle name="??_x000c_&quot;_x001b__x000d__x0015_U_EVALUATION_EX_311208 15" xfId="4677" xr:uid="{00000000-0005-0000-0000-0000740A0000}"/>
    <cellStyle name="??_x000c_&quot;_x001b__x000d__x0015_U_x0001__EVALUATION_EX_311208 15" xfId="5094" xr:uid="{00000000-0005-0000-0000-0000750A0000}"/>
    <cellStyle name="??_x000c_&quot;_x001b__x000d__x0015_U_EVALUATION_EX_311208 16" xfId="5459" xr:uid="{00000000-0005-0000-0000-0000760A0000}"/>
    <cellStyle name="??_x000c_&quot;_x001b__x000d__x0015_U_x0001__EVALUATION_EX_311208 16" xfId="5917" xr:uid="{00000000-0005-0000-0000-0000770A0000}"/>
    <cellStyle name="??_x000c_&quot;_x001b__x000d__x0015_U_EVALUATION_EX_311208 17" xfId="4230" xr:uid="{00000000-0005-0000-0000-0000780A0000}"/>
    <cellStyle name="??_x000c_&quot;_x001b__x000d__x0015_U_x0001__EVALUATION_EX_311208 17" xfId="5562" xr:uid="{00000000-0005-0000-0000-0000790A0000}"/>
    <cellStyle name="??_x000c_&quot;_x001b__x000d__x0015_U_EVALUATION_EX_311208 18" xfId="5485" xr:uid="{00000000-0005-0000-0000-00007A0A0000}"/>
    <cellStyle name="??_x000c_&quot;_x001b__x000d__x0015_U_x0001__EVALUATION_EX_311208 18" xfId="6069" xr:uid="{00000000-0005-0000-0000-00007B0A0000}"/>
    <cellStyle name="??_x000c_&quot;_x001b__x000d__x0015_U_EVALUATION_EX_311208 19" xfId="5121" xr:uid="{00000000-0005-0000-0000-00007C0A0000}"/>
    <cellStyle name="??_x000c_&quot;_x001b__x000d__x0015_U_x0001__EVALUATION_EX_311208 19" xfId="6125" xr:uid="{00000000-0005-0000-0000-00007D0A0000}"/>
    <cellStyle name="??_x000c_&quot;_x001b__x000d__x0015_U_EVALUATION_EX_311208 2" xfId="3100" xr:uid="{00000000-0005-0000-0000-00007E0A0000}"/>
    <cellStyle name="??_x000c_&quot;_x001b__x000d__x0015_U_x0001__EVALUATION_EX_311208 2" xfId="3101" xr:uid="{00000000-0005-0000-0000-00007F0A0000}"/>
    <cellStyle name="??_x000c_&quot;_x001b__x000d__x0015_U_EVALUATION_EX_311208 20" xfId="5137" xr:uid="{00000000-0005-0000-0000-0000800A0000}"/>
    <cellStyle name="??_x000c_&quot;_x001b__x000d__x0015_U_x0001__EVALUATION_EX_311208 20" xfId="5484" xr:uid="{00000000-0005-0000-0000-0000810A0000}"/>
    <cellStyle name="??_x000c_&quot;_x001b__x000d__x0015_U_EVALUATION_EX_311208 21" xfId="5417" xr:uid="{00000000-0005-0000-0000-0000820A0000}"/>
    <cellStyle name="??_x000c_&quot;_x001b__x000d__x0015_U_x0001__EVALUATION_EX_311208 21" xfId="4671" xr:uid="{00000000-0005-0000-0000-0000830A0000}"/>
    <cellStyle name="??_x000c_&quot;_x001b__x000d__x0015_U_EVALUATION_EX_311208 22" xfId="5855" xr:uid="{00000000-0005-0000-0000-0000840A0000}"/>
    <cellStyle name="??_x000c_&quot;_x001b__x000d__x0015_U_x0001__EVALUATION_EX_311208 22" xfId="4296" xr:uid="{00000000-0005-0000-0000-0000850A0000}"/>
    <cellStyle name="??_x000c_&quot;_x001b__x000d__x0015_U_EVALUATION_EX_311208 23" xfId="4585" xr:uid="{00000000-0005-0000-0000-0000860A0000}"/>
    <cellStyle name="??_x000c_&quot;_x001b__x000d__x0015_U_x0001__EVALUATION_EX_311208 23" xfId="5427" xr:uid="{00000000-0005-0000-0000-0000870A0000}"/>
    <cellStyle name="??_x000c_&quot;_x001b__x000d__x0015_U_EVALUATION_EX_311208 24" xfId="5390" xr:uid="{00000000-0005-0000-0000-0000880A0000}"/>
    <cellStyle name="??_x000c_&quot;_x001b__x000d__x0015_U_x0001__EVALUATION_EX_311208 24" xfId="5146" xr:uid="{00000000-0005-0000-0000-0000890A0000}"/>
    <cellStyle name="??_x000c_&quot;_x001b__x000d__x0015_U_EVALUATION_EX_311208 25" xfId="4614" xr:uid="{00000000-0005-0000-0000-00008A0A0000}"/>
    <cellStyle name="??_x000c_&quot;_x001b__x000d__x0015_U_x0001__EVALUATION_EX_311208 25" xfId="4348" xr:uid="{00000000-0005-0000-0000-00008B0A0000}"/>
    <cellStyle name="??_x000c_&quot;_x001b__x000d__x0015_U_EVALUATION_EX_311208 26" xfId="6083" xr:uid="{00000000-0005-0000-0000-00008C0A0000}"/>
    <cellStyle name="??_x000c_&quot;_x001b__x000d__x0015_U_x0001__EVALUATION_EX_311208 26" xfId="4228" xr:uid="{00000000-0005-0000-0000-00008D0A0000}"/>
    <cellStyle name="??_x000c_&quot;_x001b__x000d__x0015_U_EVALUATION_EX_311208 27" xfId="5973" xr:uid="{00000000-0005-0000-0000-00008E0A0000}"/>
    <cellStyle name="??_x000c_&quot;_x001b__x000d__x0015_U_x0001__EVALUATION_EX_311208 27" xfId="6094" xr:uid="{00000000-0005-0000-0000-00008F0A0000}"/>
    <cellStyle name="??_x000c_&quot;_x001b__x000d__x0015_U_EVALUATION_EX_311208 28" xfId="6314" xr:uid="{00000000-0005-0000-0000-0000900A0000}"/>
    <cellStyle name="??_x000c_&quot;_x001b__x000d__x0015_U_x0001__EVALUATION_EX_311208 28" xfId="6315" xr:uid="{00000000-0005-0000-0000-0000910A0000}"/>
    <cellStyle name="??_x000c_&quot;_x001b__x000d__x0015_U_EVALUATION_EX_311208 29" xfId="6541" xr:uid="{00000000-0005-0000-0000-0000920A0000}"/>
    <cellStyle name="??_x000c_&quot;_x001b__x000d__x0015_U_x0001__EVALUATION_EX_311208 29" xfId="6460" xr:uid="{00000000-0005-0000-0000-0000930A0000}"/>
    <cellStyle name="??_x000c_&quot;_x001b__x000d__x0015_U_EVALUATION_EX_311208 3" xfId="3459" xr:uid="{00000000-0005-0000-0000-0000940A0000}"/>
    <cellStyle name="??_x000c_&quot;_x001b__x000d__x0015_U_x0001__EVALUATION_EX_311208 3" xfId="3458" xr:uid="{00000000-0005-0000-0000-0000950A0000}"/>
    <cellStyle name="??_x000c_&quot;_x001b__x000d__x0015_U_EVALUATION_EX_311208 30" xfId="6341" xr:uid="{00000000-0005-0000-0000-0000960A0000}"/>
    <cellStyle name="??_x000c_&quot;_x001b__x000d__x0015_U_x0001__EVALUATION_EX_311208 30" xfId="6401" xr:uid="{00000000-0005-0000-0000-0000970A0000}"/>
    <cellStyle name="??_x000c_&quot;_x001b__x000d__x0015_U_EVALUATION_EX_311208 31" xfId="6888" xr:uid="{00000000-0005-0000-0000-0000980A0000}"/>
    <cellStyle name="??_x000c_&quot;_x001b__x000d__x0015_U_x0001__EVALUATION_EX_311208 31" xfId="6889" xr:uid="{00000000-0005-0000-0000-0000990A0000}"/>
    <cellStyle name="??_x000c_&quot;_x001b__x000d__x0015_U_EVALUATION_EX_311208 32" xfId="7777" xr:uid="{00000000-0005-0000-0000-00009A0A0000}"/>
    <cellStyle name="??_x000c_&quot;_x001b__x000d__x0015_U_x0001__EVALUATION_EX_311208 32" xfId="7778" xr:uid="{00000000-0005-0000-0000-00009B0A0000}"/>
    <cellStyle name="??_x000c_&quot;_x001b__x000d__x0015_U_EVALUATION_EX_311208 33" xfId="8006" xr:uid="{00000000-0005-0000-0000-00009C0A0000}"/>
    <cellStyle name="??_x000c_&quot;_x001b__x000d__x0015_U_x0001__EVALUATION_EX_311208 33" xfId="8149" xr:uid="{00000000-0005-0000-0000-00009D0A0000}"/>
    <cellStyle name="??_x000c_&quot;_x001b__x000d__x0015_U_EVALUATION_EX_311208 34" xfId="7816" xr:uid="{00000000-0005-0000-0000-00009E0A0000}"/>
    <cellStyle name="??_x000c_&quot;_x001b__x000d__x0015_U_x0001__EVALUATION_EX_311208 34" xfId="7910" xr:uid="{00000000-0005-0000-0000-00009F0A0000}"/>
    <cellStyle name="??_x000c_&quot;_x001b__x000d__x0015_U_EVALUATION_EX_311208 35" xfId="8508" xr:uid="{00000000-0005-0000-0000-0000A00A0000}"/>
    <cellStyle name="??_x000c_&quot;_x001b__x000d__x0015_U_x0001__EVALUATION_EX_311208 35" xfId="9412" xr:uid="{00000000-0005-0000-0000-0000A10A0000}"/>
    <cellStyle name="??_x000c_&quot;_x001b__x000d__x0015_U_EVALUATION_EX_311208 36" xfId="9399" xr:uid="{00000000-0005-0000-0000-0000A20A0000}"/>
    <cellStyle name="??_x000c_&quot;_x001b__x000d__x0015_U_x0001__EVALUATION_EX_311208 36" xfId="8100" xr:uid="{00000000-0005-0000-0000-0000A30A0000}"/>
    <cellStyle name="??_x000c_&quot;_x001b__x000d__x0015_U_EVALUATION_EX_311208 37" xfId="9391" xr:uid="{00000000-0005-0000-0000-0000A40A0000}"/>
    <cellStyle name="??_x000c_&quot;_x001b__x000d__x0015_U_x0001__EVALUATION_EX_311208 37" xfId="8410" xr:uid="{00000000-0005-0000-0000-0000A50A0000}"/>
    <cellStyle name="??_x000c_&quot;_x001b__x000d__x0015_U_EVALUATION_EX_311208 38" xfId="8333" xr:uid="{00000000-0005-0000-0000-0000A60A0000}"/>
    <cellStyle name="??_x000c_&quot;_x001b__x000d__x0015_U_x0001__EVALUATION_EX_311208 38" xfId="8536" xr:uid="{00000000-0005-0000-0000-0000A70A0000}"/>
    <cellStyle name="??_x000c_&quot;_x001b__x000d__x0015_U_EVALUATION_EX_311208 39" xfId="9570" xr:uid="{00000000-0005-0000-0000-0000A80A0000}"/>
    <cellStyle name="??_x000c_&quot;_x001b__x000d__x0015_U_x0001__EVALUATION_EX_311208 39" xfId="9571" xr:uid="{00000000-0005-0000-0000-0000A90A0000}"/>
    <cellStyle name="??_x000c_&quot;_x001b__x000d__x0015_U_EVALUATION_EX_311208 4" xfId="3207" xr:uid="{00000000-0005-0000-0000-0000AA0A0000}"/>
    <cellStyle name="??_x000c_&quot;_x001b__x000d__x0015_U_x0001__EVALUATION_EX_311208 4" xfId="3562" xr:uid="{00000000-0005-0000-0000-0000AB0A0000}"/>
    <cellStyle name="??_x000c_&quot;_x001b__x000d__x0015_U_EVALUATION_EX_311208 40" xfId="11983" xr:uid="{00000000-0005-0000-0000-0000AC0A0000}"/>
    <cellStyle name="??_x000c_&quot;_x001b__x000d__x0015_U_x0001__EVALUATION_EX_311208 40" xfId="11984" xr:uid="{00000000-0005-0000-0000-0000AD0A0000}"/>
    <cellStyle name="??_x000c_&quot;_x001b__x000d__x0015_U_EVALUATION_EX_311208 41" xfId="11985" xr:uid="{00000000-0005-0000-0000-0000AE0A0000}"/>
    <cellStyle name="??_x000c_&quot;_x001b__x000d__x0015_U_x0001__EVALUATION_EX_311208 41" xfId="11986" xr:uid="{00000000-0005-0000-0000-0000AF0A0000}"/>
    <cellStyle name="??_x000c_&quot;_x001b__x000d__x0015_U_EVALUATION_EX_311208 42" xfId="11987" xr:uid="{00000000-0005-0000-0000-0000B00A0000}"/>
    <cellStyle name="??_x000c_&quot;_x001b__x000d__x0015_U_x0001__EVALUATION_EX_311208 42" xfId="11988" xr:uid="{00000000-0005-0000-0000-0000B10A0000}"/>
    <cellStyle name="??_x000c_&quot;_x001b__x000d__x0015_U_EVALUATION_EX_311208 43" xfId="20784" xr:uid="{00000000-0005-0000-0000-0000B20A0000}"/>
    <cellStyle name="??_x000c_&quot;_x001b__x000d__x0015_U_x0001__EVALUATION_EX_311208 43" xfId="20785" xr:uid="{00000000-0005-0000-0000-0000B30A0000}"/>
    <cellStyle name="??_x000c_&quot;_x001b__x000d__x0015_U_EVALUATION_EX_311208 5" xfId="3328" xr:uid="{00000000-0005-0000-0000-0000B40A0000}"/>
    <cellStyle name="??_x000c_&quot;_x001b__x000d__x0015_U_x0001__EVALUATION_EX_311208 5" xfId="3327" xr:uid="{00000000-0005-0000-0000-0000B50A0000}"/>
    <cellStyle name="??_x000c_&quot;_x001b__x000d__x0015_U_EVALUATION_EX_311208 6" xfId="3703" xr:uid="{00000000-0005-0000-0000-0000B60A0000}"/>
    <cellStyle name="??_x000c_&quot;_x001b__x000d__x0015_U_x0001__EVALUATION_EX_311208 6" xfId="3704" xr:uid="{00000000-0005-0000-0000-0000B70A0000}"/>
    <cellStyle name="??_x000c_&quot;_x001b__x000d__x0015_U_EVALUATION_EX_311208 7" xfId="3815" xr:uid="{00000000-0005-0000-0000-0000B80A0000}"/>
    <cellStyle name="??_x000c_&quot;_x001b__x000d__x0015_U_x0001__EVALUATION_EX_311208 7" xfId="3814" xr:uid="{00000000-0005-0000-0000-0000B90A0000}"/>
    <cellStyle name="??_x000c_&quot;_x001b__x000d__x0015_U_EVALUATION_EX_311208 8" xfId="3756" xr:uid="{00000000-0005-0000-0000-0000BA0A0000}"/>
    <cellStyle name="??_x000c_&quot;_x001b__x000d__x0015_U_x0001__EVALUATION_EX_311208 8" xfId="3757" xr:uid="{00000000-0005-0000-0000-0000BB0A0000}"/>
    <cellStyle name="??_x000c_&quot;_x001b__x000d__x0015_U_EVALUATION_EX_311208 9" xfId="4023" xr:uid="{00000000-0005-0000-0000-0000BC0A0000}"/>
    <cellStyle name="??_x000c_&quot;_x001b__x000d__x0015_U_x0001__EVALUATION_EX_311208 9" xfId="4024" xr:uid="{00000000-0005-0000-0000-0000BD0A0000}"/>
    <cellStyle name="??_x000c_&quot;_x001b__x000d__x0015_U_EXPORT PLANNING (FEB. 26- MAR. 3)" xfId="98" xr:uid="{00000000-0005-0000-0000-0000BE0A0000}"/>
    <cellStyle name="??_x000c_&quot;_x001b__x000d__x0015_U_x0001__YTDHST " xfId="99" xr:uid="{00000000-0005-0000-0000-0000BF0A0000}"/>
    <cellStyle name="??_x000c_&quot;_138 - OtherReceivableAccount_28022010" xfId="100" xr:uid="{00000000-0005-0000-0000-0000C00A0000}"/>
    <cellStyle name="??_x000c_&quot;_x001b__138 - OtherReceivableAccount_28022010" xfId="101" xr:uid="{00000000-0005-0000-0000-0000C10A0000}"/>
    <cellStyle name="??_x000c_&quot;_138 - OtherReceivableAccount_28022010 10" xfId="4209" xr:uid="{00000000-0005-0000-0000-0000C20A0000}"/>
    <cellStyle name="??_x000c_&quot;_x001b__138 - OtherReceivableAccount_28022010 10" xfId="4210" xr:uid="{00000000-0005-0000-0000-0000C30A0000}"/>
    <cellStyle name="??_x000c_&quot;_138 - OtherReceivableAccount_28022010 11" xfId="5397" xr:uid="{00000000-0005-0000-0000-0000C40A0000}"/>
    <cellStyle name="??_x000c_&quot;_x001b__138 - OtherReceivableAccount_28022010 11" xfId="4924" xr:uid="{00000000-0005-0000-0000-0000C50A0000}"/>
    <cellStyle name="??_x000c_&quot;_138 - OtherReceivableAccount_28022010 12" xfId="5579" xr:uid="{00000000-0005-0000-0000-0000C60A0000}"/>
    <cellStyle name="??_x000c_&quot;_x001b__138 - OtherReceivableAccount_28022010 12" xfId="5194" xr:uid="{00000000-0005-0000-0000-0000C70A0000}"/>
    <cellStyle name="??_x000c_&quot;_138 - OtherReceivableAccount_28022010 13" xfId="5282" xr:uid="{00000000-0005-0000-0000-0000C80A0000}"/>
    <cellStyle name="??_x000c_&quot;_x001b__138 - OtherReceivableAccount_28022010 13" xfId="5340" xr:uid="{00000000-0005-0000-0000-0000C90A0000}"/>
    <cellStyle name="??_x000c_&quot;_138 - OtherReceivableAccount_28022010 14" xfId="5055" xr:uid="{00000000-0005-0000-0000-0000CA0A0000}"/>
    <cellStyle name="??_x000c_&quot;_x001b__138 - OtherReceivableAccount_28022010 14" xfId="5480" xr:uid="{00000000-0005-0000-0000-0000CB0A0000}"/>
    <cellStyle name="??_x000c_&quot;_138 - OtherReceivableAccount_28022010 15" xfId="4764" xr:uid="{00000000-0005-0000-0000-0000CC0A0000}"/>
    <cellStyle name="??_x000c_&quot;_x001b__138 - OtherReceivableAccount_28022010 15" xfId="4235" xr:uid="{00000000-0005-0000-0000-0000CD0A0000}"/>
    <cellStyle name="??_x000c_&quot;_138 - OtherReceivableAccount_28022010 16" xfId="4776" xr:uid="{00000000-0005-0000-0000-0000CE0A0000}"/>
    <cellStyle name="??_x000c_&quot;_x001b__138 - OtherReceivableAccount_28022010 16" xfId="5861" xr:uid="{00000000-0005-0000-0000-0000CF0A0000}"/>
    <cellStyle name="??_x000c_&quot;_138 - OtherReceivableAccount_28022010 17" xfId="4243" xr:uid="{00000000-0005-0000-0000-0000D00A0000}"/>
    <cellStyle name="??_x000c_&quot;_x001b__138 - OtherReceivableAccount_28022010 17" xfId="4769" xr:uid="{00000000-0005-0000-0000-0000D10A0000}"/>
    <cellStyle name="??_x000c_&quot;_138 - OtherReceivableAccount_28022010 18" xfId="5090" xr:uid="{00000000-0005-0000-0000-0000D20A0000}"/>
    <cellStyle name="??_x000c_&quot;_x001b__138 - OtherReceivableAccount_28022010 18" xfId="5852" xr:uid="{00000000-0005-0000-0000-0000D30A0000}"/>
    <cellStyle name="??_x000c_&quot;_138 - OtherReceivableAccount_28022010 19" xfId="5205" xr:uid="{00000000-0005-0000-0000-0000D40A0000}"/>
    <cellStyle name="??_x000c_&quot;_x001b__138 - OtherReceivableAccount_28022010 19" xfId="6105" xr:uid="{00000000-0005-0000-0000-0000D50A0000}"/>
    <cellStyle name="??_x000c_&quot;_138 - OtherReceivableAccount_28022010 2" xfId="3102" xr:uid="{00000000-0005-0000-0000-0000D60A0000}"/>
    <cellStyle name="??_x000c_&quot;_x001b__138 - OtherReceivableAccount_28022010 2" xfId="3103" xr:uid="{00000000-0005-0000-0000-0000D70A0000}"/>
    <cellStyle name="??_x000c_&quot;_138 - OtherReceivableAccount_28022010 20" xfId="5846" xr:uid="{00000000-0005-0000-0000-0000D80A0000}"/>
    <cellStyle name="??_x000c_&quot;_x001b__138 - OtherReceivableAccount_28022010 20" xfId="5011" xr:uid="{00000000-0005-0000-0000-0000D90A0000}"/>
    <cellStyle name="??_x000c_&quot;_138 - OtherReceivableAccount_28022010 21" xfId="5263" xr:uid="{00000000-0005-0000-0000-0000DA0A0000}"/>
    <cellStyle name="??_x000c_&quot;_x001b__138 - OtherReceivableAccount_28022010 21" xfId="4752" xr:uid="{00000000-0005-0000-0000-0000DB0A0000}"/>
    <cellStyle name="??_x000c_&quot;_138 - OtherReceivableAccount_28022010 22" xfId="5905" xr:uid="{00000000-0005-0000-0000-0000DC0A0000}"/>
    <cellStyle name="??_x000c_&quot;_x001b__138 - OtherReceivableAccount_28022010 22" xfId="4356" xr:uid="{00000000-0005-0000-0000-0000DD0A0000}"/>
    <cellStyle name="??_x000c_&quot;_138 - OtherReceivableAccount_28022010 23" xfId="4647" xr:uid="{00000000-0005-0000-0000-0000DE0A0000}"/>
    <cellStyle name="??_x000c_&quot;_x001b__138 - OtherReceivableAccount_28022010 23" xfId="5371" xr:uid="{00000000-0005-0000-0000-0000DF0A0000}"/>
    <cellStyle name="??_x000c_&quot;_138 - OtherReceivableAccount_28022010 24" xfId="4448" xr:uid="{00000000-0005-0000-0000-0000E00A0000}"/>
    <cellStyle name="??_x000c_&quot;_x001b__138 - OtherReceivableAccount_28022010 24" xfId="4501" xr:uid="{00000000-0005-0000-0000-0000E10A0000}"/>
    <cellStyle name="??_x000c_&quot;_138 - OtherReceivableAccount_28022010 25" xfId="5101" xr:uid="{00000000-0005-0000-0000-0000E20A0000}"/>
    <cellStyle name="??_x000c_&quot;_x001b__138 - OtherReceivableAccount_28022010 25" xfId="4673" xr:uid="{00000000-0005-0000-0000-0000E30A0000}"/>
    <cellStyle name="??_x000c_&quot;_138 - OtherReceivableAccount_28022010 26" xfId="5384" xr:uid="{00000000-0005-0000-0000-0000E40A0000}"/>
    <cellStyle name="??_x000c_&quot;_x001b__138 - OtherReceivableAccount_28022010 26" xfId="5897" xr:uid="{00000000-0005-0000-0000-0000E50A0000}"/>
    <cellStyle name="??_x000c_&quot;_138 - OtherReceivableAccount_28022010 27" xfId="6117" xr:uid="{00000000-0005-0000-0000-0000E60A0000}"/>
    <cellStyle name="??_x000c_&quot;_x001b__138 - OtherReceivableAccount_28022010 27" xfId="5590" xr:uid="{00000000-0005-0000-0000-0000E70A0000}"/>
    <cellStyle name="??_x000c_&quot;_138 - OtherReceivableAccount_28022010 28" xfId="6316" xr:uid="{00000000-0005-0000-0000-0000E80A0000}"/>
    <cellStyle name="??_x000c_&quot;_x001b__138 - OtherReceivableAccount_28022010 28" xfId="6317" xr:uid="{00000000-0005-0000-0000-0000E90A0000}"/>
    <cellStyle name="??_x000c_&quot;_138 - OtherReceivableAccount_28022010 29" xfId="6540" xr:uid="{00000000-0005-0000-0000-0000EA0A0000}"/>
    <cellStyle name="??_x000c_&quot;_x001b__138 - OtherReceivableAccount_28022010 29" xfId="6459" xr:uid="{00000000-0005-0000-0000-0000EB0A0000}"/>
    <cellStyle name="??_x000c_&quot;_138 - OtherReceivableAccount_28022010 3" xfId="3457" xr:uid="{00000000-0005-0000-0000-0000EC0A0000}"/>
    <cellStyle name="??_x000c_&quot;_x001b__138 - OtherReceivableAccount_28022010 3" xfId="3456" xr:uid="{00000000-0005-0000-0000-0000ED0A0000}"/>
    <cellStyle name="??_x000c_&quot;_138 - OtherReceivableAccount_28022010 30" xfId="6342" xr:uid="{00000000-0005-0000-0000-0000EE0A0000}"/>
    <cellStyle name="??_x000c_&quot;_x001b__138 - OtherReceivableAccount_28022010 30" xfId="6402" xr:uid="{00000000-0005-0000-0000-0000EF0A0000}"/>
    <cellStyle name="??_x000c_&quot;_138 - OtherReceivableAccount_28022010 31" xfId="6890" xr:uid="{00000000-0005-0000-0000-0000F00A0000}"/>
    <cellStyle name="??_x000c_&quot;_x001b__138 - OtherReceivableAccount_28022010 31" xfId="6891" xr:uid="{00000000-0005-0000-0000-0000F10A0000}"/>
    <cellStyle name="??_x000c_&quot;_138 - OtherReceivableAccount_28022010 32" xfId="7779" xr:uid="{00000000-0005-0000-0000-0000F20A0000}"/>
    <cellStyle name="??_x000c_&quot;_x001b__138 - OtherReceivableAccount_28022010 32" xfId="7780" xr:uid="{00000000-0005-0000-0000-0000F30A0000}"/>
    <cellStyle name="??_x000c_&quot;_138 - OtherReceivableAccount_28022010 33" xfId="8005" xr:uid="{00000000-0005-0000-0000-0000F40A0000}"/>
    <cellStyle name="??_x000c_&quot;_x001b__138 - OtherReceivableAccount_28022010 33" xfId="8148" xr:uid="{00000000-0005-0000-0000-0000F50A0000}"/>
    <cellStyle name="??_x000c_&quot;_138 - OtherReceivableAccount_28022010 34" xfId="7817" xr:uid="{00000000-0005-0000-0000-0000F60A0000}"/>
    <cellStyle name="??_x000c_&quot;_x001b__138 - OtherReceivableAccount_28022010 34" xfId="7911" xr:uid="{00000000-0005-0000-0000-0000F70A0000}"/>
    <cellStyle name="??_x000c_&quot;_138 - OtherReceivableAccount_28022010 35" xfId="8507" xr:uid="{00000000-0005-0000-0000-0000F80A0000}"/>
    <cellStyle name="??_x000c_&quot;_x001b__138 - OtherReceivableAccount_28022010 35" xfId="7943" xr:uid="{00000000-0005-0000-0000-0000F90A0000}"/>
    <cellStyle name="??_x000c_&quot;_138 - OtherReceivableAccount_28022010 36" xfId="9436" xr:uid="{00000000-0005-0000-0000-0000FA0A0000}"/>
    <cellStyle name="??_x000c_&quot;_x001b__138 - OtherReceivableAccount_28022010 36" xfId="8539" xr:uid="{00000000-0005-0000-0000-0000FB0A0000}"/>
    <cellStyle name="??_x000c_&quot;_138 - OtherReceivableAccount_28022010 37" xfId="7808" xr:uid="{00000000-0005-0000-0000-0000FC0A0000}"/>
    <cellStyle name="??_x000c_&quot;_x001b__138 - OtherReceivableAccount_28022010 37" xfId="8342" xr:uid="{00000000-0005-0000-0000-0000FD0A0000}"/>
    <cellStyle name="??_x000c_&quot;_138 - OtherReceivableAccount_28022010 38" xfId="8355" xr:uid="{00000000-0005-0000-0000-0000FE0A0000}"/>
    <cellStyle name="??_x000c_&quot;_x001b__138 - OtherReceivableAccount_28022010 38" xfId="8310" xr:uid="{00000000-0005-0000-0000-0000FF0A0000}"/>
    <cellStyle name="??_x000c_&quot;_138 - OtherReceivableAccount_28022010 39" xfId="9572" xr:uid="{00000000-0005-0000-0000-0000000B0000}"/>
    <cellStyle name="??_x000c_&quot;_x001b__138 - OtherReceivableAccount_28022010 39" xfId="9573" xr:uid="{00000000-0005-0000-0000-0000010B0000}"/>
    <cellStyle name="??_x000c_&quot;_138 - OtherReceivableAccount_28022010 4" xfId="3586" xr:uid="{00000000-0005-0000-0000-0000020B0000}"/>
    <cellStyle name="??_x000c_&quot;_x001b__138 - OtherReceivableAccount_28022010 4" xfId="3565" xr:uid="{00000000-0005-0000-0000-0000030B0000}"/>
    <cellStyle name="??_x000c_&quot;_138 - OtherReceivableAccount_28022010 40" xfId="11989" xr:uid="{00000000-0005-0000-0000-0000040B0000}"/>
    <cellStyle name="??_x000c_&quot;_x001b__138 - OtherReceivableAccount_28022010 40" xfId="11990" xr:uid="{00000000-0005-0000-0000-0000050B0000}"/>
    <cellStyle name="??_x000c_&quot;_138 - OtherReceivableAccount_28022010 41" xfId="11991" xr:uid="{00000000-0005-0000-0000-0000060B0000}"/>
    <cellStyle name="??_x000c_&quot;_x001b__138 - OtherReceivableAccount_28022010 41" xfId="11992" xr:uid="{00000000-0005-0000-0000-0000070B0000}"/>
    <cellStyle name="??_x000c_&quot;_138 - OtherReceivableAccount_28022010 42" xfId="11993" xr:uid="{00000000-0005-0000-0000-0000080B0000}"/>
    <cellStyle name="??_x000c_&quot;_x001b__138 - OtherReceivableAccount_28022010 42" xfId="11994" xr:uid="{00000000-0005-0000-0000-0000090B0000}"/>
    <cellStyle name="??_x000c_&quot;_138 - OtherReceivableAccount_28022010 43" xfId="20786" xr:uid="{00000000-0005-0000-0000-00000A0B0000}"/>
    <cellStyle name="??_x000c_&quot;_x001b__138 - OtherReceivableAccount_28022010 43" xfId="20787" xr:uid="{00000000-0005-0000-0000-00000B0B0000}"/>
    <cellStyle name="??_x000c_&quot;_138 - OtherReceivableAccount_28022010 5" xfId="3326" xr:uid="{00000000-0005-0000-0000-00000C0B0000}"/>
    <cellStyle name="??_x000c_&quot;_x001b__138 - OtherReceivableAccount_28022010 5" xfId="3325" xr:uid="{00000000-0005-0000-0000-00000D0B0000}"/>
    <cellStyle name="??_x000c_&quot;_138 - OtherReceivableAccount_28022010 6" xfId="3705" xr:uid="{00000000-0005-0000-0000-00000E0B0000}"/>
    <cellStyle name="??_x000c_&quot;_x001b__138 - OtherReceivableAccount_28022010 6" xfId="3706" xr:uid="{00000000-0005-0000-0000-00000F0B0000}"/>
    <cellStyle name="??_x000c_&quot;_138 - OtherReceivableAccount_28022010 7" xfId="3813" xr:uid="{00000000-0005-0000-0000-0000100B0000}"/>
    <cellStyle name="??_x000c_&quot;_x001b__138 - OtherReceivableAccount_28022010 7" xfId="3812" xr:uid="{00000000-0005-0000-0000-0000110B0000}"/>
    <cellStyle name="??_x000c_&quot;_138 - OtherReceivableAccount_28022010 8" xfId="3758" xr:uid="{00000000-0005-0000-0000-0000120B0000}"/>
    <cellStyle name="??_x000c_&quot;_x001b__138 - OtherReceivableAccount_28022010 8" xfId="3759" xr:uid="{00000000-0005-0000-0000-0000130B0000}"/>
    <cellStyle name="??_x000c_&quot;_138 - OtherReceivableAccount_28022010 9" xfId="4025" xr:uid="{00000000-0005-0000-0000-0000140B0000}"/>
    <cellStyle name="??_x000c_&quot;_x001b__138 - OtherReceivableAccount_28022010 9" xfId="4026" xr:uid="{00000000-0005-0000-0000-0000150B0000}"/>
    <cellStyle name="??_x000c_&quot;_138 - OtherReceivableAccount_30112009" xfId="102" xr:uid="{00000000-0005-0000-0000-0000160B0000}"/>
    <cellStyle name="??_x000c_&quot;_x001b__138 - OtherReceivableAccount_30112009" xfId="103" xr:uid="{00000000-0005-0000-0000-0000170B0000}"/>
    <cellStyle name="??_x000c_&quot;_138 - OtherReceivableAccount_30112009 10" xfId="4211" xr:uid="{00000000-0005-0000-0000-0000180B0000}"/>
    <cellStyle name="??_x000c_&quot;_x001b__138 - OtherReceivableAccount_30112009 10" xfId="4212" xr:uid="{00000000-0005-0000-0000-0000190B0000}"/>
    <cellStyle name="??_x000c_&quot;_138 - OtherReceivableAccount_30112009 11" xfId="4923" xr:uid="{00000000-0005-0000-0000-00001A0B0000}"/>
    <cellStyle name="??_x000c_&quot;_x001b__138 - OtherReceivableAccount_30112009 11" xfId="4922" xr:uid="{00000000-0005-0000-0000-00001B0B0000}"/>
    <cellStyle name="??_x000c_&quot;_138 - OtherReceivableAccount_30112009 12" xfId="5580" xr:uid="{00000000-0005-0000-0000-00001C0B0000}"/>
    <cellStyle name="??_x000c_&quot;_x001b__138 - OtherReceivableAccount_30112009 12" xfId="4389" xr:uid="{00000000-0005-0000-0000-00001D0B0000}"/>
    <cellStyle name="??_x000c_&quot;_138 - OtherReceivableAccount_30112009 13" xfId="4895" xr:uid="{00000000-0005-0000-0000-00001E0B0000}"/>
    <cellStyle name="??_x000c_&quot;_x001b__138 - OtherReceivableAccount_30112009 13" xfId="5339" xr:uid="{00000000-0005-0000-0000-00001F0B0000}"/>
    <cellStyle name="??_x000c_&quot;_138 - OtherReceivableAccount_30112009 14" xfId="5164" xr:uid="{00000000-0005-0000-0000-0000200B0000}"/>
    <cellStyle name="??_x000c_&quot;_x001b__138 - OtherReceivableAccount_30112009 14" xfId="4470" xr:uid="{00000000-0005-0000-0000-0000210B0000}"/>
    <cellStyle name="??_x000c_&quot;_138 - OtherReceivableAccount_30112009 15" xfId="4676" xr:uid="{00000000-0005-0000-0000-0000220B0000}"/>
    <cellStyle name="??_x000c_&quot;_x001b__138 - OtherReceivableAccount_30112009 15" xfId="5275" xr:uid="{00000000-0005-0000-0000-0000230B0000}"/>
    <cellStyle name="??_x000c_&quot;_138 - OtherReceivableAccount_30112009 16" xfId="5182" xr:uid="{00000000-0005-0000-0000-0000240B0000}"/>
    <cellStyle name="??_x000c_&quot;_x001b__138 - OtherReceivableAccount_30112009 16" xfId="5455" xr:uid="{00000000-0005-0000-0000-0000250B0000}"/>
    <cellStyle name="??_x000c_&quot;_138 - OtherReceivableAccount_30112009 17" xfId="5571" xr:uid="{00000000-0005-0000-0000-0000260B0000}"/>
    <cellStyle name="??_x000c_&quot;_x001b__138 - OtherReceivableAccount_30112009 17" xfId="5173" xr:uid="{00000000-0005-0000-0000-0000270B0000}"/>
    <cellStyle name="??_x000c_&quot;_138 - OtherReceivableAccount_30112009 18" xfId="6059" xr:uid="{00000000-0005-0000-0000-0000280B0000}"/>
    <cellStyle name="??_x000c_&quot;_x001b__138 - OtherReceivableAccount_30112009 18" xfId="6066" xr:uid="{00000000-0005-0000-0000-0000290B0000}"/>
    <cellStyle name="??_x000c_&quot;_138 - OtherReceivableAccount_30112009 19" xfId="4244" xr:uid="{00000000-0005-0000-0000-00002A0B0000}"/>
    <cellStyle name="??_x000c_&quot;_x001b__138 - OtherReceivableAccount_30112009 19" xfId="6106" xr:uid="{00000000-0005-0000-0000-00002B0B0000}"/>
    <cellStyle name="??_x000c_&quot;_138 - OtherReceivableAccount_30112009 2" xfId="3104" xr:uid="{00000000-0005-0000-0000-00002C0B0000}"/>
    <cellStyle name="??_x000c_&quot;_x001b__138 - OtherReceivableAccount_30112009 2" xfId="3105" xr:uid="{00000000-0005-0000-0000-00002D0B0000}"/>
    <cellStyle name="??_x000c_&quot;_138 - OtherReceivableAccount_30112009 20" xfId="4870" xr:uid="{00000000-0005-0000-0000-00002E0B0000}"/>
    <cellStyle name="??_x000c_&quot;_x001b__138 - OtherReceivableAccount_30112009 20" xfId="4528" xr:uid="{00000000-0005-0000-0000-00002F0B0000}"/>
    <cellStyle name="??_x000c_&quot;_138 - OtherReceivableAccount_30112009 21" xfId="4248" xr:uid="{00000000-0005-0000-0000-0000300B0000}"/>
    <cellStyle name="??_x000c_&quot;_x001b__138 - OtherReceivableAccount_30112009 21" xfId="5568" xr:uid="{00000000-0005-0000-0000-0000310B0000}"/>
    <cellStyle name="??_x000c_&quot;_138 - OtherReceivableAccount_30112009 22" xfId="4801" xr:uid="{00000000-0005-0000-0000-0000320B0000}"/>
    <cellStyle name="??_x000c_&quot;_x001b__138 - OtherReceivableAccount_30112009 22" xfId="5176" xr:uid="{00000000-0005-0000-0000-0000330B0000}"/>
    <cellStyle name="??_x000c_&quot;_138 - OtherReceivableAccount_30112009 23" xfId="5536" xr:uid="{00000000-0005-0000-0000-0000340B0000}"/>
    <cellStyle name="??_x000c_&quot;_x001b__138 - OtherReceivableAccount_30112009 23" xfId="5104" xr:uid="{00000000-0005-0000-0000-0000350B0000}"/>
    <cellStyle name="??_x000c_&quot;_138 - OtherReceivableAccount_30112009 24" xfId="5576" xr:uid="{00000000-0005-0000-0000-0000360B0000}"/>
    <cellStyle name="??_x000c_&quot;_x001b__138 - OtherReceivableAccount_30112009 24" xfId="5906" xr:uid="{00000000-0005-0000-0000-0000370B0000}"/>
    <cellStyle name="??_x000c_&quot;_138 - OtherReceivableAccount_30112009 25" xfId="4305" xr:uid="{00000000-0005-0000-0000-0000380B0000}"/>
    <cellStyle name="??_x000c_&quot;_x001b__138 - OtherReceivableAccount_30112009 25" xfId="5047" xr:uid="{00000000-0005-0000-0000-0000390B0000}"/>
    <cellStyle name="??_x000c_&quot;_138 - OtherReceivableAccount_30112009 26" xfId="6086" xr:uid="{00000000-0005-0000-0000-00003A0B0000}"/>
    <cellStyle name="??_x000c_&quot;_x001b__138 - OtherReceivableAccount_30112009 26" xfId="6136" xr:uid="{00000000-0005-0000-0000-00003B0B0000}"/>
    <cellStyle name="??_x000c_&quot;_138 - OtherReceivableAccount_30112009 27" xfId="4541" xr:uid="{00000000-0005-0000-0000-00003C0B0000}"/>
    <cellStyle name="??_x000c_&quot;_x001b__138 - OtherReceivableAccount_30112009 27" xfId="6158" xr:uid="{00000000-0005-0000-0000-00003D0B0000}"/>
    <cellStyle name="??_x000c_&quot;_138 - OtherReceivableAccount_30112009 28" xfId="6318" xr:uid="{00000000-0005-0000-0000-00003E0B0000}"/>
    <cellStyle name="??_x000c_&quot;_x001b__138 - OtherReceivableAccount_30112009 28" xfId="6319" xr:uid="{00000000-0005-0000-0000-00003F0B0000}"/>
    <cellStyle name="??_x000c_&quot;_138 - OtherReceivableAccount_30112009 29" xfId="6539" xr:uid="{00000000-0005-0000-0000-0000400B0000}"/>
    <cellStyle name="??_x000c_&quot;_x001b__138 - OtherReceivableAccount_30112009 29" xfId="6458" xr:uid="{00000000-0005-0000-0000-0000410B0000}"/>
    <cellStyle name="??_x000c_&quot;_138 - OtherReceivableAccount_30112009 3" xfId="3455" xr:uid="{00000000-0005-0000-0000-0000420B0000}"/>
    <cellStyle name="??_x000c_&quot;_x001b__138 - OtherReceivableAccount_30112009 3" xfId="3453" xr:uid="{00000000-0005-0000-0000-0000430B0000}"/>
    <cellStyle name="??_x000c_&quot;_138 - OtherReceivableAccount_30112009 30" xfId="6343" xr:uid="{00000000-0005-0000-0000-0000440B0000}"/>
    <cellStyle name="??_x000c_&quot;_x001b__138 - OtherReceivableAccount_30112009 30" xfId="6403" xr:uid="{00000000-0005-0000-0000-0000450B0000}"/>
    <cellStyle name="??_x000c_&quot;_138 - OtherReceivableAccount_30112009 31" xfId="6892" xr:uid="{00000000-0005-0000-0000-0000460B0000}"/>
    <cellStyle name="??_x000c_&quot;_x001b__138 - OtherReceivableAccount_30112009 31" xfId="6893" xr:uid="{00000000-0005-0000-0000-0000470B0000}"/>
    <cellStyle name="??_x000c_&quot;_138 - OtherReceivableAccount_30112009 32" xfId="7781" xr:uid="{00000000-0005-0000-0000-0000480B0000}"/>
    <cellStyle name="??_x000c_&quot;_x001b__138 - OtherReceivableAccount_30112009 32" xfId="7782" xr:uid="{00000000-0005-0000-0000-0000490B0000}"/>
    <cellStyle name="??_x000c_&quot;_138 - OtherReceivableAccount_30112009 33" xfId="8004" xr:uid="{00000000-0005-0000-0000-00004A0B0000}"/>
    <cellStyle name="??_x000c_&quot;_x001b__138 - OtherReceivableAccount_30112009 33" xfId="8003" xr:uid="{00000000-0005-0000-0000-00004B0B0000}"/>
    <cellStyle name="??_x000c_&quot;_138 - OtherReceivableAccount_30112009 34" xfId="7818" xr:uid="{00000000-0005-0000-0000-00004C0B0000}"/>
    <cellStyle name="??_x000c_&quot;_x001b__138 - OtherReceivableAccount_30112009 34" xfId="8135" xr:uid="{00000000-0005-0000-0000-00004D0B0000}"/>
    <cellStyle name="??_x000c_&quot;_138 - OtherReceivableAccount_30112009 35" xfId="8515" xr:uid="{00000000-0005-0000-0000-00004E0B0000}"/>
    <cellStyle name="??_x000c_&quot;_x001b__138 - OtherReceivableAccount_30112009 35" xfId="7942" xr:uid="{00000000-0005-0000-0000-00004F0B0000}"/>
    <cellStyle name="??_x000c_&quot;_138 - OtherReceivableAccount_30112009 36" xfId="9403" xr:uid="{00000000-0005-0000-0000-0000500B0000}"/>
    <cellStyle name="??_x000c_&quot;_x001b__138 - OtherReceivableAccount_30112009 36" xfId="8309" xr:uid="{00000000-0005-0000-0000-0000510B0000}"/>
    <cellStyle name="??_x000c_&quot;_138 - OtherReceivableAccount_30112009 37" xfId="8094" xr:uid="{00000000-0005-0000-0000-0000520B0000}"/>
    <cellStyle name="??_x000c_&quot;_x001b__138 - OtherReceivableAccount_30112009 37" xfId="7796" xr:uid="{00000000-0005-0000-0000-0000530B0000}"/>
    <cellStyle name="??_x000c_&quot;_138 - OtherReceivableAccount_30112009 38" xfId="7859" xr:uid="{00000000-0005-0000-0000-0000540B0000}"/>
    <cellStyle name="??_x000c_&quot;_x001b__138 - OtherReceivableAccount_30112009 38" xfId="8519" xr:uid="{00000000-0005-0000-0000-0000550B0000}"/>
    <cellStyle name="??_x000c_&quot;_138 - OtherReceivableAccount_30112009 39" xfId="9574" xr:uid="{00000000-0005-0000-0000-0000560B0000}"/>
    <cellStyle name="??_x000c_&quot;_x001b__138 - OtherReceivableAccount_30112009 39" xfId="9575" xr:uid="{00000000-0005-0000-0000-0000570B0000}"/>
    <cellStyle name="??_x000c_&quot;_138 - OtherReceivableAccount_30112009 4" xfId="3599" xr:uid="{00000000-0005-0000-0000-0000580B0000}"/>
    <cellStyle name="??_x000c_&quot;_x001b__138 - OtherReceivableAccount_30112009 4" xfId="3208" xr:uid="{00000000-0005-0000-0000-0000590B0000}"/>
    <cellStyle name="??_x000c_&quot;_138 - OtherReceivableAccount_30112009 40" xfId="11995" xr:uid="{00000000-0005-0000-0000-00005A0B0000}"/>
    <cellStyle name="??_x000c_&quot;_x001b__138 - OtherReceivableAccount_30112009 40" xfId="11996" xr:uid="{00000000-0005-0000-0000-00005B0B0000}"/>
    <cellStyle name="??_x000c_&quot;_138 - OtherReceivableAccount_30112009 41" xfId="11997" xr:uid="{00000000-0005-0000-0000-00005C0B0000}"/>
    <cellStyle name="??_x000c_&quot;_x001b__138 - OtherReceivableAccount_30112009 41" xfId="11998" xr:uid="{00000000-0005-0000-0000-00005D0B0000}"/>
    <cellStyle name="??_x000c_&quot;_138 - OtherReceivableAccount_30112009 42" xfId="11999" xr:uid="{00000000-0005-0000-0000-00005E0B0000}"/>
    <cellStyle name="??_x000c_&quot;_x001b__138 - OtherReceivableAccount_30112009 42" xfId="12000" xr:uid="{00000000-0005-0000-0000-00005F0B0000}"/>
    <cellStyle name="??_x000c_&quot;_138 - OtherReceivableAccount_30112009 43" xfId="20788" xr:uid="{00000000-0005-0000-0000-0000600B0000}"/>
    <cellStyle name="??_x000c_&quot;_x001b__138 - OtherReceivableAccount_30112009 43" xfId="20789" xr:uid="{00000000-0005-0000-0000-0000610B0000}"/>
    <cellStyle name="??_x000c_&quot;_138 - OtherReceivableAccount_30112009 5" xfId="3166" xr:uid="{00000000-0005-0000-0000-0000620B0000}"/>
    <cellStyle name="??_x000c_&quot;_x001b__138 - OtherReceivableAccount_30112009 5" xfId="3614" xr:uid="{00000000-0005-0000-0000-0000630B0000}"/>
    <cellStyle name="??_x000c_&quot;_138 - OtherReceivableAccount_30112009 6" xfId="3707" xr:uid="{00000000-0005-0000-0000-0000640B0000}"/>
    <cellStyle name="??_x000c_&quot;_x001b__138 - OtherReceivableAccount_30112009 6" xfId="3708" xr:uid="{00000000-0005-0000-0000-0000650B0000}"/>
    <cellStyle name="??_x000c_&quot;_138 - OtherReceivableAccount_30112009 7" xfId="3811" xr:uid="{00000000-0005-0000-0000-0000660B0000}"/>
    <cellStyle name="??_x000c_&quot;_x001b__138 - OtherReceivableAccount_30112009 7" xfId="3810" xr:uid="{00000000-0005-0000-0000-0000670B0000}"/>
    <cellStyle name="??_x000c_&quot;_138 - OtherReceivableAccount_30112009 8" xfId="3760" xr:uid="{00000000-0005-0000-0000-0000680B0000}"/>
    <cellStyle name="??_x000c_&quot;_x001b__138 - OtherReceivableAccount_30112009 8" xfId="3761" xr:uid="{00000000-0005-0000-0000-0000690B0000}"/>
    <cellStyle name="??_x000c_&quot;_138 - OtherReceivableAccount_30112009 9" xfId="4027" xr:uid="{00000000-0005-0000-0000-00006A0B0000}"/>
    <cellStyle name="??_x000c_&quot;_x001b__138 - OtherReceivableAccount_30112009 9" xfId="4028" xr:uid="{00000000-0005-0000-0000-00006B0B0000}"/>
    <cellStyle name="??_x000c_&quot;_138 - OtherReceivableAccount_30112009_EVALUATION_EX_311208" xfId="104" xr:uid="{00000000-0005-0000-0000-00006C0B0000}"/>
    <cellStyle name="??_x000c_&quot;_x001b__138 - OtherReceivableAccount_30112009_EVALUATION_EX_311208" xfId="105" xr:uid="{00000000-0005-0000-0000-00006D0B0000}"/>
    <cellStyle name="??_x000c_&quot;_138 - OtherReceivableAccount_30112009_EVALUATION_EX_311208 10" xfId="4213" xr:uid="{00000000-0005-0000-0000-00006E0B0000}"/>
    <cellStyle name="??_x000c_&quot;_x001b__138 - OtherReceivableAccount_30112009_EVALUATION_EX_311208 10" xfId="4214" xr:uid="{00000000-0005-0000-0000-00006F0B0000}"/>
    <cellStyle name="??_x000c_&quot;_138 - OtherReceivableAccount_30112009_EVALUATION_EX_311208 11" xfId="4921" xr:uid="{00000000-0005-0000-0000-0000700B0000}"/>
    <cellStyle name="??_x000c_&quot;_x001b__138 - OtherReceivableAccount_30112009_EVALUATION_EX_311208 11" xfId="4920" xr:uid="{00000000-0005-0000-0000-0000710B0000}"/>
    <cellStyle name="??_x000c_&quot;_138 - OtherReceivableAccount_30112009_EVALUATION_EX_311208 12" xfId="4390" xr:uid="{00000000-0005-0000-0000-0000720B0000}"/>
    <cellStyle name="??_x000c_&quot;_x001b__138 - OtherReceivableAccount_30112009_EVALUATION_EX_311208 12" xfId="4391" xr:uid="{00000000-0005-0000-0000-0000730B0000}"/>
    <cellStyle name="??_x000c_&quot;_138 - OtherReceivableAccount_30112009_EVALUATION_EX_311208 13" xfId="4696" xr:uid="{00000000-0005-0000-0000-0000740B0000}"/>
    <cellStyle name="??_x000c_&quot;_x001b__138 - OtherReceivableAccount_30112009_EVALUATION_EX_311208 13" xfId="4695" xr:uid="{00000000-0005-0000-0000-0000750B0000}"/>
    <cellStyle name="??_x000c_&quot;_138 - OtherReceivableAccount_30112009_EVALUATION_EX_311208 14" xfId="4471" xr:uid="{00000000-0005-0000-0000-0000760B0000}"/>
    <cellStyle name="??_x000c_&quot;_x001b__138 - OtherReceivableAccount_30112009_EVALUATION_EX_311208 14" xfId="4472" xr:uid="{00000000-0005-0000-0000-0000770B0000}"/>
    <cellStyle name="??_x000c_&quot;_138 - OtherReceivableAccount_30112009_EVALUATION_EX_311208 15" xfId="5097" xr:uid="{00000000-0005-0000-0000-0000780B0000}"/>
    <cellStyle name="??_x000c_&quot;_x001b__138 - OtherReceivableAccount_30112009_EVALUATION_EX_311208 15" xfId="5586" xr:uid="{00000000-0005-0000-0000-0000790B0000}"/>
    <cellStyle name="??_x000c_&quot;_138 - OtherReceivableAccount_30112009_EVALUATION_EX_311208 16" xfId="4817" xr:uid="{00000000-0005-0000-0000-00007A0B0000}"/>
    <cellStyle name="??_x000c_&quot;_x001b__138 - OtherReceivableAccount_30112009_EVALUATION_EX_311208 16" xfId="5948" xr:uid="{00000000-0005-0000-0000-00007B0B0000}"/>
    <cellStyle name="??_x000c_&quot;_138 - OtherReceivableAccount_30112009_EVALUATION_EX_311208 17" xfId="5314" xr:uid="{00000000-0005-0000-0000-00007C0B0000}"/>
    <cellStyle name="??_x000c_&quot;_x001b__138 - OtherReceivableAccount_30112009_EVALUATION_EX_311208 17" xfId="4708" xr:uid="{00000000-0005-0000-0000-00007D0B0000}"/>
    <cellStyle name="??_x000c_&quot;_138 - OtherReceivableAccount_30112009_EVALUATION_EX_311208 18" xfId="6063" xr:uid="{00000000-0005-0000-0000-00007E0B0000}"/>
    <cellStyle name="??_x000c_&quot;_x001b__138 - OtherReceivableAccount_30112009_EVALUATION_EX_311208 18" xfId="6049" xr:uid="{00000000-0005-0000-0000-00007F0B0000}"/>
    <cellStyle name="??_x000c_&quot;_138 - OtherReceivableAccount_30112009_EVALUATION_EX_311208 19" xfId="5013" xr:uid="{00000000-0005-0000-0000-0000800B0000}"/>
    <cellStyle name="??_x000c_&quot;_x001b__138 - OtherReceivableAccount_30112009_EVALUATION_EX_311208 19" xfId="5874" xr:uid="{00000000-0005-0000-0000-0000810B0000}"/>
    <cellStyle name="??_x000c_&quot;_138 - OtherReceivableAccount_30112009_EVALUATION_EX_311208 2" xfId="3106" xr:uid="{00000000-0005-0000-0000-0000820B0000}"/>
    <cellStyle name="??_x000c_&quot;_x001b__138 - OtherReceivableAccount_30112009_EVALUATION_EX_311208 2" xfId="3107" xr:uid="{00000000-0005-0000-0000-0000830B0000}"/>
    <cellStyle name="??_x000c_&quot;_138 - OtherReceivableAccount_30112009_EVALUATION_EX_311208 20" xfId="4493" xr:uid="{00000000-0005-0000-0000-0000840B0000}"/>
    <cellStyle name="??_x000c_&quot;_x001b__138 - OtherReceivableAccount_30112009_EVALUATION_EX_311208 20" xfId="5854" xr:uid="{00000000-0005-0000-0000-0000850B0000}"/>
    <cellStyle name="??_x000c_&quot;_138 - OtherReceivableAccount_30112009_EVALUATION_EX_311208 21" xfId="5366" xr:uid="{00000000-0005-0000-0000-0000860B0000}"/>
    <cellStyle name="??_x000c_&quot;_x001b__138 - OtherReceivableAccount_30112009_EVALUATION_EX_311208 21" xfId="4440" xr:uid="{00000000-0005-0000-0000-0000870B0000}"/>
    <cellStyle name="??_x000c_&quot;_138 - OtherReceivableAccount_30112009_EVALUATION_EX_311208 22" xfId="5336" xr:uid="{00000000-0005-0000-0000-0000880B0000}"/>
    <cellStyle name="??_x000c_&quot;_x001b__138 - OtherReceivableAccount_30112009_EVALUATION_EX_311208 22" xfId="5978" xr:uid="{00000000-0005-0000-0000-0000890B0000}"/>
    <cellStyle name="??_x000c_&quot;_138 - OtherReceivableAccount_30112009_EVALUATION_EX_311208 23" xfId="4510" xr:uid="{00000000-0005-0000-0000-00008A0B0000}"/>
    <cellStyle name="??_x000c_&quot;_x001b__138 - OtherReceivableAccount_30112009_EVALUATION_EX_311208 23" xfId="4532" xr:uid="{00000000-0005-0000-0000-00008B0B0000}"/>
    <cellStyle name="??_x000c_&quot;_138 - OtherReceivableAccount_30112009_EVALUATION_EX_311208 24" xfId="4908" xr:uid="{00000000-0005-0000-0000-00008C0B0000}"/>
    <cellStyle name="??_x000c_&quot;_x001b__138 - OtherReceivableAccount_30112009_EVALUATION_EX_311208 24" xfId="6133" xr:uid="{00000000-0005-0000-0000-00008D0B0000}"/>
    <cellStyle name="??_x000c_&quot;_138 - OtherReceivableAccount_30112009_EVALUATION_EX_311208 25" xfId="4686" xr:uid="{00000000-0005-0000-0000-00008E0B0000}"/>
    <cellStyle name="??_x000c_&quot;_x001b__138 - OtherReceivableAccount_30112009_EVALUATION_EX_311208 25" xfId="5363" xr:uid="{00000000-0005-0000-0000-00008F0B0000}"/>
    <cellStyle name="??_x000c_&quot;_138 - OtherReceivableAccount_30112009_EVALUATION_EX_311208 26" xfId="5837" xr:uid="{00000000-0005-0000-0000-0000900B0000}"/>
    <cellStyle name="??_x000c_&quot;_x001b__138 - OtherReceivableAccount_30112009_EVALUATION_EX_311208 26" xfId="5043" xr:uid="{00000000-0005-0000-0000-0000910B0000}"/>
    <cellStyle name="??_x000c_&quot;_138 - OtherReceivableAccount_30112009_EVALUATION_EX_311208 27" xfId="5470" xr:uid="{00000000-0005-0000-0000-0000920B0000}"/>
    <cellStyle name="??_x000c_&quot;_x001b__138 - OtherReceivableAccount_30112009_EVALUATION_EX_311208 27" xfId="6115" xr:uid="{00000000-0005-0000-0000-0000930B0000}"/>
    <cellStyle name="??_x000c_&quot;_138 - OtherReceivableAccount_30112009_EVALUATION_EX_311208 28" xfId="6320" xr:uid="{00000000-0005-0000-0000-0000940B0000}"/>
    <cellStyle name="??_x000c_&quot;_x001b__138 - OtherReceivableAccount_30112009_EVALUATION_EX_311208 28" xfId="6321" xr:uid="{00000000-0005-0000-0000-0000950B0000}"/>
    <cellStyle name="??_x000c_&quot;_138 - OtherReceivableAccount_30112009_EVALUATION_EX_311208 29" xfId="6457" xr:uid="{00000000-0005-0000-0000-0000960B0000}"/>
    <cellStyle name="??_x000c_&quot;_x001b__138 - OtherReceivableAccount_30112009_EVALUATION_EX_311208 29" xfId="6456" xr:uid="{00000000-0005-0000-0000-0000970B0000}"/>
    <cellStyle name="??_x000c_&quot;_138 - OtherReceivableAccount_30112009_EVALUATION_EX_311208 3" xfId="3452" xr:uid="{00000000-0005-0000-0000-0000980B0000}"/>
    <cellStyle name="??_x000c_&quot;_x001b__138 - OtherReceivableAccount_30112009_EVALUATION_EX_311208 3" xfId="3451" xr:uid="{00000000-0005-0000-0000-0000990B0000}"/>
    <cellStyle name="??_x000c_&quot;_138 - OtherReceivableAccount_30112009_EVALUATION_EX_311208 30" xfId="6533" xr:uid="{00000000-0005-0000-0000-00009A0B0000}"/>
    <cellStyle name="??_x000c_&quot;_x001b__138 - OtherReceivableAccount_30112009_EVALUATION_EX_311208 30" xfId="6404" xr:uid="{00000000-0005-0000-0000-00009B0B0000}"/>
    <cellStyle name="??_x000c_&quot;_138 - OtherReceivableAccount_30112009_EVALUATION_EX_311208 31" xfId="6894" xr:uid="{00000000-0005-0000-0000-00009C0B0000}"/>
    <cellStyle name="??_x000c_&quot;_x001b__138 - OtherReceivableAccount_30112009_EVALUATION_EX_311208 31" xfId="6895" xr:uid="{00000000-0005-0000-0000-00009D0B0000}"/>
    <cellStyle name="??_x000c_&quot;_138 - OtherReceivableAccount_30112009_EVALUATION_EX_311208 32" xfId="7783" xr:uid="{00000000-0005-0000-0000-00009E0B0000}"/>
    <cellStyle name="??_x000c_&quot;_x001b__138 - OtherReceivableAccount_30112009_EVALUATION_EX_311208 32" xfId="7784" xr:uid="{00000000-0005-0000-0000-00009F0B0000}"/>
    <cellStyle name="??_x000c_&quot;_138 - OtherReceivableAccount_30112009_EVALUATION_EX_311208 33" xfId="8002" xr:uid="{00000000-0005-0000-0000-0000A00B0000}"/>
    <cellStyle name="??_x000c_&quot;_x001b__138 - OtherReceivableAccount_30112009_EVALUATION_EX_311208 33" xfId="8001" xr:uid="{00000000-0005-0000-0000-0000A10B0000}"/>
    <cellStyle name="??_x000c_&quot;_138 - OtherReceivableAccount_30112009_EVALUATION_EX_311208 34" xfId="7819" xr:uid="{00000000-0005-0000-0000-0000A20B0000}"/>
    <cellStyle name="??_x000c_&quot;_x001b__138 - OtherReceivableAccount_30112009_EVALUATION_EX_311208 34" xfId="7912" xr:uid="{00000000-0005-0000-0000-0000A30B0000}"/>
    <cellStyle name="??_x000c_&quot;_138 - OtherReceivableAccount_30112009_EVALUATION_EX_311208 35" xfId="8506" xr:uid="{00000000-0005-0000-0000-0000A40B0000}"/>
    <cellStyle name="??_x000c_&quot;_x001b__138 - OtherReceivableAccount_30112009_EVALUATION_EX_311208 35" xfId="7941" xr:uid="{00000000-0005-0000-0000-0000A50B0000}"/>
    <cellStyle name="??_x000c_&quot;_138 - OtherReceivableAccount_30112009_EVALUATION_EX_311208 36" xfId="8344" xr:uid="{00000000-0005-0000-0000-0000A60B0000}"/>
    <cellStyle name="??_x000c_&quot;_x001b__138 - OtherReceivableAccount_30112009_EVALUATION_EX_311208 36" xfId="8524" xr:uid="{00000000-0005-0000-0000-0000A70B0000}"/>
    <cellStyle name="??_x000c_&quot;_138 - OtherReceivableAccount_30112009_EVALUATION_EX_311208 37" xfId="7856" xr:uid="{00000000-0005-0000-0000-0000A80B0000}"/>
    <cellStyle name="??_x000c_&quot;_x001b__138 - OtherReceivableAccount_30112009_EVALUATION_EX_311208 37" xfId="8082" xr:uid="{00000000-0005-0000-0000-0000A90B0000}"/>
    <cellStyle name="??_x000c_&quot;_138 - OtherReceivableAccount_30112009_EVALUATION_EX_311208 38" xfId="8220" xr:uid="{00000000-0005-0000-0000-0000AA0B0000}"/>
    <cellStyle name="??_x000c_&quot;_x001b__138 - OtherReceivableAccount_30112009_EVALUATION_EX_311208 38" xfId="7841" xr:uid="{00000000-0005-0000-0000-0000AB0B0000}"/>
    <cellStyle name="??_x000c_&quot;_138 - OtherReceivableAccount_30112009_EVALUATION_EX_311208 39" xfId="9576" xr:uid="{00000000-0005-0000-0000-0000AC0B0000}"/>
    <cellStyle name="??_x000c_&quot;_x001b__138 - OtherReceivableAccount_30112009_EVALUATION_EX_311208 39" xfId="9577" xr:uid="{00000000-0005-0000-0000-0000AD0B0000}"/>
    <cellStyle name="??_x000c_&quot;_138 - OtherReceivableAccount_30112009_EVALUATION_EX_311208 4" xfId="3209" xr:uid="{00000000-0005-0000-0000-0000AE0B0000}"/>
    <cellStyle name="??_x000c_&quot;_x001b__138 - OtherReceivableAccount_30112009_EVALUATION_EX_311208 4" xfId="3210" xr:uid="{00000000-0005-0000-0000-0000AF0B0000}"/>
    <cellStyle name="??_x000c_&quot;_138 - OtherReceivableAccount_30112009_EVALUATION_EX_311208 40" xfId="12001" xr:uid="{00000000-0005-0000-0000-0000B00B0000}"/>
    <cellStyle name="??_x000c_&quot;_x001b__138 - OtherReceivableAccount_30112009_EVALUATION_EX_311208 40" xfId="12002" xr:uid="{00000000-0005-0000-0000-0000B10B0000}"/>
    <cellStyle name="??_x000c_&quot;_138 - OtherReceivableAccount_30112009_EVALUATION_EX_311208 41" xfId="12003" xr:uid="{00000000-0005-0000-0000-0000B20B0000}"/>
    <cellStyle name="??_x000c_&quot;_x001b__138 - OtherReceivableAccount_30112009_EVALUATION_EX_311208 41" xfId="12004" xr:uid="{00000000-0005-0000-0000-0000B30B0000}"/>
    <cellStyle name="??_x000c_&quot;_138 - OtherReceivableAccount_30112009_EVALUATION_EX_311208 42" xfId="12005" xr:uid="{00000000-0005-0000-0000-0000B40B0000}"/>
    <cellStyle name="??_x000c_&quot;_x001b__138 - OtherReceivableAccount_30112009_EVALUATION_EX_311208 42" xfId="12006" xr:uid="{00000000-0005-0000-0000-0000B50B0000}"/>
    <cellStyle name="??_x000c_&quot;_138 - OtherReceivableAccount_30112009_EVALUATION_EX_311208 43" xfId="20790" xr:uid="{00000000-0005-0000-0000-0000B60B0000}"/>
    <cellStyle name="??_x000c_&quot;_x001b__138 - OtherReceivableAccount_30112009_EVALUATION_EX_311208 43" xfId="20791" xr:uid="{00000000-0005-0000-0000-0000B70B0000}"/>
    <cellStyle name="??_x000c_&quot;_138 - OtherReceivableAccount_30112009_EVALUATION_EX_311208 5" xfId="3584" xr:uid="{00000000-0005-0000-0000-0000B80B0000}"/>
    <cellStyle name="??_x000c_&quot;_x001b__138 - OtherReceivableAccount_30112009_EVALUATION_EX_311208 5" xfId="3621" xr:uid="{00000000-0005-0000-0000-0000B90B0000}"/>
    <cellStyle name="??_x000c_&quot;_138 - OtherReceivableAccount_30112009_EVALUATION_EX_311208 6" xfId="3709" xr:uid="{00000000-0005-0000-0000-0000BA0B0000}"/>
    <cellStyle name="??_x000c_&quot;_x001b__138 - OtherReceivableAccount_30112009_EVALUATION_EX_311208 6" xfId="3710" xr:uid="{00000000-0005-0000-0000-0000BB0B0000}"/>
    <cellStyle name="??_x000c_&quot;_138 - OtherReceivableAccount_30112009_EVALUATION_EX_311208 7" xfId="3809" xr:uid="{00000000-0005-0000-0000-0000BC0B0000}"/>
    <cellStyle name="??_x000c_&quot;_x001b__138 - OtherReceivableAccount_30112009_EVALUATION_EX_311208 7" xfId="3808" xr:uid="{00000000-0005-0000-0000-0000BD0B0000}"/>
    <cellStyle name="??_x000c_&quot;_138 - OtherReceivableAccount_30112009_EVALUATION_EX_311208 8" xfId="3762" xr:uid="{00000000-0005-0000-0000-0000BE0B0000}"/>
    <cellStyle name="??_x000c_&quot;_x001b__138 - OtherReceivableAccount_30112009_EVALUATION_EX_311208 8" xfId="3763" xr:uid="{00000000-0005-0000-0000-0000BF0B0000}"/>
    <cellStyle name="??_x000c_&quot;_138 - OtherReceivableAccount_30112009_EVALUATION_EX_311208 9" xfId="4029" xr:uid="{00000000-0005-0000-0000-0000C00B0000}"/>
    <cellStyle name="??_x000c_&quot;_x001b__138 - OtherReceivableAccount_30112009_EVALUATION_EX_311208 9" xfId="4030" xr:uid="{00000000-0005-0000-0000-0000C10B0000}"/>
    <cellStyle name="??_x000c_&quot;_138 - OtherReceivableAccount_31012010" xfId="106" xr:uid="{00000000-0005-0000-0000-0000C20B0000}"/>
    <cellStyle name="??_x000c_&quot;_x001b__138 - OtherReceivableAccount_31012010" xfId="107" xr:uid="{00000000-0005-0000-0000-0000C30B0000}"/>
    <cellStyle name="??_x000c_&quot;_138 - OtherReceivableAccount_31012010 10" xfId="4215" xr:uid="{00000000-0005-0000-0000-0000C40B0000}"/>
    <cellStyle name="??_x000c_&quot;_x001b__138 - OtherReceivableAccount_31012010 10" xfId="4216" xr:uid="{00000000-0005-0000-0000-0000C50B0000}"/>
    <cellStyle name="??_x000c_&quot;_138 - OtherReceivableAccount_31012010 11" xfId="4919" xr:uid="{00000000-0005-0000-0000-0000C60B0000}"/>
    <cellStyle name="??_x000c_&quot;_x001b__138 - OtherReceivableAccount_31012010 11" xfId="5396" xr:uid="{00000000-0005-0000-0000-0000C70B0000}"/>
    <cellStyle name="??_x000c_&quot;_138 - OtherReceivableAccount_31012010 12" xfId="4392" xr:uid="{00000000-0005-0000-0000-0000C80B0000}"/>
    <cellStyle name="??_x000c_&quot;_x001b__138 - OtherReceivableAccount_31012010 12" xfId="4393" xr:uid="{00000000-0005-0000-0000-0000C90B0000}"/>
    <cellStyle name="??_x000c_&quot;_138 - OtherReceivableAccount_31012010 13" xfId="4694" xr:uid="{00000000-0005-0000-0000-0000CA0B0000}"/>
    <cellStyle name="??_x000c_&quot;_x001b__138 - OtherReceivableAccount_31012010 13" xfId="4693" xr:uid="{00000000-0005-0000-0000-0000CB0B0000}"/>
    <cellStyle name="??_x000c_&quot;_138 - OtherReceivableAccount_31012010 14" xfId="4473" xr:uid="{00000000-0005-0000-0000-0000CC0B0000}"/>
    <cellStyle name="??_x000c_&quot;_x001b__138 - OtherReceivableAccount_31012010 14" xfId="4474" xr:uid="{00000000-0005-0000-0000-0000CD0B0000}"/>
    <cellStyle name="??_x000c_&quot;_138 - OtherReceivableAccount_31012010 15" xfId="5124" xr:uid="{00000000-0005-0000-0000-0000CE0B0000}"/>
    <cellStyle name="??_x000c_&quot;_x001b__138 - OtherReceivableAccount_31012010 15" xfId="4608" xr:uid="{00000000-0005-0000-0000-0000CF0B0000}"/>
    <cellStyle name="??_x000c_&quot;_138 - OtherReceivableAccount_31012010 16" xfId="5887" xr:uid="{00000000-0005-0000-0000-0000D00B0000}"/>
    <cellStyle name="??_x000c_&quot;_x001b__138 - OtherReceivableAccount_31012010 16" xfId="5938" xr:uid="{00000000-0005-0000-0000-0000D10B0000}"/>
    <cellStyle name="??_x000c_&quot;_138 - OtherReceivableAccount_31012010 17" xfId="5128" xr:uid="{00000000-0005-0000-0000-0000D20B0000}"/>
    <cellStyle name="??_x000c_&quot;_x001b__138 - OtherReceivableAccount_31012010 17" xfId="4276" xr:uid="{00000000-0005-0000-0000-0000D30B0000}"/>
    <cellStyle name="??_x000c_&quot;_138 - OtherReceivableAccount_31012010 18" xfId="5942" xr:uid="{00000000-0005-0000-0000-0000D40B0000}"/>
    <cellStyle name="??_x000c_&quot;_x001b__138 - OtherReceivableAccount_31012010 18" xfId="5659" xr:uid="{00000000-0005-0000-0000-0000D50B0000}"/>
    <cellStyle name="??_x000c_&quot;_138 - OtherReceivableAccount_31012010 19" xfId="6026" xr:uid="{00000000-0005-0000-0000-0000D60B0000}"/>
    <cellStyle name="??_x000c_&quot;_x001b__138 - OtherReceivableAccount_31012010 19" xfId="6018" xr:uid="{00000000-0005-0000-0000-0000D70B0000}"/>
    <cellStyle name="??_x000c_&quot;_138 - OtherReceivableAccount_31012010 2" xfId="3108" xr:uid="{00000000-0005-0000-0000-0000D80B0000}"/>
    <cellStyle name="??_x000c_&quot;_x001b__138 - OtherReceivableAccount_31012010 2" xfId="3109" xr:uid="{00000000-0005-0000-0000-0000D90B0000}"/>
    <cellStyle name="??_x000c_&quot;_138 - OtherReceivableAccount_31012010 20" xfId="4294" xr:uid="{00000000-0005-0000-0000-0000DA0B0000}"/>
    <cellStyle name="??_x000c_&quot;_x001b__138 - OtherReceivableAccount_31012010 20" xfId="5362" xr:uid="{00000000-0005-0000-0000-0000DB0B0000}"/>
    <cellStyle name="??_x000c_&quot;_138 - OtherReceivableAccount_31012010 21" xfId="5038" xr:uid="{00000000-0005-0000-0000-0000DC0B0000}"/>
    <cellStyle name="??_x000c_&quot;_x001b__138 - OtherReceivableAccount_31012010 21" xfId="5027" xr:uid="{00000000-0005-0000-0000-0000DD0B0000}"/>
    <cellStyle name="??_x000c_&quot;_138 - OtherReceivableAccount_31012010 22" xfId="4578" xr:uid="{00000000-0005-0000-0000-0000DE0B0000}"/>
    <cellStyle name="??_x000c_&quot;_x001b__138 - OtherReceivableAccount_31012010 22" xfId="5113" xr:uid="{00000000-0005-0000-0000-0000DF0B0000}"/>
    <cellStyle name="??_x000c_&quot;_138 - OtherReceivableAccount_31012010 23" xfId="6003" xr:uid="{00000000-0005-0000-0000-0000E00B0000}"/>
    <cellStyle name="??_x000c_&quot;_x001b__138 - OtherReceivableAccount_31012010 23" xfId="4759" xr:uid="{00000000-0005-0000-0000-0000E10B0000}"/>
    <cellStyle name="??_x000c_&quot;_138 - OtherReceivableAccount_31012010 24" xfId="6075" xr:uid="{00000000-0005-0000-0000-0000E20B0000}"/>
    <cellStyle name="??_x000c_&quot;_x001b__138 - OtherReceivableAccount_31012010 24" xfId="4826" xr:uid="{00000000-0005-0000-0000-0000E30B0000}"/>
    <cellStyle name="??_x000c_&quot;_138 - OtherReceivableAccount_31012010 25" xfId="4810" xr:uid="{00000000-0005-0000-0000-0000E40B0000}"/>
    <cellStyle name="??_x000c_&quot;_x001b__138 - OtherReceivableAccount_31012010 25" xfId="4539" xr:uid="{00000000-0005-0000-0000-0000E50B0000}"/>
    <cellStyle name="??_x000c_&quot;_138 - OtherReceivableAccount_31012010 26" xfId="4760" xr:uid="{00000000-0005-0000-0000-0000E60B0000}"/>
    <cellStyle name="??_x000c_&quot;_x001b__138 - OtherReceivableAccount_31012010 26" xfId="6068" xr:uid="{00000000-0005-0000-0000-0000E70B0000}"/>
    <cellStyle name="??_x000c_&quot;_138 - OtherReceivableAccount_31012010 27" xfId="4937" xr:uid="{00000000-0005-0000-0000-0000E80B0000}"/>
    <cellStyle name="??_x000c_&quot;_x001b__138 - OtherReceivableAccount_31012010 27" xfId="4306" xr:uid="{00000000-0005-0000-0000-0000E90B0000}"/>
    <cellStyle name="??_x000c_&quot;_138 - OtherReceivableAccount_31012010 28" xfId="6322" xr:uid="{00000000-0005-0000-0000-0000EA0B0000}"/>
    <cellStyle name="??_x000c_&quot;_x001b__138 - OtherReceivableAccount_31012010 28" xfId="6323" xr:uid="{00000000-0005-0000-0000-0000EB0B0000}"/>
    <cellStyle name="??_x000c_&quot;_138 - OtherReceivableAccount_31012010 29" xfId="6455" xr:uid="{00000000-0005-0000-0000-0000EC0B0000}"/>
    <cellStyle name="??_x000c_&quot;_x001b__138 - OtherReceivableAccount_31012010 29" xfId="6454" xr:uid="{00000000-0005-0000-0000-0000ED0B0000}"/>
    <cellStyle name="??_x000c_&quot;_138 - OtherReceivableAccount_31012010 3" xfId="3450" xr:uid="{00000000-0005-0000-0000-0000EE0B0000}"/>
    <cellStyle name="??_x000c_&quot;_x001b__138 - OtherReceivableAccount_31012010 3" xfId="3449" xr:uid="{00000000-0005-0000-0000-0000EF0B0000}"/>
    <cellStyle name="??_x000c_&quot;_138 - OtherReceivableAccount_31012010 30" xfId="6405" xr:uid="{00000000-0005-0000-0000-0000F00B0000}"/>
    <cellStyle name="??_x000c_&quot;_x001b__138 - OtherReceivableAccount_31012010 30" xfId="6406" xr:uid="{00000000-0005-0000-0000-0000F10B0000}"/>
    <cellStyle name="??_x000c_&quot;_138 - OtherReceivableAccount_31012010 31" xfId="6896" xr:uid="{00000000-0005-0000-0000-0000F20B0000}"/>
    <cellStyle name="??_x000c_&quot;_x001b__138 - OtherReceivableAccount_31012010 31" xfId="6897" xr:uid="{00000000-0005-0000-0000-0000F30B0000}"/>
    <cellStyle name="??_x000c_&quot;_138 - OtherReceivableAccount_31012010 32" xfId="7785" xr:uid="{00000000-0005-0000-0000-0000F40B0000}"/>
    <cellStyle name="??_x000c_&quot;_x001b__138 - OtherReceivableAccount_31012010 32" xfId="7786" xr:uid="{00000000-0005-0000-0000-0000F50B0000}"/>
    <cellStyle name="??_x000c_&quot;_138 - OtherReceivableAccount_31012010 33" xfId="8000" xr:uid="{00000000-0005-0000-0000-0000F60B0000}"/>
    <cellStyle name="??_x000c_&quot;_x001b__138 - OtherReceivableAccount_31012010 33" xfId="7999" xr:uid="{00000000-0005-0000-0000-0000F70B0000}"/>
    <cellStyle name="??_x000c_&quot;_138 - OtherReceivableAccount_31012010 34" xfId="7913" xr:uid="{00000000-0005-0000-0000-0000F80B0000}"/>
    <cellStyle name="??_x000c_&quot;_x001b__138 - OtherReceivableAccount_31012010 34" xfId="7914" xr:uid="{00000000-0005-0000-0000-0000F90B0000}"/>
    <cellStyle name="??_x000c_&quot;_138 - OtherReceivableAccount_31012010 35" xfId="7940" xr:uid="{00000000-0005-0000-0000-0000FA0B0000}"/>
    <cellStyle name="??_x000c_&quot;_x001b__138 - OtherReceivableAccount_31012010 35" xfId="7939" xr:uid="{00000000-0005-0000-0000-0000FB0B0000}"/>
    <cellStyle name="??_x000c_&quot;_138 - OtherReceivableAccount_31012010 36" xfId="8387" xr:uid="{00000000-0005-0000-0000-0000FC0B0000}"/>
    <cellStyle name="??_x000c_&quot;_x001b__138 - OtherReceivableAccount_31012010 36" xfId="8560" xr:uid="{00000000-0005-0000-0000-0000FD0B0000}"/>
    <cellStyle name="??_x000c_&quot;_138 - OtherReceivableAccount_31012010 37" xfId="7857" xr:uid="{00000000-0005-0000-0000-0000FE0B0000}"/>
    <cellStyle name="??_x000c_&quot;_x001b__138 - OtherReceivableAccount_31012010 37" xfId="7832" xr:uid="{00000000-0005-0000-0000-0000FF0B0000}"/>
    <cellStyle name="??_x000c_&quot;_138 - OtherReceivableAccount_31012010 38" xfId="9463" xr:uid="{00000000-0005-0000-0000-0000000C0000}"/>
    <cellStyle name="??_x000c_&quot;_x001b__138 - OtherReceivableAccount_31012010 38" xfId="8844" xr:uid="{00000000-0005-0000-0000-0000010C0000}"/>
    <cellStyle name="??_x000c_&quot;_138 - OtherReceivableAccount_31012010 39" xfId="9578" xr:uid="{00000000-0005-0000-0000-0000020C0000}"/>
    <cellStyle name="??_x000c_&quot;_x001b__138 - OtherReceivableAccount_31012010 39" xfId="9579" xr:uid="{00000000-0005-0000-0000-0000030C0000}"/>
    <cellStyle name="??_x000c_&quot;_138 - OtherReceivableAccount_31012010 4" xfId="3211" xr:uid="{00000000-0005-0000-0000-0000040C0000}"/>
    <cellStyle name="??_x000c_&quot;_x001b__138 - OtherReceivableAccount_31012010 4" xfId="3563" xr:uid="{00000000-0005-0000-0000-0000050C0000}"/>
    <cellStyle name="??_x000c_&quot;_138 - OtherReceivableAccount_31012010 40" xfId="12007" xr:uid="{00000000-0005-0000-0000-0000060C0000}"/>
    <cellStyle name="??_x000c_&quot;_x001b__138 - OtherReceivableAccount_31012010 40" xfId="12008" xr:uid="{00000000-0005-0000-0000-0000070C0000}"/>
    <cellStyle name="??_x000c_&quot;_138 - OtherReceivableAccount_31012010 41" xfId="12009" xr:uid="{00000000-0005-0000-0000-0000080C0000}"/>
    <cellStyle name="??_x000c_&quot;_x001b__138 - OtherReceivableAccount_31012010 41" xfId="12010" xr:uid="{00000000-0005-0000-0000-0000090C0000}"/>
    <cellStyle name="??_x000c_&quot;_138 - OtherReceivableAccount_31012010 42" xfId="12011" xr:uid="{00000000-0005-0000-0000-00000A0C0000}"/>
    <cellStyle name="??_x000c_&quot;_x001b__138 - OtherReceivableAccount_31012010 42" xfId="12012" xr:uid="{00000000-0005-0000-0000-00000B0C0000}"/>
    <cellStyle name="??_x000c_&quot;_138 - OtherReceivableAccount_31012010 43" xfId="20792" xr:uid="{00000000-0005-0000-0000-00000C0C0000}"/>
    <cellStyle name="??_x000c_&quot;_x001b__138 - OtherReceivableAccount_31012010 43" xfId="20793" xr:uid="{00000000-0005-0000-0000-00000D0C0000}"/>
    <cellStyle name="??_x000c_&quot;_138 - OtherReceivableAccount_31012010 5" xfId="3605" xr:uid="{00000000-0005-0000-0000-00000E0C0000}"/>
    <cellStyle name="??_x000c_&quot;_x001b__138 - OtherReceivableAccount_31012010 5" xfId="3629" xr:uid="{00000000-0005-0000-0000-00000F0C0000}"/>
    <cellStyle name="??_x000c_&quot;_138 - OtherReceivableAccount_31012010 6" xfId="3711" xr:uid="{00000000-0005-0000-0000-0000100C0000}"/>
    <cellStyle name="??_x000c_&quot;_x001b__138 - OtherReceivableAccount_31012010 6" xfId="3712" xr:uid="{00000000-0005-0000-0000-0000110C0000}"/>
    <cellStyle name="??_x000c_&quot;_138 - OtherReceivableAccount_31012010 7" xfId="3807" xr:uid="{00000000-0005-0000-0000-0000120C0000}"/>
    <cellStyle name="??_x000c_&quot;_x001b__138 - OtherReceivableAccount_31012010 7" xfId="3806" xr:uid="{00000000-0005-0000-0000-0000130C0000}"/>
    <cellStyle name="??_x000c_&quot;_138 - OtherReceivableAccount_31012010 8" xfId="3902" xr:uid="{00000000-0005-0000-0000-0000140C0000}"/>
    <cellStyle name="??_x000c_&quot;_x001b__138 - OtherReceivableAccount_31012010 8" xfId="3916" xr:uid="{00000000-0005-0000-0000-0000150C0000}"/>
    <cellStyle name="??_x000c_&quot;_138 - OtherReceivableAccount_31012010 9" xfId="4031" xr:uid="{00000000-0005-0000-0000-0000160C0000}"/>
    <cellStyle name="??_x000c_&quot;_x001b__138 - OtherReceivableAccount_31012010 9" xfId="4032" xr:uid="{00000000-0005-0000-0000-0000170C0000}"/>
    <cellStyle name="??_x000c_&quot;_138 - OtherReceivableAccount_31122009" xfId="108" xr:uid="{00000000-0005-0000-0000-0000180C0000}"/>
    <cellStyle name="??_x000c_&quot;_x001b__138 - OtherReceivableAccount_31122009" xfId="109" xr:uid="{00000000-0005-0000-0000-0000190C0000}"/>
    <cellStyle name="??_x000c_&quot;_138 - OtherReceivableAccount_31122009 10" xfId="4217" xr:uid="{00000000-0005-0000-0000-00001A0C0000}"/>
    <cellStyle name="??_x000c_&quot;_x001b__138 - OtherReceivableAccount_31122009 10" xfId="4218" xr:uid="{00000000-0005-0000-0000-00001B0C0000}"/>
    <cellStyle name="??_x000c_&quot;_138 - OtherReceivableAccount_31122009 11" xfId="4918" xr:uid="{00000000-0005-0000-0000-00001C0C0000}"/>
    <cellStyle name="??_x000c_&quot;_x001b__138 - OtherReceivableAccount_31122009 11" xfId="4917" xr:uid="{00000000-0005-0000-0000-00001D0C0000}"/>
    <cellStyle name="??_x000c_&quot;_138 - OtherReceivableAccount_31122009 12" xfId="4394" xr:uid="{00000000-0005-0000-0000-00001E0C0000}"/>
    <cellStyle name="??_x000c_&quot;_x001b__138 - OtherReceivableAccount_31122009 12" xfId="4395" xr:uid="{00000000-0005-0000-0000-00001F0C0000}"/>
    <cellStyle name="??_x000c_&quot;_138 - OtherReceivableAccount_31122009 13" xfId="4692" xr:uid="{00000000-0005-0000-0000-0000200C0000}"/>
    <cellStyle name="??_x000c_&quot;_x001b__138 - OtherReceivableAccount_31122009 13" xfId="4691" xr:uid="{00000000-0005-0000-0000-0000210C0000}"/>
    <cellStyle name="??_x000c_&quot;_138 - OtherReceivableAccount_31122009 14" xfId="4475" xr:uid="{00000000-0005-0000-0000-0000220C0000}"/>
    <cellStyle name="??_x000c_&quot;_x001b__138 - OtherReceivableAccount_31122009 14" xfId="4476" xr:uid="{00000000-0005-0000-0000-0000230C0000}"/>
    <cellStyle name="??_x000c_&quot;_138 - OtherReceivableAccount_31122009 15" xfId="5585" xr:uid="{00000000-0005-0000-0000-0000240C0000}"/>
    <cellStyle name="??_x000c_&quot;_x001b__138 - OtherReceivableAccount_31122009 15" xfId="5334" xr:uid="{00000000-0005-0000-0000-0000250C0000}"/>
    <cellStyle name="??_x000c_&quot;_138 - OtherReceivableAccount_31122009 16" xfId="4518" xr:uid="{00000000-0005-0000-0000-0000260C0000}"/>
    <cellStyle name="??_x000c_&quot;_x001b__138 - OtherReceivableAccount_31122009 16" xfId="5483" xr:uid="{00000000-0005-0000-0000-0000270C0000}"/>
    <cellStyle name="??_x000c_&quot;_138 - OtherReceivableAccount_31122009 17" xfId="5857" xr:uid="{00000000-0005-0000-0000-0000280C0000}"/>
    <cellStyle name="??_x000c_&quot;_x001b__138 - OtherReceivableAccount_31122009 17" xfId="5322" xr:uid="{00000000-0005-0000-0000-0000290C0000}"/>
    <cellStyle name="??_x000c_&quot;_138 - OtherReceivableAccount_31122009 18" xfId="6054" xr:uid="{00000000-0005-0000-0000-00002A0C0000}"/>
    <cellStyle name="??_x000c_&quot;_x001b__138 - OtherReceivableAccount_31122009 18" xfId="5188" xr:uid="{00000000-0005-0000-0000-00002B0C0000}"/>
    <cellStyle name="??_x000c_&quot;_138 - OtherReceivableAccount_31122009 19" xfId="5313" xr:uid="{00000000-0005-0000-0000-00002C0C0000}"/>
    <cellStyle name="??_x000c_&quot;_x001b__138 - OtherReceivableAccount_31122009 19" xfId="6022" xr:uid="{00000000-0005-0000-0000-00002D0C0000}"/>
    <cellStyle name="??_x000c_&quot;_138 - OtherReceivableAccount_31122009 2" xfId="3110" xr:uid="{00000000-0005-0000-0000-00002E0C0000}"/>
    <cellStyle name="??_x000c_&quot;_x001b__138 - OtherReceivableAccount_31122009 2" xfId="3111" xr:uid="{00000000-0005-0000-0000-00002F0C0000}"/>
    <cellStyle name="??_x000c_&quot;_138 - OtherReceivableAccount_31122009 20" xfId="4783" xr:uid="{00000000-0005-0000-0000-0000300C0000}"/>
    <cellStyle name="??_x000c_&quot;_x001b__138 - OtherReceivableAccount_31122009 20" xfId="5284" xr:uid="{00000000-0005-0000-0000-0000310C0000}"/>
    <cellStyle name="??_x000c_&quot;_138 - OtherReceivableAccount_31122009 21" xfId="5245" xr:uid="{00000000-0005-0000-0000-0000320C0000}"/>
    <cellStyle name="??_x000c_&quot;_x001b__138 - OtherReceivableAccount_31122009 21" xfId="5354" xr:uid="{00000000-0005-0000-0000-0000330C0000}"/>
    <cellStyle name="??_x000c_&quot;_138 - OtherReceivableAccount_31122009 22" xfId="5589" xr:uid="{00000000-0005-0000-0000-0000340C0000}"/>
    <cellStyle name="??_x000c_&quot;_x001b__138 - OtherReceivableAccount_31122009 22" xfId="4681" xr:uid="{00000000-0005-0000-0000-0000350C0000}"/>
    <cellStyle name="??_x000c_&quot;_138 - OtherReceivableAccount_31122009 23" xfId="4639" xr:uid="{00000000-0005-0000-0000-0000360C0000}"/>
    <cellStyle name="??_x000c_&quot;_x001b__138 - OtherReceivableAccount_31122009 23" xfId="4409" xr:uid="{00000000-0005-0000-0000-0000370C0000}"/>
    <cellStyle name="??_x000c_&quot;_138 - OtherReceivableAccount_31122009 24" xfId="5003" xr:uid="{00000000-0005-0000-0000-0000380C0000}"/>
    <cellStyle name="??_x000c_&quot;_x001b__138 - OtherReceivableAccount_31122009 24" xfId="4345" xr:uid="{00000000-0005-0000-0000-0000390C0000}"/>
    <cellStyle name="??_x000c_&quot;_138 - OtherReceivableAccount_31122009 25" xfId="5298" xr:uid="{00000000-0005-0000-0000-00003A0C0000}"/>
    <cellStyle name="??_x000c_&quot;_x001b__138 - OtherReceivableAccount_31122009 25" xfId="5937" xr:uid="{00000000-0005-0000-0000-00003B0C0000}"/>
    <cellStyle name="??_x000c_&quot;_138 - OtherReceivableAccount_31122009 26" xfId="6163" xr:uid="{00000000-0005-0000-0000-00003C0C0000}"/>
    <cellStyle name="??_x000c_&quot;_x001b__138 - OtherReceivableAccount_31122009 26" xfId="4805" xr:uid="{00000000-0005-0000-0000-00003D0C0000}"/>
    <cellStyle name="??_x000c_&quot;_138 - OtherReceivableAccount_31122009 27" xfId="6182" xr:uid="{00000000-0005-0000-0000-00003E0C0000}"/>
    <cellStyle name="??_x000c_&quot;_x001b__138 - OtherReceivableAccount_31122009 27" xfId="6113" xr:uid="{00000000-0005-0000-0000-00003F0C0000}"/>
    <cellStyle name="??_x000c_&quot;_138 - OtherReceivableAccount_31122009 28" xfId="6324" xr:uid="{00000000-0005-0000-0000-0000400C0000}"/>
    <cellStyle name="??_x000c_&quot;_x001b__138 - OtherReceivableAccount_31122009 28" xfId="6325" xr:uid="{00000000-0005-0000-0000-0000410C0000}"/>
    <cellStyle name="??_x000c_&quot;_138 - OtherReceivableAccount_31122009 29" xfId="6453" xr:uid="{00000000-0005-0000-0000-0000420C0000}"/>
    <cellStyle name="??_x000c_&quot;_x001b__138 - OtherReceivableAccount_31122009 29" xfId="6538" xr:uid="{00000000-0005-0000-0000-0000430C0000}"/>
    <cellStyle name="??_x000c_&quot;_138 - OtherReceivableAccount_31122009 3" xfId="3448" xr:uid="{00000000-0005-0000-0000-0000440C0000}"/>
    <cellStyle name="??_x000c_&quot;_x001b__138 - OtherReceivableAccount_31122009 3" xfId="3447" xr:uid="{00000000-0005-0000-0000-0000450C0000}"/>
    <cellStyle name="??_x000c_&quot;_138 - OtherReceivableAccount_31122009 30" xfId="6407" xr:uid="{00000000-0005-0000-0000-0000460C0000}"/>
    <cellStyle name="??_x000c_&quot;_x001b__138 - OtherReceivableAccount_31122009 30" xfId="6408" xr:uid="{00000000-0005-0000-0000-0000470C0000}"/>
    <cellStyle name="??_x000c_&quot;_138 - OtherReceivableAccount_31122009 31" xfId="6898" xr:uid="{00000000-0005-0000-0000-0000480C0000}"/>
    <cellStyle name="??_x000c_&quot;_x001b__138 - OtherReceivableAccount_31122009 31" xfId="6899" xr:uid="{00000000-0005-0000-0000-0000490C0000}"/>
    <cellStyle name="??_x000c_&quot;_138 - OtherReceivableAccount_31122009 32" xfId="7787" xr:uid="{00000000-0005-0000-0000-00004A0C0000}"/>
    <cellStyle name="??_x000c_&quot;_x001b__138 - OtherReceivableAccount_31122009 32" xfId="7788" xr:uid="{00000000-0005-0000-0000-00004B0C0000}"/>
    <cellStyle name="??_x000c_&quot;_138 - OtherReceivableAccount_31122009 33" xfId="8147" xr:uid="{00000000-0005-0000-0000-00004C0C0000}"/>
    <cellStyle name="??_x000c_&quot;_x001b__138 - OtherReceivableAccount_31122009 33" xfId="7998" xr:uid="{00000000-0005-0000-0000-00004D0C0000}"/>
    <cellStyle name="??_x000c_&quot;_138 - OtherReceivableAccount_31122009 34" xfId="7915" xr:uid="{00000000-0005-0000-0000-00004E0C0000}"/>
    <cellStyle name="??_x000c_&quot;_x001b__138 - OtherReceivableAccount_31122009 34" xfId="7916" xr:uid="{00000000-0005-0000-0000-00004F0C0000}"/>
    <cellStyle name="??_x000c_&quot;_138 - OtherReceivableAccount_31122009 35" xfId="7938" xr:uid="{00000000-0005-0000-0000-0000500C0000}"/>
    <cellStyle name="??_x000c_&quot;_x001b__138 - OtherReceivableAccount_31122009 35" xfId="7937" xr:uid="{00000000-0005-0000-0000-0000510C0000}"/>
    <cellStyle name="??_x000c_&quot;_138 - OtherReceivableAccount_31122009 36" xfId="8197" xr:uid="{00000000-0005-0000-0000-0000520C0000}"/>
    <cellStyle name="??_x000c_&quot;_x001b__138 - OtherReceivableAccount_31122009 36" xfId="8180" xr:uid="{00000000-0005-0000-0000-0000530C0000}"/>
    <cellStyle name="??_x000c_&quot;_138 - OtherReceivableAccount_31122009 37" xfId="8078" xr:uid="{00000000-0005-0000-0000-0000540C0000}"/>
    <cellStyle name="??_x000c_&quot;_x001b__138 - OtherReceivableAccount_31122009 37" xfId="7852" xr:uid="{00000000-0005-0000-0000-0000550C0000}"/>
    <cellStyle name="??_x000c_&quot;_138 - OtherReceivableAccount_31122009 38" xfId="8329" xr:uid="{00000000-0005-0000-0000-0000560C0000}"/>
    <cellStyle name="??_x000c_&quot;_x001b__138 - OtherReceivableAccount_31122009 38" xfId="8389" xr:uid="{00000000-0005-0000-0000-0000570C0000}"/>
    <cellStyle name="??_x000c_&quot;_138 - OtherReceivableAccount_31122009 39" xfId="9580" xr:uid="{00000000-0005-0000-0000-0000580C0000}"/>
    <cellStyle name="??_x000c_&quot;_x001b__138 - OtherReceivableAccount_31122009 39" xfId="9581" xr:uid="{00000000-0005-0000-0000-0000590C0000}"/>
    <cellStyle name="??_x000c_&quot;_138 - OtherReceivableAccount_31122009 4" xfId="3577" xr:uid="{00000000-0005-0000-0000-00005A0C0000}"/>
    <cellStyle name="??_x000c_&quot;_x001b__138 - OtherReceivableAccount_31122009 4" xfId="3551" xr:uid="{00000000-0005-0000-0000-00005B0C0000}"/>
    <cellStyle name="??_x000c_&quot;_138 - OtherReceivableAccount_31122009 40" xfId="12013" xr:uid="{00000000-0005-0000-0000-00005C0C0000}"/>
    <cellStyle name="??_x000c_&quot;_x001b__138 - OtherReceivableAccount_31122009 40" xfId="12014" xr:uid="{00000000-0005-0000-0000-00005D0C0000}"/>
    <cellStyle name="??_x000c_&quot;_138 - OtherReceivableAccount_31122009 41" xfId="12015" xr:uid="{00000000-0005-0000-0000-00005E0C0000}"/>
    <cellStyle name="??_x000c_&quot;_x001b__138 - OtherReceivableAccount_31122009 41" xfId="12016" xr:uid="{00000000-0005-0000-0000-00005F0C0000}"/>
    <cellStyle name="??_x000c_&quot;_138 - OtherReceivableAccount_31122009 42" xfId="12017" xr:uid="{00000000-0005-0000-0000-0000600C0000}"/>
    <cellStyle name="??_x000c_&quot;_x001b__138 - OtherReceivableAccount_31122009 42" xfId="12018" xr:uid="{00000000-0005-0000-0000-0000610C0000}"/>
    <cellStyle name="??_x000c_&quot;_138 - OtherReceivableAccount_31122009 43" xfId="20794" xr:uid="{00000000-0005-0000-0000-0000620C0000}"/>
    <cellStyle name="??_x000c_&quot;_x001b__138 - OtherReceivableAccount_31122009 43" xfId="20795" xr:uid="{00000000-0005-0000-0000-0000630C0000}"/>
    <cellStyle name="??_x000c_&quot;_138 - OtherReceivableAccount_31122009 5" xfId="3324" xr:uid="{00000000-0005-0000-0000-0000640C0000}"/>
    <cellStyle name="??_x000c_&quot;_x001b__138 - OtherReceivableAccount_31122009 5" xfId="3323" xr:uid="{00000000-0005-0000-0000-0000650C0000}"/>
    <cellStyle name="??_x000c_&quot;_138 - OtherReceivableAccount_31122009 6" xfId="3713" xr:uid="{00000000-0005-0000-0000-0000660C0000}"/>
    <cellStyle name="??_x000c_&quot;_x001b__138 - OtherReceivableAccount_31122009 6" xfId="3714" xr:uid="{00000000-0005-0000-0000-0000670C0000}"/>
    <cellStyle name="??_x000c_&quot;_138 - OtherReceivableAccount_31122009 7" xfId="3805" xr:uid="{00000000-0005-0000-0000-0000680C0000}"/>
    <cellStyle name="??_x000c_&quot;_x001b__138 - OtherReceivableAccount_31122009 7" xfId="3804" xr:uid="{00000000-0005-0000-0000-0000690C0000}"/>
    <cellStyle name="??_x000c_&quot;_138 - OtherReceivableAccount_31122009 8" xfId="3892" xr:uid="{00000000-0005-0000-0000-00006A0C0000}"/>
    <cellStyle name="??_x000c_&quot;_x001b__138 - OtherReceivableAccount_31122009 8" xfId="3921" xr:uid="{00000000-0005-0000-0000-00006B0C0000}"/>
    <cellStyle name="??_x000c_&quot;_138 - OtherReceivableAccount_31122009 9" xfId="4033" xr:uid="{00000000-0005-0000-0000-00006C0C0000}"/>
    <cellStyle name="??_x000c_&quot;_x001b__138 - OtherReceivableAccount_31122009 9" xfId="4034" xr:uid="{00000000-0005-0000-0000-00006D0C0000}"/>
    <cellStyle name="??_x000c_&quot;_138 - OtherReceivableAccount_31122009_EVALUATION_EX_311208" xfId="110" xr:uid="{00000000-0005-0000-0000-00006E0C0000}"/>
    <cellStyle name="??_x000c_&quot;_x001b__138 - OtherReceivableAccount_31122009_EVALUATION_EX_311208" xfId="111" xr:uid="{00000000-0005-0000-0000-00006F0C0000}"/>
    <cellStyle name="??_x000c_&quot;_138 - OtherReceivableAccount_31122009_EVALUATION_EX_311208 10" xfId="4219" xr:uid="{00000000-0005-0000-0000-0000700C0000}"/>
    <cellStyle name="??_x000c_&quot;_x001b__138 - OtherReceivableAccount_31122009_EVALUATION_EX_311208 10" xfId="4220" xr:uid="{00000000-0005-0000-0000-0000710C0000}"/>
    <cellStyle name="??_x000c_&quot;_138 - OtherReceivableAccount_31122009_EVALUATION_EX_311208 11" xfId="4916" xr:uid="{00000000-0005-0000-0000-0000720C0000}"/>
    <cellStyle name="??_x000c_&quot;_x001b__138 - OtherReceivableAccount_31122009_EVALUATION_EX_311208 11" xfId="5394" xr:uid="{00000000-0005-0000-0000-0000730C0000}"/>
    <cellStyle name="??_x000c_&quot;_138 - OtherReceivableAccount_31122009_EVALUATION_EX_311208 12" xfId="5408" xr:uid="{00000000-0005-0000-0000-0000740C0000}"/>
    <cellStyle name="??_x000c_&quot;_x001b__138 - OtherReceivableAccount_31122009_EVALUATION_EX_311208 12" xfId="5064" xr:uid="{00000000-0005-0000-0000-0000750C0000}"/>
    <cellStyle name="??_x000c_&quot;_138 - OtherReceivableAccount_31122009_EVALUATION_EX_311208 13" xfId="4894" xr:uid="{00000000-0005-0000-0000-0000760C0000}"/>
    <cellStyle name="??_x000c_&quot;_x001b__138 - OtherReceivableAccount_31122009_EVALUATION_EX_311208 13" xfId="4690" xr:uid="{00000000-0005-0000-0000-0000770C0000}"/>
    <cellStyle name="??_x000c_&quot;_138 - OtherReceivableAccount_31122009_EVALUATION_EX_311208 14" xfId="4400" xr:uid="{00000000-0005-0000-0000-0000780C0000}"/>
    <cellStyle name="??_x000c_&quot;_x001b__138 - OtherReceivableAccount_31122009_EVALUATION_EX_311208 14" xfId="4477" xr:uid="{00000000-0005-0000-0000-0000790C0000}"/>
    <cellStyle name="??_x000c_&quot;_138 - OtherReceivableAccount_31122009_EVALUATION_EX_311208 15" xfId="4675" xr:uid="{00000000-0005-0000-0000-00007A0C0000}"/>
    <cellStyle name="??_x000c_&quot;_x001b__138 - OtherReceivableAccount_31122009_EVALUATION_EX_311208 15" xfId="5489" xr:uid="{00000000-0005-0000-0000-00007B0C0000}"/>
    <cellStyle name="??_x000c_&quot;_138 - OtherReceivableAccount_31122009_EVALUATION_EX_311208 16" xfId="4271" xr:uid="{00000000-0005-0000-0000-00007C0C0000}"/>
    <cellStyle name="??_x000c_&quot;_x001b__138 - OtherReceivableAccount_31122009_EVALUATION_EX_311208 16" xfId="4278" xr:uid="{00000000-0005-0000-0000-00007D0C0000}"/>
    <cellStyle name="??_x000c_&quot;_138 - OtherReceivableAccount_31122009_EVALUATION_EX_311208 17" xfId="5199" xr:uid="{00000000-0005-0000-0000-00007E0C0000}"/>
    <cellStyle name="??_x000c_&quot;_x001b__138 - OtherReceivableAccount_31122009_EVALUATION_EX_311208 17" xfId="5098" xr:uid="{00000000-0005-0000-0000-00007F0C0000}"/>
    <cellStyle name="??_x000c_&quot;_138 - OtherReceivableAccount_31122009_EVALUATION_EX_311208 18" xfId="5068" xr:uid="{00000000-0005-0000-0000-0000800C0000}"/>
    <cellStyle name="??_x000c_&quot;_x001b__138 - OtherReceivableAccount_31122009_EVALUATION_EX_311208 18" xfId="6057" xr:uid="{00000000-0005-0000-0000-0000810C0000}"/>
    <cellStyle name="??_x000c_&quot;_138 - OtherReceivableAccount_31122009_EVALUATION_EX_311208 19" xfId="4859" xr:uid="{00000000-0005-0000-0000-0000820C0000}"/>
    <cellStyle name="??_x000c_&quot;_x001b__138 - OtherReceivableAccount_31122009_EVALUATION_EX_311208 19" xfId="4787" xr:uid="{00000000-0005-0000-0000-0000830C0000}"/>
    <cellStyle name="??_x000c_&quot;_138 - OtherReceivableAccount_31122009_EVALUATION_EX_311208 2" xfId="3112" xr:uid="{00000000-0005-0000-0000-0000840C0000}"/>
    <cellStyle name="??_x000c_&quot;_x001b__138 - OtherReceivableAccount_31122009_EVALUATION_EX_311208 2" xfId="3113" xr:uid="{00000000-0005-0000-0000-0000850C0000}"/>
    <cellStyle name="??_x000c_&quot;_138 - OtherReceivableAccount_31122009_EVALUATION_EX_311208 20" xfId="4962" xr:uid="{00000000-0005-0000-0000-0000860C0000}"/>
    <cellStyle name="??_x000c_&quot;_x001b__138 - OtherReceivableAccount_31122009_EVALUATION_EX_311208 20" xfId="5833" xr:uid="{00000000-0005-0000-0000-0000870C0000}"/>
    <cellStyle name="??_x000c_&quot;_138 - OtherReceivableAccount_31122009_EVALUATION_EX_311208 21" xfId="6042" xr:uid="{00000000-0005-0000-0000-0000880C0000}"/>
    <cellStyle name="??_x000c_&quot;_x001b__138 - OtherReceivableAccount_31122009_EVALUATION_EX_311208 21" xfId="5448" xr:uid="{00000000-0005-0000-0000-0000890C0000}"/>
    <cellStyle name="??_x000c_&quot;_138 - OtherReceivableAccount_31122009_EVALUATION_EX_311208 22" xfId="5918" xr:uid="{00000000-0005-0000-0000-00008A0C0000}"/>
    <cellStyle name="??_x000c_&quot;_x001b__138 - OtherReceivableAccount_31122009_EVALUATION_EX_311208 22" xfId="4513" xr:uid="{00000000-0005-0000-0000-00008B0C0000}"/>
    <cellStyle name="??_x000c_&quot;_138 - OtherReceivableAccount_31122009_EVALUATION_EX_311208 23" xfId="6160" xr:uid="{00000000-0005-0000-0000-00008C0C0000}"/>
    <cellStyle name="??_x000c_&quot;_x001b__138 - OtherReceivableAccount_31122009_EVALUATION_EX_311208 23" xfId="4498" xr:uid="{00000000-0005-0000-0000-00008D0C0000}"/>
    <cellStyle name="??_x000c_&quot;_138 - OtherReceivableAccount_31122009_EVALUATION_EX_311208 24" xfId="6180" xr:uid="{00000000-0005-0000-0000-00008E0C0000}"/>
    <cellStyle name="??_x000c_&quot;_x001b__138 - OtherReceivableAccount_31122009_EVALUATION_EX_311208 24" xfId="4638" xr:uid="{00000000-0005-0000-0000-00008F0C0000}"/>
    <cellStyle name="??_x000c_&quot;_138 - OtherReceivableAccount_31122009_EVALUATION_EX_311208 25" xfId="6198" xr:uid="{00000000-0005-0000-0000-0000900C0000}"/>
    <cellStyle name="??_x000c_&quot;_x001b__138 - OtherReceivableAccount_31122009_EVALUATION_EX_311208 25" xfId="5453" xr:uid="{00000000-0005-0000-0000-0000910C0000}"/>
    <cellStyle name="??_x000c_&quot;_138 - OtherReceivableAccount_31122009_EVALUATION_EX_311208 26" xfId="6212" xr:uid="{00000000-0005-0000-0000-0000920C0000}"/>
    <cellStyle name="??_x000c_&quot;_x001b__138 - OtherReceivableAccount_31122009_EVALUATION_EX_311208 26" xfId="5961" xr:uid="{00000000-0005-0000-0000-0000930C0000}"/>
    <cellStyle name="??_x000c_&quot;_138 - OtherReceivableAccount_31122009_EVALUATION_EX_311208 27" xfId="6225" xr:uid="{00000000-0005-0000-0000-0000940C0000}"/>
    <cellStyle name="??_x000c_&quot;_x001b__138 - OtherReceivableAccount_31122009_EVALUATION_EX_311208 27" xfId="6118" xr:uid="{00000000-0005-0000-0000-0000950C0000}"/>
    <cellStyle name="??_x000c_&quot;_138 - OtherReceivableAccount_31122009_EVALUATION_EX_311208 28" xfId="6326" xr:uid="{00000000-0005-0000-0000-0000960C0000}"/>
    <cellStyle name="??_x000c_&quot;_x001b__138 - OtherReceivableAccount_31122009_EVALUATION_EX_311208 28" xfId="6327" xr:uid="{00000000-0005-0000-0000-0000970C0000}"/>
    <cellStyle name="??_x000c_&quot;_138 - OtherReceivableAccount_31122009_EVALUATION_EX_311208 29" xfId="6452" xr:uid="{00000000-0005-0000-0000-0000980C0000}"/>
    <cellStyle name="??_x000c_&quot;_x001b__138 - OtherReceivableAccount_31122009_EVALUATION_EX_311208 29" xfId="6451" xr:uid="{00000000-0005-0000-0000-0000990C0000}"/>
    <cellStyle name="??_x000c_&quot;_138 - OtherReceivableAccount_31122009_EVALUATION_EX_311208 3" xfId="3446" xr:uid="{00000000-0005-0000-0000-00009A0C0000}"/>
    <cellStyle name="??_x000c_&quot;_x001b__138 - OtherReceivableAccount_31122009_EVALUATION_EX_311208 3" xfId="3445" xr:uid="{00000000-0005-0000-0000-00009B0C0000}"/>
    <cellStyle name="??_x000c_&quot;_138 - OtherReceivableAccount_31122009_EVALUATION_EX_311208 30" xfId="6409" xr:uid="{00000000-0005-0000-0000-00009C0C0000}"/>
    <cellStyle name="??_x000c_&quot;_x001b__138 - OtherReceivableAccount_31122009_EVALUATION_EX_311208 30" xfId="6410" xr:uid="{00000000-0005-0000-0000-00009D0C0000}"/>
    <cellStyle name="??_x000c_&quot;_138 - OtherReceivableAccount_31122009_EVALUATION_EX_311208 31" xfId="6900" xr:uid="{00000000-0005-0000-0000-00009E0C0000}"/>
    <cellStyle name="??_x000c_&quot;_x001b__138 - OtherReceivableAccount_31122009_EVALUATION_EX_311208 31" xfId="6901" xr:uid="{00000000-0005-0000-0000-00009F0C0000}"/>
    <cellStyle name="??_x000c_&quot;_138 - OtherReceivableAccount_31122009_EVALUATION_EX_311208 32" xfId="7789" xr:uid="{00000000-0005-0000-0000-0000A00C0000}"/>
    <cellStyle name="??_x000c_&quot;_x001b__138 - OtherReceivableAccount_31122009_EVALUATION_EX_311208 32" xfId="7790" xr:uid="{00000000-0005-0000-0000-0000A10C0000}"/>
    <cellStyle name="??_x000c_&quot;_138 - OtherReceivableAccount_31122009_EVALUATION_EX_311208 33" xfId="7997" xr:uid="{00000000-0005-0000-0000-0000A20C0000}"/>
    <cellStyle name="??_x000c_&quot;_x001b__138 - OtherReceivableAccount_31122009_EVALUATION_EX_311208 33" xfId="7996" xr:uid="{00000000-0005-0000-0000-0000A30C0000}"/>
    <cellStyle name="??_x000c_&quot;_138 - OtherReceivableAccount_31122009_EVALUATION_EX_311208 34" xfId="7917" xr:uid="{00000000-0005-0000-0000-0000A40C0000}"/>
    <cellStyle name="??_x000c_&quot;_x001b__138 - OtherReceivableAccount_31122009_EVALUATION_EX_311208 34" xfId="7918" xr:uid="{00000000-0005-0000-0000-0000A50C0000}"/>
    <cellStyle name="??_x000c_&quot;_138 - OtherReceivableAccount_31122009_EVALUATION_EX_311208 35" xfId="7936" xr:uid="{00000000-0005-0000-0000-0000A60C0000}"/>
    <cellStyle name="??_x000c_&quot;_x001b__138 - OtherReceivableAccount_31122009_EVALUATION_EX_311208 35" xfId="7935" xr:uid="{00000000-0005-0000-0000-0000A70C0000}"/>
    <cellStyle name="??_x000c_&quot;_138 - OtherReceivableAccount_31122009_EVALUATION_EX_311208 36" xfId="8179" xr:uid="{00000000-0005-0000-0000-0000A80C0000}"/>
    <cellStyle name="??_x000c_&quot;_x001b__138 - OtherReceivableAccount_31122009_EVALUATION_EX_311208 36" xfId="8420" xr:uid="{00000000-0005-0000-0000-0000A90C0000}"/>
    <cellStyle name="??_x000c_&quot;_138 - OtherReceivableAccount_31122009_EVALUATION_EX_311208 37" xfId="8080" xr:uid="{00000000-0005-0000-0000-0000AA0C0000}"/>
    <cellStyle name="??_x000c_&quot;_x001b__138 - OtherReceivableAccount_31122009_EVALUATION_EX_311208 37" xfId="7829" xr:uid="{00000000-0005-0000-0000-0000AB0C0000}"/>
    <cellStyle name="??_x000c_&quot;_138 - OtherReceivableAccount_31122009_EVALUATION_EX_311208 38" xfId="8327" xr:uid="{00000000-0005-0000-0000-0000AC0C0000}"/>
    <cellStyle name="??_x000c_&quot;_x001b__138 - OtherReceivableAccount_31122009_EVALUATION_EX_311208 38" xfId="8221" xr:uid="{00000000-0005-0000-0000-0000AD0C0000}"/>
    <cellStyle name="??_x000c_&quot;_138 - OtherReceivableAccount_31122009_EVALUATION_EX_311208 39" xfId="9582" xr:uid="{00000000-0005-0000-0000-0000AE0C0000}"/>
    <cellStyle name="??_x000c_&quot;_x001b__138 - OtherReceivableAccount_31122009_EVALUATION_EX_311208 39" xfId="9583" xr:uid="{00000000-0005-0000-0000-0000AF0C0000}"/>
    <cellStyle name="??_x000c_&quot;_138 - OtherReceivableAccount_31122009_EVALUATION_EX_311208 4" xfId="3585" xr:uid="{00000000-0005-0000-0000-0000B00C0000}"/>
    <cellStyle name="??_x000c_&quot;_x001b__138 - OtherReceivableAccount_31122009_EVALUATION_EX_311208 4" xfId="3566" xr:uid="{00000000-0005-0000-0000-0000B10C0000}"/>
    <cellStyle name="??_x000c_&quot;_138 - OtherReceivableAccount_31122009_EVALUATION_EX_311208 40" xfId="12019" xr:uid="{00000000-0005-0000-0000-0000B20C0000}"/>
    <cellStyle name="??_x000c_&quot;_x001b__138 - OtherReceivableAccount_31122009_EVALUATION_EX_311208 40" xfId="12020" xr:uid="{00000000-0005-0000-0000-0000B30C0000}"/>
    <cellStyle name="??_x000c_&quot;_138 - OtherReceivableAccount_31122009_EVALUATION_EX_311208 41" xfId="12021" xr:uid="{00000000-0005-0000-0000-0000B40C0000}"/>
    <cellStyle name="??_x000c_&quot;_x001b__138 - OtherReceivableAccount_31122009_EVALUATION_EX_311208 41" xfId="12022" xr:uid="{00000000-0005-0000-0000-0000B50C0000}"/>
    <cellStyle name="??_x000c_&quot;_138 - OtherReceivableAccount_31122009_EVALUATION_EX_311208 42" xfId="12023" xr:uid="{00000000-0005-0000-0000-0000B60C0000}"/>
    <cellStyle name="??_x000c_&quot;_x001b__138 - OtherReceivableAccount_31122009_EVALUATION_EX_311208 42" xfId="12024" xr:uid="{00000000-0005-0000-0000-0000B70C0000}"/>
    <cellStyle name="??_x000c_&quot;_138 - OtherReceivableAccount_31122009_EVALUATION_EX_311208 43" xfId="20796" xr:uid="{00000000-0005-0000-0000-0000B80C0000}"/>
    <cellStyle name="??_x000c_&quot;_x001b__138 - OtherReceivableAccount_31122009_EVALUATION_EX_311208 43" xfId="20797" xr:uid="{00000000-0005-0000-0000-0000B90C0000}"/>
    <cellStyle name="??_x000c_&quot;_138 - OtherReceivableAccount_31122009_EVALUATION_EX_311208 5" xfId="3322" xr:uid="{00000000-0005-0000-0000-0000BA0C0000}"/>
    <cellStyle name="??_x000c_&quot;_x001b__138 - OtherReceivableAccount_31122009_EVALUATION_EX_311208 5" xfId="3321" xr:uid="{00000000-0005-0000-0000-0000BB0C0000}"/>
    <cellStyle name="??_x000c_&quot;_138 - OtherReceivableAccount_31122009_EVALUATION_EX_311208 6" xfId="3715" xr:uid="{00000000-0005-0000-0000-0000BC0C0000}"/>
    <cellStyle name="??_x000c_&quot;_x001b__138 - OtherReceivableAccount_31122009_EVALUATION_EX_311208 6" xfId="3716" xr:uid="{00000000-0005-0000-0000-0000BD0C0000}"/>
    <cellStyle name="??_x000c_&quot;_138 - OtherReceivableAccount_31122009_EVALUATION_EX_311208 7" xfId="3803" xr:uid="{00000000-0005-0000-0000-0000BE0C0000}"/>
    <cellStyle name="??_x000c_&quot;_x001b__138 - OtherReceivableAccount_31122009_EVALUATION_EX_311208 7" xfId="3802" xr:uid="{00000000-0005-0000-0000-0000BF0C0000}"/>
    <cellStyle name="??_x000c_&quot;_138 - OtherReceivableAccount_31122009_EVALUATION_EX_311208 8" xfId="3909" xr:uid="{00000000-0005-0000-0000-0000C00C0000}"/>
    <cellStyle name="??_x000c_&quot;_x001b__138 - OtherReceivableAccount_31122009_EVALUATION_EX_311208 8" xfId="3928" xr:uid="{00000000-0005-0000-0000-0000C10C0000}"/>
    <cellStyle name="??_x000c_&quot;_138 - OtherReceivableAccount_31122009_EVALUATION_EX_311208 9" xfId="4035" xr:uid="{00000000-0005-0000-0000-0000C20C0000}"/>
    <cellStyle name="??_x000c_&quot;_x001b__138 - OtherReceivableAccount_31122009_EVALUATION_EX_311208 9" xfId="4036" xr:uid="{00000000-0005-0000-0000-0000C30C0000}"/>
    <cellStyle name="??_x000c_&quot;_EVALUATION_EX_311208" xfId="112" xr:uid="{00000000-0005-0000-0000-0000C40C0000}"/>
    <cellStyle name="??_x000c_&quot;_x001b__EVALUATION_EX_311208" xfId="113" xr:uid="{00000000-0005-0000-0000-0000C50C0000}"/>
    <cellStyle name="??_x000c_&quot;_EVALUATION_EX_311208 10" xfId="4221" xr:uid="{00000000-0005-0000-0000-0000C60C0000}"/>
    <cellStyle name="??_x000c_&quot;_x001b__EVALUATION_EX_311208 10" xfId="4222" xr:uid="{00000000-0005-0000-0000-0000C70C0000}"/>
    <cellStyle name="??_x000c_&quot;_EVALUATION_EX_311208 11" xfId="4915" xr:uid="{00000000-0005-0000-0000-0000C80C0000}"/>
    <cellStyle name="??_x000c_&quot;_x001b__EVALUATION_EX_311208 11" xfId="4914" xr:uid="{00000000-0005-0000-0000-0000C90C0000}"/>
    <cellStyle name="??_x000c_&quot;_EVALUATION_EX_311208 12" xfId="5156" xr:uid="{00000000-0005-0000-0000-0000CA0C0000}"/>
    <cellStyle name="??_x000c_&quot;_x001b__EVALUATION_EX_311208 12" xfId="5054" xr:uid="{00000000-0005-0000-0000-0000CB0C0000}"/>
    <cellStyle name="??_x000c_&quot;_EVALUATION_EX_311208 13" xfId="4689" xr:uid="{00000000-0005-0000-0000-0000CC0C0000}"/>
    <cellStyle name="??_x000c_&quot;_x001b__EVALUATION_EX_311208 13" xfId="4688" xr:uid="{00000000-0005-0000-0000-0000CD0C0000}"/>
    <cellStyle name="??_x000c_&quot;_EVALUATION_EX_311208 14" xfId="4478" xr:uid="{00000000-0005-0000-0000-0000CE0C0000}"/>
    <cellStyle name="??_x000c_&quot;_x001b__EVALUATION_EX_311208 14" xfId="5481" xr:uid="{00000000-0005-0000-0000-0000CF0C0000}"/>
    <cellStyle name="??_x000c_&quot;_EVALUATION_EX_311208 15" xfId="4607" xr:uid="{00000000-0005-0000-0000-0000D00C0000}"/>
    <cellStyle name="??_x000c_&quot;_x001b__EVALUATION_EX_311208 15" xfId="5338" xr:uid="{00000000-0005-0000-0000-0000D10C0000}"/>
    <cellStyle name="??_x000c_&quot;_EVALUATION_EX_311208 16" xfId="5919" xr:uid="{00000000-0005-0000-0000-0000D20C0000}"/>
    <cellStyle name="??_x000c_&quot;_x001b__EVALUATION_EX_311208 16" xfId="5921" xr:uid="{00000000-0005-0000-0000-0000D30C0000}"/>
    <cellStyle name="??_x000c_&quot;_EVALUATION_EX_311208 17" xfId="5207" xr:uid="{00000000-0005-0000-0000-0000D40C0000}"/>
    <cellStyle name="??_x000c_&quot;_x001b__EVALUATION_EX_311208 17" xfId="4621" xr:uid="{00000000-0005-0000-0000-0000D50C0000}"/>
    <cellStyle name="??_x000c_&quot;_EVALUATION_EX_311208 18" xfId="5365" xr:uid="{00000000-0005-0000-0000-0000D60C0000}"/>
    <cellStyle name="??_x000c_&quot;_x001b__EVALUATION_EX_311208 18" xfId="6062" xr:uid="{00000000-0005-0000-0000-0000D70C0000}"/>
    <cellStyle name="??_x000c_&quot;_EVALUATION_EX_311208 19" xfId="5869" xr:uid="{00000000-0005-0000-0000-0000D80C0000}"/>
    <cellStyle name="??_x000c_&quot;_x001b__EVALUATION_EX_311208 19" xfId="6044" xr:uid="{00000000-0005-0000-0000-0000D90C0000}"/>
    <cellStyle name="??_x000c_&quot;_EVALUATION_EX_311208 2" xfId="3114" xr:uid="{00000000-0005-0000-0000-0000DA0C0000}"/>
    <cellStyle name="??_x000c_&quot;_x001b__EVALUATION_EX_311208 2" xfId="3115" xr:uid="{00000000-0005-0000-0000-0000DB0C0000}"/>
    <cellStyle name="??_x000c_&quot;_EVALUATION_EX_311208 20" xfId="4529" xr:uid="{00000000-0005-0000-0000-0000DC0C0000}"/>
    <cellStyle name="??_x000c_&quot;_x001b__EVALUATION_EX_311208 20" xfId="5237" xr:uid="{00000000-0005-0000-0000-0000DD0C0000}"/>
    <cellStyle name="??_x000c_&quot;_EVALUATION_EX_311208 21" xfId="5115" xr:uid="{00000000-0005-0000-0000-0000DE0C0000}"/>
    <cellStyle name="??_x000c_&quot;_x001b__EVALUATION_EX_311208 21" xfId="5379" xr:uid="{00000000-0005-0000-0000-0000DF0C0000}"/>
    <cellStyle name="??_x000c_&quot;_EVALUATION_EX_311208 22" xfId="5108" xr:uid="{00000000-0005-0000-0000-0000E00C0000}"/>
    <cellStyle name="??_x000c_&quot;_x001b__EVALUATION_EX_311208 22" xfId="5972" xr:uid="{00000000-0005-0000-0000-0000E10C0000}"/>
    <cellStyle name="??_x000c_&quot;_EVALUATION_EX_311208 23" xfId="5512" xr:uid="{00000000-0005-0000-0000-0000E20C0000}"/>
    <cellStyle name="??_x000c_&quot;_x001b__EVALUATION_EX_311208 23" xfId="5943" xr:uid="{00000000-0005-0000-0000-0000E30C0000}"/>
    <cellStyle name="??_x000c_&quot;_EVALUATION_EX_311208 24" xfId="4538" xr:uid="{00000000-0005-0000-0000-0000E40C0000}"/>
    <cellStyle name="??_x000c_&quot;_x001b__EVALUATION_EX_311208 24" xfId="5378" xr:uid="{00000000-0005-0000-0000-0000E50C0000}"/>
    <cellStyle name="??_x000c_&quot;_EVALUATION_EX_311208 25" xfId="4910" xr:uid="{00000000-0005-0000-0000-0000E60C0000}"/>
    <cellStyle name="??_x000c_&quot;_x001b__EVALUATION_EX_311208 25" xfId="4850" xr:uid="{00000000-0005-0000-0000-0000E70C0000}"/>
    <cellStyle name="??_x000c_&quot;_EVALUATION_EX_311208 26" xfId="4416" xr:uid="{00000000-0005-0000-0000-0000E80C0000}"/>
    <cellStyle name="??_x000c_&quot;_x001b__EVALUATION_EX_311208 26" xfId="5020" xr:uid="{00000000-0005-0000-0000-0000E90C0000}"/>
    <cellStyle name="??_x000c_&quot;_EVALUATION_EX_311208 27" xfId="5949" xr:uid="{00000000-0005-0000-0000-0000EA0C0000}"/>
    <cellStyle name="??_x000c_&quot;_x001b__EVALUATION_EX_311208 27" xfId="5478" xr:uid="{00000000-0005-0000-0000-0000EB0C0000}"/>
    <cellStyle name="??_x000c_&quot;_EVALUATION_EX_311208 28" xfId="6328" xr:uid="{00000000-0005-0000-0000-0000EC0C0000}"/>
    <cellStyle name="??_x000c_&quot;_x001b__EVALUATION_EX_311208 28" xfId="6329" xr:uid="{00000000-0005-0000-0000-0000ED0C0000}"/>
    <cellStyle name="??_x000c_&quot;_EVALUATION_EX_311208 29" xfId="6450" xr:uid="{00000000-0005-0000-0000-0000EE0C0000}"/>
    <cellStyle name="??_x000c_&quot;_x001b__EVALUATION_EX_311208 29" xfId="6537" xr:uid="{00000000-0005-0000-0000-0000EF0C0000}"/>
    <cellStyle name="??_x000c_&quot;_EVALUATION_EX_311208 3" xfId="3444" xr:uid="{00000000-0005-0000-0000-0000F00C0000}"/>
    <cellStyle name="??_x000c_&quot;_x001b__EVALUATION_EX_311208 3" xfId="3443" xr:uid="{00000000-0005-0000-0000-0000F10C0000}"/>
    <cellStyle name="??_x000c_&quot;_EVALUATION_EX_311208 30" xfId="6534" xr:uid="{00000000-0005-0000-0000-0000F20C0000}"/>
    <cellStyle name="??_x000c_&quot;_x001b__EVALUATION_EX_311208 30" xfId="6411" xr:uid="{00000000-0005-0000-0000-0000F30C0000}"/>
    <cellStyle name="??_x000c_&quot;_EVALUATION_EX_311208 31" xfId="6902" xr:uid="{00000000-0005-0000-0000-0000F40C0000}"/>
    <cellStyle name="??_x000c_&quot;_x001b__EVALUATION_EX_311208 31" xfId="6903" xr:uid="{00000000-0005-0000-0000-0000F50C0000}"/>
    <cellStyle name="??_x000c_&quot;_EVALUATION_EX_311208 32" xfId="7791" xr:uid="{00000000-0005-0000-0000-0000F60C0000}"/>
    <cellStyle name="??_x000c_&quot;_x001b__EVALUATION_EX_311208 32" xfId="7792" xr:uid="{00000000-0005-0000-0000-0000F70C0000}"/>
    <cellStyle name="??_x000c_&quot;_EVALUATION_EX_311208 33" xfId="8146" xr:uid="{00000000-0005-0000-0000-0000F80C0000}"/>
    <cellStyle name="??_x000c_&quot;_x001b__EVALUATION_EX_311208 33" xfId="7995" xr:uid="{00000000-0005-0000-0000-0000F90C0000}"/>
    <cellStyle name="??_x000c_&quot;_EVALUATION_EX_311208 34" xfId="7820" xr:uid="{00000000-0005-0000-0000-0000FA0C0000}"/>
    <cellStyle name="??_x000c_&quot;_x001b__EVALUATION_EX_311208 34" xfId="7919" xr:uid="{00000000-0005-0000-0000-0000FB0C0000}"/>
    <cellStyle name="??_x000c_&quot;_EVALUATION_EX_311208 35" xfId="8516" xr:uid="{00000000-0005-0000-0000-0000FC0C0000}"/>
    <cellStyle name="??_x000c_&quot;_x001b__EVALUATION_EX_311208 35" xfId="7825" xr:uid="{00000000-0005-0000-0000-0000FD0C0000}"/>
    <cellStyle name="??_x000c_&quot;_EVALUATION_EX_311208 36" xfId="9417" xr:uid="{00000000-0005-0000-0000-0000FE0C0000}"/>
    <cellStyle name="??_x000c_&quot;_x001b__EVALUATION_EX_311208 36" xfId="9395" xr:uid="{00000000-0005-0000-0000-0000FF0C0000}"/>
    <cellStyle name="??_x000c_&quot;_EVALUATION_EX_311208 37" xfId="8196" xr:uid="{00000000-0005-0000-0000-0000000D0000}"/>
    <cellStyle name="??_x000c_&quot;_x001b__EVALUATION_EX_311208 37" xfId="7858" xr:uid="{00000000-0005-0000-0000-0000010D0000}"/>
    <cellStyle name="??_x000c_&quot;_EVALUATION_EX_311208 38" xfId="9427" xr:uid="{00000000-0005-0000-0000-0000020D0000}"/>
    <cellStyle name="??_x000c_&quot;_x001b__EVALUATION_EX_311208 38" xfId="8136" xr:uid="{00000000-0005-0000-0000-0000030D0000}"/>
    <cellStyle name="??_x000c_&quot;_EVALUATION_EX_311208 39" xfId="9584" xr:uid="{00000000-0005-0000-0000-0000040D0000}"/>
    <cellStyle name="??_x000c_&quot;_x001b__EVALUATION_EX_311208 39" xfId="9585" xr:uid="{00000000-0005-0000-0000-0000050D0000}"/>
    <cellStyle name="??_x000c_&quot;_EVALUATION_EX_311208 4" xfId="3598" xr:uid="{00000000-0005-0000-0000-0000060D0000}"/>
    <cellStyle name="??_x000c_&quot;_x001b__EVALUATION_EX_311208 4" xfId="3212" xr:uid="{00000000-0005-0000-0000-0000070D0000}"/>
    <cellStyle name="??_x000c_&quot;_EVALUATION_EX_311208 40" xfId="12025" xr:uid="{00000000-0005-0000-0000-0000080D0000}"/>
    <cellStyle name="??_x000c_&quot;_x001b__EVALUATION_EX_311208 40" xfId="12026" xr:uid="{00000000-0005-0000-0000-0000090D0000}"/>
    <cellStyle name="??_x000c_&quot;_EVALUATION_EX_311208 41" xfId="12027" xr:uid="{00000000-0005-0000-0000-00000A0D0000}"/>
    <cellStyle name="??_x000c_&quot;_x001b__EVALUATION_EX_311208 41" xfId="12028" xr:uid="{00000000-0005-0000-0000-00000B0D0000}"/>
    <cellStyle name="??_x000c_&quot;_EVALUATION_EX_311208 42" xfId="12029" xr:uid="{00000000-0005-0000-0000-00000C0D0000}"/>
    <cellStyle name="??_x000c_&quot;_x001b__EVALUATION_EX_311208 42" xfId="12030" xr:uid="{00000000-0005-0000-0000-00000D0D0000}"/>
    <cellStyle name="??_x000c_&quot;_EVALUATION_EX_311208 43" xfId="20798" xr:uid="{00000000-0005-0000-0000-00000E0D0000}"/>
    <cellStyle name="??_x000c_&quot;_x001b__EVALUATION_EX_311208 43" xfId="20799" xr:uid="{00000000-0005-0000-0000-00000F0D0000}"/>
    <cellStyle name="??_x000c_&quot;_EVALUATION_EX_311208 5" xfId="3165" xr:uid="{00000000-0005-0000-0000-0000100D0000}"/>
    <cellStyle name="??_x000c_&quot;_x001b__EVALUATION_EX_311208 5" xfId="3613" xr:uid="{00000000-0005-0000-0000-0000110D0000}"/>
    <cellStyle name="??_x000c_&quot;_EVALUATION_EX_311208 6" xfId="3717" xr:uid="{00000000-0005-0000-0000-0000120D0000}"/>
    <cellStyle name="??_x000c_&quot;_x001b__EVALUATION_EX_311208 6" xfId="3718" xr:uid="{00000000-0005-0000-0000-0000130D0000}"/>
    <cellStyle name="??_x000c_&quot;_EVALUATION_EX_311208 7" xfId="3801" xr:uid="{00000000-0005-0000-0000-0000140D0000}"/>
    <cellStyle name="??_x000c_&quot;_x001b__EVALUATION_EX_311208 7" xfId="3800" xr:uid="{00000000-0005-0000-0000-0000150D0000}"/>
    <cellStyle name="??_x000c_&quot;_EVALUATION_EX_311208 8" xfId="3764" xr:uid="{00000000-0005-0000-0000-0000160D0000}"/>
    <cellStyle name="??_x000c_&quot;_x001b__EVALUATION_EX_311208 8" xfId="3765" xr:uid="{00000000-0005-0000-0000-0000170D0000}"/>
    <cellStyle name="??_x000c_&quot;_EVALUATION_EX_311208 9" xfId="4037" xr:uid="{00000000-0005-0000-0000-0000180D0000}"/>
    <cellStyle name="??_x000c_&quot;_x001b__EVALUATION_EX_311208 9" xfId="4038" xr:uid="{00000000-0005-0000-0000-0000190D0000}"/>
    <cellStyle name="??_x000c_&quot;_YTDHST " xfId="114" xr:uid="{00000000-0005-0000-0000-00001A0D0000}"/>
    <cellStyle name="??_x000c_&quot;_x001b__YTDHST " xfId="115" xr:uid="{00000000-0005-0000-0000-00001B0D0000}"/>
    <cellStyle name="??_x000c_&quot;_YTDHST  10" xfId="4223" xr:uid="{00000000-0005-0000-0000-00001C0D0000}"/>
    <cellStyle name="??_x000c_&quot;_x001b__YTDHST  10" xfId="4224" xr:uid="{00000000-0005-0000-0000-00001D0D0000}"/>
    <cellStyle name="??_x000c_&quot;_YTDHST  11" xfId="4913" xr:uid="{00000000-0005-0000-0000-00001E0D0000}"/>
    <cellStyle name="??_x000c_&quot;_x001b__YTDHST  11" xfId="5393" xr:uid="{00000000-0005-0000-0000-00001F0D0000}"/>
    <cellStyle name="??_x000c_&quot;_YTDHST  12" xfId="5168" xr:uid="{00000000-0005-0000-0000-0000200D0000}"/>
    <cellStyle name="??_x000c_&quot;_x001b__YTDHST  12" xfId="5360" xr:uid="{00000000-0005-0000-0000-0000210D0000}"/>
    <cellStyle name="??_x000c_&quot;_YTDHST  13" xfId="4687" xr:uid="{00000000-0005-0000-0000-0000220D0000}"/>
    <cellStyle name="??_x000c_&quot;_x001b__YTDHST  13" xfId="4891" xr:uid="{00000000-0005-0000-0000-0000230D0000}"/>
    <cellStyle name="??_x000c_&quot;_YTDHST  14" xfId="4479" xr:uid="{00000000-0005-0000-0000-0000240D0000}"/>
    <cellStyle name="??_x000c_&quot;_x001b__YTDHST  14" xfId="4403" xr:uid="{00000000-0005-0000-0000-0000250D0000}"/>
    <cellStyle name="??_x000c_&quot;_YTDHST  15" xfId="5488" xr:uid="{00000000-0005-0000-0000-0000260D0000}"/>
    <cellStyle name="??_x000c_&quot;_x001b__YTDHST  15" xfId="5147" xr:uid="{00000000-0005-0000-0000-0000270D0000}"/>
    <cellStyle name="??_x000c_&quot;_YTDHST  16" xfId="5928" xr:uid="{00000000-0005-0000-0000-0000280D0000}"/>
    <cellStyle name="??_x000c_&quot;_x001b__YTDHST  16" xfId="5227" xr:uid="{00000000-0005-0000-0000-0000290D0000}"/>
    <cellStyle name="??_x000c_&quot;_YTDHST  17" xfId="4333" xr:uid="{00000000-0005-0000-0000-00002A0D0000}"/>
    <cellStyle name="??_x000c_&quot;_x001b__YTDHST  17" xfId="5953" xr:uid="{00000000-0005-0000-0000-00002B0D0000}"/>
    <cellStyle name="??_x000c_&quot;_YTDHST  18" xfId="6046" xr:uid="{00000000-0005-0000-0000-00002C0D0000}"/>
    <cellStyle name="??_x000c_&quot;_x001b__YTDHST  18" xfId="4267" xr:uid="{00000000-0005-0000-0000-00002D0D0000}"/>
    <cellStyle name="??_x000c_&quot;_YTDHST  19" xfId="4444" xr:uid="{00000000-0005-0000-0000-00002E0D0000}"/>
    <cellStyle name="??_x000c_&quot;_x001b__YTDHST  19" xfId="4879" xr:uid="{00000000-0005-0000-0000-00002F0D0000}"/>
    <cellStyle name="??_x000c_&quot;_YTDHST  2" xfId="3116" xr:uid="{00000000-0005-0000-0000-0000300D0000}"/>
    <cellStyle name="??_x000c_&quot;_x001b__YTDHST  2" xfId="3117" xr:uid="{00000000-0005-0000-0000-0000310D0000}"/>
    <cellStyle name="??_x000c_&quot;_YTDHST  20" xfId="6128" xr:uid="{00000000-0005-0000-0000-0000320D0000}"/>
    <cellStyle name="??_x000c_&quot;_x001b__YTDHST  20" xfId="5862" xr:uid="{00000000-0005-0000-0000-0000330D0000}"/>
    <cellStyle name="??_x000c_&quot;_YTDHST  21" xfId="5474" xr:uid="{00000000-0005-0000-0000-0000340D0000}"/>
    <cellStyle name="??_x000c_&quot;_x001b__YTDHST  21" xfId="6122" xr:uid="{00000000-0005-0000-0000-0000350D0000}"/>
    <cellStyle name="??_x000c_&quot;_YTDHST  22" xfId="4314" xr:uid="{00000000-0005-0000-0000-0000360D0000}"/>
    <cellStyle name="??_x000c_&quot;_x001b__YTDHST  22" xfId="4781" xr:uid="{00000000-0005-0000-0000-0000370D0000}"/>
    <cellStyle name="??_x000c_&quot;_YTDHST  23" xfId="5927" xr:uid="{00000000-0005-0000-0000-0000380D0000}"/>
    <cellStyle name="??_x000c_&quot;_x001b__YTDHST  23" xfId="4933" xr:uid="{00000000-0005-0000-0000-0000390D0000}"/>
    <cellStyle name="??_x000c_&quot;_YTDHST  24" xfId="4272" xr:uid="{00000000-0005-0000-0000-00003A0D0000}"/>
    <cellStyle name="??_x000c_&quot;_x001b__YTDHST  24" xfId="5895" xr:uid="{00000000-0005-0000-0000-00003B0D0000}"/>
    <cellStyle name="??_x000c_&quot;_YTDHST  25" xfId="5863" xr:uid="{00000000-0005-0000-0000-00003C0D0000}"/>
    <cellStyle name="??_x000c_&quot;_x001b__YTDHST  25" xfId="5045" xr:uid="{00000000-0005-0000-0000-00003D0D0000}"/>
    <cellStyle name="??_x000c_&quot;_YTDHST  26" xfId="4293" xr:uid="{00000000-0005-0000-0000-00003E0D0000}"/>
    <cellStyle name="??_x000c_&quot;_x001b__YTDHST  26" xfId="6076" xr:uid="{00000000-0005-0000-0000-00003F0D0000}"/>
    <cellStyle name="??_x000c_&quot;_YTDHST  27" xfId="5135" xr:uid="{00000000-0005-0000-0000-0000400D0000}"/>
    <cellStyle name="??_x000c_&quot;_x001b__YTDHST  27" xfId="5152" xr:uid="{00000000-0005-0000-0000-0000410D0000}"/>
    <cellStyle name="??_x000c_&quot;_YTDHST  28" xfId="6330" xr:uid="{00000000-0005-0000-0000-0000420D0000}"/>
    <cellStyle name="??_x000c_&quot;_x001b__YTDHST  28" xfId="6331" xr:uid="{00000000-0005-0000-0000-0000430D0000}"/>
    <cellStyle name="??_x000c_&quot;_YTDHST  29" xfId="6449" xr:uid="{00000000-0005-0000-0000-0000440D0000}"/>
    <cellStyle name="??_x000c_&quot;_x001b__YTDHST  29" xfId="6448" xr:uid="{00000000-0005-0000-0000-0000450D0000}"/>
    <cellStyle name="??_x000c_&quot;_YTDHST  3" xfId="3442" xr:uid="{00000000-0005-0000-0000-0000460D0000}"/>
    <cellStyle name="??_x000c_&quot;_x001b__YTDHST  3" xfId="3441" xr:uid="{00000000-0005-0000-0000-0000470D0000}"/>
    <cellStyle name="??_x000c_&quot;_YTDHST  30" xfId="6412" xr:uid="{00000000-0005-0000-0000-0000480D0000}"/>
    <cellStyle name="??_x000c_&quot;_x001b__YTDHST  30" xfId="6413" xr:uid="{00000000-0005-0000-0000-0000490D0000}"/>
    <cellStyle name="??_x000c_&quot;_YTDHST  31" xfId="6904" xr:uid="{00000000-0005-0000-0000-00004A0D0000}"/>
    <cellStyle name="??_x000c_&quot;_x001b__YTDHST  31" xfId="6905" xr:uid="{00000000-0005-0000-0000-00004B0D0000}"/>
    <cellStyle name="??_x000c_&quot;_YTDHST  32" xfId="7793" xr:uid="{00000000-0005-0000-0000-00004C0D0000}"/>
    <cellStyle name="??_x000c_&quot;_x001b__YTDHST  32" xfId="7794" xr:uid="{00000000-0005-0000-0000-00004D0D0000}"/>
    <cellStyle name="??_x000c_&quot;_YTDHST  33" xfId="7994" xr:uid="{00000000-0005-0000-0000-00004E0D0000}"/>
    <cellStyle name="??_x000c_&quot;_x001b__YTDHST  33" xfId="7993" xr:uid="{00000000-0005-0000-0000-00004F0D0000}"/>
    <cellStyle name="??_x000c_&quot;_YTDHST  34" xfId="7920" xr:uid="{00000000-0005-0000-0000-0000500D0000}"/>
    <cellStyle name="??_x000c_&quot;_x001b__YTDHST  34" xfId="7921" xr:uid="{00000000-0005-0000-0000-0000510D0000}"/>
    <cellStyle name="??_x000c_&quot;_YTDHST  35" xfId="7934" xr:uid="{00000000-0005-0000-0000-0000520D0000}"/>
    <cellStyle name="??_x000c_&quot;_x001b__YTDHST  35" xfId="7824" xr:uid="{00000000-0005-0000-0000-0000530D0000}"/>
    <cellStyle name="??_x000c_&quot;_YTDHST  36" xfId="8367" xr:uid="{00000000-0005-0000-0000-0000540D0000}"/>
    <cellStyle name="??_x000c_&quot;_x001b__YTDHST  36" xfId="9392" xr:uid="{00000000-0005-0000-0000-0000550D0000}"/>
    <cellStyle name="??_x000c_&quot;_YTDHST  37" xfId="9401" xr:uid="{00000000-0005-0000-0000-0000560D0000}"/>
    <cellStyle name="??_x000c_&quot;_x001b__YTDHST  37" xfId="8092" xr:uid="{00000000-0005-0000-0000-0000570D0000}"/>
    <cellStyle name="??_x000c_&quot;_YTDHST  38" xfId="7804" xr:uid="{00000000-0005-0000-0000-0000580D0000}"/>
    <cellStyle name="??_x000c_&quot;_x001b__YTDHST  38" xfId="8139" xr:uid="{00000000-0005-0000-0000-0000590D0000}"/>
    <cellStyle name="??_x000c_&quot;_YTDHST  39" xfId="9586" xr:uid="{00000000-0005-0000-0000-00005A0D0000}"/>
    <cellStyle name="??_x000c_&quot;_x001b__YTDHST  39" xfId="9587" xr:uid="{00000000-0005-0000-0000-00005B0D0000}"/>
    <cellStyle name="??_x000c_&quot;_YTDHST  4" xfId="3564" xr:uid="{00000000-0005-0000-0000-00005C0D0000}"/>
    <cellStyle name="??_x000c_&quot;_x001b__YTDHST  4" xfId="3576" xr:uid="{00000000-0005-0000-0000-00005D0D0000}"/>
    <cellStyle name="??_x000c_&quot;_YTDHST  40" xfId="12031" xr:uid="{00000000-0005-0000-0000-00005E0D0000}"/>
    <cellStyle name="??_x000c_&quot;_x001b__YTDHST  40" xfId="12032" xr:uid="{00000000-0005-0000-0000-00005F0D0000}"/>
    <cellStyle name="??_x000c_&quot;_YTDHST  41" xfId="12033" xr:uid="{00000000-0005-0000-0000-0000600D0000}"/>
    <cellStyle name="??_x000c_&quot;_x001b__YTDHST  41" xfId="12034" xr:uid="{00000000-0005-0000-0000-0000610D0000}"/>
    <cellStyle name="??_x000c_&quot;_YTDHST  42" xfId="12035" xr:uid="{00000000-0005-0000-0000-0000620D0000}"/>
    <cellStyle name="??_x000c_&quot;_x001b__YTDHST  42" xfId="12036" xr:uid="{00000000-0005-0000-0000-0000630D0000}"/>
    <cellStyle name="??_x000c_&quot;_YTDHST  43" xfId="20800" xr:uid="{00000000-0005-0000-0000-0000640D0000}"/>
    <cellStyle name="??_x000c_&quot;_x001b__YTDHST  43" xfId="20801" xr:uid="{00000000-0005-0000-0000-0000650D0000}"/>
    <cellStyle name="??_x000c_&quot;_YTDHST  5" xfId="3546" xr:uid="{00000000-0005-0000-0000-0000660D0000}"/>
    <cellStyle name="??_x000c_&quot;_x001b__YTDHST  5" xfId="3620" xr:uid="{00000000-0005-0000-0000-0000670D0000}"/>
    <cellStyle name="??_x000c_&quot;_YTDHST  6" xfId="3719" xr:uid="{00000000-0005-0000-0000-0000680D0000}"/>
    <cellStyle name="??_x000c_&quot;_x001b__YTDHST  6" xfId="3720" xr:uid="{00000000-0005-0000-0000-0000690D0000}"/>
    <cellStyle name="??_x000c_&quot;_YTDHST  7" xfId="3799" xr:uid="{00000000-0005-0000-0000-00006A0D0000}"/>
    <cellStyle name="??_x000c_&quot;_x001b__YTDHST  7" xfId="3798" xr:uid="{00000000-0005-0000-0000-00006B0D0000}"/>
    <cellStyle name="??_x000c_&quot;_YTDHST  8" xfId="3766" xr:uid="{00000000-0005-0000-0000-00006C0D0000}"/>
    <cellStyle name="??_x000c_&quot;_x001b__YTDHST  8" xfId="3903" xr:uid="{00000000-0005-0000-0000-00006D0D0000}"/>
    <cellStyle name="??_x000c_&quot;_YTDHST  9" xfId="4039" xr:uid="{00000000-0005-0000-0000-00006E0D0000}"/>
    <cellStyle name="??_x000c_&quot;_x001b__YTDHST  9" xfId="4040" xr:uid="{00000000-0005-0000-0000-00006F0D0000}"/>
    <cellStyle name="??_x000c__138 - OtherReceivableAccount_28022010" xfId="116" xr:uid="{00000000-0005-0000-0000-0000700D0000}"/>
    <cellStyle name="??&amp;O?&amp;H?_x0008_?__x0008__x0007__x0001__x0001_" xfId="117" xr:uid="{00000000-0005-0000-0000-0000710D0000}"/>
    <cellStyle name="???" xfId="118" xr:uid="{00000000-0005-0000-0000-0000720D0000}"/>
    <cellStyle name="??? ?" xfId="119" xr:uid="{00000000-0005-0000-0000-0000730D0000}"/>
    <cellStyle name="???? ??" xfId="120" xr:uid="{00000000-0005-0000-0000-0000740D0000}"/>
    <cellStyle name="???? [0.00]_List-dwg" xfId="121" xr:uid="{00000000-0005-0000-0000-0000750D0000}"/>
    <cellStyle name="?????_(334) ?? HSI0308028N PO#P35027A2,3 208PCS (A) ??" xfId="122" xr:uid="{00000000-0005-0000-0000-0000760D0000}"/>
    <cellStyle name="????_List-dwg" xfId="123" xr:uid="{00000000-0005-0000-0000-0000770D0000}"/>
    <cellStyle name="???[0]_00Q3902REV.1" xfId="124" xr:uid="{00000000-0005-0000-0000-0000780D0000}"/>
    <cellStyle name="???_???" xfId="125" xr:uid="{00000000-0005-0000-0000-0000790D0000}"/>
    <cellStyle name="???&lt;_x000f_$??: `1_1 " xfId="126" xr:uid="{00000000-0005-0000-0000-00007A0D0000}"/>
    <cellStyle name="???1" xfId="127" xr:uid="{00000000-0005-0000-0000-00007B0D0000}"/>
    <cellStyle name="???2" xfId="128" xr:uid="{00000000-0005-0000-0000-00007C0D0000}"/>
    <cellStyle name="???3" xfId="129" xr:uid="{00000000-0005-0000-0000-00007D0D0000}"/>
    <cellStyle name="???4" xfId="130" xr:uid="{00000000-0005-0000-0000-00007E0D0000}"/>
    <cellStyle name="???5" xfId="131" xr:uid="{00000000-0005-0000-0000-00007F0D0000}"/>
    <cellStyle name="???6" xfId="132" xr:uid="{00000000-0005-0000-0000-0000800D0000}"/>
    <cellStyle name="??[0]_BRE" xfId="133" xr:uid="{00000000-0005-0000-0000-0000810D0000}"/>
    <cellStyle name="??_ 4???" xfId="134" xr:uid="{00000000-0005-0000-0000-0000820D0000}"/>
    <cellStyle name="?_138 - OtherReceivableAccount_28022010" xfId="135" xr:uid="{00000000-0005-0000-0000-0000830D0000}"/>
    <cellStyle name="?_138 - OtherReceivableAccount_28022010 2" xfId="3118" xr:uid="{00000000-0005-0000-0000-0000840D0000}"/>
    <cellStyle name="?_138 - OtherReceivableAccount_30112009" xfId="136" xr:uid="{00000000-0005-0000-0000-0000850D0000}"/>
    <cellStyle name="?_138 - OtherReceivableAccount_30112009 2" xfId="3119" xr:uid="{00000000-0005-0000-0000-0000860D0000}"/>
    <cellStyle name="?_138 - OtherReceivableAccount_30112009_EVALUATION_EX_311208" xfId="137" xr:uid="{00000000-0005-0000-0000-0000870D0000}"/>
    <cellStyle name="?_138 - OtherReceivableAccount_30112009_EVALUATION_EX_311208 2" xfId="3120" xr:uid="{00000000-0005-0000-0000-0000880D0000}"/>
    <cellStyle name="?_138 - OtherReceivableAccount_31012010" xfId="138" xr:uid="{00000000-0005-0000-0000-0000890D0000}"/>
    <cellStyle name="?_138 - OtherReceivableAccount_31012010 2" xfId="3121" xr:uid="{00000000-0005-0000-0000-00008A0D0000}"/>
    <cellStyle name="?_138 - OtherReceivableAccount_31122009" xfId="139" xr:uid="{00000000-0005-0000-0000-00008B0D0000}"/>
    <cellStyle name="?_138 - OtherReceivableAccount_31122009 2" xfId="3122" xr:uid="{00000000-0005-0000-0000-00008C0D0000}"/>
    <cellStyle name="?_138 - OtherReceivableAccount_31122009_EVALUATION_EX_311208" xfId="140" xr:uid="{00000000-0005-0000-0000-00008D0D0000}"/>
    <cellStyle name="?_138 - OtherReceivableAccount_31122009_EVALUATION_EX_311208 2" xfId="3123" xr:uid="{00000000-0005-0000-0000-00008E0D0000}"/>
    <cellStyle name="?_EVALUATION_EX_311208" xfId="141" xr:uid="{00000000-0005-0000-0000-00008F0D0000}"/>
    <cellStyle name="?_EVALUATION_EX_311208 2" xfId="3124" xr:uid="{00000000-0005-0000-0000-0000900D0000}"/>
    <cellStyle name="?_Sheet1" xfId="142" xr:uid="{00000000-0005-0000-0000-0000910D0000}"/>
    <cellStyle name="?_YTDHST " xfId="143" xr:uid="{00000000-0005-0000-0000-0000920D0000}"/>
    <cellStyle name="?_YTDHST  2" xfId="3125" xr:uid="{00000000-0005-0000-0000-0000930D0000}"/>
    <cellStyle name="?}" xfId="144" xr:uid="{00000000-0005-0000-0000-0000940D0000}"/>
    <cellStyle name="?} 2" xfId="3024" xr:uid="{00000000-0005-0000-0000-0000950D0000}"/>
    <cellStyle name="?} 2 2" xfId="3609" xr:uid="{00000000-0005-0000-0000-0000960D0000}"/>
    <cellStyle name="?} 3" xfId="3126" xr:uid="{00000000-0005-0000-0000-0000970D0000}"/>
    <cellStyle name="?} 4" xfId="4122" xr:uid="{00000000-0005-0000-0000-0000980D0000}"/>
    <cellStyle name="?} 4 2" xfId="4134" xr:uid="{00000000-0005-0000-0000-0000990D0000}"/>
    <cellStyle name="?} 5" xfId="9501" xr:uid="{00000000-0005-0000-0000-00009A0D0000}"/>
    <cellStyle name="?} 6" xfId="4119" xr:uid="{00000000-0005-0000-0000-00009B0D0000}"/>
    <cellStyle name="?} 7" xfId="11789" xr:uid="{00000000-0005-0000-0000-00009C0D0000}"/>
    <cellStyle name="?}_511 - RevenueAccount_31082010" xfId="145" xr:uid="{00000000-0005-0000-0000-00009D0D0000}"/>
    <cellStyle name="?‹æØ‚è_Region Orders (2)" xfId="146" xr:uid="{00000000-0005-0000-0000-00009E0D0000}"/>
    <cellStyle name="?뗦먛귟 [0.00]_Region Orders (2)" xfId="147" xr:uid="{00000000-0005-0000-0000-00009F0D0000}"/>
    <cellStyle name="?뗦먛귟_Region Orders (2)" xfId="148" xr:uid="{00000000-0005-0000-0000-0000A00D0000}"/>
    <cellStyle name="_ EUI SIK AHN" xfId="149" xr:uid="{00000000-0005-0000-0000-0000A10D0000}"/>
    <cellStyle name="_ EUI SIK AHN 2" xfId="3127" xr:uid="{00000000-0005-0000-0000-0000A20D0000}"/>
    <cellStyle name="_06. Total AccountReceivable_02'2009" xfId="150" xr:uid="{00000000-0005-0000-0000-0000A30D0000}"/>
    <cellStyle name="_06. Total AccountReceivable_02'2009 2" xfId="3128" xr:uid="{00000000-0005-0000-0000-0000A40D0000}"/>
    <cellStyle name="_141-2008" xfId="157" xr:uid="{00000000-0005-0000-0000-0000A50D0000}"/>
    <cellStyle name="_154 - Production Cost_28022009 V2" xfId="158" xr:uid="{00000000-0005-0000-0000-0000A60D0000}"/>
    <cellStyle name="_154 - Production Cost_28022009 V2 2" xfId="3129" xr:uid="{00000000-0005-0000-0000-0000A70D0000}"/>
    <cellStyle name="_154 - Production Cost_30042009" xfId="159" xr:uid="{00000000-0005-0000-0000-0000A80D0000}"/>
    <cellStyle name="_154 - Production Cost_30042009- V4-lastest" xfId="160" xr:uid="{00000000-0005-0000-0000-0000A90D0000}"/>
    <cellStyle name="_154 - Production Cost_30062009" xfId="161" xr:uid="{00000000-0005-0000-0000-0000AA0D0000}"/>
    <cellStyle name="_154 - Production Cost_30062009 2" xfId="3130" xr:uid="{00000000-0005-0000-0000-0000AB0D0000}"/>
    <cellStyle name="_154 - Production Cost_30062009 -V4-Lastest" xfId="162" xr:uid="{00000000-0005-0000-0000-0000AC0D0000}"/>
    <cellStyle name="_154 - Production Cost_30062009 -V4-Lastest 2" xfId="3131" xr:uid="{00000000-0005-0000-0000-0000AD0D0000}"/>
    <cellStyle name="_154 - Production Cost_310072009" xfId="163" xr:uid="{00000000-0005-0000-0000-0000AE0D0000}"/>
    <cellStyle name="_154 - Production Cost_310072009 2" xfId="3132" xr:uid="{00000000-0005-0000-0000-0000AF0D0000}"/>
    <cellStyle name="_154 - Production Cost_310072009-V4" xfId="164" xr:uid="{00000000-0005-0000-0000-0000B00D0000}"/>
    <cellStyle name="_154 - Production Cost_310072009-V4 2" xfId="3133" xr:uid="{00000000-0005-0000-0000-0000B10D0000}"/>
    <cellStyle name="_154 - Production Cost_310082009-Lastest4" xfId="165" xr:uid="{00000000-0005-0000-0000-0000B20D0000}"/>
    <cellStyle name="_154 - Production Cost_310082009-Lastest4 2" xfId="3134" xr:uid="{00000000-0005-0000-0000-0000B30D0000}"/>
    <cellStyle name="_154 - Production Cost_31012009" xfId="166" xr:uid="{00000000-0005-0000-0000-0000B40D0000}"/>
    <cellStyle name="_154 - Production Cost_31012009 2" xfId="3135" xr:uid="{00000000-0005-0000-0000-0000B50D0000}"/>
    <cellStyle name="_154 - Production Cost_31012009_V2" xfId="167" xr:uid="{00000000-0005-0000-0000-0000B60D0000}"/>
    <cellStyle name="_154 - Production Cost_31012009_V2 2" xfId="3136" xr:uid="{00000000-0005-0000-0000-0000B70D0000}"/>
    <cellStyle name="_154 - Production Cost_31012009-V4-Latest" xfId="168" xr:uid="{00000000-0005-0000-0000-0000B80D0000}"/>
    <cellStyle name="_154 - Production Cost_31012009-V4-Latest 2" xfId="3137" xr:uid="{00000000-0005-0000-0000-0000B90D0000}"/>
    <cellStyle name="_154 - Production Cost_31052009" xfId="169" xr:uid="{00000000-0005-0000-0000-0000BA0D0000}"/>
    <cellStyle name="_154 - Production Cost_31052009.v1" xfId="170" xr:uid="{00000000-0005-0000-0000-0000BB0D0000}"/>
    <cellStyle name="_154 - Production Cost_31052009.v1 2" xfId="3138" xr:uid="{00000000-0005-0000-0000-0000BC0D0000}"/>
    <cellStyle name="_154 - Production Cost_31052009_1" xfId="171" xr:uid="{00000000-0005-0000-0000-0000BD0D0000}"/>
    <cellStyle name="_154 - Production Cost_31052009_1 2" xfId="3139" xr:uid="{00000000-0005-0000-0000-0000BE0D0000}"/>
    <cellStyle name="_154 - Production Cost_31082009" xfId="172" xr:uid="{00000000-0005-0000-0000-0000BF0D0000}"/>
    <cellStyle name="_229895; 0730191" xfId="173" xr:uid="{00000000-0005-0000-0000-0000C00D0000}"/>
    <cellStyle name="_3.subcontract  12-12-2008 (900.000)" xfId="174" xr:uid="{00000000-0005-0000-0000-0000C10D0000}"/>
    <cellStyle name="_421 - Operation result 01 09 (Nghia)" xfId="175" xr:uid="{00000000-0005-0000-0000-0000C20D0000}"/>
    <cellStyle name="_421 - Operation result 07.09" xfId="176" xr:uid="{00000000-0005-0000-0000-0000C30D0000}"/>
    <cellStyle name="_421 - Operation result_30062009" xfId="177" xr:uid="{00000000-0005-0000-0000-0000C40D0000}"/>
    <cellStyle name="_511 - RevenueAccount_28022009" xfId="178" xr:uid="{00000000-0005-0000-0000-0000C50D0000}"/>
    <cellStyle name="_511 - RevenueAccount_28022009 2" xfId="3140" xr:uid="{00000000-0005-0000-0000-0000C60D0000}"/>
    <cellStyle name="_511 - RevenueAccount_28022011" xfId="180" xr:uid="{00000000-0005-0000-0000-0000C70D0000}"/>
    <cellStyle name="_511 - RevenueAccount_28022011 2" xfId="3142" xr:uid="{00000000-0005-0000-0000-0000C80D0000}"/>
    <cellStyle name="_511 - RevenueAccount_30042009" xfId="181" xr:uid="{00000000-0005-0000-0000-0000C90D0000}"/>
    <cellStyle name="_511 - RevenueAccount_30042009 2" xfId="3143" xr:uid="{00000000-0005-0000-0000-0000CA0D0000}"/>
    <cellStyle name="_511 - RevenueAccount_30042010" xfId="182" xr:uid="{00000000-0005-0000-0000-0000CB0D0000}"/>
    <cellStyle name="_511 - RevenueAccount_30042010 10" xfId="4254" xr:uid="{00000000-0005-0000-0000-0000CC0D0000}"/>
    <cellStyle name="_511 - RevenueAccount_30042010 11" xfId="5346" xr:uid="{00000000-0005-0000-0000-0000CD0D0000}"/>
    <cellStyle name="_511 - RevenueAccount_30042010 12" xfId="5893" xr:uid="{00000000-0005-0000-0000-0000CE0D0000}"/>
    <cellStyle name="_511 - RevenueAccount_30042010 13" xfId="5518" xr:uid="{00000000-0005-0000-0000-0000CF0D0000}"/>
    <cellStyle name="_511 - RevenueAccount_30042010 14" xfId="4246" xr:uid="{00000000-0005-0000-0000-0000D00D0000}"/>
    <cellStyle name="_511 - RevenueAccount_30042010 15" xfId="4862" xr:uid="{00000000-0005-0000-0000-0000D10D0000}"/>
    <cellStyle name="_511 - RevenueAccount_30042010 16" xfId="4843" xr:uid="{00000000-0005-0000-0000-0000D20D0000}"/>
    <cellStyle name="_511 - RevenueAccount_30042010 17" xfId="5508" xr:uid="{00000000-0005-0000-0000-0000D30D0000}"/>
    <cellStyle name="_511 - RevenueAccount_30042010 18" xfId="5929" xr:uid="{00000000-0005-0000-0000-0000D40D0000}"/>
    <cellStyle name="_511 - RevenueAccount_30042010 19" xfId="5998" xr:uid="{00000000-0005-0000-0000-0000D50D0000}"/>
    <cellStyle name="_511 - RevenueAccount_30042010 2" xfId="3144" xr:uid="{00000000-0005-0000-0000-0000D60D0000}"/>
    <cellStyle name="_511 - RevenueAccount_30042010 20" xfId="5028" xr:uid="{00000000-0005-0000-0000-0000D70D0000}"/>
    <cellStyle name="_511 - RevenueAccount_30042010 21" xfId="5220" xr:uid="{00000000-0005-0000-0000-0000D80D0000}"/>
    <cellStyle name="_511 - RevenueAccount_30042010 22" xfId="5337" xr:uid="{00000000-0005-0000-0000-0000D90D0000}"/>
    <cellStyle name="_511 - RevenueAccount_30042010 23" xfId="4768" xr:uid="{00000000-0005-0000-0000-0000DA0D0000}"/>
    <cellStyle name="_511 - RevenueAccount_30042010 24" xfId="5891" xr:uid="{00000000-0005-0000-0000-0000DB0D0000}"/>
    <cellStyle name="_511 - RevenueAccount_30042010 25" xfId="6147" xr:uid="{00000000-0005-0000-0000-0000DC0D0000}"/>
    <cellStyle name="_511 - RevenueAccount_30042010 26" xfId="5460" xr:uid="{00000000-0005-0000-0000-0000DD0D0000}"/>
    <cellStyle name="_511 - RevenueAccount_30042010 27" xfId="5414" xr:uid="{00000000-0005-0000-0000-0000DE0D0000}"/>
    <cellStyle name="_511 - RevenueAccount_30042010 28" xfId="6332" xr:uid="{00000000-0005-0000-0000-0000DF0D0000}"/>
    <cellStyle name="_511 - RevenueAccount_30042010 29" xfId="6578" xr:uid="{00000000-0005-0000-0000-0000E00D0000}"/>
    <cellStyle name="_511 - RevenueAccount_30042010 3" xfId="3427" xr:uid="{00000000-0005-0000-0000-0000E10D0000}"/>
    <cellStyle name="_511 - RevenueAccount_30042010 30" xfId="6414" xr:uid="{00000000-0005-0000-0000-0000E20D0000}"/>
    <cellStyle name="_511 - RevenueAccount_30042010 31" xfId="6906" xr:uid="{00000000-0005-0000-0000-0000E30D0000}"/>
    <cellStyle name="_511 - RevenueAccount_30042010 32" xfId="7797" xr:uid="{00000000-0005-0000-0000-0000E40D0000}"/>
    <cellStyle name="_511 - RevenueAccount_30042010 33" xfId="8182" xr:uid="{00000000-0005-0000-0000-0000E50D0000}"/>
    <cellStyle name="_511 - RevenueAccount_30042010 34" xfId="9415" xr:uid="{00000000-0005-0000-0000-0000E60D0000}"/>
    <cellStyle name="_511 - RevenueAccount_30042010 35" xfId="8528" xr:uid="{00000000-0005-0000-0000-0000E70D0000}"/>
    <cellStyle name="_511 - RevenueAccount_30042010 36" xfId="8366" xr:uid="{00000000-0005-0000-0000-0000E80D0000}"/>
    <cellStyle name="_511 - RevenueAccount_30042010 37" xfId="7983" xr:uid="{00000000-0005-0000-0000-0000E90D0000}"/>
    <cellStyle name="_511 - RevenueAccount_30042010 38" xfId="9450" xr:uid="{00000000-0005-0000-0000-0000EA0D0000}"/>
    <cellStyle name="_511 - RevenueAccount_30042010 39" xfId="9588" xr:uid="{00000000-0005-0000-0000-0000EB0D0000}"/>
    <cellStyle name="_511 - RevenueAccount_30042010 4" xfId="3634" xr:uid="{00000000-0005-0000-0000-0000EC0D0000}"/>
    <cellStyle name="_511 - RevenueAccount_30042010 40" xfId="12037" xr:uid="{00000000-0005-0000-0000-0000ED0D0000}"/>
    <cellStyle name="_511 - RevenueAccount_30042010 41" xfId="12038" xr:uid="{00000000-0005-0000-0000-0000EE0D0000}"/>
    <cellStyle name="_511 - RevenueAccount_30042010 42" xfId="12039" xr:uid="{00000000-0005-0000-0000-0000EF0D0000}"/>
    <cellStyle name="_511 - RevenueAccount_30042010 43" xfId="20802" xr:uid="{00000000-0005-0000-0000-0000F00D0000}"/>
    <cellStyle name="_511 - RevenueAccount_30042010 5" xfId="3638" xr:uid="{00000000-0005-0000-0000-0000F10D0000}"/>
    <cellStyle name="_511 - RevenueAccount_30042010 6" xfId="3721" xr:uid="{00000000-0005-0000-0000-0000F20D0000}"/>
    <cellStyle name="_511 - RevenueAccount_30042010 7" xfId="3932" xr:uid="{00000000-0005-0000-0000-0000F30D0000}"/>
    <cellStyle name="_511 - RevenueAccount_30042010 8" xfId="3941" xr:uid="{00000000-0005-0000-0000-0000F40D0000}"/>
    <cellStyle name="_511 - RevenueAccount_30042010 9" xfId="4041" xr:uid="{00000000-0005-0000-0000-0000F50D0000}"/>
    <cellStyle name="_511 - RevenueAccount_30092010" xfId="184" xr:uid="{00000000-0005-0000-0000-0000F60D0000}"/>
    <cellStyle name="_511 - RevenueAccount_30092010 10" xfId="4255" xr:uid="{00000000-0005-0000-0000-0000F70D0000}"/>
    <cellStyle name="_511 - RevenueAccount_30092010 11" xfId="5345" xr:uid="{00000000-0005-0000-0000-0000F80D0000}"/>
    <cellStyle name="_511 - RevenueAccount_30092010 12" xfId="5535" xr:uid="{00000000-0005-0000-0000-0000F90D0000}"/>
    <cellStyle name="_511 - RevenueAccount_30092010 13" xfId="5407" xr:uid="{00000000-0005-0000-0000-0000FA0D0000}"/>
    <cellStyle name="_511 - RevenueAccount_30092010 14" xfId="5383" xr:uid="{00000000-0005-0000-0000-0000FB0D0000}"/>
    <cellStyle name="_511 - RevenueAccount_30092010 15" xfId="4401" xr:uid="{00000000-0005-0000-0000-0000FC0D0000}"/>
    <cellStyle name="_511 - RevenueAccount_30092010 16" xfId="5179" xr:uid="{00000000-0005-0000-0000-0000FD0D0000}"/>
    <cellStyle name="_511 - RevenueAccount_30092010 17" xfId="5519" xr:uid="{00000000-0005-0000-0000-0000FE0D0000}"/>
    <cellStyle name="_511 - RevenueAccount_30092010 18" xfId="5311" xr:uid="{00000000-0005-0000-0000-0000FF0D0000}"/>
    <cellStyle name="_511 - RevenueAccount_30092010 19" xfId="4415" xr:uid="{00000000-0005-0000-0000-0000000E0000}"/>
    <cellStyle name="_511 - RevenueAccount_30092010 2" xfId="3146" xr:uid="{00000000-0005-0000-0000-0000010E0000}"/>
    <cellStyle name="_511 - RevenueAccount_30092010 20" xfId="4350" xr:uid="{00000000-0005-0000-0000-0000020E0000}"/>
    <cellStyle name="_511 - RevenueAccount_30092010 21" xfId="5327" xr:uid="{00000000-0005-0000-0000-0000030E0000}"/>
    <cellStyle name="_511 - RevenueAccount_30092010 22" xfId="5990" xr:uid="{00000000-0005-0000-0000-0000040E0000}"/>
    <cellStyle name="_511 - RevenueAccount_30092010 23" xfId="5910" xr:uid="{00000000-0005-0000-0000-0000050E0000}"/>
    <cellStyle name="_511 - RevenueAccount_30092010 24" xfId="5429" xr:uid="{00000000-0005-0000-0000-0000060E0000}"/>
    <cellStyle name="_511 - RevenueAccount_30092010 25" xfId="5409" xr:uid="{00000000-0005-0000-0000-0000070E0000}"/>
    <cellStyle name="_511 - RevenueAccount_30092010 26" xfId="4433" xr:uid="{00000000-0005-0000-0000-0000080E0000}"/>
    <cellStyle name="_511 - RevenueAccount_30092010 27" xfId="5287" xr:uid="{00000000-0005-0000-0000-0000090E0000}"/>
    <cellStyle name="_511 - RevenueAccount_30092010 28" xfId="6333" xr:uid="{00000000-0005-0000-0000-00000A0E0000}"/>
    <cellStyle name="_511 - RevenueAccount_30092010 29" xfId="6568" xr:uid="{00000000-0005-0000-0000-00000B0E0000}"/>
    <cellStyle name="_511 - RevenueAccount_30092010 3" xfId="3414" xr:uid="{00000000-0005-0000-0000-00000C0E0000}"/>
    <cellStyle name="_511 - RevenueAccount_30092010 30" xfId="6415" xr:uid="{00000000-0005-0000-0000-00000D0E0000}"/>
    <cellStyle name="_511 - RevenueAccount_30092010 31" xfId="6907" xr:uid="{00000000-0005-0000-0000-00000E0E0000}"/>
    <cellStyle name="_511 - RevenueAccount_30092010 32" xfId="7799" xr:uid="{00000000-0005-0000-0000-00000F0E0000}"/>
    <cellStyle name="_511 - RevenueAccount_30092010 33" xfId="8199" xr:uid="{00000000-0005-0000-0000-0000100E0000}"/>
    <cellStyle name="_511 - RevenueAccount_30092010 34" xfId="8096" xr:uid="{00000000-0005-0000-0000-0000110E0000}"/>
    <cellStyle name="_511 - RevenueAccount_30092010 35" xfId="7967" xr:uid="{00000000-0005-0000-0000-0000120E0000}"/>
    <cellStyle name="_511 - RevenueAccount_30092010 36" xfId="9421" xr:uid="{00000000-0005-0000-0000-0000130E0000}"/>
    <cellStyle name="_511 - RevenueAccount_30092010 37" xfId="8311" xr:uid="{00000000-0005-0000-0000-0000140E0000}"/>
    <cellStyle name="_511 - RevenueAccount_30092010 38" xfId="8368" xr:uid="{00000000-0005-0000-0000-0000150E0000}"/>
    <cellStyle name="_511 - RevenueAccount_30092010 39" xfId="9589" xr:uid="{00000000-0005-0000-0000-0000160E0000}"/>
    <cellStyle name="_511 - RevenueAccount_30092010 4" xfId="3635" xr:uid="{00000000-0005-0000-0000-0000170E0000}"/>
    <cellStyle name="_511 - RevenueAccount_30092010 40" xfId="12040" xr:uid="{00000000-0005-0000-0000-0000180E0000}"/>
    <cellStyle name="_511 - RevenueAccount_30092010 41" xfId="12041" xr:uid="{00000000-0005-0000-0000-0000190E0000}"/>
    <cellStyle name="_511 - RevenueAccount_30092010 42" xfId="12042" xr:uid="{00000000-0005-0000-0000-00001A0E0000}"/>
    <cellStyle name="_511 - RevenueAccount_30092010 43" xfId="20803" xr:uid="{00000000-0005-0000-0000-00001B0E0000}"/>
    <cellStyle name="_511 - RevenueAccount_30092010 5" xfId="3639" xr:uid="{00000000-0005-0000-0000-00001C0E0000}"/>
    <cellStyle name="_511 - RevenueAccount_30092010 6" xfId="3722" xr:uid="{00000000-0005-0000-0000-00001D0E0000}"/>
    <cellStyle name="_511 - RevenueAccount_30092010 7" xfId="3929" xr:uid="{00000000-0005-0000-0000-00001E0E0000}"/>
    <cellStyle name="_511 - RevenueAccount_30092010 8" xfId="3942" xr:uid="{00000000-0005-0000-0000-00001F0E0000}"/>
    <cellStyle name="_511 - RevenueAccount_30092010 9" xfId="4042" xr:uid="{00000000-0005-0000-0000-0000200E0000}"/>
    <cellStyle name="_511 - RevenueAccount_30112009" xfId="186" xr:uid="{00000000-0005-0000-0000-0000210E0000}"/>
    <cellStyle name="_511 - RevenueAccount_30112009 2" xfId="3147" xr:uid="{00000000-0005-0000-0000-0000220E0000}"/>
    <cellStyle name="_511 - RevenueAccount_31012009" xfId="187" xr:uid="{00000000-0005-0000-0000-0000230E0000}"/>
    <cellStyle name="_511 - RevenueAccount_31012009 2" xfId="3148" xr:uid="{00000000-0005-0000-0000-0000240E0000}"/>
    <cellStyle name="_511 - RevenueAccount_31072010" xfId="190" xr:uid="{00000000-0005-0000-0000-0000250E0000}"/>
    <cellStyle name="_511 - RevenueAccount_31072010 10" xfId="4257" xr:uid="{00000000-0005-0000-0000-0000260E0000}"/>
    <cellStyle name="_511 - RevenueAccount_31072010 11" xfId="5380" xr:uid="{00000000-0005-0000-0000-0000270E0000}"/>
    <cellStyle name="_511 - RevenueAccount_31072010 12" xfId="5418" xr:uid="{00000000-0005-0000-0000-0000280E0000}"/>
    <cellStyle name="_511 - RevenueAccount_31072010 13" xfId="5520" xr:uid="{00000000-0005-0000-0000-0000290E0000}"/>
    <cellStyle name="_511 - RevenueAccount_31072010 14" xfId="5385" xr:uid="{00000000-0005-0000-0000-00002A0E0000}"/>
    <cellStyle name="_511 - RevenueAccount_31072010 15" xfId="4871" xr:uid="{00000000-0005-0000-0000-00002B0E0000}"/>
    <cellStyle name="_511 - RevenueAccount_31072010 16" xfId="4526" xr:uid="{00000000-0005-0000-0000-00002C0E0000}"/>
    <cellStyle name="_511 - RevenueAccount_31072010 17" xfId="4480" xr:uid="{00000000-0005-0000-0000-00002D0E0000}"/>
    <cellStyle name="_511 - RevenueAccount_31072010 18" xfId="4656" xr:uid="{00000000-0005-0000-0000-00002E0E0000}"/>
    <cellStyle name="_511 - RevenueAccount_31072010 19" xfId="4811" xr:uid="{00000000-0005-0000-0000-00002F0E0000}"/>
    <cellStyle name="_511 - RevenueAccount_31072010 2" xfId="3149" xr:uid="{00000000-0005-0000-0000-0000300E0000}"/>
    <cellStyle name="_511 - RevenueAccount_31072010 20" xfId="5374" xr:uid="{00000000-0005-0000-0000-0000310E0000}"/>
    <cellStyle name="_511 - RevenueAccount_31072010 21" xfId="4637" xr:uid="{00000000-0005-0000-0000-0000320E0000}"/>
    <cellStyle name="_511 - RevenueAccount_31072010 22" xfId="5838" xr:uid="{00000000-0005-0000-0000-0000330E0000}"/>
    <cellStyle name="_511 - RevenueAccount_31072010 23" xfId="5116" xr:uid="{00000000-0005-0000-0000-0000340E0000}"/>
    <cellStyle name="_511 - RevenueAccount_31072010 24" xfId="5920" xr:uid="{00000000-0005-0000-0000-0000350E0000}"/>
    <cellStyle name="_511 - RevenueAccount_31072010 25" xfId="4654" xr:uid="{00000000-0005-0000-0000-0000360E0000}"/>
    <cellStyle name="_511 - RevenueAccount_31072010 26" xfId="4652" xr:uid="{00000000-0005-0000-0000-0000370E0000}"/>
    <cellStyle name="_511 - RevenueAccount_31072010 27" xfId="5149" xr:uid="{00000000-0005-0000-0000-0000380E0000}"/>
    <cellStyle name="_511 - RevenueAccount_31072010 28" xfId="6334" xr:uid="{00000000-0005-0000-0000-0000390E0000}"/>
    <cellStyle name="_511 - RevenueAccount_31072010 29" xfId="6536" xr:uid="{00000000-0005-0000-0000-00003A0E0000}"/>
    <cellStyle name="_511 - RevenueAccount_31072010 3" xfId="3413" xr:uid="{00000000-0005-0000-0000-00003B0E0000}"/>
    <cellStyle name="_511 - RevenueAccount_31072010 30" xfId="6663" xr:uid="{00000000-0005-0000-0000-00003C0E0000}"/>
    <cellStyle name="_511 - RevenueAccount_31072010 31" xfId="6908" xr:uid="{00000000-0005-0000-0000-00003D0E0000}"/>
    <cellStyle name="_511 - RevenueAccount_31072010 32" xfId="7800" xr:uid="{00000000-0005-0000-0000-00003E0E0000}"/>
    <cellStyle name="_511 - RevenueAccount_31072010 33" xfId="8166" xr:uid="{00000000-0005-0000-0000-00003F0E0000}"/>
    <cellStyle name="_511 - RevenueAccount_31072010 34" xfId="8282" xr:uid="{00000000-0005-0000-0000-0000400E0000}"/>
    <cellStyle name="_511 - RevenueAccount_31072010 35" xfId="7846" xr:uid="{00000000-0005-0000-0000-0000410E0000}"/>
    <cellStyle name="_511 - RevenueAccount_31072010 36" xfId="7960" xr:uid="{00000000-0005-0000-0000-0000420E0000}"/>
    <cellStyle name="_511 - RevenueAccount_31072010 37" xfId="9413" xr:uid="{00000000-0005-0000-0000-0000430E0000}"/>
    <cellStyle name="_511 - RevenueAccount_31072010 38" xfId="9407" xr:uid="{00000000-0005-0000-0000-0000440E0000}"/>
    <cellStyle name="_511 - RevenueAccount_31072010 39" xfId="9590" xr:uid="{00000000-0005-0000-0000-0000450E0000}"/>
    <cellStyle name="_511 - RevenueAccount_31072010 4" xfId="3637" xr:uid="{00000000-0005-0000-0000-0000460E0000}"/>
    <cellStyle name="_511 - RevenueAccount_31072010 40" xfId="12043" xr:uid="{00000000-0005-0000-0000-0000470E0000}"/>
    <cellStyle name="_511 - RevenueAccount_31072010 41" xfId="12044" xr:uid="{00000000-0005-0000-0000-0000480E0000}"/>
    <cellStyle name="_511 - RevenueAccount_31072010 42" xfId="12045" xr:uid="{00000000-0005-0000-0000-0000490E0000}"/>
    <cellStyle name="_511 - RevenueAccount_31072010 43" xfId="20804" xr:uid="{00000000-0005-0000-0000-00004A0E0000}"/>
    <cellStyle name="_511 - RevenueAccount_31072010 5" xfId="3640" xr:uid="{00000000-0005-0000-0000-00004B0E0000}"/>
    <cellStyle name="_511 - RevenueAccount_31072010 6" xfId="3723" xr:uid="{00000000-0005-0000-0000-00004C0E0000}"/>
    <cellStyle name="_511 - RevenueAccount_31072010 7" xfId="3792" xr:uid="{00000000-0005-0000-0000-00004D0E0000}"/>
    <cellStyle name="_511 - RevenueAccount_31072010 8" xfId="3943" xr:uid="{00000000-0005-0000-0000-00004E0E0000}"/>
    <cellStyle name="_511 - RevenueAccount_31072010 9" xfId="4043" xr:uid="{00000000-0005-0000-0000-00004F0E0000}"/>
    <cellStyle name="_511 - RevenueAccount_31122009" xfId="192" xr:uid="{00000000-0005-0000-0000-0000500E0000}"/>
    <cellStyle name="_511 - RevenueAccount_31122009 2" xfId="3150" xr:uid="{00000000-0005-0000-0000-0000510E0000}"/>
    <cellStyle name="_Accrue Incentive" xfId="193" xr:uid="{00000000-0005-0000-0000-0000520E0000}"/>
    <cellStyle name="_Accrue Incentive 2" xfId="3151" xr:uid="{00000000-0005-0000-0000-0000530E0000}"/>
    <cellStyle name="_Accrue Incentive_EVALUATION_EX_311208" xfId="194" xr:uid="{00000000-0005-0000-0000-0000540E0000}"/>
    <cellStyle name="_Accrue Incentive_EVALUATION_EX_311208 2" xfId="3152" xr:uid="{00000000-0005-0000-0000-0000550E0000}"/>
    <cellStyle name="_Acrrued" xfId="195" xr:uid="{00000000-0005-0000-0000-0000560E0000}"/>
    <cellStyle name="_Acrrued 2" xfId="3153" xr:uid="{00000000-0005-0000-0000-0000570E0000}"/>
    <cellStyle name="_Acrrued_1" xfId="196" xr:uid="{00000000-0005-0000-0000-0000580E0000}"/>
    <cellStyle name="_Acrrued_1_Acrrued" xfId="197" xr:uid="{00000000-0005-0000-0000-0000590E0000}"/>
    <cellStyle name="_Acrrued_1_Acrrued01" xfId="198" xr:uid="{00000000-0005-0000-0000-00005A0E0000}"/>
    <cellStyle name="_Acrrued_1_Detail-02" xfId="199" xr:uid="{00000000-0005-0000-0000-00005B0E0000}"/>
    <cellStyle name="_Acrrued_1_Sheet1" xfId="200" xr:uid="{00000000-0005-0000-0000-00005C0E0000}"/>
    <cellStyle name="_Acrrued_EVALUATION_EX_311208" xfId="201" xr:uid="{00000000-0005-0000-0000-00005D0E0000}"/>
    <cellStyle name="_Acrrued_EVALUATION_EX_311208 2" xfId="3154" xr:uid="{00000000-0005-0000-0000-00005E0E0000}"/>
    <cellStyle name="_AR" xfId="202" xr:uid="{00000000-0005-0000-0000-00005F0E0000}"/>
    <cellStyle name="_AR_331 - AdvancefromCustomer_31012010" xfId="203" xr:uid="{00000000-0005-0000-0000-0000600E0000}"/>
    <cellStyle name="_AR_511 - RevenueAccount_28022010" xfId="204" xr:uid="{00000000-0005-0000-0000-0000610E0000}"/>
    <cellStyle name="_AR_511 - RevenueAccount_30042010" xfId="205" xr:uid="{00000000-0005-0000-0000-0000620E0000}"/>
    <cellStyle name="_AR_511 - RevenueAccount_30062010" xfId="206" xr:uid="{00000000-0005-0000-0000-0000630E0000}"/>
    <cellStyle name="_AR_511 - RevenueAccount_30092010" xfId="207" xr:uid="{00000000-0005-0000-0000-0000640E0000}"/>
    <cellStyle name="_AR_511 - RevenueAccount_30112010" xfId="208" xr:uid="{00000000-0005-0000-0000-0000650E0000}"/>
    <cellStyle name="_AR_511 - RevenueAccount_31012010" xfId="209" xr:uid="{00000000-0005-0000-0000-0000660E0000}"/>
    <cellStyle name="_AR_511 - RevenueAccount_31012011" xfId="210" xr:uid="{00000000-0005-0000-0000-0000670E0000}"/>
    <cellStyle name="_AR_511 - RevenueAccount_31032010" xfId="211" xr:uid="{00000000-0005-0000-0000-0000680E0000}"/>
    <cellStyle name="_AR_511 - RevenueAccount_31032011" xfId="212" xr:uid="{00000000-0005-0000-0000-0000690E0000}"/>
    <cellStyle name="_AR_511 - RevenueAccount_31052010" xfId="213" xr:uid="{00000000-0005-0000-0000-00006A0E0000}"/>
    <cellStyle name="_AR_511 - RevenueAccount_31072010" xfId="214" xr:uid="{00000000-0005-0000-0000-00006B0E0000}"/>
    <cellStyle name="_AR_511 - RevenueAccount_31082010" xfId="215" xr:uid="{00000000-0005-0000-0000-00006C0E0000}"/>
    <cellStyle name="_AR_511 - RevenueAccount_31122010" xfId="216" xr:uid="{00000000-0005-0000-0000-00006D0E0000}"/>
    <cellStyle name="_AR_Book1 (version 5)" xfId="217" xr:uid="{00000000-0005-0000-0000-00006E0E0000}"/>
    <cellStyle name="_AR_HANSOLL" xfId="218" xr:uid="{00000000-0005-0000-0000-00006F0E0000}"/>
    <cellStyle name="_AR_ReceiptList" xfId="219" xr:uid="{00000000-0005-0000-0000-0000700E0000}"/>
    <cellStyle name="_AR_Sheet3" xfId="220" xr:uid="{00000000-0005-0000-0000-0000710E0000}"/>
    <cellStyle name="_AR_Sheet3 2" xfId="2318" xr:uid="{00000000-0005-0000-0000-0000720E0000}"/>
    <cellStyle name="_AR_Sheet3 3" xfId="2911" xr:uid="{00000000-0005-0000-0000-0000730E0000}"/>
    <cellStyle name="_AR_Sheet3 4" xfId="2294" xr:uid="{00000000-0005-0000-0000-0000740E0000}"/>
    <cellStyle name="_AR_Sheet3 5" xfId="2944" xr:uid="{00000000-0005-0000-0000-0000750E0000}"/>
    <cellStyle name="_AR_Sheet3 6" xfId="2999" xr:uid="{00000000-0005-0000-0000-0000760E0000}"/>
    <cellStyle name="_AR_Sheet3 7" xfId="3012" xr:uid="{00000000-0005-0000-0000-0000770E0000}"/>
    <cellStyle name="_AR-HST" xfId="221" xr:uid="{00000000-0005-0000-0000-0000780E0000}"/>
    <cellStyle name="_AR-HST 2" xfId="3155" xr:uid="{00000000-0005-0000-0000-0000790E0000}"/>
    <cellStyle name="_ASIA" xfId="222" xr:uid="{00000000-0005-0000-0000-00007A0E0000}"/>
    <cellStyle name="_ASIA 2" xfId="3156" xr:uid="{00000000-0005-0000-0000-00007B0E0000}"/>
    <cellStyle name="_Bienbanviphamhopdog Dae you Vina" xfId="223" xr:uid="{00000000-0005-0000-0000-00007C0E0000}"/>
    <cellStyle name="_Book1" xfId="224" xr:uid="{00000000-0005-0000-0000-00007D0E0000}"/>
    <cellStyle name="_Book1 (version 5)" xfId="225" xr:uid="{00000000-0005-0000-0000-00007E0E0000}"/>
    <cellStyle name="_Book1 (version 5) 10" xfId="4269" xr:uid="{00000000-0005-0000-0000-00007F0E0000}"/>
    <cellStyle name="_Book1 (version 5) 11" xfId="5221" xr:uid="{00000000-0005-0000-0000-0000800E0000}"/>
    <cellStyle name="_Book1 (version 5) 12" xfId="5212" xr:uid="{00000000-0005-0000-0000-0000810E0000}"/>
    <cellStyle name="_Book1 (version 5) 13" xfId="4665" xr:uid="{00000000-0005-0000-0000-0000820E0000}"/>
    <cellStyle name="_Book1 (version 5) 14" xfId="4484" xr:uid="{00000000-0005-0000-0000-0000830E0000}"/>
    <cellStyle name="_Book1 (version 5) 15" xfId="5134" xr:uid="{00000000-0005-0000-0000-0000840E0000}"/>
    <cellStyle name="_Book1 (version 5) 16" xfId="4800" xr:uid="{00000000-0005-0000-0000-0000850E0000}"/>
    <cellStyle name="_Book1 (version 5) 17" xfId="5358" xr:uid="{00000000-0005-0000-0000-0000860E0000}"/>
    <cellStyle name="_Book1 (version 5) 18" xfId="5267" xr:uid="{00000000-0005-0000-0000-0000870E0000}"/>
    <cellStyle name="_Book1 (version 5) 19" xfId="5107" xr:uid="{00000000-0005-0000-0000-0000880E0000}"/>
    <cellStyle name="_Book1 (version 5) 2" xfId="3157" xr:uid="{00000000-0005-0000-0000-0000890E0000}"/>
    <cellStyle name="_Book1 (version 5) 20" xfId="5996" xr:uid="{00000000-0005-0000-0000-00008A0E0000}"/>
    <cellStyle name="_Book1 (version 5) 21" xfId="5849" xr:uid="{00000000-0005-0000-0000-00008B0E0000}"/>
    <cellStyle name="_Book1 (version 5) 22" xfId="4581" xr:uid="{00000000-0005-0000-0000-00008C0E0000}"/>
    <cellStyle name="_Book1 (version 5) 23" xfId="4828" xr:uid="{00000000-0005-0000-0000-00008D0E0000}"/>
    <cellStyle name="_Book1 (version 5) 24" xfId="5285" xr:uid="{00000000-0005-0000-0000-00008E0E0000}"/>
    <cellStyle name="_Book1 (version 5) 25" xfId="4874" xr:uid="{00000000-0005-0000-0000-00008F0E0000}"/>
    <cellStyle name="_Book1 (version 5) 26" xfId="4527" xr:uid="{00000000-0005-0000-0000-0000900E0000}"/>
    <cellStyle name="_Book1 (version 5) 27" xfId="4617" xr:uid="{00000000-0005-0000-0000-0000910E0000}"/>
    <cellStyle name="_Book1 (version 5) 28" xfId="6335" xr:uid="{00000000-0005-0000-0000-0000920E0000}"/>
    <cellStyle name="_Book1 (version 5) 29" xfId="6668" xr:uid="{00000000-0005-0000-0000-0000930E0000}"/>
    <cellStyle name="_Book1 (version 5) 3" xfId="3426" xr:uid="{00000000-0005-0000-0000-0000940E0000}"/>
    <cellStyle name="_Book1 (version 5) 30" xfId="6813" xr:uid="{00000000-0005-0000-0000-0000950E0000}"/>
    <cellStyle name="_Book1 (version 5) 31" xfId="6909" xr:uid="{00000000-0005-0000-0000-0000960E0000}"/>
    <cellStyle name="_Book1 (version 5) 32" xfId="7802" xr:uid="{00000000-0005-0000-0000-0000970E0000}"/>
    <cellStyle name="_Book1 (version 5) 33" xfId="8547" xr:uid="{00000000-0005-0000-0000-0000980E0000}"/>
    <cellStyle name="_Book1 (version 5) 34" xfId="8551" xr:uid="{00000000-0005-0000-0000-0000990E0000}"/>
    <cellStyle name="_Book1 (version 5) 35" xfId="8358" xr:uid="{00000000-0005-0000-0000-00009A0E0000}"/>
    <cellStyle name="_Book1 (version 5) 36" xfId="8123" xr:uid="{00000000-0005-0000-0000-00009B0E0000}"/>
    <cellStyle name="_Book1 (version 5) 37" xfId="7840" xr:uid="{00000000-0005-0000-0000-00009C0E0000}"/>
    <cellStyle name="_Book1 (version 5) 38" xfId="8116" xr:uid="{00000000-0005-0000-0000-00009D0E0000}"/>
    <cellStyle name="_Book1 (version 5) 39" xfId="9591" xr:uid="{00000000-0005-0000-0000-00009E0E0000}"/>
    <cellStyle name="_Book1 (version 5) 4" xfId="3574" xr:uid="{00000000-0005-0000-0000-00009F0E0000}"/>
    <cellStyle name="_Book1 (version 5) 40" xfId="12046" xr:uid="{00000000-0005-0000-0000-0000A00E0000}"/>
    <cellStyle name="_Book1 (version 5) 41" xfId="12047" xr:uid="{00000000-0005-0000-0000-0000A10E0000}"/>
    <cellStyle name="_Book1 (version 5) 42" xfId="12048" xr:uid="{00000000-0005-0000-0000-0000A20E0000}"/>
    <cellStyle name="_Book1 (version 5) 43" xfId="20805" xr:uid="{00000000-0005-0000-0000-0000A30E0000}"/>
    <cellStyle name="_Book1 (version 5) 5" xfId="3612" xr:uid="{00000000-0005-0000-0000-0000A40E0000}"/>
    <cellStyle name="_Book1 (version 5) 6" xfId="3724" xr:uid="{00000000-0005-0000-0000-0000A50E0000}"/>
    <cellStyle name="_Book1 (version 5) 7" xfId="3791" xr:uid="{00000000-0005-0000-0000-0000A60E0000}"/>
    <cellStyle name="_Book1 (version 5) 8" xfId="3914" xr:uid="{00000000-0005-0000-0000-0000A70E0000}"/>
    <cellStyle name="_Book1 (version 5) 9" xfId="4044" xr:uid="{00000000-0005-0000-0000-0000A80E0000}"/>
    <cellStyle name="_Book1_1" xfId="227" xr:uid="{00000000-0005-0000-0000-0000A90E0000}"/>
    <cellStyle name="_Book1_1 2" xfId="3158" xr:uid="{00000000-0005-0000-0000-0000AA0E0000}"/>
    <cellStyle name="_Book1_BC-QT-WB-dthao" xfId="228" xr:uid="{00000000-0005-0000-0000-0000AB0E0000}"/>
    <cellStyle name="_BS(122008)" xfId="230" xr:uid="{00000000-0005-0000-0000-0000AC0E0000}"/>
    <cellStyle name="_BS(122008) 10" xfId="3011" xr:uid="{00000000-0005-0000-0000-0000AD0E0000}"/>
    <cellStyle name="_BS(122008) 2" xfId="231" xr:uid="{00000000-0005-0000-0000-0000AE0E0000}"/>
    <cellStyle name="_BS(122008) 3" xfId="232" xr:uid="{00000000-0005-0000-0000-0000AF0E0000}"/>
    <cellStyle name="_BS(122008) 4" xfId="233" xr:uid="{00000000-0005-0000-0000-0000B00E0000}"/>
    <cellStyle name="_BS(122008) 5" xfId="2321" xr:uid="{00000000-0005-0000-0000-0000B10E0000}"/>
    <cellStyle name="_BS(122008) 6" xfId="2908" xr:uid="{00000000-0005-0000-0000-0000B20E0000}"/>
    <cellStyle name="_BS(122008) 7" xfId="2295" xr:uid="{00000000-0005-0000-0000-0000B30E0000}"/>
    <cellStyle name="_BS(122008) 8" xfId="2942" xr:uid="{00000000-0005-0000-0000-0000B40E0000}"/>
    <cellStyle name="_BS(122008) 9" xfId="2300" xr:uid="{00000000-0005-0000-0000-0000B50E0000}"/>
    <cellStyle name="_BS(122008)_BS_HQ" xfId="234" xr:uid="{00000000-0005-0000-0000-0000B60E0000}"/>
    <cellStyle name="_BS(122008)_Cost of products (1551-2)" xfId="235" xr:uid="{00000000-0005-0000-0000-0000B70E0000}"/>
    <cellStyle name="_BS(122008)_IS-HQ" xfId="236" xr:uid="{00000000-0005-0000-0000-0000B80E0000}"/>
    <cellStyle name="_BS(122008)_PO-HQ" xfId="237" xr:uid="{00000000-0005-0000-0000-0000B90E0000}"/>
    <cellStyle name="_BS(122008)_Sheet2" xfId="238" xr:uid="{00000000-0005-0000-0000-0000BA0E0000}"/>
    <cellStyle name="_Checking" xfId="239" xr:uid="{00000000-0005-0000-0000-0000BB0E0000}"/>
    <cellStyle name="_Checking 2" xfId="3159" xr:uid="{00000000-0005-0000-0000-0000BC0E0000}"/>
    <cellStyle name="_COGS" xfId="240" xr:uid="{00000000-0005-0000-0000-0000BD0E0000}"/>
    <cellStyle name="_CONVERT MONEY" xfId="241" xr:uid="{00000000-0005-0000-0000-0000BE0E0000}"/>
    <cellStyle name="_CONVERT MONEY 2" xfId="3160" xr:uid="{00000000-0005-0000-0000-0000BF0E0000}"/>
    <cellStyle name="_CONVERT MONEY_EVALUATION_EX_311208" xfId="242" xr:uid="{00000000-0005-0000-0000-0000C00E0000}"/>
    <cellStyle name="_CONVERT MONEY_EVALUATION_EX_311208 2" xfId="3161" xr:uid="{00000000-0005-0000-0000-0000C10E0000}"/>
    <cellStyle name="_Copy of 154 - Production Cost_31052009 Nhu" xfId="243" xr:uid="{00000000-0005-0000-0000-0000C20E0000}"/>
    <cellStyle name="_Copy of 154 - Production Cost_31052009 Nhu 2" xfId="3162" xr:uid="{00000000-0005-0000-0000-0000C30E0000}"/>
    <cellStyle name="_COST ALLOCATION (IEL  DAMCO) APR 2008 THH (2)" xfId="244" xr:uid="{00000000-0005-0000-0000-0000C40E0000}"/>
    <cellStyle name="_COST ALLOCATION (IEL  DAMCO) APR 2008 THH (2) 2" xfId="245" xr:uid="{00000000-0005-0000-0000-0000C50E0000}"/>
    <cellStyle name="_COST ALLOCATION (IEL  DAMCO) APR 2008 THH (2) 3" xfId="246" xr:uid="{00000000-0005-0000-0000-0000C60E0000}"/>
    <cellStyle name="_COST ALLOCATION (IEL  DAMCO) APR 2008 THH (2) 4" xfId="247" xr:uid="{00000000-0005-0000-0000-0000C70E0000}"/>
    <cellStyle name="_COST ALLOCATION (IEL  DAMCO) APR 2008 THH (2)_138 - OtherReceivableAccount_30112009" xfId="248" xr:uid="{00000000-0005-0000-0000-0000C80E0000}"/>
    <cellStyle name="_COST ALLOCATION (IEL  DAMCO) APR 2008 THH (2)_138 - OtherReceivableAccount_30112009_138 - OtherReceivableAccount_28022010" xfId="249" xr:uid="{00000000-0005-0000-0000-0000C90E0000}"/>
    <cellStyle name="_COST ALLOCATION (IEL  DAMCO) APR 2008 THH (2)_138 - OtherReceivableAccount_30112009_138 - OtherReceivableAccount_31012010" xfId="250" xr:uid="{00000000-0005-0000-0000-0000CA0E0000}"/>
    <cellStyle name="_COST ALLOCATION (IEL  DAMCO) APR 2008 THH (2)_138 - OtherReceivableAccount_30112009_138 - OtherReceivableAccount_31122009" xfId="251" xr:uid="{00000000-0005-0000-0000-0000CB0E0000}"/>
    <cellStyle name="_COST ALLOCATION (IEL  DAMCO) APR 2008 THH (2)_138 - OtherReceivableAccount_30112009_EVALUATION_EX_311208" xfId="252" xr:uid="{00000000-0005-0000-0000-0000CC0E0000}"/>
    <cellStyle name="_COST ALLOCATION (IEL  DAMCO) APR 2008 THH (2)_138 - OtherReceivableAccount_30112009_YTDHST " xfId="253" xr:uid="{00000000-0005-0000-0000-0000CD0E0000}"/>
    <cellStyle name="_COST ALLOCATION (IEL  DAMCO) APR 2008 THH (2)_138 - OtherReceivableAccount_31102009" xfId="254" xr:uid="{00000000-0005-0000-0000-0000CE0E0000}"/>
    <cellStyle name="_COST ALLOCATION (IEL  DAMCO) APR 2008 THH (2)_138 - OtherReceivableAccount_31102009_138 - OtherReceivableAccount_28022010" xfId="255" xr:uid="{00000000-0005-0000-0000-0000CF0E0000}"/>
    <cellStyle name="_COST ALLOCATION (IEL  DAMCO) APR 2008 THH (2)_138 - OtherReceivableAccount_31102009_138 - OtherReceivableAccount_31012010" xfId="256" xr:uid="{00000000-0005-0000-0000-0000D00E0000}"/>
    <cellStyle name="_COST ALLOCATION (IEL  DAMCO) APR 2008 THH (2)_138 - OtherReceivableAccount_31102009_138 - OtherReceivableAccount_31122009" xfId="257" xr:uid="{00000000-0005-0000-0000-0000D10E0000}"/>
    <cellStyle name="_COST ALLOCATION (IEL  DAMCO) APR 2008 THH (2)_138 - OtherReceivableAccount_31102009_EVALUATION_EX_311208" xfId="258" xr:uid="{00000000-0005-0000-0000-0000D20E0000}"/>
    <cellStyle name="_COST ALLOCATION (IEL  DAMCO) APR 2008 THH (2)_138 - OtherReceivableAccount_31102009_YTDHST " xfId="259" xr:uid="{00000000-0005-0000-0000-0000D30E0000}"/>
    <cellStyle name="_COST ALLOCATION (IEL  DAMCO) APR 2008 THH (2)_511 - RevenueAccount_28022010" xfId="260" xr:uid="{00000000-0005-0000-0000-0000D40E0000}"/>
    <cellStyle name="_COST ALLOCATION (IEL  DAMCO) APR 2008 THH (2)_511 - RevenueAccount_30042010" xfId="261" xr:uid="{00000000-0005-0000-0000-0000D50E0000}"/>
    <cellStyle name="_COST ALLOCATION (IEL  DAMCO) APR 2008 THH (2)_511 - RevenueAccount_30092010" xfId="262" xr:uid="{00000000-0005-0000-0000-0000D60E0000}"/>
    <cellStyle name="_COST ALLOCATION (IEL  DAMCO) APR 2008 THH (2)_511 - RevenueAccount_31012010" xfId="263" xr:uid="{00000000-0005-0000-0000-0000D70E0000}"/>
    <cellStyle name="_COST ALLOCATION (IEL  DAMCO) APR 2008 THH (2)_511 - RevenueAccount_31032010" xfId="264" xr:uid="{00000000-0005-0000-0000-0000D80E0000}"/>
    <cellStyle name="_COST ALLOCATION (IEL  DAMCO) APR 2008 THH (2)_511 - RevenueAccount_31072010" xfId="265" xr:uid="{00000000-0005-0000-0000-0000D90E0000}"/>
    <cellStyle name="_COST ALLOCATION (IEL  DAMCO) APR 2008 THH (2)_Acrrued" xfId="266" xr:uid="{00000000-0005-0000-0000-0000DA0E0000}"/>
    <cellStyle name="_COST ALLOCATION (IEL  DAMCO) APR 2008 THH (2)_Acrrued01" xfId="267" xr:uid="{00000000-0005-0000-0000-0000DB0E0000}"/>
    <cellStyle name="_COST ALLOCATION (IEL  DAMCO) APR 2008 THH (2)_Book1 (version 5)" xfId="268" xr:uid="{00000000-0005-0000-0000-0000DC0E0000}"/>
    <cellStyle name="_COST ALLOCATION (IEL  DAMCO) APR 2008 THH (2)_BOULWARE" xfId="269" xr:uid="{00000000-0005-0000-0000-0000DD0E0000}"/>
    <cellStyle name="_COST ALLOCATION (IEL  DAMCO) APR 2008 THH (2)_BOULWARE 2" xfId="2334" xr:uid="{00000000-0005-0000-0000-0000DE0E0000}"/>
    <cellStyle name="_COST ALLOCATION (IEL  DAMCO) APR 2008 THH (2)_BOULWARE 3" xfId="2894" xr:uid="{00000000-0005-0000-0000-0000DF0E0000}"/>
    <cellStyle name="_COST ALLOCATION (IEL  DAMCO) APR 2008 THH (2)_BOULWARE 4" xfId="2296" xr:uid="{00000000-0005-0000-0000-0000E00E0000}"/>
    <cellStyle name="_COST ALLOCATION (IEL  DAMCO) APR 2008 THH (2)_BOULWARE 5" xfId="2938" xr:uid="{00000000-0005-0000-0000-0000E10E0000}"/>
    <cellStyle name="_COST ALLOCATION (IEL  DAMCO) APR 2008 THH (2)_BOULWARE 6" xfId="2306" xr:uid="{00000000-0005-0000-0000-0000E20E0000}"/>
    <cellStyle name="_COST ALLOCATION (IEL  DAMCO) APR 2008 THH (2)_BOULWARE 7" xfId="3010" xr:uid="{00000000-0005-0000-0000-0000E30E0000}"/>
    <cellStyle name="_COST ALLOCATION (IEL  DAMCO) APR 2008 THH (2)_BS_HQ" xfId="270" xr:uid="{00000000-0005-0000-0000-0000E40E0000}"/>
    <cellStyle name="_COST ALLOCATION (IEL  DAMCO) APR 2008 THH (2)_Detail-02" xfId="271" xr:uid="{00000000-0005-0000-0000-0000E50E0000}"/>
    <cellStyle name="_COST ALLOCATION (IEL  DAMCO) APR 2008 THH (2)_DEtial-02" xfId="272" xr:uid="{00000000-0005-0000-0000-0000E60E0000}"/>
    <cellStyle name="_COST ALLOCATION (IEL  DAMCO) APR 2008 THH (2)_DEtial-02 2" xfId="2336" xr:uid="{00000000-0005-0000-0000-0000E70E0000}"/>
    <cellStyle name="_COST ALLOCATION (IEL  DAMCO) APR 2008 THH (2)_DEtial-02 3" xfId="2893" xr:uid="{00000000-0005-0000-0000-0000E80E0000}"/>
    <cellStyle name="_COST ALLOCATION (IEL  DAMCO) APR 2008 THH (2)_DEtial-02 4" xfId="2297" xr:uid="{00000000-0005-0000-0000-0000E90E0000}"/>
    <cellStyle name="_COST ALLOCATION (IEL  DAMCO) APR 2008 THH (2)_DEtial-02 5" xfId="2935" xr:uid="{00000000-0005-0000-0000-0000EA0E0000}"/>
    <cellStyle name="_COST ALLOCATION (IEL  DAMCO) APR 2008 THH (2)_DEtial-02 6" xfId="2308" xr:uid="{00000000-0005-0000-0000-0000EB0E0000}"/>
    <cellStyle name="_COST ALLOCATION (IEL  DAMCO) APR 2008 THH (2)_DEtial-02 7" xfId="3009" xr:uid="{00000000-0005-0000-0000-0000EC0E0000}"/>
    <cellStyle name="_COST ALLOCATION (IEL  DAMCO) APR 2008 THH (2)_DEtial-02_IS-HQ" xfId="273" xr:uid="{00000000-0005-0000-0000-0000ED0E0000}"/>
    <cellStyle name="_COST ALLOCATION (IEL  DAMCO) APR 2008 THH (2)_DEtial-02_IS-HQ 2" xfId="2337" xr:uid="{00000000-0005-0000-0000-0000EE0E0000}"/>
    <cellStyle name="_COST ALLOCATION (IEL  DAMCO) APR 2008 THH (2)_DEtial-02_IS-HQ 3" xfId="2892" xr:uid="{00000000-0005-0000-0000-0000EF0E0000}"/>
    <cellStyle name="_COST ALLOCATION (IEL  DAMCO) APR 2008 THH (2)_DEtial-02_IS-HQ 4" xfId="2298" xr:uid="{00000000-0005-0000-0000-0000F00E0000}"/>
    <cellStyle name="_COST ALLOCATION (IEL  DAMCO) APR 2008 THH (2)_DEtial-02_IS-HQ 5" xfId="2934" xr:uid="{00000000-0005-0000-0000-0000F10E0000}"/>
    <cellStyle name="_COST ALLOCATION (IEL  DAMCO) APR 2008 THH (2)_DEtial-02_IS-HQ 6" xfId="2309" xr:uid="{00000000-0005-0000-0000-0000F20E0000}"/>
    <cellStyle name="_COST ALLOCATION (IEL  DAMCO) APR 2008 THH (2)_DEtial-02_IS-HQ 7" xfId="3008" xr:uid="{00000000-0005-0000-0000-0000F30E0000}"/>
    <cellStyle name="_COST ALLOCATION (IEL  DAMCO) APR 2008 THH (2)_DEtial-02_PO-HQ" xfId="274" xr:uid="{00000000-0005-0000-0000-0000F40E0000}"/>
    <cellStyle name="_COST ALLOCATION (IEL  DAMCO) APR 2008 THH (2)_DEtial-02_PO-HQ_1" xfId="275" xr:uid="{00000000-0005-0000-0000-0000F50E0000}"/>
    <cellStyle name="_COST ALLOCATION (IEL  DAMCO) APR 2008 THH (2)_DEtial-02_PO-HQ_1 2" xfId="2338" xr:uid="{00000000-0005-0000-0000-0000F60E0000}"/>
    <cellStyle name="_COST ALLOCATION (IEL  DAMCO) APR 2008 THH (2)_DEtial-02_PO-HQ_1 3" xfId="2891" xr:uid="{00000000-0005-0000-0000-0000F70E0000}"/>
    <cellStyle name="_COST ALLOCATION (IEL  DAMCO) APR 2008 THH (2)_DEtial-02_PO-HQ_1 4" xfId="2299" xr:uid="{00000000-0005-0000-0000-0000F80E0000}"/>
    <cellStyle name="_COST ALLOCATION (IEL  DAMCO) APR 2008 THH (2)_DEtial-02_PO-HQ_1 5" xfId="2933" xr:uid="{00000000-0005-0000-0000-0000F90E0000}"/>
    <cellStyle name="_COST ALLOCATION (IEL  DAMCO) APR 2008 THH (2)_DEtial-02_PO-HQ_1 6" xfId="2313" xr:uid="{00000000-0005-0000-0000-0000FA0E0000}"/>
    <cellStyle name="_COST ALLOCATION (IEL  DAMCO) APR 2008 THH (2)_DEtial-02_PO-HQ_1 7" xfId="3007" xr:uid="{00000000-0005-0000-0000-0000FB0E0000}"/>
    <cellStyle name="_COST ALLOCATION (IEL  DAMCO) APR 2008 THH (2)_DEtial-02_TB" xfId="276" xr:uid="{00000000-0005-0000-0000-0000FC0E0000}"/>
    <cellStyle name="_COST ALLOCATION (IEL  DAMCO) APR 2008 THH (2)_EVALUATION_EX_311208" xfId="277" xr:uid="{00000000-0005-0000-0000-0000FD0E0000}"/>
    <cellStyle name="_COST ALLOCATION (IEL  DAMCO) APR 2008 THH (2)_EVALUATION_EX_311208_EVALUATION_EX_311208" xfId="278" xr:uid="{00000000-0005-0000-0000-0000FE0E0000}"/>
    <cellStyle name="_COST ALLOCATION (IEL  DAMCO) APR 2008 THH (2)_IS-HQ" xfId="279" xr:uid="{00000000-0005-0000-0000-0000FF0E0000}"/>
    <cellStyle name="_COST ALLOCATION (IEL  DAMCO) APR 2008 THH (2)_IS-HQ_1" xfId="280" xr:uid="{00000000-0005-0000-0000-0000000F0000}"/>
    <cellStyle name="_COST ALLOCATION (IEL  DAMCO) APR 2008 THH (2)_IS-HQ_1_PO-HQ" xfId="281" xr:uid="{00000000-0005-0000-0000-0000010F0000}"/>
    <cellStyle name="_COST ALLOCATION (IEL  DAMCO) APR 2008 THH (2)_IS-HQ_2" xfId="282" xr:uid="{00000000-0005-0000-0000-0000020F0000}"/>
    <cellStyle name="_COST ALLOCATION (IEL  DAMCO) APR 2008 THH (2)_IS-HQ_2 2" xfId="2340" xr:uid="{00000000-0005-0000-0000-0000030F0000}"/>
    <cellStyle name="_COST ALLOCATION (IEL  DAMCO) APR 2008 THH (2)_IS-HQ_2 3" xfId="2918" xr:uid="{00000000-0005-0000-0000-0000040F0000}"/>
    <cellStyle name="_COST ALLOCATION (IEL  DAMCO) APR 2008 THH (2)_IS-HQ_2 4" xfId="2290" xr:uid="{00000000-0005-0000-0000-0000050F0000}"/>
    <cellStyle name="_COST ALLOCATION (IEL  DAMCO) APR 2008 THH (2)_IS-HQ_2 5" xfId="2957" xr:uid="{00000000-0005-0000-0000-0000060F0000}"/>
    <cellStyle name="_COST ALLOCATION (IEL  DAMCO) APR 2008 THH (2)_IS-HQ_2 6" xfId="2315" xr:uid="{00000000-0005-0000-0000-0000070F0000}"/>
    <cellStyle name="_COST ALLOCATION (IEL  DAMCO) APR 2008 THH (2)_IS-HQ_2 7" xfId="3016" xr:uid="{00000000-0005-0000-0000-0000080F0000}"/>
    <cellStyle name="_COST ALLOCATION (IEL  DAMCO) APR 2008 THH (2)_PO-HQ" xfId="283" xr:uid="{00000000-0005-0000-0000-0000090F0000}"/>
    <cellStyle name="_COST ALLOCATION (IEL  DAMCO) APR 2008 THH (2)_PO-HQ_1" xfId="284" xr:uid="{00000000-0005-0000-0000-00000A0F0000}"/>
    <cellStyle name="_COST ALLOCATION (IEL  DAMCO) APR 2008 THH (2)_PO-HQ_1_PO-HQ" xfId="285" xr:uid="{00000000-0005-0000-0000-00000B0F0000}"/>
    <cellStyle name="_COST ALLOCATION (IEL  DAMCO) APR 2008 THH (2)_PO-HQ_2" xfId="286" xr:uid="{00000000-0005-0000-0000-00000C0F0000}"/>
    <cellStyle name="_COST ALLOCATION (IEL  DAMCO) APR 2008 THH (2)_PO-HQ_2 2" xfId="2341" xr:uid="{00000000-0005-0000-0000-00000D0F0000}"/>
    <cellStyle name="_COST ALLOCATION (IEL  DAMCO) APR 2008 THH (2)_PO-HQ_2 3" xfId="2890" xr:uid="{00000000-0005-0000-0000-00000E0F0000}"/>
    <cellStyle name="_COST ALLOCATION (IEL  DAMCO) APR 2008 THH (2)_PO-HQ_2 4" xfId="2291" xr:uid="{00000000-0005-0000-0000-00000F0F0000}"/>
    <cellStyle name="_COST ALLOCATION (IEL  DAMCO) APR 2008 THH (2)_PO-HQ_2 5" xfId="2955" xr:uid="{00000000-0005-0000-0000-0000100F0000}"/>
    <cellStyle name="_COST ALLOCATION (IEL  DAMCO) APR 2008 THH (2)_PO-HQ_2 6" xfId="2316" xr:uid="{00000000-0005-0000-0000-0000110F0000}"/>
    <cellStyle name="_COST ALLOCATION (IEL  DAMCO) APR 2008 THH (2)_PO-HQ_2 7" xfId="3015" xr:uid="{00000000-0005-0000-0000-0000120F0000}"/>
    <cellStyle name="_COST ALLOCATION (IEL  DAMCO) APR 2008 THH (2)_ReceiptList" xfId="287" xr:uid="{00000000-0005-0000-0000-0000130F0000}"/>
    <cellStyle name="_COST ALLOCATION (IEL  DAMCO) APR 2008 THH (2)_ReceiptList 2" xfId="2342" xr:uid="{00000000-0005-0000-0000-0000140F0000}"/>
    <cellStyle name="_COST ALLOCATION (IEL  DAMCO) APR 2008 THH (2)_ReceiptList 3" xfId="2917" xr:uid="{00000000-0005-0000-0000-0000150F0000}"/>
    <cellStyle name="_COST ALLOCATION (IEL  DAMCO) APR 2008 THH (2)_ReceiptList 4" xfId="2301" xr:uid="{00000000-0005-0000-0000-0000160F0000}"/>
    <cellStyle name="_COST ALLOCATION (IEL  DAMCO) APR 2008 THH (2)_ReceiptList 5" xfId="2931" xr:uid="{00000000-0005-0000-0000-0000170F0000}"/>
    <cellStyle name="_COST ALLOCATION (IEL  DAMCO) APR 2008 THH (2)_ReceiptList 6" xfId="2317" xr:uid="{00000000-0005-0000-0000-0000180F0000}"/>
    <cellStyle name="_COST ALLOCATION (IEL  DAMCO) APR 2008 THH (2)_ReceiptList 7" xfId="3006" xr:uid="{00000000-0005-0000-0000-0000190F0000}"/>
    <cellStyle name="_COST ALLOCATION (IEL  DAMCO) APR 2008 THH (2)_Sales Book 082008" xfId="288" xr:uid="{00000000-0005-0000-0000-00001A0F0000}"/>
    <cellStyle name="_COST ALLOCATION (IEL  DAMCO) APR 2008 THH (2)_Sales Book 082008 2" xfId="2343" xr:uid="{00000000-0005-0000-0000-00001B0F0000}"/>
    <cellStyle name="_COST ALLOCATION (IEL  DAMCO) APR 2008 THH (2)_Sales Book 082008 3" xfId="2916" xr:uid="{00000000-0005-0000-0000-00001C0F0000}"/>
    <cellStyle name="_COST ALLOCATION (IEL  DAMCO) APR 2008 THH (2)_Sales Book 082008 4" xfId="2292" xr:uid="{00000000-0005-0000-0000-00001D0F0000}"/>
    <cellStyle name="_COST ALLOCATION (IEL  DAMCO) APR 2008 THH (2)_Sales Book 082008 5" xfId="2954" xr:uid="{00000000-0005-0000-0000-00001E0F0000}"/>
    <cellStyle name="_COST ALLOCATION (IEL  DAMCO) APR 2008 THH (2)_Sales Book 082008 6" xfId="2319" xr:uid="{00000000-0005-0000-0000-00001F0F0000}"/>
    <cellStyle name="_COST ALLOCATION (IEL  DAMCO) APR 2008 THH (2)_Sales Book 082008 7" xfId="3014" xr:uid="{00000000-0005-0000-0000-0000200F0000}"/>
    <cellStyle name="_COST ALLOCATION (IEL  DAMCO) APR 2008 THH (2)_Sheet1" xfId="289" xr:uid="{00000000-0005-0000-0000-0000210F0000}"/>
    <cellStyle name="_COST ALLOCATION (IEL  DAMCO) APR 2008 THH (2)_Sheet2" xfId="290" xr:uid="{00000000-0005-0000-0000-0000220F0000}"/>
    <cellStyle name="_COST ALLOCATION (IEL  DAMCO) APR 2008 THH (2)_Sheet3" xfId="291" xr:uid="{00000000-0005-0000-0000-0000230F0000}"/>
    <cellStyle name="_COST ALLOCATION (IEL  DAMCO) APR 2008 THH (2)_Sheet3 2" xfId="2346" xr:uid="{00000000-0005-0000-0000-0000240F0000}"/>
    <cellStyle name="_COST ALLOCATION (IEL  DAMCO) APR 2008 THH (2)_Sheet3 3" xfId="2915" xr:uid="{00000000-0005-0000-0000-0000250F0000}"/>
    <cellStyle name="_COST ALLOCATION (IEL  DAMCO) APR 2008 THH (2)_Sheet3 4" xfId="2293" xr:uid="{00000000-0005-0000-0000-0000260F0000}"/>
    <cellStyle name="_COST ALLOCATION (IEL  DAMCO) APR 2008 THH (2)_Sheet3 5" xfId="2953" xr:uid="{00000000-0005-0000-0000-0000270F0000}"/>
    <cellStyle name="_COST ALLOCATION (IEL  DAMCO) APR 2008 THH (2)_Sheet3 6" xfId="2320" xr:uid="{00000000-0005-0000-0000-0000280F0000}"/>
    <cellStyle name="_COST ALLOCATION (IEL  DAMCO) APR 2008 THH (2)_Sheet3 7" xfId="3013" xr:uid="{00000000-0005-0000-0000-0000290F0000}"/>
    <cellStyle name="_COST ALLOCATION (IEL  DAMCO) APR 2008 THH (2)_TB" xfId="292" xr:uid="{00000000-0005-0000-0000-00002A0F0000}"/>
    <cellStyle name="_COST ALLOCATION (IEL  DAMCO) DEC 2007 THH" xfId="293" xr:uid="{00000000-0005-0000-0000-00002B0F0000}"/>
    <cellStyle name="_COST ALLOCATION (IEL  DAMCO) DEC 2007 THH 2" xfId="294" xr:uid="{00000000-0005-0000-0000-00002C0F0000}"/>
    <cellStyle name="_COST ALLOCATION (IEL  DAMCO) DEC 2007 THH 3" xfId="295" xr:uid="{00000000-0005-0000-0000-00002D0F0000}"/>
    <cellStyle name="_COST ALLOCATION (IEL  DAMCO) DEC 2007 THH 4" xfId="296" xr:uid="{00000000-0005-0000-0000-00002E0F0000}"/>
    <cellStyle name="_COST ALLOCATION (IEL  DAMCO) DEC 2007 THH_138 - OtherReceivableAccount_30112009" xfId="297" xr:uid="{00000000-0005-0000-0000-00002F0F0000}"/>
    <cellStyle name="_COST ALLOCATION (IEL  DAMCO) DEC 2007 THH_138 - OtherReceivableAccount_30112009_138 - OtherReceivableAccount_28022010" xfId="298" xr:uid="{00000000-0005-0000-0000-0000300F0000}"/>
    <cellStyle name="_COST ALLOCATION (IEL  DAMCO) DEC 2007 THH_138 - OtherReceivableAccount_30112009_138 - OtherReceivableAccount_31012010" xfId="299" xr:uid="{00000000-0005-0000-0000-0000310F0000}"/>
    <cellStyle name="_COST ALLOCATION (IEL  DAMCO) DEC 2007 THH_138 - OtherReceivableAccount_30112009_138 - OtherReceivableAccount_31122009" xfId="300" xr:uid="{00000000-0005-0000-0000-0000320F0000}"/>
    <cellStyle name="_COST ALLOCATION (IEL  DAMCO) DEC 2007 THH_138 - OtherReceivableAccount_30112009_EVALUATION_EX_311208" xfId="301" xr:uid="{00000000-0005-0000-0000-0000330F0000}"/>
    <cellStyle name="_COST ALLOCATION (IEL  DAMCO) DEC 2007 THH_138 - OtherReceivableAccount_30112009_YTDHST " xfId="302" xr:uid="{00000000-0005-0000-0000-0000340F0000}"/>
    <cellStyle name="_COST ALLOCATION (IEL  DAMCO) DEC 2007 THH_138 - OtherReceivableAccount_31102009" xfId="303" xr:uid="{00000000-0005-0000-0000-0000350F0000}"/>
    <cellStyle name="_COST ALLOCATION (IEL  DAMCO) DEC 2007 THH_138 - OtherReceivableAccount_31102009_138 - OtherReceivableAccount_28022010" xfId="304" xr:uid="{00000000-0005-0000-0000-0000360F0000}"/>
    <cellStyle name="_COST ALLOCATION (IEL  DAMCO) DEC 2007 THH_138 - OtherReceivableAccount_31102009_138 - OtherReceivableAccount_31012010" xfId="305" xr:uid="{00000000-0005-0000-0000-0000370F0000}"/>
    <cellStyle name="_COST ALLOCATION (IEL  DAMCO) DEC 2007 THH_138 - OtherReceivableAccount_31102009_138 - OtherReceivableAccount_31122009" xfId="306" xr:uid="{00000000-0005-0000-0000-0000380F0000}"/>
    <cellStyle name="_COST ALLOCATION (IEL  DAMCO) DEC 2007 THH_138 - OtherReceivableAccount_31102009_EVALUATION_EX_311208" xfId="307" xr:uid="{00000000-0005-0000-0000-0000390F0000}"/>
    <cellStyle name="_COST ALLOCATION (IEL  DAMCO) DEC 2007 THH_138 - OtherReceivableAccount_31102009_YTDHST " xfId="308" xr:uid="{00000000-0005-0000-0000-00003A0F0000}"/>
    <cellStyle name="_COST ALLOCATION (IEL  DAMCO) DEC 2007 THH_511 - RevenueAccount_28022010" xfId="309" xr:uid="{00000000-0005-0000-0000-00003B0F0000}"/>
    <cellStyle name="_COST ALLOCATION (IEL  DAMCO) DEC 2007 THH_511 - RevenueAccount_30042010" xfId="310" xr:uid="{00000000-0005-0000-0000-00003C0F0000}"/>
    <cellStyle name="_COST ALLOCATION (IEL  DAMCO) DEC 2007 THH_511 - RevenueAccount_30092010" xfId="311" xr:uid="{00000000-0005-0000-0000-00003D0F0000}"/>
    <cellStyle name="_COST ALLOCATION (IEL  DAMCO) DEC 2007 THH_511 - RevenueAccount_31012010" xfId="312" xr:uid="{00000000-0005-0000-0000-00003E0F0000}"/>
    <cellStyle name="_COST ALLOCATION (IEL  DAMCO) DEC 2007 THH_511 - RevenueAccount_31032010" xfId="313" xr:uid="{00000000-0005-0000-0000-00003F0F0000}"/>
    <cellStyle name="_COST ALLOCATION (IEL  DAMCO) DEC 2007 THH_511 - RevenueAccount_31072010" xfId="314" xr:uid="{00000000-0005-0000-0000-0000400F0000}"/>
    <cellStyle name="_COST ALLOCATION (IEL  DAMCO) DEC 2007 THH_Acrrued" xfId="315" xr:uid="{00000000-0005-0000-0000-0000410F0000}"/>
    <cellStyle name="_COST ALLOCATION (IEL  DAMCO) DEC 2007 THH_Acrrued01" xfId="316" xr:uid="{00000000-0005-0000-0000-0000420F0000}"/>
    <cellStyle name="_COST ALLOCATION (IEL  DAMCO) DEC 2007 THH_Book1 (version 5)" xfId="317" xr:uid="{00000000-0005-0000-0000-0000430F0000}"/>
    <cellStyle name="_COST ALLOCATION (IEL  DAMCO) DEC 2007 THH_BOULWARE" xfId="318" xr:uid="{00000000-0005-0000-0000-0000440F0000}"/>
    <cellStyle name="_COST ALLOCATION (IEL  DAMCO) DEC 2007 THH_BOULWARE 2" xfId="2357" xr:uid="{00000000-0005-0000-0000-0000450F0000}"/>
    <cellStyle name="_COST ALLOCATION (IEL  DAMCO) DEC 2007 THH_BOULWARE 3" xfId="2881" xr:uid="{00000000-0005-0000-0000-0000460F0000}"/>
    <cellStyle name="_COST ALLOCATION (IEL  DAMCO) DEC 2007 THH_BOULWARE 4" xfId="2302" xr:uid="{00000000-0005-0000-0000-0000470F0000}"/>
    <cellStyle name="_COST ALLOCATION (IEL  DAMCO) DEC 2007 THH_BOULWARE 5" xfId="2930" xr:uid="{00000000-0005-0000-0000-0000480F0000}"/>
    <cellStyle name="_COST ALLOCATION (IEL  DAMCO) DEC 2007 THH_BOULWARE 6" xfId="2331" xr:uid="{00000000-0005-0000-0000-0000490F0000}"/>
    <cellStyle name="_COST ALLOCATION (IEL  DAMCO) DEC 2007 THH_BOULWARE 7" xfId="3005" xr:uid="{00000000-0005-0000-0000-00004A0F0000}"/>
    <cellStyle name="_COST ALLOCATION (IEL  DAMCO) DEC 2007 THH_BS_HQ" xfId="319" xr:uid="{00000000-0005-0000-0000-00004B0F0000}"/>
    <cellStyle name="_COST ALLOCATION (IEL  DAMCO) DEC 2007 THH_Detail-02" xfId="320" xr:uid="{00000000-0005-0000-0000-00004C0F0000}"/>
    <cellStyle name="_COST ALLOCATION (IEL  DAMCO) DEC 2007 THH_DEtial-02" xfId="321" xr:uid="{00000000-0005-0000-0000-00004D0F0000}"/>
    <cellStyle name="_COST ALLOCATION (IEL  DAMCO) DEC 2007 THH_DEtial-02 2" xfId="2359" xr:uid="{00000000-0005-0000-0000-00004E0F0000}"/>
    <cellStyle name="_COST ALLOCATION (IEL  DAMCO) DEC 2007 THH_DEtial-02 3" xfId="2879" xr:uid="{00000000-0005-0000-0000-00004F0F0000}"/>
    <cellStyle name="_COST ALLOCATION (IEL  DAMCO) DEC 2007 THH_DEtial-02 4" xfId="2303" xr:uid="{00000000-0005-0000-0000-0000500F0000}"/>
    <cellStyle name="_COST ALLOCATION (IEL  DAMCO) DEC 2007 THH_DEtial-02 5" xfId="2929" xr:uid="{00000000-0005-0000-0000-0000510F0000}"/>
    <cellStyle name="_COST ALLOCATION (IEL  DAMCO) DEC 2007 THH_DEtial-02 6" xfId="2332" xr:uid="{00000000-0005-0000-0000-0000520F0000}"/>
    <cellStyle name="_COST ALLOCATION (IEL  DAMCO) DEC 2007 THH_DEtial-02 7" xfId="3004" xr:uid="{00000000-0005-0000-0000-0000530F0000}"/>
    <cellStyle name="_COST ALLOCATION (IEL  DAMCO) DEC 2007 THH_DEtial-02_IS-HQ" xfId="322" xr:uid="{00000000-0005-0000-0000-0000540F0000}"/>
    <cellStyle name="_COST ALLOCATION (IEL  DAMCO) DEC 2007 THH_DEtial-02_IS-HQ 2" xfId="2360" xr:uid="{00000000-0005-0000-0000-0000550F0000}"/>
    <cellStyle name="_COST ALLOCATION (IEL  DAMCO) DEC 2007 THH_DEtial-02_IS-HQ 3" xfId="2878" xr:uid="{00000000-0005-0000-0000-0000560F0000}"/>
    <cellStyle name="_COST ALLOCATION (IEL  DAMCO) DEC 2007 THH_DEtial-02_IS-HQ 4" xfId="2304" xr:uid="{00000000-0005-0000-0000-0000570F0000}"/>
    <cellStyle name="_COST ALLOCATION (IEL  DAMCO) DEC 2007 THH_DEtial-02_IS-HQ 5" xfId="2928" xr:uid="{00000000-0005-0000-0000-0000580F0000}"/>
    <cellStyle name="_COST ALLOCATION (IEL  DAMCO) DEC 2007 THH_DEtial-02_IS-HQ 6" xfId="2333" xr:uid="{00000000-0005-0000-0000-0000590F0000}"/>
    <cellStyle name="_COST ALLOCATION (IEL  DAMCO) DEC 2007 THH_DEtial-02_IS-HQ 7" xfId="3003" xr:uid="{00000000-0005-0000-0000-00005A0F0000}"/>
    <cellStyle name="_COST ALLOCATION (IEL  DAMCO) DEC 2007 THH_DEtial-02_PO-HQ" xfId="323" xr:uid="{00000000-0005-0000-0000-00005B0F0000}"/>
    <cellStyle name="_COST ALLOCATION (IEL  DAMCO) DEC 2007 THH_DEtial-02_PO-HQ_1" xfId="324" xr:uid="{00000000-0005-0000-0000-00005C0F0000}"/>
    <cellStyle name="_COST ALLOCATION (IEL  DAMCO) DEC 2007 THH_DEtial-02_PO-HQ_1 2" xfId="2361" xr:uid="{00000000-0005-0000-0000-00005D0F0000}"/>
    <cellStyle name="_COST ALLOCATION (IEL  DAMCO) DEC 2007 THH_DEtial-02_PO-HQ_1 3" xfId="2877" xr:uid="{00000000-0005-0000-0000-00005E0F0000}"/>
    <cellStyle name="_COST ALLOCATION (IEL  DAMCO) DEC 2007 THH_DEtial-02_PO-HQ_1 4" xfId="2305" xr:uid="{00000000-0005-0000-0000-00005F0F0000}"/>
    <cellStyle name="_COST ALLOCATION (IEL  DAMCO) DEC 2007 THH_DEtial-02_PO-HQ_1 5" xfId="2927" xr:uid="{00000000-0005-0000-0000-0000600F0000}"/>
    <cellStyle name="_COST ALLOCATION (IEL  DAMCO) DEC 2007 THH_DEtial-02_PO-HQ_1 6" xfId="2335" xr:uid="{00000000-0005-0000-0000-0000610F0000}"/>
    <cellStyle name="_COST ALLOCATION (IEL  DAMCO) DEC 2007 THH_DEtial-02_PO-HQ_1 7" xfId="3002" xr:uid="{00000000-0005-0000-0000-0000620F0000}"/>
    <cellStyle name="_COST ALLOCATION (IEL  DAMCO) DEC 2007 THH_DEtial-02_TB" xfId="325" xr:uid="{00000000-0005-0000-0000-0000630F0000}"/>
    <cellStyle name="_COST ALLOCATION (IEL  DAMCO) DEC 2007 THH_EVALUATION_EX_311208" xfId="326" xr:uid="{00000000-0005-0000-0000-0000640F0000}"/>
    <cellStyle name="_COST ALLOCATION (IEL  DAMCO) DEC 2007 THH_EVALUATION_EX_311208_EVALUATION_EX_311208" xfId="327" xr:uid="{00000000-0005-0000-0000-0000650F0000}"/>
    <cellStyle name="_COST ALLOCATION (IEL  DAMCO) DEC 2007 THH_IS-HQ" xfId="328" xr:uid="{00000000-0005-0000-0000-0000660F0000}"/>
    <cellStyle name="_COST ALLOCATION (IEL  DAMCO) DEC 2007 THH_IS-HQ_1" xfId="329" xr:uid="{00000000-0005-0000-0000-0000670F0000}"/>
    <cellStyle name="_COST ALLOCATION (IEL  DAMCO) DEC 2007 THH_IS-HQ_1_PO-HQ" xfId="330" xr:uid="{00000000-0005-0000-0000-0000680F0000}"/>
    <cellStyle name="_COST ALLOCATION (IEL  DAMCO) DEC 2007 THH_IS-HQ_2" xfId="331" xr:uid="{00000000-0005-0000-0000-0000690F0000}"/>
    <cellStyle name="_COST ALLOCATION (IEL  DAMCO) DEC 2007 THH_IS-HQ_2 2" xfId="2362" xr:uid="{00000000-0005-0000-0000-00006A0F0000}"/>
    <cellStyle name="_COST ALLOCATION (IEL  DAMCO) DEC 2007 THH_IS-HQ_2 3" xfId="2871" xr:uid="{00000000-0005-0000-0000-00006B0F0000}"/>
    <cellStyle name="_COST ALLOCATION (IEL  DAMCO) DEC 2007 THH_IS-HQ_2 4" xfId="2307" xr:uid="{00000000-0005-0000-0000-00006C0F0000}"/>
    <cellStyle name="_COST ALLOCATION (IEL  DAMCO) DEC 2007 THH_IS-HQ_2 5" xfId="2926" xr:uid="{00000000-0005-0000-0000-00006D0F0000}"/>
    <cellStyle name="_COST ALLOCATION (IEL  DAMCO) DEC 2007 THH_IS-HQ_2 6" xfId="2339" xr:uid="{00000000-0005-0000-0000-00006E0F0000}"/>
    <cellStyle name="_COST ALLOCATION (IEL  DAMCO) DEC 2007 THH_IS-HQ_2 7" xfId="3001" xr:uid="{00000000-0005-0000-0000-00006F0F0000}"/>
    <cellStyle name="_COST ALLOCATION (IEL  DAMCO) DEC 2007 THH_PO-HQ" xfId="332" xr:uid="{00000000-0005-0000-0000-0000700F0000}"/>
    <cellStyle name="_COST ALLOCATION (IEL  DAMCO) DEC 2007 THH_PO-HQ_1" xfId="333" xr:uid="{00000000-0005-0000-0000-0000710F0000}"/>
    <cellStyle name="_COST ALLOCATION (IEL  DAMCO) DEC 2007 THH_PO-HQ_1_PO-HQ" xfId="334" xr:uid="{00000000-0005-0000-0000-0000720F0000}"/>
    <cellStyle name="_COST ALLOCATION (IEL  DAMCO) DEC 2007 THH_PO-HQ_2" xfId="335" xr:uid="{00000000-0005-0000-0000-0000730F0000}"/>
    <cellStyle name="_COST ALLOCATION (IEL  DAMCO) DEC 2007 THH_PO-HQ_2 2" xfId="2363" xr:uid="{00000000-0005-0000-0000-0000740F0000}"/>
    <cellStyle name="_COST ALLOCATION (IEL  DAMCO) DEC 2007 THH_PO-HQ_2 3" xfId="2870" xr:uid="{00000000-0005-0000-0000-0000750F0000}"/>
    <cellStyle name="_COST ALLOCATION (IEL  DAMCO) DEC 2007 THH_PO-HQ_2 4" xfId="2310" xr:uid="{00000000-0005-0000-0000-0000760F0000}"/>
    <cellStyle name="_COST ALLOCATION (IEL  DAMCO) DEC 2007 THH_PO-HQ_2 5" xfId="2921" xr:uid="{00000000-0005-0000-0000-0000770F0000}"/>
    <cellStyle name="_COST ALLOCATION (IEL  DAMCO) DEC 2007 THH_PO-HQ_2 6" xfId="2344" xr:uid="{00000000-0005-0000-0000-0000780F0000}"/>
    <cellStyle name="_COST ALLOCATION (IEL  DAMCO) DEC 2007 THH_PO-HQ_2 7" xfId="2998" xr:uid="{00000000-0005-0000-0000-0000790F0000}"/>
    <cellStyle name="_COST ALLOCATION (IEL  DAMCO) DEC 2007 THH_ReceiptList" xfId="336" xr:uid="{00000000-0005-0000-0000-00007A0F0000}"/>
    <cellStyle name="_COST ALLOCATION (IEL  DAMCO) DEC 2007 THH_ReceiptList 2" xfId="2364" xr:uid="{00000000-0005-0000-0000-00007B0F0000}"/>
    <cellStyle name="_COST ALLOCATION (IEL  DAMCO) DEC 2007 THH_ReceiptList 3" xfId="2869" xr:uid="{00000000-0005-0000-0000-00007C0F0000}"/>
    <cellStyle name="_COST ALLOCATION (IEL  DAMCO) DEC 2007 THH_ReceiptList 4" xfId="2311" xr:uid="{00000000-0005-0000-0000-00007D0F0000}"/>
    <cellStyle name="_COST ALLOCATION (IEL  DAMCO) DEC 2007 THH_ReceiptList 5" xfId="2920" xr:uid="{00000000-0005-0000-0000-00007E0F0000}"/>
    <cellStyle name="_COST ALLOCATION (IEL  DAMCO) DEC 2007 THH_ReceiptList 6" xfId="2345" xr:uid="{00000000-0005-0000-0000-00007F0F0000}"/>
    <cellStyle name="_COST ALLOCATION (IEL  DAMCO) DEC 2007 THH_ReceiptList 7" xfId="2997" xr:uid="{00000000-0005-0000-0000-0000800F0000}"/>
    <cellStyle name="_COST ALLOCATION (IEL  DAMCO) DEC 2007 THH_Sales Book 082008" xfId="337" xr:uid="{00000000-0005-0000-0000-0000810F0000}"/>
    <cellStyle name="_COST ALLOCATION (IEL  DAMCO) DEC 2007 THH_Sales Book 082008 2" xfId="2365" xr:uid="{00000000-0005-0000-0000-0000820F0000}"/>
    <cellStyle name="_COST ALLOCATION (IEL  DAMCO) DEC 2007 THH_Sales Book 082008 3" xfId="2868" xr:uid="{00000000-0005-0000-0000-0000830F0000}"/>
    <cellStyle name="_COST ALLOCATION (IEL  DAMCO) DEC 2007 THH_Sales Book 082008 4" xfId="2312" xr:uid="{00000000-0005-0000-0000-0000840F0000}"/>
    <cellStyle name="_COST ALLOCATION (IEL  DAMCO) DEC 2007 THH_Sales Book 082008 5" xfId="2919" xr:uid="{00000000-0005-0000-0000-0000850F0000}"/>
    <cellStyle name="_COST ALLOCATION (IEL  DAMCO) DEC 2007 THH_Sales Book 082008 6" xfId="2347" xr:uid="{00000000-0005-0000-0000-0000860F0000}"/>
    <cellStyle name="_COST ALLOCATION (IEL  DAMCO) DEC 2007 THH_Sales Book 082008 7" xfId="2996" xr:uid="{00000000-0005-0000-0000-0000870F0000}"/>
    <cellStyle name="_COST ALLOCATION (IEL  DAMCO) DEC 2007 THH_Sheet1" xfId="338" xr:uid="{00000000-0005-0000-0000-0000880F0000}"/>
    <cellStyle name="_COST ALLOCATION (IEL  DAMCO) DEC 2007 THH_Sheet2" xfId="339" xr:uid="{00000000-0005-0000-0000-0000890F0000}"/>
    <cellStyle name="_COST ALLOCATION (IEL  DAMCO) DEC 2007 THH_Sheet3" xfId="340" xr:uid="{00000000-0005-0000-0000-00008A0F0000}"/>
    <cellStyle name="_COST ALLOCATION (IEL  DAMCO) DEC 2007 THH_Sheet3 2" xfId="2366" xr:uid="{00000000-0005-0000-0000-00008B0F0000}"/>
    <cellStyle name="_COST ALLOCATION (IEL  DAMCO) DEC 2007 THH_Sheet3 3" xfId="2867" xr:uid="{00000000-0005-0000-0000-00008C0F0000}"/>
    <cellStyle name="_COST ALLOCATION (IEL  DAMCO) DEC 2007 THH_Sheet3 4" xfId="2314" xr:uid="{00000000-0005-0000-0000-00008D0F0000}"/>
    <cellStyle name="_COST ALLOCATION (IEL  DAMCO) DEC 2007 THH_Sheet3 5" xfId="2914" xr:uid="{00000000-0005-0000-0000-00008E0F0000}"/>
    <cellStyle name="_COST ALLOCATION (IEL  DAMCO) DEC 2007 THH_Sheet3 6" xfId="2348" xr:uid="{00000000-0005-0000-0000-00008F0F0000}"/>
    <cellStyle name="_COST ALLOCATION (IEL  DAMCO) DEC 2007 THH_Sheet3 7" xfId="2995" xr:uid="{00000000-0005-0000-0000-0000900F0000}"/>
    <cellStyle name="_COST ALLOCATION (IEL  DAMCO) DEC 2007 THH_TB" xfId="341" xr:uid="{00000000-0005-0000-0000-0000910F0000}"/>
    <cellStyle name="_COST ALLOCATION (IEL  DAMCO) FEB 2008 THH" xfId="342" xr:uid="{00000000-0005-0000-0000-0000920F0000}"/>
    <cellStyle name="_COST ALLOCATION (IEL  DAMCO) FEB 2008 THH 2" xfId="343" xr:uid="{00000000-0005-0000-0000-0000930F0000}"/>
    <cellStyle name="_COST ALLOCATION (IEL  DAMCO) FEB 2008 THH 3" xfId="344" xr:uid="{00000000-0005-0000-0000-0000940F0000}"/>
    <cellStyle name="_COST ALLOCATION (IEL  DAMCO) FEB 2008 THH 4" xfId="345" xr:uid="{00000000-0005-0000-0000-0000950F0000}"/>
    <cellStyle name="_COST ALLOCATION (IEL  DAMCO) FEB 2008 THH_138 - OtherReceivableAccount_30112009" xfId="346" xr:uid="{00000000-0005-0000-0000-0000960F0000}"/>
    <cellStyle name="_COST ALLOCATION (IEL  DAMCO) FEB 2008 THH_138 - OtherReceivableAccount_30112009_138 - OtherReceivableAccount_28022010" xfId="347" xr:uid="{00000000-0005-0000-0000-0000970F0000}"/>
    <cellStyle name="_COST ALLOCATION (IEL  DAMCO) FEB 2008 THH_138 - OtherReceivableAccount_30112009_138 - OtherReceivableAccount_31012010" xfId="348" xr:uid="{00000000-0005-0000-0000-0000980F0000}"/>
    <cellStyle name="_COST ALLOCATION (IEL  DAMCO) FEB 2008 THH_138 - OtherReceivableAccount_30112009_138 - OtherReceivableAccount_31122009" xfId="349" xr:uid="{00000000-0005-0000-0000-0000990F0000}"/>
    <cellStyle name="_COST ALLOCATION (IEL  DAMCO) FEB 2008 THH_138 - OtherReceivableAccount_30112009_EVALUATION_EX_311208" xfId="350" xr:uid="{00000000-0005-0000-0000-00009A0F0000}"/>
    <cellStyle name="_COST ALLOCATION (IEL  DAMCO) FEB 2008 THH_138 - OtherReceivableAccount_30112009_YTDHST " xfId="351" xr:uid="{00000000-0005-0000-0000-00009B0F0000}"/>
    <cellStyle name="_COST ALLOCATION (IEL  DAMCO) FEB 2008 THH_138 - OtherReceivableAccount_31102009" xfId="352" xr:uid="{00000000-0005-0000-0000-00009C0F0000}"/>
    <cellStyle name="_COST ALLOCATION (IEL  DAMCO) FEB 2008 THH_138 - OtherReceivableAccount_31102009_138 - OtherReceivableAccount_28022010" xfId="353" xr:uid="{00000000-0005-0000-0000-00009D0F0000}"/>
    <cellStyle name="_COST ALLOCATION (IEL  DAMCO) FEB 2008 THH_138 - OtherReceivableAccount_31102009_138 - OtherReceivableAccount_31012010" xfId="354" xr:uid="{00000000-0005-0000-0000-00009E0F0000}"/>
    <cellStyle name="_COST ALLOCATION (IEL  DAMCO) FEB 2008 THH_138 - OtherReceivableAccount_31102009_138 - OtherReceivableAccount_31122009" xfId="355" xr:uid="{00000000-0005-0000-0000-00009F0F0000}"/>
    <cellStyle name="_COST ALLOCATION (IEL  DAMCO) FEB 2008 THH_138 - OtherReceivableAccount_31102009_EVALUATION_EX_311208" xfId="356" xr:uid="{00000000-0005-0000-0000-0000A00F0000}"/>
    <cellStyle name="_COST ALLOCATION (IEL  DAMCO) FEB 2008 THH_138 - OtherReceivableAccount_31102009_YTDHST " xfId="357" xr:uid="{00000000-0005-0000-0000-0000A10F0000}"/>
    <cellStyle name="_COST ALLOCATION (IEL  DAMCO) FEB 2008 THH_511 - RevenueAccount_28022010" xfId="358" xr:uid="{00000000-0005-0000-0000-0000A20F0000}"/>
    <cellStyle name="_COST ALLOCATION (IEL  DAMCO) FEB 2008 THH_511 - RevenueAccount_30042010" xfId="359" xr:uid="{00000000-0005-0000-0000-0000A30F0000}"/>
    <cellStyle name="_COST ALLOCATION (IEL  DAMCO) FEB 2008 THH_511 - RevenueAccount_30092010" xfId="360" xr:uid="{00000000-0005-0000-0000-0000A40F0000}"/>
    <cellStyle name="_COST ALLOCATION (IEL  DAMCO) FEB 2008 THH_511 - RevenueAccount_31012010" xfId="361" xr:uid="{00000000-0005-0000-0000-0000A50F0000}"/>
    <cellStyle name="_COST ALLOCATION (IEL  DAMCO) FEB 2008 THH_511 - RevenueAccount_31032010" xfId="362" xr:uid="{00000000-0005-0000-0000-0000A60F0000}"/>
    <cellStyle name="_COST ALLOCATION (IEL  DAMCO) FEB 2008 THH_511 - RevenueAccount_31072010" xfId="363" xr:uid="{00000000-0005-0000-0000-0000A70F0000}"/>
    <cellStyle name="_COST ALLOCATION (IEL  DAMCO) FEB 2008 THH_Acrrued" xfId="364" xr:uid="{00000000-0005-0000-0000-0000A80F0000}"/>
    <cellStyle name="_COST ALLOCATION (IEL  DAMCO) FEB 2008 THH_Acrrued01" xfId="365" xr:uid="{00000000-0005-0000-0000-0000A90F0000}"/>
    <cellStyle name="_COST ALLOCATION (IEL  DAMCO) FEB 2008 THH_Book1 (version 5)" xfId="366" xr:uid="{00000000-0005-0000-0000-0000AA0F0000}"/>
    <cellStyle name="_COST ALLOCATION (IEL  DAMCO) FEB 2008 THH_BOULWARE" xfId="367" xr:uid="{00000000-0005-0000-0000-0000AB0F0000}"/>
    <cellStyle name="_COST ALLOCATION (IEL  DAMCO) FEB 2008 THH_BOULWARE 2" xfId="2379" xr:uid="{00000000-0005-0000-0000-0000AC0F0000}"/>
    <cellStyle name="_COST ALLOCATION (IEL  DAMCO) FEB 2008 THH_BOULWARE 3" xfId="2852" xr:uid="{00000000-0005-0000-0000-0000AD0F0000}"/>
    <cellStyle name="_COST ALLOCATION (IEL  DAMCO) FEB 2008 THH_BOULWARE 4" xfId="2322" xr:uid="{00000000-0005-0000-0000-0000AE0F0000}"/>
    <cellStyle name="_COST ALLOCATION (IEL  DAMCO) FEB 2008 THH_BOULWARE 5" xfId="2905" xr:uid="{00000000-0005-0000-0000-0000AF0F0000}"/>
    <cellStyle name="_COST ALLOCATION (IEL  DAMCO) FEB 2008 THH_BOULWARE 6" xfId="2367" xr:uid="{00000000-0005-0000-0000-0000B00F0000}"/>
    <cellStyle name="_COST ALLOCATION (IEL  DAMCO) FEB 2008 THH_BOULWARE 7" xfId="2994" xr:uid="{00000000-0005-0000-0000-0000B10F0000}"/>
    <cellStyle name="_COST ALLOCATION (IEL  DAMCO) FEB 2008 THH_BS_HQ" xfId="368" xr:uid="{00000000-0005-0000-0000-0000B20F0000}"/>
    <cellStyle name="_COST ALLOCATION (IEL  DAMCO) FEB 2008 THH_Detail-02" xfId="369" xr:uid="{00000000-0005-0000-0000-0000B30F0000}"/>
    <cellStyle name="_COST ALLOCATION (IEL  DAMCO) FEB 2008 THH_DEtial-02" xfId="370" xr:uid="{00000000-0005-0000-0000-0000B40F0000}"/>
    <cellStyle name="_COST ALLOCATION (IEL  DAMCO) FEB 2008 THH_DEtial-02 2" xfId="2381" xr:uid="{00000000-0005-0000-0000-0000B50F0000}"/>
    <cellStyle name="_COST ALLOCATION (IEL  DAMCO) FEB 2008 THH_DEtial-02 3" xfId="2851" xr:uid="{00000000-0005-0000-0000-0000B60F0000}"/>
    <cellStyle name="_COST ALLOCATION (IEL  DAMCO) FEB 2008 THH_DEtial-02 4" xfId="2323" xr:uid="{00000000-0005-0000-0000-0000B70F0000}"/>
    <cellStyle name="_COST ALLOCATION (IEL  DAMCO) FEB 2008 THH_DEtial-02 5" xfId="2904" xr:uid="{00000000-0005-0000-0000-0000B80F0000}"/>
    <cellStyle name="_COST ALLOCATION (IEL  DAMCO) FEB 2008 THH_DEtial-02 6" xfId="2368" xr:uid="{00000000-0005-0000-0000-0000B90F0000}"/>
    <cellStyle name="_COST ALLOCATION (IEL  DAMCO) FEB 2008 THH_DEtial-02 7" xfId="2993" xr:uid="{00000000-0005-0000-0000-0000BA0F0000}"/>
    <cellStyle name="_COST ALLOCATION (IEL  DAMCO) FEB 2008 THH_DEtial-02_IS-HQ" xfId="371" xr:uid="{00000000-0005-0000-0000-0000BB0F0000}"/>
    <cellStyle name="_COST ALLOCATION (IEL  DAMCO) FEB 2008 THH_DEtial-02_IS-HQ 2" xfId="2382" xr:uid="{00000000-0005-0000-0000-0000BC0F0000}"/>
    <cellStyle name="_COST ALLOCATION (IEL  DAMCO) FEB 2008 THH_DEtial-02_IS-HQ 3" xfId="2850" xr:uid="{00000000-0005-0000-0000-0000BD0F0000}"/>
    <cellStyle name="_COST ALLOCATION (IEL  DAMCO) FEB 2008 THH_DEtial-02_IS-HQ 4" xfId="2324" xr:uid="{00000000-0005-0000-0000-0000BE0F0000}"/>
    <cellStyle name="_COST ALLOCATION (IEL  DAMCO) FEB 2008 THH_DEtial-02_IS-HQ 5" xfId="2903" xr:uid="{00000000-0005-0000-0000-0000BF0F0000}"/>
    <cellStyle name="_COST ALLOCATION (IEL  DAMCO) FEB 2008 THH_DEtial-02_IS-HQ 6" xfId="2369" xr:uid="{00000000-0005-0000-0000-0000C00F0000}"/>
    <cellStyle name="_COST ALLOCATION (IEL  DAMCO) FEB 2008 THH_DEtial-02_IS-HQ 7" xfId="2992" xr:uid="{00000000-0005-0000-0000-0000C10F0000}"/>
    <cellStyle name="_COST ALLOCATION (IEL  DAMCO) FEB 2008 THH_DEtial-02_PO-HQ" xfId="372" xr:uid="{00000000-0005-0000-0000-0000C20F0000}"/>
    <cellStyle name="_COST ALLOCATION (IEL  DAMCO) FEB 2008 THH_DEtial-02_PO-HQ_1" xfId="373" xr:uid="{00000000-0005-0000-0000-0000C30F0000}"/>
    <cellStyle name="_COST ALLOCATION (IEL  DAMCO) FEB 2008 THH_DEtial-02_PO-HQ_1 2" xfId="2384" xr:uid="{00000000-0005-0000-0000-0000C40F0000}"/>
    <cellStyle name="_COST ALLOCATION (IEL  DAMCO) FEB 2008 THH_DEtial-02_PO-HQ_1 3" xfId="2849" xr:uid="{00000000-0005-0000-0000-0000C50F0000}"/>
    <cellStyle name="_COST ALLOCATION (IEL  DAMCO) FEB 2008 THH_DEtial-02_PO-HQ_1 4" xfId="2325" xr:uid="{00000000-0005-0000-0000-0000C60F0000}"/>
    <cellStyle name="_COST ALLOCATION (IEL  DAMCO) FEB 2008 THH_DEtial-02_PO-HQ_1 5" xfId="2756" xr:uid="{00000000-0005-0000-0000-0000C70F0000}"/>
    <cellStyle name="_COST ALLOCATION (IEL  DAMCO) FEB 2008 THH_DEtial-02_PO-HQ_1 6" xfId="2370" xr:uid="{00000000-0005-0000-0000-0000C80F0000}"/>
    <cellStyle name="_COST ALLOCATION (IEL  DAMCO) FEB 2008 THH_DEtial-02_PO-HQ_1 7" xfId="2991" xr:uid="{00000000-0005-0000-0000-0000C90F0000}"/>
    <cellStyle name="_COST ALLOCATION (IEL  DAMCO) FEB 2008 THH_DEtial-02_TB" xfId="374" xr:uid="{00000000-0005-0000-0000-0000CA0F0000}"/>
    <cellStyle name="_COST ALLOCATION (IEL  DAMCO) FEB 2008 THH_EVALUATION_EX_311208" xfId="375" xr:uid="{00000000-0005-0000-0000-0000CB0F0000}"/>
    <cellStyle name="_COST ALLOCATION (IEL  DAMCO) FEB 2008 THH_EVALUATION_EX_311208_EVALUATION_EX_311208" xfId="376" xr:uid="{00000000-0005-0000-0000-0000CC0F0000}"/>
    <cellStyle name="_COST ALLOCATION (IEL  DAMCO) FEB 2008 THH_IS-HQ" xfId="377" xr:uid="{00000000-0005-0000-0000-0000CD0F0000}"/>
    <cellStyle name="_COST ALLOCATION (IEL  DAMCO) FEB 2008 THH_IS-HQ_1" xfId="378" xr:uid="{00000000-0005-0000-0000-0000CE0F0000}"/>
    <cellStyle name="_COST ALLOCATION (IEL  DAMCO) FEB 2008 THH_IS-HQ_1_PO-HQ" xfId="379" xr:uid="{00000000-0005-0000-0000-0000CF0F0000}"/>
    <cellStyle name="_COST ALLOCATION (IEL  DAMCO) FEB 2008 THH_IS-HQ_2" xfId="380" xr:uid="{00000000-0005-0000-0000-0000D00F0000}"/>
    <cellStyle name="_COST ALLOCATION (IEL  DAMCO) FEB 2008 THH_IS-HQ_2 2" xfId="2388" xr:uid="{00000000-0005-0000-0000-0000D10F0000}"/>
    <cellStyle name="_COST ALLOCATION (IEL  DAMCO) FEB 2008 THH_IS-HQ_2 3" xfId="2844" xr:uid="{00000000-0005-0000-0000-0000D20F0000}"/>
    <cellStyle name="_COST ALLOCATION (IEL  DAMCO) FEB 2008 THH_IS-HQ_2 4" xfId="2326" xr:uid="{00000000-0005-0000-0000-0000D30F0000}"/>
    <cellStyle name="_COST ALLOCATION (IEL  DAMCO) FEB 2008 THH_IS-HQ_2 5" xfId="2900" xr:uid="{00000000-0005-0000-0000-0000D40F0000}"/>
    <cellStyle name="_COST ALLOCATION (IEL  DAMCO) FEB 2008 THH_IS-HQ_2 6" xfId="2372" xr:uid="{00000000-0005-0000-0000-0000D50F0000}"/>
    <cellStyle name="_COST ALLOCATION (IEL  DAMCO) FEB 2008 THH_IS-HQ_2 7" xfId="2990" xr:uid="{00000000-0005-0000-0000-0000D60F0000}"/>
    <cellStyle name="_COST ALLOCATION (IEL  DAMCO) FEB 2008 THH_PO-HQ" xfId="381" xr:uid="{00000000-0005-0000-0000-0000D70F0000}"/>
    <cellStyle name="_COST ALLOCATION (IEL  DAMCO) FEB 2008 THH_PO-HQ_1" xfId="382" xr:uid="{00000000-0005-0000-0000-0000D80F0000}"/>
    <cellStyle name="_COST ALLOCATION (IEL  DAMCO) FEB 2008 THH_PO-HQ_1_PO-HQ" xfId="383" xr:uid="{00000000-0005-0000-0000-0000D90F0000}"/>
    <cellStyle name="_COST ALLOCATION (IEL  DAMCO) FEB 2008 THH_PO-HQ_2" xfId="384" xr:uid="{00000000-0005-0000-0000-0000DA0F0000}"/>
    <cellStyle name="_COST ALLOCATION (IEL  DAMCO) FEB 2008 THH_PO-HQ_2 2" xfId="2390" xr:uid="{00000000-0005-0000-0000-0000DB0F0000}"/>
    <cellStyle name="_COST ALLOCATION (IEL  DAMCO) FEB 2008 THH_PO-HQ_2 3" xfId="2842" xr:uid="{00000000-0005-0000-0000-0000DC0F0000}"/>
    <cellStyle name="_COST ALLOCATION (IEL  DAMCO) FEB 2008 THH_PO-HQ_2 4" xfId="2327" xr:uid="{00000000-0005-0000-0000-0000DD0F0000}"/>
    <cellStyle name="_COST ALLOCATION (IEL  DAMCO) FEB 2008 THH_PO-HQ_2 5" xfId="2898" xr:uid="{00000000-0005-0000-0000-0000DE0F0000}"/>
    <cellStyle name="_COST ALLOCATION (IEL  DAMCO) FEB 2008 THH_PO-HQ_2 6" xfId="2376" xr:uid="{00000000-0005-0000-0000-0000DF0F0000}"/>
    <cellStyle name="_COST ALLOCATION (IEL  DAMCO) FEB 2008 THH_PO-HQ_2 7" xfId="2989" xr:uid="{00000000-0005-0000-0000-0000E00F0000}"/>
    <cellStyle name="_COST ALLOCATION (IEL  DAMCO) FEB 2008 THH_ReceiptList" xfId="385" xr:uid="{00000000-0005-0000-0000-0000E10F0000}"/>
    <cellStyle name="_COST ALLOCATION (IEL  DAMCO) FEB 2008 THH_ReceiptList 2" xfId="2391" xr:uid="{00000000-0005-0000-0000-0000E20F0000}"/>
    <cellStyle name="_COST ALLOCATION (IEL  DAMCO) FEB 2008 THH_ReceiptList 3" xfId="2841" xr:uid="{00000000-0005-0000-0000-0000E30F0000}"/>
    <cellStyle name="_COST ALLOCATION (IEL  DAMCO) FEB 2008 THH_ReceiptList 4" xfId="2328" xr:uid="{00000000-0005-0000-0000-0000E40F0000}"/>
    <cellStyle name="_COST ALLOCATION (IEL  DAMCO) FEB 2008 THH_ReceiptList 5" xfId="2897" xr:uid="{00000000-0005-0000-0000-0000E50F0000}"/>
    <cellStyle name="_COST ALLOCATION (IEL  DAMCO) FEB 2008 THH_ReceiptList 6" xfId="2377" xr:uid="{00000000-0005-0000-0000-0000E60F0000}"/>
    <cellStyle name="_COST ALLOCATION (IEL  DAMCO) FEB 2008 THH_ReceiptList 7" xfId="2988" xr:uid="{00000000-0005-0000-0000-0000E70F0000}"/>
    <cellStyle name="_COST ALLOCATION (IEL  DAMCO) FEB 2008 THH_Sales Book 082008" xfId="386" xr:uid="{00000000-0005-0000-0000-0000E80F0000}"/>
    <cellStyle name="_COST ALLOCATION (IEL  DAMCO) FEB 2008 THH_Sales Book 082008 2" xfId="2392" xr:uid="{00000000-0005-0000-0000-0000E90F0000}"/>
    <cellStyle name="_COST ALLOCATION (IEL  DAMCO) FEB 2008 THH_Sales Book 082008 3" xfId="2840" xr:uid="{00000000-0005-0000-0000-0000EA0F0000}"/>
    <cellStyle name="_COST ALLOCATION (IEL  DAMCO) FEB 2008 THH_Sales Book 082008 4" xfId="2329" xr:uid="{00000000-0005-0000-0000-0000EB0F0000}"/>
    <cellStyle name="_COST ALLOCATION (IEL  DAMCO) FEB 2008 THH_Sales Book 082008 5" xfId="2896" xr:uid="{00000000-0005-0000-0000-0000EC0F0000}"/>
    <cellStyle name="_COST ALLOCATION (IEL  DAMCO) FEB 2008 THH_Sales Book 082008 6" xfId="2378" xr:uid="{00000000-0005-0000-0000-0000ED0F0000}"/>
    <cellStyle name="_COST ALLOCATION (IEL  DAMCO) FEB 2008 THH_Sales Book 082008 7" xfId="2987" xr:uid="{00000000-0005-0000-0000-0000EE0F0000}"/>
    <cellStyle name="_COST ALLOCATION (IEL  DAMCO) FEB 2008 THH_Sheet1" xfId="387" xr:uid="{00000000-0005-0000-0000-0000EF0F0000}"/>
    <cellStyle name="_COST ALLOCATION (IEL  DAMCO) FEB 2008 THH_Sheet2" xfId="388" xr:uid="{00000000-0005-0000-0000-0000F00F0000}"/>
    <cellStyle name="_COST ALLOCATION (IEL  DAMCO) FEB 2008 THH_Sheet3" xfId="389" xr:uid="{00000000-0005-0000-0000-0000F10F0000}"/>
    <cellStyle name="_COST ALLOCATION (IEL  DAMCO) FEB 2008 THH_Sheet3 2" xfId="2393" xr:uid="{00000000-0005-0000-0000-0000F20F0000}"/>
    <cellStyle name="_COST ALLOCATION (IEL  DAMCO) FEB 2008 THH_Sheet3 3" xfId="2838" xr:uid="{00000000-0005-0000-0000-0000F30F0000}"/>
    <cellStyle name="_COST ALLOCATION (IEL  DAMCO) FEB 2008 THH_Sheet3 4" xfId="2330" xr:uid="{00000000-0005-0000-0000-0000F40F0000}"/>
    <cellStyle name="_COST ALLOCATION (IEL  DAMCO) FEB 2008 THH_Sheet3 5" xfId="2895" xr:uid="{00000000-0005-0000-0000-0000F50F0000}"/>
    <cellStyle name="_COST ALLOCATION (IEL  DAMCO) FEB 2008 THH_Sheet3 6" xfId="2383" xr:uid="{00000000-0005-0000-0000-0000F60F0000}"/>
    <cellStyle name="_COST ALLOCATION (IEL  DAMCO) FEB 2008 THH_Sheet3 7" xfId="2986" xr:uid="{00000000-0005-0000-0000-0000F70F0000}"/>
    <cellStyle name="_COST ALLOCATION (IEL  DAMCO) FEB 2008 THH_TB" xfId="390" xr:uid="{00000000-0005-0000-0000-0000F80F0000}"/>
    <cellStyle name="_COST ALLOCATION (IEL  DAMCO) JAN 2008 THH" xfId="391" xr:uid="{00000000-0005-0000-0000-0000F90F0000}"/>
    <cellStyle name="_COST ALLOCATION (IEL  DAMCO) JAN 2008 THH 2" xfId="392" xr:uid="{00000000-0005-0000-0000-0000FA0F0000}"/>
    <cellStyle name="_COST ALLOCATION (IEL  DAMCO) JAN 2008 THH 3" xfId="393" xr:uid="{00000000-0005-0000-0000-0000FB0F0000}"/>
    <cellStyle name="_COST ALLOCATION (IEL  DAMCO) JAN 2008 THH 4" xfId="394" xr:uid="{00000000-0005-0000-0000-0000FC0F0000}"/>
    <cellStyle name="_COST ALLOCATION (IEL  DAMCO) JAN 2008 THH_138 - OtherReceivableAccount_30112009" xfId="395" xr:uid="{00000000-0005-0000-0000-0000FD0F0000}"/>
    <cellStyle name="_COST ALLOCATION (IEL  DAMCO) JAN 2008 THH_138 - OtherReceivableAccount_30112009_138 - OtherReceivableAccount_28022010" xfId="396" xr:uid="{00000000-0005-0000-0000-0000FE0F0000}"/>
    <cellStyle name="_COST ALLOCATION (IEL  DAMCO) JAN 2008 THH_138 - OtherReceivableAccount_30112009_138 - OtherReceivableAccount_31012010" xfId="397" xr:uid="{00000000-0005-0000-0000-0000FF0F0000}"/>
    <cellStyle name="_COST ALLOCATION (IEL  DAMCO) JAN 2008 THH_138 - OtherReceivableAccount_30112009_138 - OtherReceivableAccount_31122009" xfId="398" xr:uid="{00000000-0005-0000-0000-000000100000}"/>
    <cellStyle name="_COST ALLOCATION (IEL  DAMCO) JAN 2008 THH_138 - OtherReceivableAccount_30112009_EVALUATION_EX_311208" xfId="399" xr:uid="{00000000-0005-0000-0000-000001100000}"/>
    <cellStyle name="_COST ALLOCATION (IEL  DAMCO) JAN 2008 THH_138 - OtherReceivableAccount_30112009_YTDHST " xfId="400" xr:uid="{00000000-0005-0000-0000-000002100000}"/>
    <cellStyle name="_COST ALLOCATION (IEL  DAMCO) JAN 2008 THH_138 - OtherReceivableAccount_31102009" xfId="401" xr:uid="{00000000-0005-0000-0000-000003100000}"/>
    <cellStyle name="_COST ALLOCATION (IEL  DAMCO) JAN 2008 THH_138 - OtherReceivableAccount_31102009_138 - OtherReceivableAccount_28022010" xfId="402" xr:uid="{00000000-0005-0000-0000-000004100000}"/>
    <cellStyle name="_COST ALLOCATION (IEL  DAMCO) JAN 2008 THH_138 - OtherReceivableAccount_31102009_138 - OtherReceivableAccount_31012010" xfId="403" xr:uid="{00000000-0005-0000-0000-000005100000}"/>
    <cellStyle name="_COST ALLOCATION (IEL  DAMCO) JAN 2008 THH_138 - OtherReceivableAccount_31102009_138 - OtherReceivableAccount_31122009" xfId="404" xr:uid="{00000000-0005-0000-0000-000006100000}"/>
    <cellStyle name="_COST ALLOCATION (IEL  DAMCO) JAN 2008 THH_138 - OtherReceivableAccount_31102009_EVALUATION_EX_311208" xfId="405" xr:uid="{00000000-0005-0000-0000-000007100000}"/>
    <cellStyle name="_COST ALLOCATION (IEL  DAMCO) JAN 2008 THH_138 - OtherReceivableAccount_31102009_YTDHST " xfId="406" xr:uid="{00000000-0005-0000-0000-000008100000}"/>
    <cellStyle name="_COST ALLOCATION (IEL  DAMCO) JAN 2008 THH_511 - RevenueAccount_28022010" xfId="407" xr:uid="{00000000-0005-0000-0000-000009100000}"/>
    <cellStyle name="_COST ALLOCATION (IEL  DAMCO) JAN 2008 THH_511 - RevenueAccount_30042010" xfId="408" xr:uid="{00000000-0005-0000-0000-00000A100000}"/>
    <cellStyle name="_COST ALLOCATION (IEL  DAMCO) JAN 2008 THH_511 - RevenueAccount_30092010" xfId="409" xr:uid="{00000000-0005-0000-0000-00000B100000}"/>
    <cellStyle name="_COST ALLOCATION (IEL  DAMCO) JAN 2008 THH_511 - RevenueAccount_31012010" xfId="410" xr:uid="{00000000-0005-0000-0000-00000C100000}"/>
    <cellStyle name="_COST ALLOCATION (IEL  DAMCO) JAN 2008 THH_511 - RevenueAccount_31032010" xfId="411" xr:uid="{00000000-0005-0000-0000-00000D100000}"/>
    <cellStyle name="_COST ALLOCATION (IEL  DAMCO) JAN 2008 THH_511 - RevenueAccount_31072010" xfId="412" xr:uid="{00000000-0005-0000-0000-00000E100000}"/>
    <cellStyle name="_COST ALLOCATION (IEL  DAMCO) JAN 2008 THH_Acrrued" xfId="413" xr:uid="{00000000-0005-0000-0000-00000F100000}"/>
    <cellStyle name="_COST ALLOCATION (IEL  DAMCO) JAN 2008 THH_Acrrued01" xfId="414" xr:uid="{00000000-0005-0000-0000-000010100000}"/>
    <cellStyle name="_COST ALLOCATION (IEL  DAMCO) JAN 2008 THH_Book1 (version 5)" xfId="415" xr:uid="{00000000-0005-0000-0000-000011100000}"/>
    <cellStyle name="_COST ALLOCATION (IEL  DAMCO) JAN 2008 THH_BOULWARE" xfId="416" xr:uid="{00000000-0005-0000-0000-000012100000}"/>
    <cellStyle name="_COST ALLOCATION (IEL  DAMCO) JAN 2008 THH_BOULWARE 2" xfId="2398" xr:uid="{00000000-0005-0000-0000-000013100000}"/>
    <cellStyle name="_COST ALLOCATION (IEL  DAMCO) JAN 2008 THH_BOULWARE 3" xfId="2834" xr:uid="{00000000-0005-0000-0000-000014100000}"/>
    <cellStyle name="_COST ALLOCATION (IEL  DAMCO) JAN 2008 THH_BOULWARE 4" xfId="2349" xr:uid="{00000000-0005-0000-0000-000015100000}"/>
    <cellStyle name="_COST ALLOCATION (IEL  DAMCO) JAN 2008 THH_BOULWARE 5" xfId="2889" xr:uid="{00000000-0005-0000-0000-000016100000}"/>
    <cellStyle name="_COST ALLOCATION (IEL  DAMCO) JAN 2008 THH_BOULWARE 6" xfId="2394" xr:uid="{00000000-0005-0000-0000-000017100000}"/>
    <cellStyle name="_COST ALLOCATION (IEL  DAMCO) JAN 2008 THH_BOULWARE 7" xfId="2985" xr:uid="{00000000-0005-0000-0000-000018100000}"/>
    <cellStyle name="_COST ALLOCATION (IEL  DAMCO) JAN 2008 THH_BS_HQ" xfId="417" xr:uid="{00000000-0005-0000-0000-000019100000}"/>
    <cellStyle name="_COST ALLOCATION (IEL  DAMCO) JAN 2008 THH_Detail-02" xfId="418" xr:uid="{00000000-0005-0000-0000-00001A100000}"/>
    <cellStyle name="_COST ALLOCATION (IEL  DAMCO) JAN 2008 THH_DEtial-02" xfId="419" xr:uid="{00000000-0005-0000-0000-00001B100000}"/>
    <cellStyle name="_COST ALLOCATION (IEL  DAMCO) JAN 2008 THH_DEtial-02 2" xfId="2401" xr:uid="{00000000-0005-0000-0000-00001C100000}"/>
    <cellStyle name="_COST ALLOCATION (IEL  DAMCO) JAN 2008 THH_DEtial-02 3" xfId="2833" xr:uid="{00000000-0005-0000-0000-00001D100000}"/>
    <cellStyle name="_COST ALLOCATION (IEL  DAMCO) JAN 2008 THH_DEtial-02 4" xfId="2350" xr:uid="{00000000-0005-0000-0000-00001E100000}"/>
    <cellStyle name="_COST ALLOCATION (IEL  DAMCO) JAN 2008 THH_DEtial-02 5" xfId="2888" xr:uid="{00000000-0005-0000-0000-00001F100000}"/>
    <cellStyle name="_COST ALLOCATION (IEL  DAMCO) JAN 2008 THH_DEtial-02 6" xfId="2395" xr:uid="{00000000-0005-0000-0000-000020100000}"/>
    <cellStyle name="_COST ALLOCATION (IEL  DAMCO) JAN 2008 THH_DEtial-02 7" xfId="2984" xr:uid="{00000000-0005-0000-0000-000021100000}"/>
    <cellStyle name="_COST ALLOCATION (IEL  DAMCO) JAN 2008 THH_DEtial-02_IS-HQ" xfId="420" xr:uid="{00000000-0005-0000-0000-000022100000}"/>
    <cellStyle name="_COST ALLOCATION (IEL  DAMCO) JAN 2008 THH_DEtial-02_IS-HQ 2" xfId="2402" xr:uid="{00000000-0005-0000-0000-000023100000}"/>
    <cellStyle name="_COST ALLOCATION (IEL  DAMCO) JAN 2008 THH_DEtial-02_IS-HQ 3" xfId="2832" xr:uid="{00000000-0005-0000-0000-000024100000}"/>
    <cellStyle name="_COST ALLOCATION (IEL  DAMCO) JAN 2008 THH_DEtial-02_IS-HQ 4" xfId="2351" xr:uid="{00000000-0005-0000-0000-000025100000}"/>
    <cellStyle name="_COST ALLOCATION (IEL  DAMCO) JAN 2008 THH_DEtial-02_IS-HQ 5" xfId="2887" xr:uid="{00000000-0005-0000-0000-000026100000}"/>
    <cellStyle name="_COST ALLOCATION (IEL  DAMCO) JAN 2008 THH_DEtial-02_IS-HQ 6" xfId="2397" xr:uid="{00000000-0005-0000-0000-000027100000}"/>
    <cellStyle name="_COST ALLOCATION (IEL  DAMCO) JAN 2008 THH_DEtial-02_IS-HQ 7" xfId="2983" xr:uid="{00000000-0005-0000-0000-000028100000}"/>
    <cellStyle name="_COST ALLOCATION (IEL  DAMCO) JAN 2008 THH_DEtial-02_PO-HQ" xfId="421" xr:uid="{00000000-0005-0000-0000-000029100000}"/>
    <cellStyle name="_COST ALLOCATION (IEL  DAMCO) JAN 2008 THH_DEtial-02_PO-HQ_1" xfId="422" xr:uid="{00000000-0005-0000-0000-00002A100000}"/>
    <cellStyle name="_COST ALLOCATION (IEL  DAMCO) JAN 2008 THH_DEtial-02_PO-HQ_1 2" xfId="2404" xr:uid="{00000000-0005-0000-0000-00002B100000}"/>
    <cellStyle name="_COST ALLOCATION (IEL  DAMCO) JAN 2008 THH_DEtial-02_PO-HQ_1 3" xfId="2830" xr:uid="{00000000-0005-0000-0000-00002C100000}"/>
    <cellStyle name="_COST ALLOCATION (IEL  DAMCO) JAN 2008 THH_DEtial-02_PO-HQ_1 4" xfId="2352" xr:uid="{00000000-0005-0000-0000-00002D100000}"/>
    <cellStyle name="_COST ALLOCATION (IEL  DAMCO) JAN 2008 THH_DEtial-02_PO-HQ_1 5" xfId="2886" xr:uid="{00000000-0005-0000-0000-00002E100000}"/>
    <cellStyle name="_COST ALLOCATION (IEL  DAMCO) JAN 2008 THH_DEtial-02_PO-HQ_1 6" xfId="2403" xr:uid="{00000000-0005-0000-0000-00002F100000}"/>
    <cellStyle name="_COST ALLOCATION (IEL  DAMCO) JAN 2008 THH_DEtial-02_PO-HQ_1 7" xfId="2982" xr:uid="{00000000-0005-0000-0000-000030100000}"/>
    <cellStyle name="_COST ALLOCATION (IEL  DAMCO) JAN 2008 THH_DEtial-02_TB" xfId="423" xr:uid="{00000000-0005-0000-0000-000031100000}"/>
    <cellStyle name="_COST ALLOCATION (IEL  DAMCO) JAN 2008 THH_EVALUATION_EX_311208" xfId="424" xr:uid="{00000000-0005-0000-0000-000032100000}"/>
    <cellStyle name="_COST ALLOCATION (IEL  DAMCO) JAN 2008 THH_EVALUATION_EX_311208_EVALUATION_EX_311208" xfId="425" xr:uid="{00000000-0005-0000-0000-000033100000}"/>
    <cellStyle name="_COST ALLOCATION (IEL  DAMCO) JAN 2008 THH_IS-HQ" xfId="426" xr:uid="{00000000-0005-0000-0000-000034100000}"/>
    <cellStyle name="_COST ALLOCATION (IEL  DAMCO) JAN 2008 THH_IS-HQ_1" xfId="427" xr:uid="{00000000-0005-0000-0000-000035100000}"/>
    <cellStyle name="_COST ALLOCATION (IEL  DAMCO) JAN 2008 THH_IS-HQ_1_PO-HQ" xfId="428" xr:uid="{00000000-0005-0000-0000-000036100000}"/>
    <cellStyle name="_COST ALLOCATION (IEL  DAMCO) JAN 2008 THH_IS-HQ_2" xfId="429" xr:uid="{00000000-0005-0000-0000-000037100000}"/>
    <cellStyle name="_COST ALLOCATION (IEL  DAMCO) JAN 2008 THH_IS-HQ_2 2" xfId="2406" xr:uid="{00000000-0005-0000-0000-000038100000}"/>
    <cellStyle name="_COST ALLOCATION (IEL  DAMCO) JAN 2008 THH_IS-HQ_2 3" xfId="2826" xr:uid="{00000000-0005-0000-0000-000039100000}"/>
    <cellStyle name="_COST ALLOCATION (IEL  DAMCO) JAN 2008 THH_IS-HQ_2 4" xfId="2353" xr:uid="{00000000-0005-0000-0000-00003A100000}"/>
    <cellStyle name="_COST ALLOCATION (IEL  DAMCO) JAN 2008 THH_IS-HQ_2 5" xfId="2885" xr:uid="{00000000-0005-0000-0000-00003B100000}"/>
    <cellStyle name="_COST ALLOCATION (IEL  DAMCO) JAN 2008 THH_IS-HQ_2 6" xfId="2411" xr:uid="{00000000-0005-0000-0000-00003C100000}"/>
    <cellStyle name="_COST ALLOCATION (IEL  DAMCO) JAN 2008 THH_IS-HQ_2 7" xfId="2972" xr:uid="{00000000-0005-0000-0000-00003D100000}"/>
    <cellStyle name="_COST ALLOCATION (IEL  DAMCO) JAN 2008 THH_PO-HQ" xfId="430" xr:uid="{00000000-0005-0000-0000-00003E100000}"/>
    <cellStyle name="_COST ALLOCATION (IEL  DAMCO) JAN 2008 THH_PO-HQ_1" xfId="431" xr:uid="{00000000-0005-0000-0000-00003F100000}"/>
    <cellStyle name="_COST ALLOCATION (IEL  DAMCO) JAN 2008 THH_PO-HQ_1_PO-HQ" xfId="432" xr:uid="{00000000-0005-0000-0000-000040100000}"/>
    <cellStyle name="_COST ALLOCATION (IEL  DAMCO) JAN 2008 THH_PO-HQ_2" xfId="433" xr:uid="{00000000-0005-0000-0000-000041100000}"/>
    <cellStyle name="_COST ALLOCATION (IEL  DAMCO) JAN 2008 THH_PO-HQ_2 2" xfId="2408" xr:uid="{00000000-0005-0000-0000-000042100000}"/>
    <cellStyle name="_COST ALLOCATION (IEL  DAMCO) JAN 2008 THH_PO-HQ_2 3" xfId="2825" xr:uid="{00000000-0005-0000-0000-000043100000}"/>
    <cellStyle name="_COST ALLOCATION (IEL  DAMCO) JAN 2008 THH_PO-HQ_2 4" xfId="2354" xr:uid="{00000000-0005-0000-0000-000044100000}"/>
    <cellStyle name="_COST ALLOCATION (IEL  DAMCO) JAN 2008 THH_PO-HQ_2 5" xfId="2883" xr:uid="{00000000-0005-0000-0000-000045100000}"/>
    <cellStyle name="_COST ALLOCATION (IEL  DAMCO) JAN 2008 THH_PO-HQ_2 6" xfId="2417" xr:uid="{00000000-0005-0000-0000-000046100000}"/>
    <cellStyle name="_COST ALLOCATION (IEL  DAMCO) JAN 2008 THH_PO-HQ_2 7" xfId="2971" xr:uid="{00000000-0005-0000-0000-000047100000}"/>
    <cellStyle name="_COST ALLOCATION (IEL  DAMCO) JAN 2008 THH_ReceiptList" xfId="434" xr:uid="{00000000-0005-0000-0000-000048100000}"/>
    <cellStyle name="_COST ALLOCATION (IEL  DAMCO) JAN 2008 THH_ReceiptList 2" xfId="2409" xr:uid="{00000000-0005-0000-0000-000049100000}"/>
    <cellStyle name="_COST ALLOCATION (IEL  DAMCO) JAN 2008 THH_ReceiptList 3" xfId="2824" xr:uid="{00000000-0005-0000-0000-00004A100000}"/>
    <cellStyle name="_COST ALLOCATION (IEL  DAMCO) JAN 2008 THH_ReceiptList 4" xfId="2355" xr:uid="{00000000-0005-0000-0000-00004B100000}"/>
    <cellStyle name="_COST ALLOCATION (IEL  DAMCO) JAN 2008 THH_ReceiptList 5" xfId="2882" xr:uid="{00000000-0005-0000-0000-00004C100000}"/>
    <cellStyle name="_COST ALLOCATION (IEL  DAMCO) JAN 2008 THH_ReceiptList 6" xfId="2418" xr:uid="{00000000-0005-0000-0000-00004D100000}"/>
    <cellStyle name="_COST ALLOCATION (IEL  DAMCO) JAN 2008 THH_ReceiptList 7" xfId="2970" xr:uid="{00000000-0005-0000-0000-00004E100000}"/>
    <cellStyle name="_COST ALLOCATION (IEL  DAMCO) JAN 2008 THH_Sales Book 082008" xfId="435" xr:uid="{00000000-0005-0000-0000-00004F100000}"/>
    <cellStyle name="_COST ALLOCATION (IEL  DAMCO) JAN 2008 THH_Sales Book 082008 2" xfId="2410" xr:uid="{00000000-0005-0000-0000-000050100000}"/>
    <cellStyle name="_COST ALLOCATION (IEL  DAMCO) JAN 2008 THH_Sales Book 082008 3" xfId="2823" xr:uid="{00000000-0005-0000-0000-000051100000}"/>
    <cellStyle name="_COST ALLOCATION (IEL  DAMCO) JAN 2008 THH_Sales Book 082008 4" xfId="2356" xr:uid="{00000000-0005-0000-0000-000052100000}"/>
    <cellStyle name="_COST ALLOCATION (IEL  DAMCO) JAN 2008 THH_Sales Book 082008 5" xfId="2880" xr:uid="{00000000-0005-0000-0000-000053100000}"/>
    <cellStyle name="_COST ALLOCATION (IEL  DAMCO) JAN 2008 THH_Sales Book 082008 6" xfId="2419" xr:uid="{00000000-0005-0000-0000-000054100000}"/>
    <cellStyle name="_COST ALLOCATION (IEL  DAMCO) JAN 2008 THH_Sales Book 082008 7" xfId="2969" xr:uid="{00000000-0005-0000-0000-000055100000}"/>
    <cellStyle name="_COST ALLOCATION (IEL  DAMCO) JAN 2008 THH_Sheet1" xfId="436" xr:uid="{00000000-0005-0000-0000-000056100000}"/>
    <cellStyle name="_COST ALLOCATION (IEL  DAMCO) JAN 2008 THH_Sheet2" xfId="437" xr:uid="{00000000-0005-0000-0000-000057100000}"/>
    <cellStyle name="_COST ALLOCATION (IEL  DAMCO) JAN 2008 THH_Sheet3" xfId="438" xr:uid="{00000000-0005-0000-0000-000058100000}"/>
    <cellStyle name="_COST ALLOCATION (IEL  DAMCO) JAN 2008 THH_Sheet3 2" xfId="2412" xr:uid="{00000000-0005-0000-0000-000059100000}"/>
    <cellStyle name="_COST ALLOCATION (IEL  DAMCO) JAN 2008 THH_Sheet3 3" xfId="2821" xr:uid="{00000000-0005-0000-0000-00005A100000}"/>
    <cellStyle name="_COST ALLOCATION (IEL  DAMCO) JAN 2008 THH_Sheet3 4" xfId="2358" xr:uid="{00000000-0005-0000-0000-00005B100000}"/>
    <cellStyle name="_COST ALLOCATION (IEL  DAMCO) JAN 2008 THH_Sheet3 5" xfId="2876" xr:uid="{00000000-0005-0000-0000-00005C100000}"/>
    <cellStyle name="_COST ALLOCATION (IEL  DAMCO) JAN 2008 THH_Sheet3 6" xfId="2420" xr:uid="{00000000-0005-0000-0000-00005D100000}"/>
    <cellStyle name="_COST ALLOCATION (IEL  DAMCO) JAN 2008 THH_Sheet3 7" xfId="2968" xr:uid="{00000000-0005-0000-0000-00005E100000}"/>
    <cellStyle name="_COST ALLOCATION (IEL  DAMCO) JAN 2008 THH_TB" xfId="439" xr:uid="{00000000-0005-0000-0000-00005F100000}"/>
    <cellStyle name="_COST ALLOCATION (IEL  DAMCO) JUL 2008 THH" xfId="440" xr:uid="{00000000-0005-0000-0000-000060100000}"/>
    <cellStyle name="_COST ALLOCATION (IEL  DAMCO) JUL 2008 THH 2" xfId="441" xr:uid="{00000000-0005-0000-0000-000061100000}"/>
    <cellStyle name="_COST ALLOCATION (IEL  DAMCO) JUL 2008 THH 3" xfId="442" xr:uid="{00000000-0005-0000-0000-000062100000}"/>
    <cellStyle name="_COST ALLOCATION (IEL  DAMCO) JUL 2008 THH 4" xfId="443" xr:uid="{00000000-0005-0000-0000-000063100000}"/>
    <cellStyle name="_COST ALLOCATION (IEL  DAMCO) JUL 2008 THH_138 - OtherReceivableAccount_30112009" xfId="444" xr:uid="{00000000-0005-0000-0000-000064100000}"/>
    <cellStyle name="_COST ALLOCATION (IEL  DAMCO) JUL 2008 THH_138 - OtherReceivableAccount_30112009_138 - OtherReceivableAccount_28022010" xfId="445" xr:uid="{00000000-0005-0000-0000-000065100000}"/>
    <cellStyle name="_COST ALLOCATION (IEL  DAMCO) JUL 2008 THH_138 - OtherReceivableAccount_30112009_138 - OtherReceivableAccount_31012010" xfId="446" xr:uid="{00000000-0005-0000-0000-000066100000}"/>
    <cellStyle name="_COST ALLOCATION (IEL  DAMCO) JUL 2008 THH_138 - OtherReceivableAccount_30112009_138 - OtherReceivableAccount_31122009" xfId="447" xr:uid="{00000000-0005-0000-0000-000067100000}"/>
    <cellStyle name="_COST ALLOCATION (IEL  DAMCO) JUL 2008 THH_138 - OtherReceivableAccount_30112009_EVALUATION_EX_311208" xfId="448" xr:uid="{00000000-0005-0000-0000-000068100000}"/>
    <cellStyle name="_COST ALLOCATION (IEL  DAMCO) JUL 2008 THH_138 - OtherReceivableAccount_30112009_YTDHST " xfId="449" xr:uid="{00000000-0005-0000-0000-000069100000}"/>
    <cellStyle name="_COST ALLOCATION (IEL  DAMCO) JUL 2008 THH_138 - OtherReceivableAccount_31102009" xfId="450" xr:uid="{00000000-0005-0000-0000-00006A100000}"/>
    <cellStyle name="_COST ALLOCATION (IEL  DAMCO) JUL 2008 THH_138 - OtherReceivableAccount_31102009_138 - OtherReceivableAccount_28022010" xfId="451" xr:uid="{00000000-0005-0000-0000-00006B100000}"/>
    <cellStyle name="_COST ALLOCATION (IEL  DAMCO) JUL 2008 THH_138 - OtherReceivableAccount_31102009_138 - OtherReceivableAccount_31012010" xfId="452" xr:uid="{00000000-0005-0000-0000-00006C100000}"/>
    <cellStyle name="_COST ALLOCATION (IEL  DAMCO) JUL 2008 THH_138 - OtherReceivableAccount_31102009_138 - OtherReceivableAccount_31122009" xfId="453" xr:uid="{00000000-0005-0000-0000-00006D100000}"/>
    <cellStyle name="_COST ALLOCATION (IEL  DAMCO) JUL 2008 THH_138 - OtherReceivableAccount_31102009_EVALUATION_EX_311208" xfId="454" xr:uid="{00000000-0005-0000-0000-00006E100000}"/>
    <cellStyle name="_COST ALLOCATION (IEL  DAMCO) JUL 2008 THH_138 - OtherReceivableAccount_31102009_YTDHST " xfId="455" xr:uid="{00000000-0005-0000-0000-00006F100000}"/>
    <cellStyle name="_COST ALLOCATION (IEL  DAMCO) JUL 2008 THH_511 - RevenueAccount_28022010" xfId="456" xr:uid="{00000000-0005-0000-0000-000070100000}"/>
    <cellStyle name="_COST ALLOCATION (IEL  DAMCO) JUL 2008 THH_511 - RevenueAccount_30042010" xfId="457" xr:uid="{00000000-0005-0000-0000-000071100000}"/>
    <cellStyle name="_COST ALLOCATION (IEL  DAMCO) JUL 2008 THH_511 - RevenueAccount_30092010" xfId="458" xr:uid="{00000000-0005-0000-0000-000072100000}"/>
    <cellStyle name="_COST ALLOCATION (IEL  DAMCO) JUL 2008 THH_511 - RevenueAccount_31012010" xfId="459" xr:uid="{00000000-0005-0000-0000-000073100000}"/>
    <cellStyle name="_COST ALLOCATION (IEL  DAMCO) JUL 2008 THH_511 - RevenueAccount_31032010" xfId="460" xr:uid="{00000000-0005-0000-0000-000074100000}"/>
    <cellStyle name="_COST ALLOCATION (IEL  DAMCO) JUL 2008 THH_511 - RevenueAccount_31072010" xfId="461" xr:uid="{00000000-0005-0000-0000-000075100000}"/>
    <cellStyle name="_COST ALLOCATION (IEL  DAMCO) JUL 2008 THH_Acrrued" xfId="462" xr:uid="{00000000-0005-0000-0000-000076100000}"/>
    <cellStyle name="_COST ALLOCATION (IEL  DAMCO) JUL 2008 THH_Acrrued01" xfId="463" xr:uid="{00000000-0005-0000-0000-000077100000}"/>
    <cellStyle name="_COST ALLOCATION (IEL  DAMCO) JUL 2008 THH_Book1 (version 5)" xfId="464" xr:uid="{00000000-0005-0000-0000-000078100000}"/>
    <cellStyle name="_COST ALLOCATION (IEL  DAMCO) JUL 2008 THH_BOULWARE" xfId="465" xr:uid="{00000000-0005-0000-0000-000079100000}"/>
    <cellStyle name="_COST ALLOCATION (IEL  DAMCO) JUL 2008 THH_BOULWARE 2" xfId="2421" xr:uid="{00000000-0005-0000-0000-00007A100000}"/>
    <cellStyle name="_COST ALLOCATION (IEL  DAMCO) JUL 2008 THH_BOULWARE 3" xfId="2815" xr:uid="{00000000-0005-0000-0000-00007B100000}"/>
    <cellStyle name="_COST ALLOCATION (IEL  DAMCO) JUL 2008 THH_BOULWARE 4" xfId="2371" xr:uid="{00000000-0005-0000-0000-00007C100000}"/>
    <cellStyle name="_COST ALLOCATION (IEL  DAMCO) JUL 2008 THH_BOULWARE 5" xfId="2856" xr:uid="{00000000-0005-0000-0000-00007D100000}"/>
    <cellStyle name="_COST ALLOCATION (IEL  DAMCO) JUL 2008 THH_BOULWARE 6" xfId="2439" xr:uid="{00000000-0005-0000-0000-00007E100000}"/>
    <cellStyle name="_COST ALLOCATION (IEL  DAMCO) JUL 2008 THH_BOULWARE 7" xfId="2967" xr:uid="{00000000-0005-0000-0000-00007F100000}"/>
    <cellStyle name="_COST ALLOCATION (IEL  DAMCO) JUL 2008 THH_BS_HQ" xfId="466" xr:uid="{00000000-0005-0000-0000-000080100000}"/>
    <cellStyle name="_COST ALLOCATION (IEL  DAMCO) JUL 2008 THH_Detail-02" xfId="467" xr:uid="{00000000-0005-0000-0000-000081100000}"/>
    <cellStyle name="_COST ALLOCATION (IEL  DAMCO) JUL 2008 THH_DEtial-02" xfId="468" xr:uid="{00000000-0005-0000-0000-000082100000}"/>
    <cellStyle name="_COST ALLOCATION (IEL  DAMCO) JUL 2008 THH_DEtial-02 2" xfId="2422" xr:uid="{00000000-0005-0000-0000-000083100000}"/>
    <cellStyle name="_COST ALLOCATION (IEL  DAMCO) JUL 2008 THH_DEtial-02 3" xfId="2814" xr:uid="{00000000-0005-0000-0000-000084100000}"/>
    <cellStyle name="_COST ALLOCATION (IEL  DAMCO) JUL 2008 THH_DEtial-02 4" xfId="2373" xr:uid="{00000000-0005-0000-0000-000085100000}"/>
    <cellStyle name="_COST ALLOCATION (IEL  DAMCO) JUL 2008 THH_DEtial-02 5" xfId="2855" xr:uid="{00000000-0005-0000-0000-000086100000}"/>
    <cellStyle name="_COST ALLOCATION (IEL  DAMCO) JUL 2008 THH_DEtial-02 6" xfId="2441" xr:uid="{00000000-0005-0000-0000-000087100000}"/>
    <cellStyle name="_COST ALLOCATION (IEL  DAMCO) JUL 2008 THH_DEtial-02 7" xfId="2966" xr:uid="{00000000-0005-0000-0000-000088100000}"/>
    <cellStyle name="_COST ALLOCATION (IEL  DAMCO) JUL 2008 THH_DEtial-02_IS-HQ" xfId="469" xr:uid="{00000000-0005-0000-0000-000089100000}"/>
    <cellStyle name="_COST ALLOCATION (IEL  DAMCO) JUL 2008 THH_DEtial-02_IS-HQ 2" xfId="2423" xr:uid="{00000000-0005-0000-0000-00008A100000}"/>
    <cellStyle name="_COST ALLOCATION (IEL  DAMCO) JUL 2008 THH_DEtial-02_IS-HQ 3" xfId="2813" xr:uid="{00000000-0005-0000-0000-00008B100000}"/>
    <cellStyle name="_COST ALLOCATION (IEL  DAMCO) JUL 2008 THH_DEtial-02_IS-HQ 4" xfId="2374" xr:uid="{00000000-0005-0000-0000-00008C100000}"/>
    <cellStyle name="_COST ALLOCATION (IEL  DAMCO) JUL 2008 THH_DEtial-02_IS-HQ 5" xfId="2854" xr:uid="{00000000-0005-0000-0000-00008D100000}"/>
    <cellStyle name="_COST ALLOCATION (IEL  DAMCO) JUL 2008 THH_DEtial-02_IS-HQ 6" xfId="2442" xr:uid="{00000000-0005-0000-0000-00008E100000}"/>
    <cellStyle name="_COST ALLOCATION (IEL  DAMCO) JUL 2008 THH_DEtial-02_IS-HQ 7" xfId="2965" xr:uid="{00000000-0005-0000-0000-00008F100000}"/>
    <cellStyle name="_COST ALLOCATION (IEL  DAMCO) JUL 2008 THH_DEtial-02_PO-HQ" xfId="470" xr:uid="{00000000-0005-0000-0000-000090100000}"/>
    <cellStyle name="_COST ALLOCATION (IEL  DAMCO) JUL 2008 THH_DEtial-02_PO-HQ_1" xfId="471" xr:uid="{00000000-0005-0000-0000-000091100000}"/>
    <cellStyle name="_COST ALLOCATION (IEL  DAMCO) JUL 2008 THH_DEtial-02_PO-HQ_1 2" xfId="2424" xr:uid="{00000000-0005-0000-0000-000092100000}"/>
    <cellStyle name="_COST ALLOCATION (IEL  DAMCO) JUL 2008 THH_DEtial-02_PO-HQ_1 3" xfId="2812" xr:uid="{00000000-0005-0000-0000-000093100000}"/>
    <cellStyle name="_COST ALLOCATION (IEL  DAMCO) JUL 2008 THH_DEtial-02_PO-HQ_1 4" xfId="2375" xr:uid="{00000000-0005-0000-0000-000094100000}"/>
    <cellStyle name="_COST ALLOCATION (IEL  DAMCO) JUL 2008 THH_DEtial-02_PO-HQ_1 5" xfId="2853" xr:uid="{00000000-0005-0000-0000-000095100000}"/>
    <cellStyle name="_COST ALLOCATION (IEL  DAMCO) JUL 2008 THH_DEtial-02_PO-HQ_1 6" xfId="2443" xr:uid="{00000000-0005-0000-0000-000096100000}"/>
    <cellStyle name="_COST ALLOCATION (IEL  DAMCO) JUL 2008 THH_DEtial-02_PO-HQ_1 7" xfId="2964" xr:uid="{00000000-0005-0000-0000-000097100000}"/>
    <cellStyle name="_COST ALLOCATION (IEL  DAMCO) JUL 2008 THH_DEtial-02_TB" xfId="472" xr:uid="{00000000-0005-0000-0000-000098100000}"/>
    <cellStyle name="_COST ALLOCATION (IEL  DAMCO) JUL 2008 THH_EVALUATION_EX_311208" xfId="473" xr:uid="{00000000-0005-0000-0000-000099100000}"/>
    <cellStyle name="_COST ALLOCATION (IEL  DAMCO) JUL 2008 THH_EVALUATION_EX_311208_EVALUATION_EX_311208" xfId="474" xr:uid="{00000000-0005-0000-0000-00009A100000}"/>
    <cellStyle name="_COST ALLOCATION (IEL  DAMCO) JUL 2008 THH_IS-HQ" xfId="475" xr:uid="{00000000-0005-0000-0000-00009B100000}"/>
    <cellStyle name="_COST ALLOCATION (IEL  DAMCO) JUL 2008 THH_IS-HQ_1" xfId="476" xr:uid="{00000000-0005-0000-0000-00009C100000}"/>
    <cellStyle name="_COST ALLOCATION (IEL  DAMCO) JUL 2008 THH_IS-HQ_1_PO-HQ" xfId="477" xr:uid="{00000000-0005-0000-0000-00009D100000}"/>
    <cellStyle name="_COST ALLOCATION (IEL  DAMCO) JUL 2008 THH_IS-HQ_2" xfId="478" xr:uid="{00000000-0005-0000-0000-00009E100000}"/>
    <cellStyle name="_COST ALLOCATION (IEL  DAMCO) JUL 2008 THH_IS-HQ_2 2" xfId="2427" xr:uid="{00000000-0005-0000-0000-00009F100000}"/>
    <cellStyle name="_COST ALLOCATION (IEL  DAMCO) JUL 2008 THH_IS-HQ_2 3" xfId="2810" xr:uid="{00000000-0005-0000-0000-0000A0100000}"/>
    <cellStyle name="_COST ALLOCATION (IEL  DAMCO) JUL 2008 THH_IS-HQ_2 4" xfId="2380" xr:uid="{00000000-0005-0000-0000-0000A1100000}"/>
    <cellStyle name="_COST ALLOCATION (IEL  DAMCO) JUL 2008 THH_IS-HQ_2 5" xfId="2848" xr:uid="{00000000-0005-0000-0000-0000A2100000}"/>
    <cellStyle name="_COST ALLOCATION (IEL  DAMCO) JUL 2008 THH_IS-HQ_2 6" xfId="2448" xr:uid="{00000000-0005-0000-0000-0000A3100000}"/>
    <cellStyle name="_COST ALLOCATION (IEL  DAMCO) JUL 2008 THH_IS-HQ_2 7" xfId="2959" xr:uid="{00000000-0005-0000-0000-0000A4100000}"/>
    <cellStyle name="_COST ALLOCATION (IEL  DAMCO) JUL 2008 THH_PO-HQ" xfId="479" xr:uid="{00000000-0005-0000-0000-0000A5100000}"/>
    <cellStyle name="_COST ALLOCATION (IEL  DAMCO) JUL 2008 THH_PO-HQ_1" xfId="480" xr:uid="{00000000-0005-0000-0000-0000A6100000}"/>
    <cellStyle name="_COST ALLOCATION (IEL  DAMCO) JUL 2008 THH_PO-HQ_1_PO-HQ" xfId="481" xr:uid="{00000000-0005-0000-0000-0000A7100000}"/>
    <cellStyle name="_COST ALLOCATION (IEL  DAMCO) JUL 2008 THH_PO-HQ_2" xfId="482" xr:uid="{00000000-0005-0000-0000-0000A8100000}"/>
    <cellStyle name="_COST ALLOCATION (IEL  DAMCO) JUL 2008 THH_PO-HQ_2 2" xfId="2429" xr:uid="{00000000-0005-0000-0000-0000A9100000}"/>
    <cellStyle name="_COST ALLOCATION (IEL  DAMCO) JUL 2008 THH_PO-HQ_2 3" xfId="2808" xr:uid="{00000000-0005-0000-0000-0000AA100000}"/>
    <cellStyle name="_COST ALLOCATION (IEL  DAMCO) JUL 2008 THH_PO-HQ_2 4" xfId="2385" xr:uid="{00000000-0005-0000-0000-0000AB100000}"/>
    <cellStyle name="_COST ALLOCATION (IEL  DAMCO) JUL 2008 THH_PO-HQ_2 5" xfId="2846" xr:uid="{00000000-0005-0000-0000-0000AC100000}"/>
    <cellStyle name="_COST ALLOCATION (IEL  DAMCO) JUL 2008 THH_PO-HQ_2 6" xfId="2449" xr:uid="{00000000-0005-0000-0000-0000AD100000}"/>
    <cellStyle name="_COST ALLOCATION (IEL  DAMCO) JUL 2008 THH_PO-HQ_2 7" xfId="2958" xr:uid="{00000000-0005-0000-0000-0000AE100000}"/>
    <cellStyle name="_COST ALLOCATION (IEL  DAMCO) JUL 2008 THH_ReceiptList" xfId="483" xr:uid="{00000000-0005-0000-0000-0000AF100000}"/>
    <cellStyle name="_COST ALLOCATION (IEL  DAMCO) JUL 2008 THH_ReceiptList 2" xfId="2430" xr:uid="{00000000-0005-0000-0000-0000B0100000}"/>
    <cellStyle name="_COST ALLOCATION (IEL  DAMCO) JUL 2008 THH_ReceiptList 3" xfId="2807" xr:uid="{00000000-0005-0000-0000-0000B1100000}"/>
    <cellStyle name="_COST ALLOCATION (IEL  DAMCO) JUL 2008 THH_ReceiptList 4" xfId="2386" xr:uid="{00000000-0005-0000-0000-0000B2100000}"/>
    <cellStyle name="_COST ALLOCATION (IEL  DAMCO) JUL 2008 THH_ReceiptList 5" xfId="2845" xr:uid="{00000000-0005-0000-0000-0000B3100000}"/>
    <cellStyle name="_COST ALLOCATION (IEL  DAMCO) JUL 2008 THH_ReceiptList 6" xfId="2455" xr:uid="{00000000-0005-0000-0000-0000B4100000}"/>
    <cellStyle name="_COST ALLOCATION (IEL  DAMCO) JUL 2008 THH_ReceiptList 7" xfId="2949" xr:uid="{00000000-0005-0000-0000-0000B5100000}"/>
    <cellStyle name="_COST ALLOCATION (IEL  DAMCO) JUL 2008 THH_Sales Book 082008" xfId="484" xr:uid="{00000000-0005-0000-0000-0000B6100000}"/>
    <cellStyle name="_COST ALLOCATION (IEL  DAMCO) JUL 2008 THH_Sales Book 082008 2" xfId="2431" xr:uid="{00000000-0005-0000-0000-0000B7100000}"/>
    <cellStyle name="_COST ALLOCATION (IEL  DAMCO) JUL 2008 THH_Sales Book 082008 3" xfId="2806" xr:uid="{00000000-0005-0000-0000-0000B8100000}"/>
    <cellStyle name="_COST ALLOCATION (IEL  DAMCO) JUL 2008 THH_Sales Book 082008 4" xfId="2387" xr:uid="{00000000-0005-0000-0000-0000B9100000}"/>
    <cellStyle name="_COST ALLOCATION (IEL  DAMCO) JUL 2008 THH_Sales Book 082008 5" xfId="2843" xr:uid="{00000000-0005-0000-0000-0000BA100000}"/>
    <cellStyle name="_COST ALLOCATION (IEL  DAMCO) JUL 2008 THH_Sales Book 082008 6" xfId="2456" xr:uid="{00000000-0005-0000-0000-0000BB100000}"/>
    <cellStyle name="_COST ALLOCATION (IEL  DAMCO) JUL 2008 THH_Sales Book 082008 7" xfId="2948" xr:uid="{00000000-0005-0000-0000-0000BC100000}"/>
    <cellStyle name="_COST ALLOCATION (IEL  DAMCO) JUL 2008 THH_Sheet1" xfId="485" xr:uid="{00000000-0005-0000-0000-0000BD100000}"/>
    <cellStyle name="_COST ALLOCATION (IEL  DAMCO) JUL 2008 THH_Sheet2" xfId="486" xr:uid="{00000000-0005-0000-0000-0000BE100000}"/>
    <cellStyle name="_COST ALLOCATION (IEL  DAMCO) JUL 2008 THH_Sheet3" xfId="487" xr:uid="{00000000-0005-0000-0000-0000BF100000}"/>
    <cellStyle name="_COST ALLOCATION (IEL  DAMCO) JUL 2008 THH_Sheet3 2" xfId="2433" xr:uid="{00000000-0005-0000-0000-0000C0100000}"/>
    <cellStyle name="_COST ALLOCATION (IEL  DAMCO) JUL 2008 THH_Sheet3 3" xfId="2804" xr:uid="{00000000-0005-0000-0000-0000C1100000}"/>
    <cellStyle name="_COST ALLOCATION (IEL  DAMCO) JUL 2008 THH_Sheet3 4" xfId="2389" xr:uid="{00000000-0005-0000-0000-0000C2100000}"/>
    <cellStyle name="_COST ALLOCATION (IEL  DAMCO) JUL 2008 THH_Sheet3 5" xfId="2839" xr:uid="{00000000-0005-0000-0000-0000C3100000}"/>
    <cellStyle name="_COST ALLOCATION (IEL  DAMCO) JUL 2008 THH_Sheet3 6" xfId="2457" xr:uid="{00000000-0005-0000-0000-0000C4100000}"/>
    <cellStyle name="_COST ALLOCATION (IEL  DAMCO) JUL 2008 THH_Sheet3 7" xfId="2858" xr:uid="{00000000-0005-0000-0000-0000C5100000}"/>
    <cellStyle name="_COST ALLOCATION (IEL  DAMCO) JUL 2008 THH_TB" xfId="488" xr:uid="{00000000-0005-0000-0000-0000C6100000}"/>
    <cellStyle name="_COST ALLOCATION (IEL  DAMCO) JUN 2008 THH" xfId="489" xr:uid="{00000000-0005-0000-0000-0000C7100000}"/>
    <cellStyle name="_COST ALLOCATION (IEL  DAMCO) JUN 2008 THH 2" xfId="490" xr:uid="{00000000-0005-0000-0000-0000C8100000}"/>
    <cellStyle name="_COST ALLOCATION (IEL  DAMCO) JUN 2008 THH 3" xfId="491" xr:uid="{00000000-0005-0000-0000-0000C9100000}"/>
    <cellStyle name="_COST ALLOCATION (IEL  DAMCO) JUN 2008 THH 4" xfId="492" xr:uid="{00000000-0005-0000-0000-0000CA100000}"/>
    <cellStyle name="_COST ALLOCATION (IEL  DAMCO) JUN 2008 THH_138 - OtherReceivableAccount_30112009" xfId="493" xr:uid="{00000000-0005-0000-0000-0000CB100000}"/>
    <cellStyle name="_COST ALLOCATION (IEL  DAMCO) JUN 2008 THH_138 - OtherReceivableAccount_30112009_138 - OtherReceivableAccount_28022010" xfId="494" xr:uid="{00000000-0005-0000-0000-0000CC100000}"/>
    <cellStyle name="_COST ALLOCATION (IEL  DAMCO) JUN 2008 THH_138 - OtherReceivableAccount_30112009_138 - OtherReceivableAccount_31012010" xfId="495" xr:uid="{00000000-0005-0000-0000-0000CD100000}"/>
    <cellStyle name="_COST ALLOCATION (IEL  DAMCO) JUN 2008 THH_138 - OtherReceivableAccount_30112009_138 - OtherReceivableAccount_31122009" xfId="496" xr:uid="{00000000-0005-0000-0000-0000CE100000}"/>
    <cellStyle name="_COST ALLOCATION (IEL  DAMCO) JUN 2008 THH_138 - OtherReceivableAccount_30112009_EVALUATION_EX_311208" xfId="497" xr:uid="{00000000-0005-0000-0000-0000CF100000}"/>
    <cellStyle name="_COST ALLOCATION (IEL  DAMCO) JUN 2008 THH_138 - OtherReceivableAccount_30112009_YTDHST " xfId="498" xr:uid="{00000000-0005-0000-0000-0000D0100000}"/>
    <cellStyle name="_COST ALLOCATION (IEL  DAMCO) JUN 2008 THH_138 - OtherReceivableAccount_31102009" xfId="499" xr:uid="{00000000-0005-0000-0000-0000D1100000}"/>
    <cellStyle name="_COST ALLOCATION (IEL  DAMCO) JUN 2008 THH_138 - OtherReceivableAccount_31102009_138 - OtherReceivableAccount_28022010" xfId="500" xr:uid="{00000000-0005-0000-0000-0000D2100000}"/>
    <cellStyle name="_COST ALLOCATION (IEL  DAMCO) JUN 2008 THH_138 - OtherReceivableAccount_31102009_138 - OtherReceivableAccount_31012010" xfId="501" xr:uid="{00000000-0005-0000-0000-0000D3100000}"/>
    <cellStyle name="_COST ALLOCATION (IEL  DAMCO) JUN 2008 THH_138 - OtherReceivableAccount_31102009_138 - OtherReceivableAccount_31122009" xfId="502" xr:uid="{00000000-0005-0000-0000-0000D4100000}"/>
    <cellStyle name="_COST ALLOCATION (IEL  DAMCO) JUN 2008 THH_138 - OtherReceivableAccount_31102009_EVALUATION_EX_311208" xfId="503" xr:uid="{00000000-0005-0000-0000-0000D5100000}"/>
    <cellStyle name="_COST ALLOCATION (IEL  DAMCO) JUN 2008 THH_138 - OtherReceivableAccount_31102009_YTDHST " xfId="504" xr:uid="{00000000-0005-0000-0000-0000D6100000}"/>
    <cellStyle name="_COST ALLOCATION (IEL  DAMCO) JUN 2008 THH_511 - RevenueAccount_28022010" xfId="505" xr:uid="{00000000-0005-0000-0000-0000D7100000}"/>
    <cellStyle name="_COST ALLOCATION (IEL  DAMCO) JUN 2008 THH_511 - RevenueAccount_30042010" xfId="506" xr:uid="{00000000-0005-0000-0000-0000D8100000}"/>
    <cellStyle name="_COST ALLOCATION (IEL  DAMCO) JUN 2008 THH_511 - RevenueAccount_30092010" xfId="507" xr:uid="{00000000-0005-0000-0000-0000D9100000}"/>
    <cellStyle name="_COST ALLOCATION (IEL  DAMCO) JUN 2008 THH_511 - RevenueAccount_31012010" xfId="508" xr:uid="{00000000-0005-0000-0000-0000DA100000}"/>
    <cellStyle name="_COST ALLOCATION (IEL  DAMCO) JUN 2008 THH_511 - RevenueAccount_31032010" xfId="509" xr:uid="{00000000-0005-0000-0000-0000DB100000}"/>
    <cellStyle name="_COST ALLOCATION (IEL  DAMCO) JUN 2008 THH_511 - RevenueAccount_31072010" xfId="510" xr:uid="{00000000-0005-0000-0000-0000DC100000}"/>
    <cellStyle name="_COST ALLOCATION (IEL  DAMCO) JUN 2008 THH_Acrrued" xfId="511" xr:uid="{00000000-0005-0000-0000-0000DD100000}"/>
    <cellStyle name="_COST ALLOCATION (IEL  DAMCO) JUN 2008 THH_Acrrued01" xfId="512" xr:uid="{00000000-0005-0000-0000-0000DE100000}"/>
    <cellStyle name="_COST ALLOCATION (IEL  DAMCO) JUN 2008 THH_Book1 (version 5)" xfId="513" xr:uid="{00000000-0005-0000-0000-0000DF100000}"/>
    <cellStyle name="_COST ALLOCATION (IEL  DAMCO) JUN 2008 THH_BOULWARE" xfId="514" xr:uid="{00000000-0005-0000-0000-0000E0100000}"/>
    <cellStyle name="_COST ALLOCATION (IEL  DAMCO) JUN 2008 THH_BOULWARE 2" xfId="2444" xr:uid="{00000000-0005-0000-0000-0000E1100000}"/>
    <cellStyle name="_COST ALLOCATION (IEL  DAMCO) JUN 2008 THH_BOULWARE 3" xfId="2796" xr:uid="{00000000-0005-0000-0000-0000E2100000}"/>
    <cellStyle name="_COST ALLOCATION (IEL  DAMCO) JUN 2008 THH_BOULWARE 4" xfId="2396" xr:uid="{00000000-0005-0000-0000-0000E3100000}"/>
    <cellStyle name="_COST ALLOCATION (IEL  DAMCO) JUN 2008 THH_BOULWARE 5" xfId="2835" xr:uid="{00000000-0005-0000-0000-0000E4100000}"/>
    <cellStyle name="_COST ALLOCATION (IEL  DAMCO) JUN 2008 THH_BOULWARE 6" xfId="2477" xr:uid="{00000000-0005-0000-0000-0000E5100000}"/>
    <cellStyle name="_COST ALLOCATION (IEL  DAMCO) JUN 2008 THH_BOULWARE 7" xfId="2910" xr:uid="{00000000-0005-0000-0000-0000E6100000}"/>
    <cellStyle name="_COST ALLOCATION (IEL  DAMCO) JUN 2008 THH_BS_HQ" xfId="515" xr:uid="{00000000-0005-0000-0000-0000E7100000}"/>
    <cellStyle name="_COST ALLOCATION (IEL  DAMCO) JUN 2008 THH_Detail-02" xfId="516" xr:uid="{00000000-0005-0000-0000-0000E8100000}"/>
    <cellStyle name="_COST ALLOCATION (IEL  DAMCO) JUN 2008 THH_DEtial-02" xfId="517" xr:uid="{00000000-0005-0000-0000-0000E9100000}"/>
    <cellStyle name="_COST ALLOCATION (IEL  DAMCO) JUN 2008 THH_DEtial-02 2" xfId="2445" xr:uid="{00000000-0005-0000-0000-0000EA100000}"/>
    <cellStyle name="_COST ALLOCATION (IEL  DAMCO) JUN 2008 THH_DEtial-02 3" xfId="2795" xr:uid="{00000000-0005-0000-0000-0000EB100000}"/>
    <cellStyle name="_COST ALLOCATION (IEL  DAMCO) JUN 2008 THH_DEtial-02 4" xfId="2399" xr:uid="{00000000-0005-0000-0000-0000EC100000}"/>
    <cellStyle name="_COST ALLOCATION (IEL  DAMCO) JUN 2008 THH_DEtial-02 5" xfId="2831" xr:uid="{00000000-0005-0000-0000-0000ED100000}"/>
    <cellStyle name="_COST ALLOCATION (IEL  DAMCO) JUN 2008 THH_DEtial-02 6" xfId="2481" xr:uid="{00000000-0005-0000-0000-0000EE100000}"/>
    <cellStyle name="_COST ALLOCATION (IEL  DAMCO) JUN 2008 THH_DEtial-02 7" xfId="2947" xr:uid="{00000000-0005-0000-0000-0000EF100000}"/>
    <cellStyle name="_COST ALLOCATION (IEL  DAMCO) JUN 2008 THH_DEtial-02_IS-HQ" xfId="518" xr:uid="{00000000-0005-0000-0000-0000F0100000}"/>
    <cellStyle name="_COST ALLOCATION (IEL  DAMCO) JUN 2008 THH_DEtial-02_IS-HQ 2" xfId="2446" xr:uid="{00000000-0005-0000-0000-0000F1100000}"/>
    <cellStyle name="_COST ALLOCATION (IEL  DAMCO) JUN 2008 THH_DEtial-02_IS-HQ 3" xfId="2794" xr:uid="{00000000-0005-0000-0000-0000F2100000}"/>
    <cellStyle name="_COST ALLOCATION (IEL  DAMCO) JUN 2008 THH_DEtial-02_IS-HQ 4" xfId="2400" xr:uid="{00000000-0005-0000-0000-0000F3100000}"/>
    <cellStyle name="_COST ALLOCATION (IEL  DAMCO) JUN 2008 THH_DEtial-02_IS-HQ 5" xfId="2829" xr:uid="{00000000-0005-0000-0000-0000F4100000}"/>
    <cellStyle name="_COST ALLOCATION (IEL  DAMCO) JUN 2008 THH_DEtial-02_IS-HQ 6" xfId="2482" xr:uid="{00000000-0005-0000-0000-0000F5100000}"/>
    <cellStyle name="_COST ALLOCATION (IEL  DAMCO) JUN 2008 THH_DEtial-02_IS-HQ 7" xfId="2946" xr:uid="{00000000-0005-0000-0000-0000F6100000}"/>
    <cellStyle name="_COST ALLOCATION (IEL  DAMCO) JUN 2008 THH_DEtial-02_PO-HQ" xfId="519" xr:uid="{00000000-0005-0000-0000-0000F7100000}"/>
    <cellStyle name="_COST ALLOCATION (IEL  DAMCO) JUN 2008 THH_DEtial-02_PO-HQ_1" xfId="520" xr:uid="{00000000-0005-0000-0000-0000F8100000}"/>
    <cellStyle name="_COST ALLOCATION (IEL  DAMCO) JUN 2008 THH_DEtial-02_PO-HQ_1 2" xfId="2447" xr:uid="{00000000-0005-0000-0000-0000F9100000}"/>
    <cellStyle name="_COST ALLOCATION (IEL  DAMCO) JUN 2008 THH_DEtial-02_PO-HQ_1 3" xfId="2793" xr:uid="{00000000-0005-0000-0000-0000FA100000}"/>
    <cellStyle name="_COST ALLOCATION (IEL  DAMCO) JUN 2008 THH_DEtial-02_PO-HQ_1 4" xfId="2405" xr:uid="{00000000-0005-0000-0000-0000FB100000}"/>
    <cellStyle name="_COST ALLOCATION (IEL  DAMCO) JUN 2008 THH_DEtial-02_PO-HQ_1 5" xfId="2828" xr:uid="{00000000-0005-0000-0000-0000FC100000}"/>
    <cellStyle name="_COST ALLOCATION (IEL  DAMCO) JUN 2008 THH_DEtial-02_PO-HQ_1 6" xfId="2483" xr:uid="{00000000-0005-0000-0000-0000FD100000}"/>
    <cellStyle name="_COST ALLOCATION (IEL  DAMCO) JUN 2008 THH_DEtial-02_PO-HQ_1 7" xfId="2945" xr:uid="{00000000-0005-0000-0000-0000FE100000}"/>
    <cellStyle name="_COST ALLOCATION (IEL  DAMCO) JUN 2008 THH_DEtial-02_TB" xfId="521" xr:uid="{00000000-0005-0000-0000-0000FF100000}"/>
    <cellStyle name="_COST ALLOCATION (IEL  DAMCO) JUN 2008 THH_EVALUATION_EX_311208" xfId="522" xr:uid="{00000000-0005-0000-0000-000000110000}"/>
    <cellStyle name="_COST ALLOCATION (IEL  DAMCO) JUN 2008 THH_EVALUATION_EX_311208_EVALUATION_EX_311208" xfId="523" xr:uid="{00000000-0005-0000-0000-000001110000}"/>
    <cellStyle name="_COST ALLOCATION (IEL  DAMCO) JUN 2008 THH_IS-HQ" xfId="524" xr:uid="{00000000-0005-0000-0000-000002110000}"/>
    <cellStyle name="_COST ALLOCATION (IEL  DAMCO) JUN 2008 THH_IS-HQ_1" xfId="525" xr:uid="{00000000-0005-0000-0000-000003110000}"/>
    <cellStyle name="_COST ALLOCATION (IEL  DAMCO) JUN 2008 THH_IS-HQ_1_PO-HQ" xfId="526" xr:uid="{00000000-0005-0000-0000-000004110000}"/>
    <cellStyle name="_COST ALLOCATION (IEL  DAMCO) JUN 2008 THH_IS-HQ_2" xfId="527" xr:uid="{00000000-0005-0000-0000-000005110000}"/>
    <cellStyle name="_COST ALLOCATION (IEL  DAMCO) JUN 2008 THH_IS-HQ_2 2" xfId="2450" xr:uid="{00000000-0005-0000-0000-000006110000}"/>
    <cellStyle name="_COST ALLOCATION (IEL  DAMCO) JUN 2008 THH_IS-HQ_2 3" xfId="2792" xr:uid="{00000000-0005-0000-0000-000007110000}"/>
    <cellStyle name="_COST ALLOCATION (IEL  DAMCO) JUN 2008 THH_IS-HQ_2 4" xfId="2407" xr:uid="{00000000-0005-0000-0000-000008110000}"/>
    <cellStyle name="_COST ALLOCATION (IEL  DAMCO) JUN 2008 THH_IS-HQ_2 5" xfId="2822" xr:uid="{00000000-0005-0000-0000-000009110000}"/>
    <cellStyle name="_COST ALLOCATION (IEL  DAMCO) JUN 2008 THH_IS-HQ_2 6" xfId="2485" xr:uid="{00000000-0005-0000-0000-00000A110000}"/>
    <cellStyle name="_COST ALLOCATION (IEL  DAMCO) JUN 2008 THH_IS-HQ_2 7" xfId="2943" xr:uid="{00000000-0005-0000-0000-00000B110000}"/>
    <cellStyle name="_COST ALLOCATION (IEL  DAMCO) JUN 2008 THH_PO-HQ" xfId="528" xr:uid="{00000000-0005-0000-0000-00000C110000}"/>
    <cellStyle name="_COST ALLOCATION (IEL  DAMCO) JUN 2008 THH_PO-HQ_1" xfId="529" xr:uid="{00000000-0005-0000-0000-00000D110000}"/>
    <cellStyle name="_COST ALLOCATION (IEL  DAMCO) JUN 2008 THH_PO-HQ_1_PO-HQ" xfId="530" xr:uid="{00000000-0005-0000-0000-00000E110000}"/>
    <cellStyle name="_COST ALLOCATION (IEL  DAMCO) JUN 2008 THH_PO-HQ_2" xfId="531" xr:uid="{00000000-0005-0000-0000-00000F110000}"/>
    <cellStyle name="_COST ALLOCATION (IEL  DAMCO) JUN 2008 THH_PO-HQ_2 2" xfId="2451" xr:uid="{00000000-0005-0000-0000-000010110000}"/>
    <cellStyle name="_COST ALLOCATION (IEL  DAMCO) JUN 2008 THH_PO-HQ_2 3" xfId="2789" xr:uid="{00000000-0005-0000-0000-000011110000}"/>
    <cellStyle name="_COST ALLOCATION (IEL  DAMCO) JUN 2008 THH_PO-HQ_2 4" xfId="2413" xr:uid="{00000000-0005-0000-0000-000012110000}"/>
    <cellStyle name="_COST ALLOCATION (IEL  DAMCO) JUN 2008 THH_PO-HQ_2 5" xfId="2819" xr:uid="{00000000-0005-0000-0000-000013110000}"/>
    <cellStyle name="_COST ALLOCATION (IEL  DAMCO) JUN 2008 THH_PO-HQ_2 6" xfId="2486" xr:uid="{00000000-0005-0000-0000-000014110000}"/>
    <cellStyle name="_COST ALLOCATION (IEL  DAMCO) JUN 2008 THH_PO-HQ_2 7" xfId="2791" xr:uid="{00000000-0005-0000-0000-000015110000}"/>
    <cellStyle name="_COST ALLOCATION (IEL  DAMCO) JUN 2008 THH_ReceiptList" xfId="532" xr:uid="{00000000-0005-0000-0000-000016110000}"/>
    <cellStyle name="_COST ALLOCATION (IEL  DAMCO) JUN 2008 THH_ReceiptList 2" xfId="2452" xr:uid="{00000000-0005-0000-0000-000017110000}"/>
    <cellStyle name="_COST ALLOCATION (IEL  DAMCO) JUN 2008 THH_ReceiptList 3" xfId="2788" xr:uid="{00000000-0005-0000-0000-000018110000}"/>
    <cellStyle name="_COST ALLOCATION (IEL  DAMCO) JUN 2008 THH_ReceiptList 4" xfId="2414" xr:uid="{00000000-0005-0000-0000-000019110000}"/>
    <cellStyle name="_COST ALLOCATION (IEL  DAMCO) JUN 2008 THH_ReceiptList 5" xfId="2818" xr:uid="{00000000-0005-0000-0000-00001A110000}"/>
    <cellStyle name="_COST ALLOCATION (IEL  DAMCO) JUN 2008 THH_ReceiptList 6" xfId="2487" xr:uid="{00000000-0005-0000-0000-00001B110000}"/>
    <cellStyle name="_COST ALLOCATION (IEL  DAMCO) JUN 2008 THH_ReceiptList 7" xfId="2790" xr:uid="{00000000-0005-0000-0000-00001C110000}"/>
    <cellStyle name="_COST ALLOCATION (IEL  DAMCO) JUN 2008 THH_Sales Book 082008" xfId="533" xr:uid="{00000000-0005-0000-0000-00001D110000}"/>
    <cellStyle name="_COST ALLOCATION (IEL  DAMCO) JUN 2008 THH_Sales Book 082008 2" xfId="2453" xr:uid="{00000000-0005-0000-0000-00001E110000}"/>
    <cellStyle name="_COST ALLOCATION (IEL  DAMCO) JUN 2008 THH_Sales Book 082008 3" xfId="2787" xr:uid="{00000000-0005-0000-0000-00001F110000}"/>
    <cellStyle name="_COST ALLOCATION (IEL  DAMCO) JUN 2008 THH_Sales Book 082008 4" xfId="2415" xr:uid="{00000000-0005-0000-0000-000020110000}"/>
    <cellStyle name="_COST ALLOCATION (IEL  DAMCO) JUN 2008 THH_Sales Book 082008 5" xfId="2817" xr:uid="{00000000-0005-0000-0000-000021110000}"/>
    <cellStyle name="_COST ALLOCATION (IEL  DAMCO) JUN 2008 THH_Sales Book 082008 6" xfId="2489" xr:uid="{00000000-0005-0000-0000-000022110000}"/>
    <cellStyle name="_COST ALLOCATION (IEL  DAMCO) JUN 2008 THH_Sales Book 082008 7" xfId="2941" xr:uid="{00000000-0005-0000-0000-000023110000}"/>
    <cellStyle name="_COST ALLOCATION (IEL  DAMCO) JUN 2008 THH_Sheet1" xfId="534" xr:uid="{00000000-0005-0000-0000-000024110000}"/>
    <cellStyle name="_COST ALLOCATION (IEL  DAMCO) JUN 2008 THH_Sheet2" xfId="535" xr:uid="{00000000-0005-0000-0000-000025110000}"/>
    <cellStyle name="_COST ALLOCATION (IEL  DAMCO) JUN 2008 THH_Sheet3" xfId="536" xr:uid="{00000000-0005-0000-0000-000026110000}"/>
    <cellStyle name="_COST ALLOCATION (IEL  DAMCO) JUN 2008 THH_Sheet3 2" xfId="2454" xr:uid="{00000000-0005-0000-0000-000027110000}"/>
    <cellStyle name="_COST ALLOCATION (IEL  DAMCO) JUN 2008 THH_Sheet3 3" xfId="2786" xr:uid="{00000000-0005-0000-0000-000028110000}"/>
    <cellStyle name="_COST ALLOCATION (IEL  DAMCO) JUN 2008 THH_Sheet3 4" xfId="2416" xr:uid="{00000000-0005-0000-0000-000029110000}"/>
    <cellStyle name="_COST ALLOCATION (IEL  DAMCO) JUN 2008 THH_Sheet3 5" xfId="2816" xr:uid="{00000000-0005-0000-0000-00002A110000}"/>
    <cellStyle name="_COST ALLOCATION (IEL  DAMCO) JUN 2008 THH_Sheet3 6" xfId="2493" xr:uid="{00000000-0005-0000-0000-00002B110000}"/>
    <cellStyle name="_COST ALLOCATION (IEL  DAMCO) JUN 2008 THH_Sheet3 7" xfId="2940" xr:uid="{00000000-0005-0000-0000-00002C110000}"/>
    <cellStyle name="_COST ALLOCATION (IEL  DAMCO) JUN 2008 THH_TB" xfId="537" xr:uid="{00000000-0005-0000-0000-00002D110000}"/>
    <cellStyle name="_COST ALLOCATION (IEL  DAMCO) MAR 2008 THH" xfId="538" xr:uid="{00000000-0005-0000-0000-00002E110000}"/>
    <cellStyle name="_COST ALLOCATION (IEL  DAMCO) MAR 2008 THH 2" xfId="539" xr:uid="{00000000-0005-0000-0000-00002F110000}"/>
    <cellStyle name="_COST ALLOCATION (IEL  DAMCO) MAR 2008 THH 3" xfId="540" xr:uid="{00000000-0005-0000-0000-000030110000}"/>
    <cellStyle name="_COST ALLOCATION (IEL  DAMCO) MAR 2008 THH 4" xfId="541" xr:uid="{00000000-0005-0000-0000-000031110000}"/>
    <cellStyle name="_COST ALLOCATION (IEL  DAMCO) MAR 2008 THH_138 - OtherReceivableAccount_30112009" xfId="542" xr:uid="{00000000-0005-0000-0000-000032110000}"/>
    <cellStyle name="_COST ALLOCATION (IEL  DAMCO) MAR 2008 THH_138 - OtherReceivableAccount_30112009_138 - OtherReceivableAccount_28022010" xfId="543" xr:uid="{00000000-0005-0000-0000-000033110000}"/>
    <cellStyle name="_COST ALLOCATION (IEL  DAMCO) MAR 2008 THH_138 - OtherReceivableAccount_30112009_138 - OtherReceivableAccount_31012010" xfId="544" xr:uid="{00000000-0005-0000-0000-000034110000}"/>
    <cellStyle name="_COST ALLOCATION (IEL  DAMCO) MAR 2008 THH_138 - OtherReceivableAccount_30112009_138 - OtherReceivableAccount_31122009" xfId="545" xr:uid="{00000000-0005-0000-0000-000035110000}"/>
    <cellStyle name="_COST ALLOCATION (IEL  DAMCO) MAR 2008 THH_138 - OtherReceivableAccount_30112009_EVALUATION_EX_311208" xfId="546" xr:uid="{00000000-0005-0000-0000-000036110000}"/>
    <cellStyle name="_COST ALLOCATION (IEL  DAMCO) MAR 2008 THH_138 - OtherReceivableAccount_30112009_YTDHST " xfId="547" xr:uid="{00000000-0005-0000-0000-000037110000}"/>
    <cellStyle name="_COST ALLOCATION (IEL  DAMCO) MAR 2008 THH_138 - OtherReceivableAccount_31102009" xfId="548" xr:uid="{00000000-0005-0000-0000-000038110000}"/>
    <cellStyle name="_COST ALLOCATION (IEL  DAMCO) MAR 2008 THH_138 - OtherReceivableAccount_31102009_138 - OtherReceivableAccount_28022010" xfId="549" xr:uid="{00000000-0005-0000-0000-000039110000}"/>
    <cellStyle name="_COST ALLOCATION (IEL  DAMCO) MAR 2008 THH_138 - OtherReceivableAccount_31102009_138 - OtherReceivableAccount_31012010" xfId="550" xr:uid="{00000000-0005-0000-0000-00003A110000}"/>
    <cellStyle name="_COST ALLOCATION (IEL  DAMCO) MAR 2008 THH_138 - OtherReceivableAccount_31102009_138 - OtherReceivableAccount_31122009" xfId="551" xr:uid="{00000000-0005-0000-0000-00003B110000}"/>
    <cellStyle name="_COST ALLOCATION (IEL  DAMCO) MAR 2008 THH_138 - OtherReceivableAccount_31102009_EVALUATION_EX_311208" xfId="552" xr:uid="{00000000-0005-0000-0000-00003C110000}"/>
    <cellStyle name="_COST ALLOCATION (IEL  DAMCO) MAR 2008 THH_138 - OtherReceivableAccount_31102009_YTDHST " xfId="553" xr:uid="{00000000-0005-0000-0000-00003D110000}"/>
    <cellStyle name="_COST ALLOCATION (IEL  DAMCO) MAR 2008 THH_511 - RevenueAccount_28022010" xfId="554" xr:uid="{00000000-0005-0000-0000-00003E110000}"/>
    <cellStyle name="_COST ALLOCATION (IEL  DAMCO) MAR 2008 THH_511 - RevenueAccount_30042010" xfId="555" xr:uid="{00000000-0005-0000-0000-00003F110000}"/>
    <cellStyle name="_COST ALLOCATION (IEL  DAMCO) MAR 2008 THH_511 - RevenueAccount_30092010" xfId="556" xr:uid="{00000000-0005-0000-0000-000040110000}"/>
    <cellStyle name="_COST ALLOCATION (IEL  DAMCO) MAR 2008 THH_511 - RevenueAccount_31012010" xfId="557" xr:uid="{00000000-0005-0000-0000-000041110000}"/>
    <cellStyle name="_COST ALLOCATION (IEL  DAMCO) MAR 2008 THH_511 - RevenueAccount_31032010" xfId="558" xr:uid="{00000000-0005-0000-0000-000042110000}"/>
    <cellStyle name="_COST ALLOCATION (IEL  DAMCO) MAR 2008 THH_511 - RevenueAccount_31072010" xfId="559" xr:uid="{00000000-0005-0000-0000-000043110000}"/>
    <cellStyle name="_COST ALLOCATION (IEL  DAMCO) MAR 2008 THH_Acrrued" xfId="560" xr:uid="{00000000-0005-0000-0000-000044110000}"/>
    <cellStyle name="_COST ALLOCATION (IEL  DAMCO) MAR 2008 THH_Acrrued01" xfId="561" xr:uid="{00000000-0005-0000-0000-000045110000}"/>
    <cellStyle name="_COST ALLOCATION (IEL  DAMCO) MAR 2008 THH_Book1 (version 5)" xfId="562" xr:uid="{00000000-0005-0000-0000-000046110000}"/>
    <cellStyle name="_COST ALLOCATION (IEL  DAMCO) MAR 2008 THH_BOULWARE" xfId="563" xr:uid="{00000000-0005-0000-0000-000047110000}"/>
    <cellStyle name="_COST ALLOCATION (IEL  DAMCO) MAR 2008 THH_BOULWARE 2" xfId="2463" xr:uid="{00000000-0005-0000-0000-000048110000}"/>
    <cellStyle name="_COST ALLOCATION (IEL  DAMCO) MAR 2008 THH_BOULWARE 3" xfId="2777" xr:uid="{00000000-0005-0000-0000-000049110000}"/>
    <cellStyle name="_COST ALLOCATION (IEL  DAMCO) MAR 2008 THH_BOULWARE 4" xfId="2426" xr:uid="{00000000-0005-0000-0000-00004A110000}"/>
    <cellStyle name="_COST ALLOCATION (IEL  DAMCO) MAR 2008 THH_BOULWARE 5" xfId="2809" xr:uid="{00000000-0005-0000-0000-00004B110000}"/>
    <cellStyle name="_COST ALLOCATION (IEL  DAMCO) MAR 2008 THH_BOULWARE 6" xfId="2510" xr:uid="{00000000-0005-0000-0000-00004C110000}"/>
    <cellStyle name="_COST ALLOCATION (IEL  DAMCO) MAR 2008 THH_BOULWARE 7" xfId="2939" xr:uid="{00000000-0005-0000-0000-00004D110000}"/>
    <cellStyle name="_COST ALLOCATION (IEL  DAMCO) MAR 2008 THH_BS_HQ" xfId="564" xr:uid="{00000000-0005-0000-0000-00004E110000}"/>
    <cellStyle name="_COST ALLOCATION (IEL  DAMCO) MAR 2008 THH_Detail-02" xfId="565" xr:uid="{00000000-0005-0000-0000-00004F110000}"/>
    <cellStyle name="_COST ALLOCATION (IEL  DAMCO) MAR 2008 THH_DEtial-02" xfId="566" xr:uid="{00000000-0005-0000-0000-000050110000}"/>
    <cellStyle name="_COST ALLOCATION (IEL  DAMCO) MAR 2008 THH_DEtial-02 2" xfId="2464" xr:uid="{00000000-0005-0000-0000-000051110000}"/>
    <cellStyle name="_COST ALLOCATION (IEL  DAMCO) MAR 2008 THH_DEtial-02 3" xfId="2775" xr:uid="{00000000-0005-0000-0000-000052110000}"/>
    <cellStyle name="_COST ALLOCATION (IEL  DAMCO) MAR 2008 THH_DEtial-02 4" xfId="2428" xr:uid="{00000000-0005-0000-0000-000053110000}"/>
    <cellStyle name="_COST ALLOCATION (IEL  DAMCO) MAR 2008 THH_DEtial-02 5" xfId="2805" xr:uid="{00000000-0005-0000-0000-000054110000}"/>
    <cellStyle name="_COST ALLOCATION (IEL  DAMCO) MAR 2008 THH_DEtial-02 6" xfId="2515" xr:uid="{00000000-0005-0000-0000-000055110000}"/>
    <cellStyle name="_COST ALLOCATION (IEL  DAMCO) MAR 2008 THH_DEtial-02 7" xfId="2937" xr:uid="{00000000-0005-0000-0000-000056110000}"/>
    <cellStyle name="_COST ALLOCATION (IEL  DAMCO) MAR 2008 THH_DEtial-02_IS-HQ" xfId="567" xr:uid="{00000000-0005-0000-0000-000057110000}"/>
    <cellStyle name="_COST ALLOCATION (IEL  DAMCO) MAR 2008 THH_DEtial-02_IS-HQ 2" xfId="2465" xr:uid="{00000000-0005-0000-0000-000058110000}"/>
    <cellStyle name="_COST ALLOCATION (IEL  DAMCO) MAR 2008 THH_DEtial-02_IS-HQ 3" xfId="2774" xr:uid="{00000000-0005-0000-0000-000059110000}"/>
    <cellStyle name="_COST ALLOCATION (IEL  DAMCO) MAR 2008 THH_DEtial-02_IS-HQ 4" xfId="2432" xr:uid="{00000000-0005-0000-0000-00005A110000}"/>
    <cellStyle name="_COST ALLOCATION (IEL  DAMCO) MAR 2008 THH_DEtial-02_IS-HQ 5" xfId="2803" xr:uid="{00000000-0005-0000-0000-00005B110000}"/>
    <cellStyle name="_COST ALLOCATION (IEL  DAMCO) MAR 2008 THH_DEtial-02_IS-HQ 6" xfId="2518" xr:uid="{00000000-0005-0000-0000-00005C110000}"/>
    <cellStyle name="_COST ALLOCATION (IEL  DAMCO) MAR 2008 THH_DEtial-02_IS-HQ 7" xfId="2936" xr:uid="{00000000-0005-0000-0000-00005D110000}"/>
    <cellStyle name="_COST ALLOCATION (IEL  DAMCO) MAR 2008 THH_DEtial-02_PO-HQ" xfId="568" xr:uid="{00000000-0005-0000-0000-00005E110000}"/>
    <cellStyle name="_COST ALLOCATION (IEL  DAMCO) MAR 2008 THH_DEtial-02_PO-HQ_1" xfId="569" xr:uid="{00000000-0005-0000-0000-00005F110000}"/>
    <cellStyle name="_COST ALLOCATION (IEL  DAMCO) MAR 2008 THH_DEtial-02_PO-HQ_1 2" xfId="2467" xr:uid="{00000000-0005-0000-0000-000060110000}"/>
    <cellStyle name="_COST ALLOCATION (IEL  DAMCO) MAR 2008 THH_DEtial-02_PO-HQ_1 3" xfId="2773" xr:uid="{00000000-0005-0000-0000-000061110000}"/>
    <cellStyle name="_COST ALLOCATION (IEL  DAMCO) MAR 2008 THH_DEtial-02_PO-HQ_1 4" xfId="2434" xr:uid="{00000000-0005-0000-0000-000062110000}"/>
    <cellStyle name="_COST ALLOCATION (IEL  DAMCO) MAR 2008 THH_DEtial-02_PO-HQ_1 5" xfId="2802" xr:uid="{00000000-0005-0000-0000-000063110000}"/>
    <cellStyle name="_COST ALLOCATION (IEL  DAMCO) MAR 2008 THH_DEtial-02_PO-HQ_1 6" xfId="2519" xr:uid="{00000000-0005-0000-0000-000064110000}"/>
    <cellStyle name="_COST ALLOCATION (IEL  DAMCO) MAR 2008 THH_DEtial-02_PO-HQ_1 7" xfId="2932" xr:uid="{00000000-0005-0000-0000-000065110000}"/>
    <cellStyle name="_COST ALLOCATION (IEL  DAMCO) MAR 2008 THH_DEtial-02_TB" xfId="570" xr:uid="{00000000-0005-0000-0000-000066110000}"/>
    <cellStyle name="_COST ALLOCATION (IEL  DAMCO) MAR 2008 THH_EVALUATION_EX_311208" xfId="571" xr:uid="{00000000-0005-0000-0000-000067110000}"/>
    <cellStyle name="_COST ALLOCATION (IEL  DAMCO) MAR 2008 THH_EVALUATION_EX_311208_EVALUATION_EX_311208" xfId="572" xr:uid="{00000000-0005-0000-0000-000068110000}"/>
    <cellStyle name="_COST ALLOCATION (IEL  DAMCO) MAR 2008 THH_IS-HQ" xfId="573" xr:uid="{00000000-0005-0000-0000-000069110000}"/>
    <cellStyle name="_COST ALLOCATION (IEL  DAMCO) MAR 2008 THH_IS-HQ_1" xfId="574" xr:uid="{00000000-0005-0000-0000-00006A110000}"/>
    <cellStyle name="_COST ALLOCATION (IEL  DAMCO) MAR 2008 THH_IS-HQ_1_PO-HQ" xfId="575" xr:uid="{00000000-0005-0000-0000-00006B110000}"/>
    <cellStyle name="_COST ALLOCATION (IEL  DAMCO) MAR 2008 THH_IS-HQ_2" xfId="576" xr:uid="{00000000-0005-0000-0000-00006C110000}"/>
    <cellStyle name="_COST ALLOCATION (IEL  DAMCO) MAR 2008 THH_IS-HQ_2 2" xfId="2471" xr:uid="{00000000-0005-0000-0000-00006D110000}"/>
    <cellStyle name="_COST ALLOCATION (IEL  DAMCO) MAR 2008 THH_IS-HQ_2 3" xfId="2769" xr:uid="{00000000-0005-0000-0000-00006E110000}"/>
    <cellStyle name="_COST ALLOCATION (IEL  DAMCO) MAR 2008 THH_IS-HQ_2 4" xfId="2435" xr:uid="{00000000-0005-0000-0000-00006F110000}"/>
    <cellStyle name="_COST ALLOCATION (IEL  DAMCO) MAR 2008 THH_IS-HQ_2 5" xfId="2801" xr:uid="{00000000-0005-0000-0000-000070110000}"/>
    <cellStyle name="_COST ALLOCATION (IEL  DAMCO) MAR 2008 THH_IS-HQ_2 6" xfId="2521" xr:uid="{00000000-0005-0000-0000-000071110000}"/>
    <cellStyle name="_COST ALLOCATION (IEL  DAMCO) MAR 2008 THH_IS-HQ_2 7" xfId="2956" xr:uid="{00000000-0005-0000-0000-000072110000}"/>
    <cellStyle name="_COST ALLOCATION (IEL  DAMCO) MAR 2008 THH_PO-HQ" xfId="577" xr:uid="{00000000-0005-0000-0000-000073110000}"/>
    <cellStyle name="_COST ALLOCATION (IEL  DAMCO) MAR 2008 THH_PO-HQ_1" xfId="578" xr:uid="{00000000-0005-0000-0000-000074110000}"/>
    <cellStyle name="_COST ALLOCATION (IEL  DAMCO) MAR 2008 THH_PO-HQ_1_PO-HQ" xfId="579" xr:uid="{00000000-0005-0000-0000-000075110000}"/>
    <cellStyle name="_COST ALLOCATION (IEL  DAMCO) MAR 2008 THH_PO-HQ_2" xfId="580" xr:uid="{00000000-0005-0000-0000-000076110000}"/>
    <cellStyle name="_COST ALLOCATION (IEL  DAMCO) MAR 2008 THH_PO-HQ_2 2" xfId="2473" xr:uid="{00000000-0005-0000-0000-000077110000}"/>
    <cellStyle name="_COST ALLOCATION (IEL  DAMCO) MAR 2008 THH_PO-HQ_2 3" xfId="2767" xr:uid="{00000000-0005-0000-0000-000078110000}"/>
    <cellStyle name="_COST ALLOCATION (IEL  DAMCO) MAR 2008 THH_PO-HQ_2 4" xfId="2436" xr:uid="{00000000-0005-0000-0000-000079110000}"/>
    <cellStyle name="_COST ALLOCATION (IEL  DAMCO) MAR 2008 THH_PO-HQ_2 5" xfId="2800" xr:uid="{00000000-0005-0000-0000-00007A110000}"/>
    <cellStyle name="_COST ALLOCATION (IEL  DAMCO) MAR 2008 THH_PO-HQ_2 6" xfId="2523" xr:uid="{00000000-0005-0000-0000-00007B110000}"/>
    <cellStyle name="_COST ALLOCATION (IEL  DAMCO) MAR 2008 THH_PO-HQ_2 7" xfId="2952" xr:uid="{00000000-0005-0000-0000-00007C110000}"/>
    <cellStyle name="_COST ALLOCATION (IEL  DAMCO) MAR 2008 THH_ReceiptList" xfId="581" xr:uid="{00000000-0005-0000-0000-00007D110000}"/>
    <cellStyle name="_COST ALLOCATION (IEL  DAMCO) MAR 2008 THH_ReceiptList 2" xfId="2474" xr:uid="{00000000-0005-0000-0000-00007E110000}"/>
    <cellStyle name="_COST ALLOCATION (IEL  DAMCO) MAR 2008 THH_ReceiptList 3" xfId="2766" xr:uid="{00000000-0005-0000-0000-00007F110000}"/>
    <cellStyle name="_COST ALLOCATION (IEL  DAMCO) MAR 2008 THH_ReceiptList 4" xfId="2437" xr:uid="{00000000-0005-0000-0000-000080110000}"/>
    <cellStyle name="_COST ALLOCATION (IEL  DAMCO) MAR 2008 THH_ReceiptList 5" xfId="2799" xr:uid="{00000000-0005-0000-0000-000081110000}"/>
    <cellStyle name="_COST ALLOCATION (IEL  DAMCO) MAR 2008 THH_ReceiptList 6" xfId="2524" xr:uid="{00000000-0005-0000-0000-000082110000}"/>
    <cellStyle name="_COST ALLOCATION (IEL  DAMCO) MAR 2008 THH_ReceiptList 7" xfId="2951" xr:uid="{00000000-0005-0000-0000-000083110000}"/>
    <cellStyle name="_COST ALLOCATION (IEL  DAMCO) MAR 2008 THH_Sales Book 082008" xfId="582" xr:uid="{00000000-0005-0000-0000-000084110000}"/>
    <cellStyle name="_COST ALLOCATION (IEL  DAMCO) MAR 2008 THH_Sales Book 082008 2" xfId="2475" xr:uid="{00000000-0005-0000-0000-000085110000}"/>
    <cellStyle name="_COST ALLOCATION (IEL  DAMCO) MAR 2008 THH_Sales Book 082008 3" xfId="2765" xr:uid="{00000000-0005-0000-0000-000086110000}"/>
    <cellStyle name="_COST ALLOCATION (IEL  DAMCO) MAR 2008 THH_Sales Book 082008 4" xfId="2438" xr:uid="{00000000-0005-0000-0000-000087110000}"/>
    <cellStyle name="_COST ALLOCATION (IEL  DAMCO) MAR 2008 THH_Sales Book 082008 5" xfId="2798" xr:uid="{00000000-0005-0000-0000-000088110000}"/>
    <cellStyle name="_COST ALLOCATION (IEL  DAMCO) MAR 2008 THH_Sales Book 082008 6" xfId="2526" xr:uid="{00000000-0005-0000-0000-000089110000}"/>
    <cellStyle name="_COST ALLOCATION (IEL  DAMCO) MAR 2008 THH_Sales Book 082008 7" xfId="2950" xr:uid="{00000000-0005-0000-0000-00008A110000}"/>
    <cellStyle name="_COST ALLOCATION (IEL  DAMCO) MAR 2008 THH_Sheet1" xfId="583" xr:uid="{00000000-0005-0000-0000-00008B110000}"/>
    <cellStyle name="_COST ALLOCATION (IEL  DAMCO) MAR 2008 THH_Sheet2" xfId="584" xr:uid="{00000000-0005-0000-0000-00008C110000}"/>
    <cellStyle name="_COST ALLOCATION (IEL  DAMCO) MAR 2008 THH_Sheet3" xfId="585" xr:uid="{00000000-0005-0000-0000-00008D110000}"/>
    <cellStyle name="_COST ALLOCATION (IEL  DAMCO) MAR 2008 THH_Sheet3 2" xfId="2476" xr:uid="{00000000-0005-0000-0000-00008E110000}"/>
    <cellStyle name="_COST ALLOCATION (IEL  DAMCO) MAR 2008 THH_Sheet3 3" xfId="2763" xr:uid="{00000000-0005-0000-0000-00008F110000}"/>
    <cellStyle name="_COST ALLOCATION (IEL  DAMCO) MAR 2008 THH_Sheet3 4" xfId="2440" xr:uid="{00000000-0005-0000-0000-000090110000}"/>
    <cellStyle name="_COST ALLOCATION (IEL  DAMCO) MAR 2008 THH_Sheet3 5" xfId="2797" xr:uid="{00000000-0005-0000-0000-000091110000}"/>
    <cellStyle name="_COST ALLOCATION (IEL  DAMCO) MAR 2008 THH_Sheet3 6" xfId="2530" xr:uid="{00000000-0005-0000-0000-000092110000}"/>
    <cellStyle name="_COST ALLOCATION (IEL  DAMCO) MAR 2008 THH_Sheet3 7" xfId="2912" xr:uid="{00000000-0005-0000-0000-000093110000}"/>
    <cellStyle name="_COST ALLOCATION (IEL  DAMCO) MAR 2008 THH_TB" xfId="586" xr:uid="{00000000-0005-0000-0000-000094110000}"/>
    <cellStyle name="_COST ALLOCATION (IEL  DAMCO) MAY 2008 THH (2)" xfId="587" xr:uid="{00000000-0005-0000-0000-000095110000}"/>
    <cellStyle name="_COST ALLOCATION (IEL  DAMCO) MAY 2008 THH (2) 2" xfId="588" xr:uid="{00000000-0005-0000-0000-000096110000}"/>
    <cellStyle name="_COST ALLOCATION (IEL  DAMCO) MAY 2008 THH (2) 3" xfId="589" xr:uid="{00000000-0005-0000-0000-000097110000}"/>
    <cellStyle name="_COST ALLOCATION (IEL  DAMCO) MAY 2008 THH (2) 4" xfId="590" xr:uid="{00000000-0005-0000-0000-000098110000}"/>
    <cellStyle name="_COST ALLOCATION (IEL  DAMCO) MAY 2008 THH (2)_138 - OtherReceivableAccount_30112009" xfId="591" xr:uid="{00000000-0005-0000-0000-000099110000}"/>
    <cellStyle name="_COST ALLOCATION (IEL  DAMCO) MAY 2008 THH (2)_138 - OtherReceivableAccount_30112009_138 - OtherReceivableAccount_28022010" xfId="592" xr:uid="{00000000-0005-0000-0000-00009A110000}"/>
    <cellStyle name="_COST ALLOCATION (IEL  DAMCO) MAY 2008 THH (2)_138 - OtherReceivableAccount_30112009_138 - OtherReceivableAccount_31012010" xfId="593" xr:uid="{00000000-0005-0000-0000-00009B110000}"/>
    <cellStyle name="_COST ALLOCATION (IEL  DAMCO) MAY 2008 THH (2)_138 - OtherReceivableAccount_30112009_138 - OtherReceivableAccount_31122009" xfId="594" xr:uid="{00000000-0005-0000-0000-00009C110000}"/>
    <cellStyle name="_COST ALLOCATION (IEL  DAMCO) MAY 2008 THH (2)_138 - OtherReceivableAccount_30112009_EVALUATION_EX_311208" xfId="595" xr:uid="{00000000-0005-0000-0000-00009D110000}"/>
    <cellStyle name="_COST ALLOCATION (IEL  DAMCO) MAY 2008 THH (2)_138 - OtherReceivableAccount_30112009_YTDHST " xfId="596" xr:uid="{00000000-0005-0000-0000-00009E110000}"/>
    <cellStyle name="_COST ALLOCATION (IEL  DAMCO) MAY 2008 THH (2)_138 - OtherReceivableAccount_31102009" xfId="597" xr:uid="{00000000-0005-0000-0000-00009F110000}"/>
    <cellStyle name="_COST ALLOCATION (IEL  DAMCO) MAY 2008 THH (2)_138 - OtherReceivableAccount_31102009_138 - OtherReceivableAccount_28022010" xfId="598" xr:uid="{00000000-0005-0000-0000-0000A0110000}"/>
    <cellStyle name="_COST ALLOCATION (IEL  DAMCO) MAY 2008 THH (2)_138 - OtherReceivableAccount_31102009_138 - OtherReceivableAccount_31012010" xfId="599" xr:uid="{00000000-0005-0000-0000-0000A1110000}"/>
    <cellStyle name="_COST ALLOCATION (IEL  DAMCO) MAY 2008 THH (2)_138 - OtherReceivableAccount_31102009_138 - OtherReceivableAccount_31122009" xfId="600" xr:uid="{00000000-0005-0000-0000-0000A2110000}"/>
    <cellStyle name="_COST ALLOCATION (IEL  DAMCO) MAY 2008 THH (2)_138 - OtherReceivableAccount_31102009_EVALUATION_EX_311208" xfId="601" xr:uid="{00000000-0005-0000-0000-0000A3110000}"/>
    <cellStyle name="_COST ALLOCATION (IEL  DAMCO) MAY 2008 THH (2)_138 - OtherReceivableAccount_31102009_YTDHST " xfId="602" xr:uid="{00000000-0005-0000-0000-0000A4110000}"/>
    <cellStyle name="_COST ALLOCATION (IEL  DAMCO) MAY 2008 THH (2)_511 - RevenueAccount_28022010" xfId="603" xr:uid="{00000000-0005-0000-0000-0000A5110000}"/>
    <cellStyle name="_COST ALLOCATION (IEL  DAMCO) MAY 2008 THH (2)_511 - RevenueAccount_30042010" xfId="604" xr:uid="{00000000-0005-0000-0000-0000A6110000}"/>
    <cellStyle name="_COST ALLOCATION (IEL  DAMCO) MAY 2008 THH (2)_511 - RevenueAccount_30092010" xfId="605" xr:uid="{00000000-0005-0000-0000-0000A7110000}"/>
    <cellStyle name="_COST ALLOCATION (IEL  DAMCO) MAY 2008 THH (2)_511 - RevenueAccount_31012010" xfId="606" xr:uid="{00000000-0005-0000-0000-0000A8110000}"/>
    <cellStyle name="_COST ALLOCATION (IEL  DAMCO) MAY 2008 THH (2)_511 - RevenueAccount_31032010" xfId="607" xr:uid="{00000000-0005-0000-0000-0000A9110000}"/>
    <cellStyle name="_COST ALLOCATION (IEL  DAMCO) MAY 2008 THH (2)_511 - RevenueAccount_31072010" xfId="608" xr:uid="{00000000-0005-0000-0000-0000AA110000}"/>
    <cellStyle name="_COST ALLOCATION (IEL  DAMCO) MAY 2008 THH (2)_Acrrued" xfId="609" xr:uid="{00000000-0005-0000-0000-0000AB110000}"/>
    <cellStyle name="_COST ALLOCATION (IEL  DAMCO) MAY 2008 THH (2)_Acrrued01" xfId="610" xr:uid="{00000000-0005-0000-0000-0000AC110000}"/>
    <cellStyle name="_COST ALLOCATION (IEL  DAMCO) MAY 2008 THH (2)_Book1 (version 5)" xfId="611" xr:uid="{00000000-0005-0000-0000-0000AD110000}"/>
    <cellStyle name="_COST ALLOCATION (IEL  DAMCO) MAY 2008 THH (2)_BOULWARE" xfId="612" xr:uid="{00000000-0005-0000-0000-0000AE110000}"/>
    <cellStyle name="_COST ALLOCATION (IEL  DAMCO) MAY 2008 THH (2)_BOULWARE 2" xfId="2488" xr:uid="{00000000-0005-0000-0000-0000AF110000}"/>
    <cellStyle name="_COST ALLOCATION (IEL  DAMCO) MAY 2008 THH (2)_BOULWARE 3" xfId="2755" xr:uid="{00000000-0005-0000-0000-0000B0110000}"/>
    <cellStyle name="_COST ALLOCATION (IEL  DAMCO) MAY 2008 THH (2)_BOULWARE 4" xfId="2458" xr:uid="{00000000-0005-0000-0000-0000B1110000}"/>
    <cellStyle name="_COST ALLOCATION (IEL  DAMCO) MAY 2008 THH (2)_BOULWARE 5" xfId="2781" xr:uid="{00000000-0005-0000-0000-0000B2110000}"/>
    <cellStyle name="_COST ALLOCATION (IEL  DAMCO) MAY 2008 THH (2)_BOULWARE 6" xfId="2541" xr:uid="{00000000-0005-0000-0000-0000B3110000}"/>
    <cellStyle name="_COST ALLOCATION (IEL  DAMCO) MAY 2008 THH (2)_BOULWARE 7" xfId="2913" xr:uid="{00000000-0005-0000-0000-0000B4110000}"/>
    <cellStyle name="_COST ALLOCATION (IEL  DAMCO) MAY 2008 THH (2)_BS_HQ" xfId="613" xr:uid="{00000000-0005-0000-0000-0000B5110000}"/>
    <cellStyle name="_COST ALLOCATION (IEL  DAMCO) MAY 2008 THH (2)_Detail-02" xfId="614" xr:uid="{00000000-0005-0000-0000-0000B6110000}"/>
    <cellStyle name="_COST ALLOCATION (IEL  DAMCO) MAY 2008 THH (2)_DEtial-02" xfId="615" xr:uid="{00000000-0005-0000-0000-0000B7110000}"/>
    <cellStyle name="_COST ALLOCATION (IEL  DAMCO) MAY 2008 THH (2)_DEtial-02 2" xfId="2490" xr:uid="{00000000-0005-0000-0000-0000B8110000}"/>
    <cellStyle name="_COST ALLOCATION (IEL  DAMCO) MAY 2008 THH (2)_DEtial-02 3" xfId="2754" xr:uid="{00000000-0005-0000-0000-0000B9110000}"/>
    <cellStyle name="_COST ALLOCATION (IEL  DAMCO) MAY 2008 THH (2)_DEtial-02 4" xfId="2459" xr:uid="{00000000-0005-0000-0000-0000BA110000}"/>
    <cellStyle name="_COST ALLOCATION (IEL  DAMCO) MAY 2008 THH (2)_DEtial-02 5" xfId="2780" xr:uid="{00000000-0005-0000-0000-0000BB110000}"/>
    <cellStyle name="_COST ALLOCATION (IEL  DAMCO) MAY 2008 THH (2)_DEtial-02 6" xfId="2544" xr:uid="{00000000-0005-0000-0000-0000BC110000}"/>
    <cellStyle name="_COST ALLOCATION (IEL  DAMCO) MAY 2008 THH (2)_DEtial-02 7" xfId="2861" xr:uid="{00000000-0005-0000-0000-0000BD110000}"/>
    <cellStyle name="_COST ALLOCATION (IEL  DAMCO) MAY 2008 THH (2)_DEtial-02_IS-HQ" xfId="616" xr:uid="{00000000-0005-0000-0000-0000BE110000}"/>
    <cellStyle name="_COST ALLOCATION (IEL  DAMCO) MAY 2008 THH (2)_DEtial-02_IS-HQ 2" xfId="2491" xr:uid="{00000000-0005-0000-0000-0000BF110000}"/>
    <cellStyle name="_COST ALLOCATION (IEL  DAMCO) MAY 2008 THH (2)_DEtial-02_IS-HQ 3" xfId="2753" xr:uid="{00000000-0005-0000-0000-0000C0110000}"/>
    <cellStyle name="_COST ALLOCATION (IEL  DAMCO) MAY 2008 THH (2)_DEtial-02_IS-HQ 4" xfId="2460" xr:uid="{00000000-0005-0000-0000-0000C1110000}"/>
    <cellStyle name="_COST ALLOCATION (IEL  DAMCO) MAY 2008 THH (2)_DEtial-02_IS-HQ 5" xfId="2779" xr:uid="{00000000-0005-0000-0000-0000C2110000}"/>
    <cellStyle name="_COST ALLOCATION (IEL  DAMCO) MAY 2008 THH (2)_DEtial-02_IS-HQ 6" xfId="2545" xr:uid="{00000000-0005-0000-0000-0000C3110000}"/>
    <cellStyle name="_COST ALLOCATION (IEL  DAMCO) MAY 2008 THH (2)_DEtial-02_IS-HQ 7" xfId="2860" xr:uid="{00000000-0005-0000-0000-0000C4110000}"/>
    <cellStyle name="_COST ALLOCATION (IEL  DAMCO) MAY 2008 THH (2)_DEtial-02_PO-HQ" xfId="617" xr:uid="{00000000-0005-0000-0000-0000C5110000}"/>
    <cellStyle name="_COST ALLOCATION (IEL  DAMCO) MAY 2008 THH (2)_DEtial-02_PO-HQ_1" xfId="618" xr:uid="{00000000-0005-0000-0000-0000C6110000}"/>
    <cellStyle name="_COST ALLOCATION (IEL  DAMCO) MAY 2008 THH (2)_DEtial-02_PO-HQ_1 2" xfId="2492" xr:uid="{00000000-0005-0000-0000-0000C7110000}"/>
    <cellStyle name="_COST ALLOCATION (IEL  DAMCO) MAY 2008 THH (2)_DEtial-02_PO-HQ_1 3" xfId="2752" xr:uid="{00000000-0005-0000-0000-0000C8110000}"/>
    <cellStyle name="_COST ALLOCATION (IEL  DAMCO) MAY 2008 THH (2)_DEtial-02_PO-HQ_1 4" xfId="2461" xr:uid="{00000000-0005-0000-0000-0000C9110000}"/>
    <cellStyle name="_COST ALLOCATION (IEL  DAMCO) MAY 2008 THH (2)_DEtial-02_PO-HQ_1 5" xfId="2778" xr:uid="{00000000-0005-0000-0000-0000CA110000}"/>
    <cellStyle name="_COST ALLOCATION (IEL  DAMCO) MAY 2008 THH (2)_DEtial-02_PO-HQ_1 6" xfId="2546" xr:uid="{00000000-0005-0000-0000-0000CB110000}"/>
    <cellStyle name="_COST ALLOCATION (IEL  DAMCO) MAY 2008 THH (2)_DEtial-02_PO-HQ_1 7" xfId="2859" xr:uid="{00000000-0005-0000-0000-0000CC110000}"/>
    <cellStyle name="_COST ALLOCATION (IEL  DAMCO) MAY 2008 THH (2)_DEtial-02_TB" xfId="619" xr:uid="{00000000-0005-0000-0000-0000CD110000}"/>
    <cellStyle name="_COST ALLOCATION (IEL  DAMCO) MAY 2008 THH (2)_EVALUATION_EX_311208" xfId="620" xr:uid="{00000000-0005-0000-0000-0000CE110000}"/>
    <cellStyle name="_COST ALLOCATION (IEL  DAMCO) MAY 2008 THH (2)_EVALUATION_EX_311208_EVALUATION_EX_311208" xfId="621" xr:uid="{00000000-0005-0000-0000-0000CF110000}"/>
    <cellStyle name="_COST ALLOCATION (IEL  DAMCO) MAY 2008 THH (2)_IS-HQ" xfId="622" xr:uid="{00000000-0005-0000-0000-0000D0110000}"/>
    <cellStyle name="_COST ALLOCATION (IEL  DAMCO) MAY 2008 THH (2)_IS-HQ_1" xfId="623" xr:uid="{00000000-0005-0000-0000-0000D1110000}"/>
    <cellStyle name="_COST ALLOCATION (IEL  DAMCO) MAY 2008 THH (2)_IS-HQ_1_PO-HQ" xfId="624" xr:uid="{00000000-0005-0000-0000-0000D2110000}"/>
    <cellStyle name="_COST ALLOCATION (IEL  DAMCO) MAY 2008 THH (2)_IS-HQ_2" xfId="625" xr:uid="{00000000-0005-0000-0000-0000D3110000}"/>
    <cellStyle name="_COST ALLOCATION (IEL  DAMCO) MAY 2008 THH (2)_IS-HQ_2 2" xfId="2495" xr:uid="{00000000-0005-0000-0000-0000D4110000}"/>
    <cellStyle name="_COST ALLOCATION (IEL  DAMCO) MAY 2008 THH (2)_IS-HQ_2 3" xfId="2751" xr:uid="{00000000-0005-0000-0000-0000D5110000}"/>
    <cellStyle name="_COST ALLOCATION (IEL  DAMCO) MAY 2008 THH (2)_IS-HQ_2 4" xfId="2462" xr:uid="{00000000-0005-0000-0000-0000D6110000}"/>
    <cellStyle name="_COST ALLOCATION (IEL  DAMCO) MAY 2008 THH (2)_IS-HQ_2 5" xfId="2776" xr:uid="{00000000-0005-0000-0000-0000D7110000}"/>
    <cellStyle name="_COST ALLOCATION (IEL  DAMCO) MAY 2008 THH (2)_IS-HQ_2 6" xfId="2547" xr:uid="{00000000-0005-0000-0000-0000D8110000}"/>
    <cellStyle name="_COST ALLOCATION (IEL  DAMCO) MAY 2008 THH (2)_IS-HQ_2 7" xfId="2909" xr:uid="{00000000-0005-0000-0000-0000D9110000}"/>
    <cellStyle name="_COST ALLOCATION (IEL  DAMCO) MAY 2008 THH (2)_PO-HQ" xfId="626" xr:uid="{00000000-0005-0000-0000-0000DA110000}"/>
    <cellStyle name="_COST ALLOCATION (IEL  DAMCO) MAY 2008 THH (2)_PO-HQ_1" xfId="627" xr:uid="{00000000-0005-0000-0000-0000DB110000}"/>
    <cellStyle name="_COST ALLOCATION (IEL  DAMCO) MAY 2008 THH (2)_PO-HQ_1_PO-HQ" xfId="628" xr:uid="{00000000-0005-0000-0000-0000DC110000}"/>
    <cellStyle name="_COST ALLOCATION (IEL  DAMCO) MAY 2008 THH (2)_PO-HQ_2" xfId="629" xr:uid="{00000000-0005-0000-0000-0000DD110000}"/>
    <cellStyle name="_COST ALLOCATION (IEL  DAMCO) MAY 2008 THH (2)_PO-HQ_2 2" xfId="2496" xr:uid="{00000000-0005-0000-0000-0000DE110000}"/>
    <cellStyle name="_COST ALLOCATION (IEL  DAMCO) MAY 2008 THH (2)_PO-HQ_2 3" xfId="2750" xr:uid="{00000000-0005-0000-0000-0000DF110000}"/>
    <cellStyle name="_COST ALLOCATION (IEL  DAMCO) MAY 2008 THH (2)_PO-HQ_2 4" xfId="2466" xr:uid="{00000000-0005-0000-0000-0000E0110000}"/>
    <cellStyle name="_COST ALLOCATION (IEL  DAMCO) MAY 2008 THH (2)_PO-HQ_2 5" xfId="2772" xr:uid="{00000000-0005-0000-0000-0000E1110000}"/>
    <cellStyle name="_COST ALLOCATION (IEL  DAMCO) MAY 2008 THH (2)_PO-HQ_2 6" xfId="2548" xr:uid="{00000000-0005-0000-0000-0000E2110000}"/>
    <cellStyle name="_COST ALLOCATION (IEL  DAMCO) MAY 2008 THH (2)_PO-HQ_2 7" xfId="2907" xr:uid="{00000000-0005-0000-0000-0000E3110000}"/>
    <cellStyle name="_COST ALLOCATION (IEL  DAMCO) MAY 2008 THH (2)_ReceiptList" xfId="630" xr:uid="{00000000-0005-0000-0000-0000E4110000}"/>
    <cellStyle name="_COST ALLOCATION (IEL  DAMCO) MAY 2008 THH (2)_ReceiptList 2" xfId="2497" xr:uid="{00000000-0005-0000-0000-0000E5110000}"/>
    <cellStyle name="_COST ALLOCATION (IEL  DAMCO) MAY 2008 THH (2)_ReceiptList 3" xfId="2749" xr:uid="{00000000-0005-0000-0000-0000E6110000}"/>
    <cellStyle name="_COST ALLOCATION (IEL  DAMCO) MAY 2008 THH (2)_ReceiptList 4" xfId="2468" xr:uid="{00000000-0005-0000-0000-0000E7110000}"/>
    <cellStyle name="_COST ALLOCATION (IEL  DAMCO) MAY 2008 THH (2)_ReceiptList 5" xfId="2771" xr:uid="{00000000-0005-0000-0000-0000E8110000}"/>
    <cellStyle name="_COST ALLOCATION (IEL  DAMCO) MAY 2008 THH (2)_ReceiptList 6" xfId="2549" xr:uid="{00000000-0005-0000-0000-0000E9110000}"/>
    <cellStyle name="_COST ALLOCATION (IEL  DAMCO) MAY 2008 THH (2)_ReceiptList 7" xfId="2759" xr:uid="{00000000-0005-0000-0000-0000EA110000}"/>
    <cellStyle name="_COST ALLOCATION (IEL  DAMCO) MAY 2008 THH (2)_Sales Book 082008" xfId="631" xr:uid="{00000000-0005-0000-0000-0000EB110000}"/>
    <cellStyle name="_COST ALLOCATION (IEL  DAMCO) MAY 2008 THH (2)_Sales Book 082008 2" xfId="2498" xr:uid="{00000000-0005-0000-0000-0000EC110000}"/>
    <cellStyle name="_COST ALLOCATION (IEL  DAMCO) MAY 2008 THH (2)_Sales Book 082008 3" xfId="2748" xr:uid="{00000000-0005-0000-0000-0000ED110000}"/>
    <cellStyle name="_COST ALLOCATION (IEL  DAMCO) MAY 2008 THH (2)_Sales Book 082008 4" xfId="2469" xr:uid="{00000000-0005-0000-0000-0000EE110000}"/>
    <cellStyle name="_COST ALLOCATION (IEL  DAMCO) MAY 2008 THH (2)_Sales Book 082008 5" xfId="2770" xr:uid="{00000000-0005-0000-0000-0000EF110000}"/>
    <cellStyle name="_COST ALLOCATION (IEL  DAMCO) MAY 2008 THH (2)_Sales Book 082008 6" xfId="2550" xr:uid="{00000000-0005-0000-0000-0000F0110000}"/>
    <cellStyle name="_COST ALLOCATION (IEL  DAMCO) MAY 2008 THH (2)_Sales Book 082008 7" xfId="2758" xr:uid="{00000000-0005-0000-0000-0000F1110000}"/>
    <cellStyle name="_COST ALLOCATION (IEL  DAMCO) MAY 2008 THH (2)_Sheet1" xfId="632" xr:uid="{00000000-0005-0000-0000-0000F2110000}"/>
    <cellStyle name="_COST ALLOCATION (IEL  DAMCO) MAY 2008 THH (2)_Sheet2" xfId="633" xr:uid="{00000000-0005-0000-0000-0000F3110000}"/>
    <cellStyle name="_COST ALLOCATION (IEL  DAMCO) MAY 2008 THH (2)_Sheet3" xfId="634" xr:uid="{00000000-0005-0000-0000-0000F4110000}"/>
    <cellStyle name="_COST ALLOCATION (IEL  DAMCO) MAY 2008 THH (2)_Sheet3 2" xfId="2499" xr:uid="{00000000-0005-0000-0000-0000F5110000}"/>
    <cellStyle name="_COST ALLOCATION (IEL  DAMCO) MAY 2008 THH (2)_Sheet3 3" xfId="2747" xr:uid="{00000000-0005-0000-0000-0000F6110000}"/>
    <cellStyle name="_COST ALLOCATION (IEL  DAMCO) MAY 2008 THH (2)_Sheet3 4" xfId="2470" xr:uid="{00000000-0005-0000-0000-0000F7110000}"/>
    <cellStyle name="_COST ALLOCATION (IEL  DAMCO) MAY 2008 THH (2)_Sheet3 5" xfId="2768" xr:uid="{00000000-0005-0000-0000-0000F8110000}"/>
    <cellStyle name="_COST ALLOCATION (IEL  DAMCO) MAY 2008 THH (2)_Sheet3 6" xfId="2551" xr:uid="{00000000-0005-0000-0000-0000F9110000}"/>
    <cellStyle name="_COST ALLOCATION (IEL  DAMCO) MAY 2008 THH (2)_Sheet3 7" xfId="2906" xr:uid="{00000000-0005-0000-0000-0000FA110000}"/>
    <cellStyle name="_COST ALLOCATION (IEL  DAMCO) MAY 2008 THH (2)_TB" xfId="635" xr:uid="{00000000-0005-0000-0000-0000FB110000}"/>
    <cellStyle name="_COST ALLOCATION (IEL &amp; DAMCO) AUG 2008" xfId="636" xr:uid="{00000000-0005-0000-0000-0000FC110000}"/>
    <cellStyle name="_Cost of products (1551-2)" xfId="637" xr:uid="{00000000-0005-0000-0000-0000FD110000}"/>
    <cellStyle name="_Cost of products (1551-2) 2" xfId="3219" xr:uid="{00000000-0005-0000-0000-0000FE110000}"/>
    <cellStyle name="_COSTING" xfId="638" xr:uid="{00000000-0005-0000-0000-0000FF110000}"/>
    <cellStyle name="_COSTING 2" xfId="2500" xr:uid="{00000000-0005-0000-0000-000000120000}"/>
    <cellStyle name="_COSTING 3" xfId="2746" xr:uid="{00000000-0005-0000-0000-000001120000}"/>
    <cellStyle name="_COSTING 4" xfId="2472" xr:uid="{00000000-0005-0000-0000-000002120000}"/>
    <cellStyle name="_COSTING 5" xfId="2764" xr:uid="{00000000-0005-0000-0000-000003120000}"/>
    <cellStyle name="_COSTING 6" xfId="2554" xr:uid="{00000000-0005-0000-0000-000004120000}"/>
    <cellStyle name="_COSTING 7" xfId="2757" xr:uid="{00000000-0005-0000-0000-000005120000}"/>
    <cellStyle name="_COSTING_Cost of products (1551-2)" xfId="639" xr:uid="{00000000-0005-0000-0000-000006120000}"/>
    <cellStyle name="_COSTING_In-out-bal products" xfId="640" xr:uid="{00000000-0005-0000-0000-000007120000}"/>
    <cellStyle name="_Dae Kwang Pink -VSI" xfId="641" xr:uid="{00000000-0005-0000-0000-000008120000}"/>
    <cellStyle name="_Dec-Productionreport" xfId="642" xr:uid="{00000000-0005-0000-0000-000009120000}"/>
    <cellStyle name="_Dec-Productionreport 2" xfId="3220" xr:uid="{00000000-0005-0000-0000-00000A120000}"/>
    <cellStyle name="_Detail-05" xfId="643" xr:uid="{00000000-0005-0000-0000-00000B120000}"/>
    <cellStyle name="_Detail-05 2" xfId="3221" xr:uid="{00000000-0005-0000-0000-00000C120000}"/>
    <cellStyle name="_Detail-05_1" xfId="644" xr:uid="{00000000-0005-0000-0000-00000D120000}"/>
    <cellStyle name="_Detial-12" xfId="650" xr:uid="{00000000-0005-0000-0000-00000E120000}"/>
    <cellStyle name="_Doanh Thu Dung " xfId="651" xr:uid="{00000000-0005-0000-0000-00000F120000}"/>
    <cellStyle name="_Doanh Thu Dung  2" xfId="3222" xr:uid="{00000000-0005-0000-0000-000010120000}"/>
    <cellStyle name="_Doanh Thu Dung _EVALUATION_EX_311208" xfId="652" xr:uid="{00000000-0005-0000-0000-000011120000}"/>
    <cellStyle name="_Doanh Thu Dung _EVALUATION_EX_311208 2" xfId="3223" xr:uid="{00000000-0005-0000-0000-000012120000}"/>
    <cellStyle name="_DOC DKNY TWF" xfId="653" xr:uid="{00000000-0005-0000-0000-000013120000}"/>
    <cellStyle name="_DOC DKNY TWF 2" xfId="3224" xr:uid="{00000000-0005-0000-0000-000014120000}"/>
    <cellStyle name="_DOC DKNY TWF_138 - OtherReceivableAccount_28022010" xfId="654" xr:uid="{00000000-0005-0000-0000-000015120000}"/>
    <cellStyle name="_DOC DKNY TWF_138 - OtherReceivableAccount_28022010 2" xfId="3225" xr:uid="{00000000-0005-0000-0000-000016120000}"/>
    <cellStyle name="_DOC DKNY TWF_138 - OtherReceivableAccount_30112009" xfId="655" xr:uid="{00000000-0005-0000-0000-000017120000}"/>
    <cellStyle name="_DOC DKNY TWF_138 - OtherReceivableAccount_30112009 2" xfId="3226" xr:uid="{00000000-0005-0000-0000-000018120000}"/>
    <cellStyle name="_DOC DKNY TWF_138 - OtherReceivableAccount_30112009_EVALUATION_EX_311208" xfId="656" xr:uid="{00000000-0005-0000-0000-000019120000}"/>
    <cellStyle name="_DOC DKNY TWF_138 - OtherReceivableAccount_30112009_EVALUATION_EX_311208 2" xfId="3227" xr:uid="{00000000-0005-0000-0000-00001A120000}"/>
    <cellStyle name="_DOC DKNY TWF_138 - OtherReceivableAccount_31012010" xfId="657" xr:uid="{00000000-0005-0000-0000-00001B120000}"/>
    <cellStyle name="_DOC DKNY TWF_138 - OtherReceivableAccount_31012010 2" xfId="3228" xr:uid="{00000000-0005-0000-0000-00001C120000}"/>
    <cellStyle name="_DOC DKNY TWF_138 - OtherReceivableAccount_31122009" xfId="658" xr:uid="{00000000-0005-0000-0000-00001D120000}"/>
    <cellStyle name="_DOC DKNY TWF_138 - OtherReceivableAccount_31122009 2" xfId="3229" xr:uid="{00000000-0005-0000-0000-00001E120000}"/>
    <cellStyle name="_DOC DKNY TWF_138 - OtherReceivableAccount_31122009_EVALUATION_EX_311208" xfId="659" xr:uid="{00000000-0005-0000-0000-00001F120000}"/>
    <cellStyle name="_DOC DKNY TWF_138 - OtherReceivableAccount_31122009_EVALUATION_EX_311208 2" xfId="3230" xr:uid="{00000000-0005-0000-0000-000020120000}"/>
    <cellStyle name="_DOC DKNY TWF_EVALUATION_EX_311208" xfId="660" xr:uid="{00000000-0005-0000-0000-000021120000}"/>
    <cellStyle name="_DOC DKNY TWF_EVALUATION_EX_311208 2" xfId="3231" xr:uid="{00000000-0005-0000-0000-000022120000}"/>
    <cellStyle name="_DOC DKNY TWF_YTDHST " xfId="661" xr:uid="{00000000-0005-0000-0000-000023120000}"/>
    <cellStyle name="_DOC DKNY TWF_YTDHST  2" xfId="3232" xr:uid="{00000000-0005-0000-0000-000024120000}"/>
    <cellStyle name="_doichieuSep" xfId="662" xr:uid="{00000000-0005-0000-0000-000025120000}"/>
    <cellStyle name="_doichieuSep 2" xfId="3233" xr:uid="{00000000-0005-0000-0000-000026120000}"/>
    <cellStyle name="_EUR SZH" xfId="663" xr:uid="{00000000-0005-0000-0000-000027120000}"/>
    <cellStyle name="_EVA-JUL-08(2ND)" xfId="664" xr:uid="{00000000-0005-0000-0000-000028120000}"/>
    <cellStyle name="_EVA-JUL-08(2ND) 2" xfId="665" xr:uid="{00000000-0005-0000-0000-000029120000}"/>
    <cellStyle name="_EVA-JUL-08(2ND) 3" xfId="666" xr:uid="{00000000-0005-0000-0000-00002A120000}"/>
    <cellStyle name="_EVA-JUL-08(2ND) 4" xfId="667" xr:uid="{00000000-0005-0000-0000-00002B120000}"/>
    <cellStyle name="_EVA-JUL-08(2ND)_138 - OtherReceivableAccount_30112009" xfId="668" xr:uid="{00000000-0005-0000-0000-00002C120000}"/>
    <cellStyle name="_EVA-JUL-08(2ND)_138 - OtherReceivableAccount_30112009_138 - OtherReceivableAccount_28022010" xfId="669" xr:uid="{00000000-0005-0000-0000-00002D120000}"/>
    <cellStyle name="_EVA-JUL-08(2ND)_138 - OtherReceivableAccount_30112009_138 - OtherReceivableAccount_31012010" xfId="670" xr:uid="{00000000-0005-0000-0000-00002E120000}"/>
    <cellStyle name="_EVA-JUL-08(2ND)_138 - OtherReceivableAccount_30112009_138 - OtherReceivableAccount_31122009" xfId="671" xr:uid="{00000000-0005-0000-0000-00002F120000}"/>
    <cellStyle name="_EVA-JUL-08(2ND)_138 - OtherReceivableAccount_30112009_EVALUATION_EX_311208" xfId="672" xr:uid="{00000000-0005-0000-0000-000030120000}"/>
    <cellStyle name="_EVA-JUL-08(2ND)_138 - OtherReceivableAccount_30112009_YTDHST " xfId="673" xr:uid="{00000000-0005-0000-0000-000031120000}"/>
    <cellStyle name="_EVA-JUL-08(2ND)_138 - OtherReceivableAccount_31102009" xfId="674" xr:uid="{00000000-0005-0000-0000-000032120000}"/>
    <cellStyle name="_EVA-JUL-08(2ND)_138 - OtherReceivableAccount_31102009_138 - OtherReceivableAccount_28022010" xfId="675" xr:uid="{00000000-0005-0000-0000-000033120000}"/>
    <cellStyle name="_EVA-JUL-08(2ND)_138 - OtherReceivableAccount_31102009_138 - OtherReceivableAccount_31012010" xfId="676" xr:uid="{00000000-0005-0000-0000-000034120000}"/>
    <cellStyle name="_EVA-JUL-08(2ND)_138 - OtherReceivableAccount_31102009_138 - OtherReceivableAccount_31122009" xfId="677" xr:uid="{00000000-0005-0000-0000-000035120000}"/>
    <cellStyle name="_EVA-JUL-08(2ND)_138 - OtherReceivableAccount_31102009_EVALUATION_EX_311208" xfId="678" xr:uid="{00000000-0005-0000-0000-000036120000}"/>
    <cellStyle name="_EVA-JUL-08(2ND)_138 - OtherReceivableAccount_31102009_YTDHST " xfId="679" xr:uid="{00000000-0005-0000-0000-000037120000}"/>
    <cellStyle name="_EVA-JUL-08(2ND)_511 - RevenueAccount_28022010" xfId="680" xr:uid="{00000000-0005-0000-0000-000038120000}"/>
    <cellStyle name="_EVA-JUL-08(2ND)_511 - RevenueAccount_30042010" xfId="681" xr:uid="{00000000-0005-0000-0000-000039120000}"/>
    <cellStyle name="_EVA-JUL-08(2ND)_511 - RevenueAccount_30092010" xfId="682" xr:uid="{00000000-0005-0000-0000-00003A120000}"/>
    <cellStyle name="_EVA-JUL-08(2ND)_511 - RevenueAccount_31012010" xfId="683" xr:uid="{00000000-0005-0000-0000-00003B120000}"/>
    <cellStyle name="_EVA-JUL-08(2ND)_511 - RevenueAccount_31032010" xfId="684" xr:uid="{00000000-0005-0000-0000-00003C120000}"/>
    <cellStyle name="_EVA-JUL-08(2ND)_511 - RevenueAccount_31072010" xfId="685" xr:uid="{00000000-0005-0000-0000-00003D120000}"/>
    <cellStyle name="_EVA-JUL-08(2ND)_Acrrued" xfId="686" xr:uid="{00000000-0005-0000-0000-00003E120000}"/>
    <cellStyle name="_EVA-JUL-08(2ND)_Acrrued01" xfId="687" xr:uid="{00000000-0005-0000-0000-00003F120000}"/>
    <cellStyle name="_EVA-JUL-08(2ND)_Book1 (version 5)" xfId="688" xr:uid="{00000000-0005-0000-0000-000040120000}"/>
    <cellStyle name="_EVA-JUL-08(2ND)_BOULWARE" xfId="689" xr:uid="{00000000-0005-0000-0000-000041120000}"/>
    <cellStyle name="_EVA-JUL-08(2ND)_BOULWARE 2" xfId="2525" xr:uid="{00000000-0005-0000-0000-000042120000}"/>
    <cellStyle name="_EVA-JUL-08(2ND)_BOULWARE 3" xfId="2730" xr:uid="{00000000-0005-0000-0000-000043120000}"/>
    <cellStyle name="_EVA-JUL-08(2ND)_BOULWARE 4" xfId="2501" xr:uid="{00000000-0005-0000-0000-000044120000}"/>
    <cellStyle name="_EVA-JUL-08(2ND)_BOULWARE 5" xfId="2742" xr:uid="{00000000-0005-0000-0000-000045120000}"/>
    <cellStyle name="_EVA-JUL-08(2ND)_BOULWARE 6" xfId="2568" xr:uid="{00000000-0005-0000-0000-000046120000}"/>
    <cellStyle name="_EVA-JUL-08(2ND)_BOULWARE 7" xfId="2884" xr:uid="{00000000-0005-0000-0000-000047120000}"/>
    <cellStyle name="_EVA-JUL-08(2ND)_BS_HQ" xfId="690" xr:uid="{00000000-0005-0000-0000-000048120000}"/>
    <cellStyle name="_EVA-JUL-08(2ND)_Detail-02" xfId="691" xr:uid="{00000000-0005-0000-0000-000049120000}"/>
    <cellStyle name="_EVA-JUL-08(2ND)_DEtial-02" xfId="692" xr:uid="{00000000-0005-0000-0000-00004A120000}"/>
    <cellStyle name="_EVA-JUL-08(2ND)_DEtial-02 2" xfId="2527" xr:uid="{00000000-0005-0000-0000-00004B120000}"/>
    <cellStyle name="_EVA-JUL-08(2ND)_DEtial-02 3" xfId="2729" xr:uid="{00000000-0005-0000-0000-00004C120000}"/>
    <cellStyle name="_EVA-JUL-08(2ND)_DEtial-02 4" xfId="2505" xr:uid="{00000000-0005-0000-0000-00004D120000}"/>
    <cellStyle name="_EVA-JUL-08(2ND)_DEtial-02 5" xfId="2741" xr:uid="{00000000-0005-0000-0000-00004E120000}"/>
    <cellStyle name="_EVA-JUL-08(2ND)_DEtial-02 6" xfId="2569" xr:uid="{00000000-0005-0000-0000-00004F120000}"/>
    <cellStyle name="_EVA-JUL-08(2ND)_DEtial-02 7" xfId="2875" xr:uid="{00000000-0005-0000-0000-000050120000}"/>
    <cellStyle name="_EVA-JUL-08(2ND)_DEtial-02_IS-HQ" xfId="693" xr:uid="{00000000-0005-0000-0000-000051120000}"/>
    <cellStyle name="_EVA-JUL-08(2ND)_DEtial-02_IS-HQ 2" xfId="2528" xr:uid="{00000000-0005-0000-0000-000052120000}"/>
    <cellStyle name="_EVA-JUL-08(2ND)_DEtial-02_IS-HQ 3" xfId="2728" xr:uid="{00000000-0005-0000-0000-000053120000}"/>
    <cellStyle name="_EVA-JUL-08(2ND)_DEtial-02_IS-HQ 4" xfId="2506" xr:uid="{00000000-0005-0000-0000-000054120000}"/>
    <cellStyle name="_EVA-JUL-08(2ND)_DEtial-02_IS-HQ 5" xfId="2740" xr:uid="{00000000-0005-0000-0000-000055120000}"/>
    <cellStyle name="_EVA-JUL-08(2ND)_DEtial-02_IS-HQ 6" xfId="2570" xr:uid="{00000000-0005-0000-0000-000056120000}"/>
    <cellStyle name="_EVA-JUL-08(2ND)_DEtial-02_IS-HQ 7" xfId="2874" xr:uid="{00000000-0005-0000-0000-000057120000}"/>
    <cellStyle name="_EVA-JUL-08(2ND)_DEtial-02_PO-HQ" xfId="694" xr:uid="{00000000-0005-0000-0000-000058120000}"/>
    <cellStyle name="_EVA-JUL-08(2ND)_DEtial-02_PO-HQ_1" xfId="695" xr:uid="{00000000-0005-0000-0000-000059120000}"/>
    <cellStyle name="_EVA-JUL-08(2ND)_DEtial-02_PO-HQ_1 2" xfId="2529" xr:uid="{00000000-0005-0000-0000-00005A120000}"/>
    <cellStyle name="_EVA-JUL-08(2ND)_DEtial-02_PO-HQ_1 3" xfId="2726" xr:uid="{00000000-0005-0000-0000-00005B120000}"/>
    <cellStyle name="_EVA-JUL-08(2ND)_DEtial-02_PO-HQ_1 4" xfId="2507" xr:uid="{00000000-0005-0000-0000-00005C120000}"/>
    <cellStyle name="_EVA-JUL-08(2ND)_DEtial-02_PO-HQ_1 5" xfId="2739" xr:uid="{00000000-0005-0000-0000-00005D120000}"/>
    <cellStyle name="_EVA-JUL-08(2ND)_DEtial-02_PO-HQ_1 6" xfId="2571" xr:uid="{00000000-0005-0000-0000-00005E120000}"/>
    <cellStyle name="_EVA-JUL-08(2ND)_DEtial-02_PO-HQ_1 7" xfId="2873" xr:uid="{00000000-0005-0000-0000-00005F120000}"/>
    <cellStyle name="_EVA-JUL-08(2ND)_DEtial-02_TB" xfId="696" xr:uid="{00000000-0005-0000-0000-000060120000}"/>
    <cellStyle name="_EVA-JUL-08(2ND)_EVALUATION_EX_311208" xfId="697" xr:uid="{00000000-0005-0000-0000-000061120000}"/>
    <cellStyle name="_EVA-JUL-08(2ND)_EVALUATION_EX_311208_EVALUATION_EX_311208" xfId="698" xr:uid="{00000000-0005-0000-0000-000062120000}"/>
    <cellStyle name="_EVA-JUL-08(2ND)_IS-HQ" xfId="699" xr:uid="{00000000-0005-0000-0000-000063120000}"/>
    <cellStyle name="_EVA-JUL-08(2ND)_IS-HQ_1" xfId="700" xr:uid="{00000000-0005-0000-0000-000064120000}"/>
    <cellStyle name="_EVA-JUL-08(2ND)_IS-HQ_1_PO-HQ" xfId="701" xr:uid="{00000000-0005-0000-0000-000065120000}"/>
    <cellStyle name="_EVA-JUL-08(2ND)_IS-HQ_2" xfId="702" xr:uid="{00000000-0005-0000-0000-000066120000}"/>
    <cellStyle name="_EVA-JUL-08(2ND)_IS-HQ_2 2" xfId="2532" xr:uid="{00000000-0005-0000-0000-000067120000}"/>
    <cellStyle name="_EVA-JUL-08(2ND)_IS-HQ_2 3" xfId="2725" xr:uid="{00000000-0005-0000-0000-000068120000}"/>
    <cellStyle name="_EVA-JUL-08(2ND)_IS-HQ_2 4" xfId="2509" xr:uid="{00000000-0005-0000-0000-000069120000}"/>
    <cellStyle name="_EVA-JUL-08(2ND)_IS-HQ_2 5" xfId="2737" xr:uid="{00000000-0005-0000-0000-00006A120000}"/>
    <cellStyle name="_EVA-JUL-08(2ND)_IS-HQ_2 6" xfId="2572" xr:uid="{00000000-0005-0000-0000-00006B120000}"/>
    <cellStyle name="_EVA-JUL-08(2ND)_IS-HQ_2 7" xfId="2866" xr:uid="{00000000-0005-0000-0000-00006C120000}"/>
    <cellStyle name="_EVA-JUL-08(2ND)_PO-HQ" xfId="703" xr:uid="{00000000-0005-0000-0000-00006D120000}"/>
    <cellStyle name="_EVA-JUL-08(2ND)_PO-HQ_1" xfId="704" xr:uid="{00000000-0005-0000-0000-00006E120000}"/>
    <cellStyle name="_EVA-JUL-08(2ND)_PO-HQ_1_PO-HQ" xfId="705" xr:uid="{00000000-0005-0000-0000-00006F120000}"/>
    <cellStyle name="_EVA-JUL-08(2ND)_PO-HQ_2" xfId="706" xr:uid="{00000000-0005-0000-0000-000070120000}"/>
    <cellStyle name="_EVA-JUL-08(2ND)_PO-HQ_2 2" xfId="2534" xr:uid="{00000000-0005-0000-0000-000071120000}"/>
    <cellStyle name="_EVA-JUL-08(2ND)_PO-HQ_2 3" xfId="2723" xr:uid="{00000000-0005-0000-0000-000072120000}"/>
    <cellStyle name="_EVA-JUL-08(2ND)_PO-HQ_2 4" xfId="2512" xr:uid="{00000000-0005-0000-0000-000073120000}"/>
    <cellStyle name="_EVA-JUL-08(2ND)_PO-HQ_2 5" xfId="2736" xr:uid="{00000000-0005-0000-0000-000074120000}"/>
    <cellStyle name="_EVA-JUL-08(2ND)_PO-HQ_2 6" xfId="2574" xr:uid="{00000000-0005-0000-0000-000075120000}"/>
    <cellStyle name="_EVA-JUL-08(2ND)_PO-HQ_2 7" xfId="2865" xr:uid="{00000000-0005-0000-0000-000076120000}"/>
    <cellStyle name="_EVA-JUL-08(2ND)_ReceiptList" xfId="707" xr:uid="{00000000-0005-0000-0000-000077120000}"/>
    <cellStyle name="_EVA-JUL-08(2ND)_ReceiptList 2" xfId="2535" xr:uid="{00000000-0005-0000-0000-000078120000}"/>
    <cellStyle name="_EVA-JUL-08(2ND)_ReceiptList 3" xfId="2722" xr:uid="{00000000-0005-0000-0000-000079120000}"/>
    <cellStyle name="_EVA-JUL-08(2ND)_ReceiptList 4" xfId="2513" xr:uid="{00000000-0005-0000-0000-00007A120000}"/>
    <cellStyle name="_EVA-JUL-08(2ND)_ReceiptList 5" xfId="2735" xr:uid="{00000000-0005-0000-0000-00007B120000}"/>
    <cellStyle name="_EVA-JUL-08(2ND)_ReceiptList 6" xfId="2575" xr:uid="{00000000-0005-0000-0000-00007C120000}"/>
    <cellStyle name="_EVA-JUL-08(2ND)_ReceiptList 7" xfId="2864" xr:uid="{00000000-0005-0000-0000-00007D120000}"/>
    <cellStyle name="_EVA-JUL-08(2ND)_Sales Book 082008" xfId="708" xr:uid="{00000000-0005-0000-0000-00007E120000}"/>
    <cellStyle name="_EVA-JUL-08(2ND)_Sales Book 082008 2" xfId="2536" xr:uid="{00000000-0005-0000-0000-00007F120000}"/>
    <cellStyle name="_EVA-JUL-08(2ND)_Sales Book 082008 3" xfId="2721" xr:uid="{00000000-0005-0000-0000-000080120000}"/>
    <cellStyle name="_EVA-JUL-08(2ND)_Sales Book 082008 4" xfId="2514" xr:uid="{00000000-0005-0000-0000-000081120000}"/>
    <cellStyle name="_EVA-JUL-08(2ND)_Sales Book 082008 5" xfId="2734" xr:uid="{00000000-0005-0000-0000-000082120000}"/>
    <cellStyle name="_EVA-JUL-08(2ND)_Sales Book 082008 6" xfId="2576" xr:uid="{00000000-0005-0000-0000-000083120000}"/>
    <cellStyle name="_EVA-JUL-08(2ND)_Sales Book 082008 7" xfId="2863" xr:uid="{00000000-0005-0000-0000-000084120000}"/>
    <cellStyle name="_EVA-JUL-08(2ND)_Sheet1" xfId="709" xr:uid="{00000000-0005-0000-0000-000085120000}"/>
    <cellStyle name="_EVA-JUL-08(2ND)_Sheet2" xfId="710" xr:uid="{00000000-0005-0000-0000-000086120000}"/>
    <cellStyle name="_EVA-JUL-08(2ND)_Sheet3" xfId="711" xr:uid="{00000000-0005-0000-0000-000087120000}"/>
    <cellStyle name="_EVA-JUL-08(2ND)_Sheet3 2" xfId="2537" xr:uid="{00000000-0005-0000-0000-000088120000}"/>
    <cellStyle name="_EVA-JUL-08(2ND)_Sheet3 3" xfId="2719" xr:uid="{00000000-0005-0000-0000-000089120000}"/>
    <cellStyle name="_EVA-JUL-08(2ND)_Sheet3 4" xfId="2516" xr:uid="{00000000-0005-0000-0000-00008A120000}"/>
    <cellStyle name="_EVA-JUL-08(2ND)_Sheet3 5" xfId="2733" xr:uid="{00000000-0005-0000-0000-00008B120000}"/>
    <cellStyle name="_EVA-JUL-08(2ND)_Sheet3 6" xfId="2577" xr:uid="{00000000-0005-0000-0000-00008C120000}"/>
    <cellStyle name="_EVA-JUL-08(2ND)_Sheet3 7" xfId="2862" xr:uid="{00000000-0005-0000-0000-00008D120000}"/>
    <cellStyle name="_EVA-JUL-08(2ND)_TB" xfId="712" xr:uid="{00000000-0005-0000-0000-00008E120000}"/>
    <cellStyle name="_EXPORT REPORT (JUN '09)- Nhu" xfId="713" xr:uid="{00000000-0005-0000-0000-00008F120000}"/>
    <cellStyle name="_EXPORT REPORT (SEP '09)" xfId="714" xr:uid="{00000000-0005-0000-0000-000090120000}"/>
    <cellStyle name="_EXPORT REPORT (SEP '09)-" xfId="715" xr:uid="{00000000-0005-0000-0000-000091120000}"/>
    <cellStyle name="_FactorySupplies_2008" xfId="716" xr:uid="{00000000-0005-0000-0000-000092120000}"/>
    <cellStyle name="_FactorySupplies_2008 2" xfId="3236" xr:uid="{00000000-0005-0000-0000-000093120000}"/>
    <cellStyle name="_FactorySupplies_2008_EVALUATION_EX_311208" xfId="717" xr:uid="{00000000-0005-0000-0000-000094120000}"/>
    <cellStyle name="_FactorySupplies_2008_EVALUATION_EX_311208 2" xfId="3237" xr:uid="{00000000-0005-0000-0000-000095120000}"/>
    <cellStyle name="_Gasoline" xfId="718" xr:uid="{00000000-0005-0000-0000-000096120000}"/>
    <cellStyle name="_Gasoline 2" xfId="3238" xr:uid="{00000000-0005-0000-0000-000097120000}"/>
    <cellStyle name="_Gasoline_EVALUATION_EX_311208" xfId="719" xr:uid="{00000000-0005-0000-0000-000098120000}"/>
    <cellStyle name="_Gasoline_EVALUATION_EX_311208 2" xfId="3239" xr:uid="{00000000-0005-0000-0000-000099120000}"/>
    <cellStyle name="_GENERAL" xfId="720" xr:uid="{00000000-0005-0000-0000-00009A120000}"/>
    <cellStyle name="_GENERAL 2" xfId="3240" xr:uid="{00000000-0005-0000-0000-00009B120000}"/>
    <cellStyle name="_HANDSOME" xfId="721" xr:uid="{00000000-0005-0000-0000-00009C120000}"/>
    <cellStyle name="_HANDSOME 2" xfId="3241" xr:uid="{00000000-0005-0000-0000-00009D120000}"/>
    <cellStyle name="_HANDY CARRY DECEMBER LAN 2" xfId="722" xr:uid="{00000000-0005-0000-0000-00009E120000}"/>
    <cellStyle name="_HANSOLL" xfId="723" xr:uid="{00000000-0005-0000-0000-00009F120000}"/>
    <cellStyle name="_HANSOLL 2" xfId="3242" xr:uid="{00000000-0005-0000-0000-0000A0120000}"/>
    <cellStyle name="_HST" xfId="724" xr:uid="{00000000-0005-0000-0000-0000A1120000}"/>
    <cellStyle name="_HSV- Weekly expense plan (200810).xls" xfId="725" xr:uid="{00000000-0005-0000-0000-0000A2120000}"/>
    <cellStyle name="_HSV- Weekly expense plan (200810).xls 10" xfId="2847" xr:uid="{00000000-0005-0000-0000-0000A3120000}"/>
    <cellStyle name="_HSV- Weekly expense plan (200810).xls 2" xfId="726" xr:uid="{00000000-0005-0000-0000-0000A4120000}"/>
    <cellStyle name="_HSV- Weekly expense plan (200810).xls 3" xfId="727" xr:uid="{00000000-0005-0000-0000-0000A5120000}"/>
    <cellStyle name="_HSV- Weekly expense plan (200810).xls 4" xfId="728" xr:uid="{00000000-0005-0000-0000-0000A6120000}"/>
    <cellStyle name="_HSV- Weekly expense plan (200810).xls 5" xfId="2539" xr:uid="{00000000-0005-0000-0000-0000A7120000}"/>
    <cellStyle name="_HSV- Weekly expense plan (200810).xls 6" xfId="2717" xr:uid="{00000000-0005-0000-0000-0000A8120000}"/>
    <cellStyle name="_HSV- Weekly expense plan (200810).xls 7" xfId="2522" xr:uid="{00000000-0005-0000-0000-0000A9120000}"/>
    <cellStyle name="_HSV- Weekly expense plan (200810).xls 8" xfId="2731" xr:uid="{00000000-0005-0000-0000-0000AA120000}"/>
    <cellStyle name="_HSV- Weekly expense plan (200810).xls 9" xfId="2579" xr:uid="{00000000-0005-0000-0000-0000AB120000}"/>
    <cellStyle name="_HSV- Weekly expense plan (200810).xls_BS_HQ" xfId="729" xr:uid="{00000000-0005-0000-0000-0000AC120000}"/>
    <cellStyle name="_HSV- Weekly expense plan (200810).xls_Cost of products (1551-2)" xfId="730" xr:uid="{00000000-0005-0000-0000-0000AD120000}"/>
    <cellStyle name="_HSV- Weekly expense plan (200810).xls_In-out-bal products" xfId="731" xr:uid="{00000000-0005-0000-0000-0000AE120000}"/>
    <cellStyle name="_HSV- Weekly expense plan (200810).xls_IS-HQ" xfId="732" xr:uid="{00000000-0005-0000-0000-0000AF120000}"/>
    <cellStyle name="_HSV- Weekly expense plan (200810).xls_PO-HQ" xfId="733" xr:uid="{00000000-0005-0000-0000-0000B0120000}"/>
    <cellStyle name="_HSV- Weekly expense plan (200810).xls_Sheet2" xfId="734" xr:uid="{00000000-0005-0000-0000-0000B1120000}"/>
    <cellStyle name="_HSV5 -VSI" xfId="735" xr:uid="{00000000-0005-0000-0000-0000B2120000}"/>
    <cellStyle name="_HSV5-WIP FOLLOW UP (AUG-2012) - Final" xfId="736" xr:uid="{00000000-0005-0000-0000-0000B3120000}"/>
    <cellStyle name="_HSV5-WIP FOLLOW UP (AUG-2012) - Final 2" xfId="3243" xr:uid="{00000000-0005-0000-0000-0000B4120000}"/>
    <cellStyle name="_HSV5-WIP FOLLOW UP (Jul-2012)" xfId="737" xr:uid="{00000000-0005-0000-0000-0000B5120000}"/>
    <cellStyle name="_HSV5-WIP FOLLOW UP (Jul-2012) (2)" xfId="738" xr:uid="{00000000-0005-0000-0000-0000B6120000}"/>
    <cellStyle name="_HSV5-WIP FOLLOW UP (Jul-2012) (2) 2" xfId="3245" xr:uid="{00000000-0005-0000-0000-0000B7120000}"/>
    <cellStyle name="_HSV5-WIP FOLLOW UP (Jul-2012) 10" xfId="4427" xr:uid="{00000000-0005-0000-0000-0000B8120000}"/>
    <cellStyle name="_HSV5-WIP FOLLOW UP (Jul-2012) 11" xfId="4750" xr:uid="{00000000-0005-0000-0000-0000B9120000}"/>
    <cellStyle name="_HSV5-WIP FOLLOW UP (Jul-2012) 12" xfId="4446" xr:uid="{00000000-0005-0000-0000-0000BA120000}"/>
    <cellStyle name="_HSV5-WIP FOLLOW UP (Jul-2012) 13" xfId="4616" xr:uid="{00000000-0005-0000-0000-0000BB120000}"/>
    <cellStyle name="_HSV5-WIP FOLLOW UP (Jul-2012) 14" xfId="5486" xr:uid="{00000000-0005-0000-0000-0000BC120000}"/>
    <cellStyle name="_HSV5-WIP FOLLOW UP (Jul-2012) 15" xfId="4876" xr:uid="{00000000-0005-0000-0000-0000BD120000}"/>
    <cellStyle name="_HSV5-WIP FOLLOW UP (Jul-2012) 16" xfId="6061" xr:uid="{00000000-0005-0000-0000-0000BE120000}"/>
    <cellStyle name="_HSV5-WIP FOLLOW UP (Jul-2012) 17" xfId="4418" xr:uid="{00000000-0005-0000-0000-0000BF120000}"/>
    <cellStyle name="_HSV5-WIP FOLLOW UP (Jul-2012) 18" xfId="4630" xr:uid="{00000000-0005-0000-0000-0000C0120000}"/>
    <cellStyle name="_HSV5-WIP FOLLOW UP (Jul-2012) 19" xfId="4337" xr:uid="{00000000-0005-0000-0000-0000C1120000}"/>
    <cellStyle name="_HSV5-WIP FOLLOW UP (Jul-2012) 2" xfId="3244" xr:uid="{00000000-0005-0000-0000-0000C2120000}"/>
    <cellStyle name="_HSV5-WIP FOLLOW UP (Jul-2012) 20" xfId="4572" xr:uid="{00000000-0005-0000-0000-0000C3120000}"/>
    <cellStyle name="_HSV5-WIP FOLLOW UP (Jul-2012) 21" xfId="5271" xr:uid="{00000000-0005-0000-0000-0000C4120000}"/>
    <cellStyle name="_HSV5-WIP FOLLOW UP (Jul-2012) 22" xfId="4145" xr:uid="{00000000-0005-0000-0000-0000C5120000}"/>
    <cellStyle name="_HSV5-WIP FOLLOW UP (Jul-2012) 23" xfId="5200" xr:uid="{00000000-0005-0000-0000-0000C6120000}"/>
    <cellStyle name="_HSV5-WIP FOLLOW UP (Jul-2012) 24" xfId="5369" xr:uid="{00000000-0005-0000-0000-0000C7120000}"/>
    <cellStyle name="_HSV5-WIP FOLLOW UP (Jul-2012) 25" xfId="6096" xr:uid="{00000000-0005-0000-0000-0000C8120000}"/>
    <cellStyle name="_HSV5-WIP FOLLOW UP (Jul-2012) 26" xfId="4564" xr:uid="{00000000-0005-0000-0000-0000C9120000}"/>
    <cellStyle name="_HSV5-WIP FOLLOW UP (Jul-2012) 27" xfId="6162" xr:uid="{00000000-0005-0000-0000-0000CA120000}"/>
    <cellStyle name="_HSV5-WIP FOLLOW UP (Jul-2012) 28" xfId="6347" xr:uid="{00000000-0005-0000-0000-0000CB120000}"/>
    <cellStyle name="_HSV5-WIP FOLLOW UP (Jul-2012) 29" xfId="6816" xr:uid="{00000000-0005-0000-0000-0000CC120000}"/>
    <cellStyle name="_HSV5-WIP FOLLOW UP (Jul-2012) 3" xfId="3301" xr:uid="{00000000-0005-0000-0000-0000CD120000}"/>
    <cellStyle name="_HSV5-WIP FOLLOW UP (Jul-2012) 30" xfId="6577" xr:uid="{00000000-0005-0000-0000-0000CE120000}"/>
    <cellStyle name="_HSV5-WIP FOLLOW UP (Jul-2012) 31" xfId="6910" xr:uid="{00000000-0005-0000-0000-0000CF120000}"/>
    <cellStyle name="_HSV5-WIP FOLLOW UP (Jul-2012) 32" xfId="7839" xr:uid="{00000000-0005-0000-0000-0000D0120000}"/>
    <cellStyle name="_HSV5-WIP FOLLOW UP (Jul-2012) 33" xfId="8127" xr:uid="{00000000-0005-0000-0000-0000D1120000}"/>
    <cellStyle name="_HSV5-WIP FOLLOW UP (Jul-2012) 34" xfId="9432" xr:uid="{00000000-0005-0000-0000-0000D2120000}"/>
    <cellStyle name="_HSV5-WIP FOLLOW UP (Jul-2012) 35" xfId="8118" xr:uid="{00000000-0005-0000-0000-0000D3120000}"/>
    <cellStyle name="_HSV5-WIP FOLLOW UP (Jul-2012) 36" xfId="7975" xr:uid="{00000000-0005-0000-0000-0000D4120000}"/>
    <cellStyle name="_HSV5-WIP FOLLOW UP (Jul-2012) 37" xfId="8845" xr:uid="{00000000-0005-0000-0000-0000D5120000}"/>
    <cellStyle name="_HSV5-WIP FOLLOW UP (Jul-2012) 38" xfId="8324" xr:uid="{00000000-0005-0000-0000-0000D6120000}"/>
    <cellStyle name="_HSV5-WIP FOLLOW UP (Jul-2012) 39" xfId="9592" xr:uid="{00000000-0005-0000-0000-0000D7120000}"/>
    <cellStyle name="_HSV5-WIP FOLLOW UP (Jul-2012) 4" xfId="3572" xr:uid="{00000000-0005-0000-0000-0000D8120000}"/>
    <cellStyle name="_HSV5-WIP FOLLOW UP (Jul-2012) 40" xfId="12049" xr:uid="{00000000-0005-0000-0000-0000D9120000}"/>
    <cellStyle name="_HSV5-WIP FOLLOW UP (Jul-2012) 41" xfId="12050" xr:uid="{00000000-0005-0000-0000-0000DA120000}"/>
    <cellStyle name="_HSV5-WIP FOLLOW UP (Jul-2012) 42" xfId="12051" xr:uid="{00000000-0005-0000-0000-0000DB120000}"/>
    <cellStyle name="_HSV5-WIP FOLLOW UP (Jul-2012) 43" xfId="20806" xr:uid="{00000000-0005-0000-0000-0000DC120000}"/>
    <cellStyle name="_HSV5-WIP FOLLOW UP (Jul-2012) 5" xfId="3298" xr:uid="{00000000-0005-0000-0000-0000DD120000}"/>
    <cellStyle name="_HSV5-WIP FOLLOW UP (Jul-2012) 6" xfId="3770" xr:uid="{00000000-0005-0000-0000-0000DE120000}"/>
    <cellStyle name="_HSV5-WIP FOLLOW UP (Jul-2012) 7" xfId="3912" xr:uid="{00000000-0005-0000-0000-0000DF120000}"/>
    <cellStyle name="_HSV5-WIP FOLLOW UP (Jul-2012) 8" xfId="3771" xr:uid="{00000000-0005-0000-0000-0000E0120000}"/>
    <cellStyle name="_HSV5-WIP FOLLOW UP (Jul-2012) 9" xfId="4045" xr:uid="{00000000-0005-0000-0000-0000E1120000}"/>
    <cellStyle name="_HSV5-WIP FOLLOW UP (May  Jun-2012) REVISED" xfId="739" xr:uid="{00000000-0005-0000-0000-0000E2120000}"/>
    <cellStyle name="_HSV5-WIP FOLLOW UP (May  Jun-2012) REVISED 2" xfId="3246" xr:uid="{00000000-0005-0000-0000-0000E3120000}"/>
    <cellStyle name="_HSV5-WIP FOLLOW UP (NOV-2012)" xfId="740" xr:uid="{00000000-0005-0000-0000-0000E4120000}"/>
    <cellStyle name="_HSV5-WIP FOLLOW UP (NOV-2012) 2" xfId="3247" xr:uid="{00000000-0005-0000-0000-0000E5120000}"/>
    <cellStyle name="_HSV5-WIP FOLLOW UP (NOV-2012) NEW" xfId="741" xr:uid="{00000000-0005-0000-0000-0000E6120000}"/>
    <cellStyle name="_HSV5-WIP FOLLOW UP (NOV-2012) NEW 2" xfId="3248" xr:uid="{00000000-0005-0000-0000-0000E7120000}"/>
    <cellStyle name="_HSV5-WIP FOLLOW UP (OCT-2012)" xfId="742" xr:uid="{00000000-0005-0000-0000-0000E8120000}"/>
    <cellStyle name="_HSV5-WIP FOLLOW UP (OCT-2012) 2" xfId="3249" xr:uid="{00000000-0005-0000-0000-0000E9120000}"/>
    <cellStyle name="_HSV5-WIP FOLLOW UP (OCT-2012) NEW" xfId="743" xr:uid="{00000000-0005-0000-0000-0000EA120000}"/>
    <cellStyle name="_HSV5-WIP FOLLOW UP (OCT-2012) NEW 2" xfId="3250" xr:uid="{00000000-0005-0000-0000-0000EB120000}"/>
    <cellStyle name="_HSV5-WIP FOLLOW UP (SEP-2012)" xfId="744" xr:uid="{00000000-0005-0000-0000-0000EC120000}"/>
    <cellStyle name="_HSV5-WIP FOLLOW UP (SEP-2012) 2" xfId="3251" xr:uid="{00000000-0005-0000-0000-0000ED120000}"/>
    <cellStyle name="_HSV-DAILY FINANCE - 09.2008" xfId="745" xr:uid="{00000000-0005-0000-0000-0000EE120000}"/>
    <cellStyle name="_HSV-DAILY FINANCE - 09.2008 2" xfId="3252" xr:uid="{00000000-0005-0000-0000-0000EF120000}"/>
    <cellStyle name="_HSV-DAILY FINANCE - 09.2008_EVALUATION_EX_311208" xfId="746" xr:uid="{00000000-0005-0000-0000-0000F0120000}"/>
    <cellStyle name="_HSV-DAILY FINANCE - 09.2008_EVALUATION_EX_311208 2" xfId="3253" xr:uid="{00000000-0005-0000-0000-0000F1120000}"/>
    <cellStyle name="_HSV-DBT0809269C" xfId="747" xr:uid="{00000000-0005-0000-0000-0000F2120000}"/>
    <cellStyle name="_HSV-DBT0809272C" xfId="748" xr:uid="{00000000-0005-0000-0000-0000F3120000}"/>
    <cellStyle name="_HSV-DBT0809272C 2" xfId="3254" xr:uid="{00000000-0005-0000-0000-0000F4120000}"/>
    <cellStyle name="_HSV-DBT0809272C_138 - OtherReceivableAccount_28022010" xfId="749" xr:uid="{00000000-0005-0000-0000-0000F5120000}"/>
    <cellStyle name="_HSV-DBT0809272C_138 - OtherReceivableAccount_28022010 2" xfId="3255" xr:uid="{00000000-0005-0000-0000-0000F6120000}"/>
    <cellStyle name="_HSV-DBT0809272C_138 - OtherReceivableAccount_30112009" xfId="750" xr:uid="{00000000-0005-0000-0000-0000F7120000}"/>
    <cellStyle name="_HSV-DBT0809272C_138 - OtherReceivableAccount_30112009 2" xfId="3256" xr:uid="{00000000-0005-0000-0000-0000F8120000}"/>
    <cellStyle name="_HSV-DBT0809272C_138 - OtherReceivableAccount_30112009_EVALUATION_EX_311208" xfId="751" xr:uid="{00000000-0005-0000-0000-0000F9120000}"/>
    <cellStyle name="_HSV-DBT0809272C_138 - OtherReceivableAccount_30112009_EVALUATION_EX_311208 2" xfId="3257" xr:uid="{00000000-0005-0000-0000-0000FA120000}"/>
    <cellStyle name="_HSV-DBT0809272C_138 - OtherReceivableAccount_31012010" xfId="752" xr:uid="{00000000-0005-0000-0000-0000FB120000}"/>
    <cellStyle name="_HSV-DBT0809272C_138 - OtherReceivableAccount_31012010 2" xfId="3258" xr:uid="{00000000-0005-0000-0000-0000FC120000}"/>
    <cellStyle name="_HSV-DBT0809272C_138 - OtherReceivableAccount_31122009" xfId="753" xr:uid="{00000000-0005-0000-0000-0000FD120000}"/>
    <cellStyle name="_HSV-DBT0809272C_138 - OtherReceivableAccount_31122009 2" xfId="3259" xr:uid="{00000000-0005-0000-0000-0000FE120000}"/>
    <cellStyle name="_HSV-DBT0809272C_138 - OtherReceivableAccount_31122009_EVALUATION_EX_311208" xfId="754" xr:uid="{00000000-0005-0000-0000-0000FF120000}"/>
    <cellStyle name="_HSV-DBT0809272C_138 - OtherReceivableAccount_31122009_EVALUATION_EX_311208 2" xfId="3260" xr:uid="{00000000-0005-0000-0000-000000130000}"/>
    <cellStyle name="_HSV-DBT0809272C_EVALUATION_EX_311208" xfId="755" xr:uid="{00000000-0005-0000-0000-000001130000}"/>
    <cellStyle name="_HSV-DBT0809272C_EVALUATION_EX_311208 2" xfId="3261" xr:uid="{00000000-0005-0000-0000-000002130000}"/>
    <cellStyle name="_HSV-DBT0809272C_YTDHST " xfId="756" xr:uid="{00000000-0005-0000-0000-000003130000}"/>
    <cellStyle name="_HSV-DBT0809272C_YTDHST  2" xfId="3262" xr:uid="{00000000-0005-0000-0000-000004130000}"/>
    <cellStyle name="_In-out-bal products" xfId="757" xr:uid="{00000000-0005-0000-0000-000005130000}"/>
    <cellStyle name="_In-out-bal products 2" xfId="3263" xr:uid="{00000000-0005-0000-0000-000006130000}"/>
    <cellStyle name="_Jun-Productionreport" xfId="761" xr:uid="{00000000-0005-0000-0000-000007130000}"/>
    <cellStyle name="_Jun-Productionreport 2" xfId="3264" xr:uid="{00000000-0005-0000-0000-000008130000}"/>
    <cellStyle name="_Kerry - Monthly finance - May,08-d" xfId="762" xr:uid="{00000000-0005-0000-0000-000009130000}"/>
    <cellStyle name="_Kohl's 추가분 _ 2011-11-15_rev" xfId="763" xr:uid="{00000000-0005-0000-0000-00000A130000}"/>
    <cellStyle name="_KT (2)" xfId="764" xr:uid="{00000000-0005-0000-0000-00000B130000}"/>
    <cellStyle name="_KT (2)_1" xfId="765" xr:uid="{00000000-0005-0000-0000-00000C130000}"/>
    <cellStyle name="_KT (2)_1_Lora-tungchau" xfId="766" xr:uid="{00000000-0005-0000-0000-00000D130000}"/>
    <cellStyle name="_KT (2)_1_Qt-HT3PQ1(CauKho)" xfId="767" xr:uid="{00000000-0005-0000-0000-00000E130000}"/>
    <cellStyle name="_KT (2)_2" xfId="768" xr:uid="{00000000-0005-0000-0000-00000F130000}"/>
    <cellStyle name="_KT (2)_2_911 -  FS_31032009" xfId="769" xr:uid="{00000000-0005-0000-0000-000010130000}"/>
    <cellStyle name="_KT (2)_2_BS_HQ" xfId="770" xr:uid="{00000000-0005-0000-0000-000011130000}"/>
    <cellStyle name="_KT (2)_2_Direct labour" xfId="771" xr:uid="{00000000-0005-0000-0000-000012130000}"/>
    <cellStyle name="_KT (2)_2_EVALUATION_EX_311208" xfId="772" xr:uid="{00000000-0005-0000-0000-000013130000}"/>
    <cellStyle name="_KT (2)_2_General pro" xfId="773" xr:uid="{00000000-0005-0000-0000-000014130000}"/>
    <cellStyle name="_KT (2)_2_IS-HQ" xfId="774" xr:uid="{00000000-0005-0000-0000-000015130000}"/>
    <cellStyle name="_KT (2)_2_PO-HQ" xfId="775" xr:uid="{00000000-0005-0000-0000-000016130000}"/>
    <cellStyle name="_KT (2)_2_TB" xfId="776" xr:uid="{00000000-0005-0000-0000-000017130000}"/>
    <cellStyle name="_KT (2)_2_TG-TH" xfId="777" xr:uid="{00000000-0005-0000-0000-000018130000}"/>
    <cellStyle name="_KT (2)_2_TG-TH_BAO CAO KLCT PT2000" xfId="778" xr:uid="{00000000-0005-0000-0000-000019130000}"/>
    <cellStyle name="_KT (2)_2_TG-TH_BAO CAO PT2000" xfId="779" xr:uid="{00000000-0005-0000-0000-00001A130000}"/>
    <cellStyle name="_KT (2)_2_TG-TH_BAO CAO PT2000_Book1" xfId="780" xr:uid="{00000000-0005-0000-0000-00001B130000}"/>
    <cellStyle name="_KT (2)_2_TG-TH_Bao cao XDCB 2001 - T11 KH dieu chinh 20-11-THAI" xfId="781" xr:uid="{00000000-0005-0000-0000-00001C130000}"/>
    <cellStyle name="_KT (2)_2_TG-TH_Book1" xfId="782" xr:uid="{00000000-0005-0000-0000-00001D130000}"/>
    <cellStyle name="_KT (2)_2_TG-TH_Book1_1" xfId="783" xr:uid="{00000000-0005-0000-0000-00001E130000}"/>
    <cellStyle name="_KT (2)_2_TG-TH_Book1_2" xfId="784" xr:uid="{00000000-0005-0000-0000-00001F130000}"/>
    <cellStyle name="_KT (2)_2_TG-TH_Book1_3" xfId="785" xr:uid="{00000000-0005-0000-0000-000020130000}"/>
    <cellStyle name="_KT (2)_2_TG-TH_Book1_3_Book1" xfId="786" xr:uid="{00000000-0005-0000-0000-000021130000}"/>
    <cellStyle name="_KT (2)_2_TG-TH_Book1_3_Book1_911 -  FS_31032009" xfId="787" xr:uid="{00000000-0005-0000-0000-000022130000}"/>
    <cellStyle name="_KT (2)_2_TG-TH_Book1_3_Book1_BS_HQ" xfId="788" xr:uid="{00000000-0005-0000-0000-000023130000}"/>
    <cellStyle name="_KT (2)_2_TG-TH_Book1_3_Book1_Direct labour" xfId="789" xr:uid="{00000000-0005-0000-0000-000024130000}"/>
    <cellStyle name="_KT (2)_2_TG-TH_Book1_3_Book1_EVALUATION_EX_311208" xfId="790" xr:uid="{00000000-0005-0000-0000-000025130000}"/>
    <cellStyle name="_KT (2)_2_TG-TH_Book1_3_Book1_General pro" xfId="791" xr:uid="{00000000-0005-0000-0000-000026130000}"/>
    <cellStyle name="_KT (2)_2_TG-TH_Book1_3_Book1_IS-HQ" xfId="792" xr:uid="{00000000-0005-0000-0000-000027130000}"/>
    <cellStyle name="_KT (2)_2_TG-TH_Book1_3_Book1_PO-HQ" xfId="793" xr:uid="{00000000-0005-0000-0000-000028130000}"/>
    <cellStyle name="_KT (2)_2_TG-TH_Book1_3_Book1_TB" xfId="794" xr:uid="{00000000-0005-0000-0000-000029130000}"/>
    <cellStyle name="_KT (2)_2_TG-TH_Book1_Book1" xfId="795" xr:uid="{00000000-0005-0000-0000-00002A130000}"/>
    <cellStyle name="_KT (2)_2_TG-TH_Book1_TH KE" xfId="796" xr:uid="{00000000-0005-0000-0000-00002B130000}"/>
    <cellStyle name="_KT (2)_2_TG-TH_Book1_THU CHI TIEN" xfId="797" xr:uid="{00000000-0005-0000-0000-00002C130000}"/>
    <cellStyle name="_KT (2)_2_TG-TH_Book1_TKE" xfId="798" xr:uid="{00000000-0005-0000-0000-00002D130000}"/>
    <cellStyle name="_KT (2)_2_TG-TH_DTCDT MR.2N110.HOCMON.TDTOAN.CCUNG" xfId="799" xr:uid="{00000000-0005-0000-0000-00002E130000}"/>
    <cellStyle name="_KT (2)_2_TG-TH_Lora-tungchau" xfId="800" xr:uid="{00000000-0005-0000-0000-00002F130000}"/>
    <cellStyle name="_KT (2)_2_TG-TH_PGIA-phieu tham tra Kho bac" xfId="801" xr:uid="{00000000-0005-0000-0000-000030130000}"/>
    <cellStyle name="_KT (2)_2_TG-TH_PT02-02" xfId="802" xr:uid="{00000000-0005-0000-0000-000031130000}"/>
    <cellStyle name="_KT (2)_2_TG-TH_PT02-02_Book1" xfId="803" xr:uid="{00000000-0005-0000-0000-000032130000}"/>
    <cellStyle name="_KT (2)_2_TG-TH_PT02-03" xfId="804" xr:uid="{00000000-0005-0000-0000-000033130000}"/>
    <cellStyle name="_KT (2)_2_TG-TH_PT02-03_Book1" xfId="805" xr:uid="{00000000-0005-0000-0000-000034130000}"/>
    <cellStyle name="_KT (2)_2_TG-TH_Qt-HT3PQ1(CauKho)" xfId="806" xr:uid="{00000000-0005-0000-0000-000035130000}"/>
    <cellStyle name="_KT (2)_2_TG-TH_TH KE" xfId="807" xr:uid="{00000000-0005-0000-0000-000036130000}"/>
    <cellStyle name="_KT (2)_2_TG-TH_TH KE_Book1" xfId="808" xr:uid="{00000000-0005-0000-0000-000037130000}"/>
    <cellStyle name="_KT (2)_2_TG-TH_TH KE_Book1_911 -  FS_31032009" xfId="809" xr:uid="{00000000-0005-0000-0000-000038130000}"/>
    <cellStyle name="_KT (2)_2_TG-TH_TH KE_Book1_BS_HQ" xfId="810" xr:uid="{00000000-0005-0000-0000-000039130000}"/>
    <cellStyle name="_KT (2)_2_TG-TH_TH KE_Book1_Direct labour" xfId="811" xr:uid="{00000000-0005-0000-0000-00003A130000}"/>
    <cellStyle name="_KT (2)_2_TG-TH_TH KE_Book1_EVALUATION_EX_311208" xfId="812" xr:uid="{00000000-0005-0000-0000-00003B130000}"/>
    <cellStyle name="_KT (2)_2_TG-TH_TH KE_Book1_General pro" xfId="813" xr:uid="{00000000-0005-0000-0000-00003C130000}"/>
    <cellStyle name="_KT (2)_2_TG-TH_TH KE_Book1_IS-HQ" xfId="814" xr:uid="{00000000-0005-0000-0000-00003D130000}"/>
    <cellStyle name="_KT (2)_2_TG-TH_TH KE_Book1_PO-HQ" xfId="815" xr:uid="{00000000-0005-0000-0000-00003E130000}"/>
    <cellStyle name="_KT (2)_2_TG-TH_TH KE_Book1_TB" xfId="816" xr:uid="{00000000-0005-0000-0000-00003F130000}"/>
    <cellStyle name="_KT (2)_2_TG-TH_THU CHI TIEN" xfId="817" xr:uid="{00000000-0005-0000-0000-000040130000}"/>
    <cellStyle name="_KT (2)_2_TG-TH_THU CHI TIEN_911 -  FS_31032009" xfId="818" xr:uid="{00000000-0005-0000-0000-000041130000}"/>
    <cellStyle name="_KT (2)_2_TG-TH_THU CHI TIEN_BS_HQ" xfId="819" xr:uid="{00000000-0005-0000-0000-000042130000}"/>
    <cellStyle name="_KT (2)_2_TG-TH_THU CHI TIEN_Direct labour" xfId="820" xr:uid="{00000000-0005-0000-0000-000043130000}"/>
    <cellStyle name="_KT (2)_2_TG-TH_THU CHI TIEN_EVALUATION_EX_311208" xfId="821" xr:uid="{00000000-0005-0000-0000-000044130000}"/>
    <cellStyle name="_KT (2)_2_TG-TH_THU CHI TIEN_General pro" xfId="822" xr:uid="{00000000-0005-0000-0000-000045130000}"/>
    <cellStyle name="_KT (2)_2_TG-TH_THU CHI TIEN_IS-HQ" xfId="823" xr:uid="{00000000-0005-0000-0000-000046130000}"/>
    <cellStyle name="_KT (2)_2_TG-TH_THU CHI TIEN_PO-HQ" xfId="824" xr:uid="{00000000-0005-0000-0000-000047130000}"/>
    <cellStyle name="_KT (2)_2_TG-TH_THU CHI TIEN_TB" xfId="825" xr:uid="{00000000-0005-0000-0000-000048130000}"/>
    <cellStyle name="_KT (2)_2_TG-TH_TKE" xfId="826" xr:uid="{00000000-0005-0000-0000-000049130000}"/>
    <cellStyle name="_KT (2)_2_TG-TH_TKE_911 -  FS_31032009" xfId="827" xr:uid="{00000000-0005-0000-0000-00004A130000}"/>
    <cellStyle name="_KT (2)_2_TG-TH_TKE_BS_HQ" xfId="828" xr:uid="{00000000-0005-0000-0000-00004B130000}"/>
    <cellStyle name="_KT (2)_2_TG-TH_TKE_Direct labour" xfId="829" xr:uid="{00000000-0005-0000-0000-00004C130000}"/>
    <cellStyle name="_KT (2)_2_TG-TH_TKE_EVALUATION_EX_311208" xfId="830" xr:uid="{00000000-0005-0000-0000-00004D130000}"/>
    <cellStyle name="_KT (2)_2_TG-TH_TKE_General pro" xfId="831" xr:uid="{00000000-0005-0000-0000-00004E130000}"/>
    <cellStyle name="_KT (2)_2_TG-TH_TKE_IS-HQ" xfId="832" xr:uid="{00000000-0005-0000-0000-00004F130000}"/>
    <cellStyle name="_KT (2)_2_TG-TH_TKE_PO-HQ" xfId="833" xr:uid="{00000000-0005-0000-0000-000050130000}"/>
    <cellStyle name="_KT (2)_2_TG-TH_TKE_TB" xfId="834" xr:uid="{00000000-0005-0000-0000-000051130000}"/>
    <cellStyle name="_KT (2)_3" xfId="835" xr:uid="{00000000-0005-0000-0000-000052130000}"/>
    <cellStyle name="_KT (2)_3_911 -  FS_31032009" xfId="836" xr:uid="{00000000-0005-0000-0000-000053130000}"/>
    <cellStyle name="_KT (2)_3_BS_HQ" xfId="837" xr:uid="{00000000-0005-0000-0000-000054130000}"/>
    <cellStyle name="_KT (2)_3_Direct labour" xfId="838" xr:uid="{00000000-0005-0000-0000-000055130000}"/>
    <cellStyle name="_KT (2)_3_EVALUATION_EX_311208" xfId="839" xr:uid="{00000000-0005-0000-0000-000056130000}"/>
    <cellStyle name="_KT (2)_3_General pro" xfId="840" xr:uid="{00000000-0005-0000-0000-000057130000}"/>
    <cellStyle name="_KT (2)_3_IS-HQ" xfId="841" xr:uid="{00000000-0005-0000-0000-000058130000}"/>
    <cellStyle name="_KT (2)_3_PO-HQ" xfId="842" xr:uid="{00000000-0005-0000-0000-000059130000}"/>
    <cellStyle name="_KT (2)_3_TB" xfId="843" xr:uid="{00000000-0005-0000-0000-00005A130000}"/>
    <cellStyle name="_KT (2)_3_TG-TH" xfId="844" xr:uid="{00000000-0005-0000-0000-00005B130000}"/>
    <cellStyle name="_KT (2)_3_TG-TH_Book1" xfId="845" xr:uid="{00000000-0005-0000-0000-00005C130000}"/>
    <cellStyle name="_KT (2)_3_TG-TH_Book1_BC-QT-WB-dthao" xfId="846" xr:uid="{00000000-0005-0000-0000-00005D130000}"/>
    <cellStyle name="_KT (2)_3_TG-TH_Lora-tungchau" xfId="847" xr:uid="{00000000-0005-0000-0000-00005E130000}"/>
    <cellStyle name="_KT (2)_3_TG-TH_PERSONAL" xfId="848" xr:uid="{00000000-0005-0000-0000-00005F130000}"/>
    <cellStyle name="_KT (2)_3_TG-TH_PERSONAL_Book1" xfId="849" xr:uid="{00000000-0005-0000-0000-000060130000}"/>
    <cellStyle name="_KT (2)_3_TG-TH_PERSONAL_Book1_Book1" xfId="850" xr:uid="{00000000-0005-0000-0000-000061130000}"/>
    <cellStyle name="_KT (2)_3_TG-TH_PERSONAL_Book1_THU CHI TIEN" xfId="851" xr:uid="{00000000-0005-0000-0000-000062130000}"/>
    <cellStyle name="_KT (2)_3_TG-TH_PERSONAL_HTQ.8 GD1" xfId="852" xr:uid="{00000000-0005-0000-0000-000063130000}"/>
    <cellStyle name="_KT (2)_3_TG-TH_PERSONAL_TH KE" xfId="853" xr:uid="{00000000-0005-0000-0000-000064130000}"/>
    <cellStyle name="_KT (2)_3_TG-TH_PERSONAL_THU CHI TIEN" xfId="854" xr:uid="{00000000-0005-0000-0000-000065130000}"/>
    <cellStyle name="_KT (2)_3_TG-TH_PERSONAL_TKE" xfId="855" xr:uid="{00000000-0005-0000-0000-000066130000}"/>
    <cellStyle name="_KT (2)_3_TG-TH_PERSONAL_Tong hop KHCB 2001" xfId="856" xr:uid="{00000000-0005-0000-0000-000067130000}"/>
    <cellStyle name="_KT (2)_3_TG-TH_Qt-HT3PQ1(CauKho)" xfId="857" xr:uid="{00000000-0005-0000-0000-000068130000}"/>
    <cellStyle name="_KT (2)_4" xfId="858" xr:uid="{00000000-0005-0000-0000-000069130000}"/>
    <cellStyle name="_KT (2)_4_BAO CAO KLCT PT2000" xfId="859" xr:uid="{00000000-0005-0000-0000-00006A130000}"/>
    <cellStyle name="_KT (2)_4_BAO CAO PT2000" xfId="860" xr:uid="{00000000-0005-0000-0000-00006B130000}"/>
    <cellStyle name="_KT (2)_4_BAO CAO PT2000_Book1" xfId="861" xr:uid="{00000000-0005-0000-0000-00006C130000}"/>
    <cellStyle name="_KT (2)_4_Bao cao XDCB 2001 - T11 KH dieu chinh 20-11-THAI" xfId="862" xr:uid="{00000000-0005-0000-0000-00006D130000}"/>
    <cellStyle name="_KT (2)_4_Book1" xfId="863" xr:uid="{00000000-0005-0000-0000-00006E130000}"/>
    <cellStyle name="_KT (2)_4_Book1_1" xfId="864" xr:uid="{00000000-0005-0000-0000-00006F130000}"/>
    <cellStyle name="_KT (2)_4_Book1_2" xfId="865" xr:uid="{00000000-0005-0000-0000-000070130000}"/>
    <cellStyle name="_KT (2)_4_Book1_3" xfId="866" xr:uid="{00000000-0005-0000-0000-000071130000}"/>
    <cellStyle name="_KT (2)_4_Book1_3_Book1" xfId="867" xr:uid="{00000000-0005-0000-0000-000072130000}"/>
    <cellStyle name="_KT (2)_4_Book1_3_Book1_911 -  FS_31032009" xfId="868" xr:uid="{00000000-0005-0000-0000-000073130000}"/>
    <cellStyle name="_KT (2)_4_Book1_3_Book1_BS_HQ" xfId="869" xr:uid="{00000000-0005-0000-0000-000074130000}"/>
    <cellStyle name="_KT (2)_4_Book1_3_Book1_Direct labour" xfId="870" xr:uid="{00000000-0005-0000-0000-000075130000}"/>
    <cellStyle name="_KT (2)_4_Book1_3_Book1_EVALUATION_EX_311208" xfId="871" xr:uid="{00000000-0005-0000-0000-000076130000}"/>
    <cellStyle name="_KT (2)_4_Book1_3_Book1_General pro" xfId="872" xr:uid="{00000000-0005-0000-0000-000077130000}"/>
    <cellStyle name="_KT (2)_4_Book1_3_Book1_IS-HQ" xfId="873" xr:uid="{00000000-0005-0000-0000-000078130000}"/>
    <cellStyle name="_KT (2)_4_Book1_3_Book1_PO-HQ" xfId="874" xr:uid="{00000000-0005-0000-0000-000079130000}"/>
    <cellStyle name="_KT (2)_4_Book1_3_Book1_TB" xfId="875" xr:uid="{00000000-0005-0000-0000-00007A130000}"/>
    <cellStyle name="_KT (2)_4_Book1_Book1" xfId="876" xr:uid="{00000000-0005-0000-0000-00007B130000}"/>
    <cellStyle name="_KT (2)_4_Book1_TH KE" xfId="877" xr:uid="{00000000-0005-0000-0000-00007C130000}"/>
    <cellStyle name="_KT (2)_4_Book1_THU CHI TIEN" xfId="878" xr:uid="{00000000-0005-0000-0000-00007D130000}"/>
    <cellStyle name="_KT (2)_4_Book1_TKE" xfId="879" xr:uid="{00000000-0005-0000-0000-00007E130000}"/>
    <cellStyle name="_KT (2)_4_DTCDT MR.2N110.HOCMON.TDTOAN.CCUNG" xfId="880" xr:uid="{00000000-0005-0000-0000-00007F130000}"/>
    <cellStyle name="_KT (2)_4_Lora-tungchau" xfId="881" xr:uid="{00000000-0005-0000-0000-000080130000}"/>
    <cellStyle name="_KT (2)_4_PGIA-phieu tham tra Kho bac" xfId="882" xr:uid="{00000000-0005-0000-0000-000081130000}"/>
    <cellStyle name="_KT (2)_4_PT02-02" xfId="883" xr:uid="{00000000-0005-0000-0000-000082130000}"/>
    <cellStyle name="_KT (2)_4_PT02-02_Book1" xfId="884" xr:uid="{00000000-0005-0000-0000-000083130000}"/>
    <cellStyle name="_KT (2)_4_PT02-03" xfId="885" xr:uid="{00000000-0005-0000-0000-000084130000}"/>
    <cellStyle name="_KT (2)_4_PT02-03_Book1" xfId="886" xr:uid="{00000000-0005-0000-0000-000085130000}"/>
    <cellStyle name="_KT (2)_4_Qt-HT3PQ1(CauKho)" xfId="887" xr:uid="{00000000-0005-0000-0000-000086130000}"/>
    <cellStyle name="_KT (2)_4_TG-TH" xfId="888" xr:uid="{00000000-0005-0000-0000-000087130000}"/>
    <cellStyle name="_KT (2)_4_TG-TH_911 -  FS_31032009" xfId="889" xr:uid="{00000000-0005-0000-0000-000088130000}"/>
    <cellStyle name="_KT (2)_4_TG-TH_BS_HQ" xfId="890" xr:uid="{00000000-0005-0000-0000-000089130000}"/>
    <cellStyle name="_KT (2)_4_TG-TH_Direct labour" xfId="891" xr:uid="{00000000-0005-0000-0000-00008A130000}"/>
    <cellStyle name="_KT (2)_4_TG-TH_EVALUATION_EX_311208" xfId="892" xr:uid="{00000000-0005-0000-0000-00008B130000}"/>
    <cellStyle name="_KT (2)_4_TG-TH_General pro" xfId="893" xr:uid="{00000000-0005-0000-0000-00008C130000}"/>
    <cellStyle name="_KT (2)_4_TG-TH_IS-HQ" xfId="894" xr:uid="{00000000-0005-0000-0000-00008D130000}"/>
    <cellStyle name="_KT (2)_4_TG-TH_PO-HQ" xfId="895" xr:uid="{00000000-0005-0000-0000-00008E130000}"/>
    <cellStyle name="_KT (2)_4_TG-TH_TB" xfId="896" xr:uid="{00000000-0005-0000-0000-00008F130000}"/>
    <cellStyle name="_KT (2)_4_TH KE" xfId="897" xr:uid="{00000000-0005-0000-0000-000090130000}"/>
    <cellStyle name="_KT (2)_4_TH KE_Book1" xfId="898" xr:uid="{00000000-0005-0000-0000-000091130000}"/>
    <cellStyle name="_KT (2)_4_TH KE_Book1_911 -  FS_31032009" xfId="899" xr:uid="{00000000-0005-0000-0000-000092130000}"/>
    <cellStyle name="_KT (2)_4_TH KE_Book1_BS_HQ" xfId="900" xr:uid="{00000000-0005-0000-0000-000093130000}"/>
    <cellStyle name="_KT (2)_4_TH KE_Book1_Direct labour" xfId="901" xr:uid="{00000000-0005-0000-0000-000094130000}"/>
    <cellStyle name="_KT (2)_4_TH KE_Book1_EVALUATION_EX_311208" xfId="902" xr:uid="{00000000-0005-0000-0000-000095130000}"/>
    <cellStyle name="_KT (2)_4_TH KE_Book1_General pro" xfId="903" xr:uid="{00000000-0005-0000-0000-000096130000}"/>
    <cellStyle name="_KT (2)_4_TH KE_Book1_IS-HQ" xfId="904" xr:uid="{00000000-0005-0000-0000-000097130000}"/>
    <cellStyle name="_KT (2)_4_TH KE_Book1_PO-HQ" xfId="905" xr:uid="{00000000-0005-0000-0000-000098130000}"/>
    <cellStyle name="_KT (2)_4_TH KE_Book1_TB" xfId="906" xr:uid="{00000000-0005-0000-0000-000099130000}"/>
    <cellStyle name="_KT (2)_4_THU CHI TIEN" xfId="907" xr:uid="{00000000-0005-0000-0000-00009A130000}"/>
    <cellStyle name="_KT (2)_4_THU CHI TIEN_911 -  FS_31032009" xfId="908" xr:uid="{00000000-0005-0000-0000-00009B130000}"/>
    <cellStyle name="_KT (2)_4_THU CHI TIEN_BS_HQ" xfId="909" xr:uid="{00000000-0005-0000-0000-00009C130000}"/>
    <cellStyle name="_KT (2)_4_THU CHI TIEN_Direct labour" xfId="910" xr:uid="{00000000-0005-0000-0000-00009D130000}"/>
    <cellStyle name="_KT (2)_4_THU CHI TIEN_EVALUATION_EX_311208" xfId="911" xr:uid="{00000000-0005-0000-0000-00009E130000}"/>
    <cellStyle name="_KT (2)_4_THU CHI TIEN_General pro" xfId="912" xr:uid="{00000000-0005-0000-0000-00009F130000}"/>
    <cellStyle name="_KT (2)_4_THU CHI TIEN_IS-HQ" xfId="913" xr:uid="{00000000-0005-0000-0000-0000A0130000}"/>
    <cellStyle name="_KT (2)_4_THU CHI TIEN_PO-HQ" xfId="914" xr:uid="{00000000-0005-0000-0000-0000A1130000}"/>
    <cellStyle name="_KT (2)_4_THU CHI TIEN_TB" xfId="915" xr:uid="{00000000-0005-0000-0000-0000A2130000}"/>
    <cellStyle name="_KT (2)_4_TKE" xfId="916" xr:uid="{00000000-0005-0000-0000-0000A3130000}"/>
    <cellStyle name="_KT (2)_4_TKE_911 -  FS_31032009" xfId="917" xr:uid="{00000000-0005-0000-0000-0000A4130000}"/>
    <cellStyle name="_KT (2)_4_TKE_BS_HQ" xfId="918" xr:uid="{00000000-0005-0000-0000-0000A5130000}"/>
    <cellStyle name="_KT (2)_4_TKE_Direct labour" xfId="919" xr:uid="{00000000-0005-0000-0000-0000A6130000}"/>
    <cellStyle name="_KT (2)_4_TKE_EVALUATION_EX_311208" xfId="920" xr:uid="{00000000-0005-0000-0000-0000A7130000}"/>
    <cellStyle name="_KT (2)_4_TKE_General pro" xfId="921" xr:uid="{00000000-0005-0000-0000-0000A8130000}"/>
    <cellStyle name="_KT (2)_4_TKE_IS-HQ" xfId="922" xr:uid="{00000000-0005-0000-0000-0000A9130000}"/>
    <cellStyle name="_KT (2)_4_TKE_PO-HQ" xfId="923" xr:uid="{00000000-0005-0000-0000-0000AA130000}"/>
    <cellStyle name="_KT (2)_4_TKE_TB" xfId="924" xr:uid="{00000000-0005-0000-0000-0000AB130000}"/>
    <cellStyle name="_KT (2)_5" xfId="925" xr:uid="{00000000-0005-0000-0000-0000AC130000}"/>
    <cellStyle name="_KT (2)_5_BAO CAO KLCT PT2000" xfId="926" xr:uid="{00000000-0005-0000-0000-0000AD130000}"/>
    <cellStyle name="_KT (2)_5_BAO CAO PT2000" xfId="927" xr:uid="{00000000-0005-0000-0000-0000AE130000}"/>
    <cellStyle name="_KT (2)_5_BAO CAO PT2000_Book1" xfId="928" xr:uid="{00000000-0005-0000-0000-0000AF130000}"/>
    <cellStyle name="_KT (2)_5_Bao cao XDCB 2001 - T11 KH dieu chinh 20-11-THAI" xfId="929" xr:uid="{00000000-0005-0000-0000-0000B0130000}"/>
    <cellStyle name="_KT (2)_5_Book1" xfId="930" xr:uid="{00000000-0005-0000-0000-0000B1130000}"/>
    <cellStyle name="_KT (2)_5_Book1_1" xfId="931" xr:uid="{00000000-0005-0000-0000-0000B2130000}"/>
    <cellStyle name="_KT (2)_5_Book1_2" xfId="932" xr:uid="{00000000-0005-0000-0000-0000B3130000}"/>
    <cellStyle name="_KT (2)_5_Book1_3" xfId="933" xr:uid="{00000000-0005-0000-0000-0000B4130000}"/>
    <cellStyle name="_KT (2)_5_Book1_3_Book1" xfId="934" xr:uid="{00000000-0005-0000-0000-0000B5130000}"/>
    <cellStyle name="_KT (2)_5_Book1_3_Book1_911 -  FS_31032009" xfId="935" xr:uid="{00000000-0005-0000-0000-0000B6130000}"/>
    <cellStyle name="_KT (2)_5_Book1_3_Book1_BS_HQ" xfId="936" xr:uid="{00000000-0005-0000-0000-0000B7130000}"/>
    <cellStyle name="_KT (2)_5_Book1_3_Book1_Direct labour" xfId="937" xr:uid="{00000000-0005-0000-0000-0000B8130000}"/>
    <cellStyle name="_KT (2)_5_Book1_3_Book1_EVALUATION_EX_311208" xfId="938" xr:uid="{00000000-0005-0000-0000-0000B9130000}"/>
    <cellStyle name="_KT (2)_5_Book1_3_Book1_General pro" xfId="939" xr:uid="{00000000-0005-0000-0000-0000BA130000}"/>
    <cellStyle name="_KT (2)_5_Book1_3_Book1_IS-HQ" xfId="940" xr:uid="{00000000-0005-0000-0000-0000BB130000}"/>
    <cellStyle name="_KT (2)_5_Book1_3_Book1_PO-HQ" xfId="941" xr:uid="{00000000-0005-0000-0000-0000BC130000}"/>
    <cellStyle name="_KT (2)_5_Book1_3_Book1_TB" xfId="942" xr:uid="{00000000-0005-0000-0000-0000BD130000}"/>
    <cellStyle name="_KT (2)_5_Book1_BC-QT-WB-dthao" xfId="943" xr:uid="{00000000-0005-0000-0000-0000BE130000}"/>
    <cellStyle name="_KT (2)_5_Book1_Book1" xfId="944" xr:uid="{00000000-0005-0000-0000-0000BF130000}"/>
    <cellStyle name="_KT (2)_5_Book1_TH KE" xfId="945" xr:uid="{00000000-0005-0000-0000-0000C0130000}"/>
    <cellStyle name="_KT (2)_5_Book1_THU CHI TIEN" xfId="946" xr:uid="{00000000-0005-0000-0000-0000C1130000}"/>
    <cellStyle name="_KT (2)_5_Book1_TKE" xfId="947" xr:uid="{00000000-0005-0000-0000-0000C2130000}"/>
    <cellStyle name="_KT (2)_5_DTCDT MR.2N110.HOCMON.TDTOAN.CCUNG" xfId="948" xr:uid="{00000000-0005-0000-0000-0000C3130000}"/>
    <cellStyle name="_KT (2)_5_Lora-tungchau" xfId="949" xr:uid="{00000000-0005-0000-0000-0000C4130000}"/>
    <cellStyle name="_KT (2)_5_PGIA-phieu tham tra Kho bac" xfId="950" xr:uid="{00000000-0005-0000-0000-0000C5130000}"/>
    <cellStyle name="_KT (2)_5_PT02-02" xfId="951" xr:uid="{00000000-0005-0000-0000-0000C6130000}"/>
    <cellStyle name="_KT (2)_5_PT02-02_Book1" xfId="952" xr:uid="{00000000-0005-0000-0000-0000C7130000}"/>
    <cellStyle name="_KT (2)_5_PT02-03" xfId="953" xr:uid="{00000000-0005-0000-0000-0000C8130000}"/>
    <cellStyle name="_KT (2)_5_PT02-03_Book1" xfId="954" xr:uid="{00000000-0005-0000-0000-0000C9130000}"/>
    <cellStyle name="_KT (2)_5_Qt-HT3PQ1(CauKho)" xfId="955" xr:uid="{00000000-0005-0000-0000-0000CA130000}"/>
    <cellStyle name="_KT (2)_5_TH KE" xfId="956" xr:uid="{00000000-0005-0000-0000-0000CB130000}"/>
    <cellStyle name="_KT (2)_5_TH KE_Book1" xfId="957" xr:uid="{00000000-0005-0000-0000-0000CC130000}"/>
    <cellStyle name="_KT (2)_5_TH KE_Book1_911 -  FS_31032009" xfId="958" xr:uid="{00000000-0005-0000-0000-0000CD130000}"/>
    <cellStyle name="_KT (2)_5_TH KE_Book1_BS_HQ" xfId="959" xr:uid="{00000000-0005-0000-0000-0000CE130000}"/>
    <cellStyle name="_KT (2)_5_TH KE_Book1_Direct labour" xfId="960" xr:uid="{00000000-0005-0000-0000-0000CF130000}"/>
    <cellStyle name="_KT (2)_5_TH KE_Book1_EVALUATION_EX_311208" xfId="961" xr:uid="{00000000-0005-0000-0000-0000D0130000}"/>
    <cellStyle name="_KT (2)_5_TH KE_Book1_General pro" xfId="962" xr:uid="{00000000-0005-0000-0000-0000D1130000}"/>
    <cellStyle name="_KT (2)_5_TH KE_Book1_IS-HQ" xfId="963" xr:uid="{00000000-0005-0000-0000-0000D2130000}"/>
    <cellStyle name="_KT (2)_5_TH KE_Book1_PO-HQ" xfId="964" xr:uid="{00000000-0005-0000-0000-0000D3130000}"/>
    <cellStyle name="_KT (2)_5_TH KE_Book1_TB" xfId="965" xr:uid="{00000000-0005-0000-0000-0000D4130000}"/>
    <cellStyle name="_KT (2)_5_THU CHI TIEN" xfId="966" xr:uid="{00000000-0005-0000-0000-0000D5130000}"/>
    <cellStyle name="_KT (2)_5_THU CHI TIEN_911 -  FS_31032009" xfId="967" xr:uid="{00000000-0005-0000-0000-0000D6130000}"/>
    <cellStyle name="_KT (2)_5_THU CHI TIEN_BS_HQ" xfId="968" xr:uid="{00000000-0005-0000-0000-0000D7130000}"/>
    <cellStyle name="_KT (2)_5_THU CHI TIEN_Direct labour" xfId="969" xr:uid="{00000000-0005-0000-0000-0000D8130000}"/>
    <cellStyle name="_KT (2)_5_THU CHI TIEN_EVALUATION_EX_311208" xfId="970" xr:uid="{00000000-0005-0000-0000-0000D9130000}"/>
    <cellStyle name="_KT (2)_5_THU CHI TIEN_General pro" xfId="971" xr:uid="{00000000-0005-0000-0000-0000DA130000}"/>
    <cellStyle name="_KT (2)_5_THU CHI TIEN_IS-HQ" xfId="972" xr:uid="{00000000-0005-0000-0000-0000DB130000}"/>
    <cellStyle name="_KT (2)_5_THU CHI TIEN_PO-HQ" xfId="973" xr:uid="{00000000-0005-0000-0000-0000DC130000}"/>
    <cellStyle name="_KT (2)_5_THU CHI TIEN_TB" xfId="974" xr:uid="{00000000-0005-0000-0000-0000DD130000}"/>
    <cellStyle name="_KT (2)_5_TKE" xfId="975" xr:uid="{00000000-0005-0000-0000-0000DE130000}"/>
    <cellStyle name="_KT (2)_5_TKE_911 -  FS_31032009" xfId="976" xr:uid="{00000000-0005-0000-0000-0000DF130000}"/>
    <cellStyle name="_KT (2)_5_TKE_BS_HQ" xfId="977" xr:uid="{00000000-0005-0000-0000-0000E0130000}"/>
    <cellStyle name="_KT (2)_5_TKE_Direct labour" xfId="978" xr:uid="{00000000-0005-0000-0000-0000E1130000}"/>
    <cellStyle name="_KT (2)_5_TKE_EVALUATION_EX_311208" xfId="979" xr:uid="{00000000-0005-0000-0000-0000E2130000}"/>
    <cellStyle name="_KT (2)_5_TKE_General pro" xfId="980" xr:uid="{00000000-0005-0000-0000-0000E3130000}"/>
    <cellStyle name="_KT (2)_5_TKE_IS-HQ" xfId="981" xr:uid="{00000000-0005-0000-0000-0000E4130000}"/>
    <cellStyle name="_KT (2)_5_TKE_PO-HQ" xfId="982" xr:uid="{00000000-0005-0000-0000-0000E5130000}"/>
    <cellStyle name="_KT (2)_5_TKE_TB" xfId="983" xr:uid="{00000000-0005-0000-0000-0000E6130000}"/>
    <cellStyle name="_KT (2)_Book1" xfId="984" xr:uid="{00000000-0005-0000-0000-0000E7130000}"/>
    <cellStyle name="_KT (2)_Book1_BC-QT-WB-dthao" xfId="985" xr:uid="{00000000-0005-0000-0000-0000E8130000}"/>
    <cellStyle name="_KT (2)_Lora-tungchau" xfId="986" xr:uid="{00000000-0005-0000-0000-0000E9130000}"/>
    <cellStyle name="_KT (2)_PERSONAL" xfId="987" xr:uid="{00000000-0005-0000-0000-0000EA130000}"/>
    <cellStyle name="_KT (2)_PERSONAL_Book1" xfId="988" xr:uid="{00000000-0005-0000-0000-0000EB130000}"/>
    <cellStyle name="_KT (2)_PERSONAL_Book1_Book1" xfId="989" xr:uid="{00000000-0005-0000-0000-0000EC130000}"/>
    <cellStyle name="_KT (2)_PERSONAL_Book1_THU CHI TIEN" xfId="990" xr:uid="{00000000-0005-0000-0000-0000ED130000}"/>
    <cellStyle name="_KT (2)_PERSONAL_HTQ.8 GD1" xfId="991" xr:uid="{00000000-0005-0000-0000-0000EE130000}"/>
    <cellStyle name="_KT (2)_PERSONAL_TH KE" xfId="992" xr:uid="{00000000-0005-0000-0000-0000EF130000}"/>
    <cellStyle name="_KT (2)_PERSONAL_THU CHI TIEN" xfId="993" xr:uid="{00000000-0005-0000-0000-0000F0130000}"/>
    <cellStyle name="_KT (2)_PERSONAL_TKE" xfId="994" xr:uid="{00000000-0005-0000-0000-0000F1130000}"/>
    <cellStyle name="_KT (2)_PERSONAL_Tong hop KHCB 2001" xfId="995" xr:uid="{00000000-0005-0000-0000-0000F2130000}"/>
    <cellStyle name="_KT (2)_Qt-HT3PQ1(CauKho)" xfId="996" xr:uid="{00000000-0005-0000-0000-0000F3130000}"/>
    <cellStyle name="_KT (2)_TG-TH" xfId="997" xr:uid="{00000000-0005-0000-0000-0000F4130000}"/>
    <cellStyle name="_KT (2)_TG-TH_911 -  FS_31032009" xfId="998" xr:uid="{00000000-0005-0000-0000-0000F5130000}"/>
    <cellStyle name="_KT (2)_TG-TH_BS_HQ" xfId="999" xr:uid="{00000000-0005-0000-0000-0000F6130000}"/>
    <cellStyle name="_KT (2)_TG-TH_Direct labour" xfId="1000" xr:uid="{00000000-0005-0000-0000-0000F7130000}"/>
    <cellStyle name="_KT (2)_TG-TH_EVALUATION_EX_311208" xfId="1001" xr:uid="{00000000-0005-0000-0000-0000F8130000}"/>
    <cellStyle name="_KT (2)_TG-TH_General pro" xfId="1002" xr:uid="{00000000-0005-0000-0000-0000F9130000}"/>
    <cellStyle name="_KT (2)_TG-TH_IS-HQ" xfId="1003" xr:uid="{00000000-0005-0000-0000-0000FA130000}"/>
    <cellStyle name="_KT (2)_TG-TH_PO-HQ" xfId="1004" xr:uid="{00000000-0005-0000-0000-0000FB130000}"/>
    <cellStyle name="_KT (2)_TG-TH_TB" xfId="1005" xr:uid="{00000000-0005-0000-0000-0000FC130000}"/>
    <cellStyle name="_KT_TG" xfId="1006" xr:uid="{00000000-0005-0000-0000-0000FD130000}"/>
    <cellStyle name="_KT_TG_1" xfId="1007" xr:uid="{00000000-0005-0000-0000-0000FE130000}"/>
    <cellStyle name="_KT_TG_1_BAO CAO KLCT PT2000" xfId="1008" xr:uid="{00000000-0005-0000-0000-0000FF130000}"/>
    <cellStyle name="_KT_TG_1_BAO CAO PT2000" xfId="1009" xr:uid="{00000000-0005-0000-0000-000000140000}"/>
    <cellStyle name="_KT_TG_1_BAO CAO PT2000_Book1" xfId="1010" xr:uid="{00000000-0005-0000-0000-000001140000}"/>
    <cellStyle name="_KT_TG_1_Bao cao XDCB 2001 - T11 KH dieu chinh 20-11-THAI" xfId="1011" xr:uid="{00000000-0005-0000-0000-000002140000}"/>
    <cellStyle name="_KT_TG_1_Book1" xfId="1012" xr:uid="{00000000-0005-0000-0000-000003140000}"/>
    <cellStyle name="_KT_TG_1_Book1_1" xfId="1013" xr:uid="{00000000-0005-0000-0000-000004140000}"/>
    <cellStyle name="_KT_TG_1_Book1_2" xfId="1014" xr:uid="{00000000-0005-0000-0000-000005140000}"/>
    <cellStyle name="_KT_TG_1_Book1_3" xfId="1015" xr:uid="{00000000-0005-0000-0000-000006140000}"/>
    <cellStyle name="_KT_TG_1_Book1_3_Book1" xfId="1016" xr:uid="{00000000-0005-0000-0000-000007140000}"/>
    <cellStyle name="_KT_TG_1_Book1_3_Book1_911 -  FS_31032009" xfId="1017" xr:uid="{00000000-0005-0000-0000-000008140000}"/>
    <cellStyle name="_KT_TG_1_Book1_3_Book1_BS_HQ" xfId="1018" xr:uid="{00000000-0005-0000-0000-000009140000}"/>
    <cellStyle name="_KT_TG_1_Book1_3_Book1_Direct labour" xfId="1019" xr:uid="{00000000-0005-0000-0000-00000A140000}"/>
    <cellStyle name="_KT_TG_1_Book1_3_Book1_EVALUATION_EX_311208" xfId="1020" xr:uid="{00000000-0005-0000-0000-00000B140000}"/>
    <cellStyle name="_KT_TG_1_Book1_3_Book1_General pro" xfId="1021" xr:uid="{00000000-0005-0000-0000-00000C140000}"/>
    <cellStyle name="_KT_TG_1_Book1_3_Book1_IS-HQ" xfId="1022" xr:uid="{00000000-0005-0000-0000-00000D140000}"/>
    <cellStyle name="_KT_TG_1_Book1_3_Book1_PO-HQ" xfId="1023" xr:uid="{00000000-0005-0000-0000-00000E140000}"/>
    <cellStyle name="_KT_TG_1_Book1_3_Book1_TB" xfId="1024" xr:uid="{00000000-0005-0000-0000-00000F140000}"/>
    <cellStyle name="_KT_TG_1_Book1_BC-QT-WB-dthao" xfId="1025" xr:uid="{00000000-0005-0000-0000-000010140000}"/>
    <cellStyle name="_KT_TG_1_Book1_Book1" xfId="1026" xr:uid="{00000000-0005-0000-0000-000011140000}"/>
    <cellStyle name="_KT_TG_1_Book1_TH KE" xfId="1027" xr:uid="{00000000-0005-0000-0000-000012140000}"/>
    <cellStyle name="_KT_TG_1_Book1_THU CHI TIEN" xfId="1028" xr:uid="{00000000-0005-0000-0000-000013140000}"/>
    <cellStyle name="_KT_TG_1_Book1_TKE" xfId="1029" xr:uid="{00000000-0005-0000-0000-000014140000}"/>
    <cellStyle name="_KT_TG_1_DTCDT MR.2N110.HOCMON.TDTOAN.CCUNG" xfId="1030" xr:uid="{00000000-0005-0000-0000-000015140000}"/>
    <cellStyle name="_KT_TG_1_Lora-tungchau" xfId="1031" xr:uid="{00000000-0005-0000-0000-000016140000}"/>
    <cellStyle name="_KT_TG_1_PGIA-phieu tham tra Kho bac" xfId="1032" xr:uid="{00000000-0005-0000-0000-000017140000}"/>
    <cellStyle name="_KT_TG_1_PT02-02" xfId="1033" xr:uid="{00000000-0005-0000-0000-000018140000}"/>
    <cellStyle name="_KT_TG_1_PT02-02_Book1" xfId="1034" xr:uid="{00000000-0005-0000-0000-000019140000}"/>
    <cellStyle name="_KT_TG_1_PT02-03" xfId="1035" xr:uid="{00000000-0005-0000-0000-00001A140000}"/>
    <cellStyle name="_KT_TG_1_PT02-03_Book1" xfId="1036" xr:uid="{00000000-0005-0000-0000-00001B140000}"/>
    <cellStyle name="_KT_TG_1_Qt-HT3PQ1(CauKho)" xfId="1037" xr:uid="{00000000-0005-0000-0000-00001C140000}"/>
    <cellStyle name="_KT_TG_1_TH KE" xfId="1038" xr:uid="{00000000-0005-0000-0000-00001D140000}"/>
    <cellStyle name="_KT_TG_1_TH KE_Book1" xfId="1039" xr:uid="{00000000-0005-0000-0000-00001E140000}"/>
    <cellStyle name="_KT_TG_1_TH KE_Book1_911 -  FS_31032009" xfId="1040" xr:uid="{00000000-0005-0000-0000-00001F140000}"/>
    <cellStyle name="_KT_TG_1_TH KE_Book1_BS_HQ" xfId="1041" xr:uid="{00000000-0005-0000-0000-000020140000}"/>
    <cellStyle name="_KT_TG_1_TH KE_Book1_Direct labour" xfId="1042" xr:uid="{00000000-0005-0000-0000-000021140000}"/>
    <cellStyle name="_KT_TG_1_TH KE_Book1_EVALUATION_EX_311208" xfId="1043" xr:uid="{00000000-0005-0000-0000-000022140000}"/>
    <cellStyle name="_KT_TG_1_TH KE_Book1_General pro" xfId="1044" xr:uid="{00000000-0005-0000-0000-000023140000}"/>
    <cellStyle name="_KT_TG_1_TH KE_Book1_IS-HQ" xfId="1045" xr:uid="{00000000-0005-0000-0000-000024140000}"/>
    <cellStyle name="_KT_TG_1_TH KE_Book1_PO-HQ" xfId="1046" xr:uid="{00000000-0005-0000-0000-000025140000}"/>
    <cellStyle name="_KT_TG_1_TH KE_Book1_TB" xfId="1047" xr:uid="{00000000-0005-0000-0000-000026140000}"/>
    <cellStyle name="_KT_TG_1_THU CHI TIEN" xfId="1048" xr:uid="{00000000-0005-0000-0000-000027140000}"/>
    <cellStyle name="_KT_TG_1_THU CHI TIEN_911 -  FS_31032009" xfId="1049" xr:uid="{00000000-0005-0000-0000-000028140000}"/>
    <cellStyle name="_KT_TG_1_THU CHI TIEN_BS_HQ" xfId="1050" xr:uid="{00000000-0005-0000-0000-000029140000}"/>
    <cellStyle name="_KT_TG_1_THU CHI TIEN_Direct labour" xfId="1051" xr:uid="{00000000-0005-0000-0000-00002A140000}"/>
    <cellStyle name="_KT_TG_1_THU CHI TIEN_EVALUATION_EX_311208" xfId="1052" xr:uid="{00000000-0005-0000-0000-00002B140000}"/>
    <cellStyle name="_KT_TG_1_THU CHI TIEN_General pro" xfId="1053" xr:uid="{00000000-0005-0000-0000-00002C140000}"/>
    <cellStyle name="_KT_TG_1_THU CHI TIEN_IS-HQ" xfId="1054" xr:uid="{00000000-0005-0000-0000-00002D140000}"/>
    <cellStyle name="_KT_TG_1_THU CHI TIEN_PO-HQ" xfId="1055" xr:uid="{00000000-0005-0000-0000-00002E140000}"/>
    <cellStyle name="_KT_TG_1_THU CHI TIEN_TB" xfId="1056" xr:uid="{00000000-0005-0000-0000-00002F140000}"/>
    <cellStyle name="_KT_TG_1_TKE" xfId="1057" xr:uid="{00000000-0005-0000-0000-000030140000}"/>
    <cellStyle name="_KT_TG_1_TKE_911 -  FS_31032009" xfId="1058" xr:uid="{00000000-0005-0000-0000-000031140000}"/>
    <cellStyle name="_KT_TG_1_TKE_BS_HQ" xfId="1059" xr:uid="{00000000-0005-0000-0000-000032140000}"/>
    <cellStyle name="_KT_TG_1_TKE_Direct labour" xfId="1060" xr:uid="{00000000-0005-0000-0000-000033140000}"/>
    <cellStyle name="_KT_TG_1_TKE_EVALUATION_EX_311208" xfId="1061" xr:uid="{00000000-0005-0000-0000-000034140000}"/>
    <cellStyle name="_KT_TG_1_TKE_General pro" xfId="1062" xr:uid="{00000000-0005-0000-0000-000035140000}"/>
    <cellStyle name="_KT_TG_1_TKE_IS-HQ" xfId="1063" xr:uid="{00000000-0005-0000-0000-000036140000}"/>
    <cellStyle name="_KT_TG_1_TKE_PO-HQ" xfId="1064" xr:uid="{00000000-0005-0000-0000-000037140000}"/>
    <cellStyle name="_KT_TG_1_TKE_TB" xfId="1065" xr:uid="{00000000-0005-0000-0000-000038140000}"/>
    <cellStyle name="_KT_TG_2" xfId="1066" xr:uid="{00000000-0005-0000-0000-000039140000}"/>
    <cellStyle name="_KT_TG_2_BAO CAO KLCT PT2000" xfId="1067" xr:uid="{00000000-0005-0000-0000-00003A140000}"/>
    <cellStyle name="_KT_TG_2_BAO CAO PT2000" xfId="1068" xr:uid="{00000000-0005-0000-0000-00003B140000}"/>
    <cellStyle name="_KT_TG_2_BAO CAO PT2000_Book1" xfId="1069" xr:uid="{00000000-0005-0000-0000-00003C140000}"/>
    <cellStyle name="_KT_TG_2_Bao cao XDCB 2001 - T11 KH dieu chinh 20-11-THAI" xfId="1070" xr:uid="{00000000-0005-0000-0000-00003D140000}"/>
    <cellStyle name="_KT_TG_2_Book1" xfId="1071" xr:uid="{00000000-0005-0000-0000-00003E140000}"/>
    <cellStyle name="_KT_TG_2_Book1_1" xfId="1072" xr:uid="{00000000-0005-0000-0000-00003F140000}"/>
    <cellStyle name="_KT_TG_2_Book1_2" xfId="1073" xr:uid="{00000000-0005-0000-0000-000040140000}"/>
    <cellStyle name="_KT_TG_2_Book1_3" xfId="1074" xr:uid="{00000000-0005-0000-0000-000041140000}"/>
    <cellStyle name="_KT_TG_2_Book1_3_Book1" xfId="1075" xr:uid="{00000000-0005-0000-0000-000042140000}"/>
    <cellStyle name="_KT_TG_2_Book1_3_Book1_911 -  FS_31032009" xfId="1076" xr:uid="{00000000-0005-0000-0000-000043140000}"/>
    <cellStyle name="_KT_TG_2_Book1_3_Book1_BS_HQ" xfId="1077" xr:uid="{00000000-0005-0000-0000-000044140000}"/>
    <cellStyle name="_KT_TG_2_Book1_3_Book1_Direct labour" xfId="1078" xr:uid="{00000000-0005-0000-0000-000045140000}"/>
    <cellStyle name="_KT_TG_2_Book1_3_Book1_EVALUATION_EX_311208" xfId="1079" xr:uid="{00000000-0005-0000-0000-000046140000}"/>
    <cellStyle name="_KT_TG_2_Book1_3_Book1_General pro" xfId="1080" xr:uid="{00000000-0005-0000-0000-000047140000}"/>
    <cellStyle name="_KT_TG_2_Book1_3_Book1_IS-HQ" xfId="1081" xr:uid="{00000000-0005-0000-0000-000048140000}"/>
    <cellStyle name="_KT_TG_2_Book1_3_Book1_PO-HQ" xfId="1082" xr:uid="{00000000-0005-0000-0000-000049140000}"/>
    <cellStyle name="_KT_TG_2_Book1_3_Book1_TB" xfId="1083" xr:uid="{00000000-0005-0000-0000-00004A140000}"/>
    <cellStyle name="_KT_TG_2_Book1_Book1" xfId="1084" xr:uid="{00000000-0005-0000-0000-00004B140000}"/>
    <cellStyle name="_KT_TG_2_Book1_TH KE" xfId="1085" xr:uid="{00000000-0005-0000-0000-00004C140000}"/>
    <cellStyle name="_KT_TG_2_Book1_THU CHI TIEN" xfId="1086" xr:uid="{00000000-0005-0000-0000-00004D140000}"/>
    <cellStyle name="_KT_TG_2_Book1_TKE" xfId="1087" xr:uid="{00000000-0005-0000-0000-00004E140000}"/>
    <cellStyle name="_KT_TG_2_DTCDT MR.2N110.HOCMON.TDTOAN.CCUNG" xfId="1088" xr:uid="{00000000-0005-0000-0000-00004F140000}"/>
    <cellStyle name="_KT_TG_2_Lora-tungchau" xfId="1089" xr:uid="{00000000-0005-0000-0000-000050140000}"/>
    <cellStyle name="_KT_TG_2_PGIA-phieu tham tra Kho bac" xfId="1090" xr:uid="{00000000-0005-0000-0000-000051140000}"/>
    <cellStyle name="_KT_TG_2_PT02-02" xfId="1091" xr:uid="{00000000-0005-0000-0000-000052140000}"/>
    <cellStyle name="_KT_TG_2_PT02-02_Book1" xfId="1092" xr:uid="{00000000-0005-0000-0000-000053140000}"/>
    <cellStyle name="_KT_TG_2_PT02-03" xfId="1093" xr:uid="{00000000-0005-0000-0000-000054140000}"/>
    <cellStyle name="_KT_TG_2_PT02-03_Book1" xfId="1094" xr:uid="{00000000-0005-0000-0000-000055140000}"/>
    <cellStyle name="_KT_TG_2_Qt-HT3PQ1(CauKho)" xfId="1095" xr:uid="{00000000-0005-0000-0000-000056140000}"/>
    <cellStyle name="_KT_TG_2_TH KE" xfId="1096" xr:uid="{00000000-0005-0000-0000-000057140000}"/>
    <cellStyle name="_KT_TG_2_TH KE_Book1" xfId="1097" xr:uid="{00000000-0005-0000-0000-000058140000}"/>
    <cellStyle name="_KT_TG_2_TH KE_Book1_911 -  FS_31032009" xfId="1098" xr:uid="{00000000-0005-0000-0000-000059140000}"/>
    <cellStyle name="_KT_TG_2_TH KE_Book1_BS_HQ" xfId="1099" xr:uid="{00000000-0005-0000-0000-00005A140000}"/>
    <cellStyle name="_KT_TG_2_TH KE_Book1_Direct labour" xfId="1100" xr:uid="{00000000-0005-0000-0000-00005B140000}"/>
    <cellStyle name="_KT_TG_2_TH KE_Book1_EVALUATION_EX_311208" xfId="1101" xr:uid="{00000000-0005-0000-0000-00005C140000}"/>
    <cellStyle name="_KT_TG_2_TH KE_Book1_General pro" xfId="1102" xr:uid="{00000000-0005-0000-0000-00005D140000}"/>
    <cellStyle name="_KT_TG_2_TH KE_Book1_IS-HQ" xfId="1103" xr:uid="{00000000-0005-0000-0000-00005E140000}"/>
    <cellStyle name="_KT_TG_2_TH KE_Book1_PO-HQ" xfId="1104" xr:uid="{00000000-0005-0000-0000-00005F140000}"/>
    <cellStyle name="_KT_TG_2_TH KE_Book1_TB" xfId="1105" xr:uid="{00000000-0005-0000-0000-000060140000}"/>
    <cellStyle name="_KT_TG_2_THU CHI TIEN" xfId="1106" xr:uid="{00000000-0005-0000-0000-000061140000}"/>
    <cellStyle name="_KT_TG_2_THU CHI TIEN_911 -  FS_31032009" xfId="1107" xr:uid="{00000000-0005-0000-0000-000062140000}"/>
    <cellStyle name="_KT_TG_2_THU CHI TIEN_BS_HQ" xfId="1108" xr:uid="{00000000-0005-0000-0000-000063140000}"/>
    <cellStyle name="_KT_TG_2_THU CHI TIEN_Direct labour" xfId="1109" xr:uid="{00000000-0005-0000-0000-000064140000}"/>
    <cellStyle name="_KT_TG_2_THU CHI TIEN_EVALUATION_EX_311208" xfId="1110" xr:uid="{00000000-0005-0000-0000-000065140000}"/>
    <cellStyle name="_KT_TG_2_THU CHI TIEN_General pro" xfId="1111" xr:uid="{00000000-0005-0000-0000-000066140000}"/>
    <cellStyle name="_KT_TG_2_THU CHI TIEN_IS-HQ" xfId="1112" xr:uid="{00000000-0005-0000-0000-000067140000}"/>
    <cellStyle name="_KT_TG_2_THU CHI TIEN_PO-HQ" xfId="1113" xr:uid="{00000000-0005-0000-0000-000068140000}"/>
    <cellStyle name="_KT_TG_2_THU CHI TIEN_TB" xfId="1114" xr:uid="{00000000-0005-0000-0000-000069140000}"/>
    <cellStyle name="_KT_TG_2_TKE" xfId="1115" xr:uid="{00000000-0005-0000-0000-00006A140000}"/>
    <cellStyle name="_KT_TG_2_TKE_911 -  FS_31032009" xfId="1116" xr:uid="{00000000-0005-0000-0000-00006B140000}"/>
    <cellStyle name="_KT_TG_2_TKE_BS_HQ" xfId="1117" xr:uid="{00000000-0005-0000-0000-00006C140000}"/>
    <cellStyle name="_KT_TG_2_TKE_Direct labour" xfId="1118" xr:uid="{00000000-0005-0000-0000-00006D140000}"/>
    <cellStyle name="_KT_TG_2_TKE_EVALUATION_EX_311208" xfId="1119" xr:uid="{00000000-0005-0000-0000-00006E140000}"/>
    <cellStyle name="_KT_TG_2_TKE_General pro" xfId="1120" xr:uid="{00000000-0005-0000-0000-00006F140000}"/>
    <cellStyle name="_KT_TG_2_TKE_IS-HQ" xfId="1121" xr:uid="{00000000-0005-0000-0000-000070140000}"/>
    <cellStyle name="_KT_TG_2_TKE_PO-HQ" xfId="1122" xr:uid="{00000000-0005-0000-0000-000071140000}"/>
    <cellStyle name="_KT_TG_2_TKE_TB" xfId="1123" xr:uid="{00000000-0005-0000-0000-000072140000}"/>
    <cellStyle name="_KT_TG_3" xfId="1124" xr:uid="{00000000-0005-0000-0000-000073140000}"/>
    <cellStyle name="_KT_TG_3_911 -  FS_31032009" xfId="1125" xr:uid="{00000000-0005-0000-0000-000074140000}"/>
    <cellStyle name="_KT_TG_3_BS_HQ" xfId="1126" xr:uid="{00000000-0005-0000-0000-000075140000}"/>
    <cellStyle name="_KT_TG_3_Direct labour" xfId="1127" xr:uid="{00000000-0005-0000-0000-000076140000}"/>
    <cellStyle name="_KT_TG_3_EVALUATION_EX_311208" xfId="1128" xr:uid="{00000000-0005-0000-0000-000077140000}"/>
    <cellStyle name="_KT_TG_3_General pro" xfId="1129" xr:uid="{00000000-0005-0000-0000-000078140000}"/>
    <cellStyle name="_KT_TG_3_IS-HQ" xfId="1130" xr:uid="{00000000-0005-0000-0000-000079140000}"/>
    <cellStyle name="_KT_TG_3_PO-HQ" xfId="1131" xr:uid="{00000000-0005-0000-0000-00007A140000}"/>
    <cellStyle name="_KT_TG_3_TB" xfId="1132" xr:uid="{00000000-0005-0000-0000-00007B140000}"/>
    <cellStyle name="_KT_TG_4" xfId="1133" xr:uid="{00000000-0005-0000-0000-00007C140000}"/>
    <cellStyle name="_KT_TG_4_Lora-tungchau" xfId="1134" xr:uid="{00000000-0005-0000-0000-00007D140000}"/>
    <cellStyle name="_KT_TG_4_Qt-HT3PQ1(CauKho)" xfId="1135" xr:uid="{00000000-0005-0000-0000-00007E140000}"/>
    <cellStyle name="_KT_TG_911 -  FS_31032009" xfId="1136" xr:uid="{00000000-0005-0000-0000-00007F140000}"/>
    <cellStyle name="_KT_TG_BS_HQ" xfId="1137" xr:uid="{00000000-0005-0000-0000-000080140000}"/>
    <cellStyle name="_KT_TG_Direct labour" xfId="1138" xr:uid="{00000000-0005-0000-0000-000081140000}"/>
    <cellStyle name="_KT_TG_EVALUATION_EX_311208" xfId="1139" xr:uid="{00000000-0005-0000-0000-000082140000}"/>
    <cellStyle name="_KT_TG_General pro" xfId="1140" xr:uid="{00000000-0005-0000-0000-000083140000}"/>
    <cellStyle name="_KT_TG_IS-HQ" xfId="1141" xr:uid="{00000000-0005-0000-0000-000084140000}"/>
    <cellStyle name="_KT_TG_PO-HQ" xfId="1142" xr:uid="{00000000-0005-0000-0000-000085140000}"/>
    <cellStyle name="_KT_TG_TB" xfId="1143" xr:uid="{00000000-0005-0000-0000-000086140000}"/>
    <cellStyle name="_LCMURE97" xfId="1144" xr:uid="{00000000-0005-0000-0000-000087140000}"/>
    <cellStyle name="_LISTSEPTEMBER30-2008-HANDY CARRY" xfId="1145" xr:uid="{00000000-0005-0000-0000-000088140000}"/>
    <cellStyle name="_LOAD PLAN - AE5  2nd March 2005" xfId="1146" xr:uid="{00000000-0005-0000-0000-000089140000}"/>
    <cellStyle name="_LOAD PLAN - AE5  2nd March 2005_131 - TradeAccountReceivable_31012010" xfId="1147" xr:uid="{00000000-0005-0000-0000-00008A140000}"/>
    <cellStyle name="_LOAD PLAN - AE5  2nd March 2005_131 - TradeAccountReceivable_31032010" xfId="1148" xr:uid="{00000000-0005-0000-0000-00008B140000}"/>
    <cellStyle name="_LOAD PLAN - AE5  2nd March 2005_138 - OtherReceivableAccount_28022010" xfId="1149" xr:uid="{00000000-0005-0000-0000-00008C140000}"/>
    <cellStyle name="_LOAD PLAN - AE5  2nd March 2005_138 - OtherReceivableAccount_30112009" xfId="1150" xr:uid="{00000000-0005-0000-0000-00008D140000}"/>
    <cellStyle name="_LOAD PLAN - AE5  2nd March 2005_138 - OtherReceivableAccount_30112009_EVALUATION_EX_311208" xfId="1151" xr:uid="{00000000-0005-0000-0000-00008E140000}"/>
    <cellStyle name="_LOAD PLAN - AE5  2nd March 2005_138 - OtherReceivableAccount_31012010" xfId="1152" xr:uid="{00000000-0005-0000-0000-00008F140000}"/>
    <cellStyle name="_LOAD PLAN - AE5  2nd March 2005_138 - OtherReceivableAccount_31102009" xfId="1153" xr:uid="{00000000-0005-0000-0000-000090140000}"/>
    <cellStyle name="_LOAD PLAN - AE5  2nd March 2005_138 - OtherReceivableAccount_31102009_EVALUATION_EX_311208" xfId="1154" xr:uid="{00000000-0005-0000-0000-000091140000}"/>
    <cellStyle name="_LOAD PLAN - AE5  2nd March 2005_138 - OtherReceivableAccount_31122009" xfId="1155" xr:uid="{00000000-0005-0000-0000-000092140000}"/>
    <cellStyle name="_LOAD PLAN - AE5  2nd March 2005_138 - OtherReceivableAccount_31122009_EVALUATION_EX_311208" xfId="1156" xr:uid="{00000000-0005-0000-0000-000093140000}"/>
    <cellStyle name="_LOAD PLAN - AE5  2nd March 2005_331 - AdvancefromCustomer_31012010" xfId="1157" xr:uid="{00000000-0005-0000-0000-000094140000}"/>
    <cellStyle name="_LOAD PLAN - AE5  2nd March 2005_511 - RevenueAccount_28022010" xfId="1158" xr:uid="{00000000-0005-0000-0000-000095140000}"/>
    <cellStyle name="_LOAD PLAN - AE5  2nd March 2005_511 - RevenueAccount_30042010" xfId="1159" xr:uid="{00000000-0005-0000-0000-000096140000}"/>
    <cellStyle name="_LOAD PLAN - AE5  2nd March 2005_511 - RevenueAccount_30062010" xfId="1160" xr:uid="{00000000-0005-0000-0000-000097140000}"/>
    <cellStyle name="_LOAD PLAN - AE5  2nd March 2005_511 - RevenueAccount_30092010" xfId="1161" xr:uid="{00000000-0005-0000-0000-000098140000}"/>
    <cellStyle name="_LOAD PLAN - AE5  2nd March 2005_511 - RevenueAccount_30112010" xfId="1162" xr:uid="{00000000-0005-0000-0000-000099140000}"/>
    <cellStyle name="_LOAD PLAN - AE5  2nd March 2005_511 - RevenueAccount_31012010" xfId="1163" xr:uid="{00000000-0005-0000-0000-00009A140000}"/>
    <cellStyle name="_LOAD PLAN - AE5  2nd March 2005_511 - RevenueAccount_31012011" xfId="1164" xr:uid="{00000000-0005-0000-0000-00009B140000}"/>
    <cellStyle name="_LOAD PLAN - AE5  2nd March 2005_511 - RevenueAccount_31032010" xfId="1165" xr:uid="{00000000-0005-0000-0000-00009C140000}"/>
    <cellStyle name="_LOAD PLAN - AE5  2nd March 2005_511 - RevenueAccount_31032011" xfId="1166" xr:uid="{00000000-0005-0000-0000-00009D140000}"/>
    <cellStyle name="_LOAD PLAN - AE5  2nd March 2005_511 - RevenueAccount_31052010" xfId="1167" xr:uid="{00000000-0005-0000-0000-00009E140000}"/>
    <cellStyle name="_LOAD PLAN - AE5  2nd March 2005_511 - RevenueAccount_31072010" xfId="1168" xr:uid="{00000000-0005-0000-0000-00009F140000}"/>
    <cellStyle name="_LOAD PLAN - AE5  2nd March 2005_511 - RevenueAccount_31082010" xfId="1169" xr:uid="{00000000-0005-0000-0000-0000A0140000}"/>
    <cellStyle name="_LOAD PLAN - AE5  2nd March 2005_511 - RevenueAccount_31122010" xfId="1170" xr:uid="{00000000-0005-0000-0000-0000A1140000}"/>
    <cellStyle name="_LOAD PLAN - AE5  2nd March 2005_Book1 (version 5)" xfId="1171" xr:uid="{00000000-0005-0000-0000-0000A2140000}"/>
    <cellStyle name="_LOAD PLAN - AE5  2nd March 2005_BOULWARE" xfId="1172" xr:uid="{00000000-0005-0000-0000-0000A3140000}"/>
    <cellStyle name="_LOAD PLAN - AE5  2nd March 2005_DEtial-02" xfId="1173" xr:uid="{00000000-0005-0000-0000-0000A4140000}"/>
    <cellStyle name="_LOAD PLAN - AE5  2nd March 2005_DEtial-02_IS-HQ" xfId="1174" xr:uid="{00000000-0005-0000-0000-0000A5140000}"/>
    <cellStyle name="_LOAD PLAN - AE5  2nd March 2005_DEtial-02_PO-HQ" xfId="1175" xr:uid="{00000000-0005-0000-0000-0000A6140000}"/>
    <cellStyle name="_LOAD PLAN - AE5  2nd March 2005_DEtial-02_TB" xfId="1176" xr:uid="{00000000-0005-0000-0000-0000A7140000}"/>
    <cellStyle name="_LOAD PLAN - AE5  2nd March 2005_EVALUATION_EX_311208" xfId="1177" xr:uid="{00000000-0005-0000-0000-0000A8140000}"/>
    <cellStyle name="_LOAD PLAN - AE5  2nd March 2005_HANSOLL" xfId="1178" xr:uid="{00000000-0005-0000-0000-0000A9140000}"/>
    <cellStyle name="_LOAD PLAN - AE5  2nd March 2005_IS-HQ" xfId="1179" xr:uid="{00000000-0005-0000-0000-0000AA140000}"/>
    <cellStyle name="_LOAD PLAN - AE5  2nd March 2005_IS-HQ_1" xfId="1180" xr:uid="{00000000-0005-0000-0000-0000AB140000}"/>
    <cellStyle name="_LOAD PLAN - AE5  2nd March 2005_PO-HQ" xfId="1181" xr:uid="{00000000-0005-0000-0000-0000AC140000}"/>
    <cellStyle name="_LOAD PLAN - AE5  2nd March 2005_PO-HQ_1" xfId="1182" xr:uid="{00000000-0005-0000-0000-0000AD140000}"/>
    <cellStyle name="_LOAD PLAN - AE5  2nd March 2005_ReceiptList" xfId="1183" xr:uid="{00000000-0005-0000-0000-0000AE140000}"/>
    <cellStyle name="_LOAD PLAN - AE5  2nd March 2005_ReceiptList_1" xfId="1184" xr:uid="{00000000-0005-0000-0000-0000AF140000}"/>
    <cellStyle name="_LOAD PLAN - AE5  2nd March 2005_Sales Book 082008" xfId="1185" xr:uid="{00000000-0005-0000-0000-0000B0140000}"/>
    <cellStyle name="_LOAD PLAN - AE5  2nd March 2005_Sheet3" xfId="1186" xr:uid="{00000000-0005-0000-0000-0000B1140000}"/>
    <cellStyle name="_LOAD PLAN - AE5  2nd March 2005_TB" xfId="1187" xr:uid="{00000000-0005-0000-0000-0000B2140000}"/>
    <cellStyle name="_LOAD PLAN - AE5  2nd March 2005_YTDHST " xfId="1188" xr:uid="{00000000-0005-0000-0000-0000B3140000}"/>
    <cellStyle name="_loading sample" xfId="1189" xr:uid="{00000000-0005-0000-0000-0000B4140000}"/>
    <cellStyle name="_Lora-tungchau" xfId="1190" xr:uid="{00000000-0005-0000-0000-0000B5140000}"/>
    <cellStyle name="_LUONG LINH TINH" xfId="1191" xr:uid="{00000000-0005-0000-0000-0000B6140000}"/>
    <cellStyle name="_LUONG LINH TINH 2" xfId="3272" xr:uid="{00000000-0005-0000-0000-0000B7140000}"/>
    <cellStyle name="_LUONG LINH TINH_EVALUATION_EX_311208" xfId="1192" xr:uid="{00000000-0005-0000-0000-0000B8140000}"/>
    <cellStyle name="_LUONG LINH TINH_EVALUATION_EX_311208 2" xfId="3273" xr:uid="{00000000-0005-0000-0000-0000B9140000}"/>
    <cellStyle name="_Microsoft Assistant VBA" xfId="1193" xr:uid="{00000000-0005-0000-0000-0000BA140000}"/>
    <cellStyle name="_Microsoft Assistant VBA_1" xfId="1194" xr:uid="{00000000-0005-0000-0000-0000BB140000}"/>
    <cellStyle name="_Microsoft Assistant VBA_1 2" xfId="3274" xr:uid="{00000000-0005-0000-0000-0000BC140000}"/>
    <cellStyle name="_Microsoft Assistant VBA_1_138 - OtherReceivableAccount_28022010" xfId="1195" xr:uid="{00000000-0005-0000-0000-0000BD140000}"/>
    <cellStyle name="_Microsoft Assistant VBA_1_138 - OtherReceivableAccount_28022010 2" xfId="3275" xr:uid="{00000000-0005-0000-0000-0000BE140000}"/>
    <cellStyle name="_Microsoft Assistant VBA_1_138 - OtherReceivableAccount_30112009" xfId="1196" xr:uid="{00000000-0005-0000-0000-0000BF140000}"/>
    <cellStyle name="_Microsoft Assistant VBA_1_138 - OtherReceivableAccount_30112009 2" xfId="3276" xr:uid="{00000000-0005-0000-0000-0000C0140000}"/>
    <cellStyle name="_Microsoft Assistant VBA_1_138 - OtherReceivableAccount_30112009_EVALUATION_EX_311208" xfId="1197" xr:uid="{00000000-0005-0000-0000-0000C1140000}"/>
    <cellStyle name="_Microsoft Assistant VBA_1_138 - OtherReceivableAccount_30112009_EVALUATION_EX_311208 2" xfId="3277" xr:uid="{00000000-0005-0000-0000-0000C2140000}"/>
    <cellStyle name="_Microsoft Assistant VBA_1_138 - OtherReceivableAccount_31012010" xfId="1198" xr:uid="{00000000-0005-0000-0000-0000C3140000}"/>
    <cellStyle name="_Microsoft Assistant VBA_1_138 - OtherReceivableAccount_31012010 2" xfId="3278" xr:uid="{00000000-0005-0000-0000-0000C4140000}"/>
    <cellStyle name="_Microsoft Assistant VBA_1_138 - OtherReceivableAccount_31122009" xfId="1199" xr:uid="{00000000-0005-0000-0000-0000C5140000}"/>
    <cellStyle name="_Microsoft Assistant VBA_1_138 - OtherReceivableAccount_31122009 2" xfId="3279" xr:uid="{00000000-0005-0000-0000-0000C6140000}"/>
    <cellStyle name="_Microsoft Assistant VBA_1_138 - OtherReceivableAccount_31122009_EVALUATION_EX_311208" xfId="1200" xr:uid="{00000000-0005-0000-0000-0000C7140000}"/>
    <cellStyle name="_Microsoft Assistant VBA_1_138 - OtherReceivableAccount_31122009_EVALUATION_EX_311208 2" xfId="3280" xr:uid="{00000000-0005-0000-0000-0000C8140000}"/>
    <cellStyle name="_Microsoft Assistant VBA_1_EVALUATION_EX_311208" xfId="1201" xr:uid="{00000000-0005-0000-0000-0000C9140000}"/>
    <cellStyle name="_Microsoft Assistant VBA_1_EVALUATION_EX_311208 2" xfId="3281" xr:uid="{00000000-0005-0000-0000-0000CA140000}"/>
    <cellStyle name="_Microsoft Assistant VBA_1_YTDHST " xfId="1202" xr:uid="{00000000-0005-0000-0000-0000CB140000}"/>
    <cellStyle name="_Microsoft Assistant VBA_1_YTDHST  2" xfId="3282" xr:uid="{00000000-0005-0000-0000-0000CC140000}"/>
    <cellStyle name="_Microsoft Assistant VBA_131 - TradeAccountReceivable_31012010" xfId="1203" xr:uid="{00000000-0005-0000-0000-0000CD140000}"/>
    <cellStyle name="_Microsoft Assistant VBA_131 - TradeAccountReceivable_31032010" xfId="1204" xr:uid="{00000000-0005-0000-0000-0000CE140000}"/>
    <cellStyle name="_Microsoft Assistant VBA_138 - OtherReceivableAccount_28022010" xfId="1205" xr:uid="{00000000-0005-0000-0000-0000CF140000}"/>
    <cellStyle name="_Microsoft Assistant VBA_138 - OtherReceivableAccount_30112009" xfId="1206" xr:uid="{00000000-0005-0000-0000-0000D0140000}"/>
    <cellStyle name="_Microsoft Assistant VBA_138 - OtherReceivableAccount_30112009_EVALUATION_EX_311208" xfId="1207" xr:uid="{00000000-0005-0000-0000-0000D1140000}"/>
    <cellStyle name="_Microsoft Assistant VBA_138 - OtherReceivableAccount_31012010" xfId="1208" xr:uid="{00000000-0005-0000-0000-0000D2140000}"/>
    <cellStyle name="_Microsoft Assistant VBA_138 - OtherReceivableAccount_31102009" xfId="1209" xr:uid="{00000000-0005-0000-0000-0000D3140000}"/>
    <cellStyle name="_Microsoft Assistant VBA_138 - OtherReceivableAccount_31102009_EVALUATION_EX_311208" xfId="1210" xr:uid="{00000000-0005-0000-0000-0000D4140000}"/>
    <cellStyle name="_Microsoft Assistant VBA_138 - OtherReceivableAccount_31122009" xfId="1211" xr:uid="{00000000-0005-0000-0000-0000D5140000}"/>
    <cellStyle name="_Microsoft Assistant VBA_138 - OtherReceivableAccount_31122009_EVALUATION_EX_311208" xfId="1212" xr:uid="{00000000-0005-0000-0000-0000D6140000}"/>
    <cellStyle name="_Microsoft Assistant VBA_331 - AdvancefromCustomer_31012010" xfId="1213" xr:uid="{00000000-0005-0000-0000-0000D7140000}"/>
    <cellStyle name="_Microsoft Assistant VBA_511 - RevenueAccount_28022010" xfId="1214" xr:uid="{00000000-0005-0000-0000-0000D8140000}"/>
    <cellStyle name="_Microsoft Assistant VBA_511 - RevenueAccount_30042010" xfId="1215" xr:uid="{00000000-0005-0000-0000-0000D9140000}"/>
    <cellStyle name="_Microsoft Assistant VBA_511 - RevenueAccount_30062010" xfId="1216" xr:uid="{00000000-0005-0000-0000-0000DA140000}"/>
    <cellStyle name="_Microsoft Assistant VBA_511 - RevenueAccount_30092010" xfId="1217" xr:uid="{00000000-0005-0000-0000-0000DB140000}"/>
    <cellStyle name="_Microsoft Assistant VBA_511 - RevenueAccount_30112010" xfId="1218" xr:uid="{00000000-0005-0000-0000-0000DC140000}"/>
    <cellStyle name="_Microsoft Assistant VBA_511 - RevenueAccount_31012010" xfId="1219" xr:uid="{00000000-0005-0000-0000-0000DD140000}"/>
    <cellStyle name="_Microsoft Assistant VBA_511 - RevenueAccount_31012011" xfId="1220" xr:uid="{00000000-0005-0000-0000-0000DE140000}"/>
    <cellStyle name="_Microsoft Assistant VBA_511 - RevenueAccount_31032010" xfId="1221" xr:uid="{00000000-0005-0000-0000-0000DF140000}"/>
    <cellStyle name="_Microsoft Assistant VBA_511 - RevenueAccount_31032011" xfId="1222" xr:uid="{00000000-0005-0000-0000-0000E0140000}"/>
    <cellStyle name="_Microsoft Assistant VBA_511 - RevenueAccount_31052010" xfId="1223" xr:uid="{00000000-0005-0000-0000-0000E1140000}"/>
    <cellStyle name="_Microsoft Assistant VBA_511 - RevenueAccount_31072010" xfId="1224" xr:uid="{00000000-0005-0000-0000-0000E2140000}"/>
    <cellStyle name="_Microsoft Assistant VBA_511 - RevenueAccount_31082010" xfId="1225" xr:uid="{00000000-0005-0000-0000-0000E3140000}"/>
    <cellStyle name="_Microsoft Assistant VBA_511 - RevenueAccount_31122010" xfId="1226" xr:uid="{00000000-0005-0000-0000-0000E4140000}"/>
    <cellStyle name="_Microsoft Assistant VBA_Book1 (version 5)" xfId="1227" xr:uid="{00000000-0005-0000-0000-0000E5140000}"/>
    <cellStyle name="_Microsoft Assistant VBA_BOULWARE" xfId="1228" xr:uid="{00000000-0005-0000-0000-0000E6140000}"/>
    <cellStyle name="_Microsoft Assistant VBA_DEtial-02" xfId="1229" xr:uid="{00000000-0005-0000-0000-0000E7140000}"/>
    <cellStyle name="_Microsoft Assistant VBA_DEtial-02_IS-HQ" xfId="1230" xr:uid="{00000000-0005-0000-0000-0000E8140000}"/>
    <cellStyle name="_Microsoft Assistant VBA_DEtial-02_PO-HQ" xfId="1231" xr:uid="{00000000-0005-0000-0000-0000E9140000}"/>
    <cellStyle name="_Microsoft Assistant VBA_DEtial-02_TB" xfId="1232" xr:uid="{00000000-0005-0000-0000-0000EA140000}"/>
    <cellStyle name="_Microsoft Assistant VBA_EVALUATION_EX_311208" xfId="1233" xr:uid="{00000000-0005-0000-0000-0000EB140000}"/>
    <cellStyle name="_Microsoft Assistant VBA_HANSOLL" xfId="1234" xr:uid="{00000000-0005-0000-0000-0000EC140000}"/>
    <cellStyle name="_Microsoft Assistant VBA_IS-HQ" xfId="1235" xr:uid="{00000000-0005-0000-0000-0000ED140000}"/>
    <cellStyle name="_Microsoft Assistant VBA_IS-HQ_1" xfId="1236" xr:uid="{00000000-0005-0000-0000-0000EE140000}"/>
    <cellStyle name="_Microsoft Assistant VBA_PO-HQ" xfId="1237" xr:uid="{00000000-0005-0000-0000-0000EF140000}"/>
    <cellStyle name="_Microsoft Assistant VBA_PO-HQ_1" xfId="1238" xr:uid="{00000000-0005-0000-0000-0000F0140000}"/>
    <cellStyle name="_Microsoft Assistant VBA_ReceiptList" xfId="1239" xr:uid="{00000000-0005-0000-0000-0000F1140000}"/>
    <cellStyle name="_Microsoft Assistant VBA_ReceiptList_1" xfId="1240" xr:uid="{00000000-0005-0000-0000-0000F2140000}"/>
    <cellStyle name="_Microsoft Assistant VBA_Sales Book 082008" xfId="1241" xr:uid="{00000000-0005-0000-0000-0000F3140000}"/>
    <cellStyle name="_Microsoft Assistant VBA_Sheet3" xfId="1242" xr:uid="{00000000-0005-0000-0000-0000F4140000}"/>
    <cellStyle name="_Microsoft Assistant VBA_TB" xfId="1243" xr:uid="{00000000-0005-0000-0000-0000F5140000}"/>
    <cellStyle name="_Microsoft Assistant VBA_YTDHST " xfId="1244" xr:uid="{00000000-0005-0000-0000-0000F6140000}"/>
    <cellStyle name="_MINSUNGJIN" xfId="1245" xr:uid="{00000000-0005-0000-0000-0000F7140000}"/>
    <cellStyle name="_MINSUNGJIN 2" xfId="3285" xr:uid="{00000000-0005-0000-0000-0000F8140000}"/>
    <cellStyle name="_Miscellaneous Salary 2009" xfId="1246" xr:uid="{00000000-0005-0000-0000-0000F9140000}"/>
    <cellStyle name="_Miscellaneous Salary 2009 2" xfId="3286" xr:uid="{00000000-0005-0000-0000-0000FA140000}"/>
    <cellStyle name="_NHU-154" xfId="1247" xr:uid="{00000000-0005-0000-0000-0000FB140000}"/>
    <cellStyle name="_NY&amp;CO(OK)" xfId="1248" xr:uid="{00000000-0005-0000-0000-0000FC140000}"/>
    <cellStyle name="_Outside pro charge" xfId="1249" xr:uid="{00000000-0005-0000-0000-0000FD140000}"/>
    <cellStyle name="_packing list 2010 2011" xfId="1250" xr:uid="{00000000-0005-0000-0000-0000FE140000}"/>
    <cellStyle name="_PERSONAL" xfId="1251" xr:uid="{00000000-0005-0000-0000-0000FF140000}"/>
    <cellStyle name="_PERSONAL_Book1" xfId="1252" xr:uid="{00000000-0005-0000-0000-000000150000}"/>
    <cellStyle name="_PERSONAL_Book1_Book1" xfId="1253" xr:uid="{00000000-0005-0000-0000-000001150000}"/>
    <cellStyle name="_PERSONAL_Book1_THU CHI TIEN" xfId="1254" xr:uid="{00000000-0005-0000-0000-000002150000}"/>
    <cellStyle name="_PERSONAL_HTQ.8 GD1" xfId="1255" xr:uid="{00000000-0005-0000-0000-000003150000}"/>
    <cellStyle name="_PERSONAL_TH KE" xfId="1256" xr:uid="{00000000-0005-0000-0000-000004150000}"/>
    <cellStyle name="_PERSONAL_THU CHI TIEN" xfId="1257" xr:uid="{00000000-0005-0000-0000-000005150000}"/>
    <cellStyle name="_PERSONAL_TKE" xfId="1258" xr:uid="{00000000-0005-0000-0000-000006150000}"/>
    <cellStyle name="_PERSONAL_Tong hop KHCB 2001" xfId="1259" xr:uid="{00000000-0005-0000-0000-000007150000}"/>
    <cellStyle name="_PRE ADVICE AUG 31 MONTANA 0818-KAO" xfId="1263" xr:uid="{00000000-0005-0000-0000-000008150000}"/>
    <cellStyle name="_PRE ADVICE AUG 31 MONTANA 0818-KAO 2" xfId="1264" xr:uid="{00000000-0005-0000-0000-000009150000}"/>
    <cellStyle name="_PRE ADVICE AUG 31 MONTANA 0818-KAO 3" xfId="1265" xr:uid="{00000000-0005-0000-0000-00000A150000}"/>
    <cellStyle name="_PRE ADVICE AUG 31 MONTANA 0818-KAO 4" xfId="1266" xr:uid="{00000000-0005-0000-0000-00000B150000}"/>
    <cellStyle name="_PRE ADVICE AUG 31 MONTANA 0818-KAO_138 - OtherReceivableAccount_30112009" xfId="1267" xr:uid="{00000000-0005-0000-0000-00000C150000}"/>
    <cellStyle name="_PRE ADVICE AUG 31 MONTANA 0818-KAO_138 - OtherReceivableAccount_30112009_138 - OtherReceivableAccount_28022010" xfId="1268" xr:uid="{00000000-0005-0000-0000-00000D150000}"/>
    <cellStyle name="_PRE ADVICE AUG 31 MONTANA 0818-KAO_138 - OtherReceivableAccount_30112009_138 - OtherReceivableAccount_31012010" xfId="1269" xr:uid="{00000000-0005-0000-0000-00000E150000}"/>
    <cellStyle name="_PRE ADVICE AUG 31 MONTANA 0818-KAO_138 - OtherReceivableAccount_30112009_138 - OtherReceivableAccount_31122009" xfId="1270" xr:uid="{00000000-0005-0000-0000-00000F150000}"/>
    <cellStyle name="_PRE ADVICE AUG 31 MONTANA 0818-KAO_138 - OtherReceivableAccount_30112009_EVALUATION_EX_311208" xfId="1271" xr:uid="{00000000-0005-0000-0000-000010150000}"/>
    <cellStyle name="_PRE ADVICE AUG 31 MONTANA 0818-KAO_138 - OtherReceivableAccount_30112009_YTDHST " xfId="1272" xr:uid="{00000000-0005-0000-0000-000011150000}"/>
    <cellStyle name="_PRE ADVICE AUG 31 MONTANA 0818-KAO_138 - OtherReceivableAccount_31102009" xfId="1273" xr:uid="{00000000-0005-0000-0000-000012150000}"/>
    <cellStyle name="_PRE ADVICE AUG 31 MONTANA 0818-KAO_138 - OtherReceivableAccount_31102009_138 - OtherReceivableAccount_28022010" xfId="1274" xr:uid="{00000000-0005-0000-0000-000013150000}"/>
    <cellStyle name="_PRE ADVICE AUG 31 MONTANA 0818-KAO_138 - OtherReceivableAccount_31102009_138 - OtherReceivableAccount_31012010" xfId="1275" xr:uid="{00000000-0005-0000-0000-000014150000}"/>
    <cellStyle name="_PRE ADVICE AUG 31 MONTANA 0818-KAO_138 - OtherReceivableAccount_31102009_138 - OtherReceivableAccount_31122009" xfId="1276" xr:uid="{00000000-0005-0000-0000-000015150000}"/>
    <cellStyle name="_PRE ADVICE AUG 31 MONTANA 0818-KAO_138 - OtherReceivableAccount_31102009_EVALUATION_EX_311208" xfId="1277" xr:uid="{00000000-0005-0000-0000-000016150000}"/>
    <cellStyle name="_PRE ADVICE AUG 31 MONTANA 0818-KAO_138 - OtherReceivableAccount_31102009_YTDHST " xfId="1278" xr:uid="{00000000-0005-0000-0000-000017150000}"/>
    <cellStyle name="_PRE ADVICE AUG 31 MONTANA 0818-KAO_511 - RevenueAccount_28022010" xfId="1279" xr:uid="{00000000-0005-0000-0000-000018150000}"/>
    <cellStyle name="_PRE ADVICE AUG 31 MONTANA 0818-KAO_511 - RevenueAccount_30042010" xfId="1280" xr:uid="{00000000-0005-0000-0000-000019150000}"/>
    <cellStyle name="_PRE ADVICE AUG 31 MONTANA 0818-KAO_511 - RevenueAccount_30092010" xfId="1281" xr:uid="{00000000-0005-0000-0000-00001A150000}"/>
    <cellStyle name="_PRE ADVICE AUG 31 MONTANA 0818-KAO_511 - RevenueAccount_31012010" xfId="1282" xr:uid="{00000000-0005-0000-0000-00001B150000}"/>
    <cellStyle name="_PRE ADVICE AUG 31 MONTANA 0818-KAO_511 - RevenueAccount_31032010" xfId="1283" xr:uid="{00000000-0005-0000-0000-00001C150000}"/>
    <cellStyle name="_PRE ADVICE AUG 31 MONTANA 0818-KAO_511 - RevenueAccount_31072010" xfId="1284" xr:uid="{00000000-0005-0000-0000-00001D150000}"/>
    <cellStyle name="_PRE ADVICE AUG 31 MONTANA 0818-KAO_Acrrued" xfId="1285" xr:uid="{00000000-0005-0000-0000-00001E150000}"/>
    <cellStyle name="_PRE ADVICE AUG 31 MONTANA 0818-KAO_Acrrued01" xfId="1286" xr:uid="{00000000-0005-0000-0000-00001F150000}"/>
    <cellStyle name="_PRE ADVICE AUG 31 MONTANA 0818-KAO_Book1 (version 5)" xfId="1287" xr:uid="{00000000-0005-0000-0000-000020150000}"/>
    <cellStyle name="_PRE ADVICE AUG 31 MONTANA 0818-KAO_BOULWARE" xfId="1288" xr:uid="{00000000-0005-0000-0000-000021150000}"/>
    <cellStyle name="_PRE ADVICE AUG 31 MONTANA 0818-KAO_BOULWARE 2" xfId="2647" xr:uid="{00000000-0005-0000-0000-000022150000}"/>
    <cellStyle name="_PRE ADVICE AUG 31 MONTANA 0818-KAO_BOULWARE 3" xfId="2622" xr:uid="{00000000-0005-0000-0000-000023150000}"/>
    <cellStyle name="_PRE ADVICE AUG 31 MONTANA 0818-KAO_BOULWARE 4" xfId="2646" xr:uid="{00000000-0005-0000-0000-000024150000}"/>
    <cellStyle name="_PRE ADVICE AUG 31 MONTANA 0818-KAO_BOULWARE 5" xfId="2621" xr:uid="{00000000-0005-0000-0000-000025150000}"/>
    <cellStyle name="_PRE ADVICE AUG 31 MONTANA 0818-KAO_BOULWARE 6" xfId="2683" xr:uid="{00000000-0005-0000-0000-000026150000}"/>
    <cellStyle name="_PRE ADVICE AUG 31 MONTANA 0818-KAO_BOULWARE 7" xfId="2642" xr:uid="{00000000-0005-0000-0000-000027150000}"/>
    <cellStyle name="_PRE ADVICE AUG 31 MONTANA 0818-KAO_BS_HQ" xfId="1289" xr:uid="{00000000-0005-0000-0000-000028150000}"/>
    <cellStyle name="_PRE ADVICE AUG 31 MONTANA 0818-KAO_Detail-02" xfId="1290" xr:uid="{00000000-0005-0000-0000-000029150000}"/>
    <cellStyle name="_PRE ADVICE AUG 31 MONTANA 0818-KAO_DEtial-02" xfId="1291" xr:uid="{00000000-0005-0000-0000-00002A150000}"/>
    <cellStyle name="_PRE ADVICE AUG 31 MONTANA 0818-KAO_DEtial-02 2" xfId="2648" xr:uid="{00000000-0005-0000-0000-00002B150000}"/>
    <cellStyle name="_PRE ADVICE AUG 31 MONTANA 0818-KAO_DEtial-02 3" xfId="2620" xr:uid="{00000000-0005-0000-0000-00002C150000}"/>
    <cellStyle name="_PRE ADVICE AUG 31 MONTANA 0818-KAO_DEtial-02 4" xfId="2650" xr:uid="{00000000-0005-0000-0000-00002D150000}"/>
    <cellStyle name="_PRE ADVICE AUG 31 MONTANA 0818-KAO_DEtial-02 5" xfId="2617" xr:uid="{00000000-0005-0000-0000-00002E150000}"/>
    <cellStyle name="_PRE ADVICE AUG 31 MONTANA 0818-KAO_DEtial-02 6" xfId="2684" xr:uid="{00000000-0005-0000-0000-00002F150000}"/>
    <cellStyle name="_PRE ADVICE AUG 31 MONTANA 0818-KAO_DEtial-02 7" xfId="2641" xr:uid="{00000000-0005-0000-0000-000030150000}"/>
    <cellStyle name="_PRE ADVICE AUG 31 MONTANA 0818-KAO_DEtial-02_IS-HQ" xfId="1292" xr:uid="{00000000-0005-0000-0000-000031150000}"/>
    <cellStyle name="_PRE ADVICE AUG 31 MONTANA 0818-KAO_DEtial-02_IS-HQ 2" xfId="2649" xr:uid="{00000000-0005-0000-0000-000032150000}"/>
    <cellStyle name="_PRE ADVICE AUG 31 MONTANA 0818-KAO_DEtial-02_IS-HQ 3" xfId="2619" xr:uid="{00000000-0005-0000-0000-000033150000}"/>
    <cellStyle name="_PRE ADVICE AUG 31 MONTANA 0818-KAO_DEtial-02_IS-HQ 4" xfId="2652" xr:uid="{00000000-0005-0000-0000-000034150000}"/>
    <cellStyle name="_PRE ADVICE AUG 31 MONTANA 0818-KAO_DEtial-02_IS-HQ 5" xfId="2616" xr:uid="{00000000-0005-0000-0000-000035150000}"/>
    <cellStyle name="_PRE ADVICE AUG 31 MONTANA 0818-KAO_DEtial-02_IS-HQ 6" xfId="2685" xr:uid="{00000000-0005-0000-0000-000036150000}"/>
    <cellStyle name="_PRE ADVICE AUG 31 MONTANA 0818-KAO_DEtial-02_IS-HQ 7" xfId="2640" xr:uid="{00000000-0005-0000-0000-000037150000}"/>
    <cellStyle name="_PRE ADVICE AUG 31 MONTANA 0818-KAO_DEtial-02_PO-HQ" xfId="1293" xr:uid="{00000000-0005-0000-0000-000038150000}"/>
    <cellStyle name="_PRE ADVICE AUG 31 MONTANA 0818-KAO_DEtial-02_PO-HQ_1" xfId="1294" xr:uid="{00000000-0005-0000-0000-000039150000}"/>
    <cellStyle name="_PRE ADVICE AUG 31 MONTANA 0818-KAO_DEtial-02_PO-HQ_1 2" xfId="2651" xr:uid="{00000000-0005-0000-0000-00003A150000}"/>
    <cellStyle name="_PRE ADVICE AUG 31 MONTANA 0818-KAO_DEtial-02_PO-HQ_1 3" xfId="2618" xr:uid="{00000000-0005-0000-0000-00003B150000}"/>
    <cellStyle name="_PRE ADVICE AUG 31 MONTANA 0818-KAO_DEtial-02_PO-HQ_1 4" xfId="2653" xr:uid="{00000000-0005-0000-0000-00003C150000}"/>
    <cellStyle name="_PRE ADVICE AUG 31 MONTANA 0818-KAO_DEtial-02_PO-HQ_1 5" xfId="2615" xr:uid="{00000000-0005-0000-0000-00003D150000}"/>
    <cellStyle name="_PRE ADVICE AUG 31 MONTANA 0818-KAO_DEtial-02_PO-HQ_1 6" xfId="2686" xr:uid="{00000000-0005-0000-0000-00003E150000}"/>
    <cellStyle name="_PRE ADVICE AUG 31 MONTANA 0818-KAO_DEtial-02_PO-HQ_1 7" xfId="2639" xr:uid="{00000000-0005-0000-0000-00003F150000}"/>
    <cellStyle name="_PRE ADVICE AUG 31 MONTANA 0818-KAO_DEtial-02_TB" xfId="1295" xr:uid="{00000000-0005-0000-0000-000040150000}"/>
    <cellStyle name="_PRE ADVICE AUG 31 MONTANA 0818-KAO_EVALUATION_EX_311208" xfId="1296" xr:uid="{00000000-0005-0000-0000-000041150000}"/>
    <cellStyle name="_PRE ADVICE AUG 31 MONTANA 0818-KAO_EVALUATION_EX_311208_EVALUATION_EX_311208" xfId="1297" xr:uid="{00000000-0005-0000-0000-000042150000}"/>
    <cellStyle name="_PRE ADVICE AUG 31 MONTANA 0818-KAO_IS-HQ" xfId="1298" xr:uid="{00000000-0005-0000-0000-000043150000}"/>
    <cellStyle name="_PRE ADVICE AUG 31 MONTANA 0818-KAO_IS-HQ_1" xfId="1299" xr:uid="{00000000-0005-0000-0000-000044150000}"/>
    <cellStyle name="_PRE ADVICE AUG 31 MONTANA 0818-KAO_IS-HQ_1_PO-HQ" xfId="1300" xr:uid="{00000000-0005-0000-0000-000045150000}"/>
    <cellStyle name="_PRE ADVICE AUG 31 MONTANA 0818-KAO_IS-HQ_2" xfId="1301" xr:uid="{00000000-0005-0000-0000-000046150000}"/>
    <cellStyle name="_PRE ADVICE AUG 31 MONTANA 0818-KAO_IS-HQ_2 2" xfId="2654" xr:uid="{00000000-0005-0000-0000-000047150000}"/>
    <cellStyle name="_PRE ADVICE AUG 31 MONTANA 0818-KAO_IS-HQ_2 3" xfId="2614" xr:uid="{00000000-0005-0000-0000-000048150000}"/>
    <cellStyle name="_PRE ADVICE AUG 31 MONTANA 0818-KAO_IS-HQ_2 4" xfId="2657" xr:uid="{00000000-0005-0000-0000-000049150000}"/>
    <cellStyle name="_PRE ADVICE AUG 31 MONTANA 0818-KAO_IS-HQ_2 5" xfId="2610" xr:uid="{00000000-0005-0000-0000-00004A150000}"/>
    <cellStyle name="_PRE ADVICE AUG 31 MONTANA 0818-KAO_IS-HQ_2 6" xfId="2691" xr:uid="{00000000-0005-0000-0000-00004B150000}"/>
    <cellStyle name="_PRE ADVICE AUG 31 MONTANA 0818-KAO_IS-HQ_2 7" xfId="2638" xr:uid="{00000000-0005-0000-0000-00004C150000}"/>
    <cellStyle name="_PRE ADVICE AUG 31 MONTANA 0818-KAO_PO-HQ" xfId="1302" xr:uid="{00000000-0005-0000-0000-00004D150000}"/>
    <cellStyle name="_PRE ADVICE AUG 31 MONTANA 0818-KAO_PO-HQ_1" xfId="1303" xr:uid="{00000000-0005-0000-0000-00004E150000}"/>
    <cellStyle name="_PRE ADVICE AUG 31 MONTANA 0818-KAO_PO-HQ_1_PO-HQ" xfId="1304" xr:uid="{00000000-0005-0000-0000-00004F150000}"/>
    <cellStyle name="_PRE ADVICE AUG 31 MONTANA 0818-KAO_ReceiptList" xfId="1305" xr:uid="{00000000-0005-0000-0000-000050150000}"/>
    <cellStyle name="_PRE ADVICE AUG 31 MONTANA 0818-KAO_ReceiptList 2" xfId="2655" xr:uid="{00000000-0005-0000-0000-000051150000}"/>
    <cellStyle name="_PRE ADVICE AUG 31 MONTANA 0818-KAO_ReceiptList 3" xfId="2613" xr:uid="{00000000-0005-0000-0000-000052150000}"/>
    <cellStyle name="_PRE ADVICE AUG 31 MONTANA 0818-KAO_ReceiptList 4" xfId="2659" xr:uid="{00000000-0005-0000-0000-000053150000}"/>
    <cellStyle name="_PRE ADVICE AUG 31 MONTANA 0818-KAO_ReceiptList 5" xfId="2608" xr:uid="{00000000-0005-0000-0000-000054150000}"/>
    <cellStyle name="_PRE ADVICE AUG 31 MONTANA 0818-KAO_ReceiptList 6" xfId="2692" xr:uid="{00000000-0005-0000-0000-000055150000}"/>
    <cellStyle name="_PRE ADVICE AUG 31 MONTANA 0818-KAO_ReceiptList 7" xfId="2637" xr:uid="{00000000-0005-0000-0000-000056150000}"/>
    <cellStyle name="_PRE ADVICE AUG 31 MONTANA 0818-KAO_Sales Book 082008" xfId="1306" xr:uid="{00000000-0005-0000-0000-000057150000}"/>
    <cellStyle name="_PRE ADVICE AUG 31 MONTANA 0818-KAO_Sales Book 082008 2" xfId="2656" xr:uid="{00000000-0005-0000-0000-000058150000}"/>
    <cellStyle name="_PRE ADVICE AUG 31 MONTANA 0818-KAO_Sales Book 082008 3" xfId="2612" xr:uid="{00000000-0005-0000-0000-000059150000}"/>
    <cellStyle name="_PRE ADVICE AUG 31 MONTANA 0818-KAO_Sales Book 082008 4" xfId="2661" xr:uid="{00000000-0005-0000-0000-00005A150000}"/>
    <cellStyle name="_PRE ADVICE AUG 31 MONTANA 0818-KAO_Sales Book 082008 5" xfId="2607" xr:uid="{00000000-0005-0000-0000-00005B150000}"/>
    <cellStyle name="_PRE ADVICE AUG 31 MONTANA 0818-KAO_Sales Book 082008 6" xfId="2693" xr:uid="{00000000-0005-0000-0000-00005C150000}"/>
    <cellStyle name="_PRE ADVICE AUG 31 MONTANA 0818-KAO_Sales Book 082008 7" xfId="2636" xr:uid="{00000000-0005-0000-0000-00005D150000}"/>
    <cellStyle name="_PRE ADVICE AUG 31 MONTANA 0818-KAO_Sheet1" xfId="1307" xr:uid="{00000000-0005-0000-0000-00005E150000}"/>
    <cellStyle name="_PRE ADVICE AUG 31 MONTANA 0818-KAO_Sheet3" xfId="1308" xr:uid="{00000000-0005-0000-0000-00005F150000}"/>
    <cellStyle name="_PRE ADVICE AUG 31 MONTANA 0818-KAO_Sheet3 2" xfId="2658" xr:uid="{00000000-0005-0000-0000-000060150000}"/>
    <cellStyle name="_PRE ADVICE AUG 31 MONTANA 0818-KAO_Sheet3 3" xfId="2611" xr:uid="{00000000-0005-0000-0000-000061150000}"/>
    <cellStyle name="_PRE ADVICE AUG 31 MONTANA 0818-KAO_Sheet3 4" xfId="2662" xr:uid="{00000000-0005-0000-0000-000062150000}"/>
    <cellStyle name="_PRE ADVICE AUG 31 MONTANA 0818-KAO_Sheet3 5" xfId="2606" xr:uid="{00000000-0005-0000-0000-000063150000}"/>
    <cellStyle name="_PRE ADVICE AUG 31 MONTANA 0818-KAO_Sheet3 6" xfId="2694" xr:uid="{00000000-0005-0000-0000-000064150000}"/>
    <cellStyle name="_PRE ADVICE AUG 31 MONTANA 0818-KAO_Sheet3 7" xfId="2635" xr:uid="{00000000-0005-0000-0000-000065150000}"/>
    <cellStyle name="_PRE ADVICE AUG 31 MONTANA 0818-KAO_TB" xfId="1309" xr:uid="{00000000-0005-0000-0000-000066150000}"/>
    <cellStyle name="_Processing_Sunkyoung_2009" xfId="1310" xr:uid="{00000000-0005-0000-0000-000067150000}"/>
    <cellStyle name="_Processing_Sunkyoung_2009 2" xfId="3287" xr:uid="{00000000-0005-0000-0000-000068150000}"/>
    <cellStyle name="_Qt-HT3PQ1(CauKho)" xfId="1311" xr:uid="{00000000-0005-0000-0000-000069150000}"/>
    <cellStyle name="_ReceiptList" xfId="1312" xr:uid="{00000000-0005-0000-0000-00006A150000}"/>
    <cellStyle name="_ReceiptList_331 - AdvancefromCustomer_31012010" xfId="1314" xr:uid="{00000000-0005-0000-0000-00006B150000}"/>
    <cellStyle name="_ReceiptList_511 - RevenueAccount_28022010" xfId="1315" xr:uid="{00000000-0005-0000-0000-00006C150000}"/>
    <cellStyle name="_ReceiptList_511 - RevenueAccount_30042010" xfId="1316" xr:uid="{00000000-0005-0000-0000-00006D150000}"/>
    <cellStyle name="_ReceiptList_511 - RevenueAccount_30062010" xfId="1317" xr:uid="{00000000-0005-0000-0000-00006E150000}"/>
    <cellStyle name="_ReceiptList_511 - RevenueAccount_30092010" xfId="1318" xr:uid="{00000000-0005-0000-0000-00006F150000}"/>
    <cellStyle name="_ReceiptList_511 - RevenueAccount_30112010" xfId="1319" xr:uid="{00000000-0005-0000-0000-000070150000}"/>
    <cellStyle name="_ReceiptList_511 - RevenueAccount_31012010" xfId="1320" xr:uid="{00000000-0005-0000-0000-000071150000}"/>
    <cellStyle name="_ReceiptList_511 - RevenueAccount_31012011" xfId="1321" xr:uid="{00000000-0005-0000-0000-000072150000}"/>
    <cellStyle name="_ReceiptList_511 - RevenueAccount_31032010" xfId="1322" xr:uid="{00000000-0005-0000-0000-000073150000}"/>
    <cellStyle name="_ReceiptList_511 - RevenueAccount_31032011" xfId="1323" xr:uid="{00000000-0005-0000-0000-000074150000}"/>
    <cellStyle name="_ReceiptList_511 - RevenueAccount_31052010" xfId="1324" xr:uid="{00000000-0005-0000-0000-000075150000}"/>
    <cellStyle name="_ReceiptList_511 - RevenueAccount_31072010" xfId="1325" xr:uid="{00000000-0005-0000-0000-000076150000}"/>
    <cellStyle name="_ReceiptList_511 - RevenueAccount_31082010" xfId="1326" xr:uid="{00000000-0005-0000-0000-000077150000}"/>
    <cellStyle name="_ReceiptList_511 - RevenueAccount_31122010" xfId="1327" xr:uid="{00000000-0005-0000-0000-000078150000}"/>
    <cellStyle name="_ReceiptList_Book1 (version 5)" xfId="1328" xr:uid="{00000000-0005-0000-0000-000079150000}"/>
    <cellStyle name="_ReceiptList_HANSOLL" xfId="1329" xr:uid="{00000000-0005-0000-0000-00007A150000}"/>
    <cellStyle name="_ReceiptList_ReceiptList" xfId="1330" xr:uid="{00000000-0005-0000-0000-00007B150000}"/>
    <cellStyle name="_ReceiptList_Sheet3" xfId="1331" xr:uid="{00000000-0005-0000-0000-00007C150000}"/>
    <cellStyle name="_ReceiptList_Sheet3 2" xfId="2664" xr:uid="{00000000-0005-0000-0000-00007D150000}"/>
    <cellStyle name="_ReceiptList_Sheet3 3" xfId="2604" xr:uid="{00000000-0005-0000-0000-00007E150000}"/>
    <cellStyle name="_ReceiptList_Sheet3 4" xfId="2666" xr:uid="{00000000-0005-0000-0000-00007F150000}"/>
    <cellStyle name="_ReceiptList_Sheet3 5" xfId="2602" xr:uid="{00000000-0005-0000-0000-000080150000}"/>
    <cellStyle name="_ReceiptList_Sheet3 6" xfId="2701" xr:uid="{00000000-0005-0000-0000-000081150000}"/>
    <cellStyle name="_ReceiptList_Sheet3 7" xfId="2633" xr:uid="{00000000-0005-0000-0000-000082150000}"/>
    <cellStyle name="_ReceivableDaeyou_2005-2008" xfId="1332" xr:uid="{00000000-0005-0000-0000-000083150000}"/>
    <cellStyle name="_ReceivableDaeyou_2005-2008 2" xfId="3288" xr:uid="{00000000-0005-0000-0000-000084150000}"/>
    <cellStyle name="_Revenues" xfId="1333" xr:uid="{00000000-0005-0000-0000-000085150000}"/>
    <cellStyle name="_Revenues 2" xfId="3289" xr:uid="{00000000-0005-0000-0000-000086150000}"/>
    <cellStyle name="_Sales Book 082008" xfId="1334" xr:uid="{00000000-0005-0000-0000-000087150000}"/>
    <cellStyle name="_Sales Book 082008 10" xfId="4599" xr:uid="{00000000-0005-0000-0000-000088150000}"/>
    <cellStyle name="_Sales Book 082008 11" xfId="5105" xr:uid="{00000000-0005-0000-0000-000089150000}"/>
    <cellStyle name="_Sales Book 082008 12" xfId="4542" xr:uid="{00000000-0005-0000-0000-00008A150000}"/>
    <cellStyle name="_Sales Book 082008 13" xfId="5524" xr:uid="{00000000-0005-0000-0000-00008B150000}"/>
    <cellStyle name="_Sales Book 082008 14" xfId="5879" xr:uid="{00000000-0005-0000-0000-00008C150000}"/>
    <cellStyle name="_Sales Book 082008 15" xfId="5500" xr:uid="{00000000-0005-0000-0000-00008D150000}"/>
    <cellStyle name="_Sales Book 082008 16" xfId="4575" xr:uid="{00000000-0005-0000-0000-00008E150000}"/>
    <cellStyle name="_Sales Book 082008 17" xfId="4297" xr:uid="{00000000-0005-0000-0000-00008F150000}"/>
    <cellStyle name="_Sales Book 082008 18" xfId="4265" xr:uid="{00000000-0005-0000-0000-000090150000}"/>
    <cellStyle name="_Sales Book 082008 19" xfId="5540" xr:uid="{00000000-0005-0000-0000-000091150000}"/>
    <cellStyle name="_Sales Book 082008 2" xfId="3290" xr:uid="{00000000-0005-0000-0000-000092150000}"/>
    <cellStyle name="_Sales Book 082008 20" xfId="4386" xr:uid="{00000000-0005-0000-0000-000093150000}"/>
    <cellStyle name="_Sales Book 082008 21" xfId="5268" xr:uid="{00000000-0005-0000-0000-000094150000}"/>
    <cellStyle name="_Sales Book 082008 22" xfId="5103" xr:uid="{00000000-0005-0000-0000-000095150000}"/>
    <cellStyle name="_Sales Book 082008 23" xfId="4825" xr:uid="{00000000-0005-0000-0000-000096150000}"/>
    <cellStyle name="_Sales Book 082008 24" xfId="5856" xr:uid="{00000000-0005-0000-0000-000097150000}"/>
    <cellStyle name="_Sales Book 082008 25" xfId="4873" xr:uid="{00000000-0005-0000-0000-000098150000}"/>
    <cellStyle name="_Sales Book 082008 26" xfId="4570" xr:uid="{00000000-0005-0000-0000-000099150000}"/>
    <cellStyle name="_Sales Book 082008 27" xfId="4308" xr:uid="{00000000-0005-0000-0000-00009A150000}"/>
    <cellStyle name="_Sales Book 082008 28" xfId="6427" xr:uid="{00000000-0005-0000-0000-00009B150000}"/>
    <cellStyle name="_Sales Book 082008 29" xfId="6434" xr:uid="{00000000-0005-0000-0000-00009C150000}"/>
    <cellStyle name="_Sales Book 082008 3" xfId="3268" xr:uid="{00000000-0005-0000-0000-00009D150000}"/>
    <cellStyle name="_Sales Book 082008 30" xfId="6667" xr:uid="{00000000-0005-0000-0000-00009E150000}"/>
    <cellStyle name="_Sales Book 082008 31" xfId="6911" xr:uid="{00000000-0005-0000-0000-00009F150000}"/>
    <cellStyle name="_Sales Book 082008 32" xfId="7924" xr:uid="{00000000-0005-0000-0000-0000A0150000}"/>
    <cellStyle name="_Sales Book 082008 33" xfId="9394" xr:uid="{00000000-0005-0000-0000-0000A1150000}"/>
    <cellStyle name="_Sales Book 082008 34" xfId="9423" xr:uid="{00000000-0005-0000-0000-0000A2150000}"/>
    <cellStyle name="_Sales Book 082008 35" xfId="8071" xr:uid="{00000000-0005-0000-0000-0000A3150000}"/>
    <cellStyle name="_Sales Book 082008 36" xfId="8331" xr:uid="{00000000-0005-0000-0000-0000A4150000}"/>
    <cellStyle name="_Sales Book 082008 37" xfId="8097" xr:uid="{00000000-0005-0000-0000-0000A5150000}"/>
    <cellStyle name="_Sales Book 082008 38" xfId="8184" xr:uid="{00000000-0005-0000-0000-0000A6150000}"/>
    <cellStyle name="_Sales Book 082008 39" xfId="9593" xr:uid="{00000000-0005-0000-0000-0000A7150000}"/>
    <cellStyle name="_Sales Book 082008 4" xfId="3270" xr:uid="{00000000-0005-0000-0000-0000A8150000}"/>
    <cellStyle name="_Sales Book 082008 40" xfId="12052" xr:uid="{00000000-0005-0000-0000-0000A9150000}"/>
    <cellStyle name="_Sales Book 082008 41" xfId="12054" xr:uid="{00000000-0005-0000-0000-0000AA150000}"/>
    <cellStyle name="_Sales Book 082008 42" xfId="12056" xr:uid="{00000000-0005-0000-0000-0000AB150000}"/>
    <cellStyle name="_Sales Book 082008 43" xfId="20807" xr:uid="{00000000-0005-0000-0000-0000AC150000}"/>
    <cellStyle name="_Sales Book 082008 5" xfId="3032" xr:uid="{00000000-0005-0000-0000-0000AD150000}"/>
    <cellStyle name="_Sales Book 082008 6" xfId="3778" xr:uid="{00000000-0005-0000-0000-0000AE150000}"/>
    <cellStyle name="_Sales Book 082008 7" xfId="3774" xr:uid="{00000000-0005-0000-0000-0000AF150000}"/>
    <cellStyle name="_Sales Book 082008 8" xfId="3775" xr:uid="{00000000-0005-0000-0000-0000B0150000}"/>
    <cellStyle name="_Sales Book 082008 9" xfId="4046" xr:uid="{00000000-0005-0000-0000-0000B1150000}"/>
    <cellStyle name="_Sales Book 2008" xfId="1336" xr:uid="{00000000-0005-0000-0000-0000B2150000}"/>
    <cellStyle name="_Sales Book 2008 2" xfId="3291" xr:uid="{00000000-0005-0000-0000-0000B3150000}"/>
    <cellStyle name="_Sales Book 2008-file 2 lam lai" xfId="1337" xr:uid="{00000000-0005-0000-0000-0000B4150000}"/>
    <cellStyle name="_Sales Book 2008-file 2 lam lai 2" xfId="3292" xr:uid="{00000000-0005-0000-0000-0000B5150000}"/>
    <cellStyle name="_Sep" xfId="1338" xr:uid="{00000000-0005-0000-0000-0000B6150000}"/>
    <cellStyle name="_Sep.29.-Oct.04" xfId="1339" xr:uid="{00000000-0005-0000-0000-0000B7150000}"/>
    <cellStyle name="_Sep.29.-Oct.04 2" xfId="3293" xr:uid="{00000000-0005-0000-0000-0000B8150000}"/>
    <cellStyle name="_SGN0006568" xfId="1340" xr:uid="{00000000-0005-0000-0000-0000B9150000}"/>
    <cellStyle name="_SGN0006568_511 - RevenueAccount_28022010" xfId="1341" xr:uid="{00000000-0005-0000-0000-0000BA150000}"/>
    <cellStyle name="_SGN0006568_511 - RevenueAccount_30042010" xfId="1342" xr:uid="{00000000-0005-0000-0000-0000BB150000}"/>
    <cellStyle name="_SGN0006568_511 - RevenueAccount_30092010" xfId="1343" xr:uid="{00000000-0005-0000-0000-0000BC150000}"/>
    <cellStyle name="_SGN0006568_511 - RevenueAccount_31012010" xfId="1344" xr:uid="{00000000-0005-0000-0000-0000BD150000}"/>
    <cellStyle name="_SGN0006568_511 - RevenueAccount_31032010" xfId="1345" xr:uid="{00000000-0005-0000-0000-0000BE150000}"/>
    <cellStyle name="_SGN0006568_511 - RevenueAccount_31072010" xfId="1346" xr:uid="{00000000-0005-0000-0000-0000BF150000}"/>
    <cellStyle name="_SGN0006568_Acrrued" xfId="1347" xr:uid="{00000000-0005-0000-0000-0000C0150000}"/>
    <cellStyle name="_SGN0006568_Acrrued01" xfId="1348" xr:uid="{00000000-0005-0000-0000-0000C1150000}"/>
    <cellStyle name="_SGN0006568_Book1 (version 5)" xfId="1349" xr:uid="{00000000-0005-0000-0000-0000C2150000}"/>
    <cellStyle name="_SGN0006568_Detail-02" xfId="1350" xr:uid="{00000000-0005-0000-0000-0000C3150000}"/>
    <cellStyle name="_SGN0006568_DEtial-02" xfId="1351" xr:uid="{00000000-0005-0000-0000-0000C4150000}"/>
    <cellStyle name="_SGN0006568_DEtial-02 2" xfId="2668" xr:uid="{00000000-0005-0000-0000-0000C5150000}"/>
    <cellStyle name="_SGN0006568_DEtial-02 3" xfId="2600" xr:uid="{00000000-0005-0000-0000-0000C6150000}"/>
    <cellStyle name="_SGN0006568_DEtial-02 4" xfId="2674" xr:uid="{00000000-0005-0000-0000-0000C7150000}"/>
    <cellStyle name="_SGN0006568_DEtial-02 5" xfId="2589" xr:uid="{00000000-0005-0000-0000-0000C8150000}"/>
    <cellStyle name="_SGN0006568_DEtial-02 6" xfId="2704" xr:uid="{00000000-0005-0000-0000-0000C9150000}"/>
    <cellStyle name="_SGN0006568_DEtial-02 7" xfId="2631" xr:uid="{00000000-0005-0000-0000-0000CA150000}"/>
    <cellStyle name="_SGN0006568_ReceiptList" xfId="1352" xr:uid="{00000000-0005-0000-0000-0000CB150000}"/>
    <cellStyle name="_SGN0006568_ReceiptList 2" xfId="2669" xr:uid="{00000000-0005-0000-0000-0000CC150000}"/>
    <cellStyle name="_SGN0006568_ReceiptList 3" xfId="2599" xr:uid="{00000000-0005-0000-0000-0000CD150000}"/>
    <cellStyle name="_SGN0006568_ReceiptList 4" xfId="2675" xr:uid="{00000000-0005-0000-0000-0000CE150000}"/>
    <cellStyle name="_SGN0006568_ReceiptList 5" xfId="2588" xr:uid="{00000000-0005-0000-0000-0000CF150000}"/>
    <cellStyle name="_SGN0006568_ReceiptList 6" xfId="2706" xr:uid="{00000000-0005-0000-0000-0000D0150000}"/>
    <cellStyle name="_SGN0006568_ReceiptList 7" xfId="2630" xr:uid="{00000000-0005-0000-0000-0000D1150000}"/>
    <cellStyle name="_SGN0006568_Sales Book 082008" xfId="1353" xr:uid="{00000000-0005-0000-0000-0000D2150000}"/>
    <cellStyle name="_SGN0006568_Sales Book 082008 2" xfId="2670" xr:uid="{00000000-0005-0000-0000-0000D3150000}"/>
    <cellStyle name="_SGN0006568_Sales Book 082008 3" xfId="2598" xr:uid="{00000000-0005-0000-0000-0000D4150000}"/>
    <cellStyle name="_SGN0006568_Sales Book 082008 4" xfId="2677" xr:uid="{00000000-0005-0000-0000-0000D5150000}"/>
    <cellStyle name="_SGN0006568_Sales Book 082008 5" xfId="2587" xr:uid="{00000000-0005-0000-0000-0000D6150000}"/>
    <cellStyle name="_SGN0006568_Sales Book 082008 6" xfId="2708" xr:uid="{00000000-0005-0000-0000-0000D7150000}"/>
    <cellStyle name="_SGN0006568_Sales Book 082008 7" xfId="2629" xr:uid="{00000000-0005-0000-0000-0000D8150000}"/>
    <cellStyle name="_SGN0006568_Sheet1" xfId="1354" xr:uid="{00000000-0005-0000-0000-0000D9150000}"/>
    <cellStyle name="_SGN0006568_Sheet3" xfId="1355" xr:uid="{00000000-0005-0000-0000-0000DA150000}"/>
    <cellStyle name="_SGN0006568_Sheet3 2" xfId="2671" xr:uid="{00000000-0005-0000-0000-0000DB150000}"/>
    <cellStyle name="_SGN0006568_Sheet3 3" xfId="2597" xr:uid="{00000000-0005-0000-0000-0000DC150000}"/>
    <cellStyle name="_SGN0006568_Sheet3 4" xfId="2678" xr:uid="{00000000-0005-0000-0000-0000DD150000}"/>
    <cellStyle name="_SGN0006568_Sheet3 5" xfId="2586" xr:uid="{00000000-0005-0000-0000-0000DE150000}"/>
    <cellStyle name="_SGN0006568_Sheet3 6" xfId="2709" xr:uid="{00000000-0005-0000-0000-0000DF150000}"/>
    <cellStyle name="_SGN0006568_Sheet3 7" xfId="2628" xr:uid="{00000000-0005-0000-0000-0000E0150000}"/>
    <cellStyle name="_SGN0006568_TB" xfId="1356" xr:uid="{00000000-0005-0000-0000-0000E1150000}"/>
    <cellStyle name="_sgn0477324" xfId="1357" xr:uid="{00000000-0005-0000-0000-0000E2150000}"/>
    <cellStyle name="_Sheet1" xfId="1358" xr:uid="{00000000-0005-0000-0000-0000E3150000}"/>
    <cellStyle name="_Sheet1_Cost of products (1551-2)" xfId="1359" xr:uid="{00000000-0005-0000-0000-0000E4150000}"/>
    <cellStyle name="_Sheet1_In-out-bal products" xfId="1360" xr:uid="{00000000-0005-0000-0000-0000E5150000}"/>
    <cellStyle name="_Sheet4" xfId="1362" xr:uid="{00000000-0005-0000-0000-0000E6150000}"/>
    <cellStyle name="_SUMMARY DIESEL OIL 2002 ~ 2008" xfId="1363" xr:uid="{00000000-0005-0000-0000-0000E7150000}"/>
    <cellStyle name="_SUMMARY DIESEL OIL 2002 ~ 2008 2" xfId="3294" xr:uid="{00000000-0005-0000-0000-0000E8150000}"/>
    <cellStyle name="_T03.09" xfId="1364" xr:uid="{00000000-0005-0000-0000-0000E9150000}"/>
    <cellStyle name="_T03.09 2" xfId="2673" xr:uid="{00000000-0005-0000-0000-0000EA150000}"/>
    <cellStyle name="_T03.09 3" xfId="2591" xr:uid="{00000000-0005-0000-0000-0000EB150000}"/>
    <cellStyle name="_T03.09 4" xfId="2680" xr:uid="{00000000-0005-0000-0000-0000EC150000}"/>
    <cellStyle name="_T03.09 5" xfId="2584" xr:uid="{00000000-0005-0000-0000-0000ED150000}"/>
    <cellStyle name="_T03.09 6" xfId="2711" xr:uid="{00000000-0005-0000-0000-0000EE150000}"/>
    <cellStyle name="_T03.09 7" xfId="2626" xr:uid="{00000000-0005-0000-0000-0000EF150000}"/>
    <cellStyle name="_T03.09_Cost of products (1551-2)" xfId="1365" xr:uid="{00000000-0005-0000-0000-0000F0150000}"/>
    <cellStyle name="_T03.09_In-out-bal products" xfId="1366" xr:uid="{00000000-0005-0000-0000-0000F1150000}"/>
    <cellStyle name="_TACHPHI" xfId="1367" xr:uid="{00000000-0005-0000-0000-0000F2150000}"/>
    <cellStyle name="_tachphi (2)" xfId="1368" xr:uid="{00000000-0005-0000-0000-0000F3150000}"/>
    <cellStyle name="_tachphi (2) 2" xfId="3296" xr:uid="{00000000-0005-0000-0000-0000F4150000}"/>
    <cellStyle name="_TACHPHI 10" xfId="4611" xr:uid="{00000000-0005-0000-0000-0000F5150000}"/>
    <cellStyle name="_TACHPHI 11" xfId="4588" xr:uid="{00000000-0005-0000-0000-0000F6150000}"/>
    <cellStyle name="_TACHPHI 12" xfId="4327" xr:uid="{00000000-0005-0000-0000-0000F7150000}"/>
    <cellStyle name="_TACHPHI 13" xfId="4793" xr:uid="{00000000-0005-0000-0000-0000F8150000}"/>
    <cellStyle name="_TACHPHI 14" xfId="4430" xr:uid="{00000000-0005-0000-0000-0000F9150000}"/>
    <cellStyle name="_TACHPHI 15" xfId="4632" xr:uid="{00000000-0005-0000-0000-0000FA150000}"/>
    <cellStyle name="_TACHPHI 16" xfId="4582" xr:uid="{00000000-0005-0000-0000-0000FB150000}"/>
    <cellStyle name="_TACHPHI 17" xfId="4508" xr:uid="{00000000-0005-0000-0000-0000FC150000}"/>
    <cellStyle name="_TACHPHI 18" xfId="5114" xr:uid="{00000000-0005-0000-0000-0000FD150000}"/>
    <cellStyle name="_TACHPHI 19" xfId="6079" xr:uid="{00000000-0005-0000-0000-0000FE150000}"/>
    <cellStyle name="_TACHPHI 2" xfId="3295" xr:uid="{00000000-0005-0000-0000-0000FF150000}"/>
    <cellStyle name="_TACHPHI 20" xfId="4262" xr:uid="{00000000-0005-0000-0000-000000160000}"/>
    <cellStyle name="_TACHPHI 21" xfId="4821" xr:uid="{00000000-0005-0000-0000-000001160000}"/>
    <cellStyle name="_TACHPHI 22" xfId="4594" xr:uid="{00000000-0005-0000-0000-000002160000}"/>
    <cellStyle name="_TACHPHI 23" xfId="4792" xr:uid="{00000000-0005-0000-0000-000003160000}"/>
    <cellStyle name="_TACHPHI 24" xfId="5967" xr:uid="{00000000-0005-0000-0000-000004160000}"/>
    <cellStyle name="_TACHPHI 25" xfId="5941" xr:uid="{00000000-0005-0000-0000-000005160000}"/>
    <cellStyle name="_TACHPHI 26" xfId="4606" xr:uid="{00000000-0005-0000-0000-000006160000}"/>
    <cellStyle name="_TACHPHI 27" xfId="5215" xr:uid="{00000000-0005-0000-0000-000007160000}"/>
    <cellStyle name="_TACHPHI 28" xfId="6429" xr:uid="{00000000-0005-0000-0000-000008160000}"/>
    <cellStyle name="_TACHPHI 29" xfId="6432" xr:uid="{00000000-0005-0000-0000-000009160000}"/>
    <cellStyle name="_TACHPHI 3" xfId="3266" xr:uid="{00000000-0005-0000-0000-00000A160000}"/>
    <cellStyle name="_TACHPHI 30" xfId="6700" xr:uid="{00000000-0005-0000-0000-00000B160000}"/>
    <cellStyle name="_TACHPHI 31" xfId="6913" xr:uid="{00000000-0005-0000-0000-00000C160000}"/>
    <cellStyle name="_TACHPHI 32" xfId="7927" xr:uid="{00000000-0005-0000-0000-00000D160000}"/>
    <cellStyle name="_TACHPHI 33" xfId="7964" xr:uid="{00000000-0005-0000-0000-00000E160000}"/>
    <cellStyle name="_TACHPHI 34" xfId="9402" xr:uid="{00000000-0005-0000-0000-00000F160000}"/>
    <cellStyle name="_TACHPHI 35" xfId="8374" xr:uid="{00000000-0005-0000-0000-000010160000}"/>
    <cellStyle name="_TACHPHI 36" xfId="8219" xr:uid="{00000000-0005-0000-0000-000011160000}"/>
    <cellStyle name="_TACHPHI 37" xfId="8343" xr:uid="{00000000-0005-0000-0000-000012160000}"/>
    <cellStyle name="_TACHPHI 38" xfId="7965" xr:uid="{00000000-0005-0000-0000-000013160000}"/>
    <cellStyle name="_TACHPHI 39" xfId="9595" xr:uid="{00000000-0005-0000-0000-000014160000}"/>
    <cellStyle name="_TACHPHI 4" xfId="3283" xr:uid="{00000000-0005-0000-0000-000015160000}"/>
    <cellStyle name="_TACHPHI 40" xfId="12058" xr:uid="{00000000-0005-0000-0000-000016160000}"/>
    <cellStyle name="_TACHPHI 41" xfId="12059" xr:uid="{00000000-0005-0000-0000-000017160000}"/>
    <cellStyle name="_TACHPHI 42" xfId="12060" xr:uid="{00000000-0005-0000-0000-000018160000}"/>
    <cellStyle name="_TACHPHI 43" xfId="20809" xr:uid="{00000000-0005-0000-0000-000019160000}"/>
    <cellStyle name="_TACHPHI 5" xfId="3269" xr:uid="{00000000-0005-0000-0000-00001A160000}"/>
    <cellStyle name="_TACHPHI 6" xfId="3779" xr:uid="{00000000-0005-0000-0000-00001B160000}"/>
    <cellStyle name="_TACHPHI 7" xfId="3773" xr:uid="{00000000-0005-0000-0000-00001C160000}"/>
    <cellStyle name="_TACHPHI 8" xfId="3776" xr:uid="{00000000-0005-0000-0000-00001D160000}"/>
    <cellStyle name="_TACHPHI 9" xfId="4047" xr:uid="{00000000-0005-0000-0000-00001E160000}"/>
    <cellStyle name="_TB" xfId="1369" xr:uid="{00000000-0005-0000-0000-00001F160000}"/>
    <cellStyle name="_TB 10" xfId="3284" xr:uid="{00000000-0005-0000-0000-000020160000}"/>
    <cellStyle name="_TB 11" xfId="3145" xr:uid="{00000000-0005-0000-0000-000021160000}"/>
    <cellStyle name="_TB 12" xfId="3780" xr:uid="{00000000-0005-0000-0000-000022160000}"/>
    <cellStyle name="_TB 13" xfId="3772" xr:uid="{00000000-0005-0000-0000-000023160000}"/>
    <cellStyle name="_TB 14" xfId="3777" xr:uid="{00000000-0005-0000-0000-000024160000}"/>
    <cellStyle name="_TB 15" xfId="4048" xr:uid="{00000000-0005-0000-0000-000025160000}"/>
    <cellStyle name="_TB 16" xfId="4613" xr:uid="{00000000-0005-0000-0000-000026160000}"/>
    <cellStyle name="_TB 17" xfId="5127" xr:uid="{00000000-0005-0000-0000-000027160000}"/>
    <cellStyle name="_TB 18" xfId="5039" xr:uid="{00000000-0005-0000-0000-000028160000}"/>
    <cellStyle name="_TB 19" xfId="5006" xr:uid="{00000000-0005-0000-0000-000029160000}"/>
    <cellStyle name="_TB 2" xfId="2676" xr:uid="{00000000-0005-0000-0000-00002A160000}"/>
    <cellStyle name="_TB 20" xfId="5595" xr:uid="{00000000-0005-0000-0000-00002B160000}"/>
    <cellStyle name="_TB 21" xfId="5936" xr:uid="{00000000-0005-0000-0000-00002C160000}"/>
    <cellStyle name="_TB 22" xfId="4583" xr:uid="{00000000-0005-0000-0000-00002D160000}"/>
    <cellStyle name="_TB 23" xfId="4851" xr:uid="{00000000-0005-0000-0000-00002E160000}"/>
    <cellStyle name="_TB 24" xfId="4758" xr:uid="{00000000-0005-0000-0000-00002F160000}"/>
    <cellStyle name="_TB 25" xfId="6089" xr:uid="{00000000-0005-0000-0000-000030160000}"/>
    <cellStyle name="_TB 26" xfId="5279" xr:uid="{00000000-0005-0000-0000-000031160000}"/>
    <cellStyle name="_TB 27" xfId="5025" xr:uid="{00000000-0005-0000-0000-000032160000}"/>
    <cellStyle name="_TB 28" xfId="6154" xr:uid="{00000000-0005-0000-0000-000033160000}"/>
    <cellStyle name="_TB 29" xfId="6176" xr:uid="{00000000-0005-0000-0000-000034160000}"/>
    <cellStyle name="_TB 3" xfId="2590" xr:uid="{00000000-0005-0000-0000-000035160000}"/>
    <cellStyle name="_TB 30" xfId="6194" xr:uid="{00000000-0005-0000-0000-000036160000}"/>
    <cellStyle name="_TB 31" xfId="6209" xr:uid="{00000000-0005-0000-0000-000037160000}"/>
    <cellStyle name="_TB 32" xfId="6223" xr:uid="{00000000-0005-0000-0000-000038160000}"/>
    <cellStyle name="_TB 33" xfId="6234" xr:uid="{00000000-0005-0000-0000-000039160000}"/>
    <cellStyle name="_TB 34" xfId="6430" xr:uid="{00000000-0005-0000-0000-00003A160000}"/>
    <cellStyle name="_TB 35" xfId="6431" xr:uid="{00000000-0005-0000-0000-00003B160000}"/>
    <cellStyle name="_TB 36" xfId="6344" xr:uid="{00000000-0005-0000-0000-00003C160000}"/>
    <cellStyle name="_TB 37" xfId="6914" xr:uid="{00000000-0005-0000-0000-00003D160000}"/>
    <cellStyle name="_TB 38" xfId="7928" xr:uid="{00000000-0005-0000-0000-00003E160000}"/>
    <cellStyle name="_TB 39" xfId="8505" xr:uid="{00000000-0005-0000-0000-00003F160000}"/>
    <cellStyle name="_TB 4" xfId="2681" xr:uid="{00000000-0005-0000-0000-000040160000}"/>
    <cellStyle name="_TB 40" xfId="9420" xr:uid="{00000000-0005-0000-0000-000041160000}"/>
    <cellStyle name="_TB 41" xfId="7828" xr:uid="{00000000-0005-0000-0000-000042160000}"/>
    <cellStyle name="_TB 42" xfId="8846" xr:uid="{00000000-0005-0000-0000-000043160000}"/>
    <cellStyle name="_TB 43" xfId="7963" xr:uid="{00000000-0005-0000-0000-000044160000}"/>
    <cellStyle name="_TB 44" xfId="8107" xr:uid="{00000000-0005-0000-0000-000045160000}"/>
    <cellStyle name="_TB 45" xfId="9596" xr:uid="{00000000-0005-0000-0000-000046160000}"/>
    <cellStyle name="_TB 46" xfId="12061" xr:uid="{00000000-0005-0000-0000-000047160000}"/>
    <cellStyle name="_TB 47" xfId="12062" xr:uid="{00000000-0005-0000-0000-000048160000}"/>
    <cellStyle name="_TB 48" xfId="12063" xr:uid="{00000000-0005-0000-0000-000049160000}"/>
    <cellStyle name="_TB 49" xfId="20810" xr:uid="{00000000-0005-0000-0000-00004A160000}"/>
    <cellStyle name="_TB 5" xfId="2583" xr:uid="{00000000-0005-0000-0000-00004B160000}"/>
    <cellStyle name="_TB 6" xfId="2713" xr:uid="{00000000-0005-0000-0000-00004C160000}"/>
    <cellStyle name="_TB 7" xfId="2625" xr:uid="{00000000-0005-0000-0000-00004D160000}"/>
    <cellStyle name="_TB 8" xfId="3297" xr:uid="{00000000-0005-0000-0000-00004E160000}"/>
    <cellStyle name="_TB 9" xfId="3265" xr:uid="{00000000-0005-0000-0000-00004F160000}"/>
    <cellStyle name="_TG-TH" xfId="1371" xr:uid="{00000000-0005-0000-0000-000050160000}"/>
    <cellStyle name="_TG-TH_1" xfId="1372" xr:uid="{00000000-0005-0000-0000-000051160000}"/>
    <cellStyle name="_TG-TH_1_BAO CAO KLCT PT2000" xfId="1373" xr:uid="{00000000-0005-0000-0000-000052160000}"/>
    <cellStyle name="_TG-TH_1_BAO CAO PT2000" xfId="1374" xr:uid="{00000000-0005-0000-0000-000053160000}"/>
    <cellStyle name="_TG-TH_1_BAO CAO PT2000_Book1" xfId="1375" xr:uid="{00000000-0005-0000-0000-000054160000}"/>
    <cellStyle name="_TG-TH_1_Bao cao XDCB 2001 - T11 KH dieu chinh 20-11-THAI" xfId="1376" xr:uid="{00000000-0005-0000-0000-000055160000}"/>
    <cellStyle name="_TG-TH_1_Book1" xfId="1377" xr:uid="{00000000-0005-0000-0000-000056160000}"/>
    <cellStyle name="_TG-TH_1_Book1_1" xfId="1378" xr:uid="{00000000-0005-0000-0000-000057160000}"/>
    <cellStyle name="_TG-TH_1_Book1_2" xfId="1379" xr:uid="{00000000-0005-0000-0000-000058160000}"/>
    <cellStyle name="_TG-TH_1_Book1_3" xfId="1380" xr:uid="{00000000-0005-0000-0000-000059160000}"/>
    <cellStyle name="_TG-TH_1_Book1_3_Book1" xfId="1381" xr:uid="{00000000-0005-0000-0000-00005A160000}"/>
    <cellStyle name="_TG-TH_1_Book1_3_Book1_911 -  FS_31032009" xfId="1382" xr:uid="{00000000-0005-0000-0000-00005B160000}"/>
    <cellStyle name="_TG-TH_1_Book1_3_Book1_Direct labour" xfId="1383" xr:uid="{00000000-0005-0000-0000-00005C160000}"/>
    <cellStyle name="_TG-TH_1_Book1_3_Book1_General pro" xfId="1384" xr:uid="{00000000-0005-0000-0000-00005D160000}"/>
    <cellStyle name="_TG-TH_1_Book1_BC-QT-WB-dthao" xfId="1385" xr:uid="{00000000-0005-0000-0000-00005E160000}"/>
    <cellStyle name="_TG-TH_1_Book1_Book1" xfId="1386" xr:uid="{00000000-0005-0000-0000-00005F160000}"/>
    <cellStyle name="_TG-TH_1_Book1_TH KE" xfId="1387" xr:uid="{00000000-0005-0000-0000-000060160000}"/>
    <cellStyle name="_TG-TH_1_Book1_THU CHI TIEN" xfId="1388" xr:uid="{00000000-0005-0000-0000-000061160000}"/>
    <cellStyle name="_TG-TH_1_Book1_TKE" xfId="1389" xr:uid="{00000000-0005-0000-0000-000062160000}"/>
    <cellStyle name="_TG-TH_1_DTCDT MR.2N110.HOCMON.TDTOAN.CCUNG" xfId="1390" xr:uid="{00000000-0005-0000-0000-000063160000}"/>
    <cellStyle name="_TG-TH_1_Lora-tungchau" xfId="1391" xr:uid="{00000000-0005-0000-0000-000064160000}"/>
    <cellStyle name="_TG-TH_1_PGIA-phieu tham tra Kho bac" xfId="1392" xr:uid="{00000000-0005-0000-0000-000065160000}"/>
    <cellStyle name="_TG-TH_1_PT02-02" xfId="1393" xr:uid="{00000000-0005-0000-0000-000066160000}"/>
    <cellStyle name="_TG-TH_1_PT02-02_Book1" xfId="1394" xr:uid="{00000000-0005-0000-0000-000067160000}"/>
    <cellStyle name="_TG-TH_1_PT02-03" xfId="1395" xr:uid="{00000000-0005-0000-0000-000068160000}"/>
    <cellStyle name="_TG-TH_1_PT02-03_Book1" xfId="1396" xr:uid="{00000000-0005-0000-0000-000069160000}"/>
    <cellStyle name="_TG-TH_1_Qt-HT3PQ1(CauKho)" xfId="1397" xr:uid="{00000000-0005-0000-0000-00006A160000}"/>
    <cellStyle name="_TG-TH_1_TH KE" xfId="1398" xr:uid="{00000000-0005-0000-0000-00006B160000}"/>
    <cellStyle name="_TG-TH_1_TH KE_Book1" xfId="1399" xr:uid="{00000000-0005-0000-0000-00006C160000}"/>
    <cellStyle name="_TG-TH_1_TH KE_Book1_911 -  FS_31032009" xfId="1400" xr:uid="{00000000-0005-0000-0000-00006D160000}"/>
    <cellStyle name="_TG-TH_1_TH KE_Book1_Direct labour" xfId="1401" xr:uid="{00000000-0005-0000-0000-00006E160000}"/>
    <cellStyle name="_TG-TH_1_TH KE_Book1_General pro" xfId="1402" xr:uid="{00000000-0005-0000-0000-00006F160000}"/>
    <cellStyle name="_TG-TH_1_THU CHI TIEN" xfId="1403" xr:uid="{00000000-0005-0000-0000-000070160000}"/>
    <cellStyle name="_TG-TH_1_THU CHI TIEN_911 -  FS_31032009" xfId="1404" xr:uid="{00000000-0005-0000-0000-000071160000}"/>
    <cellStyle name="_TG-TH_1_THU CHI TIEN_Direct labour" xfId="1405" xr:uid="{00000000-0005-0000-0000-000072160000}"/>
    <cellStyle name="_TG-TH_1_THU CHI TIEN_General pro" xfId="1406" xr:uid="{00000000-0005-0000-0000-000073160000}"/>
    <cellStyle name="_TG-TH_1_TKE" xfId="1407" xr:uid="{00000000-0005-0000-0000-000074160000}"/>
    <cellStyle name="_TG-TH_1_TKE_911 -  FS_31032009" xfId="1408" xr:uid="{00000000-0005-0000-0000-000075160000}"/>
    <cellStyle name="_TG-TH_1_TKE_Direct labour" xfId="1409" xr:uid="{00000000-0005-0000-0000-000076160000}"/>
    <cellStyle name="_TG-TH_1_TKE_General pro" xfId="1410" xr:uid="{00000000-0005-0000-0000-000077160000}"/>
    <cellStyle name="_TG-TH_2" xfId="1411" xr:uid="{00000000-0005-0000-0000-000078160000}"/>
    <cellStyle name="_TG-TH_2_BAO CAO KLCT PT2000" xfId="1412" xr:uid="{00000000-0005-0000-0000-000079160000}"/>
    <cellStyle name="_TG-TH_2_BAO CAO PT2000" xfId="1413" xr:uid="{00000000-0005-0000-0000-00007A160000}"/>
    <cellStyle name="_TG-TH_2_BAO CAO PT2000_Book1" xfId="1414" xr:uid="{00000000-0005-0000-0000-00007B160000}"/>
    <cellStyle name="_TG-TH_2_Bao cao XDCB 2001 - T11 KH dieu chinh 20-11-THAI" xfId="1415" xr:uid="{00000000-0005-0000-0000-00007C160000}"/>
    <cellStyle name="_TG-TH_2_Book1" xfId="1416" xr:uid="{00000000-0005-0000-0000-00007D160000}"/>
    <cellStyle name="_TG-TH_2_Book1_1" xfId="1417" xr:uid="{00000000-0005-0000-0000-00007E160000}"/>
    <cellStyle name="_TG-TH_2_Book1_2" xfId="1418" xr:uid="{00000000-0005-0000-0000-00007F160000}"/>
    <cellStyle name="_TG-TH_2_Book1_3" xfId="1419" xr:uid="{00000000-0005-0000-0000-000080160000}"/>
    <cellStyle name="_TG-TH_2_Book1_3_Book1" xfId="1420" xr:uid="{00000000-0005-0000-0000-000081160000}"/>
    <cellStyle name="_TG-TH_2_Book1_3_Book1_911 -  FS_31032009" xfId="1421" xr:uid="{00000000-0005-0000-0000-000082160000}"/>
    <cellStyle name="_TG-TH_2_Book1_3_Book1_Direct labour" xfId="1422" xr:uid="{00000000-0005-0000-0000-000083160000}"/>
    <cellStyle name="_TG-TH_2_Book1_3_Book1_General pro" xfId="1423" xr:uid="{00000000-0005-0000-0000-000084160000}"/>
    <cellStyle name="_TG-TH_2_Book1_Book1" xfId="1424" xr:uid="{00000000-0005-0000-0000-000085160000}"/>
    <cellStyle name="_TG-TH_2_Book1_TH KE" xfId="1425" xr:uid="{00000000-0005-0000-0000-000086160000}"/>
    <cellStyle name="_TG-TH_2_Book1_THU CHI TIEN" xfId="1426" xr:uid="{00000000-0005-0000-0000-000087160000}"/>
    <cellStyle name="_TG-TH_2_Book1_TKE" xfId="1427" xr:uid="{00000000-0005-0000-0000-000088160000}"/>
    <cellStyle name="_TG-TH_2_DTCDT MR.2N110.HOCMON.TDTOAN.CCUNG" xfId="1428" xr:uid="{00000000-0005-0000-0000-000089160000}"/>
    <cellStyle name="_TG-TH_2_Lora-tungchau" xfId="1429" xr:uid="{00000000-0005-0000-0000-00008A160000}"/>
    <cellStyle name="_TG-TH_2_PGIA-phieu tham tra Kho bac" xfId="1430" xr:uid="{00000000-0005-0000-0000-00008B160000}"/>
    <cellStyle name="_TG-TH_2_PT02-02" xfId="1431" xr:uid="{00000000-0005-0000-0000-00008C160000}"/>
    <cellStyle name="_TG-TH_2_PT02-02_Book1" xfId="1432" xr:uid="{00000000-0005-0000-0000-00008D160000}"/>
    <cellStyle name="_TG-TH_2_PT02-03" xfId="1433" xr:uid="{00000000-0005-0000-0000-00008E160000}"/>
    <cellStyle name="_TG-TH_2_PT02-03_Book1" xfId="1434" xr:uid="{00000000-0005-0000-0000-00008F160000}"/>
    <cellStyle name="_TG-TH_2_Qt-HT3PQ1(CauKho)" xfId="1435" xr:uid="{00000000-0005-0000-0000-000090160000}"/>
    <cellStyle name="_TG-TH_2_TH KE" xfId="1436" xr:uid="{00000000-0005-0000-0000-000091160000}"/>
    <cellStyle name="_TG-TH_2_TH KE_Book1" xfId="1437" xr:uid="{00000000-0005-0000-0000-000092160000}"/>
    <cellStyle name="_TG-TH_2_TH KE_Book1_911 -  FS_31032009" xfId="1438" xr:uid="{00000000-0005-0000-0000-000093160000}"/>
    <cellStyle name="_TG-TH_2_TH KE_Book1_Direct labour" xfId="1439" xr:uid="{00000000-0005-0000-0000-000094160000}"/>
    <cellStyle name="_TG-TH_2_TH KE_Book1_General pro" xfId="1440" xr:uid="{00000000-0005-0000-0000-000095160000}"/>
    <cellStyle name="_TG-TH_2_THU CHI TIEN" xfId="1441" xr:uid="{00000000-0005-0000-0000-000096160000}"/>
    <cellStyle name="_TG-TH_2_THU CHI TIEN_911 -  FS_31032009" xfId="1442" xr:uid="{00000000-0005-0000-0000-000097160000}"/>
    <cellStyle name="_TG-TH_2_THU CHI TIEN_Direct labour" xfId="1443" xr:uid="{00000000-0005-0000-0000-000098160000}"/>
    <cellStyle name="_TG-TH_2_THU CHI TIEN_General pro" xfId="1444" xr:uid="{00000000-0005-0000-0000-000099160000}"/>
    <cellStyle name="_TG-TH_2_TKE" xfId="1445" xr:uid="{00000000-0005-0000-0000-00009A160000}"/>
    <cellStyle name="_TG-TH_2_TKE_911 -  FS_31032009" xfId="1446" xr:uid="{00000000-0005-0000-0000-00009B160000}"/>
    <cellStyle name="_TG-TH_2_TKE_Direct labour" xfId="1447" xr:uid="{00000000-0005-0000-0000-00009C160000}"/>
    <cellStyle name="_TG-TH_2_TKE_General pro" xfId="1448" xr:uid="{00000000-0005-0000-0000-00009D160000}"/>
    <cellStyle name="_TG-TH_3" xfId="1449" xr:uid="{00000000-0005-0000-0000-00009E160000}"/>
    <cellStyle name="_TG-TH_3_Lora-tungchau" xfId="1450" xr:uid="{00000000-0005-0000-0000-00009F160000}"/>
    <cellStyle name="_TG-TH_3_Qt-HT3PQ1(CauKho)" xfId="1451" xr:uid="{00000000-0005-0000-0000-0000A0160000}"/>
    <cellStyle name="_TG-TH_4" xfId="1452" xr:uid="{00000000-0005-0000-0000-0000A1160000}"/>
    <cellStyle name="_TG-TH_4_911 -  FS_31032009" xfId="1453" xr:uid="{00000000-0005-0000-0000-0000A2160000}"/>
    <cellStyle name="_TG-TH_4_Direct labour" xfId="1454" xr:uid="{00000000-0005-0000-0000-0000A3160000}"/>
    <cellStyle name="_TG-TH_4_General pro" xfId="1455" xr:uid="{00000000-0005-0000-0000-0000A4160000}"/>
    <cellStyle name="_TG-TH_911 -  FS_31032009" xfId="1456" xr:uid="{00000000-0005-0000-0000-0000A5160000}"/>
    <cellStyle name="_TG-TH_Direct labour" xfId="1457" xr:uid="{00000000-0005-0000-0000-0000A6160000}"/>
    <cellStyle name="_TG-TH_General pro" xfId="1458" xr:uid="{00000000-0005-0000-0000-0000A7160000}"/>
    <cellStyle name="_tong hop phai thu" xfId="1459" xr:uid="{00000000-0005-0000-0000-0000A8160000}"/>
    <cellStyle name="_tong hop phai thu 2" xfId="3299" xr:uid="{00000000-0005-0000-0000-0000A9160000}"/>
    <cellStyle name="_Total AR" xfId="1460" xr:uid="{00000000-0005-0000-0000-0000AA160000}"/>
    <cellStyle name="_Total AR 2" xfId="3300" xr:uid="{00000000-0005-0000-0000-0000AB160000}"/>
    <cellStyle name="_Total OT Charge2008" xfId="1461" xr:uid="{00000000-0005-0000-0000-0000AC160000}"/>
    <cellStyle name="_Vian(8월) (2)" xfId="1462" xr:uid="{00000000-0005-0000-0000-0000AD160000}"/>
    <cellStyle name="_VSI(OK)" xfId="1463" xr:uid="{00000000-0005-0000-0000-0000AE160000}"/>
    <cellStyle name="_Waiting for Confirmation" xfId="1464" xr:uid="{00000000-0005-0000-0000-0000AF160000}"/>
    <cellStyle name="_Waiting for Confirmation_331 - AdvancefromCustomer_31012010" xfId="1465" xr:uid="{00000000-0005-0000-0000-0000B0160000}"/>
    <cellStyle name="_Waiting for Confirmation_511 - RevenueAccount_28022010" xfId="1466" xr:uid="{00000000-0005-0000-0000-0000B1160000}"/>
    <cellStyle name="_Waiting for Confirmation_511 - RevenueAccount_30042010" xfId="1467" xr:uid="{00000000-0005-0000-0000-0000B2160000}"/>
    <cellStyle name="_Waiting for Confirmation_511 - RevenueAccount_30062010" xfId="1468" xr:uid="{00000000-0005-0000-0000-0000B3160000}"/>
    <cellStyle name="_Waiting for Confirmation_511 - RevenueAccount_30092010" xfId="1469" xr:uid="{00000000-0005-0000-0000-0000B4160000}"/>
    <cellStyle name="_Waiting for Confirmation_511 - RevenueAccount_30112010" xfId="1470" xr:uid="{00000000-0005-0000-0000-0000B5160000}"/>
    <cellStyle name="_Waiting for Confirmation_511 - RevenueAccount_31012010" xfId="1471" xr:uid="{00000000-0005-0000-0000-0000B6160000}"/>
    <cellStyle name="_Waiting for Confirmation_511 - RevenueAccount_31012011" xfId="1472" xr:uid="{00000000-0005-0000-0000-0000B7160000}"/>
    <cellStyle name="_Waiting for Confirmation_511 - RevenueAccount_31032010" xfId="1473" xr:uid="{00000000-0005-0000-0000-0000B8160000}"/>
    <cellStyle name="_Waiting for Confirmation_511 - RevenueAccount_31032011" xfId="1474" xr:uid="{00000000-0005-0000-0000-0000B9160000}"/>
    <cellStyle name="_Waiting for Confirmation_511 - RevenueAccount_31052010" xfId="1475" xr:uid="{00000000-0005-0000-0000-0000BA160000}"/>
    <cellStyle name="_Waiting for Confirmation_511 - RevenueAccount_31072010" xfId="1476" xr:uid="{00000000-0005-0000-0000-0000BB160000}"/>
    <cellStyle name="_Waiting for Confirmation_511 - RevenueAccount_31082010" xfId="1477" xr:uid="{00000000-0005-0000-0000-0000BC160000}"/>
    <cellStyle name="_Waiting for Confirmation_511 - RevenueAccount_31122010" xfId="1478" xr:uid="{00000000-0005-0000-0000-0000BD160000}"/>
    <cellStyle name="_Waiting for Confirmation_Book1 (version 5)" xfId="1479" xr:uid="{00000000-0005-0000-0000-0000BE160000}"/>
    <cellStyle name="_Waiting for Confirmation_DEtial-02" xfId="1480" xr:uid="{00000000-0005-0000-0000-0000BF160000}"/>
    <cellStyle name="_Waiting for Confirmation_HANSOLL" xfId="1481" xr:uid="{00000000-0005-0000-0000-0000C0160000}"/>
    <cellStyle name="_Waiting for Confirmation_ReceiptList" xfId="1482" xr:uid="{00000000-0005-0000-0000-0000C1160000}"/>
    <cellStyle name="_Waiting for Confirmation_ReceiptList_1" xfId="1483" xr:uid="{00000000-0005-0000-0000-0000C2160000}"/>
    <cellStyle name="_Waiting for Confirmation_Sales Book 082008" xfId="1484" xr:uid="{00000000-0005-0000-0000-0000C3160000}"/>
    <cellStyle name="_Waiting for Confirmation_Sheet3" xfId="1485" xr:uid="{00000000-0005-0000-0000-0000C4160000}"/>
    <cellStyle name="_Waiting for Confirmation_TB" xfId="1486" xr:uid="{00000000-0005-0000-0000-0000C5160000}"/>
    <cellStyle name="_WAL MART.xls4" xfId="1487" xr:uid="{00000000-0005-0000-0000-0000C6160000}"/>
    <cellStyle name="_Walmart + Kolh's Damage_2011-11_14" xfId="1488" xr:uid="{00000000-0005-0000-0000-0000C7160000}"/>
    <cellStyle name="_Walmart Damage_2011-11_16" xfId="1489" xr:uid="{00000000-0005-0000-0000-0000C8160000}"/>
    <cellStyle name="_WIP" xfId="1490" xr:uid="{00000000-0005-0000-0000-0000C9160000}"/>
    <cellStyle name="_YTD Sep'09-HST (manufacture)" xfId="1491" xr:uid="{00000000-0005-0000-0000-0000CA160000}"/>
    <cellStyle name="’Ê‰Ý [0.00]_Region Orders (2)" xfId="1492" xr:uid="{00000000-0005-0000-0000-0000CB160000}"/>
    <cellStyle name="’Ê‰Ý_Region Orders (2)" xfId="1493" xr:uid="{00000000-0005-0000-0000-0000CC160000}"/>
    <cellStyle name="–¢’è‹`" xfId="1494" xr:uid="{00000000-0005-0000-0000-0000CD160000}"/>
    <cellStyle name="¶W³sµ²" xfId="1495" xr:uid="{00000000-0005-0000-0000-0000CE160000}"/>
    <cellStyle name="‡" xfId="1496" xr:uid="{00000000-0005-0000-0000-0000CF160000}"/>
    <cellStyle name="‡_511 - RevenueAccount_28022010" xfId="1497" xr:uid="{00000000-0005-0000-0000-0000D0160000}"/>
    <cellStyle name="‡_511 - RevenueAccount_30042010" xfId="1498" xr:uid="{00000000-0005-0000-0000-0000D1160000}"/>
    <cellStyle name="‡_511 - RevenueAccount_30092010" xfId="1499" xr:uid="{00000000-0005-0000-0000-0000D2160000}"/>
    <cellStyle name="‡_511 - RevenueAccount_31012010" xfId="1500" xr:uid="{00000000-0005-0000-0000-0000D3160000}"/>
    <cellStyle name="‡_511 - RevenueAccount_31032010" xfId="1501" xr:uid="{00000000-0005-0000-0000-0000D4160000}"/>
    <cellStyle name="‡_511 - RevenueAccount_31072010" xfId="1502" xr:uid="{00000000-0005-0000-0000-0000D5160000}"/>
    <cellStyle name="‡_Book1 (version 5)" xfId="1503" xr:uid="{00000000-0005-0000-0000-0000D6160000}"/>
    <cellStyle name="‡_DEtial-02" xfId="1504" xr:uid="{00000000-0005-0000-0000-0000D7160000}"/>
    <cellStyle name="‡_DEtial-02 2" xfId="2687" xr:uid="{00000000-0005-0000-0000-0000D8160000}"/>
    <cellStyle name="‡_DEtial-02 3" xfId="2566" xr:uid="{00000000-0005-0000-0000-0000D9160000}"/>
    <cellStyle name="‡_DEtial-02 4" xfId="2695" xr:uid="{00000000-0005-0000-0000-0000DA160000}"/>
    <cellStyle name="‡_DEtial-02 5" xfId="2561" xr:uid="{00000000-0005-0000-0000-0000DB160000}"/>
    <cellStyle name="‡_DEtial-02 6" xfId="2782" xr:uid="{00000000-0005-0000-0000-0000DC160000}"/>
    <cellStyle name="‡_DEtial-02 7" xfId="2596" xr:uid="{00000000-0005-0000-0000-0000DD160000}"/>
    <cellStyle name="‡_ReceiptList" xfId="1505" xr:uid="{00000000-0005-0000-0000-0000DE160000}"/>
    <cellStyle name="‡_ReceiptList 2" xfId="2688" xr:uid="{00000000-0005-0000-0000-0000DF160000}"/>
    <cellStyle name="‡_ReceiptList 3" xfId="2565" xr:uid="{00000000-0005-0000-0000-0000E0160000}"/>
    <cellStyle name="‡_ReceiptList 4" xfId="2696" xr:uid="{00000000-0005-0000-0000-0000E1160000}"/>
    <cellStyle name="‡_ReceiptList 5" xfId="2560" xr:uid="{00000000-0005-0000-0000-0000E2160000}"/>
    <cellStyle name="‡_ReceiptList 6" xfId="2783" xr:uid="{00000000-0005-0000-0000-0000E3160000}"/>
    <cellStyle name="‡_ReceiptList 7" xfId="2595" xr:uid="{00000000-0005-0000-0000-0000E4160000}"/>
    <cellStyle name="‡_Sales Book 082008" xfId="1506" xr:uid="{00000000-0005-0000-0000-0000E5160000}"/>
    <cellStyle name="‡_Sales Book 082008 2" xfId="2689" xr:uid="{00000000-0005-0000-0000-0000E6160000}"/>
    <cellStyle name="‡_Sales Book 082008 3" xfId="2564" xr:uid="{00000000-0005-0000-0000-0000E7160000}"/>
    <cellStyle name="‡_Sales Book 082008 4" xfId="2697" xr:uid="{00000000-0005-0000-0000-0000E8160000}"/>
    <cellStyle name="‡_Sales Book 082008 5" xfId="2559" xr:uid="{00000000-0005-0000-0000-0000E9160000}"/>
    <cellStyle name="‡_Sales Book 082008 6" xfId="2784" xr:uid="{00000000-0005-0000-0000-0000EA160000}"/>
    <cellStyle name="‡_Sales Book 082008 7" xfId="2593" xr:uid="{00000000-0005-0000-0000-0000EB160000}"/>
    <cellStyle name="‡_Sheet3" xfId="1507" xr:uid="{00000000-0005-0000-0000-0000EC160000}"/>
    <cellStyle name="‡_Sheet3 2" xfId="2690" xr:uid="{00000000-0005-0000-0000-0000ED160000}"/>
    <cellStyle name="‡_Sheet3 3" xfId="2563" xr:uid="{00000000-0005-0000-0000-0000EE160000}"/>
    <cellStyle name="‡_Sheet3 4" xfId="2698" xr:uid="{00000000-0005-0000-0000-0000EF160000}"/>
    <cellStyle name="‡_Sheet3 5" xfId="2558" xr:uid="{00000000-0005-0000-0000-0000F0160000}"/>
    <cellStyle name="‡_Sheet3 6" xfId="2785" xr:uid="{00000000-0005-0000-0000-0000F1160000}"/>
    <cellStyle name="‡_Sheet3 7" xfId="2592" xr:uid="{00000000-0005-0000-0000-0000F2160000}"/>
    <cellStyle name="‡_TB" xfId="1508" xr:uid="{00000000-0005-0000-0000-0000F3160000}"/>
    <cellStyle name="•\Ž¦Ï‚Ý‚ÌƒnƒCƒp[ƒŠƒ“ƒN" xfId="1509" xr:uid="{00000000-0005-0000-0000-0000F4160000}"/>
    <cellStyle name="•W?_Pacific Region P&amp;L" xfId="1510" xr:uid="{00000000-0005-0000-0000-0000F5160000}"/>
    <cellStyle name="•W€_B" xfId="1511" xr:uid="{00000000-0005-0000-0000-0000F6160000}"/>
    <cellStyle name="" xfId="1" xr:uid="{00000000-0005-0000-0000-0000F7160000}"/>
    <cellStyle name="_138 - OtherReceivableAccount_30112009" xfId="151" xr:uid="{00000000-0005-0000-0000-0000F8160000}"/>
    <cellStyle name="_138 - OtherReceivableAccount_30112009_138 - OtherReceivableAccount_28022010" xfId="152" xr:uid="{00000000-0005-0000-0000-0000F9160000}"/>
    <cellStyle name="_138 - OtherReceivableAccount_30112009_138 - OtherReceivableAccount_31012010" xfId="153" xr:uid="{00000000-0005-0000-0000-0000FA160000}"/>
    <cellStyle name="_138 - OtherReceivableAccount_30112009_138 - OtherReceivableAccount_31122009" xfId="154" xr:uid="{00000000-0005-0000-0000-0000FB160000}"/>
    <cellStyle name="_138 - OtherReceivableAccount_30112009_YTDHST " xfId="155" xr:uid="{00000000-0005-0000-0000-0000FC160000}"/>
    <cellStyle name="_138 - OtherReceivableAccount_31102009" xfId="156" xr:uid="{00000000-0005-0000-0000-0000FD160000}"/>
    <cellStyle name="_511 - RevenueAccount_28022010" xfId="179" xr:uid="{00000000-0005-0000-0000-0000FE160000}"/>
    <cellStyle name="_511 - RevenueAccount_30042010" xfId="183" xr:uid="{00000000-0005-0000-0000-0000FF160000}"/>
    <cellStyle name="_511 - RevenueAccount_30092010" xfId="185" xr:uid="{00000000-0005-0000-0000-000000170000}"/>
    <cellStyle name="_511 - RevenueAccount_31012010" xfId="188" xr:uid="{00000000-0005-0000-0000-000001170000}"/>
    <cellStyle name="_511 - RevenueAccount_31032010" xfId="189" xr:uid="{00000000-0005-0000-0000-000002170000}"/>
    <cellStyle name="_511 - RevenueAccount_31072010" xfId="191" xr:uid="{00000000-0005-0000-0000-000003170000}"/>
    <cellStyle name="_Book1 (version 5)" xfId="226" xr:uid="{00000000-0005-0000-0000-000004170000}"/>
    <cellStyle name="_BOULWARE" xfId="229" xr:uid="{00000000-0005-0000-0000-000005170000}"/>
    <cellStyle name="_DEtial-02" xfId="645" xr:uid="{00000000-0005-0000-0000-000006170000}"/>
    <cellStyle name="_DEtial-02 2" xfId="2502" xr:uid="{00000000-0005-0000-0000-000007170000}"/>
    <cellStyle name="_DEtial-02 3" xfId="2745" xr:uid="{00000000-0005-0000-0000-000008170000}"/>
    <cellStyle name="_DEtial-02 4" xfId="2478" xr:uid="{00000000-0005-0000-0000-000009170000}"/>
    <cellStyle name="_DEtial-02 5" xfId="2762" xr:uid="{00000000-0005-0000-0000-00000A170000}"/>
    <cellStyle name="_DEtial-02 6" xfId="2555" xr:uid="{00000000-0005-0000-0000-00000B170000}"/>
    <cellStyle name="_DEtial-02 7" xfId="2902" xr:uid="{00000000-0005-0000-0000-00000C170000}"/>
    <cellStyle name="_DEtial-02_IS-HQ" xfId="646" xr:uid="{00000000-0005-0000-0000-00000D170000}"/>
    <cellStyle name="_DEtial-02_IS-HQ 2" xfId="2503" xr:uid="{00000000-0005-0000-0000-00000E170000}"/>
    <cellStyle name="_DEtial-02_IS-HQ 3" xfId="2744" xr:uid="{00000000-0005-0000-0000-00000F170000}"/>
    <cellStyle name="_DEtial-02_IS-HQ 4" xfId="2479" xr:uid="{00000000-0005-0000-0000-000010170000}"/>
    <cellStyle name="_DEtial-02_IS-HQ 5" xfId="2761" xr:uid="{00000000-0005-0000-0000-000011170000}"/>
    <cellStyle name="_DEtial-02_IS-HQ 6" xfId="2556" xr:uid="{00000000-0005-0000-0000-000012170000}"/>
    <cellStyle name="_DEtial-02_IS-HQ 7" xfId="2901" xr:uid="{00000000-0005-0000-0000-000013170000}"/>
    <cellStyle name="_DEtial-02_PO-HQ" xfId="647" xr:uid="{00000000-0005-0000-0000-000014170000}"/>
    <cellStyle name="_DEtial-02_PO-HQ_1" xfId="648" xr:uid="{00000000-0005-0000-0000-000015170000}"/>
    <cellStyle name="_DEtial-02_PO-HQ_1 2" xfId="2504" xr:uid="{00000000-0005-0000-0000-000016170000}"/>
    <cellStyle name="_DEtial-02_PO-HQ_1 3" xfId="2743" xr:uid="{00000000-0005-0000-0000-000017170000}"/>
    <cellStyle name="_DEtial-02_PO-HQ_1 4" xfId="2480" xr:uid="{00000000-0005-0000-0000-000018170000}"/>
    <cellStyle name="_DEtial-02_PO-HQ_1 5" xfId="2760" xr:uid="{00000000-0005-0000-0000-000019170000}"/>
    <cellStyle name="_DEtial-02_PO-HQ_1 6" xfId="2557" xr:uid="{00000000-0005-0000-0000-00001A170000}"/>
    <cellStyle name="_DEtial-02_PO-HQ_1 7" xfId="2899" xr:uid="{00000000-0005-0000-0000-00001B170000}"/>
    <cellStyle name="_DEtial-02_TB" xfId="649" xr:uid="{00000000-0005-0000-0000-00001C170000}"/>
    <cellStyle name="_IS-HQ" xfId="758" xr:uid="{00000000-0005-0000-0000-00001D170000}"/>
    <cellStyle name="_IS-HQ_1" xfId="759" xr:uid="{00000000-0005-0000-0000-00001E170000}"/>
    <cellStyle name="_IS-HQ_1 2" xfId="2552" xr:uid="{00000000-0005-0000-0000-00001F170000}"/>
    <cellStyle name="_IS-HQ_1 3" xfId="2707" xr:uid="{00000000-0005-0000-0000-000020170000}"/>
    <cellStyle name="_IS-HQ_1 4" xfId="2540" xr:uid="{00000000-0005-0000-0000-000021170000}"/>
    <cellStyle name="_IS-HQ_1 5" xfId="2716" xr:uid="{00000000-0005-0000-0000-000022170000}"/>
    <cellStyle name="_IS-HQ_1 6" xfId="2581" xr:uid="{00000000-0005-0000-0000-000023170000}"/>
    <cellStyle name="_IS-HQ_1 7" xfId="2827" xr:uid="{00000000-0005-0000-0000-000024170000}"/>
    <cellStyle name="_IS-HQ_PO-HQ" xfId="760" xr:uid="{00000000-0005-0000-0000-000025170000}"/>
    <cellStyle name="_PO-HQ" xfId="1260" xr:uid="{00000000-0005-0000-0000-000026170000}"/>
    <cellStyle name="_PO-HQ_1" xfId="1261" xr:uid="{00000000-0005-0000-0000-000027170000}"/>
    <cellStyle name="_PO-HQ_1 2" xfId="2645" xr:uid="{00000000-0005-0000-0000-000028170000}"/>
    <cellStyle name="_PO-HQ_1 3" xfId="2624" xr:uid="{00000000-0005-0000-0000-000029170000}"/>
    <cellStyle name="_PO-HQ_1 4" xfId="2644" xr:uid="{00000000-0005-0000-0000-00002A170000}"/>
    <cellStyle name="_PO-HQ_1 5" xfId="2623" xr:uid="{00000000-0005-0000-0000-00002B170000}"/>
    <cellStyle name="_PO-HQ_1 6" xfId="2682" xr:uid="{00000000-0005-0000-0000-00002C170000}"/>
    <cellStyle name="_PO-HQ_1 7" xfId="2643" xr:uid="{00000000-0005-0000-0000-00002D170000}"/>
    <cellStyle name="_PO-HQ_PO-HQ" xfId="1262" xr:uid="{00000000-0005-0000-0000-00002E170000}"/>
    <cellStyle name="_ReceiptList" xfId="1313" xr:uid="{00000000-0005-0000-0000-00002F170000}"/>
    <cellStyle name="_ReceiptList 2" xfId="2660" xr:uid="{00000000-0005-0000-0000-000030170000}"/>
    <cellStyle name="_ReceiptList 3" xfId="2609" xr:uid="{00000000-0005-0000-0000-000031170000}"/>
    <cellStyle name="_ReceiptList 4" xfId="2663" xr:uid="{00000000-0005-0000-0000-000032170000}"/>
    <cellStyle name="_ReceiptList 5" xfId="2605" xr:uid="{00000000-0005-0000-0000-000033170000}"/>
    <cellStyle name="_ReceiptList 6" xfId="2699" xr:uid="{00000000-0005-0000-0000-000034170000}"/>
    <cellStyle name="_ReceiptList 7" xfId="2634" xr:uid="{00000000-0005-0000-0000-000035170000}"/>
    <cellStyle name="_Sales Book 082008" xfId="1335" xr:uid="{00000000-0005-0000-0000-000036170000}"/>
    <cellStyle name="_Sales Book 082008 10" xfId="3141" xr:uid="{00000000-0005-0000-0000-000037170000}"/>
    <cellStyle name="_Sales Book 082008 11" xfId="5119" xr:uid="{00000000-0005-0000-0000-000038170000}"/>
    <cellStyle name="_Sales Book 082008 12" xfId="4543" xr:uid="{00000000-0005-0000-0000-000039170000}"/>
    <cellStyle name="_Sales Book 082008 13" xfId="5437" xr:uid="{00000000-0005-0000-0000-00003A170000}"/>
    <cellStyle name="_Sales Book 082008 14" xfId="4143" xr:uid="{00000000-0005-0000-0000-00003B170000}"/>
    <cellStyle name="_Sales Book 082008 15" xfId="5830" xr:uid="{00000000-0005-0000-0000-00003C170000}"/>
    <cellStyle name="_Sales Book 082008 16" xfId="4576" xr:uid="{00000000-0005-0000-0000-00003D170000}"/>
    <cellStyle name="_Sales Book 082008 17" xfId="5129" xr:uid="{00000000-0005-0000-0000-00003E170000}"/>
    <cellStyle name="_Sales Book 082008 18" xfId="5048" xr:uid="{00000000-0005-0000-0000-00003F170000}"/>
    <cellStyle name="_Sales Book 082008 19" xfId="5501" xr:uid="{00000000-0005-0000-0000-000040170000}"/>
    <cellStyle name="_Sales Book 082008 2" xfId="2665" xr:uid="{00000000-0005-0000-0000-000041170000}"/>
    <cellStyle name="_Sales Book 082008 20" xfId="5951" xr:uid="{00000000-0005-0000-0000-000042170000}"/>
    <cellStyle name="_Sales Book 082008 21" xfId="4780" xr:uid="{00000000-0005-0000-0000-000043170000}"/>
    <cellStyle name="_Sales Book 082008 22" xfId="4602" xr:uid="{00000000-0005-0000-0000-000044170000}"/>
    <cellStyle name="_Sales Book 082008 23" xfId="5959" xr:uid="{00000000-0005-0000-0000-000045170000}"/>
    <cellStyle name="_Sales Book 082008 24" xfId="6048" xr:uid="{00000000-0005-0000-0000-000046170000}"/>
    <cellStyle name="_Sales Book 082008 25" xfId="4589" xr:uid="{00000000-0005-0000-0000-000047170000}"/>
    <cellStyle name="_Sales Book 082008 26" xfId="5851" xr:uid="{00000000-0005-0000-0000-000048170000}"/>
    <cellStyle name="_Sales Book 082008 27" xfId="5850" xr:uid="{00000000-0005-0000-0000-000049170000}"/>
    <cellStyle name="_Sales Book 082008 28" xfId="6428" xr:uid="{00000000-0005-0000-0000-00004A170000}"/>
    <cellStyle name="_Sales Book 082008 29" xfId="6433" xr:uid="{00000000-0005-0000-0000-00004B170000}"/>
    <cellStyle name="_Sales Book 082008 3" xfId="2603" xr:uid="{00000000-0005-0000-0000-00004C170000}"/>
    <cellStyle name="_Sales Book 082008 30" xfId="6532" xr:uid="{00000000-0005-0000-0000-00004D170000}"/>
    <cellStyle name="_Sales Book 082008 31" xfId="6912" xr:uid="{00000000-0005-0000-0000-00004E170000}"/>
    <cellStyle name="_Sales Book 082008 32" xfId="7925" xr:uid="{00000000-0005-0000-0000-00004F170000}"/>
    <cellStyle name="_Sales Book 082008 33" xfId="9396" xr:uid="{00000000-0005-0000-0000-000050170000}"/>
    <cellStyle name="_Sales Book 082008 34" xfId="9433" xr:uid="{00000000-0005-0000-0000-000051170000}"/>
    <cellStyle name="_Sales Book 082008 35" xfId="8527" xr:uid="{00000000-0005-0000-0000-000052170000}"/>
    <cellStyle name="_Sales Book 082008 36" xfId="7849" xr:uid="{00000000-0005-0000-0000-000053170000}"/>
    <cellStyle name="_Sales Book 082008 37" xfId="8142" xr:uid="{00000000-0005-0000-0000-000054170000}"/>
    <cellStyle name="_Sales Book 082008 38" xfId="9422" xr:uid="{00000000-0005-0000-0000-000055170000}"/>
    <cellStyle name="_Sales Book 082008 39" xfId="9594" xr:uid="{00000000-0005-0000-0000-000056170000}"/>
    <cellStyle name="_Sales Book 082008 4" xfId="2667" xr:uid="{00000000-0005-0000-0000-000057170000}"/>
    <cellStyle name="_Sales Book 082008 40" xfId="12053" xr:uid="{00000000-0005-0000-0000-000058170000}"/>
    <cellStyle name="_Sales Book 082008 41" xfId="12055" xr:uid="{00000000-0005-0000-0000-000059170000}"/>
    <cellStyle name="_Sales Book 082008 42" xfId="12057" xr:uid="{00000000-0005-0000-0000-00005A170000}"/>
    <cellStyle name="_Sales Book 082008 43" xfId="20808" xr:uid="{00000000-0005-0000-0000-00005B170000}"/>
    <cellStyle name="_Sales Book 082008 5" xfId="2601" xr:uid="{00000000-0005-0000-0000-00005C170000}"/>
    <cellStyle name="_Sales Book 082008 6" xfId="2702" xr:uid="{00000000-0005-0000-0000-00005D170000}"/>
    <cellStyle name="_Sales Book 082008 7" xfId="2632" xr:uid="{00000000-0005-0000-0000-00005E170000}"/>
    <cellStyle name="_Sales Book 082008 8" xfId="3267" xr:uid="{00000000-0005-0000-0000-00005F170000}"/>
    <cellStyle name="_Sales Book 082008 9" xfId="3271" xr:uid="{00000000-0005-0000-0000-000060170000}"/>
    <cellStyle name="_Sheet3" xfId="1361" xr:uid="{00000000-0005-0000-0000-000061170000}"/>
    <cellStyle name="_Sheet3 2" xfId="2672" xr:uid="{00000000-0005-0000-0000-000062170000}"/>
    <cellStyle name="_Sheet3 3" xfId="2594" xr:uid="{00000000-0005-0000-0000-000063170000}"/>
    <cellStyle name="_Sheet3 4" xfId="2679" xr:uid="{00000000-0005-0000-0000-000064170000}"/>
    <cellStyle name="_Sheet3 5" xfId="2585" xr:uid="{00000000-0005-0000-0000-000065170000}"/>
    <cellStyle name="_Sheet3 6" xfId="2710" xr:uid="{00000000-0005-0000-0000-000066170000}"/>
    <cellStyle name="_Sheet3 7" xfId="2627" xr:uid="{00000000-0005-0000-0000-000067170000}"/>
    <cellStyle name="_TB" xfId="1370" xr:uid="{00000000-0005-0000-0000-000068170000}"/>
    <cellStyle name="W_STDFOR" xfId="2141" xr:uid="{00000000-0005-0000-0000-000069170000}"/>
    <cellStyle name="0" xfId="1512" xr:uid="{00000000-0005-0000-0000-00006A170000}"/>
    <cellStyle name="0_ EUI SIK AHN" xfId="1513" xr:uid="{00000000-0005-0000-0000-00006B170000}"/>
    <cellStyle name="0_06. Total AccountReceivable_02'2009" xfId="1514" xr:uid="{00000000-0005-0000-0000-00006C170000}"/>
    <cellStyle name="0_511 - RevenueAccount_28022009" xfId="1515" xr:uid="{00000000-0005-0000-0000-00006D170000}"/>
    <cellStyle name="0_511 - RevenueAccount_28022010" xfId="1516" xr:uid="{00000000-0005-0000-0000-00006E170000}"/>
    <cellStyle name="0_511 - RevenueAccount_30042009" xfId="1517" xr:uid="{00000000-0005-0000-0000-00006F170000}"/>
    <cellStyle name="0_511 - RevenueAccount_30042010" xfId="1518" xr:uid="{00000000-0005-0000-0000-000070170000}"/>
    <cellStyle name="0_511 - RevenueAccount_30092010" xfId="1519" xr:uid="{00000000-0005-0000-0000-000071170000}"/>
    <cellStyle name="0_511 - RevenueAccount_30112009" xfId="1520" xr:uid="{00000000-0005-0000-0000-000072170000}"/>
    <cellStyle name="0_511 - RevenueAccount_31012009" xfId="1521" xr:uid="{00000000-0005-0000-0000-000073170000}"/>
    <cellStyle name="0_511 - RevenueAccount_31012010" xfId="1522" xr:uid="{00000000-0005-0000-0000-000074170000}"/>
    <cellStyle name="0_511 - RevenueAccount_31032010" xfId="1523" xr:uid="{00000000-0005-0000-0000-000075170000}"/>
    <cellStyle name="0_511 - RevenueAccount_31072009" xfId="1524" xr:uid="{00000000-0005-0000-0000-000076170000}"/>
    <cellStyle name="0_511 - RevenueAccount_31072010" xfId="1525" xr:uid="{00000000-0005-0000-0000-000077170000}"/>
    <cellStyle name="0_511 - RevenueAccount_31122009" xfId="1526" xr:uid="{00000000-0005-0000-0000-000078170000}"/>
    <cellStyle name="0_Acrrued" xfId="1527" xr:uid="{00000000-0005-0000-0000-000079170000}"/>
    <cellStyle name="0_Acrrued01" xfId="1528" xr:uid="{00000000-0005-0000-0000-00007A170000}"/>
    <cellStyle name="0_AR" xfId="1529" xr:uid="{00000000-0005-0000-0000-00007B170000}"/>
    <cellStyle name="0_AR_331 - AdvancefromCustomer_31012010" xfId="1530" xr:uid="{00000000-0005-0000-0000-00007C170000}"/>
    <cellStyle name="0_AR_511 - RevenueAccount_28022010" xfId="1531" xr:uid="{00000000-0005-0000-0000-00007D170000}"/>
    <cellStyle name="0_AR_511 - RevenueAccount_30042010" xfId="1532" xr:uid="{00000000-0005-0000-0000-00007E170000}"/>
    <cellStyle name="0_AR_511 - RevenueAccount_30062010" xfId="1533" xr:uid="{00000000-0005-0000-0000-00007F170000}"/>
    <cellStyle name="0_AR_511 - RevenueAccount_30092010" xfId="1534" xr:uid="{00000000-0005-0000-0000-000080170000}"/>
    <cellStyle name="0_AR_511 - RevenueAccount_30112010" xfId="1535" xr:uid="{00000000-0005-0000-0000-000081170000}"/>
    <cellStyle name="0_AR_511 - RevenueAccount_31012010" xfId="1536" xr:uid="{00000000-0005-0000-0000-000082170000}"/>
    <cellStyle name="0_AR_511 - RevenueAccount_31012011" xfId="1537" xr:uid="{00000000-0005-0000-0000-000083170000}"/>
    <cellStyle name="0_AR_511 - RevenueAccount_31032010" xfId="1538" xr:uid="{00000000-0005-0000-0000-000084170000}"/>
    <cellStyle name="0_AR_511 - RevenueAccount_31032011" xfId="1539" xr:uid="{00000000-0005-0000-0000-000085170000}"/>
    <cellStyle name="0_AR_511 - RevenueAccount_31052010" xfId="1540" xr:uid="{00000000-0005-0000-0000-000086170000}"/>
    <cellStyle name="0_AR_511 - RevenueAccount_31072010" xfId="1541" xr:uid="{00000000-0005-0000-0000-000087170000}"/>
    <cellStyle name="0_AR_511 - RevenueAccount_31082010" xfId="1542" xr:uid="{00000000-0005-0000-0000-000088170000}"/>
    <cellStyle name="0_AR_511 - RevenueAccount_31122010" xfId="1543" xr:uid="{00000000-0005-0000-0000-000089170000}"/>
    <cellStyle name="0_AR_Book1 (version 5)" xfId="1544" xr:uid="{00000000-0005-0000-0000-00008A170000}"/>
    <cellStyle name="0_AR_HANSOLL" xfId="1545" xr:uid="{00000000-0005-0000-0000-00008B170000}"/>
    <cellStyle name="0_AR_ReceiptList" xfId="1546" xr:uid="{00000000-0005-0000-0000-00008C170000}"/>
    <cellStyle name="0_AR_Sheet3" xfId="1547" xr:uid="{00000000-0005-0000-0000-00008D170000}"/>
    <cellStyle name="0_AR_Sheet3 2" xfId="2700" xr:uid="{00000000-0005-0000-0000-00008E170000}"/>
    <cellStyle name="0_AR_Sheet3 3" xfId="2553" xr:uid="{00000000-0005-0000-0000-00008F170000}"/>
    <cellStyle name="0_AR_Sheet3 4" xfId="2703" xr:uid="{00000000-0005-0000-0000-000090170000}"/>
    <cellStyle name="0_AR_Sheet3 5" xfId="2542" xr:uid="{00000000-0005-0000-0000-000091170000}"/>
    <cellStyle name="0_AR_Sheet3 6" xfId="2811" xr:uid="{00000000-0005-0000-0000-000092170000}"/>
    <cellStyle name="0_AR_Sheet3 7" xfId="2582" xr:uid="{00000000-0005-0000-0000-000093170000}"/>
    <cellStyle name="0_AR-HST" xfId="1548" xr:uid="{00000000-0005-0000-0000-000094170000}"/>
    <cellStyle name="0_ASIA" xfId="1549" xr:uid="{00000000-0005-0000-0000-000095170000}"/>
    <cellStyle name="0_Bank book" xfId="1550" xr:uid="{00000000-0005-0000-0000-000096170000}"/>
    <cellStyle name="0_Bank book_Acrrued" xfId="1551" xr:uid="{00000000-0005-0000-0000-000097170000}"/>
    <cellStyle name="0_Bank book_Acrrued01" xfId="1552" xr:uid="{00000000-0005-0000-0000-000098170000}"/>
    <cellStyle name="0_Bank book_Detail-02" xfId="1553" xr:uid="{00000000-0005-0000-0000-000099170000}"/>
    <cellStyle name="0_Bank book_DEtial-02" xfId="1554" xr:uid="{00000000-0005-0000-0000-00009A170000}"/>
    <cellStyle name="0_Bank book_Sheet1" xfId="1555" xr:uid="{00000000-0005-0000-0000-00009B170000}"/>
    <cellStyle name="0_Book1 (version 5)" xfId="1556" xr:uid="{00000000-0005-0000-0000-00009C170000}"/>
    <cellStyle name="0_Checking" xfId="1557" xr:uid="{00000000-0005-0000-0000-00009D170000}"/>
    <cellStyle name="0_chi phi" xfId="1558" xr:uid="{00000000-0005-0000-0000-00009E170000}"/>
    <cellStyle name="0_chi phi_Acrrued" xfId="1559" xr:uid="{00000000-0005-0000-0000-00009F170000}"/>
    <cellStyle name="0_chi phi_Acrrued01" xfId="1560" xr:uid="{00000000-0005-0000-0000-0000A0170000}"/>
    <cellStyle name="0_chi phi_Detail-02" xfId="1561" xr:uid="{00000000-0005-0000-0000-0000A1170000}"/>
    <cellStyle name="0_chi phi_Sheet1" xfId="1562" xr:uid="{00000000-0005-0000-0000-0000A2170000}"/>
    <cellStyle name="0_CONVERT MONEY" xfId="1563" xr:uid="{00000000-0005-0000-0000-0000A3170000}"/>
    <cellStyle name="0_CONVERT MONEY_Acrrued" xfId="1564" xr:uid="{00000000-0005-0000-0000-0000A4170000}"/>
    <cellStyle name="0_CONVERT MONEY_Acrrued01" xfId="1565" xr:uid="{00000000-0005-0000-0000-0000A5170000}"/>
    <cellStyle name="0_CONVERT MONEY_Detail-02" xfId="1566" xr:uid="{00000000-0005-0000-0000-0000A6170000}"/>
    <cellStyle name="0_CONVERT MONEY_Sheet1" xfId="1567" xr:uid="{00000000-0005-0000-0000-0000A7170000}"/>
    <cellStyle name="0_Cost of products (1551-2)" xfId="1568" xr:uid="{00000000-0005-0000-0000-0000A8170000}"/>
    <cellStyle name="0_Detail-02" xfId="1569" xr:uid="{00000000-0005-0000-0000-0000A9170000}"/>
    <cellStyle name="0_Detail-05" xfId="1570" xr:uid="{00000000-0005-0000-0000-0000AA170000}"/>
    <cellStyle name="0_DEtial-02" xfId="1571" xr:uid="{00000000-0005-0000-0000-0000AB170000}"/>
    <cellStyle name="0_DEtial-02 2" xfId="2705" xr:uid="{00000000-0005-0000-0000-0000AC170000}"/>
    <cellStyle name="0_DEtial-02 3" xfId="2543" xr:uid="{00000000-0005-0000-0000-0000AD170000}"/>
    <cellStyle name="0_DEtial-02 4" xfId="2714" xr:uid="{00000000-0005-0000-0000-0000AE170000}"/>
    <cellStyle name="0_DEtial-02 5" xfId="2531" xr:uid="{00000000-0005-0000-0000-0000AF170000}"/>
    <cellStyle name="0_DEtial-02 6" xfId="2820" xr:uid="{00000000-0005-0000-0000-0000B0170000}"/>
    <cellStyle name="0_DEtial-02 7" xfId="2580" xr:uid="{00000000-0005-0000-0000-0000B1170000}"/>
    <cellStyle name="0_Direct labour" xfId="1572" xr:uid="{00000000-0005-0000-0000-0000B2170000}"/>
    <cellStyle name="0_Doanh Thu Dung " xfId="1573" xr:uid="{00000000-0005-0000-0000-0000B3170000}"/>
    <cellStyle name="0_Doanh Thu Dung _Acrrued" xfId="1574" xr:uid="{00000000-0005-0000-0000-0000B4170000}"/>
    <cellStyle name="0_Doanh Thu Dung _Acrrued01" xfId="1575" xr:uid="{00000000-0005-0000-0000-0000B5170000}"/>
    <cellStyle name="0_Doanh Thu Dung _Detail-02" xfId="1576" xr:uid="{00000000-0005-0000-0000-0000B6170000}"/>
    <cellStyle name="0_Doanh Thu Dung _Sheet1" xfId="1577" xr:uid="{00000000-0005-0000-0000-0000B7170000}"/>
    <cellStyle name="0_FactorySupplies_2008" xfId="1578" xr:uid="{00000000-0005-0000-0000-0000B8170000}"/>
    <cellStyle name="0_FactorySupplies_2008_Acrrued" xfId="1579" xr:uid="{00000000-0005-0000-0000-0000B9170000}"/>
    <cellStyle name="0_FactorySupplies_2008_Acrrued01" xfId="1580" xr:uid="{00000000-0005-0000-0000-0000BA170000}"/>
    <cellStyle name="0_FactorySupplies_2008_Detail-02" xfId="1581" xr:uid="{00000000-0005-0000-0000-0000BB170000}"/>
    <cellStyle name="0_FactorySupplies_2008_Sheet1" xfId="1582" xr:uid="{00000000-0005-0000-0000-0000BC170000}"/>
    <cellStyle name="0_FGinput (Origin)" xfId="1583" xr:uid="{00000000-0005-0000-0000-0000BD170000}"/>
    <cellStyle name="0_GENERAL" xfId="1584" xr:uid="{00000000-0005-0000-0000-0000BE170000}"/>
    <cellStyle name="0_General pro" xfId="1585" xr:uid="{00000000-0005-0000-0000-0000BF170000}"/>
    <cellStyle name="0_HANDSOME" xfId="1586" xr:uid="{00000000-0005-0000-0000-0000C0170000}"/>
    <cellStyle name="0_HANSOLL" xfId="1587" xr:uid="{00000000-0005-0000-0000-0000C1170000}"/>
    <cellStyle name="0_HSV- Weekly expense plan (200810).xls" xfId="1588" xr:uid="{00000000-0005-0000-0000-0000C2170000}"/>
    <cellStyle name="0_HSV- Weekly expense plan (200810).xls 2" xfId="2712" xr:uid="{00000000-0005-0000-0000-0000C3170000}"/>
    <cellStyle name="0_HSV- Weekly expense plan (200810).xls 3" xfId="2538" xr:uid="{00000000-0005-0000-0000-0000C4170000}"/>
    <cellStyle name="0_HSV- Weekly expense plan (200810).xls 4" xfId="2718" xr:uid="{00000000-0005-0000-0000-0000C5170000}"/>
    <cellStyle name="0_HSV- Weekly expense plan (200810).xls 5" xfId="2520" xr:uid="{00000000-0005-0000-0000-0000C6170000}"/>
    <cellStyle name="0_HSV- Weekly expense plan (200810).xls 6" xfId="2836" xr:uid="{00000000-0005-0000-0000-0000C7170000}"/>
    <cellStyle name="0_HSV- Weekly expense plan (200810).xls 7" xfId="2578" xr:uid="{00000000-0005-0000-0000-0000C8170000}"/>
    <cellStyle name="0_HSV- Weekly expense plan (200810).xls_Cost of products (1551-2)" xfId="1589" xr:uid="{00000000-0005-0000-0000-0000C9170000}"/>
    <cellStyle name="0_HSV- Weekly expense plan (200810).xls_In-out-bal products" xfId="1590" xr:uid="{00000000-0005-0000-0000-0000CA170000}"/>
    <cellStyle name="0_HSV-DAILY FINANCE - 09.2008" xfId="1591" xr:uid="{00000000-0005-0000-0000-0000CB170000}"/>
    <cellStyle name="0_HSV-DAILY FINANCE - 09.2008_Acrrued" xfId="1592" xr:uid="{00000000-0005-0000-0000-0000CC170000}"/>
    <cellStyle name="0_HSV-DAILY FINANCE - 09.2008_Acrrued01" xfId="1593" xr:uid="{00000000-0005-0000-0000-0000CD170000}"/>
    <cellStyle name="0_HSV-DAILY FINANCE - 09.2008_Detail-02" xfId="1594" xr:uid="{00000000-0005-0000-0000-0000CE170000}"/>
    <cellStyle name="0_HSV-DAILY FINANCE - 09.2008_DEtial-02" xfId="1595" xr:uid="{00000000-0005-0000-0000-0000CF170000}"/>
    <cellStyle name="0_HSV-DAILY FINANCE - 09.2008_Sheet1" xfId="1596" xr:uid="{00000000-0005-0000-0000-0000D0170000}"/>
    <cellStyle name="0_In-out-bal products" xfId="1597" xr:uid="{00000000-0005-0000-0000-0000D1170000}"/>
    <cellStyle name="0_MINH PHUONG THANG 082008 (2)" xfId="1598" xr:uid="{00000000-0005-0000-0000-0000D2170000}"/>
    <cellStyle name="0_MINH PHUONG THANG 082008 (2) 2" xfId="2715" xr:uid="{00000000-0005-0000-0000-0000D3170000}"/>
    <cellStyle name="0_MINH PHUONG THANG 082008 (2) 3" xfId="2533" xr:uid="{00000000-0005-0000-0000-0000D4170000}"/>
    <cellStyle name="0_MINH PHUONG THANG 082008 (2) 4" xfId="2724" xr:uid="{00000000-0005-0000-0000-0000D5170000}"/>
    <cellStyle name="0_MINH PHUONG THANG 082008 (2) 5" xfId="2511" xr:uid="{00000000-0005-0000-0000-0000D6170000}"/>
    <cellStyle name="0_MINH PHUONG THANG 082008 (2) 6" xfId="2837" xr:uid="{00000000-0005-0000-0000-0000D7170000}"/>
    <cellStyle name="0_MINH PHUONG THANG 082008 (2) 7" xfId="2573" xr:uid="{00000000-0005-0000-0000-0000D8170000}"/>
    <cellStyle name="0_MINH PHUONG THANG 082008 (2)_Cost of products (1551-2)" xfId="1599" xr:uid="{00000000-0005-0000-0000-0000D9170000}"/>
    <cellStyle name="0_MINH PHUONG THANG 082008 (2)_In-out-bal products" xfId="1600" xr:uid="{00000000-0005-0000-0000-0000DA170000}"/>
    <cellStyle name="0_MINSUNGJIN" xfId="1601" xr:uid="{00000000-0005-0000-0000-0000DB170000}"/>
    <cellStyle name="0_Miscellaneous Salary 2009" xfId="1602" xr:uid="{00000000-0005-0000-0000-0000DC170000}"/>
    <cellStyle name="0_Miscellaneous Salary 2009_Acrrued" xfId="1603" xr:uid="{00000000-0005-0000-0000-0000DD170000}"/>
    <cellStyle name="0_Miscellaneous Salary 2009_Acrrued01" xfId="1604" xr:uid="{00000000-0005-0000-0000-0000DE170000}"/>
    <cellStyle name="0_Miscellaneous Salary 2009_Detail-02" xfId="1605" xr:uid="{00000000-0005-0000-0000-0000DF170000}"/>
    <cellStyle name="0_Miscellaneous Salary 2009_Sheet1" xfId="1606" xr:uid="{00000000-0005-0000-0000-0000E0170000}"/>
    <cellStyle name="0_ReceiptList" xfId="1607" xr:uid="{00000000-0005-0000-0000-0000E1170000}"/>
    <cellStyle name="0_ReceiptList_331 - AdvancefromCustomer_31012010" xfId="1608" xr:uid="{00000000-0005-0000-0000-0000E2170000}"/>
    <cellStyle name="0_ReceiptList_511 - RevenueAccount_28022010" xfId="1609" xr:uid="{00000000-0005-0000-0000-0000E3170000}"/>
    <cellStyle name="0_ReceiptList_511 - RevenueAccount_30042010" xfId="1610" xr:uid="{00000000-0005-0000-0000-0000E4170000}"/>
    <cellStyle name="0_ReceiptList_511 - RevenueAccount_30062010" xfId="1611" xr:uid="{00000000-0005-0000-0000-0000E5170000}"/>
    <cellStyle name="0_ReceiptList_511 - RevenueAccount_30092010" xfId="1612" xr:uid="{00000000-0005-0000-0000-0000E6170000}"/>
    <cellStyle name="0_ReceiptList_511 - RevenueAccount_30112010" xfId="1613" xr:uid="{00000000-0005-0000-0000-0000E7170000}"/>
    <cellStyle name="0_ReceiptList_511 - RevenueAccount_31012010" xfId="1614" xr:uid="{00000000-0005-0000-0000-0000E8170000}"/>
    <cellStyle name="0_ReceiptList_511 - RevenueAccount_31012011" xfId="1615" xr:uid="{00000000-0005-0000-0000-0000E9170000}"/>
    <cellStyle name="0_ReceiptList_511 - RevenueAccount_31032010" xfId="1616" xr:uid="{00000000-0005-0000-0000-0000EA170000}"/>
    <cellStyle name="0_ReceiptList_511 - RevenueAccount_31032011" xfId="1617" xr:uid="{00000000-0005-0000-0000-0000EB170000}"/>
    <cellStyle name="0_ReceiptList_511 - RevenueAccount_31052010" xfId="1618" xr:uid="{00000000-0005-0000-0000-0000EC170000}"/>
    <cellStyle name="0_ReceiptList_511 - RevenueAccount_31072010" xfId="1619" xr:uid="{00000000-0005-0000-0000-0000ED170000}"/>
    <cellStyle name="0_ReceiptList_511 - RevenueAccount_31082010" xfId="1620" xr:uid="{00000000-0005-0000-0000-0000EE170000}"/>
    <cellStyle name="0_ReceiptList_511 - RevenueAccount_31122010" xfId="1621" xr:uid="{00000000-0005-0000-0000-0000EF170000}"/>
    <cellStyle name="0_ReceiptList_Book1 (version 5)" xfId="1622" xr:uid="{00000000-0005-0000-0000-0000F0170000}"/>
    <cellStyle name="0_ReceiptList_HANSOLL" xfId="1623" xr:uid="{00000000-0005-0000-0000-0000F1170000}"/>
    <cellStyle name="0_ReceiptList_ReceiptList" xfId="1624" xr:uid="{00000000-0005-0000-0000-0000F2170000}"/>
    <cellStyle name="0_ReceiptList_Sheet3" xfId="1625" xr:uid="{00000000-0005-0000-0000-0000F3170000}"/>
    <cellStyle name="0_ReceiptList_Sheet3 2" xfId="2720" xr:uid="{00000000-0005-0000-0000-0000F4170000}"/>
    <cellStyle name="0_ReceiptList_Sheet3 3" xfId="2517" xr:uid="{00000000-0005-0000-0000-0000F5170000}"/>
    <cellStyle name="0_ReceiptList_Sheet3 4" xfId="2732" xr:uid="{00000000-0005-0000-0000-0000F6170000}"/>
    <cellStyle name="0_ReceiptList_Sheet3 5" xfId="2494" xr:uid="{00000000-0005-0000-0000-0000F7170000}"/>
    <cellStyle name="0_ReceiptList_Sheet3 6" xfId="2857" xr:uid="{00000000-0005-0000-0000-0000F8170000}"/>
    <cellStyle name="0_ReceiptList_Sheet3 7" xfId="2567" xr:uid="{00000000-0005-0000-0000-0000F9170000}"/>
    <cellStyle name="0_ReceivableDaeyou_2005-2008" xfId="1626" xr:uid="{00000000-0005-0000-0000-0000FA170000}"/>
    <cellStyle name="0_Salary summary in Mar.09" xfId="1627" xr:uid="{00000000-0005-0000-0000-0000FB170000}"/>
    <cellStyle name="0_Sales Book 082008" xfId="1628" xr:uid="{00000000-0005-0000-0000-0000FC170000}"/>
    <cellStyle name="0_Sales Book 2008" xfId="1629" xr:uid="{00000000-0005-0000-0000-0000FD170000}"/>
    <cellStyle name="0_Sales Book 2008-file 2 lam lai" xfId="1630" xr:uid="{00000000-0005-0000-0000-0000FE170000}"/>
    <cellStyle name="0_Sep.29.-Oct.04" xfId="1631" xr:uid="{00000000-0005-0000-0000-0000FF170000}"/>
    <cellStyle name="0_Sep.29.-Oct.04_Acrrued" xfId="1632" xr:uid="{00000000-0005-0000-0000-000000180000}"/>
    <cellStyle name="0_Sep.29.-Oct.04_Acrrued01" xfId="1633" xr:uid="{00000000-0005-0000-0000-000001180000}"/>
    <cellStyle name="0_Sep.29.-Oct.04_Detail-02" xfId="1634" xr:uid="{00000000-0005-0000-0000-000002180000}"/>
    <cellStyle name="0_Sep.29.-Oct.04_Sheet1" xfId="1635" xr:uid="{00000000-0005-0000-0000-000003180000}"/>
    <cellStyle name="0_Sheet1" xfId="1636" xr:uid="{00000000-0005-0000-0000-000004180000}"/>
    <cellStyle name="0_Sheet1_1" xfId="1637" xr:uid="{00000000-0005-0000-0000-000005180000}"/>
    <cellStyle name="0_Sheet1_Acrrued" xfId="1638" xr:uid="{00000000-0005-0000-0000-000006180000}"/>
    <cellStyle name="0_Sheet1_Acrrued01" xfId="1639" xr:uid="{00000000-0005-0000-0000-000007180000}"/>
    <cellStyle name="0_Sheet1_Detail-02" xfId="1640" xr:uid="{00000000-0005-0000-0000-000008180000}"/>
    <cellStyle name="0_Sheet1_Sheet1" xfId="1641" xr:uid="{00000000-0005-0000-0000-000009180000}"/>
    <cellStyle name="0_Sheet3" xfId="1642" xr:uid="{00000000-0005-0000-0000-00000A180000}"/>
    <cellStyle name="0_Sheet3 2" xfId="2727" xr:uid="{00000000-0005-0000-0000-00000B180000}"/>
    <cellStyle name="0_Sheet3 3" xfId="2508" xr:uid="{00000000-0005-0000-0000-00000C180000}"/>
    <cellStyle name="0_Sheet3 4" xfId="2738" xr:uid="{00000000-0005-0000-0000-00000D180000}"/>
    <cellStyle name="0_Sheet3 5" xfId="2484" xr:uid="{00000000-0005-0000-0000-00000E180000}"/>
    <cellStyle name="0_Sheet3 6" xfId="2872" xr:uid="{00000000-0005-0000-0000-00000F180000}"/>
    <cellStyle name="0_Sheet3 7" xfId="2562" xr:uid="{00000000-0005-0000-0000-000010180000}"/>
    <cellStyle name="0_Thu chi 09-2008" xfId="1643" xr:uid="{00000000-0005-0000-0000-000011180000}"/>
    <cellStyle name="0_Thu chi 09-2008_Acrrued" xfId="1644" xr:uid="{00000000-0005-0000-0000-000012180000}"/>
    <cellStyle name="0_Thu chi 09-2008_Acrrued01" xfId="1645" xr:uid="{00000000-0005-0000-0000-000013180000}"/>
    <cellStyle name="0_Thu chi 09-2008_Detail-02" xfId="1646" xr:uid="{00000000-0005-0000-0000-000014180000}"/>
    <cellStyle name="0_Thu chi 09-2008_DEtial-02" xfId="1647" xr:uid="{00000000-0005-0000-0000-000015180000}"/>
    <cellStyle name="0_Thu chi 09-2008_Sheet1" xfId="1648" xr:uid="{00000000-0005-0000-0000-000016180000}"/>
    <cellStyle name="0_Thu chi 10-2008" xfId="1649" xr:uid="{00000000-0005-0000-0000-000017180000}"/>
    <cellStyle name="0_Thu chi 10-2008_Acrrued" xfId="1650" xr:uid="{00000000-0005-0000-0000-000018180000}"/>
    <cellStyle name="0_Thu chi 10-2008_Acrrued01" xfId="1651" xr:uid="{00000000-0005-0000-0000-000019180000}"/>
    <cellStyle name="0_Thu chi 10-2008_Detail-02" xfId="1652" xr:uid="{00000000-0005-0000-0000-00001A180000}"/>
    <cellStyle name="0_Thu chi 10-2008_DEtial-02" xfId="1653" xr:uid="{00000000-0005-0000-0000-00001B180000}"/>
    <cellStyle name="0_Thu chi 10-2008_Sheet1" xfId="1654" xr:uid="{00000000-0005-0000-0000-00001C180000}"/>
    <cellStyle name="0_tong hop phai thu" xfId="1655" xr:uid="{00000000-0005-0000-0000-00001D180000}"/>
    <cellStyle name="0_Total AR" xfId="1656" xr:uid="{00000000-0005-0000-0000-00001E180000}"/>
    <cellStyle name="1" xfId="1657" xr:uid="{00000000-0005-0000-0000-00001F180000}"/>
    <cellStyle name="¹éºÐÀ²_±âÅ¸" xfId="1658" xr:uid="{00000000-0005-0000-0000-000020180000}"/>
    <cellStyle name="2" xfId="1659" xr:uid="{00000000-0005-0000-0000-000021180000}"/>
    <cellStyle name="20% - ???1" xfId="1660" xr:uid="{00000000-0005-0000-0000-000022180000}"/>
    <cellStyle name="20% - ???2" xfId="1661" xr:uid="{00000000-0005-0000-0000-000023180000}"/>
    <cellStyle name="20% - ???3" xfId="1662" xr:uid="{00000000-0005-0000-0000-000024180000}"/>
    <cellStyle name="20% - ???4" xfId="1663" xr:uid="{00000000-0005-0000-0000-000025180000}"/>
    <cellStyle name="20% - ???5" xfId="1664" xr:uid="{00000000-0005-0000-0000-000026180000}"/>
    <cellStyle name="20% - ???6" xfId="1665" xr:uid="{00000000-0005-0000-0000-000027180000}"/>
    <cellStyle name="20% - Accent1" xfId="1666" builtinId="30" customBuiltin="1"/>
    <cellStyle name="20% - Accent1 10" xfId="33856" xr:uid="{00000000-0005-0000-0000-000029180000}"/>
    <cellStyle name="20% - Accent1 11" xfId="33857" xr:uid="{00000000-0005-0000-0000-00002A180000}"/>
    <cellStyle name="20% - Accent1 12" xfId="33858" xr:uid="{00000000-0005-0000-0000-00002B180000}"/>
    <cellStyle name="20% - Accent1 13" xfId="33859" xr:uid="{00000000-0005-0000-0000-00002C180000}"/>
    <cellStyle name="20% - Accent1 14" xfId="33860" xr:uid="{00000000-0005-0000-0000-00002D180000}"/>
    <cellStyle name="20% - Accent1 15" xfId="33861" xr:uid="{00000000-0005-0000-0000-00002E180000}"/>
    <cellStyle name="20% - Accent1 2" xfId="3305" xr:uid="{00000000-0005-0000-0000-00002F180000}"/>
    <cellStyle name="20% - Accent1 3" xfId="4697" xr:uid="{00000000-0005-0000-0000-000030180000}"/>
    <cellStyle name="20% - Accent1 4" xfId="6915" xr:uid="{00000000-0005-0000-0000-000031180000}"/>
    <cellStyle name="20% - Accent1 5" xfId="33862" xr:uid="{00000000-0005-0000-0000-000032180000}"/>
    <cellStyle name="20% - Accent1 6" xfId="33863" xr:uid="{00000000-0005-0000-0000-000033180000}"/>
    <cellStyle name="20% - Accent1 7" xfId="33864" xr:uid="{00000000-0005-0000-0000-000034180000}"/>
    <cellStyle name="20% - Accent1 8" xfId="33865" xr:uid="{00000000-0005-0000-0000-000035180000}"/>
    <cellStyle name="20% - Accent1 9" xfId="33866" xr:uid="{00000000-0005-0000-0000-000036180000}"/>
    <cellStyle name="20% - Accent2" xfId="1667" builtinId="34" customBuiltin="1"/>
    <cellStyle name="20% - Accent2 10" xfId="33867" xr:uid="{00000000-0005-0000-0000-000038180000}"/>
    <cellStyle name="20% - Accent2 11" xfId="33868" xr:uid="{00000000-0005-0000-0000-000039180000}"/>
    <cellStyle name="20% - Accent2 12" xfId="33869" xr:uid="{00000000-0005-0000-0000-00003A180000}"/>
    <cellStyle name="20% - Accent2 13" xfId="33870" xr:uid="{00000000-0005-0000-0000-00003B180000}"/>
    <cellStyle name="20% - Accent2 14" xfId="33871" xr:uid="{00000000-0005-0000-0000-00003C180000}"/>
    <cellStyle name="20% - Accent2 15" xfId="33872" xr:uid="{00000000-0005-0000-0000-00003D180000}"/>
    <cellStyle name="20% - Accent2 2" xfId="3306" xr:uid="{00000000-0005-0000-0000-00003E180000}"/>
    <cellStyle name="20% - Accent2 3" xfId="4698" xr:uid="{00000000-0005-0000-0000-00003F180000}"/>
    <cellStyle name="20% - Accent2 4" xfId="6916" xr:uid="{00000000-0005-0000-0000-000040180000}"/>
    <cellStyle name="20% - Accent2 5" xfId="33873" xr:uid="{00000000-0005-0000-0000-000041180000}"/>
    <cellStyle name="20% - Accent2 6" xfId="33874" xr:uid="{00000000-0005-0000-0000-000042180000}"/>
    <cellStyle name="20% - Accent2 7" xfId="33875" xr:uid="{00000000-0005-0000-0000-000043180000}"/>
    <cellStyle name="20% - Accent2 8" xfId="33876" xr:uid="{00000000-0005-0000-0000-000044180000}"/>
    <cellStyle name="20% - Accent2 9" xfId="33877" xr:uid="{00000000-0005-0000-0000-000045180000}"/>
    <cellStyle name="20% - Accent3" xfId="1668" builtinId="38" customBuiltin="1"/>
    <cellStyle name="20% - Accent3 10" xfId="33878" xr:uid="{00000000-0005-0000-0000-000047180000}"/>
    <cellStyle name="20% - Accent3 11" xfId="33879" xr:uid="{00000000-0005-0000-0000-000048180000}"/>
    <cellStyle name="20% - Accent3 12" xfId="33880" xr:uid="{00000000-0005-0000-0000-000049180000}"/>
    <cellStyle name="20% - Accent3 13" xfId="33881" xr:uid="{00000000-0005-0000-0000-00004A180000}"/>
    <cellStyle name="20% - Accent3 14" xfId="33882" xr:uid="{00000000-0005-0000-0000-00004B180000}"/>
    <cellStyle name="20% - Accent3 15" xfId="33883" xr:uid="{00000000-0005-0000-0000-00004C180000}"/>
    <cellStyle name="20% - Accent3 2" xfId="3307" xr:uid="{00000000-0005-0000-0000-00004D180000}"/>
    <cellStyle name="20% - Accent3 3" xfId="4699" xr:uid="{00000000-0005-0000-0000-00004E180000}"/>
    <cellStyle name="20% - Accent3 4" xfId="6917" xr:uid="{00000000-0005-0000-0000-00004F180000}"/>
    <cellStyle name="20% - Accent3 5" xfId="33884" xr:uid="{00000000-0005-0000-0000-000050180000}"/>
    <cellStyle name="20% - Accent3 6" xfId="33885" xr:uid="{00000000-0005-0000-0000-000051180000}"/>
    <cellStyle name="20% - Accent3 7" xfId="33886" xr:uid="{00000000-0005-0000-0000-000052180000}"/>
    <cellStyle name="20% - Accent3 8" xfId="33887" xr:uid="{00000000-0005-0000-0000-000053180000}"/>
    <cellStyle name="20% - Accent3 9" xfId="33888" xr:uid="{00000000-0005-0000-0000-000054180000}"/>
    <cellStyle name="20% - Accent4" xfId="1669" builtinId="42" customBuiltin="1"/>
    <cellStyle name="20% - Accent4 10" xfId="33889" xr:uid="{00000000-0005-0000-0000-000056180000}"/>
    <cellStyle name="20% - Accent4 11" xfId="33890" xr:uid="{00000000-0005-0000-0000-000057180000}"/>
    <cellStyle name="20% - Accent4 12" xfId="33891" xr:uid="{00000000-0005-0000-0000-000058180000}"/>
    <cellStyle name="20% - Accent4 13" xfId="33892" xr:uid="{00000000-0005-0000-0000-000059180000}"/>
    <cellStyle name="20% - Accent4 14" xfId="33893" xr:uid="{00000000-0005-0000-0000-00005A180000}"/>
    <cellStyle name="20% - Accent4 15" xfId="33894" xr:uid="{00000000-0005-0000-0000-00005B180000}"/>
    <cellStyle name="20% - Accent4 2" xfId="3308" xr:uid="{00000000-0005-0000-0000-00005C180000}"/>
    <cellStyle name="20% - Accent4 3" xfId="4700" xr:uid="{00000000-0005-0000-0000-00005D180000}"/>
    <cellStyle name="20% - Accent4 4" xfId="6918" xr:uid="{00000000-0005-0000-0000-00005E180000}"/>
    <cellStyle name="20% - Accent4 5" xfId="33895" xr:uid="{00000000-0005-0000-0000-00005F180000}"/>
    <cellStyle name="20% - Accent4 6" xfId="33896" xr:uid="{00000000-0005-0000-0000-000060180000}"/>
    <cellStyle name="20% - Accent4 7" xfId="33897" xr:uid="{00000000-0005-0000-0000-000061180000}"/>
    <cellStyle name="20% - Accent4 8" xfId="33898" xr:uid="{00000000-0005-0000-0000-000062180000}"/>
    <cellStyle name="20% - Accent4 9" xfId="33899" xr:uid="{00000000-0005-0000-0000-000063180000}"/>
    <cellStyle name="20% - Accent5" xfId="1670" builtinId="46" customBuiltin="1"/>
    <cellStyle name="20% - Accent5 10" xfId="33900" xr:uid="{00000000-0005-0000-0000-000065180000}"/>
    <cellStyle name="20% - Accent5 11" xfId="33901" xr:uid="{00000000-0005-0000-0000-000066180000}"/>
    <cellStyle name="20% - Accent5 12" xfId="33902" xr:uid="{00000000-0005-0000-0000-000067180000}"/>
    <cellStyle name="20% - Accent5 13" xfId="33903" xr:uid="{00000000-0005-0000-0000-000068180000}"/>
    <cellStyle name="20% - Accent5 14" xfId="33904" xr:uid="{00000000-0005-0000-0000-000069180000}"/>
    <cellStyle name="20% - Accent5 15" xfId="33905" xr:uid="{00000000-0005-0000-0000-00006A180000}"/>
    <cellStyle name="20% - Accent5 2" xfId="3309" xr:uid="{00000000-0005-0000-0000-00006B180000}"/>
    <cellStyle name="20% - Accent5 3" xfId="4701" xr:uid="{00000000-0005-0000-0000-00006C180000}"/>
    <cellStyle name="20% - Accent5 4" xfId="6919" xr:uid="{00000000-0005-0000-0000-00006D180000}"/>
    <cellStyle name="20% - Accent5 5" xfId="33906" xr:uid="{00000000-0005-0000-0000-00006E180000}"/>
    <cellStyle name="20% - Accent5 6" xfId="33907" xr:uid="{00000000-0005-0000-0000-00006F180000}"/>
    <cellStyle name="20% - Accent5 7" xfId="33908" xr:uid="{00000000-0005-0000-0000-000070180000}"/>
    <cellStyle name="20% - Accent5 8" xfId="33909" xr:uid="{00000000-0005-0000-0000-000071180000}"/>
    <cellStyle name="20% - Accent5 9" xfId="33910" xr:uid="{00000000-0005-0000-0000-000072180000}"/>
    <cellStyle name="20% - Accent6" xfId="1671" builtinId="50" customBuiltin="1"/>
    <cellStyle name="20% - Accent6 10" xfId="33911" xr:uid="{00000000-0005-0000-0000-000074180000}"/>
    <cellStyle name="20% - Accent6 11" xfId="33912" xr:uid="{00000000-0005-0000-0000-000075180000}"/>
    <cellStyle name="20% - Accent6 12" xfId="33913" xr:uid="{00000000-0005-0000-0000-000076180000}"/>
    <cellStyle name="20% - Accent6 13" xfId="33914" xr:uid="{00000000-0005-0000-0000-000077180000}"/>
    <cellStyle name="20% - Accent6 14" xfId="33915" xr:uid="{00000000-0005-0000-0000-000078180000}"/>
    <cellStyle name="20% - Accent6 15" xfId="33916" xr:uid="{00000000-0005-0000-0000-000079180000}"/>
    <cellStyle name="20% - Accent6 2" xfId="3310" xr:uid="{00000000-0005-0000-0000-00007A180000}"/>
    <cellStyle name="20% - Accent6 3" xfId="4702" xr:uid="{00000000-0005-0000-0000-00007B180000}"/>
    <cellStyle name="20% - Accent6 3 2" xfId="33917" xr:uid="{00000000-0005-0000-0000-00007C180000}"/>
    <cellStyle name="20% - Accent6 4" xfId="6920" xr:uid="{00000000-0005-0000-0000-00007D180000}"/>
    <cellStyle name="20% - Accent6 5" xfId="33918" xr:uid="{00000000-0005-0000-0000-00007E180000}"/>
    <cellStyle name="20% - Accent6 6" xfId="33919" xr:uid="{00000000-0005-0000-0000-00007F180000}"/>
    <cellStyle name="20% - Accent6 7" xfId="33920" xr:uid="{00000000-0005-0000-0000-000080180000}"/>
    <cellStyle name="20% - Accent6 8" xfId="33921" xr:uid="{00000000-0005-0000-0000-000081180000}"/>
    <cellStyle name="20% - Accent6 9" xfId="33922" xr:uid="{00000000-0005-0000-0000-000082180000}"/>
    <cellStyle name="20% - 强调文字颜色 1" xfId="1672" xr:uid="{00000000-0005-0000-0000-000083180000}"/>
    <cellStyle name="20% - 强调文字颜色 2" xfId="1673" xr:uid="{00000000-0005-0000-0000-000084180000}"/>
    <cellStyle name="20% - 强调文字颜色 3" xfId="1674" xr:uid="{00000000-0005-0000-0000-000085180000}"/>
    <cellStyle name="20% - 强调文字颜色 4" xfId="1675" xr:uid="{00000000-0005-0000-0000-000086180000}"/>
    <cellStyle name="20% - 强调文字颜色 5" xfId="1676" xr:uid="{00000000-0005-0000-0000-000087180000}"/>
    <cellStyle name="20% - 强调文字颜色 6" xfId="1677" xr:uid="{00000000-0005-0000-0000-000088180000}"/>
    <cellStyle name="3" xfId="1678" xr:uid="{00000000-0005-0000-0000-000089180000}"/>
    <cellStyle name="³f¹ô [0]_FT0925" xfId="1679" xr:uid="{00000000-0005-0000-0000-00008A180000}"/>
    <cellStyle name="³f¹ô_FT0925" xfId="1680" xr:uid="{00000000-0005-0000-0000-00008B180000}"/>
    <cellStyle name="4" xfId="1681" xr:uid="{00000000-0005-0000-0000-00008C180000}"/>
    <cellStyle name="40% - ???1" xfId="1682" xr:uid="{00000000-0005-0000-0000-00008D180000}"/>
    <cellStyle name="40% - ???2" xfId="1683" xr:uid="{00000000-0005-0000-0000-00008E180000}"/>
    <cellStyle name="40% - ???3" xfId="1684" xr:uid="{00000000-0005-0000-0000-00008F180000}"/>
    <cellStyle name="40% - ???4" xfId="1685" xr:uid="{00000000-0005-0000-0000-000090180000}"/>
    <cellStyle name="40% - ???5" xfId="1686" xr:uid="{00000000-0005-0000-0000-000091180000}"/>
    <cellStyle name="40% - ???6" xfId="1687" xr:uid="{00000000-0005-0000-0000-000092180000}"/>
    <cellStyle name="40% - Accent1" xfId="1688" builtinId="31" customBuiltin="1"/>
    <cellStyle name="40% - Accent1 10" xfId="33923" xr:uid="{00000000-0005-0000-0000-000094180000}"/>
    <cellStyle name="40% - Accent1 11" xfId="33924" xr:uid="{00000000-0005-0000-0000-000095180000}"/>
    <cellStyle name="40% - Accent1 12" xfId="33925" xr:uid="{00000000-0005-0000-0000-000096180000}"/>
    <cellStyle name="40% - Accent1 13" xfId="33926" xr:uid="{00000000-0005-0000-0000-000097180000}"/>
    <cellStyle name="40% - Accent1 14" xfId="33927" xr:uid="{00000000-0005-0000-0000-000098180000}"/>
    <cellStyle name="40% - Accent1 15" xfId="33928" xr:uid="{00000000-0005-0000-0000-000099180000}"/>
    <cellStyle name="40% - Accent1 2" xfId="3315" xr:uid="{00000000-0005-0000-0000-00009A180000}"/>
    <cellStyle name="40% - Accent1 3" xfId="4718" xr:uid="{00000000-0005-0000-0000-00009B180000}"/>
    <cellStyle name="40% - Accent1 4" xfId="6921" xr:uid="{00000000-0005-0000-0000-00009C180000}"/>
    <cellStyle name="40% - Accent1 5" xfId="33929" xr:uid="{00000000-0005-0000-0000-00009D180000}"/>
    <cellStyle name="40% - Accent1 6" xfId="33930" xr:uid="{00000000-0005-0000-0000-00009E180000}"/>
    <cellStyle name="40% - Accent1 7" xfId="33931" xr:uid="{00000000-0005-0000-0000-00009F180000}"/>
    <cellStyle name="40% - Accent1 8" xfId="33932" xr:uid="{00000000-0005-0000-0000-0000A0180000}"/>
    <cellStyle name="40% - Accent1 9" xfId="33933" xr:uid="{00000000-0005-0000-0000-0000A1180000}"/>
    <cellStyle name="40% - Accent2" xfId="1689" builtinId="35" customBuiltin="1"/>
    <cellStyle name="40% - Accent2 10" xfId="33934" xr:uid="{00000000-0005-0000-0000-0000A3180000}"/>
    <cellStyle name="40% - Accent2 11" xfId="33935" xr:uid="{00000000-0005-0000-0000-0000A4180000}"/>
    <cellStyle name="40% - Accent2 12" xfId="33936" xr:uid="{00000000-0005-0000-0000-0000A5180000}"/>
    <cellStyle name="40% - Accent2 13" xfId="33937" xr:uid="{00000000-0005-0000-0000-0000A6180000}"/>
    <cellStyle name="40% - Accent2 14" xfId="33938" xr:uid="{00000000-0005-0000-0000-0000A7180000}"/>
    <cellStyle name="40% - Accent2 15" xfId="33939" xr:uid="{00000000-0005-0000-0000-0000A8180000}"/>
    <cellStyle name="40% - Accent2 2" xfId="3316" xr:uid="{00000000-0005-0000-0000-0000A9180000}"/>
    <cellStyle name="40% - Accent2 3" xfId="4719" xr:uid="{00000000-0005-0000-0000-0000AA180000}"/>
    <cellStyle name="40% - Accent2 4" xfId="6922" xr:uid="{00000000-0005-0000-0000-0000AB180000}"/>
    <cellStyle name="40% - Accent2 5" xfId="33940" xr:uid="{00000000-0005-0000-0000-0000AC180000}"/>
    <cellStyle name="40% - Accent2 6" xfId="33941" xr:uid="{00000000-0005-0000-0000-0000AD180000}"/>
    <cellStyle name="40% - Accent2 7" xfId="33942" xr:uid="{00000000-0005-0000-0000-0000AE180000}"/>
    <cellStyle name="40% - Accent2 8" xfId="33943" xr:uid="{00000000-0005-0000-0000-0000AF180000}"/>
    <cellStyle name="40% - Accent2 9" xfId="33944" xr:uid="{00000000-0005-0000-0000-0000B0180000}"/>
    <cellStyle name="40% - Accent3" xfId="1690" builtinId="39" customBuiltin="1"/>
    <cellStyle name="40% - Accent3 10" xfId="33945" xr:uid="{00000000-0005-0000-0000-0000B2180000}"/>
    <cellStyle name="40% - Accent3 11" xfId="33946" xr:uid="{00000000-0005-0000-0000-0000B3180000}"/>
    <cellStyle name="40% - Accent3 12" xfId="33947" xr:uid="{00000000-0005-0000-0000-0000B4180000}"/>
    <cellStyle name="40% - Accent3 13" xfId="33948" xr:uid="{00000000-0005-0000-0000-0000B5180000}"/>
    <cellStyle name="40% - Accent3 14" xfId="33949" xr:uid="{00000000-0005-0000-0000-0000B6180000}"/>
    <cellStyle name="40% - Accent3 15" xfId="33950" xr:uid="{00000000-0005-0000-0000-0000B7180000}"/>
    <cellStyle name="40% - Accent3 2" xfId="3317" xr:uid="{00000000-0005-0000-0000-0000B8180000}"/>
    <cellStyle name="40% - Accent3 3" xfId="4720" xr:uid="{00000000-0005-0000-0000-0000B9180000}"/>
    <cellStyle name="40% - Accent3 4" xfId="6923" xr:uid="{00000000-0005-0000-0000-0000BA180000}"/>
    <cellStyle name="40% - Accent3 5" xfId="33951" xr:uid="{00000000-0005-0000-0000-0000BB180000}"/>
    <cellStyle name="40% - Accent3 6" xfId="33952" xr:uid="{00000000-0005-0000-0000-0000BC180000}"/>
    <cellStyle name="40% - Accent3 7" xfId="33953" xr:uid="{00000000-0005-0000-0000-0000BD180000}"/>
    <cellStyle name="40% - Accent3 8" xfId="33954" xr:uid="{00000000-0005-0000-0000-0000BE180000}"/>
    <cellStyle name="40% - Accent3 9" xfId="33955" xr:uid="{00000000-0005-0000-0000-0000BF180000}"/>
    <cellStyle name="40% - Accent4" xfId="1691" builtinId="43" customBuiltin="1"/>
    <cellStyle name="40% - Accent4 10" xfId="33956" xr:uid="{00000000-0005-0000-0000-0000C1180000}"/>
    <cellStyle name="40% - Accent4 11" xfId="33957" xr:uid="{00000000-0005-0000-0000-0000C2180000}"/>
    <cellStyle name="40% - Accent4 12" xfId="33958" xr:uid="{00000000-0005-0000-0000-0000C3180000}"/>
    <cellStyle name="40% - Accent4 13" xfId="33959" xr:uid="{00000000-0005-0000-0000-0000C4180000}"/>
    <cellStyle name="40% - Accent4 14" xfId="33960" xr:uid="{00000000-0005-0000-0000-0000C5180000}"/>
    <cellStyle name="40% - Accent4 15" xfId="33961" xr:uid="{00000000-0005-0000-0000-0000C6180000}"/>
    <cellStyle name="40% - Accent4 2" xfId="3318" xr:uid="{00000000-0005-0000-0000-0000C7180000}"/>
    <cellStyle name="40% - Accent4 3" xfId="4721" xr:uid="{00000000-0005-0000-0000-0000C8180000}"/>
    <cellStyle name="40% - Accent4 4" xfId="6924" xr:uid="{00000000-0005-0000-0000-0000C9180000}"/>
    <cellStyle name="40% - Accent4 5" xfId="33962" xr:uid="{00000000-0005-0000-0000-0000CA180000}"/>
    <cellStyle name="40% - Accent4 6" xfId="33963" xr:uid="{00000000-0005-0000-0000-0000CB180000}"/>
    <cellStyle name="40% - Accent4 7" xfId="33964" xr:uid="{00000000-0005-0000-0000-0000CC180000}"/>
    <cellStyle name="40% - Accent4 8" xfId="33965" xr:uid="{00000000-0005-0000-0000-0000CD180000}"/>
    <cellStyle name="40% - Accent4 9" xfId="33966" xr:uid="{00000000-0005-0000-0000-0000CE180000}"/>
    <cellStyle name="40% - Accent5" xfId="1692" builtinId="47" customBuiltin="1"/>
    <cellStyle name="40% - Accent5 10" xfId="33967" xr:uid="{00000000-0005-0000-0000-0000D0180000}"/>
    <cellStyle name="40% - Accent5 11" xfId="33968" xr:uid="{00000000-0005-0000-0000-0000D1180000}"/>
    <cellStyle name="40% - Accent5 12" xfId="33969" xr:uid="{00000000-0005-0000-0000-0000D2180000}"/>
    <cellStyle name="40% - Accent5 13" xfId="33970" xr:uid="{00000000-0005-0000-0000-0000D3180000}"/>
    <cellStyle name="40% - Accent5 14" xfId="33971" xr:uid="{00000000-0005-0000-0000-0000D4180000}"/>
    <cellStyle name="40% - Accent5 15" xfId="33972" xr:uid="{00000000-0005-0000-0000-0000D5180000}"/>
    <cellStyle name="40% - Accent5 2" xfId="3319" xr:uid="{00000000-0005-0000-0000-0000D6180000}"/>
    <cellStyle name="40% - Accent5 3" xfId="4722" xr:uid="{00000000-0005-0000-0000-0000D7180000}"/>
    <cellStyle name="40% - Accent5 4" xfId="6925" xr:uid="{00000000-0005-0000-0000-0000D8180000}"/>
    <cellStyle name="40% - Accent5 5" xfId="33973" xr:uid="{00000000-0005-0000-0000-0000D9180000}"/>
    <cellStyle name="40% - Accent5 6" xfId="33974" xr:uid="{00000000-0005-0000-0000-0000DA180000}"/>
    <cellStyle name="40% - Accent5 7" xfId="33975" xr:uid="{00000000-0005-0000-0000-0000DB180000}"/>
    <cellStyle name="40% - Accent5 8" xfId="33976" xr:uid="{00000000-0005-0000-0000-0000DC180000}"/>
    <cellStyle name="40% - Accent5 9" xfId="33977" xr:uid="{00000000-0005-0000-0000-0000DD180000}"/>
    <cellStyle name="40% - Accent6" xfId="1693" builtinId="51" customBuiltin="1"/>
    <cellStyle name="40% - Accent6 10" xfId="33978" xr:uid="{00000000-0005-0000-0000-0000DF180000}"/>
    <cellStyle name="40% - Accent6 11" xfId="33979" xr:uid="{00000000-0005-0000-0000-0000E0180000}"/>
    <cellStyle name="40% - Accent6 12" xfId="33980" xr:uid="{00000000-0005-0000-0000-0000E1180000}"/>
    <cellStyle name="40% - Accent6 13" xfId="33981" xr:uid="{00000000-0005-0000-0000-0000E2180000}"/>
    <cellStyle name="40% - Accent6 14" xfId="33982" xr:uid="{00000000-0005-0000-0000-0000E3180000}"/>
    <cellStyle name="40% - Accent6 15" xfId="33983" xr:uid="{00000000-0005-0000-0000-0000E4180000}"/>
    <cellStyle name="40% - Accent6 2" xfId="3320" xr:uid="{00000000-0005-0000-0000-0000E5180000}"/>
    <cellStyle name="40% - Accent6 3" xfId="4723" xr:uid="{00000000-0005-0000-0000-0000E6180000}"/>
    <cellStyle name="40% - Accent6 4" xfId="6926" xr:uid="{00000000-0005-0000-0000-0000E7180000}"/>
    <cellStyle name="40% - Accent6 5" xfId="33984" xr:uid="{00000000-0005-0000-0000-0000E8180000}"/>
    <cellStyle name="40% - Accent6 6" xfId="33985" xr:uid="{00000000-0005-0000-0000-0000E9180000}"/>
    <cellStyle name="40% - Accent6 7" xfId="33986" xr:uid="{00000000-0005-0000-0000-0000EA180000}"/>
    <cellStyle name="40% - Accent6 8" xfId="33987" xr:uid="{00000000-0005-0000-0000-0000EB180000}"/>
    <cellStyle name="40% - Accent6 9" xfId="33988" xr:uid="{00000000-0005-0000-0000-0000EC180000}"/>
    <cellStyle name="40% - 强调文字颜色 1" xfId="1694" xr:uid="{00000000-0005-0000-0000-0000ED180000}"/>
    <cellStyle name="40% - 强调文字颜色 2" xfId="1695" xr:uid="{00000000-0005-0000-0000-0000EE180000}"/>
    <cellStyle name="40% - 强调文字颜色 3" xfId="1696" xr:uid="{00000000-0005-0000-0000-0000EF180000}"/>
    <cellStyle name="40% - 强调文字颜色 4" xfId="1697" xr:uid="{00000000-0005-0000-0000-0000F0180000}"/>
    <cellStyle name="40% - 强调文字颜色 5" xfId="1698" xr:uid="{00000000-0005-0000-0000-0000F1180000}"/>
    <cellStyle name="40% - 强调文字颜色 6" xfId="1699" xr:uid="{00000000-0005-0000-0000-0000F2180000}"/>
    <cellStyle name="60% - ???1" xfId="1700" xr:uid="{00000000-0005-0000-0000-0000F3180000}"/>
    <cellStyle name="60% - ???2" xfId="1701" xr:uid="{00000000-0005-0000-0000-0000F4180000}"/>
    <cellStyle name="60% - ???3" xfId="1702" xr:uid="{00000000-0005-0000-0000-0000F5180000}"/>
    <cellStyle name="60% - ???4" xfId="1703" xr:uid="{00000000-0005-0000-0000-0000F6180000}"/>
    <cellStyle name="60% - ???5" xfId="1704" xr:uid="{00000000-0005-0000-0000-0000F7180000}"/>
    <cellStyle name="60% - ???6" xfId="1705" xr:uid="{00000000-0005-0000-0000-0000F8180000}"/>
    <cellStyle name="60% - Accent1" xfId="1706" builtinId="32" customBuiltin="1"/>
    <cellStyle name="60% - Accent1 10" xfId="33989" xr:uid="{00000000-0005-0000-0000-0000FA180000}"/>
    <cellStyle name="60% - Accent1 11" xfId="33990" xr:uid="{00000000-0005-0000-0000-0000FB180000}"/>
    <cellStyle name="60% - Accent1 12" xfId="33991" xr:uid="{00000000-0005-0000-0000-0000FC180000}"/>
    <cellStyle name="60% - Accent1 13" xfId="33992" xr:uid="{00000000-0005-0000-0000-0000FD180000}"/>
    <cellStyle name="60% - Accent1 14" xfId="33993" xr:uid="{00000000-0005-0000-0000-0000FE180000}"/>
    <cellStyle name="60% - Accent1 15" xfId="33994" xr:uid="{00000000-0005-0000-0000-0000FF180000}"/>
    <cellStyle name="60% - Accent1 2" xfId="3331" xr:uid="{00000000-0005-0000-0000-000000190000}"/>
    <cellStyle name="60% - Accent1 3" xfId="4740" xr:uid="{00000000-0005-0000-0000-000001190000}"/>
    <cellStyle name="60% - Accent1 4" xfId="6927" xr:uid="{00000000-0005-0000-0000-000002190000}"/>
    <cellStyle name="60% - Accent1 5" xfId="33995" xr:uid="{00000000-0005-0000-0000-000003190000}"/>
    <cellStyle name="60% - Accent1 6" xfId="33996" xr:uid="{00000000-0005-0000-0000-000004190000}"/>
    <cellStyle name="60% - Accent1 7" xfId="33997" xr:uid="{00000000-0005-0000-0000-000005190000}"/>
    <cellStyle name="60% - Accent1 8" xfId="33998" xr:uid="{00000000-0005-0000-0000-000006190000}"/>
    <cellStyle name="60% - Accent1 9" xfId="33999" xr:uid="{00000000-0005-0000-0000-000007190000}"/>
    <cellStyle name="60% - Accent2" xfId="1707" builtinId="36" customBuiltin="1"/>
    <cellStyle name="60% - Accent2 10" xfId="34000" xr:uid="{00000000-0005-0000-0000-000009190000}"/>
    <cellStyle name="60% - Accent2 11" xfId="34001" xr:uid="{00000000-0005-0000-0000-00000A190000}"/>
    <cellStyle name="60% - Accent2 12" xfId="34002" xr:uid="{00000000-0005-0000-0000-00000B190000}"/>
    <cellStyle name="60% - Accent2 13" xfId="34003" xr:uid="{00000000-0005-0000-0000-00000C190000}"/>
    <cellStyle name="60% - Accent2 14" xfId="34004" xr:uid="{00000000-0005-0000-0000-00000D190000}"/>
    <cellStyle name="60% - Accent2 15" xfId="34005" xr:uid="{00000000-0005-0000-0000-00000E190000}"/>
    <cellStyle name="60% - Accent2 2" xfId="3332" xr:uid="{00000000-0005-0000-0000-00000F190000}"/>
    <cellStyle name="60% - Accent2 3" xfId="4741" xr:uid="{00000000-0005-0000-0000-000010190000}"/>
    <cellStyle name="60% - Accent2 4" xfId="6928" xr:uid="{00000000-0005-0000-0000-000011190000}"/>
    <cellStyle name="60% - Accent2 5" xfId="34006" xr:uid="{00000000-0005-0000-0000-000012190000}"/>
    <cellStyle name="60% - Accent2 6" xfId="34007" xr:uid="{00000000-0005-0000-0000-000013190000}"/>
    <cellStyle name="60% - Accent2 7" xfId="34008" xr:uid="{00000000-0005-0000-0000-000014190000}"/>
    <cellStyle name="60% - Accent2 8" xfId="34009" xr:uid="{00000000-0005-0000-0000-000015190000}"/>
    <cellStyle name="60% - Accent2 9" xfId="34010" xr:uid="{00000000-0005-0000-0000-000016190000}"/>
    <cellStyle name="60% - Accent3" xfId="1708" builtinId="40" customBuiltin="1"/>
    <cellStyle name="60% - Accent3 10" xfId="34011" xr:uid="{00000000-0005-0000-0000-000018190000}"/>
    <cellStyle name="60% - Accent3 11" xfId="34012" xr:uid="{00000000-0005-0000-0000-000019190000}"/>
    <cellStyle name="60% - Accent3 12" xfId="34013" xr:uid="{00000000-0005-0000-0000-00001A190000}"/>
    <cellStyle name="60% - Accent3 13" xfId="34014" xr:uid="{00000000-0005-0000-0000-00001B190000}"/>
    <cellStyle name="60% - Accent3 14" xfId="34015" xr:uid="{00000000-0005-0000-0000-00001C190000}"/>
    <cellStyle name="60% - Accent3 15" xfId="34016" xr:uid="{00000000-0005-0000-0000-00001D190000}"/>
    <cellStyle name="60% - Accent3 2" xfId="3333" xr:uid="{00000000-0005-0000-0000-00001E190000}"/>
    <cellStyle name="60% - Accent3 3" xfId="4742" xr:uid="{00000000-0005-0000-0000-00001F190000}"/>
    <cellStyle name="60% - Accent3 4" xfId="6929" xr:uid="{00000000-0005-0000-0000-000020190000}"/>
    <cellStyle name="60% - Accent3 5" xfId="34017" xr:uid="{00000000-0005-0000-0000-000021190000}"/>
    <cellStyle name="60% - Accent3 6" xfId="34018" xr:uid="{00000000-0005-0000-0000-000022190000}"/>
    <cellStyle name="60% - Accent3 7" xfId="34019" xr:uid="{00000000-0005-0000-0000-000023190000}"/>
    <cellStyle name="60% - Accent3 8" xfId="34020" xr:uid="{00000000-0005-0000-0000-000024190000}"/>
    <cellStyle name="60% - Accent3 9" xfId="34021" xr:uid="{00000000-0005-0000-0000-000025190000}"/>
    <cellStyle name="60% - Accent4" xfId="1709" builtinId="44" customBuiltin="1"/>
    <cellStyle name="60% - Accent4 10" xfId="34022" xr:uid="{00000000-0005-0000-0000-000027190000}"/>
    <cellStyle name="60% - Accent4 11" xfId="34023" xr:uid="{00000000-0005-0000-0000-000028190000}"/>
    <cellStyle name="60% - Accent4 12" xfId="34024" xr:uid="{00000000-0005-0000-0000-000029190000}"/>
    <cellStyle name="60% - Accent4 13" xfId="34025" xr:uid="{00000000-0005-0000-0000-00002A190000}"/>
    <cellStyle name="60% - Accent4 14" xfId="34026" xr:uid="{00000000-0005-0000-0000-00002B190000}"/>
    <cellStyle name="60% - Accent4 15" xfId="34027" xr:uid="{00000000-0005-0000-0000-00002C190000}"/>
    <cellStyle name="60% - Accent4 2" xfId="3334" xr:uid="{00000000-0005-0000-0000-00002D190000}"/>
    <cellStyle name="60% - Accent4 3" xfId="4743" xr:uid="{00000000-0005-0000-0000-00002E190000}"/>
    <cellStyle name="60% - Accent4 4" xfId="6930" xr:uid="{00000000-0005-0000-0000-00002F190000}"/>
    <cellStyle name="60% - Accent4 5" xfId="34028" xr:uid="{00000000-0005-0000-0000-000030190000}"/>
    <cellStyle name="60% - Accent4 6" xfId="34029" xr:uid="{00000000-0005-0000-0000-000031190000}"/>
    <cellStyle name="60% - Accent4 7" xfId="34030" xr:uid="{00000000-0005-0000-0000-000032190000}"/>
    <cellStyle name="60% - Accent4 8" xfId="34031" xr:uid="{00000000-0005-0000-0000-000033190000}"/>
    <cellStyle name="60% - Accent4 9" xfId="34032" xr:uid="{00000000-0005-0000-0000-000034190000}"/>
    <cellStyle name="60% - Accent5" xfId="1710" builtinId="48" customBuiltin="1"/>
    <cellStyle name="60% - Accent5 10" xfId="34033" xr:uid="{00000000-0005-0000-0000-000036190000}"/>
    <cellStyle name="60% - Accent5 11" xfId="34034" xr:uid="{00000000-0005-0000-0000-000037190000}"/>
    <cellStyle name="60% - Accent5 12" xfId="34035" xr:uid="{00000000-0005-0000-0000-000038190000}"/>
    <cellStyle name="60% - Accent5 13" xfId="34036" xr:uid="{00000000-0005-0000-0000-000039190000}"/>
    <cellStyle name="60% - Accent5 14" xfId="34037" xr:uid="{00000000-0005-0000-0000-00003A190000}"/>
    <cellStyle name="60% - Accent5 15" xfId="34038" xr:uid="{00000000-0005-0000-0000-00003B190000}"/>
    <cellStyle name="60% - Accent5 2" xfId="3335" xr:uid="{00000000-0005-0000-0000-00003C190000}"/>
    <cellStyle name="60% - Accent5 3" xfId="4744" xr:uid="{00000000-0005-0000-0000-00003D190000}"/>
    <cellStyle name="60% - Accent5 4" xfId="6931" xr:uid="{00000000-0005-0000-0000-00003E190000}"/>
    <cellStyle name="60% - Accent5 5" xfId="34039" xr:uid="{00000000-0005-0000-0000-00003F190000}"/>
    <cellStyle name="60% - Accent5 6" xfId="34040" xr:uid="{00000000-0005-0000-0000-000040190000}"/>
    <cellStyle name="60% - Accent5 7" xfId="34041" xr:uid="{00000000-0005-0000-0000-000041190000}"/>
    <cellStyle name="60% - Accent5 8" xfId="34042" xr:uid="{00000000-0005-0000-0000-000042190000}"/>
    <cellStyle name="60% - Accent5 9" xfId="34043" xr:uid="{00000000-0005-0000-0000-000043190000}"/>
    <cellStyle name="60% - Accent6" xfId="1711" builtinId="52" customBuiltin="1"/>
    <cellStyle name="60% - Accent6 10" xfId="34044" xr:uid="{00000000-0005-0000-0000-000045190000}"/>
    <cellStyle name="60% - Accent6 11" xfId="34045" xr:uid="{00000000-0005-0000-0000-000046190000}"/>
    <cellStyle name="60% - Accent6 12" xfId="34046" xr:uid="{00000000-0005-0000-0000-000047190000}"/>
    <cellStyle name="60% - Accent6 13" xfId="34047" xr:uid="{00000000-0005-0000-0000-000048190000}"/>
    <cellStyle name="60% - Accent6 14" xfId="34048" xr:uid="{00000000-0005-0000-0000-000049190000}"/>
    <cellStyle name="60% - Accent6 15" xfId="34049" xr:uid="{00000000-0005-0000-0000-00004A190000}"/>
    <cellStyle name="60% - Accent6 2" xfId="3336" xr:uid="{00000000-0005-0000-0000-00004B190000}"/>
    <cellStyle name="60% - Accent6 3" xfId="4745" xr:uid="{00000000-0005-0000-0000-00004C190000}"/>
    <cellStyle name="60% - Accent6 4" xfId="6932" xr:uid="{00000000-0005-0000-0000-00004D190000}"/>
    <cellStyle name="60% - Accent6 5" xfId="34050" xr:uid="{00000000-0005-0000-0000-00004E190000}"/>
    <cellStyle name="60% - Accent6 6" xfId="34051" xr:uid="{00000000-0005-0000-0000-00004F190000}"/>
    <cellStyle name="60% - Accent6 7" xfId="34052" xr:uid="{00000000-0005-0000-0000-000050190000}"/>
    <cellStyle name="60% - Accent6 8" xfId="34053" xr:uid="{00000000-0005-0000-0000-000051190000}"/>
    <cellStyle name="60% - Accent6 9" xfId="34054" xr:uid="{00000000-0005-0000-0000-000052190000}"/>
    <cellStyle name="60% - 强调文字颜色 1" xfId="1712" xr:uid="{00000000-0005-0000-0000-000053190000}"/>
    <cellStyle name="60% - 强调文字颜色 2" xfId="1713" xr:uid="{00000000-0005-0000-0000-000054190000}"/>
    <cellStyle name="60% - 强调文字颜色 3" xfId="1714" xr:uid="{00000000-0005-0000-0000-000055190000}"/>
    <cellStyle name="60% - 强调文字颜色 4" xfId="1715" xr:uid="{00000000-0005-0000-0000-000056190000}"/>
    <cellStyle name="60% - 强调文字颜色 5" xfId="1716" xr:uid="{00000000-0005-0000-0000-000057190000}"/>
    <cellStyle name="60% - 强调文字颜色 6" xfId="1717" xr:uid="{00000000-0005-0000-0000-000058190000}"/>
    <cellStyle name="Accent1" xfId="2148" builtinId="29" customBuiltin="1"/>
    <cellStyle name="Accent1 - 20%" xfId="1726" xr:uid="{00000000-0005-0000-0000-00005A190000}"/>
    <cellStyle name="Accent1 - 40%" xfId="1727" xr:uid="{00000000-0005-0000-0000-00005B190000}"/>
    <cellStyle name="Accent1 - 60%" xfId="1728" xr:uid="{00000000-0005-0000-0000-00005C190000}"/>
    <cellStyle name="Accent1 10" xfId="5771" xr:uid="{00000000-0005-0000-0000-00005D190000}"/>
    <cellStyle name="Accent1 11" xfId="5686" xr:uid="{00000000-0005-0000-0000-00005E190000}"/>
    <cellStyle name="Accent1 12" xfId="5826" xr:uid="{00000000-0005-0000-0000-00005F190000}"/>
    <cellStyle name="Accent1 13" xfId="5798" xr:uid="{00000000-0005-0000-0000-000060190000}"/>
    <cellStyle name="Accent1 14" xfId="5670" xr:uid="{00000000-0005-0000-0000-000061190000}"/>
    <cellStyle name="Accent1 15" xfId="5772" xr:uid="{00000000-0005-0000-0000-000062190000}"/>
    <cellStyle name="Accent1 16" xfId="5685" xr:uid="{00000000-0005-0000-0000-000063190000}"/>
    <cellStyle name="Accent1 17" xfId="5758" xr:uid="{00000000-0005-0000-0000-000064190000}"/>
    <cellStyle name="Accent1 18" xfId="5698" xr:uid="{00000000-0005-0000-0000-000065190000}"/>
    <cellStyle name="Accent1 19" xfId="6933" xr:uid="{00000000-0005-0000-0000-000066190000}"/>
    <cellStyle name="Accent1 2" xfId="3347" xr:uid="{00000000-0005-0000-0000-000067190000}"/>
    <cellStyle name="Accent1 20" xfId="7557" xr:uid="{00000000-0005-0000-0000-000068190000}"/>
    <cellStyle name="Accent1 21" xfId="7556" xr:uid="{00000000-0005-0000-0000-000069190000}"/>
    <cellStyle name="Accent1 22" xfId="7672" xr:uid="{00000000-0005-0000-0000-00006A190000}"/>
    <cellStyle name="Accent1 23" xfId="7522" xr:uid="{00000000-0005-0000-0000-00006B190000}"/>
    <cellStyle name="Accent1 24" xfId="7587" xr:uid="{00000000-0005-0000-0000-00006C190000}"/>
    <cellStyle name="Accent1 25" xfId="7528" xr:uid="{00000000-0005-0000-0000-00006D190000}"/>
    <cellStyle name="Accent1 26" xfId="7609" xr:uid="{00000000-0005-0000-0000-00006E190000}"/>
    <cellStyle name="Accent1 27" xfId="7668" xr:uid="{00000000-0005-0000-0000-00006F190000}"/>
    <cellStyle name="Accent1 28" xfId="7525" xr:uid="{00000000-0005-0000-0000-000070190000}"/>
    <cellStyle name="Accent1 29" xfId="7580" xr:uid="{00000000-0005-0000-0000-000071190000}"/>
    <cellStyle name="Accent1 3" xfId="4757" xr:uid="{00000000-0005-0000-0000-000072190000}"/>
    <cellStyle name="Accent1 30" xfId="7596" xr:uid="{00000000-0005-0000-0000-000073190000}"/>
    <cellStyle name="Accent1 31" xfId="7660" xr:uid="{00000000-0005-0000-0000-000074190000}"/>
    <cellStyle name="Accent1 32" xfId="7585" xr:uid="{00000000-0005-0000-0000-000075190000}"/>
    <cellStyle name="Accent1 33" xfId="7689" xr:uid="{00000000-0005-0000-0000-000076190000}"/>
    <cellStyle name="Accent1 34" xfId="7555" xr:uid="{00000000-0005-0000-0000-000077190000}"/>
    <cellStyle name="Accent1 35" xfId="7620" xr:uid="{00000000-0005-0000-0000-000078190000}"/>
    <cellStyle name="Accent1 36" xfId="7551" xr:uid="{00000000-0005-0000-0000-000079190000}"/>
    <cellStyle name="Accent1 37" xfId="7600" xr:uid="{00000000-0005-0000-0000-00007A190000}"/>
    <cellStyle name="Accent1 38" xfId="7512" xr:uid="{00000000-0005-0000-0000-00007B190000}"/>
    <cellStyle name="Accent1 4" xfId="5750" xr:uid="{00000000-0005-0000-0000-00007C190000}"/>
    <cellStyle name="Accent1 5" xfId="5706" xr:uid="{00000000-0005-0000-0000-00007D190000}"/>
    <cellStyle name="Accent1 6" xfId="5735" xr:uid="{00000000-0005-0000-0000-00007E190000}"/>
    <cellStyle name="Accent1 7" xfId="5791" xr:uid="{00000000-0005-0000-0000-00007F190000}"/>
    <cellStyle name="Accent1 8" xfId="5795" xr:uid="{00000000-0005-0000-0000-000080190000}"/>
    <cellStyle name="Accent1 9" xfId="5672" xr:uid="{00000000-0005-0000-0000-000081190000}"/>
    <cellStyle name="Accent2" xfId="2149" builtinId="33" customBuiltin="1"/>
    <cellStyle name="Accent2 - 20%" xfId="1729" xr:uid="{00000000-0005-0000-0000-000083190000}"/>
    <cellStyle name="Accent2 - 40%" xfId="1730" xr:uid="{00000000-0005-0000-0000-000084190000}"/>
    <cellStyle name="Accent2 - 60%" xfId="1731" xr:uid="{00000000-0005-0000-0000-000085190000}"/>
    <cellStyle name="Accent2 10" xfId="5689" xr:uid="{00000000-0005-0000-0000-000086190000}"/>
    <cellStyle name="Accent2 11" xfId="5748" xr:uid="{00000000-0005-0000-0000-000087190000}"/>
    <cellStyle name="Accent2 12" xfId="5708" xr:uid="{00000000-0005-0000-0000-000088190000}"/>
    <cellStyle name="Accent2 13" xfId="5733" xr:uid="{00000000-0005-0000-0000-000089190000}"/>
    <cellStyle name="Accent2 14" xfId="5790" xr:uid="{00000000-0005-0000-0000-00008A190000}"/>
    <cellStyle name="Accent2 15" xfId="5796" xr:uid="{00000000-0005-0000-0000-00008B190000}"/>
    <cellStyle name="Accent2 16" xfId="5671" xr:uid="{00000000-0005-0000-0000-00008C190000}"/>
    <cellStyle name="Accent2 17" xfId="5804" xr:uid="{00000000-0005-0000-0000-00008D190000}"/>
    <cellStyle name="Accent2 18" xfId="5828" xr:uid="{00000000-0005-0000-0000-00008E190000}"/>
    <cellStyle name="Accent2 19" xfId="6934" xr:uid="{00000000-0005-0000-0000-00008F190000}"/>
    <cellStyle name="Accent2 2" xfId="3351" xr:uid="{00000000-0005-0000-0000-000090190000}"/>
    <cellStyle name="Accent2 20" xfId="7558" xr:uid="{00000000-0005-0000-0000-000091190000}"/>
    <cellStyle name="Accent2 21" xfId="7554" xr:uid="{00000000-0005-0000-0000-000092190000}"/>
    <cellStyle name="Accent2 22" xfId="7605" xr:uid="{00000000-0005-0000-0000-000093190000}"/>
    <cellStyle name="Accent2 23" xfId="7666" xr:uid="{00000000-0005-0000-0000-000094190000}"/>
    <cellStyle name="Accent2 24" xfId="7646" xr:uid="{00000000-0005-0000-0000-000095190000}"/>
    <cellStyle name="Accent2 25" xfId="7539" xr:uid="{00000000-0005-0000-0000-000096190000}"/>
    <cellStyle name="Accent2 26" xfId="7534" xr:uid="{00000000-0005-0000-0000-000097190000}"/>
    <cellStyle name="Accent2 27" xfId="7530" xr:uid="{00000000-0005-0000-0000-000098190000}"/>
    <cellStyle name="Accent2 28" xfId="7651" xr:uid="{00000000-0005-0000-0000-000099190000}"/>
    <cellStyle name="Accent2 29" xfId="7674" xr:uid="{00000000-0005-0000-0000-00009A190000}"/>
    <cellStyle name="Accent2 3" xfId="4761" xr:uid="{00000000-0005-0000-0000-00009B190000}"/>
    <cellStyle name="Accent2 30" xfId="7709" xr:uid="{00000000-0005-0000-0000-00009C190000}"/>
    <cellStyle name="Accent2 31" xfId="7712" xr:uid="{00000000-0005-0000-0000-00009D190000}"/>
    <cellStyle name="Accent2 32" xfId="7711" xr:uid="{00000000-0005-0000-0000-00009E190000}"/>
    <cellStyle name="Accent2 33" xfId="7598" xr:uid="{00000000-0005-0000-0000-00009F190000}"/>
    <cellStyle name="Accent2 34" xfId="7608" xr:uid="{00000000-0005-0000-0000-0000A0190000}"/>
    <cellStyle name="Accent2 35" xfId="7658" xr:uid="{00000000-0005-0000-0000-0000A1190000}"/>
    <cellStyle name="Accent2 36" xfId="7714" xr:uid="{00000000-0005-0000-0000-0000A2190000}"/>
    <cellStyle name="Accent2 37" xfId="7715" xr:uid="{00000000-0005-0000-0000-0000A3190000}"/>
    <cellStyle name="Accent2 38" xfId="7683" xr:uid="{00000000-0005-0000-0000-0000A4190000}"/>
    <cellStyle name="Accent2 4" xfId="5751" xr:uid="{00000000-0005-0000-0000-0000A5190000}"/>
    <cellStyle name="Accent2 5" xfId="5705" xr:uid="{00000000-0005-0000-0000-0000A6190000}"/>
    <cellStyle name="Accent2 6" xfId="5736" xr:uid="{00000000-0005-0000-0000-0000A7190000}"/>
    <cellStyle name="Accent2 7" xfId="5788" xr:uid="{00000000-0005-0000-0000-0000A8190000}"/>
    <cellStyle name="Accent2 8" xfId="5675" xr:uid="{00000000-0005-0000-0000-0000A9190000}"/>
    <cellStyle name="Accent2 9" xfId="5768" xr:uid="{00000000-0005-0000-0000-0000AA190000}"/>
    <cellStyle name="Accent3" xfId="2150" builtinId="37" customBuiltin="1"/>
    <cellStyle name="Accent3 - 20%" xfId="1732" xr:uid="{00000000-0005-0000-0000-0000AC190000}"/>
    <cellStyle name="Accent3 - 40%" xfId="1733" xr:uid="{00000000-0005-0000-0000-0000AD190000}"/>
    <cellStyle name="Accent3 - 60%" xfId="1734" xr:uid="{00000000-0005-0000-0000-0000AE190000}"/>
    <cellStyle name="Accent3 10" xfId="5723" xr:uid="{00000000-0005-0000-0000-0000AF190000}"/>
    <cellStyle name="Accent3 11" xfId="5816" xr:uid="{00000000-0005-0000-0000-0000B0190000}"/>
    <cellStyle name="Accent3 12" xfId="5820" xr:uid="{00000000-0005-0000-0000-0000B1190000}"/>
    <cellStyle name="Accent3 13" xfId="5667" xr:uid="{00000000-0005-0000-0000-0000B2190000}"/>
    <cellStyle name="Accent3 14" xfId="5808" xr:uid="{00000000-0005-0000-0000-0000B3190000}"/>
    <cellStyle name="Accent3 15" xfId="5805" xr:uid="{00000000-0005-0000-0000-0000B4190000}"/>
    <cellStyle name="Accent3 16" xfId="5811" xr:uid="{00000000-0005-0000-0000-0000B5190000}"/>
    <cellStyle name="Accent3 17" xfId="5813" xr:uid="{00000000-0005-0000-0000-0000B6190000}"/>
    <cellStyle name="Accent3 18" xfId="5827" xr:uid="{00000000-0005-0000-0000-0000B7190000}"/>
    <cellStyle name="Accent3 19" xfId="6935" xr:uid="{00000000-0005-0000-0000-0000B8190000}"/>
    <cellStyle name="Accent3 2" xfId="3355" xr:uid="{00000000-0005-0000-0000-0000B9190000}"/>
    <cellStyle name="Accent3 20" xfId="7559" xr:uid="{00000000-0005-0000-0000-0000BA190000}"/>
    <cellStyle name="Accent3 21" xfId="7639" xr:uid="{00000000-0005-0000-0000-0000BB190000}"/>
    <cellStyle name="Accent3 22" xfId="7642" xr:uid="{00000000-0005-0000-0000-0000BC190000}"/>
    <cellStyle name="Accent3 23" xfId="7700" xr:uid="{00000000-0005-0000-0000-0000BD190000}"/>
    <cellStyle name="Accent3 24" xfId="7581" xr:uid="{00000000-0005-0000-0000-0000BE190000}"/>
    <cellStyle name="Accent3 25" xfId="7603" xr:uid="{00000000-0005-0000-0000-0000BF190000}"/>
    <cellStyle name="Accent3 26" xfId="7656" xr:uid="{00000000-0005-0000-0000-0000C0190000}"/>
    <cellStyle name="Accent3 27" xfId="7687" xr:uid="{00000000-0005-0000-0000-0000C1190000}"/>
    <cellStyle name="Accent3 28" xfId="7699" xr:uid="{00000000-0005-0000-0000-0000C2190000}"/>
    <cellStyle name="Accent3 29" xfId="7659" xr:uid="{00000000-0005-0000-0000-0000C3190000}"/>
    <cellStyle name="Accent3 3" xfId="4762" xr:uid="{00000000-0005-0000-0000-0000C4190000}"/>
    <cellStyle name="Accent3 30" xfId="7686" xr:uid="{00000000-0005-0000-0000-0000C5190000}"/>
    <cellStyle name="Accent3 31" xfId="7617" xr:uid="{00000000-0005-0000-0000-0000C6190000}"/>
    <cellStyle name="Accent3 32" xfId="7695" xr:uid="{00000000-0005-0000-0000-0000C7190000}"/>
    <cellStyle name="Accent3 33" xfId="7511" xr:uid="{00000000-0005-0000-0000-0000C8190000}"/>
    <cellStyle name="Accent3 34" xfId="7643" xr:uid="{00000000-0005-0000-0000-0000C9190000}"/>
    <cellStyle name="Accent3 35" xfId="7692" xr:uid="{00000000-0005-0000-0000-0000CA190000}"/>
    <cellStyle name="Accent3 36" xfId="7649" xr:uid="{00000000-0005-0000-0000-0000CB190000}"/>
    <cellStyle name="Accent3 37" xfId="7621" xr:uid="{00000000-0005-0000-0000-0000CC190000}"/>
    <cellStyle name="Accent3 38" xfId="7509" xr:uid="{00000000-0005-0000-0000-0000CD190000}"/>
    <cellStyle name="Accent3 4" xfId="5752" xr:uid="{00000000-0005-0000-0000-0000CE190000}"/>
    <cellStyle name="Accent3 5" xfId="5704" xr:uid="{00000000-0005-0000-0000-0000CF190000}"/>
    <cellStyle name="Accent3 6" xfId="5737" xr:uid="{00000000-0005-0000-0000-0000D0190000}"/>
    <cellStyle name="Accent3 7" xfId="5716" xr:uid="{00000000-0005-0000-0000-0000D1190000}"/>
    <cellStyle name="Accent3 8" xfId="5726" xr:uid="{00000000-0005-0000-0000-0000D2190000}"/>
    <cellStyle name="Accent3 9" xfId="5719" xr:uid="{00000000-0005-0000-0000-0000D3190000}"/>
    <cellStyle name="Accent4" xfId="2151" builtinId="41" customBuiltin="1"/>
    <cellStyle name="Accent4 - 20%" xfId="1735" xr:uid="{00000000-0005-0000-0000-0000D5190000}"/>
    <cellStyle name="Accent4 - 40%" xfId="1736" xr:uid="{00000000-0005-0000-0000-0000D6190000}"/>
    <cellStyle name="Accent4 - 60%" xfId="1737" xr:uid="{00000000-0005-0000-0000-0000D7190000}"/>
    <cellStyle name="Accent4 10" xfId="5691" xr:uid="{00000000-0005-0000-0000-0000D8190000}"/>
    <cellStyle name="Accent4 11" xfId="5747" xr:uid="{00000000-0005-0000-0000-0000D9190000}"/>
    <cellStyle name="Accent4 12" xfId="5709" xr:uid="{00000000-0005-0000-0000-0000DA190000}"/>
    <cellStyle name="Accent4 13" xfId="5732" xr:uid="{00000000-0005-0000-0000-0000DB190000}"/>
    <cellStyle name="Accent4 14" xfId="5785" xr:uid="{00000000-0005-0000-0000-0000DC190000}"/>
    <cellStyle name="Accent4 15" xfId="5678" xr:uid="{00000000-0005-0000-0000-0000DD190000}"/>
    <cellStyle name="Accent4 16" xfId="5765" xr:uid="{00000000-0005-0000-0000-0000DE190000}"/>
    <cellStyle name="Accent4 17" xfId="5692" xr:uid="{00000000-0005-0000-0000-0000DF190000}"/>
    <cellStyle name="Accent4 18" xfId="5800" xr:uid="{00000000-0005-0000-0000-0000E0190000}"/>
    <cellStyle name="Accent4 19" xfId="6936" xr:uid="{00000000-0005-0000-0000-0000E1190000}"/>
    <cellStyle name="Accent4 2" xfId="3359" xr:uid="{00000000-0005-0000-0000-0000E2190000}"/>
    <cellStyle name="Accent4 20" xfId="7560" xr:uid="{00000000-0005-0000-0000-0000E3190000}"/>
    <cellStyle name="Accent4 21" xfId="7604" xr:uid="{00000000-0005-0000-0000-0000E4190000}"/>
    <cellStyle name="Accent4 22" xfId="7584" xr:uid="{00000000-0005-0000-0000-0000E5190000}"/>
    <cellStyle name="Accent4 23" xfId="7661" xr:uid="{00000000-0005-0000-0000-0000E6190000}"/>
    <cellStyle name="Accent4 24" xfId="7533" xr:uid="{00000000-0005-0000-0000-0000E7190000}"/>
    <cellStyle name="Accent4 25" xfId="7625" xr:uid="{00000000-0005-0000-0000-0000E8190000}"/>
    <cellStyle name="Accent4 26" xfId="7520" xr:uid="{00000000-0005-0000-0000-0000E9190000}"/>
    <cellStyle name="Accent4 27" xfId="7627" xr:uid="{00000000-0005-0000-0000-0000EA190000}"/>
    <cellStyle name="Accent4 28" xfId="7694" xr:uid="{00000000-0005-0000-0000-0000EB190000}"/>
    <cellStyle name="Accent4 29" xfId="7564" xr:uid="{00000000-0005-0000-0000-0000EC190000}"/>
    <cellStyle name="Accent4 3" xfId="4763" xr:uid="{00000000-0005-0000-0000-0000ED190000}"/>
    <cellStyle name="Accent4 30" xfId="7641" xr:uid="{00000000-0005-0000-0000-0000EE190000}"/>
    <cellStyle name="Accent4 31" xfId="7708" xr:uid="{00000000-0005-0000-0000-0000EF190000}"/>
    <cellStyle name="Accent4 32" xfId="7594" xr:uid="{00000000-0005-0000-0000-0000F0190000}"/>
    <cellStyle name="Accent4 33" xfId="7676" xr:uid="{00000000-0005-0000-0000-0000F1190000}"/>
    <cellStyle name="Accent4 34" xfId="7710" xr:uid="{00000000-0005-0000-0000-0000F2190000}"/>
    <cellStyle name="Accent4 35" xfId="7537" xr:uid="{00000000-0005-0000-0000-0000F3190000}"/>
    <cellStyle name="Accent4 36" xfId="7523" xr:uid="{00000000-0005-0000-0000-0000F4190000}"/>
    <cellStyle name="Accent4 37" xfId="7631" xr:uid="{00000000-0005-0000-0000-0000F5190000}"/>
    <cellStyle name="Accent4 38" xfId="7592" xr:uid="{00000000-0005-0000-0000-0000F6190000}"/>
    <cellStyle name="Accent4 4" xfId="5753" xr:uid="{00000000-0005-0000-0000-0000F7190000}"/>
    <cellStyle name="Accent4 5" xfId="5703" xr:uid="{00000000-0005-0000-0000-0000F8190000}"/>
    <cellStyle name="Accent4 6" xfId="5738" xr:uid="{00000000-0005-0000-0000-0000F9190000}"/>
    <cellStyle name="Accent4 7" xfId="5786" xr:uid="{00000000-0005-0000-0000-0000FA190000}"/>
    <cellStyle name="Accent4 8" xfId="5677" xr:uid="{00000000-0005-0000-0000-0000FB190000}"/>
    <cellStyle name="Accent4 9" xfId="5766" xr:uid="{00000000-0005-0000-0000-0000FC190000}"/>
    <cellStyle name="Accent5" xfId="2152" builtinId="45" customBuiltin="1"/>
    <cellStyle name="Accent5 - 20%" xfId="1738" xr:uid="{00000000-0005-0000-0000-0000FE190000}"/>
    <cellStyle name="Accent5 - 40%" xfId="1739" xr:uid="{00000000-0005-0000-0000-0000FF190000}"/>
    <cellStyle name="Accent5 - 60%" xfId="1740" xr:uid="{00000000-0005-0000-0000-0000001A0000}"/>
    <cellStyle name="Accent5 10" xfId="5681" xr:uid="{00000000-0005-0000-0000-0000011A0000}"/>
    <cellStyle name="Accent5 11" xfId="5762" xr:uid="{00000000-0005-0000-0000-0000021A0000}"/>
    <cellStyle name="Accent5 12" xfId="5694" xr:uid="{00000000-0005-0000-0000-0000031A0000}"/>
    <cellStyle name="Accent5 13" xfId="5745" xr:uid="{00000000-0005-0000-0000-0000041A0000}"/>
    <cellStyle name="Accent5 14" xfId="5711" xr:uid="{00000000-0005-0000-0000-0000051A0000}"/>
    <cellStyle name="Accent5 15" xfId="5730" xr:uid="{00000000-0005-0000-0000-0000061A0000}"/>
    <cellStyle name="Accent5 16" xfId="5782" xr:uid="{00000000-0005-0000-0000-0000071A0000}"/>
    <cellStyle name="Accent5 17" xfId="5680" xr:uid="{00000000-0005-0000-0000-0000081A0000}"/>
    <cellStyle name="Accent5 18" xfId="5763" xr:uid="{00000000-0005-0000-0000-0000091A0000}"/>
    <cellStyle name="Accent5 19" xfId="6937" xr:uid="{00000000-0005-0000-0000-00000A1A0000}"/>
    <cellStyle name="Accent5 2" xfId="3363" xr:uid="{00000000-0005-0000-0000-00000B1A0000}"/>
    <cellStyle name="Accent5 20" xfId="7562" xr:uid="{00000000-0005-0000-0000-00000C1A0000}"/>
    <cellStyle name="Accent5 21" xfId="7553" xr:uid="{00000000-0005-0000-0000-00000D1A0000}"/>
    <cellStyle name="Accent5 22" xfId="7669" xr:uid="{00000000-0005-0000-0000-00000E1A0000}"/>
    <cellStyle name="Accent5 23" xfId="7611" xr:uid="{00000000-0005-0000-0000-00000F1A0000}"/>
    <cellStyle name="Accent5 24" xfId="7654" xr:uid="{00000000-0005-0000-0000-0000101A0000}"/>
    <cellStyle name="Accent5 25" xfId="7599" xr:uid="{00000000-0005-0000-0000-0000111A0000}"/>
    <cellStyle name="Accent5 26" xfId="7565" xr:uid="{00000000-0005-0000-0000-0000121A0000}"/>
    <cellStyle name="Accent5 27" xfId="7518" xr:uid="{00000000-0005-0000-0000-0000131A0000}"/>
    <cellStyle name="Accent5 28" xfId="7542" xr:uid="{00000000-0005-0000-0000-0000141A0000}"/>
    <cellStyle name="Accent5 29" xfId="7705" xr:uid="{00000000-0005-0000-0000-0000151A0000}"/>
    <cellStyle name="Accent5 3" xfId="4765" xr:uid="{00000000-0005-0000-0000-0000161A0000}"/>
    <cellStyle name="Accent5 30" xfId="7667" xr:uid="{00000000-0005-0000-0000-0000171A0000}"/>
    <cellStyle name="Accent5 31" xfId="7532" xr:uid="{00000000-0005-0000-0000-0000181A0000}"/>
    <cellStyle name="Accent5 32" xfId="7701" xr:uid="{00000000-0005-0000-0000-0000191A0000}"/>
    <cellStyle name="Accent5 33" xfId="7664" xr:uid="{00000000-0005-0000-0000-00001A1A0000}"/>
    <cellStyle name="Accent5 34" xfId="7640" xr:uid="{00000000-0005-0000-0000-00001B1A0000}"/>
    <cellStyle name="Accent5 35" xfId="7697" xr:uid="{00000000-0005-0000-0000-00001C1A0000}"/>
    <cellStyle name="Accent5 36" xfId="7696" xr:uid="{00000000-0005-0000-0000-00001D1A0000}"/>
    <cellStyle name="Accent5 37" xfId="7713" xr:uid="{00000000-0005-0000-0000-00001E1A0000}"/>
    <cellStyle name="Accent5 38" xfId="7690" xr:uid="{00000000-0005-0000-0000-00001F1A0000}"/>
    <cellStyle name="Accent5 4" xfId="5754" xr:uid="{00000000-0005-0000-0000-0000201A0000}"/>
    <cellStyle name="Accent5 5" xfId="5702" xr:uid="{00000000-0005-0000-0000-0000211A0000}"/>
    <cellStyle name="Accent5 6" xfId="5739" xr:uid="{00000000-0005-0000-0000-0000221A0000}"/>
    <cellStyle name="Accent5 7" xfId="5783" xr:uid="{00000000-0005-0000-0000-0000231A0000}"/>
    <cellStyle name="Accent5 8" xfId="5794" xr:uid="{00000000-0005-0000-0000-0000241A0000}"/>
    <cellStyle name="Accent5 9" xfId="5777" xr:uid="{00000000-0005-0000-0000-0000251A0000}"/>
    <cellStyle name="Accent6" xfId="2153" builtinId="49" customBuiltin="1"/>
    <cellStyle name="Accent6 - 20%" xfId="1741" xr:uid="{00000000-0005-0000-0000-0000271A0000}"/>
    <cellStyle name="Accent6 - 40%" xfId="1742" xr:uid="{00000000-0005-0000-0000-0000281A0000}"/>
    <cellStyle name="Accent6 - 60%" xfId="1743" xr:uid="{00000000-0005-0000-0000-0000291A0000}"/>
    <cellStyle name="Accent6 10" xfId="5690" xr:uid="{00000000-0005-0000-0000-00002A1A0000}"/>
    <cellStyle name="Accent6 11" xfId="5801" xr:uid="{00000000-0005-0000-0000-00002B1A0000}"/>
    <cellStyle name="Accent6 12" xfId="5669" xr:uid="{00000000-0005-0000-0000-00002C1A0000}"/>
    <cellStyle name="Accent6 13" xfId="5773" xr:uid="{00000000-0005-0000-0000-00002D1A0000}"/>
    <cellStyle name="Accent6 14" xfId="5684" xr:uid="{00000000-0005-0000-0000-00002E1A0000}"/>
    <cellStyle name="Accent6 15" xfId="5760" xr:uid="{00000000-0005-0000-0000-00002F1A0000}"/>
    <cellStyle name="Accent6 16" xfId="5696" xr:uid="{00000000-0005-0000-0000-0000301A0000}"/>
    <cellStyle name="Accent6 17" xfId="5743" xr:uid="{00000000-0005-0000-0000-0000311A0000}"/>
    <cellStyle name="Accent6 18" xfId="5713" xr:uid="{00000000-0005-0000-0000-0000321A0000}"/>
    <cellStyle name="Accent6 19" xfId="6938" xr:uid="{00000000-0005-0000-0000-0000331A0000}"/>
    <cellStyle name="Accent6 2" xfId="3367" xr:uid="{00000000-0005-0000-0000-0000341A0000}"/>
    <cellStyle name="Accent6 20" xfId="7563" xr:uid="{00000000-0005-0000-0000-0000351A0000}"/>
    <cellStyle name="Accent6 21" xfId="7638" xr:uid="{00000000-0005-0000-0000-0000361A0000}"/>
    <cellStyle name="Accent6 22" xfId="7680" xr:uid="{00000000-0005-0000-0000-0000371A0000}"/>
    <cellStyle name="Accent6 23" xfId="7652" xr:uid="{00000000-0005-0000-0000-0000381A0000}"/>
    <cellStyle name="Accent6 24" xfId="7648" xr:uid="{00000000-0005-0000-0000-0000391A0000}"/>
    <cellStyle name="Accent6 25" xfId="7576" xr:uid="{00000000-0005-0000-0000-00003A1A0000}"/>
    <cellStyle name="Accent6 26" xfId="7540" xr:uid="{00000000-0005-0000-0000-00003B1A0000}"/>
    <cellStyle name="Accent6 27" xfId="7703" xr:uid="{00000000-0005-0000-0000-00003C1A0000}"/>
    <cellStyle name="Accent6 28" xfId="7637" xr:uid="{00000000-0005-0000-0000-00003D1A0000}"/>
    <cellStyle name="Accent6 29" xfId="7574" xr:uid="{00000000-0005-0000-0000-00003E1A0000}"/>
    <cellStyle name="Accent6 3" xfId="4767" xr:uid="{00000000-0005-0000-0000-00003F1A0000}"/>
    <cellStyle name="Accent6 30" xfId="7544" xr:uid="{00000000-0005-0000-0000-0000401A0000}"/>
    <cellStyle name="Accent6 31" xfId="7529" xr:uid="{00000000-0005-0000-0000-0000411A0000}"/>
    <cellStyle name="Accent6 32" xfId="7514" xr:uid="{00000000-0005-0000-0000-0000421A0000}"/>
    <cellStyle name="Accent6 33" xfId="7633" xr:uid="{00000000-0005-0000-0000-0000431A0000}"/>
    <cellStyle name="Accent6 34" xfId="7538" xr:uid="{00000000-0005-0000-0000-0000441A0000}"/>
    <cellStyle name="Accent6 35" xfId="7707" xr:uid="{00000000-0005-0000-0000-0000451A0000}"/>
    <cellStyle name="Accent6 36" xfId="7655" xr:uid="{00000000-0005-0000-0000-0000461A0000}"/>
    <cellStyle name="Accent6 37" xfId="7671" xr:uid="{00000000-0005-0000-0000-0000471A0000}"/>
    <cellStyle name="Accent6 38" xfId="7578" xr:uid="{00000000-0005-0000-0000-0000481A0000}"/>
    <cellStyle name="Accent6 4" xfId="5755" xr:uid="{00000000-0005-0000-0000-0000491A0000}"/>
    <cellStyle name="Accent6 5" xfId="5701" xr:uid="{00000000-0005-0000-0000-00004A1A0000}"/>
    <cellStyle name="Accent6 6" xfId="5740" xr:uid="{00000000-0005-0000-0000-00004B1A0000}"/>
    <cellStyle name="Accent6 7" xfId="5787" xr:uid="{00000000-0005-0000-0000-00004C1A0000}"/>
    <cellStyle name="Accent6 8" xfId="5676" xr:uid="{00000000-0005-0000-0000-00004D1A0000}"/>
    <cellStyle name="Accent6 9" xfId="5767" xr:uid="{00000000-0005-0000-0000-00004E1A0000}"/>
    <cellStyle name="ÅëÈ­ [0]_±âÅ¸" xfId="1744" xr:uid="{00000000-0005-0000-0000-00004F1A0000}"/>
    <cellStyle name="AeE­ [0]_INQUIRY ¿µ¾÷AßAø " xfId="1745" xr:uid="{00000000-0005-0000-0000-0000501A0000}"/>
    <cellStyle name="ÅëÈ­ [0]_L601CPT" xfId="1746" xr:uid="{00000000-0005-0000-0000-0000511A0000}"/>
    <cellStyle name="AeE­ [0]_laroux" xfId="1747" xr:uid="{00000000-0005-0000-0000-0000521A0000}"/>
    <cellStyle name="ÅëÈ­_±âÅ¸" xfId="1748" xr:uid="{00000000-0005-0000-0000-0000531A0000}"/>
    <cellStyle name="AeE­_INQUIRY ¿µ¾÷AßAø " xfId="1749" xr:uid="{00000000-0005-0000-0000-0000541A0000}"/>
    <cellStyle name="ÅëÈ­_L601CPT" xfId="1750" xr:uid="{00000000-0005-0000-0000-0000551A0000}"/>
    <cellStyle name="AeE­_laroux" xfId="1751" xr:uid="{00000000-0005-0000-0000-0000561A0000}"/>
    <cellStyle name="ÀH«áªº¶W³sµ²" xfId="1752" xr:uid="{00000000-0005-0000-0000-0000571A0000}"/>
    <cellStyle name="args.style" xfId="1753" xr:uid="{00000000-0005-0000-0000-0000581A0000}"/>
    <cellStyle name="ÄÞ¸¶ [0]_±âÅ¸" xfId="1754" xr:uid="{00000000-0005-0000-0000-0000591A0000}"/>
    <cellStyle name="AÞ¸¶ [0]_INQUIRY ¿?¾÷AßAø " xfId="1755" xr:uid="{00000000-0005-0000-0000-00005A1A0000}"/>
    <cellStyle name="ÄÞ¸¶ [0]_L601CPT" xfId="1756" xr:uid="{00000000-0005-0000-0000-00005B1A0000}"/>
    <cellStyle name="AÞ¸¶ [0]_laroux" xfId="1757" xr:uid="{00000000-0005-0000-0000-00005C1A0000}"/>
    <cellStyle name="ÄÞ¸¶_±âÅ¸" xfId="1758" xr:uid="{00000000-0005-0000-0000-00005D1A0000}"/>
    <cellStyle name="AÞ¸¶_INQUIRY ¿?¾÷AßAø " xfId="1759" xr:uid="{00000000-0005-0000-0000-00005E1A0000}"/>
    <cellStyle name="ÄÞ¸¶_L601CPT" xfId="1760" xr:uid="{00000000-0005-0000-0000-00005F1A0000}"/>
    <cellStyle name="AÞ¸¶_laroux" xfId="1761" xr:uid="{00000000-0005-0000-0000-0000601A0000}"/>
    <cellStyle name="AutoFormat Options" xfId="1762" xr:uid="{00000000-0005-0000-0000-0000611A0000}"/>
    <cellStyle name="Bad" xfId="2156" builtinId="27" customBuiltin="1"/>
    <cellStyle name="Bad 10" xfId="34055" xr:uid="{00000000-0005-0000-0000-0000631A0000}"/>
    <cellStyle name="Bad 11" xfId="34056" xr:uid="{00000000-0005-0000-0000-0000641A0000}"/>
    <cellStyle name="Bad 12" xfId="34057" xr:uid="{00000000-0005-0000-0000-0000651A0000}"/>
    <cellStyle name="Bad 13" xfId="34058" xr:uid="{00000000-0005-0000-0000-0000661A0000}"/>
    <cellStyle name="Bad 14" xfId="34059" xr:uid="{00000000-0005-0000-0000-0000671A0000}"/>
    <cellStyle name="Bad 15" xfId="34060" xr:uid="{00000000-0005-0000-0000-0000681A0000}"/>
    <cellStyle name="Bad 2" xfId="3374" xr:uid="{00000000-0005-0000-0000-0000691A0000}"/>
    <cellStyle name="Bad 3" xfId="4770" xr:uid="{00000000-0005-0000-0000-00006A1A0000}"/>
    <cellStyle name="Bad 4" xfId="6939" xr:uid="{00000000-0005-0000-0000-00006B1A0000}"/>
    <cellStyle name="Bad 5" xfId="34061" xr:uid="{00000000-0005-0000-0000-00006C1A0000}"/>
    <cellStyle name="Bad 6" xfId="34062" xr:uid="{00000000-0005-0000-0000-00006D1A0000}"/>
    <cellStyle name="Bad 7" xfId="34063" xr:uid="{00000000-0005-0000-0000-00006E1A0000}"/>
    <cellStyle name="Bad 8" xfId="34064" xr:uid="{00000000-0005-0000-0000-00006F1A0000}"/>
    <cellStyle name="Bad 9" xfId="34065" xr:uid="{00000000-0005-0000-0000-0000701A0000}"/>
    <cellStyle name="black bar" xfId="1763" xr:uid="{00000000-0005-0000-0000-0000711A0000}"/>
    <cellStyle name="C?AØ_¿?¾÷CoE² " xfId="1764" xr:uid="{00000000-0005-0000-0000-0000721A0000}"/>
    <cellStyle name="Ç¥ÁØ_#2(M17)_1" xfId="1765" xr:uid="{00000000-0005-0000-0000-0000731A0000}"/>
    <cellStyle name="C￥AØ_¿μ¾÷CoE² " xfId="1766" xr:uid="{00000000-0005-0000-0000-0000741A0000}"/>
    <cellStyle name="Ç¥ÁØ_±¸¹Ì´ëÃ¥" xfId="1767" xr:uid="{00000000-0005-0000-0000-0000751A0000}"/>
    <cellStyle name="C￥AØ_laroux" xfId="1768" xr:uid="{00000000-0005-0000-0000-0000761A0000}"/>
    <cellStyle name="Ç¥ÁØ_total stock list (4)" xfId="1769" xr:uid="{00000000-0005-0000-0000-0000771A0000}"/>
    <cellStyle name="Calc Currency (0)" xfId="1770" xr:uid="{00000000-0005-0000-0000-0000781A0000}"/>
    <cellStyle name="Calc Currency (0) 2" xfId="34066" xr:uid="{00000000-0005-0000-0000-0000791A0000}"/>
    <cellStyle name="Calc Currency (0) 3" xfId="34067" xr:uid="{00000000-0005-0000-0000-00007A1A0000}"/>
    <cellStyle name="Calc Currency (2)" xfId="1771" xr:uid="{00000000-0005-0000-0000-00007B1A0000}"/>
    <cellStyle name="Calc Percent (0)" xfId="1772" xr:uid="{00000000-0005-0000-0000-00007C1A0000}"/>
    <cellStyle name="Calc Percent (0) 2" xfId="3375" xr:uid="{00000000-0005-0000-0000-00007D1A0000}"/>
    <cellStyle name="Calc Percent (1)" xfId="1773" xr:uid="{00000000-0005-0000-0000-00007E1A0000}"/>
    <cellStyle name="Calc Percent (1) 2" xfId="3376" xr:uid="{00000000-0005-0000-0000-00007F1A0000}"/>
    <cellStyle name="Calc Percent (2)" xfId="1774" xr:uid="{00000000-0005-0000-0000-0000801A0000}"/>
    <cellStyle name="Calc Percent (2) 2" xfId="3377" xr:uid="{00000000-0005-0000-0000-0000811A0000}"/>
    <cellStyle name="Calc Units (0)" xfId="1775" xr:uid="{00000000-0005-0000-0000-0000821A0000}"/>
    <cellStyle name="Calc Units (1)" xfId="1776" xr:uid="{00000000-0005-0000-0000-0000831A0000}"/>
    <cellStyle name="Calc Units (1) 2" xfId="3378" xr:uid="{00000000-0005-0000-0000-0000841A0000}"/>
    <cellStyle name="Calc Units (2)" xfId="1777" xr:uid="{00000000-0005-0000-0000-0000851A0000}"/>
    <cellStyle name="Calculation" xfId="2155" builtinId="22" customBuiltin="1"/>
    <cellStyle name="Calculation 10" xfId="34068" xr:uid="{00000000-0005-0000-0000-0000871A0000}"/>
    <cellStyle name="Calculation 10 2" xfId="34069" xr:uid="{00000000-0005-0000-0000-0000881A0000}"/>
    <cellStyle name="Calculation 11" xfId="34070" xr:uid="{00000000-0005-0000-0000-0000891A0000}"/>
    <cellStyle name="Calculation 11 2" xfId="34071" xr:uid="{00000000-0005-0000-0000-00008A1A0000}"/>
    <cellStyle name="Calculation 12" xfId="34072" xr:uid="{00000000-0005-0000-0000-00008B1A0000}"/>
    <cellStyle name="Calculation 12 2" xfId="34073" xr:uid="{00000000-0005-0000-0000-00008C1A0000}"/>
    <cellStyle name="Calculation 13" xfId="34074" xr:uid="{00000000-0005-0000-0000-00008D1A0000}"/>
    <cellStyle name="Calculation 13 2" xfId="34075" xr:uid="{00000000-0005-0000-0000-00008E1A0000}"/>
    <cellStyle name="Calculation 14" xfId="34076" xr:uid="{00000000-0005-0000-0000-00008F1A0000}"/>
    <cellStyle name="Calculation 14 2" xfId="34077" xr:uid="{00000000-0005-0000-0000-0000901A0000}"/>
    <cellStyle name="Calculation 15" xfId="34078" xr:uid="{00000000-0005-0000-0000-0000911A0000}"/>
    <cellStyle name="Calculation 15 2" xfId="34079" xr:uid="{00000000-0005-0000-0000-0000921A0000}"/>
    <cellStyle name="Calculation 2" xfId="3379" xr:uid="{00000000-0005-0000-0000-0000931A0000}"/>
    <cellStyle name="Calculation 2 2" xfId="34080" xr:uid="{00000000-0005-0000-0000-0000941A0000}"/>
    <cellStyle name="Calculation 3" xfId="4773" xr:uid="{00000000-0005-0000-0000-0000951A0000}"/>
    <cellStyle name="Calculation 3 2" xfId="34081" xr:uid="{00000000-0005-0000-0000-0000961A0000}"/>
    <cellStyle name="Calculation 4" xfId="6940" xr:uid="{00000000-0005-0000-0000-0000971A0000}"/>
    <cellStyle name="Calculation 4 2" xfId="34082" xr:uid="{00000000-0005-0000-0000-0000981A0000}"/>
    <cellStyle name="Calculation 5" xfId="34083" xr:uid="{00000000-0005-0000-0000-0000991A0000}"/>
    <cellStyle name="Calculation 5 2" xfId="34084" xr:uid="{00000000-0005-0000-0000-00009A1A0000}"/>
    <cellStyle name="Calculation 6" xfId="34085" xr:uid="{00000000-0005-0000-0000-00009B1A0000}"/>
    <cellStyle name="Calculation 6 2" xfId="34086" xr:uid="{00000000-0005-0000-0000-00009C1A0000}"/>
    <cellStyle name="Calculation 7" xfId="34087" xr:uid="{00000000-0005-0000-0000-00009D1A0000}"/>
    <cellStyle name="Calculation 7 2" xfId="34088" xr:uid="{00000000-0005-0000-0000-00009E1A0000}"/>
    <cellStyle name="Calculation 8" xfId="34089" xr:uid="{00000000-0005-0000-0000-00009F1A0000}"/>
    <cellStyle name="Calculation 8 2" xfId="34090" xr:uid="{00000000-0005-0000-0000-0000A01A0000}"/>
    <cellStyle name="Calculation 9" xfId="34091" xr:uid="{00000000-0005-0000-0000-0000A11A0000}"/>
    <cellStyle name="Calculation 9 2" xfId="34092" xr:uid="{00000000-0005-0000-0000-0000A21A0000}"/>
    <cellStyle name="category" xfId="1778" xr:uid="{00000000-0005-0000-0000-0000A31A0000}"/>
    <cellStyle name="Centered Heading" xfId="1779" xr:uid="{00000000-0005-0000-0000-0000A41A0000}"/>
    <cellStyle name="Cerrency_Sheet2_XANGDAU" xfId="1780" xr:uid="{00000000-0005-0000-0000-0000A51A0000}"/>
    <cellStyle name="Check Cell" xfId="2169" builtinId="23" customBuiltin="1"/>
    <cellStyle name="Check Cell 10" xfId="34093" xr:uid="{00000000-0005-0000-0000-0000A71A0000}"/>
    <cellStyle name="Check Cell 11" xfId="34094" xr:uid="{00000000-0005-0000-0000-0000A81A0000}"/>
    <cellStyle name="Check Cell 12" xfId="34095" xr:uid="{00000000-0005-0000-0000-0000A91A0000}"/>
    <cellStyle name="Check Cell 13" xfId="34096" xr:uid="{00000000-0005-0000-0000-0000AA1A0000}"/>
    <cellStyle name="Check Cell 14" xfId="34097" xr:uid="{00000000-0005-0000-0000-0000AB1A0000}"/>
    <cellStyle name="Check Cell 15" xfId="34098" xr:uid="{00000000-0005-0000-0000-0000AC1A0000}"/>
    <cellStyle name="Check Cell 2" xfId="3380" xr:uid="{00000000-0005-0000-0000-0000AD1A0000}"/>
    <cellStyle name="Check Cell 3" xfId="4774" xr:uid="{00000000-0005-0000-0000-0000AE1A0000}"/>
    <cellStyle name="Check Cell 4" xfId="6941" xr:uid="{00000000-0005-0000-0000-0000AF1A0000}"/>
    <cellStyle name="Check Cell 5" xfId="34099" xr:uid="{00000000-0005-0000-0000-0000B01A0000}"/>
    <cellStyle name="Check Cell 6" xfId="34100" xr:uid="{00000000-0005-0000-0000-0000B11A0000}"/>
    <cellStyle name="Check Cell 7" xfId="34101" xr:uid="{00000000-0005-0000-0000-0000B21A0000}"/>
    <cellStyle name="Check Cell 8" xfId="34102" xr:uid="{00000000-0005-0000-0000-0000B31A0000}"/>
    <cellStyle name="Check Cell 9" xfId="34103" xr:uid="{00000000-0005-0000-0000-0000B41A0000}"/>
    <cellStyle name="CHUONG" xfId="1781" xr:uid="{00000000-0005-0000-0000-0000B51A0000}"/>
    <cellStyle name="Column_Title" xfId="1782" xr:uid="{00000000-0005-0000-0000-0000B61A0000}"/>
    <cellStyle name="Comma" xfId="1783" builtinId="3"/>
    <cellStyle name="Comma  - Style1" xfId="1784" xr:uid="{00000000-0005-0000-0000-0000B81A0000}"/>
    <cellStyle name="Comma  - Style2" xfId="1785" xr:uid="{00000000-0005-0000-0000-0000B91A0000}"/>
    <cellStyle name="Comma  - Style3" xfId="1786" xr:uid="{00000000-0005-0000-0000-0000BA1A0000}"/>
    <cellStyle name="Comma  - Style4" xfId="1787" xr:uid="{00000000-0005-0000-0000-0000BB1A0000}"/>
    <cellStyle name="Comma  - Style5" xfId="1788" xr:uid="{00000000-0005-0000-0000-0000BC1A0000}"/>
    <cellStyle name="Comma  - Style6" xfId="1789" xr:uid="{00000000-0005-0000-0000-0000BD1A0000}"/>
    <cellStyle name="Comma  - Style7" xfId="1790" xr:uid="{00000000-0005-0000-0000-0000BE1A0000}"/>
    <cellStyle name="Comma  - Style8" xfId="1791" xr:uid="{00000000-0005-0000-0000-0000BF1A0000}"/>
    <cellStyle name="Comma %" xfId="1792" xr:uid="{00000000-0005-0000-0000-0000C01A0000}"/>
    <cellStyle name="Comma [0] 10" xfId="6943" xr:uid="{00000000-0005-0000-0000-0000C11A0000}"/>
    <cellStyle name="Comma [0] 11" xfId="9502" xr:uid="{00000000-0005-0000-0000-0000C21A0000}"/>
    <cellStyle name="Comma [0] 12" xfId="11790" xr:uid="{00000000-0005-0000-0000-0000C31A0000}"/>
    <cellStyle name="Comma [0] 13" xfId="33780" xr:uid="{00000000-0005-0000-0000-0000C41A0000}"/>
    <cellStyle name="Comma [0] 2" xfId="3026" xr:uid="{00000000-0005-0000-0000-0000C51A0000}"/>
    <cellStyle name="Comma [0] 2 10" xfId="34104" xr:uid="{00000000-0005-0000-0000-0000C61A0000}"/>
    <cellStyle name="Comma [0] 2 10 2" xfId="34650" xr:uid="{00000000-0005-0000-0000-0000C71A0000}"/>
    <cellStyle name="Comma [0] 2 11" xfId="34105" xr:uid="{00000000-0005-0000-0000-0000C81A0000}"/>
    <cellStyle name="Comma [0] 2 11 2" xfId="34651" xr:uid="{00000000-0005-0000-0000-0000C91A0000}"/>
    <cellStyle name="Comma [0] 2 12" xfId="34106" xr:uid="{00000000-0005-0000-0000-0000CA1A0000}"/>
    <cellStyle name="Comma [0] 2 12 2" xfId="34652" xr:uid="{00000000-0005-0000-0000-0000CB1A0000}"/>
    <cellStyle name="Comma [0] 2 13" xfId="34107" xr:uid="{00000000-0005-0000-0000-0000CC1A0000}"/>
    <cellStyle name="Comma [0] 2 13 2" xfId="34653" xr:uid="{00000000-0005-0000-0000-0000CD1A0000}"/>
    <cellStyle name="Comma [0] 2 14" xfId="34108" xr:uid="{00000000-0005-0000-0000-0000CE1A0000}"/>
    <cellStyle name="Comma [0] 2 14 2" xfId="34654" xr:uid="{00000000-0005-0000-0000-0000CF1A0000}"/>
    <cellStyle name="Comma [0] 2 15" xfId="34109" xr:uid="{00000000-0005-0000-0000-0000D01A0000}"/>
    <cellStyle name="Comma [0] 2 15 2" xfId="34655" xr:uid="{00000000-0005-0000-0000-0000D11A0000}"/>
    <cellStyle name="Comma [0] 2 16" xfId="34656" xr:uid="{00000000-0005-0000-0000-0000D21A0000}"/>
    <cellStyle name="Comma [0] 2 17" xfId="34657" xr:uid="{00000000-0005-0000-0000-0000D31A0000}"/>
    <cellStyle name="Comma [0] 2 18" xfId="34658" xr:uid="{00000000-0005-0000-0000-0000D41A0000}"/>
    <cellStyle name="Comma [0] 2 19" xfId="34659" xr:uid="{00000000-0005-0000-0000-0000D51A0000}"/>
    <cellStyle name="Comma [0] 2 2" xfId="34110" xr:uid="{00000000-0005-0000-0000-0000D61A0000}"/>
    <cellStyle name="Comma [0] 2 2 2" xfId="34660" xr:uid="{00000000-0005-0000-0000-0000D71A0000}"/>
    <cellStyle name="Comma [0] 2 20" xfId="34661" xr:uid="{00000000-0005-0000-0000-0000D81A0000}"/>
    <cellStyle name="Comma [0] 2 21" xfId="34662" xr:uid="{00000000-0005-0000-0000-0000D91A0000}"/>
    <cellStyle name="Comma [0] 2 22" xfId="34663" xr:uid="{00000000-0005-0000-0000-0000DA1A0000}"/>
    <cellStyle name="Comma [0] 2 23" xfId="34664" xr:uid="{00000000-0005-0000-0000-0000DB1A0000}"/>
    <cellStyle name="Comma [0] 2 24" xfId="34665" xr:uid="{00000000-0005-0000-0000-0000DC1A0000}"/>
    <cellStyle name="Comma [0] 2 25" xfId="34666" xr:uid="{00000000-0005-0000-0000-0000DD1A0000}"/>
    <cellStyle name="Comma [0] 2 26" xfId="34667" xr:uid="{00000000-0005-0000-0000-0000DE1A0000}"/>
    <cellStyle name="Comma [0] 2 27" xfId="34668" xr:uid="{00000000-0005-0000-0000-0000DF1A0000}"/>
    <cellStyle name="Comma [0] 2 28" xfId="34669" xr:uid="{00000000-0005-0000-0000-0000E01A0000}"/>
    <cellStyle name="Comma [0] 2 29" xfId="34670" xr:uid="{00000000-0005-0000-0000-0000E11A0000}"/>
    <cellStyle name="Comma [0] 2 3" xfId="34111" xr:uid="{00000000-0005-0000-0000-0000E21A0000}"/>
    <cellStyle name="Comma [0] 2 3 2" xfId="34671" xr:uid="{00000000-0005-0000-0000-0000E31A0000}"/>
    <cellStyle name="Comma [0] 2 30" xfId="34672" xr:uid="{00000000-0005-0000-0000-0000E41A0000}"/>
    <cellStyle name="Comma [0] 2 31" xfId="34673" xr:uid="{00000000-0005-0000-0000-0000E51A0000}"/>
    <cellStyle name="Comma [0] 2 32" xfId="34674" xr:uid="{00000000-0005-0000-0000-0000E61A0000}"/>
    <cellStyle name="Comma [0] 2 33" xfId="34675" xr:uid="{00000000-0005-0000-0000-0000E71A0000}"/>
    <cellStyle name="Comma [0] 2 34" xfId="34676" xr:uid="{00000000-0005-0000-0000-0000E81A0000}"/>
    <cellStyle name="Comma [0] 2 35" xfId="34677" xr:uid="{00000000-0005-0000-0000-0000E91A0000}"/>
    <cellStyle name="Comma [0] 2 36" xfId="34678" xr:uid="{00000000-0005-0000-0000-0000EA1A0000}"/>
    <cellStyle name="Comma [0] 2 37" xfId="34679" xr:uid="{00000000-0005-0000-0000-0000EB1A0000}"/>
    <cellStyle name="Comma [0] 2 38" xfId="34680" xr:uid="{00000000-0005-0000-0000-0000EC1A0000}"/>
    <cellStyle name="Comma [0] 2 39" xfId="34681" xr:uid="{00000000-0005-0000-0000-0000ED1A0000}"/>
    <cellStyle name="Comma [0] 2 4" xfId="34112" xr:uid="{00000000-0005-0000-0000-0000EE1A0000}"/>
    <cellStyle name="Comma [0] 2 4 2" xfId="34682" xr:uid="{00000000-0005-0000-0000-0000EF1A0000}"/>
    <cellStyle name="Comma [0] 2 40" xfId="34683" xr:uid="{00000000-0005-0000-0000-0000F01A0000}"/>
    <cellStyle name="Comma [0] 2 41" xfId="34684" xr:uid="{00000000-0005-0000-0000-0000F11A0000}"/>
    <cellStyle name="Comma [0] 2 42" xfId="34685" xr:uid="{00000000-0005-0000-0000-0000F21A0000}"/>
    <cellStyle name="Comma [0] 2 43" xfId="34686" xr:uid="{00000000-0005-0000-0000-0000F31A0000}"/>
    <cellStyle name="Comma [0] 2 44" xfId="34687" xr:uid="{00000000-0005-0000-0000-0000F41A0000}"/>
    <cellStyle name="Comma [0] 2 45" xfId="34688" xr:uid="{00000000-0005-0000-0000-0000F51A0000}"/>
    <cellStyle name="Comma [0] 2 46" xfId="34689" xr:uid="{00000000-0005-0000-0000-0000F61A0000}"/>
    <cellStyle name="Comma [0] 2 47" xfId="34690" xr:uid="{00000000-0005-0000-0000-0000F71A0000}"/>
    <cellStyle name="Comma [0] 2 48" xfId="34691" xr:uid="{00000000-0005-0000-0000-0000F81A0000}"/>
    <cellStyle name="Comma [0] 2 49" xfId="34692" xr:uid="{00000000-0005-0000-0000-0000F91A0000}"/>
    <cellStyle name="Comma [0] 2 5" xfId="34113" xr:uid="{00000000-0005-0000-0000-0000FA1A0000}"/>
    <cellStyle name="Comma [0] 2 5 2" xfId="34693" xr:uid="{00000000-0005-0000-0000-0000FB1A0000}"/>
    <cellStyle name="Comma [0] 2 50" xfId="34694" xr:uid="{00000000-0005-0000-0000-0000FC1A0000}"/>
    <cellStyle name="Comma [0] 2 51" xfId="34695" xr:uid="{00000000-0005-0000-0000-0000FD1A0000}"/>
    <cellStyle name="Comma [0] 2 52" xfId="34696" xr:uid="{00000000-0005-0000-0000-0000FE1A0000}"/>
    <cellStyle name="Comma [0] 2 53" xfId="34697" xr:uid="{00000000-0005-0000-0000-0000FF1A0000}"/>
    <cellStyle name="Comma [0] 2 54" xfId="34698" xr:uid="{00000000-0005-0000-0000-0000001B0000}"/>
    <cellStyle name="Comma [0] 2 55" xfId="34699" xr:uid="{00000000-0005-0000-0000-0000011B0000}"/>
    <cellStyle name="Comma [0] 2 56" xfId="34700" xr:uid="{00000000-0005-0000-0000-0000021B0000}"/>
    <cellStyle name="Comma [0] 2 57" xfId="34701" xr:uid="{00000000-0005-0000-0000-0000031B0000}"/>
    <cellStyle name="Comma [0] 2 58" xfId="34702" xr:uid="{00000000-0005-0000-0000-0000041B0000}"/>
    <cellStyle name="Comma [0] 2 59" xfId="34703" xr:uid="{00000000-0005-0000-0000-0000051B0000}"/>
    <cellStyle name="Comma [0] 2 6" xfId="34114" xr:uid="{00000000-0005-0000-0000-0000061B0000}"/>
    <cellStyle name="Comma [0] 2 6 2" xfId="34704" xr:uid="{00000000-0005-0000-0000-0000071B0000}"/>
    <cellStyle name="Comma [0] 2 60" xfId="34705" xr:uid="{00000000-0005-0000-0000-0000081B0000}"/>
    <cellStyle name="Comma [0] 2 61" xfId="34649" xr:uid="{00000000-0005-0000-0000-0000091B0000}"/>
    <cellStyle name="Comma [0] 2 7" xfId="34115" xr:uid="{00000000-0005-0000-0000-00000A1B0000}"/>
    <cellStyle name="Comma [0] 2 7 2" xfId="34706" xr:uid="{00000000-0005-0000-0000-00000B1B0000}"/>
    <cellStyle name="Comma [0] 2 8" xfId="34116" xr:uid="{00000000-0005-0000-0000-00000C1B0000}"/>
    <cellStyle name="Comma [0] 2 8 2" xfId="34707" xr:uid="{00000000-0005-0000-0000-00000D1B0000}"/>
    <cellStyle name="Comma [0] 2 9" xfId="34117" xr:uid="{00000000-0005-0000-0000-00000E1B0000}"/>
    <cellStyle name="Comma [0] 2 9 2" xfId="34708" xr:uid="{00000000-0005-0000-0000-00000F1B0000}"/>
    <cellStyle name="Comma [0] 3" xfId="3382" xr:uid="{00000000-0005-0000-0000-0000101B0000}"/>
    <cellStyle name="Comma [0] 3 2" xfId="34118" xr:uid="{00000000-0005-0000-0000-0000111B0000}"/>
    <cellStyle name="Comma [0] 3 2 2" xfId="34709" xr:uid="{00000000-0005-0000-0000-0000121B0000}"/>
    <cellStyle name="Comma [0] 3 3" xfId="34119" xr:uid="{00000000-0005-0000-0000-0000131B0000}"/>
    <cellStyle name="Comma [0] 3 3 2" xfId="34710" xr:uid="{00000000-0005-0000-0000-0000141B0000}"/>
    <cellStyle name="Comma [0] 3 4" xfId="33852" xr:uid="{00000000-0005-0000-0000-0000151B0000}"/>
    <cellStyle name="Comma [0] 3 4 2" xfId="34711" xr:uid="{00000000-0005-0000-0000-0000161B0000}"/>
    <cellStyle name="Comma [0] 3 5" xfId="34712" xr:uid="{00000000-0005-0000-0000-0000171B0000}"/>
    <cellStyle name="Comma [0] 3 6" xfId="34713" xr:uid="{00000000-0005-0000-0000-0000181B0000}"/>
    <cellStyle name="Comma [0] 4" xfId="3957" xr:uid="{00000000-0005-0000-0000-0000191B0000}"/>
    <cellStyle name="Comma [0] 4 2" xfId="4114" xr:uid="{00000000-0005-0000-0000-00001A1B0000}"/>
    <cellStyle name="Comma [0] 5" xfId="4118" xr:uid="{00000000-0005-0000-0000-00001B1B0000}"/>
    <cellStyle name="Comma [0] 6" xfId="4123" xr:uid="{00000000-0005-0000-0000-00001C1B0000}"/>
    <cellStyle name="Comma [0] 7" xfId="4127" xr:uid="{00000000-0005-0000-0000-00001D1B0000}"/>
    <cellStyle name="Comma [0] 8" xfId="4778" xr:uid="{00000000-0005-0000-0000-00001E1B0000}"/>
    <cellStyle name="Comma [0] 9" xfId="4131" xr:uid="{00000000-0005-0000-0000-00001F1B0000}"/>
    <cellStyle name="Comma [00]" xfId="1793" xr:uid="{00000000-0005-0000-0000-0000201B0000}"/>
    <cellStyle name="Comma [00] 2" xfId="3383" xr:uid="{00000000-0005-0000-0000-0000211B0000}"/>
    <cellStyle name="Comma 0.0" xfId="1794" xr:uid="{00000000-0005-0000-0000-0000221B0000}"/>
    <cellStyle name="Comma 0.0%" xfId="1795" xr:uid="{00000000-0005-0000-0000-0000231B0000}"/>
    <cellStyle name="Comma 0.00" xfId="1796" xr:uid="{00000000-0005-0000-0000-0000241B0000}"/>
    <cellStyle name="Comma 0.00%" xfId="1797" xr:uid="{00000000-0005-0000-0000-0000251B0000}"/>
    <cellStyle name="Comma 0.000" xfId="1798" xr:uid="{00000000-0005-0000-0000-0000261B0000}"/>
    <cellStyle name="Comma 0.000%" xfId="1799" xr:uid="{00000000-0005-0000-0000-0000271B0000}"/>
    <cellStyle name="Comma 10" xfId="4132" xr:uid="{00000000-0005-0000-0000-0000281B0000}"/>
    <cellStyle name="Comma 10 10" xfId="34714" xr:uid="{00000000-0005-0000-0000-0000291B0000}"/>
    <cellStyle name="Comma 10 11" xfId="34715" xr:uid="{00000000-0005-0000-0000-00002A1B0000}"/>
    <cellStyle name="Comma 10 12" xfId="34716" xr:uid="{00000000-0005-0000-0000-00002B1B0000}"/>
    <cellStyle name="Comma 10 13" xfId="34717" xr:uid="{00000000-0005-0000-0000-00002C1B0000}"/>
    <cellStyle name="Comma 10 14" xfId="34718" xr:uid="{00000000-0005-0000-0000-00002D1B0000}"/>
    <cellStyle name="Comma 10 15" xfId="34719" xr:uid="{00000000-0005-0000-0000-00002E1B0000}"/>
    <cellStyle name="Comma 10 16" xfId="34720" xr:uid="{00000000-0005-0000-0000-00002F1B0000}"/>
    <cellStyle name="Comma 10 17" xfId="34721" xr:uid="{00000000-0005-0000-0000-0000301B0000}"/>
    <cellStyle name="Comma 10 18" xfId="34722" xr:uid="{00000000-0005-0000-0000-0000311B0000}"/>
    <cellStyle name="Comma 10 19" xfId="34723" xr:uid="{00000000-0005-0000-0000-0000321B0000}"/>
    <cellStyle name="Comma 10 2" xfId="34645" xr:uid="{00000000-0005-0000-0000-0000331B0000}"/>
    <cellStyle name="Comma 10 20" xfId="34724" xr:uid="{00000000-0005-0000-0000-0000341B0000}"/>
    <cellStyle name="Comma 10 21" xfId="34725" xr:uid="{00000000-0005-0000-0000-0000351B0000}"/>
    <cellStyle name="Comma 10 22" xfId="34726" xr:uid="{00000000-0005-0000-0000-0000361B0000}"/>
    <cellStyle name="Comma 10 23" xfId="34727" xr:uid="{00000000-0005-0000-0000-0000371B0000}"/>
    <cellStyle name="Comma 10 24" xfId="34728" xr:uid="{00000000-0005-0000-0000-0000381B0000}"/>
    <cellStyle name="Comma 10 25" xfId="34729" xr:uid="{00000000-0005-0000-0000-0000391B0000}"/>
    <cellStyle name="Comma 10 26" xfId="34730" xr:uid="{00000000-0005-0000-0000-00003A1B0000}"/>
    <cellStyle name="Comma 10 27" xfId="34731" xr:uid="{00000000-0005-0000-0000-00003B1B0000}"/>
    <cellStyle name="Comma 10 28" xfId="34732" xr:uid="{00000000-0005-0000-0000-00003C1B0000}"/>
    <cellStyle name="Comma 10 29" xfId="34733" xr:uid="{00000000-0005-0000-0000-00003D1B0000}"/>
    <cellStyle name="Comma 10 3" xfId="34734" xr:uid="{00000000-0005-0000-0000-00003E1B0000}"/>
    <cellStyle name="Comma 10 30" xfId="34735" xr:uid="{00000000-0005-0000-0000-00003F1B0000}"/>
    <cellStyle name="Comma 10 31" xfId="34736" xr:uid="{00000000-0005-0000-0000-0000401B0000}"/>
    <cellStyle name="Comma 10 32" xfId="34737" xr:uid="{00000000-0005-0000-0000-0000411B0000}"/>
    <cellStyle name="Comma 10 33" xfId="34738" xr:uid="{00000000-0005-0000-0000-0000421B0000}"/>
    <cellStyle name="Comma 10 34" xfId="34739" xr:uid="{00000000-0005-0000-0000-0000431B0000}"/>
    <cellStyle name="Comma 10 35" xfId="34740" xr:uid="{00000000-0005-0000-0000-0000441B0000}"/>
    <cellStyle name="Comma 10 36" xfId="34741" xr:uid="{00000000-0005-0000-0000-0000451B0000}"/>
    <cellStyle name="Comma 10 37" xfId="34742" xr:uid="{00000000-0005-0000-0000-0000461B0000}"/>
    <cellStyle name="Comma 10 38" xfId="34743" xr:uid="{00000000-0005-0000-0000-0000471B0000}"/>
    <cellStyle name="Comma 10 39" xfId="34744" xr:uid="{00000000-0005-0000-0000-0000481B0000}"/>
    <cellStyle name="Comma 10 4" xfId="34745" xr:uid="{00000000-0005-0000-0000-0000491B0000}"/>
    <cellStyle name="Comma 10 40" xfId="34746" xr:uid="{00000000-0005-0000-0000-00004A1B0000}"/>
    <cellStyle name="Comma 10 41" xfId="34747" xr:uid="{00000000-0005-0000-0000-00004B1B0000}"/>
    <cellStyle name="Comma 10 42" xfId="34748" xr:uid="{00000000-0005-0000-0000-00004C1B0000}"/>
    <cellStyle name="Comma 10 43" xfId="34749" xr:uid="{00000000-0005-0000-0000-00004D1B0000}"/>
    <cellStyle name="Comma 10 44" xfId="34750" xr:uid="{00000000-0005-0000-0000-00004E1B0000}"/>
    <cellStyle name="Comma 10 45" xfId="34751" xr:uid="{00000000-0005-0000-0000-00004F1B0000}"/>
    <cellStyle name="Comma 10 46" xfId="34752" xr:uid="{00000000-0005-0000-0000-0000501B0000}"/>
    <cellStyle name="Comma 10 47" xfId="34753" xr:uid="{00000000-0005-0000-0000-0000511B0000}"/>
    <cellStyle name="Comma 10 48" xfId="34754" xr:uid="{00000000-0005-0000-0000-0000521B0000}"/>
    <cellStyle name="Comma 10 49" xfId="34755" xr:uid="{00000000-0005-0000-0000-0000531B0000}"/>
    <cellStyle name="Comma 10 5" xfId="34756" xr:uid="{00000000-0005-0000-0000-0000541B0000}"/>
    <cellStyle name="Comma 10 50" xfId="34757" xr:uid="{00000000-0005-0000-0000-0000551B0000}"/>
    <cellStyle name="Comma 10 51" xfId="34758" xr:uid="{00000000-0005-0000-0000-0000561B0000}"/>
    <cellStyle name="Comma 10 52" xfId="34759" xr:uid="{00000000-0005-0000-0000-0000571B0000}"/>
    <cellStyle name="Comma 10 53" xfId="34760" xr:uid="{00000000-0005-0000-0000-0000581B0000}"/>
    <cellStyle name="Comma 10 54" xfId="34761" xr:uid="{00000000-0005-0000-0000-0000591B0000}"/>
    <cellStyle name="Comma 10 55" xfId="34762" xr:uid="{00000000-0005-0000-0000-00005A1B0000}"/>
    <cellStyle name="Comma 10 56" xfId="34763" xr:uid="{00000000-0005-0000-0000-00005B1B0000}"/>
    <cellStyle name="Comma 10 57" xfId="34764" xr:uid="{00000000-0005-0000-0000-00005C1B0000}"/>
    <cellStyle name="Comma 10 58" xfId="34765" xr:uid="{00000000-0005-0000-0000-00005D1B0000}"/>
    <cellStyle name="Comma 10 59" xfId="34766" xr:uid="{00000000-0005-0000-0000-00005E1B0000}"/>
    <cellStyle name="Comma 10 6" xfId="34767" xr:uid="{00000000-0005-0000-0000-00005F1B0000}"/>
    <cellStyle name="Comma 10 60" xfId="34768" xr:uid="{00000000-0005-0000-0000-0000601B0000}"/>
    <cellStyle name="Comma 10 7" xfId="34769" xr:uid="{00000000-0005-0000-0000-0000611B0000}"/>
    <cellStyle name="Comma 10 8" xfId="34770" xr:uid="{00000000-0005-0000-0000-0000621B0000}"/>
    <cellStyle name="Comma 10 9" xfId="34771" xr:uid="{00000000-0005-0000-0000-0000631B0000}"/>
    <cellStyle name="Comma 11" xfId="5699" xr:uid="{00000000-0005-0000-0000-0000641B0000}"/>
    <cellStyle name="Comma 11 10" xfId="34773" xr:uid="{00000000-0005-0000-0000-0000651B0000}"/>
    <cellStyle name="Comma 11 11" xfId="34774" xr:uid="{00000000-0005-0000-0000-0000661B0000}"/>
    <cellStyle name="Comma 11 12" xfId="34775" xr:uid="{00000000-0005-0000-0000-0000671B0000}"/>
    <cellStyle name="Comma 11 13" xfId="34776" xr:uid="{00000000-0005-0000-0000-0000681B0000}"/>
    <cellStyle name="Comma 11 14" xfId="34777" xr:uid="{00000000-0005-0000-0000-0000691B0000}"/>
    <cellStyle name="Comma 11 15" xfId="34778" xr:uid="{00000000-0005-0000-0000-00006A1B0000}"/>
    <cellStyle name="Comma 11 16" xfId="34779" xr:uid="{00000000-0005-0000-0000-00006B1B0000}"/>
    <cellStyle name="Comma 11 17" xfId="34780" xr:uid="{00000000-0005-0000-0000-00006C1B0000}"/>
    <cellStyle name="Comma 11 18" xfId="34781" xr:uid="{00000000-0005-0000-0000-00006D1B0000}"/>
    <cellStyle name="Comma 11 19" xfId="34782" xr:uid="{00000000-0005-0000-0000-00006E1B0000}"/>
    <cellStyle name="Comma 11 2" xfId="34783" xr:uid="{00000000-0005-0000-0000-00006F1B0000}"/>
    <cellStyle name="Comma 11 20" xfId="34784" xr:uid="{00000000-0005-0000-0000-0000701B0000}"/>
    <cellStyle name="Comma 11 21" xfId="34785" xr:uid="{00000000-0005-0000-0000-0000711B0000}"/>
    <cellStyle name="Comma 11 22" xfId="34786" xr:uid="{00000000-0005-0000-0000-0000721B0000}"/>
    <cellStyle name="Comma 11 23" xfId="34787" xr:uid="{00000000-0005-0000-0000-0000731B0000}"/>
    <cellStyle name="Comma 11 24" xfId="34788" xr:uid="{00000000-0005-0000-0000-0000741B0000}"/>
    <cellStyle name="Comma 11 25" xfId="34789" xr:uid="{00000000-0005-0000-0000-0000751B0000}"/>
    <cellStyle name="Comma 11 26" xfId="34790" xr:uid="{00000000-0005-0000-0000-0000761B0000}"/>
    <cellStyle name="Comma 11 27" xfId="34791" xr:uid="{00000000-0005-0000-0000-0000771B0000}"/>
    <cellStyle name="Comma 11 28" xfId="34792" xr:uid="{00000000-0005-0000-0000-0000781B0000}"/>
    <cellStyle name="Comma 11 29" xfId="34793" xr:uid="{00000000-0005-0000-0000-0000791B0000}"/>
    <cellStyle name="Comma 11 3" xfId="34794" xr:uid="{00000000-0005-0000-0000-00007A1B0000}"/>
    <cellStyle name="Comma 11 30" xfId="34795" xr:uid="{00000000-0005-0000-0000-00007B1B0000}"/>
    <cellStyle name="Comma 11 31" xfId="34796" xr:uid="{00000000-0005-0000-0000-00007C1B0000}"/>
    <cellStyle name="Comma 11 32" xfId="34797" xr:uid="{00000000-0005-0000-0000-00007D1B0000}"/>
    <cellStyle name="Comma 11 33" xfId="34798" xr:uid="{00000000-0005-0000-0000-00007E1B0000}"/>
    <cellStyle name="Comma 11 34" xfId="34799" xr:uid="{00000000-0005-0000-0000-00007F1B0000}"/>
    <cellStyle name="Comma 11 35" xfId="34800" xr:uid="{00000000-0005-0000-0000-0000801B0000}"/>
    <cellStyle name="Comma 11 36" xfId="34801" xr:uid="{00000000-0005-0000-0000-0000811B0000}"/>
    <cellStyle name="Comma 11 37" xfId="34802" xr:uid="{00000000-0005-0000-0000-0000821B0000}"/>
    <cellStyle name="Comma 11 38" xfId="34803" xr:uid="{00000000-0005-0000-0000-0000831B0000}"/>
    <cellStyle name="Comma 11 39" xfId="34804" xr:uid="{00000000-0005-0000-0000-0000841B0000}"/>
    <cellStyle name="Comma 11 4" xfId="34805" xr:uid="{00000000-0005-0000-0000-0000851B0000}"/>
    <cellStyle name="Comma 11 40" xfId="34806" xr:uid="{00000000-0005-0000-0000-0000861B0000}"/>
    <cellStyle name="Comma 11 41" xfId="34807" xr:uid="{00000000-0005-0000-0000-0000871B0000}"/>
    <cellStyle name="Comma 11 42" xfId="34808" xr:uid="{00000000-0005-0000-0000-0000881B0000}"/>
    <cellStyle name="Comma 11 43" xfId="34809" xr:uid="{00000000-0005-0000-0000-0000891B0000}"/>
    <cellStyle name="Comma 11 44" xfId="34810" xr:uid="{00000000-0005-0000-0000-00008A1B0000}"/>
    <cellStyle name="Comma 11 45" xfId="34811" xr:uid="{00000000-0005-0000-0000-00008B1B0000}"/>
    <cellStyle name="Comma 11 46" xfId="34812" xr:uid="{00000000-0005-0000-0000-00008C1B0000}"/>
    <cellStyle name="Comma 11 47" xfId="34813" xr:uid="{00000000-0005-0000-0000-00008D1B0000}"/>
    <cellStyle name="Comma 11 48" xfId="34814" xr:uid="{00000000-0005-0000-0000-00008E1B0000}"/>
    <cellStyle name="Comma 11 49" xfId="34815" xr:uid="{00000000-0005-0000-0000-00008F1B0000}"/>
    <cellStyle name="Comma 11 5" xfId="34816" xr:uid="{00000000-0005-0000-0000-0000901B0000}"/>
    <cellStyle name="Comma 11 50" xfId="34817" xr:uid="{00000000-0005-0000-0000-0000911B0000}"/>
    <cellStyle name="Comma 11 51" xfId="34818" xr:uid="{00000000-0005-0000-0000-0000921B0000}"/>
    <cellStyle name="Comma 11 52" xfId="34819" xr:uid="{00000000-0005-0000-0000-0000931B0000}"/>
    <cellStyle name="Comma 11 53" xfId="34820" xr:uid="{00000000-0005-0000-0000-0000941B0000}"/>
    <cellStyle name="Comma 11 54" xfId="34821" xr:uid="{00000000-0005-0000-0000-0000951B0000}"/>
    <cellStyle name="Comma 11 55" xfId="34822" xr:uid="{00000000-0005-0000-0000-0000961B0000}"/>
    <cellStyle name="Comma 11 56" xfId="34823" xr:uid="{00000000-0005-0000-0000-0000971B0000}"/>
    <cellStyle name="Comma 11 57" xfId="34824" xr:uid="{00000000-0005-0000-0000-0000981B0000}"/>
    <cellStyle name="Comma 11 58" xfId="34825" xr:uid="{00000000-0005-0000-0000-0000991B0000}"/>
    <cellStyle name="Comma 11 59" xfId="34826" xr:uid="{00000000-0005-0000-0000-00009A1B0000}"/>
    <cellStyle name="Comma 11 6" xfId="34827" xr:uid="{00000000-0005-0000-0000-00009B1B0000}"/>
    <cellStyle name="Comma 11 60" xfId="34828" xr:uid="{00000000-0005-0000-0000-00009C1B0000}"/>
    <cellStyle name="Comma 11 61" xfId="34772" xr:uid="{00000000-0005-0000-0000-00009D1B0000}"/>
    <cellStyle name="Comma 11 7" xfId="34829" xr:uid="{00000000-0005-0000-0000-00009E1B0000}"/>
    <cellStyle name="Comma 11 8" xfId="34830" xr:uid="{00000000-0005-0000-0000-00009F1B0000}"/>
    <cellStyle name="Comma 11 9" xfId="34831" xr:uid="{00000000-0005-0000-0000-0000A01B0000}"/>
    <cellStyle name="Comma 12" xfId="5781" xr:uid="{00000000-0005-0000-0000-0000A11B0000}"/>
    <cellStyle name="Comma 12 10" xfId="34833" xr:uid="{00000000-0005-0000-0000-0000A21B0000}"/>
    <cellStyle name="Comma 12 11" xfId="34834" xr:uid="{00000000-0005-0000-0000-0000A31B0000}"/>
    <cellStyle name="Comma 12 12" xfId="34835" xr:uid="{00000000-0005-0000-0000-0000A41B0000}"/>
    <cellStyle name="Comma 12 13" xfId="34836" xr:uid="{00000000-0005-0000-0000-0000A51B0000}"/>
    <cellStyle name="Comma 12 14" xfId="34837" xr:uid="{00000000-0005-0000-0000-0000A61B0000}"/>
    <cellStyle name="Comma 12 15" xfId="34838" xr:uid="{00000000-0005-0000-0000-0000A71B0000}"/>
    <cellStyle name="Comma 12 16" xfId="34839" xr:uid="{00000000-0005-0000-0000-0000A81B0000}"/>
    <cellStyle name="Comma 12 17" xfId="34840" xr:uid="{00000000-0005-0000-0000-0000A91B0000}"/>
    <cellStyle name="Comma 12 18" xfId="34841" xr:uid="{00000000-0005-0000-0000-0000AA1B0000}"/>
    <cellStyle name="Comma 12 19" xfId="34842" xr:uid="{00000000-0005-0000-0000-0000AB1B0000}"/>
    <cellStyle name="Comma 12 2" xfId="34843" xr:uid="{00000000-0005-0000-0000-0000AC1B0000}"/>
    <cellStyle name="Comma 12 20" xfId="34844" xr:uid="{00000000-0005-0000-0000-0000AD1B0000}"/>
    <cellStyle name="Comma 12 21" xfId="34845" xr:uid="{00000000-0005-0000-0000-0000AE1B0000}"/>
    <cellStyle name="Comma 12 22" xfId="34846" xr:uid="{00000000-0005-0000-0000-0000AF1B0000}"/>
    <cellStyle name="Comma 12 23" xfId="34847" xr:uid="{00000000-0005-0000-0000-0000B01B0000}"/>
    <cellStyle name="Comma 12 24" xfId="34848" xr:uid="{00000000-0005-0000-0000-0000B11B0000}"/>
    <cellStyle name="Comma 12 25" xfId="34849" xr:uid="{00000000-0005-0000-0000-0000B21B0000}"/>
    <cellStyle name="Comma 12 26" xfId="34850" xr:uid="{00000000-0005-0000-0000-0000B31B0000}"/>
    <cellStyle name="Comma 12 27" xfId="34851" xr:uid="{00000000-0005-0000-0000-0000B41B0000}"/>
    <cellStyle name="Comma 12 28" xfId="34852" xr:uid="{00000000-0005-0000-0000-0000B51B0000}"/>
    <cellStyle name="Comma 12 29" xfId="34853" xr:uid="{00000000-0005-0000-0000-0000B61B0000}"/>
    <cellStyle name="Comma 12 3" xfId="34854" xr:uid="{00000000-0005-0000-0000-0000B71B0000}"/>
    <cellStyle name="Comma 12 30" xfId="34855" xr:uid="{00000000-0005-0000-0000-0000B81B0000}"/>
    <cellStyle name="Comma 12 31" xfId="34856" xr:uid="{00000000-0005-0000-0000-0000B91B0000}"/>
    <cellStyle name="Comma 12 32" xfId="34857" xr:uid="{00000000-0005-0000-0000-0000BA1B0000}"/>
    <cellStyle name="Comma 12 33" xfId="34858" xr:uid="{00000000-0005-0000-0000-0000BB1B0000}"/>
    <cellStyle name="Comma 12 34" xfId="34859" xr:uid="{00000000-0005-0000-0000-0000BC1B0000}"/>
    <cellStyle name="Comma 12 35" xfId="34860" xr:uid="{00000000-0005-0000-0000-0000BD1B0000}"/>
    <cellStyle name="Comma 12 36" xfId="34861" xr:uid="{00000000-0005-0000-0000-0000BE1B0000}"/>
    <cellStyle name="Comma 12 37" xfId="34862" xr:uid="{00000000-0005-0000-0000-0000BF1B0000}"/>
    <cellStyle name="Comma 12 38" xfId="34863" xr:uid="{00000000-0005-0000-0000-0000C01B0000}"/>
    <cellStyle name="Comma 12 39" xfId="34864" xr:uid="{00000000-0005-0000-0000-0000C11B0000}"/>
    <cellStyle name="Comma 12 4" xfId="34865" xr:uid="{00000000-0005-0000-0000-0000C21B0000}"/>
    <cellStyle name="Comma 12 40" xfId="34866" xr:uid="{00000000-0005-0000-0000-0000C31B0000}"/>
    <cellStyle name="Comma 12 41" xfId="34867" xr:uid="{00000000-0005-0000-0000-0000C41B0000}"/>
    <cellStyle name="Comma 12 42" xfId="34868" xr:uid="{00000000-0005-0000-0000-0000C51B0000}"/>
    <cellStyle name="Comma 12 43" xfId="34869" xr:uid="{00000000-0005-0000-0000-0000C61B0000}"/>
    <cellStyle name="Comma 12 44" xfId="34870" xr:uid="{00000000-0005-0000-0000-0000C71B0000}"/>
    <cellStyle name="Comma 12 45" xfId="34871" xr:uid="{00000000-0005-0000-0000-0000C81B0000}"/>
    <cellStyle name="Comma 12 46" xfId="34872" xr:uid="{00000000-0005-0000-0000-0000C91B0000}"/>
    <cellStyle name="Comma 12 47" xfId="34873" xr:uid="{00000000-0005-0000-0000-0000CA1B0000}"/>
    <cellStyle name="Comma 12 48" xfId="34874" xr:uid="{00000000-0005-0000-0000-0000CB1B0000}"/>
    <cellStyle name="Comma 12 49" xfId="34875" xr:uid="{00000000-0005-0000-0000-0000CC1B0000}"/>
    <cellStyle name="Comma 12 5" xfId="34876" xr:uid="{00000000-0005-0000-0000-0000CD1B0000}"/>
    <cellStyle name="Comma 12 50" xfId="34877" xr:uid="{00000000-0005-0000-0000-0000CE1B0000}"/>
    <cellStyle name="Comma 12 51" xfId="34878" xr:uid="{00000000-0005-0000-0000-0000CF1B0000}"/>
    <cellStyle name="Comma 12 52" xfId="34879" xr:uid="{00000000-0005-0000-0000-0000D01B0000}"/>
    <cellStyle name="Comma 12 53" xfId="34880" xr:uid="{00000000-0005-0000-0000-0000D11B0000}"/>
    <cellStyle name="Comma 12 54" xfId="34881" xr:uid="{00000000-0005-0000-0000-0000D21B0000}"/>
    <cellStyle name="Comma 12 55" xfId="34882" xr:uid="{00000000-0005-0000-0000-0000D31B0000}"/>
    <cellStyle name="Comma 12 56" xfId="34883" xr:uid="{00000000-0005-0000-0000-0000D41B0000}"/>
    <cellStyle name="Comma 12 57" xfId="34884" xr:uid="{00000000-0005-0000-0000-0000D51B0000}"/>
    <cellStyle name="Comma 12 58" xfId="34885" xr:uid="{00000000-0005-0000-0000-0000D61B0000}"/>
    <cellStyle name="Comma 12 59" xfId="34886" xr:uid="{00000000-0005-0000-0000-0000D71B0000}"/>
    <cellStyle name="Comma 12 6" xfId="34887" xr:uid="{00000000-0005-0000-0000-0000D81B0000}"/>
    <cellStyle name="Comma 12 60" xfId="34888" xr:uid="{00000000-0005-0000-0000-0000D91B0000}"/>
    <cellStyle name="Comma 12 61" xfId="34832" xr:uid="{00000000-0005-0000-0000-0000DA1B0000}"/>
    <cellStyle name="Comma 12 7" xfId="34889" xr:uid="{00000000-0005-0000-0000-0000DB1B0000}"/>
    <cellStyle name="Comma 12 8" xfId="34890" xr:uid="{00000000-0005-0000-0000-0000DC1B0000}"/>
    <cellStyle name="Comma 12 9" xfId="34891" xr:uid="{00000000-0005-0000-0000-0000DD1B0000}"/>
    <cellStyle name="Comma 13" xfId="2425" xr:uid="{00000000-0005-0000-0000-0000DE1B0000}"/>
    <cellStyle name="Comma 13 10" xfId="34893" xr:uid="{00000000-0005-0000-0000-0000DF1B0000}"/>
    <cellStyle name="Comma 13 11" xfId="34894" xr:uid="{00000000-0005-0000-0000-0000E01B0000}"/>
    <cellStyle name="Comma 13 12" xfId="34895" xr:uid="{00000000-0005-0000-0000-0000E11B0000}"/>
    <cellStyle name="Comma 13 13" xfId="34896" xr:uid="{00000000-0005-0000-0000-0000E21B0000}"/>
    <cellStyle name="Comma 13 14" xfId="34897" xr:uid="{00000000-0005-0000-0000-0000E31B0000}"/>
    <cellStyle name="Comma 13 15" xfId="34898" xr:uid="{00000000-0005-0000-0000-0000E41B0000}"/>
    <cellStyle name="Comma 13 16" xfId="34899" xr:uid="{00000000-0005-0000-0000-0000E51B0000}"/>
    <cellStyle name="Comma 13 17" xfId="34900" xr:uid="{00000000-0005-0000-0000-0000E61B0000}"/>
    <cellStyle name="Comma 13 18" xfId="34901" xr:uid="{00000000-0005-0000-0000-0000E71B0000}"/>
    <cellStyle name="Comma 13 19" xfId="34902" xr:uid="{00000000-0005-0000-0000-0000E81B0000}"/>
    <cellStyle name="Comma 13 2" xfId="3568" xr:uid="{00000000-0005-0000-0000-0000E91B0000}"/>
    <cellStyle name="Comma 13 2 2" xfId="34903" xr:uid="{00000000-0005-0000-0000-0000EA1B0000}"/>
    <cellStyle name="Comma 13 20" xfId="34904" xr:uid="{00000000-0005-0000-0000-0000EB1B0000}"/>
    <cellStyle name="Comma 13 21" xfId="34905" xr:uid="{00000000-0005-0000-0000-0000EC1B0000}"/>
    <cellStyle name="Comma 13 22" xfId="34906" xr:uid="{00000000-0005-0000-0000-0000ED1B0000}"/>
    <cellStyle name="Comma 13 23" xfId="34907" xr:uid="{00000000-0005-0000-0000-0000EE1B0000}"/>
    <cellStyle name="Comma 13 24" xfId="34908" xr:uid="{00000000-0005-0000-0000-0000EF1B0000}"/>
    <cellStyle name="Comma 13 25" xfId="34909" xr:uid="{00000000-0005-0000-0000-0000F01B0000}"/>
    <cellStyle name="Comma 13 26" xfId="34910" xr:uid="{00000000-0005-0000-0000-0000F11B0000}"/>
    <cellStyle name="Comma 13 27" xfId="34911" xr:uid="{00000000-0005-0000-0000-0000F21B0000}"/>
    <cellStyle name="Comma 13 28" xfId="34912" xr:uid="{00000000-0005-0000-0000-0000F31B0000}"/>
    <cellStyle name="Comma 13 29" xfId="34913" xr:uid="{00000000-0005-0000-0000-0000F41B0000}"/>
    <cellStyle name="Comma 13 3" xfId="34914" xr:uid="{00000000-0005-0000-0000-0000F51B0000}"/>
    <cellStyle name="Comma 13 30" xfId="34915" xr:uid="{00000000-0005-0000-0000-0000F61B0000}"/>
    <cellStyle name="Comma 13 31" xfId="34916" xr:uid="{00000000-0005-0000-0000-0000F71B0000}"/>
    <cellStyle name="Comma 13 32" xfId="34917" xr:uid="{00000000-0005-0000-0000-0000F81B0000}"/>
    <cellStyle name="Comma 13 33" xfId="34918" xr:uid="{00000000-0005-0000-0000-0000F91B0000}"/>
    <cellStyle name="Comma 13 34" xfId="34919" xr:uid="{00000000-0005-0000-0000-0000FA1B0000}"/>
    <cellStyle name="Comma 13 35" xfId="34920" xr:uid="{00000000-0005-0000-0000-0000FB1B0000}"/>
    <cellStyle name="Comma 13 36" xfId="34921" xr:uid="{00000000-0005-0000-0000-0000FC1B0000}"/>
    <cellStyle name="Comma 13 37" xfId="34922" xr:uid="{00000000-0005-0000-0000-0000FD1B0000}"/>
    <cellStyle name="Comma 13 38" xfId="34923" xr:uid="{00000000-0005-0000-0000-0000FE1B0000}"/>
    <cellStyle name="Comma 13 39" xfId="34924" xr:uid="{00000000-0005-0000-0000-0000FF1B0000}"/>
    <cellStyle name="Comma 13 4" xfId="34925" xr:uid="{00000000-0005-0000-0000-0000001C0000}"/>
    <cellStyle name="Comma 13 40" xfId="34926" xr:uid="{00000000-0005-0000-0000-0000011C0000}"/>
    <cellStyle name="Comma 13 41" xfId="34927" xr:uid="{00000000-0005-0000-0000-0000021C0000}"/>
    <cellStyle name="Comma 13 42" xfId="34928" xr:uid="{00000000-0005-0000-0000-0000031C0000}"/>
    <cellStyle name="Comma 13 43" xfId="34929" xr:uid="{00000000-0005-0000-0000-0000041C0000}"/>
    <cellStyle name="Comma 13 44" xfId="34930" xr:uid="{00000000-0005-0000-0000-0000051C0000}"/>
    <cellStyle name="Comma 13 45" xfId="34931" xr:uid="{00000000-0005-0000-0000-0000061C0000}"/>
    <cellStyle name="Comma 13 46" xfId="34932" xr:uid="{00000000-0005-0000-0000-0000071C0000}"/>
    <cellStyle name="Comma 13 47" xfId="34933" xr:uid="{00000000-0005-0000-0000-0000081C0000}"/>
    <cellStyle name="Comma 13 48" xfId="34934" xr:uid="{00000000-0005-0000-0000-0000091C0000}"/>
    <cellStyle name="Comma 13 49" xfId="34935" xr:uid="{00000000-0005-0000-0000-00000A1C0000}"/>
    <cellStyle name="Comma 13 5" xfId="34936" xr:uid="{00000000-0005-0000-0000-00000B1C0000}"/>
    <cellStyle name="Comma 13 50" xfId="34937" xr:uid="{00000000-0005-0000-0000-00000C1C0000}"/>
    <cellStyle name="Comma 13 51" xfId="34938" xr:uid="{00000000-0005-0000-0000-00000D1C0000}"/>
    <cellStyle name="Comma 13 52" xfId="34939" xr:uid="{00000000-0005-0000-0000-00000E1C0000}"/>
    <cellStyle name="Comma 13 53" xfId="34940" xr:uid="{00000000-0005-0000-0000-00000F1C0000}"/>
    <cellStyle name="Comma 13 54" xfId="34941" xr:uid="{00000000-0005-0000-0000-0000101C0000}"/>
    <cellStyle name="Comma 13 55" xfId="34942" xr:uid="{00000000-0005-0000-0000-0000111C0000}"/>
    <cellStyle name="Comma 13 56" xfId="34943" xr:uid="{00000000-0005-0000-0000-0000121C0000}"/>
    <cellStyle name="Comma 13 57" xfId="34944" xr:uid="{00000000-0005-0000-0000-0000131C0000}"/>
    <cellStyle name="Comma 13 58" xfId="34945" xr:uid="{00000000-0005-0000-0000-0000141C0000}"/>
    <cellStyle name="Comma 13 59" xfId="34946" xr:uid="{00000000-0005-0000-0000-0000151C0000}"/>
    <cellStyle name="Comma 13 6" xfId="34947" xr:uid="{00000000-0005-0000-0000-0000161C0000}"/>
    <cellStyle name="Comma 13 60" xfId="34948" xr:uid="{00000000-0005-0000-0000-0000171C0000}"/>
    <cellStyle name="Comma 13 61" xfId="34892" xr:uid="{00000000-0005-0000-0000-0000181C0000}"/>
    <cellStyle name="Comma 13 7" xfId="34949" xr:uid="{00000000-0005-0000-0000-0000191C0000}"/>
    <cellStyle name="Comma 13 8" xfId="34950" xr:uid="{00000000-0005-0000-0000-00001A1C0000}"/>
    <cellStyle name="Comma 13 9" xfId="34951" xr:uid="{00000000-0005-0000-0000-00001B1C0000}"/>
    <cellStyle name="Comma 14" xfId="5793" xr:uid="{00000000-0005-0000-0000-00001C1C0000}"/>
    <cellStyle name="Comma 14 10" xfId="34953" xr:uid="{00000000-0005-0000-0000-00001D1C0000}"/>
    <cellStyle name="Comma 14 11" xfId="34954" xr:uid="{00000000-0005-0000-0000-00001E1C0000}"/>
    <cellStyle name="Comma 14 12" xfId="34955" xr:uid="{00000000-0005-0000-0000-00001F1C0000}"/>
    <cellStyle name="Comma 14 13" xfId="34956" xr:uid="{00000000-0005-0000-0000-0000201C0000}"/>
    <cellStyle name="Comma 14 14" xfId="34957" xr:uid="{00000000-0005-0000-0000-0000211C0000}"/>
    <cellStyle name="Comma 14 15" xfId="34958" xr:uid="{00000000-0005-0000-0000-0000221C0000}"/>
    <cellStyle name="Comma 14 16" xfId="34959" xr:uid="{00000000-0005-0000-0000-0000231C0000}"/>
    <cellStyle name="Comma 14 17" xfId="34960" xr:uid="{00000000-0005-0000-0000-0000241C0000}"/>
    <cellStyle name="Comma 14 18" xfId="34961" xr:uid="{00000000-0005-0000-0000-0000251C0000}"/>
    <cellStyle name="Comma 14 19" xfId="34962" xr:uid="{00000000-0005-0000-0000-0000261C0000}"/>
    <cellStyle name="Comma 14 2" xfId="34120" xr:uid="{00000000-0005-0000-0000-0000271C0000}"/>
    <cellStyle name="Comma 14 2 2" xfId="34963" xr:uid="{00000000-0005-0000-0000-0000281C0000}"/>
    <cellStyle name="Comma 14 20" xfId="34964" xr:uid="{00000000-0005-0000-0000-0000291C0000}"/>
    <cellStyle name="Comma 14 21" xfId="34965" xr:uid="{00000000-0005-0000-0000-00002A1C0000}"/>
    <cellStyle name="Comma 14 22" xfId="34966" xr:uid="{00000000-0005-0000-0000-00002B1C0000}"/>
    <cellStyle name="Comma 14 23" xfId="34967" xr:uid="{00000000-0005-0000-0000-00002C1C0000}"/>
    <cellStyle name="Comma 14 24" xfId="34968" xr:uid="{00000000-0005-0000-0000-00002D1C0000}"/>
    <cellStyle name="Comma 14 25" xfId="34969" xr:uid="{00000000-0005-0000-0000-00002E1C0000}"/>
    <cellStyle name="Comma 14 26" xfId="34970" xr:uid="{00000000-0005-0000-0000-00002F1C0000}"/>
    <cellStyle name="Comma 14 27" xfId="34971" xr:uid="{00000000-0005-0000-0000-0000301C0000}"/>
    <cellStyle name="Comma 14 28" xfId="34972" xr:uid="{00000000-0005-0000-0000-0000311C0000}"/>
    <cellStyle name="Comma 14 29" xfId="34973" xr:uid="{00000000-0005-0000-0000-0000321C0000}"/>
    <cellStyle name="Comma 14 3" xfId="34974" xr:uid="{00000000-0005-0000-0000-0000331C0000}"/>
    <cellStyle name="Comma 14 30" xfId="34975" xr:uid="{00000000-0005-0000-0000-0000341C0000}"/>
    <cellStyle name="Comma 14 31" xfId="34976" xr:uid="{00000000-0005-0000-0000-0000351C0000}"/>
    <cellStyle name="Comma 14 32" xfId="34977" xr:uid="{00000000-0005-0000-0000-0000361C0000}"/>
    <cellStyle name="Comma 14 33" xfId="34978" xr:uid="{00000000-0005-0000-0000-0000371C0000}"/>
    <cellStyle name="Comma 14 34" xfId="34979" xr:uid="{00000000-0005-0000-0000-0000381C0000}"/>
    <cellStyle name="Comma 14 35" xfId="34980" xr:uid="{00000000-0005-0000-0000-0000391C0000}"/>
    <cellStyle name="Comma 14 36" xfId="34981" xr:uid="{00000000-0005-0000-0000-00003A1C0000}"/>
    <cellStyle name="Comma 14 37" xfId="34982" xr:uid="{00000000-0005-0000-0000-00003B1C0000}"/>
    <cellStyle name="Comma 14 38" xfId="34983" xr:uid="{00000000-0005-0000-0000-00003C1C0000}"/>
    <cellStyle name="Comma 14 39" xfId="34984" xr:uid="{00000000-0005-0000-0000-00003D1C0000}"/>
    <cellStyle name="Comma 14 4" xfId="34985" xr:uid="{00000000-0005-0000-0000-00003E1C0000}"/>
    <cellStyle name="Comma 14 40" xfId="34986" xr:uid="{00000000-0005-0000-0000-00003F1C0000}"/>
    <cellStyle name="Comma 14 41" xfId="34987" xr:uid="{00000000-0005-0000-0000-0000401C0000}"/>
    <cellStyle name="Comma 14 42" xfId="34988" xr:uid="{00000000-0005-0000-0000-0000411C0000}"/>
    <cellStyle name="Comma 14 43" xfId="34989" xr:uid="{00000000-0005-0000-0000-0000421C0000}"/>
    <cellStyle name="Comma 14 44" xfId="34990" xr:uid="{00000000-0005-0000-0000-0000431C0000}"/>
    <cellStyle name="Comma 14 45" xfId="34991" xr:uid="{00000000-0005-0000-0000-0000441C0000}"/>
    <cellStyle name="Comma 14 46" xfId="34992" xr:uid="{00000000-0005-0000-0000-0000451C0000}"/>
    <cellStyle name="Comma 14 47" xfId="34993" xr:uid="{00000000-0005-0000-0000-0000461C0000}"/>
    <cellStyle name="Comma 14 48" xfId="34994" xr:uid="{00000000-0005-0000-0000-0000471C0000}"/>
    <cellStyle name="Comma 14 49" xfId="34995" xr:uid="{00000000-0005-0000-0000-0000481C0000}"/>
    <cellStyle name="Comma 14 5" xfId="34996" xr:uid="{00000000-0005-0000-0000-0000491C0000}"/>
    <cellStyle name="Comma 14 50" xfId="34997" xr:uid="{00000000-0005-0000-0000-00004A1C0000}"/>
    <cellStyle name="Comma 14 51" xfId="34998" xr:uid="{00000000-0005-0000-0000-00004B1C0000}"/>
    <cellStyle name="Comma 14 52" xfId="34999" xr:uid="{00000000-0005-0000-0000-00004C1C0000}"/>
    <cellStyle name="Comma 14 53" xfId="35000" xr:uid="{00000000-0005-0000-0000-00004D1C0000}"/>
    <cellStyle name="Comma 14 54" xfId="35001" xr:uid="{00000000-0005-0000-0000-00004E1C0000}"/>
    <cellStyle name="Comma 14 55" xfId="35002" xr:uid="{00000000-0005-0000-0000-00004F1C0000}"/>
    <cellStyle name="Comma 14 56" xfId="35003" xr:uid="{00000000-0005-0000-0000-0000501C0000}"/>
    <cellStyle name="Comma 14 57" xfId="35004" xr:uid="{00000000-0005-0000-0000-0000511C0000}"/>
    <cellStyle name="Comma 14 58" xfId="35005" xr:uid="{00000000-0005-0000-0000-0000521C0000}"/>
    <cellStyle name="Comma 14 59" xfId="35006" xr:uid="{00000000-0005-0000-0000-0000531C0000}"/>
    <cellStyle name="Comma 14 6" xfId="35007" xr:uid="{00000000-0005-0000-0000-0000541C0000}"/>
    <cellStyle name="Comma 14 60" xfId="35008" xr:uid="{00000000-0005-0000-0000-0000551C0000}"/>
    <cellStyle name="Comma 14 61" xfId="34952" xr:uid="{00000000-0005-0000-0000-0000561C0000}"/>
    <cellStyle name="Comma 14 7" xfId="35009" xr:uid="{00000000-0005-0000-0000-0000571C0000}"/>
    <cellStyle name="Comma 14 8" xfId="35010" xr:uid="{00000000-0005-0000-0000-0000581C0000}"/>
    <cellStyle name="Comma 14 9" xfId="35011" xr:uid="{00000000-0005-0000-0000-0000591C0000}"/>
    <cellStyle name="Comma 15" xfId="5673" xr:uid="{00000000-0005-0000-0000-00005A1C0000}"/>
    <cellStyle name="Comma 15 10" xfId="35013" xr:uid="{00000000-0005-0000-0000-00005B1C0000}"/>
    <cellStyle name="Comma 15 11" xfId="35014" xr:uid="{00000000-0005-0000-0000-00005C1C0000}"/>
    <cellStyle name="Comma 15 12" xfId="35015" xr:uid="{00000000-0005-0000-0000-00005D1C0000}"/>
    <cellStyle name="Comma 15 13" xfId="35016" xr:uid="{00000000-0005-0000-0000-00005E1C0000}"/>
    <cellStyle name="Comma 15 14" xfId="35017" xr:uid="{00000000-0005-0000-0000-00005F1C0000}"/>
    <cellStyle name="Comma 15 15" xfId="35018" xr:uid="{00000000-0005-0000-0000-0000601C0000}"/>
    <cellStyle name="Comma 15 16" xfId="35019" xr:uid="{00000000-0005-0000-0000-0000611C0000}"/>
    <cellStyle name="Comma 15 17" xfId="35020" xr:uid="{00000000-0005-0000-0000-0000621C0000}"/>
    <cellStyle name="Comma 15 18" xfId="35021" xr:uid="{00000000-0005-0000-0000-0000631C0000}"/>
    <cellStyle name="Comma 15 19" xfId="35022" xr:uid="{00000000-0005-0000-0000-0000641C0000}"/>
    <cellStyle name="Comma 15 2" xfId="35023" xr:uid="{00000000-0005-0000-0000-0000651C0000}"/>
    <cellStyle name="Comma 15 20" xfId="35024" xr:uid="{00000000-0005-0000-0000-0000661C0000}"/>
    <cellStyle name="Comma 15 21" xfId="35025" xr:uid="{00000000-0005-0000-0000-0000671C0000}"/>
    <cellStyle name="Comma 15 22" xfId="35026" xr:uid="{00000000-0005-0000-0000-0000681C0000}"/>
    <cellStyle name="Comma 15 23" xfId="35027" xr:uid="{00000000-0005-0000-0000-0000691C0000}"/>
    <cellStyle name="Comma 15 24" xfId="35028" xr:uid="{00000000-0005-0000-0000-00006A1C0000}"/>
    <cellStyle name="Comma 15 25" xfId="35029" xr:uid="{00000000-0005-0000-0000-00006B1C0000}"/>
    <cellStyle name="Comma 15 26" xfId="35030" xr:uid="{00000000-0005-0000-0000-00006C1C0000}"/>
    <cellStyle name="Comma 15 27" xfId="35031" xr:uid="{00000000-0005-0000-0000-00006D1C0000}"/>
    <cellStyle name="Comma 15 28" xfId="35032" xr:uid="{00000000-0005-0000-0000-00006E1C0000}"/>
    <cellStyle name="Comma 15 29" xfId="35033" xr:uid="{00000000-0005-0000-0000-00006F1C0000}"/>
    <cellStyle name="Comma 15 3" xfId="35034" xr:uid="{00000000-0005-0000-0000-0000701C0000}"/>
    <cellStyle name="Comma 15 30" xfId="35035" xr:uid="{00000000-0005-0000-0000-0000711C0000}"/>
    <cellStyle name="Comma 15 31" xfId="35036" xr:uid="{00000000-0005-0000-0000-0000721C0000}"/>
    <cellStyle name="Comma 15 32" xfId="35037" xr:uid="{00000000-0005-0000-0000-0000731C0000}"/>
    <cellStyle name="Comma 15 33" xfId="35038" xr:uid="{00000000-0005-0000-0000-0000741C0000}"/>
    <cellStyle name="Comma 15 34" xfId="35039" xr:uid="{00000000-0005-0000-0000-0000751C0000}"/>
    <cellStyle name="Comma 15 35" xfId="35040" xr:uid="{00000000-0005-0000-0000-0000761C0000}"/>
    <cellStyle name="Comma 15 36" xfId="35041" xr:uid="{00000000-0005-0000-0000-0000771C0000}"/>
    <cellStyle name="Comma 15 37" xfId="35042" xr:uid="{00000000-0005-0000-0000-0000781C0000}"/>
    <cellStyle name="Comma 15 38" xfId="35043" xr:uid="{00000000-0005-0000-0000-0000791C0000}"/>
    <cellStyle name="Comma 15 39" xfId="35044" xr:uid="{00000000-0005-0000-0000-00007A1C0000}"/>
    <cellStyle name="Comma 15 4" xfId="35045" xr:uid="{00000000-0005-0000-0000-00007B1C0000}"/>
    <cellStyle name="Comma 15 40" xfId="35046" xr:uid="{00000000-0005-0000-0000-00007C1C0000}"/>
    <cellStyle name="Comma 15 41" xfId="35047" xr:uid="{00000000-0005-0000-0000-00007D1C0000}"/>
    <cellStyle name="Comma 15 42" xfId="35048" xr:uid="{00000000-0005-0000-0000-00007E1C0000}"/>
    <cellStyle name="Comma 15 43" xfId="35049" xr:uid="{00000000-0005-0000-0000-00007F1C0000}"/>
    <cellStyle name="Comma 15 44" xfId="35050" xr:uid="{00000000-0005-0000-0000-0000801C0000}"/>
    <cellStyle name="Comma 15 45" xfId="35051" xr:uid="{00000000-0005-0000-0000-0000811C0000}"/>
    <cellStyle name="Comma 15 46" xfId="35052" xr:uid="{00000000-0005-0000-0000-0000821C0000}"/>
    <cellStyle name="Comma 15 47" xfId="35053" xr:uid="{00000000-0005-0000-0000-0000831C0000}"/>
    <cellStyle name="Comma 15 48" xfId="35054" xr:uid="{00000000-0005-0000-0000-0000841C0000}"/>
    <cellStyle name="Comma 15 49" xfId="35055" xr:uid="{00000000-0005-0000-0000-0000851C0000}"/>
    <cellStyle name="Comma 15 5" xfId="35056" xr:uid="{00000000-0005-0000-0000-0000861C0000}"/>
    <cellStyle name="Comma 15 50" xfId="35057" xr:uid="{00000000-0005-0000-0000-0000871C0000}"/>
    <cellStyle name="Comma 15 51" xfId="35058" xr:uid="{00000000-0005-0000-0000-0000881C0000}"/>
    <cellStyle name="Comma 15 52" xfId="35059" xr:uid="{00000000-0005-0000-0000-0000891C0000}"/>
    <cellStyle name="Comma 15 53" xfId="35060" xr:uid="{00000000-0005-0000-0000-00008A1C0000}"/>
    <cellStyle name="Comma 15 54" xfId="35061" xr:uid="{00000000-0005-0000-0000-00008B1C0000}"/>
    <cellStyle name="Comma 15 55" xfId="35062" xr:uid="{00000000-0005-0000-0000-00008C1C0000}"/>
    <cellStyle name="Comma 15 56" xfId="35063" xr:uid="{00000000-0005-0000-0000-00008D1C0000}"/>
    <cellStyle name="Comma 15 57" xfId="35064" xr:uid="{00000000-0005-0000-0000-00008E1C0000}"/>
    <cellStyle name="Comma 15 58" xfId="35065" xr:uid="{00000000-0005-0000-0000-00008F1C0000}"/>
    <cellStyle name="Comma 15 59" xfId="35066" xr:uid="{00000000-0005-0000-0000-0000901C0000}"/>
    <cellStyle name="Comma 15 6" xfId="35067" xr:uid="{00000000-0005-0000-0000-0000911C0000}"/>
    <cellStyle name="Comma 15 60" xfId="35068" xr:uid="{00000000-0005-0000-0000-0000921C0000}"/>
    <cellStyle name="Comma 15 61" xfId="35012" xr:uid="{00000000-0005-0000-0000-0000931C0000}"/>
    <cellStyle name="Comma 15 7" xfId="35069" xr:uid="{00000000-0005-0000-0000-0000941C0000}"/>
    <cellStyle name="Comma 15 8" xfId="35070" xr:uid="{00000000-0005-0000-0000-0000951C0000}"/>
    <cellStyle name="Comma 15 9" xfId="35071" xr:uid="{00000000-0005-0000-0000-0000961C0000}"/>
    <cellStyle name="Comma 16" xfId="5770" xr:uid="{00000000-0005-0000-0000-0000971C0000}"/>
    <cellStyle name="Comma 16 10" xfId="35073" xr:uid="{00000000-0005-0000-0000-0000981C0000}"/>
    <cellStyle name="Comma 16 11" xfId="35074" xr:uid="{00000000-0005-0000-0000-0000991C0000}"/>
    <cellStyle name="Comma 16 12" xfId="35075" xr:uid="{00000000-0005-0000-0000-00009A1C0000}"/>
    <cellStyle name="Comma 16 13" xfId="35076" xr:uid="{00000000-0005-0000-0000-00009B1C0000}"/>
    <cellStyle name="Comma 16 14" xfId="35077" xr:uid="{00000000-0005-0000-0000-00009C1C0000}"/>
    <cellStyle name="Comma 16 15" xfId="35078" xr:uid="{00000000-0005-0000-0000-00009D1C0000}"/>
    <cellStyle name="Comma 16 16" xfId="35079" xr:uid="{00000000-0005-0000-0000-00009E1C0000}"/>
    <cellStyle name="Comma 16 17" xfId="35080" xr:uid="{00000000-0005-0000-0000-00009F1C0000}"/>
    <cellStyle name="Comma 16 18" xfId="35081" xr:uid="{00000000-0005-0000-0000-0000A01C0000}"/>
    <cellStyle name="Comma 16 19" xfId="35082" xr:uid="{00000000-0005-0000-0000-0000A11C0000}"/>
    <cellStyle name="Comma 16 2" xfId="35083" xr:uid="{00000000-0005-0000-0000-0000A21C0000}"/>
    <cellStyle name="Comma 16 20" xfId="35084" xr:uid="{00000000-0005-0000-0000-0000A31C0000}"/>
    <cellStyle name="Comma 16 21" xfId="35085" xr:uid="{00000000-0005-0000-0000-0000A41C0000}"/>
    <cellStyle name="Comma 16 22" xfId="35086" xr:uid="{00000000-0005-0000-0000-0000A51C0000}"/>
    <cellStyle name="Comma 16 23" xfId="35087" xr:uid="{00000000-0005-0000-0000-0000A61C0000}"/>
    <cellStyle name="Comma 16 24" xfId="35088" xr:uid="{00000000-0005-0000-0000-0000A71C0000}"/>
    <cellStyle name="Comma 16 25" xfId="35089" xr:uid="{00000000-0005-0000-0000-0000A81C0000}"/>
    <cellStyle name="Comma 16 26" xfId="35090" xr:uid="{00000000-0005-0000-0000-0000A91C0000}"/>
    <cellStyle name="Comma 16 27" xfId="35091" xr:uid="{00000000-0005-0000-0000-0000AA1C0000}"/>
    <cellStyle name="Comma 16 28" xfId="35092" xr:uid="{00000000-0005-0000-0000-0000AB1C0000}"/>
    <cellStyle name="Comma 16 29" xfId="35093" xr:uid="{00000000-0005-0000-0000-0000AC1C0000}"/>
    <cellStyle name="Comma 16 3" xfId="35094" xr:uid="{00000000-0005-0000-0000-0000AD1C0000}"/>
    <cellStyle name="Comma 16 30" xfId="35095" xr:uid="{00000000-0005-0000-0000-0000AE1C0000}"/>
    <cellStyle name="Comma 16 31" xfId="35096" xr:uid="{00000000-0005-0000-0000-0000AF1C0000}"/>
    <cellStyle name="Comma 16 32" xfId="35097" xr:uid="{00000000-0005-0000-0000-0000B01C0000}"/>
    <cellStyle name="Comma 16 33" xfId="35098" xr:uid="{00000000-0005-0000-0000-0000B11C0000}"/>
    <cellStyle name="Comma 16 34" xfId="35099" xr:uid="{00000000-0005-0000-0000-0000B21C0000}"/>
    <cellStyle name="Comma 16 35" xfId="35100" xr:uid="{00000000-0005-0000-0000-0000B31C0000}"/>
    <cellStyle name="Comma 16 36" xfId="35101" xr:uid="{00000000-0005-0000-0000-0000B41C0000}"/>
    <cellStyle name="Comma 16 37" xfId="35102" xr:uid="{00000000-0005-0000-0000-0000B51C0000}"/>
    <cellStyle name="Comma 16 38" xfId="35103" xr:uid="{00000000-0005-0000-0000-0000B61C0000}"/>
    <cellStyle name="Comma 16 39" xfId="35104" xr:uid="{00000000-0005-0000-0000-0000B71C0000}"/>
    <cellStyle name="Comma 16 4" xfId="35105" xr:uid="{00000000-0005-0000-0000-0000B81C0000}"/>
    <cellStyle name="Comma 16 40" xfId="35106" xr:uid="{00000000-0005-0000-0000-0000B91C0000}"/>
    <cellStyle name="Comma 16 41" xfId="35107" xr:uid="{00000000-0005-0000-0000-0000BA1C0000}"/>
    <cellStyle name="Comma 16 42" xfId="35108" xr:uid="{00000000-0005-0000-0000-0000BB1C0000}"/>
    <cellStyle name="Comma 16 43" xfId="35109" xr:uid="{00000000-0005-0000-0000-0000BC1C0000}"/>
    <cellStyle name="Comma 16 44" xfId="35110" xr:uid="{00000000-0005-0000-0000-0000BD1C0000}"/>
    <cellStyle name="Comma 16 45" xfId="35111" xr:uid="{00000000-0005-0000-0000-0000BE1C0000}"/>
    <cellStyle name="Comma 16 46" xfId="35112" xr:uid="{00000000-0005-0000-0000-0000BF1C0000}"/>
    <cellStyle name="Comma 16 47" xfId="35113" xr:uid="{00000000-0005-0000-0000-0000C01C0000}"/>
    <cellStyle name="Comma 16 48" xfId="35114" xr:uid="{00000000-0005-0000-0000-0000C11C0000}"/>
    <cellStyle name="Comma 16 49" xfId="35115" xr:uid="{00000000-0005-0000-0000-0000C21C0000}"/>
    <cellStyle name="Comma 16 5" xfId="35116" xr:uid="{00000000-0005-0000-0000-0000C31C0000}"/>
    <cellStyle name="Comma 16 50" xfId="35117" xr:uid="{00000000-0005-0000-0000-0000C41C0000}"/>
    <cellStyle name="Comma 16 51" xfId="35118" xr:uid="{00000000-0005-0000-0000-0000C51C0000}"/>
    <cellStyle name="Comma 16 52" xfId="35119" xr:uid="{00000000-0005-0000-0000-0000C61C0000}"/>
    <cellStyle name="Comma 16 53" xfId="35120" xr:uid="{00000000-0005-0000-0000-0000C71C0000}"/>
    <cellStyle name="Comma 16 54" xfId="35121" xr:uid="{00000000-0005-0000-0000-0000C81C0000}"/>
    <cellStyle name="Comma 16 55" xfId="35122" xr:uid="{00000000-0005-0000-0000-0000C91C0000}"/>
    <cellStyle name="Comma 16 56" xfId="35123" xr:uid="{00000000-0005-0000-0000-0000CA1C0000}"/>
    <cellStyle name="Comma 16 57" xfId="35124" xr:uid="{00000000-0005-0000-0000-0000CB1C0000}"/>
    <cellStyle name="Comma 16 58" xfId="35125" xr:uid="{00000000-0005-0000-0000-0000CC1C0000}"/>
    <cellStyle name="Comma 16 59" xfId="35126" xr:uid="{00000000-0005-0000-0000-0000CD1C0000}"/>
    <cellStyle name="Comma 16 6" xfId="35127" xr:uid="{00000000-0005-0000-0000-0000CE1C0000}"/>
    <cellStyle name="Comma 16 60" xfId="35128" xr:uid="{00000000-0005-0000-0000-0000CF1C0000}"/>
    <cellStyle name="Comma 16 61" xfId="35072" xr:uid="{00000000-0005-0000-0000-0000D01C0000}"/>
    <cellStyle name="Comma 16 7" xfId="35129" xr:uid="{00000000-0005-0000-0000-0000D11C0000}"/>
    <cellStyle name="Comma 16 8" xfId="35130" xr:uid="{00000000-0005-0000-0000-0000D21C0000}"/>
    <cellStyle name="Comma 16 9" xfId="35131" xr:uid="{00000000-0005-0000-0000-0000D31C0000}"/>
    <cellStyle name="Comma 17" xfId="5687" xr:uid="{00000000-0005-0000-0000-0000D41C0000}"/>
    <cellStyle name="Comma 17 10" xfId="35133" xr:uid="{00000000-0005-0000-0000-0000D51C0000}"/>
    <cellStyle name="Comma 17 11" xfId="35134" xr:uid="{00000000-0005-0000-0000-0000D61C0000}"/>
    <cellStyle name="Comma 17 12" xfId="35135" xr:uid="{00000000-0005-0000-0000-0000D71C0000}"/>
    <cellStyle name="Comma 17 13" xfId="35136" xr:uid="{00000000-0005-0000-0000-0000D81C0000}"/>
    <cellStyle name="Comma 17 14" xfId="35137" xr:uid="{00000000-0005-0000-0000-0000D91C0000}"/>
    <cellStyle name="Comma 17 15" xfId="35138" xr:uid="{00000000-0005-0000-0000-0000DA1C0000}"/>
    <cellStyle name="Comma 17 16" xfId="35139" xr:uid="{00000000-0005-0000-0000-0000DB1C0000}"/>
    <cellStyle name="Comma 17 17" xfId="35140" xr:uid="{00000000-0005-0000-0000-0000DC1C0000}"/>
    <cellStyle name="Comma 17 18" xfId="35141" xr:uid="{00000000-0005-0000-0000-0000DD1C0000}"/>
    <cellStyle name="Comma 17 19" xfId="35142" xr:uid="{00000000-0005-0000-0000-0000DE1C0000}"/>
    <cellStyle name="Comma 17 2" xfId="34121" xr:uid="{00000000-0005-0000-0000-0000DF1C0000}"/>
    <cellStyle name="Comma 17 2 2" xfId="35143" xr:uid="{00000000-0005-0000-0000-0000E01C0000}"/>
    <cellStyle name="Comma 17 20" xfId="35144" xr:uid="{00000000-0005-0000-0000-0000E11C0000}"/>
    <cellStyle name="Comma 17 21" xfId="35145" xr:uid="{00000000-0005-0000-0000-0000E21C0000}"/>
    <cellStyle name="Comma 17 22" xfId="35146" xr:uid="{00000000-0005-0000-0000-0000E31C0000}"/>
    <cellStyle name="Comma 17 23" xfId="35147" xr:uid="{00000000-0005-0000-0000-0000E41C0000}"/>
    <cellStyle name="Comma 17 24" xfId="35148" xr:uid="{00000000-0005-0000-0000-0000E51C0000}"/>
    <cellStyle name="Comma 17 25" xfId="35149" xr:uid="{00000000-0005-0000-0000-0000E61C0000}"/>
    <cellStyle name="Comma 17 26" xfId="35150" xr:uid="{00000000-0005-0000-0000-0000E71C0000}"/>
    <cellStyle name="Comma 17 27" xfId="35151" xr:uid="{00000000-0005-0000-0000-0000E81C0000}"/>
    <cellStyle name="Comma 17 28" xfId="35152" xr:uid="{00000000-0005-0000-0000-0000E91C0000}"/>
    <cellStyle name="Comma 17 29" xfId="35153" xr:uid="{00000000-0005-0000-0000-0000EA1C0000}"/>
    <cellStyle name="Comma 17 3" xfId="35154" xr:uid="{00000000-0005-0000-0000-0000EB1C0000}"/>
    <cellStyle name="Comma 17 30" xfId="35155" xr:uid="{00000000-0005-0000-0000-0000EC1C0000}"/>
    <cellStyle name="Comma 17 31" xfId="35156" xr:uid="{00000000-0005-0000-0000-0000ED1C0000}"/>
    <cellStyle name="Comma 17 32" xfId="35157" xr:uid="{00000000-0005-0000-0000-0000EE1C0000}"/>
    <cellStyle name="Comma 17 33" xfId="35158" xr:uid="{00000000-0005-0000-0000-0000EF1C0000}"/>
    <cellStyle name="Comma 17 34" xfId="35159" xr:uid="{00000000-0005-0000-0000-0000F01C0000}"/>
    <cellStyle name="Comma 17 35" xfId="35160" xr:uid="{00000000-0005-0000-0000-0000F11C0000}"/>
    <cellStyle name="Comma 17 36" xfId="35161" xr:uid="{00000000-0005-0000-0000-0000F21C0000}"/>
    <cellStyle name="Comma 17 37" xfId="35162" xr:uid="{00000000-0005-0000-0000-0000F31C0000}"/>
    <cellStyle name="Comma 17 38" xfId="35163" xr:uid="{00000000-0005-0000-0000-0000F41C0000}"/>
    <cellStyle name="Comma 17 39" xfId="35164" xr:uid="{00000000-0005-0000-0000-0000F51C0000}"/>
    <cellStyle name="Comma 17 4" xfId="35165" xr:uid="{00000000-0005-0000-0000-0000F61C0000}"/>
    <cellStyle name="Comma 17 40" xfId="35166" xr:uid="{00000000-0005-0000-0000-0000F71C0000}"/>
    <cellStyle name="Comma 17 41" xfId="35167" xr:uid="{00000000-0005-0000-0000-0000F81C0000}"/>
    <cellStyle name="Comma 17 42" xfId="35168" xr:uid="{00000000-0005-0000-0000-0000F91C0000}"/>
    <cellStyle name="Comma 17 43" xfId="35169" xr:uid="{00000000-0005-0000-0000-0000FA1C0000}"/>
    <cellStyle name="Comma 17 44" xfId="35170" xr:uid="{00000000-0005-0000-0000-0000FB1C0000}"/>
    <cellStyle name="Comma 17 45" xfId="35171" xr:uid="{00000000-0005-0000-0000-0000FC1C0000}"/>
    <cellStyle name="Comma 17 46" xfId="35172" xr:uid="{00000000-0005-0000-0000-0000FD1C0000}"/>
    <cellStyle name="Comma 17 47" xfId="35173" xr:uid="{00000000-0005-0000-0000-0000FE1C0000}"/>
    <cellStyle name="Comma 17 48" xfId="35174" xr:uid="{00000000-0005-0000-0000-0000FF1C0000}"/>
    <cellStyle name="Comma 17 49" xfId="35175" xr:uid="{00000000-0005-0000-0000-0000001D0000}"/>
    <cellStyle name="Comma 17 5" xfId="35176" xr:uid="{00000000-0005-0000-0000-0000011D0000}"/>
    <cellStyle name="Comma 17 50" xfId="35177" xr:uid="{00000000-0005-0000-0000-0000021D0000}"/>
    <cellStyle name="Comma 17 51" xfId="35178" xr:uid="{00000000-0005-0000-0000-0000031D0000}"/>
    <cellStyle name="Comma 17 52" xfId="35179" xr:uid="{00000000-0005-0000-0000-0000041D0000}"/>
    <cellStyle name="Comma 17 53" xfId="35180" xr:uid="{00000000-0005-0000-0000-0000051D0000}"/>
    <cellStyle name="Comma 17 54" xfId="35181" xr:uid="{00000000-0005-0000-0000-0000061D0000}"/>
    <cellStyle name="Comma 17 55" xfId="35182" xr:uid="{00000000-0005-0000-0000-0000071D0000}"/>
    <cellStyle name="Comma 17 56" xfId="35183" xr:uid="{00000000-0005-0000-0000-0000081D0000}"/>
    <cellStyle name="Comma 17 57" xfId="35184" xr:uid="{00000000-0005-0000-0000-0000091D0000}"/>
    <cellStyle name="Comma 17 58" xfId="35185" xr:uid="{00000000-0005-0000-0000-00000A1D0000}"/>
    <cellStyle name="Comma 17 59" xfId="35186" xr:uid="{00000000-0005-0000-0000-00000B1D0000}"/>
    <cellStyle name="Comma 17 6" xfId="35187" xr:uid="{00000000-0005-0000-0000-00000C1D0000}"/>
    <cellStyle name="Comma 17 60" xfId="35188" xr:uid="{00000000-0005-0000-0000-00000D1D0000}"/>
    <cellStyle name="Comma 17 61" xfId="35132" xr:uid="{00000000-0005-0000-0000-00000E1D0000}"/>
    <cellStyle name="Comma 17 7" xfId="35189" xr:uid="{00000000-0005-0000-0000-00000F1D0000}"/>
    <cellStyle name="Comma 17 8" xfId="35190" xr:uid="{00000000-0005-0000-0000-0000101D0000}"/>
    <cellStyle name="Comma 17 9" xfId="35191" xr:uid="{00000000-0005-0000-0000-0000111D0000}"/>
    <cellStyle name="Comma 18" xfId="5756" xr:uid="{00000000-0005-0000-0000-0000121D0000}"/>
    <cellStyle name="Comma 18 10" xfId="35193" xr:uid="{00000000-0005-0000-0000-0000131D0000}"/>
    <cellStyle name="Comma 18 11" xfId="35194" xr:uid="{00000000-0005-0000-0000-0000141D0000}"/>
    <cellStyle name="Comma 18 12" xfId="35195" xr:uid="{00000000-0005-0000-0000-0000151D0000}"/>
    <cellStyle name="Comma 18 13" xfId="35196" xr:uid="{00000000-0005-0000-0000-0000161D0000}"/>
    <cellStyle name="Comma 18 14" xfId="35197" xr:uid="{00000000-0005-0000-0000-0000171D0000}"/>
    <cellStyle name="Comma 18 15" xfId="35198" xr:uid="{00000000-0005-0000-0000-0000181D0000}"/>
    <cellStyle name="Comma 18 16" xfId="35199" xr:uid="{00000000-0005-0000-0000-0000191D0000}"/>
    <cellStyle name="Comma 18 17" xfId="35200" xr:uid="{00000000-0005-0000-0000-00001A1D0000}"/>
    <cellStyle name="Comma 18 18" xfId="35201" xr:uid="{00000000-0005-0000-0000-00001B1D0000}"/>
    <cellStyle name="Comma 18 19" xfId="35202" xr:uid="{00000000-0005-0000-0000-00001C1D0000}"/>
    <cellStyle name="Comma 18 2" xfId="34122" xr:uid="{00000000-0005-0000-0000-00001D1D0000}"/>
    <cellStyle name="Comma 18 2 2" xfId="35203" xr:uid="{00000000-0005-0000-0000-00001E1D0000}"/>
    <cellStyle name="Comma 18 20" xfId="35204" xr:uid="{00000000-0005-0000-0000-00001F1D0000}"/>
    <cellStyle name="Comma 18 21" xfId="35205" xr:uid="{00000000-0005-0000-0000-0000201D0000}"/>
    <cellStyle name="Comma 18 22" xfId="35206" xr:uid="{00000000-0005-0000-0000-0000211D0000}"/>
    <cellStyle name="Comma 18 23" xfId="35207" xr:uid="{00000000-0005-0000-0000-0000221D0000}"/>
    <cellStyle name="Comma 18 24" xfId="35208" xr:uid="{00000000-0005-0000-0000-0000231D0000}"/>
    <cellStyle name="Comma 18 25" xfId="35209" xr:uid="{00000000-0005-0000-0000-0000241D0000}"/>
    <cellStyle name="Comma 18 26" xfId="35210" xr:uid="{00000000-0005-0000-0000-0000251D0000}"/>
    <cellStyle name="Comma 18 27" xfId="35211" xr:uid="{00000000-0005-0000-0000-0000261D0000}"/>
    <cellStyle name="Comma 18 28" xfId="35212" xr:uid="{00000000-0005-0000-0000-0000271D0000}"/>
    <cellStyle name="Comma 18 29" xfId="35213" xr:uid="{00000000-0005-0000-0000-0000281D0000}"/>
    <cellStyle name="Comma 18 3" xfId="35214" xr:uid="{00000000-0005-0000-0000-0000291D0000}"/>
    <cellStyle name="Comma 18 30" xfId="35215" xr:uid="{00000000-0005-0000-0000-00002A1D0000}"/>
    <cellStyle name="Comma 18 31" xfId="35216" xr:uid="{00000000-0005-0000-0000-00002B1D0000}"/>
    <cellStyle name="Comma 18 32" xfId="35217" xr:uid="{00000000-0005-0000-0000-00002C1D0000}"/>
    <cellStyle name="Comma 18 33" xfId="35218" xr:uid="{00000000-0005-0000-0000-00002D1D0000}"/>
    <cellStyle name="Comma 18 34" xfId="35219" xr:uid="{00000000-0005-0000-0000-00002E1D0000}"/>
    <cellStyle name="Comma 18 35" xfId="35220" xr:uid="{00000000-0005-0000-0000-00002F1D0000}"/>
    <cellStyle name="Comma 18 36" xfId="35221" xr:uid="{00000000-0005-0000-0000-0000301D0000}"/>
    <cellStyle name="Comma 18 37" xfId="35222" xr:uid="{00000000-0005-0000-0000-0000311D0000}"/>
    <cellStyle name="Comma 18 38" xfId="35223" xr:uid="{00000000-0005-0000-0000-0000321D0000}"/>
    <cellStyle name="Comma 18 39" xfId="35224" xr:uid="{00000000-0005-0000-0000-0000331D0000}"/>
    <cellStyle name="Comma 18 4" xfId="35225" xr:uid="{00000000-0005-0000-0000-0000341D0000}"/>
    <cellStyle name="Comma 18 40" xfId="35226" xr:uid="{00000000-0005-0000-0000-0000351D0000}"/>
    <cellStyle name="Comma 18 41" xfId="35227" xr:uid="{00000000-0005-0000-0000-0000361D0000}"/>
    <cellStyle name="Comma 18 42" xfId="35228" xr:uid="{00000000-0005-0000-0000-0000371D0000}"/>
    <cellStyle name="Comma 18 43" xfId="35229" xr:uid="{00000000-0005-0000-0000-0000381D0000}"/>
    <cellStyle name="Comma 18 44" xfId="35230" xr:uid="{00000000-0005-0000-0000-0000391D0000}"/>
    <cellStyle name="Comma 18 45" xfId="35231" xr:uid="{00000000-0005-0000-0000-00003A1D0000}"/>
    <cellStyle name="Comma 18 46" xfId="35232" xr:uid="{00000000-0005-0000-0000-00003B1D0000}"/>
    <cellStyle name="Comma 18 47" xfId="35233" xr:uid="{00000000-0005-0000-0000-00003C1D0000}"/>
    <cellStyle name="Comma 18 48" xfId="35234" xr:uid="{00000000-0005-0000-0000-00003D1D0000}"/>
    <cellStyle name="Comma 18 49" xfId="35235" xr:uid="{00000000-0005-0000-0000-00003E1D0000}"/>
    <cellStyle name="Comma 18 5" xfId="35236" xr:uid="{00000000-0005-0000-0000-00003F1D0000}"/>
    <cellStyle name="Comma 18 50" xfId="35237" xr:uid="{00000000-0005-0000-0000-0000401D0000}"/>
    <cellStyle name="Comma 18 51" xfId="35238" xr:uid="{00000000-0005-0000-0000-0000411D0000}"/>
    <cellStyle name="Comma 18 52" xfId="35239" xr:uid="{00000000-0005-0000-0000-0000421D0000}"/>
    <cellStyle name="Comma 18 53" xfId="35240" xr:uid="{00000000-0005-0000-0000-0000431D0000}"/>
    <cellStyle name="Comma 18 54" xfId="35241" xr:uid="{00000000-0005-0000-0000-0000441D0000}"/>
    <cellStyle name="Comma 18 55" xfId="35242" xr:uid="{00000000-0005-0000-0000-0000451D0000}"/>
    <cellStyle name="Comma 18 56" xfId="35243" xr:uid="{00000000-0005-0000-0000-0000461D0000}"/>
    <cellStyle name="Comma 18 57" xfId="35244" xr:uid="{00000000-0005-0000-0000-0000471D0000}"/>
    <cellStyle name="Comma 18 58" xfId="35245" xr:uid="{00000000-0005-0000-0000-0000481D0000}"/>
    <cellStyle name="Comma 18 59" xfId="35246" xr:uid="{00000000-0005-0000-0000-0000491D0000}"/>
    <cellStyle name="Comma 18 6" xfId="35247" xr:uid="{00000000-0005-0000-0000-00004A1D0000}"/>
    <cellStyle name="Comma 18 60" xfId="35248" xr:uid="{00000000-0005-0000-0000-00004B1D0000}"/>
    <cellStyle name="Comma 18 61" xfId="35192" xr:uid="{00000000-0005-0000-0000-00004C1D0000}"/>
    <cellStyle name="Comma 18 7" xfId="35249" xr:uid="{00000000-0005-0000-0000-00004D1D0000}"/>
    <cellStyle name="Comma 18 8" xfId="35250" xr:uid="{00000000-0005-0000-0000-00004E1D0000}"/>
    <cellStyle name="Comma 18 9" xfId="35251" xr:uid="{00000000-0005-0000-0000-00004F1D0000}"/>
    <cellStyle name="Comma 19" xfId="5700" xr:uid="{00000000-0005-0000-0000-0000501D0000}"/>
    <cellStyle name="Comma 19 10" xfId="35253" xr:uid="{00000000-0005-0000-0000-0000511D0000}"/>
    <cellStyle name="Comma 19 11" xfId="35254" xr:uid="{00000000-0005-0000-0000-0000521D0000}"/>
    <cellStyle name="Comma 19 12" xfId="35255" xr:uid="{00000000-0005-0000-0000-0000531D0000}"/>
    <cellStyle name="Comma 19 13" xfId="35256" xr:uid="{00000000-0005-0000-0000-0000541D0000}"/>
    <cellStyle name="Comma 19 14" xfId="35257" xr:uid="{00000000-0005-0000-0000-0000551D0000}"/>
    <cellStyle name="Comma 19 15" xfId="35258" xr:uid="{00000000-0005-0000-0000-0000561D0000}"/>
    <cellStyle name="Comma 19 16" xfId="35259" xr:uid="{00000000-0005-0000-0000-0000571D0000}"/>
    <cellStyle name="Comma 19 17" xfId="35260" xr:uid="{00000000-0005-0000-0000-0000581D0000}"/>
    <cellStyle name="Comma 19 18" xfId="35261" xr:uid="{00000000-0005-0000-0000-0000591D0000}"/>
    <cellStyle name="Comma 19 19" xfId="35262" xr:uid="{00000000-0005-0000-0000-00005A1D0000}"/>
    <cellStyle name="Comma 19 2" xfId="34123" xr:uid="{00000000-0005-0000-0000-00005B1D0000}"/>
    <cellStyle name="Comma 19 2 2" xfId="35263" xr:uid="{00000000-0005-0000-0000-00005C1D0000}"/>
    <cellStyle name="Comma 19 20" xfId="35264" xr:uid="{00000000-0005-0000-0000-00005D1D0000}"/>
    <cellStyle name="Comma 19 21" xfId="35265" xr:uid="{00000000-0005-0000-0000-00005E1D0000}"/>
    <cellStyle name="Comma 19 22" xfId="35266" xr:uid="{00000000-0005-0000-0000-00005F1D0000}"/>
    <cellStyle name="Comma 19 23" xfId="35267" xr:uid="{00000000-0005-0000-0000-0000601D0000}"/>
    <cellStyle name="Comma 19 24" xfId="35268" xr:uid="{00000000-0005-0000-0000-0000611D0000}"/>
    <cellStyle name="Comma 19 25" xfId="35269" xr:uid="{00000000-0005-0000-0000-0000621D0000}"/>
    <cellStyle name="Comma 19 26" xfId="35270" xr:uid="{00000000-0005-0000-0000-0000631D0000}"/>
    <cellStyle name="Comma 19 27" xfId="35271" xr:uid="{00000000-0005-0000-0000-0000641D0000}"/>
    <cellStyle name="Comma 19 28" xfId="35272" xr:uid="{00000000-0005-0000-0000-0000651D0000}"/>
    <cellStyle name="Comma 19 29" xfId="35273" xr:uid="{00000000-0005-0000-0000-0000661D0000}"/>
    <cellStyle name="Comma 19 3" xfId="35274" xr:uid="{00000000-0005-0000-0000-0000671D0000}"/>
    <cellStyle name="Comma 19 30" xfId="35275" xr:uid="{00000000-0005-0000-0000-0000681D0000}"/>
    <cellStyle name="Comma 19 31" xfId="35276" xr:uid="{00000000-0005-0000-0000-0000691D0000}"/>
    <cellStyle name="Comma 19 32" xfId="35277" xr:uid="{00000000-0005-0000-0000-00006A1D0000}"/>
    <cellStyle name="Comma 19 33" xfId="35278" xr:uid="{00000000-0005-0000-0000-00006B1D0000}"/>
    <cellStyle name="Comma 19 34" xfId="35279" xr:uid="{00000000-0005-0000-0000-00006C1D0000}"/>
    <cellStyle name="Comma 19 35" xfId="35280" xr:uid="{00000000-0005-0000-0000-00006D1D0000}"/>
    <cellStyle name="Comma 19 36" xfId="35281" xr:uid="{00000000-0005-0000-0000-00006E1D0000}"/>
    <cellStyle name="Comma 19 37" xfId="35282" xr:uid="{00000000-0005-0000-0000-00006F1D0000}"/>
    <cellStyle name="Comma 19 38" xfId="35283" xr:uid="{00000000-0005-0000-0000-0000701D0000}"/>
    <cellStyle name="Comma 19 39" xfId="35284" xr:uid="{00000000-0005-0000-0000-0000711D0000}"/>
    <cellStyle name="Comma 19 4" xfId="35285" xr:uid="{00000000-0005-0000-0000-0000721D0000}"/>
    <cellStyle name="Comma 19 40" xfId="35286" xr:uid="{00000000-0005-0000-0000-0000731D0000}"/>
    <cellStyle name="Comma 19 41" xfId="35287" xr:uid="{00000000-0005-0000-0000-0000741D0000}"/>
    <cellStyle name="Comma 19 42" xfId="35288" xr:uid="{00000000-0005-0000-0000-0000751D0000}"/>
    <cellStyle name="Comma 19 43" xfId="35289" xr:uid="{00000000-0005-0000-0000-0000761D0000}"/>
    <cellStyle name="Comma 19 44" xfId="35290" xr:uid="{00000000-0005-0000-0000-0000771D0000}"/>
    <cellStyle name="Comma 19 45" xfId="35291" xr:uid="{00000000-0005-0000-0000-0000781D0000}"/>
    <cellStyle name="Comma 19 46" xfId="35292" xr:uid="{00000000-0005-0000-0000-0000791D0000}"/>
    <cellStyle name="Comma 19 47" xfId="35293" xr:uid="{00000000-0005-0000-0000-00007A1D0000}"/>
    <cellStyle name="Comma 19 48" xfId="35294" xr:uid="{00000000-0005-0000-0000-00007B1D0000}"/>
    <cellStyle name="Comma 19 49" xfId="35295" xr:uid="{00000000-0005-0000-0000-00007C1D0000}"/>
    <cellStyle name="Comma 19 5" xfId="35296" xr:uid="{00000000-0005-0000-0000-00007D1D0000}"/>
    <cellStyle name="Comma 19 50" xfId="35297" xr:uid="{00000000-0005-0000-0000-00007E1D0000}"/>
    <cellStyle name="Comma 19 51" xfId="35298" xr:uid="{00000000-0005-0000-0000-00007F1D0000}"/>
    <cellStyle name="Comma 19 52" xfId="35299" xr:uid="{00000000-0005-0000-0000-0000801D0000}"/>
    <cellStyle name="Comma 19 53" xfId="35300" xr:uid="{00000000-0005-0000-0000-0000811D0000}"/>
    <cellStyle name="Comma 19 54" xfId="35301" xr:uid="{00000000-0005-0000-0000-0000821D0000}"/>
    <cellStyle name="Comma 19 55" xfId="35302" xr:uid="{00000000-0005-0000-0000-0000831D0000}"/>
    <cellStyle name="Comma 19 56" xfId="35303" xr:uid="{00000000-0005-0000-0000-0000841D0000}"/>
    <cellStyle name="Comma 19 57" xfId="35304" xr:uid="{00000000-0005-0000-0000-0000851D0000}"/>
    <cellStyle name="Comma 19 58" xfId="35305" xr:uid="{00000000-0005-0000-0000-0000861D0000}"/>
    <cellStyle name="Comma 19 59" xfId="35306" xr:uid="{00000000-0005-0000-0000-0000871D0000}"/>
    <cellStyle name="Comma 19 6" xfId="35307" xr:uid="{00000000-0005-0000-0000-0000881D0000}"/>
    <cellStyle name="Comma 19 60" xfId="35308" xr:uid="{00000000-0005-0000-0000-0000891D0000}"/>
    <cellStyle name="Comma 19 61" xfId="35252" xr:uid="{00000000-0005-0000-0000-00008A1D0000}"/>
    <cellStyle name="Comma 19 7" xfId="35309" xr:uid="{00000000-0005-0000-0000-00008B1D0000}"/>
    <cellStyle name="Comma 19 8" xfId="35310" xr:uid="{00000000-0005-0000-0000-00008C1D0000}"/>
    <cellStyle name="Comma 19 9" xfId="35311" xr:uid="{00000000-0005-0000-0000-00008D1D0000}"/>
    <cellStyle name="Comma 2" xfId="3027" xr:uid="{00000000-0005-0000-0000-00008E1D0000}"/>
    <cellStyle name="Comma 2 10" xfId="34124" xr:uid="{00000000-0005-0000-0000-00008F1D0000}"/>
    <cellStyle name="Comma 2 10 2" xfId="35313" xr:uid="{00000000-0005-0000-0000-0000901D0000}"/>
    <cellStyle name="Comma 2 11" xfId="35314" xr:uid="{00000000-0005-0000-0000-0000911D0000}"/>
    <cellStyle name="Comma 2 12" xfId="35315" xr:uid="{00000000-0005-0000-0000-0000921D0000}"/>
    <cellStyle name="Comma 2 13" xfId="35316" xr:uid="{00000000-0005-0000-0000-0000931D0000}"/>
    <cellStyle name="Comma 2 14" xfId="35317" xr:uid="{00000000-0005-0000-0000-0000941D0000}"/>
    <cellStyle name="Comma 2 15" xfId="35318" xr:uid="{00000000-0005-0000-0000-0000951D0000}"/>
    <cellStyle name="Comma 2 16" xfId="35319" xr:uid="{00000000-0005-0000-0000-0000961D0000}"/>
    <cellStyle name="Comma 2 17" xfId="35320" xr:uid="{00000000-0005-0000-0000-0000971D0000}"/>
    <cellStyle name="Comma 2 18" xfId="35321" xr:uid="{00000000-0005-0000-0000-0000981D0000}"/>
    <cellStyle name="Comma 2 19" xfId="35322" xr:uid="{00000000-0005-0000-0000-0000991D0000}"/>
    <cellStyle name="Comma 2 2" xfId="34125" xr:uid="{00000000-0005-0000-0000-00009A1D0000}"/>
    <cellStyle name="Comma 2 2 10" xfId="34126" xr:uid="{00000000-0005-0000-0000-00009B1D0000}"/>
    <cellStyle name="Comma 2 2 11" xfId="34127" xr:uid="{00000000-0005-0000-0000-00009C1D0000}"/>
    <cellStyle name="Comma 2 2 12" xfId="34128" xr:uid="{00000000-0005-0000-0000-00009D1D0000}"/>
    <cellStyle name="Comma 2 2 13" xfId="34129" xr:uid="{00000000-0005-0000-0000-00009E1D0000}"/>
    <cellStyle name="Comma 2 2 14" xfId="34130" xr:uid="{00000000-0005-0000-0000-00009F1D0000}"/>
    <cellStyle name="Comma 2 2 15" xfId="35323" xr:uid="{00000000-0005-0000-0000-0000A01D0000}"/>
    <cellStyle name="Comma 2 2 2" xfId="34131" xr:uid="{00000000-0005-0000-0000-0000A11D0000}"/>
    <cellStyle name="Comma 2 2 3" xfId="34132" xr:uid="{00000000-0005-0000-0000-0000A21D0000}"/>
    <cellStyle name="Comma 2 2 4" xfId="34133" xr:uid="{00000000-0005-0000-0000-0000A31D0000}"/>
    <cellStyle name="Comma 2 2 5" xfId="34134" xr:uid="{00000000-0005-0000-0000-0000A41D0000}"/>
    <cellStyle name="Comma 2 2 6" xfId="34135" xr:uid="{00000000-0005-0000-0000-0000A51D0000}"/>
    <cellStyle name="Comma 2 2 7" xfId="34136" xr:uid="{00000000-0005-0000-0000-0000A61D0000}"/>
    <cellStyle name="Comma 2 2 8" xfId="34137" xr:uid="{00000000-0005-0000-0000-0000A71D0000}"/>
    <cellStyle name="Comma 2 2 9" xfId="34138" xr:uid="{00000000-0005-0000-0000-0000A81D0000}"/>
    <cellStyle name="Comma 2 20" xfId="35325" xr:uid="{00000000-0005-0000-0000-0000A91D0000}"/>
    <cellStyle name="Comma 2 21" xfId="35326" xr:uid="{00000000-0005-0000-0000-0000AA1D0000}"/>
    <cellStyle name="Comma 2 22" xfId="35327" xr:uid="{00000000-0005-0000-0000-0000AB1D0000}"/>
    <cellStyle name="Comma 2 23" xfId="35328" xr:uid="{00000000-0005-0000-0000-0000AC1D0000}"/>
    <cellStyle name="Comma 2 24" xfId="35329" xr:uid="{00000000-0005-0000-0000-0000AD1D0000}"/>
    <cellStyle name="Comma 2 25" xfId="35330" xr:uid="{00000000-0005-0000-0000-0000AE1D0000}"/>
    <cellStyle name="Comma 2 26" xfId="35331" xr:uid="{00000000-0005-0000-0000-0000AF1D0000}"/>
    <cellStyle name="Comma 2 27" xfId="35332" xr:uid="{00000000-0005-0000-0000-0000B01D0000}"/>
    <cellStyle name="Comma 2 28" xfId="35333" xr:uid="{00000000-0005-0000-0000-0000B11D0000}"/>
    <cellStyle name="Comma 2 29" xfId="35334" xr:uid="{00000000-0005-0000-0000-0000B21D0000}"/>
    <cellStyle name="Comma 2 3" xfId="34139" xr:uid="{00000000-0005-0000-0000-0000B31D0000}"/>
    <cellStyle name="Comma 2 3 2" xfId="34140" xr:uid="{00000000-0005-0000-0000-0000B41D0000}"/>
    <cellStyle name="Comma 2 3 3" xfId="34141" xr:uid="{00000000-0005-0000-0000-0000B51D0000}"/>
    <cellStyle name="Comma 2 3 4" xfId="35335" xr:uid="{00000000-0005-0000-0000-0000B61D0000}"/>
    <cellStyle name="Comma 2 30" xfId="35336" xr:uid="{00000000-0005-0000-0000-0000B71D0000}"/>
    <cellStyle name="Comma 2 31" xfId="35337" xr:uid="{00000000-0005-0000-0000-0000B81D0000}"/>
    <cellStyle name="Comma 2 32" xfId="35338" xr:uid="{00000000-0005-0000-0000-0000B91D0000}"/>
    <cellStyle name="Comma 2 33" xfId="35339" xr:uid="{00000000-0005-0000-0000-0000BA1D0000}"/>
    <cellStyle name="Comma 2 34" xfId="35340" xr:uid="{00000000-0005-0000-0000-0000BB1D0000}"/>
    <cellStyle name="Comma 2 35" xfId="35341" xr:uid="{00000000-0005-0000-0000-0000BC1D0000}"/>
    <cellStyle name="Comma 2 36" xfId="35342" xr:uid="{00000000-0005-0000-0000-0000BD1D0000}"/>
    <cellStyle name="Comma 2 37" xfId="35343" xr:uid="{00000000-0005-0000-0000-0000BE1D0000}"/>
    <cellStyle name="Comma 2 38" xfId="35344" xr:uid="{00000000-0005-0000-0000-0000BF1D0000}"/>
    <cellStyle name="Comma 2 39" xfId="35345" xr:uid="{00000000-0005-0000-0000-0000C01D0000}"/>
    <cellStyle name="Comma 2 4" xfId="34142" xr:uid="{00000000-0005-0000-0000-0000C11D0000}"/>
    <cellStyle name="Comma 2 4 2" xfId="34143" xr:uid="{00000000-0005-0000-0000-0000C21D0000}"/>
    <cellStyle name="Comma 2 4 3" xfId="34144" xr:uid="{00000000-0005-0000-0000-0000C31D0000}"/>
    <cellStyle name="Comma 2 4 4" xfId="35346" xr:uid="{00000000-0005-0000-0000-0000C41D0000}"/>
    <cellStyle name="Comma 2 40" xfId="35347" xr:uid="{00000000-0005-0000-0000-0000C51D0000}"/>
    <cellStyle name="Comma 2 41" xfId="35348" xr:uid="{00000000-0005-0000-0000-0000C61D0000}"/>
    <cellStyle name="Comma 2 42" xfId="35349" xr:uid="{00000000-0005-0000-0000-0000C71D0000}"/>
    <cellStyle name="Comma 2 43" xfId="35350" xr:uid="{00000000-0005-0000-0000-0000C81D0000}"/>
    <cellStyle name="Comma 2 44" xfId="35351" xr:uid="{00000000-0005-0000-0000-0000C91D0000}"/>
    <cellStyle name="Comma 2 45" xfId="35352" xr:uid="{00000000-0005-0000-0000-0000CA1D0000}"/>
    <cellStyle name="Comma 2 46" xfId="35353" xr:uid="{00000000-0005-0000-0000-0000CB1D0000}"/>
    <cellStyle name="Comma 2 47" xfId="35354" xr:uid="{00000000-0005-0000-0000-0000CC1D0000}"/>
    <cellStyle name="Comma 2 48" xfId="35355" xr:uid="{00000000-0005-0000-0000-0000CD1D0000}"/>
    <cellStyle name="Comma 2 49" xfId="35356" xr:uid="{00000000-0005-0000-0000-0000CE1D0000}"/>
    <cellStyle name="Comma 2 5" xfId="34145" xr:uid="{00000000-0005-0000-0000-0000CF1D0000}"/>
    <cellStyle name="Comma 2 5 2" xfId="34146" xr:uid="{00000000-0005-0000-0000-0000D01D0000}"/>
    <cellStyle name="Comma 2 5 3" xfId="34147" xr:uid="{00000000-0005-0000-0000-0000D11D0000}"/>
    <cellStyle name="Comma 2 5 4" xfId="35357" xr:uid="{00000000-0005-0000-0000-0000D21D0000}"/>
    <cellStyle name="Comma 2 50" xfId="35358" xr:uid="{00000000-0005-0000-0000-0000D31D0000}"/>
    <cellStyle name="Comma 2 51" xfId="35359" xr:uid="{00000000-0005-0000-0000-0000D41D0000}"/>
    <cellStyle name="Comma 2 52" xfId="35360" xr:uid="{00000000-0005-0000-0000-0000D51D0000}"/>
    <cellStyle name="Comma 2 53" xfId="35361" xr:uid="{00000000-0005-0000-0000-0000D61D0000}"/>
    <cellStyle name="Comma 2 54" xfId="35362" xr:uid="{00000000-0005-0000-0000-0000D71D0000}"/>
    <cellStyle name="Comma 2 55" xfId="35363" xr:uid="{00000000-0005-0000-0000-0000D81D0000}"/>
    <cellStyle name="Comma 2 56" xfId="35364" xr:uid="{00000000-0005-0000-0000-0000D91D0000}"/>
    <cellStyle name="Comma 2 57" xfId="35365" xr:uid="{00000000-0005-0000-0000-0000DA1D0000}"/>
    <cellStyle name="Comma 2 58" xfId="35366" xr:uid="{00000000-0005-0000-0000-0000DB1D0000}"/>
    <cellStyle name="Comma 2 59" xfId="35367" xr:uid="{00000000-0005-0000-0000-0000DC1D0000}"/>
    <cellStyle name="Comma 2 6" xfId="34148" xr:uid="{00000000-0005-0000-0000-0000DD1D0000}"/>
    <cellStyle name="Comma 2 6 2" xfId="34149" xr:uid="{00000000-0005-0000-0000-0000DE1D0000}"/>
    <cellStyle name="Comma 2 6 3" xfId="34150" xr:uid="{00000000-0005-0000-0000-0000DF1D0000}"/>
    <cellStyle name="Comma 2 6 4" xfId="35368" xr:uid="{00000000-0005-0000-0000-0000E01D0000}"/>
    <cellStyle name="Comma 2 60" xfId="35369" xr:uid="{00000000-0005-0000-0000-0000E11D0000}"/>
    <cellStyle name="Comma 2 61" xfId="35312" xr:uid="{00000000-0005-0000-0000-0000E21D0000}"/>
    <cellStyle name="Comma 2 7" xfId="34151" xr:uid="{00000000-0005-0000-0000-0000E31D0000}"/>
    <cellStyle name="Comma 2 7 2" xfId="34152" xr:uid="{00000000-0005-0000-0000-0000E41D0000}"/>
    <cellStyle name="Comma 2 7 3" xfId="34153" xr:uid="{00000000-0005-0000-0000-0000E51D0000}"/>
    <cellStyle name="Comma 2 7 4" xfId="35370" xr:uid="{00000000-0005-0000-0000-0000E61D0000}"/>
    <cellStyle name="Comma 2 8" xfId="34154" xr:uid="{00000000-0005-0000-0000-0000E71D0000}"/>
    <cellStyle name="Comma 2 8 2" xfId="34155" xr:uid="{00000000-0005-0000-0000-0000E81D0000}"/>
    <cellStyle name="Comma 2 8 3" xfId="34156" xr:uid="{00000000-0005-0000-0000-0000E91D0000}"/>
    <cellStyle name="Comma 2 8 4" xfId="35371" xr:uid="{00000000-0005-0000-0000-0000EA1D0000}"/>
    <cellStyle name="Comma 2 9" xfId="35372" xr:uid="{00000000-0005-0000-0000-0000EB1D0000}"/>
    <cellStyle name="Comma 20" xfId="5741" xr:uid="{00000000-0005-0000-0000-0000EC1D0000}"/>
    <cellStyle name="Comma 20 10" xfId="35374" xr:uid="{00000000-0005-0000-0000-0000ED1D0000}"/>
    <cellStyle name="Comma 20 11" xfId="35375" xr:uid="{00000000-0005-0000-0000-0000EE1D0000}"/>
    <cellStyle name="Comma 20 12" xfId="35376" xr:uid="{00000000-0005-0000-0000-0000EF1D0000}"/>
    <cellStyle name="Comma 20 13" xfId="35377" xr:uid="{00000000-0005-0000-0000-0000F01D0000}"/>
    <cellStyle name="Comma 20 14" xfId="35378" xr:uid="{00000000-0005-0000-0000-0000F11D0000}"/>
    <cellStyle name="Comma 20 15" xfId="35379" xr:uid="{00000000-0005-0000-0000-0000F21D0000}"/>
    <cellStyle name="Comma 20 16" xfId="35380" xr:uid="{00000000-0005-0000-0000-0000F31D0000}"/>
    <cellStyle name="Comma 20 17" xfId="35381" xr:uid="{00000000-0005-0000-0000-0000F41D0000}"/>
    <cellStyle name="Comma 20 18" xfId="35382" xr:uid="{00000000-0005-0000-0000-0000F51D0000}"/>
    <cellStyle name="Comma 20 19" xfId="35383" xr:uid="{00000000-0005-0000-0000-0000F61D0000}"/>
    <cellStyle name="Comma 20 2" xfId="34157" xr:uid="{00000000-0005-0000-0000-0000F71D0000}"/>
    <cellStyle name="Comma 20 2 2" xfId="35384" xr:uid="{00000000-0005-0000-0000-0000F81D0000}"/>
    <cellStyle name="Comma 20 20" xfId="35385" xr:uid="{00000000-0005-0000-0000-0000F91D0000}"/>
    <cellStyle name="Comma 20 21" xfId="35386" xr:uid="{00000000-0005-0000-0000-0000FA1D0000}"/>
    <cellStyle name="Comma 20 22" xfId="35387" xr:uid="{00000000-0005-0000-0000-0000FB1D0000}"/>
    <cellStyle name="Comma 20 23" xfId="35388" xr:uid="{00000000-0005-0000-0000-0000FC1D0000}"/>
    <cellStyle name="Comma 20 24" xfId="35389" xr:uid="{00000000-0005-0000-0000-0000FD1D0000}"/>
    <cellStyle name="Comma 20 25" xfId="35390" xr:uid="{00000000-0005-0000-0000-0000FE1D0000}"/>
    <cellStyle name="Comma 20 26" xfId="35391" xr:uid="{00000000-0005-0000-0000-0000FF1D0000}"/>
    <cellStyle name="Comma 20 27" xfId="35392" xr:uid="{00000000-0005-0000-0000-0000001E0000}"/>
    <cellStyle name="Comma 20 28" xfId="35393" xr:uid="{00000000-0005-0000-0000-0000011E0000}"/>
    <cellStyle name="Comma 20 29" xfId="35394" xr:uid="{00000000-0005-0000-0000-0000021E0000}"/>
    <cellStyle name="Comma 20 3" xfId="35395" xr:uid="{00000000-0005-0000-0000-0000031E0000}"/>
    <cellStyle name="Comma 20 30" xfId="35396" xr:uid="{00000000-0005-0000-0000-0000041E0000}"/>
    <cellStyle name="Comma 20 31" xfId="35397" xr:uid="{00000000-0005-0000-0000-0000051E0000}"/>
    <cellStyle name="Comma 20 32" xfId="35398" xr:uid="{00000000-0005-0000-0000-0000061E0000}"/>
    <cellStyle name="Comma 20 33" xfId="35399" xr:uid="{00000000-0005-0000-0000-0000071E0000}"/>
    <cellStyle name="Comma 20 34" xfId="35400" xr:uid="{00000000-0005-0000-0000-0000081E0000}"/>
    <cellStyle name="Comma 20 35" xfId="35401" xr:uid="{00000000-0005-0000-0000-0000091E0000}"/>
    <cellStyle name="Comma 20 36" xfId="35402" xr:uid="{00000000-0005-0000-0000-00000A1E0000}"/>
    <cellStyle name="Comma 20 37" xfId="35403" xr:uid="{00000000-0005-0000-0000-00000B1E0000}"/>
    <cellStyle name="Comma 20 38" xfId="35404" xr:uid="{00000000-0005-0000-0000-00000C1E0000}"/>
    <cellStyle name="Comma 20 39" xfId="35405" xr:uid="{00000000-0005-0000-0000-00000D1E0000}"/>
    <cellStyle name="Comma 20 4" xfId="35406" xr:uid="{00000000-0005-0000-0000-00000E1E0000}"/>
    <cellStyle name="Comma 20 40" xfId="35407" xr:uid="{00000000-0005-0000-0000-00000F1E0000}"/>
    <cellStyle name="Comma 20 41" xfId="35408" xr:uid="{00000000-0005-0000-0000-0000101E0000}"/>
    <cellStyle name="Comma 20 42" xfId="35409" xr:uid="{00000000-0005-0000-0000-0000111E0000}"/>
    <cellStyle name="Comma 20 43" xfId="35410" xr:uid="{00000000-0005-0000-0000-0000121E0000}"/>
    <cellStyle name="Comma 20 44" xfId="35411" xr:uid="{00000000-0005-0000-0000-0000131E0000}"/>
    <cellStyle name="Comma 20 45" xfId="35412" xr:uid="{00000000-0005-0000-0000-0000141E0000}"/>
    <cellStyle name="Comma 20 46" xfId="35413" xr:uid="{00000000-0005-0000-0000-0000151E0000}"/>
    <cellStyle name="Comma 20 47" xfId="35414" xr:uid="{00000000-0005-0000-0000-0000161E0000}"/>
    <cellStyle name="Comma 20 48" xfId="35415" xr:uid="{00000000-0005-0000-0000-0000171E0000}"/>
    <cellStyle name="Comma 20 49" xfId="35416" xr:uid="{00000000-0005-0000-0000-0000181E0000}"/>
    <cellStyle name="Comma 20 5" xfId="35417" xr:uid="{00000000-0005-0000-0000-0000191E0000}"/>
    <cellStyle name="Comma 20 50" xfId="35418" xr:uid="{00000000-0005-0000-0000-00001A1E0000}"/>
    <cellStyle name="Comma 20 51" xfId="35419" xr:uid="{00000000-0005-0000-0000-00001B1E0000}"/>
    <cellStyle name="Comma 20 52" xfId="35420" xr:uid="{00000000-0005-0000-0000-00001C1E0000}"/>
    <cellStyle name="Comma 20 53" xfId="35421" xr:uid="{00000000-0005-0000-0000-00001D1E0000}"/>
    <cellStyle name="Comma 20 54" xfId="35422" xr:uid="{00000000-0005-0000-0000-00001E1E0000}"/>
    <cellStyle name="Comma 20 55" xfId="35423" xr:uid="{00000000-0005-0000-0000-00001F1E0000}"/>
    <cellStyle name="Comma 20 56" xfId="35424" xr:uid="{00000000-0005-0000-0000-0000201E0000}"/>
    <cellStyle name="Comma 20 57" xfId="35425" xr:uid="{00000000-0005-0000-0000-0000211E0000}"/>
    <cellStyle name="Comma 20 58" xfId="35426" xr:uid="{00000000-0005-0000-0000-0000221E0000}"/>
    <cellStyle name="Comma 20 59" xfId="35427" xr:uid="{00000000-0005-0000-0000-0000231E0000}"/>
    <cellStyle name="Comma 20 6" xfId="35428" xr:uid="{00000000-0005-0000-0000-0000241E0000}"/>
    <cellStyle name="Comma 20 60" xfId="35429" xr:uid="{00000000-0005-0000-0000-0000251E0000}"/>
    <cellStyle name="Comma 20 61" xfId="35373" xr:uid="{00000000-0005-0000-0000-0000261E0000}"/>
    <cellStyle name="Comma 20 7" xfId="35430" xr:uid="{00000000-0005-0000-0000-0000271E0000}"/>
    <cellStyle name="Comma 20 8" xfId="35431" xr:uid="{00000000-0005-0000-0000-0000281E0000}"/>
    <cellStyle name="Comma 20 9" xfId="35432" xr:uid="{00000000-0005-0000-0000-0000291E0000}"/>
    <cellStyle name="Comma 21" xfId="5715" xr:uid="{00000000-0005-0000-0000-00002A1E0000}"/>
    <cellStyle name="Comma 21 10" xfId="35434" xr:uid="{00000000-0005-0000-0000-00002B1E0000}"/>
    <cellStyle name="Comma 21 11" xfId="35435" xr:uid="{00000000-0005-0000-0000-00002C1E0000}"/>
    <cellStyle name="Comma 21 12" xfId="35436" xr:uid="{00000000-0005-0000-0000-00002D1E0000}"/>
    <cellStyle name="Comma 21 13" xfId="35437" xr:uid="{00000000-0005-0000-0000-00002E1E0000}"/>
    <cellStyle name="Comma 21 14" xfId="35438" xr:uid="{00000000-0005-0000-0000-00002F1E0000}"/>
    <cellStyle name="Comma 21 15" xfId="35439" xr:uid="{00000000-0005-0000-0000-0000301E0000}"/>
    <cellStyle name="Comma 21 16" xfId="35440" xr:uid="{00000000-0005-0000-0000-0000311E0000}"/>
    <cellStyle name="Comma 21 17" xfId="35441" xr:uid="{00000000-0005-0000-0000-0000321E0000}"/>
    <cellStyle name="Comma 21 18" xfId="35442" xr:uid="{00000000-0005-0000-0000-0000331E0000}"/>
    <cellStyle name="Comma 21 19" xfId="35443" xr:uid="{00000000-0005-0000-0000-0000341E0000}"/>
    <cellStyle name="Comma 21 2" xfId="34158" xr:uid="{00000000-0005-0000-0000-0000351E0000}"/>
    <cellStyle name="Comma 21 2 2" xfId="35444" xr:uid="{00000000-0005-0000-0000-0000361E0000}"/>
    <cellStyle name="Comma 21 20" xfId="35445" xr:uid="{00000000-0005-0000-0000-0000371E0000}"/>
    <cellStyle name="Comma 21 21" xfId="35446" xr:uid="{00000000-0005-0000-0000-0000381E0000}"/>
    <cellStyle name="Comma 21 22" xfId="35447" xr:uid="{00000000-0005-0000-0000-0000391E0000}"/>
    <cellStyle name="Comma 21 23" xfId="35448" xr:uid="{00000000-0005-0000-0000-00003A1E0000}"/>
    <cellStyle name="Comma 21 24" xfId="35449" xr:uid="{00000000-0005-0000-0000-00003B1E0000}"/>
    <cellStyle name="Comma 21 25" xfId="35450" xr:uid="{00000000-0005-0000-0000-00003C1E0000}"/>
    <cellStyle name="Comma 21 26" xfId="35451" xr:uid="{00000000-0005-0000-0000-00003D1E0000}"/>
    <cellStyle name="Comma 21 27" xfId="35452" xr:uid="{00000000-0005-0000-0000-00003E1E0000}"/>
    <cellStyle name="Comma 21 28" xfId="35453" xr:uid="{00000000-0005-0000-0000-00003F1E0000}"/>
    <cellStyle name="Comma 21 29" xfId="35454" xr:uid="{00000000-0005-0000-0000-0000401E0000}"/>
    <cellStyle name="Comma 21 3" xfId="35455" xr:uid="{00000000-0005-0000-0000-0000411E0000}"/>
    <cellStyle name="Comma 21 30" xfId="35456" xr:uid="{00000000-0005-0000-0000-0000421E0000}"/>
    <cellStyle name="Comma 21 31" xfId="35457" xr:uid="{00000000-0005-0000-0000-0000431E0000}"/>
    <cellStyle name="Comma 21 32" xfId="35458" xr:uid="{00000000-0005-0000-0000-0000441E0000}"/>
    <cellStyle name="Comma 21 33" xfId="35459" xr:uid="{00000000-0005-0000-0000-0000451E0000}"/>
    <cellStyle name="Comma 21 34" xfId="35460" xr:uid="{00000000-0005-0000-0000-0000461E0000}"/>
    <cellStyle name="Comma 21 35" xfId="35461" xr:uid="{00000000-0005-0000-0000-0000471E0000}"/>
    <cellStyle name="Comma 21 36" xfId="35462" xr:uid="{00000000-0005-0000-0000-0000481E0000}"/>
    <cellStyle name="Comma 21 37" xfId="35463" xr:uid="{00000000-0005-0000-0000-0000491E0000}"/>
    <cellStyle name="Comma 21 38" xfId="35464" xr:uid="{00000000-0005-0000-0000-00004A1E0000}"/>
    <cellStyle name="Comma 21 39" xfId="35465" xr:uid="{00000000-0005-0000-0000-00004B1E0000}"/>
    <cellStyle name="Comma 21 4" xfId="35466" xr:uid="{00000000-0005-0000-0000-00004C1E0000}"/>
    <cellStyle name="Comma 21 40" xfId="35467" xr:uid="{00000000-0005-0000-0000-00004D1E0000}"/>
    <cellStyle name="Comma 21 41" xfId="35468" xr:uid="{00000000-0005-0000-0000-00004E1E0000}"/>
    <cellStyle name="Comma 21 42" xfId="35469" xr:uid="{00000000-0005-0000-0000-00004F1E0000}"/>
    <cellStyle name="Comma 21 43" xfId="35470" xr:uid="{00000000-0005-0000-0000-0000501E0000}"/>
    <cellStyle name="Comma 21 44" xfId="35471" xr:uid="{00000000-0005-0000-0000-0000511E0000}"/>
    <cellStyle name="Comma 21 45" xfId="35472" xr:uid="{00000000-0005-0000-0000-0000521E0000}"/>
    <cellStyle name="Comma 21 46" xfId="35473" xr:uid="{00000000-0005-0000-0000-0000531E0000}"/>
    <cellStyle name="Comma 21 47" xfId="35474" xr:uid="{00000000-0005-0000-0000-0000541E0000}"/>
    <cellStyle name="Comma 21 48" xfId="35475" xr:uid="{00000000-0005-0000-0000-0000551E0000}"/>
    <cellStyle name="Comma 21 49" xfId="35476" xr:uid="{00000000-0005-0000-0000-0000561E0000}"/>
    <cellStyle name="Comma 21 5" xfId="35477" xr:uid="{00000000-0005-0000-0000-0000571E0000}"/>
    <cellStyle name="Comma 21 50" xfId="35478" xr:uid="{00000000-0005-0000-0000-0000581E0000}"/>
    <cellStyle name="Comma 21 51" xfId="35479" xr:uid="{00000000-0005-0000-0000-0000591E0000}"/>
    <cellStyle name="Comma 21 52" xfId="35480" xr:uid="{00000000-0005-0000-0000-00005A1E0000}"/>
    <cellStyle name="Comma 21 53" xfId="35481" xr:uid="{00000000-0005-0000-0000-00005B1E0000}"/>
    <cellStyle name="Comma 21 54" xfId="35482" xr:uid="{00000000-0005-0000-0000-00005C1E0000}"/>
    <cellStyle name="Comma 21 55" xfId="35483" xr:uid="{00000000-0005-0000-0000-00005D1E0000}"/>
    <cellStyle name="Comma 21 56" xfId="35484" xr:uid="{00000000-0005-0000-0000-00005E1E0000}"/>
    <cellStyle name="Comma 21 57" xfId="35485" xr:uid="{00000000-0005-0000-0000-00005F1E0000}"/>
    <cellStyle name="Comma 21 58" xfId="35486" xr:uid="{00000000-0005-0000-0000-0000601E0000}"/>
    <cellStyle name="Comma 21 59" xfId="35487" xr:uid="{00000000-0005-0000-0000-0000611E0000}"/>
    <cellStyle name="Comma 21 6" xfId="35488" xr:uid="{00000000-0005-0000-0000-0000621E0000}"/>
    <cellStyle name="Comma 21 60" xfId="35489" xr:uid="{00000000-0005-0000-0000-0000631E0000}"/>
    <cellStyle name="Comma 21 61" xfId="35433" xr:uid="{00000000-0005-0000-0000-0000641E0000}"/>
    <cellStyle name="Comma 21 7" xfId="35490" xr:uid="{00000000-0005-0000-0000-0000651E0000}"/>
    <cellStyle name="Comma 21 8" xfId="35491" xr:uid="{00000000-0005-0000-0000-0000661E0000}"/>
    <cellStyle name="Comma 21 9" xfId="35492" xr:uid="{00000000-0005-0000-0000-0000671E0000}"/>
    <cellStyle name="Comma 22" xfId="5727" xr:uid="{00000000-0005-0000-0000-0000681E0000}"/>
    <cellStyle name="Comma 22 10" xfId="35494" xr:uid="{00000000-0005-0000-0000-0000691E0000}"/>
    <cellStyle name="Comma 22 11" xfId="35495" xr:uid="{00000000-0005-0000-0000-00006A1E0000}"/>
    <cellStyle name="Comma 22 12" xfId="35496" xr:uid="{00000000-0005-0000-0000-00006B1E0000}"/>
    <cellStyle name="Comma 22 13" xfId="35497" xr:uid="{00000000-0005-0000-0000-00006C1E0000}"/>
    <cellStyle name="Comma 22 14" xfId="35498" xr:uid="{00000000-0005-0000-0000-00006D1E0000}"/>
    <cellStyle name="Comma 22 15" xfId="35499" xr:uid="{00000000-0005-0000-0000-00006E1E0000}"/>
    <cellStyle name="Comma 22 16" xfId="35500" xr:uid="{00000000-0005-0000-0000-00006F1E0000}"/>
    <cellStyle name="Comma 22 17" xfId="35501" xr:uid="{00000000-0005-0000-0000-0000701E0000}"/>
    <cellStyle name="Comma 22 18" xfId="35502" xr:uid="{00000000-0005-0000-0000-0000711E0000}"/>
    <cellStyle name="Comma 22 19" xfId="35503" xr:uid="{00000000-0005-0000-0000-0000721E0000}"/>
    <cellStyle name="Comma 22 2" xfId="34159" xr:uid="{00000000-0005-0000-0000-0000731E0000}"/>
    <cellStyle name="Comma 22 2 2" xfId="35504" xr:uid="{00000000-0005-0000-0000-0000741E0000}"/>
    <cellStyle name="Comma 22 20" xfId="35505" xr:uid="{00000000-0005-0000-0000-0000751E0000}"/>
    <cellStyle name="Comma 22 21" xfId="35506" xr:uid="{00000000-0005-0000-0000-0000761E0000}"/>
    <cellStyle name="Comma 22 22" xfId="35507" xr:uid="{00000000-0005-0000-0000-0000771E0000}"/>
    <cellStyle name="Comma 22 23" xfId="35508" xr:uid="{00000000-0005-0000-0000-0000781E0000}"/>
    <cellStyle name="Comma 22 24" xfId="35509" xr:uid="{00000000-0005-0000-0000-0000791E0000}"/>
    <cellStyle name="Comma 22 25" xfId="35510" xr:uid="{00000000-0005-0000-0000-00007A1E0000}"/>
    <cellStyle name="Comma 22 26" xfId="35511" xr:uid="{00000000-0005-0000-0000-00007B1E0000}"/>
    <cellStyle name="Comma 22 27" xfId="35512" xr:uid="{00000000-0005-0000-0000-00007C1E0000}"/>
    <cellStyle name="Comma 22 28" xfId="35513" xr:uid="{00000000-0005-0000-0000-00007D1E0000}"/>
    <cellStyle name="Comma 22 29" xfId="35514" xr:uid="{00000000-0005-0000-0000-00007E1E0000}"/>
    <cellStyle name="Comma 22 3" xfId="35515" xr:uid="{00000000-0005-0000-0000-00007F1E0000}"/>
    <cellStyle name="Comma 22 30" xfId="35516" xr:uid="{00000000-0005-0000-0000-0000801E0000}"/>
    <cellStyle name="Comma 22 31" xfId="35517" xr:uid="{00000000-0005-0000-0000-0000811E0000}"/>
    <cellStyle name="Comma 22 32" xfId="35518" xr:uid="{00000000-0005-0000-0000-0000821E0000}"/>
    <cellStyle name="Comma 22 33" xfId="35519" xr:uid="{00000000-0005-0000-0000-0000831E0000}"/>
    <cellStyle name="Comma 22 34" xfId="35520" xr:uid="{00000000-0005-0000-0000-0000841E0000}"/>
    <cellStyle name="Comma 22 35" xfId="35521" xr:uid="{00000000-0005-0000-0000-0000851E0000}"/>
    <cellStyle name="Comma 22 36" xfId="35522" xr:uid="{00000000-0005-0000-0000-0000861E0000}"/>
    <cellStyle name="Comma 22 37" xfId="35523" xr:uid="{00000000-0005-0000-0000-0000871E0000}"/>
    <cellStyle name="Comma 22 38" xfId="35524" xr:uid="{00000000-0005-0000-0000-0000881E0000}"/>
    <cellStyle name="Comma 22 39" xfId="35525" xr:uid="{00000000-0005-0000-0000-0000891E0000}"/>
    <cellStyle name="Comma 22 4" xfId="35526" xr:uid="{00000000-0005-0000-0000-00008A1E0000}"/>
    <cellStyle name="Comma 22 40" xfId="35527" xr:uid="{00000000-0005-0000-0000-00008B1E0000}"/>
    <cellStyle name="Comma 22 41" xfId="35528" xr:uid="{00000000-0005-0000-0000-00008C1E0000}"/>
    <cellStyle name="Comma 22 42" xfId="35529" xr:uid="{00000000-0005-0000-0000-00008D1E0000}"/>
    <cellStyle name="Comma 22 43" xfId="35530" xr:uid="{00000000-0005-0000-0000-00008E1E0000}"/>
    <cellStyle name="Comma 22 44" xfId="35531" xr:uid="{00000000-0005-0000-0000-00008F1E0000}"/>
    <cellStyle name="Comma 22 45" xfId="35532" xr:uid="{00000000-0005-0000-0000-0000901E0000}"/>
    <cellStyle name="Comma 22 46" xfId="35533" xr:uid="{00000000-0005-0000-0000-0000911E0000}"/>
    <cellStyle name="Comma 22 47" xfId="35534" xr:uid="{00000000-0005-0000-0000-0000921E0000}"/>
    <cellStyle name="Comma 22 48" xfId="35535" xr:uid="{00000000-0005-0000-0000-0000931E0000}"/>
    <cellStyle name="Comma 22 49" xfId="35536" xr:uid="{00000000-0005-0000-0000-0000941E0000}"/>
    <cellStyle name="Comma 22 5" xfId="35537" xr:uid="{00000000-0005-0000-0000-0000951E0000}"/>
    <cellStyle name="Comma 22 50" xfId="35538" xr:uid="{00000000-0005-0000-0000-0000961E0000}"/>
    <cellStyle name="Comma 22 51" xfId="35539" xr:uid="{00000000-0005-0000-0000-0000971E0000}"/>
    <cellStyle name="Comma 22 52" xfId="35540" xr:uid="{00000000-0005-0000-0000-0000981E0000}"/>
    <cellStyle name="Comma 22 53" xfId="35541" xr:uid="{00000000-0005-0000-0000-0000991E0000}"/>
    <cellStyle name="Comma 22 54" xfId="35542" xr:uid="{00000000-0005-0000-0000-00009A1E0000}"/>
    <cellStyle name="Comma 22 55" xfId="35543" xr:uid="{00000000-0005-0000-0000-00009B1E0000}"/>
    <cellStyle name="Comma 22 56" xfId="35544" xr:uid="{00000000-0005-0000-0000-00009C1E0000}"/>
    <cellStyle name="Comma 22 57" xfId="35545" xr:uid="{00000000-0005-0000-0000-00009D1E0000}"/>
    <cellStyle name="Comma 22 58" xfId="35546" xr:uid="{00000000-0005-0000-0000-00009E1E0000}"/>
    <cellStyle name="Comma 22 59" xfId="35547" xr:uid="{00000000-0005-0000-0000-00009F1E0000}"/>
    <cellStyle name="Comma 22 6" xfId="35548" xr:uid="{00000000-0005-0000-0000-0000A01E0000}"/>
    <cellStyle name="Comma 22 60" xfId="35549" xr:uid="{00000000-0005-0000-0000-0000A11E0000}"/>
    <cellStyle name="Comma 22 61" xfId="35493" xr:uid="{00000000-0005-0000-0000-0000A21E0000}"/>
    <cellStyle name="Comma 22 7" xfId="35550" xr:uid="{00000000-0005-0000-0000-0000A31E0000}"/>
    <cellStyle name="Comma 22 8" xfId="35551" xr:uid="{00000000-0005-0000-0000-0000A41E0000}"/>
    <cellStyle name="Comma 22 9" xfId="35552" xr:uid="{00000000-0005-0000-0000-0000A51E0000}"/>
    <cellStyle name="Comma 23" xfId="5718" xr:uid="{00000000-0005-0000-0000-0000A61E0000}"/>
    <cellStyle name="Comma 23 10" xfId="35554" xr:uid="{00000000-0005-0000-0000-0000A71E0000}"/>
    <cellStyle name="Comma 23 11" xfId="35555" xr:uid="{00000000-0005-0000-0000-0000A81E0000}"/>
    <cellStyle name="Comma 23 12" xfId="35556" xr:uid="{00000000-0005-0000-0000-0000A91E0000}"/>
    <cellStyle name="Comma 23 13" xfId="35557" xr:uid="{00000000-0005-0000-0000-0000AA1E0000}"/>
    <cellStyle name="Comma 23 14" xfId="35558" xr:uid="{00000000-0005-0000-0000-0000AB1E0000}"/>
    <cellStyle name="Comma 23 15" xfId="35559" xr:uid="{00000000-0005-0000-0000-0000AC1E0000}"/>
    <cellStyle name="Comma 23 16" xfId="35560" xr:uid="{00000000-0005-0000-0000-0000AD1E0000}"/>
    <cellStyle name="Comma 23 17" xfId="35561" xr:uid="{00000000-0005-0000-0000-0000AE1E0000}"/>
    <cellStyle name="Comma 23 18" xfId="35562" xr:uid="{00000000-0005-0000-0000-0000AF1E0000}"/>
    <cellStyle name="Comma 23 19" xfId="35563" xr:uid="{00000000-0005-0000-0000-0000B01E0000}"/>
    <cellStyle name="Comma 23 2" xfId="34160" xr:uid="{00000000-0005-0000-0000-0000B11E0000}"/>
    <cellStyle name="Comma 23 2 2" xfId="35564" xr:uid="{00000000-0005-0000-0000-0000B21E0000}"/>
    <cellStyle name="Comma 23 20" xfId="35565" xr:uid="{00000000-0005-0000-0000-0000B31E0000}"/>
    <cellStyle name="Comma 23 21" xfId="35566" xr:uid="{00000000-0005-0000-0000-0000B41E0000}"/>
    <cellStyle name="Comma 23 22" xfId="35567" xr:uid="{00000000-0005-0000-0000-0000B51E0000}"/>
    <cellStyle name="Comma 23 23" xfId="35568" xr:uid="{00000000-0005-0000-0000-0000B61E0000}"/>
    <cellStyle name="Comma 23 24" xfId="35569" xr:uid="{00000000-0005-0000-0000-0000B71E0000}"/>
    <cellStyle name="Comma 23 25" xfId="35570" xr:uid="{00000000-0005-0000-0000-0000B81E0000}"/>
    <cellStyle name="Comma 23 26" xfId="35571" xr:uid="{00000000-0005-0000-0000-0000B91E0000}"/>
    <cellStyle name="Comma 23 27" xfId="35572" xr:uid="{00000000-0005-0000-0000-0000BA1E0000}"/>
    <cellStyle name="Comma 23 28" xfId="35573" xr:uid="{00000000-0005-0000-0000-0000BB1E0000}"/>
    <cellStyle name="Comma 23 29" xfId="35574" xr:uid="{00000000-0005-0000-0000-0000BC1E0000}"/>
    <cellStyle name="Comma 23 3" xfId="35575" xr:uid="{00000000-0005-0000-0000-0000BD1E0000}"/>
    <cellStyle name="Comma 23 30" xfId="35576" xr:uid="{00000000-0005-0000-0000-0000BE1E0000}"/>
    <cellStyle name="Comma 23 31" xfId="35577" xr:uid="{00000000-0005-0000-0000-0000BF1E0000}"/>
    <cellStyle name="Comma 23 32" xfId="35578" xr:uid="{00000000-0005-0000-0000-0000C01E0000}"/>
    <cellStyle name="Comma 23 33" xfId="35579" xr:uid="{00000000-0005-0000-0000-0000C11E0000}"/>
    <cellStyle name="Comma 23 34" xfId="35580" xr:uid="{00000000-0005-0000-0000-0000C21E0000}"/>
    <cellStyle name="Comma 23 35" xfId="35581" xr:uid="{00000000-0005-0000-0000-0000C31E0000}"/>
    <cellStyle name="Comma 23 36" xfId="35582" xr:uid="{00000000-0005-0000-0000-0000C41E0000}"/>
    <cellStyle name="Comma 23 37" xfId="35583" xr:uid="{00000000-0005-0000-0000-0000C51E0000}"/>
    <cellStyle name="Comma 23 38" xfId="35584" xr:uid="{00000000-0005-0000-0000-0000C61E0000}"/>
    <cellStyle name="Comma 23 39" xfId="35585" xr:uid="{00000000-0005-0000-0000-0000C71E0000}"/>
    <cellStyle name="Comma 23 4" xfId="35586" xr:uid="{00000000-0005-0000-0000-0000C81E0000}"/>
    <cellStyle name="Comma 23 40" xfId="35587" xr:uid="{00000000-0005-0000-0000-0000C91E0000}"/>
    <cellStyle name="Comma 23 41" xfId="35588" xr:uid="{00000000-0005-0000-0000-0000CA1E0000}"/>
    <cellStyle name="Comma 23 42" xfId="35589" xr:uid="{00000000-0005-0000-0000-0000CB1E0000}"/>
    <cellStyle name="Comma 23 43" xfId="35590" xr:uid="{00000000-0005-0000-0000-0000CC1E0000}"/>
    <cellStyle name="Comma 23 44" xfId="35591" xr:uid="{00000000-0005-0000-0000-0000CD1E0000}"/>
    <cellStyle name="Comma 23 45" xfId="35592" xr:uid="{00000000-0005-0000-0000-0000CE1E0000}"/>
    <cellStyle name="Comma 23 46" xfId="35593" xr:uid="{00000000-0005-0000-0000-0000CF1E0000}"/>
    <cellStyle name="Comma 23 47" xfId="35594" xr:uid="{00000000-0005-0000-0000-0000D01E0000}"/>
    <cellStyle name="Comma 23 48" xfId="35595" xr:uid="{00000000-0005-0000-0000-0000D11E0000}"/>
    <cellStyle name="Comma 23 49" xfId="35596" xr:uid="{00000000-0005-0000-0000-0000D21E0000}"/>
    <cellStyle name="Comma 23 5" xfId="35597" xr:uid="{00000000-0005-0000-0000-0000D31E0000}"/>
    <cellStyle name="Comma 23 50" xfId="35598" xr:uid="{00000000-0005-0000-0000-0000D41E0000}"/>
    <cellStyle name="Comma 23 51" xfId="35599" xr:uid="{00000000-0005-0000-0000-0000D51E0000}"/>
    <cellStyle name="Comma 23 52" xfId="35600" xr:uid="{00000000-0005-0000-0000-0000D61E0000}"/>
    <cellStyle name="Comma 23 53" xfId="35601" xr:uid="{00000000-0005-0000-0000-0000D71E0000}"/>
    <cellStyle name="Comma 23 54" xfId="35602" xr:uid="{00000000-0005-0000-0000-0000D81E0000}"/>
    <cellStyle name="Comma 23 55" xfId="35603" xr:uid="{00000000-0005-0000-0000-0000D91E0000}"/>
    <cellStyle name="Comma 23 56" xfId="35604" xr:uid="{00000000-0005-0000-0000-0000DA1E0000}"/>
    <cellStyle name="Comma 23 57" xfId="35605" xr:uid="{00000000-0005-0000-0000-0000DB1E0000}"/>
    <cellStyle name="Comma 23 58" xfId="35606" xr:uid="{00000000-0005-0000-0000-0000DC1E0000}"/>
    <cellStyle name="Comma 23 59" xfId="35607" xr:uid="{00000000-0005-0000-0000-0000DD1E0000}"/>
    <cellStyle name="Comma 23 6" xfId="35608" xr:uid="{00000000-0005-0000-0000-0000DE1E0000}"/>
    <cellStyle name="Comma 23 60" xfId="35609" xr:uid="{00000000-0005-0000-0000-0000DF1E0000}"/>
    <cellStyle name="Comma 23 61" xfId="35553" xr:uid="{00000000-0005-0000-0000-0000E01E0000}"/>
    <cellStyle name="Comma 23 7" xfId="35610" xr:uid="{00000000-0005-0000-0000-0000E11E0000}"/>
    <cellStyle name="Comma 23 8" xfId="35611" xr:uid="{00000000-0005-0000-0000-0000E21E0000}"/>
    <cellStyle name="Comma 23 9" xfId="35612" xr:uid="{00000000-0005-0000-0000-0000E31E0000}"/>
    <cellStyle name="Comma 24" xfId="5724" xr:uid="{00000000-0005-0000-0000-0000E41E0000}"/>
    <cellStyle name="Comma 24 10" xfId="35614" xr:uid="{00000000-0005-0000-0000-0000E51E0000}"/>
    <cellStyle name="Comma 24 11" xfId="35615" xr:uid="{00000000-0005-0000-0000-0000E61E0000}"/>
    <cellStyle name="Comma 24 12" xfId="35616" xr:uid="{00000000-0005-0000-0000-0000E71E0000}"/>
    <cellStyle name="Comma 24 13" xfId="35617" xr:uid="{00000000-0005-0000-0000-0000E81E0000}"/>
    <cellStyle name="Comma 24 14" xfId="35618" xr:uid="{00000000-0005-0000-0000-0000E91E0000}"/>
    <cellStyle name="Comma 24 15" xfId="35619" xr:uid="{00000000-0005-0000-0000-0000EA1E0000}"/>
    <cellStyle name="Comma 24 16" xfId="35620" xr:uid="{00000000-0005-0000-0000-0000EB1E0000}"/>
    <cellStyle name="Comma 24 17" xfId="35621" xr:uid="{00000000-0005-0000-0000-0000EC1E0000}"/>
    <cellStyle name="Comma 24 18" xfId="35622" xr:uid="{00000000-0005-0000-0000-0000ED1E0000}"/>
    <cellStyle name="Comma 24 19" xfId="35623" xr:uid="{00000000-0005-0000-0000-0000EE1E0000}"/>
    <cellStyle name="Comma 24 2" xfId="34161" xr:uid="{00000000-0005-0000-0000-0000EF1E0000}"/>
    <cellStyle name="Comma 24 2 2" xfId="35624" xr:uid="{00000000-0005-0000-0000-0000F01E0000}"/>
    <cellStyle name="Comma 24 20" xfId="35625" xr:uid="{00000000-0005-0000-0000-0000F11E0000}"/>
    <cellStyle name="Comma 24 21" xfId="35626" xr:uid="{00000000-0005-0000-0000-0000F21E0000}"/>
    <cellStyle name="Comma 24 22" xfId="35627" xr:uid="{00000000-0005-0000-0000-0000F31E0000}"/>
    <cellStyle name="Comma 24 23" xfId="35628" xr:uid="{00000000-0005-0000-0000-0000F41E0000}"/>
    <cellStyle name="Comma 24 24" xfId="35629" xr:uid="{00000000-0005-0000-0000-0000F51E0000}"/>
    <cellStyle name="Comma 24 25" xfId="35630" xr:uid="{00000000-0005-0000-0000-0000F61E0000}"/>
    <cellStyle name="Comma 24 26" xfId="35631" xr:uid="{00000000-0005-0000-0000-0000F71E0000}"/>
    <cellStyle name="Comma 24 27" xfId="35632" xr:uid="{00000000-0005-0000-0000-0000F81E0000}"/>
    <cellStyle name="Comma 24 28" xfId="35633" xr:uid="{00000000-0005-0000-0000-0000F91E0000}"/>
    <cellStyle name="Comma 24 29" xfId="35634" xr:uid="{00000000-0005-0000-0000-0000FA1E0000}"/>
    <cellStyle name="Comma 24 3" xfId="35635" xr:uid="{00000000-0005-0000-0000-0000FB1E0000}"/>
    <cellStyle name="Comma 24 30" xfId="35636" xr:uid="{00000000-0005-0000-0000-0000FC1E0000}"/>
    <cellStyle name="Comma 24 31" xfId="35637" xr:uid="{00000000-0005-0000-0000-0000FD1E0000}"/>
    <cellStyle name="Comma 24 32" xfId="35638" xr:uid="{00000000-0005-0000-0000-0000FE1E0000}"/>
    <cellStyle name="Comma 24 33" xfId="35639" xr:uid="{00000000-0005-0000-0000-0000FF1E0000}"/>
    <cellStyle name="Comma 24 34" xfId="35640" xr:uid="{00000000-0005-0000-0000-0000001F0000}"/>
    <cellStyle name="Comma 24 35" xfId="35641" xr:uid="{00000000-0005-0000-0000-0000011F0000}"/>
    <cellStyle name="Comma 24 36" xfId="35642" xr:uid="{00000000-0005-0000-0000-0000021F0000}"/>
    <cellStyle name="Comma 24 37" xfId="35643" xr:uid="{00000000-0005-0000-0000-0000031F0000}"/>
    <cellStyle name="Comma 24 38" xfId="35644" xr:uid="{00000000-0005-0000-0000-0000041F0000}"/>
    <cellStyle name="Comma 24 39" xfId="35645" xr:uid="{00000000-0005-0000-0000-0000051F0000}"/>
    <cellStyle name="Comma 24 4" xfId="35646" xr:uid="{00000000-0005-0000-0000-0000061F0000}"/>
    <cellStyle name="Comma 24 40" xfId="35647" xr:uid="{00000000-0005-0000-0000-0000071F0000}"/>
    <cellStyle name="Comma 24 41" xfId="35648" xr:uid="{00000000-0005-0000-0000-0000081F0000}"/>
    <cellStyle name="Comma 24 42" xfId="35649" xr:uid="{00000000-0005-0000-0000-0000091F0000}"/>
    <cellStyle name="Comma 24 43" xfId="35650" xr:uid="{00000000-0005-0000-0000-00000A1F0000}"/>
    <cellStyle name="Comma 24 44" xfId="35651" xr:uid="{00000000-0005-0000-0000-00000B1F0000}"/>
    <cellStyle name="Comma 24 45" xfId="35652" xr:uid="{00000000-0005-0000-0000-00000C1F0000}"/>
    <cellStyle name="Comma 24 46" xfId="35653" xr:uid="{00000000-0005-0000-0000-00000D1F0000}"/>
    <cellStyle name="Comma 24 47" xfId="35654" xr:uid="{00000000-0005-0000-0000-00000E1F0000}"/>
    <cellStyle name="Comma 24 48" xfId="35655" xr:uid="{00000000-0005-0000-0000-00000F1F0000}"/>
    <cellStyle name="Comma 24 49" xfId="35656" xr:uid="{00000000-0005-0000-0000-0000101F0000}"/>
    <cellStyle name="Comma 24 5" xfId="35657" xr:uid="{00000000-0005-0000-0000-0000111F0000}"/>
    <cellStyle name="Comma 24 50" xfId="35658" xr:uid="{00000000-0005-0000-0000-0000121F0000}"/>
    <cellStyle name="Comma 24 51" xfId="35659" xr:uid="{00000000-0005-0000-0000-0000131F0000}"/>
    <cellStyle name="Comma 24 52" xfId="35660" xr:uid="{00000000-0005-0000-0000-0000141F0000}"/>
    <cellStyle name="Comma 24 53" xfId="35661" xr:uid="{00000000-0005-0000-0000-0000151F0000}"/>
    <cellStyle name="Comma 24 54" xfId="35662" xr:uid="{00000000-0005-0000-0000-0000161F0000}"/>
    <cellStyle name="Comma 24 55" xfId="35663" xr:uid="{00000000-0005-0000-0000-0000171F0000}"/>
    <cellStyle name="Comma 24 56" xfId="35664" xr:uid="{00000000-0005-0000-0000-0000181F0000}"/>
    <cellStyle name="Comma 24 57" xfId="35665" xr:uid="{00000000-0005-0000-0000-0000191F0000}"/>
    <cellStyle name="Comma 24 58" xfId="35666" xr:uid="{00000000-0005-0000-0000-00001A1F0000}"/>
    <cellStyle name="Comma 24 59" xfId="35667" xr:uid="{00000000-0005-0000-0000-00001B1F0000}"/>
    <cellStyle name="Comma 24 6" xfId="35668" xr:uid="{00000000-0005-0000-0000-00001C1F0000}"/>
    <cellStyle name="Comma 24 60" xfId="35669" xr:uid="{00000000-0005-0000-0000-00001D1F0000}"/>
    <cellStyle name="Comma 24 61" xfId="35613" xr:uid="{00000000-0005-0000-0000-00001E1F0000}"/>
    <cellStyle name="Comma 24 7" xfId="35670" xr:uid="{00000000-0005-0000-0000-00001F1F0000}"/>
    <cellStyle name="Comma 24 8" xfId="35671" xr:uid="{00000000-0005-0000-0000-0000201F0000}"/>
    <cellStyle name="Comma 24 9" xfId="35672" xr:uid="{00000000-0005-0000-0000-0000211F0000}"/>
    <cellStyle name="Comma 25" xfId="5721" xr:uid="{00000000-0005-0000-0000-0000221F0000}"/>
    <cellStyle name="Comma 25 10" xfId="35674" xr:uid="{00000000-0005-0000-0000-0000231F0000}"/>
    <cellStyle name="Comma 25 11" xfId="35675" xr:uid="{00000000-0005-0000-0000-0000241F0000}"/>
    <cellStyle name="Comma 25 12" xfId="35676" xr:uid="{00000000-0005-0000-0000-0000251F0000}"/>
    <cellStyle name="Comma 25 13" xfId="35677" xr:uid="{00000000-0005-0000-0000-0000261F0000}"/>
    <cellStyle name="Comma 25 14" xfId="35678" xr:uid="{00000000-0005-0000-0000-0000271F0000}"/>
    <cellStyle name="Comma 25 15" xfId="35679" xr:uid="{00000000-0005-0000-0000-0000281F0000}"/>
    <cellStyle name="Comma 25 16" xfId="35680" xr:uid="{00000000-0005-0000-0000-0000291F0000}"/>
    <cellStyle name="Comma 25 17" xfId="35681" xr:uid="{00000000-0005-0000-0000-00002A1F0000}"/>
    <cellStyle name="Comma 25 18" xfId="35682" xr:uid="{00000000-0005-0000-0000-00002B1F0000}"/>
    <cellStyle name="Comma 25 19" xfId="35683" xr:uid="{00000000-0005-0000-0000-00002C1F0000}"/>
    <cellStyle name="Comma 25 2" xfId="34162" xr:uid="{00000000-0005-0000-0000-00002D1F0000}"/>
    <cellStyle name="Comma 25 2 2" xfId="35684" xr:uid="{00000000-0005-0000-0000-00002E1F0000}"/>
    <cellStyle name="Comma 25 20" xfId="35685" xr:uid="{00000000-0005-0000-0000-00002F1F0000}"/>
    <cellStyle name="Comma 25 21" xfId="35686" xr:uid="{00000000-0005-0000-0000-0000301F0000}"/>
    <cellStyle name="Comma 25 22" xfId="35687" xr:uid="{00000000-0005-0000-0000-0000311F0000}"/>
    <cellStyle name="Comma 25 23" xfId="35688" xr:uid="{00000000-0005-0000-0000-0000321F0000}"/>
    <cellStyle name="Comma 25 24" xfId="35689" xr:uid="{00000000-0005-0000-0000-0000331F0000}"/>
    <cellStyle name="Comma 25 25" xfId="35690" xr:uid="{00000000-0005-0000-0000-0000341F0000}"/>
    <cellStyle name="Comma 25 26" xfId="35691" xr:uid="{00000000-0005-0000-0000-0000351F0000}"/>
    <cellStyle name="Comma 25 27" xfId="35692" xr:uid="{00000000-0005-0000-0000-0000361F0000}"/>
    <cellStyle name="Comma 25 28" xfId="35693" xr:uid="{00000000-0005-0000-0000-0000371F0000}"/>
    <cellStyle name="Comma 25 29" xfId="35694" xr:uid="{00000000-0005-0000-0000-0000381F0000}"/>
    <cellStyle name="Comma 25 3" xfId="35695" xr:uid="{00000000-0005-0000-0000-0000391F0000}"/>
    <cellStyle name="Comma 25 30" xfId="35696" xr:uid="{00000000-0005-0000-0000-00003A1F0000}"/>
    <cellStyle name="Comma 25 31" xfId="35697" xr:uid="{00000000-0005-0000-0000-00003B1F0000}"/>
    <cellStyle name="Comma 25 32" xfId="35698" xr:uid="{00000000-0005-0000-0000-00003C1F0000}"/>
    <cellStyle name="Comma 25 33" xfId="35699" xr:uid="{00000000-0005-0000-0000-00003D1F0000}"/>
    <cellStyle name="Comma 25 34" xfId="35700" xr:uid="{00000000-0005-0000-0000-00003E1F0000}"/>
    <cellStyle name="Comma 25 35" xfId="35701" xr:uid="{00000000-0005-0000-0000-00003F1F0000}"/>
    <cellStyle name="Comma 25 36" xfId="35702" xr:uid="{00000000-0005-0000-0000-0000401F0000}"/>
    <cellStyle name="Comma 25 37" xfId="35703" xr:uid="{00000000-0005-0000-0000-0000411F0000}"/>
    <cellStyle name="Comma 25 38" xfId="35704" xr:uid="{00000000-0005-0000-0000-0000421F0000}"/>
    <cellStyle name="Comma 25 39" xfId="35705" xr:uid="{00000000-0005-0000-0000-0000431F0000}"/>
    <cellStyle name="Comma 25 4" xfId="35706" xr:uid="{00000000-0005-0000-0000-0000441F0000}"/>
    <cellStyle name="Comma 25 40" xfId="35707" xr:uid="{00000000-0005-0000-0000-0000451F0000}"/>
    <cellStyle name="Comma 25 41" xfId="35708" xr:uid="{00000000-0005-0000-0000-0000461F0000}"/>
    <cellStyle name="Comma 25 42" xfId="35709" xr:uid="{00000000-0005-0000-0000-0000471F0000}"/>
    <cellStyle name="Comma 25 43" xfId="35710" xr:uid="{00000000-0005-0000-0000-0000481F0000}"/>
    <cellStyle name="Comma 25 44" xfId="35711" xr:uid="{00000000-0005-0000-0000-0000491F0000}"/>
    <cellStyle name="Comma 25 45" xfId="35712" xr:uid="{00000000-0005-0000-0000-00004A1F0000}"/>
    <cellStyle name="Comma 25 46" xfId="35713" xr:uid="{00000000-0005-0000-0000-00004B1F0000}"/>
    <cellStyle name="Comma 25 47" xfId="35714" xr:uid="{00000000-0005-0000-0000-00004C1F0000}"/>
    <cellStyle name="Comma 25 48" xfId="35715" xr:uid="{00000000-0005-0000-0000-00004D1F0000}"/>
    <cellStyle name="Comma 25 49" xfId="35716" xr:uid="{00000000-0005-0000-0000-00004E1F0000}"/>
    <cellStyle name="Comma 25 5" xfId="35717" xr:uid="{00000000-0005-0000-0000-00004F1F0000}"/>
    <cellStyle name="Comma 25 50" xfId="35718" xr:uid="{00000000-0005-0000-0000-0000501F0000}"/>
    <cellStyle name="Comma 25 51" xfId="35719" xr:uid="{00000000-0005-0000-0000-0000511F0000}"/>
    <cellStyle name="Comma 25 52" xfId="35720" xr:uid="{00000000-0005-0000-0000-0000521F0000}"/>
    <cellStyle name="Comma 25 53" xfId="35721" xr:uid="{00000000-0005-0000-0000-0000531F0000}"/>
    <cellStyle name="Comma 25 54" xfId="35722" xr:uid="{00000000-0005-0000-0000-0000541F0000}"/>
    <cellStyle name="Comma 25 55" xfId="35723" xr:uid="{00000000-0005-0000-0000-0000551F0000}"/>
    <cellStyle name="Comma 25 56" xfId="35724" xr:uid="{00000000-0005-0000-0000-0000561F0000}"/>
    <cellStyle name="Comma 25 57" xfId="35725" xr:uid="{00000000-0005-0000-0000-0000571F0000}"/>
    <cellStyle name="Comma 25 58" xfId="35726" xr:uid="{00000000-0005-0000-0000-0000581F0000}"/>
    <cellStyle name="Comma 25 59" xfId="35727" xr:uid="{00000000-0005-0000-0000-0000591F0000}"/>
    <cellStyle name="Comma 25 6" xfId="35728" xr:uid="{00000000-0005-0000-0000-00005A1F0000}"/>
    <cellStyle name="Comma 25 60" xfId="35729" xr:uid="{00000000-0005-0000-0000-00005B1F0000}"/>
    <cellStyle name="Comma 25 61" xfId="35673" xr:uid="{00000000-0005-0000-0000-00005C1F0000}"/>
    <cellStyle name="Comma 25 7" xfId="35730" xr:uid="{00000000-0005-0000-0000-00005D1F0000}"/>
    <cellStyle name="Comma 25 8" xfId="35731" xr:uid="{00000000-0005-0000-0000-00005E1F0000}"/>
    <cellStyle name="Comma 25 9" xfId="35732" xr:uid="{00000000-0005-0000-0000-00005F1F0000}"/>
    <cellStyle name="Comma 26" xfId="4141" xr:uid="{00000000-0005-0000-0000-0000601F0000}"/>
    <cellStyle name="Comma 26 10" xfId="35734" xr:uid="{00000000-0005-0000-0000-0000611F0000}"/>
    <cellStyle name="Comma 26 11" xfId="35735" xr:uid="{00000000-0005-0000-0000-0000621F0000}"/>
    <cellStyle name="Comma 26 12" xfId="35736" xr:uid="{00000000-0005-0000-0000-0000631F0000}"/>
    <cellStyle name="Comma 26 13" xfId="35737" xr:uid="{00000000-0005-0000-0000-0000641F0000}"/>
    <cellStyle name="Comma 26 14" xfId="35738" xr:uid="{00000000-0005-0000-0000-0000651F0000}"/>
    <cellStyle name="Comma 26 15" xfId="35739" xr:uid="{00000000-0005-0000-0000-0000661F0000}"/>
    <cellStyle name="Comma 26 16" xfId="35740" xr:uid="{00000000-0005-0000-0000-0000671F0000}"/>
    <cellStyle name="Comma 26 17" xfId="35741" xr:uid="{00000000-0005-0000-0000-0000681F0000}"/>
    <cellStyle name="Comma 26 18" xfId="35742" xr:uid="{00000000-0005-0000-0000-0000691F0000}"/>
    <cellStyle name="Comma 26 19" xfId="35743" xr:uid="{00000000-0005-0000-0000-00006A1F0000}"/>
    <cellStyle name="Comma 26 2" xfId="6660" xr:uid="{00000000-0005-0000-0000-00006B1F0000}"/>
    <cellStyle name="Comma 26 2 2" xfId="7354" xr:uid="{00000000-0005-0000-0000-00006C1F0000}"/>
    <cellStyle name="Comma 26 2 2 2" xfId="9233" xr:uid="{00000000-0005-0000-0000-00006D1F0000}"/>
    <cellStyle name="Comma 26 2 2 2 2" xfId="11612" xr:uid="{00000000-0005-0000-0000-00006E1F0000}"/>
    <cellStyle name="Comma 26 2 2 2 2 2" xfId="12064" xr:uid="{00000000-0005-0000-0000-00006F1F0000}"/>
    <cellStyle name="Comma 26 2 2 2 2 2 2" xfId="25137" xr:uid="{00000000-0005-0000-0000-0000701F0000}"/>
    <cellStyle name="Comma 26 2 2 2 2 3" xfId="12065" xr:uid="{00000000-0005-0000-0000-0000711F0000}"/>
    <cellStyle name="Comma 26 2 2 2 2 3 2" xfId="25138" xr:uid="{00000000-0005-0000-0000-0000721F0000}"/>
    <cellStyle name="Comma 26 2 2 2 2 4" xfId="24982" xr:uid="{00000000-0005-0000-0000-0000731F0000}"/>
    <cellStyle name="Comma 26 2 2 2 3" xfId="12066" xr:uid="{00000000-0005-0000-0000-0000741F0000}"/>
    <cellStyle name="Comma 26 2 2 2 3 2" xfId="25139" xr:uid="{00000000-0005-0000-0000-0000751F0000}"/>
    <cellStyle name="Comma 26 2 2 2 4" xfId="12067" xr:uid="{00000000-0005-0000-0000-0000761F0000}"/>
    <cellStyle name="Comma 26 2 2 2 4 2" xfId="25140" xr:uid="{00000000-0005-0000-0000-0000771F0000}"/>
    <cellStyle name="Comma 26 2 2 2 5" xfId="22826" xr:uid="{00000000-0005-0000-0000-0000781F0000}"/>
    <cellStyle name="Comma 26 2 2 3" xfId="10534" xr:uid="{00000000-0005-0000-0000-0000791F0000}"/>
    <cellStyle name="Comma 26 2 2 3 2" xfId="12068" xr:uid="{00000000-0005-0000-0000-00007A1F0000}"/>
    <cellStyle name="Comma 26 2 2 3 2 2" xfId="25141" xr:uid="{00000000-0005-0000-0000-00007B1F0000}"/>
    <cellStyle name="Comma 26 2 2 3 3" xfId="12069" xr:uid="{00000000-0005-0000-0000-00007C1F0000}"/>
    <cellStyle name="Comma 26 2 2 3 3 2" xfId="25142" xr:uid="{00000000-0005-0000-0000-00007D1F0000}"/>
    <cellStyle name="Comma 26 2 2 3 4" xfId="23904" xr:uid="{00000000-0005-0000-0000-00007E1F0000}"/>
    <cellStyle name="Comma 26 2 2 4" xfId="12070" xr:uid="{00000000-0005-0000-0000-00007F1F0000}"/>
    <cellStyle name="Comma 26 2 2 4 2" xfId="25143" xr:uid="{00000000-0005-0000-0000-0000801F0000}"/>
    <cellStyle name="Comma 26 2 2 5" xfId="12071" xr:uid="{00000000-0005-0000-0000-0000811F0000}"/>
    <cellStyle name="Comma 26 2 2 5 2" xfId="25144" xr:uid="{00000000-0005-0000-0000-0000821F0000}"/>
    <cellStyle name="Comma 26 2 2 6" xfId="21748" xr:uid="{00000000-0005-0000-0000-0000831F0000}"/>
    <cellStyle name="Comma 26 2 3" xfId="8687" xr:uid="{00000000-0005-0000-0000-0000841F0000}"/>
    <cellStyle name="Comma 26 2 3 2" xfId="11072" xr:uid="{00000000-0005-0000-0000-0000851F0000}"/>
    <cellStyle name="Comma 26 2 3 2 2" xfId="12072" xr:uid="{00000000-0005-0000-0000-0000861F0000}"/>
    <cellStyle name="Comma 26 2 3 2 2 2" xfId="25145" xr:uid="{00000000-0005-0000-0000-0000871F0000}"/>
    <cellStyle name="Comma 26 2 3 2 3" xfId="12073" xr:uid="{00000000-0005-0000-0000-0000881F0000}"/>
    <cellStyle name="Comma 26 2 3 2 3 2" xfId="25146" xr:uid="{00000000-0005-0000-0000-0000891F0000}"/>
    <cellStyle name="Comma 26 2 3 2 4" xfId="24442" xr:uid="{00000000-0005-0000-0000-00008A1F0000}"/>
    <cellStyle name="Comma 26 2 3 3" xfId="12074" xr:uid="{00000000-0005-0000-0000-00008B1F0000}"/>
    <cellStyle name="Comma 26 2 3 3 2" xfId="25147" xr:uid="{00000000-0005-0000-0000-00008C1F0000}"/>
    <cellStyle name="Comma 26 2 3 4" xfId="12075" xr:uid="{00000000-0005-0000-0000-00008D1F0000}"/>
    <cellStyle name="Comma 26 2 3 4 2" xfId="25148" xr:uid="{00000000-0005-0000-0000-00008E1F0000}"/>
    <cellStyle name="Comma 26 2 3 5" xfId="22286" xr:uid="{00000000-0005-0000-0000-00008F1F0000}"/>
    <cellStyle name="Comma 26 2 4" xfId="9994" xr:uid="{00000000-0005-0000-0000-0000901F0000}"/>
    <cellStyle name="Comma 26 2 4 2" xfId="12076" xr:uid="{00000000-0005-0000-0000-0000911F0000}"/>
    <cellStyle name="Comma 26 2 4 2 2" xfId="25149" xr:uid="{00000000-0005-0000-0000-0000921F0000}"/>
    <cellStyle name="Comma 26 2 4 3" xfId="12077" xr:uid="{00000000-0005-0000-0000-0000931F0000}"/>
    <cellStyle name="Comma 26 2 4 3 2" xfId="25150" xr:uid="{00000000-0005-0000-0000-0000941F0000}"/>
    <cellStyle name="Comma 26 2 4 4" xfId="23364" xr:uid="{00000000-0005-0000-0000-0000951F0000}"/>
    <cellStyle name="Comma 26 2 5" xfId="12078" xr:uid="{00000000-0005-0000-0000-0000961F0000}"/>
    <cellStyle name="Comma 26 2 5 2" xfId="25151" xr:uid="{00000000-0005-0000-0000-0000971F0000}"/>
    <cellStyle name="Comma 26 2 6" xfId="12079" xr:uid="{00000000-0005-0000-0000-0000981F0000}"/>
    <cellStyle name="Comma 26 2 6 2" xfId="25152" xr:uid="{00000000-0005-0000-0000-0000991F0000}"/>
    <cellStyle name="Comma 26 2 7" xfId="21208" xr:uid="{00000000-0005-0000-0000-00009A1F0000}"/>
    <cellStyle name="Comma 26 2 8" xfId="35744" xr:uid="{00000000-0005-0000-0000-00009B1F0000}"/>
    <cellStyle name="Comma 26 20" xfId="35745" xr:uid="{00000000-0005-0000-0000-00009C1F0000}"/>
    <cellStyle name="Comma 26 21" xfId="35746" xr:uid="{00000000-0005-0000-0000-00009D1F0000}"/>
    <cellStyle name="Comma 26 22" xfId="35747" xr:uid="{00000000-0005-0000-0000-00009E1F0000}"/>
    <cellStyle name="Comma 26 23" xfId="35748" xr:uid="{00000000-0005-0000-0000-00009F1F0000}"/>
    <cellStyle name="Comma 26 24" xfId="35749" xr:uid="{00000000-0005-0000-0000-0000A01F0000}"/>
    <cellStyle name="Comma 26 25" xfId="35750" xr:uid="{00000000-0005-0000-0000-0000A11F0000}"/>
    <cellStyle name="Comma 26 26" xfId="35751" xr:uid="{00000000-0005-0000-0000-0000A21F0000}"/>
    <cellStyle name="Comma 26 27" xfId="35752" xr:uid="{00000000-0005-0000-0000-0000A31F0000}"/>
    <cellStyle name="Comma 26 28" xfId="35753" xr:uid="{00000000-0005-0000-0000-0000A41F0000}"/>
    <cellStyle name="Comma 26 29" xfId="35754" xr:uid="{00000000-0005-0000-0000-0000A51F0000}"/>
    <cellStyle name="Comma 26 3" xfId="7085" xr:uid="{00000000-0005-0000-0000-0000A61F0000}"/>
    <cellStyle name="Comma 26 3 2" xfId="8964" xr:uid="{00000000-0005-0000-0000-0000A71F0000}"/>
    <cellStyle name="Comma 26 3 2 2" xfId="11343" xr:uid="{00000000-0005-0000-0000-0000A81F0000}"/>
    <cellStyle name="Comma 26 3 2 2 2" xfId="12080" xr:uid="{00000000-0005-0000-0000-0000A91F0000}"/>
    <cellStyle name="Comma 26 3 2 2 2 2" xfId="25153" xr:uid="{00000000-0005-0000-0000-0000AA1F0000}"/>
    <cellStyle name="Comma 26 3 2 2 3" xfId="12081" xr:uid="{00000000-0005-0000-0000-0000AB1F0000}"/>
    <cellStyle name="Comma 26 3 2 2 3 2" xfId="25154" xr:uid="{00000000-0005-0000-0000-0000AC1F0000}"/>
    <cellStyle name="Comma 26 3 2 2 4" xfId="24713" xr:uid="{00000000-0005-0000-0000-0000AD1F0000}"/>
    <cellStyle name="Comma 26 3 2 3" xfId="12082" xr:uid="{00000000-0005-0000-0000-0000AE1F0000}"/>
    <cellStyle name="Comma 26 3 2 3 2" xfId="25155" xr:uid="{00000000-0005-0000-0000-0000AF1F0000}"/>
    <cellStyle name="Comma 26 3 2 4" xfId="12083" xr:uid="{00000000-0005-0000-0000-0000B01F0000}"/>
    <cellStyle name="Comma 26 3 2 4 2" xfId="25156" xr:uid="{00000000-0005-0000-0000-0000B11F0000}"/>
    <cellStyle name="Comma 26 3 2 5" xfId="22557" xr:uid="{00000000-0005-0000-0000-0000B21F0000}"/>
    <cellStyle name="Comma 26 3 3" xfId="10265" xr:uid="{00000000-0005-0000-0000-0000B31F0000}"/>
    <cellStyle name="Comma 26 3 3 2" xfId="12084" xr:uid="{00000000-0005-0000-0000-0000B41F0000}"/>
    <cellStyle name="Comma 26 3 3 2 2" xfId="25157" xr:uid="{00000000-0005-0000-0000-0000B51F0000}"/>
    <cellStyle name="Comma 26 3 3 3" xfId="12085" xr:uid="{00000000-0005-0000-0000-0000B61F0000}"/>
    <cellStyle name="Comma 26 3 3 3 2" xfId="25158" xr:uid="{00000000-0005-0000-0000-0000B71F0000}"/>
    <cellStyle name="Comma 26 3 3 4" xfId="23635" xr:uid="{00000000-0005-0000-0000-0000B81F0000}"/>
    <cellStyle name="Comma 26 3 4" xfId="12086" xr:uid="{00000000-0005-0000-0000-0000B91F0000}"/>
    <cellStyle name="Comma 26 3 4 2" xfId="25159" xr:uid="{00000000-0005-0000-0000-0000BA1F0000}"/>
    <cellStyle name="Comma 26 3 5" xfId="12087" xr:uid="{00000000-0005-0000-0000-0000BB1F0000}"/>
    <cellStyle name="Comma 26 3 5 2" xfId="25160" xr:uid="{00000000-0005-0000-0000-0000BC1F0000}"/>
    <cellStyle name="Comma 26 3 6" xfId="21479" xr:uid="{00000000-0005-0000-0000-0000BD1F0000}"/>
    <cellStyle name="Comma 26 3 7" xfId="35755" xr:uid="{00000000-0005-0000-0000-0000BE1F0000}"/>
    <cellStyle name="Comma 26 30" xfId="35756" xr:uid="{00000000-0005-0000-0000-0000BF1F0000}"/>
    <cellStyle name="Comma 26 31" xfId="35757" xr:uid="{00000000-0005-0000-0000-0000C01F0000}"/>
    <cellStyle name="Comma 26 32" xfId="35758" xr:uid="{00000000-0005-0000-0000-0000C11F0000}"/>
    <cellStyle name="Comma 26 33" xfId="35759" xr:uid="{00000000-0005-0000-0000-0000C21F0000}"/>
    <cellStyle name="Comma 26 34" xfId="35760" xr:uid="{00000000-0005-0000-0000-0000C31F0000}"/>
    <cellStyle name="Comma 26 35" xfId="35761" xr:uid="{00000000-0005-0000-0000-0000C41F0000}"/>
    <cellStyle name="Comma 26 36" xfId="35762" xr:uid="{00000000-0005-0000-0000-0000C51F0000}"/>
    <cellStyle name="Comma 26 37" xfId="35763" xr:uid="{00000000-0005-0000-0000-0000C61F0000}"/>
    <cellStyle name="Comma 26 38" xfId="35764" xr:uid="{00000000-0005-0000-0000-0000C71F0000}"/>
    <cellStyle name="Comma 26 39" xfId="35765" xr:uid="{00000000-0005-0000-0000-0000C81F0000}"/>
    <cellStyle name="Comma 26 4" xfId="8291" xr:uid="{00000000-0005-0000-0000-0000C91F0000}"/>
    <cellStyle name="Comma 26 4 2" xfId="10803" xr:uid="{00000000-0005-0000-0000-0000CA1F0000}"/>
    <cellStyle name="Comma 26 4 2 2" xfId="12088" xr:uid="{00000000-0005-0000-0000-0000CB1F0000}"/>
    <cellStyle name="Comma 26 4 2 2 2" xfId="25161" xr:uid="{00000000-0005-0000-0000-0000CC1F0000}"/>
    <cellStyle name="Comma 26 4 2 3" xfId="12089" xr:uid="{00000000-0005-0000-0000-0000CD1F0000}"/>
    <cellStyle name="Comma 26 4 2 3 2" xfId="25162" xr:uid="{00000000-0005-0000-0000-0000CE1F0000}"/>
    <cellStyle name="Comma 26 4 2 4" xfId="24173" xr:uid="{00000000-0005-0000-0000-0000CF1F0000}"/>
    <cellStyle name="Comma 26 4 3" xfId="12090" xr:uid="{00000000-0005-0000-0000-0000D01F0000}"/>
    <cellStyle name="Comma 26 4 3 2" xfId="25163" xr:uid="{00000000-0005-0000-0000-0000D11F0000}"/>
    <cellStyle name="Comma 26 4 4" xfId="12091" xr:uid="{00000000-0005-0000-0000-0000D21F0000}"/>
    <cellStyle name="Comma 26 4 4 2" xfId="25164" xr:uid="{00000000-0005-0000-0000-0000D31F0000}"/>
    <cellStyle name="Comma 26 4 5" xfId="22017" xr:uid="{00000000-0005-0000-0000-0000D41F0000}"/>
    <cellStyle name="Comma 26 4 6" xfId="35766" xr:uid="{00000000-0005-0000-0000-0000D51F0000}"/>
    <cellStyle name="Comma 26 40" xfId="35767" xr:uid="{00000000-0005-0000-0000-0000D61F0000}"/>
    <cellStyle name="Comma 26 41" xfId="35768" xr:uid="{00000000-0005-0000-0000-0000D71F0000}"/>
    <cellStyle name="Comma 26 42" xfId="35769" xr:uid="{00000000-0005-0000-0000-0000D81F0000}"/>
    <cellStyle name="Comma 26 43" xfId="35770" xr:uid="{00000000-0005-0000-0000-0000D91F0000}"/>
    <cellStyle name="Comma 26 44" xfId="35771" xr:uid="{00000000-0005-0000-0000-0000DA1F0000}"/>
    <cellStyle name="Comma 26 45" xfId="35772" xr:uid="{00000000-0005-0000-0000-0000DB1F0000}"/>
    <cellStyle name="Comma 26 46" xfId="35773" xr:uid="{00000000-0005-0000-0000-0000DC1F0000}"/>
    <cellStyle name="Comma 26 47" xfId="35774" xr:uid="{00000000-0005-0000-0000-0000DD1F0000}"/>
    <cellStyle name="Comma 26 48" xfId="35775" xr:uid="{00000000-0005-0000-0000-0000DE1F0000}"/>
    <cellStyle name="Comma 26 49" xfId="35776" xr:uid="{00000000-0005-0000-0000-0000DF1F0000}"/>
    <cellStyle name="Comma 26 5" xfId="9725" xr:uid="{00000000-0005-0000-0000-0000E01F0000}"/>
    <cellStyle name="Comma 26 5 2" xfId="12092" xr:uid="{00000000-0005-0000-0000-0000E11F0000}"/>
    <cellStyle name="Comma 26 5 2 2" xfId="25165" xr:uid="{00000000-0005-0000-0000-0000E21F0000}"/>
    <cellStyle name="Comma 26 5 3" xfId="12093" xr:uid="{00000000-0005-0000-0000-0000E31F0000}"/>
    <cellStyle name="Comma 26 5 3 2" xfId="25166" xr:uid="{00000000-0005-0000-0000-0000E41F0000}"/>
    <cellStyle name="Comma 26 5 4" xfId="23095" xr:uid="{00000000-0005-0000-0000-0000E51F0000}"/>
    <cellStyle name="Comma 26 5 5" xfId="35777" xr:uid="{00000000-0005-0000-0000-0000E61F0000}"/>
    <cellStyle name="Comma 26 50" xfId="35778" xr:uid="{00000000-0005-0000-0000-0000E71F0000}"/>
    <cellStyle name="Comma 26 51" xfId="35779" xr:uid="{00000000-0005-0000-0000-0000E81F0000}"/>
    <cellStyle name="Comma 26 52" xfId="35780" xr:uid="{00000000-0005-0000-0000-0000E91F0000}"/>
    <cellStyle name="Comma 26 53" xfId="35781" xr:uid="{00000000-0005-0000-0000-0000EA1F0000}"/>
    <cellStyle name="Comma 26 54" xfId="35782" xr:uid="{00000000-0005-0000-0000-0000EB1F0000}"/>
    <cellStyle name="Comma 26 55" xfId="35783" xr:uid="{00000000-0005-0000-0000-0000EC1F0000}"/>
    <cellStyle name="Comma 26 56" xfId="35784" xr:uid="{00000000-0005-0000-0000-0000ED1F0000}"/>
    <cellStyle name="Comma 26 57" xfId="35785" xr:uid="{00000000-0005-0000-0000-0000EE1F0000}"/>
    <cellStyle name="Comma 26 58" xfId="35786" xr:uid="{00000000-0005-0000-0000-0000EF1F0000}"/>
    <cellStyle name="Comma 26 59" xfId="35787" xr:uid="{00000000-0005-0000-0000-0000F01F0000}"/>
    <cellStyle name="Comma 26 6" xfId="12094" xr:uid="{00000000-0005-0000-0000-0000F11F0000}"/>
    <cellStyle name="Comma 26 6 2" xfId="25167" xr:uid="{00000000-0005-0000-0000-0000F21F0000}"/>
    <cellStyle name="Comma 26 6 3" xfId="35788" xr:uid="{00000000-0005-0000-0000-0000F31F0000}"/>
    <cellStyle name="Comma 26 60" xfId="35789" xr:uid="{00000000-0005-0000-0000-0000F41F0000}"/>
    <cellStyle name="Comma 26 61" xfId="35733" xr:uid="{00000000-0005-0000-0000-0000F51F0000}"/>
    <cellStyle name="Comma 26 7" xfId="12095" xr:uid="{00000000-0005-0000-0000-0000F61F0000}"/>
    <cellStyle name="Comma 26 7 2" xfId="25168" xr:uid="{00000000-0005-0000-0000-0000F71F0000}"/>
    <cellStyle name="Comma 26 7 3" xfId="35790" xr:uid="{00000000-0005-0000-0000-0000F81F0000}"/>
    <cellStyle name="Comma 26 8" xfId="20939" xr:uid="{00000000-0005-0000-0000-0000F91F0000}"/>
    <cellStyle name="Comma 26 8 2" xfId="35791" xr:uid="{00000000-0005-0000-0000-0000FA1F0000}"/>
    <cellStyle name="Comma 26 9" xfId="35792" xr:uid="{00000000-0005-0000-0000-0000FB1F0000}"/>
    <cellStyle name="Comma 27" xfId="4989" xr:uid="{00000000-0005-0000-0000-0000FC1F0000}"/>
    <cellStyle name="Comma 27 10" xfId="35794" xr:uid="{00000000-0005-0000-0000-0000FD1F0000}"/>
    <cellStyle name="Comma 27 11" xfId="35795" xr:uid="{00000000-0005-0000-0000-0000FE1F0000}"/>
    <cellStyle name="Comma 27 12" xfId="35796" xr:uid="{00000000-0005-0000-0000-0000FF1F0000}"/>
    <cellStyle name="Comma 27 13" xfId="35797" xr:uid="{00000000-0005-0000-0000-000000200000}"/>
    <cellStyle name="Comma 27 14" xfId="35798" xr:uid="{00000000-0005-0000-0000-000001200000}"/>
    <cellStyle name="Comma 27 15" xfId="35799" xr:uid="{00000000-0005-0000-0000-000002200000}"/>
    <cellStyle name="Comma 27 16" xfId="35800" xr:uid="{00000000-0005-0000-0000-000003200000}"/>
    <cellStyle name="Comma 27 17" xfId="35801" xr:uid="{00000000-0005-0000-0000-000004200000}"/>
    <cellStyle name="Comma 27 18" xfId="35802" xr:uid="{00000000-0005-0000-0000-000005200000}"/>
    <cellStyle name="Comma 27 19" xfId="35803" xr:uid="{00000000-0005-0000-0000-000006200000}"/>
    <cellStyle name="Comma 27 2" xfId="6675" xr:uid="{00000000-0005-0000-0000-000007200000}"/>
    <cellStyle name="Comma 27 2 2" xfId="7364" xr:uid="{00000000-0005-0000-0000-000008200000}"/>
    <cellStyle name="Comma 27 2 2 2" xfId="9243" xr:uid="{00000000-0005-0000-0000-000009200000}"/>
    <cellStyle name="Comma 27 2 2 2 2" xfId="11622" xr:uid="{00000000-0005-0000-0000-00000A200000}"/>
    <cellStyle name="Comma 27 2 2 2 2 2" xfId="12096" xr:uid="{00000000-0005-0000-0000-00000B200000}"/>
    <cellStyle name="Comma 27 2 2 2 2 2 2" xfId="25169" xr:uid="{00000000-0005-0000-0000-00000C200000}"/>
    <cellStyle name="Comma 27 2 2 2 2 3" xfId="12097" xr:uid="{00000000-0005-0000-0000-00000D200000}"/>
    <cellStyle name="Comma 27 2 2 2 2 3 2" xfId="25170" xr:uid="{00000000-0005-0000-0000-00000E200000}"/>
    <cellStyle name="Comma 27 2 2 2 2 4" xfId="24992" xr:uid="{00000000-0005-0000-0000-00000F200000}"/>
    <cellStyle name="Comma 27 2 2 2 3" xfId="12098" xr:uid="{00000000-0005-0000-0000-000010200000}"/>
    <cellStyle name="Comma 27 2 2 2 3 2" xfId="25171" xr:uid="{00000000-0005-0000-0000-000011200000}"/>
    <cellStyle name="Comma 27 2 2 2 4" xfId="12099" xr:uid="{00000000-0005-0000-0000-000012200000}"/>
    <cellStyle name="Comma 27 2 2 2 4 2" xfId="25172" xr:uid="{00000000-0005-0000-0000-000013200000}"/>
    <cellStyle name="Comma 27 2 2 2 5" xfId="22836" xr:uid="{00000000-0005-0000-0000-000014200000}"/>
    <cellStyle name="Comma 27 2 2 3" xfId="10544" xr:uid="{00000000-0005-0000-0000-000015200000}"/>
    <cellStyle name="Comma 27 2 2 3 2" xfId="12100" xr:uid="{00000000-0005-0000-0000-000016200000}"/>
    <cellStyle name="Comma 27 2 2 3 2 2" xfId="25173" xr:uid="{00000000-0005-0000-0000-000017200000}"/>
    <cellStyle name="Comma 27 2 2 3 3" xfId="12101" xr:uid="{00000000-0005-0000-0000-000018200000}"/>
    <cellStyle name="Comma 27 2 2 3 3 2" xfId="25174" xr:uid="{00000000-0005-0000-0000-000019200000}"/>
    <cellStyle name="Comma 27 2 2 3 4" xfId="23914" xr:uid="{00000000-0005-0000-0000-00001A200000}"/>
    <cellStyle name="Comma 27 2 2 4" xfId="12102" xr:uid="{00000000-0005-0000-0000-00001B200000}"/>
    <cellStyle name="Comma 27 2 2 4 2" xfId="25175" xr:uid="{00000000-0005-0000-0000-00001C200000}"/>
    <cellStyle name="Comma 27 2 2 5" xfId="12103" xr:uid="{00000000-0005-0000-0000-00001D200000}"/>
    <cellStyle name="Comma 27 2 2 5 2" xfId="25176" xr:uid="{00000000-0005-0000-0000-00001E200000}"/>
    <cellStyle name="Comma 27 2 2 6" xfId="21758" xr:uid="{00000000-0005-0000-0000-00001F200000}"/>
    <cellStyle name="Comma 27 2 3" xfId="8697" xr:uid="{00000000-0005-0000-0000-000020200000}"/>
    <cellStyle name="Comma 27 2 3 2" xfId="11082" xr:uid="{00000000-0005-0000-0000-000021200000}"/>
    <cellStyle name="Comma 27 2 3 2 2" xfId="12104" xr:uid="{00000000-0005-0000-0000-000022200000}"/>
    <cellStyle name="Comma 27 2 3 2 2 2" xfId="25177" xr:uid="{00000000-0005-0000-0000-000023200000}"/>
    <cellStyle name="Comma 27 2 3 2 3" xfId="12105" xr:uid="{00000000-0005-0000-0000-000024200000}"/>
    <cellStyle name="Comma 27 2 3 2 3 2" xfId="25178" xr:uid="{00000000-0005-0000-0000-000025200000}"/>
    <cellStyle name="Comma 27 2 3 2 4" xfId="24452" xr:uid="{00000000-0005-0000-0000-000026200000}"/>
    <cellStyle name="Comma 27 2 3 3" xfId="12106" xr:uid="{00000000-0005-0000-0000-000027200000}"/>
    <cellStyle name="Comma 27 2 3 3 2" xfId="25179" xr:uid="{00000000-0005-0000-0000-000028200000}"/>
    <cellStyle name="Comma 27 2 3 4" xfId="12107" xr:uid="{00000000-0005-0000-0000-000029200000}"/>
    <cellStyle name="Comma 27 2 3 4 2" xfId="25180" xr:uid="{00000000-0005-0000-0000-00002A200000}"/>
    <cellStyle name="Comma 27 2 3 5" xfId="22296" xr:uid="{00000000-0005-0000-0000-00002B200000}"/>
    <cellStyle name="Comma 27 2 4" xfId="10004" xr:uid="{00000000-0005-0000-0000-00002C200000}"/>
    <cellStyle name="Comma 27 2 4 2" xfId="12108" xr:uid="{00000000-0005-0000-0000-00002D200000}"/>
    <cellStyle name="Comma 27 2 4 2 2" xfId="25181" xr:uid="{00000000-0005-0000-0000-00002E200000}"/>
    <cellStyle name="Comma 27 2 4 3" xfId="12109" xr:uid="{00000000-0005-0000-0000-00002F200000}"/>
    <cellStyle name="Comma 27 2 4 3 2" xfId="25182" xr:uid="{00000000-0005-0000-0000-000030200000}"/>
    <cellStyle name="Comma 27 2 4 4" xfId="23374" xr:uid="{00000000-0005-0000-0000-000031200000}"/>
    <cellStyle name="Comma 27 2 5" xfId="12110" xr:uid="{00000000-0005-0000-0000-000032200000}"/>
    <cellStyle name="Comma 27 2 5 2" xfId="25183" xr:uid="{00000000-0005-0000-0000-000033200000}"/>
    <cellStyle name="Comma 27 2 6" xfId="12111" xr:uid="{00000000-0005-0000-0000-000034200000}"/>
    <cellStyle name="Comma 27 2 6 2" xfId="25184" xr:uid="{00000000-0005-0000-0000-000035200000}"/>
    <cellStyle name="Comma 27 2 7" xfId="21218" xr:uid="{00000000-0005-0000-0000-000036200000}"/>
    <cellStyle name="Comma 27 2 8" xfId="35804" xr:uid="{00000000-0005-0000-0000-000037200000}"/>
    <cellStyle name="Comma 27 20" xfId="35805" xr:uid="{00000000-0005-0000-0000-000038200000}"/>
    <cellStyle name="Comma 27 21" xfId="35806" xr:uid="{00000000-0005-0000-0000-000039200000}"/>
    <cellStyle name="Comma 27 22" xfId="35807" xr:uid="{00000000-0005-0000-0000-00003A200000}"/>
    <cellStyle name="Comma 27 23" xfId="35808" xr:uid="{00000000-0005-0000-0000-00003B200000}"/>
    <cellStyle name="Comma 27 24" xfId="35809" xr:uid="{00000000-0005-0000-0000-00003C200000}"/>
    <cellStyle name="Comma 27 25" xfId="35810" xr:uid="{00000000-0005-0000-0000-00003D200000}"/>
    <cellStyle name="Comma 27 26" xfId="35811" xr:uid="{00000000-0005-0000-0000-00003E200000}"/>
    <cellStyle name="Comma 27 27" xfId="35812" xr:uid="{00000000-0005-0000-0000-00003F200000}"/>
    <cellStyle name="Comma 27 28" xfId="35813" xr:uid="{00000000-0005-0000-0000-000040200000}"/>
    <cellStyle name="Comma 27 29" xfId="35814" xr:uid="{00000000-0005-0000-0000-000041200000}"/>
    <cellStyle name="Comma 27 3" xfId="7095" xr:uid="{00000000-0005-0000-0000-000042200000}"/>
    <cellStyle name="Comma 27 3 2" xfId="8974" xr:uid="{00000000-0005-0000-0000-000043200000}"/>
    <cellStyle name="Comma 27 3 2 2" xfId="11353" xr:uid="{00000000-0005-0000-0000-000044200000}"/>
    <cellStyle name="Comma 27 3 2 2 2" xfId="12112" xr:uid="{00000000-0005-0000-0000-000045200000}"/>
    <cellStyle name="Comma 27 3 2 2 2 2" xfId="25185" xr:uid="{00000000-0005-0000-0000-000046200000}"/>
    <cellStyle name="Comma 27 3 2 2 3" xfId="12113" xr:uid="{00000000-0005-0000-0000-000047200000}"/>
    <cellStyle name="Comma 27 3 2 2 3 2" xfId="25186" xr:uid="{00000000-0005-0000-0000-000048200000}"/>
    <cellStyle name="Comma 27 3 2 2 4" xfId="24723" xr:uid="{00000000-0005-0000-0000-000049200000}"/>
    <cellStyle name="Comma 27 3 2 3" xfId="12114" xr:uid="{00000000-0005-0000-0000-00004A200000}"/>
    <cellStyle name="Comma 27 3 2 3 2" xfId="25187" xr:uid="{00000000-0005-0000-0000-00004B200000}"/>
    <cellStyle name="Comma 27 3 2 4" xfId="12115" xr:uid="{00000000-0005-0000-0000-00004C200000}"/>
    <cellStyle name="Comma 27 3 2 4 2" xfId="25188" xr:uid="{00000000-0005-0000-0000-00004D200000}"/>
    <cellStyle name="Comma 27 3 2 5" xfId="22567" xr:uid="{00000000-0005-0000-0000-00004E200000}"/>
    <cellStyle name="Comma 27 3 3" xfId="10275" xr:uid="{00000000-0005-0000-0000-00004F200000}"/>
    <cellStyle name="Comma 27 3 3 2" xfId="12116" xr:uid="{00000000-0005-0000-0000-000050200000}"/>
    <cellStyle name="Comma 27 3 3 2 2" xfId="25189" xr:uid="{00000000-0005-0000-0000-000051200000}"/>
    <cellStyle name="Comma 27 3 3 3" xfId="12117" xr:uid="{00000000-0005-0000-0000-000052200000}"/>
    <cellStyle name="Comma 27 3 3 3 2" xfId="25190" xr:uid="{00000000-0005-0000-0000-000053200000}"/>
    <cellStyle name="Comma 27 3 3 4" xfId="23645" xr:uid="{00000000-0005-0000-0000-000054200000}"/>
    <cellStyle name="Comma 27 3 4" xfId="12118" xr:uid="{00000000-0005-0000-0000-000055200000}"/>
    <cellStyle name="Comma 27 3 4 2" xfId="25191" xr:uid="{00000000-0005-0000-0000-000056200000}"/>
    <cellStyle name="Comma 27 3 5" xfId="12119" xr:uid="{00000000-0005-0000-0000-000057200000}"/>
    <cellStyle name="Comma 27 3 5 2" xfId="25192" xr:uid="{00000000-0005-0000-0000-000058200000}"/>
    <cellStyle name="Comma 27 3 6" xfId="21489" xr:uid="{00000000-0005-0000-0000-000059200000}"/>
    <cellStyle name="Comma 27 3 7" xfId="35815" xr:uid="{00000000-0005-0000-0000-00005A200000}"/>
    <cellStyle name="Comma 27 30" xfId="35816" xr:uid="{00000000-0005-0000-0000-00005B200000}"/>
    <cellStyle name="Comma 27 31" xfId="35817" xr:uid="{00000000-0005-0000-0000-00005C200000}"/>
    <cellStyle name="Comma 27 32" xfId="35818" xr:uid="{00000000-0005-0000-0000-00005D200000}"/>
    <cellStyle name="Comma 27 33" xfId="35819" xr:uid="{00000000-0005-0000-0000-00005E200000}"/>
    <cellStyle name="Comma 27 34" xfId="35820" xr:uid="{00000000-0005-0000-0000-00005F200000}"/>
    <cellStyle name="Comma 27 35" xfId="35821" xr:uid="{00000000-0005-0000-0000-000060200000}"/>
    <cellStyle name="Comma 27 36" xfId="35822" xr:uid="{00000000-0005-0000-0000-000061200000}"/>
    <cellStyle name="Comma 27 37" xfId="35823" xr:uid="{00000000-0005-0000-0000-000062200000}"/>
    <cellStyle name="Comma 27 38" xfId="35824" xr:uid="{00000000-0005-0000-0000-000063200000}"/>
    <cellStyle name="Comma 27 39" xfId="35825" xr:uid="{00000000-0005-0000-0000-000064200000}"/>
    <cellStyle name="Comma 27 4" xfId="8347" xr:uid="{00000000-0005-0000-0000-000065200000}"/>
    <cellStyle name="Comma 27 4 2" xfId="10813" xr:uid="{00000000-0005-0000-0000-000066200000}"/>
    <cellStyle name="Comma 27 4 2 2" xfId="12120" xr:uid="{00000000-0005-0000-0000-000067200000}"/>
    <cellStyle name="Comma 27 4 2 2 2" xfId="25193" xr:uid="{00000000-0005-0000-0000-000068200000}"/>
    <cellStyle name="Comma 27 4 2 3" xfId="12121" xr:uid="{00000000-0005-0000-0000-000069200000}"/>
    <cellStyle name="Comma 27 4 2 3 2" xfId="25194" xr:uid="{00000000-0005-0000-0000-00006A200000}"/>
    <cellStyle name="Comma 27 4 2 4" xfId="24183" xr:uid="{00000000-0005-0000-0000-00006B200000}"/>
    <cellStyle name="Comma 27 4 3" xfId="12122" xr:uid="{00000000-0005-0000-0000-00006C200000}"/>
    <cellStyle name="Comma 27 4 3 2" xfId="25195" xr:uid="{00000000-0005-0000-0000-00006D200000}"/>
    <cellStyle name="Comma 27 4 4" xfId="12123" xr:uid="{00000000-0005-0000-0000-00006E200000}"/>
    <cellStyle name="Comma 27 4 4 2" xfId="25196" xr:uid="{00000000-0005-0000-0000-00006F200000}"/>
    <cellStyle name="Comma 27 4 5" xfId="22027" xr:uid="{00000000-0005-0000-0000-000070200000}"/>
    <cellStyle name="Comma 27 4 6" xfId="35826" xr:uid="{00000000-0005-0000-0000-000071200000}"/>
    <cellStyle name="Comma 27 40" xfId="35827" xr:uid="{00000000-0005-0000-0000-000072200000}"/>
    <cellStyle name="Comma 27 41" xfId="35828" xr:uid="{00000000-0005-0000-0000-000073200000}"/>
    <cellStyle name="Comma 27 42" xfId="35829" xr:uid="{00000000-0005-0000-0000-000074200000}"/>
    <cellStyle name="Comma 27 43" xfId="35830" xr:uid="{00000000-0005-0000-0000-000075200000}"/>
    <cellStyle name="Comma 27 44" xfId="35831" xr:uid="{00000000-0005-0000-0000-000076200000}"/>
    <cellStyle name="Comma 27 45" xfId="35832" xr:uid="{00000000-0005-0000-0000-000077200000}"/>
    <cellStyle name="Comma 27 46" xfId="35833" xr:uid="{00000000-0005-0000-0000-000078200000}"/>
    <cellStyle name="Comma 27 47" xfId="35834" xr:uid="{00000000-0005-0000-0000-000079200000}"/>
    <cellStyle name="Comma 27 48" xfId="35835" xr:uid="{00000000-0005-0000-0000-00007A200000}"/>
    <cellStyle name="Comma 27 49" xfId="35836" xr:uid="{00000000-0005-0000-0000-00007B200000}"/>
    <cellStyle name="Comma 27 5" xfId="9735" xr:uid="{00000000-0005-0000-0000-00007C200000}"/>
    <cellStyle name="Comma 27 5 2" xfId="12124" xr:uid="{00000000-0005-0000-0000-00007D200000}"/>
    <cellStyle name="Comma 27 5 2 2" xfId="25197" xr:uid="{00000000-0005-0000-0000-00007E200000}"/>
    <cellStyle name="Comma 27 5 3" xfId="12125" xr:uid="{00000000-0005-0000-0000-00007F200000}"/>
    <cellStyle name="Comma 27 5 3 2" xfId="25198" xr:uid="{00000000-0005-0000-0000-000080200000}"/>
    <cellStyle name="Comma 27 5 4" xfId="23105" xr:uid="{00000000-0005-0000-0000-000081200000}"/>
    <cellStyle name="Comma 27 5 5" xfId="35837" xr:uid="{00000000-0005-0000-0000-000082200000}"/>
    <cellStyle name="Comma 27 50" xfId="35838" xr:uid="{00000000-0005-0000-0000-000083200000}"/>
    <cellStyle name="Comma 27 51" xfId="35839" xr:uid="{00000000-0005-0000-0000-000084200000}"/>
    <cellStyle name="Comma 27 52" xfId="35840" xr:uid="{00000000-0005-0000-0000-000085200000}"/>
    <cellStyle name="Comma 27 53" xfId="35841" xr:uid="{00000000-0005-0000-0000-000086200000}"/>
    <cellStyle name="Comma 27 54" xfId="35842" xr:uid="{00000000-0005-0000-0000-000087200000}"/>
    <cellStyle name="Comma 27 55" xfId="35843" xr:uid="{00000000-0005-0000-0000-000088200000}"/>
    <cellStyle name="Comma 27 56" xfId="35844" xr:uid="{00000000-0005-0000-0000-000089200000}"/>
    <cellStyle name="Comma 27 57" xfId="35845" xr:uid="{00000000-0005-0000-0000-00008A200000}"/>
    <cellStyle name="Comma 27 58" xfId="35846" xr:uid="{00000000-0005-0000-0000-00008B200000}"/>
    <cellStyle name="Comma 27 59" xfId="35847" xr:uid="{00000000-0005-0000-0000-00008C200000}"/>
    <cellStyle name="Comma 27 6" xfId="12126" xr:uid="{00000000-0005-0000-0000-00008D200000}"/>
    <cellStyle name="Comma 27 6 2" xfId="25199" xr:uid="{00000000-0005-0000-0000-00008E200000}"/>
    <cellStyle name="Comma 27 6 3" xfId="35848" xr:uid="{00000000-0005-0000-0000-00008F200000}"/>
    <cellStyle name="Comma 27 60" xfId="35849" xr:uid="{00000000-0005-0000-0000-000090200000}"/>
    <cellStyle name="Comma 27 61" xfId="35793" xr:uid="{00000000-0005-0000-0000-000091200000}"/>
    <cellStyle name="Comma 27 7" xfId="12127" xr:uid="{00000000-0005-0000-0000-000092200000}"/>
    <cellStyle name="Comma 27 7 2" xfId="25200" xr:uid="{00000000-0005-0000-0000-000093200000}"/>
    <cellStyle name="Comma 27 7 3" xfId="35850" xr:uid="{00000000-0005-0000-0000-000094200000}"/>
    <cellStyle name="Comma 27 8" xfId="20949" xr:uid="{00000000-0005-0000-0000-000095200000}"/>
    <cellStyle name="Comma 27 8 2" xfId="35851" xr:uid="{00000000-0005-0000-0000-000096200000}"/>
    <cellStyle name="Comma 27 9" xfId="35852" xr:uid="{00000000-0005-0000-0000-000097200000}"/>
    <cellStyle name="Comma 28" xfId="4358" xr:uid="{00000000-0005-0000-0000-000098200000}"/>
    <cellStyle name="Comma 28 10" xfId="35854" xr:uid="{00000000-0005-0000-0000-000099200000}"/>
    <cellStyle name="Comma 28 11" xfId="35855" xr:uid="{00000000-0005-0000-0000-00009A200000}"/>
    <cellStyle name="Comma 28 12" xfId="35856" xr:uid="{00000000-0005-0000-0000-00009B200000}"/>
    <cellStyle name="Comma 28 13" xfId="35857" xr:uid="{00000000-0005-0000-0000-00009C200000}"/>
    <cellStyle name="Comma 28 14" xfId="35858" xr:uid="{00000000-0005-0000-0000-00009D200000}"/>
    <cellStyle name="Comma 28 15" xfId="35859" xr:uid="{00000000-0005-0000-0000-00009E200000}"/>
    <cellStyle name="Comma 28 16" xfId="35860" xr:uid="{00000000-0005-0000-0000-00009F200000}"/>
    <cellStyle name="Comma 28 17" xfId="35861" xr:uid="{00000000-0005-0000-0000-0000A0200000}"/>
    <cellStyle name="Comma 28 18" xfId="35862" xr:uid="{00000000-0005-0000-0000-0000A1200000}"/>
    <cellStyle name="Comma 28 19" xfId="35863" xr:uid="{00000000-0005-0000-0000-0000A2200000}"/>
    <cellStyle name="Comma 28 2" xfId="6666" xr:uid="{00000000-0005-0000-0000-0000A3200000}"/>
    <cellStyle name="Comma 28 2 2" xfId="7358" xr:uid="{00000000-0005-0000-0000-0000A4200000}"/>
    <cellStyle name="Comma 28 2 2 2" xfId="9237" xr:uid="{00000000-0005-0000-0000-0000A5200000}"/>
    <cellStyle name="Comma 28 2 2 2 2" xfId="11616" xr:uid="{00000000-0005-0000-0000-0000A6200000}"/>
    <cellStyle name="Comma 28 2 2 2 2 2" xfId="12128" xr:uid="{00000000-0005-0000-0000-0000A7200000}"/>
    <cellStyle name="Comma 28 2 2 2 2 2 2" xfId="25201" xr:uid="{00000000-0005-0000-0000-0000A8200000}"/>
    <cellStyle name="Comma 28 2 2 2 2 3" xfId="12129" xr:uid="{00000000-0005-0000-0000-0000A9200000}"/>
    <cellStyle name="Comma 28 2 2 2 2 3 2" xfId="25202" xr:uid="{00000000-0005-0000-0000-0000AA200000}"/>
    <cellStyle name="Comma 28 2 2 2 2 4" xfId="24986" xr:uid="{00000000-0005-0000-0000-0000AB200000}"/>
    <cellStyle name="Comma 28 2 2 2 3" xfId="12130" xr:uid="{00000000-0005-0000-0000-0000AC200000}"/>
    <cellStyle name="Comma 28 2 2 2 3 2" xfId="25203" xr:uid="{00000000-0005-0000-0000-0000AD200000}"/>
    <cellStyle name="Comma 28 2 2 2 4" xfId="12131" xr:uid="{00000000-0005-0000-0000-0000AE200000}"/>
    <cellStyle name="Comma 28 2 2 2 4 2" xfId="25204" xr:uid="{00000000-0005-0000-0000-0000AF200000}"/>
    <cellStyle name="Comma 28 2 2 2 5" xfId="22830" xr:uid="{00000000-0005-0000-0000-0000B0200000}"/>
    <cellStyle name="Comma 28 2 2 3" xfId="10538" xr:uid="{00000000-0005-0000-0000-0000B1200000}"/>
    <cellStyle name="Comma 28 2 2 3 2" xfId="12132" xr:uid="{00000000-0005-0000-0000-0000B2200000}"/>
    <cellStyle name="Comma 28 2 2 3 2 2" xfId="25205" xr:uid="{00000000-0005-0000-0000-0000B3200000}"/>
    <cellStyle name="Comma 28 2 2 3 3" xfId="12133" xr:uid="{00000000-0005-0000-0000-0000B4200000}"/>
    <cellStyle name="Comma 28 2 2 3 3 2" xfId="25206" xr:uid="{00000000-0005-0000-0000-0000B5200000}"/>
    <cellStyle name="Comma 28 2 2 3 4" xfId="23908" xr:uid="{00000000-0005-0000-0000-0000B6200000}"/>
    <cellStyle name="Comma 28 2 2 4" xfId="12134" xr:uid="{00000000-0005-0000-0000-0000B7200000}"/>
    <cellStyle name="Comma 28 2 2 4 2" xfId="25207" xr:uid="{00000000-0005-0000-0000-0000B8200000}"/>
    <cellStyle name="Comma 28 2 2 5" xfId="12135" xr:uid="{00000000-0005-0000-0000-0000B9200000}"/>
    <cellStyle name="Comma 28 2 2 5 2" xfId="25208" xr:uid="{00000000-0005-0000-0000-0000BA200000}"/>
    <cellStyle name="Comma 28 2 2 6" xfId="21752" xr:uid="{00000000-0005-0000-0000-0000BB200000}"/>
    <cellStyle name="Comma 28 2 3" xfId="8691" xr:uid="{00000000-0005-0000-0000-0000BC200000}"/>
    <cellStyle name="Comma 28 2 3 2" xfId="11076" xr:uid="{00000000-0005-0000-0000-0000BD200000}"/>
    <cellStyle name="Comma 28 2 3 2 2" xfId="12136" xr:uid="{00000000-0005-0000-0000-0000BE200000}"/>
    <cellStyle name="Comma 28 2 3 2 2 2" xfId="25209" xr:uid="{00000000-0005-0000-0000-0000BF200000}"/>
    <cellStyle name="Comma 28 2 3 2 3" xfId="12137" xr:uid="{00000000-0005-0000-0000-0000C0200000}"/>
    <cellStyle name="Comma 28 2 3 2 3 2" xfId="25210" xr:uid="{00000000-0005-0000-0000-0000C1200000}"/>
    <cellStyle name="Comma 28 2 3 2 4" xfId="24446" xr:uid="{00000000-0005-0000-0000-0000C2200000}"/>
    <cellStyle name="Comma 28 2 3 3" xfId="12138" xr:uid="{00000000-0005-0000-0000-0000C3200000}"/>
    <cellStyle name="Comma 28 2 3 3 2" xfId="25211" xr:uid="{00000000-0005-0000-0000-0000C4200000}"/>
    <cellStyle name="Comma 28 2 3 4" xfId="12139" xr:uid="{00000000-0005-0000-0000-0000C5200000}"/>
    <cellStyle name="Comma 28 2 3 4 2" xfId="25212" xr:uid="{00000000-0005-0000-0000-0000C6200000}"/>
    <cellStyle name="Comma 28 2 3 5" xfId="22290" xr:uid="{00000000-0005-0000-0000-0000C7200000}"/>
    <cellStyle name="Comma 28 2 4" xfId="9998" xr:uid="{00000000-0005-0000-0000-0000C8200000}"/>
    <cellStyle name="Comma 28 2 4 2" xfId="12140" xr:uid="{00000000-0005-0000-0000-0000C9200000}"/>
    <cellStyle name="Comma 28 2 4 2 2" xfId="25213" xr:uid="{00000000-0005-0000-0000-0000CA200000}"/>
    <cellStyle name="Comma 28 2 4 3" xfId="12141" xr:uid="{00000000-0005-0000-0000-0000CB200000}"/>
    <cellStyle name="Comma 28 2 4 3 2" xfId="25214" xr:uid="{00000000-0005-0000-0000-0000CC200000}"/>
    <cellStyle name="Comma 28 2 4 4" xfId="23368" xr:uid="{00000000-0005-0000-0000-0000CD200000}"/>
    <cellStyle name="Comma 28 2 5" xfId="12142" xr:uid="{00000000-0005-0000-0000-0000CE200000}"/>
    <cellStyle name="Comma 28 2 5 2" xfId="25215" xr:uid="{00000000-0005-0000-0000-0000CF200000}"/>
    <cellStyle name="Comma 28 2 6" xfId="12143" xr:uid="{00000000-0005-0000-0000-0000D0200000}"/>
    <cellStyle name="Comma 28 2 6 2" xfId="25216" xr:uid="{00000000-0005-0000-0000-0000D1200000}"/>
    <cellStyle name="Comma 28 2 7" xfId="21212" xr:uid="{00000000-0005-0000-0000-0000D2200000}"/>
    <cellStyle name="Comma 28 2 8" xfId="35864" xr:uid="{00000000-0005-0000-0000-0000D3200000}"/>
    <cellStyle name="Comma 28 20" xfId="35865" xr:uid="{00000000-0005-0000-0000-0000D4200000}"/>
    <cellStyle name="Comma 28 21" xfId="35866" xr:uid="{00000000-0005-0000-0000-0000D5200000}"/>
    <cellStyle name="Comma 28 22" xfId="35867" xr:uid="{00000000-0005-0000-0000-0000D6200000}"/>
    <cellStyle name="Comma 28 23" xfId="35868" xr:uid="{00000000-0005-0000-0000-0000D7200000}"/>
    <cellStyle name="Comma 28 24" xfId="35869" xr:uid="{00000000-0005-0000-0000-0000D8200000}"/>
    <cellStyle name="Comma 28 25" xfId="35870" xr:uid="{00000000-0005-0000-0000-0000D9200000}"/>
    <cellStyle name="Comma 28 26" xfId="35871" xr:uid="{00000000-0005-0000-0000-0000DA200000}"/>
    <cellStyle name="Comma 28 27" xfId="35872" xr:uid="{00000000-0005-0000-0000-0000DB200000}"/>
    <cellStyle name="Comma 28 28" xfId="35873" xr:uid="{00000000-0005-0000-0000-0000DC200000}"/>
    <cellStyle name="Comma 28 29" xfId="35874" xr:uid="{00000000-0005-0000-0000-0000DD200000}"/>
    <cellStyle name="Comma 28 3" xfId="7089" xr:uid="{00000000-0005-0000-0000-0000DE200000}"/>
    <cellStyle name="Comma 28 3 2" xfId="8968" xr:uid="{00000000-0005-0000-0000-0000DF200000}"/>
    <cellStyle name="Comma 28 3 2 2" xfId="11347" xr:uid="{00000000-0005-0000-0000-0000E0200000}"/>
    <cellStyle name="Comma 28 3 2 2 2" xfId="12144" xr:uid="{00000000-0005-0000-0000-0000E1200000}"/>
    <cellStyle name="Comma 28 3 2 2 2 2" xfId="25217" xr:uid="{00000000-0005-0000-0000-0000E2200000}"/>
    <cellStyle name="Comma 28 3 2 2 3" xfId="12145" xr:uid="{00000000-0005-0000-0000-0000E3200000}"/>
    <cellStyle name="Comma 28 3 2 2 3 2" xfId="25218" xr:uid="{00000000-0005-0000-0000-0000E4200000}"/>
    <cellStyle name="Comma 28 3 2 2 4" xfId="24717" xr:uid="{00000000-0005-0000-0000-0000E5200000}"/>
    <cellStyle name="Comma 28 3 2 3" xfId="12146" xr:uid="{00000000-0005-0000-0000-0000E6200000}"/>
    <cellStyle name="Comma 28 3 2 3 2" xfId="25219" xr:uid="{00000000-0005-0000-0000-0000E7200000}"/>
    <cellStyle name="Comma 28 3 2 4" xfId="12147" xr:uid="{00000000-0005-0000-0000-0000E8200000}"/>
    <cellStyle name="Comma 28 3 2 4 2" xfId="25220" xr:uid="{00000000-0005-0000-0000-0000E9200000}"/>
    <cellStyle name="Comma 28 3 2 5" xfId="22561" xr:uid="{00000000-0005-0000-0000-0000EA200000}"/>
    <cellStyle name="Comma 28 3 3" xfId="10269" xr:uid="{00000000-0005-0000-0000-0000EB200000}"/>
    <cellStyle name="Comma 28 3 3 2" xfId="12148" xr:uid="{00000000-0005-0000-0000-0000EC200000}"/>
    <cellStyle name="Comma 28 3 3 2 2" xfId="25221" xr:uid="{00000000-0005-0000-0000-0000ED200000}"/>
    <cellStyle name="Comma 28 3 3 3" xfId="12149" xr:uid="{00000000-0005-0000-0000-0000EE200000}"/>
    <cellStyle name="Comma 28 3 3 3 2" xfId="25222" xr:uid="{00000000-0005-0000-0000-0000EF200000}"/>
    <cellStyle name="Comma 28 3 3 4" xfId="23639" xr:uid="{00000000-0005-0000-0000-0000F0200000}"/>
    <cellStyle name="Comma 28 3 4" xfId="12150" xr:uid="{00000000-0005-0000-0000-0000F1200000}"/>
    <cellStyle name="Comma 28 3 4 2" xfId="25223" xr:uid="{00000000-0005-0000-0000-0000F2200000}"/>
    <cellStyle name="Comma 28 3 5" xfId="12151" xr:uid="{00000000-0005-0000-0000-0000F3200000}"/>
    <cellStyle name="Comma 28 3 5 2" xfId="25224" xr:uid="{00000000-0005-0000-0000-0000F4200000}"/>
    <cellStyle name="Comma 28 3 6" xfId="21483" xr:uid="{00000000-0005-0000-0000-0000F5200000}"/>
    <cellStyle name="Comma 28 3 7" xfId="35875" xr:uid="{00000000-0005-0000-0000-0000F6200000}"/>
    <cellStyle name="Comma 28 30" xfId="35876" xr:uid="{00000000-0005-0000-0000-0000F7200000}"/>
    <cellStyle name="Comma 28 31" xfId="35877" xr:uid="{00000000-0005-0000-0000-0000F8200000}"/>
    <cellStyle name="Comma 28 32" xfId="35878" xr:uid="{00000000-0005-0000-0000-0000F9200000}"/>
    <cellStyle name="Comma 28 33" xfId="35879" xr:uid="{00000000-0005-0000-0000-0000FA200000}"/>
    <cellStyle name="Comma 28 34" xfId="35880" xr:uid="{00000000-0005-0000-0000-0000FB200000}"/>
    <cellStyle name="Comma 28 35" xfId="35881" xr:uid="{00000000-0005-0000-0000-0000FC200000}"/>
    <cellStyle name="Comma 28 36" xfId="35882" xr:uid="{00000000-0005-0000-0000-0000FD200000}"/>
    <cellStyle name="Comma 28 37" xfId="35883" xr:uid="{00000000-0005-0000-0000-0000FE200000}"/>
    <cellStyle name="Comma 28 38" xfId="35884" xr:uid="{00000000-0005-0000-0000-0000FF200000}"/>
    <cellStyle name="Comma 28 39" xfId="35885" xr:uid="{00000000-0005-0000-0000-000000210000}"/>
    <cellStyle name="Comma 28 4" xfId="8307" xr:uid="{00000000-0005-0000-0000-000001210000}"/>
    <cellStyle name="Comma 28 4 2" xfId="10807" xr:uid="{00000000-0005-0000-0000-000002210000}"/>
    <cellStyle name="Comma 28 4 2 2" xfId="12152" xr:uid="{00000000-0005-0000-0000-000003210000}"/>
    <cellStyle name="Comma 28 4 2 2 2" xfId="25225" xr:uid="{00000000-0005-0000-0000-000004210000}"/>
    <cellStyle name="Comma 28 4 2 3" xfId="12153" xr:uid="{00000000-0005-0000-0000-000005210000}"/>
    <cellStyle name="Comma 28 4 2 3 2" xfId="25226" xr:uid="{00000000-0005-0000-0000-000006210000}"/>
    <cellStyle name="Comma 28 4 2 4" xfId="24177" xr:uid="{00000000-0005-0000-0000-000007210000}"/>
    <cellStyle name="Comma 28 4 3" xfId="12154" xr:uid="{00000000-0005-0000-0000-000008210000}"/>
    <cellStyle name="Comma 28 4 3 2" xfId="25227" xr:uid="{00000000-0005-0000-0000-000009210000}"/>
    <cellStyle name="Comma 28 4 4" xfId="12155" xr:uid="{00000000-0005-0000-0000-00000A210000}"/>
    <cellStyle name="Comma 28 4 4 2" xfId="25228" xr:uid="{00000000-0005-0000-0000-00000B210000}"/>
    <cellStyle name="Comma 28 4 5" xfId="22021" xr:uid="{00000000-0005-0000-0000-00000C210000}"/>
    <cellStyle name="Comma 28 4 6" xfId="35886" xr:uid="{00000000-0005-0000-0000-00000D210000}"/>
    <cellStyle name="Comma 28 40" xfId="35887" xr:uid="{00000000-0005-0000-0000-00000E210000}"/>
    <cellStyle name="Comma 28 41" xfId="35888" xr:uid="{00000000-0005-0000-0000-00000F210000}"/>
    <cellStyle name="Comma 28 42" xfId="35889" xr:uid="{00000000-0005-0000-0000-000010210000}"/>
    <cellStyle name="Comma 28 43" xfId="35890" xr:uid="{00000000-0005-0000-0000-000011210000}"/>
    <cellStyle name="Comma 28 44" xfId="35891" xr:uid="{00000000-0005-0000-0000-000012210000}"/>
    <cellStyle name="Comma 28 45" xfId="35892" xr:uid="{00000000-0005-0000-0000-000013210000}"/>
    <cellStyle name="Comma 28 46" xfId="35893" xr:uid="{00000000-0005-0000-0000-000014210000}"/>
    <cellStyle name="Comma 28 47" xfId="35894" xr:uid="{00000000-0005-0000-0000-000015210000}"/>
    <cellStyle name="Comma 28 48" xfId="35895" xr:uid="{00000000-0005-0000-0000-000016210000}"/>
    <cellStyle name="Comma 28 49" xfId="35896" xr:uid="{00000000-0005-0000-0000-000017210000}"/>
    <cellStyle name="Comma 28 5" xfId="9729" xr:uid="{00000000-0005-0000-0000-000018210000}"/>
    <cellStyle name="Comma 28 5 2" xfId="12156" xr:uid="{00000000-0005-0000-0000-000019210000}"/>
    <cellStyle name="Comma 28 5 2 2" xfId="25229" xr:uid="{00000000-0005-0000-0000-00001A210000}"/>
    <cellStyle name="Comma 28 5 3" xfId="12157" xr:uid="{00000000-0005-0000-0000-00001B210000}"/>
    <cellStyle name="Comma 28 5 3 2" xfId="25230" xr:uid="{00000000-0005-0000-0000-00001C210000}"/>
    <cellStyle name="Comma 28 5 4" xfId="23099" xr:uid="{00000000-0005-0000-0000-00001D210000}"/>
    <cellStyle name="Comma 28 5 5" xfId="35897" xr:uid="{00000000-0005-0000-0000-00001E210000}"/>
    <cellStyle name="Comma 28 50" xfId="35898" xr:uid="{00000000-0005-0000-0000-00001F210000}"/>
    <cellStyle name="Comma 28 51" xfId="35899" xr:uid="{00000000-0005-0000-0000-000020210000}"/>
    <cellStyle name="Comma 28 52" xfId="35900" xr:uid="{00000000-0005-0000-0000-000021210000}"/>
    <cellStyle name="Comma 28 53" xfId="35901" xr:uid="{00000000-0005-0000-0000-000022210000}"/>
    <cellStyle name="Comma 28 54" xfId="35902" xr:uid="{00000000-0005-0000-0000-000023210000}"/>
    <cellStyle name="Comma 28 55" xfId="35903" xr:uid="{00000000-0005-0000-0000-000024210000}"/>
    <cellStyle name="Comma 28 56" xfId="35904" xr:uid="{00000000-0005-0000-0000-000025210000}"/>
    <cellStyle name="Comma 28 57" xfId="35905" xr:uid="{00000000-0005-0000-0000-000026210000}"/>
    <cellStyle name="Comma 28 58" xfId="35906" xr:uid="{00000000-0005-0000-0000-000027210000}"/>
    <cellStyle name="Comma 28 59" xfId="35907" xr:uid="{00000000-0005-0000-0000-000028210000}"/>
    <cellStyle name="Comma 28 6" xfId="12158" xr:uid="{00000000-0005-0000-0000-000029210000}"/>
    <cellStyle name="Comma 28 6 2" xfId="25231" xr:uid="{00000000-0005-0000-0000-00002A210000}"/>
    <cellStyle name="Comma 28 6 3" xfId="35908" xr:uid="{00000000-0005-0000-0000-00002B210000}"/>
    <cellStyle name="Comma 28 60" xfId="35909" xr:uid="{00000000-0005-0000-0000-00002C210000}"/>
    <cellStyle name="Comma 28 61" xfId="35853" xr:uid="{00000000-0005-0000-0000-00002D210000}"/>
    <cellStyle name="Comma 28 7" xfId="12159" xr:uid="{00000000-0005-0000-0000-00002E210000}"/>
    <cellStyle name="Comma 28 7 2" xfId="25232" xr:uid="{00000000-0005-0000-0000-00002F210000}"/>
    <cellStyle name="Comma 28 7 3" xfId="35910" xr:uid="{00000000-0005-0000-0000-000030210000}"/>
    <cellStyle name="Comma 28 8" xfId="20943" xr:uid="{00000000-0005-0000-0000-000031210000}"/>
    <cellStyle name="Comma 28 8 2" xfId="35911" xr:uid="{00000000-0005-0000-0000-000032210000}"/>
    <cellStyle name="Comma 28 9" xfId="35912" xr:uid="{00000000-0005-0000-0000-000033210000}"/>
    <cellStyle name="Comma 29" xfId="5888" xr:uid="{00000000-0005-0000-0000-000034210000}"/>
    <cellStyle name="Comma 29 10" xfId="35914" xr:uid="{00000000-0005-0000-0000-000035210000}"/>
    <cellStyle name="Comma 29 11" xfId="35915" xr:uid="{00000000-0005-0000-0000-000036210000}"/>
    <cellStyle name="Comma 29 12" xfId="35916" xr:uid="{00000000-0005-0000-0000-000037210000}"/>
    <cellStyle name="Comma 29 13" xfId="35917" xr:uid="{00000000-0005-0000-0000-000038210000}"/>
    <cellStyle name="Comma 29 14" xfId="35918" xr:uid="{00000000-0005-0000-0000-000039210000}"/>
    <cellStyle name="Comma 29 15" xfId="35919" xr:uid="{00000000-0005-0000-0000-00003A210000}"/>
    <cellStyle name="Comma 29 16" xfId="35920" xr:uid="{00000000-0005-0000-0000-00003B210000}"/>
    <cellStyle name="Comma 29 17" xfId="35921" xr:uid="{00000000-0005-0000-0000-00003C210000}"/>
    <cellStyle name="Comma 29 18" xfId="35922" xr:uid="{00000000-0005-0000-0000-00003D210000}"/>
    <cellStyle name="Comma 29 19" xfId="35923" xr:uid="{00000000-0005-0000-0000-00003E210000}"/>
    <cellStyle name="Comma 29 2" xfId="6811" xr:uid="{00000000-0005-0000-0000-00003F210000}"/>
    <cellStyle name="Comma 29 2 2" xfId="7498" xr:uid="{00000000-0005-0000-0000-000040210000}"/>
    <cellStyle name="Comma 29 2 2 2" xfId="9377" xr:uid="{00000000-0005-0000-0000-000041210000}"/>
    <cellStyle name="Comma 29 2 2 2 2" xfId="11756" xr:uid="{00000000-0005-0000-0000-000042210000}"/>
    <cellStyle name="Comma 29 2 2 2 2 2" xfId="12160" xr:uid="{00000000-0005-0000-0000-000043210000}"/>
    <cellStyle name="Comma 29 2 2 2 2 2 2" xfId="25233" xr:uid="{00000000-0005-0000-0000-000044210000}"/>
    <cellStyle name="Comma 29 2 2 2 2 3" xfId="12161" xr:uid="{00000000-0005-0000-0000-000045210000}"/>
    <cellStyle name="Comma 29 2 2 2 2 3 2" xfId="25234" xr:uid="{00000000-0005-0000-0000-000046210000}"/>
    <cellStyle name="Comma 29 2 2 2 2 4" xfId="25126" xr:uid="{00000000-0005-0000-0000-000047210000}"/>
    <cellStyle name="Comma 29 2 2 2 3" xfId="12162" xr:uid="{00000000-0005-0000-0000-000048210000}"/>
    <cellStyle name="Comma 29 2 2 2 3 2" xfId="25235" xr:uid="{00000000-0005-0000-0000-000049210000}"/>
    <cellStyle name="Comma 29 2 2 2 4" xfId="12163" xr:uid="{00000000-0005-0000-0000-00004A210000}"/>
    <cellStyle name="Comma 29 2 2 2 4 2" xfId="25236" xr:uid="{00000000-0005-0000-0000-00004B210000}"/>
    <cellStyle name="Comma 29 2 2 2 5" xfId="22970" xr:uid="{00000000-0005-0000-0000-00004C210000}"/>
    <cellStyle name="Comma 29 2 2 3" xfId="10678" xr:uid="{00000000-0005-0000-0000-00004D210000}"/>
    <cellStyle name="Comma 29 2 2 3 2" xfId="12164" xr:uid="{00000000-0005-0000-0000-00004E210000}"/>
    <cellStyle name="Comma 29 2 2 3 2 2" xfId="25237" xr:uid="{00000000-0005-0000-0000-00004F210000}"/>
    <cellStyle name="Comma 29 2 2 3 3" xfId="12165" xr:uid="{00000000-0005-0000-0000-000050210000}"/>
    <cellStyle name="Comma 29 2 2 3 3 2" xfId="25238" xr:uid="{00000000-0005-0000-0000-000051210000}"/>
    <cellStyle name="Comma 29 2 2 3 4" xfId="24048" xr:uid="{00000000-0005-0000-0000-000052210000}"/>
    <cellStyle name="Comma 29 2 2 4" xfId="12166" xr:uid="{00000000-0005-0000-0000-000053210000}"/>
    <cellStyle name="Comma 29 2 2 4 2" xfId="25239" xr:uid="{00000000-0005-0000-0000-000054210000}"/>
    <cellStyle name="Comma 29 2 2 5" xfId="12167" xr:uid="{00000000-0005-0000-0000-000055210000}"/>
    <cellStyle name="Comma 29 2 2 5 2" xfId="25240" xr:uid="{00000000-0005-0000-0000-000056210000}"/>
    <cellStyle name="Comma 29 2 2 6" xfId="21892" xr:uid="{00000000-0005-0000-0000-000057210000}"/>
    <cellStyle name="Comma 29 2 3" xfId="8831" xr:uid="{00000000-0005-0000-0000-000058210000}"/>
    <cellStyle name="Comma 29 2 3 2" xfId="11216" xr:uid="{00000000-0005-0000-0000-000059210000}"/>
    <cellStyle name="Comma 29 2 3 2 2" xfId="12168" xr:uid="{00000000-0005-0000-0000-00005A210000}"/>
    <cellStyle name="Comma 29 2 3 2 2 2" xfId="25241" xr:uid="{00000000-0005-0000-0000-00005B210000}"/>
    <cellStyle name="Comma 29 2 3 2 3" xfId="12169" xr:uid="{00000000-0005-0000-0000-00005C210000}"/>
    <cellStyle name="Comma 29 2 3 2 3 2" xfId="25242" xr:uid="{00000000-0005-0000-0000-00005D210000}"/>
    <cellStyle name="Comma 29 2 3 2 4" xfId="24586" xr:uid="{00000000-0005-0000-0000-00005E210000}"/>
    <cellStyle name="Comma 29 2 3 3" xfId="12170" xr:uid="{00000000-0005-0000-0000-00005F210000}"/>
    <cellStyle name="Comma 29 2 3 3 2" xfId="25243" xr:uid="{00000000-0005-0000-0000-000060210000}"/>
    <cellStyle name="Comma 29 2 3 4" xfId="12171" xr:uid="{00000000-0005-0000-0000-000061210000}"/>
    <cellStyle name="Comma 29 2 3 4 2" xfId="25244" xr:uid="{00000000-0005-0000-0000-000062210000}"/>
    <cellStyle name="Comma 29 2 3 5" xfId="22430" xr:uid="{00000000-0005-0000-0000-000063210000}"/>
    <cellStyle name="Comma 29 2 4" xfId="10138" xr:uid="{00000000-0005-0000-0000-000064210000}"/>
    <cellStyle name="Comma 29 2 4 2" xfId="12172" xr:uid="{00000000-0005-0000-0000-000065210000}"/>
    <cellStyle name="Comma 29 2 4 2 2" xfId="25245" xr:uid="{00000000-0005-0000-0000-000066210000}"/>
    <cellStyle name="Comma 29 2 4 3" xfId="12173" xr:uid="{00000000-0005-0000-0000-000067210000}"/>
    <cellStyle name="Comma 29 2 4 3 2" xfId="25246" xr:uid="{00000000-0005-0000-0000-000068210000}"/>
    <cellStyle name="Comma 29 2 4 4" xfId="23508" xr:uid="{00000000-0005-0000-0000-000069210000}"/>
    <cellStyle name="Comma 29 2 5" xfId="12174" xr:uid="{00000000-0005-0000-0000-00006A210000}"/>
    <cellStyle name="Comma 29 2 5 2" xfId="25247" xr:uid="{00000000-0005-0000-0000-00006B210000}"/>
    <cellStyle name="Comma 29 2 6" xfId="12175" xr:uid="{00000000-0005-0000-0000-00006C210000}"/>
    <cellStyle name="Comma 29 2 6 2" xfId="25248" xr:uid="{00000000-0005-0000-0000-00006D210000}"/>
    <cellStyle name="Comma 29 2 7" xfId="21352" xr:uid="{00000000-0005-0000-0000-00006E210000}"/>
    <cellStyle name="Comma 29 2 8" xfId="35924" xr:uid="{00000000-0005-0000-0000-00006F210000}"/>
    <cellStyle name="Comma 29 20" xfId="35925" xr:uid="{00000000-0005-0000-0000-000070210000}"/>
    <cellStyle name="Comma 29 21" xfId="35926" xr:uid="{00000000-0005-0000-0000-000071210000}"/>
    <cellStyle name="Comma 29 22" xfId="35927" xr:uid="{00000000-0005-0000-0000-000072210000}"/>
    <cellStyle name="Comma 29 23" xfId="35928" xr:uid="{00000000-0005-0000-0000-000073210000}"/>
    <cellStyle name="Comma 29 24" xfId="35929" xr:uid="{00000000-0005-0000-0000-000074210000}"/>
    <cellStyle name="Comma 29 25" xfId="35930" xr:uid="{00000000-0005-0000-0000-000075210000}"/>
    <cellStyle name="Comma 29 26" xfId="35931" xr:uid="{00000000-0005-0000-0000-000076210000}"/>
    <cellStyle name="Comma 29 27" xfId="35932" xr:uid="{00000000-0005-0000-0000-000077210000}"/>
    <cellStyle name="Comma 29 28" xfId="35933" xr:uid="{00000000-0005-0000-0000-000078210000}"/>
    <cellStyle name="Comma 29 29" xfId="35934" xr:uid="{00000000-0005-0000-0000-000079210000}"/>
    <cellStyle name="Comma 29 3" xfId="7229" xr:uid="{00000000-0005-0000-0000-00007A210000}"/>
    <cellStyle name="Comma 29 3 2" xfId="9108" xr:uid="{00000000-0005-0000-0000-00007B210000}"/>
    <cellStyle name="Comma 29 3 2 2" xfId="11487" xr:uid="{00000000-0005-0000-0000-00007C210000}"/>
    <cellStyle name="Comma 29 3 2 2 2" xfId="12176" xr:uid="{00000000-0005-0000-0000-00007D210000}"/>
    <cellStyle name="Comma 29 3 2 2 2 2" xfId="25249" xr:uid="{00000000-0005-0000-0000-00007E210000}"/>
    <cellStyle name="Comma 29 3 2 2 3" xfId="12177" xr:uid="{00000000-0005-0000-0000-00007F210000}"/>
    <cellStyle name="Comma 29 3 2 2 3 2" xfId="25250" xr:uid="{00000000-0005-0000-0000-000080210000}"/>
    <cellStyle name="Comma 29 3 2 2 4" xfId="24857" xr:uid="{00000000-0005-0000-0000-000081210000}"/>
    <cellStyle name="Comma 29 3 2 3" xfId="12178" xr:uid="{00000000-0005-0000-0000-000082210000}"/>
    <cellStyle name="Comma 29 3 2 3 2" xfId="25251" xr:uid="{00000000-0005-0000-0000-000083210000}"/>
    <cellStyle name="Comma 29 3 2 4" xfId="12179" xr:uid="{00000000-0005-0000-0000-000084210000}"/>
    <cellStyle name="Comma 29 3 2 4 2" xfId="25252" xr:uid="{00000000-0005-0000-0000-000085210000}"/>
    <cellStyle name="Comma 29 3 2 5" xfId="22701" xr:uid="{00000000-0005-0000-0000-000086210000}"/>
    <cellStyle name="Comma 29 3 3" xfId="10409" xr:uid="{00000000-0005-0000-0000-000087210000}"/>
    <cellStyle name="Comma 29 3 3 2" xfId="12180" xr:uid="{00000000-0005-0000-0000-000088210000}"/>
    <cellStyle name="Comma 29 3 3 2 2" xfId="25253" xr:uid="{00000000-0005-0000-0000-000089210000}"/>
    <cellStyle name="Comma 29 3 3 3" xfId="12181" xr:uid="{00000000-0005-0000-0000-00008A210000}"/>
    <cellStyle name="Comma 29 3 3 3 2" xfId="25254" xr:uid="{00000000-0005-0000-0000-00008B210000}"/>
    <cellStyle name="Comma 29 3 3 4" xfId="23779" xr:uid="{00000000-0005-0000-0000-00008C210000}"/>
    <cellStyle name="Comma 29 3 4" xfId="12182" xr:uid="{00000000-0005-0000-0000-00008D210000}"/>
    <cellStyle name="Comma 29 3 4 2" xfId="25255" xr:uid="{00000000-0005-0000-0000-00008E210000}"/>
    <cellStyle name="Comma 29 3 5" xfId="12183" xr:uid="{00000000-0005-0000-0000-00008F210000}"/>
    <cellStyle name="Comma 29 3 5 2" xfId="25256" xr:uid="{00000000-0005-0000-0000-000090210000}"/>
    <cellStyle name="Comma 29 3 6" xfId="21623" xr:uid="{00000000-0005-0000-0000-000091210000}"/>
    <cellStyle name="Comma 29 3 7" xfId="35935" xr:uid="{00000000-0005-0000-0000-000092210000}"/>
    <cellStyle name="Comma 29 30" xfId="35936" xr:uid="{00000000-0005-0000-0000-000093210000}"/>
    <cellStyle name="Comma 29 31" xfId="35937" xr:uid="{00000000-0005-0000-0000-000094210000}"/>
    <cellStyle name="Comma 29 32" xfId="35938" xr:uid="{00000000-0005-0000-0000-000095210000}"/>
    <cellStyle name="Comma 29 33" xfId="35939" xr:uid="{00000000-0005-0000-0000-000096210000}"/>
    <cellStyle name="Comma 29 34" xfId="35940" xr:uid="{00000000-0005-0000-0000-000097210000}"/>
    <cellStyle name="Comma 29 35" xfId="35941" xr:uid="{00000000-0005-0000-0000-000098210000}"/>
    <cellStyle name="Comma 29 36" xfId="35942" xr:uid="{00000000-0005-0000-0000-000099210000}"/>
    <cellStyle name="Comma 29 37" xfId="35943" xr:uid="{00000000-0005-0000-0000-00009A210000}"/>
    <cellStyle name="Comma 29 38" xfId="35944" xr:uid="{00000000-0005-0000-0000-00009B210000}"/>
    <cellStyle name="Comma 29 39" xfId="35945" xr:uid="{00000000-0005-0000-0000-00009C210000}"/>
    <cellStyle name="Comma 29 4" xfId="8523" xr:uid="{00000000-0005-0000-0000-00009D210000}"/>
    <cellStyle name="Comma 29 4 2" xfId="10947" xr:uid="{00000000-0005-0000-0000-00009E210000}"/>
    <cellStyle name="Comma 29 4 2 2" xfId="12184" xr:uid="{00000000-0005-0000-0000-00009F210000}"/>
    <cellStyle name="Comma 29 4 2 2 2" xfId="25257" xr:uid="{00000000-0005-0000-0000-0000A0210000}"/>
    <cellStyle name="Comma 29 4 2 3" xfId="12185" xr:uid="{00000000-0005-0000-0000-0000A1210000}"/>
    <cellStyle name="Comma 29 4 2 3 2" xfId="25258" xr:uid="{00000000-0005-0000-0000-0000A2210000}"/>
    <cellStyle name="Comma 29 4 2 4" xfId="24317" xr:uid="{00000000-0005-0000-0000-0000A3210000}"/>
    <cellStyle name="Comma 29 4 3" xfId="12186" xr:uid="{00000000-0005-0000-0000-0000A4210000}"/>
    <cellStyle name="Comma 29 4 3 2" xfId="25259" xr:uid="{00000000-0005-0000-0000-0000A5210000}"/>
    <cellStyle name="Comma 29 4 4" xfId="12187" xr:uid="{00000000-0005-0000-0000-0000A6210000}"/>
    <cellStyle name="Comma 29 4 4 2" xfId="25260" xr:uid="{00000000-0005-0000-0000-0000A7210000}"/>
    <cellStyle name="Comma 29 4 5" xfId="22161" xr:uid="{00000000-0005-0000-0000-0000A8210000}"/>
    <cellStyle name="Comma 29 4 6" xfId="35946" xr:uid="{00000000-0005-0000-0000-0000A9210000}"/>
    <cellStyle name="Comma 29 40" xfId="35947" xr:uid="{00000000-0005-0000-0000-0000AA210000}"/>
    <cellStyle name="Comma 29 41" xfId="35948" xr:uid="{00000000-0005-0000-0000-0000AB210000}"/>
    <cellStyle name="Comma 29 42" xfId="35949" xr:uid="{00000000-0005-0000-0000-0000AC210000}"/>
    <cellStyle name="Comma 29 43" xfId="35950" xr:uid="{00000000-0005-0000-0000-0000AD210000}"/>
    <cellStyle name="Comma 29 44" xfId="35951" xr:uid="{00000000-0005-0000-0000-0000AE210000}"/>
    <cellStyle name="Comma 29 45" xfId="35952" xr:uid="{00000000-0005-0000-0000-0000AF210000}"/>
    <cellStyle name="Comma 29 46" xfId="35953" xr:uid="{00000000-0005-0000-0000-0000B0210000}"/>
    <cellStyle name="Comma 29 47" xfId="35954" xr:uid="{00000000-0005-0000-0000-0000B1210000}"/>
    <cellStyle name="Comma 29 48" xfId="35955" xr:uid="{00000000-0005-0000-0000-0000B2210000}"/>
    <cellStyle name="Comma 29 49" xfId="35956" xr:uid="{00000000-0005-0000-0000-0000B3210000}"/>
    <cellStyle name="Comma 29 5" xfId="9869" xr:uid="{00000000-0005-0000-0000-0000B4210000}"/>
    <cellStyle name="Comma 29 5 2" xfId="12188" xr:uid="{00000000-0005-0000-0000-0000B5210000}"/>
    <cellStyle name="Comma 29 5 2 2" xfId="25261" xr:uid="{00000000-0005-0000-0000-0000B6210000}"/>
    <cellStyle name="Comma 29 5 3" xfId="12189" xr:uid="{00000000-0005-0000-0000-0000B7210000}"/>
    <cellStyle name="Comma 29 5 3 2" xfId="25262" xr:uid="{00000000-0005-0000-0000-0000B8210000}"/>
    <cellStyle name="Comma 29 5 4" xfId="23239" xr:uid="{00000000-0005-0000-0000-0000B9210000}"/>
    <cellStyle name="Comma 29 5 5" xfId="35957" xr:uid="{00000000-0005-0000-0000-0000BA210000}"/>
    <cellStyle name="Comma 29 50" xfId="35958" xr:uid="{00000000-0005-0000-0000-0000BB210000}"/>
    <cellStyle name="Comma 29 51" xfId="35959" xr:uid="{00000000-0005-0000-0000-0000BC210000}"/>
    <cellStyle name="Comma 29 52" xfId="35960" xr:uid="{00000000-0005-0000-0000-0000BD210000}"/>
    <cellStyle name="Comma 29 53" xfId="35961" xr:uid="{00000000-0005-0000-0000-0000BE210000}"/>
    <cellStyle name="Comma 29 54" xfId="35962" xr:uid="{00000000-0005-0000-0000-0000BF210000}"/>
    <cellStyle name="Comma 29 55" xfId="35963" xr:uid="{00000000-0005-0000-0000-0000C0210000}"/>
    <cellStyle name="Comma 29 56" xfId="35964" xr:uid="{00000000-0005-0000-0000-0000C1210000}"/>
    <cellStyle name="Comma 29 57" xfId="35965" xr:uid="{00000000-0005-0000-0000-0000C2210000}"/>
    <cellStyle name="Comma 29 58" xfId="35966" xr:uid="{00000000-0005-0000-0000-0000C3210000}"/>
    <cellStyle name="Comma 29 59" xfId="35967" xr:uid="{00000000-0005-0000-0000-0000C4210000}"/>
    <cellStyle name="Comma 29 6" xfId="12190" xr:uid="{00000000-0005-0000-0000-0000C5210000}"/>
    <cellStyle name="Comma 29 6 2" xfId="25263" xr:uid="{00000000-0005-0000-0000-0000C6210000}"/>
    <cellStyle name="Comma 29 6 3" xfId="35968" xr:uid="{00000000-0005-0000-0000-0000C7210000}"/>
    <cellStyle name="Comma 29 60" xfId="35969" xr:uid="{00000000-0005-0000-0000-0000C8210000}"/>
    <cellStyle name="Comma 29 61" xfId="35913" xr:uid="{00000000-0005-0000-0000-0000C9210000}"/>
    <cellStyle name="Comma 29 7" xfId="12191" xr:uid="{00000000-0005-0000-0000-0000CA210000}"/>
    <cellStyle name="Comma 29 7 2" xfId="25264" xr:uid="{00000000-0005-0000-0000-0000CB210000}"/>
    <cellStyle name="Comma 29 7 3" xfId="35970" xr:uid="{00000000-0005-0000-0000-0000CC210000}"/>
    <cellStyle name="Comma 29 8" xfId="21083" xr:uid="{00000000-0005-0000-0000-0000CD210000}"/>
    <cellStyle name="Comma 29 8 2" xfId="35971" xr:uid="{00000000-0005-0000-0000-0000CE210000}"/>
    <cellStyle name="Comma 29 9" xfId="35972" xr:uid="{00000000-0005-0000-0000-0000CF210000}"/>
    <cellStyle name="Comma 3" xfId="3381" xr:uid="{00000000-0005-0000-0000-0000D0210000}"/>
    <cellStyle name="Comma 3 10" xfId="34163" xr:uid="{00000000-0005-0000-0000-0000D1210000}"/>
    <cellStyle name="Comma 3 10 2" xfId="34164" xr:uid="{00000000-0005-0000-0000-0000D2210000}"/>
    <cellStyle name="Comma 3 10 3" xfId="34165" xr:uid="{00000000-0005-0000-0000-0000D3210000}"/>
    <cellStyle name="Comma 3 10 4" xfId="34166" xr:uid="{00000000-0005-0000-0000-0000D4210000}"/>
    <cellStyle name="Comma 3 10 5" xfId="34167" xr:uid="{00000000-0005-0000-0000-0000D5210000}"/>
    <cellStyle name="Comma 3 10 6" xfId="34168" xr:uid="{00000000-0005-0000-0000-0000D6210000}"/>
    <cellStyle name="Comma 3 10 7" xfId="35974" xr:uid="{00000000-0005-0000-0000-0000D7210000}"/>
    <cellStyle name="Comma 3 11" xfId="34169" xr:uid="{00000000-0005-0000-0000-0000D8210000}"/>
    <cellStyle name="Comma 3 11 2" xfId="35975" xr:uid="{00000000-0005-0000-0000-0000D9210000}"/>
    <cellStyle name="Comma 3 12" xfId="34170" xr:uid="{00000000-0005-0000-0000-0000DA210000}"/>
    <cellStyle name="Comma 3 12 2" xfId="35976" xr:uid="{00000000-0005-0000-0000-0000DB210000}"/>
    <cellStyle name="Comma 3 13" xfId="34171" xr:uid="{00000000-0005-0000-0000-0000DC210000}"/>
    <cellStyle name="Comma 3 13 2" xfId="35977" xr:uid="{00000000-0005-0000-0000-0000DD210000}"/>
    <cellStyle name="Comma 3 14" xfId="34172" xr:uid="{00000000-0005-0000-0000-0000DE210000}"/>
    <cellStyle name="Comma 3 14 2" xfId="35978" xr:uid="{00000000-0005-0000-0000-0000DF210000}"/>
    <cellStyle name="Comma 3 15" xfId="34173" xr:uid="{00000000-0005-0000-0000-0000E0210000}"/>
    <cellStyle name="Comma 3 15 2" xfId="35979" xr:uid="{00000000-0005-0000-0000-0000E1210000}"/>
    <cellStyle name="Comma 3 16" xfId="34174" xr:uid="{00000000-0005-0000-0000-0000E2210000}"/>
    <cellStyle name="Comma 3 16 2" xfId="35980" xr:uid="{00000000-0005-0000-0000-0000E3210000}"/>
    <cellStyle name="Comma 3 17" xfId="34175" xr:uid="{00000000-0005-0000-0000-0000E4210000}"/>
    <cellStyle name="Comma 3 17 2" xfId="35981" xr:uid="{00000000-0005-0000-0000-0000E5210000}"/>
    <cellStyle name="Comma 3 18" xfId="34176" xr:uid="{00000000-0005-0000-0000-0000E6210000}"/>
    <cellStyle name="Comma 3 18 2" xfId="35982" xr:uid="{00000000-0005-0000-0000-0000E7210000}"/>
    <cellStyle name="Comma 3 19" xfId="34177" xr:uid="{00000000-0005-0000-0000-0000E8210000}"/>
    <cellStyle name="Comma 3 19 2" xfId="35983" xr:uid="{00000000-0005-0000-0000-0000E9210000}"/>
    <cellStyle name="Comma 3 2" xfId="4136" xr:uid="{00000000-0005-0000-0000-0000EA210000}"/>
    <cellStyle name="Comma 3 2 10" xfId="34178" xr:uid="{00000000-0005-0000-0000-0000EB210000}"/>
    <cellStyle name="Comma 3 2 11" xfId="34179" xr:uid="{00000000-0005-0000-0000-0000EC210000}"/>
    <cellStyle name="Comma 3 2 12" xfId="34180" xr:uid="{00000000-0005-0000-0000-0000ED210000}"/>
    <cellStyle name="Comma 3 2 13" xfId="34181" xr:uid="{00000000-0005-0000-0000-0000EE210000}"/>
    <cellStyle name="Comma 3 2 14" xfId="34182" xr:uid="{00000000-0005-0000-0000-0000EF210000}"/>
    <cellStyle name="Comma 3 2 15" xfId="35984" xr:uid="{00000000-0005-0000-0000-0000F0210000}"/>
    <cellStyle name="Comma 3 2 2" xfId="34183" xr:uid="{00000000-0005-0000-0000-0000F1210000}"/>
    <cellStyle name="Comma 3 2 3" xfId="34184" xr:uid="{00000000-0005-0000-0000-0000F2210000}"/>
    <cellStyle name="Comma 3 2 4" xfId="34185" xr:uid="{00000000-0005-0000-0000-0000F3210000}"/>
    <cellStyle name="Comma 3 2 5" xfId="34186" xr:uid="{00000000-0005-0000-0000-0000F4210000}"/>
    <cellStyle name="Comma 3 2 6" xfId="34187" xr:uid="{00000000-0005-0000-0000-0000F5210000}"/>
    <cellStyle name="Comma 3 2 7" xfId="34188" xr:uid="{00000000-0005-0000-0000-0000F6210000}"/>
    <cellStyle name="Comma 3 2 8" xfId="34189" xr:uid="{00000000-0005-0000-0000-0000F7210000}"/>
    <cellStyle name="Comma 3 2 9" xfId="34190" xr:uid="{00000000-0005-0000-0000-0000F8210000}"/>
    <cellStyle name="Comma 3 20" xfId="34191" xr:uid="{00000000-0005-0000-0000-0000F9210000}"/>
    <cellStyle name="Comma 3 20 2" xfId="35985" xr:uid="{00000000-0005-0000-0000-0000FA210000}"/>
    <cellStyle name="Comma 3 21" xfId="35986" xr:uid="{00000000-0005-0000-0000-0000FB210000}"/>
    <cellStyle name="Comma 3 22" xfId="35987" xr:uid="{00000000-0005-0000-0000-0000FC210000}"/>
    <cellStyle name="Comma 3 23" xfId="35988" xr:uid="{00000000-0005-0000-0000-0000FD210000}"/>
    <cellStyle name="Comma 3 24" xfId="35989" xr:uid="{00000000-0005-0000-0000-0000FE210000}"/>
    <cellStyle name="Comma 3 25" xfId="35990" xr:uid="{00000000-0005-0000-0000-0000FF210000}"/>
    <cellStyle name="Comma 3 26" xfId="35991" xr:uid="{00000000-0005-0000-0000-000000220000}"/>
    <cellStyle name="Comma 3 27" xfId="35992" xr:uid="{00000000-0005-0000-0000-000001220000}"/>
    <cellStyle name="Comma 3 28" xfId="35993" xr:uid="{00000000-0005-0000-0000-000002220000}"/>
    <cellStyle name="Comma 3 29" xfId="35994" xr:uid="{00000000-0005-0000-0000-000003220000}"/>
    <cellStyle name="Comma 3 3" xfId="34192" xr:uid="{00000000-0005-0000-0000-000004220000}"/>
    <cellStyle name="Comma 3 3 10" xfId="34193" xr:uid="{00000000-0005-0000-0000-000005220000}"/>
    <cellStyle name="Comma 3 3 11" xfId="34194" xr:uid="{00000000-0005-0000-0000-000006220000}"/>
    <cellStyle name="Comma 3 3 12" xfId="34195" xr:uid="{00000000-0005-0000-0000-000007220000}"/>
    <cellStyle name="Comma 3 3 13" xfId="34196" xr:uid="{00000000-0005-0000-0000-000008220000}"/>
    <cellStyle name="Comma 3 3 14" xfId="34197" xr:uid="{00000000-0005-0000-0000-000009220000}"/>
    <cellStyle name="Comma 3 3 15" xfId="35995" xr:uid="{00000000-0005-0000-0000-00000A220000}"/>
    <cellStyle name="Comma 3 3 2" xfId="34198" xr:uid="{00000000-0005-0000-0000-00000B220000}"/>
    <cellStyle name="Comma 3 3 3" xfId="34199" xr:uid="{00000000-0005-0000-0000-00000C220000}"/>
    <cellStyle name="Comma 3 3 4" xfId="34200" xr:uid="{00000000-0005-0000-0000-00000D220000}"/>
    <cellStyle name="Comma 3 3 5" xfId="34201" xr:uid="{00000000-0005-0000-0000-00000E220000}"/>
    <cellStyle name="Comma 3 3 6" xfId="34202" xr:uid="{00000000-0005-0000-0000-00000F220000}"/>
    <cellStyle name="Comma 3 3 7" xfId="34203" xr:uid="{00000000-0005-0000-0000-000010220000}"/>
    <cellStyle name="Comma 3 3 8" xfId="34204" xr:uid="{00000000-0005-0000-0000-000011220000}"/>
    <cellStyle name="Comma 3 3 9" xfId="34205" xr:uid="{00000000-0005-0000-0000-000012220000}"/>
    <cellStyle name="Comma 3 30" xfId="35996" xr:uid="{00000000-0005-0000-0000-000013220000}"/>
    <cellStyle name="Comma 3 31" xfId="35997" xr:uid="{00000000-0005-0000-0000-000014220000}"/>
    <cellStyle name="Comma 3 32" xfId="35998" xr:uid="{00000000-0005-0000-0000-000015220000}"/>
    <cellStyle name="Comma 3 33" xfId="35999" xr:uid="{00000000-0005-0000-0000-000016220000}"/>
    <cellStyle name="Comma 3 34" xfId="36000" xr:uid="{00000000-0005-0000-0000-000017220000}"/>
    <cellStyle name="Comma 3 35" xfId="36001" xr:uid="{00000000-0005-0000-0000-000018220000}"/>
    <cellStyle name="Comma 3 36" xfId="36002" xr:uid="{00000000-0005-0000-0000-000019220000}"/>
    <cellStyle name="Comma 3 37" xfId="36003" xr:uid="{00000000-0005-0000-0000-00001A220000}"/>
    <cellStyle name="Comma 3 38" xfId="36004" xr:uid="{00000000-0005-0000-0000-00001B220000}"/>
    <cellStyle name="Comma 3 39" xfId="36005" xr:uid="{00000000-0005-0000-0000-00001C220000}"/>
    <cellStyle name="Comma 3 4" xfId="34206" xr:uid="{00000000-0005-0000-0000-00001D220000}"/>
    <cellStyle name="Comma 3 4 2" xfId="34207" xr:uid="{00000000-0005-0000-0000-00001E220000}"/>
    <cellStyle name="Comma 3 4 3" xfId="34208" xr:uid="{00000000-0005-0000-0000-00001F220000}"/>
    <cellStyle name="Comma 3 4 4" xfId="36006" xr:uid="{00000000-0005-0000-0000-000020220000}"/>
    <cellStyle name="Comma 3 40" xfId="36007" xr:uid="{00000000-0005-0000-0000-000021220000}"/>
    <cellStyle name="Comma 3 41" xfId="36008" xr:uid="{00000000-0005-0000-0000-000022220000}"/>
    <cellStyle name="Comma 3 42" xfId="36009" xr:uid="{00000000-0005-0000-0000-000023220000}"/>
    <cellStyle name="Comma 3 43" xfId="36010" xr:uid="{00000000-0005-0000-0000-000024220000}"/>
    <cellStyle name="Comma 3 44" xfId="36011" xr:uid="{00000000-0005-0000-0000-000025220000}"/>
    <cellStyle name="Comma 3 45" xfId="36012" xr:uid="{00000000-0005-0000-0000-000026220000}"/>
    <cellStyle name="Comma 3 46" xfId="36013" xr:uid="{00000000-0005-0000-0000-000027220000}"/>
    <cellStyle name="Comma 3 47" xfId="36014" xr:uid="{00000000-0005-0000-0000-000028220000}"/>
    <cellStyle name="Comma 3 48" xfId="36015" xr:uid="{00000000-0005-0000-0000-000029220000}"/>
    <cellStyle name="Comma 3 49" xfId="36016" xr:uid="{00000000-0005-0000-0000-00002A220000}"/>
    <cellStyle name="Comma 3 5" xfId="34209" xr:uid="{00000000-0005-0000-0000-00002B220000}"/>
    <cellStyle name="Comma 3 5 2" xfId="34210" xr:uid="{00000000-0005-0000-0000-00002C220000}"/>
    <cellStyle name="Comma 3 5 3" xfId="34211" xr:uid="{00000000-0005-0000-0000-00002D220000}"/>
    <cellStyle name="Comma 3 5 4" xfId="36017" xr:uid="{00000000-0005-0000-0000-00002E220000}"/>
    <cellStyle name="Comma 3 50" xfId="36018" xr:uid="{00000000-0005-0000-0000-00002F220000}"/>
    <cellStyle name="Comma 3 51" xfId="36019" xr:uid="{00000000-0005-0000-0000-000030220000}"/>
    <cellStyle name="Comma 3 52" xfId="36020" xr:uid="{00000000-0005-0000-0000-000031220000}"/>
    <cellStyle name="Comma 3 53" xfId="36021" xr:uid="{00000000-0005-0000-0000-000032220000}"/>
    <cellStyle name="Comma 3 54" xfId="36022" xr:uid="{00000000-0005-0000-0000-000033220000}"/>
    <cellStyle name="Comma 3 55" xfId="36023" xr:uid="{00000000-0005-0000-0000-000034220000}"/>
    <cellStyle name="Comma 3 56" xfId="36024" xr:uid="{00000000-0005-0000-0000-000035220000}"/>
    <cellStyle name="Comma 3 57" xfId="36025" xr:uid="{00000000-0005-0000-0000-000036220000}"/>
    <cellStyle name="Comma 3 58" xfId="36026" xr:uid="{00000000-0005-0000-0000-000037220000}"/>
    <cellStyle name="Comma 3 59" xfId="36027" xr:uid="{00000000-0005-0000-0000-000038220000}"/>
    <cellStyle name="Comma 3 6" xfId="34212" xr:uid="{00000000-0005-0000-0000-000039220000}"/>
    <cellStyle name="Comma 3 6 2" xfId="34213" xr:uid="{00000000-0005-0000-0000-00003A220000}"/>
    <cellStyle name="Comma 3 6 3" xfId="34214" xr:uid="{00000000-0005-0000-0000-00003B220000}"/>
    <cellStyle name="Comma 3 6 4" xfId="36028" xr:uid="{00000000-0005-0000-0000-00003C220000}"/>
    <cellStyle name="Comma 3 60" xfId="36029" xr:uid="{00000000-0005-0000-0000-00003D220000}"/>
    <cellStyle name="Comma 3 61" xfId="35973" xr:uid="{00000000-0005-0000-0000-00003E220000}"/>
    <cellStyle name="Comma 3 7" xfId="34215" xr:uid="{00000000-0005-0000-0000-00003F220000}"/>
    <cellStyle name="Comma 3 7 2" xfId="34216" xr:uid="{00000000-0005-0000-0000-000040220000}"/>
    <cellStyle name="Comma 3 7 3" xfId="34217" xr:uid="{00000000-0005-0000-0000-000041220000}"/>
    <cellStyle name="Comma 3 7 4" xfId="36030" xr:uid="{00000000-0005-0000-0000-000042220000}"/>
    <cellStyle name="Comma 3 8" xfId="34218" xr:uid="{00000000-0005-0000-0000-000043220000}"/>
    <cellStyle name="Comma 3 8 2" xfId="34219" xr:uid="{00000000-0005-0000-0000-000044220000}"/>
    <cellStyle name="Comma 3 8 3" xfId="34220" xr:uid="{00000000-0005-0000-0000-000045220000}"/>
    <cellStyle name="Comma 3 8 4" xfId="36031" xr:uid="{00000000-0005-0000-0000-000046220000}"/>
    <cellStyle name="Comma 3 9" xfId="34221" xr:uid="{00000000-0005-0000-0000-000047220000}"/>
    <cellStyle name="Comma 3 9 2" xfId="34222" xr:uid="{00000000-0005-0000-0000-000048220000}"/>
    <cellStyle name="Comma 3 9 3" xfId="34223" xr:uid="{00000000-0005-0000-0000-000049220000}"/>
    <cellStyle name="Comma 3 9 4" xfId="34224" xr:uid="{00000000-0005-0000-0000-00004A220000}"/>
    <cellStyle name="Comma 3 9 5" xfId="34225" xr:uid="{00000000-0005-0000-0000-00004B220000}"/>
    <cellStyle name="Comma 3 9 6" xfId="34226" xr:uid="{00000000-0005-0000-0000-00004C220000}"/>
    <cellStyle name="Comma 3 9 7" xfId="36032" xr:uid="{00000000-0005-0000-0000-00004D220000}"/>
    <cellStyle name="Comma 30" xfId="5454" xr:uid="{00000000-0005-0000-0000-00004E220000}"/>
    <cellStyle name="Comma 30 10" xfId="36034" xr:uid="{00000000-0005-0000-0000-00004F220000}"/>
    <cellStyle name="Comma 30 11" xfId="36035" xr:uid="{00000000-0005-0000-0000-000050220000}"/>
    <cellStyle name="Comma 30 12" xfId="36036" xr:uid="{00000000-0005-0000-0000-000051220000}"/>
    <cellStyle name="Comma 30 13" xfId="36037" xr:uid="{00000000-0005-0000-0000-000052220000}"/>
    <cellStyle name="Comma 30 14" xfId="36038" xr:uid="{00000000-0005-0000-0000-000053220000}"/>
    <cellStyle name="Comma 30 15" xfId="36039" xr:uid="{00000000-0005-0000-0000-000054220000}"/>
    <cellStyle name="Comma 30 16" xfId="36040" xr:uid="{00000000-0005-0000-0000-000055220000}"/>
    <cellStyle name="Comma 30 17" xfId="36041" xr:uid="{00000000-0005-0000-0000-000056220000}"/>
    <cellStyle name="Comma 30 18" xfId="36042" xr:uid="{00000000-0005-0000-0000-000057220000}"/>
    <cellStyle name="Comma 30 19" xfId="36043" xr:uid="{00000000-0005-0000-0000-000058220000}"/>
    <cellStyle name="Comma 30 2" xfId="6716" xr:uid="{00000000-0005-0000-0000-000059220000}"/>
    <cellStyle name="Comma 30 2 2" xfId="7403" xr:uid="{00000000-0005-0000-0000-00005A220000}"/>
    <cellStyle name="Comma 30 2 2 2" xfId="9282" xr:uid="{00000000-0005-0000-0000-00005B220000}"/>
    <cellStyle name="Comma 30 2 2 2 2" xfId="11661" xr:uid="{00000000-0005-0000-0000-00005C220000}"/>
    <cellStyle name="Comma 30 2 2 2 2 2" xfId="12192" xr:uid="{00000000-0005-0000-0000-00005D220000}"/>
    <cellStyle name="Comma 30 2 2 2 2 2 2" xfId="25265" xr:uid="{00000000-0005-0000-0000-00005E220000}"/>
    <cellStyle name="Comma 30 2 2 2 2 3" xfId="12193" xr:uid="{00000000-0005-0000-0000-00005F220000}"/>
    <cellStyle name="Comma 30 2 2 2 2 3 2" xfId="25266" xr:uid="{00000000-0005-0000-0000-000060220000}"/>
    <cellStyle name="Comma 30 2 2 2 2 4" xfId="25031" xr:uid="{00000000-0005-0000-0000-000061220000}"/>
    <cellStyle name="Comma 30 2 2 2 3" xfId="12194" xr:uid="{00000000-0005-0000-0000-000062220000}"/>
    <cellStyle name="Comma 30 2 2 2 3 2" xfId="25267" xr:uid="{00000000-0005-0000-0000-000063220000}"/>
    <cellStyle name="Comma 30 2 2 2 4" xfId="12195" xr:uid="{00000000-0005-0000-0000-000064220000}"/>
    <cellStyle name="Comma 30 2 2 2 4 2" xfId="25268" xr:uid="{00000000-0005-0000-0000-000065220000}"/>
    <cellStyle name="Comma 30 2 2 2 5" xfId="22875" xr:uid="{00000000-0005-0000-0000-000066220000}"/>
    <cellStyle name="Comma 30 2 2 3" xfId="10583" xr:uid="{00000000-0005-0000-0000-000067220000}"/>
    <cellStyle name="Comma 30 2 2 3 2" xfId="12196" xr:uid="{00000000-0005-0000-0000-000068220000}"/>
    <cellStyle name="Comma 30 2 2 3 2 2" xfId="25269" xr:uid="{00000000-0005-0000-0000-000069220000}"/>
    <cellStyle name="Comma 30 2 2 3 3" xfId="12197" xr:uid="{00000000-0005-0000-0000-00006A220000}"/>
    <cellStyle name="Comma 30 2 2 3 3 2" xfId="25270" xr:uid="{00000000-0005-0000-0000-00006B220000}"/>
    <cellStyle name="Comma 30 2 2 3 4" xfId="23953" xr:uid="{00000000-0005-0000-0000-00006C220000}"/>
    <cellStyle name="Comma 30 2 2 4" xfId="12198" xr:uid="{00000000-0005-0000-0000-00006D220000}"/>
    <cellStyle name="Comma 30 2 2 4 2" xfId="25271" xr:uid="{00000000-0005-0000-0000-00006E220000}"/>
    <cellStyle name="Comma 30 2 2 5" xfId="12199" xr:uid="{00000000-0005-0000-0000-00006F220000}"/>
    <cellStyle name="Comma 30 2 2 5 2" xfId="25272" xr:uid="{00000000-0005-0000-0000-000070220000}"/>
    <cellStyle name="Comma 30 2 2 6" xfId="21797" xr:uid="{00000000-0005-0000-0000-000071220000}"/>
    <cellStyle name="Comma 30 2 3" xfId="8736" xr:uid="{00000000-0005-0000-0000-000072220000}"/>
    <cellStyle name="Comma 30 2 3 2" xfId="11121" xr:uid="{00000000-0005-0000-0000-000073220000}"/>
    <cellStyle name="Comma 30 2 3 2 2" xfId="12200" xr:uid="{00000000-0005-0000-0000-000074220000}"/>
    <cellStyle name="Comma 30 2 3 2 2 2" xfId="25273" xr:uid="{00000000-0005-0000-0000-000075220000}"/>
    <cellStyle name="Comma 30 2 3 2 3" xfId="12201" xr:uid="{00000000-0005-0000-0000-000076220000}"/>
    <cellStyle name="Comma 30 2 3 2 3 2" xfId="25274" xr:uid="{00000000-0005-0000-0000-000077220000}"/>
    <cellStyle name="Comma 30 2 3 2 4" xfId="24491" xr:uid="{00000000-0005-0000-0000-000078220000}"/>
    <cellStyle name="Comma 30 2 3 3" xfId="12202" xr:uid="{00000000-0005-0000-0000-000079220000}"/>
    <cellStyle name="Comma 30 2 3 3 2" xfId="25275" xr:uid="{00000000-0005-0000-0000-00007A220000}"/>
    <cellStyle name="Comma 30 2 3 4" xfId="12203" xr:uid="{00000000-0005-0000-0000-00007B220000}"/>
    <cellStyle name="Comma 30 2 3 4 2" xfId="25276" xr:uid="{00000000-0005-0000-0000-00007C220000}"/>
    <cellStyle name="Comma 30 2 3 5" xfId="22335" xr:uid="{00000000-0005-0000-0000-00007D220000}"/>
    <cellStyle name="Comma 30 2 4" xfId="10043" xr:uid="{00000000-0005-0000-0000-00007E220000}"/>
    <cellStyle name="Comma 30 2 4 2" xfId="12204" xr:uid="{00000000-0005-0000-0000-00007F220000}"/>
    <cellStyle name="Comma 30 2 4 2 2" xfId="25277" xr:uid="{00000000-0005-0000-0000-000080220000}"/>
    <cellStyle name="Comma 30 2 4 3" xfId="12205" xr:uid="{00000000-0005-0000-0000-000081220000}"/>
    <cellStyle name="Comma 30 2 4 3 2" xfId="25278" xr:uid="{00000000-0005-0000-0000-000082220000}"/>
    <cellStyle name="Comma 30 2 4 4" xfId="23413" xr:uid="{00000000-0005-0000-0000-000083220000}"/>
    <cellStyle name="Comma 30 2 5" xfId="12206" xr:uid="{00000000-0005-0000-0000-000084220000}"/>
    <cellStyle name="Comma 30 2 5 2" xfId="25279" xr:uid="{00000000-0005-0000-0000-000085220000}"/>
    <cellStyle name="Comma 30 2 6" xfId="12207" xr:uid="{00000000-0005-0000-0000-000086220000}"/>
    <cellStyle name="Comma 30 2 6 2" xfId="25280" xr:uid="{00000000-0005-0000-0000-000087220000}"/>
    <cellStyle name="Comma 30 2 7" xfId="21257" xr:uid="{00000000-0005-0000-0000-000088220000}"/>
    <cellStyle name="Comma 30 2 8" xfId="36044" xr:uid="{00000000-0005-0000-0000-000089220000}"/>
    <cellStyle name="Comma 30 20" xfId="36045" xr:uid="{00000000-0005-0000-0000-00008A220000}"/>
    <cellStyle name="Comma 30 21" xfId="36046" xr:uid="{00000000-0005-0000-0000-00008B220000}"/>
    <cellStyle name="Comma 30 22" xfId="36047" xr:uid="{00000000-0005-0000-0000-00008C220000}"/>
    <cellStyle name="Comma 30 23" xfId="36048" xr:uid="{00000000-0005-0000-0000-00008D220000}"/>
    <cellStyle name="Comma 30 24" xfId="36049" xr:uid="{00000000-0005-0000-0000-00008E220000}"/>
    <cellStyle name="Comma 30 25" xfId="36050" xr:uid="{00000000-0005-0000-0000-00008F220000}"/>
    <cellStyle name="Comma 30 26" xfId="36051" xr:uid="{00000000-0005-0000-0000-000090220000}"/>
    <cellStyle name="Comma 30 27" xfId="36052" xr:uid="{00000000-0005-0000-0000-000091220000}"/>
    <cellStyle name="Comma 30 28" xfId="36053" xr:uid="{00000000-0005-0000-0000-000092220000}"/>
    <cellStyle name="Comma 30 29" xfId="36054" xr:uid="{00000000-0005-0000-0000-000093220000}"/>
    <cellStyle name="Comma 30 3" xfId="7134" xr:uid="{00000000-0005-0000-0000-000094220000}"/>
    <cellStyle name="Comma 30 3 2" xfId="9013" xr:uid="{00000000-0005-0000-0000-000095220000}"/>
    <cellStyle name="Comma 30 3 2 2" xfId="11392" xr:uid="{00000000-0005-0000-0000-000096220000}"/>
    <cellStyle name="Comma 30 3 2 2 2" xfId="12208" xr:uid="{00000000-0005-0000-0000-000097220000}"/>
    <cellStyle name="Comma 30 3 2 2 2 2" xfId="25281" xr:uid="{00000000-0005-0000-0000-000098220000}"/>
    <cellStyle name="Comma 30 3 2 2 3" xfId="12209" xr:uid="{00000000-0005-0000-0000-000099220000}"/>
    <cellStyle name="Comma 30 3 2 2 3 2" xfId="25282" xr:uid="{00000000-0005-0000-0000-00009A220000}"/>
    <cellStyle name="Comma 30 3 2 2 4" xfId="24762" xr:uid="{00000000-0005-0000-0000-00009B220000}"/>
    <cellStyle name="Comma 30 3 2 3" xfId="12210" xr:uid="{00000000-0005-0000-0000-00009C220000}"/>
    <cellStyle name="Comma 30 3 2 3 2" xfId="25283" xr:uid="{00000000-0005-0000-0000-00009D220000}"/>
    <cellStyle name="Comma 30 3 2 4" xfId="12211" xr:uid="{00000000-0005-0000-0000-00009E220000}"/>
    <cellStyle name="Comma 30 3 2 4 2" xfId="25284" xr:uid="{00000000-0005-0000-0000-00009F220000}"/>
    <cellStyle name="Comma 30 3 2 5" xfId="22606" xr:uid="{00000000-0005-0000-0000-0000A0220000}"/>
    <cellStyle name="Comma 30 3 3" xfId="10314" xr:uid="{00000000-0005-0000-0000-0000A1220000}"/>
    <cellStyle name="Comma 30 3 3 2" xfId="12212" xr:uid="{00000000-0005-0000-0000-0000A2220000}"/>
    <cellStyle name="Comma 30 3 3 2 2" xfId="25285" xr:uid="{00000000-0005-0000-0000-0000A3220000}"/>
    <cellStyle name="Comma 30 3 3 3" xfId="12213" xr:uid="{00000000-0005-0000-0000-0000A4220000}"/>
    <cellStyle name="Comma 30 3 3 3 2" xfId="25286" xr:uid="{00000000-0005-0000-0000-0000A5220000}"/>
    <cellStyle name="Comma 30 3 3 4" xfId="23684" xr:uid="{00000000-0005-0000-0000-0000A6220000}"/>
    <cellStyle name="Comma 30 3 4" xfId="12214" xr:uid="{00000000-0005-0000-0000-0000A7220000}"/>
    <cellStyle name="Comma 30 3 4 2" xfId="25287" xr:uid="{00000000-0005-0000-0000-0000A8220000}"/>
    <cellStyle name="Comma 30 3 5" xfId="12215" xr:uid="{00000000-0005-0000-0000-0000A9220000}"/>
    <cellStyle name="Comma 30 3 5 2" xfId="25288" xr:uid="{00000000-0005-0000-0000-0000AA220000}"/>
    <cellStyle name="Comma 30 3 6" xfId="21528" xr:uid="{00000000-0005-0000-0000-0000AB220000}"/>
    <cellStyle name="Comma 30 3 7" xfId="36055" xr:uid="{00000000-0005-0000-0000-0000AC220000}"/>
    <cellStyle name="Comma 30 30" xfId="36056" xr:uid="{00000000-0005-0000-0000-0000AD220000}"/>
    <cellStyle name="Comma 30 31" xfId="36057" xr:uid="{00000000-0005-0000-0000-0000AE220000}"/>
    <cellStyle name="Comma 30 32" xfId="36058" xr:uid="{00000000-0005-0000-0000-0000AF220000}"/>
    <cellStyle name="Comma 30 33" xfId="36059" xr:uid="{00000000-0005-0000-0000-0000B0220000}"/>
    <cellStyle name="Comma 30 34" xfId="36060" xr:uid="{00000000-0005-0000-0000-0000B1220000}"/>
    <cellStyle name="Comma 30 35" xfId="36061" xr:uid="{00000000-0005-0000-0000-0000B2220000}"/>
    <cellStyle name="Comma 30 36" xfId="36062" xr:uid="{00000000-0005-0000-0000-0000B3220000}"/>
    <cellStyle name="Comma 30 37" xfId="36063" xr:uid="{00000000-0005-0000-0000-0000B4220000}"/>
    <cellStyle name="Comma 30 38" xfId="36064" xr:uid="{00000000-0005-0000-0000-0000B5220000}"/>
    <cellStyle name="Comma 30 39" xfId="36065" xr:uid="{00000000-0005-0000-0000-0000B6220000}"/>
    <cellStyle name="Comma 30 4" xfId="8405" xr:uid="{00000000-0005-0000-0000-0000B7220000}"/>
    <cellStyle name="Comma 30 4 2" xfId="10852" xr:uid="{00000000-0005-0000-0000-0000B8220000}"/>
    <cellStyle name="Comma 30 4 2 2" xfId="12216" xr:uid="{00000000-0005-0000-0000-0000B9220000}"/>
    <cellStyle name="Comma 30 4 2 2 2" xfId="25289" xr:uid="{00000000-0005-0000-0000-0000BA220000}"/>
    <cellStyle name="Comma 30 4 2 3" xfId="12217" xr:uid="{00000000-0005-0000-0000-0000BB220000}"/>
    <cellStyle name="Comma 30 4 2 3 2" xfId="25290" xr:uid="{00000000-0005-0000-0000-0000BC220000}"/>
    <cellStyle name="Comma 30 4 2 4" xfId="24222" xr:uid="{00000000-0005-0000-0000-0000BD220000}"/>
    <cellStyle name="Comma 30 4 3" xfId="12218" xr:uid="{00000000-0005-0000-0000-0000BE220000}"/>
    <cellStyle name="Comma 30 4 3 2" xfId="25291" xr:uid="{00000000-0005-0000-0000-0000BF220000}"/>
    <cellStyle name="Comma 30 4 4" xfId="12219" xr:uid="{00000000-0005-0000-0000-0000C0220000}"/>
    <cellStyle name="Comma 30 4 4 2" xfId="25292" xr:uid="{00000000-0005-0000-0000-0000C1220000}"/>
    <cellStyle name="Comma 30 4 5" xfId="22066" xr:uid="{00000000-0005-0000-0000-0000C2220000}"/>
    <cellStyle name="Comma 30 4 6" xfId="36066" xr:uid="{00000000-0005-0000-0000-0000C3220000}"/>
    <cellStyle name="Comma 30 40" xfId="36067" xr:uid="{00000000-0005-0000-0000-0000C4220000}"/>
    <cellStyle name="Comma 30 41" xfId="36068" xr:uid="{00000000-0005-0000-0000-0000C5220000}"/>
    <cellStyle name="Comma 30 42" xfId="36069" xr:uid="{00000000-0005-0000-0000-0000C6220000}"/>
    <cellStyle name="Comma 30 43" xfId="36070" xr:uid="{00000000-0005-0000-0000-0000C7220000}"/>
    <cellStyle name="Comma 30 44" xfId="36071" xr:uid="{00000000-0005-0000-0000-0000C8220000}"/>
    <cellStyle name="Comma 30 45" xfId="36072" xr:uid="{00000000-0005-0000-0000-0000C9220000}"/>
    <cellStyle name="Comma 30 46" xfId="36073" xr:uid="{00000000-0005-0000-0000-0000CA220000}"/>
    <cellStyle name="Comma 30 47" xfId="36074" xr:uid="{00000000-0005-0000-0000-0000CB220000}"/>
    <cellStyle name="Comma 30 48" xfId="36075" xr:uid="{00000000-0005-0000-0000-0000CC220000}"/>
    <cellStyle name="Comma 30 49" xfId="36076" xr:uid="{00000000-0005-0000-0000-0000CD220000}"/>
    <cellStyle name="Comma 30 5" xfId="9774" xr:uid="{00000000-0005-0000-0000-0000CE220000}"/>
    <cellStyle name="Comma 30 5 2" xfId="12220" xr:uid="{00000000-0005-0000-0000-0000CF220000}"/>
    <cellStyle name="Comma 30 5 2 2" xfId="25293" xr:uid="{00000000-0005-0000-0000-0000D0220000}"/>
    <cellStyle name="Comma 30 5 3" xfId="12221" xr:uid="{00000000-0005-0000-0000-0000D1220000}"/>
    <cellStyle name="Comma 30 5 3 2" xfId="25294" xr:uid="{00000000-0005-0000-0000-0000D2220000}"/>
    <cellStyle name="Comma 30 5 4" xfId="23144" xr:uid="{00000000-0005-0000-0000-0000D3220000}"/>
    <cellStyle name="Comma 30 5 5" xfId="36077" xr:uid="{00000000-0005-0000-0000-0000D4220000}"/>
    <cellStyle name="Comma 30 50" xfId="36078" xr:uid="{00000000-0005-0000-0000-0000D5220000}"/>
    <cellStyle name="Comma 30 51" xfId="36079" xr:uid="{00000000-0005-0000-0000-0000D6220000}"/>
    <cellStyle name="Comma 30 52" xfId="36080" xr:uid="{00000000-0005-0000-0000-0000D7220000}"/>
    <cellStyle name="Comma 30 53" xfId="36081" xr:uid="{00000000-0005-0000-0000-0000D8220000}"/>
    <cellStyle name="Comma 30 54" xfId="36082" xr:uid="{00000000-0005-0000-0000-0000D9220000}"/>
    <cellStyle name="Comma 30 55" xfId="36083" xr:uid="{00000000-0005-0000-0000-0000DA220000}"/>
    <cellStyle name="Comma 30 56" xfId="36084" xr:uid="{00000000-0005-0000-0000-0000DB220000}"/>
    <cellStyle name="Comma 30 57" xfId="36085" xr:uid="{00000000-0005-0000-0000-0000DC220000}"/>
    <cellStyle name="Comma 30 58" xfId="36086" xr:uid="{00000000-0005-0000-0000-0000DD220000}"/>
    <cellStyle name="Comma 30 59" xfId="36087" xr:uid="{00000000-0005-0000-0000-0000DE220000}"/>
    <cellStyle name="Comma 30 6" xfId="12222" xr:uid="{00000000-0005-0000-0000-0000DF220000}"/>
    <cellStyle name="Comma 30 6 2" xfId="25295" xr:uid="{00000000-0005-0000-0000-0000E0220000}"/>
    <cellStyle name="Comma 30 6 3" xfId="36088" xr:uid="{00000000-0005-0000-0000-0000E1220000}"/>
    <cellStyle name="Comma 30 60" xfId="36089" xr:uid="{00000000-0005-0000-0000-0000E2220000}"/>
    <cellStyle name="Comma 30 61" xfId="36033" xr:uid="{00000000-0005-0000-0000-0000E3220000}"/>
    <cellStyle name="Comma 30 7" xfId="12223" xr:uid="{00000000-0005-0000-0000-0000E4220000}"/>
    <cellStyle name="Comma 30 7 2" xfId="25296" xr:uid="{00000000-0005-0000-0000-0000E5220000}"/>
    <cellStyle name="Comma 30 7 3" xfId="36090" xr:uid="{00000000-0005-0000-0000-0000E6220000}"/>
    <cellStyle name="Comma 30 8" xfId="20988" xr:uid="{00000000-0005-0000-0000-0000E7220000}"/>
    <cellStyle name="Comma 30 8 2" xfId="36091" xr:uid="{00000000-0005-0000-0000-0000E8220000}"/>
    <cellStyle name="Comma 30 9" xfId="36092" xr:uid="{00000000-0005-0000-0000-0000E9220000}"/>
    <cellStyle name="Comma 31" xfId="4860" xr:uid="{00000000-0005-0000-0000-0000EA220000}"/>
    <cellStyle name="Comma 31 10" xfId="36094" xr:uid="{00000000-0005-0000-0000-0000EB220000}"/>
    <cellStyle name="Comma 31 11" xfId="36095" xr:uid="{00000000-0005-0000-0000-0000EC220000}"/>
    <cellStyle name="Comma 31 12" xfId="36096" xr:uid="{00000000-0005-0000-0000-0000ED220000}"/>
    <cellStyle name="Comma 31 13" xfId="36097" xr:uid="{00000000-0005-0000-0000-0000EE220000}"/>
    <cellStyle name="Comma 31 14" xfId="36098" xr:uid="{00000000-0005-0000-0000-0000EF220000}"/>
    <cellStyle name="Comma 31 15" xfId="36099" xr:uid="{00000000-0005-0000-0000-0000F0220000}"/>
    <cellStyle name="Comma 31 16" xfId="36100" xr:uid="{00000000-0005-0000-0000-0000F1220000}"/>
    <cellStyle name="Comma 31 17" xfId="36101" xr:uid="{00000000-0005-0000-0000-0000F2220000}"/>
    <cellStyle name="Comma 31 18" xfId="36102" xr:uid="{00000000-0005-0000-0000-0000F3220000}"/>
    <cellStyle name="Comma 31 19" xfId="36103" xr:uid="{00000000-0005-0000-0000-0000F4220000}"/>
    <cellStyle name="Comma 31 2" xfId="6671" xr:uid="{00000000-0005-0000-0000-0000F5220000}"/>
    <cellStyle name="Comma 31 2 2" xfId="7360" xr:uid="{00000000-0005-0000-0000-0000F6220000}"/>
    <cellStyle name="Comma 31 2 2 2" xfId="9239" xr:uid="{00000000-0005-0000-0000-0000F7220000}"/>
    <cellStyle name="Comma 31 2 2 2 2" xfId="11618" xr:uid="{00000000-0005-0000-0000-0000F8220000}"/>
    <cellStyle name="Comma 31 2 2 2 2 2" xfId="12224" xr:uid="{00000000-0005-0000-0000-0000F9220000}"/>
    <cellStyle name="Comma 31 2 2 2 2 2 2" xfId="25297" xr:uid="{00000000-0005-0000-0000-0000FA220000}"/>
    <cellStyle name="Comma 31 2 2 2 2 3" xfId="12225" xr:uid="{00000000-0005-0000-0000-0000FB220000}"/>
    <cellStyle name="Comma 31 2 2 2 2 3 2" xfId="25298" xr:uid="{00000000-0005-0000-0000-0000FC220000}"/>
    <cellStyle name="Comma 31 2 2 2 2 4" xfId="24988" xr:uid="{00000000-0005-0000-0000-0000FD220000}"/>
    <cellStyle name="Comma 31 2 2 2 3" xfId="12226" xr:uid="{00000000-0005-0000-0000-0000FE220000}"/>
    <cellStyle name="Comma 31 2 2 2 3 2" xfId="25299" xr:uid="{00000000-0005-0000-0000-0000FF220000}"/>
    <cellStyle name="Comma 31 2 2 2 4" xfId="12227" xr:uid="{00000000-0005-0000-0000-000000230000}"/>
    <cellStyle name="Comma 31 2 2 2 4 2" xfId="25300" xr:uid="{00000000-0005-0000-0000-000001230000}"/>
    <cellStyle name="Comma 31 2 2 2 5" xfId="22832" xr:uid="{00000000-0005-0000-0000-000002230000}"/>
    <cellStyle name="Comma 31 2 2 3" xfId="10540" xr:uid="{00000000-0005-0000-0000-000003230000}"/>
    <cellStyle name="Comma 31 2 2 3 2" xfId="12228" xr:uid="{00000000-0005-0000-0000-000004230000}"/>
    <cellStyle name="Comma 31 2 2 3 2 2" xfId="25301" xr:uid="{00000000-0005-0000-0000-000005230000}"/>
    <cellStyle name="Comma 31 2 2 3 3" xfId="12229" xr:uid="{00000000-0005-0000-0000-000006230000}"/>
    <cellStyle name="Comma 31 2 2 3 3 2" xfId="25302" xr:uid="{00000000-0005-0000-0000-000007230000}"/>
    <cellStyle name="Comma 31 2 2 3 4" xfId="23910" xr:uid="{00000000-0005-0000-0000-000008230000}"/>
    <cellStyle name="Comma 31 2 2 4" xfId="12230" xr:uid="{00000000-0005-0000-0000-000009230000}"/>
    <cellStyle name="Comma 31 2 2 4 2" xfId="25303" xr:uid="{00000000-0005-0000-0000-00000A230000}"/>
    <cellStyle name="Comma 31 2 2 5" xfId="12231" xr:uid="{00000000-0005-0000-0000-00000B230000}"/>
    <cellStyle name="Comma 31 2 2 5 2" xfId="25304" xr:uid="{00000000-0005-0000-0000-00000C230000}"/>
    <cellStyle name="Comma 31 2 2 6" xfId="21754" xr:uid="{00000000-0005-0000-0000-00000D230000}"/>
    <cellStyle name="Comma 31 2 3" xfId="8693" xr:uid="{00000000-0005-0000-0000-00000E230000}"/>
    <cellStyle name="Comma 31 2 3 2" xfId="11078" xr:uid="{00000000-0005-0000-0000-00000F230000}"/>
    <cellStyle name="Comma 31 2 3 2 2" xfId="12232" xr:uid="{00000000-0005-0000-0000-000010230000}"/>
    <cellStyle name="Comma 31 2 3 2 2 2" xfId="25305" xr:uid="{00000000-0005-0000-0000-000011230000}"/>
    <cellStyle name="Comma 31 2 3 2 3" xfId="12233" xr:uid="{00000000-0005-0000-0000-000012230000}"/>
    <cellStyle name="Comma 31 2 3 2 3 2" xfId="25306" xr:uid="{00000000-0005-0000-0000-000013230000}"/>
    <cellStyle name="Comma 31 2 3 2 4" xfId="24448" xr:uid="{00000000-0005-0000-0000-000014230000}"/>
    <cellStyle name="Comma 31 2 3 3" xfId="12234" xr:uid="{00000000-0005-0000-0000-000015230000}"/>
    <cellStyle name="Comma 31 2 3 3 2" xfId="25307" xr:uid="{00000000-0005-0000-0000-000016230000}"/>
    <cellStyle name="Comma 31 2 3 4" xfId="12235" xr:uid="{00000000-0005-0000-0000-000017230000}"/>
    <cellStyle name="Comma 31 2 3 4 2" xfId="25308" xr:uid="{00000000-0005-0000-0000-000018230000}"/>
    <cellStyle name="Comma 31 2 3 5" xfId="22292" xr:uid="{00000000-0005-0000-0000-000019230000}"/>
    <cellStyle name="Comma 31 2 4" xfId="10000" xr:uid="{00000000-0005-0000-0000-00001A230000}"/>
    <cellStyle name="Comma 31 2 4 2" xfId="12236" xr:uid="{00000000-0005-0000-0000-00001B230000}"/>
    <cellStyle name="Comma 31 2 4 2 2" xfId="25309" xr:uid="{00000000-0005-0000-0000-00001C230000}"/>
    <cellStyle name="Comma 31 2 4 3" xfId="12237" xr:uid="{00000000-0005-0000-0000-00001D230000}"/>
    <cellStyle name="Comma 31 2 4 3 2" xfId="25310" xr:uid="{00000000-0005-0000-0000-00001E230000}"/>
    <cellStyle name="Comma 31 2 4 4" xfId="23370" xr:uid="{00000000-0005-0000-0000-00001F230000}"/>
    <cellStyle name="Comma 31 2 5" xfId="12238" xr:uid="{00000000-0005-0000-0000-000020230000}"/>
    <cellStyle name="Comma 31 2 5 2" xfId="25311" xr:uid="{00000000-0005-0000-0000-000021230000}"/>
    <cellStyle name="Comma 31 2 6" xfId="12239" xr:uid="{00000000-0005-0000-0000-000022230000}"/>
    <cellStyle name="Comma 31 2 6 2" xfId="25312" xr:uid="{00000000-0005-0000-0000-000023230000}"/>
    <cellStyle name="Comma 31 2 7" xfId="21214" xr:uid="{00000000-0005-0000-0000-000024230000}"/>
    <cellStyle name="Comma 31 2 8" xfId="36104" xr:uid="{00000000-0005-0000-0000-000025230000}"/>
    <cellStyle name="Comma 31 20" xfId="36105" xr:uid="{00000000-0005-0000-0000-000026230000}"/>
    <cellStyle name="Comma 31 21" xfId="36106" xr:uid="{00000000-0005-0000-0000-000027230000}"/>
    <cellStyle name="Comma 31 22" xfId="36107" xr:uid="{00000000-0005-0000-0000-000028230000}"/>
    <cellStyle name="Comma 31 23" xfId="36108" xr:uid="{00000000-0005-0000-0000-000029230000}"/>
    <cellStyle name="Comma 31 24" xfId="36109" xr:uid="{00000000-0005-0000-0000-00002A230000}"/>
    <cellStyle name="Comma 31 25" xfId="36110" xr:uid="{00000000-0005-0000-0000-00002B230000}"/>
    <cellStyle name="Comma 31 26" xfId="36111" xr:uid="{00000000-0005-0000-0000-00002C230000}"/>
    <cellStyle name="Comma 31 27" xfId="36112" xr:uid="{00000000-0005-0000-0000-00002D230000}"/>
    <cellStyle name="Comma 31 28" xfId="36113" xr:uid="{00000000-0005-0000-0000-00002E230000}"/>
    <cellStyle name="Comma 31 29" xfId="36114" xr:uid="{00000000-0005-0000-0000-00002F230000}"/>
    <cellStyle name="Comma 31 3" xfId="7091" xr:uid="{00000000-0005-0000-0000-000030230000}"/>
    <cellStyle name="Comma 31 3 2" xfId="8970" xr:uid="{00000000-0005-0000-0000-000031230000}"/>
    <cellStyle name="Comma 31 3 2 2" xfId="11349" xr:uid="{00000000-0005-0000-0000-000032230000}"/>
    <cellStyle name="Comma 31 3 2 2 2" xfId="12240" xr:uid="{00000000-0005-0000-0000-000033230000}"/>
    <cellStyle name="Comma 31 3 2 2 2 2" xfId="25313" xr:uid="{00000000-0005-0000-0000-000034230000}"/>
    <cellStyle name="Comma 31 3 2 2 3" xfId="12241" xr:uid="{00000000-0005-0000-0000-000035230000}"/>
    <cellStyle name="Comma 31 3 2 2 3 2" xfId="25314" xr:uid="{00000000-0005-0000-0000-000036230000}"/>
    <cellStyle name="Comma 31 3 2 2 4" xfId="24719" xr:uid="{00000000-0005-0000-0000-000037230000}"/>
    <cellStyle name="Comma 31 3 2 3" xfId="12242" xr:uid="{00000000-0005-0000-0000-000038230000}"/>
    <cellStyle name="Comma 31 3 2 3 2" xfId="25315" xr:uid="{00000000-0005-0000-0000-000039230000}"/>
    <cellStyle name="Comma 31 3 2 4" xfId="12243" xr:uid="{00000000-0005-0000-0000-00003A230000}"/>
    <cellStyle name="Comma 31 3 2 4 2" xfId="25316" xr:uid="{00000000-0005-0000-0000-00003B230000}"/>
    <cellStyle name="Comma 31 3 2 5" xfId="22563" xr:uid="{00000000-0005-0000-0000-00003C230000}"/>
    <cellStyle name="Comma 31 3 3" xfId="10271" xr:uid="{00000000-0005-0000-0000-00003D230000}"/>
    <cellStyle name="Comma 31 3 3 2" xfId="12244" xr:uid="{00000000-0005-0000-0000-00003E230000}"/>
    <cellStyle name="Comma 31 3 3 2 2" xfId="25317" xr:uid="{00000000-0005-0000-0000-00003F230000}"/>
    <cellStyle name="Comma 31 3 3 3" xfId="12245" xr:uid="{00000000-0005-0000-0000-000040230000}"/>
    <cellStyle name="Comma 31 3 3 3 2" xfId="25318" xr:uid="{00000000-0005-0000-0000-000041230000}"/>
    <cellStyle name="Comma 31 3 3 4" xfId="23641" xr:uid="{00000000-0005-0000-0000-000042230000}"/>
    <cellStyle name="Comma 31 3 4" xfId="12246" xr:uid="{00000000-0005-0000-0000-000043230000}"/>
    <cellStyle name="Comma 31 3 4 2" xfId="25319" xr:uid="{00000000-0005-0000-0000-000044230000}"/>
    <cellStyle name="Comma 31 3 5" xfId="12247" xr:uid="{00000000-0005-0000-0000-000045230000}"/>
    <cellStyle name="Comma 31 3 5 2" xfId="25320" xr:uid="{00000000-0005-0000-0000-000046230000}"/>
    <cellStyle name="Comma 31 3 6" xfId="21485" xr:uid="{00000000-0005-0000-0000-000047230000}"/>
    <cellStyle name="Comma 31 3 7" xfId="36115" xr:uid="{00000000-0005-0000-0000-000048230000}"/>
    <cellStyle name="Comma 31 30" xfId="36116" xr:uid="{00000000-0005-0000-0000-000049230000}"/>
    <cellStyle name="Comma 31 31" xfId="36117" xr:uid="{00000000-0005-0000-0000-00004A230000}"/>
    <cellStyle name="Comma 31 32" xfId="36118" xr:uid="{00000000-0005-0000-0000-00004B230000}"/>
    <cellStyle name="Comma 31 33" xfId="36119" xr:uid="{00000000-0005-0000-0000-00004C230000}"/>
    <cellStyle name="Comma 31 34" xfId="36120" xr:uid="{00000000-0005-0000-0000-00004D230000}"/>
    <cellStyle name="Comma 31 35" xfId="36121" xr:uid="{00000000-0005-0000-0000-00004E230000}"/>
    <cellStyle name="Comma 31 36" xfId="36122" xr:uid="{00000000-0005-0000-0000-00004F230000}"/>
    <cellStyle name="Comma 31 37" xfId="36123" xr:uid="{00000000-0005-0000-0000-000050230000}"/>
    <cellStyle name="Comma 31 38" xfId="36124" xr:uid="{00000000-0005-0000-0000-000051230000}"/>
    <cellStyle name="Comma 31 39" xfId="36125" xr:uid="{00000000-0005-0000-0000-000052230000}"/>
    <cellStyle name="Comma 31 4" xfId="8336" xr:uid="{00000000-0005-0000-0000-000053230000}"/>
    <cellStyle name="Comma 31 4 2" xfId="10809" xr:uid="{00000000-0005-0000-0000-000054230000}"/>
    <cellStyle name="Comma 31 4 2 2" xfId="12248" xr:uid="{00000000-0005-0000-0000-000055230000}"/>
    <cellStyle name="Comma 31 4 2 2 2" xfId="25321" xr:uid="{00000000-0005-0000-0000-000056230000}"/>
    <cellStyle name="Comma 31 4 2 3" xfId="12249" xr:uid="{00000000-0005-0000-0000-000057230000}"/>
    <cellStyle name="Comma 31 4 2 3 2" xfId="25322" xr:uid="{00000000-0005-0000-0000-000058230000}"/>
    <cellStyle name="Comma 31 4 2 4" xfId="24179" xr:uid="{00000000-0005-0000-0000-000059230000}"/>
    <cellStyle name="Comma 31 4 3" xfId="12250" xr:uid="{00000000-0005-0000-0000-00005A230000}"/>
    <cellStyle name="Comma 31 4 3 2" xfId="25323" xr:uid="{00000000-0005-0000-0000-00005B230000}"/>
    <cellStyle name="Comma 31 4 4" xfId="12251" xr:uid="{00000000-0005-0000-0000-00005C230000}"/>
    <cellStyle name="Comma 31 4 4 2" xfId="25324" xr:uid="{00000000-0005-0000-0000-00005D230000}"/>
    <cellStyle name="Comma 31 4 5" xfId="22023" xr:uid="{00000000-0005-0000-0000-00005E230000}"/>
    <cellStyle name="Comma 31 4 6" xfId="36126" xr:uid="{00000000-0005-0000-0000-00005F230000}"/>
    <cellStyle name="Comma 31 40" xfId="36127" xr:uid="{00000000-0005-0000-0000-000060230000}"/>
    <cellStyle name="Comma 31 41" xfId="36128" xr:uid="{00000000-0005-0000-0000-000061230000}"/>
    <cellStyle name="Comma 31 42" xfId="36129" xr:uid="{00000000-0005-0000-0000-000062230000}"/>
    <cellStyle name="Comma 31 43" xfId="36130" xr:uid="{00000000-0005-0000-0000-000063230000}"/>
    <cellStyle name="Comma 31 44" xfId="36131" xr:uid="{00000000-0005-0000-0000-000064230000}"/>
    <cellStyle name="Comma 31 45" xfId="36132" xr:uid="{00000000-0005-0000-0000-000065230000}"/>
    <cellStyle name="Comma 31 46" xfId="36133" xr:uid="{00000000-0005-0000-0000-000066230000}"/>
    <cellStyle name="Comma 31 47" xfId="36134" xr:uid="{00000000-0005-0000-0000-000067230000}"/>
    <cellStyle name="Comma 31 48" xfId="36135" xr:uid="{00000000-0005-0000-0000-000068230000}"/>
    <cellStyle name="Comma 31 49" xfId="36136" xr:uid="{00000000-0005-0000-0000-000069230000}"/>
    <cellStyle name="Comma 31 5" xfId="9731" xr:uid="{00000000-0005-0000-0000-00006A230000}"/>
    <cellStyle name="Comma 31 5 2" xfId="12252" xr:uid="{00000000-0005-0000-0000-00006B230000}"/>
    <cellStyle name="Comma 31 5 2 2" xfId="25325" xr:uid="{00000000-0005-0000-0000-00006C230000}"/>
    <cellStyle name="Comma 31 5 3" xfId="12253" xr:uid="{00000000-0005-0000-0000-00006D230000}"/>
    <cellStyle name="Comma 31 5 3 2" xfId="25326" xr:uid="{00000000-0005-0000-0000-00006E230000}"/>
    <cellStyle name="Comma 31 5 4" xfId="23101" xr:uid="{00000000-0005-0000-0000-00006F230000}"/>
    <cellStyle name="Comma 31 5 5" xfId="36137" xr:uid="{00000000-0005-0000-0000-000070230000}"/>
    <cellStyle name="Comma 31 50" xfId="36138" xr:uid="{00000000-0005-0000-0000-000071230000}"/>
    <cellStyle name="Comma 31 51" xfId="36139" xr:uid="{00000000-0005-0000-0000-000072230000}"/>
    <cellStyle name="Comma 31 52" xfId="36140" xr:uid="{00000000-0005-0000-0000-000073230000}"/>
    <cellStyle name="Comma 31 53" xfId="36141" xr:uid="{00000000-0005-0000-0000-000074230000}"/>
    <cellStyle name="Comma 31 54" xfId="36142" xr:uid="{00000000-0005-0000-0000-000075230000}"/>
    <cellStyle name="Comma 31 55" xfId="36143" xr:uid="{00000000-0005-0000-0000-000076230000}"/>
    <cellStyle name="Comma 31 56" xfId="36144" xr:uid="{00000000-0005-0000-0000-000077230000}"/>
    <cellStyle name="Comma 31 57" xfId="36145" xr:uid="{00000000-0005-0000-0000-000078230000}"/>
    <cellStyle name="Comma 31 58" xfId="36146" xr:uid="{00000000-0005-0000-0000-000079230000}"/>
    <cellStyle name="Comma 31 59" xfId="36147" xr:uid="{00000000-0005-0000-0000-00007A230000}"/>
    <cellStyle name="Comma 31 6" xfId="12254" xr:uid="{00000000-0005-0000-0000-00007B230000}"/>
    <cellStyle name="Comma 31 6 2" xfId="25327" xr:uid="{00000000-0005-0000-0000-00007C230000}"/>
    <cellStyle name="Comma 31 6 3" xfId="36148" xr:uid="{00000000-0005-0000-0000-00007D230000}"/>
    <cellStyle name="Comma 31 60" xfId="36149" xr:uid="{00000000-0005-0000-0000-00007E230000}"/>
    <cellStyle name="Comma 31 61" xfId="36093" xr:uid="{00000000-0005-0000-0000-00007F230000}"/>
    <cellStyle name="Comma 31 7" xfId="12255" xr:uid="{00000000-0005-0000-0000-000080230000}"/>
    <cellStyle name="Comma 31 7 2" xfId="25328" xr:uid="{00000000-0005-0000-0000-000081230000}"/>
    <cellStyle name="Comma 31 7 3" xfId="36150" xr:uid="{00000000-0005-0000-0000-000082230000}"/>
    <cellStyle name="Comma 31 8" xfId="20945" xr:uid="{00000000-0005-0000-0000-000083230000}"/>
    <cellStyle name="Comma 31 8 2" xfId="36151" xr:uid="{00000000-0005-0000-0000-000084230000}"/>
    <cellStyle name="Comma 31 9" xfId="36152" xr:uid="{00000000-0005-0000-0000-000085230000}"/>
    <cellStyle name="Comma 32" xfId="6015" xr:uid="{00000000-0005-0000-0000-000086230000}"/>
    <cellStyle name="Comma 32 10" xfId="36154" xr:uid="{00000000-0005-0000-0000-000087230000}"/>
    <cellStyle name="Comma 32 11" xfId="36155" xr:uid="{00000000-0005-0000-0000-000088230000}"/>
    <cellStyle name="Comma 32 12" xfId="36156" xr:uid="{00000000-0005-0000-0000-000089230000}"/>
    <cellStyle name="Comma 32 13" xfId="36157" xr:uid="{00000000-0005-0000-0000-00008A230000}"/>
    <cellStyle name="Comma 32 14" xfId="36158" xr:uid="{00000000-0005-0000-0000-00008B230000}"/>
    <cellStyle name="Comma 32 15" xfId="36159" xr:uid="{00000000-0005-0000-0000-00008C230000}"/>
    <cellStyle name="Comma 32 16" xfId="36160" xr:uid="{00000000-0005-0000-0000-00008D230000}"/>
    <cellStyle name="Comma 32 17" xfId="36161" xr:uid="{00000000-0005-0000-0000-00008E230000}"/>
    <cellStyle name="Comma 32 18" xfId="36162" xr:uid="{00000000-0005-0000-0000-00008F230000}"/>
    <cellStyle name="Comma 32 19" xfId="36163" xr:uid="{00000000-0005-0000-0000-000090230000}"/>
    <cellStyle name="Comma 32 2" xfId="6814" xr:uid="{00000000-0005-0000-0000-000091230000}"/>
    <cellStyle name="Comma 32 2 2" xfId="7499" xr:uid="{00000000-0005-0000-0000-000092230000}"/>
    <cellStyle name="Comma 32 2 2 2" xfId="9378" xr:uid="{00000000-0005-0000-0000-000093230000}"/>
    <cellStyle name="Comma 32 2 2 2 2" xfId="11757" xr:uid="{00000000-0005-0000-0000-000094230000}"/>
    <cellStyle name="Comma 32 2 2 2 2 2" xfId="12256" xr:uid="{00000000-0005-0000-0000-000095230000}"/>
    <cellStyle name="Comma 32 2 2 2 2 2 2" xfId="25329" xr:uid="{00000000-0005-0000-0000-000096230000}"/>
    <cellStyle name="Comma 32 2 2 2 2 3" xfId="12257" xr:uid="{00000000-0005-0000-0000-000097230000}"/>
    <cellStyle name="Comma 32 2 2 2 2 3 2" xfId="25330" xr:uid="{00000000-0005-0000-0000-000098230000}"/>
    <cellStyle name="Comma 32 2 2 2 2 4" xfId="25127" xr:uid="{00000000-0005-0000-0000-000099230000}"/>
    <cellStyle name="Comma 32 2 2 2 3" xfId="12258" xr:uid="{00000000-0005-0000-0000-00009A230000}"/>
    <cellStyle name="Comma 32 2 2 2 3 2" xfId="25331" xr:uid="{00000000-0005-0000-0000-00009B230000}"/>
    <cellStyle name="Comma 32 2 2 2 4" xfId="12259" xr:uid="{00000000-0005-0000-0000-00009C230000}"/>
    <cellStyle name="Comma 32 2 2 2 4 2" xfId="25332" xr:uid="{00000000-0005-0000-0000-00009D230000}"/>
    <cellStyle name="Comma 32 2 2 2 5" xfId="22971" xr:uid="{00000000-0005-0000-0000-00009E230000}"/>
    <cellStyle name="Comma 32 2 2 3" xfId="10679" xr:uid="{00000000-0005-0000-0000-00009F230000}"/>
    <cellStyle name="Comma 32 2 2 3 2" xfId="12260" xr:uid="{00000000-0005-0000-0000-0000A0230000}"/>
    <cellStyle name="Comma 32 2 2 3 2 2" xfId="25333" xr:uid="{00000000-0005-0000-0000-0000A1230000}"/>
    <cellStyle name="Comma 32 2 2 3 3" xfId="12261" xr:uid="{00000000-0005-0000-0000-0000A2230000}"/>
    <cellStyle name="Comma 32 2 2 3 3 2" xfId="25334" xr:uid="{00000000-0005-0000-0000-0000A3230000}"/>
    <cellStyle name="Comma 32 2 2 3 4" xfId="24049" xr:uid="{00000000-0005-0000-0000-0000A4230000}"/>
    <cellStyle name="Comma 32 2 2 4" xfId="12262" xr:uid="{00000000-0005-0000-0000-0000A5230000}"/>
    <cellStyle name="Comma 32 2 2 4 2" xfId="25335" xr:uid="{00000000-0005-0000-0000-0000A6230000}"/>
    <cellStyle name="Comma 32 2 2 5" xfId="12263" xr:uid="{00000000-0005-0000-0000-0000A7230000}"/>
    <cellStyle name="Comma 32 2 2 5 2" xfId="25336" xr:uid="{00000000-0005-0000-0000-0000A8230000}"/>
    <cellStyle name="Comma 32 2 2 6" xfId="21893" xr:uid="{00000000-0005-0000-0000-0000A9230000}"/>
    <cellStyle name="Comma 32 2 3" xfId="8832" xr:uid="{00000000-0005-0000-0000-0000AA230000}"/>
    <cellStyle name="Comma 32 2 3 2" xfId="11217" xr:uid="{00000000-0005-0000-0000-0000AB230000}"/>
    <cellStyle name="Comma 32 2 3 2 2" xfId="12264" xr:uid="{00000000-0005-0000-0000-0000AC230000}"/>
    <cellStyle name="Comma 32 2 3 2 2 2" xfId="25337" xr:uid="{00000000-0005-0000-0000-0000AD230000}"/>
    <cellStyle name="Comma 32 2 3 2 3" xfId="12265" xr:uid="{00000000-0005-0000-0000-0000AE230000}"/>
    <cellStyle name="Comma 32 2 3 2 3 2" xfId="25338" xr:uid="{00000000-0005-0000-0000-0000AF230000}"/>
    <cellStyle name="Comma 32 2 3 2 4" xfId="24587" xr:uid="{00000000-0005-0000-0000-0000B0230000}"/>
    <cellStyle name="Comma 32 2 3 3" xfId="12266" xr:uid="{00000000-0005-0000-0000-0000B1230000}"/>
    <cellStyle name="Comma 32 2 3 3 2" xfId="25339" xr:uid="{00000000-0005-0000-0000-0000B2230000}"/>
    <cellStyle name="Comma 32 2 3 4" xfId="12267" xr:uid="{00000000-0005-0000-0000-0000B3230000}"/>
    <cellStyle name="Comma 32 2 3 4 2" xfId="25340" xr:uid="{00000000-0005-0000-0000-0000B4230000}"/>
    <cellStyle name="Comma 32 2 3 5" xfId="22431" xr:uid="{00000000-0005-0000-0000-0000B5230000}"/>
    <cellStyle name="Comma 32 2 4" xfId="10139" xr:uid="{00000000-0005-0000-0000-0000B6230000}"/>
    <cellStyle name="Comma 32 2 4 2" xfId="12268" xr:uid="{00000000-0005-0000-0000-0000B7230000}"/>
    <cellStyle name="Comma 32 2 4 2 2" xfId="25341" xr:uid="{00000000-0005-0000-0000-0000B8230000}"/>
    <cellStyle name="Comma 32 2 4 3" xfId="12269" xr:uid="{00000000-0005-0000-0000-0000B9230000}"/>
    <cellStyle name="Comma 32 2 4 3 2" xfId="25342" xr:uid="{00000000-0005-0000-0000-0000BA230000}"/>
    <cellStyle name="Comma 32 2 4 4" xfId="23509" xr:uid="{00000000-0005-0000-0000-0000BB230000}"/>
    <cellStyle name="Comma 32 2 5" xfId="12270" xr:uid="{00000000-0005-0000-0000-0000BC230000}"/>
    <cellStyle name="Comma 32 2 5 2" xfId="25343" xr:uid="{00000000-0005-0000-0000-0000BD230000}"/>
    <cellStyle name="Comma 32 2 6" xfId="12271" xr:uid="{00000000-0005-0000-0000-0000BE230000}"/>
    <cellStyle name="Comma 32 2 6 2" xfId="25344" xr:uid="{00000000-0005-0000-0000-0000BF230000}"/>
    <cellStyle name="Comma 32 2 7" xfId="21353" xr:uid="{00000000-0005-0000-0000-0000C0230000}"/>
    <cellStyle name="Comma 32 2 8" xfId="36164" xr:uid="{00000000-0005-0000-0000-0000C1230000}"/>
    <cellStyle name="Comma 32 20" xfId="36165" xr:uid="{00000000-0005-0000-0000-0000C2230000}"/>
    <cellStyle name="Comma 32 21" xfId="36166" xr:uid="{00000000-0005-0000-0000-0000C3230000}"/>
    <cellStyle name="Comma 32 22" xfId="36167" xr:uid="{00000000-0005-0000-0000-0000C4230000}"/>
    <cellStyle name="Comma 32 23" xfId="36168" xr:uid="{00000000-0005-0000-0000-0000C5230000}"/>
    <cellStyle name="Comma 32 24" xfId="36169" xr:uid="{00000000-0005-0000-0000-0000C6230000}"/>
    <cellStyle name="Comma 32 25" xfId="36170" xr:uid="{00000000-0005-0000-0000-0000C7230000}"/>
    <cellStyle name="Comma 32 26" xfId="36171" xr:uid="{00000000-0005-0000-0000-0000C8230000}"/>
    <cellStyle name="Comma 32 27" xfId="36172" xr:uid="{00000000-0005-0000-0000-0000C9230000}"/>
    <cellStyle name="Comma 32 28" xfId="36173" xr:uid="{00000000-0005-0000-0000-0000CA230000}"/>
    <cellStyle name="Comma 32 29" xfId="36174" xr:uid="{00000000-0005-0000-0000-0000CB230000}"/>
    <cellStyle name="Comma 32 3" xfId="7230" xr:uid="{00000000-0005-0000-0000-0000CC230000}"/>
    <cellStyle name="Comma 32 3 2" xfId="9109" xr:uid="{00000000-0005-0000-0000-0000CD230000}"/>
    <cellStyle name="Comma 32 3 2 2" xfId="11488" xr:uid="{00000000-0005-0000-0000-0000CE230000}"/>
    <cellStyle name="Comma 32 3 2 2 2" xfId="12272" xr:uid="{00000000-0005-0000-0000-0000CF230000}"/>
    <cellStyle name="Comma 32 3 2 2 2 2" xfId="25345" xr:uid="{00000000-0005-0000-0000-0000D0230000}"/>
    <cellStyle name="Comma 32 3 2 2 3" xfId="12273" xr:uid="{00000000-0005-0000-0000-0000D1230000}"/>
    <cellStyle name="Comma 32 3 2 2 3 2" xfId="25346" xr:uid="{00000000-0005-0000-0000-0000D2230000}"/>
    <cellStyle name="Comma 32 3 2 2 4" xfId="24858" xr:uid="{00000000-0005-0000-0000-0000D3230000}"/>
    <cellStyle name="Comma 32 3 2 3" xfId="12274" xr:uid="{00000000-0005-0000-0000-0000D4230000}"/>
    <cellStyle name="Comma 32 3 2 3 2" xfId="25347" xr:uid="{00000000-0005-0000-0000-0000D5230000}"/>
    <cellStyle name="Comma 32 3 2 4" xfId="12275" xr:uid="{00000000-0005-0000-0000-0000D6230000}"/>
    <cellStyle name="Comma 32 3 2 4 2" xfId="25348" xr:uid="{00000000-0005-0000-0000-0000D7230000}"/>
    <cellStyle name="Comma 32 3 2 5" xfId="22702" xr:uid="{00000000-0005-0000-0000-0000D8230000}"/>
    <cellStyle name="Comma 32 3 3" xfId="10410" xr:uid="{00000000-0005-0000-0000-0000D9230000}"/>
    <cellStyle name="Comma 32 3 3 2" xfId="12276" xr:uid="{00000000-0005-0000-0000-0000DA230000}"/>
    <cellStyle name="Comma 32 3 3 2 2" xfId="25349" xr:uid="{00000000-0005-0000-0000-0000DB230000}"/>
    <cellStyle name="Comma 32 3 3 3" xfId="12277" xr:uid="{00000000-0005-0000-0000-0000DC230000}"/>
    <cellStyle name="Comma 32 3 3 3 2" xfId="25350" xr:uid="{00000000-0005-0000-0000-0000DD230000}"/>
    <cellStyle name="Comma 32 3 3 4" xfId="23780" xr:uid="{00000000-0005-0000-0000-0000DE230000}"/>
    <cellStyle name="Comma 32 3 4" xfId="12278" xr:uid="{00000000-0005-0000-0000-0000DF230000}"/>
    <cellStyle name="Comma 32 3 4 2" xfId="25351" xr:uid="{00000000-0005-0000-0000-0000E0230000}"/>
    <cellStyle name="Comma 32 3 5" xfId="12279" xr:uid="{00000000-0005-0000-0000-0000E1230000}"/>
    <cellStyle name="Comma 32 3 5 2" xfId="25352" xr:uid="{00000000-0005-0000-0000-0000E2230000}"/>
    <cellStyle name="Comma 32 3 6" xfId="21624" xr:uid="{00000000-0005-0000-0000-0000E3230000}"/>
    <cellStyle name="Comma 32 3 7" xfId="36175" xr:uid="{00000000-0005-0000-0000-0000E4230000}"/>
    <cellStyle name="Comma 32 30" xfId="36176" xr:uid="{00000000-0005-0000-0000-0000E5230000}"/>
    <cellStyle name="Comma 32 31" xfId="36177" xr:uid="{00000000-0005-0000-0000-0000E6230000}"/>
    <cellStyle name="Comma 32 32" xfId="36178" xr:uid="{00000000-0005-0000-0000-0000E7230000}"/>
    <cellStyle name="Comma 32 33" xfId="36179" xr:uid="{00000000-0005-0000-0000-0000E8230000}"/>
    <cellStyle name="Comma 32 34" xfId="36180" xr:uid="{00000000-0005-0000-0000-0000E9230000}"/>
    <cellStyle name="Comma 32 35" xfId="36181" xr:uid="{00000000-0005-0000-0000-0000EA230000}"/>
    <cellStyle name="Comma 32 36" xfId="36182" xr:uid="{00000000-0005-0000-0000-0000EB230000}"/>
    <cellStyle name="Comma 32 37" xfId="36183" xr:uid="{00000000-0005-0000-0000-0000EC230000}"/>
    <cellStyle name="Comma 32 38" xfId="36184" xr:uid="{00000000-0005-0000-0000-0000ED230000}"/>
    <cellStyle name="Comma 32 39" xfId="36185" xr:uid="{00000000-0005-0000-0000-0000EE230000}"/>
    <cellStyle name="Comma 32 4" xfId="8531" xr:uid="{00000000-0005-0000-0000-0000EF230000}"/>
    <cellStyle name="Comma 32 4 2" xfId="10948" xr:uid="{00000000-0005-0000-0000-0000F0230000}"/>
    <cellStyle name="Comma 32 4 2 2" xfId="12280" xr:uid="{00000000-0005-0000-0000-0000F1230000}"/>
    <cellStyle name="Comma 32 4 2 2 2" xfId="25353" xr:uid="{00000000-0005-0000-0000-0000F2230000}"/>
    <cellStyle name="Comma 32 4 2 3" xfId="12281" xr:uid="{00000000-0005-0000-0000-0000F3230000}"/>
    <cellStyle name="Comma 32 4 2 3 2" xfId="25354" xr:uid="{00000000-0005-0000-0000-0000F4230000}"/>
    <cellStyle name="Comma 32 4 2 4" xfId="24318" xr:uid="{00000000-0005-0000-0000-0000F5230000}"/>
    <cellStyle name="Comma 32 4 3" xfId="12282" xr:uid="{00000000-0005-0000-0000-0000F6230000}"/>
    <cellStyle name="Comma 32 4 3 2" xfId="25355" xr:uid="{00000000-0005-0000-0000-0000F7230000}"/>
    <cellStyle name="Comma 32 4 4" xfId="12283" xr:uid="{00000000-0005-0000-0000-0000F8230000}"/>
    <cellStyle name="Comma 32 4 4 2" xfId="25356" xr:uid="{00000000-0005-0000-0000-0000F9230000}"/>
    <cellStyle name="Comma 32 4 5" xfId="22162" xr:uid="{00000000-0005-0000-0000-0000FA230000}"/>
    <cellStyle name="Comma 32 4 6" xfId="36186" xr:uid="{00000000-0005-0000-0000-0000FB230000}"/>
    <cellStyle name="Comma 32 40" xfId="36187" xr:uid="{00000000-0005-0000-0000-0000FC230000}"/>
    <cellStyle name="Comma 32 41" xfId="36188" xr:uid="{00000000-0005-0000-0000-0000FD230000}"/>
    <cellStyle name="Comma 32 42" xfId="36189" xr:uid="{00000000-0005-0000-0000-0000FE230000}"/>
    <cellStyle name="Comma 32 43" xfId="36190" xr:uid="{00000000-0005-0000-0000-0000FF230000}"/>
    <cellStyle name="Comma 32 44" xfId="36191" xr:uid="{00000000-0005-0000-0000-000000240000}"/>
    <cellStyle name="Comma 32 45" xfId="36192" xr:uid="{00000000-0005-0000-0000-000001240000}"/>
    <cellStyle name="Comma 32 46" xfId="36193" xr:uid="{00000000-0005-0000-0000-000002240000}"/>
    <cellStyle name="Comma 32 47" xfId="36194" xr:uid="{00000000-0005-0000-0000-000003240000}"/>
    <cellStyle name="Comma 32 48" xfId="36195" xr:uid="{00000000-0005-0000-0000-000004240000}"/>
    <cellStyle name="Comma 32 49" xfId="36196" xr:uid="{00000000-0005-0000-0000-000005240000}"/>
    <cellStyle name="Comma 32 5" xfId="9870" xr:uid="{00000000-0005-0000-0000-000006240000}"/>
    <cellStyle name="Comma 32 5 2" xfId="12284" xr:uid="{00000000-0005-0000-0000-000007240000}"/>
    <cellStyle name="Comma 32 5 2 2" xfId="25357" xr:uid="{00000000-0005-0000-0000-000008240000}"/>
    <cellStyle name="Comma 32 5 3" xfId="12285" xr:uid="{00000000-0005-0000-0000-000009240000}"/>
    <cellStyle name="Comma 32 5 3 2" xfId="25358" xr:uid="{00000000-0005-0000-0000-00000A240000}"/>
    <cellStyle name="Comma 32 5 4" xfId="23240" xr:uid="{00000000-0005-0000-0000-00000B240000}"/>
    <cellStyle name="Comma 32 5 5" xfId="36197" xr:uid="{00000000-0005-0000-0000-00000C240000}"/>
    <cellStyle name="Comma 32 50" xfId="36198" xr:uid="{00000000-0005-0000-0000-00000D240000}"/>
    <cellStyle name="Comma 32 51" xfId="36199" xr:uid="{00000000-0005-0000-0000-00000E240000}"/>
    <cellStyle name="Comma 32 52" xfId="36200" xr:uid="{00000000-0005-0000-0000-00000F240000}"/>
    <cellStyle name="Comma 32 53" xfId="36201" xr:uid="{00000000-0005-0000-0000-000010240000}"/>
    <cellStyle name="Comma 32 54" xfId="36202" xr:uid="{00000000-0005-0000-0000-000011240000}"/>
    <cellStyle name="Comma 32 55" xfId="36203" xr:uid="{00000000-0005-0000-0000-000012240000}"/>
    <cellStyle name="Comma 32 56" xfId="36204" xr:uid="{00000000-0005-0000-0000-000013240000}"/>
    <cellStyle name="Comma 32 57" xfId="36205" xr:uid="{00000000-0005-0000-0000-000014240000}"/>
    <cellStyle name="Comma 32 58" xfId="36206" xr:uid="{00000000-0005-0000-0000-000015240000}"/>
    <cellStyle name="Comma 32 59" xfId="36207" xr:uid="{00000000-0005-0000-0000-000016240000}"/>
    <cellStyle name="Comma 32 6" xfId="12286" xr:uid="{00000000-0005-0000-0000-000017240000}"/>
    <cellStyle name="Comma 32 6 2" xfId="25359" xr:uid="{00000000-0005-0000-0000-000018240000}"/>
    <cellStyle name="Comma 32 6 3" xfId="36208" xr:uid="{00000000-0005-0000-0000-000019240000}"/>
    <cellStyle name="Comma 32 60" xfId="36209" xr:uid="{00000000-0005-0000-0000-00001A240000}"/>
    <cellStyle name="Comma 32 61" xfId="36153" xr:uid="{00000000-0005-0000-0000-00001B240000}"/>
    <cellStyle name="Comma 32 7" xfId="12287" xr:uid="{00000000-0005-0000-0000-00001C240000}"/>
    <cellStyle name="Comma 32 7 2" xfId="25360" xr:uid="{00000000-0005-0000-0000-00001D240000}"/>
    <cellStyle name="Comma 32 7 3" xfId="36210" xr:uid="{00000000-0005-0000-0000-00001E240000}"/>
    <cellStyle name="Comma 32 8" xfId="21084" xr:uid="{00000000-0005-0000-0000-00001F240000}"/>
    <cellStyle name="Comma 32 8 2" xfId="36211" xr:uid="{00000000-0005-0000-0000-000020240000}"/>
    <cellStyle name="Comma 32 9" xfId="36212" xr:uid="{00000000-0005-0000-0000-000021240000}"/>
    <cellStyle name="Comma 33" xfId="4318" xr:uid="{00000000-0005-0000-0000-000022240000}"/>
    <cellStyle name="Comma 33 2" xfId="6665" xr:uid="{00000000-0005-0000-0000-000023240000}"/>
    <cellStyle name="Comma 33 2 2" xfId="7357" xr:uid="{00000000-0005-0000-0000-000024240000}"/>
    <cellStyle name="Comma 33 2 2 2" xfId="9236" xr:uid="{00000000-0005-0000-0000-000025240000}"/>
    <cellStyle name="Comma 33 2 2 2 2" xfId="11615" xr:uid="{00000000-0005-0000-0000-000026240000}"/>
    <cellStyle name="Comma 33 2 2 2 2 2" xfId="12288" xr:uid="{00000000-0005-0000-0000-000027240000}"/>
    <cellStyle name="Comma 33 2 2 2 2 2 2" xfId="25361" xr:uid="{00000000-0005-0000-0000-000028240000}"/>
    <cellStyle name="Comma 33 2 2 2 2 3" xfId="12289" xr:uid="{00000000-0005-0000-0000-000029240000}"/>
    <cellStyle name="Comma 33 2 2 2 2 3 2" xfId="25362" xr:uid="{00000000-0005-0000-0000-00002A240000}"/>
    <cellStyle name="Comma 33 2 2 2 2 4" xfId="24985" xr:uid="{00000000-0005-0000-0000-00002B240000}"/>
    <cellStyle name="Comma 33 2 2 2 3" xfId="12290" xr:uid="{00000000-0005-0000-0000-00002C240000}"/>
    <cellStyle name="Comma 33 2 2 2 3 2" xfId="25363" xr:uid="{00000000-0005-0000-0000-00002D240000}"/>
    <cellStyle name="Comma 33 2 2 2 4" xfId="12291" xr:uid="{00000000-0005-0000-0000-00002E240000}"/>
    <cellStyle name="Comma 33 2 2 2 4 2" xfId="25364" xr:uid="{00000000-0005-0000-0000-00002F240000}"/>
    <cellStyle name="Comma 33 2 2 2 5" xfId="22829" xr:uid="{00000000-0005-0000-0000-000030240000}"/>
    <cellStyle name="Comma 33 2 2 3" xfId="10537" xr:uid="{00000000-0005-0000-0000-000031240000}"/>
    <cellStyle name="Comma 33 2 2 3 2" xfId="12292" xr:uid="{00000000-0005-0000-0000-000032240000}"/>
    <cellStyle name="Comma 33 2 2 3 2 2" xfId="25365" xr:uid="{00000000-0005-0000-0000-000033240000}"/>
    <cellStyle name="Comma 33 2 2 3 3" xfId="12293" xr:uid="{00000000-0005-0000-0000-000034240000}"/>
    <cellStyle name="Comma 33 2 2 3 3 2" xfId="25366" xr:uid="{00000000-0005-0000-0000-000035240000}"/>
    <cellStyle name="Comma 33 2 2 3 4" xfId="23907" xr:uid="{00000000-0005-0000-0000-000036240000}"/>
    <cellStyle name="Comma 33 2 2 4" xfId="12294" xr:uid="{00000000-0005-0000-0000-000037240000}"/>
    <cellStyle name="Comma 33 2 2 4 2" xfId="25367" xr:uid="{00000000-0005-0000-0000-000038240000}"/>
    <cellStyle name="Comma 33 2 2 5" xfId="12295" xr:uid="{00000000-0005-0000-0000-000039240000}"/>
    <cellStyle name="Comma 33 2 2 5 2" xfId="25368" xr:uid="{00000000-0005-0000-0000-00003A240000}"/>
    <cellStyle name="Comma 33 2 2 6" xfId="21751" xr:uid="{00000000-0005-0000-0000-00003B240000}"/>
    <cellStyle name="Comma 33 2 3" xfId="8690" xr:uid="{00000000-0005-0000-0000-00003C240000}"/>
    <cellStyle name="Comma 33 2 3 2" xfId="11075" xr:uid="{00000000-0005-0000-0000-00003D240000}"/>
    <cellStyle name="Comma 33 2 3 2 2" xfId="12296" xr:uid="{00000000-0005-0000-0000-00003E240000}"/>
    <cellStyle name="Comma 33 2 3 2 2 2" xfId="25369" xr:uid="{00000000-0005-0000-0000-00003F240000}"/>
    <cellStyle name="Comma 33 2 3 2 3" xfId="12297" xr:uid="{00000000-0005-0000-0000-000040240000}"/>
    <cellStyle name="Comma 33 2 3 2 3 2" xfId="25370" xr:uid="{00000000-0005-0000-0000-000041240000}"/>
    <cellStyle name="Comma 33 2 3 2 4" xfId="24445" xr:uid="{00000000-0005-0000-0000-000042240000}"/>
    <cellStyle name="Comma 33 2 3 3" xfId="12298" xr:uid="{00000000-0005-0000-0000-000043240000}"/>
    <cellStyle name="Comma 33 2 3 3 2" xfId="25371" xr:uid="{00000000-0005-0000-0000-000044240000}"/>
    <cellStyle name="Comma 33 2 3 4" xfId="12299" xr:uid="{00000000-0005-0000-0000-000045240000}"/>
    <cellStyle name="Comma 33 2 3 4 2" xfId="25372" xr:uid="{00000000-0005-0000-0000-000046240000}"/>
    <cellStyle name="Comma 33 2 3 5" xfId="22289" xr:uid="{00000000-0005-0000-0000-000047240000}"/>
    <cellStyle name="Comma 33 2 4" xfId="9997" xr:uid="{00000000-0005-0000-0000-000048240000}"/>
    <cellStyle name="Comma 33 2 4 2" xfId="12300" xr:uid="{00000000-0005-0000-0000-000049240000}"/>
    <cellStyle name="Comma 33 2 4 2 2" xfId="25373" xr:uid="{00000000-0005-0000-0000-00004A240000}"/>
    <cellStyle name="Comma 33 2 4 3" xfId="12301" xr:uid="{00000000-0005-0000-0000-00004B240000}"/>
    <cellStyle name="Comma 33 2 4 3 2" xfId="25374" xr:uid="{00000000-0005-0000-0000-00004C240000}"/>
    <cellStyle name="Comma 33 2 4 4" xfId="23367" xr:uid="{00000000-0005-0000-0000-00004D240000}"/>
    <cellStyle name="Comma 33 2 5" xfId="12302" xr:uid="{00000000-0005-0000-0000-00004E240000}"/>
    <cellStyle name="Comma 33 2 5 2" xfId="25375" xr:uid="{00000000-0005-0000-0000-00004F240000}"/>
    <cellStyle name="Comma 33 2 6" xfId="12303" xr:uid="{00000000-0005-0000-0000-000050240000}"/>
    <cellStyle name="Comma 33 2 6 2" xfId="25376" xr:uid="{00000000-0005-0000-0000-000051240000}"/>
    <cellStyle name="Comma 33 2 7" xfId="21211" xr:uid="{00000000-0005-0000-0000-000052240000}"/>
    <cellStyle name="Comma 33 3" xfId="7088" xr:uid="{00000000-0005-0000-0000-000053240000}"/>
    <cellStyle name="Comma 33 3 2" xfId="8967" xr:uid="{00000000-0005-0000-0000-000054240000}"/>
    <cellStyle name="Comma 33 3 2 2" xfId="11346" xr:uid="{00000000-0005-0000-0000-000055240000}"/>
    <cellStyle name="Comma 33 3 2 2 2" xfId="12304" xr:uid="{00000000-0005-0000-0000-000056240000}"/>
    <cellStyle name="Comma 33 3 2 2 2 2" xfId="25377" xr:uid="{00000000-0005-0000-0000-000057240000}"/>
    <cellStyle name="Comma 33 3 2 2 3" xfId="12305" xr:uid="{00000000-0005-0000-0000-000058240000}"/>
    <cellStyle name="Comma 33 3 2 2 3 2" xfId="25378" xr:uid="{00000000-0005-0000-0000-000059240000}"/>
    <cellStyle name="Comma 33 3 2 2 4" xfId="24716" xr:uid="{00000000-0005-0000-0000-00005A240000}"/>
    <cellStyle name="Comma 33 3 2 3" xfId="12306" xr:uid="{00000000-0005-0000-0000-00005B240000}"/>
    <cellStyle name="Comma 33 3 2 3 2" xfId="25379" xr:uid="{00000000-0005-0000-0000-00005C240000}"/>
    <cellStyle name="Comma 33 3 2 4" xfId="12307" xr:uid="{00000000-0005-0000-0000-00005D240000}"/>
    <cellStyle name="Comma 33 3 2 4 2" xfId="25380" xr:uid="{00000000-0005-0000-0000-00005E240000}"/>
    <cellStyle name="Comma 33 3 2 5" xfId="22560" xr:uid="{00000000-0005-0000-0000-00005F240000}"/>
    <cellStyle name="Comma 33 3 3" xfId="10268" xr:uid="{00000000-0005-0000-0000-000060240000}"/>
    <cellStyle name="Comma 33 3 3 2" xfId="12308" xr:uid="{00000000-0005-0000-0000-000061240000}"/>
    <cellStyle name="Comma 33 3 3 2 2" xfId="25381" xr:uid="{00000000-0005-0000-0000-000062240000}"/>
    <cellStyle name="Comma 33 3 3 3" xfId="12309" xr:uid="{00000000-0005-0000-0000-000063240000}"/>
    <cellStyle name="Comma 33 3 3 3 2" xfId="25382" xr:uid="{00000000-0005-0000-0000-000064240000}"/>
    <cellStyle name="Comma 33 3 3 4" xfId="23638" xr:uid="{00000000-0005-0000-0000-000065240000}"/>
    <cellStyle name="Comma 33 3 4" xfId="12310" xr:uid="{00000000-0005-0000-0000-000066240000}"/>
    <cellStyle name="Comma 33 3 4 2" xfId="25383" xr:uid="{00000000-0005-0000-0000-000067240000}"/>
    <cellStyle name="Comma 33 3 5" xfId="12311" xr:uid="{00000000-0005-0000-0000-000068240000}"/>
    <cellStyle name="Comma 33 3 5 2" xfId="25384" xr:uid="{00000000-0005-0000-0000-000069240000}"/>
    <cellStyle name="Comma 33 3 6" xfId="21482" xr:uid="{00000000-0005-0000-0000-00006A240000}"/>
    <cellStyle name="Comma 33 4" xfId="8306" xr:uid="{00000000-0005-0000-0000-00006B240000}"/>
    <cellStyle name="Comma 33 4 2" xfId="10806" xr:uid="{00000000-0005-0000-0000-00006C240000}"/>
    <cellStyle name="Comma 33 4 2 2" xfId="12312" xr:uid="{00000000-0005-0000-0000-00006D240000}"/>
    <cellStyle name="Comma 33 4 2 2 2" xfId="25385" xr:uid="{00000000-0005-0000-0000-00006E240000}"/>
    <cellStyle name="Comma 33 4 2 3" xfId="12313" xr:uid="{00000000-0005-0000-0000-00006F240000}"/>
    <cellStyle name="Comma 33 4 2 3 2" xfId="25386" xr:uid="{00000000-0005-0000-0000-000070240000}"/>
    <cellStyle name="Comma 33 4 2 4" xfId="24176" xr:uid="{00000000-0005-0000-0000-000071240000}"/>
    <cellStyle name="Comma 33 4 3" xfId="12314" xr:uid="{00000000-0005-0000-0000-000072240000}"/>
    <cellStyle name="Comma 33 4 3 2" xfId="25387" xr:uid="{00000000-0005-0000-0000-000073240000}"/>
    <cellStyle name="Comma 33 4 4" xfId="12315" xr:uid="{00000000-0005-0000-0000-000074240000}"/>
    <cellStyle name="Comma 33 4 4 2" xfId="25388" xr:uid="{00000000-0005-0000-0000-000075240000}"/>
    <cellStyle name="Comma 33 4 5" xfId="22020" xr:uid="{00000000-0005-0000-0000-000076240000}"/>
    <cellStyle name="Comma 33 5" xfId="9728" xr:uid="{00000000-0005-0000-0000-000077240000}"/>
    <cellStyle name="Comma 33 5 2" xfId="12316" xr:uid="{00000000-0005-0000-0000-000078240000}"/>
    <cellStyle name="Comma 33 5 2 2" xfId="25389" xr:uid="{00000000-0005-0000-0000-000079240000}"/>
    <cellStyle name="Comma 33 5 3" xfId="12317" xr:uid="{00000000-0005-0000-0000-00007A240000}"/>
    <cellStyle name="Comma 33 5 3 2" xfId="25390" xr:uid="{00000000-0005-0000-0000-00007B240000}"/>
    <cellStyle name="Comma 33 5 4" xfId="23098" xr:uid="{00000000-0005-0000-0000-00007C240000}"/>
    <cellStyle name="Comma 33 6" xfId="12318" xr:uid="{00000000-0005-0000-0000-00007D240000}"/>
    <cellStyle name="Comma 33 6 2" xfId="25391" xr:uid="{00000000-0005-0000-0000-00007E240000}"/>
    <cellStyle name="Comma 33 7" xfId="12319" xr:uid="{00000000-0005-0000-0000-00007F240000}"/>
    <cellStyle name="Comma 33 7 2" xfId="25392" xr:uid="{00000000-0005-0000-0000-000080240000}"/>
    <cellStyle name="Comma 33 8" xfId="20942" xr:uid="{00000000-0005-0000-0000-000081240000}"/>
    <cellStyle name="Comma 34" xfId="5373" xr:uid="{00000000-0005-0000-0000-000082240000}"/>
    <cellStyle name="Comma 34 2" xfId="6701" xr:uid="{00000000-0005-0000-0000-000083240000}"/>
    <cellStyle name="Comma 34 2 2" xfId="7388" xr:uid="{00000000-0005-0000-0000-000084240000}"/>
    <cellStyle name="Comma 34 2 2 2" xfId="9267" xr:uid="{00000000-0005-0000-0000-000085240000}"/>
    <cellStyle name="Comma 34 2 2 2 2" xfId="11646" xr:uid="{00000000-0005-0000-0000-000086240000}"/>
    <cellStyle name="Comma 34 2 2 2 2 2" xfId="12320" xr:uid="{00000000-0005-0000-0000-000087240000}"/>
    <cellStyle name="Comma 34 2 2 2 2 2 2" xfId="25393" xr:uid="{00000000-0005-0000-0000-000088240000}"/>
    <cellStyle name="Comma 34 2 2 2 2 3" xfId="12321" xr:uid="{00000000-0005-0000-0000-000089240000}"/>
    <cellStyle name="Comma 34 2 2 2 2 3 2" xfId="25394" xr:uid="{00000000-0005-0000-0000-00008A240000}"/>
    <cellStyle name="Comma 34 2 2 2 2 4" xfId="25016" xr:uid="{00000000-0005-0000-0000-00008B240000}"/>
    <cellStyle name="Comma 34 2 2 2 3" xfId="12322" xr:uid="{00000000-0005-0000-0000-00008C240000}"/>
    <cellStyle name="Comma 34 2 2 2 3 2" xfId="25395" xr:uid="{00000000-0005-0000-0000-00008D240000}"/>
    <cellStyle name="Comma 34 2 2 2 4" xfId="12323" xr:uid="{00000000-0005-0000-0000-00008E240000}"/>
    <cellStyle name="Comma 34 2 2 2 4 2" xfId="25396" xr:uid="{00000000-0005-0000-0000-00008F240000}"/>
    <cellStyle name="Comma 34 2 2 2 5" xfId="22860" xr:uid="{00000000-0005-0000-0000-000090240000}"/>
    <cellStyle name="Comma 34 2 2 3" xfId="10568" xr:uid="{00000000-0005-0000-0000-000091240000}"/>
    <cellStyle name="Comma 34 2 2 3 2" xfId="12324" xr:uid="{00000000-0005-0000-0000-000092240000}"/>
    <cellStyle name="Comma 34 2 2 3 2 2" xfId="25397" xr:uid="{00000000-0005-0000-0000-000093240000}"/>
    <cellStyle name="Comma 34 2 2 3 3" xfId="12325" xr:uid="{00000000-0005-0000-0000-000094240000}"/>
    <cellStyle name="Comma 34 2 2 3 3 2" xfId="25398" xr:uid="{00000000-0005-0000-0000-000095240000}"/>
    <cellStyle name="Comma 34 2 2 3 4" xfId="23938" xr:uid="{00000000-0005-0000-0000-000096240000}"/>
    <cellStyle name="Comma 34 2 2 4" xfId="12326" xr:uid="{00000000-0005-0000-0000-000097240000}"/>
    <cellStyle name="Comma 34 2 2 4 2" xfId="25399" xr:uid="{00000000-0005-0000-0000-000098240000}"/>
    <cellStyle name="Comma 34 2 2 5" xfId="12327" xr:uid="{00000000-0005-0000-0000-000099240000}"/>
    <cellStyle name="Comma 34 2 2 5 2" xfId="25400" xr:uid="{00000000-0005-0000-0000-00009A240000}"/>
    <cellStyle name="Comma 34 2 2 6" xfId="21782" xr:uid="{00000000-0005-0000-0000-00009B240000}"/>
    <cellStyle name="Comma 34 2 3" xfId="8721" xr:uid="{00000000-0005-0000-0000-00009C240000}"/>
    <cellStyle name="Comma 34 2 3 2" xfId="11106" xr:uid="{00000000-0005-0000-0000-00009D240000}"/>
    <cellStyle name="Comma 34 2 3 2 2" xfId="12328" xr:uid="{00000000-0005-0000-0000-00009E240000}"/>
    <cellStyle name="Comma 34 2 3 2 2 2" xfId="25401" xr:uid="{00000000-0005-0000-0000-00009F240000}"/>
    <cellStyle name="Comma 34 2 3 2 3" xfId="12329" xr:uid="{00000000-0005-0000-0000-0000A0240000}"/>
    <cellStyle name="Comma 34 2 3 2 3 2" xfId="25402" xr:uid="{00000000-0005-0000-0000-0000A1240000}"/>
    <cellStyle name="Comma 34 2 3 2 4" xfId="24476" xr:uid="{00000000-0005-0000-0000-0000A2240000}"/>
    <cellStyle name="Comma 34 2 3 3" xfId="12330" xr:uid="{00000000-0005-0000-0000-0000A3240000}"/>
    <cellStyle name="Comma 34 2 3 3 2" xfId="25403" xr:uid="{00000000-0005-0000-0000-0000A4240000}"/>
    <cellStyle name="Comma 34 2 3 4" xfId="12331" xr:uid="{00000000-0005-0000-0000-0000A5240000}"/>
    <cellStyle name="Comma 34 2 3 4 2" xfId="25404" xr:uid="{00000000-0005-0000-0000-0000A6240000}"/>
    <cellStyle name="Comma 34 2 3 5" xfId="22320" xr:uid="{00000000-0005-0000-0000-0000A7240000}"/>
    <cellStyle name="Comma 34 2 4" xfId="10028" xr:uid="{00000000-0005-0000-0000-0000A8240000}"/>
    <cellStyle name="Comma 34 2 4 2" xfId="12332" xr:uid="{00000000-0005-0000-0000-0000A9240000}"/>
    <cellStyle name="Comma 34 2 4 2 2" xfId="25405" xr:uid="{00000000-0005-0000-0000-0000AA240000}"/>
    <cellStyle name="Comma 34 2 4 3" xfId="12333" xr:uid="{00000000-0005-0000-0000-0000AB240000}"/>
    <cellStyle name="Comma 34 2 4 3 2" xfId="25406" xr:uid="{00000000-0005-0000-0000-0000AC240000}"/>
    <cellStyle name="Comma 34 2 4 4" xfId="23398" xr:uid="{00000000-0005-0000-0000-0000AD240000}"/>
    <cellStyle name="Comma 34 2 5" xfId="12334" xr:uid="{00000000-0005-0000-0000-0000AE240000}"/>
    <cellStyle name="Comma 34 2 5 2" xfId="25407" xr:uid="{00000000-0005-0000-0000-0000AF240000}"/>
    <cellStyle name="Comma 34 2 6" xfId="12335" xr:uid="{00000000-0005-0000-0000-0000B0240000}"/>
    <cellStyle name="Comma 34 2 6 2" xfId="25408" xr:uid="{00000000-0005-0000-0000-0000B1240000}"/>
    <cellStyle name="Comma 34 2 7" xfId="21242" xr:uid="{00000000-0005-0000-0000-0000B2240000}"/>
    <cellStyle name="Comma 34 3" xfId="7119" xr:uid="{00000000-0005-0000-0000-0000B3240000}"/>
    <cellStyle name="Comma 34 3 2" xfId="8998" xr:uid="{00000000-0005-0000-0000-0000B4240000}"/>
    <cellStyle name="Comma 34 3 2 2" xfId="11377" xr:uid="{00000000-0005-0000-0000-0000B5240000}"/>
    <cellStyle name="Comma 34 3 2 2 2" xfId="12336" xr:uid="{00000000-0005-0000-0000-0000B6240000}"/>
    <cellStyle name="Comma 34 3 2 2 2 2" xfId="25409" xr:uid="{00000000-0005-0000-0000-0000B7240000}"/>
    <cellStyle name="Comma 34 3 2 2 3" xfId="12337" xr:uid="{00000000-0005-0000-0000-0000B8240000}"/>
    <cellStyle name="Comma 34 3 2 2 3 2" xfId="25410" xr:uid="{00000000-0005-0000-0000-0000B9240000}"/>
    <cellStyle name="Comma 34 3 2 2 4" xfId="24747" xr:uid="{00000000-0005-0000-0000-0000BA240000}"/>
    <cellStyle name="Comma 34 3 2 3" xfId="12338" xr:uid="{00000000-0005-0000-0000-0000BB240000}"/>
    <cellStyle name="Comma 34 3 2 3 2" xfId="25411" xr:uid="{00000000-0005-0000-0000-0000BC240000}"/>
    <cellStyle name="Comma 34 3 2 4" xfId="12339" xr:uid="{00000000-0005-0000-0000-0000BD240000}"/>
    <cellStyle name="Comma 34 3 2 4 2" xfId="25412" xr:uid="{00000000-0005-0000-0000-0000BE240000}"/>
    <cellStyle name="Comma 34 3 2 5" xfId="22591" xr:uid="{00000000-0005-0000-0000-0000BF240000}"/>
    <cellStyle name="Comma 34 3 3" xfId="10299" xr:uid="{00000000-0005-0000-0000-0000C0240000}"/>
    <cellStyle name="Comma 34 3 3 2" xfId="12340" xr:uid="{00000000-0005-0000-0000-0000C1240000}"/>
    <cellStyle name="Comma 34 3 3 2 2" xfId="25413" xr:uid="{00000000-0005-0000-0000-0000C2240000}"/>
    <cellStyle name="Comma 34 3 3 3" xfId="12341" xr:uid="{00000000-0005-0000-0000-0000C3240000}"/>
    <cellStyle name="Comma 34 3 3 3 2" xfId="25414" xr:uid="{00000000-0005-0000-0000-0000C4240000}"/>
    <cellStyle name="Comma 34 3 3 4" xfId="23669" xr:uid="{00000000-0005-0000-0000-0000C5240000}"/>
    <cellStyle name="Comma 34 3 4" xfId="12342" xr:uid="{00000000-0005-0000-0000-0000C6240000}"/>
    <cellStyle name="Comma 34 3 4 2" xfId="25415" xr:uid="{00000000-0005-0000-0000-0000C7240000}"/>
    <cellStyle name="Comma 34 3 5" xfId="12343" xr:uid="{00000000-0005-0000-0000-0000C8240000}"/>
    <cellStyle name="Comma 34 3 5 2" xfId="25416" xr:uid="{00000000-0005-0000-0000-0000C9240000}"/>
    <cellStyle name="Comma 34 3 6" xfId="21513" xr:uid="{00000000-0005-0000-0000-0000CA240000}"/>
    <cellStyle name="Comma 34 4" xfId="8386" xr:uid="{00000000-0005-0000-0000-0000CB240000}"/>
    <cellStyle name="Comma 34 4 2" xfId="10837" xr:uid="{00000000-0005-0000-0000-0000CC240000}"/>
    <cellStyle name="Comma 34 4 2 2" xfId="12344" xr:uid="{00000000-0005-0000-0000-0000CD240000}"/>
    <cellStyle name="Comma 34 4 2 2 2" xfId="25417" xr:uid="{00000000-0005-0000-0000-0000CE240000}"/>
    <cellStyle name="Comma 34 4 2 3" xfId="12345" xr:uid="{00000000-0005-0000-0000-0000CF240000}"/>
    <cellStyle name="Comma 34 4 2 3 2" xfId="25418" xr:uid="{00000000-0005-0000-0000-0000D0240000}"/>
    <cellStyle name="Comma 34 4 2 4" xfId="24207" xr:uid="{00000000-0005-0000-0000-0000D1240000}"/>
    <cellStyle name="Comma 34 4 3" xfId="12346" xr:uid="{00000000-0005-0000-0000-0000D2240000}"/>
    <cellStyle name="Comma 34 4 3 2" xfId="25419" xr:uid="{00000000-0005-0000-0000-0000D3240000}"/>
    <cellStyle name="Comma 34 4 4" xfId="12347" xr:uid="{00000000-0005-0000-0000-0000D4240000}"/>
    <cellStyle name="Comma 34 4 4 2" xfId="25420" xr:uid="{00000000-0005-0000-0000-0000D5240000}"/>
    <cellStyle name="Comma 34 4 5" xfId="22051" xr:uid="{00000000-0005-0000-0000-0000D6240000}"/>
    <cellStyle name="Comma 34 5" xfId="9759" xr:uid="{00000000-0005-0000-0000-0000D7240000}"/>
    <cellStyle name="Comma 34 5 2" xfId="12348" xr:uid="{00000000-0005-0000-0000-0000D8240000}"/>
    <cellStyle name="Comma 34 5 2 2" xfId="25421" xr:uid="{00000000-0005-0000-0000-0000D9240000}"/>
    <cellStyle name="Comma 34 5 3" xfId="12349" xr:uid="{00000000-0005-0000-0000-0000DA240000}"/>
    <cellStyle name="Comma 34 5 3 2" xfId="25422" xr:uid="{00000000-0005-0000-0000-0000DB240000}"/>
    <cellStyle name="Comma 34 5 4" xfId="23129" xr:uid="{00000000-0005-0000-0000-0000DC240000}"/>
    <cellStyle name="Comma 34 6" xfId="12350" xr:uid="{00000000-0005-0000-0000-0000DD240000}"/>
    <cellStyle name="Comma 34 6 2" xfId="25423" xr:uid="{00000000-0005-0000-0000-0000DE240000}"/>
    <cellStyle name="Comma 34 7" xfId="12351" xr:uid="{00000000-0005-0000-0000-0000DF240000}"/>
    <cellStyle name="Comma 34 7 2" xfId="25424" xr:uid="{00000000-0005-0000-0000-0000E0240000}"/>
    <cellStyle name="Comma 34 8" xfId="20973" xr:uid="{00000000-0005-0000-0000-0000E1240000}"/>
    <cellStyle name="Comma 35" xfId="5066" xr:uid="{00000000-0005-0000-0000-0000E2240000}"/>
    <cellStyle name="Comma 35 2" xfId="6684" xr:uid="{00000000-0005-0000-0000-0000E3240000}"/>
    <cellStyle name="Comma 35 2 2" xfId="7373" xr:uid="{00000000-0005-0000-0000-0000E4240000}"/>
    <cellStyle name="Comma 35 2 2 2" xfId="9252" xr:uid="{00000000-0005-0000-0000-0000E5240000}"/>
    <cellStyle name="Comma 35 2 2 2 2" xfId="11631" xr:uid="{00000000-0005-0000-0000-0000E6240000}"/>
    <cellStyle name="Comma 35 2 2 2 2 2" xfId="12352" xr:uid="{00000000-0005-0000-0000-0000E7240000}"/>
    <cellStyle name="Comma 35 2 2 2 2 2 2" xfId="25425" xr:uid="{00000000-0005-0000-0000-0000E8240000}"/>
    <cellStyle name="Comma 35 2 2 2 2 3" xfId="12353" xr:uid="{00000000-0005-0000-0000-0000E9240000}"/>
    <cellStyle name="Comma 35 2 2 2 2 3 2" xfId="25426" xr:uid="{00000000-0005-0000-0000-0000EA240000}"/>
    <cellStyle name="Comma 35 2 2 2 2 4" xfId="25001" xr:uid="{00000000-0005-0000-0000-0000EB240000}"/>
    <cellStyle name="Comma 35 2 2 2 3" xfId="12354" xr:uid="{00000000-0005-0000-0000-0000EC240000}"/>
    <cellStyle name="Comma 35 2 2 2 3 2" xfId="25427" xr:uid="{00000000-0005-0000-0000-0000ED240000}"/>
    <cellStyle name="Comma 35 2 2 2 4" xfId="12355" xr:uid="{00000000-0005-0000-0000-0000EE240000}"/>
    <cellStyle name="Comma 35 2 2 2 4 2" xfId="25428" xr:uid="{00000000-0005-0000-0000-0000EF240000}"/>
    <cellStyle name="Comma 35 2 2 2 5" xfId="22845" xr:uid="{00000000-0005-0000-0000-0000F0240000}"/>
    <cellStyle name="Comma 35 2 2 3" xfId="10553" xr:uid="{00000000-0005-0000-0000-0000F1240000}"/>
    <cellStyle name="Comma 35 2 2 3 2" xfId="12356" xr:uid="{00000000-0005-0000-0000-0000F2240000}"/>
    <cellStyle name="Comma 35 2 2 3 2 2" xfId="25429" xr:uid="{00000000-0005-0000-0000-0000F3240000}"/>
    <cellStyle name="Comma 35 2 2 3 3" xfId="12357" xr:uid="{00000000-0005-0000-0000-0000F4240000}"/>
    <cellStyle name="Comma 35 2 2 3 3 2" xfId="25430" xr:uid="{00000000-0005-0000-0000-0000F5240000}"/>
    <cellStyle name="Comma 35 2 2 3 4" xfId="23923" xr:uid="{00000000-0005-0000-0000-0000F6240000}"/>
    <cellStyle name="Comma 35 2 2 4" xfId="12358" xr:uid="{00000000-0005-0000-0000-0000F7240000}"/>
    <cellStyle name="Comma 35 2 2 4 2" xfId="25431" xr:uid="{00000000-0005-0000-0000-0000F8240000}"/>
    <cellStyle name="Comma 35 2 2 5" xfId="12359" xr:uid="{00000000-0005-0000-0000-0000F9240000}"/>
    <cellStyle name="Comma 35 2 2 5 2" xfId="25432" xr:uid="{00000000-0005-0000-0000-0000FA240000}"/>
    <cellStyle name="Comma 35 2 2 6" xfId="21767" xr:uid="{00000000-0005-0000-0000-0000FB240000}"/>
    <cellStyle name="Comma 35 2 3" xfId="8706" xr:uid="{00000000-0005-0000-0000-0000FC240000}"/>
    <cellStyle name="Comma 35 2 3 2" xfId="11091" xr:uid="{00000000-0005-0000-0000-0000FD240000}"/>
    <cellStyle name="Comma 35 2 3 2 2" xfId="12360" xr:uid="{00000000-0005-0000-0000-0000FE240000}"/>
    <cellStyle name="Comma 35 2 3 2 2 2" xfId="25433" xr:uid="{00000000-0005-0000-0000-0000FF240000}"/>
    <cellStyle name="Comma 35 2 3 2 3" xfId="12361" xr:uid="{00000000-0005-0000-0000-000000250000}"/>
    <cellStyle name="Comma 35 2 3 2 3 2" xfId="25434" xr:uid="{00000000-0005-0000-0000-000001250000}"/>
    <cellStyle name="Comma 35 2 3 2 4" xfId="24461" xr:uid="{00000000-0005-0000-0000-000002250000}"/>
    <cellStyle name="Comma 35 2 3 3" xfId="12362" xr:uid="{00000000-0005-0000-0000-000003250000}"/>
    <cellStyle name="Comma 35 2 3 3 2" xfId="25435" xr:uid="{00000000-0005-0000-0000-000004250000}"/>
    <cellStyle name="Comma 35 2 3 4" xfId="12363" xr:uid="{00000000-0005-0000-0000-000005250000}"/>
    <cellStyle name="Comma 35 2 3 4 2" xfId="25436" xr:uid="{00000000-0005-0000-0000-000006250000}"/>
    <cellStyle name="Comma 35 2 3 5" xfId="22305" xr:uid="{00000000-0005-0000-0000-000007250000}"/>
    <cellStyle name="Comma 35 2 4" xfId="10013" xr:uid="{00000000-0005-0000-0000-000008250000}"/>
    <cellStyle name="Comma 35 2 4 2" xfId="12364" xr:uid="{00000000-0005-0000-0000-000009250000}"/>
    <cellStyle name="Comma 35 2 4 2 2" xfId="25437" xr:uid="{00000000-0005-0000-0000-00000A250000}"/>
    <cellStyle name="Comma 35 2 4 3" xfId="12365" xr:uid="{00000000-0005-0000-0000-00000B250000}"/>
    <cellStyle name="Comma 35 2 4 3 2" xfId="25438" xr:uid="{00000000-0005-0000-0000-00000C250000}"/>
    <cellStyle name="Comma 35 2 4 4" xfId="23383" xr:uid="{00000000-0005-0000-0000-00000D250000}"/>
    <cellStyle name="Comma 35 2 5" xfId="12366" xr:uid="{00000000-0005-0000-0000-00000E250000}"/>
    <cellStyle name="Comma 35 2 5 2" xfId="25439" xr:uid="{00000000-0005-0000-0000-00000F250000}"/>
    <cellStyle name="Comma 35 2 6" xfId="12367" xr:uid="{00000000-0005-0000-0000-000010250000}"/>
    <cellStyle name="Comma 35 2 6 2" xfId="25440" xr:uid="{00000000-0005-0000-0000-000011250000}"/>
    <cellStyle name="Comma 35 2 7" xfId="21227" xr:uid="{00000000-0005-0000-0000-000012250000}"/>
    <cellStyle name="Comma 35 3" xfId="7104" xr:uid="{00000000-0005-0000-0000-000013250000}"/>
    <cellStyle name="Comma 35 3 2" xfId="8983" xr:uid="{00000000-0005-0000-0000-000014250000}"/>
    <cellStyle name="Comma 35 3 2 2" xfId="11362" xr:uid="{00000000-0005-0000-0000-000015250000}"/>
    <cellStyle name="Comma 35 3 2 2 2" xfId="12368" xr:uid="{00000000-0005-0000-0000-000016250000}"/>
    <cellStyle name="Comma 35 3 2 2 2 2" xfId="25441" xr:uid="{00000000-0005-0000-0000-000017250000}"/>
    <cellStyle name="Comma 35 3 2 2 3" xfId="12369" xr:uid="{00000000-0005-0000-0000-000018250000}"/>
    <cellStyle name="Comma 35 3 2 2 3 2" xfId="25442" xr:uid="{00000000-0005-0000-0000-000019250000}"/>
    <cellStyle name="Comma 35 3 2 2 4" xfId="24732" xr:uid="{00000000-0005-0000-0000-00001A250000}"/>
    <cellStyle name="Comma 35 3 2 3" xfId="12370" xr:uid="{00000000-0005-0000-0000-00001B250000}"/>
    <cellStyle name="Comma 35 3 2 3 2" xfId="25443" xr:uid="{00000000-0005-0000-0000-00001C250000}"/>
    <cellStyle name="Comma 35 3 2 4" xfId="12371" xr:uid="{00000000-0005-0000-0000-00001D250000}"/>
    <cellStyle name="Comma 35 3 2 4 2" xfId="25444" xr:uid="{00000000-0005-0000-0000-00001E250000}"/>
    <cellStyle name="Comma 35 3 2 5" xfId="22576" xr:uid="{00000000-0005-0000-0000-00001F250000}"/>
    <cellStyle name="Comma 35 3 3" xfId="10284" xr:uid="{00000000-0005-0000-0000-000020250000}"/>
    <cellStyle name="Comma 35 3 3 2" xfId="12372" xr:uid="{00000000-0005-0000-0000-000021250000}"/>
    <cellStyle name="Comma 35 3 3 2 2" xfId="25445" xr:uid="{00000000-0005-0000-0000-000022250000}"/>
    <cellStyle name="Comma 35 3 3 3" xfId="12373" xr:uid="{00000000-0005-0000-0000-000023250000}"/>
    <cellStyle name="Comma 35 3 3 3 2" xfId="25446" xr:uid="{00000000-0005-0000-0000-000024250000}"/>
    <cellStyle name="Comma 35 3 3 4" xfId="23654" xr:uid="{00000000-0005-0000-0000-000025250000}"/>
    <cellStyle name="Comma 35 3 4" xfId="12374" xr:uid="{00000000-0005-0000-0000-000026250000}"/>
    <cellStyle name="Comma 35 3 4 2" xfId="25447" xr:uid="{00000000-0005-0000-0000-000027250000}"/>
    <cellStyle name="Comma 35 3 5" xfId="12375" xr:uid="{00000000-0005-0000-0000-000028250000}"/>
    <cellStyle name="Comma 35 3 5 2" xfId="25448" xr:uid="{00000000-0005-0000-0000-000029250000}"/>
    <cellStyle name="Comma 35 3 6" xfId="21498" xr:uid="{00000000-0005-0000-0000-00002A250000}"/>
    <cellStyle name="Comma 35 4" xfId="8360" xr:uid="{00000000-0005-0000-0000-00002B250000}"/>
    <cellStyle name="Comma 35 4 2" xfId="10822" xr:uid="{00000000-0005-0000-0000-00002C250000}"/>
    <cellStyle name="Comma 35 4 2 2" xfId="12376" xr:uid="{00000000-0005-0000-0000-00002D250000}"/>
    <cellStyle name="Comma 35 4 2 2 2" xfId="25449" xr:uid="{00000000-0005-0000-0000-00002E250000}"/>
    <cellStyle name="Comma 35 4 2 3" xfId="12377" xr:uid="{00000000-0005-0000-0000-00002F250000}"/>
    <cellStyle name="Comma 35 4 2 3 2" xfId="25450" xr:uid="{00000000-0005-0000-0000-000030250000}"/>
    <cellStyle name="Comma 35 4 2 4" xfId="24192" xr:uid="{00000000-0005-0000-0000-000031250000}"/>
    <cellStyle name="Comma 35 4 3" xfId="12378" xr:uid="{00000000-0005-0000-0000-000032250000}"/>
    <cellStyle name="Comma 35 4 3 2" xfId="25451" xr:uid="{00000000-0005-0000-0000-000033250000}"/>
    <cellStyle name="Comma 35 4 4" xfId="12379" xr:uid="{00000000-0005-0000-0000-000034250000}"/>
    <cellStyle name="Comma 35 4 4 2" xfId="25452" xr:uid="{00000000-0005-0000-0000-000035250000}"/>
    <cellStyle name="Comma 35 4 5" xfId="22036" xr:uid="{00000000-0005-0000-0000-000036250000}"/>
    <cellStyle name="Comma 35 5" xfId="9744" xr:uid="{00000000-0005-0000-0000-000037250000}"/>
    <cellStyle name="Comma 35 5 2" xfId="12380" xr:uid="{00000000-0005-0000-0000-000038250000}"/>
    <cellStyle name="Comma 35 5 2 2" xfId="25453" xr:uid="{00000000-0005-0000-0000-000039250000}"/>
    <cellStyle name="Comma 35 5 3" xfId="12381" xr:uid="{00000000-0005-0000-0000-00003A250000}"/>
    <cellStyle name="Comma 35 5 3 2" xfId="25454" xr:uid="{00000000-0005-0000-0000-00003B250000}"/>
    <cellStyle name="Comma 35 5 4" xfId="23114" xr:uid="{00000000-0005-0000-0000-00003C250000}"/>
    <cellStyle name="Comma 35 6" xfId="12382" xr:uid="{00000000-0005-0000-0000-00003D250000}"/>
    <cellStyle name="Comma 35 6 2" xfId="25455" xr:uid="{00000000-0005-0000-0000-00003E250000}"/>
    <cellStyle name="Comma 35 7" xfId="12383" xr:uid="{00000000-0005-0000-0000-00003F250000}"/>
    <cellStyle name="Comma 35 7 2" xfId="25456" xr:uid="{00000000-0005-0000-0000-000040250000}"/>
    <cellStyle name="Comma 35 8" xfId="20958" xr:uid="{00000000-0005-0000-0000-000041250000}"/>
    <cellStyle name="Comma 36" xfId="5544" xr:uid="{00000000-0005-0000-0000-000042250000}"/>
    <cellStyle name="Comma 36 2" xfId="6728" xr:uid="{00000000-0005-0000-0000-000043250000}"/>
    <cellStyle name="Comma 36 2 2" xfId="7415" xr:uid="{00000000-0005-0000-0000-000044250000}"/>
    <cellStyle name="Comma 36 2 2 2" xfId="9294" xr:uid="{00000000-0005-0000-0000-000045250000}"/>
    <cellStyle name="Comma 36 2 2 2 2" xfId="11673" xr:uid="{00000000-0005-0000-0000-000046250000}"/>
    <cellStyle name="Comma 36 2 2 2 2 2" xfId="12384" xr:uid="{00000000-0005-0000-0000-000047250000}"/>
    <cellStyle name="Comma 36 2 2 2 2 2 2" xfId="25457" xr:uid="{00000000-0005-0000-0000-000048250000}"/>
    <cellStyle name="Comma 36 2 2 2 2 3" xfId="12385" xr:uid="{00000000-0005-0000-0000-000049250000}"/>
    <cellStyle name="Comma 36 2 2 2 2 3 2" xfId="25458" xr:uid="{00000000-0005-0000-0000-00004A250000}"/>
    <cellStyle name="Comma 36 2 2 2 2 4" xfId="25043" xr:uid="{00000000-0005-0000-0000-00004B250000}"/>
    <cellStyle name="Comma 36 2 2 2 3" xfId="12386" xr:uid="{00000000-0005-0000-0000-00004C250000}"/>
    <cellStyle name="Comma 36 2 2 2 3 2" xfId="25459" xr:uid="{00000000-0005-0000-0000-00004D250000}"/>
    <cellStyle name="Comma 36 2 2 2 4" xfId="12387" xr:uid="{00000000-0005-0000-0000-00004E250000}"/>
    <cellStyle name="Comma 36 2 2 2 4 2" xfId="25460" xr:uid="{00000000-0005-0000-0000-00004F250000}"/>
    <cellStyle name="Comma 36 2 2 2 5" xfId="22887" xr:uid="{00000000-0005-0000-0000-000050250000}"/>
    <cellStyle name="Comma 36 2 2 3" xfId="10595" xr:uid="{00000000-0005-0000-0000-000051250000}"/>
    <cellStyle name="Comma 36 2 2 3 2" xfId="12388" xr:uid="{00000000-0005-0000-0000-000052250000}"/>
    <cellStyle name="Comma 36 2 2 3 2 2" xfId="25461" xr:uid="{00000000-0005-0000-0000-000053250000}"/>
    <cellStyle name="Comma 36 2 2 3 3" xfId="12389" xr:uid="{00000000-0005-0000-0000-000054250000}"/>
    <cellStyle name="Comma 36 2 2 3 3 2" xfId="25462" xr:uid="{00000000-0005-0000-0000-000055250000}"/>
    <cellStyle name="Comma 36 2 2 3 4" xfId="23965" xr:uid="{00000000-0005-0000-0000-000056250000}"/>
    <cellStyle name="Comma 36 2 2 4" xfId="12390" xr:uid="{00000000-0005-0000-0000-000057250000}"/>
    <cellStyle name="Comma 36 2 2 4 2" xfId="25463" xr:uid="{00000000-0005-0000-0000-000058250000}"/>
    <cellStyle name="Comma 36 2 2 5" xfId="12391" xr:uid="{00000000-0005-0000-0000-000059250000}"/>
    <cellStyle name="Comma 36 2 2 5 2" xfId="25464" xr:uid="{00000000-0005-0000-0000-00005A250000}"/>
    <cellStyle name="Comma 36 2 2 6" xfId="21809" xr:uid="{00000000-0005-0000-0000-00005B250000}"/>
    <cellStyle name="Comma 36 2 3" xfId="8748" xr:uid="{00000000-0005-0000-0000-00005C250000}"/>
    <cellStyle name="Comma 36 2 3 2" xfId="11133" xr:uid="{00000000-0005-0000-0000-00005D250000}"/>
    <cellStyle name="Comma 36 2 3 2 2" xfId="12392" xr:uid="{00000000-0005-0000-0000-00005E250000}"/>
    <cellStyle name="Comma 36 2 3 2 2 2" xfId="25465" xr:uid="{00000000-0005-0000-0000-00005F250000}"/>
    <cellStyle name="Comma 36 2 3 2 3" xfId="12393" xr:uid="{00000000-0005-0000-0000-000060250000}"/>
    <cellStyle name="Comma 36 2 3 2 3 2" xfId="25466" xr:uid="{00000000-0005-0000-0000-000061250000}"/>
    <cellStyle name="Comma 36 2 3 2 4" xfId="24503" xr:uid="{00000000-0005-0000-0000-000062250000}"/>
    <cellStyle name="Comma 36 2 3 3" xfId="12394" xr:uid="{00000000-0005-0000-0000-000063250000}"/>
    <cellStyle name="Comma 36 2 3 3 2" xfId="25467" xr:uid="{00000000-0005-0000-0000-000064250000}"/>
    <cellStyle name="Comma 36 2 3 4" xfId="12395" xr:uid="{00000000-0005-0000-0000-000065250000}"/>
    <cellStyle name="Comma 36 2 3 4 2" xfId="25468" xr:uid="{00000000-0005-0000-0000-000066250000}"/>
    <cellStyle name="Comma 36 2 3 5" xfId="22347" xr:uid="{00000000-0005-0000-0000-000067250000}"/>
    <cellStyle name="Comma 36 2 4" xfId="10055" xr:uid="{00000000-0005-0000-0000-000068250000}"/>
    <cellStyle name="Comma 36 2 4 2" xfId="12396" xr:uid="{00000000-0005-0000-0000-000069250000}"/>
    <cellStyle name="Comma 36 2 4 2 2" xfId="25469" xr:uid="{00000000-0005-0000-0000-00006A250000}"/>
    <cellStyle name="Comma 36 2 4 3" xfId="12397" xr:uid="{00000000-0005-0000-0000-00006B250000}"/>
    <cellStyle name="Comma 36 2 4 3 2" xfId="25470" xr:uid="{00000000-0005-0000-0000-00006C250000}"/>
    <cellStyle name="Comma 36 2 4 4" xfId="23425" xr:uid="{00000000-0005-0000-0000-00006D250000}"/>
    <cellStyle name="Comma 36 2 5" xfId="12398" xr:uid="{00000000-0005-0000-0000-00006E250000}"/>
    <cellStyle name="Comma 36 2 5 2" xfId="25471" xr:uid="{00000000-0005-0000-0000-00006F250000}"/>
    <cellStyle name="Comma 36 2 6" xfId="12399" xr:uid="{00000000-0005-0000-0000-000070250000}"/>
    <cellStyle name="Comma 36 2 6 2" xfId="25472" xr:uid="{00000000-0005-0000-0000-000071250000}"/>
    <cellStyle name="Comma 36 2 7" xfId="21269" xr:uid="{00000000-0005-0000-0000-000072250000}"/>
    <cellStyle name="Comma 36 3" xfId="7146" xr:uid="{00000000-0005-0000-0000-000073250000}"/>
    <cellStyle name="Comma 36 3 2" xfId="9025" xr:uid="{00000000-0005-0000-0000-000074250000}"/>
    <cellStyle name="Comma 36 3 2 2" xfId="11404" xr:uid="{00000000-0005-0000-0000-000075250000}"/>
    <cellStyle name="Comma 36 3 2 2 2" xfId="12400" xr:uid="{00000000-0005-0000-0000-000076250000}"/>
    <cellStyle name="Comma 36 3 2 2 2 2" xfId="25473" xr:uid="{00000000-0005-0000-0000-000077250000}"/>
    <cellStyle name="Comma 36 3 2 2 3" xfId="12401" xr:uid="{00000000-0005-0000-0000-000078250000}"/>
    <cellStyle name="Comma 36 3 2 2 3 2" xfId="25474" xr:uid="{00000000-0005-0000-0000-000079250000}"/>
    <cellStyle name="Comma 36 3 2 2 4" xfId="24774" xr:uid="{00000000-0005-0000-0000-00007A250000}"/>
    <cellStyle name="Comma 36 3 2 3" xfId="12402" xr:uid="{00000000-0005-0000-0000-00007B250000}"/>
    <cellStyle name="Comma 36 3 2 3 2" xfId="25475" xr:uid="{00000000-0005-0000-0000-00007C250000}"/>
    <cellStyle name="Comma 36 3 2 4" xfId="12403" xr:uid="{00000000-0005-0000-0000-00007D250000}"/>
    <cellStyle name="Comma 36 3 2 4 2" xfId="25476" xr:uid="{00000000-0005-0000-0000-00007E250000}"/>
    <cellStyle name="Comma 36 3 2 5" xfId="22618" xr:uid="{00000000-0005-0000-0000-00007F250000}"/>
    <cellStyle name="Comma 36 3 3" xfId="10326" xr:uid="{00000000-0005-0000-0000-000080250000}"/>
    <cellStyle name="Comma 36 3 3 2" xfId="12404" xr:uid="{00000000-0005-0000-0000-000081250000}"/>
    <cellStyle name="Comma 36 3 3 2 2" xfId="25477" xr:uid="{00000000-0005-0000-0000-000082250000}"/>
    <cellStyle name="Comma 36 3 3 3" xfId="12405" xr:uid="{00000000-0005-0000-0000-000083250000}"/>
    <cellStyle name="Comma 36 3 3 3 2" xfId="25478" xr:uid="{00000000-0005-0000-0000-000084250000}"/>
    <cellStyle name="Comma 36 3 3 4" xfId="23696" xr:uid="{00000000-0005-0000-0000-000085250000}"/>
    <cellStyle name="Comma 36 3 4" xfId="12406" xr:uid="{00000000-0005-0000-0000-000086250000}"/>
    <cellStyle name="Comma 36 3 4 2" xfId="25479" xr:uid="{00000000-0005-0000-0000-000087250000}"/>
    <cellStyle name="Comma 36 3 5" xfId="12407" xr:uid="{00000000-0005-0000-0000-000088250000}"/>
    <cellStyle name="Comma 36 3 5 2" xfId="25480" xr:uid="{00000000-0005-0000-0000-000089250000}"/>
    <cellStyle name="Comma 36 3 6" xfId="21540" xr:uid="{00000000-0005-0000-0000-00008A250000}"/>
    <cellStyle name="Comma 36 4" xfId="8421" xr:uid="{00000000-0005-0000-0000-00008B250000}"/>
    <cellStyle name="Comma 36 4 2" xfId="10864" xr:uid="{00000000-0005-0000-0000-00008C250000}"/>
    <cellStyle name="Comma 36 4 2 2" xfId="12408" xr:uid="{00000000-0005-0000-0000-00008D250000}"/>
    <cellStyle name="Comma 36 4 2 2 2" xfId="25481" xr:uid="{00000000-0005-0000-0000-00008E250000}"/>
    <cellStyle name="Comma 36 4 2 3" xfId="12409" xr:uid="{00000000-0005-0000-0000-00008F250000}"/>
    <cellStyle name="Comma 36 4 2 3 2" xfId="25482" xr:uid="{00000000-0005-0000-0000-000090250000}"/>
    <cellStyle name="Comma 36 4 2 4" xfId="24234" xr:uid="{00000000-0005-0000-0000-000091250000}"/>
    <cellStyle name="Comma 36 4 3" xfId="12410" xr:uid="{00000000-0005-0000-0000-000092250000}"/>
    <cellStyle name="Comma 36 4 3 2" xfId="25483" xr:uid="{00000000-0005-0000-0000-000093250000}"/>
    <cellStyle name="Comma 36 4 4" xfId="12411" xr:uid="{00000000-0005-0000-0000-000094250000}"/>
    <cellStyle name="Comma 36 4 4 2" xfId="25484" xr:uid="{00000000-0005-0000-0000-000095250000}"/>
    <cellStyle name="Comma 36 4 5" xfId="22078" xr:uid="{00000000-0005-0000-0000-000096250000}"/>
    <cellStyle name="Comma 36 5" xfId="9786" xr:uid="{00000000-0005-0000-0000-000097250000}"/>
    <cellStyle name="Comma 36 5 2" xfId="12412" xr:uid="{00000000-0005-0000-0000-000098250000}"/>
    <cellStyle name="Comma 36 5 2 2" xfId="25485" xr:uid="{00000000-0005-0000-0000-000099250000}"/>
    <cellStyle name="Comma 36 5 3" xfId="12413" xr:uid="{00000000-0005-0000-0000-00009A250000}"/>
    <cellStyle name="Comma 36 5 3 2" xfId="25486" xr:uid="{00000000-0005-0000-0000-00009B250000}"/>
    <cellStyle name="Comma 36 5 4" xfId="23156" xr:uid="{00000000-0005-0000-0000-00009C250000}"/>
    <cellStyle name="Comma 36 6" xfId="12414" xr:uid="{00000000-0005-0000-0000-00009D250000}"/>
    <cellStyle name="Comma 36 6 2" xfId="25487" xr:uid="{00000000-0005-0000-0000-00009E250000}"/>
    <cellStyle name="Comma 36 7" xfId="12415" xr:uid="{00000000-0005-0000-0000-00009F250000}"/>
    <cellStyle name="Comma 36 7 2" xfId="25488" xr:uid="{00000000-0005-0000-0000-0000A0250000}"/>
    <cellStyle name="Comma 36 8" xfId="21000" xr:uid="{00000000-0005-0000-0000-0000A1250000}"/>
    <cellStyle name="Comma 37" xfId="5273" xr:uid="{00000000-0005-0000-0000-0000A2250000}"/>
    <cellStyle name="Comma 37 2" xfId="6696" xr:uid="{00000000-0005-0000-0000-0000A3250000}"/>
    <cellStyle name="Comma 37 2 2" xfId="7385" xr:uid="{00000000-0005-0000-0000-0000A4250000}"/>
    <cellStyle name="Comma 37 2 2 2" xfId="9264" xr:uid="{00000000-0005-0000-0000-0000A5250000}"/>
    <cellStyle name="Comma 37 2 2 2 2" xfId="11643" xr:uid="{00000000-0005-0000-0000-0000A6250000}"/>
    <cellStyle name="Comma 37 2 2 2 2 2" xfId="12416" xr:uid="{00000000-0005-0000-0000-0000A7250000}"/>
    <cellStyle name="Comma 37 2 2 2 2 2 2" xfId="25489" xr:uid="{00000000-0005-0000-0000-0000A8250000}"/>
    <cellStyle name="Comma 37 2 2 2 2 3" xfId="12417" xr:uid="{00000000-0005-0000-0000-0000A9250000}"/>
    <cellStyle name="Comma 37 2 2 2 2 3 2" xfId="25490" xr:uid="{00000000-0005-0000-0000-0000AA250000}"/>
    <cellStyle name="Comma 37 2 2 2 2 4" xfId="25013" xr:uid="{00000000-0005-0000-0000-0000AB250000}"/>
    <cellStyle name="Comma 37 2 2 2 3" xfId="12418" xr:uid="{00000000-0005-0000-0000-0000AC250000}"/>
    <cellStyle name="Comma 37 2 2 2 3 2" xfId="25491" xr:uid="{00000000-0005-0000-0000-0000AD250000}"/>
    <cellStyle name="Comma 37 2 2 2 4" xfId="12419" xr:uid="{00000000-0005-0000-0000-0000AE250000}"/>
    <cellStyle name="Comma 37 2 2 2 4 2" xfId="25492" xr:uid="{00000000-0005-0000-0000-0000AF250000}"/>
    <cellStyle name="Comma 37 2 2 2 5" xfId="22857" xr:uid="{00000000-0005-0000-0000-0000B0250000}"/>
    <cellStyle name="Comma 37 2 2 3" xfId="10565" xr:uid="{00000000-0005-0000-0000-0000B1250000}"/>
    <cellStyle name="Comma 37 2 2 3 2" xfId="12420" xr:uid="{00000000-0005-0000-0000-0000B2250000}"/>
    <cellStyle name="Comma 37 2 2 3 2 2" xfId="25493" xr:uid="{00000000-0005-0000-0000-0000B3250000}"/>
    <cellStyle name="Comma 37 2 2 3 3" xfId="12421" xr:uid="{00000000-0005-0000-0000-0000B4250000}"/>
    <cellStyle name="Comma 37 2 2 3 3 2" xfId="25494" xr:uid="{00000000-0005-0000-0000-0000B5250000}"/>
    <cellStyle name="Comma 37 2 2 3 4" xfId="23935" xr:uid="{00000000-0005-0000-0000-0000B6250000}"/>
    <cellStyle name="Comma 37 2 2 4" xfId="12422" xr:uid="{00000000-0005-0000-0000-0000B7250000}"/>
    <cellStyle name="Comma 37 2 2 4 2" xfId="25495" xr:uid="{00000000-0005-0000-0000-0000B8250000}"/>
    <cellStyle name="Comma 37 2 2 5" xfId="12423" xr:uid="{00000000-0005-0000-0000-0000B9250000}"/>
    <cellStyle name="Comma 37 2 2 5 2" xfId="25496" xr:uid="{00000000-0005-0000-0000-0000BA250000}"/>
    <cellStyle name="Comma 37 2 2 6" xfId="21779" xr:uid="{00000000-0005-0000-0000-0000BB250000}"/>
    <cellStyle name="Comma 37 2 3" xfId="8718" xr:uid="{00000000-0005-0000-0000-0000BC250000}"/>
    <cellStyle name="Comma 37 2 3 2" xfId="11103" xr:uid="{00000000-0005-0000-0000-0000BD250000}"/>
    <cellStyle name="Comma 37 2 3 2 2" xfId="12424" xr:uid="{00000000-0005-0000-0000-0000BE250000}"/>
    <cellStyle name="Comma 37 2 3 2 2 2" xfId="25497" xr:uid="{00000000-0005-0000-0000-0000BF250000}"/>
    <cellStyle name="Comma 37 2 3 2 3" xfId="12425" xr:uid="{00000000-0005-0000-0000-0000C0250000}"/>
    <cellStyle name="Comma 37 2 3 2 3 2" xfId="25498" xr:uid="{00000000-0005-0000-0000-0000C1250000}"/>
    <cellStyle name="Comma 37 2 3 2 4" xfId="24473" xr:uid="{00000000-0005-0000-0000-0000C2250000}"/>
    <cellStyle name="Comma 37 2 3 3" xfId="12426" xr:uid="{00000000-0005-0000-0000-0000C3250000}"/>
    <cellStyle name="Comma 37 2 3 3 2" xfId="25499" xr:uid="{00000000-0005-0000-0000-0000C4250000}"/>
    <cellStyle name="Comma 37 2 3 4" xfId="12427" xr:uid="{00000000-0005-0000-0000-0000C5250000}"/>
    <cellStyle name="Comma 37 2 3 4 2" xfId="25500" xr:uid="{00000000-0005-0000-0000-0000C6250000}"/>
    <cellStyle name="Comma 37 2 3 5" xfId="22317" xr:uid="{00000000-0005-0000-0000-0000C7250000}"/>
    <cellStyle name="Comma 37 2 4" xfId="10025" xr:uid="{00000000-0005-0000-0000-0000C8250000}"/>
    <cellStyle name="Comma 37 2 4 2" xfId="12428" xr:uid="{00000000-0005-0000-0000-0000C9250000}"/>
    <cellStyle name="Comma 37 2 4 2 2" xfId="25501" xr:uid="{00000000-0005-0000-0000-0000CA250000}"/>
    <cellStyle name="Comma 37 2 4 3" xfId="12429" xr:uid="{00000000-0005-0000-0000-0000CB250000}"/>
    <cellStyle name="Comma 37 2 4 3 2" xfId="25502" xr:uid="{00000000-0005-0000-0000-0000CC250000}"/>
    <cellStyle name="Comma 37 2 4 4" xfId="23395" xr:uid="{00000000-0005-0000-0000-0000CD250000}"/>
    <cellStyle name="Comma 37 2 5" xfId="12430" xr:uid="{00000000-0005-0000-0000-0000CE250000}"/>
    <cellStyle name="Comma 37 2 5 2" xfId="25503" xr:uid="{00000000-0005-0000-0000-0000CF250000}"/>
    <cellStyle name="Comma 37 2 6" xfId="12431" xr:uid="{00000000-0005-0000-0000-0000D0250000}"/>
    <cellStyle name="Comma 37 2 6 2" xfId="25504" xr:uid="{00000000-0005-0000-0000-0000D1250000}"/>
    <cellStyle name="Comma 37 2 7" xfId="21239" xr:uid="{00000000-0005-0000-0000-0000D2250000}"/>
    <cellStyle name="Comma 37 3" xfId="7116" xr:uid="{00000000-0005-0000-0000-0000D3250000}"/>
    <cellStyle name="Comma 37 3 2" xfId="8995" xr:uid="{00000000-0005-0000-0000-0000D4250000}"/>
    <cellStyle name="Comma 37 3 2 2" xfId="11374" xr:uid="{00000000-0005-0000-0000-0000D5250000}"/>
    <cellStyle name="Comma 37 3 2 2 2" xfId="12432" xr:uid="{00000000-0005-0000-0000-0000D6250000}"/>
    <cellStyle name="Comma 37 3 2 2 2 2" xfId="25505" xr:uid="{00000000-0005-0000-0000-0000D7250000}"/>
    <cellStyle name="Comma 37 3 2 2 3" xfId="12433" xr:uid="{00000000-0005-0000-0000-0000D8250000}"/>
    <cellStyle name="Comma 37 3 2 2 3 2" xfId="25506" xr:uid="{00000000-0005-0000-0000-0000D9250000}"/>
    <cellStyle name="Comma 37 3 2 2 4" xfId="24744" xr:uid="{00000000-0005-0000-0000-0000DA250000}"/>
    <cellStyle name="Comma 37 3 2 3" xfId="12434" xr:uid="{00000000-0005-0000-0000-0000DB250000}"/>
    <cellStyle name="Comma 37 3 2 3 2" xfId="25507" xr:uid="{00000000-0005-0000-0000-0000DC250000}"/>
    <cellStyle name="Comma 37 3 2 4" xfId="12435" xr:uid="{00000000-0005-0000-0000-0000DD250000}"/>
    <cellStyle name="Comma 37 3 2 4 2" xfId="25508" xr:uid="{00000000-0005-0000-0000-0000DE250000}"/>
    <cellStyle name="Comma 37 3 2 5" xfId="22588" xr:uid="{00000000-0005-0000-0000-0000DF250000}"/>
    <cellStyle name="Comma 37 3 3" xfId="10296" xr:uid="{00000000-0005-0000-0000-0000E0250000}"/>
    <cellStyle name="Comma 37 3 3 2" xfId="12436" xr:uid="{00000000-0005-0000-0000-0000E1250000}"/>
    <cellStyle name="Comma 37 3 3 2 2" xfId="25509" xr:uid="{00000000-0005-0000-0000-0000E2250000}"/>
    <cellStyle name="Comma 37 3 3 3" xfId="12437" xr:uid="{00000000-0005-0000-0000-0000E3250000}"/>
    <cellStyle name="Comma 37 3 3 3 2" xfId="25510" xr:uid="{00000000-0005-0000-0000-0000E4250000}"/>
    <cellStyle name="Comma 37 3 3 4" xfId="23666" xr:uid="{00000000-0005-0000-0000-0000E5250000}"/>
    <cellStyle name="Comma 37 3 4" xfId="12438" xr:uid="{00000000-0005-0000-0000-0000E6250000}"/>
    <cellStyle name="Comma 37 3 4 2" xfId="25511" xr:uid="{00000000-0005-0000-0000-0000E7250000}"/>
    <cellStyle name="Comma 37 3 5" xfId="12439" xr:uid="{00000000-0005-0000-0000-0000E8250000}"/>
    <cellStyle name="Comma 37 3 5 2" xfId="25512" xr:uid="{00000000-0005-0000-0000-0000E9250000}"/>
    <cellStyle name="Comma 37 3 6" xfId="21510" xr:uid="{00000000-0005-0000-0000-0000EA250000}"/>
    <cellStyle name="Comma 37 4" xfId="8381" xr:uid="{00000000-0005-0000-0000-0000EB250000}"/>
    <cellStyle name="Comma 37 4 2" xfId="10834" xr:uid="{00000000-0005-0000-0000-0000EC250000}"/>
    <cellStyle name="Comma 37 4 2 2" xfId="12440" xr:uid="{00000000-0005-0000-0000-0000ED250000}"/>
    <cellStyle name="Comma 37 4 2 2 2" xfId="25513" xr:uid="{00000000-0005-0000-0000-0000EE250000}"/>
    <cellStyle name="Comma 37 4 2 3" xfId="12441" xr:uid="{00000000-0005-0000-0000-0000EF250000}"/>
    <cellStyle name="Comma 37 4 2 3 2" xfId="25514" xr:uid="{00000000-0005-0000-0000-0000F0250000}"/>
    <cellStyle name="Comma 37 4 2 4" xfId="24204" xr:uid="{00000000-0005-0000-0000-0000F1250000}"/>
    <cellStyle name="Comma 37 4 3" xfId="12442" xr:uid="{00000000-0005-0000-0000-0000F2250000}"/>
    <cellStyle name="Comma 37 4 3 2" xfId="25515" xr:uid="{00000000-0005-0000-0000-0000F3250000}"/>
    <cellStyle name="Comma 37 4 4" xfId="12443" xr:uid="{00000000-0005-0000-0000-0000F4250000}"/>
    <cellStyle name="Comma 37 4 4 2" xfId="25516" xr:uid="{00000000-0005-0000-0000-0000F5250000}"/>
    <cellStyle name="Comma 37 4 5" xfId="22048" xr:uid="{00000000-0005-0000-0000-0000F6250000}"/>
    <cellStyle name="Comma 37 5" xfId="9756" xr:uid="{00000000-0005-0000-0000-0000F7250000}"/>
    <cellStyle name="Comma 37 5 2" xfId="12444" xr:uid="{00000000-0005-0000-0000-0000F8250000}"/>
    <cellStyle name="Comma 37 5 2 2" xfId="25517" xr:uid="{00000000-0005-0000-0000-0000F9250000}"/>
    <cellStyle name="Comma 37 5 3" xfId="12445" xr:uid="{00000000-0005-0000-0000-0000FA250000}"/>
    <cellStyle name="Comma 37 5 3 2" xfId="25518" xr:uid="{00000000-0005-0000-0000-0000FB250000}"/>
    <cellStyle name="Comma 37 5 4" xfId="23126" xr:uid="{00000000-0005-0000-0000-0000FC250000}"/>
    <cellStyle name="Comma 37 6" xfId="12446" xr:uid="{00000000-0005-0000-0000-0000FD250000}"/>
    <cellStyle name="Comma 37 6 2" xfId="25519" xr:uid="{00000000-0005-0000-0000-0000FE250000}"/>
    <cellStyle name="Comma 37 7" xfId="12447" xr:uid="{00000000-0005-0000-0000-0000FF250000}"/>
    <cellStyle name="Comma 37 7 2" xfId="25520" xr:uid="{00000000-0005-0000-0000-000000260000}"/>
    <cellStyle name="Comma 37 8" xfId="20970" xr:uid="{00000000-0005-0000-0000-000001260000}"/>
    <cellStyle name="Comma 38" xfId="5650" xr:uid="{00000000-0005-0000-0000-000002260000}"/>
    <cellStyle name="Comma 38 2" xfId="6802" xr:uid="{00000000-0005-0000-0000-000003260000}"/>
    <cellStyle name="Comma 38 2 2" xfId="7489" xr:uid="{00000000-0005-0000-0000-000004260000}"/>
    <cellStyle name="Comma 38 2 2 2" xfId="9368" xr:uid="{00000000-0005-0000-0000-000005260000}"/>
    <cellStyle name="Comma 38 2 2 2 2" xfId="11747" xr:uid="{00000000-0005-0000-0000-000006260000}"/>
    <cellStyle name="Comma 38 2 2 2 2 2" xfId="12448" xr:uid="{00000000-0005-0000-0000-000007260000}"/>
    <cellStyle name="Comma 38 2 2 2 2 2 2" xfId="25521" xr:uid="{00000000-0005-0000-0000-000008260000}"/>
    <cellStyle name="Comma 38 2 2 2 2 3" xfId="12449" xr:uid="{00000000-0005-0000-0000-000009260000}"/>
    <cellStyle name="Comma 38 2 2 2 2 3 2" xfId="25522" xr:uid="{00000000-0005-0000-0000-00000A260000}"/>
    <cellStyle name="Comma 38 2 2 2 2 4" xfId="25117" xr:uid="{00000000-0005-0000-0000-00000B260000}"/>
    <cellStyle name="Comma 38 2 2 2 3" xfId="12450" xr:uid="{00000000-0005-0000-0000-00000C260000}"/>
    <cellStyle name="Comma 38 2 2 2 3 2" xfId="25523" xr:uid="{00000000-0005-0000-0000-00000D260000}"/>
    <cellStyle name="Comma 38 2 2 2 4" xfId="12451" xr:uid="{00000000-0005-0000-0000-00000E260000}"/>
    <cellStyle name="Comma 38 2 2 2 4 2" xfId="25524" xr:uid="{00000000-0005-0000-0000-00000F260000}"/>
    <cellStyle name="Comma 38 2 2 2 5" xfId="22961" xr:uid="{00000000-0005-0000-0000-000010260000}"/>
    <cellStyle name="Comma 38 2 2 3" xfId="10669" xr:uid="{00000000-0005-0000-0000-000011260000}"/>
    <cellStyle name="Comma 38 2 2 3 2" xfId="12452" xr:uid="{00000000-0005-0000-0000-000012260000}"/>
    <cellStyle name="Comma 38 2 2 3 2 2" xfId="25525" xr:uid="{00000000-0005-0000-0000-000013260000}"/>
    <cellStyle name="Comma 38 2 2 3 3" xfId="12453" xr:uid="{00000000-0005-0000-0000-000014260000}"/>
    <cellStyle name="Comma 38 2 2 3 3 2" xfId="25526" xr:uid="{00000000-0005-0000-0000-000015260000}"/>
    <cellStyle name="Comma 38 2 2 3 4" xfId="24039" xr:uid="{00000000-0005-0000-0000-000016260000}"/>
    <cellStyle name="Comma 38 2 2 4" xfId="12454" xr:uid="{00000000-0005-0000-0000-000017260000}"/>
    <cellStyle name="Comma 38 2 2 4 2" xfId="25527" xr:uid="{00000000-0005-0000-0000-000018260000}"/>
    <cellStyle name="Comma 38 2 2 5" xfId="12455" xr:uid="{00000000-0005-0000-0000-000019260000}"/>
    <cellStyle name="Comma 38 2 2 5 2" xfId="25528" xr:uid="{00000000-0005-0000-0000-00001A260000}"/>
    <cellStyle name="Comma 38 2 2 6" xfId="21883" xr:uid="{00000000-0005-0000-0000-00001B260000}"/>
    <cellStyle name="Comma 38 2 3" xfId="8822" xr:uid="{00000000-0005-0000-0000-00001C260000}"/>
    <cellStyle name="Comma 38 2 3 2" xfId="11207" xr:uid="{00000000-0005-0000-0000-00001D260000}"/>
    <cellStyle name="Comma 38 2 3 2 2" xfId="12456" xr:uid="{00000000-0005-0000-0000-00001E260000}"/>
    <cellStyle name="Comma 38 2 3 2 2 2" xfId="25529" xr:uid="{00000000-0005-0000-0000-00001F260000}"/>
    <cellStyle name="Comma 38 2 3 2 3" xfId="12457" xr:uid="{00000000-0005-0000-0000-000020260000}"/>
    <cellStyle name="Comma 38 2 3 2 3 2" xfId="25530" xr:uid="{00000000-0005-0000-0000-000021260000}"/>
    <cellStyle name="Comma 38 2 3 2 4" xfId="24577" xr:uid="{00000000-0005-0000-0000-000022260000}"/>
    <cellStyle name="Comma 38 2 3 3" xfId="12458" xr:uid="{00000000-0005-0000-0000-000023260000}"/>
    <cellStyle name="Comma 38 2 3 3 2" xfId="25531" xr:uid="{00000000-0005-0000-0000-000024260000}"/>
    <cellStyle name="Comma 38 2 3 4" xfId="12459" xr:uid="{00000000-0005-0000-0000-000025260000}"/>
    <cellStyle name="Comma 38 2 3 4 2" xfId="25532" xr:uid="{00000000-0005-0000-0000-000026260000}"/>
    <cellStyle name="Comma 38 2 3 5" xfId="22421" xr:uid="{00000000-0005-0000-0000-000027260000}"/>
    <cellStyle name="Comma 38 2 4" xfId="10129" xr:uid="{00000000-0005-0000-0000-000028260000}"/>
    <cellStyle name="Comma 38 2 4 2" xfId="12460" xr:uid="{00000000-0005-0000-0000-000029260000}"/>
    <cellStyle name="Comma 38 2 4 2 2" xfId="25533" xr:uid="{00000000-0005-0000-0000-00002A260000}"/>
    <cellStyle name="Comma 38 2 4 3" xfId="12461" xr:uid="{00000000-0005-0000-0000-00002B260000}"/>
    <cellStyle name="Comma 38 2 4 3 2" xfId="25534" xr:uid="{00000000-0005-0000-0000-00002C260000}"/>
    <cellStyle name="Comma 38 2 4 4" xfId="23499" xr:uid="{00000000-0005-0000-0000-00002D260000}"/>
    <cellStyle name="Comma 38 2 5" xfId="12462" xr:uid="{00000000-0005-0000-0000-00002E260000}"/>
    <cellStyle name="Comma 38 2 5 2" xfId="25535" xr:uid="{00000000-0005-0000-0000-00002F260000}"/>
    <cellStyle name="Comma 38 2 6" xfId="12463" xr:uid="{00000000-0005-0000-0000-000030260000}"/>
    <cellStyle name="Comma 38 2 6 2" xfId="25536" xr:uid="{00000000-0005-0000-0000-000031260000}"/>
    <cellStyle name="Comma 38 2 7" xfId="21343" xr:uid="{00000000-0005-0000-0000-000032260000}"/>
    <cellStyle name="Comma 38 3" xfId="7220" xr:uid="{00000000-0005-0000-0000-000033260000}"/>
    <cellStyle name="Comma 38 3 2" xfId="9099" xr:uid="{00000000-0005-0000-0000-000034260000}"/>
    <cellStyle name="Comma 38 3 2 2" xfId="11478" xr:uid="{00000000-0005-0000-0000-000035260000}"/>
    <cellStyle name="Comma 38 3 2 2 2" xfId="12464" xr:uid="{00000000-0005-0000-0000-000036260000}"/>
    <cellStyle name="Comma 38 3 2 2 2 2" xfId="25537" xr:uid="{00000000-0005-0000-0000-000037260000}"/>
    <cellStyle name="Comma 38 3 2 2 3" xfId="12465" xr:uid="{00000000-0005-0000-0000-000038260000}"/>
    <cellStyle name="Comma 38 3 2 2 3 2" xfId="25538" xr:uid="{00000000-0005-0000-0000-000039260000}"/>
    <cellStyle name="Comma 38 3 2 2 4" xfId="24848" xr:uid="{00000000-0005-0000-0000-00003A260000}"/>
    <cellStyle name="Comma 38 3 2 3" xfId="12466" xr:uid="{00000000-0005-0000-0000-00003B260000}"/>
    <cellStyle name="Comma 38 3 2 3 2" xfId="25539" xr:uid="{00000000-0005-0000-0000-00003C260000}"/>
    <cellStyle name="Comma 38 3 2 4" xfId="12467" xr:uid="{00000000-0005-0000-0000-00003D260000}"/>
    <cellStyle name="Comma 38 3 2 4 2" xfId="25540" xr:uid="{00000000-0005-0000-0000-00003E260000}"/>
    <cellStyle name="Comma 38 3 2 5" xfId="22692" xr:uid="{00000000-0005-0000-0000-00003F260000}"/>
    <cellStyle name="Comma 38 3 3" xfId="10400" xr:uid="{00000000-0005-0000-0000-000040260000}"/>
    <cellStyle name="Comma 38 3 3 2" xfId="12468" xr:uid="{00000000-0005-0000-0000-000041260000}"/>
    <cellStyle name="Comma 38 3 3 2 2" xfId="25541" xr:uid="{00000000-0005-0000-0000-000042260000}"/>
    <cellStyle name="Comma 38 3 3 3" xfId="12469" xr:uid="{00000000-0005-0000-0000-000043260000}"/>
    <cellStyle name="Comma 38 3 3 3 2" xfId="25542" xr:uid="{00000000-0005-0000-0000-000044260000}"/>
    <cellStyle name="Comma 38 3 3 4" xfId="23770" xr:uid="{00000000-0005-0000-0000-000045260000}"/>
    <cellStyle name="Comma 38 3 4" xfId="12470" xr:uid="{00000000-0005-0000-0000-000046260000}"/>
    <cellStyle name="Comma 38 3 4 2" xfId="25543" xr:uid="{00000000-0005-0000-0000-000047260000}"/>
    <cellStyle name="Comma 38 3 5" xfId="12471" xr:uid="{00000000-0005-0000-0000-000048260000}"/>
    <cellStyle name="Comma 38 3 5 2" xfId="25544" xr:uid="{00000000-0005-0000-0000-000049260000}"/>
    <cellStyle name="Comma 38 3 6" xfId="21614" xr:uid="{00000000-0005-0000-0000-00004A260000}"/>
    <cellStyle name="Comma 38 4" xfId="8497" xr:uid="{00000000-0005-0000-0000-00004B260000}"/>
    <cellStyle name="Comma 38 4 2" xfId="10938" xr:uid="{00000000-0005-0000-0000-00004C260000}"/>
    <cellStyle name="Comma 38 4 2 2" xfId="12472" xr:uid="{00000000-0005-0000-0000-00004D260000}"/>
    <cellStyle name="Comma 38 4 2 2 2" xfId="25545" xr:uid="{00000000-0005-0000-0000-00004E260000}"/>
    <cellStyle name="Comma 38 4 2 3" xfId="12473" xr:uid="{00000000-0005-0000-0000-00004F260000}"/>
    <cellStyle name="Comma 38 4 2 3 2" xfId="25546" xr:uid="{00000000-0005-0000-0000-000050260000}"/>
    <cellStyle name="Comma 38 4 2 4" xfId="24308" xr:uid="{00000000-0005-0000-0000-000051260000}"/>
    <cellStyle name="Comma 38 4 3" xfId="12474" xr:uid="{00000000-0005-0000-0000-000052260000}"/>
    <cellStyle name="Comma 38 4 3 2" xfId="25547" xr:uid="{00000000-0005-0000-0000-000053260000}"/>
    <cellStyle name="Comma 38 4 4" xfId="12475" xr:uid="{00000000-0005-0000-0000-000054260000}"/>
    <cellStyle name="Comma 38 4 4 2" xfId="25548" xr:uid="{00000000-0005-0000-0000-000055260000}"/>
    <cellStyle name="Comma 38 4 5" xfId="22152" xr:uid="{00000000-0005-0000-0000-000056260000}"/>
    <cellStyle name="Comma 38 5" xfId="9860" xr:uid="{00000000-0005-0000-0000-000057260000}"/>
    <cellStyle name="Comma 38 5 2" xfId="12476" xr:uid="{00000000-0005-0000-0000-000058260000}"/>
    <cellStyle name="Comma 38 5 2 2" xfId="25549" xr:uid="{00000000-0005-0000-0000-000059260000}"/>
    <cellStyle name="Comma 38 5 3" xfId="12477" xr:uid="{00000000-0005-0000-0000-00005A260000}"/>
    <cellStyle name="Comma 38 5 3 2" xfId="25550" xr:uid="{00000000-0005-0000-0000-00005B260000}"/>
    <cellStyle name="Comma 38 5 4" xfId="23230" xr:uid="{00000000-0005-0000-0000-00005C260000}"/>
    <cellStyle name="Comma 38 6" xfId="12478" xr:uid="{00000000-0005-0000-0000-00005D260000}"/>
    <cellStyle name="Comma 38 6 2" xfId="25551" xr:uid="{00000000-0005-0000-0000-00005E260000}"/>
    <cellStyle name="Comma 38 7" xfId="12479" xr:uid="{00000000-0005-0000-0000-00005F260000}"/>
    <cellStyle name="Comma 38 7 2" xfId="25552" xr:uid="{00000000-0005-0000-0000-000060260000}"/>
    <cellStyle name="Comma 38 8" xfId="21074" xr:uid="{00000000-0005-0000-0000-000061260000}"/>
    <cellStyle name="Comma 39" xfId="6120" xr:uid="{00000000-0005-0000-0000-000062260000}"/>
    <cellStyle name="Comma 39 2" xfId="6817" xr:uid="{00000000-0005-0000-0000-000063260000}"/>
    <cellStyle name="Comma 39 2 2" xfId="7501" xr:uid="{00000000-0005-0000-0000-000064260000}"/>
    <cellStyle name="Comma 39 2 2 2" xfId="9380" xr:uid="{00000000-0005-0000-0000-000065260000}"/>
    <cellStyle name="Comma 39 2 2 2 2" xfId="11759" xr:uid="{00000000-0005-0000-0000-000066260000}"/>
    <cellStyle name="Comma 39 2 2 2 2 2" xfId="12480" xr:uid="{00000000-0005-0000-0000-000067260000}"/>
    <cellStyle name="Comma 39 2 2 2 2 2 2" xfId="25553" xr:uid="{00000000-0005-0000-0000-000068260000}"/>
    <cellStyle name="Comma 39 2 2 2 2 3" xfId="12481" xr:uid="{00000000-0005-0000-0000-000069260000}"/>
    <cellStyle name="Comma 39 2 2 2 2 3 2" xfId="25554" xr:uid="{00000000-0005-0000-0000-00006A260000}"/>
    <cellStyle name="Comma 39 2 2 2 2 4" xfId="25129" xr:uid="{00000000-0005-0000-0000-00006B260000}"/>
    <cellStyle name="Comma 39 2 2 2 3" xfId="12482" xr:uid="{00000000-0005-0000-0000-00006C260000}"/>
    <cellStyle name="Comma 39 2 2 2 3 2" xfId="25555" xr:uid="{00000000-0005-0000-0000-00006D260000}"/>
    <cellStyle name="Comma 39 2 2 2 4" xfId="12483" xr:uid="{00000000-0005-0000-0000-00006E260000}"/>
    <cellStyle name="Comma 39 2 2 2 4 2" xfId="25556" xr:uid="{00000000-0005-0000-0000-00006F260000}"/>
    <cellStyle name="Comma 39 2 2 2 5" xfId="22973" xr:uid="{00000000-0005-0000-0000-000070260000}"/>
    <cellStyle name="Comma 39 2 2 3" xfId="10681" xr:uid="{00000000-0005-0000-0000-000071260000}"/>
    <cellStyle name="Comma 39 2 2 3 2" xfId="12484" xr:uid="{00000000-0005-0000-0000-000072260000}"/>
    <cellStyle name="Comma 39 2 2 3 2 2" xfId="25557" xr:uid="{00000000-0005-0000-0000-000073260000}"/>
    <cellStyle name="Comma 39 2 2 3 3" xfId="12485" xr:uid="{00000000-0005-0000-0000-000074260000}"/>
    <cellStyle name="Comma 39 2 2 3 3 2" xfId="25558" xr:uid="{00000000-0005-0000-0000-000075260000}"/>
    <cellStyle name="Comma 39 2 2 3 4" xfId="24051" xr:uid="{00000000-0005-0000-0000-000076260000}"/>
    <cellStyle name="Comma 39 2 2 4" xfId="12486" xr:uid="{00000000-0005-0000-0000-000077260000}"/>
    <cellStyle name="Comma 39 2 2 4 2" xfId="25559" xr:uid="{00000000-0005-0000-0000-000078260000}"/>
    <cellStyle name="Comma 39 2 2 5" xfId="12487" xr:uid="{00000000-0005-0000-0000-000079260000}"/>
    <cellStyle name="Comma 39 2 2 5 2" xfId="25560" xr:uid="{00000000-0005-0000-0000-00007A260000}"/>
    <cellStyle name="Comma 39 2 2 6" xfId="21895" xr:uid="{00000000-0005-0000-0000-00007B260000}"/>
    <cellStyle name="Comma 39 2 3" xfId="8834" xr:uid="{00000000-0005-0000-0000-00007C260000}"/>
    <cellStyle name="Comma 39 2 3 2" xfId="11219" xr:uid="{00000000-0005-0000-0000-00007D260000}"/>
    <cellStyle name="Comma 39 2 3 2 2" xfId="12488" xr:uid="{00000000-0005-0000-0000-00007E260000}"/>
    <cellStyle name="Comma 39 2 3 2 2 2" xfId="25561" xr:uid="{00000000-0005-0000-0000-00007F260000}"/>
    <cellStyle name="Comma 39 2 3 2 3" xfId="12489" xr:uid="{00000000-0005-0000-0000-000080260000}"/>
    <cellStyle name="Comma 39 2 3 2 3 2" xfId="25562" xr:uid="{00000000-0005-0000-0000-000081260000}"/>
    <cellStyle name="Comma 39 2 3 2 4" xfId="24589" xr:uid="{00000000-0005-0000-0000-000082260000}"/>
    <cellStyle name="Comma 39 2 3 3" xfId="12490" xr:uid="{00000000-0005-0000-0000-000083260000}"/>
    <cellStyle name="Comma 39 2 3 3 2" xfId="25563" xr:uid="{00000000-0005-0000-0000-000084260000}"/>
    <cellStyle name="Comma 39 2 3 4" xfId="12491" xr:uid="{00000000-0005-0000-0000-000085260000}"/>
    <cellStyle name="Comma 39 2 3 4 2" xfId="25564" xr:uid="{00000000-0005-0000-0000-000086260000}"/>
    <cellStyle name="Comma 39 2 3 5" xfId="22433" xr:uid="{00000000-0005-0000-0000-000087260000}"/>
    <cellStyle name="Comma 39 2 4" xfId="10141" xr:uid="{00000000-0005-0000-0000-000088260000}"/>
    <cellStyle name="Comma 39 2 4 2" xfId="12492" xr:uid="{00000000-0005-0000-0000-000089260000}"/>
    <cellStyle name="Comma 39 2 4 2 2" xfId="25565" xr:uid="{00000000-0005-0000-0000-00008A260000}"/>
    <cellStyle name="Comma 39 2 4 3" xfId="12493" xr:uid="{00000000-0005-0000-0000-00008B260000}"/>
    <cellStyle name="Comma 39 2 4 3 2" xfId="25566" xr:uid="{00000000-0005-0000-0000-00008C260000}"/>
    <cellStyle name="Comma 39 2 4 4" xfId="23511" xr:uid="{00000000-0005-0000-0000-00008D260000}"/>
    <cellStyle name="Comma 39 2 5" xfId="12494" xr:uid="{00000000-0005-0000-0000-00008E260000}"/>
    <cellStyle name="Comma 39 2 5 2" xfId="25567" xr:uid="{00000000-0005-0000-0000-00008F260000}"/>
    <cellStyle name="Comma 39 2 6" xfId="12495" xr:uid="{00000000-0005-0000-0000-000090260000}"/>
    <cellStyle name="Comma 39 2 6 2" xfId="25568" xr:uid="{00000000-0005-0000-0000-000091260000}"/>
    <cellStyle name="Comma 39 2 7" xfId="21355" xr:uid="{00000000-0005-0000-0000-000092260000}"/>
    <cellStyle name="Comma 39 3" xfId="7232" xr:uid="{00000000-0005-0000-0000-000093260000}"/>
    <cellStyle name="Comma 39 3 2" xfId="9111" xr:uid="{00000000-0005-0000-0000-000094260000}"/>
    <cellStyle name="Comma 39 3 2 2" xfId="11490" xr:uid="{00000000-0005-0000-0000-000095260000}"/>
    <cellStyle name="Comma 39 3 2 2 2" xfId="12496" xr:uid="{00000000-0005-0000-0000-000096260000}"/>
    <cellStyle name="Comma 39 3 2 2 2 2" xfId="25569" xr:uid="{00000000-0005-0000-0000-000097260000}"/>
    <cellStyle name="Comma 39 3 2 2 3" xfId="12497" xr:uid="{00000000-0005-0000-0000-000098260000}"/>
    <cellStyle name="Comma 39 3 2 2 3 2" xfId="25570" xr:uid="{00000000-0005-0000-0000-000099260000}"/>
    <cellStyle name="Comma 39 3 2 2 4" xfId="24860" xr:uid="{00000000-0005-0000-0000-00009A260000}"/>
    <cellStyle name="Comma 39 3 2 3" xfId="12498" xr:uid="{00000000-0005-0000-0000-00009B260000}"/>
    <cellStyle name="Comma 39 3 2 3 2" xfId="25571" xr:uid="{00000000-0005-0000-0000-00009C260000}"/>
    <cellStyle name="Comma 39 3 2 4" xfId="12499" xr:uid="{00000000-0005-0000-0000-00009D260000}"/>
    <cellStyle name="Comma 39 3 2 4 2" xfId="25572" xr:uid="{00000000-0005-0000-0000-00009E260000}"/>
    <cellStyle name="Comma 39 3 2 5" xfId="22704" xr:uid="{00000000-0005-0000-0000-00009F260000}"/>
    <cellStyle name="Comma 39 3 3" xfId="10412" xr:uid="{00000000-0005-0000-0000-0000A0260000}"/>
    <cellStyle name="Comma 39 3 3 2" xfId="12500" xr:uid="{00000000-0005-0000-0000-0000A1260000}"/>
    <cellStyle name="Comma 39 3 3 2 2" xfId="25573" xr:uid="{00000000-0005-0000-0000-0000A2260000}"/>
    <cellStyle name="Comma 39 3 3 3" xfId="12501" xr:uid="{00000000-0005-0000-0000-0000A3260000}"/>
    <cellStyle name="Comma 39 3 3 3 2" xfId="25574" xr:uid="{00000000-0005-0000-0000-0000A4260000}"/>
    <cellStyle name="Comma 39 3 3 4" xfId="23782" xr:uid="{00000000-0005-0000-0000-0000A5260000}"/>
    <cellStyle name="Comma 39 3 4" xfId="12502" xr:uid="{00000000-0005-0000-0000-0000A6260000}"/>
    <cellStyle name="Comma 39 3 4 2" xfId="25575" xr:uid="{00000000-0005-0000-0000-0000A7260000}"/>
    <cellStyle name="Comma 39 3 5" xfId="12503" xr:uid="{00000000-0005-0000-0000-0000A8260000}"/>
    <cellStyle name="Comma 39 3 5 2" xfId="25576" xr:uid="{00000000-0005-0000-0000-0000A9260000}"/>
    <cellStyle name="Comma 39 3 6" xfId="21626" xr:uid="{00000000-0005-0000-0000-0000AA260000}"/>
    <cellStyle name="Comma 39 4" xfId="8540" xr:uid="{00000000-0005-0000-0000-0000AB260000}"/>
    <cellStyle name="Comma 39 4 2" xfId="10950" xr:uid="{00000000-0005-0000-0000-0000AC260000}"/>
    <cellStyle name="Comma 39 4 2 2" xfId="12504" xr:uid="{00000000-0005-0000-0000-0000AD260000}"/>
    <cellStyle name="Comma 39 4 2 2 2" xfId="25577" xr:uid="{00000000-0005-0000-0000-0000AE260000}"/>
    <cellStyle name="Comma 39 4 2 3" xfId="12505" xr:uid="{00000000-0005-0000-0000-0000AF260000}"/>
    <cellStyle name="Comma 39 4 2 3 2" xfId="25578" xr:uid="{00000000-0005-0000-0000-0000B0260000}"/>
    <cellStyle name="Comma 39 4 2 4" xfId="24320" xr:uid="{00000000-0005-0000-0000-0000B1260000}"/>
    <cellStyle name="Comma 39 4 3" xfId="12506" xr:uid="{00000000-0005-0000-0000-0000B2260000}"/>
    <cellStyle name="Comma 39 4 3 2" xfId="25579" xr:uid="{00000000-0005-0000-0000-0000B3260000}"/>
    <cellStyle name="Comma 39 4 4" xfId="12507" xr:uid="{00000000-0005-0000-0000-0000B4260000}"/>
    <cellStyle name="Comma 39 4 4 2" xfId="25580" xr:uid="{00000000-0005-0000-0000-0000B5260000}"/>
    <cellStyle name="Comma 39 4 5" xfId="22164" xr:uid="{00000000-0005-0000-0000-0000B6260000}"/>
    <cellStyle name="Comma 39 5" xfId="9872" xr:uid="{00000000-0005-0000-0000-0000B7260000}"/>
    <cellStyle name="Comma 39 5 2" xfId="12508" xr:uid="{00000000-0005-0000-0000-0000B8260000}"/>
    <cellStyle name="Comma 39 5 2 2" xfId="25581" xr:uid="{00000000-0005-0000-0000-0000B9260000}"/>
    <cellStyle name="Comma 39 5 3" xfId="12509" xr:uid="{00000000-0005-0000-0000-0000BA260000}"/>
    <cellStyle name="Comma 39 5 3 2" xfId="25582" xr:uid="{00000000-0005-0000-0000-0000BB260000}"/>
    <cellStyle name="Comma 39 5 4" xfId="23242" xr:uid="{00000000-0005-0000-0000-0000BC260000}"/>
    <cellStyle name="Comma 39 6" xfId="12510" xr:uid="{00000000-0005-0000-0000-0000BD260000}"/>
    <cellStyle name="Comma 39 6 2" xfId="25583" xr:uid="{00000000-0005-0000-0000-0000BE260000}"/>
    <cellStyle name="Comma 39 7" xfId="12511" xr:uid="{00000000-0005-0000-0000-0000BF260000}"/>
    <cellStyle name="Comma 39 7 2" xfId="25584" xr:uid="{00000000-0005-0000-0000-0000C0260000}"/>
    <cellStyle name="Comma 39 8" xfId="21086" xr:uid="{00000000-0005-0000-0000-0000C1260000}"/>
    <cellStyle name="Comma 4" xfId="3958" xr:uid="{00000000-0005-0000-0000-0000C2260000}"/>
    <cellStyle name="Comma 4 10" xfId="36214" xr:uid="{00000000-0005-0000-0000-0000C3260000}"/>
    <cellStyle name="Comma 4 11" xfId="36215" xr:uid="{00000000-0005-0000-0000-0000C4260000}"/>
    <cellStyle name="Comma 4 12" xfId="36216" xr:uid="{00000000-0005-0000-0000-0000C5260000}"/>
    <cellStyle name="Comma 4 13" xfId="36217" xr:uid="{00000000-0005-0000-0000-0000C6260000}"/>
    <cellStyle name="Comma 4 14" xfId="36218" xr:uid="{00000000-0005-0000-0000-0000C7260000}"/>
    <cellStyle name="Comma 4 15" xfId="36219" xr:uid="{00000000-0005-0000-0000-0000C8260000}"/>
    <cellStyle name="Comma 4 16" xfId="36220" xr:uid="{00000000-0005-0000-0000-0000C9260000}"/>
    <cellStyle name="Comma 4 17" xfId="36221" xr:uid="{00000000-0005-0000-0000-0000CA260000}"/>
    <cellStyle name="Comma 4 18" xfId="36222" xr:uid="{00000000-0005-0000-0000-0000CB260000}"/>
    <cellStyle name="Comma 4 19" xfId="36223" xr:uid="{00000000-0005-0000-0000-0000CC260000}"/>
    <cellStyle name="Comma 4 2" xfId="4115" xr:uid="{00000000-0005-0000-0000-0000CD260000}"/>
    <cellStyle name="Comma 4 2 2" xfId="36224" xr:uid="{00000000-0005-0000-0000-0000CE260000}"/>
    <cellStyle name="Comma 4 20" xfId="36225" xr:uid="{00000000-0005-0000-0000-0000CF260000}"/>
    <cellStyle name="Comma 4 21" xfId="36226" xr:uid="{00000000-0005-0000-0000-0000D0260000}"/>
    <cellStyle name="Comma 4 22" xfId="36227" xr:uid="{00000000-0005-0000-0000-0000D1260000}"/>
    <cellStyle name="Comma 4 23" xfId="36228" xr:uid="{00000000-0005-0000-0000-0000D2260000}"/>
    <cellStyle name="Comma 4 24" xfId="36229" xr:uid="{00000000-0005-0000-0000-0000D3260000}"/>
    <cellStyle name="Comma 4 25" xfId="36230" xr:uid="{00000000-0005-0000-0000-0000D4260000}"/>
    <cellStyle name="Comma 4 26" xfId="36231" xr:uid="{00000000-0005-0000-0000-0000D5260000}"/>
    <cellStyle name="Comma 4 27" xfId="36232" xr:uid="{00000000-0005-0000-0000-0000D6260000}"/>
    <cellStyle name="Comma 4 28" xfId="36233" xr:uid="{00000000-0005-0000-0000-0000D7260000}"/>
    <cellStyle name="Comma 4 29" xfId="36234" xr:uid="{00000000-0005-0000-0000-0000D8260000}"/>
    <cellStyle name="Comma 4 3" xfId="34227" xr:uid="{00000000-0005-0000-0000-0000D9260000}"/>
    <cellStyle name="Comma 4 3 2" xfId="36235" xr:uid="{00000000-0005-0000-0000-0000DA260000}"/>
    <cellStyle name="Comma 4 30" xfId="36236" xr:uid="{00000000-0005-0000-0000-0000DB260000}"/>
    <cellStyle name="Comma 4 31" xfId="36237" xr:uid="{00000000-0005-0000-0000-0000DC260000}"/>
    <cellStyle name="Comma 4 32" xfId="36238" xr:uid="{00000000-0005-0000-0000-0000DD260000}"/>
    <cellStyle name="Comma 4 33" xfId="36239" xr:uid="{00000000-0005-0000-0000-0000DE260000}"/>
    <cellStyle name="Comma 4 34" xfId="36240" xr:uid="{00000000-0005-0000-0000-0000DF260000}"/>
    <cellStyle name="Comma 4 35" xfId="36241" xr:uid="{00000000-0005-0000-0000-0000E0260000}"/>
    <cellStyle name="Comma 4 36" xfId="36242" xr:uid="{00000000-0005-0000-0000-0000E1260000}"/>
    <cellStyle name="Comma 4 37" xfId="36243" xr:uid="{00000000-0005-0000-0000-0000E2260000}"/>
    <cellStyle name="Comma 4 38" xfId="36244" xr:uid="{00000000-0005-0000-0000-0000E3260000}"/>
    <cellStyle name="Comma 4 39" xfId="36245" xr:uid="{00000000-0005-0000-0000-0000E4260000}"/>
    <cellStyle name="Comma 4 4" xfId="34228" xr:uid="{00000000-0005-0000-0000-0000E5260000}"/>
    <cellStyle name="Comma 4 4 2" xfId="36246" xr:uid="{00000000-0005-0000-0000-0000E6260000}"/>
    <cellStyle name="Comma 4 40" xfId="36247" xr:uid="{00000000-0005-0000-0000-0000E7260000}"/>
    <cellStyle name="Comma 4 41" xfId="36248" xr:uid="{00000000-0005-0000-0000-0000E8260000}"/>
    <cellStyle name="Comma 4 42" xfId="36249" xr:uid="{00000000-0005-0000-0000-0000E9260000}"/>
    <cellStyle name="Comma 4 43" xfId="36250" xr:uid="{00000000-0005-0000-0000-0000EA260000}"/>
    <cellStyle name="Comma 4 44" xfId="36251" xr:uid="{00000000-0005-0000-0000-0000EB260000}"/>
    <cellStyle name="Comma 4 45" xfId="36252" xr:uid="{00000000-0005-0000-0000-0000EC260000}"/>
    <cellStyle name="Comma 4 46" xfId="36253" xr:uid="{00000000-0005-0000-0000-0000ED260000}"/>
    <cellStyle name="Comma 4 47" xfId="36254" xr:uid="{00000000-0005-0000-0000-0000EE260000}"/>
    <cellStyle name="Comma 4 48" xfId="36255" xr:uid="{00000000-0005-0000-0000-0000EF260000}"/>
    <cellStyle name="Comma 4 49" xfId="36256" xr:uid="{00000000-0005-0000-0000-0000F0260000}"/>
    <cellStyle name="Comma 4 5" xfId="36257" xr:uid="{00000000-0005-0000-0000-0000F1260000}"/>
    <cellStyle name="Comma 4 50" xfId="36258" xr:uid="{00000000-0005-0000-0000-0000F2260000}"/>
    <cellStyle name="Comma 4 51" xfId="36259" xr:uid="{00000000-0005-0000-0000-0000F3260000}"/>
    <cellStyle name="Comma 4 52" xfId="36260" xr:uid="{00000000-0005-0000-0000-0000F4260000}"/>
    <cellStyle name="Comma 4 53" xfId="36261" xr:uid="{00000000-0005-0000-0000-0000F5260000}"/>
    <cellStyle name="Comma 4 54" xfId="36262" xr:uid="{00000000-0005-0000-0000-0000F6260000}"/>
    <cellStyle name="Comma 4 55" xfId="36263" xr:uid="{00000000-0005-0000-0000-0000F7260000}"/>
    <cellStyle name="Comma 4 56" xfId="36264" xr:uid="{00000000-0005-0000-0000-0000F8260000}"/>
    <cellStyle name="Comma 4 57" xfId="36265" xr:uid="{00000000-0005-0000-0000-0000F9260000}"/>
    <cellStyle name="Comma 4 58" xfId="36266" xr:uid="{00000000-0005-0000-0000-0000FA260000}"/>
    <cellStyle name="Comma 4 59" xfId="36267" xr:uid="{00000000-0005-0000-0000-0000FB260000}"/>
    <cellStyle name="Comma 4 6" xfId="36268" xr:uid="{00000000-0005-0000-0000-0000FC260000}"/>
    <cellStyle name="Comma 4 60" xfId="36269" xr:uid="{00000000-0005-0000-0000-0000FD260000}"/>
    <cellStyle name="Comma 4 61" xfId="36213" xr:uid="{00000000-0005-0000-0000-0000FE260000}"/>
    <cellStyle name="Comma 4 7" xfId="36270" xr:uid="{00000000-0005-0000-0000-0000FF260000}"/>
    <cellStyle name="Comma 4 8" xfId="36271" xr:uid="{00000000-0005-0000-0000-000000270000}"/>
    <cellStyle name="Comma 4 9" xfId="36272" xr:uid="{00000000-0005-0000-0000-000001270000}"/>
    <cellStyle name="Comma 40" xfId="5328" xr:uid="{00000000-0005-0000-0000-000002270000}"/>
    <cellStyle name="Comma 40 2" xfId="6699" xr:uid="{00000000-0005-0000-0000-000003270000}"/>
    <cellStyle name="Comma 40 2 2" xfId="7387" xr:uid="{00000000-0005-0000-0000-000004270000}"/>
    <cellStyle name="Comma 40 2 2 2" xfId="9266" xr:uid="{00000000-0005-0000-0000-000005270000}"/>
    <cellStyle name="Comma 40 2 2 2 2" xfId="11645" xr:uid="{00000000-0005-0000-0000-000006270000}"/>
    <cellStyle name="Comma 40 2 2 2 2 2" xfId="12512" xr:uid="{00000000-0005-0000-0000-000007270000}"/>
    <cellStyle name="Comma 40 2 2 2 2 2 2" xfId="25585" xr:uid="{00000000-0005-0000-0000-000008270000}"/>
    <cellStyle name="Comma 40 2 2 2 2 3" xfId="12513" xr:uid="{00000000-0005-0000-0000-000009270000}"/>
    <cellStyle name="Comma 40 2 2 2 2 3 2" xfId="25586" xr:uid="{00000000-0005-0000-0000-00000A270000}"/>
    <cellStyle name="Comma 40 2 2 2 2 4" xfId="25015" xr:uid="{00000000-0005-0000-0000-00000B270000}"/>
    <cellStyle name="Comma 40 2 2 2 3" xfId="12514" xr:uid="{00000000-0005-0000-0000-00000C270000}"/>
    <cellStyle name="Comma 40 2 2 2 3 2" xfId="25587" xr:uid="{00000000-0005-0000-0000-00000D270000}"/>
    <cellStyle name="Comma 40 2 2 2 4" xfId="12515" xr:uid="{00000000-0005-0000-0000-00000E270000}"/>
    <cellStyle name="Comma 40 2 2 2 4 2" xfId="25588" xr:uid="{00000000-0005-0000-0000-00000F270000}"/>
    <cellStyle name="Comma 40 2 2 2 5" xfId="22859" xr:uid="{00000000-0005-0000-0000-000010270000}"/>
    <cellStyle name="Comma 40 2 2 3" xfId="10567" xr:uid="{00000000-0005-0000-0000-000011270000}"/>
    <cellStyle name="Comma 40 2 2 3 2" xfId="12516" xr:uid="{00000000-0005-0000-0000-000012270000}"/>
    <cellStyle name="Comma 40 2 2 3 2 2" xfId="25589" xr:uid="{00000000-0005-0000-0000-000013270000}"/>
    <cellStyle name="Comma 40 2 2 3 3" xfId="12517" xr:uid="{00000000-0005-0000-0000-000014270000}"/>
    <cellStyle name="Comma 40 2 2 3 3 2" xfId="25590" xr:uid="{00000000-0005-0000-0000-000015270000}"/>
    <cellStyle name="Comma 40 2 2 3 4" xfId="23937" xr:uid="{00000000-0005-0000-0000-000016270000}"/>
    <cellStyle name="Comma 40 2 2 4" xfId="12518" xr:uid="{00000000-0005-0000-0000-000017270000}"/>
    <cellStyle name="Comma 40 2 2 4 2" xfId="25591" xr:uid="{00000000-0005-0000-0000-000018270000}"/>
    <cellStyle name="Comma 40 2 2 5" xfId="12519" xr:uid="{00000000-0005-0000-0000-000019270000}"/>
    <cellStyle name="Comma 40 2 2 5 2" xfId="25592" xr:uid="{00000000-0005-0000-0000-00001A270000}"/>
    <cellStyle name="Comma 40 2 2 6" xfId="21781" xr:uid="{00000000-0005-0000-0000-00001B270000}"/>
    <cellStyle name="Comma 40 2 3" xfId="8720" xr:uid="{00000000-0005-0000-0000-00001C270000}"/>
    <cellStyle name="Comma 40 2 3 2" xfId="11105" xr:uid="{00000000-0005-0000-0000-00001D270000}"/>
    <cellStyle name="Comma 40 2 3 2 2" xfId="12520" xr:uid="{00000000-0005-0000-0000-00001E270000}"/>
    <cellStyle name="Comma 40 2 3 2 2 2" xfId="25593" xr:uid="{00000000-0005-0000-0000-00001F270000}"/>
    <cellStyle name="Comma 40 2 3 2 3" xfId="12521" xr:uid="{00000000-0005-0000-0000-000020270000}"/>
    <cellStyle name="Comma 40 2 3 2 3 2" xfId="25594" xr:uid="{00000000-0005-0000-0000-000021270000}"/>
    <cellStyle name="Comma 40 2 3 2 4" xfId="24475" xr:uid="{00000000-0005-0000-0000-000022270000}"/>
    <cellStyle name="Comma 40 2 3 3" xfId="12522" xr:uid="{00000000-0005-0000-0000-000023270000}"/>
    <cellStyle name="Comma 40 2 3 3 2" xfId="25595" xr:uid="{00000000-0005-0000-0000-000024270000}"/>
    <cellStyle name="Comma 40 2 3 4" xfId="12523" xr:uid="{00000000-0005-0000-0000-000025270000}"/>
    <cellStyle name="Comma 40 2 3 4 2" xfId="25596" xr:uid="{00000000-0005-0000-0000-000026270000}"/>
    <cellStyle name="Comma 40 2 3 5" xfId="22319" xr:uid="{00000000-0005-0000-0000-000027270000}"/>
    <cellStyle name="Comma 40 2 4" xfId="10027" xr:uid="{00000000-0005-0000-0000-000028270000}"/>
    <cellStyle name="Comma 40 2 4 2" xfId="12524" xr:uid="{00000000-0005-0000-0000-000029270000}"/>
    <cellStyle name="Comma 40 2 4 2 2" xfId="25597" xr:uid="{00000000-0005-0000-0000-00002A270000}"/>
    <cellStyle name="Comma 40 2 4 3" xfId="12525" xr:uid="{00000000-0005-0000-0000-00002B270000}"/>
    <cellStyle name="Comma 40 2 4 3 2" xfId="25598" xr:uid="{00000000-0005-0000-0000-00002C270000}"/>
    <cellStyle name="Comma 40 2 4 4" xfId="23397" xr:uid="{00000000-0005-0000-0000-00002D270000}"/>
    <cellStyle name="Comma 40 2 5" xfId="12526" xr:uid="{00000000-0005-0000-0000-00002E270000}"/>
    <cellStyle name="Comma 40 2 5 2" xfId="25599" xr:uid="{00000000-0005-0000-0000-00002F270000}"/>
    <cellStyle name="Comma 40 2 6" xfId="12527" xr:uid="{00000000-0005-0000-0000-000030270000}"/>
    <cellStyle name="Comma 40 2 6 2" xfId="25600" xr:uid="{00000000-0005-0000-0000-000031270000}"/>
    <cellStyle name="Comma 40 2 7" xfId="21241" xr:uid="{00000000-0005-0000-0000-000032270000}"/>
    <cellStyle name="Comma 40 3" xfId="7118" xr:uid="{00000000-0005-0000-0000-000033270000}"/>
    <cellStyle name="Comma 40 3 2" xfId="8997" xr:uid="{00000000-0005-0000-0000-000034270000}"/>
    <cellStyle name="Comma 40 3 2 2" xfId="11376" xr:uid="{00000000-0005-0000-0000-000035270000}"/>
    <cellStyle name="Comma 40 3 2 2 2" xfId="12528" xr:uid="{00000000-0005-0000-0000-000036270000}"/>
    <cellStyle name="Comma 40 3 2 2 2 2" xfId="25601" xr:uid="{00000000-0005-0000-0000-000037270000}"/>
    <cellStyle name="Comma 40 3 2 2 3" xfId="12529" xr:uid="{00000000-0005-0000-0000-000038270000}"/>
    <cellStyle name="Comma 40 3 2 2 3 2" xfId="25602" xr:uid="{00000000-0005-0000-0000-000039270000}"/>
    <cellStyle name="Comma 40 3 2 2 4" xfId="24746" xr:uid="{00000000-0005-0000-0000-00003A270000}"/>
    <cellStyle name="Comma 40 3 2 3" xfId="12530" xr:uid="{00000000-0005-0000-0000-00003B270000}"/>
    <cellStyle name="Comma 40 3 2 3 2" xfId="25603" xr:uid="{00000000-0005-0000-0000-00003C270000}"/>
    <cellStyle name="Comma 40 3 2 4" xfId="12531" xr:uid="{00000000-0005-0000-0000-00003D270000}"/>
    <cellStyle name="Comma 40 3 2 4 2" xfId="25604" xr:uid="{00000000-0005-0000-0000-00003E270000}"/>
    <cellStyle name="Comma 40 3 2 5" xfId="22590" xr:uid="{00000000-0005-0000-0000-00003F270000}"/>
    <cellStyle name="Comma 40 3 3" xfId="10298" xr:uid="{00000000-0005-0000-0000-000040270000}"/>
    <cellStyle name="Comma 40 3 3 2" xfId="12532" xr:uid="{00000000-0005-0000-0000-000041270000}"/>
    <cellStyle name="Comma 40 3 3 2 2" xfId="25605" xr:uid="{00000000-0005-0000-0000-000042270000}"/>
    <cellStyle name="Comma 40 3 3 3" xfId="12533" xr:uid="{00000000-0005-0000-0000-000043270000}"/>
    <cellStyle name="Comma 40 3 3 3 2" xfId="25606" xr:uid="{00000000-0005-0000-0000-000044270000}"/>
    <cellStyle name="Comma 40 3 3 4" xfId="23668" xr:uid="{00000000-0005-0000-0000-000045270000}"/>
    <cellStyle name="Comma 40 3 4" xfId="12534" xr:uid="{00000000-0005-0000-0000-000046270000}"/>
    <cellStyle name="Comma 40 3 4 2" xfId="25607" xr:uid="{00000000-0005-0000-0000-000047270000}"/>
    <cellStyle name="Comma 40 3 5" xfId="12535" xr:uid="{00000000-0005-0000-0000-000048270000}"/>
    <cellStyle name="Comma 40 3 5 2" xfId="25608" xr:uid="{00000000-0005-0000-0000-000049270000}"/>
    <cellStyle name="Comma 40 3 6" xfId="21512" xr:uid="{00000000-0005-0000-0000-00004A270000}"/>
    <cellStyle name="Comma 40 4" xfId="8385" xr:uid="{00000000-0005-0000-0000-00004B270000}"/>
    <cellStyle name="Comma 40 4 2" xfId="10836" xr:uid="{00000000-0005-0000-0000-00004C270000}"/>
    <cellStyle name="Comma 40 4 2 2" xfId="12536" xr:uid="{00000000-0005-0000-0000-00004D270000}"/>
    <cellStyle name="Comma 40 4 2 2 2" xfId="25609" xr:uid="{00000000-0005-0000-0000-00004E270000}"/>
    <cellStyle name="Comma 40 4 2 3" xfId="12537" xr:uid="{00000000-0005-0000-0000-00004F270000}"/>
    <cellStyle name="Comma 40 4 2 3 2" xfId="25610" xr:uid="{00000000-0005-0000-0000-000050270000}"/>
    <cellStyle name="Comma 40 4 2 4" xfId="24206" xr:uid="{00000000-0005-0000-0000-000051270000}"/>
    <cellStyle name="Comma 40 4 3" xfId="12538" xr:uid="{00000000-0005-0000-0000-000052270000}"/>
    <cellStyle name="Comma 40 4 3 2" xfId="25611" xr:uid="{00000000-0005-0000-0000-000053270000}"/>
    <cellStyle name="Comma 40 4 4" xfId="12539" xr:uid="{00000000-0005-0000-0000-000054270000}"/>
    <cellStyle name="Comma 40 4 4 2" xfId="25612" xr:uid="{00000000-0005-0000-0000-000055270000}"/>
    <cellStyle name="Comma 40 4 5" xfId="22050" xr:uid="{00000000-0005-0000-0000-000056270000}"/>
    <cellStyle name="Comma 40 5" xfId="9758" xr:uid="{00000000-0005-0000-0000-000057270000}"/>
    <cellStyle name="Comma 40 5 2" xfId="12540" xr:uid="{00000000-0005-0000-0000-000058270000}"/>
    <cellStyle name="Comma 40 5 2 2" xfId="25613" xr:uid="{00000000-0005-0000-0000-000059270000}"/>
    <cellStyle name="Comma 40 5 3" xfId="12541" xr:uid="{00000000-0005-0000-0000-00005A270000}"/>
    <cellStyle name="Comma 40 5 3 2" xfId="25614" xr:uid="{00000000-0005-0000-0000-00005B270000}"/>
    <cellStyle name="Comma 40 5 4" xfId="23128" xr:uid="{00000000-0005-0000-0000-00005C270000}"/>
    <cellStyle name="Comma 40 6" xfId="12542" xr:uid="{00000000-0005-0000-0000-00005D270000}"/>
    <cellStyle name="Comma 40 6 2" xfId="25615" xr:uid="{00000000-0005-0000-0000-00005E270000}"/>
    <cellStyle name="Comma 40 7" xfId="12543" xr:uid="{00000000-0005-0000-0000-00005F270000}"/>
    <cellStyle name="Comma 40 7 2" xfId="25616" xr:uid="{00000000-0005-0000-0000-000060270000}"/>
    <cellStyle name="Comma 40 8" xfId="20972" xr:uid="{00000000-0005-0000-0000-000061270000}"/>
    <cellStyle name="Comma 41" xfId="4999" xr:uid="{00000000-0005-0000-0000-000062270000}"/>
    <cellStyle name="Comma 41 2" xfId="6683" xr:uid="{00000000-0005-0000-0000-000063270000}"/>
    <cellStyle name="Comma 41 2 2" xfId="7372" xr:uid="{00000000-0005-0000-0000-000064270000}"/>
    <cellStyle name="Comma 41 2 2 2" xfId="9251" xr:uid="{00000000-0005-0000-0000-000065270000}"/>
    <cellStyle name="Comma 41 2 2 2 2" xfId="11630" xr:uid="{00000000-0005-0000-0000-000066270000}"/>
    <cellStyle name="Comma 41 2 2 2 2 2" xfId="12544" xr:uid="{00000000-0005-0000-0000-000067270000}"/>
    <cellStyle name="Comma 41 2 2 2 2 2 2" xfId="25617" xr:uid="{00000000-0005-0000-0000-000068270000}"/>
    <cellStyle name="Comma 41 2 2 2 2 3" xfId="12545" xr:uid="{00000000-0005-0000-0000-000069270000}"/>
    <cellStyle name="Comma 41 2 2 2 2 3 2" xfId="25618" xr:uid="{00000000-0005-0000-0000-00006A270000}"/>
    <cellStyle name="Comma 41 2 2 2 2 4" xfId="25000" xr:uid="{00000000-0005-0000-0000-00006B270000}"/>
    <cellStyle name="Comma 41 2 2 2 3" xfId="12546" xr:uid="{00000000-0005-0000-0000-00006C270000}"/>
    <cellStyle name="Comma 41 2 2 2 3 2" xfId="25619" xr:uid="{00000000-0005-0000-0000-00006D270000}"/>
    <cellStyle name="Comma 41 2 2 2 4" xfId="12547" xr:uid="{00000000-0005-0000-0000-00006E270000}"/>
    <cellStyle name="Comma 41 2 2 2 4 2" xfId="25620" xr:uid="{00000000-0005-0000-0000-00006F270000}"/>
    <cellStyle name="Comma 41 2 2 2 5" xfId="22844" xr:uid="{00000000-0005-0000-0000-000070270000}"/>
    <cellStyle name="Comma 41 2 2 3" xfId="10552" xr:uid="{00000000-0005-0000-0000-000071270000}"/>
    <cellStyle name="Comma 41 2 2 3 2" xfId="12548" xr:uid="{00000000-0005-0000-0000-000072270000}"/>
    <cellStyle name="Comma 41 2 2 3 2 2" xfId="25621" xr:uid="{00000000-0005-0000-0000-000073270000}"/>
    <cellStyle name="Comma 41 2 2 3 3" xfId="12549" xr:uid="{00000000-0005-0000-0000-000074270000}"/>
    <cellStyle name="Comma 41 2 2 3 3 2" xfId="25622" xr:uid="{00000000-0005-0000-0000-000075270000}"/>
    <cellStyle name="Comma 41 2 2 3 4" xfId="23922" xr:uid="{00000000-0005-0000-0000-000076270000}"/>
    <cellStyle name="Comma 41 2 2 4" xfId="12550" xr:uid="{00000000-0005-0000-0000-000077270000}"/>
    <cellStyle name="Comma 41 2 2 4 2" xfId="25623" xr:uid="{00000000-0005-0000-0000-000078270000}"/>
    <cellStyle name="Comma 41 2 2 5" xfId="12551" xr:uid="{00000000-0005-0000-0000-000079270000}"/>
    <cellStyle name="Comma 41 2 2 5 2" xfId="25624" xr:uid="{00000000-0005-0000-0000-00007A270000}"/>
    <cellStyle name="Comma 41 2 2 6" xfId="21766" xr:uid="{00000000-0005-0000-0000-00007B270000}"/>
    <cellStyle name="Comma 41 2 3" xfId="8705" xr:uid="{00000000-0005-0000-0000-00007C270000}"/>
    <cellStyle name="Comma 41 2 3 2" xfId="11090" xr:uid="{00000000-0005-0000-0000-00007D270000}"/>
    <cellStyle name="Comma 41 2 3 2 2" xfId="12552" xr:uid="{00000000-0005-0000-0000-00007E270000}"/>
    <cellStyle name="Comma 41 2 3 2 2 2" xfId="25625" xr:uid="{00000000-0005-0000-0000-00007F270000}"/>
    <cellStyle name="Comma 41 2 3 2 3" xfId="12553" xr:uid="{00000000-0005-0000-0000-000080270000}"/>
    <cellStyle name="Comma 41 2 3 2 3 2" xfId="25626" xr:uid="{00000000-0005-0000-0000-000081270000}"/>
    <cellStyle name="Comma 41 2 3 2 4" xfId="24460" xr:uid="{00000000-0005-0000-0000-000082270000}"/>
    <cellStyle name="Comma 41 2 3 3" xfId="12554" xr:uid="{00000000-0005-0000-0000-000083270000}"/>
    <cellStyle name="Comma 41 2 3 3 2" xfId="25627" xr:uid="{00000000-0005-0000-0000-000084270000}"/>
    <cellStyle name="Comma 41 2 3 4" xfId="12555" xr:uid="{00000000-0005-0000-0000-000085270000}"/>
    <cellStyle name="Comma 41 2 3 4 2" xfId="25628" xr:uid="{00000000-0005-0000-0000-000086270000}"/>
    <cellStyle name="Comma 41 2 3 5" xfId="22304" xr:uid="{00000000-0005-0000-0000-000087270000}"/>
    <cellStyle name="Comma 41 2 4" xfId="10012" xr:uid="{00000000-0005-0000-0000-000088270000}"/>
    <cellStyle name="Comma 41 2 4 2" xfId="12556" xr:uid="{00000000-0005-0000-0000-000089270000}"/>
    <cellStyle name="Comma 41 2 4 2 2" xfId="25629" xr:uid="{00000000-0005-0000-0000-00008A270000}"/>
    <cellStyle name="Comma 41 2 4 3" xfId="12557" xr:uid="{00000000-0005-0000-0000-00008B270000}"/>
    <cellStyle name="Comma 41 2 4 3 2" xfId="25630" xr:uid="{00000000-0005-0000-0000-00008C270000}"/>
    <cellStyle name="Comma 41 2 4 4" xfId="23382" xr:uid="{00000000-0005-0000-0000-00008D270000}"/>
    <cellStyle name="Comma 41 2 5" xfId="12558" xr:uid="{00000000-0005-0000-0000-00008E270000}"/>
    <cellStyle name="Comma 41 2 5 2" xfId="25631" xr:uid="{00000000-0005-0000-0000-00008F270000}"/>
    <cellStyle name="Comma 41 2 6" xfId="12559" xr:uid="{00000000-0005-0000-0000-000090270000}"/>
    <cellStyle name="Comma 41 2 6 2" xfId="25632" xr:uid="{00000000-0005-0000-0000-000091270000}"/>
    <cellStyle name="Comma 41 2 7" xfId="21226" xr:uid="{00000000-0005-0000-0000-000092270000}"/>
    <cellStyle name="Comma 41 3" xfId="7103" xr:uid="{00000000-0005-0000-0000-000093270000}"/>
    <cellStyle name="Comma 41 3 2" xfId="8982" xr:uid="{00000000-0005-0000-0000-000094270000}"/>
    <cellStyle name="Comma 41 3 2 2" xfId="11361" xr:uid="{00000000-0005-0000-0000-000095270000}"/>
    <cellStyle name="Comma 41 3 2 2 2" xfId="12560" xr:uid="{00000000-0005-0000-0000-000096270000}"/>
    <cellStyle name="Comma 41 3 2 2 2 2" xfId="25633" xr:uid="{00000000-0005-0000-0000-000097270000}"/>
    <cellStyle name="Comma 41 3 2 2 3" xfId="12561" xr:uid="{00000000-0005-0000-0000-000098270000}"/>
    <cellStyle name="Comma 41 3 2 2 3 2" xfId="25634" xr:uid="{00000000-0005-0000-0000-000099270000}"/>
    <cellStyle name="Comma 41 3 2 2 4" xfId="24731" xr:uid="{00000000-0005-0000-0000-00009A270000}"/>
    <cellStyle name="Comma 41 3 2 3" xfId="12562" xr:uid="{00000000-0005-0000-0000-00009B270000}"/>
    <cellStyle name="Comma 41 3 2 3 2" xfId="25635" xr:uid="{00000000-0005-0000-0000-00009C270000}"/>
    <cellStyle name="Comma 41 3 2 4" xfId="12563" xr:uid="{00000000-0005-0000-0000-00009D270000}"/>
    <cellStyle name="Comma 41 3 2 4 2" xfId="25636" xr:uid="{00000000-0005-0000-0000-00009E270000}"/>
    <cellStyle name="Comma 41 3 2 5" xfId="22575" xr:uid="{00000000-0005-0000-0000-00009F270000}"/>
    <cellStyle name="Comma 41 3 3" xfId="10283" xr:uid="{00000000-0005-0000-0000-0000A0270000}"/>
    <cellStyle name="Comma 41 3 3 2" xfId="12564" xr:uid="{00000000-0005-0000-0000-0000A1270000}"/>
    <cellStyle name="Comma 41 3 3 2 2" xfId="25637" xr:uid="{00000000-0005-0000-0000-0000A2270000}"/>
    <cellStyle name="Comma 41 3 3 3" xfId="12565" xr:uid="{00000000-0005-0000-0000-0000A3270000}"/>
    <cellStyle name="Comma 41 3 3 3 2" xfId="25638" xr:uid="{00000000-0005-0000-0000-0000A4270000}"/>
    <cellStyle name="Comma 41 3 3 4" xfId="23653" xr:uid="{00000000-0005-0000-0000-0000A5270000}"/>
    <cellStyle name="Comma 41 3 4" xfId="12566" xr:uid="{00000000-0005-0000-0000-0000A6270000}"/>
    <cellStyle name="Comma 41 3 4 2" xfId="25639" xr:uid="{00000000-0005-0000-0000-0000A7270000}"/>
    <cellStyle name="Comma 41 3 5" xfId="12567" xr:uid="{00000000-0005-0000-0000-0000A8270000}"/>
    <cellStyle name="Comma 41 3 5 2" xfId="25640" xr:uid="{00000000-0005-0000-0000-0000A9270000}"/>
    <cellStyle name="Comma 41 3 6" xfId="21497" xr:uid="{00000000-0005-0000-0000-0000AA270000}"/>
    <cellStyle name="Comma 41 4" xfId="8356" xr:uid="{00000000-0005-0000-0000-0000AB270000}"/>
    <cellStyle name="Comma 41 4 2" xfId="10821" xr:uid="{00000000-0005-0000-0000-0000AC270000}"/>
    <cellStyle name="Comma 41 4 2 2" xfId="12568" xr:uid="{00000000-0005-0000-0000-0000AD270000}"/>
    <cellStyle name="Comma 41 4 2 2 2" xfId="25641" xr:uid="{00000000-0005-0000-0000-0000AE270000}"/>
    <cellStyle name="Comma 41 4 2 3" xfId="12569" xr:uid="{00000000-0005-0000-0000-0000AF270000}"/>
    <cellStyle name="Comma 41 4 2 3 2" xfId="25642" xr:uid="{00000000-0005-0000-0000-0000B0270000}"/>
    <cellStyle name="Comma 41 4 2 4" xfId="24191" xr:uid="{00000000-0005-0000-0000-0000B1270000}"/>
    <cellStyle name="Comma 41 4 3" xfId="12570" xr:uid="{00000000-0005-0000-0000-0000B2270000}"/>
    <cellStyle name="Comma 41 4 3 2" xfId="25643" xr:uid="{00000000-0005-0000-0000-0000B3270000}"/>
    <cellStyle name="Comma 41 4 4" xfId="12571" xr:uid="{00000000-0005-0000-0000-0000B4270000}"/>
    <cellStyle name="Comma 41 4 4 2" xfId="25644" xr:uid="{00000000-0005-0000-0000-0000B5270000}"/>
    <cellStyle name="Comma 41 4 5" xfId="22035" xr:uid="{00000000-0005-0000-0000-0000B6270000}"/>
    <cellStyle name="Comma 41 5" xfId="9743" xr:uid="{00000000-0005-0000-0000-0000B7270000}"/>
    <cellStyle name="Comma 41 5 2" xfId="12572" xr:uid="{00000000-0005-0000-0000-0000B8270000}"/>
    <cellStyle name="Comma 41 5 2 2" xfId="25645" xr:uid="{00000000-0005-0000-0000-0000B9270000}"/>
    <cellStyle name="Comma 41 5 3" xfId="12573" xr:uid="{00000000-0005-0000-0000-0000BA270000}"/>
    <cellStyle name="Comma 41 5 3 2" xfId="25646" xr:uid="{00000000-0005-0000-0000-0000BB270000}"/>
    <cellStyle name="Comma 41 5 4" xfId="23113" xr:uid="{00000000-0005-0000-0000-0000BC270000}"/>
    <cellStyle name="Comma 41 6" xfId="12574" xr:uid="{00000000-0005-0000-0000-0000BD270000}"/>
    <cellStyle name="Comma 41 6 2" xfId="25647" xr:uid="{00000000-0005-0000-0000-0000BE270000}"/>
    <cellStyle name="Comma 41 7" xfId="12575" xr:uid="{00000000-0005-0000-0000-0000BF270000}"/>
    <cellStyle name="Comma 41 7 2" xfId="25648" xr:uid="{00000000-0005-0000-0000-0000C0270000}"/>
    <cellStyle name="Comma 41 8" xfId="20957" xr:uid="{00000000-0005-0000-0000-0000C1270000}"/>
    <cellStyle name="Comma 42" xfId="5211" xr:uid="{00000000-0005-0000-0000-0000C2270000}"/>
    <cellStyle name="Comma 42 2" xfId="6687" xr:uid="{00000000-0005-0000-0000-0000C3270000}"/>
    <cellStyle name="Comma 42 2 2" xfId="7376" xr:uid="{00000000-0005-0000-0000-0000C4270000}"/>
    <cellStyle name="Comma 42 2 2 2" xfId="9255" xr:uid="{00000000-0005-0000-0000-0000C5270000}"/>
    <cellStyle name="Comma 42 2 2 2 2" xfId="11634" xr:uid="{00000000-0005-0000-0000-0000C6270000}"/>
    <cellStyle name="Comma 42 2 2 2 2 2" xfId="12576" xr:uid="{00000000-0005-0000-0000-0000C7270000}"/>
    <cellStyle name="Comma 42 2 2 2 2 2 2" xfId="25649" xr:uid="{00000000-0005-0000-0000-0000C8270000}"/>
    <cellStyle name="Comma 42 2 2 2 2 3" xfId="12577" xr:uid="{00000000-0005-0000-0000-0000C9270000}"/>
    <cellStyle name="Comma 42 2 2 2 2 3 2" xfId="25650" xr:uid="{00000000-0005-0000-0000-0000CA270000}"/>
    <cellStyle name="Comma 42 2 2 2 2 4" xfId="25004" xr:uid="{00000000-0005-0000-0000-0000CB270000}"/>
    <cellStyle name="Comma 42 2 2 2 3" xfId="12578" xr:uid="{00000000-0005-0000-0000-0000CC270000}"/>
    <cellStyle name="Comma 42 2 2 2 3 2" xfId="25651" xr:uid="{00000000-0005-0000-0000-0000CD270000}"/>
    <cellStyle name="Comma 42 2 2 2 4" xfId="12579" xr:uid="{00000000-0005-0000-0000-0000CE270000}"/>
    <cellStyle name="Comma 42 2 2 2 4 2" xfId="25652" xr:uid="{00000000-0005-0000-0000-0000CF270000}"/>
    <cellStyle name="Comma 42 2 2 2 5" xfId="22848" xr:uid="{00000000-0005-0000-0000-0000D0270000}"/>
    <cellStyle name="Comma 42 2 2 3" xfId="10556" xr:uid="{00000000-0005-0000-0000-0000D1270000}"/>
    <cellStyle name="Comma 42 2 2 3 2" xfId="12580" xr:uid="{00000000-0005-0000-0000-0000D2270000}"/>
    <cellStyle name="Comma 42 2 2 3 2 2" xfId="25653" xr:uid="{00000000-0005-0000-0000-0000D3270000}"/>
    <cellStyle name="Comma 42 2 2 3 3" xfId="12581" xr:uid="{00000000-0005-0000-0000-0000D4270000}"/>
    <cellStyle name="Comma 42 2 2 3 3 2" xfId="25654" xr:uid="{00000000-0005-0000-0000-0000D5270000}"/>
    <cellStyle name="Comma 42 2 2 3 4" xfId="23926" xr:uid="{00000000-0005-0000-0000-0000D6270000}"/>
    <cellStyle name="Comma 42 2 2 4" xfId="12582" xr:uid="{00000000-0005-0000-0000-0000D7270000}"/>
    <cellStyle name="Comma 42 2 2 4 2" xfId="25655" xr:uid="{00000000-0005-0000-0000-0000D8270000}"/>
    <cellStyle name="Comma 42 2 2 5" xfId="12583" xr:uid="{00000000-0005-0000-0000-0000D9270000}"/>
    <cellStyle name="Comma 42 2 2 5 2" xfId="25656" xr:uid="{00000000-0005-0000-0000-0000DA270000}"/>
    <cellStyle name="Comma 42 2 2 6" xfId="21770" xr:uid="{00000000-0005-0000-0000-0000DB270000}"/>
    <cellStyle name="Comma 42 2 3" xfId="8709" xr:uid="{00000000-0005-0000-0000-0000DC270000}"/>
    <cellStyle name="Comma 42 2 3 2" xfId="11094" xr:uid="{00000000-0005-0000-0000-0000DD270000}"/>
    <cellStyle name="Comma 42 2 3 2 2" xfId="12584" xr:uid="{00000000-0005-0000-0000-0000DE270000}"/>
    <cellStyle name="Comma 42 2 3 2 2 2" xfId="25657" xr:uid="{00000000-0005-0000-0000-0000DF270000}"/>
    <cellStyle name="Comma 42 2 3 2 3" xfId="12585" xr:uid="{00000000-0005-0000-0000-0000E0270000}"/>
    <cellStyle name="Comma 42 2 3 2 3 2" xfId="25658" xr:uid="{00000000-0005-0000-0000-0000E1270000}"/>
    <cellStyle name="Comma 42 2 3 2 4" xfId="24464" xr:uid="{00000000-0005-0000-0000-0000E2270000}"/>
    <cellStyle name="Comma 42 2 3 3" xfId="12586" xr:uid="{00000000-0005-0000-0000-0000E3270000}"/>
    <cellStyle name="Comma 42 2 3 3 2" xfId="25659" xr:uid="{00000000-0005-0000-0000-0000E4270000}"/>
    <cellStyle name="Comma 42 2 3 4" xfId="12587" xr:uid="{00000000-0005-0000-0000-0000E5270000}"/>
    <cellStyle name="Comma 42 2 3 4 2" xfId="25660" xr:uid="{00000000-0005-0000-0000-0000E6270000}"/>
    <cellStyle name="Comma 42 2 3 5" xfId="22308" xr:uid="{00000000-0005-0000-0000-0000E7270000}"/>
    <cellStyle name="Comma 42 2 4" xfId="10016" xr:uid="{00000000-0005-0000-0000-0000E8270000}"/>
    <cellStyle name="Comma 42 2 4 2" xfId="12588" xr:uid="{00000000-0005-0000-0000-0000E9270000}"/>
    <cellStyle name="Comma 42 2 4 2 2" xfId="25661" xr:uid="{00000000-0005-0000-0000-0000EA270000}"/>
    <cellStyle name="Comma 42 2 4 3" xfId="12589" xr:uid="{00000000-0005-0000-0000-0000EB270000}"/>
    <cellStyle name="Comma 42 2 4 3 2" xfId="25662" xr:uid="{00000000-0005-0000-0000-0000EC270000}"/>
    <cellStyle name="Comma 42 2 4 4" xfId="23386" xr:uid="{00000000-0005-0000-0000-0000ED270000}"/>
    <cellStyle name="Comma 42 2 5" xfId="12590" xr:uid="{00000000-0005-0000-0000-0000EE270000}"/>
    <cellStyle name="Comma 42 2 5 2" xfId="25663" xr:uid="{00000000-0005-0000-0000-0000EF270000}"/>
    <cellStyle name="Comma 42 2 6" xfId="12591" xr:uid="{00000000-0005-0000-0000-0000F0270000}"/>
    <cellStyle name="Comma 42 2 6 2" xfId="25664" xr:uid="{00000000-0005-0000-0000-0000F1270000}"/>
    <cellStyle name="Comma 42 2 7" xfId="21230" xr:uid="{00000000-0005-0000-0000-0000F2270000}"/>
    <cellStyle name="Comma 42 3" xfId="7107" xr:uid="{00000000-0005-0000-0000-0000F3270000}"/>
    <cellStyle name="Comma 42 3 2" xfId="8986" xr:uid="{00000000-0005-0000-0000-0000F4270000}"/>
    <cellStyle name="Comma 42 3 2 2" xfId="11365" xr:uid="{00000000-0005-0000-0000-0000F5270000}"/>
    <cellStyle name="Comma 42 3 2 2 2" xfId="12592" xr:uid="{00000000-0005-0000-0000-0000F6270000}"/>
    <cellStyle name="Comma 42 3 2 2 2 2" xfId="25665" xr:uid="{00000000-0005-0000-0000-0000F7270000}"/>
    <cellStyle name="Comma 42 3 2 2 3" xfId="12593" xr:uid="{00000000-0005-0000-0000-0000F8270000}"/>
    <cellStyle name="Comma 42 3 2 2 3 2" xfId="25666" xr:uid="{00000000-0005-0000-0000-0000F9270000}"/>
    <cellStyle name="Comma 42 3 2 2 4" xfId="24735" xr:uid="{00000000-0005-0000-0000-0000FA270000}"/>
    <cellStyle name="Comma 42 3 2 3" xfId="12594" xr:uid="{00000000-0005-0000-0000-0000FB270000}"/>
    <cellStyle name="Comma 42 3 2 3 2" xfId="25667" xr:uid="{00000000-0005-0000-0000-0000FC270000}"/>
    <cellStyle name="Comma 42 3 2 4" xfId="12595" xr:uid="{00000000-0005-0000-0000-0000FD270000}"/>
    <cellStyle name="Comma 42 3 2 4 2" xfId="25668" xr:uid="{00000000-0005-0000-0000-0000FE270000}"/>
    <cellStyle name="Comma 42 3 2 5" xfId="22579" xr:uid="{00000000-0005-0000-0000-0000FF270000}"/>
    <cellStyle name="Comma 42 3 3" xfId="10287" xr:uid="{00000000-0005-0000-0000-000000280000}"/>
    <cellStyle name="Comma 42 3 3 2" xfId="12596" xr:uid="{00000000-0005-0000-0000-000001280000}"/>
    <cellStyle name="Comma 42 3 3 2 2" xfId="25669" xr:uid="{00000000-0005-0000-0000-000002280000}"/>
    <cellStyle name="Comma 42 3 3 3" xfId="12597" xr:uid="{00000000-0005-0000-0000-000003280000}"/>
    <cellStyle name="Comma 42 3 3 3 2" xfId="25670" xr:uid="{00000000-0005-0000-0000-000004280000}"/>
    <cellStyle name="Comma 42 3 3 4" xfId="23657" xr:uid="{00000000-0005-0000-0000-000005280000}"/>
    <cellStyle name="Comma 42 3 4" xfId="12598" xr:uid="{00000000-0005-0000-0000-000006280000}"/>
    <cellStyle name="Comma 42 3 4 2" xfId="25671" xr:uid="{00000000-0005-0000-0000-000007280000}"/>
    <cellStyle name="Comma 42 3 5" xfId="12599" xr:uid="{00000000-0005-0000-0000-000008280000}"/>
    <cellStyle name="Comma 42 3 5 2" xfId="25672" xr:uid="{00000000-0005-0000-0000-000009280000}"/>
    <cellStyle name="Comma 42 3 6" xfId="21501" xr:uid="{00000000-0005-0000-0000-00000A280000}"/>
    <cellStyle name="Comma 42 4" xfId="8369" xr:uid="{00000000-0005-0000-0000-00000B280000}"/>
    <cellStyle name="Comma 42 4 2" xfId="10825" xr:uid="{00000000-0005-0000-0000-00000C280000}"/>
    <cellStyle name="Comma 42 4 2 2" xfId="12600" xr:uid="{00000000-0005-0000-0000-00000D280000}"/>
    <cellStyle name="Comma 42 4 2 2 2" xfId="25673" xr:uid="{00000000-0005-0000-0000-00000E280000}"/>
    <cellStyle name="Comma 42 4 2 3" xfId="12601" xr:uid="{00000000-0005-0000-0000-00000F280000}"/>
    <cellStyle name="Comma 42 4 2 3 2" xfId="25674" xr:uid="{00000000-0005-0000-0000-000010280000}"/>
    <cellStyle name="Comma 42 4 2 4" xfId="24195" xr:uid="{00000000-0005-0000-0000-000011280000}"/>
    <cellStyle name="Comma 42 4 3" xfId="12602" xr:uid="{00000000-0005-0000-0000-000012280000}"/>
    <cellStyle name="Comma 42 4 3 2" xfId="25675" xr:uid="{00000000-0005-0000-0000-000013280000}"/>
    <cellStyle name="Comma 42 4 4" xfId="12603" xr:uid="{00000000-0005-0000-0000-000014280000}"/>
    <cellStyle name="Comma 42 4 4 2" xfId="25676" xr:uid="{00000000-0005-0000-0000-000015280000}"/>
    <cellStyle name="Comma 42 4 5" xfId="22039" xr:uid="{00000000-0005-0000-0000-000016280000}"/>
    <cellStyle name="Comma 42 5" xfId="9747" xr:uid="{00000000-0005-0000-0000-000017280000}"/>
    <cellStyle name="Comma 42 5 2" xfId="12604" xr:uid="{00000000-0005-0000-0000-000018280000}"/>
    <cellStyle name="Comma 42 5 2 2" xfId="25677" xr:uid="{00000000-0005-0000-0000-000019280000}"/>
    <cellStyle name="Comma 42 5 3" xfId="12605" xr:uid="{00000000-0005-0000-0000-00001A280000}"/>
    <cellStyle name="Comma 42 5 3 2" xfId="25678" xr:uid="{00000000-0005-0000-0000-00001B280000}"/>
    <cellStyle name="Comma 42 5 4" xfId="23117" xr:uid="{00000000-0005-0000-0000-00001C280000}"/>
    <cellStyle name="Comma 42 6" xfId="12606" xr:uid="{00000000-0005-0000-0000-00001D280000}"/>
    <cellStyle name="Comma 42 6 2" xfId="25679" xr:uid="{00000000-0005-0000-0000-00001E280000}"/>
    <cellStyle name="Comma 42 7" xfId="12607" xr:uid="{00000000-0005-0000-0000-00001F280000}"/>
    <cellStyle name="Comma 42 7 2" xfId="25680" xr:uid="{00000000-0005-0000-0000-000020280000}"/>
    <cellStyle name="Comma 42 8" xfId="20961" xr:uid="{00000000-0005-0000-0000-000021280000}"/>
    <cellStyle name="Comma 43" xfId="5564" xr:uid="{00000000-0005-0000-0000-000022280000}"/>
    <cellStyle name="Comma 43 2" xfId="6747" xr:uid="{00000000-0005-0000-0000-000023280000}"/>
    <cellStyle name="Comma 43 2 2" xfId="7434" xr:uid="{00000000-0005-0000-0000-000024280000}"/>
    <cellStyle name="Comma 43 2 2 2" xfId="9313" xr:uid="{00000000-0005-0000-0000-000025280000}"/>
    <cellStyle name="Comma 43 2 2 2 2" xfId="11692" xr:uid="{00000000-0005-0000-0000-000026280000}"/>
    <cellStyle name="Comma 43 2 2 2 2 2" xfId="12608" xr:uid="{00000000-0005-0000-0000-000027280000}"/>
    <cellStyle name="Comma 43 2 2 2 2 2 2" xfId="25681" xr:uid="{00000000-0005-0000-0000-000028280000}"/>
    <cellStyle name="Comma 43 2 2 2 2 3" xfId="12609" xr:uid="{00000000-0005-0000-0000-000029280000}"/>
    <cellStyle name="Comma 43 2 2 2 2 3 2" xfId="25682" xr:uid="{00000000-0005-0000-0000-00002A280000}"/>
    <cellStyle name="Comma 43 2 2 2 2 4" xfId="25062" xr:uid="{00000000-0005-0000-0000-00002B280000}"/>
    <cellStyle name="Comma 43 2 2 2 3" xfId="12610" xr:uid="{00000000-0005-0000-0000-00002C280000}"/>
    <cellStyle name="Comma 43 2 2 2 3 2" xfId="25683" xr:uid="{00000000-0005-0000-0000-00002D280000}"/>
    <cellStyle name="Comma 43 2 2 2 4" xfId="12611" xr:uid="{00000000-0005-0000-0000-00002E280000}"/>
    <cellStyle name="Comma 43 2 2 2 4 2" xfId="25684" xr:uid="{00000000-0005-0000-0000-00002F280000}"/>
    <cellStyle name="Comma 43 2 2 2 5" xfId="22906" xr:uid="{00000000-0005-0000-0000-000030280000}"/>
    <cellStyle name="Comma 43 2 2 3" xfId="10614" xr:uid="{00000000-0005-0000-0000-000031280000}"/>
    <cellStyle name="Comma 43 2 2 3 2" xfId="12612" xr:uid="{00000000-0005-0000-0000-000032280000}"/>
    <cellStyle name="Comma 43 2 2 3 2 2" xfId="25685" xr:uid="{00000000-0005-0000-0000-000033280000}"/>
    <cellStyle name="Comma 43 2 2 3 3" xfId="12613" xr:uid="{00000000-0005-0000-0000-000034280000}"/>
    <cellStyle name="Comma 43 2 2 3 3 2" xfId="25686" xr:uid="{00000000-0005-0000-0000-000035280000}"/>
    <cellStyle name="Comma 43 2 2 3 4" xfId="23984" xr:uid="{00000000-0005-0000-0000-000036280000}"/>
    <cellStyle name="Comma 43 2 2 4" xfId="12614" xr:uid="{00000000-0005-0000-0000-000037280000}"/>
    <cellStyle name="Comma 43 2 2 4 2" xfId="25687" xr:uid="{00000000-0005-0000-0000-000038280000}"/>
    <cellStyle name="Comma 43 2 2 5" xfId="12615" xr:uid="{00000000-0005-0000-0000-000039280000}"/>
    <cellStyle name="Comma 43 2 2 5 2" xfId="25688" xr:uid="{00000000-0005-0000-0000-00003A280000}"/>
    <cellStyle name="Comma 43 2 2 6" xfId="21828" xr:uid="{00000000-0005-0000-0000-00003B280000}"/>
    <cellStyle name="Comma 43 2 3" xfId="8767" xr:uid="{00000000-0005-0000-0000-00003C280000}"/>
    <cellStyle name="Comma 43 2 3 2" xfId="11152" xr:uid="{00000000-0005-0000-0000-00003D280000}"/>
    <cellStyle name="Comma 43 2 3 2 2" xfId="12616" xr:uid="{00000000-0005-0000-0000-00003E280000}"/>
    <cellStyle name="Comma 43 2 3 2 2 2" xfId="25689" xr:uid="{00000000-0005-0000-0000-00003F280000}"/>
    <cellStyle name="Comma 43 2 3 2 3" xfId="12617" xr:uid="{00000000-0005-0000-0000-000040280000}"/>
    <cellStyle name="Comma 43 2 3 2 3 2" xfId="25690" xr:uid="{00000000-0005-0000-0000-000041280000}"/>
    <cellStyle name="Comma 43 2 3 2 4" xfId="24522" xr:uid="{00000000-0005-0000-0000-000042280000}"/>
    <cellStyle name="Comma 43 2 3 3" xfId="12618" xr:uid="{00000000-0005-0000-0000-000043280000}"/>
    <cellStyle name="Comma 43 2 3 3 2" xfId="25691" xr:uid="{00000000-0005-0000-0000-000044280000}"/>
    <cellStyle name="Comma 43 2 3 4" xfId="12619" xr:uid="{00000000-0005-0000-0000-000045280000}"/>
    <cellStyle name="Comma 43 2 3 4 2" xfId="25692" xr:uid="{00000000-0005-0000-0000-000046280000}"/>
    <cellStyle name="Comma 43 2 3 5" xfId="22366" xr:uid="{00000000-0005-0000-0000-000047280000}"/>
    <cellStyle name="Comma 43 2 4" xfId="10074" xr:uid="{00000000-0005-0000-0000-000048280000}"/>
    <cellStyle name="Comma 43 2 4 2" xfId="12620" xr:uid="{00000000-0005-0000-0000-000049280000}"/>
    <cellStyle name="Comma 43 2 4 2 2" xfId="25693" xr:uid="{00000000-0005-0000-0000-00004A280000}"/>
    <cellStyle name="Comma 43 2 4 3" xfId="12621" xr:uid="{00000000-0005-0000-0000-00004B280000}"/>
    <cellStyle name="Comma 43 2 4 3 2" xfId="25694" xr:uid="{00000000-0005-0000-0000-00004C280000}"/>
    <cellStyle name="Comma 43 2 4 4" xfId="23444" xr:uid="{00000000-0005-0000-0000-00004D280000}"/>
    <cellStyle name="Comma 43 2 5" xfId="12622" xr:uid="{00000000-0005-0000-0000-00004E280000}"/>
    <cellStyle name="Comma 43 2 5 2" xfId="25695" xr:uid="{00000000-0005-0000-0000-00004F280000}"/>
    <cellStyle name="Comma 43 2 6" xfId="12623" xr:uid="{00000000-0005-0000-0000-000050280000}"/>
    <cellStyle name="Comma 43 2 6 2" xfId="25696" xr:uid="{00000000-0005-0000-0000-000051280000}"/>
    <cellStyle name="Comma 43 2 7" xfId="21288" xr:uid="{00000000-0005-0000-0000-000052280000}"/>
    <cellStyle name="Comma 43 3" xfId="7165" xr:uid="{00000000-0005-0000-0000-000053280000}"/>
    <cellStyle name="Comma 43 3 2" xfId="9044" xr:uid="{00000000-0005-0000-0000-000054280000}"/>
    <cellStyle name="Comma 43 3 2 2" xfId="11423" xr:uid="{00000000-0005-0000-0000-000055280000}"/>
    <cellStyle name="Comma 43 3 2 2 2" xfId="12624" xr:uid="{00000000-0005-0000-0000-000056280000}"/>
    <cellStyle name="Comma 43 3 2 2 2 2" xfId="25697" xr:uid="{00000000-0005-0000-0000-000057280000}"/>
    <cellStyle name="Comma 43 3 2 2 3" xfId="12625" xr:uid="{00000000-0005-0000-0000-000058280000}"/>
    <cellStyle name="Comma 43 3 2 2 3 2" xfId="25698" xr:uid="{00000000-0005-0000-0000-000059280000}"/>
    <cellStyle name="Comma 43 3 2 2 4" xfId="24793" xr:uid="{00000000-0005-0000-0000-00005A280000}"/>
    <cellStyle name="Comma 43 3 2 3" xfId="12626" xr:uid="{00000000-0005-0000-0000-00005B280000}"/>
    <cellStyle name="Comma 43 3 2 3 2" xfId="25699" xr:uid="{00000000-0005-0000-0000-00005C280000}"/>
    <cellStyle name="Comma 43 3 2 4" xfId="12627" xr:uid="{00000000-0005-0000-0000-00005D280000}"/>
    <cellStyle name="Comma 43 3 2 4 2" xfId="25700" xr:uid="{00000000-0005-0000-0000-00005E280000}"/>
    <cellStyle name="Comma 43 3 2 5" xfId="22637" xr:uid="{00000000-0005-0000-0000-00005F280000}"/>
    <cellStyle name="Comma 43 3 3" xfId="10345" xr:uid="{00000000-0005-0000-0000-000060280000}"/>
    <cellStyle name="Comma 43 3 3 2" xfId="12628" xr:uid="{00000000-0005-0000-0000-000061280000}"/>
    <cellStyle name="Comma 43 3 3 2 2" xfId="25701" xr:uid="{00000000-0005-0000-0000-000062280000}"/>
    <cellStyle name="Comma 43 3 3 3" xfId="12629" xr:uid="{00000000-0005-0000-0000-000063280000}"/>
    <cellStyle name="Comma 43 3 3 3 2" xfId="25702" xr:uid="{00000000-0005-0000-0000-000064280000}"/>
    <cellStyle name="Comma 43 3 3 4" xfId="23715" xr:uid="{00000000-0005-0000-0000-000065280000}"/>
    <cellStyle name="Comma 43 3 4" xfId="12630" xr:uid="{00000000-0005-0000-0000-000066280000}"/>
    <cellStyle name="Comma 43 3 4 2" xfId="25703" xr:uid="{00000000-0005-0000-0000-000067280000}"/>
    <cellStyle name="Comma 43 3 5" xfId="12631" xr:uid="{00000000-0005-0000-0000-000068280000}"/>
    <cellStyle name="Comma 43 3 5 2" xfId="25704" xr:uid="{00000000-0005-0000-0000-000069280000}"/>
    <cellStyle name="Comma 43 3 6" xfId="21559" xr:uid="{00000000-0005-0000-0000-00006A280000}"/>
    <cellStyle name="Comma 43 4" xfId="8440" xr:uid="{00000000-0005-0000-0000-00006B280000}"/>
    <cellStyle name="Comma 43 4 2" xfId="10883" xr:uid="{00000000-0005-0000-0000-00006C280000}"/>
    <cellStyle name="Comma 43 4 2 2" xfId="12632" xr:uid="{00000000-0005-0000-0000-00006D280000}"/>
    <cellStyle name="Comma 43 4 2 2 2" xfId="25705" xr:uid="{00000000-0005-0000-0000-00006E280000}"/>
    <cellStyle name="Comma 43 4 2 3" xfId="12633" xr:uid="{00000000-0005-0000-0000-00006F280000}"/>
    <cellStyle name="Comma 43 4 2 3 2" xfId="25706" xr:uid="{00000000-0005-0000-0000-000070280000}"/>
    <cellStyle name="Comma 43 4 2 4" xfId="24253" xr:uid="{00000000-0005-0000-0000-000071280000}"/>
    <cellStyle name="Comma 43 4 3" xfId="12634" xr:uid="{00000000-0005-0000-0000-000072280000}"/>
    <cellStyle name="Comma 43 4 3 2" xfId="25707" xr:uid="{00000000-0005-0000-0000-000073280000}"/>
    <cellStyle name="Comma 43 4 4" xfId="12635" xr:uid="{00000000-0005-0000-0000-000074280000}"/>
    <cellStyle name="Comma 43 4 4 2" xfId="25708" xr:uid="{00000000-0005-0000-0000-000075280000}"/>
    <cellStyle name="Comma 43 4 5" xfId="22097" xr:uid="{00000000-0005-0000-0000-000076280000}"/>
    <cellStyle name="Comma 43 5" xfId="9805" xr:uid="{00000000-0005-0000-0000-000077280000}"/>
    <cellStyle name="Comma 43 5 2" xfId="12636" xr:uid="{00000000-0005-0000-0000-000078280000}"/>
    <cellStyle name="Comma 43 5 2 2" xfId="25709" xr:uid="{00000000-0005-0000-0000-000079280000}"/>
    <cellStyle name="Comma 43 5 3" xfId="12637" xr:uid="{00000000-0005-0000-0000-00007A280000}"/>
    <cellStyle name="Comma 43 5 3 2" xfId="25710" xr:uid="{00000000-0005-0000-0000-00007B280000}"/>
    <cellStyle name="Comma 43 5 4" xfId="23175" xr:uid="{00000000-0005-0000-0000-00007C280000}"/>
    <cellStyle name="Comma 43 6" xfId="12638" xr:uid="{00000000-0005-0000-0000-00007D280000}"/>
    <cellStyle name="Comma 43 6 2" xfId="25711" xr:uid="{00000000-0005-0000-0000-00007E280000}"/>
    <cellStyle name="Comma 43 7" xfId="12639" xr:uid="{00000000-0005-0000-0000-00007F280000}"/>
    <cellStyle name="Comma 43 7 2" xfId="25712" xr:uid="{00000000-0005-0000-0000-000080280000}"/>
    <cellStyle name="Comma 43 8" xfId="21019" xr:uid="{00000000-0005-0000-0000-000081280000}"/>
    <cellStyle name="Comma 44" xfId="6437" xr:uid="{00000000-0005-0000-0000-000082280000}"/>
    <cellStyle name="Comma 44 2" xfId="34229" xr:uid="{00000000-0005-0000-0000-000083280000}"/>
    <cellStyle name="Comma 45" xfId="6426" xr:uid="{00000000-0005-0000-0000-000084280000}"/>
    <cellStyle name="Comma 45 2" xfId="34230" xr:uid="{00000000-0005-0000-0000-000085280000}"/>
    <cellStyle name="Comma 46" xfId="6522" xr:uid="{00000000-0005-0000-0000-000086280000}"/>
    <cellStyle name="Comma 46 2" xfId="34231" xr:uid="{00000000-0005-0000-0000-000087280000}"/>
    <cellStyle name="Comma 47" xfId="6942" xr:uid="{00000000-0005-0000-0000-000088280000}"/>
    <cellStyle name="Comma 47 2" xfId="34232" xr:uid="{00000000-0005-0000-0000-000089280000}"/>
    <cellStyle name="Comma 48" xfId="7568" xr:uid="{00000000-0005-0000-0000-00008A280000}"/>
    <cellStyle name="Comma 48 2" xfId="34233" xr:uid="{00000000-0005-0000-0000-00008B280000}"/>
    <cellStyle name="Comma 49" xfId="7552" xr:uid="{00000000-0005-0000-0000-00008C280000}"/>
    <cellStyle name="Comma 49 2" xfId="34234" xr:uid="{00000000-0005-0000-0000-00008D280000}"/>
    <cellStyle name="Comma 5" xfId="4049" xr:uid="{00000000-0005-0000-0000-00008E280000}"/>
    <cellStyle name="Comma 5 10" xfId="36274" xr:uid="{00000000-0005-0000-0000-00008F280000}"/>
    <cellStyle name="Comma 5 11" xfId="36275" xr:uid="{00000000-0005-0000-0000-000090280000}"/>
    <cellStyle name="Comma 5 12" xfId="36276" xr:uid="{00000000-0005-0000-0000-000091280000}"/>
    <cellStyle name="Comma 5 13" xfId="36277" xr:uid="{00000000-0005-0000-0000-000092280000}"/>
    <cellStyle name="Comma 5 14" xfId="36278" xr:uid="{00000000-0005-0000-0000-000093280000}"/>
    <cellStyle name="Comma 5 15" xfId="36279" xr:uid="{00000000-0005-0000-0000-000094280000}"/>
    <cellStyle name="Comma 5 16" xfId="36280" xr:uid="{00000000-0005-0000-0000-000095280000}"/>
    <cellStyle name="Comma 5 17" xfId="36281" xr:uid="{00000000-0005-0000-0000-000096280000}"/>
    <cellStyle name="Comma 5 18" xfId="36282" xr:uid="{00000000-0005-0000-0000-000097280000}"/>
    <cellStyle name="Comma 5 19" xfId="36283" xr:uid="{00000000-0005-0000-0000-000098280000}"/>
    <cellStyle name="Comma 5 2" xfId="36284" xr:uid="{00000000-0005-0000-0000-000099280000}"/>
    <cellStyle name="Comma 5 20" xfId="36285" xr:uid="{00000000-0005-0000-0000-00009A280000}"/>
    <cellStyle name="Comma 5 21" xfId="36286" xr:uid="{00000000-0005-0000-0000-00009B280000}"/>
    <cellStyle name="Comma 5 22" xfId="36287" xr:uid="{00000000-0005-0000-0000-00009C280000}"/>
    <cellStyle name="Comma 5 23" xfId="36288" xr:uid="{00000000-0005-0000-0000-00009D280000}"/>
    <cellStyle name="Comma 5 24" xfId="36289" xr:uid="{00000000-0005-0000-0000-00009E280000}"/>
    <cellStyle name="Comma 5 25" xfId="36290" xr:uid="{00000000-0005-0000-0000-00009F280000}"/>
    <cellStyle name="Comma 5 26" xfId="36291" xr:uid="{00000000-0005-0000-0000-0000A0280000}"/>
    <cellStyle name="Comma 5 27" xfId="36292" xr:uid="{00000000-0005-0000-0000-0000A1280000}"/>
    <cellStyle name="Comma 5 28" xfId="36293" xr:uid="{00000000-0005-0000-0000-0000A2280000}"/>
    <cellStyle name="Comma 5 29" xfId="36294" xr:uid="{00000000-0005-0000-0000-0000A3280000}"/>
    <cellStyle name="Comma 5 3" xfId="36295" xr:uid="{00000000-0005-0000-0000-0000A4280000}"/>
    <cellStyle name="Comma 5 30" xfId="36296" xr:uid="{00000000-0005-0000-0000-0000A5280000}"/>
    <cellStyle name="Comma 5 31" xfId="36297" xr:uid="{00000000-0005-0000-0000-0000A6280000}"/>
    <cellStyle name="Comma 5 32" xfId="36298" xr:uid="{00000000-0005-0000-0000-0000A7280000}"/>
    <cellStyle name="Comma 5 33" xfId="36299" xr:uid="{00000000-0005-0000-0000-0000A8280000}"/>
    <cellStyle name="Comma 5 34" xfId="36300" xr:uid="{00000000-0005-0000-0000-0000A9280000}"/>
    <cellStyle name="Comma 5 35" xfId="36301" xr:uid="{00000000-0005-0000-0000-0000AA280000}"/>
    <cellStyle name="Comma 5 36" xfId="36302" xr:uid="{00000000-0005-0000-0000-0000AB280000}"/>
    <cellStyle name="Comma 5 37" xfId="36303" xr:uid="{00000000-0005-0000-0000-0000AC280000}"/>
    <cellStyle name="Comma 5 38" xfId="36304" xr:uid="{00000000-0005-0000-0000-0000AD280000}"/>
    <cellStyle name="Comma 5 39" xfId="36305" xr:uid="{00000000-0005-0000-0000-0000AE280000}"/>
    <cellStyle name="Comma 5 4" xfId="36306" xr:uid="{00000000-0005-0000-0000-0000AF280000}"/>
    <cellStyle name="Comma 5 40" xfId="36307" xr:uid="{00000000-0005-0000-0000-0000B0280000}"/>
    <cellStyle name="Comma 5 41" xfId="36308" xr:uid="{00000000-0005-0000-0000-0000B1280000}"/>
    <cellStyle name="Comma 5 42" xfId="36309" xr:uid="{00000000-0005-0000-0000-0000B2280000}"/>
    <cellStyle name="Comma 5 43" xfId="36310" xr:uid="{00000000-0005-0000-0000-0000B3280000}"/>
    <cellStyle name="Comma 5 44" xfId="36311" xr:uid="{00000000-0005-0000-0000-0000B4280000}"/>
    <cellStyle name="Comma 5 45" xfId="36312" xr:uid="{00000000-0005-0000-0000-0000B5280000}"/>
    <cellStyle name="Comma 5 46" xfId="36313" xr:uid="{00000000-0005-0000-0000-0000B6280000}"/>
    <cellStyle name="Comma 5 47" xfId="36314" xr:uid="{00000000-0005-0000-0000-0000B7280000}"/>
    <cellStyle name="Comma 5 48" xfId="36315" xr:uid="{00000000-0005-0000-0000-0000B8280000}"/>
    <cellStyle name="Comma 5 49" xfId="36316" xr:uid="{00000000-0005-0000-0000-0000B9280000}"/>
    <cellStyle name="Comma 5 5" xfId="36317" xr:uid="{00000000-0005-0000-0000-0000BA280000}"/>
    <cellStyle name="Comma 5 50" xfId="36318" xr:uid="{00000000-0005-0000-0000-0000BB280000}"/>
    <cellStyle name="Comma 5 51" xfId="36319" xr:uid="{00000000-0005-0000-0000-0000BC280000}"/>
    <cellStyle name="Comma 5 52" xfId="36320" xr:uid="{00000000-0005-0000-0000-0000BD280000}"/>
    <cellStyle name="Comma 5 53" xfId="36321" xr:uid="{00000000-0005-0000-0000-0000BE280000}"/>
    <cellStyle name="Comma 5 54" xfId="36322" xr:uid="{00000000-0005-0000-0000-0000BF280000}"/>
    <cellStyle name="Comma 5 55" xfId="36323" xr:uid="{00000000-0005-0000-0000-0000C0280000}"/>
    <cellStyle name="Comma 5 56" xfId="36324" xr:uid="{00000000-0005-0000-0000-0000C1280000}"/>
    <cellStyle name="Comma 5 57" xfId="36325" xr:uid="{00000000-0005-0000-0000-0000C2280000}"/>
    <cellStyle name="Comma 5 58" xfId="36326" xr:uid="{00000000-0005-0000-0000-0000C3280000}"/>
    <cellStyle name="Comma 5 59" xfId="36327" xr:uid="{00000000-0005-0000-0000-0000C4280000}"/>
    <cellStyle name="Comma 5 6" xfId="36328" xr:uid="{00000000-0005-0000-0000-0000C5280000}"/>
    <cellStyle name="Comma 5 60" xfId="36329" xr:uid="{00000000-0005-0000-0000-0000C6280000}"/>
    <cellStyle name="Comma 5 61" xfId="36273" xr:uid="{00000000-0005-0000-0000-0000C7280000}"/>
    <cellStyle name="Comma 5 7" xfId="36330" xr:uid="{00000000-0005-0000-0000-0000C8280000}"/>
    <cellStyle name="Comma 5 8" xfId="36331" xr:uid="{00000000-0005-0000-0000-0000C9280000}"/>
    <cellStyle name="Comma 5 9" xfId="36332" xr:uid="{00000000-0005-0000-0000-0000CA280000}"/>
    <cellStyle name="Comma 50" xfId="7675" xr:uid="{00000000-0005-0000-0000-0000CB280000}"/>
    <cellStyle name="Comma 50 2" xfId="34235" xr:uid="{00000000-0005-0000-0000-0000CC280000}"/>
    <cellStyle name="Comma 51" xfId="7684" xr:uid="{00000000-0005-0000-0000-0000CD280000}"/>
    <cellStyle name="Comma 51 2" xfId="34236" xr:uid="{00000000-0005-0000-0000-0000CE280000}"/>
    <cellStyle name="Comma 52" xfId="7685" xr:uid="{00000000-0005-0000-0000-0000CF280000}"/>
    <cellStyle name="Comma 52 2" xfId="34237" xr:uid="{00000000-0005-0000-0000-0000D0280000}"/>
    <cellStyle name="Comma 53" xfId="7681" xr:uid="{00000000-0005-0000-0000-0000D1280000}"/>
    <cellStyle name="Comma 53 2" xfId="34238" xr:uid="{00000000-0005-0000-0000-0000D2280000}"/>
    <cellStyle name="Comma 54" xfId="7601" xr:uid="{00000000-0005-0000-0000-0000D3280000}"/>
    <cellStyle name="Comma 54 2" xfId="34239" xr:uid="{00000000-0005-0000-0000-0000D4280000}"/>
    <cellStyle name="Comma 55" xfId="7524" xr:uid="{00000000-0005-0000-0000-0000D5280000}"/>
    <cellStyle name="Comma 55 2" xfId="34240" xr:uid="{00000000-0005-0000-0000-0000D6280000}"/>
    <cellStyle name="Comma 56" xfId="7645" xr:uid="{00000000-0005-0000-0000-0000D7280000}"/>
    <cellStyle name="Comma 56 2" xfId="34241" xr:uid="{00000000-0005-0000-0000-0000D8280000}"/>
    <cellStyle name="Comma 57" xfId="7595" xr:uid="{00000000-0005-0000-0000-0000D9280000}"/>
    <cellStyle name="Comma 57 2" xfId="34242" xr:uid="{00000000-0005-0000-0000-0000DA280000}"/>
    <cellStyle name="Comma 58" xfId="7543" xr:uid="{00000000-0005-0000-0000-0000DB280000}"/>
    <cellStyle name="Comma 58 2" xfId="34243" xr:uid="{00000000-0005-0000-0000-0000DC280000}"/>
    <cellStyle name="Comma 59" xfId="7516" xr:uid="{00000000-0005-0000-0000-0000DD280000}"/>
    <cellStyle name="Comma 59 2" xfId="34244" xr:uid="{00000000-0005-0000-0000-0000DE280000}"/>
    <cellStyle name="Comma 6" xfId="4124" xr:uid="{00000000-0005-0000-0000-0000DF280000}"/>
    <cellStyle name="Comma 6 10" xfId="36334" xr:uid="{00000000-0005-0000-0000-0000E0280000}"/>
    <cellStyle name="Comma 6 11" xfId="36335" xr:uid="{00000000-0005-0000-0000-0000E1280000}"/>
    <cellStyle name="Comma 6 12" xfId="36336" xr:uid="{00000000-0005-0000-0000-0000E2280000}"/>
    <cellStyle name="Comma 6 13" xfId="36337" xr:uid="{00000000-0005-0000-0000-0000E3280000}"/>
    <cellStyle name="Comma 6 14" xfId="36338" xr:uid="{00000000-0005-0000-0000-0000E4280000}"/>
    <cellStyle name="Comma 6 15" xfId="36339" xr:uid="{00000000-0005-0000-0000-0000E5280000}"/>
    <cellStyle name="Comma 6 16" xfId="36340" xr:uid="{00000000-0005-0000-0000-0000E6280000}"/>
    <cellStyle name="Comma 6 17" xfId="36341" xr:uid="{00000000-0005-0000-0000-0000E7280000}"/>
    <cellStyle name="Comma 6 18" xfId="36342" xr:uid="{00000000-0005-0000-0000-0000E8280000}"/>
    <cellStyle name="Comma 6 19" xfId="36343" xr:uid="{00000000-0005-0000-0000-0000E9280000}"/>
    <cellStyle name="Comma 6 2" xfId="34245" xr:uid="{00000000-0005-0000-0000-0000EA280000}"/>
    <cellStyle name="Comma 6 2 2" xfId="36344" xr:uid="{00000000-0005-0000-0000-0000EB280000}"/>
    <cellStyle name="Comma 6 20" xfId="36345" xr:uid="{00000000-0005-0000-0000-0000EC280000}"/>
    <cellStyle name="Comma 6 21" xfId="36346" xr:uid="{00000000-0005-0000-0000-0000ED280000}"/>
    <cellStyle name="Comma 6 22" xfId="36347" xr:uid="{00000000-0005-0000-0000-0000EE280000}"/>
    <cellStyle name="Comma 6 23" xfId="36348" xr:uid="{00000000-0005-0000-0000-0000EF280000}"/>
    <cellStyle name="Comma 6 24" xfId="36349" xr:uid="{00000000-0005-0000-0000-0000F0280000}"/>
    <cellStyle name="Comma 6 25" xfId="36350" xr:uid="{00000000-0005-0000-0000-0000F1280000}"/>
    <cellStyle name="Comma 6 26" xfId="36351" xr:uid="{00000000-0005-0000-0000-0000F2280000}"/>
    <cellStyle name="Comma 6 27" xfId="36352" xr:uid="{00000000-0005-0000-0000-0000F3280000}"/>
    <cellStyle name="Comma 6 28" xfId="36353" xr:uid="{00000000-0005-0000-0000-0000F4280000}"/>
    <cellStyle name="Comma 6 29" xfId="36354" xr:uid="{00000000-0005-0000-0000-0000F5280000}"/>
    <cellStyle name="Comma 6 3" xfId="36355" xr:uid="{00000000-0005-0000-0000-0000F6280000}"/>
    <cellStyle name="Comma 6 30" xfId="36356" xr:uid="{00000000-0005-0000-0000-0000F7280000}"/>
    <cellStyle name="Comma 6 31" xfId="36357" xr:uid="{00000000-0005-0000-0000-0000F8280000}"/>
    <cellStyle name="Comma 6 32" xfId="36358" xr:uid="{00000000-0005-0000-0000-0000F9280000}"/>
    <cellStyle name="Comma 6 33" xfId="36359" xr:uid="{00000000-0005-0000-0000-0000FA280000}"/>
    <cellStyle name="Comma 6 34" xfId="36360" xr:uid="{00000000-0005-0000-0000-0000FB280000}"/>
    <cellStyle name="Comma 6 35" xfId="36361" xr:uid="{00000000-0005-0000-0000-0000FC280000}"/>
    <cellStyle name="Comma 6 36" xfId="36362" xr:uid="{00000000-0005-0000-0000-0000FD280000}"/>
    <cellStyle name="Comma 6 37" xfId="36363" xr:uid="{00000000-0005-0000-0000-0000FE280000}"/>
    <cellStyle name="Comma 6 38" xfId="36364" xr:uid="{00000000-0005-0000-0000-0000FF280000}"/>
    <cellStyle name="Comma 6 39" xfId="36365" xr:uid="{00000000-0005-0000-0000-000000290000}"/>
    <cellStyle name="Comma 6 4" xfId="36366" xr:uid="{00000000-0005-0000-0000-000001290000}"/>
    <cellStyle name="Comma 6 40" xfId="36367" xr:uid="{00000000-0005-0000-0000-000002290000}"/>
    <cellStyle name="Comma 6 41" xfId="36368" xr:uid="{00000000-0005-0000-0000-000003290000}"/>
    <cellStyle name="Comma 6 42" xfId="36369" xr:uid="{00000000-0005-0000-0000-000004290000}"/>
    <cellStyle name="Comma 6 43" xfId="36370" xr:uid="{00000000-0005-0000-0000-000005290000}"/>
    <cellStyle name="Comma 6 44" xfId="36371" xr:uid="{00000000-0005-0000-0000-000006290000}"/>
    <cellStyle name="Comma 6 45" xfId="36372" xr:uid="{00000000-0005-0000-0000-000007290000}"/>
    <cellStyle name="Comma 6 46" xfId="36373" xr:uid="{00000000-0005-0000-0000-000008290000}"/>
    <cellStyle name="Comma 6 47" xfId="36374" xr:uid="{00000000-0005-0000-0000-000009290000}"/>
    <cellStyle name="Comma 6 48" xfId="36375" xr:uid="{00000000-0005-0000-0000-00000A290000}"/>
    <cellStyle name="Comma 6 49" xfId="36376" xr:uid="{00000000-0005-0000-0000-00000B290000}"/>
    <cellStyle name="Comma 6 5" xfId="36377" xr:uid="{00000000-0005-0000-0000-00000C290000}"/>
    <cellStyle name="Comma 6 50" xfId="36378" xr:uid="{00000000-0005-0000-0000-00000D290000}"/>
    <cellStyle name="Comma 6 51" xfId="36379" xr:uid="{00000000-0005-0000-0000-00000E290000}"/>
    <cellStyle name="Comma 6 52" xfId="36380" xr:uid="{00000000-0005-0000-0000-00000F290000}"/>
    <cellStyle name="Comma 6 53" xfId="36381" xr:uid="{00000000-0005-0000-0000-000010290000}"/>
    <cellStyle name="Comma 6 54" xfId="36382" xr:uid="{00000000-0005-0000-0000-000011290000}"/>
    <cellStyle name="Comma 6 55" xfId="36383" xr:uid="{00000000-0005-0000-0000-000012290000}"/>
    <cellStyle name="Comma 6 56" xfId="36384" xr:uid="{00000000-0005-0000-0000-000013290000}"/>
    <cellStyle name="Comma 6 57" xfId="36385" xr:uid="{00000000-0005-0000-0000-000014290000}"/>
    <cellStyle name="Comma 6 58" xfId="36386" xr:uid="{00000000-0005-0000-0000-000015290000}"/>
    <cellStyle name="Comma 6 59" xfId="36387" xr:uid="{00000000-0005-0000-0000-000016290000}"/>
    <cellStyle name="Comma 6 6" xfId="36388" xr:uid="{00000000-0005-0000-0000-000017290000}"/>
    <cellStyle name="Comma 6 60" xfId="36389" xr:uid="{00000000-0005-0000-0000-000018290000}"/>
    <cellStyle name="Comma 6 61" xfId="36333" xr:uid="{00000000-0005-0000-0000-000019290000}"/>
    <cellStyle name="Comma 6 7" xfId="36390" xr:uid="{00000000-0005-0000-0000-00001A290000}"/>
    <cellStyle name="Comma 6 8" xfId="36391" xr:uid="{00000000-0005-0000-0000-00001B290000}"/>
    <cellStyle name="Comma 6 9" xfId="36392" xr:uid="{00000000-0005-0000-0000-00001C290000}"/>
    <cellStyle name="Comma 60" xfId="7546" xr:uid="{00000000-0005-0000-0000-00001D290000}"/>
    <cellStyle name="Comma 60 2" xfId="34246" xr:uid="{00000000-0005-0000-0000-00001E290000}"/>
    <cellStyle name="Comma 61" xfId="7535" xr:uid="{00000000-0005-0000-0000-00001F290000}"/>
    <cellStyle name="Comma 61 2" xfId="34247" xr:uid="{00000000-0005-0000-0000-000020290000}"/>
    <cellStyle name="Comma 62" xfId="7626" xr:uid="{00000000-0005-0000-0000-000021290000}"/>
    <cellStyle name="Comma 62 2" xfId="34248" xr:uid="{00000000-0005-0000-0000-000022290000}"/>
    <cellStyle name="Comma 63" xfId="7653" xr:uid="{00000000-0005-0000-0000-000023290000}"/>
    <cellStyle name="Comma 63 2" xfId="34249" xr:uid="{00000000-0005-0000-0000-000024290000}"/>
    <cellStyle name="Comma 64" xfId="7583" xr:uid="{00000000-0005-0000-0000-000025290000}"/>
    <cellStyle name="Comma 64 2" xfId="34250" xr:uid="{00000000-0005-0000-0000-000026290000}"/>
    <cellStyle name="Comma 65" xfId="7588" xr:uid="{00000000-0005-0000-0000-000027290000}"/>
    <cellStyle name="Comma 65 2" xfId="34251" xr:uid="{00000000-0005-0000-0000-000028290000}"/>
    <cellStyle name="Comma 66" xfId="7517" xr:uid="{00000000-0005-0000-0000-000029290000}"/>
    <cellStyle name="Comma 66 2" xfId="34252" xr:uid="{00000000-0005-0000-0000-00002A290000}"/>
    <cellStyle name="Comma 67" xfId="6825" xr:uid="{00000000-0005-0000-0000-00002B290000}"/>
    <cellStyle name="Comma 67 2" xfId="8841" xr:uid="{00000000-0005-0000-0000-00002C290000}"/>
    <cellStyle name="Comma 67 2 2" xfId="11226" xr:uid="{00000000-0005-0000-0000-00002D290000}"/>
    <cellStyle name="Comma 67 2 2 2" xfId="12640" xr:uid="{00000000-0005-0000-0000-00002E290000}"/>
    <cellStyle name="Comma 67 2 2 2 2" xfId="25713" xr:uid="{00000000-0005-0000-0000-00002F290000}"/>
    <cellStyle name="Comma 67 2 2 3" xfId="12641" xr:uid="{00000000-0005-0000-0000-000030290000}"/>
    <cellStyle name="Comma 67 2 2 3 2" xfId="25714" xr:uid="{00000000-0005-0000-0000-000031290000}"/>
    <cellStyle name="Comma 67 2 2 4" xfId="24596" xr:uid="{00000000-0005-0000-0000-000032290000}"/>
    <cellStyle name="Comma 67 2 3" xfId="12642" xr:uid="{00000000-0005-0000-0000-000033290000}"/>
    <cellStyle name="Comma 67 2 3 2" xfId="25715" xr:uid="{00000000-0005-0000-0000-000034290000}"/>
    <cellStyle name="Comma 67 2 4" xfId="12643" xr:uid="{00000000-0005-0000-0000-000035290000}"/>
    <cellStyle name="Comma 67 2 4 2" xfId="25716" xr:uid="{00000000-0005-0000-0000-000036290000}"/>
    <cellStyle name="Comma 67 2 5" xfId="22440" xr:uid="{00000000-0005-0000-0000-000037290000}"/>
    <cellStyle name="Comma 67 3" xfId="10148" xr:uid="{00000000-0005-0000-0000-000038290000}"/>
    <cellStyle name="Comma 67 3 2" xfId="12644" xr:uid="{00000000-0005-0000-0000-000039290000}"/>
    <cellStyle name="Comma 67 3 2 2" xfId="25717" xr:uid="{00000000-0005-0000-0000-00003A290000}"/>
    <cellStyle name="Comma 67 3 3" xfId="12645" xr:uid="{00000000-0005-0000-0000-00003B290000}"/>
    <cellStyle name="Comma 67 3 3 2" xfId="25718" xr:uid="{00000000-0005-0000-0000-00003C290000}"/>
    <cellStyle name="Comma 67 3 4" xfId="23518" xr:uid="{00000000-0005-0000-0000-00003D290000}"/>
    <cellStyle name="Comma 67 4" xfId="12646" xr:uid="{00000000-0005-0000-0000-00003E290000}"/>
    <cellStyle name="Comma 67 4 2" xfId="25719" xr:uid="{00000000-0005-0000-0000-00003F290000}"/>
    <cellStyle name="Comma 67 5" xfId="12647" xr:uid="{00000000-0005-0000-0000-000040290000}"/>
    <cellStyle name="Comma 67 5 2" xfId="25720" xr:uid="{00000000-0005-0000-0000-000041290000}"/>
    <cellStyle name="Comma 67 6" xfId="21362" xr:uid="{00000000-0005-0000-0000-000042290000}"/>
    <cellStyle name="Comma 68" xfId="7968" xr:uid="{00000000-0005-0000-0000-000043290000}"/>
    <cellStyle name="Comma 68 2" xfId="34253" xr:uid="{00000000-0005-0000-0000-000044290000}"/>
    <cellStyle name="Comma 69" xfId="7933" xr:uid="{00000000-0005-0000-0000-000045290000}"/>
    <cellStyle name="Comma 69 2" xfId="34254" xr:uid="{00000000-0005-0000-0000-000046290000}"/>
    <cellStyle name="Comma 7" xfId="4128" xr:uid="{00000000-0005-0000-0000-000047290000}"/>
    <cellStyle name="Comma 7 10" xfId="36394" xr:uid="{00000000-0005-0000-0000-000048290000}"/>
    <cellStyle name="Comma 7 11" xfId="36395" xr:uid="{00000000-0005-0000-0000-000049290000}"/>
    <cellStyle name="Comma 7 12" xfId="36396" xr:uid="{00000000-0005-0000-0000-00004A290000}"/>
    <cellStyle name="Comma 7 13" xfId="36397" xr:uid="{00000000-0005-0000-0000-00004B290000}"/>
    <cellStyle name="Comma 7 14" xfId="36398" xr:uid="{00000000-0005-0000-0000-00004C290000}"/>
    <cellStyle name="Comma 7 15" xfId="36399" xr:uid="{00000000-0005-0000-0000-00004D290000}"/>
    <cellStyle name="Comma 7 16" xfId="36400" xr:uid="{00000000-0005-0000-0000-00004E290000}"/>
    <cellStyle name="Comma 7 17" xfId="36401" xr:uid="{00000000-0005-0000-0000-00004F290000}"/>
    <cellStyle name="Comma 7 18" xfId="36402" xr:uid="{00000000-0005-0000-0000-000050290000}"/>
    <cellStyle name="Comma 7 19" xfId="36403" xr:uid="{00000000-0005-0000-0000-000051290000}"/>
    <cellStyle name="Comma 7 2" xfId="34255" xr:uid="{00000000-0005-0000-0000-000052290000}"/>
    <cellStyle name="Comma 7 2 10" xfId="34256" xr:uid="{00000000-0005-0000-0000-000053290000}"/>
    <cellStyle name="Comma 7 2 11" xfId="34257" xr:uid="{00000000-0005-0000-0000-000054290000}"/>
    <cellStyle name="Comma 7 2 12" xfId="34258" xr:uid="{00000000-0005-0000-0000-000055290000}"/>
    <cellStyle name="Comma 7 2 13" xfId="34259" xr:uid="{00000000-0005-0000-0000-000056290000}"/>
    <cellStyle name="Comma 7 2 14" xfId="34260" xr:uid="{00000000-0005-0000-0000-000057290000}"/>
    <cellStyle name="Comma 7 2 15" xfId="36404" xr:uid="{00000000-0005-0000-0000-000058290000}"/>
    <cellStyle name="Comma 7 2 2" xfId="34261" xr:uid="{00000000-0005-0000-0000-000059290000}"/>
    <cellStyle name="Comma 7 2 3" xfId="34262" xr:uid="{00000000-0005-0000-0000-00005A290000}"/>
    <cellStyle name="Comma 7 2 4" xfId="34263" xr:uid="{00000000-0005-0000-0000-00005B290000}"/>
    <cellStyle name="Comma 7 2 5" xfId="34264" xr:uid="{00000000-0005-0000-0000-00005C290000}"/>
    <cellStyle name="Comma 7 2 6" xfId="34265" xr:uid="{00000000-0005-0000-0000-00005D290000}"/>
    <cellStyle name="Comma 7 2 7" xfId="34266" xr:uid="{00000000-0005-0000-0000-00005E290000}"/>
    <cellStyle name="Comma 7 2 8" xfId="34267" xr:uid="{00000000-0005-0000-0000-00005F290000}"/>
    <cellStyle name="Comma 7 2 9" xfId="34268" xr:uid="{00000000-0005-0000-0000-000060290000}"/>
    <cellStyle name="Comma 7 20" xfId="36405" xr:uid="{00000000-0005-0000-0000-000061290000}"/>
    <cellStyle name="Comma 7 21" xfId="36406" xr:uid="{00000000-0005-0000-0000-000062290000}"/>
    <cellStyle name="Comma 7 22" xfId="36407" xr:uid="{00000000-0005-0000-0000-000063290000}"/>
    <cellStyle name="Comma 7 23" xfId="36408" xr:uid="{00000000-0005-0000-0000-000064290000}"/>
    <cellStyle name="Comma 7 24" xfId="36409" xr:uid="{00000000-0005-0000-0000-000065290000}"/>
    <cellStyle name="Comma 7 25" xfId="36410" xr:uid="{00000000-0005-0000-0000-000066290000}"/>
    <cellStyle name="Comma 7 26" xfId="36411" xr:uid="{00000000-0005-0000-0000-000067290000}"/>
    <cellStyle name="Comma 7 27" xfId="36412" xr:uid="{00000000-0005-0000-0000-000068290000}"/>
    <cellStyle name="Comma 7 28" xfId="36413" xr:uid="{00000000-0005-0000-0000-000069290000}"/>
    <cellStyle name="Comma 7 29" xfId="36414" xr:uid="{00000000-0005-0000-0000-00006A290000}"/>
    <cellStyle name="Comma 7 3" xfId="34269" xr:uid="{00000000-0005-0000-0000-00006B290000}"/>
    <cellStyle name="Comma 7 3 2" xfId="36415" xr:uid="{00000000-0005-0000-0000-00006C290000}"/>
    <cellStyle name="Comma 7 30" xfId="36416" xr:uid="{00000000-0005-0000-0000-00006D290000}"/>
    <cellStyle name="Comma 7 31" xfId="36417" xr:uid="{00000000-0005-0000-0000-00006E290000}"/>
    <cellStyle name="Comma 7 32" xfId="36418" xr:uid="{00000000-0005-0000-0000-00006F290000}"/>
    <cellStyle name="Comma 7 33" xfId="36419" xr:uid="{00000000-0005-0000-0000-000070290000}"/>
    <cellStyle name="Comma 7 34" xfId="36420" xr:uid="{00000000-0005-0000-0000-000071290000}"/>
    <cellStyle name="Comma 7 35" xfId="36421" xr:uid="{00000000-0005-0000-0000-000072290000}"/>
    <cellStyle name="Comma 7 36" xfId="36422" xr:uid="{00000000-0005-0000-0000-000073290000}"/>
    <cellStyle name="Comma 7 37" xfId="36423" xr:uid="{00000000-0005-0000-0000-000074290000}"/>
    <cellStyle name="Comma 7 38" xfId="36424" xr:uid="{00000000-0005-0000-0000-000075290000}"/>
    <cellStyle name="Comma 7 39" xfId="36425" xr:uid="{00000000-0005-0000-0000-000076290000}"/>
    <cellStyle name="Comma 7 4" xfId="34270" xr:uid="{00000000-0005-0000-0000-000077290000}"/>
    <cellStyle name="Comma 7 4 2" xfId="36426" xr:uid="{00000000-0005-0000-0000-000078290000}"/>
    <cellStyle name="Comma 7 40" xfId="36427" xr:uid="{00000000-0005-0000-0000-000079290000}"/>
    <cellStyle name="Comma 7 41" xfId="36428" xr:uid="{00000000-0005-0000-0000-00007A290000}"/>
    <cellStyle name="Comma 7 42" xfId="36429" xr:uid="{00000000-0005-0000-0000-00007B290000}"/>
    <cellStyle name="Comma 7 43" xfId="36430" xr:uid="{00000000-0005-0000-0000-00007C290000}"/>
    <cellStyle name="Comma 7 44" xfId="36431" xr:uid="{00000000-0005-0000-0000-00007D290000}"/>
    <cellStyle name="Comma 7 45" xfId="36432" xr:uid="{00000000-0005-0000-0000-00007E290000}"/>
    <cellStyle name="Comma 7 46" xfId="36433" xr:uid="{00000000-0005-0000-0000-00007F290000}"/>
    <cellStyle name="Comma 7 47" xfId="36434" xr:uid="{00000000-0005-0000-0000-000080290000}"/>
    <cellStyle name="Comma 7 48" xfId="36435" xr:uid="{00000000-0005-0000-0000-000081290000}"/>
    <cellStyle name="Comma 7 49" xfId="36436" xr:uid="{00000000-0005-0000-0000-000082290000}"/>
    <cellStyle name="Comma 7 5" xfId="36437" xr:uid="{00000000-0005-0000-0000-000083290000}"/>
    <cellStyle name="Comma 7 50" xfId="36438" xr:uid="{00000000-0005-0000-0000-000084290000}"/>
    <cellStyle name="Comma 7 51" xfId="36439" xr:uid="{00000000-0005-0000-0000-000085290000}"/>
    <cellStyle name="Comma 7 52" xfId="36440" xr:uid="{00000000-0005-0000-0000-000086290000}"/>
    <cellStyle name="Comma 7 53" xfId="36441" xr:uid="{00000000-0005-0000-0000-000087290000}"/>
    <cellStyle name="Comma 7 54" xfId="36442" xr:uid="{00000000-0005-0000-0000-000088290000}"/>
    <cellStyle name="Comma 7 55" xfId="36443" xr:uid="{00000000-0005-0000-0000-000089290000}"/>
    <cellStyle name="Comma 7 56" xfId="36444" xr:uid="{00000000-0005-0000-0000-00008A290000}"/>
    <cellStyle name="Comma 7 57" xfId="36445" xr:uid="{00000000-0005-0000-0000-00008B290000}"/>
    <cellStyle name="Comma 7 58" xfId="36446" xr:uid="{00000000-0005-0000-0000-00008C290000}"/>
    <cellStyle name="Comma 7 59" xfId="36447" xr:uid="{00000000-0005-0000-0000-00008D290000}"/>
    <cellStyle name="Comma 7 6" xfId="36448" xr:uid="{00000000-0005-0000-0000-00008E290000}"/>
    <cellStyle name="Comma 7 60" xfId="36449" xr:uid="{00000000-0005-0000-0000-00008F290000}"/>
    <cellStyle name="Comma 7 61" xfId="36393" xr:uid="{00000000-0005-0000-0000-000090290000}"/>
    <cellStyle name="Comma 7 7" xfId="36450" xr:uid="{00000000-0005-0000-0000-000091290000}"/>
    <cellStyle name="Comma 7 8" xfId="36451" xr:uid="{00000000-0005-0000-0000-000092290000}"/>
    <cellStyle name="Comma 7 9" xfId="36452" xr:uid="{00000000-0005-0000-0000-000093290000}"/>
    <cellStyle name="Comma 70" xfId="8537" xr:uid="{00000000-0005-0000-0000-000094290000}"/>
    <cellStyle name="Comma 70 2" xfId="34271" xr:uid="{00000000-0005-0000-0000-000095290000}"/>
    <cellStyle name="Comma 71" xfId="9445" xr:uid="{00000000-0005-0000-0000-000096290000}"/>
    <cellStyle name="Comma 71 2" xfId="34272" xr:uid="{00000000-0005-0000-0000-000097290000}"/>
    <cellStyle name="Comma 72" xfId="8093" xr:uid="{00000000-0005-0000-0000-000098290000}"/>
    <cellStyle name="Comma 72 2" xfId="34273" xr:uid="{00000000-0005-0000-0000-000099290000}"/>
    <cellStyle name="Comma 73" xfId="8194" xr:uid="{00000000-0005-0000-0000-00009A290000}"/>
    <cellStyle name="Comma 73 2" xfId="34274" xr:uid="{00000000-0005-0000-0000-00009B290000}"/>
    <cellStyle name="Comma 74" xfId="9493" xr:uid="{00000000-0005-0000-0000-00009C290000}"/>
    <cellStyle name="Comma 74 2" xfId="34275" xr:uid="{00000000-0005-0000-0000-00009D290000}"/>
    <cellStyle name="Comma 75" xfId="9597" xr:uid="{00000000-0005-0000-0000-00009E290000}"/>
    <cellStyle name="Comma 75 2" xfId="34276" xr:uid="{00000000-0005-0000-0000-00009F290000}"/>
    <cellStyle name="Comma 76" xfId="11766" xr:uid="{00000000-0005-0000-0000-0000A0290000}"/>
    <cellStyle name="Comma 76 2" xfId="12648" xr:uid="{00000000-0005-0000-0000-0000A1290000}"/>
    <cellStyle name="Comma 76 2 2" xfId="25721" xr:uid="{00000000-0005-0000-0000-0000A2290000}"/>
    <cellStyle name="Comma 76 3" xfId="12649" xr:uid="{00000000-0005-0000-0000-0000A3290000}"/>
    <cellStyle name="Comma 76 3 2" xfId="25722" xr:uid="{00000000-0005-0000-0000-0000A4290000}"/>
    <cellStyle name="Comma 76 4" xfId="25136" xr:uid="{00000000-0005-0000-0000-0000A5290000}"/>
    <cellStyle name="Comma 77" xfId="11768" xr:uid="{00000000-0005-0000-0000-0000A6290000}"/>
    <cellStyle name="Comma 77 2" xfId="34277" xr:uid="{00000000-0005-0000-0000-0000A7290000}"/>
    <cellStyle name="Comma 78" xfId="11771" xr:uid="{00000000-0005-0000-0000-0000A8290000}"/>
    <cellStyle name="Comma 78 2" xfId="34278" xr:uid="{00000000-0005-0000-0000-0000A9290000}"/>
    <cellStyle name="Comma 79" xfId="11775" xr:uid="{00000000-0005-0000-0000-0000AA290000}"/>
    <cellStyle name="Comma 79 2" xfId="34279" xr:uid="{00000000-0005-0000-0000-0000AB290000}"/>
    <cellStyle name="Comma 8" xfId="4775" xr:uid="{00000000-0005-0000-0000-0000AC290000}"/>
    <cellStyle name="Comma 8 10" xfId="36454" xr:uid="{00000000-0005-0000-0000-0000AD290000}"/>
    <cellStyle name="Comma 8 11" xfId="36455" xr:uid="{00000000-0005-0000-0000-0000AE290000}"/>
    <cellStyle name="Comma 8 12" xfId="36456" xr:uid="{00000000-0005-0000-0000-0000AF290000}"/>
    <cellStyle name="Comma 8 13" xfId="36457" xr:uid="{00000000-0005-0000-0000-0000B0290000}"/>
    <cellStyle name="Comma 8 14" xfId="36458" xr:uid="{00000000-0005-0000-0000-0000B1290000}"/>
    <cellStyle name="Comma 8 15" xfId="36459" xr:uid="{00000000-0005-0000-0000-0000B2290000}"/>
    <cellStyle name="Comma 8 16" xfId="36460" xr:uid="{00000000-0005-0000-0000-0000B3290000}"/>
    <cellStyle name="Comma 8 17" xfId="36461" xr:uid="{00000000-0005-0000-0000-0000B4290000}"/>
    <cellStyle name="Comma 8 18" xfId="36462" xr:uid="{00000000-0005-0000-0000-0000B5290000}"/>
    <cellStyle name="Comma 8 19" xfId="36463" xr:uid="{00000000-0005-0000-0000-0000B6290000}"/>
    <cellStyle name="Comma 8 2" xfId="36464" xr:uid="{00000000-0005-0000-0000-0000B7290000}"/>
    <cellStyle name="Comma 8 20" xfId="36465" xr:uid="{00000000-0005-0000-0000-0000B8290000}"/>
    <cellStyle name="Comma 8 21" xfId="36466" xr:uid="{00000000-0005-0000-0000-0000B9290000}"/>
    <cellStyle name="Comma 8 22" xfId="36467" xr:uid="{00000000-0005-0000-0000-0000BA290000}"/>
    <cellStyle name="Comma 8 23" xfId="36468" xr:uid="{00000000-0005-0000-0000-0000BB290000}"/>
    <cellStyle name="Comma 8 24" xfId="36469" xr:uid="{00000000-0005-0000-0000-0000BC290000}"/>
    <cellStyle name="Comma 8 25" xfId="36470" xr:uid="{00000000-0005-0000-0000-0000BD290000}"/>
    <cellStyle name="Comma 8 26" xfId="36471" xr:uid="{00000000-0005-0000-0000-0000BE290000}"/>
    <cellStyle name="Comma 8 27" xfId="36472" xr:uid="{00000000-0005-0000-0000-0000BF290000}"/>
    <cellStyle name="Comma 8 28" xfId="36473" xr:uid="{00000000-0005-0000-0000-0000C0290000}"/>
    <cellStyle name="Comma 8 29" xfId="36474" xr:uid="{00000000-0005-0000-0000-0000C1290000}"/>
    <cellStyle name="Comma 8 3" xfId="36475" xr:uid="{00000000-0005-0000-0000-0000C2290000}"/>
    <cellStyle name="Comma 8 30" xfId="36476" xr:uid="{00000000-0005-0000-0000-0000C3290000}"/>
    <cellStyle name="Comma 8 31" xfId="36477" xr:uid="{00000000-0005-0000-0000-0000C4290000}"/>
    <cellStyle name="Comma 8 32" xfId="36478" xr:uid="{00000000-0005-0000-0000-0000C5290000}"/>
    <cellStyle name="Comma 8 33" xfId="36479" xr:uid="{00000000-0005-0000-0000-0000C6290000}"/>
    <cellStyle name="Comma 8 34" xfId="36480" xr:uid="{00000000-0005-0000-0000-0000C7290000}"/>
    <cellStyle name="Comma 8 35" xfId="36481" xr:uid="{00000000-0005-0000-0000-0000C8290000}"/>
    <cellStyle name="Comma 8 36" xfId="36482" xr:uid="{00000000-0005-0000-0000-0000C9290000}"/>
    <cellStyle name="Comma 8 37" xfId="36483" xr:uid="{00000000-0005-0000-0000-0000CA290000}"/>
    <cellStyle name="Comma 8 38" xfId="36484" xr:uid="{00000000-0005-0000-0000-0000CB290000}"/>
    <cellStyle name="Comma 8 39" xfId="36485" xr:uid="{00000000-0005-0000-0000-0000CC290000}"/>
    <cellStyle name="Comma 8 4" xfId="36486" xr:uid="{00000000-0005-0000-0000-0000CD290000}"/>
    <cellStyle name="Comma 8 40" xfId="36487" xr:uid="{00000000-0005-0000-0000-0000CE290000}"/>
    <cellStyle name="Comma 8 41" xfId="36488" xr:uid="{00000000-0005-0000-0000-0000CF290000}"/>
    <cellStyle name="Comma 8 42" xfId="36489" xr:uid="{00000000-0005-0000-0000-0000D0290000}"/>
    <cellStyle name="Comma 8 43" xfId="36490" xr:uid="{00000000-0005-0000-0000-0000D1290000}"/>
    <cellStyle name="Comma 8 44" xfId="36491" xr:uid="{00000000-0005-0000-0000-0000D2290000}"/>
    <cellStyle name="Comma 8 45" xfId="36492" xr:uid="{00000000-0005-0000-0000-0000D3290000}"/>
    <cellStyle name="Comma 8 46" xfId="36493" xr:uid="{00000000-0005-0000-0000-0000D4290000}"/>
    <cellStyle name="Comma 8 47" xfId="36494" xr:uid="{00000000-0005-0000-0000-0000D5290000}"/>
    <cellStyle name="Comma 8 48" xfId="36495" xr:uid="{00000000-0005-0000-0000-0000D6290000}"/>
    <cellStyle name="Comma 8 49" xfId="36496" xr:uid="{00000000-0005-0000-0000-0000D7290000}"/>
    <cellStyle name="Comma 8 5" xfId="36497" xr:uid="{00000000-0005-0000-0000-0000D8290000}"/>
    <cellStyle name="Comma 8 50" xfId="36498" xr:uid="{00000000-0005-0000-0000-0000D9290000}"/>
    <cellStyle name="Comma 8 51" xfId="36499" xr:uid="{00000000-0005-0000-0000-0000DA290000}"/>
    <cellStyle name="Comma 8 52" xfId="36500" xr:uid="{00000000-0005-0000-0000-0000DB290000}"/>
    <cellStyle name="Comma 8 53" xfId="36501" xr:uid="{00000000-0005-0000-0000-0000DC290000}"/>
    <cellStyle name="Comma 8 54" xfId="36502" xr:uid="{00000000-0005-0000-0000-0000DD290000}"/>
    <cellStyle name="Comma 8 55" xfId="36503" xr:uid="{00000000-0005-0000-0000-0000DE290000}"/>
    <cellStyle name="Comma 8 56" xfId="36504" xr:uid="{00000000-0005-0000-0000-0000DF290000}"/>
    <cellStyle name="Comma 8 57" xfId="36505" xr:uid="{00000000-0005-0000-0000-0000E0290000}"/>
    <cellStyle name="Comma 8 58" xfId="36506" xr:uid="{00000000-0005-0000-0000-0000E1290000}"/>
    <cellStyle name="Comma 8 59" xfId="36507" xr:uid="{00000000-0005-0000-0000-0000E2290000}"/>
    <cellStyle name="Comma 8 6" xfId="36508" xr:uid="{00000000-0005-0000-0000-0000E3290000}"/>
    <cellStyle name="Comma 8 60" xfId="36509" xr:uid="{00000000-0005-0000-0000-0000E4290000}"/>
    <cellStyle name="Comma 8 61" xfId="36453" xr:uid="{00000000-0005-0000-0000-0000E5290000}"/>
    <cellStyle name="Comma 8 7" xfId="36510" xr:uid="{00000000-0005-0000-0000-0000E6290000}"/>
    <cellStyle name="Comma 8 8" xfId="36511" xr:uid="{00000000-0005-0000-0000-0000E7290000}"/>
    <cellStyle name="Comma 8 9" xfId="36512" xr:uid="{00000000-0005-0000-0000-0000E8290000}"/>
    <cellStyle name="Comma 80" xfId="11774" xr:uid="{00000000-0005-0000-0000-0000E9290000}"/>
    <cellStyle name="Comma 80 2" xfId="34280" xr:uid="{00000000-0005-0000-0000-0000EA290000}"/>
    <cellStyle name="Comma 81" xfId="11779" xr:uid="{00000000-0005-0000-0000-0000EB290000}"/>
    <cellStyle name="Comma 81 2" xfId="34281" xr:uid="{00000000-0005-0000-0000-0000EC290000}"/>
    <cellStyle name="Comma 82" xfId="11776" xr:uid="{00000000-0005-0000-0000-0000ED290000}"/>
    <cellStyle name="Comma 83" xfId="11781" xr:uid="{00000000-0005-0000-0000-0000EE290000}"/>
    <cellStyle name="Comma 84" xfId="20811" xr:uid="{00000000-0005-0000-0000-0000EF290000}"/>
    <cellStyle name="Comma 85" xfId="33844" xr:uid="{00000000-0005-0000-0000-0000F0290000}"/>
    <cellStyle name="Comma 86" xfId="33850" xr:uid="{00000000-0005-0000-0000-0000F1290000}"/>
    <cellStyle name="Comma 87" xfId="33854" xr:uid="{00000000-0005-0000-0000-0000F2290000}"/>
    <cellStyle name="Comma 88" xfId="34648" xr:uid="{00000000-0005-0000-0000-0000F3290000}"/>
    <cellStyle name="Comma 89" xfId="35324" xr:uid="{00000000-0005-0000-0000-0000F4290000}"/>
    <cellStyle name="Comma 9" xfId="5757" xr:uid="{00000000-0005-0000-0000-0000F5290000}"/>
    <cellStyle name="Comma 9 10" xfId="36514" xr:uid="{00000000-0005-0000-0000-0000F6290000}"/>
    <cellStyle name="Comma 9 11" xfId="36515" xr:uid="{00000000-0005-0000-0000-0000F7290000}"/>
    <cellStyle name="Comma 9 12" xfId="36516" xr:uid="{00000000-0005-0000-0000-0000F8290000}"/>
    <cellStyle name="Comma 9 13" xfId="36517" xr:uid="{00000000-0005-0000-0000-0000F9290000}"/>
    <cellStyle name="Comma 9 14" xfId="36518" xr:uid="{00000000-0005-0000-0000-0000FA290000}"/>
    <cellStyle name="Comma 9 15" xfId="36519" xr:uid="{00000000-0005-0000-0000-0000FB290000}"/>
    <cellStyle name="Comma 9 16" xfId="36520" xr:uid="{00000000-0005-0000-0000-0000FC290000}"/>
    <cellStyle name="Comma 9 17" xfId="36521" xr:uid="{00000000-0005-0000-0000-0000FD290000}"/>
    <cellStyle name="Comma 9 18" xfId="36522" xr:uid="{00000000-0005-0000-0000-0000FE290000}"/>
    <cellStyle name="Comma 9 19" xfId="36523" xr:uid="{00000000-0005-0000-0000-0000FF290000}"/>
    <cellStyle name="Comma 9 2" xfId="34282" xr:uid="{00000000-0005-0000-0000-0000002A0000}"/>
    <cellStyle name="Comma 9 2 2" xfId="36524" xr:uid="{00000000-0005-0000-0000-0000012A0000}"/>
    <cellStyle name="Comma 9 20" xfId="36525" xr:uid="{00000000-0005-0000-0000-0000022A0000}"/>
    <cellStyle name="Comma 9 21" xfId="36526" xr:uid="{00000000-0005-0000-0000-0000032A0000}"/>
    <cellStyle name="Comma 9 22" xfId="36527" xr:uid="{00000000-0005-0000-0000-0000042A0000}"/>
    <cellStyle name="Comma 9 23" xfId="36528" xr:uid="{00000000-0005-0000-0000-0000052A0000}"/>
    <cellStyle name="Comma 9 24" xfId="36529" xr:uid="{00000000-0005-0000-0000-0000062A0000}"/>
    <cellStyle name="Comma 9 25" xfId="36530" xr:uid="{00000000-0005-0000-0000-0000072A0000}"/>
    <cellStyle name="Comma 9 26" xfId="36531" xr:uid="{00000000-0005-0000-0000-0000082A0000}"/>
    <cellStyle name="Comma 9 27" xfId="36532" xr:uid="{00000000-0005-0000-0000-0000092A0000}"/>
    <cellStyle name="Comma 9 28" xfId="36533" xr:uid="{00000000-0005-0000-0000-00000A2A0000}"/>
    <cellStyle name="Comma 9 29" xfId="36534" xr:uid="{00000000-0005-0000-0000-00000B2A0000}"/>
    <cellStyle name="Comma 9 3" xfId="34283" xr:uid="{00000000-0005-0000-0000-00000C2A0000}"/>
    <cellStyle name="Comma 9 3 2" xfId="36535" xr:uid="{00000000-0005-0000-0000-00000D2A0000}"/>
    <cellStyle name="Comma 9 30" xfId="36536" xr:uid="{00000000-0005-0000-0000-00000E2A0000}"/>
    <cellStyle name="Comma 9 31" xfId="36537" xr:uid="{00000000-0005-0000-0000-00000F2A0000}"/>
    <cellStyle name="Comma 9 32" xfId="36538" xr:uid="{00000000-0005-0000-0000-0000102A0000}"/>
    <cellStyle name="Comma 9 33" xfId="36539" xr:uid="{00000000-0005-0000-0000-0000112A0000}"/>
    <cellStyle name="Comma 9 34" xfId="36540" xr:uid="{00000000-0005-0000-0000-0000122A0000}"/>
    <cellStyle name="Comma 9 35" xfId="36541" xr:uid="{00000000-0005-0000-0000-0000132A0000}"/>
    <cellStyle name="Comma 9 36" xfId="36542" xr:uid="{00000000-0005-0000-0000-0000142A0000}"/>
    <cellStyle name="Comma 9 37" xfId="36543" xr:uid="{00000000-0005-0000-0000-0000152A0000}"/>
    <cellStyle name="Comma 9 38" xfId="36544" xr:uid="{00000000-0005-0000-0000-0000162A0000}"/>
    <cellStyle name="Comma 9 39" xfId="36545" xr:uid="{00000000-0005-0000-0000-0000172A0000}"/>
    <cellStyle name="Comma 9 4" xfId="34284" xr:uid="{00000000-0005-0000-0000-0000182A0000}"/>
    <cellStyle name="Comma 9 4 2" xfId="34285" xr:uid="{00000000-0005-0000-0000-0000192A0000}"/>
    <cellStyle name="Comma 9 4 3" xfId="34286" xr:uid="{00000000-0005-0000-0000-00001A2A0000}"/>
    <cellStyle name="Comma 9 4 4" xfId="34287" xr:uid="{00000000-0005-0000-0000-00001B2A0000}"/>
    <cellStyle name="Comma 9 4 5" xfId="34288" xr:uid="{00000000-0005-0000-0000-00001C2A0000}"/>
    <cellStyle name="Comma 9 4 6" xfId="34289" xr:uid="{00000000-0005-0000-0000-00001D2A0000}"/>
    <cellStyle name="Comma 9 4 7" xfId="34290" xr:uid="{00000000-0005-0000-0000-00001E2A0000}"/>
    <cellStyle name="Comma 9 4 8" xfId="36546" xr:uid="{00000000-0005-0000-0000-00001F2A0000}"/>
    <cellStyle name="Comma 9 40" xfId="36547" xr:uid="{00000000-0005-0000-0000-0000202A0000}"/>
    <cellStyle name="Comma 9 41" xfId="36548" xr:uid="{00000000-0005-0000-0000-0000212A0000}"/>
    <cellStyle name="Comma 9 42" xfId="36549" xr:uid="{00000000-0005-0000-0000-0000222A0000}"/>
    <cellStyle name="Comma 9 43" xfId="36550" xr:uid="{00000000-0005-0000-0000-0000232A0000}"/>
    <cellStyle name="Comma 9 44" xfId="36551" xr:uid="{00000000-0005-0000-0000-0000242A0000}"/>
    <cellStyle name="Comma 9 45" xfId="36552" xr:uid="{00000000-0005-0000-0000-0000252A0000}"/>
    <cellStyle name="Comma 9 46" xfId="36553" xr:uid="{00000000-0005-0000-0000-0000262A0000}"/>
    <cellStyle name="Comma 9 47" xfId="36554" xr:uid="{00000000-0005-0000-0000-0000272A0000}"/>
    <cellStyle name="Comma 9 48" xfId="36555" xr:uid="{00000000-0005-0000-0000-0000282A0000}"/>
    <cellStyle name="Comma 9 49" xfId="36556" xr:uid="{00000000-0005-0000-0000-0000292A0000}"/>
    <cellStyle name="Comma 9 5" xfId="34291" xr:uid="{00000000-0005-0000-0000-00002A2A0000}"/>
    <cellStyle name="Comma 9 5 2" xfId="36557" xr:uid="{00000000-0005-0000-0000-00002B2A0000}"/>
    <cellStyle name="Comma 9 50" xfId="36558" xr:uid="{00000000-0005-0000-0000-00002C2A0000}"/>
    <cellStyle name="Comma 9 51" xfId="36559" xr:uid="{00000000-0005-0000-0000-00002D2A0000}"/>
    <cellStyle name="Comma 9 52" xfId="36560" xr:uid="{00000000-0005-0000-0000-00002E2A0000}"/>
    <cellStyle name="Comma 9 53" xfId="36561" xr:uid="{00000000-0005-0000-0000-00002F2A0000}"/>
    <cellStyle name="Comma 9 54" xfId="36562" xr:uid="{00000000-0005-0000-0000-0000302A0000}"/>
    <cellStyle name="Comma 9 55" xfId="36563" xr:uid="{00000000-0005-0000-0000-0000312A0000}"/>
    <cellStyle name="Comma 9 56" xfId="36564" xr:uid="{00000000-0005-0000-0000-0000322A0000}"/>
    <cellStyle name="Comma 9 57" xfId="36565" xr:uid="{00000000-0005-0000-0000-0000332A0000}"/>
    <cellStyle name="Comma 9 58" xfId="36566" xr:uid="{00000000-0005-0000-0000-0000342A0000}"/>
    <cellStyle name="Comma 9 59" xfId="36567" xr:uid="{00000000-0005-0000-0000-0000352A0000}"/>
    <cellStyle name="Comma 9 6" xfId="34292" xr:uid="{00000000-0005-0000-0000-0000362A0000}"/>
    <cellStyle name="Comma 9 6 2" xfId="36568" xr:uid="{00000000-0005-0000-0000-0000372A0000}"/>
    <cellStyle name="Comma 9 60" xfId="36569" xr:uid="{00000000-0005-0000-0000-0000382A0000}"/>
    <cellStyle name="Comma 9 61" xfId="36513" xr:uid="{00000000-0005-0000-0000-0000392A0000}"/>
    <cellStyle name="Comma 9 7" xfId="36570" xr:uid="{00000000-0005-0000-0000-00003A2A0000}"/>
    <cellStyle name="Comma 9 8" xfId="36571" xr:uid="{00000000-0005-0000-0000-00003B2A0000}"/>
    <cellStyle name="Comma 9 9" xfId="36572" xr:uid="{00000000-0005-0000-0000-00003C2A0000}"/>
    <cellStyle name="Comma 90" xfId="36603" xr:uid="{00000000-0005-0000-0000-00003D2A0000}"/>
    <cellStyle name="Comma 91" xfId="36605" xr:uid="{00000000-0005-0000-0000-00003E2A0000}"/>
    <cellStyle name="Comma 92" xfId="36607" xr:uid="{00000000-0005-0000-0000-00003F2A0000}"/>
    <cellStyle name="Comma0" xfId="1800" xr:uid="{00000000-0005-0000-0000-0000402A0000}"/>
    <cellStyle name="Comma0 2" xfId="3384" xr:uid="{00000000-0005-0000-0000-0000412A0000}"/>
    <cellStyle name="Company Name" xfId="1801" xr:uid="{00000000-0005-0000-0000-0000422A0000}"/>
    <cellStyle name="Copied" xfId="1802" xr:uid="{00000000-0005-0000-0000-0000432A0000}"/>
    <cellStyle name="COST1" xfId="1803" xr:uid="{00000000-0005-0000-0000-0000442A0000}"/>
    <cellStyle name="CR Comma" xfId="1804" xr:uid="{00000000-0005-0000-0000-0000452A0000}"/>
    <cellStyle name="CR Currency" xfId="1805" xr:uid="{00000000-0005-0000-0000-0000462A0000}"/>
    <cellStyle name="Currency" xfId="34641" builtinId="4"/>
    <cellStyle name="Currency %" xfId="1806" xr:uid="{00000000-0005-0000-0000-0000482A0000}"/>
    <cellStyle name="Currency [00]" xfId="1807" xr:uid="{00000000-0005-0000-0000-0000492A0000}"/>
    <cellStyle name="Currency [00] 2" xfId="3385" xr:uid="{00000000-0005-0000-0000-00004A2A0000}"/>
    <cellStyle name="Currency 0.0" xfId="1808" xr:uid="{00000000-0005-0000-0000-00004B2A0000}"/>
    <cellStyle name="Currency 0.0%" xfId="1809" xr:uid="{00000000-0005-0000-0000-00004C2A0000}"/>
    <cellStyle name="Currency 0.00" xfId="1810" xr:uid="{00000000-0005-0000-0000-00004D2A0000}"/>
    <cellStyle name="Currency 0.00%" xfId="1811" xr:uid="{00000000-0005-0000-0000-00004E2A0000}"/>
    <cellStyle name="Currency 0.000" xfId="1812" xr:uid="{00000000-0005-0000-0000-00004F2A0000}"/>
    <cellStyle name="Currency 0.000%" xfId="1813" xr:uid="{00000000-0005-0000-0000-0000502A0000}"/>
    <cellStyle name="Currency 10" xfId="5821" xr:uid="{00000000-0005-0000-0000-0000512A0000}"/>
    <cellStyle name="Currency 11" xfId="5823" xr:uid="{00000000-0005-0000-0000-0000522A0000}"/>
    <cellStyle name="Currency 12" xfId="5666" xr:uid="{00000000-0005-0000-0000-0000532A0000}"/>
    <cellStyle name="Currency 13" xfId="5775" xr:uid="{00000000-0005-0000-0000-0000542A0000}"/>
    <cellStyle name="Currency 14" xfId="5780" xr:uid="{00000000-0005-0000-0000-0000552A0000}"/>
    <cellStyle name="Currency 15" xfId="5779" xr:uid="{00000000-0005-0000-0000-0000562A0000}"/>
    <cellStyle name="Currency 16" xfId="5792" xr:uid="{00000000-0005-0000-0000-0000572A0000}"/>
    <cellStyle name="Currency 17" xfId="5778" xr:uid="{00000000-0005-0000-0000-0000582A0000}"/>
    <cellStyle name="Currency 18" xfId="4125" xr:uid="{00000000-0005-0000-0000-0000592A0000}"/>
    <cellStyle name="Currency 18 2" xfId="5657" xr:uid="{00000000-0005-0000-0000-00005A2A0000}"/>
    <cellStyle name="Currency 18 2 2" xfId="6805" xr:uid="{00000000-0005-0000-0000-00005B2A0000}"/>
    <cellStyle name="Currency 18 2 2 2" xfId="7492" xr:uid="{00000000-0005-0000-0000-00005C2A0000}"/>
    <cellStyle name="Currency 18 2 2 2 2" xfId="9371" xr:uid="{00000000-0005-0000-0000-00005D2A0000}"/>
    <cellStyle name="Currency 18 2 2 2 2 2" xfId="11750" xr:uid="{00000000-0005-0000-0000-00005E2A0000}"/>
    <cellStyle name="Currency 18 2 2 2 2 2 2" xfId="12650" xr:uid="{00000000-0005-0000-0000-00005F2A0000}"/>
    <cellStyle name="Currency 18 2 2 2 2 2 2 2" xfId="25723" xr:uid="{00000000-0005-0000-0000-0000602A0000}"/>
    <cellStyle name="Currency 18 2 2 2 2 2 3" xfId="12651" xr:uid="{00000000-0005-0000-0000-0000612A0000}"/>
    <cellStyle name="Currency 18 2 2 2 2 2 3 2" xfId="25724" xr:uid="{00000000-0005-0000-0000-0000622A0000}"/>
    <cellStyle name="Currency 18 2 2 2 2 2 4" xfId="25120" xr:uid="{00000000-0005-0000-0000-0000632A0000}"/>
    <cellStyle name="Currency 18 2 2 2 2 3" xfId="12652" xr:uid="{00000000-0005-0000-0000-0000642A0000}"/>
    <cellStyle name="Currency 18 2 2 2 2 3 2" xfId="25725" xr:uid="{00000000-0005-0000-0000-0000652A0000}"/>
    <cellStyle name="Currency 18 2 2 2 2 4" xfId="12653" xr:uid="{00000000-0005-0000-0000-0000662A0000}"/>
    <cellStyle name="Currency 18 2 2 2 2 4 2" xfId="25726" xr:uid="{00000000-0005-0000-0000-0000672A0000}"/>
    <cellStyle name="Currency 18 2 2 2 2 5" xfId="22964" xr:uid="{00000000-0005-0000-0000-0000682A0000}"/>
    <cellStyle name="Currency 18 2 2 2 3" xfId="10672" xr:uid="{00000000-0005-0000-0000-0000692A0000}"/>
    <cellStyle name="Currency 18 2 2 2 3 2" xfId="12654" xr:uid="{00000000-0005-0000-0000-00006A2A0000}"/>
    <cellStyle name="Currency 18 2 2 2 3 2 2" xfId="25727" xr:uid="{00000000-0005-0000-0000-00006B2A0000}"/>
    <cellStyle name="Currency 18 2 2 2 3 3" xfId="12655" xr:uid="{00000000-0005-0000-0000-00006C2A0000}"/>
    <cellStyle name="Currency 18 2 2 2 3 3 2" xfId="25728" xr:uid="{00000000-0005-0000-0000-00006D2A0000}"/>
    <cellStyle name="Currency 18 2 2 2 3 4" xfId="24042" xr:uid="{00000000-0005-0000-0000-00006E2A0000}"/>
    <cellStyle name="Currency 18 2 2 2 4" xfId="12656" xr:uid="{00000000-0005-0000-0000-00006F2A0000}"/>
    <cellStyle name="Currency 18 2 2 2 4 2" xfId="25729" xr:uid="{00000000-0005-0000-0000-0000702A0000}"/>
    <cellStyle name="Currency 18 2 2 2 5" xfId="12657" xr:uid="{00000000-0005-0000-0000-0000712A0000}"/>
    <cellStyle name="Currency 18 2 2 2 5 2" xfId="25730" xr:uid="{00000000-0005-0000-0000-0000722A0000}"/>
    <cellStyle name="Currency 18 2 2 2 6" xfId="21886" xr:uid="{00000000-0005-0000-0000-0000732A0000}"/>
    <cellStyle name="Currency 18 2 2 3" xfId="8825" xr:uid="{00000000-0005-0000-0000-0000742A0000}"/>
    <cellStyle name="Currency 18 2 2 3 2" xfId="11210" xr:uid="{00000000-0005-0000-0000-0000752A0000}"/>
    <cellStyle name="Currency 18 2 2 3 2 2" xfId="12658" xr:uid="{00000000-0005-0000-0000-0000762A0000}"/>
    <cellStyle name="Currency 18 2 2 3 2 2 2" xfId="25731" xr:uid="{00000000-0005-0000-0000-0000772A0000}"/>
    <cellStyle name="Currency 18 2 2 3 2 3" xfId="12659" xr:uid="{00000000-0005-0000-0000-0000782A0000}"/>
    <cellStyle name="Currency 18 2 2 3 2 3 2" xfId="25732" xr:uid="{00000000-0005-0000-0000-0000792A0000}"/>
    <cellStyle name="Currency 18 2 2 3 2 4" xfId="24580" xr:uid="{00000000-0005-0000-0000-00007A2A0000}"/>
    <cellStyle name="Currency 18 2 2 3 3" xfId="12660" xr:uid="{00000000-0005-0000-0000-00007B2A0000}"/>
    <cellStyle name="Currency 18 2 2 3 3 2" xfId="25733" xr:uid="{00000000-0005-0000-0000-00007C2A0000}"/>
    <cellStyle name="Currency 18 2 2 3 4" xfId="12661" xr:uid="{00000000-0005-0000-0000-00007D2A0000}"/>
    <cellStyle name="Currency 18 2 2 3 4 2" xfId="25734" xr:uid="{00000000-0005-0000-0000-00007E2A0000}"/>
    <cellStyle name="Currency 18 2 2 3 5" xfId="22424" xr:uid="{00000000-0005-0000-0000-00007F2A0000}"/>
    <cellStyle name="Currency 18 2 2 4" xfId="10132" xr:uid="{00000000-0005-0000-0000-0000802A0000}"/>
    <cellStyle name="Currency 18 2 2 4 2" xfId="12662" xr:uid="{00000000-0005-0000-0000-0000812A0000}"/>
    <cellStyle name="Currency 18 2 2 4 2 2" xfId="25735" xr:uid="{00000000-0005-0000-0000-0000822A0000}"/>
    <cellStyle name="Currency 18 2 2 4 3" xfId="12663" xr:uid="{00000000-0005-0000-0000-0000832A0000}"/>
    <cellStyle name="Currency 18 2 2 4 3 2" xfId="25736" xr:uid="{00000000-0005-0000-0000-0000842A0000}"/>
    <cellStyle name="Currency 18 2 2 4 4" xfId="23502" xr:uid="{00000000-0005-0000-0000-0000852A0000}"/>
    <cellStyle name="Currency 18 2 2 5" xfId="12664" xr:uid="{00000000-0005-0000-0000-0000862A0000}"/>
    <cellStyle name="Currency 18 2 2 5 2" xfId="25737" xr:uid="{00000000-0005-0000-0000-0000872A0000}"/>
    <cellStyle name="Currency 18 2 2 6" xfId="12665" xr:uid="{00000000-0005-0000-0000-0000882A0000}"/>
    <cellStyle name="Currency 18 2 2 6 2" xfId="25738" xr:uid="{00000000-0005-0000-0000-0000892A0000}"/>
    <cellStyle name="Currency 18 2 2 7" xfId="21346" xr:uid="{00000000-0005-0000-0000-00008A2A0000}"/>
    <cellStyle name="Currency 18 2 3" xfId="7223" xr:uid="{00000000-0005-0000-0000-00008B2A0000}"/>
    <cellStyle name="Currency 18 2 3 2" xfId="9102" xr:uid="{00000000-0005-0000-0000-00008C2A0000}"/>
    <cellStyle name="Currency 18 2 3 2 2" xfId="11481" xr:uid="{00000000-0005-0000-0000-00008D2A0000}"/>
    <cellStyle name="Currency 18 2 3 2 2 2" xfId="12666" xr:uid="{00000000-0005-0000-0000-00008E2A0000}"/>
    <cellStyle name="Currency 18 2 3 2 2 2 2" xfId="25739" xr:uid="{00000000-0005-0000-0000-00008F2A0000}"/>
    <cellStyle name="Currency 18 2 3 2 2 3" xfId="12667" xr:uid="{00000000-0005-0000-0000-0000902A0000}"/>
    <cellStyle name="Currency 18 2 3 2 2 3 2" xfId="25740" xr:uid="{00000000-0005-0000-0000-0000912A0000}"/>
    <cellStyle name="Currency 18 2 3 2 2 4" xfId="24851" xr:uid="{00000000-0005-0000-0000-0000922A0000}"/>
    <cellStyle name="Currency 18 2 3 2 3" xfId="12668" xr:uid="{00000000-0005-0000-0000-0000932A0000}"/>
    <cellStyle name="Currency 18 2 3 2 3 2" xfId="25741" xr:uid="{00000000-0005-0000-0000-0000942A0000}"/>
    <cellStyle name="Currency 18 2 3 2 4" xfId="12669" xr:uid="{00000000-0005-0000-0000-0000952A0000}"/>
    <cellStyle name="Currency 18 2 3 2 4 2" xfId="25742" xr:uid="{00000000-0005-0000-0000-0000962A0000}"/>
    <cellStyle name="Currency 18 2 3 2 5" xfId="22695" xr:uid="{00000000-0005-0000-0000-0000972A0000}"/>
    <cellStyle name="Currency 18 2 3 3" xfId="10403" xr:uid="{00000000-0005-0000-0000-0000982A0000}"/>
    <cellStyle name="Currency 18 2 3 3 2" xfId="12670" xr:uid="{00000000-0005-0000-0000-0000992A0000}"/>
    <cellStyle name="Currency 18 2 3 3 2 2" xfId="25743" xr:uid="{00000000-0005-0000-0000-00009A2A0000}"/>
    <cellStyle name="Currency 18 2 3 3 3" xfId="12671" xr:uid="{00000000-0005-0000-0000-00009B2A0000}"/>
    <cellStyle name="Currency 18 2 3 3 3 2" xfId="25744" xr:uid="{00000000-0005-0000-0000-00009C2A0000}"/>
    <cellStyle name="Currency 18 2 3 3 4" xfId="23773" xr:uid="{00000000-0005-0000-0000-00009D2A0000}"/>
    <cellStyle name="Currency 18 2 3 4" xfId="12672" xr:uid="{00000000-0005-0000-0000-00009E2A0000}"/>
    <cellStyle name="Currency 18 2 3 4 2" xfId="25745" xr:uid="{00000000-0005-0000-0000-00009F2A0000}"/>
    <cellStyle name="Currency 18 2 3 5" xfId="12673" xr:uid="{00000000-0005-0000-0000-0000A02A0000}"/>
    <cellStyle name="Currency 18 2 3 5 2" xfId="25746" xr:uid="{00000000-0005-0000-0000-0000A12A0000}"/>
    <cellStyle name="Currency 18 2 3 6" xfId="21617" xr:uid="{00000000-0005-0000-0000-0000A22A0000}"/>
    <cellStyle name="Currency 18 2 4" xfId="8500" xr:uid="{00000000-0005-0000-0000-0000A32A0000}"/>
    <cellStyle name="Currency 18 2 4 2" xfId="10941" xr:uid="{00000000-0005-0000-0000-0000A42A0000}"/>
    <cellStyle name="Currency 18 2 4 2 2" xfId="12674" xr:uid="{00000000-0005-0000-0000-0000A52A0000}"/>
    <cellStyle name="Currency 18 2 4 2 2 2" xfId="25747" xr:uid="{00000000-0005-0000-0000-0000A62A0000}"/>
    <cellStyle name="Currency 18 2 4 2 3" xfId="12675" xr:uid="{00000000-0005-0000-0000-0000A72A0000}"/>
    <cellStyle name="Currency 18 2 4 2 3 2" xfId="25748" xr:uid="{00000000-0005-0000-0000-0000A82A0000}"/>
    <cellStyle name="Currency 18 2 4 2 4" xfId="24311" xr:uid="{00000000-0005-0000-0000-0000A92A0000}"/>
    <cellStyle name="Currency 18 2 4 3" xfId="12676" xr:uid="{00000000-0005-0000-0000-0000AA2A0000}"/>
    <cellStyle name="Currency 18 2 4 3 2" xfId="25749" xr:uid="{00000000-0005-0000-0000-0000AB2A0000}"/>
    <cellStyle name="Currency 18 2 4 4" xfId="12677" xr:uid="{00000000-0005-0000-0000-0000AC2A0000}"/>
    <cellStyle name="Currency 18 2 4 4 2" xfId="25750" xr:uid="{00000000-0005-0000-0000-0000AD2A0000}"/>
    <cellStyle name="Currency 18 2 4 5" xfId="22155" xr:uid="{00000000-0005-0000-0000-0000AE2A0000}"/>
    <cellStyle name="Currency 18 2 5" xfId="9863" xr:uid="{00000000-0005-0000-0000-0000AF2A0000}"/>
    <cellStyle name="Currency 18 2 5 2" xfId="12678" xr:uid="{00000000-0005-0000-0000-0000B02A0000}"/>
    <cellStyle name="Currency 18 2 5 2 2" xfId="25751" xr:uid="{00000000-0005-0000-0000-0000B12A0000}"/>
    <cellStyle name="Currency 18 2 5 3" xfId="12679" xr:uid="{00000000-0005-0000-0000-0000B22A0000}"/>
    <cellStyle name="Currency 18 2 5 3 2" xfId="25752" xr:uid="{00000000-0005-0000-0000-0000B32A0000}"/>
    <cellStyle name="Currency 18 2 5 4" xfId="23233" xr:uid="{00000000-0005-0000-0000-0000B42A0000}"/>
    <cellStyle name="Currency 18 2 6" xfId="12680" xr:uid="{00000000-0005-0000-0000-0000B52A0000}"/>
    <cellStyle name="Currency 18 2 6 2" xfId="25753" xr:uid="{00000000-0005-0000-0000-0000B62A0000}"/>
    <cellStyle name="Currency 18 2 7" xfId="12681" xr:uid="{00000000-0005-0000-0000-0000B72A0000}"/>
    <cellStyle name="Currency 18 2 7 2" xfId="25754" xr:uid="{00000000-0005-0000-0000-0000B82A0000}"/>
    <cellStyle name="Currency 18 2 8" xfId="21077" xr:uid="{00000000-0005-0000-0000-0000B92A0000}"/>
    <cellStyle name="Currency 18 3" xfId="6655" xr:uid="{00000000-0005-0000-0000-0000BA2A0000}"/>
    <cellStyle name="Currency 18 3 2" xfId="7349" xr:uid="{00000000-0005-0000-0000-0000BB2A0000}"/>
    <cellStyle name="Currency 18 3 2 2" xfId="9228" xr:uid="{00000000-0005-0000-0000-0000BC2A0000}"/>
    <cellStyle name="Currency 18 3 2 2 2" xfId="11607" xr:uid="{00000000-0005-0000-0000-0000BD2A0000}"/>
    <cellStyle name="Currency 18 3 2 2 2 2" xfId="12682" xr:uid="{00000000-0005-0000-0000-0000BE2A0000}"/>
    <cellStyle name="Currency 18 3 2 2 2 2 2" xfId="25755" xr:uid="{00000000-0005-0000-0000-0000BF2A0000}"/>
    <cellStyle name="Currency 18 3 2 2 2 3" xfId="12683" xr:uid="{00000000-0005-0000-0000-0000C02A0000}"/>
    <cellStyle name="Currency 18 3 2 2 2 3 2" xfId="25756" xr:uid="{00000000-0005-0000-0000-0000C12A0000}"/>
    <cellStyle name="Currency 18 3 2 2 2 4" xfId="24977" xr:uid="{00000000-0005-0000-0000-0000C22A0000}"/>
    <cellStyle name="Currency 18 3 2 2 3" xfId="12684" xr:uid="{00000000-0005-0000-0000-0000C32A0000}"/>
    <cellStyle name="Currency 18 3 2 2 3 2" xfId="25757" xr:uid="{00000000-0005-0000-0000-0000C42A0000}"/>
    <cellStyle name="Currency 18 3 2 2 4" xfId="12685" xr:uid="{00000000-0005-0000-0000-0000C52A0000}"/>
    <cellStyle name="Currency 18 3 2 2 4 2" xfId="25758" xr:uid="{00000000-0005-0000-0000-0000C62A0000}"/>
    <cellStyle name="Currency 18 3 2 2 5" xfId="22821" xr:uid="{00000000-0005-0000-0000-0000C72A0000}"/>
    <cellStyle name="Currency 18 3 2 3" xfId="10529" xr:uid="{00000000-0005-0000-0000-0000C82A0000}"/>
    <cellStyle name="Currency 18 3 2 3 2" xfId="12686" xr:uid="{00000000-0005-0000-0000-0000C92A0000}"/>
    <cellStyle name="Currency 18 3 2 3 2 2" xfId="25759" xr:uid="{00000000-0005-0000-0000-0000CA2A0000}"/>
    <cellStyle name="Currency 18 3 2 3 3" xfId="12687" xr:uid="{00000000-0005-0000-0000-0000CB2A0000}"/>
    <cellStyle name="Currency 18 3 2 3 3 2" xfId="25760" xr:uid="{00000000-0005-0000-0000-0000CC2A0000}"/>
    <cellStyle name="Currency 18 3 2 3 4" xfId="23899" xr:uid="{00000000-0005-0000-0000-0000CD2A0000}"/>
    <cellStyle name="Currency 18 3 2 4" xfId="12688" xr:uid="{00000000-0005-0000-0000-0000CE2A0000}"/>
    <cellStyle name="Currency 18 3 2 4 2" xfId="25761" xr:uid="{00000000-0005-0000-0000-0000CF2A0000}"/>
    <cellStyle name="Currency 18 3 2 5" xfId="12689" xr:uid="{00000000-0005-0000-0000-0000D02A0000}"/>
    <cellStyle name="Currency 18 3 2 5 2" xfId="25762" xr:uid="{00000000-0005-0000-0000-0000D12A0000}"/>
    <cellStyle name="Currency 18 3 2 6" xfId="21743" xr:uid="{00000000-0005-0000-0000-0000D22A0000}"/>
    <cellStyle name="Currency 18 3 3" xfId="8682" xr:uid="{00000000-0005-0000-0000-0000D32A0000}"/>
    <cellStyle name="Currency 18 3 3 2" xfId="11067" xr:uid="{00000000-0005-0000-0000-0000D42A0000}"/>
    <cellStyle name="Currency 18 3 3 2 2" xfId="12690" xr:uid="{00000000-0005-0000-0000-0000D52A0000}"/>
    <cellStyle name="Currency 18 3 3 2 2 2" xfId="25763" xr:uid="{00000000-0005-0000-0000-0000D62A0000}"/>
    <cellStyle name="Currency 18 3 3 2 3" xfId="12691" xr:uid="{00000000-0005-0000-0000-0000D72A0000}"/>
    <cellStyle name="Currency 18 3 3 2 3 2" xfId="25764" xr:uid="{00000000-0005-0000-0000-0000D82A0000}"/>
    <cellStyle name="Currency 18 3 3 2 4" xfId="24437" xr:uid="{00000000-0005-0000-0000-0000D92A0000}"/>
    <cellStyle name="Currency 18 3 3 3" xfId="12692" xr:uid="{00000000-0005-0000-0000-0000DA2A0000}"/>
    <cellStyle name="Currency 18 3 3 3 2" xfId="25765" xr:uid="{00000000-0005-0000-0000-0000DB2A0000}"/>
    <cellStyle name="Currency 18 3 3 4" xfId="12693" xr:uid="{00000000-0005-0000-0000-0000DC2A0000}"/>
    <cellStyle name="Currency 18 3 3 4 2" xfId="25766" xr:uid="{00000000-0005-0000-0000-0000DD2A0000}"/>
    <cellStyle name="Currency 18 3 3 5" xfId="22281" xr:uid="{00000000-0005-0000-0000-0000DE2A0000}"/>
    <cellStyle name="Currency 18 3 4" xfId="9989" xr:uid="{00000000-0005-0000-0000-0000DF2A0000}"/>
    <cellStyle name="Currency 18 3 4 2" xfId="12694" xr:uid="{00000000-0005-0000-0000-0000E02A0000}"/>
    <cellStyle name="Currency 18 3 4 2 2" xfId="25767" xr:uid="{00000000-0005-0000-0000-0000E12A0000}"/>
    <cellStyle name="Currency 18 3 4 3" xfId="12695" xr:uid="{00000000-0005-0000-0000-0000E22A0000}"/>
    <cellStyle name="Currency 18 3 4 3 2" xfId="25768" xr:uid="{00000000-0005-0000-0000-0000E32A0000}"/>
    <cellStyle name="Currency 18 3 4 4" xfId="23359" xr:uid="{00000000-0005-0000-0000-0000E42A0000}"/>
    <cellStyle name="Currency 18 3 5" xfId="12696" xr:uid="{00000000-0005-0000-0000-0000E52A0000}"/>
    <cellStyle name="Currency 18 3 5 2" xfId="25769" xr:uid="{00000000-0005-0000-0000-0000E62A0000}"/>
    <cellStyle name="Currency 18 3 6" xfId="12697" xr:uid="{00000000-0005-0000-0000-0000E72A0000}"/>
    <cellStyle name="Currency 18 3 6 2" xfId="25770" xr:uid="{00000000-0005-0000-0000-0000E82A0000}"/>
    <cellStyle name="Currency 18 3 7" xfId="21203" xr:uid="{00000000-0005-0000-0000-0000E92A0000}"/>
    <cellStyle name="Currency 18 4" xfId="7080" xr:uid="{00000000-0005-0000-0000-0000EA2A0000}"/>
    <cellStyle name="Currency 18 4 2" xfId="8959" xr:uid="{00000000-0005-0000-0000-0000EB2A0000}"/>
    <cellStyle name="Currency 18 4 2 2" xfId="11338" xr:uid="{00000000-0005-0000-0000-0000EC2A0000}"/>
    <cellStyle name="Currency 18 4 2 2 2" xfId="12698" xr:uid="{00000000-0005-0000-0000-0000ED2A0000}"/>
    <cellStyle name="Currency 18 4 2 2 2 2" xfId="25771" xr:uid="{00000000-0005-0000-0000-0000EE2A0000}"/>
    <cellStyle name="Currency 18 4 2 2 3" xfId="12699" xr:uid="{00000000-0005-0000-0000-0000EF2A0000}"/>
    <cellStyle name="Currency 18 4 2 2 3 2" xfId="25772" xr:uid="{00000000-0005-0000-0000-0000F02A0000}"/>
    <cellStyle name="Currency 18 4 2 2 4" xfId="24708" xr:uid="{00000000-0005-0000-0000-0000F12A0000}"/>
    <cellStyle name="Currency 18 4 2 3" xfId="12700" xr:uid="{00000000-0005-0000-0000-0000F22A0000}"/>
    <cellStyle name="Currency 18 4 2 3 2" xfId="25773" xr:uid="{00000000-0005-0000-0000-0000F32A0000}"/>
    <cellStyle name="Currency 18 4 2 4" xfId="12701" xr:uid="{00000000-0005-0000-0000-0000F42A0000}"/>
    <cellStyle name="Currency 18 4 2 4 2" xfId="25774" xr:uid="{00000000-0005-0000-0000-0000F52A0000}"/>
    <cellStyle name="Currency 18 4 2 5" xfId="22552" xr:uid="{00000000-0005-0000-0000-0000F62A0000}"/>
    <cellStyle name="Currency 18 4 3" xfId="10260" xr:uid="{00000000-0005-0000-0000-0000F72A0000}"/>
    <cellStyle name="Currency 18 4 3 2" xfId="12702" xr:uid="{00000000-0005-0000-0000-0000F82A0000}"/>
    <cellStyle name="Currency 18 4 3 2 2" xfId="25775" xr:uid="{00000000-0005-0000-0000-0000F92A0000}"/>
    <cellStyle name="Currency 18 4 3 3" xfId="12703" xr:uid="{00000000-0005-0000-0000-0000FA2A0000}"/>
    <cellStyle name="Currency 18 4 3 3 2" xfId="25776" xr:uid="{00000000-0005-0000-0000-0000FB2A0000}"/>
    <cellStyle name="Currency 18 4 3 4" xfId="23630" xr:uid="{00000000-0005-0000-0000-0000FC2A0000}"/>
    <cellStyle name="Currency 18 4 4" xfId="12704" xr:uid="{00000000-0005-0000-0000-0000FD2A0000}"/>
    <cellStyle name="Currency 18 4 4 2" xfId="25777" xr:uid="{00000000-0005-0000-0000-0000FE2A0000}"/>
    <cellStyle name="Currency 18 4 5" xfId="12705" xr:uid="{00000000-0005-0000-0000-0000FF2A0000}"/>
    <cellStyle name="Currency 18 4 5 2" xfId="25778" xr:uid="{00000000-0005-0000-0000-0000002B0000}"/>
    <cellStyle name="Currency 18 4 6" xfId="21474" xr:uid="{00000000-0005-0000-0000-0000012B0000}"/>
    <cellStyle name="Currency 18 5" xfId="8286" xr:uid="{00000000-0005-0000-0000-0000022B0000}"/>
    <cellStyle name="Currency 18 5 2" xfId="10798" xr:uid="{00000000-0005-0000-0000-0000032B0000}"/>
    <cellStyle name="Currency 18 5 2 2" xfId="12706" xr:uid="{00000000-0005-0000-0000-0000042B0000}"/>
    <cellStyle name="Currency 18 5 2 2 2" xfId="25779" xr:uid="{00000000-0005-0000-0000-0000052B0000}"/>
    <cellStyle name="Currency 18 5 2 3" xfId="12707" xr:uid="{00000000-0005-0000-0000-0000062B0000}"/>
    <cellStyle name="Currency 18 5 2 3 2" xfId="25780" xr:uid="{00000000-0005-0000-0000-0000072B0000}"/>
    <cellStyle name="Currency 18 5 2 4" xfId="24168" xr:uid="{00000000-0005-0000-0000-0000082B0000}"/>
    <cellStyle name="Currency 18 5 3" xfId="12708" xr:uid="{00000000-0005-0000-0000-0000092B0000}"/>
    <cellStyle name="Currency 18 5 3 2" xfId="25781" xr:uid="{00000000-0005-0000-0000-00000A2B0000}"/>
    <cellStyle name="Currency 18 5 4" xfId="12709" xr:uid="{00000000-0005-0000-0000-00000B2B0000}"/>
    <cellStyle name="Currency 18 5 4 2" xfId="25782" xr:uid="{00000000-0005-0000-0000-00000C2B0000}"/>
    <cellStyle name="Currency 18 5 5" xfId="22012" xr:uid="{00000000-0005-0000-0000-00000D2B0000}"/>
    <cellStyle name="Currency 18 6" xfId="9720" xr:uid="{00000000-0005-0000-0000-00000E2B0000}"/>
    <cellStyle name="Currency 18 6 2" xfId="12710" xr:uid="{00000000-0005-0000-0000-00000F2B0000}"/>
    <cellStyle name="Currency 18 6 2 2" xfId="25783" xr:uid="{00000000-0005-0000-0000-0000102B0000}"/>
    <cellStyle name="Currency 18 6 3" xfId="12711" xr:uid="{00000000-0005-0000-0000-0000112B0000}"/>
    <cellStyle name="Currency 18 6 3 2" xfId="25784" xr:uid="{00000000-0005-0000-0000-0000122B0000}"/>
    <cellStyle name="Currency 18 6 4" xfId="23090" xr:uid="{00000000-0005-0000-0000-0000132B0000}"/>
    <cellStyle name="Currency 18 7" xfId="12712" xr:uid="{00000000-0005-0000-0000-0000142B0000}"/>
    <cellStyle name="Currency 18 7 2" xfId="25785" xr:uid="{00000000-0005-0000-0000-0000152B0000}"/>
    <cellStyle name="Currency 18 8" xfId="12713" xr:uid="{00000000-0005-0000-0000-0000162B0000}"/>
    <cellStyle name="Currency 18 8 2" xfId="25786" xr:uid="{00000000-0005-0000-0000-0000172B0000}"/>
    <cellStyle name="Currency 18 9" xfId="20934" xr:uid="{00000000-0005-0000-0000-0000182B0000}"/>
    <cellStyle name="Currency 19" xfId="6654" xr:uid="{00000000-0005-0000-0000-0000192B0000}"/>
    <cellStyle name="Currency 2" xfId="5656" xr:uid="{00000000-0005-0000-0000-00001A2B0000}"/>
    <cellStyle name="Currency 20" xfId="6569" xr:uid="{00000000-0005-0000-0000-00001B2B0000}"/>
    <cellStyle name="Currency 21" xfId="6670" xr:uid="{00000000-0005-0000-0000-00001C2B0000}"/>
    <cellStyle name="Currency 22" xfId="7079" xr:uid="{00000000-0005-0000-0000-00001D2B0000}"/>
    <cellStyle name="Currency 23" xfId="7623" xr:uid="{00000000-0005-0000-0000-00001E2B0000}"/>
    <cellStyle name="Currency 24" xfId="7513" xr:uid="{00000000-0005-0000-0000-00001F2B0000}"/>
    <cellStyle name="Currency 25" xfId="7679" xr:uid="{00000000-0005-0000-0000-0000202B0000}"/>
    <cellStyle name="Currency 26" xfId="7526" xr:uid="{00000000-0005-0000-0000-0000212B0000}"/>
    <cellStyle name="Currency 27" xfId="7531" xr:uid="{00000000-0005-0000-0000-0000222B0000}"/>
    <cellStyle name="Currency 28" xfId="7629" xr:uid="{00000000-0005-0000-0000-0000232B0000}"/>
    <cellStyle name="Currency 29" xfId="7519" xr:uid="{00000000-0005-0000-0000-0000242B0000}"/>
    <cellStyle name="Currency 3" xfId="5829" xr:uid="{00000000-0005-0000-0000-0000252B0000}"/>
    <cellStyle name="Currency 30" xfId="7702" xr:uid="{00000000-0005-0000-0000-0000262B0000}"/>
    <cellStyle name="Currency 31" xfId="7515" xr:uid="{00000000-0005-0000-0000-0000272B0000}"/>
    <cellStyle name="Currency 32" xfId="7624" xr:uid="{00000000-0005-0000-0000-0000282B0000}"/>
    <cellStyle name="Currency 33" xfId="7615" xr:uid="{00000000-0005-0000-0000-0000292B0000}"/>
    <cellStyle name="Currency 34" xfId="7619" xr:uid="{00000000-0005-0000-0000-00002A2B0000}"/>
    <cellStyle name="Currency 35" xfId="7614" xr:uid="{00000000-0005-0000-0000-00002B2B0000}"/>
    <cellStyle name="Currency 36" xfId="7541" xr:uid="{00000000-0005-0000-0000-00002C2B0000}"/>
    <cellStyle name="Currency 37" xfId="7630" xr:uid="{00000000-0005-0000-0000-00002D2B0000}"/>
    <cellStyle name="Currency 38" xfId="7612" xr:uid="{00000000-0005-0000-0000-00002E2B0000}"/>
    <cellStyle name="Currency 39" xfId="7635" xr:uid="{00000000-0005-0000-0000-00002F2B0000}"/>
    <cellStyle name="Currency 4" xfId="5812" xr:uid="{00000000-0005-0000-0000-0000302B0000}"/>
    <cellStyle name="Currency 40" xfId="7575" xr:uid="{00000000-0005-0000-0000-0000312B0000}"/>
    <cellStyle name="Currency 41" xfId="7582" xr:uid="{00000000-0005-0000-0000-0000322B0000}"/>
    <cellStyle name="Currency 42" xfId="8285" xr:uid="{00000000-0005-0000-0000-0000332B0000}"/>
    <cellStyle name="Currency 43" xfId="8341" xr:uid="{00000000-0005-0000-0000-0000342B0000}"/>
    <cellStyle name="Currency 44" xfId="7847" xr:uid="{00000000-0005-0000-0000-0000352B0000}"/>
    <cellStyle name="Currency 45" xfId="8081" xr:uid="{00000000-0005-0000-0000-0000362B0000}"/>
    <cellStyle name="Currency 46" xfId="9404" xr:uid="{00000000-0005-0000-0000-0000372B0000}"/>
    <cellStyle name="Currency 47" xfId="8334" xr:uid="{00000000-0005-0000-0000-0000382B0000}"/>
    <cellStyle name="Currency 48" xfId="8384" xr:uid="{00000000-0005-0000-0000-0000392B0000}"/>
    <cellStyle name="Currency 49" xfId="9719" xr:uid="{00000000-0005-0000-0000-00003A2B0000}"/>
    <cellStyle name="Currency 5" xfId="5799" xr:uid="{00000000-0005-0000-0000-00003B2B0000}"/>
    <cellStyle name="Currency 50" xfId="12714" xr:uid="{00000000-0005-0000-0000-00003C2B0000}"/>
    <cellStyle name="Currency 51" xfId="12715" xr:uid="{00000000-0005-0000-0000-00003D2B0000}"/>
    <cellStyle name="Currency 52" xfId="12716" xr:uid="{00000000-0005-0000-0000-00003E2B0000}"/>
    <cellStyle name="Currency 53" xfId="20933" xr:uid="{00000000-0005-0000-0000-00003F2B0000}"/>
    <cellStyle name="Currency 6" xfId="5810" xr:uid="{00000000-0005-0000-0000-0000402B0000}"/>
    <cellStyle name="Currency 7" xfId="5819" xr:uid="{00000000-0005-0000-0000-0000412B0000}"/>
    <cellStyle name="Currency 8" xfId="5807" xr:uid="{00000000-0005-0000-0000-0000422B0000}"/>
    <cellStyle name="Currency 9" xfId="5818" xr:uid="{00000000-0005-0000-0000-0000432B0000}"/>
    <cellStyle name="Currency0" xfId="1814" xr:uid="{00000000-0005-0000-0000-0000442B0000}"/>
    <cellStyle name="Currency0 2" xfId="3386" xr:uid="{00000000-0005-0000-0000-0000452B0000}"/>
    <cellStyle name="Date" xfId="1815" xr:uid="{00000000-0005-0000-0000-0000462B0000}"/>
    <cellStyle name="Date 10" xfId="34293" xr:uid="{00000000-0005-0000-0000-0000472B0000}"/>
    <cellStyle name="Date 2" xfId="3387" xr:uid="{00000000-0005-0000-0000-0000482B0000}"/>
    <cellStyle name="Date 3" xfId="34294" xr:uid="{00000000-0005-0000-0000-0000492B0000}"/>
    <cellStyle name="Date 4" xfId="34295" xr:uid="{00000000-0005-0000-0000-00004A2B0000}"/>
    <cellStyle name="Date 5" xfId="34296" xr:uid="{00000000-0005-0000-0000-00004B2B0000}"/>
    <cellStyle name="Date 6" xfId="34297" xr:uid="{00000000-0005-0000-0000-00004C2B0000}"/>
    <cellStyle name="Date 7" xfId="34298" xr:uid="{00000000-0005-0000-0000-00004D2B0000}"/>
    <cellStyle name="Date 8" xfId="34299" xr:uid="{00000000-0005-0000-0000-00004E2B0000}"/>
    <cellStyle name="Date 9" xfId="34300" xr:uid="{00000000-0005-0000-0000-00004F2B0000}"/>
    <cellStyle name="Date Short" xfId="1816" xr:uid="{00000000-0005-0000-0000-0000502B0000}"/>
    <cellStyle name="Date_060509_CNFM_DOC_USA_HM-2604" xfId="1817" xr:uid="{00000000-0005-0000-0000-0000512B0000}"/>
    <cellStyle name="Dezimal [0]_UXO VII" xfId="1818" xr:uid="{00000000-0005-0000-0000-0000522B0000}"/>
    <cellStyle name="Dezimal_UXO VII" xfId="1819" xr:uid="{00000000-0005-0000-0000-0000532B0000}"/>
    <cellStyle name="EN CO.," xfId="1820" xr:uid="{00000000-0005-0000-0000-0000542B0000}"/>
    <cellStyle name="Enter Currency (0)" xfId="1821" xr:uid="{00000000-0005-0000-0000-0000552B0000}"/>
    <cellStyle name="Enter Currency (2)" xfId="1822" xr:uid="{00000000-0005-0000-0000-0000562B0000}"/>
    <cellStyle name="Enter Units (0)" xfId="1823" xr:uid="{00000000-0005-0000-0000-0000572B0000}"/>
    <cellStyle name="Enter Units (1)" xfId="1824" xr:uid="{00000000-0005-0000-0000-0000582B0000}"/>
    <cellStyle name="Enter Units (1) 2" xfId="3388" xr:uid="{00000000-0005-0000-0000-0000592B0000}"/>
    <cellStyle name="Enter Units (2)" xfId="1825" xr:uid="{00000000-0005-0000-0000-00005A2B0000}"/>
    <cellStyle name="Entered" xfId="1826" xr:uid="{00000000-0005-0000-0000-00005B2B0000}"/>
    <cellStyle name="Euro" xfId="1827" xr:uid="{00000000-0005-0000-0000-00005C2B0000}"/>
    <cellStyle name="Euro 2" xfId="3389" xr:uid="{00000000-0005-0000-0000-00005D2B0000}"/>
    <cellStyle name="Excel.Chart" xfId="1828" xr:uid="{00000000-0005-0000-0000-00005E2B0000}"/>
    <cellStyle name="Excel.Chart 2" xfId="3390" xr:uid="{00000000-0005-0000-0000-00005F2B0000}"/>
    <cellStyle name="Explanatory Text" xfId="2168" builtinId="53" customBuiltin="1"/>
    <cellStyle name="Explanatory Text 10" xfId="34301" xr:uid="{00000000-0005-0000-0000-0000612B0000}"/>
    <cellStyle name="Explanatory Text 11" xfId="34302" xr:uid="{00000000-0005-0000-0000-0000622B0000}"/>
    <cellStyle name="Explanatory Text 12" xfId="34303" xr:uid="{00000000-0005-0000-0000-0000632B0000}"/>
    <cellStyle name="Explanatory Text 13" xfId="34304" xr:uid="{00000000-0005-0000-0000-0000642B0000}"/>
    <cellStyle name="Explanatory Text 14" xfId="34305" xr:uid="{00000000-0005-0000-0000-0000652B0000}"/>
    <cellStyle name="Explanatory Text 15" xfId="34306" xr:uid="{00000000-0005-0000-0000-0000662B0000}"/>
    <cellStyle name="Explanatory Text 2" xfId="3391" xr:uid="{00000000-0005-0000-0000-0000672B0000}"/>
    <cellStyle name="Explanatory Text 3" xfId="4789" xr:uid="{00000000-0005-0000-0000-0000682B0000}"/>
    <cellStyle name="Explanatory Text 4" xfId="6944" xr:uid="{00000000-0005-0000-0000-0000692B0000}"/>
    <cellStyle name="Explanatory Text 5" xfId="34307" xr:uid="{00000000-0005-0000-0000-00006A2B0000}"/>
    <cellStyle name="Explanatory Text 6" xfId="34308" xr:uid="{00000000-0005-0000-0000-00006B2B0000}"/>
    <cellStyle name="Explanatory Text 7" xfId="34309" xr:uid="{00000000-0005-0000-0000-00006C2B0000}"/>
    <cellStyle name="Explanatory Text 8" xfId="34310" xr:uid="{00000000-0005-0000-0000-00006D2B0000}"/>
    <cellStyle name="Explanatory Text 9" xfId="34311" xr:uid="{00000000-0005-0000-0000-00006E2B0000}"/>
    <cellStyle name="Fixed" xfId="1829" xr:uid="{00000000-0005-0000-0000-00006F2B0000}"/>
    <cellStyle name="Fixed 10" xfId="34312" xr:uid="{00000000-0005-0000-0000-0000702B0000}"/>
    <cellStyle name="Fixed 2" xfId="3392" xr:uid="{00000000-0005-0000-0000-0000712B0000}"/>
    <cellStyle name="Fixed 3" xfId="34313" xr:uid="{00000000-0005-0000-0000-0000722B0000}"/>
    <cellStyle name="Fixed 4" xfId="34314" xr:uid="{00000000-0005-0000-0000-0000732B0000}"/>
    <cellStyle name="Fixed 5" xfId="34315" xr:uid="{00000000-0005-0000-0000-0000742B0000}"/>
    <cellStyle name="Fixed 6" xfId="34316" xr:uid="{00000000-0005-0000-0000-0000752B0000}"/>
    <cellStyle name="Fixed 7" xfId="34317" xr:uid="{00000000-0005-0000-0000-0000762B0000}"/>
    <cellStyle name="Fixed 8" xfId="34318" xr:uid="{00000000-0005-0000-0000-0000772B0000}"/>
    <cellStyle name="Fixed 9" xfId="34319" xr:uid="{00000000-0005-0000-0000-0000782B0000}"/>
    <cellStyle name="ƒnƒCƒp[ƒŠƒ“ƒN" xfId="1830" xr:uid="{00000000-0005-0000-0000-0000792B0000}"/>
    <cellStyle name="Good" xfId="2213" builtinId="26" customBuiltin="1"/>
    <cellStyle name="Good 10" xfId="34320" xr:uid="{00000000-0005-0000-0000-00007B2B0000}"/>
    <cellStyle name="Good 11" xfId="34321" xr:uid="{00000000-0005-0000-0000-00007C2B0000}"/>
    <cellStyle name="Good 12" xfId="34322" xr:uid="{00000000-0005-0000-0000-00007D2B0000}"/>
    <cellStyle name="Good 13" xfId="34323" xr:uid="{00000000-0005-0000-0000-00007E2B0000}"/>
    <cellStyle name="Good 14" xfId="34324" xr:uid="{00000000-0005-0000-0000-00007F2B0000}"/>
    <cellStyle name="Good 15" xfId="34325" xr:uid="{00000000-0005-0000-0000-0000802B0000}"/>
    <cellStyle name="Good 2" xfId="3393" xr:uid="{00000000-0005-0000-0000-0000812B0000}"/>
    <cellStyle name="Good 3" xfId="4791" xr:uid="{00000000-0005-0000-0000-0000822B0000}"/>
    <cellStyle name="Good 4" xfId="6945" xr:uid="{00000000-0005-0000-0000-0000832B0000}"/>
    <cellStyle name="Good 5" xfId="34326" xr:uid="{00000000-0005-0000-0000-0000842B0000}"/>
    <cellStyle name="Good 6" xfId="34327" xr:uid="{00000000-0005-0000-0000-0000852B0000}"/>
    <cellStyle name="Good 7" xfId="34328" xr:uid="{00000000-0005-0000-0000-0000862B0000}"/>
    <cellStyle name="Good 8" xfId="34329" xr:uid="{00000000-0005-0000-0000-0000872B0000}"/>
    <cellStyle name="Good 9" xfId="34330" xr:uid="{00000000-0005-0000-0000-0000882B0000}"/>
    <cellStyle name="Grey" xfId="1831" xr:uid="{00000000-0005-0000-0000-0000892B0000}"/>
    <cellStyle name="HEADER" xfId="1832" xr:uid="{00000000-0005-0000-0000-00008A2B0000}"/>
    <cellStyle name="Header1" xfId="1833" xr:uid="{00000000-0005-0000-0000-00008B2B0000}"/>
    <cellStyle name="Header2" xfId="1834" xr:uid="{00000000-0005-0000-0000-00008C2B0000}"/>
    <cellStyle name="Header2 2" xfId="34331" xr:uid="{00000000-0005-0000-0000-00008D2B0000}"/>
    <cellStyle name="Heading" xfId="1835" xr:uid="{00000000-0005-0000-0000-00008E2B0000}"/>
    <cellStyle name="Heading 1" xfId="2209" builtinId="16" customBuiltin="1"/>
    <cellStyle name="Heading 1 10" xfId="34332" xr:uid="{00000000-0005-0000-0000-0000902B0000}"/>
    <cellStyle name="Heading 1 11" xfId="34333" xr:uid="{00000000-0005-0000-0000-0000912B0000}"/>
    <cellStyle name="Heading 1 12" xfId="34334" xr:uid="{00000000-0005-0000-0000-0000922B0000}"/>
    <cellStyle name="Heading 1 13" xfId="34335" xr:uid="{00000000-0005-0000-0000-0000932B0000}"/>
    <cellStyle name="Heading 1 14" xfId="34336" xr:uid="{00000000-0005-0000-0000-0000942B0000}"/>
    <cellStyle name="Heading 1 15" xfId="34337" xr:uid="{00000000-0005-0000-0000-0000952B0000}"/>
    <cellStyle name="Heading 1 2" xfId="3394" xr:uid="{00000000-0005-0000-0000-0000962B0000}"/>
    <cellStyle name="Heading 1 3" xfId="4794" xr:uid="{00000000-0005-0000-0000-0000972B0000}"/>
    <cellStyle name="Heading 1 4" xfId="6946" xr:uid="{00000000-0005-0000-0000-0000982B0000}"/>
    <cellStyle name="Heading 1 5" xfId="34338" xr:uid="{00000000-0005-0000-0000-0000992B0000}"/>
    <cellStyle name="Heading 1 6" xfId="34339" xr:uid="{00000000-0005-0000-0000-00009A2B0000}"/>
    <cellStyle name="Heading 1 7" xfId="34340" xr:uid="{00000000-0005-0000-0000-00009B2B0000}"/>
    <cellStyle name="Heading 1 8" xfId="34341" xr:uid="{00000000-0005-0000-0000-00009C2B0000}"/>
    <cellStyle name="Heading 1 9" xfId="34342" xr:uid="{00000000-0005-0000-0000-00009D2B0000}"/>
    <cellStyle name="Heading 2" xfId="2210" builtinId="17" customBuiltin="1"/>
    <cellStyle name="Heading 2 10" xfId="34343" xr:uid="{00000000-0005-0000-0000-00009F2B0000}"/>
    <cellStyle name="Heading 2 11" xfId="34344" xr:uid="{00000000-0005-0000-0000-0000A02B0000}"/>
    <cellStyle name="Heading 2 12" xfId="34345" xr:uid="{00000000-0005-0000-0000-0000A12B0000}"/>
    <cellStyle name="Heading 2 13" xfId="34346" xr:uid="{00000000-0005-0000-0000-0000A22B0000}"/>
    <cellStyle name="Heading 2 14" xfId="34347" xr:uid="{00000000-0005-0000-0000-0000A32B0000}"/>
    <cellStyle name="Heading 2 15" xfId="34348" xr:uid="{00000000-0005-0000-0000-0000A42B0000}"/>
    <cellStyle name="Heading 2 2" xfId="3395" xr:uid="{00000000-0005-0000-0000-0000A52B0000}"/>
    <cellStyle name="Heading 2 3" xfId="4795" xr:uid="{00000000-0005-0000-0000-0000A62B0000}"/>
    <cellStyle name="Heading 2 4" xfId="6947" xr:uid="{00000000-0005-0000-0000-0000A72B0000}"/>
    <cellStyle name="Heading 2 5" xfId="34349" xr:uid="{00000000-0005-0000-0000-0000A82B0000}"/>
    <cellStyle name="Heading 2 6" xfId="34350" xr:uid="{00000000-0005-0000-0000-0000A92B0000}"/>
    <cellStyle name="Heading 2 7" xfId="34351" xr:uid="{00000000-0005-0000-0000-0000AA2B0000}"/>
    <cellStyle name="Heading 2 8" xfId="34352" xr:uid="{00000000-0005-0000-0000-0000AB2B0000}"/>
    <cellStyle name="Heading 2 9" xfId="34353" xr:uid="{00000000-0005-0000-0000-0000AC2B0000}"/>
    <cellStyle name="Heading 3" xfId="2211" builtinId="18" customBuiltin="1"/>
    <cellStyle name="Heading 3 10" xfId="34354" xr:uid="{00000000-0005-0000-0000-0000AE2B0000}"/>
    <cellStyle name="Heading 3 11" xfId="34355" xr:uid="{00000000-0005-0000-0000-0000AF2B0000}"/>
    <cellStyle name="Heading 3 12" xfId="34356" xr:uid="{00000000-0005-0000-0000-0000B02B0000}"/>
    <cellStyle name="Heading 3 13" xfId="34357" xr:uid="{00000000-0005-0000-0000-0000B12B0000}"/>
    <cellStyle name="Heading 3 14" xfId="34358" xr:uid="{00000000-0005-0000-0000-0000B22B0000}"/>
    <cellStyle name="Heading 3 15" xfId="34359" xr:uid="{00000000-0005-0000-0000-0000B32B0000}"/>
    <cellStyle name="Heading 3 2" xfId="3396" xr:uid="{00000000-0005-0000-0000-0000B42B0000}"/>
    <cellStyle name="Heading 3 3" xfId="4796" xr:uid="{00000000-0005-0000-0000-0000B52B0000}"/>
    <cellStyle name="Heading 3 4" xfId="6948" xr:uid="{00000000-0005-0000-0000-0000B62B0000}"/>
    <cellStyle name="Heading 3 5" xfId="34360" xr:uid="{00000000-0005-0000-0000-0000B72B0000}"/>
    <cellStyle name="Heading 3 6" xfId="34361" xr:uid="{00000000-0005-0000-0000-0000B82B0000}"/>
    <cellStyle name="Heading 3 7" xfId="34362" xr:uid="{00000000-0005-0000-0000-0000B92B0000}"/>
    <cellStyle name="Heading 3 8" xfId="34363" xr:uid="{00000000-0005-0000-0000-0000BA2B0000}"/>
    <cellStyle name="Heading 3 9" xfId="34364" xr:uid="{00000000-0005-0000-0000-0000BB2B0000}"/>
    <cellStyle name="Heading 4" xfId="2212" builtinId="19" customBuiltin="1"/>
    <cellStyle name="Heading 4 10" xfId="34365" xr:uid="{00000000-0005-0000-0000-0000BD2B0000}"/>
    <cellStyle name="Heading 4 11" xfId="34366" xr:uid="{00000000-0005-0000-0000-0000BE2B0000}"/>
    <cellStyle name="Heading 4 12" xfId="34367" xr:uid="{00000000-0005-0000-0000-0000BF2B0000}"/>
    <cellStyle name="Heading 4 13" xfId="34368" xr:uid="{00000000-0005-0000-0000-0000C02B0000}"/>
    <cellStyle name="Heading 4 14" xfId="34369" xr:uid="{00000000-0005-0000-0000-0000C12B0000}"/>
    <cellStyle name="Heading 4 15" xfId="34370" xr:uid="{00000000-0005-0000-0000-0000C22B0000}"/>
    <cellStyle name="Heading 4 2" xfId="3397" xr:uid="{00000000-0005-0000-0000-0000C32B0000}"/>
    <cellStyle name="Heading 4 3" xfId="4797" xr:uid="{00000000-0005-0000-0000-0000C42B0000}"/>
    <cellStyle name="Heading 4 4" xfId="6949" xr:uid="{00000000-0005-0000-0000-0000C52B0000}"/>
    <cellStyle name="Heading 4 5" xfId="34371" xr:uid="{00000000-0005-0000-0000-0000C62B0000}"/>
    <cellStyle name="Heading 4 6" xfId="34372" xr:uid="{00000000-0005-0000-0000-0000C72B0000}"/>
    <cellStyle name="Heading 4 7" xfId="34373" xr:uid="{00000000-0005-0000-0000-0000C82B0000}"/>
    <cellStyle name="Heading 4 8" xfId="34374" xr:uid="{00000000-0005-0000-0000-0000C92B0000}"/>
    <cellStyle name="Heading 4 9" xfId="34375" xr:uid="{00000000-0005-0000-0000-0000CA2B0000}"/>
    <cellStyle name="Heading No Underline" xfId="1836" xr:uid="{00000000-0005-0000-0000-0000CB2B0000}"/>
    <cellStyle name="Heading With Underline" xfId="1837" xr:uid="{00000000-0005-0000-0000-0000CC2B0000}"/>
    <cellStyle name="Heading1" xfId="1838" xr:uid="{00000000-0005-0000-0000-0000CD2B0000}"/>
    <cellStyle name="Heading2" xfId="1839" xr:uid="{00000000-0005-0000-0000-0000CE2B0000}"/>
    <cellStyle name="HEADINGS" xfId="1840" xr:uid="{00000000-0005-0000-0000-0000CF2B0000}"/>
    <cellStyle name="HEADINGSTOP" xfId="1841" xr:uid="{00000000-0005-0000-0000-0000D02B0000}"/>
    <cellStyle name="Hyperlink" xfId="36609" builtinId="8"/>
    <cellStyle name="Hyperlink 2" xfId="34376" xr:uid="{00000000-0005-0000-0000-0000D22B0000}"/>
    <cellStyle name="i·0" xfId="1842" xr:uid="{00000000-0005-0000-0000-0000D32B0000}"/>
    <cellStyle name="Input" xfId="2207" builtinId="20" customBuiltin="1"/>
    <cellStyle name="Input [yellow]" xfId="1843" xr:uid="{00000000-0005-0000-0000-0000D52B0000}"/>
    <cellStyle name="Input 10" xfId="5725" xr:uid="{00000000-0005-0000-0000-0000D62B0000}"/>
    <cellStyle name="Input 10 2" xfId="34377" xr:uid="{00000000-0005-0000-0000-0000D72B0000}"/>
    <cellStyle name="Input 11" xfId="5720" xr:uid="{00000000-0005-0000-0000-0000D82B0000}"/>
    <cellStyle name="Input 11 2" xfId="34378" xr:uid="{00000000-0005-0000-0000-0000D92B0000}"/>
    <cellStyle name="Input 12" xfId="5722" xr:uid="{00000000-0005-0000-0000-0000DA2B0000}"/>
    <cellStyle name="Input 12 2" xfId="34379" xr:uid="{00000000-0005-0000-0000-0000DB2B0000}"/>
    <cellStyle name="Input 13" xfId="5817" xr:uid="{00000000-0005-0000-0000-0000DC2B0000}"/>
    <cellStyle name="Input 13 2" xfId="34380" xr:uid="{00000000-0005-0000-0000-0000DD2B0000}"/>
    <cellStyle name="Input 14" xfId="5802" xr:uid="{00000000-0005-0000-0000-0000DE2B0000}"/>
    <cellStyle name="Input 14 2" xfId="34381" xr:uid="{00000000-0005-0000-0000-0000DF2B0000}"/>
    <cellStyle name="Input 15" xfId="5825" xr:uid="{00000000-0005-0000-0000-0000E02B0000}"/>
    <cellStyle name="Input 15 2" xfId="34382" xr:uid="{00000000-0005-0000-0000-0000E12B0000}"/>
    <cellStyle name="Input 16" xfId="5809" xr:uid="{00000000-0005-0000-0000-0000E22B0000}"/>
    <cellStyle name="Input 17" xfId="5814" xr:uid="{00000000-0005-0000-0000-0000E32B0000}"/>
    <cellStyle name="Input 18" xfId="5806" xr:uid="{00000000-0005-0000-0000-0000E42B0000}"/>
    <cellStyle name="Input 19" xfId="6950" xr:uid="{00000000-0005-0000-0000-0000E52B0000}"/>
    <cellStyle name="Input 2" xfId="3398" xr:uid="{00000000-0005-0000-0000-0000E62B0000}"/>
    <cellStyle name="Input 2 2" xfId="34383" xr:uid="{00000000-0005-0000-0000-0000E72B0000}"/>
    <cellStyle name="Input 20" xfId="7569" xr:uid="{00000000-0005-0000-0000-0000E82B0000}"/>
    <cellStyle name="Input 21" xfId="7548" xr:uid="{00000000-0005-0000-0000-0000E92B0000}"/>
    <cellStyle name="Input 22" xfId="7673" xr:uid="{00000000-0005-0000-0000-0000EA2B0000}"/>
    <cellStyle name="Input 23" xfId="7549" xr:uid="{00000000-0005-0000-0000-0000EB2B0000}"/>
    <cellStyle name="Input 24" xfId="7521" xr:uid="{00000000-0005-0000-0000-0000EC2B0000}"/>
    <cellStyle name="Input 25" xfId="7591" xr:uid="{00000000-0005-0000-0000-0000ED2B0000}"/>
    <cellStyle name="Input 26" xfId="7622" xr:uid="{00000000-0005-0000-0000-0000EE2B0000}"/>
    <cellStyle name="Input 27" xfId="7647" xr:uid="{00000000-0005-0000-0000-0000EF2B0000}"/>
    <cellStyle name="Input 28" xfId="7590" xr:uid="{00000000-0005-0000-0000-0000F02B0000}"/>
    <cellStyle name="Input 29" xfId="7644" xr:uid="{00000000-0005-0000-0000-0000F12B0000}"/>
    <cellStyle name="Input 3" xfId="4799" xr:uid="{00000000-0005-0000-0000-0000F22B0000}"/>
    <cellStyle name="Input 3 2" xfId="34384" xr:uid="{00000000-0005-0000-0000-0000F32B0000}"/>
    <cellStyle name="Input 30" xfId="7650" xr:uid="{00000000-0005-0000-0000-0000F42B0000}"/>
    <cellStyle name="Input 31" xfId="7602" xr:uid="{00000000-0005-0000-0000-0000F52B0000}"/>
    <cellStyle name="Input 32" xfId="7662" xr:uid="{00000000-0005-0000-0000-0000F62B0000}"/>
    <cellStyle name="Input 33" xfId="7698" xr:uid="{00000000-0005-0000-0000-0000F72B0000}"/>
    <cellStyle name="Input 34" xfId="7566" xr:uid="{00000000-0005-0000-0000-0000F82B0000}"/>
    <cellStyle name="Input 35" xfId="7597" xr:uid="{00000000-0005-0000-0000-0000F92B0000}"/>
    <cellStyle name="Input 36" xfId="7706" xr:uid="{00000000-0005-0000-0000-0000FA2B0000}"/>
    <cellStyle name="Input 37" xfId="7663" xr:uid="{00000000-0005-0000-0000-0000FB2B0000}"/>
    <cellStyle name="Input 38" xfId="7572" xr:uid="{00000000-0005-0000-0000-0000FC2B0000}"/>
    <cellStyle name="Input 4" xfId="5759" xr:uid="{00000000-0005-0000-0000-0000FD2B0000}"/>
    <cellStyle name="Input 4 2" xfId="34385" xr:uid="{00000000-0005-0000-0000-0000FE2B0000}"/>
    <cellStyle name="Input 5" xfId="5697" xr:uid="{00000000-0005-0000-0000-0000FF2B0000}"/>
    <cellStyle name="Input 5 2" xfId="34386" xr:uid="{00000000-0005-0000-0000-0000002C0000}"/>
    <cellStyle name="Input 6" xfId="5742" xr:uid="{00000000-0005-0000-0000-0000012C0000}"/>
    <cellStyle name="Input 6 2" xfId="34387" xr:uid="{00000000-0005-0000-0000-0000022C0000}"/>
    <cellStyle name="Input 7" xfId="5714" xr:uid="{00000000-0005-0000-0000-0000032C0000}"/>
    <cellStyle name="Input 7 2" xfId="34388" xr:uid="{00000000-0005-0000-0000-0000042C0000}"/>
    <cellStyle name="Input 8" xfId="5728" xr:uid="{00000000-0005-0000-0000-0000052C0000}"/>
    <cellStyle name="Input 8 2" xfId="34389" xr:uid="{00000000-0005-0000-0000-0000062C0000}"/>
    <cellStyle name="Input 9" xfId="5717" xr:uid="{00000000-0005-0000-0000-0000072C0000}"/>
    <cellStyle name="Input 9 2" xfId="34390" xr:uid="{00000000-0005-0000-0000-0000082C0000}"/>
    <cellStyle name="Input Cells" xfId="1844" xr:uid="{00000000-0005-0000-0000-0000092C0000}"/>
    <cellStyle name="Line" xfId="1845" xr:uid="{00000000-0005-0000-0000-00000A2C0000}"/>
    <cellStyle name="Link Currency (0)" xfId="1846" xr:uid="{00000000-0005-0000-0000-00000B2C0000}"/>
    <cellStyle name="Link Currency (2)" xfId="1847" xr:uid="{00000000-0005-0000-0000-00000C2C0000}"/>
    <cellStyle name="Link Units (0)" xfId="1848" xr:uid="{00000000-0005-0000-0000-00000D2C0000}"/>
    <cellStyle name="Link Units (1)" xfId="1849" xr:uid="{00000000-0005-0000-0000-00000E2C0000}"/>
    <cellStyle name="Link Units (1) 2" xfId="3399" xr:uid="{00000000-0005-0000-0000-00000F2C0000}"/>
    <cellStyle name="Link Units (2)" xfId="1850" xr:uid="{00000000-0005-0000-0000-0000102C0000}"/>
    <cellStyle name="Linked Cell" xfId="2205" builtinId="24" customBuiltin="1"/>
    <cellStyle name="Linked Cell 10" xfId="34391" xr:uid="{00000000-0005-0000-0000-0000122C0000}"/>
    <cellStyle name="Linked Cell 11" xfId="34392" xr:uid="{00000000-0005-0000-0000-0000132C0000}"/>
    <cellStyle name="Linked Cell 12" xfId="34393" xr:uid="{00000000-0005-0000-0000-0000142C0000}"/>
    <cellStyle name="Linked Cell 13" xfId="34394" xr:uid="{00000000-0005-0000-0000-0000152C0000}"/>
    <cellStyle name="Linked Cell 14" xfId="34395" xr:uid="{00000000-0005-0000-0000-0000162C0000}"/>
    <cellStyle name="Linked Cell 15" xfId="34396" xr:uid="{00000000-0005-0000-0000-0000172C0000}"/>
    <cellStyle name="Linked Cell 2" xfId="3400" xr:uid="{00000000-0005-0000-0000-0000182C0000}"/>
    <cellStyle name="Linked Cell 3" xfId="4803" xr:uid="{00000000-0005-0000-0000-0000192C0000}"/>
    <cellStyle name="Linked Cell 4" xfId="6951" xr:uid="{00000000-0005-0000-0000-00001A2C0000}"/>
    <cellStyle name="Linked Cell 5" xfId="34397" xr:uid="{00000000-0005-0000-0000-00001B2C0000}"/>
    <cellStyle name="Linked Cell 6" xfId="34398" xr:uid="{00000000-0005-0000-0000-00001C2C0000}"/>
    <cellStyle name="Linked Cell 7" xfId="34399" xr:uid="{00000000-0005-0000-0000-00001D2C0000}"/>
    <cellStyle name="Linked Cell 8" xfId="34400" xr:uid="{00000000-0005-0000-0000-00001E2C0000}"/>
    <cellStyle name="Linked Cell 9" xfId="34401" xr:uid="{00000000-0005-0000-0000-00001F2C0000}"/>
    <cellStyle name="Linked Cells" xfId="1851" xr:uid="{00000000-0005-0000-0000-0000202C0000}"/>
    <cellStyle name="Millares [0]_1 MES" xfId="1852" xr:uid="{00000000-0005-0000-0000-0000212C0000}"/>
    <cellStyle name="Millares_5670-t123" xfId="1853" xr:uid="{00000000-0005-0000-0000-0000222C0000}"/>
    <cellStyle name="Milliers [0]_      " xfId="1854" xr:uid="{00000000-0005-0000-0000-0000232C0000}"/>
    <cellStyle name="Milliers_      " xfId="1855" xr:uid="{00000000-0005-0000-0000-0000242C0000}"/>
    <cellStyle name="Model" xfId="1856" xr:uid="{00000000-0005-0000-0000-0000252C0000}"/>
    <cellStyle name="Mon?aire [0]_      " xfId="1857" xr:uid="{00000000-0005-0000-0000-0000262C0000}"/>
    <cellStyle name="Mon?aire_      " xfId="1858" xr:uid="{00000000-0005-0000-0000-0000272C0000}"/>
    <cellStyle name="Moneda [0]_BRASIL (2)" xfId="1859" xr:uid="{00000000-0005-0000-0000-0000282C0000}"/>
    <cellStyle name="Moneda_5670-t123" xfId="1860" xr:uid="{00000000-0005-0000-0000-0000292C0000}"/>
    <cellStyle name="Monetaire [0]_!!!GO" xfId="1861" xr:uid="{00000000-0005-0000-0000-00002A2C0000}"/>
    <cellStyle name="Monétaire [0]_!!!GO" xfId="1862" xr:uid="{00000000-0005-0000-0000-00002B2C0000}"/>
    <cellStyle name="Monetaire [0]_!!!GO 10" xfId="4346" xr:uid="{00000000-0005-0000-0000-00002C2C0000}"/>
    <cellStyle name="Monétaire [0]_CASH1194" xfId="1863" xr:uid="{00000000-0005-0000-0000-00002D2C0000}"/>
    <cellStyle name="Monetaire [0]_CREATIVE" xfId="1864" xr:uid="{00000000-0005-0000-0000-00002E2C0000}"/>
    <cellStyle name="Monétaire [0]_INTERC12" xfId="1865" xr:uid="{00000000-0005-0000-0000-00002F2C0000}"/>
    <cellStyle name="Monetaire [0]_laroux" xfId="1866" xr:uid="{00000000-0005-0000-0000-0000302C0000}"/>
    <cellStyle name="Monétaire [0]_laroux" xfId="1867" xr:uid="{00000000-0005-0000-0000-0000312C0000}"/>
    <cellStyle name="Monetaire [0]_laroux 10" xfId="4807" xr:uid="{00000000-0005-0000-0000-0000322C0000}"/>
    <cellStyle name="Monétaire [0]_laroux 10" xfId="4808" xr:uid="{00000000-0005-0000-0000-0000332C0000}"/>
    <cellStyle name="Monetaire [0]_laroux 11" xfId="4442" xr:uid="{00000000-0005-0000-0000-0000342C0000}"/>
    <cellStyle name="Monétaire [0]_laroux 11" xfId="4441" xr:uid="{00000000-0005-0000-0000-0000352C0000}"/>
    <cellStyle name="Monetaire [0]_laroux 12" xfId="4618" xr:uid="{00000000-0005-0000-0000-0000362C0000}"/>
    <cellStyle name="Monétaire [0]_laroux 12" xfId="4619" xr:uid="{00000000-0005-0000-0000-0000372C0000}"/>
    <cellStyle name="Monetaire [0]_laroux 13" xfId="4517" xr:uid="{00000000-0005-0000-0000-0000382C0000}"/>
    <cellStyle name="Monétaire [0]_laroux 13" xfId="4516" xr:uid="{00000000-0005-0000-0000-0000392C0000}"/>
    <cellStyle name="Monetaire [0]_laroux 14" xfId="5102" xr:uid="{00000000-0005-0000-0000-00003A2C0000}"/>
    <cellStyle name="Monétaire [0]_laroux 14" xfId="4320" xr:uid="{00000000-0005-0000-0000-00003B2C0000}"/>
    <cellStyle name="Monetaire [0]_laroux 15" xfId="5183" xr:uid="{00000000-0005-0000-0000-00003C2C0000}"/>
    <cellStyle name="Monétaire [0]_laroux 15" xfId="4347" xr:uid="{00000000-0005-0000-0000-00003D2C0000}"/>
    <cellStyle name="Monetaire [0]_laroux 16" xfId="6021" xr:uid="{00000000-0005-0000-0000-00003E2C0000}"/>
    <cellStyle name="Monétaire [0]_laroux 16" xfId="4746" xr:uid="{00000000-0005-0000-0000-00003F2C0000}"/>
    <cellStyle name="Monetaire [0]_laroux 17" xfId="4629" xr:uid="{00000000-0005-0000-0000-0000402C0000}"/>
    <cellStyle name="Monétaire [0]_laroux 17" xfId="4849" xr:uid="{00000000-0005-0000-0000-0000412C0000}"/>
    <cellStyle name="Monetaire [0]_laroux 18" xfId="5230" xr:uid="{00000000-0005-0000-0000-0000422C0000}"/>
    <cellStyle name="Monétaire [0]_laroux 18" xfId="5836" xr:uid="{00000000-0005-0000-0000-0000432C0000}"/>
    <cellStyle name="Monetaire [0]_laroux 19" xfId="4663" xr:uid="{00000000-0005-0000-0000-0000442C0000}"/>
    <cellStyle name="Monétaire [0]_laroux 19" xfId="4571" xr:uid="{00000000-0005-0000-0000-0000452C0000}"/>
    <cellStyle name="Monetaire [0]_laroux 2" xfId="3401" xr:uid="{00000000-0005-0000-0000-0000462C0000}"/>
    <cellStyle name="Monétaire [0]_laroux 2" xfId="3402" xr:uid="{00000000-0005-0000-0000-0000472C0000}"/>
    <cellStyle name="Monetaire [0]_laroux 20" xfId="5070" xr:uid="{00000000-0005-0000-0000-0000482C0000}"/>
    <cellStyle name="Monétaire [0]_laroux 20" xfId="5584" xr:uid="{00000000-0005-0000-0000-0000492C0000}"/>
    <cellStyle name="Monetaire [0]_laroux 21" xfId="5154" xr:uid="{00000000-0005-0000-0000-00004A2C0000}"/>
    <cellStyle name="Monétaire [0]_laroux 21" xfId="5307" xr:uid="{00000000-0005-0000-0000-00004B2C0000}"/>
    <cellStyle name="Monetaire [0]_laroux 22" xfId="4354" xr:uid="{00000000-0005-0000-0000-00004C2C0000}"/>
    <cellStyle name="Monétaire [0]_laroux 22" xfId="4841" xr:uid="{00000000-0005-0000-0000-00004D2C0000}"/>
    <cellStyle name="Monetaire [0]_laroux 23" xfId="5944" xr:uid="{00000000-0005-0000-0000-00004E2C0000}"/>
    <cellStyle name="Monétaire [0]_laroux 23" xfId="4968" xr:uid="{00000000-0005-0000-0000-00004F2C0000}"/>
    <cellStyle name="Monetaire [0]_laroux 24" xfId="5099" xr:uid="{00000000-0005-0000-0000-0000502C0000}"/>
    <cellStyle name="Monétaire [0]_laroux 24" xfId="5899" xr:uid="{00000000-0005-0000-0000-0000512C0000}"/>
    <cellStyle name="Monetaire [0]_laroux 25" xfId="4492" xr:uid="{00000000-0005-0000-0000-0000522C0000}"/>
    <cellStyle name="Monétaire [0]_laroux 25" xfId="6020" xr:uid="{00000000-0005-0000-0000-0000532C0000}"/>
    <cellStyle name="Monetaire [0]_laroux 26" xfId="6038" xr:uid="{00000000-0005-0000-0000-0000542C0000}"/>
    <cellStyle name="Monétaire [0]_laroux 26" xfId="6001" xr:uid="{00000000-0005-0000-0000-0000552C0000}"/>
    <cellStyle name="Monetaire [0]_laroux 27" xfId="4342" xr:uid="{00000000-0005-0000-0000-0000562C0000}"/>
    <cellStyle name="Monétaire [0]_laroux 27" xfId="4277" xr:uid="{00000000-0005-0000-0000-0000572C0000}"/>
    <cellStyle name="Monetaire [0]_laroux 28" xfId="6438" xr:uid="{00000000-0005-0000-0000-0000582C0000}"/>
    <cellStyle name="Monétaire [0]_laroux 28" xfId="6439" xr:uid="{00000000-0005-0000-0000-0000592C0000}"/>
    <cellStyle name="Monetaire [0]_laroux 29" xfId="6425" xr:uid="{00000000-0005-0000-0000-00005A2C0000}"/>
    <cellStyle name="Monétaire [0]_laroux 29" xfId="6424" xr:uid="{00000000-0005-0000-0000-00005B2C0000}"/>
    <cellStyle name="Monetaire [0]_laroux 3" xfId="3217" xr:uid="{00000000-0005-0000-0000-00005C2C0000}"/>
    <cellStyle name="Monétaire [0]_laroux 3" xfId="3596" xr:uid="{00000000-0005-0000-0000-00005D2C0000}"/>
    <cellStyle name="Monetaire [0]_laroux 30" xfId="6812" xr:uid="{00000000-0005-0000-0000-00005E2C0000}"/>
    <cellStyle name="Monétaire [0]_laroux 30" xfId="6823" xr:uid="{00000000-0005-0000-0000-00005F2C0000}"/>
    <cellStyle name="Monetaire [0]_laroux 31" xfId="6952" xr:uid="{00000000-0005-0000-0000-0000602C0000}"/>
    <cellStyle name="Monétaire [0]_laroux 31" xfId="6953" xr:uid="{00000000-0005-0000-0000-0000612C0000}"/>
    <cellStyle name="Monetaire [0]_laroux 32" xfId="7971" xr:uid="{00000000-0005-0000-0000-0000622C0000}"/>
    <cellStyle name="Monétaire [0]_laroux 32" xfId="7972" xr:uid="{00000000-0005-0000-0000-0000632C0000}"/>
    <cellStyle name="Monetaire [0]_laroux 33" xfId="8552" xr:uid="{00000000-0005-0000-0000-0000642C0000}"/>
    <cellStyle name="Monétaire [0]_laroux 33" xfId="8549" xr:uid="{00000000-0005-0000-0000-0000652C0000}"/>
    <cellStyle name="Monetaire [0]_laroux 34" xfId="7930" xr:uid="{00000000-0005-0000-0000-0000662C0000}"/>
    <cellStyle name="Monétaire [0]_laroux 34" xfId="7931" xr:uid="{00000000-0005-0000-0000-0000672C0000}"/>
    <cellStyle name="Monetaire [0]_laroux 35" xfId="8144" xr:uid="{00000000-0005-0000-0000-0000682C0000}"/>
    <cellStyle name="Monétaire [0]_laroux 35" xfId="8566" xr:uid="{00000000-0005-0000-0000-0000692C0000}"/>
    <cellStyle name="Monetaire [0]_laroux 36" xfId="7982" xr:uid="{00000000-0005-0000-0000-00006A2C0000}"/>
    <cellStyle name="Monétaire [0]_laroux 36" xfId="7929" xr:uid="{00000000-0005-0000-0000-00006B2C0000}"/>
    <cellStyle name="Monetaire [0]_laroux 37" xfId="8083" xr:uid="{00000000-0005-0000-0000-00006C2C0000}"/>
    <cellStyle name="Monétaire [0]_laroux 37" xfId="7990" xr:uid="{00000000-0005-0000-0000-00006D2C0000}"/>
    <cellStyle name="Monetaire [0]_laroux 38" xfId="8072" xr:uid="{00000000-0005-0000-0000-00006E2C0000}"/>
    <cellStyle name="Monétaire [0]_laroux 38" xfId="7932" xr:uid="{00000000-0005-0000-0000-00006F2C0000}"/>
    <cellStyle name="Monetaire [0]_laroux 39" xfId="9598" xr:uid="{00000000-0005-0000-0000-0000702C0000}"/>
    <cellStyle name="Monétaire [0]_laroux 39" xfId="9599" xr:uid="{00000000-0005-0000-0000-0000712C0000}"/>
    <cellStyle name="Monetaire [0]_laroux 4" xfId="3611" xr:uid="{00000000-0005-0000-0000-0000722C0000}"/>
    <cellStyle name="Monétaire [0]_laroux 4" xfId="3545" xr:uid="{00000000-0005-0000-0000-0000732C0000}"/>
    <cellStyle name="Monetaire [0]_laroux 40" xfId="12717" xr:uid="{00000000-0005-0000-0000-0000742C0000}"/>
    <cellStyle name="Monétaire [0]_laroux 40" xfId="12718" xr:uid="{00000000-0005-0000-0000-0000752C0000}"/>
    <cellStyle name="Monetaire [0]_laroux 41" xfId="12719" xr:uid="{00000000-0005-0000-0000-0000762C0000}"/>
    <cellStyle name="Monétaire [0]_laroux 41" xfId="12720" xr:uid="{00000000-0005-0000-0000-0000772C0000}"/>
    <cellStyle name="Monetaire [0]_laroux 42" xfId="12721" xr:uid="{00000000-0005-0000-0000-0000782C0000}"/>
    <cellStyle name="Monétaire [0]_laroux 42" xfId="12722" xr:uid="{00000000-0005-0000-0000-0000792C0000}"/>
    <cellStyle name="Monetaire [0]_laroux 43" xfId="20812" xr:uid="{00000000-0005-0000-0000-00007A2C0000}"/>
    <cellStyle name="Monétaire [0]_laroux 43" xfId="20813" xr:uid="{00000000-0005-0000-0000-00007B2C0000}"/>
    <cellStyle name="Monetaire [0]_laroux 5" xfId="3425" xr:uid="{00000000-0005-0000-0000-00007C2C0000}"/>
    <cellStyle name="Monétaire [0]_laroux 5" xfId="3636" xr:uid="{00000000-0005-0000-0000-00007D2C0000}"/>
    <cellStyle name="Monetaire [0]_laroux 6" xfId="3787" xr:uid="{00000000-0005-0000-0000-00007E2C0000}"/>
    <cellStyle name="Monétaire [0]_laroux 6" xfId="3788" xr:uid="{00000000-0005-0000-0000-00007F2C0000}"/>
    <cellStyle name="Monetaire [0]_laroux 7" xfId="3769" xr:uid="{00000000-0005-0000-0000-0000802C0000}"/>
    <cellStyle name="Monétaire [0]_laroux 7" xfId="3768" xr:uid="{00000000-0005-0000-0000-0000812C0000}"/>
    <cellStyle name="Monetaire [0]_laroux 8" xfId="3884" xr:uid="{00000000-0005-0000-0000-0000822C0000}"/>
    <cellStyle name="Monétaire [0]_laroux 8" xfId="3936" xr:uid="{00000000-0005-0000-0000-0000832C0000}"/>
    <cellStyle name="Monetaire [0]_laroux 9" xfId="4050" xr:uid="{00000000-0005-0000-0000-0000842C0000}"/>
    <cellStyle name="Monétaire [0]_laroux 9" xfId="4051" xr:uid="{00000000-0005-0000-0000-0000852C0000}"/>
    <cellStyle name="Monetaire [0]_laroux_1" xfId="1868" xr:uid="{00000000-0005-0000-0000-0000862C0000}"/>
    <cellStyle name="Monétaire [0]_PREPAID" xfId="1869" xr:uid="{00000000-0005-0000-0000-0000872C0000}"/>
    <cellStyle name="Monetaire [0]_RPTREV12" xfId="1870" xr:uid="{00000000-0005-0000-0000-0000882C0000}"/>
    <cellStyle name="Monétaire [0]_RPTREV12" xfId="1871" xr:uid="{00000000-0005-0000-0000-0000892C0000}"/>
    <cellStyle name="Monetaire [0]_SAMPLREV" xfId="1872" xr:uid="{00000000-0005-0000-0000-00008A2C0000}"/>
    <cellStyle name="Monétaire [0]_SAMPLREV" xfId="1873" xr:uid="{00000000-0005-0000-0000-00008B2C0000}"/>
    <cellStyle name="Monetaire [0]_SAMPLSHP" xfId="1874" xr:uid="{00000000-0005-0000-0000-00008C2C0000}"/>
    <cellStyle name="Monétaire [0]_SAMPLSHP" xfId="1875" xr:uid="{00000000-0005-0000-0000-00008D2C0000}"/>
    <cellStyle name="Monetaire [0]_SPNEW" xfId="1876" xr:uid="{00000000-0005-0000-0000-00008E2C0000}"/>
    <cellStyle name="Monetaire_!!!GO" xfId="1877" xr:uid="{00000000-0005-0000-0000-00008F2C0000}"/>
    <cellStyle name="Monétaire_!!!GO" xfId="1878" xr:uid="{00000000-0005-0000-0000-0000902C0000}"/>
    <cellStyle name="Monetaire_!!!GO 10" xfId="4435" xr:uid="{00000000-0005-0000-0000-0000912C0000}"/>
    <cellStyle name="Monétaire_CASH1194" xfId="1879" xr:uid="{00000000-0005-0000-0000-0000922C0000}"/>
    <cellStyle name="Monetaire_CREATIVE" xfId="1880" xr:uid="{00000000-0005-0000-0000-0000932C0000}"/>
    <cellStyle name="Monétaire_INTERC12" xfId="1881" xr:uid="{00000000-0005-0000-0000-0000942C0000}"/>
    <cellStyle name="Monetaire_laroux" xfId="1882" xr:uid="{00000000-0005-0000-0000-0000952C0000}"/>
    <cellStyle name="Monétaire_laroux" xfId="1883" xr:uid="{00000000-0005-0000-0000-0000962C0000}"/>
    <cellStyle name="Monetaire_laroux 10" xfId="4813" xr:uid="{00000000-0005-0000-0000-0000972C0000}"/>
    <cellStyle name="Monétaire_laroux 10" xfId="4814" xr:uid="{00000000-0005-0000-0000-0000982C0000}"/>
    <cellStyle name="Monetaire_laroux 11" xfId="4438" xr:uid="{00000000-0005-0000-0000-0000992C0000}"/>
    <cellStyle name="Monétaire_laroux 11" xfId="4437" xr:uid="{00000000-0005-0000-0000-00009A2C0000}"/>
    <cellStyle name="Monetaire_laroux 12" xfId="4623" xr:uid="{00000000-0005-0000-0000-00009B2C0000}"/>
    <cellStyle name="Monétaire_laroux 12" xfId="4624" xr:uid="{00000000-0005-0000-0000-00009C2C0000}"/>
    <cellStyle name="Monetaire_laroux 13" xfId="4512" xr:uid="{00000000-0005-0000-0000-00009D2C0000}"/>
    <cellStyle name="Monétaire_laroux 13" xfId="4511" xr:uid="{00000000-0005-0000-0000-00009E2C0000}"/>
    <cellStyle name="Monetaire_laroux 14" xfId="5112" xr:uid="{00000000-0005-0000-0000-00009F2C0000}"/>
    <cellStyle name="Monétaire_laroux 14" xfId="4590" xr:uid="{00000000-0005-0000-0000-0000A02C0000}"/>
    <cellStyle name="Monetaire_laroux 15" xfId="4534" xr:uid="{00000000-0005-0000-0000-0000A12C0000}"/>
    <cellStyle name="Monétaire_laroux 15" xfId="4533" xr:uid="{00000000-0005-0000-0000-0000A22C0000}"/>
    <cellStyle name="Monetaire_laroux 16" xfId="4324" xr:uid="{00000000-0005-0000-0000-0000A32C0000}"/>
    <cellStyle name="Monétaire_laroux 16" xfId="5209" xr:uid="{00000000-0005-0000-0000-0000A42C0000}"/>
    <cellStyle name="Monetaire_laroux 17" xfId="5202" xr:uid="{00000000-0005-0000-0000-0000A52C0000}"/>
    <cellStyle name="Monétaire_laroux 17" xfId="5867" xr:uid="{00000000-0005-0000-0000-0000A62C0000}"/>
    <cellStyle name="Monetaire_laroux 18" xfId="4882" xr:uid="{00000000-0005-0000-0000-0000A72C0000}"/>
    <cellStyle name="Monétaire_laroux 18" xfId="5426" xr:uid="{00000000-0005-0000-0000-0000A82C0000}"/>
    <cellStyle name="Monetaire_laroux 19" xfId="5012" xr:uid="{00000000-0005-0000-0000-0000A92C0000}"/>
    <cellStyle name="Monétaire_laroux 19" xfId="4569" xr:uid="{00000000-0005-0000-0000-0000AA2C0000}"/>
    <cellStyle name="Monetaire_laroux 2" xfId="3403" xr:uid="{00000000-0005-0000-0000-0000AB2C0000}"/>
    <cellStyle name="Monétaire_laroux 2" xfId="3404" xr:uid="{00000000-0005-0000-0000-0000AC2C0000}"/>
    <cellStyle name="Monetaire_laroux 20" xfId="4335" xr:uid="{00000000-0005-0000-0000-0000AD2C0000}"/>
    <cellStyle name="Monétaire_laroux 20" xfId="5174" xr:uid="{00000000-0005-0000-0000-0000AE2C0000}"/>
    <cellStyle name="Monetaire_laroux 21" xfId="5323" xr:uid="{00000000-0005-0000-0000-0000AF2C0000}"/>
    <cellStyle name="Monétaire_laroux 21" xfId="4504" xr:uid="{00000000-0005-0000-0000-0000B02C0000}"/>
    <cellStyle name="Monetaire_laroux 22" xfId="4334" xr:uid="{00000000-0005-0000-0000-0000B12C0000}"/>
    <cellStyle name="Monétaire_laroux 22" xfId="5335" xr:uid="{00000000-0005-0000-0000-0000B22C0000}"/>
    <cellStyle name="Monetaire_laroux 23" xfId="4434" xr:uid="{00000000-0005-0000-0000-0000B32C0000}"/>
    <cellStyle name="Monétaire_laroux 23" xfId="4227" xr:uid="{00000000-0005-0000-0000-0000B42C0000}"/>
    <cellStyle name="Monetaire_laroux 24" xfId="4672" xr:uid="{00000000-0005-0000-0000-0000B52C0000}"/>
    <cellStyle name="Monétaire_laroux 24" xfId="5900" xr:uid="{00000000-0005-0000-0000-0000B62C0000}"/>
    <cellStyle name="Monetaire_laroux 25" xfId="4459" xr:uid="{00000000-0005-0000-0000-0000B72C0000}"/>
    <cellStyle name="Monétaire_laroux 25" xfId="4640" xr:uid="{00000000-0005-0000-0000-0000B82C0000}"/>
    <cellStyle name="Monetaire_laroux 26" xfId="4650" xr:uid="{00000000-0005-0000-0000-0000B92C0000}"/>
    <cellStyle name="Monétaire_laroux 26" xfId="6080" xr:uid="{00000000-0005-0000-0000-0000BA2C0000}"/>
    <cellStyle name="Monetaire_laroux 27" xfId="4615" xr:uid="{00000000-0005-0000-0000-0000BB2C0000}"/>
    <cellStyle name="Monétaire_laroux 27" xfId="5876" xr:uid="{00000000-0005-0000-0000-0000BC2C0000}"/>
    <cellStyle name="Monetaire_laroux 28" xfId="6440" xr:uid="{00000000-0005-0000-0000-0000BD2C0000}"/>
    <cellStyle name="Monétaire_laroux 28" xfId="6441" xr:uid="{00000000-0005-0000-0000-0000BE2C0000}"/>
    <cellStyle name="Monetaire_laroux 29" xfId="6423" xr:uid="{00000000-0005-0000-0000-0000BF2C0000}"/>
    <cellStyle name="Monétaire_laroux 29" xfId="6422" xr:uid="{00000000-0005-0000-0000-0000C02C0000}"/>
    <cellStyle name="Monetaire_laroux 3" xfId="3216" xr:uid="{00000000-0005-0000-0000-0000C12C0000}"/>
    <cellStyle name="Monétaire_laroux 3" xfId="3597" xr:uid="{00000000-0005-0000-0000-0000C22C0000}"/>
    <cellStyle name="Monetaire_laroux 30" xfId="6345" xr:uid="{00000000-0005-0000-0000-0000C32C0000}"/>
    <cellStyle name="Monétaire_laroux 30" xfId="6524" xr:uid="{00000000-0005-0000-0000-0000C42C0000}"/>
    <cellStyle name="Monetaire_laroux 31" xfId="6954" xr:uid="{00000000-0005-0000-0000-0000C52C0000}"/>
    <cellStyle name="Monétaire_laroux 31" xfId="6955" xr:uid="{00000000-0005-0000-0000-0000C62C0000}"/>
    <cellStyle name="Monetaire_laroux 32" xfId="7973" xr:uid="{00000000-0005-0000-0000-0000C72C0000}"/>
    <cellStyle name="Monétaire_laroux 32" xfId="7974" xr:uid="{00000000-0005-0000-0000-0000C82C0000}"/>
    <cellStyle name="Monetaire_laroux 33" xfId="8359" xr:uid="{00000000-0005-0000-0000-0000C92C0000}"/>
    <cellStyle name="Monétaire_laroux 33" xfId="8363" xr:uid="{00000000-0005-0000-0000-0000CA2C0000}"/>
    <cellStyle name="Monetaire_laroux 34" xfId="9456" xr:uid="{00000000-0005-0000-0000-0000CB2C0000}"/>
    <cellStyle name="Monétaire_laroux 34" xfId="8312" xr:uid="{00000000-0005-0000-0000-0000CC2C0000}"/>
    <cellStyle name="Monetaire_laroux 35" xfId="9471" xr:uid="{00000000-0005-0000-0000-0000CD2C0000}"/>
    <cellStyle name="Monétaire_laroux 35" xfId="8299" xr:uid="{00000000-0005-0000-0000-0000CE2C0000}"/>
    <cellStyle name="Monetaire_laroux 36" xfId="9482" xr:uid="{00000000-0005-0000-0000-0000CF2C0000}"/>
    <cellStyle name="Monétaire_laroux 36" xfId="9414" xr:uid="{00000000-0005-0000-0000-0000D02C0000}"/>
    <cellStyle name="Monetaire_laroux 37" xfId="7833" xr:uid="{00000000-0005-0000-0000-0000D12C0000}"/>
    <cellStyle name="Monétaire_laroux 37" xfId="9489" xr:uid="{00000000-0005-0000-0000-0000D22C0000}"/>
    <cellStyle name="Monetaire_laroux 38" xfId="9499" xr:uid="{00000000-0005-0000-0000-0000D32C0000}"/>
    <cellStyle name="Monétaire_laroux 38" xfId="7843" xr:uid="{00000000-0005-0000-0000-0000D42C0000}"/>
    <cellStyle name="Monetaire_laroux 39" xfId="9600" xr:uid="{00000000-0005-0000-0000-0000D52C0000}"/>
    <cellStyle name="Monétaire_laroux 39" xfId="9601" xr:uid="{00000000-0005-0000-0000-0000D62C0000}"/>
    <cellStyle name="Monetaire_laroux 4" xfId="3302" xr:uid="{00000000-0005-0000-0000-0000D72C0000}"/>
    <cellStyle name="Monétaire_laroux 4" xfId="3303" xr:uid="{00000000-0005-0000-0000-0000D82C0000}"/>
    <cellStyle name="Monetaire_laroux 40" xfId="12723" xr:uid="{00000000-0005-0000-0000-0000D92C0000}"/>
    <cellStyle name="Monétaire_laroux 40" xfId="12724" xr:uid="{00000000-0005-0000-0000-0000DA2C0000}"/>
    <cellStyle name="Monetaire_laroux 41" xfId="12725" xr:uid="{00000000-0005-0000-0000-0000DB2C0000}"/>
    <cellStyle name="Monétaire_laroux 41" xfId="12726" xr:uid="{00000000-0005-0000-0000-0000DC2C0000}"/>
    <cellStyle name="Monetaire_laroux 42" xfId="12727" xr:uid="{00000000-0005-0000-0000-0000DD2C0000}"/>
    <cellStyle name="Monétaire_laroux 42" xfId="12728" xr:uid="{00000000-0005-0000-0000-0000DE2C0000}"/>
    <cellStyle name="Monetaire_laroux 43" xfId="20814" xr:uid="{00000000-0005-0000-0000-0000DF2C0000}"/>
    <cellStyle name="Monétaire_laroux 43" xfId="20815" xr:uid="{00000000-0005-0000-0000-0000E02C0000}"/>
    <cellStyle name="Monetaire_laroux 5" xfId="3235" xr:uid="{00000000-0005-0000-0000-0000E12C0000}"/>
    <cellStyle name="Monétaire_laroux 5" xfId="3234" xr:uid="{00000000-0005-0000-0000-0000E22C0000}"/>
    <cellStyle name="Monetaire_laroux 6" xfId="3789" xr:uid="{00000000-0005-0000-0000-0000E32C0000}"/>
    <cellStyle name="Monétaire_laroux 6" xfId="3790" xr:uid="{00000000-0005-0000-0000-0000E42C0000}"/>
    <cellStyle name="Monetaire_laroux 7" xfId="3911" xr:uid="{00000000-0005-0000-0000-0000E52C0000}"/>
    <cellStyle name="Monétaire_laroux 7" xfId="3767" xr:uid="{00000000-0005-0000-0000-0000E62C0000}"/>
    <cellStyle name="Monetaire_laroux 8" xfId="3913" xr:uid="{00000000-0005-0000-0000-0000E72C0000}"/>
    <cellStyle name="Monétaire_laroux 8" xfId="3781" xr:uid="{00000000-0005-0000-0000-0000E82C0000}"/>
    <cellStyle name="Monetaire_laroux 9" xfId="4052" xr:uid="{00000000-0005-0000-0000-0000E92C0000}"/>
    <cellStyle name="Monétaire_laroux 9" xfId="4053" xr:uid="{00000000-0005-0000-0000-0000EA2C0000}"/>
    <cellStyle name="Monetaire_laroux_1" xfId="1884" xr:uid="{00000000-0005-0000-0000-0000EB2C0000}"/>
    <cellStyle name="Monétaire_PREPAID" xfId="1885" xr:uid="{00000000-0005-0000-0000-0000EC2C0000}"/>
    <cellStyle name="Monetaire_RPTREV12" xfId="1886" xr:uid="{00000000-0005-0000-0000-0000ED2C0000}"/>
    <cellStyle name="Monétaire_RPTREV12" xfId="1887" xr:uid="{00000000-0005-0000-0000-0000EE2C0000}"/>
    <cellStyle name="Monetaire_SAMPLREV" xfId="1888" xr:uid="{00000000-0005-0000-0000-0000EF2C0000}"/>
    <cellStyle name="Monétaire_SAMPLREV" xfId="1889" xr:uid="{00000000-0005-0000-0000-0000F02C0000}"/>
    <cellStyle name="Monetaire_SAMPLSHP" xfId="1890" xr:uid="{00000000-0005-0000-0000-0000F12C0000}"/>
    <cellStyle name="Monétaire_SAMPLSHP" xfId="1891" xr:uid="{00000000-0005-0000-0000-0000F22C0000}"/>
    <cellStyle name="Monetaire_SPNEW" xfId="1892" xr:uid="{00000000-0005-0000-0000-0000F32C0000}"/>
    <cellStyle name="Monétaire_TBPL0195" xfId="1893" xr:uid="{00000000-0005-0000-0000-0000F42C0000}"/>
    <cellStyle name="Monetaire_virus" xfId="1894" xr:uid="{00000000-0005-0000-0000-0000F52C0000}"/>
    <cellStyle name="n" xfId="1895" xr:uid="{00000000-0005-0000-0000-0000F62C0000}"/>
    <cellStyle name="N_3.subcontract  12-12-2008 (900.000)" xfId="1896" xr:uid="{00000000-0005-0000-0000-0000F72C0000}"/>
    <cellStyle name="n_Bao cao KT tuan 36" xfId="1897" xr:uid="{00000000-0005-0000-0000-0000F82C0000}"/>
    <cellStyle name="N_Bienbanviphamhopdog Dae you Vina" xfId="1898" xr:uid="{00000000-0005-0000-0000-0000F92C0000}"/>
    <cellStyle name="N_COGS" xfId="1899" xr:uid="{00000000-0005-0000-0000-0000FA2C0000}"/>
    <cellStyle name="N_doichieuSep" xfId="1900" xr:uid="{00000000-0005-0000-0000-0000FB2C0000}"/>
    <cellStyle name="N_EXPORT REPORT (JUN '09)- Nhu" xfId="1901" xr:uid="{00000000-0005-0000-0000-0000FC2C0000}"/>
    <cellStyle name="N_HANDY CARRY DECEMBER LAN 2" xfId="1902" xr:uid="{00000000-0005-0000-0000-0000FD2C0000}"/>
    <cellStyle name="N_LCMURE97" xfId="1903" xr:uid="{00000000-0005-0000-0000-0000FE2C0000}"/>
    <cellStyle name="N_LISTSEPTEMBER30-2008-HANDY CARRY" xfId="1904" xr:uid="{00000000-0005-0000-0000-0000FF2C0000}"/>
    <cellStyle name="N_Sep" xfId="1905" xr:uid="{00000000-0005-0000-0000-0000002D0000}"/>
    <cellStyle name="n_Sheet1" xfId="1906" xr:uid="{00000000-0005-0000-0000-0000012D0000}"/>
    <cellStyle name="N_Total OT Charge2008" xfId="1907" xr:uid="{00000000-0005-0000-0000-0000022D0000}"/>
    <cellStyle name="N_WIP" xfId="1908" xr:uid="{00000000-0005-0000-0000-0000032D0000}"/>
    <cellStyle name="N_YTD Sep'09-HST (manufacture)" xfId="1909" xr:uid="{00000000-0005-0000-0000-0000042D0000}"/>
    <cellStyle name="Neutral" xfId="2166" builtinId="28" customBuiltin="1"/>
    <cellStyle name="Neutral 10" xfId="34402" xr:uid="{00000000-0005-0000-0000-0000062D0000}"/>
    <cellStyle name="Neutral 11" xfId="34403" xr:uid="{00000000-0005-0000-0000-0000072D0000}"/>
    <cellStyle name="Neutral 12" xfId="34404" xr:uid="{00000000-0005-0000-0000-0000082D0000}"/>
    <cellStyle name="Neutral 13" xfId="34405" xr:uid="{00000000-0005-0000-0000-0000092D0000}"/>
    <cellStyle name="Neutral 14" xfId="34406" xr:uid="{00000000-0005-0000-0000-00000A2D0000}"/>
    <cellStyle name="Neutral 15" xfId="34407" xr:uid="{00000000-0005-0000-0000-00000B2D0000}"/>
    <cellStyle name="Neutral 2" xfId="3405" xr:uid="{00000000-0005-0000-0000-00000C2D0000}"/>
    <cellStyle name="Neutral 3" xfId="4820" xr:uid="{00000000-0005-0000-0000-00000D2D0000}"/>
    <cellStyle name="Neutral 4" xfId="6956" xr:uid="{00000000-0005-0000-0000-00000E2D0000}"/>
    <cellStyle name="Neutral 5" xfId="34408" xr:uid="{00000000-0005-0000-0000-00000F2D0000}"/>
    <cellStyle name="Neutral 6" xfId="34409" xr:uid="{00000000-0005-0000-0000-0000102D0000}"/>
    <cellStyle name="Neutral 7" xfId="34410" xr:uid="{00000000-0005-0000-0000-0000112D0000}"/>
    <cellStyle name="Neutral 8" xfId="34411" xr:uid="{00000000-0005-0000-0000-0000122D0000}"/>
    <cellStyle name="Neutral 9" xfId="34412" xr:uid="{00000000-0005-0000-0000-0000132D0000}"/>
    <cellStyle name="no dec" xfId="1910" xr:uid="{00000000-0005-0000-0000-0000142D0000}"/>
    <cellStyle name="ÑONVÒ" xfId="1911" xr:uid="{00000000-0005-0000-0000-0000152D0000}"/>
    <cellStyle name="Norm" xfId="1912" xr:uid="{00000000-0005-0000-0000-0000162D0000}"/>
    <cellStyle name="Norm 2" xfId="3406" xr:uid="{00000000-0005-0000-0000-0000172D0000}"/>
    <cellStyle name="Normal" xfId="0" builtinId="0"/>
    <cellStyle name="Normal - Style1" xfId="1913" xr:uid="{00000000-0005-0000-0000-0000192D0000}"/>
    <cellStyle name="Normal - Style1 10" xfId="34413" xr:uid="{00000000-0005-0000-0000-00001A2D0000}"/>
    <cellStyle name="Normal - Style1 11" xfId="34414" xr:uid="{00000000-0005-0000-0000-00001B2D0000}"/>
    <cellStyle name="Normal - Style1 11 2" xfId="34415" xr:uid="{00000000-0005-0000-0000-00001C2D0000}"/>
    <cellStyle name="Normal - Style1 11 3" xfId="34416" xr:uid="{00000000-0005-0000-0000-00001D2D0000}"/>
    <cellStyle name="Normal - Style1 11 4" xfId="34417" xr:uid="{00000000-0005-0000-0000-00001E2D0000}"/>
    <cellStyle name="Normal - Style1 11 5" xfId="34418" xr:uid="{00000000-0005-0000-0000-00001F2D0000}"/>
    <cellStyle name="Normal - Style1 11 6" xfId="34419" xr:uid="{00000000-0005-0000-0000-0000202D0000}"/>
    <cellStyle name="Normal - Style1 12" xfId="34420" xr:uid="{00000000-0005-0000-0000-0000212D0000}"/>
    <cellStyle name="Normal - Style1 12 2" xfId="34421" xr:uid="{00000000-0005-0000-0000-0000222D0000}"/>
    <cellStyle name="Normal - Style1 12 3" xfId="34422" xr:uid="{00000000-0005-0000-0000-0000232D0000}"/>
    <cellStyle name="Normal - Style1 12 4" xfId="34423" xr:uid="{00000000-0005-0000-0000-0000242D0000}"/>
    <cellStyle name="Normal - Style1 12 5" xfId="34424" xr:uid="{00000000-0005-0000-0000-0000252D0000}"/>
    <cellStyle name="Normal - Style1 12 6" xfId="34425" xr:uid="{00000000-0005-0000-0000-0000262D0000}"/>
    <cellStyle name="Normal - Style1 13" xfId="34426" xr:uid="{00000000-0005-0000-0000-0000272D0000}"/>
    <cellStyle name="Normal - Style1 14" xfId="34427" xr:uid="{00000000-0005-0000-0000-0000282D0000}"/>
    <cellStyle name="Normal - Style1 15" xfId="34428" xr:uid="{00000000-0005-0000-0000-0000292D0000}"/>
    <cellStyle name="Normal - Style1 16" xfId="34429" xr:uid="{00000000-0005-0000-0000-00002A2D0000}"/>
    <cellStyle name="Normal - Style1 17" xfId="34430" xr:uid="{00000000-0005-0000-0000-00002B2D0000}"/>
    <cellStyle name="Normal - Style1 18" xfId="34431" xr:uid="{00000000-0005-0000-0000-00002C2D0000}"/>
    <cellStyle name="Normal - Style1 19" xfId="34432" xr:uid="{00000000-0005-0000-0000-00002D2D0000}"/>
    <cellStyle name="Normal - Style1 2" xfId="3407" xr:uid="{00000000-0005-0000-0000-00002E2D0000}"/>
    <cellStyle name="Normal - Style1 2 10" xfId="34433" xr:uid="{00000000-0005-0000-0000-00002F2D0000}"/>
    <cellStyle name="Normal - Style1 2 11" xfId="34434" xr:uid="{00000000-0005-0000-0000-0000302D0000}"/>
    <cellStyle name="Normal - Style1 2 12" xfId="34435" xr:uid="{00000000-0005-0000-0000-0000312D0000}"/>
    <cellStyle name="Normal - Style1 2 13" xfId="34436" xr:uid="{00000000-0005-0000-0000-0000322D0000}"/>
    <cellStyle name="Normal - Style1 2 14" xfId="34437" xr:uid="{00000000-0005-0000-0000-0000332D0000}"/>
    <cellStyle name="Normal - Style1 2 15" xfId="34438" xr:uid="{00000000-0005-0000-0000-0000342D0000}"/>
    <cellStyle name="Normal - Style1 2 2" xfId="34439" xr:uid="{00000000-0005-0000-0000-0000352D0000}"/>
    <cellStyle name="Normal - Style1 2 3" xfId="34440" xr:uid="{00000000-0005-0000-0000-0000362D0000}"/>
    <cellStyle name="Normal - Style1 2 4" xfId="34441" xr:uid="{00000000-0005-0000-0000-0000372D0000}"/>
    <cellStyle name="Normal - Style1 2 5" xfId="34442" xr:uid="{00000000-0005-0000-0000-0000382D0000}"/>
    <cellStyle name="Normal - Style1 2 6" xfId="34443" xr:uid="{00000000-0005-0000-0000-0000392D0000}"/>
    <cellStyle name="Normal - Style1 2 7" xfId="34444" xr:uid="{00000000-0005-0000-0000-00003A2D0000}"/>
    <cellStyle name="Normal - Style1 2 8" xfId="34445" xr:uid="{00000000-0005-0000-0000-00003B2D0000}"/>
    <cellStyle name="Normal - Style1 2 9" xfId="34446" xr:uid="{00000000-0005-0000-0000-00003C2D0000}"/>
    <cellStyle name="Normal - Style1 20" xfId="34447" xr:uid="{00000000-0005-0000-0000-00003D2D0000}"/>
    <cellStyle name="Normal - Style1 21" xfId="34448" xr:uid="{00000000-0005-0000-0000-00003E2D0000}"/>
    <cellStyle name="Normal - Style1 22" xfId="34449" xr:uid="{00000000-0005-0000-0000-00003F2D0000}"/>
    <cellStyle name="Normal - Style1 3" xfId="34450" xr:uid="{00000000-0005-0000-0000-0000402D0000}"/>
    <cellStyle name="Normal - Style1 4" xfId="34451" xr:uid="{00000000-0005-0000-0000-0000412D0000}"/>
    <cellStyle name="Normal - Style1 5" xfId="34452" xr:uid="{00000000-0005-0000-0000-0000422D0000}"/>
    <cellStyle name="Normal - Style1 6" xfId="34453" xr:uid="{00000000-0005-0000-0000-0000432D0000}"/>
    <cellStyle name="Normal - Style1 7" xfId="34454" xr:uid="{00000000-0005-0000-0000-0000442D0000}"/>
    <cellStyle name="Normal - Style1 8" xfId="34455" xr:uid="{00000000-0005-0000-0000-0000452D0000}"/>
    <cellStyle name="Normal - Style1 9" xfId="34456" xr:uid="{00000000-0005-0000-0000-0000462D0000}"/>
    <cellStyle name="Normal 10" xfId="2280" xr:uid="{00000000-0005-0000-0000-0000472D0000}"/>
    <cellStyle name="Normal 10 10" xfId="12729" xr:uid="{00000000-0005-0000-0000-0000482D0000}"/>
    <cellStyle name="Normal 10 10 2" xfId="25787" xr:uid="{00000000-0005-0000-0000-0000492D0000}"/>
    <cellStyle name="Normal 10 11" xfId="12730" xr:uid="{00000000-0005-0000-0000-00004A2D0000}"/>
    <cellStyle name="Normal 10 11 2" xfId="25788" xr:uid="{00000000-0005-0000-0000-00004B2D0000}"/>
    <cellStyle name="Normal 10 12" xfId="20822" xr:uid="{00000000-0005-0000-0000-00004C2D0000}"/>
    <cellStyle name="Normal 10 2" xfId="3538" xr:uid="{00000000-0005-0000-0000-00004D2D0000}"/>
    <cellStyle name="Normal 10 2 10" xfId="20837" xr:uid="{00000000-0005-0000-0000-00004E2D0000}"/>
    <cellStyle name="Normal 10 2 2" xfId="4075" xr:uid="{00000000-0005-0000-0000-00004F2D0000}"/>
    <cellStyle name="Normal 10 2 2 2" xfId="5611" xr:uid="{00000000-0005-0000-0000-0000502D0000}"/>
    <cellStyle name="Normal 10 2 2 2 2" xfId="6763" xr:uid="{00000000-0005-0000-0000-0000512D0000}"/>
    <cellStyle name="Normal 10 2 2 2 2 2" xfId="7450" xr:uid="{00000000-0005-0000-0000-0000522D0000}"/>
    <cellStyle name="Normal 10 2 2 2 2 2 2" xfId="9329" xr:uid="{00000000-0005-0000-0000-0000532D0000}"/>
    <cellStyle name="Normal 10 2 2 2 2 2 2 2" xfId="11708" xr:uid="{00000000-0005-0000-0000-0000542D0000}"/>
    <cellStyle name="Normal 10 2 2 2 2 2 2 2 2" xfId="12731" xr:uid="{00000000-0005-0000-0000-0000552D0000}"/>
    <cellStyle name="Normal 10 2 2 2 2 2 2 2 2 2" xfId="25789" xr:uid="{00000000-0005-0000-0000-0000562D0000}"/>
    <cellStyle name="Normal 10 2 2 2 2 2 2 2 3" xfId="12732" xr:uid="{00000000-0005-0000-0000-0000572D0000}"/>
    <cellStyle name="Normal 10 2 2 2 2 2 2 2 3 2" xfId="25790" xr:uid="{00000000-0005-0000-0000-0000582D0000}"/>
    <cellStyle name="Normal 10 2 2 2 2 2 2 2 4" xfId="25078" xr:uid="{00000000-0005-0000-0000-0000592D0000}"/>
    <cellStyle name="Normal 10 2 2 2 2 2 2 3" xfId="12733" xr:uid="{00000000-0005-0000-0000-00005A2D0000}"/>
    <cellStyle name="Normal 10 2 2 2 2 2 2 3 2" xfId="25791" xr:uid="{00000000-0005-0000-0000-00005B2D0000}"/>
    <cellStyle name="Normal 10 2 2 2 2 2 2 4" xfId="12734" xr:uid="{00000000-0005-0000-0000-00005C2D0000}"/>
    <cellStyle name="Normal 10 2 2 2 2 2 2 4 2" xfId="25792" xr:uid="{00000000-0005-0000-0000-00005D2D0000}"/>
    <cellStyle name="Normal 10 2 2 2 2 2 2 5" xfId="22922" xr:uid="{00000000-0005-0000-0000-00005E2D0000}"/>
    <cellStyle name="Normal 10 2 2 2 2 2 3" xfId="10630" xr:uid="{00000000-0005-0000-0000-00005F2D0000}"/>
    <cellStyle name="Normal 10 2 2 2 2 2 3 2" xfId="12735" xr:uid="{00000000-0005-0000-0000-0000602D0000}"/>
    <cellStyle name="Normal 10 2 2 2 2 2 3 2 2" xfId="25793" xr:uid="{00000000-0005-0000-0000-0000612D0000}"/>
    <cellStyle name="Normal 10 2 2 2 2 2 3 3" xfId="12736" xr:uid="{00000000-0005-0000-0000-0000622D0000}"/>
    <cellStyle name="Normal 10 2 2 2 2 2 3 3 2" xfId="25794" xr:uid="{00000000-0005-0000-0000-0000632D0000}"/>
    <cellStyle name="Normal 10 2 2 2 2 2 3 4" xfId="24000" xr:uid="{00000000-0005-0000-0000-0000642D0000}"/>
    <cellStyle name="Normal 10 2 2 2 2 2 4" xfId="12737" xr:uid="{00000000-0005-0000-0000-0000652D0000}"/>
    <cellStyle name="Normal 10 2 2 2 2 2 4 2" xfId="25795" xr:uid="{00000000-0005-0000-0000-0000662D0000}"/>
    <cellStyle name="Normal 10 2 2 2 2 2 5" xfId="12738" xr:uid="{00000000-0005-0000-0000-0000672D0000}"/>
    <cellStyle name="Normal 10 2 2 2 2 2 5 2" xfId="25796" xr:uid="{00000000-0005-0000-0000-0000682D0000}"/>
    <cellStyle name="Normal 10 2 2 2 2 2 6" xfId="21844" xr:uid="{00000000-0005-0000-0000-0000692D0000}"/>
    <cellStyle name="Normal 10 2 2 2 2 3" xfId="8783" xr:uid="{00000000-0005-0000-0000-00006A2D0000}"/>
    <cellStyle name="Normal 10 2 2 2 2 3 2" xfId="11168" xr:uid="{00000000-0005-0000-0000-00006B2D0000}"/>
    <cellStyle name="Normal 10 2 2 2 2 3 2 2" xfId="12739" xr:uid="{00000000-0005-0000-0000-00006C2D0000}"/>
    <cellStyle name="Normal 10 2 2 2 2 3 2 2 2" xfId="25797" xr:uid="{00000000-0005-0000-0000-00006D2D0000}"/>
    <cellStyle name="Normal 10 2 2 2 2 3 2 3" xfId="12740" xr:uid="{00000000-0005-0000-0000-00006E2D0000}"/>
    <cellStyle name="Normal 10 2 2 2 2 3 2 3 2" xfId="25798" xr:uid="{00000000-0005-0000-0000-00006F2D0000}"/>
    <cellStyle name="Normal 10 2 2 2 2 3 2 4" xfId="24538" xr:uid="{00000000-0005-0000-0000-0000702D0000}"/>
    <cellStyle name="Normal 10 2 2 2 2 3 3" xfId="12741" xr:uid="{00000000-0005-0000-0000-0000712D0000}"/>
    <cellStyle name="Normal 10 2 2 2 2 3 3 2" xfId="25799" xr:uid="{00000000-0005-0000-0000-0000722D0000}"/>
    <cellStyle name="Normal 10 2 2 2 2 3 4" xfId="12742" xr:uid="{00000000-0005-0000-0000-0000732D0000}"/>
    <cellStyle name="Normal 10 2 2 2 2 3 4 2" xfId="25800" xr:uid="{00000000-0005-0000-0000-0000742D0000}"/>
    <cellStyle name="Normal 10 2 2 2 2 3 5" xfId="22382" xr:uid="{00000000-0005-0000-0000-0000752D0000}"/>
    <cellStyle name="Normal 10 2 2 2 2 4" xfId="10090" xr:uid="{00000000-0005-0000-0000-0000762D0000}"/>
    <cellStyle name="Normal 10 2 2 2 2 4 2" xfId="12743" xr:uid="{00000000-0005-0000-0000-0000772D0000}"/>
    <cellStyle name="Normal 10 2 2 2 2 4 2 2" xfId="25801" xr:uid="{00000000-0005-0000-0000-0000782D0000}"/>
    <cellStyle name="Normal 10 2 2 2 2 4 3" xfId="12744" xr:uid="{00000000-0005-0000-0000-0000792D0000}"/>
    <cellStyle name="Normal 10 2 2 2 2 4 3 2" xfId="25802" xr:uid="{00000000-0005-0000-0000-00007A2D0000}"/>
    <cellStyle name="Normal 10 2 2 2 2 4 4" xfId="23460" xr:uid="{00000000-0005-0000-0000-00007B2D0000}"/>
    <cellStyle name="Normal 10 2 2 2 2 5" xfId="12745" xr:uid="{00000000-0005-0000-0000-00007C2D0000}"/>
    <cellStyle name="Normal 10 2 2 2 2 5 2" xfId="25803" xr:uid="{00000000-0005-0000-0000-00007D2D0000}"/>
    <cellStyle name="Normal 10 2 2 2 2 6" xfId="12746" xr:uid="{00000000-0005-0000-0000-00007E2D0000}"/>
    <cellStyle name="Normal 10 2 2 2 2 6 2" xfId="25804" xr:uid="{00000000-0005-0000-0000-00007F2D0000}"/>
    <cellStyle name="Normal 10 2 2 2 2 7" xfId="21304" xr:uid="{00000000-0005-0000-0000-0000802D0000}"/>
    <cellStyle name="Normal 10 2 2 2 3" xfId="7181" xr:uid="{00000000-0005-0000-0000-0000812D0000}"/>
    <cellStyle name="Normal 10 2 2 2 3 2" xfId="9060" xr:uid="{00000000-0005-0000-0000-0000822D0000}"/>
    <cellStyle name="Normal 10 2 2 2 3 2 2" xfId="11439" xr:uid="{00000000-0005-0000-0000-0000832D0000}"/>
    <cellStyle name="Normal 10 2 2 2 3 2 2 2" xfId="12747" xr:uid="{00000000-0005-0000-0000-0000842D0000}"/>
    <cellStyle name="Normal 10 2 2 2 3 2 2 2 2" xfId="25805" xr:uid="{00000000-0005-0000-0000-0000852D0000}"/>
    <cellStyle name="Normal 10 2 2 2 3 2 2 3" xfId="12748" xr:uid="{00000000-0005-0000-0000-0000862D0000}"/>
    <cellStyle name="Normal 10 2 2 2 3 2 2 3 2" xfId="25806" xr:uid="{00000000-0005-0000-0000-0000872D0000}"/>
    <cellStyle name="Normal 10 2 2 2 3 2 2 4" xfId="24809" xr:uid="{00000000-0005-0000-0000-0000882D0000}"/>
    <cellStyle name="Normal 10 2 2 2 3 2 3" xfId="12749" xr:uid="{00000000-0005-0000-0000-0000892D0000}"/>
    <cellStyle name="Normal 10 2 2 2 3 2 3 2" xfId="25807" xr:uid="{00000000-0005-0000-0000-00008A2D0000}"/>
    <cellStyle name="Normal 10 2 2 2 3 2 4" xfId="12750" xr:uid="{00000000-0005-0000-0000-00008B2D0000}"/>
    <cellStyle name="Normal 10 2 2 2 3 2 4 2" xfId="25808" xr:uid="{00000000-0005-0000-0000-00008C2D0000}"/>
    <cellStyle name="Normal 10 2 2 2 3 2 5" xfId="22653" xr:uid="{00000000-0005-0000-0000-00008D2D0000}"/>
    <cellStyle name="Normal 10 2 2 2 3 3" xfId="10361" xr:uid="{00000000-0005-0000-0000-00008E2D0000}"/>
    <cellStyle name="Normal 10 2 2 2 3 3 2" xfId="12751" xr:uid="{00000000-0005-0000-0000-00008F2D0000}"/>
    <cellStyle name="Normal 10 2 2 2 3 3 2 2" xfId="25809" xr:uid="{00000000-0005-0000-0000-0000902D0000}"/>
    <cellStyle name="Normal 10 2 2 2 3 3 3" xfId="12752" xr:uid="{00000000-0005-0000-0000-0000912D0000}"/>
    <cellStyle name="Normal 10 2 2 2 3 3 3 2" xfId="25810" xr:uid="{00000000-0005-0000-0000-0000922D0000}"/>
    <cellStyle name="Normal 10 2 2 2 3 3 4" xfId="23731" xr:uid="{00000000-0005-0000-0000-0000932D0000}"/>
    <cellStyle name="Normal 10 2 2 2 3 4" xfId="12753" xr:uid="{00000000-0005-0000-0000-0000942D0000}"/>
    <cellStyle name="Normal 10 2 2 2 3 4 2" xfId="25811" xr:uid="{00000000-0005-0000-0000-0000952D0000}"/>
    <cellStyle name="Normal 10 2 2 2 3 5" xfId="12754" xr:uid="{00000000-0005-0000-0000-0000962D0000}"/>
    <cellStyle name="Normal 10 2 2 2 3 5 2" xfId="25812" xr:uid="{00000000-0005-0000-0000-0000972D0000}"/>
    <cellStyle name="Normal 10 2 2 2 3 6" xfId="21575" xr:uid="{00000000-0005-0000-0000-0000982D0000}"/>
    <cellStyle name="Normal 10 2 2 2 4" xfId="8458" xr:uid="{00000000-0005-0000-0000-0000992D0000}"/>
    <cellStyle name="Normal 10 2 2 2 4 2" xfId="10899" xr:uid="{00000000-0005-0000-0000-00009A2D0000}"/>
    <cellStyle name="Normal 10 2 2 2 4 2 2" xfId="12755" xr:uid="{00000000-0005-0000-0000-00009B2D0000}"/>
    <cellStyle name="Normal 10 2 2 2 4 2 2 2" xfId="25813" xr:uid="{00000000-0005-0000-0000-00009C2D0000}"/>
    <cellStyle name="Normal 10 2 2 2 4 2 3" xfId="12756" xr:uid="{00000000-0005-0000-0000-00009D2D0000}"/>
    <cellStyle name="Normal 10 2 2 2 4 2 3 2" xfId="25814" xr:uid="{00000000-0005-0000-0000-00009E2D0000}"/>
    <cellStyle name="Normal 10 2 2 2 4 2 4" xfId="24269" xr:uid="{00000000-0005-0000-0000-00009F2D0000}"/>
    <cellStyle name="Normal 10 2 2 2 4 3" xfId="12757" xr:uid="{00000000-0005-0000-0000-0000A02D0000}"/>
    <cellStyle name="Normal 10 2 2 2 4 3 2" xfId="25815" xr:uid="{00000000-0005-0000-0000-0000A12D0000}"/>
    <cellStyle name="Normal 10 2 2 2 4 4" xfId="12758" xr:uid="{00000000-0005-0000-0000-0000A22D0000}"/>
    <cellStyle name="Normal 10 2 2 2 4 4 2" xfId="25816" xr:uid="{00000000-0005-0000-0000-0000A32D0000}"/>
    <cellStyle name="Normal 10 2 2 2 4 5" xfId="22113" xr:uid="{00000000-0005-0000-0000-0000A42D0000}"/>
    <cellStyle name="Normal 10 2 2 2 5" xfId="9821" xr:uid="{00000000-0005-0000-0000-0000A52D0000}"/>
    <cellStyle name="Normal 10 2 2 2 5 2" xfId="12759" xr:uid="{00000000-0005-0000-0000-0000A62D0000}"/>
    <cellStyle name="Normal 10 2 2 2 5 2 2" xfId="25817" xr:uid="{00000000-0005-0000-0000-0000A72D0000}"/>
    <cellStyle name="Normal 10 2 2 2 5 3" xfId="12760" xr:uid="{00000000-0005-0000-0000-0000A82D0000}"/>
    <cellStyle name="Normal 10 2 2 2 5 3 2" xfId="25818" xr:uid="{00000000-0005-0000-0000-0000A92D0000}"/>
    <cellStyle name="Normal 10 2 2 2 5 4" xfId="23191" xr:uid="{00000000-0005-0000-0000-0000AA2D0000}"/>
    <cellStyle name="Normal 10 2 2 2 6" xfId="12761" xr:uid="{00000000-0005-0000-0000-0000AB2D0000}"/>
    <cellStyle name="Normal 10 2 2 2 6 2" xfId="25819" xr:uid="{00000000-0005-0000-0000-0000AC2D0000}"/>
    <cellStyle name="Normal 10 2 2 2 7" xfId="12762" xr:uid="{00000000-0005-0000-0000-0000AD2D0000}"/>
    <cellStyle name="Normal 10 2 2 2 7 2" xfId="25820" xr:uid="{00000000-0005-0000-0000-0000AE2D0000}"/>
    <cellStyle name="Normal 10 2 2 2 8" xfId="21035" xr:uid="{00000000-0005-0000-0000-0000AF2D0000}"/>
    <cellStyle name="Normal 10 2 2 3" xfId="6612" xr:uid="{00000000-0005-0000-0000-0000B02D0000}"/>
    <cellStyle name="Normal 10 2 2 3 2" xfId="7308" xr:uid="{00000000-0005-0000-0000-0000B12D0000}"/>
    <cellStyle name="Normal 10 2 2 3 2 2" xfId="9187" xr:uid="{00000000-0005-0000-0000-0000B22D0000}"/>
    <cellStyle name="Normal 10 2 2 3 2 2 2" xfId="11566" xr:uid="{00000000-0005-0000-0000-0000B32D0000}"/>
    <cellStyle name="Normal 10 2 2 3 2 2 2 2" xfId="12763" xr:uid="{00000000-0005-0000-0000-0000B42D0000}"/>
    <cellStyle name="Normal 10 2 2 3 2 2 2 2 2" xfId="25821" xr:uid="{00000000-0005-0000-0000-0000B52D0000}"/>
    <cellStyle name="Normal 10 2 2 3 2 2 2 3" xfId="12764" xr:uid="{00000000-0005-0000-0000-0000B62D0000}"/>
    <cellStyle name="Normal 10 2 2 3 2 2 2 3 2" xfId="25822" xr:uid="{00000000-0005-0000-0000-0000B72D0000}"/>
    <cellStyle name="Normal 10 2 2 3 2 2 2 4" xfId="24936" xr:uid="{00000000-0005-0000-0000-0000B82D0000}"/>
    <cellStyle name="Normal 10 2 2 3 2 2 3" xfId="12765" xr:uid="{00000000-0005-0000-0000-0000B92D0000}"/>
    <cellStyle name="Normal 10 2 2 3 2 2 3 2" xfId="25823" xr:uid="{00000000-0005-0000-0000-0000BA2D0000}"/>
    <cellStyle name="Normal 10 2 2 3 2 2 4" xfId="12766" xr:uid="{00000000-0005-0000-0000-0000BB2D0000}"/>
    <cellStyle name="Normal 10 2 2 3 2 2 4 2" xfId="25824" xr:uid="{00000000-0005-0000-0000-0000BC2D0000}"/>
    <cellStyle name="Normal 10 2 2 3 2 2 5" xfId="22780" xr:uid="{00000000-0005-0000-0000-0000BD2D0000}"/>
    <cellStyle name="Normal 10 2 2 3 2 3" xfId="10488" xr:uid="{00000000-0005-0000-0000-0000BE2D0000}"/>
    <cellStyle name="Normal 10 2 2 3 2 3 2" xfId="12767" xr:uid="{00000000-0005-0000-0000-0000BF2D0000}"/>
    <cellStyle name="Normal 10 2 2 3 2 3 2 2" xfId="25825" xr:uid="{00000000-0005-0000-0000-0000C02D0000}"/>
    <cellStyle name="Normal 10 2 2 3 2 3 3" xfId="12768" xr:uid="{00000000-0005-0000-0000-0000C12D0000}"/>
    <cellStyle name="Normal 10 2 2 3 2 3 3 2" xfId="25826" xr:uid="{00000000-0005-0000-0000-0000C22D0000}"/>
    <cellStyle name="Normal 10 2 2 3 2 3 4" xfId="23858" xr:uid="{00000000-0005-0000-0000-0000C32D0000}"/>
    <cellStyle name="Normal 10 2 2 3 2 4" xfId="12769" xr:uid="{00000000-0005-0000-0000-0000C42D0000}"/>
    <cellStyle name="Normal 10 2 2 3 2 4 2" xfId="25827" xr:uid="{00000000-0005-0000-0000-0000C52D0000}"/>
    <cellStyle name="Normal 10 2 2 3 2 5" xfId="12770" xr:uid="{00000000-0005-0000-0000-0000C62D0000}"/>
    <cellStyle name="Normal 10 2 2 3 2 5 2" xfId="25828" xr:uid="{00000000-0005-0000-0000-0000C72D0000}"/>
    <cellStyle name="Normal 10 2 2 3 2 6" xfId="21702" xr:uid="{00000000-0005-0000-0000-0000C82D0000}"/>
    <cellStyle name="Normal 10 2 2 3 3" xfId="8640" xr:uid="{00000000-0005-0000-0000-0000C92D0000}"/>
    <cellStyle name="Normal 10 2 2 3 3 2" xfId="11026" xr:uid="{00000000-0005-0000-0000-0000CA2D0000}"/>
    <cellStyle name="Normal 10 2 2 3 3 2 2" xfId="12771" xr:uid="{00000000-0005-0000-0000-0000CB2D0000}"/>
    <cellStyle name="Normal 10 2 2 3 3 2 2 2" xfId="25829" xr:uid="{00000000-0005-0000-0000-0000CC2D0000}"/>
    <cellStyle name="Normal 10 2 2 3 3 2 3" xfId="12772" xr:uid="{00000000-0005-0000-0000-0000CD2D0000}"/>
    <cellStyle name="Normal 10 2 2 3 3 2 3 2" xfId="25830" xr:uid="{00000000-0005-0000-0000-0000CE2D0000}"/>
    <cellStyle name="Normal 10 2 2 3 3 2 4" xfId="24396" xr:uid="{00000000-0005-0000-0000-0000CF2D0000}"/>
    <cellStyle name="Normal 10 2 2 3 3 3" xfId="12773" xr:uid="{00000000-0005-0000-0000-0000D02D0000}"/>
    <cellStyle name="Normal 10 2 2 3 3 3 2" xfId="25831" xr:uid="{00000000-0005-0000-0000-0000D12D0000}"/>
    <cellStyle name="Normal 10 2 2 3 3 4" xfId="12774" xr:uid="{00000000-0005-0000-0000-0000D22D0000}"/>
    <cellStyle name="Normal 10 2 2 3 3 4 2" xfId="25832" xr:uid="{00000000-0005-0000-0000-0000D32D0000}"/>
    <cellStyle name="Normal 10 2 2 3 3 5" xfId="22240" xr:uid="{00000000-0005-0000-0000-0000D42D0000}"/>
    <cellStyle name="Normal 10 2 2 3 4" xfId="9948" xr:uid="{00000000-0005-0000-0000-0000D52D0000}"/>
    <cellStyle name="Normal 10 2 2 3 4 2" xfId="12775" xr:uid="{00000000-0005-0000-0000-0000D62D0000}"/>
    <cellStyle name="Normal 10 2 2 3 4 2 2" xfId="25833" xr:uid="{00000000-0005-0000-0000-0000D72D0000}"/>
    <cellStyle name="Normal 10 2 2 3 4 3" xfId="12776" xr:uid="{00000000-0005-0000-0000-0000D82D0000}"/>
    <cellStyle name="Normal 10 2 2 3 4 3 2" xfId="25834" xr:uid="{00000000-0005-0000-0000-0000D92D0000}"/>
    <cellStyle name="Normal 10 2 2 3 4 4" xfId="23318" xr:uid="{00000000-0005-0000-0000-0000DA2D0000}"/>
    <cellStyle name="Normal 10 2 2 3 5" xfId="12777" xr:uid="{00000000-0005-0000-0000-0000DB2D0000}"/>
    <cellStyle name="Normal 10 2 2 3 5 2" xfId="25835" xr:uid="{00000000-0005-0000-0000-0000DC2D0000}"/>
    <cellStyle name="Normal 10 2 2 3 6" xfId="12778" xr:uid="{00000000-0005-0000-0000-0000DD2D0000}"/>
    <cellStyle name="Normal 10 2 2 3 6 2" xfId="25836" xr:uid="{00000000-0005-0000-0000-0000DE2D0000}"/>
    <cellStyle name="Normal 10 2 2 3 7" xfId="21162" xr:uid="{00000000-0005-0000-0000-0000DF2D0000}"/>
    <cellStyle name="Normal 10 2 2 4" xfId="7038" xr:uid="{00000000-0005-0000-0000-0000E02D0000}"/>
    <cellStyle name="Normal 10 2 2 4 2" xfId="8918" xr:uid="{00000000-0005-0000-0000-0000E12D0000}"/>
    <cellStyle name="Normal 10 2 2 4 2 2" xfId="11297" xr:uid="{00000000-0005-0000-0000-0000E22D0000}"/>
    <cellStyle name="Normal 10 2 2 4 2 2 2" xfId="12779" xr:uid="{00000000-0005-0000-0000-0000E32D0000}"/>
    <cellStyle name="Normal 10 2 2 4 2 2 2 2" xfId="25837" xr:uid="{00000000-0005-0000-0000-0000E42D0000}"/>
    <cellStyle name="Normal 10 2 2 4 2 2 3" xfId="12780" xr:uid="{00000000-0005-0000-0000-0000E52D0000}"/>
    <cellStyle name="Normal 10 2 2 4 2 2 3 2" xfId="25838" xr:uid="{00000000-0005-0000-0000-0000E62D0000}"/>
    <cellStyle name="Normal 10 2 2 4 2 2 4" xfId="24667" xr:uid="{00000000-0005-0000-0000-0000E72D0000}"/>
    <cellStyle name="Normal 10 2 2 4 2 3" xfId="12781" xr:uid="{00000000-0005-0000-0000-0000E82D0000}"/>
    <cellStyle name="Normal 10 2 2 4 2 3 2" xfId="25839" xr:uid="{00000000-0005-0000-0000-0000E92D0000}"/>
    <cellStyle name="Normal 10 2 2 4 2 4" xfId="12782" xr:uid="{00000000-0005-0000-0000-0000EA2D0000}"/>
    <cellStyle name="Normal 10 2 2 4 2 4 2" xfId="25840" xr:uid="{00000000-0005-0000-0000-0000EB2D0000}"/>
    <cellStyle name="Normal 10 2 2 4 2 5" xfId="22511" xr:uid="{00000000-0005-0000-0000-0000EC2D0000}"/>
    <cellStyle name="Normal 10 2 2 4 3" xfId="10219" xr:uid="{00000000-0005-0000-0000-0000ED2D0000}"/>
    <cellStyle name="Normal 10 2 2 4 3 2" xfId="12783" xr:uid="{00000000-0005-0000-0000-0000EE2D0000}"/>
    <cellStyle name="Normal 10 2 2 4 3 2 2" xfId="25841" xr:uid="{00000000-0005-0000-0000-0000EF2D0000}"/>
    <cellStyle name="Normal 10 2 2 4 3 3" xfId="12784" xr:uid="{00000000-0005-0000-0000-0000F02D0000}"/>
    <cellStyle name="Normal 10 2 2 4 3 3 2" xfId="25842" xr:uid="{00000000-0005-0000-0000-0000F12D0000}"/>
    <cellStyle name="Normal 10 2 2 4 3 4" xfId="23589" xr:uid="{00000000-0005-0000-0000-0000F22D0000}"/>
    <cellStyle name="Normal 10 2 2 4 4" xfId="12785" xr:uid="{00000000-0005-0000-0000-0000F32D0000}"/>
    <cellStyle name="Normal 10 2 2 4 4 2" xfId="25843" xr:uid="{00000000-0005-0000-0000-0000F42D0000}"/>
    <cellStyle name="Normal 10 2 2 4 5" xfId="12786" xr:uid="{00000000-0005-0000-0000-0000F52D0000}"/>
    <cellStyle name="Normal 10 2 2 4 5 2" xfId="25844" xr:uid="{00000000-0005-0000-0000-0000F62D0000}"/>
    <cellStyle name="Normal 10 2 2 4 6" xfId="21433" xr:uid="{00000000-0005-0000-0000-0000F72D0000}"/>
    <cellStyle name="Normal 10 2 2 5" xfId="8242" xr:uid="{00000000-0005-0000-0000-0000F82D0000}"/>
    <cellStyle name="Normal 10 2 2 5 2" xfId="10757" xr:uid="{00000000-0005-0000-0000-0000F92D0000}"/>
    <cellStyle name="Normal 10 2 2 5 2 2" xfId="12787" xr:uid="{00000000-0005-0000-0000-0000FA2D0000}"/>
    <cellStyle name="Normal 10 2 2 5 2 2 2" xfId="25845" xr:uid="{00000000-0005-0000-0000-0000FB2D0000}"/>
    <cellStyle name="Normal 10 2 2 5 2 3" xfId="12788" xr:uid="{00000000-0005-0000-0000-0000FC2D0000}"/>
    <cellStyle name="Normal 10 2 2 5 2 3 2" xfId="25846" xr:uid="{00000000-0005-0000-0000-0000FD2D0000}"/>
    <cellStyle name="Normal 10 2 2 5 2 4" xfId="24127" xr:uid="{00000000-0005-0000-0000-0000FE2D0000}"/>
    <cellStyle name="Normal 10 2 2 5 3" xfId="12789" xr:uid="{00000000-0005-0000-0000-0000FF2D0000}"/>
    <cellStyle name="Normal 10 2 2 5 3 2" xfId="25847" xr:uid="{00000000-0005-0000-0000-0000002E0000}"/>
    <cellStyle name="Normal 10 2 2 5 4" xfId="12790" xr:uid="{00000000-0005-0000-0000-0000012E0000}"/>
    <cellStyle name="Normal 10 2 2 5 4 2" xfId="25848" xr:uid="{00000000-0005-0000-0000-0000022E0000}"/>
    <cellStyle name="Normal 10 2 2 5 5" xfId="21971" xr:uid="{00000000-0005-0000-0000-0000032E0000}"/>
    <cellStyle name="Normal 10 2 2 6" xfId="9678" xr:uid="{00000000-0005-0000-0000-0000042E0000}"/>
    <cellStyle name="Normal 10 2 2 6 2" xfId="12791" xr:uid="{00000000-0005-0000-0000-0000052E0000}"/>
    <cellStyle name="Normal 10 2 2 6 2 2" xfId="25849" xr:uid="{00000000-0005-0000-0000-0000062E0000}"/>
    <cellStyle name="Normal 10 2 2 6 3" xfId="12792" xr:uid="{00000000-0005-0000-0000-0000072E0000}"/>
    <cellStyle name="Normal 10 2 2 6 3 2" xfId="25850" xr:uid="{00000000-0005-0000-0000-0000082E0000}"/>
    <cellStyle name="Normal 10 2 2 6 4" xfId="23049" xr:uid="{00000000-0005-0000-0000-0000092E0000}"/>
    <cellStyle name="Normal 10 2 2 7" xfId="12793" xr:uid="{00000000-0005-0000-0000-00000A2E0000}"/>
    <cellStyle name="Normal 10 2 2 7 2" xfId="25851" xr:uid="{00000000-0005-0000-0000-00000B2E0000}"/>
    <cellStyle name="Normal 10 2 2 8" xfId="12794" xr:uid="{00000000-0005-0000-0000-00000C2E0000}"/>
    <cellStyle name="Normal 10 2 2 8 2" xfId="25852" xr:uid="{00000000-0005-0000-0000-00000D2E0000}"/>
    <cellStyle name="Normal 10 2 2 9" xfId="20892" xr:uid="{00000000-0005-0000-0000-00000E2E0000}"/>
    <cellStyle name="Normal 10 2 3" xfId="5420" xr:uid="{00000000-0005-0000-0000-00000F2E0000}"/>
    <cellStyle name="Normal 10 2 3 2" xfId="6703" xr:uid="{00000000-0005-0000-0000-0000102E0000}"/>
    <cellStyle name="Normal 10 2 3 2 2" xfId="7390" xr:uid="{00000000-0005-0000-0000-0000112E0000}"/>
    <cellStyle name="Normal 10 2 3 2 2 2" xfId="9269" xr:uid="{00000000-0005-0000-0000-0000122E0000}"/>
    <cellStyle name="Normal 10 2 3 2 2 2 2" xfId="11648" xr:uid="{00000000-0005-0000-0000-0000132E0000}"/>
    <cellStyle name="Normal 10 2 3 2 2 2 2 2" xfId="12795" xr:uid="{00000000-0005-0000-0000-0000142E0000}"/>
    <cellStyle name="Normal 10 2 3 2 2 2 2 2 2" xfId="25853" xr:uid="{00000000-0005-0000-0000-0000152E0000}"/>
    <cellStyle name="Normal 10 2 3 2 2 2 2 3" xfId="12796" xr:uid="{00000000-0005-0000-0000-0000162E0000}"/>
    <cellStyle name="Normal 10 2 3 2 2 2 2 3 2" xfId="25854" xr:uid="{00000000-0005-0000-0000-0000172E0000}"/>
    <cellStyle name="Normal 10 2 3 2 2 2 2 4" xfId="25018" xr:uid="{00000000-0005-0000-0000-0000182E0000}"/>
    <cellStyle name="Normal 10 2 3 2 2 2 3" xfId="12797" xr:uid="{00000000-0005-0000-0000-0000192E0000}"/>
    <cellStyle name="Normal 10 2 3 2 2 2 3 2" xfId="25855" xr:uid="{00000000-0005-0000-0000-00001A2E0000}"/>
    <cellStyle name="Normal 10 2 3 2 2 2 4" xfId="12798" xr:uid="{00000000-0005-0000-0000-00001B2E0000}"/>
    <cellStyle name="Normal 10 2 3 2 2 2 4 2" xfId="25856" xr:uid="{00000000-0005-0000-0000-00001C2E0000}"/>
    <cellStyle name="Normal 10 2 3 2 2 2 5" xfId="22862" xr:uid="{00000000-0005-0000-0000-00001D2E0000}"/>
    <cellStyle name="Normal 10 2 3 2 2 3" xfId="10570" xr:uid="{00000000-0005-0000-0000-00001E2E0000}"/>
    <cellStyle name="Normal 10 2 3 2 2 3 2" xfId="12799" xr:uid="{00000000-0005-0000-0000-00001F2E0000}"/>
    <cellStyle name="Normal 10 2 3 2 2 3 2 2" xfId="25857" xr:uid="{00000000-0005-0000-0000-0000202E0000}"/>
    <cellStyle name="Normal 10 2 3 2 2 3 3" xfId="12800" xr:uid="{00000000-0005-0000-0000-0000212E0000}"/>
    <cellStyle name="Normal 10 2 3 2 2 3 3 2" xfId="25858" xr:uid="{00000000-0005-0000-0000-0000222E0000}"/>
    <cellStyle name="Normal 10 2 3 2 2 3 4" xfId="23940" xr:uid="{00000000-0005-0000-0000-0000232E0000}"/>
    <cellStyle name="Normal 10 2 3 2 2 4" xfId="12801" xr:uid="{00000000-0005-0000-0000-0000242E0000}"/>
    <cellStyle name="Normal 10 2 3 2 2 4 2" xfId="25859" xr:uid="{00000000-0005-0000-0000-0000252E0000}"/>
    <cellStyle name="Normal 10 2 3 2 2 5" xfId="12802" xr:uid="{00000000-0005-0000-0000-0000262E0000}"/>
    <cellStyle name="Normal 10 2 3 2 2 5 2" xfId="25860" xr:uid="{00000000-0005-0000-0000-0000272E0000}"/>
    <cellStyle name="Normal 10 2 3 2 2 6" xfId="21784" xr:uid="{00000000-0005-0000-0000-0000282E0000}"/>
    <cellStyle name="Normal 10 2 3 2 3" xfId="8723" xr:uid="{00000000-0005-0000-0000-0000292E0000}"/>
    <cellStyle name="Normal 10 2 3 2 3 2" xfId="11108" xr:uid="{00000000-0005-0000-0000-00002A2E0000}"/>
    <cellStyle name="Normal 10 2 3 2 3 2 2" xfId="12803" xr:uid="{00000000-0005-0000-0000-00002B2E0000}"/>
    <cellStyle name="Normal 10 2 3 2 3 2 2 2" xfId="25861" xr:uid="{00000000-0005-0000-0000-00002C2E0000}"/>
    <cellStyle name="Normal 10 2 3 2 3 2 3" xfId="12804" xr:uid="{00000000-0005-0000-0000-00002D2E0000}"/>
    <cellStyle name="Normal 10 2 3 2 3 2 3 2" xfId="25862" xr:uid="{00000000-0005-0000-0000-00002E2E0000}"/>
    <cellStyle name="Normal 10 2 3 2 3 2 4" xfId="24478" xr:uid="{00000000-0005-0000-0000-00002F2E0000}"/>
    <cellStyle name="Normal 10 2 3 2 3 3" xfId="12805" xr:uid="{00000000-0005-0000-0000-0000302E0000}"/>
    <cellStyle name="Normal 10 2 3 2 3 3 2" xfId="25863" xr:uid="{00000000-0005-0000-0000-0000312E0000}"/>
    <cellStyle name="Normal 10 2 3 2 3 4" xfId="12806" xr:uid="{00000000-0005-0000-0000-0000322E0000}"/>
    <cellStyle name="Normal 10 2 3 2 3 4 2" xfId="25864" xr:uid="{00000000-0005-0000-0000-0000332E0000}"/>
    <cellStyle name="Normal 10 2 3 2 3 5" xfId="22322" xr:uid="{00000000-0005-0000-0000-0000342E0000}"/>
    <cellStyle name="Normal 10 2 3 2 4" xfId="10030" xr:uid="{00000000-0005-0000-0000-0000352E0000}"/>
    <cellStyle name="Normal 10 2 3 2 4 2" xfId="12807" xr:uid="{00000000-0005-0000-0000-0000362E0000}"/>
    <cellStyle name="Normal 10 2 3 2 4 2 2" xfId="25865" xr:uid="{00000000-0005-0000-0000-0000372E0000}"/>
    <cellStyle name="Normal 10 2 3 2 4 3" xfId="12808" xr:uid="{00000000-0005-0000-0000-0000382E0000}"/>
    <cellStyle name="Normal 10 2 3 2 4 3 2" xfId="25866" xr:uid="{00000000-0005-0000-0000-0000392E0000}"/>
    <cellStyle name="Normal 10 2 3 2 4 4" xfId="23400" xr:uid="{00000000-0005-0000-0000-00003A2E0000}"/>
    <cellStyle name="Normal 10 2 3 2 5" xfId="12809" xr:uid="{00000000-0005-0000-0000-00003B2E0000}"/>
    <cellStyle name="Normal 10 2 3 2 5 2" xfId="25867" xr:uid="{00000000-0005-0000-0000-00003C2E0000}"/>
    <cellStyle name="Normal 10 2 3 2 6" xfId="12810" xr:uid="{00000000-0005-0000-0000-00003D2E0000}"/>
    <cellStyle name="Normal 10 2 3 2 6 2" xfId="25868" xr:uid="{00000000-0005-0000-0000-00003E2E0000}"/>
    <cellStyle name="Normal 10 2 3 2 7" xfId="21244" xr:uid="{00000000-0005-0000-0000-00003F2E0000}"/>
    <cellStyle name="Normal 10 2 3 3" xfId="7121" xr:uid="{00000000-0005-0000-0000-0000402E0000}"/>
    <cellStyle name="Normal 10 2 3 3 2" xfId="9000" xr:uid="{00000000-0005-0000-0000-0000412E0000}"/>
    <cellStyle name="Normal 10 2 3 3 2 2" xfId="11379" xr:uid="{00000000-0005-0000-0000-0000422E0000}"/>
    <cellStyle name="Normal 10 2 3 3 2 2 2" xfId="12811" xr:uid="{00000000-0005-0000-0000-0000432E0000}"/>
    <cellStyle name="Normal 10 2 3 3 2 2 2 2" xfId="25869" xr:uid="{00000000-0005-0000-0000-0000442E0000}"/>
    <cellStyle name="Normal 10 2 3 3 2 2 3" xfId="12812" xr:uid="{00000000-0005-0000-0000-0000452E0000}"/>
    <cellStyle name="Normal 10 2 3 3 2 2 3 2" xfId="25870" xr:uid="{00000000-0005-0000-0000-0000462E0000}"/>
    <cellStyle name="Normal 10 2 3 3 2 2 4" xfId="24749" xr:uid="{00000000-0005-0000-0000-0000472E0000}"/>
    <cellStyle name="Normal 10 2 3 3 2 3" xfId="12813" xr:uid="{00000000-0005-0000-0000-0000482E0000}"/>
    <cellStyle name="Normal 10 2 3 3 2 3 2" xfId="25871" xr:uid="{00000000-0005-0000-0000-0000492E0000}"/>
    <cellStyle name="Normal 10 2 3 3 2 4" xfId="12814" xr:uid="{00000000-0005-0000-0000-00004A2E0000}"/>
    <cellStyle name="Normal 10 2 3 3 2 4 2" xfId="25872" xr:uid="{00000000-0005-0000-0000-00004B2E0000}"/>
    <cellStyle name="Normal 10 2 3 3 2 5" xfId="22593" xr:uid="{00000000-0005-0000-0000-00004C2E0000}"/>
    <cellStyle name="Normal 10 2 3 3 3" xfId="10301" xr:uid="{00000000-0005-0000-0000-00004D2E0000}"/>
    <cellStyle name="Normal 10 2 3 3 3 2" xfId="12815" xr:uid="{00000000-0005-0000-0000-00004E2E0000}"/>
    <cellStyle name="Normal 10 2 3 3 3 2 2" xfId="25873" xr:uid="{00000000-0005-0000-0000-00004F2E0000}"/>
    <cellStyle name="Normal 10 2 3 3 3 3" xfId="12816" xr:uid="{00000000-0005-0000-0000-0000502E0000}"/>
    <cellStyle name="Normal 10 2 3 3 3 3 2" xfId="25874" xr:uid="{00000000-0005-0000-0000-0000512E0000}"/>
    <cellStyle name="Normal 10 2 3 3 3 4" xfId="23671" xr:uid="{00000000-0005-0000-0000-0000522E0000}"/>
    <cellStyle name="Normal 10 2 3 3 4" xfId="12817" xr:uid="{00000000-0005-0000-0000-0000532E0000}"/>
    <cellStyle name="Normal 10 2 3 3 4 2" xfId="25875" xr:uid="{00000000-0005-0000-0000-0000542E0000}"/>
    <cellStyle name="Normal 10 2 3 3 5" xfId="12818" xr:uid="{00000000-0005-0000-0000-0000552E0000}"/>
    <cellStyle name="Normal 10 2 3 3 5 2" xfId="25876" xr:uid="{00000000-0005-0000-0000-0000562E0000}"/>
    <cellStyle name="Normal 10 2 3 3 6" xfId="21515" xr:uid="{00000000-0005-0000-0000-0000572E0000}"/>
    <cellStyle name="Normal 10 2 3 4" xfId="8391" xr:uid="{00000000-0005-0000-0000-0000582E0000}"/>
    <cellStyle name="Normal 10 2 3 4 2" xfId="10839" xr:uid="{00000000-0005-0000-0000-0000592E0000}"/>
    <cellStyle name="Normal 10 2 3 4 2 2" xfId="12819" xr:uid="{00000000-0005-0000-0000-00005A2E0000}"/>
    <cellStyle name="Normal 10 2 3 4 2 2 2" xfId="25877" xr:uid="{00000000-0005-0000-0000-00005B2E0000}"/>
    <cellStyle name="Normal 10 2 3 4 2 3" xfId="12820" xr:uid="{00000000-0005-0000-0000-00005C2E0000}"/>
    <cellStyle name="Normal 10 2 3 4 2 3 2" xfId="25878" xr:uid="{00000000-0005-0000-0000-00005D2E0000}"/>
    <cellStyle name="Normal 10 2 3 4 2 4" xfId="24209" xr:uid="{00000000-0005-0000-0000-00005E2E0000}"/>
    <cellStyle name="Normal 10 2 3 4 3" xfId="12821" xr:uid="{00000000-0005-0000-0000-00005F2E0000}"/>
    <cellStyle name="Normal 10 2 3 4 3 2" xfId="25879" xr:uid="{00000000-0005-0000-0000-0000602E0000}"/>
    <cellStyle name="Normal 10 2 3 4 4" xfId="12822" xr:uid="{00000000-0005-0000-0000-0000612E0000}"/>
    <cellStyle name="Normal 10 2 3 4 4 2" xfId="25880" xr:uid="{00000000-0005-0000-0000-0000622E0000}"/>
    <cellStyle name="Normal 10 2 3 4 5" xfId="22053" xr:uid="{00000000-0005-0000-0000-0000632E0000}"/>
    <cellStyle name="Normal 10 2 3 5" xfId="9761" xr:uid="{00000000-0005-0000-0000-0000642E0000}"/>
    <cellStyle name="Normal 10 2 3 5 2" xfId="12823" xr:uid="{00000000-0005-0000-0000-0000652E0000}"/>
    <cellStyle name="Normal 10 2 3 5 2 2" xfId="25881" xr:uid="{00000000-0005-0000-0000-0000662E0000}"/>
    <cellStyle name="Normal 10 2 3 5 3" xfId="12824" xr:uid="{00000000-0005-0000-0000-0000672E0000}"/>
    <cellStyle name="Normal 10 2 3 5 3 2" xfId="25882" xr:uid="{00000000-0005-0000-0000-0000682E0000}"/>
    <cellStyle name="Normal 10 2 3 5 4" xfId="23131" xr:uid="{00000000-0005-0000-0000-0000692E0000}"/>
    <cellStyle name="Normal 10 2 3 6" xfId="12825" xr:uid="{00000000-0005-0000-0000-00006A2E0000}"/>
    <cellStyle name="Normal 10 2 3 6 2" xfId="25883" xr:uid="{00000000-0005-0000-0000-00006B2E0000}"/>
    <cellStyle name="Normal 10 2 3 7" xfId="12826" xr:uid="{00000000-0005-0000-0000-00006C2E0000}"/>
    <cellStyle name="Normal 10 2 3 7 2" xfId="25884" xr:uid="{00000000-0005-0000-0000-00006D2E0000}"/>
    <cellStyle name="Normal 10 2 3 8" xfId="20975" xr:uid="{00000000-0005-0000-0000-00006E2E0000}"/>
    <cellStyle name="Normal 10 2 4" xfId="6552" xr:uid="{00000000-0005-0000-0000-00006F2E0000}"/>
    <cellStyle name="Normal 10 2 4 2" xfId="7253" xr:uid="{00000000-0005-0000-0000-0000702E0000}"/>
    <cellStyle name="Normal 10 2 4 2 2" xfId="9132" xr:uid="{00000000-0005-0000-0000-0000712E0000}"/>
    <cellStyle name="Normal 10 2 4 2 2 2" xfId="11511" xr:uid="{00000000-0005-0000-0000-0000722E0000}"/>
    <cellStyle name="Normal 10 2 4 2 2 2 2" xfId="12827" xr:uid="{00000000-0005-0000-0000-0000732E0000}"/>
    <cellStyle name="Normal 10 2 4 2 2 2 2 2" xfId="25885" xr:uid="{00000000-0005-0000-0000-0000742E0000}"/>
    <cellStyle name="Normal 10 2 4 2 2 2 3" xfId="12828" xr:uid="{00000000-0005-0000-0000-0000752E0000}"/>
    <cellStyle name="Normal 10 2 4 2 2 2 3 2" xfId="25886" xr:uid="{00000000-0005-0000-0000-0000762E0000}"/>
    <cellStyle name="Normal 10 2 4 2 2 2 4" xfId="24881" xr:uid="{00000000-0005-0000-0000-0000772E0000}"/>
    <cellStyle name="Normal 10 2 4 2 2 3" xfId="12829" xr:uid="{00000000-0005-0000-0000-0000782E0000}"/>
    <cellStyle name="Normal 10 2 4 2 2 3 2" xfId="25887" xr:uid="{00000000-0005-0000-0000-0000792E0000}"/>
    <cellStyle name="Normal 10 2 4 2 2 4" xfId="12830" xr:uid="{00000000-0005-0000-0000-00007A2E0000}"/>
    <cellStyle name="Normal 10 2 4 2 2 4 2" xfId="25888" xr:uid="{00000000-0005-0000-0000-00007B2E0000}"/>
    <cellStyle name="Normal 10 2 4 2 2 5" xfId="22725" xr:uid="{00000000-0005-0000-0000-00007C2E0000}"/>
    <cellStyle name="Normal 10 2 4 2 3" xfId="10433" xr:uid="{00000000-0005-0000-0000-00007D2E0000}"/>
    <cellStyle name="Normal 10 2 4 2 3 2" xfId="12831" xr:uid="{00000000-0005-0000-0000-00007E2E0000}"/>
    <cellStyle name="Normal 10 2 4 2 3 2 2" xfId="25889" xr:uid="{00000000-0005-0000-0000-00007F2E0000}"/>
    <cellStyle name="Normal 10 2 4 2 3 3" xfId="12832" xr:uid="{00000000-0005-0000-0000-0000802E0000}"/>
    <cellStyle name="Normal 10 2 4 2 3 3 2" xfId="25890" xr:uid="{00000000-0005-0000-0000-0000812E0000}"/>
    <cellStyle name="Normal 10 2 4 2 3 4" xfId="23803" xr:uid="{00000000-0005-0000-0000-0000822E0000}"/>
    <cellStyle name="Normal 10 2 4 2 4" xfId="12833" xr:uid="{00000000-0005-0000-0000-0000832E0000}"/>
    <cellStyle name="Normal 10 2 4 2 4 2" xfId="25891" xr:uid="{00000000-0005-0000-0000-0000842E0000}"/>
    <cellStyle name="Normal 10 2 4 2 5" xfId="12834" xr:uid="{00000000-0005-0000-0000-0000852E0000}"/>
    <cellStyle name="Normal 10 2 4 2 5 2" xfId="25892" xr:uid="{00000000-0005-0000-0000-0000862E0000}"/>
    <cellStyle name="Normal 10 2 4 2 6" xfId="21647" xr:uid="{00000000-0005-0000-0000-0000872E0000}"/>
    <cellStyle name="Normal 10 2 4 3" xfId="8585" xr:uid="{00000000-0005-0000-0000-0000882E0000}"/>
    <cellStyle name="Normal 10 2 4 3 2" xfId="10971" xr:uid="{00000000-0005-0000-0000-0000892E0000}"/>
    <cellStyle name="Normal 10 2 4 3 2 2" xfId="12835" xr:uid="{00000000-0005-0000-0000-00008A2E0000}"/>
    <cellStyle name="Normal 10 2 4 3 2 2 2" xfId="25893" xr:uid="{00000000-0005-0000-0000-00008B2E0000}"/>
    <cellStyle name="Normal 10 2 4 3 2 3" xfId="12836" xr:uid="{00000000-0005-0000-0000-00008C2E0000}"/>
    <cellStyle name="Normal 10 2 4 3 2 3 2" xfId="25894" xr:uid="{00000000-0005-0000-0000-00008D2E0000}"/>
    <cellStyle name="Normal 10 2 4 3 2 4" xfId="24341" xr:uid="{00000000-0005-0000-0000-00008E2E0000}"/>
    <cellStyle name="Normal 10 2 4 3 3" xfId="12837" xr:uid="{00000000-0005-0000-0000-00008F2E0000}"/>
    <cellStyle name="Normal 10 2 4 3 3 2" xfId="25895" xr:uid="{00000000-0005-0000-0000-0000902E0000}"/>
    <cellStyle name="Normal 10 2 4 3 4" xfId="12838" xr:uid="{00000000-0005-0000-0000-0000912E0000}"/>
    <cellStyle name="Normal 10 2 4 3 4 2" xfId="25896" xr:uid="{00000000-0005-0000-0000-0000922E0000}"/>
    <cellStyle name="Normal 10 2 4 3 5" xfId="22185" xr:uid="{00000000-0005-0000-0000-0000932E0000}"/>
    <cellStyle name="Normal 10 2 4 4" xfId="9893" xr:uid="{00000000-0005-0000-0000-0000942E0000}"/>
    <cellStyle name="Normal 10 2 4 4 2" xfId="12839" xr:uid="{00000000-0005-0000-0000-0000952E0000}"/>
    <cellStyle name="Normal 10 2 4 4 2 2" xfId="25897" xr:uid="{00000000-0005-0000-0000-0000962E0000}"/>
    <cellStyle name="Normal 10 2 4 4 3" xfId="12840" xr:uid="{00000000-0005-0000-0000-0000972E0000}"/>
    <cellStyle name="Normal 10 2 4 4 3 2" xfId="25898" xr:uid="{00000000-0005-0000-0000-0000982E0000}"/>
    <cellStyle name="Normal 10 2 4 4 4" xfId="23263" xr:uid="{00000000-0005-0000-0000-0000992E0000}"/>
    <cellStyle name="Normal 10 2 4 5" xfId="12841" xr:uid="{00000000-0005-0000-0000-00009A2E0000}"/>
    <cellStyle name="Normal 10 2 4 5 2" xfId="25899" xr:uid="{00000000-0005-0000-0000-00009B2E0000}"/>
    <cellStyle name="Normal 10 2 4 6" xfId="12842" xr:uid="{00000000-0005-0000-0000-00009C2E0000}"/>
    <cellStyle name="Normal 10 2 4 6 2" xfId="25900" xr:uid="{00000000-0005-0000-0000-00009D2E0000}"/>
    <cellStyle name="Normal 10 2 4 7" xfId="21107" xr:uid="{00000000-0005-0000-0000-00009E2E0000}"/>
    <cellStyle name="Normal 10 2 5" xfId="6983" xr:uid="{00000000-0005-0000-0000-00009F2E0000}"/>
    <cellStyle name="Normal 10 2 5 2" xfId="8863" xr:uid="{00000000-0005-0000-0000-0000A02E0000}"/>
    <cellStyle name="Normal 10 2 5 2 2" xfId="11242" xr:uid="{00000000-0005-0000-0000-0000A12E0000}"/>
    <cellStyle name="Normal 10 2 5 2 2 2" xfId="12843" xr:uid="{00000000-0005-0000-0000-0000A22E0000}"/>
    <cellStyle name="Normal 10 2 5 2 2 2 2" xfId="25901" xr:uid="{00000000-0005-0000-0000-0000A32E0000}"/>
    <cellStyle name="Normal 10 2 5 2 2 3" xfId="12844" xr:uid="{00000000-0005-0000-0000-0000A42E0000}"/>
    <cellStyle name="Normal 10 2 5 2 2 3 2" xfId="25902" xr:uid="{00000000-0005-0000-0000-0000A52E0000}"/>
    <cellStyle name="Normal 10 2 5 2 2 4" xfId="24612" xr:uid="{00000000-0005-0000-0000-0000A62E0000}"/>
    <cellStyle name="Normal 10 2 5 2 3" xfId="12845" xr:uid="{00000000-0005-0000-0000-0000A72E0000}"/>
    <cellStyle name="Normal 10 2 5 2 3 2" xfId="25903" xr:uid="{00000000-0005-0000-0000-0000A82E0000}"/>
    <cellStyle name="Normal 10 2 5 2 4" xfId="12846" xr:uid="{00000000-0005-0000-0000-0000A92E0000}"/>
    <cellStyle name="Normal 10 2 5 2 4 2" xfId="25904" xr:uid="{00000000-0005-0000-0000-0000AA2E0000}"/>
    <cellStyle name="Normal 10 2 5 2 5" xfId="22456" xr:uid="{00000000-0005-0000-0000-0000AB2E0000}"/>
    <cellStyle name="Normal 10 2 5 3" xfId="10164" xr:uid="{00000000-0005-0000-0000-0000AC2E0000}"/>
    <cellStyle name="Normal 10 2 5 3 2" xfId="12847" xr:uid="{00000000-0005-0000-0000-0000AD2E0000}"/>
    <cellStyle name="Normal 10 2 5 3 2 2" xfId="25905" xr:uid="{00000000-0005-0000-0000-0000AE2E0000}"/>
    <cellStyle name="Normal 10 2 5 3 3" xfId="12848" xr:uid="{00000000-0005-0000-0000-0000AF2E0000}"/>
    <cellStyle name="Normal 10 2 5 3 3 2" xfId="25906" xr:uid="{00000000-0005-0000-0000-0000B02E0000}"/>
    <cellStyle name="Normal 10 2 5 3 4" xfId="23534" xr:uid="{00000000-0005-0000-0000-0000B12E0000}"/>
    <cellStyle name="Normal 10 2 5 4" xfId="12849" xr:uid="{00000000-0005-0000-0000-0000B22E0000}"/>
    <cellStyle name="Normal 10 2 5 4 2" xfId="25907" xr:uid="{00000000-0005-0000-0000-0000B32E0000}"/>
    <cellStyle name="Normal 10 2 5 5" xfId="12850" xr:uid="{00000000-0005-0000-0000-0000B42E0000}"/>
    <cellStyle name="Normal 10 2 5 5 2" xfId="25908" xr:uid="{00000000-0005-0000-0000-0000B52E0000}"/>
    <cellStyle name="Normal 10 2 5 6" xfId="21378" xr:uid="{00000000-0005-0000-0000-0000B62E0000}"/>
    <cellStyle name="Normal 10 2 6" xfId="8160" xr:uid="{00000000-0005-0000-0000-0000B72E0000}"/>
    <cellStyle name="Normal 10 2 6 2" xfId="10702" xr:uid="{00000000-0005-0000-0000-0000B82E0000}"/>
    <cellStyle name="Normal 10 2 6 2 2" xfId="12851" xr:uid="{00000000-0005-0000-0000-0000B92E0000}"/>
    <cellStyle name="Normal 10 2 6 2 2 2" xfId="25909" xr:uid="{00000000-0005-0000-0000-0000BA2E0000}"/>
    <cellStyle name="Normal 10 2 6 2 3" xfId="12852" xr:uid="{00000000-0005-0000-0000-0000BB2E0000}"/>
    <cellStyle name="Normal 10 2 6 2 3 2" xfId="25910" xr:uid="{00000000-0005-0000-0000-0000BC2E0000}"/>
    <cellStyle name="Normal 10 2 6 2 4" xfId="24072" xr:uid="{00000000-0005-0000-0000-0000BD2E0000}"/>
    <cellStyle name="Normal 10 2 6 3" xfId="12853" xr:uid="{00000000-0005-0000-0000-0000BE2E0000}"/>
    <cellStyle name="Normal 10 2 6 3 2" xfId="25911" xr:uid="{00000000-0005-0000-0000-0000BF2E0000}"/>
    <cellStyle name="Normal 10 2 6 4" xfId="12854" xr:uid="{00000000-0005-0000-0000-0000C02E0000}"/>
    <cellStyle name="Normal 10 2 6 4 2" xfId="25912" xr:uid="{00000000-0005-0000-0000-0000C12E0000}"/>
    <cellStyle name="Normal 10 2 6 5" xfId="21916" xr:uid="{00000000-0005-0000-0000-0000C22E0000}"/>
    <cellStyle name="Normal 10 2 7" xfId="9623" xr:uid="{00000000-0005-0000-0000-0000C32E0000}"/>
    <cellStyle name="Normal 10 2 7 2" xfId="12855" xr:uid="{00000000-0005-0000-0000-0000C42E0000}"/>
    <cellStyle name="Normal 10 2 7 2 2" xfId="25913" xr:uid="{00000000-0005-0000-0000-0000C52E0000}"/>
    <cellStyle name="Normal 10 2 7 3" xfId="12856" xr:uid="{00000000-0005-0000-0000-0000C62E0000}"/>
    <cellStyle name="Normal 10 2 7 3 2" xfId="25914" xr:uid="{00000000-0005-0000-0000-0000C72E0000}"/>
    <cellStyle name="Normal 10 2 7 4" xfId="22994" xr:uid="{00000000-0005-0000-0000-0000C82E0000}"/>
    <cellStyle name="Normal 10 2 8" xfId="12857" xr:uid="{00000000-0005-0000-0000-0000C92E0000}"/>
    <cellStyle name="Normal 10 2 8 2" xfId="25915" xr:uid="{00000000-0005-0000-0000-0000CA2E0000}"/>
    <cellStyle name="Normal 10 2 9" xfId="12858" xr:uid="{00000000-0005-0000-0000-0000CB2E0000}"/>
    <cellStyle name="Normal 10 2 9 2" xfId="25916" xr:uid="{00000000-0005-0000-0000-0000CC2E0000}"/>
    <cellStyle name="Normal 10 3" xfId="3878" xr:uid="{00000000-0005-0000-0000-0000CD2E0000}"/>
    <cellStyle name="Normal 10 3 10" xfId="20853" xr:uid="{00000000-0005-0000-0000-0000CE2E0000}"/>
    <cellStyle name="Normal 10 3 2" xfId="4091" xr:uid="{00000000-0005-0000-0000-0000CF2E0000}"/>
    <cellStyle name="Normal 10 3 2 2" xfId="5627" xr:uid="{00000000-0005-0000-0000-0000D02E0000}"/>
    <cellStyle name="Normal 10 3 2 2 2" xfId="6779" xr:uid="{00000000-0005-0000-0000-0000D12E0000}"/>
    <cellStyle name="Normal 10 3 2 2 2 2" xfId="7466" xr:uid="{00000000-0005-0000-0000-0000D22E0000}"/>
    <cellStyle name="Normal 10 3 2 2 2 2 2" xfId="9345" xr:uid="{00000000-0005-0000-0000-0000D32E0000}"/>
    <cellStyle name="Normal 10 3 2 2 2 2 2 2" xfId="11724" xr:uid="{00000000-0005-0000-0000-0000D42E0000}"/>
    <cellStyle name="Normal 10 3 2 2 2 2 2 2 2" xfId="12859" xr:uid="{00000000-0005-0000-0000-0000D52E0000}"/>
    <cellStyle name="Normal 10 3 2 2 2 2 2 2 2 2" xfId="25917" xr:uid="{00000000-0005-0000-0000-0000D62E0000}"/>
    <cellStyle name="Normal 10 3 2 2 2 2 2 2 3" xfId="12860" xr:uid="{00000000-0005-0000-0000-0000D72E0000}"/>
    <cellStyle name="Normal 10 3 2 2 2 2 2 2 3 2" xfId="25918" xr:uid="{00000000-0005-0000-0000-0000D82E0000}"/>
    <cellStyle name="Normal 10 3 2 2 2 2 2 2 4" xfId="25094" xr:uid="{00000000-0005-0000-0000-0000D92E0000}"/>
    <cellStyle name="Normal 10 3 2 2 2 2 2 3" xfId="12861" xr:uid="{00000000-0005-0000-0000-0000DA2E0000}"/>
    <cellStyle name="Normal 10 3 2 2 2 2 2 3 2" xfId="25919" xr:uid="{00000000-0005-0000-0000-0000DB2E0000}"/>
    <cellStyle name="Normal 10 3 2 2 2 2 2 4" xfId="12862" xr:uid="{00000000-0005-0000-0000-0000DC2E0000}"/>
    <cellStyle name="Normal 10 3 2 2 2 2 2 4 2" xfId="25920" xr:uid="{00000000-0005-0000-0000-0000DD2E0000}"/>
    <cellStyle name="Normal 10 3 2 2 2 2 2 5" xfId="22938" xr:uid="{00000000-0005-0000-0000-0000DE2E0000}"/>
    <cellStyle name="Normal 10 3 2 2 2 2 3" xfId="10646" xr:uid="{00000000-0005-0000-0000-0000DF2E0000}"/>
    <cellStyle name="Normal 10 3 2 2 2 2 3 2" xfId="12863" xr:uid="{00000000-0005-0000-0000-0000E02E0000}"/>
    <cellStyle name="Normal 10 3 2 2 2 2 3 2 2" xfId="25921" xr:uid="{00000000-0005-0000-0000-0000E12E0000}"/>
    <cellStyle name="Normal 10 3 2 2 2 2 3 3" xfId="12864" xr:uid="{00000000-0005-0000-0000-0000E22E0000}"/>
    <cellStyle name="Normal 10 3 2 2 2 2 3 3 2" xfId="25922" xr:uid="{00000000-0005-0000-0000-0000E32E0000}"/>
    <cellStyle name="Normal 10 3 2 2 2 2 3 4" xfId="24016" xr:uid="{00000000-0005-0000-0000-0000E42E0000}"/>
    <cellStyle name="Normal 10 3 2 2 2 2 4" xfId="12865" xr:uid="{00000000-0005-0000-0000-0000E52E0000}"/>
    <cellStyle name="Normal 10 3 2 2 2 2 4 2" xfId="25923" xr:uid="{00000000-0005-0000-0000-0000E62E0000}"/>
    <cellStyle name="Normal 10 3 2 2 2 2 5" xfId="12866" xr:uid="{00000000-0005-0000-0000-0000E72E0000}"/>
    <cellStyle name="Normal 10 3 2 2 2 2 5 2" xfId="25924" xr:uid="{00000000-0005-0000-0000-0000E82E0000}"/>
    <cellStyle name="Normal 10 3 2 2 2 2 6" xfId="21860" xr:uid="{00000000-0005-0000-0000-0000E92E0000}"/>
    <cellStyle name="Normal 10 3 2 2 2 3" xfId="8799" xr:uid="{00000000-0005-0000-0000-0000EA2E0000}"/>
    <cellStyle name="Normal 10 3 2 2 2 3 2" xfId="11184" xr:uid="{00000000-0005-0000-0000-0000EB2E0000}"/>
    <cellStyle name="Normal 10 3 2 2 2 3 2 2" xfId="12867" xr:uid="{00000000-0005-0000-0000-0000EC2E0000}"/>
    <cellStyle name="Normal 10 3 2 2 2 3 2 2 2" xfId="25925" xr:uid="{00000000-0005-0000-0000-0000ED2E0000}"/>
    <cellStyle name="Normal 10 3 2 2 2 3 2 3" xfId="12868" xr:uid="{00000000-0005-0000-0000-0000EE2E0000}"/>
    <cellStyle name="Normal 10 3 2 2 2 3 2 3 2" xfId="25926" xr:uid="{00000000-0005-0000-0000-0000EF2E0000}"/>
    <cellStyle name="Normal 10 3 2 2 2 3 2 4" xfId="24554" xr:uid="{00000000-0005-0000-0000-0000F02E0000}"/>
    <cellStyle name="Normal 10 3 2 2 2 3 3" xfId="12869" xr:uid="{00000000-0005-0000-0000-0000F12E0000}"/>
    <cellStyle name="Normal 10 3 2 2 2 3 3 2" xfId="25927" xr:uid="{00000000-0005-0000-0000-0000F22E0000}"/>
    <cellStyle name="Normal 10 3 2 2 2 3 4" xfId="12870" xr:uid="{00000000-0005-0000-0000-0000F32E0000}"/>
    <cellStyle name="Normal 10 3 2 2 2 3 4 2" xfId="25928" xr:uid="{00000000-0005-0000-0000-0000F42E0000}"/>
    <cellStyle name="Normal 10 3 2 2 2 3 5" xfId="22398" xr:uid="{00000000-0005-0000-0000-0000F52E0000}"/>
    <cellStyle name="Normal 10 3 2 2 2 4" xfId="10106" xr:uid="{00000000-0005-0000-0000-0000F62E0000}"/>
    <cellStyle name="Normal 10 3 2 2 2 4 2" xfId="12871" xr:uid="{00000000-0005-0000-0000-0000F72E0000}"/>
    <cellStyle name="Normal 10 3 2 2 2 4 2 2" xfId="25929" xr:uid="{00000000-0005-0000-0000-0000F82E0000}"/>
    <cellStyle name="Normal 10 3 2 2 2 4 3" xfId="12872" xr:uid="{00000000-0005-0000-0000-0000F92E0000}"/>
    <cellStyle name="Normal 10 3 2 2 2 4 3 2" xfId="25930" xr:uid="{00000000-0005-0000-0000-0000FA2E0000}"/>
    <cellStyle name="Normal 10 3 2 2 2 4 4" xfId="23476" xr:uid="{00000000-0005-0000-0000-0000FB2E0000}"/>
    <cellStyle name="Normal 10 3 2 2 2 5" xfId="12873" xr:uid="{00000000-0005-0000-0000-0000FC2E0000}"/>
    <cellStyle name="Normal 10 3 2 2 2 5 2" xfId="25931" xr:uid="{00000000-0005-0000-0000-0000FD2E0000}"/>
    <cellStyle name="Normal 10 3 2 2 2 6" xfId="12874" xr:uid="{00000000-0005-0000-0000-0000FE2E0000}"/>
    <cellStyle name="Normal 10 3 2 2 2 6 2" xfId="25932" xr:uid="{00000000-0005-0000-0000-0000FF2E0000}"/>
    <cellStyle name="Normal 10 3 2 2 2 7" xfId="21320" xr:uid="{00000000-0005-0000-0000-0000002F0000}"/>
    <cellStyle name="Normal 10 3 2 2 3" xfId="7197" xr:uid="{00000000-0005-0000-0000-0000012F0000}"/>
    <cellStyle name="Normal 10 3 2 2 3 2" xfId="9076" xr:uid="{00000000-0005-0000-0000-0000022F0000}"/>
    <cellStyle name="Normal 10 3 2 2 3 2 2" xfId="11455" xr:uid="{00000000-0005-0000-0000-0000032F0000}"/>
    <cellStyle name="Normal 10 3 2 2 3 2 2 2" xfId="12875" xr:uid="{00000000-0005-0000-0000-0000042F0000}"/>
    <cellStyle name="Normal 10 3 2 2 3 2 2 2 2" xfId="25933" xr:uid="{00000000-0005-0000-0000-0000052F0000}"/>
    <cellStyle name="Normal 10 3 2 2 3 2 2 3" xfId="12876" xr:uid="{00000000-0005-0000-0000-0000062F0000}"/>
    <cellStyle name="Normal 10 3 2 2 3 2 2 3 2" xfId="25934" xr:uid="{00000000-0005-0000-0000-0000072F0000}"/>
    <cellStyle name="Normal 10 3 2 2 3 2 2 4" xfId="24825" xr:uid="{00000000-0005-0000-0000-0000082F0000}"/>
    <cellStyle name="Normal 10 3 2 2 3 2 3" xfId="12877" xr:uid="{00000000-0005-0000-0000-0000092F0000}"/>
    <cellStyle name="Normal 10 3 2 2 3 2 3 2" xfId="25935" xr:uid="{00000000-0005-0000-0000-00000A2F0000}"/>
    <cellStyle name="Normal 10 3 2 2 3 2 4" xfId="12878" xr:uid="{00000000-0005-0000-0000-00000B2F0000}"/>
    <cellStyle name="Normal 10 3 2 2 3 2 4 2" xfId="25936" xr:uid="{00000000-0005-0000-0000-00000C2F0000}"/>
    <cellStyle name="Normal 10 3 2 2 3 2 5" xfId="22669" xr:uid="{00000000-0005-0000-0000-00000D2F0000}"/>
    <cellStyle name="Normal 10 3 2 2 3 3" xfId="10377" xr:uid="{00000000-0005-0000-0000-00000E2F0000}"/>
    <cellStyle name="Normal 10 3 2 2 3 3 2" xfId="12879" xr:uid="{00000000-0005-0000-0000-00000F2F0000}"/>
    <cellStyle name="Normal 10 3 2 2 3 3 2 2" xfId="25937" xr:uid="{00000000-0005-0000-0000-0000102F0000}"/>
    <cellStyle name="Normal 10 3 2 2 3 3 3" xfId="12880" xr:uid="{00000000-0005-0000-0000-0000112F0000}"/>
    <cellStyle name="Normal 10 3 2 2 3 3 3 2" xfId="25938" xr:uid="{00000000-0005-0000-0000-0000122F0000}"/>
    <cellStyle name="Normal 10 3 2 2 3 3 4" xfId="23747" xr:uid="{00000000-0005-0000-0000-0000132F0000}"/>
    <cellStyle name="Normal 10 3 2 2 3 4" xfId="12881" xr:uid="{00000000-0005-0000-0000-0000142F0000}"/>
    <cellStyle name="Normal 10 3 2 2 3 4 2" xfId="25939" xr:uid="{00000000-0005-0000-0000-0000152F0000}"/>
    <cellStyle name="Normal 10 3 2 2 3 5" xfId="12882" xr:uid="{00000000-0005-0000-0000-0000162F0000}"/>
    <cellStyle name="Normal 10 3 2 2 3 5 2" xfId="25940" xr:uid="{00000000-0005-0000-0000-0000172F0000}"/>
    <cellStyle name="Normal 10 3 2 2 3 6" xfId="21591" xr:uid="{00000000-0005-0000-0000-0000182F0000}"/>
    <cellStyle name="Normal 10 3 2 2 4" xfId="8474" xr:uid="{00000000-0005-0000-0000-0000192F0000}"/>
    <cellStyle name="Normal 10 3 2 2 4 2" xfId="10915" xr:uid="{00000000-0005-0000-0000-00001A2F0000}"/>
    <cellStyle name="Normal 10 3 2 2 4 2 2" xfId="12883" xr:uid="{00000000-0005-0000-0000-00001B2F0000}"/>
    <cellStyle name="Normal 10 3 2 2 4 2 2 2" xfId="25941" xr:uid="{00000000-0005-0000-0000-00001C2F0000}"/>
    <cellStyle name="Normal 10 3 2 2 4 2 3" xfId="12884" xr:uid="{00000000-0005-0000-0000-00001D2F0000}"/>
    <cellStyle name="Normal 10 3 2 2 4 2 3 2" xfId="25942" xr:uid="{00000000-0005-0000-0000-00001E2F0000}"/>
    <cellStyle name="Normal 10 3 2 2 4 2 4" xfId="24285" xr:uid="{00000000-0005-0000-0000-00001F2F0000}"/>
    <cellStyle name="Normal 10 3 2 2 4 3" xfId="12885" xr:uid="{00000000-0005-0000-0000-0000202F0000}"/>
    <cellStyle name="Normal 10 3 2 2 4 3 2" xfId="25943" xr:uid="{00000000-0005-0000-0000-0000212F0000}"/>
    <cellStyle name="Normal 10 3 2 2 4 4" xfId="12886" xr:uid="{00000000-0005-0000-0000-0000222F0000}"/>
    <cellStyle name="Normal 10 3 2 2 4 4 2" xfId="25944" xr:uid="{00000000-0005-0000-0000-0000232F0000}"/>
    <cellStyle name="Normal 10 3 2 2 4 5" xfId="22129" xr:uid="{00000000-0005-0000-0000-0000242F0000}"/>
    <cellStyle name="Normal 10 3 2 2 5" xfId="9837" xr:uid="{00000000-0005-0000-0000-0000252F0000}"/>
    <cellStyle name="Normal 10 3 2 2 5 2" xfId="12887" xr:uid="{00000000-0005-0000-0000-0000262F0000}"/>
    <cellStyle name="Normal 10 3 2 2 5 2 2" xfId="25945" xr:uid="{00000000-0005-0000-0000-0000272F0000}"/>
    <cellStyle name="Normal 10 3 2 2 5 3" xfId="12888" xr:uid="{00000000-0005-0000-0000-0000282F0000}"/>
    <cellStyle name="Normal 10 3 2 2 5 3 2" xfId="25946" xr:uid="{00000000-0005-0000-0000-0000292F0000}"/>
    <cellStyle name="Normal 10 3 2 2 5 4" xfId="23207" xr:uid="{00000000-0005-0000-0000-00002A2F0000}"/>
    <cellStyle name="Normal 10 3 2 2 6" xfId="12889" xr:uid="{00000000-0005-0000-0000-00002B2F0000}"/>
    <cellStyle name="Normal 10 3 2 2 6 2" xfId="25947" xr:uid="{00000000-0005-0000-0000-00002C2F0000}"/>
    <cellStyle name="Normal 10 3 2 2 7" xfId="12890" xr:uid="{00000000-0005-0000-0000-00002D2F0000}"/>
    <cellStyle name="Normal 10 3 2 2 7 2" xfId="25948" xr:uid="{00000000-0005-0000-0000-00002E2F0000}"/>
    <cellStyle name="Normal 10 3 2 2 8" xfId="21051" xr:uid="{00000000-0005-0000-0000-00002F2F0000}"/>
    <cellStyle name="Normal 10 3 2 3" xfId="6628" xr:uid="{00000000-0005-0000-0000-0000302F0000}"/>
    <cellStyle name="Normal 10 3 2 3 2" xfId="7324" xr:uid="{00000000-0005-0000-0000-0000312F0000}"/>
    <cellStyle name="Normal 10 3 2 3 2 2" xfId="9203" xr:uid="{00000000-0005-0000-0000-0000322F0000}"/>
    <cellStyle name="Normal 10 3 2 3 2 2 2" xfId="11582" xr:uid="{00000000-0005-0000-0000-0000332F0000}"/>
    <cellStyle name="Normal 10 3 2 3 2 2 2 2" xfId="12891" xr:uid="{00000000-0005-0000-0000-0000342F0000}"/>
    <cellStyle name="Normal 10 3 2 3 2 2 2 2 2" xfId="25949" xr:uid="{00000000-0005-0000-0000-0000352F0000}"/>
    <cellStyle name="Normal 10 3 2 3 2 2 2 3" xfId="12892" xr:uid="{00000000-0005-0000-0000-0000362F0000}"/>
    <cellStyle name="Normal 10 3 2 3 2 2 2 3 2" xfId="25950" xr:uid="{00000000-0005-0000-0000-0000372F0000}"/>
    <cellStyle name="Normal 10 3 2 3 2 2 2 4" xfId="24952" xr:uid="{00000000-0005-0000-0000-0000382F0000}"/>
    <cellStyle name="Normal 10 3 2 3 2 2 3" xfId="12893" xr:uid="{00000000-0005-0000-0000-0000392F0000}"/>
    <cellStyle name="Normal 10 3 2 3 2 2 3 2" xfId="25951" xr:uid="{00000000-0005-0000-0000-00003A2F0000}"/>
    <cellStyle name="Normal 10 3 2 3 2 2 4" xfId="12894" xr:uid="{00000000-0005-0000-0000-00003B2F0000}"/>
    <cellStyle name="Normal 10 3 2 3 2 2 4 2" xfId="25952" xr:uid="{00000000-0005-0000-0000-00003C2F0000}"/>
    <cellStyle name="Normal 10 3 2 3 2 2 5" xfId="22796" xr:uid="{00000000-0005-0000-0000-00003D2F0000}"/>
    <cellStyle name="Normal 10 3 2 3 2 3" xfId="10504" xr:uid="{00000000-0005-0000-0000-00003E2F0000}"/>
    <cellStyle name="Normal 10 3 2 3 2 3 2" xfId="12895" xr:uid="{00000000-0005-0000-0000-00003F2F0000}"/>
    <cellStyle name="Normal 10 3 2 3 2 3 2 2" xfId="25953" xr:uid="{00000000-0005-0000-0000-0000402F0000}"/>
    <cellStyle name="Normal 10 3 2 3 2 3 3" xfId="12896" xr:uid="{00000000-0005-0000-0000-0000412F0000}"/>
    <cellStyle name="Normal 10 3 2 3 2 3 3 2" xfId="25954" xr:uid="{00000000-0005-0000-0000-0000422F0000}"/>
    <cellStyle name="Normal 10 3 2 3 2 3 4" xfId="23874" xr:uid="{00000000-0005-0000-0000-0000432F0000}"/>
    <cellStyle name="Normal 10 3 2 3 2 4" xfId="12897" xr:uid="{00000000-0005-0000-0000-0000442F0000}"/>
    <cellStyle name="Normal 10 3 2 3 2 4 2" xfId="25955" xr:uid="{00000000-0005-0000-0000-0000452F0000}"/>
    <cellStyle name="Normal 10 3 2 3 2 5" xfId="12898" xr:uid="{00000000-0005-0000-0000-0000462F0000}"/>
    <cellStyle name="Normal 10 3 2 3 2 5 2" xfId="25956" xr:uid="{00000000-0005-0000-0000-0000472F0000}"/>
    <cellStyle name="Normal 10 3 2 3 2 6" xfId="21718" xr:uid="{00000000-0005-0000-0000-0000482F0000}"/>
    <cellStyle name="Normal 10 3 2 3 3" xfId="8656" xr:uid="{00000000-0005-0000-0000-0000492F0000}"/>
    <cellStyle name="Normal 10 3 2 3 3 2" xfId="11042" xr:uid="{00000000-0005-0000-0000-00004A2F0000}"/>
    <cellStyle name="Normal 10 3 2 3 3 2 2" xfId="12899" xr:uid="{00000000-0005-0000-0000-00004B2F0000}"/>
    <cellStyle name="Normal 10 3 2 3 3 2 2 2" xfId="25957" xr:uid="{00000000-0005-0000-0000-00004C2F0000}"/>
    <cellStyle name="Normal 10 3 2 3 3 2 3" xfId="12900" xr:uid="{00000000-0005-0000-0000-00004D2F0000}"/>
    <cellStyle name="Normal 10 3 2 3 3 2 3 2" xfId="25958" xr:uid="{00000000-0005-0000-0000-00004E2F0000}"/>
    <cellStyle name="Normal 10 3 2 3 3 2 4" xfId="24412" xr:uid="{00000000-0005-0000-0000-00004F2F0000}"/>
    <cellStyle name="Normal 10 3 2 3 3 3" xfId="12901" xr:uid="{00000000-0005-0000-0000-0000502F0000}"/>
    <cellStyle name="Normal 10 3 2 3 3 3 2" xfId="25959" xr:uid="{00000000-0005-0000-0000-0000512F0000}"/>
    <cellStyle name="Normal 10 3 2 3 3 4" xfId="12902" xr:uid="{00000000-0005-0000-0000-0000522F0000}"/>
    <cellStyle name="Normal 10 3 2 3 3 4 2" xfId="25960" xr:uid="{00000000-0005-0000-0000-0000532F0000}"/>
    <cellStyle name="Normal 10 3 2 3 3 5" xfId="22256" xr:uid="{00000000-0005-0000-0000-0000542F0000}"/>
    <cellStyle name="Normal 10 3 2 3 4" xfId="9964" xr:uid="{00000000-0005-0000-0000-0000552F0000}"/>
    <cellStyle name="Normal 10 3 2 3 4 2" xfId="12903" xr:uid="{00000000-0005-0000-0000-0000562F0000}"/>
    <cellStyle name="Normal 10 3 2 3 4 2 2" xfId="25961" xr:uid="{00000000-0005-0000-0000-0000572F0000}"/>
    <cellStyle name="Normal 10 3 2 3 4 3" xfId="12904" xr:uid="{00000000-0005-0000-0000-0000582F0000}"/>
    <cellStyle name="Normal 10 3 2 3 4 3 2" xfId="25962" xr:uid="{00000000-0005-0000-0000-0000592F0000}"/>
    <cellStyle name="Normal 10 3 2 3 4 4" xfId="23334" xr:uid="{00000000-0005-0000-0000-00005A2F0000}"/>
    <cellStyle name="Normal 10 3 2 3 5" xfId="12905" xr:uid="{00000000-0005-0000-0000-00005B2F0000}"/>
    <cellStyle name="Normal 10 3 2 3 5 2" xfId="25963" xr:uid="{00000000-0005-0000-0000-00005C2F0000}"/>
    <cellStyle name="Normal 10 3 2 3 6" xfId="12906" xr:uid="{00000000-0005-0000-0000-00005D2F0000}"/>
    <cellStyle name="Normal 10 3 2 3 6 2" xfId="25964" xr:uid="{00000000-0005-0000-0000-00005E2F0000}"/>
    <cellStyle name="Normal 10 3 2 3 7" xfId="21178" xr:uid="{00000000-0005-0000-0000-00005F2F0000}"/>
    <cellStyle name="Normal 10 3 2 4" xfId="7054" xr:uid="{00000000-0005-0000-0000-0000602F0000}"/>
    <cellStyle name="Normal 10 3 2 4 2" xfId="8934" xr:uid="{00000000-0005-0000-0000-0000612F0000}"/>
    <cellStyle name="Normal 10 3 2 4 2 2" xfId="11313" xr:uid="{00000000-0005-0000-0000-0000622F0000}"/>
    <cellStyle name="Normal 10 3 2 4 2 2 2" xfId="12907" xr:uid="{00000000-0005-0000-0000-0000632F0000}"/>
    <cellStyle name="Normal 10 3 2 4 2 2 2 2" xfId="25965" xr:uid="{00000000-0005-0000-0000-0000642F0000}"/>
    <cellStyle name="Normal 10 3 2 4 2 2 3" xfId="12908" xr:uid="{00000000-0005-0000-0000-0000652F0000}"/>
    <cellStyle name="Normal 10 3 2 4 2 2 3 2" xfId="25966" xr:uid="{00000000-0005-0000-0000-0000662F0000}"/>
    <cellStyle name="Normal 10 3 2 4 2 2 4" xfId="24683" xr:uid="{00000000-0005-0000-0000-0000672F0000}"/>
    <cellStyle name="Normal 10 3 2 4 2 3" xfId="12909" xr:uid="{00000000-0005-0000-0000-0000682F0000}"/>
    <cellStyle name="Normal 10 3 2 4 2 3 2" xfId="25967" xr:uid="{00000000-0005-0000-0000-0000692F0000}"/>
    <cellStyle name="Normal 10 3 2 4 2 4" xfId="12910" xr:uid="{00000000-0005-0000-0000-00006A2F0000}"/>
    <cellStyle name="Normal 10 3 2 4 2 4 2" xfId="25968" xr:uid="{00000000-0005-0000-0000-00006B2F0000}"/>
    <cellStyle name="Normal 10 3 2 4 2 5" xfId="22527" xr:uid="{00000000-0005-0000-0000-00006C2F0000}"/>
    <cellStyle name="Normal 10 3 2 4 3" xfId="10235" xr:uid="{00000000-0005-0000-0000-00006D2F0000}"/>
    <cellStyle name="Normal 10 3 2 4 3 2" xfId="12911" xr:uid="{00000000-0005-0000-0000-00006E2F0000}"/>
    <cellStyle name="Normal 10 3 2 4 3 2 2" xfId="25969" xr:uid="{00000000-0005-0000-0000-00006F2F0000}"/>
    <cellStyle name="Normal 10 3 2 4 3 3" xfId="12912" xr:uid="{00000000-0005-0000-0000-0000702F0000}"/>
    <cellStyle name="Normal 10 3 2 4 3 3 2" xfId="25970" xr:uid="{00000000-0005-0000-0000-0000712F0000}"/>
    <cellStyle name="Normal 10 3 2 4 3 4" xfId="23605" xr:uid="{00000000-0005-0000-0000-0000722F0000}"/>
    <cellStyle name="Normal 10 3 2 4 4" xfId="12913" xr:uid="{00000000-0005-0000-0000-0000732F0000}"/>
    <cellStyle name="Normal 10 3 2 4 4 2" xfId="25971" xr:uid="{00000000-0005-0000-0000-0000742F0000}"/>
    <cellStyle name="Normal 10 3 2 4 5" xfId="12914" xr:uid="{00000000-0005-0000-0000-0000752F0000}"/>
    <cellStyle name="Normal 10 3 2 4 5 2" xfId="25972" xr:uid="{00000000-0005-0000-0000-0000762F0000}"/>
    <cellStyle name="Normal 10 3 2 4 6" xfId="21449" xr:uid="{00000000-0005-0000-0000-0000772F0000}"/>
    <cellStyle name="Normal 10 3 2 5" xfId="8258" xr:uid="{00000000-0005-0000-0000-0000782F0000}"/>
    <cellStyle name="Normal 10 3 2 5 2" xfId="10773" xr:uid="{00000000-0005-0000-0000-0000792F0000}"/>
    <cellStyle name="Normal 10 3 2 5 2 2" xfId="12915" xr:uid="{00000000-0005-0000-0000-00007A2F0000}"/>
    <cellStyle name="Normal 10 3 2 5 2 2 2" xfId="25973" xr:uid="{00000000-0005-0000-0000-00007B2F0000}"/>
    <cellStyle name="Normal 10 3 2 5 2 3" xfId="12916" xr:uid="{00000000-0005-0000-0000-00007C2F0000}"/>
    <cellStyle name="Normal 10 3 2 5 2 3 2" xfId="25974" xr:uid="{00000000-0005-0000-0000-00007D2F0000}"/>
    <cellStyle name="Normal 10 3 2 5 2 4" xfId="24143" xr:uid="{00000000-0005-0000-0000-00007E2F0000}"/>
    <cellStyle name="Normal 10 3 2 5 3" xfId="12917" xr:uid="{00000000-0005-0000-0000-00007F2F0000}"/>
    <cellStyle name="Normal 10 3 2 5 3 2" xfId="25975" xr:uid="{00000000-0005-0000-0000-0000802F0000}"/>
    <cellStyle name="Normal 10 3 2 5 4" xfId="12918" xr:uid="{00000000-0005-0000-0000-0000812F0000}"/>
    <cellStyle name="Normal 10 3 2 5 4 2" xfId="25976" xr:uid="{00000000-0005-0000-0000-0000822F0000}"/>
    <cellStyle name="Normal 10 3 2 5 5" xfId="21987" xr:uid="{00000000-0005-0000-0000-0000832F0000}"/>
    <cellStyle name="Normal 10 3 2 6" xfId="9694" xr:uid="{00000000-0005-0000-0000-0000842F0000}"/>
    <cellStyle name="Normal 10 3 2 6 2" xfId="12919" xr:uid="{00000000-0005-0000-0000-0000852F0000}"/>
    <cellStyle name="Normal 10 3 2 6 2 2" xfId="25977" xr:uid="{00000000-0005-0000-0000-0000862F0000}"/>
    <cellStyle name="Normal 10 3 2 6 3" xfId="12920" xr:uid="{00000000-0005-0000-0000-0000872F0000}"/>
    <cellStyle name="Normal 10 3 2 6 3 2" xfId="25978" xr:uid="{00000000-0005-0000-0000-0000882F0000}"/>
    <cellStyle name="Normal 10 3 2 6 4" xfId="23065" xr:uid="{00000000-0005-0000-0000-0000892F0000}"/>
    <cellStyle name="Normal 10 3 2 7" xfId="12921" xr:uid="{00000000-0005-0000-0000-00008A2F0000}"/>
    <cellStyle name="Normal 10 3 2 7 2" xfId="25979" xr:uid="{00000000-0005-0000-0000-00008B2F0000}"/>
    <cellStyle name="Normal 10 3 2 8" xfId="12922" xr:uid="{00000000-0005-0000-0000-00008C2F0000}"/>
    <cellStyle name="Normal 10 3 2 8 2" xfId="25980" xr:uid="{00000000-0005-0000-0000-00008D2F0000}"/>
    <cellStyle name="Normal 10 3 2 9" xfId="20908" xr:uid="{00000000-0005-0000-0000-00008E2F0000}"/>
    <cellStyle name="Normal 10 3 3" xfId="5526" xr:uid="{00000000-0005-0000-0000-00008F2F0000}"/>
    <cellStyle name="Normal 10 3 3 2" xfId="6721" xr:uid="{00000000-0005-0000-0000-0000902F0000}"/>
    <cellStyle name="Normal 10 3 3 2 2" xfId="7408" xr:uid="{00000000-0005-0000-0000-0000912F0000}"/>
    <cellStyle name="Normal 10 3 3 2 2 2" xfId="9287" xr:uid="{00000000-0005-0000-0000-0000922F0000}"/>
    <cellStyle name="Normal 10 3 3 2 2 2 2" xfId="11666" xr:uid="{00000000-0005-0000-0000-0000932F0000}"/>
    <cellStyle name="Normal 10 3 3 2 2 2 2 2" xfId="12923" xr:uid="{00000000-0005-0000-0000-0000942F0000}"/>
    <cellStyle name="Normal 10 3 3 2 2 2 2 2 2" xfId="25981" xr:uid="{00000000-0005-0000-0000-0000952F0000}"/>
    <cellStyle name="Normal 10 3 3 2 2 2 2 3" xfId="12924" xr:uid="{00000000-0005-0000-0000-0000962F0000}"/>
    <cellStyle name="Normal 10 3 3 2 2 2 2 3 2" xfId="25982" xr:uid="{00000000-0005-0000-0000-0000972F0000}"/>
    <cellStyle name="Normal 10 3 3 2 2 2 2 4" xfId="25036" xr:uid="{00000000-0005-0000-0000-0000982F0000}"/>
    <cellStyle name="Normal 10 3 3 2 2 2 3" xfId="12925" xr:uid="{00000000-0005-0000-0000-0000992F0000}"/>
    <cellStyle name="Normal 10 3 3 2 2 2 3 2" xfId="25983" xr:uid="{00000000-0005-0000-0000-00009A2F0000}"/>
    <cellStyle name="Normal 10 3 3 2 2 2 4" xfId="12926" xr:uid="{00000000-0005-0000-0000-00009B2F0000}"/>
    <cellStyle name="Normal 10 3 3 2 2 2 4 2" xfId="25984" xr:uid="{00000000-0005-0000-0000-00009C2F0000}"/>
    <cellStyle name="Normal 10 3 3 2 2 2 5" xfId="22880" xr:uid="{00000000-0005-0000-0000-00009D2F0000}"/>
    <cellStyle name="Normal 10 3 3 2 2 3" xfId="10588" xr:uid="{00000000-0005-0000-0000-00009E2F0000}"/>
    <cellStyle name="Normal 10 3 3 2 2 3 2" xfId="12927" xr:uid="{00000000-0005-0000-0000-00009F2F0000}"/>
    <cellStyle name="Normal 10 3 3 2 2 3 2 2" xfId="25985" xr:uid="{00000000-0005-0000-0000-0000A02F0000}"/>
    <cellStyle name="Normal 10 3 3 2 2 3 3" xfId="12928" xr:uid="{00000000-0005-0000-0000-0000A12F0000}"/>
    <cellStyle name="Normal 10 3 3 2 2 3 3 2" xfId="25986" xr:uid="{00000000-0005-0000-0000-0000A22F0000}"/>
    <cellStyle name="Normal 10 3 3 2 2 3 4" xfId="23958" xr:uid="{00000000-0005-0000-0000-0000A32F0000}"/>
    <cellStyle name="Normal 10 3 3 2 2 4" xfId="12929" xr:uid="{00000000-0005-0000-0000-0000A42F0000}"/>
    <cellStyle name="Normal 10 3 3 2 2 4 2" xfId="25987" xr:uid="{00000000-0005-0000-0000-0000A52F0000}"/>
    <cellStyle name="Normal 10 3 3 2 2 5" xfId="12930" xr:uid="{00000000-0005-0000-0000-0000A62F0000}"/>
    <cellStyle name="Normal 10 3 3 2 2 5 2" xfId="25988" xr:uid="{00000000-0005-0000-0000-0000A72F0000}"/>
    <cellStyle name="Normal 10 3 3 2 2 6" xfId="21802" xr:uid="{00000000-0005-0000-0000-0000A82F0000}"/>
    <cellStyle name="Normal 10 3 3 2 3" xfId="8741" xr:uid="{00000000-0005-0000-0000-0000A92F0000}"/>
    <cellStyle name="Normal 10 3 3 2 3 2" xfId="11126" xr:uid="{00000000-0005-0000-0000-0000AA2F0000}"/>
    <cellStyle name="Normal 10 3 3 2 3 2 2" xfId="12931" xr:uid="{00000000-0005-0000-0000-0000AB2F0000}"/>
    <cellStyle name="Normal 10 3 3 2 3 2 2 2" xfId="25989" xr:uid="{00000000-0005-0000-0000-0000AC2F0000}"/>
    <cellStyle name="Normal 10 3 3 2 3 2 3" xfId="12932" xr:uid="{00000000-0005-0000-0000-0000AD2F0000}"/>
    <cellStyle name="Normal 10 3 3 2 3 2 3 2" xfId="25990" xr:uid="{00000000-0005-0000-0000-0000AE2F0000}"/>
    <cellStyle name="Normal 10 3 3 2 3 2 4" xfId="24496" xr:uid="{00000000-0005-0000-0000-0000AF2F0000}"/>
    <cellStyle name="Normal 10 3 3 2 3 3" xfId="12933" xr:uid="{00000000-0005-0000-0000-0000B02F0000}"/>
    <cellStyle name="Normal 10 3 3 2 3 3 2" xfId="25991" xr:uid="{00000000-0005-0000-0000-0000B12F0000}"/>
    <cellStyle name="Normal 10 3 3 2 3 4" xfId="12934" xr:uid="{00000000-0005-0000-0000-0000B22F0000}"/>
    <cellStyle name="Normal 10 3 3 2 3 4 2" xfId="25992" xr:uid="{00000000-0005-0000-0000-0000B32F0000}"/>
    <cellStyle name="Normal 10 3 3 2 3 5" xfId="22340" xr:uid="{00000000-0005-0000-0000-0000B42F0000}"/>
    <cellStyle name="Normal 10 3 3 2 4" xfId="10048" xr:uid="{00000000-0005-0000-0000-0000B52F0000}"/>
    <cellStyle name="Normal 10 3 3 2 4 2" xfId="12935" xr:uid="{00000000-0005-0000-0000-0000B62F0000}"/>
    <cellStyle name="Normal 10 3 3 2 4 2 2" xfId="25993" xr:uid="{00000000-0005-0000-0000-0000B72F0000}"/>
    <cellStyle name="Normal 10 3 3 2 4 3" xfId="12936" xr:uid="{00000000-0005-0000-0000-0000B82F0000}"/>
    <cellStyle name="Normal 10 3 3 2 4 3 2" xfId="25994" xr:uid="{00000000-0005-0000-0000-0000B92F0000}"/>
    <cellStyle name="Normal 10 3 3 2 4 4" xfId="23418" xr:uid="{00000000-0005-0000-0000-0000BA2F0000}"/>
    <cellStyle name="Normal 10 3 3 2 5" xfId="12937" xr:uid="{00000000-0005-0000-0000-0000BB2F0000}"/>
    <cellStyle name="Normal 10 3 3 2 5 2" xfId="25995" xr:uid="{00000000-0005-0000-0000-0000BC2F0000}"/>
    <cellStyle name="Normal 10 3 3 2 6" xfId="12938" xr:uid="{00000000-0005-0000-0000-0000BD2F0000}"/>
    <cellStyle name="Normal 10 3 3 2 6 2" xfId="25996" xr:uid="{00000000-0005-0000-0000-0000BE2F0000}"/>
    <cellStyle name="Normal 10 3 3 2 7" xfId="21262" xr:uid="{00000000-0005-0000-0000-0000BF2F0000}"/>
    <cellStyle name="Normal 10 3 3 3" xfId="7139" xr:uid="{00000000-0005-0000-0000-0000C02F0000}"/>
    <cellStyle name="Normal 10 3 3 3 2" xfId="9018" xr:uid="{00000000-0005-0000-0000-0000C12F0000}"/>
    <cellStyle name="Normal 10 3 3 3 2 2" xfId="11397" xr:uid="{00000000-0005-0000-0000-0000C22F0000}"/>
    <cellStyle name="Normal 10 3 3 3 2 2 2" xfId="12939" xr:uid="{00000000-0005-0000-0000-0000C32F0000}"/>
    <cellStyle name="Normal 10 3 3 3 2 2 2 2" xfId="25997" xr:uid="{00000000-0005-0000-0000-0000C42F0000}"/>
    <cellStyle name="Normal 10 3 3 3 2 2 3" xfId="12940" xr:uid="{00000000-0005-0000-0000-0000C52F0000}"/>
    <cellStyle name="Normal 10 3 3 3 2 2 3 2" xfId="25998" xr:uid="{00000000-0005-0000-0000-0000C62F0000}"/>
    <cellStyle name="Normal 10 3 3 3 2 2 4" xfId="24767" xr:uid="{00000000-0005-0000-0000-0000C72F0000}"/>
    <cellStyle name="Normal 10 3 3 3 2 3" xfId="12941" xr:uid="{00000000-0005-0000-0000-0000C82F0000}"/>
    <cellStyle name="Normal 10 3 3 3 2 3 2" xfId="25999" xr:uid="{00000000-0005-0000-0000-0000C92F0000}"/>
    <cellStyle name="Normal 10 3 3 3 2 4" xfId="12942" xr:uid="{00000000-0005-0000-0000-0000CA2F0000}"/>
    <cellStyle name="Normal 10 3 3 3 2 4 2" xfId="26000" xr:uid="{00000000-0005-0000-0000-0000CB2F0000}"/>
    <cellStyle name="Normal 10 3 3 3 2 5" xfId="22611" xr:uid="{00000000-0005-0000-0000-0000CC2F0000}"/>
    <cellStyle name="Normal 10 3 3 3 3" xfId="10319" xr:uid="{00000000-0005-0000-0000-0000CD2F0000}"/>
    <cellStyle name="Normal 10 3 3 3 3 2" xfId="12943" xr:uid="{00000000-0005-0000-0000-0000CE2F0000}"/>
    <cellStyle name="Normal 10 3 3 3 3 2 2" xfId="26001" xr:uid="{00000000-0005-0000-0000-0000CF2F0000}"/>
    <cellStyle name="Normal 10 3 3 3 3 3" xfId="12944" xr:uid="{00000000-0005-0000-0000-0000D02F0000}"/>
    <cellStyle name="Normal 10 3 3 3 3 3 2" xfId="26002" xr:uid="{00000000-0005-0000-0000-0000D12F0000}"/>
    <cellStyle name="Normal 10 3 3 3 3 4" xfId="23689" xr:uid="{00000000-0005-0000-0000-0000D22F0000}"/>
    <cellStyle name="Normal 10 3 3 3 4" xfId="12945" xr:uid="{00000000-0005-0000-0000-0000D32F0000}"/>
    <cellStyle name="Normal 10 3 3 3 4 2" xfId="26003" xr:uid="{00000000-0005-0000-0000-0000D42F0000}"/>
    <cellStyle name="Normal 10 3 3 3 5" xfId="12946" xr:uid="{00000000-0005-0000-0000-0000D52F0000}"/>
    <cellStyle name="Normal 10 3 3 3 5 2" xfId="26004" xr:uid="{00000000-0005-0000-0000-0000D62F0000}"/>
    <cellStyle name="Normal 10 3 3 3 6" xfId="21533" xr:uid="{00000000-0005-0000-0000-0000D72F0000}"/>
    <cellStyle name="Normal 10 3 3 4" xfId="8413" xr:uid="{00000000-0005-0000-0000-0000D82F0000}"/>
    <cellStyle name="Normal 10 3 3 4 2" xfId="10857" xr:uid="{00000000-0005-0000-0000-0000D92F0000}"/>
    <cellStyle name="Normal 10 3 3 4 2 2" xfId="12947" xr:uid="{00000000-0005-0000-0000-0000DA2F0000}"/>
    <cellStyle name="Normal 10 3 3 4 2 2 2" xfId="26005" xr:uid="{00000000-0005-0000-0000-0000DB2F0000}"/>
    <cellStyle name="Normal 10 3 3 4 2 3" xfId="12948" xr:uid="{00000000-0005-0000-0000-0000DC2F0000}"/>
    <cellStyle name="Normal 10 3 3 4 2 3 2" xfId="26006" xr:uid="{00000000-0005-0000-0000-0000DD2F0000}"/>
    <cellStyle name="Normal 10 3 3 4 2 4" xfId="24227" xr:uid="{00000000-0005-0000-0000-0000DE2F0000}"/>
    <cellStyle name="Normal 10 3 3 4 3" xfId="12949" xr:uid="{00000000-0005-0000-0000-0000DF2F0000}"/>
    <cellStyle name="Normal 10 3 3 4 3 2" xfId="26007" xr:uid="{00000000-0005-0000-0000-0000E02F0000}"/>
    <cellStyle name="Normal 10 3 3 4 4" xfId="12950" xr:uid="{00000000-0005-0000-0000-0000E12F0000}"/>
    <cellStyle name="Normal 10 3 3 4 4 2" xfId="26008" xr:uid="{00000000-0005-0000-0000-0000E22F0000}"/>
    <cellStyle name="Normal 10 3 3 4 5" xfId="22071" xr:uid="{00000000-0005-0000-0000-0000E32F0000}"/>
    <cellStyle name="Normal 10 3 3 5" xfId="9779" xr:uid="{00000000-0005-0000-0000-0000E42F0000}"/>
    <cellStyle name="Normal 10 3 3 5 2" xfId="12951" xr:uid="{00000000-0005-0000-0000-0000E52F0000}"/>
    <cellStyle name="Normal 10 3 3 5 2 2" xfId="26009" xr:uid="{00000000-0005-0000-0000-0000E62F0000}"/>
    <cellStyle name="Normal 10 3 3 5 3" xfId="12952" xr:uid="{00000000-0005-0000-0000-0000E72F0000}"/>
    <cellStyle name="Normal 10 3 3 5 3 2" xfId="26010" xr:uid="{00000000-0005-0000-0000-0000E82F0000}"/>
    <cellStyle name="Normal 10 3 3 5 4" xfId="23149" xr:uid="{00000000-0005-0000-0000-0000E92F0000}"/>
    <cellStyle name="Normal 10 3 3 6" xfId="12953" xr:uid="{00000000-0005-0000-0000-0000EA2F0000}"/>
    <cellStyle name="Normal 10 3 3 6 2" xfId="26011" xr:uid="{00000000-0005-0000-0000-0000EB2F0000}"/>
    <cellStyle name="Normal 10 3 3 7" xfId="12954" xr:uid="{00000000-0005-0000-0000-0000EC2F0000}"/>
    <cellStyle name="Normal 10 3 3 7 2" xfId="26012" xr:uid="{00000000-0005-0000-0000-0000ED2F0000}"/>
    <cellStyle name="Normal 10 3 3 8" xfId="20993" xr:uid="{00000000-0005-0000-0000-0000EE2F0000}"/>
    <cellStyle name="Normal 10 3 4" xfId="6571" xr:uid="{00000000-0005-0000-0000-0000EF2F0000}"/>
    <cellStyle name="Normal 10 3 4 2" xfId="7269" xr:uid="{00000000-0005-0000-0000-0000F02F0000}"/>
    <cellStyle name="Normal 10 3 4 2 2" xfId="9148" xr:uid="{00000000-0005-0000-0000-0000F12F0000}"/>
    <cellStyle name="Normal 10 3 4 2 2 2" xfId="11527" xr:uid="{00000000-0005-0000-0000-0000F22F0000}"/>
    <cellStyle name="Normal 10 3 4 2 2 2 2" xfId="12955" xr:uid="{00000000-0005-0000-0000-0000F32F0000}"/>
    <cellStyle name="Normal 10 3 4 2 2 2 2 2" xfId="26013" xr:uid="{00000000-0005-0000-0000-0000F42F0000}"/>
    <cellStyle name="Normal 10 3 4 2 2 2 3" xfId="12956" xr:uid="{00000000-0005-0000-0000-0000F52F0000}"/>
    <cellStyle name="Normal 10 3 4 2 2 2 3 2" xfId="26014" xr:uid="{00000000-0005-0000-0000-0000F62F0000}"/>
    <cellStyle name="Normal 10 3 4 2 2 2 4" xfId="24897" xr:uid="{00000000-0005-0000-0000-0000F72F0000}"/>
    <cellStyle name="Normal 10 3 4 2 2 3" xfId="12957" xr:uid="{00000000-0005-0000-0000-0000F82F0000}"/>
    <cellStyle name="Normal 10 3 4 2 2 3 2" xfId="26015" xr:uid="{00000000-0005-0000-0000-0000F92F0000}"/>
    <cellStyle name="Normal 10 3 4 2 2 4" xfId="12958" xr:uid="{00000000-0005-0000-0000-0000FA2F0000}"/>
    <cellStyle name="Normal 10 3 4 2 2 4 2" xfId="26016" xr:uid="{00000000-0005-0000-0000-0000FB2F0000}"/>
    <cellStyle name="Normal 10 3 4 2 2 5" xfId="22741" xr:uid="{00000000-0005-0000-0000-0000FC2F0000}"/>
    <cellStyle name="Normal 10 3 4 2 3" xfId="10449" xr:uid="{00000000-0005-0000-0000-0000FD2F0000}"/>
    <cellStyle name="Normal 10 3 4 2 3 2" xfId="12959" xr:uid="{00000000-0005-0000-0000-0000FE2F0000}"/>
    <cellStyle name="Normal 10 3 4 2 3 2 2" xfId="26017" xr:uid="{00000000-0005-0000-0000-0000FF2F0000}"/>
    <cellStyle name="Normal 10 3 4 2 3 3" xfId="12960" xr:uid="{00000000-0005-0000-0000-000000300000}"/>
    <cellStyle name="Normal 10 3 4 2 3 3 2" xfId="26018" xr:uid="{00000000-0005-0000-0000-000001300000}"/>
    <cellStyle name="Normal 10 3 4 2 3 4" xfId="23819" xr:uid="{00000000-0005-0000-0000-000002300000}"/>
    <cellStyle name="Normal 10 3 4 2 4" xfId="12961" xr:uid="{00000000-0005-0000-0000-000003300000}"/>
    <cellStyle name="Normal 10 3 4 2 4 2" xfId="26019" xr:uid="{00000000-0005-0000-0000-000004300000}"/>
    <cellStyle name="Normal 10 3 4 2 5" xfId="12962" xr:uid="{00000000-0005-0000-0000-000005300000}"/>
    <cellStyle name="Normal 10 3 4 2 5 2" xfId="26020" xr:uid="{00000000-0005-0000-0000-000006300000}"/>
    <cellStyle name="Normal 10 3 4 2 6" xfId="21663" xr:uid="{00000000-0005-0000-0000-000007300000}"/>
    <cellStyle name="Normal 10 3 4 3" xfId="8601" xr:uid="{00000000-0005-0000-0000-000008300000}"/>
    <cellStyle name="Normal 10 3 4 3 2" xfId="10987" xr:uid="{00000000-0005-0000-0000-000009300000}"/>
    <cellStyle name="Normal 10 3 4 3 2 2" xfId="12963" xr:uid="{00000000-0005-0000-0000-00000A300000}"/>
    <cellStyle name="Normal 10 3 4 3 2 2 2" xfId="26021" xr:uid="{00000000-0005-0000-0000-00000B300000}"/>
    <cellStyle name="Normal 10 3 4 3 2 3" xfId="12964" xr:uid="{00000000-0005-0000-0000-00000C300000}"/>
    <cellStyle name="Normal 10 3 4 3 2 3 2" xfId="26022" xr:uid="{00000000-0005-0000-0000-00000D300000}"/>
    <cellStyle name="Normal 10 3 4 3 2 4" xfId="24357" xr:uid="{00000000-0005-0000-0000-00000E300000}"/>
    <cellStyle name="Normal 10 3 4 3 3" xfId="12965" xr:uid="{00000000-0005-0000-0000-00000F300000}"/>
    <cellStyle name="Normal 10 3 4 3 3 2" xfId="26023" xr:uid="{00000000-0005-0000-0000-000010300000}"/>
    <cellStyle name="Normal 10 3 4 3 4" xfId="12966" xr:uid="{00000000-0005-0000-0000-000011300000}"/>
    <cellStyle name="Normal 10 3 4 3 4 2" xfId="26024" xr:uid="{00000000-0005-0000-0000-000012300000}"/>
    <cellStyle name="Normal 10 3 4 3 5" xfId="22201" xr:uid="{00000000-0005-0000-0000-000013300000}"/>
    <cellStyle name="Normal 10 3 4 4" xfId="9909" xr:uid="{00000000-0005-0000-0000-000014300000}"/>
    <cellStyle name="Normal 10 3 4 4 2" xfId="12967" xr:uid="{00000000-0005-0000-0000-000015300000}"/>
    <cellStyle name="Normal 10 3 4 4 2 2" xfId="26025" xr:uid="{00000000-0005-0000-0000-000016300000}"/>
    <cellStyle name="Normal 10 3 4 4 3" xfId="12968" xr:uid="{00000000-0005-0000-0000-000017300000}"/>
    <cellStyle name="Normal 10 3 4 4 3 2" xfId="26026" xr:uid="{00000000-0005-0000-0000-000018300000}"/>
    <cellStyle name="Normal 10 3 4 4 4" xfId="23279" xr:uid="{00000000-0005-0000-0000-000019300000}"/>
    <cellStyle name="Normal 10 3 4 5" xfId="12969" xr:uid="{00000000-0005-0000-0000-00001A300000}"/>
    <cellStyle name="Normal 10 3 4 5 2" xfId="26027" xr:uid="{00000000-0005-0000-0000-00001B300000}"/>
    <cellStyle name="Normal 10 3 4 6" xfId="12970" xr:uid="{00000000-0005-0000-0000-00001C300000}"/>
    <cellStyle name="Normal 10 3 4 6 2" xfId="26028" xr:uid="{00000000-0005-0000-0000-00001D300000}"/>
    <cellStyle name="Normal 10 3 4 7" xfId="21123" xr:uid="{00000000-0005-0000-0000-00001E300000}"/>
    <cellStyle name="Normal 10 3 5" xfId="6999" xr:uid="{00000000-0005-0000-0000-00001F300000}"/>
    <cellStyle name="Normal 10 3 5 2" xfId="8879" xr:uid="{00000000-0005-0000-0000-000020300000}"/>
    <cellStyle name="Normal 10 3 5 2 2" xfId="11258" xr:uid="{00000000-0005-0000-0000-000021300000}"/>
    <cellStyle name="Normal 10 3 5 2 2 2" xfId="12971" xr:uid="{00000000-0005-0000-0000-000022300000}"/>
    <cellStyle name="Normal 10 3 5 2 2 2 2" xfId="26029" xr:uid="{00000000-0005-0000-0000-000023300000}"/>
    <cellStyle name="Normal 10 3 5 2 2 3" xfId="12972" xr:uid="{00000000-0005-0000-0000-000024300000}"/>
    <cellStyle name="Normal 10 3 5 2 2 3 2" xfId="26030" xr:uid="{00000000-0005-0000-0000-000025300000}"/>
    <cellStyle name="Normal 10 3 5 2 2 4" xfId="24628" xr:uid="{00000000-0005-0000-0000-000026300000}"/>
    <cellStyle name="Normal 10 3 5 2 3" xfId="12973" xr:uid="{00000000-0005-0000-0000-000027300000}"/>
    <cellStyle name="Normal 10 3 5 2 3 2" xfId="26031" xr:uid="{00000000-0005-0000-0000-000028300000}"/>
    <cellStyle name="Normal 10 3 5 2 4" xfId="12974" xr:uid="{00000000-0005-0000-0000-000029300000}"/>
    <cellStyle name="Normal 10 3 5 2 4 2" xfId="26032" xr:uid="{00000000-0005-0000-0000-00002A300000}"/>
    <cellStyle name="Normal 10 3 5 2 5" xfId="22472" xr:uid="{00000000-0005-0000-0000-00002B300000}"/>
    <cellStyle name="Normal 10 3 5 3" xfId="10180" xr:uid="{00000000-0005-0000-0000-00002C300000}"/>
    <cellStyle name="Normal 10 3 5 3 2" xfId="12975" xr:uid="{00000000-0005-0000-0000-00002D300000}"/>
    <cellStyle name="Normal 10 3 5 3 2 2" xfId="26033" xr:uid="{00000000-0005-0000-0000-00002E300000}"/>
    <cellStyle name="Normal 10 3 5 3 3" xfId="12976" xr:uid="{00000000-0005-0000-0000-00002F300000}"/>
    <cellStyle name="Normal 10 3 5 3 3 2" xfId="26034" xr:uid="{00000000-0005-0000-0000-000030300000}"/>
    <cellStyle name="Normal 10 3 5 3 4" xfId="23550" xr:uid="{00000000-0005-0000-0000-000031300000}"/>
    <cellStyle name="Normal 10 3 5 4" xfId="12977" xr:uid="{00000000-0005-0000-0000-000032300000}"/>
    <cellStyle name="Normal 10 3 5 4 2" xfId="26035" xr:uid="{00000000-0005-0000-0000-000033300000}"/>
    <cellStyle name="Normal 10 3 5 5" xfId="12978" xr:uid="{00000000-0005-0000-0000-000034300000}"/>
    <cellStyle name="Normal 10 3 5 5 2" xfId="26036" xr:uid="{00000000-0005-0000-0000-000035300000}"/>
    <cellStyle name="Normal 10 3 5 6" xfId="21394" xr:uid="{00000000-0005-0000-0000-000036300000}"/>
    <cellStyle name="Normal 10 3 6" xfId="8188" xr:uid="{00000000-0005-0000-0000-000037300000}"/>
    <cellStyle name="Normal 10 3 6 2" xfId="10718" xr:uid="{00000000-0005-0000-0000-000038300000}"/>
    <cellStyle name="Normal 10 3 6 2 2" xfId="12979" xr:uid="{00000000-0005-0000-0000-000039300000}"/>
    <cellStyle name="Normal 10 3 6 2 2 2" xfId="26037" xr:uid="{00000000-0005-0000-0000-00003A300000}"/>
    <cellStyle name="Normal 10 3 6 2 3" xfId="12980" xr:uid="{00000000-0005-0000-0000-00003B300000}"/>
    <cellStyle name="Normal 10 3 6 2 3 2" xfId="26038" xr:uid="{00000000-0005-0000-0000-00003C300000}"/>
    <cellStyle name="Normal 10 3 6 2 4" xfId="24088" xr:uid="{00000000-0005-0000-0000-00003D300000}"/>
    <cellStyle name="Normal 10 3 6 3" xfId="12981" xr:uid="{00000000-0005-0000-0000-00003E300000}"/>
    <cellStyle name="Normal 10 3 6 3 2" xfId="26039" xr:uid="{00000000-0005-0000-0000-00003F300000}"/>
    <cellStyle name="Normal 10 3 6 4" xfId="12982" xr:uid="{00000000-0005-0000-0000-000040300000}"/>
    <cellStyle name="Normal 10 3 6 4 2" xfId="26040" xr:uid="{00000000-0005-0000-0000-000041300000}"/>
    <cellStyle name="Normal 10 3 6 5" xfId="21932" xr:uid="{00000000-0005-0000-0000-000042300000}"/>
    <cellStyle name="Normal 10 3 7" xfId="9639" xr:uid="{00000000-0005-0000-0000-000043300000}"/>
    <cellStyle name="Normal 10 3 7 2" xfId="12983" xr:uid="{00000000-0005-0000-0000-000044300000}"/>
    <cellStyle name="Normal 10 3 7 2 2" xfId="26041" xr:uid="{00000000-0005-0000-0000-000045300000}"/>
    <cellStyle name="Normal 10 3 7 3" xfId="12984" xr:uid="{00000000-0005-0000-0000-000046300000}"/>
    <cellStyle name="Normal 10 3 7 3 2" xfId="26042" xr:uid="{00000000-0005-0000-0000-000047300000}"/>
    <cellStyle name="Normal 10 3 7 4" xfId="23010" xr:uid="{00000000-0005-0000-0000-000048300000}"/>
    <cellStyle name="Normal 10 3 8" xfId="12985" xr:uid="{00000000-0005-0000-0000-000049300000}"/>
    <cellStyle name="Normal 10 3 8 2" xfId="26043" xr:uid="{00000000-0005-0000-0000-00004A300000}"/>
    <cellStyle name="Normal 10 3 9" xfId="12986" xr:uid="{00000000-0005-0000-0000-00004B300000}"/>
    <cellStyle name="Normal 10 3 9 2" xfId="26044" xr:uid="{00000000-0005-0000-0000-00004C300000}"/>
    <cellStyle name="Normal 10 4" xfId="4060" xr:uid="{00000000-0005-0000-0000-00004D300000}"/>
    <cellStyle name="Normal 10 4 2" xfId="5596" xr:uid="{00000000-0005-0000-0000-00004E300000}"/>
    <cellStyle name="Normal 10 4 2 2" xfId="6748" xr:uid="{00000000-0005-0000-0000-00004F300000}"/>
    <cellStyle name="Normal 10 4 2 2 2" xfId="7435" xr:uid="{00000000-0005-0000-0000-000050300000}"/>
    <cellStyle name="Normal 10 4 2 2 2 2" xfId="9314" xr:uid="{00000000-0005-0000-0000-000051300000}"/>
    <cellStyle name="Normal 10 4 2 2 2 2 2" xfId="11693" xr:uid="{00000000-0005-0000-0000-000052300000}"/>
    <cellStyle name="Normal 10 4 2 2 2 2 2 2" xfId="12987" xr:uid="{00000000-0005-0000-0000-000053300000}"/>
    <cellStyle name="Normal 10 4 2 2 2 2 2 2 2" xfId="26045" xr:uid="{00000000-0005-0000-0000-000054300000}"/>
    <cellStyle name="Normal 10 4 2 2 2 2 2 3" xfId="12988" xr:uid="{00000000-0005-0000-0000-000055300000}"/>
    <cellStyle name="Normal 10 4 2 2 2 2 2 3 2" xfId="26046" xr:uid="{00000000-0005-0000-0000-000056300000}"/>
    <cellStyle name="Normal 10 4 2 2 2 2 2 4" xfId="25063" xr:uid="{00000000-0005-0000-0000-000057300000}"/>
    <cellStyle name="Normal 10 4 2 2 2 2 3" xfId="12989" xr:uid="{00000000-0005-0000-0000-000058300000}"/>
    <cellStyle name="Normal 10 4 2 2 2 2 3 2" xfId="26047" xr:uid="{00000000-0005-0000-0000-000059300000}"/>
    <cellStyle name="Normal 10 4 2 2 2 2 4" xfId="12990" xr:uid="{00000000-0005-0000-0000-00005A300000}"/>
    <cellStyle name="Normal 10 4 2 2 2 2 4 2" xfId="26048" xr:uid="{00000000-0005-0000-0000-00005B300000}"/>
    <cellStyle name="Normal 10 4 2 2 2 2 5" xfId="22907" xr:uid="{00000000-0005-0000-0000-00005C300000}"/>
    <cellStyle name="Normal 10 4 2 2 2 3" xfId="10615" xr:uid="{00000000-0005-0000-0000-00005D300000}"/>
    <cellStyle name="Normal 10 4 2 2 2 3 2" xfId="12991" xr:uid="{00000000-0005-0000-0000-00005E300000}"/>
    <cellStyle name="Normal 10 4 2 2 2 3 2 2" xfId="26049" xr:uid="{00000000-0005-0000-0000-00005F300000}"/>
    <cellStyle name="Normal 10 4 2 2 2 3 3" xfId="12992" xr:uid="{00000000-0005-0000-0000-000060300000}"/>
    <cellStyle name="Normal 10 4 2 2 2 3 3 2" xfId="26050" xr:uid="{00000000-0005-0000-0000-000061300000}"/>
    <cellStyle name="Normal 10 4 2 2 2 3 4" xfId="23985" xr:uid="{00000000-0005-0000-0000-000062300000}"/>
    <cellStyle name="Normal 10 4 2 2 2 4" xfId="12993" xr:uid="{00000000-0005-0000-0000-000063300000}"/>
    <cellStyle name="Normal 10 4 2 2 2 4 2" xfId="26051" xr:uid="{00000000-0005-0000-0000-000064300000}"/>
    <cellStyle name="Normal 10 4 2 2 2 5" xfId="12994" xr:uid="{00000000-0005-0000-0000-000065300000}"/>
    <cellStyle name="Normal 10 4 2 2 2 5 2" xfId="26052" xr:uid="{00000000-0005-0000-0000-000066300000}"/>
    <cellStyle name="Normal 10 4 2 2 2 6" xfId="21829" xr:uid="{00000000-0005-0000-0000-000067300000}"/>
    <cellStyle name="Normal 10 4 2 2 3" xfId="8768" xr:uid="{00000000-0005-0000-0000-000068300000}"/>
    <cellStyle name="Normal 10 4 2 2 3 2" xfId="11153" xr:uid="{00000000-0005-0000-0000-000069300000}"/>
    <cellStyle name="Normal 10 4 2 2 3 2 2" xfId="12995" xr:uid="{00000000-0005-0000-0000-00006A300000}"/>
    <cellStyle name="Normal 10 4 2 2 3 2 2 2" xfId="26053" xr:uid="{00000000-0005-0000-0000-00006B300000}"/>
    <cellStyle name="Normal 10 4 2 2 3 2 3" xfId="12996" xr:uid="{00000000-0005-0000-0000-00006C300000}"/>
    <cellStyle name="Normal 10 4 2 2 3 2 3 2" xfId="26054" xr:uid="{00000000-0005-0000-0000-00006D300000}"/>
    <cellStyle name="Normal 10 4 2 2 3 2 4" xfId="24523" xr:uid="{00000000-0005-0000-0000-00006E300000}"/>
    <cellStyle name="Normal 10 4 2 2 3 3" xfId="12997" xr:uid="{00000000-0005-0000-0000-00006F300000}"/>
    <cellStyle name="Normal 10 4 2 2 3 3 2" xfId="26055" xr:uid="{00000000-0005-0000-0000-000070300000}"/>
    <cellStyle name="Normal 10 4 2 2 3 4" xfId="12998" xr:uid="{00000000-0005-0000-0000-000071300000}"/>
    <cellStyle name="Normal 10 4 2 2 3 4 2" xfId="26056" xr:uid="{00000000-0005-0000-0000-000072300000}"/>
    <cellStyle name="Normal 10 4 2 2 3 5" xfId="22367" xr:uid="{00000000-0005-0000-0000-000073300000}"/>
    <cellStyle name="Normal 10 4 2 2 4" xfId="10075" xr:uid="{00000000-0005-0000-0000-000074300000}"/>
    <cellStyle name="Normal 10 4 2 2 4 2" xfId="12999" xr:uid="{00000000-0005-0000-0000-000075300000}"/>
    <cellStyle name="Normal 10 4 2 2 4 2 2" xfId="26057" xr:uid="{00000000-0005-0000-0000-000076300000}"/>
    <cellStyle name="Normal 10 4 2 2 4 3" xfId="13000" xr:uid="{00000000-0005-0000-0000-000077300000}"/>
    <cellStyle name="Normal 10 4 2 2 4 3 2" xfId="26058" xr:uid="{00000000-0005-0000-0000-000078300000}"/>
    <cellStyle name="Normal 10 4 2 2 4 4" xfId="23445" xr:uid="{00000000-0005-0000-0000-000079300000}"/>
    <cellStyle name="Normal 10 4 2 2 5" xfId="13001" xr:uid="{00000000-0005-0000-0000-00007A300000}"/>
    <cellStyle name="Normal 10 4 2 2 5 2" xfId="26059" xr:uid="{00000000-0005-0000-0000-00007B300000}"/>
    <cellStyle name="Normal 10 4 2 2 6" xfId="13002" xr:uid="{00000000-0005-0000-0000-00007C300000}"/>
    <cellStyle name="Normal 10 4 2 2 6 2" xfId="26060" xr:uid="{00000000-0005-0000-0000-00007D300000}"/>
    <cellStyle name="Normal 10 4 2 2 7" xfId="21289" xr:uid="{00000000-0005-0000-0000-00007E300000}"/>
    <cellStyle name="Normal 10 4 2 3" xfId="7166" xr:uid="{00000000-0005-0000-0000-00007F300000}"/>
    <cellStyle name="Normal 10 4 2 3 2" xfId="9045" xr:uid="{00000000-0005-0000-0000-000080300000}"/>
    <cellStyle name="Normal 10 4 2 3 2 2" xfId="11424" xr:uid="{00000000-0005-0000-0000-000081300000}"/>
    <cellStyle name="Normal 10 4 2 3 2 2 2" xfId="13003" xr:uid="{00000000-0005-0000-0000-000082300000}"/>
    <cellStyle name="Normal 10 4 2 3 2 2 2 2" xfId="26061" xr:uid="{00000000-0005-0000-0000-000083300000}"/>
    <cellStyle name="Normal 10 4 2 3 2 2 3" xfId="13004" xr:uid="{00000000-0005-0000-0000-000084300000}"/>
    <cellStyle name="Normal 10 4 2 3 2 2 3 2" xfId="26062" xr:uid="{00000000-0005-0000-0000-000085300000}"/>
    <cellStyle name="Normal 10 4 2 3 2 2 4" xfId="24794" xr:uid="{00000000-0005-0000-0000-000086300000}"/>
    <cellStyle name="Normal 10 4 2 3 2 3" xfId="13005" xr:uid="{00000000-0005-0000-0000-000087300000}"/>
    <cellStyle name="Normal 10 4 2 3 2 3 2" xfId="26063" xr:uid="{00000000-0005-0000-0000-000088300000}"/>
    <cellStyle name="Normal 10 4 2 3 2 4" xfId="13006" xr:uid="{00000000-0005-0000-0000-000089300000}"/>
    <cellStyle name="Normal 10 4 2 3 2 4 2" xfId="26064" xr:uid="{00000000-0005-0000-0000-00008A300000}"/>
    <cellStyle name="Normal 10 4 2 3 2 5" xfId="22638" xr:uid="{00000000-0005-0000-0000-00008B300000}"/>
    <cellStyle name="Normal 10 4 2 3 3" xfId="10346" xr:uid="{00000000-0005-0000-0000-00008C300000}"/>
    <cellStyle name="Normal 10 4 2 3 3 2" xfId="13007" xr:uid="{00000000-0005-0000-0000-00008D300000}"/>
    <cellStyle name="Normal 10 4 2 3 3 2 2" xfId="26065" xr:uid="{00000000-0005-0000-0000-00008E300000}"/>
    <cellStyle name="Normal 10 4 2 3 3 3" xfId="13008" xr:uid="{00000000-0005-0000-0000-00008F300000}"/>
    <cellStyle name="Normal 10 4 2 3 3 3 2" xfId="26066" xr:uid="{00000000-0005-0000-0000-000090300000}"/>
    <cellStyle name="Normal 10 4 2 3 3 4" xfId="23716" xr:uid="{00000000-0005-0000-0000-000091300000}"/>
    <cellStyle name="Normal 10 4 2 3 4" xfId="13009" xr:uid="{00000000-0005-0000-0000-000092300000}"/>
    <cellStyle name="Normal 10 4 2 3 4 2" xfId="26067" xr:uid="{00000000-0005-0000-0000-000093300000}"/>
    <cellStyle name="Normal 10 4 2 3 5" xfId="13010" xr:uid="{00000000-0005-0000-0000-000094300000}"/>
    <cellStyle name="Normal 10 4 2 3 5 2" xfId="26068" xr:uid="{00000000-0005-0000-0000-000095300000}"/>
    <cellStyle name="Normal 10 4 2 3 6" xfId="21560" xr:uid="{00000000-0005-0000-0000-000096300000}"/>
    <cellStyle name="Normal 10 4 2 4" xfId="8443" xr:uid="{00000000-0005-0000-0000-000097300000}"/>
    <cellStyle name="Normal 10 4 2 4 2" xfId="10884" xr:uid="{00000000-0005-0000-0000-000098300000}"/>
    <cellStyle name="Normal 10 4 2 4 2 2" xfId="13011" xr:uid="{00000000-0005-0000-0000-000099300000}"/>
    <cellStyle name="Normal 10 4 2 4 2 2 2" xfId="26069" xr:uid="{00000000-0005-0000-0000-00009A300000}"/>
    <cellStyle name="Normal 10 4 2 4 2 3" xfId="13012" xr:uid="{00000000-0005-0000-0000-00009B300000}"/>
    <cellStyle name="Normal 10 4 2 4 2 3 2" xfId="26070" xr:uid="{00000000-0005-0000-0000-00009C300000}"/>
    <cellStyle name="Normal 10 4 2 4 2 4" xfId="24254" xr:uid="{00000000-0005-0000-0000-00009D300000}"/>
    <cellStyle name="Normal 10 4 2 4 3" xfId="13013" xr:uid="{00000000-0005-0000-0000-00009E300000}"/>
    <cellStyle name="Normal 10 4 2 4 3 2" xfId="26071" xr:uid="{00000000-0005-0000-0000-00009F300000}"/>
    <cellStyle name="Normal 10 4 2 4 4" xfId="13014" xr:uid="{00000000-0005-0000-0000-0000A0300000}"/>
    <cellStyle name="Normal 10 4 2 4 4 2" xfId="26072" xr:uid="{00000000-0005-0000-0000-0000A1300000}"/>
    <cellStyle name="Normal 10 4 2 4 5" xfId="22098" xr:uid="{00000000-0005-0000-0000-0000A2300000}"/>
    <cellStyle name="Normal 10 4 2 5" xfId="9806" xr:uid="{00000000-0005-0000-0000-0000A3300000}"/>
    <cellStyle name="Normal 10 4 2 5 2" xfId="13015" xr:uid="{00000000-0005-0000-0000-0000A4300000}"/>
    <cellStyle name="Normal 10 4 2 5 2 2" xfId="26073" xr:uid="{00000000-0005-0000-0000-0000A5300000}"/>
    <cellStyle name="Normal 10 4 2 5 3" xfId="13016" xr:uid="{00000000-0005-0000-0000-0000A6300000}"/>
    <cellStyle name="Normal 10 4 2 5 3 2" xfId="26074" xr:uid="{00000000-0005-0000-0000-0000A7300000}"/>
    <cellStyle name="Normal 10 4 2 5 4" xfId="23176" xr:uid="{00000000-0005-0000-0000-0000A8300000}"/>
    <cellStyle name="Normal 10 4 2 6" xfId="13017" xr:uid="{00000000-0005-0000-0000-0000A9300000}"/>
    <cellStyle name="Normal 10 4 2 6 2" xfId="26075" xr:uid="{00000000-0005-0000-0000-0000AA300000}"/>
    <cellStyle name="Normal 10 4 2 7" xfId="13018" xr:uid="{00000000-0005-0000-0000-0000AB300000}"/>
    <cellStyle name="Normal 10 4 2 7 2" xfId="26076" xr:uid="{00000000-0005-0000-0000-0000AC300000}"/>
    <cellStyle name="Normal 10 4 2 8" xfId="21020" xr:uid="{00000000-0005-0000-0000-0000AD300000}"/>
    <cellStyle name="Normal 10 4 3" xfId="6597" xr:uid="{00000000-0005-0000-0000-0000AE300000}"/>
    <cellStyle name="Normal 10 4 3 2" xfId="7293" xr:uid="{00000000-0005-0000-0000-0000AF300000}"/>
    <cellStyle name="Normal 10 4 3 2 2" xfId="9172" xr:uid="{00000000-0005-0000-0000-0000B0300000}"/>
    <cellStyle name="Normal 10 4 3 2 2 2" xfId="11551" xr:uid="{00000000-0005-0000-0000-0000B1300000}"/>
    <cellStyle name="Normal 10 4 3 2 2 2 2" xfId="13019" xr:uid="{00000000-0005-0000-0000-0000B2300000}"/>
    <cellStyle name="Normal 10 4 3 2 2 2 2 2" xfId="26077" xr:uid="{00000000-0005-0000-0000-0000B3300000}"/>
    <cellStyle name="Normal 10 4 3 2 2 2 3" xfId="13020" xr:uid="{00000000-0005-0000-0000-0000B4300000}"/>
    <cellStyle name="Normal 10 4 3 2 2 2 3 2" xfId="26078" xr:uid="{00000000-0005-0000-0000-0000B5300000}"/>
    <cellStyle name="Normal 10 4 3 2 2 2 4" xfId="24921" xr:uid="{00000000-0005-0000-0000-0000B6300000}"/>
    <cellStyle name="Normal 10 4 3 2 2 3" xfId="13021" xr:uid="{00000000-0005-0000-0000-0000B7300000}"/>
    <cellStyle name="Normal 10 4 3 2 2 3 2" xfId="26079" xr:uid="{00000000-0005-0000-0000-0000B8300000}"/>
    <cellStyle name="Normal 10 4 3 2 2 4" xfId="13022" xr:uid="{00000000-0005-0000-0000-0000B9300000}"/>
    <cellStyle name="Normal 10 4 3 2 2 4 2" xfId="26080" xr:uid="{00000000-0005-0000-0000-0000BA300000}"/>
    <cellStyle name="Normal 10 4 3 2 2 5" xfId="22765" xr:uid="{00000000-0005-0000-0000-0000BB300000}"/>
    <cellStyle name="Normal 10 4 3 2 3" xfId="10473" xr:uid="{00000000-0005-0000-0000-0000BC300000}"/>
    <cellStyle name="Normal 10 4 3 2 3 2" xfId="13023" xr:uid="{00000000-0005-0000-0000-0000BD300000}"/>
    <cellStyle name="Normal 10 4 3 2 3 2 2" xfId="26081" xr:uid="{00000000-0005-0000-0000-0000BE300000}"/>
    <cellStyle name="Normal 10 4 3 2 3 3" xfId="13024" xr:uid="{00000000-0005-0000-0000-0000BF300000}"/>
    <cellStyle name="Normal 10 4 3 2 3 3 2" xfId="26082" xr:uid="{00000000-0005-0000-0000-0000C0300000}"/>
    <cellStyle name="Normal 10 4 3 2 3 4" xfId="23843" xr:uid="{00000000-0005-0000-0000-0000C1300000}"/>
    <cellStyle name="Normal 10 4 3 2 4" xfId="13025" xr:uid="{00000000-0005-0000-0000-0000C2300000}"/>
    <cellStyle name="Normal 10 4 3 2 4 2" xfId="26083" xr:uid="{00000000-0005-0000-0000-0000C3300000}"/>
    <cellStyle name="Normal 10 4 3 2 5" xfId="13026" xr:uid="{00000000-0005-0000-0000-0000C4300000}"/>
    <cellStyle name="Normal 10 4 3 2 5 2" xfId="26084" xr:uid="{00000000-0005-0000-0000-0000C5300000}"/>
    <cellStyle name="Normal 10 4 3 2 6" xfId="21687" xr:uid="{00000000-0005-0000-0000-0000C6300000}"/>
    <cellStyle name="Normal 10 4 3 3" xfId="8625" xr:uid="{00000000-0005-0000-0000-0000C7300000}"/>
    <cellStyle name="Normal 10 4 3 3 2" xfId="11011" xr:uid="{00000000-0005-0000-0000-0000C8300000}"/>
    <cellStyle name="Normal 10 4 3 3 2 2" xfId="13027" xr:uid="{00000000-0005-0000-0000-0000C9300000}"/>
    <cellStyle name="Normal 10 4 3 3 2 2 2" xfId="26085" xr:uid="{00000000-0005-0000-0000-0000CA300000}"/>
    <cellStyle name="Normal 10 4 3 3 2 3" xfId="13028" xr:uid="{00000000-0005-0000-0000-0000CB300000}"/>
    <cellStyle name="Normal 10 4 3 3 2 3 2" xfId="26086" xr:uid="{00000000-0005-0000-0000-0000CC300000}"/>
    <cellStyle name="Normal 10 4 3 3 2 4" xfId="24381" xr:uid="{00000000-0005-0000-0000-0000CD300000}"/>
    <cellStyle name="Normal 10 4 3 3 3" xfId="13029" xr:uid="{00000000-0005-0000-0000-0000CE300000}"/>
    <cellStyle name="Normal 10 4 3 3 3 2" xfId="26087" xr:uid="{00000000-0005-0000-0000-0000CF300000}"/>
    <cellStyle name="Normal 10 4 3 3 4" xfId="13030" xr:uid="{00000000-0005-0000-0000-0000D0300000}"/>
    <cellStyle name="Normal 10 4 3 3 4 2" xfId="26088" xr:uid="{00000000-0005-0000-0000-0000D1300000}"/>
    <cellStyle name="Normal 10 4 3 3 5" xfId="22225" xr:uid="{00000000-0005-0000-0000-0000D2300000}"/>
    <cellStyle name="Normal 10 4 3 4" xfId="9933" xr:uid="{00000000-0005-0000-0000-0000D3300000}"/>
    <cellStyle name="Normal 10 4 3 4 2" xfId="13031" xr:uid="{00000000-0005-0000-0000-0000D4300000}"/>
    <cellStyle name="Normal 10 4 3 4 2 2" xfId="26089" xr:uid="{00000000-0005-0000-0000-0000D5300000}"/>
    <cellStyle name="Normal 10 4 3 4 3" xfId="13032" xr:uid="{00000000-0005-0000-0000-0000D6300000}"/>
    <cellStyle name="Normal 10 4 3 4 3 2" xfId="26090" xr:uid="{00000000-0005-0000-0000-0000D7300000}"/>
    <cellStyle name="Normal 10 4 3 4 4" xfId="23303" xr:uid="{00000000-0005-0000-0000-0000D8300000}"/>
    <cellStyle name="Normal 10 4 3 5" xfId="13033" xr:uid="{00000000-0005-0000-0000-0000D9300000}"/>
    <cellStyle name="Normal 10 4 3 5 2" xfId="26091" xr:uid="{00000000-0005-0000-0000-0000DA300000}"/>
    <cellStyle name="Normal 10 4 3 6" xfId="13034" xr:uid="{00000000-0005-0000-0000-0000DB300000}"/>
    <cellStyle name="Normal 10 4 3 6 2" xfId="26092" xr:uid="{00000000-0005-0000-0000-0000DC300000}"/>
    <cellStyle name="Normal 10 4 3 7" xfId="21147" xr:uid="{00000000-0005-0000-0000-0000DD300000}"/>
    <cellStyle name="Normal 10 4 4" xfId="7023" xr:uid="{00000000-0005-0000-0000-0000DE300000}"/>
    <cellStyle name="Normal 10 4 4 2" xfId="8903" xr:uid="{00000000-0005-0000-0000-0000DF300000}"/>
    <cellStyle name="Normal 10 4 4 2 2" xfId="11282" xr:uid="{00000000-0005-0000-0000-0000E0300000}"/>
    <cellStyle name="Normal 10 4 4 2 2 2" xfId="13035" xr:uid="{00000000-0005-0000-0000-0000E1300000}"/>
    <cellStyle name="Normal 10 4 4 2 2 2 2" xfId="26093" xr:uid="{00000000-0005-0000-0000-0000E2300000}"/>
    <cellStyle name="Normal 10 4 4 2 2 3" xfId="13036" xr:uid="{00000000-0005-0000-0000-0000E3300000}"/>
    <cellStyle name="Normal 10 4 4 2 2 3 2" xfId="26094" xr:uid="{00000000-0005-0000-0000-0000E4300000}"/>
    <cellStyle name="Normal 10 4 4 2 2 4" xfId="24652" xr:uid="{00000000-0005-0000-0000-0000E5300000}"/>
    <cellStyle name="Normal 10 4 4 2 3" xfId="13037" xr:uid="{00000000-0005-0000-0000-0000E6300000}"/>
    <cellStyle name="Normal 10 4 4 2 3 2" xfId="26095" xr:uid="{00000000-0005-0000-0000-0000E7300000}"/>
    <cellStyle name="Normal 10 4 4 2 4" xfId="13038" xr:uid="{00000000-0005-0000-0000-0000E8300000}"/>
    <cellStyle name="Normal 10 4 4 2 4 2" xfId="26096" xr:uid="{00000000-0005-0000-0000-0000E9300000}"/>
    <cellStyle name="Normal 10 4 4 2 5" xfId="22496" xr:uid="{00000000-0005-0000-0000-0000EA300000}"/>
    <cellStyle name="Normal 10 4 4 3" xfId="10204" xr:uid="{00000000-0005-0000-0000-0000EB300000}"/>
    <cellStyle name="Normal 10 4 4 3 2" xfId="13039" xr:uid="{00000000-0005-0000-0000-0000EC300000}"/>
    <cellStyle name="Normal 10 4 4 3 2 2" xfId="26097" xr:uid="{00000000-0005-0000-0000-0000ED300000}"/>
    <cellStyle name="Normal 10 4 4 3 3" xfId="13040" xr:uid="{00000000-0005-0000-0000-0000EE300000}"/>
    <cellStyle name="Normal 10 4 4 3 3 2" xfId="26098" xr:uid="{00000000-0005-0000-0000-0000EF300000}"/>
    <cellStyle name="Normal 10 4 4 3 4" xfId="23574" xr:uid="{00000000-0005-0000-0000-0000F0300000}"/>
    <cellStyle name="Normal 10 4 4 4" xfId="13041" xr:uid="{00000000-0005-0000-0000-0000F1300000}"/>
    <cellStyle name="Normal 10 4 4 4 2" xfId="26099" xr:uid="{00000000-0005-0000-0000-0000F2300000}"/>
    <cellStyle name="Normal 10 4 4 5" xfId="13042" xr:uid="{00000000-0005-0000-0000-0000F3300000}"/>
    <cellStyle name="Normal 10 4 4 5 2" xfId="26100" xr:uid="{00000000-0005-0000-0000-0000F4300000}"/>
    <cellStyle name="Normal 10 4 4 6" xfId="21418" xr:uid="{00000000-0005-0000-0000-0000F5300000}"/>
    <cellStyle name="Normal 10 4 5" xfId="8227" xr:uid="{00000000-0005-0000-0000-0000F6300000}"/>
    <cellStyle name="Normal 10 4 5 2" xfId="10742" xr:uid="{00000000-0005-0000-0000-0000F7300000}"/>
    <cellStyle name="Normal 10 4 5 2 2" xfId="13043" xr:uid="{00000000-0005-0000-0000-0000F8300000}"/>
    <cellStyle name="Normal 10 4 5 2 2 2" xfId="26101" xr:uid="{00000000-0005-0000-0000-0000F9300000}"/>
    <cellStyle name="Normal 10 4 5 2 3" xfId="13044" xr:uid="{00000000-0005-0000-0000-0000FA300000}"/>
    <cellStyle name="Normal 10 4 5 2 3 2" xfId="26102" xr:uid="{00000000-0005-0000-0000-0000FB300000}"/>
    <cellStyle name="Normal 10 4 5 2 4" xfId="24112" xr:uid="{00000000-0005-0000-0000-0000FC300000}"/>
    <cellStyle name="Normal 10 4 5 3" xfId="13045" xr:uid="{00000000-0005-0000-0000-0000FD300000}"/>
    <cellStyle name="Normal 10 4 5 3 2" xfId="26103" xr:uid="{00000000-0005-0000-0000-0000FE300000}"/>
    <cellStyle name="Normal 10 4 5 4" xfId="13046" xr:uid="{00000000-0005-0000-0000-0000FF300000}"/>
    <cellStyle name="Normal 10 4 5 4 2" xfId="26104" xr:uid="{00000000-0005-0000-0000-000000310000}"/>
    <cellStyle name="Normal 10 4 5 5" xfId="21956" xr:uid="{00000000-0005-0000-0000-000001310000}"/>
    <cellStyle name="Normal 10 4 6" xfId="9663" xr:uid="{00000000-0005-0000-0000-000002310000}"/>
    <cellStyle name="Normal 10 4 6 2" xfId="13047" xr:uid="{00000000-0005-0000-0000-000003310000}"/>
    <cellStyle name="Normal 10 4 6 2 2" xfId="26105" xr:uid="{00000000-0005-0000-0000-000004310000}"/>
    <cellStyle name="Normal 10 4 6 3" xfId="13048" xr:uid="{00000000-0005-0000-0000-000005310000}"/>
    <cellStyle name="Normal 10 4 6 3 2" xfId="26106" xr:uid="{00000000-0005-0000-0000-000006310000}"/>
    <cellStyle name="Normal 10 4 6 4" xfId="23034" xr:uid="{00000000-0005-0000-0000-000007310000}"/>
    <cellStyle name="Normal 10 4 7" xfId="13049" xr:uid="{00000000-0005-0000-0000-000008310000}"/>
    <cellStyle name="Normal 10 4 7 2" xfId="26107" xr:uid="{00000000-0005-0000-0000-000009310000}"/>
    <cellStyle name="Normal 10 4 8" xfId="13050" xr:uid="{00000000-0005-0000-0000-00000A310000}"/>
    <cellStyle name="Normal 10 4 8 2" xfId="26108" xr:uid="{00000000-0005-0000-0000-00000B310000}"/>
    <cellStyle name="Normal 10 4 9" xfId="20877" xr:uid="{00000000-0005-0000-0000-00000C310000}"/>
    <cellStyle name="Normal 10 5" xfId="4991" xr:uid="{00000000-0005-0000-0000-00000D310000}"/>
    <cellStyle name="Normal 10 5 2" xfId="6677" xr:uid="{00000000-0005-0000-0000-00000E310000}"/>
    <cellStyle name="Normal 10 5 2 2" xfId="7366" xr:uid="{00000000-0005-0000-0000-00000F310000}"/>
    <cellStyle name="Normal 10 5 2 2 2" xfId="9245" xr:uid="{00000000-0005-0000-0000-000010310000}"/>
    <cellStyle name="Normal 10 5 2 2 2 2" xfId="11624" xr:uid="{00000000-0005-0000-0000-000011310000}"/>
    <cellStyle name="Normal 10 5 2 2 2 2 2" xfId="13051" xr:uid="{00000000-0005-0000-0000-000012310000}"/>
    <cellStyle name="Normal 10 5 2 2 2 2 2 2" xfId="26109" xr:uid="{00000000-0005-0000-0000-000013310000}"/>
    <cellStyle name="Normal 10 5 2 2 2 2 3" xfId="13052" xr:uid="{00000000-0005-0000-0000-000014310000}"/>
    <cellStyle name="Normal 10 5 2 2 2 2 3 2" xfId="26110" xr:uid="{00000000-0005-0000-0000-000015310000}"/>
    <cellStyle name="Normal 10 5 2 2 2 2 4" xfId="24994" xr:uid="{00000000-0005-0000-0000-000016310000}"/>
    <cellStyle name="Normal 10 5 2 2 2 3" xfId="13053" xr:uid="{00000000-0005-0000-0000-000017310000}"/>
    <cellStyle name="Normal 10 5 2 2 2 3 2" xfId="26111" xr:uid="{00000000-0005-0000-0000-000018310000}"/>
    <cellStyle name="Normal 10 5 2 2 2 4" xfId="13054" xr:uid="{00000000-0005-0000-0000-000019310000}"/>
    <cellStyle name="Normal 10 5 2 2 2 4 2" xfId="26112" xr:uid="{00000000-0005-0000-0000-00001A310000}"/>
    <cellStyle name="Normal 10 5 2 2 2 5" xfId="22838" xr:uid="{00000000-0005-0000-0000-00001B310000}"/>
    <cellStyle name="Normal 10 5 2 2 3" xfId="10546" xr:uid="{00000000-0005-0000-0000-00001C310000}"/>
    <cellStyle name="Normal 10 5 2 2 3 2" xfId="13055" xr:uid="{00000000-0005-0000-0000-00001D310000}"/>
    <cellStyle name="Normal 10 5 2 2 3 2 2" xfId="26113" xr:uid="{00000000-0005-0000-0000-00001E310000}"/>
    <cellStyle name="Normal 10 5 2 2 3 3" xfId="13056" xr:uid="{00000000-0005-0000-0000-00001F310000}"/>
    <cellStyle name="Normal 10 5 2 2 3 3 2" xfId="26114" xr:uid="{00000000-0005-0000-0000-000020310000}"/>
    <cellStyle name="Normal 10 5 2 2 3 4" xfId="23916" xr:uid="{00000000-0005-0000-0000-000021310000}"/>
    <cellStyle name="Normal 10 5 2 2 4" xfId="13057" xr:uid="{00000000-0005-0000-0000-000022310000}"/>
    <cellStyle name="Normal 10 5 2 2 4 2" xfId="26115" xr:uid="{00000000-0005-0000-0000-000023310000}"/>
    <cellStyle name="Normal 10 5 2 2 5" xfId="13058" xr:uid="{00000000-0005-0000-0000-000024310000}"/>
    <cellStyle name="Normal 10 5 2 2 5 2" xfId="26116" xr:uid="{00000000-0005-0000-0000-000025310000}"/>
    <cellStyle name="Normal 10 5 2 2 6" xfId="21760" xr:uid="{00000000-0005-0000-0000-000026310000}"/>
    <cellStyle name="Normal 10 5 2 3" xfId="8699" xr:uid="{00000000-0005-0000-0000-000027310000}"/>
    <cellStyle name="Normal 10 5 2 3 2" xfId="11084" xr:uid="{00000000-0005-0000-0000-000028310000}"/>
    <cellStyle name="Normal 10 5 2 3 2 2" xfId="13059" xr:uid="{00000000-0005-0000-0000-000029310000}"/>
    <cellStyle name="Normal 10 5 2 3 2 2 2" xfId="26117" xr:uid="{00000000-0005-0000-0000-00002A310000}"/>
    <cellStyle name="Normal 10 5 2 3 2 3" xfId="13060" xr:uid="{00000000-0005-0000-0000-00002B310000}"/>
    <cellStyle name="Normal 10 5 2 3 2 3 2" xfId="26118" xr:uid="{00000000-0005-0000-0000-00002C310000}"/>
    <cellStyle name="Normal 10 5 2 3 2 4" xfId="24454" xr:uid="{00000000-0005-0000-0000-00002D310000}"/>
    <cellStyle name="Normal 10 5 2 3 3" xfId="13061" xr:uid="{00000000-0005-0000-0000-00002E310000}"/>
    <cellStyle name="Normal 10 5 2 3 3 2" xfId="26119" xr:uid="{00000000-0005-0000-0000-00002F310000}"/>
    <cellStyle name="Normal 10 5 2 3 4" xfId="13062" xr:uid="{00000000-0005-0000-0000-000030310000}"/>
    <cellStyle name="Normal 10 5 2 3 4 2" xfId="26120" xr:uid="{00000000-0005-0000-0000-000031310000}"/>
    <cellStyle name="Normal 10 5 2 3 5" xfId="22298" xr:uid="{00000000-0005-0000-0000-000032310000}"/>
    <cellStyle name="Normal 10 5 2 4" xfId="10006" xr:uid="{00000000-0005-0000-0000-000033310000}"/>
    <cellStyle name="Normal 10 5 2 4 2" xfId="13063" xr:uid="{00000000-0005-0000-0000-000034310000}"/>
    <cellStyle name="Normal 10 5 2 4 2 2" xfId="26121" xr:uid="{00000000-0005-0000-0000-000035310000}"/>
    <cellStyle name="Normal 10 5 2 4 3" xfId="13064" xr:uid="{00000000-0005-0000-0000-000036310000}"/>
    <cellStyle name="Normal 10 5 2 4 3 2" xfId="26122" xr:uid="{00000000-0005-0000-0000-000037310000}"/>
    <cellStyle name="Normal 10 5 2 4 4" xfId="23376" xr:uid="{00000000-0005-0000-0000-000038310000}"/>
    <cellStyle name="Normal 10 5 2 5" xfId="13065" xr:uid="{00000000-0005-0000-0000-000039310000}"/>
    <cellStyle name="Normal 10 5 2 5 2" xfId="26123" xr:uid="{00000000-0005-0000-0000-00003A310000}"/>
    <cellStyle name="Normal 10 5 2 6" xfId="13066" xr:uid="{00000000-0005-0000-0000-00003B310000}"/>
    <cellStyle name="Normal 10 5 2 6 2" xfId="26124" xr:uid="{00000000-0005-0000-0000-00003C310000}"/>
    <cellStyle name="Normal 10 5 2 7" xfId="21220" xr:uid="{00000000-0005-0000-0000-00003D310000}"/>
    <cellStyle name="Normal 10 5 3" xfId="7097" xr:uid="{00000000-0005-0000-0000-00003E310000}"/>
    <cellStyle name="Normal 10 5 3 2" xfId="8976" xr:uid="{00000000-0005-0000-0000-00003F310000}"/>
    <cellStyle name="Normal 10 5 3 2 2" xfId="11355" xr:uid="{00000000-0005-0000-0000-000040310000}"/>
    <cellStyle name="Normal 10 5 3 2 2 2" xfId="13067" xr:uid="{00000000-0005-0000-0000-000041310000}"/>
    <cellStyle name="Normal 10 5 3 2 2 2 2" xfId="26125" xr:uid="{00000000-0005-0000-0000-000042310000}"/>
    <cellStyle name="Normal 10 5 3 2 2 3" xfId="13068" xr:uid="{00000000-0005-0000-0000-000043310000}"/>
    <cellStyle name="Normal 10 5 3 2 2 3 2" xfId="26126" xr:uid="{00000000-0005-0000-0000-000044310000}"/>
    <cellStyle name="Normal 10 5 3 2 2 4" xfId="24725" xr:uid="{00000000-0005-0000-0000-000045310000}"/>
    <cellStyle name="Normal 10 5 3 2 3" xfId="13069" xr:uid="{00000000-0005-0000-0000-000046310000}"/>
    <cellStyle name="Normal 10 5 3 2 3 2" xfId="26127" xr:uid="{00000000-0005-0000-0000-000047310000}"/>
    <cellStyle name="Normal 10 5 3 2 4" xfId="13070" xr:uid="{00000000-0005-0000-0000-000048310000}"/>
    <cellStyle name="Normal 10 5 3 2 4 2" xfId="26128" xr:uid="{00000000-0005-0000-0000-000049310000}"/>
    <cellStyle name="Normal 10 5 3 2 5" xfId="22569" xr:uid="{00000000-0005-0000-0000-00004A310000}"/>
    <cellStyle name="Normal 10 5 3 3" xfId="10277" xr:uid="{00000000-0005-0000-0000-00004B310000}"/>
    <cellStyle name="Normal 10 5 3 3 2" xfId="13071" xr:uid="{00000000-0005-0000-0000-00004C310000}"/>
    <cellStyle name="Normal 10 5 3 3 2 2" xfId="26129" xr:uid="{00000000-0005-0000-0000-00004D310000}"/>
    <cellStyle name="Normal 10 5 3 3 3" xfId="13072" xr:uid="{00000000-0005-0000-0000-00004E310000}"/>
    <cellStyle name="Normal 10 5 3 3 3 2" xfId="26130" xr:uid="{00000000-0005-0000-0000-00004F310000}"/>
    <cellStyle name="Normal 10 5 3 3 4" xfId="23647" xr:uid="{00000000-0005-0000-0000-000050310000}"/>
    <cellStyle name="Normal 10 5 3 4" xfId="13073" xr:uid="{00000000-0005-0000-0000-000051310000}"/>
    <cellStyle name="Normal 10 5 3 4 2" xfId="26131" xr:uid="{00000000-0005-0000-0000-000052310000}"/>
    <cellStyle name="Normal 10 5 3 5" xfId="13074" xr:uid="{00000000-0005-0000-0000-000053310000}"/>
    <cellStyle name="Normal 10 5 3 5 2" xfId="26132" xr:uid="{00000000-0005-0000-0000-000054310000}"/>
    <cellStyle name="Normal 10 5 3 6" xfId="21491" xr:uid="{00000000-0005-0000-0000-000055310000}"/>
    <cellStyle name="Normal 10 5 4" xfId="8349" xr:uid="{00000000-0005-0000-0000-000056310000}"/>
    <cellStyle name="Normal 10 5 4 2" xfId="10815" xr:uid="{00000000-0005-0000-0000-000057310000}"/>
    <cellStyle name="Normal 10 5 4 2 2" xfId="13075" xr:uid="{00000000-0005-0000-0000-000058310000}"/>
    <cellStyle name="Normal 10 5 4 2 2 2" xfId="26133" xr:uid="{00000000-0005-0000-0000-000059310000}"/>
    <cellStyle name="Normal 10 5 4 2 3" xfId="13076" xr:uid="{00000000-0005-0000-0000-00005A310000}"/>
    <cellStyle name="Normal 10 5 4 2 3 2" xfId="26134" xr:uid="{00000000-0005-0000-0000-00005B310000}"/>
    <cellStyle name="Normal 10 5 4 2 4" xfId="24185" xr:uid="{00000000-0005-0000-0000-00005C310000}"/>
    <cellStyle name="Normal 10 5 4 3" xfId="13077" xr:uid="{00000000-0005-0000-0000-00005D310000}"/>
    <cellStyle name="Normal 10 5 4 3 2" xfId="26135" xr:uid="{00000000-0005-0000-0000-00005E310000}"/>
    <cellStyle name="Normal 10 5 4 4" xfId="13078" xr:uid="{00000000-0005-0000-0000-00005F310000}"/>
    <cellStyle name="Normal 10 5 4 4 2" xfId="26136" xr:uid="{00000000-0005-0000-0000-000060310000}"/>
    <cellStyle name="Normal 10 5 4 5" xfId="22029" xr:uid="{00000000-0005-0000-0000-000061310000}"/>
    <cellStyle name="Normal 10 5 5" xfId="9737" xr:uid="{00000000-0005-0000-0000-000062310000}"/>
    <cellStyle name="Normal 10 5 5 2" xfId="13079" xr:uid="{00000000-0005-0000-0000-000063310000}"/>
    <cellStyle name="Normal 10 5 5 2 2" xfId="26137" xr:uid="{00000000-0005-0000-0000-000064310000}"/>
    <cellStyle name="Normal 10 5 5 3" xfId="13080" xr:uid="{00000000-0005-0000-0000-000065310000}"/>
    <cellStyle name="Normal 10 5 5 3 2" xfId="26138" xr:uid="{00000000-0005-0000-0000-000066310000}"/>
    <cellStyle name="Normal 10 5 5 4" xfId="23107" xr:uid="{00000000-0005-0000-0000-000067310000}"/>
    <cellStyle name="Normal 10 5 6" xfId="13081" xr:uid="{00000000-0005-0000-0000-000068310000}"/>
    <cellStyle name="Normal 10 5 6 2" xfId="26139" xr:uid="{00000000-0005-0000-0000-000069310000}"/>
    <cellStyle name="Normal 10 5 7" xfId="13082" xr:uid="{00000000-0005-0000-0000-00006A310000}"/>
    <cellStyle name="Normal 10 5 7 2" xfId="26140" xr:uid="{00000000-0005-0000-0000-00006B310000}"/>
    <cellStyle name="Normal 10 5 8" xfId="20951" xr:uid="{00000000-0005-0000-0000-00006C310000}"/>
    <cellStyle name="Normal 10 6" xfId="6513" xr:uid="{00000000-0005-0000-0000-00006D310000}"/>
    <cellStyle name="Normal 10 6 2" xfId="7238" xr:uid="{00000000-0005-0000-0000-00006E310000}"/>
    <cellStyle name="Normal 10 6 2 2" xfId="9117" xr:uid="{00000000-0005-0000-0000-00006F310000}"/>
    <cellStyle name="Normal 10 6 2 2 2" xfId="11496" xr:uid="{00000000-0005-0000-0000-000070310000}"/>
    <cellStyle name="Normal 10 6 2 2 2 2" xfId="13083" xr:uid="{00000000-0005-0000-0000-000071310000}"/>
    <cellStyle name="Normal 10 6 2 2 2 2 2" xfId="26141" xr:uid="{00000000-0005-0000-0000-000072310000}"/>
    <cellStyle name="Normal 10 6 2 2 2 3" xfId="13084" xr:uid="{00000000-0005-0000-0000-000073310000}"/>
    <cellStyle name="Normal 10 6 2 2 2 3 2" xfId="26142" xr:uid="{00000000-0005-0000-0000-000074310000}"/>
    <cellStyle name="Normal 10 6 2 2 2 4" xfId="24866" xr:uid="{00000000-0005-0000-0000-000075310000}"/>
    <cellStyle name="Normal 10 6 2 2 3" xfId="13085" xr:uid="{00000000-0005-0000-0000-000076310000}"/>
    <cellStyle name="Normal 10 6 2 2 3 2" xfId="26143" xr:uid="{00000000-0005-0000-0000-000077310000}"/>
    <cellStyle name="Normal 10 6 2 2 4" xfId="13086" xr:uid="{00000000-0005-0000-0000-000078310000}"/>
    <cellStyle name="Normal 10 6 2 2 4 2" xfId="26144" xr:uid="{00000000-0005-0000-0000-000079310000}"/>
    <cellStyle name="Normal 10 6 2 2 5" xfId="22710" xr:uid="{00000000-0005-0000-0000-00007A310000}"/>
    <cellStyle name="Normal 10 6 2 3" xfId="10418" xr:uid="{00000000-0005-0000-0000-00007B310000}"/>
    <cellStyle name="Normal 10 6 2 3 2" xfId="13087" xr:uid="{00000000-0005-0000-0000-00007C310000}"/>
    <cellStyle name="Normal 10 6 2 3 2 2" xfId="26145" xr:uid="{00000000-0005-0000-0000-00007D310000}"/>
    <cellStyle name="Normal 10 6 2 3 3" xfId="13088" xr:uid="{00000000-0005-0000-0000-00007E310000}"/>
    <cellStyle name="Normal 10 6 2 3 3 2" xfId="26146" xr:uid="{00000000-0005-0000-0000-00007F310000}"/>
    <cellStyle name="Normal 10 6 2 3 4" xfId="23788" xr:uid="{00000000-0005-0000-0000-000080310000}"/>
    <cellStyle name="Normal 10 6 2 4" xfId="13089" xr:uid="{00000000-0005-0000-0000-000081310000}"/>
    <cellStyle name="Normal 10 6 2 4 2" xfId="26147" xr:uid="{00000000-0005-0000-0000-000082310000}"/>
    <cellStyle name="Normal 10 6 2 5" xfId="13090" xr:uid="{00000000-0005-0000-0000-000083310000}"/>
    <cellStyle name="Normal 10 6 2 5 2" xfId="26148" xr:uid="{00000000-0005-0000-0000-000084310000}"/>
    <cellStyle name="Normal 10 6 2 6" xfId="21632" xr:uid="{00000000-0005-0000-0000-000085310000}"/>
    <cellStyle name="Normal 10 6 3" xfId="8569" xr:uid="{00000000-0005-0000-0000-000086310000}"/>
    <cellStyle name="Normal 10 6 3 2" xfId="10956" xr:uid="{00000000-0005-0000-0000-000087310000}"/>
    <cellStyle name="Normal 10 6 3 2 2" xfId="13091" xr:uid="{00000000-0005-0000-0000-000088310000}"/>
    <cellStyle name="Normal 10 6 3 2 2 2" xfId="26149" xr:uid="{00000000-0005-0000-0000-000089310000}"/>
    <cellStyle name="Normal 10 6 3 2 3" xfId="13092" xr:uid="{00000000-0005-0000-0000-00008A310000}"/>
    <cellStyle name="Normal 10 6 3 2 3 2" xfId="26150" xr:uid="{00000000-0005-0000-0000-00008B310000}"/>
    <cellStyle name="Normal 10 6 3 2 4" xfId="24326" xr:uid="{00000000-0005-0000-0000-00008C310000}"/>
    <cellStyle name="Normal 10 6 3 3" xfId="13093" xr:uid="{00000000-0005-0000-0000-00008D310000}"/>
    <cellStyle name="Normal 10 6 3 3 2" xfId="26151" xr:uid="{00000000-0005-0000-0000-00008E310000}"/>
    <cellStyle name="Normal 10 6 3 4" xfId="13094" xr:uid="{00000000-0005-0000-0000-00008F310000}"/>
    <cellStyle name="Normal 10 6 3 4 2" xfId="26152" xr:uid="{00000000-0005-0000-0000-000090310000}"/>
    <cellStyle name="Normal 10 6 3 5" xfId="22170" xr:uid="{00000000-0005-0000-0000-000091310000}"/>
    <cellStyle name="Normal 10 6 4" xfId="9878" xr:uid="{00000000-0005-0000-0000-000092310000}"/>
    <cellStyle name="Normal 10 6 4 2" xfId="13095" xr:uid="{00000000-0005-0000-0000-000093310000}"/>
    <cellStyle name="Normal 10 6 4 2 2" xfId="26153" xr:uid="{00000000-0005-0000-0000-000094310000}"/>
    <cellStyle name="Normal 10 6 4 3" xfId="13096" xr:uid="{00000000-0005-0000-0000-000095310000}"/>
    <cellStyle name="Normal 10 6 4 3 2" xfId="26154" xr:uid="{00000000-0005-0000-0000-000096310000}"/>
    <cellStyle name="Normal 10 6 4 4" xfId="23248" xr:uid="{00000000-0005-0000-0000-000097310000}"/>
    <cellStyle name="Normal 10 6 5" xfId="13097" xr:uid="{00000000-0005-0000-0000-000098310000}"/>
    <cellStyle name="Normal 10 6 5 2" xfId="26155" xr:uid="{00000000-0005-0000-0000-000099310000}"/>
    <cellStyle name="Normal 10 6 6" xfId="13098" xr:uid="{00000000-0005-0000-0000-00009A310000}"/>
    <cellStyle name="Normal 10 6 6 2" xfId="26156" xr:uid="{00000000-0005-0000-0000-00009B310000}"/>
    <cellStyle name="Normal 10 6 7" xfId="21092" xr:uid="{00000000-0005-0000-0000-00009C310000}"/>
    <cellStyle name="Normal 10 7" xfId="6968" xr:uid="{00000000-0005-0000-0000-00009D310000}"/>
    <cellStyle name="Normal 10 7 2" xfId="8848" xr:uid="{00000000-0005-0000-0000-00009E310000}"/>
    <cellStyle name="Normal 10 7 2 2" xfId="11227" xr:uid="{00000000-0005-0000-0000-00009F310000}"/>
    <cellStyle name="Normal 10 7 2 2 2" xfId="13099" xr:uid="{00000000-0005-0000-0000-0000A0310000}"/>
    <cellStyle name="Normal 10 7 2 2 2 2" xfId="26157" xr:uid="{00000000-0005-0000-0000-0000A1310000}"/>
    <cellStyle name="Normal 10 7 2 2 3" xfId="13100" xr:uid="{00000000-0005-0000-0000-0000A2310000}"/>
    <cellStyle name="Normal 10 7 2 2 3 2" xfId="26158" xr:uid="{00000000-0005-0000-0000-0000A3310000}"/>
    <cellStyle name="Normal 10 7 2 2 4" xfId="24597" xr:uid="{00000000-0005-0000-0000-0000A4310000}"/>
    <cellStyle name="Normal 10 7 2 3" xfId="13101" xr:uid="{00000000-0005-0000-0000-0000A5310000}"/>
    <cellStyle name="Normal 10 7 2 3 2" xfId="26159" xr:uid="{00000000-0005-0000-0000-0000A6310000}"/>
    <cellStyle name="Normal 10 7 2 4" xfId="13102" xr:uid="{00000000-0005-0000-0000-0000A7310000}"/>
    <cellStyle name="Normal 10 7 2 4 2" xfId="26160" xr:uid="{00000000-0005-0000-0000-0000A8310000}"/>
    <cellStyle name="Normal 10 7 2 5" xfId="22441" xr:uid="{00000000-0005-0000-0000-0000A9310000}"/>
    <cellStyle name="Normal 10 7 3" xfId="10149" xr:uid="{00000000-0005-0000-0000-0000AA310000}"/>
    <cellStyle name="Normal 10 7 3 2" xfId="13103" xr:uid="{00000000-0005-0000-0000-0000AB310000}"/>
    <cellStyle name="Normal 10 7 3 2 2" xfId="26161" xr:uid="{00000000-0005-0000-0000-0000AC310000}"/>
    <cellStyle name="Normal 10 7 3 3" xfId="13104" xr:uid="{00000000-0005-0000-0000-0000AD310000}"/>
    <cellStyle name="Normal 10 7 3 3 2" xfId="26162" xr:uid="{00000000-0005-0000-0000-0000AE310000}"/>
    <cellStyle name="Normal 10 7 3 4" xfId="23519" xr:uid="{00000000-0005-0000-0000-0000AF310000}"/>
    <cellStyle name="Normal 10 7 4" xfId="13105" xr:uid="{00000000-0005-0000-0000-0000B0310000}"/>
    <cellStyle name="Normal 10 7 4 2" xfId="26163" xr:uid="{00000000-0005-0000-0000-0000B1310000}"/>
    <cellStyle name="Normal 10 7 5" xfId="13106" xr:uid="{00000000-0005-0000-0000-0000B2310000}"/>
    <cellStyle name="Normal 10 7 5 2" xfId="26164" xr:uid="{00000000-0005-0000-0000-0000B3310000}"/>
    <cellStyle name="Normal 10 7 6" xfId="21363" xr:uid="{00000000-0005-0000-0000-0000B4310000}"/>
    <cellStyle name="Normal 10 8" xfId="8061" xr:uid="{00000000-0005-0000-0000-0000B5310000}"/>
    <cellStyle name="Normal 10 8 2" xfId="10687" xr:uid="{00000000-0005-0000-0000-0000B6310000}"/>
    <cellStyle name="Normal 10 8 2 2" xfId="13107" xr:uid="{00000000-0005-0000-0000-0000B7310000}"/>
    <cellStyle name="Normal 10 8 2 2 2" xfId="26165" xr:uid="{00000000-0005-0000-0000-0000B8310000}"/>
    <cellStyle name="Normal 10 8 2 3" xfId="13108" xr:uid="{00000000-0005-0000-0000-0000B9310000}"/>
    <cellStyle name="Normal 10 8 2 3 2" xfId="26166" xr:uid="{00000000-0005-0000-0000-0000BA310000}"/>
    <cellStyle name="Normal 10 8 2 4" xfId="24057" xr:uid="{00000000-0005-0000-0000-0000BB310000}"/>
    <cellStyle name="Normal 10 8 3" xfId="13109" xr:uid="{00000000-0005-0000-0000-0000BC310000}"/>
    <cellStyle name="Normal 10 8 3 2" xfId="26167" xr:uid="{00000000-0005-0000-0000-0000BD310000}"/>
    <cellStyle name="Normal 10 8 4" xfId="13110" xr:uid="{00000000-0005-0000-0000-0000BE310000}"/>
    <cellStyle name="Normal 10 8 4 2" xfId="26168" xr:uid="{00000000-0005-0000-0000-0000BF310000}"/>
    <cellStyle name="Normal 10 8 5" xfId="21901" xr:uid="{00000000-0005-0000-0000-0000C0310000}"/>
    <cellStyle name="Normal 10 9" xfId="9608" xr:uid="{00000000-0005-0000-0000-0000C1310000}"/>
    <cellStyle name="Normal 10 9 2" xfId="13111" xr:uid="{00000000-0005-0000-0000-0000C2310000}"/>
    <cellStyle name="Normal 10 9 2 2" xfId="26169" xr:uid="{00000000-0005-0000-0000-0000C3310000}"/>
    <cellStyle name="Normal 10 9 3" xfId="13112" xr:uid="{00000000-0005-0000-0000-0000C4310000}"/>
    <cellStyle name="Normal 10 9 3 2" xfId="26170" xr:uid="{00000000-0005-0000-0000-0000C5310000}"/>
    <cellStyle name="Normal 10 9 4" xfId="22979" xr:uid="{00000000-0005-0000-0000-0000C6310000}"/>
    <cellStyle name="Normal 100" xfId="7610" xr:uid="{00000000-0005-0000-0000-0000C7310000}"/>
    <cellStyle name="Normal 101" xfId="7550" xr:uid="{00000000-0005-0000-0000-0000C8310000}"/>
    <cellStyle name="Normal 102" xfId="7636" xr:uid="{00000000-0005-0000-0000-0000C9310000}"/>
    <cellStyle name="Normal 103" xfId="7704" xr:uid="{00000000-0005-0000-0000-0000CA310000}"/>
    <cellStyle name="Normal 104" xfId="7691" xr:uid="{00000000-0005-0000-0000-0000CB310000}"/>
    <cellStyle name="Normal 105" xfId="7613" xr:uid="{00000000-0005-0000-0000-0000CC310000}"/>
    <cellStyle name="Normal 106" xfId="7634" xr:uid="{00000000-0005-0000-0000-0000CD310000}"/>
    <cellStyle name="Normal 107" xfId="6824" xr:uid="{00000000-0005-0000-0000-0000CE310000}"/>
    <cellStyle name="Normal 107 2" xfId="8840" xr:uid="{00000000-0005-0000-0000-0000CF310000}"/>
    <cellStyle name="Normal 107 2 2" xfId="11225" xr:uid="{00000000-0005-0000-0000-0000D0310000}"/>
    <cellStyle name="Normal 107 2 2 2" xfId="13113" xr:uid="{00000000-0005-0000-0000-0000D1310000}"/>
    <cellStyle name="Normal 107 2 2 2 2" xfId="26171" xr:uid="{00000000-0005-0000-0000-0000D2310000}"/>
    <cellStyle name="Normal 107 2 2 3" xfId="13114" xr:uid="{00000000-0005-0000-0000-0000D3310000}"/>
    <cellStyle name="Normal 107 2 2 3 2" xfId="26172" xr:uid="{00000000-0005-0000-0000-0000D4310000}"/>
    <cellStyle name="Normal 107 2 2 4" xfId="24595" xr:uid="{00000000-0005-0000-0000-0000D5310000}"/>
    <cellStyle name="Normal 107 2 3" xfId="13115" xr:uid="{00000000-0005-0000-0000-0000D6310000}"/>
    <cellStyle name="Normal 107 2 3 2" xfId="26173" xr:uid="{00000000-0005-0000-0000-0000D7310000}"/>
    <cellStyle name="Normal 107 2 4" xfId="13116" xr:uid="{00000000-0005-0000-0000-0000D8310000}"/>
    <cellStyle name="Normal 107 2 4 2" xfId="26174" xr:uid="{00000000-0005-0000-0000-0000D9310000}"/>
    <cellStyle name="Normal 107 2 5" xfId="22439" xr:uid="{00000000-0005-0000-0000-0000DA310000}"/>
    <cellStyle name="Normal 107 3" xfId="10147" xr:uid="{00000000-0005-0000-0000-0000DB310000}"/>
    <cellStyle name="Normal 107 3 2" xfId="13117" xr:uid="{00000000-0005-0000-0000-0000DC310000}"/>
    <cellStyle name="Normal 107 3 2 2" xfId="26175" xr:uid="{00000000-0005-0000-0000-0000DD310000}"/>
    <cellStyle name="Normal 107 3 3" xfId="13118" xr:uid="{00000000-0005-0000-0000-0000DE310000}"/>
    <cellStyle name="Normal 107 3 3 2" xfId="26176" xr:uid="{00000000-0005-0000-0000-0000DF310000}"/>
    <cellStyle name="Normal 107 3 4" xfId="23517" xr:uid="{00000000-0005-0000-0000-0000E0310000}"/>
    <cellStyle name="Normal 107 4" xfId="13119" xr:uid="{00000000-0005-0000-0000-0000E1310000}"/>
    <cellStyle name="Normal 107 4 2" xfId="26177" xr:uid="{00000000-0005-0000-0000-0000E2310000}"/>
    <cellStyle name="Normal 107 5" xfId="13120" xr:uid="{00000000-0005-0000-0000-0000E3310000}"/>
    <cellStyle name="Normal 107 5 2" xfId="26178" xr:uid="{00000000-0005-0000-0000-0000E4310000}"/>
    <cellStyle name="Normal 107 6" xfId="21361" xr:uid="{00000000-0005-0000-0000-0000E5310000}"/>
    <cellStyle name="Normal 108" xfId="8060" xr:uid="{00000000-0005-0000-0000-0000E6310000}"/>
    <cellStyle name="Normal 109" xfId="7860" xr:uid="{00000000-0005-0000-0000-0000E7310000}"/>
    <cellStyle name="Normal 11" xfId="2281" xr:uid="{00000000-0005-0000-0000-0000E8310000}"/>
    <cellStyle name="Normal 11 10" xfId="13121" xr:uid="{00000000-0005-0000-0000-0000E9310000}"/>
    <cellStyle name="Normal 11 10 2" xfId="26179" xr:uid="{00000000-0005-0000-0000-0000EA310000}"/>
    <cellStyle name="Normal 11 11" xfId="13122" xr:uid="{00000000-0005-0000-0000-0000EB310000}"/>
    <cellStyle name="Normal 11 11 2" xfId="26180" xr:uid="{00000000-0005-0000-0000-0000EC310000}"/>
    <cellStyle name="Normal 11 12" xfId="20823" xr:uid="{00000000-0005-0000-0000-0000ED310000}"/>
    <cellStyle name="Normal 11 2" xfId="3539" xr:uid="{00000000-0005-0000-0000-0000EE310000}"/>
    <cellStyle name="Normal 11 2 10" xfId="20838" xr:uid="{00000000-0005-0000-0000-0000EF310000}"/>
    <cellStyle name="Normal 11 2 2" xfId="4076" xr:uid="{00000000-0005-0000-0000-0000F0310000}"/>
    <cellStyle name="Normal 11 2 2 2" xfId="5612" xr:uid="{00000000-0005-0000-0000-0000F1310000}"/>
    <cellStyle name="Normal 11 2 2 2 2" xfId="6764" xr:uid="{00000000-0005-0000-0000-0000F2310000}"/>
    <cellStyle name="Normal 11 2 2 2 2 2" xfId="7451" xr:uid="{00000000-0005-0000-0000-0000F3310000}"/>
    <cellStyle name="Normal 11 2 2 2 2 2 2" xfId="9330" xr:uid="{00000000-0005-0000-0000-0000F4310000}"/>
    <cellStyle name="Normal 11 2 2 2 2 2 2 2" xfId="11709" xr:uid="{00000000-0005-0000-0000-0000F5310000}"/>
    <cellStyle name="Normal 11 2 2 2 2 2 2 2 2" xfId="13123" xr:uid="{00000000-0005-0000-0000-0000F6310000}"/>
    <cellStyle name="Normal 11 2 2 2 2 2 2 2 2 2" xfId="26181" xr:uid="{00000000-0005-0000-0000-0000F7310000}"/>
    <cellStyle name="Normal 11 2 2 2 2 2 2 2 3" xfId="13124" xr:uid="{00000000-0005-0000-0000-0000F8310000}"/>
    <cellStyle name="Normal 11 2 2 2 2 2 2 2 3 2" xfId="26182" xr:uid="{00000000-0005-0000-0000-0000F9310000}"/>
    <cellStyle name="Normal 11 2 2 2 2 2 2 2 4" xfId="25079" xr:uid="{00000000-0005-0000-0000-0000FA310000}"/>
    <cellStyle name="Normal 11 2 2 2 2 2 2 3" xfId="13125" xr:uid="{00000000-0005-0000-0000-0000FB310000}"/>
    <cellStyle name="Normal 11 2 2 2 2 2 2 3 2" xfId="26183" xr:uid="{00000000-0005-0000-0000-0000FC310000}"/>
    <cellStyle name="Normal 11 2 2 2 2 2 2 4" xfId="13126" xr:uid="{00000000-0005-0000-0000-0000FD310000}"/>
    <cellStyle name="Normal 11 2 2 2 2 2 2 4 2" xfId="26184" xr:uid="{00000000-0005-0000-0000-0000FE310000}"/>
    <cellStyle name="Normal 11 2 2 2 2 2 2 5" xfId="22923" xr:uid="{00000000-0005-0000-0000-0000FF310000}"/>
    <cellStyle name="Normal 11 2 2 2 2 2 3" xfId="10631" xr:uid="{00000000-0005-0000-0000-000000320000}"/>
    <cellStyle name="Normal 11 2 2 2 2 2 3 2" xfId="13127" xr:uid="{00000000-0005-0000-0000-000001320000}"/>
    <cellStyle name="Normal 11 2 2 2 2 2 3 2 2" xfId="26185" xr:uid="{00000000-0005-0000-0000-000002320000}"/>
    <cellStyle name="Normal 11 2 2 2 2 2 3 3" xfId="13128" xr:uid="{00000000-0005-0000-0000-000003320000}"/>
    <cellStyle name="Normal 11 2 2 2 2 2 3 3 2" xfId="26186" xr:uid="{00000000-0005-0000-0000-000004320000}"/>
    <cellStyle name="Normal 11 2 2 2 2 2 3 4" xfId="24001" xr:uid="{00000000-0005-0000-0000-000005320000}"/>
    <cellStyle name="Normal 11 2 2 2 2 2 4" xfId="13129" xr:uid="{00000000-0005-0000-0000-000006320000}"/>
    <cellStyle name="Normal 11 2 2 2 2 2 4 2" xfId="26187" xr:uid="{00000000-0005-0000-0000-000007320000}"/>
    <cellStyle name="Normal 11 2 2 2 2 2 5" xfId="13130" xr:uid="{00000000-0005-0000-0000-000008320000}"/>
    <cellStyle name="Normal 11 2 2 2 2 2 5 2" xfId="26188" xr:uid="{00000000-0005-0000-0000-000009320000}"/>
    <cellStyle name="Normal 11 2 2 2 2 2 6" xfId="21845" xr:uid="{00000000-0005-0000-0000-00000A320000}"/>
    <cellStyle name="Normal 11 2 2 2 2 3" xfId="8784" xr:uid="{00000000-0005-0000-0000-00000B320000}"/>
    <cellStyle name="Normal 11 2 2 2 2 3 2" xfId="11169" xr:uid="{00000000-0005-0000-0000-00000C320000}"/>
    <cellStyle name="Normal 11 2 2 2 2 3 2 2" xfId="13131" xr:uid="{00000000-0005-0000-0000-00000D320000}"/>
    <cellStyle name="Normal 11 2 2 2 2 3 2 2 2" xfId="26189" xr:uid="{00000000-0005-0000-0000-00000E320000}"/>
    <cellStyle name="Normal 11 2 2 2 2 3 2 3" xfId="13132" xr:uid="{00000000-0005-0000-0000-00000F320000}"/>
    <cellStyle name="Normal 11 2 2 2 2 3 2 3 2" xfId="26190" xr:uid="{00000000-0005-0000-0000-000010320000}"/>
    <cellStyle name="Normal 11 2 2 2 2 3 2 4" xfId="24539" xr:uid="{00000000-0005-0000-0000-000011320000}"/>
    <cellStyle name="Normal 11 2 2 2 2 3 3" xfId="13133" xr:uid="{00000000-0005-0000-0000-000012320000}"/>
    <cellStyle name="Normal 11 2 2 2 2 3 3 2" xfId="26191" xr:uid="{00000000-0005-0000-0000-000013320000}"/>
    <cellStyle name="Normal 11 2 2 2 2 3 4" xfId="13134" xr:uid="{00000000-0005-0000-0000-000014320000}"/>
    <cellStyle name="Normal 11 2 2 2 2 3 4 2" xfId="26192" xr:uid="{00000000-0005-0000-0000-000015320000}"/>
    <cellStyle name="Normal 11 2 2 2 2 3 5" xfId="22383" xr:uid="{00000000-0005-0000-0000-000016320000}"/>
    <cellStyle name="Normal 11 2 2 2 2 4" xfId="10091" xr:uid="{00000000-0005-0000-0000-000017320000}"/>
    <cellStyle name="Normal 11 2 2 2 2 4 2" xfId="13135" xr:uid="{00000000-0005-0000-0000-000018320000}"/>
    <cellStyle name="Normal 11 2 2 2 2 4 2 2" xfId="26193" xr:uid="{00000000-0005-0000-0000-000019320000}"/>
    <cellStyle name="Normal 11 2 2 2 2 4 3" xfId="13136" xr:uid="{00000000-0005-0000-0000-00001A320000}"/>
    <cellStyle name="Normal 11 2 2 2 2 4 3 2" xfId="26194" xr:uid="{00000000-0005-0000-0000-00001B320000}"/>
    <cellStyle name="Normal 11 2 2 2 2 4 4" xfId="23461" xr:uid="{00000000-0005-0000-0000-00001C320000}"/>
    <cellStyle name="Normal 11 2 2 2 2 5" xfId="13137" xr:uid="{00000000-0005-0000-0000-00001D320000}"/>
    <cellStyle name="Normal 11 2 2 2 2 5 2" xfId="26195" xr:uid="{00000000-0005-0000-0000-00001E320000}"/>
    <cellStyle name="Normal 11 2 2 2 2 6" xfId="13138" xr:uid="{00000000-0005-0000-0000-00001F320000}"/>
    <cellStyle name="Normal 11 2 2 2 2 6 2" xfId="26196" xr:uid="{00000000-0005-0000-0000-000020320000}"/>
    <cellStyle name="Normal 11 2 2 2 2 7" xfId="21305" xr:uid="{00000000-0005-0000-0000-000021320000}"/>
    <cellStyle name="Normal 11 2 2 2 3" xfId="7182" xr:uid="{00000000-0005-0000-0000-000022320000}"/>
    <cellStyle name="Normal 11 2 2 2 3 2" xfId="9061" xr:uid="{00000000-0005-0000-0000-000023320000}"/>
    <cellStyle name="Normal 11 2 2 2 3 2 2" xfId="11440" xr:uid="{00000000-0005-0000-0000-000024320000}"/>
    <cellStyle name="Normal 11 2 2 2 3 2 2 2" xfId="13139" xr:uid="{00000000-0005-0000-0000-000025320000}"/>
    <cellStyle name="Normal 11 2 2 2 3 2 2 2 2" xfId="26197" xr:uid="{00000000-0005-0000-0000-000026320000}"/>
    <cellStyle name="Normal 11 2 2 2 3 2 2 3" xfId="13140" xr:uid="{00000000-0005-0000-0000-000027320000}"/>
    <cellStyle name="Normal 11 2 2 2 3 2 2 3 2" xfId="26198" xr:uid="{00000000-0005-0000-0000-000028320000}"/>
    <cellStyle name="Normal 11 2 2 2 3 2 2 4" xfId="24810" xr:uid="{00000000-0005-0000-0000-000029320000}"/>
    <cellStyle name="Normal 11 2 2 2 3 2 3" xfId="13141" xr:uid="{00000000-0005-0000-0000-00002A320000}"/>
    <cellStyle name="Normal 11 2 2 2 3 2 3 2" xfId="26199" xr:uid="{00000000-0005-0000-0000-00002B320000}"/>
    <cellStyle name="Normal 11 2 2 2 3 2 4" xfId="13142" xr:uid="{00000000-0005-0000-0000-00002C320000}"/>
    <cellStyle name="Normal 11 2 2 2 3 2 4 2" xfId="26200" xr:uid="{00000000-0005-0000-0000-00002D320000}"/>
    <cellStyle name="Normal 11 2 2 2 3 2 5" xfId="22654" xr:uid="{00000000-0005-0000-0000-00002E320000}"/>
    <cellStyle name="Normal 11 2 2 2 3 3" xfId="10362" xr:uid="{00000000-0005-0000-0000-00002F320000}"/>
    <cellStyle name="Normal 11 2 2 2 3 3 2" xfId="13143" xr:uid="{00000000-0005-0000-0000-000030320000}"/>
    <cellStyle name="Normal 11 2 2 2 3 3 2 2" xfId="26201" xr:uid="{00000000-0005-0000-0000-000031320000}"/>
    <cellStyle name="Normal 11 2 2 2 3 3 3" xfId="13144" xr:uid="{00000000-0005-0000-0000-000032320000}"/>
    <cellStyle name="Normal 11 2 2 2 3 3 3 2" xfId="26202" xr:uid="{00000000-0005-0000-0000-000033320000}"/>
    <cellStyle name="Normal 11 2 2 2 3 3 4" xfId="23732" xr:uid="{00000000-0005-0000-0000-000034320000}"/>
    <cellStyle name="Normal 11 2 2 2 3 4" xfId="13145" xr:uid="{00000000-0005-0000-0000-000035320000}"/>
    <cellStyle name="Normal 11 2 2 2 3 4 2" xfId="26203" xr:uid="{00000000-0005-0000-0000-000036320000}"/>
    <cellStyle name="Normal 11 2 2 2 3 5" xfId="13146" xr:uid="{00000000-0005-0000-0000-000037320000}"/>
    <cellStyle name="Normal 11 2 2 2 3 5 2" xfId="26204" xr:uid="{00000000-0005-0000-0000-000038320000}"/>
    <cellStyle name="Normal 11 2 2 2 3 6" xfId="21576" xr:uid="{00000000-0005-0000-0000-000039320000}"/>
    <cellStyle name="Normal 11 2 2 2 4" xfId="8459" xr:uid="{00000000-0005-0000-0000-00003A320000}"/>
    <cellStyle name="Normal 11 2 2 2 4 2" xfId="10900" xr:uid="{00000000-0005-0000-0000-00003B320000}"/>
    <cellStyle name="Normal 11 2 2 2 4 2 2" xfId="13147" xr:uid="{00000000-0005-0000-0000-00003C320000}"/>
    <cellStyle name="Normal 11 2 2 2 4 2 2 2" xfId="26205" xr:uid="{00000000-0005-0000-0000-00003D320000}"/>
    <cellStyle name="Normal 11 2 2 2 4 2 3" xfId="13148" xr:uid="{00000000-0005-0000-0000-00003E320000}"/>
    <cellStyle name="Normal 11 2 2 2 4 2 3 2" xfId="26206" xr:uid="{00000000-0005-0000-0000-00003F320000}"/>
    <cellStyle name="Normal 11 2 2 2 4 2 4" xfId="24270" xr:uid="{00000000-0005-0000-0000-000040320000}"/>
    <cellStyle name="Normal 11 2 2 2 4 3" xfId="13149" xr:uid="{00000000-0005-0000-0000-000041320000}"/>
    <cellStyle name="Normal 11 2 2 2 4 3 2" xfId="26207" xr:uid="{00000000-0005-0000-0000-000042320000}"/>
    <cellStyle name="Normal 11 2 2 2 4 4" xfId="13150" xr:uid="{00000000-0005-0000-0000-000043320000}"/>
    <cellStyle name="Normal 11 2 2 2 4 4 2" xfId="26208" xr:uid="{00000000-0005-0000-0000-000044320000}"/>
    <cellStyle name="Normal 11 2 2 2 4 5" xfId="22114" xr:uid="{00000000-0005-0000-0000-000045320000}"/>
    <cellStyle name="Normal 11 2 2 2 5" xfId="9822" xr:uid="{00000000-0005-0000-0000-000046320000}"/>
    <cellStyle name="Normal 11 2 2 2 5 2" xfId="13151" xr:uid="{00000000-0005-0000-0000-000047320000}"/>
    <cellStyle name="Normal 11 2 2 2 5 2 2" xfId="26209" xr:uid="{00000000-0005-0000-0000-000048320000}"/>
    <cellStyle name="Normal 11 2 2 2 5 3" xfId="13152" xr:uid="{00000000-0005-0000-0000-000049320000}"/>
    <cellStyle name="Normal 11 2 2 2 5 3 2" xfId="26210" xr:uid="{00000000-0005-0000-0000-00004A320000}"/>
    <cellStyle name="Normal 11 2 2 2 5 4" xfId="23192" xr:uid="{00000000-0005-0000-0000-00004B320000}"/>
    <cellStyle name="Normal 11 2 2 2 6" xfId="13153" xr:uid="{00000000-0005-0000-0000-00004C320000}"/>
    <cellStyle name="Normal 11 2 2 2 6 2" xfId="26211" xr:uid="{00000000-0005-0000-0000-00004D320000}"/>
    <cellStyle name="Normal 11 2 2 2 7" xfId="13154" xr:uid="{00000000-0005-0000-0000-00004E320000}"/>
    <cellStyle name="Normal 11 2 2 2 7 2" xfId="26212" xr:uid="{00000000-0005-0000-0000-00004F320000}"/>
    <cellStyle name="Normal 11 2 2 2 8" xfId="21036" xr:uid="{00000000-0005-0000-0000-000050320000}"/>
    <cellStyle name="Normal 11 2 2 3" xfId="6613" xr:uid="{00000000-0005-0000-0000-000051320000}"/>
    <cellStyle name="Normal 11 2 2 3 2" xfId="7309" xr:uid="{00000000-0005-0000-0000-000052320000}"/>
    <cellStyle name="Normal 11 2 2 3 2 2" xfId="9188" xr:uid="{00000000-0005-0000-0000-000053320000}"/>
    <cellStyle name="Normal 11 2 2 3 2 2 2" xfId="11567" xr:uid="{00000000-0005-0000-0000-000054320000}"/>
    <cellStyle name="Normal 11 2 2 3 2 2 2 2" xfId="13155" xr:uid="{00000000-0005-0000-0000-000055320000}"/>
    <cellStyle name="Normal 11 2 2 3 2 2 2 2 2" xfId="26213" xr:uid="{00000000-0005-0000-0000-000056320000}"/>
    <cellStyle name="Normal 11 2 2 3 2 2 2 3" xfId="13156" xr:uid="{00000000-0005-0000-0000-000057320000}"/>
    <cellStyle name="Normal 11 2 2 3 2 2 2 3 2" xfId="26214" xr:uid="{00000000-0005-0000-0000-000058320000}"/>
    <cellStyle name="Normal 11 2 2 3 2 2 2 4" xfId="24937" xr:uid="{00000000-0005-0000-0000-000059320000}"/>
    <cellStyle name="Normal 11 2 2 3 2 2 3" xfId="13157" xr:uid="{00000000-0005-0000-0000-00005A320000}"/>
    <cellStyle name="Normal 11 2 2 3 2 2 3 2" xfId="26215" xr:uid="{00000000-0005-0000-0000-00005B320000}"/>
    <cellStyle name="Normal 11 2 2 3 2 2 4" xfId="13158" xr:uid="{00000000-0005-0000-0000-00005C320000}"/>
    <cellStyle name="Normal 11 2 2 3 2 2 4 2" xfId="26216" xr:uid="{00000000-0005-0000-0000-00005D320000}"/>
    <cellStyle name="Normal 11 2 2 3 2 2 5" xfId="22781" xr:uid="{00000000-0005-0000-0000-00005E320000}"/>
    <cellStyle name="Normal 11 2 2 3 2 3" xfId="10489" xr:uid="{00000000-0005-0000-0000-00005F320000}"/>
    <cellStyle name="Normal 11 2 2 3 2 3 2" xfId="13159" xr:uid="{00000000-0005-0000-0000-000060320000}"/>
    <cellStyle name="Normal 11 2 2 3 2 3 2 2" xfId="26217" xr:uid="{00000000-0005-0000-0000-000061320000}"/>
    <cellStyle name="Normal 11 2 2 3 2 3 3" xfId="13160" xr:uid="{00000000-0005-0000-0000-000062320000}"/>
    <cellStyle name="Normal 11 2 2 3 2 3 3 2" xfId="26218" xr:uid="{00000000-0005-0000-0000-000063320000}"/>
    <cellStyle name="Normal 11 2 2 3 2 3 4" xfId="23859" xr:uid="{00000000-0005-0000-0000-000064320000}"/>
    <cellStyle name="Normal 11 2 2 3 2 4" xfId="13161" xr:uid="{00000000-0005-0000-0000-000065320000}"/>
    <cellStyle name="Normal 11 2 2 3 2 4 2" xfId="26219" xr:uid="{00000000-0005-0000-0000-000066320000}"/>
    <cellStyle name="Normal 11 2 2 3 2 5" xfId="13162" xr:uid="{00000000-0005-0000-0000-000067320000}"/>
    <cellStyle name="Normal 11 2 2 3 2 5 2" xfId="26220" xr:uid="{00000000-0005-0000-0000-000068320000}"/>
    <cellStyle name="Normal 11 2 2 3 2 6" xfId="21703" xr:uid="{00000000-0005-0000-0000-000069320000}"/>
    <cellStyle name="Normal 11 2 2 3 3" xfId="8641" xr:uid="{00000000-0005-0000-0000-00006A320000}"/>
    <cellStyle name="Normal 11 2 2 3 3 2" xfId="11027" xr:uid="{00000000-0005-0000-0000-00006B320000}"/>
    <cellStyle name="Normal 11 2 2 3 3 2 2" xfId="13163" xr:uid="{00000000-0005-0000-0000-00006C320000}"/>
    <cellStyle name="Normal 11 2 2 3 3 2 2 2" xfId="26221" xr:uid="{00000000-0005-0000-0000-00006D320000}"/>
    <cellStyle name="Normal 11 2 2 3 3 2 3" xfId="13164" xr:uid="{00000000-0005-0000-0000-00006E320000}"/>
    <cellStyle name="Normal 11 2 2 3 3 2 3 2" xfId="26222" xr:uid="{00000000-0005-0000-0000-00006F320000}"/>
    <cellStyle name="Normal 11 2 2 3 3 2 4" xfId="24397" xr:uid="{00000000-0005-0000-0000-000070320000}"/>
    <cellStyle name="Normal 11 2 2 3 3 3" xfId="13165" xr:uid="{00000000-0005-0000-0000-000071320000}"/>
    <cellStyle name="Normal 11 2 2 3 3 3 2" xfId="26223" xr:uid="{00000000-0005-0000-0000-000072320000}"/>
    <cellStyle name="Normal 11 2 2 3 3 4" xfId="13166" xr:uid="{00000000-0005-0000-0000-000073320000}"/>
    <cellStyle name="Normal 11 2 2 3 3 4 2" xfId="26224" xr:uid="{00000000-0005-0000-0000-000074320000}"/>
    <cellStyle name="Normal 11 2 2 3 3 5" xfId="22241" xr:uid="{00000000-0005-0000-0000-000075320000}"/>
    <cellStyle name="Normal 11 2 2 3 4" xfId="9949" xr:uid="{00000000-0005-0000-0000-000076320000}"/>
    <cellStyle name="Normal 11 2 2 3 4 2" xfId="13167" xr:uid="{00000000-0005-0000-0000-000077320000}"/>
    <cellStyle name="Normal 11 2 2 3 4 2 2" xfId="26225" xr:uid="{00000000-0005-0000-0000-000078320000}"/>
    <cellStyle name="Normal 11 2 2 3 4 3" xfId="13168" xr:uid="{00000000-0005-0000-0000-000079320000}"/>
    <cellStyle name="Normal 11 2 2 3 4 3 2" xfId="26226" xr:uid="{00000000-0005-0000-0000-00007A320000}"/>
    <cellStyle name="Normal 11 2 2 3 4 4" xfId="23319" xr:uid="{00000000-0005-0000-0000-00007B320000}"/>
    <cellStyle name="Normal 11 2 2 3 5" xfId="13169" xr:uid="{00000000-0005-0000-0000-00007C320000}"/>
    <cellStyle name="Normal 11 2 2 3 5 2" xfId="26227" xr:uid="{00000000-0005-0000-0000-00007D320000}"/>
    <cellStyle name="Normal 11 2 2 3 6" xfId="13170" xr:uid="{00000000-0005-0000-0000-00007E320000}"/>
    <cellStyle name="Normal 11 2 2 3 6 2" xfId="26228" xr:uid="{00000000-0005-0000-0000-00007F320000}"/>
    <cellStyle name="Normal 11 2 2 3 7" xfId="21163" xr:uid="{00000000-0005-0000-0000-000080320000}"/>
    <cellStyle name="Normal 11 2 2 4" xfId="7039" xr:uid="{00000000-0005-0000-0000-000081320000}"/>
    <cellStyle name="Normal 11 2 2 4 2" xfId="8919" xr:uid="{00000000-0005-0000-0000-000082320000}"/>
    <cellStyle name="Normal 11 2 2 4 2 2" xfId="11298" xr:uid="{00000000-0005-0000-0000-000083320000}"/>
    <cellStyle name="Normal 11 2 2 4 2 2 2" xfId="13171" xr:uid="{00000000-0005-0000-0000-000084320000}"/>
    <cellStyle name="Normal 11 2 2 4 2 2 2 2" xfId="26229" xr:uid="{00000000-0005-0000-0000-000085320000}"/>
    <cellStyle name="Normal 11 2 2 4 2 2 3" xfId="13172" xr:uid="{00000000-0005-0000-0000-000086320000}"/>
    <cellStyle name="Normal 11 2 2 4 2 2 3 2" xfId="26230" xr:uid="{00000000-0005-0000-0000-000087320000}"/>
    <cellStyle name="Normal 11 2 2 4 2 2 4" xfId="24668" xr:uid="{00000000-0005-0000-0000-000088320000}"/>
    <cellStyle name="Normal 11 2 2 4 2 3" xfId="13173" xr:uid="{00000000-0005-0000-0000-000089320000}"/>
    <cellStyle name="Normal 11 2 2 4 2 3 2" xfId="26231" xr:uid="{00000000-0005-0000-0000-00008A320000}"/>
    <cellStyle name="Normal 11 2 2 4 2 4" xfId="13174" xr:uid="{00000000-0005-0000-0000-00008B320000}"/>
    <cellStyle name="Normal 11 2 2 4 2 4 2" xfId="26232" xr:uid="{00000000-0005-0000-0000-00008C320000}"/>
    <cellStyle name="Normal 11 2 2 4 2 5" xfId="22512" xr:uid="{00000000-0005-0000-0000-00008D320000}"/>
    <cellStyle name="Normal 11 2 2 4 3" xfId="10220" xr:uid="{00000000-0005-0000-0000-00008E320000}"/>
    <cellStyle name="Normal 11 2 2 4 3 2" xfId="13175" xr:uid="{00000000-0005-0000-0000-00008F320000}"/>
    <cellStyle name="Normal 11 2 2 4 3 2 2" xfId="26233" xr:uid="{00000000-0005-0000-0000-000090320000}"/>
    <cellStyle name="Normal 11 2 2 4 3 3" xfId="13176" xr:uid="{00000000-0005-0000-0000-000091320000}"/>
    <cellStyle name="Normal 11 2 2 4 3 3 2" xfId="26234" xr:uid="{00000000-0005-0000-0000-000092320000}"/>
    <cellStyle name="Normal 11 2 2 4 3 4" xfId="23590" xr:uid="{00000000-0005-0000-0000-000093320000}"/>
    <cellStyle name="Normal 11 2 2 4 4" xfId="13177" xr:uid="{00000000-0005-0000-0000-000094320000}"/>
    <cellStyle name="Normal 11 2 2 4 4 2" xfId="26235" xr:uid="{00000000-0005-0000-0000-000095320000}"/>
    <cellStyle name="Normal 11 2 2 4 5" xfId="13178" xr:uid="{00000000-0005-0000-0000-000096320000}"/>
    <cellStyle name="Normal 11 2 2 4 5 2" xfId="26236" xr:uid="{00000000-0005-0000-0000-000097320000}"/>
    <cellStyle name="Normal 11 2 2 4 6" xfId="21434" xr:uid="{00000000-0005-0000-0000-000098320000}"/>
    <cellStyle name="Normal 11 2 2 5" xfId="8243" xr:uid="{00000000-0005-0000-0000-000099320000}"/>
    <cellStyle name="Normal 11 2 2 5 2" xfId="10758" xr:uid="{00000000-0005-0000-0000-00009A320000}"/>
    <cellStyle name="Normal 11 2 2 5 2 2" xfId="13179" xr:uid="{00000000-0005-0000-0000-00009B320000}"/>
    <cellStyle name="Normal 11 2 2 5 2 2 2" xfId="26237" xr:uid="{00000000-0005-0000-0000-00009C320000}"/>
    <cellStyle name="Normal 11 2 2 5 2 3" xfId="13180" xr:uid="{00000000-0005-0000-0000-00009D320000}"/>
    <cellStyle name="Normal 11 2 2 5 2 3 2" xfId="26238" xr:uid="{00000000-0005-0000-0000-00009E320000}"/>
    <cellStyle name="Normal 11 2 2 5 2 4" xfId="24128" xr:uid="{00000000-0005-0000-0000-00009F320000}"/>
    <cellStyle name="Normal 11 2 2 5 3" xfId="13181" xr:uid="{00000000-0005-0000-0000-0000A0320000}"/>
    <cellStyle name="Normal 11 2 2 5 3 2" xfId="26239" xr:uid="{00000000-0005-0000-0000-0000A1320000}"/>
    <cellStyle name="Normal 11 2 2 5 4" xfId="13182" xr:uid="{00000000-0005-0000-0000-0000A2320000}"/>
    <cellStyle name="Normal 11 2 2 5 4 2" xfId="26240" xr:uid="{00000000-0005-0000-0000-0000A3320000}"/>
    <cellStyle name="Normal 11 2 2 5 5" xfId="21972" xr:uid="{00000000-0005-0000-0000-0000A4320000}"/>
    <cellStyle name="Normal 11 2 2 6" xfId="9679" xr:uid="{00000000-0005-0000-0000-0000A5320000}"/>
    <cellStyle name="Normal 11 2 2 6 2" xfId="13183" xr:uid="{00000000-0005-0000-0000-0000A6320000}"/>
    <cellStyle name="Normal 11 2 2 6 2 2" xfId="26241" xr:uid="{00000000-0005-0000-0000-0000A7320000}"/>
    <cellStyle name="Normal 11 2 2 6 3" xfId="13184" xr:uid="{00000000-0005-0000-0000-0000A8320000}"/>
    <cellStyle name="Normal 11 2 2 6 3 2" xfId="26242" xr:uid="{00000000-0005-0000-0000-0000A9320000}"/>
    <cellStyle name="Normal 11 2 2 6 4" xfId="23050" xr:uid="{00000000-0005-0000-0000-0000AA320000}"/>
    <cellStyle name="Normal 11 2 2 7" xfId="13185" xr:uid="{00000000-0005-0000-0000-0000AB320000}"/>
    <cellStyle name="Normal 11 2 2 7 2" xfId="26243" xr:uid="{00000000-0005-0000-0000-0000AC320000}"/>
    <cellStyle name="Normal 11 2 2 8" xfId="13186" xr:uid="{00000000-0005-0000-0000-0000AD320000}"/>
    <cellStyle name="Normal 11 2 2 8 2" xfId="26244" xr:uid="{00000000-0005-0000-0000-0000AE320000}"/>
    <cellStyle name="Normal 11 2 2 9" xfId="20893" xr:uid="{00000000-0005-0000-0000-0000AF320000}"/>
    <cellStyle name="Normal 11 2 3" xfId="5421" xr:uid="{00000000-0005-0000-0000-0000B0320000}"/>
    <cellStyle name="Normal 11 2 3 2" xfId="6704" xr:uid="{00000000-0005-0000-0000-0000B1320000}"/>
    <cellStyle name="Normal 11 2 3 2 2" xfId="7391" xr:uid="{00000000-0005-0000-0000-0000B2320000}"/>
    <cellStyle name="Normal 11 2 3 2 2 2" xfId="9270" xr:uid="{00000000-0005-0000-0000-0000B3320000}"/>
    <cellStyle name="Normal 11 2 3 2 2 2 2" xfId="11649" xr:uid="{00000000-0005-0000-0000-0000B4320000}"/>
    <cellStyle name="Normal 11 2 3 2 2 2 2 2" xfId="13187" xr:uid="{00000000-0005-0000-0000-0000B5320000}"/>
    <cellStyle name="Normal 11 2 3 2 2 2 2 2 2" xfId="26245" xr:uid="{00000000-0005-0000-0000-0000B6320000}"/>
    <cellStyle name="Normal 11 2 3 2 2 2 2 3" xfId="13188" xr:uid="{00000000-0005-0000-0000-0000B7320000}"/>
    <cellStyle name="Normal 11 2 3 2 2 2 2 3 2" xfId="26246" xr:uid="{00000000-0005-0000-0000-0000B8320000}"/>
    <cellStyle name="Normal 11 2 3 2 2 2 2 4" xfId="25019" xr:uid="{00000000-0005-0000-0000-0000B9320000}"/>
    <cellStyle name="Normal 11 2 3 2 2 2 3" xfId="13189" xr:uid="{00000000-0005-0000-0000-0000BA320000}"/>
    <cellStyle name="Normal 11 2 3 2 2 2 3 2" xfId="26247" xr:uid="{00000000-0005-0000-0000-0000BB320000}"/>
    <cellStyle name="Normal 11 2 3 2 2 2 4" xfId="13190" xr:uid="{00000000-0005-0000-0000-0000BC320000}"/>
    <cellStyle name="Normal 11 2 3 2 2 2 4 2" xfId="26248" xr:uid="{00000000-0005-0000-0000-0000BD320000}"/>
    <cellStyle name="Normal 11 2 3 2 2 2 5" xfId="22863" xr:uid="{00000000-0005-0000-0000-0000BE320000}"/>
    <cellStyle name="Normal 11 2 3 2 2 3" xfId="10571" xr:uid="{00000000-0005-0000-0000-0000BF320000}"/>
    <cellStyle name="Normal 11 2 3 2 2 3 2" xfId="13191" xr:uid="{00000000-0005-0000-0000-0000C0320000}"/>
    <cellStyle name="Normal 11 2 3 2 2 3 2 2" xfId="26249" xr:uid="{00000000-0005-0000-0000-0000C1320000}"/>
    <cellStyle name="Normal 11 2 3 2 2 3 3" xfId="13192" xr:uid="{00000000-0005-0000-0000-0000C2320000}"/>
    <cellStyle name="Normal 11 2 3 2 2 3 3 2" xfId="26250" xr:uid="{00000000-0005-0000-0000-0000C3320000}"/>
    <cellStyle name="Normal 11 2 3 2 2 3 4" xfId="23941" xr:uid="{00000000-0005-0000-0000-0000C4320000}"/>
    <cellStyle name="Normal 11 2 3 2 2 4" xfId="13193" xr:uid="{00000000-0005-0000-0000-0000C5320000}"/>
    <cellStyle name="Normal 11 2 3 2 2 4 2" xfId="26251" xr:uid="{00000000-0005-0000-0000-0000C6320000}"/>
    <cellStyle name="Normal 11 2 3 2 2 5" xfId="13194" xr:uid="{00000000-0005-0000-0000-0000C7320000}"/>
    <cellStyle name="Normal 11 2 3 2 2 5 2" xfId="26252" xr:uid="{00000000-0005-0000-0000-0000C8320000}"/>
    <cellStyle name="Normal 11 2 3 2 2 6" xfId="21785" xr:uid="{00000000-0005-0000-0000-0000C9320000}"/>
    <cellStyle name="Normal 11 2 3 2 3" xfId="8724" xr:uid="{00000000-0005-0000-0000-0000CA320000}"/>
    <cellStyle name="Normal 11 2 3 2 3 2" xfId="11109" xr:uid="{00000000-0005-0000-0000-0000CB320000}"/>
    <cellStyle name="Normal 11 2 3 2 3 2 2" xfId="13195" xr:uid="{00000000-0005-0000-0000-0000CC320000}"/>
    <cellStyle name="Normal 11 2 3 2 3 2 2 2" xfId="26253" xr:uid="{00000000-0005-0000-0000-0000CD320000}"/>
    <cellStyle name="Normal 11 2 3 2 3 2 3" xfId="13196" xr:uid="{00000000-0005-0000-0000-0000CE320000}"/>
    <cellStyle name="Normal 11 2 3 2 3 2 3 2" xfId="26254" xr:uid="{00000000-0005-0000-0000-0000CF320000}"/>
    <cellStyle name="Normal 11 2 3 2 3 2 4" xfId="24479" xr:uid="{00000000-0005-0000-0000-0000D0320000}"/>
    <cellStyle name="Normal 11 2 3 2 3 3" xfId="13197" xr:uid="{00000000-0005-0000-0000-0000D1320000}"/>
    <cellStyle name="Normal 11 2 3 2 3 3 2" xfId="26255" xr:uid="{00000000-0005-0000-0000-0000D2320000}"/>
    <cellStyle name="Normal 11 2 3 2 3 4" xfId="13198" xr:uid="{00000000-0005-0000-0000-0000D3320000}"/>
    <cellStyle name="Normal 11 2 3 2 3 4 2" xfId="26256" xr:uid="{00000000-0005-0000-0000-0000D4320000}"/>
    <cellStyle name="Normal 11 2 3 2 3 5" xfId="22323" xr:uid="{00000000-0005-0000-0000-0000D5320000}"/>
    <cellStyle name="Normal 11 2 3 2 4" xfId="10031" xr:uid="{00000000-0005-0000-0000-0000D6320000}"/>
    <cellStyle name="Normal 11 2 3 2 4 2" xfId="13199" xr:uid="{00000000-0005-0000-0000-0000D7320000}"/>
    <cellStyle name="Normal 11 2 3 2 4 2 2" xfId="26257" xr:uid="{00000000-0005-0000-0000-0000D8320000}"/>
    <cellStyle name="Normal 11 2 3 2 4 3" xfId="13200" xr:uid="{00000000-0005-0000-0000-0000D9320000}"/>
    <cellStyle name="Normal 11 2 3 2 4 3 2" xfId="26258" xr:uid="{00000000-0005-0000-0000-0000DA320000}"/>
    <cellStyle name="Normal 11 2 3 2 4 4" xfId="23401" xr:uid="{00000000-0005-0000-0000-0000DB320000}"/>
    <cellStyle name="Normal 11 2 3 2 5" xfId="13201" xr:uid="{00000000-0005-0000-0000-0000DC320000}"/>
    <cellStyle name="Normal 11 2 3 2 5 2" xfId="26259" xr:uid="{00000000-0005-0000-0000-0000DD320000}"/>
    <cellStyle name="Normal 11 2 3 2 6" xfId="13202" xr:uid="{00000000-0005-0000-0000-0000DE320000}"/>
    <cellStyle name="Normal 11 2 3 2 6 2" xfId="26260" xr:uid="{00000000-0005-0000-0000-0000DF320000}"/>
    <cellStyle name="Normal 11 2 3 2 7" xfId="21245" xr:uid="{00000000-0005-0000-0000-0000E0320000}"/>
    <cellStyle name="Normal 11 2 3 3" xfId="7122" xr:uid="{00000000-0005-0000-0000-0000E1320000}"/>
    <cellStyle name="Normal 11 2 3 3 2" xfId="9001" xr:uid="{00000000-0005-0000-0000-0000E2320000}"/>
    <cellStyle name="Normal 11 2 3 3 2 2" xfId="11380" xr:uid="{00000000-0005-0000-0000-0000E3320000}"/>
    <cellStyle name="Normal 11 2 3 3 2 2 2" xfId="13203" xr:uid="{00000000-0005-0000-0000-0000E4320000}"/>
    <cellStyle name="Normal 11 2 3 3 2 2 2 2" xfId="26261" xr:uid="{00000000-0005-0000-0000-0000E5320000}"/>
    <cellStyle name="Normal 11 2 3 3 2 2 3" xfId="13204" xr:uid="{00000000-0005-0000-0000-0000E6320000}"/>
    <cellStyle name="Normal 11 2 3 3 2 2 3 2" xfId="26262" xr:uid="{00000000-0005-0000-0000-0000E7320000}"/>
    <cellStyle name="Normal 11 2 3 3 2 2 4" xfId="24750" xr:uid="{00000000-0005-0000-0000-0000E8320000}"/>
    <cellStyle name="Normal 11 2 3 3 2 3" xfId="13205" xr:uid="{00000000-0005-0000-0000-0000E9320000}"/>
    <cellStyle name="Normal 11 2 3 3 2 3 2" xfId="26263" xr:uid="{00000000-0005-0000-0000-0000EA320000}"/>
    <cellStyle name="Normal 11 2 3 3 2 4" xfId="13206" xr:uid="{00000000-0005-0000-0000-0000EB320000}"/>
    <cellStyle name="Normal 11 2 3 3 2 4 2" xfId="26264" xr:uid="{00000000-0005-0000-0000-0000EC320000}"/>
    <cellStyle name="Normal 11 2 3 3 2 5" xfId="22594" xr:uid="{00000000-0005-0000-0000-0000ED320000}"/>
    <cellStyle name="Normal 11 2 3 3 3" xfId="10302" xr:uid="{00000000-0005-0000-0000-0000EE320000}"/>
    <cellStyle name="Normal 11 2 3 3 3 2" xfId="13207" xr:uid="{00000000-0005-0000-0000-0000EF320000}"/>
    <cellStyle name="Normal 11 2 3 3 3 2 2" xfId="26265" xr:uid="{00000000-0005-0000-0000-0000F0320000}"/>
    <cellStyle name="Normal 11 2 3 3 3 3" xfId="13208" xr:uid="{00000000-0005-0000-0000-0000F1320000}"/>
    <cellStyle name="Normal 11 2 3 3 3 3 2" xfId="26266" xr:uid="{00000000-0005-0000-0000-0000F2320000}"/>
    <cellStyle name="Normal 11 2 3 3 3 4" xfId="23672" xr:uid="{00000000-0005-0000-0000-0000F3320000}"/>
    <cellStyle name="Normal 11 2 3 3 4" xfId="13209" xr:uid="{00000000-0005-0000-0000-0000F4320000}"/>
    <cellStyle name="Normal 11 2 3 3 4 2" xfId="26267" xr:uid="{00000000-0005-0000-0000-0000F5320000}"/>
    <cellStyle name="Normal 11 2 3 3 5" xfId="13210" xr:uid="{00000000-0005-0000-0000-0000F6320000}"/>
    <cellStyle name="Normal 11 2 3 3 5 2" xfId="26268" xr:uid="{00000000-0005-0000-0000-0000F7320000}"/>
    <cellStyle name="Normal 11 2 3 3 6" xfId="21516" xr:uid="{00000000-0005-0000-0000-0000F8320000}"/>
    <cellStyle name="Normal 11 2 3 4" xfId="8392" xr:uid="{00000000-0005-0000-0000-0000F9320000}"/>
    <cellStyle name="Normal 11 2 3 4 2" xfId="10840" xr:uid="{00000000-0005-0000-0000-0000FA320000}"/>
    <cellStyle name="Normal 11 2 3 4 2 2" xfId="13211" xr:uid="{00000000-0005-0000-0000-0000FB320000}"/>
    <cellStyle name="Normal 11 2 3 4 2 2 2" xfId="26269" xr:uid="{00000000-0005-0000-0000-0000FC320000}"/>
    <cellStyle name="Normal 11 2 3 4 2 3" xfId="13212" xr:uid="{00000000-0005-0000-0000-0000FD320000}"/>
    <cellStyle name="Normal 11 2 3 4 2 3 2" xfId="26270" xr:uid="{00000000-0005-0000-0000-0000FE320000}"/>
    <cellStyle name="Normal 11 2 3 4 2 4" xfId="24210" xr:uid="{00000000-0005-0000-0000-0000FF320000}"/>
    <cellStyle name="Normal 11 2 3 4 3" xfId="13213" xr:uid="{00000000-0005-0000-0000-000000330000}"/>
    <cellStyle name="Normal 11 2 3 4 3 2" xfId="26271" xr:uid="{00000000-0005-0000-0000-000001330000}"/>
    <cellStyle name="Normal 11 2 3 4 4" xfId="13214" xr:uid="{00000000-0005-0000-0000-000002330000}"/>
    <cellStyle name="Normal 11 2 3 4 4 2" xfId="26272" xr:uid="{00000000-0005-0000-0000-000003330000}"/>
    <cellStyle name="Normal 11 2 3 4 5" xfId="22054" xr:uid="{00000000-0005-0000-0000-000004330000}"/>
    <cellStyle name="Normal 11 2 3 5" xfId="9762" xr:uid="{00000000-0005-0000-0000-000005330000}"/>
    <cellStyle name="Normal 11 2 3 5 2" xfId="13215" xr:uid="{00000000-0005-0000-0000-000006330000}"/>
    <cellStyle name="Normal 11 2 3 5 2 2" xfId="26273" xr:uid="{00000000-0005-0000-0000-000007330000}"/>
    <cellStyle name="Normal 11 2 3 5 3" xfId="13216" xr:uid="{00000000-0005-0000-0000-000008330000}"/>
    <cellStyle name="Normal 11 2 3 5 3 2" xfId="26274" xr:uid="{00000000-0005-0000-0000-000009330000}"/>
    <cellStyle name="Normal 11 2 3 5 4" xfId="23132" xr:uid="{00000000-0005-0000-0000-00000A330000}"/>
    <cellStyle name="Normal 11 2 3 6" xfId="13217" xr:uid="{00000000-0005-0000-0000-00000B330000}"/>
    <cellStyle name="Normal 11 2 3 6 2" xfId="26275" xr:uid="{00000000-0005-0000-0000-00000C330000}"/>
    <cellStyle name="Normal 11 2 3 7" xfId="13218" xr:uid="{00000000-0005-0000-0000-00000D330000}"/>
    <cellStyle name="Normal 11 2 3 7 2" xfId="26276" xr:uid="{00000000-0005-0000-0000-00000E330000}"/>
    <cellStyle name="Normal 11 2 3 8" xfId="20976" xr:uid="{00000000-0005-0000-0000-00000F330000}"/>
    <cellStyle name="Normal 11 2 4" xfId="6553" xr:uid="{00000000-0005-0000-0000-000010330000}"/>
    <cellStyle name="Normal 11 2 4 2" xfId="7254" xr:uid="{00000000-0005-0000-0000-000011330000}"/>
    <cellStyle name="Normal 11 2 4 2 2" xfId="9133" xr:uid="{00000000-0005-0000-0000-000012330000}"/>
    <cellStyle name="Normal 11 2 4 2 2 2" xfId="11512" xr:uid="{00000000-0005-0000-0000-000013330000}"/>
    <cellStyle name="Normal 11 2 4 2 2 2 2" xfId="13219" xr:uid="{00000000-0005-0000-0000-000014330000}"/>
    <cellStyle name="Normal 11 2 4 2 2 2 2 2" xfId="26277" xr:uid="{00000000-0005-0000-0000-000015330000}"/>
    <cellStyle name="Normal 11 2 4 2 2 2 3" xfId="13220" xr:uid="{00000000-0005-0000-0000-000016330000}"/>
    <cellStyle name="Normal 11 2 4 2 2 2 3 2" xfId="26278" xr:uid="{00000000-0005-0000-0000-000017330000}"/>
    <cellStyle name="Normal 11 2 4 2 2 2 4" xfId="24882" xr:uid="{00000000-0005-0000-0000-000018330000}"/>
    <cellStyle name="Normal 11 2 4 2 2 3" xfId="13221" xr:uid="{00000000-0005-0000-0000-000019330000}"/>
    <cellStyle name="Normal 11 2 4 2 2 3 2" xfId="26279" xr:uid="{00000000-0005-0000-0000-00001A330000}"/>
    <cellStyle name="Normal 11 2 4 2 2 4" xfId="13222" xr:uid="{00000000-0005-0000-0000-00001B330000}"/>
    <cellStyle name="Normal 11 2 4 2 2 4 2" xfId="26280" xr:uid="{00000000-0005-0000-0000-00001C330000}"/>
    <cellStyle name="Normal 11 2 4 2 2 5" xfId="22726" xr:uid="{00000000-0005-0000-0000-00001D330000}"/>
    <cellStyle name="Normal 11 2 4 2 3" xfId="10434" xr:uid="{00000000-0005-0000-0000-00001E330000}"/>
    <cellStyle name="Normal 11 2 4 2 3 2" xfId="13223" xr:uid="{00000000-0005-0000-0000-00001F330000}"/>
    <cellStyle name="Normal 11 2 4 2 3 2 2" xfId="26281" xr:uid="{00000000-0005-0000-0000-000020330000}"/>
    <cellStyle name="Normal 11 2 4 2 3 3" xfId="13224" xr:uid="{00000000-0005-0000-0000-000021330000}"/>
    <cellStyle name="Normal 11 2 4 2 3 3 2" xfId="26282" xr:uid="{00000000-0005-0000-0000-000022330000}"/>
    <cellStyle name="Normal 11 2 4 2 3 4" xfId="23804" xr:uid="{00000000-0005-0000-0000-000023330000}"/>
    <cellStyle name="Normal 11 2 4 2 4" xfId="13225" xr:uid="{00000000-0005-0000-0000-000024330000}"/>
    <cellStyle name="Normal 11 2 4 2 4 2" xfId="26283" xr:uid="{00000000-0005-0000-0000-000025330000}"/>
    <cellStyle name="Normal 11 2 4 2 5" xfId="13226" xr:uid="{00000000-0005-0000-0000-000026330000}"/>
    <cellStyle name="Normal 11 2 4 2 5 2" xfId="26284" xr:uid="{00000000-0005-0000-0000-000027330000}"/>
    <cellStyle name="Normal 11 2 4 2 6" xfId="21648" xr:uid="{00000000-0005-0000-0000-000028330000}"/>
    <cellStyle name="Normal 11 2 4 3" xfId="8586" xr:uid="{00000000-0005-0000-0000-000029330000}"/>
    <cellStyle name="Normal 11 2 4 3 2" xfId="10972" xr:uid="{00000000-0005-0000-0000-00002A330000}"/>
    <cellStyle name="Normal 11 2 4 3 2 2" xfId="13227" xr:uid="{00000000-0005-0000-0000-00002B330000}"/>
    <cellStyle name="Normal 11 2 4 3 2 2 2" xfId="26285" xr:uid="{00000000-0005-0000-0000-00002C330000}"/>
    <cellStyle name="Normal 11 2 4 3 2 3" xfId="13228" xr:uid="{00000000-0005-0000-0000-00002D330000}"/>
    <cellStyle name="Normal 11 2 4 3 2 3 2" xfId="26286" xr:uid="{00000000-0005-0000-0000-00002E330000}"/>
    <cellStyle name="Normal 11 2 4 3 2 4" xfId="24342" xr:uid="{00000000-0005-0000-0000-00002F330000}"/>
    <cellStyle name="Normal 11 2 4 3 3" xfId="13229" xr:uid="{00000000-0005-0000-0000-000030330000}"/>
    <cellStyle name="Normal 11 2 4 3 3 2" xfId="26287" xr:uid="{00000000-0005-0000-0000-000031330000}"/>
    <cellStyle name="Normal 11 2 4 3 4" xfId="13230" xr:uid="{00000000-0005-0000-0000-000032330000}"/>
    <cellStyle name="Normal 11 2 4 3 4 2" xfId="26288" xr:uid="{00000000-0005-0000-0000-000033330000}"/>
    <cellStyle name="Normal 11 2 4 3 5" xfId="22186" xr:uid="{00000000-0005-0000-0000-000034330000}"/>
    <cellStyle name="Normal 11 2 4 4" xfId="9894" xr:uid="{00000000-0005-0000-0000-000035330000}"/>
    <cellStyle name="Normal 11 2 4 4 2" xfId="13231" xr:uid="{00000000-0005-0000-0000-000036330000}"/>
    <cellStyle name="Normal 11 2 4 4 2 2" xfId="26289" xr:uid="{00000000-0005-0000-0000-000037330000}"/>
    <cellStyle name="Normal 11 2 4 4 3" xfId="13232" xr:uid="{00000000-0005-0000-0000-000038330000}"/>
    <cellStyle name="Normal 11 2 4 4 3 2" xfId="26290" xr:uid="{00000000-0005-0000-0000-000039330000}"/>
    <cellStyle name="Normal 11 2 4 4 4" xfId="23264" xr:uid="{00000000-0005-0000-0000-00003A330000}"/>
    <cellStyle name="Normal 11 2 4 5" xfId="13233" xr:uid="{00000000-0005-0000-0000-00003B330000}"/>
    <cellStyle name="Normal 11 2 4 5 2" xfId="26291" xr:uid="{00000000-0005-0000-0000-00003C330000}"/>
    <cellStyle name="Normal 11 2 4 6" xfId="13234" xr:uid="{00000000-0005-0000-0000-00003D330000}"/>
    <cellStyle name="Normal 11 2 4 6 2" xfId="26292" xr:uid="{00000000-0005-0000-0000-00003E330000}"/>
    <cellStyle name="Normal 11 2 4 7" xfId="21108" xr:uid="{00000000-0005-0000-0000-00003F330000}"/>
    <cellStyle name="Normal 11 2 5" xfId="6984" xr:uid="{00000000-0005-0000-0000-000040330000}"/>
    <cellStyle name="Normal 11 2 5 2" xfId="8864" xr:uid="{00000000-0005-0000-0000-000041330000}"/>
    <cellStyle name="Normal 11 2 5 2 2" xfId="11243" xr:uid="{00000000-0005-0000-0000-000042330000}"/>
    <cellStyle name="Normal 11 2 5 2 2 2" xfId="13235" xr:uid="{00000000-0005-0000-0000-000043330000}"/>
    <cellStyle name="Normal 11 2 5 2 2 2 2" xfId="26293" xr:uid="{00000000-0005-0000-0000-000044330000}"/>
    <cellStyle name="Normal 11 2 5 2 2 3" xfId="13236" xr:uid="{00000000-0005-0000-0000-000045330000}"/>
    <cellStyle name="Normal 11 2 5 2 2 3 2" xfId="26294" xr:uid="{00000000-0005-0000-0000-000046330000}"/>
    <cellStyle name="Normal 11 2 5 2 2 4" xfId="24613" xr:uid="{00000000-0005-0000-0000-000047330000}"/>
    <cellStyle name="Normal 11 2 5 2 3" xfId="13237" xr:uid="{00000000-0005-0000-0000-000048330000}"/>
    <cellStyle name="Normal 11 2 5 2 3 2" xfId="26295" xr:uid="{00000000-0005-0000-0000-000049330000}"/>
    <cellStyle name="Normal 11 2 5 2 4" xfId="13238" xr:uid="{00000000-0005-0000-0000-00004A330000}"/>
    <cellStyle name="Normal 11 2 5 2 4 2" xfId="26296" xr:uid="{00000000-0005-0000-0000-00004B330000}"/>
    <cellStyle name="Normal 11 2 5 2 5" xfId="22457" xr:uid="{00000000-0005-0000-0000-00004C330000}"/>
    <cellStyle name="Normal 11 2 5 3" xfId="10165" xr:uid="{00000000-0005-0000-0000-00004D330000}"/>
    <cellStyle name="Normal 11 2 5 3 2" xfId="13239" xr:uid="{00000000-0005-0000-0000-00004E330000}"/>
    <cellStyle name="Normal 11 2 5 3 2 2" xfId="26297" xr:uid="{00000000-0005-0000-0000-00004F330000}"/>
    <cellStyle name="Normal 11 2 5 3 3" xfId="13240" xr:uid="{00000000-0005-0000-0000-000050330000}"/>
    <cellStyle name="Normal 11 2 5 3 3 2" xfId="26298" xr:uid="{00000000-0005-0000-0000-000051330000}"/>
    <cellStyle name="Normal 11 2 5 3 4" xfId="23535" xr:uid="{00000000-0005-0000-0000-000052330000}"/>
    <cellStyle name="Normal 11 2 5 4" xfId="13241" xr:uid="{00000000-0005-0000-0000-000053330000}"/>
    <cellStyle name="Normal 11 2 5 4 2" xfId="26299" xr:uid="{00000000-0005-0000-0000-000054330000}"/>
    <cellStyle name="Normal 11 2 5 5" xfId="13242" xr:uid="{00000000-0005-0000-0000-000055330000}"/>
    <cellStyle name="Normal 11 2 5 5 2" xfId="26300" xr:uid="{00000000-0005-0000-0000-000056330000}"/>
    <cellStyle name="Normal 11 2 5 6" xfId="21379" xr:uid="{00000000-0005-0000-0000-000057330000}"/>
    <cellStyle name="Normal 11 2 6" xfId="8161" xr:uid="{00000000-0005-0000-0000-000058330000}"/>
    <cellStyle name="Normal 11 2 6 2" xfId="10703" xr:uid="{00000000-0005-0000-0000-000059330000}"/>
    <cellStyle name="Normal 11 2 6 2 2" xfId="13243" xr:uid="{00000000-0005-0000-0000-00005A330000}"/>
    <cellStyle name="Normal 11 2 6 2 2 2" xfId="26301" xr:uid="{00000000-0005-0000-0000-00005B330000}"/>
    <cellStyle name="Normal 11 2 6 2 3" xfId="13244" xr:uid="{00000000-0005-0000-0000-00005C330000}"/>
    <cellStyle name="Normal 11 2 6 2 3 2" xfId="26302" xr:uid="{00000000-0005-0000-0000-00005D330000}"/>
    <cellStyle name="Normal 11 2 6 2 4" xfId="24073" xr:uid="{00000000-0005-0000-0000-00005E330000}"/>
    <cellStyle name="Normal 11 2 6 3" xfId="13245" xr:uid="{00000000-0005-0000-0000-00005F330000}"/>
    <cellStyle name="Normal 11 2 6 3 2" xfId="26303" xr:uid="{00000000-0005-0000-0000-000060330000}"/>
    <cellStyle name="Normal 11 2 6 4" xfId="13246" xr:uid="{00000000-0005-0000-0000-000061330000}"/>
    <cellStyle name="Normal 11 2 6 4 2" xfId="26304" xr:uid="{00000000-0005-0000-0000-000062330000}"/>
    <cellStyle name="Normal 11 2 6 5" xfId="21917" xr:uid="{00000000-0005-0000-0000-000063330000}"/>
    <cellStyle name="Normal 11 2 7" xfId="9624" xr:uid="{00000000-0005-0000-0000-000064330000}"/>
    <cellStyle name="Normal 11 2 7 2" xfId="13247" xr:uid="{00000000-0005-0000-0000-000065330000}"/>
    <cellStyle name="Normal 11 2 7 2 2" xfId="26305" xr:uid="{00000000-0005-0000-0000-000066330000}"/>
    <cellStyle name="Normal 11 2 7 3" xfId="13248" xr:uid="{00000000-0005-0000-0000-000067330000}"/>
    <cellStyle name="Normal 11 2 7 3 2" xfId="26306" xr:uid="{00000000-0005-0000-0000-000068330000}"/>
    <cellStyle name="Normal 11 2 7 4" xfId="22995" xr:uid="{00000000-0005-0000-0000-000069330000}"/>
    <cellStyle name="Normal 11 2 8" xfId="13249" xr:uid="{00000000-0005-0000-0000-00006A330000}"/>
    <cellStyle name="Normal 11 2 8 2" xfId="26307" xr:uid="{00000000-0005-0000-0000-00006B330000}"/>
    <cellStyle name="Normal 11 2 9" xfId="13250" xr:uid="{00000000-0005-0000-0000-00006C330000}"/>
    <cellStyle name="Normal 11 2 9 2" xfId="26308" xr:uid="{00000000-0005-0000-0000-00006D330000}"/>
    <cellStyle name="Normal 11 3" xfId="3879" xr:uid="{00000000-0005-0000-0000-00006E330000}"/>
    <cellStyle name="Normal 11 3 10" xfId="20854" xr:uid="{00000000-0005-0000-0000-00006F330000}"/>
    <cellStyle name="Normal 11 3 2" xfId="4092" xr:uid="{00000000-0005-0000-0000-000070330000}"/>
    <cellStyle name="Normal 11 3 2 2" xfId="5628" xr:uid="{00000000-0005-0000-0000-000071330000}"/>
    <cellStyle name="Normal 11 3 2 2 2" xfId="6780" xr:uid="{00000000-0005-0000-0000-000072330000}"/>
    <cellStyle name="Normal 11 3 2 2 2 2" xfId="7467" xr:uid="{00000000-0005-0000-0000-000073330000}"/>
    <cellStyle name="Normal 11 3 2 2 2 2 2" xfId="9346" xr:uid="{00000000-0005-0000-0000-000074330000}"/>
    <cellStyle name="Normal 11 3 2 2 2 2 2 2" xfId="11725" xr:uid="{00000000-0005-0000-0000-000075330000}"/>
    <cellStyle name="Normal 11 3 2 2 2 2 2 2 2" xfId="13251" xr:uid="{00000000-0005-0000-0000-000076330000}"/>
    <cellStyle name="Normal 11 3 2 2 2 2 2 2 2 2" xfId="26309" xr:uid="{00000000-0005-0000-0000-000077330000}"/>
    <cellStyle name="Normal 11 3 2 2 2 2 2 2 3" xfId="13252" xr:uid="{00000000-0005-0000-0000-000078330000}"/>
    <cellStyle name="Normal 11 3 2 2 2 2 2 2 3 2" xfId="26310" xr:uid="{00000000-0005-0000-0000-000079330000}"/>
    <cellStyle name="Normal 11 3 2 2 2 2 2 2 4" xfId="25095" xr:uid="{00000000-0005-0000-0000-00007A330000}"/>
    <cellStyle name="Normal 11 3 2 2 2 2 2 3" xfId="13253" xr:uid="{00000000-0005-0000-0000-00007B330000}"/>
    <cellStyle name="Normal 11 3 2 2 2 2 2 3 2" xfId="26311" xr:uid="{00000000-0005-0000-0000-00007C330000}"/>
    <cellStyle name="Normal 11 3 2 2 2 2 2 4" xfId="13254" xr:uid="{00000000-0005-0000-0000-00007D330000}"/>
    <cellStyle name="Normal 11 3 2 2 2 2 2 4 2" xfId="26312" xr:uid="{00000000-0005-0000-0000-00007E330000}"/>
    <cellStyle name="Normal 11 3 2 2 2 2 2 5" xfId="22939" xr:uid="{00000000-0005-0000-0000-00007F330000}"/>
    <cellStyle name="Normal 11 3 2 2 2 2 3" xfId="10647" xr:uid="{00000000-0005-0000-0000-000080330000}"/>
    <cellStyle name="Normal 11 3 2 2 2 2 3 2" xfId="13255" xr:uid="{00000000-0005-0000-0000-000081330000}"/>
    <cellStyle name="Normal 11 3 2 2 2 2 3 2 2" xfId="26313" xr:uid="{00000000-0005-0000-0000-000082330000}"/>
    <cellStyle name="Normal 11 3 2 2 2 2 3 3" xfId="13256" xr:uid="{00000000-0005-0000-0000-000083330000}"/>
    <cellStyle name="Normal 11 3 2 2 2 2 3 3 2" xfId="26314" xr:uid="{00000000-0005-0000-0000-000084330000}"/>
    <cellStyle name="Normal 11 3 2 2 2 2 3 4" xfId="24017" xr:uid="{00000000-0005-0000-0000-000085330000}"/>
    <cellStyle name="Normal 11 3 2 2 2 2 4" xfId="13257" xr:uid="{00000000-0005-0000-0000-000086330000}"/>
    <cellStyle name="Normal 11 3 2 2 2 2 4 2" xfId="26315" xr:uid="{00000000-0005-0000-0000-000087330000}"/>
    <cellStyle name="Normal 11 3 2 2 2 2 5" xfId="13258" xr:uid="{00000000-0005-0000-0000-000088330000}"/>
    <cellStyle name="Normal 11 3 2 2 2 2 5 2" xfId="26316" xr:uid="{00000000-0005-0000-0000-000089330000}"/>
    <cellStyle name="Normal 11 3 2 2 2 2 6" xfId="21861" xr:uid="{00000000-0005-0000-0000-00008A330000}"/>
    <cellStyle name="Normal 11 3 2 2 2 3" xfId="8800" xr:uid="{00000000-0005-0000-0000-00008B330000}"/>
    <cellStyle name="Normal 11 3 2 2 2 3 2" xfId="11185" xr:uid="{00000000-0005-0000-0000-00008C330000}"/>
    <cellStyle name="Normal 11 3 2 2 2 3 2 2" xfId="13259" xr:uid="{00000000-0005-0000-0000-00008D330000}"/>
    <cellStyle name="Normal 11 3 2 2 2 3 2 2 2" xfId="26317" xr:uid="{00000000-0005-0000-0000-00008E330000}"/>
    <cellStyle name="Normal 11 3 2 2 2 3 2 3" xfId="13260" xr:uid="{00000000-0005-0000-0000-00008F330000}"/>
    <cellStyle name="Normal 11 3 2 2 2 3 2 3 2" xfId="26318" xr:uid="{00000000-0005-0000-0000-000090330000}"/>
    <cellStyle name="Normal 11 3 2 2 2 3 2 4" xfId="24555" xr:uid="{00000000-0005-0000-0000-000091330000}"/>
    <cellStyle name="Normal 11 3 2 2 2 3 3" xfId="13261" xr:uid="{00000000-0005-0000-0000-000092330000}"/>
    <cellStyle name="Normal 11 3 2 2 2 3 3 2" xfId="26319" xr:uid="{00000000-0005-0000-0000-000093330000}"/>
    <cellStyle name="Normal 11 3 2 2 2 3 4" xfId="13262" xr:uid="{00000000-0005-0000-0000-000094330000}"/>
    <cellStyle name="Normal 11 3 2 2 2 3 4 2" xfId="26320" xr:uid="{00000000-0005-0000-0000-000095330000}"/>
    <cellStyle name="Normal 11 3 2 2 2 3 5" xfId="22399" xr:uid="{00000000-0005-0000-0000-000096330000}"/>
    <cellStyle name="Normal 11 3 2 2 2 4" xfId="10107" xr:uid="{00000000-0005-0000-0000-000097330000}"/>
    <cellStyle name="Normal 11 3 2 2 2 4 2" xfId="13263" xr:uid="{00000000-0005-0000-0000-000098330000}"/>
    <cellStyle name="Normal 11 3 2 2 2 4 2 2" xfId="26321" xr:uid="{00000000-0005-0000-0000-000099330000}"/>
    <cellStyle name="Normal 11 3 2 2 2 4 3" xfId="13264" xr:uid="{00000000-0005-0000-0000-00009A330000}"/>
    <cellStyle name="Normal 11 3 2 2 2 4 3 2" xfId="26322" xr:uid="{00000000-0005-0000-0000-00009B330000}"/>
    <cellStyle name="Normal 11 3 2 2 2 4 4" xfId="23477" xr:uid="{00000000-0005-0000-0000-00009C330000}"/>
    <cellStyle name="Normal 11 3 2 2 2 5" xfId="13265" xr:uid="{00000000-0005-0000-0000-00009D330000}"/>
    <cellStyle name="Normal 11 3 2 2 2 5 2" xfId="26323" xr:uid="{00000000-0005-0000-0000-00009E330000}"/>
    <cellStyle name="Normal 11 3 2 2 2 6" xfId="13266" xr:uid="{00000000-0005-0000-0000-00009F330000}"/>
    <cellStyle name="Normal 11 3 2 2 2 6 2" xfId="26324" xr:uid="{00000000-0005-0000-0000-0000A0330000}"/>
    <cellStyle name="Normal 11 3 2 2 2 7" xfId="21321" xr:uid="{00000000-0005-0000-0000-0000A1330000}"/>
    <cellStyle name="Normal 11 3 2 2 3" xfId="7198" xr:uid="{00000000-0005-0000-0000-0000A2330000}"/>
    <cellStyle name="Normal 11 3 2 2 3 2" xfId="9077" xr:uid="{00000000-0005-0000-0000-0000A3330000}"/>
    <cellStyle name="Normal 11 3 2 2 3 2 2" xfId="11456" xr:uid="{00000000-0005-0000-0000-0000A4330000}"/>
    <cellStyle name="Normal 11 3 2 2 3 2 2 2" xfId="13267" xr:uid="{00000000-0005-0000-0000-0000A5330000}"/>
    <cellStyle name="Normal 11 3 2 2 3 2 2 2 2" xfId="26325" xr:uid="{00000000-0005-0000-0000-0000A6330000}"/>
    <cellStyle name="Normal 11 3 2 2 3 2 2 3" xfId="13268" xr:uid="{00000000-0005-0000-0000-0000A7330000}"/>
    <cellStyle name="Normal 11 3 2 2 3 2 2 3 2" xfId="26326" xr:uid="{00000000-0005-0000-0000-0000A8330000}"/>
    <cellStyle name="Normal 11 3 2 2 3 2 2 4" xfId="24826" xr:uid="{00000000-0005-0000-0000-0000A9330000}"/>
    <cellStyle name="Normal 11 3 2 2 3 2 3" xfId="13269" xr:uid="{00000000-0005-0000-0000-0000AA330000}"/>
    <cellStyle name="Normal 11 3 2 2 3 2 3 2" xfId="26327" xr:uid="{00000000-0005-0000-0000-0000AB330000}"/>
    <cellStyle name="Normal 11 3 2 2 3 2 4" xfId="13270" xr:uid="{00000000-0005-0000-0000-0000AC330000}"/>
    <cellStyle name="Normal 11 3 2 2 3 2 4 2" xfId="26328" xr:uid="{00000000-0005-0000-0000-0000AD330000}"/>
    <cellStyle name="Normal 11 3 2 2 3 2 5" xfId="22670" xr:uid="{00000000-0005-0000-0000-0000AE330000}"/>
    <cellStyle name="Normal 11 3 2 2 3 3" xfId="10378" xr:uid="{00000000-0005-0000-0000-0000AF330000}"/>
    <cellStyle name="Normal 11 3 2 2 3 3 2" xfId="13271" xr:uid="{00000000-0005-0000-0000-0000B0330000}"/>
    <cellStyle name="Normal 11 3 2 2 3 3 2 2" xfId="26329" xr:uid="{00000000-0005-0000-0000-0000B1330000}"/>
    <cellStyle name="Normal 11 3 2 2 3 3 3" xfId="13272" xr:uid="{00000000-0005-0000-0000-0000B2330000}"/>
    <cellStyle name="Normal 11 3 2 2 3 3 3 2" xfId="26330" xr:uid="{00000000-0005-0000-0000-0000B3330000}"/>
    <cellStyle name="Normal 11 3 2 2 3 3 4" xfId="23748" xr:uid="{00000000-0005-0000-0000-0000B4330000}"/>
    <cellStyle name="Normal 11 3 2 2 3 4" xfId="13273" xr:uid="{00000000-0005-0000-0000-0000B5330000}"/>
    <cellStyle name="Normal 11 3 2 2 3 4 2" xfId="26331" xr:uid="{00000000-0005-0000-0000-0000B6330000}"/>
    <cellStyle name="Normal 11 3 2 2 3 5" xfId="13274" xr:uid="{00000000-0005-0000-0000-0000B7330000}"/>
    <cellStyle name="Normal 11 3 2 2 3 5 2" xfId="26332" xr:uid="{00000000-0005-0000-0000-0000B8330000}"/>
    <cellStyle name="Normal 11 3 2 2 3 6" xfId="21592" xr:uid="{00000000-0005-0000-0000-0000B9330000}"/>
    <cellStyle name="Normal 11 3 2 2 4" xfId="8475" xr:uid="{00000000-0005-0000-0000-0000BA330000}"/>
    <cellStyle name="Normal 11 3 2 2 4 2" xfId="10916" xr:uid="{00000000-0005-0000-0000-0000BB330000}"/>
    <cellStyle name="Normal 11 3 2 2 4 2 2" xfId="13275" xr:uid="{00000000-0005-0000-0000-0000BC330000}"/>
    <cellStyle name="Normal 11 3 2 2 4 2 2 2" xfId="26333" xr:uid="{00000000-0005-0000-0000-0000BD330000}"/>
    <cellStyle name="Normal 11 3 2 2 4 2 3" xfId="13276" xr:uid="{00000000-0005-0000-0000-0000BE330000}"/>
    <cellStyle name="Normal 11 3 2 2 4 2 3 2" xfId="26334" xr:uid="{00000000-0005-0000-0000-0000BF330000}"/>
    <cellStyle name="Normal 11 3 2 2 4 2 4" xfId="24286" xr:uid="{00000000-0005-0000-0000-0000C0330000}"/>
    <cellStyle name="Normal 11 3 2 2 4 3" xfId="13277" xr:uid="{00000000-0005-0000-0000-0000C1330000}"/>
    <cellStyle name="Normal 11 3 2 2 4 3 2" xfId="26335" xr:uid="{00000000-0005-0000-0000-0000C2330000}"/>
    <cellStyle name="Normal 11 3 2 2 4 4" xfId="13278" xr:uid="{00000000-0005-0000-0000-0000C3330000}"/>
    <cellStyle name="Normal 11 3 2 2 4 4 2" xfId="26336" xr:uid="{00000000-0005-0000-0000-0000C4330000}"/>
    <cellStyle name="Normal 11 3 2 2 4 5" xfId="22130" xr:uid="{00000000-0005-0000-0000-0000C5330000}"/>
    <cellStyle name="Normal 11 3 2 2 5" xfId="9838" xr:uid="{00000000-0005-0000-0000-0000C6330000}"/>
    <cellStyle name="Normal 11 3 2 2 5 2" xfId="13279" xr:uid="{00000000-0005-0000-0000-0000C7330000}"/>
    <cellStyle name="Normal 11 3 2 2 5 2 2" xfId="26337" xr:uid="{00000000-0005-0000-0000-0000C8330000}"/>
    <cellStyle name="Normal 11 3 2 2 5 3" xfId="13280" xr:uid="{00000000-0005-0000-0000-0000C9330000}"/>
    <cellStyle name="Normal 11 3 2 2 5 3 2" xfId="26338" xr:uid="{00000000-0005-0000-0000-0000CA330000}"/>
    <cellStyle name="Normal 11 3 2 2 5 4" xfId="23208" xr:uid="{00000000-0005-0000-0000-0000CB330000}"/>
    <cellStyle name="Normal 11 3 2 2 6" xfId="13281" xr:uid="{00000000-0005-0000-0000-0000CC330000}"/>
    <cellStyle name="Normal 11 3 2 2 6 2" xfId="26339" xr:uid="{00000000-0005-0000-0000-0000CD330000}"/>
    <cellStyle name="Normal 11 3 2 2 7" xfId="13282" xr:uid="{00000000-0005-0000-0000-0000CE330000}"/>
    <cellStyle name="Normal 11 3 2 2 7 2" xfId="26340" xr:uid="{00000000-0005-0000-0000-0000CF330000}"/>
    <cellStyle name="Normal 11 3 2 2 8" xfId="21052" xr:uid="{00000000-0005-0000-0000-0000D0330000}"/>
    <cellStyle name="Normal 11 3 2 3" xfId="6629" xr:uid="{00000000-0005-0000-0000-0000D1330000}"/>
    <cellStyle name="Normal 11 3 2 3 2" xfId="7325" xr:uid="{00000000-0005-0000-0000-0000D2330000}"/>
    <cellStyle name="Normal 11 3 2 3 2 2" xfId="9204" xr:uid="{00000000-0005-0000-0000-0000D3330000}"/>
    <cellStyle name="Normal 11 3 2 3 2 2 2" xfId="11583" xr:uid="{00000000-0005-0000-0000-0000D4330000}"/>
    <cellStyle name="Normal 11 3 2 3 2 2 2 2" xfId="13283" xr:uid="{00000000-0005-0000-0000-0000D5330000}"/>
    <cellStyle name="Normal 11 3 2 3 2 2 2 2 2" xfId="26341" xr:uid="{00000000-0005-0000-0000-0000D6330000}"/>
    <cellStyle name="Normal 11 3 2 3 2 2 2 3" xfId="13284" xr:uid="{00000000-0005-0000-0000-0000D7330000}"/>
    <cellStyle name="Normal 11 3 2 3 2 2 2 3 2" xfId="26342" xr:uid="{00000000-0005-0000-0000-0000D8330000}"/>
    <cellStyle name="Normal 11 3 2 3 2 2 2 4" xfId="24953" xr:uid="{00000000-0005-0000-0000-0000D9330000}"/>
    <cellStyle name="Normal 11 3 2 3 2 2 3" xfId="13285" xr:uid="{00000000-0005-0000-0000-0000DA330000}"/>
    <cellStyle name="Normal 11 3 2 3 2 2 3 2" xfId="26343" xr:uid="{00000000-0005-0000-0000-0000DB330000}"/>
    <cellStyle name="Normal 11 3 2 3 2 2 4" xfId="13286" xr:uid="{00000000-0005-0000-0000-0000DC330000}"/>
    <cellStyle name="Normal 11 3 2 3 2 2 4 2" xfId="26344" xr:uid="{00000000-0005-0000-0000-0000DD330000}"/>
    <cellStyle name="Normal 11 3 2 3 2 2 5" xfId="22797" xr:uid="{00000000-0005-0000-0000-0000DE330000}"/>
    <cellStyle name="Normal 11 3 2 3 2 3" xfId="10505" xr:uid="{00000000-0005-0000-0000-0000DF330000}"/>
    <cellStyle name="Normal 11 3 2 3 2 3 2" xfId="13287" xr:uid="{00000000-0005-0000-0000-0000E0330000}"/>
    <cellStyle name="Normal 11 3 2 3 2 3 2 2" xfId="26345" xr:uid="{00000000-0005-0000-0000-0000E1330000}"/>
    <cellStyle name="Normal 11 3 2 3 2 3 3" xfId="13288" xr:uid="{00000000-0005-0000-0000-0000E2330000}"/>
    <cellStyle name="Normal 11 3 2 3 2 3 3 2" xfId="26346" xr:uid="{00000000-0005-0000-0000-0000E3330000}"/>
    <cellStyle name="Normal 11 3 2 3 2 3 4" xfId="23875" xr:uid="{00000000-0005-0000-0000-0000E4330000}"/>
    <cellStyle name="Normal 11 3 2 3 2 4" xfId="13289" xr:uid="{00000000-0005-0000-0000-0000E5330000}"/>
    <cellStyle name="Normal 11 3 2 3 2 4 2" xfId="26347" xr:uid="{00000000-0005-0000-0000-0000E6330000}"/>
    <cellStyle name="Normal 11 3 2 3 2 5" xfId="13290" xr:uid="{00000000-0005-0000-0000-0000E7330000}"/>
    <cellStyle name="Normal 11 3 2 3 2 5 2" xfId="26348" xr:uid="{00000000-0005-0000-0000-0000E8330000}"/>
    <cellStyle name="Normal 11 3 2 3 2 6" xfId="21719" xr:uid="{00000000-0005-0000-0000-0000E9330000}"/>
    <cellStyle name="Normal 11 3 2 3 3" xfId="8657" xr:uid="{00000000-0005-0000-0000-0000EA330000}"/>
    <cellStyle name="Normal 11 3 2 3 3 2" xfId="11043" xr:uid="{00000000-0005-0000-0000-0000EB330000}"/>
    <cellStyle name="Normal 11 3 2 3 3 2 2" xfId="13291" xr:uid="{00000000-0005-0000-0000-0000EC330000}"/>
    <cellStyle name="Normal 11 3 2 3 3 2 2 2" xfId="26349" xr:uid="{00000000-0005-0000-0000-0000ED330000}"/>
    <cellStyle name="Normal 11 3 2 3 3 2 3" xfId="13292" xr:uid="{00000000-0005-0000-0000-0000EE330000}"/>
    <cellStyle name="Normal 11 3 2 3 3 2 3 2" xfId="26350" xr:uid="{00000000-0005-0000-0000-0000EF330000}"/>
    <cellStyle name="Normal 11 3 2 3 3 2 4" xfId="24413" xr:uid="{00000000-0005-0000-0000-0000F0330000}"/>
    <cellStyle name="Normal 11 3 2 3 3 3" xfId="13293" xr:uid="{00000000-0005-0000-0000-0000F1330000}"/>
    <cellStyle name="Normal 11 3 2 3 3 3 2" xfId="26351" xr:uid="{00000000-0005-0000-0000-0000F2330000}"/>
    <cellStyle name="Normal 11 3 2 3 3 4" xfId="13294" xr:uid="{00000000-0005-0000-0000-0000F3330000}"/>
    <cellStyle name="Normal 11 3 2 3 3 4 2" xfId="26352" xr:uid="{00000000-0005-0000-0000-0000F4330000}"/>
    <cellStyle name="Normal 11 3 2 3 3 5" xfId="22257" xr:uid="{00000000-0005-0000-0000-0000F5330000}"/>
    <cellStyle name="Normal 11 3 2 3 4" xfId="9965" xr:uid="{00000000-0005-0000-0000-0000F6330000}"/>
    <cellStyle name="Normal 11 3 2 3 4 2" xfId="13295" xr:uid="{00000000-0005-0000-0000-0000F7330000}"/>
    <cellStyle name="Normal 11 3 2 3 4 2 2" xfId="26353" xr:uid="{00000000-0005-0000-0000-0000F8330000}"/>
    <cellStyle name="Normal 11 3 2 3 4 3" xfId="13296" xr:uid="{00000000-0005-0000-0000-0000F9330000}"/>
    <cellStyle name="Normal 11 3 2 3 4 3 2" xfId="26354" xr:uid="{00000000-0005-0000-0000-0000FA330000}"/>
    <cellStyle name="Normal 11 3 2 3 4 4" xfId="23335" xr:uid="{00000000-0005-0000-0000-0000FB330000}"/>
    <cellStyle name="Normal 11 3 2 3 5" xfId="13297" xr:uid="{00000000-0005-0000-0000-0000FC330000}"/>
    <cellStyle name="Normal 11 3 2 3 5 2" xfId="26355" xr:uid="{00000000-0005-0000-0000-0000FD330000}"/>
    <cellStyle name="Normal 11 3 2 3 6" xfId="13298" xr:uid="{00000000-0005-0000-0000-0000FE330000}"/>
    <cellStyle name="Normal 11 3 2 3 6 2" xfId="26356" xr:uid="{00000000-0005-0000-0000-0000FF330000}"/>
    <cellStyle name="Normal 11 3 2 3 7" xfId="21179" xr:uid="{00000000-0005-0000-0000-000000340000}"/>
    <cellStyle name="Normal 11 3 2 4" xfId="7055" xr:uid="{00000000-0005-0000-0000-000001340000}"/>
    <cellStyle name="Normal 11 3 2 4 2" xfId="8935" xr:uid="{00000000-0005-0000-0000-000002340000}"/>
    <cellStyle name="Normal 11 3 2 4 2 2" xfId="11314" xr:uid="{00000000-0005-0000-0000-000003340000}"/>
    <cellStyle name="Normal 11 3 2 4 2 2 2" xfId="13299" xr:uid="{00000000-0005-0000-0000-000004340000}"/>
    <cellStyle name="Normal 11 3 2 4 2 2 2 2" xfId="26357" xr:uid="{00000000-0005-0000-0000-000005340000}"/>
    <cellStyle name="Normal 11 3 2 4 2 2 3" xfId="13300" xr:uid="{00000000-0005-0000-0000-000006340000}"/>
    <cellStyle name="Normal 11 3 2 4 2 2 3 2" xfId="26358" xr:uid="{00000000-0005-0000-0000-000007340000}"/>
    <cellStyle name="Normal 11 3 2 4 2 2 4" xfId="24684" xr:uid="{00000000-0005-0000-0000-000008340000}"/>
    <cellStyle name="Normal 11 3 2 4 2 3" xfId="13301" xr:uid="{00000000-0005-0000-0000-000009340000}"/>
    <cellStyle name="Normal 11 3 2 4 2 3 2" xfId="26359" xr:uid="{00000000-0005-0000-0000-00000A340000}"/>
    <cellStyle name="Normal 11 3 2 4 2 4" xfId="13302" xr:uid="{00000000-0005-0000-0000-00000B340000}"/>
    <cellStyle name="Normal 11 3 2 4 2 4 2" xfId="26360" xr:uid="{00000000-0005-0000-0000-00000C340000}"/>
    <cellStyle name="Normal 11 3 2 4 2 5" xfId="22528" xr:uid="{00000000-0005-0000-0000-00000D340000}"/>
    <cellStyle name="Normal 11 3 2 4 3" xfId="10236" xr:uid="{00000000-0005-0000-0000-00000E340000}"/>
    <cellStyle name="Normal 11 3 2 4 3 2" xfId="13303" xr:uid="{00000000-0005-0000-0000-00000F340000}"/>
    <cellStyle name="Normal 11 3 2 4 3 2 2" xfId="26361" xr:uid="{00000000-0005-0000-0000-000010340000}"/>
    <cellStyle name="Normal 11 3 2 4 3 3" xfId="13304" xr:uid="{00000000-0005-0000-0000-000011340000}"/>
    <cellStyle name="Normal 11 3 2 4 3 3 2" xfId="26362" xr:uid="{00000000-0005-0000-0000-000012340000}"/>
    <cellStyle name="Normal 11 3 2 4 3 4" xfId="23606" xr:uid="{00000000-0005-0000-0000-000013340000}"/>
    <cellStyle name="Normal 11 3 2 4 4" xfId="13305" xr:uid="{00000000-0005-0000-0000-000014340000}"/>
    <cellStyle name="Normal 11 3 2 4 4 2" xfId="26363" xr:uid="{00000000-0005-0000-0000-000015340000}"/>
    <cellStyle name="Normal 11 3 2 4 5" xfId="13306" xr:uid="{00000000-0005-0000-0000-000016340000}"/>
    <cellStyle name="Normal 11 3 2 4 5 2" xfId="26364" xr:uid="{00000000-0005-0000-0000-000017340000}"/>
    <cellStyle name="Normal 11 3 2 4 6" xfId="21450" xr:uid="{00000000-0005-0000-0000-000018340000}"/>
    <cellStyle name="Normal 11 3 2 5" xfId="8259" xr:uid="{00000000-0005-0000-0000-000019340000}"/>
    <cellStyle name="Normal 11 3 2 5 2" xfId="10774" xr:uid="{00000000-0005-0000-0000-00001A340000}"/>
    <cellStyle name="Normal 11 3 2 5 2 2" xfId="13307" xr:uid="{00000000-0005-0000-0000-00001B340000}"/>
    <cellStyle name="Normal 11 3 2 5 2 2 2" xfId="26365" xr:uid="{00000000-0005-0000-0000-00001C340000}"/>
    <cellStyle name="Normal 11 3 2 5 2 3" xfId="13308" xr:uid="{00000000-0005-0000-0000-00001D340000}"/>
    <cellStyle name="Normal 11 3 2 5 2 3 2" xfId="26366" xr:uid="{00000000-0005-0000-0000-00001E340000}"/>
    <cellStyle name="Normal 11 3 2 5 2 4" xfId="24144" xr:uid="{00000000-0005-0000-0000-00001F340000}"/>
    <cellStyle name="Normal 11 3 2 5 3" xfId="13309" xr:uid="{00000000-0005-0000-0000-000020340000}"/>
    <cellStyle name="Normal 11 3 2 5 3 2" xfId="26367" xr:uid="{00000000-0005-0000-0000-000021340000}"/>
    <cellStyle name="Normal 11 3 2 5 4" xfId="13310" xr:uid="{00000000-0005-0000-0000-000022340000}"/>
    <cellStyle name="Normal 11 3 2 5 4 2" xfId="26368" xr:uid="{00000000-0005-0000-0000-000023340000}"/>
    <cellStyle name="Normal 11 3 2 5 5" xfId="21988" xr:uid="{00000000-0005-0000-0000-000024340000}"/>
    <cellStyle name="Normal 11 3 2 6" xfId="9695" xr:uid="{00000000-0005-0000-0000-000025340000}"/>
    <cellStyle name="Normal 11 3 2 6 2" xfId="13311" xr:uid="{00000000-0005-0000-0000-000026340000}"/>
    <cellStyle name="Normal 11 3 2 6 2 2" xfId="26369" xr:uid="{00000000-0005-0000-0000-000027340000}"/>
    <cellStyle name="Normal 11 3 2 6 3" xfId="13312" xr:uid="{00000000-0005-0000-0000-000028340000}"/>
    <cellStyle name="Normal 11 3 2 6 3 2" xfId="26370" xr:uid="{00000000-0005-0000-0000-000029340000}"/>
    <cellStyle name="Normal 11 3 2 6 4" xfId="23066" xr:uid="{00000000-0005-0000-0000-00002A340000}"/>
    <cellStyle name="Normal 11 3 2 7" xfId="13313" xr:uid="{00000000-0005-0000-0000-00002B340000}"/>
    <cellStyle name="Normal 11 3 2 7 2" xfId="26371" xr:uid="{00000000-0005-0000-0000-00002C340000}"/>
    <cellStyle name="Normal 11 3 2 8" xfId="13314" xr:uid="{00000000-0005-0000-0000-00002D340000}"/>
    <cellStyle name="Normal 11 3 2 8 2" xfId="26372" xr:uid="{00000000-0005-0000-0000-00002E340000}"/>
    <cellStyle name="Normal 11 3 2 9" xfId="20909" xr:uid="{00000000-0005-0000-0000-00002F340000}"/>
    <cellStyle name="Normal 11 3 3" xfId="5527" xr:uid="{00000000-0005-0000-0000-000030340000}"/>
    <cellStyle name="Normal 11 3 3 2" xfId="6722" xr:uid="{00000000-0005-0000-0000-000031340000}"/>
    <cellStyle name="Normal 11 3 3 2 2" xfId="7409" xr:uid="{00000000-0005-0000-0000-000032340000}"/>
    <cellStyle name="Normal 11 3 3 2 2 2" xfId="9288" xr:uid="{00000000-0005-0000-0000-000033340000}"/>
    <cellStyle name="Normal 11 3 3 2 2 2 2" xfId="11667" xr:uid="{00000000-0005-0000-0000-000034340000}"/>
    <cellStyle name="Normal 11 3 3 2 2 2 2 2" xfId="13315" xr:uid="{00000000-0005-0000-0000-000035340000}"/>
    <cellStyle name="Normal 11 3 3 2 2 2 2 2 2" xfId="26373" xr:uid="{00000000-0005-0000-0000-000036340000}"/>
    <cellStyle name="Normal 11 3 3 2 2 2 2 3" xfId="13316" xr:uid="{00000000-0005-0000-0000-000037340000}"/>
    <cellStyle name="Normal 11 3 3 2 2 2 2 3 2" xfId="26374" xr:uid="{00000000-0005-0000-0000-000038340000}"/>
    <cellStyle name="Normal 11 3 3 2 2 2 2 4" xfId="25037" xr:uid="{00000000-0005-0000-0000-000039340000}"/>
    <cellStyle name="Normal 11 3 3 2 2 2 3" xfId="13317" xr:uid="{00000000-0005-0000-0000-00003A340000}"/>
    <cellStyle name="Normal 11 3 3 2 2 2 3 2" xfId="26375" xr:uid="{00000000-0005-0000-0000-00003B340000}"/>
    <cellStyle name="Normal 11 3 3 2 2 2 4" xfId="13318" xr:uid="{00000000-0005-0000-0000-00003C340000}"/>
    <cellStyle name="Normal 11 3 3 2 2 2 4 2" xfId="26376" xr:uid="{00000000-0005-0000-0000-00003D340000}"/>
    <cellStyle name="Normal 11 3 3 2 2 2 5" xfId="22881" xr:uid="{00000000-0005-0000-0000-00003E340000}"/>
    <cellStyle name="Normal 11 3 3 2 2 3" xfId="10589" xr:uid="{00000000-0005-0000-0000-00003F340000}"/>
    <cellStyle name="Normal 11 3 3 2 2 3 2" xfId="13319" xr:uid="{00000000-0005-0000-0000-000040340000}"/>
    <cellStyle name="Normal 11 3 3 2 2 3 2 2" xfId="26377" xr:uid="{00000000-0005-0000-0000-000041340000}"/>
    <cellStyle name="Normal 11 3 3 2 2 3 3" xfId="13320" xr:uid="{00000000-0005-0000-0000-000042340000}"/>
    <cellStyle name="Normal 11 3 3 2 2 3 3 2" xfId="26378" xr:uid="{00000000-0005-0000-0000-000043340000}"/>
    <cellStyle name="Normal 11 3 3 2 2 3 4" xfId="23959" xr:uid="{00000000-0005-0000-0000-000044340000}"/>
    <cellStyle name="Normal 11 3 3 2 2 4" xfId="13321" xr:uid="{00000000-0005-0000-0000-000045340000}"/>
    <cellStyle name="Normal 11 3 3 2 2 4 2" xfId="26379" xr:uid="{00000000-0005-0000-0000-000046340000}"/>
    <cellStyle name="Normal 11 3 3 2 2 5" xfId="13322" xr:uid="{00000000-0005-0000-0000-000047340000}"/>
    <cellStyle name="Normal 11 3 3 2 2 5 2" xfId="26380" xr:uid="{00000000-0005-0000-0000-000048340000}"/>
    <cellStyle name="Normal 11 3 3 2 2 6" xfId="21803" xr:uid="{00000000-0005-0000-0000-000049340000}"/>
    <cellStyle name="Normal 11 3 3 2 3" xfId="8742" xr:uid="{00000000-0005-0000-0000-00004A340000}"/>
    <cellStyle name="Normal 11 3 3 2 3 2" xfId="11127" xr:uid="{00000000-0005-0000-0000-00004B340000}"/>
    <cellStyle name="Normal 11 3 3 2 3 2 2" xfId="13323" xr:uid="{00000000-0005-0000-0000-00004C340000}"/>
    <cellStyle name="Normal 11 3 3 2 3 2 2 2" xfId="26381" xr:uid="{00000000-0005-0000-0000-00004D340000}"/>
    <cellStyle name="Normal 11 3 3 2 3 2 3" xfId="13324" xr:uid="{00000000-0005-0000-0000-00004E340000}"/>
    <cellStyle name="Normal 11 3 3 2 3 2 3 2" xfId="26382" xr:uid="{00000000-0005-0000-0000-00004F340000}"/>
    <cellStyle name="Normal 11 3 3 2 3 2 4" xfId="24497" xr:uid="{00000000-0005-0000-0000-000050340000}"/>
    <cellStyle name="Normal 11 3 3 2 3 3" xfId="13325" xr:uid="{00000000-0005-0000-0000-000051340000}"/>
    <cellStyle name="Normal 11 3 3 2 3 3 2" xfId="26383" xr:uid="{00000000-0005-0000-0000-000052340000}"/>
    <cellStyle name="Normal 11 3 3 2 3 4" xfId="13326" xr:uid="{00000000-0005-0000-0000-000053340000}"/>
    <cellStyle name="Normal 11 3 3 2 3 4 2" xfId="26384" xr:uid="{00000000-0005-0000-0000-000054340000}"/>
    <cellStyle name="Normal 11 3 3 2 3 5" xfId="22341" xr:uid="{00000000-0005-0000-0000-000055340000}"/>
    <cellStyle name="Normal 11 3 3 2 4" xfId="10049" xr:uid="{00000000-0005-0000-0000-000056340000}"/>
    <cellStyle name="Normal 11 3 3 2 4 2" xfId="13327" xr:uid="{00000000-0005-0000-0000-000057340000}"/>
    <cellStyle name="Normal 11 3 3 2 4 2 2" xfId="26385" xr:uid="{00000000-0005-0000-0000-000058340000}"/>
    <cellStyle name="Normal 11 3 3 2 4 3" xfId="13328" xr:uid="{00000000-0005-0000-0000-000059340000}"/>
    <cellStyle name="Normal 11 3 3 2 4 3 2" xfId="26386" xr:uid="{00000000-0005-0000-0000-00005A340000}"/>
    <cellStyle name="Normal 11 3 3 2 4 4" xfId="23419" xr:uid="{00000000-0005-0000-0000-00005B340000}"/>
    <cellStyle name="Normal 11 3 3 2 5" xfId="13329" xr:uid="{00000000-0005-0000-0000-00005C340000}"/>
    <cellStyle name="Normal 11 3 3 2 5 2" xfId="26387" xr:uid="{00000000-0005-0000-0000-00005D340000}"/>
    <cellStyle name="Normal 11 3 3 2 6" xfId="13330" xr:uid="{00000000-0005-0000-0000-00005E340000}"/>
    <cellStyle name="Normal 11 3 3 2 6 2" xfId="26388" xr:uid="{00000000-0005-0000-0000-00005F340000}"/>
    <cellStyle name="Normal 11 3 3 2 7" xfId="21263" xr:uid="{00000000-0005-0000-0000-000060340000}"/>
    <cellStyle name="Normal 11 3 3 3" xfId="7140" xr:uid="{00000000-0005-0000-0000-000061340000}"/>
    <cellStyle name="Normal 11 3 3 3 2" xfId="9019" xr:uid="{00000000-0005-0000-0000-000062340000}"/>
    <cellStyle name="Normal 11 3 3 3 2 2" xfId="11398" xr:uid="{00000000-0005-0000-0000-000063340000}"/>
    <cellStyle name="Normal 11 3 3 3 2 2 2" xfId="13331" xr:uid="{00000000-0005-0000-0000-000064340000}"/>
    <cellStyle name="Normal 11 3 3 3 2 2 2 2" xfId="26389" xr:uid="{00000000-0005-0000-0000-000065340000}"/>
    <cellStyle name="Normal 11 3 3 3 2 2 3" xfId="13332" xr:uid="{00000000-0005-0000-0000-000066340000}"/>
    <cellStyle name="Normal 11 3 3 3 2 2 3 2" xfId="26390" xr:uid="{00000000-0005-0000-0000-000067340000}"/>
    <cellStyle name="Normal 11 3 3 3 2 2 4" xfId="24768" xr:uid="{00000000-0005-0000-0000-000068340000}"/>
    <cellStyle name="Normal 11 3 3 3 2 3" xfId="13333" xr:uid="{00000000-0005-0000-0000-000069340000}"/>
    <cellStyle name="Normal 11 3 3 3 2 3 2" xfId="26391" xr:uid="{00000000-0005-0000-0000-00006A340000}"/>
    <cellStyle name="Normal 11 3 3 3 2 4" xfId="13334" xr:uid="{00000000-0005-0000-0000-00006B340000}"/>
    <cellStyle name="Normal 11 3 3 3 2 4 2" xfId="26392" xr:uid="{00000000-0005-0000-0000-00006C340000}"/>
    <cellStyle name="Normal 11 3 3 3 2 5" xfId="22612" xr:uid="{00000000-0005-0000-0000-00006D340000}"/>
    <cellStyle name="Normal 11 3 3 3 3" xfId="10320" xr:uid="{00000000-0005-0000-0000-00006E340000}"/>
    <cellStyle name="Normal 11 3 3 3 3 2" xfId="13335" xr:uid="{00000000-0005-0000-0000-00006F340000}"/>
    <cellStyle name="Normal 11 3 3 3 3 2 2" xfId="26393" xr:uid="{00000000-0005-0000-0000-000070340000}"/>
    <cellStyle name="Normal 11 3 3 3 3 3" xfId="13336" xr:uid="{00000000-0005-0000-0000-000071340000}"/>
    <cellStyle name="Normal 11 3 3 3 3 3 2" xfId="26394" xr:uid="{00000000-0005-0000-0000-000072340000}"/>
    <cellStyle name="Normal 11 3 3 3 3 4" xfId="23690" xr:uid="{00000000-0005-0000-0000-000073340000}"/>
    <cellStyle name="Normal 11 3 3 3 4" xfId="13337" xr:uid="{00000000-0005-0000-0000-000074340000}"/>
    <cellStyle name="Normal 11 3 3 3 4 2" xfId="26395" xr:uid="{00000000-0005-0000-0000-000075340000}"/>
    <cellStyle name="Normal 11 3 3 3 5" xfId="13338" xr:uid="{00000000-0005-0000-0000-000076340000}"/>
    <cellStyle name="Normal 11 3 3 3 5 2" xfId="26396" xr:uid="{00000000-0005-0000-0000-000077340000}"/>
    <cellStyle name="Normal 11 3 3 3 6" xfId="21534" xr:uid="{00000000-0005-0000-0000-000078340000}"/>
    <cellStyle name="Normal 11 3 3 4" xfId="8414" xr:uid="{00000000-0005-0000-0000-000079340000}"/>
    <cellStyle name="Normal 11 3 3 4 2" xfId="10858" xr:uid="{00000000-0005-0000-0000-00007A340000}"/>
    <cellStyle name="Normal 11 3 3 4 2 2" xfId="13339" xr:uid="{00000000-0005-0000-0000-00007B340000}"/>
    <cellStyle name="Normal 11 3 3 4 2 2 2" xfId="26397" xr:uid="{00000000-0005-0000-0000-00007C340000}"/>
    <cellStyle name="Normal 11 3 3 4 2 3" xfId="13340" xr:uid="{00000000-0005-0000-0000-00007D340000}"/>
    <cellStyle name="Normal 11 3 3 4 2 3 2" xfId="26398" xr:uid="{00000000-0005-0000-0000-00007E340000}"/>
    <cellStyle name="Normal 11 3 3 4 2 4" xfId="24228" xr:uid="{00000000-0005-0000-0000-00007F340000}"/>
    <cellStyle name="Normal 11 3 3 4 3" xfId="13341" xr:uid="{00000000-0005-0000-0000-000080340000}"/>
    <cellStyle name="Normal 11 3 3 4 3 2" xfId="26399" xr:uid="{00000000-0005-0000-0000-000081340000}"/>
    <cellStyle name="Normal 11 3 3 4 4" xfId="13342" xr:uid="{00000000-0005-0000-0000-000082340000}"/>
    <cellStyle name="Normal 11 3 3 4 4 2" xfId="26400" xr:uid="{00000000-0005-0000-0000-000083340000}"/>
    <cellStyle name="Normal 11 3 3 4 5" xfId="22072" xr:uid="{00000000-0005-0000-0000-000084340000}"/>
    <cellStyle name="Normal 11 3 3 5" xfId="9780" xr:uid="{00000000-0005-0000-0000-000085340000}"/>
    <cellStyle name="Normal 11 3 3 5 2" xfId="13343" xr:uid="{00000000-0005-0000-0000-000086340000}"/>
    <cellStyle name="Normal 11 3 3 5 2 2" xfId="26401" xr:uid="{00000000-0005-0000-0000-000087340000}"/>
    <cellStyle name="Normal 11 3 3 5 3" xfId="13344" xr:uid="{00000000-0005-0000-0000-000088340000}"/>
    <cellStyle name="Normal 11 3 3 5 3 2" xfId="26402" xr:uid="{00000000-0005-0000-0000-000089340000}"/>
    <cellStyle name="Normal 11 3 3 5 4" xfId="23150" xr:uid="{00000000-0005-0000-0000-00008A340000}"/>
    <cellStyle name="Normal 11 3 3 6" xfId="13345" xr:uid="{00000000-0005-0000-0000-00008B340000}"/>
    <cellStyle name="Normal 11 3 3 6 2" xfId="26403" xr:uid="{00000000-0005-0000-0000-00008C340000}"/>
    <cellStyle name="Normal 11 3 3 7" xfId="13346" xr:uid="{00000000-0005-0000-0000-00008D340000}"/>
    <cellStyle name="Normal 11 3 3 7 2" xfId="26404" xr:uid="{00000000-0005-0000-0000-00008E340000}"/>
    <cellStyle name="Normal 11 3 3 8" xfId="20994" xr:uid="{00000000-0005-0000-0000-00008F340000}"/>
    <cellStyle name="Normal 11 3 4" xfId="6572" xr:uid="{00000000-0005-0000-0000-000090340000}"/>
    <cellStyle name="Normal 11 3 4 2" xfId="7270" xr:uid="{00000000-0005-0000-0000-000091340000}"/>
    <cellStyle name="Normal 11 3 4 2 2" xfId="9149" xr:uid="{00000000-0005-0000-0000-000092340000}"/>
    <cellStyle name="Normal 11 3 4 2 2 2" xfId="11528" xr:uid="{00000000-0005-0000-0000-000093340000}"/>
    <cellStyle name="Normal 11 3 4 2 2 2 2" xfId="13347" xr:uid="{00000000-0005-0000-0000-000094340000}"/>
    <cellStyle name="Normal 11 3 4 2 2 2 2 2" xfId="26405" xr:uid="{00000000-0005-0000-0000-000095340000}"/>
    <cellStyle name="Normal 11 3 4 2 2 2 3" xfId="13348" xr:uid="{00000000-0005-0000-0000-000096340000}"/>
    <cellStyle name="Normal 11 3 4 2 2 2 3 2" xfId="26406" xr:uid="{00000000-0005-0000-0000-000097340000}"/>
    <cellStyle name="Normal 11 3 4 2 2 2 4" xfId="24898" xr:uid="{00000000-0005-0000-0000-000098340000}"/>
    <cellStyle name="Normal 11 3 4 2 2 3" xfId="13349" xr:uid="{00000000-0005-0000-0000-000099340000}"/>
    <cellStyle name="Normal 11 3 4 2 2 3 2" xfId="26407" xr:uid="{00000000-0005-0000-0000-00009A340000}"/>
    <cellStyle name="Normal 11 3 4 2 2 4" xfId="13350" xr:uid="{00000000-0005-0000-0000-00009B340000}"/>
    <cellStyle name="Normal 11 3 4 2 2 4 2" xfId="26408" xr:uid="{00000000-0005-0000-0000-00009C340000}"/>
    <cellStyle name="Normal 11 3 4 2 2 5" xfId="22742" xr:uid="{00000000-0005-0000-0000-00009D340000}"/>
    <cellStyle name="Normal 11 3 4 2 3" xfId="10450" xr:uid="{00000000-0005-0000-0000-00009E340000}"/>
    <cellStyle name="Normal 11 3 4 2 3 2" xfId="13351" xr:uid="{00000000-0005-0000-0000-00009F340000}"/>
    <cellStyle name="Normal 11 3 4 2 3 2 2" xfId="26409" xr:uid="{00000000-0005-0000-0000-0000A0340000}"/>
    <cellStyle name="Normal 11 3 4 2 3 3" xfId="13352" xr:uid="{00000000-0005-0000-0000-0000A1340000}"/>
    <cellStyle name="Normal 11 3 4 2 3 3 2" xfId="26410" xr:uid="{00000000-0005-0000-0000-0000A2340000}"/>
    <cellStyle name="Normal 11 3 4 2 3 4" xfId="23820" xr:uid="{00000000-0005-0000-0000-0000A3340000}"/>
    <cellStyle name="Normal 11 3 4 2 4" xfId="13353" xr:uid="{00000000-0005-0000-0000-0000A4340000}"/>
    <cellStyle name="Normal 11 3 4 2 4 2" xfId="26411" xr:uid="{00000000-0005-0000-0000-0000A5340000}"/>
    <cellStyle name="Normal 11 3 4 2 5" xfId="13354" xr:uid="{00000000-0005-0000-0000-0000A6340000}"/>
    <cellStyle name="Normal 11 3 4 2 5 2" xfId="26412" xr:uid="{00000000-0005-0000-0000-0000A7340000}"/>
    <cellStyle name="Normal 11 3 4 2 6" xfId="21664" xr:uid="{00000000-0005-0000-0000-0000A8340000}"/>
    <cellStyle name="Normal 11 3 4 3" xfId="8602" xr:uid="{00000000-0005-0000-0000-0000A9340000}"/>
    <cellStyle name="Normal 11 3 4 3 2" xfId="10988" xr:uid="{00000000-0005-0000-0000-0000AA340000}"/>
    <cellStyle name="Normal 11 3 4 3 2 2" xfId="13355" xr:uid="{00000000-0005-0000-0000-0000AB340000}"/>
    <cellStyle name="Normal 11 3 4 3 2 2 2" xfId="26413" xr:uid="{00000000-0005-0000-0000-0000AC340000}"/>
    <cellStyle name="Normal 11 3 4 3 2 3" xfId="13356" xr:uid="{00000000-0005-0000-0000-0000AD340000}"/>
    <cellStyle name="Normal 11 3 4 3 2 3 2" xfId="26414" xr:uid="{00000000-0005-0000-0000-0000AE340000}"/>
    <cellStyle name="Normal 11 3 4 3 2 4" xfId="24358" xr:uid="{00000000-0005-0000-0000-0000AF340000}"/>
    <cellStyle name="Normal 11 3 4 3 3" xfId="13357" xr:uid="{00000000-0005-0000-0000-0000B0340000}"/>
    <cellStyle name="Normal 11 3 4 3 3 2" xfId="26415" xr:uid="{00000000-0005-0000-0000-0000B1340000}"/>
    <cellStyle name="Normal 11 3 4 3 4" xfId="13358" xr:uid="{00000000-0005-0000-0000-0000B2340000}"/>
    <cellStyle name="Normal 11 3 4 3 4 2" xfId="26416" xr:uid="{00000000-0005-0000-0000-0000B3340000}"/>
    <cellStyle name="Normal 11 3 4 3 5" xfId="22202" xr:uid="{00000000-0005-0000-0000-0000B4340000}"/>
    <cellStyle name="Normal 11 3 4 4" xfId="9910" xr:uid="{00000000-0005-0000-0000-0000B5340000}"/>
    <cellStyle name="Normal 11 3 4 4 2" xfId="13359" xr:uid="{00000000-0005-0000-0000-0000B6340000}"/>
    <cellStyle name="Normal 11 3 4 4 2 2" xfId="26417" xr:uid="{00000000-0005-0000-0000-0000B7340000}"/>
    <cellStyle name="Normal 11 3 4 4 3" xfId="13360" xr:uid="{00000000-0005-0000-0000-0000B8340000}"/>
    <cellStyle name="Normal 11 3 4 4 3 2" xfId="26418" xr:uid="{00000000-0005-0000-0000-0000B9340000}"/>
    <cellStyle name="Normal 11 3 4 4 4" xfId="23280" xr:uid="{00000000-0005-0000-0000-0000BA340000}"/>
    <cellStyle name="Normal 11 3 4 5" xfId="13361" xr:uid="{00000000-0005-0000-0000-0000BB340000}"/>
    <cellStyle name="Normal 11 3 4 5 2" xfId="26419" xr:uid="{00000000-0005-0000-0000-0000BC340000}"/>
    <cellStyle name="Normal 11 3 4 6" xfId="13362" xr:uid="{00000000-0005-0000-0000-0000BD340000}"/>
    <cellStyle name="Normal 11 3 4 6 2" xfId="26420" xr:uid="{00000000-0005-0000-0000-0000BE340000}"/>
    <cellStyle name="Normal 11 3 4 7" xfId="21124" xr:uid="{00000000-0005-0000-0000-0000BF340000}"/>
    <cellStyle name="Normal 11 3 5" xfId="7000" xr:uid="{00000000-0005-0000-0000-0000C0340000}"/>
    <cellStyle name="Normal 11 3 5 2" xfId="8880" xr:uid="{00000000-0005-0000-0000-0000C1340000}"/>
    <cellStyle name="Normal 11 3 5 2 2" xfId="11259" xr:uid="{00000000-0005-0000-0000-0000C2340000}"/>
    <cellStyle name="Normal 11 3 5 2 2 2" xfId="13363" xr:uid="{00000000-0005-0000-0000-0000C3340000}"/>
    <cellStyle name="Normal 11 3 5 2 2 2 2" xfId="26421" xr:uid="{00000000-0005-0000-0000-0000C4340000}"/>
    <cellStyle name="Normal 11 3 5 2 2 3" xfId="13364" xr:uid="{00000000-0005-0000-0000-0000C5340000}"/>
    <cellStyle name="Normal 11 3 5 2 2 3 2" xfId="26422" xr:uid="{00000000-0005-0000-0000-0000C6340000}"/>
    <cellStyle name="Normal 11 3 5 2 2 4" xfId="24629" xr:uid="{00000000-0005-0000-0000-0000C7340000}"/>
    <cellStyle name="Normal 11 3 5 2 3" xfId="13365" xr:uid="{00000000-0005-0000-0000-0000C8340000}"/>
    <cellStyle name="Normal 11 3 5 2 3 2" xfId="26423" xr:uid="{00000000-0005-0000-0000-0000C9340000}"/>
    <cellStyle name="Normal 11 3 5 2 4" xfId="13366" xr:uid="{00000000-0005-0000-0000-0000CA340000}"/>
    <cellStyle name="Normal 11 3 5 2 4 2" xfId="26424" xr:uid="{00000000-0005-0000-0000-0000CB340000}"/>
    <cellStyle name="Normal 11 3 5 2 5" xfId="22473" xr:uid="{00000000-0005-0000-0000-0000CC340000}"/>
    <cellStyle name="Normal 11 3 5 3" xfId="10181" xr:uid="{00000000-0005-0000-0000-0000CD340000}"/>
    <cellStyle name="Normal 11 3 5 3 2" xfId="13367" xr:uid="{00000000-0005-0000-0000-0000CE340000}"/>
    <cellStyle name="Normal 11 3 5 3 2 2" xfId="26425" xr:uid="{00000000-0005-0000-0000-0000CF340000}"/>
    <cellStyle name="Normal 11 3 5 3 3" xfId="13368" xr:uid="{00000000-0005-0000-0000-0000D0340000}"/>
    <cellStyle name="Normal 11 3 5 3 3 2" xfId="26426" xr:uid="{00000000-0005-0000-0000-0000D1340000}"/>
    <cellStyle name="Normal 11 3 5 3 4" xfId="23551" xr:uid="{00000000-0005-0000-0000-0000D2340000}"/>
    <cellStyle name="Normal 11 3 5 4" xfId="13369" xr:uid="{00000000-0005-0000-0000-0000D3340000}"/>
    <cellStyle name="Normal 11 3 5 4 2" xfId="26427" xr:uid="{00000000-0005-0000-0000-0000D4340000}"/>
    <cellStyle name="Normal 11 3 5 5" xfId="13370" xr:uid="{00000000-0005-0000-0000-0000D5340000}"/>
    <cellStyle name="Normal 11 3 5 5 2" xfId="26428" xr:uid="{00000000-0005-0000-0000-0000D6340000}"/>
    <cellStyle name="Normal 11 3 5 6" xfId="21395" xr:uid="{00000000-0005-0000-0000-0000D7340000}"/>
    <cellStyle name="Normal 11 3 6" xfId="8189" xr:uid="{00000000-0005-0000-0000-0000D8340000}"/>
    <cellStyle name="Normal 11 3 6 2" xfId="10719" xr:uid="{00000000-0005-0000-0000-0000D9340000}"/>
    <cellStyle name="Normal 11 3 6 2 2" xfId="13371" xr:uid="{00000000-0005-0000-0000-0000DA340000}"/>
    <cellStyle name="Normal 11 3 6 2 2 2" xfId="26429" xr:uid="{00000000-0005-0000-0000-0000DB340000}"/>
    <cellStyle name="Normal 11 3 6 2 3" xfId="13372" xr:uid="{00000000-0005-0000-0000-0000DC340000}"/>
    <cellStyle name="Normal 11 3 6 2 3 2" xfId="26430" xr:uid="{00000000-0005-0000-0000-0000DD340000}"/>
    <cellStyle name="Normal 11 3 6 2 4" xfId="24089" xr:uid="{00000000-0005-0000-0000-0000DE340000}"/>
    <cellStyle name="Normal 11 3 6 3" xfId="13373" xr:uid="{00000000-0005-0000-0000-0000DF340000}"/>
    <cellStyle name="Normal 11 3 6 3 2" xfId="26431" xr:uid="{00000000-0005-0000-0000-0000E0340000}"/>
    <cellStyle name="Normal 11 3 6 4" xfId="13374" xr:uid="{00000000-0005-0000-0000-0000E1340000}"/>
    <cellStyle name="Normal 11 3 6 4 2" xfId="26432" xr:uid="{00000000-0005-0000-0000-0000E2340000}"/>
    <cellStyle name="Normal 11 3 6 5" xfId="21933" xr:uid="{00000000-0005-0000-0000-0000E3340000}"/>
    <cellStyle name="Normal 11 3 7" xfId="9640" xr:uid="{00000000-0005-0000-0000-0000E4340000}"/>
    <cellStyle name="Normal 11 3 7 2" xfId="13375" xr:uid="{00000000-0005-0000-0000-0000E5340000}"/>
    <cellStyle name="Normal 11 3 7 2 2" xfId="26433" xr:uid="{00000000-0005-0000-0000-0000E6340000}"/>
    <cellStyle name="Normal 11 3 7 3" xfId="13376" xr:uid="{00000000-0005-0000-0000-0000E7340000}"/>
    <cellStyle name="Normal 11 3 7 3 2" xfId="26434" xr:uid="{00000000-0005-0000-0000-0000E8340000}"/>
    <cellStyle name="Normal 11 3 7 4" xfId="23011" xr:uid="{00000000-0005-0000-0000-0000E9340000}"/>
    <cellStyle name="Normal 11 3 8" xfId="13377" xr:uid="{00000000-0005-0000-0000-0000EA340000}"/>
    <cellStyle name="Normal 11 3 8 2" xfId="26435" xr:uid="{00000000-0005-0000-0000-0000EB340000}"/>
    <cellStyle name="Normal 11 3 9" xfId="13378" xr:uid="{00000000-0005-0000-0000-0000EC340000}"/>
    <cellStyle name="Normal 11 3 9 2" xfId="26436" xr:uid="{00000000-0005-0000-0000-0000ED340000}"/>
    <cellStyle name="Normal 11 4" xfId="4061" xr:uid="{00000000-0005-0000-0000-0000EE340000}"/>
    <cellStyle name="Normal 11 4 2" xfId="5597" xr:uid="{00000000-0005-0000-0000-0000EF340000}"/>
    <cellStyle name="Normal 11 4 2 2" xfId="6749" xr:uid="{00000000-0005-0000-0000-0000F0340000}"/>
    <cellStyle name="Normal 11 4 2 2 2" xfId="7436" xr:uid="{00000000-0005-0000-0000-0000F1340000}"/>
    <cellStyle name="Normal 11 4 2 2 2 2" xfId="9315" xr:uid="{00000000-0005-0000-0000-0000F2340000}"/>
    <cellStyle name="Normal 11 4 2 2 2 2 2" xfId="11694" xr:uid="{00000000-0005-0000-0000-0000F3340000}"/>
    <cellStyle name="Normal 11 4 2 2 2 2 2 2" xfId="13379" xr:uid="{00000000-0005-0000-0000-0000F4340000}"/>
    <cellStyle name="Normal 11 4 2 2 2 2 2 2 2" xfId="26437" xr:uid="{00000000-0005-0000-0000-0000F5340000}"/>
    <cellStyle name="Normal 11 4 2 2 2 2 2 3" xfId="13380" xr:uid="{00000000-0005-0000-0000-0000F6340000}"/>
    <cellStyle name="Normal 11 4 2 2 2 2 2 3 2" xfId="26438" xr:uid="{00000000-0005-0000-0000-0000F7340000}"/>
    <cellStyle name="Normal 11 4 2 2 2 2 2 4" xfId="25064" xr:uid="{00000000-0005-0000-0000-0000F8340000}"/>
    <cellStyle name="Normal 11 4 2 2 2 2 3" xfId="13381" xr:uid="{00000000-0005-0000-0000-0000F9340000}"/>
    <cellStyle name="Normal 11 4 2 2 2 2 3 2" xfId="26439" xr:uid="{00000000-0005-0000-0000-0000FA340000}"/>
    <cellStyle name="Normal 11 4 2 2 2 2 4" xfId="13382" xr:uid="{00000000-0005-0000-0000-0000FB340000}"/>
    <cellStyle name="Normal 11 4 2 2 2 2 4 2" xfId="26440" xr:uid="{00000000-0005-0000-0000-0000FC340000}"/>
    <cellStyle name="Normal 11 4 2 2 2 2 5" xfId="22908" xr:uid="{00000000-0005-0000-0000-0000FD340000}"/>
    <cellStyle name="Normal 11 4 2 2 2 3" xfId="10616" xr:uid="{00000000-0005-0000-0000-0000FE340000}"/>
    <cellStyle name="Normal 11 4 2 2 2 3 2" xfId="13383" xr:uid="{00000000-0005-0000-0000-0000FF340000}"/>
    <cellStyle name="Normal 11 4 2 2 2 3 2 2" xfId="26441" xr:uid="{00000000-0005-0000-0000-000000350000}"/>
    <cellStyle name="Normal 11 4 2 2 2 3 3" xfId="13384" xr:uid="{00000000-0005-0000-0000-000001350000}"/>
    <cellStyle name="Normal 11 4 2 2 2 3 3 2" xfId="26442" xr:uid="{00000000-0005-0000-0000-000002350000}"/>
    <cellStyle name="Normal 11 4 2 2 2 3 4" xfId="23986" xr:uid="{00000000-0005-0000-0000-000003350000}"/>
    <cellStyle name="Normal 11 4 2 2 2 4" xfId="13385" xr:uid="{00000000-0005-0000-0000-000004350000}"/>
    <cellStyle name="Normal 11 4 2 2 2 4 2" xfId="26443" xr:uid="{00000000-0005-0000-0000-000005350000}"/>
    <cellStyle name="Normal 11 4 2 2 2 5" xfId="13386" xr:uid="{00000000-0005-0000-0000-000006350000}"/>
    <cellStyle name="Normal 11 4 2 2 2 5 2" xfId="26444" xr:uid="{00000000-0005-0000-0000-000007350000}"/>
    <cellStyle name="Normal 11 4 2 2 2 6" xfId="21830" xr:uid="{00000000-0005-0000-0000-000008350000}"/>
    <cellStyle name="Normal 11 4 2 2 3" xfId="8769" xr:uid="{00000000-0005-0000-0000-000009350000}"/>
    <cellStyle name="Normal 11 4 2 2 3 2" xfId="11154" xr:uid="{00000000-0005-0000-0000-00000A350000}"/>
    <cellStyle name="Normal 11 4 2 2 3 2 2" xfId="13387" xr:uid="{00000000-0005-0000-0000-00000B350000}"/>
    <cellStyle name="Normal 11 4 2 2 3 2 2 2" xfId="26445" xr:uid="{00000000-0005-0000-0000-00000C350000}"/>
    <cellStyle name="Normal 11 4 2 2 3 2 3" xfId="13388" xr:uid="{00000000-0005-0000-0000-00000D350000}"/>
    <cellStyle name="Normal 11 4 2 2 3 2 3 2" xfId="26446" xr:uid="{00000000-0005-0000-0000-00000E350000}"/>
    <cellStyle name="Normal 11 4 2 2 3 2 4" xfId="24524" xr:uid="{00000000-0005-0000-0000-00000F350000}"/>
    <cellStyle name="Normal 11 4 2 2 3 3" xfId="13389" xr:uid="{00000000-0005-0000-0000-000010350000}"/>
    <cellStyle name="Normal 11 4 2 2 3 3 2" xfId="26447" xr:uid="{00000000-0005-0000-0000-000011350000}"/>
    <cellStyle name="Normal 11 4 2 2 3 4" xfId="13390" xr:uid="{00000000-0005-0000-0000-000012350000}"/>
    <cellStyle name="Normal 11 4 2 2 3 4 2" xfId="26448" xr:uid="{00000000-0005-0000-0000-000013350000}"/>
    <cellStyle name="Normal 11 4 2 2 3 5" xfId="22368" xr:uid="{00000000-0005-0000-0000-000014350000}"/>
    <cellStyle name="Normal 11 4 2 2 4" xfId="10076" xr:uid="{00000000-0005-0000-0000-000015350000}"/>
    <cellStyle name="Normal 11 4 2 2 4 2" xfId="13391" xr:uid="{00000000-0005-0000-0000-000016350000}"/>
    <cellStyle name="Normal 11 4 2 2 4 2 2" xfId="26449" xr:uid="{00000000-0005-0000-0000-000017350000}"/>
    <cellStyle name="Normal 11 4 2 2 4 3" xfId="13392" xr:uid="{00000000-0005-0000-0000-000018350000}"/>
    <cellStyle name="Normal 11 4 2 2 4 3 2" xfId="26450" xr:uid="{00000000-0005-0000-0000-000019350000}"/>
    <cellStyle name="Normal 11 4 2 2 4 4" xfId="23446" xr:uid="{00000000-0005-0000-0000-00001A350000}"/>
    <cellStyle name="Normal 11 4 2 2 5" xfId="13393" xr:uid="{00000000-0005-0000-0000-00001B350000}"/>
    <cellStyle name="Normal 11 4 2 2 5 2" xfId="26451" xr:uid="{00000000-0005-0000-0000-00001C350000}"/>
    <cellStyle name="Normal 11 4 2 2 6" xfId="13394" xr:uid="{00000000-0005-0000-0000-00001D350000}"/>
    <cellStyle name="Normal 11 4 2 2 6 2" xfId="26452" xr:uid="{00000000-0005-0000-0000-00001E350000}"/>
    <cellStyle name="Normal 11 4 2 2 7" xfId="21290" xr:uid="{00000000-0005-0000-0000-00001F350000}"/>
    <cellStyle name="Normal 11 4 2 3" xfId="7167" xr:uid="{00000000-0005-0000-0000-000020350000}"/>
    <cellStyle name="Normal 11 4 2 3 2" xfId="9046" xr:uid="{00000000-0005-0000-0000-000021350000}"/>
    <cellStyle name="Normal 11 4 2 3 2 2" xfId="11425" xr:uid="{00000000-0005-0000-0000-000022350000}"/>
    <cellStyle name="Normal 11 4 2 3 2 2 2" xfId="13395" xr:uid="{00000000-0005-0000-0000-000023350000}"/>
    <cellStyle name="Normal 11 4 2 3 2 2 2 2" xfId="26453" xr:uid="{00000000-0005-0000-0000-000024350000}"/>
    <cellStyle name="Normal 11 4 2 3 2 2 3" xfId="13396" xr:uid="{00000000-0005-0000-0000-000025350000}"/>
    <cellStyle name="Normal 11 4 2 3 2 2 3 2" xfId="26454" xr:uid="{00000000-0005-0000-0000-000026350000}"/>
    <cellStyle name="Normal 11 4 2 3 2 2 4" xfId="24795" xr:uid="{00000000-0005-0000-0000-000027350000}"/>
    <cellStyle name="Normal 11 4 2 3 2 3" xfId="13397" xr:uid="{00000000-0005-0000-0000-000028350000}"/>
    <cellStyle name="Normal 11 4 2 3 2 3 2" xfId="26455" xr:uid="{00000000-0005-0000-0000-000029350000}"/>
    <cellStyle name="Normal 11 4 2 3 2 4" xfId="13398" xr:uid="{00000000-0005-0000-0000-00002A350000}"/>
    <cellStyle name="Normal 11 4 2 3 2 4 2" xfId="26456" xr:uid="{00000000-0005-0000-0000-00002B350000}"/>
    <cellStyle name="Normal 11 4 2 3 2 5" xfId="22639" xr:uid="{00000000-0005-0000-0000-00002C350000}"/>
    <cellStyle name="Normal 11 4 2 3 3" xfId="10347" xr:uid="{00000000-0005-0000-0000-00002D350000}"/>
    <cellStyle name="Normal 11 4 2 3 3 2" xfId="13399" xr:uid="{00000000-0005-0000-0000-00002E350000}"/>
    <cellStyle name="Normal 11 4 2 3 3 2 2" xfId="26457" xr:uid="{00000000-0005-0000-0000-00002F350000}"/>
    <cellStyle name="Normal 11 4 2 3 3 3" xfId="13400" xr:uid="{00000000-0005-0000-0000-000030350000}"/>
    <cellStyle name="Normal 11 4 2 3 3 3 2" xfId="26458" xr:uid="{00000000-0005-0000-0000-000031350000}"/>
    <cellStyle name="Normal 11 4 2 3 3 4" xfId="23717" xr:uid="{00000000-0005-0000-0000-000032350000}"/>
    <cellStyle name="Normal 11 4 2 3 4" xfId="13401" xr:uid="{00000000-0005-0000-0000-000033350000}"/>
    <cellStyle name="Normal 11 4 2 3 4 2" xfId="26459" xr:uid="{00000000-0005-0000-0000-000034350000}"/>
    <cellStyle name="Normal 11 4 2 3 5" xfId="13402" xr:uid="{00000000-0005-0000-0000-000035350000}"/>
    <cellStyle name="Normal 11 4 2 3 5 2" xfId="26460" xr:uid="{00000000-0005-0000-0000-000036350000}"/>
    <cellStyle name="Normal 11 4 2 3 6" xfId="21561" xr:uid="{00000000-0005-0000-0000-000037350000}"/>
    <cellStyle name="Normal 11 4 2 4" xfId="8444" xr:uid="{00000000-0005-0000-0000-000038350000}"/>
    <cellStyle name="Normal 11 4 2 4 2" xfId="10885" xr:uid="{00000000-0005-0000-0000-000039350000}"/>
    <cellStyle name="Normal 11 4 2 4 2 2" xfId="13403" xr:uid="{00000000-0005-0000-0000-00003A350000}"/>
    <cellStyle name="Normal 11 4 2 4 2 2 2" xfId="26461" xr:uid="{00000000-0005-0000-0000-00003B350000}"/>
    <cellStyle name="Normal 11 4 2 4 2 3" xfId="13404" xr:uid="{00000000-0005-0000-0000-00003C350000}"/>
    <cellStyle name="Normal 11 4 2 4 2 3 2" xfId="26462" xr:uid="{00000000-0005-0000-0000-00003D350000}"/>
    <cellStyle name="Normal 11 4 2 4 2 4" xfId="24255" xr:uid="{00000000-0005-0000-0000-00003E350000}"/>
    <cellStyle name="Normal 11 4 2 4 3" xfId="13405" xr:uid="{00000000-0005-0000-0000-00003F350000}"/>
    <cellStyle name="Normal 11 4 2 4 3 2" xfId="26463" xr:uid="{00000000-0005-0000-0000-000040350000}"/>
    <cellStyle name="Normal 11 4 2 4 4" xfId="13406" xr:uid="{00000000-0005-0000-0000-000041350000}"/>
    <cellStyle name="Normal 11 4 2 4 4 2" xfId="26464" xr:uid="{00000000-0005-0000-0000-000042350000}"/>
    <cellStyle name="Normal 11 4 2 4 5" xfId="22099" xr:uid="{00000000-0005-0000-0000-000043350000}"/>
    <cellStyle name="Normal 11 4 2 5" xfId="9807" xr:uid="{00000000-0005-0000-0000-000044350000}"/>
    <cellStyle name="Normal 11 4 2 5 2" xfId="13407" xr:uid="{00000000-0005-0000-0000-000045350000}"/>
    <cellStyle name="Normal 11 4 2 5 2 2" xfId="26465" xr:uid="{00000000-0005-0000-0000-000046350000}"/>
    <cellStyle name="Normal 11 4 2 5 3" xfId="13408" xr:uid="{00000000-0005-0000-0000-000047350000}"/>
    <cellStyle name="Normal 11 4 2 5 3 2" xfId="26466" xr:uid="{00000000-0005-0000-0000-000048350000}"/>
    <cellStyle name="Normal 11 4 2 5 4" xfId="23177" xr:uid="{00000000-0005-0000-0000-000049350000}"/>
    <cellStyle name="Normal 11 4 2 6" xfId="13409" xr:uid="{00000000-0005-0000-0000-00004A350000}"/>
    <cellStyle name="Normal 11 4 2 6 2" xfId="26467" xr:uid="{00000000-0005-0000-0000-00004B350000}"/>
    <cellStyle name="Normal 11 4 2 7" xfId="13410" xr:uid="{00000000-0005-0000-0000-00004C350000}"/>
    <cellStyle name="Normal 11 4 2 7 2" xfId="26468" xr:uid="{00000000-0005-0000-0000-00004D350000}"/>
    <cellStyle name="Normal 11 4 2 8" xfId="21021" xr:uid="{00000000-0005-0000-0000-00004E350000}"/>
    <cellStyle name="Normal 11 4 3" xfId="6598" xr:uid="{00000000-0005-0000-0000-00004F350000}"/>
    <cellStyle name="Normal 11 4 3 2" xfId="7294" xr:uid="{00000000-0005-0000-0000-000050350000}"/>
    <cellStyle name="Normal 11 4 3 2 2" xfId="9173" xr:uid="{00000000-0005-0000-0000-000051350000}"/>
    <cellStyle name="Normal 11 4 3 2 2 2" xfId="11552" xr:uid="{00000000-0005-0000-0000-000052350000}"/>
    <cellStyle name="Normal 11 4 3 2 2 2 2" xfId="13411" xr:uid="{00000000-0005-0000-0000-000053350000}"/>
    <cellStyle name="Normal 11 4 3 2 2 2 2 2" xfId="26469" xr:uid="{00000000-0005-0000-0000-000054350000}"/>
    <cellStyle name="Normal 11 4 3 2 2 2 3" xfId="13412" xr:uid="{00000000-0005-0000-0000-000055350000}"/>
    <cellStyle name="Normal 11 4 3 2 2 2 3 2" xfId="26470" xr:uid="{00000000-0005-0000-0000-000056350000}"/>
    <cellStyle name="Normal 11 4 3 2 2 2 4" xfId="24922" xr:uid="{00000000-0005-0000-0000-000057350000}"/>
    <cellStyle name="Normal 11 4 3 2 2 3" xfId="13413" xr:uid="{00000000-0005-0000-0000-000058350000}"/>
    <cellStyle name="Normal 11 4 3 2 2 3 2" xfId="26471" xr:uid="{00000000-0005-0000-0000-000059350000}"/>
    <cellStyle name="Normal 11 4 3 2 2 4" xfId="13414" xr:uid="{00000000-0005-0000-0000-00005A350000}"/>
    <cellStyle name="Normal 11 4 3 2 2 4 2" xfId="26472" xr:uid="{00000000-0005-0000-0000-00005B350000}"/>
    <cellStyle name="Normal 11 4 3 2 2 5" xfId="22766" xr:uid="{00000000-0005-0000-0000-00005C350000}"/>
    <cellStyle name="Normal 11 4 3 2 3" xfId="10474" xr:uid="{00000000-0005-0000-0000-00005D350000}"/>
    <cellStyle name="Normal 11 4 3 2 3 2" xfId="13415" xr:uid="{00000000-0005-0000-0000-00005E350000}"/>
    <cellStyle name="Normal 11 4 3 2 3 2 2" xfId="26473" xr:uid="{00000000-0005-0000-0000-00005F350000}"/>
    <cellStyle name="Normal 11 4 3 2 3 3" xfId="13416" xr:uid="{00000000-0005-0000-0000-000060350000}"/>
    <cellStyle name="Normal 11 4 3 2 3 3 2" xfId="26474" xr:uid="{00000000-0005-0000-0000-000061350000}"/>
    <cellStyle name="Normal 11 4 3 2 3 4" xfId="23844" xr:uid="{00000000-0005-0000-0000-000062350000}"/>
    <cellStyle name="Normal 11 4 3 2 4" xfId="13417" xr:uid="{00000000-0005-0000-0000-000063350000}"/>
    <cellStyle name="Normal 11 4 3 2 4 2" xfId="26475" xr:uid="{00000000-0005-0000-0000-000064350000}"/>
    <cellStyle name="Normal 11 4 3 2 5" xfId="13418" xr:uid="{00000000-0005-0000-0000-000065350000}"/>
    <cellStyle name="Normal 11 4 3 2 5 2" xfId="26476" xr:uid="{00000000-0005-0000-0000-000066350000}"/>
    <cellStyle name="Normal 11 4 3 2 6" xfId="21688" xr:uid="{00000000-0005-0000-0000-000067350000}"/>
    <cellStyle name="Normal 11 4 3 3" xfId="8626" xr:uid="{00000000-0005-0000-0000-000068350000}"/>
    <cellStyle name="Normal 11 4 3 3 2" xfId="11012" xr:uid="{00000000-0005-0000-0000-000069350000}"/>
    <cellStyle name="Normal 11 4 3 3 2 2" xfId="13419" xr:uid="{00000000-0005-0000-0000-00006A350000}"/>
    <cellStyle name="Normal 11 4 3 3 2 2 2" xfId="26477" xr:uid="{00000000-0005-0000-0000-00006B350000}"/>
    <cellStyle name="Normal 11 4 3 3 2 3" xfId="13420" xr:uid="{00000000-0005-0000-0000-00006C350000}"/>
    <cellStyle name="Normal 11 4 3 3 2 3 2" xfId="26478" xr:uid="{00000000-0005-0000-0000-00006D350000}"/>
    <cellStyle name="Normal 11 4 3 3 2 4" xfId="24382" xr:uid="{00000000-0005-0000-0000-00006E350000}"/>
    <cellStyle name="Normal 11 4 3 3 3" xfId="13421" xr:uid="{00000000-0005-0000-0000-00006F350000}"/>
    <cellStyle name="Normal 11 4 3 3 3 2" xfId="26479" xr:uid="{00000000-0005-0000-0000-000070350000}"/>
    <cellStyle name="Normal 11 4 3 3 4" xfId="13422" xr:uid="{00000000-0005-0000-0000-000071350000}"/>
    <cellStyle name="Normal 11 4 3 3 4 2" xfId="26480" xr:uid="{00000000-0005-0000-0000-000072350000}"/>
    <cellStyle name="Normal 11 4 3 3 5" xfId="22226" xr:uid="{00000000-0005-0000-0000-000073350000}"/>
    <cellStyle name="Normal 11 4 3 4" xfId="9934" xr:uid="{00000000-0005-0000-0000-000074350000}"/>
    <cellStyle name="Normal 11 4 3 4 2" xfId="13423" xr:uid="{00000000-0005-0000-0000-000075350000}"/>
    <cellStyle name="Normal 11 4 3 4 2 2" xfId="26481" xr:uid="{00000000-0005-0000-0000-000076350000}"/>
    <cellStyle name="Normal 11 4 3 4 3" xfId="13424" xr:uid="{00000000-0005-0000-0000-000077350000}"/>
    <cellStyle name="Normal 11 4 3 4 3 2" xfId="26482" xr:uid="{00000000-0005-0000-0000-000078350000}"/>
    <cellStyle name="Normal 11 4 3 4 4" xfId="23304" xr:uid="{00000000-0005-0000-0000-000079350000}"/>
    <cellStyle name="Normal 11 4 3 5" xfId="13425" xr:uid="{00000000-0005-0000-0000-00007A350000}"/>
    <cellStyle name="Normal 11 4 3 5 2" xfId="26483" xr:uid="{00000000-0005-0000-0000-00007B350000}"/>
    <cellStyle name="Normal 11 4 3 6" xfId="13426" xr:uid="{00000000-0005-0000-0000-00007C350000}"/>
    <cellStyle name="Normal 11 4 3 6 2" xfId="26484" xr:uid="{00000000-0005-0000-0000-00007D350000}"/>
    <cellStyle name="Normal 11 4 3 7" xfId="21148" xr:uid="{00000000-0005-0000-0000-00007E350000}"/>
    <cellStyle name="Normal 11 4 4" xfId="7024" xr:uid="{00000000-0005-0000-0000-00007F350000}"/>
    <cellStyle name="Normal 11 4 4 2" xfId="8904" xr:uid="{00000000-0005-0000-0000-000080350000}"/>
    <cellStyle name="Normal 11 4 4 2 2" xfId="11283" xr:uid="{00000000-0005-0000-0000-000081350000}"/>
    <cellStyle name="Normal 11 4 4 2 2 2" xfId="13427" xr:uid="{00000000-0005-0000-0000-000082350000}"/>
    <cellStyle name="Normal 11 4 4 2 2 2 2" xfId="26485" xr:uid="{00000000-0005-0000-0000-000083350000}"/>
    <cellStyle name="Normal 11 4 4 2 2 3" xfId="13428" xr:uid="{00000000-0005-0000-0000-000084350000}"/>
    <cellStyle name="Normal 11 4 4 2 2 3 2" xfId="26486" xr:uid="{00000000-0005-0000-0000-000085350000}"/>
    <cellStyle name="Normal 11 4 4 2 2 4" xfId="24653" xr:uid="{00000000-0005-0000-0000-000086350000}"/>
    <cellStyle name="Normal 11 4 4 2 3" xfId="13429" xr:uid="{00000000-0005-0000-0000-000087350000}"/>
    <cellStyle name="Normal 11 4 4 2 3 2" xfId="26487" xr:uid="{00000000-0005-0000-0000-000088350000}"/>
    <cellStyle name="Normal 11 4 4 2 4" xfId="13430" xr:uid="{00000000-0005-0000-0000-000089350000}"/>
    <cellStyle name="Normal 11 4 4 2 4 2" xfId="26488" xr:uid="{00000000-0005-0000-0000-00008A350000}"/>
    <cellStyle name="Normal 11 4 4 2 5" xfId="22497" xr:uid="{00000000-0005-0000-0000-00008B350000}"/>
    <cellStyle name="Normal 11 4 4 3" xfId="10205" xr:uid="{00000000-0005-0000-0000-00008C350000}"/>
    <cellStyle name="Normal 11 4 4 3 2" xfId="13431" xr:uid="{00000000-0005-0000-0000-00008D350000}"/>
    <cellStyle name="Normal 11 4 4 3 2 2" xfId="26489" xr:uid="{00000000-0005-0000-0000-00008E350000}"/>
    <cellStyle name="Normal 11 4 4 3 3" xfId="13432" xr:uid="{00000000-0005-0000-0000-00008F350000}"/>
    <cellStyle name="Normal 11 4 4 3 3 2" xfId="26490" xr:uid="{00000000-0005-0000-0000-000090350000}"/>
    <cellStyle name="Normal 11 4 4 3 4" xfId="23575" xr:uid="{00000000-0005-0000-0000-000091350000}"/>
    <cellStyle name="Normal 11 4 4 4" xfId="13433" xr:uid="{00000000-0005-0000-0000-000092350000}"/>
    <cellStyle name="Normal 11 4 4 4 2" xfId="26491" xr:uid="{00000000-0005-0000-0000-000093350000}"/>
    <cellStyle name="Normal 11 4 4 5" xfId="13434" xr:uid="{00000000-0005-0000-0000-000094350000}"/>
    <cellStyle name="Normal 11 4 4 5 2" xfId="26492" xr:uid="{00000000-0005-0000-0000-000095350000}"/>
    <cellStyle name="Normal 11 4 4 6" xfId="21419" xr:uid="{00000000-0005-0000-0000-000096350000}"/>
    <cellStyle name="Normal 11 4 5" xfId="8228" xr:uid="{00000000-0005-0000-0000-000097350000}"/>
    <cellStyle name="Normal 11 4 5 2" xfId="10743" xr:uid="{00000000-0005-0000-0000-000098350000}"/>
    <cellStyle name="Normal 11 4 5 2 2" xfId="13435" xr:uid="{00000000-0005-0000-0000-000099350000}"/>
    <cellStyle name="Normal 11 4 5 2 2 2" xfId="26493" xr:uid="{00000000-0005-0000-0000-00009A350000}"/>
    <cellStyle name="Normal 11 4 5 2 3" xfId="13436" xr:uid="{00000000-0005-0000-0000-00009B350000}"/>
    <cellStyle name="Normal 11 4 5 2 3 2" xfId="26494" xr:uid="{00000000-0005-0000-0000-00009C350000}"/>
    <cellStyle name="Normal 11 4 5 2 4" xfId="24113" xr:uid="{00000000-0005-0000-0000-00009D350000}"/>
    <cellStyle name="Normal 11 4 5 3" xfId="13437" xr:uid="{00000000-0005-0000-0000-00009E350000}"/>
    <cellStyle name="Normal 11 4 5 3 2" xfId="26495" xr:uid="{00000000-0005-0000-0000-00009F350000}"/>
    <cellStyle name="Normal 11 4 5 4" xfId="13438" xr:uid="{00000000-0005-0000-0000-0000A0350000}"/>
    <cellStyle name="Normal 11 4 5 4 2" xfId="26496" xr:uid="{00000000-0005-0000-0000-0000A1350000}"/>
    <cellStyle name="Normal 11 4 5 5" xfId="21957" xr:uid="{00000000-0005-0000-0000-0000A2350000}"/>
    <cellStyle name="Normal 11 4 6" xfId="9664" xr:uid="{00000000-0005-0000-0000-0000A3350000}"/>
    <cellStyle name="Normal 11 4 6 2" xfId="13439" xr:uid="{00000000-0005-0000-0000-0000A4350000}"/>
    <cellStyle name="Normal 11 4 6 2 2" xfId="26497" xr:uid="{00000000-0005-0000-0000-0000A5350000}"/>
    <cellStyle name="Normal 11 4 6 3" xfId="13440" xr:uid="{00000000-0005-0000-0000-0000A6350000}"/>
    <cellStyle name="Normal 11 4 6 3 2" xfId="26498" xr:uid="{00000000-0005-0000-0000-0000A7350000}"/>
    <cellStyle name="Normal 11 4 6 4" xfId="23035" xr:uid="{00000000-0005-0000-0000-0000A8350000}"/>
    <cellStyle name="Normal 11 4 7" xfId="13441" xr:uid="{00000000-0005-0000-0000-0000A9350000}"/>
    <cellStyle name="Normal 11 4 7 2" xfId="26499" xr:uid="{00000000-0005-0000-0000-0000AA350000}"/>
    <cellStyle name="Normal 11 4 8" xfId="13442" xr:uid="{00000000-0005-0000-0000-0000AB350000}"/>
    <cellStyle name="Normal 11 4 8 2" xfId="26500" xr:uid="{00000000-0005-0000-0000-0000AC350000}"/>
    <cellStyle name="Normal 11 4 9" xfId="20878" xr:uid="{00000000-0005-0000-0000-0000AD350000}"/>
    <cellStyle name="Normal 11 5" xfId="4992" xr:uid="{00000000-0005-0000-0000-0000AE350000}"/>
    <cellStyle name="Normal 11 5 2" xfId="6678" xr:uid="{00000000-0005-0000-0000-0000AF350000}"/>
    <cellStyle name="Normal 11 5 2 2" xfId="7367" xr:uid="{00000000-0005-0000-0000-0000B0350000}"/>
    <cellStyle name="Normal 11 5 2 2 2" xfId="9246" xr:uid="{00000000-0005-0000-0000-0000B1350000}"/>
    <cellStyle name="Normal 11 5 2 2 2 2" xfId="11625" xr:uid="{00000000-0005-0000-0000-0000B2350000}"/>
    <cellStyle name="Normal 11 5 2 2 2 2 2" xfId="13443" xr:uid="{00000000-0005-0000-0000-0000B3350000}"/>
    <cellStyle name="Normal 11 5 2 2 2 2 2 2" xfId="26501" xr:uid="{00000000-0005-0000-0000-0000B4350000}"/>
    <cellStyle name="Normal 11 5 2 2 2 2 3" xfId="13444" xr:uid="{00000000-0005-0000-0000-0000B5350000}"/>
    <cellStyle name="Normal 11 5 2 2 2 2 3 2" xfId="26502" xr:uid="{00000000-0005-0000-0000-0000B6350000}"/>
    <cellStyle name="Normal 11 5 2 2 2 2 4" xfId="24995" xr:uid="{00000000-0005-0000-0000-0000B7350000}"/>
    <cellStyle name="Normal 11 5 2 2 2 3" xfId="13445" xr:uid="{00000000-0005-0000-0000-0000B8350000}"/>
    <cellStyle name="Normal 11 5 2 2 2 3 2" xfId="26503" xr:uid="{00000000-0005-0000-0000-0000B9350000}"/>
    <cellStyle name="Normal 11 5 2 2 2 4" xfId="13446" xr:uid="{00000000-0005-0000-0000-0000BA350000}"/>
    <cellStyle name="Normal 11 5 2 2 2 4 2" xfId="26504" xr:uid="{00000000-0005-0000-0000-0000BB350000}"/>
    <cellStyle name="Normal 11 5 2 2 2 5" xfId="22839" xr:uid="{00000000-0005-0000-0000-0000BC350000}"/>
    <cellStyle name="Normal 11 5 2 2 3" xfId="10547" xr:uid="{00000000-0005-0000-0000-0000BD350000}"/>
    <cellStyle name="Normal 11 5 2 2 3 2" xfId="13447" xr:uid="{00000000-0005-0000-0000-0000BE350000}"/>
    <cellStyle name="Normal 11 5 2 2 3 2 2" xfId="26505" xr:uid="{00000000-0005-0000-0000-0000BF350000}"/>
    <cellStyle name="Normal 11 5 2 2 3 3" xfId="13448" xr:uid="{00000000-0005-0000-0000-0000C0350000}"/>
    <cellStyle name="Normal 11 5 2 2 3 3 2" xfId="26506" xr:uid="{00000000-0005-0000-0000-0000C1350000}"/>
    <cellStyle name="Normal 11 5 2 2 3 4" xfId="23917" xr:uid="{00000000-0005-0000-0000-0000C2350000}"/>
    <cellStyle name="Normal 11 5 2 2 4" xfId="13449" xr:uid="{00000000-0005-0000-0000-0000C3350000}"/>
    <cellStyle name="Normal 11 5 2 2 4 2" xfId="26507" xr:uid="{00000000-0005-0000-0000-0000C4350000}"/>
    <cellStyle name="Normal 11 5 2 2 5" xfId="13450" xr:uid="{00000000-0005-0000-0000-0000C5350000}"/>
    <cellStyle name="Normal 11 5 2 2 5 2" xfId="26508" xr:uid="{00000000-0005-0000-0000-0000C6350000}"/>
    <cellStyle name="Normal 11 5 2 2 6" xfId="21761" xr:uid="{00000000-0005-0000-0000-0000C7350000}"/>
    <cellStyle name="Normal 11 5 2 3" xfId="8700" xr:uid="{00000000-0005-0000-0000-0000C8350000}"/>
    <cellStyle name="Normal 11 5 2 3 2" xfId="11085" xr:uid="{00000000-0005-0000-0000-0000C9350000}"/>
    <cellStyle name="Normal 11 5 2 3 2 2" xfId="13451" xr:uid="{00000000-0005-0000-0000-0000CA350000}"/>
    <cellStyle name="Normal 11 5 2 3 2 2 2" xfId="26509" xr:uid="{00000000-0005-0000-0000-0000CB350000}"/>
    <cellStyle name="Normal 11 5 2 3 2 3" xfId="13452" xr:uid="{00000000-0005-0000-0000-0000CC350000}"/>
    <cellStyle name="Normal 11 5 2 3 2 3 2" xfId="26510" xr:uid="{00000000-0005-0000-0000-0000CD350000}"/>
    <cellStyle name="Normal 11 5 2 3 2 4" xfId="24455" xr:uid="{00000000-0005-0000-0000-0000CE350000}"/>
    <cellStyle name="Normal 11 5 2 3 3" xfId="13453" xr:uid="{00000000-0005-0000-0000-0000CF350000}"/>
    <cellStyle name="Normal 11 5 2 3 3 2" xfId="26511" xr:uid="{00000000-0005-0000-0000-0000D0350000}"/>
    <cellStyle name="Normal 11 5 2 3 4" xfId="13454" xr:uid="{00000000-0005-0000-0000-0000D1350000}"/>
    <cellStyle name="Normal 11 5 2 3 4 2" xfId="26512" xr:uid="{00000000-0005-0000-0000-0000D2350000}"/>
    <cellStyle name="Normal 11 5 2 3 5" xfId="22299" xr:uid="{00000000-0005-0000-0000-0000D3350000}"/>
    <cellStyle name="Normal 11 5 2 4" xfId="10007" xr:uid="{00000000-0005-0000-0000-0000D4350000}"/>
    <cellStyle name="Normal 11 5 2 4 2" xfId="13455" xr:uid="{00000000-0005-0000-0000-0000D5350000}"/>
    <cellStyle name="Normal 11 5 2 4 2 2" xfId="26513" xr:uid="{00000000-0005-0000-0000-0000D6350000}"/>
    <cellStyle name="Normal 11 5 2 4 3" xfId="13456" xr:uid="{00000000-0005-0000-0000-0000D7350000}"/>
    <cellStyle name="Normal 11 5 2 4 3 2" xfId="26514" xr:uid="{00000000-0005-0000-0000-0000D8350000}"/>
    <cellStyle name="Normal 11 5 2 4 4" xfId="23377" xr:uid="{00000000-0005-0000-0000-0000D9350000}"/>
    <cellStyle name="Normal 11 5 2 5" xfId="13457" xr:uid="{00000000-0005-0000-0000-0000DA350000}"/>
    <cellStyle name="Normal 11 5 2 5 2" xfId="26515" xr:uid="{00000000-0005-0000-0000-0000DB350000}"/>
    <cellStyle name="Normal 11 5 2 6" xfId="13458" xr:uid="{00000000-0005-0000-0000-0000DC350000}"/>
    <cellStyle name="Normal 11 5 2 6 2" xfId="26516" xr:uid="{00000000-0005-0000-0000-0000DD350000}"/>
    <cellStyle name="Normal 11 5 2 7" xfId="21221" xr:uid="{00000000-0005-0000-0000-0000DE350000}"/>
    <cellStyle name="Normal 11 5 3" xfId="7098" xr:uid="{00000000-0005-0000-0000-0000DF350000}"/>
    <cellStyle name="Normal 11 5 3 2" xfId="8977" xr:uid="{00000000-0005-0000-0000-0000E0350000}"/>
    <cellStyle name="Normal 11 5 3 2 2" xfId="11356" xr:uid="{00000000-0005-0000-0000-0000E1350000}"/>
    <cellStyle name="Normal 11 5 3 2 2 2" xfId="13459" xr:uid="{00000000-0005-0000-0000-0000E2350000}"/>
    <cellStyle name="Normal 11 5 3 2 2 2 2" xfId="26517" xr:uid="{00000000-0005-0000-0000-0000E3350000}"/>
    <cellStyle name="Normal 11 5 3 2 2 3" xfId="13460" xr:uid="{00000000-0005-0000-0000-0000E4350000}"/>
    <cellStyle name="Normal 11 5 3 2 2 3 2" xfId="26518" xr:uid="{00000000-0005-0000-0000-0000E5350000}"/>
    <cellStyle name="Normal 11 5 3 2 2 4" xfId="24726" xr:uid="{00000000-0005-0000-0000-0000E6350000}"/>
    <cellStyle name="Normal 11 5 3 2 3" xfId="13461" xr:uid="{00000000-0005-0000-0000-0000E7350000}"/>
    <cellStyle name="Normal 11 5 3 2 3 2" xfId="26519" xr:uid="{00000000-0005-0000-0000-0000E8350000}"/>
    <cellStyle name="Normal 11 5 3 2 4" xfId="13462" xr:uid="{00000000-0005-0000-0000-0000E9350000}"/>
    <cellStyle name="Normal 11 5 3 2 4 2" xfId="26520" xr:uid="{00000000-0005-0000-0000-0000EA350000}"/>
    <cellStyle name="Normal 11 5 3 2 5" xfId="22570" xr:uid="{00000000-0005-0000-0000-0000EB350000}"/>
    <cellStyle name="Normal 11 5 3 3" xfId="10278" xr:uid="{00000000-0005-0000-0000-0000EC350000}"/>
    <cellStyle name="Normal 11 5 3 3 2" xfId="13463" xr:uid="{00000000-0005-0000-0000-0000ED350000}"/>
    <cellStyle name="Normal 11 5 3 3 2 2" xfId="26521" xr:uid="{00000000-0005-0000-0000-0000EE350000}"/>
    <cellStyle name="Normal 11 5 3 3 3" xfId="13464" xr:uid="{00000000-0005-0000-0000-0000EF350000}"/>
    <cellStyle name="Normal 11 5 3 3 3 2" xfId="26522" xr:uid="{00000000-0005-0000-0000-0000F0350000}"/>
    <cellStyle name="Normal 11 5 3 3 4" xfId="23648" xr:uid="{00000000-0005-0000-0000-0000F1350000}"/>
    <cellStyle name="Normal 11 5 3 4" xfId="13465" xr:uid="{00000000-0005-0000-0000-0000F2350000}"/>
    <cellStyle name="Normal 11 5 3 4 2" xfId="26523" xr:uid="{00000000-0005-0000-0000-0000F3350000}"/>
    <cellStyle name="Normal 11 5 3 5" xfId="13466" xr:uid="{00000000-0005-0000-0000-0000F4350000}"/>
    <cellStyle name="Normal 11 5 3 5 2" xfId="26524" xr:uid="{00000000-0005-0000-0000-0000F5350000}"/>
    <cellStyle name="Normal 11 5 3 6" xfId="21492" xr:uid="{00000000-0005-0000-0000-0000F6350000}"/>
    <cellStyle name="Normal 11 5 4" xfId="8350" xr:uid="{00000000-0005-0000-0000-0000F7350000}"/>
    <cellStyle name="Normal 11 5 4 2" xfId="10816" xr:uid="{00000000-0005-0000-0000-0000F8350000}"/>
    <cellStyle name="Normal 11 5 4 2 2" xfId="13467" xr:uid="{00000000-0005-0000-0000-0000F9350000}"/>
    <cellStyle name="Normal 11 5 4 2 2 2" xfId="26525" xr:uid="{00000000-0005-0000-0000-0000FA350000}"/>
    <cellStyle name="Normal 11 5 4 2 3" xfId="13468" xr:uid="{00000000-0005-0000-0000-0000FB350000}"/>
    <cellStyle name="Normal 11 5 4 2 3 2" xfId="26526" xr:uid="{00000000-0005-0000-0000-0000FC350000}"/>
    <cellStyle name="Normal 11 5 4 2 4" xfId="24186" xr:uid="{00000000-0005-0000-0000-0000FD350000}"/>
    <cellStyle name="Normal 11 5 4 3" xfId="13469" xr:uid="{00000000-0005-0000-0000-0000FE350000}"/>
    <cellStyle name="Normal 11 5 4 3 2" xfId="26527" xr:uid="{00000000-0005-0000-0000-0000FF350000}"/>
    <cellStyle name="Normal 11 5 4 4" xfId="13470" xr:uid="{00000000-0005-0000-0000-000000360000}"/>
    <cellStyle name="Normal 11 5 4 4 2" xfId="26528" xr:uid="{00000000-0005-0000-0000-000001360000}"/>
    <cellStyle name="Normal 11 5 4 5" xfId="22030" xr:uid="{00000000-0005-0000-0000-000002360000}"/>
    <cellStyle name="Normal 11 5 5" xfId="9738" xr:uid="{00000000-0005-0000-0000-000003360000}"/>
    <cellStyle name="Normal 11 5 5 2" xfId="13471" xr:uid="{00000000-0005-0000-0000-000004360000}"/>
    <cellStyle name="Normal 11 5 5 2 2" xfId="26529" xr:uid="{00000000-0005-0000-0000-000005360000}"/>
    <cellStyle name="Normal 11 5 5 3" xfId="13472" xr:uid="{00000000-0005-0000-0000-000006360000}"/>
    <cellStyle name="Normal 11 5 5 3 2" xfId="26530" xr:uid="{00000000-0005-0000-0000-000007360000}"/>
    <cellStyle name="Normal 11 5 5 4" xfId="23108" xr:uid="{00000000-0005-0000-0000-000008360000}"/>
    <cellStyle name="Normal 11 5 6" xfId="13473" xr:uid="{00000000-0005-0000-0000-000009360000}"/>
    <cellStyle name="Normal 11 5 6 2" xfId="26531" xr:uid="{00000000-0005-0000-0000-00000A360000}"/>
    <cellStyle name="Normal 11 5 7" xfId="13474" xr:uid="{00000000-0005-0000-0000-00000B360000}"/>
    <cellStyle name="Normal 11 5 7 2" xfId="26532" xr:uid="{00000000-0005-0000-0000-00000C360000}"/>
    <cellStyle name="Normal 11 5 8" xfId="20952" xr:uid="{00000000-0005-0000-0000-00000D360000}"/>
    <cellStyle name="Normal 11 6" xfId="6514" xr:uid="{00000000-0005-0000-0000-00000E360000}"/>
    <cellStyle name="Normal 11 6 2" xfId="7239" xr:uid="{00000000-0005-0000-0000-00000F360000}"/>
    <cellStyle name="Normal 11 6 2 2" xfId="9118" xr:uid="{00000000-0005-0000-0000-000010360000}"/>
    <cellStyle name="Normal 11 6 2 2 2" xfId="11497" xr:uid="{00000000-0005-0000-0000-000011360000}"/>
    <cellStyle name="Normal 11 6 2 2 2 2" xfId="13475" xr:uid="{00000000-0005-0000-0000-000012360000}"/>
    <cellStyle name="Normal 11 6 2 2 2 2 2" xfId="26533" xr:uid="{00000000-0005-0000-0000-000013360000}"/>
    <cellStyle name="Normal 11 6 2 2 2 3" xfId="13476" xr:uid="{00000000-0005-0000-0000-000014360000}"/>
    <cellStyle name="Normal 11 6 2 2 2 3 2" xfId="26534" xr:uid="{00000000-0005-0000-0000-000015360000}"/>
    <cellStyle name="Normal 11 6 2 2 2 4" xfId="24867" xr:uid="{00000000-0005-0000-0000-000016360000}"/>
    <cellStyle name="Normal 11 6 2 2 3" xfId="13477" xr:uid="{00000000-0005-0000-0000-000017360000}"/>
    <cellStyle name="Normal 11 6 2 2 3 2" xfId="26535" xr:uid="{00000000-0005-0000-0000-000018360000}"/>
    <cellStyle name="Normal 11 6 2 2 4" xfId="13478" xr:uid="{00000000-0005-0000-0000-000019360000}"/>
    <cellStyle name="Normal 11 6 2 2 4 2" xfId="26536" xr:uid="{00000000-0005-0000-0000-00001A360000}"/>
    <cellStyle name="Normal 11 6 2 2 5" xfId="22711" xr:uid="{00000000-0005-0000-0000-00001B360000}"/>
    <cellStyle name="Normal 11 6 2 3" xfId="10419" xr:uid="{00000000-0005-0000-0000-00001C360000}"/>
    <cellStyle name="Normal 11 6 2 3 2" xfId="13479" xr:uid="{00000000-0005-0000-0000-00001D360000}"/>
    <cellStyle name="Normal 11 6 2 3 2 2" xfId="26537" xr:uid="{00000000-0005-0000-0000-00001E360000}"/>
    <cellStyle name="Normal 11 6 2 3 3" xfId="13480" xr:uid="{00000000-0005-0000-0000-00001F360000}"/>
    <cellStyle name="Normal 11 6 2 3 3 2" xfId="26538" xr:uid="{00000000-0005-0000-0000-000020360000}"/>
    <cellStyle name="Normal 11 6 2 3 4" xfId="23789" xr:uid="{00000000-0005-0000-0000-000021360000}"/>
    <cellStyle name="Normal 11 6 2 4" xfId="13481" xr:uid="{00000000-0005-0000-0000-000022360000}"/>
    <cellStyle name="Normal 11 6 2 4 2" xfId="26539" xr:uid="{00000000-0005-0000-0000-000023360000}"/>
    <cellStyle name="Normal 11 6 2 5" xfId="13482" xr:uid="{00000000-0005-0000-0000-000024360000}"/>
    <cellStyle name="Normal 11 6 2 5 2" xfId="26540" xr:uid="{00000000-0005-0000-0000-000025360000}"/>
    <cellStyle name="Normal 11 6 2 6" xfId="21633" xr:uid="{00000000-0005-0000-0000-000026360000}"/>
    <cellStyle name="Normal 11 6 3" xfId="8570" xr:uid="{00000000-0005-0000-0000-000027360000}"/>
    <cellStyle name="Normal 11 6 3 2" xfId="10957" xr:uid="{00000000-0005-0000-0000-000028360000}"/>
    <cellStyle name="Normal 11 6 3 2 2" xfId="13483" xr:uid="{00000000-0005-0000-0000-000029360000}"/>
    <cellStyle name="Normal 11 6 3 2 2 2" xfId="26541" xr:uid="{00000000-0005-0000-0000-00002A360000}"/>
    <cellStyle name="Normal 11 6 3 2 3" xfId="13484" xr:uid="{00000000-0005-0000-0000-00002B360000}"/>
    <cellStyle name="Normal 11 6 3 2 3 2" xfId="26542" xr:uid="{00000000-0005-0000-0000-00002C360000}"/>
    <cellStyle name="Normal 11 6 3 2 4" xfId="24327" xr:uid="{00000000-0005-0000-0000-00002D360000}"/>
    <cellStyle name="Normal 11 6 3 3" xfId="13485" xr:uid="{00000000-0005-0000-0000-00002E360000}"/>
    <cellStyle name="Normal 11 6 3 3 2" xfId="26543" xr:uid="{00000000-0005-0000-0000-00002F360000}"/>
    <cellStyle name="Normal 11 6 3 4" xfId="13486" xr:uid="{00000000-0005-0000-0000-000030360000}"/>
    <cellStyle name="Normal 11 6 3 4 2" xfId="26544" xr:uid="{00000000-0005-0000-0000-000031360000}"/>
    <cellStyle name="Normal 11 6 3 5" xfId="22171" xr:uid="{00000000-0005-0000-0000-000032360000}"/>
    <cellStyle name="Normal 11 6 4" xfId="9879" xr:uid="{00000000-0005-0000-0000-000033360000}"/>
    <cellStyle name="Normal 11 6 4 2" xfId="13487" xr:uid="{00000000-0005-0000-0000-000034360000}"/>
    <cellStyle name="Normal 11 6 4 2 2" xfId="26545" xr:uid="{00000000-0005-0000-0000-000035360000}"/>
    <cellStyle name="Normal 11 6 4 3" xfId="13488" xr:uid="{00000000-0005-0000-0000-000036360000}"/>
    <cellStyle name="Normal 11 6 4 3 2" xfId="26546" xr:uid="{00000000-0005-0000-0000-000037360000}"/>
    <cellStyle name="Normal 11 6 4 4" xfId="23249" xr:uid="{00000000-0005-0000-0000-000038360000}"/>
    <cellStyle name="Normal 11 6 5" xfId="13489" xr:uid="{00000000-0005-0000-0000-000039360000}"/>
    <cellStyle name="Normal 11 6 5 2" xfId="26547" xr:uid="{00000000-0005-0000-0000-00003A360000}"/>
    <cellStyle name="Normal 11 6 6" xfId="13490" xr:uid="{00000000-0005-0000-0000-00003B360000}"/>
    <cellStyle name="Normal 11 6 6 2" xfId="26548" xr:uid="{00000000-0005-0000-0000-00003C360000}"/>
    <cellStyle name="Normal 11 6 7" xfId="21093" xr:uid="{00000000-0005-0000-0000-00003D360000}"/>
    <cellStyle name="Normal 11 7" xfId="6969" xr:uid="{00000000-0005-0000-0000-00003E360000}"/>
    <cellStyle name="Normal 11 7 2" xfId="8849" xr:uid="{00000000-0005-0000-0000-00003F360000}"/>
    <cellStyle name="Normal 11 7 2 2" xfId="11228" xr:uid="{00000000-0005-0000-0000-000040360000}"/>
    <cellStyle name="Normal 11 7 2 2 2" xfId="13491" xr:uid="{00000000-0005-0000-0000-000041360000}"/>
    <cellStyle name="Normal 11 7 2 2 2 2" xfId="26549" xr:uid="{00000000-0005-0000-0000-000042360000}"/>
    <cellStyle name="Normal 11 7 2 2 3" xfId="13492" xr:uid="{00000000-0005-0000-0000-000043360000}"/>
    <cellStyle name="Normal 11 7 2 2 3 2" xfId="26550" xr:uid="{00000000-0005-0000-0000-000044360000}"/>
    <cellStyle name="Normal 11 7 2 2 4" xfId="24598" xr:uid="{00000000-0005-0000-0000-000045360000}"/>
    <cellStyle name="Normal 11 7 2 3" xfId="13493" xr:uid="{00000000-0005-0000-0000-000046360000}"/>
    <cellStyle name="Normal 11 7 2 3 2" xfId="26551" xr:uid="{00000000-0005-0000-0000-000047360000}"/>
    <cellStyle name="Normal 11 7 2 4" xfId="13494" xr:uid="{00000000-0005-0000-0000-000048360000}"/>
    <cellStyle name="Normal 11 7 2 4 2" xfId="26552" xr:uid="{00000000-0005-0000-0000-000049360000}"/>
    <cellStyle name="Normal 11 7 2 5" xfId="22442" xr:uid="{00000000-0005-0000-0000-00004A360000}"/>
    <cellStyle name="Normal 11 7 3" xfId="10150" xr:uid="{00000000-0005-0000-0000-00004B360000}"/>
    <cellStyle name="Normal 11 7 3 2" xfId="13495" xr:uid="{00000000-0005-0000-0000-00004C360000}"/>
    <cellStyle name="Normal 11 7 3 2 2" xfId="26553" xr:uid="{00000000-0005-0000-0000-00004D360000}"/>
    <cellStyle name="Normal 11 7 3 3" xfId="13496" xr:uid="{00000000-0005-0000-0000-00004E360000}"/>
    <cellStyle name="Normal 11 7 3 3 2" xfId="26554" xr:uid="{00000000-0005-0000-0000-00004F360000}"/>
    <cellStyle name="Normal 11 7 3 4" xfId="23520" xr:uid="{00000000-0005-0000-0000-000050360000}"/>
    <cellStyle name="Normal 11 7 4" xfId="13497" xr:uid="{00000000-0005-0000-0000-000051360000}"/>
    <cellStyle name="Normal 11 7 4 2" xfId="26555" xr:uid="{00000000-0005-0000-0000-000052360000}"/>
    <cellStyle name="Normal 11 7 5" xfId="13498" xr:uid="{00000000-0005-0000-0000-000053360000}"/>
    <cellStyle name="Normal 11 7 5 2" xfId="26556" xr:uid="{00000000-0005-0000-0000-000054360000}"/>
    <cellStyle name="Normal 11 7 6" xfId="21364" xr:uid="{00000000-0005-0000-0000-000055360000}"/>
    <cellStyle name="Normal 11 8" xfId="8062" xr:uid="{00000000-0005-0000-0000-000056360000}"/>
    <cellStyle name="Normal 11 8 2" xfId="10688" xr:uid="{00000000-0005-0000-0000-000057360000}"/>
    <cellStyle name="Normal 11 8 2 2" xfId="13499" xr:uid="{00000000-0005-0000-0000-000058360000}"/>
    <cellStyle name="Normal 11 8 2 2 2" xfId="26557" xr:uid="{00000000-0005-0000-0000-000059360000}"/>
    <cellStyle name="Normal 11 8 2 3" xfId="13500" xr:uid="{00000000-0005-0000-0000-00005A360000}"/>
    <cellStyle name="Normal 11 8 2 3 2" xfId="26558" xr:uid="{00000000-0005-0000-0000-00005B360000}"/>
    <cellStyle name="Normal 11 8 2 4" xfId="24058" xr:uid="{00000000-0005-0000-0000-00005C360000}"/>
    <cellStyle name="Normal 11 8 3" xfId="13501" xr:uid="{00000000-0005-0000-0000-00005D360000}"/>
    <cellStyle name="Normal 11 8 3 2" xfId="26559" xr:uid="{00000000-0005-0000-0000-00005E360000}"/>
    <cellStyle name="Normal 11 8 4" xfId="13502" xr:uid="{00000000-0005-0000-0000-00005F360000}"/>
    <cellStyle name="Normal 11 8 4 2" xfId="26560" xr:uid="{00000000-0005-0000-0000-000060360000}"/>
    <cellStyle name="Normal 11 8 5" xfId="21902" xr:uid="{00000000-0005-0000-0000-000061360000}"/>
    <cellStyle name="Normal 11 9" xfId="9609" xr:uid="{00000000-0005-0000-0000-000062360000}"/>
    <cellStyle name="Normal 11 9 2" xfId="13503" xr:uid="{00000000-0005-0000-0000-000063360000}"/>
    <cellStyle name="Normal 11 9 2 2" xfId="26561" xr:uid="{00000000-0005-0000-0000-000064360000}"/>
    <cellStyle name="Normal 11 9 3" xfId="13504" xr:uid="{00000000-0005-0000-0000-000065360000}"/>
    <cellStyle name="Normal 11 9 3 2" xfId="26562" xr:uid="{00000000-0005-0000-0000-000066360000}"/>
    <cellStyle name="Normal 11 9 4" xfId="22980" xr:uid="{00000000-0005-0000-0000-000067360000}"/>
    <cellStyle name="Normal 110" xfId="9460" xr:uid="{00000000-0005-0000-0000-000068360000}"/>
    <cellStyle name="Normal 111" xfId="9474" xr:uid="{00000000-0005-0000-0000-000069360000}"/>
    <cellStyle name="Normal 112" xfId="7861" xr:uid="{00000000-0005-0000-0000-00006A360000}"/>
    <cellStyle name="Normal 113" xfId="8322" xr:uid="{00000000-0005-0000-0000-00006B360000}"/>
    <cellStyle name="Normal 114" xfId="9500" xr:uid="{00000000-0005-0000-0000-00006C360000}"/>
    <cellStyle name="Normal 115" xfId="9504" xr:uid="{00000000-0005-0000-0000-00006D360000}"/>
    <cellStyle name="Normal 116" xfId="9506" xr:uid="{00000000-0005-0000-0000-00006E360000}"/>
    <cellStyle name="Normal 117" xfId="9508" xr:uid="{00000000-0005-0000-0000-00006F360000}"/>
    <cellStyle name="Normal 118" xfId="11765" xr:uid="{00000000-0005-0000-0000-000070360000}"/>
    <cellStyle name="Normal 118 2" xfId="13505" xr:uid="{00000000-0005-0000-0000-000071360000}"/>
    <cellStyle name="Normal 118 2 2" xfId="26563" xr:uid="{00000000-0005-0000-0000-000072360000}"/>
    <cellStyle name="Normal 118 3" xfId="13506" xr:uid="{00000000-0005-0000-0000-000073360000}"/>
    <cellStyle name="Normal 118 3 2" xfId="26564" xr:uid="{00000000-0005-0000-0000-000074360000}"/>
    <cellStyle name="Normal 118 4" xfId="25135" xr:uid="{00000000-0005-0000-0000-000075360000}"/>
    <cellStyle name="Normal 119" xfId="11767" xr:uid="{00000000-0005-0000-0000-000076360000}"/>
    <cellStyle name="Normal 12" xfId="2282" xr:uid="{00000000-0005-0000-0000-000077360000}"/>
    <cellStyle name="Normal 12 10" xfId="13507" xr:uid="{00000000-0005-0000-0000-000078360000}"/>
    <cellStyle name="Normal 12 10 2" xfId="26565" xr:uid="{00000000-0005-0000-0000-000079360000}"/>
    <cellStyle name="Normal 12 11" xfId="13508" xr:uid="{00000000-0005-0000-0000-00007A360000}"/>
    <cellStyle name="Normal 12 11 2" xfId="26566" xr:uid="{00000000-0005-0000-0000-00007B360000}"/>
    <cellStyle name="Normal 12 12" xfId="20824" xr:uid="{00000000-0005-0000-0000-00007C360000}"/>
    <cellStyle name="Normal 12 2" xfId="3540" xr:uid="{00000000-0005-0000-0000-00007D360000}"/>
    <cellStyle name="Normal 12 2 10" xfId="20839" xr:uid="{00000000-0005-0000-0000-00007E360000}"/>
    <cellStyle name="Normal 12 2 2" xfId="4077" xr:uid="{00000000-0005-0000-0000-00007F360000}"/>
    <cellStyle name="Normal 12 2 2 2" xfId="5613" xr:uid="{00000000-0005-0000-0000-000080360000}"/>
    <cellStyle name="Normal 12 2 2 2 2" xfId="6765" xr:uid="{00000000-0005-0000-0000-000081360000}"/>
    <cellStyle name="Normal 12 2 2 2 2 2" xfId="7452" xr:uid="{00000000-0005-0000-0000-000082360000}"/>
    <cellStyle name="Normal 12 2 2 2 2 2 2" xfId="9331" xr:uid="{00000000-0005-0000-0000-000083360000}"/>
    <cellStyle name="Normal 12 2 2 2 2 2 2 2" xfId="11710" xr:uid="{00000000-0005-0000-0000-000084360000}"/>
    <cellStyle name="Normal 12 2 2 2 2 2 2 2 2" xfId="13509" xr:uid="{00000000-0005-0000-0000-000085360000}"/>
    <cellStyle name="Normal 12 2 2 2 2 2 2 2 2 2" xfId="26567" xr:uid="{00000000-0005-0000-0000-000086360000}"/>
    <cellStyle name="Normal 12 2 2 2 2 2 2 2 3" xfId="13510" xr:uid="{00000000-0005-0000-0000-000087360000}"/>
    <cellStyle name="Normal 12 2 2 2 2 2 2 2 3 2" xfId="26568" xr:uid="{00000000-0005-0000-0000-000088360000}"/>
    <cellStyle name="Normal 12 2 2 2 2 2 2 2 4" xfId="25080" xr:uid="{00000000-0005-0000-0000-000089360000}"/>
    <cellStyle name="Normal 12 2 2 2 2 2 2 3" xfId="13511" xr:uid="{00000000-0005-0000-0000-00008A360000}"/>
    <cellStyle name="Normal 12 2 2 2 2 2 2 3 2" xfId="26569" xr:uid="{00000000-0005-0000-0000-00008B360000}"/>
    <cellStyle name="Normal 12 2 2 2 2 2 2 4" xfId="13512" xr:uid="{00000000-0005-0000-0000-00008C360000}"/>
    <cellStyle name="Normal 12 2 2 2 2 2 2 4 2" xfId="26570" xr:uid="{00000000-0005-0000-0000-00008D360000}"/>
    <cellStyle name="Normal 12 2 2 2 2 2 2 5" xfId="22924" xr:uid="{00000000-0005-0000-0000-00008E360000}"/>
    <cellStyle name="Normal 12 2 2 2 2 2 3" xfId="10632" xr:uid="{00000000-0005-0000-0000-00008F360000}"/>
    <cellStyle name="Normal 12 2 2 2 2 2 3 2" xfId="13513" xr:uid="{00000000-0005-0000-0000-000090360000}"/>
    <cellStyle name="Normal 12 2 2 2 2 2 3 2 2" xfId="26571" xr:uid="{00000000-0005-0000-0000-000091360000}"/>
    <cellStyle name="Normal 12 2 2 2 2 2 3 3" xfId="13514" xr:uid="{00000000-0005-0000-0000-000092360000}"/>
    <cellStyle name="Normal 12 2 2 2 2 2 3 3 2" xfId="26572" xr:uid="{00000000-0005-0000-0000-000093360000}"/>
    <cellStyle name="Normal 12 2 2 2 2 2 3 4" xfId="24002" xr:uid="{00000000-0005-0000-0000-000094360000}"/>
    <cellStyle name="Normal 12 2 2 2 2 2 4" xfId="13515" xr:uid="{00000000-0005-0000-0000-000095360000}"/>
    <cellStyle name="Normal 12 2 2 2 2 2 4 2" xfId="26573" xr:uid="{00000000-0005-0000-0000-000096360000}"/>
    <cellStyle name="Normal 12 2 2 2 2 2 5" xfId="13516" xr:uid="{00000000-0005-0000-0000-000097360000}"/>
    <cellStyle name="Normal 12 2 2 2 2 2 5 2" xfId="26574" xr:uid="{00000000-0005-0000-0000-000098360000}"/>
    <cellStyle name="Normal 12 2 2 2 2 2 6" xfId="21846" xr:uid="{00000000-0005-0000-0000-000099360000}"/>
    <cellStyle name="Normal 12 2 2 2 2 3" xfId="8785" xr:uid="{00000000-0005-0000-0000-00009A360000}"/>
    <cellStyle name="Normal 12 2 2 2 2 3 2" xfId="11170" xr:uid="{00000000-0005-0000-0000-00009B360000}"/>
    <cellStyle name="Normal 12 2 2 2 2 3 2 2" xfId="13517" xr:uid="{00000000-0005-0000-0000-00009C360000}"/>
    <cellStyle name="Normal 12 2 2 2 2 3 2 2 2" xfId="26575" xr:uid="{00000000-0005-0000-0000-00009D360000}"/>
    <cellStyle name="Normal 12 2 2 2 2 3 2 3" xfId="13518" xr:uid="{00000000-0005-0000-0000-00009E360000}"/>
    <cellStyle name="Normal 12 2 2 2 2 3 2 3 2" xfId="26576" xr:uid="{00000000-0005-0000-0000-00009F360000}"/>
    <cellStyle name="Normal 12 2 2 2 2 3 2 4" xfId="24540" xr:uid="{00000000-0005-0000-0000-0000A0360000}"/>
    <cellStyle name="Normal 12 2 2 2 2 3 3" xfId="13519" xr:uid="{00000000-0005-0000-0000-0000A1360000}"/>
    <cellStyle name="Normal 12 2 2 2 2 3 3 2" xfId="26577" xr:uid="{00000000-0005-0000-0000-0000A2360000}"/>
    <cellStyle name="Normal 12 2 2 2 2 3 4" xfId="13520" xr:uid="{00000000-0005-0000-0000-0000A3360000}"/>
    <cellStyle name="Normal 12 2 2 2 2 3 4 2" xfId="26578" xr:uid="{00000000-0005-0000-0000-0000A4360000}"/>
    <cellStyle name="Normal 12 2 2 2 2 3 5" xfId="22384" xr:uid="{00000000-0005-0000-0000-0000A5360000}"/>
    <cellStyle name="Normal 12 2 2 2 2 4" xfId="10092" xr:uid="{00000000-0005-0000-0000-0000A6360000}"/>
    <cellStyle name="Normal 12 2 2 2 2 4 2" xfId="13521" xr:uid="{00000000-0005-0000-0000-0000A7360000}"/>
    <cellStyle name="Normal 12 2 2 2 2 4 2 2" xfId="26579" xr:uid="{00000000-0005-0000-0000-0000A8360000}"/>
    <cellStyle name="Normal 12 2 2 2 2 4 3" xfId="13522" xr:uid="{00000000-0005-0000-0000-0000A9360000}"/>
    <cellStyle name="Normal 12 2 2 2 2 4 3 2" xfId="26580" xr:uid="{00000000-0005-0000-0000-0000AA360000}"/>
    <cellStyle name="Normal 12 2 2 2 2 4 4" xfId="23462" xr:uid="{00000000-0005-0000-0000-0000AB360000}"/>
    <cellStyle name="Normal 12 2 2 2 2 5" xfId="13523" xr:uid="{00000000-0005-0000-0000-0000AC360000}"/>
    <cellStyle name="Normal 12 2 2 2 2 5 2" xfId="26581" xr:uid="{00000000-0005-0000-0000-0000AD360000}"/>
    <cellStyle name="Normal 12 2 2 2 2 6" xfId="13524" xr:uid="{00000000-0005-0000-0000-0000AE360000}"/>
    <cellStyle name="Normal 12 2 2 2 2 6 2" xfId="26582" xr:uid="{00000000-0005-0000-0000-0000AF360000}"/>
    <cellStyle name="Normal 12 2 2 2 2 7" xfId="21306" xr:uid="{00000000-0005-0000-0000-0000B0360000}"/>
    <cellStyle name="Normal 12 2 2 2 3" xfId="7183" xr:uid="{00000000-0005-0000-0000-0000B1360000}"/>
    <cellStyle name="Normal 12 2 2 2 3 2" xfId="9062" xr:uid="{00000000-0005-0000-0000-0000B2360000}"/>
    <cellStyle name="Normal 12 2 2 2 3 2 2" xfId="11441" xr:uid="{00000000-0005-0000-0000-0000B3360000}"/>
    <cellStyle name="Normal 12 2 2 2 3 2 2 2" xfId="13525" xr:uid="{00000000-0005-0000-0000-0000B4360000}"/>
    <cellStyle name="Normal 12 2 2 2 3 2 2 2 2" xfId="26583" xr:uid="{00000000-0005-0000-0000-0000B5360000}"/>
    <cellStyle name="Normal 12 2 2 2 3 2 2 3" xfId="13526" xr:uid="{00000000-0005-0000-0000-0000B6360000}"/>
    <cellStyle name="Normal 12 2 2 2 3 2 2 3 2" xfId="26584" xr:uid="{00000000-0005-0000-0000-0000B7360000}"/>
    <cellStyle name="Normal 12 2 2 2 3 2 2 4" xfId="24811" xr:uid="{00000000-0005-0000-0000-0000B8360000}"/>
    <cellStyle name="Normal 12 2 2 2 3 2 3" xfId="13527" xr:uid="{00000000-0005-0000-0000-0000B9360000}"/>
    <cellStyle name="Normal 12 2 2 2 3 2 3 2" xfId="26585" xr:uid="{00000000-0005-0000-0000-0000BA360000}"/>
    <cellStyle name="Normal 12 2 2 2 3 2 4" xfId="13528" xr:uid="{00000000-0005-0000-0000-0000BB360000}"/>
    <cellStyle name="Normal 12 2 2 2 3 2 4 2" xfId="26586" xr:uid="{00000000-0005-0000-0000-0000BC360000}"/>
    <cellStyle name="Normal 12 2 2 2 3 2 5" xfId="22655" xr:uid="{00000000-0005-0000-0000-0000BD360000}"/>
    <cellStyle name="Normal 12 2 2 2 3 3" xfId="10363" xr:uid="{00000000-0005-0000-0000-0000BE360000}"/>
    <cellStyle name="Normal 12 2 2 2 3 3 2" xfId="13529" xr:uid="{00000000-0005-0000-0000-0000BF360000}"/>
    <cellStyle name="Normal 12 2 2 2 3 3 2 2" xfId="26587" xr:uid="{00000000-0005-0000-0000-0000C0360000}"/>
    <cellStyle name="Normal 12 2 2 2 3 3 3" xfId="13530" xr:uid="{00000000-0005-0000-0000-0000C1360000}"/>
    <cellStyle name="Normal 12 2 2 2 3 3 3 2" xfId="26588" xr:uid="{00000000-0005-0000-0000-0000C2360000}"/>
    <cellStyle name="Normal 12 2 2 2 3 3 4" xfId="23733" xr:uid="{00000000-0005-0000-0000-0000C3360000}"/>
    <cellStyle name="Normal 12 2 2 2 3 4" xfId="13531" xr:uid="{00000000-0005-0000-0000-0000C4360000}"/>
    <cellStyle name="Normal 12 2 2 2 3 4 2" xfId="26589" xr:uid="{00000000-0005-0000-0000-0000C5360000}"/>
    <cellStyle name="Normal 12 2 2 2 3 5" xfId="13532" xr:uid="{00000000-0005-0000-0000-0000C6360000}"/>
    <cellStyle name="Normal 12 2 2 2 3 5 2" xfId="26590" xr:uid="{00000000-0005-0000-0000-0000C7360000}"/>
    <cellStyle name="Normal 12 2 2 2 3 6" xfId="21577" xr:uid="{00000000-0005-0000-0000-0000C8360000}"/>
    <cellStyle name="Normal 12 2 2 2 4" xfId="8460" xr:uid="{00000000-0005-0000-0000-0000C9360000}"/>
    <cellStyle name="Normal 12 2 2 2 4 2" xfId="10901" xr:uid="{00000000-0005-0000-0000-0000CA360000}"/>
    <cellStyle name="Normal 12 2 2 2 4 2 2" xfId="13533" xr:uid="{00000000-0005-0000-0000-0000CB360000}"/>
    <cellStyle name="Normal 12 2 2 2 4 2 2 2" xfId="26591" xr:uid="{00000000-0005-0000-0000-0000CC360000}"/>
    <cellStyle name="Normal 12 2 2 2 4 2 3" xfId="13534" xr:uid="{00000000-0005-0000-0000-0000CD360000}"/>
    <cellStyle name="Normal 12 2 2 2 4 2 3 2" xfId="26592" xr:uid="{00000000-0005-0000-0000-0000CE360000}"/>
    <cellStyle name="Normal 12 2 2 2 4 2 4" xfId="24271" xr:uid="{00000000-0005-0000-0000-0000CF360000}"/>
    <cellStyle name="Normal 12 2 2 2 4 3" xfId="13535" xr:uid="{00000000-0005-0000-0000-0000D0360000}"/>
    <cellStyle name="Normal 12 2 2 2 4 3 2" xfId="26593" xr:uid="{00000000-0005-0000-0000-0000D1360000}"/>
    <cellStyle name="Normal 12 2 2 2 4 4" xfId="13536" xr:uid="{00000000-0005-0000-0000-0000D2360000}"/>
    <cellStyle name="Normal 12 2 2 2 4 4 2" xfId="26594" xr:uid="{00000000-0005-0000-0000-0000D3360000}"/>
    <cellStyle name="Normal 12 2 2 2 4 5" xfId="22115" xr:uid="{00000000-0005-0000-0000-0000D4360000}"/>
    <cellStyle name="Normal 12 2 2 2 5" xfId="9823" xr:uid="{00000000-0005-0000-0000-0000D5360000}"/>
    <cellStyle name="Normal 12 2 2 2 5 2" xfId="13537" xr:uid="{00000000-0005-0000-0000-0000D6360000}"/>
    <cellStyle name="Normal 12 2 2 2 5 2 2" xfId="26595" xr:uid="{00000000-0005-0000-0000-0000D7360000}"/>
    <cellStyle name="Normal 12 2 2 2 5 3" xfId="13538" xr:uid="{00000000-0005-0000-0000-0000D8360000}"/>
    <cellStyle name="Normal 12 2 2 2 5 3 2" xfId="26596" xr:uid="{00000000-0005-0000-0000-0000D9360000}"/>
    <cellStyle name="Normal 12 2 2 2 5 4" xfId="23193" xr:uid="{00000000-0005-0000-0000-0000DA360000}"/>
    <cellStyle name="Normal 12 2 2 2 6" xfId="13539" xr:uid="{00000000-0005-0000-0000-0000DB360000}"/>
    <cellStyle name="Normal 12 2 2 2 6 2" xfId="26597" xr:uid="{00000000-0005-0000-0000-0000DC360000}"/>
    <cellStyle name="Normal 12 2 2 2 7" xfId="13540" xr:uid="{00000000-0005-0000-0000-0000DD360000}"/>
    <cellStyle name="Normal 12 2 2 2 7 2" xfId="26598" xr:uid="{00000000-0005-0000-0000-0000DE360000}"/>
    <cellStyle name="Normal 12 2 2 2 8" xfId="21037" xr:uid="{00000000-0005-0000-0000-0000DF360000}"/>
    <cellStyle name="Normal 12 2 2 3" xfId="6614" xr:uid="{00000000-0005-0000-0000-0000E0360000}"/>
    <cellStyle name="Normal 12 2 2 3 2" xfId="7310" xr:uid="{00000000-0005-0000-0000-0000E1360000}"/>
    <cellStyle name="Normal 12 2 2 3 2 2" xfId="9189" xr:uid="{00000000-0005-0000-0000-0000E2360000}"/>
    <cellStyle name="Normal 12 2 2 3 2 2 2" xfId="11568" xr:uid="{00000000-0005-0000-0000-0000E3360000}"/>
    <cellStyle name="Normal 12 2 2 3 2 2 2 2" xfId="13541" xr:uid="{00000000-0005-0000-0000-0000E4360000}"/>
    <cellStyle name="Normal 12 2 2 3 2 2 2 2 2" xfId="26599" xr:uid="{00000000-0005-0000-0000-0000E5360000}"/>
    <cellStyle name="Normal 12 2 2 3 2 2 2 3" xfId="13542" xr:uid="{00000000-0005-0000-0000-0000E6360000}"/>
    <cellStyle name="Normal 12 2 2 3 2 2 2 3 2" xfId="26600" xr:uid="{00000000-0005-0000-0000-0000E7360000}"/>
    <cellStyle name="Normal 12 2 2 3 2 2 2 4" xfId="24938" xr:uid="{00000000-0005-0000-0000-0000E8360000}"/>
    <cellStyle name="Normal 12 2 2 3 2 2 3" xfId="13543" xr:uid="{00000000-0005-0000-0000-0000E9360000}"/>
    <cellStyle name="Normal 12 2 2 3 2 2 3 2" xfId="26601" xr:uid="{00000000-0005-0000-0000-0000EA360000}"/>
    <cellStyle name="Normal 12 2 2 3 2 2 4" xfId="13544" xr:uid="{00000000-0005-0000-0000-0000EB360000}"/>
    <cellStyle name="Normal 12 2 2 3 2 2 4 2" xfId="26602" xr:uid="{00000000-0005-0000-0000-0000EC360000}"/>
    <cellStyle name="Normal 12 2 2 3 2 2 5" xfId="22782" xr:uid="{00000000-0005-0000-0000-0000ED360000}"/>
    <cellStyle name="Normal 12 2 2 3 2 3" xfId="10490" xr:uid="{00000000-0005-0000-0000-0000EE360000}"/>
    <cellStyle name="Normal 12 2 2 3 2 3 2" xfId="13545" xr:uid="{00000000-0005-0000-0000-0000EF360000}"/>
    <cellStyle name="Normal 12 2 2 3 2 3 2 2" xfId="26603" xr:uid="{00000000-0005-0000-0000-0000F0360000}"/>
    <cellStyle name="Normal 12 2 2 3 2 3 3" xfId="13546" xr:uid="{00000000-0005-0000-0000-0000F1360000}"/>
    <cellStyle name="Normal 12 2 2 3 2 3 3 2" xfId="26604" xr:uid="{00000000-0005-0000-0000-0000F2360000}"/>
    <cellStyle name="Normal 12 2 2 3 2 3 4" xfId="23860" xr:uid="{00000000-0005-0000-0000-0000F3360000}"/>
    <cellStyle name="Normal 12 2 2 3 2 4" xfId="13547" xr:uid="{00000000-0005-0000-0000-0000F4360000}"/>
    <cellStyle name="Normal 12 2 2 3 2 4 2" xfId="26605" xr:uid="{00000000-0005-0000-0000-0000F5360000}"/>
    <cellStyle name="Normal 12 2 2 3 2 5" xfId="13548" xr:uid="{00000000-0005-0000-0000-0000F6360000}"/>
    <cellStyle name="Normal 12 2 2 3 2 5 2" xfId="26606" xr:uid="{00000000-0005-0000-0000-0000F7360000}"/>
    <cellStyle name="Normal 12 2 2 3 2 6" xfId="21704" xr:uid="{00000000-0005-0000-0000-0000F8360000}"/>
    <cellStyle name="Normal 12 2 2 3 3" xfId="8642" xr:uid="{00000000-0005-0000-0000-0000F9360000}"/>
    <cellStyle name="Normal 12 2 2 3 3 2" xfId="11028" xr:uid="{00000000-0005-0000-0000-0000FA360000}"/>
    <cellStyle name="Normal 12 2 2 3 3 2 2" xfId="13549" xr:uid="{00000000-0005-0000-0000-0000FB360000}"/>
    <cellStyle name="Normal 12 2 2 3 3 2 2 2" xfId="26607" xr:uid="{00000000-0005-0000-0000-0000FC360000}"/>
    <cellStyle name="Normal 12 2 2 3 3 2 3" xfId="13550" xr:uid="{00000000-0005-0000-0000-0000FD360000}"/>
    <cellStyle name="Normal 12 2 2 3 3 2 3 2" xfId="26608" xr:uid="{00000000-0005-0000-0000-0000FE360000}"/>
    <cellStyle name="Normal 12 2 2 3 3 2 4" xfId="24398" xr:uid="{00000000-0005-0000-0000-0000FF360000}"/>
    <cellStyle name="Normal 12 2 2 3 3 3" xfId="13551" xr:uid="{00000000-0005-0000-0000-000000370000}"/>
    <cellStyle name="Normal 12 2 2 3 3 3 2" xfId="26609" xr:uid="{00000000-0005-0000-0000-000001370000}"/>
    <cellStyle name="Normal 12 2 2 3 3 4" xfId="13552" xr:uid="{00000000-0005-0000-0000-000002370000}"/>
    <cellStyle name="Normal 12 2 2 3 3 4 2" xfId="26610" xr:uid="{00000000-0005-0000-0000-000003370000}"/>
    <cellStyle name="Normal 12 2 2 3 3 5" xfId="22242" xr:uid="{00000000-0005-0000-0000-000004370000}"/>
    <cellStyle name="Normal 12 2 2 3 4" xfId="9950" xr:uid="{00000000-0005-0000-0000-000005370000}"/>
    <cellStyle name="Normal 12 2 2 3 4 2" xfId="13553" xr:uid="{00000000-0005-0000-0000-000006370000}"/>
    <cellStyle name="Normal 12 2 2 3 4 2 2" xfId="26611" xr:uid="{00000000-0005-0000-0000-000007370000}"/>
    <cellStyle name="Normal 12 2 2 3 4 3" xfId="13554" xr:uid="{00000000-0005-0000-0000-000008370000}"/>
    <cellStyle name="Normal 12 2 2 3 4 3 2" xfId="26612" xr:uid="{00000000-0005-0000-0000-000009370000}"/>
    <cellStyle name="Normal 12 2 2 3 4 4" xfId="23320" xr:uid="{00000000-0005-0000-0000-00000A370000}"/>
    <cellStyle name="Normal 12 2 2 3 5" xfId="13555" xr:uid="{00000000-0005-0000-0000-00000B370000}"/>
    <cellStyle name="Normal 12 2 2 3 5 2" xfId="26613" xr:uid="{00000000-0005-0000-0000-00000C370000}"/>
    <cellStyle name="Normal 12 2 2 3 6" xfId="13556" xr:uid="{00000000-0005-0000-0000-00000D370000}"/>
    <cellStyle name="Normal 12 2 2 3 6 2" xfId="26614" xr:uid="{00000000-0005-0000-0000-00000E370000}"/>
    <cellStyle name="Normal 12 2 2 3 7" xfId="21164" xr:uid="{00000000-0005-0000-0000-00000F370000}"/>
    <cellStyle name="Normal 12 2 2 4" xfId="7040" xr:uid="{00000000-0005-0000-0000-000010370000}"/>
    <cellStyle name="Normal 12 2 2 4 2" xfId="8920" xr:uid="{00000000-0005-0000-0000-000011370000}"/>
    <cellStyle name="Normal 12 2 2 4 2 2" xfId="11299" xr:uid="{00000000-0005-0000-0000-000012370000}"/>
    <cellStyle name="Normal 12 2 2 4 2 2 2" xfId="13557" xr:uid="{00000000-0005-0000-0000-000013370000}"/>
    <cellStyle name="Normal 12 2 2 4 2 2 2 2" xfId="26615" xr:uid="{00000000-0005-0000-0000-000014370000}"/>
    <cellStyle name="Normal 12 2 2 4 2 2 3" xfId="13558" xr:uid="{00000000-0005-0000-0000-000015370000}"/>
    <cellStyle name="Normal 12 2 2 4 2 2 3 2" xfId="26616" xr:uid="{00000000-0005-0000-0000-000016370000}"/>
    <cellStyle name="Normal 12 2 2 4 2 2 4" xfId="24669" xr:uid="{00000000-0005-0000-0000-000017370000}"/>
    <cellStyle name="Normal 12 2 2 4 2 3" xfId="13559" xr:uid="{00000000-0005-0000-0000-000018370000}"/>
    <cellStyle name="Normal 12 2 2 4 2 3 2" xfId="26617" xr:uid="{00000000-0005-0000-0000-000019370000}"/>
    <cellStyle name="Normal 12 2 2 4 2 4" xfId="13560" xr:uid="{00000000-0005-0000-0000-00001A370000}"/>
    <cellStyle name="Normal 12 2 2 4 2 4 2" xfId="26618" xr:uid="{00000000-0005-0000-0000-00001B370000}"/>
    <cellStyle name="Normal 12 2 2 4 2 5" xfId="22513" xr:uid="{00000000-0005-0000-0000-00001C370000}"/>
    <cellStyle name="Normal 12 2 2 4 3" xfId="10221" xr:uid="{00000000-0005-0000-0000-00001D370000}"/>
    <cellStyle name="Normal 12 2 2 4 3 2" xfId="13561" xr:uid="{00000000-0005-0000-0000-00001E370000}"/>
    <cellStyle name="Normal 12 2 2 4 3 2 2" xfId="26619" xr:uid="{00000000-0005-0000-0000-00001F370000}"/>
    <cellStyle name="Normal 12 2 2 4 3 3" xfId="13562" xr:uid="{00000000-0005-0000-0000-000020370000}"/>
    <cellStyle name="Normal 12 2 2 4 3 3 2" xfId="26620" xr:uid="{00000000-0005-0000-0000-000021370000}"/>
    <cellStyle name="Normal 12 2 2 4 3 4" xfId="23591" xr:uid="{00000000-0005-0000-0000-000022370000}"/>
    <cellStyle name="Normal 12 2 2 4 4" xfId="13563" xr:uid="{00000000-0005-0000-0000-000023370000}"/>
    <cellStyle name="Normal 12 2 2 4 4 2" xfId="26621" xr:uid="{00000000-0005-0000-0000-000024370000}"/>
    <cellStyle name="Normal 12 2 2 4 5" xfId="13564" xr:uid="{00000000-0005-0000-0000-000025370000}"/>
    <cellStyle name="Normal 12 2 2 4 5 2" xfId="26622" xr:uid="{00000000-0005-0000-0000-000026370000}"/>
    <cellStyle name="Normal 12 2 2 4 6" xfId="21435" xr:uid="{00000000-0005-0000-0000-000027370000}"/>
    <cellStyle name="Normal 12 2 2 5" xfId="8244" xr:uid="{00000000-0005-0000-0000-000028370000}"/>
    <cellStyle name="Normal 12 2 2 5 2" xfId="10759" xr:uid="{00000000-0005-0000-0000-000029370000}"/>
    <cellStyle name="Normal 12 2 2 5 2 2" xfId="13565" xr:uid="{00000000-0005-0000-0000-00002A370000}"/>
    <cellStyle name="Normal 12 2 2 5 2 2 2" xfId="26623" xr:uid="{00000000-0005-0000-0000-00002B370000}"/>
    <cellStyle name="Normal 12 2 2 5 2 3" xfId="13566" xr:uid="{00000000-0005-0000-0000-00002C370000}"/>
    <cellStyle name="Normal 12 2 2 5 2 3 2" xfId="26624" xr:uid="{00000000-0005-0000-0000-00002D370000}"/>
    <cellStyle name="Normal 12 2 2 5 2 4" xfId="24129" xr:uid="{00000000-0005-0000-0000-00002E370000}"/>
    <cellStyle name="Normal 12 2 2 5 3" xfId="13567" xr:uid="{00000000-0005-0000-0000-00002F370000}"/>
    <cellStyle name="Normal 12 2 2 5 3 2" xfId="26625" xr:uid="{00000000-0005-0000-0000-000030370000}"/>
    <cellStyle name="Normal 12 2 2 5 4" xfId="13568" xr:uid="{00000000-0005-0000-0000-000031370000}"/>
    <cellStyle name="Normal 12 2 2 5 4 2" xfId="26626" xr:uid="{00000000-0005-0000-0000-000032370000}"/>
    <cellStyle name="Normal 12 2 2 5 5" xfId="21973" xr:uid="{00000000-0005-0000-0000-000033370000}"/>
    <cellStyle name="Normal 12 2 2 6" xfId="9680" xr:uid="{00000000-0005-0000-0000-000034370000}"/>
    <cellStyle name="Normal 12 2 2 6 2" xfId="13569" xr:uid="{00000000-0005-0000-0000-000035370000}"/>
    <cellStyle name="Normal 12 2 2 6 2 2" xfId="26627" xr:uid="{00000000-0005-0000-0000-000036370000}"/>
    <cellStyle name="Normal 12 2 2 6 3" xfId="13570" xr:uid="{00000000-0005-0000-0000-000037370000}"/>
    <cellStyle name="Normal 12 2 2 6 3 2" xfId="26628" xr:uid="{00000000-0005-0000-0000-000038370000}"/>
    <cellStyle name="Normal 12 2 2 6 4" xfId="23051" xr:uid="{00000000-0005-0000-0000-000039370000}"/>
    <cellStyle name="Normal 12 2 2 7" xfId="13571" xr:uid="{00000000-0005-0000-0000-00003A370000}"/>
    <cellStyle name="Normal 12 2 2 7 2" xfId="26629" xr:uid="{00000000-0005-0000-0000-00003B370000}"/>
    <cellStyle name="Normal 12 2 2 8" xfId="13572" xr:uid="{00000000-0005-0000-0000-00003C370000}"/>
    <cellStyle name="Normal 12 2 2 8 2" xfId="26630" xr:uid="{00000000-0005-0000-0000-00003D370000}"/>
    <cellStyle name="Normal 12 2 2 9" xfId="20894" xr:uid="{00000000-0005-0000-0000-00003E370000}"/>
    <cellStyle name="Normal 12 2 3" xfId="5422" xr:uid="{00000000-0005-0000-0000-00003F370000}"/>
    <cellStyle name="Normal 12 2 3 2" xfId="6705" xr:uid="{00000000-0005-0000-0000-000040370000}"/>
    <cellStyle name="Normal 12 2 3 2 2" xfId="7392" xr:uid="{00000000-0005-0000-0000-000041370000}"/>
    <cellStyle name="Normal 12 2 3 2 2 2" xfId="9271" xr:uid="{00000000-0005-0000-0000-000042370000}"/>
    <cellStyle name="Normal 12 2 3 2 2 2 2" xfId="11650" xr:uid="{00000000-0005-0000-0000-000043370000}"/>
    <cellStyle name="Normal 12 2 3 2 2 2 2 2" xfId="13573" xr:uid="{00000000-0005-0000-0000-000044370000}"/>
    <cellStyle name="Normal 12 2 3 2 2 2 2 2 2" xfId="26631" xr:uid="{00000000-0005-0000-0000-000045370000}"/>
    <cellStyle name="Normal 12 2 3 2 2 2 2 3" xfId="13574" xr:uid="{00000000-0005-0000-0000-000046370000}"/>
    <cellStyle name="Normal 12 2 3 2 2 2 2 3 2" xfId="26632" xr:uid="{00000000-0005-0000-0000-000047370000}"/>
    <cellStyle name="Normal 12 2 3 2 2 2 2 4" xfId="25020" xr:uid="{00000000-0005-0000-0000-000048370000}"/>
    <cellStyle name="Normal 12 2 3 2 2 2 3" xfId="13575" xr:uid="{00000000-0005-0000-0000-000049370000}"/>
    <cellStyle name="Normal 12 2 3 2 2 2 3 2" xfId="26633" xr:uid="{00000000-0005-0000-0000-00004A370000}"/>
    <cellStyle name="Normal 12 2 3 2 2 2 4" xfId="13576" xr:uid="{00000000-0005-0000-0000-00004B370000}"/>
    <cellStyle name="Normal 12 2 3 2 2 2 4 2" xfId="26634" xr:uid="{00000000-0005-0000-0000-00004C370000}"/>
    <cellStyle name="Normal 12 2 3 2 2 2 5" xfId="22864" xr:uid="{00000000-0005-0000-0000-00004D370000}"/>
    <cellStyle name="Normal 12 2 3 2 2 3" xfId="10572" xr:uid="{00000000-0005-0000-0000-00004E370000}"/>
    <cellStyle name="Normal 12 2 3 2 2 3 2" xfId="13577" xr:uid="{00000000-0005-0000-0000-00004F370000}"/>
    <cellStyle name="Normal 12 2 3 2 2 3 2 2" xfId="26635" xr:uid="{00000000-0005-0000-0000-000050370000}"/>
    <cellStyle name="Normal 12 2 3 2 2 3 3" xfId="13578" xr:uid="{00000000-0005-0000-0000-000051370000}"/>
    <cellStyle name="Normal 12 2 3 2 2 3 3 2" xfId="26636" xr:uid="{00000000-0005-0000-0000-000052370000}"/>
    <cellStyle name="Normal 12 2 3 2 2 3 4" xfId="23942" xr:uid="{00000000-0005-0000-0000-000053370000}"/>
    <cellStyle name="Normal 12 2 3 2 2 4" xfId="13579" xr:uid="{00000000-0005-0000-0000-000054370000}"/>
    <cellStyle name="Normal 12 2 3 2 2 4 2" xfId="26637" xr:uid="{00000000-0005-0000-0000-000055370000}"/>
    <cellStyle name="Normal 12 2 3 2 2 5" xfId="13580" xr:uid="{00000000-0005-0000-0000-000056370000}"/>
    <cellStyle name="Normal 12 2 3 2 2 5 2" xfId="26638" xr:uid="{00000000-0005-0000-0000-000057370000}"/>
    <cellStyle name="Normal 12 2 3 2 2 6" xfId="21786" xr:uid="{00000000-0005-0000-0000-000058370000}"/>
    <cellStyle name="Normal 12 2 3 2 3" xfId="8725" xr:uid="{00000000-0005-0000-0000-000059370000}"/>
    <cellStyle name="Normal 12 2 3 2 3 2" xfId="11110" xr:uid="{00000000-0005-0000-0000-00005A370000}"/>
    <cellStyle name="Normal 12 2 3 2 3 2 2" xfId="13581" xr:uid="{00000000-0005-0000-0000-00005B370000}"/>
    <cellStyle name="Normal 12 2 3 2 3 2 2 2" xfId="26639" xr:uid="{00000000-0005-0000-0000-00005C370000}"/>
    <cellStyle name="Normal 12 2 3 2 3 2 3" xfId="13582" xr:uid="{00000000-0005-0000-0000-00005D370000}"/>
    <cellStyle name="Normal 12 2 3 2 3 2 3 2" xfId="26640" xr:uid="{00000000-0005-0000-0000-00005E370000}"/>
    <cellStyle name="Normal 12 2 3 2 3 2 4" xfId="24480" xr:uid="{00000000-0005-0000-0000-00005F370000}"/>
    <cellStyle name="Normal 12 2 3 2 3 3" xfId="13583" xr:uid="{00000000-0005-0000-0000-000060370000}"/>
    <cellStyle name="Normal 12 2 3 2 3 3 2" xfId="26641" xr:uid="{00000000-0005-0000-0000-000061370000}"/>
    <cellStyle name="Normal 12 2 3 2 3 4" xfId="13584" xr:uid="{00000000-0005-0000-0000-000062370000}"/>
    <cellStyle name="Normal 12 2 3 2 3 4 2" xfId="26642" xr:uid="{00000000-0005-0000-0000-000063370000}"/>
    <cellStyle name="Normal 12 2 3 2 3 5" xfId="22324" xr:uid="{00000000-0005-0000-0000-000064370000}"/>
    <cellStyle name="Normal 12 2 3 2 4" xfId="10032" xr:uid="{00000000-0005-0000-0000-000065370000}"/>
    <cellStyle name="Normal 12 2 3 2 4 2" xfId="13585" xr:uid="{00000000-0005-0000-0000-000066370000}"/>
    <cellStyle name="Normal 12 2 3 2 4 2 2" xfId="26643" xr:uid="{00000000-0005-0000-0000-000067370000}"/>
    <cellStyle name="Normal 12 2 3 2 4 3" xfId="13586" xr:uid="{00000000-0005-0000-0000-000068370000}"/>
    <cellStyle name="Normal 12 2 3 2 4 3 2" xfId="26644" xr:uid="{00000000-0005-0000-0000-000069370000}"/>
    <cellStyle name="Normal 12 2 3 2 4 4" xfId="23402" xr:uid="{00000000-0005-0000-0000-00006A370000}"/>
    <cellStyle name="Normal 12 2 3 2 5" xfId="13587" xr:uid="{00000000-0005-0000-0000-00006B370000}"/>
    <cellStyle name="Normal 12 2 3 2 5 2" xfId="26645" xr:uid="{00000000-0005-0000-0000-00006C370000}"/>
    <cellStyle name="Normal 12 2 3 2 6" xfId="13588" xr:uid="{00000000-0005-0000-0000-00006D370000}"/>
    <cellStyle name="Normal 12 2 3 2 6 2" xfId="26646" xr:uid="{00000000-0005-0000-0000-00006E370000}"/>
    <cellStyle name="Normal 12 2 3 2 7" xfId="21246" xr:uid="{00000000-0005-0000-0000-00006F370000}"/>
    <cellStyle name="Normal 12 2 3 3" xfId="7123" xr:uid="{00000000-0005-0000-0000-000070370000}"/>
    <cellStyle name="Normal 12 2 3 3 2" xfId="9002" xr:uid="{00000000-0005-0000-0000-000071370000}"/>
    <cellStyle name="Normal 12 2 3 3 2 2" xfId="11381" xr:uid="{00000000-0005-0000-0000-000072370000}"/>
    <cellStyle name="Normal 12 2 3 3 2 2 2" xfId="13589" xr:uid="{00000000-0005-0000-0000-000073370000}"/>
    <cellStyle name="Normal 12 2 3 3 2 2 2 2" xfId="26647" xr:uid="{00000000-0005-0000-0000-000074370000}"/>
    <cellStyle name="Normal 12 2 3 3 2 2 3" xfId="13590" xr:uid="{00000000-0005-0000-0000-000075370000}"/>
    <cellStyle name="Normal 12 2 3 3 2 2 3 2" xfId="26648" xr:uid="{00000000-0005-0000-0000-000076370000}"/>
    <cellStyle name="Normal 12 2 3 3 2 2 4" xfId="24751" xr:uid="{00000000-0005-0000-0000-000077370000}"/>
    <cellStyle name="Normal 12 2 3 3 2 3" xfId="13591" xr:uid="{00000000-0005-0000-0000-000078370000}"/>
    <cellStyle name="Normal 12 2 3 3 2 3 2" xfId="26649" xr:uid="{00000000-0005-0000-0000-000079370000}"/>
    <cellStyle name="Normal 12 2 3 3 2 4" xfId="13592" xr:uid="{00000000-0005-0000-0000-00007A370000}"/>
    <cellStyle name="Normal 12 2 3 3 2 4 2" xfId="26650" xr:uid="{00000000-0005-0000-0000-00007B370000}"/>
    <cellStyle name="Normal 12 2 3 3 2 5" xfId="22595" xr:uid="{00000000-0005-0000-0000-00007C370000}"/>
    <cellStyle name="Normal 12 2 3 3 3" xfId="10303" xr:uid="{00000000-0005-0000-0000-00007D370000}"/>
    <cellStyle name="Normal 12 2 3 3 3 2" xfId="13593" xr:uid="{00000000-0005-0000-0000-00007E370000}"/>
    <cellStyle name="Normal 12 2 3 3 3 2 2" xfId="26651" xr:uid="{00000000-0005-0000-0000-00007F370000}"/>
    <cellStyle name="Normal 12 2 3 3 3 3" xfId="13594" xr:uid="{00000000-0005-0000-0000-000080370000}"/>
    <cellStyle name="Normal 12 2 3 3 3 3 2" xfId="26652" xr:uid="{00000000-0005-0000-0000-000081370000}"/>
    <cellStyle name="Normal 12 2 3 3 3 4" xfId="23673" xr:uid="{00000000-0005-0000-0000-000082370000}"/>
    <cellStyle name="Normal 12 2 3 3 4" xfId="13595" xr:uid="{00000000-0005-0000-0000-000083370000}"/>
    <cellStyle name="Normal 12 2 3 3 4 2" xfId="26653" xr:uid="{00000000-0005-0000-0000-000084370000}"/>
    <cellStyle name="Normal 12 2 3 3 5" xfId="13596" xr:uid="{00000000-0005-0000-0000-000085370000}"/>
    <cellStyle name="Normal 12 2 3 3 5 2" xfId="26654" xr:uid="{00000000-0005-0000-0000-000086370000}"/>
    <cellStyle name="Normal 12 2 3 3 6" xfId="21517" xr:uid="{00000000-0005-0000-0000-000087370000}"/>
    <cellStyle name="Normal 12 2 3 4" xfId="8393" xr:uid="{00000000-0005-0000-0000-000088370000}"/>
    <cellStyle name="Normal 12 2 3 4 2" xfId="10841" xr:uid="{00000000-0005-0000-0000-000089370000}"/>
    <cellStyle name="Normal 12 2 3 4 2 2" xfId="13597" xr:uid="{00000000-0005-0000-0000-00008A370000}"/>
    <cellStyle name="Normal 12 2 3 4 2 2 2" xfId="26655" xr:uid="{00000000-0005-0000-0000-00008B370000}"/>
    <cellStyle name="Normal 12 2 3 4 2 3" xfId="13598" xr:uid="{00000000-0005-0000-0000-00008C370000}"/>
    <cellStyle name="Normal 12 2 3 4 2 3 2" xfId="26656" xr:uid="{00000000-0005-0000-0000-00008D370000}"/>
    <cellStyle name="Normal 12 2 3 4 2 4" xfId="24211" xr:uid="{00000000-0005-0000-0000-00008E370000}"/>
    <cellStyle name="Normal 12 2 3 4 3" xfId="13599" xr:uid="{00000000-0005-0000-0000-00008F370000}"/>
    <cellStyle name="Normal 12 2 3 4 3 2" xfId="26657" xr:uid="{00000000-0005-0000-0000-000090370000}"/>
    <cellStyle name="Normal 12 2 3 4 4" xfId="13600" xr:uid="{00000000-0005-0000-0000-000091370000}"/>
    <cellStyle name="Normal 12 2 3 4 4 2" xfId="26658" xr:uid="{00000000-0005-0000-0000-000092370000}"/>
    <cellStyle name="Normal 12 2 3 4 5" xfId="22055" xr:uid="{00000000-0005-0000-0000-000093370000}"/>
    <cellStyle name="Normal 12 2 3 5" xfId="9763" xr:uid="{00000000-0005-0000-0000-000094370000}"/>
    <cellStyle name="Normal 12 2 3 5 2" xfId="13601" xr:uid="{00000000-0005-0000-0000-000095370000}"/>
    <cellStyle name="Normal 12 2 3 5 2 2" xfId="26659" xr:uid="{00000000-0005-0000-0000-000096370000}"/>
    <cellStyle name="Normal 12 2 3 5 3" xfId="13602" xr:uid="{00000000-0005-0000-0000-000097370000}"/>
    <cellStyle name="Normal 12 2 3 5 3 2" xfId="26660" xr:uid="{00000000-0005-0000-0000-000098370000}"/>
    <cellStyle name="Normal 12 2 3 5 4" xfId="23133" xr:uid="{00000000-0005-0000-0000-000099370000}"/>
    <cellStyle name="Normal 12 2 3 6" xfId="13603" xr:uid="{00000000-0005-0000-0000-00009A370000}"/>
    <cellStyle name="Normal 12 2 3 6 2" xfId="26661" xr:uid="{00000000-0005-0000-0000-00009B370000}"/>
    <cellStyle name="Normal 12 2 3 7" xfId="13604" xr:uid="{00000000-0005-0000-0000-00009C370000}"/>
    <cellStyle name="Normal 12 2 3 7 2" xfId="26662" xr:uid="{00000000-0005-0000-0000-00009D370000}"/>
    <cellStyle name="Normal 12 2 3 8" xfId="20977" xr:uid="{00000000-0005-0000-0000-00009E370000}"/>
    <cellStyle name="Normal 12 2 4" xfId="6554" xr:uid="{00000000-0005-0000-0000-00009F370000}"/>
    <cellStyle name="Normal 12 2 4 2" xfId="7255" xr:uid="{00000000-0005-0000-0000-0000A0370000}"/>
    <cellStyle name="Normal 12 2 4 2 2" xfId="9134" xr:uid="{00000000-0005-0000-0000-0000A1370000}"/>
    <cellStyle name="Normal 12 2 4 2 2 2" xfId="11513" xr:uid="{00000000-0005-0000-0000-0000A2370000}"/>
    <cellStyle name="Normal 12 2 4 2 2 2 2" xfId="13605" xr:uid="{00000000-0005-0000-0000-0000A3370000}"/>
    <cellStyle name="Normal 12 2 4 2 2 2 2 2" xfId="26663" xr:uid="{00000000-0005-0000-0000-0000A4370000}"/>
    <cellStyle name="Normal 12 2 4 2 2 2 3" xfId="13606" xr:uid="{00000000-0005-0000-0000-0000A5370000}"/>
    <cellStyle name="Normal 12 2 4 2 2 2 3 2" xfId="26664" xr:uid="{00000000-0005-0000-0000-0000A6370000}"/>
    <cellStyle name="Normal 12 2 4 2 2 2 4" xfId="24883" xr:uid="{00000000-0005-0000-0000-0000A7370000}"/>
    <cellStyle name="Normal 12 2 4 2 2 3" xfId="13607" xr:uid="{00000000-0005-0000-0000-0000A8370000}"/>
    <cellStyle name="Normal 12 2 4 2 2 3 2" xfId="26665" xr:uid="{00000000-0005-0000-0000-0000A9370000}"/>
    <cellStyle name="Normal 12 2 4 2 2 4" xfId="13608" xr:uid="{00000000-0005-0000-0000-0000AA370000}"/>
    <cellStyle name="Normal 12 2 4 2 2 4 2" xfId="26666" xr:uid="{00000000-0005-0000-0000-0000AB370000}"/>
    <cellStyle name="Normal 12 2 4 2 2 5" xfId="22727" xr:uid="{00000000-0005-0000-0000-0000AC370000}"/>
    <cellStyle name="Normal 12 2 4 2 3" xfId="10435" xr:uid="{00000000-0005-0000-0000-0000AD370000}"/>
    <cellStyle name="Normal 12 2 4 2 3 2" xfId="13609" xr:uid="{00000000-0005-0000-0000-0000AE370000}"/>
    <cellStyle name="Normal 12 2 4 2 3 2 2" xfId="26667" xr:uid="{00000000-0005-0000-0000-0000AF370000}"/>
    <cellStyle name="Normal 12 2 4 2 3 3" xfId="13610" xr:uid="{00000000-0005-0000-0000-0000B0370000}"/>
    <cellStyle name="Normal 12 2 4 2 3 3 2" xfId="26668" xr:uid="{00000000-0005-0000-0000-0000B1370000}"/>
    <cellStyle name="Normal 12 2 4 2 3 4" xfId="23805" xr:uid="{00000000-0005-0000-0000-0000B2370000}"/>
    <cellStyle name="Normal 12 2 4 2 4" xfId="13611" xr:uid="{00000000-0005-0000-0000-0000B3370000}"/>
    <cellStyle name="Normal 12 2 4 2 4 2" xfId="26669" xr:uid="{00000000-0005-0000-0000-0000B4370000}"/>
    <cellStyle name="Normal 12 2 4 2 5" xfId="13612" xr:uid="{00000000-0005-0000-0000-0000B5370000}"/>
    <cellStyle name="Normal 12 2 4 2 5 2" xfId="26670" xr:uid="{00000000-0005-0000-0000-0000B6370000}"/>
    <cellStyle name="Normal 12 2 4 2 6" xfId="21649" xr:uid="{00000000-0005-0000-0000-0000B7370000}"/>
    <cellStyle name="Normal 12 2 4 3" xfId="8587" xr:uid="{00000000-0005-0000-0000-0000B8370000}"/>
    <cellStyle name="Normal 12 2 4 3 2" xfId="10973" xr:uid="{00000000-0005-0000-0000-0000B9370000}"/>
    <cellStyle name="Normal 12 2 4 3 2 2" xfId="13613" xr:uid="{00000000-0005-0000-0000-0000BA370000}"/>
    <cellStyle name="Normal 12 2 4 3 2 2 2" xfId="26671" xr:uid="{00000000-0005-0000-0000-0000BB370000}"/>
    <cellStyle name="Normal 12 2 4 3 2 3" xfId="13614" xr:uid="{00000000-0005-0000-0000-0000BC370000}"/>
    <cellStyle name="Normal 12 2 4 3 2 3 2" xfId="26672" xr:uid="{00000000-0005-0000-0000-0000BD370000}"/>
    <cellStyle name="Normal 12 2 4 3 2 4" xfId="24343" xr:uid="{00000000-0005-0000-0000-0000BE370000}"/>
    <cellStyle name="Normal 12 2 4 3 3" xfId="13615" xr:uid="{00000000-0005-0000-0000-0000BF370000}"/>
    <cellStyle name="Normal 12 2 4 3 3 2" xfId="26673" xr:uid="{00000000-0005-0000-0000-0000C0370000}"/>
    <cellStyle name="Normal 12 2 4 3 4" xfId="13616" xr:uid="{00000000-0005-0000-0000-0000C1370000}"/>
    <cellStyle name="Normal 12 2 4 3 4 2" xfId="26674" xr:uid="{00000000-0005-0000-0000-0000C2370000}"/>
    <cellStyle name="Normal 12 2 4 3 5" xfId="22187" xr:uid="{00000000-0005-0000-0000-0000C3370000}"/>
    <cellStyle name="Normal 12 2 4 4" xfId="9895" xr:uid="{00000000-0005-0000-0000-0000C4370000}"/>
    <cellStyle name="Normal 12 2 4 4 2" xfId="13617" xr:uid="{00000000-0005-0000-0000-0000C5370000}"/>
    <cellStyle name="Normal 12 2 4 4 2 2" xfId="26675" xr:uid="{00000000-0005-0000-0000-0000C6370000}"/>
    <cellStyle name="Normal 12 2 4 4 3" xfId="13618" xr:uid="{00000000-0005-0000-0000-0000C7370000}"/>
    <cellStyle name="Normal 12 2 4 4 3 2" xfId="26676" xr:uid="{00000000-0005-0000-0000-0000C8370000}"/>
    <cellStyle name="Normal 12 2 4 4 4" xfId="23265" xr:uid="{00000000-0005-0000-0000-0000C9370000}"/>
    <cellStyle name="Normal 12 2 4 5" xfId="13619" xr:uid="{00000000-0005-0000-0000-0000CA370000}"/>
    <cellStyle name="Normal 12 2 4 5 2" xfId="26677" xr:uid="{00000000-0005-0000-0000-0000CB370000}"/>
    <cellStyle name="Normal 12 2 4 6" xfId="13620" xr:uid="{00000000-0005-0000-0000-0000CC370000}"/>
    <cellStyle name="Normal 12 2 4 6 2" xfId="26678" xr:uid="{00000000-0005-0000-0000-0000CD370000}"/>
    <cellStyle name="Normal 12 2 4 7" xfId="21109" xr:uid="{00000000-0005-0000-0000-0000CE370000}"/>
    <cellStyle name="Normal 12 2 5" xfId="6985" xr:uid="{00000000-0005-0000-0000-0000CF370000}"/>
    <cellStyle name="Normal 12 2 5 2" xfId="8865" xr:uid="{00000000-0005-0000-0000-0000D0370000}"/>
    <cellStyle name="Normal 12 2 5 2 2" xfId="11244" xr:uid="{00000000-0005-0000-0000-0000D1370000}"/>
    <cellStyle name="Normal 12 2 5 2 2 2" xfId="13621" xr:uid="{00000000-0005-0000-0000-0000D2370000}"/>
    <cellStyle name="Normal 12 2 5 2 2 2 2" xfId="26679" xr:uid="{00000000-0005-0000-0000-0000D3370000}"/>
    <cellStyle name="Normal 12 2 5 2 2 3" xfId="13622" xr:uid="{00000000-0005-0000-0000-0000D4370000}"/>
    <cellStyle name="Normal 12 2 5 2 2 3 2" xfId="26680" xr:uid="{00000000-0005-0000-0000-0000D5370000}"/>
    <cellStyle name="Normal 12 2 5 2 2 4" xfId="24614" xr:uid="{00000000-0005-0000-0000-0000D6370000}"/>
    <cellStyle name="Normal 12 2 5 2 3" xfId="13623" xr:uid="{00000000-0005-0000-0000-0000D7370000}"/>
    <cellStyle name="Normal 12 2 5 2 3 2" xfId="26681" xr:uid="{00000000-0005-0000-0000-0000D8370000}"/>
    <cellStyle name="Normal 12 2 5 2 4" xfId="13624" xr:uid="{00000000-0005-0000-0000-0000D9370000}"/>
    <cellStyle name="Normal 12 2 5 2 4 2" xfId="26682" xr:uid="{00000000-0005-0000-0000-0000DA370000}"/>
    <cellStyle name="Normal 12 2 5 2 5" xfId="22458" xr:uid="{00000000-0005-0000-0000-0000DB370000}"/>
    <cellStyle name="Normal 12 2 5 3" xfId="10166" xr:uid="{00000000-0005-0000-0000-0000DC370000}"/>
    <cellStyle name="Normal 12 2 5 3 2" xfId="13625" xr:uid="{00000000-0005-0000-0000-0000DD370000}"/>
    <cellStyle name="Normal 12 2 5 3 2 2" xfId="26683" xr:uid="{00000000-0005-0000-0000-0000DE370000}"/>
    <cellStyle name="Normal 12 2 5 3 3" xfId="13626" xr:uid="{00000000-0005-0000-0000-0000DF370000}"/>
    <cellStyle name="Normal 12 2 5 3 3 2" xfId="26684" xr:uid="{00000000-0005-0000-0000-0000E0370000}"/>
    <cellStyle name="Normal 12 2 5 3 4" xfId="23536" xr:uid="{00000000-0005-0000-0000-0000E1370000}"/>
    <cellStyle name="Normal 12 2 5 4" xfId="13627" xr:uid="{00000000-0005-0000-0000-0000E2370000}"/>
    <cellStyle name="Normal 12 2 5 4 2" xfId="26685" xr:uid="{00000000-0005-0000-0000-0000E3370000}"/>
    <cellStyle name="Normal 12 2 5 5" xfId="13628" xr:uid="{00000000-0005-0000-0000-0000E4370000}"/>
    <cellStyle name="Normal 12 2 5 5 2" xfId="26686" xr:uid="{00000000-0005-0000-0000-0000E5370000}"/>
    <cellStyle name="Normal 12 2 5 6" xfId="21380" xr:uid="{00000000-0005-0000-0000-0000E6370000}"/>
    <cellStyle name="Normal 12 2 6" xfId="8162" xr:uid="{00000000-0005-0000-0000-0000E7370000}"/>
    <cellStyle name="Normal 12 2 6 2" xfId="10704" xr:uid="{00000000-0005-0000-0000-0000E8370000}"/>
    <cellStyle name="Normal 12 2 6 2 2" xfId="13629" xr:uid="{00000000-0005-0000-0000-0000E9370000}"/>
    <cellStyle name="Normal 12 2 6 2 2 2" xfId="26687" xr:uid="{00000000-0005-0000-0000-0000EA370000}"/>
    <cellStyle name="Normal 12 2 6 2 3" xfId="13630" xr:uid="{00000000-0005-0000-0000-0000EB370000}"/>
    <cellStyle name="Normal 12 2 6 2 3 2" xfId="26688" xr:uid="{00000000-0005-0000-0000-0000EC370000}"/>
    <cellStyle name="Normal 12 2 6 2 4" xfId="24074" xr:uid="{00000000-0005-0000-0000-0000ED370000}"/>
    <cellStyle name="Normal 12 2 6 3" xfId="13631" xr:uid="{00000000-0005-0000-0000-0000EE370000}"/>
    <cellStyle name="Normal 12 2 6 3 2" xfId="26689" xr:uid="{00000000-0005-0000-0000-0000EF370000}"/>
    <cellStyle name="Normal 12 2 6 4" xfId="13632" xr:uid="{00000000-0005-0000-0000-0000F0370000}"/>
    <cellStyle name="Normal 12 2 6 4 2" xfId="26690" xr:uid="{00000000-0005-0000-0000-0000F1370000}"/>
    <cellStyle name="Normal 12 2 6 5" xfId="21918" xr:uid="{00000000-0005-0000-0000-0000F2370000}"/>
    <cellStyle name="Normal 12 2 7" xfId="9625" xr:uid="{00000000-0005-0000-0000-0000F3370000}"/>
    <cellStyle name="Normal 12 2 7 2" xfId="13633" xr:uid="{00000000-0005-0000-0000-0000F4370000}"/>
    <cellStyle name="Normal 12 2 7 2 2" xfId="26691" xr:uid="{00000000-0005-0000-0000-0000F5370000}"/>
    <cellStyle name="Normal 12 2 7 3" xfId="13634" xr:uid="{00000000-0005-0000-0000-0000F6370000}"/>
    <cellStyle name="Normal 12 2 7 3 2" xfId="26692" xr:uid="{00000000-0005-0000-0000-0000F7370000}"/>
    <cellStyle name="Normal 12 2 7 4" xfId="22996" xr:uid="{00000000-0005-0000-0000-0000F8370000}"/>
    <cellStyle name="Normal 12 2 8" xfId="13635" xr:uid="{00000000-0005-0000-0000-0000F9370000}"/>
    <cellStyle name="Normal 12 2 8 2" xfId="26693" xr:uid="{00000000-0005-0000-0000-0000FA370000}"/>
    <cellStyle name="Normal 12 2 9" xfId="13636" xr:uid="{00000000-0005-0000-0000-0000FB370000}"/>
    <cellStyle name="Normal 12 2 9 2" xfId="26694" xr:uid="{00000000-0005-0000-0000-0000FC370000}"/>
    <cellStyle name="Normal 12 3" xfId="3880" xr:uid="{00000000-0005-0000-0000-0000FD370000}"/>
    <cellStyle name="Normal 12 3 10" xfId="20855" xr:uid="{00000000-0005-0000-0000-0000FE370000}"/>
    <cellStyle name="Normal 12 3 2" xfId="4093" xr:uid="{00000000-0005-0000-0000-0000FF370000}"/>
    <cellStyle name="Normal 12 3 2 2" xfId="5629" xr:uid="{00000000-0005-0000-0000-000000380000}"/>
    <cellStyle name="Normal 12 3 2 2 2" xfId="6781" xr:uid="{00000000-0005-0000-0000-000001380000}"/>
    <cellStyle name="Normal 12 3 2 2 2 2" xfId="7468" xr:uid="{00000000-0005-0000-0000-000002380000}"/>
    <cellStyle name="Normal 12 3 2 2 2 2 2" xfId="9347" xr:uid="{00000000-0005-0000-0000-000003380000}"/>
    <cellStyle name="Normal 12 3 2 2 2 2 2 2" xfId="11726" xr:uid="{00000000-0005-0000-0000-000004380000}"/>
    <cellStyle name="Normal 12 3 2 2 2 2 2 2 2" xfId="13637" xr:uid="{00000000-0005-0000-0000-000005380000}"/>
    <cellStyle name="Normal 12 3 2 2 2 2 2 2 2 2" xfId="26695" xr:uid="{00000000-0005-0000-0000-000006380000}"/>
    <cellStyle name="Normal 12 3 2 2 2 2 2 2 3" xfId="13638" xr:uid="{00000000-0005-0000-0000-000007380000}"/>
    <cellStyle name="Normal 12 3 2 2 2 2 2 2 3 2" xfId="26696" xr:uid="{00000000-0005-0000-0000-000008380000}"/>
    <cellStyle name="Normal 12 3 2 2 2 2 2 2 4" xfId="25096" xr:uid="{00000000-0005-0000-0000-000009380000}"/>
    <cellStyle name="Normal 12 3 2 2 2 2 2 3" xfId="13639" xr:uid="{00000000-0005-0000-0000-00000A380000}"/>
    <cellStyle name="Normal 12 3 2 2 2 2 2 3 2" xfId="26697" xr:uid="{00000000-0005-0000-0000-00000B380000}"/>
    <cellStyle name="Normal 12 3 2 2 2 2 2 4" xfId="13640" xr:uid="{00000000-0005-0000-0000-00000C380000}"/>
    <cellStyle name="Normal 12 3 2 2 2 2 2 4 2" xfId="26698" xr:uid="{00000000-0005-0000-0000-00000D380000}"/>
    <cellStyle name="Normal 12 3 2 2 2 2 2 5" xfId="22940" xr:uid="{00000000-0005-0000-0000-00000E380000}"/>
    <cellStyle name="Normal 12 3 2 2 2 2 3" xfId="10648" xr:uid="{00000000-0005-0000-0000-00000F380000}"/>
    <cellStyle name="Normal 12 3 2 2 2 2 3 2" xfId="13641" xr:uid="{00000000-0005-0000-0000-000010380000}"/>
    <cellStyle name="Normal 12 3 2 2 2 2 3 2 2" xfId="26699" xr:uid="{00000000-0005-0000-0000-000011380000}"/>
    <cellStyle name="Normal 12 3 2 2 2 2 3 3" xfId="13642" xr:uid="{00000000-0005-0000-0000-000012380000}"/>
    <cellStyle name="Normal 12 3 2 2 2 2 3 3 2" xfId="26700" xr:uid="{00000000-0005-0000-0000-000013380000}"/>
    <cellStyle name="Normal 12 3 2 2 2 2 3 4" xfId="24018" xr:uid="{00000000-0005-0000-0000-000014380000}"/>
    <cellStyle name="Normal 12 3 2 2 2 2 4" xfId="13643" xr:uid="{00000000-0005-0000-0000-000015380000}"/>
    <cellStyle name="Normal 12 3 2 2 2 2 4 2" xfId="26701" xr:uid="{00000000-0005-0000-0000-000016380000}"/>
    <cellStyle name="Normal 12 3 2 2 2 2 5" xfId="13644" xr:uid="{00000000-0005-0000-0000-000017380000}"/>
    <cellStyle name="Normal 12 3 2 2 2 2 5 2" xfId="26702" xr:uid="{00000000-0005-0000-0000-000018380000}"/>
    <cellStyle name="Normal 12 3 2 2 2 2 6" xfId="21862" xr:uid="{00000000-0005-0000-0000-000019380000}"/>
    <cellStyle name="Normal 12 3 2 2 2 3" xfId="8801" xr:uid="{00000000-0005-0000-0000-00001A380000}"/>
    <cellStyle name="Normal 12 3 2 2 2 3 2" xfId="11186" xr:uid="{00000000-0005-0000-0000-00001B380000}"/>
    <cellStyle name="Normal 12 3 2 2 2 3 2 2" xfId="13645" xr:uid="{00000000-0005-0000-0000-00001C380000}"/>
    <cellStyle name="Normal 12 3 2 2 2 3 2 2 2" xfId="26703" xr:uid="{00000000-0005-0000-0000-00001D380000}"/>
    <cellStyle name="Normal 12 3 2 2 2 3 2 3" xfId="13646" xr:uid="{00000000-0005-0000-0000-00001E380000}"/>
    <cellStyle name="Normal 12 3 2 2 2 3 2 3 2" xfId="26704" xr:uid="{00000000-0005-0000-0000-00001F380000}"/>
    <cellStyle name="Normal 12 3 2 2 2 3 2 4" xfId="24556" xr:uid="{00000000-0005-0000-0000-000020380000}"/>
    <cellStyle name="Normal 12 3 2 2 2 3 3" xfId="13647" xr:uid="{00000000-0005-0000-0000-000021380000}"/>
    <cellStyle name="Normal 12 3 2 2 2 3 3 2" xfId="26705" xr:uid="{00000000-0005-0000-0000-000022380000}"/>
    <cellStyle name="Normal 12 3 2 2 2 3 4" xfId="13648" xr:uid="{00000000-0005-0000-0000-000023380000}"/>
    <cellStyle name="Normal 12 3 2 2 2 3 4 2" xfId="26706" xr:uid="{00000000-0005-0000-0000-000024380000}"/>
    <cellStyle name="Normal 12 3 2 2 2 3 5" xfId="22400" xr:uid="{00000000-0005-0000-0000-000025380000}"/>
    <cellStyle name="Normal 12 3 2 2 2 4" xfId="10108" xr:uid="{00000000-0005-0000-0000-000026380000}"/>
    <cellStyle name="Normal 12 3 2 2 2 4 2" xfId="13649" xr:uid="{00000000-0005-0000-0000-000027380000}"/>
    <cellStyle name="Normal 12 3 2 2 2 4 2 2" xfId="26707" xr:uid="{00000000-0005-0000-0000-000028380000}"/>
    <cellStyle name="Normal 12 3 2 2 2 4 3" xfId="13650" xr:uid="{00000000-0005-0000-0000-000029380000}"/>
    <cellStyle name="Normal 12 3 2 2 2 4 3 2" xfId="26708" xr:uid="{00000000-0005-0000-0000-00002A380000}"/>
    <cellStyle name="Normal 12 3 2 2 2 4 4" xfId="23478" xr:uid="{00000000-0005-0000-0000-00002B380000}"/>
    <cellStyle name="Normal 12 3 2 2 2 5" xfId="13651" xr:uid="{00000000-0005-0000-0000-00002C380000}"/>
    <cellStyle name="Normal 12 3 2 2 2 5 2" xfId="26709" xr:uid="{00000000-0005-0000-0000-00002D380000}"/>
    <cellStyle name="Normal 12 3 2 2 2 6" xfId="13652" xr:uid="{00000000-0005-0000-0000-00002E380000}"/>
    <cellStyle name="Normal 12 3 2 2 2 6 2" xfId="26710" xr:uid="{00000000-0005-0000-0000-00002F380000}"/>
    <cellStyle name="Normal 12 3 2 2 2 7" xfId="21322" xr:uid="{00000000-0005-0000-0000-000030380000}"/>
    <cellStyle name="Normal 12 3 2 2 3" xfId="7199" xr:uid="{00000000-0005-0000-0000-000031380000}"/>
    <cellStyle name="Normal 12 3 2 2 3 2" xfId="9078" xr:uid="{00000000-0005-0000-0000-000032380000}"/>
    <cellStyle name="Normal 12 3 2 2 3 2 2" xfId="11457" xr:uid="{00000000-0005-0000-0000-000033380000}"/>
    <cellStyle name="Normal 12 3 2 2 3 2 2 2" xfId="13653" xr:uid="{00000000-0005-0000-0000-000034380000}"/>
    <cellStyle name="Normal 12 3 2 2 3 2 2 2 2" xfId="26711" xr:uid="{00000000-0005-0000-0000-000035380000}"/>
    <cellStyle name="Normal 12 3 2 2 3 2 2 3" xfId="13654" xr:uid="{00000000-0005-0000-0000-000036380000}"/>
    <cellStyle name="Normal 12 3 2 2 3 2 2 3 2" xfId="26712" xr:uid="{00000000-0005-0000-0000-000037380000}"/>
    <cellStyle name="Normal 12 3 2 2 3 2 2 4" xfId="24827" xr:uid="{00000000-0005-0000-0000-000038380000}"/>
    <cellStyle name="Normal 12 3 2 2 3 2 3" xfId="13655" xr:uid="{00000000-0005-0000-0000-000039380000}"/>
    <cellStyle name="Normal 12 3 2 2 3 2 3 2" xfId="26713" xr:uid="{00000000-0005-0000-0000-00003A380000}"/>
    <cellStyle name="Normal 12 3 2 2 3 2 4" xfId="13656" xr:uid="{00000000-0005-0000-0000-00003B380000}"/>
    <cellStyle name="Normal 12 3 2 2 3 2 4 2" xfId="26714" xr:uid="{00000000-0005-0000-0000-00003C380000}"/>
    <cellStyle name="Normal 12 3 2 2 3 2 5" xfId="22671" xr:uid="{00000000-0005-0000-0000-00003D380000}"/>
    <cellStyle name="Normal 12 3 2 2 3 3" xfId="10379" xr:uid="{00000000-0005-0000-0000-00003E380000}"/>
    <cellStyle name="Normal 12 3 2 2 3 3 2" xfId="13657" xr:uid="{00000000-0005-0000-0000-00003F380000}"/>
    <cellStyle name="Normal 12 3 2 2 3 3 2 2" xfId="26715" xr:uid="{00000000-0005-0000-0000-000040380000}"/>
    <cellStyle name="Normal 12 3 2 2 3 3 3" xfId="13658" xr:uid="{00000000-0005-0000-0000-000041380000}"/>
    <cellStyle name="Normal 12 3 2 2 3 3 3 2" xfId="26716" xr:uid="{00000000-0005-0000-0000-000042380000}"/>
    <cellStyle name="Normal 12 3 2 2 3 3 4" xfId="23749" xr:uid="{00000000-0005-0000-0000-000043380000}"/>
    <cellStyle name="Normal 12 3 2 2 3 4" xfId="13659" xr:uid="{00000000-0005-0000-0000-000044380000}"/>
    <cellStyle name="Normal 12 3 2 2 3 4 2" xfId="26717" xr:uid="{00000000-0005-0000-0000-000045380000}"/>
    <cellStyle name="Normal 12 3 2 2 3 5" xfId="13660" xr:uid="{00000000-0005-0000-0000-000046380000}"/>
    <cellStyle name="Normal 12 3 2 2 3 5 2" xfId="26718" xr:uid="{00000000-0005-0000-0000-000047380000}"/>
    <cellStyle name="Normal 12 3 2 2 3 6" xfId="21593" xr:uid="{00000000-0005-0000-0000-000048380000}"/>
    <cellStyle name="Normal 12 3 2 2 4" xfId="8476" xr:uid="{00000000-0005-0000-0000-000049380000}"/>
    <cellStyle name="Normal 12 3 2 2 4 2" xfId="10917" xr:uid="{00000000-0005-0000-0000-00004A380000}"/>
    <cellStyle name="Normal 12 3 2 2 4 2 2" xfId="13661" xr:uid="{00000000-0005-0000-0000-00004B380000}"/>
    <cellStyle name="Normal 12 3 2 2 4 2 2 2" xfId="26719" xr:uid="{00000000-0005-0000-0000-00004C380000}"/>
    <cellStyle name="Normal 12 3 2 2 4 2 3" xfId="13662" xr:uid="{00000000-0005-0000-0000-00004D380000}"/>
    <cellStyle name="Normal 12 3 2 2 4 2 3 2" xfId="26720" xr:uid="{00000000-0005-0000-0000-00004E380000}"/>
    <cellStyle name="Normal 12 3 2 2 4 2 4" xfId="24287" xr:uid="{00000000-0005-0000-0000-00004F380000}"/>
    <cellStyle name="Normal 12 3 2 2 4 3" xfId="13663" xr:uid="{00000000-0005-0000-0000-000050380000}"/>
    <cellStyle name="Normal 12 3 2 2 4 3 2" xfId="26721" xr:uid="{00000000-0005-0000-0000-000051380000}"/>
    <cellStyle name="Normal 12 3 2 2 4 4" xfId="13664" xr:uid="{00000000-0005-0000-0000-000052380000}"/>
    <cellStyle name="Normal 12 3 2 2 4 4 2" xfId="26722" xr:uid="{00000000-0005-0000-0000-000053380000}"/>
    <cellStyle name="Normal 12 3 2 2 4 5" xfId="22131" xr:uid="{00000000-0005-0000-0000-000054380000}"/>
    <cellStyle name="Normal 12 3 2 2 5" xfId="9839" xr:uid="{00000000-0005-0000-0000-000055380000}"/>
    <cellStyle name="Normal 12 3 2 2 5 2" xfId="13665" xr:uid="{00000000-0005-0000-0000-000056380000}"/>
    <cellStyle name="Normal 12 3 2 2 5 2 2" xfId="26723" xr:uid="{00000000-0005-0000-0000-000057380000}"/>
    <cellStyle name="Normal 12 3 2 2 5 3" xfId="13666" xr:uid="{00000000-0005-0000-0000-000058380000}"/>
    <cellStyle name="Normal 12 3 2 2 5 3 2" xfId="26724" xr:uid="{00000000-0005-0000-0000-000059380000}"/>
    <cellStyle name="Normal 12 3 2 2 5 4" xfId="23209" xr:uid="{00000000-0005-0000-0000-00005A380000}"/>
    <cellStyle name="Normal 12 3 2 2 6" xfId="13667" xr:uid="{00000000-0005-0000-0000-00005B380000}"/>
    <cellStyle name="Normal 12 3 2 2 6 2" xfId="26725" xr:uid="{00000000-0005-0000-0000-00005C380000}"/>
    <cellStyle name="Normal 12 3 2 2 7" xfId="13668" xr:uid="{00000000-0005-0000-0000-00005D380000}"/>
    <cellStyle name="Normal 12 3 2 2 7 2" xfId="26726" xr:uid="{00000000-0005-0000-0000-00005E380000}"/>
    <cellStyle name="Normal 12 3 2 2 8" xfId="21053" xr:uid="{00000000-0005-0000-0000-00005F380000}"/>
    <cellStyle name="Normal 12 3 2 3" xfId="6630" xr:uid="{00000000-0005-0000-0000-000060380000}"/>
    <cellStyle name="Normal 12 3 2 3 2" xfId="7326" xr:uid="{00000000-0005-0000-0000-000061380000}"/>
    <cellStyle name="Normal 12 3 2 3 2 2" xfId="9205" xr:uid="{00000000-0005-0000-0000-000062380000}"/>
    <cellStyle name="Normal 12 3 2 3 2 2 2" xfId="11584" xr:uid="{00000000-0005-0000-0000-000063380000}"/>
    <cellStyle name="Normal 12 3 2 3 2 2 2 2" xfId="13669" xr:uid="{00000000-0005-0000-0000-000064380000}"/>
    <cellStyle name="Normal 12 3 2 3 2 2 2 2 2" xfId="26727" xr:uid="{00000000-0005-0000-0000-000065380000}"/>
    <cellStyle name="Normal 12 3 2 3 2 2 2 3" xfId="13670" xr:uid="{00000000-0005-0000-0000-000066380000}"/>
    <cellStyle name="Normal 12 3 2 3 2 2 2 3 2" xfId="26728" xr:uid="{00000000-0005-0000-0000-000067380000}"/>
    <cellStyle name="Normal 12 3 2 3 2 2 2 4" xfId="24954" xr:uid="{00000000-0005-0000-0000-000068380000}"/>
    <cellStyle name="Normal 12 3 2 3 2 2 3" xfId="13671" xr:uid="{00000000-0005-0000-0000-000069380000}"/>
    <cellStyle name="Normal 12 3 2 3 2 2 3 2" xfId="26729" xr:uid="{00000000-0005-0000-0000-00006A380000}"/>
    <cellStyle name="Normal 12 3 2 3 2 2 4" xfId="13672" xr:uid="{00000000-0005-0000-0000-00006B380000}"/>
    <cellStyle name="Normal 12 3 2 3 2 2 4 2" xfId="26730" xr:uid="{00000000-0005-0000-0000-00006C380000}"/>
    <cellStyle name="Normal 12 3 2 3 2 2 5" xfId="22798" xr:uid="{00000000-0005-0000-0000-00006D380000}"/>
    <cellStyle name="Normal 12 3 2 3 2 3" xfId="10506" xr:uid="{00000000-0005-0000-0000-00006E380000}"/>
    <cellStyle name="Normal 12 3 2 3 2 3 2" xfId="13673" xr:uid="{00000000-0005-0000-0000-00006F380000}"/>
    <cellStyle name="Normal 12 3 2 3 2 3 2 2" xfId="26731" xr:uid="{00000000-0005-0000-0000-000070380000}"/>
    <cellStyle name="Normal 12 3 2 3 2 3 3" xfId="13674" xr:uid="{00000000-0005-0000-0000-000071380000}"/>
    <cellStyle name="Normal 12 3 2 3 2 3 3 2" xfId="26732" xr:uid="{00000000-0005-0000-0000-000072380000}"/>
    <cellStyle name="Normal 12 3 2 3 2 3 4" xfId="23876" xr:uid="{00000000-0005-0000-0000-000073380000}"/>
    <cellStyle name="Normal 12 3 2 3 2 4" xfId="13675" xr:uid="{00000000-0005-0000-0000-000074380000}"/>
    <cellStyle name="Normal 12 3 2 3 2 4 2" xfId="26733" xr:uid="{00000000-0005-0000-0000-000075380000}"/>
    <cellStyle name="Normal 12 3 2 3 2 5" xfId="13676" xr:uid="{00000000-0005-0000-0000-000076380000}"/>
    <cellStyle name="Normal 12 3 2 3 2 5 2" xfId="26734" xr:uid="{00000000-0005-0000-0000-000077380000}"/>
    <cellStyle name="Normal 12 3 2 3 2 6" xfId="21720" xr:uid="{00000000-0005-0000-0000-000078380000}"/>
    <cellStyle name="Normal 12 3 2 3 3" xfId="8658" xr:uid="{00000000-0005-0000-0000-000079380000}"/>
    <cellStyle name="Normal 12 3 2 3 3 2" xfId="11044" xr:uid="{00000000-0005-0000-0000-00007A380000}"/>
    <cellStyle name="Normal 12 3 2 3 3 2 2" xfId="13677" xr:uid="{00000000-0005-0000-0000-00007B380000}"/>
    <cellStyle name="Normal 12 3 2 3 3 2 2 2" xfId="26735" xr:uid="{00000000-0005-0000-0000-00007C380000}"/>
    <cellStyle name="Normal 12 3 2 3 3 2 3" xfId="13678" xr:uid="{00000000-0005-0000-0000-00007D380000}"/>
    <cellStyle name="Normal 12 3 2 3 3 2 3 2" xfId="26736" xr:uid="{00000000-0005-0000-0000-00007E380000}"/>
    <cellStyle name="Normal 12 3 2 3 3 2 4" xfId="24414" xr:uid="{00000000-0005-0000-0000-00007F380000}"/>
    <cellStyle name="Normal 12 3 2 3 3 3" xfId="13679" xr:uid="{00000000-0005-0000-0000-000080380000}"/>
    <cellStyle name="Normal 12 3 2 3 3 3 2" xfId="26737" xr:uid="{00000000-0005-0000-0000-000081380000}"/>
    <cellStyle name="Normal 12 3 2 3 3 4" xfId="13680" xr:uid="{00000000-0005-0000-0000-000082380000}"/>
    <cellStyle name="Normal 12 3 2 3 3 4 2" xfId="26738" xr:uid="{00000000-0005-0000-0000-000083380000}"/>
    <cellStyle name="Normal 12 3 2 3 3 5" xfId="22258" xr:uid="{00000000-0005-0000-0000-000084380000}"/>
    <cellStyle name="Normal 12 3 2 3 4" xfId="9966" xr:uid="{00000000-0005-0000-0000-000085380000}"/>
    <cellStyle name="Normal 12 3 2 3 4 2" xfId="13681" xr:uid="{00000000-0005-0000-0000-000086380000}"/>
    <cellStyle name="Normal 12 3 2 3 4 2 2" xfId="26739" xr:uid="{00000000-0005-0000-0000-000087380000}"/>
    <cellStyle name="Normal 12 3 2 3 4 3" xfId="13682" xr:uid="{00000000-0005-0000-0000-000088380000}"/>
    <cellStyle name="Normal 12 3 2 3 4 3 2" xfId="26740" xr:uid="{00000000-0005-0000-0000-000089380000}"/>
    <cellStyle name="Normal 12 3 2 3 4 4" xfId="23336" xr:uid="{00000000-0005-0000-0000-00008A380000}"/>
    <cellStyle name="Normal 12 3 2 3 5" xfId="13683" xr:uid="{00000000-0005-0000-0000-00008B380000}"/>
    <cellStyle name="Normal 12 3 2 3 5 2" xfId="26741" xr:uid="{00000000-0005-0000-0000-00008C380000}"/>
    <cellStyle name="Normal 12 3 2 3 6" xfId="13684" xr:uid="{00000000-0005-0000-0000-00008D380000}"/>
    <cellStyle name="Normal 12 3 2 3 6 2" xfId="26742" xr:uid="{00000000-0005-0000-0000-00008E380000}"/>
    <cellStyle name="Normal 12 3 2 3 7" xfId="21180" xr:uid="{00000000-0005-0000-0000-00008F380000}"/>
    <cellStyle name="Normal 12 3 2 4" xfId="7056" xr:uid="{00000000-0005-0000-0000-000090380000}"/>
    <cellStyle name="Normal 12 3 2 4 2" xfId="8936" xr:uid="{00000000-0005-0000-0000-000091380000}"/>
    <cellStyle name="Normal 12 3 2 4 2 2" xfId="11315" xr:uid="{00000000-0005-0000-0000-000092380000}"/>
    <cellStyle name="Normal 12 3 2 4 2 2 2" xfId="13685" xr:uid="{00000000-0005-0000-0000-000093380000}"/>
    <cellStyle name="Normal 12 3 2 4 2 2 2 2" xfId="26743" xr:uid="{00000000-0005-0000-0000-000094380000}"/>
    <cellStyle name="Normal 12 3 2 4 2 2 3" xfId="13686" xr:uid="{00000000-0005-0000-0000-000095380000}"/>
    <cellStyle name="Normal 12 3 2 4 2 2 3 2" xfId="26744" xr:uid="{00000000-0005-0000-0000-000096380000}"/>
    <cellStyle name="Normal 12 3 2 4 2 2 4" xfId="24685" xr:uid="{00000000-0005-0000-0000-000097380000}"/>
    <cellStyle name="Normal 12 3 2 4 2 3" xfId="13687" xr:uid="{00000000-0005-0000-0000-000098380000}"/>
    <cellStyle name="Normal 12 3 2 4 2 3 2" xfId="26745" xr:uid="{00000000-0005-0000-0000-000099380000}"/>
    <cellStyle name="Normal 12 3 2 4 2 4" xfId="13688" xr:uid="{00000000-0005-0000-0000-00009A380000}"/>
    <cellStyle name="Normal 12 3 2 4 2 4 2" xfId="26746" xr:uid="{00000000-0005-0000-0000-00009B380000}"/>
    <cellStyle name="Normal 12 3 2 4 2 5" xfId="22529" xr:uid="{00000000-0005-0000-0000-00009C380000}"/>
    <cellStyle name="Normal 12 3 2 4 3" xfId="10237" xr:uid="{00000000-0005-0000-0000-00009D380000}"/>
    <cellStyle name="Normal 12 3 2 4 3 2" xfId="13689" xr:uid="{00000000-0005-0000-0000-00009E380000}"/>
    <cellStyle name="Normal 12 3 2 4 3 2 2" xfId="26747" xr:uid="{00000000-0005-0000-0000-00009F380000}"/>
    <cellStyle name="Normal 12 3 2 4 3 3" xfId="13690" xr:uid="{00000000-0005-0000-0000-0000A0380000}"/>
    <cellStyle name="Normal 12 3 2 4 3 3 2" xfId="26748" xr:uid="{00000000-0005-0000-0000-0000A1380000}"/>
    <cellStyle name="Normal 12 3 2 4 3 4" xfId="23607" xr:uid="{00000000-0005-0000-0000-0000A2380000}"/>
    <cellStyle name="Normal 12 3 2 4 4" xfId="13691" xr:uid="{00000000-0005-0000-0000-0000A3380000}"/>
    <cellStyle name="Normal 12 3 2 4 4 2" xfId="26749" xr:uid="{00000000-0005-0000-0000-0000A4380000}"/>
    <cellStyle name="Normal 12 3 2 4 5" xfId="13692" xr:uid="{00000000-0005-0000-0000-0000A5380000}"/>
    <cellStyle name="Normal 12 3 2 4 5 2" xfId="26750" xr:uid="{00000000-0005-0000-0000-0000A6380000}"/>
    <cellStyle name="Normal 12 3 2 4 6" xfId="21451" xr:uid="{00000000-0005-0000-0000-0000A7380000}"/>
    <cellStyle name="Normal 12 3 2 5" xfId="8260" xr:uid="{00000000-0005-0000-0000-0000A8380000}"/>
    <cellStyle name="Normal 12 3 2 5 2" xfId="10775" xr:uid="{00000000-0005-0000-0000-0000A9380000}"/>
    <cellStyle name="Normal 12 3 2 5 2 2" xfId="13693" xr:uid="{00000000-0005-0000-0000-0000AA380000}"/>
    <cellStyle name="Normal 12 3 2 5 2 2 2" xfId="26751" xr:uid="{00000000-0005-0000-0000-0000AB380000}"/>
    <cellStyle name="Normal 12 3 2 5 2 3" xfId="13694" xr:uid="{00000000-0005-0000-0000-0000AC380000}"/>
    <cellStyle name="Normal 12 3 2 5 2 3 2" xfId="26752" xr:uid="{00000000-0005-0000-0000-0000AD380000}"/>
    <cellStyle name="Normal 12 3 2 5 2 4" xfId="24145" xr:uid="{00000000-0005-0000-0000-0000AE380000}"/>
    <cellStyle name="Normal 12 3 2 5 3" xfId="13695" xr:uid="{00000000-0005-0000-0000-0000AF380000}"/>
    <cellStyle name="Normal 12 3 2 5 3 2" xfId="26753" xr:uid="{00000000-0005-0000-0000-0000B0380000}"/>
    <cellStyle name="Normal 12 3 2 5 4" xfId="13696" xr:uid="{00000000-0005-0000-0000-0000B1380000}"/>
    <cellStyle name="Normal 12 3 2 5 4 2" xfId="26754" xr:uid="{00000000-0005-0000-0000-0000B2380000}"/>
    <cellStyle name="Normal 12 3 2 5 5" xfId="21989" xr:uid="{00000000-0005-0000-0000-0000B3380000}"/>
    <cellStyle name="Normal 12 3 2 6" xfId="9696" xr:uid="{00000000-0005-0000-0000-0000B4380000}"/>
    <cellStyle name="Normal 12 3 2 6 2" xfId="13697" xr:uid="{00000000-0005-0000-0000-0000B5380000}"/>
    <cellStyle name="Normal 12 3 2 6 2 2" xfId="26755" xr:uid="{00000000-0005-0000-0000-0000B6380000}"/>
    <cellStyle name="Normal 12 3 2 6 3" xfId="13698" xr:uid="{00000000-0005-0000-0000-0000B7380000}"/>
    <cellStyle name="Normal 12 3 2 6 3 2" xfId="26756" xr:uid="{00000000-0005-0000-0000-0000B8380000}"/>
    <cellStyle name="Normal 12 3 2 6 4" xfId="23067" xr:uid="{00000000-0005-0000-0000-0000B9380000}"/>
    <cellStyle name="Normal 12 3 2 7" xfId="13699" xr:uid="{00000000-0005-0000-0000-0000BA380000}"/>
    <cellStyle name="Normal 12 3 2 7 2" xfId="26757" xr:uid="{00000000-0005-0000-0000-0000BB380000}"/>
    <cellStyle name="Normal 12 3 2 8" xfId="13700" xr:uid="{00000000-0005-0000-0000-0000BC380000}"/>
    <cellStyle name="Normal 12 3 2 8 2" xfId="26758" xr:uid="{00000000-0005-0000-0000-0000BD380000}"/>
    <cellStyle name="Normal 12 3 2 9" xfId="20910" xr:uid="{00000000-0005-0000-0000-0000BE380000}"/>
    <cellStyle name="Normal 12 3 3" xfId="5528" xr:uid="{00000000-0005-0000-0000-0000BF380000}"/>
    <cellStyle name="Normal 12 3 3 2" xfId="6723" xr:uid="{00000000-0005-0000-0000-0000C0380000}"/>
    <cellStyle name="Normal 12 3 3 2 2" xfId="7410" xr:uid="{00000000-0005-0000-0000-0000C1380000}"/>
    <cellStyle name="Normal 12 3 3 2 2 2" xfId="9289" xr:uid="{00000000-0005-0000-0000-0000C2380000}"/>
    <cellStyle name="Normal 12 3 3 2 2 2 2" xfId="11668" xr:uid="{00000000-0005-0000-0000-0000C3380000}"/>
    <cellStyle name="Normal 12 3 3 2 2 2 2 2" xfId="13701" xr:uid="{00000000-0005-0000-0000-0000C4380000}"/>
    <cellStyle name="Normal 12 3 3 2 2 2 2 2 2" xfId="26759" xr:uid="{00000000-0005-0000-0000-0000C5380000}"/>
    <cellStyle name="Normal 12 3 3 2 2 2 2 3" xfId="13702" xr:uid="{00000000-0005-0000-0000-0000C6380000}"/>
    <cellStyle name="Normal 12 3 3 2 2 2 2 3 2" xfId="26760" xr:uid="{00000000-0005-0000-0000-0000C7380000}"/>
    <cellStyle name="Normal 12 3 3 2 2 2 2 4" xfId="25038" xr:uid="{00000000-0005-0000-0000-0000C8380000}"/>
    <cellStyle name="Normal 12 3 3 2 2 2 3" xfId="13703" xr:uid="{00000000-0005-0000-0000-0000C9380000}"/>
    <cellStyle name="Normal 12 3 3 2 2 2 3 2" xfId="26761" xr:uid="{00000000-0005-0000-0000-0000CA380000}"/>
    <cellStyle name="Normal 12 3 3 2 2 2 4" xfId="13704" xr:uid="{00000000-0005-0000-0000-0000CB380000}"/>
    <cellStyle name="Normal 12 3 3 2 2 2 4 2" xfId="26762" xr:uid="{00000000-0005-0000-0000-0000CC380000}"/>
    <cellStyle name="Normal 12 3 3 2 2 2 5" xfId="22882" xr:uid="{00000000-0005-0000-0000-0000CD380000}"/>
    <cellStyle name="Normal 12 3 3 2 2 3" xfId="10590" xr:uid="{00000000-0005-0000-0000-0000CE380000}"/>
    <cellStyle name="Normal 12 3 3 2 2 3 2" xfId="13705" xr:uid="{00000000-0005-0000-0000-0000CF380000}"/>
    <cellStyle name="Normal 12 3 3 2 2 3 2 2" xfId="26763" xr:uid="{00000000-0005-0000-0000-0000D0380000}"/>
    <cellStyle name="Normal 12 3 3 2 2 3 3" xfId="13706" xr:uid="{00000000-0005-0000-0000-0000D1380000}"/>
    <cellStyle name="Normal 12 3 3 2 2 3 3 2" xfId="26764" xr:uid="{00000000-0005-0000-0000-0000D2380000}"/>
    <cellStyle name="Normal 12 3 3 2 2 3 4" xfId="23960" xr:uid="{00000000-0005-0000-0000-0000D3380000}"/>
    <cellStyle name="Normal 12 3 3 2 2 4" xfId="13707" xr:uid="{00000000-0005-0000-0000-0000D4380000}"/>
    <cellStyle name="Normal 12 3 3 2 2 4 2" xfId="26765" xr:uid="{00000000-0005-0000-0000-0000D5380000}"/>
    <cellStyle name="Normal 12 3 3 2 2 5" xfId="13708" xr:uid="{00000000-0005-0000-0000-0000D6380000}"/>
    <cellStyle name="Normal 12 3 3 2 2 5 2" xfId="26766" xr:uid="{00000000-0005-0000-0000-0000D7380000}"/>
    <cellStyle name="Normal 12 3 3 2 2 6" xfId="21804" xr:uid="{00000000-0005-0000-0000-0000D8380000}"/>
    <cellStyle name="Normal 12 3 3 2 3" xfId="8743" xr:uid="{00000000-0005-0000-0000-0000D9380000}"/>
    <cellStyle name="Normal 12 3 3 2 3 2" xfId="11128" xr:uid="{00000000-0005-0000-0000-0000DA380000}"/>
    <cellStyle name="Normal 12 3 3 2 3 2 2" xfId="13709" xr:uid="{00000000-0005-0000-0000-0000DB380000}"/>
    <cellStyle name="Normal 12 3 3 2 3 2 2 2" xfId="26767" xr:uid="{00000000-0005-0000-0000-0000DC380000}"/>
    <cellStyle name="Normal 12 3 3 2 3 2 3" xfId="13710" xr:uid="{00000000-0005-0000-0000-0000DD380000}"/>
    <cellStyle name="Normal 12 3 3 2 3 2 3 2" xfId="26768" xr:uid="{00000000-0005-0000-0000-0000DE380000}"/>
    <cellStyle name="Normal 12 3 3 2 3 2 4" xfId="24498" xr:uid="{00000000-0005-0000-0000-0000DF380000}"/>
    <cellStyle name="Normal 12 3 3 2 3 3" xfId="13711" xr:uid="{00000000-0005-0000-0000-0000E0380000}"/>
    <cellStyle name="Normal 12 3 3 2 3 3 2" xfId="26769" xr:uid="{00000000-0005-0000-0000-0000E1380000}"/>
    <cellStyle name="Normal 12 3 3 2 3 4" xfId="13712" xr:uid="{00000000-0005-0000-0000-0000E2380000}"/>
    <cellStyle name="Normal 12 3 3 2 3 4 2" xfId="26770" xr:uid="{00000000-0005-0000-0000-0000E3380000}"/>
    <cellStyle name="Normal 12 3 3 2 3 5" xfId="22342" xr:uid="{00000000-0005-0000-0000-0000E4380000}"/>
    <cellStyle name="Normal 12 3 3 2 4" xfId="10050" xr:uid="{00000000-0005-0000-0000-0000E5380000}"/>
    <cellStyle name="Normal 12 3 3 2 4 2" xfId="13713" xr:uid="{00000000-0005-0000-0000-0000E6380000}"/>
    <cellStyle name="Normal 12 3 3 2 4 2 2" xfId="26771" xr:uid="{00000000-0005-0000-0000-0000E7380000}"/>
    <cellStyle name="Normal 12 3 3 2 4 3" xfId="13714" xr:uid="{00000000-0005-0000-0000-0000E8380000}"/>
    <cellStyle name="Normal 12 3 3 2 4 3 2" xfId="26772" xr:uid="{00000000-0005-0000-0000-0000E9380000}"/>
    <cellStyle name="Normal 12 3 3 2 4 4" xfId="23420" xr:uid="{00000000-0005-0000-0000-0000EA380000}"/>
    <cellStyle name="Normal 12 3 3 2 5" xfId="13715" xr:uid="{00000000-0005-0000-0000-0000EB380000}"/>
    <cellStyle name="Normal 12 3 3 2 5 2" xfId="26773" xr:uid="{00000000-0005-0000-0000-0000EC380000}"/>
    <cellStyle name="Normal 12 3 3 2 6" xfId="13716" xr:uid="{00000000-0005-0000-0000-0000ED380000}"/>
    <cellStyle name="Normal 12 3 3 2 6 2" xfId="26774" xr:uid="{00000000-0005-0000-0000-0000EE380000}"/>
    <cellStyle name="Normal 12 3 3 2 7" xfId="21264" xr:uid="{00000000-0005-0000-0000-0000EF380000}"/>
    <cellStyle name="Normal 12 3 3 3" xfId="7141" xr:uid="{00000000-0005-0000-0000-0000F0380000}"/>
    <cellStyle name="Normal 12 3 3 3 2" xfId="9020" xr:uid="{00000000-0005-0000-0000-0000F1380000}"/>
    <cellStyle name="Normal 12 3 3 3 2 2" xfId="11399" xr:uid="{00000000-0005-0000-0000-0000F2380000}"/>
    <cellStyle name="Normal 12 3 3 3 2 2 2" xfId="13717" xr:uid="{00000000-0005-0000-0000-0000F3380000}"/>
    <cellStyle name="Normal 12 3 3 3 2 2 2 2" xfId="26775" xr:uid="{00000000-0005-0000-0000-0000F4380000}"/>
    <cellStyle name="Normal 12 3 3 3 2 2 3" xfId="13718" xr:uid="{00000000-0005-0000-0000-0000F5380000}"/>
    <cellStyle name="Normal 12 3 3 3 2 2 3 2" xfId="26776" xr:uid="{00000000-0005-0000-0000-0000F6380000}"/>
    <cellStyle name="Normal 12 3 3 3 2 2 4" xfId="24769" xr:uid="{00000000-0005-0000-0000-0000F7380000}"/>
    <cellStyle name="Normal 12 3 3 3 2 3" xfId="13719" xr:uid="{00000000-0005-0000-0000-0000F8380000}"/>
    <cellStyle name="Normal 12 3 3 3 2 3 2" xfId="26777" xr:uid="{00000000-0005-0000-0000-0000F9380000}"/>
    <cellStyle name="Normal 12 3 3 3 2 4" xfId="13720" xr:uid="{00000000-0005-0000-0000-0000FA380000}"/>
    <cellStyle name="Normal 12 3 3 3 2 4 2" xfId="26778" xr:uid="{00000000-0005-0000-0000-0000FB380000}"/>
    <cellStyle name="Normal 12 3 3 3 2 5" xfId="22613" xr:uid="{00000000-0005-0000-0000-0000FC380000}"/>
    <cellStyle name="Normal 12 3 3 3 3" xfId="10321" xr:uid="{00000000-0005-0000-0000-0000FD380000}"/>
    <cellStyle name="Normal 12 3 3 3 3 2" xfId="13721" xr:uid="{00000000-0005-0000-0000-0000FE380000}"/>
    <cellStyle name="Normal 12 3 3 3 3 2 2" xfId="26779" xr:uid="{00000000-0005-0000-0000-0000FF380000}"/>
    <cellStyle name="Normal 12 3 3 3 3 3" xfId="13722" xr:uid="{00000000-0005-0000-0000-000000390000}"/>
    <cellStyle name="Normal 12 3 3 3 3 3 2" xfId="26780" xr:uid="{00000000-0005-0000-0000-000001390000}"/>
    <cellStyle name="Normal 12 3 3 3 3 4" xfId="23691" xr:uid="{00000000-0005-0000-0000-000002390000}"/>
    <cellStyle name="Normal 12 3 3 3 4" xfId="13723" xr:uid="{00000000-0005-0000-0000-000003390000}"/>
    <cellStyle name="Normal 12 3 3 3 4 2" xfId="26781" xr:uid="{00000000-0005-0000-0000-000004390000}"/>
    <cellStyle name="Normal 12 3 3 3 5" xfId="13724" xr:uid="{00000000-0005-0000-0000-000005390000}"/>
    <cellStyle name="Normal 12 3 3 3 5 2" xfId="26782" xr:uid="{00000000-0005-0000-0000-000006390000}"/>
    <cellStyle name="Normal 12 3 3 3 6" xfId="21535" xr:uid="{00000000-0005-0000-0000-000007390000}"/>
    <cellStyle name="Normal 12 3 3 4" xfId="8415" xr:uid="{00000000-0005-0000-0000-000008390000}"/>
    <cellStyle name="Normal 12 3 3 4 2" xfId="10859" xr:uid="{00000000-0005-0000-0000-000009390000}"/>
    <cellStyle name="Normal 12 3 3 4 2 2" xfId="13725" xr:uid="{00000000-0005-0000-0000-00000A390000}"/>
    <cellStyle name="Normal 12 3 3 4 2 2 2" xfId="26783" xr:uid="{00000000-0005-0000-0000-00000B390000}"/>
    <cellStyle name="Normal 12 3 3 4 2 3" xfId="13726" xr:uid="{00000000-0005-0000-0000-00000C390000}"/>
    <cellStyle name="Normal 12 3 3 4 2 3 2" xfId="26784" xr:uid="{00000000-0005-0000-0000-00000D390000}"/>
    <cellStyle name="Normal 12 3 3 4 2 4" xfId="24229" xr:uid="{00000000-0005-0000-0000-00000E390000}"/>
    <cellStyle name="Normal 12 3 3 4 3" xfId="13727" xr:uid="{00000000-0005-0000-0000-00000F390000}"/>
    <cellStyle name="Normal 12 3 3 4 3 2" xfId="26785" xr:uid="{00000000-0005-0000-0000-000010390000}"/>
    <cellStyle name="Normal 12 3 3 4 4" xfId="13728" xr:uid="{00000000-0005-0000-0000-000011390000}"/>
    <cellStyle name="Normal 12 3 3 4 4 2" xfId="26786" xr:uid="{00000000-0005-0000-0000-000012390000}"/>
    <cellStyle name="Normal 12 3 3 4 5" xfId="22073" xr:uid="{00000000-0005-0000-0000-000013390000}"/>
    <cellStyle name="Normal 12 3 3 5" xfId="9781" xr:uid="{00000000-0005-0000-0000-000014390000}"/>
    <cellStyle name="Normal 12 3 3 5 2" xfId="13729" xr:uid="{00000000-0005-0000-0000-000015390000}"/>
    <cellStyle name="Normal 12 3 3 5 2 2" xfId="26787" xr:uid="{00000000-0005-0000-0000-000016390000}"/>
    <cellStyle name="Normal 12 3 3 5 3" xfId="13730" xr:uid="{00000000-0005-0000-0000-000017390000}"/>
    <cellStyle name="Normal 12 3 3 5 3 2" xfId="26788" xr:uid="{00000000-0005-0000-0000-000018390000}"/>
    <cellStyle name="Normal 12 3 3 5 4" xfId="23151" xr:uid="{00000000-0005-0000-0000-000019390000}"/>
    <cellStyle name="Normal 12 3 3 6" xfId="13731" xr:uid="{00000000-0005-0000-0000-00001A390000}"/>
    <cellStyle name="Normal 12 3 3 6 2" xfId="26789" xr:uid="{00000000-0005-0000-0000-00001B390000}"/>
    <cellStyle name="Normal 12 3 3 7" xfId="13732" xr:uid="{00000000-0005-0000-0000-00001C390000}"/>
    <cellStyle name="Normal 12 3 3 7 2" xfId="26790" xr:uid="{00000000-0005-0000-0000-00001D390000}"/>
    <cellStyle name="Normal 12 3 3 8" xfId="20995" xr:uid="{00000000-0005-0000-0000-00001E390000}"/>
    <cellStyle name="Normal 12 3 4" xfId="6573" xr:uid="{00000000-0005-0000-0000-00001F390000}"/>
    <cellStyle name="Normal 12 3 4 2" xfId="7271" xr:uid="{00000000-0005-0000-0000-000020390000}"/>
    <cellStyle name="Normal 12 3 4 2 2" xfId="9150" xr:uid="{00000000-0005-0000-0000-000021390000}"/>
    <cellStyle name="Normal 12 3 4 2 2 2" xfId="11529" xr:uid="{00000000-0005-0000-0000-000022390000}"/>
    <cellStyle name="Normal 12 3 4 2 2 2 2" xfId="13733" xr:uid="{00000000-0005-0000-0000-000023390000}"/>
    <cellStyle name="Normal 12 3 4 2 2 2 2 2" xfId="26791" xr:uid="{00000000-0005-0000-0000-000024390000}"/>
    <cellStyle name="Normal 12 3 4 2 2 2 3" xfId="13734" xr:uid="{00000000-0005-0000-0000-000025390000}"/>
    <cellStyle name="Normal 12 3 4 2 2 2 3 2" xfId="26792" xr:uid="{00000000-0005-0000-0000-000026390000}"/>
    <cellStyle name="Normal 12 3 4 2 2 2 4" xfId="24899" xr:uid="{00000000-0005-0000-0000-000027390000}"/>
    <cellStyle name="Normal 12 3 4 2 2 3" xfId="13735" xr:uid="{00000000-0005-0000-0000-000028390000}"/>
    <cellStyle name="Normal 12 3 4 2 2 3 2" xfId="26793" xr:uid="{00000000-0005-0000-0000-000029390000}"/>
    <cellStyle name="Normal 12 3 4 2 2 4" xfId="13736" xr:uid="{00000000-0005-0000-0000-00002A390000}"/>
    <cellStyle name="Normal 12 3 4 2 2 4 2" xfId="26794" xr:uid="{00000000-0005-0000-0000-00002B390000}"/>
    <cellStyle name="Normal 12 3 4 2 2 5" xfId="22743" xr:uid="{00000000-0005-0000-0000-00002C390000}"/>
    <cellStyle name="Normal 12 3 4 2 3" xfId="10451" xr:uid="{00000000-0005-0000-0000-00002D390000}"/>
    <cellStyle name="Normal 12 3 4 2 3 2" xfId="13737" xr:uid="{00000000-0005-0000-0000-00002E390000}"/>
    <cellStyle name="Normal 12 3 4 2 3 2 2" xfId="26795" xr:uid="{00000000-0005-0000-0000-00002F390000}"/>
    <cellStyle name="Normal 12 3 4 2 3 3" xfId="13738" xr:uid="{00000000-0005-0000-0000-000030390000}"/>
    <cellStyle name="Normal 12 3 4 2 3 3 2" xfId="26796" xr:uid="{00000000-0005-0000-0000-000031390000}"/>
    <cellStyle name="Normal 12 3 4 2 3 4" xfId="23821" xr:uid="{00000000-0005-0000-0000-000032390000}"/>
    <cellStyle name="Normal 12 3 4 2 4" xfId="13739" xr:uid="{00000000-0005-0000-0000-000033390000}"/>
    <cellStyle name="Normal 12 3 4 2 4 2" xfId="26797" xr:uid="{00000000-0005-0000-0000-000034390000}"/>
    <cellStyle name="Normal 12 3 4 2 5" xfId="13740" xr:uid="{00000000-0005-0000-0000-000035390000}"/>
    <cellStyle name="Normal 12 3 4 2 5 2" xfId="26798" xr:uid="{00000000-0005-0000-0000-000036390000}"/>
    <cellStyle name="Normal 12 3 4 2 6" xfId="21665" xr:uid="{00000000-0005-0000-0000-000037390000}"/>
    <cellStyle name="Normal 12 3 4 3" xfId="8603" xr:uid="{00000000-0005-0000-0000-000038390000}"/>
    <cellStyle name="Normal 12 3 4 3 2" xfId="10989" xr:uid="{00000000-0005-0000-0000-000039390000}"/>
    <cellStyle name="Normal 12 3 4 3 2 2" xfId="13741" xr:uid="{00000000-0005-0000-0000-00003A390000}"/>
    <cellStyle name="Normal 12 3 4 3 2 2 2" xfId="26799" xr:uid="{00000000-0005-0000-0000-00003B390000}"/>
    <cellStyle name="Normal 12 3 4 3 2 3" xfId="13742" xr:uid="{00000000-0005-0000-0000-00003C390000}"/>
    <cellStyle name="Normal 12 3 4 3 2 3 2" xfId="26800" xr:uid="{00000000-0005-0000-0000-00003D390000}"/>
    <cellStyle name="Normal 12 3 4 3 2 4" xfId="24359" xr:uid="{00000000-0005-0000-0000-00003E390000}"/>
    <cellStyle name="Normal 12 3 4 3 3" xfId="13743" xr:uid="{00000000-0005-0000-0000-00003F390000}"/>
    <cellStyle name="Normal 12 3 4 3 3 2" xfId="26801" xr:uid="{00000000-0005-0000-0000-000040390000}"/>
    <cellStyle name="Normal 12 3 4 3 4" xfId="13744" xr:uid="{00000000-0005-0000-0000-000041390000}"/>
    <cellStyle name="Normal 12 3 4 3 4 2" xfId="26802" xr:uid="{00000000-0005-0000-0000-000042390000}"/>
    <cellStyle name="Normal 12 3 4 3 5" xfId="22203" xr:uid="{00000000-0005-0000-0000-000043390000}"/>
    <cellStyle name="Normal 12 3 4 4" xfId="9911" xr:uid="{00000000-0005-0000-0000-000044390000}"/>
    <cellStyle name="Normal 12 3 4 4 2" xfId="13745" xr:uid="{00000000-0005-0000-0000-000045390000}"/>
    <cellStyle name="Normal 12 3 4 4 2 2" xfId="26803" xr:uid="{00000000-0005-0000-0000-000046390000}"/>
    <cellStyle name="Normal 12 3 4 4 3" xfId="13746" xr:uid="{00000000-0005-0000-0000-000047390000}"/>
    <cellStyle name="Normal 12 3 4 4 3 2" xfId="26804" xr:uid="{00000000-0005-0000-0000-000048390000}"/>
    <cellStyle name="Normal 12 3 4 4 4" xfId="23281" xr:uid="{00000000-0005-0000-0000-000049390000}"/>
    <cellStyle name="Normal 12 3 4 5" xfId="13747" xr:uid="{00000000-0005-0000-0000-00004A390000}"/>
    <cellStyle name="Normal 12 3 4 5 2" xfId="26805" xr:uid="{00000000-0005-0000-0000-00004B390000}"/>
    <cellStyle name="Normal 12 3 4 6" xfId="13748" xr:uid="{00000000-0005-0000-0000-00004C390000}"/>
    <cellStyle name="Normal 12 3 4 6 2" xfId="26806" xr:uid="{00000000-0005-0000-0000-00004D390000}"/>
    <cellStyle name="Normal 12 3 4 7" xfId="21125" xr:uid="{00000000-0005-0000-0000-00004E390000}"/>
    <cellStyle name="Normal 12 3 5" xfId="7001" xr:uid="{00000000-0005-0000-0000-00004F390000}"/>
    <cellStyle name="Normal 12 3 5 2" xfId="8881" xr:uid="{00000000-0005-0000-0000-000050390000}"/>
    <cellStyle name="Normal 12 3 5 2 2" xfId="11260" xr:uid="{00000000-0005-0000-0000-000051390000}"/>
    <cellStyle name="Normal 12 3 5 2 2 2" xfId="13749" xr:uid="{00000000-0005-0000-0000-000052390000}"/>
    <cellStyle name="Normal 12 3 5 2 2 2 2" xfId="26807" xr:uid="{00000000-0005-0000-0000-000053390000}"/>
    <cellStyle name="Normal 12 3 5 2 2 3" xfId="13750" xr:uid="{00000000-0005-0000-0000-000054390000}"/>
    <cellStyle name="Normal 12 3 5 2 2 3 2" xfId="26808" xr:uid="{00000000-0005-0000-0000-000055390000}"/>
    <cellStyle name="Normal 12 3 5 2 2 4" xfId="24630" xr:uid="{00000000-0005-0000-0000-000056390000}"/>
    <cellStyle name="Normal 12 3 5 2 3" xfId="13751" xr:uid="{00000000-0005-0000-0000-000057390000}"/>
    <cellStyle name="Normal 12 3 5 2 3 2" xfId="26809" xr:uid="{00000000-0005-0000-0000-000058390000}"/>
    <cellStyle name="Normal 12 3 5 2 4" xfId="13752" xr:uid="{00000000-0005-0000-0000-000059390000}"/>
    <cellStyle name="Normal 12 3 5 2 4 2" xfId="26810" xr:uid="{00000000-0005-0000-0000-00005A390000}"/>
    <cellStyle name="Normal 12 3 5 2 5" xfId="22474" xr:uid="{00000000-0005-0000-0000-00005B390000}"/>
    <cellStyle name="Normal 12 3 5 3" xfId="10182" xr:uid="{00000000-0005-0000-0000-00005C390000}"/>
    <cellStyle name="Normal 12 3 5 3 2" xfId="13753" xr:uid="{00000000-0005-0000-0000-00005D390000}"/>
    <cellStyle name="Normal 12 3 5 3 2 2" xfId="26811" xr:uid="{00000000-0005-0000-0000-00005E390000}"/>
    <cellStyle name="Normal 12 3 5 3 3" xfId="13754" xr:uid="{00000000-0005-0000-0000-00005F390000}"/>
    <cellStyle name="Normal 12 3 5 3 3 2" xfId="26812" xr:uid="{00000000-0005-0000-0000-000060390000}"/>
    <cellStyle name="Normal 12 3 5 3 4" xfId="23552" xr:uid="{00000000-0005-0000-0000-000061390000}"/>
    <cellStyle name="Normal 12 3 5 4" xfId="13755" xr:uid="{00000000-0005-0000-0000-000062390000}"/>
    <cellStyle name="Normal 12 3 5 4 2" xfId="26813" xr:uid="{00000000-0005-0000-0000-000063390000}"/>
    <cellStyle name="Normal 12 3 5 5" xfId="13756" xr:uid="{00000000-0005-0000-0000-000064390000}"/>
    <cellStyle name="Normal 12 3 5 5 2" xfId="26814" xr:uid="{00000000-0005-0000-0000-000065390000}"/>
    <cellStyle name="Normal 12 3 5 6" xfId="21396" xr:uid="{00000000-0005-0000-0000-000066390000}"/>
    <cellStyle name="Normal 12 3 6" xfId="8190" xr:uid="{00000000-0005-0000-0000-000067390000}"/>
    <cellStyle name="Normal 12 3 6 2" xfId="10720" xr:uid="{00000000-0005-0000-0000-000068390000}"/>
    <cellStyle name="Normal 12 3 6 2 2" xfId="13757" xr:uid="{00000000-0005-0000-0000-000069390000}"/>
    <cellStyle name="Normal 12 3 6 2 2 2" xfId="26815" xr:uid="{00000000-0005-0000-0000-00006A390000}"/>
    <cellStyle name="Normal 12 3 6 2 3" xfId="13758" xr:uid="{00000000-0005-0000-0000-00006B390000}"/>
    <cellStyle name="Normal 12 3 6 2 3 2" xfId="26816" xr:uid="{00000000-0005-0000-0000-00006C390000}"/>
    <cellStyle name="Normal 12 3 6 2 4" xfId="24090" xr:uid="{00000000-0005-0000-0000-00006D390000}"/>
    <cellStyle name="Normal 12 3 6 3" xfId="13759" xr:uid="{00000000-0005-0000-0000-00006E390000}"/>
    <cellStyle name="Normal 12 3 6 3 2" xfId="26817" xr:uid="{00000000-0005-0000-0000-00006F390000}"/>
    <cellStyle name="Normal 12 3 6 4" xfId="13760" xr:uid="{00000000-0005-0000-0000-000070390000}"/>
    <cellStyle name="Normal 12 3 6 4 2" xfId="26818" xr:uid="{00000000-0005-0000-0000-000071390000}"/>
    <cellStyle name="Normal 12 3 6 5" xfId="21934" xr:uid="{00000000-0005-0000-0000-000072390000}"/>
    <cellStyle name="Normal 12 3 7" xfId="9641" xr:uid="{00000000-0005-0000-0000-000073390000}"/>
    <cellStyle name="Normal 12 3 7 2" xfId="13761" xr:uid="{00000000-0005-0000-0000-000074390000}"/>
    <cellStyle name="Normal 12 3 7 2 2" xfId="26819" xr:uid="{00000000-0005-0000-0000-000075390000}"/>
    <cellStyle name="Normal 12 3 7 3" xfId="13762" xr:uid="{00000000-0005-0000-0000-000076390000}"/>
    <cellStyle name="Normal 12 3 7 3 2" xfId="26820" xr:uid="{00000000-0005-0000-0000-000077390000}"/>
    <cellStyle name="Normal 12 3 7 4" xfId="23012" xr:uid="{00000000-0005-0000-0000-000078390000}"/>
    <cellStyle name="Normal 12 3 8" xfId="13763" xr:uid="{00000000-0005-0000-0000-000079390000}"/>
    <cellStyle name="Normal 12 3 8 2" xfId="26821" xr:uid="{00000000-0005-0000-0000-00007A390000}"/>
    <cellStyle name="Normal 12 3 9" xfId="13764" xr:uid="{00000000-0005-0000-0000-00007B390000}"/>
    <cellStyle name="Normal 12 3 9 2" xfId="26822" xr:uid="{00000000-0005-0000-0000-00007C390000}"/>
    <cellStyle name="Normal 12 4" xfId="4062" xr:uid="{00000000-0005-0000-0000-00007D390000}"/>
    <cellStyle name="Normal 12 4 2" xfId="5598" xr:uid="{00000000-0005-0000-0000-00007E390000}"/>
    <cellStyle name="Normal 12 4 2 2" xfId="6750" xr:uid="{00000000-0005-0000-0000-00007F390000}"/>
    <cellStyle name="Normal 12 4 2 2 2" xfId="7437" xr:uid="{00000000-0005-0000-0000-000080390000}"/>
    <cellStyle name="Normal 12 4 2 2 2 2" xfId="9316" xr:uid="{00000000-0005-0000-0000-000081390000}"/>
    <cellStyle name="Normal 12 4 2 2 2 2 2" xfId="11695" xr:uid="{00000000-0005-0000-0000-000082390000}"/>
    <cellStyle name="Normal 12 4 2 2 2 2 2 2" xfId="13765" xr:uid="{00000000-0005-0000-0000-000083390000}"/>
    <cellStyle name="Normal 12 4 2 2 2 2 2 2 2" xfId="26823" xr:uid="{00000000-0005-0000-0000-000084390000}"/>
    <cellStyle name="Normal 12 4 2 2 2 2 2 3" xfId="13766" xr:uid="{00000000-0005-0000-0000-000085390000}"/>
    <cellStyle name="Normal 12 4 2 2 2 2 2 3 2" xfId="26824" xr:uid="{00000000-0005-0000-0000-000086390000}"/>
    <cellStyle name="Normal 12 4 2 2 2 2 2 4" xfId="25065" xr:uid="{00000000-0005-0000-0000-000087390000}"/>
    <cellStyle name="Normal 12 4 2 2 2 2 3" xfId="13767" xr:uid="{00000000-0005-0000-0000-000088390000}"/>
    <cellStyle name="Normal 12 4 2 2 2 2 3 2" xfId="26825" xr:uid="{00000000-0005-0000-0000-000089390000}"/>
    <cellStyle name="Normal 12 4 2 2 2 2 4" xfId="13768" xr:uid="{00000000-0005-0000-0000-00008A390000}"/>
    <cellStyle name="Normal 12 4 2 2 2 2 4 2" xfId="26826" xr:uid="{00000000-0005-0000-0000-00008B390000}"/>
    <cellStyle name="Normal 12 4 2 2 2 2 5" xfId="22909" xr:uid="{00000000-0005-0000-0000-00008C390000}"/>
    <cellStyle name="Normal 12 4 2 2 2 3" xfId="10617" xr:uid="{00000000-0005-0000-0000-00008D390000}"/>
    <cellStyle name="Normal 12 4 2 2 2 3 2" xfId="13769" xr:uid="{00000000-0005-0000-0000-00008E390000}"/>
    <cellStyle name="Normal 12 4 2 2 2 3 2 2" xfId="26827" xr:uid="{00000000-0005-0000-0000-00008F390000}"/>
    <cellStyle name="Normal 12 4 2 2 2 3 3" xfId="13770" xr:uid="{00000000-0005-0000-0000-000090390000}"/>
    <cellStyle name="Normal 12 4 2 2 2 3 3 2" xfId="26828" xr:uid="{00000000-0005-0000-0000-000091390000}"/>
    <cellStyle name="Normal 12 4 2 2 2 3 4" xfId="23987" xr:uid="{00000000-0005-0000-0000-000092390000}"/>
    <cellStyle name="Normal 12 4 2 2 2 4" xfId="13771" xr:uid="{00000000-0005-0000-0000-000093390000}"/>
    <cellStyle name="Normal 12 4 2 2 2 4 2" xfId="26829" xr:uid="{00000000-0005-0000-0000-000094390000}"/>
    <cellStyle name="Normal 12 4 2 2 2 5" xfId="13772" xr:uid="{00000000-0005-0000-0000-000095390000}"/>
    <cellStyle name="Normal 12 4 2 2 2 5 2" xfId="26830" xr:uid="{00000000-0005-0000-0000-000096390000}"/>
    <cellStyle name="Normal 12 4 2 2 2 6" xfId="21831" xr:uid="{00000000-0005-0000-0000-000097390000}"/>
    <cellStyle name="Normal 12 4 2 2 3" xfId="8770" xr:uid="{00000000-0005-0000-0000-000098390000}"/>
    <cellStyle name="Normal 12 4 2 2 3 2" xfId="11155" xr:uid="{00000000-0005-0000-0000-000099390000}"/>
    <cellStyle name="Normal 12 4 2 2 3 2 2" xfId="13773" xr:uid="{00000000-0005-0000-0000-00009A390000}"/>
    <cellStyle name="Normal 12 4 2 2 3 2 2 2" xfId="26831" xr:uid="{00000000-0005-0000-0000-00009B390000}"/>
    <cellStyle name="Normal 12 4 2 2 3 2 3" xfId="13774" xr:uid="{00000000-0005-0000-0000-00009C390000}"/>
    <cellStyle name="Normal 12 4 2 2 3 2 3 2" xfId="26832" xr:uid="{00000000-0005-0000-0000-00009D390000}"/>
    <cellStyle name="Normal 12 4 2 2 3 2 4" xfId="24525" xr:uid="{00000000-0005-0000-0000-00009E390000}"/>
    <cellStyle name="Normal 12 4 2 2 3 3" xfId="13775" xr:uid="{00000000-0005-0000-0000-00009F390000}"/>
    <cellStyle name="Normal 12 4 2 2 3 3 2" xfId="26833" xr:uid="{00000000-0005-0000-0000-0000A0390000}"/>
    <cellStyle name="Normal 12 4 2 2 3 4" xfId="13776" xr:uid="{00000000-0005-0000-0000-0000A1390000}"/>
    <cellStyle name="Normal 12 4 2 2 3 4 2" xfId="26834" xr:uid="{00000000-0005-0000-0000-0000A2390000}"/>
    <cellStyle name="Normal 12 4 2 2 3 5" xfId="22369" xr:uid="{00000000-0005-0000-0000-0000A3390000}"/>
    <cellStyle name="Normal 12 4 2 2 4" xfId="10077" xr:uid="{00000000-0005-0000-0000-0000A4390000}"/>
    <cellStyle name="Normal 12 4 2 2 4 2" xfId="13777" xr:uid="{00000000-0005-0000-0000-0000A5390000}"/>
    <cellStyle name="Normal 12 4 2 2 4 2 2" xfId="26835" xr:uid="{00000000-0005-0000-0000-0000A6390000}"/>
    <cellStyle name="Normal 12 4 2 2 4 3" xfId="13778" xr:uid="{00000000-0005-0000-0000-0000A7390000}"/>
    <cellStyle name="Normal 12 4 2 2 4 3 2" xfId="26836" xr:uid="{00000000-0005-0000-0000-0000A8390000}"/>
    <cellStyle name="Normal 12 4 2 2 4 4" xfId="23447" xr:uid="{00000000-0005-0000-0000-0000A9390000}"/>
    <cellStyle name="Normal 12 4 2 2 5" xfId="13779" xr:uid="{00000000-0005-0000-0000-0000AA390000}"/>
    <cellStyle name="Normal 12 4 2 2 5 2" xfId="26837" xr:uid="{00000000-0005-0000-0000-0000AB390000}"/>
    <cellStyle name="Normal 12 4 2 2 6" xfId="13780" xr:uid="{00000000-0005-0000-0000-0000AC390000}"/>
    <cellStyle name="Normal 12 4 2 2 6 2" xfId="26838" xr:uid="{00000000-0005-0000-0000-0000AD390000}"/>
    <cellStyle name="Normal 12 4 2 2 7" xfId="21291" xr:uid="{00000000-0005-0000-0000-0000AE390000}"/>
    <cellStyle name="Normal 12 4 2 3" xfId="7168" xr:uid="{00000000-0005-0000-0000-0000AF390000}"/>
    <cellStyle name="Normal 12 4 2 3 2" xfId="9047" xr:uid="{00000000-0005-0000-0000-0000B0390000}"/>
    <cellStyle name="Normal 12 4 2 3 2 2" xfId="11426" xr:uid="{00000000-0005-0000-0000-0000B1390000}"/>
    <cellStyle name="Normal 12 4 2 3 2 2 2" xfId="13781" xr:uid="{00000000-0005-0000-0000-0000B2390000}"/>
    <cellStyle name="Normal 12 4 2 3 2 2 2 2" xfId="26839" xr:uid="{00000000-0005-0000-0000-0000B3390000}"/>
    <cellStyle name="Normal 12 4 2 3 2 2 3" xfId="13782" xr:uid="{00000000-0005-0000-0000-0000B4390000}"/>
    <cellStyle name="Normal 12 4 2 3 2 2 3 2" xfId="26840" xr:uid="{00000000-0005-0000-0000-0000B5390000}"/>
    <cellStyle name="Normal 12 4 2 3 2 2 4" xfId="24796" xr:uid="{00000000-0005-0000-0000-0000B6390000}"/>
    <cellStyle name="Normal 12 4 2 3 2 3" xfId="13783" xr:uid="{00000000-0005-0000-0000-0000B7390000}"/>
    <cellStyle name="Normal 12 4 2 3 2 3 2" xfId="26841" xr:uid="{00000000-0005-0000-0000-0000B8390000}"/>
    <cellStyle name="Normal 12 4 2 3 2 4" xfId="13784" xr:uid="{00000000-0005-0000-0000-0000B9390000}"/>
    <cellStyle name="Normal 12 4 2 3 2 4 2" xfId="26842" xr:uid="{00000000-0005-0000-0000-0000BA390000}"/>
    <cellStyle name="Normal 12 4 2 3 2 5" xfId="22640" xr:uid="{00000000-0005-0000-0000-0000BB390000}"/>
    <cellStyle name="Normal 12 4 2 3 3" xfId="10348" xr:uid="{00000000-0005-0000-0000-0000BC390000}"/>
    <cellStyle name="Normal 12 4 2 3 3 2" xfId="13785" xr:uid="{00000000-0005-0000-0000-0000BD390000}"/>
    <cellStyle name="Normal 12 4 2 3 3 2 2" xfId="26843" xr:uid="{00000000-0005-0000-0000-0000BE390000}"/>
    <cellStyle name="Normal 12 4 2 3 3 3" xfId="13786" xr:uid="{00000000-0005-0000-0000-0000BF390000}"/>
    <cellStyle name="Normal 12 4 2 3 3 3 2" xfId="26844" xr:uid="{00000000-0005-0000-0000-0000C0390000}"/>
    <cellStyle name="Normal 12 4 2 3 3 4" xfId="23718" xr:uid="{00000000-0005-0000-0000-0000C1390000}"/>
    <cellStyle name="Normal 12 4 2 3 4" xfId="13787" xr:uid="{00000000-0005-0000-0000-0000C2390000}"/>
    <cellStyle name="Normal 12 4 2 3 4 2" xfId="26845" xr:uid="{00000000-0005-0000-0000-0000C3390000}"/>
    <cellStyle name="Normal 12 4 2 3 5" xfId="13788" xr:uid="{00000000-0005-0000-0000-0000C4390000}"/>
    <cellStyle name="Normal 12 4 2 3 5 2" xfId="26846" xr:uid="{00000000-0005-0000-0000-0000C5390000}"/>
    <cellStyle name="Normal 12 4 2 3 6" xfId="21562" xr:uid="{00000000-0005-0000-0000-0000C6390000}"/>
    <cellStyle name="Normal 12 4 2 4" xfId="8445" xr:uid="{00000000-0005-0000-0000-0000C7390000}"/>
    <cellStyle name="Normal 12 4 2 4 2" xfId="10886" xr:uid="{00000000-0005-0000-0000-0000C8390000}"/>
    <cellStyle name="Normal 12 4 2 4 2 2" xfId="13789" xr:uid="{00000000-0005-0000-0000-0000C9390000}"/>
    <cellStyle name="Normal 12 4 2 4 2 2 2" xfId="26847" xr:uid="{00000000-0005-0000-0000-0000CA390000}"/>
    <cellStyle name="Normal 12 4 2 4 2 3" xfId="13790" xr:uid="{00000000-0005-0000-0000-0000CB390000}"/>
    <cellStyle name="Normal 12 4 2 4 2 3 2" xfId="26848" xr:uid="{00000000-0005-0000-0000-0000CC390000}"/>
    <cellStyle name="Normal 12 4 2 4 2 4" xfId="24256" xr:uid="{00000000-0005-0000-0000-0000CD390000}"/>
    <cellStyle name="Normal 12 4 2 4 3" xfId="13791" xr:uid="{00000000-0005-0000-0000-0000CE390000}"/>
    <cellStyle name="Normal 12 4 2 4 3 2" xfId="26849" xr:uid="{00000000-0005-0000-0000-0000CF390000}"/>
    <cellStyle name="Normal 12 4 2 4 4" xfId="13792" xr:uid="{00000000-0005-0000-0000-0000D0390000}"/>
    <cellStyle name="Normal 12 4 2 4 4 2" xfId="26850" xr:uid="{00000000-0005-0000-0000-0000D1390000}"/>
    <cellStyle name="Normal 12 4 2 4 5" xfId="22100" xr:uid="{00000000-0005-0000-0000-0000D2390000}"/>
    <cellStyle name="Normal 12 4 2 5" xfId="9808" xr:uid="{00000000-0005-0000-0000-0000D3390000}"/>
    <cellStyle name="Normal 12 4 2 5 2" xfId="13793" xr:uid="{00000000-0005-0000-0000-0000D4390000}"/>
    <cellStyle name="Normal 12 4 2 5 2 2" xfId="26851" xr:uid="{00000000-0005-0000-0000-0000D5390000}"/>
    <cellStyle name="Normal 12 4 2 5 3" xfId="13794" xr:uid="{00000000-0005-0000-0000-0000D6390000}"/>
    <cellStyle name="Normal 12 4 2 5 3 2" xfId="26852" xr:uid="{00000000-0005-0000-0000-0000D7390000}"/>
    <cellStyle name="Normal 12 4 2 5 4" xfId="23178" xr:uid="{00000000-0005-0000-0000-0000D8390000}"/>
    <cellStyle name="Normal 12 4 2 6" xfId="13795" xr:uid="{00000000-0005-0000-0000-0000D9390000}"/>
    <cellStyle name="Normal 12 4 2 6 2" xfId="26853" xr:uid="{00000000-0005-0000-0000-0000DA390000}"/>
    <cellStyle name="Normal 12 4 2 7" xfId="13796" xr:uid="{00000000-0005-0000-0000-0000DB390000}"/>
    <cellStyle name="Normal 12 4 2 7 2" xfId="26854" xr:uid="{00000000-0005-0000-0000-0000DC390000}"/>
    <cellStyle name="Normal 12 4 2 8" xfId="21022" xr:uid="{00000000-0005-0000-0000-0000DD390000}"/>
    <cellStyle name="Normal 12 4 3" xfId="6599" xr:uid="{00000000-0005-0000-0000-0000DE390000}"/>
    <cellStyle name="Normal 12 4 3 2" xfId="7295" xr:uid="{00000000-0005-0000-0000-0000DF390000}"/>
    <cellStyle name="Normal 12 4 3 2 2" xfId="9174" xr:uid="{00000000-0005-0000-0000-0000E0390000}"/>
    <cellStyle name="Normal 12 4 3 2 2 2" xfId="11553" xr:uid="{00000000-0005-0000-0000-0000E1390000}"/>
    <cellStyle name="Normal 12 4 3 2 2 2 2" xfId="13797" xr:uid="{00000000-0005-0000-0000-0000E2390000}"/>
    <cellStyle name="Normal 12 4 3 2 2 2 2 2" xfId="26855" xr:uid="{00000000-0005-0000-0000-0000E3390000}"/>
    <cellStyle name="Normal 12 4 3 2 2 2 3" xfId="13798" xr:uid="{00000000-0005-0000-0000-0000E4390000}"/>
    <cellStyle name="Normal 12 4 3 2 2 2 3 2" xfId="26856" xr:uid="{00000000-0005-0000-0000-0000E5390000}"/>
    <cellStyle name="Normal 12 4 3 2 2 2 4" xfId="24923" xr:uid="{00000000-0005-0000-0000-0000E6390000}"/>
    <cellStyle name="Normal 12 4 3 2 2 3" xfId="13799" xr:uid="{00000000-0005-0000-0000-0000E7390000}"/>
    <cellStyle name="Normal 12 4 3 2 2 3 2" xfId="26857" xr:uid="{00000000-0005-0000-0000-0000E8390000}"/>
    <cellStyle name="Normal 12 4 3 2 2 4" xfId="13800" xr:uid="{00000000-0005-0000-0000-0000E9390000}"/>
    <cellStyle name="Normal 12 4 3 2 2 4 2" xfId="26858" xr:uid="{00000000-0005-0000-0000-0000EA390000}"/>
    <cellStyle name="Normal 12 4 3 2 2 5" xfId="22767" xr:uid="{00000000-0005-0000-0000-0000EB390000}"/>
    <cellStyle name="Normal 12 4 3 2 3" xfId="10475" xr:uid="{00000000-0005-0000-0000-0000EC390000}"/>
    <cellStyle name="Normal 12 4 3 2 3 2" xfId="13801" xr:uid="{00000000-0005-0000-0000-0000ED390000}"/>
    <cellStyle name="Normal 12 4 3 2 3 2 2" xfId="26859" xr:uid="{00000000-0005-0000-0000-0000EE390000}"/>
    <cellStyle name="Normal 12 4 3 2 3 3" xfId="13802" xr:uid="{00000000-0005-0000-0000-0000EF390000}"/>
    <cellStyle name="Normal 12 4 3 2 3 3 2" xfId="26860" xr:uid="{00000000-0005-0000-0000-0000F0390000}"/>
    <cellStyle name="Normal 12 4 3 2 3 4" xfId="23845" xr:uid="{00000000-0005-0000-0000-0000F1390000}"/>
    <cellStyle name="Normal 12 4 3 2 4" xfId="13803" xr:uid="{00000000-0005-0000-0000-0000F2390000}"/>
    <cellStyle name="Normal 12 4 3 2 4 2" xfId="26861" xr:uid="{00000000-0005-0000-0000-0000F3390000}"/>
    <cellStyle name="Normal 12 4 3 2 5" xfId="13804" xr:uid="{00000000-0005-0000-0000-0000F4390000}"/>
    <cellStyle name="Normal 12 4 3 2 5 2" xfId="26862" xr:uid="{00000000-0005-0000-0000-0000F5390000}"/>
    <cellStyle name="Normal 12 4 3 2 6" xfId="21689" xr:uid="{00000000-0005-0000-0000-0000F6390000}"/>
    <cellStyle name="Normal 12 4 3 3" xfId="8627" xr:uid="{00000000-0005-0000-0000-0000F7390000}"/>
    <cellStyle name="Normal 12 4 3 3 2" xfId="11013" xr:uid="{00000000-0005-0000-0000-0000F8390000}"/>
    <cellStyle name="Normal 12 4 3 3 2 2" xfId="13805" xr:uid="{00000000-0005-0000-0000-0000F9390000}"/>
    <cellStyle name="Normal 12 4 3 3 2 2 2" xfId="26863" xr:uid="{00000000-0005-0000-0000-0000FA390000}"/>
    <cellStyle name="Normal 12 4 3 3 2 3" xfId="13806" xr:uid="{00000000-0005-0000-0000-0000FB390000}"/>
    <cellStyle name="Normal 12 4 3 3 2 3 2" xfId="26864" xr:uid="{00000000-0005-0000-0000-0000FC390000}"/>
    <cellStyle name="Normal 12 4 3 3 2 4" xfId="24383" xr:uid="{00000000-0005-0000-0000-0000FD390000}"/>
    <cellStyle name="Normal 12 4 3 3 3" xfId="13807" xr:uid="{00000000-0005-0000-0000-0000FE390000}"/>
    <cellStyle name="Normal 12 4 3 3 3 2" xfId="26865" xr:uid="{00000000-0005-0000-0000-0000FF390000}"/>
    <cellStyle name="Normal 12 4 3 3 4" xfId="13808" xr:uid="{00000000-0005-0000-0000-0000003A0000}"/>
    <cellStyle name="Normal 12 4 3 3 4 2" xfId="26866" xr:uid="{00000000-0005-0000-0000-0000013A0000}"/>
    <cellStyle name="Normal 12 4 3 3 5" xfId="22227" xr:uid="{00000000-0005-0000-0000-0000023A0000}"/>
    <cellStyle name="Normal 12 4 3 4" xfId="9935" xr:uid="{00000000-0005-0000-0000-0000033A0000}"/>
    <cellStyle name="Normal 12 4 3 4 2" xfId="13809" xr:uid="{00000000-0005-0000-0000-0000043A0000}"/>
    <cellStyle name="Normal 12 4 3 4 2 2" xfId="26867" xr:uid="{00000000-0005-0000-0000-0000053A0000}"/>
    <cellStyle name="Normal 12 4 3 4 3" xfId="13810" xr:uid="{00000000-0005-0000-0000-0000063A0000}"/>
    <cellStyle name="Normal 12 4 3 4 3 2" xfId="26868" xr:uid="{00000000-0005-0000-0000-0000073A0000}"/>
    <cellStyle name="Normal 12 4 3 4 4" xfId="23305" xr:uid="{00000000-0005-0000-0000-0000083A0000}"/>
    <cellStyle name="Normal 12 4 3 5" xfId="13811" xr:uid="{00000000-0005-0000-0000-0000093A0000}"/>
    <cellStyle name="Normal 12 4 3 5 2" xfId="26869" xr:uid="{00000000-0005-0000-0000-00000A3A0000}"/>
    <cellStyle name="Normal 12 4 3 6" xfId="13812" xr:uid="{00000000-0005-0000-0000-00000B3A0000}"/>
    <cellStyle name="Normal 12 4 3 6 2" xfId="26870" xr:uid="{00000000-0005-0000-0000-00000C3A0000}"/>
    <cellStyle name="Normal 12 4 3 7" xfId="21149" xr:uid="{00000000-0005-0000-0000-00000D3A0000}"/>
    <cellStyle name="Normal 12 4 4" xfId="7025" xr:uid="{00000000-0005-0000-0000-00000E3A0000}"/>
    <cellStyle name="Normal 12 4 4 2" xfId="8905" xr:uid="{00000000-0005-0000-0000-00000F3A0000}"/>
    <cellStyle name="Normal 12 4 4 2 2" xfId="11284" xr:uid="{00000000-0005-0000-0000-0000103A0000}"/>
    <cellStyle name="Normal 12 4 4 2 2 2" xfId="13813" xr:uid="{00000000-0005-0000-0000-0000113A0000}"/>
    <cellStyle name="Normal 12 4 4 2 2 2 2" xfId="26871" xr:uid="{00000000-0005-0000-0000-0000123A0000}"/>
    <cellStyle name="Normal 12 4 4 2 2 3" xfId="13814" xr:uid="{00000000-0005-0000-0000-0000133A0000}"/>
    <cellStyle name="Normal 12 4 4 2 2 3 2" xfId="26872" xr:uid="{00000000-0005-0000-0000-0000143A0000}"/>
    <cellStyle name="Normal 12 4 4 2 2 4" xfId="24654" xr:uid="{00000000-0005-0000-0000-0000153A0000}"/>
    <cellStyle name="Normal 12 4 4 2 3" xfId="13815" xr:uid="{00000000-0005-0000-0000-0000163A0000}"/>
    <cellStyle name="Normal 12 4 4 2 3 2" xfId="26873" xr:uid="{00000000-0005-0000-0000-0000173A0000}"/>
    <cellStyle name="Normal 12 4 4 2 4" xfId="13816" xr:uid="{00000000-0005-0000-0000-0000183A0000}"/>
    <cellStyle name="Normal 12 4 4 2 4 2" xfId="26874" xr:uid="{00000000-0005-0000-0000-0000193A0000}"/>
    <cellStyle name="Normal 12 4 4 2 5" xfId="22498" xr:uid="{00000000-0005-0000-0000-00001A3A0000}"/>
    <cellStyle name="Normal 12 4 4 3" xfId="10206" xr:uid="{00000000-0005-0000-0000-00001B3A0000}"/>
    <cellStyle name="Normal 12 4 4 3 2" xfId="13817" xr:uid="{00000000-0005-0000-0000-00001C3A0000}"/>
    <cellStyle name="Normal 12 4 4 3 2 2" xfId="26875" xr:uid="{00000000-0005-0000-0000-00001D3A0000}"/>
    <cellStyle name="Normal 12 4 4 3 3" xfId="13818" xr:uid="{00000000-0005-0000-0000-00001E3A0000}"/>
    <cellStyle name="Normal 12 4 4 3 3 2" xfId="26876" xr:uid="{00000000-0005-0000-0000-00001F3A0000}"/>
    <cellStyle name="Normal 12 4 4 3 4" xfId="23576" xr:uid="{00000000-0005-0000-0000-0000203A0000}"/>
    <cellStyle name="Normal 12 4 4 4" xfId="13819" xr:uid="{00000000-0005-0000-0000-0000213A0000}"/>
    <cellStyle name="Normal 12 4 4 4 2" xfId="26877" xr:uid="{00000000-0005-0000-0000-0000223A0000}"/>
    <cellStyle name="Normal 12 4 4 5" xfId="13820" xr:uid="{00000000-0005-0000-0000-0000233A0000}"/>
    <cellStyle name="Normal 12 4 4 5 2" xfId="26878" xr:uid="{00000000-0005-0000-0000-0000243A0000}"/>
    <cellStyle name="Normal 12 4 4 6" xfId="21420" xr:uid="{00000000-0005-0000-0000-0000253A0000}"/>
    <cellStyle name="Normal 12 4 5" xfId="8229" xr:uid="{00000000-0005-0000-0000-0000263A0000}"/>
    <cellStyle name="Normal 12 4 5 2" xfId="10744" xr:uid="{00000000-0005-0000-0000-0000273A0000}"/>
    <cellStyle name="Normal 12 4 5 2 2" xfId="13821" xr:uid="{00000000-0005-0000-0000-0000283A0000}"/>
    <cellStyle name="Normal 12 4 5 2 2 2" xfId="26879" xr:uid="{00000000-0005-0000-0000-0000293A0000}"/>
    <cellStyle name="Normal 12 4 5 2 3" xfId="13822" xr:uid="{00000000-0005-0000-0000-00002A3A0000}"/>
    <cellStyle name="Normal 12 4 5 2 3 2" xfId="26880" xr:uid="{00000000-0005-0000-0000-00002B3A0000}"/>
    <cellStyle name="Normal 12 4 5 2 4" xfId="24114" xr:uid="{00000000-0005-0000-0000-00002C3A0000}"/>
    <cellStyle name="Normal 12 4 5 3" xfId="13823" xr:uid="{00000000-0005-0000-0000-00002D3A0000}"/>
    <cellStyle name="Normal 12 4 5 3 2" xfId="26881" xr:uid="{00000000-0005-0000-0000-00002E3A0000}"/>
    <cellStyle name="Normal 12 4 5 4" xfId="13824" xr:uid="{00000000-0005-0000-0000-00002F3A0000}"/>
    <cellStyle name="Normal 12 4 5 4 2" xfId="26882" xr:uid="{00000000-0005-0000-0000-0000303A0000}"/>
    <cellStyle name="Normal 12 4 5 5" xfId="21958" xr:uid="{00000000-0005-0000-0000-0000313A0000}"/>
    <cellStyle name="Normal 12 4 6" xfId="9665" xr:uid="{00000000-0005-0000-0000-0000323A0000}"/>
    <cellStyle name="Normal 12 4 6 2" xfId="13825" xr:uid="{00000000-0005-0000-0000-0000333A0000}"/>
    <cellStyle name="Normal 12 4 6 2 2" xfId="26883" xr:uid="{00000000-0005-0000-0000-0000343A0000}"/>
    <cellStyle name="Normal 12 4 6 3" xfId="13826" xr:uid="{00000000-0005-0000-0000-0000353A0000}"/>
    <cellStyle name="Normal 12 4 6 3 2" xfId="26884" xr:uid="{00000000-0005-0000-0000-0000363A0000}"/>
    <cellStyle name="Normal 12 4 6 4" xfId="23036" xr:uid="{00000000-0005-0000-0000-0000373A0000}"/>
    <cellStyle name="Normal 12 4 7" xfId="13827" xr:uid="{00000000-0005-0000-0000-0000383A0000}"/>
    <cellStyle name="Normal 12 4 7 2" xfId="26885" xr:uid="{00000000-0005-0000-0000-0000393A0000}"/>
    <cellStyle name="Normal 12 4 8" xfId="13828" xr:uid="{00000000-0005-0000-0000-00003A3A0000}"/>
    <cellStyle name="Normal 12 4 8 2" xfId="26886" xr:uid="{00000000-0005-0000-0000-00003B3A0000}"/>
    <cellStyle name="Normal 12 4 9" xfId="20879" xr:uid="{00000000-0005-0000-0000-00003C3A0000}"/>
    <cellStyle name="Normal 12 5" xfId="4993" xr:uid="{00000000-0005-0000-0000-00003D3A0000}"/>
    <cellStyle name="Normal 12 5 2" xfId="6679" xr:uid="{00000000-0005-0000-0000-00003E3A0000}"/>
    <cellStyle name="Normal 12 5 2 2" xfId="7368" xr:uid="{00000000-0005-0000-0000-00003F3A0000}"/>
    <cellStyle name="Normal 12 5 2 2 2" xfId="9247" xr:uid="{00000000-0005-0000-0000-0000403A0000}"/>
    <cellStyle name="Normal 12 5 2 2 2 2" xfId="11626" xr:uid="{00000000-0005-0000-0000-0000413A0000}"/>
    <cellStyle name="Normal 12 5 2 2 2 2 2" xfId="13829" xr:uid="{00000000-0005-0000-0000-0000423A0000}"/>
    <cellStyle name="Normal 12 5 2 2 2 2 2 2" xfId="26887" xr:uid="{00000000-0005-0000-0000-0000433A0000}"/>
    <cellStyle name="Normal 12 5 2 2 2 2 3" xfId="13830" xr:uid="{00000000-0005-0000-0000-0000443A0000}"/>
    <cellStyle name="Normal 12 5 2 2 2 2 3 2" xfId="26888" xr:uid="{00000000-0005-0000-0000-0000453A0000}"/>
    <cellStyle name="Normal 12 5 2 2 2 2 4" xfId="24996" xr:uid="{00000000-0005-0000-0000-0000463A0000}"/>
    <cellStyle name="Normal 12 5 2 2 2 3" xfId="13831" xr:uid="{00000000-0005-0000-0000-0000473A0000}"/>
    <cellStyle name="Normal 12 5 2 2 2 3 2" xfId="26889" xr:uid="{00000000-0005-0000-0000-0000483A0000}"/>
    <cellStyle name="Normal 12 5 2 2 2 4" xfId="13832" xr:uid="{00000000-0005-0000-0000-0000493A0000}"/>
    <cellStyle name="Normal 12 5 2 2 2 4 2" xfId="26890" xr:uid="{00000000-0005-0000-0000-00004A3A0000}"/>
    <cellStyle name="Normal 12 5 2 2 2 5" xfId="22840" xr:uid="{00000000-0005-0000-0000-00004B3A0000}"/>
    <cellStyle name="Normal 12 5 2 2 3" xfId="10548" xr:uid="{00000000-0005-0000-0000-00004C3A0000}"/>
    <cellStyle name="Normal 12 5 2 2 3 2" xfId="13833" xr:uid="{00000000-0005-0000-0000-00004D3A0000}"/>
    <cellStyle name="Normal 12 5 2 2 3 2 2" xfId="26891" xr:uid="{00000000-0005-0000-0000-00004E3A0000}"/>
    <cellStyle name="Normal 12 5 2 2 3 3" xfId="13834" xr:uid="{00000000-0005-0000-0000-00004F3A0000}"/>
    <cellStyle name="Normal 12 5 2 2 3 3 2" xfId="26892" xr:uid="{00000000-0005-0000-0000-0000503A0000}"/>
    <cellStyle name="Normal 12 5 2 2 3 4" xfId="23918" xr:uid="{00000000-0005-0000-0000-0000513A0000}"/>
    <cellStyle name="Normal 12 5 2 2 4" xfId="13835" xr:uid="{00000000-0005-0000-0000-0000523A0000}"/>
    <cellStyle name="Normal 12 5 2 2 4 2" xfId="26893" xr:uid="{00000000-0005-0000-0000-0000533A0000}"/>
    <cellStyle name="Normal 12 5 2 2 5" xfId="13836" xr:uid="{00000000-0005-0000-0000-0000543A0000}"/>
    <cellStyle name="Normal 12 5 2 2 5 2" xfId="26894" xr:uid="{00000000-0005-0000-0000-0000553A0000}"/>
    <cellStyle name="Normal 12 5 2 2 6" xfId="21762" xr:uid="{00000000-0005-0000-0000-0000563A0000}"/>
    <cellStyle name="Normal 12 5 2 3" xfId="8701" xr:uid="{00000000-0005-0000-0000-0000573A0000}"/>
    <cellStyle name="Normal 12 5 2 3 2" xfId="11086" xr:uid="{00000000-0005-0000-0000-0000583A0000}"/>
    <cellStyle name="Normal 12 5 2 3 2 2" xfId="13837" xr:uid="{00000000-0005-0000-0000-0000593A0000}"/>
    <cellStyle name="Normal 12 5 2 3 2 2 2" xfId="26895" xr:uid="{00000000-0005-0000-0000-00005A3A0000}"/>
    <cellStyle name="Normal 12 5 2 3 2 3" xfId="13838" xr:uid="{00000000-0005-0000-0000-00005B3A0000}"/>
    <cellStyle name="Normal 12 5 2 3 2 3 2" xfId="26896" xr:uid="{00000000-0005-0000-0000-00005C3A0000}"/>
    <cellStyle name="Normal 12 5 2 3 2 4" xfId="24456" xr:uid="{00000000-0005-0000-0000-00005D3A0000}"/>
    <cellStyle name="Normal 12 5 2 3 3" xfId="13839" xr:uid="{00000000-0005-0000-0000-00005E3A0000}"/>
    <cellStyle name="Normal 12 5 2 3 3 2" xfId="26897" xr:uid="{00000000-0005-0000-0000-00005F3A0000}"/>
    <cellStyle name="Normal 12 5 2 3 4" xfId="13840" xr:uid="{00000000-0005-0000-0000-0000603A0000}"/>
    <cellStyle name="Normal 12 5 2 3 4 2" xfId="26898" xr:uid="{00000000-0005-0000-0000-0000613A0000}"/>
    <cellStyle name="Normal 12 5 2 3 5" xfId="22300" xr:uid="{00000000-0005-0000-0000-0000623A0000}"/>
    <cellStyle name="Normal 12 5 2 4" xfId="10008" xr:uid="{00000000-0005-0000-0000-0000633A0000}"/>
    <cellStyle name="Normal 12 5 2 4 2" xfId="13841" xr:uid="{00000000-0005-0000-0000-0000643A0000}"/>
    <cellStyle name="Normal 12 5 2 4 2 2" xfId="26899" xr:uid="{00000000-0005-0000-0000-0000653A0000}"/>
    <cellStyle name="Normal 12 5 2 4 3" xfId="13842" xr:uid="{00000000-0005-0000-0000-0000663A0000}"/>
    <cellStyle name="Normal 12 5 2 4 3 2" xfId="26900" xr:uid="{00000000-0005-0000-0000-0000673A0000}"/>
    <cellStyle name="Normal 12 5 2 4 4" xfId="23378" xr:uid="{00000000-0005-0000-0000-0000683A0000}"/>
    <cellStyle name="Normal 12 5 2 5" xfId="13843" xr:uid="{00000000-0005-0000-0000-0000693A0000}"/>
    <cellStyle name="Normal 12 5 2 5 2" xfId="26901" xr:uid="{00000000-0005-0000-0000-00006A3A0000}"/>
    <cellStyle name="Normal 12 5 2 6" xfId="13844" xr:uid="{00000000-0005-0000-0000-00006B3A0000}"/>
    <cellStyle name="Normal 12 5 2 6 2" xfId="26902" xr:uid="{00000000-0005-0000-0000-00006C3A0000}"/>
    <cellStyle name="Normal 12 5 2 7" xfId="21222" xr:uid="{00000000-0005-0000-0000-00006D3A0000}"/>
    <cellStyle name="Normal 12 5 3" xfId="7099" xr:uid="{00000000-0005-0000-0000-00006E3A0000}"/>
    <cellStyle name="Normal 12 5 3 2" xfId="8978" xr:uid="{00000000-0005-0000-0000-00006F3A0000}"/>
    <cellStyle name="Normal 12 5 3 2 2" xfId="11357" xr:uid="{00000000-0005-0000-0000-0000703A0000}"/>
    <cellStyle name="Normal 12 5 3 2 2 2" xfId="13845" xr:uid="{00000000-0005-0000-0000-0000713A0000}"/>
    <cellStyle name="Normal 12 5 3 2 2 2 2" xfId="26903" xr:uid="{00000000-0005-0000-0000-0000723A0000}"/>
    <cellStyle name="Normal 12 5 3 2 2 3" xfId="13846" xr:uid="{00000000-0005-0000-0000-0000733A0000}"/>
    <cellStyle name="Normal 12 5 3 2 2 3 2" xfId="26904" xr:uid="{00000000-0005-0000-0000-0000743A0000}"/>
    <cellStyle name="Normal 12 5 3 2 2 4" xfId="24727" xr:uid="{00000000-0005-0000-0000-0000753A0000}"/>
    <cellStyle name="Normal 12 5 3 2 3" xfId="13847" xr:uid="{00000000-0005-0000-0000-0000763A0000}"/>
    <cellStyle name="Normal 12 5 3 2 3 2" xfId="26905" xr:uid="{00000000-0005-0000-0000-0000773A0000}"/>
    <cellStyle name="Normal 12 5 3 2 4" xfId="13848" xr:uid="{00000000-0005-0000-0000-0000783A0000}"/>
    <cellStyle name="Normal 12 5 3 2 4 2" xfId="26906" xr:uid="{00000000-0005-0000-0000-0000793A0000}"/>
    <cellStyle name="Normal 12 5 3 2 5" xfId="22571" xr:uid="{00000000-0005-0000-0000-00007A3A0000}"/>
    <cellStyle name="Normal 12 5 3 3" xfId="10279" xr:uid="{00000000-0005-0000-0000-00007B3A0000}"/>
    <cellStyle name="Normal 12 5 3 3 2" xfId="13849" xr:uid="{00000000-0005-0000-0000-00007C3A0000}"/>
    <cellStyle name="Normal 12 5 3 3 2 2" xfId="26907" xr:uid="{00000000-0005-0000-0000-00007D3A0000}"/>
    <cellStyle name="Normal 12 5 3 3 3" xfId="13850" xr:uid="{00000000-0005-0000-0000-00007E3A0000}"/>
    <cellStyle name="Normal 12 5 3 3 3 2" xfId="26908" xr:uid="{00000000-0005-0000-0000-00007F3A0000}"/>
    <cellStyle name="Normal 12 5 3 3 4" xfId="23649" xr:uid="{00000000-0005-0000-0000-0000803A0000}"/>
    <cellStyle name="Normal 12 5 3 4" xfId="13851" xr:uid="{00000000-0005-0000-0000-0000813A0000}"/>
    <cellStyle name="Normal 12 5 3 4 2" xfId="26909" xr:uid="{00000000-0005-0000-0000-0000823A0000}"/>
    <cellStyle name="Normal 12 5 3 5" xfId="13852" xr:uid="{00000000-0005-0000-0000-0000833A0000}"/>
    <cellStyle name="Normal 12 5 3 5 2" xfId="26910" xr:uid="{00000000-0005-0000-0000-0000843A0000}"/>
    <cellStyle name="Normal 12 5 3 6" xfId="21493" xr:uid="{00000000-0005-0000-0000-0000853A0000}"/>
    <cellStyle name="Normal 12 5 4" xfId="8351" xr:uid="{00000000-0005-0000-0000-0000863A0000}"/>
    <cellStyle name="Normal 12 5 4 2" xfId="10817" xr:uid="{00000000-0005-0000-0000-0000873A0000}"/>
    <cellStyle name="Normal 12 5 4 2 2" xfId="13853" xr:uid="{00000000-0005-0000-0000-0000883A0000}"/>
    <cellStyle name="Normal 12 5 4 2 2 2" xfId="26911" xr:uid="{00000000-0005-0000-0000-0000893A0000}"/>
    <cellStyle name="Normal 12 5 4 2 3" xfId="13854" xr:uid="{00000000-0005-0000-0000-00008A3A0000}"/>
    <cellStyle name="Normal 12 5 4 2 3 2" xfId="26912" xr:uid="{00000000-0005-0000-0000-00008B3A0000}"/>
    <cellStyle name="Normal 12 5 4 2 4" xfId="24187" xr:uid="{00000000-0005-0000-0000-00008C3A0000}"/>
    <cellStyle name="Normal 12 5 4 3" xfId="13855" xr:uid="{00000000-0005-0000-0000-00008D3A0000}"/>
    <cellStyle name="Normal 12 5 4 3 2" xfId="26913" xr:uid="{00000000-0005-0000-0000-00008E3A0000}"/>
    <cellStyle name="Normal 12 5 4 4" xfId="13856" xr:uid="{00000000-0005-0000-0000-00008F3A0000}"/>
    <cellStyle name="Normal 12 5 4 4 2" xfId="26914" xr:uid="{00000000-0005-0000-0000-0000903A0000}"/>
    <cellStyle name="Normal 12 5 4 5" xfId="22031" xr:uid="{00000000-0005-0000-0000-0000913A0000}"/>
    <cellStyle name="Normal 12 5 5" xfId="9739" xr:uid="{00000000-0005-0000-0000-0000923A0000}"/>
    <cellStyle name="Normal 12 5 5 2" xfId="13857" xr:uid="{00000000-0005-0000-0000-0000933A0000}"/>
    <cellStyle name="Normal 12 5 5 2 2" xfId="26915" xr:uid="{00000000-0005-0000-0000-0000943A0000}"/>
    <cellStyle name="Normal 12 5 5 3" xfId="13858" xr:uid="{00000000-0005-0000-0000-0000953A0000}"/>
    <cellStyle name="Normal 12 5 5 3 2" xfId="26916" xr:uid="{00000000-0005-0000-0000-0000963A0000}"/>
    <cellStyle name="Normal 12 5 5 4" xfId="23109" xr:uid="{00000000-0005-0000-0000-0000973A0000}"/>
    <cellStyle name="Normal 12 5 6" xfId="13859" xr:uid="{00000000-0005-0000-0000-0000983A0000}"/>
    <cellStyle name="Normal 12 5 6 2" xfId="26917" xr:uid="{00000000-0005-0000-0000-0000993A0000}"/>
    <cellStyle name="Normal 12 5 7" xfId="13860" xr:uid="{00000000-0005-0000-0000-00009A3A0000}"/>
    <cellStyle name="Normal 12 5 7 2" xfId="26918" xr:uid="{00000000-0005-0000-0000-00009B3A0000}"/>
    <cellStyle name="Normal 12 5 8" xfId="20953" xr:uid="{00000000-0005-0000-0000-00009C3A0000}"/>
    <cellStyle name="Normal 12 6" xfId="6515" xr:uid="{00000000-0005-0000-0000-00009D3A0000}"/>
    <cellStyle name="Normal 12 6 2" xfId="7240" xr:uid="{00000000-0005-0000-0000-00009E3A0000}"/>
    <cellStyle name="Normal 12 6 2 2" xfId="9119" xr:uid="{00000000-0005-0000-0000-00009F3A0000}"/>
    <cellStyle name="Normal 12 6 2 2 2" xfId="11498" xr:uid="{00000000-0005-0000-0000-0000A03A0000}"/>
    <cellStyle name="Normal 12 6 2 2 2 2" xfId="13861" xr:uid="{00000000-0005-0000-0000-0000A13A0000}"/>
    <cellStyle name="Normal 12 6 2 2 2 2 2" xfId="26919" xr:uid="{00000000-0005-0000-0000-0000A23A0000}"/>
    <cellStyle name="Normal 12 6 2 2 2 3" xfId="13862" xr:uid="{00000000-0005-0000-0000-0000A33A0000}"/>
    <cellStyle name="Normal 12 6 2 2 2 3 2" xfId="26920" xr:uid="{00000000-0005-0000-0000-0000A43A0000}"/>
    <cellStyle name="Normal 12 6 2 2 2 4" xfId="24868" xr:uid="{00000000-0005-0000-0000-0000A53A0000}"/>
    <cellStyle name="Normal 12 6 2 2 3" xfId="13863" xr:uid="{00000000-0005-0000-0000-0000A63A0000}"/>
    <cellStyle name="Normal 12 6 2 2 3 2" xfId="26921" xr:uid="{00000000-0005-0000-0000-0000A73A0000}"/>
    <cellStyle name="Normal 12 6 2 2 4" xfId="13864" xr:uid="{00000000-0005-0000-0000-0000A83A0000}"/>
    <cellStyle name="Normal 12 6 2 2 4 2" xfId="26922" xr:uid="{00000000-0005-0000-0000-0000A93A0000}"/>
    <cellStyle name="Normal 12 6 2 2 5" xfId="22712" xr:uid="{00000000-0005-0000-0000-0000AA3A0000}"/>
    <cellStyle name="Normal 12 6 2 3" xfId="10420" xr:uid="{00000000-0005-0000-0000-0000AB3A0000}"/>
    <cellStyle name="Normal 12 6 2 3 2" xfId="13865" xr:uid="{00000000-0005-0000-0000-0000AC3A0000}"/>
    <cellStyle name="Normal 12 6 2 3 2 2" xfId="26923" xr:uid="{00000000-0005-0000-0000-0000AD3A0000}"/>
    <cellStyle name="Normal 12 6 2 3 3" xfId="13866" xr:uid="{00000000-0005-0000-0000-0000AE3A0000}"/>
    <cellStyle name="Normal 12 6 2 3 3 2" xfId="26924" xr:uid="{00000000-0005-0000-0000-0000AF3A0000}"/>
    <cellStyle name="Normal 12 6 2 3 4" xfId="23790" xr:uid="{00000000-0005-0000-0000-0000B03A0000}"/>
    <cellStyle name="Normal 12 6 2 4" xfId="13867" xr:uid="{00000000-0005-0000-0000-0000B13A0000}"/>
    <cellStyle name="Normal 12 6 2 4 2" xfId="26925" xr:uid="{00000000-0005-0000-0000-0000B23A0000}"/>
    <cellStyle name="Normal 12 6 2 5" xfId="13868" xr:uid="{00000000-0005-0000-0000-0000B33A0000}"/>
    <cellStyle name="Normal 12 6 2 5 2" xfId="26926" xr:uid="{00000000-0005-0000-0000-0000B43A0000}"/>
    <cellStyle name="Normal 12 6 2 6" xfId="21634" xr:uid="{00000000-0005-0000-0000-0000B53A0000}"/>
    <cellStyle name="Normal 12 6 3" xfId="8571" xr:uid="{00000000-0005-0000-0000-0000B63A0000}"/>
    <cellStyle name="Normal 12 6 3 2" xfId="10958" xr:uid="{00000000-0005-0000-0000-0000B73A0000}"/>
    <cellStyle name="Normal 12 6 3 2 2" xfId="13869" xr:uid="{00000000-0005-0000-0000-0000B83A0000}"/>
    <cellStyle name="Normal 12 6 3 2 2 2" xfId="26927" xr:uid="{00000000-0005-0000-0000-0000B93A0000}"/>
    <cellStyle name="Normal 12 6 3 2 3" xfId="13870" xr:uid="{00000000-0005-0000-0000-0000BA3A0000}"/>
    <cellStyle name="Normal 12 6 3 2 3 2" xfId="26928" xr:uid="{00000000-0005-0000-0000-0000BB3A0000}"/>
    <cellStyle name="Normal 12 6 3 2 4" xfId="24328" xr:uid="{00000000-0005-0000-0000-0000BC3A0000}"/>
    <cellStyle name="Normal 12 6 3 3" xfId="13871" xr:uid="{00000000-0005-0000-0000-0000BD3A0000}"/>
    <cellStyle name="Normal 12 6 3 3 2" xfId="26929" xr:uid="{00000000-0005-0000-0000-0000BE3A0000}"/>
    <cellStyle name="Normal 12 6 3 4" xfId="13872" xr:uid="{00000000-0005-0000-0000-0000BF3A0000}"/>
    <cellStyle name="Normal 12 6 3 4 2" xfId="26930" xr:uid="{00000000-0005-0000-0000-0000C03A0000}"/>
    <cellStyle name="Normal 12 6 3 5" xfId="22172" xr:uid="{00000000-0005-0000-0000-0000C13A0000}"/>
    <cellStyle name="Normal 12 6 4" xfId="9880" xr:uid="{00000000-0005-0000-0000-0000C23A0000}"/>
    <cellStyle name="Normal 12 6 4 2" xfId="13873" xr:uid="{00000000-0005-0000-0000-0000C33A0000}"/>
    <cellStyle name="Normal 12 6 4 2 2" xfId="26931" xr:uid="{00000000-0005-0000-0000-0000C43A0000}"/>
    <cellStyle name="Normal 12 6 4 3" xfId="13874" xr:uid="{00000000-0005-0000-0000-0000C53A0000}"/>
    <cellStyle name="Normal 12 6 4 3 2" xfId="26932" xr:uid="{00000000-0005-0000-0000-0000C63A0000}"/>
    <cellStyle name="Normal 12 6 4 4" xfId="23250" xr:uid="{00000000-0005-0000-0000-0000C73A0000}"/>
    <cellStyle name="Normal 12 6 5" xfId="13875" xr:uid="{00000000-0005-0000-0000-0000C83A0000}"/>
    <cellStyle name="Normal 12 6 5 2" xfId="26933" xr:uid="{00000000-0005-0000-0000-0000C93A0000}"/>
    <cellStyle name="Normal 12 6 6" xfId="13876" xr:uid="{00000000-0005-0000-0000-0000CA3A0000}"/>
    <cellStyle name="Normal 12 6 6 2" xfId="26934" xr:uid="{00000000-0005-0000-0000-0000CB3A0000}"/>
    <cellStyle name="Normal 12 6 7" xfId="21094" xr:uid="{00000000-0005-0000-0000-0000CC3A0000}"/>
    <cellStyle name="Normal 12 7" xfId="6970" xr:uid="{00000000-0005-0000-0000-0000CD3A0000}"/>
    <cellStyle name="Normal 12 7 2" xfId="8850" xr:uid="{00000000-0005-0000-0000-0000CE3A0000}"/>
    <cellStyle name="Normal 12 7 2 2" xfId="11229" xr:uid="{00000000-0005-0000-0000-0000CF3A0000}"/>
    <cellStyle name="Normal 12 7 2 2 2" xfId="13877" xr:uid="{00000000-0005-0000-0000-0000D03A0000}"/>
    <cellStyle name="Normal 12 7 2 2 2 2" xfId="26935" xr:uid="{00000000-0005-0000-0000-0000D13A0000}"/>
    <cellStyle name="Normal 12 7 2 2 3" xfId="13878" xr:uid="{00000000-0005-0000-0000-0000D23A0000}"/>
    <cellStyle name="Normal 12 7 2 2 3 2" xfId="26936" xr:uid="{00000000-0005-0000-0000-0000D33A0000}"/>
    <cellStyle name="Normal 12 7 2 2 4" xfId="24599" xr:uid="{00000000-0005-0000-0000-0000D43A0000}"/>
    <cellStyle name="Normal 12 7 2 3" xfId="13879" xr:uid="{00000000-0005-0000-0000-0000D53A0000}"/>
    <cellStyle name="Normal 12 7 2 3 2" xfId="26937" xr:uid="{00000000-0005-0000-0000-0000D63A0000}"/>
    <cellStyle name="Normal 12 7 2 4" xfId="13880" xr:uid="{00000000-0005-0000-0000-0000D73A0000}"/>
    <cellStyle name="Normal 12 7 2 4 2" xfId="26938" xr:uid="{00000000-0005-0000-0000-0000D83A0000}"/>
    <cellStyle name="Normal 12 7 2 5" xfId="22443" xr:uid="{00000000-0005-0000-0000-0000D93A0000}"/>
    <cellStyle name="Normal 12 7 3" xfId="10151" xr:uid="{00000000-0005-0000-0000-0000DA3A0000}"/>
    <cellStyle name="Normal 12 7 3 2" xfId="13881" xr:uid="{00000000-0005-0000-0000-0000DB3A0000}"/>
    <cellStyle name="Normal 12 7 3 2 2" xfId="26939" xr:uid="{00000000-0005-0000-0000-0000DC3A0000}"/>
    <cellStyle name="Normal 12 7 3 3" xfId="13882" xr:uid="{00000000-0005-0000-0000-0000DD3A0000}"/>
    <cellStyle name="Normal 12 7 3 3 2" xfId="26940" xr:uid="{00000000-0005-0000-0000-0000DE3A0000}"/>
    <cellStyle name="Normal 12 7 3 4" xfId="23521" xr:uid="{00000000-0005-0000-0000-0000DF3A0000}"/>
    <cellStyle name="Normal 12 7 4" xfId="13883" xr:uid="{00000000-0005-0000-0000-0000E03A0000}"/>
    <cellStyle name="Normal 12 7 4 2" xfId="26941" xr:uid="{00000000-0005-0000-0000-0000E13A0000}"/>
    <cellStyle name="Normal 12 7 5" xfId="13884" xr:uid="{00000000-0005-0000-0000-0000E23A0000}"/>
    <cellStyle name="Normal 12 7 5 2" xfId="26942" xr:uid="{00000000-0005-0000-0000-0000E33A0000}"/>
    <cellStyle name="Normal 12 7 6" xfId="21365" xr:uid="{00000000-0005-0000-0000-0000E43A0000}"/>
    <cellStyle name="Normal 12 8" xfId="8063" xr:uid="{00000000-0005-0000-0000-0000E53A0000}"/>
    <cellStyle name="Normal 12 8 2" xfId="10689" xr:uid="{00000000-0005-0000-0000-0000E63A0000}"/>
    <cellStyle name="Normal 12 8 2 2" xfId="13885" xr:uid="{00000000-0005-0000-0000-0000E73A0000}"/>
    <cellStyle name="Normal 12 8 2 2 2" xfId="26943" xr:uid="{00000000-0005-0000-0000-0000E83A0000}"/>
    <cellStyle name="Normal 12 8 2 3" xfId="13886" xr:uid="{00000000-0005-0000-0000-0000E93A0000}"/>
    <cellStyle name="Normal 12 8 2 3 2" xfId="26944" xr:uid="{00000000-0005-0000-0000-0000EA3A0000}"/>
    <cellStyle name="Normal 12 8 2 4" xfId="24059" xr:uid="{00000000-0005-0000-0000-0000EB3A0000}"/>
    <cellStyle name="Normal 12 8 3" xfId="13887" xr:uid="{00000000-0005-0000-0000-0000EC3A0000}"/>
    <cellStyle name="Normal 12 8 3 2" xfId="26945" xr:uid="{00000000-0005-0000-0000-0000ED3A0000}"/>
    <cellStyle name="Normal 12 8 4" xfId="13888" xr:uid="{00000000-0005-0000-0000-0000EE3A0000}"/>
    <cellStyle name="Normal 12 8 4 2" xfId="26946" xr:uid="{00000000-0005-0000-0000-0000EF3A0000}"/>
    <cellStyle name="Normal 12 8 5" xfId="21903" xr:uid="{00000000-0005-0000-0000-0000F03A0000}"/>
    <cellStyle name="Normal 12 9" xfId="9610" xr:uid="{00000000-0005-0000-0000-0000F13A0000}"/>
    <cellStyle name="Normal 12 9 2" xfId="13889" xr:uid="{00000000-0005-0000-0000-0000F23A0000}"/>
    <cellStyle name="Normal 12 9 2 2" xfId="26947" xr:uid="{00000000-0005-0000-0000-0000F33A0000}"/>
    <cellStyle name="Normal 12 9 3" xfId="13890" xr:uid="{00000000-0005-0000-0000-0000F43A0000}"/>
    <cellStyle name="Normal 12 9 3 2" xfId="26948" xr:uid="{00000000-0005-0000-0000-0000F53A0000}"/>
    <cellStyle name="Normal 12 9 4" xfId="22981" xr:uid="{00000000-0005-0000-0000-0000F63A0000}"/>
    <cellStyle name="Normal 120" xfId="11770" xr:uid="{00000000-0005-0000-0000-0000F73A0000}"/>
    <cellStyle name="Normal 121" xfId="11773" xr:uid="{00000000-0005-0000-0000-0000F83A0000}"/>
    <cellStyle name="Normal 122" xfId="11778" xr:uid="{00000000-0005-0000-0000-0000F93A0000}"/>
    <cellStyle name="Normal 123" xfId="11782" xr:uid="{00000000-0005-0000-0000-0000FA3A0000}"/>
    <cellStyle name="Normal 124" xfId="11784" xr:uid="{00000000-0005-0000-0000-0000FB3A0000}"/>
    <cellStyle name="Normal 125" xfId="11786" xr:uid="{00000000-0005-0000-0000-0000FC3A0000}"/>
    <cellStyle name="Normal 126" xfId="11788" xr:uid="{00000000-0005-0000-0000-0000FD3A0000}"/>
    <cellStyle name="Normal 127" xfId="11792" xr:uid="{00000000-0005-0000-0000-0000FE3A0000}"/>
    <cellStyle name="Normal 128" xfId="11796" xr:uid="{00000000-0005-0000-0000-0000FF3A0000}"/>
    <cellStyle name="Normal 129" xfId="11798" xr:uid="{00000000-0005-0000-0000-0000003B0000}"/>
    <cellStyle name="Normal 13" xfId="2283" xr:uid="{00000000-0005-0000-0000-0000013B0000}"/>
    <cellStyle name="Normal 13 10" xfId="8064" xr:uid="{00000000-0005-0000-0000-0000023B0000}"/>
    <cellStyle name="Normal 13 10 2" xfId="10690" xr:uid="{00000000-0005-0000-0000-0000033B0000}"/>
    <cellStyle name="Normal 13 10 2 2" xfId="13891" xr:uid="{00000000-0005-0000-0000-0000043B0000}"/>
    <cellStyle name="Normal 13 10 2 2 2" xfId="26949" xr:uid="{00000000-0005-0000-0000-0000053B0000}"/>
    <cellStyle name="Normal 13 10 2 3" xfId="13892" xr:uid="{00000000-0005-0000-0000-0000063B0000}"/>
    <cellStyle name="Normal 13 10 2 3 2" xfId="26950" xr:uid="{00000000-0005-0000-0000-0000073B0000}"/>
    <cellStyle name="Normal 13 10 2 4" xfId="24060" xr:uid="{00000000-0005-0000-0000-0000083B0000}"/>
    <cellStyle name="Normal 13 10 3" xfId="13893" xr:uid="{00000000-0005-0000-0000-0000093B0000}"/>
    <cellStyle name="Normal 13 10 3 2" xfId="26951" xr:uid="{00000000-0005-0000-0000-00000A3B0000}"/>
    <cellStyle name="Normal 13 10 4" xfId="13894" xr:uid="{00000000-0005-0000-0000-00000B3B0000}"/>
    <cellStyle name="Normal 13 10 4 2" xfId="26952" xr:uid="{00000000-0005-0000-0000-00000C3B0000}"/>
    <cellStyle name="Normal 13 10 5" xfId="21904" xr:uid="{00000000-0005-0000-0000-00000D3B0000}"/>
    <cellStyle name="Normal 13 11" xfId="9611" xr:uid="{00000000-0005-0000-0000-00000E3B0000}"/>
    <cellStyle name="Normal 13 11 2" xfId="13895" xr:uid="{00000000-0005-0000-0000-00000F3B0000}"/>
    <cellStyle name="Normal 13 11 2 2" xfId="26953" xr:uid="{00000000-0005-0000-0000-0000103B0000}"/>
    <cellStyle name="Normal 13 11 3" xfId="13896" xr:uid="{00000000-0005-0000-0000-0000113B0000}"/>
    <cellStyle name="Normal 13 11 3 2" xfId="26954" xr:uid="{00000000-0005-0000-0000-0000123B0000}"/>
    <cellStyle name="Normal 13 11 4" xfId="22982" xr:uid="{00000000-0005-0000-0000-0000133B0000}"/>
    <cellStyle name="Normal 13 12" xfId="13897" xr:uid="{00000000-0005-0000-0000-0000143B0000}"/>
    <cellStyle name="Normal 13 12 2" xfId="26955" xr:uid="{00000000-0005-0000-0000-0000153B0000}"/>
    <cellStyle name="Normal 13 13" xfId="13898" xr:uid="{00000000-0005-0000-0000-0000163B0000}"/>
    <cellStyle name="Normal 13 13 2" xfId="26956" xr:uid="{00000000-0005-0000-0000-0000173B0000}"/>
    <cellStyle name="Normal 13 14" xfId="20825" xr:uid="{00000000-0005-0000-0000-0000183B0000}"/>
    <cellStyle name="Normal 13 2" xfId="3541" xr:uid="{00000000-0005-0000-0000-0000193B0000}"/>
    <cellStyle name="Normal 13 2 10" xfId="20840" xr:uid="{00000000-0005-0000-0000-00001A3B0000}"/>
    <cellStyle name="Normal 13 2 2" xfId="4078" xr:uid="{00000000-0005-0000-0000-00001B3B0000}"/>
    <cellStyle name="Normal 13 2 2 2" xfId="5614" xr:uid="{00000000-0005-0000-0000-00001C3B0000}"/>
    <cellStyle name="Normal 13 2 2 2 2" xfId="6766" xr:uid="{00000000-0005-0000-0000-00001D3B0000}"/>
    <cellStyle name="Normal 13 2 2 2 2 2" xfId="7453" xr:uid="{00000000-0005-0000-0000-00001E3B0000}"/>
    <cellStyle name="Normal 13 2 2 2 2 2 2" xfId="9332" xr:uid="{00000000-0005-0000-0000-00001F3B0000}"/>
    <cellStyle name="Normal 13 2 2 2 2 2 2 2" xfId="11711" xr:uid="{00000000-0005-0000-0000-0000203B0000}"/>
    <cellStyle name="Normal 13 2 2 2 2 2 2 2 2" xfId="13899" xr:uid="{00000000-0005-0000-0000-0000213B0000}"/>
    <cellStyle name="Normal 13 2 2 2 2 2 2 2 2 2" xfId="26957" xr:uid="{00000000-0005-0000-0000-0000223B0000}"/>
    <cellStyle name="Normal 13 2 2 2 2 2 2 2 3" xfId="13900" xr:uid="{00000000-0005-0000-0000-0000233B0000}"/>
    <cellStyle name="Normal 13 2 2 2 2 2 2 2 3 2" xfId="26958" xr:uid="{00000000-0005-0000-0000-0000243B0000}"/>
    <cellStyle name="Normal 13 2 2 2 2 2 2 2 4" xfId="25081" xr:uid="{00000000-0005-0000-0000-0000253B0000}"/>
    <cellStyle name="Normal 13 2 2 2 2 2 2 3" xfId="13901" xr:uid="{00000000-0005-0000-0000-0000263B0000}"/>
    <cellStyle name="Normal 13 2 2 2 2 2 2 3 2" xfId="26959" xr:uid="{00000000-0005-0000-0000-0000273B0000}"/>
    <cellStyle name="Normal 13 2 2 2 2 2 2 4" xfId="13902" xr:uid="{00000000-0005-0000-0000-0000283B0000}"/>
    <cellStyle name="Normal 13 2 2 2 2 2 2 4 2" xfId="26960" xr:uid="{00000000-0005-0000-0000-0000293B0000}"/>
    <cellStyle name="Normal 13 2 2 2 2 2 2 5" xfId="22925" xr:uid="{00000000-0005-0000-0000-00002A3B0000}"/>
    <cellStyle name="Normal 13 2 2 2 2 2 3" xfId="10633" xr:uid="{00000000-0005-0000-0000-00002B3B0000}"/>
    <cellStyle name="Normal 13 2 2 2 2 2 3 2" xfId="13903" xr:uid="{00000000-0005-0000-0000-00002C3B0000}"/>
    <cellStyle name="Normal 13 2 2 2 2 2 3 2 2" xfId="26961" xr:uid="{00000000-0005-0000-0000-00002D3B0000}"/>
    <cellStyle name="Normal 13 2 2 2 2 2 3 3" xfId="13904" xr:uid="{00000000-0005-0000-0000-00002E3B0000}"/>
    <cellStyle name="Normal 13 2 2 2 2 2 3 3 2" xfId="26962" xr:uid="{00000000-0005-0000-0000-00002F3B0000}"/>
    <cellStyle name="Normal 13 2 2 2 2 2 3 4" xfId="24003" xr:uid="{00000000-0005-0000-0000-0000303B0000}"/>
    <cellStyle name="Normal 13 2 2 2 2 2 4" xfId="13905" xr:uid="{00000000-0005-0000-0000-0000313B0000}"/>
    <cellStyle name="Normal 13 2 2 2 2 2 4 2" xfId="26963" xr:uid="{00000000-0005-0000-0000-0000323B0000}"/>
    <cellStyle name="Normal 13 2 2 2 2 2 5" xfId="13906" xr:uid="{00000000-0005-0000-0000-0000333B0000}"/>
    <cellStyle name="Normal 13 2 2 2 2 2 5 2" xfId="26964" xr:uid="{00000000-0005-0000-0000-0000343B0000}"/>
    <cellStyle name="Normal 13 2 2 2 2 2 6" xfId="21847" xr:uid="{00000000-0005-0000-0000-0000353B0000}"/>
    <cellStyle name="Normal 13 2 2 2 2 3" xfId="8786" xr:uid="{00000000-0005-0000-0000-0000363B0000}"/>
    <cellStyle name="Normal 13 2 2 2 2 3 2" xfId="11171" xr:uid="{00000000-0005-0000-0000-0000373B0000}"/>
    <cellStyle name="Normal 13 2 2 2 2 3 2 2" xfId="13907" xr:uid="{00000000-0005-0000-0000-0000383B0000}"/>
    <cellStyle name="Normal 13 2 2 2 2 3 2 2 2" xfId="26965" xr:uid="{00000000-0005-0000-0000-0000393B0000}"/>
    <cellStyle name="Normal 13 2 2 2 2 3 2 3" xfId="13908" xr:uid="{00000000-0005-0000-0000-00003A3B0000}"/>
    <cellStyle name="Normal 13 2 2 2 2 3 2 3 2" xfId="26966" xr:uid="{00000000-0005-0000-0000-00003B3B0000}"/>
    <cellStyle name="Normal 13 2 2 2 2 3 2 4" xfId="24541" xr:uid="{00000000-0005-0000-0000-00003C3B0000}"/>
    <cellStyle name="Normal 13 2 2 2 2 3 3" xfId="13909" xr:uid="{00000000-0005-0000-0000-00003D3B0000}"/>
    <cellStyle name="Normal 13 2 2 2 2 3 3 2" xfId="26967" xr:uid="{00000000-0005-0000-0000-00003E3B0000}"/>
    <cellStyle name="Normal 13 2 2 2 2 3 4" xfId="13910" xr:uid="{00000000-0005-0000-0000-00003F3B0000}"/>
    <cellStyle name="Normal 13 2 2 2 2 3 4 2" xfId="26968" xr:uid="{00000000-0005-0000-0000-0000403B0000}"/>
    <cellStyle name="Normal 13 2 2 2 2 3 5" xfId="22385" xr:uid="{00000000-0005-0000-0000-0000413B0000}"/>
    <cellStyle name="Normal 13 2 2 2 2 4" xfId="10093" xr:uid="{00000000-0005-0000-0000-0000423B0000}"/>
    <cellStyle name="Normal 13 2 2 2 2 4 2" xfId="13911" xr:uid="{00000000-0005-0000-0000-0000433B0000}"/>
    <cellStyle name="Normal 13 2 2 2 2 4 2 2" xfId="26969" xr:uid="{00000000-0005-0000-0000-0000443B0000}"/>
    <cellStyle name="Normal 13 2 2 2 2 4 3" xfId="13912" xr:uid="{00000000-0005-0000-0000-0000453B0000}"/>
    <cellStyle name="Normal 13 2 2 2 2 4 3 2" xfId="26970" xr:uid="{00000000-0005-0000-0000-0000463B0000}"/>
    <cellStyle name="Normal 13 2 2 2 2 4 4" xfId="23463" xr:uid="{00000000-0005-0000-0000-0000473B0000}"/>
    <cellStyle name="Normal 13 2 2 2 2 5" xfId="13913" xr:uid="{00000000-0005-0000-0000-0000483B0000}"/>
    <cellStyle name="Normal 13 2 2 2 2 5 2" xfId="26971" xr:uid="{00000000-0005-0000-0000-0000493B0000}"/>
    <cellStyle name="Normal 13 2 2 2 2 6" xfId="13914" xr:uid="{00000000-0005-0000-0000-00004A3B0000}"/>
    <cellStyle name="Normal 13 2 2 2 2 6 2" xfId="26972" xr:uid="{00000000-0005-0000-0000-00004B3B0000}"/>
    <cellStyle name="Normal 13 2 2 2 2 7" xfId="21307" xr:uid="{00000000-0005-0000-0000-00004C3B0000}"/>
    <cellStyle name="Normal 13 2 2 2 3" xfId="7184" xr:uid="{00000000-0005-0000-0000-00004D3B0000}"/>
    <cellStyle name="Normal 13 2 2 2 3 2" xfId="9063" xr:uid="{00000000-0005-0000-0000-00004E3B0000}"/>
    <cellStyle name="Normal 13 2 2 2 3 2 2" xfId="11442" xr:uid="{00000000-0005-0000-0000-00004F3B0000}"/>
    <cellStyle name="Normal 13 2 2 2 3 2 2 2" xfId="13915" xr:uid="{00000000-0005-0000-0000-0000503B0000}"/>
    <cellStyle name="Normal 13 2 2 2 3 2 2 2 2" xfId="26973" xr:uid="{00000000-0005-0000-0000-0000513B0000}"/>
    <cellStyle name="Normal 13 2 2 2 3 2 2 3" xfId="13916" xr:uid="{00000000-0005-0000-0000-0000523B0000}"/>
    <cellStyle name="Normal 13 2 2 2 3 2 2 3 2" xfId="26974" xr:uid="{00000000-0005-0000-0000-0000533B0000}"/>
    <cellStyle name="Normal 13 2 2 2 3 2 2 4" xfId="24812" xr:uid="{00000000-0005-0000-0000-0000543B0000}"/>
    <cellStyle name="Normal 13 2 2 2 3 2 3" xfId="13917" xr:uid="{00000000-0005-0000-0000-0000553B0000}"/>
    <cellStyle name="Normal 13 2 2 2 3 2 3 2" xfId="26975" xr:uid="{00000000-0005-0000-0000-0000563B0000}"/>
    <cellStyle name="Normal 13 2 2 2 3 2 4" xfId="13918" xr:uid="{00000000-0005-0000-0000-0000573B0000}"/>
    <cellStyle name="Normal 13 2 2 2 3 2 4 2" xfId="26976" xr:uid="{00000000-0005-0000-0000-0000583B0000}"/>
    <cellStyle name="Normal 13 2 2 2 3 2 5" xfId="22656" xr:uid="{00000000-0005-0000-0000-0000593B0000}"/>
    <cellStyle name="Normal 13 2 2 2 3 3" xfId="10364" xr:uid="{00000000-0005-0000-0000-00005A3B0000}"/>
    <cellStyle name="Normal 13 2 2 2 3 3 2" xfId="13919" xr:uid="{00000000-0005-0000-0000-00005B3B0000}"/>
    <cellStyle name="Normal 13 2 2 2 3 3 2 2" xfId="26977" xr:uid="{00000000-0005-0000-0000-00005C3B0000}"/>
    <cellStyle name="Normal 13 2 2 2 3 3 3" xfId="13920" xr:uid="{00000000-0005-0000-0000-00005D3B0000}"/>
    <cellStyle name="Normal 13 2 2 2 3 3 3 2" xfId="26978" xr:uid="{00000000-0005-0000-0000-00005E3B0000}"/>
    <cellStyle name="Normal 13 2 2 2 3 3 4" xfId="23734" xr:uid="{00000000-0005-0000-0000-00005F3B0000}"/>
    <cellStyle name="Normal 13 2 2 2 3 4" xfId="13921" xr:uid="{00000000-0005-0000-0000-0000603B0000}"/>
    <cellStyle name="Normal 13 2 2 2 3 4 2" xfId="26979" xr:uid="{00000000-0005-0000-0000-0000613B0000}"/>
    <cellStyle name="Normal 13 2 2 2 3 5" xfId="13922" xr:uid="{00000000-0005-0000-0000-0000623B0000}"/>
    <cellStyle name="Normal 13 2 2 2 3 5 2" xfId="26980" xr:uid="{00000000-0005-0000-0000-0000633B0000}"/>
    <cellStyle name="Normal 13 2 2 2 3 6" xfId="21578" xr:uid="{00000000-0005-0000-0000-0000643B0000}"/>
    <cellStyle name="Normal 13 2 2 2 4" xfId="8461" xr:uid="{00000000-0005-0000-0000-0000653B0000}"/>
    <cellStyle name="Normal 13 2 2 2 4 2" xfId="10902" xr:uid="{00000000-0005-0000-0000-0000663B0000}"/>
    <cellStyle name="Normal 13 2 2 2 4 2 2" xfId="13923" xr:uid="{00000000-0005-0000-0000-0000673B0000}"/>
    <cellStyle name="Normal 13 2 2 2 4 2 2 2" xfId="26981" xr:uid="{00000000-0005-0000-0000-0000683B0000}"/>
    <cellStyle name="Normal 13 2 2 2 4 2 3" xfId="13924" xr:uid="{00000000-0005-0000-0000-0000693B0000}"/>
    <cellStyle name="Normal 13 2 2 2 4 2 3 2" xfId="26982" xr:uid="{00000000-0005-0000-0000-00006A3B0000}"/>
    <cellStyle name="Normal 13 2 2 2 4 2 4" xfId="24272" xr:uid="{00000000-0005-0000-0000-00006B3B0000}"/>
    <cellStyle name="Normal 13 2 2 2 4 3" xfId="13925" xr:uid="{00000000-0005-0000-0000-00006C3B0000}"/>
    <cellStyle name="Normal 13 2 2 2 4 3 2" xfId="26983" xr:uid="{00000000-0005-0000-0000-00006D3B0000}"/>
    <cellStyle name="Normal 13 2 2 2 4 4" xfId="13926" xr:uid="{00000000-0005-0000-0000-00006E3B0000}"/>
    <cellStyle name="Normal 13 2 2 2 4 4 2" xfId="26984" xr:uid="{00000000-0005-0000-0000-00006F3B0000}"/>
    <cellStyle name="Normal 13 2 2 2 4 5" xfId="22116" xr:uid="{00000000-0005-0000-0000-0000703B0000}"/>
    <cellStyle name="Normal 13 2 2 2 5" xfId="9824" xr:uid="{00000000-0005-0000-0000-0000713B0000}"/>
    <cellStyle name="Normal 13 2 2 2 5 2" xfId="13927" xr:uid="{00000000-0005-0000-0000-0000723B0000}"/>
    <cellStyle name="Normal 13 2 2 2 5 2 2" xfId="26985" xr:uid="{00000000-0005-0000-0000-0000733B0000}"/>
    <cellStyle name="Normal 13 2 2 2 5 3" xfId="13928" xr:uid="{00000000-0005-0000-0000-0000743B0000}"/>
    <cellStyle name="Normal 13 2 2 2 5 3 2" xfId="26986" xr:uid="{00000000-0005-0000-0000-0000753B0000}"/>
    <cellStyle name="Normal 13 2 2 2 5 4" xfId="23194" xr:uid="{00000000-0005-0000-0000-0000763B0000}"/>
    <cellStyle name="Normal 13 2 2 2 6" xfId="13929" xr:uid="{00000000-0005-0000-0000-0000773B0000}"/>
    <cellStyle name="Normal 13 2 2 2 6 2" xfId="26987" xr:uid="{00000000-0005-0000-0000-0000783B0000}"/>
    <cellStyle name="Normal 13 2 2 2 7" xfId="13930" xr:uid="{00000000-0005-0000-0000-0000793B0000}"/>
    <cellStyle name="Normal 13 2 2 2 7 2" xfId="26988" xr:uid="{00000000-0005-0000-0000-00007A3B0000}"/>
    <cellStyle name="Normal 13 2 2 2 8" xfId="21038" xr:uid="{00000000-0005-0000-0000-00007B3B0000}"/>
    <cellStyle name="Normal 13 2 2 3" xfId="6615" xr:uid="{00000000-0005-0000-0000-00007C3B0000}"/>
    <cellStyle name="Normal 13 2 2 3 2" xfId="7311" xr:uid="{00000000-0005-0000-0000-00007D3B0000}"/>
    <cellStyle name="Normal 13 2 2 3 2 2" xfId="9190" xr:uid="{00000000-0005-0000-0000-00007E3B0000}"/>
    <cellStyle name="Normal 13 2 2 3 2 2 2" xfId="11569" xr:uid="{00000000-0005-0000-0000-00007F3B0000}"/>
    <cellStyle name="Normal 13 2 2 3 2 2 2 2" xfId="13931" xr:uid="{00000000-0005-0000-0000-0000803B0000}"/>
    <cellStyle name="Normal 13 2 2 3 2 2 2 2 2" xfId="26989" xr:uid="{00000000-0005-0000-0000-0000813B0000}"/>
    <cellStyle name="Normal 13 2 2 3 2 2 2 3" xfId="13932" xr:uid="{00000000-0005-0000-0000-0000823B0000}"/>
    <cellStyle name="Normal 13 2 2 3 2 2 2 3 2" xfId="26990" xr:uid="{00000000-0005-0000-0000-0000833B0000}"/>
    <cellStyle name="Normal 13 2 2 3 2 2 2 4" xfId="24939" xr:uid="{00000000-0005-0000-0000-0000843B0000}"/>
    <cellStyle name="Normal 13 2 2 3 2 2 3" xfId="13933" xr:uid="{00000000-0005-0000-0000-0000853B0000}"/>
    <cellStyle name="Normal 13 2 2 3 2 2 3 2" xfId="26991" xr:uid="{00000000-0005-0000-0000-0000863B0000}"/>
    <cellStyle name="Normal 13 2 2 3 2 2 4" xfId="13934" xr:uid="{00000000-0005-0000-0000-0000873B0000}"/>
    <cellStyle name="Normal 13 2 2 3 2 2 4 2" xfId="26992" xr:uid="{00000000-0005-0000-0000-0000883B0000}"/>
    <cellStyle name="Normal 13 2 2 3 2 2 5" xfId="22783" xr:uid="{00000000-0005-0000-0000-0000893B0000}"/>
    <cellStyle name="Normal 13 2 2 3 2 3" xfId="10491" xr:uid="{00000000-0005-0000-0000-00008A3B0000}"/>
    <cellStyle name="Normal 13 2 2 3 2 3 2" xfId="13935" xr:uid="{00000000-0005-0000-0000-00008B3B0000}"/>
    <cellStyle name="Normal 13 2 2 3 2 3 2 2" xfId="26993" xr:uid="{00000000-0005-0000-0000-00008C3B0000}"/>
    <cellStyle name="Normal 13 2 2 3 2 3 3" xfId="13936" xr:uid="{00000000-0005-0000-0000-00008D3B0000}"/>
    <cellStyle name="Normal 13 2 2 3 2 3 3 2" xfId="26994" xr:uid="{00000000-0005-0000-0000-00008E3B0000}"/>
    <cellStyle name="Normal 13 2 2 3 2 3 4" xfId="23861" xr:uid="{00000000-0005-0000-0000-00008F3B0000}"/>
    <cellStyle name="Normal 13 2 2 3 2 4" xfId="13937" xr:uid="{00000000-0005-0000-0000-0000903B0000}"/>
    <cellStyle name="Normal 13 2 2 3 2 4 2" xfId="26995" xr:uid="{00000000-0005-0000-0000-0000913B0000}"/>
    <cellStyle name="Normal 13 2 2 3 2 5" xfId="13938" xr:uid="{00000000-0005-0000-0000-0000923B0000}"/>
    <cellStyle name="Normal 13 2 2 3 2 5 2" xfId="26996" xr:uid="{00000000-0005-0000-0000-0000933B0000}"/>
    <cellStyle name="Normal 13 2 2 3 2 6" xfId="21705" xr:uid="{00000000-0005-0000-0000-0000943B0000}"/>
    <cellStyle name="Normal 13 2 2 3 3" xfId="8643" xr:uid="{00000000-0005-0000-0000-0000953B0000}"/>
    <cellStyle name="Normal 13 2 2 3 3 2" xfId="11029" xr:uid="{00000000-0005-0000-0000-0000963B0000}"/>
    <cellStyle name="Normal 13 2 2 3 3 2 2" xfId="13939" xr:uid="{00000000-0005-0000-0000-0000973B0000}"/>
    <cellStyle name="Normal 13 2 2 3 3 2 2 2" xfId="26997" xr:uid="{00000000-0005-0000-0000-0000983B0000}"/>
    <cellStyle name="Normal 13 2 2 3 3 2 3" xfId="13940" xr:uid="{00000000-0005-0000-0000-0000993B0000}"/>
    <cellStyle name="Normal 13 2 2 3 3 2 3 2" xfId="26998" xr:uid="{00000000-0005-0000-0000-00009A3B0000}"/>
    <cellStyle name="Normal 13 2 2 3 3 2 4" xfId="24399" xr:uid="{00000000-0005-0000-0000-00009B3B0000}"/>
    <cellStyle name="Normal 13 2 2 3 3 3" xfId="13941" xr:uid="{00000000-0005-0000-0000-00009C3B0000}"/>
    <cellStyle name="Normal 13 2 2 3 3 3 2" xfId="26999" xr:uid="{00000000-0005-0000-0000-00009D3B0000}"/>
    <cellStyle name="Normal 13 2 2 3 3 4" xfId="13942" xr:uid="{00000000-0005-0000-0000-00009E3B0000}"/>
    <cellStyle name="Normal 13 2 2 3 3 4 2" xfId="27000" xr:uid="{00000000-0005-0000-0000-00009F3B0000}"/>
    <cellStyle name="Normal 13 2 2 3 3 5" xfId="22243" xr:uid="{00000000-0005-0000-0000-0000A03B0000}"/>
    <cellStyle name="Normal 13 2 2 3 4" xfId="9951" xr:uid="{00000000-0005-0000-0000-0000A13B0000}"/>
    <cellStyle name="Normal 13 2 2 3 4 2" xfId="13943" xr:uid="{00000000-0005-0000-0000-0000A23B0000}"/>
    <cellStyle name="Normal 13 2 2 3 4 2 2" xfId="27001" xr:uid="{00000000-0005-0000-0000-0000A33B0000}"/>
    <cellStyle name="Normal 13 2 2 3 4 3" xfId="13944" xr:uid="{00000000-0005-0000-0000-0000A43B0000}"/>
    <cellStyle name="Normal 13 2 2 3 4 3 2" xfId="27002" xr:uid="{00000000-0005-0000-0000-0000A53B0000}"/>
    <cellStyle name="Normal 13 2 2 3 4 4" xfId="23321" xr:uid="{00000000-0005-0000-0000-0000A63B0000}"/>
    <cellStyle name="Normal 13 2 2 3 5" xfId="13945" xr:uid="{00000000-0005-0000-0000-0000A73B0000}"/>
    <cellStyle name="Normal 13 2 2 3 5 2" xfId="27003" xr:uid="{00000000-0005-0000-0000-0000A83B0000}"/>
    <cellStyle name="Normal 13 2 2 3 6" xfId="13946" xr:uid="{00000000-0005-0000-0000-0000A93B0000}"/>
    <cellStyle name="Normal 13 2 2 3 6 2" xfId="27004" xr:uid="{00000000-0005-0000-0000-0000AA3B0000}"/>
    <cellStyle name="Normal 13 2 2 3 7" xfId="21165" xr:uid="{00000000-0005-0000-0000-0000AB3B0000}"/>
    <cellStyle name="Normal 13 2 2 4" xfId="7041" xr:uid="{00000000-0005-0000-0000-0000AC3B0000}"/>
    <cellStyle name="Normal 13 2 2 4 2" xfId="8921" xr:uid="{00000000-0005-0000-0000-0000AD3B0000}"/>
    <cellStyle name="Normal 13 2 2 4 2 2" xfId="11300" xr:uid="{00000000-0005-0000-0000-0000AE3B0000}"/>
    <cellStyle name="Normal 13 2 2 4 2 2 2" xfId="13947" xr:uid="{00000000-0005-0000-0000-0000AF3B0000}"/>
    <cellStyle name="Normal 13 2 2 4 2 2 2 2" xfId="27005" xr:uid="{00000000-0005-0000-0000-0000B03B0000}"/>
    <cellStyle name="Normal 13 2 2 4 2 2 3" xfId="13948" xr:uid="{00000000-0005-0000-0000-0000B13B0000}"/>
    <cellStyle name="Normal 13 2 2 4 2 2 3 2" xfId="27006" xr:uid="{00000000-0005-0000-0000-0000B23B0000}"/>
    <cellStyle name="Normal 13 2 2 4 2 2 4" xfId="24670" xr:uid="{00000000-0005-0000-0000-0000B33B0000}"/>
    <cellStyle name="Normal 13 2 2 4 2 3" xfId="13949" xr:uid="{00000000-0005-0000-0000-0000B43B0000}"/>
    <cellStyle name="Normal 13 2 2 4 2 3 2" xfId="27007" xr:uid="{00000000-0005-0000-0000-0000B53B0000}"/>
    <cellStyle name="Normal 13 2 2 4 2 4" xfId="13950" xr:uid="{00000000-0005-0000-0000-0000B63B0000}"/>
    <cellStyle name="Normal 13 2 2 4 2 4 2" xfId="27008" xr:uid="{00000000-0005-0000-0000-0000B73B0000}"/>
    <cellStyle name="Normal 13 2 2 4 2 5" xfId="22514" xr:uid="{00000000-0005-0000-0000-0000B83B0000}"/>
    <cellStyle name="Normal 13 2 2 4 3" xfId="10222" xr:uid="{00000000-0005-0000-0000-0000B93B0000}"/>
    <cellStyle name="Normal 13 2 2 4 3 2" xfId="13951" xr:uid="{00000000-0005-0000-0000-0000BA3B0000}"/>
    <cellStyle name="Normal 13 2 2 4 3 2 2" xfId="27009" xr:uid="{00000000-0005-0000-0000-0000BB3B0000}"/>
    <cellStyle name="Normal 13 2 2 4 3 3" xfId="13952" xr:uid="{00000000-0005-0000-0000-0000BC3B0000}"/>
    <cellStyle name="Normal 13 2 2 4 3 3 2" xfId="27010" xr:uid="{00000000-0005-0000-0000-0000BD3B0000}"/>
    <cellStyle name="Normal 13 2 2 4 3 4" xfId="23592" xr:uid="{00000000-0005-0000-0000-0000BE3B0000}"/>
    <cellStyle name="Normal 13 2 2 4 4" xfId="13953" xr:uid="{00000000-0005-0000-0000-0000BF3B0000}"/>
    <cellStyle name="Normal 13 2 2 4 4 2" xfId="27011" xr:uid="{00000000-0005-0000-0000-0000C03B0000}"/>
    <cellStyle name="Normal 13 2 2 4 5" xfId="13954" xr:uid="{00000000-0005-0000-0000-0000C13B0000}"/>
    <cellStyle name="Normal 13 2 2 4 5 2" xfId="27012" xr:uid="{00000000-0005-0000-0000-0000C23B0000}"/>
    <cellStyle name="Normal 13 2 2 4 6" xfId="21436" xr:uid="{00000000-0005-0000-0000-0000C33B0000}"/>
    <cellStyle name="Normal 13 2 2 5" xfId="8245" xr:uid="{00000000-0005-0000-0000-0000C43B0000}"/>
    <cellStyle name="Normal 13 2 2 5 2" xfId="10760" xr:uid="{00000000-0005-0000-0000-0000C53B0000}"/>
    <cellStyle name="Normal 13 2 2 5 2 2" xfId="13955" xr:uid="{00000000-0005-0000-0000-0000C63B0000}"/>
    <cellStyle name="Normal 13 2 2 5 2 2 2" xfId="27013" xr:uid="{00000000-0005-0000-0000-0000C73B0000}"/>
    <cellStyle name="Normal 13 2 2 5 2 3" xfId="13956" xr:uid="{00000000-0005-0000-0000-0000C83B0000}"/>
    <cellStyle name="Normal 13 2 2 5 2 3 2" xfId="27014" xr:uid="{00000000-0005-0000-0000-0000C93B0000}"/>
    <cellStyle name="Normal 13 2 2 5 2 4" xfId="24130" xr:uid="{00000000-0005-0000-0000-0000CA3B0000}"/>
    <cellStyle name="Normal 13 2 2 5 3" xfId="13957" xr:uid="{00000000-0005-0000-0000-0000CB3B0000}"/>
    <cellStyle name="Normal 13 2 2 5 3 2" xfId="27015" xr:uid="{00000000-0005-0000-0000-0000CC3B0000}"/>
    <cellStyle name="Normal 13 2 2 5 4" xfId="13958" xr:uid="{00000000-0005-0000-0000-0000CD3B0000}"/>
    <cellStyle name="Normal 13 2 2 5 4 2" xfId="27016" xr:uid="{00000000-0005-0000-0000-0000CE3B0000}"/>
    <cellStyle name="Normal 13 2 2 5 5" xfId="21974" xr:uid="{00000000-0005-0000-0000-0000CF3B0000}"/>
    <cellStyle name="Normal 13 2 2 6" xfId="9681" xr:uid="{00000000-0005-0000-0000-0000D03B0000}"/>
    <cellStyle name="Normal 13 2 2 6 2" xfId="13959" xr:uid="{00000000-0005-0000-0000-0000D13B0000}"/>
    <cellStyle name="Normal 13 2 2 6 2 2" xfId="27017" xr:uid="{00000000-0005-0000-0000-0000D23B0000}"/>
    <cellStyle name="Normal 13 2 2 6 3" xfId="13960" xr:uid="{00000000-0005-0000-0000-0000D33B0000}"/>
    <cellStyle name="Normal 13 2 2 6 3 2" xfId="27018" xr:uid="{00000000-0005-0000-0000-0000D43B0000}"/>
    <cellStyle name="Normal 13 2 2 6 4" xfId="23052" xr:uid="{00000000-0005-0000-0000-0000D53B0000}"/>
    <cellStyle name="Normal 13 2 2 7" xfId="13961" xr:uid="{00000000-0005-0000-0000-0000D63B0000}"/>
    <cellStyle name="Normal 13 2 2 7 2" xfId="27019" xr:uid="{00000000-0005-0000-0000-0000D73B0000}"/>
    <cellStyle name="Normal 13 2 2 8" xfId="13962" xr:uid="{00000000-0005-0000-0000-0000D83B0000}"/>
    <cellStyle name="Normal 13 2 2 8 2" xfId="27020" xr:uid="{00000000-0005-0000-0000-0000D93B0000}"/>
    <cellStyle name="Normal 13 2 2 9" xfId="20895" xr:uid="{00000000-0005-0000-0000-0000DA3B0000}"/>
    <cellStyle name="Normal 13 2 3" xfId="5423" xr:uid="{00000000-0005-0000-0000-0000DB3B0000}"/>
    <cellStyle name="Normal 13 2 3 2" xfId="6706" xr:uid="{00000000-0005-0000-0000-0000DC3B0000}"/>
    <cellStyle name="Normal 13 2 3 2 2" xfId="7393" xr:uid="{00000000-0005-0000-0000-0000DD3B0000}"/>
    <cellStyle name="Normal 13 2 3 2 2 2" xfId="9272" xr:uid="{00000000-0005-0000-0000-0000DE3B0000}"/>
    <cellStyle name="Normal 13 2 3 2 2 2 2" xfId="11651" xr:uid="{00000000-0005-0000-0000-0000DF3B0000}"/>
    <cellStyle name="Normal 13 2 3 2 2 2 2 2" xfId="13963" xr:uid="{00000000-0005-0000-0000-0000E03B0000}"/>
    <cellStyle name="Normal 13 2 3 2 2 2 2 2 2" xfId="27021" xr:uid="{00000000-0005-0000-0000-0000E13B0000}"/>
    <cellStyle name="Normal 13 2 3 2 2 2 2 3" xfId="13964" xr:uid="{00000000-0005-0000-0000-0000E23B0000}"/>
    <cellStyle name="Normal 13 2 3 2 2 2 2 3 2" xfId="27022" xr:uid="{00000000-0005-0000-0000-0000E33B0000}"/>
    <cellStyle name="Normal 13 2 3 2 2 2 2 4" xfId="25021" xr:uid="{00000000-0005-0000-0000-0000E43B0000}"/>
    <cellStyle name="Normal 13 2 3 2 2 2 3" xfId="13965" xr:uid="{00000000-0005-0000-0000-0000E53B0000}"/>
    <cellStyle name="Normal 13 2 3 2 2 2 3 2" xfId="27023" xr:uid="{00000000-0005-0000-0000-0000E63B0000}"/>
    <cellStyle name="Normal 13 2 3 2 2 2 4" xfId="13966" xr:uid="{00000000-0005-0000-0000-0000E73B0000}"/>
    <cellStyle name="Normal 13 2 3 2 2 2 4 2" xfId="27024" xr:uid="{00000000-0005-0000-0000-0000E83B0000}"/>
    <cellStyle name="Normal 13 2 3 2 2 2 5" xfId="22865" xr:uid="{00000000-0005-0000-0000-0000E93B0000}"/>
    <cellStyle name="Normal 13 2 3 2 2 3" xfId="10573" xr:uid="{00000000-0005-0000-0000-0000EA3B0000}"/>
    <cellStyle name="Normal 13 2 3 2 2 3 2" xfId="13967" xr:uid="{00000000-0005-0000-0000-0000EB3B0000}"/>
    <cellStyle name="Normal 13 2 3 2 2 3 2 2" xfId="27025" xr:uid="{00000000-0005-0000-0000-0000EC3B0000}"/>
    <cellStyle name="Normal 13 2 3 2 2 3 3" xfId="13968" xr:uid="{00000000-0005-0000-0000-0000ED3B0000}"/>
    <cellStyle name="Normal 13 2 3 2 2 3 3 2" xfId="27026" xr:uid="{00000000-0005-0000-0000-0000EE3B0000}"/>
    <cellStyle name="Normal 13 2 3 2 2 3 4" xfId="23943" xr:uid="{00000000-0005-0000-0000-0000EF3B0000}"/>
    <cellStyle name="Normal 13 2 3 2 2 4" xfId="13969" xr:uid="{00000000-0005-0000-0000-0000F03B0000}"/>
    <cellStyle name="Normal 13 2 3 2 2 4 2" xfId="27027" xr:uid="{00000000-0005-0000-0000-0000F13B0000}"/>
    <cellStyle name="Normal 13 2 3 2 2 5" xfId="13970" xr:uid="{00000000-0005-0000-0000-0000F23B0000}"/>
    <cellStyle name="Normal 13 2 3 2 2 5 2" xfId="27028" xr:uid="{00000000-0005-0000-0000-0000F33B0000}"/>
    <cellStyle name="Normal 13 2 3 2 2 6" xfId="21787" xr:uid="{00000000-0005-0000-0000-0000F43B0000}"/>
    <cellStyle name="Normal 13 2 3 2 3" xfId="8726" xr:uid="{00000000-0005-0000-0000-0000F53B0000}"/>
    <cellStyle name="Normal 13 2 3 2 3 2" xfId="11111" xr:uid="{00000000-0005-0000-0000-0000F63B0000}"/>
    <cellStyle name="Normal 13 2 3 2 3 2 2" xfId="13971" xr:uid="{00000000-0005-0000-0000-0000F73B0000}"/>
    <cellStyle name="Normal 13 2 3 2 3 2 2 2" xfId="27029" xr:uid="{00000000-0005-0000-0000-0000F83B0000}"/>
    <cellStyle name="Normal 13 2 3 2 3 2 3" xfId="13972" xr:uid="{00000000-0005-0000-0000-0000F93B0000}"/>
    <cellStyle name="Normal 13 2 3 2 3 2 3 2" xfId="27030" xr:uid="{00000000-0005-0000-0000-0000FA3B0000}"/>
    <cellStyle name="Normal 13 2 3 2 3 2 4" xfId="24481" xr:uid="{00000000-0005-0000-0000-0000FB3B0000}"/>
    <cellStyle name="Normal 13 2 3 2 3 3" xfId="13973" xr:uid="{00000000-0005-0000-0000-0000FC3B0000}"/>
    <cellStyle name="Normal 13 2 3 2 3 3 2" xfId="27031" xr:uid="{00000000-0005-0000-0000-0000FD3B0000}"/>
    <cellStyle name="Normal 13 2 3 2 3 4" xfId="13974" xr:uid="{00000000-0005-0000-0000-0000FE3B0000}"/>
    <cellStyle name="Normal 13 2 3 2 3 4 2" xfId="27032" xr:uid="{00000000-0005-0000-0000-0000FF3B0000}"/>
    <cellStyle name="Normal 13 2 3 2 3 5" xfId="22325" xr:uid="{00000000-0005-0000-0000-0000003C0000}"/>
    <cellStyle name="Normal 13 2 3 2 4" xfId="10033" xr:uid="{00000000-0005-0000-0000-0000013C0000}"/>
    <cellStyle name="Normal 13 2 3 2 4 2" xfId="13975" xr:uid="{00000000-0005-0000-0000-0000023C0000}"/>
    <cellStyle name="Normal 13 2 3 2 4 2 2" xfId="27033" xr:uid="{00000000-0005-0000-0000-0000033C0000}"/>
    <cellStyle name="Normal 13 2 3 2 4 3" xfId="13976" xr:uid="{00000000-0005-0000-0000-0000043C0000}"/>
    <cellStyle name="Normal 13 2 3 2 4 3 2" xfId="27034" xr:uid="{00000000-0005-0000-0000-0000053C0000}"/>
    <cellStyle name="Normal 13 2 3 2 4 4" xfId="23403" xr:uid="{00000000-0005-0000-0000-0000063C0000}"/>
    <cellStyle name="Normal 13 2 3 2 5" xfId="13977" xr:uid="{00000000-0005-0000-0000-0000073C0000}"/>
    <cellStyle name="Normal 13 2 3 2 5 2" xfId="27035" xr:uid="{00000000-0005-0000-0000-0000083C0000}"/>
    <cellStyle name="Normal 13 2 3 2 6" xfId="13978" xr:uid="{00000000-0005-0000-0000-0000093C0000}"/>
    <cellStyle name="Normal 13 2 3 2 6 2" xfId="27036" xr:uid="{00000000-0005-0000-0000-00000A3C0000}"/>
    <cellStyle name="Normal 13 2 3 2 7" xfId="21247" xr:uid="{00000000-0005-0000-0000-00000B3C0000}"/>
    <cellStyle name="Normal 13 2 3 3" xfId="7124" xr:uid="{00000000-0005-0000-0000-00000C3C0000}"/>
    <cellStyle name="Normal 13 2 3 3 2" xfId="9003" xr:uid="{00000000-0005-0000-0000-00000D3C0000}"/>
    <cellStyle name="Normal 13 2 3 3 2 2" xfId="11382" xr:uid="{00000000-0005-0000-0000-00000E3C0000}"/>
    <cellStyle name="Normal 13 2 3 3 2 2 2" xfId="13979" xr:uid="{00000000-0005-0000-0000-00000F3C0000}"/>
    <cellStyle name="Normal 13 2 3 3 2 2 2 2" xfId="27037" xr:uid="{00000000-0005-0000-0000-0000103C0000}"/>
    <cellStyle name="Normal 13 2 3 3 2 2 3" xfId="13980" xr:uid="{00000000-0005-0000-0000-0000113C0000}"/>
    <cellStyle name="Normal 13 2 3 3 2 2 3 2" xfId="27038" xr:uid="{00000000-0005-0000-0000-0000123C0000}"/>
    <cellStyle name="Normal 13 2 3 3 2 2 4" xfId="24752" xr:uid="{00000000-0005-0000-0000-0000133C0000}"/>
    <cellStyle name="Normal 13 2 3 3 2 3" xfId="13981" xr:uid="{00000000-0005-0000-0000-0000143C0000}"/>
    <cellStyle name="Normal 13 2 3 3 2 3 2" xfId="27039" xr:uid="{00000000-0005-0000-0000-0000153C0000}"/>
    <cellStyle name="Normal 13 2 3 3 2 4" xfId="13982" xr:uid="{00000000-0005-0000-0000-0000163C0000}"/>
    <cellStyle name="Normal 13 2 3 3 2 4 2" xfId="27040" xr:uid="{00000000-0005-0000-0000-0000173C0000}"/>
    <cellStyle name="Normal 13 2 3 3 2 5" xfId="22596" xr:uid="{00000000-0005-0000-0000-0000183C0000}"/>
    <cellStyle name="Normal 13 2 3 3 3" xfId="10304" xr:uid="{00000000-0005-0000-0000-0000193C0000}"/>
    <cellStyle name="Normal 13 2 3 3 3 2" xfId="13983" xr:uid="{00000000-0005-0000-0000-00001A3C0000}"/>
    <cellStyle name="Normal 13 2 3 3 3 2 2" xfId="27041" xr:uid="{00000000-0005-0000-0000-00001B3C0000}"/>
    <cellStyle name="Normal 13 2 3 3 3 3" xfId="13984" xr:uid="{00000000-0005-0000-0000-00001C3C0000}"/>
    <cellStyle name="Normal 13 2 3 3 3 3 2" xfId="27042" xr:uid="{00000000-0005-0000-0000-00001D3C0000}"/>
    <cellStyle name="Normal 13 2 3 3 3 4" xfId="23674" xr:uid="{00000000-0005-0000-0000-00001E3C0000}"/>
    <cellStyle name="Normal 13 2 3 3 4" xfId="13985" xr:uid="{00000000-0005-0000-0000-00001F3C0000}"/>
    <cellStyle name="Normal 13 2 3 3 4 2" xfId="27043" xr:uid="{00000000-0005-0000-0000-0000203C0000}"/>
    <cellStyle name="Normal 13 2 3 3 5" xfId="13986" xr:uid="{00000000-0005-0000-0000-0000213C0000}"/>
    <cellStyle name="Normal 13 2 3 3 5 2" xfId="27044" xr:uid="{00000000-0005-0000-0000-0000223C0000}"/>
    <cellStyle name="Normal 13 2 3 3 6" xfId="21518" xr:uid="{00000000-0005-0000-0000-0000233C0000}"/>
    <cellStyle name="Normal 13 2 3 4" xfId="8394" xr:uid="{00000000-0005-0000-0000-0000243C0000}"/>
    <cellStyle name="Normal 13 2 3 4 2" xfId="10842" xr:uid="{00000000-0005-0000-0000-0000253C0000}"/>
    <cellStyle name="Normal 13 2 3 4 2 2" xfId="13987" xr:uid="{00000000-0005-0000-0000-0000263C0000}"/>
    <cellStyle name="Normal 13 2 3 4 2 2 2" xfId="27045" xr:uid="{00000000-0005-0000-0000-0000273C0000}"/>
    <cellStyle name="Normal 13 2 3 4 2 3" xfId="13988" xr:uid="{00000000-0005-0000-0000-0000283C0000}"/>
    <cellStyle name="Normal 13 2 3 4 2 3 2" xfId="27046" xr:uid="{00000000-0005-0000-0000-0000293C0000}"/>
    <cellStyle name="Normal 13 2 3 4 2 4" xfId="24212" xr:uid="{00000000-0005-0000-0000-00002A3C0000}"/>
    <cellStyle name="Normal 13 2 3 4 3" xfId="13989" xr:uid="{00000000-0005-0000-0000-00002B3C0000}"/>
    <cellStyle name="Normal 13 2 3 4 3 2" xfId="27047" xr:uid="{00000000-0005-0000-0000-00002C3C0000}"/>
    <cellStyle name="Normal 13 2 3 4 4" xfId="13990" xr:uid="{00000000-0005-0000-0000-00002D3C0000}"/>
    <cellStyle name="Normal 13 2 3 4 4 2" xfId="27048" xr:uid="{00000000-0005-0000-0000-00002E3C0000}"/>
    <cellStyle name="Normal 13 2 3 4 5" xfId="22056" xr:uid="{00000000-0005-0000-0000-00002F3C0000}"/>
    <cellStyle name="Normal 13 2 3 5" xfId="9764" xr:uid="{00000000-0005-0000-0000-0000303C0000}"/>
    <cellStyle name="Normal 13 2 3 5 2" xfId="13991" xr:uid="{00000000-0005-0000-0000-0000313C0000}"/>
    <cellStyle name="Normal 13 2 3 5 2 2" xfId="27049" xr:uid="{00000000-0005-0000-0000-0000323C0000}"/>
    <cellStyle name="Normal 13 2 3 5 3" xfId="13992" xr:uid="{00000000-0005-0000-0000-0000333C0000}"/>
    <cellStyle name="Normal 13 2 3 5 3 2" xfId="27050" xr:uid="{00000000-0005-0000-0000-0000343C0000}"/>
    <cellStyle name="Normal 13 2 3 5 4" xfId="23134" xr:uid="{00000000-0005-0000-0000-0000353C0000}"/>
    <cellStyle name="Normal 13 2 3 6" xfId="13993" xr:uid="{00000000-0005-0000-0000-0000363C0000}"/>
    <cellStyle name="Normal 13 2 3 6 2" xfId="27051" xr:uid="{00000000-0005-0000-0000-0000373C0000}"/>
    <cellStyle name="Normal 13 2 3 7" xfId="13994" xr:uid="{00000000-0005-0000-0000-0000383C0000}"/>
    <cellStyle name="Normal 13 2 3 7 2" xfId="27052" xr:uid="{00000000-0005-0000-0000-0000393C0000}"/>
    <cellStyle name="Normal 13 2 3 8" xfId="20978" xr:uid="{00000000-0005-0000-0000-00003A3C0000}"/>
    <cellStyle name="Normal 13 2 4" xfId="6555" xr:uid="{00000000-0005-0000-0000-00003B3C0000}"/>
    <cellStyle name="Normal 13 2 4 2" xfId="7256" xr:uid="{00000000-0005-0000-0000-00003C3C0000}"/>
    <cellStyle name="Normal 13 2 4 2 2" xfId="9135" xr:uid="{00000000-0005-0000-0000-00003D3C0000}"/>
    <cellStyle name="Normal 13 2 4 2 2 2" xfId="11514" xr:uid="{00000000-0005-0000-0000-00003E3C0000}"/>
    <cellStyle name="Normal 13 2 4 2 2 2 2" xfId="13995" xr:uid="{00000000-0005-0000-0000-00003F3C0000}"/>
    <cellStyle name="Normal 13 2 4 2 2 2 2 2" xfId="27053" xr:uid="{00000000-0005-0000-0000-0000403C0000}"/>
    <cellStyle name="Normal 13 2 4 2 2 2 3" xfId="13996" xr:uid="{00000000-0005-0000-0000-0000413C0000}"/>
    <cellStyle name="Normal 13 2 4 2 2 2 3 2" xfId="27054" xr:uid="{00000000-0005-0000-0000-0000423C0000}"/>
    <cellStyle name="Normal 13 2 4 2 2 2 4" xfId="24884" xr:uid="{00000000-0005-0000-0000-0000433C0000}"/>
    <cellStyle name="Normal 13 2 4 2 2 3" xfId="13997" xr:uid="{00000000-0005-0000-0000-0000443C0000}"/>
    <cellStyle name="Normal 13 2 4 2 2 3 2" xfId="27055" xr:uid="{00000000-0005-0000-0000-0000453C0000}"/>
    <cellStyle name="Normal 13 2 4 2 2 4" xfId="13998" xr:uid="{00000000-0005-0000-0000-0000463C0000}"/>
    <cellStyle name="Normal 13 2 4 2 2 4 2" xfId="27056" xr:uid="{00000000-0005-0000-0000-0000473C0000}"/>
    <cellStyle name="Normal 13 2 4 2 2 5" xfId="22728" xr:uid="{00000000-0005-0000-0000-0000483C0000}"/>
    <cellStyle name="Normal 13 2 4 2 3" xfId="10436" xr:uid="{00000000-0005-0000-0000-0000493C0000}"/>
    <cellStyle name="Normal 13 2 4 2 3 2" xfId="13999" xr:uid="{00000000-0005-0000-0000-00004A3C0000}"/>
    <cellStyle name="Normal 13 2 4 2 3 2 2" xfId="27057" xr:uid="{00000000-0005-0000-0000-00004B3C0000}"/>
    <cellStyle name="Normal 13 2 4 2 3 3" xfId="14000" xr:uid="{00000000-0005-0000-0000-00004C3C0000}"/>
    <cellStyle name="Normal 13 2 4 2 3 3 2" xfId="27058" xr:uid="{00000000-0005-0000-0000-00004D3C0000}"/>
    <cellStyle name="Normal 13 2 4 2 3 4" xfId="23806" xr:uid="{00000000-0005-0000-0000-00004E3C0000}"/>
    <cellStyle name="Normal 13 2 4 2 4" xfId="14001" xr:uid="{00000000-0005-0000-0000-00004F3C0000}"/>
    <cellStyle name="Normal 13 2 4 2 4 2" xfId="27059" xr:uid="{00000000-0005-0000-0000-0000503C0000}"/>
    <cellStyle name="Normal 13 2 4 2 5" xfId="14002" xr:uid="{00000000-0005-0000-0000-0000513C0000}"/>
    <cellStyle name="Normal 13 2 4 2 5 2" xfId="27060" xr:uid="{00000000-0005-0000-0000-0000523C0000}"/>
    <cellStyle name="Normal 13 2 4 2 6" xfId="21650" xr:uid="{00000000-0005-0000-0000-0000533C0000}"/>
    <cellStyle name="Normal 13 2 4 3" xfId="8588" xr:uid="{00000000-0005-0000-0000-0000543C0000}"/>
    <cellStyle name="Normal 13 2 4 3 2" xfId="10974" xr:uid="{00000000-0005-0000-0000-0000553C0000}"/>
    <cellStyle name="Normal 13 2 4 3 2 2" xfId="14003" xr:uid="{00000000-0005-0000-0000-0000563C0000}"/>
    <cellStyle name="Normal 13 2 4 3 2 2 2" xfId="27061" xr:uid="{00000000-0005-0000-0000-0000573C0000}"/>
    <cellStyle name="Normal 13 2 4 3 2 3" xfId="14004" xr:uid="{00000000-0005-0000-0000-0000583C0000}"/>
    <cellStyle name="Normal 13 2 4 3 2 3 2" xfId="27062" xr:uid="{00000000-0005-0000-0000-0000593C0000}"/>
    <cellStyle name="Normal 13 2 4 3 2 4" xfId="24344" xr:uid="{00000000-0005-0000-0000-00005A3C0000}"/>
    <cellStyle name="Normal 13 2 4 3 3" xfId="14005" xr:uid="{00000000-0005-0000-0000-00005B3C0000}"/>
    <cellStyle name="Normal 13 2 4 3 3 2" xfId="27063" xr:uid="{00000000-0005-0000-0000-00005C3C0000}"/>
    <cellStyle name="Normal 13 2 4 3 4" xfId="14006" xr:uid="{00000000-0005-0000-0000-00005D3C0000}"/>
    <cellStyle name="Normal 13 2 4 3 4 2" xfId="27064" xr:uid="{00000000-0005-0000-0000-00005E3C0000}"/>
    <cellStyle name="Normal 13 2 4 3 5" xfId="22188" xr:uid="{00000000-0005-0000-0000-00005F3C0000}"/>
    <cellStyle name="Normal 13 2 4 4" xfId="9896" xr:uid="{00000000-0005-0000-0000-0000603C0000}"/>
    <cellStyle name="Normal 13 2 4 4 2" xfId="14007" xr:uid="{00000000-0005-0000-0000-0000613C0000}"/>
    <cellStyle name="Normal 13 2 4 4 2 2" xfId="27065" xr:uid="{00000000-0005-0000-0000-0000623C0000}"/>
    <cellStyle name="Normal 13 2 4 4 3" xfId="14008" xr:uid="{00000000-0005-0000-0000-0000633C0000}"/>
    <cellStyle name="Normal 13 2 4 4 3 2" xfId="27066" xr:uid="{00000000-0005-0000-0000-0000643C0000}"/>
    <cellStyle name="Normal 13 2 4 4 4" xfId="23266" xr:uid="{00000000-0005-0000-0000-0000653C0000}"/>
    <cellStyle name="Normal 13 2 4 5" xfId="14009" xr:uid="{00000000-0005-0000-0000-0000663C0000}"/>
    <cellStyle name="Normal 13 2 4 5 2" xfId="27067" xr:uid="{00000000-0005-0000-0000-0000673C0000}"/>
    <cellStyle name="Normal 13 2 4 6" xfId="14010" xr:uid="{00000000-0005-0000-0000-0000683C0000}"/>
    <cellStyle name="Normal 13 2 4 6 2" xfId="27068" xr:uid="{00000000-0005-0000-0000-0000693C0000}"/>
    <cellStyle name="Normal 13 2 4 7" xfId="21110" xr:uid="{00000000-0005-0000-0000-00006A3C0000}"/>
    <cellStyle name="Normal 13 2 5" xfId="6986" xr:uid="{00000000-0005-0000-0000-00006B3C0000}"/>
    <cellStyle name="Normal 13 2 5 2" xfId="8866" xr:uid="{00000000-0005-0000-0000-00006C3C0000}"/>
    <cellStyle name="Normal 13 2 5 2 2" xfId="11245" xr:uid="{00000000-0005-0000-0000-00006D3C0000}"/>
    <cellStyle name="Normal 13 2 5 2 2 2" xfId="14011" xr:uid="{00000000-0005-0000-0000-00006E3C0000}"/>
    <cellStyle name="Normal 13 2 5 2 2 2 2" xfId="27069" xr:uid="{00000000-0005-0000-0000-00006F3C0000}"/>
    <cellStyle name="Normal 13 2 5 2 2 3" xfId="14012" xr:uid="{00000000-0005-0000-0000-0000703C0000}"/>
    <cellStyle name="Normal 13 2 5 2 2 3 2" xfId="27070" xr:uid="{00000000-0005-0000-0000-0000713C0000}"/>
    <cellStyle name="Normal 13 2 5 2 2 4" xfId="24615" xr:uid="{00000000-0005-0000-0000-0000723C0000}"/>
    <cellStyle name="Normal 13 2 5 2 3" xfId="14013" xr:uid="{00000000-0005-0000-0000-0000733C0000}"/>
    <cellStyle name="Normal 13 2 5 2 3 2" xfId="27071" xr:uid="{00000000-0005-0000-0000-0000743C0000}"/>
    <cellStyle name="Normal 13 2 5 2 4" xfId="14014" xr:uid="{00000000-0005-0000-0000-0000753C0000}"/>
    <cellStyle name="Normal 13 2 5 2 4 2" xfId="27072" xr:uid="{00000000-0005-0000-0000-0000763C0000}"/>
    <cellStyle name="Normal 13 2 5 2 5" xfId="22459" xr:uid="{00000000-0005-0000-0000-0000773C0000}"/>
    <cellStyle name="Normal 13 2 5 3" xfId="10167" xr:uid="{00000000-0005-0000-0000-0000783C0000}"/>
    <cellStyle name="Normal 13 2 5 3 2" xfId="14015" xr:uid="{00000000-0005-0000-0000-0000793C0000}"/>
    <cellStyle name="Normal 13 2 5 3 2 2" xfId="27073" xr:uid="{00000000-0005-0000-0000-00007A3C0000}"/>
    <cellStyle name="Normal 13 2 5 3 3" xfId="14016" xr:uid="{00000000-0005-0000-0000-00007B3C0000}"/>
    <cellStyle name="Normal 13 2 5 3 3 2" xfId="27074" xr:uid="{00000000-0005-0000-0000-00007C3C0000}"/>
    <cellStyle name="Normal 13 2 5 3 4" xfId="23537" xr:uid="{00000000-0005-0000-0000-00007D3C0000}"/>
    <cellStyle name="Normal 13 2 5 4" xfId="14017" xr:uid="{00000000-0005-0000-0000-00007E3C0000}"/>
    <cellStyle name="Normal 13 2 5 4 2" xfId="27075" xr:uid="{00000000-0005-0000-0000-00007F3C0000}"/>
    <cellStyle name="Normal 13 2 5 5" xfId="14018" xr:uid="{00000000-0005-0000-0000-0000803C0000}"/>
    <cellStyle name="Normal 13 2 5 5 2" xfId="27076" xr:uid="{00000000-0005-0000-0000-0000813C0000}"/>
    <cellStyle name="Normal 13 2 5 6" xfId="21381" xr:uid="{00000000-0005-0000-0000-0000823C0000}"/>
    <cellStyle name="Normal 13 2 6" xfId="8163" xr:uid="{00000000-0005-0000-0000-0000833C0000}"/>
    <cellStyle name="Normal 13 2 6 2" xfId="10705" xr:uid="{00000000-0005-0000-0000-0000843C0000}"/>
    <cellStyle name="Normal 13 2 6 2 2" xfId="14019" xr:uid="{00000000-0005-0000-0000-0000853C0000}"/>
    <cellStyle name="Normal 13 2 6 2 2 2" xfId="27077" xr:uid="{00000000-0005-0000-0000-0000863C0000}"/>
    <cellStyle name="Normal 13 2 6 2 3" xfId="14020" xr:uid="{00000000-0005-0000-0000-0000873C0000}"/>
    <cellStyle name="Normal 13 2 6 2 3 2" xfId="27078" xr:uid="{00000000-0005-0000-0000-0000883C0000}"/>
    <cellStyle name="Normal 13 2 6 2 4" xfId="24075" xr:uid="{00000000-0005-0000-0000-0000893C0000}"/>
    <cellStyle name="Normal 13 2 6 3" xfId="14021" xr:uid="{00000000-0005-0000-0000-00008A3C0000}"/>
    <cellStyle name="Normal 13 2 6 3 2" xfId="27079" xr:uid="{00000000-0005-0000-0000-00008B3C0000}"/>
    <cellStyle name="Normal 13 2 6 4" xfId="14022" xr:uid="{00000000-0005-0000-0000-00008C3C0000}"/>
    <cellStyle name="Normal 13 2 6 4 2" xfId="27080" xr:uid="{00000000-0005-0000-0000-00008D3C0000}"/>
    <cellStyle name="Normal 13 2 6 5" xfId="21919" xr:uid="{00000000-0005-0000-0000-00008E3C0000}"/>
    <cellStyle name="Normal 13 2 7" xfId="9626" xr:uid="{00000000-0005-0000-0000-00008F3C0000}"/>
    <cellStyle name="Normal 13 2 7 2" xfId="14023" xr:uid="{00000000-0005-0000-0000-0000903C0000}"/>
    <cellStyle name="Normal 13 2 7 2 2" xfId="27081" xr:uid="{00000000-0005-0000-0000-0000913C0000}"/>
    <cellStyle name="Normal 13 2 7 3" xfId="14024" xr:uid="{00000000-0005-0000-0000-0000923C0000}"/>
    <cellStyle name="Normal 13 2 7 3 2" xfId="27082" xr:uid="{00000000-0005-0000-0000-0000933C0000}"/>
    <cellStyle name="Normal 13 2 7 4" xfId="22997" xr:uid="{00000000-0005-0000-0000-0000943C0000}"/>
    <cellStyle name="Normal 13 2 8" xfId="14025" xr:uid="{00000000-0005-0000-0000-0000953C0000}"/>
    <cellStyle name="Normal 13 2 8 2" xfId="27083" xr:uid="{00000000-0005-0000-0000-0000963C0000}"/>
    <cellStyle name="Normal 13 2 9" xfId="14026" xr:uid="{00000000-0005-0000-0000-0000973C0000}"/>
    <cellStyle name="Normal 13 2 9 2" xfId="27084" xr:uid="{00000000-0005-0000-0000-0000983C0000}"/>
    <cellStyle name="Normal 13 3" xfId="3881" xr:uid="{00000000-0005-0000-0000-0000993C0000}"/>
    <cellStyle name="Normal 13 3 10" xfId="20856" xr:uid="{00000000-0005-0000-0000-00009A3C0000}"/>
    <cellStyle name="Normal 13 3 2" xfId="4094" xr:uid="{00000000-0005-0000-0000-00009B3C0000}"/>
    <cellStyle name="Normal 13 3 2 2" xfId="5630" xr:uid="{00000000-0005-0000-0000-00009C3C0000}"/>
    <cellStyle name="Normal 13 3 2 2 2" xfId="6782" xr:uid="{00000000-0005-0000-0000-00009D3C0000}"/>
    <cellStyle name="Normal 13 3 2 2 2 2" xfId="7469" xr:uid="{00000000-0005-0000-0000-00009E3C0000}"/>
    <cellStyle name="Normal 13 3 2 2 2 2 2" xfId="9348" xr:uid="{00000000-0005-0000-0000-00009F3C0000}"/>
    <cellStyle name="Normal 13 3 2 2 2 2 2 2" xfId="11727" xr:uid="{00000000-0005-0000-0000-0000A03C0000}"/>
    <cellStyle name="Normal 13 3 2 2 2 2 2 2 2" xfId="14027" xr:uid="{00000000-0005-0000-0000-0000A13C0000}"/>
    <cellStyle name="Normal 13 3 2 2 2 2 2 2 2 2" xfId="27085" xr:uid="{00000000-0005-0000-0000-0000A23C0000}"/>
    <cellStyle name="Normal 13 3 2 2 2 2 2 2 3" xfId="14028" xr:uid="{00000000-0005-0000-0000-0000A33C0000}"/>
    <cellStyle name="Normal 13 3 2 2 2 2 2 2 3 2" xfId="27086" xr:uid="{00000000-0005-0000-0000-0000A43C0000}"/>
    <cellStyle name="Normal 13 3 2 2 2 2 2 2 4" xfId="25097" xr:uid="{00000000-0005-0000-0000-0000A53C0000}"/>
    <cellStyle name="Normal 13 3 2 2 2 2 2 3" xfId="14029" xr:uid="{00000000-0005-0000-0000-0000A63C0000}"/>
    <cellStyle name="Normal 13 3 2 2 2 2 2 3 2" xfId="27087" xr:uid="{00000000-0005-0000-0000-0000A73C0000}"/>
    <cellStyle name="Normal 13 3 2 2 2 2 2 4" xfId="14030" xr:uid="{00000000-0005-0000-0000-0000A83C0000}"/>
    <cellStyle name="Normal 13 3 2 2 2 2 2 4 2" xfId="27088" xr:uid="{00000000-0005-0000-0000-0000A93C0000}"/>
    <cellStyle name="Normal 13 3 2 2 2 2 2 5" xfId="22941" xr:uid="{00000000-0005-0000-0000-0000AA3C0000}"/>
    <cellStyle name="Normal 13 3 2 2 2 2 3" xfId="10649" xr:uid="{00000000-0005-0000-0000-0000AB3C0000}"/>
    <cellStyle name="Normal 13 3 2 2 2 2 3 2" xfId="14031" xr:uid="{00000000-0005-0000-0000-0000AC3C0000}"/>
    <cellStyle name="Normal 13 3 2 2 2 2 3 2 2" xfId="27089" xr:uid="{00000000-0005-0000-0000-0000AD3C0000}"/>
    <cellStyle name="Normal 13 3 2 2 2 2 3 3" xfId="14032" xr:uid="{00000000-0005-0000-0000-0000AE3C0000}"/>
    <cellStyle name="Normal 13 3 2 2 2 2 3 3 2" xfId="27090" xr:uid="{00000000-0005-0000-0000-0000AF3C0000}"/>
    <cellStyle name="Normal 13 3 2 2 2 2 3 4" xfId="24019" xr:uid="{00000000-0005-0000-0000-0000B03C0000}"/>
    <cellStyle name="Normal 13 3 2 2 2 2 4" xfId="14033" xr:uid="{00000000-0005-0000-0000-0000B13C0000}"/>
    <cellStyle name="Normal 13 3 2 2 2 2 4 2" xfId="27091" xr:uid="{00000000-0005-0000-0000-0000B23C0000}"/>
    <cellStyle name="Normal 13 3 2 2 2 2 5" xfId="14034" xr:uid="{00000000-0005-0000-0000-0000B33C0000}"/>
    <cellStyle name="Normal 13 3 2 2 2 2 5 2" xfId="27092" xr:uid="{00000000-0005-0000-0000-0000B43C0000}"/>
    <cellStyle name="Normal 13 3 2 2 2 2 6" xfId="21863" xr:uid="{00000000-0005-0000-0000-0000B53C0000}"/>
    <cellStyle name="Normal 13 3 2 2 2 3" xfId="8802" xr:uid="{00000000-0005-0000-0000-0000B63C0000}"/>
    <cellStyle name="Normal 13 3 2 2 2 3 2" xfId="11187" xr:uid="{00000000-0005-0000-0000-0000B73C0000}"/>
    <cellStyle name="Normal 13 3 2 2 2 3 2 2" xfId="14035" xr:uid="{00000000-0005-0000-0000-0000B83C0000}"/>
    <cellStyle name="Normal 13 3 2 2 2 3 2 2 2" xfId="27093" xr:uid="{00000000-0005-0000-0000-0000B93C0000}"/>
    <cellStyle name="Normal 13 3 2 2 2 3 2 3" xfId="14036" xr:uid="{00000000-0005-0000-0000-0000BA3C0000}"/>
    <cellStyle name="Normal 13 3 2 2 2 3 2 3 2" xfId="27094" xr:uid="{00000000-0005-0000-0000-0000BB3C0000}"/>
    <cellStyle name="Normal 13 3 2 2 2 3 2 4" xfId="24557" xr:uid="{00000000-0005-0000-0000-0000BC3C0000}"/>
    <cellStyle name="Normal 13 3 2 2 2 3 3" xfId="14037" xr:uid="{00000000-0005-0000-0000-0000BD3C0000}"/>
    <cellStyle name="Normal 13 3 2 2 2 3 3 2" xfId="27095" xr:uid="{00000000-0005-0000-0000-0000BE3C0000}"/>
    <cellStyle name="Normal 13 3 2 2 2 3 4" xfId="14038" xr:uid="{00000000-0005-0000-0000-0000BF3C0000}"/>
    <cellStyle name="Normal 13 3 2 2 2 3 4 2" xfId="27096" xr:uid="{00000000-0005-0000-0000-0000C03C0000}"/>
    <cellStyle name="Normal 13 3 2 2 2 3 5" xfId="22401" xr:uid="{00000000-0005-0000-0000-0000C13C0000}"/>
    <cellStyle name="Normal 13 3 2 2 2 4" xfId="10109" xr:uid="{00000000-0005-0000-0000-0000C23C0000}"/>
    <cellStyle name="Normal 13 3 2 2 2 4 2" xfId="14039" xr:uid="{00000000-0005-0000-0000-0000C33C0000}"/>
    <cellStyle name="Normal 13 3 2 2 2 4 2 2" xfId="27097" xr:uid="{00000000-0005-0000-0000-0000C43C0000}"/>
    <cellStyle name="Normal 13 3 2 2 2 4 3" xfId="14040" xr:uid="{00000000-0005-0000-0000-0000C53C0000}"/>
    <cellStyle name="Normal 13 3 2 2 2 4 3 2" xfId="27098" xr:uid="{00000000-0005-0000-0000-0000C63C0000}"/>
    <cellStyle name="Normal 13 3 2 2 2 4 4" xfId="23479" xr:uid="{00000000-0005-0000-0000-0000C73C0000}"/>
    <cellStyle name="Normal 13 3 2 2 2 5" xfId="14041" xr:uid="{00000000-0005-0000-0000-0000C83C0000}"/>
    <cellStyle name="Normal 13 3 2 2 2 5 2" xfId="27099" xr:uid="{00000000-0005-0000-0000-0000C93C0000}"/>
    <cellStyle name="Normal 13 3 2 2 2 6" xfId="14042" xr:uid="{00000000-0005-0000-0000-0000CA3C0000}"/>
    <cellStyle name="Normal 13 3 2 2 2 6 2" xfId="27100" xr:uid="{00000000-0005-0000-0000-0000CB3C0000}"/>
    <cellStyle name="Normal 13 3 2 2 2 7" xfId="21323" xr:uid="{00000000-0005-0000-0000-0000CC3C0000}"/>
    <cellStyle name="Normal 13 3 2 2 3" xfId="7200" xr:uid="{00000000-0005-0000-0000-0000CD3C0000}"/>
    <cellStyle name="Normal 13 3 2 2 3 2" xfId="9079" xr:uid="{00000000-0005-0000-0000-0000CE3C0000}"/>
    <cellStyle name="Normal 13 3 2 2 3 2 2" xfId="11458" xr:uid="{00000000-0005-0000-0000-0000CF3C0000}"/>
    <cellStyle name="Normal 13 3 2 2 3 2 2 2" xfId="14043" xr:uid="{00000000-0005-0000-0000-0000D03C0000}"/>
    <cellStyle name="Normal 13 3 2 2 3 2 2 2 2" xfId="27101" xr:uid="{00000000-0005-0000-0000-0000D13C0000}"/>
    <cellStyle name="Normal 13 3 2 2 3 2 2 3" xfId="14044" xr:uid="{00000000-0005-0000-0000-0000D23C0000}"/>
    <cellStyle name="Normal 13 3 2 2 3 2 2 3 2" xfId="27102" xr:uid="{00000000-0005-0000-0000-0000D33C0000}"/>
    <cellStyle name="Normal 13 3 2 2 3 2 2 4" xfId="24828" xr:uid="{00000000-0005-0000-0000-0000D43C0000}"/>
    <cellStyle name="Normal 13 3 2 2 3 2 3" xfId="14045" xr:uid="{00000000-0005-0000-0000-0000D53C0000}"/>
    <cellStyle name="Normal 13 3 2 2 3 2 3 2" xfId="27103" xr:uid="{00000000-0005-0000-0000-0000D63C0000}"/>
    <cellStyle name="Normal 13 3 2 2 3 2 4" xfId="14046" xr:uid="{00000000-0005-0000-0000-0000D73C0000}"/>
    <cellStyle name="Normal 13 3 2 2 3 2 4 2" xfId="27104" xr:uid="{00000000-0005-0000-0000-0000D83C0000}"/>
    <cellStyle name="Normal 13 3 2 2 3 2 5" xfId="22672" xr:uid="{00000000-0005-0000-0000-0000D93C0000}"/>
    <cellStyle name="Normal 13 3 2 2 3 3" xfId="10380" xr:uid="{00000000-0005-0000-0000-0000DA3C0000}"/>
    <cellStyle name="Normal 13 3 2 2 3 3 2" xfId="14047" xr:uid="{00000000-0005-0000-0000-0000DB3C0000}"/>
    <cellStyle name="Normal 13 3 2 2 3 3 2 2" xfId="27105" xr:uid="{00000000-0005-0000-0000-0000DC3C0000}"/>
    <cellStyle name="Normal 13 3 2 2 3 3 3" xfId="14048" xr:uid="{00000000-0005-0000-0000-0000DD3C0000}"/>
    <cellStyle name="Normal 13 3 2 2 3 3 3 2" xfId="27106" xr:uid="{00000000-0005-0000-0000-0000DE3C0000}"/>
    <cellStyle name="Normal 13 3 2 2 3 3 4" xfId="23750" xr:uid="{00000000-0005-0000-0000-0000DF3C0000}"/>
    <cellStyle name="Normal 13 3 2 2 3 4" xfId="14049" xr:uid="{00000000-0005-0000-0000-0000E03C0000}"/>
    <cellStyle name="Normal 13 3 2 2 3 4 2" xfId="27107" xr:uid="{00000000-0005-0000-0000-0000E13C0000}"/>
    <cellStyle name="Normal 13 3 2 2 3 5" xfId="14050" xr:uid="{00000000-0005-0000-0000-0000E23C0000}"/>
    <cellStyle name="Normal 13 3 2 2 3 5 2" xfId="27108" xr:uid="{00000000-0005-0000-0000-0000E33C0000}"/>
    <cellStyle name="Normal 13 3 2 2 3 6" xfId="21594" xr:uid="{00000000-0005-0000-0000-0000E43C0000}"/>
    <cellStyle name="Normal 13 3 2 2 4" xfId="8477" xr:uid="{00000000-0005-0000-0000-0000E53C0000}"/>
    <cellStyle name="Normal 13 3 2 2 4 2" xfId="10918" xr:uid="{00000000-0005-0000-0000-0000E63C0000}"/>
    <cellStyle name="Normal 13 3 2 2 4 2 2" xfId="14051" xr:uid="{00000000-0005-0000-0000-0000E73C0000}"/>
    <cellStyle name="Normal 13 3 2 2 4 2 2 2" xfId="27109" xr:uid="{00000000-0005-0000-0000-0000E83C0000}"/>
    <cellStyle name="Normal 13 3 2 2 4 2 3" xfId="14052" xr:uid="{00000000-0005-0000-0000-0000E93C0000}"/>
    <cellStyle name="Normal 13 3 2 2 4 2 3 2" xfId="27110" xr:uid="{00000000-0005-0000-0000-0000EA3C0000}"/>
    <cellStyle name="Normal 13 3 2 2 4 2 4" xfId="24288" xr:uid="{00000000-0005-0000-0000-0000EB3C0000}"/>
    <cellStyle name="Normal 13 3 2 2 4 3" xfId="14053" xr:uid="{00000000-0005-0000-0000-0000EC3C0000}"/>
    <cellStyle name="Normal 13 3 2 2 4 3 2" xfId="27111" xr:uid="{00000000-0005-0000-0000-0000ED3C0000}"/>
    <cellStyle name="Normal 13 3 2 2 4 4" xfId="14054" xr:uid="{00000000-0005-0000-0000-0000EE3C0000}"/>
    <cellStyle name="Normal 13 3 2 2 4 4 2" xfId="27112" xr:uid="{00000000-0005-0000-0000-0000EF3C0000}"/>
    <cellStyle name="Normal 13 3 2 2 4 5" xfId="22132" xr:uid="{00000000-0005-0000-0000-0000F03C0000}"/>
    <cellStyle name="Normal 13 3 2 2 5" xfId="9840" xr:uid="{00000000-0005-0000-0000-0000F13C0000}"/>
    <cellStyle name="Normal 13 3 2 2 5 2" xfId="14055" xr:uid="{00000000-0005-0000-0000-0000F23C0000}"/>
    <cellStyle name="Normal 13 3 2 2 5 2 2" xfId="27113" xr:uid="{00000000-0005-0000-0000-0000F33C0000}"/>
    <cellStyle name="Normal 13 3 2 2 5 3" xfId="14056" xr:uid="{00000000-0005-0000-0000-0000F43C0000}"/>
    <cellStyle name="Normal 13 3 2 2 5 3 2" xfId="27114" xr:uid="{00000000-0005-0000-0000-0000F53C0000}"/>
    <cellStyle name="Normal 13 3 2 2 5 4" xfId="23210" xr:uid="{00000000-0005-0000-0000-0000F63C0000}"/>
    <cellStyle name="Normal 13 3 2 2 6" xfId="14057" xr:uid="{00000000-0005-0000-0000-0000F73C0000}"/>
    <cellStyle name="Normal 13 3 2 2 6 2" xfId="27115" xr:uid="{00000000-0005-0000-0000-0000F83C0000}"/>
    <cellStyle name="Normal 13 3 2 2 7" xfId="14058" xr:uid="{00000000-0005-0000-0000-0000F93C0000}"/>
    <cellStyle name="Normal 13 3 2 2 7 2" xfId="27116" xr:uid="{00000000-0005-0000-0000-0000FA3C0000}"/>
    <cellStyle name="Normal 13 3 2 2 8" xfId="21054" xr:uid="{00000000-0005-0000-0000-0000FB3C0000}"/>
    <cellStyle name="Normal 13 3 2 3" xfId="6631" xr:uid="{00000000-0005-0000-0000-0000FC3C0000}"/>
    <cellStyle name="Normal 13 3 2 3 2" xfId="7327" xr:uid="{00000000-0005-0000-0000-0000FD3C0000}"/>
    <cellStyle name="Normal 13 3 2 3 2 2" xfId="9206" xr:uid="{00000000-0005-0000-0000-0000FE3C0000}"/>
    <cellStyle name="Normal 13 3 2 3 2 2 2" xfId="11585" xr:uid="{00000000-0005-0000-0000-0000FF3C0000}"/>
    <cellStyle name="Normal 13 3 2 3 2 2 2 2" xfId="14059" xr:uid="{00000000-0005-0000-0000-0000003D0000}"/>
    <cellStyle name="Normal 13 3 2 3 2 2 2 2 2" xfId="27117" xr:uid="{00000000-0005-0000-0000-0000013D0000}"/>
    <cellStyle name="Normal 13 3 2 3 2 2 2 3" xfId="14060" xr:uid="{00000000-0005-0000-0000-0000023D0000}"/>
    <cellStyle name="Normal 13 3 2 3 2 2 2 3 2" xfId="27118" xr:uid="{00000000-0005-0000-0000-0000033D0000}"/>
    <cellStyle name="Normal 13 3 2 3 2 2 2 4" xfId="24955" xr:uid="{00000000-0005-0000-0000-0000043D0000}"/>
    <cellStyle name="Normal 13 3 2 3 2 2 3" xfId="14061" xr:uid="{00000000-0005-0000-0000-0000053D0000}"/>
    <cellStyle name="Normal 13 3 2 3 2 2 3 2" xfId="27119" xr:uid="{00000000-0005-0000-0000-0000063D0000}"/>
    <cellStyle name="Normal 13 3 2 3 2 2 4" xfId="14062" xr:uid="{00000000-0005-0000-0000-0000073D0000}"/>
    <cellStyle name="Normal 13 3 2 3 2 2 4 2" xfId="27120" xr:uid="{00000000-0005-0000-0000-0000083D0000}"/>
    <cellStyle name="Normal 13 3 2 3 2 2 5" xfId="22799" xr:uid="{00000000-0005-0000-0000-0000093D0000}"/>
    <cellStyle name="Normal 13 3 2 3 2 3" xfId="10507" xr:uid="{00000000-0005-0000-0000-00000A3D0000}"/>
    <cellStyle name="Normal 13 3 2 3 2 3 2" xfId="14063" xr:uid="{00000000-0005-0000-0000-00000B3D0000}"/>
    <cellStyle name="Normal 13 3 2 3 2 3 2 2" xfId="27121" xr:uid="{00000000-0005-0000-0000-00000C3D0000}"/>
    <cellStyle name="Normal 13 3 2 3 2 3 3" xfId="14064" xr:uid="{00000000-0005-0000-0000-00000D3D0000}"/>
    <cellStyle name="Normal 13 3 2 3 2 3 3 2" xfId="27122" xr:uid="{00000000-0005-0000-0000-00000E3D0000}"/>
    <cellStyle name="Normal 13 3 2 3 2 3 4" xfId="23877" xr:uid="{00000000-0005-0000-0000-00000F3D0000}"/>
    <cellStyle name="Normal 13 3 2 3 2 4" xfId="14065" xr:uid="{00000000-0005-0000-0000-0000103D0000}"/>
    <cellStyle name="Normal 13 3 2 3 2 4 2" xfId="27123" xr:uid="{00000000-0005-0000-0000-0000113D0000}"/>
    <cellStyle name="Normal 13 3 2 3 2 5" xfId="14066" xr:uid="{00000000-0005-0000-0000-0000123D0000}"/>
    <cellStyle name="Normal 13 3 2 3 2 5 2" xfId="27124" xr:uid="{00000000-0005-0000-0000-0000133D0000}"/>
    <cellStyle name="Normal 13 3 2 3 2 6" xfId="21721" xr:uid="{00000000-0005-0000-0000-0000143D0000}"/>
    <cellStyle name="Normal 13 3 2 3 3" xfId="8659" xr:uid="{00000000-0005-0000-0000-0000153D0000}"/>
    <cellStyle name="Normal 13 3 2 3 3 2" xfId="11045" xr:uid="{00000000-0005-0000-0000-0000163D0000}"/>
    <cellStyle name="Normal 13 3 2 3 3 2 2" xfId="14067" xr:uid="{00000000-0005-0000-0000-0000173D0000}"/>
    <cellStyle name="Normal 13 3 2 3 3 2 2 2" xfId="27125" xr:uid="{00000000-0005-0000-0000-0000183D0000}"/>
    <cellStyle name="Normal 13 3 2 3 3 2 3" xfId="14068" xr:uid="{00000000-0005-0000-0000-0000193D0000}"/>
    <cellStyle name="Normal 13 3 2 3 3 2 3 2" xfId="27126" xr:uid="{00000000-0005-0000-0000-00001A3D0000}"/>
    <cellStyle name="Normal 13 3 2 3 3 2 4" xfId="24415" xr:uid="{00000000-0005-0000-0000-00001B3D0000}"/>
    <cellStyle name="Normal 13 3 2 3 3 3" xfId="14069" xr:uid="{00000000-0005-0000-0000-00001C3D0000}"/>
    <cellStyle name="Normal 13 3 2 3 3 3 2" xfId="27127" xr:uid="{00000000-0005-0000-0000-00001D3D0000}"/>
    <cellStyle name="Normal 13 3 2 3 3 4" xfId="14070" xr:uid="{00000000-0005-0000-0000-00001E3D0000}"/>
    <cellStyle name="Normal 13 3 2 3 3 4 2" xfId="27128" xr:uid="{00000000-0005-0000-0000-00001F3D0000}"/>
    <cellStyle name="Normal 13 3 2 3 3 5" xfId="22259" xr:uid="{00000000-0005-0000-0000-0000203D0000}"/>
    <cellStyle name="Normal 13 3 2 3 4" xfId="9967" xr:uid="{00000000-0005-0000-0000-0000213D0000}"/>
    <cellStyle name="Normal 13 3 2 3 4 2" xfId="14071" xr:uid="{00000000-0005-0000-0000-0000223D0000}"/>
    <cellStyle name="Normal 13 3 2 3 4 2 2" xfId="27129" xr:uid="{00000000-0005-0000-0000-0000233D0000}"/>
    <cellStyle name="Normal 13 3 2 3 4 3" xfId="14072" xr:uid="{00000000-0005-0000-0000-0000243D0000}"/>
    <cellStyle name="Normal 13 3 2 3 4 3 2" xfId="27130" xr:uid="{00000000-0005-0000-0000-0000253D0000}"/>
    <cellStyle name="Normal 13 3 2 3 4 4" xfId="23337" xr:uid="{00000000-0005-0000-0000-0000263D0000}"/>
    <cellStyle name="Normal 13 3 2 3 5" xfId="14073" xr:uid="{00000000-0005-0000-0000-0000273D0000}"/>
    <cellStyle name="Normal 13 3 2 3 5 2" xfId="27131" xr:uid="{00000000-0005-0000-0000-0000283D0000}"/>
    <cellStyle name="Normal 13 3 2 3 6" xfId="14074" xr:uid="{00000000-0005-0000-0000-0000293D0000}"/>
    <cellStyle name="Normal 13 3 2 3 6 2" xfId="27132" xr:uid="{00000000-0005-0000-0000-00002A3D0000}"/>
    <cellStyle name="Normal 13 3 2 3 7" xfId="21181" xr:uid="{00000000-0005-0000-0000-00002B3D0000}"/>
    <cellStyle name="Normal 13 3 2 4" xfId="7057" xr:uid="{00000000-0005-0000-0000-00002C3D0000}"/>
    <cellStyle name="Normal 13 3 2 4 2" xfId="8937" xr:uid="{00000000-0005-0000-0000-00002D3D0000}"/>
    <cellStyle name="Normal 13 3 2 4 2 2" xfId="11316" xr:uid="{00000000-0005-0000-0000-00002E3D0000}"/>
    <cellStyle name="Normal 13 3 2 4 2 2 2" xfId="14075" xr:uid="{00000000-0005-0000-0000-00002F3D0000}"/>
    <cellStyle name="Normal 13 3 2 4 2 2 2 2" xfId="27133" xr:uid="{00000000-0005-0000-0000-0000303D0000}"/>
    <cellStyle name="Normal 13 3 2 4 2 2 3" xfId="14076" xr:uid="{00000000-0005-0000-0000-0000313D0000}"/>
    <cellStyle name="Normal 13 3 2 4 2 2 3 2" xfId="27134" xr:uid="{00000000-0005-0000-0000-0000323D0000}"/>
    <cellStyle name="Normal 13 3 2 4 2 2 4" xfId="24686" xr:uid="{00000000-0005-0000-0000-0000333D0000}"/>
    <cellStyle name="Normal 13 3 2 4 2 3" xfId="14077" xr:uid="{00000000-0005-0000-0000-0000343D0000}"/>
    <cellStyle name="Normal 13 3 2 4 2 3 2" xfId="27135" xr:uid="{00000000-0005-0000-0000-0000353D0000}"/>
    <cellStyle name="Normal 13 3 2 4 2 4" xfId="14078" xr:uid="{00000000-0005-0000-0000-0000363D0000}"/>
    <cellStyle name="Normal 13 3 2 4 2 4 2" xfId="27136" xr:uid="{00000000-0005-0000-0000-0000373D0000}"/>
    <cellStyle name="Normal 13 3 2 4 2 5" xfId="22530" xr:uid="{00000000-0005-0000-0000-0000383D0000}"/>
    <cellStyle name="Normal 13 3 2 4 3" xfId="10238" xr:uid="{00000000-0005-0000-0000-0000393D0000}"/>
    <cellStyle name="Normal 13 3 2 4 3 2" xfId="14079" xr:uid="{00000000-0005-0000-0000-00003A3D0000}"/>
    <cellStyle name="Normal 13 3 2 4 3 2 2" xfId="27137" xr:uid="{00000000-0005-0000-0000-00003B3D0000}"/>
    <cellStyle name="Normal 13 3 2 4 3 3" xfId="14080" xr:uid="{00000000-0005-0000-0000-00003C3D0000}"/>
    <cellStyle name="Normal 13 3 2 4 3 3 2" xfId="27138" xr:uid="{00000000-0005-0000-0000-00003D3D0000}"/>
    <cellStyle name="Normal 13 3 2 4 3 4" xfId="23608" xr:uid="{00000000-0005-0000-0000-00003E3D0000}"/>
    <cellStyle name="Normal 13 3 2 4 4" xfId="14081" xr:uid="{00000000-0005-0000-0000-00003F3D0000}"/>
    <cellStyle name="Normal 13 3 2 4 4 2" xfId="27139" xr:uid="{00000000-0005-0000-0000-0000403D0000}"/>
    <cellStyle name="Normal 13 3 2 4 5" xfId="14082" xr:uid="{00000000-0005-0000-0000-0000413D0000}"/>
    <cellStyle name="Normal 13 3 2 4 5 2" xfId="27140" xr:uid="{00000000-0005-0000-0000-0000423D0000}"/>
    <cellStyle name="Normal 13 3 2 4 6" xfId="21452" xr:uid="{00000000-0005-0000-0000-0000433D0000}"/>
    <cellStyle name="Normal 13 3 2 5" xfId="8261" xr:uid="{00000000-0005-0000-0000-0000443D0000}"/>
    <cellStyle name="Normal 13 3 2 5 2" xfId="10776" xr:uid="{00000000-0005-0000-0000-0000453D0000}"/>
    <cellStyle name="Normal 13 3 2 5 2 2" xfId="14083" xr:uid="{00000000-0005-0000-0000-0000463D0000}"/>
    <cellStyle name="Normal 13 3 2 5 2 2 2" xfId="27141" xr:uid="{00000000-0005-0000-0000-0000473D0000}"/>
    <cellStyle name="Normal 13 3 2 5 2 3" xfId="14084" xr:uid="{00000000-0005-0000-0000-0000483D0000}"/>
    <cellStyle name="Normal 13 3 2 5 2 3 2" xfId="27142" xr:uid="{00000000-0005-0000-0000-0000493D0000}"/>
    <cellStyle name="Normal 13 3 2 5 2 4" xfId="24146" xr:uid="{00000000-0005-0000-0000-00004A3D0000}"/>
    <cellStyle name="Normal 13 3 2 5 3" xfId="14085" xr:uid="{00000000-0005-0000-0000-00004B3D0000}"/>
    <cellStyle name="Normal 13 3 2 5 3 2" xfId="27143" xr:uid="{00000000-0005-0000-0000-00004C3D0000}"/>
    <cellStyle name="Normal 13 3 2 5 4" xfId="14086" xr:uid="{00000000-0005-0000-0000-00004D3D0000}"/>
    <cellStyle name="Normal 13 3 2 5 4 2" xfId="27144" xr:uid="{00000000-0005-0000-0000-00004E3D0000}"/>
    <cellStyle name="Normal 13 3 2 5 5" xfId="21990" xr:uid="{00000000-0005-0000-0000-00004F3D0000}"/>
    <cellStyle name="Normal 13 3 2 6" xfId="9697" xr:uid="{00000000-0005-0000-0000-0000503D0000}"/>
    <cellStyle name="Normal 13 3 2 6 2" xfId="14087" xr:uid="{00000000-0005-0000-0000-0000513D0000}"/>
    <cellStyle name="Normal 13 3 2 6 2 2" xfId="27145" xr:uid="{00000000-0005-0000-0000-0000523D0000}"/>
    <cellStyle name="Normal 13 3 2 6 3" xfId="14088" xr:uid="{00000000-0005-0000-0000-0000533D0000}"/>
    <cellStyle name="Normal 13 3 2 6 3 2" xfId="27146" xr:uid="{00000000-0005-0000-0000-0000543D0000}"/>
    <cellStyle name="Normal 13 3 2 6 4" xfId="23068" xr:uid="{00000000-0005-0000-0000-0000553D0000}"/>
    <cellStyle name="Normal 13 3 2 7" xfId="14089" xr:uid="{00000000-0005-0000-0000-0000563D0000}"/>
    <cellStyle name="Normal 13 3 2 7 2" xfId="27147" xr:uid="{00000000-0005-0000-0000-0000573D0000}"/>
    <cellStyle name="Normal 13 3 2 8" xfId="14090" xr:uid="{00000000-0005-0000-0000-0000583D0000}"/>
    <cellStyle name="Normal 13 3 2 8 2" xfId="27148" xr:uid="{00000000-0005-0000-0000-0000593D0000}"/>
    <cellStyle name="Normal 13 3 2 9" xfId="20911" xr:uid="{00000000-0005-0000-0000-00005A3D0000}"/>
    <cellStyle name="Normal 13 3 3" xfId="5529" xr:uid="{00000000-0005-0000-0000-00005B3D0000}"/>
    <cellStyle name="Normal 13 3 3 2" xfId="6724" xr:uid="{00000000-0005-0000-0000-00005C3D0000}"/>
    <cellStyle name="Normal 13 3 3 2 2" xfId="7411" xr:uid="{00000000-0005-0000-0000-00005D3D0000}"/>
    <cellStyle name="Normal 13 3 3 2 2 2" xfId="9290" xr:uid="{00000000-0005-0000-0000-00005E3D0000}"/>
    <cellStyle name="Normal 13 3 3 2 2 2 2" xfId="11669" xr:uid="{00000000-0005-0000-0000-00005F3D0000}"/>
    <cellStyle name="Normal 13 3 3 2 2 2 2 2" xfId="14091" xr:uid="{00000000-0005-0000-0000-0000603D0000}"/>
    <cellStyle name="Normal 13 3 3 2 2 2 2 2 2" xfId="27149" xr:uid="{00000000-0005-0000-0000-0000613D0000}"/>
    <cellStyle name="Normal 13 3 3 2 2 2 2 3" xfId="14092" xr:uid="{00000000-0005-0000-0000-0000623D0000}"/>
    <cellStyle name="Normal 13 3 3 2 2 2 2 3 2" xfId="27150" xr:uid="{00000000-0005-0000-0000-0000633D0000}"/>
    <cellStyle name="Normal 13 3 3 2 2 2 2 4" xfId="25039" xr:uid="{00000000-0005-0000-0000-0000643D0000}"/>
    <cellStyle name="Normal 13 3 3 2 2 2 3" xfId="14093" xr:uid="{00000000-0005-0000-0000-0000653D0000}"/>
    <cellStyle name="Normal 13 3 3 2 2 2 3 2" xfId="27151" xr:uid="{00000000-0005-0000-0000-0000663D0000}"/>
    <cellStyle name="Normal 13 3 3 2 2 2 4" xfId="14094" xr:uid="{00000000-0005-0000-0000-0000673D0000}"/>
    <cellStyle name="Normal 13 3 3 2 2 2 4 2" xfId="27152" xr:uid="{00000000-0005-0000-0000-0000683D0000}"/>
    <cellStyle name="Normal 13 3 3 2 2 2 5" xfId="22883" xr:uid="{00000000-0005-0000-0000-0000693D0000}"/>
    <cellStyle name="Normal 13 3 3 2 2 3" xfId="10591" xr:uid="{00000000-0005-0000-0000-00006A3D0000}"/>
    <cellStyle name="Normal 13 3 3 2 2 3 2" xfId="14095" xr:uid="{00000000-0005-0000-0000-00006B3D0000}"/>
    <cellStyle name="Normal 13 3 3 2 2 3 2 2" xfId="27153" xr:uid="{00000000-0005-0000-0000-00006C3D0000}"/>
    <cellStyle name="Normal 13 3 3 2 2 3 3" xfId="14096" xr:uid="{00000000-0005-0000-0000-00006D3D0000}"/>
    <cellStyle name="Normal 13 3 3 2 2 3 3 2" xfId="27154" xr:uid="{00000000-0005-0000-0000-00006E3D0000}"/>
    <cellStyle name="Normal 13 3 3 2 2 3 4" xfId="23961" xr:uid="{00000000-0005-0000-0000-00006F3D0000}"/>
    <cellStyle name="Normal 13 3 3 2 2 4" xfId="14097" xr:uid="{00000000-0005-0000-0000-0000703D0000}"/>
    <cellStyle name="Normal 13 3 3 2 2 4 2" xfId="27155" xr:uid="{00000000-0005-0000-0000-0000713D0000}"/>
    <cellStyle name="Normal 13 3 3 2 2 5" xfId="14098" xr:uid="{00000000-0005-0000-0000-0000723D0000}"/>
    <cellStyle name="Normal 13 3 3 2 2 5 2" xfId="27156" xr:uid="{00000000-0005-0000-0000-0000733D0000}"/>
    <cellStyle name="Normal 13 3 3 2 2 6" xfId="21805" xr:uid="{00000000-0005-0000-0000-0000743D0000}"/>
    <cellStyle name="Normal 13 3 3 2 3" xfId="8744" xr:uid="{00000000-0005-0000-0000-0000753D0000}"/>
    <cellStyle name="Normal 13 3 3 2 3 2" xfId="11129" xr:uid="{00000000-0005-0000-0000-0000763D0000}"/>
    <cellStyle name="Normal 13 3 3 2 3 2 2" xfId="14099" xr:uid="{00000000-0005-0000-0000-0000773D0000}"/>
    <cellStyle name="Normal 13 3 3 2 3 2 2 2" xfId="27157" xr:uid="{00000000-0005-0000-0000-0000783D0000}"/>
    <cellStyle name="Normal 13 3 3 2 3 2 3" xfId="14100" xr:uid="{00000000-0005-0000-0000-0000793D0000}"/>
    <cellStyle name="Normal 13 3 3 2 3 2 3 2" xfId="27158" xr:uid="{00000000-0005-0000-0000-00007A3D0000}"/>
    <cellStyle name="Normal 13 3 3 2 3 2 4" xfId="24499" xr:uid="{00000000-0005-0000-0000-00007B3D0000}"/>
    <cellStyle name="Normal 13 3 3 2 3 3" xfId="14101" xr:uid="{00000000-0005-0000-0000-00007C3D0000}"/>
    <cellStyle name="Normal 13 3 3 2 3 3 2" xfId="27159" xr:uid="{00000000-0005-0000-0000-00007D3D0000}"/>
    <cellStyle name="Normal 13 3 3 2 3 4" xfId="14102" xr:uid="{00000000-0005-0000-0000-00007E3D0000}"/>
    <cellStyle name="Normal 13 3 3 2 3 4 2" xfId="27160" xr:uid="{00000000-0005-0000-0000-00007F3D0000}"/>
    <cellStyle name="Normal 13 3 3 2 3 5" xfId="22343" xr:uid="{00000000-0005-0000-0000-0000803D0000}"/>
    <cellStyle name="Normal 13 3 3 2 4" xfId="10051" xr:uid="{00000000-0005-0000-0000-0000813D0000}"/>
    <cellStyle name="Normal 13 3 3 2 4 2" xfId="14103" xr:uid="{00000000-0005-0000-0000-0000823D0000}"/>
    <cellStyle name="Normal 13 3 3 2 4 2 2" xfId="27161" xr:uid="{00000000-0005-0000-0000-0000833D0000}"/>
    <cellStyle name="Normal 13 3 3 2 4 3" xfId="14104" xr:uid="{00000000-0005-0000-0000-0000843D0000}"/>
    <cellStyle name="Normal 13 3 3 2 4 3 2" xfId="27162" xr:uid="{00000000-0005-0000-0000-0000853D0000}"/>
    <cellStyle name="Normal 13 3 3 2 4 4" xfId="23421" xr:uid="{00000000-0005-0000-0000-0000863D0000}"/>
    <cellStyle name="Normal 13 3 3 2 5" xfId="14105" xr:uid="{00000000-0005-0000-0000-0000873D0000}"/>
    <cellStyle name="Normal 13 3 3 2 5 2" xfId="27163" xr:uid="{00000000-0005-0000-0000-0000883D0000}"/>
    <cellStyle name="Normal 13 3 3 2 6" xfId="14106" xr:uid="{00000000-0005-0000-0000-0000893D0000}"/>
    <cellStyle name="Normal 13 3 3 2 6 2" xfId="27164" xr:uid="{00000000-0005-0000-0000-00008A3D0000}"/>
    <cellStyle name="Normal 13 3 3 2 7" xfId="21265" xr:uid="{00000000-0005-0000-0000-00008B3D0000}"/>
    <cellStyle name="Normal 13 3 3 3" xfId="7142" xr:uid="{00000000-0005-0000-0000-00008C3D0000}"/>
    <cellStyle name="Normal 13 3 3 3 2" xfId="9021" xr:uid="{00000000-0005-0000-0000-00008D3D0000}"/>
    <cellStyle name="Normal 13 3 3 3 2 2" xfId="11400" xr:uid="{00000000-0005-0000-0000-00008E3D0000}"/>
    <cellStyle name="Normal 13 3 3 3 2 2 2" xfId="14107" xr:uid="{00000000-0005-0000-0000-00008F3D0000}"/>
    <cellStyle name="Normal 13 3 3 3 2 2 2 2" xfId="27165" xr:uid="{00000000-0005-0000-0000-0000903D0000}"/>
    <cellStyle name="Normal 13 3 3 3 2 2 3" xfId="14108" xr:uid="{00000000-0005-0000-0000-0000913D0000}"/>
    <cellStyle name="Normal 13 3 3 3 2 2 3 2" xfId="27166" xr:uid="{00000000-0005-0000-0000-0000923D0000}"/>
    <cellStyle name="Normal 13 3 3 3 2 2 4" xfId="24770" xr:uid="{00000000-0005-0000-0000-0000933D0000}"/>
    <cellStyle name="Normal 13 3 3 3 2 3" xfId="14109" xr:uid="{00000000-0005-0000-0000-0000943D0000}"/>
    <cellStyle name="Normal 13 3 3 3 2 3 2" xfId="27167" xr:uid="{00000000-0005-0000-0000-0000953D0000}"/>
    <cellStyle name="Normal 13 3 3 3 2 4" xfId="14110" xr:uid="{00000000-0005-0000-0000-0000963D0000}"/>
    <cellStyle name="Normal 13 3 3 3 2 4 2" xfId="27168" xr:uid="{00000000-0005-0000-0000-0000973D0000}"/>
    <cellStyle name="Normal 13 3 3 3 2 5" xfId="22614" xr:uid="{00000000-0005-0000-0000-0000983D0000}"/>
    <cellStyle name="Normal 13 3 3 3 3" xfId="10322" xr:uid="{00000000-0005-0000-0000-0000993D0000}"/>
    <cellStyle name="Normal 13 3 3 3 3 2" xfId="14111" xr:uid="{00000000-0005-0000-0000-00009A3D0000}"/>
    <cellStyle name="Normal 13 3 3 3 3 2 2" xfId="27169" xr:uid="{00000000-0005-0000-0000-00009B3D0000}"/>
    <cellStyle name="Normal 13 3 3 3 3 3" xfId="14112" xr:uid="{00000000-0005-0000-0000-00009C3D0000}"/>
    <cellStyle name="Normal 13 3 3 3 3 3 2" xfId="27170" xr:uid="{00000000-0005-0000-0000-00009D3D0000}"/>
    <cellStyle name="Normal 13 3 3 3 3 4" xfId="23692" xr:uid="{00000000-0005-0000-0000-00009E3D0000}"/>
    <cellStyle name="Normal 13 3 3 3 4" xfId="14113" xr:uid="{00000000-0005-0000-0000-00009F3D0000}"/>
    <cellStyle name="Normal 13 3 3 3 4 2" xfId="27171" xr:uid="{00000000-0005-0000-0000-0000A03D0000}"/>
    <cellStyle name="Normal 13 3 3 3 5" xfId="14114" xr:uid="{00000000-0005-0000-0000-0000A13D0000}"/>
    <cellStyle name="Normal 13 3 3 3 5 2" xfId="27172" xr:uid="{00000000-0005-0000-0000-0000A23D0000}"/>
    <cellStyle name="Normal 13 3 3 3 6" xfId="21536" xr:uid="{00000000-0005-0000-0000-0000A33D0000}"/>
    <cellStyle name="Normal 13 3 3 4" xfId="8416" xr:uid="{00000000-0005-0000-0000-0000A43D0000}"/>
    <cellStyle name="Normal 13 3 3 4 2" xfId="10860" xr:uid="{00000000-0005-0000-0000-0000A53D0000}"/>
    <cellStyle name="Normal 13 3 3 4 2 2" xfId="14115" xr:uid="{00000000-0005-0000-0000-0000A63D0000}"/>
    <cellStyle name="Normal 13 3 3 4 2 2 2" xfId="27173" xr:uid="{00000000-0005-0000-0000-0000A73D0000}"/>
    <cellStyle name="Normal 13 3 3 4 2 3" xfId="14116" xr:uid="{00000000-0005-0000-0000-0000A83D0000}"/>
    <cellStyle name="Normal 13 3 3 4 2 3 2" xfId="27174" xr:uid="{00000000-0005-0000-0000-0000A93D0000}"/>
    <cellStyle name="Normal 13 3 3 4 2 4" xfId="24230" xr:uid="{00000000-0005-0000-0000-0000AA3D0000}"/>
    <cellStyle name="Normal 13 3 3 4 3" xfId="14117" xr:uid="{00000000-0005-0000-0000-0000AB3D0000}"/>
    <cellStyle name="Normal 13 3 3 4 3 2" xfId="27175" xr:uid="{00000000-0005-0000-0000-0000AC3D0000}"/>
    <cellStyle name="Normal 13 3 3 4 4" xfId="14118" xr:uid="{00000000-0005-0000-0000-0000AD3D0000}"/>
    <cellStyle name="Normal 13 3 3 4 4 2" xfId="27176" xr:uid="{00000000-0005-0000-0000-0000AE3D0000}"/>
    <cellStyle name="Normal 13 3 3 4 5" xfId="22074" xr:uid="{00000000-0005-0000-0000-0000AF3D0000}"/>
    <cellStyle name="Normal 13 3 3 5" xfId="9782" xr:uid="{00000000-0005-0000-0000-0000B03D0000}"/>
    <cellStyle name="Normal 13 3 3 5 2" xfId="14119" xr:uid="{00000000-0005-0000-0000-0000B13D0000}"/>
    <cellStyle name="Normal 13 3 3 5 2 2" xfId="27177" xr:uid="{00000000-0005-0000-0000-0000B23D0000}"/>
    <cellStyle name="Normal 13 3 3 5 3" xfId="14120" xr:uid="{00000000-0005-0000-0000-0000B33D0000}"/>
    <cellStyle name="Normal 13 3 3 5 3 2" xfId="27178" xr:uid="{00000000-0005-0000-0000-0000B43D0000}"/>
    <cellStyle name="Normal 13 3 3 5 4" xfId="23152" xr:uid="{00000000-0005-0000-0000-0000B53D0000}"/>
    <cellStyle name="Normal 13 3 3 6" xfId="14121" xr:uid="{00000000-0005-0000-0000-0000B63D0000}"/>
    <cellStyle name="Normal 13 3 3 6 2" xfId="27179" xr:uid="{00000000-0005-0000-0000-0000B73D0000}"/>
    <cellStyle name="Normal 13 3 3 7" xfId="14122" xr:uid="{00000000-0005-0000-0000-0000B83D0000}"/>
    <cellStyle name="Normal 13 3 3 7 2" xfId="27180" xr:uid="{00000000-0005-0000-0000-0000B93D0000}"/>
    <cellStyle name="Normal 13 3 3 8" xfId="20996" xr:uid="{00000000-0005-0000-0000-0000BA3D0000}"/>
    <cellStyle name="Normal 13 3 4" xfId="6574" xr:uid="{00000000-0005-0000-0000-0000BB3D0000}"/>
    <cellStyle name="Normal 13 3 4 2" xfId="7272" xr:uid="{00000000-0005-0000-0000-0000BC3D0000}"/>
    <cellStyle name="Normal 13 3 4 2 2" xfId="9151" xr:uid="{00000000-0005-0000-0000-0000BD3D0000}"/>
    <cellStyle name="Normal 13 3 4 2 2 2" xfId="11530" xr:uid="{00000000-0005-0000-0000-0000BE3D0000}"/>
    <cellStyle name="Normal 13 3 4 2 2 2 2" xfId="14123" xr:uid="{00000000-0005-0000-0000-0000BF3D0000}"/>
    <cellStyle name="Normal 13 3 4 2 2 2 2 2" xfId="27181" xr:uid="{00000000-0005-0000-0000-0000C03D0000}"/>
    <cellStyle name="Normal 13 3 4 2 2 2 3" xfId="14124" xr:uid="{00000000-0005-0000-0000-0000C13D0000}"/>
    <cellStyle name="Normal 13 3 4 2 2 2 3 2" xfId="27182" xr:uid="{00000000-0005-0000-0000-0000C23D0000}"/>
    <cellStyle name="Normal 13 3 4 2 2 2 4" xfId="24900" xr:uid="{00000000-0005-0000-0000-0000C33D0000}"/>
    <cellStyle name="Normal 13 3 4 2 2 3" xfId="14125" xr:uid="{00000000-0005-0000-0000-0000C43D0000}"/>
    <cellStyle name="Normal 13 3 4 2 2 3 2" xfId="27183" xr:uid="{00000000-0005-0000-0000-0000C53D0000}"/>
    <cellStyle name="Normal 13 3 4 2 2 4" xfId="14126" xr:uid="{00000000-0005-0000-0000-0000C63D0000}"/>
    <cellStyle name="Normal 13 3 4 2 2 4 2" xfId="27184" xr:uid="{00000000-0005-0000-0000-0000C73D0000}"/>
    <cellStyle name="Normal 13 3 4 2 2 5" xfId="22744" xr:uid="{00000000-0005-0000-0000-0000C83D0000}"/>
    <cellStyle name="Normal 13 3 4 2 3" xfId="10452" xr:uid="{00000000-0005-0000-0000-0000C93D0000}"/>
    <cellStyle name="Normal 13 3 4 2 3 2" xfId="14127" xr:uid="{00000000-0005-0000-0000-0000CA3D0000}"/>
    <cellStyle name="Normal 13 3 4 2 3 2 2" xfId="27185" xr:uid="{00000000-0005-0000-0000-0000CB3D0000}"/>
    <cellStyle name="Normal 13 3 4 2 3 3" xfId="14128" xr:uid="{00000000-0005-0000-0000-0000CC3D0000}"/>
    <cellStyle name="Normal 13 3 4 2 3 3 2" xfId="27186" xr:uid="{00000000-0005-0000-0000-0000CD3D0000}"/>
    <cellStyle name="Normal 13 3 4 2 3 4" xfId="23822" xr:uid="{00000000-0005-0000-0000-0000CE3D0000}"/>
    <cellStyle name="Normal 13 3 4 2 4" xfId="14129" xr:uid="{00000000-0005-0000-0000-0000CF3D0000}"/>
    <cellStyle name="Normal 13 3 4 2 4 2" xfId="27187" xr:uid="{00000000-0005-0000-0000-0000D03D0000}"/>
    <cellStyle name="Normal 13 3 4 2 5" xfId="14130" xr:uid="{00000000-0005-0000-0000-0000D13D0000}"/>
    <cellStyle name="Normal 13 3 4 2 5 2" xfId="27188" xr:uid="{00000000-0005-0000-0000-0000D23D0000}"/>
    <cellStyle name="Normal 13 3 4 2 6" xfId="21666" xr:uid="{00000000-0005-0000-0000-0000D33D0000}"/>
    <cellStyle name="Normal 13 3 4 3" xfId="8604" xr:uid="{00000000-0005-0000-0000-0000D43D0000}"/>
    <cellStyle name="Normal 13 3 4 3 2" xfId="10990" xr:uid="{00000000-0005-0000-0000-0000D53D0000}"/>
    <cellStyle name="Normal 13 3 4 3 2 2" xfId="14131" xr:uid="{00000000-0005-0000-0000-0000D63D0000}"/>
    <cellStyle name="Normal 13 3 4 3 2 2 2" xfId="27189" xr:uid="{00000000-0005-0000-0000-0000D73D0000}"/>
    <cellStyle name="Normal 13 3 4 3 2 3" xfId="14132" xr:uid="{00000000-0005-0000-0000-0000D83D0000}"/>
    <cellStyle name="Normal 13 3 4 3 2 3 2" xfId="27190" xr:uid="{00000000-0005-0000-0000-0000D93D0000}"/>
    <cellStyle name="Normal 13 3 4 3 2 4" xfId="24360" xr:uid="{00000000-0005-0000-0000-0000DA3D0000}"/>
    <cellStyle name="Normal 13 3 4 3 3" xfId="14133" xr:uid="{00000000-0005-0000-0000-0000DB3D0000}"/>
    <cellStyle name="Normal 13 3 4 3 3 2" xfId="27191" xr:uid="{00000000-0005-0000-0000-0000DC3D0000}"/>
    <cellStyle name="Normal 13 3 4 3 4" xfId="14134" xr:uid="{00000000-0005-0000-0000-0000DD3D0000}"/>
    <cellStyle name="Normal 13 3 4 3 4 2" xfId="27192" xr:uid="{00000000-0005-0000-0000-0000DE3D0000}"/>
    <cellStyle name="Normal 13 3 4 3 5" xfId="22204" xr:uid="{00000000-0005-0000-0000-0000DF3D0000}"/>
    <cellStyle name="Normal 13 3 4 4" xfId="9912" xr:uid="{00000000-0005-0000-0000-0000E03D0000}"/>
    <cellStyle name="Normal 13 3 4 4 2" xfId="14135" xr:uid="{00000000-0005-0000-0000-0000E13D0000}"/>
    <cellStyle name="Normal 13 3 4 4 2 2" xfId="27193" xr:uid="{00000000-0005-0000-0000-0000E23D0000}"/>
    <cellStyle name="Normal 13 3 4 4 3" xfId="14136" xr:uid="{00000000-0005-0000-0000-0000E33D0000}"/>
    <cellStyle name="Normal 13 3 4 4 3 2" xfId="27194" xr:uid="{00000000-0005-0000-0000-0000E43D0000}"/>
    <cellStyle name="Normal 13 3 4 4 4" xfId="23282" xr:uid="{00000000-0005-0000-0000-0000E53D0000}"/>
    <cellStyle name="Normal 13 3 4 5" xfId="14137" xr:uid="{00000000-0005-0000-0000-0000E63D0000}"/>
    <cellStyle name="Normal 13 3 4 5 2" xfId="27195" xr:uid="{00000000-0005-0000-0000-0000E73D0000}"/>
    <cellStyle name="Normal 13 3 4 6" xfId="14138" xr:uid="{00000000-0005-0000-0000-0000E83D0000}"/>
    <cellStyle name="Normal 13 3 4 6 2" xfId="27196" xr:uid="{00000000-0005-0000-0000-0000E93D0000}"/>
    <cellStyle name="Normal 13 3 4 7" xfId="21126" xr:uid="{00000000-0005-0000-0000-0000EA3D0000}"/>
    <cellStyle name="Normal 13 3 5" xfId="7002" xr:uid="{00000000-0005-0000-0000-0000EB3D0000}"/>
    <cellStyle name="Normal 13 3 5 2" xfId="8882" xr:uid="{00000000-0005-0000-0000-0000EC3D0000}"/>
    <cellStyle name="Normal 13 3 5 2 2" xfId="11261" xr:uid="{00000000-0005-0000-0000-0000ED3D0000}"/>
    <cellStyle name="Normal 13 3 5 2 2 2" xfId="14139" xr:uid="{00000000-0005-0000-0000-0000EE3D0000}"/>
    <cellStyle name="Normal 13 3 5 2 2 2 2" xfId="27197" xr:uid="{00000000-0005-0000-0000-0000EF3D0000}"/>
    <cellStyle name="Normal 13 3 5 2 2 3" xfId="14140" xr:uid="{00000000-0005-0000-0000-0000F03D0000}"/>
    <cellStyle name="Normal 13 3 5 2 2 3 2" xfId="27198" xr:uid="{00000000-0005-0000-0000-0000F13D0000}"/>
    <cellStyle name="Normal 13 3 5 2 2 4" xfId="24631" xr:uid="{00000000-0005-0000-0000-0000F23D0000}"/>
    <cellStyle name="Normal 13 3 5 2 3" xfId="14141" xr:uid="{00000000-0005-0000-0000-0000F33D0000}"/>
    <cellStyle name="Normal 13 3 5 2 3 2" xfId="27199" xr:uid="{00000000-0005-0000-0000-0000F43D0000}"/>
    <cellStyle name="Normal 13 3 5 2 4" xfId="14142" xr:uid="{00000000-0005-0000-0000-0000F53D0000}"/>
    <cellStyle name="Normal 13 3 5 2 4 2" xfId="27200" xr:uid="{00000000-0005-0000-0000-0000F63D0000}"/>
    <cellStyle name="Normal 13 3 5 2 5" xfId="22475" xr:uid="{00000000-0005-0000-0000-0000F73D0000}"/>
    <cellStyle name="Normal 13 3 5 3" xfId="10183" xr:uid="{00000000-0005-0000-0000-0000F83D0000}"/>
    <cellStyle name="Normal 13 3 5 3 2" xfId="14143" xr:uid="{00000000-0005-0000-0000-0000F93D0000}"/>
    <cellStyle name="Normal 13 3 5 3 2 2" xfId="27201" xr:uid="{00000000-0005-0000-0000-0000FA3D0000}"/>
    <cellStyle name="Normal 13 3 5 3 3" xfId="14144" xr:uid="{00000000-0005-0000-0000-0000FB3D0000}"/>
    <cellStyle name="Normal 13 3 5 3 3 2" xfId="27202" xr:uid="{00000000-0005-0000-0000-0000FC3D0000}"/>
    <cellStyle name="Normal 13 3 5 3 4" xfId="23553" xr:uid="{00000000-0005-0000-0000-0000FD3D0000}"/>
    <cellStyle name="Normal 13 3 5 4" xfId="14145" xr:uid="{00000000-0005-0000-0000-0000FE3D0000}"/>
    <cellStyle name="Normal 13 3 5 4 2" xfId="27203" xr:uid="{00000000-0005-0000-0000-0000FF3D0000}"/>
    <cellStyle name="Normal 13 3 5 5" xfId="14146" xr:uid="{00000000-0005-0000-0000-0000003E0000}"/>
    <cellStyle name="Normal 13 3 5 5 2" xfId="27204" xr:uid="{00000000-0005-0000-0000-0000013E0000}"/>
    <cellStyle name="Normal 13 3 5 6" xfId="21397" xr:uid="{00000000-0005-0000-0000-0000023E0000}"/>
    <cellStyle name="Normal 13 3 6" xfId="8191" xr:uid="{00000000-0005-0000-0000-0000033E0000}"/>
    <cellStyle name="Normal 13 3 6 2" xfId="10721" xr:uid="{00000000-0005-0000-0000-0000043E0000}"/>
    <cellStyle name="Normal 13 3 6 2 2" xfId="14147" xr:uid="{00000000-0005-0000-0000-0000053E0000}"/>
    <cellStyle name="Normal 13 3 6 2 2 2" xfId="27205" xr:uid="{00000000-0005-0000-0000-0000063E0000}"/>
    <cellStyle name="Normal 13 3 6 2 3" xfId="14148" xr:uid="{00000000-0005-0000-0000-0000073E0000}"/>
    <cellStyle name="Normal 13 3 6 2 3 2" xfId="27206" xr:uid="{00000000-0005-0000-0000-0000083E0000}"/>
    <cellStyle name="Normal 13 3 6 2 4" xfId="24091" xr:uid="{00000000-0005-0000-0000-0000093E0000}"/>
    <cellStyle name="Normal 13 3 6 3" xfId="14149" xr:uid="{00000000-0005-0000-0000-00000A3E0000}"/>
    <cellStyle name="Normal 13 3 6 3 2" xfId="27207" xr:uid="{00000000-0005-0000-0000-00000B3E0000}"/>
    <cellStyle name="Normal 13 3 6 4" xfId="14150" xr:uid="{00000000-0005-0000-0000-00000C3E0000}"/>
    <cellStyle name="Normal 13 3 6 4 2" xfId="27208" xr:uid="{00000000-0005-0000-0000-00000D3E0000}"/>
    <cellStyle name="Normal 13 3 6 5" xfId="21935" xr:uid="{00000000-0005-0000-0000-00000E3E0000}"/>
    <cellStyle name="Normal 13 3 7" xfId="9642" xr:uid="{00000000-0005-0000-0000-00000F3E0000}"/>
    <cellStyle name="Normal 13 3 7 2" xfId="14151" xr:uid="{00000000-0005-0000-0000-0000103E0000}"/>
    <cellStyle name="Normal 13 3 7 2 2" xfId="27209" xr:uid="{00000000-0005-0000-0000-0000113E0000}"/>
    <cellStyle name="Normal 13 3 7 3" xfId="14152" xr:uid="{00000000-0005-0000-0000-0000123E0000}"/>
    <cellStyle name="Normal 13 3 7 3 2" xfId="27210" xr:uid="{00000000-0005-0000-0000-0000133E0000}"/>
    <cellStyle name="Normal 13 3 7 4" xfId="23013" xr:uid="{00000000-0005-0000-0000-0000143E0000}"/>
    <cellStyle name="Normal 13 3 8" xfId="14153" xr:uid="{00000000-0005-0000-0000-0000153E0000}"/>
    <cellStyle name="Normal 13 3 8 2" xfId="27211" xr:uid="{00000000-0005-0000-0000-0000163E0000}"/>
    <cellStyle name="Normal 13 3 9" xfId="14154" xr:uid="{00000000-0005-0000-0000-0000173E0000}"/>
    <cellStyle name="Normal 13 3 9 2" xfId="27212" xr:uid="{00000000-0005-0000-0000-0000183E0000}"/>
    <cellStyle name="Normal 13 4" xfId="3947" xr:uid="{00000000-0005-0000-0000-0000193E0000}"/>
    <cellStyle name="Normal 13 4 10" xfId="20868" xr:uid="{00000000-0005-0000-0000-00001A3E0000}"/>
    <cellStyle name="Normal 13 4 2" xfId="4106" xr:uid="{00000000-0005-0000-0000-00001B3E0000}"/>
    <cellStyle name="Normal 13 4 2 2" xfId="5642" xr:uid="{00000000-0005-0000-0000-00001C3E0000}"/>
    <cellStyle name="Normal 13 4 2 2 2" xfId="6794" xr:uid="{00000000-0005-0000-0000-00001D3E0000}"/>
    <cellStyle name="Normal 13 4 2 2 2 2" xfId="7481" xr:uid="{00000000-0005-0000-0000-00001E3E0000}"/>
    <cellStyle name="Normal 13 4 2 2 2 2 2" xfId="9360" xr:uid="{00000000-0005-0000-0000-00001F3E0000}"/>
    <cellStyle name="Normal 13 4 2 2 2 2 2 2" xfId="11739" xr:uid="{00000000-0005-0000-0000-0000203E0000}"/>
    <cellStyle name="Normal 13 4 2 2 2 2 2 2 2" xfId="14155" xr:uid="{00000000-0005-0000-0000-0000213E0000}"/>
    <cellStyle name="Normal 13 4 2 2 2 2 2 2 2 2" xfId="27213" xr:uid="{00000000-0005-0000-0000-0000223E0000}"/>
    <cellStyle name="Normal 13 4 2 2 2 2 2 2 3" xfId="14156" xr:uid="{00000000-0005-0000-0000-0000233E0000}"/>
    <cellStyle name="Normal 13 4 2 2 2 2 2 2 3 2" xfId="27214" xr:uid="{00000000-0005-0000-0000-0000243E0000}"/>
    <cellStyle name="Normal 13 4 2 2 2 2 2 2 4" xfId="25109" xr:uid="{00000000-0005-0000-0000-0000253E0000}"/>
    <cellStyle name="Normal 13 4 2 2 2 2 2 3" xfId="14157" xr:uid="{00000000-0005-0000-0000-0000263E0000}"/>
    <cellStyle name="Normal 13 4 2 2 2 2 2 3 2" xfId="27215" xr:uid="{00000000-0005-0000-0000-0000273E0000}"/>
    <cellStyle name="Normal 13 4 2 2 2 2 2 4" xfId="14158" xr:uid="{00000000-0005-0000-0000-0000283E0000}"/>
    <cellStyle name="Normal 13 4 2 2 2 2 2 4 2" xfId="27216" xr:uid="{00000000-0005-0000-0000-0000293E0000}"/>
    <cellStyle name="Normal 13 4 2 2 2 2 2 5" xfId="22953" xr:uid="{00000000-0005-0000-0000-00002A3E0000}"/>
    <cellStyle name="Normal 13 4 2 2 2 2 3" xfId="10661" xr:uid="{00000000-0005-0000-0000-00002B3E0000}"/>
    <cellStyle name="Normal 13 4 2 2 2 2 3 2" xfId="14159" xr:uid="{00000000-0005-0000-0000-00002C3E0000}"/>
    <cellStyle name="Normal 13 4 2 2 2 2 3 2 2" xfId="27217" xr:uid="{00000000-0005-0000-0000-00002D3E0000}"/>
    <cellStyle name="Normal 13 4 2 2 2 2 3 3" xfId="14160" xr:uid="{00000000-0005-0000-0000-00002E3E0000}"/>
    <cellStyle name="Normal 13 4 2 2 2 2 3 3 2" xfId="27218" xr:uid="{00000000-0005-0000-0000-00002F3E0000}"/>
    <cellStyle name="Normal 13 4 2 2 2 2 3 4" xfId="24031" xr:uid="{00000000-0005-0000-0000-0000303E0000}"/>
    <cellStyle name="Normal 13 4 2 2 2 2 4" xfId="14161" xr:uid="{00000000-0005-0000-0000-0000313E0000}"/>
    <cellStyle name="Normal 13 4 2 2 2 2 4 2" xfId="27219" xr:uid="{00000000-0005-0000-0000-0000323E0000}"/>
    <cellStyle name="Normal 13 4 2 2 2 2 5" xfId="14162" xr:uid="{00000000-0005-0000-0000-0000333E0000}"/>
    <cellStyle name="Normal 13 4 2 2 2 2 5 2" xfId="27220" xr:uid="{00000000-0005-0000-0000-0000343E0000}"/>
    <cellStyle name="Normal 13 4 2 2 2 2 6" xfId="21875" xr:uid="{00000000-0005-0000-0000-0000353E0000}"/>
    <cellStyle name="Normal 13 4 2 2 2 3" xfId="8814" xr:uid="{00000000-0005-0000-0000-0000363E0000}"/>
    <cellStyle name="Normal 13 4 2 2 2 3 2" xfId="11199" xr:uid="{00000000-0005-0000-0000-0000373E0000}"/>
    <cellStyle name="Normal 13 4 2 2 2 3 2 2" xfId="14163" xr:uid="{00000000-0005-0000-0000-0000383E0000}"/>
    <cellStyle name="Normal 13 4 2 2 2 3 2 2 2" xfId="27221" xr:uid="{00000000-0005-0000-0000-0000393E0000}"/>
    <cellStyle name="Normal 13 4 2 2 2 3 2 3" xfId="14164" xr:uid="{00000000-0005-0000-0000-00003A3E0000}"/>
    <cellStyle name="Normal 13 4 2 2 2 3 2 3 2" xfId="27222" xr:uid="{00000000-0005-0000-0000-00003B3E0000}"/>
    <cellStyle name="Normal 13 4 2 2 2 3 2 4" xfId="24569" xr:uid="{00000000-0005-0000-0000-00003C3E0000}"/>
    <cellStyle name="Normal 13 4 2 2 2 3 3" xfId="14165" xr:uid="{00000000-0005-0000-0000-00003D3E0000}"/>
    <cellStyle name="Normal 13 4 2 2 2 3 3 2" xfId="27223" xr:uid="{00000000-0005-0000-0000-00003E3E0000}"/>
    <cellStyle name="Normal 13 4 2 2 2 3 4" xfId="14166" xr:uid="{00000000-0005-0000-0000-00003F3E0000}"/>
    <cellStyle name="Normal 13 4 2 2 2 3 4 2" xfId="27224" xr:uid="{00000000-0005-0000-0000-0000403E0000}"/>
    <cellStyle name="Normal 13 4 2 2 2 3 5" xfId="22413" xr:uid="{00000000-0005-0000-0000-0000413E0000}"/>
    <cellStyle name="Normal 13 4 2 2 2 4" xfId="10121" xr:uid="{00000000-0005-0000-0000-0000423E0000}"/>
    <cellStyle name="Normal 13 4 2 2 2 4 2" xfId="14167" xr:uid="{00000000-0005-0000-0000-0000433E0000}"/>
    <cellStyle name="Normal 13 4 2 2 2 4 2 2" xfId="27225" xr:uid="{00000000-0005-0000-0000-0000443E0000}"/>
    <cellStyle name="Normal 13 4 2 2 2 4 3" xfId="14168" xr:uid="{00000000-0005-0000-0000-0000453E0000}"/>
    <cellStyle name="Normal 13 4 2 2 2 4 3 2" xfId="27226" xr:uid="{00000000-0005-0000-0000-0000463E0000}"/>
    <cellStyle name="Normal 13 4 2 2 2 4 4" xfId="23491" xr:uid="{00000000-0005-0000-0000-0000473E0000}"/>
    <cellStyle name="Normal 13 4 2 2 2 5" xfId="14169" xr:uid="{00000000-0005-0000-0000-0000483E0000}"/>
    <cellStyle name="Normal 13 4 2 2 2 5 2" xfId="27227" xr:uid="{00000000-0005-0000-0000-0000493E0000}"/>
    <cellStyle name="Normal 13 4 2 2 2 6" xfId="14170" xr:uid="{00000000-0005-0000-0000-00004A3E0000}"/>
    <cellStyle name="Normal 13 4 2 2 2 6 2" xfId="27228" xr:uid="{00000000-0005-0000-0000-00004B3E0000}"/>
    <cellStyle name="Normal 13 4 2 2 2 7" xfId="21335" xr:uid="{00000000-0005-0000-0000-00004C3E0000}"/>
    <cellStyle name="Normal 13 4 2 2 3" xfId="7212" xr:uid="{00000000-0005-0000-0000-00004D3E0000}"/>
    <cellStyle name="Normal 13 4 2 2 3 2" xfId="9091" xr:uid="{00000000-0005-0000-0000-00004E3E0000}"/>
    <cellStyle name="Normal 13 4 2 2 3 2 2" xfId="11470" xr:uid="{00000000-0005-0000-0000-00004F3E0000}"/>
    <cellStyle name="Normal 13 4 2 2 3 2 2 2" xfId="14171" xr:uid="{00000000-0005-0000-0000-0000503E0000}"/>
    <cellStyle name="Normal 13 4 2 2 3 2 2 2 2" xfId="27229" xr:uid="{00000000-0005-0000-0000-0000513E0000}"/>
    <cellStyle name="Normal 13 4 2 2 3 2 2 3" xfId="14172" xr:uid="{00000000-0005-0000-0000-0000523E0000}"/>
    <cellStyle name="Normal 13 4 2 2 3 2 2 3 2" xfId="27230" xr:uid="{00000000-0005-0000-0000-0000533E0000}"/>
    <cellStyle name="Normal 13 4 2 2 3 2 2 4" xfId="24840" xr:uid="{00000000-0005-0000-0000-0000543E0000}"/>
    <cellStyle name="Normal 13 4 2 2 3 2 3" xfId="14173" xr:uid="{00000000-0005-0000-0000-0000553E0000}"/>
    <cellStyle name="Normal 13 4 2 2 3 2 3 2" xfId="27231" xr:uid="{00000000-0005-0000-0000-0000563E0000}"/>
    <cellStyle name="Normal 13 4 2 2 3 2 4" xfId="14174" xr:uid="{00000000-0005-0000-0000-0000573E0000}"/>
    <cellStyle name="Normal 13 4 2 2 3 2 4 2" xfId="27232" xr:uid="{00000000-0005-0000-0000-0000583E0000}"/>
    <cellStyle name="Normal 13 4 2 2 3 2 5" xfId="22684" xr:uid="{00000000-0005-0000-0000-0000593E0000}"/>
    <cellStyle name="Normal 13 4 2 2 3 3" xfId="10392" xr:uid="{00000000-0005-0000-0000-00005A3E0000}"/>
    <cellStyle name="Normal 13 4 2 2 3 3 2" xfId="14175" xr:uid="{00000000-0005-0000-0000-00005B3E0000}"/>
    <cellStyle name="Normal 13 4 2 2 3 3 2 2" xfId="27233" xr:uid="{00000000-0005-0000-0000-00005C3E0000}"/>
    <cellStyle name="Normal 13 4 2 2 3 3 3" xfId="14176" xr:uid="{00000000-0005-0000-0000-00005D3E0000}"/>
    <cellStyle name="Normal 13 4 2 2 3 3 3 2" xfId="27234" xr:uid="{00000000-0005-0000-0000-00005E3E0000}"/>
    <cellStyle name="Normal 13 4 2 2 3 3 4" xfId="23762" xr:uid="{00000000-0005-0000-0000-00005F3E0000}"/>
    <cellStyle name="Normal 13 4 2 2 3 4" xfId="14177" xr:uid="{00000000-0005-0000-0000-0000603E0000}"/>
    <cellStyle name="Normal 13 4 2 2 3 4 2" xfId="27235" xr:uid="{00000000-0005-0000-0000-0000613E0000}"/>
    <cellStyle name="Normal 13 4 2 2 3 5" xfId="14178" xr:uid="{00000000-0005-0000-0000-0000623E0000}"/>
    <cellStyle name="Normal 13 4 2 2 3 5 2" xfId="27236" xr:uid="{00000000-0005-0000-0000-0000633E0000}"/>
    <cellStyle name="Normal 13 4 2 2 3 6" xfId="21606" xr:uid="{00000000-0005-0000-0000-0000643E0000}"/>
    <cellStyle name="Normal 13 4 2 2 4" xfId="8489" xr:uid="{00000000-0005-0000-0000-0000653E0000}"/>
    <cellStyle name="Normal 13 4 2 2 4 2" xfId="10930" xr:uid="{00000000-0005-0000-0000-0000663E0000}"/>
    <cellStyle name="Normal 13 4 2 2 4 2 2" xfId="14179" xr:uid="{00000000-0005-0000-0000-0000673E0000}"/>
    <cellStyle name="Normal 13 4 2 2 4 2 2 2" xfId="27237" xr:uid="{00000000-0005-0000-0000-0000683E0000}"/>
    <cellStyle name="Normal 13 4 2 2 4 2 3" xfId="14180" xr:uid="{00000000-0005-0000-0000-0000693E0000}"/>
    <cellStyle name="Normal 13 4 2 2 4 2 3 2" xfId="27238" xr:uid="{00000000-0005-0000-0000-00006A3E0000}"/>
    <cellStyle name="Normal 13 4 2 2 4 2 4" xfId="24300" xr:uid="{00000000-0005-0000-0000-00006B3E0000}"/>
    <cellStyle name="Normal 13 4 2 2 4 3" xfId="14181" xr:uid="{00000000-0005-0000-0000-00006C3E0000}"/>
    <cellStyle name="Normal 13 4 2 2 4 3 2" xfId="27239" xr:uid="{00000000-0005-0000-0000-00006D3E0000}"/>
    <cellStyle name="Normal 13 4 2 2 4 4" xfId="14182" xr:uid="{00000000-0005-0000-0000-00006E3E0000}"/>
    <cellStyle name="Normal 13 4 2 2 4 4 2" xfId="27240" xr:uid="{00000000-0005-0000-0000-00006F3E0000}"/>
    <cellStyle name="Normal 13 4 2 2 4 5" xfId="22144" xr:uid="{00000000-0005-0000-0000-0000703E0000}"/>
    <cellStyle name="Normal 13 4 2 2 5" xfId="9852" xr:uid="{00000000-0005-0000-0000-0000713E0000}"/>
    <cellStyle name="Normal 13 4 2 2 5 2" xfId="14183" xr:uid="{00000000-0005-0000-0000-0000723E0000}"/>
    <cellStyle name="Normal 13 4 2 2 5 2 2" xfId="27241" xr:uid="{00000000-0005-0000-0000-0000733E0000}"/>
    <cellStyle name="Normal 13 4 2 2 5 3" xfId="14184" xr:uid="{00000000-0005-0000-0000-0000743E0000}"/>
    <cellStyle name="Normal 13 4 2 2 5 3 2" xfId="27242" xr:uid="{00000000-0005-0000-0000-0000753E0000}"/>
    <cellStyle name="Normal 13 4 2 2 5 4" xfId="23222" xr:uid="{00000000-0005-0000-0000-0000763E0000}"/>
    <cellStyle name="Normal 13 4 2 2 6" xfId="14185" xr:uid="{00000000-0005-0000-0000-0000773E0000}"/>
    <cellStyle name="Normal 13 4 2 2 6 2" xfId="27243" xr:uid="{00000000-0005-0000-0000-0000783E0000}"/>
    <cellStyle name="Normal 13 4 2 2 7" xfId="14186" xr:uid="{00000000-0005-0000-0000-0000793E0000}"/>
    <cellStyle name="Normal 13 4 2 2 7 2" xfId="27244" xr:uid="{00000000-0005-0000-0000-00007A3E0000}"/>
    <cellStyle name="Normal 13 4 2 2 8" xfId="21066" xr:uid="{00000000-0005-0000-0000-00007B3E0000}"/>
    <cellStyle name="Normal 13 4 2 3" xfId="6643" xr:uid="{00000000-0005-0000-0000-00007C3E0000}"/>
    <cellStyle name="Normal 13 4 2 3 2" xfId="7339" xr:uid="{00000000-0005-0000-0000-00007D3E0000}"/>
    <cellStyle name="Normal 13 4 2 3 2 2" xfId="9218" xr:uid="{00000000-0005-0000-0000-00007E3E0000}"/>
    <cellStyle name="Normal 13 4 2 3 2 2 2" xfId="11597" xr:uid="{00000000-0005-0000-0000-00007F3E0000}"/>
    <cellStyle name="Normal 13 4 2 3 2 2 2 2" xfId="14187" xr:uid="{00000000-0005-0000-0000-0000803E0000}"/>
    <cellStyle name="Normal 13 4 2 3 2 2 2 2 2" xfId="27245" xr:uid="{00000000-0005-0000-0000-0000813E0000}"/>
    <cellStyle name="Normal 13 4 2 3 2 2 2 3" xfId="14188" xr:uid="{00000000-0005-0000-0000-0000823E0000}"/>
    <cellStyle name="Normal 13 4 2 3 2 2 2 3 2" xfId="27246" xr:uid="{00000000-0005-0000-0000-0000833E0000}"/>
    <cellStyle name="Normal 13 4 2 3 2 2 2 4" xfId="24967" xr:uid="{00000000-0005-0000-0000-0000843E0000}"/>
    <cellStyle name="Normal 13 4 2 3 2 2 3" xfId="14189" xr:uid="{00000000-0005-0000-0000-0000853E0000}"/>
    <cellStyle name="Normal 13 4 2 3 2 2 3 2" xfId="27247" xr:uid="{00000000-0005-0000-0000-0000863E0000}"/>
    <cellStyle name="Normal 13 4 2 3 2 2 4" xfId="14190" xr:uid="{00000000-0005-0000-0000-0000873E0000}"/>
    <cellStyle name="Normal 13 4 2 3 2 2 4 2" xfId="27248" xr:uid="{00000000-0005-0000-0000-0000883E0000}"/>
    <cellStyle name="Normal 13 4 2 3 2 2 5" xfId="22811" xr:uid="{00000000-0005-0000-0000-0000893E0000}"/>
    <cellStyle name="Normal 13 4 2 3 2 3" xfId="10519" xr:uid="{00000000-0005-0000-0000-00008A3E0000}"/>
    <cellStyle name="Normal 13 4 2 3 2 3 2" xfId="14191" xr:uid="{00000000-0005-0000-0000-00008B3E0000}"/>
    <cellStyle name="Normal 13 4 2 3 2 3 2 2" xfId="27249" xr:uid="{00000000-0005-0000-0000-00008C3E0000}"/>
    <cellStyle name="Normal 13 4 2 3 2 3 3" xfId="14192" xr:uid="{00000000-0005-0000-0000-00008D3E0000}"/>
    <cellStyle name="Normal 13 4 2 3 2 3 3 2" xfId="27250" xr:uid="{00000000-0005-0000-0000-00008E3E0000}"/>
    <cellStyle name="Normal 13 4 2 3 2 3 4" xfId="23889" xr:uid="{00000000-0005-0000-0000-00008F3E0000}"/>
    <cellStyle name="Normal 13 4 2 3 2 4" xfId="14193" xr:uid="{00000000-0005-0000-0000-0000903E0000}"/>
    <cellStyle name="Normal 13 4 2 3 2 4 2" xfId="27251" xr:uid="{00000000-0005-0000-0000-0000913E0000}"/>
    <cellStyle name="Normal 13 4 2 3 2 5" xfId="14194" xr:uid="{00000000-0005-0000-0000-0000923E0000}"/>
    <cellStyle name="Normal 13 4 2 3 2 5 2" xfId="27252" xr:uid="{00000000-0005-0000-0000-0000933E0000}"/>
    <cellStyle name="Normal 13 4 2 3 2 6" xfId="21733" xr:uid="{00000000-0005-0000-0000-0000943E0000}"/>
    <cellStyle name="Normal 13 4 2 3 3" xfId="8671" xr:uid="{00000000-0005-0000-0000-0000953E0000}"/>
    <cellStyle name="Normal 13 4 2 3 3 2" xfId="11057" xr:uid="{00000000-0005-0000-0000-0000963E0000}"/>
    <cellStyle name="Normal 13 4 2 3 3 2 2" xfId="14195" xr:uid="{00000000-0005-0000-0000-0000973E0000}"/>
    <cellStyle name="Normal 13 4 2 3 3 2 2 2" xfId="27253" xr:uid="{00000000-0005-0000-0000-0000983E0000}"/>
    <cellStyle name="Normal 13 4 2 3 3 2 3" xfId="14196" xr:uid="{00000000-0005-0000-0000-0000993E0000}"/>
    <cellStyle name="Normal 13 4 2 3 3 2 3 2" xfId="27254" xr:uid="{00000000-0005-0000-0000-00009A3E0000}"/>
    <cellStyle name="Normal 13 4 2 3 3 2 4" xfId="24427" xr:uid="{00000000-0005-0000-0000-00009B3E0000}"/>
    <cellStyle name="Normal 13 4 2 3 3 3" xfId="14197" xr:uid="{00000000-0005-0000-0000-00009C3E0000}"/>
    <cellStyle name="Normal 13 4 2 3 3 3 2" xfId="27255" xr:uid="{00000000-0005-0000-0000-00009D3E0000}"/>
    <cellStyle name="Normal 13 4 2 3 3 4" xfId="14198" xr:uid="{00000000-0005-0000-0000-00009E3E0000}"/>
    <cellStyle name="Normal 13 4 2 3 3 4 2" xfId="27256" xr:uid="{00000000-0005-0000-0000-00009F3E0000}"/>
    <cellStyle name="Normal 13 4 2 3 3 5" xfId="22271" xr:uid="{00000000-0005-0000-0000-0000A03E0000}"/>
    <cellStyle name="Normal 13 4 2 3 4" xfId="9979" xr:uid="{00000000-0005-0000-0000-0000A13E0000}"/>
    <cellStyle name="Normal 13 4 2 3 4 2" xfId="14199" xr:uid="{00000000-0005-0000-0000-0000A23E0000}"/>
    <cellStyle name="Normal 13 4 2 3 4 2 2" xfId="27257" xr:uid="{00000000-0005-0000-0000-0000A33E0000}"/>
    <cellStyle name="Normal 13 4 2 3 4 3" xfId="14200" xr:uid="{00000000-0005-0000-0000-0000A43E0000}"/>
    <cellStyle name="Normal 13 4 2 3 4 3 2" xfId="27258" xr:uid="{00000000-0005-0000-0000-0000A53E0000}"/>
    <cellStyle name="Normal 13 4 2 3 4 4" xfId="23349" xr:uid="{00000000-0005-0000-0000-0000A63E0000}"/>
    <cellStyle name="Normal 13 4 2 3 5" xfId="14201" xr:uid="{00000000-0005-0000-0000-0000A73E0000}"/>
    <cellStyle name="Normal 13 4 2 3 5 2" xfId="27259" xr:uid="{00000000-0005-0000-0000-0000A83E0000}"/>
    <cellStyle name="Normal 13 4 2 3 6" xfId="14202" xr:uid="{00000000-0005-0000-0000-0000A93E0000}"/>
    <cellStyle name="Normal 13 4 2 3 6 2" xfId="27260" xr:uid="{00000000-0005-0000-0000-0000AA3E0000}"/>
    <cellStyle name="Normal 13 4 2 3 7" xfId="21193" xr:uid="{00000000-0005-0000-0000-0000AB3E0000}"/>
    <cellStyle name="Normal 13 4 2 4" xfId="7069" xr:uid="{00000000-0005-0000-0000-0000AC3E0000}"/>
    <cellStyle name="Normal 13 4 2 4 2" xfId="8949" xr:uid="{00000000-0005-0000-0000-0000AD3E0000}"/>
    <cellStyle name="Normal 13 4 2 4 2 2" xfId="11328" xr:uid="{00000000-0005-0000-0000-0000AE3E0000}"/>
    <cellStyle name="Normal 13 4 2 4 2 2 2" xfId="14203" xr:uid="{00000000-0005-0000-0000-0000AF3E0000}"/>
    <cellStyle name="Normal 13 4 2 4 2 2 2 2" xfId="27261" xr:uid="{00000000-0005-0000-0000-0000B03E0000}"/>
    <cellStyle name="Normal 13 4 2 4 2 2 3" xfId="14204" xr:uid="{00000000-0005-0000-0000-0000B13E0000}"/>
    <cellStyle name="Normal 13 4 2 4 2 2 3 2" xfId="27262" xr:uid="{00000000-0005-0000-0000-0000B23E0000}"/>
    <cellStyle name="Normal 13 4 2 4 2 2 4" xfId="24698" xr:uid="{00000000-0005-0000-0000-0000B33E0000}"/>
    <cellStyle name="Normal 13 4 2 4 2 3" xfId="14205" xr:uid="{00000000-0005-0000-0000-0000B43E0000}"/>
    <cellStyle name="Normal 13 4 2 4 2 3 2" xfId="27263" xr:uid="{00000000-0005-0000-0000-0000B53E0000}"/>
    <cellStyle name="Normal 13 4 2 4 2 4" xfId="14206" xr:uid="{00000000-0005-0000-0000-0000B63E0000}"/>
    <cellStyle name="Normal 13 4 2 4 2 4 2" xfId="27264" xr:uid="{00000000-0005-0000-0000-0000B73E0000}"/>
    <cellStyle name="Normal 13 4 2 4 2 5" xfId="22542" xr:uid="{00000000-0005-0000-0000-0000B83E0000}"/>
    <cellStyle name="Normal 13 4 2 4 3" xfId="10250" xr:uid="{00000000-0005-0000-0000-0000B93E0000}"/>
    <cellStyle name="Normal 13 4 2 4 3 2" xfId="14207" xr:uid="{00000000-0005-0000-0000-0000BA3E0000}"/>
    <cellStyle name="Normal 13 4 2 4 3 2 2" xfId="27265" xr:uid="{00000000-0005-0000-0000-0000BB3E0000}"/>
    <cellStyle name="Normal 13 4 2 4 3 3" xfId="14208" xr:uid="{00000000-0005-0000-0000-0000BC3E0000}"/>
    <cellStyle name="Normal 13 4 2 4 3 3 2" xfId="27266" xr:uid="{00000000-0005-0000-0000-0000BD3E0000}"/>
    <cellStyle name="Normal 13 4 2 4 3 4" xfId="23620" xr:uid="{00000000-0005-0000-0000-0000BE3E0000}"/>
    <cellStyle name="Normal 13 4 2 4 4" xfId="14209" xr:uid="{00000000-0005-0000-0000-0000BF3E0000}"/>
    <cellStyle name="Normal 13 4 2 4 4 2" xfId="27267" xr:uid="{00000000-0005-0000-0000-0000C03E0000}"/>
    <cellStyle name="Normal 13 4 2 4 5" xfId="14210" xr:uid="{00000000-0005-0000-0000-0000C13E0000}"/>
    <cellStyle name="Normal 13 4 2 4 5 2" xfId="27268" xr:uid="{00000000-0005-0000-0000-0000C23E0000}"/>
    <cellStyle name="Normal 13 4 2 4 6" xfId="21464" xr:uid="{00000000-0005-0000-0000-0000C33E0000}"/>
    <cellStyle name="Normal 13 4 2 5" xfId="8273" xr:uid="{00000000-0005-0000-0000-0000C43E0000}"/>
    <cellStyle name="Normal 13 4 2 5 2" xfId="10788" xr:uid="{00000000-0005-0000-0000-0000C53E0000}"/>
    <cellStyle name="Normal 13 4 2 5 2 2" xfId="14211" xr:uid="{00000000-0005-0000-0000-0000C63E0000}"/>
    <cellStyle name="Normal 13 4 2 5 2 2 2" xfId="27269" xr:uid="{00000000-0005-0000-0000-0000C73E0000}"/>
    <cellStyle name="Normal 13 4 2 5 2 3" xfId="14212" xr:uid="{00000000-0005-0000-0000-0000C83E0000}"/>
    <cellStyle name="Normal 13 4 2 5 2 3 2" xfId="27270" xr:uid="{00000000-0005-0000-0000-0000C93E0000}"/>
    <cellStyle name="Normal 13 4 2 5 2 4" xfId="24158" xr:uid="{00000000-0005-0000-0000-0000CA3E0000}"/>
    <cellStyle name="Normal 13 4 2 5 3" xfId="14213" xr:uid="{00000000-0005-0000-0000-0000CB3E0000}"/>
    <cellStyle name="Normal 13 4 2 5 3 2" xfId="27271" xr:uid="{00000000-0005-0000-0000-0000CC3E0000}"/>
    <cellStyle name="Normal 13 4 2 5 4" xfId="14214" xr:uid="{00000000-0005-0000-0000-0000CD3E0000}"/>
    <cellStyle name="Normal 13 4 2 5 4 2" xfId="27272" xr:uid="{00000000-0005-0000-0000-0000CE3E0000}"/>
    <cellStyle name="Normal 13 4 2 5 5" xfId="22002" xr:uid="{00000000-0005-0000-0000-0000CF3E0000}"/>
    <cellStyle name="Normal 13 4 2 6" xfId="9709" xr:uid="{00000000-0005-0000-0000-0000D03E0000}"/>
    <cellStyle name="Normal 13 4 2 6 2" xfId="14215" xr:uid="{00000000-0005-0000-0000-0000D13E0000}"/>
    <cellStyle name="Normal 13 4 2 6 2 2" xfId="27273" xr:uid="{00000000-0005-0000-0000-0000D23E0000}"/>
    <cellStyle name="Normal 13 4 2 6 3" xfId="14216" xr:uid="{00000000-0005-0000-0000-0000D33E0000}"/>
    <cellStyle name="Normal 13 4 2 6 3 2" xfId="27274" xr:uid="{00000000-0005-0000-0000-0000D43E0000}"/>
    <cellStyle name="Normal 13 4 2 6 4" xfId="23080" xr:uid="{00000000-0005-0000-0000-0000D53E0000}"/>
    <cellStyle name="Normal 13 4 2 7" xfId="14217" xr:uid="{00000000-0005-0000-0000-0000D63E0000}"/>
    <cellStyle name="Normal 13 4 2 7 2" xfId="27275" xr:uid="{00000000-0005-0000-0000-0000D73E0000}"/>
    <cellStyle name="Normal 13 4 2 8" xfId="14218" xr:uid="{00000000-0005-0000-0000-0000D83E0000}"/>
    <cellStyle name="Normal 13 4 2 8 2" xfId="27276" xr:uid="{00000000-0005-0000-0000-0000D93E0000}"/>
    <cellStyle name="Normal 13 4 2 9" xfId="20923" xr:uid="{00000000-0005-0000-0000-0000DA3E0000}"/>
    <cellStyle name="Normal 13 4 3" xfId="5554" xr:uid="{00000000-0005-0000-0000-0000DB3E0000}"/>
    <cellStyle name="Normal 13 4 3 2" xfId="6738" xr:uid="{00000000-0005-0000-0000-0000DC3E0000}"/>
    <cellStyle name="Normal 13 4 3 2 2" xfId="7425" xr:uid="{00000000-0005-0000-0000-0000DD3E0000}"/>
    <cellStyle name="Normal 13 4 3 2 2 2" xfId="9304" xr:uid="{00000000-0005-0000-0000-0000DE3E0000}"/>
    <cellStyle name="Normal 13 4 3 2 2 2 2" xfId="11683" xr:uid="{00000000-0005-0000-0000-0000DF3E0000}"/>
    <cellStyle name="Normal 13 4 3 2 2 2 2 2" xfId="14219" xr:uid="{00000000-0005-0000-0000-0000E03E0000}"/>
    <cellStyle name="Normal 13 4 3 2 2 2 2 2 2" xfId="27277" xr:uid="{00000000-0005-0000-0000-0000E13E0000}"/>
    <cellStyle name="Normal 13 4 3 2 2 2 2 3" xfId="14220" xr:uid="{00000000-0005-0000-0000-0000E23E0000}"/>
    <cellStyle name="Normal 13 4 3 2 2 2 2 3 2" xfId="27278" xr:uid="{00000000-0005-0000-0000-0000E33E0000}"/>
    <cellStyle name="Normal 13 4 3 2 2 2 2 4" xfId="25053" xr:uid="{00000000-0005-0000-0000-0000E43E0000}"/>
    <cellStyle name="Normal 13 4 3 2 2 2 3" xfId="14221" xr:uid="{00000000-0005-0000-0000-0000E53E0000}"/>
    <cellStyle name="Normal 13 4 3 2 2 2 3 2" xfId="27279" xr:uid="{00000000-0005-0000-0000-0000E63E0000}"/>
    <cellStyle name="Normal 13 4 3 2 2 2 4" xfId="14222" xr:uid="{00000000-0005-0000-0000-0000E73E0000}"/>
    <cellStyle name="Normal 13 4 3 2 2 2 4 2" xfId="27280" xr:uid="{00000000-0005-0000-0000-0000E83E0000}"/>
    <cellStyle name="Normal 13 4 3 2 2 2 5" xfId="22897" xr:uid="{00000000-0005-0000-0000-0000E93E0000}"/>
    <cellStyle name="Normal 13 4 3 2 2 3" xfId="10605" xr:uid="{00000000-0005-0000-0000-0000EA3E0000}"/>
    <cellStyle name="Normal 13 4 3 2 2 3 2" xfId="14223" xr:uid="{00000000-0005-0000-0000-0000EB3E0000}"/>
    <cellStyle name="Normal 13 4 3 2 2 3 2 2" xfId="27281" xr:uid="{00000000-0005-0000-0000-0000EC3E0000}"/>
    <cellStyle name="Normal 13 4 3 2 2 3 3" xfId="14224" xr:uid="{00000000-0005-0000-0000-0000ED3E0000}"/>
    <cellStyle name="Normal 13 4 3 2 2 3 3 2" xfId="27282" xr:uid="{00000000-0005-0000-0000-0000EE3E0000}"/>
    <cellStyle name="Normal 13 4 3 2 2 3 4" xfId="23975" xr:uid="{00000000-0005-0000-0000-0000EF3E0000}"/>
    <cellStyle name="Normal 13 4 3 2 2 4" xfId="14225" xr:uid="{00000000-0005-0000-0000-0000F03E0000}"/>
    <cellStyle name="Normal 13 4 3 2 2 4 2" xfId="27283" xr:uid="{00000000-0005-0000-0000-0000F13E0000}"/>
    <cellStyle name="Normal 13 4 3 2 2 5" xfId="14226" xr:uid="{00000000-0005-0000-0000-0000F23E0000}"/>
    <cellStyle name="Normal 13 4 3 2 2 5 2" xfId="27284" xr:uid="{00000000-0005-0000-0000-0000F33E0000}"/>
    <cellStyle name="Normal 13 4 3 2 2 6" xfId="21819" xr:uid="{00000000-0005-0000-0000-0000F43E0000}"/>
    <cellStyle name="Normal 13 4 3 2 3" xfId="8758" xr:uid="{00000000-0005-0000-0000-0000F53E0000}"/>
    <cellStyle name="Normal 13 4 3 2 3 2" xfId="11143" xr:uid="{00000000-0005-0000-0000-0000F63E0000}"/>
    <cellStyle name="Normal 13 4 3 2 3 2 2" xfId="14227" xr:uid="{00000000-0005-0000-0000-0000F73E0000}"/>
    <cellStyle name="Normal 13 4 3 2 3 2 2 2" xfId="27285" xr:uid="{00000000-0005-0000-0000-0000F83E0000}"/>
    <cellStyle name="Normal 13 4 3 2 3 2 3" xfId="14228" xr:uid="{00000000-0005-0000-0000-0000F93E0000}"/>
    <cellStyle name="Normal 13 4 3 2 3 2 3 2" xfId="27286" xr:uid="{00000000-0005-0000-0000-0000FA3E0000}"/>
    <cellStyle name="Normal 13 4 3 2 3 2 4" xfId="24513" xr:uid="{00000000-0005-0000-0000-0000FB3E0000}"/>
    <cellStyle name="Normal 13 4 3 2 3 3" xfId="14229" xr:uid="{00000000-0005-0000-0000-0000FC3E0000}"/>
    <cellStyle name="Normal 13 4 3 2 3 3 2" xfId="27287" xr:uid="{00000000-0005-0000-0000-0000FD3E0000}"/>
    <cellStyle name="Normal 13 4 3 2 3 4" xfId="14230" xr:uid="{00000000-0005-0000-0000-0000FE3E0000}"/>
    <cellStyle name="Normal 13 4 3 2 3 4 2" xfId="27288" xr:uid="{00000000-0005-0000-0000-0000FF3E0000}"/>
    <cellStyle name="Normal 13 4 3 2 3 5" xfId="22357" xr:uid="{00000000-0005-0000-0000-0000003F0000}"/>
    <cellStyle name="Normal 13 4 3 2 4" xfId="10065" xr:uid="{00000000-0005-0000-0000-0000013F0000}"/>
    <cellStyle name="Normal 13 4 3 2 4 2" xfId="14231" xr:uid="{00000000-0005-0000-0000-0000023F0000}"/>
    <cellStyle name="Normal 13 4 3 2 4 2 2" xfId="27289" xr:uid="{00000000-0005-0000-0000-0000033F0000}"/>
    <cellStyle name="Normal 13 4 3 2 4 3" xfId="14232" xr:uid="{00000000-0005-0000-0000-0000043F0000}"/>
    <cellStyle name="Normal 13 4 3 2 4 3 2" xfId="27290" xr:uid="{00000000-0005-0000-0000-0000053F0000}"/>
    <cellStyle name="Normal 13 4 3 2 4 4" xfId="23435" xr:uid="{00000000-0005-0000-0000-0000063F0000}"/>
    <cellStyle name="Normal 13 4 3 2 5" xfId="14233" xr:uid="{00000000-0005-0000-0000-0000073F0000}"/>
    <cellStyle name="Normal 13 4 3 2 5 2" xfId="27291" xr:uid="{00000000-0005-0000-0000-0000083F0000}"/>
    <cellStyle name="Normal 13 4 3 2 6" xfId="14234" xr:uid="{00000000-0005-0000-0000-0000093F0000}"/>
    <cellStyle name="Normal 13 4 3 2 6 2" xfId="27292" xr:uid="{00000000-0005-0000-0000-00000A3F0000}"/>
    <cellStyle name="Normal 13 4 3 2 7" xfId="21279" xr:uid="{00000000-0005-0000-0000-00000B3F0000}"/>
    <cellStyle name="Normal 13 4 3 3" xfId="7156" xr:uid="{00000000-0005-0000-0000-00000C3F0000}"/>
    <cellStyle name="Normal 13 4 3 3 2" xfId="9035" xr:uid="{00000000-0005-0000-0000-00000D3F0000}"/>
    <cellStyle name="Normal 13 4 3 3 2 2" xfId="11414" xr:uid="{00000000-0005-0000-0000-00000E3F0000}"/>
    <cellStyle name="Normal 13 4 3 3 2 2 2" xfId="14235" xr:uid="{00000000-0005-0000-0000-00000F3F0000}"/>
    <cellStyle name="Normal 13 4 3 3 2 2 2 2" xfId="27293" xr:uid="{00000000-0005-0000-0000-0000103F0000}"/>
    <cellStyle name="Normal 13 4 3 3 2 2 3" xfId="14236" xr:uid="{00000000-0005-0000-0000-0000113F0000}"/>
    <cellStyle name="Normal 13 4 3 3 2 2 3 2" xfId="27294" xr:uid="{00000000-0005-0000-0000-0000123F0000}"/>
    <cellStyle name="Normal 13 4 3 3 2 2 4" xfId="24784" xr:uid="{00000000-0005-0000-0000-0000133F0000}"/>
    <cellStyle name="Normal 13 4 3 3 2 3" xfId="14237" xr:uid="{00000000-0005-0000-0000-0000143F0000}"/>
    <cellStyle name="Normal 13 4 3 3 2 3 2" xfId="27295" xr:uid="{00000000-0005-0000-0000-0000153F0000}"/>
    <cellStyle name="Normal 13 4 3 3 2 4" xfId="14238" xr:uid="{00000000-0005-0000-0000-0000163F0000}"/>
    <cellStyle name="Normal 13 4 3 3 2 4 2" xfId="27296" xr:uid="{00000000-0005-0000-0000-0000173F0000}"/>
    <cellStyle name="Normal 13 4 3 3 2 5" xfId="22628" xr:uid="{00000000-0005-0000-0000-0000183F0000}"/>
    <cellStyle name="Normal 13 4 3 3 3" xfId="10336" xr:uid="{00000000-0005-0000-0000-0000193F0000}"/>
    <cellStyle name="Normal 13 4 3 3 3 2" xfId="14239" xr:uid="{00000000-0005-0000-0000-00001A3F0000}"/>
    <cellStyle name="Normal 13 4 3 3 3 2 2" xfId="27297" xr:uid="{00000000-0005-0000-0000-00001B3F0000}"/>
    <cellStyle name="Normal 13 4 3 3 3 3" xfId="14240" xr:uid="{00000000-0005-0000-0000-00001C3F0000}"/>
    <cellStyle name="Normal 13 4 3 3 3 3 2" xfId="27298" xr:uid="{00000000-0005-0000-0000-00001D3F0000}"/>
    <cellStyle name="Normal 13 4 3 3 3 4" xfId="23706" xr:uid="{00000000-0005-0000-0000-00001E3F0000}"/>
    <cellStyle name="Normal 13 4 3 3 4" xfId="14241" xr:uid="{00000000-0005-0000-0000-00001F3F0000}"/>
    <cellStyle name="Normal 13 4 3 3 4 2" xfId="27299" xr:uid="{00000000-0005-0000-0000-0000203F0000}"/>
    <cellStyle name="Normal 13 4 3 3 5" xfId="14242" xr:uid="{00000000-0005-0000-0000-0000213F0000}"/>
    <cellStyle name="Normal 13 4 3 3 5 2" xfId="27300" xr:uid="{00000000-0005-0000-0000-0000223F0000}"/>
    <cellStyle name="Normal 13 4 3 3 6" xfId="21550" xr:uid="{00000000-0005-0000-0000-0000233F0000}"/>
    <cellStyle name="Normal 13 4 3 4" xfId="8431" xr:uid="{00000000-0005-0000-0000-0000243F0000}"/>
    <cellStyle name="Normal 13 4 3 4 2" xfId="10874" xr:uid="{00000000-0005-0000-0000-0000253F0000}"/>
    <cellStyle name="Normal 13 4 3 4 2 2" xfId="14243" xr:uid="{00000000-0005-0000-0000-0000263F0000}"/>
    <cellStyle name="Normal 13 4 3 4 2 2 2" xfId="27301" xr:uid="{00000000-0005-0000-0000-0000273F0000}"/>
    <cellStyle name="Normal 13 4 3 4 2 3" xfId="14244" xr:uid="{00000000-0005-0000-0000-0000283F0000}"/>
    <cellStyle name="Normal 13 4 3 4 2 3 2" xfId="27302" xr:uid="{00000000-0005-0000-0000-0000293F0000}"/>
    <cellStyle name="Normal 13 4 3 4 2 4" xfId="24244" xr:uid="{00000000-0005-0000-0000-00002A3F0000}"/>
    <cellStyle name="Normal 13 4 3 4 3" xfId="14245" xr:uid="{00000000-0005-0000-0000-00002B3F0000}"/>
    <cellStyle name="Normal 13 4 3 4 3 2" xfId="27303" xr:uid="{00000000-0005-0000-0000-00002C3F0000}"/>
    <cellStyle name="Normal 13 4 3 4 4" xfId="14246" xr:uid="{00000000-0005-0000-0000-00002D3F0000}"/>
    <cellStyle name="Normal 13 4 3 4 4 2" xfId="27304" xr:uid="{00000000-0005-0000-0000-00002E3F0000}"/>
    <cellStyle name="Normal 13 4 3 4 5" xfId="22088" xr:uid="{00000000-0005-0000-0000-00002F3F0000}"/>
    <cellStyle name="Normal 13 4 3 5" xfId="9796" xr:uid="{00000000-0005-0000-0000-0000303F0000}"/>
    <cellStyle name="Normal 13 4 3 5 2" xfId="14247" xr:uid="{00000000-0005-0000-0000-0000313F0000}"/>
    <cellStyle name="Normal 13 4 3 5 2 2" xfId="27305" xr:uid="{00000000-0005-0000-0000-0000323F0000}"/>
    <cellStyle name="Normal 13 4 3 5 3" xfId="14248" xr:uid="{00000000-0005-0000-0000-0000333F0000}"/>
    <cellStyle name="Normal 13 4 3 5 3 2" xfId="27306" xr:uid="{00000000-0005-0000-0000-0000343F0000}"/>
    <cellStyle name="Normal 13 4 3 5 4" xfId="23166" xr:uid="{00000000-0005-0000-0000-0000353F0000}"/>
    <cellStyle name="Normal 13 4 3 6" xfId="14249" xr:uid="{00000000-0005-0000-0000-0000363F0000}"/>
    <cellStyle name="Normal 13 4 3 6 2" xfId="27307" xr:uid="{00000000-0005-0000-0000-0000373F0000}"/>
    <cellStyle name="Normal 13 4 3 7" xfId="14250" xr:uid="{00000000-0005-0000-0000-0000383F0000}"/>
    <cellStyle name="Normal 13 4 3 7 2" xfId="27308" xr:uid="{00000000-0005-0000-0000-0000393F0000}"/>
    <cellStyle name="Normal 13 4 3 8" xfId="21010" xr:uid="{00000000-0005-0000-0000-00003A3F0000}"/>
    <cellStyle name="Normal 13 4 4" xfId="6588" xr:uid="{00000000-0005-0000-0000-00003B3F0000}"/>
    <cellStyle name="Normal 13 4 4 2" xfId="7284" xr:uid="{00000000-0005-0000-0000-00003C3F0000}"/>
    <cellStyle name="Normal 13 4 4 2 2" xfId="9163" xr:uid="{00000000-0005-0000-0000-00003D3F0000}"/>
    <cellStyle name="Normal 13 4 4 2 2 2" xfId="11542" xr:uid="{00000000-0005-0000-0000-00003E3F0000}"/>
    <cellStyle name="Normal 13 4 4 2 2 2 2" xfId="14251" xr:uid="{00000000-0005-0000-0000-00003F3F0000}"/>
    <cellStyle name="Normal 13 4 4 2 2 2 2 2" xfId="27309" xr:uid="{00000000-0005-0000-0000-0000403F0000}"/>
    <cellStyle name="Normal 13 4 4 2 2 2 3" xfId="14252" xr:uid="{00000000-0005-0000-0000-0000413F0000}"/>
    <cellStyle name="Normal 13 4 4 2 2 2 3 2" xfId="27310" xr:uid="{00000000-0005-0000-0000-0000423F0000}"/>
    <cellStyle name="Normal 13 4 4 2 2 2 4" xfId="24912" xr:uid="{00000000-0005-0000-0000-0000433F0000}"/>
    <cellStyle name="Normal 13 4 4 2 2 3" xfId="14253" xr:uid="{00000000-0005-0000-0000-0000443F0000}"/>
    <cellStyle name="Normal 13 4 4 2 2 3 2" xfId="27311" xr:uid="{00000000-0005-0000-0000-0000453F0000}"/>
    <cellStyle name="Normal 13 4 4 2 2 4" xfId="14254" xr:uid="{00000000-0005-0000-0000-0000463F0000}"/>
    <cellStyle name="Normal 13 4 4 2 2 4 2" xfId="27312" xr:uid="{00000000-0005-0000-0000-0000473F0000}"/>
    <cellStyle name="Normal 13 4 4 2 2 5" xfId="22756" xr:uid="{00000000-0005-0000-0000-0000483F0000}"/>
    <cellStyle name="Normal 13 4 4 2 3" xfId="10464" xr:uid="{00000000-0005-0000-0000-0000493F0000}"/>
    <cellStyle name="Normal 13 4 4 2 3 2" xfId="14255" xr:uid="{00000000-0005-0000-0000-00004A3F0000}"/>
    <cellStyle name="Normal 13 4 4 2 3 2 2" xfId="27313" xr:uid="{00000000-0005-0000-0000-00004B3F0000}"/>
    <cellStyle name="Normal 13 4 4 2 3 3" xfId="14256" xr:uid="{00000000-0005-0000-0000-00004C3F0000}"/>
    <cellStyle name="Normal 13 4 4 2 3 3 2" xfId="27314" xr:uid="{00000000-0005-0000-0000-00004D3F0000}"/>
    <cellStyle name="Normal 13 4 4 2 3 4" xfId="23834" xr:uid="{00000000-0005-0000-0000-00004E3F0000}"/>
    <cellStyle name="Normal 13 4 4 2 4" xfId="14257" xr:uid="{00000000-0005-0000-0000-00004F3F0000}"/>
    <cellStyle name="Normal 13 4 4 2 4 2" xfId="27315" xr:uid="{00000000-0005-0000-0000-0000503F0000}"/>
    <cellStyle name="Normal 13 4 4 2 5" xfId="14258" xr:uid="{00000000-0005-0000-0000-0000513F0000}"/>
    <cellStyle name="Normal 13 4 4 2 5 2" xfId="27316" xr:uid="{00000000-0005-0000-0000-0000523F0000}"/>
    <cellStyle name="Normal 13 4 4 2 6" xfId="21678" xr:uid="{00000000-0005-0000-0000-0000533F0000}"/>
    <cellStyle name="Normal 13 4 4 3" xfId="8616" xr:uid="{00000000-0005-0000-0000-0000543F0000}"/>
    <cellStyle name="Normal 13 4 4 3 2" xfId="11002" xr:uid="{00000000-0005-0000-0000-0000553F0000}"/>
    <cellStyle name="Normal 13 4 4 3 2 2" xfId="14259" xr:uid="{00000000-0005-0000-0000-0000563F0000}"/>
    <cellStyle name="Normal 13 4 4 3 2 2 2" xfId="27317" xr:uid="{00000000-0005-0000-0000-0000573F0000}"/>
    <cellStyle name="Normal 13 4 4 3 2 3" xfId="14260" xr:uid="{00000000-0005-0000-0000-0000583F0000}"/>
    <cellStyle name="Normal 13 4 4 3 2 3 2" xfId="27318" xr:uid="{00000000-0005-0000-0000-0000593F0000}"/>
    <cellStyle name="Normal 13 4 4 3 2 4" xfId="24372" xr:uid="{00000000-0005-0000-0000-00005A3F0000}"/>
    <cellStyle name="Normal 13 4 4 3 3" xfId="14261" xr:uid="{00000000-0005-0000-0000-00005B3F0000}"/>
    <cellStyle name="Normal 13 4 4 3 3 2" xfId="27319" xr:uid="{00000000-0005-0000-0000-00005C3F0000}"/>
    <cellStyle name="Normal 13 4 4 3 4" xfId="14262" xr:uid="{00000000-0005-0000-0000-00005D3F0000}"/>
    <cellStyle name="Normal 13 4 4 3 4 2" xfId="27320" xr:uid="{00000000-0005-0000-0000-00005E3F0000}"/>
    <cellStyle name="Normal 13 4 4 3 5" xfId="22216" xr:uid="{00000000-0005-0000-0000-00005F3F0000}"/>
    <cellStyle name="Normal 13 4 4 4" xfId="9924" xr:uid="{00000000-0005-0000-0000-0000603F0000}"/>
    <cellStyle name="Normal 13 4 4 4 2" xfId="14263" xr:uid="{00000000-0005-0000-0000-0000613F0000}"/>
    <cellStyle name="Normal 13 4 4 4 2 2" xfId="27321" xr:uid="{00000000-0005-0000-0000-0000623F0000}"/>
    <cellStyle name="Normal 13 4 4 4 3" xfId="14264" xr:uid="{00000000-0005-0000-0000-0000633F0000}"/>
    <cellStyle name="Normal 13 4 4 4 3 2" xfId="27322" xr:uid="{00000000-0005-0000-0000-0000643F0000}"/>
    <cellStyle name="Normal 13 4 4 4 4" xfId="23294" xr:uid="{00000000-0005-0000-0000-0000653F0000}"/>
    <cellStyle name="Normal 13 4 4 5" xfId="14265" xr:uid="{00000000-0005-0000-0000-0000663F0000}"/>
    <cellStyle name="Normal 13 4 4 5 2" xfId="27323" xr:uid="{00000000-0005-0000-0000-0000673F0000}"/>
    <cellStyle name="Normal 13 4 4 6" xfId="14266" xr:uid="{00000000-0005-0000-0000-0000683F0000}"/>
    <cellStyle name="Normal 13 4 4 6 2" xfId="27324" xr:uid="{00000000-0005-0000-0000-0000693F0000}"/>
    <cellStyle name="Normal 13 4 4 7" xfId="21138" xr:uid="{00000000-0005-0000-0000-00006A3F0000}"/>
    <cellStyle name="Normal 13 4 5" xfId="7014" xr:uid="{00000000-0005-0000-0000-00006B3F0000}"/>
    <cellStyle name="Normal 13 4 5 2" xfId="8894" xr:uid="{00000000-0005-0000-0000-00006C3F0000}"/>
    <cellStyle name="Normal 13 4 5 2 2" xfId="11273" xr:uid="{00000000-0005-0000-0000-00006D3F0000}"/>
    <cellStyle name="Normal 13 4 5 2 2 2" xfId="14267" xr:uid="{00000000-0005-0000-0000-00006E3F0000}"/>
    <cellStyle name="Normal 13 4 5 2 2 2 2" xfId="27325" xr:uid="{00000000-0005-0000-0000-00006F3F0000}"/>
    <cellStyle name="Normal 13 4 5 2 2 3" xfId="14268" xr:uid="{00000000-0005-0000-0000-0000703F0000}"/>
    <cellStyle name="Normal 13 4 5 2 2 3 2" xfId="27326" xr:uid="{00000000-0005-0000-0000-0000713F0000}"/>
    <cellStyle name="Normal 13 4 5 2 2 4" xfId="24643" xr:uid="{00000000-0005-0000-0000-0000723F0000}"/>
    <cellStyle name="Normal 13 4 5 2 3" xfId="14269" xr:uid="{00000000-0005-0000-0000-0000733F0000}"/>
    <cellStyle name="Normal 13 4 5 2 3 2" xfId="27327" xr:uid="{00000000-0005-0000-0000-0000743F0000}"/>
    <cellStyle name="Normal 13 4 5 2 4" xfId="14270" xr:uid="{00000000-0005-0000-0000-0000753F0000}"/>
    <cellStyle name="Normal 13 4 5 2 4 2" xfId="27328" xr:uid="{00000000-0005-0000-0000-0000763F0000}"/>
    <cellStyle name="Normal 13 4 5 2 5" xfId="22487" xr:uid="{00000000-0005-0000-0000-0000773F0000}"/>
    <cellStyle name="Normal 13 4 5 3" xfId="10195" xr:uid="{00000000-0005-0000-0000-0000783F0000}"/>
    <cellStyle name="Normal 13 4 5 3 2" xfId="14271" xr:uid="{00000000-0005-0000-0000-0000793F0000}"/>
    <cellStyle name="Normal 13 4 5 3 2 2" xfId="27329" xr:uid="{00000000-0005-0000-0000-00007A3F0000}"/>
    <cellStyle name="Normal 13 4 5 3 3" xfId="14272" xr:uid="{00000000-0005-0000-0000-00007B3F0000}"/>
    <cellStyle name="Normal 13 4 5 3 3 2" xfId="27330" xr:uid="{00000000-0005-0000-0000-00007C3F0000}"/>
    <cellStyle name="Normal 13 4 5 3 4" xfId="23565" xr:uid="{00000000-0005-0000-0000-00007D3F0000}"/>
    <cellStyle name="Normal 13 4 5 4" xfId="14273" xr:uid="{00000000-0005-0000-0000-00007E3F0000}"/>
    <cellStyle name="Normal 13 4 5 4 2" xfId="27331" xr:uid="{00000000-0005-0000-0000-00007F3F0000}"/>
    <cellStyle name="Normal 13 4 5 5" xfId="14274" xr:uid="{00000000-0005-0000-0000-0000803F0000}"/>
    <cellStyle name="Normal 13 4 5 5 2" xfId="27332" xr:uid="{00000000-0005-0000-0000-0000813F0000}"/>
    <cellStyle name="Normal 13 4 5 6" xfId="21409" xr:uid="{00000000-0005-0000-0000-0000823F0000}"/>
    <cellStyle name="Normal 13 4 6" xfId="8210" xr:uid="{00000000-0005-0000-0000-0000833F0000}"/>
    <cellStyle name="Normal 13 4 6 2" xfId="10733" xr:uid="{00000000-0005-0000-0000-0000843F0000}"/>
    <cellStyle name="Normal 13 4 6 2 2" xfId="14275" xr:uid="{00000000-0005-0000-0000-0000853F0000}"/>
    <cellStyle name="Normal 13 4 6 2 2 2" xfId="27333" xr:uid="{00000000-0005-0000-0000-0000863F0000}"/>
    <cellStyle name="Normal 13 4 6 2 3" xfId="14276" xr:uid="{00000000-0005-0000-0000-0000873F0000}"/>
    <cellStyle name="Normal 13 4 6 2 3 2" xfId="27334" xr:uid="{00000000-0005-0000-0000-0000883F0000}"/>
    <cellStyle name="Normal 13 4 6 2 4" xfId="24103" xr:uid="{00000000-0005-0000-0000-0000893F0000}"/>
    <cellStyle name="Normal 13 4 6 3" xfId="14277" xr:uid="{00000000-0005-0000-0000-00008A3F0000}"/>
    <cellStyle name="Normal 13 4 6 3 2" xfId="27335" xr:uid="{00000000-0005-0000-0000-00008B3F0000}"/>
    <cellStyle name="Normal 13 4 6 4" xfId="14278" xr:uid="{00000000-0005-0000-0000-00008C3F0000}"/>
    <cellStyle name="Normal 13 4 6 4 2" xfId="27336" xr:uid="{00000000-0005-0000-0000-00008D3F0000}"/>
    <cellStyle name="Normal 13 4 6 5" xfId="21947" xr:uid="{00000000-0005-0000-0000-00008E3F0000}"/>
    <cellStyle name="Normal 13 4 7" xfId="9654" xr:uid="{00000000-0005-0000-0000-00008F3F0000}"/>
    <cellStyle name="Normal 13 4 7 2" xfId="14279" xr:uid="{00000000-0005-0000-0000-0000903F0000}"/>
    <cellStyle name="Normal 13 4 7 2 2" xfId="27337" xr:uid="{00000000-0005-0000-0000-0000913F0000}"/>
    <cellStyle name="Normal 13 4 7 3" xfId="14280" xr:uid="{00000000-0005-0000-0000-0000923F0000}"/>
    <cellStyle name="Normal 13 4 7 3 2" xfId="27338" xr:uid="{00000000-0005-0000-0000-0000933F0000}"/>
    <cellStyle name="Normal 13 4 7 4" xfId="23025" xr:uid="{00000000-0005-0000-0000-0000943F0000}"/>
    <cellStyle name="Normal 13 4 8" xfId="14281" xr:uid="{00000000-0005-0000-0000-0000953F0000}"/>
    <cellStyle name="Normal 13 4 8 2" xfId="27339" xr:uid="{00000000-0005-0000-0000-0000963F0000}"/>
    <cellStyle name="Normal 13 4 9" xfId="14282" xr:uid="{00000000-0005-0000-0000-0000973F0000}"/>
    <cellStyle name="Normal 13 4 9 2" xfId="27340" xr:uid="{00000000-0005-0000-0000-0000983F0000}"/>
    <cellStyle name="Normal 13 5" xfId="3951" xr:uid="{00000000-0005-0000-0000-0000993F0000}"/>
    <cellStyle name="Normal 13 5 10" xfId="20872" xr:uid="{00000000-0005-0000-0000-00009A3F0000}"/>
    <cellStyle name="Normal 13 5 2" xfId="4110" xr:uid="{00000000-0005-0000-0000-00009B3F0000}"/>
    <cellStyle name="Normal 13 5 2 2" xfId="5646" xr:uid="{00000000-0005-0000-0000-00009C3F0000}"/>
    <cellStyle name="Normal 13 5 2 2 2" xfId="6798" xr:uid="{00000000-0005-0000-0000-00009D3F0000}"/>
    <cellStyle name="Normal 13 5 2 2 2 2" xfId="7485" xr:uid="{00000000-0005-0000-0000-00009E3F0000}"/>
    <cellStyle name="Normal 13 5 2 2 2 2 2" xfId="9364" xr:uid="{00000000-0005-0000-0000-00009F3F0000}"/>
    <cellStyle name="Normal 13 5 2 2 2 2 2 2" xfId="11743" xr:uid="{00000000-0005-0000-0000-0000A03F0000}"/>
    <cellStyle name="Normal 13 5 2 2 2 2 2 2 2" xfId="14283" xr:uid="{00000000-0005-0000-0000-0000A13F0000}"/>
    <cellStyle name="Normal 13 5 2 2 2 2 2 2 2 2" xfId="27341" xr:uid="{00000000-0005-0000-0000-0000A23F0000}"/>
    <cellStyle name="Normal 13 5 2 2 2 2 2 2 3" xfId="14284" xr:uid="{00000000-0005-0000-0000-0000A33F0000}"/>
    <cellStyle name="Normal 13 5 2 2 2 2 2 2 3 2" xfId="27342" xr:uid="{00000000-0005-0000-0000-0000A43F0000}"/>
    <cellStyle name="Normal 13 5 2 2 2 2 2 2 4" xfId="25113" xr:uid="{00000000-0005-0000-0000-0000A53F0000}"/>
    <cellStyle name="Normal 13 5 2 2 2 2 2 3" xfId="14285" xr:uid="{00000000-0005-0000-0000-0000A63F0000}"/>
    <cellStyle name="Normal 13 5 2 2 2 2 2 3 2" xfId="27343" xr:uid="{00000000-0005-0000-0000-0000A73F0000}"/>
    <cellStyle name="Normal 13 5 2 2 2 2 2 4" xfId="14286" xr:uid="{00000000-0005-0000-0000-0000A83F0000}"/>
    <cellStyle name="Normal 13 5 2 2 2 2 2 4 2" xfId="27344" xr:uid="{00000000-0005-0000-0000-0000A93F0000}"/>
    <cellStyle name="Normal 13 5 2 2 2 2 2 5" xfId="22957" xr:uid="{00000000-0005-0000-0000-0000AA3F0000}"/>
    <cellStyle name="Normal 13 5 2 2 2 2 3" xfId="10665" xr:uid="{00000000-0005-0000-0000-0000AB3F0000}"/>
    <cellStyle name="Normal 13 5 2 2 2 2 3 2" xfId="14287" xr:uid="{00000000-0005-0000-0000-0000AC3F0000}"/>
    <cellStyle name="Normal 13 5 2 2 2 2 3 2 2" xfId="27345" xr:uid="{00000000-0005-0000-0000-0000AD3F0000}"/>
    <cellStyle name="Normal 13 5 2 2 2 2 3 3" xfId="14288" xr:uid="{00000000-0005-0000-0000-0000AE3F0000}"/>
    <cellStyle name="Normal 13 5 2 2 2 2 3 3 2" xfId="27346" xr:uid="{00000000-0005-0000-0000-0000AF3F0000}"/>
    <cellStyle name="Normal 13 5 2 2 2 2 3 4" xfId="24035" xr:uid="{00000000-0005-0000-0000-0000B03F0000}"/>
    <cellStyle name="Normal 13 5 2 2 2 2 4" xfId="14289" xr:uid="{00000000-0005-0000-0000-0000B13F0000}"/>
    <cellStyle name="Normal 13 5 2 2 2 2 4 2" xfId="27347" xr:uid="{00000000-0005-0000-0000-0000B23F0000}"/>
    <cellStyle name="Normal 13 5 2 2 2 2 5" xfId="14290" xr:uid="{00000000-0005-0000-0000-0000B33F0000}"/>
    <cellStyle name="Normal 13 5 2 2 2 2 5 2" xfId="27348" xr:uid="{00000000-0005-0000-0000-0000B43F0000}"/>
    <cellStyle name="Normal 13 5 2 2 2 2 6" xfId="21879" xr:uid="{00000000-0005-0000-0000-0000B53F0000}"/>
    <cellStyle name="Normal 13 5 2 2 2 3" xfId="8818" xr:uid="{00000000-0005-0000-0000-0000B63F0000}"/>
    <cellStyle name="Normal 13 5 2 2 2 3 2" xfId="11203" xr:uid="{00000000-0005-0000-0000-0000B73F0000}"/>
    <cellStyle name="Normal 13 5 2 2 2 3 2 2" xfId="14291" xr:uid="{00000000-0005-0000-0000-0000B83F0000}"/>
    <cellStyle name="Normal 13 5 2 2 2 3 2 2 2" xfId="27349" xr:uid="{00000000-0005-0000-0000-0000B93F0000}"/>
    <cellStyle name="Normal 13 5 2 2 2 3 2 3" xfId="14292" xr:uid="{00000000-0005-0000-0000-0000BA3F0000}"/>
    <cellStyle name="Normal 13 5 2 2 2 3 2 3 2" xfId="27350" xr:uid="{00000000-0005-0000-0000-0000BB3F0000}"/>
    <cellStyle name="Normal 13 5 2 2 2 3 2 4" xfId="24573" xr:uid="{00000000-0005-0000-0000-0000BC3F0000}"/>
    <cellStyle name="Normal 13 5 2 2 2 3 3" xfId="14293" xr:uid="{00000000-0005-0000-0000-0000BD3F0000}"/>
    <cellStyle name="Normal 13 5 2 2 2 3 3 2" xfId="27351" xr:uid="{00000000-0005-0000-0000-0000BE3F0000}"/>
    <cellStyle name="Normal 13 5 2 2 2 3 4" xfId="14294" xr:uid="{00000000-0005-0000-0000-0000BF3F0000}"/>
    <cellStyle name="Normal 13 5 2 2 2 3 4 2" xfId="27352" xr:uid="{00000000-0005-0000-0000-0000C03F0000}"/>
    <cellStyle name="Normal 13 5 2 2 2 3 5" xfId="22417" xr:uid="{00000000-0005-0000-0000-0000C13F0000}"/>
    <cellStyle name="Normal 13 5 2 2 2 4" xfId="10125" xr:uid="{00000000-0005-0000-0000-0000C23F0000}"/>
    <cellStyle name="Normal 13 5 2 2 2 4 2" xfId="14295" xr:uid="{00000000-0005-0000-0000-0000C33F0000}"/>
    <cellStyle name="Normal 13 5 2 2 2 4 2 2" xfId="27353" xr:uid="{00000000-0005-0000-0000-0000C43F0000}"/>
    <cellStyle name="Normal 13 5 2 2 2 4 3" xfId="14296" xr:uid="{00000000-0005-0000-0000-0000C53F0000}"/>
    <cellStyle name="Normal 13 5 2 2 2 4 3 2" xfId="27354" xr:uid="{00000000-0005-0000-0000-0000C63F0000}"/>
    <cellStyle name="Normal 13 5 2 2 2 4 4" xfId="23495" xr:uid="{00000000-0005-0000-0000-0000C73F0000}"/>
    <cellStyle name="Normal 13 5 2 2 2 5" xfId="14297" xr:uid="{00000000-0005-0000-0000-0000C83F0000}"/>
    <cellStyle name="Normal 13 5 2 2 2 5 2" xfId="27355" xr:uid="{00000000-0005-0000-0000-0000C93F0000}"/>
    <cellStyle name="Normal 13 5 2 2 2 6" xfId="14298" xr:uid="{00000000-0005-0000-0000-0000CA3F0000}"/>
    <cellStyle name="Normal 13 5 2 2 2 6 2" xfId="27356" xr:uid="{00000000-0005-0000-0000-0000CB3F0000}"/>
    <cellStyle name="Normal 13 5 2 2 2 7" xfId="21339" xr:uid="{00000000-0005-0000-0000-0000CC3F0000}"/>
    <cellStyle name="Normal 13 5 2 2 3" xfId="7216" xr:uid="{00000000-0005-0000-0000-0000CD3F0000}"/>
    <cellStyle name="Normal 13 5 2 2 3 2" xfId="9095" xr:uid="{00000000-0005-0000-0000-0000CE3F0000}"/>
    <cellStyle name="Normal 13 5 2 2 3 2 2" xfId="11474" xr:uid="{00000000-0005-0000-0000-0000CF3F0000}"/>
    <cellStyle name="Normal 13 5 2 2 3 2 2 2" xfId="14299" xr:uid="{00000000-0005-0000-0000-0000D03F0000}"/>
    <cellStyle name="Normal 13 5 2 2 3 2 2 2 2" xfId="27357" xr:uid="{00000000-0005-0000-0000-0000D13F0000}"/>
    <cellStyle name="Normal 13 5 2 2 3 2 2 3" xfId="14300" xr:uid="{00000000-0005-0000-0000-0000D23F0000}"/>
    <cellStyle name="Normal 13 5 2 2 3 2 2 3 2" xfId="27358" xr:uid="{00000000-0005-0000-0000-0000D33F0000}"/>
    <cellStyle name="Normal 13 5 2 2 3 2 2 4" xfId="24844" xr:uid="{00000000-0005-0000-0000-0000D43F0000}"/>
    <cellStyle name="Normal 13 5 2 2 3 2 3" xfId="14301" xr:uid="{00000000-0005-0000-0000-0000D53F0000}"/>
    <cellStyle name="Normal 13 5 2 2 3 2 3 2" xfId="27359" xr:uid="{00000000-0005-0000-0000-0000D63F0000}"/>
    <cellStyle name="Normal 13 5 2 2 3 2 4" xfId="14302" xr:uid="{00000000-0005-0000-0000-0000D73F0000}"/>
    <cellStyle name="Normal 13 5 2 2 3 2 4 2" xfId="27360" xr:uid="{00000000-0005-0000-0000-0000D83F0000}"/>
    <cellStyle name="Normal 13 5 2 2 3 2 5" xfId="22688" xr:uid="{00000000-0005-0000-0000-0000D93F0000}"/>
    <cellStyle name="Normal 13 5 2 2 3 3" xfId="10396" xr:uid="{00000000-0005-0000-0000-0000DA3F0000}"/>
    <cellStyle name="Normal 13 5 2 2 3 3 2" xfId="14303" xr:uid="{00000000-0005-0000-0000-0000DB3F0000}"/>
    <cellStyle name="Normal 13 5 2 2 3 3 2 2" xfId="27361" xr:uid="{00000000-0005-0000-0000-0000DC3F0000}"/>
    <cellStyle name="Normal 13 5 2 2 3 3 3" xfId="14304" xr:uid="{00000000-0005-0000-0000-0000DD3F0000}"/>
    <cellStyle name="Normal 13 5 2 2 3 3 3 2" xfId="27362" xr:uid="{00000000-0005-0000-0000-0000DE3F0000}"/>
    <cellStyle name="Normal 13 5 2 2 3 3 4" xfId="23766" xr:uid="{00000000-0005-0000-0000-0000DF3F0000}"/>
    <cellStyle name="Normal 13 5 2 2 3 4" xfId="14305" xr:uid="{00000000-0005-0000-0000-0000E03F0000}"/>
    <cellStyle name="Normal 13 5 2 2 3 4 2" xfId="27363" xr:uid="{00000000-0005-0000-0000-0000E13F0000}"/>
    <cellStyle name="Normal 13 5 2 2 3 5" xfId="14306" xr:uid="{00000000-0005-0000-0000-0000E23F0000}"/>
    <cellStyle name="Normal 13 5 2 2 3 5 2" xfId="27364" xr:uid="{00000000-0005-0000-0000-0000E33F0000}"/>
    <cellStyle name="Normal 13 5 2 2 3 6" xfId="21610" xr:uid="{00000000-0005-0000-0000-0000E43F0000}"/>
    <cellStyle name="Normal 13 5 2 2 4" xfId="8493" xr:uid="{00000000-0005-0000-0000-0000E53F0000}"/>
    <cellStyle name="Normal 13 5 2 2 4 2" xfId="10934" xr:uid="{00000000-0005-0000-0000-0000E63F0000}"/>
    <cellStyle name="Normal 13 5 2 2 4 2 2" xfId="14307" xr:uid="{00000000-0005-0000-0000-0000E73F0000}"/>
    <cellStyle name="Normal 13 5 2 2 4 2 2 2" xfId="27365" xr:uid="{00000000-0005-0000-0000-0000E83F0000}"/>
    <cellStyle name="Normal 13 5 2 2 4 2 3" xfId="14308" xr:uid="{00000000-0005-0000-0000-0000E93F0000}"/>
    <cellStyle name="Normal 13 5 2 2 4 2 3 2" xfId="27366" xr:uid="{00000000-0005-0000-0000-0000EA3F0000}"/>
    <cellStyle name="Normal 13 5 2 2 4 2 4" xfId="24304" xr:uid="{00000000-0005-0000-0000-0000EB3F0000}"/>
    <cellStyle name="Normal 13 5 2 2 4 3" xfId="14309" xr:uid="{00000000-0005-0000-0000-0000EC3F0000}"/>
    <cellStyle name="Normal 13 5 2 2 4 3 2" xfId="27367" xr:uid="{00000000-0005-0000-0000-0000ED3F0000}"/>
    <cellStyle name="Normal 13 5 2 2 4 4" xfId="14310" xr:uid="{00000000-0005-0000-0000-0000EE3F0000}"/>
    <cellStyle name="Normal 13 5 2 2 4 4 2" xfId="27368" xr:uid="{00000000-0005-0000-0000-0000EF3F0000}"/>
    <cellStyle name="Normal 13 5 2 2 4 5" xfId="22148" xr:uid="{00000000-0005-0000-0000-0000F03F0000}"/>
    <cellStyle name="Normal 13 5 2 2 5" xfId="9856" xr:uid="{00000000-0005-0000-0000-0000F13F0000}"/>
    <cellStyle name="Normal 13 5 2 2 5 2" xfId="14311" xr:uid="{00000000-0005-0000-0000-0000F23F0000}"/>
    <cellStyle name="Normal 13 5 2 2 5 2 2" xfId="27369" xr:uid="{00000000-0005-0000-0000-0000F33F0000}"/>
    <cellStyle name="Normal 13 5 2 2 5 3" xfId="14312" xr:uid="{00000000-0005-0000-0000-0000F43F0000}"/>
    <cellStyle name="Normal 13 5 2 2 5 3 2" xfId="27370" xr:uid="{00000000-0005-0000-0000-0000F53F0000}"/>
    <cellStyle name="Normal 13 5 2 2 5 4" xfId="23226" xr:uid="{00000000-0005-0000-0000-0000F63F0000}"/>
    <cellStyle name="Normal 13 5 2 2 6" xfId="14313" xr:uid="{00000000-0005-0000-0000-0000F73F0000}"/>
    <cellStyle name="Normal 13 5 2 2 6 2" xfId="27371" xr:uid="{00000000-0005-0000-0000-0000F83F0000}"/>
    <cellStyle name="Normal 13 5 2 2 7" xfId="14314" xr:uid="{00000000-0005-0000-0000-0000F93F0000}"/>
    <cellStyle name="Normal 13 5 2 2 7 2" xfId="27372" xr:uid="{00000000-0005-0000-0000-0000FA3F0000}"/>
    <cellStyle name="Normal 13 5 2 2 8" xfId="21070" xr:uid="{00000000-0005-0000-0000-0000FB3F0000}"/>
    <cellStyle name="Normal 13 5 2 3" xfId="6647" xr:uid="{00000000-0005-0000-0000-0000FC3F0000}"/>
    <cellStyle name="Normal 13 5 2 3 2" xfId="7343" xr:uid="{00000000-0005-0000-0000-0000FD3F0000}"/>
    <cellStyle name="Normal 13 5 2 3 2 2" xfId="9222" xr:uid="{00000000-0005-0000-0000-0000FE3F0000}"/>
    <cellStyle name="Normal 13 5 2 3 2 2 2" xfId="11601" xr:uid="{00000000-0005-0000-0000-0000FF3F0000}"/>
    <cellStyle name="Normal 13 5 2 3 2 2 2 2" xfId="14315" xr:uid="{00000000-0005-0000-0000-000000400000}"/>
    <cellStyle name="Normal 13 5 2 3 2 2 2 2 2" xfId="27373" xr:uid="{00000000-0005-0000-0000-000001400000}"/>
    <cellStyle name="Normal 13 5 2 3 2 2 2 3" xfId="14316" xr:uid="{00000000-0005-0000-0000-000002400000}"/>
    <cellStyle name="Normal 13 5 2 3 2 2 2 3 2" xfId="27374" xr:uid="{00000000-0005-0000-0000-000003400000}"/>
    <cellStyle name="Normal 13 5 2 3 2 2 2 4" xfId="24971" xr:uid="{00000000-0005-0000-0000-000004400000}"/>
    <cellStyle name="Normal 13 5 2 3 2 2 3" xfId="14317" xr:uid="{00000000-0005-0000-0000-000005400000}"/>
    <cellStyle name="Normal 13 5 2 3 2 2 3 2" xfId="27375" xr:uid="{00000000-0005-0000-0000-000006400000}"/>
    <cellStyle name="Normal 13 5 2 3 2 2 4" xfId="14318" xr:uid="{00000000-0005-0000-0000-000007400000}"/>
    <cellStyle name="Normal 13 5 2 3 2 2 4 2" xfId="27376" xr:uid="{00000000-0005-0000-0000-000008400000}"/>
    <cellStyle name="Normal 13 5 2 3 2 2 5" xfId="22815" xr:uid="{00000000-0005-0000-0000-000009400000}"/>
    <cellStyle name="Normal 13 5 2 3 2 3" xfId="10523" xr:uid="{00000000-0005-0000-0000-00000A400000}"/>
    <cellStyle name="Normal 13 5 2 3 2 3 2" xfId="14319" xr:uid="{00000000-0005-0000-0000-00000B400000}"/>
    <cellStyle name="Normal 13 5 2 3 2 3 2 2" xfId="27377" xr:uid="{00000000-0005-0000-0000-00000C400000}"/>
    <cellStyle name="Normal 13 5 2 3 2 3 3" xfId="14320" xr:uid="{00000000-0005-0000-0000-00000D400000}"/>
    <cellStyle name="Normal 13 5 2 3 2 3 3 2" xfId="27378" xr:uid="{00000000-0005-0000-0000-00000E400000}"/>
    <cellStyle name="Normal 13 5 2 3 2 3 4" xfId="23893" xr:uid="{00000000-0005-0000-0000-00000F400000}"/>
    <cellStyle name="Normal 13 5 2 3 2 4" xfId="14321" xr:uid="{00000000-0005-0000-0000-000010400000}"/>
    <cellStyle name="Normal 13 5 2 3 2 4 2" xfId="27379" xr:uid="{00000000-0005-0000-0000-000011400000}"/>
    <cellStyle name="Normal 13 5 2 3 2 5" xfId="14322" xr:uid="{00000000-0005-0000-0000-000012400000}"/>
    <cellStyle name="Normal 13 5 2 3 2 5 2" xfId="27380" xr:uid="{00000000-0005-0000-0000-000013400000}"/>
    <cellStyle name="Normal 13 5 2 3 2 6" xfId="21737" xr:uid="{00000000-0005-0000-0000-000014400000}"/>
    <cellStyle name="Normal 13 5 2 3 3" xfId="8675" xr:uid="{00000000-0005-0000-0000-000015400000}"/>
    <cellStyle name="Normal 13 5 2 3 3 2" xfId="11061" xr:uid="{00000000-0005-0000-0000-000016400000}"/>
    <cellStyle name="Normal 13 5 2 3 3 2 2" xfId="14323" xr:uid="{00000000-0005-0000-0000-000017400000}"/>
    <cellStyle name="Normal 13 5 2 3 3 2 2 2" xfId="27381" xr:uid="{00000000-0005-0000-0000-000018400000}"/>
    <cellStyle name="Normal 13 5 2 3 3 2 3" xfId="14324" xr:uid="{00000000-0005-0000-0000-000019400000}"/>
    <cellStyle name="Normal 13 5 2 3 3 2 3 2" xfId="27382" xr:uid="{00000000-0005-0000-0000-00001A400000}"/>
    <cellStyle name="Normal 13 5 2 3 3 2 4" xfId="24431" xr:uid="{00000000-0005-0000-0000-00001B400000}"/>
    <cellStyle name="Normal 13 5 2 3 3 3" xfId="14325" xr:uid="{00000000-0005-0000-0000-00001C400000}"/>
    <cellStyle name="Normal 13 5 2 3 3 3 2" xfId="27383" xr:uid="{00000000-0005-0000-0000-00001D400000}"/>
    <cellStyle name="Normal 13 5 2 3 3 4" xfId="14326" xr:uid="{00000000-0005-0000-0000-00001E400000}"/>
    <cellStyle name="Normal 13 5 2 3 3 4 2" xfId="27384" xr:uid="{00000000-0005-0000-0000-00001F400000}"/>
    <cellStyle name="Normal 13 5 2 3 3 5" xfId="22275" xr:uid="{00000000-0005-0000-0000-000020400000}"/>
    <cellStyle name="Normal 13 5 2 3 4" xfId="9983" xr:uid="{00000000-0005-0000-0000-000021400000}"/>
    <cellStyle name="Normal 13 5 2 3 4 2" xfId="14327" xr:uid="{00000000-0005-0000-0000-000022400000}"/>
    <cellStyle name="Normal 13 5 2 3 4 2 2" xfId="27385" xr:uid="{00000000-0005-0000-0000-000023400000}"/>
    <cellStyle name="Normal 13 5 2 3 4 3" xfId="14328" xr:uid="{00000000-0005-0000-0000-000024400000}"/>
    <cellStyle name="Normal 13 5 2 3 4 3 2" xfId="27386" xr:uid="{00000000-0005-0000-0000-000025400000}"/>
    <cellStyle name="Normal 13 5 2 3 4 4" xfId="23353" xr:uid="{00000000-0005-0000-0000-000026400000}"/>
    <cellStyle name="Normal 13 5 2 3 5" xfId="14329" xr:uid="{00000000-0005-0000-0000-000027400000}"/>
    <cellStyle name="Normal 13 5 2 3 5 2" xfId="27387" xr:uid="{00000000-0005-0000-0000-000028400000}"/>
    <cellStyle name="Normal 13 5 2 3 6" xfId="14330" xr:uid="{00000000-0005-0000-0000-000029400000}"/>
    <cellStyle name="Normal 13 5 2 3 6 2" xfId="27388" xr:uid="{00000000-0005-0000-0000-00002A400000}"/>
    <cellStyle name="Normal 13 5 2 3 7" xfId="21197" xr:uid="{00000000-0005-0000-0000-00002B400000}"/>
    <cellStyle name="Normal 13 5 2 4" xfId="7073" xr:uid="{00000000-0005-0000-0000-00002C400000}"/>
    <cellStyle name="Normal 13 5 2 4 2" xfId="8953" xr:uid="{00000000-0005-0000-0000-00002D400000}"/>
    <cellStyle name="Normal 13 5 2 4 2 2" xfId="11332" xr:uid="{00000000-0005-0000-0000-00002E400000}"/>
    <cellStyle name="Normal 13 5 2 4 2 2 2" xfId="14331" xr:uid="{00000000-0005-0000-0000-00002F400000}"/>
    <cellStyle name="Normal 13 5 2 4 2 2 2 2" xfId="27389" xr:uid="{00000000-0005-0000-0000-000030400000}"/>
    <cellStyle name="Normal 13 5 2 4 2 2 3" xfId="14332" xr:uid="{00000000-0005-0000-0000-000031400000}"/>
    <cellStyle name="Normal 13 5 2 4 2 2 3 2" xfId="27390" xr:uid="{00000000-0005-0000-0000-000032400000}"/>
    <cellStyle name="Normal 13 5 2 4 2 2 4" xfId="24702" xr:uid="{00000000-0005-0000-0000-000033400000}"/>
    <cellStyle name="Normal 13 5 2 4 2 3" xfId="14333" xr:uid="{00000000-0005-0000-0000-000034400000}"/>
    <cellStyle name="Normal 13 5 2 4 2 3 2" xfId="27391" xr:uid="{00000000-0005-0000-0000-000035400000}"/>
    <cellStyle name="Normal 13 5 2 4 2 4" xfId="14334" xr:uid="{00000000-0005-0000-0000-000036400000}"/>
    <cellStyle name="Normal 13 5 2 4 2 4 2" xfId="27392" xr:uid="{00000000-0005-0000-0000-000037400000}"/>
    <cellStyle name="Normal 13 5 2 4 2 5" xfId="22546" xr:uid="{00000000-0005-0000-0000-000038400000}"/>
    <cellStyle name="Normal 13 5 2 4 3" xfId="10254" xr:uid="{00000000-0005-0000-0000-000039400000}"/>
    <cellStyle name="Normal 13 5 2 4 3 2" xfId="14335" xr:uid="{00000000-0005-0000-0000-00003A400000}"/>
    <cellStyle name="Normal 13 5 2 4 3 2 2" xfId="27393" xr:uid="{00000000-0005-0000-0000-00003B400000}"/>
    <cellStyle name="Normal 13 5 2 4 3 3" xfId="14336" xr:uid="{00000000-0005-0000-0000-00003C400000}"/>
    <cellStyle name="Normal 13 5 2 4 3 3 2" xfId="27394" xr:uid="{00000000-0005-0000-0000-00003D400000}"/>
    <cellStyle name="Normal 13 5 2 4 3 4" xfId="23624" xr:uid="{00000000-0005-0000-0000-00003E400000}"/>
    <cellStyle name="Normal 13 5 2 4 4" xfId="14337" xr:uid="{00000000-0005-0000-0000-00003F400000}"/>
    <cellStyle name="Normal 13 5 2 4 4 2" xfId="27395" xr:uid="{00000000-0005-0000-0000-000040400000}"/>
    <cellStyle name="Normal 13 5 2 4 5" xfId="14338" xr:uid="{00000000-0005-0000-0000-000041400000}"/>
    <cellStyle name="Normal 13 5 2 4 5 2" xfId="27396" xr:uid="{00000000-0005-0000-0000-000042400000}"/>
    <cellStyle name="Normal 13 5 2 4 6" xfId="21468" xr:uid="{00000000-0005-0000-0000-000043400000}"/>
    <cellStyle name="Normal 13 5 2 5" xfId="8277" xr:uid="{00000000-0005-0000-0000-000044400000}"/>
    <cellStyle name="Normal 13 5 2 5 2" xfId="10792" xr:uid="{00000000-0005-0000-0000-000045400000}"/>
    <cellStyle name="Normal 13 5 2 5 2 2" xfId="14339" xr:uid="{00000000-0005-0000-0000-000046400000}"/>
    <cellStyle name="Normal 13 5 2 5 2 2 2" xfId="27397" xr:uid="{00000000-0005-0000-0000-000047400000}"/>
    <cellStyle name="Normal 13 5 2 5 2 3" xfId="14340" xr:uid="{00000000-0005-0000-0000-000048400000}"/>
    <cellStyle name="Normal 13 5 2 5 2 3 2" xfId="27398" xr:uid="{00000000-0005-0000-0000-000049400000}"/>
    <cellStyle name="Normal 13 5 2 5 2 4" xfId="24162" xr:uid="{00000000-0005-0000-0000-00004A400000}"/>
    <cellStyle name="Normal 13 5 2 5 3" xfId="14341" xr:uid="{00000000-0005-0000-0000-00004B400000}"/>
    <cellStyle name="Normal 13 5 2 5 3 2" xfId="27399" xr:uid="{00000000-0005-0000-0000-00004C400000}"/>
    <cellStyle name="Normal 13 5 2 5 4" xfId="14342" xr:uid="{00000000-0005-0000-0000-00004D400000}"/>
    <cellStyle name="Normal 13 5 2 5 4 2" xfId="27400" xr:uid="{00000000-0005-0000-0000-00004E400000}"/>
    <cellStyle name="Normal 13 5 2 5 5" xfId="22006" xr:uid="{00000000-0005-0000-0000-00004F400000}"/>
    <cellStyle name="Normal 13 5 2 6" xfId="9713" xr:uid="{00000000-0005-0000-0000-000050400000}"/>
    <cellStyle name="Normal 13 5 2 6 2" xfId="14343" xr:uid="{00000000-0005-0000-0000-000051400000}"/>
    <cellStyle name="Normal 13 5 2 6 2 2" xfId="27401" xr:uid="{00000000-0005-0000-0000-000052400000}"/>
    <cellStyle name="Normal 13 5 2 6 3" xfId="14344" xr:uid="{00000000-0005-0000-0000-000053400000}"/>
    <cellStyle name="Normal 13 5 2 6 3 2" xfId="27402" xr:uid="{00000000-0005-0000-0000-000054400000}"/>
    <cellStyle name="Normal 13 5 2 6 4" xfId="23084" xr:uid="{00000000-0005-0000-0000-000055400000}"/>
    <cellStyle name="Normal 13 5 2 7" xfId="14345" xr:uid="{00000000-0005-0000-0000-000056400000}"/>
    <cellStyle name="Normal 13 5 2 7 2" xfId="27403" xr:uid="{00000000-0005-0000-0000-000057400000}"/>
    <cellStyle name="Normal 13 5 2 8" xfId="14346" xr:uid="{00000000-0005-0000-0000-000058400000}"/>
    <cellStyle name="Normal 13 5 2 8 2" xfId="27404" xr:uid="{00000000-0005-0000-0000-000059400000}"/>
    <cellStyle name="Normal 13 5 2 9" xfId="20927" xr:uid="{00000000-0005-0000-0000-00005A400000}"/>
    <cellStyle name="Normal 13 5 3" xfId="5558" xr:uid="{00000000-0005-0000-0000-00005B400000}"/>
    <cellStyle name="Normal 13 5 3 2" xfId="6742" xr:uid="{00000000-0005-0000-0000-00005C400000}"/>
    <cellStyle name="Normal 13 5 3 2 2" xfId="7429" xr:uid="{00000000-0005-0000-0000-00005D400000}"/>
    <cellStyle name="Normal 13 5 3 2 2 2" xfId="9308" xr:uid="{00000000-0005-0000-0000-00005E400000}"/>
    <cellStyle name="Normal 13 5 3 2 2 2 2" xfId="11687" xr:uid="{00000000-0005-0000-0000-00005F400000}"/>
    <cellStyle name="Normal 13 5 3 2 2 2 2 2" xfId="14347" xr:uid="{00000000-0005-0000-0000-000060400000}"/>
    <cellStyle name="Normal 13 5 3 2 2 2 2 2 2" xfId="27405" xr:uid="{00000000-0005-0000-0000-000061400000}"/>
    <cellStyle name="Normal 13 5 3 2 2 2 2 3" xfId="14348" xr:uid="{00000000-0005-0000-0000-000062400000}"/>
    <cellStyle name="Normal 13 5 3 2 2 2 2 3 2" xfId="27406" xr:uid="{00000000-0005-0000-0000-000063400000}"/>
    <cellStyle name="Normal 13 5 3 2 2 2 2 4" xfId="25057" xr:uid="{00000000-0005-0000-0000-000064400000}"/>
    <cellStyle name="Normal 13 5 3 2 2 2 3" xfId="14349" xr:uid="{00000000-0005-0000-0000-000065400000}"/>
    <cellStyle name="Normal 13 5 3 2 2 2 3 2" xfId="27407" xr:uid="{00000000-0005-0000-0000-000066400000}"/>
    <cellStyle name="Normal 13 5 3 2 2 2 4" xfId="14350" xr:uid="{00000000-0005-0000-0000-000067400000}"/>
    <cellStyle name="Normal 13 5 3 2 2 2 4 2" xfId="27408" xr:uid="{00000000-0005-0000-0000-000068400000}"/>
    <cellStyle name="Normal 13 5 3 2 2 2 5" xfId="22901" xr:uid="{00000000-0005-0000-0000-000069400000}"/>
    <cellStyle name="Normal 13 5 3 2 2 3" xfId="10609" xr:uid="{00000000-0005-0000-0000-00006A400000}"/>
    <cellStyle name="Normal 13 5 3 2 2 3 2" xfId="14351" xr:uid="{00000000-0005-0000-0000-00006B400000}"/>
    <cellStyle name="Normal 13 5 3 2 2 3 2 2" xfId="27409" xr:uid="{00000000-0005-0000-0000-00006C400000}"/>
    <cellStyle name="Normal 13 5 3 2 2 3 3" xfId="14352" xr:uid="{00000000-0005-0000-0000-00006D400000}"/>
    <cellStyle name="Normal 13 5 3 2 2 3 3 2" xfId="27410" xr:uid="{00000000-0005-0000-0000-00006E400000}"/>
    <cellStyle name="Normal 13 5 3 2 2 3 4" xfId="23979" xr:uid="{00000000-0005-0000-0000-00006F400000}"/>
    <cellStyle name="Normal 13 5 3 2 2 4" xfId="14353" xr:uid="{00000000-0005-0000-0000-000070400000}"/>
    <cellStyle name="Normal 13 5 3 2 2 4 2" xfId="27411" xr:uid="{00000000-0005-0000-0000-000071400000}"/>
    <cellStyle name="Normal 13 5 3 2 2 5" xfId="14354" xr:uid="{00000000-0005-0000-0000-000072400000}"/>
    <cellStyle name="Normal 13 5 3 2 2 5 2" xfId="27412" xr:uid="{00000000-0005-0000-0000-000073400000}"/>
    <cellStyle name="Normal 13 5 3 2 2 6" xfId="21823" xr:uid="{00000000-0005-0000-0000-000074400000}"/>
    <cellStyle name="Normal 13 5 3 2 3" xfId="8762" xr:uid="{00000000-0005-0000-0000-000075400000}"/>
    <cellStyle name="Normal 13 5 3 2 3 2" xfId="11147" xr:uid="{00000000-0005-0000-0000-000076400000}"/>
    <cellStyle name="Normal 13 5 3 2 3 2 2" xfId="14355" xr:uid="{00000000-0005-0000-0000-000077400000}"/>
    <cellStyle name="Normal 13 5 3 2 3 2 2 2" xfId="27413" xr:uid="{00000000-0005-0000-0000-000078400000}"/>
    <cellStyle name="Normal 13 5 3 2 3 2 3" xfId="14356" xr:uid="{00000000-0005-0000-0000-000079400000}"/>
    <cellStyle name="Normal 13 5 3 2 3 2 3 2" xfId="27414" xr:uid="{00000000-0005-0000-0000-00007A400000}"/>
    <cellStyle name="Normal 13 5 3 2 3 2 4" xfId="24517" xr:uid="{00000000-0005-0000-0000-00007B400000}"/>
    <cellStyle name="Normal 13 5 3 2 3 3" xfId="14357" xr:uid="{00000000-0005-0000-0000-00007C400000}"/>
    <cellStyle name="Normal 13 5 3 2 3 3 2" xfId="27415" xr:uid="{00000000-0005-0000-0000-00007D400000}"/>
    <cellStyle name="Normal 13 5 3 2 3 4" xfId="14358" xr:uid="{00000000-0005-0000-0000-00007E400000}"/>
    <cellStyle name="Normal 13 5 3 2 3 4 2" xfId="27416" xr:uid="{00000000-0005-0000-0000-00007F400000}"/>
    <cellStyle name="Normal 13 5 3 2 3 5" xfId="22361" xr:uid="{00000000-0005-0000-0000-000080400000}"/>
    <cellStyle name="Normal 13 5 3 2 4" xfId="10069" xr:uid="{00000000-0005-0000-0000-000081400000}"/>
    <cellStyle name="Normal 13 5 3 2 4 2" xfId="14359" xr:uid="{00000000-0005-0000-0000-000082400000}"/>
    <cellStyle name="Normal 13 5 3 2 4 2 2" xfId="27417" xr:uid="{00000000-0005-0000-0000-000083400000}"/>
    <cellStyle name="Normal 13 5 3 2 4 3" xfId="14360" xr:uid="{00000000-0005-0000-0000-000084400000}"/>
    <cellStyle name="Normal 13 5 3 2 4 3 2" xfId="27418" xr:uid="{00000000-0005-0000-0000-000085400000}"/>
    <cellStyle name="Normal 13 5 3 2 4 4" xfId="23439" xr:uid="{00000000-0005-0000-0000-000086400000}"/>
    <cellStyle name="Normal 13 5 3 2 5" xfId="14361" xr:uid="{00000000-0005-0000-0000-000087400000}"/>
    <cellStyle name="Normal 13 5 3 2 5 2" xfId="27419" xr:uid="{00000000-0005-0000-0000-000088400000}"/>
    <cellStyle name="Normal 13 5 3 2 6" xfId="14362" xr:uid="{00000000-0005-0000-0000-000089400000}"/>
    <cellStyle name="Normal 13 5 3 2 6 2" xfId="27420" xr:uid="{00000000-0005-0000-0000-00008A400000}"/>
    <cellStyle name="Normal 13 5 3 2 7" xfId="21283" xr:uid="{00000000-0005-0000-0000-00008B400000}"/>
    <cellStyle name="Normal 13 5 3 3" xfId="7160" xr:uid="{00000000-0005-0000-0000-00008C400000}"/>
    <cellStyle name="Normal 13 5 3 3 2" xfId="9039" xr:uid="{00000000-0005-0000-0000-00008D400000}"/>
    <cellStyle name="Normal 13 5 3 3 2 2" xfId="11418" xr:uid="{00000000-0005-0000-0000-00008E400000}"/>
    <cellStyle name="Normal 13 5 3 3 2 2 2" xfId="14363" xr:uid="{00000000-0005-0000-0000-00008F400000}"/>
    <cellStyle name="Normal 13 5 3 3 2 2 2 2" xfId="27421" xr:uid="{00000000-0005-0000-0000-000090400000}"/>
    <cellStyle name="Normal 13 5 3 3 2 2 3" xfId="14364" xr:uid="{00000000-0005-0000-0000-000091400000}"/>
    <cellStyle name="Normal 13 5 3 3 2 2 3 2" xfId="27422" xr:uid="{00000000-0005-0000-0000-000092400000}"/>
    <cellStyle name="Normal 13 5 3 3 2 2 4" xfId="24788" xr:uid="{00000000-0005-0000-0000-000093400000}"/>
    <cellStyle name="Normal 13 5 3 3 2 3" xfId="14365" xr:uid="{00000000-0005-0000-0000-000094400000}"/>
    <cellStyle name="Normal 13 5 3 3 2 3 2" xfId="27423" xr:uid="{00000000-0005-0000-0000-000095400000}"/>
    <cellStyle name="Normal 13 5 3 3 2 4" xfId="14366" xr:uid="{00000000-0005-0000-0000-000096400000}"/>
    <cellStyle name="Normal 13 5 3 3 2 4 2" xfId="27424" xr:uid="{00000000-0005-0000-0000-000097400000}"/>
    <cellStyle name="Normal 13 5 3 3 2 5" xfId="22632" xr:uid="{00000000-0005-0000-0000-000098400000}"/>
    <cellStyle name="Normal 13 5 3 3 3" xfId="10340" xr:uid="{00000000-0005-0000-0000-000099400000}"/>
    <cellStyle name="Normal 13 5 3 3 3 2" xfId="14367" xr:uid="{00000000-0005-0000-0000-00009A400000}"/>
    <cellStyle name="Normal 13 5 3 3 3 2 2" xfId="27425" xr:uid="{00000000-0005-0000-0000-00009B400000}"/>
    <cellStyle name="Normal 13 5 3 3 3 3" xfId="14368" xr:uid="{00000000-0005-0000-0000-00009C400000}"/>
    <cellStyle name="Normal 13 5 3 3 3 3 2" xfId="27426" xr:uid="{00000000-0005-0000-0000-00009D400000}"/>
    <cellStyle name="Normal 13 5 3 3 3 4" xfId="23710" xr:uid="{00000000-0005-0000-0000-00009E400000}"/>
    <cellStyle name="Normal 13 5 3 3 4" xfId="14369" xr:uid="{00000000-0005-0000-0000-00009F400000}"/>
    <cellStyle name="Normal 13 5 3 3 4 2" xfId="27427" xr:uid="{00000000-0005-0000-0000-0000A0400000}"/>
    <cellStyle name="Normal 13 5 3 3 5" xfId="14370" xr:uid="{00000000-0005-0000-0000-0000A1400000}"/>
    <cellStyle name="Normal 13 5 3 3 5 2" xfId="27428" xr:uid="{00000000-0005-0000-0000-0000A2400000}"/>
    <cellStyle name="Normal 13 5 3 3 6" xfId="21554" xr:uid="{00000000-0005-0000-0000-0000A3400000}"/>
    <cellStyle name="Normal 13 5 3 4" xfId="8435" xr:uid="{00000000-0005-0000-0000-0000A4400000}"/>
    <cellStyle name="Normal 13 5 3 4 2" xfId="10878" xr:uid="{00000000-0005-0000-0000-0000A5400000}"/>
    <cellStyle name="Normal 13 5 3 4 2 2" xfId="14371" xr:uid="{00000000-0005-0000-0000-0000A6400000}"/>
    <cellStyle name="Normal 13 5 3 4 2 2 2" xfId="27429" xr:uid="{00000000-0005-0000-0000-0000A7400000}"/>
    <cellStyle name="Normal 13 5 3 4 2 3" xfId="14372" xr:uid="{00000000-0005-0000-0000-0000A8400000}"/>
    <cellStyle name="Normal 13 5 3 4 2 3 2" xfId="27430" xr:uid="{00000000-0005-0000-0000-0000A9400000}"/>
    <cellStyle name="Normal 13 5 3 4 2 4" xfId="24248" xr:uid="{00000000-0005-0000-0000-0000AA400000}"/>
    <cellStyle name="Normal 13 5 3 4 3" xfId="14373" xr:uid="{00000000-0005-0000-0000-0000AB400000}"/>
    <cellStyle name="Normal 13 5 3 4 3 2" xfId="27431" xr:uid="{00000000-0005-0000-0000-0000AC400000}"/>
    <cellStyle name="Normal 13 5 3 4 4" xfId="14374" xr:uid="{00000000-0005-0000-0000-0000AD400000}"/>
    <cellStyle name="Normal 13 5 3 4 4 2" xfId="27432" xr:uid="{00000000-0005-0000-0000-0000AE400000}"/>
    <cellStyle name="Normal 13 5 3 4 5" xfId="22092" xr:uid="{00000000-0005-0000-0000-0000AF400000}"/>
    <cellStyle name="Normal 13 5 3 5" xfId="9800" xr:uid="{00000000-0005-0000-0000-0000B0400000}"/>
    <cellStyle name="Normal 13 5 3 5 2" xfId="14375" xr:uid="{00000000-0005-0000-0000-0000B1400000}"/>
    <cellStyle name="Normal 13 5 3 5 2 2" xfId="27433" xr:uid="{00000000-0005-0000-0000-0000B2400000}"/>
    <cellStyle name="Normal 13 5 3 5 3" xfId="14376" xr:uid="{00000000-0005-0000-0000-0000B3400000}"/>
    <cellStyle name="Normal 13 5 3 5 3 2" xfId="27434" xr:uid="{00000000-0005-0000-0000-0000B4400000}"/>
    <cellStyle name="Normal 13 5 3 5 4" xfId="23170" xr:uid="{00000000-0005-0000-0000-0000B5400000}"/>
    <cellStyle name="Normal 13 5 3 6" xfId="14377" xr:uid="{00000000-0005-0000-0000-0000B6400000}"/>
    <cellStyle name="Normal 13 5 3 6 2" xfId="27435" xr:uid="{00000000-0005-0000-0000-0000B7400000}"/>
    <cellStyle name="Normal 13 5 3 7" xfId="14378" xr:uid="{00000000-0005-0000-0000-0000B8400000}"/>
    <cellStyle name="Normal 13 5 3 7 2" xfId="27436" xr:uid="{00000000-0005-0000-0000-0000B9400000}"/>
    <cellStyle name="Normal 13 5 3 8" xfId="21014" xr:uid="{00000000-0005-0000-0000-0000BA400000}"/>
    <cellStyle name="Normal 13 5 4" xfId="6592" xr:uid="{00000000-0005-0000-0000-0000BB400000}"/>
    <cellStyle name="Normal 13 5 4 2" xfId="7288" xr:uid="{00000000-0005-0000-0000-0000BC400000}"/>
    <cellStyle name="Normal 13 5 4 2 2" xfId="9167" xr:uid="{00000000-0005-0000-0000-0000BD400000}"/>
    <cellStyle name="Normal 13 5 4 2 2 2" xfId="11546" xr:uid="{00000000-0005-0000-0000-0000BE400000}"/>
    <cellStyle name="Normal 13 5 4 2 2 2 2" xfId="14379" xr:uid="{00000000-0005-0000-0000-0000BF400000}"/>
    <cellStyle name="Normal 13 5 4 2 2 2 2 2" xfId="27437" xr:uid="{00000000-0005-0000-0000-0000C0400000}"/>
    <cellStyle name="Normal 13 5 4 2 2 2 3" xfId="14380" xr:uid="{00000000-0005-0000-0000-0000C1400000}"/>
    <cellStyle name="Normal 13 5 4 2 2 2 3 2" xfId="27438" xr:uid="{00000000-0005-0000-0000-0000C2400000}"/>
    <cellStyle name="Normal 13 5 4 2 2 2 4" xfId="24916" xr:uid="{00000000-0005-0000-0000-0000C3400000}"/>
    <cellStyle name="Normal 13 5 4 2 2 3" xfId="14381" xr:uid="{00000000-0005-0000-0000-0000C4400000}"/>
    <cellStyle name="Normal 13 5 4 2 2 3 2" xfId="27439" xr:uid="{00000000-0005-0000-0000-0000C5400000}"/>
    <cellStyle name="Normal 13 5 4 2 2 4" xfId="14382" xr:uid="{00000000-0005-0000-0000-0000C6400000}"/>
    <cellStyle name="Normal 13 5 4 2 2 4 2" xfId="27440" xr:uid="{00000000-0005-0000-0000-0000C7400000}"/>
    <cellStyle name="Normal 13 5 4 2 2 5" xfId="22760" xr:uid="{00000000-0005-0000-0000-0000C8400000}"/>
    <cellStyle name="Normal 13 5 4 2 3" xfId="10468" xr:uid="{00000000-0005-0000-0000-0000C9400000}"/>
    <cellStyle name="Normal 13 5 4 2 3 2" xfId="14383" xr:uid="{00000000-0005-0000-0000-0000CA400000}"/>
    <cellStyle name="Normal 13 5 4 2 3 2 2" xfId="27441" xr:uid="{00000000-0005-0000-0000-0000CB400000}"/>
    <cellStyle name="Normal 13 5 4 2 3 3" xfId="14384" xr:uid="{00000000-0005-0000-0000-0000CC400000}"/>
    <cellStyle name="Normal 13 5 4 2 3 3 2" xfId="27442" xr:uid="{00000000-0005-0000-0000-0000CD400000}"/>
    <cellStyle name="Normal 13 5 4 2 3 4" xfId="23838" xr:uid="{00000000-0005-0000-0000-0000CE400000}"/>
    <cellStyle name="Normal 13 5 4 2 4" xfId="14385" xr:uid="{00000000-0005-0000-0000-0000CF400000}"/>
    <cellStyle name="Normal 13 5 4 2 4 2" xfId="27443" xr:uid="{00000000-0005-0000-0000-0000D0400000}"/>
    <cellStyle name="Normal 13 5 4 2 5" xfId="14386" xr:uid="{00000000-0005-0000-0000-0000D1400000}"/>
    <cellStyle name="Normal 13 5 4 2 5 2" xfId="27444" xr:uid="{00000000-0005-0000-0000-0000D2400000}"/>
    <cellStyle name="Normal 13 5 4 2 6" xfId="21682" xr:uid="{00000000-0005-0000-0000-0000D3400000}"/>
    <cellStyle name="Normal 13 5 4 3" xfId="8620" xr:uid="{00000000-0005-0000-0000-0000D4400000}"/>
    <cellStyle name="Normal 13 5 4 3 2" xfId="11006" xr:uid="{00000000-0005-0000-0000-0000D5400000}"/>
    <cellStyle name="Normal 13 5 4 3 2 2" xfId="14387" xr:uid="{00000000-0005-0000-0000-0000D6400000}"/>
    <cellStyle name="Normal 13 5 4 3 2 2 2" xfId="27445" xr:uid="{00000000-0005-0000-0000-0000D7400000}"/>
    <cellStyle name="Normal 13 5 4 3 2 3" xfId="14388" xr:uid="{00000000-0005-0000-0000-0000D8400000}"/>
    <cellStyle name="Normal 13 5 4 3 2 3 2" xfId="27446" xr:uid="{00000000-0005-0000-0000-0000D9400000}"/>
    <cellStyle name="Normal 13 5 4 3 2 4" xfId="24376" xr:uid="{00000000-0005-0000-0000-0000DA400000}"/>
    <cellStyle name="Normal 13 5 4 3 3" xfId="14389" xr:uid="{00000000-0005-0000-0000-0000DB400000}"/>
    <cellStyle name="Normal 13 5 4 3 3 2" xfId="27447" xr:uid="{00000000-0005-0000-0000-0000DC400000}"/>
    <cellStyle name="Normal 13 5 4 3 4" xfId="14390" xr:uid="{00000000-0005-0000-0000-0000DD400000}"/>
    <cellStyle name="Normal 13 5 4 3 4 2" xfId="27448" xr:uid="{00000000-0005-0000-0000-0000DE400000}"/>
    <cellStyle name="Normal 13 5 4 3 5" xfId="22220" xr:uid="{00000000-0005-0000-0000-0000DF400000}"/>
    <cellStyle name="Normal 13 5 4 4" xfId="9928" xr:uid="{00000000-0005-0000-0000-0000E0400000}"/>
    <cellStyle name="Normal 13 5 4 4 2" xfId="14391" xr:uid="{00000000-0005-0000-0000-0000E1400000}"/>
    <cellStyle name="Normal 13 5 4 4 2 2" xfId="27449" xr:uid="{00000000-0005-0000-0000-0000E2400000}"/>
    <cellStyle name="Normal 13 5 4 4 3" xfId="14392" xr:uid="{00000000-0005-0000-0000-0000E3400000}"/>
    <cellStyle name="Normal 13 5 4 4 3 2" xfId="27450" xr:uid="{00000000-0005-0000-0000-0000E4400000}"/>
    <cellStyle name="Normal 13 5 4 4 4" xfId="23298" xr:uid="{00000000-0005-0000-0000-0000E5400000}"/>
    <cellStyle name="Normal 13 5 4 5" xfId="14393" xr:uid="{00000000-0005-0000-0000-0000E6400000}"/>
    <cellStyle name="Normal 13 5 4 5 2" xfId="27451" xr:uid="{00000000-0005-0000-0000-0000E7400000}"/>
    <cellStyle name="Normal 13 5 4 6" xfId="14394" xr:uid="{00000000-0005-0000-0000-0000E8400000}"/>
    <cellStyle name="Normal 13 5 4 6 2" xfId="27452" xr:uid="{00000000-0005-0000-0000-0000E9400000}"/>
    <cellStyle name="Normal 13 5 4 7" xfId="21142" xr:uid="{00000000-0005-0000-0000-0000EA400000}"/>
    <cellStyle name="Normal 13 5 5" xfId="7018" xr:uid="{00000000-0005-0000-0000-0000EB400000}"/>
    <cellStyle name="Normal 13 5 5 2" xfId="8898" xr:uid="{00000000-0005-0000-0000-0000EC400000}"/>
    <cellStyle name="Normal 13 5 5 2 2" xfId="11277" xr:uid="{00000000-0005-0000-0000-0000ED400000}"/>
    <cellStyle name="Normal 13 5 5 2 2 2" xfId="14395" xr:uid="{00000000-0005-0000-0000-0000EE400000}"/>
    <cellStyle name="Normal 13 5 5 2 2 2 2" xfId="27453" xr:uid="{00000000-0005-0000-0000-0000EF400000}"/>
    <cellStyle name="Normal 13 5 5 2 2 3" xfId="14396" xr:uid="{00000000-0005-0000-0000-0000F0400000}"/>
    <cellStyle name="Normal 13 5 5 2 2 3 2" xfId="27454" xr:uid="{00000000-0005-0000-0000-0000F1400000}"/>
    <cellStyle name="Normal 13 5 5 2 2 4" xfId="24647" xr:uid="{00000000-0005-0000-0000-0000F2400000}"/>
    <cellStyle name="Normal 13 5 5 2 3" xfId="14397" xr:uid="{00000000-0005-0000-0000-0000F3400000}"/>
    <cellStyle name="Normal 13 5 5 2 3 2" xfId="27455" xr:uid="{00000000-0005-0000-0000-0000F4400000}"/>
    <cellStyle name="Normal 13 5 5 2 4" xfId="14398" xr:uid="{00000000-0005-0000-0000-0000F5400000}"/>
    <cellStyle name="Normal 13 5 5 2 4 2" xfId="27456" xr:uid="{00000000-0005-0000-0000-0000F6400000}"/>
    <cellStyle name="Normal 13 5 5 2 5" xfId="22491" xr:uid="{00000000-0005-0000-0000-0000F7400000}"/>
    <cellStyle name="Normal 13 5 5 3" xfId="10199" xr:uid="{00000000-0005-0000-0000-0000F8400000}"/>
    <cellStyle name="Normal 13 5 5 3 2" xfId="14399" xr:uid="{00000000-0005-0000-0000-0000F9400000}"/>
    <cellStyle name="Normal 13 5 5 3 2 2" xfId="27457" xr:uid="{00000000-0005-0000-0000-0000FA400000}"/>
    <cellStyle name="Normal 13 5 5 3 3" xfId="14400" xr:uid="{00000000-0005-0000-0000-0000FB400000}"/>
    <cellStyle name="Normal 13 5 5 3 3 2" xfId="27458" xr:uid="{00000000-0005-0000-0000-0000FC400000}"/>
    <cellStyle name="Normal 13 5 5 3 4" xfId="23569" xr:uid="{00000000-0005-0000-0000-0000FD400000}"/>
    <cellStyle name="Normal 13 5 5 4" xfId="14401" xr:uid="{00000000-0005-0000-0000-0000FE400000}"/>
    <cellStyle name="Normal 13 5 5 4 2" xfId="27459" xr:uid="{00000000-0005-0000-0000-0000FF400000}"/>
    <cellStyle name="Normal 13 5 5 5" xfId="14402" xr:uid="{00000000-0005-0000-0000-000000410000}"/>
    <cellStyle name="Normal 13 5 5 5 2" xfId="27460" xr:uid="{00000000-0005-0000-0000-000001410000}"/>
    <cellStyle name="Normal 13 5 5 6" xfId="21413" xr:uid="{00000000-0005-0000-0000-000002410000}"/>
    <cellStyle name="Normal 13 5 6" xfId="8214" xr:uid="{00000000-0005-0000-0000-000003410000}"/>
    <cellStyle name="Normal 13 5 6 2" xfId="10737" xr:uid="{00000000-0005-0000-0000-000004410000}"/>
    <cellStyle name="Normal 13 5 6 2 2" xfId="14403" xr:uid="{00000000-0005-0000-0000-000005410000}"/>
    <cellStyle name="Normal 13 5 6 2 2 2" xfId="27461" xr:uid="{00000000-0005-0000-0000-000006410000}"/>
    <cellStyle name="Normal 13 5 6 2 3" xfId="14404" xr:uid="{00000000-0005-0000-0000-000007410000}"/>
    <cellStyle name="Normal 13 5 6 2 3 2" xfId="27462" xr:uid="{00000000-0005-0000-0000-000008410000}"/>
    <cellStyle name="Normal 13 5 6 2 4" xfId="24107" xr:uid="{00000000-0005-0000-0000-000009410000}"/>
    <cellStyle name="Normal 13 5 6 3" xfId="14405" xr:uid="{00000000-0005-0000-0000-00000A410000}"/>
    <cellStyle name="Normal 13 5 6 3 2" xfId="27463" xr:uid="{00000000-0005-0000-0000-00000B410000}"/>
    <cellStyle name="Normal 13 5 6 4" xfId="14406" xr:uid="{00000000-0005-0000-0000-00000C410000}"/>
    <cellStyle name="Normal 13 5 6 4 2" xfId="27464" xr:uid="{00000000-0005-0000-0000-00000D410000}"/>
    <cellStyle name="Normal 13 5 6 5" xfId="21951" xr:uid="{00000000-0005-0000-0000-00000E410000}"/>
    <cellStyle name="Normal 13 5 7" xfId="9658" xr:uid="{00000000-0005-0000-0000-00000F410000}"/>
    <cellStyle name="Normal 13 5 7 2" xfId="14407" xr:uid="{00000000-0005-0000-0000-000010410000}"/>
    <cellStyle name="Normal 13 5 7 2 2" xfId="27465" xr:uid="{00000000-0005-0000-0000-000011410000}"/>
    <cellStyle name="Normal 13 5 7 3" xfId="14408" xr:uid="{00000000-0005-0000-0000-000012410000}"/>
    <cellStyle name="Normal 13 5 7 3 2" xfId="27466" xr:uid="{00000000-0005-0000-0000-000013410000}"/>
    <cellStyle name="Normal 13 5 7 4" xfId="23029" xr:uid="{00000000-0005-0000-0000-000014410000}"/>
    <cellStyle name="Normal 13 5 8" xfId="14409" xr:uid="{00000000-0005-0000-0000-000015410000}"/>
    <cellStyle name="Normal 13 5 8 2" xfId="27467" xr:uid="{00000000-0005-0000-0000-000016410000}"/>
    <cellStyle name="Normal 13 5 9" xfId="14410" xr:uid="{00000000-0005-0000-0000-000017410000}"/>
    <cellStyle name="Normal 13 5 9 2" xfId="27468" xr:uid="{00000000-0005-0000-0000-000018410000}"/>
    <cellStyle name="Normal 13 6" xfId="4063" xr:uid="{00000000-0005-0000-0000-000019410000}"/>
    <cellStyle name="Normal 13 6 2" xfId="5599" xr:uid="{00000000-0005-0000-0000-00001A410000}"/>
    <cellStyle name="Normal 13 6 2 2" xfId="6751" xr:uid="{00000000-0005-0000-0000-00001B410000}"/>
    <cellStyle name="Normal 13 6 2 2 2" xfId="7438" xr:uid="{00000000-0005-0000-0000-00001C410000}"/>
    <cellStyle name="Normal 13 6 2 2 2 2" xfId="9317" xr:uid="{00000000-0005-0000-0000-00001D410000}"/>
    <cellStyle name="Normal 13 6 2 2 2 2 2" xfId="11696" xr:uid="{00000000-0005-0000-0000-00001E410000}"/>
    <cellStyle name="Normal 13 6 2 2 2 2 2 2" xfId="14411" xr:uid="{00000000-0005-0000-0000-00001F410000}"/>
    <cellStyle name="Normal 13 6 2 2 2 2 2 2 2" xfId="27469" xr:uid="{00000000-0005-0000-0000-000020410000}"/>
    <cellStyle name="Normal 13 6 2 2 2 2 2 3" xfId="14412" xr:uid="{00000000-0005-0000-0000-000021410000}"/>
    <cellStyle name="Normal 13 6 2 2 2 2 2 3 2" xfId="27470" xr:uid="{00000000-0005-0000-0000-000022410000}"/>
    <cellStyle name="Normal 13 6 2 2 2 2 2 4" xfId="25066" xr:uid="{00000000-0005-0000-0000-000023410000}"/>
    <cellStyle name="Normal 13 6 2 2 2 2 3" xfId="14413" xr:uid="{00000000-0005-0000-0000-000024410000}"/>
    <cellStyle name="Normal 13 6 2 2 2 2 3 2" xfId="27471" xr:uid="{00000000-0005-0000-0000-000025410000}"/>
    <cellStyle name="Normal 13 6 2 2 2 2 4" xfId="14414" xr:uid="{00000000-0005-0000-0000-000026410000}"/>
    <cellStyle name="Normal 13 6 2 2 2 2 4 2" xfId="27472" xr:uid="{00000000-0005-0000-0000-000027410000}"/>
    <cellStyle name="Normal 13 6 2 2 2 2 5" xfId="22910" xr:uid="{00000000-0005-0000-0000-000028410000}"/>
    <cellStyle name="Normal 13 6 2 2 2 3" xfId="10618" xr:uid="{00000000-0005-0000-0000-000029410000}"/>
    <cellStyle name="Normal 13 6 2 2 2 3 2" xfId="14415" xr:uid="{00000000-0005-0000-0000-00002A410000}"/>
    <cellStyle name="Normal 13 6 2 2 2 3 2 2" xfId="27473" xr:uid="{00000000-0005-0000-0000-00002B410000}"/>
    <cellStyle name="Normal 13 6 2 2 2 3 3" xfId="14416" xr:uid="{00000000-0005-0000-0000-00002C410000}"/>
    <cellStyle name="Normal 13 6 2 2 2 3 3 2" xfId="27474" xr:uid="{00000000-0005-0000-0000-00002D410000}"/>
    <cellStyle name="Normal 13 6 2 2 2 3 4" xfId="23988" xr:uid="{00000000-0005-0000-0000-00002E410000}"/>
    <cellStyle name="Normal 13 6 2 2 2 4" xfId="14417" xr:uid="{00000000-0005-0000-0000-00002F410000}"/>
    <cellStyle name="Normal 13 6 2 2 2 4 2" xfId="27475" xr:uid="{00000000-0005-0000-0000-000030410000}"/>
    <cellStyle name="Normal 13 6 2 2 2 5" xfId="14418" xr:uid="{00000000-0005-0000-0000-000031410000}"/>
    <cellStyle name="Normal 13 6 2 2 2 5 2" xfId="27476" xr:uid="{00000000-0005-0000-0000-000032410000}"/>
    <cellStyle name="Normal 13 6 2 2 2 6" xfId="21832" xr:uid="{00000000-0005-0000-0000-000033410000}"/>
    <cellStyle name="Normal 13 6 2 2 3" xfId="8771" xr:uid="{00000000-0005-0000-0000-000034410000}"/>
    <cellStyle name="Normal 13 6 2 2 3 2" xfId="11156" xr:uid="{00000000-0005-0000-0000-000035410000}"/>
    <cellStyle name="Normal 13 6 2 2 3 2 2" xfId="14419" xr:uid="{00000000-0005-0000-0000-000036410000}"/>
    <cellStyle name="Normal 13 6 2 2 3 2 2 2" xfId="27477" xr:uid="{00000000-0005-0000-0000-000037410000}"/>
    <cellStyle name="Normal 13 6 2 2 3 2 3" xfId="14420" xr:uid="{00000000-0005-0000-0000-000038410000}"/>
    <cellStyle name="Normal 13 6 2 2 3 2 3 2" xfId="27478" xr:uid="{00000000-0005-0000-0000-000039410000}"/>
    <cellStyle name="Normal 13 6 2 2 3 2 4" xfId="24526" xr:uid="{00000000-0005-0000-0000-00003A410000}"/>
    <cellStyle name="Normal 13 6 2 2 3 3" xfId="14421" xr:uid="{00000000-0005-0000-0000-00003B410000}"/>
    <cellStyle name="Normal 13 6 2 2 3 3 2" xfId="27479" xr:uid="{00000000-0005-0000-0000-00003C410000}"/>
    <cellStyle name="Normal 13 6 2 2 3 4" xfId="14422" xr:uid="{00000000-0005-0000-0000-00003D410000}"/>
    <cellStyle name="Normal 13 6 2 2 3 4 2" xfId="27480" xr:uid="{00000000-0005-0000-0000-00003E410000}"/>
    <cellStyle name="Normal 13 6 2 2 3 5" xfId="22370" xr:uid="{00000000-0005-0000-0000-00003F410000}"/>
    <cellStyle name="Normal 13 6 2 2 4" xfId="10078" xr:uid="{00000000-0005-0000-0000-000040410000}"/>
    <cellStyle name="Normal 13 6 2 2 4 2" xfId="14423" xr:uid="{00000000-0005-0000-0000-000041410000}"/>
    <cellStyle name="Normal 13 6 2 2 4 2 2" xfId="27481" xr:uid="{00000000-0005-0000-0000-000042410000}"/>
    <cellStyle name="Normal 13 6 2 2 4 3" xfId="14424" xr:uid="{00000000-0005-0000-0000-000043410000}"/>
    <cellStyle name="Normal 13 6 2 2 4 3 2" xfId="27482" xr:uid="{00000000-0005-0000-0000-000044410000}"/>
    <cellStyle name="Normal 13 6 2 2 4 4" xfId="23448" xr:uid="{00000000-0005-0000-0000-000045410000}"/>
    <cellStyle name="Normal 13 6 2 2 5" xfId="14425" xr:uid="{00000000-0005-0000-0000-000046410000}"/>
    <cellStyle name="Normal 13 6 2 2 5 2" xfId="27483" xr:uid="{00000000-0005-0000-0000-000047410000}"/>
    <cellStyle name="Normal 13 6 2 2 6" xfId="14426" xr:uid="{00000000-0005-0000-0000-000048410000}"/>
    <cellStyle name="Normal 13 6 2 2 6 2" xfId="27484" xr:uid="{00000000-0005-0000-0000-000049410000}"/>
    <cellStyle name="Normal 13 6 2 2 7" xfId="21292" xr:uid="{00000000-0005-0000-0000-00004A410000}"/>
    <cellStyle name="Normal 13 6 2 3" xfId="7169" xr:uid="{00000000-0005-0000-0000-00004B410000}"/>
    <cellStyle name="Normal 13 6 2 3 2" xfId="9048" xr:uid="{00000000-0005-0000-0000-00004C410000}"/>
    <cellStyle name="Normal 13 6 2 3 2 2" xfId="11427" xr:uid="{00000000-0005-0000-0000-00004D410000}"/>
    <cellStyle name="Normal 13 6 2 3 2 2 2" xfId="14427" xr:uid="{00000000-0005-0000-0000-00004E410000}"/>
    <cellStyle name="Normal 13 6 2 3 2 2 2 2" xfId="27485" xr:uid="{00000000-0005-0000-0000-00004F410000}"/>
    <cellStyle name="Normal 13 6 2 3 2 2 3" xfId="14428" xr:uid="{00000000-0005-0000-0000-000050410000}"/>
    <cellStyle name="Normal 13 6 2 3 2 2 3 2" xfId="27486" xr:uid="{00000000-0005-0000-0000-000051410000}"/>
    <cellStyle name="Normal 13 6 2 3 2 2 4" xfId="24797" xr:uid="{00000000-0005-0000-0000-000052410000}"/>
    <cellStyle name="Normal 13 6 2 3 2 3" xfId="14429" xr:uid="{00000000-0005-0000-0000-000053410000}"/>
    <cellStyle name="Normal 13 6 2 3 2 3 2" xfId="27487" xr:uid="{00000000-0005-0000-0000-000054410000}"/>
    <cellStyle name="Normal 13 6 2 3 2 4" xfId="14430" xr:uid="{00000000-0005-0000-0000-000055410000}"/>
    <cellStyle name="Normal 13 6 2 3 2 4 2" xfId="27488" xr:uid="{00000000-0005-0000-0000-000056410000}"/>
    <cellStyle name="Normal 13 6 2 3 2 5" xfId="22641" xr:uid="{00000000-0005-0000-0000-000057410000}"/>
    <cellStyle name="Normal 13 6 2 3 3" xfId="10349" xr:uid="{00000000-0005-0000-0000-000058410000}"/>
    <cellStyle name="Normal 13 6 2 3 3 2" xfId="14431" xr:uid="{00000000-0005-0000-0000-000059410000}"/>
    <cellStyle name="Normal 13 6 2 3 3 2 2" xfId="27489" xr:uid="{00000000-0005-0000-0000-00005A410000}"/>
    <cellStyle name="Normal 13 6 2 3 3 3" xfId="14432" xr:uid="{00000000-0005-0000-0000-00005B410000}"/>
    <cellStyle name="Normal 13 6 2 3 3 3 2" xfId="27490" xr:uid="{00000000-0005-0000-0000-00005C410000}"/>
    <cellStyle name="Normal 13 6 2 3 3 4" xfId="23719" xr:uid="{00000000-0005-0000-0000-00005D410000}"/>
    <cellStyle name="Normal 13 6 2 3 4" xfId="14433" xr:uid="{00000000-0005-0000-0000-00005E410000}"/>
    <cellStyle name="Normal 13 6 2 3 4 2" xfId="27491" xr:uid="{00000000-0005-0000-0000-00005F410000}"/>
    <cellStyle name="Normal 13 6 2 3 5" xfId="14434" xr:uid="{00000000-0005-0000-0000-000060410000}"/>
    <cellStyle name="Normal 13 6 2 3 5 2" xfId="27492" xr:uid="{00000000-0005-0000-0000-000061410000}"/>
    <cellStyle name="Normal 13 6 2 3 6" xfId="21563" xr:uid="{00000000-0005-0000-0000-000062410000}"/>
    <cellStyle name="Normal 13 6 2 4" xfId="8446" xr:uid="{00000000-0005-0000-0000-000063410000}"/>
    <cellStyle name="Normal 13 6 2 4 2" xfId="10887" xr:uid="{00000000-0005-0000-0000-000064410000}"/>
    <cellStyle name="Normal 13 6 2 4 2 2" xfId="14435" xr:uid="{00000000-0005-0000-0000-000065410000}"/>
    <cellStyle name="Normal 13 6 2 4 2 2 2" xfId="27493" xr:uid="{00000000-0005-0000-0000-000066410000}"/>
    <cellStyle name="Normal 13 6 2 4 2 3" xfId="14436" xr:uid="{00000000-0005-0000-0000-000067410000}"/>
    <cellStyle name="Normal 13 6 2 4 2 3 2" xfId="27494" xr:uid="{00000000-0005-0000-0000-000068410000}"/>
    <cellStyle name="Normal 13 6 2 4 2 4" xfId="24257" xr:uid="{00000000-0005-0000-0000-000069410000}"/>
    <cellStyle name="Normal 13 6 2 4 3" xfId="14437" xr:uid="{00000000-0005-0000-0000-00006A410000}"/>
    <cellStyle name="Normal 13 6 2 4 3 2" xfId="27495" xr:uid="{00000000-0005-0000-0000-00006B410000}"/>
    <cellStyle name="Normal 13 6 2 4 4" xfId="14438" xr:uid="{00000000-0005-0000-0000-00006C410000}"/>
    <cellStyle name="Normal 13 6 2 4 4 2" xfId="27496" xr:uid="{00000000-0005-0000-0000-00006D410000}"/>
    <cellStyle name="Normal 13 6 2 4 5" xfId="22101" xr:uid="{00000000-0005-0000-0000-00006E410000}"/>
    <cellStyle name="Normal 13 6 2 5" xfId="9809" xr:uid="{00000000-0005-0000-0000-00006F410000}"/>
    <cellStyle name="Normal 13 6 2 5 2" xfId="14439" xr:uid="{00000000-0005-0000-0000-000070410000}"/>
    <cellStyle name="Normal 13 6 2 5 2 2" xfId="27497" xr:uid="{00000000-0005-0000-0000-000071410000}"/>
    <cellStyle name="Normal 13 6 2 5 3" xfId="14440" xr:uid="{00000000-0005-0000-0000-000072410000}"/>
    <cellStyle name="Normal 13 6 2 5 3 2" xfId="27498" xr:uid="{00000000-0005-0000-0000-000073410000}"/>
    <cellStyle name="Normal 13 6 2 5 4" xfId="23179" xr:uid="{00000000-0005-0000-0000-000074410000}"/>
    <cellStyle name="Normal 13 6 2 6" xfId="14441" xr:uid="{00000000-0005-0000-0000-000075410000}"/>
    <cellStyle name="Normal 13 6 2 6 2" xfId="27499" xr:uid="{00000000-0005-0000-0000-000076410000}"/>
    <cellStyle name="Normal 13 6 2 7" xfId="14442" xr:uid="{00000000-0005-0000-0000-000077410000}"/>
    <cellStyle name="Normal 13 6 2 7 2" xfId="27500" xr:uid="{00000000-0005-0000-0000-000078410000}"/>
    <cellStyle name="Normal 13 6 2 8" xfId="21023" xr:uid="{00000000-0005-0000-0000-000079410000}"/>
    <cellStyle name="Normal 13 6 3" xfId="6600" xr:uid="{00000000-0005-0000-0000-00007A410000}"/>
    <cellStyle name="Normal 13 6 3 2" xfId="7296" xr:uid="{00000000-0005-0000-0000-00007B410000}"/>
    <cellStyle name="Normal 13 6 3 2 2" xfId="9175" xr:uid="{00000000-0005-0000-0000-00007C410000}"/>
    <cellStyle name="Normal 13 6 3 2 2 2" xfId="11554" xr:uid="{00000000-0005-0000-0000-00007D410000}"/>
    <cellStyle name="Normal 13 6 3 2 2 2 2" xfId="14443" xr:uid="{00000000-0005-0000-0000-00007E410000}"/>
    <cellStyle name="Normal 13 6 3 2 2 2 2 2" xfId="27501" xr:uid="{00000000-0005-0000-0000-00007F410000}"/>
    <cellStyle name="Normal 13 6 3 2 2 2 3" xfId="14444" xr:uid="{00000000-0005-0000-0000-000080410000}"/>
    <cellStyle name="Normal 13 6 3 2 2 2 3 2" xfId="27502" xr:uid="{00000000-0005-0000-0000-000081410000}"/>
    <cellStyle name="Normal 13 6 3 2 2 2 4" xfId="24924" xr:uid="{00000000-0005-0000-0000-000082410000}"/>
    <cellStyle name="Normal 13 6 3 2 2 3" xfId="14445" xr:uid="{00000000-0005-0000-0000-000083410000}"/>
    <cellStyle name="Normal 13 6 3 2 2 3 2" xfId="27503" xr:uid="{00000000-0005-0000-0000-000084410000}"/>
    <cellStyle name="Normal 13 6 3 2 2 4" xfId="14446" xr:uid="{00000000-0005-0000-0000-000085410000}"/>
    <cellStyle name="Normal 13 6 3 2 2 4 2" xfId="27504" xr:uid="{00000000-0005-0000-0000-000086410000}"/>
    <cellStyle name="Normal 13 6 3 2 2 5" xfId="22768" xr:uid="{00000000-0005-0000-0000-000087410000}"/>
    <cellStyle name="Normal 13 6 3 2 3" xfId="10476" xr:uid="{00000000-0005-0000-0000-000088410000}"/>
    <cellStyle name="Normal 13 6 3 2 3 2" xfId="14447" xr:uid="{00000000-0005-0000-0000-000089410000}"/>
    <cellStyle name="Normal 13 6 3 2 3 2 2" xfId="27505" xr:uid="{00000000-0005-0000-0000-00008A410000}"/>
    <cellStyle name="Normal 13 6 3 2 3 3" xfId="14448" xr:uid="{00000000-0005-0000-0000-00008B410000}"/>
    <cellStyle name="Normal 13 6 3 2 3 3 2" xfId="27506" xr:uid="{00000000-0005-0000-0000-00008C410000}"/>
    <cellStyle name="Normal 13 6 3 2 3 4" xfId="23846" xr:uid="{00000000-0005-0000-0000-00008D410000}"/>
    <cellStyle name="Normal 13 6 3 2 4" xfId="14449" xr:uid="{00000000-0005-0000-0000-00008E410000}"/>
    <cellStyle name="Normal 13 6 3 2 4 2" xfId="27507" xr:uid="{00000000-0005-0000-0000-00008F410000}"/>
    <cellStyle name="Normal 13 6 3 2 5" xfId="14450" xr:uid="{00000000-0005-0000-0000-000090410000}"/>
    <cellStyle name="Normal 13 6 3 2 5 2" xfId="27508" xr:uid="{00000000-0005-0000-0000-000091410000}"/>
    <cellStyle name="Normal 13 6 3 2 6" xfId="21690" xr:uid="{00000000-0005-0000-0000-000092410000}"/>
    <cellStyle name="Normal 13 6 3 3" xfId="8628" xr:uid="{00000000-0005-0000-0000-000093410000}"/>
    <cellStyle name="Normal 13 6 3 3 2" xfId="11014" xr:uid="{00000000-0005-0000-0000-000094410000}"/>
    <cellStyle name="Normal 13 6 3 3 2 2" xfId="14451" xr:uid="{00000000-0005-0000-0000-000095410000}"/>
    <cellStyle name="Normal 13 6 3 3 2 2 2" xfId="27509" xr:uid="{00000000-0005-0000-0000-000096410000}"/>
    <cellStyle name="Normal 13 6 3 3 2 3" xfId="14452" xr:uid="{00000000-0005-0000-0000-000097410000}"/>
    <cellStyle name="Normal 13 6 3 3 2 3 2" xfId="27510" xr:uid="{00000000-0005-0000-0000-000098410000}"/>
    <cellStyle name="Normal 13 6 3 3 2 4" xfId="24384" xr:uid="{00000000-0005-0000-0000-000099410000}"/>
    <cellStyle name="Normal 13 6 3 3 3" xfId="14453" xr:uid="{00000000-0005-0000-0000-00009A410000}"/>
    <cellStyle name="Normal 13 6 3 3 3 2" xfId="27511" xr:uid="{00000000-0005-0000-0000-00009B410000}"/>
    <cellStyle name="Normal 13 6 3 3 4" xfId="14454" xr:uid="{00000000-0005-0000-0000-00009C410000}"/>
    <cellStyle name="Normal 13 6 3 3 4 2" xfId="27512" xr:uid="{00000000-0005-0000-0000-00009D410000}"/>
    <cellStyle name="Normal 13 6 3 3 5" xfId="22228" xr:uid="{00000000-0005-0000-0000-00009E410000}"/>
    <cellStyle name="Normal 13 6 3 4" xfId="9936" xr:uid="{00000000-0005-0000-0000-00009F410000}"/>
    <cellStyle name="Normal 13 6 3 4 2" xfId="14455" xr:uid="{00000000-0005-0000-0000-0000A0410000}"/>
    <cellStyle name="Normal 13 6 3 4 2 2" xfId="27513" xr:uid="{00000000-0005-0000-0000-0000A1410000}"/>
    <cellStyle name="Normal 13 6 3 4 3" xfId="14456" xr:uid="{00000000-0005-0000-0000-0000A2410000}"/>
    <cellStyle name="Normal 13 6 3 4 3 2" xfId="27514" xr:uid="{00000000-0005-0000-0000-0000A3410000}"/>
    <cellStyle name="Normal 13 6 3 4 4" xfId="23306" xr:uid="{00000000-0005-0000-0000-0000A4410000}"/>
    <cellStyle name="Normal 13 6 3 5" xfId="14457" xr:uid="{00000000-0005-0000-0000-0000A5410000}"/>
    <cellStyle name="Normal 13 6 3 5 2" xfId="27515" xr:uid="{00000000-0005-0000-0000-0000A6410000}"/>
    <cellStyle name="Normal 13 6 3 6" xfId="14458" xr:uid="{00000000-0005-0000-0000-0000A7410000}"/>
    <cellStyle name="Normal 13 6 3 6 2" xfId="27516" xr:uid="{00000000-0005-0000-0000-0000A8410000}"/>
    <cellStyle name="Normal 13 6 3 7" xfId="21150" xr:uid="{00000000-0005-0000-0000-0000A9410000}"/>
    <cellStyle name="Normal 13 6 4" xfId="7026" xr:uid="{00000000-0005-0000-0000-0000AA410000}"/>
    <cellStyle name="Normal 13 6 4 2" xfId="8906" xr:uid="{00000000-0005-0000-0000-0000AB410000}"/>
    <cellStyle name="Normal 13 6 4 2 2" xfId="11285" xr:uid="{00000000-0005-0000-0000-0000AC410000}"/>
    <cellStyle name="Normal 13 6 4 2 2 2" xfId="14459" xr:uid="{00000000-0005-0000-0000-0000AD410000}"/>
    <cellStyle name="Normal 13 6 4 2 2 2 2" xfId="27517" xr:uid="{00000000-0005-0000-0000-0000AE410000}"/>
    <cellStyle name="Normal 13 6 4 2 2 3" xfId="14460" xr:uid="{00000000-0005-0000-0000-0000AF410000}"/>
    <cellStyle name="Normal 13 6 4 2 2 3 2" xfId="27518" xr:uid="{00000000-0005-0000-0000-0000B0410000}"/>
    <cellStyle name="Normal 13 6 4 2 2 4" xfId="24655" xr:uid="{00000000-0005-0000-0000-0000B1410000}"/>
    <cellStyle name="Normal 13 6 4 2 3" xfId="14461" xr:uid="{00000000-0005-0000-0000-0000B2410000}"/>
    <cellStyle name="Normal 13 6 4 2 3 2" xfId="27519" xr:uid="{00000000-0005-0000-0000-0000B3410000}"/>
    <cellStyle name="Normal 13 6 4 2 4" xfId="14462" xr:uid="{00000000-0005-0000-0000-0000B4410000}"/>
    <cellStyle name="Normal 13 6 4 2 4 2" xfId="27520" xr:uid="{00000000-0005-0000-0000-0000B5410000}"/>
    <cellStyle name="Normal 13 6 4 2 5" xfId="22499" xr:uid="{00000000-0005-0000-0000-0000B6410000}"/>
    <cellStyle name="Normal 13 6 4 3" xfId="10207" xr:uid="{00000000-0005-0000-0000-0000B7410000}"/>
    <cellStyle name="Normal 13 6 4 3 2" xfId="14463" xr:uid="{00000000-0005-0000-0000-0000B8410000}"/>
    <cellStyle name="Normal 13 6 4 3 2 2" xfId="27521" xr:uid="{00000000-0005-0000-0000-0000B9410000}"/>
    <cellStyle name="Normal 13 6 4 3 3" xfId="14464" xr:uid="{00000000-0005-0000-0000-0000BA410000}"/>
    <cellStyle name="Normal 13 6 4 3 3 2" xfId="27522" xr:uid="{00000000-0005-0000-0000-0000BB410000}"/>
    <cellStyle name="Normal 13 6 4 3 4" xfId="23577" xr:uid="{00000000-0005-0000-0000-0000BC410000}"/>
    <cellStyle name="Normal 13 6 4 4" xfId="14465" xr:uid="{00000000-0005-0000-0000-0000BD410000}"/>
    <cellStyle name="Normal 13 6 4 4 2" xfId="27523" xr:uid="{00000000-0005-0000-0000-0000BE410000}"/>
    <cellStyle name="Normal 13 6 4 5" xfId="14466" xr:uid="{00000000-0005-0000-0000-0000BF410000}"/>
    <cellStyle name="Normal 13 6 4 5 2" xfId="27524" xr:uid="{00000000-0005-0000-0000-0000C0410000}"/>
    <cellStyle name="Normal 13 6 4 6" xfId="21421" xr:uid="{00000000-0005-0000-0000-0000C1410000}"/>
    <cellStyle name="Normal 13 6 5" xfId="8230" xr:uid="{00000000-0005-0000-0000-0000C2410000}"/>
    <cellStyle name="Normal 13 6 5 2" xfId="10745" xr:uid="{00000000-0005-0000-0000-0000C3410000}"/>
    <cellStyle name="Normal 13 6 5 2 2" xfId="14467" xr:uid="{00000000-0005-0000-0000-0000C4410000}"/>
    <cellStyle name="Normal 13 6 5 2 2 2" xfId="27525" xr:uid="{00000000-0005-0000-0000-0000C5410000}"/>
    <cellStyle name="Normal 13 6 5 2 3" xfId="14468" xr:uid="{00000000-0005-0000-0000-0000C6410000}"/>
    <cellStyle name="Normal 13 6 5 2 3 2" xfId="27526" xr:uid="{00000000-0005-0000-0000-0000C7410000}"/>
    <cellStyle name="Normal 13 6 5 2 4" xfId="24115" xr:uid="{00000000-0005-0000-0000-0000C8410000}"/>
    <cellStyle name="Normal 13 6 5 3" xfId="14469" xr:uid="{00000000-0005-0000-0000-0000C9410000}"/>
    <cellStyle name="Normal 13 6 5 3 2" xfId="27527" xr:uid="{00000000-0005-0000-0000-0000CA410000}"/>
    <cellStyle name="Normal 13 6 5 4" xfId="14470" xr:uid="{00000000-0005-0000-0000-0000CB410000}"/>
    <cellStyle name="Normal 13 6 5 4 2" xfId="27528" xr:uid="{00000000-0005-0000-0000-0000CC410000}"/>
    <cellStyle name="Normal 13 6 5 5" xfId="21959" xr:uid="{00000000-0005-0000-0000-0000CD410000}"/>
    <cellStyle name="Normal 13 6 6" xfId="9666" xr:uid="{00000000-0005-0000-0000-0000CE410000}"/>
    <cellStyle name="Normal 13 6 6 2" xfId="14471" xr:uid="{00000000-0005-0000-0000-0000CF410000}"/>
    <cellStyle name="Normal 13 6 6 2 2" xfId="27529" xr:uid="{00000000-0005-0000-0000-0000D0410000}"/>
    <cellStyle name="Normal 13 6 6 3" xfId="14472" xr:uid="{00000000-0005-0000-0000-0000D1410000}"/>
    <cellStyle name="Normal 13 6 6 3 2" xfId="27530" xr:uid="{00000000-0005-0000-0000-0000D2410000}"/>
    <cellStyle name="Normal 13 6 6 4" xfId="23037" xr:uid="{00000000-0005-0000-0000-0000D3410000}"/>
    <cellStyle name="Normal 13 6 7" xfId="14473" xr:uid="{00000000-0005-0000-0000-0000D4410000}"/>
    <cellStyle name="Normal 13 6 7 2" xfId="27531" xr:uid="{00000000-0005-0000-0000-0000D5410000}"/>
    <cellStyle name="Normal 13 6 8" xfId="14474" xr:uid="{00000000-0005-0000-0000-0000D6410000}"/>
    <cellStyle name="Normal 13 6 8 2" xfId="27532" xr:uid="{00000000-0005-0000-0000-0000D7410000}"/>
    <cellStyle name="Normal 13 6 9" xfId="20880" xr:uid="{00000000-0005-0000-0000-0000D8410000}"/>
    <cellStyle name="Normal 13 7" xfId="4994" xr:uid="{00000000-0005-0000-0000-0000D9410000}"/>
    <cellStyle name="Normal 13 7 2" xfId="6680" xr:uid="{00000000-0005-0000-0000-0000DA410000}"/>
    <cellStyle name="Normal 13 7 2 2" xfId="7369" xr:uid="{00000000-0005-0000-0000-0000DB410000}"/>
    <cellStyle name="Normal 13 7 2 2 2" xfId="9248" xr:uid="{00000000-0005-0000-0000-0000DC410000}"/>
    <cellStyle name="Normal 13 7 2 2 2 2" xfId="11627" xr:uid="{00000000-0005-0000-0000-0000DD410000}"/>
    <cellStyle name="Normal 13 7 2 2 2 2 2" xfId="14475" xr:uid="{00000000-0005-0000-0000-0000DE410000}"/>
    <cellStyle name="Normal 13 7 2 2 2 2 2 2" xfId="27533" xr:uid="{00000000-0005-0000-0000-0000DF410000}"/>
    <cellStyle name="Normal 13 7 2 2 2 2 3" xfId="14476" xr:uid="{00000000-0005-0000-0000-0000E0410000}"/>
    <cellStyle name="Normal 13 7 2 2 2 2 3 2" xfId="27534" xr:uid="{00000000-0005-0000-0000-0000E1410000}"/>
    <cellStyle name="Normal 13 7 2 2 2 2 4" xfId="24997" xr:uid="{00000000-0005-0000-0000-0000E2410000}"/>
    <cellStyle name="Normal 13 7 2 2 2 3" xfId="14477" xr:uid="{00000000-0005-0000-0000-0000E3410000}"/>
    <cellStyle name="Normal 13 7 2 2 2 3 2" xfId="27535" xr:uid="{00000000-0005-0000-0000-0000E4410000}"/>
    <cellStyle name="Normal 13 7 2 2 2 4" xfId="14478" xr:uid="{00000000-0005-0000-0000-0000E5410000}"/>
    <cellStyle name="Normal 13 7 2 2 2 4 2" xfId="27536" xr:uid="{00000000-0005-0000-0000-0000E6410000}"/>
    <cellStyle name="Normal 13 7 2 2 2 5" xfId="22841" xr:uid="{00000000-0005-0000-0000-0000E7410000}"/>
    <cellStyle name="Normal 13 7 2 2 3" xfId="10549" xr:uid="{00000000-0005-0000-0000-0000E8410000}"/>
    <cellStyle name="Normal 13 7 2 2 3 2" xfId="14479" xr:uid="{00000000-0005-0000-0000-0000E9410000}"/>
    <cellStyle name="Normal 13 7 2 2 3 2 2" xfId="27537" xr:uid="{00000000-0005-0000-0000-0000EA410000}"/>
    <cellStyle name="Normal 13 7 2 2 3 3" xfId="14480" xr:uid="{00000000-0005-0000-0000-0000EB410000}"/>
    <cellStyle name="Normal 13 7 2 2 3 3 2" xfId="27538" xr:uid="{00000000-0005-0000-0000-0000EC410000}"/>
    <cellStyle name="Normal 13 7 2 2 3 4" xfId="23919" xr:uid="{00000000-0005-0000-0000-0000ED410000}"/>
    <cellStyle name="Normal 13 7 2 2 4" xfId="14481" xr:uid="{00000000-0005-0000-0000-0000EE410000}"/>
    <cellStyle name="Normal 13 7 2 2 4 2" xfId="27539" xr:uid="{00000000-0005-0000-0000-0000EF410000}"/>
    <cellStyle name="Normal 13 7 2 2 5" xfId="14482" xr:uid="{00000000-0005-0000-0000-0000F0410000}"/>
    <cellStyle name="Normal 13 7 2 2 5 2" xfId="27540" xr:uid="{00000000-0005-0000-0000-0000F1410000}"/>
    <cellStyle name="Normal 13 7 2 2 6" xfId="21763" xr:uid="{00000000-0005-0000-0000-0000F2410000}"/>
    <cellStyle name="Normal 13 7 2 3" xfId="8702" xr:uid="{00000000-0005-0000-0000-0000F3410000}"/>
    <cellStyle name="Normal 13 7 2 3 2" xfId="11087" xr:uid="{00000000-0005-0000-0000-0000F4410000}"/>
    <cellStyle name="Normal 13 7 2 3 2 2" xfId="14483" xr:uid="{00000000-0005-0000-0000-0000F5410000}"/>
    <cellStyle name="Normal 13 7 2 3 2 2 2" xfId="27541" xr:uid="{00000000-0005-0000-0000-0000F6410000}"/>
    <cellStyle name="Normal 13 7 2 3 2 3" xfId="14484" xr:uid="{00000000-0005-0000-0000-0000F7410000}"/>
    <cellStyle name="Normal 13 7 2 3 2 3 2" xfId="27542" xr:uid="{00000000-0005-0000-0000-0000F8410000}"/>
    <cellStyle name="Normal 13 7 2 3 2 4" xfId="24457" xr:uid="{00000000-0005-0000-0000-0000F9410000}"/>
    <cellStyle name="Normal 13 7 2 3 3" xfId="14485" xr:uid="{00000000-0005-0000-0000-0000FA410000}"/>
    <cellStyle name="Normal 13 7 2 3 3 2" xfId="27543" xr:uid="{00000000-0005-0000-0000-0000FB410000}"/>
    <cellStyle name="Normal 13 7 2 3 4" xfId="14486" xr:uid="{00000000-0005-0000-0000-0000FC410000}"/>
    <cellStyle name="Normal 13 7 2 3 4 2" xfId="27544" xr:uid="{00000000-0005-0000-0000-0000FD410000}"/>
    <cellStyle name="Normal 13 7 2 3 5" xfId="22301" xr:uid="{00000000-0005-0000-0000-0000FE410000}"/>
    <cellStyle name="Normal 13 7 2 4" xfId="10009" xr:uid="{00000000-0005-0000-0000-0000FF410000}"/>
    <cellStyle name="Normal 13 7 2 4 2" xfId="14487" xr:uid="{00000000-0005-0000-0000-000000420000}"/>
    <cellStyle name="Normal 13 7 2 4 2 2" xfId="27545" xr:uid="{00000000-0005-0000-0000-000001420000}"/>
    <cellStyle name="Normal 13 7 2 4 3" xfId="14488" xr:uid="{00000000-0005-0000-0000-000002420000}"/>
    <cellStyle name="Normal 13 7 2 4 3 2" xfId="27546" xr:uid="{00000000-0005-0000-0000-000003420000}"/>
    <cellStyle name="Normal 13 7 2 4 4" xfId="23379" xr:uid="{00000000-0005-0000-0000-000004420000}"/>
    <cellStyle name="Normal 13 7 2 5" xfId="14489" xr:uid="{00000000-0005-0000-0000-000005420000}"/>
    <cellStyle name="Normal 13 7 2 5 2" xfId="27547" xr:uid="{00000000-0005-0000-0000-000006420000}"/>
    <cellStyle name="Normal 13 7 2 6" xfId="14490" xr:uid="{00000000-0005-0000-0000-000007420000}"/>
    <cellStyle name="Normal 13 7 2 6 2" xfId="27548" xr:uid="{00000000-0005-0000-0000-000008420000}"/>
    <cellStyle name="Normal 13 7 2 7" xfId="21223" xr:uid="{00000000-0005-0000-0000-000009420000}"/>
    <cellStyle name="Normal 13 7 3" xfId="7100" xr:uid="{00000000-0005-0000-0000-00000A420000}"/>
    <cellStyle name="Normal 13 7 3 2" xfId="8979" xr:uid="{00000000-0005-0000-0000-00000B420000}"/>
    <cellStyle name="Normal 13 7 3 2 2" xfId="11358" xr:uid="{00000000-0005-0000-0000-00000C420000}"/>
    <cellStyle name="Normal 13 7 3 2 2 2" xfId="14491" xr:uid="{00000000-0005-0000-0000-00000D420000}"/>
    <cellStyle name="Normal 13 7 3 2 2 2 2" xfId="27549" xr:uid="{00000000-0005-0000-0000-00000E420000}"/>
    <cellStyle name="Normal 13 7 3 2 2 3" xfId="14492" xr:uid="{00000000-0005-0000-0000-00000F420000}"/>
    <cellStyle name="Normal 13 7 3 2 2 3 2" xfId="27550" xr:uid="{00000000-0005-0000-0000-000010420000}"/>
    <cellStyle name="Normal 13 7 3 2 2 4" xfId="24728" xr:uid="{00000000-0005-0000-0000-000011420000}"/>
    <cellStyle name="Normal 13 7 3 2 3" xfId="14493" xr:uid="{00000000-0005-0000-0000-000012420000}"/>
    <cellStyle name="Normal 13 7 3 2 3 2" xfId="27551" xr:uid="{00000000-0005-0000-0000-000013420000}"/>
    <cellStyle name="Normal 13 7 3 2 4" xfId="14494" xr:uid="{00000000-0005-0000-0000-000014420000}"/>
    <cellStyle name="Normal 13 7 3 2 4 2" xfId="27552" xr:uid="{00000000-0005-0000-0000-000015420000}"/>
    <cellStyle name="Normal 13 7 3 2 5" xfId="22572" xr:uid="{00000000-0005-0000-0000-000016420000}"/>
    <cellStyle name="Normal 13 7 3 3" xfId="10280" xr:uid="{00000000-0005-0000-0000-000017420000}"/>
    <cellStyle name="Normal 13 7 3 3 2" xfId="14495" xr:uid="{00000000-0005-0000-0000-000018420000}"/>
    <cellStyle name="Normal 13 7 3 3 2 2" xfId="27553" xr:uid="{00000000-0005-0000-0000-000019420000}"/>
    <cellStyle name="Normal 13 7 3 3 3" xfId="14496" xr:uid="{00000000-0005-0000-0000-00001A420000}"/>
    <cellStyle name="Normal 13 7 3 3 3 2" xfId="27554" xr:uid="{00000000-0005-0000-0000-00001B420000}"/>
    <cellStyle name="Normal 13 7 3 3 4" xfId="23650" xr:uid="{00000000-0005-0000-0000-00001C420000}"/>
    <cellStyle name="Normal 13 7 3 4" xfId="14497" xr:uid="{00000000-0005-0000-0000-00001D420000}"/>
    <cellStyle name="Normal 13 7 3 4 2" xfId="27555" xr:uid="{00000000-0005-0000-0000-00001E420000}"/>
    <cellStyle name="Normal 13 7 3 5" xfId="14498" xr:uid="{00000000-0005-0000-0000-00001F420000}"/>
    <cellStyle name="Normal 13 7 3 5 2" xfId="27556" xr:uid="{00000000-0005-0000-0000-000020420000}"/>
    <cellStyle name="Normal 13 7 3 6" xfId="21494" xr:uid="{00000000-0005-0000-0000-000021420000}"/>
    <cellStyle name="Normal 13 7 4" xfId="8352" xr:uid="{00000000-0005-0000-0000-000022420000}"/>
    <cellStyle name="Normal 13 7 4 2" xfId="10818" xr:uid="{00000000-0005-0000-0000-000023420000}"/>
    <cellStyle name="Normal 13 7 4 2 2" xfId="14499" xr:uid="{00000000-0005-0000-0000-000024420000}"/>
    <cellStyle name="Normal 13 7 4 2 2 2" xfId="27557" xr:uid="{00000000-0005-0000-0000-000025420000}"/>
    <cellStyle name="Normal 13 7 4 2 3" xfId="14500" xr:uid="{00000000-0005-0000-0000-000026420000}"/>
    <cellStyle name="Normal 13 7 4 2 3 2" xfId="27558" xr:uid="{00000000-0005-0000-0000-000027420000}"/>
    <cellStyle name="Normal 13 7 4 2 4" xfId="24188" xr:uid="{00000000-0005-0000-0000-000028420000}"/>
    <cellStyle name="Normal 13 7 4 3" xfId="14501" xr:uid="{00000000-0005-0000-0000-000029420000}"/>
    <cellStyle name="Normal 13 7 4 3 2" xfId="27559" xr:uid="{00000000-0005-0000-0000-00002A420000}"/>
    <cellStyle name="Normal 13 7 4 4" xfId="14502" xr:uid="{00000000-0005-0000-0000-00002B420000}"/>
    <cellStyle name="Normal 13 7 4 4 2" xfId="27560" xr:uid="{00000000-0005-0000-0000-00002C420000}"/>
    <cellStyle name="Normal 13 7 4 5" xfId="22032" xr:uid="{00000000-0005-0000-0000-00002D420000}"/>
    <cellStyle name="Normal 13 7 5" xfId="9740" xr:uid="{00000000-0005-0000-0000-00002E420000}"/>
    <cellStyle name="Normal 13 7 5 2" xfId="14503" xr:uid="{00000000-0005-0000-0000-00002F420000}"/>
    <cellStyle name="Normal 13 7 5 2 2" xfId="27561" xr:uid="{00000000-0005-0000-0000-000030420000}"/>
    <cellStyle name="Normal 13 7 5 3" xfId="14504" xr:uid="{00000000-0005-0000-0000-000031420000}"/>
    <cellStyle name="Normal 13 7 5 3 2" xfId="27562" xr:uid="{00000000-0005-0000-0000-000032420000}"/>
    <cellStyle name="Normal 13 7 5 4" xfId="23110" xr:uid="{00000000-0005-0000-0000-000033420000}"/>
    <cellStyle name="Normal 13 7 6" xfId="14505" xr:uid="{00000000-0005-0000-0000-000034420000}"/>
    <cellStyle name="Normal 13 7 6 2" xfId="27563" xr:uid="{00000000-0005-0000-0000-000035420000}"/>
    <cellStyle name="Normal 13 7 7" xfId="14506" xr:uid="{00000000-0005-0000-0000-000036420000}"/>
    <cellStyle name="Normal 13 7 7 2" xfId="27564" xr:uid="{00000000-0005-0000-0000-000037420000}"/>
    <cellStyle name="Normal 13 7 8" xfId="20954" xr:uid="{00000000-0005-0000-0000-000038420000}"/>
    <cellStyle name="Normal 13 8" xfId="6516" xr:uid="{00000000-0005-0000-0000-000039420000}"/>
    <cellStyle name="Normal 13 8 2" xfId="7241" xr:uid="{00000000-0005-0000-0000-00003A420000}"/>
    <cellStyle name="Normal 13 8 2 2" xfId="9120" xr:uid="{00000000-0005-0000-0000-00003B420000}"/>
    <cellStyle name="Normal 13 8 2 2 2" xfId="11499" xr:uid="{00000000-0005-0000-0000-00003C420000}"/>
    <cellStyle name="Normal 13 8 2 2 2 2" xfId="14507" xr:uid="{00000000-0005-0000-0000-00003D420000}"/>
    <cellStyle name="Normal 13 8 2 2 2 2 2" xfId="27565" xr:uid="{00000000-0005-0000-0000-00003E420000}"/>
    <cellStyle name="Normal 13 8 2 2 2 3" xfId="14508" xr:uid="{00000000-0005-0000-0000-00003F420000}"/>
    <cellStyle name="Normal 13 8 2 2 2 3 2" xfId="27566" xr:uid="{00000000-0005-0000-0000-000040420000}"/>
    <cellStyle name="Normal 13 8 2 2 2 4" xfId="24869" xr:uid="{00000000-0005-0000-0000-000041420000}"/>
    <cellStyle name="Normal 13 8 2 2 3" xfId="14509" xr:uid="{00000000-0005-0000-0000-000042420000}"/>
    <cellStyle name="Normal 13 8 2 2 3 2" xfId="27567" xr:uid="{00000000-0005-0000-0000-000043420000}"/>
    <cellStyle name="Normal 13 8 2 2 4" xfId="14510" xr:uid="{00000000-0005-0000-0000-000044420000}"/>
    <cellStyle name="Normal 13 8 2 2 4 2" xfId="27568" xr:uid="{00000000-0005-0000-0000-000045420000}"/>
    <cellStyle name="Normal 13 8 2 2 5" xfId="22713" xr:uid="{00000000-0005-0000-0000-000046420000}"/>
    <cellStyle name="Normal 13 8 2 3" xfId="10421" xr:uid="{00000000-0005-0000-0000-000047420000}"/>
    <cellStyle name="Normal 13 8 2 3 2" xfId="14511" xr:uid="{00000000-0005-0000-0000-000048420000}"/>
    <cellStyle name="Normal 13 8 2 3 2 2" xfId="27569" xr:uid="{00000000-0005-0000-0000-000049420000}"/>
    <cellStyle name="Normal 13 8 2 3 3" xfId="14512" xr:uid="{00000000-0005-0000-0000-00004A420000}"/>
    <cellStyle name="Normal 13 8 2 3 3 2" xfId="27570" xr:uid="{00000000-0005-0000-0000-00004B420000}"/>
    <cellStyle name="Normal 13 8 2 3 4" xfId="23791" xr:uid="{00000000-0005-0000-0000-00004C420000}"/>
    <cellStyle name="Normal 13 8 2 4" xfId="14513" xr:uid="{00000000-0005-0000-0000-00004D420000}"/>
    <cellStyle name="Normal 13 8 2 4 2" xfId="27571" xr:uid="{00000000-0005-0000-0000-00004E420000}"/>
    <cellStyle name="Normal 13 8 2 5" xfId="14514" xr:uid="{00000000-0005-0000-0000-00004F420000}"/>
    <cellStyle name="Normal 13 8 2 5 2" xfId="27572" xr:uid="{00000000-0005-0000-0000-000050420000}"/>
    <cellStyle name="Normal 13 8 2 6" xfId="21635" xr:uid="{00000000-0005-0000-0000-000051420000}"/>
    <cellStyle name="Normal 13 8 3" xfId="8572" xr:uid="{00000000-0005-0000-0000-000052420000}"/>
    <cellStyle name="Normal 13 8 3 2" xfId="10959" xr:uid="{00000000-0005-0000-0000-000053420000}"/>
    <cellStyle name="Normal 13 8 3 2 2" xfId="14515" xr:uid="{00000000-0005-0000-0000-000054420000}"/>
    <cellStyle name="Normal 13 8 3 2 2 2" xfId="27573" xr:uid="{00000000-0005-0000-0000-000055420000}"/>
    <cellStyle name="Normal 13 8 3 2 3" xfId="14516" xr:uid="{00000000-0005-0000-0000-000056420000}"/>
    <cellStyle name="Normal 13 8 3 2 3 2" xfId="27574" xr:uid="{00000000-0005-0000-0000-000057420000}"/>
    <cellStyle name="Normal 13 8 3 2 4" xfId="24329" xr:uid="{00000000-0005-0000-0000-000058420000}"/>
    <cellStyle name="Normal 13 8 3 3" xfId="14517" xr:uid="{00000000-0005-0000-0000-000059420000}"/>
    <cellStyle name="Normal 13 8 3 3 2" xfId="27575" xr:uid="{00000000-0005-0000-0000-00005A420000}"/>
    <cellStyle name="Normal 13 8 3 4" xfId="14518" xr:uid="{00000000-0005-0000-0000-00005B420000}"/>
    <cellStyle name="Normal 13 8 3 4 2" xfId="27576" xr:uid="{00000000-0005-0000-0000-00005C420000}"/>
    <cellStyle name="Normal 13 8 3 5" xfId="22173" xr:uid="{00000000-0005-0000-0000-00005D420000}"/>
    <cellStyle name="Normal 13 8 4" xfId="9881" xr:uid="{00000000-0005-0000-0000-00005E420000}"/>
    <cellStyle name="Normal 13 8 4 2" xfId="14519" xr:uid="{00000000-0005-0000-0000-00005F420000}"/>
    <cellStyle name="Normal 13 8 4 2 2" xfId="27577" xr:uid="{00000000-0005-0000-0000-000060420000}"/>
    <cellStyle name="Normal 13 8 4 3" xfId="14520" xr:uid="{00000000-0005-0000-0000-000061420000}"/>
    <cellStyle name="Normal 13 8 4 3 2" xfId="27578" xr:uid="{00000000-0005-0000-0000-000062420000}"/>
    <cellStyle name="Normal 13 8 4 4" xfId="23251" xr:uid="{00000000-0005-0000-0000-000063420000}"/>
    <cellStyle name="Normal 13 8 5" xfId="14521" xr:uid="{00000000-0005-0000-0000-000064420000}"/>
    <cellStyle name="Normal 13 8 5 2" xfId="27579" xr:uid="{00000000-0005-0000-0000-000065420000}"/>
    <cellStyle name="Normal 13 8 6" xfId="14522" xr:uid="{00000000-0005-0000-0000-000066420000}"/>
    <cellStyle name="Normal 13 8 6 2" xfId="27580" xr:uid="{00000000-0005-0000-0000-000067420000}"/>
    <cellStyle name="Normal 13 8 7" xfId="21095" xr:uid="{00000000-0005-0000-0000-000068420000}"/>
    <cellStyle name="Normal 13 9" xfId="6971" xr:uid="{00000000-0005-0000-0000-000069420000}"/>
    <cellStyle name="Normal 13 9 2" xfId="8851" xr:uid="{00000000-0005-0000-0000-00006A420000}"/>
    <cellStyle name="Normal 13 9 2 2" xfId="11230" xr:uid="{00000000-0005-0000-0000-00006B420000}"/>
    <cellStyle name="Normal 13 9 2 2 2" xfId="14523" xr:uid="{00000000-0005-0000-0000-00006C420000}"/>
    <cellStyle name="Normal 13 9 2 2 2 2" xfId="27581" xr:uid="{00000000-0005-0000-0000-00006D420000}"/>
    <cellStyle name="Normal 13 9 2 2 3" xfId="14524" xr:uid="{00000000-0005-0000-0000-00006E420000}"/>
    <cellStyle name="Normal 13 9 2 2 3 2" xfId="27582" xr:uid="{00000000-0005-0000-0000-00006F420000}"/>
    <cellStyle name="Normal 13 9 2 2 4" xfId="24600" xr:uid="{00000000-0005-0000-0000-000070420000}"/>
    <cellStyle name="Normal 13 9 2 3" xfId="14525" xr:uid="{00000000-0005-0000-0000-000071420000}"/>
    <cellStyle name="Normal 13 9 2 3 2" xfId="27583" xr:uid="{00000000-0005-0000-0000-000072420000}"/>
    <cellStyle name="Normal 13 9 2 4" xfId="14526" xr:uid="{00000000-0005-0000-0000-000073420000}"/>
    <cellStyle name="Normal 13 9 2 4 2" xfId="27584" xr:uid="{00000000-0005-0000-0000-000074420000}"/>
    <cellStyle name="Normal 13 9 2 5" xfId="22444" xr:uid="{00000000-0005-0000-0000-000075420000}"/>
    <cellStyle name="Normal 13 9 3" xfId="10152" xr:uid="{00000000-0005-0000-0000-000076420000}"/>
    <cellStyle name="Normal 13 9 3 2" xfId="14527" xr:uid="{00000000-0005-0000-0000-000077420000}"/>
    <cellStyle name="Normal 13 9 3 2 2" xfId="27585" xr:uid="{00000000-0005-0000-0000-000078420000}"/>
    <cellStyle name="Normal 13 9 3 3" xfId="14528" xr:uid="{00000000-0005-0000-0000-000079420000}"/>
    <cellStyle name="Normal 13 9 3 3 2" xfId="27586" xr:uid="{00000000-0005-0000-0000-00007A420000}"/>
    <cellStyle name="Normal 13 9 3 4" xfId="23522" xr:uid="{00000000-0005-0000-0000-00007B420000}"/>
    <cellStyle name="Normal 13 9 4" xfId="14529" xr:uid="{00000000-0005-0000-0000-00007C420000}"/>
    <cellStyle name="Normal 13 9 4 2" xfId="27587" xr:uid="{00000000-0005-0000-0000-00007D420000}"/>
    <cellStyle name="Normal 13 9 5" xfId="14530" xr:uid="{00000000-0005-0000-0000-00007E420000}"/>
    <cellStyle name="Normal 13 9 5 2" xfId="27588" xr:uid="{00000000-0005-0000-0000-00007F420000}"/>
    <cellStyle name="Normal 13 9 6" xfId="21366" xr:uid="{00000000-0005-0000-0000-000080420000}"/>
    <cellStyle name="Normal 130" xfId="11799" xr:uid="{00000000-0005-0000-0000-000081420000}"/>
    <cellStyle name="Normal 131" xfId="20722" xr:uid="{00000000-0005-0000-0000-000082420000}"/>
    <cellStyle name="Normal 132" xfId="33765" xr:uid="{00000000-0005-0000-0000-000083420000}"/>
    <cellStyle name="Normal 133" xfId="33766" xr:uid="{00000000-0005-0000-0000-000084420000}"/>
    <cellStyle name="Normal 134" xfId="33767" xr:uid="{00000000-0005-0000-0000-000085420000}"/>
    <cellStyle name="Normal 135" xfId="33768" xr:uid="{00000000-0005-0000-0000-000086420000}"/>
    <cellStyle name="Normal 136" xfId="33769" xr:uid="{00000000-0005-0000-0000-000087420000}"/>
    <cellStyle name="Normal 137" xfId="33770" xr:uid="{00000000-0005-0000-0000-000088420000}"/>
    <cellStyle name="Normal 138" xfId="33773" xr:uid="{00000000-0005-0000-0000-000089420000}"/>
    <cellStyle name="Normal 139" xfId="33775" xr:uid="{00000000-0005-0000-0000-00008A420000}"/>
    <cellStyle name="Normal 14" xfId="2284" xr:uid="{00000000-0005-0000-0000-00008B420000}"/>
    <cellStyle name="Normal 14 10" xfId="14531" xr:uid="{00000000-0005-0000-0000-00008C420000}"/>
    <cellStyle name="Normal 14 10 2" xfId="27589" xr:uid="{00000000-0005-0000-0000-00008D420000}"/>
    <cellStyle name="Normal 14 11" xfId="14532" xr:uid="{00000000-0005-0000-0000-00008E420000}"/>
    <cellStyle name="Normal 14 11 2" xfId="27590" xr:uid="{00000000-0005-0000-0000-00008F420000}"/>
    <cellStyle name="Normal 14 12" xfId="20826" xr:uid="{00000000-0005-0000-0000-000090420000}"/>
    <cellStyle name="Normal 14 2" xfId="3542" xr:uid="{00000000-0005-0000-0000-000091420000}"/>
    <cellStyle name="Normal 14 2 10" xfId="20841" xr:uid="{00000000-0005-0000-0000-000092420000}"/>
    <cellStyle name="Normal 14 2 2" xfId="4079" xr:uid="{00000000-0005-0000-0000-000093420000}"/>
    <cellStyle name="Normal 14 2 2 2" xfId="5615" xr:uid="{00000000-0005-0000-0000-000094420000}"/>
    <cellStyle name="Normal 14 2 2 2 2" xfId="6767" xr:uid="{00000000-0005-0000-0000-000095420000}"/>
    <cellStyle name="Normal 14 2 2 2 2 2" xfId="7454" xr:uid="{00000000-0005-0000-0000-000096420000}"/>
    <cellStyle name="Normal 14 2 2 2 2 2 2" xfId="9333" xr:uid="{00000000-0005-0000-0000-000097420000}"/>
    <cellStyle name="Normal 14 2 2 2 2 2 2 2" xfId="11712" xr:uid="{00000000-0005-0000-0000-000098420000}"/>
    <cellStyle name="Normal 14 2 2 2 2 2 2 2 2" xfId="14533" xr:uid="{00000000-0005-0000-0000-000099420000}"/>
    <cellStyle name="Normal 14 2 2 2 2 2 2 2 2 2" xfId="27591" xr:uid="{00000000-0005-0000-0000-00009A420000}"/>
    <cellStyle name="Normal 14 2 2 2 2 2 2 2 3" xfId="14534" xr:uid="{00000000-0005-0000-0000-00009B420000}"/>
    <cellStyle name="Normal 14 2 2 2 2 2 2 2 3 2" xfId="27592" xr:uid="{00000000-0005-0000-0000-00009C420000}"/>
    <cellStyle name="Normal 14 2 2 2 2 2 2 2 4" xfId="25082" xr:uid="{00000000-0005-0000-0000-00009D420000}"/>
    <cellStyle name="Normal 14 2 2 2 2 2 2 3" xfId="14535" xr:uid="{00000000-0005-0000-0000-00009E420000}"/>
    <cellStyle name="Normal 14 2 2 2 2 2 2 3 2" xfId="27593" xr:uid="{00000000-0005-0000-0000-00009F420000}"/>
    <cellStyle name="Normal 14 2 2 2 2 2 2 4" xfId="14536" xr:uid="{00000000-0005-0000-0000-0000A0420000}"/>
    <cellStyle name="Normal 14 2 2 2 2 2 2 4 2" xfId="27594" xr:uid="{00000000-0005-0000-0000-0000A1420000}"/>
    <cellStyle name="Normal 14 2 2 2 2 2 2 5" xfId="22926" xr:uid="{00000000-0005-0000-0000-0000A2420000}"/>
    <cellStyle name="Normal 14 2 2 2 2 2 3" xfId="10634" xr:uid="{00000000-0005-0000-0000-0000A3420000}"/>
    <cellStyle name="Normal 14 2 2 2 2 2 3 2" xfId="14537" xr:uid="{00000000-0005-0000-0000-0000A4420000}"/>
    <cellStyle name="Normal 14 2 2 2 2 2 3 2 2" xfId="27595" xr:uid="{00000000-0005-0000-0000-0000A5420000}"/>
    <cellStyle name="Normal 14 2 2 2 2 2 3 3" xfId="14538" xr:uid="{00000000-0005-0000-0000-0000A6420000}"/>
    <cellStyle name="Normal 14 2 2 2 2 2 3 3 2" xfId="27596" xr:uid="{00000000-0005-0000-0000-0000A7420000}"/>
    <cellStyle name="Normal 14 2 2 2 2 2 3 4" xfId="24004" xr:uid="{00000000-0005-0000-0000-0000A8420000}"/>
    <cellStyle name="Normal 14 2 2 2 2 2 4" xfId="14539" xr:uid="{00000000-0005-0000-0000-0000A9420000}"/>
    <cellStyle name="Normal 14 2 2 2 2 2 4 2" xfId="27597" xr:uid="{00000000-0005-0000-0000-0000AA420000}"/>
    <cellStyle name="Normal 14 2 2 2 2 2 5" xfId="14540" xr:uid="{00000000-0005-0000-0000-0000AB420000}"/>
    <cellStyle name="Normal 14 2 2 2 2 2 5 2" xfId="27598" xr:uid="{00000000-0005-0000-0000-0000AC420000}"/>
    <cellStyle name="Normal 14 2 2 2 2 2 6" xfId="21848" xr:uid="{00000000-0005-0000-0000-0000AD420000}"/>
    <cellStyle name="Normal 14 2 2 2 2 3" xfId="8787" xr:uid="{00000000-0005-0000-0000-0000AE420000}"/>
    <cellStyle name="Normal 14 2 2 2 2 3 2" xfId="11172" xr:uid="{00000000-0005-0000-0000-0000AF420000}"/>
    <cellStyle name="Normal 14 2 2 2 2 3 2 2" xfId="14541" xr:uid="{00000000-0005-0000-0000-0000B0420000}"/>
    <cellStyle name="Normal 14 2 2 2 2 3 2 2 2" xfId="27599" xr:uid="{00000000-0005-0000-0000-0000B1420000}"/>
    <cellStyle name="Normal 14 2 2 2 2 3 2 3" xfId="14542" xr:uid="{00000000-0005-0000-0000-0000B2420000}"/>
    <cellStyle name="Normal 14 2 2 2 2 3 2 3 2" xfId="27600" xr:uid="{00000000-0005-0000-0000-0000B3420000}"/>
    <cellStyle name="Normal 14 2 2 2 2 3 2 4" xfId="24542" xr:uid="{00000000-0005-0000-0000-0000B4420000}"/>
    <cellStyle name="Normal 14 2 2 2 2 3 3" xfId="14543" xr:uid="{00000000-0005-0000-0000-0000B5420000}"/>
    <cellStyle name="Normal 14 2 2 2 2 3 3 2" xfId="27601" xr:uid="{00000000-0005-0000-0000-0000B6420000}"/>
    <cellStyle name="Normal 14 2 2 2 2 3 4" xfId="14544" xr:uid="{00000000-0005-0000-0000-0000B7420000}"/>
    <cellStyle name="Normal 14 2 2 2 2 3 4 2" xfId="27602" xr:uid="{00000000-0005-0000-0000-0000B8420000}"/>
    <cellStyle name="Normal 14 2 2 2 2 3 5" xfId="22386" xr:uid="{00000000-0005-0000-0000-0000B9420000}"/>
    <cellStyle name="Normal 14 2 2 2 2 4" xfId="10094" xr:uid="{00000000-0005-0000-0000-0000BA420000}"/>
    <cellStyle name="Normal 14 2 2 2 2 4 2" xfId="14545" xr:uid="{00000000-0005-0000-0000-0000BB420000}"/>
    <cellStyle name="Normal 14 2 2 2 2 4 2 2" xfId="27603" xr:uid="{00000000-0005-0000-0000-0000BC420000}"/>
    <cellStyle name="Normal 14 2 2 2 2 4 3" xfId="14546" xr:uid="{00000000-0005-0000-0000-0000BD420000}"/>
    <cellStyle name="Normal 14 2 2 2 2 4 3 2" xfId="27604" xr:uid="{00000000-0005-0000-0000-0000BE420000}"/>
    <cellStyle name="Normal 14 2 2 2 2 4 4" xfId="23464" xr:uid="{00000000-0005-0000-0000-0000BF420000}"/>
    <cellStyle name="Normal 14 2 2 2 2 5" xfId="14547" xr:uid="{00000000-0005-0000-0000-0000C0420000}"/>
    <cellStyle name="Normal 14 2 2 2 2 5 2" xfId="27605" xr:uid="{00000000-0005-0000-0000-0000C1420000}"/>
    <cellStyle name="Normal 14 2 2 2 2 6" xfId="14548" xr:uid="{00000000-0005-0000-0000-0000C2420000}"/>
    <cellStyle name="Normal 14 2 2 2 2 6 2" xfId="27606" xr:uid="{00000000-0005-0000-0000-0000C3420000}"/>
    <cellStyle name="Normal 14 2 2 2 2 7" xfId="21308" xr:uid="{00000000-0005-0000-0000-0000C4420000}"/>
    <cellStyle name="Normal 14 2 2 2 3" xfId="7185" xr:uid="{00000000-0005-0000-0000-0000C5420000}"/>
    <cellStyle name="Normal 14 2 2 2 3 2" xfId="9064" xr:uid="{00000000-0005-0000-0000-0000C6420000}"/>
    <cellStyle name="Normal 14 2 2 2 3 2 2" xfId="11443" xr:uid="{00000000-0005-0000-0000-0000C7420000}"/>
    <cellStyle name="Normal 14 2 2 2 3 2 2 2" xfId="14549" xr:uid="{00000000-0005-0000-0000-0000C8420000}"/>
    <cellStyle name="Normal 14 2 2 2 3 2 2 2 2" xfId="27607" xr:uid="{00000000-0005-0000-0000-0000C9420000}"/>
    <cellStyle name="Normal 14 2 2 2 3 2 2 3" xfId="14550" xr:uid="{00000000-0005-0000-0000-0000CA420000}"/>
    <cellStyle name="Normal 14 2 2 2 3 2 2 3 2" xfId="27608" xr:uid="{00000000-0005-0000-0000-0000CB420000}"/>
    <cellStyle name="Normal 14 2 2 2 3 2 2 4" xfId="24813" xr:uid="{00000000-0005-0000-0000-0000CC420000}"/>
    <cellStyle name="Normal 14 2 2 2 3 2 3" xfId="14551" xr:uid="{00000000-0005-0000-0000-0000CD420000}"/>
    <cellStyle name="Normal 14 2 2 2 3 2 3 2" xfId="27609" xr:uid="{00000000-0005-0000-0000-0000CE420000}"/>
    <cellStyle name="Normal 14 2 2 2 3 2 4" xfId="14552" xr:uid="{00000000-0005-0000-0000-0000CF420000}"/>
    <cellStyle name="Normal 14 2 2 2 3 2 4 2" xfId="27610" xr:uid="{00000000-0005-0000-0000-0000D0420000}"/>
    <cellStyle name="Normal 14 2 2 2 3 2 5" xfId="22657" xr:uid="{00000000-0005-0000-0000-0000D1420000}"/>
    <cellStyle name="Normal 14 2 2 2 3 3" xfId="10365" xr:uid="{00000000-0005-0000-0000-0000D2420000}"/>
    <cellStyle name="Normal 14 2 2 2 3 3 2" xfId="14553" xr:uid="{00000000-0005-0000-0000-0000D3420000}"/>
    <cellStyle name="Normal 14 2 2 2 3 3 2 2" xfId="27611" xr:uid="{00000000-0005-0000-0000-0000D4420000}"/>
    <cellStyle name="Normal 14 2 2 2 3 3 3" xfId="14554" xr:uid="{00000000-0005-0000-0000-0000D5420000}"/>
    <cellStyle name="Normal 14 2 2 2 3 3 3 2" xfId="27612" xr:uid="{00000000-0005-0000-0000-0000D6420000}"/>
    <cellStyle name="Normal 14 2 2 2 3 3 4" xfId="23735" xr:uid="{00000000-0005-0000-0000-0000D7420000}"/>
    <cellStyle name="Normal 14 2 2 2 3 4" xfId="14555" xr:uid="{00000000-0005-0000-0000-0000D8420000}"/>
    <cellStyle name="Normal 14 2 2 2 3 4 2" xfId="27613" xr:uid="{00000000-0005-0000-0000-0000D9420000}"/>
    <cellStyle name="Normal 14 2 2 2 3 5" xfId="14556" xr:uid="{00000000-0005-0000-0000-0000DA420000}"/>
    <cellStyle name="Normal 14 2 2 2 3 5 2" xfId="27614" xr:uid="{00000000-0005-0000-0000-0000DB420000}"/>
    <cellStyle name="Normal 14 2 2 2 3 6" xfId="21579" xr:uid="{00000000-0005-0000-0000-0000DC420000}"/>
    <cellStyle name="Normal 14 2 2 2 4" xfId="8462" xr:uid="{00000000-0005-0000-0000-0000DD420000}"/>
    <cellStyle name="Normal 14 2 2 2 4 2" xfId="10903" xr:uid="{00000000-0005-0000-0000-0000DE420000}"/>
    <cellStyle name="Normal 14 2 2 2 4 2 2" xfId="14557" xr:uid="{00000000-0005-0000-0000-0000DF420000}"/>
    <cellStyle name="Normal 14 2 2 2 4 2 2 2" xfId="27615" xr:uid="{00000000-0005-0000-0000-0000E0420000}"/>
    <cellStyle name="Normal 14 2 2 2 4 2 3" xfId="14558" xr:uid="{00000000-0005-0000-0000-0000E1420000}"/>
    <cellStyle name="Normal 14 2 2 2 4 2 3 2" xfId="27616" xr:uid="{00000000-0005-0000-0000-0000E2420000}"/>
    <cellStyle name="Normal 14 2 2 2 4 2 4" xfId="24273" xr:uid="{00000000-0005-0000-0000-0000E3420000}"/>
    <cellStyle name="Normal 14 2 2 2 4 3" xfId="14559" xr:uid="{00000000-0005-0000-0000-0000E4420000}"/>
    <cellStyle name="Normal 14 2 2 2 4 3 2" xfId="27617" xr:uid="{00000000-0005-0000-0000-0000E5420000}"/>
    <cellStyle name="Normal 14 2 2 2 4 4" xfId="14560" xr:uid="{00000000-0005-0000-0000-0000E6420000}"/>
    <cellStyle name="Normal 14 2 2 2 4 4 2" xfId="27618" xr:uid="{00000000-0005-0000-0000-0000E7420000}"/>
    <cellStyle name="Normal 14 2 2 2 4 5" xfId="22117" xr:uid="{00000000-0005-0000-0000-0000E8420000}"/>
    <cellStyle name="Normal 14 2 2 2 5" xfId="9825" xr:uid="{00000000-0005-0000-0000-0000E9420000}"/>
    <cellStyle name="Normal 14 2 2 2 5 2" xfId="14561" xr:uid="{00000000-0005-0000-0000-0000EA420000}"/>
    <cellStyle name="Normal 14 2 2 2 5 2 2" xfId="27619" xr:uid="{00000000-0005-0000-0000-0000EB420000}"/>
    <cellStyle name="Normal 14 2 2 2 5 3" xfId="14562" xr:uid="{00000000-0005-0000-0000-0000EC420000}"/>
    <cellStyle name="Normal 14 2 2 2 5 3 2" xfId="27620" xr:uid="{00000000-0005-0000-0000-0000ED420000}"/>
    <cellStyle name="Normal 14 2 2 2 5 4" xfId="23195" xr:uid="{00000000-0005-0000-0000-0000EE420000}"/>
    <cellStyle name="Normal 14 2 2 2 6" xfId="14563" xr:uid="{00000000-0005-0000-0000-0000EF420000}"/>
    <cellStyle name="Normal 14 2 2 2 6 2" xfId="27621" xr:uid="{00000000-0005-0000-0000-0000F0420000}"/>
    <cellStyle name="Normal 14 2 2 2 7" xfId="14564" xr:uid="{00000000-0005-0000-0000-0000F1420000}"/>
    <cellStyle name="Normal 14 2 2 2 7 2" xfId="27622" xr:uid="{00000000-0005-0000-0000-0000F2420000}"/>
    <cellStyle name="Normal 14 2 2 2 8" xfId="21039" xr:uid="{00000000-0005-0000-0000-0000F3420000}"/>
    <cellStyle name="Normal 14 2 2 3" xfId="6616" xr:uid="{00000000-0005-0000-0000-0000F4420000}"/>
    <cellStyle name="Normal 14 2 2 3 2" xfId="7312" xr:uid="{00000000-0005-0000-0000-0000F5420000}"/>
    <cellStyle name="Normal 14 2 2 3 2 2" xfId="9191" xr:uid="{00000000-0005-0000-0000-0000F6420000}"/>
    <cellStyle name="Normal 14 2 2 3 2 2 2" xfId="11570" xr:uid="{00000000-0005-0000-0000-0000F7420000}"/>
    <cellStyle name="Normal 14 2 2 3 2 2 2 2" xfId="14565" xr:uid="{00000000-0005-0000-0000-0000F8420000}"/>
    <cellStyle name="Normal 14 2 2 3 2 2 2 2 2" xfId="27623" xr:uid="{00000000-0005-0000-0000-0000F9420000}"/>
    <cellStyle name="Normal 14 2 2 3 2 2 2 3" xfId="14566" xr:uid="{00000000-0005-0000-0000-0000FA420000}"/>
    <cellStyle name="Normal 14 2 2 3 2 2 2 3 2" xfId="27624" xr:uid="{00000000-0005-0000-0000-0000FB420000}"/>
    <cellStyle name="Normal 14 2 2 3 2 2 2 4" xfId="24940" xr:uid="{00000000-0005-0000-0000-0000FC420000}"/>
    <cellStyle name="Normal 14 2 2 3 2 2 3" xfId="14567" xr:uid="{00000000-0005-0000-0000-0000FD420000}"/>
    <cellStyle name="Normal 14 2 2 3 2 2 3 2" xfId="27625" xr:uid="{00000000-0005-0000-0000-0000FE420000}"/>
    <cellStyle name="Normal 14 2 2 3 2 2 4" xfId="14568" xr:uid="{00000000-0005-0000-0000-0000FF420000}"/>
    <cellStyle name="Normal 14 2 2 3 2 2 4 2" xfId="27626" xr:uid="{00000000-0005-0000-0000-000000430000}"/>
    <cellStyle name="Normal 14 2 2 3 2 2 5" xfId="22784" xr:uid="{00000000-0005-0000-0000-000001430000}"/>
    <cellStyle name="Normal 14 2 2 3 2 3" xfId="10492" xr:uid="{00000000-0005-0000-0000-000002430000}"/>
    <cellStyle name="Normal 14 2 2 3 2 3 2" xfId="14569" xr:uid="{00000000-0005-0000-0000-000003430000}"/>
    <cellStyle name="Normal 14 2 2 3 2 3 2 2" xfId="27627" xr:uid="{00000000-0005-0000-0000-000004430000}"/>
    <cellStyle name="Normal 14 2 2 3 2 3 3" xfId="14570" xr:uid="{00000000-0005-0000-0000-000005430000}"/>
    <cellStyle name="Normal 14 2 2 3 2 3 3 2" xfId="27628" xr:uid="{00000000-0005-0000-0000-000006430000}"/>
    <cellStyle name="Normal 14 2 2 3 2 3 4" xfId="23862" xr:uid="{00000000-0005-0000-0000-000007430000}"/>
    <cellStyle name="Normal 14 2 2 3 2 4" xfId="14571" xr:uid="{00000000-0005-0000-0000-000008430000}"/>
    <cellStyle name="Normal 14 2 2 3 2 4 2" xfId="27629" xr:uid="{00000000-0005-0000-0000-000009430000}"/>
    <cellStyle name="Normal 14 2 2 3 2 5" xfId="14572" xr:uid="{00000000-0005-0000-0000-00000A430000}"/>
    <cellStyle name="Normal 14 2 2 3 2 5 2" xfId="27630" xr:uid="{00000000-0005-0000-0000-00000B430000}"/>
    <cellStyle name="Normal 14 2 2 3 2 6" xfId="21706" xr:uid="{00000000-0005-0000-0000-00000C430000}"/>
    <cellStyle name="Normal 14 2 2 3 3" xfId="8644" xr:uid="{00000000-0005-0000-0000-00000D430000}"/>
    <cellStyle name="Normal 14 2 2 3 3 2" xfId="11030" xr:uid="{00000000-0005-0000-0000-00000E430000}"/>
    <cellStyle name="Normal 14 2 2 3 3 2 2" xfId="14573" xr:uid="{00000000-0005-0000-0000-00000F430000}"/>
    <cellStyle name="Normal 14 2 2 3 3 2 2 2" xfId="27631" xr:uid="{00000000-0005-0000-0000-000010430000}"/>
    <cellStyle name="Normal 14 2 2 3 3 2 3" xfId="14574" xr:uid="{00000000-0005-0000-0000-000011430000}"/>
    <cellStyle name="Normal 14 2 2 3 3 2 3 2" xfId="27632" xr:uid="{00000000-0005-0000-0000-000012430000}"/>
    <cellStyle name="Normal 14 2 2 3 3 2 4" xfId="24400" xr:uid="{00000000-0005-0000-0000-000013430000}"/>
    <cellStyle name="Normal 14 2 2 3 3 3" xfId="14575" xr:uid="{00000000-0005-0000-0000-000014430000}"/>
    <cellStyle name="Normal 14 2 2 3 3 3 2" xfId="27633" xr:uid="{00000000-0005-0000-0000-000015430000}"/>
    <cellStyle name="Normal 14 2 2 3 3 4" xfId="14576" xr:uid="{00000000-0005-0000-0000-000016430000}"/>
    <cellStyle name="Normal 14 2 2 3 3 4 2" xfId="27634" xr:uid="{00000000-0005-0000-0000-000017430000}"/>
    <cellStyle name="Normal 14 2 2 3 3 5" xfId="22244" xr:uid="{00000000-0005-0000-0000-000018430000}"/>
    <cellStyle name="Normal 14 2 2 3 4" xfId="9952" xr:uid="{00000000-0005-0000-0000-000019430000}"/>
    <cellStyle name="Normal 14 2 2 3 4 2" xfId="14577" xr:uid="{00000000-0005-0000-0000-00001A430000}"/>
    <cellStyle name="Normal 14 2 2 3 4 2 2" xfId="27635" xr:uid="{00000000-0005-0000-0000-00001B430000}"/>
    <cellStyle name="Normal 14 2 2 3 4 3" xfId="14578" xr:uid="{00000000-0005-0000-0000-00001C430000}"/>
    <cellStyle name="Normal 14 2 2 3 4 3 2" xfId="27636" xr:uid="{00000000-0005-0000-0000-00001D430000}"/>
    <cellStyle name="Normal 14 2 2 3 4 4" xfId="23322" xr:uid="{00000000-0005-0000-0000-00001E430000}"/>
    <cellStyle name="Normal 14 2 2 3 5" xfId="14579" xr:uid="{00000000-0005-0000-0000-00001F430000}"/>
    <cellStyle name="Normal 14 2 2 3 5 2" xfId="27637" xr:uid="{00000000-0005-0000-0000-000020430000}"/>
    <cellStyle name="Normal 14 2 2 3 6" xfId="14580" xr:uid="{00000000-0005-0000-0000-000021430000}"/>
    <cellStyle name="Normal 14 2 2 3 6 2" xfId="27638" xr:uid="{00000000-0005-0000-0000-000022430000}"/>
    <cellStyle name="Normal 14 2 2 3 7" xfId="21166" xr:uid="{00000000-0005-0000-0000-000023430000}"/>
    <cellStyle name="Normal 14 2 2 4" xfId="7042" xr:uid="{00000000-0005-0000-0000-000024430000}"/>
    <cellStyle name="Normal 14 2 2 4 2" xfId="8922" xr:uid="{00000000-0005-0000-0000-000025430000}"/>
    <cellStyle name="Normal 14 2 2 4 2 2" xfId="11301" xr:uid="{00000000-0005-0000-0000-000026430000}"/>
    <cellStyle name="Normal 14 2 2 4 2 2 2" xfId="14581" xr:uid="{00000000-0005-0000-0000-000027430000}"/>
    <cellStyle name="Normal 14 2 2 4 2 2 2 2" xfId="27639" xr:uid="{00000000-0005-0000-0000-000028430000}"/>
    <cellStyle name="Normal 14 2 2 4 2 2 3" xfId="14582" xr:uid="{00000000-0005-0000-0000-000029430000}"/>
    <cellStyle name="Normal 14 2 2 4 2 2 3 2" xfId="27640" xr:uid="{00000000-0005-0000-0000-00002A430000}"/>
    <cellStyle name="Normal 14 2 2 4 2 2 4" xfId="24671" xr:uid="{00000000-0005-0000-0000-00002B430000}"/>
    <cellStyle name="Normal 14 2 2 4 2 3" xfId="14583" xr:uid="{00000000-0005-0000-0000-00002C430000}"/>
    <cellStyle name="Normal 14 2 2 4 2 3 2" xfId="27641" xr:uid="{00000000-0005-0000-0000-00002D430000}"/>
    <cellStyle name="Normal 14 2 2 4 2 4" xfId="14584" xr:uid="{00000000-0005-0000-0000-00002E430000}"/>
    <cellStyle name="Normal 14 2 2 4 2 4 2" xfId="27642" xr:uid="{00000000-0005-0000-0000-00002F430000}"/>
    <cellStyle name="Normal 14 2 2 4 2 5" xfId="22515" xr:uid="{00000000-0005-0000-0000-000030430000}"/>
    <cellStyle name="Normal 14 2 2 4 3" xfId="10223" xr:uid="{00000000-0005-0000-0000-000031430000}"/>
    <cellStyle name="Normal 14 2 2 4 3 2" xfId="14585" xr:uid="{00000000-0005-0000-0000-000032430000}"/>
    <cellStyle name="Normal 14 2 2 4 3 2 2" xfId="27643" xr:uid="{00000000-0005-0000-0000-000033430000}"/>
    <cellStyle name="Normal 14 2 2 4 3 3" xfId="14586" xr:uid="{00000000-0005-0000-0000-000034430000}"/>
    <cellStyle name="Normal 14 2 2 4 3 3 2" xfId="27644" xr:uid="{00000000-0005-0000-0000-000035430000}"/>
    <cellStyle name="Normal 14 2 2 4 3 4" xfId="23593" xr:uid="{00000000-0005-0000-0000-000036430000}"/>
    <cellStyle name="Normal 14 2 2 4 4" xfId="14587" xr:uid="{00000000-0005-0000-0000-000037430000}"/>
    <cellStyle name="Normal 14 2 2 4 4 2" xfId="27645" xr:uid="{00000000-0005-0000-0000-000038430000}"/>
    <cellStyle name="Normal 14 2 2 4 5" xfId="14588" xr:uid="{00000000-0005-0000-0000-000039430000}"/>
    <cellStyle name="Normal 14 2 2 4 5 2" xfId="27646" xr:uid="{00000000-0005-0000-0000-00003A430000}"/>
    <cellStyle name="Normal 14 2 2 4 6" xfId="21437" xr:uid="{00000000-0005-0000-0000-00003B430000}"/>
    <cellStyle name="Normal 14 2 2 5" xfId="8246" xr:uid="{00000000-0005-0000-0000-00003C430000}"/>
    <cellStyle name="Normal 14 2 2 5 2" xfId="10761" xr:uid="{00000000-0005-0000-0000-00003D430000}"/>
    <cellStyle name="Normal 14 2 2 5 2 2" xfId="14589" xr:uid="{00000000-0005-0000-0000-00003E430000}"/>
    <cellStyle name="Normal 14 2 2 5 2 2 2" xfId="27647" xr:uid="{00000000-0005-0000-0000-00003F430000}"/>
    <cellStyle name="Normal 14 2 2 5 2 3" xfId="14590" xr:uid="{00000000-0005-0000-0000-000040430000}"/>
    <cellStyle name="Normal 14 2 2 5 2 3 2" xfId="27648" xr:uid="{00000000-0005-0000-0000-000041430000}"/>
    <cellStyle name="Normal 14 2 2 5 2 4" xfId="24131" xr:uid="{00000000-0005-0000-0000-000042430000}"/>
    <cellStyle name="Normal 14 2 2 5 3" xfId="14591" xr:uid="{00000000-0005-0000-0000-000043430000}"/>
    <cellStyle name="Normal 14 2 2 5 3 2" xfId="27649" xr:uid="{00000000-0005-0000-0000-000044430000}"/>
    <cellStyle name="Normal 14 2 2 5 4" xfId="14592" xr:uid="{00000000-0005-0000-0000-000045430000}"/>
    <cellStyle name="Normal 14 2 2 5 4 2" xfId="27650" xr:uid="{00000000-0005-0000-0000-000046430000}"/>
    <cellStyle name="Normal 14 2 2 5 5" xfId="21975" xr:uid="{00000000-0005-0000-0000-000047430000}"/>
    <cellStyle name="Normal 14 2 2 6" xfId="9682" xr:uid="{00000000-0005-0000-0000-000048430000}"/>
    <cellStyle name="Normal 14 2 2 6 2" xfId="14593" xr:uid="{00000000-0005-0000-0000-000049430000}"/>
    <cellStyle name="Normal 14 2 2 6 2 2" xfId="27651" xr:uid="{00000000-0005-0000-0000-00004A430000}"/>
    <cellStyle name="Normal 14 2 2 6 3" xfId="14594" xr:uid="{00000000-0005-0000-0000-00004B430000}"/>
    <cellStyle name="Normal 14 2 2 6 3 2" xfId="27652" xr:uid="{00000000-0005-0000-0000-00004C430000}"/>
    <cellStyle name="Normal 14 2 2 6 4" xfId="23053" xr:uid="{00000000-0005-0000-0000-00004D430000}"/>
    <cellStyle name="Normal 14 2 2 7" xfId="14595" xr:uid="{00000000-0005-0000-0000-00004E430000}"/>
    <cellStyle name="Normal 14 2 2 7 2" xfId="27653" xr:uid="{00000000-0005-0000-0000-00004F430000}"/>
    <cellStyle name="Normal 14 2 2 8" xfId="14596" xr:uid="{00000000-0005-0000-0000-000050430000}"/>
    <cellStyle name="Normal 14 2 2 8 2" xfId="27654" xr:uid="{00000000-0005-0000-0000-000051430000}"/>
    <cellStyle name="Normal 14 2 2 9" xfId="20896" xr:uid="{00000000-0005-0000-0000-000052430000}"/>
    <cellStyle name="Normal 14 2 3" xfId="5424" xr:uid="{00000000-0005-0000-0000-000053430000}"/>
    <cellStyle name="Normal 14 2 3 2" xfId="6707" xr:uid="{00000000-0005-0000-0000-000054430000}"/>
    <cellStyle name="Normal 14 2 3 2 2" xfId="7394" xr:uid="{00000000-0005-0000-0000-000055430000}"/>
    <cellStyle name="Normal 14 2 3 2 2 2" xfId="9273" xr:uid="{00000000-0005-0000-0000-000056430000}"/>
    <cellStyle name="Normal 14 2 3 2 2 2 2" xfId="11652" xr:uid="{00000000-0005-0000-0000-000057430000}"/>
    <cellStyle name="Normal 14 2 3 2 2 2 2 2" xfId="14597" xr:uid="{00000000-0005-0000-0000-000058430000}"/>
    <cellStyle name="Normal 14 2 3 2 2 2 2 2 2" xfId="27655" xr:uid="{00000000-0005-0000-0000-000059430000}"/>
    <cellStyle name="Normal 14 2 3 2 2 2 2 3" xfId="14598" xr:uid="{00000000-0005-0000-0000-00005A430000}"/>
    <cellStyle name="Normal 14 2 3 2 2 2 2 3 2" xfId="27656" xr:uid="{00000000-0005-0000-0000-00005B430000}"/>
    <cellStyle name="Normal 14 2 3 2 2 2 2 4" xfId="25022" xr:uid="{00000000-0005-0000-0000-00005C430000}"/>
    <cellStyle name="Normal 14 2 3 2 2 2 3" xfId="14599" xr:uid="{00000000-0005-0000-0000-00005D430000}"/>
    <cellStyle name="Normal 14 2 3 2 2 2 3 2" xfId="27657" xr:uid="{00000000-0005-0000-0000-00005E430000}"/>
    <cellStyle name="Normal 14 2 3 2 2 2 4" xfId="14600" xr:uid="{00000000-0005-0000-0000-00005F430000}"/>
    <cellStyle name="Normal 14 2 3 2 2 2 4 2" xfId="27658" xr:uid="{00000000-0005-0000-0000-000060430000}"/>
    <cellStyle name="Normal 14 2 3 2 2 2 5" xfId="22866" xr:uid="{00000000-0005-0000-0000-000061430000}"/>
    <cellStyle name="Normal 14 2 3 2 2 3" xfId="10574" xr:uid="{00000000-0005-0000-0000-000062430000}"/>
    <cellStyle name="Normal 14 2 3 2 2 3 2" xfId="14601" xr:uid="{00000000-0005-0000-0000-000063430000}"/>
    <cellStyle name="Normal 14 2 3 2 2 3 2 2" xfId="27659" xr:uid="{00000000-0005-0000-0000-000064430000}"/>
    <cellStyle name="Normal 14 2 3 2 2 3 3" xfId="14602" xr:uid="{00000000-0005-0000-0000-000065430000}"/>
    <cellStyle name="Normal 14 2 3 2 2 3 3 2" xfId="27660" xr:uid="{00000000-0005-0000-0000-000066430000}"/>
    <cellStyle name="Normal 14 2 3 2 2 3 4" xfId="23944" xr:uid="{00000000-0005-0000-0000-000067430000}"/>
    <cellStyle name="Normal 14 2 3 2 2 4" xfId="14603" xr:uid="{00000000-0005-0000-0000-000068430000}"/>
    <cellStyle name="Normal 14 2 3 2 2 4 2" xfId="27661" xr:uid="{00000000-0005-0000-0000-000069430000}"/>
    <cellStyle name="Normal 14 2 3 2 2 5" xfId="14604" xr:uid="{00000000-0005-0000-0000-00006A430000}"/>
    <cellStyle name="Normal 14 2 3 2 2 5 2" xfId="27662" xr:uid="{00000000-0005-0000-0000-00006B430000}"/>
    <cellStyle name="Normal 14 2 3 2 2 6" xfId="21788" xr:uid="{00000000-0005-0000-0000-00006C430000}"/>
    <cellStyle name="Normal 14 2 3 2 3" xfId="8727" xr:uid="{00000000-0005-0000-0000-00006D430000}"/>
    <cellStyle name="Normal 14 2 3 2 3 2" xfId="11112" xr:uid="{00000000-0005-0000-0000-00006E430000}"/>
    <cellStyle name="Normal 14 2 3 2 3 2 2" xfId="14605" xr:uid="{00000000-0005-0000-0000-00006F430000}"/>
    <cellStyle name="Normal 14 2 3 2 3 2 2 2" xfId="27663" xr:uid="{00000000-0005-0000-0000-000070430000}"/>
    <cellStyle name="Normal 14 2 3 2 3 2 3" xfId="14606" xr:uid="{00000000-0005-0000-0000-000071430000}"/>
    <cellStyle name="Normal 14 2 3 2 3 2 3 2" xfId="27664" xr:uid="{00000000-0005-0000-0000-000072430000}"/>
    <cellStyle name="Normal 14 2 3 2 3 2 4" xfId="24482" xr:uid="{00000000-0005-0000-0000-000073430000}"/>
    <cellStyle name="Normal 14 2 3 2 3 3" xfId="14607" xr:uid="{00000000-0005-0000-0000-000074430000}"/>
    <cellStyle name="Normal 14 2 3 2 3 3 2" xfId="27665" xr:uid="{00000000-0005-0000-0000-000075430000}"/>
    <cellStyle name="Normal 14 2 3 2 3 4" xfId="14608" xr:uid="{00000000-0005-0000-0000-000076430000}"/>
    <cellStyle name="Normal 14 2 3 2 3 4 2" xfId="27666" xr:uid="{00000000-0005-0000-0000-000077430000}"/>
    <cellStyle name="Normal 14 2 3 2 3 5" xfId="22326" xr:uid="{00000000-0005-0000-0000-000078430000}"/>
    <cellStyle name="Normal 14 2 3 2 4" xfId="10034" xr:uid="{00000000-0005-0000-0000-000079430000}"/>
    <cellStyle name="Normal 14 2 3 2 4 2" xfId="14609" xr:uid="{00000000-0005-0000-0000-00007A430000}"/>
    <cellStyle name="Normal 14 2 3 2 4 2 2" xfId="27667" xr:uid="{00000000-0005-0000-0000-00007B430000}"/>
    <cellStyle name="Normal 14 2 3 2 4 3" xfId="14610" xr:uid="{00000000-0005-0000-0000-00007C430000}"/>
    <cellStyle name="Normal 14 2 3 2 4 3 2" xfId="27668" xr:uid="{00000000-0005-0000-0000-00007D430000}"/>
    <cellStyle name="Normal 14 2 3 2 4 4" xfId="23404" xr:uid="{00000000-0005-0000-0000-00007E430000}"/>
    <cellStyle name="Normal 14 2 3 2 5" xfId="14611" xr:uid="{00000000-0005-0000-0000-00007F430000}"/>
    <cellStyle name="Normal 14 2 3 2 5 2" xfId="27669" xr:uid="{00000000-0005-0000-0000-000080430000}"/>
    <cellStyle name="Normal 14 2 3 2 6" xfId="14612" xr:uid="{00000000-0005-0000-0000-000081430000}"/>
    <cellStyle name="Normal 14 2 3 2 6 2" xfId="27670" xr:uid="{00000000-0005-0000-0000-000082430000}"/>
    <cellStyle name="Normal 14 2 3 2 7" xfId="21248" xr:uid="{00000000-0005-0000-0000-000083430000}"/>
    <cellStyle name="Normal 14 2 3 3" xfId="7125" xr:uid="{00000000-0005-0000-0000-000084430000}"/>
    <cellStyle name="Normal 14 2 3 3 2" xfId="9004" xr:uid="{00000000-0005-0000-0000-000085430000}"/>
    <cellStyle name="Normal 14 2 3 3 2 2" xfId="11383" xr:uid="{00000000-0005-0000-0000-000086430000}"/>
    <cellStyle name="Normal 14 2 3 3 2 2 2" xfId="14613" xr:uid="{00000000-0005-0000-0000-000087430000}"/>
    <cellStyle name="Normal 14 2 3 3 2 2 2 2" xfId="27671" xr:uid="{00000000-0005-0000-0000-000088430000}"/>
    <cellStyle name="Normal 14 2 3 3 2 2 3" xfId="14614" xr:uid="{00000000-0005-0000-0000-000089430000}"/>
    <cellStyle name="Normal 14 2 3 3 2 2 3 2" xfId="27672" xr:uid="{00000000-0005-0000-0000-00008A430000}"/>
    <cellStyle name="Normal 14 2 3 3 2 2 4" xfId="24753" xr:uid="{00000000-0005-0000-0000-00008B430000}"/>
    <cellStyle name="Normal 14 2 3 3 2 3" xfId="14615" xr:uid="{00000000-0005-0000-0000-00008C430000}"/>
    <cellStyle name="Normal 14 2 3 3 2 3 2" xfId="27673" xr:uid="{00000000-0005-0000-0000-00008D430000}"/>
    <cellStyle name="Normal 14 2 3 3 2 4" xfId="14616" xr:uid="{00000000-0005-0000-0000-00008E430000}"/>
    <cellStyle name="Normal 14 2 3 3 2 4 2" xfId="27674" xr:uid="{00000000-0005-0000-0000-00008F430000}"/>
    <cellStyle name="Normal 14 2 3 3 2 5" xfId="22597" xr:uid="{00000000-0005-0000-0000-000090430000}"/>
    <cellStyle name="Normal 14 2 3 3 3" xfId="10305" xr:uid="{00000000-0005-0000-0000-000091430000}"/>
    <cellStyle name="Normal 14 2 3 3 3 2" xfId="14617" xr:uid="{00000000-0005-0000-0000-000092430000}"/>
    <cellStyle name="Normal 14 2 3 3 3 2 2" xfId="27675" xr:uid="{00000000-0005-0000-0000-000093430000}"/>
    <cellStyle name="Normal 14 2 3 3 3 3" xfId="14618" xr:uid="{00000000-0005-0000-0000-000094430000}"/>
    <cellStyle name="Normal 14 2 3 3 3 3 2" xfId="27676" xr:uid="{00000000-0005-0000-0000-000095430000}"/>
    <cellStyle name="Normal 14 2 3 3 3 4" xfId="23675" xr:uid="{00000000-0005-0000-0000-000096430000}"/>
    <cellStyle name="Normal 14 2 3 3 4" xfId="14619" xr:uid="{00000000-0005-0000-0000-000097430000}"/>
    <cellStyle name="Normal 14 2 3 3 4 2" xfId="27677" xr:uid="{00000000-0005-0000-0000-000098430000}"/>
    <cellStyle name="Normal 14 2 3 3 5" xfId="14620" xr:uid="{00000000-0005-0000-0000-000099430000}"/>
    <cellStyle name="Normal 14 2 3 3 5 2" xfId="27678" xr:uid="{00000000-0005-0000-0000-00009A430000}"/>
    <cellStyle name="Normal 14 2 3 3 6" xfId="21519" xr:uid="{00000000-0005-0000-0000-00009B430000}"/>
    <cellStyle name="Normal 14 2 3 4" xfId="8395" xr:uid="{00000000-0005-0000-0000-00009C430000}"/>
    <cellStyle name="Normal 14 2 3 4 2" xfId="10843" xr:uid="{00000000-0005-0000-0000-00009D430000}"/>
    <cellStyle name="Normal 14 2 3 4 2 2" xfId="14621" xr:uid="{00000000-0005-0000-0000-00009E430000}"/>
    <cellStyle name="Normal 14 2 3 4 2 2 2" xfId="27679" xr:uid="{00000000-0005-0000-0000-00009F430000}"/>
    <cellStyle name="Normal 14 2 3 4 2 3" xfId="14622" xr:uid="{00000000-0005-0000-0000-0000A0430000}"/>
    <cellStyle name="Normal 14 2 3 4 2 3 2" xfId="27680" xr:uid="{00000000-0005-0000-0000-0000A1430000}"/>
    <cellStyle name="Normal 14 2 3 4 2 4" xfId="24213" xr:uid="{00000000-0005-0000-0000-0000A2430000}"/>
    <cellStyle name="Normal 14 2 3 4 3" xfId="14623" xr:uid="{00000000-0005-0000-0000-0000A3430000}"/>
    <cellStyle name="Normal 14 2 3 4 3 2" xfId="27681" xr:uid="{00000000-0005-0000-0000-0000A4430000}"/>
    <cellStyle name="Normal 14 2 3 4 4" xfId="14624" xr:uid="{00000000-0005-0000-0000-0000A5430000}"/>
    <cellStyle name="Normal 14 2 3 4 4 2" xfId="27682" xr:uid="{00000000-0005-0000-0000-0000A6430000}"/>
    <cellStyle name="Normal 14 2 3 4 5" xfId="22057" xr:uid="{00000000-0005-0000-0000-0000A7430000}"/>
    <cellStyle name="Normal 14 2 3 5" xfId="9765" xr:uid="{00000000-0005-0000-0000-0000A8430000}"/>
    <cellStyle name="Normal 14 2 3 5 2" xfId="14625" xr:uid="{00000000-0005-0000-0000-0000A9430000}"/>
    <cellStyle name="Normal 14 2 3 5 2 2" xfId="27683" xr:uid="{00000000-0005-0000-0000-0000AA430000}"/>
    <cellStyle name="Normal 14 2 3 5 3" xfId="14626" xr:uid="{00000000-0005-0000-0000-0000AB430000}"/>
    <cellStyle name="Normal 14 2 3 5 3 2" xfId="27684" xr:uid="{00000000-0005-0000-0000-0000AC430000}"/>
    <cellStyle name="Normal 14 2 3 5 4" xfId="23135" xr:uid="{00000000-0005-0000-0000-0000AD430000}"/>
    <cellStyle name="Normal 14 2 3 6" xfId="14627" xr:uid="{00000000-0005-0000-0000-0000AE430000}"/>
    <cellStyle name="Normal 14 2 3 6 2" xfId="27685" xr:uid="{00000000-0005-0000-0000-0000AF430000}"/>
    <cellStyle name="Normal 14 2 3 7" xfId="14628" xr:uid="{00000000-0005-0000-0000-0000B0430000}"/>
    <cellStyle name="Normal 14 2 3 7 2" xfId="27686" xr:uid="{00000000-0005-0000-0000-0000B1430000}"/>
    <cellStyle name="Normal 14 2 3 8" xfId="20979" xr:uid="{00000000-0005-0000-0000-0000B2430000}"/>
    <cellStyle name="Normal 14 2 4" xfId="6556" xr:uid="{00000000-0005-0000-0000-0000B3430000}"/>
    <cellStyle name="Normal 14 2 4 2" xfId="7257" xr:uid="{00000000-0005-0000-0000-0000B4430000}"/>
    <cellStyle name="Normal 14 2 4 2 2" xfId="9136" xr:uid="{00000000-0005-0000-0000-0000B5430000}"/>
    <cellStyle name="Normal 14 2 4 2 2 2" xfId="11515" xr:uid="{00000000-0005-0000-0000-0000B6430000}"/>
    <cellStyle name="Normal 14 2 4 2 2 2 2" xfId="14629" xr:uid="{00000000-0005-0000-0000-0000B7430000}"/>
    <cellStyle name="Normal 14 2 4 2 2 2 2 2" xfId="27687" xr:uid="{00000000-0005-0000-0000-0000B8430000}"/>
    <cellStyle name="Normal 14 2 4 2 2 2 3" xfId="14630" xr:uid="{00000000-0005-0000-0000-0000B9430000}"/>
    <cellStyle name="Normal 14 2 4 2 2 2 3 2" xfId="27688" xr:uid="{00000000-0005-0000-0000-0000BA430000}"/>
    <cellStyle name="Normal 14 2 4 2 2 2 4" xfId="24885" xr:uid="{00000000-0005-0000-0000-0000BB430000}"/>
    <cellStyle name="Normal 14 2 4 2 2 3" xfId="14631" xr:uid="{00000000-0005-0000-0000-0000BC430000}"/>
    <cellStyle name="Normal 14 2 4 2 2 3 2" xfId="27689" xr:uid="{00000000-0005-0000-0000-0000BD430000}"/>
    <cellStyle name="Normal 14 2 4 2 2 4" xfId="14632" xr:uid="{00000000-0005-0000-0000-0000BE430000}"/>
    <cellStyle name="Normal 14 2 4 2 2 4 2" xfId="27690" xr:uid="{00000000-0005-0000-0000-0000BF430000}"/>
    <cellStyle name="Normal 14 2 4 2 2 5" xfId="22729" xr:uid="{00000000-0005-0000-0000-0000C0430000}"/>
    <cellStyle name="Normal 14 2 4 2 3" xfId="10437" xr:uid="{00000000-0005-0000-0000-0000C1430000}"/>
    <cellStyle name="Normal 14 2 4 2 3 2" xfId="14633" xr:uid="{00000000-0005-0000-0000-0000C2430000}"/>
    <cellStyle name="Normal 14 2 4 2 3 2 2" xfId="27691" xr:uid="{00000000-0005-0000-0000-0000C3430000}"/>
    <cellStyle name="Normal 14 2 4 2 3 3" xfId="14634" xr:uid="{00000000-0005-0000-0000-0000C4430000}"/>
    <cellStyle name="Normal 14 2 4 2 3 3 2" xfId="27692" xr:uid="{00000000-0005-0000-0000-0000C5430000}"/>
    <cellStyle name="Normal 14 2 4 2 3 4" xfId="23807" xr:uid="{00000000-0005-0000-0000-0000C6430000}"/>
    <cellStyle name="Normal 14 2 4 2 4" xfId="14635" xr:uid="{00000000-0005-0000-0000-0000C7430000}"/>
    <cellStyle name="Normal 14 2 4 2 4 2" xfId="27693" xr:uid="{00000000-0005-0000-0000-0000C8430000}"/>
    <cellStyle name="Normal 14 2 4 2 5" xfId="14636" xr:uid="{00000000-0005-0000-0000-0000C9430000}"/>
    <cellStyle name="Normal 14 2 4 2 5 2" xfId="27694" xr:uid="{00000000-0005-0000-0000-0000CA430000}"/>
    <cellStyle name="Normal 14 2 4 2 6" xfId="21651" xr:uid="{00000000-0005-0000-0000-0000CB430000}"/>
    <cellStyle name="Normal 14 2 4 3" xfId="8589" xr:uid="{00000000-0005-0000-0000-0000CC430000}"/>
    <cellStyle name="Normal 14 2 4 3 2" xfId="10975" xr:uid="{00000000-0005-0000-0000-0000CD430000}"/>
    <cellStyle name="Normal 14 2 4 3 2 2" xfId="14637" xr:uid="{00000000-0005-0000-0000-0000CE430000}"/>
    <cellStyle name="Normal 14 2 4 3 2 2 2" xfId="27695" xr:uid="{00000000-0005-0000-0000-0000CF430000}"/>
    <cellStyle name="Normal 14 2 4 3 2 3" xfId="14638" xr:uid="{00000000-0005-0000-0000-0000D0430000}"/>
    <cellStyle name="Normal 14 2 4 3 2 3 2" xfId="27696" xr:uid="{00000000-0005-0000-0000-0000D1430000}"/>
    <cellStyle name="Normal 14 2 4 3 2 4" xfId="24345" xr:uid="{00000000-0005-0000-0000-0000D2430000}"/>
    <cellStyle name="Normal 14 2 4 3 3" xfId="14639" xr:uid="{00000000-0005-0000-0000-0000D3430000}"/>
    <cellStyle name="Normal 14 2 4 3 3 2" xfId="27697" xr:uid="{00000000-0005-0000-0000-0000D4430000}"/>
    <cellStyle name="Normal 14 2 4 3 4" xfId="14640" xr:uid="{00000000-0005-0000-0000-0000D5430000}"/>
    <cellStyle name="Normal 14 2 4 3 4 2" xfId="27698" xr:uid="{00000000-0005-0000-0000-0000D6430000}"/>
    <cellStyle name="Normal 14 2 4 3 5" xfId="22189" xr:uid="{00000000-0005-0000-0000-0000D7430000}"/>
    <cellStyle name="Normal 14 2 4 4" xfId="9897" xr:uid="{00000000-0005-0000-0000-0000D8430000}"/>
    <cellStyle name="Normal 14 2 4 4 2" xfId="14641" xr:uid="{00000000-0005-0000-0000-0000D9430000}"/>
    <cellStyle name="Normal 14 2 4 4 2 2" xfId="27699" xr:uid="{00000000-0005-0000-0000-0000DA430000}"/>
    <cellStyle name="Normal 14 2 4 4 3" xfId="14642" xr:uid="{00000000-0005-0000-0000-0000DB430000}"/>
    <cellStyle name="Normal 14 2 4 4 3 2" xfId="27700" xr:uid="{00000000-0005-0000-0000-0000DC430000}"/>
    <cellStyle name="Normal 14 2 4 4 4" xfId="23267" xr:uid="{00000000-0005-0000-0000-0000DD430000}"/>
    <cellStyle name="Normal 14 2 4 5" xfId="14643" xr:uid="{00000000-0005-0000-0000-0000DE430000}"/>
    <cellStyle name="Normal 14 2 4 5 2" xfId="27701" xr:uid="{00000000-0005-0000-0000-0000DF430000}"/>
    <cellStyle name="Normal 14 2 4 6" xfId="14644" xr:uid="{00000000-0005-0000-0000-0000E0430000}"/>
    <cellStyle name="Normal 14 2 4 6 2" xfId="27702" xr:uid="{00000000-0005-0000-0000-0000E1430000}"/>
    <cellStyle name="Normal 14 2 4 7" xfId="21111" xr:uid="{00000000-0005-0000-0000-0000E2430000}"/>
    <cellStyle name="Normal 14 2 5" xfId="6987" xr:uid="{00000000-0005-0000-0000-0000E3430000}"/>
    <cellStyle name="Normal 14 2 5 2" xfId="8867" xr:uid="{00000000-0005-0000-0000-0000E4430000}"/>
    <cellStyle name="Normal 14 2 5 2 2" xfId="11246" xr:uid="{00000000-0005-0000-0000-0000E5430000}"/>
    <cellStyle name="Normal 14 2 5 2 2 2" xfId="14645" xr:uid="{00000000-0005-0000-0000-0000E6430000}"/>
    <cellStyle name="Normal 14 2 5 2 2 2 2" xfId="27703" xr:uid="{00000000-0005-0000-0000-0000E7430000}"/>
    <cellStyle name="Normal 14 2 5 2 2 3" xfId="14646" xr:uid="{00000000-0005-0000-0000-0000E8430000}"/>
    <cellStyle name="Normal 14 2 5 2 2 3 2" xfId="27704" xr:uid="{00000000-0005-0000-0000-0000E9430000}"/>
    <cellStyle name="Normal 14 2 5 2 2 4" xfId="24616" xr:uid="{00000000-0005-0000-0000-0000EA430000}"/>
    <cellStyle name="Normal 14 2 5 2 3" xfId="14647" xr:uid="{00000000-0005-0000-0000-0000EB430000}"/>
    <cellStyle name="Normal 14 2 5 2 3 2" xfId="27705" xr:uid="{00000000-0005-0000-0000-0000EC430000}"/>
    <cellStyle name="Normal 14 2 5 2 4" xfId="14648" xr:uid="{00000000-0005-0000-0000-0000ED430000}"/>
    <cellStyle name="Normal 14 2 5 2 4 2" xfId="27706" xr:uid="{00000000-0005-0000-0000-0000EE430000}"/>
    <cellStyle name="Normal 14 2 5 2 5" xfId="22460" xr:uid="{00000000-0005-0000-0000-0000EF430000}"/>
    <cellStyle name="Normal 14 2 5 3" xfId="10168" xr:uid="{00000000-0005-0000-0000-0000F0430000}"/>
    <cellStyle name="Normal 14 2 5 3 2" xfId="14649" xr:uid="{00000000-0005-0000-0000-0000F1430000}"/>
    <cellStyle name="Normal 14 2 5 3 2 2" xfId="27707" xr:uid="{00000000-0005-0000-0000-0000F2430000}"/>
    <cellStyle name="Normal 14 2 5 3 3" xfId="14650" xr:uid="{00000000-0005-0000-0000-0000F3430000}"/>
    <cellStyle name="Normal 14 2 5 3 3 2" xfId="27708" xr:uid="{00000000-0005-0000-0000-0000F4430000}"/>
    <cellStyle name="Normal 14 2 5 3 4" xfId="23538" xr:uid="{00000000-0005-0000-0000-0000F5430000}"/>
    <cellStyle name="Normal 14 2 5 4" xfId="14651" xr:uid="{00000000-0005-0000-0000-0000F6430000}"/>
    <cellStyle name="Normal 14 2 5 4 2" xfId="27709" xr:uid="{00000000-0005-0000-0000-0000F7430000}"/>
    <cellStyle name="Normal 14 2 5 5" xfId="14652" xr:uid="{00000000-0005-0000-0000-0000F8430000}"/>
    <cellStyle name="Normal 14 2 5 5 2" xfId="27710" xr:uid="{00000000-0005-0000-0000-0000F9430000}"/>
    <cellStyle name="Normal 14 2 5 6" xfId="21382" xr:uid="{00000000-0005-0000-0000-0000FA430000}"/>
    <cellStyle name="Normal 14 2 6" xfId="8164" xr:uid="{00000000-0005-0000-0000-0000FB430000}"/>
    <cellStyle name="Normal 14 2 6 2" xfId="10706" xr:uid="{00000000-0005-0000-0000-0000FC430000}"/>
    <cellStyle name="Normal 14 2 6 2 2" xfId="14653" xr:uid="{00000000-0005-0000-0000-0000FD430000}"/>
    <cellStyle name="Normal 14 2 6 2 2 2" xfId="27711" xr:uid="{00000000-0005-0000-0000-0000FE430000}"/>
    <cellStyle name="Normal 14 2 6 2 3" xfId="14654" xr:uid="{00000000-0005-0000-0000-0000FF430000}"/>
    <cellStyle name="Normal 14 2 6 2 3 2" xfId="27712" xr:uid="{00000000-0005-0000-0000-000000440000}"/>
    <cellStyle name="Normal 14 2 6 2 4" xfId="24076" xr:uid="{00000000-0005-0000-0000-000001440000}"/>
    <cellStyle name="Normal 14 2 6 3" xfId="14655" xr:uid="{00000000-0005-0000-0000-000002440000}"/>
    <cellStyle name="Normal 14 2 6 3 2" xfId="27713" xr:uid="{00000000-0005-0000-0000-000003440000}"/>
    <cellStyle name="Normal 14 2 6 4" xfId="14656" xr:uid="{00000000-0005-0000-0000-000004440000}"/>
    <cellStyle name="Normal 14 2 6 4 2" xfId="27714" xr:uid="{00000000-0005-0000-0000-000005440000}"/>
    <cellStyle name="Normal 14 2 6 5" xfId="21920" xr:uid="{00000000-0005-0000-0000-000006440000}"/>
    <cellStyle name="Normal 14 2 7" xfId="9627" xr:uid="{00000000-0005-0000-0000-000007440000}"/>
    <cellStyle name="Normal 14 2 7 2" xfId="14657" xr:uid="{00000000-0005-0000-0000-000008440000}"/>
    <cellStyle name="Normal 14 2 7 2 2" xfId="27715" xr:uid="{00000000-0005-0000-0000-000009440000}"/>
    <cellStyle name="Normal 14 2 7 3" xfId="14658" xr:uid="{00000000-0005-0000-0000-00000A440000}"/>
    <cellStyle name="Normal 14 2 7 3 2" xfId="27716" xr:uid="{00000000-0005-0000-0000-00000B440000}"/>
    <cellStyle name="Normal 14 2 7 4" xfId="22998" xr:uid="{00000000-0005-0000-0000-00000C440000}"/>
    <cellStyle name="Normal 14 2 8" xfId="14659" xr:uid="{00000000-0005-0000-0000-00000D440000}"/>
    <cellStyle name="Normal 14 2 8 2" xfId="27717" xr:uid="{00000000-0005-0000-0000-00000E440000}"/>
    <cellStyle name="Normal 14 2 9" xfId="14660" xr:uid="{00000000-0005-0000-0000-00000F440000}"/>
    <cellStyle name="Normal 14 2 9 2" xfId="27718" xr:uid="{00000000-0005-0000-0000-000010440000}"/>
    <cellStyle name="Normal 14 3" xfId="3882" xr:uid="{00000000-0005-0000-0000-000011440000}"/>
    <cellStyle name="Normal 14 3 10" xfId="20857" xr:uid="{00000000-0005-0000-0000-000012440000}"/>
    <cellStyle name="Normal 14 3 2" xfId="4095" xr:uid="{00000000-0005-0000-0000-000013440000}"/>
    <cellStyle name="Normal 14 3 2 2" xfId="5631" xr:uid="{00000000-0005-0000-0000-000014440000}"/>
    <cellStyle name="Normal 14 3 2 2 2" xfId="6783" xr:uid="{00000000-0005-0000-0000-000015440000}"/>
    <cellStyle name="Normal 14 3 2 2 2 2" xfId="7470" xr:uid="{00000000-0005-0000-0000-000016440000}"/>
    <cellStyle name="Normal 14 3 2 2 2 2 2" xfId="9349" xr:uid="{00000000-0005-0000-0000-000017440000}"/>
    <cellStyle name="Normal 14 3 2 2 2 2 2 2" xfId="11728" xr:uid="{00000000-0005-0000-0000-000018440000}"/>
    <cellStyle name="Normal 14 3 2 2 2 2 2 2 2" xfId="14661" xr:uid="{00000000-0005-0000-0000-000019440000}"/>
    <cellStyle name="Normal 14 3 2 2 2 2 2 2 2 2" xfId="27719" xr:uid="{00000000-0005-0000-0000-00001A440000}"/>
    <cellStyle name="Normal 14 3 2 2 2 2 2 2 3" xfId="14662" xr:uid="{00000000-0005-0000-0000-00001B440000}"/>
    <cellStyle name="Normal 14 3 2 2 2 2 2 2 3 2" xfId="27720" xr:uid="{00000000-0005-0000-0000-00001C440000}"/>
    <cellStyle name="Normal 14 3 2 2 2 2 2 2 4" xfId="25098" xr:uid="{00000000-0005-0000-0000-00001D440000}"/>
    <cellStyle name="Normal 14 3 2 2 2 2 2 3" xfId="14663" xr:uid="{00000000-0005-0000-0000-00001E440000}"/>
    <cellStyle name="Normal 14 3 2 2 2 2 2 3 2" xfId="27721" xr:uid="{00000000-0005-0000-0000-00001F440000}"/>
    <cellStyle name="Normal 14 3 2 2 2 2 2 4" xfId="14664" xr:uid="{00000000-0005-0000-0000-000020440000}"/>
    <cellStyle name="Normal 14 3 2 2 2 2 2 4 2" xfId="27722" xr:uid="{00000000-0005-0000-0000-000021440000}"/>
    <cellStyle name="Normal 14 3 2 2 2 2 2 5" xfId="22942" xr:uid="{00000000-0005-0000-0000-000022440000}"/>
    <cellStyle name="Normal 14 3 2 2 2 2 3" xfId="10650" xr:uid="{00000000-0005-0000-0000-000023440000}"/>
    <cellStyle name="Normal 14 3 2 2 2 2 3 2" xfId="14665" xr:uid="{00000000-0005-0000-0000-000024440000}"/>
    <cellStyle name="Normal 14 3 2 2 2 2 3 2 2" xfId="27723" xr:uid="{00000000-0005-0000-0000-000025440000}"/>
    <cellStyle name="Normal 14 3 2 2 2 2 3 3" xfId="14666" xr:uid="{00000000-0005-0000-0000-000026440000}"/>
    <cellStyle name="Normal 14 3 2 2 2 2 3 3 2" xfId="27724" xr:uid="{00000000-0005-0000-0000-000027440000}"/>
    <cellStyle name="Normal 14 3 2 2 2 2 3 4" xfId="24020" xr:uid="{00000000-0005-0000-0000-000028440000}"/>
    <cellStyle name="Normal 14 3 2 2 2 2 4" xfId="14667" xr:uid="{00000000-0005-0000-0000-000029440000}"/>
    <cellStyle name="Normal 14 3 2 2 2 2 4 2" xfId="27725" xr:uid="{00000000-0005-0000-0000-00002A440000}"/>
    <cellStyle name="Normal 14 3 2 2 2 2 5" xfId="14668" xr:uid="{00000000-0005-0000-0000-00002B440000}"/>
    <cellStyle name="Normal 14 3 2 2 2 2 5 2" xfId="27726" xr:uid="{00000000-0005-0000-0000-00002C440000}"/>
    <cellStyle name="Normal 14 3 2 2 2 2 6" xfId="21864" xr:uid="{00000000-0005-0000-0000-00002D440000}"/>
    <cellStyle name="Normal 14 3 2 2 2 3" xfId="8803" xr:uid="{00000000-0005-0000-0000-00002E440000}"/>
    <cellStyle name="Normal 14 3 2 2 2 3 2" xfId="11188" xr:uid="{00000000-0005-0000-0000-00002F440000}"/>
    <cellStyle name="Normal 14 3 2 2 2 3 2 2" xfId="14669" xr:uid="{00000000-0005-0000-0000-000030440000}"/>
    <cellStyle name="Normal 14 3 2 2 2 3 2 2 2" xfId="27727" xr:uid="{00000000-0005-0000-0000-000031440000}"/>
    <cellStyle name="Normal 14 3 2 2 2 3 2 3" xfId="14670" xr:uid="{00000000-0005-0000-0000-000032440000}"/>
    <cellStyle name="Normal 14 3 2 2 2 3 2 3 2" xfId="27728" xr:uid="{00000000-0005-0000-0000-000033440000}"/>
    <cellStyle name="Normal 14 3 2 2 2 3 2 4" xfId="24558" xr:uid="{00000000-0005-0000-0000-000034440000}"/>
    <cellStyle name="Normal 14 3 2 2 2 3 3" xfId="14671" xr:uid="{00000000-0005-0000-0000-000035440000}"/>
    <cellStyle name="Normal 14 3 2 2 2 3 3 2" xfId="27729" xr:uid="{00000000-0005-0000-0000-000036440000}"/>
    <cellStyle name="Normal 14 3 2 2 2 3 4" xfId="14672" xr:uid="{00000000-0005-0000-0000-000037440000}"/>
    <cellStyle name="Normal 14 3 2 2 2 3 4 2" xfId="27730" xr:uid="{00000000-0005-0000-0000-000038440000}"/>
    <cellStyle name="Normal 14 3 2 2 2 3 5" xfId="22402" xr:uid="{00000000-0005-0000-0000-000039440000}"/>
    <cellStyle name="Normal 14 3 2 2 2 4" xfId="10110" xr:uid="{00000000-0005-0000-0000-00003A440000}"/>
    <cellStyle name="Normal 14 3 2 2 2 4 2" xfId="14673" xr:uid="{00000000-0005-0000-0000-00003B440000}"/>
    <cellStyle name="Normal 14 3 2 2 2 4 2 2" xfId="27731" xr:uid="{00000000-0005-0000-0000-00003C440000}"/>
    <cellStyle name="Normal 14 3 2 2 2 4 3" xfId="14674" xr:uid="{00000000-0005-0000-0000-00003D440000}"/>
    <cellStyle name="Normal 14 3 2 2 2 4 3 2" xfId="27732" xr:uid="{00000000-0005-0000-0000-00003E440000}"/>
    <cellStyle name="Normal 14 3 2 2 2 4 4" xfId="23480" xr:uid="{00000000-0005-0000-0000-00003F440000}"/>
    <cellStyle name="Normal 14 3 2 2 2 5" xfId="14675" xr:uid="{00000000-0005-0000-0000-000040440000}"/>
    <cellStyle name="Normal 14 3 2 2 2 5 2" xfId="27733" xr:uid="{00000000-0005-0000-0000-000041440000}"/>
    <cellStyle name="Normal 14 3 2 2 2 6" xfId="14676" xr:uid="{00000000-0005-0000-0000-000042440000}"/>
    <cellStyle name="Normal 14 3 2 2 2 6 2" xfId="27734" xr:uid="{00000000-0005-0000-0000-000043440000}"/>
    <cellStyle name="Normal 14 3 2 2 2 7" xfId="21324" xr:uid="{00000000-0005-0000-0000-000044440000}"/>
    <cellStyle name="Normal 14 3 2 2 3" xfId="7201" xr:uid="{00000000-0005-0000-0000-000045440000}"/>
    <cellStyle name="Normal 14 3 2 2 3 2" xfId="9080" xr:uid="{00000000-0005-0000-0000-000046440000}"/>
    <cellStyle name="Normal 14 3 2 2 3 2 2" xfId="11459" xr:uid="{00000000-0005-0000-0000-000047440000}"/>
    <cellStyle name="Normal 14 3 2 2 3 2 2 2" xfId="14677" xr:uid="{00000000-0005-0000-0000-000048440000}"/>
    <cellStyle name="Normal 14 3 2 2 3 2 2 2 2" xfId="27735" xr:uid="{00000000-0005-0000-0000-000049440000}"/>
    <cellStyle name="Normal 14 3 2 2 3 2 2 3" xfId="14678" xr:uid="{00000000-0005-0000-0000-00004A440000}"/>
    <cellStyle name="Normal 14 3 2 2 3 2 2 3 2" xfId="27736" xr:uid="{00000000-0005-0000-0000-00004B440000}"/>
    <cellStyle name="Normal 14 3 2 2 3 2 2 4" xfId="24829" xr:uid="{00000000-0005-0000-0000-00004C440000}"/>
    <cellStyle name="Normal 14 3 2 2 3 2 3" xfId="14679" xr:uid="{00000000-0005-0000-0000-00004D440000}"/>
    <cellStyle name="Normal 14 3 2 2 3 2 3 2" xfId="27737" xr:uid="{00000000-0005-0000-0000-00004E440000}"/>
    <cellStyle name="Normal 14 3 2 2 3 2 4" xfId="14680" xr:uid="{00000000-0005-0000-0000-00004F440000}"/>
    <cellStyle name="Normal 14 3 2 2 3 2 4 2" xfId="27738" xr:uid="{00000000-0005-0000-0000-000050440000}"/>
    <cellStyle name="Normal 14 3 2 2 3 2 5" xfId="22673" xr:uid="{00000000-0005-0000-0000-000051440000}"/>
    <cellStyle name="Normal 14 3 2 2 3 3" xfId="10381" xr:uid="{00000000-0005-0000-0000-000052440000}"/>
    <cellStyle name="Normal 14 3 2 2 3 3 2" xfId="14681" xr:uid="{00000000-0005-0000-0000-000053440000}"/>
    <cellStyle name="Normal 14 3 2 2 3 3 2 2" xfId="27739" xr:uid="{00000000-0005-0000-0000-000054440000}"/>
    <cellStyle name="Normal 14 3 2 2 3 3 3" xfId="14682" xr:uid="{00000000-0005-0000-0000-000055440000}"/>
    <cellStyle name="Normal 14 3 2 2 3 3 3 2" xfId="27740" xr:uid="{00000000-0005-0000-0000-000056440000}"/>
    <cellStyle name="Normal 14 3 2 2 3 3 4" xfId="23751" xr:uid="{00000000-0005-0000-0000-000057440000}"/>
    <cellStyle name="Normal 14 3 2 2 3 4" xfId="14683" xr:uid="{00000000-0005-0000-0000-000058440000}"/>
    <cellStyle name="Normal 14 3 2 2 3 4 2" xfId="27741" xr:uid="{00000000-0005-0000-0000-000059440000}"/>
    <cellStyle name="Normal 14 3 2 2 3 5" xfId="14684" xr:uid="{00000000-0005-0000-0000-00005A440000}"/>
    <cellStyle name="Normal 14 3 2 2 3 5 2" xfId="27742" xr:uid="{00000000-0005-0000-0000-00005B440000}"/>
    <cellStyle name="Normal 14 3 2 2 3 6" xfId="21595" xr:uid="{00000000-0005-0000-0000-00005C440000}"/>
    <cellStyle name="Normal 14 3 2 2 4" xfId="8478" xr:uid="{00000000-0005-0000-0000-00005D440000}"/>
    <cellStyle name="Normal 14 3 2 2 4 2" xfId="10919" xr:uid="{00000000-0005-0000-0000-00005E440000}"/>
    <cellStyle name="Normal 14 3 2 2 4 2 2" xfId="14685" xr:uid="{00000000-0005-0000-0000-00005F440000}"/>
    <cellStyle name="Normal 14 3 2 2 4 2 2 2" xfId="27743" xr:uid="{00000000-0005-0000-0000-000060440000}"/>
    <cellStyle name="Normal 14 3 2 2 4 2 3" xfId="14686" xr:uid="{00000000-0005-0000-0000-000061440000}"/>
    <cellStyle name="Normal 14 3 2 2 4 2 3 2" xfId="27744" xr:uid="{00000000-0005-0000-0000-000062440000}"/>
    <cellStyle name="Normal 14 3 2 2 4 2 4" xfId="24289" xr:uid="{00000000-0005-0000-0000-000063440000}"/>
    <cellStyle name="Normal 14 3 2 2 4 3" xfId="14687" xr:uid="{00000000-0005-0000-0000-000064440000}"/>
    <cellStyle name="Normal 14 3 2 2 4 3 2" xfId="27745" xr:uid="{00000000-0005-0000-0000-000065440000}"/>
    <cellStyle name="Normal 14 3 2 2 4 4" xfId="14688" xr:uid="{00000000-0005-0000-0000-000066440000}"/>
    <cellStyle name="Normal 14 3 2 2 4 4 2" xfId="27746" xr:uid="{00000000-0005-0000-0000-000067440000}"/>
    <cellStyle name="Normal 14 3 2 2 4 5" xfId="22133" xr:uid="{00000000-0005-0000-0000-000068440000}"/>
    <cellStyle name="Normal 14 3 2 2 5" xfId="9841" xr:uid="{00000000-0005-0000-0000-000069440000}"/>
    <cellStyle name="Normal 14 3 2 2 5 2" xfId="14689" xr:uid="{00000000-0005-0000-0000-00006A440000}"/>
    <cellStyle name="Normal 14 3 2 2 5 2 2" xfId="27747" xr:uid="{00000000-0005-0000-0000-00006B440000}"/>
    <cellStyle name="Normal 14 3 2 2 5 3" xfId="14690" xr:uid="{00000000-0005-0000-0000-00006C440000}"/>
    <cellStyle name="Normal 14 3 2 2 5 3 2" xfId="27748" xr:uid="{00000000-0005-0000-0000-00006D440000}"/>
    <cellStyle name="Normal 14 3 2 2 5 4" xfId="23211" xr:uid="{00000000-0005-0000-0000-00006E440000}"/>
    <cellStyle name="Normal 14 3 2 2 6" xfId="14691" xr:uid="{00000000-0005-0000-0000-00006F440000}"/>
    <cellStyle name="Normal 14 3 2 2 6 2" xfId="27749" xr:uid="{00000000-0005-0000-0000-000070440000}"/>
    <cellStyle name="Normal 14 3 2 2 7" xfId="14692" xr:uid="{00000000-0005-0000-0000-000071440000}"/>
    <cellStyle name="Normal 14 3 2 2 7 2" xfId="27750" xr:uid="{00000000-0005-0000-0000-000072440000}"/>
    <cellStyle name="Normal 14 3 2 2 8" xfId="21055" xr:uid="{00000000-0005-0000-0000-000073440000}"/>
    <cellStyle name="Normal 14 3 2 3" xfId="6632" xr:uid="{00000000-0005-0000-0000-000074440000}"/>
    <cellStyle name="Normal 14 3 2 3 2" xfId="7328" xr:uid="{00000000-0005-0000-0000-000075440000}"/>
    <cellStyle name="Normal 14 3 2 3 2 2" xfId="9207" xr:uid="{00000000-0005-0000-0000-000076440000}"/>
    <cellStyle name="Normal 14 3 2 3 2 2 2" xfId="11586" xr:uid="{00000000-0005-0000-0000-000077440000}"/>
    <cellStyle name="Normal 14 3 2 3 2 2 2 2" xfId="14693" xr:uid="{00000000-0005-0000-0000-000078440000}"/>
    <cellStyle name="Normal 14 3 2 3 2 2 2 2 2" xfId="27751" xr:uid="{00000000-0005-0000-0000-000079440000}"/>
    <cellStyle name="Normal 14 3 2 3 2 2 2 3" xfId="14694" xr:uid="{00000000-0005-0000-0000-00007A440000}"/>
    <cellStyle name="Normal 14 3 2 3 2 2 2 3 2" xfId="27752" xr:uid="{00000000-0005-0000-0000-00007B440000}"/>
    <cellStyle name="Normal 14 3 2 3 2 2 2 4" xfId="24956" xr:uid="{00000000-0005-0000-0000-00007C440000}"/>
    <cellStyle name="Normal 14 3 2 3 2 2 3" xfId="14695" xr:uid="{00000000-0005-0000-0000-00007D440000}"/>
    <cellStyle name="Normal 14 3 2 3 2 2 3 2" xfId="27753" xr:uid="{00000000-0005-0000-0000-00007E440000}"/>
    <cellStyle name="Normal 14 3 2 3 2 2 4" xfId="14696" xr:uid="{00000000-0005-0000-0000-00007F440000}"/>
    <cellStyle name="Normal 14 3 2 3 2 2 4 2" xfId="27754" xr:uid="{00000000-0005-0000-0000-000080440000}"/>
    <cellStyle name="Normal 14 3 2 3 2 2 5" xfId="22800" xr:uid="{00000000-0005-0000-0000-000081440000}"/>
    <cellStyle name="Normal 14 3 2 3 2 3" xfId="10508" xr:uid="{00000000-0005-0000-0000-000082440000}"/>
    <cellStyle name="Normal 14 3 2 3 2 3 2" xfId="14697" xr:uid="{00000000-0005-0000-0000-000083440000}"/>
    <cellStyle name="Normal 14 3 2 3 2 3 2 2" xfId="27755" xr:uid="{00000000-0005-0000-0000-000084440000}"/>
    <cellStyle name="Normal 14 3 2 3 2 3 3" xfId="14698" xr:uid="{00000000-0005-0000-0000-000085440000}"/>
    <cellStyle name="Normal 14 3 2 3 2 3 3 2" xfId="27756" xr:uid="{00000000-0005-0000-0000-000086440000}"/>
    <cellStyle name="Normal 14 3 2 3 2 3 4" xfId="23878" xr:uid="{00000000-0005-0000-0000-000087440000}"/>
    <cellStyle name="Normal 14 3 2 3 2 4" xfId="14699" xr:uid="{00000000-0005-0000-0000-000088440000}"/>
    <cellStyle name="Normal 14 3 2 3 2 4 2" xfId="27757" xr:uid="{00000000-0005-0000-0000-000089440000}"/>
    <cellStyle name="Normal 14 3 2 3 2 5" xfId="14700" xr:uid="{00000000-0005-0000-0000-00008A440000}"/>
    <cellStyle name="Normal 14 3 2 3 2 5 2" xfId="27758" xr:uid="{00000000-0005-0000-0000-00008B440000}"/>
    <cellStyle name="Normal 14 3 2 3 2 6" xfId="21722" xr:uid="{00000000-0005-0000-0000-00008C440000}"/>
    <cellStyle name="Normal 14 3 2 3 3" xfId="8660" xr:uid="{00000000-0005-0000-0000-00008D440000}"/>
    <cellStyle name="Normal 14 3 2 3 3 2" xfId="11046" xr:uid="{00000000-0005-0000-0000-00008E440000}"/>
    <cellStyle name="Normal 14 3 2 3 3 2 2" xfId="14701" xr:uid="{00000000-0005-0000-0000-00008F440000}"/>
    <cellStyle name="Normal 14 3 2 3 3 2 2 2" xfId="27759" xr:uid="{00000000-0005-0000-0000-000090440000}"/>
    <cellStyle name="Normal 14 3 2 3 3 2 3" xfId="14702" xr:uid="{00000000-0005-0000-0000-000091440000}"/>
    <cellStyle name="Normal 14 3 2 3 3 2 3 2" xfId="27760" xr:uid="{00000000-0005-0000-0000-000092440000}"/>
    <cellStyle name="Normal 14 3 2 3 3 2 4" xfId="24416" xr:uid="{00000000-0005-0000-0000-000093440000}"/>
    <cellStyle name="Normal 14 3 2 3 3 3" xfId="14703" xr:uid="{00000000-0005-0000-0000-000094440000}"/>
    <cellStyle name="Normal 14 3 2 3 3 3 2" xfId="27761" xr:uid="{00000000-0005-0000-0000-000095440000}"/>
    <cellStyle name="Normal 14 3 2 3 3 4" xfId="14704" xr:uid="{00000000-0005-0000-0000-000096440000}"/>
    <cellStyle name="Normal 14 3 2 3 3 4 2" xfId="27762" xr:uid="{00000000-0005-0000-0000-000097440000}"/>
    <cellStyle name="Normal 14 3 2 3 3 5" xfId="22260" xr:uid="{00000000-0005-0000-0000-000098440000}"/>
    <cellStyle name="Normal 14 3 2 3 4" xfId="9968" xr:uid="{00000000-0005-0000-0000-000099440000}"/>
    <cellStyle name="Normal 14 3 2 3 4 2" xfId="14705" xr:uid="{00000000-0005-0000-0000-00009A440000}"/>
    <cellStyle name="Normal 14 3 2 3 4 2 2" xfId="27763" xr:uid="{00000000-0005-0000-0000-00009B440000}"/>
    <cellStyle name="Normal 14 3 2 3 4 3" xfId="14706" xr:uid="{00000000-0005-0000-0000-00009C440000}"/>
    <cellStyle name="Normal 14 3 2 3 4 3 2" xfId="27764" xr:uid="{00000000-0005-0000-0000-00009D440000}"/>
    <cellStyle name="Normal 14 3 2 3 4 4" xfId="23338" xr:uid="{00000000-0005-0000-0000-00009E440000}"/>
    <cellStyle name="Normal 14 3 2 3 5" xfId="14707" xr:uid="{00000000-0005-0000-0000-00009F440000}"/>
    <cellStyle name="Normal 14 3 2 3 5 2" xfId="27765" xr:uid="{00000000-0005-0000-0000-0000A0440000}"/>
    <cellStyle name="Normal 14 3 2 3 6" xfId="14708" xr:uid="{00000000-0005-0000-0000-0000A1440000}"/>
    <cellStyle name="Normal 14 3 2 3 6 2" xfId="27766" xr:uid="{00000000-0005-0000-0000-0000A2440000}"/>
    <cellStyle name="Normal 14 3 2 3 7" xfId="21182" xr:uid="{00000000-0005-0000-0000-0000A3440000}"/>
    <cellStyle name="Normal 14 3 2 4" xfId="7058" xr:uid="{00000000-0005-0000-0000-0000A4440000}"/>
    <cellStyle name="Normal 14 3 2 4 2" xfId="8938" xr:uid="{00000000-0005-0000-0000-0000A5440000}"/>
    <cellStyle name="Normal 14 3 2 4 2 2" xfId="11317" xr:uid="{00000000-0005-0000-0000-0000A6440000}"/>
    <cellStyle name="Normal 14 3 2 4 2 2 2" xfId="14709" xr:uid="{00000000-0005-0000-0000-0000A7440000}"/>
    <cellStyle name="Normal 14 3 2 4 2 2 2 2" xfId="27767" xr:uid="{00000000-0005-0000-0000-0000A8440000}"/>
    <cellStyle name="Normal 14 3 2 4 2 2 3" xfId="14710" xr:uid="{00000000-0005-0000-0000-0000A9440000}"/>
    <cellStyle name="Normal 14 3 2 4 2 2 3 2" xfId="27768" xr:uid="{00000000-0005-0000-0000-0000AA440000}"/>
    <cellStyle name="Normal 14 3 2 4 2 2 4" xfId="24687" xr:uid="{00000000-0005-0000-0000-0000AB440000}"/>
    <cellStyle name="Normal 14 3 2 4 2 3" xfId="14711" xr:uid="{00000000-0005-0000-0000-0000AC440000}"/>
    <cellStyle name="Normal 14 3 2 4 2 3 2" xfId="27769" xr:uid="{00000000-0005-0000-0000-0000AD440000}"/>
    <cellStyle name="Normal 14 3 2 4 2 4" xfId="14712" xr:uid="{00000000-0005-0000-0000-0000AE440000}"/>
    <cellStyle name="Normal 14 3 2 4 2 4 2" xfId="27770" xr:uid="{00000000-0005-0000-0000-0000AF440000}"/>
    <cellStyle name="Normal 14 3 2 4 2 5" xfId="22531" xr:uid="{00000000-0005-0000-0000-0000B0440000}"/>
    <cellStyle name="Normal 14 3 2 4 3" xfId="10239" xr:uid="{00000000-0005-0000-0000-0000B1440000}"/>
    <cellStyle name="Normal 14 3 2 4 3 2" xfId="14713" xr:uid="{00000000-0005-0000-0000-0000B2440000}"/>
    <cellStyle name="Normal 14 3 2 4 3 2 2" xfId="27771" xr:uid="{00000000-0005-0000-0000-0000B3440000}"/>
    <cellStyle name="Normal 14 3 2 4 3 3" xfId="14714" xr:uid="{00000000-0005-0000-0000-0000B4440000}"/>
    <cellStyle name="Normal 14 3 2 4 3 3 2" xfId="27772" xr:uid="{00000000-0005-0000-0000-0000B5440000}"/>
    <cellStyle name="Normal 14 3 2 4 3 4" xfId="23609" xr:uid="{00000000-0005-0000-0000-0000B6440000}"/>
    <cellStyle name="Normal 14 3 2 4 4" xfId="14715" xr:uid="{00000000-0005-0000-0000-0000B7440000}"/>
    <cellStyle name="Normal 14 3 2 4 4 2" xfId="27773" xr:uid="{00000000-0005-0000-0000-0000B8440000}"/>
    <cellStyle name="Normal 14 3 2 4 5" xfId="14716" xr:uid="{00000000-0005-0000-0000-0000B9440000}"/>
    <cellStyle name="Normal 14 3 2 4 5 2" xfId="27774" xr:uid="{00000000-0005-0000-0000-0000BA440000}"/>
    <cellStyle name="Normal 14 3 2 4 6" xfId="21453" xr:uid="{00000000-0005-0000-0000-0000BB440000}"/>
    <cellStyle name="Normal 14 3 2 5" xfId="8262" xr:uid="{00000000-0005-0000-0000-0000BC440000}"/>
    <cellStyle name="Normal 14 3 2 5 2" xfId="10777" xr:uid="{00000000-0005-0000-0000-0000BD440000}"/>
    <cellStyle name="Normal 14 3 2 5 2 2" xfId="14717" xr:uid="{00000000-0005-0000-0000-0000BE440000}"/>
    <cellStyle name="Normal 14 3 2 5 2 2 2" xfId="27775" xr:uid="{00000000-0005-0000-0000-0000BF440000}"/>
    <cellStyle name="Normal 14 3 2 5 2 3" xfId="14718" xr:uid="{00000000-0005-0000-0000-0000C0440000}"/>
    <cellStyle name="Normal 14 3 2 5 2 3 2" xfId="27776" xr:uid="{00000000-0005-0000-0000-0000C1440000}"/>
    <cellStyle name="Normal 14 3 2 5 2 4" xfId="24147" xr:uid="{00000000-0005-0000-0000-0000C2440000}"/>
    <cellStyle name="Normal 14 3 2 5 3" xfId="14719" xr:uid="{00000000-0005-0000-0000-0000C3440000}"/>
    <cellStyle name="Normal 14 3 2 5 3 2" xfId="27777" xr:uid="{00000000-0005-0000-0000-0000C4440000}"/>
    <cellStyle name="Normal 14 3 2 5 4" xfId="14720" xr:uid="{00000000-0005-0000-0000-0000C5440000}"/>
    <cellStyle name="Normal 14 3 2 5 4 2" xfId="27778" xr:uid="{00000000-0005-0000-0000-0000C6440000}"/>
    <cellStyle name="Normal 14 3 2 5 5" xfId="21991" xr:uid="{00000000-0005-0000-0000-0000C7440000}"/>
    <cellStyle name="Normal 14 3 2 6" xfId="9698" xr:uid="{00000000-0005-0000-0000-0000C8440000}"/>
    <cellStyle name="Normal 14 3 2 6 2" xfId="14721" xr:uid="{00000000-0005-0000-0000-0000C9440000}"/>
    <cellStyle name="Normal 14 3 2 6 2 2" xfId="27779" xr:uid="{00000000-0005-0000-0000-0000CA440000}"/>
    <cellStyle name="Normal 14 3 2 6 3" xfId="14722" xr:uid="{00000000-0005-0000-0000-0000CB440000}"/>
    <cellStyle name="Normal 14 3 2 6 3 2" xfId="27780" xr:uid="{00000000-0005-0000-0000-0000CC440000}"/>
    <cellStyle name="Normal 14 3 2 6 4" xfId="23069" xr:uid="{00000000-0005-0000-0000-0000CD440000}"/>
    <cellStyle name="Normal 14 3 2 7" xfId="14723" xr:uid="{00000000-0005-0000-0000-0000CE440000}"/>
    <cellStyle name="Normal 14 3 2 7 2" xfId="27781" xr:uid="{00000000-0005-0000-0000-0000CF440000}"/>
    <cellStyle name="Normal 14 3 2 8" xfId="14724" xr:uid="{00000000-0005-0000-0000-0000D0440000}"/>
    <cellStyle name="Normal 14 3 2 8 2" xfId="27782" xr:uid="{00000000-0005-0000-0000-0000D1440000}"/>
    <cellStyle name="Normal 14 3 2 9" xfId="20912" xr:uid="{00000000-0005-0000-0000-0000D2440000}"/>
    <cellStyle name="Normal 14 3 3" xfId="5530" xr:uid="{00000000-0005-0000-0000-0000D3440000}"/>
    <cellStyle name="Normal 14 3 3 2" xfId="6725" xr:uid="{00000000-0005-0000-0000-0000D4440000}"/>
    <cellStyle name="Normal 14 3 3 2 2" xfId="7412" xr:uid="{00000000-0005-0000-0000-0000D5440000}"/>
    <cellStyle name="Normal 14 3 3 2 2 2" xfId="9291" xr:uid="{00000000-0005-0000-0000-0000D6440000}"/>
    <cellStyle name="Normal 14 3 3 2 2 2 2" xfId="11670" xr:uid="{00000000-0005-0000-0000-0000D7440000}"/>
    <cellStyle name="Normal 14 3 3 2 2 2 2 2" xfId="14725" xr:uid="{00000000-0005-0000-0000-0000D8440000}"/>
    <cellStyle name="Normal 14 3 3 2 2 2 2 2 2" xfId="27783" xr:uid="{00000000-0005-0000-0000-0000D9440000}"/>
    <cellStyle name="Normal 14 3 3 2 2 2 2 3" xfId="14726" xr:uid="{00000000-0005-0000-0000-0000DA440000}"/>
    <cellStyle name="Normal 14 3 3 2 2 2 2 3 2" xfId="27784" xr:uid="{00000000-0005-0000-0000-0000DB440000}"/>
    <cellStyle name="Normal 14 3 3 2 2 2 2 4" xfId="25040" xr:uid="{00000000-0005-0000-0000-0000DC440000}"/>
    <cellStyle name="Normal 14 3 3 2 2 2 3" xfId="14727" xr:uid="{00000000-0005-0000-0000-0000DD440000}"/>
    <cellStyle name="Normal 14 3 3 2 2 2 3 2" xfId="27785" xr:uid="{00000000-0005-0000-0000-0000DE440000}"/>
    <cellStyle name="Normal 14 3 3 2 2 2 4" xfId="14728" xr:uid="{00000000-0005-0000-0000-0000DF440000}"/>
    <cellStyle name="Normal 14 3 3 2 2 2 4 2" xfId="27786" xr:uid="{00000000-0005-0000-0000-0000E0440000}"/>
    <cellStyle name="Normal 14 3 3 2 2 2 5" xfId="22884" xr:uid="{00000000-0005-0000-0000-0000E1440000}"/>
    <cellStyle name="Normal 14 3 3 2 2 3" xfId="10592" xr:uid="{00000000-0005-0000-0000-0000E2440000}"/>
    <cellStyle name="Normal 14 3 3 2 2 3 2" xfId="14729" xr:uid="{00000000-0005-0000-0000-0000E3440000}"/>
    <cellStyle name="Normal 14 3 3 2 2 3 2 2" xfId="27787" xr:uid="{00000000-0005-0000-0000-0000E4440000}"/>
    <cellStyle name="Normal 14 3 3 2 2 3 3" xfId="14730" xr:uid="{00000000-0005-0000-0000-0000E5440000}"/>
    <cellStyle name="Normal 14 3 3 2 2 3 3 2" xfId="27788" xr:uid="{00000000-0005-0000-0000-0000E6440000}"/>
    <cellStyle name="Normal 14 3 3 2 2 3 4" xfId="23962" xr:uid="{00000000-0005-0000-0000-0000E7440000}"/>
    <cellStyle name="Normal 14 3 3 2 2 4" xfId="14731" xr:uid="{00000000-0005-0000-0000-0000E8440000}"/>
    <cellStyle name="Normal 14 3 3 2 2 4 2" xfId="27789" xr:uid="{00000000-0005-0000-0000-0000E9440000}"/>
    <cellStyle name="Normal 14 3 3 2 2 5" xfId="14732" xr:uid="{00000000-0005-0000-0000-0000EA440000}"/>
    <cellStyle name="Normal 14 3 3 2 2 5 2" xfId="27790" xr:uid="{00000000-0005-0000-0000-0000EB440000}"/>
    <cellStyle name="Normal 14 3 3 2 2 6" xfId="21806" xr:uid="{00000000-0005-0000-0000-0000EC440000}"/>
    <cellStyle name="Normal 14 3 3 2 3" xfId="8745" xr:uid="{00000000-0005-0000-0000-0000ED440000}"/>
    <cellStyle name="Normal 14 3 3 2 3 2" xfId="11130" xr:uid="{00000000-0005-0000-0000-0000EE440000}"/>
    <cellStyle name="Normal 14 3 3 2 3 2 2" xfId="14733" xr:uid="{00000000-0005-0000-0000-0000EF440000}"/>
    <cellStyle name="Normal 14 3 3 2 3 2 2 2" xfId="27791" xr:uid="{00000000-0005-0000-0000-0000F0440000}"/>
    <cellStyle name="Normal 14 3 3 2 3 2 3" xfId="14734" xr:uid="{00000000-0005-0000-0000-0000F1440000}"/>
    <cellStyle name="Normal 14 3 3 2 3 2 3 2" xfId="27792" xr:uid="{00000000-0005-0000-0000-0000F2440000}"/>
    <cellStyle name="Normal 14 3 3 2 3 2 4" xfId="24500" xr:uid="{00000000-0005-0000-0000-0000F3440000}"/>
    <cellStyle name="Normal 14 3 3 2 3 3" xfId="14735" xr:uid="{00000000-0005-0000-0000-0000F4440000}"/>
    <cellStyle name="Normal 14 3 3 2 3 3 2" xfId="27793" xr:uid="{00000000-0005-0000-0000-0000F5440000}"/>
    <cellStyle name="Normal 14 3 3 2 3 4" xfId="14736" xr:uid="{00000000-0005-0000-0000-0000F6440000}"/>
    <cellStyle name="Normal 14 3 3 2 3 4 2" xfId="27794" xr:uid="{00000000-0005-0000-0000-0000F7440000}"/>
    <cellStyle name="Normal 14 3 3 2 3 5" xfId="22344" xr:uid="{00000000-0005-0000-0000-0000F8440000}"/>
    <cellStyle name="Normal 14 3 3 2 4" xfId="10052" xr:uid="{00000000-0005-0000-0000-0000F9440000}"/>
    <cellStyle name="Normal 14 3 3 2 4 2" xfId="14737" xr:uid="{00000000-0005-0000-0000-0000FA440000}"/>
    <cellStyle name="Normal 14 3 3 2 4 2 2" xfId="27795" xr:uid="{00000000-0005-0000-0000-0000FB440000}"/>
    <cellStyle name="Normal 14 3 3 2 4 3" xfId="14738" xr:uid="{00000000-0005-0000-0000-0000FC440000}"/>
    <cellStyle name="Normal 14 3 3 2 4 3 2" xfId="27796" xr:uid="{00000000-0005-0000-0000-0000FD440000}"/>
    <cellStyle name="Normal 14 3 3 2 4 4" xfId="23422" xr:uid="{00000000-0005-0000-0000-0000FE440000}"/>
    <cellStyle name="Normal 14 3 3 2 5" xfId="14739" xr:uid="{00000000-0005-0000-0000-0000FF440000}"/>
    <cellStyle name="Normal 14 3 3 2 5 2" xfId="27797" xr:uid="{00000000-0005-0000-0000-000000450000}"/>
    <cellStyle name="Normal 14 3 3 2 6" xfId="14740" xr:uid="{00000000-0005-0000-0000-000001450000}"/>
    <cellStyle name="Normal 14 3 3 2 6 2" xfId="27798" xr:uid="{00000000-0005-0000-0000-000002450000}"/>
    <cellStyle name="Normal 14 3 3 2 7" xfId="21266" xr:uid="{00000000-0005-0000-0000-000003450000}"/>
    <cellStyle name="Normal 14 3 3 3" xfId="7143" xr:uid="{00000000-0005-0000-0000-000004450000}"/>
    <cellStyle name="Normal 14 3 3 3 2" xfId="9022" xr:uid="{00000000-0005-0000-0000-000005450000}"/>
    <cellStyle name="Normal 14 3 3 3 2 2" xfId="11401" xr:uid="{00000000-0005-0000-0000-000006450000}"/>
    <cellStyle name="Normal 14 3 3 3 2 2 2" xfId="14741" xr:uid="{00000000-0005-0000-0000-000007450000}"/>
    <cellStyle name="Normal 14 3 3 3 2 2 2 2" xfId="27799" xr:uid="{00000000-0005-0000-0000-000008450000}"/>
    <cellStyle name="Normal 14 3 3 3 2 2 3" xfId="14742" xr:uid="{00000000-0005-0000-0000-000009450000}"/>
    <cellStyle name="Normal 14 3 3 3 2 2 3 2" xfId="27800" xr:uid="{00000000-0005-0000-0000-00000A450000}"/>
    <cellStyle name="Normal 14 3 3 3 2 2 4" xfId="24771" xr:uid="{00000000-0005-0000-0000-00000B450000}"/>
    <cellStyle name="Normal 14 3 3 3 2 3" xfId="14743" xr:uid="{00000000-0005-0000-0000-00000C450000}"/>
    <cellStyle name="Normal 14 3 3 3 2 3 2" xfId="27801" xr:uid="{00000000-0005-0000-0000-00000D450000}"/>
    <cellStyle name="Normal 14 3 3 3 2 4" xfId="14744" xr:uid="{00000000-0005-0000-0000-00000E450000}"/>
    <cellStyle name="Normal 14 3 3 3 2 4 2" xfId="27802" xr:uid="{00000000-0005-0000-0000-00000F450000}"/>
    <cellStyle name="Normal 14 3 3 3 2 5" xfId="22615" xr:uid="{00000000-0005-0000-0000-000010450000}"/>
    <cellStyle name="Normal 14 3 3 3 3" xfId="10323" xr:uid="{00000000-0005-0000-0000-000011450000}"/>
    <cellStyle name="Normal 14 3 3 3 3 2" xfId="14745" xr:uid="{00000000-0005-0000-0000-000012450000}"/>
    <cellStyle name="Normal 14 3 3 3 3 2 2" xfId="27803" xr:uid="{00000000-0005-0000-0000-000013450000}"/>
    <cellStyle name="Normal 14 3 3 3 3 3" xfId="14746" xr:uid="{00000000-0005-0000-0000-000014450000}"/>
    <cellStyle name="Normal 14 3 3 3 3 3 2" xfId="27804" xr:uid="{00000000-0005-0000-0000-000015450000}"/>
    <cellStyle name="Normal 14 3 3 3 3 4" xfId="23693" xr:uid="{00000000-0005-0000-0000-000016450000}"/>
    <cellStyle name="Normal 14 3 3 3 4" xfId="14747" xr:uid="{00000000-0005-0000-0000-000017450000}"/>
    <cellStyle name="Normal 14 3 3 3 4 2" xfId="27805" xr:uid="{00000000-0005-0000-0000-000018450000}"/>
    <cellStyle name="Normal 14 3 3 3 5" xfId="14748" xr:uid="{00000000-0005-0000-0000-000019450000}"/>
    <cellStyle name="Normal 14 3 3 3 5 2" xfId="27806" xr:uid="{00000000-0005-0000-0000-00001A450000}"/>
    <cellStyle name="Normal 14 3 3 3 6" xfId="21537" xr:uid="{00000000-0005-0000-0000-00001B450000}"/>
    <cellStyle name="Normal 14 3 3 4" xfId="8417" xr:uid="{00000000-0005-0000-0000-00001C450000}"/>
    <cellStyle name="Normal 14 3 3 4 2" xfId="10861" xr:uid="{00000000-0005-0000-0000-00001D450000}"/>
    <cellStyle name="Normal 14 3 3 4 2 2" xfId="14749" xr:uid="{00000000-0005-0000-0000-00001E450000}"/>
    <cellStyle name="Normal 14 3 3 4 2 2 2" xfId="27807" xr:uid="{00000000-0005-0000-0000-00001F450000}"/>
    <cellStyle name="Normal 14 3 3 4 2 3" xfId="14750" xr:uid="{00000000-0005-0000-0000-000020450000}"/>
    <cellStyle name="Normal 14 3 3 4 2 3 2" xfId="27808" xr:uid="{00000000-0005-0000-0000-000021450000}"/>
    <cellStyle name="Normal 14 3 3 4 2 4" xfId="24231" xr:uid="{00000000-0005-0000-0000-000022450000}"/>
    <cellStyle name="Normal 14 3 3 4 3" xfId="14751" xr:uid="{00000000-0005-0000-0000-000023450000}"/>
    <cellStyle name="Normal 14 3 3 4 3 2" xfId="27809" xr:uid="{00000000-0005-0000-0000-000024450000}"/>
    <cellStyle name="Normal 14 3 3 4 4" xfId="14752" xr:uid="{00000000-0005-0000-0000-000025450000}"/>
    <cellStyle name="Normal 14 3 3 4 4 2" xfId="27810" xr:uid="{00000000-0005-0000-0000-000026450000}"/>
    <cellStyle name="Normal 14 3 3 4 5" xfId="22075" xr:uid="{00000000-0005-0000-0000-000027450000}"/>
    <cellStyle name="Normal 14 3 3 5" xfId="9783" xr:uid="{00000000-0005-0000-0000-000028450000}"/>
    <cellStyle name="Normal 14 3 3 5 2" xfId="14753" xr:uid="{00000000-0005-0000-0000-000029450000}"/>
    <cellStyle name="Normal 14 3 3 5 2 2" xfId="27811" xr:uid="{00000000-0005-0000-0000-00002A450000}"/>
    <cellStyle name="Normal 14 3 3 5 3" xfId="14754" xr:uid="{00000000-0005-0000-0000-00002B450000}"/>
    <cellStyle name="Normal 14 3 3 5 3 2" xfId="27812" xr:uid="{00000000-0005-0000-0000-00002C450000}"/>
    <cellStyle name="Normal 14 3 3 5 4" xfId="23153" xr:uid="{00000000-0005-0000-0000-00002D450000}"/>
    <cellStyle name="Normal 14 3 3 6" xfId="14755" xr:uid="{00000000-0005-0000-0000-00002E450000}"/>
    <cellStyle name="Normal 14 3 3 6 2" xfId="27813" xr:uid="{00000000-0005-0000-0000-00002F450000}"/>
    <cellStyle name="Normal 14 3 3 7" xfId="14756" xr:uid="{00000000-0005-0000-0000-000030450000}"/>
    <cellStyle name="Normal 14 3 3 7 2" xfId="27814" xr:uid="{00000000-0005-0000-0000-000031450000}"/>
    <cellStyle name="Normal 14 3 3 8" xfId="20997" xr:uid="{00000000-0005-0000-0000-000032450000}"/>
    <cellStyle name="Normal 14 3 4" xfId="6575" xr:uid="{00000000-0005-0000-0000-000033450000}"/>
    <cellStyle name="Normal 14 3 4 2" xfId="7273" xr:uid="{00000000-0005-0000-0000-000034450000}"/>
    <cellStyle name="Normal 14 3 4 2 2" xfId="9152" xr:uid="{00000000-0005-0000-0000-000035450000}"/>
    <cellStyle name="Normal 14 3 4 2 2 2" xfId="11531" xr:uid="{00000000-0005-0000-0000-000036450000}"/>
    <cellStyle name="Normal 14 3 4 2 2 2 2" xfId="14757" xr:uid="{00000000-0005-0000-0000-000037450000}"/>
    <cellStyle name="Normal 14 3 4 2 2 2 2 2" xfId="27815" xr:uid="{00000000-0005-0000-0000-000038450000}"/>
    <cellStyle name="Normal 14 3 4 2 2 2 3" xfId="14758" xr:uid="{00000000-0005-0000-0000-000039450000}"/>
    <cellStyle name="Normal 14 3 4 2 2 2 3 2" xfId="27816" xr:uid="{00000000-0005-0000-0000-00003A450000}"/>
    <cellStyle name="Normal 14 3 4 2 2 2 4" xfId="24901" xr:uid="{00000000-0005-0000-0000-00003B450000}"/>
    <cellStyle name="Normal 14 3 4 2 2 3" xfId="14759" xr:uid="{00000000-0005-0000-0000-00003C450000}"/>
    <cellStyle name="Normal 14 3 4 2 2 3 2" xfId="27817" xr:uid="{00000000-0005-0000-0000-00003D450000}"/>
    <cellStyle name="Normal 14 3 4 2 2 4" xfId="14760" xr:uid="{00000000-0005-0000-0000-00003E450000}"/>
    <cellStyle name="Normal 14 3 4 2 2 4 2" xfId="27818" xr:uid="{00000000-0005-0000-0000-00003F450000}"/>
    <cellStyle name="Normal 14 3 4 2 2 5" xfId="22745" xr:uid="{00000000-0005-0000-0000-000040450000}"/>
    <cellStyle name="Normal 14 3 4 2 3" xfId="10453" xr:uid="{00000000-0005-0000-0000-000041450000}"/>
    <cellStyle name="Normal 14 3 4 2 3 2" xfId="14761" xr:uid="{00000000-0005-0000-0000-000042450000}"/>
    <cellStyle name="Normal 14 3 4 2 3 2 2" xfId="27819" xr:uid="{00000000-0005-0000-0000-000043450000}"/>
    <cellStyle name="Normal 14 3 4 2 3 3" xfId="14762" xr:uid="{00000000-0005-0000-0000-000044450000}"/>
    <cellStyle name="Normal 14 3 4 2 3 3 2" xfId="27820" xr:uid="{00000000-0005-0000-0000-000045450000}"/>
    <cellStyle name="Normal 14 3 4 2 3 4" xfId="23823" xr:uid="{00000000-0005-0000-0000-000046450000}"/>
    <cellStyle name="Normal 14 3 4 2 4" xfId="14763" xr:uid="{00000000-0005-0000-0000-000047450000}"/>
    <cellStyle name="Normal 14 3 4 2 4 2" xfId="27821" xr:uid="{00000000-0005-0000-0000-000048450000}"/>
    <cellStyle name="Normal 14 3 4 2 5" xfId="14764" xr:uid="{00000000-0005-0000-0000-000049450000}"/>
    <cellStyle name="Normal 14 3 4 2 5 2" xfId="27822" xr:uid="{00000000-0005-0000-0000-00004A450000}"/>
    <cellStyle name="Normal 14 3 4 2 6" xfId="21667" xr:uid="{00000000-0005-0000-0000-00004B450000}"/>
    <cellStyle name="Normal 14 3 4 3" xfId="8605" xr:uid="{00000000-0005-0000-0000-00004C450000}"/>
    <cellStyle name="Normal 14 3 4 3 2" xfId="10991" xr:uid="{00000000-0005-0000-0000-00004D450000}"/>
    <cellStyle name="Normal 14 3 4 3 2 2" xfId="14765" xr:uid="{00000000-0005-0000-0000-00004E450000}"/>
    <cellStyle name="Normal 14 3 4 3 2 2 2" xfId="27823" xr:uid="{00000000-0005-0000-0000-00004F450000}"/>
    <cellStyle name="Normal 14 3 4 3 2 3" xfId="14766" xr:uid="{00000000-0005-0000-0000-000050450000}"/>
    <cellStyle name="Normal 14 3 4 3 2 3 2" xfId="27824" xr:uid="{00000000-0005-0000-0000-000051450000}"/>
    <cellStyle name="Normal 14 3 4 3 2 4" xfId="24361" xr:uid="{00000000-0005-0000-0000-000052450000}"/>
    <cellStyle name="Normal 14 3 4 3 3" xfId="14767" xr:uid="{00000000-0005-0000-0000-000053450000}"/>
    <cellStyle name="Normal 14 3 4 3 3 2" xfId="27825" xr:uid="{00000000-0005-0000-0000-000054450000}"/>
    <cellStyle name="Normal 14 3 4 3 4" xfId="14768" xr:uid="{00000000-0005-0000-0000-000055450000}"/>
    <cellStyle name="Normal 14 3 4 3 4 2" xfId="27826" xr:uid="{00000000-0005-0000-0000-000056450000}"/>
    <cellStyle name="Normal 14 3 4 3 5" xfId="22205" xr:uid="{00000000-0005-0000-0000-000057450000}"/>
    <cellStyle name="Normal 14 3 4 4" xfId="9913" xr:uid="{00000000-0005-0000-0000-000058450000}"/>
    <cellStyle name="Normal 14 3 4 4 2" xfId="14769" xr:uid="{00000000-0005-0000-0000-000059450000}"/>
    <cellStyle name="Normal 14 3 4 4 2 2" xfId="27827" xr:uid="{00000000-0005-0000-0000-00005A450000}"/>
    <cellStyle name="Normal 14 3 4 4 3" xfId="14770" xr:uid="{00000000-0005-0000-0000-00005B450000}"/>
    <cellStyle name="Normal 14 3 4 4 3 2" xfId="27828" xr:uid="{00000000-0005-0000-0000-00005C450000}"/>
    <cellStyle name="Normal 14 3 4 4 4" xfId="23283" xr:uid="{00000000-0005-0000-0000-00005D450000}"/>
    <cellStyle name="Normal 14 3 4 5" xfId="14771" xr:uid="{00000000-0005-0000-0000-00005E450000}"/>
    <cellStyle name="Normal 14 3 4 5 2" xfId="27829" xr:uid="{00000000-0005-0000-0000-00005F450000}"/>
    <cellStyle name="Normal 14 3 4 6" xfId="14772" xr:uid="{00000000-0005-0000-0000-000060450000}"/>
    <cellStyle name="Normal 14 3 4 6 2" xfId="27830" xr:uid="{00000000-0005-0000-0000-000061450000}"/>
    <cellStyle name="Normal 14 3 4 7" xfId="21127" xr:uid="{00000000-0005-0000-0000-000062450000}"/>
    <cellStyle name="Normal 14 3 5" xfId="7003" xr:uid="{00000000-0005-0000-0000-000063450000}"/>
    <cellStyle name="Normal 14 3 5 2" xfId="8883" xr:uid="{00000000-0005-0000-0000-000064450000}"/>
    <cellStyle name="Normal 14 3 5 2 2" xfId="11262" xr:uid="{00000000-0005-0000-0000-000065450000}"/>
    <cellStyle name="Normal 14 3 5 2 2 2" xfId="14773" xr:uid="{00000000-0005-0000-0000-000066450000}"/>
    <cellStyle name="Normal 14 3 5 2 2 2 2" xfId="27831" xr:uid="{00000000-0005-0000-0000-000067450000}"/>
    <cellStyle name="Normal 14 3 5 2 2 3" xfId="14774" xr:uid="{00000000-0005-0000-0000-000068450000}"/>
    <cellStyle name="Normal 14 3 5 2 2 3 2" xfId="27832" xr:uid="{00000000-0005-0000-0000-000069450000}"/>
    <cellStyle name="Normal 14 3 5 2 2 4" xfId="24632" xr:uid="{00000000-0005-0000-0000-00006A450000}"/>
    <cellStyle name="Normal 14 3 5 2 3" xfId="14775" xr:uid="{00000000-0005-0000-0000-00006B450000}"/>
    <cellStyle name="Normal 14 3 5 2 3 2" xfId="27833" xr:uid="{00000000-0005-0000-0000-00006C450000}"/>
    <cellStyle name="Normal 14 3 5 2 4" xfId="14776" xr:uid="{00000000-0005-0000-0000-00006D450000}"/>
    <cellStyle name="Normal 14 3 5 2 4 2" xfId="27834" xr:uid="{00000000-0005-0000-0000-00006E450000}"/>
    <cellStyle name="Normal 14 3 5 2 5" xfId="22476" xr:uid="{00000000-0005-0000-0000-00006F450000}"/>
    <cellStyle name="Normal 14 3 5 3" xfId="10184" xr:uid="{00000000-0005-0000-0000-000070450000}"/>
    <cellStyle name="Normal 14 3 5 3 2" xfId="14777" xr:uid="{00000000-0005-0000-0000-000071450000}"/>
    <cellStyle name="Normal 14 3 5 3 2 2" xfId="27835" xr:uid="{00000000-0005-0000-0000-000072450000}"/>
    <cellStyle name="Normal 14 3 5 3 3" xfId="14778" xr:uid="{00000000-0005-0000-0000-000073450000}"/>
    <cellStyle name="Normal 14 3 5 3 3 2" xfId="27836" xr:uid="{00000000-0005-0000-0000-000074450000}"/>
    <cellStyle name="Normal 14 3 5 3 4" xfId="23554" xr:uid="{00000000-0005-0000-0000-000075450000}"/>
    <cellStyle name="Normal 14 3 5 4" xfId="14779" xr:uid="{00000000-0005-0000-0000-000076450000}"/>
    <cellStyle name="Normal 14 3 5 4 2" xfId="27837" xr:uid="{00000000-0005-0000-0000-000077450000}"/>
    <cellStyle name="Normal 14 3 5 5" xfId="14780" xr:uid="{00000000-0005-0000-0000-000078450000}"/>
    <cellStyle name="Normal 14 3 5 5 2" xfId="27838" xr:uid="{00000000-0005-0000-0000-000079450000}"/>
    <cellStyle name="Normal 14 3 5 6" xfId="21398" xr:uid="{00000000-0005-0000-0000-00007A450000}"/>
    <cellStyle name="Normal 14 3 6" xfId="8192" xr:uid="{00000000-0005-0000-0000-00007B450000}"/>
    <cellStyle name="Normal 14 3 6 2" xfId="10722" xr:uid="{00000000-0005-0000-0000-00007C450000}"/>
    <cellStyle name="Normal 14 3 6 2 2" xfId="14781" xr:uid="{00000000-0005-0000-0000-00007D450000}"/>
    <cellStyle name="Normal 14 3 6 2 2 2" xfId="27839" xr:uid="{00000000-0005-0000-0000-00007E450000}"/>
    <cellStyle name="Normal 14 3 6 2 3" xfId="14782" xr:uid="{00000000-0005-0000-0000-00007F450000}"/>
    <cellStyle name="Normal 14 3 6 2 3 2" xfId="27840" xr:uid="{00000000-0005-0000-0000-000080450000}"/>
    <cellStyle name="Normal 14 3 6 2 4" xfId="24092" xr:uid="{00000000-0005-0000-0000-000081450000}"/>
    <cellStyle name="Normal 14 3 6 3" xfId="14783" xr:uid="{00000000-0005-0000-0000-000082450000}"/>
    <cellStyle name="Normal 14 3 6 3 2" xfId="27841" xr:uid="{00000000-0005-0000-0000-000083450000}"/>
    <cellStyle name="Normal 14 3 6 4" xfId="14784" xr:uid="{00000000-0005-0000-0000-000084450000}"/>
    <cellStyle name="Normal 14 3 6 4 2" xfId="27842" xr:uid="{00000000-0005-0000-0000-000085450000}"/>
    <cellStyle name="Normal 14 3 6 5" xfId="21936" xr:uid="{00000000-0005-0000-0000-000086450000}"/>
    <cellStyle name="Normal 14 3 7" xfId="9643" xr:uid="{00000000-0005-0000-0000-000087450000}"/>
    <cellStyle name="Normal 14 3 7 2" xfId="14785" xr:uid="{00000000-0005-0000-0000-000088450000}"/>
    <cellStyle name="Normal 14 3 7 2 2" xfId="27843" xr:uid="{00000000-0005-0000-0000-000089450000}"/>
    <cellStyle name="Normal 14 3 7 3" xfId="14786" xr:uid="{00000000-0005-0000-0000-00008A450000}"/>
    <cellStyle name="Normal 14 3 7 3 2" xfId="27844" xr:uid="{00000000-0005-0000-0000-00008B450000}"/>
    <cellStyle name="Normal 14 3 7 4" xfId="23014" xr:uid="{00000000-0005-0000-0000-00008C450000}"/>
    <cellStyle name="Normal 14 3 8" xfId="14787" xr:uid="{00000000-0005-0000-0000-00008D450000}"/>
    <cellStyle name="Normal 14 3 8 2" xfId="27845" xr:uid="{00000000-0005-0000-0000-00008E450000}"/>
    <cellStyle name="Normal 14 3 9" xfId="14788" xr:uid="{00000000-0005-0000-0000-00008F450000}"/>
    <cellStyle name="Normal 14 3 9 2" xfId="27846" xr:uid="{00000000-0005-0000-0000-000090450000}"/>
    <cellStyle name="Normal 14 4" xfId="4064" xr:uid="{00000000-0005-0000-0000-000091450000}"/>
    <cellStyle name="Normal 14 4 2" xfId="5600" xr:uid="{00000000-0005-0000-0000-000092450000}"/>
    <cellStyle name="Normal 14 4 2 2" xfId="6752" xr:uid="{00000000-0005-0000-0000-000093450000}"/>
    <cellStyle name="Normal 14 4 2 2 2" xfId="7439" xr:uid="{00000000-0005-0000-0000-000094450000}"/>
    <cellStyle name="Normal 14 4 2 2 2 2" xfId="9318" xr:uid="{00000000-0005-0000-0000-000095450000}"/>
    <cellStyle name="Normal 14 4 2 2 2 2 2" xfId="11697" xr:uid="{00000000-0005-0000-0000-000096450000}"/>
    <cellStyle name="Normal 14 4 2 2 2 2 2 2" xfId="14789" xr:uid="{00000000-0005-0000-0000-000097450000}"/>
    <cellStyle name="Normal 14 4 2 2 2 2 2 2 2" xfId="27847" xr:uid="{00000000-0005-0000-0000-000098450000}"/>
    <cellStyle name="Normal 14 4 2 2 2 2 2 3" xfId="14790" xr:uid="{00000000-0005-0000-0000-000099450000}"/>
    <cellStyle name="Normal 14 4 2 2 2 2 2 3 2" xfId="27848" xr:uid="{00000000-0005-0000-0000-00009A450000}"/>
    <cellStyle name="Normal 14 4 2 2 2 2 2 4" xfId="25067" xr:uid="{00000000-0005-0000-0000-00009B450000}"/>
    <cellStyle name="Normal 14 4 2 2 2 2 3" xfId="14791" xr:uid="{00000000-0005-0000-0000-00009C450000}"/>
    <cellStyle name="Normal 14 4 2 2 2 2 3 2" xfId="27849" xr:uid="{00000000-0005-0000-0000-00009D450000}"/>
    <cellStyle name="Normal 14 4 2 2 2 2 4" xfId="14792" xr:uid="{00000000-0005-0000-0000-00009E450000}"/>
    <cellStyle name="Normal 14 4 2 2 2 2 4 2" xfId="27850" xr:uid="{00000000-0005-0000-0000-00009F450000}"/>
    <cellStyle name="Normal 14 4 2 2 2 2 5" xfId="22911" xr:uid="{00000000-0005-0000-0000-0000A0450000}"/>
    <cellStyle name="Normal 14 4 2 2 2 3" xfId="10619" xr:uid="{00000000-0005-0000-0000-0000A1450000}"/>
    <cellStyle name="Normal 14 4 2 2 2 3 2" xfId="14793" xr:uid="{00000000-0005-0000-0000-0000A2450000}"/>
    <cellStyle name="Normal 14 4 2 2 2 3 2 2" xfId="27851" xr:uid="{00000000-0005-0000-0000-0000A3450000}"/>
    <cellStyle name="Normal 14 4 2 2 2 3 3" xfId="14794" xr:uid="{00000000-0005-0000-0000-0000A4450000}"/>
    <cellStyle name="Normal 14 4 2 2 2 3 3 2" xfId="27852" xr:uid="{00000000-0005-0000-0000-0000A5450000}"/>
    <cellStyle name="Normal 14 4 2 2 2 3 4" xfId="23989" xr:uid="{00000000-0005-0000-0000-0000A6450000}"/>
    <cellStyle name="Normal 14 4 2 2 2 4" xfId="14795" xr:uid="{00000000-0005-0000-0000-0000A7450000}"/>
    <cellStyle name="Normal 14 4 2 2 2 4 2" xfId="27853" xr:uid="{00000000-0005-0000-0000-0000A8450000}"/>
    <cellStyle name="Normal 14 4 2 2 2 5" xfId="14796" xr:uid="{00000000-0005-0000-0000-0000A9450000}"/>
    <cellStyle name="Normal 14 4 2 2 2 5 2" xfId="27854" xr:uid="{00000000-0005-0000-0000-0000AA450000}"/>
    <cellStyle name="Normal 14 4 2 2 2 6" xfId="21833" xr:uid="{00000000-0005-0000-0000-0000AB450000}"/>
    <cellStyle name="Normal 14 4 2 2 3" xfId="8772" xr:uid="{00000000-0005-0000-0000-0000AC450000}"/>
    <cellStyle name="Normal 14 4 2 2 3 2" xfId="11157" xr:uid="{00000000-0005-0000-0000-0000AD450000}"/>
    <cellStyle name="Normal 14 4 2 2 3 2 2" xfId="14797" xr:uid="{00000000-0005-0000-0000-0000AE450000}"/>
    <cellStyle name="Normal 14 4 2 2 3 2 2 2" xfId="27855" xr:uid="{00000000-0005-0000-0000-0000AF450000}"/>
    <cellStyle name="Normal 14 4 2 2 3 2 3" xfId="14798" xr:uid="{00000000-0005-0000-0000-0000B0450000}"/>
    <cellStyle name="Normal 14 4 2 2 3 2 3 2" xfId="27856" xr:uid="{00000000-0005-0000-0000-0000B1450000}"/>
    <cellStyle name="Normal 14 4 2 2 3 2 4" xfId="24527" xr:uid="{00000000-0005-0000-0000-0000B2450000}"/>
    <cellStyle name="Normal 14 4 2 2 3 3" xfId="14799" xr:uid="{00000000-0005-0000-0000-0000B3450000}"/>
    <cellStyle name="Normal 14 4 2 2 3 3 2" xfId="27857" xr:uid="{00000000-0005-0000-0000-0000B4450000}"/>
    <cellStyle name="Normal 14 4 2 2 3 4" xfId="14800" xr:uid="{00000000-0005-0000-0000-0000B5450000}"/>
    <cellStyle name="Normal 14 4 2 2 3 4 2" xfId="27858" xr:uid="{00000000-0005-0000-0000-0000B6450000}"/>
    <cellStyle name="Normal 14 4 2 2 3 5" xfId="22371" xr:uid="{00000000-0005-0000-0000-0000B7450000}"/>
    <cellStyle name="Normal 14 4 2 2 4" xfId="10079" xr:uid="{00000000-0005-0000-0000-0000B8450000}"/>
    <cellStyle name="Normal 14 4 2 2 4 2" xfId="14801" xr:uid="{00000000-0005-0000-0000-0000B9450000}"/>
    <cellStyle name="Normal 14 4 2 2 4 2 2" xfId="27859" xr:uid="{00000000-0005-0000-0000-0000BA450000}"/>
    <cellStyle name="Normal 14 4 2 2 4 3" xfId="14802" xr:uid="{00000000-0005-0000-0000-0000BB450000}"/>
    <cellStyle name="Normal 14 4 2 2 4 3 2" xfId="27860" xr:uid="{00000000-0005-0000-0000-0000BC450000}"/>
    <cellStyle name="Normal 14 4 2 2 4 4" xfId="23449" xr:uid="{00000000-0005-0000-0000-0000BD450000}"/>
    <cellStyle name="Normal 14 4 2 2 5" xfId="14803" xr:uid="{00000000-0005-0000-0000-0000BE450000}"/>
    <cellStyle name="Normal 14 4 2 2 5 2" xfId="27861" xr:uid="{00000000-0005-0000-0000-0000BF450000}"/>
    <cellStyle name="Normal 14 4 2 2 6" xfId="14804" xr:uid="{00000000-0005-0000-0000-0000C0450000}"/>
    <cellStyle name="Normal 14 4 2 2 6 2" xfId="27862" xr:uid="{00000000-0005-0000-0000-0000C1450000}"/>
    <cellStyle name="Normal 14 4 2 2 7" xfId="21293" xr:uid="{00000000-0005-0000-0000-0000C2450000}"/>
    <cellStyle name="Normal 14 4 2 3" xfId="7170" xr:uid="{00000000-0005-0000-0000-0000C3450000}"/>
    <cellStyle name="Normal 14 4 2 3 2" xfId="9049" xr:uid="{00000000-0005-0000-0000-0000C4450000}"/>
    <cellStyle name="Normal 14 4 2 3 2 2" xfId="11428" xr:uid="{00000000-0005-0000-0000-0000C5450000}"/>
    <cellStyle name="Normal 14 4 2 3 2 2 2" xfId="14805" xr:uid="{00000000-0005-0000-0000-0000C6450000}"/>
    <cellStyle name="Normal 14 4 2 3 2 2 2 2" xfId="27863" xr:uid="{00000000-0005-0000-0000-0000C7450000}"/>
    <cellStyle name="Normal 14 4 2 3 2 2 3" xfId="14806" xr:uid="{00000000-0005-0000-0000-0000C8450000}"/>
    <cellStyle name="Normal 14 4 2 3 2 2 3 2" xfId="27864" xr:uid="{00000000-0005-0000-0000-0000C9450000}"/>
    <cellStyle name="Normal 14 4 2 3 2 2 4" xfId="24798" xr:uid="{00000000-0005-0000-0000-0000CA450000}"/>
    <cellStyle name="Normal 14 4 2 3 2 3" xfId="14807" xr:uid="{00000000-0005-0000-0000-0000CB450000}"/>
    <cellStyle name="Normal 14 4 2 3 2 3 2" xfId="27865" xr:uid="{00000000-0005-0000-0000-0000CC450000}"/>
    <cellStyle name="Normal 14 4 2 3 2 4" xfId="14808" xr:uid="{00000000-0005-0000-0000-0000CD450000}"/>
    <cellStyle name="Normal 14 4 2 3 2 4 2" xfId="27866" xr:uid="{00000000-0005-0000-0000-0000CE450000}"/>
    <cellStyle name="Normal 14 4 2 3 2 5" xfId="22642" xr:uid="{00000000-0005-0000-0000-0000CF450000}"/>
    <cellStyle name="Normal 14 4 2 3 3" xfId="10350" xr:uid="{00000000-0005-0000-0000-0000D0450000}"/>
    <cellStyle name="Normal 14 4 2 3 3 2" xfId="14809" xr:uid="{00000000-0005-0000-0000-0000D1450000}"/>
    <cellStyle name="Normal 14 4 2 3 3 2 2" xfId="27867" xr:uid="{00000000-0005-0000-0000-0000D2450000}"/>
    <cellStyle name="Normal 14 4 2 3 3 3" xfId="14810" xr:uid="{00000000-0005-0000-0000-0000D3450000}"/>
    <cellStyle name="Normal 14 4 2 3 3 3 2" xfId="27868" xr:uid="{00000000-0005-0000-0000-0000D4450000}"/>
    <cellStyle name="Normal 14 4 2 3 3 4" xfId="23720" xr:uid="{00000000-0005-0000-0000-0000D5450000}"/>
    <cellStyle name="Normal 14 4 2 3 4" xfId="14811" xr:uid="{00000000-0005-0000-0000-0000D6450000}"/>
    <cellStyle name="Normal 14 4 2 3 4 2" xfId="27869" xr:uid="{00000000-0005-0000-0000-0000D7450000}"/>
    <cellStyle name="Normal 14 4 2 3 5" xfId="14812" xr:uid="{00000000-0005-0000-0000-0000D8450000}"/>
    <cellStyle name="Normal 14 4 2 3 5 2" xfId="27870" xr:uid="{00000000-0005-0000-0000-0000D9450000}"/>
    <cellStyle name="Normal 14 4 2 3 6" xfId="21564" xr:uid="{00000000-0005-0000-0000-0000DA450000}"/>
    <cellStyle name="Normal 14 4 2 4" xfId="8447" xr:uid="{00000000-0005-0000-0000-0000DB450000}"/>
    <cellStyle name="Normal 14 4 2 4 2" xfId="10888" xr:uid="{00000000-0005-0000-0000-0000DC450000}"/>
    <cellStyle name="Normal 14 4 2 4 2 2" xfId="14813" xr:uid="{00000000-0005-0000-0000-0000DD450000}"/>
    <cellStyle name="Normal 14 4 2 4 2 2 2" xfId="27871" xr:uid="{00000000-0005-0000-0000-0000DE450000}"/>
    <cellStyle name="Normal 14 4 2 4 2 3" xfId="14814" xr:uid="{00000000-0005-0000-0000-0000DF450000}"/>
    <cellStyle name="Normal 14 4 2 4 2 3 2" xfId="27872" xr:uid="{00000000-0005-0000-0000-0000E0450000}"/>
    <cellStyle name="Normal 14 4 2 4 2 4" xfId="24258" xr:uid="{00000000-0005-0000-0000-0000E1450000}"/>
    <cellStyle name="Normal 14 4 2 4 3" xfId="14815" xr:uid="{00000000-0005-0000-0000-0000E2450000}"/>
    <cellStyle name="Normal 14 4 2 4 3 2" xfId="27873" xr:uid="{00000000-0005-0000-0000-0000E3450000}"/>
    <cellStyle name="Normal 14 4 2 4 4" xfId="14816" xr:uid="{00000000-0005-0000-0000-0000E4450000}"/>
    <cellStyle name="Normal 14 4 2 4 4 2" xfId="27874" xr:uid="{00000000-0005-0000-0000-0000E5450000}"/>
    <cellStyle name="Normal 14 4 2 4 5" xfId="22102" xr:uid="{00000000-0005-0000-0000-0000E6450000}"/>
    <cellStyle name="Normal 14 4 2 5" xfId="9810" xr:uid="{00000000-0005-0000-0000-0000E7450000}"/>
    <cellStyle name="Normal 14 4 2 5 2" xfId="14817" xr:uid="{00000000-0005-0000-0000-0000E8450000}"/>
    <cellStyle name="Normal 14 4 2 5 2 2" xfId="27875" xr:uid="{00000000-0005-0000-0000-0000E9450000}"/>
    <cellStyle name="Normal 14 4 2 5 3" xfId="14818" xr:uid="{00000000-0005-0000-0000-0000EA450000}"/>
    <cellStyle name="Normal 14 4 2 5 3 2" xfId="27876" xr:uid="{00000000-0005-0000-0000-0000EB450000}"/>
    <cellStyle name="Normal 14 4 2 5 4" xfId="23180" xr:uid="{00000000-0005-0000-0000-0000EC450000}"/>
    <cellStyle name="Normal 14 4 2 6" xfId="14819" xr:uid="{00000000-0005-0000-0000-0000ED450000}"/>
    <cellStyle name="Normal 14 4 2 6 2" xfId="27877" xr:uid="{00000000-0005-0000-0000-0000EE450000}"/>
    <cellStyle name="Normal 14 4 2 7" xfId="14820" xr:uid="{00000000-0005-0000-0000-0000EF450000}"/>
    <cellStyle name="Normal 14 4 2 7 2" xfId="27878" xr:uid="{00000000-0005-0000-0000-0000F0450000}"/>
    <cellStyle name="Normal 14 4 2 8" xfId="21024" xr:uid="{00000000-0005-0000-0000-0000F1450000}"/>
    <cellStyle name="Normal 14 4 3" xfId="6601" xr:uid="{00000000-0005-0000-0000-0000F2450000}"/>
    <cellStyle name="Normal 14 4 3 2" xfId="7297" xr:uid="{00000000-0005-0000-0000-0000F3450000}"/>
    <cellStyle name="Normal 14 4 3 2 2" xfId="9176" xr:uid="{00000000-0005-0000-0000-0000F4450000}"/>
    <cellStyle name="Normal 14 4 3 2 2 2" xfId="11555" xr:uid="{00000000-0005-0000-0000-0000F5450000}"/>
    <cellStyle name="Normal 14 4 3 2 2 2 2" xfId="14821" xr:uid="{00000000-0005-0000-0000-0000F6450000}"/>
    <cellStyle name="Normal 14 4 3 2 2 2 2 2" xfId="27879" xr:uid="{00000000-0005-0000-0000-0000F7450000}"/>
    <cellStyle name="Normal 14 4 3 2 2 2 3" xfId="14822" xr:uid="{00000000-0005-0000-0000-0000F8450000}"/>
    <cellStyle name="Normal 14 4 3 2 2 2 3 2" xfId="27880" xr:uid="{00000000-0005-0000-0000-0000F9450000}"/>
    <cellStyle name="Normal 14 4 3 2 2 2 4" xfId="24925" xr:uid="{00000000-0005-0000-0000-0000FA450000}"/>
    <cellStyle name="Normal 14 4 3 2 2 3" xfId="14823" xr:uid="{00000000-0005-0000-0000-0000FB450000}"/>
    <cellStyle name="Normal 14 4 3 2 2 3 2" xfId="27881" xr:uid="{00000000-0005-0000-0000-0000FC450000}"/>
    <cellStyle name="Normal 14 4 3 2 2 4" xfId="14824" xr:uid="{00000000-0005-0000-0000-0000FD450000}"/>
    <cellStyle name="Normal 14 4 3 2 2 4 2" xfId="27882" xr:uid="{00000000-0005-0000-0000-0000FE450000}"/>
    <cellStyle name="Normal 14 4 3 2 2 5" xfId="22769" xr:uid="{00000000-0005-0000-0000-0000FF450000}"/>
    <cellStyle name="Normal 14 4 3 2 3" xfId="10477" xr:uid="{00000000-0005-0000-0000-000000460000}"/>
    <cellStyle name="Normal 14 4 3 2 3 2" xfId="14825" xr:uid="{00000000-0005-0000-0000-000001460000}"/>
    <cellStyle name="Normal 14 4 3 2 3 2 2" xfId="27883" xr:uid="{00000000-0005-0000-0000-000002460000}"/>
    <cellStyle name="Normal 14 4 3 2 3 3" xfId="14826" xr:uid="{00000000-0005-0000-0000-000003460000}"/>
    <cellStyle name="Normal 14 4 3 2 3 3 2" xfId="27884" xr:uid="{00000000-0005-0000-0000-000004460000}"/>
    <cellStyle name="Normal 14 4 3 2 3 4" xfId="23847" xr:uid="{00000000-0005-0000-0000-000005460000}"/>
    <cellStyle name="Normal 14 4 3 2 4" xfId="14827" xr:uid="{00000000-0005-0000-0000-000006460000}"/>
    <cellStyle name="Normal 14 4 3 2 4 2" xfId="27885" xr:uid="{00000000-0005-0000-0000-000007460000}"/>
    <cellStyle name="Normal 14 4 3 2 5" xfId="14828" xr:uid="{00000000-0005-0000-0000-000008460000}"/>
    <cellStyle name="Normal 14 4 3 2 5 2" xfId="27886" xr:uid="{00000000-0005-0000-0000-000009460000}"/>
    <cellStyle name="Normal 14 4 3 2 6" xfId="21691" xr:uid="{00000000-0005-0000-0000-00000A460000}"/>
    <cellStyle name="Normal 14 4 3 3" xfId="8629" xr:uid="{00000000-0005-0000-0000-00000B460000}"/>
    <cellStyle name="Normal 14 4 3 3 2" xfId="11015" xr:uid="{00000000-0005-0000-0000-00000C460000}"/>
    <cellStyle name="Normal 14 4 3 3 2 2" xfId="14829" xr:uid="{00000000-0005-0000-0000-00000D460000}"/>
    <cellStyle name="Normal 14 4 3 3 2 2 2" xfId="27887" xr:uid="{00000000-0005-0000-0000-00000E460000}"/>
    <cellStyle name="Normal 14 4 3 3 2 3" xfId="14830" xr:uid="{00000000-0005-0000-0000-00000F460000}"/>
    <cellStyle name="Normal 14 4 3 3 2 3 2" xfId="27888" xr:uid="{00000000-0005-0000-0000-000010460000}"/>
    <cellStyle name="Normal 14 4 3 3 2 4" xfId="24385" xr:uid="{00000000-0005-0000-0000-000011460000}"/>
    <cellStyle name="Normal 14 4 3 3 3" xfId="14831" xr:uid="{00000000-0005-0000-0000-000012460000}"/>
    <cellStyle name="Normal 14 4 3 3 3 2" xfId="27889" xr:uid="{00000000-0005-0000-0000-000013460000}"/>
    <cellStyle name="Normal 14 4 3 3 4" xfId="14832" xr:uid="{00000000-0005-0000-0000-000014460000}"/>
    <cellStyle name="Normal 14 4 3 3 4 2" xfId="27890" xr:uid="{00000000-0005-0000-0000-000015460000}"/>
    <cellStyle name="Normal 14 4 3 3 5" xfId="22229" xr:uid="{00000000-0005-0000-0000-000016460000}"/>
    <cellStyle name="Normal 14 4 3 4" xfId="9937" xr:uid="{00000000-0005-0000-0000-000017460000}"/>
    <cellStyle name="Normal 14 4 3 4 2" xfId="14833" xr:uid="{00000000-0005-0000-0000-000018460000}"/>
    <cellStyle name="Normal 14 4 3 4 2 2" xfId="27891" xr:uid="{00000000-0005-0000-0000-000019460000}"/>
    <cellStyle name="Normal 14 4 3 4 3" xfId="14834" xr:uid="{00000000-0005-0000-0000-00001A460000}"/>
    <cellStyle name="Normal 14 4 3 4 3 2" xfId="27892" xr:uid="{00000000-0005-0000-0000-00001B460000}"/>
    <cellStyle name="Normal 14 4 3 4 4" xfId="23307" xr:uid="{00000000-0005-0000-0000-00001C460000}"/>
    <cellStyle name="Normal 14 4 3 5" xfId="14835" xr:uid="{00000000-0005-0000-0000-00001D460000}"/>
    <cellStyle name="Normal 14 4 3 5 2" xfId="27893" xr:uid="{00000000-0005-0000-0000-00001E460000}"/>
    <cellStyle name="Normal 14 4 3 6" xfId="14836" xr:uid="{00000000-0005-0000-0000-00001F460000}"/>
    <cellStyle name="Normal 14 4 3 6 2" xfId="27894" xr:uid="{00000000-0005-0000-0000-000020460000}"/>
    <cellStyle name="Normal 14 4 3 7" xfId="21151" xr:uid="{00000000-0005-0000-0000-000021460000}"/>
    <cellStyle name="Normal 14 4 4" xfId="7027" xr:uid="{00000000-0005-0000-0000-000022460000}"/>
    <cellStyle name="Normal 14 4 4 2" xfId="8907" xr:uid="{00000000-0005-0000-0000-000023460000}"/>
    <cellStyle name="Normal 14 4 4 2 2" xfId="11286" xr:uid="{00000000-0005-0000-0000-000024460000}"/>
    <cellStyle name="Normal 14 4 4 2 2 2" xfId="14837" xr:uid="{00000000-0005-0000-0000-000025460000}"/>
    <cellStyle name="Normal 14 4 4 2 2 2 2" xfId="27895" xr:uid="{00000000-0005-0000-0000-000026460000}"/>
    <cellStyle name="Normal 14 4 4 2 2 3" xfId="14838" xr:uid="{00000000-0005-0000-0000-000027460000}"/>
    <cellStyle name="Normal 14 4 4 2 2 3 2" xfId="27896" xr:uid="{00000000-0005-0000-0000-000028460000}"/>
    <cellStyle name="Normal 14 4 4 2 2 4" xfId="24656" xr:uid="{00000000-0005-0000-0000-000029460000}"/>
    <cellStyle name="Normal 14 4 4 2 3" xfId="14839" xr:uid="{00000000-0005-0000-0000-00002A460000}"/>
    <cellStyle name="Normal 14 4 4 2 3 2" xfId="27897" xr:uid="{00000000-0005-0000-0000-00002B460000}"/>
    <cellStyle name="Normal 14 4 4 2 4" xfId="14840" xr:uid="{00000000-0005-0000-0000-00002C460000}"/>
    <cellStyle name="Normal 14 4 4 2 4 2" xfId="27898" xr:uid="{00000000-0005-0000-0000-00002D460000}"/>
    <cellStyle name="Normal 14 4 4 2 5" xfId="22500" xr:uid="{00000000-0005-0000-0000-00002E460000}"/>
    <cellStyle name="Normal 14 4 4 3" xfId="10208" xr:uid="{00000000-0005-0000-0000-00002F460000}"/>
    <cellStyle name="Normal 14 4 4 3 2" xfId="14841" xr:uid="{00000000-0005-0000-0000-000030460000}"/>
    <cellStyle name="Normal 14 4 4 3 2 2" xfId="27899" xr:uid="{00000000-0005-0000-0000-000031460000}"/>
    <cellStyle name="Normal 14 4 4 3 3" xfId="14842" xr:uid="{00000000-0005-0000-0000-000032460000}"/>
    <cellStyle name="Normal 14 4 4 3 3 2" xfId="27900" xr:uid="{00000000-0005-0000-0000-000033460000}"/>
    <cellStyle name="Normal 14 4 4 3 4" xfId="23578" xr:uid="{00000000-0005-0000-0000-000034460000}"/>
    <cellStyle name="Normal 14 4 4 4" xfId="14843" xr:uid="{00000000-0005-0000-0000-000035460000}"/>
    <cellStyle name="Normal 14 4 4 4 2" xfId="27901" xr:uid="{00000000-0005-0000-0000-000036460000}"/>
    <cellStyle name="Normal 14 4 4 5" xfId="14844" xr:uid="{00000000-0005-0000-0000-000037460000}"/>
    <cellStyle name="Normal 14 4 4 5 2" xfId="27902" xr:uid="{00000000-0005-0000-0000-000038460000}"/>
    <cellStyle name="Normal 14 4 4 6" xfId="21422" xr:uid="{00000000-0005-0000-0000-000039460000}"/>
    <cellStyle name="Normal 14 4 5" xfId="8231" xr:uid="{00000000-0005-0000-0000-00003A460000}"/>
    <cellStyle name="Normal 14 4 5 2" xfId="10746" xr:uid="{00000000-0005-0000-0000-00003B460000}"/>
    <cellStyle name="Normal 14 4 5 2 2" xfId="14845" xr:uid="{00000000-0005-0000-0000-00003C460000}"/>
    <cellStyle name="Normal 14 4 5 2 2 2" xfId="27903" xr:uid="{00000000-0005-0000-0000-00003D460000}"/>
    <cellStyle name="Normal 14 4 5 2 3" xfId="14846" xr:uid="{00000000-0005-0000-0000-00003E460000}"/>
    <cellStyle name="Normal 14 4 5 2 3 2" xfId="27904" xr:uid="{00000000-0005-0000-0000-00003F460000}"/>
    <cellStyle name="Normal 14 4 5 2 4" xfId="24116" xr:uid="{00000000-0005-0000-0000-000040460000}"/>
    <cellStyle name="Normal 14 4 5 3" xfId="14847" xr:uid="{00000000-0005-0000-0000-000041460000}"/>
    <cellStyle name="Normal 14 4 5 3 2" xfId="27905" xr:uid="{00000000-0005-0000-0000-000042460000}"/>
    <cellStyle name="Normal 14 4 5 4" xfId="14848" xr:uid="{00000000-0005-0000-0000-000043460000}"/>
    <cellStyle name="Normal 14 4 5 4 2" xfId="27906" xr:uid="{00000000-0005-0000-0000-000044460000}"/>
    <cellStyle name="Normal 14 4 5 5" xfId="21960" xr:uid="{00000000-0005-0000-0000-000045460000}"/>
    <cellStyle name="Normal 14 4 6" xfId="9667" xr:uid="{00000000-0005-0000-0000-000046460000}"/>
    <cellStyle name="Normal 14 4 6 2" xfId="14849" xr:uid="{00000000-0005-0000-0000-000047460000}"/>
    <cellStyle name="Normal 14 4 6 2 2" xfId="27907" xr:uid="{00000000-0005-0000-0000-000048460000}"/>
    <cellStyle name="Normal 14 4 6 3" xfId="14850" xr:uid="{00000000-0005-0000-0000-000049460000}"/>
    <cellStyle name="Normal 14 4 6 3 2" xfId="27908" xr:uid="{00000000-0005-0000-0000-00004A460000}"/>
    <cellStyle name="Normal 14 4 6 4" xfId="23038" xr:uid="{00000000-0005-0000-0000-00004B460000}"/>
    <cellStyle name="Normal 14 4 7" xfId="14851" xr:uid="{00000000-0005-0000-0000-00004C460000}"/>
    <cellStyle name="Normal 14 4 7 2" xfId="27909" xr:uid="{00000000-0005-0000-0000-00004D460000}"/>
    <cellStyle name="Normal 14 4 8" xfId="14852" xr:uid="{00000000-0005-0000-0000-00004E460000}"/>
    <cellStyle name="Normal 14 4 8 2" xfId="27910" xr:uid="{00000000-0005-0000-0000-00004F460000}"/>
    <cellStyle name="Normal 14 4 9" xfId="20881" xr:uid="{00000000-0005-0000-0000-000050460000}"/>
    <cellStyle name="Normal 14 5" xfId="4995" xr:uid="{00000000-0005-0000-0000-000051460000}"/>
    <cellStyle name="Normal 14 5 2" xfId="6681" xr:uid="{00000000-0005-0000-0000-000052460000}"/>
    <cellStyle name="Normal 14 5 2 2" xfId="7370" xr:uid="{00000000-0005-0000-0000-000053460000}"/>
    <cellStyle name="Normal 14 5 2 2 2" xfId="9249" xr:uid="{00000000-0005-0000-0000-000054460000}"/>
    <cellStyle name="Normal 14 5 2 2 2 2" xfId="11628" xr:uid="{00000000-0005-0000-0000-000055460000}"/>
    <cellStyle name="Normal 14 5 2 2 2 2 2" xfId="14853" xr:uid="{00000000-0005-0000-0000-000056460000}"/>
    <cellStyle name="Normal 14 5 2 2 2 2 2 2" xfId="27911" xr:uid="{00000000-0005-0000-0000-000057460000}"/>
    <cellStyle name="Normal 14 5 2 2 2 2 3" xfId="14854" xr:uid="{00000000-0005-0000-0000-000058460000}"/>
    <cellStyle name="Normal 14 5 2 2 2 2 3 2" xfId="27912" xr:uid="{00000000-0005-0000-0000-000059460000}"/>
    <cellStyle name="Normal 14 5 2 2 2 2 4" xfId="24998" xr:uid="{00000000-0005-0000-0000-00005A460000}"/>
    <cellStyle name="Normal 14 5 2 2 2 3" xfId="14855" xr:uid="{00000000-0005-0000-0000-00005B460000}"/>
    <cellStyle name="Normal 14 5 2 2 2 3 2" xfId="27913" xr:uid="{00000000-0005-0000-0000-00005C460000}"/>
    <cellStyle name="Normal 14 5 2 2 2 4" xfId="14856" xr:uid="{00000000-0005-0000-0000-00005D460000}"/>
    <cellStyle name="Normal 14 5 2 2 2 4 2" xfId="27914" xr:uid="{00000000-0005-0000-0000-00005E460000}"/>
    <cellStyle name="Normal 14 5 2 2 2 5" xfId="22842" xr:uid="{00000000-0005-0000-0000-00005F460000}"/>
    <cellStyle name="Normal 14 5 2 2 3" xfId="10550" xr:uid="{00000000-0005-0000-0000-000060460000}"/>
    <cellStyle name="Normal 14 5 2 2 3 2" xfId="14857" xr:uid="{00000000-0005-0000-0000-000061460000}"/>
    <cellStyle name="Normal 14 5 2 2 3 2 2" xfId="27915" xr:uid="{00000000-0005-0000-0000-000062460000}"/>
    <cellStyle name="Normal 14 5 2 2 3 3" xfId="14858" xr:uid="{00000000-0005-0000-0000-000063460000}"/>
    <cellStyle name="Normal 14 5 2 2 3 3 2" xfId="27916" xr:uid="{00000000-0005-0000-0000-000064460000}"/>
    <cellStyle name="Normal 14 5 2 2 3 4" xfId="23920" xr:uid="{00000000-0005-0000-0000-000065460000}"/>
    <cellStyle name="Normal 14 5 2 2 4" xfId="14859" xr:uid="{00000000-0005-0000-0000-000066460000}"/>
    <cellStyle name="Normal 14 5 2 2 4 2" xfId="27917" xr:uid="{00000000-0005-0000-0000-000067460000}"/>
    <cellStyle name="Normal 14 5 2 2 5" xfId="14860" xr:uid="{00000000-0005-0000-0000-000068460000}"/>
    <cellStyle name="Normal 14 5 2 2 5 2" xfId="27918" xr:uid="{00000000-0005-0000-0000-000069460000}"/>
    <cellStyle name="Normal 14 5 2 2 6" xfId="21764" xr:uid="{00000000-0005-0000-0000-00006A460000}"/>
    <cellStyle name="Normal 14 5 2 3" xfId="8703" xr:uid="{00000000-0005-0000-0000-00006B460000}"/>
    <cellStyle name="Normal 14 5 2 3 2" xfId="11088" xr:uid="{00000000-0005-0000-0000-00006C460000}"/>
    <cellStyle name="Normal 14 5 2 3 2 2" xfId="14861" xr:uid="{00000000-0005-0000-0000-00006D460000}"/>
    <cellStyle name="Normal 14 5 2 3 2 2 2" xfId="27919" xr:uid="{00000000-0005-0000-0000-00006E460000}"/>
    <cellStyle name="Normal 14 5 2 3 2 3" xfId="14862" xr:uid="{00000000-0005-0000-0000-00006F460000}"/>
    <cellStyle name="Normal 14 5 2 3 2 3 2" xfId="27920" xr:uid="{00000000-0005-0000-0000-000070460000}"/>
    <cellStyle name="Normal 14 5 2 3 2 4" xfId="24458" xr:uid="{00000000-0005-0000-0000-000071460000}"/>
    <cellStyle name="Normal 14 5 2 3 3" xfId="14863" xr:uid="{00000000-0005-0000-0000-000072460000}"/>
    <cellStyle name="Normal 14 5 2 3 3 2" xfId="27921" xr:uid="{00000000-0005-0000-0000-000073460000}"/>
    <cellStyle name="Normal 14 5 2 3 4" xfId="14864" xr:uid="{00000000-0005-0000-0000-000074460000}"/>
    <cellStyle name="Normal 14 5 2 3 4 2" xfId="27922" xr:uid="{00000000-0005-0000-0000-000075460000}"/>
    <cellStyle name="Normal 14 5 2 3 5" xfId="22302" xr:uid="{00000000-0005-0000-0000-000076460000}"/>
    <cellStyle name="Normal 14 5 2 4" xfId="10010" xr:uid="{00000000-0005-0000-0000-000077460000}"/>
    <cellStyle name="Normal 14 5 2 4 2" xfId="14865" xr:uid="{00000000-0005-0000-0000-000078460000}"/>
    <cellStyle name="Normal 14 5 2 4 2 2" xfId="27923" xr:uid="{00000000-0005-0000-0000-000079460000}"/>
    <cellStyle name="Normal 14 5 2 4 3" xfId="14866" xr:uid="{00000000-0005-0000-0000-00007A460000}"/>
    <cellStyle name="Normal 14 5 2 4 3 2" xfId="27924" xr:uid="{00000000-0005-0000-0000-00007B460000}"/>
    <cellStyle name="Normal 14 5 2 4 4" xfId="23380" xr:uid="{00000000-0005-0000-0000-00007C460000}"/>
    <cellStyle name="Normal 14 5 2 5" xfId="14867" xr:uid="{00000000-0005-0000-0000-00007D460000}"/>
    <cellStyle name="Normal 14 5 2 5 2" xfId="27925" xr:uid="{00000000-0005-0000-0000-00007E460000}"/>
    <cellStyle name="Normal 14 5 2 6" xfId="14868" xr:uid="{00000000-0005-0000-0000-00007F460000}"/>
    <cellStyle name="Normal 14 5 2 6 2" xfId="27926" xr:uid="{00000000-0005-0000-0000-000080460000}"/>
    <cellStyle name="Normal 14 5 2 7" xfId="21224" xr:uid="{00000000-0005-0000-0000-000081460000}"/>
    <cellStyle name="Normal 14 5 3" xfId="7101" xr:uid="{00000000-0005-0000-0000-000082460000}"/>
    <cellStyle name="Normal 14 5 3 2" xfId="8980" xr:uid="{00000000-0005-0000-0000-000083460000}"/>
    <cellStyle name="Normal 14 5 3 2 2" xfId="11359" xr:uid="{00000000-0005-0000-0000-000084460000}"/>
    <cellStyle name="Normal 14 5 3 2 2 2" xfId="14869" xr:uid="{00000000-0005-0000-0000-000085460000}"/>
    <cellStyle name="Normal 14 5 3 2 2 2 2" xfId="27927" xr:uid="{00000000-0005-0000-0000-000086460000}"/>
    <cellStyle name="Normal 14 5 3 2 2 3" xfId="14870" xr:uid="{00000000-0005-0000-0000-000087460000}"/>
    <cellStyle name="Normal 14 5 3 2 2 3 2" xfId="27928" xr:uid="{00000000-0005-0000-0000-000088460000}"/>
    <cellStyle name="Normal 14 5 3 2 2 4" xfId="24729" xr:uid="{00000000-0005-0000-0000-000089460000}"/>
    <cellStyle name="Normal 14 5 3 2 3" xfId="14871" xr:uid="{00000000-0005-0000-0000-00008A460000}"/>
    <cellStyle name="Normal 14 5 3 2 3 2" xfId="27929" xr:uid="{00000000-0005-0000-0000-00008B460000}"/>
    <cellStyle name="Normal 14 5 3 2 4" xfId="14872" xr:uid="{00000000-0005-0000-0000-00008C460000}"/>
    <cellStyle name="Normal 14 5 3 2 4 2" xfId="27930" xr:uid="{00000000-0005-0000-0000-00008D460000}"/>
    <cellStyle name="Normal 14 5 3 2 5" xfId="22573" xr:uid="{00000000-0005-0000-0000-00008E460000}"/>
    <cellStyle name="Normal 14 5 3 3" xfId="10281" xr:uid="{00000000-0005-0000-0000-00008F460000}"/>
    <cellStyle name="Normal 14 5 3 3 2" xfId="14873" xr:uid="{00000000-0005-0000-0000-000090460000}"/>
    <cellStyle name="Normal 14 5 3 3 2 2" xfId="27931" xr:uid="{00000000-0005-0000-0000-000091460000}"/>
    <cellStyle name="Normal 14 5 3 3 3" xfId="14874" xr:uid="{00000000-0005-0000-0000-000092460000}"/>
    <cellStyle name="Normal 14 5 3 3 3 2" xfId="27932" xr:uid="{00000000-0005-0000-0000-000093460000}"/>
    <cellStyle name="Normal 14 5 3 3 4" xfId="23651" xr:uid="{00000000-0005-0000-0000-000094460000}"/>
    <cellStyle name="Normal 14 5 3 4" xfId="14875" xr:uid="{00000000-0005-0000-0000-000095460000}"/>
    <cellStyle name="Normal 14 5 3 4 2" xfId="27933" xr:uid="{00000000-0005-0000-0000-000096460000}"/>
    <cellStyle name="Normal 14 5 3 5" xfId="14876" xr:uid="{00000000-0005-0000-0000-000097460000}"/>
    <cellStyle name="Normal 14 5 3 5 2" xfId="27934" xr:uid="{00000000-0005-0000-0000-000098460000}"/>
    <cellStyle name="Normal 14 5 3 6" xfId="21495" xr:uid="{00000000-0005-0000-0000-000099460000}"/>
    <cellStyle name="Normal 14 5 4" xfId="8353" xr:uid="{00000000-0005-0000-0000-00009A460000}"/>
    <cellStyle name="Normal 14 5 4 2" xfId="10819" xr:uid="{00000000-0005-0000-0000-00009B460000}"/>
    <cellStyle name="Normal 14 5 4 2 2" xfId="14877" xr:uid="{00000000-0005-0000-0000-00009C460000}"/>
    <cellStyle name="Normal 14 5 4 2 2 2" xfId="27935" xr:uid="{00000000-0005-0000-0000-00009D460000}"/>
    <cellStyle name="Normal 14 5 4 2 3" xfId="14878" xr:uid="{00000000-0005-0000-0000-00009E460000}"/>
    <cellStyle name="Normal 14 5 4 2 3 2" xfId="27936" xr:uid="{00000000-0005-0000-0000-00009F460000}"/>
    <cellStyle name="Normal 14 5 4 2 4" xfId="24189" xr:uid="{00000000-0005-0000-0000-0000A0460000}"/>
    <cellStyle name="Normal 14 5 4 3" xfId="14879" xr:uid="{00000000-0005-0000-0000-0000A1460000}"/>
    <cellStyle name="Normal 14 5 4 3 2" xfId="27937" xr:uid="{00000000-0005-0000-0000-0000A2460000}"/>
    <cellStyle name="Normal 14 5 4 4" xfId="14880" xr:uid="{00000000-0005-0000-0000-0000A3460000}"/>
    <cellStyle name="Normal 14 5 4 4 2" xfId="27938" xr:uid="{00000000-0005-0000-0000-0000A4460000}"/>
    <cellStyle name="Normal 14 5 4 5" xfId="22033" xr:uid="{00000000-0005-0000-0000-0000A5460000}"/>
    <cellStyle name="Normal 14 5 5" xfId="9741" xr:uid="{00000000-0005-0000-0000-0000A6460000}"/>
    <cellStyle name="Normal 14 5 5 2" xfId="14881" xr:uid="{00000000-0005-0000-0000-0000A7460000}"/>
    <cellStyle name="Normal 14 5 5 2 2" xfId="27939" xr:uid="{00000000-0005-0000-0000-0000A8460000}"/>
    <cellStyle name="Normal 14 5 5 3" xfId="14882" xr:uid="{00000000-0005-0000-0000-0000A9460000}"/>
    <cellStyle name="Normal 14 5 5 3 2" xfId="27940" xr:uid="{00000000-0005-0000-0000-0000AA460000}"/>
    <cellStyle name="Normal 14 5 5 4" xfId="23111" xr:uid="{00000000-0005-0000-0000-0000AB460000}"/>
    <cellStyle name="Normal 14 5 6" xfId="14883" xr:uid="{00000000-0005-0000-0000-0000AC460000}"/>
    <cellStyle name="Normal 14 5 6 2" xfId="27941" xr:uid="{00000000-0005-0000-0000-0000AD460000}"/>
    <cellStyle name="Normal 14 5 7" xfId="14884" xr:uid="{00000000-0005-0000-0000-0000AE460000}"/>
    <cellStyle name="Normal 14 5 7 2" xfId="27942" xr:uid="{00000000-0005-0000-0000-0000AF460000}"/>
    <cellStyle name="Normal 14 5 8" xfId="20955" xr:uid="{00000000-0005-0000-0000-0000B0460000}"/>
    <cellStyle name="Normal 14 6" xfId="6517" xr:uid="{00000000-0005-0000-0000-0000B1460000}"/>
    <cellStyle name="Normal 14 6 2" xfId="7242" xr:uid="{00000000-0005-0000-0000-0000B2460000}"/>
    <cellStyle name="Normal 14 6 2 2" xfId="9121" xr:uid="{00000000-0005-0000-0000-0000B3460000}"/>
    <cellStyle name="Normal 14 6 2 2 2" xfId="11500" xr:uid="{00000000-0005-0000-0000-0000B4460000}"/>
    <cellStyle name="Normal 14 6 2 2 2 2" xfId="14885" xr:uid="{00000000-0005-0000-0000-0000B5460000}"/>
    <cellStyle name="Normal 14 6 2 2 2 2 2" xfId="27943" xr:uid="{00000000-0005-0000-0000-0000B6460000}"/>
    <cellStyle name="Normal 14 6 2 2 2 3" xfId="14886" xr:uid="{00000000-0005-0000-0000-0000B7460000}"/>
    <cellStyle name="Normal 14 6 2 2 2 3 2" xfId="27944" xr:uid="{00000000-0005-0000-0000-0000B8460000}"/>
    <cellStyle name="Normal 14 6 2 2 2 4" xfId="24870" xr:uid="{00000000-0005-0000-0000-0000B9460000}"/>
    <cellStyle name="Normal 14 6 2 2 3" xfId="14887" xr:uid="{00000000-0005-0000-0000-0000BA460000}"/>
    <cellStyle name="Normal 14 6 2 2 3 2" xfId="27945" xr:uid="{00000000-0005-0000-0000-0000BB460000}"/>
    <cellStyle name="Normal 14 6 2 2 4" xfId="14888" xr:uid="{00000000-0005-0000-0000-0000BC460000}"/>
    <cellStyle name="Normal 14 6 2 2 4 2" xfId="27946" xr:uid="{00000000-0005-0000-0000-0000BD460000}"/>
    <cellStyle name="Normal 14 6 2 2 5" xfId="22714" xr:uid="{00000000-0005-0000-0000-0000BE460000}"/>
    <cellStyle name="Normal 14 6 2 3" xfId="10422" xr:uid="{00000000-0005-0000-0000-0000BF460000}"/>
    <cellStyle name="Normal 14 6 2 3 2" xfId="14889" xr:uid="{00000000-0005-0000-0000-0000C0460000}"/>
    <cellStyle name="Normal 14 6 2 3 2 2" xfId="27947" xr:uid="{00000000-0005-0000-0000-0000C1460000}"/>
    <cellStyle name="Normal 14 6 2 3 3" xfId="14890" xr:uid="{00000000-0005-0000-0000-0000C2460000}"/>
    <cellStyle name="Normal 14 6 2 3 3 2" xfId="27948" xr:uid="{00000000-0005-0000-0000-0000C3460000}"/>
    <cellStyle name="Normal 14 6 2 3 4" xfId="23792" xr:uid="{00000000-0005-0000-0000-0000C4460000}"/>
    <cellStyle name="Normal 14 6 2 4" xfId="14891" xr:uid="{00000000-0005-0000-0000-0000C5460000}"/>
    <cellStyle name="Normal 14 6 2 4 2" xfId="27949" xr:uid="{00000000-0005-0000-0000-0000C6460000}"/>
    <cellStyle name="Normal 14 6 2 5" xfId="14892" xr:uid="{00000000-0005-0000-0000-0000C7460000}"/>
    <cellStyle name="Normal 14 6 2 5 2" xfId="27950" xr:uid="{00000000-0005-0000-0000-0000C8460000}"/>
    <cellStyle name="Normal 14 6 2 6" xfId="21636" xr:uid="{00000000-0005-0000-0000-0000C9460000}"/>
    <cellStyle name="Normal 14 6 3" xfId="8573" xr:uid="{00000000-0005-0000-0000-0000CA460000}"/>
    <cellStyle name="Normal 14 6 3 2" xfId="10960" xr:uid="{00000000-0005-0000-0000-0000CB460000}"/>
    <cellStyle name="Normal 14 6 3 2 2" xfId="14893" xr:uid="{00000000-0005-0000-0000-0000CC460000}"/>
    <cellStyle name="Normal 14 6 3 2 2 2" xfId="27951" xr:uid="{00000000-0005-0000-0000-0000CD460000}"/>
    <cellStyle name="Normal 14 6 3 2 3" xfId="14894" xr:uid="{00000000-0005-0000-0000-0000CE460000}"/>
    <cellStyle name="Normal 14 6 3 2 3 2" xfId="27952" xr:uid="{00000000-0005-0000-0000-0000CF460000}"/>
    <cellStyle name="Normal 14 6 3 2 4" xfId="24330" xr:uid="{00000000-0005-0000-0000-0000D0460000}"/>
    <cellStyle name="Normal 14 6 3 3" xfId="14895" xr:uid="{00000000-0005-0000-0000-0000D1460000}"/>
    <cellStyle name="Normal 14 6 3 3 2" xfId="27953" xr:uid="{00000000-0005-0000-0000-0000D2460000}"/>
    <cellStyle name="Normal 14 6 3 4" xfId="14896" xr:uid="{00000000-0005-0000-0000-0000D3460000}"/>
    <cellStyle name="Normal 14 6 3 4 2" xfId="27954" xr:uid="{00000000-0005-0000-0000-0000D4460000}"/>
    <cellStyle name="Normal 14 6 3 5" xfId="22174" xr:uid="{00000000-0005-0000-0000-0000D5460000}"/>
    <cellStyle name="Normal 14 6 4" xfId="9882" xr:uid="{00000000-0005-0000-0000-0000D6460000}"/>
    <cellStyle name="Normal 14 6 4 2" xfId="14897" xr:uid="{00000000-0005-0000-0000-0000D7460000}"/>
    <cellStyle name="Normal 14 6 4 2 2" xfId="27955" xr:uid="{00000000-0005-0000-0000-0000D8460000}"/>
    <cellStyle name="Normal 14 6 4 3" xfId="14898" xr:uid="{00000000-0005-0000-0000-0000D9460000}"/>
    <cellStyle name="Normal 14 6 4 3 2" xfId="27956" xr:uid="{00000000-0005-0000-0000-0000DA460000}"/>
    <cellStyle name="Normal 14 6 4 4" xfId="23252" xr:uid="{00000000-0005-0000-0000-0000DB460000}"/>
    <cellStyle name="Normal 14 6 5" xfId="14899" xr:uid="{00000000-0005-0000-0000-0000DC460000}"/>
    <cellStyle name="Normal 14 6 5 2" xfId="27957" xr:uid="{00000000-0005-0000-0000-0000DD460000}"/>
    <cellStyle name="Normal 14 6 6" xfId="14900" xr:uid="{00000000-0005-0000-0000-0000DE460000}"/>
    <cellStyle name="Normal 14 6 6 2" xfId="27958" xr:uid="{00000000-0005-0000-0000-0000DF460000}"/>
    <cellStyle name="Normal 14 6 7" xfId="21096" xr:uid="{00000000-0005-0000-0000-0000E0460000}"/>
    <cellStyle name="Normal 14 7" xfId="6972" xr:uid="{00000000-0005-0000-0000-0000E1460000}"/>
    <cellStyle name="Normal 14 7 2" xfId="8852" xr:uid="{00000000-0005-0000-0000-0000E2460000}"/>
    <cellStyle name="Normal 14 7 2 2" xfId="11231" xr:uid="{00000000-0005-0000-0000-0000E3460000}"/>
    <cellStyle name="Normal 14 7 2 2 2" xfId="14901" xr:uid="{00000000-0005-0000-0000-0000E4460000}"/>
    <cellStyle name="Normal 14 7 2 2 2 2" xfId="27959" xr:uid="{00000000-0005-0000-0000-0000E5460000}"/>
    <cellStyle name="Normal 14 7 2 2 3" xfId="14902" xr:uid="{00000000-0005-0000-0000-0000E6460000}"/>
    <cellStyle name="Normal 14 7 2 2 3 2" xfId="27960" xr:uid="{00000000-0005-0000-0000-0000E7460000}"/>
    <cellStyle name="Normal 14 7 2 2 4" xfId="24601" xr:uid="{00000000-0005-0000-0000-0000E8460000}"/>
    <cellStyle name="Normal 14 7 2 3" xfId="14903" xr:uid="{00000000-0005-0000-0000-0000E9460000}"/>
    <cellStyle name="Normal 14 7 2 3 2" xfId="27961" xr:uid="{00000000-0005-0000-0000-0000EA460000}"/>
    <cellStyle name="Normal 14 7 2 4" xfId="14904" xr:uid="{00000000-0005-0000-0000-0000EB460000}"/>
    <cellStyle name="Normal 14 7 2 4 2" xfId="27962" xr:uid="{00000000-0005-0000-0000-0000EC460000}"/>
    <cellStyle name="Normal 14 7 2 5" xfId="22445" xr:uid="{00000000-0005-0000-0000-0000ED460000}"/>
    <cellStyle name="Normal 14 7 3" xfId="10153" xr:uid="{00000000-0005-0000-0000-0000EE460000}"/>
    <cellStyle name="Normal 14 7 3 2" xfId="14905" xr:uid="{00000000-0005-0000-0000-0000EF460000}"/>
    <cellStyle name="Normal 14 7 3 2 2" xfId="27963" xr:uid="{00000000-0005-0000-0000-0000F0460000}"/>
    <cellStyle name="Normal 14 7 3 3" xfId="14906" xr:uid="{00000000-0005-0000-0000-0000F1460000}"/>
    <cellStyle name="Normal 14 7 3 3 2" xfId="27964" xr:uid="{00000000-0005-0000-0000-0000F2460000}"/>
    <cellStyle name="Normal 14 7 3 4" xfId="23523" xr:uid="{00000000-0005-0000-0000-0000F3460000}"/>
    <cellStyle name="Normal 14 7 4" xfId="14907" xr:uid="{00000000-0005-0000-0000-0000F4460000}"/>
    <cellStyle name="Normal 14 7 4 2" xfId="27965" xr:uid="{00000000-0005-0000-0000-0000F5460000}"/>
    <cellStyle name="Normal 14 7 5" xfId="14908" xr:uid="{00000000-0005-0000-0000-0000F6460000}"/>
    <cellStyle name="Normal 14 7 5 2" xfId="27966" xr:uid="{00000000-0005-0000-0000-0000F7460000}"/>
    <cellStyle name="Normal 14 7 6" xfId="21367" xr:uid="{00000000-0005-0000-0000-0000F8460000}"/>
    <cellStyle name="Normal 14 8" xfId="8065" xr:uid="{00000000-0005-0000-0000-0000F9460000}"/>
    <cellStyle name="Normal 14 8 2" xfId="10691" xr:uid="{00000000-0005-0000-0000-0000FA460000}"/>
    <cellStyle name="Normal 14 8 2 2" xfId="14909" xr:uid="{00000000-0005-0000-0000-0000FB460000}"/>
    <cellStyle name="Normal 14 8 2 2 2" xfId="27967" xr:uid="{00000000-0005-0000-0000-0000FC460000}"/>
    <cellStyle name="Normal 14 8 2 3" xfId="14910" xr:uid="{00000000-0005-0000-0000-0000FD460000}"/>
    <cellStyle name="Normal 14 8 2 3 2" xfId="27968" xr:uid="{00000000-0005-0000-0000-0000FE460000}"/>
    <cellStyle name="Normal 14 8 2 4" xfId="24061" xr:uid="{00000000-0005-0000-0000-0000FF460000}"/>
    <cellStyle name="Normal 14 8 3" xfId="14911" xr:uid="{00000000-0005-0000-0000-000000470000}"/>
    <cellStyle name="Normal 14 8 3 2" xfId="27969" xr:uid="{00000000-0005-0000-0000-000001470000}"/>
    <cellStyle name="Normal 14 8 4" xfId="14912" xr:uid="{00000000-0005-0000-0000-000002470000}"/>
    <cellStyle name="Normal 14 8 4 2" xfId="27970" xr:uid="{00000000-0005-0000-0000-000003470000}"/>
    <cellStyle name="Normal 14 8 5" xfId="21905" xr:uid="{00000000-0005-0000-0000-000004470000}"/>
    <cellStyle name="Normal 14 9" xfId="9612" xr:uid="{00000000-0005-0000-0000-000005470000}"/>
    <cellStyle name="Normal 14 9 2" xfId="14913" xr:uid="{00000000-0005-0000-0000-000006470000}"/>
    <cellStyle name="Normal 14 9 2 2" xfId="27971" xr:uid="{00000000-0005-0000-0000-000007470000}"/>
    <cellStyle name="Normal 14 9 3" xfId="14914" xr:uid="{00000000-0005-0000-0000-000008470000}"/>
    <cellStyle name="Normal 14 9 3 2" xfId="27972" xr:uid="{00000000-0005-0000-0000-000009470000}"/>
    <cellStyle name="Normal 14 9 4" xfId="22983" xr:uid="{00000000-0005-0000-0000-00000A470000}"/>
    <cellStyle name="Normal 140" xfId="33777" xr:uid="{00000000-0005-0000-0000-00000B470000}"/>
    <cellStyle name="Normal 141" xfId="33779" xr:uid="{00000000-0005-0000-0000-00000C470000}"/>
    <cellStyle name="Normal 142" xfId="33784" xr:uid="{00000000-0005-0000-0000-00000D470000}"/>
    <cellStyle name="Normal 143" xfId="33786" xr:uid="{00000000-0005-0000-0000-00000E470000}"/>
    <cellStyle name="Normal 144" xfId="33788" xr:uid="{00000000-0005-0000-0000-00000F470000}"/>
    <cellStyle name="Normal 145" xfId="33790" xr:uid="{00000000-0005-0000-0000-000010470000}"/>
    <cellStyle name="Normal 146" xfId="33782" xr:uid="{00000000-0005-0000-0000-000011470000}"/>
    <cellStyle name="Normal 147" xfId="33792" xr:uid="{00000000-0005-0000-0000-000012470000}"/>
    <cellStyle name="Normal 148" xfId="33794" xr:uid="{00000000-0005-0000-0000-000013470000}"/>
    <cellStyle name="Normal 149" xfId="33796" xr:uid="{00000000-0005-0000-0000-000014470000}"/>
    <cellStyle name="Normal 15" xfId="2285" xr:uid="{00000000-0005-0000-0000-000015470000}"/>
    <cellStyle name="Normal 15 10" xfId="14915" xr:uid="{00000000-0005-0000-0000-000016470000}"/>
    <cellStyle name="Normal 15 10 2" xfId="27973" xr:uid="{00000000-0005-0000-0000-000017470000}"/>
    <cellStyle name="Normal 15 11" xfId="14916" xr:uid="{00000000-0005-0000-0000-000018470000}"/>
    <cellStyle name="Normal 15 11 2" xfId="27974" xr:uid="{00000000-0005-0000-0000-000019470000}"/>
    <cellStyle name="Normal 15 12" xfId="20827" xr:uid="{00000000-0005-0000-0000-00001A470000}"/>
    <cellStyle name="Normal 15 2" xfId="3543" xr:uid="{00000000-0005-0000-0000-00001B470000}"/>
    <cellStyle name="Normal 15 2 10" xfId="20842" xr:uid="{00000000-0005-0000-0000-00001C470000}"/>
    <cellStyle name="Normal 15 2 2" xfId="4080" xr:uid="{00000000-0005-0000-0000-00001D470000}"/>
    <cellStyle name="Normal 15 2 2 2" xfId="5616" xr:uid="{00000000-0005-0000-0000-00001E470000}"/>
    <cellStyle name="Normal 15 2 2 2 2" xfId="6768" xr:uid="{00000000-0005-0000-0000-00001F470000}"/>
    <cellStyle name="Normal 15 2 2 2 2 2" xfId="7455" xr:uid="{00000000-0005-0000-0000-000020470000}"/>
    <cellStyle name="Normal 15 2 2 2 2 2 2" xfId="9334" xr:uid="{00000000-0005-0000-0000-000021470000}"/>
    <cellStyle name="Normal 15 2 2 2 2 2 2 2" xfId="11713" xr:uid="{00000000-0005-0000-0000-000022470000}"/>
    <cellStyle name="Normal 15 2 2 2 2 2 2 2 2" xfId="14917" xr:uid="{00000000-0005-0000-0000-000023470000}"/>
    <cellStyle name="Normal 15 2 2 2 2 2 2 2 2 2" xfId="27975" xr:uid="{00000000-0005-0000-0000-000024470000}"/>
    <cellStyle name="Normal 15 2 2 2 2 2 2 2 3" xfId="14918" xr:uid="{00000000-0005-0000-0000-000025470000}"/>
    <cellStyle name="Normal 15 2 2 2 2 2 2 2 3 2" xfId="27976" xr:uid="{00000000-0005-0000-0000-000026470000}"/>
    <cellStyle name="Normal 15 2 2 2 2 2 2 2 4" xfId="25083" xr:uid="{00000000-0005-0000-0000-000027470000}"/>
    <cellStyle name="Normal 15 2 2 2 2 2 2 3" xfId="14919" xr:uid="{00000000-0005-0000-0000-000028470000}"/>
    <cellStyle name="Normal 15 2 2 2 2 2 2 3 2" xfId="27977" xr:uid="{00000000-0005-0000-0000-000029470000}"/>
    <cellStyle name="Normal 15 2 2 2 2 2 2 4" xfId="14920" xr:uid="{00000000-0005-0000-0000-00002A470000}"/>
    <cellStyle name="Normal 15 2 2 2 2 2 2 4 2" xfId="27978" xr:uid="{00000000-0005-0000-0000-00002B470000}"/>
    <cellStyle name="Normal 15 2 2 2 2 2 2 5" xfId="22927" xr:uid="{00000000-0005-0000-0000-00002C470000}"/>
    <cellStyle name="Normal 15 2 2 2 2 2 3" xfId="10635" xr:uid="{00000000-0005-0000-0000-00002D470000}"/>
    <cellStyle name="Normal 15 2 2 2 2 2 3 2" xfId="14921" xr:uid="{00000000-0005-0000-0000-00002E470000}"/>
    <cellStyle name="Normal 15 2 2 2 2 2 3 2 2" xfId="27979" xr:uid="{00000000-0005-0000-0000-00002F470000}"/>
    <cellStyle name="Normal 15 2 2 2 2 2 3 3" xfId="14922" xr:uid="{00000000-0005-0000-0000-000030470000}"/>
    <cellStyle name="Normal 15 2 2 2 2 2 3 3 2" xfId="27980" xr:uid="{00000000-0005-0000-0000-000031470000}"/>
    <cellStyle name="Normal 15 2 2 2 2 2 3 4" xfId="24005" xr:uid="{00000000-0005-0000-0000-000032470000}"/>
    <cellStyle name="Normal 15 2 2 2 2 2 4" xfId="14923" xr:uid="{00000000-0005-0000-0000-000033470000}"/>
    <cellStyle name="Normal 15 2 2 2 2 2 4 2" xfId="27981" xr:uid="{00000000-0005-0000-0000-000034470000}"/>
    <cellStyle name="Normal 15 2 2 2 2 2 5" xfId="14924" xr:uid="{00000000-0005-0000-0000-000035470000}"/>
    <cellStyle name="Normal 15 2 2 2 2 2 5 2" xfId="27982" xr:uid="{00000000-0005-0000-0000-000036470000}"/>
    <cellStyle name="Normal 15 2 2 2 2 2 6" xfId="21849" xr:uid="{00000000-0005-0000-0000-000037470000}"/>
    <cellStyle name="Normal 15 2 2 2 2 3" xfId="8788" xr:uid="{00000000-0005-0000-0000-000038470000}"/>
    <cellStyle name="Normal 15 2 2 2 2 3 2" xfId="11173" xr:uid="{00000000-0005-0000-0000-000039470000}"/>
    <cellStyle name="Normal 15 2 2 2 2 3 2 2" xfId="14925" xr:uid="{00000000-0005-0000-0000-00003A470000}"/>
    <cellStyle name="Normal 15 2 2 2 2 3 2 2 2" xfId="27983" xr:uid="{00000000-0005-0000-0000-00003B470000}"/>
    <cellStyle name="Normal 15 2 2 2 2 3 2 3" xfId="14926" xr:uid="{00000000-0005-0000-0000-00003C470000}"/>
    <cellStyle name="Normal 15 2 2 2 2 3 2 3 2" xfId="27984" xr:uid="{00000000-0005-0000-0000-00003D470000}"/>
    <cellStyle name="Normal 15 2 2 2 2 3 2 4" xfId="24543" xr:uid="{00000000-0005-0000-0000-00003E470000}"/>
    <cellStyle name="Normal 15 2 2 2 2 3 3" xfId="14927" xr:uid="{00000000-0005-0000-0000-00003F470000}"/>
    <cellStyle name="Normal 15 2 2 2 2 3 3 2" xfId="27985" xr:uid="{00000000-0005-0000-0000-000040470000}"/>
    <cellStyle name="Normal 15 2 2 2 2 3 4" xfId="14928" xr:uid="{00000000-0005-0000-0000-000041470000}"/>
    <cellStyle name="Normal 15 2 2 2 2 3 4 2" xfId="27986" xr:uid="{00000000-0005-0000-0000-000042470000}"/>
    <cellStyle name="Normal 15 2 2 2 2 3 5" xfId="22387" xr:uid="{00000000-0005-0000-0000-000043470000}"/>
    <cellStyle name="Normal 15 2 2 2 2 4" xfId="10095" xr:uid="{00000000-0005-0000-0000-000044470000}"/>
    <cellStyle name="Normal 15 2 2 2 2 4 2" xfId="14929" xr:uid="{00000000-0005-0000-0000-000045470000}"/>
    <cellStyle name="Normal 15 2 2 2 2 4 2 2" xfId="27987" xr:uid="{00000000-0005-0000-0000-000046470000}"/>
    <cellStyle name="Normal 15 2 2 2 2 4 3" xfId="14930" xr:uid="{00000000-0005-0000-0000-000047470000}"/>
    <cellStyle name="Normal 15 2 2 2 2 4 3 2" xfId="27988" xr:uid="{00000000-0005-0000-0000-000048470000}"/>
    <cellStyle name="Normal 15 2 2 2 2 4 4" xfId="23465" xr:uid="{00000000-0005-0000-0000-000049470000}"/>
    <cellStyle name="Normal 15 2 2 2 2 5" xfId="14931" xr:uid="{00000000-0005-0000-0000-00004A470000}"/>
    <cellStyle name="Normal 15 2 2 2 2 5 2" xfId="27989" xr:uid="{00000000-0005-0000-0000-00004B470000}"/>
    <cellStyle name="Normal 15 2 2 2 2 6" xfId="14932" xr:uid="{00000000-0005-0000-0000-00004C470000}"/>
    <cellStyle name="Normal 15 2 2 2 2 6 2" xfId="27990" xr:uid="{00000000-0005-0000-0000-00004D470000}"/>
    <cellStyle name="Normal 15 2 2 2 2 7" xfId="21309" xr:uid="{00000000-0005-0000-0000-00004E470000}"/>
    <cellStyle name="Normal 15 2 2 2 3" xfId="7186" xr:uid="{00000000-0005-0000-0000-00004F470000}"/>
    <cellStyle name="Normal 15 2 2 2 3 2" xfId="9065" xr:uid="{00000000-0005-0000-0000-000050470000}"/>
    <cellStyle name="Normal 15 2 2 2 3 2 2" xfId="11444" xr:uid="{00000000-0005-0000-0000-000051470000}"/>
    <cellStyle name="Normal 15 2 2 2 3 2 2 2" xfId="14933" xr:uid="{00000000-0005-0000-0000-000052470000}"/>
    <cellStyle name="Normal 15 2 2 2 3 2 2 2 2" xfId="27991" xr:uid="{00000000-0005-0000-0000-000053470000}"/>
    <cellStyle name="Normal 15 2 2 2 3 2 2 3" xfId="14934" xr:uid="{00000000-0005-0000-0000-000054470000}"/>
    <cellStyle name="Normal 15 2 2 2 3 2 2 3 2" xfId="27992" xr:uid="{00000000-0005-0000-0000-000055470000}"/>
    <cellStyle name="Normal 15 2 2 2 3 2 2 4" xfId="24814" xr:uid="{00000000-0005-0000-0000-000056470000}"/>
    <cellStyle name="Normal 15 2 2 2 3 2 3" xfId="14935" xr:uid="{00000000-0005-0000-0000-000057470000}"/>
    <cellStyle name="Normal 15 2 2 2 3 2 3 2" xfId="27993" xr:uid="{00000000-0005-0000-0000-000058470000}"/>
    <cellStyle name="Normal 15 2 2 2 3 2 4" xfId="14936" xr:uid="{00000000-0005-0000-0000-000059470000}"/>
    <cellStyle name="Normal 15 2 2 2 3 2 4 2" xfId="27994" xr:uid="{00000000-0005-0000-0000-00005A470000}"/>
    <cellStyle name="Normal 15 2 2 2 3 2 5" xfId="22658" xr:uid="{00000000-0005-0000-0000-00005B470000}"/>
    <cellStyle name="Normal 15 2 2 2 3 3" xfId="10366" xr:uid="{00000000-0005-0000-0000-00005C470000}"/>
    <cellStyle name="Normal 15 2 2 2 3 3 2" xfId="14937" xr:uid="{00000000-0005-0000-0000-00005D470000}"/>
    <cellStyle name="Normal 15 2 2 2 3 3 2 2" xfId="27995" xr:uid="{00000000-0005-0000-0000-00005E470000}"/>
    <cellStyle name="Normal 15 2 2 2 3 3 3" xfId="14938" xr:uid="{00000000-0005-0000-0000-00005F470000}"/>
    <cellStyle name="Normal 15 2 2 2 3 3 3 2" xfId="27996" xr:uid="{00000000-0005-0000-0000-000060470000}"/>
    <cellStyle name="Normal 15 2 2 2 3 3 4" xfId="23736" xr:uid="{00000000-0005-0000-0000-000061470000}"/>
    <cellStyle name="Normal 15 2 2 2 3 4" xfId="14939" xr:uid="{00000000-0005-0000-0000-000062470000}"/>
    <cellStyle name="Normal 15 2 2 2 3 4 2" xfId="27997" xr:uid="{00000000-0005-0000-0000-000063470000}"/>
    <cellStyle name="Normal 15 2 2 2 3 5" xfId="14940" xr:uid="{00000000-0005-0000-0000-000064470000}"/>
    <cellStyle name="Normal 15 2 2 2 3 5 2" xfId="27998" xr:uid="{00000000-0005-0000-0000-000065470000}"/>
    <cellStyle name="Normal 15 2 2 2 3 6" xfId="21580" xr:uid="{00000000-0005-0000-0000-000066470000}"/>
    <cellStyle name="Normal 15 2 2 2 4" xfId="8463" xr:uid="{00000000-0005-0000-0000-000067470000}"/>
    <cellStyle name="Normal 15 2 2 2 4 2" xfId="10904" xr:uid="{00000000-0005-0000-0000-000068470000}"/>
    <cellStyle name="Normal 15 2 2 2 4 2 2" xfId="14941" xr:uid="{00000000-0005-0000-0000-000069470000}"/>
    <cellStyle name="Normal 15 2 2 2 4 2 2 2" xfId="27999" xr:uid="{00000000-0005-0000-0000-00006A470000}"/>
    <cellStyle name="Normal 15 2 2 2 4 2 3" xfId="14942" xr:uid="{00000000-0005-0000-0000-00006B470000}"/>
    <cellStyle name="Normal 15 2 2 2 4 2 3 2" xfId="28000" xr:uid="{00000000-0005-0000-0000-00006C470000}"/>
    <cellStyle name="Normal 15 2 2 2 4 2 4" xfId="24274" xr:uid="{00000000-0005-0000-0000-00006D470000}"/>
    <cellStyle name="Normal 15 2 2 2 4 3" xfId="14943" xr:uid="{00000000-0005-0000-0000-00006E470000}"/>
    <cellStyle name="Normal 15 2 2 2 4 3 2" xfId="28001" xr:uid="{00000000-0005-0000-0000-00006F470000}"/>
    <cellStyle name="Normal 15 2 2 2 4 4" xfId="14944" xr:uid="{00000000-0005-0000-0000-000070470000}"/>
    <cellStyle name="Normal 15 2 2 2 4 4 2" xfId="28002" xr:uid="{00000000-0005-0000-0000-000071470000}"/>
    <cellStyle name="Normal 15 2 2 2 4 5" xfId="22118" xr:uid="{00000000-0005-0000-0000-000072470000}"/>
    <cellStyle name="Normal 15 2 2 2 5" xfId="9826" xr:uid="{00000000-0005-0000-0000-000073470000}"/>
    <cellStyle name="Normal 15 2 2 2 5 2" xfId="14945" xr:uid="{00000000-0005-0000-0000-000074470000}"/>
    <cellStyle name="Normal 15 2 2 2 5 2 2" xfId="28003" xr:uid="{00000000-0005-0000-0000-000075470000}"/>
    <cellStyle name="Normal 15 2 2 2 5 3" xfId="14946" xr:uid="{00000000-0005-0000-0000-000076470000}"/>
    <cellStyle name="Normal 15 2 2 2 5 3 2" xfId="28004" xr:uid="{00000000-0005-0000-0000-000077470000}"/>
    <cellStyle name="Normal 15 2 2 2 5 4" xfId="23196" xr:uid="{00000000-0005-0000-0000-000078470000}"/>
    <cellStyle name="Normal 15 2 2 2 6" xfId="14947" xr:uid="{00000000-0005-0000-0000-000079470000}"/>
    <cellStyle name="Normal 15 2 2 2 6 2" xfId="28005" xr:uid="{00000000-0005-0000-0000-00007A470000}"/>
    <cellStyle name="Normal 15 2 2 2 7" xfId="14948" xr:uid="{00000000-0005-0000-0000-00007B470000}"/>
    <cellStyle name="Normal 15 2 2 2 7 2" xfId="28006" xr:uid="{00000000-0005-0000-0000-00007C470000}"/>
    <cellStyle name="Normal 15 2 2 2 8" xfId="21040" xr:uid="{00000000-0005-0000-0000-00007D470000}"/>
    <cellStyle name="Normal 15 2 2 3" xfId="6617" xr:uid="{00000000-0005-0000-0000-00007E470000}"/>
    <cellStyle name="Normal 15 2 2 3 2" xfId="7313" xr:uid="{00000000-0005-0000-0000-00007F470000}"/>
    <cellStyle name="Normal 15 2 2 3 2 2" xfId="9192" xr:uid="{00000000-0005-0000-0000-000080470000}"/>
    <cellStyle name="Normal 15 2 2 3 2 2 2" xfId="11571" xr:uid="{00000000-0005-0000-0000-000081470000}"/>
    <cellStyle name="Normal 15 2 2 3 2 2 2 2" xfId="14949" xr:uid="{00000000-0005-0000-0000-000082470000}"/>
    <cellStyle name="Normal 15 2 2 3 2 2 2 2 2" xfId="28007" xr:uid="{00000000-0005-0000-0000-000083470000}"/>
    <cellStyle name="Normal 15 2 2 3 2 2 2 3" xfId="14950" xr:uid="{00000000-0005-0000-0000-000084470000}"/>
    <cellStyle name="Normal 15 2 2 3 2 2 2 3 2" xfId="28008" xr:uid="{00000000-0005-0000-0000-000085470000}"/>
    <cellStyle name="Normal 15 2 2 3 2 2 2 4" xfId="24941" xr:uid="{00000000-0005-0000-0000-000086470000}"/>
    <cellStyle name="Normal 15 2 2 3 2 2 3" xfId="14951" xr:uid="{00000000-0005-0000-0000-000087470000}"/>
    <cellStyle name="Normal 15 2 2 3 2 2 3 2" xfId="28009" xr:uid="{00000000-0005-0000-0000-000088470000}"/>
    <cellStyle name="Normal 15 2 2 3 2 2 4" xfId="14952" xr:uid="{00000000-0005-0000-0000-000089470000}"/>
    <cellStyle name="Normal 15 2 2 3 2 2 4 2" xfId="28010" xr:uid="{00000000-0005-0000-0000-00008A470000}"/>
    <cellStyle name="Normal 15 2 2 3 2 2 5" xfId="22785" xr:uid="{00000000-0005-0000-0000-00008B470000}"/>
    <cellStyle name="Normal 15 2 2 3 2 3" xfId="10493" xr:uid="{00000000-0005-0000-0000-00008C470000}"/>
    <cellStyle name="Normal 15 2 2 3 2 3 2" xfId="14953" xr:uid="{00000000-0005-0000-0000-00008D470000}"/>
    <cellStyle name="Normal 15 2 2 3 2 3 2 2" xfId="28011" xr:uid="{00000000-0005-0000-0000-00008E470000}"/>
    <cellStyle name="Normal 15 2 2 3 2 3 3" xfId="14954" xr:uid="{00000000-0005-0000-0000-00008F470000}"/>
    <cellStyle name="Normal 15 2 2 3 2 3 3 2" xfId="28012" xr:uid="{00000000-0005-0000-0000-000090470000}"/>
    <cellStyle name="Normal 15 2 2 3 2 3 4" xfId="23863" xr:uid="{00000000-0005-0000-0000-000091470000}"/>
    <cellStyle name="Normal 15 2 2 3 2 4" xfId="14955" xr:uid="{00000000-0005-0000-0000-000092470000}"/>
    <cellStyle name="Normal 15 2 2 3 2 4 2" xfId="28013" xr:uid="{00000000-0005-0000-0000-000093470000}"/>
    <cellStyle name="Normal 15 2 2 3 2 5" xfId="14956" xr:uid="{00000000-0005-0000-0000-000094470000}"/>
    <cellStyle name="Normal 15 2 2 3 2 5 2" xfId="28014" xr:uid="{00000000-0005-0000-0000-000095470000}"/>
    <cellStyle name="Normal 15 2 2 3 2 6" xfId="21707" xr:uid="{00000000-0005-0000-0000-000096470000}"/>
    <cellStyle name="Normal 15 2 2 3 3" xfId="8645" xr:uid="{00000000-0005-0000-0000-000097470000}"/>
    <cellStyle name="Normal 15 2 2 3 3 2" xfId="11031" xr:uid="{00000000-0005-0000-0000-000098470000}"/>
    <cellStyle name="Normal 15 2 2 3 3 2 2" xfId="14957" xr:uid="{00000000-0005-0000-0000-000099470000}"/>
    <cellStyle name="Normal 15 2 2 3 3 2 2 2" xfId="28015" xr:uid="{00000000-0005-0000-0000-00009A470000}"/>
    <cellStyle name="Normal 15 2 2 3 3 2 3" xfId="14958" xr:uid="{00000000-0005-0000-0000-00009B470000}"/>
    <cellStyle name="Normal 15 2 2 3 3 2 3 2" xfId="28016" xr:uid="{00000000-0005-0000-0000-00009C470000}"/>
    <cellStyle name="Normal 15 2 2 3 3 2 4" xfId="24401" xr:uid="{00000000-0005-0000-0000-00009D470000}"/>
    <cellStyle name="Normal 15 2 2 3 3 3" xfId="14959" xr:uid="{00000000-0005-0000-0000-00009E470000}"/>
    <cellStyle name="Normal 15 2 2 3 3 3 2" xfId="28017" xr:uid="{00000000-0005-0000-0000-00009F470000}"/>
    <cellStyle name="Normal 15 2 2 3 3 4" xfId="14960" xr:uid="{00000000-0005-0000-0000-0000A0470000}"/>
    <cellStyle name="Normal 15 2 2 3 3 4 2" xfId="28018" xr:uid="{00000000-0005-0000-0000-0000A1470000}"/>
    <cellStyle name="Normal 15 2 2 3 3 5" xfId="22245" xr:uid="{00000000-0005-0000-0000-0000A2470000}"/>
    <cellStyle name="Normal 15 2 2 3 4" xfId="9953" xr:uid="{00000000-0005-0000-0000-0000A3470000}"/>
    <cellStyle name="Normal 15 2 2 3 4 2" xfId="14961" xr:uid="{00000000-0005-0000-0000-0000A4470000}"/>
    <cellStyle name="Normal 15 2 2 3 4 2 2" xfId="28019" xr:uid="{00000000-0005-0000-0000-0000A5470000}"/>
    <cellStyle name="Normal 15 2 2 3 4 3" xfId="14962" xr:uid="{00000000-0005-0000-0000-0000A6470000}"/>
    <cellStyle name="Normal 15 2 2 3 4 3 2" xfId="28020" xr:uid="{00000000-0005-0000-0000-0000A7470000}"/>
    <cellStyle name="Normal 15 2 2 3 4 4" xfId="23323" xr:uid="{00000000-0005-0000-0000-0000A8470000}"/>
    <cellStyle name="Normal 15 2 2 3 5" xfId="14963" xr:uid="{00000000-0005-0000-0000-0000A9470000}"/>
    <cellStyle name="Normal 15 2 2 3 5 2" xfId="28021" xr:uid="{00000000-0005-0000-0000-0000AA470000}"/>
    <cellStyle name="Normal 15 2 2 3 6" xfId="14964" xr:uid="{00000000-0005-0000-0000-0000AB470000}"/>
    <cellStyle name="Normal 15 2 2 3 6 2" xfId="28022" xr:uid="{00000000-0005-0000-0000-0000AC470000}"/>
    <cellStyle name="Normal 15 2 2 3 7" xfId="21167" xr:uid="{00000000-0005-0000-0000-0000AD470000}"/>
    <cellStyle name="Normal 15 2 2 4" xfId="7043" xr:uid="{00000000-0005-0000-0000-0000AE470000}"/>
    <cellStyle name="Normal 15 2 2 4 2" xfId="8923" xr:uid="{00000000-0005-0000-0000-0000AF470000}"/>
    <cellStyle name="Normal 15 2 2 4 2 2" xfId="11302" xr:uid="{00000000-0005-0000-0000-0000B0470000}"/>
    <cellStyle name="Normal 15 2 2 4 2 2 2" xfId="14965" xr:uid="{00000000-0005-0000-0000-0000B1470000}"/>
    <cellStyle name="Normal 15 2 2 4 2 2 2 2" xfId="28023" xr:uid="{00000000-0005-0000-0000-0000B2470000}"/>
    <cellStyle name="Normal 15 2 2 4 2 2 3" xfId="14966" xr:uid="{00000000-0005-0000-0000-0000B3470000}"/>
    <cellStyle name="Normal 15 2 2 4 2 2 3 2" xfId="28024" xr:uid="{00000000-0005-0000-0000-0000B4470000}"/>
    <cellStyle name="Normal 15 2 2 4 2 2 4" xfId="24672" xr:uid="{00000000-0005-0000-0000-0000B5470000}"/>
    <cellStyle name="Normal 15 2 2 4 2 3" xfId="14967" xr:uid="{00000000-0005-0000-0000-0000B6470000}"/>
    <cellStyle name="Normal 15 2 2 4 2 3 2" xfId="28025" xr:uid="{00000000-0005-0000-0000-0000B7470000}"/>
    <cellStyle name="Normal 15 2 2 4 2 4" xfId="14968" xr:uid="{00000000-0005-0000-0000-0000B8470000}"/>
    <cellStyle name="Normal 15 2 2 4 2 4 2" xfId="28026" xr:uid="{00000000-0005-0000-0000-0000B9470000}"/>
    <cellStyle name="Normal 15 2 2 4 2 5" xfId="22516" xr:uid="{00000000-0005-0000-0000-0000BA470000}"/>
    <cellStyle name="Normal 15 2 2 4 3" xfId="10224" xr:uid="{00000000-0005-0000-0000-0000BB470000}"/>
    <cellStyle name="Normal 15 2 2 4 3 2" xfId="14969" xr:uid="{00000000-0005-0000-0000-0000BC470000}"/>
    <cellStyle name="Normal 15 2 2 4 3 2 2" xfId="28027" xr:uid="{00000000-0005-0000-0000-0000BD470000}"/>
    <cellStyle name="Normal 15 2 2 4 3 3" xfId="14970" xr:uid="{00000000-0005-0000-0000-0000BE470000}"/>
    <cellStyle name="Normal 15 2 2 4 3 3 2" xfId="28028" xr:uid="{00000000-0005-0000-0000-0000BF470000}"/>
    <cellStyle name="Normal 15 2 2 4 3 4" xfId="23594" xr:uid="{00000000-0005-0000-0000-0000C0470000}"/>
    <cellStyle name="Normal 15 2 2 4 4" xfId="14971" xr:uid="{00000000-0005-0000-0000-0000C1470000}"/>
    <cellStyle name="Normal 15 2 2 4 4 2" xfId="28029" xr:uid="{00000000-0005-0000-0000-0000C2470000}"/>
    <cellStyle name="Normal 15 2 2 4 5" xfId="14972" xr:uid="{00000000-0005-0000-0000-0000C3470000}"/>
    <cellStyle name="Normal 15 2 2 4 5 2" xfId="28030" xr:uid="{00000000-0005-0000-0000-0000C4470000}"/>
    <cellStyle name="Normal 15 2 2 4 6" xfId="21438" xr:uid="{00000000-0005-0000-0000-0000C5470000}"/>
    <cellStyle name="Normal 15 2 2 5" xfId="8247" xr:uid="{00000000-0005-0000-0000-0000C6470000}"/>
    <cellStyle name="Normal 15 2 2 5 2" xfId="10762" xr:uid="{00000000-0005-0000-0000-0000C7470000}"/>
    <cellStyle name="Normal 15 2 2 5 2 2" xfId="14973" xr:uid="{00000000-0005-0000-0000-0000C8470000}"/>
    <cellStyle name="Normal 15 2 2 5 2 2 2" xfId="28031" xr:uid="{00000000-0005-0000-0000-0000C9470000}"/>
    <cellStyle name="Normal 15 2 2 5 2 3" xfId="14974" xr:uid="{00000000-0005-0000-0000-0000CA470000}"/>
    <cellStyle name="Normal 15 2 2 5 2 3 2" xfId="28032" xr:uid="{00000000-0005-0000-0000-0000CB470000}"/>
    <cellStyle name="Normal 15 2 2 5 2 4" xfId="24132" xr:uid="{00000000-0005-0000-0000-0000CC470000}"/>
    <cellStyle name="Normal 15 2 2 5 3" xfId="14975" xr:uid="{00000000-0005-0000-0000-0000CD470000}"/>
    <cellStyle name="Normal 15 2 2 5 3 2" xfId="28033" xr:uid="{00000000-0005-0000-0000-0000CE470000}"/>
    <cellStyle name="Normal 15 2 2 5 4" xfId="14976" xr:uid="{00000000-0005-0000-0000-0000CF470000}"/>
    <cellStyle name="Normal 15 2 2 5 4 2" xfId="28034" xr:uid="{00000000-0005-0000-0000-0000D0470000}"/>
    <cellStyle name="Normal 15 2 2 5 5" xfId="21976" xr:uid="{00000000-0005-0000-0000-0000D1470000}"/>
    <cellStyle name="Normal 15 2 2 6" xfId="9683" xr:uid="{00000000-0005-0000-0000-0000D2470000}"/>
    <cellStyle name="Normal 15 2 2 6 2" xfId="14977" xr:uid="{00000000-0005-0000-0000-0000D3470000}"/>
    <cellStyle name="Normal 15 2 2 6 2 2" xfId="28035" xr:uid="{00000000-0005-0000-0000-0000D4470000}"/>
    <cellStyle name="Normal 15 2 2 6 3" xfId="14978" xr:uid="{00000000-0005-0000-0000-0000D5470000}"/>
    <cellStyle name="Normal 15 2 2 6 3 2" xfId="28036" xr:uid="{00000000-0005-0000-0000-0000D6470000}"/>
    <cellStyle name="Normal 15 2 2 6 4" xfId="23054" xr:uid="{00000000-0005-0000-0000-0000D7470000}"/>
    <cellStyle name="Normal 15 2 2 7" xfId="14979" xr:uid="{00000000-0005-0000-0000-0000D8470000}"/>
    <cellStyle name="Normal 15 2 2 7 2" xfId="28037" xr:uid="{00000000-0005-0000-0000-0000D9470000}"/>
    <cellStyle name="Normal 15 2 2 8" xfId="14980" xr:uid="{00000000-0005-0000-0000-0000DA470000}"/>
    <cellStyle name="Normal 15 2 2 8 2" xfId="28038" xr:uid="{00000000-0005-0000-0000-0000DB470000}"/>
    <cellStyle name="Normal 15 2 2 9" xfId="20897" xr:uid="{00000000-0005-0000-0000-0000DC470000}"/>
    <cellStyle name="Normal 15 2 3" xfId="5425" xr:uid="{00000000-0005-0000-0000-0000DD470000}"/>
    <cellStyle name="Normal 15 2 3 2" xfId="6708" xr:uid="{00000000-0005-0000-0000-0000DE470000}"/>
    <cellStyle name="Normal 15 2 3 2 2" xfId="7395" xr:uid="{00000000-0005-0000-0000-0000DF470000}"/>
    <cellStyle name="Normal 15 2 3 2 2 2" xfId="9274" xr:uid="{00000000-0005-0000-0000-0000E0470000}"/>
    <cellStyle name="Normal 15 2 3 2 2 2 2" xfId="11653" xr:uid="{00000000-0005-0000-0000-0000E1470000}"/>
    <cellStyle name="Normal 15 2 3 2 2 2 2 2" xfId="14981" xr:uid="{00000000-0005-0000-0000-0000E2470000}"/>
    <cellStyle name="Normal 15 2 3 2 2 2 2 2 2" xfId="28039" xr:uid="{00000000-0005-0000-0000-0000E3470000}"/>
    <cellStyle name="Normal 15 2 3 2 2 2 2 3" xfId="14982" xr:uid="{00000000-0005-0000-0000-0000E4470000}"/>
    <cellStyle name="Normal 15 2 3 2 2 2 2 3 2" xfId="28040" xr:uid="{00000000-0005-0000-0000-0000E5470000}"/>
    <cellStyle name="Normal 15 2 3 2 2 2 2 4" xfId="25023" xr:uid="{00000000-0005-0000-0000-0000E6470000}"/>
    <cellStyle name="Normal 15 2 3 2 2 2 3" xfId="14983" xr:uid="{00000000-0005-0000-0000-0000E7470000}"/>
    <cellStyle name="Normal 15 2 3 2 2 2 3 2" xfId="28041" xr:uid="{00000000-0005-0000-0000-0000E8470000}"/>
    <cellStyle name="Normal 15 2 3 2 2 2 4" xfId="14984" xr:uid="{00000000-0005-0000-0000-0000E9470000}"/>
    <cellStyle name="Normal 15 2 3 2 2 2 4 2" xfId="28042" xr:uid="{00000000-0005-0000-0000-0000EA470000}"/>
    <cellStyle name="Normal 15 2 3 2 2 2 5" xfId="22867" xr:uid="{00000000-0005-0000-0000-0000EB470000}"/>
    <cellStyle name="Normal 15 2 3 2 2 3" xfId="10575" xr:uid="{00000000-0005-0000-0000-0000EC470000}"/>
    <cellStyle name="Normal 15 2 3 2 2 3 2" xfId="14985" xr:uid="{00000000-0005-0000-0000-0000ED470000}"/>
    <cellStyle name="Normal 15 2 3 2 2 3 2 2" xfId="28043" xr:uid="{00000000-0005-0000-0000-0000EE470000}"/>
    <cellStyle name="Normal 15 2 3 2 2 3 3" xfId="14986" xr:uid="{00000000-0005-0000-0000-0000EF470000}"/>
    <cellStyle name="Normal 15 2 3 2 2 3 3 2" xfId="28044" xr:uid="{00000000-0005-0000-0000-0000F0470000}"/>
    <cellStyle name="Normal 15 2 3 2 2 3 4" xfId="23945" xr:uid="{00000000-0005-0000-0000-0000F1470000}"/>
    <cellStyle name="Normal 15 2 3 2 2 4" xfId="14987" xr:uid="{00000000-0005-0000-0000-0000F2470000}"/>
    <cellStyle name="Normal 15 2 3 2 2 4 2" xfId="28045" xr:uid="{00000000-0005-0000-0000-0000F3470000}"/>
    <cellStyle name="Normal 15 2 3 2 2 5" xfId="14988" xr:uid="{00000000-0005-0000-0000-0000F4470000}"/>
    <cellStyle name="Normal 15 2 3 2 2 5 2" xfId="28046" xr:uid="{00000000-0005-0000-0000-0000F5470000}"/>
    <cellStyle name="Normal 15 2 3 2 2 6" xfId="21789" xr:uid="{00000000-0005-0000-0000-0000F6470000}"/>
    <cellStyle name="Normal 15 2 3 2 3" xfId="8728" xr:uid="{00000000-0005-0000-0000-0000F7470000}"/>
    <cellStyle name="Normal 15 2 3 2 3 2" xfId="11113" xr:uid="{00000000-0005-0000-0000-0000F8470000}"/>
    <cellStyle name="Normal 15 2 3 2 3 2 2" xfId="14989" xr:uid="{00000000-0005-0000-0000-0000F9470000}"/>
    <cellStyle name="Normal 15 2 3 2 3 2 2 2" xfId="28047" xr:uid="{00000000-0005-0000-0000-0000FA470000}"/>
    <cellStyle name="Normal 15 2 3 2 3 2 3" xfId="14990" xr:uid="{00000000-0005-0000-0000-0000FB470000}"/>
    <cellStyle name="Normal 15 2 3 2 3 2 3 2" xfId="28048" xr:uid="{00000000-0005-0000-0000-0000FC470000}"/>
    <cellStyle name="Normal 15 2 3 2 3 2 4" xfId="24483" xr:uid="{00000000-0005-0000-0000-0000FD470000}"/>
    <cellStyle name="Normal 15 2 3 2 3 3" xfId="14991" xr:uid="{00000000-0005-0000-0000-0000FE470000}"/>
    <cellStyle name="Normal 15 2 3 2 3 3 2" xfId="28049" xr:uid="{00000000-0005-0000-0000-0000FF470000}"/>
    <cellStyle name="Normal 15 2 3 2 3 4" xfId="14992" xr:uid="{00000000-0005-0000-0000-000000480000}"/>
    <cellStyle name="Normal 15 2 3 2 3 4 2" xfId="28050" xr:uid="{00000000-0005-0000-0000-000001480000}"/>
    <cellStyle name="Normal 15 2 3 2 3 5" xfId="22327" xr:uid="{00000000-0005-0000-0000-000002480000}"/>
    <cellStyle name="Normal 15 2 3 2 4" xfId="10035" xr:uid="{00000000-0005-0000-0000-000003480000}"/>
    <cellStyle name="Normal 15 2 3 2 4 2" xfId="14993" xr:uid="{00000000-0005-0000-0000-000004480000}"/>
    <cellStyle name="Normal 15 2 3 2 4 2 2" xfId="28051" xr:uid="{00000000-0005-0000-0000-000005480000}"/>
    <cellStyle name="Normal 15 2 3 2 4 3" xfId="14994" xr:uid="{00000000-0005-0000-0000-000006480000}"/>
    <cellStyle name="Normal 15 2 3 2 4 3 2" xfId="28052" xr:uid="{00000000-0005-0000-0000-000007480000}"/>
    <cellStyle name="Normal 15 2 3 2 4 4" xfId="23405" xr:uid="{00000000-0005-0000-0000-000008480000}"/>
    <cellStyle name="Normal 15 2 3 2 5" xfId="14995" xr:uid="{00000000-0005-0000-0000-000009480000}"/>
    <cellStyle name="Normal 15 2 3 2 5 2" xfId="28053" xr:uid="{00000000-0005-0000-0000-00000A480000}"/>
    <cellStyle name="Normal 15 2 3 2 6" xfId="14996" xr:uid="{00000000-0005-0000-0000-00000B480000}"/>
    <cellStyle name="Normal 15 2 3 2 6 2" xfId="28054" xr:uid="{00000000-0005-0000-0000-00000C480000}"/>
    <cellStyle name="Normal 15 2 3 2 7" xfId="21249" xr:uid="{00000000-0005-0000-0000-00000D480000}"/>
    <cellStyle name="Normal 15 2 3 3" xfId="7126" xr:uid="{00000000-0005-0000-0000-00000E480000}"/>
    <cellStyle name="Normal 15 2 3 3 2" xfId="9005" xr:uid="{00000000-0005-0000-0000-00000F480000}"/>
    <cellStyle name="Normal 15 2 3 3 2 2" xfId="11384" xr:uid="{00000000-0005-0000-0000-000010480000}"/>
    <cellStyle name="Normal 15 2 3 3 2 2 2" xfId="14997" xr:uid="{00000000-0005-0000-0000-000011480000}"/>
    <cellStyle name="Normal 15 2 3 3 2 2 2 2" xfId="28055" xr:uid="{00000000-0005-0000-0000-000012480000}"/>
    <cellStyle name="Normal 15 2 3 3 2 2 3" xfId="14998" xr:uid="{00000000-0005-0000-0000-000013480000}"/>
    <cellStyle name="Normal 15 2 3 3 2 2 3 2" xfId="28056" xr:uid="{00000000-0005-0000-0000-000014480000}"/>
    <cellStyle name="Normal 15 2 3 3 2 2 4" xfId="24754" xr:uid="{00000000-0005-0000-0000-000015480000}"/>
    <cellStyle name="Normal 15 2 3 3 2 3" xfId="14999" xr:uid="{00000000-0005-0000-0000-000016480000}"/>
    <cellStyle name="Normal 15 2 3 3 2 3 2" xfId="28057" xr:uid="{00000000-0005-0000-0000-000017480000}"/>
    <cellStyle name="Normal 15 2 3 3 2 4" xfId="15000" xr:uid="{00000000-0005-0000-0000-000018480000}"/>
    <cellStyle name="Normal 15 2 3 3 2 4 2" xfId="28058" xr:uid="{00000000-0005-0000-0000-000019480000}"/>
    <cellStyle name="Normal 15 2 3 3 2 5" xfId="22598" xr:uid="{00000000-0005-0000-0000-00001A480000}"/>
    <cellStyle name="Normal 15 2 3 3 3" xfId="10306" xr:uid="{00000000-0005-0000-0000-00001B480000}"/>
    <cellStyle name="Normal 15 2 3 3 3 2" xfId="15001" xr:uid="{00000000-0005-0000-0000-00001C480000}"/>
    <cellStyle name="Normal 15 2 3 3 3 2 2" xfId="28059" xr:uid="{00000000-0005-0000-0000-00001D480000}"/>
    <cellStyle name="Normal 15 2 3 3 3 3" xfId="15002" xr:uid="{00000000-0005-0000-0000-00001E480000}"/>
    <cellStyle name="Normal 15 2 3 3 3 3 2" xfId="28060" xr:uid="{00000000-0005-0000-0000-00001F480000}"/>
    <cellStyle name="Normal 15 2 3 3 3 4" xfId="23676" xr:uid="{00000000-0005-0000-0000-000020480000}"/>
    <cellStyle name="Normal 15 2 3 3 4" xfId="15003" xr:uid="{00000000-0005-0000-0000-000021480000}"/>
    <cellStyle name="Normal 15 2 3 3 4 2" xfId="28061" xr:uid="{00000000-0005-0000-0000-000022480000}"/>
    <cellStyle name="Normal 15 2 3 3 5" xfId="15004" xr:uid="{00000000-0005-0000-0000-000023480000}"/>
    <cellStyle name="Normal 15 2 3 3 5 2" xfId="28062" xr:uid="{00000000-0005-0000-0000-000024480000}"/>
    <cellStyle name="Normal 15 2 3 3 6" xfId="21520" xr:uid="{00000000-0005-0000-0000-000025480000}"/>
    <cellStyle name="Normal 15 2 3 4" xfId="8396" xr:uid="{00000000-0005-0000-0000-000026480000}"/>
    <cellStyle name="Normal 15 2 3 4 2" xfId="10844" xr:uid="{00000000-0005-0000-0000-000027480000}"/>
    <cellStyle name="Normal 15 2 3 4 2 2" xfId="15005" xr:uid="{00000000-0005-0000-0000-000028480000}"/>
    <cellStyle name="Normal 15 2 3 4 2 2 2" xfId="28063" xr:uid="{00000000-0005-0000-0000-000029480000}"/>
    <cellStyle name="Normal 15 2 3 4 2 3" xfId="15006" xr:uid="{00000000-0005-0000-0000-00002A480000}"/>
    <cellStyle name="Normal 15 2 3 4 2 3 2" xfId="28064" xr:uid="{00000000-0005-0000-0000-00002B480000}"/>
    <cellStyle name="Normal 15 2 3 4 2 4" xfId="24214" xr:uid="{00000000-0005-0000-0000-00002C480000}"/>
    <cellStyle name="Normal 15 2 3 4 3" xfId="15007" xr:uid="{00000000-0005-0000-0000-00002D480000}"/>
    <cellStyle name="Normal 15 2 3 4 3 2" xfId="28065" xr:uid="{00000000-0005-0000-0000-00002E480000}"/>
    <cellStyle name="Normal 15 2 3 4 4" xfId="15008" xr:uid="{00000000-0005-0000-0000-00002F480000}"/>
    <cellStyle name="Normal 15 2 3 4 4 2" xfId="28066" xr:uid="{00000000-0005-0000-0000-000030480000}"/>
    <cellStyle name="Normal 15 2 3 4 5" xfId="22058" xr:uid="{00000000-0005-0000-0000-000031480000}"/>
    <cellStyle name="Normal 15 2 3 5" xfId="9766" xr:uid="{00000000-0005-0000-0000-000032480000}"/>
    <cellStyle name="Normal 15 2 3 5 2" xfId="15009" xr:uid="{00000000-0005-0000-0000-000033480000}"/>
    <cellStyle name="Normal 15 2 3 5 2 2" xfId="28067" xr:uid="{00000000-0005-0000-0000-000034480000}"/>
    <cellStyle name="Normal 15 2 3 5 3" xfId="15010" xr:uid="{00000000-0005-0000-0000-000035480000}"/>
    <cellStyle name="Normal 15 2 3 5 3 2" xfId="28068" xr:uid="{00000000-0005-0000-0000-000036480000}"/>
    <cellStyle name="Normal 15 2 3 5 4" xfId="23136" xr:uid="{00000000-0005-0000-0000-000037480000}"/>
    <cellStyle name="Normal 15 2 3 6" xfId="15011" xr:uid="{00000000-0005-0000-0000-000038480000}"/>
    <cellStyle name="Normal 15 2 3 6 2" xfId="28069" xr:uid="{00000000-0005-0000-0000-000039480000}"/>
    <cellStyle name="Normal 15 2 3 7" xfId="15012" xr:uid="{00000000-0005-0000-0000-00003A480000}"/>
    <cellStyle name="Normal 15 2 3 7 2" xfId="28070" xr:uid="{00000000-0005-0000-0000-00003B480000}"/>
    <cellStyle name="Normal 15 2 3 8" xfId="20980" xr:uid="{00000000-0005-0000-0000-00003C480000}"/>
    <cellStyle name="Normal 15 2 4" xfId="6557" xr:uid="{00000000-0005-0000-0000-00003D480000}"/>
    <cellStyle name="Normal 15 2 4 2" xfId="7258" xr:uid="{00000000-0005-0000-0000-00003E480000}"/>
    <cellStyle name="Normal 15 2 4 2 2" xfId="9137" xr:uid="{00000000-0005-0000-0000-00003F480000}"/>
    <cellStyle name="Normal 15 2 4 2 2 2" xfId="11516" xr:uid="{00000000-0005-0000-0000-000040480000}"/>
    <cellStyle name="Normal 15 2 4 2 2 2 2" xfId="15013" xr:uid="{00000000-0005-0000-0000-000041480000}"/>
    <cellStyle name="Normal 15 2 4 2 2 2 2 2" xfId="28071" xr:uid="{00000000-0005-0000-0000-000042480000}"/>
    <cellStyle name="Normal 15 2 4 2 2 2 3" xfId="15014" xr:uid="{00000000-0005-0000-0000-000043480000}"/>
    <cellStyle name="Normal 15 2 4 2 2 2 3 2" xfId="28072" xr:uid="{00000000-0005-0000-0000-000044480000}"/>
    <cellStyle name="Normal 15 2 4 2 2 2 4" xfId="24886" xr:uid="{00000000-0005-0000-0000-000045480000}"/>
    <cellStyle name="Normal 15 2 4 2 2 3" xfId="15015" xr:uid="{00000000-0005-0000-0000-000046480000}"/>
    <cellStyle name="Normal 15 2 4 2 2 3 2" xfId="28073" xr:uid="{00000000-0005-0000-0000-000047480000}"/>
    <cellStyle name="Normal 15 2 4 2 2 4" xfId="15016" xr:uid="{00000000-0005-0000-0000-000048480000}"/>
    <cellStyle name="Normal 15 2 4 2 2 4 2" xfId="28074" xr:uid="{00000000-0005-0000-0000-000049480000}"/>
    <cellStyle name="Normal 15 2 4 2 2 5" xfId="22730" xr:uid="{00000000-0005-0000-0000-00004A480000}"/>
    <cellStyle name="Normal 15 2 4 2 3" xfId="10438" xr:uid="{00000000-0005-0000-0000-00004B480000}"/>
    <cellStyle name="Normal 15 2 4 2 3 2" xfId="15017" xr:uid="{00000000-0005-0000-0000-00004C480000}"/>
    <cellStyle name="Normal 15 2 4 2 3 2 2" xfId="28075" xr:uid="{00000000-0005-0000-0000-00004D480000}"/>
    <cellStyle name="Normal 15 2 4 2 3 3" xfId="15018" xr:uid="{00000000-0005-0000-0000-00004E480000}"/>
    <cellStyle name="Normal 15 2 4 2 3 3 2" xfId="28076" xr:uid="{00000000-0005-0000-0000-00004F480000}"/>
    <cellStyle name="Normal 15 2 4 2 3 4" xfId="23808" xr:uid="{00000000-0005-0000-0000-000050480000}"/>
    <cellStyle name="Normal 15 2 4 2 4" xfId="15019" xr:uid="{00000000-0005-0000-0000-000051480000}"/>
    <cellStyle name="Normal 15 2 4 2 4 2" xfId="28077" xr:uid="{00000000-0005-0000-0000-000052480000}"/>
    <cellStyle name="Normal 15 2 4 2 5" xfId="15020" xr:uid="{00000000-0005-0000-0000-000053480000}"/>
    <cellStyle name="Normal 15 2 4 2 5 2" xfId="28078" xr:uid="{00000000-0005-0000-0000-000054480000}"/>
    <cellStyle name="Normal 15 2 4 2 6" xfId="21652" xr:uid="{00000000-0005-0000-0000-000055480000}"/>
    <cellStyle name="Normal 15 2 4 3" xfId="8590" xr:uid="{00000000-0005-0000-0000-000056480000}"/>
    <cellStyle name="Normal 15 2 4 3 2" xfId="10976" xr:uid="{00000000-0005-0000-0000-000057480000}"/>
    <cellStyle name="Normal 15 2 4 3 2 2" xfId="15021" xr:uid="{00000000-0005-0000-0000-000058480000}"/>
    <cellStyle name="Normal 15 2 4 3 2 2 2" xfId="28079" xr:uid="{00000000-0005-0000-0000-000059480000}"/>
    <cellStyle name="Normal 15 2 4 3 2 3" xfId="15022" xr:uid="{00000000-0005-0000-0000-00005A480000}"/>
    <cellStyle name="Normal 15 2 4 3 2 3 2" xfId="28080" xr:uid="{00000000-0005-0000-0000-00005B480000}"/>
    <cellStyle name="Normal 15 2 4 3 2 4" xfId="24346" xr:uid="{00000000-0005-0000-0000-00005C480000}"/>
    <cellStyle name="Normal 15 2 4 3 3" xfId="15023" xr:uid="{00000000-0005-0000-0000-00005D480000}"/>
    <cellStyle name="Normal 15 2 4 3 3 2" xfId="28081" xr:uid="{00000000-0005-0000-0000-00005E480000}"/>
    <cellStyle name="Normal 15 2 4 3 4" xfId="15024" xr:uid="{00000000-0005-0000-0000-00005F480000}"/>
    <cellStyle name="Normal 15 2 4 3 4 2" xfId="28082" xr:uid="{00000000-0005-0000-0000-000060480000}"/>
    <cellStyle name="Normal 15 2 4 3 5" xfId="22190" xr:uid="{00000000-0005-0000-0000-000061480000}"/>
    <cellStyle name="Normal 15 2 4 4" xfId="9898" xr:uid="{00000000-0005-0000-0000-000062480000}"/>
    <cellStyle name="Normal 15 2 4 4 2" xfId="15025" xr:uid="{00000000-0005-0000-0000-000063480000}"/>
    <cellStyle name="Normal 15 2 4 4 2 2" xfId="28083" xr:uid="{00000000-0005-0000-0000-000064480000}"/>
    <cellStyle name="Normal 15 2 4 4 3" xfId="15026" xr:uid="{00000000-0005-0000-0000-000065480000}"/>
    <cellStyle name="Normal 15 2 4 4 3 2" xfId="28084" xr:uid="{00000000-0005-0000-0000-000066480000}"/>
    <cellStyle name="Normal 15 2 4 4 4" xfId="23268" xr:uid="{00000000-0005-0000-0000-000067480000}"/>
    <cellStyle name="Normal 15 2 4 5" xfId="15027" xr:uid="{00000000-0005-0000-0000-000068480000}"/>
    <cellStyle name="Normal 15 2 4 5 2" xfId="28085" xr:uid="{00000000-0005-0000-0000-000069480000}"/>
    <cellStyle name="Normal 15 2 4 6" xfId="15028" xr:uid="{00000000-0005-0000-0000-00006A480000}"/>
    <cellStyle name="Normal 15 2 4 6 2" xfId="28086" xr:uid="{00000000-0005-0000-0000-00006B480000}"/>
    <cellStyle name="Normal 15 2 4 7" xfId="21112" xr:uid="{00000000-0005-0000-0000-00006C480000}"/>
    <cellStyle name="Normal 15 2 5" xfId="6988" xr:uid="{00000000-0005-0000-0000-00006D480000}"/>
    <cellStyle name="Normal 15 2 5 2" xfId="8868" xr:uid="{00000000-0005-0000-0000-00006E480000}"/>
    <cellStyle name="Normal 15 2 5 2 2" xfId="11247" xr:uid="{00000000-0005-0000-0000-00006F480000}"/>
    <cellStyle name="Normal 15 2 5 2 2 2" xfId="15029" xr:uid="{00000000-0005-0000-0000-000070480000}"/>
    <cellStyle name="Normal 15 2 5 2 2 2 2" xfId="28087" xr:uid="{00000000-0005-0000-0000-000071480000}"/>
    <cellStyle name="Normal 15 2 5 2 2 3" xfId="15030" xr:uid="{00000000-0005-0000-0000-000072480000}"/>
    <cellStyle name="Normal 15 2 5 2 2 3 2" xfId="28088" xr:uid="{00000000-0005-0000-0000-000073480000}"/>
    <cellStyle name="Normal 15 2 5 2 2 4" xfId="24617" xr:uid="{00000000-0005-0000-0000-000074480000}"/>
    <cellStyle name="Normal 15 2 5 2 3" xfId="15031" xr:uid="{00000000-0005-0000-0000-000075480000}"/>
    <cellStyle name="Normal 15 2 5 2 3 2" xfId="28089" xr:uid="{00000000-0005-0000-0000-000076480000}"/>
    <cellStyle name="Normal 15 2 5 2 4" xfId="15032" xr:uid="{00000000-0005-0000-0000-000077480000}"/>
    <cellStyle name="Normal 15 2 5 2 4 2" xfId="28090" xr:uid="{00000000-0005-0000-0000-000078480000}"/>
    <cellStyle name="Normal 15 2 5 2 5" xfId="22461" xr:uid="{00000000-0005-0000-0000-000079480000}"/>
    <cellStyle name="Normal 15 2 5 3" xfId="10169" xr:uid="{00000000-0005-0000-0000-00007A480000}"/>
    <cellStyle name="Normal 15 2 5 3 2" xfId="15033" xr:uid="{00000000-0005-0000-0000-00007B480000}"/>
    <cellStyle name="Normal 15 2 5 3 2 2" xfId="28091" xr:uid="{00000000-0005-0000-0000-00007C480000}"/>
    <cellStyle name="Normal 15 2 5 3 3" xfId="15034" xr:uid="{00000000-0005-0000-0000-00007D480000}"/>
    <cellStyle name="Normal 15 2 5 3 3 2" xfId="28092" xr:uid="{00000000-0005-0000-0000-00007E480000}"/>
    <cellStyle name="Normal 15 2 5 3 4" xfId="23539" xr:uid="{00000000-0005-0000-0000-00007F480000}"/>
    <cellStyle name="Normal 15 2 5 4" xfId="15035" xr:uid="{00000000-0005-0000-0000-000080480000}"/>
    <cellStyle name="Normal 15 2 5 4 2" xfId="28093" xr:uid="{00000000-0005-0000-0000-000081480000}"/>
    <cellStyle name="Normal 15 2 5 5" xfId="15036" xr:uid="{00000000-0005-0000-0000-000082480000}"/>
    <cellStyle name="Normal 15 2 5 5 2" xfId="28094" xr:uid="{00000000-0005-0000-0000-000083480000}"/>
    <cellStyle name="Normal 15 2 5 6" xfId="21383" xr:uid="{00000000-0005-0000-0000-000084480000}"/>
    <cellStyle name="Normal 15 2 6" xfId="8165" xr:uid="{00000000-0005-0000-0000-000085480000}"/>
    <cellStyle name="Normal 15 2 6 2" xfId="10707" xr:uid="{00000000-0005-0000-0000-000086480000}"/>
    <cellStyle name="Normal 15 2 6 2 2" xfId="15037" xr:uid="{00000000-0005-0000-0000-000087480000}"/>
    <cellStyle name="Normal 15 2 6 2 2 2" xfId="28095" xr:uid="{00000000-0005-0000-0000-000088480000}"/>
    <cellStyle name="Normal 15 2 6 2 3" xfId="15038" xr:uid="{00000000-0005-0000-0000-000089480000}"/>
    <cellStyle name="Normal 15 2 6 2 3 2" xfId="28096" xr:uid="{00000000-0005-0000-0000-00008A480000}"/>
    <cellStyle name="Normal 15 2 6 2 4" xfId="24077" xr:uid="{00000000-0005-0000-0000-00008B480000}"/>
    <cellStyle name="Normal 15 2 6 3" xfId="15039" xr:uid="{00000000-0005-0000-0000-00008C480000}"/>
    <cellStyle name="Normal 15 2 6 3 2" xfId="28097" xr:uid="{00000000-0005-0000-0000-00008D480000}"/>
    <cellStyle name="Normal 15 2 6 4" xfId="15040" xr:uid="{00000000-0005-0000-0000-00008E480000}"/>
    <cellStyle name="Normal 15 2 6 4 2" xfId="28098" xr:uid="{00000000-0005-0000-0000-00008F480000}"/>
    <cellStyle name="Normal 15 2 6 5" xfId="21921" xr:uid="{00000000-0005-0000-0000-000090480000}"/>
    <cellStyle name="Normal 15 2 7" xfId="9628" xr:uid="{00000000-0005-0000-0000-000091480000}"/>
    <cellStyle name="Normal 15 2 7 2" xfId="15041" xr:uid="{00000000-0005-0000-0000-000092480000}"/>
    <cellStyle name="Normal 15 2 7 2 2" xfId="28099" xr:uid="{00000000-0005-0000-0000-000093480000}"/>
    <cellStyle name="Normal 15 2 7 3" xfId="15042" xr:uid="{00000000-0005-0000-0000-000094480000}"/>
    <cellStyle name="Normal 15 2 7 3 2" xfId="28100" xr:uid="{00000000-0005-0000-0000-000095480000}"/>
    <cellStyle name="Normal 15 2 7 4" xfId="22999" xr:uid="{00000000-0005-0000-0000-000096480000}"/>
    <cellStyle name="Normal 15 2 8" xfId="15043" xr:uid="{00000000-0005-0000-0000-000097480000}"/>
    <cellStyle name="Normal 15 2 8 2" xfId="28101" xr:uid="{00000000-0005-0000-0000-000098480000}"/>
    <cellStyle name="Normal 15 2 9" xfId="15044" xr:uid="{00000000-0005-0000-0000-000099480000}"/>
    <cellStyle name="Normal 15 2 9 2" xfId="28102" xr:uid="{00000000-0005-0000-0000-00009A480000}"/>
    <cellStyle name="Normal 15 3" xfId="3883" xr:uid="{00000000-0005-0000-0000-00009B480000}"/>
    <cellStyle name="Normal 15 3 10" xfId="20858" xr:uid="{00000000-0005-0000-0000-00009C480000}"/>
    <cellStyle name="Normal 15 3 2" xfId="4096" xr:uid="{00000000-0005-0000-0000-00009D480000}"/>
    <cellStyle name="Normal 15 3 2 2" xfId="5632" xr:uid="{00000000-0005-0000-0000-00009E480000}"/>
    <cellStyle name="Normal 15 3 2 2 2" xfId="6784" xr:uid="{00000000-0005-0000-0000-00009F480000}"/>
    <cellStyle name="Normal 15 3 2 2 2 2" xfId="7471" xr:uid="{00000000-0005-0000-0000-0000A0480000}"/>
    <cellStyle name="Normal 15 3 2 2 2 2 2" xfId="9350" xr:uid="{00000000-0005-0000-0000-0000A1480000}"/>
    <cellStyle name="Normal 15 3 2 2 2 2 2 2" xfId="11729" xr:uid="{00000000-0005-0000-0000-0000A2480000}"/>
    <cellStyle name="Normal 15 3 2 2 2 2 2 2 2" xfId="15045" xr:uid="{00000000-0005-0000-0000-0000A3480000}"/>
    <cellStyle name="Normal 15 3 2 2 2 2 2 2 2 2" xfId="28103" xr:uid="{00000000-0005-0000-0000-0000A4480000}"/>
    <cellStyle name="Normal 15 3 2 2 2 2 2 2 3" xfId="15046" xr:uid="{00000000-0005-0000-0000-0000A5480000}"/>
    <cellStyle name="Normal 15 3 2 2 2 2 2 2 3 2" xfId="28104" xr:uid="{00000000-0005-0000-0000-0000A6480000}"/>
    <cellStyle name="Normal 15 3 2 2 2 2 2 2 4" xfId="25099" xr:uid="{00000000-0005-0000-0000-0000A7480000}"/>
    <cellStyle name="Normal 15 3 2 2 2 2 2 3" xfId="15047" xr:uid="{00000000-0005-0000-0000-0000A8480000}"/>
    <cellStyle name="Normal 15 3 2 2 2 2 2 3 2" xfId="28105" xr:uid="{00000000-0005-0000-0000-0000A9480000}"/>
    <cellStyle name="Normal 15 3 2 2 2 2 2 4" xfId="15048" xr:uid="{00000000-0005-0000-0000-0000AA480000}"/>
    <cellStyle name="Normal 15 3 2 2 2 2 2 4 2" xfId="28106" xr:uid="{00000000-0005-0000-0000-0000AB480000}"/>
    <cellStyle name="Normal 15 3 2 2 2 2 2 5" xfId="22943" xr:uid="{00000000-0005-0000-0000-0000AC480000}"/>
    <cellStyle name="Normal 15 3 2 2 2 2 3" xfId="10651" xr:uid="{00000000-0005-0000-0000-0000AD480000}"/>
    <cellStyle name="Normal 15 3 2 2 2 2 3 2" xfId="15049" xr:uid="{00000000-0005-0000-0000-0000AE480000}"/>
    <cellStyle name="Normal 15 3 2 2 2 2 3 2 2" xfId="28107" xr:uid="{00000000-0005-0000-0000-0000AF480000}"/>
    <cellStyle name="Normal 15 3 2 2 2 2 3 3" xfId="15050" xr:uid="{00000000-0005-0000-0000-0000B0480000}"/>
    <cellStyle name="Normal 15 3 2 2 2 2 3 3 2" xfId="28108" xr:uid="{00000000-0005-0000-0000-0000B1480000}"/>
    <cellStyle name="Normal 15 3 2 2 2 2 3 4" xfId="24021" xr:uid="{00000000-0005-0000-0000-0000B2480000}"/>
    <cellStyle name="Normal 15 3 2 2 2 2 4" xfId="15051" xr:uid="{00000000-0005-0000-0000-0000B3480000}"/>
    <cellStyle name="Normal 15 3 2 2 2 2 4 2" xfId="28109" xr:uid="{00000000-0005-0000-0000-0000B4480000}"/>
    <cellStyle name="Normal 15 3 2 2 2 2 5" xfId="15052" xr:uid="{00000000-0005-0000-0000-0000B5480000}"/>
    <cellStyle name="Normal 15 3 2 2 2 2 5 2" xfId="28110" xr:uid="{00000000-0005-0000-0000-0000B6480000}"/>
    <cellStyle name="Normal 15 3 2 2 2 2 6" xfId="21865" xr:uid="{00000000-0005-0000-0000-0000B7480000}"/>
    <cellStyle name="Normal 15 3 2 2 2 3" xfId="8804" xr:uid="{00000000-0005-0000-0000-0000B8480000}"/>
    <cellStyle name="Normal 15 3 2 2 2 3 2" xfId="11189" xr:uid="{00000000-0005-0000-0000-0000B9480000}"/>
    <cellStyle name="Normal 15 3 2 2 2 3 2 2" xfId="15053" xr:uid="{00000000-0005-0000-0000-0000BA480000}"/>
    <cellStyle name="Normal 15 3 2 2 2 3 2 2 2" xfId="28111" xr:uid="{00000000-0005-0000-0000-0000BB480000}"/>
    <cellStyle name="Normal 15 3 2 2 2 3 2 3" xfId="15054" xr:uid="{00000000-0005-0000-0000-0000BC480000}"/>
    <cellStyle name="Normal 15 3 2 2 2 3 2 3 2" xfId="28112" xr:uid="{00000000-0005-0000-0000-0000BD480000}"/>
    <cellStyle name="Normal 15 3 2 2 2 3 2 4" xfId="24559" xr:uid="{00000000-0005-0000-0000-0000BE480000}"/>
    <cellStyle name="Normal 15 3 2 2 2 3 3" xfId="15055" xr:uid="{00000000-0005-0000-0000-0000BF480000}"/>
    <cellStyle name="Normal 15 3 2 2 2 3 3 2" xfId="28113" xr:uid="{00000000-0005-0000-0000-0000C0480000}"/>
    <cellStyle name="Normal 15 3 2 2 2 3 4" xfId="15056" xr:uid="{00000000-0005-0000-0000-0000C1480000}"/>
    <cellStyle name="Normal 15 3 2 2 2 3 4 2" xfId="28114" xr:uid="{00000000-0005-0000-0000-0000C2480000}"/>
    <cellStyle name="Normal 15 3 2 2 2 3 5" xfId="22403" xr:uid="{00000000-0005-0000-0000-0000C3480000}"/>
    <cellStyle name="Normal 15 3 2 2 2 4" xfId="10111" xr:uid="{00000000-0005-0000-0000-0000C4480000}"/>
    <cellStyle name="Normal 15 3 2 2 2 4 2" xfId="15057" xr:uid="{00000000-0005-0000-0000-0000C5480000}"/>
    <cellStyle name="Normal 15 3 2 2 2 4 2 2" xfId="28115" xr:uid="{00000000-0005-0000-0000-0000C6480000}"/>
    <cellStyle name="Normal 15 3 2 2 2 4 3" xfId="15058" xr:uid="{00000000-0005-0000-0000-0000C7480000}"/>
    <cellStyle name="Normal 15 3 2 2 2 4 3 2" xfId="28116" xr:uid="{00000000-0005-0000-0000-0000C8480000}"/>
    <cellStyle name="Normal 15 3 2 2 2 4 4" xfId="23481" xr:uid="{00000000-0005-0000-0000-0000C9480000}"/>
    <cellStyle name="Normal 15 3 2 2 2 5" xfId="15059" xr:uid="{00000000-0005-0000-0000-0000CA480000}"/>
    <cellStyle name="Normal 15 3 2 2 2 5 2" xfId="28117" xr:uid="{00000000-0005-0000-0000-0000CB480000}"/>
    <cellStyle name="Normal 15 3 2 2 2 6" xfId="15060" xr:uid="{00000000-0005-0000-0000-0000CC480000}"/>
    <cellStyle name="Normal 15 3 2 2 2 6 2" xfId="28118" xr:uid="{00000000-0005-0000-0000-0000CD480000}"/>
    <cellStyle name="Normal 15 3 2 2 2 7" xfId="21325" xr:uid="{00000000-0005-0000-0000-0000CE480000}"/>
    <cellStyle name="Normal 15 3 2 2 3" xfId="7202" xr:uid="{00000000-0005-0000-0000-0000CF480000}"/>
    <cellStyle name="Normal 15 3 2 2 3 2" xfId="9081" xr:uid="{00000000-0005-0000-0000-0000D0480000}"/>
    <cellStyle name="Normal 15 3 2 2 3 2 2" xfId="11460" xr:uid="{00000000-0005-0000-0000-0000D1480000}"/>
    <cellStyle name="Normal 15 3 2 2 3 2 2 2" xfId="15061" xr:uid="{00000000-0005-0000-0000-0000D2480000}"/>
    <cellStyle name="Normal 15 3 2 2 3 2 2 2 2" xfId="28119" xr:uid="{00000000-0005-0000-0000-0000D3480000}"/>
    <cellStyle name="Normal 15 3 2 2 3 2 2 3" xfId="15062" xr:uid="{00000000-0005-0000-0000-0000D4480000}"/>
    <cellStyle name="Normal 15 3 2 2 3 2 2 3 2" xfId="28120" xr:uid="{00000000-0005-0000-0000-0000D5480000}"/>
    <cellStyle name="Normal 15 3 2 2 3 2 2 4" xfId="24830" xr:uid="{00000000-0005-0000-0000-0000D6480000}"/>
    <cellStyle name="Normal 15 3 2 2 3 2 3" xfId="15063" xr:uid="{00000000-0005-0000-0000-0000D7480000}"/>
    <cellStyle name="Normal 15 3 2 2 3 2 3 2" xfId="28121" xr:uid="{00000000-0005-0000-0000-0000D8480000}"/>
    <cellStyle name="Normal 15 3 2 2 3 2 4" xfId="15064" xr:uid="{00000000-0005-0000-0000-0000D9480000}"/>
    <cellStyle name="Normal 15 3 2 2 3 2 4 2" xfId="28122" xr:uid="{00000000-0005-0000-0000-0000DA480000}"/>
    <cellStyle name="Normal 15 3 2 2 3 2 5" xfId="22674" xr:uid="{00000000-0005-0000-0000-0000DB480000}"/>
    <cellStyle name="Normal 15 3 2 2 3 3" xfId="10382" xr:uid="{00000000-0005-0000-0000-0000DC480000}"/>
    <cellStyle name="Normal 15 3 2 2 3 3 2" xfId="15065" xr:uid="{00000000-0005-0000-0000-0000DD480000}"/>
    <cellStyle name="Normal 15 3 2 2 3 3 2 2" xfId="28123" xr:uid="{00000000-0005-0000-0000-0000DE480000}"/>
    <cellStyle name="Normal 15 3 2 2 3 3 3" xfId="15066" xr:uid="{00000000-0005-0000-0000-0000DF480000}"/>
    <cellStyle name="Normal 15 3 2 2 3 3 3 2" xfId="28124" xr:uid="{00000000-0005-0000-0000-0000E0480000}"/>
    <cellStyle name="Normal 15 3 2 2 3 3 4" xfId="23752" xr:uid="{00000000-0005-0000-0000-0000E1480000}"/>
    <cellStyle name="Normal 15 3 2 2 3 4" xfId="15067" xr:uid="{00000000-0005-0000-0000-0000E2480000}"/>
    <cellStyle name="Normal 15 3 2 2 3 4 2" xfId="28125" xr:uid="{00000000-0005-0000-0000-0000E3480000}"/>
    <cellStyle name="Normal 15 3 2 2 3 5" xfId="15068" xr:uid="{00000000-0005-0000-0000-0000E4480000}"/>
    <cellStyle name="Normal 15 3 2 2 3 5 2" xfId="28126" xr:uid="{00000000-0005-0000-0000-0000E5480000}"/>
    <cellStyle name="Normal 15 3 2 2 3 6" xfId="21596" xr:uid="{00000000-0005-0000-0000-0000E6480000}"/>
    <cellStyle name="Normal 15 3 2 2 4" xfId="8479" xr:uid="{00000000-0005-0000-0000-0000E7480000}"/>
    <cellStyle name="Normal 15 3 2 2 4 2" xfId="10920" xr:uid="{00000000-0005-0000-0000-0000E8480000}"/>
    <cellStyle name="Normal 15 3 2 2 4 2 2" xfId="15069" xr:uid="{00000000-0005-0000-0000-0000E9480000}"/>
    <cellStyle name="Normal 15 3 2 2 4 2 2 2" xfId="28127" xr:uid="{00000000-0005-0000-0000-0000EA480000}"/>
    <cellStyle name="Normal 15 3 2 2 4 2 3" xfId="15070" xr:uid="{00000000-0005-0000-0000-0000EB480000}"/>
    <cellStyle name="Normal 15 3 2 2 4 2 3 2" xfId="28128" xr:uid="{00000000-0005-0000-0000-0000EC480000}"/>
    <cellStyle name="Normal 15 3 2 2 4 2 4" xfId="24290" xr:uid="{00000000-0005-0000-0000-0000ED480000}"/>
    <cellStyle name="Normal 15 3 2 2 4 3" xfId="15071" xr:uid="{00000000-0005-0000-0000-0000EE480000}"/>
    <cellStyle name="Normal 15 3 2 2 4 3 2" xfId="28129" xr:uid="{00000000-0005-0000-0000-0000EF480000}"/>
    <cellStyle name="Normal 15 3 2 2 4 4" xfId="15072" xr:uid="{00000000-0005-0000-0000-0000F0480000}"/>
    <cellStyle name="Normal 15 3 2 2 4 4 2" xfId="28130" xr:uid="{00000000-0005-0000-0000-0000F1480000}"/>
    <cellStyle name="Normal 15 3 2 2 4 5" xfId="22134" xr:uid="{00000000-0005-0000-0000-0000F2480000}"/>
    <cellStyle name="Normal 15 3 2 2 5" xfId="9842" xr:uid="{00000000-0005-0000-0000-0000F3480000}"/>
    <cellStyle name="Normal 15 3 2 2 5 2" xfId="15073" xr:uid="{00000000-0005-0000-0000-0000F4480000}"/>
    <cellStyle name="Normal 15 3 2 2 5 2 2" xfId="28131" xr:uid="{00000000-0005-0000-0000-0000F5480000}"/>
    <cellStyle name="Normal 15 3 2 2 5 3" xfId="15074" xr:uid="{00000000-0005-0000-0000-0000F6480000}"/>
    <cellStyle name="Normal 15 3 2 2 5 3 2" xfId="28132" xr:uid="{00000000-0005-0000-0000-0000F7480000}"/>
    <cellStyle name="Normal 15 3 2 2 5 4" xfId="23212" xr:uid="{00000000-0005-0000-0000-0000F8480000}"/>
    <cellStyle name="Normal 15 3 2 2 6" xfId="15075" xr:uid="{00000000-0005-0000-0000-0000F9480000}"/>
    <cellStyle name="Normal 15 3 2 2 6 2" xfId="28133" xr:uid="{00000000-0005-0000-0000-0000FA480000}"/>
    <cellStyle name="Normal 15 3 2 2 7" xfId="15076" xr:uid="{00000000-0005-0000-0000-0000FB480000}"/>
    <cellStyle name="Normal 15 3 2 2 7 2" xfId="28134" xr:uid="{00000000-0005-0000-0000-0000FC480000}"/>
    <cellStyle name="Normal 15 3 2 2 8" xfId="21056" xr:uid="{00000000-0005-0000-0000-0000FD480000}"/>
    <cellStyle name="Normal 15 3 2 3" xfId="6633" xr:uid="{00000000-0005-0000-0000-0000FE480000}"/>
    <cellStyle name="Normal 15 3 2 3 2" xfId="7329" xr:uid="{00000000-0005-0000-0000-0000FF480000}"/>
    <cellStyle name="Normal 15 3 2 3 2 2" xfId="9208" xr:uid="{00000000-0005-0000-0000-000000490000}"/>
    <cellStyle name="Normal 15 3 2 3 2 2 2" xfId="11587" xr:uid="{00000000-0005-0000-0000-000001490000}"/>
    <cellStyle name="Normal 15 3 2 3 2 2 2 2" xfId="15077" xr:uid="{00000000-0005-0000-0000-000002490000}"/>
    <cellStyle name="Normal 15 3 2 3 2 2 2 2 2" xfId="28135" xr:uid="{00000000-0005-0000-0000-000003490000}"/>
    <cellStyle name="Normal 15 3 2 3 2 2 2 3" xfId="15078" xr:uid="{00000000-0005-0000-0000-000004490000}"/>
    <cellStyle name="Normal 15 3 2 3 2 2 2 3 2" xfId="28136" xr:uid="{00000000-0005-0000-0000-000005490000}"/>
    <cellStyle name="Normal 15 3 2 3 2 2 2 4" xfId="24957" xr:uid="{00000000-0005-0000-0000-000006490000}"/>
    <cellStyle name="Normal 15 3 2 3 2 2 3" xfId="15079" xr:uid="{00000000-0005-0000-0000-000007490000}"/>
    <cellStyle name="Normal 15 3 2 3 2 2 3 2" xfId="28137" xr:uid="{00000000-0005-0000-0000-000008490000}"/>
    <cellStyle name="Normal 15 3 2 3 2 2 4" xfId="15080" xr:uid="{00000000-0005-0000-0000-000009490000}"/>
    <cellStyle name="Normal 15 3 2 3 2 2 4 2" xfId="28138" xr:uid="{00000000-0005-0000-0000-00000A490000}"/>
    <cellStyle name="Normal 15 3 2 3 2 2 5" xfId="22801" xr:uid="{00000000-0005-0000-0000-00000B490000}"/>
    <cellStyle name="Normal 15 3 2 3 2 3" xfId="10509" xr:uid="{00000000-0005-0000-0000-00000C490000}"/>
    <cellStyle name="Normal 15 3 2 3 2 3 2" xfId="15081" xr:uid="{00000000-0005-0000-0000-00000D490000}"/>
    <cellStyle name="Normal 15 3 2 3 2 3 2 2" xfId="28139" xr:uid="{00000000-0005-0000-0000-00000E490000}"/>
    <cellStyle name="Normal 15 3 2 3 2 3 3" xfId="15082" xr:uid="{00000000-0005-0000-0000-00000F490000}"/>
    <cellStyle name="Normal 15 3 2 3 2 3 3 2" xfId="28140" xr:uid="{00000000-0005-0000-0000-000010490000}"/>
    <cellStyle name="Normal 15 3 2 3 2 3 4" xfId="23879" xr:uid="{00000000-0005-0000-0000-000011490000}"/>
    <cellStyle name="Normal 15 3 2 3 2 4" xfId="15083" xr:uid="{00000000-0005-0000-0000-000012490000}"/>
    <cellStyle name="Normal 15 3 2 3 2 4 2" xfId="28141" xr:uid="{00000000-0005-0000-0000-000013490000}"/>
    <cellStyle name="Normal 15 3 2 3 2 5" xfId="15084" xr:uid="{00000000-0005-0000-0000-000014490000}"/>
    <cellStyle name="Normal 15 3 2 3 2 5 2" xfId="28142" xr:uid="{00000000-0005-0000-0000-000015490000}"/>
    <cellStyle name="Normal 15 3 2 3 2 6" xfId="21723" xr:uid="{00000000-0005-0000-0000-000016490000}"/>
    <cellStyle name="Normal 15 3 2 3 3" xfId="8661" xr:uid="{00000000-0005-0000-0000-000017490000}"/>
    <cellStyle name="Normal 15 3 2 3 3 2" xfId="11047" xr:uid="{00000000-0005-0000-0000-000018490000}"/>
    <cellStyle name="Normal 15 3 2 3 3 2 2" xfId="15085" xr:uid="{00000000-0005-0000-0000-000019490000}"/>
    <cellStyle name="Normal 15 3 2 3 3 2 2 2" xfId="28143" xr:uid="{00000000-0005-0000-0000-00001A490000}"/>
    <cellStyle name="Normal 15 3 2 3 3 2 3" xfId="15086" xr:uid="{00000000-0005-0000-0000-00001B490000}"/>
    <cellStyle name="Normal 15 3 2 3 3 2 3 2" xfId="28144" xr:uid="{00000000-0005-0000-0000-00001C490000}"/>
    <cellStyle name="Normal 15 3 2 3 3 2 4" xfId="24417" xr:uid="{00000000-0005-0000-0000-00001D490000}"/>
    <cellStyle name="Normal 15 3 2 3 3 3" xfId="15087" xr:uid="{00000000-0005-0000-0000-00001E490000}"/>
    <cellStyle name="Normal 15 3 2 3 3 3 2" xfId="28145" xr:uid="{00000000-0005-0000-0000-00001F490000}"/>
    <cellStyle name="Normal 15 3 2 3 3 4" xfId="15088" xr:uid="{00000000-0005-0000-0000-000020490000}"/>
    <cellStyle name="Normal 15 3 2 3 3 4 2" xfId="28146" xr:uid="{00000000-0005-0000-0000-000021490000}"/>
    <cellStyle name="Normal 15 3 2 3 3 5" xfId="22261" xr:uid="{00000000-0005-0000-0000-000022490000}"/>
    <cellStyle name="Normal 15 3 2 3 4" xfId="9969" xr:uid="{00000000-0005-0000-0000-000023490000}"/>
    <cellStyle name="Normal 15 3 2 3 4 2" xfId="15089" xr:uid="{00000000-0005-0000-0000-000024490000}"/>
    <cellStyle name="Normal 15 3 2 3 4 2 2" xfId="28147" xr:uid="{00000000-0005-0000-0000-000025490000}"/>
    <cellStyle name="Normal 15 3 2 3 4 3" xfId="15090" xr:uid="{00000000-0005-0000-0000-000026490000}"/>
    <cellStyle name="Normal 15 3 2 3 4 3 2" xfId="28148" xr:uid="{00000000-0005-0000-0000-000027490000}"/>
    <cellStyle name="Normal 15 3 2 3 4 4" xfId="23339" xr:uid="{00000000-0005-0000-0000-000028490000}"/>
    <cellStyle name="Normal 15 3 2 3 5" xfId="15091" xr:uid="{00000000-0005-0000-0000-000029490000}"/>
    <cellStyle name="Normal 15 3 2 3 5 2" xfId="28149" xr:uid="{00000000-0005-0000-0000-00002A490000}"/>
    <cellStyle name="Normal 15 3 2 3 6" xfId="15092" xr:uid="{00000000-0005-0000-0000-00002B490000}"/>
    <cellStyle name="Normal 15 3 2 3 6 2" xfId="28150" xr:uid="{00000000-0005-0000-0000-00002C490000}"/>
    <cellStyle name="Normal 15 3 2 3 7" xfId="21183" xr:uid="{00000000-0005-0000-0000-00002D490000}"/>
    <cellStyle name="Normal 15 3 2 4" xfId="7059" xr:uid="{00000000-0005-0000-0000-00002E490000}"/>
    <cellStyle name="Normal 15 3 2 4 2" xfId="8939" xr:uid="{00000000-0005-0000-0000-00002F490000}"/>
    <cellStyle name="Normal 15 3 2 4 2 2" xfId="11318" xr:uid="{00000000-0005-0000-0000-000030490000}"/>
    <cellStyle name="Normal 15 3 2 4 2 2 2" xfId="15093" xr:uid="{00000000-0005-0000-0000-000031490000}"/>
    <cellStyle name="Normal 15 3 2 4 2 2 2 2" xfId="28151" xr:uid="{00000000-0005-0000-0000-000032490000}"/>
    <cellStyle name="Normal 15 3 2 4 2 2 3" xfId="15094" xr:uid="{00000000-0005-0000-0000-000033490000}"/>
    <cellStyle name="Normal 15 3 2 4 2 2 3 2" xfId="28152" xr:uid="{00000000-0005-0000-0000-000034490000}"/>
    <cellStyle name="Normal 15 3 2 4 2 2 4" xfId="24688" xr:uid="{00000000-0005-0000-0000-000035490000}"/>
    <cellStyle name="Normal 15 3 2 4 2 3" xfId="15095" xr:uid="{00000000-0005-0000-0000-000036490000}"/>
    <cellStyle name="Normal 15 3 2 4 2 3 2" xfId="28153" xr:uid="{00000000-0005-0000-0000-000037490000}"/>
    <cellStyle name="Normal 15 3 2 4 2 4" xfId="15096" xr:uid="{00000000-0005-0000-0000-000038490000}"/>
    <cellStyle name="Normal 15 3 2 4 2 4 2" xfId="28154" xr:uid="{00000000-0005-0000-0000-000039490000}"/>
    <cellStyle name="Normal 15 3 2 4 2 5" xfId="22532" xr:uid="{00000000-0005-0000-0000-00003A490000}"/>
    <cellStyle name="Normal 15 3 2 4 3" xfId="10240" xr:uid="{00000000-0005-0000-0000-00003B490000}"/>
    <cellStyle name="Normal 15 3 2 4 3 2" xfId="15097" xr:uid="{00000000-0005-0000-0000-00003C490000}"/>
    <cellStyle name="Normal 15 3 2 4 3 2 2" xfId="28155" xr:uid="{00000000-0005-0000-0000-00003D490000}"/>
    <cellStyle name="Normal 15 3 2 4 3 3" xfId="15098" xr:uid="{00000000-0005-0000-0000-00003E490000}"/>
    <cellStyle name="Normal 15 3 2 4 3 3 2" xfId="28156" xr:uid="{00000000-0005-0000-0000-00003F490000}"/>
    <cellStyle name="Normal 15 3 2 4 3 4" xfId="23610" xr:uid="{00000000-0005-0000-0000-000040490000}"/>
    <cellStyle name="Normal 15 3 2 4 4" xfId="15099" xr:uid="{00000000-0005-0000-0000-000041490000}"/>
    <cellStyle name="Normal 15 3 2 4 4 2" xfId="28157" xr:uid="{00000000-0005-0000-0000-000042490000}"/>
    <cellStyle name="Normal 15 3 2 4 5" xfId="15100" xr:uid="{00000000-0005-0000-0000-000043490000}"/>
    <cellStyle name="Normal 15 3 2 4 5 2" xfId="28158" xr:uid="{00000000-0005-0000-0000-000044490000}"/>
    <cellStyle name="Normal 15 3 2 4 6" xfId="21454" xr:uid="{00000000-0005-0000-0000-000045490000}"/>
    <cellStyle name="Normal 15 3 2 5" xfId="8263" xr:uid="{00000000-0005-0000-0000-000046490000}"/>
    <cellStyle name="Normal 15 3 2 5 2" xfId="10778" xr:uid="{00000000-0005-0000-0000-000047490000}"/>
    <cellStyle name="Normal 15 3 2 5 2 2" xfId="15101" xr:uid="{00000000-0005-0000-0000-000048490000}"/>
    <cellStyle name="Normal 15 3 2 5 2 2 2" xfId="28159" xr:uid="{00000000-0005-0000-0000-000049490000}"/>
    <cellStyle name="Normal 15 3 2 5 2 3" xfId="15102" xr:uid="{00000000-0005-0000-0000-00004A490000}"/>
    <cellStyle name="Normal 15 3 2 5 2 3 2" xfId="28160" xr:uid="{00000000-0005-0000-0000-00004B490000}"/>
    <cellStyle name="Normal 15 3 2 5 2 4" xfId="24148" xr:uid="{00000000-0005-0000-0000-00004C490000}"/>
    <cellStyle name="Normal 15 3 2 5 3" xfId="15103" xr:uid="{00000000-0005-0000-0000-00004D490000}"/>
    <cellStyle name="Normal 15 3 2 5 3 2" xfId="28161" xr:uid="{00000000-0005-0000-0000-00004E490000}"/>
    <cellStyle name="Normal 15 3 2 5 4" xfId="15104" xr:uid="{00000000-0005-0000-0000-00004F490000}"/>
    <cellStyle name="Normal 15 3 2 5 4 2" xfId="28162" xr:uid="{00000000-0005-0000-0000-000050490000}"/>
    <cellStyle name="Normal 15 3 2 5 5" xfId="21992" xr:uid="{00000000-0005-0000-0000-000051490000}"/>
    <cellStyle name="Normal 15 3 2 6" xfId="9699" xr:uid="{00000000-0005-0000-0000-000052490000}"/>
    <cellStyle name="Normal 15 3 2 6 2" xfId="15105" xr:uid="{00000000-0005-0000-0000-000053490000}"/>
    <cellStyle name="Normal 15 3 2 6 2 2" xfId="28163" xr:uid="{00000000-0005-0000-0000-000054490000}"/>
    <cellStyle name="Normal 15 3 2 6 3" xfId="15106" xr:uid="{00000000-0005-0000-0000-000055490000}"/>
    <cellStyle name="Normal 15 3 2 6 3 2" xfId="28164" xr:uid="{00000000-0005-0000-0000-000056490000}"/>
    <cellStyle name="Normal 15 3 2 6 4" xfId="23070" xr:uid="{00000000-0005-0000-0000-000057490000}"/>
    <cellStyle name="Normal 15 3 2 7" xfId="15107" xr:uid="{00000000-0005-0000-0000-000058490000}"/>
    <cellStyle name="Normal 15 3 2 7 2" xfId="28165" xr:uid="{00000000-0005-0000-0000-000059490000}"/>
    <cellStyle name="Normal 15 3 2 8" xfId="15108" xr:uid="{00000000-0005-0000-0000-00005A490000}"/>
    <cellStyle name="Normal 15 3 2 8 2" xfId="28166" xr:uid="{00000000-0005-0000-0000-00005B490000}"/>
    <cellStyle name="Normal 15 3 2 9" xfId="20913" xr:uid="{00000000-0005-0000-0000-00005C490000}"/>
    <cellStyle name="Normal 15 3 3" xfId="5531" xr:uid="{00000000-0005-0000-0000-00005D490000}"/>
    <cellStyle name="Normal 15 3 3 2" xfId="6726" xr:uid="{00000000-0005-0000-0000-00005E490000}"/>
    <cellStyle name="Normal 15 3 3 2 2" xfId="7413" xr:uid="{00000000-0005-0000-0000-00005F490000}"/>
    <cellStyle name="Normal 15 3 3 2 2 2" xfId="9292" xr:uid="{00000000-0005-0000-0000-000060490000}"/>
    <cellStyle name="Normal 15 3 3 2 2 2 2" xfId="11671" xr:uid="{00000000-0005-0000-0000-000061490000}"/>
    <cellStyle name="Normal 15 3 3 2 2 2 2 2" xfId="15109" xr:uid="{00000000-0005-0000-0000-000062490000}"/>
    <cellStyle name="Normal 15 3 3 2 2 2 2 2 2" xfId="28167" xr:uid="{00000000-0005-0000-0000-000063490000}"/>
    <cellStyle name="Normal 15 3 3 2 2 2 2 3" xfId="15110" xr:uid="{00000000-0005-0000-0000-000064490000}"/>
    <cellStyle name="Normal 15 3 3 2 2 2 2 3 2" xfId="28168" xr:uid="{00000000-0005-0000-0000-000065490000}"/>
    <cellStyle name="Normal 15 3 3 2 2 2 2 4" xfId="25041" xr:uid="{00000000-0005-0000-0000-000066490000}"/>
    <cellStyle name="Normal 15 3 3 2 2 2 3" xfId="15111" xr:uid="{00000000-0005-0000-0000-000067490000}"/>
    <cellStyle name="Normal 15 3 3 2 2 2 3 2" xfId="28169" xr:uid="{00000000-0005-0000-0000-000068490000}"/>
    <cellStyle name="Normal 15 3 3 2 2 2 4" xfId="15112" xr:uid="{00000000-0005-0000-0000-000069490000}"/>
    <cellStyle name="Normal 15 3 3 2 2 2 4 2" xfId="28170" xr:uid="{00000000-0005-0000-0000-00006A490000}"/>
    <cellStyle name="Normal 15 3 3 2 2 2 5" xfId="22885" xr:uid="{00000000-0005-0000-0000-00006B490000}"/>
    <cellStyle name="Normal 15 3 3 2 2 3" xfId="10593" xr:uid="{00000000-0005-0000-0000-00006C490000}"/>
    <cellStyle name="Normal 15 3 3 2 2 3 2" xfId="15113" xr:uid="{00000000-0005-0000-0000-00006D490000}"/>
    <cellStyle name="Normal 15 3 3 2 2 3 2 2" xfId="28171" xr:uid="{00000000-0005-0000-0000-00006E490000}"/>
    <cellStyle name="Normal 15 3 3 2 2 3 3" xfId="15114" xr:uid="{00000000-0005-0000-0000-00006F490000}"/>
    <cellStyle name="Normal 15 3 3 2 2 3 3 2" xfId="28172" xr:uid="{00000000-0005-0000-0000-000070490000}"/>
    <cellStyle name="Normal 15 3 3 2 2 3 4" xfId="23963" xr:uid="{00000000-0005-0000-0000-000071490000}"/>
    <cellStyle name="Normal 15 3 3 2 2 4" xfId="15115" xr:uid="{00000000-0005-0000-0000-000072490000}"/>
    <cellStyle name="Normal 15 3 3 2 2 4 2" xfId="28173" xr:uid="{00000000-0005-0000-0000-000073490000}"/>
    <cellStyle name="Normal 15 3 3 2 2 5" xfId="15116" xr:uid="{00000000-0005-0000-0000-000074490000}"/>
    <cellStyle name="Normal 15 3 3 2 2 5 2" xfId="28174" xr:uid="{00000000-0005-0000-0000-000075490000}"/>
    <cellStyle name="Normal 15 3 3 2 2 6" xfId="21807" xr:uid="{00000000-0005-0000-0000-000076490000}"/>
    <cellStyle name="Normal 15 3 3 2 3" xfId="8746" xr:uid="{00000000-0005-0000-0000-000077490000}"/>
    <cellStyle name="Normal 15 3 3 2 3 2" xfId="11131" xr:uid="{00000000-0005-0000-0000-000078490000}"/>
    <cellStyle name="Normal 15 3 3 2 3 2 2" xfId="15117" xr:uid="{00000000-0005-0000-0000-000079490000}"/>
    <cellStyle name="Normal 15 3 3 2 3 2 2 2" xfId="28175" xr:uid="{00000000-0005-0000-0000-00007A490000}"/>
    <cellStyle name="Normal 15 3 3 2 3 2 3" xfId="15118" xr:uid="{00000000-0005-0000-0000-00007B490000}"/>
    <cellStyle name="Normal 15 3 3 2 3 2 3 2" xfId="28176" xr:uid="{00000000-0005-0000-0000-00007C490000}"/>
    <cellStyle name="Normal 15 3 3 2 3 2 4" xfId="24501" xr:uid="{00000000-0005-0000-0000-00007D490000}"/>
    <cellStyle name="Normal 15 3 3 2 3 3" xfId="15119" xr:uid="{00000000-0005-0000-0000-00007E490000}"/>
    <cellStyle name="Normal 15 3 3 2 3 3 2" xfId="28177" xr:uid="{00000000-0005-0000-0000-00007F490000}"/>
    <cellStyle name="Normal 15 3 3 2 3 4" xfId="15120" xr:uid="{00000000-0005-0000-0000-000080490000}"/>
    <cellStyle name="Normal 15 3 3 2 3 4 2" xfId="28178" xr:uid="{00000000-0005-0000-0000-000081490000}"/>
    <cellStyle name="Normal 15 3 3 2 3 5" xfId="22345" xr:uid="{00000000-0005-0000-0000-000082490000}"/>
    <cellStyle name="Normal 15 3 3 2 4" xfId="10053" xr:uid="{00000000-0005-0000-0000-000083490000}"/>
    <cellStyle name="Normal 15 3 3 2 4 2" xfId="15121" xr:uid="{00000000-0005-0000-0000-000084490000}"/>
    <cellStyle name="Normal 15 3 3 2 4 2 2" xfId="28179" xr:uid="{00000000-0005-0000-0000-000085490000}"/>
    <cellStyle name="Normal 15 3 3 2 4 3" xfId="15122" xr:uid="{00000000-0005-0000-0000-000086490000}"/>
    <cellStyle name="Normal 15 3 3 2 4 3 2" xfId="28180" xr:uid="{00000000-0005-0000-0000-000087490000}"/>
    <cellStyle name="Normal 15 3 3 2 4 4" xfId="23423" xr:uid="{00000000-0005-0000-0000-000088490000}"/>
    <cellStyle name="Normal 15 3 3 2 5" xfId="15123" xr:uid="{00000000-0005-0000-0000-000089490000}"/>
    <cellStyle name="Normal 15 3 3 2 5 2" xfId="28181" xr:uid="{00000000-0005-0000-0000-00008A490000}"/>
    <cellStyle name="Normal 15 3 3 2 6" xfId="15124" xr:uid="{00000000-0005-0000-0000-00008B490000}"/>
    <cellStyle name="Normal 15 3 3 2 6 2" xfId="28182" xr:uid="{00000000-0005-0000-0000-00008C490000}"/>
    <cellStyle name="Normal 15 3 3 2 7" xfId="21267" xr:uid="{00000000-0005-0000-0000-00008D490000}"/>
    <cellStyle name="Normal 15 3 3 3" xfId="7144" xr:uid="{00000000-0005-0000-0000-00008E490000}"/>
    <cellStyle name="Normal 15 3 3 3 2" xfId="9023" xr:uid="{00000000-0005-0000-0000-00008F490000}"/>
    <cellStyle name="Normal 15 3 3 3 2 2" xfId="11402" xr:uid="{00000000-0005-0000-0000-000090490000}"/>
    <cellStyle name="Normal 15 3 3 3 2 2 2" xfId="15125" xr:uid="{00000000-0005-0000-0000-000091490000}"/>
    <cellStyle name="Normal 15 3 3 3 2 2 2 2" xfId="28183" xr:uid="{00000000-0005-0000-0000-000092490000}"/>
    <cellStyle name="Normal 15 3 3 3 2 2 3" xfId="15126" xr:uid="{00000000-0005-0000-0000-000093490000}"/>
    <cellStyle name="Normal 15 3 3 3 2 2 3 2" xfId="28184" xr:uid="{00000000-0005-0000-0000-000094490000}"/>
    <cellStyle name="Normal 15 3 3 3 2 2 4" xfId="24772" xr:uid="{00000000-0005-0000-0000-000095490000}"/>
    <cellStyle name="Normal 15 3 3 3 2 3" xfId="15127" xr:uid="{00000000-0005-0000-0000-000096490000}"/>
    <cellStyle name="Normal 15 3 3 3 2 3 2" xfId="28185" xr:uid="{00000000-0005-0000-0000-000097490000}"/>
    <cellStyle name="Normal 15 3 3 3 2 4" xfId="15128" xr:uid="{00000000-0005-0000-0000-000098490000}"/>
    <cellStyle name="Normal 15 3 3 3 2 4 2" xfId="28186" xr:uid="{00000000-0005-0000-0000-000099490000}"/>
    <cellStyle name="Normal 15 3 3 3 2 5" xfId="22616" xr:uid="{00000000-0005-0000-0000-00009A490000}"/>
    <cellStyle name="Normal 15 3 3 3 3" xfId="10324" xr:uid="{00000000-0005-0000-0000-00009B490000}"/>
    <cellStyle name="Normal 15 3 3 3 3 2" xfId="15129" xr:uid="{00000000-0005-0000-0000-00009C490000}"/>
    <cellStyle name="Normal 15 3 3 3 3 2 2" xfId="28187" xr:uid="{00000000-0005-0000-0000-00009D490000}"/>
    <cellStyle name="Normal 15 3 3 3 3 3" xfId="15130" xr:uid="{00000000-0005-0000-0000-00009E490000}"/>
    <cellStyle name="Normal 15 3 3 3 3 3 2" xfId="28188" xr:uid="{00000000-0005-0000-0000-00009F490000}"/>
    <cellStyle name="Normal 15 3 3 3 3 4" xfId="23694" xr:uid="{00000000-0005-0000-0000-0000A0490000}"/>
    <cellStyle name="Normal 15 3 3 3 4" xfId="15131" xr:uid="{00000000-0005-0000-0000-0000A1490000}"/>
    <cellStyle name="Normal 15 3 3 3 4 2" xfId="28189" xr:uid="{00000000-0005-0000-0000-0000A2490000}"/>
    <cellStyle name="Normal 15 3 3 3 5" xfId="15132" xr:uid="{00000000-0005-0000-0000-0000A3490000}"/>
    <cellStyle name="Normal 15 3 3 3 5 2" xfId="28190" xr:uid="{00000000-0005-0000-0000-0000A4490000}"/>
    <cellStyle name="Normal 15 3 3 3 6" xfId="21538" xr:uid="{00000000-0005-0000-0000-0000A5490000}"/>
    <cellStyle name="Normal 15 3 3 4" xfId="8418" xr:uid="{00000000-0005-0000-0000-0000A6490000}"/>
    <cellStyle name="Normal 15 3 3 4 2" xfId="10862" xr:uid="{00000000-0005-0000-0000-0000A7490000}"/>
    <cellStyle name="Normal 15 3 3 4 2 2" xfId="15133" xr:uid="{00000000-0005-0000-0000-0000A8490000}"/>
    <cellStyle name="Normal 15 3 3 4 2 2 2" xfId="28191" xr:uid="{00000000-0005-0000-0000-0000A9490000}"/>
    <cellStyle name="Normal 15 3 3 4 2 3" xfId="15134" xr:uid="{00000000-0005-0000-0000-0000AA490000}"/>
    <cellStyle name="Normal 15 3 3 4 2 3 2" xfId="28192" xr:uid="{00000000-0005-0000-0000-0000AB490000}"/>
    <cellStyle name="Normal 15 3 3 4 2 4" xfId="24232" xr:uid="{00000000-0005-0000-0000-0000AC490000}"/>
    <cellStyle name="Normal 15 3 3 4 3" xfId="15135" xr:uid="{00000000-0005-0000-0000-0000AD490000}"/>
    <cellStyle name="Normal 15 3 3 4 3 2" xfId="28193" xr:uid="{00000000-0005-0000-0000-0000AE490000}"/>
    <cellStyle name="Normal 15 3 3 4 4" xfId="15136" xr:uid="{00000000-0005-0000-0000-0000AF490000}"/>
    <cellStyle name="Normal 15 3 3 4 4 2" xfId="28194" xr:uid="{00000000-0005-0000-0000-0000B0490000}"/>
    <cellStyle name="Normal 15 3 3 4 5" xfId="22076" xr:uid="{00000000-0005-0000-0000-0000B1490000}"/>
    <cellStyle name="Normal 15 3 3 5" xfId="9784" xr:uid="{00000000-0005-0000-0000-0000B2490000}"/>
    <cellStyle name="Normal 15 3 3 5 2" xfId="15137" xr:uid="{00000000-0005-0000-0000-0000B3490000}"/>
    <cellStyle name="Normal 15 3 3 5 2 2" xfId="28195" xr:uid="{00000000-0005-0000-0000-0000B4490000}"/>
    <cellStyle name="Normal 15 3 3 5 3" xfId="15138" xr:uid="{00000000-0005-0000-0000-0000B5490000}"/>
    <cellStyle name="Normal 15 3 3 5 3 2" xfId="28196" xr:uid="{00000000-0005-0000-0000-0000B6490000}"/>
    <cellStyle name="Normal 15 3 3 5 4" xfId="23154" xr:uid="{00000000-0005-0000-0000-0000B7490000}"/>
    <cellStyle name="Normal 15 3 3 6" xfId="15139" xr:uid="{00000000-0005-0000-0000-0000B8490000}"/>
    <cellStyle name="Normal 15 3 3 6 2" xfId="28197" xr:uid="{00000000-0005-0000-0000-0000B9490000}"/>
    <cellStyle name="Normal 15 3 3 7" xfId="15140" xr:uid="{00000000-0005-0000-0000-0000BA490000}"/>
    <cellStyle name="Normal 15 3 3 7 2" xfId="28198" xr:uid="{00000000-0005-0000-0000-0000BB490000}"/>
    <cellStyle name="Normal 15 3 3 8" xfId="20998" xr:uid="{00000000-0005-0000-0000-0000BC490000}"/>
    <cellStyle name="Normal 15 3 4" xfId="6576" xr:uid="{00000000-0005-0000-0000-0000BD490000}"/>
    <cellStyle name="Normal 15 3 4 2" xfId="7274" xr:uid="{00000000-0005-0000-0000-0000BE490000}"/>
    <cellStyle name="Normal 15 3 4 2 2" xfId="9153" xr:uid="{00000000-0005-0000-0000-0000BF490000}"/>
    <cellStyle name="Normal 15 3 4 2 2 2" xfId="11532" xr:uid="{00000000-0005-0000-0000-0000C0490000}"/>
    <cellStyle name="Normal 15 3 4 2 2 2 2" xfId="15141" xr:uid="{00000000-0005-0000-0000-0000C1490000}"/>
    <cellStyle name="Normal 15 3 4 2 2 2 2 2" xfId="28199" xr:uid="{00000000-0005-0000-0000-0000C2490000}"/>
    <cellStyle name="Normal 15 3 4 2 2 2 3" xfId="15142" xr:uid="{00000000-0005-0000-0000-0000C3490000}"/>
    <cellStyle name="Normal 15 3 4 2 2 2 3 2" xfId="28200" xr:uid="{00000000-0005-0000-0000-0000C4490000}"/>
    <cellStyle name="Normal 15 3 4 2 2 2 4" xfId="24902" xr:uid="{00000000-0005-0000-0000-0000C5490000}"/>
    <cellStyle name="Normal 15 3 4 2 2 3" xfId="15143" xr:uid="{00000000-0005-0000-0000-0000C6490000}"/>
    <cellStyle name="Normal 15 3 4 2 2 3 2" xfId="28201" xr:uid="{00000000-0005-0000-0000-0000C7490000}"/>
    <cellStyle name="Normal 15 3 4 2 2 4" xfId="15144" xr:uid="{00000000-0005-0000-0000-0000C8490000}"/>
    <cellStyle name="Normal 15 3 4 2 2 4 2" xfId="28202" xr:uid="{00000000-0005-0000-0000-0000C9490000}"/>
    <cellStyle name="Normal 15 3 4 2 2 5" xfId="22746" xr:uid="{00000000-0005-0000-0000-0000CA490000}"/>
    <cellStyle name="Normal 15 3 4 2 3" xfId="10454" xr:uid="{00000000-0005-0000-0000-0000CB490000}"/>
    <cellStyle name="Normal 15 3 4 2 3 2" xfId="15145" xr:uid="{00000000-0005-0000-0000-0000CC490000}"/>
    <cellStyle name="Normal 15 3 4 2 3 2 2" xfId="28203" xr:uid="{00000000-0005-0000-0000-0000CD490000}"/>
    <cellStyle name="Normal 15 3 4 2 3 3" xfId="15146" xr:uid="{00000000-0005-0000-0000-0000CE490000}"/>
    <cellStyle name="Normal 15 3 4 2 3 3 2" xfId="28204" xr:uid="{00000000-0005-0000-0000-0000CF490000}"/>
    <cellStyle name="Normal 15 3 4 2 3 4" xfId="23824" xr:uid="{00000000-0005-0000-0000-0000D0490000}"/>
    <cellStyle name="Normal 15 3 4 2 4" xfId="15147" xr:uid="{00000000-0005-0000-0000-0000D1490000}"/>
    <cellStyle name="Normal 15 3 4 2 4 2" xfId="28205" xr:uid="{00000000-0005-0000-0000-0000D2490000}"/>
    <cellStyle name="Normal 15 3 4 2 5" xfId="15148" xr:uid="{00000000-0005-0000-0000-0000D3490000}"/>
    <cellStyle name="Normal 15 3 4 2 5 2" xfId="28206" xr:uid="{00000000-0005-0000-0000-0000D4490000}"/>
    <cellStyle name="Normal 15 3 4 2 6" xfId="21668" xr:uid="{00000000-0005-0000-0000-0000D5490000}"/>
    <cellStyle name="Normal 15 3 4 3" xfId="8606" xr:uid="{00000000-0005-0000-0000-0000D6490000}"/>
    <cellStyle name="Normal 15 3 4 3 2" xfId="10992" xr:uid="{00000000-0005-0000-0000-0000D7490000}"/>
    <cellStyle name="Normal 15 3 4 3 2 2" xfId="15149" xr:uid="{00000000-0005-0000-0000-0000D8490000}"/>
    <cellStyle name="Normal 15 3 4 3 2 2 2" xfId="28207" xr:uid="{00000000-0005-0000-0000-0000D9490000}"/>
    <cellStyle name="Normal 15 3 4 3 2 3" xfId="15150" xr:uid="{00000000-0005-0000-0000-0000DA490000}"/>
    <cellStyle name="Normal 15 3 4 3 2 3 2" xfId="28208" xr:uid="{00000000-0005-0000-0000-0000DB490000}"/>
    <cellStyle name="Normal 15 3 4 3 2 4" xfId="24362" xr:uid="{00000000-0005-0000-0000-0000DC490000}"/>
    <cellStyle name="Normal 15 3 4 3 3" xfId="15151" xr:uid="{00000000-0005-0000-0000-0000DD490000}"/>
    <cellStyle name="Normal 15 3 4 3 3 2" xfId="28209" xr:uid="{00000000-0005-0000-0000-0000DE490000}"/>
    <cellStyle name="Normal 15 3 4 3 4" xfId="15152" xr:uid="{00000000-0005-0000-0000-0000DF490000}"/>
    <cellStyle name="Normal 15 3 4 3 4 2" xfId="28210" xr:uid="{00000000-0005-0000-0000-0000E0490000}"/>
    <cellStyle name="Normal 15 3 4 3 5" xfId="22206" xr:uid="{00000000-0005-0000-0000-0000E1490000}"/>
    <cellStyle name="Normal 15 3 4 4" xfId="9914" xr:uid="{00000000-0005-0000-0000-0000E2490000}"/>
    <cellStyle name="Normal 15 3 4 4 2" xfId="15153" xr:uid="{00000000-0005-0000-0000-0000E3490000}"/>
    <cellStyle name="Normal 15 3 4 4 2 2" xfId="28211" xr:uid="{00000000-0005-0000-0000-0000E4490000}"/>
    <cellStyle name="Normal 15 3 4 4 3" xfId="15154" xr:uid="{00000000-0005-0000-0000-0000E5490000}"/>
    <cellStyle name="Normal 15 3 4 4 3 2" xfId="28212" xr:uid="{00000000-0005-0000-0000-0000E6490000}"/>
    <cellStyle name="Normal 15 3 4 4 4" xfId="23284" xr:uid="{00000000-0005-0000-0000-0000E7490000}"/>
    <cellStyle name="Normal 15 3 4 5" xfId="15155" xr:uid="{00000000-0005-0000-0000-0000E8490000}"/>
    <cellStyle name="Normal 15 3 4 5 2" xfId="28213" xr:uid="{00000000-0005-0000-0000-0000E9490000}"/>
    <cellStyle name="Normal 15 3 4 6" xfId="15156" xr:uid="{00000000-0005-0000-0000-0000EA490000}"/>
    <cellStyle name="Normal 15 3 4 6 2" xfId="28214" xr:uid="{00000000-0005-0000-0000-0000EB490000}"/>
    <cellStyle name="Normal 15 3 4 7" xfId="21128" xr:uid="{00000000-0005-0000-0000-0000EC490000}"/>
    <cellStyle name="Normal 15 3 5" xfId="7004" xr:uid="{00000000-0005-0000-0000-0000ED490000}"/>
    <cellStyle name="Normal 15 3 5 2" xfId="8884" xr:uid="{00000000-0005-0000-0000-0000EE490000}"/>
    <cellStyle name="Normal 15 3 5 2 2" xfId="11263" xr:uid="{00000000-0005-0000-0000-0000EF490000}"/>
    <cellStyle name="Normal 15 3 5 2 2 2" xfId="15157" xr:uid="{00000000-0005-0000-0000-0000F0490000}"/>
    <cellStyle name="Normal 15 3 5 2 2 2 2" xfId="28215" xr:uid="{00000000-0005-0000-0000-0000F1490000}"/>
    <cellStyle name="Normal 15 3 5 2 2 3" xfId="15158" xr:uid="{00000000-0005-0000-0000-0000F2490000}"/>
    <cellStyle name="Normal 15 3 5 2 2 3 2" xfId="28216" xr:uid="{00000000-0005-0000-0000-0000F3490000}"/>
    <cellStyle name="Normal 15 3 5 2 2 4" xfId="24633" xr:uid="{00000000-0005-0000-0000-0000F4490000}"/>
    <cellStyle name="Normal 15 3 5 2 3" xfId="15159" xr:uid="{00000000-0005-0000-0000-0000F5490000}"/>
    <cellStyle name="Normal 15 3 5 2 3 2" xfId="28217" xr:uid="{00000000-0005-0000-0000-0000F6490000}"/>
    <cellStyle name="Normal 15 3 5 2 4" xfId="15160" xr:uid="{00000000-0005-0000-0000-0000F7490000}"/>
    <cellStyle name="Normal 15 3 5 2 4 2" xfId="28218" xr:uid="{00000000-0005-0000-0000-0000F8490000}"/>
    <cellStyle name="Normal 15 3 5 2 5" xfId="22477" xr:uid="{00000000-0005-0000-0000-0000F9490000}"/>
    <cellStyle name="Normal 15 3 5 3" xfId="10185" xr:uid="{00000000-0005-0000-0000-0000FA490000}"/>
    <cellStyle name="Normal 15 3 5 3 2" xfId="15161" xr:uid="{00000000-0005-0000-0000-0000FB490000}"/>
    <cellStyle name="Normal 15 3 5 3 2 2" xfId="28219" xr:uid="{00000000-0005-0000-0000-0000FC490000}"/>
    <cellStyle name="Normal 15 3 5 3 3" xfId="15162" xr:uid="{00000000-0005-0000-0000-0000FD490000}"/>
    <cellStyle name="Normal 15 3 5 3 3 2" xfId="28220" xr:uid="{00000000-0005-0000-0000-0000FE490000}"/>
    <cellStyle name="Normal 15 3 5 3 4" xfId="23555" xr:uid="{00000000-0005-0000-0000-0000FF490000}"/>
    <cellStyle name="Normal 15 3 5 4" xfId="15163" xr:uid="{00000000-0005-0000-0000-0000004A0000}"/>
    <cellStyle name="Normal 15 3 5 4 2" xfId="28221" xr:uid="{00000000-0005-0000-0000-0000014A0000}"/>
    <cellStyle name="Normal 15 3 5 5" xfId="15164" xr:uid="{00000000-0005-0000-0000-0000024A0000}"/>
    <cellStyle name="Normal 15 3 5 5 2" xfId="28222" xr:uid="{00000000-0005-0000-0000-0000034A0000}"/>
    <cellStyle name="Normal 15 3 5 6" xfId="21399" xr:uid="{00000000-0005-0000-0000-0000044A0000}"/>
    <cellStyle name="Normal 15 3 6" xfId="8193" xr:uid="{00000000-0005-0000-0000-0000054A0000}"/>
    <cellStyle name="Normal 15 3 6 2" xfId="10723" xr:uid="{00000000-0005-0000-0000-0000064A0000}"/>
    <cellStyle name="Normal 15 3 6 2 2" xfId="15165" xr:uid="{00000000-0005-0000-0000-0000074A0000}"/>
    <cellStyle name="Normal 15 3 6 2 2 2" xfId="28223" xr:uid="{00000000-0005-0000-0000-0000084A0000}"/>
    <cellStyle name="Normal 15 3 6 2 3" xfId="15166" xr:uid="{00000000-0005-0000-0000-0000094A0000}"/>
    <cellStyle name="Normal 15 3 6 2 3 2" xfId="28224" xr:uid="{00000000-0005-0000-0000-00000A4A0000}"/>
    <cellStyle name="Normal 15 3 6 2 4" xfId="24093" xr:uid="{00000000-0005-0000-0000-00000B4A0000}"/>
    <cellStyle name="Normal 15 3 6 3" xfId="15167" xr:uid="{00000000-0005-0000-0000-00000C4A0000}"/>
    <cellStyle name="Normal 15 3 6 3 2" xfId="28225" xr:uid="{00000000-0005-0000-0000-00000D4A0000}"/>
    <cellStyle name="Normal 15 3 6 4" xfId="15168" xr:uid="{00000000-0005-0000-0000-00000E4A0000}"/>
    <cellStyle name="Normal 15 3 6 4 2" xfId="28226" xr:uid="{00000000-0005-0000-0000-00000F4A0000}"/>
    <cellStyle name="Normal 15 3 6 5" xfId="21937" xr:uid="{00000000-0005-0000-0000-0000104A0000}"/>
    <cellStyle name="Normal 15 3 7" xfId="9644" xr:uid="{00000000-0005-0000-0000-0000114A0000}"/>
    <cellStyle name="Normal 15 3 7 2" xfId="15169" xr:uid="{00000000-0005-0000-0000-0000124A0000}"/>
    <cellStyle name="Normal 15 3 7 2 2" xfId="28227" xr:uid="{00000000-0005-0000-0000-0000134A0000}"/>
    <cellStyle name="Normal 15 3 7 3" xfId="15170" xr:uid="{00000000-0005-0000-0000-0000144A0000}"/>
    <cellStyle name="Normal 15 3 7 3 2" xfId="28228" xr:uid="{00000000-0005-0000-0000-0000154A0000}"/>
    <cellStyle name="Normal 15 3 7 4" xfId="23015" xr:uid="{00000000-0005-0000-0000-0000164A0000}"/>
    <cellStyle name="Normal 15 3 8" xfId="15171" xr:uid="{00000000-0005-0000-0000-0000174A0000}"/>
    <cellStyle name="Normal 15 3 8 2" xfId="28229" xr:uid="{00000000-0005-0000-0000-0000184A0000}"/>
    <cellStyle name="Normal 15 3 9" xfId="15172" xr:uid="{00000000-0005-0000-0000-0000194A0000}"/>
    <cellStyle name="Normal 15 3 9 2" xfId="28230" xr:uid="{00000000-0005-0000-0000-00001A4A0000}"/>
    <cellStyle name="Normal 15 4" xfId="4065" xr:uid="{00000000-0005-0000-0000-00001B4A0000}"/>
    <cellStyle name="Normal 15 4 2" xfId="5601" xr:uid="{00000000-0005-0000-0000-00001C4A0000}"/>
    <cellStyle name="Normal 15 4 2 2" xfId="6753" xr:uid="{00000000-0005-0000-0000-00001D4A0000}"/>
    <cellStyle name="Normal 15 4 2 2 2" xfId="7440" xr:uid="{00000000-0005-0000-0000-00001E4A0000}"/>
    <cellStyle name="Normal 15 4 2 2 2 2" xfId="9319" xr:uid="{00000000-0005-0000-0000-00001F4A0000}"/>
    <cellStyle name="Normal 15 4 2 2 2 2 2" xfId="11698" xr:uid="{00000000-0005-0000-0000-0000204A0000}"/>
    <cellStyle name="Normal 15 4 2 2 2 2 2 2" xfId="15173" xr:uid="{00000000-0005-0000-0000-0000214A0000}"/>
    <cellStyle name="Normal 15 4 2 2 2 2 2 2 2" xfId="28231" xr:uid="{00000000-0005-0000-0000-0000224A0000}"/>
    <cellStyle name="Normal 15 4 2 2 2 2 2 3" xfId="15174" xr:uid="{00000000-0005-0000-0000-0000234A0000}"/>
    <cellStyle name="Normal 15 4 2 2 2 2 2 3 2" xfId="28232" xr:uid="{00000000-0005-0000-0000-0000244A0000}"/>
    <cellStyle name="Normal 15 4 2 2 2 2 2 4" xfId="25068" xr:uid="{00000000-0005-0000-0000-0000254A0000}"/>
    <cellStyle name="Normal 15 4 2 2 2 2 3" xfId="15175" xr:uid="{00000000-0005-0000-0000-0000264A0000}"/>
    <cellStyle name="Normal 15 4 2 2 2 2 3 2" xfId="28233" xr:uid="{00000000-0005-0000-0000-0000274A0000}"/>
    <cellStyle name="Normal 15 4 2 2 2 2 4" xfId="15176" xr:uid="{00000000-0005-0000-0000-0000284A0000}"/>
    <cellStyle name="Normal 15 4 2 2 2 2 4 2" xfId="28234" xr:uid="{00000000-0005-0000-0000-0000294A0000}"/>
    <cellStyle name="Normal 15 4 2 2 2 2 5" xfId="22912" xr:uid="{00000000-0005-0000-0000-00002A4A0000}"/>
    <cellStyle name="Normal 15 4 2 2 2 3" xfId="10620" xr:uid="{00000000-0005-0000-0000-00002B4A0000}"/>
    <cellStyle name="Normal 15 4 2 2 2 3 2" xfId="15177" xr:uid="{00000000-0005-0000-0000-00002C4A0000}"/>
    <cellStyle name="Normal 15 4 2 2 2 3 2 2" xfId="28235" xr:uid="{00000000-0005-0000-0000-00002D4A0000}"/>
    <cellStyle name="Normal 15 4 2 2 2 3 3" xfId="15178" xr:uid="{00000000-0005-0000-0000-00002E4A0000}"/>
    <cellStyle name="Normal 15 4 2 2 2 3 3 2" xfId="28236" xr:uid="{00000000-0005-0000-0000-00002F4A0000}"/>
    <cellStyle name="Normal 15 4 2 2 2 3 4" xfId="23990" xr:uid="{00000000-0005-0000-0000-0000304A0000}"/>
    <cellStyle name="Normal 15 4 2 2 2 4" xfId="15179" xr:uid="{00000000-0005-0000-0000-0000314A0000}"/>
    <cellStyle name="Normal 15 4 2 2 2 4 2" xfId="28237" xr:uid="{00000000-0005-0000-0000-0000324A0000}"/>
    <cellStyle name="Normal 15 4 2 2 2 5" xfId="15180" xr:uid="{00000000-0005-0000-0000-0000334A0000}"/>
    <cellStyle name="Normal 15 4 2 2 2 5 2" xfId="28238" xr:uid="{00000000-0005-0000-0000-0000344A0000}"/>
    <cellStyle name="Normal 15 4 2 2 2 6" xfId="21834" xr:uid="{00000000-0005-0000-0000-0000354A0000}"/>
    <cellStyle name="Normal 15 4 2 2 3" xfId="8773" xr:uid="{00000000-0005-0000-0000-0000364A0000}"/>
    <cellStyle name="Normal 15 4 2 2 3 2" xfId="11158" xr:uid="{00000000-0005-0000-0000-0000374A0000}"/>
    <cellStyle name="Normal 15 4 2 2 3 2 2" xfId="15181" xr:uid="{00000000-0005-0000-0000-0000384A0000}"/>
    <cellStyle name="Normal 15 4 2 2 3 2 2 2" xfId="28239" xr:uid="{00000000-0005-0000-0000-0000394A0000}"/>
    <cellStyle name="Normal 15 4 2 2 3 2 3" xfId="15182" xr:uid="{00000000-0005-0000-0000-00003A4A0000}"/>
    <cellStyle name="Normal 15 4 2 2 3 2 3 2" xfId="28240" xr:uid="{00000000-0005-0000-0000-00003B4A0000}"/>
    <cellStyle name="Normal 15 4 2 2 3 2 4" xfId="24528" xr:uid="{00000000-0005-0000-0000-00003C4A0000}"/>
    <cellStyle name="Normal 15 4 2 2 3 3" xfId="15183" xr:uid="{00000000-0005-0000-0000-00003D4A0000}"/>
    <cellStyle name="Normal 15 4 2 2 3 3 2" xfId="28241" xr:uid="{00000000-0005-0000-0000-00003E4A0000}"/>
    <cellStyle name="Normal 15 4 2 2 3 4" xfId="15184" xr:uid="{00000000-0005-0000-0000-00003F4A0000}"/>
    <cellStyle name="Normal 15 4 2 2 3 4 2" xfId="28242" xr:uid="{00000000-0005-0000-0000-0000404A0000}"/>
    <cellStyle name="Normal 15 4 2 2 3 5" xfId="22372" xr:uid="{00000000-0005-0000-0000-0000414A0000}"/>
    <cellStyle name="Normal 15 4 2 2 4" xfId="10080" xr:uid="{00000000-0005-0000-0000-0000424A0000}"/>
    <cellStyle name="Normal 15 4 2 2 4 2" xfId="15185" xr:uid="{00000000-0005-0000-0000-0000434A0000}"/>
    <cellStyle name="Normal 15 4 2 2 4 2 2" xfId="28243" xr:uid="{00000000-0005-0000-0000-0000444A0000}"/>
    <cellStyle name="Normal 15 4 2 2 4 3" xfId="15186" xr:uid="{00000000-0005-0000-0000-0000454A0000}"/>
    <cellStyle name="Normal 15 4 2 2 4 3 2" xfId="28244" xr:uid="{00000000-0005-0000-0000-0000464A0000}"/>
    <cellStyle name="Normal 15 4 2 2 4 4" xfId="23450" xr:uid="{00000000-0005-0000-0000-0000474A0000}"/>
    <cellStyle name="Normal 15 4 2 2 5" xfId="15187" xr:uid="{00000000-0005-0000-0000-0000484A0000}"/>
    <cellStyle name="Normal 15 4 2 2 5 2" xfId="28245" xr:uid="{00000000-0005-0000-0000-0000494A0000}"/>
    <cellStyle name="Normal 15 4 2 2 6" xfId="15188" xr:uid="{00000000-0005-0000-0000-00004A4A0000}"/>
    <cellStyle name="Normal 15 4 2 2 6 2" xfId="28246" xr:uid="{00000000-0005-0000-0000-00004B4A0000}"/>
    <cellStyle name="Normal 15 4 2 2 7" xfId="21294" xr:uid="{00000000-0005-0000-0000-00004C4A0000}"/>
    <cellStyle name="Normal 15 4 2 3" xfId="7171" xr:uid="{00000000-0005-0000-0000-00004D4A0000}"/>
    <cellStyle name="Normal 15 4 2 3 2" xfId="9050" xr:uid="{00000000-0005-0000-0000-00004E4A0000}"/>
    <cellStyle name="Normal 15 4 2 3 2 2" xfId="11429" xr:uid="{00000000-0005-0000-0000-00004F4A0000}"/>
    <cellStyle name="Normal 15 4 2 3 2 2 2" xfId="15189" xr:uid="{00000000-0005-0000-0000-0000504A0000}"/>
    <cellStyle name="Normal 15 4 2 3 2 2 2 2" xfId="28247" xr:uid="{00000000-0005-0000-0000-0000514A0000}"/>
    <cellStyle name="Normal 15 4 2 3 2 2 3" xfId="15190" xr:uid="{00000000-0005-0000-0000-0000524A0000}"/>
    <cellStyle name="Normal 15 4 2 3 2 2 3 2" xfId="28248" xr:uid="{00000000-0005-0000-0000-0000534A0000}"/>
    <cellStyle name="Normal 15 4 2 3 2 2 4" xfId="24799" xr:uid="{00000000-0005-0000-0000-0000544A0000}"/>
    <cellStyle name="Normal 15 4 2 3 2 3" xfId="15191" xr:uid="{00000000-0005-0000-0000-0000554A0000}"/>
    <cellStyle name="Normal 15 4 2 3 2 3 2" xfId="28249" xr:uid="{00000000-0005-0000-0000-0000564A0000}"/>
    <cellStyle name="Normal 15 4 2 3 2 4" xfId="15192" xr:uid="{00000000-0005-0000-0000-0000574A0000}"/>
    <cellStyle name="Normal 15 4 2 3 2 4 2" xfId="28250" xr:uid="{00000000-0005-0000-0000-0000584A0000}"/>
    <cellStyle name="Normal 15 4 2 3 2 5" xfId="22643" xr:uid="{00000000-0005-0000-0000-0000594A0000}"/>
    <cellStyle name="Normal 15 4 2 3 3" xfId="10351" xr:uid="{00000000-0005-0000-0000-00005A4A0000}"/>
    <cellStyle name="Normal 15 4 2 3 3 2" xfId="15193" xr:uid="{00000000-0005-0000-0000-00005B4A0000}"/>
    <cellStyle name="Normal 15 4 2 3 3 2 2" xfId="28251" xr:uid="{00000000-0005-0000-0000-00005C4A0000}"/>
    <cellStyle name="Normal 15 4 2 3 3 3" xfId="15194" xr:uid="{00000000-0005-0000-0000-00005D4A0000}"/>
    <cellStyle name="Normal 15 4 2 3 3 3 2" xfId="28252" xr:uid="{00000000-0005-0000-0000-00005E4A0000}"/>
    <cellStyle name="Normal 15 4 2 3 3 4" xfId="23721" xr:uid="{00000000-0005-0000-0000-00005F4A0000}"/>
    <cellStyle name="Normal 15 4 2 3 4" xfId="15195" xr:uid="{00000000-0005-0000-0000-0000604A0000}"/>
    <cellStyle name="Normal 15 4 2 3 4 2" xfId="28253" xr:uid="{00000000-0005-0000-0000-0000614A0000}"/>
    <cellStyle name="Normal 15 4 2 3 5" xfId="15196" xr:uid="{00000000-0005-0000-0000-0000624A0000}"/>
    <cellStyle name="Normal 15 4 2 3 5 2" xfId="28254" xr:uid="{00000000-0005-0000-0000-0000634A0000}"/>
    <cellStyle name="Normal 15 4 2 3 6" xfId="21565" xr:uid="{00000000-0005-0000-0000-0000644A0000}"/>
    <cellStyle name="Normal 15 4 2 4" xfId="8448" xr:uid="{00000000-0005-0000-0000-0000654A0000}"/>
    <cellStyle name="Normal 15 4 2 4 2" xfId="10889" xr:uid="{00000000-0005-0000-0000-0000664A0000}"/>
    <cellStyle name="Normal 15 4 2 4 2 2" xfId="15197" xr:uid="{00000000-0005-0000-0000-0000674A0000}"/>
    <cellStyle name="Normal 15 4 2 4 2 2 2" xfId="28255" xr:uid="{00000000-0005-0000-0000-0000684A0000}"/>
    <cellStyle name="Normal 15 4 2 4 2 3" xfId="15198" xr:uid="{00000000-0005-0000-0000-0000694A0000}"/>
    <cellStyle name="Normal 15 4 2 4 2 3 2" xfId="28256" xr:uid="{00000000-0005-0000-0000-00006A4A0000}"/>
    <cellStyle name="Normal 15 4 2 4 2 4" xfId="24259" xr:uid="{00000000-0005-0000-0000-00006B4A0000}"/>
    <cellStyle name="Normal 15 4 2 4 3" xfId="15199" xr:uid="{00000000-0005-0000-0000-00006C4A0000}"/>
    <cellStyle name="Normal 15 4 2 4 3 2" xfId="28257" xr:uid="{00000000-0005-0000-0000-00006D4A0000}"/>
    <cellStyle name="Normal 15 4 2 4 4" xfId="15200" xr:uid="{00000000-0005-0000-0000-00006E4A0000}"/>
    <cellStyle name="Normal 15 4 2 4 4 2" xfId="28258" xr:uid="{00000000-0005-0000-0000-00006F4A0000}"/>
    <cellStyle name="Normal 15 4 2 4 5" xfId="22103" xr:uid="{00000000-0005-0000-0000-0000704A0000}"/>
    <cellStyle name="Normal 15 4 2 5" xfId="9811" xr:uid="{00000000-0005-0000-0000-0000714A0000}"/>
    <cellStyle name="Normal 15 4 2 5 2" xfId="15201" xr:uid="{00000000-0005-0000-0000-0000724A0000}"/>
    <cellStyle name="Normal 15 4 2 5 2 2" xfId="28259" xr:uid="{00000000-0005-0000-0000-0000734A0000}"/>
    <cellStyle name="Normal 15 4 2 5 3" xfId="15202" xr:uid="{00000000-0005-0000-0000-0000744A0000}"/>
    <cellStyle name="Normal 15 4 2 5 3 2" xfId="28260" xr:uid="{00000000-0005-0000-0000-0000754A0000}"/>
    <cellStyle name="Normal 15 4 2 5 4" xfId="23181" xr:uid="{00000000-0005-0000-0000-0000764A0000}"/>
    <cellStyle name="Normal 15 4 2 6" xfId="15203" xr:uid="{00000000-0005-0000-0000-0000774A0000}"/>
    <cellStyle name="Normal 15 4 2 6 2" xfId="28261" xr:uid="{00000000-0005-0000-0000-0000784A0000}"/>
    <cellStyle name="Normal 15 4 2 7" xfId="15204" xr:uid="{00000000-0005-0000-0000-0000794A0000}"/>
    <cellStyle name="Normal 15 4 2 7 2" xfId="28262" xr:uid="{00000000-0005-0000-0000-00007A4A0000}"/>
    <cellStyle name="Normal 15 4 2 8" xfId="21025" xr:uid="{00000000-0005-0000-0000-00007B4A0000}"/>
    <cellStyle name="Normal 15 4 3" xfId="6602" xr:uid="{00000000-0005-0000-0000-00007C4A0000}"/>
    <cellStyle name="Normal 15 4 3 2" xfId="7298" xr:uid="{00000000-0005-0000-0000-00007D4A0000}"/>
    <cellStyle name="Normal 15 4 3 2 2" xfId="9177" xr:uid="{00000000-0005-0000-0000-00007E4A0000}"/>
    <cellStyle name="Normal 15 4 3 2 2 2" xfId="11556" xr:uid="{00000000-0005-0000-0000-00007F4A0000}"/>
    <cellStyle name="Normal 15 4 3 2 2 2 2" xfId="15205" xr:uid="{00000000-0005-0000-0000-0000804A0000}"/>
    <cellStyle name="Normal 15 4 3 2 2 2 2 2" xfId="28263" xr:uid="{00000000-0005-0000-0000-0000814A0000}"/>
    <cellStyle name="Normal 15 4 3 2 2 2 3" xfId="15206" xr:uid="{00000000-0005-0000-0000-0000824A0000}"/>
    <cellStyle name="Normal 15 4 3 2 2 2 3 2" xfId="28264" xr:uid="{00000000-0005-0000-0000-0000834A0000}"/>
    <cellStyle name="Normal 15 4 3 2 2 2 4" xfId="24926" xr:uid="{00000000-0005-0000-0000-0000844A0000}"/>
    <cellStyle name="Normal 15 4 3 2 2 3" xfId="15207" xr:uid="{00000000-0005-0000-0000-0000854A0000}"/>
    <cellStyle name="Normal 15 4 3 2 2 3 2" xfId="28265" xr:uid="{00000000-0005-0000-0000-0000864A0000}"/>
    <cellStyle name="Normal 15 4 3 2 2 4" xfId="15208" xr:uid="{00000000-0005-0000-0000-0000874A0000}"/>
    <cellStyle name="Normal 15 4 3 2 2 4 2" xfId="28266" xr:uid="{00000000-0005-0000-0000-0000884A0000}"/>
    <cellStyle name="Normal 15 4 3 2 2 5" xfId="22770" xr:uid="{00000000-0005-0000-0000-0000894A0000}"/>
    <cellStyle name="Normal 15 4 3 2 3" xfId="10478" xr:uid="{00000000-0005-0000-0000-00008A4A0000}"/>
    <cellStyle name="Normal 15 4 3 2 3 2" xfId="15209" xr:uid="{00000000-0005-0000-0000-00008B4A0000}"/>
    <cellStyle name="Normal 15 4 3 2 3 2 2" xfId="28267" xr:uid="{00000000-0005-0000-0000-00008C4A0000}"/>
    <cellStyle name="Normal 15 4 3 2 3 3" xfId="15210" xr:uid="{00000000-0005-0000-0000-00008D4A0000}"/>
    <cellStyle name="Normal 15 4 3 2 3 3 2" xfId="28268" xr:uid="{00000000-0005-0000-0000-00008E4A0000}"/>
    <cellStyle name="Normal 15 4 3 2 3 4" xfId="23848" xr:uid="{00000000-0005-0000-0000-00008F4A0000}"/>
    <cellStyle name="Normal 15 4 3 2 4" xfId="15211" xr:uid="{00000000-0005-0000-0000-0000904A0000}"/>
    <cellStyle name="Normal 15 4 3 2 4 2" xfId="28269" xr:uid="{00000000-0005-0000-0000-0000914A0000}"/>
    <cellStyle name="Normal 15 4 3 2 5" xfId="15212" xr:uid="{00000000-0005-0000-0000-0000924A0000}"/>
    <cellStyle name="Normal 15 4 3 2 5 2" xfId="28270" xr:uid="{00000000-0005-0000-0000-0000934A0000}"/>
    <cellStyle name="Normal 15 4 3 2 6" xfId="21692" xr:uid="{00000000-0005-0000-0000-0000944A0000}"/>
    <cellStyle name="Normal 15 4 3 3" xfId="8630" xr:uid="{00000000-0005-0000-0000-0000954A0000}"/>
    <cellStyle name="Normal 15 4 3 3 2" xfId="11016" xr:uid="{00000000-0005-0000-0000-0000964A0000}"/>
    <cellStyle name="Normal 15 4 3 3 2 2" xfId="15213" xr:uid="{00000000-0005-0000-0000-0000974A0000}"/>
    <cellStyle name="Normal 15 4 3 3 2 2 2" xfId="28271" xr:uid="{00000000-0005-0000-0000-0000984A0000}"/>
    <cellStyle name="Normal 15 4 3 3 2 3" xfId="15214" xr:uid="{00000000-0005-0000-0000-0000994A0000}"/>
    <cellStyle name="Normal 15 4 3 3 2 3 2" xfId="28272" xr:uid="{00000000-0005-0000-0000-00009A4A0000}"/>
    <cellStyle name="Normal 15 4 3 3 2 4" xfId="24386" xr:uid="{00000000-0005-0000-0000-00009B4A0000}"/>
    <cellStyle name="Normal 15 4 3 3 3" xfId="15215" xr:uid="{00000000-0005-0000-0000-00009C4A0000}"/>
    <cellStyle name="Normal 15 4 3 3 3 2" xfId="28273" xr:uid="{00000000-0005-0000-0000-00009D4A0000}"/>
    <cellStyle name="Normal 15 4 3 3 4" xfId="15216" xr:uid="{00000000-0005-0000-0000-00009E4A0000}"/>
    <cellStyle name="Normal 15 4 3 3 4 2" xfId="28274" xr:uid="{00000000-0005-0000-0000-00009F4A0000}"/>
    <cellStyle name="Normal 15 4 3 3 5" xfId="22230" xr:uid="{00000000-0005-0000-0000-0000A04A0000}"/>
    <cellStyle name="Normal 15 4 3 4" xfId="9938" xr:uid="{00000000-0005-0000-0000-0000A14A0000}"/>
    <cellStyle name="Normal 15 4 3 4 2" xfId="15217" xr:uid="{00000000-0005-0000-0000-0000A24A0000}"/>
    <cellStyle name="Normal 15 4 3 4 2 2" xfId="28275" xr:uid="{00000000-0005-0000-0000-0000A34A0000}"/>
    <cellStyle name="Normal 15 4 3 4 3" xfId="15218" xr:uid="{00000000-0005-0000-0000-0000A44A0000}"/>
    <cellStyle name="Normal 15 4 3 4 3 2" xfId="28276" xr:uid="{00000000-0005-0000-0000-0000A54A0000}"/>
    <cellStyle name="Normal 15 4 3 4 4" xfId="23308" xr:uid="{00000000-0005-0000-0000-0000A64A0000}"/>
    <cellStyle name="Normal 15 4 3 5" xfId="15219" xr:uid="{00000000-0005-0000-0000-0000A74A0000}"/>
    <cellStyle name="Normal 15 4 3 5 2" xfId="28277" xr:uid="{00000000-0005-0000-0000-0000A84A0000}"/>
    <cellStyle name="Normal 15 4 3 6" xfId="15220" xr:uid="{00000000-0005-0000-0000-0000A94A0000}"/>
    <cellStyle name="Normal 15 4 3 6 2" xfId="28278" xr:uid="{00000000-0005-0000-0000-0000AA4A0000}"/>
    <cellStyle name="Normal 15 4 3 7" xfId="21152" xr:uid="{00000000-0005-0000-0000-0000AB4A0000}"/>
    <cellStyle name="Normal 15 4 4" xfId="7028" xr:uid="{00000000-0005-0000-0000-0000AC4A0000}"/>
    <cellStyle name="Normal 15 4 4 2" xfId="8908" xr:uid="{00000000-0005-0000-0000-0000AD4A0000}"/>
    <cellStyle name="Normal 15 4 4 2 2" xfId="11287" xr:uid="{00000000-0005-0000-0000-0000AE4A0000}"/>
    <cellStyle name="Normal 15 4 4 2 2 2" xfId="15221" xr:uid="{00000000-0005-0000-0000-0000AF4A0000}"/>
    <cellStyle name="Normal 15 4 4 2 2 2 2" xfId="28279" xr:uid="{00000000-0005-0000-0000-0000B04A0000}"/>
    <cellStyle name="Normal 15 4 4 2 2 3" xfId="15222" xr:uid="{00000000-0005-0000-0000-0000B14A0000}"/>
    <cellStyle name="Normal 15 4 4 2 2 3 2" xfId="28280" xr:uid="{00000000-0005-0000-0000-0000B24A0000}"/>
    <cellStyle name="Normal 15 4 4 2 2 4" xfId="24657" xr:uid="{00000000-0005-0000-0000-0000B34A0000}"/>
    <cellStyle name="Normal 15 4 4 2 3" xfId="15223" xr:uid="{00000000-0005-0000-0000-0000B44A0000}"/>
    <cellStyle name="Normal 15 4 4 2 3 2" xfId="28281" xr:uid="{00000000-0005-0000-0000-0000B54A0000}"/>
    <cellStyle name="Normal 15 4 4 2 4" xfId="15224" xr:uid="{00000000-0005-0000-0000-0000B64A0000}"/>
    <cellStyle name="Normal 15 4 4 2 4 2" xfId="28282" xr:uid="{00000000-0005-0000-0000-0000B74A0000}"/>
    <cellStyle name="Normal 15 4 4 2 5" xfId="22501" xr:uid="{00000000-0005-0000-0000-0000B84A0000}"/>
    <cellStyle name="Normal 15 4 4 3" xfId="10209" xr:uid="{00000000-0005-0000-0000-0000B94A0000}"/>
    <cellStyle name="Normal 15 4 4 3 2" xfId="15225" xr:uid="{00000000-0005-0000-0000-0000BA4A0000}"/>
    <cellStyle name="Normal 15 4 4 3 2 2" xfId="28283" xr:uid="{00000000-0005-0000-0000-0000BB4A0000}"/>
    <cellStyle name="Normal 15 4 4 3 3" xfId="15226" xr:uid="{00000000-0005-0000-0000-0000BC4A0000}"/>
    <cellStyle name="Normal 15 4 4 3 3 2" xfId="28284" xr:uid="{00000000-0005-0000-0000-0000BD4A0000}"/>
    <cellStyle name="Normal 15 4 4 3 4" xfId="23579" xr:uid="{00000000-0005-0000-0000-0000BE4A0000}"/>
    <cellStyle name="Normal 15 4 4 4" xfId="15227" xr:uid="{00000000-0005-0000-0000-0000BF4A0000}"/>
    <cellStyle name="Normal 15 4 4 4 2" xfId="28285" xr:uid="{00000000-0005-0000-0000-0000C04A0000}"/>
    <cellStyle name="Normal 15 4 4 5" xfId="15228" xr:uid="{00000000-0005-0000-0000-0000C14A0000}"/>
    <cellStyle name="Normal 15 4 4 5 2" xfId="28286" xr:uid="{00000000-0005-0000-0000-0000C24A0000}"/>
    <cellStyle name="Normal 15 4 4 6" xfId="21423" xr:uid="{00000000-0005-0000-0000-0000C34A0000}"/>
    <cellStyle name="Normal 15 4 5" xfId="8232" xr:uid="{00000000-0005-0000-0000-0000C44A0000}"/>
    <cellStyle name="Normal 15 4 5 2" xfId="10747" xr:uid="{00000000-0005-0000-0000-0000C54A0000}"/>
    <cellStyle name="Normal 15 4 5 2 2" xfId="15229" xr:uid="{00000000-0005-0000-0000-0000C64A0000}"/>
    <cellStyle name="Normal 15 4 5 2 2 2" xfId="28287" xr:uid="{00000000-0005-0000-0000-0000C74A0000}"/>
    <cellStyle name="Normal 15 4 5 2 3" xfId="15230" xr:uid="{00000000-0005-0000-0000-0000C84A0000}"/>
    <cellStyle name="Normal 15 4 5 2 3 2" xfId="28288" xr:uid="{00000000-0005-0000-0000-0000C94A0000}"/>
    <cellStyle name="Normal 15 4 5 2 4" xfId="24117" xr:uid="{00000000-0005-0000-0000-0000CA4A0000}"/>
    <cellStyle name="Normal 15 4 5 3" xfId="15231" xr:uid="{00000000-0005-0000-0000-0000CB4A0000}"/>
    <cellStyle name="Normal 15 4 5 3 2" xfId="28289" xr:uid="{00000000-0005-0000-0000-0000CC4A0000}"/>
    <cellStyle name="Normal 15 4 5 4" xfId="15232" xr:uid="{00000000-0005-0000-0000-0000CD4A0000}"/>
    <cellStyle name="Normal 15 4 5 4 2" xfId="28290" xr:uid="{00000000-0005-0000-0000-0000CE4A0000}"/>
    <cellStyle name="Normal 15 4 5 5" xfId="21961" xr:uid="{00000000-0005-0000-0000-0000CF4A0000}"/>
    <cellStyle name="Normal 15 4 6" xfId="9668" xr:uid="{00000000-0005-0000-0000-0000D04A0000}"/>
    <cellStyle name="Normal 15 4 6 2" xfId="15233" xr:uid="{00000000-0005-0000-0000-0000D14A0000}"/>
    <cellStyle name="Normal 15 4 6 2 2" xfId="28291" xr:uid="{00000000-0005-0000-0000-0000D24A0000}"/>
    <cellStyle name="Normal 15 4 6 3" xfId="15234" xr:uid="{00000000-0005-0000-0000-0000D34A0000}"/>
    <cellStyle name="Normal 15 4 6 3 2" xfId="28292" xr:uid="{00000000-0005-0000-0000-0000D44A0000}"/>
    <cellStyle name="Normal 15 4 6 4" xfId="23039" xr:uid="{00000000-0005-0000-0000-0000D54A0000}"/>
    <cellStyle name="Normal 15 4 7" xfId="15235" xr:uid="{00000000-0005-0000-0000-0000D64A0000}"/>
    <cellStyle name="Normal 15 4 7 2" xfId="28293" xr:uid="{00000000-0005-0000-0000-0000D74A0000}"/>
    <cellStyle name="Normal 15 4 8" xfId="15236" xr:uid="{00000000-0005-0000-0000-0000D84A0000}"/>
    <cellStyle name="Normal 15 4 8 2" xfId="28294" xr:uid="{00000000-0005-0000-0000-0000D94A0000}"/>
    <cellStyle name="Normal 15 4 9" xfId="20882" xr:uid="{00000000-0005-0000-0000-0000DA4A0000}"/>
    <cellStyle name="Normal 15 5" xfId="4996" xr:uid="{00000000-0005-0000-0000-0000DB4A0000}"/>
    <cellStyle name="Normal 15 5 2" xfId="6682" xr:uid="{00000000-0005-0000-0000-0000DC4A0000}"/>
    <cellStyle name="Normal 15 5 2 2" xfId="7371" xr:uid="{00000000-0005-0000-0000-0000DD4A0000}"/>
    <cellStyle name="Normal 15 5 2 2 2" xfId="9250" xr:uid="{00000000-0005-0000-0000-0000DE4A0000}"/>
    <cellStyle name="Normal 15 5 2 2 2 2" xfId="11629" xr:uid="{00000000-0005-0000-0000-0000DF4A0000}"/>
    <cellStyle name="Normal 15 5 2 2 2 2 2" xfId="15237" xr:uid="{00000000-0005-0000-0000-0000E04A0000}"/>
    <cellStyle name="Normal 15 5 2 2 2 2 2 2" xfId="28295" xr:uid="{00000000-0005-0000-0000-0000E14A0000}"/>
    <cellStyle name="Normal 15 5 2 2 2 2 3" xfId="15238" xr:uid="{00000000-0005-0000-0000-0000E24A0000}"/>
    <cellStyle name="Normal 15 5 2 2 2 2 3 2" xfId="28296" xr:uid="{00000000-0005-0000-0000-0000E34A0000}"/>
    <cellStyle name="Normal 15 5 2 2 2 2 4" xfId="24999" xr:uid="{00000000-0005-0000-0000-0000E44A0000}"/>
    <cellStyle name="Normal 15 5 2 2 2 3" xfId="15239" xr:uid="{00000000-0005-0000-0000-0000E54A0000}"/>
    <cellStyle name="Normal 15 5 2 2 2 3 2" xfId="28297" xr:uid="{00000000-0005-0000-0000-0000E64A0000}"/>
    <cellStyle name="Normal 15 5 2 2 2 4" xfId="15240" xr:uid="{00000000-0005-0000-0000-0000E74A0000}"/>
    <cellStyle name="Normal 15 5 2 2 2 4 2" xfId="28298" xr:uid="{00000000-0005-0000-0000-0000E84A0000}"/>
    <cellStyle name="Normal 15 5 2 2 2 5" xfId="22843" xr:uid="{00000000-0005-0000-0000-0000E94A0000}"/>
    <cellStyle name="Normal 15 5 2 2 3" xfId="10551" xr:uid="{00000000-0005-0000-0000-0000EA4A0000}"/>
    <cellStyle name="Normal 15 5 2 2 3 2" xfId="15241" xr:uid="{00000000-0005-0000-0000-0000EB4A0000}"/>
    <cellStyle name="Normal 15 5 2 2 3 2 2" xfId="28299" xr:uid="{00000000-0005-0000-0000-0000EC4A0000}"/>
    <cellStyle name="Normal 15 5 2 2 3 3" xfId="15242" xr:uid="{00000000-0005-0000-0000-0000ED4A0000}"/>
    <cellStyle name="Normal 15 5 2 2 3 3 2" xfId="28300" xr:uid="{00000000-0005-0000-0000-0000EE4A0000}"/>
    <cellStyle name="Normal 15 5 2 2 3 4" xfId="23921" xr:uid="{00000000-0005-0000-0000-0000EF4A0000}"/>
    <cellStyle name="Normal 15 5 2 2 4" xfId="15243" xr:uid="{00000000-0005-0000-0000-0000F04A0000}"/>
    <cellStyle name="Normal 15 5 2 2 4 2" xfId="28301" xr:uid="{00000000-0005-0000-0000-0000F14A0000}"/>
    <cellStyle name="Normal 15 5 2 2 5" xfId="15244" xr:uid="{00000000-0005-0000-0000-0000F24A0000}"/>
    <cellStyle name="Normal 15 5 2 2 5 2" xfId="28302" xr:uid="{00000000-0005-0000-0000-0000F34A0000}"/>
    <cellStyle name="Normal 15 5 2 2 6" xfId="21765" xr:uid="{00000000-0005-0000-0000-0000F44A0000}"/>
    <cellStyle name="Normal 15 5 2 3" xfId="8704" xr:uid="{00000000-0005-0000-0000-0000F54A0000}"/>
    <cellStyle name="Normal 15 5 2 3 2" xfId="11089" xr:uid="{00000000-0005-0000-0000-0000F64A0000}"/>
    <cellStyle name="Normal 15 5 2 3 2 2" xfId="15245" xr:uid="{00000000-0005-0000-0000-0000F74A0000}"/>
    <cellStyle name="Normal 15 5 2 3 2 2 2" xfId="28303" xr:uid="{00000000-0005-0000-0000-0000F84A0000}"/>
    <cellStyle name="Normal 15 5 2 3 2 3" xfId="15246" xr:uid="{00000000-0005-0000-0000-0000F94A0000}"/>
    <cellStyle name="Normal 15 5 2 3 2 3 2" xfId="28304" xr:uid="{00000000-0005-0000-0000-0000FA4A0000}"/>
    <cellStyle name="Normal 15 5 2 3 2 4" xfId="24459" xr:uid="{00000000-0005-0000-0000-0000FB4A0000}"/>
    <cellStyle name="Normal 15 5 2 3 3" xfId="15247" xr:uid="{00000000-0005-0000-0000-0000FC4A0000}"/>
    <cellStyle name="Normal 15 5 2 3 3 2" xfId="28305" xr:uid="{00000000-0005-0000-0000-0000FD4A0000}"/>
    <cellStyle name="Normal 15 5 2 3 4" xfId="15248" xr:uid="{00000000-0005-0000-0000-0000FE4A0000}"/>
    <cellStyle name="Normal 15 5 2 3 4 2" xfId="28306" xr:uid="{00000000-0005-0000-0000-0000FF4A0000}"/>
    <cellStyle name="Normal 15 5 2 3 5" xfId="22303" xr:uid="{00000000-0005-0000-0000-0000004B0000}"/>
    <cellStyle name="Normal 15 5 2 4" xfId="10011" xr:uid="{00000000-0005-0000-0000-0000014B0000}"/>
    <cellStyle name="Normal 15 5 2 4 2" xfId="15249" xr:uid="{00000000-0005-0000-0000-0000024B0000}"/>
    <cellStyle name="Normal 15 5 2 4 2 2" xfId="28307" xr:uid="{00000000-0005-0000-0000-0000034B0000}"/>
    <cellStyle name="Normal 15 5 2 4 3" xfId="15250" xr:uid="{00000000-0005-0000-0000-0000044B0000}"/>
    <cellStyle name="Normal 15 5 2 4 3 2" xfId="28308" xr:uid="{00000000-0005-0000-0000-0000054B0000}"/>
    <cellStyle name="Normal 15 5 2 4 4" xfId="23381" xr:uid="{00000000-0005-0000-0000-0000064B0000}"/>
    <cellStyle name="Normal 15 5 2 5" xfId="15251" xr:uid="{00000000-0005-0000-0000-0000074B0000}"/>
    <cellStyle name="Normal 15 5 2 5 2" xfId="28309" xr:uid="{00000000-0005-0000-0000-0000084B0000}"/>
    <cellStyle name="Normal 15 5 2 6" xfId="15252" xr:uid="{00000000-0005-0000-0000-0000094B0000}"/>
    <cellStyle name="Normal 15 5 2 6 2" xfId="28310" xr:uid="{00000000-0005-0000-0000-00000A4B0000}"/>
    <cellStyle name="Normal 15 5 2 7" xfId="21225" xr:uid="{00000000-0005-0000-0000-00000B4B0000}"/>
    <cellStyle name="Normal 15 5 3" xfId="7102" xr:uid="{00000000-0005-0000-0000-00000C4B0000}"/>
    <cellStyle name="Normal 15 5 3 2" xfId="8981" xr:uid="{00000000-0005-0000-0000-00000D4B0000}"/>
    <cellStyle name="Normal 15 5 3 2 2" xfId="11360" xr:uid="{00000000-0005-0000-0000-00000E4B0000}"/>
    <cellStyle name="Normal 15 5 3 2 2 2" xfId="15253" xr:uid="{00000000-0005-0000-0000-00000F4B0000}"/>
    <cellStyle name="Normal 15 5 3 2 2 2 2" xfId="28311" xr:uid="{00000000-0005-0000-0000-0000104B0000}"/>
    <cellStyle name="Normal 15 5 3 2 2 3" xfId="15254" xr:uid="{00000000-0005-0000-0000-0000114B0000}"/>
    <cellStyle name="Normal 15 5 3 2 2 3 2" xfId="28312" xr:uid="{00000000-0005-0000-0000-0000124B0000}"/>
    <cellStyle name="Normal 15 5 3 2 2 4" xfId="24730" xr:uid="{00000000-0005-0000-0000-0000134B0000}"/>
    <cellStyle name="Normal 15 5 3 2 3" xfId="15255" xr:uid="{00000000-0005-0000-0000-0000144B0000}"/>
    <cellStyle name="Normal 15 5 3 2 3 2" xfId="28313" xr:uid="{00000000-0005-0000-0000-0000154B0000}"/>
    <cellStyle name="Normal 15 5 3 2 4" xfId="15256" xr:uid="{00000000-0005-0000-0000-0000164B0000}"/>
    <cellStyle name="Normal 15 5 3 2 4 2" xfId="28314" xr:uid="{00000000-0005-0000-0000-0000174B0000}"/>
    <cellStyle name="Normal 15 5 3 2 5" xfId="22574" xr:uid="{00000000-0005-0000-0000-0000184B0000}"/>
    <cellStyle name="Normal 15 5 3 3" xfId="10282" xr:uid="{00000000-0005-0000-0000-0000194B0000}"/>
    <cellStyle name="Normal 15 5 3 3 2" xfId="15257" xr:uid="{00000000-0005-0000-0000-00001A4B0000}"/>
    <cellStyle name="Normal 15 5 3 3 2 2" xfId="28315" xr:uid="{00000000-0005-0000-0000-00001B4B0000}"/>
    <cellStyle name="Normal 15 5 3 3 3" xfId="15258" xr:uid="{00000000-0005-0000-0000-00001C4B0000}"/>
    <cellStyle name="Normal 15 5 3 3 3 2" xfId="28316" xr:uid="{00000000-0005-0000-0000-00001D4B0000}"/>
    <cellStyle name="Normal 15 5 3 3 4" xfId="23652" xr:uid="{00000000-0005-0000-0000-00001E4B0000}"/>
    <cellStyle name="Normal 15 5 3 4" xfId="15259" xr:uid="{00000000-0005-0000-0000-00001F4B0000}"/>
    <cellStyle name="Normal 15 5 3 4 2" xfId="28317" xr:uid="{00000000-0005-0000-0000-0000204B0000}"/>
    <cellStyle name="Normal 15 5 3 5" xfId="15260" xr:uid="{00000000-0005-0000-0000-0000214B0000}"/>
    <cellStyle name="Normal 15 5 3 5 2" xfId="28318" xr:uid="{00000000-0005-0000-0000-0000224B0000}"/>
    <cellStyle name="Normal 15 5 3 6" xfId="21496" xr:uid="{00000000-0005-0000-0000-0000234B0000}"/>
    <cellStyle name="Normal 15 5 4" xfId="8354" xr:uid="{00000000-0005-0000-0000-0000244B0000}"/>
    <cellStyle name="Normal 15 5 4 2" xfId="10820" xr:uid="{00000000-0005-0000-0000-0000254B0000}"/>
    <cellStyle name="Normal 15 5 4 2 2" xfId="15261" xr:uid="{00000000-0005-0000-0000-0000264B0000}"/>
    <cellStyle name="Normal 15 5 4 2 2 2" xfId="28319" xr:uid="{00000000-0005-0000-0000-0000274B0000}"/>
    <cellStyle name="Normal 15 5 4 2 3" xfId="15262" xr:uid="{00000000-0005-0000-0000-0000284B0000}"/>
    <cellStyle name="Normal 15 5 4 2 3 2" xfId="28320" xr:uid="{00000000-0005-0000-0000-0000294B0000}"/>
    <cellStyle name="Normal 15 5 4 2 4" xfId="24190" xr:uid="{00000000-0005-0000-0000-00002A4B0000}"/>
    <cellStyle name="Normal 15 5 4 3" xfId="15263" xr:uid="{00000000-0005-0000-0000-00002B4B0000}"/>
    <cellStyle name="Normal 15 5 4 3 2" xfId="28321" xr:uid="{00000000-0005-0000-0000-00002C4B0000}"/>
    <cellStyle name="Normal 15 5 4 4" xfId="15264" xr:uid="{00000000-0005-0000-0000-00002D4B0000}"/>
    <cellStyle name="Normal 15 5 4 4 2" xfId="28322" xr:uid="{00000000-0005-0000-0000-00002E4B0000}"/>
    <cellStyle name="Normal 15 5 4 5" xfId="22034" xr:uid="{00000000-0005-0000-0000-00002F4B0000}"/>
    <cellStyle name="Normal 15 5 5" xfId="9742" xr:uid="{00000000-0005-0000-0000-0000304B0000}"/>
    <cellStyle name="Normal 15 5 5 2" xfId="15265" xr:uid="{00000000-0005-0000-0000-0000314B0000}"/>
    <cellStyle name="Normal 15 5 5 2 2" xfId="28323" xr:uid="{00000000-0005-0000-0000-0000324B0000}"/>
    <cellStyle name="Normal 15 5 5 3" xfId="15266" xr:uid="{00000000-0005-0000-0000-0000334B0000}"/>
    <cellStyle name="Normal 15 5 5 3 2" xfId="28324" xr:uid="{00000000-0005-0000-0000-0000344B0000}"/>
    <cellStyle name="Normal 15 5 5 4" xfId="23112" xr:uid="{00000000-0005-0000-0000-0000354B0000}"/>
    <cellStyle name="Normal 15 5 6" xfId="15267" xr:uid="{00000000-0005-0000-0000-0000364B0000}"/>
    <cellStyle name="Normal 15 5 6 2" xfId="28325" xr:uid="{00000000-0005-0000-0000-0000374B0000}"/>
    <cellStyle name="Normal 15 5 7" xfId="15268" xr:uid="{00000000-0005-0000-0000-0000384B0000}"/>
    <cellStyle name="Normal 15 5 7 2" xfId="28326" xr:uid="{00000000-0005-0000-0000-0000394B0000}"/>
    <cellStyle name="Normal 15 5 8" xfId="20956" xr:uid="{00000000-0005-0000-0000-00003A4B0000}"/>
    <cellStyle name="Normal 15 6" xfId="6518" xr:uid="{00000000-0005-0000-0000-00003B4B0000}"/>
    <cellStyle name="Normal 15 6 2" xfId="7243" xr:uid="{00000000-0005-0000-0000-00003C4B0000}"/>
    <cellStyle name="Normal 15 6 2 2" xfId="9122" xr:uid="{00000000-0005-0000-0000-00003D4B0000}"/>
    <cellStyle name="Normal 15 6 2 2 2" xfId="11501" xr:uid="{00000000-0005-0000-0000-00003E4B0000}"/>
    <cellStyle name="Normal 15 6 2 2 2 2" xfId="15269" xr:uid="{00000000-0005-0000-0000-00003F4B0000}"/>
    <cellStyle name="Normal 15 6 2 2 2 2 2" xfId="28327" xr:uid="{00000000-0005-0000-0000-0000404B0000}"/>
    <cellStyle name="Normal 15 6 2 2 2 3" xfId="15270" xr:uid="{00000000-0005-0000-0000-0000414B0000}"/>
    <cellStyle name="Normal 15 6 2 2 2 3 2" xfId="28328" xr:uid="{00000000-0005-0000-0000-0000424B0000}"/>
    <cellStyle name="Normal 15 6 2 2 2 4" xfId="24871" xr:uid="{00000000-0005-0000-0000-0000434B0000}"/>
    <cellStyle name="Normal 15 6 2 2 3" xfId="15271" xr:uid="{00000000-0005-0000-0000-0000444B0000}"/>
    <cellStyle name="Normal 15 6 2 2 3 2" xfId="28329" xr:uid="{00000000-0005-0000-0000-0000454B0000}"/>
    <cellStyle name="Normal 15 6 2 2 4" xfId="15272" xr:uid="{00000000-0005-0000-0000-0000464B0000}"/>
    <cellStyle name="Normal 15 6 2 2 4 2" xfId="28330" xr:uid="{00000000-0005-0000-0000-0000474B0000}"/>
    <cellStyle name="Normal 15 6 2 2 5" xfId="22715" xr:uid="{00000000-0005-0000-0000-0000484B0000}"/>
    <cellStyle name="Normal 15 6 2 3" xfId="10423" xr:uid="{00000000-0005-0000-0000-0000494B0000}"/>
    <cellStyle name="Normal 15 6 2 3 2" xfId="15273" xr:uid="{00000000-0005-0000-0000-00004A4B0000}"/>
    <cellStyle name="Normal 15 6 2 3 2 2" xfId="28331" xr:uid="{00000000-0005-0000-0000-00004B4B0000}"/>
    <cellStyle name="Normal 15 6 2 3 3" xfId="15274" xr:uid="{00000000-0005-0000-0000-00004C4B0000}"/>
    <cellStyle name="Normal 15 6 2 3 3 2" xfId="28332" xr:uid="{00000000-0005-0000-0000-00004D4B0000}"/>
    <cellStyle name="Normal 15 6 2 3 4" xfId="23793" xr:uid="{00000000-0005-0000-0000-00004E4B0000}"/>
    <cellStyle name="Normal 15 6 2 4" xfId="15275" xr:uid="{00000000-0005-0000-0000-00004F4B0000}"/>
    <cellStyle name="Normal 15 6 2 4 2" xfId="28333" xr:uid="{00000000-0005-0000-0000-0000504B0000}"/>
    <cellStyle name="Normal 15 6 2 5" xfId="15276" xr:uid="{00000000-0005-0000-0000-0000514B0000}"/>
    <cellStyle name="Normal 15 6 2 5 2" xfId="28334" xr:uid="{00000000-0005-0000-0000-0000524B0000}"/>
    <cellStyle name="Normal 15 6 2 6" xfId="21637" xr:uid="{00000000-0005-0000-0000-0000534B0000}"/>
    <cellStyle name="Normal 15 6 3" xfId="8574" xr:uid="{00000000-0005-0000-0000-0000544B0000}"/>
    <cellStyle name="Normal 15 6 3 2" xfId="10961" xr:uid="{00000000-0005-0000-0000-0000554B0000}"/>
    <cellStyle name="Normal 15 6 3 2 2" xfId="15277" xr:uid="{00000000-0005-0000-0000-0000564B0000}"/>
    <cellStyle name="Normal 15 6 3 2 2 2" xfId="28335" xr:uid="{00000000-0005-0000-0000-0000574B0000}"/>
    <cellStyle name="Normal 15 6 3 2 3" xfId="15278" xr:uid="{00000000-0005-0000-0000-0000584B0000}"/>
    <cellStyle name="Normal 15 6 3 2 3 2" xfId="28336" xr:uid="{00000000-0005-0000-0000-0000594B0000}"/>
    <cellStyle name="Normal 15 6 3 2 4" xfId="24331" xr:uid="{00000000-0005-0000-0000-00005A4B0000}"/>
    <cellStyle name="Normal 15 6 3 3" xfId="15279" xr:uid="{00000000-0005-0000-0000-00005B4B0000}"/>
    <cellStyle name="Normal 15 6 3 3 2" xfId="28337" xr:uid="{00000000-0005-0000-0000-00005C4B0000}"/>
    <cellStyle name="Normal 15 6 3 4" xfId="15280" xr:uid="{00000000-0005-0000-0000-00005D4B0000}"/>
    <cellStyle name="Normal 15 6 3 4 2" xfId="28338" xr:uid="{00000000-0005-0000-0000-00005E4B0000}"/>
    <cellStyle name="Normal 15 6 3 5" xfId="22175" xr:uid="{00000000-0005-0000-0000-00005F4B0000}"/>
    <cellStyle name="Normal 15 6 4" xfId="9883" xr:uid="{00000000-0005-0000-0000-0000604B0000}"/>
    <cellStyle name="Normal 15 6 4 2" xfId="15281" xr:uid="{00000000-0005-0000-0000-0000614B0000}"/>
    <cellStyle name="Normal 15 6 4 2 2" xfId="28339" xr:uid="{00000000-0005-0000-0000-0000624B0000}"/>
    <cellStyle name="Normal 15 6 4 3" xfId="15282" xr:uid="{00000000-0005-0000-0000-0000634B0000}"/>
    <cellStyle name="Normal 15 6 4 3 2" xfId="28340" xr:uid="{00000000-0005-0000-0000-0000644B0000}"/>
    <cellStyle name="Normal 15 6 4 4" xfId="23253" xr:uid="{00000000-0005-0000-0000-0000654B0000}"/>
    <cellStyle name="Normal 15 6 5" xfId="15283" xr:uid="{00000000-0005-0000-0000-0000664B0000}"/>
    <cellStyle name="Normal 15 6 5 2" xfId="28341" xr:uid="{00000000-0005-0000-0000-0000674B0000}"/>
    <cellStyle name="Normal 15 6 6" xfId="15284" xr:uid="{00000000-0005-0000-0000-0000684B0000}"/>
    <cellStyle name="Normal 15 6 6 2" xfId="28342" xr:uid="{00000000-0005-0000-0000-0000694B0000}"/>
    <cellStyle name="Normal 15 6 7" xfId="21097" xr:uid="{00000000-0005-0000-0000-00006A4B0000}"/>
    <cellStyle name="Normal 15 7" xfId="6973" xr:uid="{00000000-0005-0000-0000-00006B4B0000}"/>
    <cellStyle name="Normal 15 7 2" xfId="8853" xr:uid="{00000000-0005-0000-0000-00006C4B0000}"/>
    <cellStyle name="Normal 15 7 2 2" xfId="11232" xr:uid="{00000000-0005-0000-0000-00006D4B0000}"/>
    <cellStyle name="Normal 15 7 2 2 2" xfId="15285" xr:uid="{00000000-0005-0000-0000-00006E4B0000}"/>
    <cellStyle name="Normal 15 7 2 2 2 2" xfId="28343" xr:uid="{00000000-0005-0000-0000-00006F4B0000}"/>
    <cellStyle name="Normal 15 7 2 2 3" xfId="15286" xr:uid="{00000000-0005-0000-0000-0000704B0000}"/>
    <cellStyle name="Normal 15 7 2 2 3 2" xfId="28344" xr:uid="{00000000-0005-0000-0000-0000714B0000}"/>
    <cellStyle name="Normal 15 7 2 2 4" xfId="24602" xr:uid="{00000000-0005-0000-0000-0000724B0000}"/>
    <cellStyle name="Normal 15 7 2 3" xfId="15287" xr:uid="{00000000-0005-0000-0000-0000734B0000}"/>
    <cellStyle name="Normal 15 7 2 3 2" xfId="28345" xr:uid="{00000000-0005-0000-0000-0000744B0000}"/>
    <cellStyle name="Normal 15 7 2 4" xfId="15288" xr:uid="{00000000-0005-0000-0000-0000754B0000}"/>
    <cellStyle name="Normal 15 7 2 4 2" xfId="28346" xr:uid="{00000000-0005-0000-0000-0000764B0000}"/>
    <cellStyle name="Normal 15 7 2 5" xfId="22446" xr:uid="{00000000-0005-0000-0000-0000774B0000}"/>
    <cellStyle name="Normal 15 7 3" xfId="10154" xr:uid="{00000000-0005-0000-0000-0000784B0000}"/>
    <cellStyle name="Normal 15 7 3 2" xfId="15289" xr:uid="{00000000-0005-0000-0000-0000794B0000}"/>
    <cellStyle name="Normal 15 7 3 2 2" xfId="28347" xr:uid="{00000000-0005-0000-0000-00007A4B0000}"/>
    <cellStyle name="Normal 15 7 3 3" xfId="15290" xr:uid="{00000000-0005-0000-0000-00007B4B0000}"/>
    <cellStyle name="Normal 15 7 3 3 2" xfId="28348" xr:uid="{00000000-0005-0000-0000-00007C4B0000}"/>
    <cellStyle name="Normal 15 7 3 4" xfId="23524" xr:uid="{00000000-0005-0000-0000-00007D4B0000}"/>
    <cellStyle name="Normal 15 7 4" xfId="15291" xr:uid="{00000000-0005-0000-0000-00007E4B0000}"/>
    <cellStyle name="Normal 15 7 4 2" xfId="28349" xr:uid="{00000000-0005-0000-0000-00007F4B0000}"/>
    <cellStyle name="Normal 15 7 5" xfId="15292" xr:uid="{00000000-0005-0000-0000-0000804B0000}"/>
    <cellStyle name="Normal 15 7 5 2" xfId="28350" xr:uid="{00000000-0005-0000-0000-0000814B0000}"/>
    <cellStyle name="Normal 15 7 6" xfId="21368" xr:uid="{00000000-0005-0000-0000-0000824B0000}"/>
    <cellStyle name="Normal 15 8" xfId="8066" xr:uid="{00000000-0005-0000-0000-0000834B0000}"/>
    <cellStyle name="Normal 15 8 2" xfId="10692" xr:uid="{00000000-0005-0000-0000-0000844B0000}"/>
    <cellStyle name="Normal 15 8 2 2" xfId="15293" xr:uid="{00000000-0005-0000-0000-0000854B0000}"/>
    <cellStyle name="Normal 15 8 2 2 2" xfId="28351" xr:uid="{00000000-0005-0000-0000-0000864B0000}"/>
    <cellStyle name="Normal 15 8 2 3" xfId="15294" xr:uid="{00000000-0005-0000-0000-0000874B0000}"/>
    <cellStyle name="Normal 15 8 2 3 2" xfId="28352" xr:uid="{00000000-0005-0000-0000-0000884B0000}"/>
    <cellStyle name="Normal 15 8 2 4" xfId="24062" xr:uid="{00000000-0005-0000-0000-0000894B0000}"/>
    <cellStyle name="Normal 15 8 3" xfId="15295" xr:uid="{00000000-0005-0000-0000-00008A4B0000}"/>
    <cellStyle name="Normal 15 8 3 2" xfId="28353" xr:uid="{00000000-0005-0000-0000-00008B4B0000}"/>
    <cellStyle name="Normal 15 8 4" xfId="15296" xr:uid="{00000000-0005-0000-0000-00008C4B0000}"/>
    <cellStyle name="Normal 15 8 4 2" xfId="28354" xr:uid="{00000000-0005-0000-0000-00008D4B0000}"/>
    <cellStyle name="Normal 15 8 5" xfId="21906" xr:uid="{00000000-0005-0000-0000-00008E4B0000}"/>
    <cellStyle name="Normal 15 9" xfId="9613" xr:uid="{00000000-0005-0000-0000-00008F4B0000}"/>
    <cellStyle name="Normal 15 9 2" xfId="15297" xr:uid="{00000000-0005-0000-0000-0000904B0000}"/>
    <cellStyle name="Normal 15 9 2 2" xfId="28355" xr:uid="{00000000-0005-0000-0000-0000914B0000}"/>
    <cellStyle name="Normal 15 9 3" xfId="15298" xr:uid="{00000000-0005-0000-0000-0000924B0000}"/>
    <cellStyle name="Normal 15 9 3 2" xfId="28356" xr:uid="{00000000-0005-0000-0000-0000934B0000}"/>
    <cellStyle name="Normal 15 9 4" xfId="22984" xr:uid="{00000000-0005-0000-0000-0000944B0000}"/>
    <cellStyle name="Normal 150" xfId="33798" xr:uid="{00000000-0005-0000-0000-0000954B0000}"/>
    <cellStyle name="Normal 151" xfId="33800" xr:uid="{00000000-0005-0000-0000-0000964B0000}"/>
    <cellStyle name="Normal 152" xfId="33802" xr:uid="{00000000-0005-0000-0000-0000974B0000}"/>
    <cellStyle name="Normal 153" xfId="33804" xr:uid="{00000000-0005-0000-0000-0000984B0000}"/>
    <cellStyle name="Normal 154" xfId="33806" xr:uid="{00000000-0005-0000-0000-0000994B0000}"/>
    <cellStyle name="Normal 155" xfId="33807" xr:uid="{00000000-0005-0000-0000-00009A4B0000}"/>
    <cellStyle name="Normal 156" xfId="33808" xr:uid="{00000000-0005-0000-0000-00009B4B0000}"/>
    <cellStyle name="Normal 157" xfId="33809" xr:uid="{00000000-0005-0000-0000-00009C4B0000}"/>
    <cellStyle name="Normal 158" xfId="33810" xr:uid="{00000000-0005-0000-0000-00009D4B0000}"/>
    <cellStyle name="Normal 159" xfId="33811" xr:uid="{00000000-0005-0000-0000-00009E4B0000}"/>
    <cellStyle name="Normal 16" xfId="3028" xr:uid="{00000000-0005-0000-0000-00009F4B0000}"/>
    <cellStyle name="Normal 16 10" xfId="15299" xr:uid="{00000000-0005-0000-0000-0000A04B0000}"/>
    <cellStyle name="Normal 16 10 2" xfId="28357" xr:uid="{00000000-0005-0000-0000-0000A14B0000}"/>
    <cellStyle name="Normal 16 11" xfId="15300" xr:uid="{00000000-0005-0000-0000-0000A24B0000}"/>
    <cellStyle name="Normal 16 11 2" xfId="28358" xr:uid="{00000000-0005-0000-0000-0000A34B0000}"/>
    <cellStyle name="Normal 16 12" xfId="20833" xr:uid="{00000000-0005-0000-0000-0000A44B0000}"/>
    <cellStyle name="Normal 16 2" xfId="3610" xr:uid="{00000000-0005-0000-0000-0000A54B0000}"/>
    <cellStyle name="Normal 16 2 10" xfId="20849" xr:uid="{00000000-0005-0000-0000-0000A64B0000}"/>
    <cellStyle name="Normal 16 2 2" xfId="4087" xr:uid="{00000000-0005-0000-0000-0000A74B0000}"/>
    <cellStyle name="Normal 16 2 2 2" xfId="5623" xr:uid="{00000000-0005-0000-0000-0000A84B0000}"/>
    <cellStyle name="Normal 16 2 2 2 2" xfId="6775" xr:uid="{00000000-0005-0000-0000-0000A94B0000}"/>
    <cellStyle name="Normal 16 2 2 2 2 2" xfId="7462" xr:uid="{00000000-0005-0000-0000-0000AA4B0000}"/>
    <cellStyle name="Normal 16 2 2 2 2 2 2" xfId="9341" xr:uid="{00000000-0005-0000-0000-0000AB4B0000}"/>
    <cellStyle name="Normal 16 2 2 2 2 2 2 2" xfId="11720" xr:uid="{00000000-0005-0000-0000-0000AC4B0000}"/>
    <cellStyle name="Normal 16 2 2 2 2 2 2 2 2" xfId="15301" xr:uid="{00000000-0005-0000-0000-0000AD4B0000}"/>
    <cellStyle name="Normal 16 2 2 2 2 2 2 2 2 2" xfId="28359" xr:uid="{00000000-0005-0000-0000-0000AE4B0000}"/>
    <cellStyle name="Normal 16 2 2 2 2 2 2 2 3" xfId="15302" xr:uid="{00000000-0005-0000-0000-0000AF4B0000}"/>
    <cellStyle name="Normal 16 2 2 2 2 2 2 2 3 2" xfId="28360" xr:uid="{00000000-0005-0000-0000-0000B04B0000}"/>
    <cellStyle name="Normal 16 2 2 2 2 2 2 2 4" xfId="25090" xr:uid="{00000000-0005-0000-0000-0000B14B0000}"/>
    <cellStyle name="Normal 16 2 2 2 2 2 2 3" xfId="15303" xr:uid="{00000000-0005-0000-0000-0000B24B0000}"/>
    <cellStyle name="Normal 16 2 2 2 2 2 2 3 2" xfId="28361" xr:uid="{00000000-0005-0000-0000-0000B34B0000}"/>
    <cellStyle name="Normal 16 2 2 2 2 2 2 4" xfId="15304" xr:uid="{00000000-0005-0000-0000-0000B44B0000}"/>
    <cellStyle name="Normal 16 2 2 2 2 2 2 4 2" xfId="28362" xr:uid="{00000000-0005-0000-0000-0000B54B0000}"/>
    <cellStyle name="Normal 16 2 2 2 2 2 2 5" xfId="22934" xr:uid="{00000000-0005-0000-0000-0000B64B0000}"/>
    <cellStyle name="Normal 16 2 2 2 2 2 3" xfId="10642" xr:uid="{00000000-0005-0000-0000-0000B74B0000}"/>
    <cellStyle name="Normal 16 2 2 2 2 2 3 2" xfId="15305" xr:uid="{00000000-0005-0000-0000-0000B84B0000}"/>
    <cellStyle name="Normal 16 2 2 2 2 2 3 2 2" xfId="28363" xr:uid="{00000000-0005-0000-0000-0000B94B0000}"/>
    <cellStyle name="Normal 16 2 2 2 2 2 3 3" xfId="15306" xr:uid="{00000000-0005-0000-0000-0000BA4B0000}"/>
    <cellStyle name="Normal 16 2 2 2 2 2 3 3 2" xfId="28364" xr:uid="{00000000-0005-0000-0000-0000BB4B0000}"/>
    <cellStyle name="Normal 16 2 2 2 2 2 3 4" xfId="24012" xr:uid="{00000000-0005-0000-0000-0000BC4B0000}"/>
    <cellStyle name="Normal 16 2 2 2 2 2 4" xfId="15307" xr:uid="{00000000-0005-0000-0000-0000BD4B0000}"/>
    <cellStyle name="Normal 16 2 2 2 2 2 4 2" xfId="28365" xr:uid="{00000000-0005-0000-0000-0000BE4B0000}"/>
    <cellStyle name="Normal 16 2 2 2 2 2 5" xfId="15308" xr:uid="{00000000-0005-0000-0000-0000BF4B0000}"/>
    <cellStyle name="Normal 16 2 2 2 2 2 5 2" xfId="28366" xr:uid="{00000000-0005-0000-0000-0000C04B0000}"/>
    <cellStyle name="Normal 16 2 2 2 2 2 6" xfId="21856" xr:uid="{00000000-0005-0000-0000-0000C14B0000}"/>
    <cellStyle name="Normal 16 2 2 2 2 3" xfId="8795" xr:uid="{00000000-0005-0000-0000-0000C24B0000}"/>
    <cellStyle name="Normal 16 2 2 2 2 3 2" xfId="11180" xr:uid="{00000000-0005-0000-0000-0000C34B0000}"/>
    <cellStyle name="Normal 16 2 2 2 2 3 2 2" xfId="15309" xr:uid="{00000000-0005-0000-0000-0000C44B0000}"/>
    <cellStyle name="Normal 16 2 2 2 2 3 2 2 2" xfId="28367" xr:uid="{00000000-0005-0000-0000-0000C54B0000}"/>
    <cellStyle name="Normal 16 2 2 2 2 3 2 3" xfId="15310" xr:uid="{00000000-0005-0000-0000-0000C64B0000}"/>
    <cellStyle name="Normal 16 2 2 2 2 3 2 3 2" xfId="28368" xr:uid="{00000000-0005-0000-0000-0000C74B0000}"/>
    <cellStyle name="Normal 16 2 2 2 2 3 2 4" xfId="24550" xr:uid="{00000000-0005-0000-0000-0000C84B0000}"/>
    <cellStyle name="Normal 16 2 2 2 2 3 3" xfId="15311" xr:uid="{00000000-0005-0000-0000-0000C94B0000}"/>
    <cellStyle name="Normal 16 2 2 2 2 3 3 2" xfId="28369" xr:uid="{00000000-0005-0000-0000-0000CA4B0000}"/>
    <cellStyle name="Normal 16 2 2 2 2 3 4" xfId="15312" xr:uid="{00000000-0005-0000-0000-0000CB4B0000}"/>
    <cellStyle name="Normal 16 2 2 2 2 3 4 2" xfId="28370" xr:uid="{00000000-0005-0000-0000-0000CC4B0000}"/>
    <cellStyle name="Normal 16 2 2 2 2 3 5" xfId="22394" xr:uid="{00000000-0005-0000-0000-0000CD4B0000}"/>
    <cellStyle name="Normal 16 2 2 2 2 4" xfId="10102" xr:uid="{00000000-0005-0000-0000-0000CE4B0000}"/>
    <cellStyle name="Normal 16 2 2 2 2 4 2" xfId="15313" xr:uid="{00000000-0005-0000-0000-0000CF4B0000}"/>
    <cellStyle name="Normal 16 2 2 2 2 4 2 2" xfId="28371" xr:uid="{00000000-0005-0000-0000-0000D04B0000}"/>
    <cellStyle name="Normal 16 2 2 2 2 4 3" xfId="15314" xr:uid="{00000000-0005-0000-0000-0000D14B0000}"/>
    <cellStyle name="Normal 16 2 2 2 2 4 3 2" xfId="28372" xr:uid="{00000000-0005-0000-0000-0000D24B0000}"/>
    <cellStyle name="Normal 16 2 2 2 2 4 4" xfId="23472" xr:uid="{00000000-0005-0000-0000-0000D34B0000}"/>
    <cellStyle name="Normal 16 2 2 2 2 5" xfId="15315" xr:uid="{00000000-0005-0000-0000-0000D44B0000}"/>
    <cellStyle name="Normal 16 2 2 2 2 5 2" xfId="28373" xr:uid="{00000000-0005-0000-0000-0000D54B0000}"/>
    <cellStyle name="Normal 16 2 2 2 2 6" xfId="15316" xr:uid="{00000000-0005-0000-0000-0000D64B0000}"/>
    <cellStyle name="Normal 16 2 2 2 2 6 2" xfId="28374" xr:uid="{00000000-0005-0000-0000-0000D74B0000}"/>
    <cellStyle name="Normal 16 2 2 2 2 7" xfId="21316" xr:uid="{00000000-0005-0000-0000-0000D84B0000}"/>
    <cellStyle name="Normal 16 2 2 2 3" xfId="7193" xr:uid="{00000000-0005-0000-0000-0000D94B0000}"/>
    <cellStyle name="Normal 16 2 2 2 3 2" xfId="9072" xr:uid="{00000000-0005-0000-0000-0000DA4B0000}"/>
    <cellStyle name="Normal 16 2 2 2 3 2 2" xfId="11451" xr:uid="{00000000-0005-0000-0000-0000DB4B0000}"/>
    <cellStyle name="Normal 16 2 2 2 3 2 2 2" xfId="15317" xr:uid="{00000000-0005-0000-0000-0000DC4B0000}"/>
    <cellStyle name="Normal 16 2 2 2 3 2 2 2 2" xfId="28375" xr:uid="{00000000-0005-0000-0000-0000DD4B0000}"/>
    <cellStyle name="Normal 16 2 2 2 3 2 2 3" xfId="15318" xr:uid="{00000000-0005-0000-0000-0000DE4B0000}"/>
    <cellStyle name="Normal 16 2 2 2 3 2 2 3 2" xfId="28376" xr:uid="{00000000-0005-0000-0000-0000DF4B0000}"/>
    <cellStyle name="Normal 16 2 2 2 3 2 2 4" xfId="24821" xr:uid="{00000000-0005-0000-0000-0000E04B0000}"/>
    <cellStyle name="Normal 16 2 2 2 3 2 3" xfId="15319" xr:uid="{00000000-0005-0000-0000-0000E14B0000}"/>
    <cellStyle name="Normal 16 2 2 2 3 2 3 2" xfId="28377" xr:uid="{00000000-0005-0000-0000-0000E24B0000}"/>
    <cellStyle name="Normal 16 2 2 2 3 2 4" xfId="15320" xr:uid="{00000000-0005-0000-0000-0000E34B0000}"/>
    <cellStyle name="Normal 16 2 2 2 3 2 4 2" xfId="28378" xr:uid="{00000000-0005-0000-0000-0000E44B0000}"/>
    <cellStyle name="Normal 16 2 2 2 3 2 5" xfId="22665" xr:uid="{00000000-0005-0000-0000-0000E54B0000}"/>
    <cellStyle name="Normal 16 2 2 2 3 3" xfId="10373" xr:uid="{00000000-0005-0000-0000-0000E64B0000}"/>
    <cellStyle name="Normal 16 2 2 2 3 3 2" xfId="15321" xr:uid="{00000000-0005-0000-0000-0000E74B0000}"/>
    <cellStyle name="Normal 16 2 2 2 3 3 2 2" xfId="28379" xr:uid="{00000000-0005-0000-0000-0000E84B0000}"/>
    <cellStyle name="Normal 16 2 2 2 3 3 3" xfId="15322" xr:uid="{00000000-0005-0000-0000-0000E94B0000}"/>
    <cellStyle name="Normal 16 2 2 2 3 3 3 2" xfId="28380" xr:uid="{00000000-0005-0000-0000-0000EA4B0000}"/>
    <cellStyle name="Normal 16 2 2 2 3 3 4" xfId="23743" xr:uid="{00000000-0005-0000-0000-0000EB4B0000}"/>
    <cellStyle name="Normal 16 2 2 2 3 4" xfId="15323" xr:uid="{00000000-0005-0000-0000-0000EC4B0000}"/>
    <cellStyle name="Normal 16 2 2 2 3 4 2" xfId="28381" xr:uid="{00000000-0005-0000-0000-0000ED4B0000}"/>
    <cellStyle name="Normal 16 2 2 2 3 5" xfId="15324" xr:uid="{00000000-0005-0000-0000-0000EE4B0000}"/>
    <cellStyle name="Normal 16 2 2 2 3 5 2" xfId="28382" xr:uid="{00000000-0005-0000-0000-0000EF4B0000}"/>
    <cellStyle name="Normal 16 2 2 2 3 6" xfId="21587" xr:uid="{00000000-0005-0000-0000-0000F04B0000}"/>
    <cellStyle name="Normal 16 2 2 2 4" xfId="8470" xr:uid="{00000000-0005-0000-0000-0000F14B0000}"/>
    <cellStyle name="Normal 16 2 2 2 4 2" xfId="10911" xr:uid="{00000000-0005-0000-0000-0000F24B0000}"/>
    <cellStyle name="Normal 16 2 2 2 4 2 2" xfId="15325" xr:uid="{00000000-0005-0000-0000-0000F34B0000}"/>
    <cellStyle name="Normal 16 2 2 2 4 2 2 2" xfId="28383" xr:uid="{00000000-0005-0000-0000-0000F44B0000}"/>
    <cellStyle name="Normal 16 2 2 2 4 2 3" xfId="15326" xr:uid="{00000000-0005-0000-0000-0000F54B0000}"/>
    <cellStyle name="Normal 16 2 2 2 4 2 3 2" xfId="28384" xr:uid="{00000000-0005-0000-0000-0000F64B0000}"/>
    <cellStyle name="Normal 16 2 2 2 4 2 4" xfId="24281" xr:uid="{00000000-0005-0000-0000-0000F74B0000}"/>
    <cellStyle name="Normal 16 2 2 2 4 3" xfId="15327" xr:uid="{00000000-0005-0000-0000-0000F84B0000}"/>
    <cellStyle name="Normal 16 2 2 2 4 3 2" xfId="28385" xr:uid="{00000000-0005-0000-0000-0000F94B0000}"/>
    <cellStyle name="Normal 16 2 2 2 4 4" xfId="15328" xr:uid="{00000000-0005-0000-0000-0000FA4B0000}"/>
    <cellStyle name="Normal 16 2 2 2 4 4 2" xfId="28386" xr:uid="{00000000-0005-0000-0000-0000FB4B0000}"/>
    <cellStyle name="Normal 16 2 2 2 4 5" xfId="22125" xr:uid="{00000000-0005-0000-0000-0000FC4B0000}"/>
    <cellStyle name="Normal 16 2 2 2 5" xfId="9833" xr:uid="{00000000-0005-0000-0000-0000FD4B0000}"/>
    <cellStyle name="Normal 16 2 2 2 5 2" xfId="15329" xr:uid="{00000000-0005-0000-0000-0000FE4B0000}"/>
    <cellStyle name="Normal 16 2 2 2 5 2 2" xfId="28387" xr:uid="{00000000-0005-0000-0000-0000FF4B0000}"/>
    <cellStyle name="Normal 16 2 2 2 5 3" xfId="15330" xr:uid="{00000000-0005-0000-0000-0000004C0000}"/>
    <cellStyle name="Normal 16 2 2 2 5 3 2" xfId="28388" xr:uid="{00000000-0005-0000-0000-0000014C0000}"/>
    <cellStyle name="Normal 16 2 2 2 5 4" xfId="23203" xr:uid="{00000000-0005-0000-0000-0000024C0000}"/>
    <cellStyle name="Normal 16 2 2 2 6" xfId="15331" xr:uid="{00000000-0005-0000-0000-0000034C0000}"/>
    <cellStyle name="Normal 16 2 2 2 6 2" xfId="28389" xr:uid="{00000000-0005-0000-0000-0000044C0000}"/>
    <cellStyle name="Normal 16 2 2 2 7" xfId="15332" xr:uid="{00000000-0005-0000-0000-0000054C0000}"/>
    <cellStyle name="Normal 16 2 2 2 7 2" xfId="28390" xr:uid="{00000000-0005-0000-0000-0000064C0000}"/>
    <cellStyle name="Normal 16 2 2 2 8" xfId="21047" xr:uid="{00000000-0005-0000-0000-0000074C0000}"/>
    <cellStyle name="Normal 16 2 2 3" xfId="6624" xr:uid="{00000000-0005-0000-0000-0000084C0000}"/>
    <cellStyle name="Normal 16 2 2 3 2" xfId="7320" xr:uid="{00000000-0005-0000-0000-0000094C0000}"/>
    <cellStyle name="Normal 16 2 2 3 2 2" xfId="9199" xr:uid="{00000000-0005-0000-0000-00000A4C0000}"/>
    <cellStyle name="Normal 16 2 2 3 2 2 2" xfId="11578" xr:uid="{00000000-0005-0000-0000-00000B4C0000}"/>
    <cellStyle name="Normal 16 2 2 3 2 2 2 2" xfId="15333" xr:uid="{00000000-0005-0000-0000-00000C4C0000}"/>
    <cellStyle name="Normal 16 2 2 3 2 2 2 2 2" xfId="28391" xr:uid="{00000000-0005-0000-0000-00000D4C0000}"/>
    <cellStyle name="Normal 16 2 2 3 2 2 2 3" xfId="15334" xr:uid="{00000000-0005-0000-0000-00000E4C0000}"/>
    <cellStyle name="Normal 16 2 2 3 2 2 2 3 2" xfId="28392" xr:uid="{00000000-0005-0000-0000-00000F4C0000}"/>
    <cellStyle name="Normal 16 2 2 3 2 2 2 4" xfId="24948" xr:uid="{00000000-0005-0000-0000-0000104C0000}"/>
    <cellStyle name="Normal 16 2 2 3 2 2 3" xfId="15335" xr:uid="{00000000-0005-0000-0000-0000114C0000}"/>
    <cellStyle name="Normal 16 2 2 3 2 2 3 2" xfId="28393" xr:uid="{00000000-0005-0000-0000-0000124C0000}"/>
    <cellStyle name="Normal 16 2 2 3 2 2 4" xfId="15336" xr:uid="{00000000-0005-0000-0000-0000134C0000}"/>
    <cellStyle name="Normal 16 2 2 3 2 2 4 2" xfId="28394" xr:uid="{00000000-0005-0000-0000-0000144C0000}"/>
    <cellStyle name="Normal 16 2 2 3 2 2 5" xfId="22792" xr:uid="{00000000-0005-0000-0000-0000154C0000}"/>
    <cellStyle name="Normal 16 2 2 3 2 3" xfId="10500" xr:uid="{00000000-0005-0000-0000-0000164C0000}"/>
    <cellStyle name="Normal 16 2 2 3 2 3 2" xfId="15337" xr:uid="{00000000-0005-0000-0000-0000174C0000}"/>
    <cellStyle name="Normal 16 2 2 3 2 3 2 2" xfId="28395" xr:uid="{00000000-0005-0000-0000-0000184C0000}"/>
    <cellStyle name="Normal 16 2 2 3 2 3 3" xfId="15338" xr:uid="{00000000-0005-0000-0000-0000194C0000}"/>
    <cellStyle name="Normal 16 2 2 3 2 3 3 2" xfId="28396" xr:uid="{00000000-0005-0000-0000-00001A4C0000}"/>
    <cellStyle name="Normal 16 2 2 3 2 3 4" xfId="23870" xr:uid="{00000000-0005-0000-0000-00001B4C0000}"/>
    <cellStyle name="Normal 16 2 2 3 2 4" xfId="15339" xr:uid="{00000000-0005-0000-0000-00001C4C0000}"/>
    <cellStyle name="Normal 16 2 2 3 2 4 2" xfId="28397" xr:uid="{00000000-0005-0000-0000-00001D4C0000}"/>
    <cellStyle name="Normal 16 2 2 3 2 5" xfId="15340" xr:uid="{00000000-0005-0000-0000-00001E4C0000}"/>
    <cellStyle name="Normal 16 2 2 3 2 5 2" xfId="28398" xr:uid="{00000000-0005-0000-0000-00001F4C0000}"/>
    <cellStyle name="Normal 16 2 2 3 2 6" xfId="21714" xr:uid="{00000000-0005-0000-0000-0000204C0000}"/>
    <cellStyle name="Normal 16 2 2 3 3" xfId="8652" xr:uid="{00000000-0005-0000-0000-0000214C0000}"/>
    <cellStyle name="Normal 16 2 2 3 3 2" xfId="11038" xr:uid="{00000000-0005-0000-0000-0000224C0000}"/>
    <cellStyle name="Normal 16 2 2 3 3 2 2" xfId="15341" xr:uid="{00000000-0005-0000-0000-0000234C0000}"/>
    <cellStyle name="Normal 16 2 2 3 3 2 2 2" xfId="28399" xr:uid="{00000000-0005-0000-0000-0000244C0000}"/>
    <cellStyle name="Normal 16 2 2 3 3 2 3" xfId="15342" xr:uid="{00000000-0005-0000-0000-0000254C0000}"/>
    <cellStyle name="Normal 16 2 2 3 3 2 3 2" xfId="28400" xr:uid="{00000000-0005-0000-0000-0000264C0000}"/>
    <cellStyle name="Normal 16 2 2 3 3 2 4" xfId="24408" xr:uid="{00000000-0005-0000-0000-0000274C0000}"/>
    <cellStyle name="Normal 16 2 2 3 3 3" xfId="15343" xr:uid="{00000000-0005-0000-0000-0000284C0000}"/>
    <cellStyle name="Normal 16 2 2 3 3 3 2" xfId="28401" xr:uid="{00000000-0005-0000-0000-0000294C0000}"/>
    <cellStyle name="Normal 16 2 2 3 3 4" xfId="15344" xr:uid="{00000000-0005-0000-0000-00002A4C0000}"/>
    <cellStyle name="Normal 16 2 2 3 3 4 2" xfId="28402" xr:uid="{00000000-0005-0000-0000-00002B4C0000}"/>
    <cellStyle name="Normal 16 2 2 3 3 5" xfId="22252" xr:uid="{00000000-0005-0000-0000-00002C4C0000}"/>
    <cellStyle name="Normal 16 2 2 3 4" xfId="9960" xr:uid="{00000000-0005-0000-0000-00002D4C0000}"/>
    <cellStyle name="Normal 16 2 2 3 4 2" xfId="15345" xr:uid="{00000000-0005-0000-0000-00002E4C0000}"/>
    <cellStyle name="Normal 16 2 2 3 4 2 2" xfId="28403" xr:uid="{00000000-0005-0000-0000-00002F4C0000}"/>
    <cellStyle name="Normal 16 2 2 3 4 3" xfId="15346" xr:uid="{00000000-0005-0000-0000-0000304C0000}"/>
    <cellStyle name="Normal 16 2 2 3 4 3 2" xfId="28404" xr:uid="{00000000-0005-0000-0000-0000314C0000}"/>
    <cellStyle name="Normal 16 2 2 3 4 4" xfId="23330" xr:uid="{00000000-0005-0000-0000-0000324C0000}"/>
    <cellStyle name="Normal 16 2 2 3 5" xfId="15347" xr:uid="{00000000-0005-0000-0000-0000334C0000}"/>
    <cellStyle name="Normal 16 2 2 3 5 2" xfId="28405" xr:uid="{00000000-0005-0000-0000-0000344C0000}"/>
    <cellStyle name="Normal 16 2 2 3 6" xfId="15348" xr:uid="{00000000-0005-0000-0000-0000354C0000}"/>
    <cellStyle name="Normal 16 2 2 3 6 2" xfId="28406" xr:uid="{00000000-0005-0000-0000-0000364C0000}"/>
    <cellStyle name="Normal 16 2 2 3 7" xfId="21174" xr:uid="{00000000-0005-0000-0000-0000374C0000}"/>
    <cellStyle name="Normal 16 2 2 4" xfId="7050" xr:uid="{00000000-0005-0000-0000-0000384C0000}"/>
    <cellStyle name="Normal 16 2 2 4 2" xfId="8930" xr:uid="{00000000-0005-0000-0000-0000394C0000}"/>
    <cellStyle name="Normal 16 2 2 4 2 2" xfId="11309" xr:uid="{00000000-0005-0000-0000-00003A4C0000}"/>
    <cellStyle name="Normal 16 2 2 4 2 2 2" xfId="15349" xr:uid="{00000000-0005-0000-0000-00003B4C0000}"/>
    <cellStyle name="Normal 16 2 2 4 2 2 2 2" xfId="28407" xr:uid="{00000000-0005-0000-0000-00003C4C0000}"/>
    <cellStyle name="Normal 16 2 2 4 2 2 3" xfId="15350" xr:uid="{00000000-0005-0000-0000-00003D4C0000}"/>
    <cellStyle name="Normal 16 2 2 4 2 2 3 2" xfId="28408" xr:uid="{00000000-0005-0000-0000-00003E4C0000}"/>
    <cellStyle name="Normal 16 2 2 4 2 2 4" xfId="24679" xr:uid="{00000000-0005-0000-0000-00003F4C0000}"/>
    <cellStyle name="Normal 16 2 2 4 2 3" xfId="15351" xr:uid="{00000000-0005-0000-0000-0000404C0000}"/>
    <cellStyle name="Normal 16 2 2 4 2 3 2" xfId="28409" xr:uid="{00000000-0005-0000-0000-0000414C0000}"/>
    <cellStyle name="Normal 16 2 2 4 2 4" xfId="15352" xr:uid="{00000000-0005-0000-0000-0000424C0000}"/>
    <cellStyle name="Normal 16 2 2 4 2 4 2" xfId="28410" xr:uid="{00000000-0005-0000-0000-0000434C0000}"/>
    <cellStyle name="Normal 16 2 2 4 2 5" xfId="22523" xr:uid="{00000000-0005-0000-0000-0000444C0000}"/>
    <cellStyle name="Normal 16 2 2 4 3" xfId="10231" xr:uid="{00000000-0005-0000-0000-0000454C0000}"/>
    <cellStyle name="Normal 16 2 2 4 3 2" xfId="15353" xr:uid="{00000000-0005-0000-0000-0000464C0000}"/>
    <cellStyle name="Normal 16 2 2 4 3 2 2" xfId="28411" xr:uid="{00000000-0005-0000-0000-0000474C0000}"/>
    <cellStyle name="Normal 16 2 2 4 3 3" xfId="15354" xr:uid="{00000000-0005-0000-0000-0000484C0000}"/>
    <cellStyle name="Normal 16 2 2 4 3 3 2" xfId="28412" xr:uid="{00000000-0005-0000-0000-0000494C0000}"/>
    <cellStyle name="Normal 16 2 2 4 3 4" xfId="23601" xr:uid="{00000000-0005-0000-0000-00004A4C0000}"/>
    <cellStyle name="Normal 16 2 2 4 4" xfId="15355" xr:uid="{00000000-0005-0000-0000-00004B4C0000}"/>
    <cellStyle name="Normal 16 2 2 4 4 2" xfId="28413" xr:uid="{00000000-0005-0000-0000-00004C4C0000}"/>
    <cellStyle name="Normal 16 2 2 4 5" xfId="15356" xr:uid="{00000000-0005-0000-0000-00004D4C0000}"/>
    <cellStyle name="Normal 16 2 2 4 5 2" xfId="28414" xr:uid="{00000000-0005-0000-0000-00004E4C0000}"/>
    <cellStyle name="Normal 16 2 2 4 6" xfId="21445" xr:uid="{00000000-0005-0000-0000-00004F4C0000}"/>
    <cellStyle name="Normal 16 2 2 5" xfId="8254" xr:uid="{00000000-0005-0000-0000-0000504C0000}"/>
    <cellStyle name="Normal 16 2 2 5 2" xfId="10769" xr:uid="{00000000-0005-0000-0000-0000514C0000}"/>
    <cellStyle name="Normal 16 2 2 5 2 2" xfId="15357" xr:uid="{00000000-0005-0000-0000-0000524C0000}"/>
    <cellStyle name="Normal 16 2 2 5 2 2 2" xfId="28415" xr:uid="{00000000-0005-0000-0000-0000534C0000}"/>
    <cellStyle name="Normal 16 2 2 5 2 3" xfId="15358" xr:uid="{00000000-0005-0000-0000-0000544C0000}"/>
    <cellStyle name="Normal 16 2 2 5 2 3 2" xfId="28416" xr:uid="{00000000-0005-0000-0000-0000554C0000}"/>
    <cellStyle name="Normal 16 2 2 5 2 4" xfId="24139" xr:uid="{00000000-0005-0000-0000-0000564C0000}"/>
    <cellStyle name="Normal 16 2 2 5 3" xfId="15359" xr:uid="{00000000-0005-0000-0000-0000574C0000}"/>
    <cellStyle name="Normal 16 2 2 5 3 2" xfId="28417" xr:uid="{00000000-0005-0000-0000-0000584C0000}"/>
    <cellStyle name="Normal 16 2 2 5 4" xfId="15360" xr:uid="{00000000-0005-0000-0000-0000594C0000}"/>
    <cellStyle name="Normal 16 2 2 5 4 2" xfId="28418" xr:uid="{00000000-0005-0000-0000-00005A4C0000}"/>
    <cellStyle name="Normal 16 2 2 5 5" xfId="21983" xr:uid="{00000000-0005-0000-0000-00005B4C0000}"/>
    <cellStyle name="Normal 16 2 2 6" xfId="9690" xr:uid="{00000000-0005-0000-0000-00005C4C0000}"/>
    <cellStyle name="Normal 16 2 2 6 2" xfId="15361" xr:uid="{00000000-0005-0000-0000-00005D4C0000}"/>
    <cellStyle name="Normal 16 2 2 6 2 2" xfId="28419" xr:uid="{00000000-0005-0000-0000-00005E4C0000}"/>
    <cellStyle name="Normal 16 2 2 6 3" xfId="15362" xr:uid="{00000000-0005-0000-0000-00005F4C0000}"/>
    <cellStyle name="Normal 16 2 2 6 3 2" xfId="28420" xr:uid="{00000000-0005-0000-0000-0000604C0000}"/>
    <cellStyle name="Normal 16 2 2 6 4" xfId="23061" xr:uid="{00000000-0005-0000-0000-0000614C0000}"/>
    <cellStyle name="Normal 16 2 2 7" xfId="15363" xr:uid="{00000000-0005-0000-0000-0000624C0000}"/>
    <cellStyle name="Normal 16 2 2 7 2" xfId="28421" xr:uid="{00000000-0005-0000-0000-0000634C0000}"/>
    <cellStyle name="Normal 16 2 2 8" xfId="15364" xr:uid="{00000000-0005-0000-0000-0000644C0000}"/>
    <cellStyle name="Normal 16 2 2 8 2" xfId="28422" xr:uid="{00000000-0005-0000-0000-0000654C0000}"/>
    <cellStyle name="Normal 16 2 2 9" xfId="20904" xr:uid="{00000000-0005-0000-0000-0000664C0000}"/>
    <cellStyle name="Normal 16 2 3" xfId="5446" xr:uid="{00000000-0005-0000-0000-0000674C0000}"/>
    <cellStyle name="Normal 16 2 3 2" xfId="6715" xr:uid="{00000000-0005-0000-0000-0000684C0000}"/>
    <cellStyle name="Normal 16 2 3 2 2" xfId="7402" xr:uid="{00000000-0005-0000-0000-0000694C0000}"/>
    <cellStyle name="Normal 16 2 3 2 2 2" xfId="9281" xr:uid="{00000000-0005-0000-0000-00006A4C0000}"/>
    <cellStyle name="Normal 16 2 3 2 2 2 2" xfId="11660" xr:uid="{00000000-0005-0000-0000-00006B4C0000}"/>
    <cellStyle name="Normal 16 2 3 2 2 2 2 2" xfId="15365" xr:uid="{00000000-0005-0000-0000-00006C4C0000}"/>
    <cellStyle name="Normal 16 2 3 2 2 2 2 2 2" xfId="28423" xr:uid="{00000000-0005-0000-0000-00006D4C0000}"/>
    <cellStyle name="Normal 16 2 3 2 2 2 2 3" xfId="15366" xr:uid="{00000000-0005-0000-0000-00006E4C0000}"/>
    <cellStyle name="Normal 16 2 3 2 2 2 2 3 2" xfId="28424" xr:uid="{00000000-0005-0000-0000-00006F4C0000}"/>
    <cellStyle name="Normal 16 2 3 2 2 2 2 4" xfId="25030" xr:uid="{00000000-0005-0000-0000-0000704C0000}"/>
    <cellStyle name="Normal 16 2 3 2 2 2 3" xfId="15367" xr:uid="{00000000-0005-0000-0000-0000714C0000}"/>
    <cellStyle name="Normal 16 2 3 2 2 2 3 2" xfId="28425" xr:uid="{00000000-0005-0000-0000-0000724C0000}"/>
    <cellStyle name="Normal 16 2 3 2 2 2 4" xfId="15368" xr:uid="{00000000-0005-0000-0000-0000734C0000}"/>
    <cellStyle name="Normal 16 2 3 2 2 2 4 2" xfId="28426" xr:uid="{00000000-0005-0000-0000-0000744C0000}"/>
    <cellStyle name="Normal 16 2 3 2 2 2 5" xfId="22874" xr:uid="{00000000-0005-0000-0000-0000754C0000}"/>
    <cellStyle name="Normal 16 2 3 2 2 3" xfId="10582" xr:uid="{00000000-0005-0000-0000-0000764C0000}"/>
    <cellStyle name="Normal 16 2 3 2 2 3 2" xfId="15369" xr:uid="{00000000-0005-0000-0000-0000774C0000}"/>
    <cellStyle name="Normal 16 2 3 2 2 3 2 2" xfId="28427" xr:uid="{00000000-0005-0000-0000-0000784C0000}"/>
    <cellStyle name="Normal 16 2 3 2 2 3 3" xfId="15370" xr:uid="{00000000-0005-0000-0000-0000794C0000}"/>
    <cellStyle name="Normal 16 2 3 2 2 3 3 2" xfId="28428" xr:uid="{00000000-0005-0000-0000-00007A4C0000}"/>
    <cellStyle name="Normal 16 2 3 2 2 3 4" xfId="23952" xr:uid="{00000000-0005-0000-0000-00007B4C0000}"/>
    <cellStyle name="Normal 16 2 3 2 2 4" xfId="15371" xr:uid="{00000000-0005-0000-0000-00007C4C0000}"/>
    <cellStyle name="Normal 16 2 3 2 2 4 2" xfId="28429" xr:uid="{00000000-0005-0000-0000-00007D4C0000}"/>
    <cellStyle name="Normal 16 2 3 2 2 5" xfId="15372" xr:uid="{00000000-0005-0000-0000-00007E4C0000}"/>
    <cellStyle name="Normal 16 2 3 2 2 5 2" xfId="28430" xr:uid="{00000000-0005-0000-0000-00007F4C0000}"/>
    <cellStyle name="Normal 16 2 3 2 2 6" xfId="21796" xr:uid="{00000000-0005-0000-0000-0000804C0000}"/>
    <cellStyle name="Normal 16 2 3 2 3" xfId="8735" xr:uid="{00000000-0005-0000-0000-0000814C0000}"/>
    <cellStyle name="Normal 16 2 3 2 3 2" xfId="11120" xr:uid="{00000000-0005-0000-0000-0000824C0000}"/>
    <cellStyle name="Normal 16 2 3 2 3 2 2" xfId="15373" xr:uid="{00000000-0005-0000-0000-0000834C0000}"/>
    <cellStyle name="Normal 16 2 3 2 3 2 2 2" xfId="28431" xr:uid="{00000000-0005-0000-0000-0000844C0000}"/>
    <cellStyle name="Normal 16 2 3 2 3 2 3" xfId="15374" xr:uid="{00000000-0005-0000-0000-0000854C0000}"/>
    <cellStyle name="Normal 16 2 3 2 3 2 3 2" xfId="28432" xr:uid="{00000000-0005-0000-0000-0000864C0000}"/>
    <cellStyle name="Normal 16 2 3 2 3 2 4" xfId="24490" xr:uid="{00000000-0005-0000-0000-0000874C0000}"/>
    <cellStyle name="Normal 16 2 3 2 3 3" xfId="15375" xr:uid="{00000000-0005-0000-0000-0000884C0000}"/>
    <cellStyle name="Normal 16 2 3 2 3 3 2" xfId="28433" xr:uid="{00000000-0005-0000-0000-0000894C0000}"/>
    <cellStyle name="Normal 16 2 3 2 3 4" xfId="15376" xr:uid="{00000000-0005-0000-0000-00008A4C0000}"/>
    <cellStyle name="Normal 16 2 3 2 3 4 2" xfId="28434" xr:uid="{00000000-0005-0000-0000-00008B4C0000}"/>
    <cellStyle name="Normal 16 2 3 2 3 5" xfId="22334" xr:uid="{00000000-0005-0000-0000-00008C4C0000}"/>
    <cellStyle name="Normal 16 2 3 2 4" xfId="10042" xr:uid="{00000000-0005-0000-0000-00008D4C0000}"/>
    <cellStyle name="Normal 16 2 3 2 4 2" xfId="15377" xr:uid="{00000000-0005-0000-0000-00008E4C0000}"/>
    <cellStyle name="Normal 16 2 3 2 4 2 2" xfId="28435" xr:uid="{00000000-0005-0000-0000-00008F4C0000}"/>
    <cellStyle name="Normal 16 2 3 2 4 3" xfId="15378" xr:uid="{00000000-0005-0000-0000-0000904C0000}"/>
    <cellStyle name="Normal 16 2 3 2 4 3 2" xfId="28436" xr:uid="{00000000-0005-0000-0000-0000914C0000}"/>
    <cellStyle name="Normal 16 2 3 2 4 4" xfId="23412" xr:uid="{00000000-0005-0000-0000-0000924C0000}"/>
    <cellStyle name="Normal 16 2 3 2 5" xfId="15379" xr:uid="{00000000-0005-0000-0000-0000934C0000}"/>
    <cellStyle name="Normal 16 2 3 2 5 2" xfId="28437" xr:uid="{00000000-0005-0000-0000-0000944C0000}"/>
    <cellStyle name="Normal 16 2 3 2 6" xfId="15380" xr:uid="{00000000-0005-0000-0000-0000954C0000}"/>
    <cellStyle name="Normal 16 2 3 2 6 2" xfId="28438" xr:uid="{00000000-0005-0000-0000-0000964C0000}"/>
    <cellStyle name="Normal 16 2 3 2 7" xfId="21256" xr:uid="{00000000-0005-0000-0000-0000974C0000}"/>
    <cellStyle name="Normal 16 2 3 3" xfId="7133" xr:uid="{00000000-0005-0000-0000-0000984C0000}"/>
    <cellStyle name="Normal 16 2 3 3 2" xfId="9012" xr:uid="{00000000-0005-0000-0000-0000994C0000}"/>
    <cellStyle name="Normal 16 2 3 3 2 2" xfId="11391" xr:uid="{00000000-0005-0000-0000-00009A4C0000}"/>
    <cellStyle name="Normal 16 2 3 3 2 2 2" xfId="15381" xr:uid="{00000000-0005-0000-0000-00009B4C0000}"/>
    <cellStyle name="Normal 16 2 3 3 2 2 2 2" xfId="28439" xr:uid="{00000000-0005-0000-0000-00009C4C0000}"/>
    <cellStyle name="Normal 16 2 3 3 2 2 3" xfId="15382" xr:uid="{00000000-0005-0000-0000-00009D4C0000}"/>
    <cellStyle name="Normal 16 2 3 3 2 2 3 2" xfId="28440" xr:uid="{00000000-0005-0000-0000-00009E4C0000}"/>
    <cellStyle name="Normal 16 2 3 3 2 2 4" xfId="24761" xr:uid="{00000000-0005-0000-0000-00009F4C0000}"/>
    <cellStyle name="Normal 16 2 3 3 2 3" xfId="15383" xr:uid="{00000000-0005-0000-0000-0000A04C0000}"/>
    <cellStyle name="Normal 16 2 3 3 2 3 2" xfId="28441" xr:uid="{00000000-0005-0000-0000-0000A14C0000}"/>
    <cellStyle name="Normal 16 2 3 3 2 4" xfId="15384" xr:uid="{00000000-0005-0000-0000-0000A24C0000}"/>
    <cellStyle name="Normal 16 2 3 3 2 4 2" xfId="28442" xr:uid="{00000000-0005-0000-0000-0000A34C0000}"/>
    <cellStyle name="Normal 16 2 3 3 2 5" xfId="22605" xr:uid="{00000000-0005-0000-0000-0000A44C0000}"/>
    <cellStyle name="Normal 16 2 3 3 3" xfId="10313" xr:uid="{00000000-0005-0000-0000-0000A54C0000}"/>
    <cellStyle name="Normal 16 2 3 3 3 2" xfId="15385" xr:uid="{00000000-0005-0000-0000-0000A64C0000}"/>
    <cellStyle name="Normal 16 2 3 3 3 2 2" xfId="28443" xr:uid="{00000000-0005-0000-0000-0000A74C0000}"/>
    <cellStyle name="Normal 16 2 3 3 3 3" xfId="15386" xr:uid="{00000000-0005-0000-0000-0000A84C0000}"/>
    <cellStyle name="Normal 16 2 3 3 3 3 2" xfId="28444" xr:uid="{00000000-0005-0000-0000-0000A94C0000}"/>
    <cellStyle name="Normal 16 2 3 3 3 4" xfId="23683" xr:uid="{00000000-0005-0000-0000-0000AA4C0000}"/>
    <cellStyle name="Normal 16 2 3 3 4" xfId="15387" xr:uid="{00000000-0005-0000-0000-0000AB4C0000}"/>
    <cellStyle name="Normal 16 2 3 3 4 2" xfId="28445" xr:uid="{00000000-0005-0000-0000-0000AC4C0000}"/>
    <cellStyle name="Normal 16 2 3 3 5" xfId="15388" xr:uid="{00000000-0005-0000-0000-0000AD4C0000}"/>
    <cellStyle name="Normal 16 2 3 3 5 2" xfId="28446" xr:uid="{00000000-0005-0000-0000-0000AE4C0000}"/>
    <cellStyle name="Normal 16 2 3 3 6" xfId="21527" xr:uid="{00000000-0005-0000-0000-0000AF4C0000}"/>
    <cellStyle name="Normal 16 2 3 4" xfId="8404" xr:uid="{00000000-0005-0000-0000-0000B04C0000}"/>
    <cellStyle name="Normal 16 2 3 4 2" xfId="10851" xr:uid="{00000000-0005-0000-0000-0000B14C0000}"/>
    <cellStyle name="Normal 16 2 3 4 2 2" xfId="15389" xr:uid="{00000000-0005-0000-0000-0000B24C0000}"/>
    <cellStyle name="Normal 16 2 3 4 2 2 2" xfId="28447" xr:uid="{00000000-0005-0000-0000-0000B34C0000}"/>
    <cellStyle name="Normal 16 2 3 4 2 3" xfId="15390" xr:uid="{00000000-0005-0000-0000-0000B44C0000}"/>
    <cellStyle name="Normal 16 2 3 4 2 3 2" xfId="28448" xr:uid="{00000000-0005-0000-0000-0000B54C0000}"/>
    <cellStyle name="Normal 16 2 3 4 2 4" xfId="24221" xr:uid="{00000000-0005-0000-0000-0000B64C0000}"/>
    <cellStyle name="Normal 16 2 3 4 3" xfId="15391" xr:uid="{00000000-0005-0000-0000-0000B74C0000}"/>
    <cellStyle name="Normal 16 2 3 4 3 2" xfId="28449" xr:uid="{00000000-0005-0000-0000-0000B84C0000}"/>
    <cellStyle name="Normal 16 2 3 4 4" xfId="15392" xr:uid="{00000000-0005-0000-0000-0000B94C0000}"/>
    <cellStyle name="Normal 16 2 3 4 4 2" xfId="28450" xr:uid="{00000000-0005-0000-0000-0000BA4C0000}"/>
    <cellStyle name="Normal 16 2 3 4 5" xfId="22065" xr:uid="{00000000-0005-0000-0000-0000BB4C0000}"/>
    <cellStyle name="Normal 16 2 3 5" xfId="9773" xr:uid="{00000000-0005-0000-0000-0000BC4C0000}"/>
    <cellStyle name="Normal 16 2 3 5 2" xfId="15393" xr:uid="{00000000-0005-0000-0000-0000BD4C0000}"/>
    <cellStyle name="Normal 16 2 3 5 2 2" xfId="28451" xr:uid="{00000000-0005-0000-0000-0000BE4C0000}"/>
    <cellStyle name="Normal 16 2 3 5 3" xfId="15394" xr:uid="{00000000-0005-0000-0000-0000BF4C0000}"/>
    <cellStyle name="Normal 16 2 3 5 3 2" xfId="28452" xr:uid="{00000000-0005-0000-0000-0000C04C0000}"/>
    <cellStyle name="Normal 16 2 3 5 4" xfId="23143" xr:uid="{00000000-0005-0000-0000-0000C14C0000}"/>
    <cellStyle name="Normal 16 2 3 6" xfId="15395" xr:uid="{00000000-0005-0000-0000-0000C24C0000}"/>
    <cellStyle name="Normal 16 2 3 6 2" xfId="28453" xr:uid="{00000000-0005-0000-0000-0000C34C0000}"/>
    <cellStyle name="Normal 16 2 3 7" xfId="15396" xr:uid="{00000000-0005-0000-0000-0000C44C0000}"/>
    <cellStyle name="Normal 16 2 3 7 2" xfId="28454" xr:uid="{00000000-0005-0000-0000-0000C54C0000}"/>
    <cellStyle name="Normal 16 2 3 8" xfId="20987" xr:uid="{00000000-0005-0000-0000-0000C64C0000}"/>
    <cellStyle name="Normal 16 2 4" xfId="6564" xr:uid="{00000000-0005-0000-0000-0000C74C0000}"/>
    <cellStyle name="Normal 16 2 4 2" xfId="7265" xr:uid="{00000000-0005-0000-0000-0000C84C0000}"/>
    <cellStyle name="Normal 16 2 4 2 2" xfId="9144" xr:uid="{00000000-0005-0000-0000-0000C94C0000}"/>
    <cellStyle name="Normal 16 2 4 2 2 2" xfId="11523" xr:uid="{00000000-0005-0000-0000-0000CA4C0000}"/>
    <cellStyle name="Normal 16 2 4 2 2 2 2" xfId="15397" xr:uid="{00000000-0005-0000-0000-0000CB4C0000}"/>
    <cellStyle name="Normal 16 2 4 2 2 2 2 2" xfId="28455" xr:uid="{00000000-0005-0000-0000-0000CC4C0000}"/>
    <cellStyle name="Normal 16 2 4 2 2 2 3" xfId="15398" xr:uid="{00000000-0005-0000-0000-0000CD4C0000}"/>
    <cellStyle name="Normal 16 2 4 2 2 2 3 2" xfId="28456" xr:uid="{00000000-0005-0000-0000-0000CE4C0000}"/>
    <cellStyle name="Normal 16 2 4 2 2 2 4" xfId="24893" xr:uid="{00000000-0005-0000-0000-0000CF4C0000}"/>
    <cellStyle name="Normal 16 2 4 2 2 3" xfId="15399" xr:uid="{00000000-0005-0000-0000-0000D04C0000}"/>
    <cellStyle name="Normal 16 2 4 2 2 3 2" xfId="28457" xr:uid="{00000000-0005-0000-0000-0000D14C0000}"/>
    <cellStyle name="Normal 16 2 4 2 2 4" xfId="15400" xr:uid="{00000000-0005-0000-0000-0000D24C0000}"/>
    <cellStyle name="Normal 16 2 4 2 2 4 2" xfId="28458" xr:uid="{00000000-0005-0000-0000-0000D34C0000}"/>
    <cellStyle name="Normal 16 2 4 2 2 5" xfId="22737" xr:uid="{00000000-0005-0000-0000-0000D44C0000}"/>
    <cellStyle name="Normal 16 2 4 2 3" xfId="10445" xr:uid="{00000000-0005-0000-0000-0000D54C0000}"/>
    <cellStyle name="Normal 16 2 4 2 3 2" xfId="15401" xr:uid="{00000000-0005-0000-0000-0000D64C0000}"/>
    <cellStyle name="Normal 16 2 4 2 3 2 2" xfId="28459" xr:uid="{00000000-0005-0000-0000-0000D74C0000}"/>
    <cellStyle name="Normal 16 2 4 2 3 3" xfId="15402" xr:uid="{00000000-0005-0000-0000-0000D84C0000}"/>
    <cellStyle name="Normal 16 2 4 2 3 3 2" xfId="28460" xr:uid="{00000000-0005-0000-0000-0000D94C0000}"/>
    <cellStyle name="Normal 16 2 4 2 3 4" xfId="23815" xr:uid="{00000000-0005-0000-0000-0000DA4C0000}"/>
    <cellStyle name="Normal 16 2 4 2 4" xfId="15403" xr:uid="{00000000-0005-0000-0000-0000DB4C0000}"/>
    <cellStyle name="Normal 16 2 4 2 4 2" xfId="28461" xr:uid="{00000000-0005-0000-0000-0000DC4C0000}"/>
    <cellStyle name="Normal 16 2 4 2 5" xfId="15404" xr:uid="{00000000-0005-0000-0000-0000DD4C0000}"/>
    <cellStyle name="Normal 16 2 4 2 5 2" xfId="28462" xr:uid="{00000000-0005-0000-0000-0000DE4C0000}"/>
    <cellStyle name="Normal 16 2 4 2 6" xfId="21659" xr:uid="{00000000-0005-0000-0000-0000DF4C0000}"/>
    <cellStyle name="Normal 16 2 4 3" xfId="8597" xr:uid="{00000000-0005-0000-0000-0000E04C0000}"/>
    <cellStyle name="Normal 16 2 4 3 2" xfId="10983" xr:uid="{00000000-0005-0000-0000-0000E14C0000}"/>
    <cellStyle name="Normal 16 2 4 3 2 2" xfId="15405" xr:uid="{00000000-0005-0000-0000-0000E24C0000}"/>
    <cellStyle name="Normal 16 2 4 3 2 2 2" xfId="28463" xr:uid="{00000000-0005-0000-0000-0000E34C0000}"/>
    <cellStyle name="Normal 16 2 4 3 2 3" xfId="15406" xr:uid="{00000000-0005-0000-0000-0000E44C0000}"/>
    <cellStyle name="Normal 16 2 4 3 2 3 2" xfId="28464" xr:uid="{00000000-0005-0000-0000-0000E54C0000}"/>
    <cellStyle name="Normal 16 2 4 3 2 4" xfId="24353" xr:uid="{00000000-0005-0000-0000-0000E64C0000}"/>
    <cellStyle name="Normal 16 2 4 3 3" xfId="15407" xr:uid="{00000000-0005-0000-0000-0000E74C0000}"/>
    <cellStyle name="Normal 16 2 4 3 3 2" xfId="28465" xr:uid="{00000000-0005-0000-0000-0000E84C0000}"/>
    <cellStyle name="Normal 16 2 4 3 4" xfId="15408" xr:uid="{00000000-0005-0000-0000-0000E94C0000}"/>
    <cellStyle name="Normal 16 2 4 3 4 2" xfId="28466" xr:uid="{00000000-0005-0000-0000-0000EA4C0000}"/>
    <cellStyle name="Normal 16 2 4 3 5" xfId="22197" xr:uid="{00000000-0005-0000-0000-0000EB4C0000}"/>
    <cellStyle name="Normal 16 2 4 4" xfId="9905" xr:uid="{00000000-0005-0000-0000-0000EC4C0000}"/>
    <cellStyle name="Normal 16 2 4 4 2" xfId="15409" xr:uid="{00000000-0005-0000-0000-0000ED4C0000}"/>
    <cellStyle name="Normal 16 2 4 4 2 2" xfId="28467" xr:uid="{00000000-0005-0000-0000-0000EE4C0000}"/>
    <cellStyle name="Normal 16 2 4 4 3" xfId="15410" xr:uid="{00000000-0005-0000-0000-0000EF4C0000}"/>
    <cellStyle name="Normal 16 2 4 4 3 2" xfId="28468" xr:uid="{00000000-0005-0000-0000-0000F04C0000}"/>
    <cellStyle name="Normal 16 2 4 4 4" xfId="23275" xr:uid="{00000000-0005-0000-0000-0000F14C0000}"/>
    <cellStyle name="Normal 16 2 4 5" xfId="15411" xr:uid="{00000000-0005-0000-0000-0000F24C0000}"/>
    <cellStyle name="Normal 16 2 4 5 2" xfId="28469" xr:uid="{00000000-0005-0000-0000-0000F34C0000}"/>
    <cellStyle name="Normal 16 2 4 6" xfId="15412" xr:uid="{00000000-0005-0000-0000-0000F44C0000}"/>
    <cellStyle name="Normal 16 2 4 6 2" xfId="28470" xr:uid="{00000000-0005-0000-0000-0000F54C0000}"/>
    <cellStyle name="Normal 16 2 4 7" xfId="21119" xr:uid="{00000000-0005-0000-0000-0000F64C0000}"/>
    <cellStyle name="Normal 16 2 5" xfId="6995" xr:uid="{00000000-0005-0000-0000-0000F74C0000}"/>
    <cellStyle name="Normal 16 2 5 2" xfId="8875" xr:uid="{00000000-0005-0000-0000-0000F84C0000}"/>
    <cellStyle name="Normal 16 2 5 2 2" xfId="11254" xr:uid="{00000000-0005-0000-0000-0000F94C0000}"/>
    <cellStyle name="Normal 16 2 5 2 2 2" xfId="15413" xr:uid="{00000000-0005-0000-0000-0000FA4C0000}"/>
    <cellStyle name="Normal 16 2 5 2 2 2 2" xfId="28471" xr:uid="{00000000-0005-0000-0000-0000FB4C0000}"/>
    <cellStyle name="Normal 16 2 5 2 2 3" xfId="15414" xr:uid="{00000000-0005-0000-0000-0000FC4C0000}"/>
    <cellStyle name="Normal 16 2 5 2 2 3 2" xfId="28472" xr:uid="{00000000-0005-0000-0000-0000FD4C0000}"/>
    <cellStyle name="Normal 16 2 5 2 2 4" xfId="24624" xr:uid="{00000000-0005-0000-0000-0000FE4C0000}"/>
    <cellStyle name="Normal 16 2 5 2 3" xfId="15415" xr:uid="{00000000-0005-0000-0000-0000FF4C0000}"/>
    <cellStyle name="Normal 16 2 5 2 3 2" xfId="28473" xr:uid="{00000000-0005-0000-0000-0000004D0000}"/>
    <cellStyle name="Normal 16 2 5 2 4" xfId="15416" xr:uid="{00000000-0005-0000-0000-0000014D0000}"/>
    <cellStyle name="Normal 16 2 5 2 4 2" xfId="28474" xr:uid="{00000000-0005-0000-0000-0000024D0000}"/>
    <cellStyle name="Normal 16 2 5 2 5" xfId="22468" xr:uid="{00000000-0005-0000-0000-0000034D0000}"/>
    <cellStyle name="Normal 16 2 5 3" xfId="10176" xr:uid="{00000000-0005-0000-0000-0000044D0000}"/>
    <cellStyle name="Normal 16 2 5 3 2" xfId="15417" xr:uid="{00000000-0005-0000-0000-0000054D0000}"/>
    <cellStyle name="Normal 16 2 5 3 2 2" xfId="28475" xr:uid="{00000000-0005-0000-0000-0000064D0000}"/>
    <cellStyle name="Normal 16 2 5 3 3" xfId="15418" xr:uid="{00000000-0005-0000-0000-0000074D0000}"/>
    <cellStyle name="Normal 16 2 5 3 3 2" xfId="28476" xr:uid="{00000000-0005-0000-0000-0000084D0000}"/>
    <cellStyle name="Normal 16 2 5 3 4" xfId="23546" xr:uid="{00000000-0005-0000-0000-0000094D0000}"/>
    <cellStyle name="Normal 16 2 5 4" xfId="15419" xr:uid="{00000000-0005-0000-0000-00000A4D0000}"/>
    <cellStyle name="Normal 16 2 5 4 2" xfId="28477" xr:uid="{00000000-0005-0000-0000-00000B4D0000}"/>
    <cellStyle name="Normal 16 2 5 5" xfId="15420" xr:uid="{00000000-0005-0000-0000-00000C4D0000}"/>
    <cellStyle name="Normal 16 2 5 5 2" xfId="28478" xr:uid="{00000000-0005-0000-0000-00000D4D0000}"/>
    <cellStyle name="Normal 16 2 5 6" xfId="21390" xr:uid="{00000000-0005-0000-0000-00000E4D0000}"/>
    <cellStyle name="Normal 16 2 6" xfId="8175" xr:uid="{00000000-0005-0000-0000-00000F4D0000}"/>
    <cellStyle name="Normal 16 2 6 2" xfId="10714" xr:uid="{00000000-0005-0000-0000-0000104D0000}"/>
    <cellStyle name="Normal 16 2 6 2 2" xfId="15421" xr:uid="{00000000-0005-0000-0000-0000114D0000}"/>
    <cellStyle name="Normal 16 2 6 2 2 2" xfId="28479" xr:uid="{00000000-0005-0000-0000-0000124D0000}"/>
    <cellStyle name="Normal 16 2 6 2 3" xfId="15422" xr:uid="{00000000-0005-0000-0000-0000134D0000}"/>
    <cellStyle name="Normal 16 2 6 2 3 2" xfId="28480" xr:uid="{00000000-0005-0000-0000-0000144D0000}"/>
    <cellStyle name="Normal 16 2 6 2 4" xfId="24084" xr:uid="{00000000-0005-0000-0000-0000154D0000}"/>
    <cellStyle name="Normal 16 2 6 3" xfId="15423" xr:uid="{00000000-0005-0000-0000-0000164D0000}"/>
    <cellStyle name="Normal 16 2 6 3 2" xfId="28481" xr:uid="{00000000-0005-0000-0000-0000174D0000}"/>
    <cellStyle name="Normal 16 2 6 4" xfId="15424" xr:uid="{00000000-0005-0000-0000-0000184D0000}"/>
    <cellStyle name="Normal 16 2 6 4 2" xfId="28482" xr:uid="{00000000-0005-0000-0000-0000194D0000}"/>
    <cellStyle name="Normal 16 2 6 5" xfId="21928" xr:uid="{00000000-0005-0000-0000-00001A4D0000}"/>
    <cellStyle name="Normal 16 2 7" xfId="9635" xr:uid="{00000000-0005-0000-0000-00001B4D0000}"/>
    <cellStyle name="Normal 16 2 7 2" xfId="15425" xr:uid="{00000000-0005-0000-0000-00001C4D0000}"/>
    <cellStyle name="Normal 16 2 7 2 2" xfId="28483" xr:uid="{00000000-0005-0000-0000-00001D4D0000}"/>
    <cellStyle name="Normal 16 2 7 3" xfId="15426" xr:uid="{00000000-0005-0000-0000-00001E4D0000}"/>
    <cellStyle name="Normal 16 2 7 3 2" xfId="28484" xr:uid="{00000000-0005-0000-0000-00001F4D0000}"/>
    <cellStyle name="Normal 16 2 7 4" xfId="23006" xr:uid="{00000000-0005-0000-0000-0000204D0000}"/>
    <cellStyle name="Normal 16 2 8" xfId="15427" xr:uid="{00000000-0005-0000-0000-0000214D0000}"/>
    <cellStyle name="Normal 16 2 8 2" xfId="28485" xr:uid="{00000000-0005-0000-0000-0000224D0000}"/>
    <cellStyle name="Normal 16 2 9" xfId="15428" xr:uid="{00000000-0005-0000-0000-0000234D0000}"/>
    <cellStyle name="Normal 16 2 9 2" xfId="28486" xr:uid="{00000000-0005-0000-0000-0000244D0000}"/>
    <cellStyle name="Normal 16 3" xfId="3940" xr:uid="{00000000-0005-0000-0000-0000254D0000}"/>
    <cellStyle name="Normal 16 3 10" xfId="20864" xr:uid="{00000000-0005-0000-0000-0000264D0000}"/>
    <cellStyle name="Normal 16 3 2" xfId="4102" xr:uid="{00000000-0005-0000-0000-0000274D0000}"/>
    <cellStyle name="Normal 16 3 2 2" xfId="5638" xr:uid="{00000000-0005-0000-0000-0000284D0000}"/>
    <cellStyle name="Normal 16 3 2 2 2" xfId="6790" xr:uid="{00000000-0005-0000-0000-0000294D0000}"/>
    <cellStyle name="Normal 16 3 2 2 2 2" xfId="7477" xr:uid="{00000000-0005-0000-0000-00002A4D0000}"/>
    <cellStyle name="Normal 16 3 2 2 2 2 2" xfId="9356" xr:uid="{00000000-0005-0000-0000-00002B4D0000}"/>
    <cellStyle name="Normal 16 3 2 2 2 2 2 2" xfId="11735" xr:uid="{00000000-0005-0000-0000-00002C4D0000}"/>
    <cellStyle name="Normal 16 3 2 2 2 2 2 2 2" xfId="15429" xr:uid="{00000000-0005-0000-0000-00002D4D0000}"/>
    <cellStyle name="Normal 16 3 2 2 2 2 2 2 2 2" xfId="28487" xr:uid="{00000000-0005-0000-0000-00002E4D0000}"/>
    <cellStyle name="Normal 16 3 2 2 2 2 2 2 3" xfId="15430" xr:uid="{00000000-0005-0000-0000-00002F4D0000}"/>
    <cellStyle name="Normal 16 3 2 2 2 2 2 2 3 2" xfId="28488" xr:uid="{00000000-0005-0000-0000-0000304D0000}"/>
    <cellStyle name="Normal 16 3 2 2 2 2 2 2 4" xfId="25105" xr:uid="{00000000-0005-0000-0000-0000314D0000}"/>
    <cellStyle name="Normal 16 3 2 2 2 2 2 3" xfId="15431" xr:uid="{00000000-0005-0000-0000-0000324D0000}"/>
    <cellStyle name="Normal 16 3 2 2 2 2 2 3 2" xfId="28489" xr:uid="{00000000-0005-0000-0000-0000334D0000}"/>
    <cellStyle name="Normal 16 3 2 2 2 2 2 4" xfId="15432" xr:uid="{00000000-0005-0000-0000-0000344D0000}"/>
    <cellStyle name="Normal 16 3 2 2 2 2 2 4 2" xfId="28490" xr:uid="{00000000-0005-0000-0000-0000354D0000}"/>
    <cellStyle name="Normal 16 3 2 2 2 2 2 5" xfId="22949" xr:uid="{00000000-0005-0000-0000-0000364D0000}"/>
    <cellStyle name="Normal 16 3 2 2 2 2 3" xfId="10657" xr:uid="{00000000-0005-0000-0000-0000374D0000}"/>
    <cellStyle name="Normal 16 3 2 2 2 2 3 2" xfId="15433" xr:uid="{00000000-0005-0000-0000-0000384D0000}"/>
    <cellStyle name="Normal 16 3 2 2 2 2 3 2 2" xfId="28491" xr:uid="{00000000-0005-0000-0000-0000394D0000}"/>
    <cellStyle name="Normal 16 3 2 2 2 2 3 3" xfId="15434" xr:uid="{00000000-0005-0000-0000-00003A4D0000}"/>
    <cellStyle name="Normal 16 3 2 2 2 2 3 3 2" xfId="28492" xr:uid="{00000000-0005-0000-0000-00003B4D0000}"/>
    <cellStyle name="Normal 16 3 2 2 2 2 3 4" xfId="24027" xr:uid="{00000000-0005-0000-0000-00003C4D0000}"/>
    <cellStyle name="Normal 16 3 2 2 2 2 4" xfId="15435" xr:uid="{00000000-0005-0000-0000-00003D4D0000}"/>
    <cellStyle name="Normal 16 3 2 2 2 2 4 2" xfId="28493" xr:uid="{00000000-0005-0000-0000-00003E4D0000}"/>
    <cellStyle name="Normal 16 3 2 2 2 2 5" xfId="15436" xr:uid="{00000000-0005-0000-0000-00003F4D0000}"/>
    <cellStyle name="Normal 16 3 2 2 2 2 5 2" xfId="28494" xr:uid="{00000000-0005-0000-0000-0000404D0000}"/>
    <cellStyle name="Normal 16 3 2 2 2 2 6" xfId="21871" xr:uid="{00000000-0005-0000-0000-0000414D0000}"/>
    <cellStyle name="Normal 16 3 2 2 2 3" xfId="8810" xr:uid="{00000000-0005-0000-0000-0000424D0000}"/>
    <cellStyle name="Normal 16 3 2 2 2 3 2" xfId="11195" xr:uid="{00000000-0005-0000-0000-0000434D0000}"/>
    <cellStyle name="Normal 16 3 2 2 2 3 2 2" xfId="15437" xr:uid="{00000000-0005-0000-0000-0000444D0000}"/>
    <cellStyle name="Normal 16 3 2 2 2 3 2 2 2" xfId="28495" xr:uid="{00000000-0005-0000-0000-0000454D0000}"/>
    <cellStyle name="Normal 16 3 2 2 2 3 2 3" xfId="15438" xr:uid="{00000000-0005-0000-0000-0000464D0000}"/>
    <cellStyle name="Normal 16 3 2 2 2 3 2 3 2" xfId="28496" xr:uid="{00000000-0005-0000-0000-0000474D0000}"/>
    <cellStyle name="Normal 16 3 2 2 2 3 2 4" xfId="24565" xr:uid="{00000000-0005-0000-0000-0000484D0000}"/>
    <cellStyle name="Normal 16 3 2 2 2 3 3" xfId="15439" xr:uid="{00000000-0005-0000-0000-0000494D0000}"/>
    <cellStyle name="Normal 16 3 2 2 2 3 3 2" xfId="28497" xr:uid="{00000000-0005-0000-0000-00004A4D0000}"/>
    <cellStyle name="Normal 16 3 2 2 2 3 4" xfId="15440" xr:uid="{00000000-0005-0000-0000-00004B4D0000}"/>
    <cellStyle name="Normal 16 3 2 2 2 3 4 2" xfId="28498" xr:uid="{00000000-0005-0000-0000-00004C4D0000}"/>
    <cellStyle name="Normal 16 3 2 2 2 3 5" xfId="22409" xr:uid="{00000000-0005-0000-0000-00004D4D0000}"/>
    <cellStyle name="Normal 16 3 2 2 2 4" xfId="10117" xr:uid="{00000000-0005-0000-0000-00004E4D0000}"/>
    <cellStyle name="Normal 16 3 2 2 2 4 2" xfId="15441" xr:uid="{00000000-0005-0000-0000-00004F4D0000}"/>
    <cellStyle name="Normal 16 3 2 2 2 4 2 2" xfId="28499" xr:uid="{00000000-0005-0000-0000-0000504D0000}"/>
    <cellStyle name="Normal 16 3 2 2 2 4 3" xfId="15442" xr:uid="{00000000-0005-0000-0000-0000514D0000}"/>
    <cellStyle name="Normal 16 3 2 2 2 4 3 2" xfId="28500" xr:uid="{00000000-0005-0000-0000-0000524D0000}"/>
    <cellStyle name="Normal 16 3 2 2 2 4 4" xfId="23487" xr:uid="{00000000-0005-0000-0000-0000534D0000}"/>
    <cellStyle name="Normal 16 3 2 2 2 5" xfId="15443" xr:uid="{00000000-0005-0000-0000-0000544D0000}"/>
    <cellStyle name="Normal 16 3 2 2 2 5 2" xfId="28501" xr:uid="{00000000-0005-0000-0000-0000554D0000}"/>
    <cellStyle name="Normal 16 3 2 2 2 6" xfId="15444" xr:uid="{00000000-0005-0000-0000-0000564D0000}"/>
    <cellStyle name="Normal 16 3 2 2 2 6 2" xfId="28502" xr:uid="{00000000-0005-0000-0000-0000574D0000}"/>
    <cellStyle name="Normal 16 3 2 2 2 7" xfId="21331" xr:uid="{00000000-0005-0000-0000-0000584D0000}"/>
    <cellStyle name="Normal 16 3 2 2 3" xfId="7208" xr:uid="{00000000-0005-0000-0000-0000594D0000}"/>
    <cellStyle name="Normal 16 3 2 2 3 2" xfId="9087" xr:uid="{00000000-0005-0000-0000-00005A4D0000}"/>
    <cellStyle name="Normal 16 3 2 2 3 2 2" xfId="11466" xr:uid="{00000000-0005-0000-0000-00005B4D0000}"/>
    <cellStyle name="Normal 16 3 2 2 3 2 2 2" xfId="15445" xr:uid="{00000000-0005-0000-0000-00005C4D0000}"/>
    <cellStyle name="Normal 16 3 2 2 3 2 2 2 2" xfId="28503" xr:uid="{00000000-0005-0000-0000-00005D4D0000}"/>
    <cellStyle name="Normal 16 3 2 2 3 2 2 3" xfId="15446" xr:uid="{00000000-0005-0000-0000-00005E4D0000}"/>
    <cellStyle name="Normal 16 3 2 2 3 2 2 3 2" xfId="28504" xr:uid="{00000000-0005-0000-0000-00005F4D0000}"/>
    <cellStyle name="Normal 16 3 2 2 3 2 2 4" xfId="24836" xr:uid="{00000000-0005-0000-0000-0000604D0000}"/>
    <cellStyle name="Normal 16 3 2 2 3 2 3" xfId="15447" xr:uid="{00000000-0005-0000-0000-0000614D0000}"/>
    <cellStyle name="Normal 16 3 2 2 3 2 3 2" xfId="28505" xr:uid="{00000000-0005-0000-0000-0000624D0000}"/>
    <cellStyle name="Normal 16 3 2 2 3 2 4" xfId="15448" xr:uid="{00000000-0005-0000-0000-0000634D0000}"/>
    <cellStyle name="Normal 16 3 2 2 3 2 4 2" xfId="28506" xr:uid="{00000000-0005-0000-0000-0000644D0000}"/>
    <cellStyle name="Normal 16 3 2 2 3 2 5" xfId="22680" xr:uid="{00000000-0005-0000-0000-0000654D0000}"/>
    <cellStyle name="Normal 16 3 2 2 3 3" xfId="10388" xr:uid="{00000000-0005-0000-0000-0000664D0000}"/>
    <cellStyle name="Normal 16 3 2 2 3 3 2" xfId="15449" xr:uid="{00000000-0005-0000-0000-0000674D0000}"/>
    <cellStyle name="Normal 16 3 2 2 3 3 2 2" xfId="28507" xr:uid="{00000000-0005-0000-0000-0000684D0000}"/>
    <cellStyle name="Normal 16 3 2 2 3 3 3" xfId="15450" xr:uid="{00000000-0005-0000-0000-0000694D0000}"/>
    <cellStyle name="Normal 16 3 2 2 3 3 3 2" xfId="28508" xr:uid="{00000000-0005-0000-0000-00006A4D0000}"/>
    <cellStyle name="Normal 16 3 2 2 3 3 4" xfId="23758" xr:uid="{00000000-0005-0000-0000-00006B4D0000}"/>
    <cellStyle name="Normal 16 3 2 2 3 4" xfId="15451" xr:uid="{00000000-0005-0000-0000-00006C4D0000}"/>
    <cellStyle name="Normal 16 3 2 2 3 4 2" xfId="28509" xr:uid="{00000000-0005-0000-0000-00006D4D0000}"/>
    <cellStyle name="Normal 16 3 2 2 3 5" xfId="15452" xr:uid="{00000000-0005-0000-0000-00006E4D0000}"/>
    <cellStyle name="Normal 16 3 2 2 3 5 2" xfId="28510" xr:uid="{00000000-0005-0000-0000-00006F4D0000}"/>
    <cellStyle name="Normal 16 3 2 2 3 6" xfId="21602" xr:uid="{00000000-0005-0000-0000-0000704D0000}"/>
    <cellStyle name="Normal 16 3 2 2 4" xfId="8485" xr:uid="{00000000-0005-0000-0000-0000714D0000}"/>
    <cellStyle name="Normal 16 3 2 2 4 2" xfId="10926" xr:uid="{00000000-0005-0000-0000-0000724D0000}"/>
    <cellStyle name="Normal 16 3 2 2 4 2 2" xfId="15453" xr:uid="{00000000-0005-0000-0000-0000734D0000}"/>
    <cellStyle name="Normal 16 3 2 2 4 2 2 2" xfId="28511" xr:uid="{00000000-0005-0000-0000-0000744D0000}"/>
    <cellStyle name="Normal 16 3 2 2 4 2 3" xfId="15454" xr:uid="{00000000-0005-0000-0000-0000754D0000}"/>
    <cellStyle name="Normal 16 3 2 2 4 2 3 2" xfId="28512" xr:uid="{00000000-0005-0000-0000-0000764D0000}"/>
    <cellStyle name="Normal 16 3 2 2 4 2 4" xfId="24296" xr:uid="{00000000-0005-0000-0000-0000774D0000}"/>
    <cellStyle name="Normal 16 3 2 2 4 3" xfId="15455" xr:uid="{00000000-0005-0000-0000-0000784D0000}"/>
    <cellStyle name="Normal 16 3 2 2 4 3 2" xfId="28513" xr:uid="{00000000-0005-0000-0000-0000794D0000}"/>
    <cellStyle name="Normal 16 3 2 2 4 4" xfId="15456" xr:uid="{00000000-0005-0000-0000-00007A4D0000}"/>
    <cellStyle name="Normal 16 3 2 2 4 4 2" xfId="28514" xr:uid="{00000000-0005-0000-0000-00007B4D0000}"/>
    <cellStyle name="Normal 16 3 2 2 4 5" xfId="22140" xr:uid="{00000000-0005-0000-0000-00007C4D0000}"/>
    <cellStyle name="Normal 16 3 2 2 5" xfId="9848" xr:uid="{00000000-0005-0000-0000-00007D4D0000}"/>
    <cellStyle name="Normal 16 3 2 2 5 2" xfId="15457" xr:uid="{00000000-0005-0000-0000-00007E4D0000}"/>
    <cellStyle name="Normal 16 3 2 2 5 2 2" xfId="28515" xr:uid="{00000000-0005-0000-0000-00007F4D0000}"/>
    <cellStyle name="Normal 16 3 2 2 5 3" xfId="15458" xr:uid="{00000000-0005-0000-0000-0000804D0000}"/>
    <cellStyle name="Normal 16 3 2 2 5 3 2" xfId="28516" xr:uid="{00000000-0005-0000-0000-0000814D0000}"/>
    <cellStyle name="Normal 16 3 2 2 5 4" xfId="23218" xr:uid="{00000000-0005-0000-0000-0000824D0000}"/>
    <cellStyle name="Normal 16 3 2 2 6" xfId="15459" xr:uid="{00000000-0005-0000-0000-0000834D0000}"/>
    <cellStyle name="Normal 16 3 2 2 6 2" xfId="28517" xr:uid="{00000000-0005-0000-0000-0000844D0000}"/>
    <cellStyle name="Normal 16 3 2 2 7" xfId="15460" xr:uid="{00000000-0005-0000-0000-0000854D0000}"/>
    <cellStyle name="Normal 16 3 2 2 7 2" xfId="28518" xr:uid="{00000000-0005-0000-0000-0000864D0000}"/>
    <cellStyle name="Normal 16 3 2 2 8" xfId="21062" xr:uid="{00000000-0005-0000-0000-0000874D0000}"/>
    <cellStyle name="Normal 16 3 2 3" xfId="6639" xr:uid="{00000000-0005-0000-0000-0000884D0000}"/>
    <cellStyle name="Normal 16 3 2 3 2" xfId="7335" xr:uid="{00000000-0005-0000-0000-0000894D0000}"/>
    <cellStyle name="Normal 16 3 2 3 2 2" xfId="9214" xr:uid="{00000000-0005-0000-0000-00008A4D0000}"/>
    <cellStyle name="Normal 16 3 2 3 2 2 2" xfId="11593" xr:uid="{00000000-0005-0000-0000-00008B4D0000}"/>
    <cellStyle name="Normal 16 3 2 3 2 2 2 2" xfId="15461" xr:uid="{00000000-0005-0000-0000-00008C4D0000}"/>
    <cellStyle name="Normal 16 3 2 3 2 2 2 2 2" xfId="28519" xr:uid="{00000000-0005-0000-0000-00008D4D0000}"/>
    <cellStyle name="Normal 16 3 2 3 2 2 2 3" xfId="15462" xr:uid="{00000000-0005-0000-0000-00008E4D0000}"/>
    <cellStyle name="Normal 16 3 2 3 2 2 2 3 2" xfId="28520" xr:uid="{00000000-0005-0000-0000-00008F4D0000}"/>
    <cellStyle name="Normal 16 3 2 3 2 2 2 4" xfId="24963" xr:uid="{00000000-0005-0000-0000-0000904D0000}"/>
    <cellStyle name="Normal 16 3 2 3 2 2 3" xfId="15463" xr:uid="{00000000-0005-0000-0000-0000914D0000}"/>
    <cellStyle name="Normal 16 3 2 3 2 2 3 2" xfId="28521" xr:uid="{00000000-0005-0000-0000-0000924D0000}"/>
    <cellStyle name="Normal 16 3 2 3 2 2 4" xfId="15464" xr:uid="{00000000-0005-0000-0000-0000934D0000}"/>
    <cellStyle name="Normal 16 3 2 3 2 2 4 2" xfId="28522" xr:uid="{00000000-0005-0000-0000-0000944D0000}"/>
    <cellStyle name="Normal 16 3 2 3 2 2 5" xfId="22807" xr:uid="{00000000-0005-0000-0000-0000954D0000}"/>
    <cellStyle name="Normal 16 3 2 3 2 3" xfId="10515" xr:uid="{00000000-0005-0000-0000-0000964D0000}"/>
    <cellStyle name="Normal 16 3 2 3 2 3 2" xfId="15465" xr:uid="{00000000-0005-0000-0000-0000974D0000}"/>
    <cellStyle name="Normal 16 3 2 3 2 3 2 2" xfId="28523" xr:uid="{00000000-0005-0000-0000-0000984D0000}"/>
    <cellStyle name="Normal 16 3 2 3 2 3 3" xfId="15466" xr:uid="{00000000-0005-0000-0000-0000994D0000}"/>
    <cellStyle name="Normal 16 3 2 3 2 3 3 2" xfId="28524" xr:uid="{00000000-0005-0000-0000-00009A4D0000}"/>
    <cellStyle name="Normal 16 3 2 3 2 3 4" xfId="23885" xr:uid="{00000000-0005-0000-0000-00009B4D0000}"/>
    <cellStyle name="Normal 16 3 2 3 2 4" xfId="15467" xr:uid="{00000000-0005-0000-0000-00009C4D0000}"/>
    <cellStyle name="Normal 16 3 2 3 2 4 2" xfId="28525" xr:uid="{00000000-0005-0000-0000-00009D4D0000}"/>
    <cellStyle name="Normal 16 3 2 3 2 5" xfId="15468" xr:uid="{00000000-0005-0000-0000-00009E4D0000}"/>
    <cellStyle name="Normal 16 3 2 3 2 5 2" xfId="28526" xr:uid="{00000000-0005-0000-0000-00009F4D0000}"/>
    <cellStyle name="Normal 16 3 2 3 2 6" xfId="21729" xr:uid="{00000000-0005-0000-0000-0000A04D0000}"/>
    <cellStyle name="Normal 16 3 2 3 3" xfId="8667" xr:uid="{00000000-0005-0000-0000-0000A14D0000}"/>
    <cellStyle name="Normal 16 3 2 3 3 2" xfId="11053" xr:uid="{00000000-0005-0000-0000-0000A24D0000}"/>
    <cellStyle name="Normal 16 3 2 3 3 2 2" xfId="15469" xr:uid="{00000000-0005-0000-0000-0000A34D0000}"/>
    <cellStyle name="Normal 16 3 2 3 3 2 2 2" xfId="28527" xr:uid="{00000000-0005-0000-0000-0000A44D0000}"/>
    <cellStyle name="Normal 16 3 2 3 3 2 3" xfId="15470" xr:uid="{00000000-0005-0000-0000-0000A54D0000}"/>
    <cellStyle name="Normal 16 3 2 3 3 2 3 2" xfId="28528" xr:uid="{00000000-0005-0000-0000-0000A64D0000}"/>
    <cellStyle name="Normal 16 3 2 3 3 2 4" xfId="24423" xr:uid="{00000000-0005-0000-0000-0000A74D0000}"/>
    <cellStyle name="Normal 16 3 2 3 3 3" xfId="15471" xr:uid="{00000000-0005-0000-0000-0000A84D0000}"/>
    <cellStyle name="Normal 16 3 2 3 3 3 2" xfId="28529" xr:uid="{00000000-0005-0000-0000-0000A94D0000}"/>
    <cellStyle name="Normal 16 3 2 3 3 4" xfId="15472" xr:uid="{00000000-0005-0000-0000-0000AA4D0000}"/>
    <cellStyle name="Normal 16 3 2 3 3 4 2" xfId="28530" xr:uid="{00000000-0005-0000-0000-0000AB4D0000}"/>
    <cellStyle name="Normal 16 3 2 3 3 5" xfId="22267" xr:uid="{00000000-0005-0000-0000-0000AC4D0000}"/>
    <cellStyle name="Normal 16 3 2 3 4" xfId="9975" xr:uid="{00000000-0005-0000-0000-0000AD4D0000}"/>
    <cellStyle name="Normal 16 3 2 3 4 2" xfId="15473" xr:uid="{00000000-0005-0000-0000-0000AE4D0000}"/>
    <cellStyle name="Normal 16 3 2 3 4 2 2" xfId="28531" xr:uid="{00000000-0005-0000-0000-0000AF4D0000}"/>
    <cellStyle name="Normal 16 3 2 3 4 3" xfId="15474" xr:uid="{00000000-0005-0000-0000-0000B04D0000}"/>
    <cellStyle name="Normal 16 3 2 3 4 3 2" xfId="28532" xr:uid="{00000000-0005-0000-0000-0000B14D0000}"/>
    <cellStyle name="Normal 16 3 2 3 4 4" xfId="23345" xr:uid="{00000000-0005-0000-0000-0000B24D0000}"/>
    <cellStyle name="Normal 16 3 2 3 5" xfId="15475" xr:uid="{00000000-0005-0000-0000-0000B34D0000}"/>
    <cellStyle name="Normal 16 3 2 3 5 2" xfId="28533" xr:uid="{00000000-0005-0000-0000-0000B44D0000}"/>
    <cellStyle name="Normal 16 3 2 3 6" xfId="15476" xr:uid="{00000000-0005-0000-0000-0000B54D0000}"/>
    <cellStyle name="Normal 16 3 2 3 6 2" xfId="28534" xr:uid="{00000000-0005-0000-0000-0000B64D0000}"/>
    <cellStyle name="Normal 16 3 2 3 7" xfId="21189" xr:uid="{00000000-0005-0000-0000-0000B74D0000}"/>
    <cellStyle name="Normal 16 3 2 4" xfId="7065" xr:uid="{00000000-0005-0000-0000-0000B84D0000}"/>
    <cellStyle name="Normal 16 3 2 4 2" xfId="8945" xr:uid="{00000000-0005-0000-0000-0000B94D0000}"/>
    <cellStyle name="Normal 16 3 2 4 2 2" xfId="11324" xr:uid="{00000000-0005-0000-0000-0000BA4D0000}"/>
    <cellStyle name="Normal 16 3 2 4 2 2 2" xfId="15477" xr:uid="{00000000-0005-0000-0000-0000BB4D0000}"/>
    <cellStyle name="Normal 16 3 2 4 2 2 2 2" xfId="28535" xr:uid="{00000000-0005-0000-0000-0000BC4D0000}"/>
    <cellStyle name="Normal 16 3 2 4 2 2 3" xfId="15478" xr:uid="{00000000-0005-0000-0000-0000BD4D0000}"/>
    <cellStyle name="Normal 16 3 2 4 2 2 3 2" xfId="28536" xr:uid="{00000000-0005-0000-0000-0000BE4D0000}"/>
    <cellStyle name="Normal 16 3 2 4 2 2 4" xfId="24694" xr:uid="{00000000-0005-0000-0000-0000BF4D0000}"/>
    <cellStyle name="Normal 16 3 2 4 2 3" xfId="15479" xr:uid="{00000000-0005-0000-0000-0000C04D0000}"/>
    <cellStyle name="Normal 16 3 2 4 2 3 2" xfId="28537" xr:uid="{00000000-0005-0000-0000-0000C14D0000}"/>
    <cellStyle name="Normal 16 3 2 4 2 4" xfId="15480" xr:uid="{00000000-0005-0000-0000-0000C24D0000}"/>
    <cellStyle name="Normal 16 3 2 4 2 4 2" xfId="28538" xr:uid="{00000000-0005-0000-0000-0000C34D0000}"/>
    <cellStyle name="Normal 16 3 2 4 2 5" xfId="22538" xr:uid="{00000000-0005-0000-0000-0000C44D0000}"/>
    <cellStyle name="Normal 16 3 2 4 3" xfId="10246" xr:uid="{00000000-0005-0000-0000-0000C54D0000}"/>
    <cellStyle name="Normal 16 3 2 4 3 2" xfId="15481" xr:uid="{00000000-0005-0000-0000-0000C64D0000}"/>
    <cellStyle name="Normal 16 3 2 4 3 2 2" xfId="28539" xr:uid="{00000000-0005-0000-0000-0000C74D0000}"/>
    <cellStyle name="Normal 16 3 2 4 3 3" xfId="15482" xr:uid="{00000000-0005-0000-0000-0000C84D0000}"/>
    <cellStyle name="Normal 16 3 2 4 3 3 2" xfId="28540" xr:uid="{00000000-0005-0000-0000-0000C94D0000}"/>
    <cellStyle name="Normal 16 3 2 4 3 4" xfId="23616" xr:uid="{00000000-0005-0000-0000-0000CA4D0000}"/>
    <cellStyle name="Normal 16 3 2 4 4" xfId="15483" xr:uid="{00000000-0005-0000-0000-0000CB4D0000}"/>
    <cellStyle name="Normal 16 3 2 4 4 2" xfId="28541" xr:uid="{00000000-0005-0000-0000-0000CC4D0000}"/>
    <cellStyle name="Normal 16 3 2 4 5" xfId="15484" xr:uid="{00000000-0005-0000-0000-0000CD4D0000}"/>
    <cellStyle name="Normal 16 3 2 4 5 2" xfId="28542" xr:uid="{00000000-0005-0000-0000-0000CE4D0000}"/>
    <cellStyle name="Normal 16 3 2 4 6" xfId="21460" xr:uid="{00000000-0005-0000-0000-0000CF4D0000}"/>
    <cellStyle name="Normal 16 3 2 5" xfId="8269" xr:uid="{00000000-0005-0000-0000-0000D04D0000}"/>
    <cellStyle name="Normal 16 3 2 5 2" xfId="10784" xr:uid="{00000000-0005-0000-0000-0000D14D0000}"/>
    <cellStyle name="Normal 16 3 2 5 2 2" xfId="15485" xr:uid="{00000000-0005-0000-0000-0000D24D0000}"/>
    <cellStyle name="Normal 16 3 2 5 2 2 2" xfId="28543" xr:uid="{00000000-0005-0000-0000-0000D34D0000}"/>
    <cellStyle name="Normal 16 3 2 5 2 3" xfId="15486" xr:uid="{00000000-0005-0000-0000-0000D44D0000}"/>
    <cellStyle name="Normal 16 3 2 5 2 3 2" xfId="28544" xr:uid="{00000000-0005-0000-0000-0000D54D0000}"/>
    <cellStyle name="Normal 16 3 2 5 2 4" xfId="24154" xr:uid="{00000000-0005-0000-0000-0000D64D0000}"/>
    <cellStyle name="Normal 16 3 2 5 3" xfId="15487" xr:uid="{00000000-0005-0000-0000-0000D74D0000}"/>
    <cellStyle name="Normal 16 3 2 5 3 2" xfId="28545" xr:uid="{00000000-0005-0000-0000-0000D84D0000}"/>
    <cellStyle name="Normal 16 3 2 5 4" xfId="15488" xr:uid="{00000000-0005-0000-0000-0000D94D0000}"/>
    <cellStyle name="Normal 16 3 2 5 4 2" xfId="28546" xr:uid="{00000000-0005-0000-0000-0000DA4D0000}"/>
    <cellStyle name="Normal 16 3 2 5 5" xfId="21998" xr:uid="{00000000-0005-0000-0000-0000DB4D0000}"/>
    <cellStyle name="Normal 16 3 2 6" xfId="9705" xr:uid="{00000000-0005-0000-0000-0000DC4D0000}"/>
    <cellStyle name="Normal 16 3 2 6 2" xfId="15489" xr:uid="{00000000-0005-0000-0000-0000DD4D0000}"/>
    <cellStyle name="Normal 16 3 2 6 2 2" xfId="28547" xr:uid="{00000000-0005-0000-0000-0000DE4D0000}"/>
    <cellStyle name="Normal 16 3 2 6 3" xfId="15490" xr:uid="{00000000-0005-0000-0000-0000DF4D0000}"/>
    <cellStyle name="Normal 16 3 2 6 3 2" xfId="28548" xr:uid="{00000000-0005-0000-0000-0000E04D0000}"/>
    <cellStyle name="Normal 16 3 2 6 4" xfId="23076" xr:uid="{00000000-0005-0000-0000-0000E14D0000}"/>
    <cellStyle name="Normal 16 3 2 7" xfId="15491" xr:uid="{00000000-0005-0000-0000-0000E24D0000}"/>
    <cellStyle name="Normal 16 3 2 7 2" xfId="28549" xr:uid="{00000000-0005-0000-0000-0000E34D0000}"/>
    <cellStyle name="Normal 16 3 2 8" xfId="15492" xr:uid="{00000000-0005-0000-0000-0000E44D0000}"/>
    <cellStyle name="Normal 16 3 2 8 2" xfId="28550" xr:uid="{00000000-0005-0000-0000-0000E54D0000}"/>
    <cellStyle name="Normal 16 3 2 9" xfId="20919" xr:uid="{00000000-0005-0000-0000-0000E64D0000}"/>
    <cellStyle name="Normal 16 3 3" xfId="5550" xr:uid="{00000000-0005-0000-0000-0000E74D0000}"/>
    <cellStyle name="Normal 16 3 3 2" xfId="6734" xr:uid="{00000000-0005-0000-0000-0000E84D0000}"/>
    <cellStyle name="Normal 16 3 3 2 2" xfId="7421" xr:uid="{00000000-0005-0000-0000-0000E94D0000}"/>
    <cellStyle name="Normal 16 3 3 2 2 2" xfId="9300" xr:uid="{00000000-0005-0000-0000-0000EA4D0000}"/>
    <cellStyle name="Normal 16 3 3 2 2 2 2" xfId="11679" xr:uid="{00000000-0005-0000-0000-0000EB4D0000}"/>
    <cellStyle name="Normal 16 3 3 2 2 2 2 2" xfId="15493" xr:uid="{00000000-0005-0000-0000-0000EC4D0000}"/>
    <cellStyle name="Normal 16 3 3 2 2 2 2 2 2" xfId="28551" xr:uid="{00000000-0005-0000-0000-0000ED4D0000}"/>
    <cellStyle name="Normal 16 3 3 2 2 2 2 3" xfId="15494" xr:uid="{00000000-0005-0000-0000-0000EE4D0000}"/>
    <cellStyle name="Normal 16 3 3 2 2 2 2 3 2" xfId="28552" xr:uid="{00000000-0005-0000-0000-0000EF4D0000}"/>
    <cellStyle name="Normal 16 3 3 2 2 2 2 4" xfId="25049" xr:uid="{00000000-0005-0000-0000-0000F04D0000}"/>
    <cellStyle name="Normal 16 3 3 2 2 2 3" xfId="15495" xr:uid="{00000000-0005-0000-0000-0000F14D0000}"/>
    <cellStyle name="Normal 16 3 3 2 2 2 3 2" xfId="28553" xr:uid="{00000000-0005-0000-0000-0000F24D0000}"/>
    <cellStyle name="Normal 16 3 3 2 2 2 4" xfId="15496" xr:uid="{00000000-0005-0000-0000-0000F34D0000}"/>
    <cellStyle name="Normal 16 3 3 2 2 2 4 2" xfId="28554" xr:uid="{00000000-0005-0000-0000-0000F44D0000}"/>
    <cellStyle name="Normal 16 3 3 2 2 2 5" xfId="22893" xr:uid="{00000000-0005-0000-0000-0000F54D0000}"/>
    <cellStyle name="Normal 16 3 3 2 2 3" xfId="10601" xr:uid="{00000000-0005-0000-0000-0000F64D0000}"/>
    <cellStyle name="Normal 16 3 3 2 2 3 2" xfId="15497" xr:uid="{00000000-0005-0000-0000-0000F74D0000}"/>
    <cellStyle name="Normal 16 3 3 2 2 3 2 2" xfId="28555" xr:uid="{00000000-0005-0000-0000-0000F84D0000}"/>
    <cellStyle name="Normal 16 3 3 2 2 3 3" xfId="15498" xr:uid="{00000000-0005-0000-0000-0000F94D0000}"/>
    <cellStyle name="Normal 16 3 3 2 2 3 3 2" xfId="28556" xr:uid="{00000000-0005-0000-0000-0000FA4D0000}"/>
    <cellStyle name="Normal 16 3 3 2 2 3 4" xfId="23971" xr:uid="{00000000-0005-0000-0000-0000FB4D0000}"/>
    <cellStyle name="Normal 16 3 3 2 2 4" xfId="15499" xr:uid="{00000000-0005-0000-0000-0000FC4D0000}"/>
    <cellStyle name="Normal 16 3 3 2 2 4 2" xfId="28557" xr:uid="{00000000-0005-0000-0000-0000FD4D0000}"/>
    <cellStyle name="Normal 16 3 3 2 2 5" xfId="15500" xr:uid="{00000000-0005-0000-0000-0000FE4D0000}"/>
    <cellStyle name="Normal 16 3 3 2 2 5 2" xfId="28558" xr:uid="{00000000-0005-0000-0000-0000FF4D0000}"/>
    <cellStyle name="Normal 16 3 3 2 2 6" xfId="21815" xr:uid="{00000000-0005-0000-0000-0000004E0000}"/>
    <cellStyle name="Normal 16 3 3 2 3" xfId="8754" xr:uid="{00000000-0005-0000-0000-0000014E0000}"/>
    <cellStyle name="Normal 16 3 3 2 3 2" xfId="11139" xr:uid="{00000000-0005-0000-0000-0000024E0000}"/>
    <cellStyle name="Normal 16 3 3 2 3 2 2" xfId="15501" xr:uid="{00000000-0005-0000-0000-0000034E0000}"/>
    <cellStyle name="Normal 16 3 3 2 3 2 2 2" xfId="28559" xr:uid="{00000000-0005-0000-0000-0000044E0000}"/>
    <cellStyle name="Normal 16 3 3 2 3 2 3" xfId="15502" xr:uid="{00000000-0005-0000-0000-0000054E0000}"/>
    <cellStyle name="Normal 16 3 3 2 3 2 3 2" xfId="28560" xr:uid="{00000000-0005-0000-0000-0000064E0000}"/>
    <cellStyle name="Normal 16 3 3 2 3 2 4" xfId="24509" xr:uid="{00000000-0005-0000-0000-0000074E0000}"/>
    <cellStyle name="Normal 16 3 3 2 3 3" xfId="15503" xr:uid="{00000000-0005-0000-0000-0000084E0000}"/>
    <cellStyle name="Normal 16 3 3 2 3 3 2" xfId="28561" xr:uid="{00000000-0005-0000-0000-0000094E0000}"/>
    <cellStyle name="Normal 16 3 3 2 3 4" xfId="15504" xr:uid="{00000000-0005-0000-0000-00000A4E0000}"/>
    <cellStyle name="Normal 16 3 3 2 3 4 2" xfId="28562" xr:uid="{00000000-0005-0000-0000-00000B4E0000}"/>
    <cellStyle name="Normal 16 3 3 2 3 5" xfId="22353" xr:uid="{00000000-0005-0000-0000-00000C4E0000}"/>
    <cellStyle name="Normal 16 3 3 2 4" xfId="10061" xr:uid="{00000000-0005-0000-0000-00000D4E0000}"/>
    <cellStyle name="Normal 16 3 3 2 4 2" xfId="15505" xr:uid="{00000000-0005-0000-0000-00000E4E0000}"/>
    <cellStyle name="Normal 16 3 3 2 4 2 2" xfId="28563" xr:uid="{00000000-0005-0000-0000-00000F4E0000}"/>
    <cellStyle name="Normal 16 3 3 2 4 3" xfId="15506" xr:uid="{00000000-0005-0000-0000-0000104E0000}"/>
    <cellStyle name="Normal 16 3 3 2 4 3 2" xfId="28564" xr:uid="{00000000-0005-0000-0000-0000114E0000}"/>
    <cellStyle name="Normal 16 3 3 2 4 4" xfId="23431" xr:uid="{00000000-0005-0000-0000-0000124E0000}"/>
    <cellStyle name="Normal 16 3 3 2 5" xfId="15507" xr:uid="{00000000-0005-0000-0000-0000134E0000}"/>
    <cellStyle name="Normal 16 3 3 2 5 2" xfId="28565" xr:uid="{00000000-0005-0000-0000-0000144E0000}"/>
    <cellStyle name="Normal 16 3 3 2 6" xfId="15508" xr:uid="{00000000-0005-0000-0000-0000154E0000}"/>
    <cellStyle name="Normal 16 3 3 2 6 2" xfId="28566" xr:uid="{00000000-0005-0000-0000-0000164E0000}"/>
    <cellStyle name="Normal 16 3 3 2 7" xfId="21275" xr:uid="{00000000-0005-0000-0000-0000174E0000}"/>
    <cellStyle name="Normal 16 3 3 3" xfId="7152" xr:uid="{00000000-0005-0000-0000-0000184E0000}"/>
    <cellStyle name="Normal 16 3 3 3 2" xfId="9031" xr:uid="{00000000-0005-0000-0000-0000194E0000}"/>
    <cellStyle name="Normal 16 3 3 3 2 2" xfId="11410" xr:uid="{00000000-0005-0000-0000-00001A4E0000}"/>
    <cellStyle name="Normal 16 3 3 3 2 2 2" xfId="15509" xr:uid="{00000000-0005-0000-0000-00001B4E0000}"/>
    <cellStyle name="Normal 16 3 3 3 2 2 2 2" xfId="28567" xr:uid="{00000000-0005-0000-0000-00001C4E0000}"/>
    <cellStyle name="Normal 16 3 3 3 2 2 3" xfId="15510" xr:uid="{00000000-0005-0000-0000-00001D4E0000}"/>
    <cellStyle name="Normal 16 3 3 3 2 2 3 2" xfId="28568" xr:uid="{00000000-0005-0000-0000-00001E4E0000}"/>
    <cellStyle name="Normal 16 3 3 3 2 2 4" xfId="24780" xr:uid="{00000000-0005-0000-0000-00001F4E0000}"/>
    <cellStyle name="Normal 16 3 3 3 2 3" xfId="15511" xr:uid="{00000000-0005-0000-0000-0000204E0000}"/>
    <cellStyle name="Normal 16 3 3 3 2 3 2" xfId="28569" xr:uid="{00000000-0005-0000-0000-0000214E0000}"/>
    <cellStyle name="Normal 16 3 3 3 2 4" xfId="15512" xr:uid="{00000000-0005-0000-0000-0000224E0000}"/>
    <cellStyle name="Normal 16 3 3 3 2 4 2" xfId="28570" xr:uid="{00000000-0005-0000-0000-0000234E0000}"/>
    <cellStyle name="Normal 16 3 3 3 2 5" xfId="22624" xr:uid="{00000000-0005-0000-0000-0000244E0000}"/>
    <cellStyle name="Normal 16 3 3 3 3" xfId="10332" xr:uid="{00000000-0005-0000-0000-0000254E0000}"/>
    <cellStyle name="Normal 16 3 3 3 3 2" xfId="15513" xr:uid="{00000000-0005-0000-0000-0000264E0000}"/>
    <cellStyle name="Normal 16 3 3 3 3 2 2" xfId="28571" xr:uid="{00000000-0005-0000-0000-0000274E0000}"/>
    <cellStyle name="Normal 16 3 3 3 3 3" xfId="15514" xr:uid="{00000000-0005-0000-0000-0000284E0000}"/>
    <cellStyle name="Normal 16 3 3 3 3 3 2" xfId="28572" xr:uid="{00000000-0005-0000-0000-0000294E0000}"/>
    <cellStyle name="Normal 16 3 3 3 3 4" xfId="23702" xr:uid="{00000000-0005-0000-0000-00002A4E0000}"/>
    <cellStyle name="Normal 16 3 3 3 4" xfId="15515" xr:uid="{00000000-0005-0000-0000-00002B4E0000}"/>
    <cellStyle name="Normal 16 3 3 3 4 2" xfId="28573" xr:uid="{00000000-0005-0000-0000-00002C4E0000}"/>
    <cellStyle name="Normal 16 3 3 3 5" xfId="15516" xr:uid="{00000000-0005-0000-0000-00002D4E0000}"/>
    <cellStyle name="Normal 16 3 3 3 5 2" xfId="28574" xr:uid="{00000000-0005-0000-0000-00002E4E0000}"/>
    <cellStyle name="Normal 16 3 3 3 6" xfId="21546" xr:uid="{00000000-0005-0000-0000-00002F4E0000}"/>
    <cellStyle name="Normal 16 3 3 4" xfId="8427" xr:uid="{00000000-0005-0000-0000-0000304E0000}"/>
    <cellStyle name="Normal 16 3 3 4 2" xfId="10870" xr:uid="{00000000-0005-0000-0000-0000314E0000}"/>
    <cellStyle name="Normal 16 3 3 4 2 2" xfId="15517" xr:uid="{00000000-0005-0000-0000-0000324E0000}"/>
    <cellStyle name="Normal 16 3 3 4 2 2 2" xfId="28575" xr:uid="{00000000-0005-0000-0000-0000334E0000}"/>
    <cellStyle name="Normal 16 3 3 4 2 3" xfId="15518" xr:uid="{00000000-0005-0000-0000-0000344E0000}"/>
    <cellStyle name="Normal 16 3 3 4 2 3 2" xfId="28576" xr:uid="{00000000-0005-0000-0000-0000354E0000}"/>
    <cellStyle name="Normal 16 3 3 4 2 4" xfId="24240" xr:uid="{00000000-0005-0000-0000-0000364E0000}"/>
    <cellStyle name="Normal 16 3 3 4 3" xfId="15519" xr:uid="{00000000-0005-0000-0000-0000374E0000}"/>
    <cellStyle name="Normal 16 3 3 4 3 2" xfId="28577" xr:uid="{00000000-0005-0000-0000-0000384E0000}"/>
    <cellStyle name="Normal 16 3 3 4 4" xfId="15520" xr:uid="{00000000-0005-0000-0000-0000394E0000}"/>
    <cellStyle name="Normal 16 3 3 4 4 2" xfId="28578" xr:uid="{00000000-0005-0000-0000-00003A4E0000}"/>
    <cellStyle name="Normal 16 3 3 4 5" xfId="22084" xr:uid="{00000000-0005-0000-0000-00003B4E0000}"/>
    <cellStyle name="Normal 16 3 3 5" xfId="9792" xr:uid="{00000000-0005-0000-0000-00003C4E0000}"/>
    <cellStyle name="Normal 16 3 3 5 2" xfId="15521" xr:uid="{00000000-0005-0000-0000-00003D4E0000}"/>
    <cellStyle name="Normal 16 3 3 5 2 2" xfId="28579" xr:uid="{00000000-0005-0000-0000-00003E4E0000}"/>
    <cellStyle name="Normal 16 3 3 5 3" xfId="15522" xr:uid="{00000000-0005-0000-0000-00003F4E0000}"/>
    <cellStyle name="Normal 16 3 3 5 3 2" xfId="28580" xr:uid="{00000000-0005-0000-0000-0000404E0000}"/>
    <cellStyle name="Normal 16 3 3 5 4" xfId="23162" xr:uid="{00000000-0005-0000-0000-0000414E0000}"/>
    <cellStyle name="Normal 16 3 3 6" xfId="15523" xr:uid="{00000000-0005-0000-0000-0000424E0000}"/>
    <cellStyle name="Normal 16 3 3 6 2" xfId="28581" xr:uid="{00000000-0005-0000-0000-0000434E0000}"/>
    <cellStyle name="Normal 16 3 3 7" xfId="15524" xr:uid="{00000000-0005-0000-0000-0000444E0000}"/>
    <cellStyle name="Normal 16 3 3 7 2" xfId="28582" xr:uid="{00000000-0005-0000-0000-0000454E0000}"/>
    <cellStyle name="Normal 16 3 3 8" xfId="21006" xr:uid="{00000000-0005-0000-0000-0000464E0000}"/>
    <cellStyle name="Normal 16 3 4" xfId="6584" xr:uid="{00000000-0005-0000-0000-0000474E0000}"/>
    <cellStyle name="Normal 16 3 4 2" xfId="7280" xr:uid="{00000000-0005-0000-0000-0000484E0000}"/>
    <cellStyle name="Normal 16 3 4 2 2" xfId="9159" xr:uid="{00000000-0005-0000-0000-0000494E0000}"/>
    <cellStyle name="Normal 16 3 4 2 2 2" xfId="11538" xr:uid="{00000000-0005-0000-0000-00004A4E0000}"/>
    <cellStyle name="Normal 16 3 4 2 2 2 2" xfId="15525" xr:uid="{00000000-0005-0000-0000-00004B4E0000}"/>
    <cellStyle name="Normal 16 3 4 2 2 2 2 2" xfId="28583" xr:uid="{00000000-0005-0000-0000-00004C4E0000}"/>
    <cellStyle name="Normal 16 3 4 2 2 2 3" xfId="15526" xr:uid="{00000000-0005-0000-0000-00004D4E0000}"/>
    <cellStyle name="Normal 16 3 4 2 2 2 3 2" xfId="28584" xr:uid="{00000000-0005-0000-0000-00004E4E0000}"/>
    <cellStyle name="Normal 16 3 4 2 2 2 4" xfId="24908" xr:uid="{00000000-0005-0000-0000-00004F4E0000}"/>
    <cellStyle name="Normal 16 3 4 2 2 3" xfId="15527" xr:uid="{00000000-0005-0000-0000-0000504E0000}"/>
    <cellStyle name="Normal 16 3 4 2 2 3 2" xfId="28585" xr:uid="{00000000-0005-0000-0000-0000514E0000}"/>
    <cellStyle name="Normal 16 3 4 2 2 4" xfId="15528" xr:uid="{00000000-0005-0000-0000-0000524E0000}"/>
    <cellStyle name="Normal 16 3 4 2 2 4 2" xfId="28586" xr:uid="{00000000-0005-0000-0000-0000534E0000}"/>
    <cellStyle name="Normal 16 3 4 2 2 5" xfId="22752" xr:uid="{00000000-0005-0000-0000-0000544E0000}"/>
    <cellStyle name="Normal 16 3 4 2 3" xfId="10460" xr:uid="{00000000-0005-0000-0000-0000554E0000}"/>
    <cellStyle name="Normal 16 3 4 2 3 2" xfId="15529" xr:uid="{00000000-0005-0000-0000-0000564E0000}"/>
    <cellStyle name="Normal 16 3 4 2 3 2 2" xfId="28587" xr:uid="{00000000-0005-0000-0000-0000574E0000}"/>
    <cellStyle name="Normal 16 3 4 2 3 3" xfId="15530" xr:uid="{00000000-0005-0000-0000-0000584E0000}"/>
    <cellStyle name="Normal 16 3 4 2 3 3 2" xfId="28588" xr:uid="{00000000-0005-0000-0000-0000594E0000}"/>
    <cellStyle name="Normal 16 3 4 2 3 4" xfId="23830" xr:uid="{00000000-0005-0000-0000-00005A4E0000}"/>
    <cellStyle name="Normal 16 3 4 2 4" xfId="15531" xr:uid="{00000000-0005-0000-0000-00005B4E0000}"/>
    <cellStyle name="Normal 16 3 4 2 4 2" xfId="28589" xr:uid="{00000000-0005-0000-0000-00005C4E0000}"/>
    <cellStyle name="Normal 16 3 4 2 5" xfId="15532" xr:uid="{00000000-0005-0000-0000-00005D4E0000}"/>
    <cellStyle name="Normal 16 3 4 2 5 2" xfId="28590" xr:uid="{00000000-0005-0000-0000-00005E4E0000}"/>
    <cellStyle name="Normal 16 3 4 2 6" xfId="21674" xr:uid="{00000000-0005-0000-0000-00005F4E0000}"/>
    <cellStyle name="Normal 16 3 4 3" xfId="8612" xr:uid="{00000000-0005-0000-0000-0000604E0000}"/>
    <cellStyle name="Normal 16 3 4 3 2" xfId="10998" xr:uid="{00000000-0005-0000-0000-0000614E0000}"/>
    <cellStyle name="Normal 16 3 4 3 2 2" xfId="15533" xr:uid="{00000000-0005-0000-0000-0000624E0000}"/>
    <cellStyle name="Normal 16 3 4 3 2 2 2" xfId="28591" xr:uid="{00000000-0005-0000-0000-0000634E0000}"/>
    <cellStyle name="Normal 16 3 4 3 2 3" xfId="15534" xr:uid="{00000000-0005-0000-0000-0000644E0000}"/>
    <cellStyle name="Normal 16 3 4 3 2 3 2" xfId="28592" xr:uid="{00000000-0005-0000-0000-0000654E0000}"/>
    <cellStyle name="Normal 16 3 4 3 2 4" xfId="24368" xr:uid="{00000000-0005-0000-0000-0000664E0000}"/>
    <cellStyle name="Normal 16 3 4 3 3" xfId="15535" xr:uid="{00000000-0005-0000-0000-0000674E0000}"/>
    <cellStyle name="Normal 16 3 4 3 3 2" xfId="28593" xr:uid="{00000000-0005-0000-0000-0000684E0000}"/>
    <cellStyle name="Normal 16 3 4 3 4" xfId="15536" xr:uid="{00000000-0005-0000-0000-0000694E0000}"/>
    <cellStyle name="Normal 16 3 4 3 4 2" xfId="28594" xr:uid="{00000000-0005-0000-0000-00006A4E0000}"/>
    <cellStyle name="Normal 16 3 4 3 5" xfId="22212" xr:uid="{00000000-0005-0000-0000-00006B4E0000}"/>
    <cellStyle name="Normal 16 3 4 4" xfId="9920" xr:uid="{00000000-0005-0000-0000-00006C4E0000}"/>
    <cellStyle name="Normal 16 3 4 4 2" xfId="15537" xr:uid="{00000000-0005-0000-0000-00006D4E0000}"/>
    <cellStyle name="Normal 16 3 4 4 2 2" xfId="28595" xr:uid="{00000000-0005-0000-0000-00006E4E0000}"/>
    <cellStyle name="Normal 16 3 4 4 3" xfId="15538" xr:uid="{00000000-0005-0000-0000-00006F4E0000}"/>
    <cellStyle name="Normal 16 3 4 4 3 2" xfId="28596" xr:uid="{00000000-0005-0000-0000-0000704E0000}"/>
    <cellStyle name="Normal 16 3 4 4 4" xfId="23290" xr:uid="{00000000-0005-0000-0000-0000714E0000}"/>
    <cellStyle name="Normal 16 3 4 5" xfId="15539" xr:uid="{00000000-0005-0000-0000-0000724E0000}"/>
    <cellStyle name="Normal 16 3 4 5 2" xfId="28597" xr:uid="{00000000-0005-0000-0000-0000734E0000}"/>
    <cellStyle name="Normal 16 3 4 6" xfId="15540" xr:uid="{00000000-0005-0000-0000-0000744E0000}"/>
    <cellStyle name="Normal 16 3 4 6 2" xfId="28598" xr:uid="{00000000-0005-0000-0000-0000754E0000}"/>
    <cellStyle name="Normal 16 3 4 7" xfId="21134" xr:uid="{00000000-0005-0000-0000-0000764E0000}"/>
    <cellStyle name="Normal 16 3 5" xfId="7010" xr:uid="{00000000-0005-0000-0000-0000774E0000}"/>
    <cellStyle name="Normal 16 3 5 2" xfId="8890" xr:uid="{00000000-0005-0000-0000-0000784E0000}"/>
    <cellStyle name="Normal 16 3 5 2 2" xfId="11269" xr:uid="{00000000-0005-0000-0000-0000794E0000}"/>
    <cellStyle name="Normal 16 3 5 2 2 2" xfId="15541" xr:uid="{00000000-0005-0000-0000-00007A4E0000}"/>
    <cellStyle name="Normal 16 3 5 2 2 2 2" xfId="28599" xr:uid="{00000000-0005-0000-0000-00007B4E0000}"/>
    <cellStyle name="Normal 16 3 5 2 2 3" xfId="15542" xr:uid="{00000000-0005-0000-0000-00007C4E0000}"/>
    <cellStyle name="Normal 16 3 5 2 2 3 2" xfId="28600" xr:uid="{00000000-0005-0000-0000-00007D4E0000}"/>
    <cellStyle name="Normal 16 3 5 2 2 4" xfId="24639" xr:uid="{00000000-0005-0000-0000-00007E4E0000}"/>
    <cellStyle name="Normal 16 3 5 2 3" xfId="15543" xr:uid="{00000000-0005-0000-0000-00007F4E0000}"/>
    <cellStyle name="Normal 16 3 5 2 3 2" xfId="28601" xr:uid="{00000000-0005-0000-0000-0000804E0000}"/>
    <cellStyle name="Normal 16 3 5 2 4" xfId="15544" xr:uid="{00000000-0005-0000-0000-0000814E0000}"/>
    <cellStyle name="Normal 16 3 5 2 4 2" xfId="28602" xr:uid="{00000000-0005-0000-0000-0000824E0000}"/>
    <cellStyle name="Normal 16 3 5 2 5" xfId="22483" xr:uid="{00000000-0005-0000-0000-0000834E0000}"/>
    <cellStyle name="Normal 16 3 5 3" xfId="10191" xr:uid="{00000000-0005-0000-0000-0000844E0000}"/>
    <cellStyle name="Normal 16 3 5 3 2" xfId="15545" xr:uid="{00000000-0005-0000-0000-0000854E0000}"/>
    <cellStyle name="Normal 16 3 5 3 2 2" xfId="28603" xr:uid="{00000000-0005-0000-0000-0000864E0000}"/>
    <cellStyle name="Normal 16 3 5 3 3" xfId="15546" xr:uid="{00000000-0005-0000-0000-0000874E0000}"/>
    <cellStyle name="Normal 16 3 5 3 3 2" xfId="28604" xr:uid="{00000000-0005-0000-0000-0000884E0000}"/>
    <cellStyle name="Normal 16 3 5 3 4" xfId="23561" xr:uid="{00000000-0005-0000-0000-0000894E0000}"/>
    <cellStyle name="Normal 16 3 5 4" xfId="15547" xr:uid="{00000000-0005-0000-0000-00008A4E0000}"/>
    <cellStyle name="Normal 16 3 5 4 2" xfId="28605" xr:uid="{00000000-0005-0000-0000-00008B4E0000}"/>
    <cellStyle name="Normal 16 3 5 5" xfId="15548" xr:uid="{00000000-0005-0000-0000-00008C4E0000}"/>
    <cellStyle name="Normal 16 3 5 5 2" xfId="28606" xr:uid="{00000000-0005-0000-0000-00008D4E0000}"/>
    <cellStyle name="Normal 16 3 5 6" xfId="21405" xr:uid="{00000000-0005-0000-0000-00008E4E0000}"/>
    <cellStyle name="Normal 16 3 6" xfId="8206" xr:uid="{00000000-0005-0000-0000-00008F4E0000}"/>
    <cellStyle name="Normal 16 3 6 2" xfId="10729" xr:uid="{00000000-0005-0000-0000-0000904E0000}"/>
    <cellStyle name="Normal 16 3 6 2 2" xfId="15549" xr:uid="{00000000-0005-0000-0000-0000914E0000}"/>
    <cellStyle name="Normal 16 3 6 2 2 2" xfId="28607" xr:uid="{00000000-0005-0000-0000-0000924E0000}"/>
    <cellStyle name="Normal 16 3 6 2 3" xfId="15550" xr:uid="{00000000-0005-0000-0000-0000934E0000}"/>
    <cellStyle name="Normal 16 3 6 2 3 2" xfId="28608" xr:uid="{00000000-0005-0000-0000-0000944E0000}"/>
    <cellStyle name="Normal 16 3 6 2 4" xfId="24099" xr:uid="{00000000-0005-0000-0000-0000954E0000}"/>
    <cellStyle name="Normal 16 3 6 3" xfId="15551" xr:uid="{00000000-0005-0000-0000-0000964E0000}"/>
    <cellStyle name="Normal 16 3 6 3 2" xfId="28609" xr:uid="{00000000-0005-0000-0000-0000974E0000}"/>
    <cellStyle name="Normal 16 3 6 4" xfId="15552" xr:uid="{00000000-0005-0000-0000-0000984E0000}"/>
    <cellStyle name="Normal 16 3 6 4 2" xfId="28610" xr:uid="{00000000-0005-0000-0000-0000994E0000}"/>
    <cellStyle name="Normal 16 3 6 5" xfId="21943" xr:uid="{00000000-0005-0000-0000-00009A4E0000}"/>
    <cellStyle name="Normal 16 3 7" xfId="9650" xr:uid="{00000000-0005-0000-0000-00009B4E0000}"/>
    <cellStyle name="Normal 16 3 7 2" xfId="15553" xr:uid="{00000000-0005-0000-0000-00009C4E0000}"/>
    <cellStyle name="Normal 16 3 7 2 2" xfId="28611" xr:uid="{00000000-0005-0000-0000-00009D4E0000}"/>
    <cellStyle name="Normal 16 3 7 3" xfId="15554" xr:uid="{00000000-0005-0000-0000-00009E4E0000}"/>
    <cellStyle name="Normal 16 3 7 3 2" xfId="28612" xr:uid="{00000000-0005-0000-0000-00009F4E0000}"/>
    <cellStyle name="Normal 16 3 7 4" xfId="23021" xr:uid="{00000000-0005-0000-0000-0000A04E0000}"/>
    <cellStyle name="Normal 16 3 8" xfId="15555" xr:uid="{00000000-0005-0000-0000-0000A14E0000}"/>
    <cellStyle name="Normal 16 3 8 2" xfId="28613" xr:uid="{00000000-0005-0000-0000-0000A24E0000}"/>
    <cellStyle name="Normal 16 3 9" xfId="15556" xr:uid="{00000000-0005-0000-0000-0000A34E0000}"/>
    <cellStyle name="Normal 16 3 9 2" xfId="28614" xr:uid="{00000000-0005-0000-0000-0000A44E0000}"/>
    <cellStyle name="Normal 16 4" xfId="4071" xr:uid="{00000000-0005-0000-0000-0000A54E0000}"/>
    <cellStyle name="Normal 16 4 2" xfId="5607" xr:uid="{00000000-0005-0000-0000-0000A64E0000}"/>
    <cellStyle name="Normal 16 4 2 2" xfId="6759" xr:uid="{00000000-0005-0000-0000-0000A74E0000}"/>
    <cellStyle name="Normal 16 4 2 2 2" xfId="7446" xr:uid="{00000000-0005-0000-0000-0000A84E0000}"/>
    <cellStyle name="Normal 16 4 2 2 2 2" xfId="9325" xr:uid="{00000000-0005-0000-0000-0000A94E0000}"/>
    <cellStyle name="Normal 16 4 2 2 2 2 2" xfId="11704" xr:uid="{00000000-0005-0000-0000-0000AA4E0000}"/>
    <cellStyle name="Normal 16 4 2 2 2 2 2 2" xfId="15557" xr:uid="{00000000-0005-0000-0000-0000AB4E0000}"/>
    <cellStyle name="Normal 16 4 2 2 2 2 2 2 2" xfId="28615" xr:uid="{00000000-0005-0000-0000-0000AC4E0000}"/>
    <cellStyle name="Normal 16 4 2 2 2 2 2 3" xfId="15558" xr:uid="{00000000-0005-0000-0000-0000AD4E0000}"/>
    <cellStyle name="Normal 16 4 2 2 2 2 2 3 2" xfId="28616" xr:uid="{00000000-0005-0000-0000-0000AE4E0000}"/>
    <cellStyle name="Normal 16 4 2 2 2 2 2 4" xfId="25074" xr:uid="{00000000-0005-0000-0000-0000AF4E0000}"/>
    <cellStyle name="Normal 16 4 2 2 2 2 3" xfId="15559" xr:uid="{00000000-0005-0000-0000-0000B04E0000}"/>
    <cellStyle name="Normal 16 4 2 2 2 2 3 2" xfId="28617" xr:uid="{00000000-0005-0000-0000-0000B14E0000}"/>
    <cellStyle name="Normal 16 4 2 2 2 2 4" xfId="15560" xr:uid="{00000000-0005-0000-0000-0000B24E0000}"/>
    <cellStyle name="Normal 16 4 2 2 2 2 4 2" xfId="28618" xr:uid="{00000000-0005-0000-0000-0000B34E0000}"/>
    <cellStyle name="Normal 16 4 2 2 2 2 5" xfId="22918" xr:uid="{00000000-0005-0000-0000-0000B44E0000}"/>
    <cellStyle name="Normal 16 4 2 2 2 3" xfId="10626" xr:uid="{00000000-0005-0000-0000-0000B54E0000}"/>
    <cellStyle name="Normal 16 4 2 2 2 3 2" xfId="15561" xr:uid="{00000000-0005-0000-0000-0000B64E0000}"/>
    <cellStyle name="Normal 16 4 2 2 2 3 2 2" xfId="28619" xr:uid="{00000000-0005-0000-0000-0000B74E0000}"/>
    <cellStyle name="Normal 16 4 2 2 2 3 3" xfId="15562" xr:uid="{00000000-0005-0000-0000-0000B84E0000}"/>
    <cellStyle name="Normal 16 4 2 2 2 3 3 2" xfId="28620" xr:uid="{00000000-0005-0000-0000-0000B94E0000}"/>
    <cellStyle name="Normal 16 4 2 2 2 3 4" xfId="23996" xr:uid="{00000000-0005-0000-0000-0000BA4E0000}"/>
    <cellStyle name="Normal 16 4 2 2 2 4" xfId="15563" xr:uid="{00000000-0005-0000-0000-0000BB4E0000}"/>
    <cellStyle name="Normal 16 4 2 2 2 4 2" xfId="28621" xr:uid="{00000000-0005-0000-0000-0000BC4E0000}"/>
    <cellStyle name="Normal 16 4 2 2 2 5" xfId="15564" xr:uid="{00000000-0005-0000-0000-0000BD4E0000}"/>
    <cellStyle name="Normal 16 4 2 2 2 5 2" xfId="28622" xr:uid="{00000000-0005-0000-0000-0000BE4E0000}"/>
    <cellStyle name="Normal 16 4 2 2 2 6" xfId="21840" xr:uid="{00000000-0005-0000-0000-0000BF4E0000}"/>
    <cellStyle name="Normal 16 4 2 2 3" xfId="8779" xr:uid="{00000000-0005-0000-0000-0000C04E0000}"/>
    <cellStyle name="Normal 16 4 2 2 3 2" xfId="11164" xr:uid="{00000000-0005-0000-0000-0000C14E0000}"/>
    <cellStyle name="Normal 16 4 2 2 3 2 2" xfId="15565" xr:uid="{00000000-0005-0000-0000-0000C24E0000}"/>
    <cellStyle name="Normal 16 4 2 2 3 2 2 2" xfId="28623" xr:uid="{00000000-0005-0000-0000-0000C34E0000}"/>
    <cellStyle name="Normal 16 4 2 2 3 2 3" xfId="15566" xr:uid="{00000000-0005-0000-0000-0000C44E0000}"/>
    <cellStyle name="Normal 16 4 2 2 3 2 3 2" xfId="28624" xr:uid="{00000000-0005-0000-0000-0000C54E0000}"/>
    <cellStyle name="Normal 16 4 2 2 3 2 4" xfId="24534" xr:uid="{00000000-0005-0000-0000-0000C64E0000}"/>
    <cellStyle name="Normal 16 4 2 2 3 3" xfId="15567" xr:uid="{00000000-0005-0000-0000-0000C74E0000}"/>
    <cellStyle name="Normal 16 4 2 2 3 3 2" xfId="28625" xr:uid="{00000000-0005-0000-0000-0000C84E0000}"/>
    <cellStyle name="Normal 16 4 2 2 3 4" xfId="15568" xr:uid="{00000000-0005-0000-0000-0000C94E0000}"/>
    <cellStyle name="Normal 16 4 2 2 3 4 2" xfId="28626" xr:uid="{00000000-0005-0000-0000-0000CA4E0000}"/>
    <cellStyle name="Normal 16 4 2 2 3 5" xfId="22378" xr:uid="{00000000-0005-0000-0000-0000CB4E0000}"/>
    <cellStyle name="Normal 16 4 2 2 4" xfId="10086" xr:uid="{00000000-0005-0000-0000-0000CC4E0000}"/>
    <cellStyle name="Normal 16 4 2 2 4 2" xfId="15569" xr:uid="{00000000-0005-0000-0000-0000CD4E0000}"/>
    <cellStyle name="Normal 16 4 2 2 4 2 2" xfId="28627" xr:uid="{00000000-0005-0000-0000-0000CE4E0000}"/>
    <cellStyle name="Normal 16 4 2 2 4 3" xfId="15570" xr:uid="{00000000-0005-0000-0000-0000CF4E0000}"/>
    <cellStyle name="Normal 16 4 2 2 4 3 2" xfId="28628" xr:uid="{00000000-0005-0000-0000-0000D04E0000}"/>
    <cellStyle name="Normal 16 4 2 2 4 4" xfId="23456" xr:uid="{00000000-0005-0000-0000-0000D14E0000}"/>
    <cellStyle name="Normal 16 4 2 2 5" xfId="15571" xr:uid="{00000000-0005-0000-0000-0000D24E0000}"/>
    <cellStyle name="Normal 16 4 2 2 5 2" xfId="28629" xr:uid="{00000000-0005-0000-0000-0000D34E0000}"/>
    <cellStyle name="Normal 16 4 2 2 6" xfId="15572" xr:uid="{00000000-0005-0000-0000-0000D44E0000}"/>
    <cellStyle name="Normal 16 4 2 2 6 2" xfId="28630" xr:uid="{00000000-0005-0000-0000-0000D54E0000}"/>
    <cellStyle name="Normal 16 4 2 2 7" xfId="21300" xr:uid="{00000000-0005-0000-0000-0000D64E0000}"/>
    <cellStyle name="Normal 16 4 2 3" xfId="7177" xr:uid="{00000000-0005-0000-0000-0000D74E0000}"/>
    <cellStyle name="Normal 16 4 2 3 2" xfId="9056" xr:uid="{00000000-0005-0000-0000-0000D84E0000}"/>
    <cellStyle name="Normal 16 4 2 3 2 2" xfId="11435" xr:uid="{00000000-0005-0000-0000-0000D94E0000}"/>
    <cellStyle name="Normal 16 4 2 3 2 2 2" xfId="15573" xr:uid="{00000000-0005-0000-0000-0000DA4E0000}"/>
    <cellStyle name="Normal 16 4 2 3 2 2 2 2" xfId="28631" xr:uid="{00000000-0005-0000-0000-0000DB4E0000}"/>
    <cellStyle name="Normal 16 4 2 3 2 2 3" xfId="15574" xr:uid="{00000000-0005-0000-0000-0000DC4E0000}"/>
    <cellStyle name="Normal 16 4 2 3 2 2 3 2" xfId="28632" xr:uid="{00000000-0005-0000-0000-0000DD4E0000}"/>
    <cellStyle name="Normal 16 4 2 3 2 2 4" xfId="24805" xr:uid="{00000000-0005-0000-0000-0000DE4E0000}"/>
    <cellStyle name="Normal 16 4 2 3 2 3" xfId="15575" xr:uid="{00000000-0005-0000-0000-0000DF4E0000}"/>
    <cellStyle name="Normal 16 4 2 3 2 3 2" xfId="28633" xr:uid="{00000000-0005-0000-0000-0000E04E0000}"/>
    <cellStyle name="Normal 16 4 2 3 2 4" xfId="15576" xr:uid="{00000000-0005-0000-0000-0000E14E0000}"/>
    <cellStyle name="Normal 16 4 2 3 2 4 2" xfId="28634" xr:uid="{00000000-0005-0000-0000-0000E24E0000}"/>
    <cellStyle name="Normal 16 4 2 3 2 5" xfId="22649" xr:uid="{00000000-0005-0000-0000-0000E34E0000}"/>
    <cellStyle name="Normal 16 4 2 3 3" xfId="10357" xr:uid="{00000000-0005-0000-0000-0000E44E0000}"/>
    <cellStyle name="Normal 16 4 2 3 3 2" xfId="15577" xr:uid="{00000000-0005-0000-0000-0000E54E0000}"/>
    <cellStyle name="Normal 16 4 2 3 3 2 2" xfId="28635" xr:uid="{00000000-0005-0000-0000-0000E64E0000}"/>
    <cellStyle name="Normal 16 4 2 3 3 3" xfId="15578" xr:uid="{00000000-0005-0000-0000-0000E74E0000}"/>
    <cellStyle name="Normal 16 4 2 3 3 3 2" xfId="28636" xr:uid="{00000000-0005-0000-0000-0000E84E0000}"/>
    <cellStyle name="Normal 16 4 2 3 3 4" xfId="23727" xr:uid="{00000000-0005-0000-0000-0000E94E0000}"/>
    <cellStyle name="Normal 16 4 2 3 4" xfId="15579" xr:uid="{00000000-0005-0000-0000-0000EA4E0000}"/>
    <cellStyle name="Normal 16 4 2 3 4 2" xfId="28637" xr:uid="{00000000-0005-0000-0000-0000EB4E0000}"/>
    <cellStyle name="Normal 16 4 2 3 5" xfId="15580" xr:uid="{00000000-0005-0000-0000-0000EC4E0000}"/>
    <cellStyle name="Normal 16 4 2 3 5 2" xfId="28638" xr:uid="{00000000-0005-0000-0000-0000ED4E0000}"/>
    <cellStyle name="Normal 16 4 2 3 6" xfId="21571" xr:uid="{00000000-0005-0000-0000-0000EE4E0000}"/>
    <cellStyle name="Normal 16 4 2 4" xfId="8454" xr:uid="{00000000-0005-0000-0000-0000EF4E0000}"/>
    <cellStyle name="Normal 16 4 2 4 2" xfId="10895" xr:uid="{00000000-0005-0000-0000-0000F04E0000}"/>
    <cellStyle name="Normal 16 4 2 4 2 2" xfId="15581" xr:uid="{00000000-0005-0000-0000-0000F14E0000}"/>
    <cellStyle name="Normal 16 4 2 4 2 2 2" xfId="28639" xr:uid="{00000000-0005-0000-0000-0000F24E0000}"/>
    <cellStyle name="Normal 16 4 2 4 2 3" xfId="15582" xr:uid="{00000000-0005-0000-0000-0000F34E0000}"/>
    <cellStyle name="Normal 16 4 2 4 2 3 2" xfId="28640" xr:uid="{00000000-0005-0000-0000-0000F44E0000}"/>
    <cellStyle name="Normal 16 4 2 4 2 4" xfId="24265" xr:uid="{00000000-0005-0000-0000-0000F54E0000}"/>
    <cellStyle name="Normal 16 4 2 4 3" xfId="15583" xr:uid="{00000000-0005-0000-0000-0000F64E0000}"/>
    <cellStyle name="Normal 16 4 2 4 3 2" xfId="28641" xr:uid="{00000000-0005-0000-0000-0000F74E0000}"/>
    <cellStyle name="Normal 16 4 2 4 4" xfId="15584" xr:uid="{00000000-0005-0000-0000-0000F84E0000}"/>
    <cellStyle name="Normal 16 4 2 4 4 2" xfId="28642" xr:uid="{00000000-0005-0000-0000-0000F94E0000}"/>
    <cellStyle name="Normal 16 4 2 4 5" xfId="22109" xr:uid="{00000000-0005-0000-0000-0000FA4E0000}"/>
    <cellStyle name="Normal 16 4 2 5" xfId="9817" xr:uid="{00000000-0005-0000-0000-0000FB4E0000}"/>
    <cellStyle name="Normal 16 4 2 5 2" xfId="15585" xr:uid="{00000000-0005-0000-0000-0000FC4E0000}"/>
    <cellStyle name="Normal 16 4 2 5 2 2" xfId="28643" xr:uid="{00000000-0005-0000-0000-0000FD4E0000}"/>
    <cellStyle name="Normal 16 4 2 5 3" xfId="15586" xr:uid="{00000000-0005-0000-0000-0000FE4E0000}"/>
    <cellStyle name="Normal 16 4 2 5 3 2" xfId="28644" xr:uid="{00000000-0005-0000-0000-0000FF4E0000}"/>
    <cellStyle name="Normal 16 4 2 5 4" xfId="23187" xr:uid="{00000000-0005-0000-0000-0000004F0000}"/>
    <cellStyle name="Normal 16 4 2 6" xfId="15587" xr:uid="{00000000-0005-0000-0000-0000014F0000}"/>
    <cellStyle name="Normal 16 4 2 6 2" xfId="28645" xr:uid="{00000000-0005-0000-0000-0000024F0000}"/>
    <cellStyle name="Normal 16 4 2 7" xfId="15588" xr:uid="{00000000-0005-0000-0000-0000034F0000}"/>
    <cellStyle name="Normal 16 4 2 7 2" xfId="28646" xr:uid="{00000000-0005-0000-0000-0000044F0000}"/>
    <cellStyle name="Normal 16 4 2 8" xfId="21031" xr:uid="{00000000-0005-0000-0000-0000054F0000}"/>
    <cellStyle name="Normal 16 4 3" xfId="6608" xr:uid="{00000000-0005-0000-0000-0000064F0000}"/>
    <cellStyle name="Normal 16 4 3 2" xfId="7304" xr:uid="{00000000-0005-0000-0000-0000074F0000}"/>
    <cellStyle name="Normal 16 4 3 2 2" xfId="9183" xr:uid="{00000000-0005-0000-0000-0000084F0000}"/>
    <cellStyle name="Normal 16 4 3 2 2 2" xfId="11562" xr:uid="{00000000-0005-0000-0000-0000094F0000}"/>
    <cellStyle name="Normal 16 4 3 2 2 2 2" xfId="15589" xr:uid="{00000000-0005-0000-0000-00000A4F0000}"/>
    <cellStyle name="Normal 16 4 3 2 2 2 2 2" xfId="28647" xr:uid="{00000000-0005-0000-0000-00000B4F0000}"/>
    <cellStyle name="Normal 16 4 3 2 2 2 3" xfId="15590" xr:uid="{00000000-0005-0000-0000-00000C4F0000}"/>
    <cellStyle name="Normal 16 4 3 2 2 2 3 2" xfId="28648" xr:uid="{00000000-0005-0000-0000-00000D4F0000}"/>
    <cellStyle name="Normal 16 4 3 2 2 2 4" xfId="24932" xr:uid="{00000000-0005-0000-0000-00000E4F0000}"/>
    <cellStyle name="Normal 16 4 3 2 2 3" xfId="15591" xr:uid="{00000000-0005-0000-0000-00000F4F0000}"/>
    <cellStyle name="Normal 16 4 3 2 2 3 2" xfId="28649" xr:uid="{00000000-0005-0000-0000-0000104F0000}"/>
    <cellStyle name="Normal 16 4 3 2 2 4" xfId="15592" xr:uid="{00000000-0005-0000-0000-0000114F0000}"/>
    <cellStyle name="Normal 16 4 3 2 2 4 2" xfId="28650" xr:uid="{00000000-0005-0000-0000-0000124F0000}"/>
    <cellStyle name="Normal 16 4 3 2 2 5" xfId="22776" xr:uid="{00000000-0005-0000-0000-0000134F0000}"/>
    <cellStyle name="Normal 16 4 3 2 3" xfId="10484" xr:uid="{00000000-0005-0000-0000-0000144F0000}"/>
    <cellStyle name="Normal 16 4 3 2 3 2" xfId="15593" xr:uid="{00000000-0005-0000-0000-0000154F0000}"/>
    <cellStyle name="Normal 16 4 3 2 3 2 2" xfId="28651" xr:uid="{00000000-0005-0000-0000-0000164F0000}"/>
    <cellStyle name="Normal 16 4 3 2 3 3" xfId="15594" xr:uid="{00000000-0005-0000-0000-0000174F0000}"/>
    <cellStyle name="Normal 16 4 3 2 3 3 2" xfId="28652" xr:uid="{00000000-0005-0000-0000-0000184F0000}"/>
    <cellStyle name="Normal 16 4 3 2 3 4" xfId="23854" xr:uid="{00000000-0005-0000-0000-0000194F0000}"/>
    <cellStyle name="Normal 16 4 3 2 4" xfId="15595" xr:uid="{00000000-0005-0000-0000-00001A4F0000}"/>
    <cellStyle name="Normal 16 4 3 2 4 2" xfId="28653" xr:uid="{00000000-0005-0000-0000-00001B4F0000}"/>
    <cellStyle name="Normal 16 4 3 2 5" xfId="15596" xr:uid="{00000000-0005-0000-0000-00001C4F0000}"/>
    <cellStyle name="Normal 16 4 3 2 5 2" xfId="28654" xr:uid="{00000000-0005-0000-0000-00001D4F0000}"/>
    <cellStyle name="Normal 16 4 3 2 6" xfId="21698" xr:uid="{00000000-0005-0000-0000-00001E4F0000}"/>
    <cellStyle name="Normal 16 4 3 3" xfId="8636" xr:uid="{00000000-0005-0000-0000-00001F4F0000}"/>
    <cellStyle name="Normal 16 4 3 3 2" xfId="11022" xr:uid="{00000000-0005-0000-0000-0000204F0000}"/>
    <cellStyle name="Normal 16 4 3 3 2 2" xfId="15597" xr:uid="{00000000-0005-0000-0000-0000214F0000}"/>
    <cellStyle name="Normal 16 4 3 3 2 2 2" xfId="28655" xr:uid="{00000000-0005-0000-0000-0000224F0000}"/>
    <cellStyle name="Normal 16 4 3 3 2 3" xfId="15598" xr:uid="{00000000-0005-0000-0000-0000234F0000}"/>
    <cellStyle name="Normal 16 4 3 3 2 3 2" xfId="28656" xr:uid="{00000000-0005-0000-0000-0000244F0000}"/>
    <cellStyle name="Normal 16 4 3 3 2 4" xfId="24392" xr:uid="{00000000-0005-0000-0000-0000254F0000}"/>
    <cellStyle name="Normal 16 4 3 3 3" xfId="15599" xr:uid="{00000000-0005-0000-0000-0000264F0000}"/>
    <cellStyle name="Normal 16 4 3 3 3 2" xfId="28657" xr:uid="{00000000-0005-0000-0000-0000274F0000}"/>
    <cellStyle name="Normal 16 4 3 3 4" xfId="15600" xr:uid="{00000000-0005-0000-0000-0000284F0000}"/>
    <cellStyle name="Normal 16 4 3 3 4 2" xfId="28658" xr:uid="{00000000-0005-0000-0000-0000294F0000}"/>
    <cellStyle name="Normal 16 4 3 3 5" xfId="22236" xr:uid="{00000000-0005-0000-0000-00002A4F0000}"/>
    <cellStyle name="Normal 16 4 3 4" xfId="9944" xr:uid="{00000000-0005-0000-0000-00002B4F0000}"/>
    <cellStyle name="Normal 16 4 3 4 2" xfId="15601" xr:uid="{00000000-0005-0000-0000-00002C4F0000}"/>
    <cellStyle name="Normal 16 4 3 4 2 2" xfId="28659" xr:uid="{00000000-0005-0000-0000-00002D4F0000}"/>
    <cellStyle name="Normal 16 4 3 4 3" xfId="15602" xr:uid="{00000000-0005-0000-0000-00002E4F0000}"/>
    <cellStyle name="Normal 16 4 3 4 3 2" xfId="28660" xr:uid="{00000000-0005-0000-0000-00002F4F0000}"/>
    <cellStyle name="Normal 16 4 3 4 4" xfId="23314" xr:uid="{00000000-0005-0000-0000-0000304F0000}"/>
    <cellStyle name="Normal 16 4 3 5" xfId="15603" xr:uid="{00000000-0005-0000-0000-0000314F0000}"/>
    <cellStyle name="Normal 16 4 3 5 2" xfId="28661" xr:uid="{00000000-0005-0000-0000-0000324F0000}"/>
    <cellStyle name="Normal 16 4 3 6" xfId="15604" xr:uid="{00000000-0005-0000-0000-0000334F0000}"/>
    <cellStyle name="Normal 16 4 3 6 2" xfId="28662" xr:uid="{00000000-0005-0000-0000-0000344F0000}"/>
    <cellStyle name="Normal 16 4 3 7" xfId="21158" xr:uid="{00000000-0005-0000-0000-0000354F0000}"/>
    <cellStyle name="Normal 16 4 4" xfId="7034" xr:uid="{00000000-0005-0000-0000-0000364F0000}"/>
    <cellStyle name="Normal 16 4 4 2" xfId="8914" xr:uid="{00000000-0005-0000-0000-0000374F0000}"/>
    <cellStyle name="Normal 16 4 4 2 2" xfId="11293" xr:uid="{00000000-0005-0000-0000-0000384F0000}"/>
    <cellStyle name="Normal 16 4 4 2 2 2" xfId="15605" xr:uid="{00000000-0005-0000-0000-0000394F0000}"/>
    <cellStyle name="Normal 16 4 4 2 2 2 2" xfId="28663" xr:uid="{00000000-0005-0000-0000-00003A4F0000}"/>
    <cellStyle name="Normal 16 4 4 2 2 3" xfId="15606" xr:uid="{00000000-0005-0000-0000-00003B4F0000}"/>
    <cellStyle name="Normal 16 4 4 2 2 3 2" xfId="28664" xr:uid="{00000000-0005-0000-0000-00003C4F0000}"/>
    <cellStyle name="Normal 16 4 4 2 2 4" xfId="24663" xr:uid="{00000000-0005-0000-0000-00003D4F0000}"/>
    <cellStyle name="Normal 16 4 4 2 3" xfId="15607" xr:uid="{00000000-0005-0000-0000-00003E4F0000}"/>
    <cellStyle name="Normal 16 4 4 2 3 2" xfId="28665" xr:uid="{00000000-0005-0000-0000-00003F4F0000}"/>
    <cellStyle name="Normal 16 4 4 2 4" xfId="15608" xr:uid="{00000000-0005-0000-0000-0000404F0000}"/>
    <cellStyle name="Normal 16 4 4 2 4 2" xfId="28666" xr:uid="{00000000-0005-0000-0000-0000414F0000}"/>
    <cellStyle name="Normal 16 4 4 2 5" xfId="22507" xr:uid="{00000000-0005-0000-0000-0000424F0000}"/>
    <cellStyle name="Normal 16 4 4 3" xfId="10215" xr:uid="{00000000-0005-0000-0000-0000434F0000}"/>
    <cellStyle name="Normal 16 4 4 3 2" xfId="15609" xr:uid="{00000000-0005-0000-0000-0000444F0000}"/>
    <cellStyle name="Normal 16 4 4 3 2 2" xfId="28667" xr:uid="{00000000-0005-0000-0000-0000454F0000}"/>
    <cellStyle name="Normal 16 4 4 3 3" xfId="15610" xr:uid="{00000000-0005-0000-0000-0000464F0000}"/>
    <cellStyle name="Normal 16 4 4 3 3 2" xfId="28668" xr:uid="{00000000-0005-0000-0000-0000474F0000}"/>
    <cellStyle name="Normal 16 4 4 3 4" xfId="23585" xr:uid="{00000000-0005-0000-0000-0000484F0000}"/>
    <cellStyle name="Normal 16 4 4 4" xfId="15611" xr:uid="{00000000-0005-0000-0000-0000494F0000}"/>
    <cellStyle name="Normal 16 4 4 4 2" xfId="28669" xr:uid="{00000000-0005-0000-0000-00004A4F0000}"/>
    <cellStyle name="Normal 16 4 4 5" xfId="15612" xr:uid="{00000000-0005-0000-0000-00004B4F0000}"/>
    <cellStyle name="Normal 16 4 4 5 2" xfId="28670" xr:uid="{00000000-0005-0000-0000-00004C4F0000}"/>
    <cellStyle name="Normal 16 4 4 6" xfId="21429" xr:uid="{00000000-0005-0000-0000-00004D4F0000}"/>
    <cellStyle name="Normal 16 4 5" xfId="8238" xr:uid="{00000000-0005-0000-0000-00004E4F0000}"/>
    <cellStyle name="Normal 16 4 5 2" xfId="10753" xr:uid="{00000000-0005-0000-0000-00004F4F0000}"/>
    <cellStyle name="Normal 16 4 5 2 2" xfId="15613" xr:uid="{00000000-0005-0000-0000-0000504F0000}"/>
    <cellStyle name="Normal 16 4 5 2 2 2" xfId="28671" xr:uid="{00000000-0005-0000-0000-0000514F0000}"/>
    <cellStyle name="Normal 16 4 5 2 3" xfId="15614" xr:uid="{00000000-0005-0000-0000-0000524F0000}"/>
    <cellStyle name="Normal 16 4 5 2 3 2" xfId="28672" xr:uid="{00000000-0005-0000-0000-0000534F0000}"/>
    <cellStyle name="Normal 16 4 5 2 4" xfId="24123" xr:uid="{00000000-0005-0000-0000-0000544F0000}"/>
    <cellStyle name="Normal 16 4 5 3" xfId="15615" xr:uid="{00000000-0005-0000-0000-0000554F0000}"/>
    <cellStyle name="Normal 16 4 5 3 2" xfId="28673" xr:uid="{00000000-0005-0000-0000-0000564F0000}"/>
    <cellStyle name="Normal 16 4 5 4" xfId="15616" xr:uid="{00000000-0005-0000-0000-0000574F0000}"/>
    <cellStyle name="Normal 16 4 5 4 2" xfId="28674" xr:uid="{00000000-0005-0000-0000-0000584F0000}"/>
    <cellStyle name="Normal 16 4 5 5" xfId="21967" xr:uid="{00000000-0005-0000-0000-0000594F0000}"/>
    <cellStyle name="Normal 16 4 6" xfId="9674" xr:uid="{00000000-0005-0000-0000-00005A4F0000}"/>
    <cellStyle name="Normal 16 4 6 2" xfId="15617" xr:uid="{00000000-0005-0000-0000-00005B4F0000}"/>
    <cellStyle name="Normal 16 4 6 2 2" xfId="28675" xr:uid="{00000000-0005-0000-0000-00005C4F0000}"/>
    <cellStyle name="Normal 16 4 6 3" xfId="15618" xr:uid="{00000000-0005-0000-0000-00005D4F0000}"/>
    <cellStyle name="Normal 16 4 6 3 2" xfId="28676" xr:uid="{00000000-0005-0000-0000-00005E4F0000}"/>
    <cellStyle name="Normal 16 4 6 4" xfId="23045" xr:uid="{00000000-0005-0000-0000-00005F4F0000}"/>
    <cellStyle name="Normal 16 4 7" xfId="15619" xr:uid="{00000000-0005-0000-0000-0000604F0000}"/>
    <cellStyle name="Normal 16 4 7 2" xfId="28677" xr:uid="{00000000-0005-0000-0000-0000614F0000}"/>
    <cellStyle name="Normal 16 4 8" xfId="15620" xr:uid="{00000000-0005-0000-0000-0000624F0000}"/>
    <cellStyle name="Normal 16 4 8 2" xfId="28678" xr:uid="{00000000-0005-0000-0000-0000634F0000}"/>
    <cellStyle name="Normal 16 4 9" xfId="20888" xr:uid="{00000000-0005-0000-0000-0000644F0000}"/>
    <cellStyle name="Normal 16 5" xfId="5256" xr:uid="{00000000-0005-0000-0000-0000654F0000}"/>
    <cellStyle name="Normal 16 5 2" xfId="6694" xr:uid="{00000000-0005-0000-0000-0000664F0000}"/>
    <cellStyle name="Normal 16 5 2 2" xfId="7383" xr:uid="{00000000-0005-0000-0000-0000674F0000}"/>
    <cellStyle name="Normal 16 5 2 2 2" xfId="9262" xr:uid="{00000000-0005-0000-0000-0000684F0000}"/>
    <cellStyle name="Normal 16 5 2 2 2 2" xfId="11641" xr:uid="{00000000-0005-0000-0000-0000694F0000}"/>
    <cellStyle name="Normal 16 5 2 2 2 2 2" xfId="15621" xr:uid="{00000000-0005-0000-0000-00006A4F0000}"/>
    <cellStyle name="Normal 16 5 2 2 2 2 2 2" xfId="28679" xr:uid="{00000000-0005-0000-0000-00006B4F0000}"/>
    <cellStyle name="Normal 16 5 2 2 2 2 3" xfId="15622" xr:uid="{00000000-0005-0000-0000-00006C4F0000}"/>
    <cellStyle name="Normal 16 5 2 2 2 2 3 2" xfId="28680" xr:uid="{00000000-0005-0000-0000-00006D4F0000}"/>
    <cellStyle name="Normal 16 5 2 2 2 2 4" xfId="25011" xr:uid="{00000000-0005-0000-0000-00006E4F0000}"/>
    <cellStyle name="Normal 16 5 2 2 2 3" xfId="15623" xr:uid="{00000000-0005-0000-0000-00006F4F0000}"/>
    <cellStyle name="Normal 16 5 2 2 2 3 2" xfId="28681" xr:uid="{00000000-0005-0000-0000-0000704F0000}"/>
    <cellStyle name="Normal 16 5 2 2 2 4" xfId="15624" xr:uid="{00000000-0005-0000-0000-0000714F0000}"/>
    <cellStyle name="Normal 16 5 2 2 2 4 2" xfId="28682" xr:uid="{00000000-0005-0000-0000-0000724F0000}"/>
    <cellStyle name="Normal 16 5 2 2 2 5" xfId="22855" xr:uid="{00000000-0005-0000-0000-0000734F0000}"/>
    <cellStyle name="Normal 16 5 2 2 3" xfId="10563" xr:uid="{00000000-0005-0000-0000-0000744F0000}"/>
    <cellStyle name="Normal 16 5 2 2 3 2" xfId="15625" xr:uid="{00000000-0005-0000-0000-0000754F0000}"/>
    <cellStyle name="Normal 16 5 2 2 3 2 2" xfId="28683" xr:uid="{00000000-0005-0000-0000-0000764F0000}"/>
    <cellStyle name="Normal 16 5 2 2 3 3" xfId="15626" xr:uid="{00000000-0005-0000-0000-0000774F0000}"/>
    <cellStyle name="Normal 16 5 2 2 3 3 2" xfId="28684" xr:uid="{00000000-0005-0000-0000-0000784F0000}"/>
    <cellStyle name="Normal 16 5 2 2 3 4" xfId="23933" xr:uid="{00000000-0005-0000-0000-0000794F0000}"/>
    <cellStyle name="Normal 16 5 2 2 4" xfId="15627" xr:uid="{00000000-0005-0000-0000-00007A4F0000}"/>
    <cellStyle name="Normal 16 5 2 2 4 2" xfId="28685" xr:uid="{00000000-0005-0000-0000-00007B4F0000}"/>
    <cellStyle name="Normal 16 5 2 2 5" xfId="15628" xr:uid="{00000000-0005-0000-0000-00007C4F0000}"/>
    <cellStyle name="Normal 16 5 2 2 5 2" xfId="28686" xr:uid="{00000000-0005-0000-0000-00007D4F0000}"/>
    <cellStyle name="Normal 16 5 2 2 6" xfId="21777" xr:uid="{00000000-0005-0000-0000-00007E4F0000}"/>
    <cellStyle name="Normal 16 5 2 3" xfId="8716" xr:uid="{00000000-0005-0000-0000-00007F4F0000}"/>
    <cellStyle name="Normal 16 5 2 3 2" xfId="11101" xr:uid="{00000000-0005-0000-0000-0000804F0000}"/>
    <cellStyle name="Normal 16 5 2 3 2 2" xfId="15629" xr:uid="{00000000-0005-0000-0000-0000814F0000}"/>
    <cellStyle name="Normal 16 5 2 3 2 2 2" xfId="28687" xr:uid="{00000000-0005-0000-0000-0000824F0000}"/>
    <cellStyle name="Normal 16 5 2 3 2 3" xfId="15630" xr:uid="{00000000-0005-0000-0000-0000834F0000}"/>
    <cellStyle name="Normal 16 5 2 3 2 3 2" xfId="28688" xr:uid="{00000000-0005-0000-0000-0000844F0000}"/>
    <cellStyle name="Normal 16 5 2 3 2 4" xfId="24471" xr:uid="{00000000-0005-0000-0000-0000854F0000}"/>
    <cellStyle name="Normal 16 5 2 3 3" xfId="15631" xr:uid="{00000000-0005-0000-0000-0000864F0000}"/>
    <cellStyle name="Normal 16 5 2 3 3 2" xfId="28689" xr:uid="{00000000-0005-0000-0000-0000874F0000}"/>
    <cellStyle name="Normal 16 5 2 3 4" xfId="15632" xr:uid="{00000000-0005-0000-0000-0000884F0000}"/>
    <cellStyle name="Normal 16 5 2 3 4 2" xfId="28690" xr:uid="{00000000-0005-0000-0000-0000894F0000}"/>
    <cellStyle name="Normal 16 5 2 3 5" xfId="22315" xr:uid="{00000000-0005-0000-0000-00008A4F0000}"/>
    <cellStyle name="Normal 16 5 2 4" xfId="10023" xr:uid="{00000000-0005-0000-0000-00008B4F0000}"/>
    <cellStyle name="Normal 16 5 2 4 2" xfId="15633" xr:uid="{00000000-0005-0000-0000-00008C4F0000}"/>
    <cellStyle name="Normal 16 5 2 4 2 2" xfId="28691" xr:uid="{00000000-0005-0000-0000-00008D4F0000}"/>
    <cellStyle name="Normal 16 5 2 4 3" xfId="15634" xr:uid="{00000000-0005-0000-0000-00008E4F0000}"/>
    <cellStyle name="Normal 16 5 2 4 3 2" xfId="28692" xr:uid="{00000000-0005-0000-0000-00008F4F0000}"/>
    <cellStyle name="Normal 16 5 2 4 4" xfId="23393" xr:uid="{00000000-0005-0000-0000-0000904F0000}"/>
    <cellStyle name="Normal 16 5 2 5" xfId="15635" xr:uid="{00000000-0005-0000-0000-0000914F0000}"/>
    <cellStyle name="Normal 16 5 2 5 2" xfId="28693" xr:uid="{00000000-0005-0000-0000-0000924F0000}"/>
    <cellStyle name="Normal 16 5 2 6" xfId="15636" xr:uid="{00000000-0005-0000-0000-0000934F0000}"/>
    <cellStyle name="Normal 16 5 2 6 2" xfId="28694" xr:uid="{00000000-0005-0000-0000-0000944F0000}"/>
    <cellStyle name="Normal 16 5 2 7" xfId="21237" xr:uid="{00000000-0005-0000-0000-0000954F0000}"/>
    <cellStyle name="Normal 16 5 3" xfId="7114" xr:uid="{00000000-0005-0000-0000-0000964F0000}"/>
    <cellStyle name="Normal 16 5 3 2" xfId="8993" xr:uid="{00000000-0005-0000-0000-0000974F0000}"/>
    <cellStyle name="Normal 16 5 3 2 2" xfId="11372" xr:uid="{00000000-0005-0000-0000-0000984F0000}"/>
    <cellStyle name="Normal 16 5 3 2 2 2" xfId="15637" xr:uid="{00000000-0005-0000-0000-0000994F0000}"/>
    <cellStyle name="Normal 16 5 3 2 2 2 2" xfId="28695" xr:uid="{00000000-0005-0000-0000-00009A4F0000}"/>
    <cellStyle name="Normal 16 5 3 2 2 3" xfId="15638" xr:uid="{00000000-0005-0000-0000-00009B4F0000}"/>
    <cellStyle name="Normal 16 5 3 2 2 3 2" xfId="28696" xr:uid="{00000000-0005-0000-0000-00009C4F0000}"/>
    <cellStyle name="Normal 16 5 3 2 2 4" xfId="24742" xr:uid="{00000000-0005-0000-0000-00009D4F0000}"/>
    <cellStyle name="Normal 16 5 3 2 3" xfId="15639" xr:uid="{00000000-0005-0000-0000-00009E4F0000}"/>
    <cellStyle name="Normal 16 5 3 2 3 2" xfId="28697" xr:uid="{00000000-0005-0000-0000-00009F4F0000}"/>
    <cellStyle name="Normal 16 5 3 2 4" xfId="15640" xr:uid="{00000000-0005-0000-0000-0000A04F0000}"/>
    <cellStyle name="Normal 16 5 3 2 4 2" xfId="28698" xr:uid="{00000000-0005-0000-0000-0000A14F0000}"/>
    <cellStyle name="Normal 16 5 3 2 5" xfId="22586" xr:uid="{00000000-0005-0000-0000-0000A24F0000}"/>
    <cellStyle name="Normal 16 5 3 3" xfId="10294" xr:uid="{00000000-0005-0000-0000-0000A34F0000}"/>
    <cellStyle name="Normal 16 5 3 3 2" xfId="15641" xr:uid="{00000000-0005-0000-0000-0000A44F0000}"/>
    <cellStyle name="Normal 16 5 3 3 2 2" xfId="28699" xr:uid="{00000000-0005-0000-0000-0000A54F0000}"/>
    <cellStyle name="Normal 16 5 3 3 3" xfId="15642" xr:uid="{00000000-0005-0000-0000-0000A64F0000}"/>
    <cellStyle name="Normal 16 5 3 3 3 2" xfId="28700" xr:uid="{00000000-0005-0000-0000-0000A74F0000}"/>
    <cellStyle name="Normal 16 5 3 3 4" xfId="23664" xr:uid="{00000000-0005-0000-0000-0000A84F0000}"/>
    <cellStyle name="Normal 16 5 3 4" xfId="15643" xr:uid="{00000000-0005-0000-0000-0000A94F0000}"/>
    <cellStyle name="Normal 16 5 3 4 2" xfId="28701" xr:uid="{00000000-0005-0000-0000-0000AA4F0000}"/>
    <cellStyle name="Normal 16 5 3 5" xfId="15644" xr:uid="{00000000-0005-0000-0000-0000AB4F0000}"/>
    <cellStyle name="Normal 16 5 3 5 2" xfId="28702" xr:uid="{00000000-0005-0000-0000-0000AC4F0000}"/>
    <cellStyle name="Normal 16 5 3 6" xfId="21508" xr:uid="{00000000-0005-0000-0000-0000AD4F0000}"/>
    <cellStyle name="Normal 16 5 4" xfId="8378" xr:uid="{00000000-0005-0000-0000-0000AE4F0000}"/>
    <cellStyle name="Normal 16 5 4 2" xfId="10832" xr:uid="{00000000-0005-0000-0000-0000AF4F0000}"/>
    <cellStyle name="Normal 16 5 4 2 2" xfId="15645" xr:uid="{00000000-0005-0000-0000-0000B04F0000}"/>
    <cellStyle name="Normal 16 5 4 2 2 2" xfId="28703" xr:uid="{00000000-0005-0000-0000-0000B14F0000}"/>
    <cellStyle name="Normal 16 5 4 2 3" xfId="15646" xr:uid="{00000000-0005-0000-0000-0000B24F0000}"/>
    <cellStyle name="Normal 16 5 4 2 3 2" xfId="28704" xr:uid="{00000000-0005-0000-0000-0000B34F0000}"/>
    <cellStyle name="Normal 16 5 4 2 4" xfId="24202" xr:uid="{00000000-0005-0000-0000-0000B44F0000}"/>
    <cellStyle name="Normal 16 5 4 3" xfId="15647" xr:uid="{00000000-0005-0000-0000-0000B54F0000}"/>
    <cellStyle name="Normal 16 5 4 3 2" xfId="28705" xr:uid="{00000000-0005-0000-0000-0000B64F0000}"/>
    <cellStyle name="Normal 16 5 4 4" xfId="15648" xr:uid="{00000000-0005-0000-0000-0000B74F0000}"/>
    <cellStyle name="Normal 16 5 4 4 2" xfId="28706" xr:uid="{00000000-0005-0000-0000-0000B84F0000}"/>
    <cellStyle name="Normal 16 5 4 5" xfId="22046" xr:uid="{00000000-0005-0000-0000-0000B94F0000}"/>
    <cellStyle name="Normal 16 5 5" xfId="9754" xr:uid="{00000000-0005-0000-0000-0000BA4F0000}"/>
    <cellStyle name="Normal 16 5 5 2" xfId="15649" xr:uid="{00000000-0005-0000-0000-0000BB4F0000}"/>
    <cellStyle name="Normal 16 5 5 2 2" xfId="28707" xr:uid="{00000000-0005-0000-0000-0000BC4F0000}"/>
    <cellStyle name="Normal 16 5 5 3" xfId="15650" xr:uid="{00000000-0005-0000-0000-0000BD4F0000}"/>
    <cellStyle name="Normal 16 5 5 3 2" xfId="28708" xr:uid="{00000000-0005-0000-0000-0000BE4F0000}"/>
    <cellStyle name="Normal 16 5 5 4" xfId="23124" xr:uid="{00000000-0005-0000-0000-0000BF4F0000}"/>
    <cellStyle name="Normal 16 5 6" xfId="15651" xr:uid="{00000000-0005-0000-0000-0000C04F0000}"/>
    <cellStyle name="Normal 16 5 6 2" xfId="28709" xr:uid="{00000000-0005-0000-0000-0000C14F0000}"/>
    <cellStyle name="Normal 16 5 7" xfId="15652" xr:uid="{00000000-0005-0000-0000-0000C24F0000}"/>
    <cellStyle name="Normal 16 5 7 2" xfId="28710" xr:uid="{00000000-0005-0000-0000-0000C34F0000}"/>
    <cellStyle name="Normal 16 5 8" xfId="20968" xr:uid="{00000000-0005-0000-0000-0000C44F0000}"/>
    <cellStyle name="Normal 16 6" xfId="6530" xr:uid="{00000000-0005-0000-0000-0000C54F0000}"/>
    <cellStyle name="Normal 16 6 2" xfId="7249" xr:uid="{00000000-0005-0000-0000-0000C64F0000}"/>
    <cellStyle name="Normal 16 6 2 2" xfId="9128" xr:uid="{00000000-0005-0000-0000-0000C74F0000}"/>
    <cellStyle name="Normal 16 6 2 2 2" xfId="11507" xr:uid="{00000000-0005-0000-0000-0000C84F0000}"/>
    <cellStyle name="Normal 16 6 2 2 2 2" xfId="15653" xr:uid="{00000000-0005-0000-0000-0000C94F0000}"/>
    <cellStyle name="Normal 16 6 2 2 2 2 2" xfId="28711" xr:uid="{00000000-0005-0000-0000-0000CA4F0000}"/>
    <cellStyle name="Normal 16 6 2 2 2 3" xfId="15654" xr:uid="{00000000-0005-0000-0000-0000CB4F0000}"/>
    <cellStyle name="Normal 16 6 2 2 2 3 2" xfId="28712" xr:uid="{00000000-0005-0000-0000-0000CC4F0000}"/>
    <cellStyle name="Normal 16 6 2 2 2 4" xfId="24877" xr:uid="{00000000-0005-0000-0000-0000CD4F0000}"/>
    <cellStyle name="Normal 16 6 2 2 3" xfId="15655" xr:uid="{00000000-0005-0000-0000-0000CE4F0000}"/>
    <cellStyle name="Normal 16 6 2 2 3 2" xfId="28713" xr:uid="{00000000-0005-0000-0000-0000CF4F0000}"/>
    <cellStyle name="Normal 16 6 2 2 4" xfId="15656" xr:uid="{00000000-0005-0000-0000-0000D04F0000}"/>
    <cellStyle name="Normal 16 6 2 2 4 2" xfId="28714" xr:uid="{00000000-0005-0000-0000-0000D14F0000}"/>
    <cellStyle name="Normal 16 6 2 2 5" xfId="22721" xr:uid="{00000000-0005-0000-0000-0000D24F0000}"/>
    <cellStyle name="Normal 16 6 2 3" xfId="10429" xr:uid="{00000000-0005-0000-0000-0000D34F0000}"/>
    <cellStyle name="Normal 16 6 2 3 2" xfId="15657" xr:uid="{00000000-0005-0000-0000-0000D44F0000}"/>
    <cellStyle name="Normal 16 6 2 3 2 2" xfId="28715" xr:uid="{00000000-0005-0000-0000-0000D54F0000}"/>
    <cellStyle name="Normal 16 6 2 3 3" xfId="15658" xr:uid="{00000000-0005-0000-0000-0000D64F0000}"/>
    <cellStyle name="Normal 16 6 2 3 3 2" xfId="28716" xr:uid="{00000000-0005-0000-0000-0000D74F0000}"/>
    <cellStyle name="Normal 16 6 2 3 4" xfId="23799" xr:uid="{00000000-0005-0000-0000-0000D84F0000}"/>
    <cellStyle name="Normal 16 6 2 4" xfId="15659" xr:uid="{00000000-0005-0000-0000-0000D94F0000}"/>
    <cellStyle name="Normal 16 6 2 4 2" xfId="28717" xr:uid="{00000000-0005-0000-0000-0000DA4F0000}"/>
    <cellStyle name="Normal 16 6 2 5" xfId="15660" xr:uid="{00000000-0005-0000-0000-0000DB4F0000}"/>
    <cellStyle name="Normal 16 6 2 5 2" xfId="28718" xr:uid="{00000000-0005-0000-0000-0000DC4F0000}"/>
    <cellStyle name="Normal 16 6 2 6" xfId="21643" xr:uid="{00000000-0005-0000-0000-0000DD4F0000}"/>
    <cellStyle name="Normal 16 6 3" xfId="8580" xr:uid="{00000000-0005-0000-0000-0000DE4F0000}"/>
    <cellStyle name="Normal 16 6 3 2" xfId="10967" xr:uid="{00000000-0005-0000-0000-0000DF4F0000}"/>
    <cellStyle name="Normal 16 6 3 2 2" xfId="15661" xr:uid="{00000000-0005-0000-0000-0000E04F0000}"/>
    <cellStyle name="Normal 16 6 3 2 2 2" xfId="28719" xr:uid="{00000000-0005-0000-0000-0000E14F0000}"/>
    <cellStyle name="Normal 16 6 3 2 3" xfId="15662" xr:uid="{00000000-0005-0000-0000-0000E24F0000}"/>
    <cellStyle name="Normal 16 6 3 2 3 2" xfId="28720" xr:uid="{00000000-0005-0000-0000-0000E34F0000}"/>
    <cellStyle name="Normal 16 6 3 2 4" xfId="24337" xr:uid="{00000000-0005-0000-0000-0000E44F0000}"/>
    <cellStyle name="Normal 16 6 3 3" xfId="15663" xr:uid="{00000000-0005-0000-0000-0000E54F0000}"/>
    <cellStyle name="Normal 16 6 3 3 2" xfId="28721" xr:uid="{00000000-0005-0000-0000-0000E64F0000}"/>
    <cellStyle name="Normal 16 6 3 4" xfId="15664" xr:uid="{00000000-0005-0000-0000-0000E74F0000}"/>
    <cellStyle name="Normal 16 6 3 4 2" xfId="28722" xr:uid="{00000000-0005-0000-0000-0000E84F0000}"/>
    <cellStyle name="Normal 16 6 3 5" xfId="22181" xr:uid="{00000000-0005-0000-0000-0000E94F0000}"/>
    <cellStyle name="Normal 16 6 4" xfId="9889" xr:uid="{00000000-0005-0000-0000-0000EA4F0000}"/>
    <cellStyle name="Normal 16 6 4 2" xfId="15665" xr:uid="{00000000-0005-0000-0000-0000EB4F0000}"/>
    <cellStyle name="Normal 16 6 4 2 2" xfId="28723" xr:uid="{00000000-0005-0000-0000-0000EC4F0000}"/>
    <cellStyle name="Normal 16 6 4 3" xfId="15666" xr:uid="{00000000-0005-0000-0000-0000ED4F0000}"/>
    <cellStyle name="Normal 16 6 4 3 2" xfId="28724" xr:uid="{00000000-0005-0000-0000-0000EE4F0000}"/>
    <cellStyle name="Normal 16 6 4 4" xfId="23259" xr:uid="{00000000-0005-0000-0000-0000EF4F0000}"/>
    <cellStyle name="Normal 16 6 5" xfId="15667" xr:uid="{00000000-0005-0000-0000-0000F04F0000}"/>
    <cellStyle name="Normal 16 6 5 2" xfId="28725" xr:uid="{00000000-0005-0000-0000-0000F14F0000}"/>
    <cellStyle name="Normal 16 6 6" xfId="15668" xr:uid="{00000000-0005-0000-0000-0000F24F0000}"/>
    <cellStyle name="Normal 16 6 6 2" xfId="28726" xr:uid="{00000000-0005-0000-0000-0000F34F0000}"/>
    <cellStyle name="Normal 16 6 7" xfId="21103" xr:uid="{00000000-0005-0000-0000-0000F44F0000}"/>
    <cellStyle name="Normal 16 7" xfId="6979" xr:uid="{00000000-0005-0000-0000-0000F54F0000}"/>
    <cellStyle name="Normal 16 7 2" xfId="8859" xr:uid="{00000000-0005-0000-0000-0000F64F0000}"/>
    <cellStyle name="Normal 16 7 2 2" xfId="11238" xr:uid="{00000000-0005-0000-0000-0000F74F0000}"/>
    <cellStyle name="Normal 16 7 2 2 2" xfId="15669" xr:uid="{00000000-0005-0000-0000-0000F84F0000}"/>
    <cellStyle name="Normal 16 7 2 2 2 2" xfId="28727" xr:uid="{00000000-0005-0000-0000-0000F94F0000}"/>
    <cellStyle name="Normal 16 7 2 2 3" xfId="15670" xr:uid="{00000000-0005-0000-0000-0000FA4F0000}"/>
    <cellStyle name="Normal 16 7 2 2 3 2" xfId="28728" xr:uid="{00000000-0005-0000-0000-0000FB4F0000}"/>
    <cellStyle name="Normal 16 7 2 2 4" xfId="24608" xr:uid="{00000000-0005-0000-0000-0000FC4F0000}"/>
    <cellStyle name="Normal 16 7 2 3" xfId="15671" xr:uid="{00000000-0005-0000-0000-0000FD4F0000}"/>
    <cellStyle name="Normal 16 7 2 3 2" xfId="28729" xr:uid="{00000000-0005-0000-0000-0000FE4F0000}"/>
    <cellStyle name="Normal 16 7 2 4" xfId="15672" xr:uid="{00000000-0005-0000-0000-0000FF4F0000}"/>
    <cellStyle name="Normal 16 7 2 4 2" xfId="28730" xr:uid="{00000000-0005-0000-0000-000000500000}"/>
    <cellStyle name="Normal 16 7 2 5" xfId="22452" xr:uid="{00000000-0005-0000-0000-000001500000}"/>
    <cellStyle name="Normal 16 7 3" xfId="10160" xr:uid="{00000000-0005-0000-0000-000002500000}"/>
    <cellStyle name="Normal 16 7 3 2" xfId="15673" xr:uid="{00000000-0005-0000-0000-000003500000}"/>
    <cellStyle name="Normal 16 7 3 2 2" xfId="28731" xr:uid="{00000000-0005-0000-0000-000004500000}"/>
    <cellStyle name="Normal 16 7 3 3" xfId="15674" xr:uid="{00000000-0005-0000-0000-000005500000}"/>
    <cellStyle name="Normal 16 7 3 3 2" xfId="28732" xr:uid="{00000000-0005-0000-0000-000006500000}"/>
    <cellStyle name="Normal 16 7 3 4" xfId="23530" xr:uid="{00000000-0005-0000-0000-000007500000}"/>
    <cellStyle name="Normal 16 7 4" xfId="15675" xr:uid="{00000000-0005-0000-0000-000008500000}"/>
    <cellStyle name="Normal 16 7 4 2" xfId="28733" xr:uid="{00000000-0005-0000-0000-000009500000}"/>
    <cellStyle name="Normal 16 7 5" xfId="15676" xr:uid="{00000000-0005-0000-0000-00000A500000}"/>
    <cellStyle name="Normal 16 7 5 2" xfId="28734" xr:uid="{00000000-0005-0000-0000-00000B500000}"/>
    <cellStyle name="Normal 16 7 6" xfId="21374" xr:uid="{00000000-0005-0000-0000-00000C500000}"/>
    <cellStyle name="Normal 16 8" xfId="8112" xr:uid="{00000000-0005-0000-0000-00000D500000}"/>
    <cellStyle name="Normal 16 8 2" xfId="10698" xr:uid="{00000000-0005-0000-0000-00000E500000}"/>
    <cellStyle name="Normal 16 8 2 2" xfId="15677" xr:uid="{00000000-0005-0000-0000-00000F500000}"/>
    <cellStyle name="Normal 16 8 2 2 2" xfId="28735" xr:uid="{00000000-0005-0000-0000-000010500000}"/>
    <cellStyle name="Normal 16 8 2 3" xfId="15678" xr:uid="{00000000-0005-0000-0000-000011500000}"/>
    <cellStyle name="Normal 16 8 2 3 2" xfId="28736" xr:uid="{00000000-0005-0000-0000-000012500000}"/>
    <cellStyle name="Normal 16 8 2 4" xfId="24068" xr:uid="{00000000-0005-0000-0000-000013500000}"/>
    <cellStyle name="Normal 16 8 3" xfId="15679" xr:uid="{00000000-0005-0000-0000-000014500000}"/>
    <cellStyle name="Normal 16 8 3 2" xfId="28737" xr:uid="{00000000-0005-0000-0000-000015500000}"/>
    <cellStyle name="Normal 16 8 4" xfId="15680" xr:uid="{00000000-0005-0000-0000-000016500000}"/>
    <cellStyle name="Normal 16 8 4 2" xfId="28738" xr:uid="{00000000-0005-0000-0000-000017500000}"/>
    <cellStyle name="Normal 16 8 5" xfId="21912" xr:uid="{00000000-0005-0000-0000-000018500000}"/>
    <cellStyle name="Normal 16 9" xfId="9619" xr:uid="{00000000-0005-0000-0000-000019500000}"/>
    <cellStyle name="Normal 16 9 2" xfId="15681" xr:uid="{00000000-0005-0000-0000-00001A500000}"/>
    <cellStyle name="Normal 16 9 2 2" xfId="28739" xr:uid="{00000000-0005-0000-0000-00001B500000}"/>
    <cellStyle name="Normal 16 9 3" xfId="15682" xr:uid="{00000000-0005-0000-0000-00001C500000}"/>
    <cellStyle name="Normal 16 9 3 2" xfId="28740" xr:uid="{00000000-0005-0000-0000-00001D500000}"/>
    <cellStyle name="Normal 16 9 4" xfId="22990" xr:uid="{00000000-0005-0000-0000-00001E500000}"/>
    <cellStyle name="Normal 160" xfId="33812" xr:uid="{00000000-0005-0000-0000-00001F500000}"/>
    <cellStyle name="Normal 161" xfId="33813" xr:uid="{00000000-0005-0000-0000-000020500000}"/>
    <cellStyle name="Normal 162" xfId="33814" xr:uid="{00000000-0005-0000-0000-000021500000}"/>
    <cellStyle name="Normal 163" xfId="33815" xr:uid="{00000000-0005-0000-0000-000022500000}"/>
    <cellStyle name="Normal 164" xfId="33816" xr:uid="{00000000-0005-0000-0000-000023500000}"/>
    <cellStyle name="Normal 165" xfId="33817" xr:uid="{00000000-0005-0000-0000-000024500000}"/>
    <cellStyle name="Normal 166" xfId="33818" xr:uid="{00000000-0005-0000-0000-000025500000}"/>
    <cellStyle name="Normal 167" xfId="33819" xr:uid="{00000000-0005-0000-0000-000026500000}"/>
    <cellStyle name="Normal 168" xfId="33822" xr:uid="{00000000-0005-0000-0000-000027500000}"/>
    <cellStyle name="Normal 169" xfId="33827" xr:uid="{00000000-0005-0000-0000-000028500000}"/>
    <cellStyle name="Normal 17" xfId="3030" xr:uid="{00000000-0005-0000-0000-000029500000}"/>
    <cellStyle name="Normal 17 2" xfId="34457" xr:uid="{00000000-0005-0000-0000-00002A500000}"/>
    <cellStyle name="Normal 170" xfId="33828" xr:uid="{00000000-0005-0000-0000-00002B500000}"/>
    <cellStyle name="Normal 171" xfId="33829" xr:uid="{00000000-0005-0000-0000-00002C500000}"/>
    <cellStyle name="Normal 172" xfId="33830" xr:uid="{00000000-0005-0000-0000-00002D500000}"/>
    <cellStyle name="Normal 173" xfId="33831" xr:uid="{00000000-0005-0000-0000-00002E500000}"/>
    <cellStyle name="Normal 174" xfId="33832" xr:uid="{00000000-0005-0000-0000-00002F500000}"/>
    <cellStyle name="Normal 175" xfId="33833" xr:uid="{00000000-0005-0000-0000-000030500000}"/>
    <cellStyle name="Normal 176" xfId="33834" xr:uid="{00000000-0005-0000-0000-000031500000}"/>
    <cellStyle name="Normal 177" xfId="33835" xr:uid="{00000000-0005-0000-0000-000032500000}"/>
    <cellStyle name="Normal 178" xfId="33836" xr:uid="{00000000-0005-0000-0000-000033500000}"/>
    <cellStyle name="Normal 179" xfId="33837" xr:uid="{00000000-0005-0000-0000-000034500000}"/>
    <cellStyle name="Normal 18" xfId="3029" xr:uid="{00000000-0005-0000-0000-000035500000}"/>
    <cellStyle name="Normal 18 10" xfId="20834" xr:uid="{00000000-0005-0000-0000-000036500000}"/>
    <cellStyle name="Normal 18 2" xfId="4072" xr:uid="{00000000-0005-0000-0000-000037500000}"/>
    <cellStyle name="Normal 18 2 2" xfId="5608" xr:uid="{00000000-0005-0000-0000-000038500000}"/>
    <cellStyle name="Normal 18 2 2 2" xfId="6760" xr:uid="{00000000-0005-0000-0000-000039500000}"/>
    <cellStyle name="Normal 18 2 2 2 2" xfId="7447" xr:uid="{00000000-0005-0000-0000-00003A500000}"/>
    <cellStyle name="Normal 18 2 2 2 2 2" xfId="9326" xr:uid="{00000000-0005-0000-0000-00003B500000}"/>
    <cellStyle name="Normal 18 2 2 2 2 2 2" xfId="11705" xr:uid="{00000000-0005-0000-0000-00003C500000}"/>
    <cellStyle name="Normal 18 2 2 2 2 2 2 2" xfId="15683" xr:uid="{00000000-0005-0000-0000-00003D500000}"/>
    <cellStyle name="Normal 18 2 2 2 2 2 2 2 2" xfId="28741" xr:uid="{00000000-0005-0000-0000-00003E500000}"/>
    <cellStyle name="Normal 18 2 2 2 2 2 2 3" xfId="15684" xr:uid="{00000000-0005-0000-0000-00003F500000}"/>
    <cellStyle name="Normal 18 2 2 2 2 2 2 3 2" xfId="28742" xr:uid="{00000000-0005-0000-0000-000040500000}"/>
    <cellStyle name="Normal 18 2 2 2 2 2 2 4" xfId="25075" xr:uid="{00000000-0005-0000-0000-000041500000}"/>
    <cellStyle name="Normal 18 2 2 2 2 2 3" xfId="15685" xr:uid="{00000000-0005-0000-0000-000042500000}"/>
    <cellStyle name="Normal 18 2 2 2 2 2 3 2" xfId="28743" xr:uid="{00000000-0005-0000-0000-000043500000}"/>
    <cellStyle name="Normal 18 2 2 2 2 2 4" xfId="15686" xr:uid="{00000000-0005-0000-0000-000044500000}"/>
    <cellStyle name="Normal 18 2 2 2 2 2 4 2" xfId="28744" xr:uid="{00000000-0005-0000-0000-000045500000}"/>
    <cellStyle name="Normal 18 2 2 2 2 2 5" xfId="22919" xr:uid="{00000000-0005-0000-0000-000046500000}"/>
    <cellStyle name="Normal 18 2 2 2 2 3" xfId="10627" xr:uid="{00000000-0005-0000-0000-000047500000}"/>
    <cellStyle name="Normal 18 2 2 2 2 3 2" xfId="15687" xr:uid="{00000000-0005-0000-0000-000048500000}"/>
    <cellStyle name="Normal 18 2 2 2 2 3 2 2" xfId="28745" xr:uid="{00000000-0005-0000-0000-000049500000}"/>
    <cellStyle name="Normal 18 2 2 2 2 3 3" xfId="15688" xr:uid="{00000000-0005-0000-0000-00004A500000}"/>
    <cellStyle name="Normal 18 2 2 2 2 3 3 2" xfId="28746" xr:uid="{00000000-0005-0000-0000-00004B500000}"/>
    <cellStyle name="Normal 18 2 2 2 2 3 4" xfId="23997" xr:uid="{00000000-0005-0000-0000-00004C500000}"/>
    <cellStyle name="Normal 18 2 2 2 2 4" xfId="15689" xr:uid="{00000000-0005-0000-0000-00004D500000}"/>
    <cellStyle name="Normal 18 2 2 2 2 4 2" xfId="28747" xr:uid="{00000000-0005-0000-0000-00004E500000}"/>
    <cellStyle name="Normal 18 2 2 2 2 5" xfId="15690" xr:uid="{00000000-0005-0000-0000-00004F500000}"/>
    <cellStyle name="Normal 18 2 2 2 2 5 2" xfId="28748" xr:uid="{00000000-0005-0000-0000-000050500000}"/>
    <cellStyle name="Normal 18 2 2 2 2 6" xfId="21841" xr:uid="{00000000-0005-0000-0000-000051500000}"/>
    <cellStyle name="Normal 18 2 2 2 3" xfId="8780" xr:uid="{00000000-0005-0000-0000-000052500000}"/>
    <cellStyle name="Normal 18 2 2 2 3 2" xfId="11165" xr:uid="{00000000-0005-0000-0000-000053500000}"/>
    <cellStyle name="Normal 18 2 2 2 3 2 2" xfId="15691" xr:uid="{00000000-0005-0000-0000-000054500000}"/>
    <cellStyle name="Normal 18 2 2 2 3 2 2 2" xfId="28749" xr:uid="{00000000-0005-0000-0000-000055500000}"/>
    <cellStyle name="Normal 18 2 2 2 3 2 3" xfId="15692" xr:uid="{00000000-0005-0000-0000-000056500000}"/>
    <cellStyle name="Normal 18 2 2 2 3 2 3 2" xfId="28750" xr:uid="{00000000-0005-0000-0000-000057500000}"/>
    <cellStyle name="Normal 18 2 2 2 3 2 4" xfId="24535" xr:uid="{00000000-0005-0000-0000-000058500000}"/>
    <cellStyle name="Normal 18 2 2 2 3 3" xfId="15693" xr:uid="{00000000-0005-0000-0000-000059500000}"/>
    <cellStyle name="Normal 18 2 2 2 3 3 2" xfId="28751" xr:uid="{00000000-0005-0000-0000-00005A500000}"/>
    <cellStyle name="Normal 18 2 2 2 3 4" xfId="15694" xr:uid="{00000000-0005-0000-0000-00005B500000}"/>
    <cellStyle name="Normal 18 2 2 2 3 4 2" xfId="28752" xr:uid="{00000000-0005-0000-0000-00005C500000}"/>
    <cellStyle name="Normal 18 2 2 2 3 5" xfId="22379" xr:uid="{00000000-0005-0000-0000-00005D500000}"/>
    <cellStyle name="Normal 18 2 2 2 4" xfId="10087" xr:uid="{00000000-0005-0000-0000-00005E500000}"/>
    <cellStyle name="Normal 18 2 2 2 4 2" xfId="15695" xr:uid="{00000000-0005-0000-0000-00005F500000}"/>
    <cellStyle name="Normal 18 2 2 2 4 2 2" xfId="28753" xr:uid="{00000000-0005-0000-0000-000060500000}"/>
    <cellStyle name="Normal 18 2 2 2 4 3" xfId="15696" xr:uid="{00000000-0005-0000-0000-000061500000}"/>
    <cellStyle name="Normal 18 2 2 2 4 3 2" xfId="28754" xr:uid="{00000000-0005-0000-0000-000062500000}"/>
    <cellStyle name="Normal 18 2 2 2 4 4" xfId="23457" xr:uid="{00000000-0005-0000-0000-000063500000}"/>
    <cellStyle name="Normal 18 2 2 2 5" xfId="15697" xr:uid="{00000000-0005-0000-0000-000064500000}"/>
    <cellStyle name="Normal 18 2 2 2 5 2" xfId="28755" xr:uid="{00000000-0005-0000-0000-000065500000}"/>
    <cellStyle name="Normal 18 2 2 2 6" xfId="15698" xr:uid="{00000000-0005-0000-0000-000066500000}"/>
    <cellStyle name="Normal 18 2 2 2 6 2" xfId="28756" xr:uid="{00000000-0005-0000-0000-000067500000}"/>
    <cellStyle name="Normal 18 2 2 2 7" xfId="21301" xr:uid="{00000000-0005-0000-0000-000068500000}"/>
    <cellStyle name="Normal 18 2 2 3" xfId="7178" xr:uid="{00000000-0005-0000-0000-000069500000}"/>
    <cellStyle name="Normal 18 2 2 3 2" xfId="9057" xr:uid="{00000000-0005-0000-0000-00006A500000}"/>
    <cellStyle name="Normal 18 2 2 3 2 2" xfId="11436" xr:uid="{00000000-0005-0000-0000-00006B500000}"/>
    <cellStyle name="Normal 18 2 2 3 2 2 2" xfId="15699" xr:uid="{00000000-0005-0000-0000-00006C500000}"/>
    <cellStyle name="Normal 18 2 2 3 2 2 2 2" xfId="28757" xr:uid="{00000000-0005-0000-0000-00006D500000}"/>
    <cellStyle name="Normal 18 2 2 3 2 2 3" xfId="15700" xr:uid="{00000000-0005-0000-0000-00006E500000}"/>
    <cellStyle name="Normal 18 2 2 3 2 2 3 2" xfId="28758" xr:uid="{00000000-0005-0000-0000-00006F500000}"/>
    <cellStyle name="Normal 18 2 2 3 2 2 4" xfId="24806" xr:uid="{00000000-0005-0000-0000-000070500000}"/>
    <cellStyle name="Normal 18 2 2 3 2 3" xfId="15701" xr:uid="{00000000-0005-0000-0000-000071500000}"/>
    <cellStyle name="Normal 18 2 2 3 2 3 2" xfId="28759" xr:uid="{00000000-0005-0000-0000-000072500000}"/>
    <cellStyle name="Normal 18 2 2 3 2 4" xfId="15702" xr:uid="{00000000-0005-0000-0000-000073500000}"/>
    <cellStyle name="Normal 18 2 2 3 2 4 2" xfId="28760" xr:uid="{00000000-0005-0000-0000-000074500000}"/>
    <cellStyle name="Normal 18 2 2 3 2 5" xfId="22650" xr:uid="{00000000-0005-0000-0000-000075500000}"/>
    <cellStyle name="Normal 18 2 2 3 3" xfId="10358" xr:uid="{00000000-0005-0000-0000-000076500000}"/>
    <cellStyle name="Normal 18 2 2 3 3 2" xfId="15703" xr:uid="{00000000-0005-0000-0000-000077500000}"/>
    <cellStyle name="Normal 18 2 2 3 3 2 2" xfId="28761" xr:uid="{00000000-0005-0000-0000-000078500000}"/>
    <cellStyle name="Normal 18 2 2 3 3 3" xfId="15704" xr:uid="{00000000-0005-0000-0000-000079500000}"/>
    <cellStyle name="Normal 18 2 2 3 3 3 2" xfId="28762" xr:uid="{00000000-0005-0000-0000-00007A500000}"/>
    <cellStyle name="Normal 18 2 2 3 3 4" xfId="23728" xr:uid="{00000000-0005-0000-0000-00007B500000}"/>
    <cellStyle name="Normal 18 2 2 3 4" xfId="15705" xr:uid="{00000000-0005-0000-0000-00007C500000}"/>
    <cellStyle name="Normal 18 2 2 3 4 2" xfId="28763" xr:uid="{00000000-0005-0000-0000-00007D500000}"/>
    <cellStyle name="Normal 18 2 2 3 5" xfId="15706" xr:uid="{00000000-0005-0000-0000-00007E500000}"/>
    <cellStyle name="Normal 18 2 2 3 5 2" xfId="28764" xr:uid="{00000000-0005-0000-0000-00007F500000}"/>
    <cellStyle name="Normal 18 2 2 3 6" xfId="21572" xr:uid="{00000000-0005-0000-0000-000080500000}"/>
    <cellStyle name="Normal 18 2 2 4" xfId="8455" xr:uid="{00000000-0005-0000-0000-000081500000}"/>
    <cellStyle name="Normal 18 2 2 4 2" xfId="10896" xr:uid="{00000000-0005-0000-0000-000082500000}"/>
    <cellStyle name="Normal 18 2 2 4 2 2" xfId="15707" xr:uid="{00000000-0005-0000-0000-000083500000}"/>
    <cellStyle name="Normal 18 2 2 4 2 2 2" xfId="28765" xr:uid="{00000000-0005-0000-0000-000084500000}"/>
    <cellStyle name="Normal 18 2 2 4 2 3" xfId="15708" xr:uid="{00000000-0005-0000-0000-000085500000}"/>
    <cellStyle name="Normal 18 2 2 4 2 3 2" xfId="28766" xr:uid="{00000000-0005-0000-0000-000086500000}"/>
    <cellStyle name="Normal 18 2 2 4 2 4" xfId="24266" xr:uid="{00000000-0005-0000-0000-000087500000}"/>
    <cellStyle name="Normal 18 2 2 4 3" xfId="15709" xr:uid="{00000000-0005-0000-0000-000088500000}"/>
    <cellStyle name="Normal 18 2 2 4 3 2" xfId="28767" xr:uid="{00000000-0005-0000-0000-000089500000}"/>
    <cellStyle name="Normal 18 2 2 4 4" xfId="15710" xr:uid="{00000000-0005-0000-0000-00008A500000}"/>
    <cellStyle name="Normal 18 2 2 4 4 2" xfId="28768" xr:uid="{00000000-0005-0000-0000-00008B500000}"/>
    <cellStyle name="Normal 18 2 2 4 5" xfId="22110" xr:uid="{00000000-0005-0000-0000-00008C500000}"/>
    <cellStyle name="Normal 18 2 2 5" xfId="9818" xr:uid="{00000000-0005-0000-0000-00008D500000}"/>
    <cellStyle name="Normal 18 2 2 5 2" xfId="15711" xr:uid="{00000000-0005-0000-0000-00008E500000}"/>
    <cellStyle name="Normal 18 2 2 5 2 2" xfId="28769" xr:uid="{00000000-0005-0000-0000-00008F500000}"/>
    <cellStyle name="Normal 18 2 2 5 3" xfId="15712" xr:uid="{00000000-0005-0000-0000-000090500000}"/>
    <cellStyle name="Normal 18 2 2 5 3 2" xfId="28770" xr:uid="{00000000-0005-0000-0000-000091500000}"/>
    <cellStyle name="Normal 18 2 2 5 4" xfId="23188" xr:uid="{00000000-0005-0000-0000-000092500000}"/>
    <cellStyle name="Normal 18 2 2 6" xfId="15713" xr:uid="{00000000-0005-0000-0000-000093500000}"/>
    <cellStyle name="Normal 18 2 2 6 2" xfId="28771" xr:uid="{00000000-0005-0000-0000-000094500000}"/>
    <cellStyle name="Normal 18 2 2 7" xfId="15714" xr:uid="{00000000-0005-0000-0000-000095500000}"/>
    <cellStyle name="Normal 18 2 2 7 2" xfId="28772" xr:uid="{00000000-0005-0000-0000-000096500000}"/>
    <cellStyle name="Normal 18 2 2 8" xfId="21032" xr:uid="{00000000-0005-0000-0000-000097500000}"/>
    <cellStyle name="Normal 18 2 3" xfId="6609" xr:uid="{00000000-0005-0000-0000-000098500000}"/>
    <cellStyle name="Normal 18 2 3 2" xfId="7305" xr:uid="{00000000-0005-0000-0000-000099500000}"/>
    <cellStyle name="Normal 18 2 3 2 2" xfId="9184" xr:uid="{00000000-0005-0000-0000-00009A500000}"/>
    <cellStyle name="Normal 18 2 3 2 2 2" xfId="11563" xr:uid="{00000000-0005-0000-0000-00009B500000}"/>
    <cellStyle name="Normal 18 2 3 2 2 2 2" xfId="15715" xr:uid="{00000000-0005-0000-0000-00009C500000}"/>
    <cellStyle name="Normal 18 2 3 2 2 2 2 2" xfId="28773" xr:uid="{00000000-0005-0000-0000-00009D500000}"/>
    <cellStyle name="Normal 18 2 3 2 2 2 3" xfId="15716" xr:uid="{00000000-0005-0000-0000-00009E500000}"/>
    <cellStyle name="Normal 18 2 3 2 2 2 3 2" xfId="28774" xr:uid="{00000000-0005-0000-0000-00009F500000}"/>
    <cellStyle name="Normal 18 2 3 2 2 2 4" xfId="24933" xr:uid="{00000000-0005-0000-0000-0000A0500000}"/>
    <cellStyle name="Normal 18 2 3 2 2 3" xfId="15717" xr:uid="{00000000-0005-0000-0000-0000A1500000}"/>
    <cellStyle name="Normal 18 2 3 2 2 3 2" xfId="28775" xr:uid="{00000000-0005-0000-0000-0000A2500000}"/>
    <cellStyle name="Normal 18 2 3 2 2 4" xfId="15718" xr:uid="{00000000-0005-0000-0000-0000A3500000}"/>
    <cellStyle name="Normal 18 2 3 2 2 4 2" xfId="28776" xr:uid="{00000000-0005-0000-0000-0000A4500000}"/>
    <cellStyle name="Normal 18 2 3 2 2 5" xfId="22777" xr:uid="{00000000-0005-0000-0000-0000A5500000}"/>
    <cellStyle name="Normal 18 2 3 2 3" xfId="10485" xr:uid="{00000000-0005-0000-0000-0000A6500000}"/>
    <cellStyle name="Normal 18 2 3 2 3 2" xfId="15719" xr:uid="{00000000-0005-0000-0000-0000A7500000}"/>
    <cellStyle name="Normal 18 2 3 2 3 2 2" xfId="28777" xr:uid="{00000000-0005-0000-0000-0000A8500000}"/>
    <cellStyle name="Normal 18 2 3 2 3 3" xfId="15720" xr:uid="{00000000-0005-0000-0000-0000A9500000}"/>
    <cellStyle name="Normal 18 2 3 2 3 3 2" xfId="28778" xr:uid="{00000000-0005-0000-0000-0000AA500000}"/>
    <cellStyle name="Normal 18 2 3 2 3 4" xfId="23855" xr:uid="{00000000-0005-0000-0000-0000AB500000}"/>
    <cellStyle name="Normal 18 2 3 2 4" xfId="15721" xr:uid="{00000000-0005-0000-0000-0000AC500000}"/>
    <cellStyle name="Normal 18 2 3 2 4 2" xfId="28779" xr:uid="{00000000-0005-0000-0000-0000AD500000}"/>
    <cellStyle name="Normal 18 2 3 2 5" xfId="15722" xr:uid="{00000000-0005-0000-0000-0000AE500000}"/>
    <cellStyle name="Normal 18 2 3 2 5 2" xfId="28780" xr:uid="{00000000-0005-0000-0000-0000AF500000}"/>
    <cellStyle name="Normal 18 2 3 2 6" xfId="21699" xr:uid="{00000000-0005-0000-0000-0000B0500000}"/>
    <cellStyle name="Normal 18 2 3 3" xfId="8637" xr:uid="{00000000-0005-0000-0000-0000B1500000}"/>
    <cellStyle name="Normal 18 2 3 3 2" xfId="11023" xr:uid="{00000000-0005-0000-0000-0000B2500000}"/>
    <cellStyle name="Normal 18 2 3 3 2 2" xfId="15723" xr:uid="{00000000-0005-0000-0000-0000B3500000}"/>
    <cellStyle name="Normal 18 2 3 3 2 2 2" xfId="28781" xr:uid="{00000000-0005-0000-0000-0000B4500000}"/>
    <cellStyle name="Normal 18 2 3 3 2 3" xfId="15724" xr:uid="{00000000-0005-0000-0000-0000B5500000}"/>
    <cellStyle name="Normal 18 2 3 3 2 3 2" xfId="28782" xr:uid="{00000000-0005-0000-0000-0000B6500000}"/>
    <cellStyle name="Normal 18 2 3 3 2 4" xfId="24393" xr:uid="{00000000-0005-0000-0000-0000B7500000}"/>
    <cellStyle name="Normal 18 2 3 3 3" xfId="15725" xr:uid="{00000000-0005-0000-0000-0000B8500000}"/>
    <cellStyle name="Normal 18 2 3 3 3 2" xfId="28783" xr:uid="{00000000-0005-0000-0000-0000B9500000}"/>
    <cellStyle name="Normal 18 2 3 3 4" xfId="15726" xr:uid="{00000000-0005-0000-0000-0000BA500000}"/>
    <cellStyle name="Normal 18 2 3 3 4 2" xfId="28784" xr:uid="{00000000-0005-0000-0000-0000BB500000}"/>
    <cellStyle name="Normal 18 2 3 3 5" xfId="22237" xr:uid="{00000000-0005-0000-0000-0000BC500000}"/>
    <cellStyle name="Normal 18 2 3 4" xfId="9945" xr:uid="{00000000-0005-0000-0000-0000BD500000}"/>
    <cellStyle name="Normal 18 2 3 4 2" xfId="15727" xr:uid="{00000000-0005-0000-0000-0000BE500000}"/>
    <cellStyle name="Normal 18 2 3 4 2 2" xfId="28785" xr:uid="{00000000-0005-0000-0000-0000BF500000}"/>
    <cellStyle name="Normal 18 2 3 4 3" xfId="15728" xr:uid="{00000000-0005-0000-0000-0000C0500000}"/>
    <cellStyle name="Normal 18 2 3 4 3 2" xfId="28786" xr:uid="{00000000-0005-0000-0000-0000C1500000}"/>
    <cellStyle name="Normal 18 2 3 4 4" xfId="23315" xr:uid="{00000000-0005-0000-0000-0000C2500000}"/>
    <cellStyle name="Normal 18 2 3 5" xfId="15729" xr:uid="{00000000-0005-0000-0000-0000C3500000}"/>
    <cellStyle name="Normal 18 2 3 5 2" xfId="28787" xr:uid="{00000000-0005-0000-0000-0000C4500000}"/>
    <cellStyle name="Normal 18 2 3 6" xfId="15730" xr:uid="{00000000-0005-0000-0000-0000C5500000}"/>
    <cellStyle name="Normal 18 2 3 6 2" xfId="28788" xr:uid="{00000000-0005-0000-0000-0000C6500000}"/>
    <cellStyle name="Normal 18 2 3 7" xfId="21159" xr:uid="{00000000-0005-0000-0000-0000C7500000}"/>
    <cellStyle name="Normal 18 2 4" xfId="7035" xr:uid="{00000000-0005-0000-0000-0000C8500000}"/>
    <cellStyle name="Normal 18 2 4 2" xfId="8915" xr:uid="{00000000-0005-0000-0000-0000C9500000}"/>
    <cellStyle name="Normal 18 2 4 2 2" xfId="11294" xr:uid="{00000000-0005-0000-0000-0000CA500000}"/>
    <cellStyle name="Normal 18 2 4 2 2 2" xfId="15731" xr:uid="{00000000-0005-0000-0000-0000CB500000}"/>
    <cellStyle name="Normal 18 2 4 2 2 2 2" xfId="28789" xr:uid="{00000000-0005-0000-0000-0000CC500000}"/>
    <cellStyle name="Normal 18 2 4 2 2 3" xfId="15732" xr:uid="{00000000-0005-0000-0000-0000CD500000}"/>
    <cellStyle name="Normal 18 2 4 2 2 3 2" xfId="28790" xr:uid="{00000000-0005-0000-0000-0000CE500000}"/>
    <cellStyle name="Normal 18 2 4 2 2 4" xfId="24664" xr:uid="{00000000-0005-0000-0000-0000CF500000}"/>
    <cellStyle name="Normal 18 2 4 2 3" xfId="15733" xr:uid="{00000000-0005-0000-0000-0000D0500000}"/>
    <cellStyle name="Normal 18 2 4 2 3 2" xfId="28791" xr:uid="{00000000-0005-0000-0000-0000D1500000}"/>
    <cellStyle name="Normal 18 2 4 2 4" xfId="15734" xr:uid="{00000000-0005-0000-0000-0000D2500000}"/>
    <cellStyle name="Normal 18 2 4 2 4 2" xfId="28792" xr:uid="{00000000-0005-0000-0000-0000D3500000}"/>
    <cellStyle name="Normal 18 2 4 2 5" xfId="22508" xr:uid="{00000000-0005-0000-0000-0000D4500000}"/>
    <cellStyle name="Normal 18 2 4 3" xfId="10216" xr:uid="{00000000-0005-0000-0000-0000D5500000}"/>
    <cellStyle name="Normal 18 2 4 3 2" xfId="15735" xr:uid="{00000000-0005-0000-0000-0000D6500000}"/>
    <cellStyle name="Normal 18 2 4 3 2 2" xfId="28793" xr:uid="{00000000-0005-0000-0000-0000D7500000}"/>
    <cellStyle name="Normal 18 2 4 3 3" xfId="15736" xr:uid="{00000000-0005-0000-0000-0000D8500000}"/>
    <cellStyle name="Normal 18 2 4 3 3 2" xfId="28794" xr:uid="{00000000-0005-0000-0000-0000D9500000}"/>
    <cellStyle name="Normal 18 2 4 3 4" xfId="23586" xr:uid="{00000000-0005-0000-0000-0000DA500000}"/>
    <cellStyle name="Normal 18 2 4 4" xfId="15737" xr:uid="{00000000-0005-0000-0000-0000DB500000}"/>
    <cellStyle name="Normal 18 2 4 4 2" xfId="28795" xr:uid="{00000000-0005-0000-0000-0000DC500000}"/>
    <cellStyle name="Normal 18 2 4 5" xfId="15738" xr:uid="{00000000-0005-0000-0000-0000DD500000}"/>
    <cellStyle name="Normal 18 2 4 5 2" xfId="28796" xr:uid="{00000000-0005-0000-0000-0000DE500000}"/>
    <cellStyle name="Normal 18 2 4 6" xfId="21430" xr:uid="{00000000-0005-0000-0000-0000DF500000}"/>
    <cellStyle name="Normal 18 2 5" xfId="8239" xr:uid="{00000000-0005-0000-0000-0000E0500000}"/>
    <cellStyle name="Normal 18 2 5 2" xfId="10754" xr:uid="{00000000-0005-0000-0000-0000E1500000}"/>
    <cellStyle name="Normal 18 2 5 2 2" xfId="15739" xr:uid="{00000000-0005-0000-0000-0000E2500000}"/>
    <cellStyle name="Normal 18 2 5 2 2 2" xfId="28797" xr:uid="{00000000-0005-0000-0000-0000E3500000}"/>
    <cellStyle name="Normal 18 2 5 2 3" xfId="15740" xr:uid="{00000000-0005-0000-0000-0000E4500000}"/>
    <cellStyle name="Normal 18 2 5 2 3 2" xfId="28798" xr:uid="{00000000-0005-0000-0000-0000E5500000}"/>
    <cellStyle name="Normal 18 2 5 2 4" xfId="24124" xr:uid="{00000000-0005-0000-0000-0000E6500000}"/>
    <cellStyle name="Normal 18 2 5 3" xfId="15741" xr:uid="{00000000-0005-0000-0000-0000E7500000}"/>
    <cellStyle name="Normal 18 2 5 3 2" xfId="28799" xr:uid="{00000000-0005-0000-0000-0000E8500000}"/>
    <cellStyle name="Normal 18 2 5 4" xfId="15742" xr:uid="{00000000-0005-0000-0000-0000E9500000}"/>
    <cellStyle name="Normal 18 2 5 4 2" xfId="28800" xr:uid="{00000000-0005-0000-0000-0000EA500000}"/>
    <cellStyle name="Normal 18 2 5 5" xfId="21968" xr:uid="{00000000-0005-0000-0000-0000EB500000}"/>
    <cellStyle name="Normal 18 2 6" xfId="9675" xr:uid="{00000000-0005-0000-0000-0000EC500000}"/>
    <cellStyle name="Normal 18 2 6 2" xfId="15743" xr:uid="{00000000-0005-0000-0000-0000ED500000}"/>
    <cellStyle name="Normal 18 2 6 2 2" xfId="28801" xr:uid="{00000000-0005-0000-0000-0000EE500000}"/>
    <cellStyle name="Normal 18 2 6 3" xfId="15744" xr:uid="{00000000-0005-0000-0000-0000EF500000}"/>
    <cellStyle name="Normal 18 2 6 3 2" xfId="28802" xr:uid="{00000000-0005-0000-0000-0000F0500000}"/>
    <cellStyle name="Normal 18 2 6 4" xfId="23046" xr:uid="{00000000-0005-0000-0000-0000F1500000}"/>
    <cellStyle name="Normal 18 2 7" xfId="15745" xr:uid="{00000000-0005-0000-0000-0000F2500000}"/>
    <cellStyle name="Normal 18 2 7 2" xfId="28803" xr:uid="{00000000-0005-0000-0000-0000F3500000}"/>
    <cellStyle name="Normal 18 2 8" xfId="15746" xr:uid="{00000000-0005-0000-0000-0000F4500000}"/>
    <cellStyle name="Normal 18 2 8 2" xfId="28804" xr:uid="{00000000-0005-0000-0000-0000F5500000}"/>
    <cellStyle name="Normal 18 2 9" xfId="20889" xr:uid="{00000000-0005-0000-0000-0000F6500000}"/>
    <cellStyle name="Normal 18 3" xfId="5257" xr:uid="{00000000-0005-0000-0000-0000F7500000}"/>
    <cellStyle name="Normal 18 3 2" xfId="6695" xr:uid="{00000000-0005-0000-0000-0000F8500000}"/>
    <cellStyle name="Normal 18 3 2 2" xfId="7384" xr:uid="{00000000-0005-0000-0000-0000F9500000}"/>
    <cellStyle name="Normal 18 3 2 2 2" xfId="9263" xr:uid="{00000000-0005-0000-0000-0000FA500000}"/>
    <cellStyle name="Normal 18 3 2 2 2 2" xfId="11642" xr:uid="{00000000-0005-0000-0000-0000FB500000}"/>
    <cellStyle name="Normal 18 3 2 2 2 2 2" xfId="15747" xr:uid="{00000000-0005-0000-0000-0000FC500000}"/>
    <cellStyle name="Normal 18 3 2 2 2 2 2 2" xfId="28805" xr:uid="{00000000-0005-0000-0000-0000FD500000}"/>
    <cellStyle name="Normal 18 3 2 2 2 2 3" xfId="15748" xr:uid="{00000000-0005-0000-0000-0000FE500000}"/>
    <cellStyle name="Normal 18 3 2 2 2 2 3 2" xfId="28806" xr:uid="{00000000-0005-0000-0000-0000FF500000}"/>
    <cellStyle name="Normal 18 3 2 2 2 2 4" xfId="25012" xr:uid="{00000000-0005-0000-0000-000000510000}"/>
    <cellStyle name="Normal 18 3 2 2 2 3" xfId="15749" xr:uid="{00000000-0005-0000-0000-000001510000}"/>
    <cellStyle name="Normal 18 3 2 2 2 3 2" xfId="28807" xr:uid="{00000000-0005-0000-0000-000002510000}"/>
    <cellStyle name="Normal 18 3 2 2 2 4" xfId="15750" xr:uid="{00000000-0005-0000-0000-000003510000}"/>
    <cellStyle name="Normal 18 3 2 2 2 4 2" xfId="28808" xr:uid="{00000000-0005-0000-0000-000004510000}"/>
    <cellStyle name="Normal 18 3 2 2 2 5" xfId="22856" xr:uid="{00000000-0005-0000-0000-000005510000}"/>
    <cellStyle name="Normal 18 3 2 2 3" xfId="10564" xr:uid="{00000000-0005-0000-0000-000006510000}"/>
    <cellStyle name="Normal 18 3 2 2 3 2" xfId="15751" xr:uid="{00000000-0005-0000-0000-000007510000}"/>
    <cellStyle name="Normal 18 3 2 2 3 2 2" xfId="28809" xr:uid="{00000000-0005-0000-0000-000008510000}"/>
    <cellStyle name="Normal 18 3 2 2 3 3" xfId="15752" xr:uid="{00000000-0005-0000-0000-000009510000}"/>
    <cellStyle name="Normal 18 3 2 2 3 3 2" xfId="28810" xr:uid="{00000000-0005-0000-0000-00000A510000}"/>
    <cellStyle name="Normal 18 3 2 2 3 4" xfId="23934" xr:uid="{00000000-0005-0000-0000-00000B510000}"/>
    <cellStyle name="Normal 18 3 2 2 4" xfId="15753" xr:uid="{00000000-0005-0000-0000-00000C510000}"/>
    <cellStyle name="Normal 18 3 2 2 4 2" xfId="28811" xr:uid="{00000000-0005-0000-0000-00000D510000}"/>
    <cellStyle name="Normal 18 3 2 2 5" xfId="15754" xr:uid="{00000000-0005-0000-0000-00000E510000}"/>
    <cellStyle name="Normal 18 3 2 2 5 2" xfId="28812" xr:uid="{00000000-0005-0000-0000-00000F510000}"/>
    <cellStyle name="Normal 18 3 2 2 6" xfId="21778" xr:uid="{00000000-0005-0000-0000-000010510000}"/>
    <cellStyle name="Normal 18 3 2 3" xfId="8717" xr:uid="{00000000-0005-0000-0000-000011510000}"/>
    <cellStyle name="Normal 18 3 2 3 2" xfId="11102" xr:uid="{00000000-0005-0000-0000-000012510000}"/>
    <cellStyle name="Normal 18 3 2 3 2 2" xfId="15755" xr:uid="{00000000-0005-0000-0000-000013510000}"/>
    <cellStyle name="Normal 18 3 2 3 2 2 2" xfId="28813" xr:uid="{00000000-0005-0000-0000-000014510000}"/>
    <cellStyle name="Normal 18 3 2 3 2 3" xfId="15756" xr:uid="{00000000-0005-0000-0000-000015510000}"/>
    <cellStyle name="Normal 18 3 2 3 2 3 2" xfId="28814" xr:uid="{00000000-0005-0000-0000-000016510000}"/>
    <cellStyle name="Normal 18 3 2 3 2 4" xfId="24472" xr:uid="{00000000-0005-0000-0000-000017510000}"/>
    <cellStyle name="Normal 18 3 2 3 3" xfId="15757" xr:uid="{00000000-0005-0000-0000-000018510000}"/>
    <cellStyle name="Normal 18 3 2 3 3 2" xfId="28815" xr:uid="{00000000-0005-0000-0000-000019510000}"/>
    <cellStyle name="Normal 18 3 2 3 4" xfId="15758" xr:uid="{00000000-0005-0000-0000-00001A510000}"/>
    <cellStyle name="Normal 18 3 2 3 4 2" xfId="28816" xr:uid="{00000000-0005-0000-0000-00001B510000}"/>
    <cellStyle name="Normal 18 3 2 3 5" xfId="22316" xr:uid="{00000000-0005-0000-0000-00001C510000}"/>
    <cellStyle name="Normal 18 3 2 4" xfId="10024" xr:uid="{00000000-0005-0000-0000-00001D510000}"/>
    <cellStyle name="Normal 18 3 2 4 2" xfId="15759" xr:uid="{00000000-0005-0000-0000-00001E510000}"/>
    <cellStyle name="Normal 18 3 2 4 2 2" xfId="28817" xr:uid="{00000000-0005-0000-0000-00001F510000}"/>
    <cellStyle name="Normal 18 3 2 4 3" xfId="15760" xr:uid="{00000000-0005-0000-0000-000020510000}"/>
    <cellStyle name="Normal 18 3 2 4 3 2" xfId="28818" xr:uid="{00000000-0005-0000-0000-000021510000}"/>
    <cellStyle name="Normal 18 3 2 4 4" xfId="23394" xr:uid="{00000000-0005-0000-0000-000022510000}"/>
    <cellStyle name="Normal 18 3 2 5" xfId="15761" xr:uid="{00000000-0005-0000-0000-000023510000}"/>
    <cellStyle name="Normal 18 3 2 5 2" xfId="28819" xr:uid="{00000000-0005-0000-0000-000024510000}"/>
    <cellStyle name="Normal 18 3 2 6" xfId="15762" xr:uid="{00000000-0005-0000-0000-000025510000}"/>
    <cellStyle name="Normal 18 3 2 6 2" xfId="28820" xr:uid="{00000000-0005-0000-0000-000026510000}"/>
    <cellStyle name="Normal 18 3 2 7" xfId="21238" xr:uid="{00000000-0005-0000-0000-000027510000}"/>
    <cellStyle name="Normal 18 3 3" xfId="7115" xr:uid="{00000000-0005-0000-0000-000028510000}"/>
    <cellStyle name="Normal 18 3 3 2" xfId="8994" xr:uid="{00000000-0005-0000-0000-000029510000}"/>
    <cellStyle name="Normal 18 3 3 2 2" xfId="11373" xr:uid="{00000000-0005-0000-0000-00002A510000}"/>
    <cellStyle name="Normal 18 3 3 2 2 2" xfId="15763" xr:uid="{00000000-0005-0000-0000-00002B510000}"/>
    <cellStyle name="Normal 18 3 3 2 2 2 2" xfId="28821" xr:uid="{00000000-0005-0000-0000-00002C510000}"/>
    <cellStyle name="Normal 18 3 3 2 2 3" xfId="15764" xr:uid="{00000000-0005-0000-0000-00002D510000}"/>
    <cellStyle name="Normal 18 3 3 2 2 3 2" xfId="28822" xr:uid="{00000000-0005-0000-0000-00002E510000}"/>
    <cellStyle name="Normal 18 3 3 2 2 4" xfId="24743" xr:uid="{00000000-0005-0000-0000-00002F510000}"/>
    <cellStyle name="Normal 18 3 3 2 3" xfId="15765" xr:uid="{00000000-0005-0000-0000-000030510000}"/>
    <cellStyle name="Normal 18 3 3 2 3 2" xfId="28823" xr:uid="{00000000-0005-0000-0000-000031510000}"/>
    <cellStyle name="Normal 18 3 3 2 4" xfId="15766" xr:uid="{00000000-0005-0000-0000-000032510000}"/>
    <cellStyle name="Normal 18 3 3 2 4 2" xfId="28824" xr:uid="{00000000-0005-0000-0000-000033510000}"/>
    <cellStyle name="Normal 18 3 3 2 5" xfId="22587" xr:uid="{00000000-0005-0000-0000-000034510000}"/>
    <cellStyle name="Normal 18 3 3 3" xfId="10295" xr:uid="{00000000-0005-0000-0000-000035510000}"/>
    <cellStyle name="Normal 18 3 3 3 2" xfId="15767" xr:uid="{00000000-0005-0000-0000-000036510000}"/>
    <cellStyle name="Normal 18 3 3 3 2 2" xfId="28825" xr:uid="{00000000-0005-0000-0000-000037510000}"/>
    <cellStyle name="Normal 18 3 3 3 3" xfId="15768" xr:uid="{00000000-0005-0000-0000-000038510000}"/>
    <cellStyle name="Normal 18 3 3 3 3 2" xfId="28826" xr:uid="{00000000-0005-0000-0000-000039510000}"/>
    <cellStyle name="Normal 18 3 3 3 4" xfId="23665" xr:uid="{00000000-0005-0000-0000-00003A510000}"/>
    <cellStyle name="Normal 18 3 3 4" xfId="15769" xr:uid="{00000000-0005-0000-0000-00003B510000}"/>
    <cellStyle name="Normal 18 3 3 4 2" xfId="28827" xr:uid="{00000000-0005-0000-0000-00003C510000}"/>
    <cellStyle name="Normal 18 3 3 5" xfId="15770" xr:uid="{00000000-0005-0000-0000-00003D510000}"/>
    <cellStyle name="Normal 18 3 3 5 2" xfId="28828" xr:uid="{00000000-0005-0000-0000-00003E510000}"/>
    <cellStyle name="Normal 18 3 3 6" xfId="21509" xr:uid="{00000000-0005-0000-0000-00003F510000}"/>
    <cellStyle name="Normal 18 3 4" xfId="8379" xr:uid="{00000000-0005-0000-0000-000040510000}"/>
    <cellStyle name="Normal 18 3 4 2" xfId="10833" xr:uid="{00000000-0005-0000-0000-000041510000}"/>
    <cellStyle name="Normal 18 3 4 2 2" xfId="15771" xr:uid="{00000000-0005-0000-0000-000042510000}"/>
    <cellStyle name="Normal 18 3 4 2 2 2" xfId="28829" xr:uid="{00000000-0005-0000-0000-000043510000}"/>
    <cellStyle name="Normal 18 3 4 2 3" xfId="15772" xr:uid="{00000000-0005-0000-0000-000044510000}"/>
    <cellStyle name="Normal 18 3 4 2 3 2" xfId="28830" xr:uid="{00000000-0005-0000-0000-000045510000}"/>
    <cellStyle name="Normal 18 3 4 2 4" xfId="24203" xr:uid="{00000000-0005-0000-0000-000046510000}"/>
    <cellStyle name="Normal 18 3 4 3" xfId="15773" xr:uid="{00000000-0005-0000-0000-000047510000}"/>
    <cellStyle name="Normal 18 3 4 3 2" xfId="28831" xr:uid="{00000000-0005-0000-0000-000048510000}"/>
    <cellStyle name="Normal 18 3 4 4" xfId="15774" xr:uid="{00000000-0005-0000-0000-000049510000}"/>
    <cellStyle name="Normal 18 3 4 4 2" xfId="28832" xr:uid="{00000000-0005-0000-0000-00004A510000}"/>
    <cellStyle name="Normal 18 3 4 5" xfId="22047" xr:uid="{00000000-0005-0000-0000-00004B510000}"/>
    <cellStyle name="Normal 18 3 5" xfId="9755" xr:uid="{00000000-0005-0000-0000-00004C510000}"/>
    <cellStyle name="Normal 18 3 5 2" xfId="15775" xr:uid="{00000000-0005-0000-0000-00004D510000}"/>
    <cellStyle name="Normal 18 3 5 2 2" xfId="28833" xr:uid="{00000000-0005-0000-0000-00004E510000}"/>
    <cellStyle name="Normal 18 3 5 3" xfId="15776" xr:uid="{00000000-0005-0000-0000-00004F510000}"/>
    <cellStyle name="Normal 18 3 5 3 2" xfId="28834" xr:uid="{00000000-0005-0000-0000-000050510000}"/>
    <cellStyle name="Normal 18 3 5 4" xfId="23125" xr:uid="{00000000-0005-0000-0000-000051510000}"/>
    <cellStyle name="Normal 18 3 6" xfId="15777" xr:uid="{00000000-0005-0000-0000-000052510000}"/>
    <cellStyle name="Normal 18 3 6 2" xfId="28835" xr:uid="{00000000-0005-0000-0000-000053510000}"/>
    <cellStyle name="Normal 18 3 7" xfId="15778" xr:uid="{00000000-0005-0000-0000-000054510000}"/>
    <cellStyle name="Normal 18 3 7 2" xfId="28836" xr:uid="{00000000-0005-0000-0000-000055510000}"/>
    <cellStyle name="Normal 18 3 8" xfId="20969" xr:uid="{00000000-0005-0000-0000-000056510000}"/>
    <cellStyle name="Normal 18 4" xfId="6531" xr:uid="{00000000-0005-0000-0000-000057510000}"/>
    <cellStyle name="Normal 18 4 2" xfId="7250" xr:uid="{00000000-0005-0000-0000-000058510000}"/>
    <cellStyle name="Normal 18 4 2 2" xfId="9129" xr:uid="{00000000-0005-0000-0000-000059510000}"/>
    <cellStyle name="Normal 18 4 2 2 2" xfId="11508" xr:uid="{00000000-0005-0000-0000-00005A510000}"/>
    <cellStyle name="Normal 18 4 2 2 2 2" xfId="15779" xr:uid="{00000000-0005-0000-0000-00005B510000}"/>
    <cellStyle name="Normal 18 4 2 2 2 2 2" xfId="28837" xr:uid="{00000000-0005-0000-0000-00005C510000}"/>
    <cellStyle name="Normal 18 4 2 2 2 3" xfId="15780" xr:uid="{00000000-0005-0000-0000-00005D510000}"/>
    <cellStyle name="Normal 18 4 2 2 2 3 2" xfId="28838" xr:uid="{00000000-0005-0000-0000-00005E510000}"/>
    <cellStyle name="Normal 18 4 2 2 2 4" xfId="24878" xr:uid="{00000000-0005-0000-0000-00005F510000}"/>
    <cellStyle name="Normal 18 4 2 2 3" xfId="15781" xr:uid="{00000000-0005-0000-0000-000060510000}"/>
    <cellStyle name="Normal 18 4 2 2 3 2" xfId="28839" xr:uid="{00000000-0005-0000-0000-000061510000}"/>
    <cellStyle name="Normal 18 4 2 2 4" xfId="15782" xr:uid="{00000000-0005-0000-0000-000062510000}"/>
    <cellStyle name="Normal 18 4 2 2 4 2" xfId="28840" xr:uid="{00000000-0005-0000-0000-000063510000}"/>
    <cellStyle name="Normal 18 4 2 2 5" xfId="22722" xr:uid="{00000000-0005-0000-0000-000064510000}"/>
    <cellStyle name="Normal 18 4 2 3" xfId="10430" xr:uid="{00000000-0005-0000-0000-000065510000}"/>
    <cellStyle name="Normal 18 4 2 3 2" xfId="15783" xr:uid="{00000000-0005-0000-0000-000066510000}"/>
    <cellStyle name="Normal 18 4 2 3 2 2" xfId="28841" xr:uid="{00000000-0005-0000-0000-000067510000}"/>
    <cellStyle name="Normal 18 4 2 3 3" xfId="15784" xr:uid="{00000000-0005-0000-0000-000068510000}"/>
    <cellStyle name="Normal 18 4 2 3 3 2" xfId="28842" xr:uid="{00000000-0005-0000-0000-000069510000}"/>
    <cellStyle name="Normal 18 4 2 3 4" xfId="23800" xr:uid="{00000000-0005-0000-0000-00006A510000}"/>
    <cellStyle name="Normal 18 4 2 4" xfId="15785" xr:uid="{00000000-0005-0000-0000-00006B510000}"/>
    <cellStyle name="Normal 18 4 2 4 2" xfId="28843" xr:uid="{00000000-0005-0000-0000-00006C510000}"/>
    <cellStyle name="Normal 18 4 2 5" xfId="15786" xr:uid="{00000000-0005-0000-0000-00006D510000}"/>
    <cellStyle name="Normal 18 4 2 5 2" xfId="28844" xr:uid="{00000000-0005-0000-0000-00006E510000}"/>
    <cellStyle name="Normal 18 4 2 6" xfId="21644" xr:uid="{00000000-0005-0000-0000-00006F510000}"/>
    <cellStyle name="Normal 18 4 3" xfId="8581" xr:uid="{00000000-0005-0000-0000-000070510000}"/>
    <cellStyle name="Normal 18 4 3 2" xfId="10968" xr:uid="{00000000-0005-0000-0000-000071510000}"/>
    <cellStyle name="Normal 18 4 3 2 2" xfId="15787" xr:uid="{00000000-0005-0000-0000-000072510000}"/>
    <cellStyle name="Normal 18 4 3 2 2 2" xfId="28845" xr:uid="{00000000-0005-0000-0000-000073510000}"/>
    <cellStyle name="Normal 18 4 3 2 3" xfId="15788" xr:uid="{00000000-0005-0000-0000-000074510000}"/>
    <cellStyle name="Normal 18 4 3 2 3 2" xfId="28846" xr:uid="{00000000-0005-0000-0000-000075510000}"/>
    <cellStyle name="Normal 18 4 3 2 4" xfId="24338" xr:uid="{00000000-0005-0000-0000-000076510000}"/>
    <cellStyle name="Normal 18 4 3 3" xfId="15789" xr:uid="{00000000-0005-0000-0000-000077510000}"/>
    <cellStyle name="Normal 18 4 3 3 2" xfId="28847" xr:uid="{00000000-0005-0000-0000-000078510000}"/>
    <cellStyle name="Normal 18 4 3 4" xfId="15790" xr:uid="{00000000-0005-0000-0000-000079510000}"/>
    <cellStyle name="Normal 18 4 3 4 2" xfId="28848" xr:uid="{00000000-0005-0000-0000-00007A510000}"/>
    <cellStyle name="Normal 18 4 3 5" xfId="22182" xr:uid="{00000000-0005-0000-0000-00007B510000}"/>
    <cellStyle name="Normal 18 4 4" xfId="9890" xr:uid="{00000000-0005-0000-0000-00007C510000}"/>
    <cellStyle name="Normal 18 4 4 2" xfId="15791" xr:uid="{00000000-0005-0000-0000-00007D510000}"/>
    <cellStyle name="Normal 18 4 4 2 2" xfId="28849" xr:uid="{00000000-0005-0000-0000-00007E510000}"/>
    <cellStyle name="Normal 18 4 4 3" xfId="15792" xr:uid="{00000000-0005-0000-0000-00007F510000}"/>
    <cellStyle name="Normal 18 4 4 3 2" xfId="28850" xr:uid="{00000000-0005-0000-0000-000080510000}"/>
    <cellStyle name="Normal 18 4 4 4" xfId="23260" xr:uid="{00000000-0005-0000-0000-000081510000}"/>
    <cellStyle name="Normal 18 4 5" xfId="15793" xr:uid="{00000000-0005-0000-0000-000082510000}"/>
    <cellStyle name="Normal 18 4 5 2" xfId="28851" xr:uid="{00000000-0005-0000-0000-000083510000}"/>
    <cellStyle name="Normal 18 4 6" xfId="15794" xr:uid="{00000000-0005-0000-0000-000084510000}"/>
    <cellStyle name="Normal 18 4 6 2" xfId="28852" xr:uid="{00000000-0005-0000-0000-000085510000}"/>
    <cellStyle name="Normal 18 4 7" xfId="21104" xr:uid="{00000000-0005-0000-0000-000086510000}"/>
    <cellStyle name="Normal 18 5" xfId="6980" xr:uid="{00000000-0005-0000-0000-000087510000}"/>
    <cellStyle name="Normal 18 5 2" xfId="8860" xr:uid="{00000000-0005-0000-0000-000088510000}"/>
    <cellStyle name="Normal 18 5 2 2" xfId="11239" xr:uid="{00000000-0005-0000-0000-000089510000}"/>
    <cellStyle name="Normal 18 5 2 2 2" xfId="15795" xr:uid="{00000000-0005-0000-0000-00008A510000}"/>
    <cellStyle name="Normal 18 5 2 2 2 2" xfId="28853" xr:uid="{00000000-0005-0000-0000-00008B510000}"/>
    <cellStyle name="Normal 18 5 2 2 3" xfId="15796" xr:uid="{00000000-0005-0000-0000-00008C510000}"/>
    <cellStyle name="Normal 18 5 2 2 3 2" xfId="28854" xr:uid="{00000000-0005-0000-0000-00008D510000}"/>
    <cellStyle name="Normal 18 5 2 2 4" xfId="24609" xr:uid="{00000000-0005-0000-0000-00008E510000}"/>
    <cellStyle name="Normal 18 5 2 3" xfId="15797" xr:uid="{00000000-0005-0000-0000-00008F510000}"/>
    <cellStyle name="Normal 18 5 2 3 2" xfId="28855" xr:uid="{00000000-0005-0000-0000-000090510000}"/>
    <cellStyle name="Normal 18 5 2 4" xfId="15798" xr:uid="{00000000-0005-0000-0000-000091510000}"/>
    <cellStyle name="Normal 18 5 2 4 2" xfId="28856" xr:uid="{00000000-0005-0000-0000-000092510000}"/>
    <cellStyle name="Normal 18 5 2 5" xfId="22453" xr:uid="{00000000-0005-0000-0000-000093510000}"/>
    <cellStyle name="Normal 18 5 3" xfId="10161" xr:uid="{00000000-0005-0000-0000-000094510000}"/>
    <cellStyle name="Normal 18 5 3 2" xfId="15799" xr:uid="{00000000-0005-0000-0000-000095510000}"/>
    <cellStyle name="Normal 18 5 3 2 2" xfId="28857" xr:uid="{00000000-0005-0000-0000-000096510000}"/>
    <cellStyle name="Normal 18 5 3 3" xfId="15800" xr:uid="{00000000-0005-0000-0000-000097510000}"/>
    <cellStyle name="Normal 18 5 3 3 2" xfId="28858" xr:uid="{00000000-0005-0000-0000-000098510000}"/>
    <cellStyle name="Normal 18 5 3 4" xfId="23531" xr:uid="{00000000-0005-0000-0000-000099510000}"/>
    <cellStyle name="Normal 18 5 4" xfId="15801" xr:uid="{00000000-0005-0000-0000-00009A510000}"/>
    <cellStyle name="Normal 18 5 4 2" xfId="28859" xr:uid="{00000000-0005-0000-0000-00009B510000}"/>
    <cellStyle name="Normal 18 5 5" xfId="15802" xr:uid="{00000000-0005-0000-0000-00009C510000}"/>
    <cellStyle name="Normal 18 5 5 2" xfId="28860" xr:uid="{00000000-0005-0000-0000-00009D510000}"/>
    <cellStyle name="Normal 18 5 6" xfId="21375" xr:uid="{00000000-0005-0000-0000-00009E510000}"/>
    <cellStyle name="Normal 18 6" xfId="8113" xr:uid="{00000000-0005-0000-0000-00009F510000}"/>
    <cellStyle name="Normal 18 6 2" xfId="10699" xr:uid="{00000000-0005-0000-0000-0000A0510000}"/>
    <cellStyle name="Normal 18 6 2 2" xfId="15803" xr:uid="{00000000-0005-0000-0000-0000A1510000}"/>
    <cellStyle name="Normal 18 6 2 2 2" xfId="28861" xr:uid="{00000000-0005-0000-0000-0000A2510000}"/>
    <cellStyle name="Normal 18 6 2 3" xfId="15804" xr:uid="{00000000-0005-0000-0000-0000A3510000}"/>
    <cellStyle name="Normal 18 6 2 3 2" xfId="28862" xr:uid="{00000000-0005-0000-0000-0000A4510000}"/>
    <cellStyle name="Normal 18 6 2 4" xfId="24069" xr:uid="{00000000-0005-0000-0000-0000A5510000}"/>
    <cellStyle name="Normal 18 6 3" xfId="15805" xr:uid="{00000000-0005-0000-0000-0000A6510000}"/>
    <cellStyle name="Normal 18 6 3 2" xfId="28863" xr:uid="{00000000-0005-0000-0000-0000A7510000}"/>
    <cellStyle name="Normal 18 6 4" xfId="15806" xr:uid="{00000000-0005-0000-0000-0000A8510000}"/>
    <cellStyle name="Normal 18 6 4 2" xfId="28864" xr:uid="{00000000-0005-0000-0000-0000A9510000}"/>
    <cellStyle name="Normal 18 6 5" xfId="21913" xr:uid="{00000000-0005-0000-0000-0000AA510000}"/>
    <cellStyle name="Normal 18 7" xfId="9620" xr:uid="{00000000-0005-0000-0000-0000AB510000}"/>
    <cellStyle name="Normal 18 7 2" xfId="15807" xr:uid="{00000000-0005-0000-0000-0000AC510000}"/>
    <cellStyle name="Normal 18 7 2 2" xfId="28865" xr:uid="{00000000-0005-0000-0000-0000AD510000}"/>
    <cellStyle name="Normal 18 7 3" xfId="15808" xr:uid="{00000000-0005-0000-0000-0000AE510000}"/>
    <cellStyle name="Normal 18 7 3 2" xfId="28866" xr:uid="{00000000-0005-0000-0000-0000AF510000}"/>
    <cellStyle name="Normal 18 7 4" xfId="22991" xr:uid="{00000000-0005-0000-0000-0000B0510000}"/>
    <cellStyle name="Normal 18 8" xfId="15809" xr:uid="{00000000-0005-0000-0000-0000B1510000}"/>
    <cellStyle name="Normal 18 8 2" xfId="28867" xr:uid="{00000000-0005-0000-0000-0000B2510000}"/>
    <cellStyle name="Normal 18 9" xfId="15810" xr:uid="{00000000-0005-0000-0000-0000B3510000}"/>
    <cellStyle name="Normal 18 9 2" xfId="28868" xr:uid="{00000000-0005-0000-0000-0000B4510000}"/>
    <cellStyle name="Normal 180" xfId="33838" xr:uid="{00000000-0005-0000-0000-0000B5510000}"/>
    <cellStyle name="Normal 181" xfId="33839" xr:uid="{00000000-0005-0000-0000-0000B6510000}"/>
    <cellStyle name="Normal 182" xfId="33840" xr:uid="{00000000-0005-0000-0000-0000B7510000}"/>
    <cellStyle name="Normal 183" xfId="33841" xr:uid="{00000000-0005-0000-0000-0000B8510000}"/>
    <cellStyle name="Normal 184" xfId="33842" xr:uid="{00000000-0005-0000-0000-0000B9510000}"/>
    <cellStyle name="Normal 185" xfId="33843" xr:uid="{00000000-0005-0000-0000-0000BA510000}"/>
    <cellStyle name="Normal 186" xfId="33847" xr:uid="{00000000-0005-0000-0000-0000BB510000}"/>
    <cellStyle name="Normal 187" xfId="33848" xr:uid="{00000000-0005-0000-0000-0000BC510000}"/>
    <cellStyle name="Normal 188" xfId="33849" xr:uid="{00000000-0005-0000-0000-0000BD510000}"/>
    <cellStyle name="Normal 189" xfId="33851" xr:uid="{00000000-0005-0000-0000-0000BE510000}"/>
    <cellStyle name="Normal 19" xfId="3000" xr:uid="{00000000-0005-0000-0000-0000BF510000}"/>
    <cellStyle name="Normal 19 10" xfId="15811" xr:uid="{00000000-0005-0000-0000-0000C0510000}"/>
    <cellStyle name="Normal 19 10 2" xfId="28869" xr:uid="{00000000-0005-0000-0000-0000C1510000}"/>
    <cellStyle name="Normal 19 11" xfId="15812" xr:uid="{00000000-0005-0000-0000-0000C2510000}"/>
    <cellStyle name="Normal 19 11 2" xfId="28870" xr:uid="{00000000-0005-0000-0000-0000C3510000}"/>
    <cellStyle name="Normal 19 12" xfId="20829" xr:uid="{00000000-0005-0000-0000-0000C4510000}"/>
    <cellStyle name="Normal 19 2" xfId="3604" xr:uid="{00000000-0005-0000-0000-0000C5510000}"/>
    <cellStyle name="Normal 19 2 10" xfId="20845" xr:uid="{00000000-0005-0000-0000-0000C6510000}"/>
    <cellStyle name="Normal 19 2 2" xfId="4083" xr:uid="{00000000-0005-0000-0000-0000C7510000}"/>
    <cellStyle name="Normal 19 2 2 2" xfId="5619" xr:uid="{00000000-0005-0000-0000-0000C8510000}"/>
    <cellStyle name="Normal 19 2 2 2 2" xfId="6771" xr:uid="{00000000-0005-0000-0000-0000C9510000}"/>
    <cellStyle name="Normal 19 2 2 2 2 2" xfId="7458" xr:uid="{00000000-0005-0000-0000-0000CA510000}"/>
    <cellStyle name="Normal 19 2 2 2 2 2 2" xfId="9337" xr:uid="{00000000-0005-0000-0000-0000CB510000}"/>
    <cellStyle name="Normal 19 2 2 2 2 2 2 2" xfId="11716" xr:uid="{00000000-0005-0000-0000-0000CC510000}"/>
    <cellStyle name="Normal 19 2 2 2 2 2 2 2 2" xfId="15813" xr:uid="{00000000-0005-0000-0000-0000CD510000}"/>
    <cellStyle name="Normal 19 2 2 2 2 2 2 2 2 2" xfId="28871" xr:uid="{00000000-0005-0000-0000-0000CE510000}"/>
    <cellStyle name="Normal 19 2 2 2 2 2 2 2 3" xfId="15814" xr:uid="{00000000-0005-0000-0000-0000CF510000}"/>
    <cellStyle name="Normal 19 2 2 2 2 2 2 2 3 2" xfId="28872" xr:uid="{00000000-0005-0000-0000-0000D0510000}"/>
    <cellStyle name="Normal 19 2 2 2 2 2 2 2 4" xfId="25086" xr:uid="{00000000-0005-0000-0000-0000D1510000}"/>
    <cellStyle name="Normal 19 2 2 2 2 2 2 3" xfId="15815" xr:uid="{00000000-0005-0000-0000-0000D2510000}"/>
    <cellStyle name="Normal 19 2 2 2 2 2 2 3 2" xfId="28873" xr:uid="{00000000-0005-0000-0000-0000D3510000}"/>
    <cellStyle name="Normal 19 2 2 2 2 2 2 4" xfId="15816" xr:uid="{00000000-0005-0000-0000-0000D4510000}"/>
    <cellStyle name="Normal 19 2 2 2 2 2 2 4 2" xfId="28874" xr:uid="{00000000-0005-0000-0000-0000D5510000}"/>
    <cellStyle name="Normal 19 2 2 2 2 2 2 5" xfId="22930" xr:uid="{00000000-0005-0000-0000-0000D6510000}"/>
    <cellStyle name="Normal 19 2 2 2 2 2 3" xfId="10638" xr:uid="{00000000-0005-0000-0000-0000D7510000}"/>
    <cellStyle name="Normal 19 2 2 2 2 2 3 2" xfId="15817" xr:uid="{00000000-0005-0000-0000-0000D8510000}"/>
    <cellStyle name="Normal 19 2 2 2 2 2 3 2 2" xfId="28875" xr:uid="{00000000-0005-0000-0000-0000D9510000}"/>
    <cellStyle name="Normal 19 2 2 2 2 2 3 3" xfId="15818" xr:uid="{00000000-0005-0000-0000-0000DA510000}"/>
    <cellStyle name="Normal 19 2 2 2 2 2 3 3 2" xfId="28876" xr:uid="{00000000-0005-0000-0000-0000DB510000}"/>
    <cellStyle name="Normal 19 2 2 2 2 2 3 4" xfId="24008" xr:uid="{00000000-0005-0000-0000-0000DC510000}"/>
    <cellStyle name="Normal 19 2 2 2 2 2 4" xfId="15819" xr:uid="{00000000-0005-0000-0000-0000DD510000}"/>
    <cellStyle name="Normal 19 2 2 2 2 2 4 2" xfId="28877" xr:uid="{00000000-0005-0000-0000-0000DE510000}"/>
    <cellStyle name="Normal 19 2 2 2 2 2 5" xfId="15820" xr:uid="{00000000-0005-0000-0000-0000DF510000}"/>
    <cellStyle name="Normal 19 2 2 2 2 2 5 2" xfId="28878" xr:uid="{00000000-0005-0000-0000-0000E0510000}"/>
    <cellStyle name="Normal 19 2 2 2 2 2 6" xfId="21852" xr:uid="{00000000-0005-0000-0000-0000E1510000}"/>
    <cellStyle name="Normal 19 2 2 2 2 3" xfId="8791" xr:uid="{00000000-0005-0000-0000-0000E2510000}"/>
    <cellStyle name="Normal 19 2 2 2 2 3 2" xfId="11176" xr:uid="{00000000-0005-0000-0000-0000E3510000}"/>
    <cellStyle name="Normal 19 2 2 2 2 3 2 2" xfId="15821" xr:uid="{00000000-0005-0000-0000-0000E4510000}"/>
    <cellStyle name="Normal 19 2 2 2 2 3 2 2 2" xfId="28879" xr:uid="{00000000-0005-0000-0000-0000E5510000}"/>
    <cellStyle name="Normal 19 2 2 2 2 3 2 3" xfId="15822" xr:uid="{00000000-0005-0000-0000-0000E6510000}"/>
    <cellStyle name="Normal 19 2 2 2 2 3 2 3 2" xfId="28880" xr:uid="{00000000-0005-0000-0000-0000E7510000}"/>
    <cellStyle name="Normal 19 2 2 2 2 3 2 4" xfId="24546" xr:uid="{00000000-0005-0000-0000-0000E8510000}"/>
    <cellStyle name="Normal 19 2 2 2 2 3 3" xfId="15823" xr:uid="{00000000-0005-0000-0000-0000E9510000}"/>
    <cellStyle name="Normal 19 2 2 2 2 3 3 2" xfId="28881" xr:uid="{00000000-0005-0000-0000-0000EA510000}"/>
    <cellStyle name="Normal 19 2 2 2 2 3 4" xfId="15824" xr:uid="{00000000-0005-0000-0000-0000EB510000}"/>
    <cellStyle name="Normal 19 2 2 2 2 3 4 2" xfId="28882" xr:uid="{00000000-0005-0000-0000-0000EC510000}"/>
    <cellStyle name="Normal 19 2 2 2 2 3 5" xfId="22390" xr:uid="{00000000-0005-0000-0000-0000ED510000}"/>
    <cellStyle name="Normal 19 2 2 2 2 4" xfId="10098" xr:uid="{00000000-0005-0000-0000-0000EE510000}"/>
    <cellStyle name="Normal 19 2 2 2 2 4 2" xfId="15825" xr:uid="{00000000-0005-0000-0000-0000EF510000}"/>
    <cellStyle name="Normal 19 2 2 2 2 4 2 2" xfId="28883" xr:uid="{00000000-0005-0000-0000-0000F0510000}"/>
    <cellStyle name="Normal 19 2 2 2 2 4 3" xfId="15826" xr:uid="{00000000-0005-0000-0000-0000F1510000}"/>
    <cellStyle name="Normal 19 2 2 2 2 4 3 2" xfId="28884" xr:uid="{00000000-0005-0000-0000-0000F2510000}"/>
    <cellStyle name="Normal 19 2 2 2 2 4 4" xfId="23468" xr:uid="{00000000-0005-0000-0000-0000F3510000}"/>
    <cellStyle name="Normal 19 2 2 2 2 5" xfId="15827" xr:uid="{00000000-0005-0000-0000-0000F4510000}"/>
    <cellStyle name="Normal 19 2 2 2 2 5 2" xfId="28885" xr:uid="{00000000-0005-0000-0000-0000F5510000}"/>
    <cellStyle name="Normal 19 2 2 2 2 6" xfId="15828" xr:uid="{00000000-0005-0000-0000-0000F6510000}"/>
    <cellStyle name="Normal 19 2 2 2 2 6 2" xfId="28886" xr:uid="{00000000-0005-0000-0000-0000F7510000}"/>
    <cellStyle name="Normal 19 2 2 2 2 7" xfId="21312" xr:uid="{00000000-0005-0000-0000-0000F8510000}"/>
    <cellStyle name="Normal 19 2 2 2 3" xfId="7189" xr:uid="{00000000-0005-0000-0000-0000F9510000}"/>
    <cellStyle name="Normal 19 2 2 2 3 2" xfId="9068" xr:uid="{00000000-0005-0000-0000-0000FA510000}"/>
    <cellStyle name="Normal 19 2 2 2 3 2 2" xfId="11447" xr:uid="{00000000-0005-0000-0000-0000FB510000}"/>
    <cellStyle name="Normal 19 2 2 2 3 2 2 2" xfId="15829" xr:uid="{00000000-0005-0000-0000-0000FC510000}"/>
    <cellStyle name="Normal 19 2 2 2 3 2 2 2 2" xfId="28887" xr:uid="{00000000-0005-0000-0000-0000FD510000}"/>
    <cellStyle name="Normal 19 2 2 2 3 2 2 3" xfId="15830" xr:uid="{00000000-0005-0000-0000-0000FE510000}"/>
    <cellStyle name="Normal 19 2 2 2 3 2 2 3 2" xfId="28888" xr:uid="{00000000-0005-0000-0000-0000FF510000}"/>
    <cellStyle name="Normal 19 2 2 2 3 2 2 4" xfId="24817" xr:uid="{00000000-0005-0000-0000-000000520000}"/>
    <cellStyle name="Normal 19 2 2 2 3 2 3" xfId="15831" xr:uid="{00000000-0005-0000-0000-000001520000}"/>
    <cellStyle name="Normal 19 2 2 2 3 2 3 2" xfId="28889" xr:uid="{00000000-0005-0000-0000-000002520000}"/>
    <cellStyle name="Normal 19 2 2 2 3 2 4" xfId="15832" xr:uid="{00000000-0005-0000-0000-000003520000}"/>
    <cellStyle name="Normal 19 2 2 2 3 2 4 2" xfId="28890" xr:uid="{00000000-0005-0000-0000-000004520000}"/>
    <cellStyle name="Normal 19 2 2 2 3 2 5" xfId="22661" xr:uid="{00000000-0005-0000-0000-000005520000}"/>
    <cellStyle name="Normal 19 2 2 2 3 3" xfId="10369" xr:uid="{00000000-0005-0000-0000-000006520000}"/>
    <cellStyle name="Normal 19 2 2 2 3 3 2" xfId="15833" xr:uid="{00000000-0005-0000-0000-000007520000}"/>
    <cellStyle name="Normal 19 2 2 2 3 3 2 2" xfId="28891" xr:uid="{00000000-0005-0000-0000-000008520000}"/>
    <cellStyle name="Normal 19 2 2 2 3 3 3" xfId="15834" xr:uid="{00000000-0005-0000-0000-000009520000}"/>
    <cellStyle name="Normal 19 2 2 2 3 3 3 2" xfId="28892" xr:uid="{00000000-0005-0000-0000-00000A520000}"/>
    <cellStyle name="Normal 19 2 2 2 3 3 4" xfId="23739" xr:uid="{00000000-0005-0000-0000-00000B520000}"/>
    <cellStyle name="Normal 19 2 2 2 3 4" xfId="15835" xr:uid="{00000000-0005-0000-0000-00000C520000}"/>
    <cellStyle name="Normal 19 2 2 2 3 4 2" xfId="28893" xr:uid="{00000000-0005-0000-0000-00000D520000}"/>
    <cellStyle name="Normal 19 2 2 2 3 5" xfId="15836" xr:uid="{00000000-0005-0000-0000-00000E520000}"/>
    <cellStyle name="Normal 19 2 2 2 3 5 2" xfId="28894" xr:uid="{00000000-0005-0000-0000-00000F520000}"/>
    <cellStyle name="Normal 19 2 2 2 3 6" xfId="21583" xr:uid="{00000000-0005-0000-0000-000010520000}"/>
    <cellStyle name="Normal 19 2 2 2 4" xfId="8466" xr:uid="{00000000-0005-0000-0000-000011520000}"/>
    <cellStyle name="Normal 19 2 2 2 4 2" xfId="10907" xr:uid="{00000000-0005-0000-0000-000012520000}"/>
    <cellStyle name="Normal 19 2 2 2 4 2 2" xfId="15837" xr:uid="{00000000-0005-0000-0000-000013520000}"/>
    <cellStyle name="Normal 19 2 2 2 4 2 2 2" xfId="28895" xr:uid="{00000000-0005-0000-0000-000014520000}"/>
    <cellStyle name="Normal 19 2 2 2 4 2 3" xfId="15838" xr:uid="{00000000-0005-0000-0000-000015520000}"/>
    <cellStyle name="Normal 19 2 2 2 4 2 3 2" xfId="28896" xr:uid="{00000000-0005-0000-0000-000016520000}"/>
    <cellStyle name="Normal 19 2 2 2 4 2 4" xfId="24277" xr:uid="{00000000-0005-0000-0000-000017520000}"/>
    <cellStyle name="Normal 19 2 2 2 4 3" xfId="15839" xr:uid="{00000000-0005-0000-0000-000018520000}"/>
    <cellStyle name="Normal 19 2 2 2 4 3 2" xfId="28897" xr:uid="{00000000-0005-0000-0000-000019520000}"/>
    <cellStyle name="Normal 19 2 2 2 4 4" xfId="15840" xr:uid="{00000000-0005-0000-0000-00001A520000}"/>
    <cellStyle name="Normal 19 2 2 2 4 4 2" xfId="28898" xr:uid="{00000000-0005-0000-0000-00001B520000}"/>
    <cellStyle name="Normal 19 2 2 2 4 5" xfId="22121" xr:uid="{00000000-0005-0000-0000-00001C520000}"/>
    <cellStyle name="Normal 19 2 2 2 5" xfId="9829" xr:uid="{00000000-0005-0000-0000-00001D520000}"/>
    <cellStyle name="Normal 19 2 2 2 5 2" xfId="15841" xr:uid="{00000000-0005-0000-0000-00001E520000}"/>
    <cellStyle name="Normal 19 2 2 2 5 2 2" xfId="28899" xr:uid="{00000000-0005-0000-0000-00001F520000}"/>
    <cellStyle name="Normal 19 2 2 2 5 3" xfId="15842" xr:uid="{00000000-0005-0000-0000-000020520000}"/>
    <cellStyle name="Normal 19 2 2 2 5 3 2" xfId="28900" xr:uid="{00000000-0005-0000-0000-000021520000}"/>
    <cellStyle name="Normal 19 2 2 2 5 4" xfId="23199" xr:uid="{00000000-0005-0000-0000-000022520000}"/>
    <cellStyle name="Normal 19 2 2 2 6" xfId="15843" xr:uid="{00000000-0005-0000-0000-000023520000}"/>
    <cellStyle name="Normal 19 2 2 2 6 2" xfId="28901" xr:uid="{00000000-0005-0000-0000-000024520000}"/>
    <cellStyle name="Normal 19 2 2 2 7" xfId="15844" xr:uid="{00000000-0005-0000-0000-000025520000}"/>
    <cellStyle name="Normal 19 2 2 2 7 2" xfId="28902" xr:uid="{00000000-0005-0000-0000-000026520000}"/>
    <cellStyle name="Normal 19 2 2 2 8" xfId="21043" xr:uid="{00000000-0005-0000-0000-000027520000}"/>
    <cellStyle name="Normal 19 2 2 3" xfId="6620" xr:uid="{00000000-0005-0000-0000-000028520000}"/>
    <cellStyle name="Normal 19 2 2 3 2" xfId="7316" xr:uid="{00000000-0005-0000-0000-000029520000}"/>
    <cellStyle name="Normal 19 2 2 3 2 2" xfId="9195" xr:uid="{00000000-0005-0000-0000-00002A520000}"/>
    <cellStyle name="Normal 19 2 2 3 2 2 2" xfId="11574" xr:uid="{00000000-0005-0000-0000-00002B520000}"/>
    <cellStyle name="Normal 19 2 2 3 2 2 2 2" xfId="15845" xr:uid="{00000000-0005-0000-0000-00002C520000}"/>
    <cellStyle name="Normal 19 2 2 3 2 2 2 2 2" xfId="28903" xr:uid="{00000000-0005-0000-0000-00002D520000}"/>
    <cellStyle name="Normal 19 2 2 3 2 2 2 3" xfId="15846" xr:uid="{00000000-0005-0000-0000-00002E520000}"/>
    <cellStyle name="Normal 19 2 2 3 2 2 2 3 2" xfId="28904" xr:uid="{00000000-0005-0000-0000-00002F520000}"/>
    <cellStyle name="Normal 19 2 2 3 2 2 2 4" xfId="24944" xr:uid="{00000000-0005-0000-0000-000030520000}"/>
    <cellStyle name="Normal 19 2 2 3 2 2 3" xfId="15847" xr:uid="{00000000-0005-0000-0000-000031520000}"/>
    <cellStyle name="Normal 19 2 2 3 2 2 3 2" xfId="28905" xr:uid="{00000000-0005-0000-0000-000032520000}"/>
    <cellStyle name="Normal 19 2 2 3 2 2 4" xfId="15848" xr:uid="{00000000-0005-0000-0000-000033520000}"/>
    <cellStyle name="Normal 19 2 2 3 2 2 4 2" xfId="28906" xr:uid="{00000000-0005-0000-0000-000034520000}"/>
    <cellStyle name="Normal 19 2 2 3 2 2 5" xfId="22788" xr:uid="{00000000-0005-0000-0000-000035520000}"/>
    <cellStyle name="Normal 19 2 2 3 2 3" xfId="10496" xr:uid="{00000000-0005-0000-0000-000036520000}"/>
    <cellStyle name="Normal 19 2 2 3 2 3 2" xfId="15849" xr:uid="{00000000-0005-0000-0000-000037520000}"/>
    <cellStyle name="Normal 19 2 2 3 2 3 2 2" xfId="28907" xr:uid="{00000000-0005-0000-0000-000038520000}"/>
    <cellStyle name="Normal 19 2 2 3 2 3 3" xfId="15850" xr:uid="{00000000-0005-0000-0000-000039520000}"/>
    <cellStyle name="Normal 19 2 2 3 2 3 3 2" xfId="28908" xr:uid="{00000000-0005-0000-0000-00003A520000}"/>
    <cellStyle name="Normal 19 2 2 3 2 3 4" xfId="23866" xr:uid="{00000000-0005-0000-0000-00003B520000}"/>
    <cellStyle name="Normal 19 2 2 3 2 4" xfId="15851" xr:uid="{00000000-0005-0000-0000-00003C520000}"/>
    <cellStyle name="Normal 19 2 2 3 2 4 2" xfId="28909" xr:uid="{00000000-0005-0000-0000-00003D520000}"/>
    <cellStyle name="Normal 19 2 2 3 2 5" xfId="15852" xr:uid="{00000000-0005-0000-0000-00003E520000}"/>
    <cellStyle name="Normal 19 2 2 3 2 5 2" xfId="28910" xr:uid="{00000000-0005-0000-0000-00003F520000}"/>
    <cellStyle name="Normal 19 2 2 3 2 6" xfId="21710" xr:uid="{00000000-0005-0000-0000-000040520000}"/>
    <cellStyle name="Normal 19 2 2 3 3" xfId="8648" xr:uid="{00000000-0005-0000-0000-000041520000}"/>
    <cellStyle name="Normal 19 2 2 3 3 2" xfId="11034" xr:uid="{00000000-0005-0000-0000-000042520000}"/>
    <cellStyle name="Normal 19 2 2 3 3 2 2" xfId="15853" xr:uid="{00000000-0005-0000-0000-000043520000}"/>
    <cellStyle name="Normal 19 2 2 3 3 2 2 2" xfId="28911" xr:uid="{00000000-0005-0000-0000-000044520000}"/>
    <cellStyle name="Normal 19 2 2 3 3 2 3" xfId="15854" xr:uid="{00000000-0005-0000-0000-000045520000}"/>
    <cellStyle name="Normal 19 2 2 3 3 2 3 2" xfId="28912" xr:uid="{00000000-0005-0000-0000-000046520000}"/>
    <cellStyle name="Normal 19 2 2 3 3 2 4" xfId="24404" xr:uid="{00000000-0005-0000-0000-000047520000}"/>
    <cellStyle name="Normal 19 2 2 3 3 3" xfId="15855" xr:uid="{00000000-0005-0000-0000-000048520000}"/>
    <cellStyle name="Normal 19 2 2 3 3 3 2" xfId="28913" xr:uid="{00000000-0005-0000-0000-000049520000}"/>
    <cellStyle name="Normal 19 2 2 3 3 4" xfId="15856" xr:uid="{00000000-0005-0000-0000-00004A520000}"/>
    <cellStyle name="Normal 19 2 2 3 3 4 2" xfId="28914" xr:uid="{00000000-0005-0000-0000-00004B520000}"/>
    <cellStyle name="Normal 19 2 2 3 3 5" xfId="22248" xr:uid="{00000000-0005-0000-0000-00004C520000}"/>
    <cellStyle name="Normal 19 2 2 3 4" xfId="9956" xr:uid="{00000000-0005-0000-0000-00004D520000}"/>
    <cellStyle name="Normal 19 2 2 3 4 2" xfId="15857" xr:uid="{00000000-0005-0000-0000-00004E520000}"/>
    <cellStyle name="Normal 19 2 2 3 4 2 2" xfId="28915" xr:uid="{00000000-0005-0000-0000-00004F520000}"/>
    <cellStyle name="Normal 19 2 2 3 4 3" xfId="15858" xr:uid="{00000000-0005-0000-0000-000050520000}"/>
    <cellStyle name="Normal 19 2 2 3 4 3 2" xfId="28916" xr:uid="{00000000-0005-0000-0000-000051520000}"/>
    <cellStyle name="Normal 19 2 2 3 4 4" xfId="23326" xr:uid="{00000000-0005-0000-0000-000052520000}"/>
    <cellStyle name="Normal 19 2 2 3 5" xfId="15859" xr:uid="{00000000-0005-0000-0000-000053520000}"/>
    <cellStyle name="Normal 19 2 2 3 5 2" xfId="28917" xr:uid="{00000000-0005-0000-0000-000054520000}"/>
    <cellStyle name="Normal 19 2 2 3 6" xfId="15860" xr:uid="{00000000-0005-0000-0000-000055520000}"/>
    <cellStyle name="Normal 19 2 2 3 6 2" xfId="28918" xr:uid="{00000000-0005-0000-0000-000056520000}"/>
    <cellStyle name="Normal 19 2 2 3 7" xfId="21170" xr:uid="{00000000-0005-0000-0000-000057520000}"/>
    <cellStyle name="Normal 19 2 2 4" xfId="7046" xr:uid="{00000000-0005-0000-0000-000058520000}"/>
    <cellStyle name="Normal 19 2 2 4 2" xfId="8926" xr:uid="{00000000-0005-0000-0000-000059520000}"/>
    <cellStyle name="Normal 19 2 2 4 2 2" xfId="11305" xr:uid="{00000000-0005-0000-0000-00005A520000}"/>
    <cellStyle name="Normal 19 2 2 4 2 2 2" xfId="15861" xr:uid="{00000000-0005-0000-0000-00005B520000}"/>
    <cellStyle name="Normal 19 2 2 4 2 2 2 2" xfId="28919" xr:uid="{00000000-0005-0000-0000-00005C520000}"/>
    <cellStyle name="Normal 19 2 2 4 2 2 3" xfId="15862" xr:uid="{00000000-0005-0000-0000-00005D520000}"/>
    <cellStyle name="Normal 19 2 2 4 2 2 3 2" xfId="28920" xr:uid="{00000000-0005-0000-0000-00005E520000}"/>
    <cellStyle name="Normal 19 2 2 4 2 2 4" xfId="24675" xr:uid="{00000000-0005-0000-0000-00005F520000}"/>
    <cellStyle name="Normal 19 2 2 4 2 3" xfId="15863" xr:uid="{00000000-0005-0000-0000-000060520000}"/>
    <cellStyle name="Normal 19 2 2 4 2 3 2" xfId="28921" xr:uid="{00000000-0005-0000-0000-000061520000}"/>
    <cellStyle name="Normal 19 2 2 4 2 4" xfId="15864" xr:uid="{00000000-0005-0000-0000-000062520000}"/>
    <cellStyle name="Normal 19 2 2 4 2 4 2" xfId="28922" xr:uid="{00000000-0005-0000-0000-000063520000}"/>
    <cellStyle name="Normal 19 2 2 4 2 5" xfId="22519" xr:uid="{00000000-0005-0000-0000-000064520000}"/>
    <cellStyle name="Normal 19 2 2 4 3" xfId="10227" xr:uid="{00000000-0005-0000-0000-000065520000}"/>
    <cellStyle name="Normal 19 2 2 4 3 2" xfId="15865" xr:uid="{00000000-0005-0000-0000-000066520000}"/>
    <cellStyle name="Normal 19 2 2 4 3 2 2" xfId="28923" xr:uid="{00000000-0005-0000-0000-000067520000}"/>
    <cellStyle name="Normal 19 2 2 4 3 3" xfId="15866" xr:uid="{00000000-0005-0000-0000-000068520000}"/>
    <cellStyle name="Normal 19 2 2 4 3 3 2" xfId="28924" xr:uid="{00000000-0005-0000-0000-000069520000}"/>
    <cellStyle name="Normal 19 2 2 4 3 4" xfId="23597" xr:uid="{00000000-0005-0000-0000-00006A520000}"/>
    <cellStyle name="Normal 19 2 2 4 4" xfId="15867" xr:uid="{00000000-0005-0000-0000-00006B520000}"/>
    <cellStyle name="Normal 19 2 2 4 4 2" xfId="28925" xr:uid="{00000000-0005-0000-0000-00006C520000}"/>
    <cellStyle name="Normal 19 2 2 4 5" xfId="15868" xr:uid="{00000000-0005-0000-0000-00006D520000}"/>
    <cellStyle name="Normal 19 2 2 4 5 2" xfId="28926" xr:uid="{00000000-0005-0000-0000-00006E520000}"/>
    <cellStyle name="Normal 19 2 2 4 6" xfId="21441" xr:uid="{00000000-0005-0000-0000-00006F520000}"/>
    <cellStyle name="Normal 19 2 2 5" xfId="8250" xr:uid="{00000000-0005-0000-0000-000070520000}"/>
    <cellStyle name="Normal 19 2 2 5 2" xfId="10765" xr:uid="{00000000-0005-0000-0000-000071520000}"/>
    <cellStyle name="Normal 19 2 2 5 2 2" xfId="15869" xr:uid="{00000000-0005-0000-0000-000072520000}"/>
    <cellStyle name="Normal 19 2 2 5 2 2 2" xfId="28927" xr:uid="{00000000-0005-0000-0000-000073520000}"/>
    <cellStyle name="Normal 19 2 2 5 2 3" xfId="15870" xr:uid="{00000000-0005-0000-0000-000074520000}"/>
    <cellStyle name="Normal 19 2 2 5 2 3 2" xfId="28928" xr:uid="{00000000-0005-0000-0000-000075520000}"/>
    <cellStyle name="Normal 19 2 2 5 2 4" xfId="24135" xr:uid="{00000000-0005-0000-0000-000076520000}"/>
    <cellStyle name="Normal 19 2 2 5 3" xfId="15871" xr:uid="{00000000-0005-0000-0000-000077520000}"/>
    <cellStyle name="Normal 19 2 2 5 3 2" xfId="28929" xr:uid="{00000000-0005-0000-0000-000078520000}"/>
    <cellStyle name="Normal 19 2 2 5 4" xfId="15872" xr:uid="{00000000-0005-0000-0000-000079520000}"/>
    <cellStyle name="Normal 19 2 2 5 4 2" xfId="28930" xr:uid="{00000000-0005-0000-0000-00007A520000}"/>
    <cellStyle name="Normal 19 2 2 5 5" xfId="21979" xr:uid="{00000000-0005-0000-0000-00007B520000}"/>
    <cellStyle name="Normal 19 2 2 6" xfId="9686" xr:uid="{00000000-0005-0000-0000-00007C520000}"/>
    <cellStyle name="Normal 19 2 2 6 2" xfId="15873" xr:uid="{00000000-0005-0000-0000-00007D520000}"/>
    <cellStyle name="Normal 19 2 2 6 2 2" xfId="28931" xr:uid="{00000000-0005-0000-0000-00007E520000}"/>
    <cellStyle name="Normal 19 2 2 6 3" xfId="15874" xr:uid="{00000000-0005-0000-0000-00007F520000}"/>
    <cellStyle name="Normal 19 2 2 6 3 2" xfId="28932" xr:uid="{00000000-0005-0000-0000-000080520000}"/>
    <cellStyle name="Normal 19 2 2 6 4" xfId="23057" xr:uid="{00000000-0005-0000-0000-000081520000}"/>
    <cellStyle name="Normal 19 2 2 7" xfId="15875" xr:uid="{00000000-0005-0000-0000-000082520000}"/>
    <cellStyle name="Normal 19 2 2 7 2" xfId="28933" xr:uid="{00000000-0005-0000-0000-000083520000}"/>
    <cellStyle name="Normal 19 2 2 8" xfId="15876" xr:uid="{00000000-0005-0000-0000-000084520000}"/>
    <cellStyle name="Normal 19 2 2 8 2" xfId="28934" xr:uid="{00000000-0005-0000-0000-000085520000}"/>
    <cellStyle name="Normal 19 2 2 9" xfId="20900" xr:uid="{00000000-0005-0000-0000-000086520000}"/>
    <cellStyle name="Normal 19 2 3" xfId="5441" xr:uid="{00000000-0005-0000-0000-000087520000}"/>
    <cellStyle name="Normal 19 2 3 2" xfId="6711" xr:uid="{00000000-0005-0000-0000-000088520000}"/>
    <cellStyle name="Normal 19 2 3 2 2" xfId="7398" xr:uid="{00000000-0005-0000-0000-000089520000}"/>
    <cellStyle name="Normal 19 2 3 2 2 2" xfId="9277" xr:uid="{00000000-0005-0000-0000-00008A520000}"/>
    <cellStyle name="Normal 19 2 3 2 2 2 2" xfId="11656" xr:uid="{00000000-0005-0000-0000-00008B520000}"/>
    <cellStyle name="Normal 19 2 3 2 2 2 2 2" xfId="15877" xr:uid="{00000000-0005-0000-0000-00008C520000}"/>
    <cellStyle name="Normal 19 2 3 2 2 2 2 2 2" xfId="28935" xr:uid="{00000000-0005-0000-0000-00008D520000}"/>
    <cellStyle name="Normal 19 2 3 2 2 2 2 3" xfId="15878" xr:uid="{00000000-0005-0000-0000-00008E520000}"/>
    <cellStyle name="Normal 19 2 3 2 2 2 2 3 2" xfId="28936" xr:uid="{00000000-0005-0000-0000-00008F520000}"/>
    <cellStyle name="Normal 19 2 3 2 2 2 2 4" xfId="25026" xr:uid="{00000000-0005-0000-0000-000090520000}"/>
    <cellStyle name="Normal 19 2 3 2 2 2 3" xfId="15879" xr:uid="{00000000-0005-0000-0000-000091520000}"/>
    <cellStyle name="Normal 19 2 3 2 2 2 3 2" xfId="28937" xr:uid="{00000000-0005-0000-0000-000092520000}"/>
    <cellStyle name="Normal 19 2 3 2 2 2 4" xfId="15880" xr:uid="{00000000-0005-0000-0000-000093520000}"/>
    <cellStyle name="Normal 19 2 3 2 2 2 4 2" xfId="28938" xr:uid="{00000000-0005-0000-0000-000094520000}"/>
    <cellStyle name="Normal 19 2 3 2 2 2 5" xfId="22870" xr:uid="{00000000-0005-0000-0000-000095520000}"/>
    <cellStyle name="Normal 19 2 3 2 2 3" xfId="10578" xr:uid="{00000000-0005-0000-0000-000096520000}"/>
    <cellStyle name="Normal 19 2 3 2 2 3 2" xfId="15881" xr:uid="{00000000-0005-0000-0000-000097520000}"/>
    <cellStyle name="Normal 19 2 3 2 2 3 2 2" xfId="28939" xr:uid="{00000000-0005-0000-0000-000098520000}"/>
    <cellStyle name="Normal 19 2 3 2 2 3 3" xfId="15882" xr:uid="{00000000-0005-0000-0000-000099520000}"/>
    <cellStyle name="Normal 19 2 3 2 2 3 3 2" xfId="28940" xr:uid="{00000000-0005-0000-0000-00009A520000}"/>
    <cellStyle name="Normal 19 2 3 2 2 3 4" xfId="23948" xr:uid="{00000000-0005-0000-0000-00009B520000}"/>
    <cellStyle name="Normal 19 2 3 2 2 4" xfId="15883" xr:uid="{00000000-0005-0000-0000-00009C520000}"/>
    <cellStyle name="Normal 19 2 3 2 2 4 2" xfId="28941" xr:uid="{00000000-0005-0000-0000-00009D520000}"/>
    <cellStyle name="Normal 19 2 3 2 2 5" xfId="15884" xr:uid="{00000000-0005-0000-0000-00009E520000}"/>
    <cellStyle name="Normal 19 2 3 2 2 5 2" xfId="28942" xr:uid="{00000000-0005-0000-0000-00009F520000}"/>
    <cellStyle name="Normal 19 2 3 2 2 6" xfId="21792" xr:uid="{00000000-0005-0000-0000-0000A0520000}"/>
    <cellStyle name="Normal 19 2 3 2 3" xfId="8731" xr:uid="{00000000-0005-0000-0000-0000A1520000}"/>
    <cellStyle name="Normal 19 2 3 2 3 2" xfId="11116" xr:uid="{00000000-0005-0000-0000-0000A2520000}"/>
    <cellStyle name="Normal 19 2 3 2 3 2 2" xfId="15885" xr:uid="{00000000-0005-0000-0000-0000A3520000}"/>
    <cellStyle name="Normal 19 2 3 2 3 2 2 2" xfId="28943" xr:uid="{00000000-0005-0000-0000-0000A4520000}"/>
    <cellStyle name="Normal 19 2 3 2 3 2 3" xfId="15886" xr:uid="{00000000-0005-0000-0000-0000A5520000}"/>
    <cellStyle name="Normal 19 2 3 2 3 2 3 2" xfId="28944" xr:uid="{00000000-0005-0000-0000-0000A6520000}"/>
    <cellStyle name="Normal 19 2 3 2 3 2 4" xfId="24486" xr:uid="{00000000-0005-0000-0000-0000A7520000}"/>
    <cellStyle name="Normal 19 2 3 2 3 3" xfId="15887" xr:uid="{00000000-0005-0000-0000-0000A8520000}"/>
    <cellStyle name="Normal 19 2 3 2 3 3 2" xfId="28945" xr:uid="{00000000-0005-0000-0000-0000A9520000}"/>
    <cellStyle name="Normal 19 2 3 2 3 4" xfId="15888" xr:uid="{00000000-0005-0000-0000-0000AA520000}"/>
    <cellStyle name="Normal 19 2 3 2 3 4 2" xfId="28946" xr:uid="{00000000-0005-0000-0000-0000AB520000}"/>
    <cellStyle name="Normal 19 2 3 2 3 5" xfId="22330" xr:uid="{00000000-0005-0000-0000-0000AC520000}"/>
    <cellStyle name="Normal 19 2 3 2 4" xfId="10038" xr:uid="{00000000-0005-0000-0000-0000AD520000}"/>
    <cellStyle name="Normal 19 2 3 2 4 2" xfId="15889" xr:uid="{00000000-0005-0000-0000-0000AE520000}"/>
    <cellStyle name="Normal 19 2 3 2 4 2 2" xfId="28947" xr:uid="{00000000-0005-0000-0000-0000AF520000}"/>
    <cellStyle name="Normal 19 2 3 2 4 3" xfId="15890" xr:uid="{00000000-0005-0000-0000-0000B0520000}"/>
    <cellStyle name="Normal 19 2 3 2 4 3 2" xfId="28948" xr:uid="{00000000-0005-0000-0000-0000B1520000}"/>
    <cellStyle name="Normal 19 2 3 2 4 4" xfId="23408" xr:uid="{00000000-0005-0000-0000-0000B2520000}"/>
    <cellStyle name="Normal 19 2 3 2 5" xfId="15891" xr:uid="{00000000-0005-0000-0000-0000B3520000}"/>
    <cellStyle name="Normal 19 2 3 2 5 2" xfId="28949" xr:uid="{00000000-0005-0000-0000-0000B4520000}"/>
    <cellStyle name="Normal 19 2 3 2 6" xfId="15892" xr:uid="{00000000-0005-0000-0000-0000B5520000}"/>
    <cellStyle name="Normal 19 2 3 2 6 2" xfId="28950" xr:uid="{00000000-0005-0000-0000-0000B6520000}"/>
    <cellStyle name="Normal 19 2 3 2 7" xfId="21252" xr:uid="{00000000-0005-0000-0000-0000B7520000}"/>
    <cellStyle name="Normal 19 2 3 3" xfId="7129" xr:uid="{00000000-0005-0000-0000-0000B8520000}"/>
    <cellStyle name="Normal 19 2 3 3 2" xfId="9008" xr:uid="{00000000-0005-0000-0000-0000B9520000}"/>
    <cellStyle name="Normal 19 2 3 3 2 2" xfId="11387" xr:uid="{00000000-0005-0000-0000-0000BA520000}"/>
    <cellStyle name="Normal 19 2 3 3 2 2 2" xfId="15893" xr:uid="{00000000-0005-0000-0000-0000BB520000}"/>
    <cellStyle name="Normal 19 2 3 3 2 2 2 2" xfId="28951" xr:uid="{00000000-0005-0000-0000-0000BC520000}"/>
    <cellStyle name="Normal 19 2 3 3 2 2 3" xfId="15894" xr:uid="{00000000-0005-0000-0000-0000BD520000}"/>
    <cellStyle name="Normal 19 2 3 3 2 2 3 2" xfId="28952" xr:uid="{00000000-0005-0000-0000-0000BE520000}"/>
    <cellStyle name="Normal 19 2 3 3 2 2 4" xfId="24757" xr:uid="{00000000-0005-0000-0000-0000BF520000}"/>
    <cellStyle name="Normal 19 2 3 3 2 3" xfId="15895" xr:uid="{00000000-0005-0000-0000-0000C0520000}"/>
    <cellStyle name="Normal 19 2 3 3 2 3 2" xfId="28953" xr:uid="{00000000-0005-0000-0000-0000C1520000}"/>
    <cellStyle name="Normal 19 2 3 3 2 4" xfId="15896" xr:uid="{00000000-0005-0000-0000-0000C2520000}"/>
    <cellStyle name="Normal 19 2 3 3 2 4 2" xfId="28954" xr:uid="{00000000-0005-0000-0000-0000C3520000}"/>
    <cellStyle name="Normal 19 2 3 3 2 5" xfId="22601" xr:uid="{00000000-0005-0000-0000-0000C4520000}"/>
    <cellStyle name="Normal 19 2 3 3 3" xfId="10309" xr:uid="{00000000-0005-0000-0000-0000C5520000}"/>
    <cellStyle name="Normal 19 2 3 3 3 2" xfId="15897" xr:uid="{00000000-0005-0000-0000-0000C6520000}"/>
    <cellStyle name="Normal 19 2 3 3 3 2 2" xfId="28955" xr:uid="{00000000-0005-0000-0000-0000C7520000}"/>
    <cellStyle name="Normal 19 2 3 3 3 3" xfId="15898" xr:uid="{00000000-0005-0000-0000-0000C8520000}"/>
    <cellStyle name="Normal 19 2 3 3 3 3 2" xfId="28956" xr:uid="{00000000-0005-0000-0000-0000C9520000}"/>
    <cellStyle name="Normal 19 2 3 3 3 4" xfId="23679" xr:uid="{00000000-0005-0000-0000-0000CA520000}"/>
    <cellStyle name="Normal 19 2 3 3 4" xfId="15899" xr:uid="{00000000-0005-0000-0000-0000CB520000}"/>
    <cellStyle name="Normal 19 2 3 3 4 2" xfId="28957" xr:uid="{00000000-0005-0000-0000-0000CC520000}"/>
    <cellStyle name="Normal 19 2 3 3 5" xfId="15900" xr:uid="{00000000-0005-0000-0000-0000CD520000}"/>
    <cellStyle name="Normal 19 2 3 3 5 2" xfId="28958" xr:uid="{00000000-0005-0000-0000-0000CE520000}"/>
    <cellStyle name="Normal 19 2 3 3 6" xfId="21523" xr:uid="{00000000-0005-0000-0000-0000CF520000}"/>
    <cellStyle name="Normal 19 2 3 4" xfId="8400" xr:uid="{00000000-0005-0000-0000-0000D0520000}"/>
    <cellStyle name="Normal 19 2 3 4 2" xfId="10847" xr:uid="{00000000-0005-0000-0000-0000D1520000}"/>
    <cellStyle name="Normal 19 2 3 4 2 2" xfId="15901" xr:uid="{00000000-0005-0000-0000-0000D2520000}"/>
    <cellStyle name="Normal 19 2 3 4 2 2 2" xfId="28959" xr:uid="{00000000-0005-0000-0000-0000D3520000}"/>
    <cellStyle name="Normal 19 2 3 4 2 3" xfId="15902" xr:uid="{00000000-0005-0000-0000-0000D4520000}"/>
    <cellStyle name="Normal 19 2 3 4 2 3 2" xfId="28960" xr:uid="{00000000-0005-0000-0000-0000D5520000}"/>
    <cellStyle name="Normal 19 2 3 4 2 4" xfId="24217" xr:uid="{00000000-0005-0000-0000-0000D6520000}"/>
    <cellStyle name="Normal 19 2 3 4 3" xfId="15903" xr:uid="{00000000-0005-0000-0000-0000D7520000}"/>
    <cellStyle name="Normal 19 2 3 4 3 2" xfId="28961" xr:uid="{00000000-0005-0000-0000-0000D8520000}"/>
    <cellStyle name="Normal 19 2 3 4 4" xfId="15904" xr:uid="{00000000-0005-0000-0000-0000D9520000}"/>
    <cellStyle name="Normal 19 2 3 4 4 2" xfId="28962" xr:uid="{00000000-0005-0000-0000-0000DA520000}"/>
    <cellStyle name="Normal 19 2 3 4 5" xfId="22061" xr:uid="{00000000-0005-0000-0000-0000DB520000}"/>
    <cellStyle name="Normal 19 2 3 5" xfId="9769" xr:uid="{00000000-0005-0000-0000-0000DC520000}"/>
    <cellStyle name="Normal 19 2 3 5 2" xfId="15905" xr:uid="{00000000-0005-0000-0000-0000DD520000}"/>
    <cellStyle name="Normal 19 2 3 5 2 2" xfId="28963" xr:uid="{00000000-0005-0000-0000-0000DE520000}"/>
    <cellStyle name="Normal 19 2 3 5 3" xfId="15906" xr:uid="{00000000-0005-0000-0000-0000DF520000}"/>
    <cellStyle name="Normal 19 2 3 5 3 2" xfId="28964" xr:uid="{00000000-0005-0000-0000-0000E0520000}"/>
    <cellStyle name="Normal 19 2 3 5 4" xfId="23139" xr:uid="{00000000-0005-0000-0000-0000E1520000}"/>
    <cellStyle name="Normal 19 2 3 6" xfId="15907" xr:uid="{00000000-0005-0000-0000-0000E2520000}"/>
    <cellStyle name="Normal 19 2 3 6 2" xfId="28965" xr:uid="{00000000-0005-0000-0000-0000E3520000}"/>
    <cellStyle name="Normal 19 2 3 7" xfId="15908" xr:uid="{00000000-0005-0000-0000-0000E4520000}"/>
    <cellStyle name="Normal 19 2 3 7 2" xfId="28966" xr:uid="{00000000-0005-0000-0000-0000E5520000}"/>
    <cellStyle name="Normal 19 2 3 8" xfId="20983" xr:uid="{00000000-0005-0000-0000-0000E6520000}"/>
    <cellStyle name="Normal 19 2 4" xfId="6560" xr:uid="{00000000-0005-0000-0000-0000E7520000}"/>
    <cellStyle name="Normal 19 2 4 2" xfId="7261" xr:uid="{00000000-0005-0000-0000-0000E8520000}"/>
    <cellStyle name="Normal 19 2 4 2 2" xfId="9140" xr:uid="{00000000-0005-0000-0000-0000E9520000}"/>
    <cellStyle name="Normal 19 2 4 2 2 2" xfId="11519" xr:uid="{00000000-0005-0000-0000-0000EA520000}"/>
    <cellStyle name="Normal 19 2 4 2 2 2 2" xfId="15909" xr:uid="{00000000-0005-0000-0000-0000EB520000}"/>
    <cellStyle name="Normal 19 2 4 2 2 2 2 2" xfId="28967" xr:uid="{00000000-0005-0000-0000-0000EC520000}"/>
    <cellStyle name="Normal 19 2 4 2 2 2 3" xfId="15910" xr:uid="{00000000-0005-0000-0000-0000ED520000}"/>
    <cellStyle name="Normal 19 2 4 2 2 2 3 2" xfId="28968" xr:uid="{00000000-0005-0000-0000-0000EE520000}"/>
    <cellStyle name="Normal 19 2 4 2 2 2 4" xfId="24889" xr:uid="{00000000-0005-0000-0000-0000EF520000}"/>
    <cellStyle name="Normal 19 2 4 2 2 3" xfId="15911" xr:uid="{00000000-0005-0000-0000-0000F0520000}"/>
    <cellStyle name="Normal 19 2 4 2 2 3 2" xfId="28969" xr:uid="{00000000-0005-0000-0000-0000F1520000}"/>
    <cellStyle name="Normal 19 2 4 2 2 4" xfId="15912" xr:uid="{00000000-0005-0000-0000-0000F2520000}"/>
    <cellStyle name="Normal 19 2 4 2 2 4 2" xfId="28970" xr:uid="{00000000-0005-0000-0000-0000F3520000}"/>
    <cellStyle name="Normal 19 2 4 2 2 5" xfId="22733" xr:uid="{00000000-0005-0000-0000-0000F4520000}"/>
    <cellStyle name="Normal 19 2 4 2 3" xfId="10441" xr:uid="{00000000-0005-0000-0000-0000F5520000}"/>
    <cellStyle name="Normal 19 2 4 2 3 2" xfId="15913" xr:uid="{00000000-0005-0000-0000-0000F6520000}"/>
    <cellStyle name="Normal 19 2 4 2 3 2 2" xfId="28971" xr:uid="{00000000-0005-0000-0000-0000F7520000}"/>
    <cellStyle name="Normal 19 2 4 2 3 3" xfId="15914" xr:uid="{00000000-0005-0000-0000-0000F8520000}"/>
    <cellStyle name="Normal 19 2 4 2 3 3 2" xfId="28972" xr:uid="{00000000-0005-0000-0000-0000F9520000}"/>
    <cellStyle name="Normal 19 2 4 2 3 4" xfId="23811" xr:uid="{00000000-0005-0000-0000-0000FA520000}"/>
    <cellStyle name="Normal 19 2 4 2 4" xfId="15915" xr:uid="{00000000-0005-0000-0000-0000FB520000}"/>
    <cellStyle name="Normal 19 2 4 2 4 2" xfId="28973" xr:uid="{00000000-0005-0000-0000-0000FC520000}"/>
    <cellStyle name="Normal 19 2 4 2 5" xfId="15916" xr:uid="{00000000-0005-0000-0000-0000FD520000}"/>
    <cellStyle name="Normal 19 2 4 2 5 2" xfId="28974" xr:uid="{00000000-0005-0000-0000-0000FE520000}"/>
    <cellStyle name="Normal 19 2 4 2 6" xfId="21655" xr:uid="{00000000-0005-0000-0000-0000FF520000}"/>
    <cellStyle name="Normal 19 2 4 3" xfId="8593" xr:uid="{00000000-0005-0000-0000-000000530000}"/>
    <cellStyle name="Normal 19 2 4 3 2" xfId="10979" xr:uid="{00000000-0005-0000-0000-000001530000}"/>
    <cellStyle name="Normal 19 2 4 3 2 2" xfId="15917" xr:uid="{00000000-0005-0000-0000-000002530000}"/>
    <cellStyle name="Normal 19 2 4 3 2 2 2" xfId="28975" xr:uid="{00000000-0005-0000-0000-000003530000}"/>
    <cellStyle name="Normal 19 2 4 3 2 3" xfId="15918" xr:uid="{00000000-0005-0000-0000-000004530000}"/>
    <cellStyle name="Normal 19 2 4 3 2 3 2" xfId="28976" xr:uid="{00000000-0005-0000-0000-000005530000}"/>
    <cellStyle name="Normal 19 2 4 3 2 4" xfId="24349" xr:uid="{00000000-0005-0000-0000-000006530000}"/>
    <cellStyle name="Normal 19 2 4 3 3" xfId="15919" xr:uid="{00000000-0005-0000-0000-000007530000}"/>
    <cellStyle name="Normal 19 2 4 3 3 2" xfId="28977" xr:uid="{00000000-0005-0000-0000-000008530000}"/>
    <cellStyle name="Normal 19 2 4 3 4" xfId="15920" xr:uid="{00000000-0005-0000-0000-000009530000}"/>
    <cellStyle name="Normal 19 2 4 3 4 2" xfId="28978" xr:uid="{00000000-0005-0000-0000-00000A530000}"/>
    <cellStyle name="Normal 19 2 4 3 5" xfId="22193" xr:uid="{00000000-0005-0000-0000-00000B530000}"/>
    <cellStyle name="Normal 19 2 4 4" xfId="9901" xr:uid="{00000000-0005-0000-0000-00000C530000}"/>
    <cellStyle name="Normal 19 2 4 4 2" xfId="15921" xr:uid="{00000000-0005-0000-0000-00000D530000}"/>
    <cellStyle name="Normal 19 2 4 4 2 2" xfId="28979" xr:uid="{00000000-0005-0000-0000-00000E530000}"/>
    <cellStyle name="Normal 19 2 4 4 3" xfId="15922" xr:uid="{00000000-0005-0000-0000-00000F530000}"/>
    <cellStyle name="Normal 19 2 4 4 3 2" xfId="28980" xr:uid="{00000000-0005-0000-0000-000010530000}"/>
    <cellStyle name="Normal 19 2 4 4 4" xfId="23271" xr:uid="{00000000-0005-0000-0000-000011530000}"/>
    <cellStyle name="Normal 19 2 4 5" xfId="15923" xr:uid="{00000000-0005-0000-0000-000012530000}"/>
    <cellStyle name="Normal 19 2 4 5 2" xfId="28981" xr:uid="{00000000-0005-0000-0000-000013530000}"/>
    <cellStyle name="Normal 19 2 4 6" xfId="15924" xr:uid="{00000000-0005-0000-0000-000014530000}"/>
    <cellStyle name="Normal 19 2 4 6 2" xfId="28982" xr:uid="{00000000-0005-0000-0000-000015530000}"/>
    <cellStyle name="Normal 19 2 4 7" xfId="21115" xr:uid="{00000000-0005-0000-0000-000016530000}"/>
    <cellStyle name="Normal 19 2 5" xfId="6991" xr:uid="{00000000-0005-0000-0000-000017530000}"/>
    <cellStyle name="Normal 19 2 5 2" xfId="8871" xr:uid="{00000000-0005-0000-0000-000018530000}"/>
    <cellStyle name="Normal 19 2 5 2 2" xfId="11250" xr:uid="{00000000-0005-0000-0000-000019530000}"/>
    <cellStyle name="Normal 19 2 5 2 2 2" xfId="15925" xr:uid="{00000000-0005-0000-0000-00001A530000}"/>
    <cellStyle name="Normal 19 2 5 2 2 2 2" xfId="28983" xr:uid="{00000000-0005-0000-0000-00001B530000}"/>
    <cellStyle name="Normal 19 2 5 2 2 3" xfId="15926" xr:uid="{00000000-0005-0000-0000-00001C530000}"/>
    <cellStyle name="Normal 19 2 5 2 2 3 2" xfId="28984" xr:uid="{00000000-0005-0000-0000-00001D530000}"/>
    <cellStyle name="Normal 19 2 5 2 2 4" xfId="24620" xr:uid="{00000000-0005-0000-0000-00001E530000}"/>
    <cellStyle name="Normal 19 2 5 2 3" xfId="15927" xr:uid="{00000000-0005-0000-0000-00001F530000}"/>
    <cellStyle name="Normal 19 2 5 2 3 2" xfId="28985" xr:uid="{00000000-0005-0000-0000-000020530000}"/>
    <cellStyle name="Normal 19 2 5 2 4" xfId="15928" xr:uid="{00000000-0005-0000-0000-000021530000}"/>
    <cellStyle name="Normal 19 2 5 2 4 2" xfId="28986" xr:uid="{00000000-0005-0000-0000-000022530000}"/>
    <cellStyle name="Normal 19 2 5 2 5" xfId="22464" xr:uid="{00000000-0005-0000-0000-000023530000}"/>
    <cellStyle name="Normal 19 2 5 3" xfId="10172" xr:uid="{00000000-0005-0000-0000-000024530000}"/>
    <cellStyle name="Normal 19 2 5 3 2" xfId="15929" xr:uid="{00000000-0005-0000-0000-000025530000}"/>
    <cellStyle name="Normal 19 2 5 3 2 2" xfId="28987" xr:uid="{00000000-0005-0000-0000-000026530000}"/>
    <cellStyle name="Normal 19 2 5 3 3" xfId="15930" xr:uid="{00000000-0005-0000-0000-000027530000}"/>
    <cellStyle name="Normal 19 2 5 3 3 2" xfId="28988" xr:uid="{00000000-0005-0000-0000-000028530000}"/>
    <cellStyle name="Normal 19 2 5 3 4" xfId="23542" xr:uid="{00000000-0005-0000-0000-000029530000}"/>
    <cellStyle name="Normal 19 2 5 4" xfId="15931" xr:uid="{00000000-0005-0000-0000-00002A530000}"/>
    <cellStyle name="Normal 19 2 5 4 2" xfId="28989" xr:uid="{00000000-0005-0000-0000-00002B530000}"/>
    <cellStyle name="Normal 19 2 5 5" xfId="15932" xr:uid="{00000000-0005-0000-0000-00002C530000}"/>
    <cellStyle name="Normal 19 2 5 5 2" xfId="28990" xr:uid="{00000000-0005-0000-0000-00002D530000}"/>
    <cellStyle name="Normal 19 2 5 6" xfId="21386" xr:uid="{00000000-0005-0000-0000-00002E530000}"/>
    <cellStyle name="Normal 19 2 6" xfId="8171" xr:uid="{00000000-0005-0000-0000-00002F530000}"/>
    <cellStyle name="Normal 19 2 6 2" xfId="10710" xr:uid="{00000000-0005-0000-0000-000030530000}"/>
    <cellStyle name="Normal 19 2 6 2 2" xfId="15933" xr:uid="{00000000-0005-0000-0000-000031530000}"/>
    <cellStyle name="Normal 19 2 6 2 2 2" xfId="28991" xr:uid="{00000000-0005-0000-0000-000032530000}"/>
    <cellStyle name="Normal 19 2 6 2 3" xfId="15934" xr:uid="{00000000-0005-0000-0000-000033530000}"/>
    <cellStyle name="Normal 19 2 6 2 3 2" xfId="28992" xr:uid="{00000000-0005-0000-0000-000034530000}"/>
    <cellStyle name="Normal 19 2 6 2 4" xfId="24080" xr:uid="{00000000-0005-0000-0000-000035530000}"/>
    <cellStyle name="Normal 19 2 6 3" xfId="15935" xr:uid="{00000000-0005-0000-0000-000036530000}"/>
    <cellStyle name="Normal 19 2 6 3 2" xfId="28993" xr:uid="{00000000-0005-0000-0000-000037530000}"/>
    <cellStyle name="Normal 19 2 6 4" xfId="15936" xr:uid="{00000000-0005-0000-0000-000038530000}"/>
    <cellStyle name="Normal 19 2 6 4 2" xfId="28994" xr:uid="{00000000-0005-0000-0000-000039530000}"/>
    <cellStyle name="Normal 19 2 6 5" xfId="21924" xr:uid="{00000000-0005-0000-0000-00003A530000}"/>
    <cellStyle name="Normal 19 2 7" xfId="9631" xr:uid="{00000000-0005-0000-0000-00003B530000}"/>
    <cellStyle name="Normal 19 2 7 2" xfId="15937" xr:uid="{00000000-0005-0000-0000-00003C530000}"/>
    <cellStyle name="Normal 19 2 7 2 2" xfId="28995" xr:uid="{00000000-0005-0000-0000-00003D530000}"/>
    <cellStyle name="Normal 19 2 7 3" xfId="15938" xr:uid="{00000000-0005-0000-0000-00003E530000}"/>
    <cellStyle name="Normal 19 2 7 3 2" xfId="28996" xr:uid="{00000000-0005-0000-0000-00003F530000}"/>
    <cellStyle name="Normal 19 2 7 4" xfId="23002" xr:uid="{00000000-0005-0000-0000-000040530000}"/>
    <cellStyle name="Normal 19 2 8" xfId="15939" xr:uid="{00000000-0005-0000-0000-000041530000}"/>
    <cellStyle name="Normal 19 2 8 2" xfId="28997" xr:uid="{00000000-0005-0000-0000-000042530000}"/>
    <cellStyle name="Normal 19 2 9" xfId="15940" xr:uid="{00000000-0005-0000-0000-000043530000}"/>
    <cellStyle name="Normal 19 2 9 2" xfId="28998" xr:uid="{00000000-0005-0000-0000-000044530000}"/>
    <cellStyle name="Normal 19 3" xfId="3935" xr:uid="{00000000-0005-0000-0000-000045530000}"/>
    <cellStyle name="Normal 19 3 10" xfId="20860" xr:uid="{00000000-0005-0000-0000-000046530000}"/>
    <cellStyle name="Normal 19 3 2" xfId="4098" xr:uid="{00000000-0005-0000-0000-000047530000}"/>
    <cellStyle name="Normal 19 3 2 2" xfId="5634" xr:uid="{00000000-0005-0000-0000-000048530000}"/>
    <cellStyle name="Normal 19 3 2 2 2" xfId="6786" xr:uid="{00000000-0005-0000-0000-000049530000}"/>
    <cellStyle name="Normal 19 3 2 2 2 2" xfId="7473" xr:uid="{00000000-0005-0000-0000-00004A530000}"/>
    <cellStyle name="Normal 19 3 2 2 2 2 2" xfId="9352" xr:uid="{00000000-0005-0000-0000-00004B530000}"/>
    <cellStyle name="Normal 19 3 2 2 2 2 2 2" xfId="11731" xr:uid="{00000000-0005-0000-0000-00004C530000}"/>
    <cellStyle name="Normal 19 3 2 2 2 2 2 2 2" xfId="15941" xr:uid="{00000000-0005-0000-0000-00004D530000}"/>
    <cellStyle name="Normal 19 3 2 2 2 2 2 2 2 2" xfId="28999" xr:uid="{00000000-0005-0000-0000-00004E530000}"/>
    <cellStyle name="Normal 19 3 2 2 2 2 2 2 3" xfId="15942" xr:uid="{00000000-0005-0000-0000-00004F530000}"/>
    <cellStyle name="Normal 19 3 2 2 2 2 2 2 3 2" xfId="29000" xr:uid="{00000000-0005-0000-0000-000050530000}"/>
    <cellStyle name="Normal 19 3 2 2 2 2 2 2 4" xfId="25101" xr:uid="{00000000-0005-0000-0000-000051530000}"/>
    <cellStyle name="Normal 19 3 2 2 2 2 2 3" xfId="15943" xr:uid="{00000000-0005-0000-0000-000052530000}"/>
    <cellStyle name="Normal 19 3 2 2 2 2 2 3 2" xfId="29001" xr:uid="{00000000-0005-0000-0000-000053530000}"/>
    <cellStyle name="Normal 19 3 2 2 2 2 2 4" xfId="15944" xr:uid="{00000000-0005-0000-0000-000054530000}"/>
    <cellStyle name="Normal 19 3 2 2 2 2 2 4 2" xfId="29002" xr:uid="{00000000-0005-0000-0000-000055530000}"/>
    <cellStyle name="Normal 19 3 2 2 2 2 2 5" xfId="22945" xr:uid="{00000000-0005-0000-0000-000056530000}"/>
    <cellStyle name="Normal 19 3 2 2 2 2 3" xfId="10653" xr:uid="{00000000-0005-0000-0000-000057530000}"/>
    <cellStyle name="Normal 19 3 2 2 2 2 3 2" xfId="15945" xr:uid="{00000000-0005-0000-0000-000058530000}"/>
    <cellStyle name="Normal 19 3 2 2 2 2 3 2 2" xfId="29003" xr:uid="{00000000-0005-0000-0000-000059530000}"/>
    <cellStyle name="Normal 19 3 2 2 2 2 3 3" xfId="15946" xr:uid="{00000000-0005-0000-0000-00005A530000}"/>
    <cellStyle name="Normal 19 3 2 2 2 2 3 3 2" xfId="29004" xr:uid="{00000000-0005-0000-0000-00005B530000}"/>
    <cellStyle name="Normal 19 3 2 2 2 2 3 4" xfId="24023" xr:uid="{00000000-0005-0000-0000-00005C530000}"/>
    <cellStyle name="Normal 19 3 2 2 2 2 4" xfId="15947" xr:uid="{00000000-0005-0000-0000-00005D530000}"/>
    <cellStyle name="Normal 19 3 2 2 2 2 4 2" xfId="29005" xr:uid="{00000000-0005-0000-0000-00005E530000}"/>
    <cellStyle name="Normal 19 3 2 2 2 2 5" xfId="15948" xr:uid="{00000000-0005-0000-0000-00005F530000}"/>
    <cellStyle name="Normal 19 3 2 2 2 2 5 2" xfId="29006" xr:uid="{00000000-0005-0000-0000-000060530000}"/>
    <cellStyle name="Normal 19 3 2 2 2 2 6" xfId="21867" xr:uid="{00000000-0005-0000-0000-000061530000}"/>
    <cellStyle name="Normal 19 3 2 2 2 3" xfId="8806" xr:uid="{00000000-0005-0000-0000-000062530000}"/>
    <cellStyle name="Normal 19 3 2 2 2 3 2" xfId="11191" xr:uid="{00000000-0005-0000-0000-000063530000}"/>
    <cellStyle name="Normal 19 3 2 2 2 3 2 2" xfId="15949" xr:uid="{00000000-0005-0000-0000-000064530000}"/>
    <cellStyle name="Normal 19 3 2 2 2 3 2 2 2" xfId="29007" xr:uid="{00000000-0005-0000-0000-000065530000}"/>
    <cellStyle name="Normal 19 3 2 2 2 3 2 3" xfId="15950" xr:uid="{00000000-0005-0000-0000-000066530000}"/>
    <cellStyle name="Normal 19 3 2 2 2 3 2 3 2" xfId="29008" xr:uid="{00000000-0005-0000-0000-000067530000}"/>
    <cellStyle name="Normal 19 3 2 2 2 3 2 4" xfId="24561" xr:uid="{00000000-0005-0000-0000-000068530000}"/>
    <cellStyle name="Normal 19 3 2 2 2 3 3" xfId="15951" xr:uid="{00000000-0005-0000-0000-000069530000}"/>
    <cellStyle name="Normal 19 3 2 2 2 3 3 2" xfId="29009" xr:uid="{00000000-0005-0000-0000-00006A530000}"/>
    <cellStyle name="Normal 19 3 2 2 2 3 4" xfId="15952" xr:uid="{00000000-0005-0000-0000-00006B530000}"/>
    <cellStyle name="Normal 19 3 2 2 2 3 4 2" xfId="29010" xr:uid="{00000000-0005-0000-0000-00006C530000}"/>
    <cellStyle name="Normal 19 3 2 2 2 3 5" xfId="22405" xr:uid="{00000000-0005-0000-0000-00006D530000}"/>
    <cellStyle name="Normal 19 3 2 2 2 4" xfId="10113" xr:uid="{00000000-0005-0000-0000-00006E530000}"/>
    <cellStyle name="Normal 19 3 2 2 2 4 2" xfId="15953" xr:uid="{00000000-0005-0000-0000-00006F530000}"/>
    <cellStyle name="Normal 19 3 2 2 2 4 2 2" xfId="29011" xr:uid="{00000000-0005-0000-0000-000070530000}"/>
    <cellStyle name="Normal 19 3 2 2 2 4 3" xfId="15954" xr:uid="{00000000-0005-0000-0000-000071530000}"/>
    <cellStyle name="Normal 19 3 2 2 2 4 3 2" xfId="29012" xr:uid="{00000000-0005-0000-0000-000072530000}"/>
    <cellStyle name="Normal 19 3 2 2 2 4 4" xfId="23483" xr:uid="{00000000-0005-0000-0000-000073530000}"/>
    <cellStyle name="Normal 19 3 2 2 2 5" xfId="15955" xr:uid="{00000000-0005-0000-0000-000074530000}"/>
    <cellStyle name="Normal 19 3 2 2 2 5 2" xfId="29013" xr:uid="{00000000-0005-0000-0000-000075530000}"/>
    <cellStyle name="Normal 19 3 2 2 2 6" xfId="15956" xr:uid="{00000000-0005-0000-0000-000076530000}"/>
    <cellStyle name="Normal 19 3 2 2 2 6 2" xfId="29014" xr:uid="{00000000-0005-0000-0000-000077530000}"/>
    <cellStyle name="Normal 19 3 2 2 2 7" xfId="21327" xr:uid="{00000000-0005-0000-0000-000078530000}"/>
    <cellStyle name="Normal 19 3 2 2 3" xfId="7204" xr:uid="{00000000-0005-0000-0000-000079530000}"/>
    <cellStyle name="Normal 19 3 2 2 3 2" xfId="9083" xr:uid="{00000000-0005-0000-0000-00007A530000}"/>
    <cellStyle name="Normal 19 3 2 2 3 2 2" xfId="11462" xr:uid="{00000000-0005-0000-0000-00007B530000}"/>
    <cellStyle name="Normal 19 3 2 2 3 2 2 2" xfId="15957" xr:uid="{00000000-0005-0000-0000-00007C530000}"/>
    <cellStyle name="Normal 19 3 2 2 3 2 2 2 2" xfId="29015" xr:uid="{00000000-0005-0000-0000-00007D530000}"/>
    <cellStyle name="Normal 19 3 2 2 3 2 2 3" xfId="15958" xr:uid="{00000000-0005-0000-0000-00007E530000}"/>
    <cellStyle name="Normal 19 3 2 2 3 2 2 3 2" xfId="29016" xr:uid="{00000000-0005-0000-0000-00007F530000}"/>
    <cellStyle name="Normal 19 3 2 2 3 2 2 4" xfId="24832" xr:uid="{00000000-0005-0000-0000-000080530000}"/>
    <cellStyle name="Normal 19 3 2 2 3 2 3" xfId="15959" xr:uid="{00000000-0005-0000-0000-000081530000}"/>
    <cellStyle name="Normal 19 3 2 2 3 2 3 2" xfId="29017" xr:uid="{00000000-0005-0000-0000-000082530000}"/>
    <cellStyle name="Normal 19 3 2 2 3 2 4" xfId="15960" xr:uid="{00000000-0005-0000-0000-000083530000}"/>
    <cellStyle name="Normal 19 3 2 2 3 2 4 2" xfId="29018" xr:uid="{00000000-0005-0000-0000-000084530000}"/>
    <cellStyle name="Normal 19 3 2 2 3 2 5" xfId="22676" xr:uid="{00000000-0005-0000-0000-000085530000}"/>
    <cellStyle name="Normal 19 3 2 2 3 3" xfId="10384" xr:uid="{00000000-0005-0000-0000-000086530000}"/>
    <cellStyle name="Normal 19 3 2 2 3 3 2" xfId="15961" xr:uid="{00000000-0005-0000-0000-000087530000}"/>
    <cellStyle name="Normal 19 3 2 2 3 3 2 2" xfId="29019" xr:uid="{00000000-0005-0000-0000-000088530000}"/>
    <cellStyle name="Normal 19 3 2 2 3 3 3" xfId="15962" xr:uid="{00000000-0005-0000-0000-000089530000}"/>
    <cellStyle name="Normal 19 3 2 2 3 3 3 2" xfId="29020" xr:uid="{00000000-0005-0000-0000-00008A530000}"/>
    <cellStyle name="Normal 19 3 2 2 3 3 4" xfId="23754" xr:uid="{00000000-0005-0000-0000-00008B530000}"/>
    <cellStyle name="Normal 19 3 2 2 3 4" xfId="15963" xr:uid="{00000000-0005-0000-0000-00008C530000}"/>
    <cellStyle name="Normal 19 3 2 2 3 4 2" xfId="29021" xr:uid="{00000000-0005-0000-0000-00008D530000}"/>
    <cellStyle name="Normal 19 3 2 2 3 5" xfId="15964" xr:uid="{00000000-0005-0000-0000-00008E530000}"/>
    <cellStyle name="Normal 19 3 2 2 3 5 2" xfId="29022" xr:uid="{00000000-0005-0000-0000-00008F530000}"/>
    <cellStyle name="Normal 19 3 2 2 3 6" xfId="21598" xr:uid="{00000000-0005-0000-0000-000090530000}"/>
    <cellStyle name="Normal 19 3 2 2 4" xfId="8481" xr:uid="{00000000-0005-0000-0000-000091530000}"/>
    <cellStyle name="Normal 19 3 2 2 4 2" xfId="10922" xr:uid="{00000000-0005-0000-0000-000092530000}"/>
    <cellStyle name="Normal 19 3 2 2 4 2 2" xfId="15965" xr:uid="{00000000-0005-0000-0000-000093530000}"/>
    <cellStyle name="Normal 19 3 2 2 4 2 2 2" xfId="29023" xr:uid="{00000000-0005-0000-0000-000094530000}"/>
    <cellStyle name="Normal 19 3 2 2 4 2 3" xfId="15966" xr:uid="{00000000-0005-0000-0000-000095530000}"/>
    <cellStyle name="Normal 19 3 2 2 4 2 3 2" xfId="29024" xr:uid="{00000000-0005-0000-0000-000096530000}"/>
    <cellStyle name="Normal 19 3 2 2 4 2 4" xfId="24292" xr:uid="{00000000-0005-0000-0000-000097530000}"/>
    <cellStyle name="Normal 19 3 2 2 4 3" xfId="15967" xr:uid="{00000000-0005-0000-0000-000098530000}"/>
    <cellStyle name="Normal 19 3 2 2 4 3 2" xfId="29025" xr:uid="{00000000-0005-0000-0000-000099530000}"/>
    <cellStyle name="Normal 19 3 2 2 4 4" xfId="15968" xr:uid="{00000000-0005-0000-0000-00009A530000}"/>
    <cellStyle name="Normal 19 3 2 2 4 4 2" xfId="29026" xr:uid="{00000000-0005-0000-0000-00009B530000}"/>
    <cellStyle name="Normal 19 3 2 2 4 5" xfId="22136" xr:uid="{00000000-0005-0000-0000-00009C530000}"/>
    <cellStyle name="Normal 19 3 2 2 5" xfId="9844" xr:uid="{00000000-0005-0000-0000-00009D530000}"/>
    <cellStyle name="Normal 19 3 2 2 5 2" xfId="15969" xr:uid="{00000000-0005-0000-0000-00009E530000}"/>
    <cellStyle name="Normal 19 3 2 2 5 2 2" xfId="29027" xr:uid="{00000000-0005-0000-0000-00009F530000}"/>
    <cellStyle name="Normal 19 3 2 2 5 3" xfId="15970" xr:uid="{00000000-0005-0000-0000-0000A0530000}"/>
    <cellStyle name="Normal 19 3 2 2 5 3 2" xfId="29028" xr:uid="{00000000-0005-0000-0000-0000A1530000}"/>
    <cellStyle name="Normal 19 3 2 2 5 4" xfId="23214" xr:uid="{00000000-0005-0000-0000-0000A2530000}"/>
    <cellStyle name="Normal 19 3 2 2 6" xfId="15971" xr:uid="{00000000-0005-0000-0000-0000A3530000}"/>
    <cellStyle name="Normal 19 3 2 2 6 2" xfId="29029" xr:uid="{00000000-0005-0000-0000-0000A4530000}"/>
    <cellStyle name="Normal 19 3 2 2 7" xfId="15972" xr:uid="{00000000-0005-0000-0000-0000A5530000}"/>
    <cellStyle name="Normal 19 3 2 2 7 2" xfId="29030" xr:uid="{00000000-0005-0000-0000-0000A6530000}"/>
    <cellStyle name="Normal 19 3 2 2 8" xfId="21058" xr:uid="{00000000-0005-0000-0000-0000A7530000}"/>
    <cellStyle name="Normal 19 3 2 3" xfId="6635" xr:uid="{00000000-0005-0000-0000-0000A8530000}"/>
    <cellStyle name="Normal 19 3 2 3 2" xfId="7331" xr:uid="{00000000-0005-0000-0000-0000A9530000}"/>
    <cellStyle name="Normal 19 3 2 3 2 2" xfId="9210" xr:uid="{00000000-0005-0000-0000-0000AA530000}"/>
    <cellStyle name="Normal 19 3 2 3 2 2 2" xfId="11589" xr:uid="{00000000-0005-0000-0000-0000AB530000}"/>
    <cellStyle name="Normal 19 3 2 3 2 2 2 2" xfId="15973" xr:uid="{00000000-0005-0000-0000-0000AC530000}"/>
    <cellStyle name="Normal 19 3 2 3 2 2 2 2 2" xfId="29031" xr:uid="{00000000-0005-0000-0000-0000AD530000}"/>
    <cellStyle name="Normal 19 3 2 3 2 2 2 3" xfId="15974" xr:uid="{00000000-0005-0000-0000-0000AE530000}"/>
    <cellStyle name="Normal 19 3 2 3 2 2 2 3 2" xfId="29032" xr:uid="{00000000-0005-0000-0000-0000AF530000}"/>
    <cellStyle name="Normal 19 3 2 3 2 2 2 4" xfId="24959" xr:uid="{00000000-0005-0000-0000-0000B0530000}"/>
    <cellStyle name="Normal 19 3 2 3 2 2 3" xfId="15975" xr:uid="{00000000-0005-0000-0000-0000B1530000}"/>
    <cellStyle name="Normal 19 3 2 3 2 2 3 2" xfId="29033" xr:uid="{00000000-0005-0000-0000-0000B2530000}"/>
    <cellStyle name="Normal 19 3 2 3 2 2 4" xfId="15976" xr:uid="{00000000-0005-0000-0000-0000B3530000}"/>
    <cellStyle name="Normal 19 3 2 3 2 2 4 2" xfId="29034" xr:uid="{00000000-0005-0000-0000-0000B4530000}"/>
    <cellStyle name="Normal 19 3 2 3 2 2 5" xfId="22803" xr:uid="{00000000-0005-0000-0000-0000B5530000}"/>
    <cellStyle name="Normal 19 3 2 3 2 3" xfId="10511" xr:uid="{00000000-0005-0000-0000-0000B6530000}"/>
    <cellStyle name="Normal 19 3 2 3 2 3 2" xfId="15977" xr:uid="{00000000-0005-0000-0000-0000B7530000}"/>
    <cellStyle name="Normal 19 3 2 3 2 3 2 2" xfId="29035" xr:uid="{00000000-0005-0000-0000-0000B8530000}"/>
    <cellStyle name="Normal 19 3 2 3 2 3 3" xfId="15978" xr:uid="{00000000-0005-0000-0000-0000B9530000}"/>
    <cellStyle name="Normal 19 3 2 3 2 3 3 2" xfId="29036" xr:uid="{00000000-0005-0000-0000-0000BA530000}"/>
    <cellStyle name="Normal 19 3 2 3 2 3 4" xfId="23881" xr:uid="{00000000-0005-0000-0000-0000BB530000}"/>
    <cellStyle name="Normal 19 3 2 3 2 4" xfId="15979" xr:uid="{00000000-0005-0000-0000-0000BC530000}"/>
    <cellStyle name="Normal 19 3 2 3 2 4 2" xfId="29037" xr:uid="{00000000-0005-0000-0000-0000BD530000}"/>
    <cellStyle name="Normal 19 3 2 3 2 5" xfId="15980" xr:uid="{00000000-0005-0000-0000-0000BE530000}"/>
    <cellStyle name="Normal 19 3 2 3 2 5 2" xfId="29038" xr:uid="{00000000-0005-0000-0000-0000BF530000}"/>
    <cellStyle name="Normal 19 3 2 3 2 6" xfId="21725" xr:uid="{00000000-0005-0000-0000-0000C0530000}"/>
    <cellStyle name="Normal 19 3 2 3 3" xfId="8663" xr:uid="{00000000-0005-0000-0000-0000C1530000}"/>
    <cellStyle name="Normal 19 3 2 3 3 2" xfId="11049" xr:uid="{00000000-0005-0000-0000-0000C2530000}"/>
    <cellStyle name="Normal 19 3 2 3 3 2 2" xfId="15981" xr:uid="{00000000-0005-0000-0000-0000C3530000}"/>
    <cellStyle name="Normal 19 3 2 3 3 2 2 2" xfId="29039" xr:uid="{00000000-0005-0000-0000-0000C4530000}"/>
    <cellStyle name="Normal 19 3 2 3 3 2 3" xfId="15982" xr:uid="{00000000-0005-0000-0000-0000C5530000}"/>
    <cellStyle name="Normal 19 3 2 3 3 2 3 2" xfId="29040" xr:uid="{00000000-0005-0000-0000-0000C6530000}"/>
    <cellStyle name="Normal 19 3 2 3 3 2 4" xfId="24419" xr:uid="{00000000-0005-0000-0000-0000C7530000}"/>
    <cellStyle name="Normal 19 3 2 3 3 3" xfId="15983" xr:uid="{00000000-0005-0000-0000-0000C8530000}"/>
    <cellStyle name="Normal 19 3 2 3 3 3 2" xfId="29041" xr:uid="{00000000-0005-0000-0000-0000C9530000}"/>
    <cellStyle name="Normal 19 3 2 3 3 4" xfId="15984" xr:uid="{00000000-0005-0000-0000-0000CA530000}"/>
    <cellStyle name="Normal 19 3 2 3 3 4 2" xfId="29042" xr:uid="{00000000-0005-0000-0000-0000CB530000}"/>
    <cellStyle name="Normal 19 3 2 3 3 5" xfId="22263" xr:uid="{00000000-0005-0000-0000-0000CC530000}"/>
    <cellStyle name="Normal 19 3 2 3 4" xfId="9971" xr:uid="{00000000-0005-0000-0000-0000CD530000}"/>
    <cellStyle name="Normal 19 3 2 3 4 2" xfId="15985" xr:uid="{00000000-0005-0000-0000-0000CE530000}"/>
    <cellStyle name="Normal 19 3 2 3 4 2 2" xfId="29043" xr:uid="{00000000-0005-0000-0000-0000CF530000}"/>
    <cellStyle name="Normal 19 3 2 3 4 3" xfId="15986" xr:uid="{00000000-0005-0000-0000-0000D0530000}"/>
    <cellStyle name="Normal 19 3 2 3 4 3 2" xfId="29044" xr:uid="{00000000-0005-0000-0000-0000D1530000}"/>
    <cellStyle name="Normal 19 3 2 3 4 4" xfId="23341" xr:uid="{00000000-0005-0000-0000-0000D2530000}"/>
    <cellStyle name="Normal 19 3 2 3 5" xfId="15987" xr:uid="{00000000-0005-0000-0000-0000D3530000}"/>
    <cellStyle name="Normal 19 3 2 3 5 2" xfId="29045" xr:uid="{00000000-0005-0000-0000-0000D4530000}"/>
    <cellStyle name="Normal 19 3 2 3 6" xfId="15988" xr:uid="{00000000-0005-0000-0000-0000D5530000}"/>
    <cellStyle name="Normal 19 3 2 3 6 2" xfId="29046" xr:uid="{00000000-0005-0000-0000-0000D6530000}"/>
    <cellStyle name="Normal 19 3 2 3 7" xfId="21185" xr:uid="{00000000-0005-0000-0000-0000D7530000}"/>
    <cellStyle name="Normal 19 3 2 4" xfId="7061" xr:uid="{00000000-0005-0000-0000-0000D8530000}"/>
    <cellStyle name="Normal 19 3 2 4 2" xfId="8941" xr:uid="{00000000-0005-0000-0000-0000D9530000}"/>
    <cellStyle name="Normal 19 3 2 4 2 2" xfId="11320" xr:uid="{00000000-0005-0000-0000-0000DA530000}"/>
    <cellStyle name="Normal 19 3 2 4 2 2 2" xfId="15989" xr:uid="{00000000-0005-0000-0000-0000DB530000}"/>
    <cellStyle name="Normal 19 3 2 4 2 2 2 2" xfId="29047" xr:uid="{00000000-0005-0000-0000-0000DC530000}"/>
    <cellStyle name="Normal 19 3 2 4 2 2 3" xfId="15990" xr:uid="{00000000-0005-0000-0000-0000DD530000}"/>
    <cellStyle name="Normal 19 3 2 4 2 2 3 2" xfId="29048" xr:uid="{00000000-0005-0000-0000-0000DE530000}"/>
    <cellStyle name="Normal 19 3 2 4 2 2 4" xfId="24690" xr:uid="{00000000-0005-0000-0000-0000DF530000}"/>
    <cellStyle name="Normal 19 3 2 4 2 3" xfId="15991" xr:uid="{00000000-0005-0000-0000-0000E0530000}"/>
    <cellStyle name="Normal 19 3 2 4 2 3 2" xfId="29049" xr:uid="{00000000-0005-0000-0000-0000E1530000}"/>
    <cellStyle name="Normal 19 3 2 4 2 4" xfId="15992" xr:uid="{00000000-0005-0000-0000-0000E2530000}"/>
    <cellStyle name="Normal 19 3 2 4 2 4 2" xfId="29050" xr:uid="{00000000-0005-0000-0000-0000E3530000}"/>
    <cellStyle name="Normal 19 3 2 4 2 5" xfId="22534" xr:uid="{00000000-0005-0000-0000-0000E4530000}"/>
    <cellStyle name="Normal 19 3 2 4 3" xfId="10242" xr:uid="{00000000-0005-0000-0000-0000E5530000}"/>
    <cellStyle name="Normal 19 3 2 4 3 2" xfId="15993" xr:uid="{00000000-0005-0000-0000-0000E6530000}"/>
    <cellStyle name="Normal 19 3 2 4 3 2 2" xfId="29051" xr:uid="{00000000-0005-0000-0000-0000E7530000}"/>
    <cellStyle name="Normal 19 3 2 4 3 3" xfId="15994" xr:uid="{00000000-0005-0000-0000-0000E8530000}"/>
    <cellStyle name="Normal 19 3 2 4 3 3 2" xfId="29052" xr:uid="{00000000-0005-0000-0000-0000E9530000}"/>
    <cellStyle name="Normal 19 3 2 4 3 4" xfId="23612" xr:uid="{00000000-0005-0000-0000-0000EA530000}"/>
    <cellStyle name="Normal 19 3 2 4 4" xfId="15995" xr:uid="{00000000-0005-0000-0000-0000EB530000}"/>
    <cellStyle name="Normal 19 3 2 4 4 2" xfId="29053" xr:uid="{00000000-0005-0000-0000-0000EC530000}"/>
    <cellStyle name="Normal 19 3 2 4 5" xfId="15996" xr:uid="{00000000-0005-0000-0000-0000ED530000}"/>
    <cellStyle name="Normal 19 3 2 4 5 2" xfId="29054" xr:uid="{00000000-0005-0000-0000-0000EE530000}"/>
    <cellStyle name="Normal 19 3 2 4 6" xfId="21456" xr:uid="{00000000-0005-0000-0000-0000EF530000}"/>
    <cellStyle name="Normal 19 3 2 5" xfId="8265" xr:uid="{00000000-0005-0000-0000-0000F0530000}"/>
    <cellStyle name="Normal 19 3 2 5 2" xfId="10780" xr:uid="{00000000-0005-0000-0000-0000F1530000}"/>
    <cellStyle name="Normal 19 3 2 5 2 2" xfId="15997" xr:uid="{00000000-0005-0000-0000-0000F2530000}"/>
    <cellStyle name="Normal 19 3 2 5 2 2 2" xfId="29055" xr:uid="{00000000-0005-0000-0000-0000F3530000}"/>
    <cellStyle name="Normal 19 3 2 5 2 3" xfId="15998" xr:uid="{00000000-0005-0000-0000-0000F4530000}"/>
    <cellStyle name="Normal 19 3 2 5 2 3 2" xfId="29056" xr:uid="{00000000-0005-0000-0000-0000F5530000}"/>
    <cellStyle name="Normal 19 3 2 5 2 4" xfId="24150" xr:uid="{00000000-0005-0000-0000-0000F6530000}"/>
    <cellStyle name="Normal 19 3 2 5 3" xfId="15999" xr:uid="{00000000-0005-0000-0000-0000F7530000}"/>
    <cellStyle name="Normal 19 3 2 5 3 2" xfId="29057" xr:uid="{00000000-0005-0000-0000-0000F8530000}"/>
    <cellStyle name="Normal 19 3 2 5 4" xfId="16000" xr:uid="{00000000-0005-0000-0000-0000F9530000}"/>
    <cellStyle name="Normal 19 3 2 5 4 2" xfId="29058" xr:uid="{00000000-0005-0000-0000-0000FA530000}"/>
    <cellStyle name="Normal 19 3 2 5 5" xfId="21994" xr:uid="{00000000-0005-0000-0000-0000FB530000}"/>
    <cellStyle name="Normal 19 3 2 6" xfId="9701" xr:uid="{00000000-0005-0000-0000-0000FC530000}"/>
    <cellStyle name="Normal 19 3 2 6 2" xfId="16001" xr:uid="{00000000-0005-0000-0000-0000FD530000}"/>
    <cellStyle name="Normal 19 3 2 6 2 2" xfId="29059" xr:uid="{00000000-0005-0000-0000-0000FE530000}"/>
    <cellStyle name="Normal 19 3 2 6 3" xfId="16002" xr:uid="{00000000-0005-0000-0000-0000FF530000}"/>
    <cellStyle name="Normal 19 3 2 6 3 2" xfId="29060" xr:uid="{00000000-0005-0000-0000-000000540000}"/>
    <cellStyle name="Normal 19 3 2 6 4" xfId="23072" xr:uid="{00000000-0005-0000-0000-000001540000}"/>
    <cellStyle name="Normal 19 3 2 7" xfId="16003" xr:uid="{00000000-0005-0000-0000-000002540000}"/>
    <cellStyle name="Normal 19 3 2 7 2" xfId="29061" xr:uid="{00000000-0005-0000-0000-000003540000}"/>
    <cellStyle name="Normal 19 3 2 8" xfId="16004" xr:uid="{00000000-0005-0000-0000-000004540000}"/>
    <cellStyle name="Normal 19 3 2 8 2" xfId="29062" xr:uid="{00000000-0005-0000-0000-000005540000}"/>
    <cellStyle name="Normal 19 3 2 9" xfId="20915" xr:uid="{00000000-0005-0000-0000-000006540000}"/>
    <cellStyle name="Normal 19 3 3" xfId="5546" xr:uid="{00000000-0005-0000-0000-000007540000}"/>
    <cellStyle name="Normal 19 3 3 2" xfId="6730" xr:uid="{00000000-0005-0000-0000-000008540000}"/>
    <cellStyle name="Normal 19 3 3 2 2" xfId="7417" xr:uid="{00000000-0005-0000-0000-000009540000}"/>
    <cellStyle name="Normal 19 3 3 2 2 2" xfId="9296" xr:uid="{00000000-0005-0000-0000-00000A540000}"/>
    <cellStyle name="Normal 19 3 3 2 2 2 2" xfId="11675" xr:uid="{00000000-0005-0000-0000-00000B540000}"/>
    <cellStyle name="Normal 19 3 3 2 2 2 2 2" xfId="16005" xr:uid="{00000000-0005-0000-0000-00000C540000}"/>
    <cellStyle name="Normal 19 3 3 2 2 2 2 2 2" xfId="29063" xr:uid="{00000000-0005-0000-0000-00000D540000}"/>
    <cellStyle name="Normal 19 3 3 2 2 2 2 3" xfId="16006" xr:uid="{00000000-0005-0000-0000-00000E540000}"/>
    <cellStyle name="Normal 19 3 3 2 2 2 2 3 2" xfId="29064" xr:uid="{00000000-0005-0000-0000-00000F540000}"/>
    <cellStyle name="Normal 19 3 3 2 2 2 2 4" xfId="25045" xr:uid="{00000000-0005-0000-0000-000010540000}"/>
    <cellStyle name="Normal 19 3 3 2 2 2 3" xfId="16007" xr:uid="{00000000-0005-0000-0000-000011540000}"/>
    <cellStyle name="Normal 19 3 3 2 2 2 3 2" xfId="29065" xr:uid="{00000000-0005-0000-0000-000012540000}"/>
    <cellStyle name="Normal 19 3 3 2 2 2 4" xfId="16008" xr:uid="{00000000-0005-0000-0000-000013540000}"/>
    <cellStyle name="Normal 19 3 3 2 2 2 4 2" xfId="29066" xr:uid="{00000000-0005-0000-0000-000014540000}"/>
    <cellStyle name="Normal 19 3 3 2 2 2 5" xfId="22889" xr:uid="{00000000-0005-0000-0000-000015540000}"/>
    <cellStyle name="Normal 19 3 3 2 2 3" xfId="10597" xr:uid="{00000000-0005-0000-0000-000016540000}"/>
    <cellStyle name="Normal 19 3 3 2 2 3 2" xfId="16009" xr:uid="{00000000-0005-0000-0000-000017540000}"/>
    <cellStyle name="Normal 19 3 3 2 2 3 2 2" xfId="29067" xr:uid="{00000000-0005-0000-0000-000018540000}"/>
    <cellStyle name="Normal 19 3 3 2 2 3 3" xfId="16010" xr:uid="{00000000-0005-0000-0000-000019540000}"/>
    <cellStyle name="Normal 19 3 3 2 2 3 3 2" xfId="29068" xr:uid="{00000000-0005-0000-0000-00001A540000}"/>
    <cellStyle name="Normal 19 3 3 2 2 3 4" xfId="23967" xr:uid="{00000000-0005-0000-0000-00001B540000}"/>
    <cellStyle name="Normal 19 3 3 2 2 4" xfId="16011" xr:uid="{00000000-0005-0000-0000-00001C540000}"/>
    <cellStyle name="Normal 19 3 3 2 2 4 2" xfId="29069" xr:uid="{00000000-0005-0000-0000-00001D540000}"/>
    <cellStyle name="Normal 19 3 3 2 2 5" xfId="16012" xr:uid="{00000000-0005-0000-0000-00001E540000}"/>
    <cellStyle name="Normal 19 3 3 2 2 5 2" xfId="29070" xr:uid="{00000000-0005-0000-0000-00001F540000}"/>
    <cellStyle name="Normal 19 3 3 2 2 6" xfId="21811" xr:uid="{00000000-0005-0000-0000-000020540000}"/>
    <cellStyle name="Normal 19 3 3 2 3" xfId="8750" xr:uid="{00000000-0005-0000-0000-000021540000}"/>
    <cellStyle name="Normal 19 3 3 2 3 2" xfId="11135" xr:uid="{00000000-0005-0000-0000-000022540000}"/>
    <cellStyle name="Normal 19 3 3 2 3 2 2" xfId="16013" xr:uid="{00000000-0005-0000-0000-000023540000}"/>
    <cellStyle name="Normal 19 3 3 2 3 2 2 2" xfId="29071" xr:uid="{00000000-0005-0000-0000-000024540000}"/>
    <cellStyle name="Normal 19 3 3 2 3 2 3" xfId="16014" xr:uid="{00000000-0005-0000-0000-000025540000}"/>
    <cellStyle name="Normal 19 3 3 2 3 2 3 2" xfId="29072" xr:uid="{00000000-0005-0000-0000-000026540000}"/>
    <cellStyle name="Normal 19 3 3 2 3 2 4" xfId="24505" xr:uid="{00000000-0005-0000-0000-000027540000}"/>
    <cellStyle name="Normal 19 3 3 2 3 3" xfId="16015" xr:uid="{00000000-0005-0000-0000-000028540000}"/>
    <cellStyle name="Normal 19 3 3 2 3 3 2" xfId="29073" xr:uid="{00000000-0005-0000-0000-000029540000}"/>
    <cellStyle name="Normal 19 3 3 2 3 4" xfId="16016" xr:uid="{00000000-0005-0000-0000-00002A540000}"/>
    <cellStyle name="Normal 19 3 3 2 3 4 2" xfId="29074" xr:uid="{00000000-0005-0000-0000-00002B540000}"/>
    <cellStyle name="Normal 19 3 3 2 3 5" xfId="22349" xr:uid="{00000000-0005-0000-0000-00002C540000}"/>
    <cellStyle name="Normal 19 3 3 2 4" xfId="10057" xr:uid="{00000000-0005-0000-0000-00002D540000}"/>
    <cellStyle name="Normal 19 3 3 2 4 2" xfId="16017" xr:uid="{00000000-0005-0000-0000-00002E540000}"/>
    <cellStyle name="Normal 19 3 3 2 4 2 2" xfId="29075" xr:uid="{00000000-0005-0000-0000-00002F540000}"/>
    <cellStyle name="Normal 19 3 3 2 4 3" xfId="16018" xr:uid="{00000000-0005-0000-0000-000030540000}"/>
    <cellStyle name="Normal 19 3 3 2 4 3 2" xfId="29076" xr:uid="{00000000-0005-0000-0000-000031540000}"/>
    <cellStyle name="Normal 19 3 3 2 4 4" xfId="23427" xr:uid="{00000000-0005-0000-0000-000032540000}"/>
    <cellStyle name="Normal 19 3 3 2 5" xfId="16019" xr:uid="{00000000-0005-0000-0000-000033540000}"/>
    <cellStyle name="Normal 19 3 3 2 5 2" xfId="29077" xr:uid="{00000000-0005-0000-0000-000034540000}"/>
    <cellStyle name="Normal 19 3 3 2 6" xfId="16020" xr:uid="{00000000-0005-0000-0000-000035540000}"/>
    <cellStyle name="Normal 19 3 3 2 6 2" xfId="29078" xr:uid="{00000000-0005-0000-0000-000036540000}"/>
    <cellStyle name="Normal 19 3 3 2 7" xfId="21271" xr:uid="{00000000-0005-0000-0000-000037540000}"/>
    <cellStyle name="Normal 19 3 3 3" xfId="7148" xr:uid="{00000000-0005-0000-0000-000038540000}"/>
    <cellStyle name="Normal 19 3 3 3 2" xfId="9027" xr:uid="{00000000-0005-0000-0000-000039540000}"/>
    <cellStyle name="Normal 19 3 3 3 2 2" xfId="11406" xr:uid="{00000000-0005-0000-0000-00003A540000}"/>
    <cellStyle name="Normal 19 3 3 3 2 2 2" xfId="16021" xr:uid="{00000000-0005-0000-0000-00003B540000}"/>
    <cellStyle name="Normal 19 3 3 3 2 2 2 2" xfId="29079" xr:uid="{00000000-0005-0000-0000-00003C540000}"/>
    <cellStyle name="Normal 19 3 3 3 2 2 3" xfId="16022" xr:uid="{00000000-0005-0000-0000-00003D540000}"/>
    <cellStyle name="Normal 19 3 3 3 2 2 3 2" xfId="29080" xr:uid="{00000000-0005-0000-0000-00003E540000}"/>
    <cellStyle name="Normal 19 3 3 3 2 2 4" xfId="24776" xr:uid="{00000000-0005-0000-0000-00003F540000}"/>
    <cellStyle name="Normal 19 3 3 3 2 3" xfId="16023" xr:uid="{00000000-0005-0000-0000-000040540000}"/>
    <cellStyle name="Normal 19 3 3 3 2 3 2" xfId="29081" xr:uid="{00000000-0005-0000-0000-000041540000}"/>
    <cellStyle name="Normal 19 3 3 3 2 4" xfId="16024" xr:uid="{00000000-0005-0000-0000-000042540000}"/>
    <cellStyle name="Normal 19 3 3 3 2 4 2" xfId="29082" xr:uid="{00000000-0005-0000-0000-000043540000}"/>
    <cellStyle name="Normal 19 3 3 3 2 5" xfId="22620" xr:uid="{00000000-0005-0000-0000-000044540000}"/>
    <cellStyle name="Normal 19 3 3 3 3" xfId="10328" xr:uid="{00000000-0005-0000-0000-000045540000}"/>
    <cellStyle name="Normal 19 3 3 3 3 2" xfId="16025" xr:uid="{00000000-0005-0000-0000-000046540000}"/>
    <cellStyle name="Normal 19 3 3 3 3 2 2" xfId="29083" xr:uid="{00000000-0005-0000-0000-000047540000}"/>
    <cellStyle name="Normal 19 3 3 3 3 3" xfId="16026" xr:uid="{00000000-0005-0000-0000-000048540000}"/>
    <cellStyle name="Normal 19 3 3 3 3 3 2" xfId="29084" xr:uid="{00000000-0005-0000-0000-000049540000}"/>
    <cellStyle name="Normal 19 3 3 3 3 4" xfId="23698" xr:uid="{00000000-0005-0000-0000-00004A540000}"/>
    <cellStyle name="Normal 19 3 3 3 4" xfId="16027" xr:uid="{00000000-0005-0000-0000-00004B540000}"/>
    <cellStyle name="Normal 19 3 3 3 4 2" xfId="29085" xr:uid="{00000000-0005-0000-0000-00004C540000}"/>
    <cellStyle name="Normal 19 3 3 3 5" xfId="16028" xr:uid="{00000000-0005-0000-0000-00004D540000}"/>
    <cellStyle name="Normal 19 3 3 3 5 2" xfId="29086" xr:uid="{00000000-0005-0000-0000-00004E540000}"/>
    <cellStyle name="Normal 19 3 3 3 6" xfId="21542" xr:uid="{00000000-0005-0000-0000-00004F540000}"/>
    <cellStyle name="Normal 19 3 3 4" xfId="8423" xr:uid="{00000000-0005-0000-0000-000050540000}"/>
    <cellStyle name="Normal 19 3 3 4 2" xfId="10866" xr:uid="{00000000-0005-0000-0000-000051540000}"/>
    <cellStyle name="Normal 19 3 3 4 2 2" xfId="16029" xr:uid="{00000000-0005-0000-0000-000052540000}"/>
    <cellStyle name="Normal 19 3 3 4 2 2 2" xfId="29087" xr:uid="{00000000-0005-0000-0000-000053540000}"/>
    <cellStyle name="Normal 19 3 3 4 2 3" xfId="16030" xr:uid="{00000000-0005-0000-0000-000054540000}"/>
    <cellStyle name="Normal 19 3 3 4 2 3 2" xfId="29088" xr:uid="{00000000-0005-0000-0000-000055540000}"/>
    <cellStyle name="Normal 19 3 3 4 2 4" xfId="24236" xr:uid="{00000000-0005-0000-0000-000056540000}"/>
    <cellStyle name="Normal 19 3 3 4 3" xfId="16031" xr:uid="{00000000-0005-0000-0000-000057540000}"/>
    <cellStyle name="Normal 19 3 3 4 3 2" xfId="29089" xr:uid="{00000000-0005-0000-0000-000058540000}"/>
    <cellStyle name="Normal 19 3 3 4 4" xfId="16032" xr:uid="{00000000-0005-0000-0000-000059540000}"/>
    <cellStyle name="Normal 19 3 3 4 4 2" xfId="29090" xr:uid="{00000000-0005-0000-0000-00005A540000}"/>
    <cellStyle name="Normal 19 3 3 4 5" xfId="22080" xr:uid="{00000000-0005-0000-0000-00005B540000}"/>
    <cellStyle name="Normal 19 3 3 5" xfId="9788" xr:uid="{00000000-0005-0000-0000-00005C540000}"/>
    <cellStyle name="Normal 19 3 3 5 2" xfId="16033" xr:uid="{00000000-0005-0000-0000-00005D540000}"/>
    <cellStyle name="Normal 19 3 3 5 2 2" xfId="29091" xr:uid="{00000000-0005-0000-0000-00005E540000}"/>
    <cellStyle name="Normal 19 3 3 5 3" xfId="16034" xr:uid="{00000000-0005-0000-0000-00005F540000}"/>
    <cellStyle name="Normal 19 3 3 5 3 2" xfId="29092" xr:uid="{00000000-0005-0000-0000-000060540000}"/>
    <cellStyle name="Normal 19 3 3 5 4" xfId="23158" xr:uid="{00000000-0005-0000-0000-000061540000}"/>
    <cellStyle name="Normal 19 3 3 6" xfId="16035" xr:uid="{00000000-0005-0000-0000-000062540000}"/>
    <cellStyle name="Normal 19 3 3 6 2" xfId="29093" xr:uid="{00000000-0005-0000-0000-000063540000}"/>
    <cellStyle name="Normal 19 3 3 7" xfId="16036" xr:uid="{00000000-0005-0000-0000-000064540000}"/>
    <cellStyle name="Normal 19 3 3 7 2" xfId="29094" xr:uid="{00000000-0005-0000-0000-000065540000}"/>
    <cellStyle name="Normal 19 3 3 8" xfId="21002" xr:uid="{00000000-0005-0000-0000-000066540000}"/>
    <cellStyle name="Normal 19 3 4" xfId="6580" xr:uid="{00000000-0005-0000-0000-000067540000}"/>
    <cellStyle name="Normal 19 3 4 2" xfId="7276" xr:uid="{00000000-0005-0000-0000-000068540000}"/>
    <cellStyle name="Normal 19 3 4 2 2" xfId="9155" xr:uid="{00000000-0005-0000-0000-000069540000}"/>
    <cellStyle name="Normal 19 3 4 2 2 2" xfId="11534" xr:uid="{00000000-0005-0000-0000-00006A540000}"/>
    <cellStyle name="Normal 19 3 4 2 2 2 2" xfId="16037" xr:uid="{00000000-0005-0000-0000-00006B540000}"/>
    <cellStyle name="Normal 19 3 4 2 2 2 2 2" xfId="29095" xr:uid="{00000000-0005-0000-0000-00006C540000}"/>
    <cellStyle name="Normal 19 3 4 2 2 2 3" xfId="16038" xr:uid="{00000000-0005-0000-0000-00006D540000}"/>
    <cellStyle name="Normal 19 3 4 2 2 2 3 2" xfId="29096" xr:uid="{00000000-0005-0000-0000-00006E540000}"/>
    <cellStyle name="Normal 19 3 4 2 2 2 4" xfId="24904" xr:uid="{00000000-0005-0000-0000-00006F540000}"/>
    <cellStyle name="Normal 19 3 4 2 2 3" xfId="16039" xr:uid="{00000000-0005-0000-0000-000070540000}"/>
    <cellStyle name="Normal 19 3 4 2 2 3 2" xfId="29097" xr:uid="{00000000-0005-0000-0000-000071540000}"/>
    <cellStyle name="Normal 19 3 4 2 2 4" xfId="16040" xr:uid="{00000000-0005-0000-0000-000072540000}"/>
    <cellStyle name="Normal 19 3 4 2 2 4 2" xfId="29098" xr:uid="{00000000-0005-0000-0000-000073540000}"/>
    <cellStyle name="Normal 19 3 4 2 2 5" xfId="22748" xr:uid="{00000000-0005-0000-0000-000074540000}"/>
    <cellStyle name="Normal 19 3 4 2 3" xfId="10456" xr:uid="{00000000-0005-0000-0000-000075540000}"/>
    <cellStyle name="Normal 19 3 4 2 3 2" xfId="16041" xr:uid="{00000000-0005-0000-0000-000076540000}"/>
    <cellStyle name="Normal 19 3 4 2 3 2 2" xfId="29099" xr:uid="{00000000-0005-0000-0000-000077540000}"/>
    <cellStyle name="Normal 19 3 4 2 3 3" xfId="16042" xr:uid="{00000000-0005-0000-0000-000078540000}"/>
    <cellStyle name="Normal 19 3 4 2 3 3 2" xfId="29100" xr:uid="{00000000-0005-0000-0000-000079540000}"/>
    <cellStyle name="Normal 19 3 4 2 3 4" xfId="23826" xr:uid="{00000000-0005-0000-0000-00007A540000}"/>
    <cellStyle name="Normal 19 3 4 2 4" xfId="16043" xr:uid="{00000000-0005-0000-0000-00007B540000}"/>
    <cellStyle name="Normal 19 3 4 2 4 2" xfId="29101" xr:uid="{00000000-0005-0000-0000-00007C540000}"/>
    <cellStyle name="Normal 19 3 4 2 5" xfId="16044" xr:uid="{00000000-0005-0000-0000-00007D540000}"/>
    <cellStyle name="Normal 19 3 4 2 5 2" xfId="29102" xr:uid="{00000000-0005-0000-0000-00007E540000}"/>
    <cellStyle name="Normal 19 3 4 2 6" xfId="21670" xr:uid="{00000000-0005-0000-0000-00007F540000}"/>
    <cellStyle name="Normal 19 3 4 3" xfId="8608" xr:uid="{00000000-0005-0000-0000-000080540000}"/>
    <cellStyle name="Normal 19 3 4 3 2" xfId="10994" xr:uid="{00000000-0005-0000-0000-000081540000}"/>
    <cellStyle name="Normal 19 3 4 3 2 2" xfId="16045" xr:uid="{00000000-0005-0000-0000-000082540000}"/>
    <cellStyle name="Normal 19 3 4 3 2 2 2" xfId="29103" xr:uid="{00000000-0005-0000-0000-000083540000}"/>
    <cellStyle name="Normal 19 3 4 3 2 3" xfId="16046" xr:uid="{00000000-0005-0000-0000-000084540000}"/>
    <cellStyle name="Normal 19 3 4 3 2 3 2" xfId="29104" xr:uid="{00000000-0005-0000-0000-000085540000}"/>
    <cellStyle name="Normal 19 3 4 3 2 4" xfId="24364" xr:uid="{00000000-0005-0000-0000-000086540000}"/>
    <cellStyle name="Normal 19 3 4 3 3" xfId="16047" xr:uid="{00000000-0005-0000-0000-000087540000}"/>
    <cellStyle name="Normal 19 3 4 3 3 2" xfId="29105" xr:uid="{00000000-0005-0000-0000-000088540000}"/>
    <cellStyle name="Normal 19 3 4 3 4" xfId="16048" xr:uid="{00000000-0005-0000-0000-000089540000}"/>
    <cellStyle name="Normal 19 3 4 3 4 2" xfId="29106" xr:uid="{00000000-0005-0000-0000-00008A540000}"/>
    <cellStyle name="Normal 19 3 4 3 5" xfId="22208" xr:uid="{00000000-0005-0000-0000-00008B540000}"/>
    <cellStyle name="Normal 19 3 4 4" xfId="9916" xr:uid="{00000000-0005-0000-0000-00008C540000}"/>
    <cellStyle name="Normal 19 3 4 4 2" xfId="16049" xr:uid="{00000000-0005-0000-0000-00008D540000}"/>
    <cellStyle name="Normal 19 3 4 4 2 2" xfId="29107" xr:uid="{00000000-0005-0000-0000-00008E540000}"/>
    <cellStyle name="Normal 19 3 4 4 3" xfId="16050" xr:uid="{00000000-0005-0000-0000-00008F540000}"/>
    <cellStyle name="Normal 19 3 4 4 3 2" xfId="29108" xr:uid="{00000000-0005-0000-0000-000090540000}"/>
    <cellStyle name="Normal 19 3 4 4 4" xfId="23286" xr:uid="{00000000-0005-0000-0000-000091540000}"/>
    <cellStyle name="Normal 19 3 4 5" xfId="16051" xr:uid="{00000000-0005-0000-0000-000092540000}"/>
    <cellStyle name="Normal 19 3 4 5 2" xfId="29109" xr:uid="{00000000-0005-0000-0000-000093540000}"/>
    <cellStyle name="Normal 19 3 4 6" xfId="16052" xr:uid="{00000000-0005-0000-0000-000094540000}"/>
    <cellStyle name="Normal 19 3 4 6 2" xfId="29110" xr:uid="{00000000-0005-0000-0000-000095540000}"/>
    <cellStyle name="Normal 19 3 4 7" xfId="21130" xr:uid="{00000000-0005-0000-0000-000096540000}"/>
    <cellStyle name="Normal 19 3 5" xfId="7006" xr:uid="{00000000-0005-0000-0000-000097540000}"/>
    <cellStyle name="Normal 19 3 5 2" xfId="8886" xr:uid="{00000000-0005-0000-0000-000098540000}"/>
    <cellStyle name="Normal 19 3 5 2 2" xfId="11265" xr:uid="{00000000-0005-0000-0000-000099540000}"/>
    <cellStyle name="Normal 19 3 5 2 2 2" xfId="16053" xr:uid="{00000000-0005-0000-0000-00009A540000}"/>
    <cellStyle name="Normal 19 3 5 2 2 2 2" xfId="29111" xr:uid="{00000000-0005-0000-0000-00009B540000}"/>
    <cellStyle name="Normal 19 3 5 2 2 3" xfId="16054" xr:uid="{00000000-0005-0000-0000-00009C540000}"/>
    <cellStyle name="Normal 19 3 5 2 2 3 2" xfId="29112" xr:uid="{00000000-0005-0000-0000-00009D540000}"/>
    <cellStyle name="Normal 19 3 5 2 2 4" xfId="24635" xr:uid="{00000000-0005-0000-0000-00009E540000}"/>
    <cellStyle name="Normal 19 3 5 2 3" xfId="16055" xr:uid="{00000000-0005-0000-0000-00009F540000}"/>
    <cellStyle name="Normal 19 3 5 2 3 2" xfId="29113" xr:uid="{00000000-0005-0000-0000-0000A0540000}"/>
    <cellStyle name="Normal 19 3 5 2 4" xfId="16056" xr:uid="{00000000-0005-0000-0000-0000A1540000}"/>
    <cellStyle name="Normal 19 3 5 2 4 2" xfId="29114" xr:uid="{00000000-0005-0000-0000-0000A2540000}"/>
    <cellStyle name="Normal 19 3 5 2 5" xfId="22479" xr:uid="{00000000-0005-0000-0000-0000A3540000}"/>
    <cellStyle name="Normal 19 3 5 3" xfId="10187" xr:uid="{00000000-0005-0000-0000-0000A4540000}"/>
    <cellStyle name="Normal 19 3 5 3 2" xfId="16057" xr:uid="{00000000-0005-0000-0000-0000A5540000}"/>
    <cellStyle name="Normal 19 3 5 3 2 2" xfId="29115" xr:uid="{00000000-0005-0000-0000-0000A6540000}"/>
    <cellStyle name="Normal 19 3 5 3 3" xfId="16058" xr:uid="{00000000-0005-0000-0000-0000A7540000}"/>
    <cellStyle name="Normal 19 3 5 3 3 2" xfId="29116" xr:uid="{00000000-0005-0000-0000-0000A8540000}"/>
    <cellStyle name="Normal 19 3 5 3 4" xfId="23557" xr:uid="{00000000-0005-0000-0000-0000A9540000}"/>
    <cellStyle name="Normal 19 3 5 4" xfId="16059" xr:uid="{00000000-0005-0000-0000-0000AA540000}"/>
    <cellStyle name="Normal 19 3 5 4 2" xfId="29117" xr:uid="{00000000-0005-0000-0000-0000AB540000}"/>
    <cellStyle name="Normal 19 3 5 5" xfId="16060" xr:uid="{00000000-0005-0000-0000-0000AC540000}"/>
    <cellStyle name="Normal 19 3 5 5 2" xfId="29118" xr:uid="{00000000-0005-0000-0000-0000AD540000}"/>
    <cellStyle name="Normal 19 3 5 6" xfId="21401" xr:uid="{00000000-0005-0000-0000-0000AE540000}"/>
    <cellStyle name="Normal 19 3 6" xfId="8201" xr:uid="{00000000-0005-0000-0000-0000AF540000}"/>
    <cellStyle name="Normal 19 3 6 2" xfId="10725" xr:uid="{00000000-0005-0000-0000-0000B0540000}"/>
    <cellStyle name="Normal 19 3 6 2 2" xfId="16061" xr:uid="{00000000-0005-0000-0000-0000B1540000}"/>
    <cellStyle name="Normal 19 3 6 2 2 2" xfId="29119" xr:uid="{00000000-0005-0000-0000-0000B2540000}"/>
    <cellStyle name="Normal 19 3 6 2 3" xfId="16062" xr:uid="{00000000-0005-0000-0000-0000B3540000}"/>
    <cellStyle name="Normal 19 3 6 2 3 2" xfId="29120" xr:uid="{00000000-0005-0000-0000-0000B4540000}"/>
    <cellStyle name="Normal 19 3 6 2 4" xfId="24095" xr:uid="{00000000-0005-0000-0000-0000B5540000}"/>
    <cellStyle name="Normal 19 3 6 3" xfId="16063" xr:uid="{00000000-0005-0000-0000-0000B6540000}"/>
    <cellStyle name="Normal 19 3 6 3 2" xfId="29121" xr:uid="{00000000-0005-0000-0000-0000B7540000}"/>
    <cellStyle name="Normal 19 3 6 4" xfId="16064" xr:uid="{00000000-0005-0000-0000-0000B8540000}"/>
    <cellStyle name="Normal 19 3 6 4 2" xfId="29122" xr:uid="{00000000-0005-0000-0000-0000B9540000}"/>
    <cellStyle name="Normal 19 3 6 5" xfId="21939" xr:uid="{00000000-0005-0000-0000-0000BA540000}"/>
    <cellStyle name="Normal 19 3 7" xfId="9646" xr:uid="{00000000-0005-0000-0000-0000BB540000}"/>
    <cellStyle name="Normal 19 3 7 2" xfId="16065" xr:uid="{00000000-0005-0000-0000-0000BC540000}"/>
    <cellStyle name="Normal 19 3 7 2 2" xfId="29123" xr:uid="{00000000-0005-0000-0000-0000BD540000}"/>
    <cellStyle name="Normal 19 3 7 3" xfId="16066" xr:uid="{00000000-0005-0000-0000-0000BE540000}"/>
    <cellStyle name="Normal 19 3 7 3 2" xfId="29124" xr:uid="{00000000-0005-0000-0000-0000BF540000}"/>
    <cellStyle name="Normal 19 3 7 4" xfId="23017" xr:uid="{00000000-0005-0000-0000-0000C0540000}"/>
    <cellStyle name="Normal 19 3 8" xfId="16067" xr:uid="{00000000-0005-0000-0000-0000C1540000}"/>
    <cellStyle name="Normal 19 3 8 2" xfId="29125" xr:uid="{00000000-0005-0000-0000-0000C2540000}"/>
    <cellStyle name="Normal 19 3 9" xfId="16068" xr:uid="{00000000-0005-0000-0000-0000C3540000}"/>
    <cellStyle name="Normal 19 3 9 2" xfId="29126" xr:uid="{00000000-0005-0000-0000-0000C4540000}"/>
    <cellStyle name="Normal 19 4" xfId="4067" xr:uid="{00000000-0005-0000-0000-0000C5540000}"/>
    <cellStyle name="Normal 19 4 2" xfId="5603" xr:uid="{00000000-0005-0000-0000-0000C6540000}"/>
    <cellStyle name="Normal 19 4 2 2" xfId="6755" xr:uid="{00000000-0005-0000-0000-0000C7540000}"/>
    <cellStyle name="Normal 19 4 2 2 2" xfId="7442" xr:uid="{00000000-0005-0000-0000-0000C8540000}"/>
    <cellStyle name="Normal 19 4 2 2 2 2" xfId="9321" xr:uid="{00000000-0005-0000-0000-0000C9540000}"/>
    <cellStyle name="Normal 19 4 2 2 2 2 2" xfId="11700" xr:uid="{00000000-0005-0000-0000-0000CA540000}"/>
    <cellStyle name="Normal 19 4 2 2 2 2 2 2" xfId="16069" xr:uid="{00000000-0005-0000-0000-0000CB540000}"/>
    <cellStyle name="Normal 19 4 2 2 2 2 2 2 2" xfId="29127" xr:uid="{00000000-0005-0000-0000-0000CC540000}"/>
    <cellStyle name="Normal 19 4 2 2 2 2 2 3" xfId="16070" xr:uid="{00000000-0005-0000-0000-0000CD540000}"/>
    <cellStyle name="Normal 19 4 2 2 2 2 2 3 2" xfId="29128" xr:uid="{00000000-0005-0000-0000-0000CE540000}"/>
    <cellStyle name="Normal 19 4 2 2 2 2 2 4" xfId="25070" xr:uid="{00000000-0005-0000-0000-0000CF540000}"/>
    <cellStyle name="Normal 19 4 2 2 2 2 3" xfId="16071" xr:uid="{00000000-0005-0000-0000-0000D0540000}"/>
    <cellStyle name="Normal 19 4 2 2 2 2 3 2" xfId="29129" xr:uid="{00000000-0005-0000-0000-0000D1540000}"/>
    <cellStyle name="Normal 19 4 2 2 2 2 4" xfId="16072" xr:uid="{00000000-0005-0000-0000-0000D2540000}"/>
    <cellStyle name="Normal 19 4 2 2 2 2 4 2" xfId="29130" xr:uid="{00000000-0005-0000-0000-0000D3540000}"/>
    <cellStyle name="Normal 19 4 2 2 2 2 5" xfId="22914" xr:uid="{00000000-0005-0000-0000-0000D4540000}"/>
    <cellStyle name="Normal 19 4 2 2 2 3" xfId="10622" xr:uid="{00000000-0005-0000-0000-0000D5540000}"/>
    <cellStyle name="Normal 19 4 2 2 2 3 2" xfId="16073" xr:uid="{00000000-0005-0000-0000-0000D6540000}"/>
    <cellStyle name="Normal 19 4 2 2 2 3 2 2" xfId="29131" xr:uid="{00000000-0005-0000-0000-0000D7540000}"/>
    <cellStyle name="Normal 19 4 2 2 2 3 3" xfId="16074" xr:uid="{00000000-0005-0000-0000-0000D8540000}"/>
    <cellStyle name="Normal 19 4 2 2 2 3 3 2" xfId="29132" xr:uid="{00000000-0005-0000-0000-0000D9540000}"/>
    <cellStyle name="Normal 19 4 2 2 2 3 4" xfId="23992" xr:uid="{00000000-0005-0000-0000-0000DA540000}"/>
    <cellStyle name="Normal 19 4 2 2 2 4" xfId="16075" xr:uid="{00000000-0005-0000-0000-0000DB540000}"/>
    <cellStyle name="Normal 19 4 2 2 2 4 2" xfId="29133" xr:uid="{00000000-0005-0000-0000-0000DC540000}"/>
    <cellStyle name="Normal 19 4 2 2 2 5" xfId="16076" xr:uid="{00000000-0005-0000-0000-0000DD540000}"/>
    <cellStyle name="Normal 19 4 2 2 2 5 2" xfId="29134" xr:uid="{00000000-0005-0000-0000-0000DE540000}"/>
    <cellStyle name="Normal 19 4 2 2 2 6" xfId="21836" xr:uid="{00000000-0005-0000-0000-0000DF540000}"/>
    <cellStyle name="Normal 19 4 2 2 3" xfId="8775" xr:uid="{00000000-0005-0000-0000-0000E0540000}"/>
    <cellStyle name="Normal 19 4 2 2 3 2" xfId="11160" xr:uid="{00000000-0005-0000-0000-0000E1540000}"/>
    <cellStyle name="Normal 19 4 2 2 3 2 2" xfId="16077" xr:uid="{00000000-0005-0000-0000-0000E2540000}"/>
    <cellStyle name="Normal 19 4 2 2 3 2 2 2" xfId="29135" xr:uid="{00000000-0005-0000-0000-0000E3540000}"/>
    <cellStyle name="Normal 19 4 2 2 3 2 3" xfId="16078" xr:uid="{00000000-0005-0000-0000-0000E4540000}"/>
    <cellStyle name="Normal 19 4 2 2 3 2 3 2" xfId="29136" xr:uid="{00000000-0005-0000-0000-0000E5540000}"/>
    <cellStyle name="Normal 19 4 2 2 3 2 4" xfId="24530" xr:uid="{00000000-0005-0000-0000-0000E6540000}"/>
    <cellStyle name="Normal 19 4 2 2 3 3" xfId="16079" xr:uid="{00000000-0005-0000-0000-0000E7540000}"/>
    <cellStyle name="Normal 19 4 2 2 3 3 2" xfId="29137" xr:uid="{00000000-0005-0000-0000-0000E8540000}"/>
    <cellStyle name="Normal 19 4 2 2 3 4" xfId="16080" xr:uid="{00000000-0005-0000-0000-0000E9540000}"/>
    <cellStyle name="Normal 19 4 2 2 3 4 2" xfId="29138" xr:uid="{00000000-0005-0000-0000-0000EA540000}"/>
    <cellStyle name="Normal 19 4 2 2 3 5" xfId="22374" xr:uid="{00000000-0005-0000-0000-0000EB540000}"/>
    <cellStyle name="Normal 19 4 2 2 4" xfId="10082" xr:uid="{00000000-0005-0000-0000-0000EC540000}"/>
    <cellStyle name="Normal 19 4 2 2 4 2" xfId="16081" xr:uid="{00000000-0005-0000-0000-0000ED540000}"/>
    <cellStyle name="Normal 19 4 2 2 4 2 2" xfId="29139" xr:uid="{00000000-0005-0000-0000-0000EE540000}"/>
    <cellStyle name="Normal 19 4 2 2 4 3" xfId="16082" xr:uid="{00000000-0005-0000-0000-0000EF540000}"/>
    <cellStyle name="Normal 19 4 2 2 4 3 2" xfId="29140" xr:uid="{00000000-0005-0000-0000-0000F0540000}"/>
    <cellStyle name="Normal 19 4 2 2 4 4" xfId="23452" xr:uid="{00000000-0005-0000-0000-0000F1540000}"/>
    <cellStyle name="Normal 19 4 2 2 5" xfId="16083" xr:uid="{00000000-0005-0000-0000-0000F2540000}"/>
    <cellStyle name="Normal 19 4 2 2 5 2" xfId="29141" xr:uid="{00000000-0005-0000-0000-0000F3540000}"/>
    <cellStyle name="Normal 19 4 2 2 6" xfId="16084" xr:uid="{00000000-0005-0000-0000-0000F4540000}"/>
    <cellStyle name="Normal 19 4 2 2 6 2" xfId="29142" xr:uid="{00000000-0005-0000-0000-0000F5540000}"/>
    <cellStyle name="Normal 19 4 2 2 7" xfId="21296" xr:uid="{00000000-0005-0000-0000-0000F6540000}"/>
    <cellStyle name="Normal 19 4 2 3" xfId="7173" xr:uid="{00000000-0005-0000-0000-0000F7540000}"/>
    <cellStyle name="Normal 19 4 2 3 2" xfId="9052" xr:uid="{00000000-0005-0000-0000-0000F8540000}"/>
    <cellStyle name="Normal 19 4 2 3 2 2" xfId="11431" xr:uid="{00000000-0005-0000-0000-0000F9540000}"/>
    <cellStyle name="Normal 19 4 2 3 2 2 2" xfId="16085" xr:uid="{00000000-0005-0000-0000-0000FA540000}"/>
    <cellStyle name="Normal 19 4 2 3 2 2 2 2" xfId="29143" xr:uid="{00000000-0005-0000-0000-0000FB540000}"/>
    <cellStyle name="Normal 19 4 2 3 2 2 3" xfId="16086" xr:uid="{00000000-0005-0000-0000-0000FC540000}"/>
    <cellStyle name="Normal 19 4 2 3 2 2 3 2" xfId="29144" xr:uid="{00000000-0005-0000-0000-0000FD540000}"/>
    <cellStyle name="Normal 19 4 2 3 2 2 4" xfId="24801" xr:uid="{00000000-0005-0000-0000-0000FE540000}"/>
    <cellStyle name="Normal 19 4 2 3 2 3" xfId="16087" xr:uid="{00000000-0005-0000-0000-0000FF540000}"/>
    <cellStyle name="Normal 19 4 2 3 2 3 2" xfId="29145" xr:uid="{00000000-0005-0000-0000-000000550000}"/>
    <cellStyle name="Normal 19 4 2 3 2 4" xfId="16088" xr:uid="{00000000-0005-0000-0000-000001550000}"/>
    <cellStyle name="Normal 19 4 2 3 2 4 2" xfId="29146" xr:uid="{00000000-0005-0000-0000-000002550000}"/>
    <cellStyle name="Normal 19 4 2 3 2 5" xfId="22645" xr:uid="{00000000-0005-0000-0000-000003550000}"/>
    <cellStyle name="Normal 19 4 2 3 3" xfId="10353" xr:uid="{00000000-0005-0000-0000-000004550000}"/>
    <cellStyle name="Normal 19 4 2 3 3 2" xfId="16089" xr:uid="{00000000-0005-0000-0000-000005550000}"/>
    <cellStyle name="Normal 19 4 2 3 3 2 2" xfId="29147" xr:uid="{00000000-0005-0000-0000-000006550000}"/>
    <cellStyle name="Normal 19 4 2 3 3 3" xfId="16090" xr:uid="{00000000-0005-0000-0000-000007550000}"/>
    <cellStyle name="Normal 19 4 2 3 3 3 2" xfId="29148" xr:uid="{00000000-0005-0000-0000-000008550000}"/>
    <cellStyle name="Normal 19 4 2 3 3 4" xfId="23723" xr:uid="{00000000-0005-0000-0000-000009550000}"/>
    <cellStyle name="Normal 19 4 2 3 4" xfId="16091" xr:uid="{00000000-0005-0000-0000-00000A550000}"/>
    <cellStyle name="Normal 19 4 2 3 4 2" xfId="29149" xr:uid="{00000000-0005-0000-0000-00000B550000}"/>
    <cellStyle name="Normal 19 4 2 3 5" xfId="16092" xr:uid="{00000000-0005-0000-0000-00000C550000}"/>
    <cellStyle name="Normal 19 4 2 3 5 2" xfId="29150" xr:uid="{00000000-0005-0000-0000-00000D550000}"/>
    <cellStyle name="Normal 19 4 2 3 6" xfId="21567" xr:uid="{00000000-0005-0000-0000-00000E550000}"/>
    <cellStyle name="Normal 19 4 2 4" xfId="8450" xr:uid="{00000000-0005-0000-0000-00000F550000}"/>
    <cellStyle name="Normal 19 4 2 4 2" xfId="10891" xr:uid="{00000000-0005-0000-0000-000010550000}"/>
    <cellStyle name="Normal 19 4 2 4 2 2" xfId="16093" xr:uid="{00000000-0005-0000-0000-000011550000}"/>
    <cellStyle name="Normal 19 4 2 4 2 2 2" xfId="29151" xr:uid="{00000000-0005-0000-0000-000012550000}"/>
    <cellStyle name="Normal 19 4 2 4 2 3" xfId="16094" xr:uid="{00000000-0005-0000-0000-000013550000}"/>
    <cellStyle name="Normal 19 4 2 4 2 3 2" xfId="29152" xr:uid="{00000000-0005-0000-0000-000014550000}"/>
    <cellStyle name="Normal 19 4 2 4 2 4" xfId="24261" xr:uid="{00000000-0005-0000-0000-000015550000}"/>
    <cellStyle name="Normal 19 4 2 4 3" xfId="16095" xr:uid="{00000000-0005-0000-0000-000016550000}"/>
    <cellStyle name="Normal 19 4 2 4 3 2" xfId="29153" xr:uid="{00000000-0005-0000-0000-000017550000}"/>
    <cellStyle name="Normal 19 4 2 4 4" xfId="16096" xr:uid="{00000000-0005-0000-0000-000018550000}"/>
    <cellStyle name="Normal 19 4 2 4 4 2" xfId="29154" xr:uid="{00000000-0005-0000-0000-000019550000}"/>
    <cellStyle name="Normal 19 4 2 4 5" xfId="22105" xr:uid="{00000000-0005-0000-0000-00001A550000}"/>
    <cellStyle name="Normal 19 4 2 5" xfId="9813" xr:uid="{00000000-0005-0000-0000-00001B550000}"/>
    <cellStyle name="Normal 19 4 2 5 2" xfId="16097" xr:uid="{00000000-0005-0000-0000-00001C550000}"/>
    <cellStyle name="Normal 19 4 2 5 2 2" xfId="29155" xr:uid="{00000000-0005-0000-0000-00001D550000}"/>
    <cellStyle name="Normal 19 4 2 5 3" xfId="16098" xr:uid="{00000000-0005-0000-0000-00001E550000}"/>
    <cellStyle name="Normal 19 4 2 5 3 2" xfId="29156" xr:uid="{00000000-0005-0000-0000-00001F550000}"/>
    <cellStyle name="Normal 19 4 2 5 4" xfId="23183" xr:uid="{00000000-0005-0000-0000-000020550000}"/>
    <cellStyle name="Normal 19 4 2 6" xfId="16099" xr:uid="{00000000-0005-0000-0000-000021550000}"/>
    <cellStyle name="Normal 19 4 2 6 2" xfId="29157" xr:uid="{00000000-0005-0000-0000-000022550000}"/>
    <cellStyle name="Normal 19 4 2 7" xfId="16100" xr:uid="{00000000-0005-0000-0000-000023550000}"/>
    <cellStyle name="Normal 19 4 2 7 2" xfId="29158" xr:uid="{00000000-0005-0000-0000-000024550000}"/>
    <cellStyle name="Normal 19 4 2 8" xfId="21027" xr:uid="{00000000-0005-0000-0000-000025550000}"/>
    <cellStyle name="Normal 19 4 3" xfId="6604" xr:uid="{00000000-0005-0000-0000-000026550000}"/>
    <cellStyle name="Normal 19 4 3 2" xfId="7300" xr:uid="{00000000-0005-0000-0000-000027550000}"/>
    <cellStyle name="Normal 19 4 3 2 2" xfId="9179" xr:uid="{00000000-0005-0000-0000-000028550000}"/>
    <cellStyle name="Normal 19 4 3 2 2 2" xfId="11558" xr:uid="{00000000-0005-0000-0000-000029550000}"/>
    <cellStyle name="Normal 19 4 3 2 2 2 2" xfId="16101" xr:uid="{00000000-0005-0000-0000-00002A550000}"/>
    <cellStyle name="Normal 19 4 3 2 2 2 2 2" xfId="29159" xr:uid="{00000000-0005-0000-0000-00002B550000}"/>
    <cellStyle name="Normal 19 4 3 2 2 2 3" xfId="16102" xr:uid="{00000000-0005-0000-0000-00002C550000}"/>
    <cellStyle name="Normal 19 4 3 2 2 2 3 2" xfId="29160" xr:uid="{00000000-0005-0000-0000-00002D550000}"/>
    <cellStyle name="Normal 19 4 3 2 2 2 4" xfId="24928" xr:uid="{00000000-0005-0000-0000-00002E550000}"/>
    <cellStyle name="Normal 19 4 3 2 2 3" xfId="16103" xr:uid="{00000000-0005-0000-0000-00002F550000}"/>
    <cellStyle name="Normal 19 4 3 2 2 3 2" xfId="29161" xr:uid="{00000000-0005-0000-0000-000030550000}"/>
    <cellStyle name="Normal 19 4 3 2 2 4" xfId="16104" xr:uid="{00000000-0005-0000-0000-000031550000}"/>
    <cellStyle name="Normal 19 4 3 2 2 4 2" xfId="29162" xr:uid="{00000000-0005-0000-0000-000032550000}"/>
    <cellStyle name="Normal 19 4 3 2 2 5" xfId="22772" xr:uid="{00000000-0005-0000-0000-000033550000}"/>
    <cellStyle name="Normal 19 4 3 2 3" xfId="10480" xr:uid="{00000000-0005-0000-0000-000034550000}"/>
    <cellStyle name="Normal 19 4 3 2 3 2" xfId="16105" xr:uid="{00000000-0005-0000-0000-000035550000}"/>
    <cellStyle name="Normal 19 4 3 2 3 2 2" xfId="29163" xr:uid="{00000000-0005-0000-0000-000036550000}"/>
    <cellStyle name="Normal 19 4 3 2 3 3" xfId="16106" xr:uid="{00000000-0005-0000-0000-000037550000}"/>
    <cellStyle name="Normal 19 4 3 2 3 3 2" xfId="29164" xr:uid="{00000000-0005-0000-0000-000038550000}"/>
    <cellStyle name="Normal 19 4 3 2 3 4" xfId="23850" xr:uid="{00000000-0005-0000-0000-000039550000}"/>
    <cellStyle name="Normal 19 4 3 2 4" xfId="16107" xr:uid="{00000000-0005-0000-0000-00003A550000}"/>
    <cellStyle name="Normal 19 4 3 2 4 2" xfId="29165" xr:uid="{00000000-0005-0000-0000-00003B550000}"/>
    <cellStyle name="Normal 19 4 3 2 5" xfId="16108" xr:uid="{00000000-0005-0000-0000-00003C550000}"/>
    <cellStyle name="Normal 19 4 3 2 5 2" xfId="29166" xr:uid="{00000000-0005-0000-0000-00003D550000}"/>
    <cellStyle name="Normal 19 4 3 2 6" xfId="21694" xr:uid="{00000000-0005-0000-0000-00003E550000}"/>
    <cellStyle name="Normal 19 4 3 3" xfId="8632" xr:uid="{00000000-0005-0000-0000-00003F550000}"/>
    <cellStyle name="Normal 19 4 3 3 2" xfId="11018" xr:uid="{00000000-0005-0000-0000-000040550000}"/>
    <cellStyle name="Normal 19 4 3 3 2 2" xfId="16109" xr:uid="{00000000-0005-0000-0000-000041550000}"/>
    <cellStyle name="Normal 19 4 3 3 2 2 2" xfId="29167" xr:uid="{00000000-0005-0000-0000-000042550000}"/>
    <cellStyle name="Normal 19 4 3 3 2 3" xfId="16110" xr:uid="{00000000-0005-0000-0000-000043550000}"/>
    <cellStyle name="Normal 19 4 3 3 2 3 2" xfId="29168" xr:uid="{00000000-0005-0000-0000-000044550000}"/>
    <cellStyle name="Normal 19 4 3 3 2 4" xfId="24388" xr:uid="{00000000-0005-0000-0000-000045550000}"/>
    <cellStyle name="Normal 19 4 3 3 3" xfId="16111" xr:uid="{00000000-0005-0000-0000-000046550000}"/>
    <cellStyle name="Normal 19 4 3 3 3 2" xfId="29169" xr:uid="{00000000-0005-0000-0000-000047550000}"/>
    <cellStyle name="Normal 19 4 3 3 4" xfId="16112" xr:uid="{00000000-0005-0000-0000-000048550000}"/>
    <cellStyle name="Normal 19 4 3 3 4 2" xfId="29170" xr:uid="{00000000-0005-0000-0000-000049550000}"/>
    <cellStyle name="Normal 19 4 3 3 5" xfId="22232" xr:uid="{00000000-0005-0000-0000-00004A550000}"/>
    <cellStyle name="Normal 19 4 3 4" xfId="9940" xr:uid="{00000000-0005-0000-0000-00004B550000}"/>
    <cellStyle name="Normal 19 4 3 4 2" xfId="16113" xr:uid="{00000000-0005-0000-0000-00004C550000}"/>
    <cellStyle name="Normal 19 4 3 4 2 2" xfId="29171" xr:uid="{00000000-0005-0000-0000-00004D550000}"/>
    <cellStyle name="Normal 19 4 3 4 3" xfId="16114" xr:uid="{00000000-0005-0000-0000-00004E550000}"/>
    <cellStyle name="Normal 19 4 3 4 3 2" xfId="29172" xr:uid="{00000000-0005-0000-0000-00004F550000}"/>
    <cellStyle name="Normal 19 4 3 4 4" xfId="23310" xr:uid="{00000000-0005-0000-0000-000050550000}"/>
    <cellStyle name="Normal 19 4 3 5" xfId="16115" xr:uid="{00000000-0005-0000-0000-000051550000}"/>
    <cellStyle name="Normal 19 4 3 5 2" xfId="29173" xr:uid="{00000000-0005-0000-0000-000052550000}"/>
    <cellStyle name="Normal 19 4 3 6" xfId="16116" xr:uid="{00000000-0005-0000-0000-000053550000}"/>
    <cellStyle name="Normal 19 4 3 6 2" xfId="29174" xr:uid="{00000000-0005-0000-0000-000054550000}"/>
    <cellStyle name="Normal 19 4 3 7" xfId="21154" xr:uid="{00000000-0005-0000-0000-000055550000}"/>
    <cellStyle name="Normal 19 4 4" xfId="7030" xr:uid="{00000000-0005-0000-0000-000056550000}"/>
    <cellStyle name="Normal 19 4 4 2" xfId="8910" xr:uid="{00000000-0005-0000-0000-000057550000}"/>
    <cellStyle name="Normal 19 4 4 2 2" xfId="11289" xr:uid="{00000000-0005-0000-0000-000058550000}"/>
    <cellStyle name="Normal 19 4 4 2 2 2" xfId="16117" xr:uid="{00000000-0005-0000-0000-000059550000}"/>
    <cellStyle name="Normal 19 4 4 2 2 2 2" xfId="29175" xr:uid="{00000000-0005-0000-0000-00005A550000}"/>
    <cellStyle name="Normal 19 4 4 2 2 3" xfId="16118" xr:uid="{00000000-0005-0000-0000-00005B550000}"/>
    <cellStyle name="Normal 19 4 4 2 2 3 2" xfId="29176" xr:uid="{00000000-0005-0000-0000-00005C550000}"/>
    <cellStyle name="Normal 19 4 4 2 2 4" xfId="24659" xr:uid="{00000000-0005-0000-0000-00005D550000}"/>
    <cellStyle name="Normal 19 4 4 2 3" xfId="16119" xr:uid="{00000000-0005-0000-0000-00005E550000}"/>
    <cellStyle name="Normal 19 4 4 2 3 2" xfId="29177" xr:uid="{00000000-0005-0000-0000-00005F550000}"/>
    <cellStyle name="Normal 19 4 4 2 4" xfId="16120" xr:uid="{00000000-0005-0000-0000-000060550000}"/>
    <cellStyle name="Normal 19 4 4 2 4 2" xfId="29178" xr:uid="{00000000-0005-0000-0000-000061550000}"/>
    <cellStyle name="Normal 19 4 4 2 5" xfId="22503" xr:uid="{00000000-0005-0000-0000-000062550000}"/>
    <cellStyle name="Normal 19 4 4 3" xfId="10211" xr:uid="{00000000-0005-0000-0000-000063550000}"/>
    <cellStyle name="Normal 19 4 4 3 2" xfId="16121" xr:uid="{00000000-0005-0000-0000-000064550000}"/>
    <cellStyle name="Normal 19 4 4 3 2 2" xfId="29179" xr:uid="{00000000-0005-0000-0000-000065550000}"/>
    <cellStyle name="Normal 19 4 4 3 3" xfId="16122" xr:uid="{00000000-0005-0000-0000-000066550000}"/>
    <cellStyle name="Normal 19 4 4 3 3 2" xfId="29180" xr:uid="{00000000-0005-0000-0000-000067550000}"/>
    <cellStyle name="Normal 19 4 4 3 4" xfId="23581" xr:uid="{00000000-0005-0000-0000-000068550000}"/>
    <cellStyle name="Normal 19 4 4 4" xfId="16123" xr:uid="{00000000-0005-0000-0000-000069550000}"/>
    <cellStyle name="Normal 19 4 4 4 2" xfId="29181" xr:uid="{00000000-0005-0000-0000-00006A550000}"/>
    <cellStyle name="Normal 19 4 4 5" xfId="16124" xr:uid="{00000000-0005-0000-0000-00006B550000}"/>
    <cellStyle name="Normal 19 4 4 5 2" xfId="29182" xr:uid="{00000000-0005-0000-0000-00006C550000}"/>
    <cellStyle name="Normal 19 4 4 6" xfId="21425" xr:uid="{00000000-0005-0000-0000-00006D550000}"/>
    <cellStyle name="Normal 19 4 5" xfId="8234" xr:uid="{00000000-0005-0000-0000-00006E550000}"/>
    <cellStyle name="Normal 19 4 5 2" xfId="10749" xr:uid="{00000000-0005-0000-0000-00006F550000}"/>
    <cellStyle name="Normal 19 4 5 2 2" xfId="16125" xr:uid="{00000000-0005-0000-0000-000070550000}"/>
    <cellStyle name="Normal 19 4 5 2 2 2" xfId="29183" xr:uid="{00000000-0005-0000-0000-000071550000}"/>
    <cellStyle name="Normal 19 4 5 2 3" xfId="16126" xr:uid="{00000000-0005-0000-0000-000072550000}"/>
    <cellStyle name="Normal 19 4 5 2 3 2" xfId="29184" xr:uid="{00000000-0005-0000-0000-000073550000}"/>
    <cellStyle name="Normal 19 4 5 2 4" xfId="24119" xr:uid="{00000000-0005-0000-0000-000074550000}"/>
    <cellStyle name="Normal 19 4 5 3" xfId="16127" xr:uid="{00000000-0005-0000-0000-000075550000}"/>
    <cellStyle name="Normal 19 4 5 3 2" xfId="29185" xr:uid="{00000000-0005-0000-0000-000076550000}"/>
    <cellStyle name="Normal 19 4 5 4" xfId="16128" xr:uid="{00000000-0005-0000-0000-000077550000}"/>
    <cellStyle name="Normal 19 4 5 4 2" xfId="29186" xr:uid="{00000000-0005-0000-0000-000078550000}"/>
    <cellStyle name="Normal 19 4 5 5" xfId="21963" xr:uid="{00000000-0005-0000-0000-000079550000}"/>
    <cellStyle name="Normal 19 4 6" xfId="9670" xr:uid="{00000000-0005-0000-0000-00007A550000}"/>
    <cellStyle name="Normal 19 4 6 2" xfId="16129" xr:uid="{00000000-0005-0000-0000-00007B550000}"/>
    <cellStyle name="Normal 19 4 6 2 2" xfId="29187" xr:uid="{00000000-0005-0000-0000-00007C550000}"/>
    <cellStyle name="Normal 19 4 6 3" xfId="16130" xr:uid="{00000000-0005-0000-0000-00007D550000}"/>
    <cellStyle name="Normal 19 4 6 3 2" xfId="29188" xr:uid="{00000000-0005-0000-0000-00007E550000}"/>
    <cellStyle name="Normal 19 4 6 4" xfId="23041" xr:uid="{00000000-0005-0000-0000-00007F550000}"/>
    <cellStyle name="Normal 19 4 7" xfId="16131" xr:uid="{00000000-0005-0000-0000-000080550000}"/>
    <cellStyle name="Normal 19 4 7 2" xfId="29189" xr:uid="{00000000-0005-0000-0000-000081550000}"/>
    <cellStyle name="Normal 19 4 8" xfId="16132" xr:uid="{00000000-0005-0000-0000-000082550000}"/>
    <cellStyle name="Normal 19 4 8 2" xfId="29190" xr:uid="{00000000-0005-0000-0000-000083550000}"/>
    <cellStyle name="Normal 19 4 9" xfId="20884" xr:uid="{00000000-0005-0000-0000-000084550000}"/>
    <cellStyle name="Normal 19 5" xfId="5249" xr:uid="{00000000-0005-0000-0000-000085550000}"/>
    <cellStyle name="Normal 19 5 2" xfId="6690" xr:uid="{00000000-0005-0000-0000-000086550000}"/>
    <cellStyle name="Normal 19 5 2 2" xfId="7379" xr:uid="{00000000-0005-0000-0000-000087550000}"/>
    <cellStyle name="Normal 19 5 2 2 2" xfId="9258" xr:uid="{00000000-0005-0000-0000-000088550000}"/>
    <cellStyle name="Normal 19 5 2 2 2 2" xfId="11637" xr:uid="{00000000-0005-0000-0000-000089550000}"/>
    <cellStyle name="Normal 19 5 2 2 2 2 2" xfId="16133" xr:uid="{00000000-0005-0000-0000-00008A550000}"/>
    <cellStyle name="Normal 19 5 2 2 2 2 2 2" xfId="29191" xr:uid="{00000000-0005-0000-0000-00008B550000}"/>
    <cellStyle name="Normal 19 5 2 2 2 2 3" xfId="16134" xr:uid="{00000000-0005-0000-0000-00008C550000}"/>
    <cellStyle name="Normal 19 5 2 2 2 2 3 2" xfId="29192" xr:uid="{00000000-0005-0000-0000-00008D550000}"/>
    <cellStyle name="Normal 19 5 2 2 2 2 4" xfId="25007" xr:uid="{00000000-0005-0000-0000-00008E550000}"/>
    <cellStyle name="Normal 19 5 2 2 2 3" xfId="16135" xr:uid="{00000000-0005-0000-0000-00008F550000}"/>
    <cellStyle name="Normal 19 5 2 2 2 3 2" xfId="29193" xr:uid="{00000000-0005-0000-0000-000090550000}"/>
    <cellStyle name="Normal 19 5 2 2 2 4" xfId="16136" xr:uid="{00000000-0005-0000-0000-000091550000}"/>
    <cellStyle name="Normal 19 5 2 2 2 4 2" xfId="29194" xr:uid="{00000000-0005-0000-0000-000092550000}"/>
    <cellStyle name="Normal 19 5 2 2 2 5" xfId="22851" xr:uid="{00000000-0005-0000-0000-000093550000}"/>
    <cellStyle name="Normal 19 5 2 2 3" xfId="10559" xr:uid="{00000000-0005-0000-0000-000094550000}"/>
    <cellStyle name="Normal 19 5 2 2 3 2" xfId="16137" xr:uid="{00000000-0005-0000-0000-000095550000}"/>
    <cellStyle name="Normal 19 5 2 2 3 2 2" xfId="29195" xr:uid="{00000000-0005-0000-0000-000096550000}"/>
    <cellStyle name="Normal 19 5 2 2 3 3" xfId="16138" xr:uid="{00000000-0005-0000-0000-000097550000}"/>
    <cellStyle name="Normal 19 5 2 2 3 3 2" xfId="29196" xr:uid="{00000000-0005-0000-0000-000098550000}"/>
    <cellStyle name="Normal 19 5 2 2 3 4" xfId="23929" xr:uid="{00000000-0005-0000-0000-000099550000}"/>
    <cellStyle name="Normal 19 5 2 2 4" xfId="16139" xr:uid="{00000000-0005-0000-0000-00009A550000}"/>
    <cellStyle name="Normal 19 5 2 2 4 2" xfId="29197" xr:uid="{00000000-0005-0000-0000-00009B550000}"/>
    <cellStyle name="Normal 19 5 2 2 5" xfId="16140" xr:uid="{00000000-0005-0000-0000-00009C550000}"/>
    <cellStyle name="Normal 19 5 2 2 5 2" xfId="29198" xr:uid="{00000000-0005-0000-0000-00009D550000}"/>
    <cellStyle name="Normal 19 5 2 2 6" xfId="21773" xr:uid="{00000000-0005-0000-0000-00009E550000}"/>
    <cellStyle name="Normal 19 5 2 3" xfId="8712" xr:uid="{00000000-0005-0000-0000-00009F550000}"/>
    <cellStyle name="Normal 19 5 2 3 2" xfId="11097" xr:uid="{00000000-0005-0000-0000-0000A0550000}"/>
    <cellStyle name="Normal 19 5 2 3 2 2" xfId="16141" xr:uid="{00000000-0005-0000-0000-0000A1550000}"/>
    <cellStyle name="Normal 19 5 2 3 2 2 2" xfId="29199" xr:uid="{00000000-0005-0000-0000-0000A2550000}"/>
    <cellStyle name="Normal 19 5 2 3 2 3" xfId="16142" xr:uid="{00000000-0005-0000-0000-0000A3550000}"/>
    <cellStyle name="Normal 19 5 2 3 2 3 2" xfId="29200" xr:uid="{00000000-0005-0000-0000-0000A4550000}"/>
    <cellStyle name="Normal 19 5 2 3 2 4" xfId="24467" xr:uid="{00000000-0005-0000-0000-0000A5550000}"/>
    <cellStyle name="Normal 19 5 2 3 3" xfId="16143" xr:uid="{00000000-0005-0000-0000-0000A6550000}"/>
    <cellStyle name="Normal 19 5 2 3 3 2" xfId="29201" xr:uid="{00000000-0005-0000-0000-0000A7550000}"/>
    <cellStyle name="Normal 19 5 2 3 4" xfId="16144" xr:uid="{00000000-0005-0000-0000-0000A8550000}"/>
    <cellStyle name="Normal 19 5 2 3 4 2" xfId="29202" xr:uid="{00000000-0005-0000-0000-0000A9550000}"/>
    <cellStyle name="Normal 19 5 2 3 5" xfId="22311" xr:uid="{00000000-0005-0000-0000-0000AA550000}"/>
    <cellStyle name="Normal 19 5 2 4" xfId="10019" xr:uid="{00000000-0005-0000-0000-0000AB550000}"/>
    <cellStyle name="Normal 19 5 2 4 2" xfId="16145" xr:uid="{00000000-0005-0000-0000-0000AC550000}"/>
    <cellStyle name="Normal 19 5 2 4 2 2" xfId="29203" xr:uid="{00000000-0005-0000-0000-0000AD550000}"/>
    <cellStyle name="Normal 19 5 2 4 3" xfId="16146" xr:uid="{00000000-0005-0000-0000-0000AE550000}"/>
    <cellStyle name="Normal 19 5 2 4 3 2" xfId="29204" xr:uid="{00000000-0005-0000-0000-0000AF550000}"/>
    <cellStyle name="Normal 19 5 2 4 4" xfId="23389" xr:uid="{00000000-0005-0000-0000-0000B0550000}"/>
    <cellStyle name="Normal 19 5 2 5" xfId="16147" xr:uid="{00000000-0005-0000-0000-0000B1550000}"/>
    <cellStyle name="Normal 19 5 2 5 2" xfId="29205" xr:uid="{00000000-0005-0000-0000-0000B2550000}"/>
    <cellStyle name="Normal 19 5 2 6" xfId="16148" xr:uid="{00000000-0005-0000-0000-0000B3550000}"/>
    <cellStyle name="Normal 19 5 2 6 2" xfId="29206" xr:uid="{00000000-0005-0000-0000-0000B4550000}"/>
    <cellStyle name="Normal 19 5 2 7" xfId="21233" xr:uid="{00000000-0005-0000-0000-0000B5550000}"/>
    <cellStyle name="Normal 19 5 3" xfId="7110" xr:uid="{00000000-0005-0000-0000-0000B6550000}"/>
    <cellStyle name="Normal 19 5 3 2" xfId="8989" xr:uid="{00000000-0005-0000-0000-0000B7550000}"/>
    <cellStyle name="Normal 19 5 3 2 2" xfId="11368" xr:uid="{00000000-0005-0000-0000-0000B8550000}"/>
    <cellStyle name="Normal 19 5 3 2 2 2" xfId="16149" xr:uid="{00000000-0005-0000-0000-0000B9550000}"/>
    <cellStyle name="Normal 19 5 3 2 2 2 2" xfId="29207" xr:uid="{00000000-0005-0000-0000-0000BA550000}"/>
    <cellStyle name="Normal 19 5 3 2 2 3" xfId="16150" xr:uid="{00000000-0005-0000-0000-0000BB550000}"/>
    <cellStyle name="Normal 19 5 3 2 2 3 2" xfId="29208" xr:uid="{00000000-0005-0000-0000-0000BC550000}"/>
    <cellStyle name="Normal 19 5 3 2 2 4" xfId="24738" xr:uid="{00000000-0005-0000-0000-0000BD550000}"/>
    <cellStyle name="Normal 19 5 3 2 3" xfId="16151" xr:uid="{00000000-0005-0000-0000-0000BE550000}"/>
    <cellStyle name="Normal 19 5 3 2 3 2" xfId="29209" xr:uid="{00000000-0005-0000-0000-0000BF550000}"/>
    <cellStyle name="Normal 19 5 3 2 4" xfId="16152" xr:uid="{00000000-0005-0000-0000-0000C0550000}"/>
    <cellStyle name="Normal 19 5 3 2 4 2" xfId="29210" xr:uid="{00000000-0005-0000-0000-0000C1550000}"/>
    <cellStyle name="Normal 19 5 3 2 5" xfId="22582" xr:uid="{00000000-0005-0000-0000-0000C2550000}"/>
    <cellStyle name="Normal 19 5 3 3" xfId="10290" xr:uid="{00000000-0005-0000-0000-0000C3550000}"/>
    <cellStyle name="Normal 19 5 3 3 2" xfId="16153" xr:uid="{00000000-0005-0000-0000-0000C4550000}"/>
    <cellStyle name="Normal 19 5 3 3 2 2" xfId="29211" xr:uid="{00000000-0005-0000-0000-0000C5550000}"/>
    <cellStyle name="Normal 19 5 3 3 3" xfId="16154" xr:uid="{00000000-0005-0000-0000-0000C6550000}"/>
    <cellStyle name="Normal 19 5 3 3 3 2" xfId="29212" xr:uid="{00000000-0005-0000-0000-0000C7550000}"/>
    <cellStyle name="Normal 19 5 3 3 4" xfId="23660" xr:uid="{00000000-0005-0000-0000-0000C8550000}"/>
    <cellStyle name="Normal 19 5 3 4" xfId="16155" xr:uid="{00000000-0005-0000-0000-0000C9550000}"/>
    <cellStyle name="Normal 19 5 3 4 2" xfId="29213" xr:uid="{00000000-0005-0000-0000-0000CA550000}"/>
    <cellStyle name="Normal 19 5 3 5" xfId="16156" xr:uid="{00000000-0005-0000-0000-0000CB550000}"/>
    <cellStyle name="Normal 19 5 3 5 2" xfId="29214" xr:uid="{00000000-0005-0000-0000-0000CC550000}"/>
    <cellStyle name="Normal 19 5 3 6" xfId="21504" xr:uid="{00000000-0005-0000-0000-0000CD550000}"/>
    <cellStyle name="Normal 19 5 4" xfId="8372" xr:uid="{00000000-0005-0000-0000-0000CE550000}"/>
    <cellStyle name="Normal 19 5 4 2" xfId="10828" xr:uid="{00000000-0005-0000-0000-0000CF550000}"/>
    <cellStyle name="Normal 19 5 4 2 2" xfId="16157" xr:uid="{00000000-0005-0000-0000-0000D0550000}"/>
    <cellStyle name="Normal 19 5 4 2 2 2" xfId="29215" xr:uid="{00000000-0005-0000-0000-0000D1550000}"/>
    <cellStyle name="Normal 19 5 4 2 3" xfId="16158" xr:uid="{00000000-0005-0000-0000-0000D2550000}"/>
    <cellStyle name="Normal 19 5 4 2 3 2" xfId="29216" xr:uid="{00000000-0005-0000-0000-0000D3550000}"/>
    <cellStyle name="Normal 19 5 4 2 4" xfId="24198" xr:uid="{00000000-0005-0000-0000-0000D4550000}"/>
    <cellStyle name="Normal 19 5 4 3" xfId="16159" xr:uid="{00000000-0005-0000-0000-0000D5550000}"/>
    <cellStyle name="Normal 19 5 4 3 2" xfId="29217" xr:uid="{00000000-0005-0000-0000-0000D6550000}"/>
    <cellStyle name="Normal 19 5 4 4" xfId="16160" xr:uid="{00000000-0005-0000-0000-0000D7550000}"/>
    <cellStyle name="Normal 19 5 4 4 2" xfId="29218" xr:uid="{00000000-0005-0000-0000-0000D8550000}"/>
    <cellStyle name="Normal 19 5 4 5" xfId="22042" xr:uid="{00000000-0005-0000-0000-0000D9550000}"/>
    <cellStyle name="Normal 19 5 5" xfId="9750" xr:uid="{00000000-0005-0000-0000-0000DA550000}"/>
    <cellStyle name="Normal 19 5 5 2" xfId="16161" xr:uid="{00000000-0005-0000-0000-0000DB550000}"/>
    <cellStyle name="Normal 19 5 5 2 2" xfId="29219" xr:uid="{00000000-0005-0000-0000-0000DC550000}"/>
    <cellStyle name="Normal 19 5 5 3" xfId="16162" xr:uid="{00000000-0005-0000-0000-0000DD550000}"/>
    <cellStyle name="Normal 19 5 5 3 2" xfId="29220" xr:uid="{00000000-0005-0000-0000-0000DE550000}"/>
    <cellStyle name="Normal 19 5 5 4" xfId="23120" xr:uid="{00000000-0005-0000-0000-0000DF550000}"/>
    <cellStyle name="Normal 19 5 6" xfId="16163" xr:uid="{00000000-0005-0000-0000-0000E0550000}"/>
    <cellStyle name="Normal 19 5 6 2" xfId="29221" xr:uid="{00000000-0005-0000-0000-0000E1550000}"/>
    <cellStyle name="Normal 19 5 7" xfId="16164" xr:uid="{00000000-0005-0000-0000-0000E2550000}"/>
    <cellStyle name="Normal 19 5 7 2" xfId="29222" xr:uid="{00000000-0005-0000-0000-0000E3550000}"/>
    <cellStyle name="Normal 19 5 8" xfId="20964" xr:uid="{00000000-0005-0000-0000-0000E4550000}"/>
    <cellStyle name="Normal 19 6" xfId="6526" xr:uid="{00000000-0005-0000-0000-0000E5550000}"/>
    <cellStyle name="Normal 19 6 2" xfId="7245" xr:uid="{00000000-0005-0000-0000-0000E6550000}"/>
    <cellStyle name="Normal 19 6 2 2" xfId="9124" xr:uid="{00000000-0005-0000-0000-0000E7550000}"/>
    <cellStyle name="Normal 19 6 2 2 2" xfId="11503" xr:uid="{00000000-0005-0000-0000-0000E8550000}"/>
    <cellStyle name="Normal 19 6 2 2 2 2" xfId="16165" xr:uid="{00000000-0005-0000-0000-0000E9550000}"/>
    <cellStyle name="Normal 19 6 2 2 2 2 2" xfId="29223" xr:uid="{00000000-0005-0000-0000-0000EA550000}"/>
    <cellStyle name="Normal 19 6 2 2 2 3" xfId="16166" xr:uid="{00000000-0005-0000-0000-0000EB550000}"/>
    <cellStyle name="Normal 19 6 2 2 2 3 2" xfId="29224" xr:uid="{00000000-0005-0000-0000-0000EC550000}"/>
    <cellStyle name="Normal 19 6 2 2 2 4" xfId="24873" xr:uid="{00000000-0005-0000-0000-0000ED550000}"/>
    <cellStyle name="Normal 19 6 2 2 3" xfId="16167" xr:uid="{00000000-0005-0000-0000-0000EE550000}"/>
    <cellStyle name="Normal 19 6 2 2 3 2" xfId="29225" xr:uid="{00000000-0005-0000-0000-0000EF550000}"/>
    <cellStyle name="Normal 19 6 2 2 4" xfId="16168" xr:uid="{00000000-0005-0000-0000-0000F0550000}"/>
    <cellStyle name="Normal 19 6 2 2 4 2" xfId="29226" xr:uid="{00000000-0005-0000-0000-0000F1550000}"/>
    <cellStyle name="Normal 19 6 2 2 5" xfId="22717" xr:uid="{00000000-0005-0000-0000-0000F2550000}"/>
    <cellStyle name="Normal 19 6 2 3" xfId="10425" xr:uid="{00000000-0005-0000-0000-0000F3550000}"/>
    <cellStyle name="Normal 19 6 2 3 2" xfId="16169" xr:uid="{00000000-0005-0000-0000-0000F4550000}"/>
    <cellStyle name="Normal 19 6 2 3 2 2" xfId="29227" xr:uid="{00000000-0005-0000-0000-0000F5550000}"/>
    <cellStyle name="Normal 19 6 2 3 3" xfId="16170" xr:uid="{00000000-0005-0000-0000-0000F6550000}"/>
    <cellStyle name="Normal 19 6 2 3 3 2" xfId="29228" xr:uid="{00000000-0005-0000-0000-0000F7550000}"/>
    <cellStyle name="Normal 19 6 2 3 4" xfId="23795" xr:uid="{00000000-0005-0000-0000-0000F8550000}"/>
    <cellStyle name="Normal 19 6 2 4" xfId="16171" xr:uid="{00000000-0005-0000-0000-0000F9550000}"/>
    <cellStyle name="Normal 19 6 2 4 2" xfId="29229" xr:uid="{00000000-0005-0000-0000-0000FA550000}"/>
    <cellStyle name="Normal 19 6 2 5" xfId="16172" xr:uid="{00000000-0005-0000-0000-0000FB550000}"/>
    <cellStyle name="Normal 19 6 2 5 2" xfId="29230" xr:uid="{00000000-0005-0000-0000-0000FC550000}"/>
    <cellStyle name="Normal 19 6 2 6" xfId="21639" xr:uid="{00000000-0005-0000-0000-0000FD550000}"/>
    <cellStyle name="Normal 19 6 3" xfId="8576" xr:uid="{00000000-0005-0000-0000-0000FE550000}"/>
    <cellStyle name="Normal 19 6 3 2" xfId="10963" xr:uid="{00000000-0005-0000-0000-0000FF550000}"/>
    <cellStyle name="Normal 19 6 3 2 2" xfId="16173" xr:uid="{00000000-0005-0000-0000-000000560000}"/>
    <cellStyle name="Normal 19 6 3 2 2 2" xfId="29231" xr:uid="{00000000-0005-0000-0000-000001560000}"/>
    <cellStyle name="Normal 19 6 3 2 3" xfId="16174" xr:uid="{00000000-0005-0000-0000-000002560000}"/>
    <cellStyle name="Normal 19 6 3 2 3 2" xfId="29232" xr:uid="{00000000-0005-0000-0000-000003560000}"/>
    <cellStyle name="Normal 19 6 3 2 4" xfId="24333" xr:uid="{00000000-0005-0000-0000-000004560000}"/>
    <cellStyle name="Normal 19 6 3 3" xfId="16175" xr:uid="{00000000-0005-0000-0000-000005560000}"/>
    <cellStyle name="Normal 19 6 3 3 2" xfId="29233" xr:uid="{00000000-0005-0000-0000-000006560000}"/>
    <cellStyle name="Normal 19 6 3 4" xfId="16176" xr:uid="{00000000-0005-0000-0000-000007560000}"/>
    <cellStyle name="Normal 19 6 3 4 2" xfId="29234" xr:uid="{00000000-0005-0000-0000-000008560000}"/>
    <cellStyle name="Normal 19 6 3 5" xfId="22177" xr:uid="{00000000-0005-0000-0000-000009560000}"/>
    <cellStyle name="Normal 19 6 4" xfId="9885" xr:uid="{00000000-0005-0000-0000-00000A560000}"/>
    <cellStyle name="Normal 19 6 4 2" xfId="16177" xr:uid="{00000000-0005-0000-0000-00000B560000}"/>
    <cellStyle name="Normal 19 6 4 2 2" xfId="29235" xr:uid="{00000000-0005-0000-0000-00000C560000}"/>
    <cellStyle name="Normal 19 6 4 3" xfId="16178" xr:uid="{00000000-0005-0000-0000-00000D560000}"/>
    <cellStyle name="Normal 19 6 4 3 2" xfId="29236" xr:uid="{00000000-0005-0000-0000-00000E560000}"/>
    <cellStyle name="Normal 19 6 4 4" xfId="23255" xr:uid="{00000000-0005-0000-0000-00000F560000}"/>
    <cellStyle name="Normal 19 6 5" xfId="16179" xr:uid="{00000000-0005-0000-0000-000010560000}"/>
    <cellStyle name="Normal 19 6 5 2" xfId="29237" xr:uid="{00000000-0005-0000-0000-000011560000}"/>
    <cellStyle name="Normal 19 6 6" xfId="16180" xr:uid="{00000000-0005-0000-0000-000012560000}"/>
    <cellStyle name="Normal 19 6 6 2" xfId="29238" xr:uid="{00000000-0005-0000-0000-000013560000}"/>
    <cellStyle name="Normal 19 6 7" xfId="21099" xr:uid="{00000000-0005-0000-0000-000014560000}"/>
    <cellStyle name="Normal 19 7" xfId="6975" xr:uid="{00000000-0005-0000-0000-000015560000}"/>
    <cellStyle name="Normal 19 7 2" xfId="8855" xr:uid="{00000000-0005-0000-0000-000016560000}"/>
    <cellStyle name="Normal 19 7 2 2" xfId="11234" xr:uid="{00000000-0005-0000-0000-000017560000}"/>
    <cellStyle name="Normal 19 7 2 2 2" xfId="16181" xr:uid="{00000000-0005-0000-0000-000018560000}"/>
    <cellStyle name="Normal 19 7 2 2 2 2" xfId="29239" xr:uid="{00000000-0005-0000-0000-000019560000}"/>
    <cellStyle name="Normal 19 7 2 2 3" xfId="16182" xr:uid="{00000000-0005-0000-0000-00001A560000}"/>
    <cellStyle name="Normal 19 7 2 2 3 2" xfId="29240" xr:uid="{00000000-0005-0000-0000-00001B560000}"/>
    <cellStyle name="Normal 19 7 2 2 4" xfId="24604" xr:uid="{00000000-0005-0000-0000-00001C560000}"/>
    <cellStyle name="Normal 19 7 2 3" xfId="16183" xr:uid="{00000000-0005-0000-0000-00001D560000}"/>
    <cellStyle name="Normal 19 7 2 3 2" xfId="29241" xr:uid="{00000000-0005-0000-0000-00001E560000}"/>
    <cellStyle name="Normal 19 7 2 4" xfId="16184" xr:uid="{00000000-0005-0000-0000-00001F560000}"/>
    <cellStyle name="Normal 19 7 2 4 2" xfId="29242" xr:uid="{00000000-0005-0000-0000-000020560000}"/>
    <cellStyle name="Normal 19 7 2 5" xfId="22448" xr:uid="{00000000-0005-0000-0000-000021560000}"/>
    <cellStyle name="Normal 19 7 3" xfId="10156" xr:uid="{00000000-0005-0000-0000-000022560000}"/>
    <cellStyle name="Normal 19 7 3 2" xfId="16185" xr:uid="{00000000-0005-0000-0000-000023560000}"/>
    <cellStyle name="Normal 19 7 3 2 2" xfId="29243" xr:uid="{00000000-0005-0000-0000-000024560000}"/>
    <cellStyle name="Normal 19 7 3 3" xfId="16186" xr:uid="{00000000-0005-0000-0000-000025560000}"/>
    <cellStyle name="Normal 19 7 3 3 2" xfId="29244" xr:uid="{00000000-0005-0000-0000-000026560000}"/>
    <cellStyle name="Normal 19 7 3 4" xfId="23526" xr:uid="{00000000-0005-0000-0000-000027560000}"/>
    <cellStyle name="Normal 19 7 4" xfId="16187" xr:uid="{00000000-0005-0000-0000-000028560000}"/>
    <cellStyle name="Normal 19 7 4 2" xfId="29245" xr:uid="{00000000-0005-0000-0000-000029560000}"/>
    <cellStyle name="Normal 19 7 5" xfId="16188" xr:uid="{00000000-0005-0000-0000-00002A560000}"/>
    <cellStyle name="Normal 19 7 5 2" xfId="29246" xr:uid="{00000000-0005-0000-0000-00002B560000}"/>
    <cellStyle name="Normal 19 7 6" xfId="21370" xr:uid="{00000000-0005-0000-0000-00002C560000}"/>
    <cellStyle name="Normal 19 8" xfId="8106" xr:uid="{00000000-0005-0000-0000-00002D560000}"/>
    <cellStyle name="Normal 19 8 2" xfId="10694" xr:uid="{00000000-0005-0000-0000-00002E560000}"/>
    <cellStyle name="Normal 19 8 2 2" xfId="16189" xr:uid="{00000000-0005-0000-0000-00002F560000}"/>
    <cellStyle name="Normal 19 8 2 2 2" xfId="29247" xr:uid="{00000000-0005-0000-0000-000030560000}"/>
    <cellStyle name="Normal 19 8 2 3" xfId="16190" xr:uid="{00000000-0005-0000-0000-000031560000}"/>
    <cellStyle name="Normal 19 8 2 3 2" xfId="29248" xr:uid="{00000000-0005-0000-0000-000032560000}"/>
    <cellStyle name="Normal 19 8 2 4" xfId="24064" xr:uid="{00000000-0005-0000-0000-000033560000}"/>
    <cellStyle name="Normal 19 8 3" xfId="16191" xr:uid="{00000000-0005-0000-0000-000034560000}"/>
    <cellStyle name="Normal 19 8 3 2" xfId="29249" xr:uid="{00000000-0005-0000-0000-000035560000}"/>
    <cellStyle name="Normal 19 8 4" xfId="16192" xr:uid="{00000000-0005-0000-0000-000036560000}"/>
    <cellStyle name="Normal 19 8 4 2" xfId="29250" xr:uid="{00000000-0005-0000-0000-000037560000}"/>
    <cellStyle name="Normal 19 8 5" xfId="21908" xr:uid="{00000000-0005-0000-0000-000038560000}"/>
    <cellStyle name="Normal 19 9" xfId="9615" xr:uid="{00000000-0005-0000-0000-000039560000}"/>
    <cellStyle name="Normal 19 9 2" xfId="16193" xr:uid="{00000000-0005-0000-0000-00003A560000}"/>
    <cellStyle name="Normal 19 9 2 2" xfId="29251" xr:uid="{00000000-0005-0000-0000-00003B560000}"/>
    <cellStyle name="Normal 19 9 3" xfId="16194" xr:uid="{00000000-0005-0000-0000-00003C560000}"/>
    <cellStyle name="Normal 19 9 3 2" xfId="29252" xr:uid="{00000000-0005-0000-0000-00003D560000}"/>
    <cellStyle name="Normal 19 9 4" xfId="22986" xr:uid="{00000000-0005-0000-0000-00003E560000}"/>
    <cellStyle name="Normal 190" xfId="33853" xr:uid="{00000000-0005-0000-0000-00003F560000}"/>
    <cellStyle name="Normal 191" xfId="34642" xr:uid="{00000000-0005-0000-0000-000040560000}"/>
    <cellStyle name="Normal 192" xfId="34644" xr:uid="{00000000-0005-0000-0000-000041560000}"/>
    <cellStyle name="Normal 193" xfId="34647" xr:uid="{00000000-0005-0000-0000-000042560000}"/>
    <cellStyle name="Normal 194" xfId="36573" xr:uid="{00000000-0005-0000-0000-000043560000}"/>
    <cellStyle name="Normal 195" xfId="36604" xr:uid="{00000000-0005-0000-0000-000044560000}"/>
    <cellStyle name="Normal 196" xfId="36606" xr:uid="{00000000-0005-0000-0000-000045560000}"/>
    <cellStyle name="Normal 197" xfId="36608" xr:uid="{00000000-0005-0000-0000-000046560000}"/>
    <cellStyle name="Normal 198" xfId="36610" xr:uid="{00000000-0005-0000-0000-000047560000}"/>
    <cellStyle name="Normal 2" xfId="1914" xr:uid="{00000000-0005-0000-0000-000048560000}"/>
    <cellStyle name="Normal 2 10" xfId="34458" xr:uid="{00000000-0005-0000-0000-000049560000}"/>
    <cellStyle name="Normal 2 11" xfId="34459" xr:uid="{00000000-0005-0000-0000-00004A560000}"/>
    <cellStyle name="Normal 2 12" xfId="34460" xr:uid="{00000000-0005-0000-0000-00004B560000}"/>
    <cellStyle name="Normal 2 13" xfId="34461" xr:uid="{00000000-0005-0000-0000-00004C560000}"/>
    <cellStyle name="Normal 2 14" xfId="34462" xr:uid="{00000000-0005-0000-0000-00004D560000}"/>
    <cellStyle name="Normal 2 15" xfId="34463" xr:uid="{00000000-0005-0000-0000-00004E560000}"/>
    <cellStyle name="Normal 2 16" xfId="34464" xr:uid="{00000000-0005-0000-0000-00004F560000}"/>
    <cellStyle name="Normal 2 17" xfId="34465" xr:uid="{00000000-0005-0000-0000-000050560000}"/>
    <cellStyle name="Normal 2 18" xfId="34466" xr:uid="{00000000-0005-0000-0000-000051560000}"/>
    <cellStyle name="Normal 2 19" xfId="34467" xr:uid="{00000000-0005-0000-0000-000052560000}"/>
    <cellStyle name="Normal 2 2" xfId="33855" xr:uid="{00000000-0005-0000-0000-000053560000}"/>
    <cellStyle name="Normal 2 2 10" xfId="34468" xr:uid="{00000000-0005-0000-0000-000054560000}"/>
    <cellStyle name="Normal 2 2 11" xfId="34469" xr:uid="{00000000-0005-0000-0000-000055560000}"/>
    <cellStyle name="Normal 2 2 12" xfId="34470" xr:uid="{00000000-0005-0000-0000-000056560000}"/>
    <cellStyle name="Normal 2 2 13" xfId="34471" xr:uid="{00000000-0005-0000-0000-000057560000}"/>
    <cellStyle name="Normal 2 2 14" xfId="34472" xr:uid="{00000000-0005-0000-0000-000058560000}"/>
    <cellStyle name="Normal 2 2 15" xfId="34473" xr:uid="{00000000-0005-0000-0000-000059560000}"/>
    <cellStyle name="Normal 2 2 16" xfId="36575" xr:uid="{00000000-0005-0000-0000-00005A560000}"/>
    <cellStyle name="Normal 2 2 2" xfId="34474" xr:uid="{00000000-0005-0000-0000-00005B560000}"/>
    <cellStyle name="Normal 2 2 3" xfId="34475" xr:uid="{00000000-0005-0000-0000-00005C560000}"/>
    <cellStyle name="Normal 2 2 4" xfId="34476" xr:uid="{00000000-0005-0000-0000-00005D560000}"/>
    <cellStyle name="Normal 2 2 5" xfId="34477" xr:uid="{00000000-0005-0000-0000-00005E560000}"/>
    <cellStyle name="Normal 2 2 6" xfId="34478" xr:uid="{00000000-0005-0000-0000-00005F560000}"/>
    <cellStyle name="Normal 2 2 7" xfId="34479" xr:uid="{00000000-0005-0000-0000-000060560000}"/>
    <cellStyle name="Normal 2 2 8" xfId="34480" xr:uid="{00000000-0005-0000-0000-000061560000}"/>
    <cellStyle name="Normal 2 2 9" xfId="34481" xr:uid="{00000000-0005-0000-0000-000062560000}"/>
    <cellStyle name="Normal 2 20" xfId="34482" xr:uid="{00000000-0005-0000-0000-000063560000}"/>
    <cellStyle name="Normal 2 21" xfId="34483" xr:uid="{00000000-0005-0000-0000-000064560000}"/>
    <cellStyle name="Normal 2 22" xfId="34646" xr:uid="{00000000-0005-0000-0000-000065560000}"/>
    <cellStyle name="Normal 2 23" xfId="36574" xr:uid="{00000000-0005-0000-0000-000066560000}"/>
    <cellStyle name="Normal 2 3" xfId="4121" xr:uid="{00000000-0005-0000-0000-000067560000}"/>
    <cellStyle name="Normal 2 3 10" xfId="34484" xr:uid="{00000000-0005-0000-0000-000068560000}"/>
    <cellStyle name="Normal 2 3 11" xfId="34485" xr:uid="{00000000-0005-0000-0000-000069560000}"/>
    <cellStyle name="Normal 2 3 12" xfId="34486" xr:uid="{00000000-0005-0000-0000-00006A560000}"/>
    <cellStyle name="Normal 2 3 13" xfId="34487" xr:uid="{00000000-0005-0000-0000-00006B560000}"/>
    <cellStyle name="Normal 2 3 14" xfId="34488" xr:uid="{00000000-0005-0000-0000-00006C560000}"/>
    <cellStyle name="Normal 2 3 2" xfId="5655" xr:uid="{00000000-0005-0000-0000-00006D560000}"/>
    <cellStyle name="Normal 2 3 2 2" xfId="6804" xr:uid="{00000000-0005-0000-0000-00006E560000}"/>
    <cellStyle name="Normal 2 3 2 2 2" xfId="7491" xr:uid="{00000000-0005-0000-0000-00006F560000}"/>
    <cellStyle name="Normal 2 3 2 2 2 2" xfId="9370" xr:uid="{00000000-0005-0000-0000-000070560000}"/>
    <cellStyle name="Normal 2 3 2 2 2 2 2" xfId="11749" xr:uid="{00000000-0005-0000-0000-000071560000}"/>
    <cellStyle name="Normal 2 3 2 2 2 2 2 2" xfId="16195" xr:uid="{00000000-0005-0000-0000-000072560000}"/>
    <cellStyle name="Normal 2 3 2 2 2 2 2 2 2" xfId="29253" xr:uid="{00000000-0005-0000-0000-000073560000}"/>
    <cellStyle name="Normal 2 3 2 2 2 2 2 3" xfId="16196" xr:uid="{00000000-0005-0000-0000-000074560000}"/>
    <cellStyle name="Normal 2 3 2 2 2 2 2 3 2" xfId="29254" xr:uid="{00000000-0005-0000-0000-000075560000}"/>
    <cellStyle name="Normal 2 3 2 2 2 2 2 4" xfId="25119" xr:uid="{00000000-0005-0000-0000-000076560000}"/>
    <cellStyle name="Normal 2 3 2 2 2 2 3" xfId="16197" xr:uid="{00000000-0005-0000-0000-000077560000}"/>
    <cellStyle name="Normal 2 3 2 2 2 2 3 2" xfId="29255" xr:uid="{00000000-0005-0000-0000-000078560000}"/>
    <cellStyle name="Normal 2 3 2 2 2 2 4" xfId="16198" xr:uid="{00000000-0005-0000-0000-000079560000}"/>
    <cellStyle name="Normal 2 3 2 2 2 2 4 2" xfId="29256" xr:uid="{00000000-0005-0000-0000-00007A560000}"/>
    <cellStyle name="Normal 2 3 2 2 2 2 5" xfId="22963" xr:uid="{00000000-0005-0000-0000-00007B560000}"/>
    <cellStyle name="Normal 2 3 2 2 2 3" xfId="10671" xr:uid="{00000000-0005-0000-0000-00007C560000}"/>
    <cellStyle name="Normal 2 3 2 2 2 3 2" xfId="16199" xr:uid="{00000000-0005-0000-0000-00007D560000}"/>
    <cellStyle name="Normal 2 3 2 2 2 3 2 2" xfId="29257" xr:uid="{00000000-0005-0000-0000-00007E560000}"/>
    <cellStyle name="Normal 2 3 2 2 2 3 3" xfId="16200" xr:uid="{00000000-0005-0000-0000-00007F560000}"/>
    <cellStyle name="Normal 2 3 2 2 2 3 3 2" xfId="29258" xr:uid="{00000000-0005-0000-0000-000080560000}"/>
    <cellStyle name="Normal 2 3 2 2 2 3 4" xfId="24041" xr:uid="{00000000-0005-0000-0000-000081560000}"/>
    <cellStyle name="Normal 2 3 2 2 2 4" xfId="16201" xr:uid="{00000000-0005-0000-0000-000082560000}"/>
    <cellStyle name="Normal 2 3 2 2 2 4 2" xfId="29259" xr:uid="{00000000-0005-0000-0000-000083560000}"/>
    <cellStyle name="Normal 2 3 2 2 2 5" xfId="16202" xr:uid="{00000000-0005-0000-0000-000084560000}"/>
    <cellStyle name="Normal 2 3 2 2 2 5 2" xfId="29260" xr:uid="{00000000-0005-0000-0000-000085560000}"/>
    <cellStyle name="Normal 2 3 2 2 2 6" xfId="21885" xr:uid="{00000000-0005-0000-0000-000086560000}"/>
    <cellStyle name="Normal 2 3 2 2 3" xfId="8824" xr:uid="{00000000-0005-0000-0000-000087560000}"/>
    <cellStyle name="Normal 2 3 2 2 3 2" xfId="11209" xr:uid="{00000000-0005-0000-0000-000088560000}"/>
    <cellStyle name="Normal 2 3 2 2 3 2 2" xfId="16203" xr:uid="{00000000-0005-0000-0000-000089560000}"/>
    <cellStyle name="Normal 2 3 2 2 3 2 2 2" xfId="29261" xr:uid="{00000000-0005-0000-0000-00008A560000}"/>
    <cellStyle name="Normal 2 3 2 2 3 2 3" xfId="16204" xr:uid="{00000000-0005-0000-0000-00008B560000}"/>
    <cellStyle name="Normal 2 3 2 2 3 2 3 2" xfId="29262" xr:uid="{00000000-0005-0000-0000-00008C560000}"/>
    <cellStyle name="Normal 2 3 2 2 3 2 4" xfId="24579" xr:uid="{00000000-0005-0000-0000-00008D560000}"/>
    <cellStyle name="Normal 2 3 2 2 3 3" xfId="16205" xr:uid="{00000000-0005-0000-0000-00008E560000}"/>
    <cellStyle name="Normal 2 3 2 2 3 3 2" xfId="29263" xr:uid="{00000000-0005-0000-0000-00008F560000}"/>
    <cellStyle name="Normal 2 3 2 2 3 4" xfId="16206" xr:uid="{00000000-0005-0000-0000-000090560000}"/>
    <cellStyle name="Normal 2 3 2 2 3 4 2" xfId="29264" xr:uid="{00000000-0005-0000-0000-000091560000}"/>
    <cellStyle name="Normal 2 3 2 2 3 5" xfId="22423" xr:uid="{00000000-0005-0000-0000-000092560000}"/>
    <cellStyle name="Normal 2 3 2 2 4" xfId="10131" xr:uid="{00000000-0005-0000-0000-000093560000}"/>
    <cellStyle name="Normal 2 3 2 2 4 2" xfId="16207" xr:uid="{00000000-0005-0000-0000-000094560000}"/>
    <cellStyle name="Normal 2 3 2 2 4 2 2" xfId="29265" xr:uid="{00000000-0005-0000-0000-000095560000}"/>
    <cellStyle name="Normal 2 3 2 2 4 3" xfId="16208" xr:uid="{00000000-0005-0000-0000-000096560000}"/>
    <cellStyle name="Normal 2 3 2 2 4 3 2" xfId="29266" xr:uid="{00000000-0005-0000-0000-000097560000}"/>
    <cellStyle name="Normal 2 3 2 2 4 4" xfId="23501" xr:uid="{00000000-0005-0000-0000-000098560000}"/>
    <cellStyle name="Normal 2 3 2 2 5" xfId="16209" xr:uid="{00000000-0005-0000-0000-000099560000}"/>
    <cellStyle name="Normal 2 3 2 2 5 2" xfId="29267" xr:uid="{00000000-0005-0000-0000-00009A560000}"/>
    <cellStyle name="Normal 2 3 2 2 6" xfId="16210" xr:uid="{00000000-0005-0000-0000-00009B560000}"/>
    <cellStyle name="Normal 2 3 2 2 6 2" xfId="29268" xr:uid="{00000000-0005-0000-0000-00009C560000}"/>
    <cellStyle name="Normal 2 3 2 2 7" xfId="21345" xr:uid="{00000000-0005-0000-0000-00009D560000}"/>
    <cellStyle name="Normal 2 3 2 3" xfId="7222" xr:uid="{00000000-0005-0000-0000-00009E560000}"/>
    <cellStyle name="Normal 2 3 2 3 2" xfId="9101" xr:uid="{00000000-0005-0000-0000-00009F560000}"/>
    <cellStyle name="Normal 2 3 2 3 2 2" xfId="11480" xr:uid="{00000000-0005-0000-0000-0000A0560000}"/>
    <cellStyle name="Normal 2 3 2 3 2 2 2" xfId="16211" xr:uid="{00000000-0005-0000-0000-0000A1560000}"/>
    <cellStyle name="Normal 2 3 2 3 2 2 2 2" xfId="29269" xr:uid="{00000000-0005-0000-0000-0000A2560000}"/>
    <cellStyle name="Normal 2 3 2 3 2 2 3" xfId="16212" xr:uid="{00000000-0005-0000-0000-0000A3560000}"/>
    <cellStyle name="Normal 2 3 2 3 2 2 3 2" xfId="29270" xr:uid="{00000000-0005-0000-0000-0000A4560000}"/>
    <cellStyle name="Normal 2 3 2 3 2 2 4" xfId="24850" xr:uid="{00000000-0005-0000-0000-0000A5560000}"/>
    <cellStyle name="Normal 2 3 2 3 2 3" xfId="16213" xr:uid="{00000000-0005-0000-0000-0000A6560000}"/>
    <cellStyle name="Normal 2 3 2 3 2 3 2" xfId="29271" xr:uid="{00000000-0005-0000-0000-0000A7560000}"/>
    <cellStyle name="Normal 2 3 2 3 2 4" xfId="16214" xr:uid="{00000000-0005-0000-0000-0000A8560000}"/>
    <cellStyle name="Normal 2 3 2 3 2 4 2" xfId="29272" xr:uid="{00000000-0005-0000-0000-0000A9560000}"/>
    <cellStyle name="Normal 2 3 2 3 2 5" xfId="22694" xr:uid="{00000000-0005-0000-0000-0000AA560000}"/>
    <cellStyle name="Normal 2 3 2 3 3" xfId="10402" xr:uid="{00000000-0005-0000-0000-0000AB560000}"/>
    <cellStyle name="Normal 2 3 2 3 3 2" xfId="16215" xr:uid="{00000000-0005-0000-0000-0000AC560000}"/>
    <cellStyle name="Normal 2 3 2 3 3 2 2" xfId="29273" xr:uid="{00000000-0005-0000-0000-0000AD560000}"/>
    <cellStyle name="Normal 2 3 2 3 3 3" xfId="16216" xr:uid="{00000000-0005-0000-0000-0000AE560000}"/>
    <cellStyle name="Normal 2 3 2 3 3 3 2" xfId="29274" xr:uid="{00000000-0005-0000-0000-0000AF560000}"/>
    <cellStyle name="Normal 2 3 2 3 3 4" xfId="23772" xr:uid="{00000000-0005-0000-0000-0000B0560000}"/>
    <cellStyle name="Normal 2 3 2 3 4" xfId="16217" xr:uid="{00000000-0005-0000-0000-0000B1560000}"/>
    <cellStyle name="Normal 2 3 2 3 4 2" xfId="29275" xr:uid="{00000000-0005-0000-0000-0000B2560000}"/>
    <cellStyle name="Normal 2 3 2 3 5" xfId="16218" xr:uid="{00000000-0005-0000-0000-0000B3560000}"/>
    <cellStyle name="Normal 2 3 2 3 5 2" xfId="29276" xr:uid="{00000000-0005-0000-0000-0000B4560000}"/>
    <cellStyle name="Normal 2 3 2 3 6" xfId="21616" xr:uid="{00000000-0005-0000-0000-0000B5560000}"/>
    <cellStyle name="Normal 2 3 2 4" xfId="8499" xr:uid="{00000000-0005-0000-0000-0000B6560000}"/>
    <cellStyle name="Normal 2 3 2 4 2" xfId="10940" xr:uid="{00000000-0005-0000-0000-0000B7560000}"/>
    <cellStyle name="Normal 2 3 2 4 2 2" xfId="16219" xr:uid="{00000000-0005-0000-0000-0000B8560000}"/>
    <cellStyle name="Normal 2 3 2 4 2 2 2" xfId="29277" xr:uid="{00000000-0005-0000-0000-0000B9560000}"/>
    <cellStyle name="Normal 2 3 2 4 2 3" xfId="16220" xr:uid="{00000000-0005-0000-0000-0000BA560000}"/>
    <cellStyle name="Normal 2 3 2 4 2 3 2" xfId="29278" xr:uid="{00000000-0005-0000-0000-0000BB560000}"/>
    <cellStyle name="Normal 2 3 2 4 2 4" xfId="24310" xr:uid="{00000000-0005-0000-0000-0000BC560000}"/>
    <cellStyle name="Normal 2 3 2 4 3" xfId="16221" xr:uid="{00000000-0005-0000-0000-0000BD560000}"/>
    <cellStyle name="Normal 2 3 2 4 3 2" xfId="29279" xr:uid="{00000000-0005-0000-0000-0000BE560000}"/>
    <cellStyle name="Normal 2 3 2 4 4" xfId="16222" xr:uid="{00000000-0005-0000-0000-0000BF560000}"/>
    <cellStyle name="Normal 2 3 2 4 4 2" xfId="29280" xr:uid="{00000000-0005-0000-0000-0000C0560000}"/>
    <cellStyle name="Normal 2 3 2 4 5" xfId="22154" xr:uid="{00000000-0005-0000-0000-0000C1560000}"/>
    <cellStyle name="Normal 2 3 2 5" xfId="9862" xr:uid="{00000000-0005-0000-0000-0000C2560000}"/>
    <cellStyle name="Normal 2 3 2 5 2" xfId="16223" xr:uid="{00000000-0005-0000-0000-0000C3560000}"/>
    <cellStyle name="Normal 2 3 2 5 2 2" xfId="29281" xr:uid="{00000000-0005-0000-0000-0000C4560000}"/>
    <cellStyle name="Normal 2 3 2 5 3" xfId="16224" xr:uid="{00000000-0005-0000-0000-0000C5560000}"/>
    <cellStyle name="Normal 2 3 2 5 3 2" xfId="29282" xr:uid="{00000000-0005-0000-0000-0000C6560000}"/>
    <cellStyle name="Normal 2 3 2 5 4" xfId="23232" xr:uid="{00000000-0005-0000-0000-0000C7560000}"/>
    <cellStyle name="Normal 2 3 2 6" xfId="16225" xr:uid="{00000000-0005-0000-0000-0000C8560000}"/>
    <cellStyle name="Normal 2 3 2 6 2" xfId="29283" xr:uid="{00000000-0005-0000-0000-0000C9560000}"/>
    <cellStyle name="Normal 2 3 2 7" xfId="16226" xr:uid="{00000000-0005-0000-0000-0000CA560000}"/>
    <cellStyle name="Normal 2 3 2 7 2" xfId="29284" xr:uid="{00000000-0005-0000-0000-0000CB560000}"/>
    <cellStyle name="Normal 2 3 2 8" xfId="21076" xr:uid="{00000000-0005-0000-0000-0000CC560000}"/>
    <cellStyle name="Normal 2 3 3" xfId="6653" xr:uid="{00000000-0005-0000-0000-0000CD560000}"/>
    <cellStyle name="Normal 2 3 3 2" xfId="7348" xr:uid="{00000000-0005-0000-0000-0000CE560000}"/>
    <cellStyle name="Normal 2 3 3 2 2" xfId="9227" xr:uid="{00000000-0005-0000-0000-0000CF560000}"/>
    <cellStyle name="Normal 2 3 3 2 2 2" xfId="11606" xr:uid="{00000000-0005-0000-0000-0000D0560000}"/>
    <cellStyle name="Normal 2 3 3 2 2 2 2" xfId="16227" xr:uid="{00000000-0005-0000-0000-0000D1560000}"/>
    <cellStyle name="Normal 2 3 3 2 2 2 2 2" xfId="29285" xr:uid="{00000000-0005-0000-0000-0000D2560000}"/>
    <cellStyle name="Normal 2 3 3 2 2 2 3" xfId="16228" xr:uid="{00000000-0005-0000-0000-0000D3560000}"/>
    <cellStyle name="Normal 2 3 3 2 2 2 3 2" xfId="29286" xr:uid="{00000000-0005-0000-0000-0000D4560000}"/>
    <cellStyle name="Normal 2 3 3 2 2 2 4" xfId="24976" xr:uid="{00000000-0005-0000-0000-0000D5560000}"/>
    <cellStyle name="Normal 2 3 3 2 2 3" xfId="16229" xr:uid="{00000000-0005-0000-0000-0000D6560000}"/>
    <cellStyle name="Normal 2 3 3 2 2 3 2" xfId="29287" xr:uid="{00000000-0005-0000-0000-0000D7560000}"/>
    <cellStyle name="Normal 2 3 3 2 2 4" xfId="16230" xr:uid="{00000000-0005-0000-0000-0000D8560000}"/>
    <cellStyle name="Normal 2 3 3 2 2 4 2" xfId="29288" xr:uid="{00000000-0005-0000-0000-0000D9560000}"/>
    <cellStyle name="Normal 2 3 3 2 2 5" xfId="22820" xr:uid="{00000000-0005-0000-0000-0000DA560000}"/>
    <cellStyle name="Normal 2 3 3 2 3" xfId="10528" xr:uid="{00000000-0005-0000-0000-0000DB560000}"/>
    <cellStyle name="Normal 2 3 3 2 3 2" xfId="16231" xr:uid="{00000000-0005-0000-0000-0000DC560000}"/>
    <cellStyle name="Normal 2 3 3 2 3 2 2" xfId="29289" xr:uid="{00000000-0005-0000-0000-0000DD560000}"/>
    <cellStyle name="Normal 2 3 3 2 3 3" xfId="16232" xr:uid="{00000000-0005-0000-0000-0000DE560000}"/>
    <cellStyle name="Normal 2 3 3 2 3 3 2" xfId="29290" xr:uid="{00000000-0005-0000-0000-0000DF560000}"/>
    <cellStyle name="Normal 2 3 3 2 3 4" xfId="23898" xr:uid="{00000000-0005-0000-0000-0000E0560000}"/>
    <cellStyle name="Normal 2 3 3 2 4" xfId="16233" xr:uid="{00000000-0005-0000-0000-0000E1560000}"/>
    <cellStyle name="Normal 2 3 3 2 4 2" xfId="29291" xr:uid="{00000000-0005-0000-0000-0000E2560000}"/>
    <cellStyle name="Normal 2 3 3 2 5" xfId="16234" xr:uid="{00000000-0005-0000-0000-0000E3560000}"/>
    <cellStyle name="Normal 2 3 3 2 5 2" xfId="29292" xr:uid="{00000000-0005-0000-0000-0000E4560000}"/>
    <cellStyle name="Normal 2 3 3 2 6" xfId="21742" xr:uid="{00000000-0005-0000-0000-0000E5560000}"/>
    <cellStyle name="Normal 2 3 3 3" xfId="8681" xr:uid="{00000000-0005-0000-0000-0000E6560000}"/>
    <cellStyle name="Normal 2 3 3 3 2" xfId="11066" xr:uid="{00000000-0005-0000-0000-0000E7560000}"/>
    <cellStyle name="Normal 2 3 3 3 2 2" xfId="16235" xr:uid="{00000000-0005-0000-0000-0000E8560000}"/>
    <cellStyle name="Normal 2 3 3 3 2 2 2" xfId="29293" xr:uid="{00000000-0005-0000-0000-0000E9560000}"/>
    <cellStyle name="Normal 2 3 3 3 2 3" xfId="16236" xr:uid="{00000000-0005-0000-0000-0000EA560000}"/>
    <cellStyle name="Normal 2 3 3 3 2 3 2" xfId="29294" xr:uid="{00000000-0005-0000-0000-0000EB560000}"/>
    <cellStyle name="Normal 2 3 3 3 2 4" xfId="24436" xr:uid="{00000000-0005-0000-0000-0000EC560000}"/>
    <cellStyle name="Normal 2 3 3 3 3" xfId="16237" xr:uid="{00000000-0005-0000-0000-0000ED560000}"/>
    <cellStyle name="Normal 2 3 3 3 3 2" xfId="29295" xr:uid="{00000000-0005-0000-0000-0000EE560000}"/>
    <cellStyle name="Normal 2 3 3 3 4" xfId="16238" xr:uid="{00000000-0005-0000-0000-0000EF560000}"/>
    <cellStyle name="Normal 2 3 3 3 4 2" xfId="29296" xr:uid="{00000000-0005-0000-0000-0000F0560000}"/>
    <cellStyle name="Normal 2 3 3 3 5" xfId="22280" xr:uid="{00000000-0005-0000-0000-0000F1560000}"/>
    <cellStyle name="Normal 2 3 3 4" xfId="9988" xr:uid="{00000000-0005-0000-0000-0000F2560000}"/>
    <cellStyle name="Normal 2 3 3 4 2" xfId="16239" xr:uid="{00000000-0005-0000-0000-0000F3560000}"/>
    <cellStyle name="Normal 2 3 3 4 2 2" xfId="29297" xr:uid="{00000000-0005-0000-0000-0000F4560000}"/>
    <cellStyle name="Normal 2 3 3 4 3" xfId="16240" xr:uid="{00000000-0005-0000-0000-0000F5560000}"/>
    <cellStyle name="Normal 2 3 3 4 3 2" xfId="29298" xr:uid="{00000000-0005-0000-0000-0000F6560000}"/>
    <cellStyle name="Normal 2 3 3 4 4" xfId="23358" xr:uid="{00000000-0005-0000-0000-0000F7560000}"/>
    <cellStyle name="Normal 2 3 3 5" xfId="16241" xr:uid="{00000000-0005-0000-0000-0000F8560000}"/>
    <cellStyle name="Normal 2 3 3 5 2" xfId="29299" xr:uid="{00000000-0005-0000-0000-0000F9560000}"/>
    <cellStyle name="Normal 2 3 3 6" xfId="16242" xr:uid="{00000000-0005-0000-0000-0000FA560000}"/>
    <cellStyle name="Normal 2 3 3 6 2" xfId="29300" xr:uid="{00000000-0005-0000-0000-0000FB560000}"/>
    <cellStyle name="Normal 2 3 3 7" xfId="21202" xr:uid="{00000000-0005-0000-0000-0000FC560000}"/>
    <cellStyle name="Normal 2 3 4" xfId="7078" xr:uid="{00000000-0005-0000-0000-0000FD560000}"/>
    <cellStyle name="Normal 2 3 4 2" xfId="8958" xr:uid="{00000000-0005-0000-0000-0000FE560000}"/>
    <cellStyle name="Normal 2 3 4 2 2" xfId="11337" xr:uid="{00000000-0005-0000-0000-0000FF560000}"/>
    <cellStyle name="Normal 2 3 4 2 2 2" xfId="16243" xr:uid="{00000000-0005-0000-0000-000000570000}"/>
    <cellStyle name="Normal 2 3 4 2 2 2 2" xfId="29301" xr:uid="{00000000-0005-0000-0000-000001570000}"/>
    <cellStyle name="Normal 2 3 4 2 2 3" xfId="16244" xr:uid="{00000000-0005-0000-0000-000002570000}"/>
    <cellStyle name="Normal 2 3 4 2 2 3 2" xfId="29302" xr:uid="{00000000-0005-0000-0000-000003570000}"/>
    <cellStyle name="Normal 2 3 4 2 2 4" xfId="24707" xr:uid="{00000000-0005-0000-0000-000004570000}"/>
    <cellStyle name="Normal 2 3 4 2 3" xfId="16245" xr:uid="{00000000-0005-0000-0000-000005570000}"/>
    <cellStyle name="Normal 2 3 4 2 3 2" xfId="29303" xr:uid="{00000000-0005-0000-0000-000006570000}"/>
    <cellStyle name="Normal 2 3 4 2 4" xfId="16246" xr:uid="{00000000-0005-0000-0000-000007570000}"/>
    <cellStyle name="Normal 2 3 4 2 4 2" xfId="29304" xr:uid="{00000000-0005-0000-0000-000008570000}"/>
    <cellStyle name="Normal 2 3 4 2 5" xfId="22551" xr:uid="{00000000-0005-0000-0000-000009570000}"/>
    <cellStyle name="Normal 2 3 4 3" xfId="10259" xr:uid="{00000000-0005-0000-0000-00000A570000}"/>
    <cellStyle name="Normal 2 3 4 3 2" xfId="16247" xr:uid="{00000000-0005-0000-0000-00000B570000}"/>
    <cellStyle name="Normal 2 3 4 3 2 2" xfId="29305" xr:uid="{00000000-0005-0000-0000-00000C570000}"/>
    <cellStyle name="Normal 2 3 4 3 3" xfId="16248" xr:uid="{00000000-0005-0000-0000-00000D570000}"/>
    <cellStyle name="Normal 2 3 4 3 3 2" xfId="29306" xr:uid="{00000000-0005-0000-0000-00000E570000}"/>
    <cellStyle name="Normal 2 3 4 3 4" xfId="23629" xr:uid="{00000000-0005-0000-0000-00000F570000}"/>
    <cellStyle name="Normal 2 3 4 4" xfId="16249" xr:uid="{00000000-0005-0000-0000-000010570000}"/>
    <cellStyle name="Normal 2 3 4 4 2" xfId="29307" xr:uid="{00000000-0005-0000-0000-000011570000}"/>
    <cellStyle name="Normal 2 3 4 5" xfId="16250" xr:uid="{00000000-0005-0000-0000-000012570000}"/>
    <cellStyle name="Normal 2 3 4 5 2" xfId="29308" xr:uid="{00000000-0005-0000-0000-000013570000}"/>
    <cellStyle name="Normal 2 3 4 6" xfId="21473" xr:uid="{00000000-0005-0000-0000-000014570000}"/>
    <cellStyle name="Normal 2 3 5" xfId="8284" xr:uid="{00000000-0005-0000-0000-000015570000}"/>
    <cellStyle name="Normal 2 3 5 2" xfId="10797" xr:uid="{00000000-0005-0000-0000-000016570000}"/>
    <cellStyle name="Normal 2 3 5 2 2" xfId="16251" xr:uid="{00000000-0005-0000-0000-000017570000}"/>
    <cellStyle name="Normal 2 3 5 2 2 2" xfId="29309" xr:uid="{00000000-0005-0000-0000-000018570000}"/>
    <cellStyle name="Normal 2 3 5 2 3" xfId="16252" xr:uid="{00000000-0005-0000-0000-000019570000}"/>
    <cellStyle name="Normal 2 3 5 2 3 2" xfId="29310" xr:uid="{00000000-0005-0000-0000-00001A570000}"/>
    <cellStyle name="Normal 2 3 5 2 4" xfId="24167" xr:uid="{00000000-0005-0000-0000-00001B570000}"/>
    <cellStyle name="Normal 2 3 5 3" xfId="16253" xr:uid="{00000000-0005-0000-0000-00001C570000}"/>
    <cellStyle name="Normal 2 3 5 3 2" xfId="29311" xr:uid="{00000000-0005-0000-0000-00001D570000}"/>
    <cellStyle name="Normal 2 3 5 4" xfId="16254" xr:uid="{00000000-0005-0000-0000-00001E570000}"/>
    <cellStyle name="Normal 2 3 5 4 2" xfId="29312" xr:uid="{00000000-0005-0000-0000-00001F570000}"/>
    <cellStyle name="Normal 2 3 5 5" xfId="22011" xr:uid="{00000000-0005-0000-0000-000020570000}"/>
    <cellStyle name="Normal 2 3 6" xfId="9718" xr:uid="{00000000-0005-0000-0000-000021570000}"/>
    <cellStyle name="Normal 2 3 6 2" xfId="16255" xr:uid="{00000000-0005-0000-0000-000022570000}"/>
    <cellStyle name="Normal 2 3 6 2 2" xfId="29313" xr:uid="{00000000-0005-0000-0000-000023570000}"/>
    <cellStyle name="Normal 2 3 6 3" xfId="16256" xr:uid="{00000000-0005-0000-0000-000024570000}"/>
    <cellStyle name="Normal 2 3 6 3 2" xfId="29314" xr:uid="{00000000-0005-0000-0000-000025570000}"/>
    <cellStyle name="Normal 2 3 6 4" xfId="23089" xr:uid="{00000000-0005-0000-0000-000026570000}"/>
    <cellStyle name="Normal 2 3 7" xfId="16257" xr:uid="{00000000-0005-0000-0000-000027570000}"/>
    <cellStyle name="Normal 2 3 7 2" xfId="29315" xr:uid="{00000000-0005-0000-0000-000028570000}"/>
    <cellStyle name="Normal 2 3 8" xfId="16258" xr:uid="{00000000-0005-0000-0000-000029570000}"/>
    <cellStyle name="Normal 2 3 8 2" xfId="29316" xr:uid="{00000000-0005-0000-0000-00002A570000}"/>
    <cellStyle name="Normal 2 3 9" xfId="20932" xr:uid="{00000000-0005-0000-0000-00002B570000}"/>
    <cellStyle name="Normal 2 4" xfId="34489" xr:uid="{00000000-0005-0000-0000-00002C570000}"/>
    <cellStyle name="Normal 2 5" xfId="34490" xr:uid="{00000000-0005-0000-0000-00002D570000}"/>
    <cellStyle name="Normal 2 5 2" xfId="34491" xr:uid="{00000000-0005-0000-0000-00002E570000}"/>
    <cellStyle name="Normal 2 6" xfId="34492" xr:uid="{00000000-0005-0000-0000-00002F570000}"/>
    <cellStyle name="Normal 2 7" xfId="34493" xr:uid="{00000000-0005-0000-0000-000030570000}"/>
    <cellStyle name="Normal 2 8" xfId="34494" xr:uid="{00000000-0005-0000-0000-000031570000}"/>
    <cellStyle name="Normal 2 9" xfId="34495" xr:uid="{00000000-0005-0000-0000-000032570000}"/>
    <cellStyle name="Normal 20" xfId="3537" xr:uid="{00000000-0005-0000-0000-000033570000}"/>
    <cellStyle name="Normal 20 10" xfId="20836" xr:uid="{00000000-0005-0000-0000-000034570000}"/>
    <cellStyle name="Normal 20 11" xfId="33845" xr:uid="{00000000-0005-0000-0000-000035570000}"/>
    <cellStyle name="Normal 20 2" xfId="4074" xr:uid="{00000000-0005-0000-0000-000036570000}"/>
    <cellStyle name="Normal 20 2 2" xfId="5610" xr:uid="{00000000-0005-0000-0000-000037570000}"/>
    <cellStyle name="Normal 20 2 2 2" xfId="6762" xr:uid="{00000000-0005-0000-0000-000038570000}"/>
    <cellStyle name="Normal 20 2 2 2 2" xfId="7449" xr:uid="{00000000-0005-0000-0000-000039570000}"/>
    <cellStyle name="Normal 20 2 2 2 2 2" xfId="9328" xr:uid="{00000000-0005-0000-0000-00003A570000}"/>
    <cellStyle name="Normal 20 2 2 2 2 2 2" xfId="11707" xr:uid="{00000000-0005-0000-0000-00003B570000}"/>
    <cellStyle name="Normal 20 2 2 2 2 2 2 2" xfId="16259" xr:uid="{00000000-0005-0000-0000-00003C570000}"/>
    <cellStyle name="Normal 20 2 2 2 2 2 2 2 2" xfId="29317" xr:uid="{00000000-0005-0000-0000-00003D570000}"/>
    <cellStyle name="Normal 20 2 2 2 2 2 2 3" xfId="16260" xr:uid="{00000000-0005-0000-0000-00003E570000}"/>
    <cellStyle name="Normal 20 2 2 2 2 2 2 3 2" xfId="29318" xr:uid="{00000000-0005-0000-0000-00003F570000}"/>
    <cellStyle name="Normal 20 2 2 2 2 2 2 4" xfId="25077" xr:uid="{00000000-0005-0000-0000-000040570000}"/>
    <cellStyle name="Normal 20 2 2 2 2 2 3" xfId="16261" xr:uid="{00000000-0005-0000-0000-000041570000}"/>
    <cellStyle name="Normal 20 2 2 2 2 2 3 2" xfId="29319" xr:uid="{00000000-0005-0000-0000-000042570000}"/>
    <cellStyle name="Normal 20 2 2 2 2 2 4" xfId="16262" xr:uid="{00000000-0005-0000-0000-000043570000}"/>
    <cellStyle name="Normal 20 2 2 2 2 2 4 2" xfId="29320" xr:uid="{00000000-0005-0000-0000-000044570000}"/>
    <cellStyle name="Normal 20 2 2 2 2 2 5" xfId="22921" xr:uid="{00000000-0005-0000-0000-000045570000}"/>
    <cellStyle name="Normal 20 2 2 2 2 3" xfId="10629" xr:uid="{00000000-0005-0000-0000-000046570000}"/>
    <cellStyle name="Normal 20 2 2 2 2 3 2" xfId="16263" xr:uid="{00000000-0005-0000-0000-000047570000}"/>
    <cellStyle name="Normal 20 2 2 2 2 3 2 2" xfId="29321" xr:uid="{00000000-0005-0000-0000-000048570000}"/>
    <cellStyle name="Normal 20 2 2 2 2 3 3" xfId="16264" xr:uid="{00000000-0005-0000-0000-000049570000}"/>
    <cellStyle name="Normal 20 2 2 2 2 3 3 2" xfId="29322" xr:uid="{00000000-0005-0000-0000-00004A570000}"/>
    <cellStyle name="Normal 20 2 2 2 2 3 4" xfId="23999" xr:uid="{00000000-0005-0000-0000-00004B570000}"/>
    <cellStyle name="Normal 20 2 2 2 2 4" xfId="16265" xr:uid="{00000000-0005-0000-0000-00004C570000}"/>
    <cellStyle name="Normal 20 2 2 2 2 4 2" xfId="29323" xr:uid="{00000000-0005-0000-0000-00004D570000}"/>
    <cellStyle name="Normal 20 2 2 2 2 5" xfId="16266" xr:uid="{00000000-0005-0000-0000-00004E570000}"/>
    <cellStyle name="Normal 20 2 2 2 2 5 2" xfId="29324" xr:uid="{00000000-0005-0000-0000-00004F570000}"/>
    <cellStyle name="Normal 20 2 2 2 2 6" xfId="21843" xr:uid="{00000000-0005-0000-0000-000050570000}"/>
    <cellStyle name="Normal 20 2 2 2 3" xfId="8782" xr:uid="{00000000-0005-0000-0000-000051570000}"/>
    <cellStyle name="Normal 20 2 2 2 3 2" xfId="11167" xr:uid="{00000000-0005-0000-0000-000052570000}"/>
    <cellStyle name="Normal 20 2 2 2 3 2 2" xfId="16267" xr:uid="{00000000-0005-0000-0000-000053570000}"/>
    <cellStyle name="Normal 20 2 2 2 3 2 2 2" xfId="29325" xr:uid="{00000000-0005-0000-0000-000054570000}"/>
    <cellStyle name="Normal 20 2 2 2 3 2 3" xfId="16268" xr:uid="{00000000-0005-0000-0000-000055570000}"/>
    <cellStyle name="Normal 20 2 2 2 3 2 3 2" xfId="29326" xr:uid="{00000000-0005-0000-0000-000056570000}"/>
    <cellStyle name="Normal 20 2 2 2 3 2 4" xfId="24537" xr:uid="{00000000-0005-0000-0000-000057570000}"/>
    <cellStyle name="Normal 20 2 2 2 3 3" xfId="16269" xr:uid="{00000000-0005-0000-0000-000058570000}"/>
    <cellStyle name="Normal 20 2 2 2 3 3 2" xfId="29327" xr:uid="{00000000-0005-0000-0000-000059570000}"/>
    <cellStyle name="Normal 20 2 2 2 3 4" xfId="16270" xr:uid="{00000000-0005-0000-0000-00005A570000}"/>
    <cellStyle name="Normal 20 2 2 2 3 4 2" xfId="29328" xr:uid="{00000000-0005-0000-0000-00005B570000}"/>
    <cellStyle name="Normal 20 2 2 2 3 5" xfId="22381" xr:uid="{00000000-0005-0000-0000-00005C570000}"/>
    <cellStyle name="Normal 20 2 2 2 4" xfId="10089" xr:uid="{00000000-0005-0000-0000-00005D570000}"/>
    <cellStyle name="Normal 20 2 2 2 4 2" xfId="16271" xr:uid="{00000000-0005-0000-0000-00005E570000}"/>
    <cellStyle name="Normal 20 2 2 2 4 2 2" xfId="29329" xr:uid="{00000000-0005-0000-0000-00005F570000}"/>
    <cellStyle name="Normal 20 2 2 2 4 3" xfId="16272" xr:uid="{00000000-0005-0000-0000-000060570000}"/>
    <cellStyle name="Normal 20 2 2 2 4 3 2" xfId="29330" xr:uid="{00000000-0005-0000-0000-000061570000}"/>
    <cellStyle name="Normal 20 2 2 2 4 4" xfId="23459" xr:uid="{00000000-0005-0000-0000-000062570000}"/>
    <cellStyle name="Normal 20 2 2 2 5" xfId="16273" xr:uid="{00000000-0005-0000-0000-000063570000}"/>
    <cellStyle name="Normal 20 2 2 2 5 2" xfId="29331" xr:uid="{00000000-0005-0000-0000-000064570000}"/>
    <cellStyle name="Normal 20 2 2 2 6" xfId="16274" xr:uid="{00000000-0005-0000-0000-000065570000}"/>
    <cellStyle name="Normal 20 2 2 2 6 2" xfId="29332" xr:uid="{00000000-0005-0000-0000-000066570000}"/>
    <cellStyle name="Normal 20 2 2 2 7" xfId="21303" xr:uid="{00000000-0005-0000-0000-000067570000}"/>
    <cellStyle name="Normal 20 2 2 3" xfId="7180" xr:uid="{00000000-0005-0000-0000-000068570000}"/>
    <cellStyle name="Normal 20 2 2 3 2" xfId="9059" xr:uid="{00000000-0005-0000-0000-000069570000}"/>
    <cellStyle name="Normal 20 2 2 3 2 2" xfId="11438" xr:uid="{00000000-0005-0000-0000-00006A570000}"/>
    <cellStyle name="Normal 20 2 2 3 2 2 2" xfId="16275" xr:uid="{00000000-0005-0000-0000-00006B570000}"/>
    <cellStyle name="Normal 20 2 2 3 2 2 2 2" xfId="29333" xr:uid="{00000000-0005-0000-0000-00006C570000}"/>
    <cellStyle name="Normal 20 2 2 3 2 2 3" xfId="16276" xr:uid="{00000000-0005-0000-0000-00006D570000}"/>
    <cellStyle name="Normal 20 2 2 3 2 2 3 2" xfId="29334" xr:uid="{00000000-0005-0000-0000-00006E570000}"/>
    <cellStyle name="Normal 20 2 2 3 2 2 4" xfId="24808" xr:uid="{00000000-0005-0000-0000-00006F570000}"/>
    <cellStyle name="Normal 20 2 2 3 2 3" xfId="16277" xr:uid="{00000000-0005-0000-0000-000070570000}"/>
    <cellStyle name="Normal 20 2 2 3 2 3 2" xfId="29335" xr:uid="{00000000-0005-0000-0000-000071570000}"/>
    <cellStyle name="Normal 20 2 2 3 2 4" xfId="16278" xr:uid="{00000000-0005-0000-0000-000072570000}"/>
    <cellStyle name="Normal 20 2 2 3 2 4 2" xfId="29336" xr:uid="{00000000-0005-0000-0000-000073570000}"/>
    <cellStyle name="Normal 20 2 2 3 2 5" xfId="22652" xr:uid="{00000000-0005-0000-0000-000074570000}"/>
    <cellStyle name="Normal 20 2 2 3 3" xfId="10360" xr:uid="{00000000-0005-0000-0000-000075570000}"/>
    <cellStyle name="Normal 20 2 2 3 3 2" xfId="16279" xr:uid="{00000000-0005-0000-0000-000076570000}"/>
    <cellStyle name="Normal 20 2 2 3 3 2 2" xfId="29337" xr:uid="{00000000-0005-0000-0000-000077570000}"/>
    <cellStyle name="Normal 20 2 2 3 3 3" xfId="16280" xr:uid="{00000000-0005-0000-0000-000078570000}"/>
    <cellStyle name="Normal 20 2 2 3 3 3 2" xfId="29338" xr:uid="{00000000-0005-0000-0000-000079570000}"/>
    <cellStyle name="Normal 20 2 2 3 3 4" xfId="23730" xr:uid="{00000000-0005-0000-0000-00007A570000}"/>
    <cellStyle name="Normal 20 2 2 3 4" xfId="16281" xr:uid="{00000000-0005-0000-0000-00007B570000}"/>
    <cellStyle name="Normal 20 2 2 3 4 2" xfId="29339" xr:uid="{00000000-0005-0000-0000-00007C570000}"/>
    <cellStyle name="Normal 20 2 2 3 5" xfId="16282" xr:uid="{00000000-0005-0000-0000-00007D570000}"/>
    <cellStyle name="Normal 20 2 2 3 5 2" xfId="29340" xr:uid="{00000000-0005-0000-0000-00007E570000}"/>
    <cellStyle name="Normal 20 2 2 3 6" xfId="21574" xr:uid="{00000000-0005-0000-0000-00007F570000}"/>
    <cellStyle name="Normal 20 2 2 4" xfId="8457" xr:uid="{00000000-0005-0000-0000-000080570000}"/>
    <cellStyle name="Normal 20 2 2 4 2" xfId="10898" xr:uid="{00000000-0005-0000-0000-000081570000}"/>
    <cellStyle name="Normal 20 2 2 4 2 2" xfId="16283" xr:uid="{00000000-0005-0000-0000-000082570000}"/>
    <cellStyle name="Normal 20 2 2 4 2 2 2" xfId="29341" xr:uid="{00000000-0005-0000-0000-000083570000}"/>
    <cellStyle name="Normal 20 2 2 4 2 3" xfId="16284" xr:uid="{00000000-0005-0000-0000-000084570000}"/>
    <cellStyle name="Normal 20 2 2 4 2 3 2" xfId="29342" xr:uid="{00000000-0005-0000-0000-000085570000}"/>
    <cellStyle name="Normal 20 2 2 4 2 4" xfId="24268" xr:uid="{00000000-0005-0000-0000-000086570000}"/>
    <cellStyle name="Normal 20 2 2 4 3" xfId="16285" xr:uid="{00000000-0005-0000-0000-000087570000}"/>
    <cellStyle name="Normal 20 2 2 4 3 2" xfId="29343" xr:uid="{00000000-0005-0000-0000-000088570000}"/>
    <cellStyle name="Normal 20 2 2 4 4" xfId="16286" xr:uid="{00000000-0005-0000-0000-000089570000}"/>
    <cellStyle name="Normal 20 2 2 4 4 2" xfId="29344" xr:uid="{00000000-0005-0000-0000-00008A570000}"/>
    <cellStyle name="Normal 20 2 2 4 5" xfId="22112" xr:uid="{00000000-0005-0000-0000-00008B570000}"/>
    <cellStyle name="Normal 20 2 2 5" xfId="9820" xr:uid="{00000000-0005-0000-0000-00008C570000}"/>
    <cellStyle name="Normal 20 2 2 5 2" xfId="16287" xr:uid="{00000000-0005-0000-0000-00008D570000}"/>
    <cellStyle name="Normal 20 2 2 5 2 2" xfId="29345" xr:uid="{00000000-0005-0000-0000-00008E570000}"/>
    <cellStyle name="Normal 20 2 2 5 3" xfId="16288" xr:uid="{00000000-0005-0000-0000-00008F570000}"/>
    <cellStyle name="Normal 20 2 2 5 3 2" xfId="29346" xr:uid="{00000000-0005-0000-0000-000090570000}"/>
    <cellStyle name="Normal 20 2 2 5 4" xfId="23190" xr:uid="{00000000-0005-0000-0000-000091570000}"/>
    <cellStyle name="Normal 20 2 2 6" xfId="16289" xr:uid="{00000000-0005-0000-0000-000092570000}"/>
    <cellStyle name="Normal 20 2 2 6 2" xfId="29347" xr:uid="{00000000-0005-0000-0000-000093570000}"/>
    <cellStyle name="Normal 20 2 2 7" xfId="16290" xr:uid="{00000000-0005-0000-0000-000094570000}"/>
    <cellStyle name="Normal 20 2 2 7 2" xfId="29348" xr:uid="{00000000-0005-0000-0000-000095570000}"/>
    <cellStyle name="Normal 20 2 2 8" xfId="21034" xr:uid="{00000000-0005-0000-0000-000096570000}"/>
    <cellStyle name="Normal 20 2 3" xfId="6611" xr:uid="{00000000-0005-0000-0000-000097570000}"/>
    <cellStyle name="Normal 20 2 3 2" xfId="7307" xr:uid="{00000000-0005-0000-0000-000098570000}"/>
    <cellStyle name="Normal 20 2 3 2 2" xfId="9186" xr:uid="{00000000-0005-0000-0000-000099570000}"/>
    <cellStyle name="Normal 20 2 3 2 2 2" xfId="11565" xr:uid="{00000000-0005-0000-0000-00009A570000}"/>
    <cellStyle name="Normal 20 2 3 2 2 2 2" xfId="16291" xr:uid="{00000000-0005-0000-0000-00009B570000}"/>
    <cellStyle name="Normal 20 2 3 2 2 2 2 2" xfId="29349" xr:uid="{00000000-0005-0000-0000-00009C570000}"/>
    <cellStyle name="Normal 20 2 3 2 2 2 3" xfId="16292" xr:uid="{00000000-0005-0000-0000-00009D570000}"/>
    <cellStyle name="Normal 20 2 3 2 2 2 3 2" xfId="29350" xr:uid="{00000000-0005-0000-0000-00009E570000}"/>
    <cellStyle name="Normal 20 2 3 2 2 2 4" xfId="24935" xr:uid="{00000000-0005-0000-0000-00009F570000}"/>
    <cellStyle name="Normal 20 2 3 2 2 3" xfId="16293" xr:uid="{00000000-0005-0000-0000-0000A0570000}"/>
    <cellStyle name="Normal 20 2 3 2 2 3 2" xfId="29351" xr:uid="{00000000-0005-0000-0000-0000A1570000}"/>
    <cellStyle name="Normal 20 2 3 2 2 4" xfId="16294" xr:uid="{00000000-0005-0000-0000-0000A2570000}"/>
    <cellStyle name="Normal 20 2 3 2 2 4 2" xfId="29352" xr:uid="{00000000-0005-0000-0000-0000A3570000}"/>
    <cellStyle name="Normal 20 2 3 2 2 5" xfId="22779" xr:uid="{00000000-0005-0000-0000-0000A4570000}"/>
    <cellStyle name="Normal 20 2 3 2 3" xfId="10487" xr:uid="{00000000-0005-0000-0000-0000A5570000}"/>
    <cellStyle name="Normal 20 2 3 2 3 2" xfId="16295" xr:uid="{00000000-0005-0000-0000-0000A6570000}"/>
    <cellStyle name="Normal 20 2 3 2 3 2 2" xfId="29353" xr:uid="{00000000-0005-0000-0000-0000A7570000}"/>
    <cellStyle name="Normal 20 2 3 2 3 3" xfId="16296" xr:uid="{00000000-0005-0000-0000-0000A8570000}"/>
    <cellStyle name="Normal 20 2 3 2 3 3 2" xfId="29354" xr:uid="{00000000-0005-0000-0000-0000A9570000}"/>
    <cellStyle name="Normal 20 2 3 2 3 4" xfId="23857" xr:uid="{00000000-0005-0000-0000-0000AA570000}"/>
    <cellStyle name="Normal 20 2 3 2 4" xfId="16297" xr:uid="{00000000-0005-0000-0000-0000AB570000}"/>
    <cellStyle name="Normal 20 2 3 2 4 2" xfId="29355" xr:uid="{00000000-0005-0000-0000-0000AC570000}"/>
    <cellStyle name="Normal 20 2 3 2 5" xfId="16298" xr:uid="{00000000-0005-0000-0000-0000AD570000}"/>
    <cellStyle name="Normal 20 2 3 2 5 2" xfId="29356" xr:uid="{00000000-0005-0000-0000-0000AE570000}"/>
    <cellStyle name="Normal 20 2 3 2 6" xfId="21701" xr:uid="{00000000-0005-0000-0000-0000AF570000}"/>
    <cellStyle name="Normal 20 2 3 3" xfId="8639" xr:uid="{00000000-0005-0000-0000-0000B0570000}"/>
    <cellStyle name="Normal 20 2 3 3 2" xfId="11025" xr:uid="{00000000-0005-0000-0000-0000B1570000}"/>
    <cellStyle name="Normal 20 2 3 3 2 2" xfId="16299" xr:uid="{00000000-0005-0000-0000-0000B2570000}"/>
    <cellStyle name="Normal 20 2 3 3 2 2 2" xfId="29357" xr:uid="{00000000-0005-0000-0000-0000B3570000}"/>
    <cellStyle name="Normal 20 2 3 3 2 3" xfId="16300" xr:uid="{00000000-0005-0000-0000-0000B4570000}"/>
    <cellStyle name="Normal 20 2 3 3 2 3 2" xfId="29358" xr:uid="{00000000-0005-0000-0000-0000B5570000}"/>
    <cellStyle name="Normal 20 2 3 3 2 4" xfId="24395" xr:uid="{00000000-0005-0000-0000-0000B6570000}"/>
    <cellStyle name="Normal 20 2 3 3 3" xfId="16301" xr:uid="{00000000-0005-0000-0000-0000B7570000}"/>
    <cellStyle name="Normal 20 2 3 3 3 2" xfId="29359" xr:uid="{00000000-0005-0000-0000-0000B8570000}"/>
    <cellStyle name="Normal 20 2 3 3 4" xfId="16302" xr:uid="{00000000-0005-0000-0000-0000B9570000}"/>
    <cellStyle name="Normal 20 2 3 3 4 2" xfId="29360" xr:uid="{00000000-0005-0000-0000-0000BA570000}"/>
    <cellStyle name="Normal 20 2 3 3 5" xfId="22239" xr:uid="{00000000-0005-0000-0000-0000BB570000}"/>
    <cellStyle name="Normal 20 2 3 4" xfId="9947" xr:uid="{00000000-0005-0000-0000-0000BC570000}"/>
    <cellStyle name="Normal 20 2 3 4 2" xfId="16303" xr:uid="{00000000-0005-0000-0000-0000BD570000}"/>
    <cellStyle name="Normal 20 2 3 4 2 2" xfId="29361" xr:uid="{00000000-0005-0000-0000-0000BE570000}"/>
    <cellStyle name="Normal 20 2 3 4 3" xfId="16304" xr:uid="{00000000-0005-0000-0000-0000BF570000}"/>
    <cellStyle name="Normal 20 2 3 4 3 2" xfId="29362" xr:uid="{00000000-0005-0000-0000-0000C0570000}"/>
    <cellStyle name="Normal 20 2 3 4 4" xfId="23317" xr:uid="{00000000-0005-0000-0000-0000C1570000}"/>
    <cellStyle name="Normal 20 2 3 5" xfId="16305" xr:uid="{00000000-0005-0000-0000-0000C2570000}"/>
    <cellStyle name="Normal 20 2 3 5 2" xfId="29363" xr:uid="{00000000-0005-0000-0000-0000C3570000}"/>
    <cellStyle name="Normal 20 2 3 6" xfId="16306" xr:uid="{00000000-0005-0000-0000-0000C4570000}"/>
    <cellStyle name="Normal 20 2 3 6 2" xfId="29364" xr:uid="{00000000-0005-0000-0000-0000C5570000}"/>
    <cellStyle name="Normal 20 2 3 7" xfId="21161" xr:uid="{00000000-0005-0000-0000-0000C6570000}"/>
    <cellStyle name="Normal 20 2 4" xfId="7037" xr:uid="{00000000-0005-0000-0000-0000C7570000}"/>
    <cellStyle name="Normal 20 2 4 2" xfId="8917" xr:uid="{00000000-0005-0000-0000-0000C8570000}"/>
    <cellStyle name="Normal 20 2 4 2 2" xfId="11296" xr:uid="{00000000-0005-0000-0000-0000C9570000}"/>
    <cellStyle name="Normal 20 2 4 2 2 2" xfId="16307" xr:uid="{00000000-0005-0000-0000-0000CA570000}"/>
    <cellStyle name="Normal 20 2 4 2 2 2 2" xfId="29365" xr:uid="{00000000-0005-0000-0000-0000CB570000}"/>
    <cellStyle name="Normal 20 2 4 2 2 3" xfId="16308" xr:uid="{00000000-0005-0000-0000-0000CC570000}"/>
    <cellStyle name="Normal 20 2 4 2 2 3 2" xfId="29366" xr:uid="{00000000-0005-0000-0000-0000CD570000}"/>
    <cellStyle name="Normal 20 2 4 2 2 4" xfId="24666" xr:uid="{00000000-0005-0000-0000-0000CE570000}"/>
    <cellStyle name="Normal 20 2 4 2 3" xfId="16309" xr:uid="{00000000-0005-0000-0000-0000CF570000}"/>
    <cellStyle name="Normal 20 2 4 2 3 2" xfId="29367" xr:uid="{00000000-0005-0000-0000-0000D0570000}"/>
    <cellStyle name="Normal 20 2 4 2 4" xfId="16310" xr:uid="{00000000-0005-0000-0000-0000D1570000}"/>
    <cellStyle name="Normal 20 2 4 2 4 2" xfId="29368" xr:uid="{00000000-0005-0000-0000-0000D2570000}"/>
    <cellStyle name="Normal 20 2 4 2 5" xfId="22510" xr:uid="{00000000-0005-0000-0000-0000D3570000}"/>
    <cellStyle name="Normal 20 2 4 3" xfId="10218" xr:uid="{00000000-0005-0000-0000-0000D4570000}"/>
    <cellStyle name="Normal 20 2 4 3 2" xfId="16311" xr:uid="{00000000-0005-0000-0000-0000D5570000}"/>
    <cellStyle name="Normal 20 2 4 3 2 2" xfId="29369" xr:uid="{00000000-0005-0000-0000-0000D6570000}"/>
    <cellStyle name="Normal 20 2 4 3 3" xfId="16312" xr:uid="{00000000-0005-0000-0000-0000D7570000}"/>
    <cellStyle name="Normal 20 2 4 3 3 2" xfId="29370" xr:uid="{00000000-0005-0000-0000-0000D8570000}"/>
    <cellStyle name="Normal 20 2 4 3 4" xfId="23588" xr:uid="{00000000-0005-0000-0000-0000D9570000}"/>
    <cellStyle name="Normal 20 2 4 4" xfId="16313" xr:uid="{00000000-0005-0000-0000-0000DA570000}"/>
    <cellStyle name="Normal 20 2 4 4 2" xfId="29371" xr:uid="{00000000-0005-0000-0000-0000DB570000}"/>
    <cellStyle name="Normal 20 2 4 5" xfId="16314" xr:uid="{00000000-0005-0000-0000-0000DC570000}"/>
    <cellStyle name="Normal 20 2 4 5 2" xfId="29372" xr:uid="{00000000-0005-0000-0000-0000DD570000}"/>
    <cellStyle name="Normal 20 2 4 6" xfId="21432" xr:uid="{00000000-0005-0000-0000-0000DE570000}"/>
    <cellStyle name="Normal 20 2 5" xfId="8241" xr:uid="{00000000-0005-0000-0000-0000DF570000}"/>
    <cellStyle name="Normal 20 2 5 2" xfId="10756" xr:uid="{00000000-0005-0000-0000-0000E0570000}"/>
    <cellStyle name="Normal 20 2 5 2 2" xfId="16315" xr:uid="{00000000-0005-0000-0000-0000E1570000}"/>
    <cellStyle name="Normal 20 2 5 2 2 2" xfId="29373" xr:uid="{00000000-0005-0000-0000-0000E2570000}"/>
    <cellStyle name="Normal 20 2 5 2 3" xfId="16316" xr:uid="{00000000-0005-0000-0000-0000E3570000}"/>
    <cellStyle name="Normal 20 2 5 2 3 2" xfId="29374" xr:uid="{00000000-0005-0000-0000-0000E4570000}"/>
    <cellStyle name="Normal 20 2 5 2 4" xfId="24126" xr:uid="{00000000-0005-0000-0000-0000E5570000}"/>
    <cellStyle name="Normal 20 2 5 3" xfId="16317" xr:uid="{00000000-0005-0000-0000-0000E6570000}"/>
    <cellStyle name="Normal 20 2 5 3 2" xfId="29375" xr:uid="{00000000-0005-0000-0000-0000E7570000}"/>
    <cellStyle name="Normal 20 2 5 4" xfId="16318" xr:uid="{00000000-0005-0000-0000-0000E8570000}"/>
    <cellStyle name="Normal 20 2 5 4 2" xfId="29376" xr:uid="{00000000-0005-0000-0000-0000E9570000}"/>
    <cellStyle name="Normal 20 2 5 5" xfId="21970" xr:uid="{00000000-0005-0000-0000-0000EA570000}"/>
    <cellStyle name="Normal 20 2 6" xfId="9677" xr:uid="{00000000-0005-0000-0000-0000EB570000}"/>
    <cellStyle name="Normal 20 2 6 2" xfId="16319" xr:uid="{00000000-0005-0000-0000-0000EC570000}"/>
    <cellStyle name="Normal 20 2 6 2 2" xfId="29377" xr:uid="{00000000-0005-0000-0000-0000ED570000}"/>
    <cellStyle name="Normal 20 2 6 3" xfId="16320" xr:uid="{00000000-0005-0000-0000-0000EE570000}"/>
    <cellStyle name="Normal 20 2 6 3 2" xfId="29378" xr:uid="{00000000-0005-0000-0000-0000EF570000}"/>
    <cellStyle name="Normal 20 2 6 4" xfId="23048" xr:uid="{00000000-0005-0000-0000-0000F0570000}"/>
    <cellStyle name="Normal 20 2 7" xfId="16321" xr:uid="{00000000-0005-0000-0000-0000F1570000}"/>
    <cellStyle name="Normal 20 2 7 2" xfId="29379" xr:uid="{00000000-0005-0000-0000-0000F2570000}"/>
    <cellStyle name="Normal 20 2 8" xfId="16322" xr:uid="{00000000-0005-0000-0000-0000F3570000}"/>
    <cellStyle name="Normal 20 2 8 2" xfId="29380" xr:uid="{00000000-0005-0000-0000-0000F4570000}"/>
    <cellStyle name="Normal 20 2 9" xfId="20891" xr:uid="{00000000-0005-0000-0000-0000F5570000}"/>
    <cellStyle name="Normal 20 3" xfId="5419" xr:uid="{00000000-0005-0000-0000-0000F6570000}"/>
    <cellStyle name="Normal 20 3 2" xfId="6702" xr:uid="{00000000-0005-0000-0000-0000F7570000}"/>
    <cellStyle name="Normal 20 3 2 2" xfId="7389" xr:uid="{00000000-0005-0000-0000-0000F8570000}"/>
    <cellStyle name="Normal 20 3 2 2 2" xfId="9268" xr:uid="{00000000-0005-0000-0000-0000F9570000}"/>
    <cellStyle name="Normal 20 3 2 2 2 2" xfId="11647" xr:uid="{00000000-0005-0000-0000-0000FA570000}"/>
    <cellStyle name="Normal 20 3 2 2 2 2 2" xfId="16323" xr:uid="{00000000-0005-0000-0000-0000FB570000}"/>
    <cellStyle name="Normal 20 3 2 2 2 2 2 2" xfId="29381" xr:uid="{00000000-0005-0000-0000-0000FC570000}"/>
    <cellStyle name="Normal 20 3 2 2 2 2 3" xfId="16324" xr:uid="{00000000-0005-0000-0000-0000FD570000}"/>
    <cellStyle name="Normal 20 3 2 2 2 2 3 2" xfId="29382" xr:uid="{00000000-0005-0000-0000-0000FE570000}"/>
    <cellStyle name="Normal 20 3 2 2 2 2 4" xfId="25017" xr:uid="{00000000-0005-0000-0000-0000FF570000}"/>
    <cellStyle name="Normal 20 3 2 2 2 3" xfId="16325" xr:uid="{00000000-0005-0000-0000-000000580000}"/>
    <cellStyle name="Normal 20 3 2 2 2 3 2" xfId="29383" xr:uid="{00000000-0005-0000-0000-000001580000}"/>
    <cellStyle name="Normal 20 3 2 2 2 4" xfId="16326" xr:uid="{00000000-0005-0000-0000-000002580000}"/>
    <cellStyle name="Normal 20 3 2 2 2 4 2" xfId="29384" xr:uid="{00000000-0005-0000-0000-000003580000}"/>
    <cellStyle name="Normal 20 3 2 2 2 5" xfId="22861" xr:uid="{00000000-0005-0000-0000-000004580000}"/>
    <cellStyle name="Normal 20 3 2 2 3" xfId="10569" xr:uid="{00000000-0005-0000-0000-000005580000}"/>
    <cellStyle name="Normal 20 3 2 2 3 2" xfId="16327" xr:uid="{00000000-0005-0000-0000-000006580000}"/>
    <cellStyle name="Normal 20 3 2 2 3 2 2" xfId="29385" xr:uid="{00000000-0005-0000-0000-000007580000}"/>
    <cellStyle name="Normal 20 3 2 2 3 3" xfId="16328" xr:uid="{00000000-0005-0000-0000-000008580000}"/>
    <cellStyle name="Normal 20 3 2 2 3 3 2" xfId="29386" xr:uid="{00000000-0005-0000-0000-000009580000}"/>
    <cellStyle name="Normal 20 3 2 2 3 4" xfId="23939" xr:uid="{00000000-0005-0000-0000-00000A580000}"/>
    <cellStyle name="Normal 20 3 2 2 4" xfId="16329" xr:uid="{00000000-0005-0000-0000-00000B580000}"/>
    <cellStyle name="Normal 20 3 2 2 4 2" xfId="29387" xr:uid="{00000000-0005-0000-0000-00000C580000}"/>
    <cellStyle name="Normal 20 3 2 2 5" xfId="16330" xr:uid="{00000000-0005-0000-0000-00000D580000}"/>
    <cellStyle name="Normal 20 3 2 2 5 2" xfId="29388" xr:uid="{00000000-0005-0000-0000-00000E580000}"/>
    <cellStyle name="Normal 20 3 2 2 6" xfId="21783" xr:uid="{00000000-0005-0000-0000-00000F580000}"/>
    <cellStyle name="Normal 20 3 2 3" xfId="8722" xr:uid="{00000000-0005-0000-0000-000010580000}"/>
    <cellStyle name="Normal 20 3 2 3 2" xfId="11107" xr:uid="{00000000-0005-0000-0000-000011580000}"/>
    <cellStyle name="Normal 20 3 2 3 2 2" xfId="16331" xr:uid="{00000000-0005-0000-0000-000012580000}"/>
    <cellStyle name="Normal 20 3 2 3 2 2 2" xfId="29389" xr:uid="{00000000-0005-0000-0000-000013580000}"/>
    <cellStyle name="Normal 20 3 2 3 2 3" xfId="16332" xr:uid="{00000000-0005-0000-0000-000014580000}"/>
    <cellStyle name="Normal 20 3 2 3 2 3 2" xfId="29390" xr:uid="{00000000-0005-0000-0000-000015580000}"/>
    <cellStyle name="Normal 20 3 2 3 2 4" xfId="24477" xr:uid="{00000000-0005-0000-0000-000016580000}"/>
    <cellStyle name="Normal 20 3 2 3 3" xfId="16333" xr:uid="{00000000-0005-0000-0000-000017580000}"/>
    <cellStyle name="Normal 20 3 2 3 3 2" xfId="29391" xr:uid="{00000000-0005-0000-0000-000018580000}"/>
    <cellStyle name="Normal 20 3 2 3 4" xfId="16334" xr:uid="{00000000-0005-0000-0000-000019580000}"/>
    <cellStyle name="Normal 20 3 2 3 4 2" xfId="29392" xr:uid="{00000000-0005-0000-0000-00001A580000}"/>
    <cellStyle name="Normal 20 3 2 3 5" xfId="22321" xr:uid="{00000000-0005-0000-0000-00001B580000}"/>
    <cellStyle name="Normal 20 3 2 4" xfId="10029" xr:uid="{00000000-0005-0000-0000-00001C580000}"/>
    <cellStyle name="Normal 20 3 2 4 2" xfId="16335" xr:uid="{00000000-0005-0000-0000-00001D580000}"/>
    <cellStyle name="Normal 20 3 2 4 2 2" xfId="29393" xr:uid="{00000000-0005-0000-0000-00001E580000}"/>
    <cellStyle name="Normal 20 3 2 4 3" xfId="16336" xr:uid="{00000000-0005-0000-0000-00001F580000}"/>
    <cellStyle name="Normal 20 3 2 4 3 2" xfId="29394" xr:uid="{00000000-0005-0000-0000-000020580000}"/>
    <cellStyle name="Normal 20 3 2 4 4" xfId="23399" xr:uid="{00000000-0005-0000-0000-000021580000}"/>
    <cellStyle name="Normal 20 3 2 5" xfId="16337" xr:uid="{00000000-0005-0000-0000-000022580000}"/>
    <cellStyle name="Normal 20 3 2 5 2" xfId="29395" xr:uid="{00000000-0005-0000-0000-000023580000}"/>
    <cellStyle name="Normal 20 3 2 6" xfId="16338" xr:uid="{00000000-0005-0000-0000-000024580000}"/>
    <cellStyle name="Normal 20 3 2 6 2" xfId="29396" xr:uid="{00000000-0005-0000-0000-000025580000}"/>
    <cellStyle name="Normal 20 3 2 7" xfId="21243" xr:uid="{00000000-0005-0000-0000-000026580000}"/>
    <cellStyle name="Normal 20 3 3" xfId="7120" xr:uid="{00000000-0005-0000-0000-000027580000}"/>
    <cellStyle name="Normal 20 3 3 2" xfId="8999" xr:uid="{00000000-0005-0000-0000-000028580000}"/>
    <cellStyle name="Normal 20 3 3 2 2" xfId="11378" xr:uid="{00000000-0005-0000-0000-000029580000}"/>
    <cellStyle name="Normal 20 3 3 2 2 2" xfId="16339" xr:uid="{00000000-0005-0000-0000-00002A580000}"/>
    <cellStyle name="Normal 20 3 3 2 2 2 2" xfId="29397" xr:uid="{00000000-0005-0000-0000-00002B580000}"/>
    <cellStyle name="Normal 20 3 3 2 2 3" xfId="16340" xr:uid="{00000000-0005-0000-0000-00002C580000}"/>
    <cellStyle name="Normal 20 3 3 2 2 3 2" xfId="29398" xr:uid="{00000000-0005-0000-0000-00002D580000}"/>
    <cellStyle name="Normal 20 3 3 2 2 4" xfId="24748" xr:uid="{00000000-0005-0000-0000-00002E580000}"/>
    <cellStyle name="Normal 20 3 3 2 3" xfId="16341" xr:uid="{00000000-0005-0000-0000-00002F580000}"/>
    <cellStyle name="Normal 20 3 3 2 3 2" xfId="29399" xr:uid="{00000000-0005-0000-0000-000030580000}"/>
    <cellStyle name="Normal 20 3 3 2 4" xfId="16342" xr:uid="{00000000-0005-0000-0000-000031580000}"/>
    <cellStyle name="Normal 20 3 3 2 4 2" xfId="29400" xr:uid="{00000000-0005-0000-0000-000032580000}"/>
    <cellStyle name="Normal 20 3 3 2 5" xfId="22592" xr:uid="{00000000-0005-0000-0000-000033580000}"/>
    <cellStyle name="Normal 20 3 3 3" xfId="10300" xr:uid="{00000000-0005-0000-0000-000034580000}"/>
    <cellStyle name="Normal 20 3 3 3 2" xfId="16343" xr:uid="{00000000-0005-0000-0000-000035580000}"/>
    <cellStyle name="Normal 20 3 3 3 2 2" xfId="29401" xr:uid="{00000000-0005-0000-0000-000036580000}"/>
    <cellStyle name="Normal 20 3 3 3 3" xfId="16344" xr:uid="{00000000-0005-0000-0000-000037580000}"/>
    <cellStyle name="Normal 20 3 3 3 3 2" xfId="29402" xr:uid="{00000000-0005-0000-0000-000038580000}"/>
    <cellStyle name="Normal 20 3 3 3 4" xfId="23670" xr:uid="{00000000-0005-0000-0000-000039580000}"/>
    <cellStyle name="Normal 20 3 3 4" xfId="16345" xr:uid="{00000000-0005-0000-0000-00003A580000}"/>
    <cellStyle name="Normal 20 3 3 4 2" xfId="29403" xr:uid="{00000000-0005-0000-0000-00003B580000}"/>
    <cellStyle name="Normal 20 3 3 5" xfId="16346" xr:uid="{00000000-0005-0000-0000-00003C580000}"/>
    <cellStyle name="Normal 20 3 3 5 2" xfId="29404" xr:uid="{00000000-0005-0000-0000-00003D580000}"/>
    <cellStyle name="Normal 20 3 3 6" xfId="21514" xr:uid="{00000000-0005-0000-0000-00003E580000}"/>
    <cellStyle name="Normal 20 3 4" xfId="8390" xr:uid="{00000000-0005-0000-0000-00003F580000}"/>
    <cellStyle name="Normal 20 3 4 2" xfId="10838" xr:uid="{00000000-0005-0000-0000-000040580000}"/>
    <cellStyle name="Normal 20 3 4 2 2" xfId="16347" xr:uid="{00000000-0005-0000-0000-000041580000}"/>
    <cellStyle name="Normal 20 3 4 2 2 2" xfId="29405" xr:uid="{00000000-0005-0000-0000-000042580000}"/>
    <cellStyle name="Normal 20 3 4 2 3" xfId="16348" xr:uid="{00000000-0005-0000-0000-000043580000}"/>
    <cellStyle name="Normal 20 3 4 2 3 2" xfId="29406" xr:uid="{00000000-0005-0000-0000-000044580000}"/>
    <cellStyle name="Normal 20 3 4 2 4" xfId="24208" xr:uid="{00000000-0005-0000-0000-000045580000}"/>
    <cellStyle name="Normal 20 3 4 3" xfId="16349" xr:uid="{00000000-0005-0000-0000-000046580000}"/>
    <cellStyle name="Normal 20 3 4 3 2" xfId="29407" xr:uid="{00000000-0005-0000-0000-000047580000}"/>
    <cellStyle name="Normal 20 3 4 4" xfId="16350" xr:uid="{00000000-0005-0000-0000-000048580000}"/>
    <cellStyle name="Normal 20 3 4 4 2" xfId="29408" xr:uid="{00000000-0005-0000-0000-000049580000}"/>
    <cellStyle name="Normal 20 3 4 5" xfId="22052" xr:uid="{00000000-0005-0000-0000-00004A580000}"/>
    <cellStyle name="Normal 20 3 5" xfId="9760" xr:uid="{00000000-0005-0000-0000-00004B580000}"/>
    <cellStyle name="Normal 20 3 5 2" xfId="16351" xr:uid="{00000000-0005-0000-0000-00004C580000}"/>
    <cellStyle name="Normal 20 3 5 2 2" xfId="29409" xr:uid="{00000000-0005-0000-0000-00004D580000}"/>
    <cellStyle name="Normal 20 3 5 3" xfId="16352" xr:uid="{00000000-0005-0000-0000-00004E580000}"/>
    <cellStyle name="Normal 20 3 5 3 2" xfId="29410" xr:uid="{00000000-0005-0000-0000-00004F580000}"/>
    <cellStyle name="Normal 20 3 5 4" xfId="23130" xr:uid="{00000000-0005-0000-0000-000050580000}"/>
    <cellStyle name="Normal 20 3 6" xfId="16353" xr:uid="{00000000-0005-0000-0000-000051580000}"/>
    <cellStyle name="Normal 20 3 6 2" xfId="29411" xr:uid="{00000000-0005-0000-0000-000052580000}"/>
    <cellStyle name="Normal 20 3 7" xfId="16354" xr:uid="{00000000-0005-0000-0000-000053580000}"/>
    <cellStyle name="Normal 20 3 7 2" xfId="29412" xr:uid="{00000000-0005-0000-0000-000054580000}"/>
    <cellStyle name="Normal 20 3 8" xfId="20974" xr:uid="{00000000-0005-0000-0000-000055580000}"/>
    <cellStyle name="Normal 20 4" xfId="6551" xr:uid="{00000000-0005-0000-0000-000056580000}"/>
    <cellStyle name="Normal 20 4 2" xfId="7252" xr:uid="{00000000-0005-0000-0000-000057580000}"/>
    <cellStyle name="Normal 20 4 2 2" xfId="9131" xr:uid="{00000000-0005-0000-0000-000058580000}"/>
    <cellStyle name="Normal 20 4 2 2 2" xfId="11510" xr:uid="{00000000-0005-0000-0000-000059580000}"/>
    <cellStyle name="Normal 20 4 2 2 2 2" xfId="16355" xr:uid="{00000000-0005-0000-0000-00005A580000}"/>
    <cellStyle name="Normal 20 4 2 2 2 2 2" xfId="29413" xr:uid="{00000000-0005-0000-0000-00005B580000}"/>
    <cellStyle name="Normal 20 4 2 2 2 3" xfId="16356" xr:uid="{00000000-0005-0000-0000-00005C580000}"/>
    <cellStyle name="Normal 20 4 2 2 2 3 2" xfId="29414" xr:uid="{00000000-0005-0000-0000-00005D580000}"/>
    <cellStyle name="Normal 20 4 2 2 2 4" xfId="24880" xr:uid="{00000000-0005-0000-0000-00005E580000}"/>
    <cellStyle name="Normal 20 4 2 2 3" xfId="16357" xr:uid="{00000000-0005-0000-0000-00005F580000}"/>
    <cellStyle name="Normal 20 4 2 2 3 2" xfId="29415" xr:uid="{00000000-0005-0000-0000-000060580000}"/>
    <cellStyle name="Normal 20 4 2 2 4" xfId="16358" xr:uid="{00000000-0005-0000-0000-000061580000}"/>
    <cellStyle name="Normal 20 4 2 2 4 2" xfId="29416" xr:uid="{00000000-0005-0000-0000-000062580000}"/>
    <cellStyle name="Normal 20 4 2 2 5" xfId="22724" xr:uid="{00000000-0005-0000-0000-000063580000}"/>
    <cellStyle name="Normal 20 4 2 3" xfId="10432" xr:uid="{00000000-0005-0000-0000-000064580000}"/>
    <cellStyle name="Normal 20 4 2 3 2" xfId="16359" xr:uid="{00000000-0005-0000-0000-000065580000}"/>
    <cellStyle name="Normal 20 4 2 3 2 2" xfId="29417" xr:uid="{00000000-0005-0000-0000-000066580000}"/>
    <cellStyle name="Normal 20 4 2 3 3" xfId="16360" xr:uid="{00000000-0005-0000-0000-000067580000}"/>
    <cellStyle name="Normal 20 4 2 3 3 2" xfId="29418" xr:uid="{00000000-0005-0000-0000-000068580000}"/>
    <cellStyle name="Normal 20 4 2 3 4" xfId="23802" xr:uid="{00000000-0005-0000-0000-000069580000}"/>
    <cellStyle name="Normal 20 4 2 4" xfId="16361" xr:uid="{00000000-0005-0000-0000-00006A580000}"/>
    <cellStyle name="Normal 20 4 2 4 2" xfId="29419" xr:uid="{00000000-0005-0000-0000-00006B580000}"/>
    <cellStyle name="Normal 20 4 2 5" xfId="16362" xr:uid="{00000000-0005-0000-0000-00006C580000}"/>
    <cellStyle name="Normal 20 4 2 5 2" xfId="29420" xr:uid="{00000000-0005-0000-0000-00006D580000}"/>
    <cellStyle name="Normal 20 4 2 6" xfId="21646" xr:uid="{00000000-0005-0000-0000-00006E580000}"/>
    <cellStyle name="Normal 20 4 3" xfId="8584" xr:uid="{00000000-0005-0000-0000-00006F580000}"/>
    <cellStyle name="Normal 20 4 3 2" xfId="10970" xr:uid="{00000000-0005-0000-0000-000070580000}"/>
    <cellStyle name="Normal 20 4 3 2 2" xfId="16363" xr:uid="{00000000-0005-0000-0000-000071580000}"/>
    <cellStyle name="Normal 20 4 3 2 2 2" xfId="29421" xr:uid="{00000000-0005-0000-0000-000072580000}"/>
    <cellStyle name="Normal 20 4 3 2 3" xfId="16364" xr:uid="{00000000-0005-0000-0000-000073580000}"/>
    <cellStyle name="Normal 20 4 3 2 3 2" xfId="29422" xr:uid="{00000000-0005-0000-0000-000074580000}"/>
    <cellStyle name="Normal 20 4 3 2 4" xfId="24340" xr:uid="{00000000-0005-0000-0000-000075580000}"/>
    <cellStyle name="Normal 20 4 3 3" xfId="16365" xr:uid="{00000000-0005-0000-0000-000076580000}"/>
    <cellStyle name="Normal 20 4 3 3 2" xfId="29423" xr:uid="{00000000-0005-0000-0000-000077580000}"/>
    <cellStyle name="Normal 20 4 3 4" xfId="16366" xr:uid="{00000000-0005-0000-0000-000078580000}"/>
    <cellStyle name="Normal 20 4 3 4 2" xfId="29424" xr:uid="{00000000-0005-0000-0000-000079580000}"/>
    <cellStyle name="Normal 20 4 3 5" xfId="22184" xr:uid="{00000000-0005-0000-0000-00007A580000}"/>
    <cellStyle name="Normal 20 4 4" xfId="9892" xr:uid="{00000000-0005-0000-0000-00007B580000}"/>
    <cellStyle name="Normal 20 4 4 2" xfId="16367" xr:uid="{00000000-0005-0000-0000-00007C580000}"/>
    <cellStyle name="Normal 20 4 4 2 2" xfId="29425" xr:uid="{00000000-0005-0000-0000-00007D580000}"/>
    <cellStyle name="Normal 20 4 4 3" xfId="16368" xr:uid="{00000000-0005-0000-0000-00007E580000}"/>
    <cellStyle name="Normal 20 4 4 3 2" xfId="29426" xr:uid="{00000000-0005-0000-0000-00007F580000}"/>
    <cellStyle name="Normal 20 4 4 4" xfId="23262" xr:uid="{00000000-0005-0000-0000-000080580000}"/>
    <cellStyle name="Normal 20 4 5" xfId="16369" xr:uid="{00000000-0005-0000-0000-000081580000}"/>
    <cellStyle name="Normal 20 4 5 2" xfId="29427" xr:uid="{00000000-0005-0000-0000-000082580000}"/>
    <cellStyle name="Normal 20 4 6" xfId="16370" xr:uid="{00000000-0005-0000-0000-000083580000}"/>
    <cellStyle name="Normal 20 4 6 2" xfId="29428" xr:uid="{00000000-0005-0000-0000-000084580000}"/>
    <cellStyle name="Normal 20 4 7" xfId="21106" xr:uid="{00000000-0005-0000-0000-000085580000}"/>
    <cellStyle name="Normal 20 5" xfId="6982" xr:uid="{00000000-0005-0000-0000-000086580000}"/>
    <cellStyle name="Normal 20 5 2" xfId="8862" xr:uid="{00000000-0005-0000-0000-000087580000}"/>
    <cellStyle name="Normal 20 5 2 2" xfId="11241" xr:uid="{00000000-0005-0000-0000-000088580000}"/>
    <cellStyle name="Normal 20 5 2 2 2" xfId="16371" xr:uid="{00000000-0005-0000-0000-000089580000}"/>
    <cellStyle name="Normal 20 5 2 2 2 2" xfId="29429" xr:uid="{00000000-0005-0000-0000-00008A580000}"/>
    <cellStyle name="Normal 20 5 2 2 3" xfId="16372" xr:uid="{00000000-0005-0000-0000-00008B580000}"/>
    <cellStyle name="Normal 20 5 2 2 3 2" xfId="29430" xr:uid="{00000000-0005-0000-0000-00008C580000}"/>
    <cellStyle name="Normal 20 5 2 2 4" xfId="24611" xr:uid="{00000000-0005-0000-0000-00008D580000}"/>
    <cellStyle name="Normal 20 5 2 3" xfId="16373" xr:uid="{00000000-0005-0000-0000-00008E580000}"/>
    <cellStyle name="Normal 20 5 2 3 2" xfId="29431" xr:uid="{00000000-0005-0000-0000-00008F580000}"/>
    <cellStyle name="Normal 20 5 2 4" xfId="16374" xr:uid="{00000000-0005-0000-0000-000090580000}"/>
    <cellStyle name="Normal 20 5 2 4 2" xfId="29432" xr:uid="{00000000-0005-0000-0000-000091580000}"/>
    <cellStyle name="Normal 20 5 2 5" xfId="22455" xr:uid="{00000000-0005-0000-0000-000092580000}"/>
    <cellStyle name="Normal 20 5 3" xfId="10163" xr:uid="{00000000-0005-0000-0000-000093580000}"/>
    <cellStyle name="Normal 20 5 3 2" xfId="16375" xr:uid="{00000000-0005-0000-0000-000094580000}"/>
    <cellStyle name="Normal 20 5 3 2 2" xfId="29433" xr:uid="{00000000-0005-0000-0000-000095580000}"/>
    <cellStyle name="Normal 20 5 3 3" xfId="16376" xr:uid="{00000000-0005-0000-0000-000096580000}"/>
    <cellStyle name="Normal 20 5 3 3 2" xfId="29434" xr:uid="{00000000-0005-0000-0000-000097580000}"/>
    <cellStyle name="Normal 20 5 3 4" xfId="23533" xr:uid="{00000000-0005-0000-0000-000098580000}"/>
    <cellStyle name="Normal 20 5 4" xfId="16377" xr:uid="{00000000-0005-0000-0000-000099580000}"/>
    <cellStyle name="Normal 20 5 4 2" xfId="29435" xr:uid="{00000000-0005-0000-0000-00009A580000}"/>
    <cellStyle name="Normal 20 5 5" xfId="16378" xr:uid="{00000000-0005-0000-0000-00009B580000}"/>
    <cellStyle name="Normal 20 5 5 2" xfId="29436" xr:uid="{00000000-0005-0000-0000-00009C580000}"/>
    <cellStyle name="Normal 20 5 6" xfId="21377" xr:uid="{00000000-0005-0000-0000-00009D580000}"/>
    <cellStyle name="Normal 20 6" xfId="8159" xr:uid="{00000000-0005-0000-0000-00009E580000}"/>
    <cellStyle name="Normal 20 6 2" xfId="10701" xr:uid="{00000000-0005-0000-0000-00009F580000}"/>
    <cellStyle name="Normal 20 6 2 2" xfId="16379" xr:uid="{00000000-0005-0000-0000-0000A0580000}"/>
    <cellStyle name="Normal 20 6 2 2 2" xfId="29437" xr:uid="{00000000-0005-0000-0000-0000A1580000}"/>
    <cellStyle name="Normal 20 6 2 3" xfId="16380" xr:uid="{00000000-0005-0000-0000-0000A2580000}"/>
    <cellStyle name="Normal 20 6 2 3 2" xfId="29438" xr:uid="{00000000-0005-0000-0000-0000A3580000}"/>
    <cellStyle name="Normal 20 6 2 4" xfId="24071" xr:uid="{00000000-0005-0000-0000-0000A4580000}"/>
    <cellStyle name="Normal 20 6 3" xfId="16381" xr:uid="{00000000-0005-0000-0000-0000A5580000}"/>
    <cellStyle name="Normal 20 6 3 2" xfId="29439" xr:uid="{00000000-0005-0000-0000-0000A6580000}"/>
    <cellStyle name="Normal 20 6 4" xfId="16382" xr:uid="{00000000-0005-0000-0000-0000A7580000}"/>
    <cellStyle name="Normal 20 6 4 2" xfId="29440" xr:uid="{00000000-0005-0000-0000-0000A8580000}"/>
    <cellStyle name="Normal 20 6 5" xfId="21915" xr:uid="{00000000-0005-0000-0000-0000A9580000}"/>
    <cellStyle name="Normal 20 7" xfId="9622" xr:uid="{00000000-0005-0000-0000-0000AA580000}"/>
    <cellStyle name="Normal 20 7 2" xfId="16383" xr:uid="{00000000-0005-0000-0000-0000AB580000}"/>
    <cellStyle name="Normal 20 7 2 2" xfId="29441" xr:uid="{00000000-0005-0000-0000-0000AC580000}"/>
    <cellStyle name="Normal 20 7 3" xfId="16384" xr:uid="{00000000-0005-0000-0000-0000AD580000}"/>
    <cellStyle name="Normal 20 7 3 2" xfId="29442" xr:uid="{00000000-0005-0000-0000-0000AE580000}"/>
    <cellStyle name="Normal 20 7 4" xfId="22993" xr:uid="{00000000-0005-0000-0000-0000AF580000}"/>
    <cellStyle name="Normal 20 8" xfId="16385" xr:uid="{00000000-0005-0000-0000-0000B0580000}"/>
    <cellStyle name="Normal 20 8 2" xfId="29443" xr:uid="{00000000-0005-0000-0000-0000B1580000}"/>
    <cellStyle name="Normal 20 9" xfId="16386" xr:uid="{00000000-0005-0000-0000-0000B2580000}"/>
    <cellStyle name="Normal 20 9 2" xfId="29444" xr:uid="{00000000-0005-0000-0000-0000B3580000}"/>
    <cellStyle name="Normal 21" xfId="2981" xr:uid="{00000000-0005-0000-0000-0000B4580000}"/>
    <cellStyle name="Normal 21 10" xfId="16387" xr:uid="{00000000-0005-0000-0000-0000B5580000}"/>
    <cellStyle name="Normal 21 10 2" xfId="29445" xr:uid="{00000000-0005-0000-0000-0000B6580000}"/>
    <cellStyle name="Normal 21 11" xfId="16388" xr:uid="{00000000-0005-0000-0000-0000B7580000}"/>
    <cellStyle name="Normal 21 11 2" xfId="29446" xr:uid="{00000000-0005-0000-0000-0000B8580000}"/>
    <cellStyle name="Normal 21 12" xfId="20828" xr:uid="{00000000-0005-0000-0000-0000B9580000}"/>
    <cellStyle name="Normal 21 2" xfId="3600" xr:uid="{00000000-0005-0000-0000-0000BA580000}"/>
    <cellStyle name="Normal 21 2 10" xfId="20843" xr:uid="{00000000-0005-0000-0000-0000BB580000}"/>
    <cellStyle name="Normal 21 2 2" xfId="4081" xr:uid="{00000000-0005-0000-0000-0000BC580000}"/>
    <cellStyle name="Normal 21 2 2 2" xfId="5617" xr:uid="{00000000-0005-0000-0000-0000BD580000}"/>
    <cellStyle name="Normal 21 2 2 2 2" xfId="6769" xr:uid="{00000000-0005-0000-0000-0000BE580000}"/>
    <cellStyle name="Normal 21 2 2 2 2 2" xfId="7456" xr:uid="{00000000-0005-0000-0000-0000BF580000}"/>
    <cellStyle name="Normal 21 2 2 2 2 2 2" xfId="9335" xr:uid="{00000000-0005-0000-0000-0000C0580000}"/>
    <cellStyle name="Normal 21 2 2 2 2 2 2 2" xfId="11714" xr:uid="{00000000-0005-0000-0000-0000C1580000}"/>
    <cellStyle name="Normal 21 2 2 2 2 2 2 2 2" xfId="16389" xr:uid="{00000000-0005-0000-0000-0000C2580000}"/>
    <cellStyle name="Normal 21 2 2 2 2 2 2 2 2 2" xfId="29447" xr:uid="{00000000-0005-0000-0000-0000C3580000}"/>
    <cellStyle name="Normal 21 2 2 2 2 2 2 2 3" xfId="16390" xr:uid="{00000000-0005-0000-0000-0000C4580000}"/>
    <cellStyle name="Normal 21 2 2 2 2 2 2 2 3 2" xfId="29448" xr:uid="{00000000-0005-0000-0000-0000C5580000}"/>
    <cellStyle name="Normal 21 2 2 2 2 2 2 2 4" xfId="25084" xr:uid="{00000000-0005-0000-0000-0000C6580000}"/>
    <cellStyle name="Normal 21 2 2 2 2 2 2 3" xfId="16391" xr:uid="{00000000-0005-0000-0000-0000C7580000}"/>
    <cellStyle name="Normal 21 2 2 2 2 2 2 3 2" xfId="29449" xr:uid="{00000000-0005-0000-0000-0000C8580000}"/>
    <cellStyle name="Normal 21 2 2 2 2 2 2 4" xfId="16392" xr:uid="{00000000-0005-0000-0000-0000C9580000}"/>
    <cellStyle name="Normal 21 2 2 2 2 2 2 4 2" xfId="29450" xr:uid="{00000000-0005-0000-0000-0000CA580000}"/>
    <cellStyle name="Normal 21 2 2 2 2 2 2 5" xfId="22928" xr:uid="{00000000-0005-0000-0000-0000CB580000}"/>
    <cellStyle name="Normal 21 2 2 2 2 2 3" xfId="10636" xr:uid="{00000000-0005-0000-0000-0000CC580000}"/>
    <cellStyle name="Normal 21 2 2 2 2 2 3 2" xfId="16393" xr:uid="{00000000-0005-0000-0000-0000CD580000}"/>
    <cellStyle name="Normal 21 2 2 2 2 2 3 2 2" xfId="29451" xr:uid="{00000000-0005-0000-0000-0000CE580000}"/>
    <cellStyle name="Normal 21 2 2 2 2 2 3 3" xfId="16394" xr:uid="{00000000-0005-0000-0000-0000CF580000}"/>
    <cellStyle name="Normal 21 2 2 2 2 2 3 3 2" xfId="29452" xr:uid="{00000000-0005-0000-0000-0000D0580000}"/>
    <cellStyle name="Normal 21 2 2 2 2 2 3 4" xfId="24006" xr:uid="{00000000-0005-0000-0000-0000D1580000}"/>
    <cellStyle name="Normal 21 2 2 2 2 2 4" xfId="16395" xr:uid="{00000000-0005-0000-0000-0000D2580000}"/>
    <cellStyle name="Normal 21 2 2 2 2 2 4 2" xfId="29453" xr:uid="{00000000-0005-0000-0000-0000D3580000}"/>
    <cellStyle name="Normal 21 2 2 2 2 2 5" xfId="16396" xr:uid="{00000000-0005-0000-0000-0000D4580000}"/>
    <cellStyle name="Normal 21 2 2 2 2 2 5 2" xfId="29454" xr:uid="{00000000-0005-0000-0000-0000D5580000}"/>
    <cellStyle name="Normal 21 2 2 2 2 2 6" xfId="21850" xr:uid="{00000000-0005-0000-0000-0000D6580000}"/>
    <cellStyle name="Normal 21 2 2 2 2 3" xfId="8789" xr:uid="{00000000-0005-0000-0000-0000D7580000}"/>
    <cellStyle name="Normal 21 2 2 2 2 3 2" xfId="11174" xr:uid="{00000000-0005-0000-0000-0000D8580000}"/>
    <cellStyle name="Normal 21 2 2 2 2 3 2 2" xfId="16397" xr:uid="{00000000-0005-0000-0000-0000D9580000}"/>
    <cellStyle name="Normal 21 2 2 2 2 3 2 2 2" xfId="29455" xr:uid="{00000000-0005-0000-0000-0000DA580000}"/>
    <cellStyle name="Normal 21 2 2 2 2 3 2 3" xfId="16398" xr:uid="{00000000-0005-0000-0000-0000DB580000}"/>
    <cellStyle name="Normal 21 2 2 2 2 3 2 3 2" xfId="29456" xr:uid="{00000000-0005-0000-0000-0000DC580000}"/>
    <cellStyle name="Normal 21 2 2 2 2 3 2 4" xfId="24544" xr:uid="{00000000-0005-0000-0000-0000DD580000}"/>
    <cellStyle name="Normal 21 2 2 2 2 3 3" xfId="16399" xr:uid="{00000000-0005-0000-0000-0000DE580000}"/>
    <cellStyle name="Normal 21 2 2 2 2 3 3 2" xfId="29457" xr:uid="{00000000-0005-0000-0000-0000DF580000}"/>
    <cellStyle name="Normal 21 2 2 2 2 3 4" xfId="16400" xr:uid="{00000000-0005-0000-0000-0000E0580000}"/>
    <cellStyle name="Normal 21 2 2 2 2 3 4 2" xfId="29458" xr:uid="{00000000-0005-0000-0000-0000E1580000}"/>
    <cellStyle name="Normal 21 2 2 2 2 3 5" xfId="22388" xr:uid="{00000000-0005-0000-0000-0000E2580000}"/>
    <cellStyle name="Normal 21 2 2 2 2 4" xfId="10096" xr:uid="{00000000-0005-0000-0000-0000E3580000}"/>
    <cellStyle name="Normal 21 2 2 2 2 4 2" xfId="16401" xr:uid="{00000000-0005-0000-0000-0000E4580000}"/>
    <cellStyle name="Normal 21 2 2 2 2 4 2 2" xfId="29459" xr:uid="{00000000-0005-0000-0000-0000E5580000}"/>
    <cellStyle name="Normal 21 2 2 2 2 4 3" xfId="16402" xr:uid="{00000000-0005-0000-0000-0000E6580000}"/>
    <cellStyle name="Normal 21 2 2 2 2 4 3 2" xfId="29460" xr:uid="{00000000-0005-0000-0000-0000E7580000}"/>
    <cellStyle name="Normal 21 2 2 2 2 4 4" xfId="23466" xr:uid="{00000000-0005-0000-0000-0000E8580000}"/>
    <cellStyle name="Normal 21 2 2 2 2 5" xfId="16403" xr:uid="{00000000-0005-0000-0000-0000E9580000}"/>
    <cellStyle name="Normal 21 2 2 2 2 5 2" xfId="29461" xr:uid="{00000000-0005-0000-0000-0000EA580000}"/>
    <cellStyle name="Normal 21 2 2 2 2 6" xfId="16404" xr:uid="{00000000-0005-0000-0000-0000EB580000}"/>
    <cellStyle name="Normal 21 2 2 2 2 6 2" xfId="29462" xr:uid="{00000000-0005-0000-0000-0000EC580000}"/>
    <cellStyle name="Normal 21 2 2 2 2 7" xfId="21310" xr:uid="{00000000-0005-0000-0000-0000ED580000}"/>
    <cellStyle name="Normal 21 2 2 2 3" xfId="7187" xr:uid="{00000000-0005-0000-0000-0000EE580000}"/>
    <cellStyle name="Normal 21 2 2 2 3 2" xfId="9066" xr:uid="{00000000-0005-0000-0000-0000EF580000}"/>
    <cellStyle name="Normal 21 2 2 2 3 2 2" xfId="11445" xr:uid="{00000000-0005-0000-0000-0000F0580000}"/>
    <cellStyle name="Normal 21 2 2 2 3 2 2 2" xfId="16405" xr:uid="{00000000-0005-0000-0000-0000F1580000}"/>
    <cellStyle name="Normal 21 2 2 2 3 2 2 2 2" xfId="29463" xr:uid="{00000000-0005-0000-0000-0000F2580000}"/>
    <cellStyle name="Normal 21 2 2 2 3 2 2 3" xfId="16406" xr:uid="{00000000-0005-0000-0000-0000F3580000}"/>
    <cellStyle name="Normal 21 2 2 2 3 2 2 3 2" xfId="29464" xr:uid="{00000000-0005-0000-0000-0000F4580000}"/>
    <cellStyle name="Normal 21 2 2 2 3 2 2 4" xfId="24815" xr:uid="{00000000-0005-0000-0000-0000F5580000}"/>
    <cellStyle name="Normal 21 2 2 2 3 2 3" xfId="16407" xr:uid="{00000000-0005-0000-0000-0000F6580000}"/>
    <cellStyle name="Normal 21 2 2 2 3 2 3 2" xfId="29465" xr:uid="{00000000-0005-0000-0000-0000F7580000}"/>
    <cellStyle name="Normal 21 2 2 2 3 2 4" xfId="16408" xr:uid="{00000000-0005-0000-0000-0000F8580000}"/>
    <cellStyle name="Normal 21 2 2 2 3 2 4 2" xfId="29466" xr:uid="{00000000-0005-0000-0000-0000F9580000}"/>
    <cellStyle name="Normal 21 2 2 2 3 2 5" xfId="22659" xr:uid="{00000000-0005-0000-0000-0000FA580000}"/>
    <cellStyle name="Normal 21 2 2 2 3 3" xfId="10367" xr:uid="{00000000-0005-0000-0000-0000FB580000}"/>
    <cellStyle name="Normal 21 2 2 2 3 3 2" xfId="16409" xr:uid="{00000000-0005-0000-0000-0000FC580000}"/>
    <cellStyle name="Normal 21 2 2 2 3 3 2 2" xfId="29467" xr:uid="{00000000-0005-0000-0000-0000FD580000}"/>
    <cellStyle name="Normal 21 2 2 2 3 3 3" xfId="16410" xr:uid="{00000000-0005-0000-0000-0000FE580000}"/>
    <cellStyle name="Normal 21 2 2 2 3 3 3 2" xfId="29468" xr:uid="{00000000-0005-0000-0000-0000FF580000}"/>
    <cellStyle name="Normal 21 2 2 2 3 3 4" xfId="23737" xr:uid="{00000000-0005-0000-0000-000000590000}"/>
    <cellStyle name="Normal 21 2 2 2 3 4" xfId="16411" xr:uid="{00000000-0005-0000-0000-000001590000}"/>
    <cellStyle name="Normal 21 2 2 2 3 4 2" xfId="29469" xr:uid="{00000000-0005-0000-0000-000002590000}"/>
    <cellStyle name="Normal 21 2 2 2 3 5" xfId="16412" xr:uid="{00000000-0005-0000-0000-000003590000}"/>
    <cellStyle name="Normal 21 2 2 2 3 5 2" xfId="29470" xr:uid="{00000000-0005-0000-0000-000004590000}"/>
    <cellStyle name="Normal 21 2 2 2 3 6" xfId="21581" xr:uid="{00000000-0005-0000-0000-000005590000}"/>
    <cellStyle name="Normal 21 2 2 2 4" xfId="8464" xr:uid="{00000000-0005-0000-0000-000006590000}"/>
    <cellStyle name="Normal 21 2 2 2 4 2" xfId="10905" xr:uid="{00000000-0005-0000-0000-000007590000}"/>
    <cellStyle name="Normal 21 2 2 2 4 2 2" xfId="16413" xr:uid="{00000000-0005-0000-0000-000008590000}"/>
    <cellStyle name="Normal 21 2 2 2 4 2 2 2" xfId="29471" xr:uid="{00000000-0005-0000-0000-000009590000}"/>
    <cellStyle name="Normal 21 2 2 2 4 2 3" xfId="16414" xr:uid="{00000000-0005-0000-0000-00000A590000}"/>
    <cellStyle name="Normal 21 2 2 2 4 2 3 2" xfId="29472" xr:uid="{00000000-0005-0000-0000-00000B590000}"/>
    <cellStyle name="Normal 21 2 2 2 4 2 4" xfId="24275" xr:uid="{00000000-0005-0000-0000-00000C590000}"/>
    <cellStyle name="Normal 21 2 2 2 4 3" xfId="16415" xr:uid="{00000000-0005-0000-0000-00000D590000}"/>
    <cellStyle name="Normal 21 2 2 2 4 3 2" xfId="29473" xr:uid="{00000000-0005-0000-0000-00000E590000}"/>
    <cellStyle name="Normal 21 2 2 2 4 4" xfId="16416" xr:uid="{00000000-0005-0000-0000-00000F590000}"/>
    <cellStyle name="Normal 21 2 2 2 4 4 2" xfId="29474" xr:uid="{00000000-0005-0000-0000-000010590000}"/>
    <cellStyle name="Normal 21 2 2 2 4 5" xfId="22119" xr:uid="{00000000-0005-0000-0000-000011590000}"/>
    <cellStyle name="Normal 21 2 2 2 5" xfId="9827" xr:uid="{00000000-0005-0000-0000-000012590000}"/>
    <cellStyle name="Normal 21 2 2 2 5 2" xfId="16417" xr:uid="{00000000-0005-0000-0000-000013590000}"/>
    <cellStyle name="Normal 21 2 2 2 5 2 2" xfId="29475" xr:uid="{00000000-0005-0000-0000-000014590000}"/>
    <cellStyle name="Normal 21 2 2 2 5 3" xfId="16418" xr:uid="{00000000-0005-0000-0000-000015590000}"/>
    <cellStyle name="Normal 21 2 2 2 5 3 2" xfId="29476" xr:uid="{00000000-0005-0000-0000-000016590000}"/>
    <cellStyle name="Normal 21 2 2 2 5 4" xfId="23197" xr:uid="{00000000-0005-0000-0000-000017590000}"/>
    <cellStyle name="Normal 21 2 2 2 6" xfId="16419" xr:uid="{00000000-0005-0000-0000-000018590000}"/>
    <cellStyle name="Normal 21 2 2 2 6 2" xfId="29477" xr:uid="{00000000-0005-0000-0000-000019590000}"/>
    <cellStyle name="Normal 21 2 2 2 7" xfId="16420" xr:uid="{00000000-0005-0000-0000-00001A590000}"/>
    <cellStyle name="Normal 21 2 2 2 7 2" xfId="29478" xr:uid="{00000000-0005-0000-0000-00001B590000}"/>
    <cellStyle name="Normal 21 2 2 2 8" xfId="21041" xr:uid="{00000000-0005-0000-0000-00001C590000}"/>
    <cellStyle name="Normal 21 2 2 3" xfId="6618" xr:uid="{00000000-0005-0000-0000-00001D590000}"/>
    <cellStyle name="Normal 21 2 2 3 2" xfId="7314" xr:uid="{00000000-0005-0000-0000-00001E590000}"/>
    <cellStyle name="Normal 21 2 2 3 2 2" xfId="9193" xr:uid="{00000000-0005-0000-0000-00001F590000}"/>
    <cellStyle name="Normal 21 2 2 3 2 2 2" xfId="11572" xr:uid="{00000000-0005-0000-0000-000020590000}"/>
    <cellStyle name="Normal 21 2 2 3 2 2 2 2" xfId="16421" xr:uid="{00000000-0005-0000-0000-000021590000}"/>
    <cellStyle name="Normal 21 2 2 3 2 2 2 2 2" xfId="29479" xr:uid="{00000000-0005-0000-0000-000022590000}"/>
    <cellStyle name="Normal 21 2 2 3 2 2 2 3" xfId="16422" xr:uid="{00000000-0005-0000-0000-000023590000}"/>
    <cellStyle name="Normal 21 2 2 3 2 2 2 3 2" xfId="29480" xr:uid="{00000000-0005-0000-0000-000024590000}"/>
    <cellStyle name="Normal 21 2 2 3 2 2 2 4" xfId="24942" xr:uid="{00000000-0005-0000-0000-000025590000}"/>
    <cellStyle name="Normal 21 2 2 3 2 2 3" xfId="16423" xr:uid="{00000000-0005-0000-0000-000026590000}"/>
    <cellStyle name="Normal 21 2 2 3 2 2 3 2" xfId="29481" xr:uid="{00000000-0005-0000-0000-000027590000}"/>
    <cellStyle name="Normal 21 2 2 3 2 2 4" xfId="16424" xr:uid="{00000000-0005-0000-0000-000028590000}"/>
    <cellStyle name="Normal 21 2 2 3 2 2 4 2" xfId="29482" xr:uid="{00000000-0005-0000-0000-000029590000}"/>
    <cellStyle name="Normal 21 2 2 3 2 2 5" xfId="22786" xr:uid="{00000000-0005-0000-0000-00002A590000}"/>
    <cellStyle name="Normal 21 2 2 3 2 3" xfId="10494" xr:uid="{00000000-0005-0000-0000-00002B590000}"/>
    <cellStyle name="Normal 21 2 2 3 2 3 2" xfId="16425" xr:uid="{00000000-0005-0000-0000-00002C590000}"/>
    <cellStyle name="Normal 21 2 2 3 2 3 2 2" xfId="29483" xr:uid="{00000000-0005-0000-0000-00002D590000}"/>
    <cellStyle name="Normal 21 2 2 3 2 3 3" xfId="16426" xr:uid="{00000000-0005-0000-0000-00002E590000}"/>
    <cellStyle name="Normal 21 2 2 3 2 3 3 2" xfId="29484" xr:uid="{00000000-0005-0000-0000-00002F590000}"/>
    <cellStyle name="Normal 21 2 2 3 2 3 4" xfId="23864" xr:uid="{00000000-0005-0000-0000-000030590000}"/>
    <cellStyle name="Normal 21 2 2 3 2 4" xfId="16427" xr:uid="{00000000-0005-0000-0000-000031590000}"/>
    <cellStyle name="Normal 21 2 2 3 2 4 2" xfId="29485" xr:uid="{00000000-0005-0000-0000-000032590000}"/>
    <cellStyle name="Normal 21 2 2 3 2 5" xfId="16428" xr:uid="{00000000-0005-0000-0000-000033590000}"/>
    <cellStyle name="Normal 21 2 2 3 2 5 2" xfId="29486" xr:uid="{00000000-0005-0000-0000-000034590000}"/>
    <cellStyle name="Normal 21 2 2 3 2 6" xfId="21708" xr:uid="{00000000-0005-0000-0000-000035590000}"/>
    <cellStyle name="Normal 21 2 2 3 3" xfId="8646" xr:uid="{00000000-0005-0000-0000-000036590000}"/>
    <cellStyle name="Normal 21 2 2 3 3 2" xfId="11032" xr:uid="{00000000-0005-0000-0000-000037590000}"/>
    <cellStyle name="Normal 21 2 2 3 3 2 2" xfId="16429" xr:uid="{00000000-0005-0000-0000-000038590000}"/>
    <cellStyle name="Normal 21 2 2 3 3 2 2 2" xfId="29487" xr:uid="{00000000-0005-0000-0000-000039590000}"/>
    <cellStyle name="Normal 21 2 2 3 3 2 3" xfId="16430" xr:uid="{00000000-0005-0000-0000-00003A590000}"/>
    <cellStyle name="Normal 21 2 2 3 3 2 3 2" xfId="29488" xr:uid="{00000000-0005-0000-0000-00003B590000}"/>
    <cellStyle name="Normal 21 2 2 3 3 2 4" xfId="24402" xr:uid="{00000000-0005-0000-0000-00003C590000}"/>
    <cellStyle name="Normal 21 2 2 3 3 3" xfId="16431" xr:uid="{00000000-0005-0000-0000-00003D590000}"/>
    <cellStyle name="Normal 21 2 2 3 3 3 2" xfId="29489" xr:uid="{00000000-0005-0000-0000-00003E590000}"/>
    <cellStyle name="Normal 21 2 2 3 3 4" xfId="16432" xr:uid="{00000000-0005-0000-0000-00003F590000}"/>
    <cellStyle name="Normal 21 2 2 3 3 4 2" xfId="29490" xr:uid="{00000000-0005-0000-0000-000040590000}"/>
    <cellStyle name="Normal 21 2 2 3 3 5" xfId="22246" xr:uid="{00000000-0005-0000-0000-000041590000}"/>
    <cellStyle name="Normal 21 2 2 3 4" xfId="9954" xr:uid="{00000000-0005-0000-0000-000042590000}"/>
    <cellStyle name="Normal 21 2 2 3 4 2" xfId="16433" xr:uid="{00000000-0005-0000-0000-000043590000}"/>
    <cellStyle name="Normal 21 2 2 3 4 2 2" xfId="29491" xr:uid="{00000000-0005-0000-0000-000044590000}"/>
    <cellStyle name="Normal 21 2 2 3 4 3" xfId="16434" xr:uid="{00000000-0005-0000-0000-000045590000}"/>
    <cellStyle name="Normal 21 2 2 3 4 3 2" xfId="29492" xr:uid="{00000000-0005-0000-0000-000046590000}"/>
    <cellStyle name="Normal 21 2 2 3 4 4" xfId="23324" xr:uid="{00000000-0005-0000-0000-000047590000}"/>
    <cellStyle name="Normal 21 2 2 3 5" xfId="16435" xr:uid="{00000000-0005-0000-0000-000048590000}"/>
    <cellStyle name="Normal 21 2 2 3 5 2" xfId="29493" xr:uid="{00000000-0005-0000-0000-000049590000}"/>
    <cellStyle name="Normal 21 2 2 3 6" xfId="16436" xr:uid="{00000000-0005-0000-0000-00004A590000}"/>
    <cellStyle name="Normal 21 2 2 3 6 2" xfId="29494" xr:uid="{00000000-0005-0000-0000-00004B590000}"/>
    <cellStyle name="Normal 21 2 2 3 7" xfId="21168" xr:uid="{00000000-0005-0000-0000-00004C590000}"/>
    <cellStyle name="Normal 21 2 2 4" xfId="7044" xr:uid="{00000000-0005-0000-0000-00004D590000}"/>
    <cellStyle name="Normal 21 2 2 4 2" xfId="8924" xr:uid="{00000000-0005-0000-0000-00004E590000}"/>
    <cellStyle name="Normal 21 2 2 4 2 2" xfId="11303" xr:uid="{00000000-0005-0000-0000-00004F590000}"/>
    <cellStyle name="Normal 21 2 2 4 2 2 2" xfId="16437" xr:uid="{00000000-0005-0000-0000-000050590000}"/>
    <cellStyle name="Normal 21 2 2 4 2 2 2 2" xfId="29495" xr:uid="{00000000-0005-0000-0000-000051590000}"/>
    <cellStyle name="Normal 21 2 2 4 2 2 3" xfId="16438" xr:uid="{00000000-0005-0000-0000-000052590000}"/>
    <cellStyle name="Normal 21 2 2 4 2 2 3 2" xfId="29496" xr:uid="{00000000-0005-0000-0000-000053590000}"/>
    <cellStyle name="Normal 21 2 2 4 2 2 4" xfId="24673" xr:uid="{00000000-0005-0000-0000-000054590000}"/>
    <cellStyle name="Normal 21 2 2 4 2 3" xfId="16439" xr:uid="{00000000-0005-0000-0000-000055590000}"/>
    <cellStyle name="Normal 21 2 2 4 2 3 2" xfId="29497" xr:uid="{00000000-0005-0000-0000-000056590000}"/>
    <cellStyle name="Normal 21 2 2 4 2 4" xfId="16440" xr:uid="{00000000-0005-0000-0000-000057590000}"/>
    <cellStyle name="Normal 21 2 2 4 2 4 2" xfId="29498" xr:uid="{00000000-0005-0000-0000-000058590000}"/>
    <cellStyle name="Normal 21 2 2 4 2 5" xfId="22517" xr:uid="{00000000-0005-0000-0000-000059590000}"/>
    <cellStyle name="Normal 21 2 2 4 3" xfId="10225" xr:uid="{00000000-0005-0000-0000-00005A590000}"/>
    <cellStyle name="Normal 21 2 2 4 3 2" xfId="16441" xr:uid="{00000000-0005-0000-0000-00005B590000}"/>
    <cellStyle name="Normal 21 2 2 4 3 2 2" xfId="29499" xr:uid="{00000000-0005-0000-0000-00005C590000}"/>
    <cellStyle name="Normal 21 2 2 4 3 3" xfId="16442" xr:uid="{00000000-0005-0000-0000-00005D590000}"/>
    <cellStyle name="Normal 21 2 2 4 3 3 2" xfId="29500" xr:uid="{00000000-0005-0000-0000-00005E590000}"/>
    <cellStyle name="Normal 21 2 2 4 3 4" xfId="23595" xr:uid="{00000000-0005-0000-0000-00005F590000}"/>
    <cellStyle name="Normal 21 2 2 4 4" xfId="16443" xr:uid="{00000000-0005-0000-0000-000060590000}"/>
    <cellStyle name="Normal 21 2 2 4 4 2" xfId="29501" xr:uid="{00000000-0005-0000-0000-000061590000}"/>
    <cellStyle name="Normal 21 2 2 4 5" xfId="16444" xr:uid="{00000000-0005-0000-0000-000062590000}"/>
    <cellStyle name="Normal 21 2 2 4 5 2" xfId="29502" xr:uid="{00000000-0005-0000-0000-000063590000}"/>
    <cellStyle name="Normal 21 2 2 4 6" xfId="21439" xr:uid="{00000000-0005-0000-0000-000064590000}"/>
    <cellStyle name="Normal 21 2 2 5" xfId="8248" xr:uid="{00000000-0005-0000-0000-000065590000}"/>
    <cellStyle name="Normal 21 2 2 5 2" xfId="10763" xr:uid="{00000000-0005-0000-0000-000066590000}"/>
    <cellStyle name="Normal 21 2 2 5 2 2" xfId="16445" xr:uid="{00000000-0005-0000-0000-000067590000}"/>
    <cellStyle name="Normal 21 2 2 5 2 2 2" xfId="29503" xr:uid="{00000000-0005-0000-0000-000068590000}"/>
    <cellStyle name="Normal 21 2 2 5 2 3" xfId="16446" xr:uid="{00000000-0005-0000-0000-000069590000}"/>
    <cellStyle name="Normal 21 2 2 5 2 3 2" xfId="29504" xr:uid="{00000000-0005-0000-0000-00006A590000}"/>
    <cellStyle name="Normal 21 2 2 5 2 4" xfId="24133" xr:uid="{00000000-0005-0000-0000-00006B590000}"/>
    <cellStyle name="Normal 21 2 2 5 3" xfId="16447" xr:uid="{00000000-0005-0000-0000-00006C590000}"/>
    <cellStyle name="Normal 21 2 2 5 3 2" xfId="29505" xr:uid="{00000000-0005-0000-0000-00006D590000}"/>
    <cellStyle name="Normal 21 2 2 5 4" xfId="16448" xr:uid="{00000000-0005-0000-0000-00006E590000}"/>
    <cellStyle name="Normal 21 2 2 5 4 2" xfId="29506" xr:uid="{00000000-0005-0000-0000-00006F590000}"/>
    <cellStyle name="Normal 21 2 2 5 5" xfId="21977" xr:uid="{00000000-0005-0000-0000-000070590000}"/>
    <cellStyle name="Normal 21 2 2 6" xfId="9684" xr:uid="{00000000-0005-0000-0000-000071590000}"/>
    <cellStyle name="Normal 21 2 2 6 2" xfId="16449" xr:uid="{00000000-0005-0000-0000-000072590000}"/>
    <cellStyle name="Normal 21 2 2 6 2 2" xfId="29507" xr:uid="{00000000-0005-0000-0000-000073590000}"/>
    <cellStyle name="Normal 21 2 2 6 3" xfId="16450" xr:uid="{00000000-0005-0000-0000-000074590000}"/>
    <cellStyle name="Normal 21 2 2 6 3 2" xfId="29508" xr:uid="{00000000-0005-0000-0000-000075590000}"/>
    <cellStyle name="Normal 21 2 2 6 4" xfId="23055" xr:uid="{00000000-0005-0000-0000-000076590000}"/>
    <cellStyle name="Normal 21 2 2 7" xfId="16451" xr:uid="{00000000-0005-0000-0000-000077590000}"/>
    <cellStyle name="Normal 21 2 2 7 2" xfId="29509" xr:uid="{00000000-0005-0000-0000-000078590000}"/>
    <cellStyle name="Normal 21 2 2 8" xfId="16452" xr:uid="{00000000-0005-0000-0000-000079590000}"/>
    <cellStyle name="Normal 21 2 2 8 2" xfId="29510" xr:uid="{00000000-0005-0000-0000-00007A590000}"/>
    <cellStyle name="Normal 21 2 2 9" xfId="20898" xr:uid="{00000000-0005-0000-0000-00007B590000}"/>
    <cellStyle name="Normal 21 2 3" xfId="5439" xr:uid="{00000000-0005-0000-0000-00007C590000}"/>
    <cellStyle name="Normal 21 2 3 2" xfId="6709" xr:uid="{00000000-0005-0000-0000-00007D590000}"/>
    <cellStyle name="Normal 21 2 3 2 2" xfId="7396" xr:uid="{00000000-0005-0000-0000-00007E590000}"/>
    <cellStyle name="Normal 21 2 3 2 2 2" xfId="9275" xr:uid="{00000000-0005-0000-0000-00007F590000}"/>
    <cellStyle name="Normal 21 2 3 2 2 2 2" xfId="11654" xr:uid="{00000000-0005-0000-0000-000080590000}"/>
    <cellStyle name="Normal 21 2 3 2 2 2 2 2" xfId="16453" xr:uid="{00000000-0005-0000-0000-000081590000}"/>
    <cellStyle name="Normal 21 2 3 2 2 2 2 2 2" xfId="29511" xr:uid="{00000000-0005-0000-0000-000082590000}"/>
    <cellStyle name="Normal 21 2 3 2 2 2 2 3" xfId="16454" xr:uid="{00000000-0005-0000-0000-000083590000}"/>
    <cellStyle name="Normal 21 2 3 2 2 2 2 3 2" xfId="29512" xr:uid="{00000000-0005-0000-0000-000084590000}"/>
    <cellStyle name="Normal 21 2 3 2 2 2 2 4" xfId="25024" xr:uid="{00000000-0005-0000-0000-000085590000}"/>
    <cellStyle name="Normal 21 2 3 2 2 2 3" xfId="16455" xr:uid="{00000000-0005-0000-0000-000086590000}"/>
    <cellStyle name="Normal 21 2 3 2 2 2 3 2" xfId="29513" xr:uid="{00000000-0005-0000-0000-000087590000}"/>
    <cellStyle name="Normal 21 2 3 2 2 2 4" xfId="16456" xr:uid="{00000000-0005-0000-0000-000088590000}"/>
    <cellStyle name="Normal 21 2 3 2 2 2 4 2" xfId="29514" xr:uid="{00000000-0005-0000-0000-000089590000}"/>
    <cellStyle name="Normal 21 2 3 2 2 2 5" xfId="22868" xr:uid="{00000000-0005-0000-0000-00008A590000}"/>
    <cellStyle name="Normal 21 2 3 2 2 3" xfId="10576" xr:uid="{00000000-0005-0000-0000-00008B590000}"/>
    <cellStyle name="Normal 21 2 3 2 2 3 2" xfId="16457" xr:uid="{00000000-0005-0000-0000-00008C590000}"/>
    <cellStyle name="Normal 21 2 3 2 2 3 2 2" xfId="29515" xr:uid="{00000000-0005-0000-0000-00008D590000}"/>
    <cellStyle name="Normal 21 2 3 2 2 3 3" xfId="16458" xr:uid="{00000000-0005-0000-0000-00008E590000}"/>
    <cellStyle name="Normal 21 2 3 2 2 3 3 2" xfId="29516" xr:uid="{00000000-0005-0000-0000-00008F590000}"/>
    <cellStyle name="Normal 21 2 3 2 2 3 4" xfId="23946" xr:uid="{00000000-0005-0000-0000-000090590000}"/>
    <cellStyle name="Normal 21 2 3 2 2 4" xfId="16459" xr:uid="{00000000-0005-0000-0000-000091590000}"/>
    <cellStyle name="Normal 21 2 3 2 2 4 2" xfId="29517" xr:uid="{00000000-0005-0000-0000-000092590000}"/>
    <cellStyle name="Normal 21 2 3 2 2 5" xfId="16460" xr:uid="{00000000-0005-0000-0000-000093590000}"/>
    <cellStyle name="Normal 21 2 3 2 2 5 2" xfId="29518" xr:uid="{00000000-0005-0000-0000-000094590000}"/>
    <cellStyle name="Normal 21 2 3 2 2 6" xfId="21790" xr:uid="{00000000-0005-0000-0000-000095590000}"/>
    <cellStyle name="Normal 21 2 3 2 3" xfId="8729" xr:uid="{00000000-0005-0000-0000-000096590000}"/>
    <cellStyle name="Normal 21 2 3 2 3 2" xfId="11114" xr:uid="{00000000-0005-0000-0000-000097590000}"/>
    <cellStyle name="Normal 21 2 3 2 3 2 2" xfId="16461" xr:uid="{00000000-0005-0000-0000-000098590000}"/>
    <cellStyle name="Normal 21 2 3 2 3 2 2 2" xfId="29519" xr:uid="{00000000-0005-0000-0000-000099590000}"/>
    <cellStyle name="Normal 21 2 3 2 3 2 3" xfId="16462" xr:uid="{00000000-0005-0000-0000-00009A590000}"/>
    <cellStyle name="Normal 21 2 3 2 3 2 3 2" xfId="29520" xr:uid="{00000000-0005-0000-0000-00009B590000}"/>
    <cellStyle name="Normal 21 2 3 2 3 2 4" xfId="24484" xr:uid="{00000000-0005-0000-0000-00009C590000}"/>
    <cellStyle name="Normal 21 2 3 2 3 3" xfId="16463" xr:uid="{00000000-0005-0000-0000-00009D590000}"/>
    <cellStyle name="Normal 21 2 3 2 3 3 2" xfId="29521" xr:uid="{00000000-0005-0000-0000-00009E590000}"/>
    <cellStyle name="Normal 21 2 3 2 3 4" xfId="16464" xr:uid="{00000000-0005-0000-0000-00009F590000}"/>
    <cellStyle name="Normal 21 2 3 2 3 4 2" xfId="29522" xr:uid="{00000000-0005-0000-0000-0000A0590000}"/>
    <cellStyle name="Normal 21 2 3 2 3 5" xfId="22328" xr:uid="{00000000-0005-0000-0000-0000A1590000}"/>
    <cellStyle name="Normal 21 2 3 2 4" xfId="10036" xr:uid="{00000000-0005-0000-0000-0000A2590000}"/>
    <cellStyle name="Normal 21 2 3 2 4 2" xfId="16465" xr:uid="{00000000-0005-0000-0000-0000A3590000}"/>
    <cellStyle name="Normal 21 2 3 2 4 2 2" xfId="29523" xr:uid="{00000000-0005-0000-0000-0000A4590000}"/>
    <cellStyle name="Normal 21 2 3 2 4 3" xfId="16466" xr:uid="{00000000-0005-0000-0000-0000A5590000}"/>
    <cellStyle name="Normal 21 2 3 2 4 3 2" xfId="29524" xr:uid="{00000000-0005-0000-0000-0000A6590000}"/>
    <cellStyle name="Normal 21 2 3 2 4 4" xfId="23406" xr:uid="{00000000-0005-0000-0000-0000A7590000}"/>
    <cellStyle name="Normal 21 2 3 2 5" xfId="16467" xr:uid="{00000000-0005-0000-0000-0000A8590000}"/>
    <cellStyle name="Normal 21 2 3 2 5 2" xfId="29525" xr:uid="{00000000-0005-0000-0000-0000A9590000}"/>
    <cellStyle name="Normal 21 2 3 2 6" xfId="16468" xr:uid="{00000000-0005-0000-0000-0000AA590000}"/>
    <cellStyle name="Normal 21 2 3 2 6 2" xfId="29526" xr:uid="{00000000-0005-0000-0000-0000AB590000}"/>
    <cellStyle name="Normal 21 2 3 2 7" xfId="21250" xr:uid="{00000000-0005-0000-0000-0000AC590000}"/>
    <cellStyle name="Normal 21 2 3 3" xfId="7127" xr:uid="{00000000-0005-0000-0000-0000AD590000}"/>
    <cellStyle name="Normal 21 2 3 3 2" xfId="9006" xr:uid="{00000000-0005-0000-0000-0000AE590000}"/>
    <cellStyle name="Normal 21 2 3 3 2 2" xfId="11385" xr:uid="{00000000-0005-0000-0000-0000AF590000}"/>
    <cellStyle name="Normal 21 2 3 3 2 2 2" xfId="16469" xr:uid="{00000000-0005-0000-0000-0000B0590000}"/>
    <cellStyle name="Normal 21 2 3 3 2 2 2 2" xfId="29527" xr:uid="{00000000-0005-0000-0000-0000B1590000}"/>
    <cellStyle name="Normal 21 2 3 3 2 2 3" xfId="16470" xr:uid="{00000000-0005-0000-0000-0000B2590000}"/>
    <cellStyle name="Normal 21 2 3 3 2 2 3 2" xfId="29528" xr:uid="{00000000-0005-0000-0000-0000B3590000}"/>
    <cellStyle name="Normal 21 2 3 3 2 2 4" xfId="24755" xr:uid="{00000000-0005-0000-0000-0000B4590000}"/>
    <cellStyle name="Normal 21 2 3 3 2 3" xfId="16471" xr:uid="{00000000-0005-0000-0000-0000B5590000}"/>
    <cellStyle name="Normal 21 2 3 3 2 3 2" xfId="29529" xr:uid="{00000000-0005-0000-0000-0000B6590000}"/>
    <cellStyle name="Normal 21 2 3 3 2 4" xfId="16472" xr:uid="{00000000-0005-0000-0000-0000B7590000}"/>
    <cellStyle name="Normal 21 2 3 3 2 4 2" xfId="29530" xr:uid="{00000000-0005-0000-0000-0000B8590000}"/>
    <cellStyle name="Normal 21 2 3 3 2 5" xfId="22599" xr:uid="{00000000-0005-0000-0000-0000B9590000}"/>
    <cellStyle name="Normal 21 2 3 3 3" xfId="10307" xr:uid="{00000000-0005-0000-0000-0000BA590000}"/>
    <cellStyle name="Normal 21 2 3 3 3 2" xfId="16473" xr:uid="{00000000-0005-0000-0000-0000BB590000}"/>
    <cellStyle name="Normal 21 2 3 3 3 2 2" xfId="29531" xr:uid="{00000000-0005-0000-0000-0000BC590000}"/>
    <cellStyle name="Normal 21 2 3 3 3 3" xfId="16474" xr:uid="{00000000-0005-0000-0000-0000BD590000}"/>
    <cellStyle name="Normal 21 2 3 3 3 3 2" xfId="29532" xr:uid="{00000000-0005-0000-0000-0000BE590000}"/>
    <cellStyle name="Normal 21 2 3 3 3 4" xfId="23677" xr:uid="{00000000-0005-0000-0000-0000BF590000}"/>
    <cellStyle name="Normal 21 2 3 3 4" xfId="16475" xr:uid="{00000000-0005-0000-0000-0000C0590000}"/>
    <cellStyle name="Normal 21 2 3 3 4 2" xfId="29533" xr:uid="{00000000-0005-0000-0000-0000C1590000}"/>
    <cellStyle name="Normal 21 2 3 3 5" xfId="16476" xr:uid="{00000000-0005-0000-0000-0000C2590000}"/>
    <cellStyle name="Normal 21 2 3 3 5 2" xfId="29534" xr:uid="{00000000-0005-0000-0000-0000C3590000}"/>
    <cellStyle name="Normal 21 2 3 3 6" xfId="21521" xr:uid="{00000000-0005-0000-0000-0000C4590000}"/>
    <cellStyle name="Normal 21 2 3 4" xfId="8398" xr:uid="{00000000-0005-0000-0000-0000C5590000}"/>
    <cellStyle name="Normal 21 2 3 4 2" xfId="10845" xr:uid="{00000000-0005-0000-0000-0000C6590000}"/>
    <cellStyle name="Normal 21 2 3 4 2 2" xfId="16477" xr:uid="{00000000-0005-0000-0000-0000C7590000}"/>
    <cellStyle name="Normal 21 2 3 4 2 2 2" xfId="29535" xr:uid="{00000000-0005-0000-0000-0000C8590000}"/>
    <cellStyle name="Normal 21 2 3 4 2 3" xfId="16478" xr:uid="{00000000-0005-0000-0000-0000C9590000}"/>
    <cellStyle name="Normal 21 2 3 4 2 3 2" xfId="29536" xr:uid="{00000000-0005-0000-0000-0000CA590000}"/>
    <cellStyle name="Normal 21 2 3 4 2 4" xfId="24215" xr:uid="{00000000-0005-0000-0000-0000CB590000}"/>
    <cellStyle name="Normal 21 2 3 4 3" xfId="16479" xr:uid="{00000000-0005-0000-0000-0000CC590000}"/>
    <cellStyle name="Normal 21 2 3 4 3 2" xfId="29537" xr:uid="{00000000-0005-0000-0000-0000CD590000}"/>
    <cellStyle name="Normal 21 2 3 4 4" xfId="16480" xr:uid="{00000000-0005-0000-0000-0000CE590000}"/>
    <cellStyle name="Normal 21 2 3 4 4 2" xfId="29538" xr:uid="{00000000-0005-0000-0000-0000CF590000}"/>
    <cellStyle name="Normal 21 2 3 4 5" xfId="22059" xr:uid="{00000000-0005-0000-0000-0000D0590000}"/>
    <cellStyle name="Normal 21 2 3 5" xfId="9767" xr:uid="{00000000-0005-0000-0000-0000D1590000}"/>
    <cellStyle name="Normal 21 2 3 5 2" xfId="16481" xr:uid="{00000000-0005-0000-0000-0000D2590000}"/>
    <cellStyle name="Normal 21 2 3 5 2 2" xfId="29539" xr:uid="{00000000-0005-0000-0000-0000D3590000}"/>
    <cellStyle name="Normal 21 2 3 5 3" xfId="16482" xr:uid="{00000000-0005-0000-0000-0000D4590000}"/>
    <cellStyle name="Normal 21 2 3 5 3 2" xfId="29540" xr:uid="{00000000-0005-0000-0000-0000D5590000}"/>
    <cellStyle name="Normal 21 2 3 5 4" xfId="23137" xr:uid="{00000000-0005-0000-0000-0000D6590000}"/>
    <cellStyle name="Normal 21 2 3 6" xfId="16483" xr:uid="{00000000-0005-0000-0000-0000D7590000}"/>
    <cellStyle name="Normal 21 2 3 6 2" xfId="29541" xr:uid="{00000000-0005-0000-0000-0000D8590000}"/>
    <cellStyle name="Normal 21 2 3 7" xfId="16484" xr:uid="{00000000-0005-0000-0000-0000D9590000}"/>
    <cellStyle name="Normal 21 2 3 7 2" xfId="29542" xr:uid="{00000000-0005-0000-0000-0000DA590000}"/>
    <cellStyle name="Normal 21 2 3 8" xfId="20981" xr:uid="{00000000-0005-0000-0000-0000DB590000}"/>
    <cellStyle name="Normal 21 2 4" xfId="6558" xr:uid="{00000000-0005-0000-0000-0000DC590000}"/>
    <cellStyle name="Normal 21 2 4 2" xfId="7259" xr:uid="{00000000-0005-0000-0000-0000DD590000}"/>
    <cellStyle name="Normal 21 2 4 2 2" xfId="9138" xr:uid="{00000000-0005-0000-0000-0000DE590000}"/>
    <cellStyle name="Normal 21 2 4 2 2 2" xfId="11517" xr:uid="{00000000-0005-0000-0000-0000DF590000}"/>
    <cellStyle name="Normal 21 2 4 2 2 2 2" xfId="16485" xr:uid="{00000000-0005-0000-0000-0000E0590000}"/>
    <cellStyle name="Normal 21 2 4 2 2 2 2 2" xfId="29543" xr:uid="{00000000-0005-0000-0000-0000E1590000}"/>
    <cellStyle name="Normal 21 2 4 2 2 2 3" xfId="16486" xr:uid="{00000000-0005-0000-0000-0000E2590000}"/>
    <cellStyle name="Normal 21 2 4 2 2 2 3 2" xfId="29544" xr:uid="{00000000-0005-0000-0000-0000E3590000}"/>
    <cellStyle name="Normal 21 2 4 2 2 2 4" xfId="24887" xr:uid="{00000000-0005-0000-0000-0000E4590000}"/>
    <cellStyle name="Normal 21 2 4 2 2 3" xfId="16487" xr:uid="{00000000-0005-0000-0000-0000E5590000}"/>
    <cellStyle name="Normal 21 2 4 2 2 3 2" xfId="29545" xr:uid="{00000000-0005-0000-0000-0000E6590000}"/>
    <cellStyle name="Normal 21 2 4 2 2 4" xfId="16488" xr:uid="{00000000-0005-0000-0000-0000E7590000}"/>
    <cellStyle name="Normal 21 2 4 2 2 4 2" xfId="29546" xr:uid="{00000000-0005-0000-0000-0000E8590000}"/>
    <cellStyle name="Normal 21 2 4 2 2 5" xfId="22731" xr:uid="{00000000-0005-0000-0000-0000E9590000}"/>
    <cellStyle name="Normal 21 2 4 2 3" xfId="10439" xr:uid="{00000000-0005-0000-0000-0000EA590000}"/>
    <cellStyle name="Normal 21 2 4 2 3 2" xfId="16489" xr:uid="{00000000-0005-0000-0000-0000EB590000}"/>
    <cellStyle name="Normal 21 2 4 2 3 2 2" xfId="29547" xr:uid="{00000000-0005-0000-0000-0000EC590000}"/>
    <cellStyle name="Normal 21 2 4 2 3 3" xfId="16490" xr:uid="{00000000-0005-0000-0000-0000ED590000}"/>
    <cellStyle name="Normal 21 2 4 2 3 3 2" xfId="29548" xr:uid="{00000000-0005-0000-0000-0000EE590000}"/>
    <cellStyle name="Normal 21 2 4 2 3 4" xfId="23809" xr:uid="{00000000-0005-0000-0000-0000EF590000}"/>
    <cellStyle name="Normal 21 2 4 2 4" xfId="16491" xr:uid="{00000000-0005-0000-0000-0000F0590000}"/>
    <cellStyle name="Normal 21 2 4 2 4 2" xfId="29549" xr:uid="{00000000-0005-0000-0000-0000F1590000}"/>
    <cellStyle name="Normal 21 2 4 2 5" xfId="16492" xr:uid="{00000000-0005-0000-0000-0000F2590000}"/>
    <cellStyle name="Normal 21 2 4 2 5 2" xfId="29550" xr:uid="{00000000-0005-0000-0000-0000F3590000}"/>
    <cellStyle name="Normal 21 2 4 2 6" xfId="21653" xr:uid="{00000000-0005-0000-0000-0000F4590000}"/>
    <cellStyle name="Normal 21 2 4 3" xfId="8591" xr:uid="{00000000-0005-0000-0000-0000F5590000}"/>
    <cellStyle name="Normal 21 2 4 3 2" xfId="10977" xr:uid="{00000000-0005-0000-0000-0000F6590000}"/>
    <cellStyle name="Normal 21 2 4 3 2 2" xfId="16493" xr:uid="{00000000-0005-0000-0000-0000F7590000}"/>
    <cellStyle name="Normal 21 2 4 3 2 2 2" xfId="29551" xr:uid="{00000000-0005-0000-0000-0000F8590000}"/>
    <cellStyle name="Normal 21 2 4 3 2 3" xfId="16494" xr:uid="{00000000-0005-0000-0000-0000F9590000}"/>
    <cellStyle name="Normal 21 2 4 3 2 3 2" xfId="29552" xr:uid="{00000000-0005-0000-0000-0000FA590000}"/>
    <cellStyle name="Normal 21 2 4 3 2 4" xfId="24347" xr:uid="{00000000-0005-0000-0000-0000FB590000}"/>
    <cellStyle name="Normal 21 2 4 3 3" xfId="16495" xr:uid="{00000000-0005-0000-0000-0000FC590000}"/>
    <cellStyle name="Normal 21 2 4 3 3 2" xfId="29553" xr:uid="{00000000-0005-0000-0000-0000FD590000}"/>
    <cellStyle name="Normal 21 2 4 3 4" xfId="16496" xr:uid="{00000000-0005-0000-0000-0000FE590000}"/>
    <cellStyle name="Normal 21 2 4 3 4 2" xfId="29554" xr:uid="{00000000-0005-0000-0000-0000FF590000}"/>
    <cellStyle name="Normal 21 2 4 3 5" xfId="22191" xr:uid="{00000000-0005-0000-0000-0000005A0000}"/>
    <cellStyle name="Normal 21 2 4 4" xfId="9899" xr:uid="{00000000-0005-0000-0000-0000015A0000}"/>
    <cellStyle name="Normal 21 2 4 4 2" xfId="16497" xr:uid="{00000000-0005-0000-0000-0000025A0000}"/>
    <cellStyle name="Normal 21 2 4 4 2 2" xfId="29555" xr:uid="{00000000-0005-0000-0000-0000035A0000}"/>
    <cellStyle name="Normal 21 2 4 4 3" xfId="16498" xr:uid="{00000000-0005-0000-0000-0000045A0000}"/>
    <cellStyle name="Normal 21 2 4 4 3 2" xfId="29556" xr:uid="{00000000-0005-0000-0000-0000055A0000}"/>
    <cellStyle name="Normal 21 2 4 4 4" xfId="23269" xr:uid="{00000000-0005-0000-0000-0000065A0000}"/>
    <cellStyle name="Normal 21 2 4 5" xfId="16499" xr:uid="{00000000-0005-0000-0000-0000075A0000}"/>
    <cellStyle name="Normal 21 2 4 5 2" xfId="29557" xr:uid="{00000000-0005-0000-0000-0000085A0000}"/>
    <cellStyle name="Normal 21 2 4 6" xfId="16500" xr:uid="{00000000-0005-0000-0000-0000095A0000}"/>
    <cellStyle name="Normal 21 2 4 6 2" xfId="29558" xr:uid="{00000000-0005-0000-0000-00000A5A0000}"/>
    <cellStyle name="Normal 21 2 4 7" xfId="21113" xr:uid="{00000000-0005-0000-0000-00000B5A0000}"/>
    <cellStyle name="Normal 21 2 5" xfId="6989" xr:uid="{00000000-0005-0000-0000-00000C5A0000}"/>
    <cellStyle name="Normal 21 2 5 2" xfId="8869" xr:uid="{00000000-0005-0000-0000-00000D5A0000}"/>
    <cellStyle name="Normal 21 2 5 2 2" xfId="11248" xr:uid="{00000000-0005-0000-0000-00000E5A0000}"/>
    <cellStyle name="Normal 21 2 5 2 2 2" xfId="16501" xr:uid="{00000000-0005-0000-0000-00000F5A0000}"/>
    <cellStyle name="Normal 21 2 5 2 2 2 2" xfId="29559" xr:uid="{00000000-0005-0000-0000-0000105A0000}"/>
    <cellStyle name="Normal 21 2 5 2 2 3" xfId="16502" xr:uid="{00000000-0005-0000-0000-0000115A0000}"/>
    <cellStyle name="Normal 21 2 5 2 2 3 2" xfId="29560" xr:uid="{00000000-0005-0000-0000-0000125A0000}"/>
    <cellStyle name="Normal 21 2 5 2 2 4" xfId="24618" xr:uid="{00000000-0005-0000-0000-0000135A0000}"/>
    <cellStyle name="Normal 21 2 5 2 3" xfId="16503" xr:uid="{00000000-0005-0000-0000-0000145A0000}"/>
    <cellStyle name="Normal 21 2 5 2 3 2" xfId="29561" xr:uid="{00000000-0005-0000-0000-0000155A0000}"/>
    <cellStyle name="Normal 21 2 5 2 4" xfId="16504" xr:uid="{00000000-0005-0000-0000-0000165A0000}"/>
    <cellStyle name="Normal 21 2 5 2 4 2" xfId="29562" xr:uid="{00000000-0005-0000-0000-0000175A0000}"/>
    <cellStyle name="Normal 21 2 5 2 5" xfId="22462" xr:uid="{00000000-0005-0000-0000-0000185A0000}"/>
    <cellStyle name="Normal 21 2 5 3" xfId="10170" xr:uid="{00000000-0005-0000-0000-0000195A0000}"/>
    <cellStyle name="Normal 21 2 5 3 2" xfId="16505" xr:uid="{00000000-0005-0000-0000-00001A5A0000}"/>
    <cellStyle name="Normal 21 2 5 3 2 2" xfId="29563" xr:uid="{00000000-0005-0000-0000-00001B5A0000}"/>
    <cellStyle name="Normal 21 2 5 3 3" xfId="16506" xr:uid="{00000000-0005-0000-0000-00001C5A0000}"/>
    <cellStyle name="Normal 21 2 5 3 3 2" xfId="29564" xr:uid="{00000000-0005-0000-0000-00001D5A0000}"/>
    <cellStyle name="Normal 21 2 5 3 4" xfId="23540" xr:uid="{00000000-0005-0000-0000-00001E5A0000}"/>
    <cellStyle name="Normal 21 2 5 4" xfId="16507" xr:uid="{00000000-0005-0000-0000-00001F5A0000}"/>
    <cellStyle name="Normal 21 2 5 4 2" xfId="29565" xr:uid="{00000000-0005-0000-0000-0000205A0000}"/>
    <cellStyle name="Normal 21 2 5 5" xfId="16508" xr:uid="{00000000-0005-0000-0000-0000215A0000}"/>
    <cellStyle name="Normal 21 2 5 5 2" xfId="29566" xr:uid="{00000000-0005-0000-0000-0000225A0000}"/>
    <cellStyle name="Normal 21 2 5 6" xfId="21384" xr:uid="{00000000-0005-0000-0000-0000235A0000}"/>
    <cellStyle name="Normal 21 2 6" xfId="8169" xr:uid="{00000000-0005-0000-0000-0000245A0000}"/>
    <cellStyle name="Normal 21 2 6 2" xfId="10708" xr:uid="{00000000-0005-0000-0000-0000255A0000}"/>
    <cellStyle name="Normal 21 2 6 2 2" xfId="16509" xr:uid="{00000000-0005-0000-0000-0000265A0000}"/>
    <cellStyle name="Normal 21 2 6 2 2 2" xfId="29567" xr:uid="{00000000-0005-0000-0000-0000275A0000}"/>
    <cellStyle name="Normal 21 2 6 2 3" xfId="16510" xr:uid="{00000000-0005-0000-0000-0000285A0000}"/>
    <cellStyle name="Normal 21 2 6 2 3 2" xfId="29568" xr:uid="{00000000-0005-0000-0000-0000295A0000}"/>
    <cellStyle name="Normal 21 2 6 2 4" xfId="24078" xr:uid="{00000000-0005-0000-0000-00002A5A0000}"/>
    <cellStyle name="Normal 21 2 6 3" xfId="16511" xr:uid="{00000000-0005-0000-0000-00002B5A0000}"/>
    <cellStyle name="Normal 21 2 6 3 2" xfId="29569" xr:uid="{00000000-0005-0000-0000-00002C5A0000}"/>
    <cellStyle name="Normal 21 2 6 4" xfId="16512" xr:uid="{00000000-0005-0000-0000-00002D5A0000}"/>
    <cellStyle name="Normal 21 2 6 4 2" xfId="29570" xr:uid="{00000000-0005-0000-0000-00002E5A0000}"/>
    <cellStyle name="Normal 21 2 6 5" xfId="21922" xr:uid="{00000000-0005-0000-0000-00002F5A0000}"/>
    <cellStyle name="Normal 21 2 7" xfId="9629" xr:uid="{00000000-0005-0000-0000-0000305A0000}"/>
    <cellStyle name="Normal 21 2 7 2" xfId="16513" xr:uid="{00000000-0005-0000-0000-0000315A0000}"/>
    <cellStyle name="Normal 21 2 7 2 2" xfId="29571" xr:uid="{00000000-0005-0000-0000-0000325A0000}"/>
    <cellStyle name="Normal 21 2 7 3" xfId="16514" xr:uid="{00000000-0005-0000-0000-0000335A0000}"/>
    <cellStyle name="Normal 21 2 7 3 2" xfId="29572" xr:uid="{00000000-0005-0000-0000-0000345A0000}"/>
    <cellStyle name="Normal 21 2 7 4" xfId="23000" xr:uid="{00000000-0005-0000-0000-0000355A0000}"/>
    <cellStyle name="Normal 21 2 8" xfId="16515" xr:uid="{00000000-0005-0000-0000-0000365A0000}"/>
    <cellStyle name="Normal 21 2 8 2" xfId="29573" xr:uid="{00000000-0005-0000-0000-0000375A0000}"/>
    <cellStyle name="Normal 21 2 9" xfId="16516" xr:uid="{00000000-0005-0000-0000-0000385A0000}"/>
    <cellStyle name="Normal 21 2 9 2" xfId="29574" xr:uid="{00000000-0005-0000-0000-0000395A0000}"/>
    <cellStyle name="Normal 21 3" xfId="3934" xr:uid="{00000000-0005-0000-0000-00003A5A0000}"/>
    <cellStyle name="Normal 21 3 10" xfId="20859" xr:uid="{00000000-0005-0000-0000-00003B5A0000}"/>
    <cellStyle name="Normal 21 3 2" xfId="4097" xr:uid="{00000000-0005-0000-0000-00003C5A0000}"/>
    <cellStyle name="Normal 21 3 2 2" xfId="5633" xr:uid="{00000000-0005-0000-0000-00003D5A0000}"/>
    <cellStyle name="Normal 21 3 2 2 2" xfId="6785" xr:uid="{00000000-0005-0000-0000-00003E5A0000}"/>
    <cellStyle name="Normal 21 3 2 2 2 2" xfId="7472" xr:uid="{00000000-0005-0000-0000-00003F5A0000}"/>
    <cellStyle name="Normal 21 3 2 2 2 2 2" xfId="9351" xr:uid="{00000000-0005-0000-0000-0000405A0000}"/>
    <cellStyle name="Normal 21 3 2 2 2 2 2 2" xfId="11730" xr:uid="{00000000-0005-0000-0000-0000415A0000}"/>
    <cellStyle name="Normal 21 3 2 2 2 2 2 2 2" xfId="16517" xr:uid="{00000000-0005-0000-0000-0000425A0000}"/>
    <cellStyle name="Normal 21 3 2 2 2 2 2 2 2 2" xfId="29575" xr:uid="{00000000-0005-0000-0000-0000435A0000}"/>
    <cellStyle name="Normal 21 3 2 2 2 2 2 2 3" xfId="16518" xr:uid="{00000000-0005-0000-0000-0000445A0000}"/>
    <cellStyle name="Normal 21 3 2 2 2 2 2 2 3 2" xfId="29576" xr:uid="{00000000-0005-0000-0000-0000455A0000}"/>
    <cellStyle name="Normal 21 3 2 2 2 2 2 2 4" xfId="25100" xr:uid="{00000000-0005-0000-0000-0000465A0000}"/>
    <cellStyle name="Normal 21 3 2 2 2 2 2 3" xfId="16519" xr:uid="{00000000-0005-0000-0000-0000475A0000}"/>
    <cellStyle name="Normal 21 3 2 2 2 2 2 3 2" xfId="29577" xr:uid="{00000000-0005-0000-0000-0000485A0000}"/>
    <cellStyle name="Normal 21 3 2 2 2 2 2 4" xfId="16520" xr:uid="{00000000-0005-0000-0000-0000495A0000}"/>
    <cellStyle name="Normal 21 3 2 2 2 2 2 4 2" xfId="29578" xr:uid="{00000000-0005-0000-0000-00004A5A0000}"/>
    <cellStyle name="Normal 21 3 2 2 2 2 2 5" xfId="22944" xr:uid="{00000000-0005-0000-0000-00004B5A0000}"/>
    <cellStyle name="Normal 21 3 2 2 2 2 3" xfId="10652" xr:uid="{00000000-0005-0000-0000-00004C5A0000}"/>
    <cellStyle name="Normal 21 3 2 2 2 2 3 2" xfId="16521" xr:uid="{00000000-0005-0000-0000-00004D5A0000}"/>
    <cellStyle name="Normal 21 3 2 2 2 2 3 2 2" xfId="29579" xr:uid="{00000000-0005-0000-0000-00004E5A0000}"/>
    <cellStyle name="Normal 21 3 2 2 2 2 3 3" xfId="16522" xr:uid="{00000000-0005-0000-0000-00004F5A0000}"/>
    <cellStyle name="Normal 21 3 2 2 2 2 3 3 2" xfId="29580" xr:uid="{00000000-0005-0000-0000-0000505A0000}"/>
    <cellStyle name="Normal 21 3 2 2 2 2 3 4" xfId="24022" xr:uid="{00000000-0005-0000-0000-0000515A0000}"/>
    <cellStyle name="Normal 21 3 2 2 2 2 4" xfId="16523" xr:uid="{00000000-0005-0000-0000-0000525A0000}"/>
    <cellStyle name="Normal 21 3 2 2 2 2 4 2" xfId="29581" xr:uid="{00000000-0005-0000-0000-0000535A0000}"/>
    <cellStyle name="Normal 21 3 2 2 2 2 5" xfId="16524" xr:uid="{00000000-0005-0000-0000-0000545A0000}"/>
    <cellStyle name="Normal 21 3 2 2 2 2 5 2" xfId="29582" xr:uid="{00000000-0005-0000-0000-0000555A0000}"/>
    <cellStyle name="Normal 21 3 2 2 2 2 6" xfId="21866" xr:uid="{00000000-0005-0000-0000-0000565A0000}"/>
    <cellStyle name="Normal 21 3 2 2 2 3" xfId="8805" xr:uid="{00000000-0005-0000-0000-0000575A0000}"/>
    <cellStyle name="Normal 21 3 2 2 2 3 2" xfId="11190" xr:uid="{00000000-0005-0000-0000-0000585A0000}"/>
    <cellStyle name="Normal 21 3 2 2 2 3 2 2" xfId="16525" xr:uid="{00000000-0005-0000-0000-0000595A0000}"/>
    <cellStyle name="Normal 21 3 2 2 2 3 2 2 2" xfId="29583" xr:uid="{00000000-0005-0000-0000-00005A5A0000}"/>
    <cellStyle name="Normal 21 3 2 2 2 3 2 3" xfId="16526" xr:uid="{00000000-0005-0000-0000-00005B5A0000}"/>
    <cellStyle name="Normal 21 3 2 2 2 3 2 3 2" xfId="29584" xr:uid="{00000000-0005-0000-0000-00005C5A0000}"/>
    <cellStyle name="Normal 21 3 2 2 2 3 2 4" xfId="24560" xr:uid="{00000000-0005-0000-0000-00005D5A0000}"/>
    <cellStyle name="Normal 21 3 2 2 2 3 3" xfId="16527" xr:uid="{00000000-0005-0000-0000-00005E5A0000}"/>
    <cellStyle name="Normal 21 3 2 2 2 3 3 2" xfId="29585" xr:uid="{00000000-0005-0000-0000-00005F5A0000}"/>
    <cellStyle name="Normal 21 3 2 2 2 3 4" xfId="16528" xr:uid="{00000000-0005-0000-0000-0000605A0000}"/>
    <cellStyle name="Normal 21 3 2 2 2 3 4 2" xfId="29586" xr:uid="{00000000-0005-0000-0000-0000615A0000}"/>
    <cellStyle name="Normal 21 3 2 2 2 3 5" xfId="22404" xr:uid="{00000000-0005-0000-0000-0000625A0000}"/>
    <cellStyle name="Normal 21 3 2 2 2 4" xfId="10112" xr:uid="{00000000-0005-0000-0000-0000635A0000}"/>
    <cellStyle name="Normal 21 3 2 2 2 4 2" xfId="16529" xr:uid="{00000000-0005-0000-0000-0000645A0000}"/>
    <cellStyle name="Normal 21 3 2 2 2 4 2 2" xfId="29587" xr:uid="{00000000-0005-0000-0000-0000655A0000}"/>
    <cellStyle name="Normal 21 3 2 2 2 4 3" xfId="16530" xr:uid="{00000000-0005-0000-0000-0000665A0000}"/>
    <cellStyle name="Normal 21 3 2 2 2 4 3 2" xfId="29588" xr:uid="{00000000-0005-0000-0000-0000675A0000}"/>
    <cellStyle name="Normal 21 3 2 2 2 4 4" xfId="23482" xr:uid="{00000000-0005-0000-0000-0000685A0000}"/>
    <cellStyle name="Normal 21 3 2 2 2 5" xfId="16531" xr:uid="{00000000-0005-0000-0000-0000695A0000}"/>
    <cellStyle name="Normal 21 3 2 2 2 5 2" xfId="29589" xr:uid="{00000000-0005-0000-0000-00006A5A0000}"/>
    <cellStyle name="Normal 21 3 2 2 2 6" xfId="16532" xr:uid="{00000000-0005-0000-0000-00006B5A0000}"/>
    <cellStyle name="Normal 21 3 2 2 2 6 2" xfId="29590" xr:uid="{00000000-0005-0000-0000-00006C5A0000}"/>
    <cellStyle name="Normal 21 3 2 2 2 7" xfId="21326" xr:uid="{00000000-0005-0000-0000-00006D5A0000}"/>
    <cellStyle name="Normal 21 3 2 2 3" xfId="7203" xr:uid="{00000000-0005-0000-0000-00006E5A0000}"/>
    <cellStyle name="Normal 21 3 2 2 3 2" xfId="9082" xr:uid="{00000000-0005-0000-0000-00006F5A0000}"/>
    <cellStyle name="Normal 21 3 2 2 3 2 2" xfId="11461" xr:uid="{00000000-0005-0000-0000-0000705A0000}"/>
    <cellStyle name="Normal 21 3 2 2 3 2 2 2" xfId="16533" xr:uid="{00000000-0005-0000-0000-0000715A0000}"/>
    <cellStyle name="Normal 21 3 2 2 3 2 2 2 2" xfId="29591" xr:uid="{00000000-0005-0000-0000-0000725A0000}"/>
    <cellStyle name="Normal 21 3 2 2 3 2 2 3" xfId="16534" xr:uid="{00000000-0005-0000-0000-0000735A0000}"/>
    <cellStyle name="Normal 21 3 2 2 3 2 2 3 2" xfId="29592" xr:uid="{00000000-0005-0000-0000-0000745A0000}"/>
    <cellStyle name="Normal 21 3 2 2 3 2 2 4" xfId="24831" xr:uid="{00000000-0005-0000-0000-0000755A0000}"/>
    <cellStyle name="Normal 21 3 2 2 3 2 3" xfId="16535" xr:uid="{00000000-0005-0000-0000-0000765A0000}"/>
    <cellStyle name="Normal 21 3 2 2 3 2 3 2" xfId="29593" xr:uid="{00000000-0005-0000-0000-0000775A0000}"/>
    <cellStyle name="Normal 21 3 2 2 3 2 4" xfId="16536" xr:uid="{00000000-0005-0000-0000-0000785A0000}"/>
    <cellStyle name="Normal 21 3 2 2 3 2 4 2" xfId="29594" xr:uid="{00000000-0005-0000-0000-0000795A0000}"/>
    <cellStyle name="Normal 21 3 2 2 3 2 5" xfId="22675" xr:uid="{00000000-0005-0000-0000-00007A5A0000}"/>
    <cellStyle name="Normal 21 3 2 2 3 3" xfId="10383" xr:uid="{00000000-0005-0000-0000-00007B5A0000}"/>
    <cellStyle name="Normal 21 3 2 2 3 3 2" xfId="16537" xr:uid="{00000000-0005-0000-0000-00007C5A0000}"/>
    <cellStyle name="Normal 21 3 2 2 3 3 2 2" xfId="29595" xr:uid="{00000000-0005-0000-0000-00007D5A0000}"/>
    <cellStyle name="Normal 21 3 2 2 3 3 3" xfId="16538" xr:uid="{00000000-0005-0000-0000-00007E5A0000}"/>
    <cellStyle name="Normal 21 3 2 2 3 3 3 2" xfId="29596" xr:uid="{00000000-0005-0000-0000-00007F5A0000}"/>
    <cellStyle name="Normal 21 3 2 2 3 3 4" xfId="23753" xr:uid="{00000000-0005-0000-0000-0000805A0000}"/>
    <cellStyle name="Normal 21 3 2 2 3 4" xfId="16539" xr:uid="{00000000-0005-0000-0000-0000815A0000}"/>
    <cellStyle name="Normal 21 3 2 2 3 4 2" xfId="29597" xr:uid="{00000000-0005-0000-0000-0000825A0000}"/>
    <cellStyle name="Normal 21 3 2 2 3 5" xfId="16540" xr:uid="{00000000-0005-0000-0000-0000835A0000}"/>
    <cellStyle name="Normal 21 3 2 2 3 5 2" xfId="29598" xr:uid="{00000000-0005-0000-0000-0000845A0000}"/>
    <cellStyle name="Normal 21 3 2 2 3 6" xfId="21597" xr:uid="{00000000-0005-0000-0000-0000855A0000}"/>
    <cellStyle name="Normal 21 3 2 2 4" xfId="8480" xr:uid="{00000000-0005-0000-0000-0000865A0000}"/>
    <cellStyle name="Normal 21 3 2 2 4 2" xfId="10921" xr:uid="{00000000-0005-0000-0000-0000875A0000}"/>
    <cellStyle name="Normal 21 3 2 2 4 2 2" xfId="16541" xr:uid="{00000000-0005-0000-0000-0000885A0000}"/>
    <cellStyle name="Normal 21 3 2 2 4 2 2 2" xfId="29599" xr:uid="{00000000-0005-0000-0000-0000895A0000}"/>
    <cellStyle name="Normal 21 3 2 2 4 2 3" xfId="16542" xr:uid="{00000000-0005-0000-0000-00008A5A0000}"/>
    <cellStyle name="Normal 21 3 2 2 4 2 3 2" xfId="29600" xr:uid="{00000000-0005-0000-0000-00008B5A0000}"/>
    <cellStyle name="Normal 21 3 2 2 4 2 4" xfId="24291" xr:uid="{00000000-0005-0000-0000-00008C5A0000}"/>
    <cellStyle name="Normal 21 3 2 2 4 3" xfId="16543" xr:uid="{00000000-0005-0000-0000-00008D5A0000}"/>
    <cellStyle name="Normal 21 3 2 2 4 3 2" xfId="29601" xr:uid="{00000000-0005-0000-0000-00008E5A0000}"/>
    <cellStyle name="Normal 21 3 2 2 4 4" xfId="16544" xr:uid="{00000000-0005-0000-0000-00008F5A0000}"/>
    <cellStyle name="Normal 21 3 2 2 4 4 2" xfId="29602" xr:uid="{00000000-0005-0000-0000-0000905A0000}"/>
    <cellStyle name="Normal 21 3 2 2 4 5" xfId="22135" xr:uid="{00000000-0005-0000-0000-0000915A0000}"/>
    <cellStyle name="Normal 21 3 2 2 5" xfId="9843" xr:uid="{00000000-0005-0000-0000-0000925A0000}"/>
    <cellStyle name="Normal 21 3 2 2 5 2" xfId="16545" xr:uid="{00000000-0005-0000-0000-0000935A0000}"/>
    <cellStyle name="Normal 21 3 2 2 5 2 2" xfId="29603" xr:uid="{00000000-0005-0000-0000-0000945A0000}"/>
    <cellStyle name="Normal 21 3 2 2 5 3" xfId="16546" xr:uid="{00000000-0005-0000-0000-0000955A0000}"/>
    <cellStyle name="Normal 21 3 2 2 5 3 2" xfId="29604" xr:uid="{00000000-0005-0000-0000-0000965A0000}"/>
    <cellStyle name="Normal 21 3 2 2 5 4" xfId="23213" xr:uid="{00000000-0005-0000-0000-0000975A0000}"/>
    <cellStyle name="Normal 21 3 2 2 6" xfId="16547" xr:uid="{00000000-0005-0000-0000-0000985A0000}"/>
    <cellStyle name="Normal 21 3 2 2 6 2" xfId="29605" xr:uid="{00000000-0005-0000-0000-0000995A0000}"/>
    <cellStyle name="Normal 21 3 2 2 7" xfId="16548" xr:uid="{00000000-0005-0000-0000-00009A5A0000}"/>
    <cellStyle name="Normal 21 3 2 2 7 2" xfId="29606" xr:uid="{00000000-0005-0000-0000-00009B5A0000}"/>
    <cellStyle name="Normal 21 3 2 2 8" xfId="21057" xr:uid="{00000000-0005-0000-0000-00009C5A0000}"/>
    <cellStyle name="Normal 21 3 2 3" xfId="6634" xr:uid="{00000000-0005-0000-0000-00009D5A0000}"/>
    <cellStyle name="Normal 21 3 2 3 2" xfId="7330" xr:uid="{00000000-0005-0000-0000-00009E5A0000}"/>
    <cellStyle name="Normal 21 3 2 3 2 2" xfId="9209" xr:uid="{00000000-0005-0000-0000-00009F5A0000}"/>
    <cellStyle name="Normal 21 3 2 3 2 2 2" xfId="11588" xr:uid="{00000000-0005-0000-0000-0000A05A0000}"/>
    <cellStyle name="Normal 21 3 2 3 2 2 2 2" xfId="16549" xr:uid="{00000000-0005-0000-0000-0000A15A0000}"/>
    <cellStyle name="Normal 21 3 2 3 2 2 2 2 2" xfId="29607" xr:uid="{00000000-0005-0000-0000-0000A25A0000}"/>
    <cellStyle name="Normal 21 3 2 3 2 2 2 3" xfId="16550" xr:uid="{00000000-0005-0000-0000-0000A35A0000}"/>
    <cellStyle name="Normal 21 3 2 3 2 2 2 3 2" xfId="29608" xr:uid="{00000000-0005-0000-0000-0000A45A0000}"/>
    <cellStyle name="Normal 21 3 2 3 2 2 2 4" xfId="24958" xr:uid="{00000000-0005-0000-0000-0000A55A0000}"/>
    <cellStyle name="Normal 21 3 2 3 2 2 3" xfId="16551" xr:uid="{00000000-0005-0000-0000-0000A65A0000}"/>
    <cellStyle name="Normal 21 3 2 3 2 2 3 2" xfId="29609" xr:uid="{00000000-0005-0000-0000-0000A75A0000}"/>
    <cellStyle name="Normal 21 3 2 3 2 2 4" xfId="16552" xr:uid="{00000000-0005-0000-0000-0000A85A0000}"/>
    <cellStyle name="Normal 21 3 2 3 2 2 4 2" xfId="29610" xr:uid="{00000000-0005-0000-0000-0000A95A0000}"/>
    <cellStyle name="Normal 21 3 2 3 2 2 5" xfId="22802" xr:uid="{00000000-0005-0000-0000-0000AA5A0000}"/>
    <cellStyle name="Normal 21 3 2 3 2 3" xfId="10510" xr:uid="{00000000-0005-0000-0000-0000AB5A0000}"/>
    <cellStyle name="Normal 21 3 2 3 2 3 2" xfId="16553" xr:uid="{00000000-0005-0000-0000-0000AC5A0000}"/>
    <cellStyle name="Normal 21 3 2 3 2 3 2 2" xfId="29611" xr:uid="{00000000-0005-0000-0000-0000AD5A0000}"/>
    <cellStyle name="Normal 21 3 2 3 2 3 3" xfId="16554" xr:uid="{00000000-0005-0000-0000-0000AE5A0000}"/>
    <cellStyle name="Normal 21 3 2 3 2 3 3 2" xfId="29612" xr:uid="{00000000-0005-0000-0000-0000AF5A0000}"/>
    <cellStyle name="Normal 21 3 2 3 2 3 4" xfId="23880" xr:uid="{00000000-0005-0000-0000-0000B05A0000}"/>
    <cellStyle name="Normal 21 3 2 3 2 4" xfId="16555" xr:uid="{00000000-0005-0000-0000-0000B15A0000}"/>
    <cellStyle name="Normal 21 3 2 3 2 4 2" xfId="29613" xr:uid="{00000000-0005-0000-0000-0000B25A0000}"/>
    <cellStyle name="Normal 21 3 2 3 2 5" xfId="16556" xr:uid="{00000000-0005-0000-0000-0000B35A0000}"/>
    <cellStyle name="Normal 21 3 2 3 2 5 2" xfId="29614" xr:uid="{00000000-0005-0000-0000-0000B45A0000}"/>
    <cellStyle name="Normal 21 3 2 3 2 6" xfId="21724" xr:uid="{00000000-0005-0000-0000-0000B55A0000}"/>
    <cellStyle name="Normal 21 3 2 3 3" xfId="8662" xr:uid="{00000000-0005-0000-0000-0000B65A0000}"/>
    <cellStyle name="Normal 21 3 2 3 3 2" xfId="11048" xr:uid="{00000000-0005-0000-0000-0000B75A0000}"/>
    <cellStyle name="Normal 21 3 2 3 3 2 2" xfId="16557" xr:uid="{00000000-0005-0000-0000-0000B85A0000}"/>
    <cellStyle name="Normal 21 3 2 3 3 2 2 2" xfId="29615" xr:uid="{00000000-0005-0000-0000-0000B95A0000}"/>
    <cellStyle name="Normal 21 3 2 3 3 2 3" xfId="16558" xr:uid="{00000000-0005-0000-0000-0000BA5A0000}"/>
    <cellStyle name="Normal 21 3 2 3 3 2 3 2" xfId="29616" xr:uid="{00000000-0005-0000-0000-0000BB5A0000}"/>
    <cellStyle name="Normal 21 3 2 3 3 2 4" xfId="24418" xr:uid="{00000000-0005-0000-0000-0000BC5A0000}"/>
    <cellStyle name="Normal 21 3 2 3 3 3" xfId="16559" xr:uid="{00000000-0005-0000-0000-0000BD5A0000}"/>
    <cellStyle name="Normal 21 3 2 3 3 3 2" xfId="29617" xr:uid="{00000000-0005-0000-0000-0000BE5A0000}"/>
    <cellStyle name="Normal 21 3 2 3 3 4" xfId="16560" xr:uid="{00000000-0005-0000-0000-0000BF5A0000}"/>
    <cellStyle name="Normal 21 3 2 3 3 4 2" xfId="29618" xr:uid="{00000000-0005-0000-0000-0000C05A0000}"/>
    <cellStyle name="Normal 21 3 2 3 3 5" xfId="22262" xr:uid="{00000000-0005-0000-0000-0000C15A0000}"/>
    <cellStyle name="Normal 21 3 2 3 4" xfId="9970" xr:uid="{00000000-0005-0000-0000-0000C25A0000}"/>
    <cellStyle name="Normal 21 3 2 3 4 2" xfId="16561" xr:uid="{00000000-0005-0000-0000-0000C35A0000}"/>
    <cellStyle name="Normal 21 3 2 3 4 2 2" xfId="29619" xr:uid="{00000000-0005-0000-0000-0000C45A0000}"/>
    <cellStyle name="Normal 21 3 2 3 4 3" xfId="16562" xr:uid="{00000000-0005-0000-0000-0000C55A0000}"/>
    <cellStyle name="Normal 21 3 2 3 4 3 2" xfId="29620" xr:uid="{00000000-0005-0000-0000-0000C65A0000}"/>
    <cellStyle name="Normal 21 3 2 3 4 4" xfId="23340" xr:uid="{00000000-0005-0000-0000-0000C75A0000}"/>
    <cellStyle name="Normal 21 3 2 3 5" xfId="16563" xr:uid="{00000000-0005-0000-0000-0000C85A0000}"/>
    <cellStyle name="Normal 21 3 2 3 5 2" xfId="29621" xr:uid="{00000000-0005-0000-0000-0000C95A0000}"/>
    <cellStyle name="Normal 21 3 2 3 6" xfId="16564" xr:uid="{00000000-0005-0000-0000-0000CA5A0000}"/>
    <cellStyle name="Normal 21 3 2 3 6 2" xfId="29622" xr:uid="{00000000-0005-0000-0000-0000CB5A0000}"/>
    <cellStyle name="Normal 21 3 2 3 7" xfId="21184" xr:uid="{00000000-0005-0000-0000-0000CC5A0000}"/>
    <cellStyle name="Normal 21 3 2 4" xfId="7060" xr:uid="{00000000-0005-0000-0000-0000CD5A0000}"/>
    <cellStyle name="Normal 21 3 2 4 2" xfId="8940" xr:uid="{00000000-0005-0000-0000-0000CE5A0000}"/>
    <cellStyle name="Normal 21 3 2 4 2 2" xfId="11319" xr:uid="{00000000-0005-0000-0000-0000CF5A0000}"/>
    <cellStyle name="Normal 21 3 2 4 2 2 2" xfId="16565" xr:uid="{00000000-0005-0000-0000-0000D05A0000}"/>
    <cellStyle name="Normal 21 3 2 4 2 2 2 2" xfId="29623" xr:uid="{00000000-0005-0000-0000-0000D15A0000}"/>
    <cellStyle name="Normal 21 3 2 4 2 2 3" xfId="16566" xr:uid="{00000000-0005-0000-0000-0000D25A0000}"/>
    <cellStyle name="Normal 21 3 2 4 2 2 3 2" xfId="29624" xr:uid="{00000000-0005-0000-0000-0000D35A0000}"/>
    <cellStyle name="Normal 21 3 2 4 2 2 4" xfId="24689" xr:uid="{00000000-0005-0000-0000-0000D45A0000}"/>
    <cellStyle name="Normal 21 3 2 4 2 3" xfId="16567" xr:uid="{00000000-0005-0000-0000-0000D55A0000}"/>
    <cellStyle name="Normal 21 3 2 4 2 3 2" xfId="29625" xr:uid="{00000000-0005-0000-0000-0000D65A0000}"/>
    <cellStyle name="Normal 21 3 2 4 2 4" xfId="16568" xr:uid="{00000000-0005-0000-0000-0000D75A0000}"/>
    <cellStyle name="Normal 21 3 2 4 2 4 2" xfId="29626" xr:uid="{00000000-0005-0000-0000-0000D85A0000}"/>
    <cellStyle name="Normal 21 3 2 4 2 5" xfId="22533" xr:uid="{00000000-0005-0000-0000-0000D95A0000}"/>
    <cellStyle name="Normal 21 3 2 4 3" xfId="10241" xr:uid="{00000000-0005-0000-0000-0000DA5A0000}"/>
    <cellStyle name="Normal 21 3 2 4 3 2" xfId="16569" xr:uid="{00000000-0005-0000-0000-0000DB5A0000}"/>
    <cellStyle name="Normal 21 3 2 4 3 2 2" xfId="29627" xr:uid="{00000000-0005-0000-0000-0000DC5A0000}"/>
    <cellStyle name="Normal 21 3 2 4 3 3" xfId="16570" xr:uid="{00000000-0005-0000-0000-0000DD5A0000}"/>
    <cellStyle name="Normal 21 3 2 4 3 3 2" xfId="29628" xr:uid="{00000000-0005-0000-0000-0000DE5A0000}"/>
    <cellStyle name="Normal 21 3 2 4 3 4" xfId="23611" xr:uid="{00000000-0005-0000-0000-0000DF5A0000}"/>
    <cellStyle name="Normal 21 3 2 4 4" xfId="16571" xr:uid="{00000000-0005-0000-0000-0000E05A0000}"/>
    <cellStyle name="Normal 21 3 2 4 4 2" xfId="29629" xr:uid="{00000000-0005-0000-0000-0000E15A0000}"/>
    <cellStyle name="Normal 21 3 2 4 5" xfId="16572" xr:uid="{00000000-0005-0000-0000-0000E25A0000}"/>
    <cellStyle name="Normal 21 3 2 4 5 2" xfId="29630" xr:uid="{00000000-0005-0000-0000-0000E35A0000}"/>
    <cellStyle name="Normal 21 3 2 4 6" xfId="21455" xr:uid="{00000000-0005-0000-0000-0000E45A0000}"/>
    <cellStyle name="Normal 21 3 2 5" xfId="8264" xr:uid="{00000000-0005-0000-0000-0000E55A0000}"/>
    <cellStyle name="Normal 21 3 2 5 2" xfId="10779" xr:uid="{00000000-0005-0000-0000-0000E65A0000}"/>
    <cellStyle name="Normal 21 3 2 5 2 2" xfId="16573" xr:uid="{00000000-0005-0000-0000-0000E75A0000}"/>
    <cellStyle name="Normal 21 3 2 5 2 2 2" xfId="29631" xr:uid="{00000000-0005-0000-0000-0000E85A0000}"/>
    <cellStyle name="Normal 21 3 2 5 2 3" xfId="16574" xr:uid="{00000000-0005-0000-0000-0000E95A0000}"/>
    <cellStyle name="Normal 21 3 2 5 2 3 2" xfId="29632" xr:uid="{00000000-0005-0000-0000-0000EA5A0000}"/>
    <cellStyle name="Normal 21 3 2 5 2 4" xfId="24149" xr:uid="{00000000-0005-0000-0000-0000EB5A0000}"/>
    <cellStyle name="Normal 21 3 2 5 3" xfId="16575" xr:uid="{00000000-0005-0000-0000-0000EC5A0000}"/>
    <cellStyle name="Normal 21 3 2 5 3 2" xfId="29633" xr:uid="{00000000-0005-0000-0000-0000ED5A0000}"/>
    <cellStyle name="Normal 21 3 2 5 4" xfId="16576" xr:uid="{00000000-0005-0000-0000-0000EE5A0000}"/>
    <cellStyle name="Normal 21 3 2 5 4 2" xfId="29634" xr:uid="{00000000-0005-0000-0000-0000EF5A0000}"/>
    <cellStyle name="Normal 21 3 2 5 5" xfId="21993" xr:uid="{00000000-0005-0000-0000-0000F05A0000}"/>
    <cellStyle name="Normal 21 3 2 6" xfId="9700" xr:uid="{00000000-0005-0000-0000-0000F15A0000}"/>
    <cellStyle name="Normal 21 3 2 6 2" xfId="16577" xr:uid="{00000000-0005-0000-0000-0000F25A0000}"/>
    <cellStyle name="Normal 21 3 2 6 2 2" xfId="29635" xr:uid="{00000000-0005-0000-0000-0000F35A0000}"/>
    <cellStyle name="Normal 21 3 2 6 3" xfId="16578" xr:uid="{00000000-0005-0000-0000-0000F45A0000}"/>
    <cellStyle name="Normal 21 3 2 6 3 2" xfId="29636" xr:uid="{00000000-0005-0000-0000-0000F55A0000}"/>
    <cellStyle name="Normal 21 3 2 6 4" xfId="23071" xr:uid="{00000000-0005-0000-0000-0000F65A0000}"/>
    <cellStyle name="Normal 21 3 2 7" xfId="16579" xr:uid="{00000000-0005-0000-0000-0000F75A0000}"/>
    <cellStyle name="Normal 21 3 2 7 2" xfId="29637" xr:uid="{00000000-0005-0000-0000-0000F85A0000}"/>
    <cellStyle name="Normal 21 3 2 8" xfId="16580" xr:uid="{00000000-0005-0000-0000-0000F95A0000}"/>
    <cellStyle name="Normal 21 3 2 8 2" xfId="29638" xr:uid="{00000000-0005-0000-0000-0000FA5A0000}"/>
    <cellStyle name="Normal 21 3 2 9" xfId="20914" xr:uid="{00000000-0005-0000-0000-0000FB5A0000}"/>
    <cellStyle name="Normal 21 3 3" xfId="5545" xr:uid="{00000000-0005-0000-0000-0000FC5A0000}"/>
    <cellStyle name="Normal 21 3 3 2" xfId="6729" xr:uid="{00000000-0005-0000-0000-0000FD5A0000}"/>
    <cellStyle name="Normal 21 3 3 2 2" xfId="7416" xr:uid="{00000000-0005-0000-0000-0000FE5A0000}"/>
    <cellStyle name="Normal 21 3 3 2 2 2" xfId="9295" xr:uid="{00000000-0005-0000-0000-0000FF5A0000}"/>
    <cellStyle name="Normal 21 3 3 2 2 2 2" xfId="11674" xr:uid="{00000000-0005-0000-0000-0000005B0000}"/>
    <cellStyle name="Normal 21 3 3 2 2 2 2 2" xfId="16581" xr:uid="{00000000-0005-0000-0000-0000015B0000}"/>
    <cellStyle name="Normal 21 3 3 2 2 2 2 2 2" xfId="29639" xr:uid="{00000000-0005-0000-0000-0000025B0000}"/>
    <cellStyle name="Normal 21 3 3 2 2 2 2 3" xfId="16582" xr:uid="{00000000-0005-0000-0000-0000035B0000}"/>
    <cellStyle name="Normal 21 3 3 2 2 2 2 3 2" xfId="29640" xr:uid="{00000000-0005-0000-0000-0000045B0000}"/>
    <cellStyle name="Normal 21 3 3 2 2 2 2 4" xfId="25044" xr:uid="{00000000-0005-0000-0000-0000055B0000}"/>
    <cellStyle name="Normal 21 3 3 2 2 2 3" xfId="16583" xr:uid="{00000000-0005-0000-0000-0000065B0000}"/>
    <cellStyle name="Normal 21 3 3 2 2 2 3 2" xfId="29641" xr:uid="{00000000-0005-0000-0000-0000075B0000}"/>
    <cellStyle name="Normal 21 3 3 2 2 2 4" xfId="16584" xr:uid="{00000000-0005-0000-0000-0000085B0000}"/>
    <cellStyle name="Normal 21 3 3 2 2 2 4 2" xfId="29642" xr:uid="{00000000-0005-0000-0000-0000095B0000}"/>
    <cellStyle name="Normal 21 3 3 2 2 2 5" xfId="22888" xr:uid="{00000000-0005-0000-0000-00000A5B0000}"/>
    <cellStyle name="Normal 21 3 3 2 2 3" xfId="10596" xr:uid="{00000000-0005-0000-0000-00000B5B0000}"/>
    <cellStyle name="Normal 21 3 3 2 2 3 2" xfId="16585" xr:uid="{00000000-0005-0000-0000-00000C5B0000}"/>
    <cellStyle name="Normal 21 3 3 2 2 3 2 2" xfId="29643" xr:uid="{00000000-0005-0000-0000-00000D5B0000}"/>
    <cellStyle name="Normal 21 3 3 2 2 3 3" xfId="16586" xr:uid="{00000000-0005-0000-0000-00000E5B0000}"/>
    <cellStyle name="Normal 21 3 3 2 2 3 3 2" xfId="29644" xr:uid="{00000000-0005-0000-0000-00000F5B0000}"/>
    <cellStyle name="Normal 21 3 3 2 2 3 4" xfId="23966" xr:uid="{00000000-0005-0000-0000-0000105B0000}"/>
    <cellStyle name="Normal 21 3 3 2 2 4" xfId="16587" xr:uid="{00000000-0005-0000-0000-0000115B0000}"/>
    <cellStyle name="Normal 21 3 3 2 2 4 2" xfId="29645" xr:uid="{00000000-0005-0000-0000-0000125B0000}"/>
    <cellStyle name="Normal 21 3 3 2 2 5" xfId="16588" xr:uid="{00000000-0005-0000-0000-0000135B0000}"/>
    <cellStyle name="Normal 21 3 3 2 2 5 2" xfId="29646" xr:uid="{00000000-0005-0000-0000-0000145B0000}"/>
    <cellStyle name="Normal 21 3 3 2 2 6" xfId="21810" xr:uid="{00000000-0005-0000-0000-0000155B0000}"/>
    <cellStyle name="Normal 21 3 3 2 3" xfId="8749" xr:uid="{00000000-0005-0000-0000-0000165B0000}"/>
    <cellStyle name="Normal 21 3 3 2 3 2" xfId="11134" xr:uid="{00000000-0005-0000-0000-0000175B0000}"/>
    <cellStyle name="Normal 21 3 3 2 3 2 2" xfId="16589" xr:uid="{00000000-0005-0000-0000-0000185B0000}"/>
    <cellStyle name="Normal 21 3 3 2 3 2 2 2" xfId="29647" xr:uid="{00000000-0005-0000-0000-0000195B0000}"/>
    <cellStyle name="Normal 21 3 3 2 3 2 3" xfId="16590" xr:uid="{00000000-0005-0000-0000-00001A5B0000}"/>
    <cellStyle name="Normal 21 3 3 2 3 2 3 2" xfId="29648" xr:uid="{00000000-0005-0000-0000-00001B5B0000}"/>
    <cellStyle name="Normal 21 3 3 2 3 2 4" xfId="24504" xr:uid="{00000000-0005-0000-0000-00001C5B0000}"/>
    <cellStyle name="Normal 21 3 3 2 3 3" xfId="16591" xr:uid="{00000000-0005-0000-0000-00001D5B0000}"/>
    <cellStyle name="Normal 21 3 3 2 3 3 2" xfId="29649" xr:uid="{00000000-0005-0000-0000-00001E5B0000}"/>
    <cellStyle name="Normal 21 3 3 2 3 4" xfId="16592" xr:uid="{00000000-0005-0000-0000-00001F5B0000}"/>
    <cellStyle name="Normal 21 3 3 2 3 4 2" xfId="29650" xr:uid="{00000000-0005-0000-0000-0000205B0000}"/>
    <cellStyle name="Normal 21 3 3 2 3 5" xfId="22348" xr:uid="{00000000-0005-0000-0000-0000215B0000}"/>
    <cellStyle name="Normal 21 3 3 2 4" xfId="10056" xr:uid="{00000000-0005-0000-0000-0000225B0000}"/>
    <cellStyle name="Normal 21 3 3 2 4 2" xfId="16593" xr:uid="{00000000-0005-0000-0000-0000235B0000}"/>
    <cellStyle name="Normal 21 3 3 2 4 2 2" xfId="29651" xr:uid="{00000000-0005-0000-0000-0000245B0000}"/>
    <cellStyle name="Normal 21 3 3 2 4 3" xfId="16594" xr:uid="{00000000-0005-0000-0000-0000255B0000}"/>
    <cellStyle name="Normal 21 3 3 2 4 3 2" xfId="29652" xr:uid="{00000000-0005-0000-0000-0000265B0000}"/>
    <cellStyle name="Normal 21 3 3 2 4 4" xfId="23426" xr:uid="{00000000-0005-0000-0000-0000275B0000}"/>
    <cellStyle name="Normal 21 3 3 2 5" xfId="16595" xr:uid="{00000000-0005-0000-0000-0000285B0000}"/>
    <cellStyle name="Normal 21 3 3 2 5 2" xfId="29653" xr:uid="{00000000-0005-0000-0000-0000295B0000}"/>
    <cellStyle name="Normal 21 3 3 2 6" xfId="16596" xr:uid="{00000000-0005-0000-0000-00002A5B0000}"/>
    <cellStyle name="Normal 21 3 3 2 6 2" xfId="29654" xr:uid="{00000000-0005-0000-0000-00002B5B0000}"/>
    <cellStyle name="Normal 21 3 3 2 7" xfId="21270" xr:uid="{00000000-0005-0000-0000-00002C5B0000}"/>
    <cellStyle name="Normal 21 3 3 3" xfId="7147" xr:uid="{00000000-0005-0000-0000-00002D5B0000}"/>
    <cellStyle name="Normal 21 3 3 3 2" xfId="9026" xr:uid="{00000000-0005-0000-0000-00002E5B0000}"/>
    <cellStyle name="Normal 21 3 3 3 2 2" xfId="11405" xr:uid="{00000000-0005-0000-0000-00002F5B0000}"/>
    <cellStyle name="Normal 21 3 3 3 2 2 2" xfId="16597" xr:uid="{00000000-0005-0000-0000-0000305B0000}"/>
    <cellStyle name="Normal 21 3 3 3 2 2 2 2" xfId="29655" xr:uid="{00000000-0005-0000-0000-0000315B0000}"/>
    <cellStyle name="Normal 21 3 3 3 2 2 3" xfId="16598" xr:uid="{00000000-0005-0000-0000-0000325B0000}"/>
    <cellStyle name="Normal 21 3 3 3 2 2 3 2" xfId="29656" xr:uid="{00000000-0005-0000-0000-0000335B0000}"/>
    <cellStyle name="Normal 21 3 3 3 2 2 4" xfId="24775" xr:uid="{00000000-0005-0000-0000-0000345B0000}"/>
    <cellStyle name="Normal 21 3 3 3 2 3" xfId="16599" xr:uid="{00000000-0005-0000-0000-0000355B0000}"/>
    <cellStyle name="Normal 21 3 3 3 2 3 2" xfId="29657" xr:uid="{00000000-0005-0000-0000-0000365B0000}"/>
    <cellStyle name="Normal 21 3 3 3 2 4" xfId="16600" xr:uid="{00000000-0005-0000-0000-0000375B0000}"/>
    <cellStyle name="Normal 21 3 3 3 2 4 2" xfId="29658" xr:uid="{00000000-0005-0000-0000-0000385B0000}"/>
    <cellStyle name="Normal 21 3 3 3 2 5" xfId="22619" xr:uid="{00000000-0005-0000-0000-0000395B0000}"/>
    <cellStyle name="Normal 21 3 3 3 3" xfId="10327" xr:uid="{00000000-0005-0000-0000-00003A5B0000}"/>
    <cellStyle name="Normal 21 3 3 3 3 2" xfId="16601" xr:uid="{00000000-0005-0000-0000-00003B5B0000}"/>
    <cellStyle name="Normal 21 3 3 3 3 2 2" xfId="29659" xr:uid="{00000000-0005-0000-0000-00003C5B0000}"/>
    <cellStyle name="Normal 21 3 3 3 3 3" xfId="16602" xr:uid="{00000000-0005-0000-0000-00003D5B0000}"/>
    <cellStyle name="Normal 21 3 3 3 3 3 2" xfId="29660" xr:uid="{00000000-0005-0000-0000-00003E5B0000}"/>
    <cellStyle name="Normal 21 3 3 3 3 4" xfId="23697" xr:uid="{00000000-0005-0000-0000-00003F5B0000}"/>
    <cellStyle name="Normal 21 3 3 3 4" xfId="16603" xr:uid="{00000000-0005-0000-0000-0000405B0000}"/>
    <cellStyle name="Normal 21 3 3 3 4 2" xfId="29661" xr:uid="{00000000-0005-0000-0000-0000415B0000}"/>
    <cellStyle name="Normal 21 3 3 3 5" xfId="16604" xr:uid="{00000000-0005-0000-0000-0000425B0000}"/>
    <cellStyle name="Normal 21 3 3 3 5 2" xfId="29662" xr:uid="{00000000-0005-0000-0000-0000435B0000}"/>
    <cellStyle name="Normal 21 3 3 3 6" xfId="21541" xr:uid="{00000000-0005-0000-0000-0000445B0000}"/>
    <cellStyle name="Normal 21 3 3 4" xfId="8422" xr:uid="{00000000-0005-0000-0000-0000455B0000}"/>
    <cellStyle name="Normal 21 3 3 4 2" xfId="10865" xr:uid="{00000000-0005-0000-0000-0000465B0000}"/>
    <cellStyle name="Normal 21 3 3 4 2 2" xfId="16605" xr:uid="{00000000-0005-0000-0000-0000475B0000}"/>
    <cellStyle name="Normal 21 3 3 4 2 2 2" xfId="29663" xr:uid="{00000000-0005-0000-0000-0000485B0000}"/>
    <cellStyle name="Normal 21 3 3 4 2 3" xfId="16606" xr:uid="{00000000-0005-0000-0000-0000495B0000}"/>
    <cellStyle name="Normal 21 3 3 4 2 3 2" xfId="29664" xr:uid="{00000000-0005-0000-0000-00004A5B0000}"/>
    <cellStyle name="Normal 21 3 3 4 2 4" xfId="24235" xr:uid="{00000000-0005-0000-0000-00004B5B0000}"/>
    <cellStyle name="Normal 21 3 3 4 3" xfId="16607" xr:uid="{00000000-0005-0000-0000-00004C5B0000}"/>
    <cellStyle name="Normal 21 3 3 4 3 2" xfId="29665" xr:uid="{00000000-0005-0000-0000-00004D5B0000}"/>
    <cellStyle name="Normal 21 3 3 4 4" xfId="16608" xr:uid="{00000000-0005-0000-0000-00004E5B0000}"/>
    <cellStyle name="Normal 21 3 3 4 4 2" xfId="29666" xr:uid="{00000000-0005-0000-0000-00004F5B0000}"/>
    <cellStyle name="Normal 21 3 3 4 5" xfId="22079" xr:uid="{00000000-0005-0000-0000-0000505B0000}"/>
    <cellStyle name="Normal 21 3 3 5" xfId="9787" xr:uid="{00000000-0005-0000-0000-0000515B0000}"/>
    <cellStyle name="Normal 21 3 3 5 2" xfId="16609" xr:uid="{00000000-0005-0000-0000-0000525B0000}"/>
    <cellStyle name="Normal 21 3 3 5 2 2" xfId="29667" xr:uid="{00000000-0005-0000-0000-0000535B0000}"/>
    <cellStyle name="Normal 21 3 3 5 3" xfId="16610" xr:uid="{00000000-0005-0000-0000-0000545B0000}"/>
    <cellStyle name="Normal 21 3 3 5 3 2" xfId="29668" xr:uid="{00000000-0005-0000-0000-0000555B0000}"/>
    <cellStyle name="Normal 21 3 3 5 4" xfId="23157" xr:uid="{00000000-0005-0000-0000-0000565B0000}"/>
    <cellStyle name="Normal 21 3 3 6" xfId="16611" xr:uid="{00000000-0005-0000-0000-0000575B0000}"/>
    <cellStyle name="Normal 21 3 3 6 2" xfId="29669" xr:uid="{00000000-0005-0000-0000-0000585B0000}"/>
    <cellStyle name="Normal 21 3 3 7" xfId="16612" xr:uid="{00000000-0005-0000-0000-0000595B0000}"/>
    <cellStyle name="Normal 21 3 3 7 2" xfId="29670" xr:uid="{00000000-0005-0000-0000-00005A5B0000}"/>
    <cellStyle name="Normal 21 3 3 8" xfId="21001" xr:uid="{00000000-0005-0000-0000-00005B5B0000}"/>
    <cellStyle name="Normal 21 3 4" xfId="6579" xr:uid="{00000000-0005-0000-0000-00005C5B0000}"/>
    <cellStyle name="Normal 21 3 4 2" xfId="7275" xr:uid="{00000000-0005-0000-0000-00005D5B0000}"/>
    <cellStyle name="Normal 21 3 4 2 2" xfId="9154" xr:uid="{00000000-0005-0000-0000-00005E5B0000}"/>
    <cellStyle name="Normal 21 3 4 2 2 2" xfId="11533" xr:uid="{00000000-0005-0000-0000-00005F5B0000}"/>
    <cellStyle name="Normal 21 3 4 2 2 2 2" xfId="16613" xr:uid="{00000000-0005-0000-0000-0000605B0000}"/>
    <cellStyle name="Normal 21 3 4 2 2 2 2 2" xfId="29671" xr:uid="{00000000-0005-0000-0000-0000615B0000}"/>
    <cellStyle name="Normal 21 3 4 2 2 2 3" xfId="16614" xr:uid="{00000000-0005-0000-0000-0000625B0000}"/>
    <cellStyle name="Normal 21 3 4 2 2 2 3 2" xfId="29672" xr:uid="{00000000-0005-0000-0000-0000635B0000}"/>
    <cellStyle name="Normal 21 3 4 2 2 2 4" xfId="24903" xr:uid="{00000000-0005-0000-0000-0000645B0000}"/>
    <cellStyle name="Normal 21 3 4 2 2 3" xfId="16615" xr:uid="{00000000-0005-0000-0000-0000655B0000}"/>
    <cellStyle name="Normal 21 3 4 2 2 3 2" xfId="29673" xr:uid="{00000000-0005-0000-0000-0000665B0000}"/>
    <cellStyle name="Normal 21 3 4 2 2 4" xfId="16616" xr:uid="{00000000-0005-0000-0000-0000675B0000}"/>
    <cellStyle name="Normal 21 3 4 2 2 4 2" xfId="29674" xr:uid="{00000000-0005-0000-0000-0000685B0000}"/>
    <cellStyle name="Normal 21 3 4 2 2 5" xfId="22747" xr:uid="{00000000-0005-0000-0000-0000695B0000}"/>
    <cellStyle name="Normal 21 3 4 2 3" xfId="10455" xr:uid="{00000000-0005-0000-0000-00006A5B0000}"/>
    <cellStyle name="Normal 21 3 4 2 3 2" xfId="16617" xr:uid="{00000000-0005-0000-0000-00006B5B0000}"/>
    <cellStyle name="Normal 21 3 4 2 3 2 2" xfId="29675" xr:uid="{00000000-0005-0000-0000-00006C5B0000}"/>
    <cellStyle name="Normal 21 3 4 2 3 3" xfId="16618" xr:uid="{00000000-0005-0000-0000-00006D5B0000}"/>
    <cellStyle name="Normal 21 3 4 2 3 3 2" xfId="29676" xr:uid="{00000000-0005-0000-0000-00006E5B0000}"/>
    <cellStyle name="Normal 21 3 4 2 3 4" xfId="23825" xr:uid="{00000000-0005-0000-0000-00006F5B0000}"/>
    <cellStyle name="Normal 21 3 4 2 4" xfId="16619" xr:uid="{00000000-0005-0000-0000-0000705B0000}"/>
    <cellStyle name="Normal 21 3 4 2 4 2" xfId="29677" xr:uid="{00000000-0005-0000-0000-0000715B0000}"/>
    <cellStyle name="Normal 21 3 4 2 5" xfId="16620" xr:uid="{00000000-0005-0000-0000-0000725B0000}"/>
    <cellStyle name="Normal 21 3 4 2 5 2" xfId="29678" xr:uid="{00000000-0005-0000-0000-0000735B0000}"/>
    <cellStyle name="Normal 21 3 4 2 6" xfId="21669" xr:uid="{00000000-0005-0000-0000-0000745B0000}"/>
    <cellStyle name="Normal 21 3 4 3" xfId="8607" xr:uid="{00000000-0005-0000-0000-0000755B0000}"/>
    <cellStyle name="Normal 21 3 4 3 2" xfId="10993" xr:uid="{00000000-0005-0000-0000-0000765B0000}"/>
    <cellStyle name="Normal 21 3 4 3 2 2" xfId="16621" xr:uid="{00000000-0005-0000-0000-0000775B0000}"/>
    <cellStyle name="Normal 21 3 4 3 2 2 2" xfId="29679" xr:uid="{00000000-0005-0000-0000-0000785B0000}"/>
    <cellStyle name="Normal 21 3 4 3 2 3" xfId="16622" xr:uid="{00000000-0005-0000-0000-0000795B0000}"/>
    <cellStyle name="Normal 21 3 4 3 2 3 2" xfId="29680" xr:uid="{00000000-0005-0000-0000-00007A5B0000}"/>
    <cellStyle name="Normal 21 3 4 3 2 4" xfId="24363" xr:uid="{00000000-0005-0000-0000-00007B5B0000}"/>
    <cellStyle name="Normal 21 3 4 3 3" xfId="16623" xr:uid="{00000000-0005-0000-0000-00007C5B0000}"/>
    <cellStyle name="Normal 21 3 4 3 3 2" xfId="29681" xr:uid="{00000000-0005-0000-0000-00007D5B0000}"/>
    <cellStyle name="Normal 21 3 4 3 4" xfId="16624" xr:uid="{00000000-0005-0000-0000-00007E5B0000}"/>
    <cellStyle name="Normal 21 3 4 3 4 2" xfId="29682" xr:uid="{00000000-0005-0000-0000-00007F5B0000}"/>
    <cellStyle name="Normal 21 3 4 3 5" xfId="22207" xr:uid="{00000000-0005-0000-0000-0000805B0000}"/>
    <cellStyle name="Normal 21 3 4 4" xfId="9915" xr:uid="{00000000-0005-0000-0000-0000815B0000}"/>
    <cellStyle name="Normal 21 3 4 4 2" xfId="16625" xr:uid="{00000000-0005-0000-0000-0000825B0000}"/>
    <cellStyle name="Normal 21 3 4 4 2 2" xfId="29683" xr:uid="{00000000-0005-0000-0000-0000835B0000}"/>
    <cellStyle name="Normal 21 3 4 4 3" xfId="16626" xr:uid="{00000000-0005-0000-0000-0000845B0000}"/>
    <cellStyle name="Normal 21 3 4 4 3 2" xfId="29684" xr:uid="{00000000-0005-0000-0000-0000855B0000}"/>
    <cellStyle name="Normal 21 3 4 4 4" xfId="23285" xr:uid="{00000000-0005-0000-0000-0000865B0000}"/>
    <cellStyle name="Normal 21 3 4 5" xfId="16627" xr:uid="{00000000-0005-0000-0000-0000875B0000}"/>
    <cellStyle name="Normal 21 3 4 5 2" xfId="29685" xr:uid="{00000000-0005-0000-0000-0000885B0000}"/>
    <cellStyle name="Normal 21 3 4 6" xfId="16628" xr:uid="{00000000-0005-0000-0000-0000895B0000}"/>
    <cellStyle name="Normal 21 3 4 6 2" xfId="29686" xr:uid="{00000000-0005-0000-0000-00008A5B0000}"/>
    <cellStyle name="Normal 21 3 4 7" xfId="21129" xr:uid="{00000000-0005-0000-0000-00008B5B0000}"/>
    <cellStyle name="Normal 21 3 5" xfId="7005" xr:uid="{00000000-0005-0000-0000-00008C5B0000}"/>
    <cellStyle name="Normal 21 3 5 2" xfId="8885" xr:uid="{00000000-0005-0000-0000-00008D5B0000}"/>
    <cellStyle name="Normal 21 3 5 2 2" xfId="11264" xr:uid="{00000000-0005-0000-0000-00008E5B0000}"/>
    <cellStyle name="Normal 21 3 5 2 2 2" xfId="16629" xr:uid="{00000000-0005-0000-0000-00008F5B0000}"/>
    <cellStyle name="Normal 21 3 5 2 2 2 2" xfId="29687" xr:uid="{00000000-0005-0000-0000-0000905B0000}"/>
    <cellStyle name="Normal 21 3 5 2 2 3" xfId="16630" xr:uid="{00000000-0005-0000-0000-0000915B0000}"/>
    <cellStyle name="Normal 21 3 5 2 2 3 2" xfId="29688" xr:uid="{00000000-0005-0000-0000-0000925B0000}"/>
    <cellStyle name="Normal 21 3 5 2 2 4" xfId="24634" xr:uid="{00000000-0005-0000-0000-0000935B0000}"/>
    <cellStyle name="Normal 21 3 5 2 3" xfId="16631" xr:uid="{00000000-0005-0000-0000-0000945B0000}"/>
    <cellStyle name="Normal 21 3 5 2 3 2" xfId="29689" xr:uid="{00000000-0005-0000-0000-0000955B0000}"/>
    <cellStyle name="Normal 21 3 5 2 4" xfId="16632" xr:uid="{00000000-0005-0000-0000-0000965B0000}"/>
    <cellStyle name="Normal 21 3 5 2 4 2" xfId="29690" xr:uid="{00000000-0005-0000-0000-0000975B0000}"/>
    <cellStyle name="Normal 21 3 5 2 5" xfId="22478" xr:uid="{00000000-0005-0000-0000-0000985B0000}"/>
    <cellStyle name="Normal 21 3 5 3" xfId="10186" xr:uid="{00000000-0005-0000-0000-0000995B0000}"/>
    <cellStyle name="Normal 21 3 5 3 2" xfId="16633" xr:uid="{00000000-0005-0000-0000-00009A5B0000}"/>
    <cellStyle name="Normal 21 3 5 3 2 2" xfId="29691" xr:uid="{00000000-0005-0000-0000-00009B5B0000}"/>
    <cellStyle name="Normal 21 3 5 3 3" xfId="16634" xr:uid="{00000000-0005-0000-0000-00009C5B0000}"/>
    <cellStyle name="Normal 21 3 5 3 3 2" xfId="29692" xr:uid="{00000000-0005-0000-0000-00009D5B0000}"/>
    <cellStyle name="Normal 21 3 5 3 4" xfId="23556" xr:uid="{00000000-0005-0000-0000-00009E5B0000}"/>
    <cellStyle name="Normal 21 3 5 4" xfId="16635" xr:uid="{00000000-0005-0000-0000-00009F5B0000}"/>
    <cellStyle name="Normal 21 3 5 4 2" xfId="29693" xr:uid="{00000000-0005-0000-0000-0000A05B0000}"/>
    <cellStyle name="Normal 21 3 5 5" xfId="16636" xr:uid="{00000000-0005-0000-0000-0000A15B0000}"/>
    <cellStyle name="Normal 21 3 5 5 2" xfId="29694" xr:uid="{00000000-0005-0000-0000-0000A25B0000}"/>
    <cellStyle name="Normal 21 3 5 6" xfId="21400" xr:uid="{00000000-0005-0000-0000-0000A35B0000}"/>
    <cellStyle name="Normal 21 3 6" xfId="8200" xr:uid="{00000000-0005-0000-0000-0000A45B0000}"/>
    <cellStyle name="Normal 21 3 6 2" xfId="10724" xr:uid="{00000000-0005-0000-0000-0000A55B0000}"/>
    <cellStyle name="Normal 21 3 6 2 2" xfId="16637" xr:uid="{00000000-0005-0000-0000-0000A65B0000}"/>
    <cellStyle name="Normal 21 3 6 2 2 2" xfId="29695" xr:uid="{00000000-0005-0000-0000-0000A75B0000}"/>
    <cellStyle name="Normal 21 3 6 2 3" xfId="16638" xr:uid="{00000000-0005-0000-0000-0000A85B0000}"/>
    <cellStyle name="Normal 21 3 6 2 3 2" xfId="29696" xr:uid="{00000000-0005-0000-0000-0000A95B0000}"/>
    <cellStyle name="Normal 21 3 6 2 4" xfId="24094" xr:uid="{00000000-0005-0000-0000-0000AA5B0000}"/>
    <cellStyle name="Normal 21 3 6 3" xfId="16639" xr:uid="{00000000-0005-0000-0000-0000AB5B0000}"/>
    <cellStyle name="Normal 21 3 6 3 2" xfId="29697" xr:uid="{00000000-0005-0000-0000-0000AC5B0000}"/>
    <cellStyle name="Normal 21 3 6 4" xfId="16640" xr:uid="{00000000-0005-0000-0000-0000AD5B0000}"/>
    <cellStyle name="Normal 21 3 6 4 2" xfId="29698" xr:uid="{00000000-0005-0000-0000-0000AE5B0000}"/>
    <cellStyle name="Normal 21 3 6 5" xfId="21938" xr:uid="{00000000-0005-0000-0000-0000AF5B0000}"/>
    <cellStyle name="Normal 21 3 7" xfId="9645" xr:uid="{00000000-0005-0000-0000-0000B05B0000}"/>
    <cellStyle name="Normal 21 3 7 2" xfId="16641" xr:uid="{00000000-0005-0000-0000-0000B15B0000}"/>
    <cellStyle name="Normal 21 3 7 2 2" xfId="29699" xr:uid="{00000000-0005-0000-0000-0000B25B0000}"/>
    <cellStyle name="Normal 21 3 7 3" xfId="16642" xr:uid="{00000000-0005-0000-0000-0000B35B0000}"/>
    <cellStyle name="Normal 21 3 7 3 2" xfId="29700" xr:uid="{00000000-0005-0000-0000-0000B45B0000}"/>
    <cellStyle name="Normal 21 3 7 4" xfId="23016" xr:uid="{00000000-0005-0000-0000-0000B55B0000}"/>
    <cellStyle name="Normal 21 3 8" xfId="16643" xr:uid="{00000000-0005-0000-0000-0000B65B0000}"/>
    <cellStyle name="Normal 21 3 8 2" xfId="29701" xr:uid="{00000000-0005-0000-0000-0000B75B0000}"/>
    <cellStyle name="Normal 21 3 9" xfId="16644" xr:uid="{00000000-0005-0000-0000-0000B85B0000}"/>
    <cellStyle name="Normal 21 3 9 2" xfId="29702" xr:uid="{00000000-0005-0000-0000-0000B95B0000}"/>
    <cellStyle name="Normal 21 4" xfId="4066" xr:uid="{00000000-0005-0000-0000-0000BA5B0000}"/>
    <cellStyle name="Normal 21 4 2" xfId="5602" xr:uid="{00000000-0005-0000-0000-0000BB5B0000}"/>
    <cellStyle name="Normal 21 4 2 2" xfId="6754" xr:uid="{00000000-0005-0000-0000-0000BC5B0000}"/>
    <cellStyle name="Normal 21 4 2 2 2" xfId="7441" xr:uid="{00000000-0005-0000-0000-0000BD5B0000}"/>
    <cellStyle name="Normal 21 4 2 2 2 2" xfId="9320" xr:uid="{00000000-0005-0000-0000-0000BE5B0000}"/>
    <cellStyle name="Normal 21 4 2 2 2 2 2" xfId="11699" xr:uid="{00000000-0005-0000-0000-0000BF5B0000}"/>
    <cellStyle name="Normal 21 4 2 2 2 2 2 2" xfId="16645" xr:uid="{00000000-0005-0000-0000-0000C05B0000}"/>
    <cellStyle name="Normal 21 4 2 2 2 2 2 2 2" xfId="29703" xr:uid="{00000000-0005-0000-0000-0000C15B0000}"/>
    <cellStyle name="Normal 21 4 2 2 2 2 2 3" xfId="16646" xr:uid="{00000000-0005-0000-0000-0000C25B0000}"/>
    <cellStyle name="Normal 21 4 2 2 2 2 2 3 2" xfId="29704" xr:uid="{00000000-0005-0000-0000-0000C35B0000}"/>
    <cellStyle name="Normal 21 4 2 2 2 2 2 4" xfId="25069" xr:uid="{00000000-0005-0000-0000-0000C45B0000}"/>
    <cellStyle name="Normal 21 4 2 2 2 2 3" xfId="16647" xr:uid="{00000000-0005-0000-0000-0000C55B0000}"/>
    <cellStyle name="Normal 21 4 2 2 2 2 3 2" xfId="29705" xr:uid="{00000000-0005-0000-0000-0000C65B0000}"/>
    <cellStyle name="Normal 21 4 2 2 2 2 4" xfId="16648" xr:uid="{00000000-0005-0000-0000-0000C75B0000}"/>
    <cellStyle name="Normal 21 4 2 2 2 2 4 2" xfId="29706" xr:uid="{00000000-0005-0000-0000-0000C85B0000}"/>
    <cellStyle name="Normal 21 4 2 2 2 2 5" xfId="22913" xr:uid="{00000000-0005-0000-0000-0000C95B0000}"/>
    <cellStyle name="Normal 21 4 2 2 2 3" xfId="10621" xr:uid="{00000000-0005-0000-0000-0000CA5B0000}"/>
    <cellStyle name="Normal 21 4 2 2 2 3 2" xfId="16649" xr:uid="{00000000-0005-0000-0000-0000CB5B0000}"/>
    <cellStyle name="Normal 21 4 2 2 2 3 2 2" xfId="29707" xr:uid="{00000000-0005-0000-0000-0000CC5B0000}"/>
    <cellStyle name="Normal 21 4 2 2 2 3 3" xfId="16650" xr:uid="{00000000-0005-0000-0000-0000CD5B0000}"/>
    <cellStyle name="Normal 21 4 2 2 2 3 3 2" xfId="29708" xr:uid="{00000000-0005-0000-0000-0000CE5B0000}"/>
    <cellStyle name="Normal 21 4 2 2 2 3 4" xfId="23991" xr:uid="{00000000-0005-0000-0000-0000CF5B0000}"/>
    <cellStyle name="Normal 21 4 2 2 2 4" xfId="16651" xr:uid="{00000000-0005-0000-0000-0000D05B0000}"/>
    <cellStyle name="Normal 21 4 2 2 2 4 2" xfId="29709" xr:uid="{00000000-0005-0000-0000-0000D15B0000}"/>
    <cellStyle name="Normal 21 4 2 2 2 5" xfId="16652" xr:uid="{00000000-0005-0000-0000-0000D25B0000}"/>
    <cellStyle name="Normal 21 4 2 2 2 5 2" xfId="29710" xr:uid="{00000000-0005-0000-0000-0000D35B0000}"/>
    <cellStyle name="Normal 21 4 2 2 2 6" xfId="21835" xr:uid="{00000000-0005-0000-0000-0000D45B0000}"/>
    <cellStyle name="Normal 21 4 2 2 3" xfId="8774" xr:uid="{00000000-0005-0000-0000-0000D55B0000}"/>
    <cellStyle name="Normal 21 4 2 2 3 2" xfId="11159" xr:uid="{00000000-0005-0000-0000-0000D65B0000}"/>
    <cellStyle name="Normal 21 4 2 2 3 2 2" xfId="16653" xr:uid="{00000000-0005-0000-0000-0000D75B0000}"/>
    <cellStyle name="Normal 21 4 2 2 3 2 2 2" xfId="29711" xr:uid="{00000000-0005-0000-0000-0000D85B0000}"/>
    <cellStyle name="Normal 21 4 2 2 3 2 3" xfId="16654" xr:uid="{00000000-0005-0000-0000-0000D95B0000}"/>
    <cellStyle name="Normal 21 4 2 2 3 2 3 2" xfId="29712" xr:uid="{00000000-0005-0000-0000-0000DA5B0000}"/>
    <cellStyle name="Normal 21 4 2 2 3 2 4" xfId="24529" xr:uid="{00000000-0005-0000-0000-0000DB5B0000}"/>
    <cellStyle name="Normal 21 4 2 2 3 3" xfId="16655" xr:uid="{00000000-0005-0000-0000-0000DC5B0000}"/>
    <cellStyle name="Normal 21 4 2 2 3 3 2" xfId="29713" xr:uid="{00000000-0005-0000-0000-0000DD5B0000}"/>
    <cellStyle name="Normal 21 4 2 2 3 4" xfId="16656" xr:uid="{00000000-0005-0000-0000-0000DE5B0000}"/>
    <cellStyle name="Normal 21 4 2 2 3 4 2" xfId="29714" xr:uid="{00000000-0005-0000-0000-0000DF5B0000}"/>
    <cellStyle name="Normal 21 4 2 2 3 5" xfId="22373" xr:uid="{00000000-0005-0000-0000-0000E05B0000}"/>
    <cellStyle name="Normal 21 4 2 2 4" xfId="10081" xr:uid="{00000000-0005-0000-0000-0000E15B0000}"/>
    <cellStyle name="Normal 21 4 2 2 4 2" xfId="16657" xr:uid="{00000000-0005-0000-0000-0000E25B0000}"/>
    <cellStyle name="Normal 21 4 2 2 4 2 2" xfId="29715" xr:uid="{00000000-0005-0000-0000-0000E35B0000}"/>
    <cellStyle name="Normal 21 4 2 2 4 3" xfId="16658" xr:uid="{00000000-0005-0000-0000-0000E45B0000}"/>
    <cellStyle name="Normal 21 4 2 2 4 3 2" xfId="29716" xr:uid="{00000000-0005-0000-0000-0000E55B0000}"/>
    <cellStyle name="Normal 21 4 2 2 4 4" xfId="23451" xr:uid="{00000000-0005-0000-0000-0000E65B0000}"/>
    <cellStyle name="Normal 21 4 2 2 5" xfId="16659" xr:uid="{00000000-0005-0000-0000-0000E75B0000}"/>
    <cellStyle name="Normal 21 4 2 2 5 2" xfId="29717" xr:uid="{00000000-0005-0000-0000-0000E85B0000}"/>
    <cellStyle name="Normal 21 4 2 2 6" xfId="16660" xr:uid="{00000000-0005-0000-0000-0000E95B0000}"/>
    <cellStyle name="Normal 21 4 2 2 6 2" xfId="29718" xr:uid="{00000000-0005-0000-0000-0000EA5B0000}"/>
    <cellStyle name="Normal 21 4 2 2 7" xfId="21295" xr:uid="{00000000-0005-0000-0000-0000EB5B0000}"/>
    <cellStyle name="Normal 21 4 2 3" xfId="7172" xr:uid="{00000000-0005-0000-0000-0000EC5B0000}"/>
    <cellStyle name="Normal 21 4 2 3 2" xfId="9051" xr:uid="{00000000-0005-0000-0000-0000ED5B0000}"/>
    <cellStyle name="Normal 21 4 2 3 2 2" xfId="11430" xr:uid="{00000000-0005-0000-0000-0000EE5B0000}"/>
    <cellStyle name="Normal 21 4 2 3 2 2 2" xfId="16661" xr:uid="{00000000-0005-0000-0000-0000EF5B0000}"/>
    <cellStyle name="Normal 21 4 2 3 2 2 2 2" xfId="29719" xr:uid="{00000000-0005-0000-0000-0000F05B0000}"/>
    <cellStyle name="Normal 21 4 2 3 2 2 3" xfId="16662" xr:uid="{00000000-0005-0000-0000-0000F15B0000}"/>
    <cellStyle name="Normal 21 4 2 3 2 2 3 2" xfId="29720" xr:uid="{00000000-0005-0000-0000-0000F25B0000}"/>
    <cellStyle name="Normal 21 4 2 3 2 2 4" xfId="24800" xr:uid="{00000000-0005-0000-0000-0000F35B0000}"/>
    <cellStyle name="Normal 21 4 2 3 2 3" xfId="16663" xr:uid="{00000000-0005-0000-0000-0000F45B0000}"/>
    <cellStyle name="Normal 21 4 2 3 2 3 2" xfId="29721" xr:uid="{00000000-0005-0000-0000-0000F55B0000}"/>
    <cellStyle name="Normal 21 4 2 3 2 4" xfId="16664" xr:uid="{00000000-0005-0000-0000-0000F65B0000}"/>
    <cellStyle name="Normal 21 4 2 3 2 4 2" xfId="29722" xr:uid="{00000000-0005-0000-0000-0000F75B0000}"/>
    <cellStyle name="Normal 21 4 2 3 2 5" xfId="22644" xr:uid="{00000000-0005-0000-0000-0000F85B0000}"/>
    <cellStyle name="Normal 21 4 2 3 3" xfId="10352" xr:uid="{00000000-0005-0000-0000-0000F95B0000}"/>
    <cellStyle name="Normal 21 4 2 3 3 2" xfId="16665" xr:uid="{00000000-0005-0000-0000-0000FA5B0000}"/>
    <cellStyle name="Normal 21 4 2 3 3 2 2" xfId="29723" xr:uid="{00000000-0005-0000-0000-0000FB5B0000}"/>
    <cellStyle name="Normal 21 4 2 3 3 3" xfId="16666" xr:uid="{00000000-0005-0000-0000-0000FC5B0000}"/>
    <cellStyle name="Normal 21 4 2 3 3 3 2" xfId="29724" xr:uid="{00000000-0005-0000-0000-0000FD5B0000}"/>
    <cellStyle name="Normal 21 4 2 3 3 4" xfId="23722" xr:uid="{00000000-0005-0000-0000-0000FE5B0000}"/>
    <cellStyle name="Normal 21 4 2 3 4" xfId="16667" xr:uid="{00000000-0005-0000-0000-0000FF5B0000}"/>
    <cellStyle name="Normal 21 4 2 3 4 2" xfId="29725" xr:uid="{00000000-0005-0000-0000-0000005C0000}"/>
    <cellStyle name="Normal 21 4 2 3 5" xfId="16668" xr:uid="{00000000-0005-0000-0000-0000015C0000}"/>
    <cellStyle name="Normal 21 4 2 3 5 2" xfId="29726" xr:uid="{00000000-0005-0000-0000-0000025C0000}"/>
    <cellStyle name="Normal 21 4 2 3 6" xfId="21566" xr:uid="{00000000-0005-0000-0000-0000035C0000}"/>
    <cellStyle name="Normal 21 4 2 4" xfId="8449" xr:uid="{00000000-0005-0000-0000-0000045C0000}"/>
    <cellStyle name="Normal 21 4 2 4 2" xfId="10890" xr:uid="{00000000-0005-0000-0000-0000055C0000}"/>
    <cellStyle name="Normal 21 4 2 4 2 2" xfId="16669" xr:uid="{00000000-0005-0000-0000-0000065C0000}"/>
    <cellStyle name="Normal 21 4 2 4 2 2 2" xfId="29727" xr:uid="{00000000-0005-0000-0000-0000075C0000}"/>
    <cellStyle name="Normal 21 4 2 4 2 3" xfId="16670" xr:uid="{00000000-0005-0000-0000-0000085C0000}"/>
    <cellStyle name="Normal 21 4 2 4 2 3 2" xfId="29728" xr:uid="{00000000-0005-0000-0000-0000095C0000}"/>
    <cellStyle name="Normal 21 4 2 4 2 4" xfId="24260" xr:uid="{00000000-0005-0000-0000-00000A5C0000}"/>
    <cellStyle name="Normal 21 4 2 4 3" xfId="16671" xr:uid="{00000000-0005-0000-0000-00000B5C0000}"/>
    <cellStyle name="Normal 21 4 2 4 3 2" xfId="29729" xr:uid="{00000000-0005-0000-0000-00000C5C0000}"/>
    <cellStyle name="Normal 21 4 2 4 4" xfId="16672" xr:uid="{00000000-0005-0000-0000-00000D5C0000}"/>
    <cellStyle name="Normal 21 4 2 4 4 2" xfId="29730" xr:uid="{00000000-0005-0000-0000-00000E5C0000}"/>
    <cellStyle name="Normal 21 4 2 4 5" xfId="22104" xr:uid="{00000000-0005-0000-0000-00000F5C0000}"/>
    <cellStyle name="Normal 21 4 2 5" xfId="9812" xr:uid="{00000000-0005-0000-0000-0000105C0000}"/>
    <cellStyle name="Normal 21 4 2 5 2" xfId="16673" xr:uid="{00000000-0005-0000-0000-0000115C0000}"/>
    <cellStyle name="Normal 21 4 2 5 2 2" xfId="29731" xr:uid="{00000000-0005-0000-0000-0000125C0000}"/>
    <cellStyle name="Normal 21 4 2 5 3" xfId="16674" xr:uid="{00000000-0005-0000-0000-0000135C0000}"/>
    <cellStyle name="Normal 21 4 2 5 3 2" xfId="29732" xr:uid="{00000000-0005-0000-0000-0000145C0000}"/>
    <cellStyle name="Normal 21 4 2 5 4" xfId="23182" xr:uid="{00000000-0005-0000-0000-0000155C0000}"/>
    <cellStyle name="Normal 21 4 2 6" xfId="16675" xr:uid="{00000000-0005-0000-0000-0000165C0000}"/>
    <cellStyle name="Normal 21 4 2 6 2" xfId="29733" xr:uid="{00000000-0005-0000-0000-0000175C0000}"/>
    <cellStyle name="Normal 21 4 2 7" xfId="16676" xr:uid="{00000000-0005-0000-0000-0000185C0000}"/>
    <cellStyle name="Normal 21 4 2 7 2" xfId="29734" xr:uid="{00000000-0005-0000-0000-0000195C0000}"/>
    <cellStyle name="Normal 21 4 2 8" xfId="21026" xr:uid="{00000000-0005-0000-0000-00001A5C0000}"/>
    <cellStyle name="Normal 21 4 3" xfId="6603" xr:uid="{00000000-0005-0000-0000-00001B5C0000}"/>
    <cellStyle name="Normal 21 4 3 2" xfId="7299" xr:uid="{00000000-0005-0000-0000-00001C5C0000}"/>
    <cellStyle name="Normal 21 4 3 2 2" xfId="9178" xr:uid="{00000000-0005-0000-0000-00001D5C0000}"/>
    <cellStyle name="Normal 21 4 3 2 2 2" xfId="11557" xr:uid="{00000000-0005-0000-0000-00001E5C0000}"/>
    <cellStyle name="Normal 21 4 3 2 2 2 2" xfId="16677" xr:uid="{00000000-0005-0000-0000-00001F5C0000}"/>
    <cellStyle name="Normal 21 4 3 2 2 2 2 2" xfId="29735" xr:uid="{00000000-0005-0000-0000-0000205C0000}"/>
    <cellStyle name="Normal 21 4 3 2 2 2 3" xfId="16678" xr:uid="{00000000-0005-0000-0000-0000215C0000}"/>
    <cellStyle name="Normal 21 4 3 2 2 2 3 2" xfId="29736" xr:uid="{00000000-0005-0000-0000-0000225C0000}"/>
    <cellStyle name="Normal 21 4 3 2 2 2 4" xfId="24927" xr:uid="{00000000-0005-0000-0000-0000235C0000}"/>
    <cellStyle name="Normal 21 4 3 2 2 3" xfId="16679" xr:uid="{00000000-0005-0000-0000-0000245C0000}"/>
    <cellStyle name="Normal 21 4 3 2 2 3 2" xfId="29737" xr:uid="{00000000-0005-0000-0000-0000255C0000}"/>
    <cellStyle name="Normal 21 4 3 2 2 4" xfId="16680" xr:uid="{00000000-0005-0000-0000-0000265C0000}"/>
    <cellStyle name="Normal 21 4 3 2 2 4 2" xfId="29738" xr:uid="{00000000-0005-0000-0000-0000275C0000}"/>
    <cellStyle name="Normal 21 4 3 2 2 5" xfId="22771" xr:uid="{00000000-0005-0000-0000-0000285C0000}"/>
    <cellStyle name="Normal 21 4 3 2 3" xfId="10479" xr:uid="{00000000-0005-0000-0000-0000295C0000}"/>
    <cellStyle name="Normal 21 4 3 2 3 2" xfId="16681" xr:uid="{00000000-0005-0000-0000-00002A5C0000}"/>
    <cellStyle name="Normal 21 4 3 2 3 2 2" xfId="29739" xr:uid="{00000000-0005-0000-0000-00002B5C0000}"/>
    <cellStyle name="Normal 21 4 3 2 3 3" xfId="16682" xr:uid="{00000000-0005-0000-0000-00002C5C0000}"/>
    <cellStyle name="Normal 21 4 3 2 3 3 2" xfId="29740" xr:uid="{00000000-0005-0000-0000-00002D5C0000}"/>
    <cellStyle name="Normal 21 4 3 2 3 4" xfId="23849" xr:uid="{00000000-0005-0000-0000-00002E5C0000}"/>
    <cellStyle name="Normal 21 4 3 2 4" xfId="16683" xr:uid="{00000000-0005-0000-0000-00002F5C0000}"/>
    <cellStyle name="Normal 21 4 3 2 4 2" xfId="29741" xr:uid="{00000000-0005-0000-0000-0000305C0000}"/>
    <cellStyle name="Normal 21 4 3 2 5" xfId="16684" xr:uid="{00000000-0005-0000-0000-0000315C0000}"/>
    <cellStyle name="Normal 21 4 3 2 5 2" xfId="29742" xr:uid="{00000000-0005-0000-0000-0000325C0000}"/>
    <cellStyle name="Normal 21 4 3 2 6" xfId="21693" xr:uid="{00000000-0005-0000-0000-0000335C0000}"/>
    <cellStyle name="Normal 21 4 3 3" xfId="8631" xr:uid="{00000000-0005-0000-0000-0000345C0000}"/>
    <cellStyle name="Normal 21 4 3 3 2" xfId="11017" xr:uid="{00000000-0005-0000-0000-0000355C0000}"/>
    <cellStyle name="Normal 21 4 3 3 2 2" xfId="16685" xr:uid="{00000000-0005-0000-0000-0000365C0000}"/>
    <cellStyle name="Normal 21 4 3 3 2 2 2" xfId="29743" xr:uid="{00000000-0005-0000-0000-0000375C0000}"/>
    <cellStyle name="Normal 21 4 3 3 2 3" xfId="16686" xr:uid="{00000000-0005-0000-0000-0000385C0000}"/>
    <cellStyle name="Normal 21 4 3 3 2 3 2" xfId="29744" xr:uid="{00000000-0005-0000-0000-0000395C0000}"/>
    <cellStyle name="Normal 21 4 3 3 2 4" xfId="24387" xr:uid="{00000000-0005-0000-0000-00003A5C0000}"/>
    <cellStyle name="Normal 21 4 3 3 3" xfId="16687" xr:uid="{00000000-0005-0000-0000-00003B5C0000}"/>
    <cellStyle name="Normal 21 4 3 3 3 2" xfId="29745" xr:uid="{00000000-0005-0000-0000-00003C5C0000}"/>
    <cellStyle name="Normal 21 4 3 3 4" xfId="16688" xr:uid="{00000000-0005-0000-0000-00003D5C0000}"/>
    <cellStyle name="Normal 21 4 3 3 4 2" xfId="29746" xr:uid="{00000000-0005-0000-0000-00003E5C0000}"/>
    <cellStyle name="Normal 21 4 3 3 5" xfId="22231" xr:uid="{00000000-0005-0000-0000-00003F5C0000}"/>
    <cellStyle name="Normal 21 4 3 4" xfId="9939" xr:uid="{00000000-0005-0000-0000-0000405C0000}"/>
    <cellStyle name="Normal 21 4 3 4 2" xfId="16689" xr:uid="{00000000-0005-0000-0000-0000415C0000}"/>
    <cellStyle name="Normal 21 4 3 4 2 2" xfId="29747" xr:uid="{00000000-0005-0000-0000-0000425C0000}"/>
    <cellStyle name="Normal 21 4 3 4 3" xfId="16690" xr:uid="{00000000-0005-0000-0000-0000435C0000}"/>
    <cellStyle name="Normal 21 4 3 4 3 2" xfId="29748" xr:uid="{00000000-0005-0000-0000-0000445C0000}"/>
    <cellStyle name="Normal 21 4 3 4 4" xfId="23309" xr:uid="{00000000-0005-0000-0000-0000455C0000}"/>
    <cellStyle name="Normal 21 4 3 5" xfId="16691" xr:uid="{00000000-0005-0000-0000-0000465C0000}"/>
    <cellStyle name="Normal 21 4 3 5 2" xfId="29749" xr:uid="{00000000-0005-0000-0000-0000475C0000}"/>
    <cellStyle name="Normal 21 4 3 6" xfId="16692" xr:uid="{00000000-0005-0000-0000-0000485C0000}"/>
    <cellStyle name="Normal 21 4 3 6 2" xfId="29750" xr:uid="{00000000-0005-0000-0000-0000495C0000}"/>
    <cellStyle name="Normal 21 4 3 7" xfId="21153" xr:uid="{00000000-0005-0000-0000-00004A5C0000}"/>
    <cellStyle name="Normal 21 4 4" xfId="7029" xr:uid="{00000000-0005-0000-0000-00004B5C0000}"/>
    <cellStyle name="Normal 21 4 4 2" xfId="8909" xr:uid="{00000000-0005-0000-0000-00004C5C0000}"/>
    <cellStyle name="Normal 21 4 4 2 2" xfId="11288" xr:uid="{00000000-0005-0000-0000-00004D5C0000}"/>
    <cellStyle name="Normal 21 4 4 2 2 2" xfId="16693" xr:uid="{00000000-0005-0000-0000-00004E5C0000}"/>
    <cellStyle name="Normal 21 4 4 2 2 2 2" xfId="29751" xr:uid="{00000000-0005-0000-0000-00004F5C0000}"/>
    <cellStyle name="Normal 21 4 4 2 2 3" xfId="16694" xr:uid="{00000000-0005-0000-0000-0000505C0000}"/>
    <cellStyle name="Normal 21 4 4 2 2 3 2" xfId="29752" xr:uid="{00000000-0005-0000-0000-0000515C0000}"/>
    <cellStyle name="Normal 21 4 4 2 2 4" xfId="24658" xr:uid="{00000000-0005-0000-0000-0000525C0000}"/>
    <cellStyle name="Normal 21 4 4 2 3" xfId="16695" xr:uid="{00000000-0005-0000-0000-0000535C0000}"/>
    <cellStyle name="Normal 21 4 4 2 3 2" xfId="29753" xr:uid="{00000000-0005-0000-0000-0000545C0000}"/>
    <cellStyle name="Normal 21 4 4 2 4" xfId="16696" xr:uid="{00000000-0005-0000-0000-0000555C0000}"/>
    <cellStyle name="Normal 21 4 4 2 4 2" xfId="29754" xr:uid="{00000000-0005-0000-0000-0000565C0000}"/>
    <cellStyle name="Normal 21 4 4 2 5" xfId="22502" xr:uid="{00000000-0005-0000-0000-0000575C0000}"/>
    <cellStyle name="Normal 21 4 4 3" xfId="10210" xr:uid="{00000000-0005-0000-0000-0000585C0000}"/>
    <cellStyle name="Normal 21 4 4 3 2" xfId="16697" xr:uid="{00000000-0005-0000-0000-0000595C0000}"/>
    <cellStyle name="Normal 21 4 4 3 2 2" xfId="29755" xr:uid="{00000000-0005-0000-0000-00005A5C0000}"/>
    <cellStyle name="Normal 21 4 4 3 3" xfId="16698" xr:uid="{00000000-0005-0000-0000-00005B5C0000}"/>
    <cellStyle name="Normal 21 4 4 3 3 2" xfId="29756" xr:uid="{00000000-0005-0000-0000-00005C5C0000}"/>
    <cellStyle name="Normal 21 4 4 3 4" xfId="23580" xr:uid="{00000000-0005-0000-0000-00005D5C0000}"/>
    <cellStyle name="Normal 21 4 4 4" xfId="16699" xr:uid="{00000000-0005-0000-0000-00005E5C0000}"/>
    <cellStyle name="Normal 21 4 4 4 2" xfId="29757" xr:uid="{00000000-0005-0000-0000-00005F5C0000}"/>
    <cellStyle name="Normal 21 4 4 5" xfId="16700" xr:uid="{00000000-0005-0000-0000-0000605C0000}"/>
    <cellStyle name="Normal 21 4 4 5 2" xfId="29758" xr:uid="{00000000-0005-0000-0000-0000615C0000}"/>
    <cellStyle name="Normal 21 4 4 6" xfId="21424" xr:uid="{00000000-0005-0000-0000-0000625C0000}"/>
    <cellStyle name="Normal 21 4 5" xfId="8233" xr:uid="{00000000-0005-0000-0000-0000635C0000}"/>
    <cellStyle name="Normal 21 4 5 2" xfId="10748" xr:uid="{00000000-0005-0000-0000-0000645C0000}"/>
    <cellStyle name="Normal 21 4 5 2 2" xfId="16701" xr:uid="{00000000-0005-0000-0000-0000655C0000}"/>
    <cellStyle name="Normal 21 4 5 2 2 2" xfId="29759" xr:uid="{00000000-0005-0000-0000-0000665C0000}"/>
    <cellStyle name="Normal 21 4 5 2 3" xfId="16702" xr:uid="{00000000-0005-0000-0000-0000675C0000}"/>
    <cellStyle name="Normal 21 4 5 2 3 2" xfId="29760" xr:uid="{00000000-0005-0000-0000-0000685C0000}"/>
    <cellStyle name="Normal 21 4 5 2 4" xfId="24118" xr:uid="{00000000-0005-0000-0000-0000695C0000}"/>
    <cellStyle name="Normal 21 4 5 3" xfId="16703" xr:uid="{00000000-0005-0000-0000-00006A5C0000}"/>
    <cellStyle name="Normal 21 4 5 3 2" xfId="29761" xr:uid="{00000000-0005-0000-0000-00006B5C0000}"/>
    <cellStyle name="Normal 21 4 5 4" xfId="16704" xr:uid="{00000000-0005-0000-0000-00006C5C0000}"/>
    <cellStyle name="Normal 21 4 5 4 2" xfId="29762" xr:uid="{00000000-0005-0000-0000-00006D5C0000}"/>
    <cellStyle name="Normal 21 4 5 5" xfId="21962" xr:uid="{00000000-0005-0000-0000-00006E5C0000}"/>
    <cellStyle name="Normal 21 4 6" xfId="9669" xr:uid="{00000000-0005-0000-0000-00006F5C0000}"/>
    <cellStyle name="Normal 21 4 6 2" xfId="16705" xr:uid="{00000000-0005-0000-0000-0000705C0000}"/>
    <cellStyle name="Normal 21 4 6 2 2" xfId="29763" xr:uid="{00000000-0005-0000-0000-0000715C0000}"/>
    <cellStyle name="Normal 21 4 6 3" xfId="16706" xr:uid="{00000000-0005-0000-0000-0000725C0000}"/>
    <cellStyle name="Normal 21 4 6 3 2" xfId="29764" xr:uid="{00000000-0005-0000-0000-0000735C0000}"/>
    <cellStyle name="Normal 21 4 6 4" xfId="23040" xr:uid="{00000000-0005-0000-0000-0000745C0000}"/>
    <cellStyle name="Normal 21 4 7" xfId="16707" xr:uid="{00000000-0005-0000-0000-0000755C0000}"/>
    <cellStyle name="Normal 21 4 7 2" xfId="29765" xr:uid="{00000000-0005-0000-0000-0000765C0000}"/>
    <cellStyle name="Normal 21 4 8" xfId="16708" xr:uid="{00000000-0005-0000-0000-0000775C0000}"/>
    <cellStyle name="Normal 21 4 8 2" xfId="29766" xr:uid="{00000000-0005-0000-0000-0000785C0000}"/>
    <cellStyle name="Normal 21 4 9" xfId="20883" xr:uid="{00000000-0005-0000-0000-0000795C0000}"/>
    <cellStyle name="Normal 21 5" xfId="5244" xr:uid="{00000000-0005-0000-0000-00007A5C0000}"/>
    <cellStyle name="Normal 21 5 2" xfId="6689" xr:uid="{00000000-0005-0000-0000-00007B5C0000}"/>
    <cellStyle name="Normal 21 5 2 2" xfId="7378" xr:uid="{00000000-0005-0000-0000-00007C5C0000}"/>
    <cellStyle name="Normal 21 5 2 2 2" xfId="9257" xr:uid="{00000000-0005-0000-0000-00007D5C0000}"/>
    <cellStyle name="Normal 21 5 2 2 2 2" xfId="11636" xr:uid="{00000000-0005-0000-0000-00007E5C0000}"/>
    <cellStyle name="Normal 21 5 2 2 2 2 2" xfId="16709" xr:uid="{00000000-0005-0000-0000-00007F5C0000}"/>
    <cellStyle name="Normal 21 5 2 2 2 2 2 2" xfId="29767" xr:uid="{00000000-0005-0000-0000-0000805C0000}"/>
    <cellStyle name="Normal 21 5 2 2 2 2 3" xfId="16710" xr:uid="{00000000-0005-0000-0000-0000815C0000}"/>
    <cellStyle name="Normal 21 5 2 2 2 2 3 2" xfId="29768" xr:uid="{00000000-0005-0000-0000-0000825C0000}"/>
    <cellStyle name="Normal 21 5 2 2 2 2 4" xfId="25006" xr:uid="{00000000-0005-0000-0000-0000835C0000}"/>
    <cellStyle name="Normal 21 5 2 2 2 3" xfId="16711" xr:uid="{00000000-0005-0000-0000-0000845C0000}"/>
    <cellStyle name="Normal 21 5 2 2 2 3 2" xfId="29769" xr:uid="{00000000-0005-0000-0000-0000855C0000}"/>
    <cellStyle name="Normal 21 5 2 2 2 4" xfId="16712" xr:uid="{00000000-0005-0000-0000-0000865C0000}"/>
    <cellStyle name="Normal 21 5 2 2 2 4 2" xfId="29770" xr:uid="{00000000-0005-0000-0000-0000875C0000}"/>
    <cellStyle name="Normal 21 5 2 2 2 5" xfId="22850" xr:uid="{00000000-0005-0000-0000-0000885C0000}"/>
    <cellStyle name="Normal 21 5 2 2 3" xfId="10558" xr:uid="{00000000-0005-0000-0000-0000895C0000}"/>
    <cellStyle name="Normal 21 5 2 2 3 2" xfId="16713" xr:uid="{00000000-0005-0000-0000-00008A5C0000}"/>
    <cellStyle name="Normal 21 5 2 2 3 2 2" xfId="29771" xr:uid="{00000000-0005-0000-0000-00008B5C0000}"/>
    <cellStyle name="Normal 21 5 2 2 3 3" xfId="16714" xr:uid="{00000000-0005-0000-0000-00008C5C0000}"/>
    <cellStyle name="Normal 21 5 2 2 3 3 2" xfId="29772" xr:uid="{00000000-0005-0000-0000-00008D5C0000}"/>
    <cellStyle name="Normal 21 5 2 2 3 4" xfId="23928" xr:uid="{00000000-0005-0000-0000-00008E5C0000}"/>
    <cellStyle name="Normal 21 5 2 2 4" xfId="16715" xr:uid="{00000000-0005-0000-0000-00008F5C0000}"/>
    <cellStyle name="Normal 21 5 2 2 4 2" xfId="29773" xr:uid="{00000000-0005-0000-0000-0000905C0000}"/>
    <cellStyle name="Normal 21 5 2 2 5" xfId="16716" xr:uid="{00000000-0005-0000-0000-0000915C0000}"/>
    <cellStyle name="Normal 21 5 2 2 5 2" xfId="29774" xr:uid="{00000000-0005-0000-0000-0000925C0000}"/>
    <cellStyle name="Normal 21 5 2 2 6" xfId="21772" xr:uid="{00000000-0005-0000-0000-0000935C0000}"/>
    <cellStyle name="Normal 21 5 2 3" xfId="8711" xr:uid="{00000000-0005-0000-0000-0000945C0000}"/>
    <cellStyle name="Normal 21 5 2 3 2" xfId="11096" xr:uid="{00000000-0005-0000-0000-0000955C0000}"/>
    <cellStyle name="Normal 21 5 2 3 2 2" xfId="16717" xr:uid="{00000000-0005-0000-0000-0000965C0000}"/>
    <cellStyle name="Normal 21 5 2 3 2 2 2" xfId="29775" xr:uid="{00000000-0005-0000-0000-0000975C0000}"/>
    <cellStyle name="Normal 21 5 2 3 2 3" xfId="16718" xr:uid="{00000000-0005-0000-0000-0000985C0000}"/>
    <cellStyle name="Normal 21 5 2 3 2 3 2" xfId="29776" xr:uid="{00000000-0005-0000-0000-0000995C0000}"/>
    <cellStyle name="Normal 21 5 2 3 2 4" xfId="24466" xr:uid="{00000000-0005-0000-0000-00009A5C0000}"/>
    <cellStyle name="Normal 21 5 2 3 3" xfId="16719" xr:uid="{00000000-0005-0000-0000-00009B5C0000}"/>
    <cellStyle name="Normal 21 5 2 3 3 2" xfId="29777" xr:uid="{00000000-0005-0000-0000-00009C5C0000}"/>
    <cellStyle name="Normal 21 5 2 3 4" xfId="16720" xr:uid="{00000000-0005-0000-0000-00009D5C0000}"/>
    <cellStyle name="Normal 21 5 2 3 4 2" xfId="29778" xr:uid="{00000000-0005-0000-0000-00009E5C0000}"/>
    <cellStyle name="Normal 21 5 2 3 5" xfId="22310" xr:uid="{00000000-0005-0000-0000-00009F5C0000}"/>
    <cellStyle name="Normal 21 5 2 4" xfId="10018" xr:uid="{00000000-0005-0000-0000-0000A05C0000}"/>
    <cellStyle name="Normal 21 5 2 4 2" xfId="16721" xr:uid="{00000000-0005-0000-0000-0000A15C0000}"/>
    <cellStyle name="Normal 21 5 2 4 2 2" xfId="29779" xr:uid="{00000000-0005-0000-0000-0000A25C0000}"/>
    <cellStyle name="Normal 21 5 2 4 3" xfId="16722" xr:uid="{00000000-0005-0000-0000-0000A35C0000}"/>
    <cellStyle name="Normal 21 5 2 4 3 2" xfId="29780" xr:uid="{00000000-0005-0000-0000-0000A45C0000}"/>
    <cellStyle name="Normal 21 5 2 4 4" xfId="23388" xr:uid="{00000000-0005-0000-0000-0000A55C0000}"/>
    <cellStyle name="Normal 21 5 2 5" xfId="16723" xr:uid="{00000000-0005-0000-0000-0000A65C0000}"/>
    <cellStyle name="Normal 21 5 2 5 2" xfId="29781" xr:uid="{00000000-0005-0000-0000-0000A75C0000}"/>
    <cellStyle name="Normal 21 5 2 6" xfId="16724" xr:uid="{00000000-0005-0000-0000-0000A85C0000}"/>
    <cellStyle name="Normal 21 5 2 6 2" xfId="29782" xr:uid="{00000000-0005-0000-0000-0000A95C0000}"/>
    <cellStyle name="Normal 21 5 2 7" xfId="21232" xr:uid="{00000000-0005-0000-0000-0000AA5C0000}"/>
    <cellStyle name="Normal 21 5 3" xfId="7109" xr:uid="{00000000-0005-0000-0000-0000AB5C0000}"/>
    <cellStyle name="Normal 21 5 3 2" xfId="8988" xr:uid="{00000000-0005-0000-0000-0000AC5C0000}"/>
    <cellStyle name="Normal 21 5 3 2 2" xfId="11367" xr:uid="{00000000-0005-0000-0000-0000AD5C0000}"/>
    <cellStyle name="Normal 21 5 3 2 2 2" xfId="16725" xr:uid="{00000000-0005-0000-0000-0000AE5C0000}"/>
    <cellStyle name="Normal 21 5 3 2 2 2 2" xfId="29783" xr:uid="{00000000-0005-0000-0000-0000AF5C0000}"/>
    <cellStyle name="Normal 21 5 3 2 2 3" xfId="16726" xr:uid="{00000000-0005-0000-0000-0000B05C0000}"/>
    <cellStyle name="Normal 21 5 3 2 2 3 2" xfId="29784" xr:uid="{00000000-0005-0000-0000-0000B15C0000}"/>
    <cellStyle name="Normal 21 5 3 2 2 4" xfId="24737" xr:uid="{00000000-0005-0000-0000-0000B25C0000}"/>
    <cellStyle name="Normal 21 5 3 2 3" xfId="16727" xr:uid="{00000000-0005-0000-0000-0000B35C0000}"/>
    <cellStyle name="Normal 21 5 3 2 3 2" xfId="29785" xr:uid="{00000000-0005-0000-0000-0000B45C0000}"/>
    <cellStyle name="Normal 21 5 3 2 4" xfId="16728" xr:uid="{00000000-0005-0000-0000-0000B55C0000}"/>
    <cellStyle name="Normal 21 5 3 2 4 2" xfId="29786" xr:uid="{00000000-0005-0000-0000-0000B65C0000}"/>
    <cellStyle name="Normal 21 5 3 2 5" xfId="22581" xr:uid="{00000000-0005-0000-0000-0000B75C0000}"/>
    <cellStyle name="Normal 21 5 3 3" xfId="10289" xr:uid="{00000000-0005-0000-0000-0000B85C0000}"/>
    <cellStyle name="Normal 21 5 3 3 2" xfId="16729" xr:uid="{00000000-0005-0000-0000-0000B95C0000}"/>
    <cellStyle name="Normal 21 5 3 3 2 2" xfId="29787" xr:uid="{00000000-0005-0000-0000-0000BA5C0000}"/>
    <cellStyle name="Normal 21 5 3 3 3" xfId="16730" xr:uid="{00000000-0005-0000-0000-0000BB5C0000}"/>
    <cellStyle name="Normal 21 5 3 3 3 2" xfId="29788" xr:uid="{00000000-0005-0000-0000-0000BC5C0000}"/>
    <cellStyle name="Normal 21 5 3 3 4" xfId="23659" xr:uid="{00000000-0005-0000-0000-0000BD5C0000}"/>
    <cellStyle name="Normal 21 5 3 4" xfId="16731" xr:uid="{00000000-0005-0000-0000-0000BE5C0000}"/>
    <cellStyle name="Normal 21 5 3 4 2" xfId="29789" xr:uid="{00000000-0005-0000-0000-0000BF5C0000}"/>
    <cellStyle name="Normal 21 5 3 5" xfId="16732" xr:uid="{00000000-0005-0000-0000-0000C05C0000}"/>
    <cellStyle name="Normal 21 5 3 5 2" xfId="29790" xr:uid="{00000000-0005-0000-0000-0000C15C0000}"/>
    <cellStyle name="Normal 21 5 3 6" xfId="21503" xr:uid="{00000000-0005-0000-0000-0000C25C0000}"/>
    <cellStyle name="Normal 21 5 4" xfId="8371" xr:uid="{00000000-0005-0000-0000-0000C35C0000}"/>
    <cellStyle name="Normal 21 5 4 2" xfId="10827" xr:uid="{00000000-0005-0000-0000-0000C45C0000}"/>
    <cellStyle name="Normal 21 5 4 2 2" xfId="16733" xr:uid="{00000000-0005-0000-0000-0000C55C0000}"/>
    <cellStyle name="Normal 21 5 4 2 2 2" xfId="29791" xr:uid="{00000000-0005-0000-0000-0000C65C0000}"/>
    <cellStyle name="Normal 21 5 4 2 3" xfId="16734" xr:uid="{00000000-0005-0000-0000-0000C75C0000}"/>
    <cellStyle name="Normal 21 5 4 2 3 2" xfId="29792" xr:uid="{00000000-0005-0000-0000-0000C85C0000}"/>
    <cellStyle name="Normal 21 5 4 2 4" xfId="24197" xr:uid="{00000000-0005-0000-0000-0000C95C0000}"/>
    <cellStyle name="Normal 21 5 4 3" xfId="16735" xr:uid="{00000000-0005-0000-0000-0000CA5C0000}"/>
    <cellStyle name="Normal 21 5 4 3 2" xfId="29793" xr:uid="{00000000-0005-0000-0000-0000CB5C0000}"/>
    <cellStyle name="Normal 21 5 4 4" xfId="16736" xr:uid="{00000000-0005-0000-0000-0000CC5C0000}"/>
    <cellStyle name="Normal 21 5 4 4 2" xfId="29794" xr:uid="{00000000-0005-0000-0000-0000CD5C0000}"/>
    <cellStyle name="Normal 21 5 4 5" xfId="22041" xr:uid="{00000000-0005-0000-0000-0000CE5C0000}"/>
    <cellStyle name="Normal 21 5 5" xfId="9749" xr:uid="{00000000-0005-0000-0000-0000CF5C0000}"/>
    <cellStyle name="Normal 21 5 5 2" xfId="16737" xr:uid="{00000000-0005-0000-0000-0000D05C0000}"/>
    <cellStyle name="Normal 21 5 5 2 2" xfId="29795" xr:uid="{00000000-0005-0000-0000-0000D15C0000}"/>
    <cellStyle name="Normal 21 5 5 3" xfId="16738" xr:uid="{00000000-0005-0000-0000-0000D25C0000}"/>
    <cellStyle name="Normal 21 5 5 3 2" xfId="29796" xr:uid="{00000000-0005-0000-0000-0000D35C0000}"/>
    <cellStyle name="Normal 21 5 5 4" xfId="23119" xr:uid="{00000000-0005-0000-0000-0000D45C0000}"/>
    <cellStyle name="Normal 21 5 6" xfId="16739" xr:uid="{00000000-0005-0000-0000-0000D55C0000}"/>
    <cellStyle name="Normal 21 5 6 2" xfId="29797" xr:uid="{00000000-0005-0000-0000-0000D65C0000}"/>
    <cellStyle name="Normal 21 5 7" xfId="16740" xr:uid="{00000000-0005-0000-0000-0000D75C0000}"/>
    <cellStyle name="Normal 21 5 7 2" xfId="29798" xr:uid="{00000000-0005-0000-0000-0000D85C0000}"/>
    <cellStyle name="Normal 21 5 8" xfId="20963" xr:uid="{00000000-0005-0000-0000-0000D95C0000}"/>
    <cellStyle name="Normal 21 6" xfId="6525" xr:uid="{00000000-0005-0000-0000-0000DA5C0000}"/>
    <cellStyle name="Normal 21 6 2" xfId="7244" xr:uid="{00000000-0005-0000-0000-0000DB5C0000}"/>
    <cellStyle name="Normal 21 6 2 2" xfId="9123" xr:uid="{00000000-0005-0000-0000-0000DC5C0000}"/>
    <cellStyle name="Normal 21 6 2 2 2" xfId="11502" xr:uid="{00000000-0005-0000-0000-0000DD5C0000}"/>
    <cellStyle name="Normal 21 6 2 2 2 2" xfId="16741" xr:uid="{00000000-0005-0000-0000-0000DE5C0000}"/>
    <cellStyle name="Normal 21 6 2 2 2 2 2" xfId="29799" xr:uid="{00000000-0005-0000-0000-0000DF5C0000}"/>
    <cellStyle name="Normal 21 6 2 2 2 3" xfId="16742" xr:uid="{00000000-0005-0000-0000-0000E05C0000}"/>
    <cellStyle name="Normal 21 6 2 2 2 3 2" xfId="29800" xr:uid="{00000000-0005-0000-0000-0000E15C0000}"/>
    <cellStyle name="Normal 21 6 2 2 2 4" xfId="24872" xr:uid="{00000000-0005-0000-0000-0000E25C0000}"/>
    <cellStyle name="Normal 21 6 2 2 3" xfId="16743" xr:uid="{00000000-0005-0000-0000-0000E35C0000}"/>
    <cellStyle name="Normal 21 6 2 2 3 2" xfId="29801" xr:uid="{00000000-0005-0000-0000-0000E45C0000}"/>
    <cellStyle name="Normal 21 6 2 2 4" xfId="16744" xr:uid="{00000000-0005-0000-0000-0000E55C0000}"/>
    <cellStyle name="Normal 21 6 2 2 4 2" xfId="29802" xr:uid="{00000000-0005-0000-0000-0000E65C0000}"/>
    <cellStyle name="Normal 21 6 2 2 5" xfId="22716" xr:uid="{00000000-0005-0000-0000-0000E75C0000}"/>
    <cellStyle name="Normal 21 6 2 3" xfId="10424" xr:uid="{00000000-0005-0000-0000-0000E85C0000}"/>
    <cellStyle name="Normal 21 6 2 3 2" xfId="16745" xr:uid="{00000000-0005-0000-0000-0000E95C0000}"/>
    <cellStyle name="Normal 21 6 2 3 2 2" xfId="29803" xr:uid="{00000000-0005-0000-0000-0000EA5C0000}"/>
    <cellStyle name="Normal 21 6 2 3 3" xfId="16746" xr:uid="{00000000-0005-0000-0000-0000EB5C0000}"/>
    <cellStyle name="Normal 21 6 2 3 3 2" xfId="29804" xr:uid="{00000000-0005-0000-0000-0000EC5C0000}"/>
    <cellStyle name="Normal 21 6 2 3 4" xfId="23794" xr:uid="{00000000-0005-0000-0000-0000ED5C0000}"/>
    <cellStyle name="Normal 21 6 2 4" xfId="16747" xr:uid="{00000000-0005-0000-0000-0000EE5C0000}"/>
    <cellStyle name="Normal 21 6 2 4 2" xfId="29805" xr:uid="{00000000-0005-0000-0000-0000EF5C0000}"/>
    <cellStyle name="Normal 21 6 2 5" xfId="16748" xr:uid="{00000000-0005-0000-0000-0000F05C0000}"/>
    <cellStyle name="Normal 21 6 2 5 2" xfId="29806" xr:uid="{00000000-0005-0000-0000-0000F15C0000}"/>
    <cellStyle name="Normal 21 6 2 6" xfId="21638" xr:uid="{00000000-0005-0000-0000-0000F25C0000}"/>
    <cellStyle name="Normal 21 6 3" xfId="8575" xr:uid="{00000000-0005-0000-0000-0000F35C0000}"/>
    <cellStyle name="Normal 21 6 3 2" xfId="10962" xr:uid="{00000000-0005-0000-0000-0000F45C0000}"/>
    <cellStyle name="Normal 21 6 3 2 2" xfId="16749" xr:uid="{00000000-0005-0000-0000-0000F55C0000}"/>
    <cellStyle name="Normal 21 6 3 2 2 2" xfId="29807" xr:uid="{00000000-0005-0000-0000-0000F65C0000}"/>
    <cellStyle name="Normal 21 6 3 2 3" xfId="16750" xr:uid="{00000000-0005-0000-0000-0000F75C0000}"/>
    <cellStyle name="Normal 21 6 3 2 3 2" xfId="29808" xr:uid="{00000000-0005-0000-0000-0000F85C0000}"/>
    <cellStyle name="Normal 21 6 3 2 4" xfId="24332" xr:uid="{00000000-0005-0000-0000-0000F95C0000}"/>
    <cellStyle name="Normal 21 6 3 3" xfId="16751" xr:uid="{00000000-0005-0000-0000-0000FA5C0000}"/>
    <cellStyle name="Normal 21 6 3 3 2" xfId="29809" xr:uid="{00000000-0005-0000-0000-0000FB5C0000}"/>
    <cellStyle name="Normal 21 6 3 4" xfId="16752" xr:uid="{00000000-0005-0000-0000-0000FC5C0000}"/>
    <cellStyle name="Normal 21 6 3 4 2" xfId="29810" xr:uid="{00000000-0005-0000-0000-0000FD5C0000}"/>
    <cellStyle name="Normal 21 6 3 5" xfId="22176" xr:uid="{00000000-0005-0000-0000-0000FE5C0000}"/>
    <cellStyle name="Normal 21 6 4" xfId="9884" xr:uid="{00000000-0005-0000-0000-0000FF5C0000}"/>
    <cellStyle name="Normal 21 6 4 2" xfId="16753" xr:uid="{00000000-0005-0000-0000-0000005D0000}"/>
    <cellStyle name="Normal 21 6 4 2 2" xfId="29811" xr:uid="{00000000-0005-0000-0000-0000015D0000}"/>
    <cellStyle name="Normal 21 6 4 3" xfId="16754" xr:uid="{00000000-0005-0000-0000-0000025D0000}"/>
    <cellStyle name="Normal 21 6 4 3 2" xfId="29812" xr:uid="{00000000-0005-0000-0000-0000035D0000}"/>
    <cellStyle name="Normal 21 6 4 4" xfId="23254" xr:uid="{00000000-0005-0000-0000-0000045D0000}"/>
    <cellStyle name="Normal 21 6 5" xfId="16755" xr:uid="{00000000-0005-0000-0000-0000055D0000}"/>
    <cellStyle name="Normal 21 6 5 2" xfId="29813" xr:uid="{00000000-0005-0000-0000-0000065D0000}"/>
    <cellStyle name="Normal 21 6 6" xfId="16756" xr:uid="{00000000-0005-0000-0000-0000075D0000}"/>
    <cellStyle name="Normal 21 6 6 2" xfId="29814" xr:uid="{00000000-0005-0000-0000-0000085D0000}"/>
    <cellStyle name="Normal 21 6 7" xfId="21098" xr:uid="{00000000-0005-0000-0000-0000095D0000}"/>
    <cellStyle name="Normal 21 7" xfId="6974" xr:uid="{00000000-0005-0000-0000-00000A5D0000}"/>
    <cellStyle name="Normal 21 7 2" xfId="8854" xr:uid="{00000000-0005-0000-0000-00000B5D0000}"/>
    <cellStyle name="Normal 21 7 2 2" xfId="11233" xr:uid="{00000000-0005-0000-0000-00000C5D0000}"/>
    <cellStyle name="Normal 21 7 2 2 2" xfId="16757" xr:uid="{00000000-0005-0000-0000-00000D5D0000}"/>
    <cellStyle name="Normal 21 7 2 2 2 2" xfId="29815" xr:uid="{00000000-0005-0000-0000-00000E5D0000}"/>
    <cellStyle name="Normal 21 7 2 2 3" xfId="16758" xr:uid="{00000000-0005-0000-0000-00000F5D0000}"/>
    <cellStyle name="Normal 21 7 2 2 3 2" xfId="29816" xr:uid="{00000000-0005-0000-0000-0000105D0000}"/>
    <cellStyle name="Normal 21 7 2 2 4" xfId="24603" xr:uid="{00000000-0005-0000-0000-0000115D0000}"/>
    <cellStyle name="Normal 21 7 2 3" xfId="16759" xr:uid="{00000000-0005-0000-0000-0000125D0000}"/>
    <cellStyle name="Normal 21 7 2 3 2" xfId="29817" xr:uid="{00000000-0005-0000-0000-0000135D0000}"/>
    <cellStyle name="Normal 21 7 2 4" xfId="16760" xr:uid="{00000000-0005-0000-0000-0000145D0000}"/>
    <cellStyle name="Normal 21 7 2 4 2" xfId="29818" xr:uid="{00000000-0005-0000-0000-0000155D0000}"/>
    <cellStyle name="Normal 21 7 2 5" xfId="22447" xr:uid="{00000000-0005-0000-0000-0000165D0000}"/>
    <cellStyle name="Normal 21 7 3" xfId="10155" xr:uid="{00000000-0005-0000-0000-0000175D0000}"/>
    <cellStyle name="Normal 21 7 3 2" xfId="16761" xr:uid="{00000000-0005-0000-0000-0000185D0000}"/>
    <cellStyle name="Normal 21 7 3 2 2" xfId="29819" xr:uid="{00000000-0005-0000-0000-0000195D0000}"/>
    <cellStyle name="Normal 21 7 3 3" xfId="16762" xr:uid="{00000000-0005-0000-0000-00001A5D0000}"/>
    <cellStyle name="Normal 21 7 3 3 2" xfId="29820" xr:uid="{00000000-0005-0000-0000-00001B5D0000}"/>
    <cellStyle name="Normal 21 7 3 4" xfId="23525" xr:uid="{00000000-0005-0000-0000-00001C5D0000}"/>
    <cellStyle name="Normal 21 7 4" xfId="16763" xr:uid="{00000000-0005-0000-0000-00001D5D0000}"/>
    <cellStyle name="Normal 21 7 4 2" xfId="29821" xr:uid="{00000000-0005-0000-0000-00001E5D0000}"/>
    <cellStyle name="Normal 21 7 5" xfId="16764" xr:uid="{00000000-0005-0000-0000-00001F5D0000}"/>
    <cellStyle name="Normal 21 7 5 2" xfId="29822" xr:uid="{00000000-0005-0000-0000-0000205D0000}"/>
    <cellStyle name="Normal 21 7 6" xfId="21369" xr:uid="{00000000-0005-0000-0000-0000215D0000}"/>
    <cellStyle name="Normal 21 8" xfId="8103" xr:uid="{00000000-0005-0000-0000-0000225D0000}"/>
    <cellStyle name="Normal 21 8 2" xfId="10693" xr:uid="{00000000-0005-0000-0000-0000235D0000}"/>
    <cellStyle name="Normal 21 8 2 2" xfId="16765" xr:uid="{00000000-0005-0000-0000-0000245D0000}"/>
    <cellStyle name="Normal 21 8 2 2 2" xfId="29823" xr:uid="{00000000-0005-0000-0000-0000255D0000}"/>
    <cellStyle name="Normal 21 8 2 3" xfId="16766" xr:uid="{00000000-0005-0000-0000-0000265D0000}"/>
    <cellStyle name="Normal 21 8 2 3 2" xfId="29824" xr:uid="{00000000-0005-0000-0000-0000275D0000}"/>
    <cellStyle name="Normal 21 8 2 4" xfId="24063" xr:uid="{00000000-0005-0000-0000-0000285D0000}"/>
    <cellStyle name="Normal 21 8 3" xfId="16767" xr:uid="{00000000-0005-0000-0000-0000295D0000}"/>
    <cellStyle name="Normal 21 8 3 2" xfId="29825" xr:uid="{00000000-0005-0000-0000-00002A5D0000}"/>
    <cellStyle name="Normal 21 8 4" xfId="16768" xr:uid="{00000000-0005-0000-0000-00002B5D0000}"/>
    <cellStyle name="Normal 21 8 4 2" xfId="29826" xr:uid="{00000000-0005-0000-0000-00002C5D0000}"/>
    <cellStyle name="Normal 21 8 5" xfId="21907" xr:uid="{00000000-0005-0000-0000-00002D5D0000}"/>
    <cellStyle name="Normal 21 9" xfId="9614" xr:uid="{00000000-0005-0000-0000-00002E5D0000}"/>
    <cellStyle name="Normal 21 9 2" xfId="16769" xr:uid="{00000000-0005-0000-0000-00002F5D0000}"/>
    <cellStyle name="Normal 21 9 2 2" xfId="29827" xr:uid="{00000000-0005-0000-0000-0000305D0000}"/>
    <cellStyle name="Normal 21 9 3" xfId="16770" xr:uid="{00000000-0005-0000-0000-0000315D0000}"/>
    <cellStyle name="Normal 21 9 3 2" xfId="29828" xr:uid="{00000000-0005-0000-0000-0000325D0000}"/>
    <cellStyle name="Normal 21 9 4" xfId="22985" xr:uid="{00000000-0005-0000-0000-0000335D0000}"/>
    <cellStyle name="Normal 22" xfId="3023" xr:uid="{00000000-0005-0000-0000-0000345D0000}"/>
    <cellStyle name="Normal 22 10" xfId="16771" xr:uid="{00000000-0005-0000-0000-0000355D0000}"/>
    <cellStyle name="Normal 22 10 2" xfId="29829" xr:uid="{00000000-0005-0000-0000-0000365D0000}"/>
    <cellStyle name="Normal 22 11" xfId="16772" xr:uid="{00000000-0005-0000-0000-0000375D0000}"/>
    <cellStyle name="Normal 22 11 2" xfId="29830" xr:uid="{00000000-0005-0000-0000-0000385D0000}"/>
    <cellStyle name="Normal 22 12" xfId="20832" xr:uid="{00000000-0005-0000-0000-0000395D0000}"/>
    <cellStyle name="Normal 22 2" xfId="3608" xr:uid="{00000000-0005-0000-0000-00003A5D0000}"/>
    <cellStyle name="Normal 22 2 10" xfId="20848" xr:uid="{00000000-0005-0000-0000-00003B5D0000}"/>
    <cellStyle name="Normal 22 2 2" xfId="4086" xr:uid="{00000000-0005-0000-0000-00003C5D0000}"/>
    <cellStyle name="Normal 22 2 2 2" xfId="5622" xr:uid="{00000000-0005-0000-0000-00003D5D0000}"/>
    <cellStyle name="Normal 22 2 2 2 2" xfId="6774" xr:uid="{00000000-0005-0000-0000-00003E5D0000}"/>
    <cellStyle name="Normal 22 2 2 2 2 2" xfId="7461" xr:uid="{00000000-0005-0000-0000-00003F5D0000}"/>
    <cellStyle name="Normal 22 2 2 2 2 2 2" xfId="9340" xr:uid="{00000000-0005-0000-0000-0000405D0000}"/>
    <cellStyle name="Normal 22 2 2 2 2 2 2 2" xfId="11719" xr:uid="{00000000-0005-0000-0000-0000415D0000}"/>
    <cellStyle name="Normal 22 2 2 2 2 2 2 2 2" xfId="16773" xr:uid="{00000000-0005-0000-0000-0000425D0000}"/>
    <cellStyle name="Normal 22 2 2 2 2 2 2 2 2 2" xfId="29831" xr:uid="{00000000-0005-0000-0000-0000435D0000}"/>
    <cellStyle name="Normal 22 2 2 2 2 2 2 2 3" xfId="16774" xr:uid="{00000000-0005-0000-0000-0000445D0000}"/>
    <cellStyle name="Normal 22 2 2 2 2 2 2 2 3 2" xfId="29832" xr:uid="{00000000-0005-0000-0000-0000455D0000}"/>
    <cellStyle name="Normal 22 2 2 2 2 2 2 2 4" xfId="25089" xr:uid="{00000000-0005-0000-0000-0000465D0000}"/>
    <cellStyle name="Normal 22 2 2 2 2 2 2 3" xfId="16775" xr:uid="{00000000-0005-0000-0000-0000475D0000}"/>
    <cellStyle name="Normal 22 2 2 2 2 2 2 3 2" xfId="29833" xr:uid="{00000000-0005-0000-0000-0000485D0000}"/>
    <cellStyle name="Normal 22 2 2 2 2 2 2 4" xfId="16776" xr:uid="{00000000-0005-0000-0000-0000495D0000}"/>
    <cellStyle name="Normal 22 2 2 2 2 2 2 4 2" xfId="29834" xr:uid="{00000000-0005-0000-0000-00004A5D0000}"/>
    <cellStyle name="Normal 22 2 2 2 2 2 2 5" xfId="22933" xr:uid="{00000000-0005-0000-0000-00004B5D0000}"/>
    <cellStyle name="Normal 22 2 2 2 2 2 3" xfId="10641" xr:uid="{00000000-0005-0000-0000-00004C5D0000}"/>
    <cellStyle name="Normal 22 2 2 2 2 2 3 2" xfId="16777" xr:uid="{00000000-0005-0000-0000-00004D5D0000}"/>
    <cellStyle name="Normal 22 2 2 2 2 2 3 2 2" xfId="29835" xr:uid="{00000000-0005-0000-0000-00004E5D0000}"/>
    <cellStyle name="Normal 22 2 2 2 2 2 3 3" xfId="16778" xr:uid="{00000000-0005-0000-0000-00004F5D0000}"/>
    <cellStyle name="Normal 22 2 2 2 2 2 3 3 2" xfId="29836" xr:uid="{00000000-0005-0000-0000-0000505D0000}"/>
    <cellStyle name="Normal 22 2 2 2 2 2 3 4" xfId="24011" xr:uid="{00000000-0005-0000-0000-0000515D0000}"/>
    <cellStyle name="Normal 22 2 2 2 2 2 4" xfId="16779" xr:uid="{00000000-0005-0000-0000-0000525D0000}"/>
    <cellStyle name="Normal 22 2 2 2 2 2 4 2" xfId="29837" xr:uid="{00000000-0005-0000-0000-0000535D0000}"/>
    <cellStyle name="Normal 22 2 2 2 2 2 5" xfId="16780" xr:uid="{00000000-0005-0000-0000-0000545D0000}"/>
    <cellStyle name="Normal 22 2 2 2 2 2 5 2" xfId="29838" xr:uid="{00000000-0005-0000-0000-0000555D0000}"/>
    <cellStyle name="Normal 22 2 2 2 2 2 6" xfId="21855" xr:uid="{00000000-0005-0000-0000-0000565D0000}"/>
    <cellStyle name="Normal 22 2 2 2 2 3" xfId="8794" xr:uid="{00000000-0005-0000-0000-0000575D0000}"/>
    <cellStyle name="Normal 22 2 2 2 2 3 2" xfId="11179" xr:uid="{00000000-0005-0000-0000-0000585D0000}"/>
    <cellStyle name="Normal 22 2 2 2 2 3 2 2" xfId="16781" xr:uid="{00000000-0005-0000-0000-0000595D0000}"/>
    <cellStyle name="Normal 22 2 2 2 2 3 2 2 2" xfId="29839" xr:uid="{00000000-0005-0000-0000-00005A5D0000}"/>
    <cellStyle name="Normal 22 2 2 2 2 3 2 3" xfId="16782" xr:uid="{00000000-0005-0000-0000-00005B5D0000}"/>
    <cellStyle name="Normal 22 2 2 2 2 3 2 3 2" xfId="29840" xr:uid="{00000000-0005-0000-0000-00005C5D0000}"/>
    <cellStyle name="Normal 22 2 2 2 2 3 2 4" xfId="24549" xr:uid="{00000000-0005-0000-0000-00005D5D0000}"/>
    <cellStyle name="Normal 22 2 2 2 2 3 3" xfId="16783" xr:uid="{00000000-0005-0000-0000-00005E5D0000}"/>
    <cellStyle name="Normal 22 2 2 2 2 3 3 2" xfId="29841" xr:uid="{00000000-0005-0000-0000-00005F5D0000}"/>
    <cellStyle name="Normal 22 2 2 2 2 3 4" xfId="16784" xr:uid="{00000000-0005-0000-0000-0000605D0000}"/>
    <cellStyle name="Normal 22 2 2 2 2 3 4 2" xfId="29842" xr:uid="{00000000-0005-0000-0000-0000615D0000}"/>
    <cellStyle name="Normal 22 2 2 2 2 3 5" xfId="22393" xr:uid="{00000000-0005-0000-0000-0000625D0000}"/>
    <cellStyle name="Normal 22 2 2 2 2 4" xfId="10101" xr:uid="{00000000-0005-0000-0000-0000635D0000}"/>
    <cellStyle name="Normal 22 2 2 2 2 4 2" xfId="16785" xr:uid="{00000000-0005-0000-0000-0000645D0000}"/>
    <cellStyle name="Normal 22 2 2 2 2 4 2 2" xfId="29843" xr:uid="{00000000-0005-0000-0000-0000655D0000}"/>
    <cellStyle name="Normal 22 2 2 2 2 4 3" xfId="16786" xr:uid="{00000000-0005-0000-0000-0000665D0000}"/>
    <cellStyle name="Normal 22 2 2 2 2 4 3 2" xfId="29844" xr:uid="{00000000-0005-0000-0000-0000675D0000}"/>
    <cellStyle name="Normal 22 2 2 2 2 4 4" xfId="23471" xr:uid="{00000000-0005-0000-0000-0000685D0000}"/>
    <cellStyle name="Normal 22 2 2 2 2 5" xfId="16787" xr:uid="{00000000-0005-0000-0000-0000695D0000}"/>
    <cellStyle name="Normal 22 2 2 2 2 5 2" xfId="29845" xr:uid="{00000000-0005-0000-0000-00006A5D0000}"/>
    <cellStyle name="Normal 22 2 2 2 2 6" xfId="16788" xr:uid="{00000000-0005-0000-0000-00006B5D0000}"/>
    <cellStyle name="Normal 22 2 2 2 2 6 2" xfId="29846" xr:uid="{00000000-0005-0000-0000-00006C5D0000}"/>
    <cellStyle name="Normal 22 2 2 2 2 7" xfId="21315" xr:uid="{00000000-0005-0000-0000-00006D5D0000}"/>
    <cellStyle name="Normal 22 2 2 2 3" xfId="7192" xr:uid="{00000000-0005-0000-0000-00006E5D0000}"/>
    <cellStyle name="Normal 22 2 2 2 3 2" xfId="9071" xr:uid="{00000000-0005-0000-0000-00006F5D0000}"/>
    <cellStyle name="Normal 22 2 2 2 3 2 2" xfId="11450" xr:uid="{00000000-0005-0000-0000-0000705D0000}"/>
    <cellStyle name="Normal 22 2 2 2 3 2 2 2" xfId="16789" xr:uid="{00000000-0005-0000-0000-0000715D0000}"/>
    <cellStyle name="Normal 22 2 2 2 3 2 2 2 2" xfId="29847" xr:uid="{00000000-0005-0000-0000-0000725D0000}"/>
    <cellStyle name="Normal 22 2 2 2 3 2 2 3" xfId="16790" xr:uid="{00000000-0005-0000-0000-0000735D0000}"/>
    <cellStyle name="Normal 22 2 2 2 3 2 2 3 2" xfId="29848" xr:uid="{00000000-0005-0000-0000-0000745D0000}"/>
    <cellStyle name="Normal 22 2 2 2 3 2 2 4" xfId="24820" xr:uid="{00000000-0005-0000-0000-0000755D0000}"/>
    <cellStyle name="Normal 22 2 2 2 3 2 3" xfId="16791" xr:uid="{00000000-0005-0000-0000-0000765D0000}"/>
    <cellStyle name="Normal 22 2 2 2 3 2 3 2" xfId="29849" xr:uid="{00000000-0005-0000-0000-0000775D0000}"/>
    <cellStyle name="Normal 22 2 2 2 3 2 4" xfId="16792" xr:uid="{00000000-0005-0000-0000-0000785D0000}"/>
    <cellStyle name="Normal 22 2 2 2 3 2 4 2" xfId="29850" xr:uid="{00000000-0005-0000-0000-0000795D0000}"/>
    <cellStyle name="Normal 22 2 2 2 3 2 5" xfId="22664" xr:uid="{00000000-0005-0000-0000-00007A5D0000}"/>
    <cellStyle name="Normal 22 2 2 2 3 3" xfId="10372" xr:uid="{00000000-0005-0000-0000-00007B5D0000}"/>
    <cellStyle name="Normal 22 2 2 2 3 3 2" xfId="16793" xr:uid="{00000000-0005-0000-0000-00007C5D0000}"/>
    <cellStyle name="Normal 22 2 2 2 3 3 2 2" xfId="29851" xr:uid="{00000000-0005-0000-0000-00007D5D0000}"/>
    <cellStyle name="Normal 22 2 2 2 3 3 3" xfId="16794" xr:uid="{00000000-0005-0000-0000-00007E5D0000}"/>
    <cellStyle name="Normal 22 2 2 2 3 3 3 2" xfId="29852" xr:uid="{00000000-0005-0000-0000-00007F5D0000}"/>
    <cellStyle name="Normal 22 2 2 2 3 3 4" xfId="23742" xr:uid="{00000000-0005-0000-0000-0000805D0000}"/>
    <cellStyle name="Normal 22 2 2 2 3 4" xfId="16795" xr:uid="{00000000-0005-0000-0000-0000815D0000}"/>
    <cellStyle name="Normal 22 2 2 2 3 4 2" xfId="29853" xr:uid="{00000000-0005-0000-0000-0000825D0000}"/>
    <cellStyle name="Normal 22 2 2 2 3 5" xfId="16796" xr:uid="{00000000-0005-0000-0000-0000835D0000}"/>
    <cellStyle name="Normal 22 2 2 2 3 5 2" xfId="29854" xr:uid="{00000000-0005-0000-0000-0000845D0000}"/>
    <cellStyle name="Normal 22 2 2 2 3 6" xfId="21586" xr:uid="{00000000-0005-0000-0000-0000855D0000}"/>
    <cellStyle name="Normal 22 2 2 2 4" xfId="8469" xr:uid="{00000000-0005-0000-0000-0000865D0000}"/>
    <cellStyle name="Normal 22 2 2 2 4 2" xfId="10910" xr:uid="{00000000-0005-0000-0000-0000875D0000}"/>
    <cellStyle name="Normal 22 2 2 2 4 2 2" xfId="16797" xr:uid="{00000000-0005-0000-0000-0000885D0000}"/>
    <cellStyle name="Normal 22 2 2 2 4 2 2 2" xfId="29855" xr:uid="{00000000-0005-0000-0000-0000895D0000}"/>
    <cellStyle name="Normal 22 2 2 2 4 2 3" xfId="16798" xr:uid="{00000000-0005-0000-0000-00008A5D0000}"/>
    <cellStyle name="Normal 22 2 2 2 4 2 3 2" xfId="29856" xr:uid="{00000000-0005-0000-0000-00008B5D0000}"/>
    <cellStyle name="Normal 22 2 2 2 4 2 4" xfId="24280" xr:uid="{00000000-0005-0000-0000-00008C5D0000}"/>
    <cellStyle name="Normal 22 2 2 2 4 3" xfId="16799" xr:uid="{00000000-0005-0000-0000-00008D5D0000}"/>
    <cellStyle name="Normal 22 2 2 2 4 3 2" xfId="29857" xr:uid="{00000000-0005-0000-0000-00008E5D0000}"/>
    <cellStyle name="Normal 22 2 2 2 4 4" xfId="16800" xr:uid="{00000000-0005-0000-0000-00008F5D0000}"/>
    <cellStyle name="Normal 22 2 2 2 4 4 2" xfId="29858" xr:uid="{00000000-0005-0000-0000-0000905D0000}"/>
    <cellStyle name="Normal 22 2 2 2 4 5" xfId="22124" xr:uid="{00000000-0005-0000-0000-0000915D0000}"/>
    <cellStyle name="Normal 22 2 2 2 5" xfId="9832" xr:uid="{00000000-0005-0000-0000-0000925D0000}"/>
    <cellStyle name="Normal 22 2 2 2 5 2" xfId="16801" xr:uid="{00000000-0005-0000-0000-0000935D0000}"/>
    <cellStyle name="Normal 22 2 2 2 5 2 2" xfId="29859" xr:uid="{00000000-0005-0000-0000-0000945D0000}"/>
    <cellStyle name="Normal 22 2 2 2 5 3" xfId="16802" xr:uid="{00000000-0005-0000-0000-0000955D0000}"/>
    <cellStyle name="Normal 22 2 2 2 5 3 2" xfId="29860" xr:uid="{00000000-0005-0000-0000-0000965D0000}"/>
    <cellStyle name="Normal 22 2 2 2 5 4" xfId="23202" xr:uid="{00000000-0005-0000-0000-0000975D0000}"/>
    <cellStyle name="Normal 22 2 2 2 6" xfId="16803" xr:uid="{00000000-0005-0000-0000-0000985D0000}"/>
    <cellStyle name="Normal 22 2 2 2 6 2" xfId="29861" xr:uid="{00000000-0005-0000-0000-0000995D0000}"/>
    <cellStyle name="Normal 22 2 2 2 7" xfId="16804" xr:uid="{00000000-0005-0000-0000-00009A5D0000}"/>
    <cellStyle name="Normal 22 2 2 2 7 2" xfId="29862" xr:uid="{00000000-0005-0000-0000-00009B5D0000}"/>
    <cellStyle name="Normal 22 2 2 2 8" xfId="21046" xr:uid="{00000000-0005-0000-0000-00009C5D0000}"/>
    <cellStyle name="Normal 22 2 2 3" xfId="6623" xr:uid="{00000000-0005-0000-0000-00009D5D0000}"/>
    <cellStyle name="Normal 22 2 2 3 2" xfId="7319" xr:uid="{00000000-0005-0000-0000-00009E5D0000}"/>
    <cellStyle name="Normal 22 2 2 3 2 2" xfId="9198" xr:uid="{00000000-0005-0000-0000-00009F5D0000}"/>
    <cellStyle name="Normal 22 2 2 3 2 2 2" xfId="11577" xr:uid="{00000000-0005-0000-0000-0000A05D0000}"/>
    <cellStyle name="Normal 22 2 2 3 2 2 2 2" xfId="16805" xr:uid="{00000000-0005-0000-0000-0000A15D0000}"/>
    <cellStyle name="Normal 22 2 2 3 2 2 2 2 2" xfId="29863" xr:uid="{00000000-0005-0000-0000-0000A25D0000}"/>
    <cellStyle name="Normal 22 2 2 3 2 2 2 3" xfId="16806" xr:uid="{00000000-0005-0000-0000-0000A35D0000}"/>
    <cellStyle name="Normal 22 2 2 3 2 2 2 3 2" xfId="29864" xr:uid="{00000000-0005-0000-0000-0000A45D0000}"/>
    <cellStyle name="Normal 22 2 2 3 2 2 2 4" xfId="24947" xr:uid="{00000000-0005-0000-0000-0000A55D0000}"/>
    <cellStyle name="Normal 22 2 2 3 2 2 3" xfId="16807" xr:uid="{00000000-0005-0000-0000-0000A65D0000}"/>
    <cellStyle name="Normal 22 2 2 3 2 2 3 2" xfId="29865" xr:uid="{00000000-0005-0000-0000-0000A75D0000}"/>
    <cellStyle name="Normal 22 2 2 3 2 2 4" xfId="16808" xr:uid="{00000000-0005-0000-0000-0000A85D0000}"/>
    <cellStyle name="Normal 22 2 2 3 2 2 4 2" xfId="29866" xr:uid="{00000000-0005-0000-0000-0000A95D0000}"/>
    <cellStyle name="Normal 22 2 2 3 2 2 5" xfId="22791" xr:uid="{00000000-0005-0000-0000-0000AA5D0000}"/>
    <cellStyle name="Normal 22 2 2 3 2 3" xfId="10499" xr:uid="{00000000-0005-0000-0000-0000AB5D0000}"/>
    <cellStyle name="Normal 22 2 2 3 2 3 2" xfId="16809" xr:uid="{00000000-0005-0000-0000-0000AC5D0000}"/>
    <cellStyle name="Normal 22 2 2 3 2 3 2 2" xfId="29867" xr:uid="{00000000-0005-0000-0000-0000AD5D0000}"/>
    <cellStyle name="Normal 22 2 2 3 2 3 3" xfId="16810" xr:uid="{00000000-0005-0000-0000-0000AE5D0000}"/>
    <cellStyle name="Normal 22 2 2 3 2 3 3 2" xfId="29868" xr:uid="{00000000-0005-0000-0000-0000AF5D0000}"/>
    <cellStyle name="Normal 22 2 2 3 2 3 4" xfId="23869" xr:uid="{00000000-0005-0000-0000-0000B05D0000}"/>
    <cellStyle name="Normal 22 2 2 3 2 4" xfId="16811" xr:uid="{00000000-0005-0000-0000-0000B15D0000}"/>
    <cellStyle name="Normal 22 2 2 3 2 4 2" xfId="29869" xr:uid="{00000000-0005-0000-0000-0000B25D0000}"/>
    <cellStyle name="Normal 22 2 2 3 2 5" xfId="16812" xr:uid="{00000000-0005-0000-0000-0000B35D0000}"/>
    <cellStyle name="Normal 22 2 2 3 2 5 2" xfId="29870" xr:uid="{00000000-0005-0000-0000-0000B45D0000}"/>
    <cellStyle name="Normal 22 2 2 3 2 6" xfId="21713" xr:uid="{00000000-0005-0000-0000-0000B55D0000}"/>
    <cellStyle name="Normal 22 2 2 3 3" xfId="8651" xr:uid="{00000000-0005-0000-0000-0000B65D0000}"/>
    <cellStyle name="Normal 22 2 2 3 3 2" xfId="11037" xr:uid="{00000000-0005-0000-0000-0000B75D0000}"/>
    <cellStyle name="Normal 22 2 2 3 3 2 2" xfId="16813" xr:uid="{00000000-0005-0000-0000-0000B85D0000}"/>
    <cellStyle name="Normal 22 2 2 3 3 2 2 2" xfId="29871" xr:uid="{00000000-0005-0000-0000-0000B95D0000}"/>
    <cellStyle name="Normal 22 2 2 3 3 2 3" xfId="16814" xr:uid="{00000000-0005-0000-0000-0000BA5D0000}"/>
    <cellStyle name="Normal 22 2 2 3 3 2 3 2" xfId="29872" xr:uid="{00000000-0005-0000-0000-0000BB5D0000}"/>
    <cellStyle name="Normal 22 2 2 3 3 2 4" xfId="24407" xr:uid="{00000000-0005-0000-0000-0000BC5D0000}"/>
    <cellStyle name="Normal 22 2 2 3 3 3" xfId="16815" xr:uid="{00000000-0005-0000-0000-0000BD5D0000}"/>
    <cellStyle name="Normal 22 2 2 3 3 3 2" xfId="29873" xr:uid="{00000000-0005-0000-0000-0000BE5D0000}"/>
    <cellStyle name="Normal 22 2 2 3 3 4" xfId="16816" xr:uid="{00000000-0005-0000-0000-0000BF5D0000}"/>
    <cellStyle name="Normal 22 2 2 3 3 4 2" xfId="29874" xr:uid="{00000000-0005-0000-0000-0000C05D0000}"/>
    <cellStyle name="Normal 22 2 2 3 3 5" xfId="22251" xr:uid="{00000000-0005-0000-0000-0000C15D0000}"/>
    <cellStyle name="Normal 22 2 2 3 4" xfId="9959" xr:uid="{00000000-0005-0000-0000-0000C25D0000}"/>
    <cellStyle name="Normal 22 2 2 3 4 2" xfId="16817" xr:uid="{00000000-0005-0000-0000-0000C35D0000}"/>
    <cellStyle name="Normal 22 2 2 3 4 2 2" xfId="29875" xr:uid="{00000000-0005-0000-0000-0000C45D0000}"/>
    <cellStyle name="Normal 22 2 2 3 4 3" xfId="16818" xr:uid="{00000000-0005-0000-0000-0000C55D0000}"/>
    <cellStyle name="Normal 22 2 2 3 4 3 2" xfId="29876" xr:uid="{00000000-0005-0000-0000-0000C65D0000}"/>
    <cellStyle name="Normal 22 2 2 3 4 4" xfId="23329" xr:uid="{00000000-0005-0000-0000-0000C75D0000}"/>
    <cellStyle name="Normal 22 2 2 3 5" xfId="16819" xr:uid="{00000000-0005-0000-0000-0000C85D0000}"/>
    <cellStyle name="Normal 22 2 2 3 5 2" xfId="29877" xr:uid="{00000000-0005-0000-0000-0000C95D0000}"/>
    <cellStyle name="Normal 22 2 2 3 6" xfId="16820" xr:uid="{00000000-0005-0000-0000-0000CA5D0000}"/>
    <cellStyle name="Normal 22 2 2 3 6 2" xfId="29878" xr:uid="{00000000-0005-0000-0000-0000CB5D0000}"/>
    <cellStyle name="Normal 22 2 2 3 7" xfId="21173" xr:uid="{00000000-0005-0000-0000-0000CC5D0000}"/>
    <cellStyle name="Normal 22 2 2 4" xfId="7049" xr:uid="{00000000-0005-0000-0000-0000CD5D0000}"/>
    <cellStyle name="Normal 22 2 2 4 2" xfId="8929" xr:uid="{00000000-0005-0000-0000-0000CE5D0000}"/>
    <cellStyle name="Normal 22 2 2 4 2 2" xfId="11308" xr:uid="{00000000-0005-0000-0000-0000CF5D0000}"/>
    <cellStyle name="Normal 22 2 2 4 2 2 2" xfId="16821" xr:uid="{00000000-0005-0000-0000-0000D05D0000}"/>
    <cellStyle name="Normal 22 2 2 4 2 2 2 2" xfId="29879" xr:uid="{00000000-0005-0000-0000-0000D15D0000}"/>
    <cellStyle name="Normal 22 2 2 4 2 2 3" xfId="16822" xr:uid="{00000000-0005-0000-0000-0000D25D0000}"/>
    <cellStyle name="Normal 22 2 2 4 2 2 3 2" xfId="29880" xr:uid="{00000000-0005-0000-0000-0000D35D0000}"/>
    <cellStyle name="Normal 22 2 2 4 2 2 4" xfId="24678" xr:uid="{00000000-0005-0000-0000-0000D45D0000}"/>
    <cellStyle name="Normal 22 2 2 4 2 3" xfId="16823" xr:uid="{00000000-0005-0000-0000-0000D55D0000}"/>
    <cellStyle name="Normal 22 2 2 4 2 3 2" xfId="29881" xr:uid="{00000000-0005-0000-0000-0000D65D0000}"/>
    <cellStyle name="Normal 22 2 2 4 2 4" xfId="16824" xr:uid="{00000000-0005-0000-0000-0000D75D0000}"/>
    <cellStyle name="Normal 22 2 2 4 2 4 2" xfId="29882" xr:uid="{00000000-0005-0000-0000-0000D85D0000}"/>
    <cellStyle name="Normal 22 2 2 4 2 5" xfId="22522" xr:uid="{00000000-0005-0000-0000-0000D95D0000}"/>
    <cellStyle name="Normal 22 2 2 4 3" xfId="10230" xr:uid="{00000000-0005-0000-0000-0000DA5D0000}"/>
    <cellStyle name="Normal 22 2 2 4 3 2" xfId="16825" xr:uid="{00000000-0005-0000-0000-0000DB5D0000}"/>
    <cellStyle name="Normal 22 2 2 4 3 2 2" xfId="29883" xr:uid="{00000000-0005-0000-0000-0000DC5D0000}"/>
    <cellStyle name="Normal 22 2 2 4 3 3" xfId="16826" xr:uid="{00000000-0005-0000-0000-0000DD5D0000}"/>
    <cellStyle name="Normal 22 2 2 4 3 3 2" xfId="29884" xr:uid="{00000000-0005-0000-0000-0000DE5D0000}"/>
    <cellStyle name="Normal 22 2 2 4 3 4" xfId="23600" xr:uid="{00000000-0005-0000-0000-0000DF5D0000}"/>
    <cellStyle name="Normal 22 2 2 4 4" xfId="16827" xr:uid="{00000000-0005-0000-0000-0000E05D0000}"/>
    <cellStyle name="Normal 22 2 2 4 4 2" xfId="29885" xr:uid="{00000000-0005-0000-0000-0000E15D0000}"/>
    <cellStyle name="Normal 22 2 2 4 5" xfId="16828" xr:uid="{00000000-0005-0000-0000-0000E25D0000}"/>
    <cellStyle name="Normal 22 2 2 4 5 2" xfId="29886" xr:uid="{00000000-0005-0000-0000-0000E35D0000}"/>
    <cellStyle name="Normal 22 2 2 4 6" xfId="21444" xr:uid="{00000000-0005-0000-0000-0000E45D0000}"/>
    <cellStyle name="Normal 22 2 2 5" xfId="8253" xr:uid="{00000000-0005-0000-0000-0000E55D0000}"/>
    <cellStyle name="Normal 22 2 2 5 2" xfId="10768" xr:uid="{00000000-0005-0000-0000-0000E65D0000}"/>
    <cellStyle name="Normal 22 2 2 5 2 2" xfId="16829" xr:uid="{00000000-0005-0000-0000-0000E75D0000}"/>
    <cellStyle name="Normal 22 2 2 5 2 2 2" xfId="29887" xr:uid="{00000000-0005-0000-0000-0000E85D0000}"/>
    <cellStyle name="Normal 22 2 2 5 2 3" xfId="16830" xr:uid="{00000000-0005-0000-0000-0000E95D0000}"/>
    <cellStyle name="Normal 22 2 2 5 2 3 2" xfId="29888" xr:uid="{00000000-0005-0000-0000-0000EA5D0000}"/>
    <cellStyle name="Normal 22 2 2 5 2 4" xfId="24138" xr:uid="{00000000-0005-0000-0000-0000EB5D0000}"/>
    <cellStyle name="Normal 22 2 2 5 3" xfId="16831" xr:uid="{00000000-0005-0000-0000-0000EC5D0000}"/>
    <cellStyle name="Normal 22 2 2 5 3 2" xfId="29889" xr:uid="{00000000-0005-0000-0000-0000ED5D0000}"/>
    <cellStyle name="Normal 22 2 2 5 4" xfId="16832" xr:uid="{00000000-0005-0000-0000-0000EE5D0000}"/>
    <cellStyle name="Normal 22 2 2 5 4 2" xfId="29890" xr:uid="{00000000-0005-0000-0000-0000EF5D0000}"/>
    <cellStyle name="Normal 22 2 2 5 5" xfId="21982" xr:uid="{00000000-0005-0000-0000-0000F05D0000}"/>
    <cellStyle name="Normal 22 2 2 6" xfId="9689" xr:uid="{00000000-0005-0000-0000-0000F15D0000}"/>
    <cellStyle name="Normal 22 2 2 6 2" xfId="16833" xr:uid="{00000000-0005-0000-0000-0000F25D0000}"/>
    <cellStyle name="Normal 22 2 2 6 2 2" xfId="29891" xr:uid="{00000000-0005-0000-0000-0000F35D0000}"/>
    <cellStyle name="Normal 22 2 2 6 3" xfId="16834" xr:uid="{00000000-0005-0000-0000-0000F45D0000}"/>
    <cellStyle name="Normal 22 2 2 6 3 2" xfId="29892" xr:uid="{00000000-0005-0000-0000-0000F55D0000}"/>
    <cellStyle name="Normal 22 2 2 6 4" xfId="23060" xr:uid="{00000000-0005-0000-0000-0000F65D0000}"/>
    <cellStyle name="Normal 22 2 2 7" xfId="16835" xr:uid="{00000000-0005-0000-0000-0000F75D0000}"/>
    <cellStyle name="Normal 22 2 2 7 2" xfId="29893" xr:uid="{00000000-0005-0000-0000-0000F85D0000}"/>
    <cellStyle name="Normal 22 2 2 8" xfId="16836" xr:uid="{00000000-0005-0000-0000-0000F95D0000}"/>
    <cellStyle name="Normal 22 2 2 8 2" xfId="29894" xr:uid="{00000000-0005-0000-0000-0000FA5D0000}"/>
    <cellStyle name="Normal 22 2 2 9" xfId="20903" xr:uid="{00000000-0005-0000-0000-0000FB5D0000}"/>
    <cellStyle name="Normal 22 2 3" xfId="5445" xr:uid="{00000000-0005-0000-0000-0000FC5D0000}"/>
    <cellStyle name="Normal 22 2 3 2" xfId="6714" xr:uid="{00000000-0005-0000-0000-0000FD5D0000}"/>
    <cellStyle name="Normal 22 2 3 2 2" xfId="7401" xr:uid="{00000000-0005-0000-0000-0000FE5D0000}"/>
    <cellStyle name="Normal 22 2 3 2 2 2" xfId="9280" xr:uid="{00000000-0005-0000-0000-0000FF5D0000}"/>
    <cellStyle name="Normal 22 2 3 2 2 2 2" xfId="11659" xr:uid="{00000000-0005-0000-0000-0000005E0000}"/>
    <cellStyle name="Normal 22 2 3 2 2 2 2 2" xfId="16837" xr:uid="{00000000-0005-0000-0000-0000015E0000}"/>
    <cellStyle name="Normal 22 2 3 2 2 2 2 2 2" xfId="29895" xr:uid="{00000000-0005-0000-0000-0000025E0000}"/>
    <cellStyle name="Normal 22 2 3 2 2 2 2 3" xfId="16838" xr:uid="{00000000-0005-0000-0000-0000035E0000}"/>
    <cellStyle name="Normal 22 2 3 2 2 2 2 3 2" xfId="29896" xr:uid="{00000000-0005-0000-0000-0000045E0000}"/>
    <cellStyle name="Normal 22 2 3 2 2 2 2 4" xfId="25029" xr:uid="{00000000-0005-0000-0000-0000055E0000}"/>
    <cellStyle name="Normal 22 2 3 2 2 2 3" xfId="16839" xr:uid="{00000000-0005-0000-0000-0000065E0000}"/>
    <cellStyle name="Normal 22 2 3 2 2 2 3 2" xfId="29897" xr:uid="{00000000-0005-0000-0000-0000075E0000}"/>
    <cellStyle name="Normal 22 2 3 2 2 2 4" xfId="16840" xr:uid="{00000000-0005-0000-0000-0000085E0000}"/>
    <cellStyle name="Normal 22 2 3 2 2 2 4 2" xfId="29898" xr:uid="{00000000-0005-0000-0000-0000095E0000}"/>
    <cellStyle name="Normal 22 2 3 2 2 2 5" xfId="22873" xr:uid="{00000000-0005-0000-0000-00000A5E0000}"/>
    <cellStyle name="Normal 22 2 3 2 2 3" xfId="10581" xr:uid="{00000000-0005-0000-0000-00000B5E0000}"/>
    <cellStyle name="Normal 22 2 3 2 2 3 2" xfId="16841" xr:uid="{00000000-0005-0000-0000-00000C5E0000}"/>
    <cellStyle name="Normal 22 2 3 2 2 3 2 2" xfId="29899" xr:uid="{00000000-0005-0000-0000-00000D5E0000}"/>
    <cellStyle name="Normal 22 2 3 2 2 3 3" xfId="16842" xr:uid="{00000000-0005-0000-0000-00000E5E0000}"/>
    <cellStyle name="Normal 22 2 3 2 2 3 3 2" xfId="29900" xr:uid="{00000000-0005-0000-0000-00000F5E0000}"/>
    <cellStyle name="Normal 22 2 3 2 2 3 4" xfId="23951" xr:uid="{00000000-0005-0000-0000-0000105E0000}"/>
    <cellStyle name="Normal 22 2 3 2 2 4" xfId="16843" xr:uid="{00000000-0005-0000-0000-0000115E0000}"/>
    <cellStyle name="Normal 22 2 3 2 2 4 2" xfId="29901" xr:uid="{00000000-0005-0000-0000-0000125E0000}"/>
    <cellStyle name="Normal 22 2 3 2 2 5" xfId="16844" xr:uid="{00000000-0005-0000-0000-0000135E0000}"/>
    <cellStyle name="Normal 22 2 3 2 2 5 2" xfId="29902" xr:uid="{00000000-0005-0000-0000-0000145E0000}"/>
    <cellStyle name="Normal 22 2 3 2 2 6" xfId="21795" xr:uid="{00000000-0005-0000-0000-0000155E0000}"/>
    <cellStyle name="Normal 22 2 3 2 3" xfId="8734" xr:uid="{00000000-0005-0000-0000-0000165E0000}"/>
    <cellStyle name="Normal 22 2 3 2 3 2" xfId="11119" xr:uid="{00000000-0005-0000-0000-0000175E0000}"/>
    <cellStyle name="Normal 22 2 3 2 3 2 2" xfId="16845" xr:uid="{00000000-0005-0000-0000-0000185E0000}"/>
    <cellStyle name="Normal 22 2 3 2 3 2 2 2" xfId="29903" xr:uid="{00000000-0005-0000-0000-0000195E0000}"/>
    <cellStyle name="Normal 22 2 3 2 3 2 3" xfId="16846" xr:uid="{00000000-0005-0000-0000-00001A5E0000}"/>
    <cellStyle name="Normal 22 2 3 2 3 2 3 2" xfId="29904" xr:uid="{00000000-0005-0000-0000-00001B5E0000}"/>
    <cellStyle name="Normal 22 2 3 2 3 2 4" xfId="24489" xr:uid="{00000000-0005-0000-0000-00001C5E0000}"/>
    <cellStyle name="Normal 22 2 3 2 3 3" xfId="16847" xr:uid="{00000000-0005-0000-0000-00001D5E0000}"/>
    <cellStyle name="Normal 22 2 3 2 3 3 2" xfId="29905" xr:uid="{00000000-0005-0000-0000-00001E5E0000}"/>
    <cellStyle name="Normal 22 2 3 2 3 4" xfId="16848" xr:uid="{00000000-0005-0000-0000-00001F5E0000}"/>
    <cellStyle name="Normal 22 2 3 2 3 4 2" xfId="29906" xr:uid="{00000000-0005-0000-0000-0000205E0000}"/>
    <cellStyle name="Normal 22 2 3 2 3 5" xfId="22333" xr:uid="{00000000-0005-0000-0000-0000215E0000}"/>
    <cellStyle name="Normal 22 2 3 2 4" xfId="10041" xr:uid="{00000000-0005-0000-0000-0000225E0000}"/>
    <cellStyle name="Normal 22 2 3 2 4 2" xfId="16849" xr:uid="{00000000-0005-0000-0000-0000235E0000}"/>
    <cellStyle name="Normal 22 2 3 2 4 2 2" xfId="29907" xr:uid="{00000000-0005-0000-0000-0000245E0000}"/>
    <cellStyle name="Normal 22 2 3 2 4 3" xfId="16850" xr:uid="{00000000-0005-0000-0000-0000255E0000}"/>
    <cellStyle name="Normal 22 2 3 2 4 3 2" xfId="29908" xr:uid="{00000000-0005-0000-0000-0000265E0000}"/>
    <cellStyle name="Normal 22 2 3 2 4 4" xfId="23411" xr:uid="{00000000-0005-0000-0000-0000275E0000}"/>
    <cellStyle name="Normal 22 2 3 2 5" xfId="16851" xr:uid="{00000000-0005-0000-0000-0000285E0000}"/>
    <cellStyle name="Normal 22 2 3 2 5 2" xfId="29909" xr:uid="{00000000-0005-0000-0000-0000295E0000}"/>
    <cellStyle name="Normal 22 2 3 2 6" xfId="16852" xr:uid="{00000000-0005-0000-0000-00002A5E0000}"/>
    <cellStyle name="Normal 22 2 3 2 6 2" xfId="29910" xr:uid="{00000000-0005-0000-0000-00002B5E0000}"/>
    <cellStyle name="Normal 22 2 3 2 7" xfId="21255" xr:uid="{00000000-0005-0000-0000-00002C5E0000}"/>
    <cellStyle name="Normal 22 2 3 3" xfId="7132" xr:uid="{00000000-0005-0000-0000-00002D5E0000}"/>
    <cellStyle name="Normal 22 2 3 3 2" xfId="9011" xr:uid="{00000000-0005-0000-0000-00002E5E0000}"/>
    <cellStyle name="Normal 22 2 3 3 2 2" xfId="11390" xr:uid="{00000000-0005-0000-0000-00002F5E0000}"/>
    <cellStyle name="Normal 22 2 3 3 2 2 2" xfId="16853" xr:uid="{00000000-0005-0000-0000-0000305E0000}"/>
    <cellStyle name="Normal 22 2 3 3 2 2 2 2" xfId="29911" xr:uid="{00000000-0005-0000-0000-0000315E0000}"/>
    <cellStyle name="Normal 22 2 3 3 2 2 3" xfId="16854" xr:uid="{00000000-0005-0000-0000-0000325E0000}"/>
    <cellStyle name="Normal 22 2 3 3 2 2 3 2" xfId="29912" xr:uid="{00000000-0005-0000-0000-0000335E0000}"/>
    <cellStyle name="Normal 22 2 3 3 2 2 4" xfId="24760" xr:uid="{00000000-0005-0000-0000-0000345E0000}"/>
    <cellStyle name="Normal 22 2 3 3 2 3" xfId="16855" xr:uid="{00000000-0005-0000-0000-0000355E0000}"/>
    <cellStyle name="Normal 22 2 3 3 2 3 2" xfId="29913" xr:uid="{00000000-0005-0000-0000-0000365E0000}"/>
    <cellStyle name="Normal 22 2 3 3 2 4" xfId="16856" xr:uid="{00000000-0005-0000-0000-0000375E0000}"/>
    <cellStyle name="Normal 22 2 3 3 2 4 2" xfId="29914" xr:uid="{00000000-0005-0000-0000-0000385E0000}"/>
    <cellStyle name="Normal 22 2 3 3 2 5" xfId="22604" xr:uid="{00000000-0005-0000-0000-0000395E0000}"/>
    <cellStyle name="Normal 22 2 3 3 3" xfId="10312" xr:uid="{00000000-0005-0000-0000-00003A5E0000}"/>
    <cellStyle name="Normal 22 2 3 3 3 2" xfId="16857" xr:uid="{00000000-0005-0000-0000-00003B5E0000}"/>
    <cellStyle name="Normal 22 2 3 3 3 2 2" xfId="29915" xr:uid="{00000000-0005-0000-0000-00003C5E0000}"/>
    <cellStyle name="Normal 22 2 3 3 3 3" xfId="16858" xr:uid="{00000000-0005-0000-0000-00003D5E0000}"/>
    <cellStyle name="Normal 22 2 3 3 3 3 2" xfId="29916" xr:uid="{00000000-0005-0000-0000-00003E5E0000}"/>
    <cellStyle name="Normal 22 2 3 3 3 4" xfId="23682" xr:uid="{00000000-0005-0000-0000-00003F5E0000}"/>
    <cellStyle name="Normal 22 2 3 3 4" xfId="16859" xr:uid="{00000000-0005-0000-0000-0000405E0000}"/>
    <cellStyle name="Normal 22 2 3 3 4 2" xfId="29917" xr:uid="{00000000-0005-0000-0000-0000415E0000}"/>
    <cellStyle name="Normal 22 2 3 3 5" xfId="16860" xr:uid="{00000000-0005-0000-0000-0000425E0000}"/>
    <cellStyle name="Normal 22 2 3 3 5 2" xfId="29918" xr:uid="{00000000-0005-0000-0000-0000435E0000}"/>
    <cellStyle name="Normal 22 2 3 3 6" xfId="21526" xr:uid="{00000000-0005-0000-0000-0000445E0000}"/>
    <cellStyle name="Normal 22 2 3 4" xfId="8403" xr:uid="{00000000-0005-0000-0000-0000455E0000}"/>
    <cellStyle name="Normal 22 2 3 4 2" xfId="10850" xr:uid="{00000000-0005-0000-0000-0000465E0000}"/>
    <cellStyle name="Normal 22 2 3 4 2 2" xfId="16861" xr:uid="{00000000-0005-0000-0000-0000475E0000}"/>
    <cellStyle name="Normal 22 2 3 4 2 2 2" xfId="29919" xr:uid="{00000000-0005-0000-0000-0000485E0000}"/>
    <cellStyle name="Normal 22 2 3 4 2 3" xfId="16862" xr:uid="{00000000-0005-0000-0000-0000495E0000}"/>
    <cellStyle name="Normal 22 2 3 4 2 3 2" xfId="29920" xr:uid="{00000000-0005-0000-0000-00004A5E0000}"/>
    <cellStyle name="Normal 22 2 3 4 2 4" xfId="24220" xr:uid="{00000000-0005-0000-0000-00004B5E0000}"/>
    <cellStyle name="Normal 22 2 3 4 3" xfId="16863" xr:uid="{00000000-0005-0000-0000-00004C5E0000}"/>
    <cellStyle name="Normal 22 2 3 4 3 2" xfId="29921" xr:uid="{00000000-0005-0000-0000-00004D5E0000}"/>
    <cellStyle name="Normal 22 2 3 4 4" xfId="16864" xr:uid="{00000000-0005-0000-0000-00004E5E0000}"/>
    <cellStyle name="Normal 22 2 3 4 4 2" xfId="29922" xr:uid="{00000000-0005-0000-0000-00004F5E0000}"/>
    <cellStyle name="Normal 22 2 3 4 5" xfId="22064" xr:uid="{00000000-0005-0000-0000-0000505E0000}"/>
    <cellStyle name="Normal 22 2 3 5" xfId="9772" xr:uid="{00000000-0005-0000-0000-0000515E0000}"/>
    <cellStyle name="Normal 22 2 3 5 2" xfId="16865" xr:uid="{00000000-0005-0000-0000-0000525E0000}"/>
    <cellStyle name="Normal 22 2 3 5 2 2" xfId="29923" xr:uid="{00000000-0005-0000-0000-0000535E0000}"/>
    <cellStyle name="Normal 22 2 3 5 3" xfId="16866" xr:uid="{00000000-0005-0000-0000-0000545E0000}"/>
    <cellStyle name="Normal 22 2 3 5 3 2" xfId="29924" xr:uid="{00000000-0005-0000-0000-0000555E0000}"/>
    <cellStyle name="Normal 22 2 3 5 4" xfId="23142" xr:uid="{00000000-0005-0000-0000-0000565E0000}"/>
    <cellStyle name="Normal 22 2 3 6" xfId="16867" xr:uid="{00000000-0005-0000-0000-0000575E0000}"/>
    <cellStyle name="Normal 22 2 3 6 2" xfId="29925" xr:uid="{00000000-0005-0000-0000-0000585E0000}"/>
    <cellStyle name="Normal 22 2 3 7" xfId="16868" xr:uid="{00000000-0005-0000-0000-0000595E0000}"/>
    <cellStyle name="Normal 22 2 3 7 2" xfId="29926" xr:uid="{00000000-0005-0000-0000-00005A5E0000}"/>
    <cellStyle name="Normal 22 2 3 8" xfId="20986" xr:uid="{00000000-0005-0000-0000-00005B5E0000}"/>
    <cellStyle name="Normal 22 2 4" xfId="6563" xr:uid="{00000000-0005-0000-0000-00005C5E0000}"/>
    <cellStyle name="Normal 22 2 4 2" xfId="7264" xr:uid="{00000000-0005-0000-0000-00005D5E0000}"/>
    <cellStyle name="Normal 22 2 4 2 2" xfId="9143" xr:uid="{00000000-0005-0000-0000-00005E5E0000}"/>
    <cellStyle name="Normal 22 2 4 2 2 2" xfId="11522" xr:uid="{00000000-0005-0000-0000-00005F5E0000}"/>
    <cellStyle name="Normal 22 2 4 2 2 2 2" xfId="16869" xr:uid="{00000000-0005-0000-0000-0000605E0000}"/>
    <cellStyle name="Normal 22 2 4 2 2 2 2 2" xfId="29927" xr:uid="{00000000-0005-0000-0000-0000615E0000}"/>
    <cellStyle name="Normal 22 2 4 2 2 2 3" xfId="16870" xr:uid="{00000000-0005-0000-0000-0000625E0000}"/>
    <cellStyle name="Normal 22 2 4 2 2 2 3 2" xfId="29928" xr:uid="{00000000-0005-0000-0000-0000635E0000}"/>
    <cellStyle name="Normal 22 2 4 2 2 2 4" xfId="24892" xr:uid="{00000000-0005-0000-0000-0000645E0000}"/>
    <cellStyle name="Normal 22 2 4 2 2 3" xfId="16871" xr:uid="{00000000-0005-0000-0000-0000655E0000}"/>
    <cellStyle name="Normal 22 2 4 2 2 3 2" xfId="29929" xr:uid="{00000000-0005-0000-0000-0000665E0000}"/>
    <cellStyle name="Normal 22 2 4 2 2 4" xfId="16872" xr:uid="{00000000-0005-0000-0000-0000675E0000}"/>
    <cellStyle name="Normal 22 2 4 2 2 4 2" xfId="29930" xr:uid="{00000000-0005-0000-0000-0000685E0000}"/>
    <cellStyle name="Normal 22 2 4 2 2 5" xfId="22736" xr:uid="{00000000-0005-0000-0000-0000695E0000}"/>
    <cellStyle name="Normal 22 2 4 2 3" xfId="10444" xr:uid="{00000000-0005-0000-0000-00006A5E0000}"/>
    <cellStyle name="Normal 22 2 4 2 3 2" xfId="16873" xr:uid="{00000000-0005-0000-0000-00006B5E0000}"/>
    <cellStyle name="Normal 22 2 4 2 3 2 2" xfId="29931" xr:uid="{00000000-0005-0000-0000-00006C5E0000}"/>
    <cellStyle name="Normal 22 2 4 2 3 3" xfId="16874" xr:uid="{00000000-0005-0000-0000-00006D5E0000}"/>
    <cellStyle name="Normal 22 2 4 2 3 3 2" xfId="29932" xr:uid="{00000000-0005-0000-0000-00006E5E0000}"/>
    <cellStyle name="Normal 22 2 4 2 3 4" xfId="23814" xr:uid="{00000000-0005-0000-0000-00006F5E0000}"/>
    <cellStyle name="Normal 22 2 4 2 4" xfId="16875" xr:uid="{00000000-0005-0000-0000-0000705E0000}"/>
    <cellStyle name="Normal 22 2 4 2 4 2" xfId="29933" xr:uid="{00000000-0005-0000-0000-0000715E0000}"/>
    <cellStyle name="Normal 22 2 4 2 5" xfId="16876" xr:uid="{00000000-0005-0000-0000-0000725E0000}"/>
    <cellStyle name="Normal 22 2 4 2 5 2" xfId="29934" xr:uid="{00000000-0005-0000-0000-0000735E0000}"/>
    <cellStyle name="Normal 22 2 4 2 6" xfId="21658" xr:uid="{00000000-0005-0000-0000-0000745E0000}"/>
    <cellStyle name="Normal 22 2 4 3" xfId="8596" xr:uid="{00000000-0005-0000-0000-0000755E0000}"/>
    <cellStyle name="Normal 22 2 4 3 2" xfId="10982" xr:uid="{00000000-0005-0000-0000-0000765E0000}"/>
    <cellStyle name="Normal 22 2 4 3 2 2" xfId="16877" xr:uid="{00000000-0005-0000-0000-0000775E0000}"/>
    <cellStyle name="Normal 22 2 4 3 2 2 2" xfId="29935" xr:uid="{00000000-0005-0000-0000-0000785E0000}"/>
    <cellStyle name="Normal 22 2 4 3 2 3" xfId="16878" xr:uid="{00000000-0005-0000-0000-0000795E0000}"/>
    <cellStyle name="Normal 22 2 4 3 2 3 2" xfId="29936" xr:uid="{00000000-0005-0000-0000-00007A5E0000}"/>
    <cellStyle name="Normal 22 2 4 3 2 4" xfId="24352" xr:uid="{00000000-0005-0000-0000-00007B5E0000}"/>
    <cellStyle name="Normal 22 2 4 3 3" xfId="16879" xr:uid="{00000000-0005-0000-0000-00007C5E0000}"/>
    <cellStyle name="Normal 22 2 4 3 3 2" xfId="29937" xr:uid="{00000000-0005-0000-0000-00007D5E0000}"/>
    <cellStyle name="Normal 22 2 4 3 4" xfId="16880" xr:uid="{00000000-0005-0000-0000-00007E5E0000}"/>
    <cellStyle name="Normal 22 2 4 3 4 2" xfId="29938" xr:uid="{00000000-0005-0000-0000-00007F5E0000}"/>
    <cellStyle name="Normal 22 2 4 3 5" xfId="22196" xr:uid="{00000000-0005-0000-0000-0000805E0000}"/>
    <cellStyle name="Normal 22 2 4 4" xfId="9904" xr:uid="{00000000-0005-0000-0000-0000815E0000}"/>
    <cellStyle name="Normal 22 2 4 4 2" xfId="16881" xr:uid="{00000000-0005-0000-0000-0000825E0000}"/>
    <cellStyle name="Normal 22 2 4 4 2 2" xfId="29939" xr:uid="{00000000-0005-0000-0000-0000835E0000}"/>
    <cellStyle name="Normal 22 2 4 4 3" xfId="16882" xr:uid="{00000000-0005-0000-0000-0000845E0000}"/>
    <cellStyle name="Normal 22 2 4 4 3 2" xfId="29940" xr:uid="{00000000-0005-0000-0000-0000855E0000}"/>
    <cellStyle name="Normal 22 2 4 4 4" xfId="23274" xr:uid="{00000000-0005-0000-0000-0000865E0000}"/>
    <cellStyle name="Normal 22 2 4 5" xfId="16883" xr:uid="{00000000-0005-0000-0000-0000875E0000}"/>
    <cellStyle name="Normal 22 2 4 5 2" xfId="29941" xr:uid="{00000000-0005-0000-0000-0000885E0000}"/>
    <cellStyle name="Normal 22 2 4 6" xfId="16884" xr:uid="{00000000-0005-0000-0000-0000895E0000}"/>
    <cellStyle name="Normal 22 2 4 6 2" xfId="29942" xr:uid="{00000000-0005-0000-0000-00008A5E0000}"/>
    <cellStyle name="Normal 22 2 4 7" xfId="21118" xr:uid="{00000000-0005-0000-0000-00008B5E0000}"/>
    <cellStyle name="Normal 22 2 5" xfId="6994" xr:uid="{00000000-0005-0000-0000-00008C5E0000}"/>
    <cellStyle name="Normal 22 2 5 2" xfId="8874" xr:uid="{00000000-0005-0000-0000-00008D5E0000}"/>
    <cellStyle name="Normal 22 2 5 2 2" xfId="11253" xr:uid="{00000000-0005-0000-0000-00008E5E0000}"/>
    <cellStyle name="Normal 22 2 5 2 2 2" xfId="16885" xr:uid="{00000000-0005-0000-0000-00008F5E0000}"/>
    <cellStyle name="Normal 22 2 5 2 2 2 2" xfId="29943" xr:uid="{00000000-0005-0000-0000-0000905E0000}"/>
    <cellStyle name="Normal 22 2 5 2 2 3" xfId="16886" xr:uid="{00000000-0005-0000-0000-0000915E0000}"/>
    <cellStyle name="Normal 22 2 5 2 2 3 2" xfId="29944" xr:uid="{00000000-0005-0000-0000-0000925E0000}"/>
    <cellStyle name="Normal 22 2 5 2 2 4" xfId="24623" xr:uid="{00000000-0005-0000-0000-0000935E0000}"/>
    <cellStyle name="Normal 22 2 5 2 3" xfId="16887" xr:uid="{00000000-0005-0000-0000-0000945E0000}"/>
    <cellStyle name="Normal 22 2 5 2 3 2" xfId="29945" xr:uid="{00000000-0005-0000-0000-0000955E0000}"/>
    <cellStyle name="Normal 22 2 5 2 4" xfId="16888" xr:uid="{00000000-0005-0000-0000-0000965E0000}"/>
    <cellStyle name="Normal 22 2 5 2 4 2" xfId="29946" xr:uid="{00000000-0005-0000-0000-0000975E0000}"/>
    <cellStyle name="Normal 22 2 5 2 5" xfId="22467" xr:uid="{00000000-0005-0000-0000-0000985E0000}"/>
    <cellStyle name="Normal 22 2 5 3" xfId="10175" xr:uid="{00000000-0005-0000-0000-0000995E0000}"/>
    <cellStyle name="Normal 22 2 5 3 2" xfId="16889" xr:uid="{00000000-0005-0000-0000-00009A5E0000}"/>
    <cellStyle name="Normal 22 2 5 3 2 2" xfId="29947" xr:uid="{00000000-0005-0000-0000-00009B5E0000}"/>
    <cellStyle name="Normal 22 2 5 3 3" xfId="16890" xr:uid="{00000000-0005-0000-0000-00009C5E0000}"/>
    <cellStyle name="Normal 22 2 5 3 3 2" xfId="29948" xr:uid="{00000000-0005-0000-0000-00009D5E0000}"/>
    <cellStyle name="Normal 22 2 5 3 4" xfId="23545" xr:uid="{00000000-0005-0000-0000-00009E5E0000}"/>
    <cellStyle name="Normal 22 2 5 4" xfId="16891" xr:uid="{00000000-0005-0000-0000-00009F5E0000}"/>
    <cellStyle name="Normal 22 2 5 4 2" xfId="29949" xr:uid="{00000000-0005-0000-0000-0000A05E0000}"/>
    <cellStyle name="Normal 22 2 5 5" xfId="16892" xr:uid="{00000000-0005-0000-0000-0000A15E0000}"/>
    <cellStyle name="Normal 22 2 5 5 2" xfId="29950" xr:uid="{00000000-0005-0000-0000-0000A25E0000}"/>
    <cellStyle name="Normal 22 2 5 6" xfId="21389" xr:uid="{00000000-0005-0000-0000-0000A35E0000}"/>
    <cellStyle name="Normal 22 2 6" xfId="8174" xr:uid="{00000000-0005-0000-0000-0000A45E0000}"/>
    <cellStyle name="Normal 22 2 6 2" xfId="10713" xr:uid="{00000000-0005-0000-0000-0000A55E0000}"/>
    <cellStyle name="Normal 22 2 6 2 2" xfId="16893" xr:uid="{00000000-0005-0000-0000-0000A65E0000}"/>
    <cellStyle name="Normal 22 2 6 2 2 2" xfId="29951" xr:uid="{00000000-0005-0000-0000-0000A75E0000}"/>
    <cellStyle name="Normal 22 2 6 2 3" xfId="16894" xr:uid="{00000000-0005-0000-0000-0000A85E0000}"/>
    <cellStyle name="Normal 22 2 6 2 3 2" xfId="29952" xr:uid="{00000000-0005-0000-0000-0000A95E0000}"/>
    <cellStyle name="Normal 22 2 6 2 4" xfId="24083" xr:uid="{00000000-0005-0000-0000-0000AA5E0000}"/>
    <cellStyle name="Normal 22 2 6 3" xfId="16895" xr:uid="{00000000-0005-0000-0000-0000AB5E0000}"/>
    <cellStyle name="Normal 22 2 6 3 2" xfId="29953" xr:uid="{00000000-0005-0000-0000-0000AC5E0000}"/>
    <cellStyle name="Normal 22 2 6 4" xfId="16896" xr:uid="{00000000-0005-0000-0000-0000AD5E0000}"/>
    <cellStyle name="Normal 22 2 6 4 2" xfId="29954" xr:uid="{00000000-0005-0000-0000-0000AE5E0000}"/>
    <cellStyle name="Normal 22 2 6 5" xfId="21927" xr:uid="{00000000-0005-0000-0000-0000AF5E0000}"/>
    <cellStyle name="Normal 22 2 7" xfId="9634" xr:uid="{00000000-0005-0000-0000-0000B05E0000}"/>
    <cellStyle name="Normal 22 2 7 2" xfId="16897" xr:uid="{00000000-0005-0000-0000-0000B15E0000}"/>
    <cellStyle name="Normal 22 2 7 2 2" xfId="29955" xr:uid="{00000000-0005-0000-0000-0000B25E0000}"/>
    <cellStyle name="Normal 22 2 7 3" xfId="16898" xr:uid="{00000000-0005-0000-0000-0000B35E0000}"/>
    <cellStyle name="Normal 22 2 7 3 2" xfId="29956" xr:uid="{00000000-0005-0000-0000-0000B45E0000}"/>
    <cellStyle name="Normal 22 2 7 4" xfId="23005" xr:uid="{00000000-0005-0000-0000-0000B55E0000}"/>
    <cellStyle name="Normal 22 2 8" xfId="16899" xr:uid="{00000000-0005-0000-0000-0000B65E0000}"/>
    <cellStyle name="Normal 22 2 8 2" xfId="29957" xr:uid="{00000000-0005-0000-0000-0000B75E0000}"/>
    <cellStyle name="Normal 22 2 9" xfId="16900" xr:uid="{00000000-0005-0000-0000-0000B85E0000}"/>
    <cellStyle name="Normal 22 2 9 2" xfId="29958" xr:uid="{00000000-0005-0000-0000-0000B95E0000}"/>
    <cellStyle name="Normal 22 3" xfId="3939" xr:uid="{00000000-0005-0000-0000-0000BA5E0000}"/>
    <cellStyle name="Normal 22 3 10" xfId="20863" xr:uid="{00000000-0005-0000-0000-0000BB5E0000}"/>
    <cellStyle name="Normal 22 3 2" xfId="4101" xr:uid="{00000000-0005-0000-0000-0000BC5E0000}"/>
    <cellStyle name="Normal 22 3 2 2" xfId="5637" xr:uid="{00000000-0005-0000-0000-0000BD5E0000}"/>
    <cellStyle name="Normal 22 3 2 2 2" xfId="6789" xr:uid="{00000000-0005-0000-0000-0000BE5E0000}"/>
    <cellStyle name="Normal 22 3 2 2 2 2" xfId="7476" xr:uid="{00000000-0005-0000-0000-0000BF5E0000}"/>
    <cellStyle name="Normal 22 3 2 2 2 2 2" xfId="9355" xr:uid="{00000000-0005-0000-0000-0000C05E0000}"/>
    <cellStyle name="Normal 22 3 2 2 2 2 2 2" xfId="11734" xr:uid="{00000000-0005-0000-0000-0000C15E0000}"/>
    <cellStyle name="Normal 22 3 2 2 2 2 2 2 2" xfId="16901" xr:uid="{00000000-0005-0000-0000-0000C25E0000}"/>
    <cellStyle name="Normal 22 3 2 2 2 2 2 2 2 2" xfId="29959" xr:uid="{00000000-0005-0000-0000-0000C35E0000}"/>
    <cellStyle name="Normal 22 3 2 2 2 2 2 2 3" xfId="16902" xr:uid="{00000000-0005-0000-0000-0000C45E0000}"/>
    <cellStyle name="Normal 22 3 2 2 2 2 2 2 3 2" xfId="29960" xr:uid="{00000000-0005-0000-0000-0000C55E0000}"/>
    <cellStyle name="Normal 22 3 2 2 2 2 2 2 4" xfId="25104" xr:uid="{00000000-0005-0000-0000-0000C65E0000}"/>
    <cellStyle name="Normal 22 3 2 2 2 2 2 3" xfId="16903" xr:uid="{00000000-0005-0000-0000-0000C75E0000}"/>
    <cellStyle name="Normal 22 3 2 2 2 2 2 3 2" xfId="29961" xr:uid="{00000000-0005-0000-0000-0000C85E0000}"/>
    <cellStyle name="Normal 22 3 2 2 2 2 2 4" xfId="16904" xr:uid="{00000000-0005-0000-0000-0000C95E0000}"/>
    <cellStyle name="Normal 22 3 2 2 2 2 2 4 2" xfId="29962" xr:uid="{00000000-0005-0000-0000-0000CA5E0000}"/>
    <cellStyle name="Normal 22 3 2 2 2 2 2 5" xfId="22948" xr:uid="{00000000-0005-0000-0000-0000CB5E0000}"/>
    <cellStyle name="Normal 22 3 2 2 2 2 3" xfId="10656" xr:uid="{00000000-0005-0000-0000-0000CC5E0000}"/>
    <cellStyle name="Normal 22 3 2 2 2 2 3 2" xfId="16905" xr:uid="{00000000-0005-0000-0000-0000CD5E0000}"/>
    <cellStyle name="Normal 22 3 2 2 2 2 3 2 2" xfId="29963" xr:uid="{00000000-0005-0000-0000-0000CE5E0000}"/>
    <cellStyle name="Normal 22 3 2 2 2 2 3 3" xfId="16906" xr:uid="{00000000-0005-0000-0000-0000CF5E0000}"/>
    <cellStyle name="Normal 22 3 2 2 2 2 3 3 2" xfId="29964" xr:uid="{00000000-0005-0000-0000-0000D05E0000}"/>
    <cellStyle name="Normal 22 3 2 2 2 2 3 4" xfId="24026" xr:uid="{00000000-0005-0000-0000-0000D15E0000}"/>
    <cellStyle name="Normal 22 3 2 2 2 2 4" xfId="16907" xr:uid="{00000000-0005-0000-0000-0000D25E0000}"/>
    <cellStyle name="Normal 22 3 2 2 2 2 4 2" xfId="29965" xr:uid="{00000000-0005-0000-0000-0000D35E0000}"/>
    <cellStyle name="Normal 22 3 2 2 2 2 5" xfId="16908" xr:uid="{00000000-0005-0000-0000-0000D45E0000}"/>
    <cellStyle name="Normal 22 3 2 2 2 2 5 2" xfId="29966" xr:uid="{00000000-0005-0000-0000-0000D55E0000}"/>
    <cellStyle name="Normal 22 3 2 2 2 2 6" xfId="21870" xr:uid="{00000000-0005-0000-0000-0000D65E0000}"/>
    <cellStyle name="Normal 22 3 2 2 2 3" xfId="8809" xr:uid="{00000000-0005-0000-0000-0000D75E0000}"/>
    <cellStyle name="Normal 22 3 2 2 2 3 2" xfId="11194" xr:uid="{00000000-0005-0000-0000-0000D85E0000}"/>
    <cellStyle name="Normal 22 3 2 2 2 3 2 2" xfId="16909" xr:uid="{00000000-0005-0000-0000-0000D95E0000}"/>
    <cellStyle name="Normal 22 3 2 2 2 3 2 2 2" xfId="29967" xr:uid="{00000000-0005-0000-0000-0000DA5E0000}"/>
    <cellStyle name="Normal 22 3 2 2 2 3 2 3" xfId="16910" xr:uid="{00000000-0005-0000-0000-0000DB5E0000}"/>
    <cellStyle name="Normal 22 3 2 2 2 3 2 3 2" xfId="29968" xr:uid="{00000000-0005-0000-0000-0000DC5E0000}"/>
    <cellStyle name="Normal 22 3 2 2 2 3 2 4" xfId="24564" xr:uid="{00000000-0005-0000-0000-0000DD5E0000}"/>
    <cellStyle name="Normal 22 3 2 2 2 3 3" xfId="16911" xr:uid="{00000000-0005-0000-0000-0000DE5E0000}"/>
    <cellStyle name="Normal 22 3 2 2 2 3 3 2" xfId="29969" xr:uid="{00000000-0005-0000-0000-0000DF5E0000}"/>
    <cellStyle name="Normal 22 3 2 2 2 3 4" xfId="16912" xr:uid="{00000000-0005-0000-0000-0000E05E0000}"/>
    <cellStyle name="Normal 22 3 2 2 2 3 4 2" xfId="29970" xr:uid="{00000000-0005-0000-0000-0000E15E0000}"/>
    <cellStyle name="Normal 22 3 2 2 2 3 5" xfId="22408" xr:uid="{00000000-0005-0000-0000-0000E25E0000}"/>
    <cellStyle name="Normal 22 3 2 2 2 4" xfId="10116" xr:uid="{00000000-0005-0000-0000-0000E35E0000}"/>
    <cellStyle name="Normal 22 3 2 2 2 4 2" xfId="16913" xr:uid="{00000000-0005-0000-0000-0000E45E0000}"/>
    <cellStyle name="Normal 22 3 2 2 2 4 2 2" xfId="29971" xr:uid="{00000000-0005-0000-0000-0000E55E0000}"/>
    <cellStyle name="Normal 22 3 2 2 2 4 3" xfId="16914" xr:uid="{00000000-0005-0000-0000-0000E65E0000}"/>
    <cellStyle name="Normal 22 3 2 2 2 4 3 2" xfId="29972" xr:uid="{00000000-0005-0000-0000-0000E75E0000}"/>
    <cellStyle name="Normal 22 3 2 2 2 4 4" xfId="23486" xr:uid="{00000000-0005-0000-0000-0000E85E0000}"/>
    <cellStyle name="Normal 22 3 2 2 2 5" xfId="16915" xr:uid="{00000000-0005-0000-0000-0000E95E0000}"/>
    <cellStyle name="Normal 22 3 2 2 2 5 2" xfId="29973" xr:uid="{00000000-0005-0000-0000-0000EA5E0000}"/>
    <cellStyle name="Normal 22 3 2 2 2 6" xfId="16916" xr:uid="{00000000-0005-0000-0000-0000EB5E0000}"/>
    <cellStyle name="Normal 22 3 2 2 2 6 2" xfId="29974" xr:uid="{00000000-0005-0000-0000-0000EC5E0000}"/>
    <cellStyle name="Normal 22 3 2 2 2 7" xfId="21330" xr:uid="{00000000-0005-0000-0000-0000ED5E0000}"/>
    <cellStyle name="Normal 22 3 2 2 3" xfId="7207" xr:uid="{00000000-0005-0000-0000-0000EE5E0000}"/>
    <cellStyle name="Normal 22 3 2 2 3 2" xfId="9086" xr:uid="{00000000-0005-0000-0000-0000EF5E0000}"/>
    <cellStyle name="Normal 22 3 2 2 3 2 2" xfId="11465" xr:uid="{00000000-0005-0000-0000-0000F05E0000}"/>
    <cellStyle name="Normal 22 3 2 2 3 2 2 2" xfId="16917" xr:uid="{00000000-0005-0000-0000-0000F15E0000}"/>
    <cellStyle name="Normal 22 3 2 2 3 2 2 2 2" xfId="29975" xr:uid="{00000000-0005-0000-0000-0000F25E0000}"/>
    <cellStyle name="Normal 22 3 2 2 3 2 2 3" xfId="16918" xr:uid="{00000000-0005-0000-0000-0000F35E0000}"/>
    <cellStyle name="Normal 22 3 2 2 3 2 2 3 2" xfId="29976" xr:uid="{00000000-0005-0000-0000-0000F45E0000}"/>
    <cellStyle name="Normal 22 3 2 2 3 2 2 4" xfId="24835" xr:uid="{00000000-0005-0000-0000-0000F55E0000}"/>
    <cellStyle name="Normal 22 3 2 2 3 2 3" xfId="16919" xr:uid="{00000000-0005-0000-0000-0000F65E0000}"/>
    <cellStyle name="Normal 22 3 2 2 3 2 3 2" xfId="29977" xr:uid="{00000000-0005-0000-0000-0000F75E0000}"/>
    <cellStyle name="Normal 22 3 2 2 3 2 4" xfId="16920" xr:uid="{00000000-0005-0000-0000-0000F85E0000}"/>
    <cellStyle name="Normal 22 3 2 2 3 2 4 2" xfId="29978" xr:uid="{00000000-0005-0000-0000-0000F95E0000}"/>
    <cellStyle name="Normal 22 3 2 2 3 2 5" xfId="22679" xr:uid="{00000000-0005-0000-0000-0000FA5E0000}"/>
    <cellStyle name="Normal 22 3 2 2 3 3" xfId="10387" xr:uid="{00000000-0005-0000-0000-0000FB5E0000}"/>
    <cellStyle name="Normal 22 3 2 2 3 3 2" xfId="16921" xr:uid="{00000000-0005-0000-0000-0000FC5E0000}"/>
    <cellStyle name="Normal 22 3 2 2 3 3 2 2" xfId="29979" xr:uid="{00000000-0005-0000-0000-0000FD5E0000}"/>
    <cellStyle name="Normal 22 3 2 2 3 3 3" xfId="16922" xr:uid="{00000000-0005-0000-0000-0000FE5E0000}"/>
    <cellStyle name="Normal 22 3 2 2 3 3 3 2" xfId="29980" xr:uid="{00000000-0005-0000-0000-0000FF5E0000}"/>
    <cellStyle name="Normal 22 3 2 2 3 3 4" xfId="23757" xr:uid="{00000000-0005-0000-0000-0000005F0000}"/>
    <cellStyle name="Normal 22 3 2 2 3 4" xfId="16923" xr:uid="{00000000-0005-0000-0000-0000015F0000}"/>
    <cellStyle name="Normal 22 3 2 2 3 4 2" xfId="29981" xr:uid="{00000000-0005-0000-0000-0000025F0000}"/>
    <cellStyle name="Normal 22 3 2 2 3 5" xfId="16924" xr:uid="{00000000-0005-0000-0000-0000035F0000}"/>
    <cellStyle name="Normal 22 3 2 2 3 5 2" xfId="29982" xr:uid="{00000000-0005-0000-0000-0000045F0000}"/>
    <cellStyle name="Normal 22 3 2 2 3 6" xfId="21601" xr:uid="{00000000-0005-0000-0000-0000055F0000}"/>
    <cellStyle name="Normal 22 3 2 2 4" xfId="8484" xr:uid="{00000000-0005-0000-0000-0000065F0000}"/>
    <cellStyle name="Normal 22 3 2 2 4 2" xfId="10925" xr:uid="{00000000-0005-0000-0000-0000075F0000}"/>
    <cellStyle name="Normal 22 3 2 2 4 2 2" xfId="16925" xr:uid="{00000000-0005-0000-0000-0000085F0000}"/>
    <cellStyle name="Normal 22 3 2 2 4 2 2 2" xfId="29983" xr:uid="{00000000-0005-0000-0000-0000095F0000}"/>
    <cellStyle name="Normal 22 3 2 2 4 2 3" xfId="16926" xr:uid="{00000000-0005-0000-0000-00000A5F0000}"/>
    <cellStyle name="Normal 22 3 2 2 4 2 3 2" xfId="29984" xr:uid="{00000000-0005-0000-0000-00000B5F0000}"/>
    <cellStyle name="Normal 22 3 2 2 4 2 4" xfId="24295" xr:uid="{00000000-0005-0000-0000-00000C5F0000}"/>
    <cellStyle name="Normal 22 3 2 2 4 3" xfId="16927" xr:uid="{00000000-0005-0000-0000-00000D5F0000}"/>
    <cellStyle name="Normal 22 3 2 2 4 3 2" xfId="29985" xr:uid="{00000000-0005-0000-0000-00000E5F0000}"/>
    <cellStyle name="Normal 22 3 2 2 4 4" xfId="16928" xr:uid="{00000000-0005-0000-0000-00000F5F0000}"/>
    <cellStyle name="Normal 22 3 2 2 4 4 2" xfId="29986" xr:uid="{00000000-0005-0000-0000-0000105F0000}"/>
    <cellStyle name="Normal 22 3 2 2 4 5" xfId="22139" xr:uid="{00000000-0005-0000-0000-0000115F0000}"/>
    <cellStyle name="Normal 22 3 2 2 5" xfId="9847" xr:uid="{00000000-0005-0000-0000-0000125F0000}"/>
    <cellStyle name="Normal 22 3 2 2 5 2" xfId="16929" xr:uid="{00000000-0005-0000-0000-0000135F0000}"/>
    <cellStyle name="Normal 22 3 2 2 5 2 2" xfId="29987" xr:uid="{00000000-0005-0000-0000-0000145F0000}"/>
    <cellStyle name="Normal 22 3 2 2 5 3" xfId="16930" xr:uid="{00000000-0005-0000-0000-0000155F0000}"/>
    <cellStyle name="Normal 22 3 2 2 5 3 2" xfId="29988" xr:uid="{00000000-0005-0000-0000-0000165F0000}"/>
    <cellStyle name="Normal 22 3 2 2 5 4" xfId="23217" xr:uid="{00000000-0005-0000-0000-0000175F0000}"/>
    <cellStyle name="Normal 22 3 2 2 6" xfId="16931" xr:uid="{00000000-0005-0000-0000-0000185F0000}"/>
    <cellStyle name="Normal 22 3 2 2 6 2" xfId="29989" xr:uid="{00000000-0005-0000-0000-0000195F0000}"/>
    <cellStyle name="Normal 22 3 2 2 7" xfId="16932" xr:uid="{00000000-0005-0000-0000-00001A5F0000}"/>
    <cellStyle name="Normal 22 3 2 2 7 2" xfId="29990" xr:uid="{00000000-0005-0000-0000-00001B5F0000}"/>
    <cellStyle name="Normal 22 3 2 2 8" xfId="21061" xr:uid="{00000000-0005-0000-0000-00001C5F0000}"/>
    <cellStyle name="Normal 22 3 2 3" xfId="6638" xr:uid="{00000000-0005-0000-0000-00001D5F0000}"/>
    <cellStyle name="Normal 22 3 2 3 2" xfId="7334" xr:uid="{00000000-0005-0000-0000-00001E5F0000}"/>
    <cellStyle name="Normal 22 3 2 3 2 2" xfId="9213" xr:uid="{00000000-0005-0000-0000-00001F5F0000}"/>
    <cellStyle name="Normal 22 3 2 3 2 2 2" xfId="11592" xr:uid="{00000000-0005-0000-0000-0000205F0000}"/>
    <cellStyle name="Normal 22 3 2 3 2 2 2 2" xfId="16933" xr:uid="{00000000-0005-0000-0000-0000215F0000}"/>
    <cellStyle name="Normal 22 3 2 3 2 2 2 2 2" xfId="29991" xr:uid="{00000000-0005-0000-0000-0000225F0000}"/>
    <cellStyle name="Normal 22 3 2 3 2 2 2 3" xfId="16934" xr:uid="{00000000-0005-0000-0000-0000235F0000}"/>
    <cellStyle name="Normal 22 3 2 3 2 2 2 3 2" xfId="29992" xr:uid="{00000000-0005-0000-0000-0000245F0000}"/>
    <cellStyle name="Normal 22 3 2 3 2 2 2 4" xfId="24962" xr:uid="{00000000-0005-0000-0000-0000255F0000}"/>
    <cellStyle name="Normal 22 3 2 3 2 2 3" xfId="16935" xr:uid="{00000000-0005-0000-0000-0000265F0000}"/>
    <cellStyle name="Normal 22 3 2 3 2 2 3 2" xfId="29993" xr:uid="{00000000-0005-0000-0000-0000275F0000}"/>
    <cellStyle name="Normal 22 3 2 3 2 2 4" xfId="16936" xr:uid="{00000000-0005-0000-0000-0000285F0000}"/>
    <cellStyle name="Normal 22 3 2 3 2 2 4 2" xfId="29994" xr:uid="{00000000-0005-0000-0000-0000295F0000}"/>
    <cellStyle name="Normal 22 3 2 3 2 2 5" xfId="22806" xr:uid="{00000000-0005-0000-0000-00002A5F0000}"/>
    <cellStyle name="Normal 22 3 2 3 2 3" xfId="10514" xr:uid="{00000000-0005-0000-0000-00002B5F0000}"/>
    <cellStyle name="Normal 22 3 2 3 2 3 2" xfId="16937" xr:uid="{00000000-0005-0000-0000-00002C5F0000}"/>
    <cellStyle name="Normal 22 3 2 3 2 3 2 2" xfId="29995" xr:uid="{00000000-0005-0000-0000-00002D5F0000}"/>
    <cellStyle name="Normal 22 3 2 3 2 3 3" xfId="16938" xr:uid="{00000000-0005-0000-0000-00002E5F0000}"/>
    <cellStyle name="Normal 22 3 2 3 2 3 3 2" xfId="29996" xr:uid="{00000000-0005-0000-0000-00002F5F0000}"/>
    <cellStyle name="Normal 22 3 2 3 2 3 4" xfId="23884" xr:uid="{00000000-0005-0000-0000-0000305F0000}"/>
    <cellStyle name="Normal 22 3 2 3 2 4" xfId="16939" xr:uid="{00000000-0005-0000-0000-0000315F0000}"/>
    <cellStyle name="Normal 22 3 2 3 2 4 2" xfId="29997" xr:uid="{00000000-0005-0000-0000-0000325F0000}"/>
    <cellStyle name="Normal 22 3 2 3 2 5" xfId="16940" xr:uid="{00000000-0005-0000-0000-0000335F0000}"/>
    <cellStyle name="Normal 22 3 2 3 2 5 2" xfId="29998" xr:uid="{00000000-0005-0000-0000-0000345F0000}"/>
    <cellStyle name="Normal 22 3 2 3 2 6" xfId="21728" xr:uid="{00000000-0005-0000-0000-0000355F0000}"/>
    <cellStyle name="Normal 22 3 2 3 3" xfId="8666" xr:uid="{00000000-0005-0000-0000-0000365F0000}"/>
    <cellStyle name="Normal 22 3 2 3 3 2" xfId="11052" xr:uid="{00000000-0005-0000-0000-0000375F0000}"/>
    <cellStyle name="Normal 22 3 2 3 3 2 2" xfId="16941" xr:uid="{00000000-0005-0000-0000-0000385F0000}"/>
    <cellStyle name="Normal 22 3 2 3 3 2 2 2" xfId="29999" xr:uid="{00000000-0005-0000-0000-0000395F0000}"/>
    <cellStyle name="Normal 22 3 2 3 3 2 3" xfId="16942" xr:uid="{00000000-0005-0000-0000-00003A5F0000}"/>
    <cellStyle name="Normal 22 3 2 3 3 2 3 2" xfId="30000" xr:uid="{00000000-0005-0000-0000-00003B5F0000}"/>
    <cellStyle name="Normal 22 3 2 3 3 2 4" xfId="24422" xr:uid="{00000000-0005-0000-0000-00003C5F0000}"/>
    <cellStyle name="Normal 22 3 2 3 3 3" xfId="16943" xr:uid="{00000000-0005-0000-0000-00003D5F0000}"/>
    <cellStyle name="Normal 22 3 2 3 3 3 2" xfId="30001" xr:uid="{00000000-0005-0000-0000-00003E5F0000}"/>
    <cellStyle name="Normal 22 3 2 3 3 4" xfId="16944" xr:uid="{00000000-0005-0000-0000-00003F5F0000}"/>
    <cellStyle name="Normal 22 3 2 3 3 4 2" xfId="30002" xr:uid="{00000000-0005-0000-0000-0000405F0000}"/>
    <cellStyle name="Normal 22 3 2 3 3 5" xfId="22266" xr:uid="{00000000-0005-0000-0000-0000415F0000}"/>
    <cellStyle name="Normal 22 3 2 3 4" xfId="9974" xr:uid="{00000000-0005-0000-0000-0000425F0000}"/>
    <cellStyle name="Normal 22 3 2 3 4 2" xfId="16945" xr:uid="{00000000-0005-0000-0000-0000435F0000}"/>
    <cellStyle name="Normal 22 3 2 3 4 2 2" xfId="30003" xr:uid="{00000000-0005-0000-0000-0000445F0000}"/>
    <cellStyle name="Normal 22 3 2 3 4 3" xfId="16946" xr:uid="{00000000-0005-0000-0000-0000455F0000}"/>
    <cellStyle name="Normal 22 3 2 3 4 3 2" xfId="30004" xr:uid="{00000000-0005-0000-0000-0000465F0000}"/>
    <cellStyle name="Normal 22 3 2 3 4 4" xfId="23344" xr:uid="{00000000-0005-0000-0000-0000475F0000}"/>
    <cellStyle name="Normal 22 3 2 3 5" xfId="16947" xr:uid="{00000000-0005-0000-0000-0000485F0000}"/>
    <cellStyle name="Normal 22 3 2 3 5 2" xfId="30005" xr:uid="{00000000-0005-0000-0000-0000495F0000}"/>
    <cellStyle name="Normal 22 3 2 3 6" xfId="16948" xr:uid="{00000000-0005-0000-0000-00004A5F0000}"/>
    <cellStyle name="Normal 22 3 2 3 6 2" xfId="30006" xr:uid="{00000000-0005-0000-0000-00004B5F0000}"/>
    <cellStyle name="Normal 22 3 2 3 7" xfId="21188" xr:uid="{00000000-0005-0000-0000-00004C5F0000}"/>
    <cellStyle name="Normal 22 3 2 4" xfId="7064" xr:uid="{00000000-0005-0000-0000-00004D5F0000}"/>
    <cellStyle name="Normal 22 3 2 4 2" xfId="8944" xr:uid="{00000000-0005-0000-0000-00004E5F0000}"/>
    <cellStyle name="Normal 22 3 2 4 2 2" xfId="11323" xr:uid="{00000000-0005-0000-0000-00004F5F0000}"/>
    <cellStyle name="Normal 22 3 2 4 2 2 2" xfId="16949" xr:uid="{00000000-0005-0000-0000-0000505F0000}"/>
    <cellStyle name="Normal 22 3 2 4 2 2 2 2" xfId="30007" xr:uid="{00000000-0005-0000-0000-0000515F0000}"/>
    <cellStyle name="Normal 22 3 2 4 2 2 3" xfId="16950" xr:uid="{00000000-0005-0000-0000-0000525F0000}"/>
    <cellStyle name="Normal 22 3 2 4 2 2 3 2" xfId="30008" xr:uid="{00000000-0005-0000-0000-0000535F0000}"/>
    <cellStyle name="Normal 22 3 2 4 2 2 4" xfId="24693" xr:uid="{00000000-0005-0000-0000-0000545F0000}"/>
    <cellStyle name="Normal 22 3 2 4 2 3" xfId="16951" xr:uid="{00000000-0005-0000-0000-0000555F0000}"/>
    <cellStyle name="Normal 22 3 2 4 2 3 2" xfId="30009" xr:uid="{00000000-0005-0000-0000-0000565F0000}"/>
    <cellStyle name="Normal 22 3 2 4 2 4" xfId="16952" xr:uid="{00000000-0005-0000-0000-0000575F0000}"/>
    <cellStyle name="Normal 22 3 2 4 2 4 2" xfId="30010" xr:uid="{00000000-0005-0000-0000-0000585F0000}"/>
    <cellStyle name="Normal 22 3 2 4 2 5" xfId="22537" xr:uid="{00000000-0005-0000-0000-0000595F0000}"/>
    <cellStyle name="Normal 22 3 2 4 3" xfId="10245" xr:uid="{00000000-0005-0000-0000-00005A5F0000}"/>
    <cellStyle name="Normal 22 3 2 4 3 2" xfId="16953" xr:uid="{00000000-0005-0000-0000-00005B5F0000}"/>
    <cellStyle name="Normal 22 3 2 4 3 2 2" xfId="30011" xr:uid="{00000000-0005-0000-0000-00005C5F0000}"/>
    <cellStyle name="Normal 22 3 2 4 3 3" xfId="16954" xr:uid="{00000000-0005-0000-0000-00005D5F0000}"/>
    <cellStyle name="Normal 22 3 2 4 3 3 2" xfId="30012" xr:uid="{00000000-0005-0000-0000-00005E5F0000}"/>
    <cellStyle name="Normal 22 3 2 4 3 4" xfId="23615" xr:uid="{00000000-0005-0000-0000-00005F5F0000}"/>
    <cellStyle name="Normal 22 3 2 4 4" xfId="16955" xr:uid="{00000000-0005-0000-0000-0000605F0000}"/>
    <cellStyle name="Normal 22 3 2 4 4 2" xfId="30013" xr:uid="{00000000-0005-0000-0000-0000615F0000}"/>
    <cellStyle name="Normal 22 3 2 4 5" xfId="16956" xr:uid="{00000000-0005-0000-0000-0000625F0000}"/>
    <cellStyle name="Normal 22 3 2 4 5 2" xfId="30014" xr:uid="{00000000-0005-0000-0000-0000635F0000}"/>
    <cellStyle name="Normal 22 3 2 4 6" xfId="21459" xr:uid="{00000000-0005-0000-0000-0000645F0000}"/>
    <cellStyle name="Normal 22 3 2 5" xfId="8268" xr:uid="{00000000-0005-0000-0000-0000655F0000}"/>
    <cellStyle name="Normal 22 3 2 5 2" xfId="10783" xr:uid="{00000000-0005-0000-0000-0000665F0000}"/>
    <cellStyle name="Normal 22 3 2 5 2 2" xfId="16957" xr:uid="{00000000-0005-0000-0000-0000675F0000}"/>
    <cellStyle name="Normal 22 3 2 5 2 2 2" xfId="30015" xr:uid="{00000000-0005-0000-0000-0000685F0000}"/>
    <cellStyle name="Normal 22 3 2 5 2 3" xfId="16958" xr:uid="{00000000-0005-0000-0000-0000695F0000}"/>
    <cellStyle name="Normal 22 3 2 5 2 3 2" xfId="30016" xr:uid="{00000000-0005-0000-0000-00006A5F0000}"/>
    <cellStyle name="Normal 22 3 2 5 2 4" xfId="24153" xr:uid="{00000000-0005-0000-0000-00006B5F0000}"/>
    <cellStyle name="Normal 22 3 2 5 3" xfId="16959" xr:uid="{00000000-0005-0000-0000-00006C5F0000}"/>
    <cellStyle name="Normal 22 3 2 5 3 2" xfId="30017" xr:uid="{00000000-0005-0000-0000-00006D5F0000}"/>
    <cellStyle name="Normal 22 3 2 5 4" xfId="16960" xr:uid="{00000000-0005-0000-0000-00006E5F0000}"/>
    <cellStyle name="Normal 22 3 2 5 4 2" xfId="30018" xr:uid="{00000000-0005-0000-0000-00006F5F0000}"/>
    <cellStyle name="Normal 22 3 2 5 5" xfId="21997" xr:uid="{00000000-0005-0000-0000-0000705F0000}"/>
    <cellStyle name="Normal 22 3 2 6" xfId="9704" xr:uid="{00000000-0005-0000-0000-0000715F0000}"/>
    <cellStyle name="Normal 22 3 2 6 2" xfId="16961" xr:uid="{00000000-0005-0000-0000-0000725F0000}"/>
    <cellStyle name="Normal 22 3 2 6 2 2" xfId="30019" xr:uid="{00000000-0005-0000-0000-0000735F0000}"/>
    <cellStyle name="Normal 22 3 2 6 3" xfId="16962" xr:uid="{00000000-0005-0000-0000-0000745F0000}"/>
    <cellStyle name="Normal 22 3 2 6 3 2" xfId="30020" xr:uid="{00000000-0005-0000-0000-0000755F0000}"/>
    <cellStyle name="Normal 22 3 2 6 4" xfId="23075" xr:uid="{00000000-0005-0000-0000-0000765F0000}"/>
    <cellStyle name="Normal 22 3 2 7" xfId="16963" xr:uid="{00000000-0005-0000-0000-0000775F0000}"/>
    <cellStyle name="Normal 22 3 2 7 2" xfId="30021" xr:uid="{00000000-0005-0000-0000-0000785F0000}"/>
    <cellStyle name="Normal 22 3 2 8" xfId="16964" xr:uid="{00000000-0005-0000-0000-0000795F0000}"/>
    <cellStyle name="Normal 22 3 2 8 2" xfId="30022" xr:uid="{00000000-0005-0000-0000-00007A5F0000}"/>
    <cellStyle name="Normal 22 3 2 9" xfId="20918" xr:uid="{00000000-0005-0000-0000-00007B5F0000}"/>
    <cellStyle name="Normal 22 3 3" xfId="5549" xr:uid="{00000000-0005-0000-0000-00007C5F0000}"/>
    <cellStyle name="Normal 22 3 3 2" xfId="6733" xr:uid="{00000000-0005-0000-0000-00007D5F0000}"/>
    <cellStyle name="Normal 22 3 3 2 2" xfId="7420" xr:uid="{00000000-0005-0000-0000-00007E5F0000}"/>
    <cellStyle name="Normal 22 3 3 2 2 2" xfId="9299" xr:uid="{00000000-0005-0000-0000-00007F5F0000}"/>
    <cellStyle name="Normal 22 3 3 2 2 2 2" xfId="11678" xr:uid="{00000000-0005-0000-0000-0000805F0000}"/>
    <cellStyle name="Normal 22 3 3 2 2 2 2 2" xfId="16965" xr:uid="{00000000-0005-0000-0000-0000815F0000}"/>
    <cellStyle name="Normal 22 3 3 2 2 2 2 2 2" xfId="30023" xr:uid="{00000000-0005-0000-0000-0000825F0000}"/>
    <cellStyle name="Normal 22 3 3 2 2 2 2 3" xfId="16966" xr:uid="{00000000-0005-0000-0000-0000835F0000}"/>
    <cellStyle name="Normal 22 3 3 2 2 2 2 3 2" xfId="30024" xr:uid="{00000000-0005-0000-0000-0000845F0000}"/>
    <cellStyle name="Normal 22 3 3 2 2 2 2 4" xfId="25048" xr:uid="{00000000-0005-0000-0000-0000855F0000}"/>
    <cellStyle name="Normal 22 3 3 2 2 2 3" xfId="16967" xr:uid="{00000000-0005-0000-0000-0000865F0000}"/>
    <cellStyle name="Normal 22 3 3 2 2 2 3 2" xfId="30025" xr:uid="{00000000-0005-0000-0000-0000875F0000}"/>
    <cellStyle name="Normal 22 3 3 2 2 2 4" xfId="16968" xr:uid="{00000000-0005-0000-0000-0000885F0000}"/>
    <cellStyle name="Normal 22 3 3 2 2 2 4 2" xfId="30026" xr:uid="{00000000-0005-0000-0000-0000895F0000}"/>
    <cellStyle name="Normal 22 3 3 2 2 2 5" xfId="22892" xr:uid="{00000000-0005-0000-0000-00008A5F0000}"/>
    <cellStyle name="Normal 22 3 3 2 2 3" xfId="10600" xr:uid="{00000000-0005-0000-0000-00008B5F0000}"/>
    <cellStyle name="Normal 22 3 3 2 2 3 2" xfId="16969" xr:uid="{00000000-0005-0000-0000-00008C5F0000}"/>
    <cellStyle name="Normal 22 3 3 2 2 3 2 2" xfId="30027" xr:uid="{00000000-0005-0000-0000-00008D5F0000}"/>
    <cellStyle name="Normal 22 3 3 2 2 3 3" xfId="16970" xr:uid="{00000000-0005-0000-0000-00008E5F0000}"/>
    <cellStyle name="Normal 22 3 3 2 2 3 3 2" xfId="30028" xr:uid="{00000000-0005-0000-0000-00008F5F0000}"/>
    <cellStyle name="Normal 22 3 3 2 2 3 4" xfId="23970" xr:uid="{00000000-0005-0000-0000-0000905F0000}"/>
    <cellStyle name="Normal 22 3 3 2 2 4" xfId="16971" xr:uid="{00000000-0005-0000-0000-0000915F0000}"/>
    <cellStyle name="Normal 22 3 3 2 2 4 2" xfId="30029" xr:uid="{00000000-0005-0000-0000-0000925F0000}"/>
    <cellStyle name="Normal 22 3 3 2 2 5" xfId="16972" xr:uid="{00000000-0005-0000-0000-0000935F0000}"/>
    <cellStyle name="Normal 22 3 3 2 2 5 2" xfId="30030" xr:uid="{00000000-0005-0000-0000-0000945F0000}"/>
    <cellStyle name="Normal 22 3 3 2 2 6" xfId="21814" xr:uid="{00000000-0005-0000-0000-0000955F0000}"/>
    <cellStyle name="Normal 22 3 3 2 3" xfId="8753" xr:uid="{00000000-0005-0000-0000-0000965F0000}"/>
    <cellStyle name="Normal 22 3 3 2 3 2" xfId="11138" xr:uid="{00000000-0005-0000-0000-0000975F0000}"/>
    <cellStyle name="Normal 22 3 3 2 3 2 2" xfId="16973" xr:uid="{00000000-0005-0000-0000-0000985F0000}"/>
    <cellStyle name="Normal 22 3 3 2 3 2 2 2" xfId="30031" xr:uid="{00000000-0005-0000-0000-0000995F0000}"/>
    <cellStyle name="Normal 22 3 3 2 3 2 3" xfId="16974" xr:uid="{00000000-0005-0000-0000-00009A5F0000}"/>
    <cellStyle name="Normal 22 3 3 2 3 2 3 2" xfId="30032" xr:uid="{00000000-0005-0000-0000-00009B5F0000}"/>
    <cellStyle name="Normal 22 3 3 2 3 2 4" xfId="24508" xr:uid="{00000000-0005-0000-0000-00009C5F0000}"/>
    <cellStyle name="Normal 22 3 3 2 3 3" xfId="16975" xr:uid="{00000000-0005-0000-0000-00009D5F0000}"/>
    <cellStyle name="Normal 22 3 3 2 3 3 2" xfId="30033" xr:uid="{00000000-0005-0000-0000-00009E5F0000}"/>
    <cellStyle name="Normal 22 3 3 2 3 4" xfId="16976" xr:uid="{00000000-0005-0000-0000-00009F5F0000}"/>
    <cellStyle name="Normal 22 3 3 2 3 4 2" xfId="30034" xr:uid="{00000000-0005-0000-0000-0000A05F0000}"/>
    <cellStyle name="Normal 22 3 3 2 3 5" xfId="22352" xr:uid="{00000000-0005-0000-0000-0000A15F0000}"/>
    <cellStyle name="Normal 22 3 3 2 4" xfId="10060" xr:uid="{00000000-0005-0000-0000-0000A25F0000}"/>
    <cellStyle name="Normal 22 3 3 2 4 2" xfId="16977" xr:uid="{00000000-0005-0000-0000-0000A35F0000}"/>
    <cellStyle name="Normal 22 3 3 2 4 2 2" xfId="30035" xr:uid="{00000000-0005-0000-0000-0000A45F0000}"/>
    <cellStyle name="Normal 22 3 3 2 4 3" xfId="16978" xr:uid="{00000000-0005-0000-0000-0000A55F0000}"/>
    <cellStyle name="Normal 22 3 3 2 4 3 2" xfId="30036" xr:uid="{00000000-0005-0000-0000-0000A65F0000}"/>
    <cellStyle name="Normal 22 3 3 2 4 4" xfId="23430" xr:uid="{00000000-0005-0000-0000-0000A75F0000}"/>
    <cellStyle name="Normal 22 3 3 2 5" xfId="16979" xr:uid="{00000000-0005-0000-0000-0000A85F0000}"/>
    <cellStyle name="Normal 22 3 3 2 5 2" xfId="30037" xr:uid="{00000000-0005-0000-0000-0000A95F0000}"/>
    <cellStyle name="Normal 22 3 3 2 6" xfId="16980" xr:uid="{00000000-0005-0000-0000-0000AA5F0000}"/>
    <cellStyle name="Normal 22 3 3 2 6 2" xfId="30038" xr:uid="{00000000-0005-0000-0000-0000AB5F0000}"/>
    <cellStyle name="Normal 22 3 3 2 7" xfId="21274" xr:uid="{00000000-0005-0000-0000-0000AC5F0000}"/>
    <cellStyle name="Normal 22 3 3 3" xfId="7151" xr:uid="{00000000-0005-0000-0000-0000AD5F0000}"/>
    <cellStyle name="Normal 22 3 3 3 2" xfId="9030" xr:uid="{00000000-0005-0000-0000-0000AE5F0000}"/>
    <cellStyle name="Normal 22 3 3 3 2 2" xfId="11409" xr:uid="{00000000-0005-0000-0000-0000AF5F0000}"/>
    <cellStyle name="Normal 22 3 3 3 2 2 2" xfId="16981" xr:uid="{00000000-0005-0000-0000-0000B05F0000}"/>
    <cellStyle name="Normal 22 3 3 3 2 2 2 2" xfId="30039" xr:uid="{00000000-0005-0000-0000-0000B15F0000}"/>
    <cellStyle name="Normal 22 3 3 3 2 2 3" xfId="16982" xr:uid="{00000000-0005-0000-0000-0000B25F0000}"/>
    <cellStyle name="Normal 22 3 3 3 2 2 3 2" xfId="30040" xr:uid="{00000000-0005-0000-0000-0000B35F0000}"/>
    <cellStyle name="Normal 22 3 3 3 2 2 4" xfId="24779" xr:uid="{00000000-0005-0000-0000-0000B45F0000}"/>
    <cellStyle name="Normal 22 3 3 3 2 3" xfId="16983" xr:uid="{00000000-0005-0000-0000-0000B55F0000}"/>
    <cellStyle name="Normal 22 3 3 3 2 3 2" xfId="30041" xr:uid="{00000000-0005-0000-0000-0000B65F0000}"/>
    <cellStyle name="Normal 22 3 3 3 2 4" xfId="16984" xr:uid="{00000000-0005-0000-0000-0000B75F0000}"/>
    <cellStyle name="Normal 22 3 3 3 2 4 2" xfId="30042" xr:uid="{00000000-0005-0000-0000-0000B85F0000}"/>
    <cellStyle name="Normal 22 3 3 3 2 5" xfId="22623" xr:uid="{00000000-0005-0000-0000-0000B95F0000}"/>
    <cellStyle name="Normal 22 3 3 3 3" xfId="10331" xr:uid="{00000000-0005-0000-0000-0000BA5F0000}"/>
    <cellStyle name="Normal 22 3 3 3 3 2" xfId="16985" xr:uid="{00000000-0005-0000-0000-0000BB5F0000}"/>
    <cellStyle name="Normal 22 3 3 3 3 2 2" xfId="30043" xr:uid="{00000000-0005-0000-0000-0000BC5F0000}"/>
    <cellStyle name="Normal 22 3 3 3 3 3" xfId="16986" xr:uid="{00000000-0005-0000-0000-0000BD5F0000}"/>
    <cellStyle name="Normal 22 3 3 3 3 3 2" xfId="30044" xr:uid="{00000000-0005-0000-0000-0000BE5F0000}"/>
    <cellStyle name="Normal 22 3 3 3 3 4" xfId="23701" xr:uid="{00000000-0005-0000-0000-0000BF5F0000}"/>
    <cellStyle name="Normal 22 3 3 3 4" xfId="16987" xr:uid="{00000000-0005-0000-0000-0000C05F0000}"/>
    <cellStyle name="Normal 22 3 3 3 4 2" xfId="30045" xr:uid="{00000000-0005-0000-0000-0000C15F0000}"/>
    <cellStyle name="Normal 22 3 3 3 5" xfId="16988" xr:uid="{00000000-0005-0000-0000-0000C25F0000}"/>
    <cellStyle name="Normal 22 3 3 3 5 2" xfId="30046" xr:uid="{00000000-0005-0000-0000-0000C35F0000}"/>
    <cellStyle name="Normal 22 3 3 3 6" xfId="21545" xr:uid="{00000000-0005-0000-0000-0000C45F0000}"/>
    <cellStyle name="Normal 22 3 3 4" xfId="8426" xr:uid="{00000000-0005-0000-0000-0000C55F0000}"/>
    <cellStyle name="Normal 22 3 3 4 2" xfId="10869" xr:uid="{00000000-0005-0000-0000-0000C65F0000}"/>
    <cellStyle name="Normal 22 3 3 4 2 2" xfId="16989" xr:uid="{00000000-0005-0000-0000-0000C75F0000}"/>
    <cellStyle name="Normal 22 3 3 4 2 2 2" xfId="30047" xr:uid="{00000000-0005-0000-0000-0000C85F0000}"/>
    <cellStyle name="Normal 22 3 3 4 2 3" xfId="16990" xr:uid="{00000000-0005-0000-0000-0000C95F0000}"/>
    <cellStyle name="Normal 22 3 3 4 2 3 2" xfId="30048" xr:uid="{00000000-0005-0000-0000-0000CA5F0000}"/>
    <cellStyle name="Normal 22 3 3 4 2 4" xfId="24239" xr:uid="{00000000-0005-0000-0000-0000CB5F0000}"/>
    <cellStyle name="Normal 22 3 3 4 3" xfId="16991" xr:uid="{00000000-0005-0000-0000-0000CC5F0000}"/>
    <cellStyle name="Normal 22 3 3 4 3 2" xfId="30049" xr:uid="{00000000-0005-0000-0000-0000CD5F0000}"/>
    <cellStyle name="Normal 22 3 3 4 4" xfId="16992" xr:uid="{00000000-0005-0000-0000-0000CE5F0000}"/>
    <cellStyle name="Normal 22 3 3 4 4 2" xfId="30050" xr:uid="{00000000-0005-0000-0000-0000CF5F0000}"/>
    <cellStyle name="Normal 22 3 3 4 5" xfId="22083" xr:uid="{00000000-0005-0000-0000-0000D05F0000}"/>
    <cellStyle name="Normal 22 3 3 5" xfId="9791" xr:uid="{00000000-0005-0000-0000-0000D15F0000}"/>
    <cellStyle name="Normal 22 3 3 5 2" xfId="16993" xr:uid="{00000000-0005-0000-0000-0000D25F0000}"/>
    <cellStyle name="Normal 22 3 3 5 2 2" xfId="30051" xr:uid="{00000000-0005-0000-0000-0000D35F0000}"/>
    <cellStyle name="Normal 22 3 3 5 3" xfId="16994" xr:uid="{00000000-0005-0000-0000-0000D45F0000}"/>
    <cellStyle name="Normal 22 3 3 5 3 2" xfId="30052" xr:uid="{00000000-0005-0000-0000-0000D55F0000}"/>
    <cellStyle name="Normal 22 3 3 5 4" xfId="23161" xr:uid="{00000000-0005-0000-0000-0000D65F0000}"/>
    <cellStyle name="Normal 22 3 3 6" xfId="16995" xr:uid="{00000000-0005-0000-0000-0000D75F0000}"/>
    <cellStyle name="Normal 22 3 3 6 2" xfId="30053" xr:uid="{00000000-0005-0000-0000-0000D85F0000}"/>
    <cellStyle name="Normal 22 3 3 7" xfId="16996" xr:uid="{00000000-0005-0000-0000-0000D95F0000}"/>
    <cellStyle name="Normal 22 3 3 7 2" xfId="30054" xr:uid="{00000000-0005-0000-0000-0000DA5F0000}"/>
    <cellStyle name="Normal 22 3 3 8" xfId="21005" xr:uid="{00000000-0005-0000-0000-0000DB5F0000}"/>
    <cellStyle name="Normal 22 3 4" xfId="6583" xr:uid="{00000000-0005-0000-0000-0000DC5F0000}"/>
    <cellStyle name="Normal 22 3 4 2" xfId="7279" xr:uid="{00000000-0005-0000-0000-0000DD5F0000}"/>
    <cellStyle name="Normal 22 3 4 2 2" xfId="9158" xr:uid="{00000000-0005-0000-0000-0000DE5F0000}"/>
    <cellStyle name="Normal 22 3 4 2 2 2" xfId="11537" xr:uid="{00000000-0005-0000-0000-0000DF5F0000}"/>
    <cellStyle name="Normal 22 3 4 2 2 2 2" xfId="16997" xr:uid="{00000000-0005-0000-0000-0000E05F0000}"/>
    <cellStyle name="Normal 22 3 4 2 2 2 2 2" xfId="30055" xr:uid="{00000000-0005-0000-0000-0000E15F0000}"/>
    <cellStyle name="Normal 22 3 4 2 2 2 3" xfId="16998" xr:uid="{00000000-0005-0000-0000-0000E25F0000}"/>
    <cellStyle name="Normal 22 3 4 2 2 2 3 2" xfId="30056" xr:uid="{00000000-0005-0000-0000-0000E35F0000}"/>
    <cellStyle name="Normal 22 3 4 2 2 2 4" xfId="24907" xr:uid="{00000000-0005-0000-0000-0000E45F0000}"/>
    <cellStyle name="Normal 22 3 4 2 2 3" xfId="16999" xr:uid="{00000000-0005-0000-0000-0000E55F0000}"/>
    <cellStyle name="Normal 22 3 4 2 2 3 2" xfId="30057" xr:uid="{00000000-0005-0000-0000-0000E65F0000}"/>
    <cellStyle name="Normal 22 3 4 2 2 4" xfId="17000" xr:uid="{00000000-0005-0000-0000-0000E75F0000}"/>
    <cellStyle name="Normal 22 3 4 2 2 4 2" xfId="30058" xr:uid="{00000000-0005-0000-0000-0000E85F0000}"/>
    <cellStyle name="Normal 22 3 4 2 2 5" xfId="22751" xr:uid="{00000000-0005-0000-0000-0000E95F0000}"/>
    <cellStyle name="Normal 22 3 4 2 3" xfId="10459" xr:uid="{00000000-0005-0000-0000-0000EA5F0000}"/>
    <cellStyle name="Normal 22 3 4 2 3 2" xfId="17001" xr:uid="{00000000-0005-0000-0000-0000EB5F0000}"/>
    <cellStyle name="Normal 22 3 4 2 3 2 2" xfId="30059" xr:uid="{00000000-0005-0000-0000-0000EC5F0000}"/>
    <cellStyle name="Normal 22 3 4 2 3 3" xfId="17002" xr:uid="{00000000-0005-0000-0000-0000ED5F0000}"/>
    <cellStyle name="Normal 22 3 4 2 3 3 2" xfId="30060" xr:uid="{00000000-0005-0000-0000-0000EE5F0000}"/>
    <cellStyle name="Normal 22 3 4 2 3 4" xfId="23829" xr:uid="{00000000-0005-0000-0000-0000EF5F0000}"/>
    <cellStyle name="Normal 22 3 4 2 4" xfId="17003" xr:uid="{00000000-0005-0000-0000-0000F05F0000}"/>
    <cellStyle name="Normal 22 3 4 2 4 2" xfId="30061" xr:uid="{00000000-0005-0000-0000-0000F15F0000}"/>
    <cellStyle name="Normal 22 3 4 2 5" xfId="17004" xr:uid="{00000000-0005-0000-0000-0000F25F0000}"/>
    <cellStyle name="Normal 22 3 4 2 5 2" xfId="30062" xr:uid="{00000000-0005-0000-0000-0000F35F0000}"/>
    <cellStyle name="Normal 22 3 4 2 6" xfId="21673" xr:uid="{00000000-0005-0000-0000-0000F45F0000}"/>
    <cellStyle name="Normal 22 3 4 3" xfId="8611" xr:uid="{00000000-0005-0000-0000-0000F55F0000}"/>
    <cellStyle name="Normal 22 3 4 3 2" xfId="10997" xr:uid="{00000000-0005-0000-0000-0000F65F0000}"/>
    <cellStyle name="Normal 22 3 4 3 2 2" xfId="17005" xr:uid="{00000000-0005-0000-0000-0000F75F0000}"/>
    <cellStyle name="Normal 22 3 4 3 2 2 2" xfId="30063" xr:uid="{00000000-0005-0000-0000-0000F85F0000}"/>
    <cellStyle name="Normal 22 3 4 3 2 3" xfId="17006" xr:uid="{00000000-0005-0000-0000-0000F95F0000}"/>
    <cellStyle name="Normal 22 3 4 3 2 3 2" xfId="30064" xr:uid="{00000000-0005-0000-0000-0000FA5F0000}"/>
    <cellStyle name="Normal 22 3 4 3 2 4" xfId="24367" xr:uid="{00000000-0005-0000-0000-0000FB5F0000}"/>
    <cellStyle name="Normal 22 3 4 3 3" xfId="17007" xr:uid="{00000000-0005-0000-0000-0000FC5F0000}"/>
    <cellStyle name="Normal 22 3 4 3 3 2" xfId="30065" xr:uid="{00000000-0005-0000-0000-0000FD5F0000}"/>
    <cellStyle name="Normal 22 3 4 3 4" xfId="17008" xr:uid="{00000000-0005-0000-0000-0000FE5F0000}"/>
    <cellStyle name="Normal 22 3 4 3 4 2" xfId="30066" xr:uid="{00000000-0005-0000-0000-0000FF5F0000}"/>
    <cellStyle name="Normal 22 3 4 3 5" xfId="22211" xr:uid="{00000000-0005-0000-0000-000000600000}"/>
    <cellStyle name="Normal 22 3 4 4" xfId="9919" xr:uid="{00000000-0005-0000-0000-000001600000}"/>
    <cellStyle name="Normal 22 3 4 4 2" xfId="17009" xr:uid="{00000000-0005-0000-0000-000002600000}"/>
    <cellStyle name="Normal 22 3 4 4 2 2" xfId="30067" xr:uid="{00000000-0005-0000-0000-000003600000}"/>
    <cellStyle name="Normal 22 3 4 4 3" xfId="17010" xr:uid="{00000000-0005-0000-0000-000004600000}"/>
    <cellStyle name="Normal 22 3 4 4 3 2" xfId="30068" xr:uid="{00000000-0005-0000-0000-000005600000}"/>
    <cellStyle name="Normal 22 3 4 4 4" xfId="23289" xr:uid="{00000000-0005-0000-0000-000006600000}"/>
    <cellStyle name="Normal 22 3 4 5" xfId="17011" xr:uid="{00000000-0005-0000-0000-000007600000}"/>
    <cellStyle name="Normal 22 3 4 5 2" xfId="30069" xr:uid="{00000000-0005-0000-0000-000008600000}"/>
    <cellStyle name="Normal 22 3 4 6" xfId="17012" xr:uid="{00000000-0005-0000-0000-000009600000}"/>
    <cellStyle name="Normal 22 3 4 6 2" xfId="30070" xr:uid="{00000000-0005-0000-0000-00000A600000}"/>
    <cellStyle name="Normal 22 3 4 7" xfId="21133" xr:uid="{00000000-0005-0000-0000-00000B600000}"/>
    <cellStyle name="Normal 22 3 5" xfId="7009" xr:uid="{00000000-0005-0000-0000-00000C600000}"/>
    <cellStyle name="Normal 22 3 5 2" xfId="8889" xr:uid="{00000000-0005-0000-0000-00000D600000}"/>
    <cellStyle name="Normal 22 3 5 2 2" xfId="11268" xr:uid="{00000000-0005-0000-0000-00000E600000}"/>
    <cellStyle name="Normal 22 3 5 2 2 2" xfId="17013" xr:uid="{00000000-0005-0000-0000-00000F600000}"/>
    <cellStyle name="Normal 22 3 5 2 2 2 2" xfId="30071" xr:uid="{00000000-0005-0000-0000-000010600000}"/>
    <cellStyle name="Normal 22 3 5 2 2 3" xfId="17014" xr:uid="{00000000-0005-0000-0000-000011600000}"/>
    <cellStyle name="Normal 22 3 5 2 2 3 2" xfId="30072" xr:uid="{00000000-0005-0000-0000-000012600000}"/>
    <cellStyle name="Normal 22 3 5 2 2 4" xfId="24638" xr:uid="{00000000-0005-0000-0000-000013600000}"/>
    <cellStyle name="Normal 22 3 5 2 3" xfId="17015" xr:uid="{00000000-0005-0000-0000-000014600000}"/>
    <cellStyle name="Normal 22 3 5 2 3 2" xfId="30073" xr:uid="{00000000-0005-0000-0000-000015600000}"/>
    <cellStyle name="Normal 22 3 5 2 4" xfId="17016" xr:uid="{00000000-0005-0000-0000-000016600000}"/>
    <cellStyle name="Normal 22 3 5 2 4 2" xfId="30074" xr:uid="{00000000-0005-0000-0000-000017600000}"/>
    <cellStyle name="Normal 22 3 5 2 5" xfId="22482" xr:uid="{00000000-0005-0000-0000-000018600000}"/>
    <cellStyle name="Normal 22 3 5 3" xfId="10190" xr:uid="{00000000-0005-0000-0000-000019600000}"/>
    <cellStyle name="Normal 22 3 5 3 2" xfId="17017" xr:uid="{00000000-0005-0000-0000-00001A600000}"/>
    <cellStyle name="Normal 22 3 5 3 2 2" xfId="30075" xr:uid="{00000000-0005-0000-0000-00001B600000}"/>
    <cellStyle name="Normal 22 3 5 3 3" xfId="17018" xr:uid="{00000000-0005-0000-0000-00001C600000}"/>
    <cellStyle name="Normal 22 3 5 3 3 2" xfId="30076" xr:uid="{00000000-0005-0000-0000-00001D600000}"/>
    <cellStyle name="Normal 22 3 5 3 4" xfId="23560" xr:uid="{00000000-0005-0000-0000-00001E600000}"/>
    <cellStyle name="Normal 22 3 5 4" xfId="17019" xr:uid="{00000000-0005-0000-0000-00001F600000}"/>
    <cellStyle name="Normal 22 3 5 4 2" xfId="30077" xr:uid="{00000000-0005-0000-0000-000020600000}"/>
    <cellStyle name="Normal 22 3 5 5" xfId="17020" xr:uid="{00000000-0005-0000-0000-000021600000}"/>
    <cellStyle name="Normal 22 3 5 5 2" xfId="30078" xr:uid="{00000000-0005-0000-0000-000022600000}"/>
    <cellStyle name="Normal 22 3 5 6" xfId="21404" xr:uid="{00000000-0005-0000-0000-000023600000}"/>
    <cellStyle name="Normal 22 3 6" xfId="8205" xr:uid="{00000000-0005-0000-0000-000024600000}"/>
    <cellStyle name="Normal 22 3 6 2" xfId="10728" xr:uid="{00000000-0005-0000-0000-000025600000}"/>
    <cellStyle name="Normal 22 3 6 2 2" xfId="17021" xr:uid="{00000000-0005-0000-0000-000026600000}"/>
    <cellStyle name="Normal 22 3 6 2 2 2" xfId="30079" xr:uid="{00000000-0005-0000-0000-000027600000}"/>
    <cellStyle name="Normal 22 3 6 2 3" xfId="17022" xr:uid="{00000000-0005-0000-0000-000028600000}"/>
    <cellStyle name="Normal 22 3 6 2 3 2" xfId="30080" xr:uid="{00000000-0005-0000-0000-000029600000}"/>
    <cellStyle name="Normal 22 3 6 2 4" xfId="24098" xr:uid="{00000000-0005-0000-0000-00002A600000}"/>
    <cellStyle name="Normal 22 3 6 3" xfId="17023" xr:uid="{00000000-0005-0000-0000-00002B600000}"/>
    <cellStyle name="Normal 22 3 6 3 2" xfId="30081" xr:uid="{00000000-0005-0000-0000-00002C600000}"/>
    <cellStyle name="Normal 22 3 6 4" xfId="17024" xr:uid="{00000000-0005-0000-0000-00002D600000}"/>
    <cellStyle name="Normal 22 3 6 4 2" xfId="30082" xr:uid="{00000000-0005-0000-0000-00002E600000}"/>
    <cellStyle name="Normal 22 3 6 5" xfId="21942" xr:uid="{00000000-0005-0000-0000-00002F600000}"/>
    <cellStyle name="Normal 22 3 7" xfId="9649" xr:uid="{00000000-0005-0000-0000-000030600000}"/>
    <cellStyle name="Normal 22 3 7 2" xfId="17025" xr:uid="{00000000-0005-0000-0000-000031600000}"/>
    <cellStyle name="Normal 22 3 7 2 2" xfId="30083" xr:uid="{00000000-0005-0000-0000-000032600000}"/>
    <cellStyle name="Normal 22 3 7 3" xfId="17026" xr:uid="{00000000-0005-0000-0000-000033600000}"/>
    <cellStyle name="Normal 22 3 7 3 2" xfId="30084" xr:uid="{00000000-0005-0000-0000-000034600000}"/>
    <cellStyle name="Normal 22 3 7 4" xfId="23020" xr:uid="{00000000-0005-0000-0000-000035600000}"/>
    <cellStyle name="Normal 22 3 8" xfId="17027" xr:uid="{00000000-0005-0000-0000-000036600000}"/>
    <cellStyle name="Normal 22 3 8 2" xfId="30085" xr:uid="{00000000-0005-0000-0000-000037600000}"/>
    <cellStyle name="Normal 22 3 9" xfId="17028" xr:uid="{00000000-0005-0000-0000-000038600000}"/>
    <cellStyle name="Normal 22 3 9 2" xfId="30086" xr:uid="{00000000-0005-0000-0000-000039600000}"/>
    <cellStyle name="Normal 22 4" xfId="4070" xr:uid="{00000000-0005-0000-0000-00003A600000}"/>
    <cellStyle name="Normal 22 4 2" xfId="5606" xr:uid="{00000000-0005-0000-0000-00003B600000}"/>
    <cellStyle name="Normal 22 4 2 2" xfId="6758" xr:uid="{00000000-0005-0000-0000-00003C600000}"/>
    <cellStyle name="Normal 22 4 2 2 2" xfId="7445" xr:uid="{00000000-0005-0000-0000-00003D600000}"/>
    <cellStyle name="Normal 22 4 2 2 2 2" xfId="9324" xr:uid="{00000000-0005-0000-0000-00003E600000}"/>
    <cellStyle name="Normal 22 4 2 2 2 2 2" xfId="11703" xr:uid="{00000000-0005-0000-0000-00003F600000}"/>
    <cellStyle name="Normal 22 4 2 2 2 2 2 2" xfId="17029" xr:uid="{00000000-0005-0000-0000-000040600000}"/>
    <cellStyle name="Normal 22 4 2 2 2 2 2 2 2" xfId="30087" xr:uid="{00000000-0005-0000-0000-000041600000}"/>
    <cellStyle name="Normal 22 4 2 2 2 2 2 3" xfId="17030" xr:uid="{00000000-0005-0000-0000-000042600000}"/>
    <cellStyle name="Normal 22 4 2 2 2 2 2 3 2" xfId="30088" xr:uid="{00000000-0005-0000-0000-000043600000}"/>
    <cellStyle name="Normal 22 4 2 2 2 2 2 4" xfId="25073" xr:uid="{00000000-0005-0000-0000-000044600000}"/>
    <cellStyle name="Normal 22 4 2 2 2 2 3" xfId="17031" xr:uid="{00000000-0005-0000-0000-000045600000}"/>
    <cellStyle name="Normal 22 4 2 2 2 2 3 2" xfId="30089" xr:uid="{00000000-0005-0000-0000-000046600000}"/>
    <cellStyle name="Normal 22 4 2 2 2 2 4" xfId="17032" xr:uid="{00000000-0005-0000-0000-000047600000}"/>
    <cellStyle name="Normal 22 4 2 2 2 2 4 2" xfId="30090" xr:uid="{00000000-0005-0000-0000-000048600000}"/>
    <cellStyle name="Normal 22 4 2 2 2 2 5" xfId="22917" xr:uid="{00000000-0005-0000-0000-000049600000}"/>
    <cellStyle name="Normal 22 4 2 2 2 3" xfId="10625" xr:uid="{00000000-0005-0000-0000-00004A600000}"/>
    <cellStyle name="Normal 22 4 2 2 2 3 2" xfId="17033" xr:uid="{00000000-0005-0000-0000-00004B600000}"/>
    <cellStyle name="Normal 22 4 2 2 2 3 2 2" xfId="30091" xr:uid="{00000000-0005-0000-0000-00004C600000}"/>
    <cellStyle name="Normal 22 4 2 2 2 3 3" xfId="17034" xr:uid="{00000000-0005-0000-0000-00004D600000}"/>
    <cellStyle name="Normal 22 4 2 2 2 3 3 2" xfId="30092" xr:uid="{00000000-0005-0000-0000-00004E600000}"/>
    <cellStyle name="Normal 22 4 2 2 2 3 4" xfId="23995" xr:uid="{00000000-0005-0000-0000-00004F600000}"/>
    <cellStyle name="Normal 22 4 2 2 2 4" xfId="17035" xr:uid="{00000000-0005-0000-0000-000050600000}"/>
    <cellStyle name="Normal 22 4 2 2 2 4 2" xfId="30093" xr:uid="{00000000-0005-0000-0000-000051600000}"/>
    <cellStyle name="Normal 22 4 2 2 2 5" xfId="17036" xr:uid="{00000000-0005-0000-0000-000052600000}"/>
    <cellStyle name="Normal 22 4 2 2 2 5 2" xfId="30094" xr:uid="{00000000-0005-0000-0000-000053600000}"/>
    <cellStyle name="Normal 22 4 2 2 2 6" xfId="21839" xr:uid="{00000000-0005-0000-0000-000054600000}"/>
    <cellStyle name="Normal 22 4 2 2 3" xfId="8778" xr:uid="{00000000-0005-0000-0000-000055600000}"/>
    <cellStyle name="Normal 22 4 2 2 3 2" xfId="11163" xr:uid="{00000000-0005-0000-0000-000056600000}"/>
    <cellStyle name="Normal 22 4 2 2 3 2 2" xfId="17037" xr:uid="{00000000-0005-0000-0000-000057600000}"/>
    <cellStyle name="Normal 22 4 2 2 3 2 2 2" xfId="30095" xr:uid="{00000000-0005-0000-0000-000058600000}"/>
    <cellStyle name="Normal 22 4 2 2 3 2 3" xfId="17038" xr:uid="{00000000-0005-0000-0000-000059600000}"/>
    <cellStyle name="Normal 22 4 2 2 3 2 3 2" xfId="30096" xr:uid="{00000000-0005-0000-0000-00005A600000}"/>
    <cellStyle name="Normal 22 4 2 2 3 2 4" xfId="24533" xr:uid="{00000000-0005-0000-0000-00005B600000}"/>
    <cellStyle name="Normal 22 4 2 2 3 3" xfId="17039" xr:uid="{00000000-0005-0000-0000-00005C600000}"/>
    <cellStyle name="Normal 22 4 2 2 3 3 2" xfId="30097" xr:uid="{00000000-0005-0000-0000-00005D600000}"/>
    <cellStyle name="Normal 22 4 2 2 3 4" xfId="17040" xr:uid="{00000000-0005-0000-0000-00005E600000}"/>
    <cellStyle name="Normal 22 4 2 2 3 4 2" xfId="30098" xr:uid="{00000000-0005-0000-0000-00005F600000}"/>
    <cellStyle name="Normal 22 4 2 2 3 5" xfId="22377" xr:uid="{00000000-0005-0000-0000-000060600000}"/>
    <cellStyle name="Normal 22 4 2 2 4" xfId="10085" xr:uid="{00000000-0005-0000-0000-000061600000}"/>
    <cellStyle name="Normal 22 4 2 2 4 2" xfId="17041" xr:uid="{00000000-0005-0000-0000-000062600000}"/>
    <cellStyle name="Normal 22 4 2 2 4 2 2" xfId="30099" xr:uid="{00000000-0005-0000-0000-000063600000}"/>
    <cellStyle name="Normal 22 4 2 2 4 3" xfId="17042" xr:uid="{00000000-0005-0000-0000-000064600000}"/>
    <cellStyle name="Normal 22 4 2 2 4 3 2" xfId="30100" xr:uid="{00000000-0005-0000-0000-000065600000}"/>
    <cellStyle name="Normal 22 4 2 2 4 4" xfId="23455" xr:uid="{00000000-0005-0000-0000-000066600000}"/>
    <cellStyle name="Normal 22 4 2 2 5" xfId="17043" xr:uid="{00000000-0005-0000-0000-000067600000}"/>
    <cellStyle name="Normal 22 4 2 2 5 2" xfId="30101" xr:uid="{00000000-0005-0000-0000-000068600000}"/>
    <cellStyle name="Normal 22 4 2 2 6" xfId="17044" xr:uid="{00000000-0005-0000-0000-000069600000}"/>
    <cellStyle name="Normal 22 4 2 2 6 2" xfId="30102" xr:uid="{00000000-0005-0000-0000-00006A600000}"/>
    <cellStyle name="Normal 22 4 2 2 7" xfId="21299" xr:uid="{00000000-0005-0000-0000-00006B600000}"/>
    <cellStyle name="Normal 22 4 2 3" xfId="7176" xr:uid="{00000000-0005-0000-0000-00006C600000}"/>
    <cellStyle name="Normal 22 4 2 3 2" xfId="9055" xr:uid="{00000000-0005-0000-0000-00006D600000}"/>
    <cellStyle name="Normal 22 4 2 3 2 2" xfId="11434" xr:uid="{00000000-0005-0000-0000-00006E600000}"/>
    <cellStyle name="Normal 22 4 2 3 2 2 2" xfId="17045" xr:uid="{00000000-0005-0000-0000-00006F600000}"/>
    <cellStyle name="Normal 22 4 2 3 2 2 2 2" xfId="30103" xr:uid="{00000000-0005-0000-0000-000070600000}"/>
    <cellStyle name="Normal 22 4 2 3 2 2 3" xfId="17046" xr:uid="{00000000-0005-0000-0000-000071600000}"/>
    <cellStyle name="Normal 22 4 2 3 2 2 3 2" xfId="30104" xr:uid="{00000000-0005-0000-0000-000072600000}"/>
    <cellStyle name="Normal 22 4 2 3 2 2 4" xfId="24804" xr:uid="{00000000-0005-0000-0000-000073600000}"/>
    <cellStyle name="Normal 22 4 2 3 2 3" xfId="17047" xr:uid="{00000000-0005-0000-0000-000074600000}"/>
    <cellStyle name="Normal 22 4 2 3 2 3 2" xfId="30105" xr:uid="{00000000-0005-0000-0000-000075600000}"/>
    <cellStyle name="Normal 22 4 2 3 2 4" xfId="17048" xr:uid="{00000000-0005-0000-0000-000076600000}"/>
    <cellStyle name="Normal 22 4 2 3 2 4 2" xfId="30106" xr:uid="{00000000-0005-0000-0000-000077600000}"/>
    <cellStyle name="Normal 22 4 2 3 2 5" xfId="22648" xr:uid="{00000000-0005-0000-0000-000078600000}"/>
    <cellStyle name="Normal 22 4 2 3 3" xfId="10356" xr:uid="{00000000-0005-0000-0000-000079600000}"/>
    <cellStyle name="Normal 22 4 2 3 3 2" xfId="17049" xr:uid="{00000000-0005-0000-0000-00007A600000}"/>
    <cellStyle name="Normal 22 4 2 3 3 2 2" xfId="30107" xr:uid="{00000000-0005-0000-0000-00007B600000}"/>
    <cellStyle name="Normal 22 4 2 3 3 3" xfId="17050" xr:uid="{00000000-0005-0000-0000-00007C600000}"/>
    <cellStyle name="Normal 22 4 2 3 3 3 2" xfId="30108" xr:uid="{00000000-0005-0000-0000-00007D600000}"/>
    <cellStyle name="Normal 22 4 2 3 3 4" xfId="23726" xr:uid="{00000000-0005-0000-0000-00007E600000}"/>
    <cellStyle name="Normal 22 4 2 3 4" xfId="17051" xr:uid="{00000000-0005-0000-0000-00007F600000}"/>
    <cellStyle name="Normal 22 4 2 3 4 2" xfId="30109" xr:uid="{00000000-0005-0000-0000-000080600000}"/>
    <cellStyle name="Normal 22 4 2 3 5" xfId="17052" xr:uid="{00000000-0005-0000-0000-000081600000}"/>
    <cellStyle name="Normal 22 4 2 3 5 2" xfId="30110" xr:uid="{00000000-0005-0000-0000-000082600000}"/>
    <cellStyle name="Normal 22 4 2 3 6" xfId="21570" xr:uid="{00000000-0005-0000-0000-000083600000}"/>
    <cellStyle name="Normal 22 4 2 4" xfId="8453" xr:uid="{00000000-0005-0000-0000-000084600000}"/>
    <cellStyle name="Normal 22 4 2 4 2" xfId="10894" xr:uid="{00000000-0005-0000-0000-000085600000}"/>
    <cellStyle name="Normal 22 4 2 4 2 2" xfId="17053" xr:uid="{00000000-0005-0000-0000-000086600000}"/>
    <cellStyle name="Normal 22 4 2 4 2 2 2" xfId="30111" xr:uid="{00000000-0005-0000-0000-000087600000}"/>
    <cellStyle name="Normal 22 4 2 4 2 3" xfId="17054" xr:uid="{00000000-0005-0000-0000-000088600000}"/>
    <cellStyle name="Normal 22 4 2 4 2 3 2" xfId="30112" xr:uid="{00000000-0005-0000-0000-000089600000}"/>
    <cellStyle name="Normal 22 4 2 4 2 4" xfId="24264" xr:uid="{00000000-0005-0000-0000-00008A600000}"/>
    <cellStyle name="Normal 22 4 2 4 3" xfId="17055" xr:uid="{00000000-0005-0000-0000-00008B600000}"/>
    <cellStyle name="Normal 22 4 2 4 3 2" xfId="30113" xr:uid="{00000000-0005-0000-0000-00008C600000}"/>
    <cellStyle name="Normal 22 4 2 4 4" xfId="17056" xr:uid="{00000000-0005-0000-0000-00008D600000}"/>
    <cellStyle name="Normal 22 4 2 4 4 2" xfId="30114" xr:uid="{00000000-0005-0000-0000-00008E600000}"/>
    <cellStyle name="Normal 22 4 2 4 5" xfId="22108" xr:uid="{00000000-0005-0000-0000-00008F600000}"/>
    <cellStyle name="Normal 22 4 2 5" xfId="9816" xr:uid="{00000000-0005-0000-0000-000090600000}"/>
    <cellStyle name="Normal 22 4 2 5 2" xfId="17057" xr:uid="{00000000-0005-0000-0000-000091600000}"/>
    <cellStyle name="Normal 22 4 2 5 2 2" xfId="30115" xr:uid="{00000000-0005-0000-0000-000092600000}"/>
    <cellStyle name="Normal 22 4 2 5 3" xfId="17058" xr:uid="{00000000-0005-0000-0000-000093600000}"/>
    <cellStyle name="Normal 22 4 2 5 3 2" xfId="30116" xr:uid="{00000000-0005-0000-0000-000094600000}"/>
    <cellStyle name="Normal 22 4 2 5 4" xfId="23186" xr:uid="{00000000-0005-0000-0000-000095600000}"/>
    <cellStyle name="Normal 22 4 2 6" xfId="17059" xr:uid="{00000000-0005-0000-0000-000096600000}"/>
    <cellStyle name="Normal 22 4 2 6 2" xfId="30117" xr:uid="{00000000-0005-0000-0000-000097600000}"/>
    <cellStyle name="Normal 22 4 2 7" xfId="17060" xr:uid="{00000000-0005-0000-0000-000098600000}"/>
    <cellStyle name="Normal 22 4 2 7 2" xfId="30118" xr:uid="{00000000-0005-0000-0000-000099600000}"/>
    <cellStyle name="Normal 22 4 2 8" xfId="21030" xr:uid="{00000000-0005-0000-0000-00009A600000}"/>
    <cellStyle name="Normal 22 4 3" xfId="6607" xr:uid="{00000000-0005-0000-0000-00009B600000}"/>
    <cellStyle name="Normal 22 4 3 2" xfId="7303" xr:uid="{00000000-0005-0000-0000-00009C600000}"/>
    <cellStyle name="Normal 22 4 3 2 2" xfId="9182" xr:uid="{00000000-0005-0000-0000-00009D600000}"/>
    <cellStyle name="Normal 22 4 3 2 2 2" xfId="11561" xr:uid="{00000000-0005-0000-0000-00009E600000}"/>
    <cellStyle name="Normal 22 4 3 2 2 2 2" xfId="17061" xr:uid="{00000000-0005-0000-0000-00009F600000}"/>
    <cellStyle name="Normal 22 4 3 2 2 2 2 2" xfId="30119" xr:uid="{00000000-0005-0000-0000-0000A0600000}"/>
    <cellStyle name="Normal 22 4 3 2 2 2 3" xfId="17062" xr:uid="{00000000-0005-0000-0000-0000A1600000}"/>
    <cellStyle name="Normal 22 4 3 2 2 2 3 2" xfId="30120" xr:uid="{00000000-0005-0000-0000-0000A2600000}"/>
    <cellStyle name="Normal 22 4 3 2 2 2 4" xfId="24931" xr:uid="{00000000-0005-0000-0000-0000A3600000}"/>
    <cellStyle name="Normal 22 4 3 2 2 3" xfId="17063" xr:uid="{00000000-0005-0000-0000-0000A4600000}"/>
    <cellStyle name="Normal 22 4 3 2 2 3 2" xfId="30121" xr:uid="{00000000-0005-0000-0000-0000A5600000}"/>
    <cellStyle name="Normal 22 4 3 2 2 4" xfId="17064" xr:uid="{00000000-0005-0000-0000-0000A6600000}"/>
    <cellStyle name="Normal 22 4 3 2 2 4 2" xfId="30122" xr:uid="{00000000-0005-0000-0000-0000A7600000}"/>
    <cellStyle name="Normal 22 4 3 2 2 5" xfId="22775" xr:uid="{00000000-0005-0000-0000-0000A8600000}"/>
    <cellStyle name="Normal 22 4 3 2 3" xfId="10483" xr:uid="{00000000-0005-0000-0000-0000A9600000}"/>
    <cellStyle name="Normal 22 4 3 2 3 2" xfId="17065" xr:uid="{00000000-0005-0000-0000-0000AA600000}"/>
    <cellStyle name="Normal 22 4 3 2 3 2 2" xfId="30123" xr:uid="{00000000-0005-0000-0000-0000AB600000}"/>
    <cellStyle name="Normal 22 4 3 2 3 3" xfId="17066" xr:uid="{00000000-0005-0000-0000-0000AC600000}"/>
    <cellStyle name="Normal 22 4 3 2 3 3 2" xfId="30124" xr:uid="{00000000-0005-0000-0000-0000AD600000}"/>
    <cellStyle name="Normal 22 4 3 2 3 4" xfId="23853" xr:uid="{00000000-0005-0000-0000-0000AE600000}"/>
    <cellStyle name="Normal 22 4 3 2 4" xfId="17067" xr:uid="{00000000-0005-0000-0000-0000AF600000}"/>
    <cellStyle name="Normal 22 4 3 2 4 2" xfId="30125" xr:uid="{00000000-0005-0000-0000-0000B0600000}"/>
    <cellStyle name="Normal 22 4 3 2 5" xfId="17068" xr:uid="{00000000-0005-0000-0000-0000B1600000}"/>
    <cellStyle name="Normal 22 4 3 2 5 2" xfId="30126" xr:uid="{00000000-0005-0000-0000-0000B2600000}"/>
    <cellStyle name="Normal 22 4 3 2 6" xfId="21697" xr:uid="{00000000-0005-0000-0000-0000B3600000}"/>
    <cellStyle name="Normal 22 4 3 3" xfId="8635" xr:uid="{00000000-0005-0000-0000-0000B4600000}"/>
    <cellStyle name="Normal 22 4 3 3 2" xfId="11021" xr:uid="{00000000-0005-0000-0000-0000B5600000}"/>
    <cellStyle name="Normal 22 4 3 3 2 2" xfId="17069" xr:uid="{00000000-0005-0000-0000-0000B6600000}"/>
    <cellStyle name="Normal 22 4 3 3 2 2 2" xfId="30127" xr:uid="{00000000-0005-0000-0000-0000B7600000}"/>
    <cellStyle name="Normal 22 4 3 3 2 3" xfId="17070" xr:uid="{00000000-0005-0000-0000-0000B8600000}"/>
    <cellStyle name="Normal 22 4 3 3 2 3 2" xfId="30128" xr:uid="{00000000-0005-0000-0000-0000B9600000}"/>
    <cellStyle name="Normal 22 4 3 3 2 4" xfId="24391" xr:uid="{00000000-0005-0000-0000-0000BA600000}"/>
    <cellStyle name="Normal 22 4 3 3 3" xfId="17071" xr:uid="{00000000-0005-0000-0000-0000BB600000}"/>
    <cellStyle name="Normal 22 4 3 3 3 2" xfId="30129" xr:uid="{00000000-0005-0000-0000-0000BC600000}"/>
    <cellStyle name="Normal 22 4 3 3 4" xfId="17072" xr:uid="{00000000-0005-0000-0000-0000BD600000}"/>
    <cellStyle name="Normal 22 4 3 3 4 2" xfId="30130" xr:uid="{00000000-0005-0000-0000-0000BE600000}"/>
    <cellStyle name="Normal 22 4 3 3 5" xfId="22235" xr:uid="{00000000-0005-0000-0000-0000BF600000}"/>
    <cellStyle name="Normal 22 4 3 4" xfId="9943" xr:uid="{00000000-0005-0000-0000-0000C0600000}"/>
    <cellStyle name="Normal 22 4 3 4 2" xfId="17073" xr:uid="{00000000-0005-0000-0000-0000C1600000}"/>
    <cellStyle name="Normal 22 4 3 4 2 2" xfId="30131" xr:uid="{00000000-0005-0000-0000-0000C2600000}"/>
    <cellStyle name="Normal 22 4 3 4 3" xfId="17074" xr:uid="{00000000-0005-0000-0000-0000C3600000}"/>
    <cellStyle name="Normal 22 4 3 4 3 2" xfId="30132" xr:uid="{00000000-0005-0000-0000-0000C4600000}"/>
    <cellStyle name="Normal 22 4 3 4 4" xfId="23313" xr:uid="{00000000-0005-0000-0000-0000C5600000}"/>
    <cellStyle name="Normal 22 4 3 5" xfId="17075" xr:uid="{00000000-0005-0000-0000-0000C6600000}"/>
    <cellStyle name="Normal 22 4 3 5 2" xfId="30133" xr:uid="{00000000-0005-0000-0000-0000C7600000}"/>
    <cellStyle name="Normal 22 4 3 6" xfId="17076" xr:uid="{00000000-0005-0000-0000-0000C8600000}"/>
    <cellStyle name="Normal 22 4 3 6 2" xfId="30134" xr:uid="{00000000-0005-0000-0000-0000C9600000}"/>
    <cellStyle name="Normal 22 4 3 7" xfId="21157" xr:uid="{00000000-0005-0000-0000-0000CA600000}"/>
    <cellStyle name="Normal 22 4 4" xfId="7033" xr:uid="{00000000-0005-0000-0000-0000CB600000}"/>
    <cellStyle name="Normal 22 4 4 2" xfId="8913" xr:uid="{00000000-0005-0000-0000-0000CC600000}"/>
    <cellStyle name="Normal 22 4 4 2 2" xfId="11292" xr:uid="{00000000-0005-0000-0000-0000CD600000}"/>
    <cellStyle name="Normal 22 4 4 2 2 2" xfId="17077" xr:uid="{00000000-0005-0000-0000-0000CE600000}"/>
    <cellStyle name="Normal 22 4 4 2 2 2 2" xfId="30135" xr:uid="{00000000-0005-0000-0000-0000CF600000}"/>
    <cellStyle name="Normal 22 4 4 2 2 3" xfId="17078" xr:uid="{00000000-0005-0000-0000-0000D0600000}"/>
    <cellStyle name="Normal 22 4 4 2 2 3 2" xfId="30136" xr:uid="{00000000-0005-0000-0000-0000D1600000}"/>
    <cellStyle name="Normal 22 4 4 2 2 4" xfId="24662" xr:uid="{00000000-0005-0000-0000-0000D2600000}"/>
    <cellStyle name="Normal 22 4 4 2 3" xfId="17079" xr:uid="{00000000-0005-0000-0000-0000D3600000}"/>
    <cellStyle name="Normal 22 4 4 2 3 2" xfId="30137" xr:uid="{00000000-0005-0000-0000-0000D4600000}"/>
    <cellStyle name="Normal 22 4 4 2 4" xfId="17080" xr:uid="{00000000-0005-0000-0000-0000D5600000}"/>
    <cellStyle name="Normal 22 4 4 2 4 2" xfId="30138" xr:uid="{00000000-0005-0000-0000-0000D6600000}"/>
    <cellStyle name="Normal 22 4 4 2 5" xfId="22506" xr:uid="{00000000-0005-0000-0000-0000D7600000}"/>
    <cellStyle name="Normal 22 4 4 3" xfId="10214" xr:uid="{00000000-0005-0000-0000-0000D8600000}"/>
    <cellStyle name="Normal 22 4 4 3 2" xfId="17081" xr:uid="{00000000-0005-0000-0000-0000D9600000}"/>
    <cellStyle name="Normal 22 4 4 3 2 2" xfId="30139" xr:uid="{00000000-0005-0000-0000-0000DA600000}"/>
    <cellStyle name="Normal 22 4 4 3 3" xfId="17082" xr:uid="{00000000-0005-0000-0000-0000DB600000}"/>
    <cellStyle name="Normal 22 4 4 3 3 2" xfId="30140" xr:uid="{00000000-0005-0000-0000-0000DC600000}"/>
    <cellStyle name="Normal 22 4 4 3 4" xfId="23584" xr:uid="{00000000-0005-0000-0000-0000DD600000}"/>
    <cellStyle name="Normal 22 4 4 4" xfId="17083" xr:uid="{00000000-0005-0000-0000-0000DE600000}"/>
    <cellStyle name="Normal 22 4 4 4 2" xfId="30141" xr:uid="{00000000-0005-0000-0000-0000DF600000}"/>
    <cellStyle name="Normal 22 4 4 5" xfId="17084" xr:uid="{00000000-0005-0000-0000-0000E0600000}"/>
    <cellStyle name="Normal 22 4 4 5 2" xfId="30142" xr:uid="{00000000-0005-0000-0000-0000E1600000}"/>
    <cellStyle name="Normal 22 4 4 6" xfId="21428" xr:uid="{00000000-0005-0000-0000-0000E2600000}"/>
    <cellStyle name="Normal 22 4 5" xfId="8237" xr:uid="{00000000-0005-0000-0000-0000E3600000}"/>
    <cellStyle name="Normal 22 4 5 2" xfId="10752" xr:uid="{00000000-0005-0000-0000-0000E4600000}"/>
    <cellStyle name="Normal 22 4 5 2 2" xfId="17085" xr:uid="{00000000-0005-0000-0000-0000E5600000}"/>
    <cellStyle name="Normal 22 4 5 2 2 2" xfId="30143" xr:uid="{00000000-0005-0000-0000-0000E6600000}"/>
    <cellStyle name="Normal 22 4 5 2 3" xfId="17086" xr:uid="{00000000-0005-0000-0000-0000E7600000}"/>
    <cellStyle name="Normal 22 4 5 2 3 2" xfId="30144" xr:uid="{00000000-0005-0000-0000-0000E8600000}"/>
    <cellStyle name="Normal 22 4 5 2 4" xfId="24122" xr:uid="{00000000-0005-0000-0000-0000E9600000}"/>
    <cellStyle name="Normal 22 4 5 3" xfId="17087" xr:uid="{00000000-0005-0000-0000-0000EA600000}"/>
    <cellStyle name="Normal 22 4 5 3 2" xfId="30145" xr:uid="{00000000-0005-0000-0000-0000EB600000}"/>
    <cellStyle name="Normal 22 4 5 4" xfId="17088" xr:uid="{00000000-0005-0000-0000-0000EC600000}"/>
    <cellStyle name="Normal 22 4 5 4 2" xfId="30146" xr:uid="{00000000-0005-0000-0000-0000ED600000}"/>
    <cellStyle name="Normal 22 4 5 5" xfId="21966" xr:uid="{00000000-0005-0000-0000-0000EE600000}"/>
    <cellStyle name="Normal 22 4 6" xfId="9673" xr:uid="{00000000-0005-0000-0000-0000EF600000}"/>
    <cellStyle name="Normal 22 4 6 2" xfId="17089" xr:uid="{00000000-0005-0000-0000-0000F0600000}"/>
    <cellStyle name="Normal 22 4 6 2 2" xfId="30147" xr:uid="{00000000-0005-0000-0000-0000F1600000}"/>
    <cellStyle name="Normal 22 4 6 3" xfId="17090" xr:uid="{00000000-0005-0000-0000-0000F2600000}"/>
    <cellStyle name="Normal 22 4 6 3 2" xfId="30148" xr:uid="{00000000-0005-0000-0000-0000F3600000}"/>
    <cellStyle name="Normal 22 4 6 4" xfId="23044" xr:uid="{00000000-0005-0000-0000-0000F4600000}"/>
    <cellStyle name="Normal 22 4 7" xfId="17091" xr:uid="{00000000-0005-0000-0000-0000F5600000}"/>
    <cellStyle name="Normal 22 4 7 2" xfId="30149" xr:uid="{00000000-0005-0000-0000-0000F6600000}"/>
    <cellStyle name="Normal 22 4 8" xfId="17092" xr:uid="{00000000-0005-0000-0000-0000F7600000}"/>
    <cellStyle name="Normal 22 4 8 2" xfId="30150" xr:uid="{00000000-0005-0000-0000-0000F8600000}"/>
    <cellStyle name="Normal 22 4 9" xfId="20887" xr:uid="{00000000-0005-0000-0000-0000F9600000}"/>
    <cellStyle name="Normal 22 5" xfId="5255" xr:uid="{00000000-0005-0000-0000-0000FA600000}"/>
    <cellStyle name="Normal 22 5 2" xfId="6693" xr:uid="{00000000-0005-0000-0000-0000FB600000}"/>
    <cellStyle name="Normal 22 5 2 2" xfId="7382" xr:uid="{00000000-0005-0000-0000-0000FC600000}"/>
    <cellStyle name="Normal 22 5 2 2 2" xfId="9261" xr:uid="{00000000-0005-0000-0000-0000FD600000}"/>
    <cellStyle name="Normal 22 5 2 2 2 2" xfId="11640" xr:uid="{00000000-0005-0000-0000-0000FE600000}"/>
    <cellStyle name="Normal 22 5 2 2 2 2 2" xfId="17093" xr:uid="{00000000-0005-0000-0000-0000FF600000}"/>
    <cellStyle name="Normal 22 5 2 2 2 2 2 2" xfId="30151" xr:uid="{00000000-0005-0000-0000-000000610000}"/>
    <cellStyle name="Normal 22 5 2 2 2 2 3" xfId="17094" xr:uid="{00000000-0005-0000-0000-000001610000}"/>
    <cellStyle name="Normal 22 5 2 2 2 2 3 2" xfId="30152" xr:uid="{00000000-0005-0000-0000-000002610000}"/>
    <cellStyle name="Normal 22 5 2 2 2 2 4" xfId="25010" xr:uid="{00000000-0005-0000-0000-000003610000}"/>
    <cellStyle name="Normal 22 5 2 2 2 3" xfId="17095" xr:uid="{00000000-0005-0000-0000-000004610000}"/>
    <cellStyle name="Normal 22 5 2 2 2 3 2" xfId="30153" xr:uid="{00000000-0005-0000-0000-000005610000}"/>
    <cellStyle name="Normal 22 5 2 2 2 4" xfId="17096" xr:uid="{00000000-0005-0000-0000-000006610000}"/>
    <cellStyle name="Normal 22 5 2 2 2 4 2" xfId="30154" xr:uid="{00000000-0005-0000-0000-000007610000}"/>
    <cellStyle name="Normal 22 5 2 2 2 5" xfId="22854" xr:uid="{00000000-0005-0000-0000-000008610000}"/>
    <cellStyle name="Normal 22 5 2 2 3" xfId="10562" xr:uid="{00000000-0005-0000-0000-000009610000}"/>
    <cellStyle name="Normal 22 5 2 2 3 2" xfId="17097" xr:uid="{00000000-0005-0000-0000-00000A610000}"/>
    <cellStyle name="Normal 22 5 2 2 3 2 2" xfId="30155" xr:uid="{00000000-0005-0000-0000-00000B610000}"/>
    <cellStyle name="Normal 22 5 2 2 3 3" xfId="17098" xr:uid="{00000000-0005-0000-0000-00000C610000}"/>
    <cellStyle name="Normal 22 5 2 2 3 3 2" xfId="30156" xr:uid="{00000000-0005-0000-0000-00000D610000}"/>
    <cellStyle name="Normal 22 5 2 2 3 4" xfId="23932" xr:uid="{00000000-0005-0000-0000-00000E610000}"/>
    <cellStyle name="Normal 22 5 2 2 4" xfId="17099" xr:uid="{00000000-0005-0000-0000-00000F610000}"/>
    <cellStyle name="Normal 22 5 2 2 4 2" xfId="30157" xr:uid="{00000000-0005-0000-0000-000010610000}"/>
    <cellStyle name="Normal 22 5 2 2 5" xfId="17100" xr:uid="{00000000-0005-0000-0000-000011610000}"/>
    <cellStyle name="Normal 22 5 2 2 5 2" xfId="30158" xr:uid="{00000000-0005-0000-0000-000012610000}"/>
    <cellStyle name="Normal 22 5 2 2 6" xfId="21776" xr:uid="{00000000-0005-0000-0000-000013610000}"/>
    <cellStyle name="Normal 22 5 2 3" xfId="8715" xr:uid="{00000000-0005-0000-0000-000014610000}"/>
    <cellStyle name="Normal 22 5 2 3 2" xfId="11100" xr:uid="{00000000-0005-0000-0000-000015610000}"/>
    <cellStyle name="Normal 22 5 2 3 2 2" xfId="17101" xr:uid="{00000000-0005-0000-0000-000016610000}"/>
    <cellStyle name="Normal 22 5 2 3 2 2 2" xfId="30159" xr:uid="{00000000-0005-0000-0000-000017610000}"/>
    <cellStyle name="Normal 22 5 2 3 2 3" xfId="17102" xr:uid="{00000000-0005-0000-0000-000018610000}"/>
    <cellStyle name="Normal 22 5 2 3 2 3 2" xfId="30160" xr:uid="{00000000-0005-0000-0000-000019610000}"/>
    <cellStyle name="Normal 22 5 2 3 2 4" xfId="24470" xr:uid="{00000000-0005-0000-0000-00001A610000}"/>
    <cellStyle name="Normal 22 5 2 3 3" xfId="17103" xr:uid="{00000000-0005-0000-0000-00001B610000}"/>
    <cellStyle name="Normal 22 5 2 3 3 2" xfId="30161" xr:uid="{00000000-0005-0000-0000-00001C610000}"/>
    <cellStyle name="Normal 22 5 2 3 4" xfId="17104" xr:uid="{00000000-0005-0000-0000-00001D610000}"/>
    <cellStyle name="Normal 22 5 2 3 4 2" xfId="30162" xr:uid="{00000000-0005-0000-0000-00001E610000}"/>
    <cellStyle name="Normal 22 5 2 3 5" xfId="22314" xr:uid="{00000000-0005-0000-0000-00001F610000}"/>
    <cellStyle name="Normal 22 5 2 4" xfId="10022" xr:uid="{00000000-0005-0000-0000-000020610000}"/>
    <cellStyle name="Normal 22 5 2 4 2" xfId="17105" xr:uid="{00000000-0005-0000-0000-000021610000}"/>
    <cellStyle name="Normal 22 5 2 4 2 2" xfId="30163" xr:uid="{00000000-0005-0000-0000-000022610000}"/>
    <cellStyle name="Normal 22 5 2 4 3" xfId="17106" xr:uid="{00000000-0005-0000-0000-000023610000}"/>
    <cellStyle name="Normal 22 5 2 4 3 2" xfId="30164" xr:uid="{00000000-0005-0000-0000-000024610000}"/>
    <cellStyle name="Normal 22 5 2 4 4" xfId="23392" xr:uid="{00000000-0005-0000-0000-000025610000}"/>
    <cellStyle name="Normal 22 5 2 5" xfId="17107" xr:uid="{00000000-0005-0000-0000-000026610000}"/>
    <cellStyle name="Normal 22 5 2 5 2" xfId="30165" xr:uid="{00000000-0005-0000-0000-000027610000}"/>
    <cellStyle name="Normal 22 5 2 6" xfId="17108" xr:uid="{00000000-0005-0000-0000-000028610000}"/>
    <cellStyle name="Normal 22 5 2 6 2" xfId="30166" xr:uid="{00000000-0005-0000-0000-000029610000}"/>
    <cellStyle name="Normal 22 5 2 7" xfId="21236" xr:uid="{00000000-0005-0000-0000-00002A610000}"/>
    <cellStyle name="Normal 22 5 3" xfId="7113" xr:uid="{00000000-0005-0000-0000-00002B610000}"/>
    <cellStyle name="Normal 22 5 3 2" xfId="8992" xr:uid="{00000000-0005-0000-0000-00002C610000}"/>
    <cellStyle name="Normal 22 5 3 2 2" xfId="11371" xr:uid="{00000000-0005-0000-0000-00002D610000}"/>
    <cellStyle name="Normal 22 5 3 2 2 2" xfId="17109" xr:uid="{00000000-0005-0000-0000-00002E610000}"/>
    <cellStyle name="Normal 22 5 3 2 2 2 2" xfId="30167" xr:uid="{00000000-0005-0000-0000-00002F610000}"/>
    <cellStyle name="Normal 22 5 3 2 2 3" xfId="17110" xr:uid="{00000000-0005-0000-0000-000030610000}"/>
    <cellStyle name="Normal 22 5 3 2 2 3 2" xfId="30168" xr:uid="{00000000-0005-0000-0000-000031610000}"/>
    <cellStyle name="Normal 22 5 3 2 2 4" xfId="24741" xr:uid="{00000000-0005-0000-0000-000032610000}"/>
    <cellStyle name="Normal 22 5 3 2 3" xfId="17111" xr:uid="{00000000-0005-0000-0000-000033610000}"/>
    <cellStyle name="Normal 22 5 3 2 3 2" xfId="30169" xr:uid="{00000000-0005-0000-0000-000034610000}"/>
    <cellStyle name="Normal 22 5 3 2 4" xfId="17112" xr:uid="{00000000-0005-0000-0000-000035610000}"/>
    <cellStyle name="Normal 22 5 3 2 4 2" xfId="30170" xr:uid="{00000000-0005-0000-0000-000036610000}"/>
    <cellStyle name="Normal 22 5 3 2 5" xfId="22585" xr:uid="{00000000-0005-0000-0000-000037610000}"/>
    <cellStyle name="Normal 22 5 3 3" xfId="10293" xr:uid="{00000000-0005-0000-0000-000038610000}"/>
    <cellStyle name="Normal 22 5 3 3 2" xfId="17113" xr:uid="{00000000-0005-0000-0000-000039610000}"/>
    <cellStyle name="Normal 22 5 3 3 2 2" xfId="30171" xr:uid="{00000000-0005-0000-0000-00003A610000}"/>
    <cellStyle name="Normal 22 5 3 3 3" xfId="17114" xr:uid="{00000000-0005-0000-0000-00003B610000}"/>
    <cellStyle name="Normal 22 5 3 3 3 2" xfId="30172" xr:uid="{00000000-0005-0000-0000-00003C610000}"/>
    <cellStyle name="Normal 22 5 3 3 4" xfId="23663" xr:uid="{00000000-0005-0000-0000-00003D610000}"/>
    <cellStyle name="Normal 22 5 3 4" xfId="17115" xr:uid="{00000000-0005-0000-0000-00003E610000}"/>
    <cellStyle name="Normal 22 5 3 4 2" xfId="30173" xr:uid="{00000000-0005-0000-0000-00003F610000}"/>
    <cellStyle name="Normal 22 5 3 5" xfId="17116" xr:uid="{00000000-0005-0000-0000-000040610000}"/>
    <cellStyle name="Normal 22 5 3 5 2" xfId="30174" xr:uid="{00000000-0005-0000-0000-000041610000}"/>
    <cellStyle name="Normal 22 5 3 6" xfId="21507" xr:uid="{00000000-0005-0000-0000-000042610000}"/>
    <cellStyle name="Normal 22 5 4" xfId="8377" xr:uid="{00000000-0005-0000-0000-000043610000}"/>
    <cellStyle name="Normal 22 5 4 2" xfId="10831" xr:uid="{00000000-0005-0000-0000-000044610000}"/>
    <cellStyle name="Normal 22 5 4 2 2" xfId="17117" xr:uid="{00000000-0005-0000-0000-000045610000}"/>
    <cellStyle name="Normal 22 5 4 2 2 2" xfId="30175" xr:uid="{00000000-0005-0000-0000-000046610000}"/>
    <cellStyle name="Normal 22 5 4 2 3" xfId="17118" xr:uid="{00000000-0005-0000-0000-000047610000}"/>
    <cellStyle name="Normal 22 5 4 2 3 2" xfId="30176" xr:uid="{00000000-0005-0000-0000-000048610000}"/>
    <cellStyle name="Normal 22 5 4 2 4" xfId="24201" xr:uid="{00000000-0005-0000-0000-000049610000}"/>
    <cellStyle name="Normal 22 5 4 3" xfId="17119" xr:uid="{00000000-0005-0000-0000-00004A610000}"/>
    <cellStyle name="Normal 22 5 4 3 2" xfId="30177" xr:uid="{00000000-0005-0000-0000-00004B610000}"/>
    <cellStyle name="Normal 22 5 4 4" xfId="17120" xr:uid="{00000000-0005-0000-0000-00004C610000}"/>
    <cellStyle name="Normal 22 5 4 4 2" xfId="30178" xr:uid="{00000000-0005-0000-0000-00004D610000}"/>
    <cellStyle name="Normal 22 5 4 5" xfId="22045" xr:uid="{00000000-0005-0000-0000-00004E610000}"/>
    <cellStyle name="Normal 22 5 5" xfId="9753" xr:uid="{00000000-0005-0000-0000-00004F610000}"/>
    <cellStyle name="Normal 22 5 5 2" xfId="17121" xr:uid="{00000000-0005-0000-0000-000050610000}"/>
    <cellStyle name="Normal 22 5 5 2 2" xfId="30179" xr:uid="{00000000-0005-0000-0000-000051610000}"/>
    <cellStyle name="Normal 22 5 5 3" xfId="17122" xr:uid="{00000000-0005-0000-0000-000052610000}"/>
    <cellStyle name="Normal 22 5 5 3 2" xfId="30180" xr:uid="{00000000-0005-0000-0000-000053610000}"/>
    <cellStyle name="Normal 22 5 5 4" xfId="23123" xr:uid="{00000000-0005-0000-0000-000054610000}"/>
    <cellStyle name="Normal 22 5 6" xfId="17123" xr:uid="{00000000-0005-0000-0000-000055610000}"/>
    <cellStyle name="Normal 22 5 6 2" xfId="30181" xr:uid="{00000000-0005-0000-0000-000056610000}"/>
    <cellStyle name="Normal 22 5 7" xfId="17124" xr:uid="{00000000-0005-0000-0000-000057610000}"/>
    <cellStyle name="Normal 22 5 7 2" xfId="30182" xr:uid="{00000000-0005-0000-0000-000058610000}"/>
    <cellStyle name="Normal 22 5 8" xfId="20967" xr:uid="{00000000-0005-0000-0000-000059610000}"/>
    <cellStyle name="Normal 22 6" xfId="6529" xr:uid="{00000000-0005-0000-0000-00005A610000}"/>
    <cellStyle name="Normal 22 6 2" xfId="7248" xr:uid="{00000000-0005-0000-0000-00005B610000}"/>
    <cellStyle name="Normal 22 6 2 2" xfId="9127" xr:uid="{00000000-0005-0000-0000-00005C610000}"/>
    <cellStyle name="Normal 22 6 2 2 2" xfId="11506" xr:uid="{00000000-0005-0000-0000-00005D610000}"/>
    <cellStyle name="Normal 22 6 2 2 2 2" xfId="17125" xr:uid="{00000000-0005-0000-0000-00005E610000}"/>
    <cellStyle name="Normal 22 6 2 2 2 2 2" xfId="30183" xr:uid="{00000000-0005-0000-0000-00005F610000}"/>
    <cellStyle name="Normal 22 6 2 2 2 3" xfId="17126" xr:uid="{00000000-0005-0000-0000-000060610000}"/>
    <cellStyle name="Normal 22 6 2 2 2 3 2" xfId="30184" xr:uid="{00000000-0005-0000-0000-000061610000}"/>
    <cellStyle name="Normal 22 6 2 2 2 4" xfId="24876" xr:uid="{00000000-0005-0000-0000-000062610000}"/>
    <cellStyle name="Normal 22 6 2 2 3" xfId="17127" xr:uid="{00000000-0005-0000-0000-000063610000}"/>
    <cellStyle name="Normal 22 6 2 2 3 2" xfId="30185" xr:uid="{00000000-0005-0000-0000-000064610000}"/>
    <cellStyle name="Normal 22 6 2 2 4" xfId="17128" xr:uid="{00000000-0005-0000-0000-000065610000}"/>
    <cellStyle name="Normal 22 6 2 2 4 2" xfId="30186" xr:uid="{00000000-0005-0000-0000-000066610000}"/>
    <cellStyle name="Normal 22 6 2 2 5" xfId="22720" xr:uid="{00000000-0005-0000-0000-000067610000}"/>
    <cellStyle name="Normal 22 6 2 3" xfId="10428" xr:uid="{00000000-0005-0000-0000-000068610000}"/>
    <cellStyle name="Normal 22 6 2 3 2" xfId="17129" xr:uid="{00000000-0005-0000-0000-000069610000}"/>
    <cellStyle name="Normal 22 6 2 3 2 2" xfId="30187" xr:uid="{00000000-0005-0000-0000-00006A610000}"/>
    <cellStyle name="Normal 22 6 2 3 3" xfId="17130" xr:uid="{00000000-0005-0000-0000-00006B610000}"/>
    <cellStyle name="Normal 22 6 2 3 3 2" xfId="30188" xr:uid="{00000000-0005-0000-0000-00006C610000}"/>
    <cellStyle name="Normal 22 6 2 3 4" xfId="23798" xr:uid="{00000000-0005-0000-0000-00006D610000}"/>
    <cellStyle name="Normal 22 6 2 4" xfId="17131" xr:uid="{00000000-0005-0000-0000-00006E610000}"/>
    <cellStyle name="Normal 22 6 2 4 2" xfId="30189" xr:uid="{00000000-0005-0000-0000-00006F610000}"/>
    <cellStyle name="Normal 22 6 2 5" xfId="17132" xr:uid="{00000000-0005-0000-0000-000070610000}"/>
    <cellStyle name="Normal 22 6 2 5 2" xfId="30190" xr:uid="{00000000-0005-0000-0000-000071610000}"/>
    <cellStyle name="Normal 22 6 2 6" xfId="21642" xr:uid="{00000000-0005-0000-0000-000072610000}"/>
    <cellStyle name="Normal 22 6 3" xfId="8579" xr:uid="{00000000-0005-0000-0000-000073610000}"/>
    <cellStyle name="Normal 22 6 3 2" xfId="10966" xr:uid="{00000000-0005-0000-0000-000074610000}"/>
    <cellStyle name="Normal 22 6 3 2 2" xfId="17133" xr:uid="{00000000-0005-0000-0000-000075610000}"/>
    <cellStyle name="Normal 22 6 3 2 2 2" xfId="30191" xr:uid="{00000000-0005-0000-0000-000076610000}"/>
    <cellStyle name="Normal 22 6 3 2 3" xfId="17134" xr:uid="{00000000-0005-0000-0000-000077610000}"/>
    <cellStyle name="Normal 22 6 3 2 3 2" xfId="30192" xr:uid="{00000000-0005-0000-0000-000078610000}"/>
    <cellStyle name="Normal 22 6 3 2 4" xfId="24336" xr:uid="{00000000-0005-0000-0000-000079610000}"/>
    <cellStyle name="Normal 22 6 3 3" xfId="17135" xr:uid="{00000000-0005-0000-0000-00007A610000}"/>
    <cellStyle name="Normal 22 6 3 3 2" xfId="30193" xr:uid="{00000000-0005-0000-0000-00007B610000}"/>
    <cellStyle name="Normal 22 6 3 4" xfId="17136" xr:uid="{00000000-0005-0000-0000-00007C610000}"/>
    <cellStyle name="Normal 22 6 3 4 2" xfId="30194" xr:uid="{00000000-0005-0000-0000-00007D610000}"/>
    <cellStyle name="Normal 22 6 3 5" xfId="22180" xr:uid="{00000000-0005-0000-0000-00007E610000}"/>
    <cellStyle name="Normal 22 6 4" xfId="9888" xr:uid="{00000000-0005-0000-0000-00007F610000}"/>
    <cellStyle name="Normal 22 6 4 2" xfId="17137" xr:uid="{00000000-0005-0000-0000-000080610000}"/>
    <cellStyle name="Normal 22 6 4 2 2" xfId="30195" xr:uid="{00000000-0005-0000-0000-000081610000}"/>
    <cellStyle name="Normal 22 6 4 3" xfId="17138" xr:uid="{00000000-0005-0000-0000-000082610000}"/>
    <cellStyle name="Normal 22 6 4 3 2" xfId="30196" xr:uid="{00000000-0005-0000-0000-000083610000}"/>
    <cellStyle name="Normal 22 6 4 4" xfId="23258" xr:uid="{00000000-0005-0000-0000-000084610000}"/>
    <cellStyle name="Normal 22 6 5" xfId="17139" xr:uid="{00000000-0005-0000-0000-000085610000}"/>
    <cellStyle name="Normal 22 6 5 2" xfId="30197" xr:uid="{00000000-0005-0000-0000-000086610000}"/>
    <cellStyle name="Normal 22 6 6" xfId="17140" xr:uid="{00000000-0005-0000-0000-000087610000}"/>
    <cellStyle name="Normal 22 6 6 2" xfId="30198" xr:uid="{00000000-0005-0000-0000-000088610000}"/>
    <cellStyle name="Normal 22 6 7" xfId="21102" xr:uid="{00000000-0005-0000-0000-000089610000}"/>
    <cellStyle name="Normal 22 7" xfId="6978" xr:uid="{00000000-0005-0000-0000-00008A610000}"/>
    <cellStyle name="Normal 22 7 2" xfId="8858" xr:uid="{00000000-0005-0000-0000-00008B610000}"/>
    <cellStyle name="Normal 22 7 2 2" xfId="11237" xr:uid="{00000000-0005-0000-0000-00008C610000}"/>
    <cellStyle name="Normal 22 7 2 2 2" xfId="17141" xr:uid="{00000000-0005-0000-0000-00008D610000}"/>
    <cellStyle name="Normal 22 7 2 2 2 2" xfId="30199" xr:uid="{00000000-0005-0000-0000-00008E610000}"/>
    <cellStyle name="Normal 22 7 2 2 3" xfId="17142" xr:uid="{00000000-0005-0000-0000-00008F610000}"/>
    <cellStyle name="Normal 22 7 2 2 3 2" xfId="30200" xr:uid="{00000000-0005-0000-0000-000090610000}"/>
    <cellStyle name="Normal 22 7 2 2 4" xfId="24607" xr:uid="{00000000-0005-0000-0000-000091610000}"/>
    <cellStyle name="Normal 22 7 2 3" xfId="17143" xr:uid="{00000000-0005-0000-0000-000092610000}"/>
    <cellStyle name="Normal 22 7 2 3 2" xfId="30201" xr:uid="{00000000-0005-0000-0000-000093610000}"/>
    <cellStyle name="Normal 22 7 2 4" xfId="17144" xr:uid="{00000000-0005-0000-0000-000094610000}"/>
    <cellStyle name="Normal 22 7 2 4 2" xfId="30202" xr:uid="{00000000-0005-0000-0000-000095610000}"/>
    <cellStyle name="Normal 22 7 2 5" xfId="22451" xr:uid="{00000000-0005-0000-0000-000096610000}"/>
    <cellStyle name="Normal 22 7 3" xfId="10159" xr:uid="{00000000-0005-0000-0000-000097610000}"/>
    <cellStyle name="Normal 22 7 3 2" xfId="17145" xr:uid="{00000000-0005-0000-0000-000098610000}"/>
    <cellStyle name="Normal 22 7 3 2 2" xfId="30203" xr:uid="{00000000-0005-0000-0000-000099610000}"/>
    <cellStyle name="Normal 22 7 3 3" xfId="17146" xr:uid="{00000000-0005-0000-0000-00009A610000}"/>
    <cellStyle name="Normal 22 7 3 3 2" xfId="30204" xr:uid="{00000000-0005-0000-0000-00009B610000}"/>
    <cellStyle name="Normal 22 7 3 4" xfId="23529" xr:uid="{00000000-0005-0000-0000-00009C610000}"/>
    <cellStyle name="Normal 22 7 4" xfId="17147" xr:uid="{00000000-0005-0000-0000-00009D610000}"/>
    <cellStyle name="Normal 22 7 4 2" xfId="30205" xr:uid="{00000000-0005-0000-0000-00009E610000}"/>
    <cellStyle name="Normal 22 7 5" xfId="17148" xr:uid="{00000000-0005-0000-0000-00009F610000}"/>
    <cellStyle name="Normal 22 7 5 2" xfId="30206" xr:uid="{00000000-0005-0000-0000-0000A0610000}"/>
    <cellStyle name="Normal 22 7 6" xfId="21373" xr:uid="{00000000-0005-0000-0000-0000A1610000}"/>
    <cellStyle name="Normal 22 8" xfId="8110" xr:uid="{00000000-0005-0000-0000-0000A2610000}"/>
    <cellStyle name="Normal 22 8 2" xfId="10697" xr:uid="{00000000-0005-0000-0000-0000A3610000}"/>
    <cellStyle name="Normal 22 8 2 2" xfId="17149" xr:uid="{00000000-0005-0000-0000-0000A4610000}"/>
    <cellStyle name="Normal 22 8 2 2 2" xfId="30207" xr:uid="{00000000-0005-0000-0000-0000A5610000}"/>
    <cellStyle name="Normal 22 8 2 3" xfId="17150" xr:uid="{00000000-0005-0000-0000-0000A6610000}"/>
    <cellStyle name="Normal 22 8 2 3 2" xfId="30208" xr:uid="{00000000-0005-0000-0000-0000A7610000}"/>
    <cellStyle name="Normal 22 8 2 4" xfId="24067" xr:uid="{00000000-0005-0000-0000-0000A8610000}"/>
    <cellStyle name="Normal 22 8 3" xfId="17151" xr:uid="{00000000-0005-0000-0000-0000A9610000}"/>
    <cellStyle name="Normal 22 8 3 2" xfId="30209" xr:uid="{00000000-0005-0000-0000-0000AA610000}"/>
    <cellStyle name="Normal 22 8 4" xfId="17152" xr:uid="{00000000-0005-0000-0000-0000AB610000}"/>
    <cellStyle name="Normal 22 8 4 2" xfId="30210" xr:uid="{00000000-0005-0000-0000-0000AC610000}"/>
    <cellStyle name="Normal 22 8 5" xfId="21911" xr:uid="{00000000-0005-0000-0000-0000AD610000}"/>
    <cellStyle name="Normal 22 9" xfId="9618" xr:uid="{00000000-0005-0000-0000-0000AE610000}"/>
    <cellStyle name="Normal 22 9 2" xfId="17153" xr:uid="{00000000-0005-0000-0000-0000AF610000}"/>
    <cellStyle name="Normal 22 9 2 2" xfId="30211" xr:uid="{00000000-0005-0000-0000-0000B0610000}"/>
    <cellStyle name="Normal 22 9 3" xfId="17154" xr:uid="{00000000-0005-0000-0000-0000B1610000}"/>
    <cellStyle name="Normal 22 9 3 2" xfId="30212" xr:uid="{00000000-0005-0000-0000-0000B2610000}"/>
    <cellStyle name="Normal 22 9 4" xfId="22989" xr:uid="{00000000-0005-0000-0000-0000B3610000}"/>
    <cellStyle name="Normal 23" xfId="3022" xr:uid="{00000000-0005-0000-0000-0000B4610000}"/>
    <cellStyle name="Normal 23 10" xfId="17155" xr:uid="{00000000-0005-0000-0000-0000B5610000}"/>
    <cellStyle name="Normal 23 10 2" xfId="30213" xr:uid="{00000000-0005-0000-0000-0000B6610000}"/>
    <cellStyle name="Normal 23 11" xfId="17156" xr:uid="{00000000-0005-0000-0000-0000B7610000}"/>
    <cellStyle name="Normal 23 11 2" xfId="30214" xr:uid="{00000000-0005-0000-0000-0000B8610000}"/>
    <cellStyle name="Normal 23 12" xfId="20831" xr:uid="{00000000-0005-0000-0000-0000B9610000}"/>
    <cellStyle name="Normal 23 2" xfId="3607" xr:uid="{00000000-0005-0000-0000-0000BA610000}"/>
    <cellStyle name="Normal 23 2 10" xfId="20847" xr:uid="{00000000-0005-0000-0000-0000BB610000}"/>
    <cellStyle name="Normal 23 2 2" xfId="4085" xr:uid="{00000000-0005-0000-0000-0000BC610000}"/>
    <cellStyle name="Normal 23 2 2 2" xfId="5621" xr:uid="{00000000-0005-0000-0000-0000BD610000}"/>
    <cellStyle name="Normal 23 2 2 2 2" xfId="6773" xr:uid="{00000000-0005-0000-0000-0000BE610000}"/>
    <cellStyle name="Normal 23 2 2 2 2 2" xfId="7460" xr:uid="{00000000-0005-0000-0000-0000BF610000}"/>
    <cellStyle name="Normal 23 2 2 2 2 2 2" xfId="9339" xr:uid="{00000000-0005-0000-0000-0000C0610000}"/>
    <cellStyle name="Normal 23 2 2 2 2 2 2 2" xfId="11718" xr:uid="{00000000-0005-0000-0000-0000C1610000}"/>
    <cellStyle name="Normal 23 2 2 2 2 2 2 2 2" xfId="17157" xr:uid="{00000000-0005-0000-0000-0000C2610000}"/>
    <cellStyle name="Normal 23 2 2 2 2 2 2 2 2 2" xfId="30215" xr:uid="{00000000-0005-0000-0000-0000C3610000}"/>
    <cellStyle name="Normal 23 2 2 2 2 2 2 2 3" xfId="17158" xr:uid="{00000000-0005-0000-0000-0000C4610000}"/>
    <cellStyle name="Normal 23 2 2 2 2 2 2 2 3 2" xfId="30216" xr:uid="{00000000-0005-0000-0000-0000C5610000}"/>
    <cellStyle name="Normal 23 2 2 2 2 2 2 2 4" xfId="25088" xr:uid="{00000000-0005-0000-0000-0000C6610000}"/>
    <cellStyle name="Normal 23 2 2 2 2 2 2 3" xfId="17159" xr:uid="{00000000-0005-0000-0000-0000C7610000}"/>
    <cellStyle name="Normal 23 2 2 2 2 2 2 3 2" xfId="30217" xr:uid="{00000000-0005-0000-0000-0000C8610000}"/>
    <cellStyle name="Normal 23 2 2 2 2 2 2 4" xfId="17160" xr:uid="{00000000-0005-0000-0000-0000C9610000}"/>
    <cellStyle name="Normal 23 2 2 2 2 2 2 4 2" xfId="30218" xr:uid="{00000000-0005-0000-0000-0000CA610000}"/>
    <cellStyle name="Normal 23 2 2 2 2 2 2 5" xfId="22932" xr:uid="{00000000-0005-0000-0000-0000CB610000}"/>
    <cellStyle name="Normal 23 2 2 2 2 2 3" xfId="10640" xr:uid="{00000000-0005-0000-0000-0000CC610000}"/>
    <cellStyle name="Normal 23 2 2 2 2 2 3 2" xfId="17161" xr:uid="{00000000-0005-0000-0000-0000CD610000}"/>
    <cellStyle name="Normal 23 2 2 2 2 2 3 2 2" xfId="30219" xr:uid="{00000000-0005-0000-0000-0000CE610000}"/>
    <cellStyle name="Normal 23 2 2 2 2 2 3 3" xfId="17162" xr:uid="{00000000-0005-0000-0000-0000CF610000}"/>
    <cellStyle name="Normal 23 2 2 2 2 2 3 3 2" xfId="30220" xr:uid="{00000000-0005-0000-0000-0000D0610000}"/>
    <cellStyle name="Normal 23 2 2 2 2 2 3 4" xfId="24010" xr:uid="{00000000-0005-0000-0000-0000D1610000}"/>
    <cellStyle name="Normal 23 2 2 2 2 2 4" xfId="17163" xr:uid="{00000000-0005-0000-0000-0000D2610000}"/>
    <cellStyle name="Normal 23 2 2 2 2 2 4 2" xfId="30221" xr:uid="{00000000-0005-0000-0000-0000D3610000}"/>
    <cellStyle name="Normal 23 2 2 2 2 2 5" xfId="17164" xr:uid="{00000000-0005-0000-0000-0000D4610000}"/>
    <cellStyle name="Normal 23 2 2 2 2 2 5 2" xfId="30222" xr:uid="{00000000-0005-0000-0000-0000D5610000}"/>
    <cellStyle name="Normal 23 2 2 2 2 2 6" xfId="21854" xr:uid="{00000000-0005-0000-0000-0000D6610000}"/>
    <cellStyle name="Normal 23 2 2 2 2 3" xfId="8793" xr:uid="{00000000-0005-0000-0000-0000D7610000}"/>
    <cellStyle name="Normal 23 2 2 2 2 3 2" xfId="11178" xr:uid="{00000000-0005-0000-0000-0000D8610000}"/>
    <cellStyle name="Normal 23 2 2 2 2 3 2 2" xfId="17165" xr:uid="{00000000-0005-0000-0000-0000D9610000}"/>
    <cellStyle name="Normal 23 2 2 2 2 3 2 2 2" xfId="30223" xr:uid="{00000000-0005-0000-0000-0000DA610000}"/>
    <cellStyle name="Normal 23 2 2 2 2 3 2 3" xfId="17166" xr:uid="{00000000-0005-0000-0000-0000DB610000}"/>
    <cellStyle name="Normal 23 2 2 2 2 3 2 3 2" xfId="30224" xr:uid="{00000000-0005-0000-0000-0000DC610000}"/>
    <cellStyle name="Normal 23 2 2 2 2 3 2 4" xfId="24548" xr:uid="{00000000-0005-0000-0000-0000DD610000}"/>
    <cellStyle name="Normal 23 2 2 2 2 3 3" xfId="17167" xr:uid="{00000000-0005-0000-0000-0000DE610000}"/>
    <cellStyle name="Normal 23 2 2 2 2 3 3 2" xfId="30225" xr:uid="{00000000-0005-0000-0000-0000DF610000}"/>
    <cellStyle name="Normal 23 2 2 2 2 3 4" xfId="17168" xr:uid="{00000000-0005-0000-0000-0000E0610000}"/>
    <cellStyle name="Normal 23 2 2 2 2 3 4 2" xfId="30226" xr:uid="{00000000-0005-0000-0000-0000E1610000}"/>
    <cellStyle name="Normal 23 2 2 2 2 3 5" xfId="22392" xr:uid="{00000000-0005-0000-0000-0000E2610000}"/>
    <cellStyle name="Normal 23 2 2 2 2 4" xfId="10100" xr:uid="{00000000-0005-0000-0000-0000E3610000}"/>
    <cellStyle name="Normal 23 2 2 2 2 4 2" xfId="17169" xr:uid="{00000000-0005-0000-0000-0000E4610000}"/>
    <cellStyle name="Normal 23 2 2 2 2 4 2 2" xfId="30227" xr:uid="{00000000-0005-0000-0000-0000E5610000}"/>
    <cellStyle name="Normal 23 2 2 2 2 4 3" xfId="17170" xr:uid="{00000000-0005-0000-0000-0000E6610000}"/>
    <cellStyle name="Normal 23 2 2 2 2 4 3 2" xfId="30228" xr:uid="{00000000-0005-0000-0000-0000E7610000}"/>
    <cellStyle name="Normal 23 2 2 2 2 4 4" xfId="23470" xr:uid="{00000000-0005-0000-0000-0000E8610000}"/>
    <cellStyle name="Normal 23 2 2 2 2 5" xfId="17171" xr:uid="{00000000-0005-0000-0000-0000E9610000}"/>
    <cellStyle name="Normal 23 2 2 2 2 5 2" xfId="30229" xr:uid="{00000000-0005-0000-0000-0000EA610000}"/>
    <cellStyle name="Normal 23 2 2 2 2 6" xfId="17172" xr:uid="{00000000-0005-0000-0000-0000EB610000}"/>
    <cellStyle name="Normal 23 2 2 2 2 6 2" xfId="30230" xr:uid="{00000000-0005-0000-0000-0000EC610000}"/>
    <cellStyle name="Normal 23 2 2 2 2 7" xfId="21314" xr:uid="{00000000-0005-0000-0000-0000ED610000}"/>
    <cellStyle name="Normal 23 2 2 2 3" xfId="7191" xr:uid="{00000000-0005-0000-0000-0000EE610000}"/>
    <cellStyle name="Normal 23 2 2 2 3 2" xfId="9070" xr:uid="{00000000-0005-0000-0000-0000EF610000}"/>
    <cellStyle name="Normal 23 2 2 2 3 2 2" xfId="11449" xr:uid="{00000000-0005-0000-0000-0000F0610000}"/>
    <cellStyle name="Normal 23 2 2 2 3 2 2 2" xfId="17173" xr:uid="{00000000-0005-0000-0000-0000F1610000}"/>
    <cellStyle name="Normal 23 2 2 2 3 2 2 2 2" xfId="30231" xr:uid="{00000000-0005-0000-0000-0000F2610000}"/>
    <cellStyle name="Normal 23 2 2 2 3 2 2 3" xfId="17174" xr:uid="{00000000-0005-0000-0000-0000F3610000}"/>
    <cellStyle name="Normal 23 2 2 2 3 2 2 3 2" xfId="30232" xr:uid="{00000000-0005-0000-0000-0000F4610000}"/>
    <cellStyle name="Normal 23 2 2 2 3 2 2 4" xfId="24819" xr:uid="{00000000-0005-0000-0000-0000F5610000}"/>
    <cellStyle name="Normal 23 2 2 2 3 2 3" xfId="17175" xr:uid="{00000000-0005-0000-0000-0000F6610000}"/>
    <cellStyle name="Normal 23 2 2 2 3 2 3 2" xfId="30233" xr:uid="{00000000-0005-0000-0000-0000F7610000}"/>
    <cellStyle name="Normal 23 2 2 2 3 2 4" xfId="17176" xr:uid="{00000000-0005-0000-0000-0000F8610000}"/>
    <cellStyle name="Normal 23 2 2 2 3 2 4 2" xfId="30234" xr:uid="{00000000-0005-0000-0000-0000F9610000}"/>
    <cellStyle name="Normal 23 2 2 2 3 2 5" xfId="22663" xr:uid="{00000000-0005-0000-0000-0000FA610000}"/>
    <cellStyle name="Normal 23 2 2 2 3 3" xfId="10371" xr:uid="{00000000-0005-0000-0000-0000FB610000}"/>
    <cellStyle name="Normal 23 2 2 2 3 3 2" xfId="17177" xr:uid="{00000000-0005-0000-0000-0000FC610000}"/>
    <cellStyle name="Normal 23 2 2 2 3 3 2 2" xfId="30235" xr:uid="{00000000-0005-0000-0000-0000FD610000}"/>
    <cellStyle name="Normal 23 2 2 2 3 3 3" xfId="17178" xr:uid="{00000000-0005-0000-0000-0000FE610000}"/>
    <cellStyle name="Normal 23 2 2 2 3 3 3 2" xfId="30236" xr:uid="{00000000-0005-0000-0000-0000FF610000}"/>
    <cellStyle name="Normal 23 2 2 2 3 3 4" xfId="23741" xr:uid="{00000000-0005-0000-0000-000000620000}"/>
    <cellStyle name="Normal 23 2 2 2 3 4" xfId="17179" xr:uid="{00000000-0005-0000-0000-000001620000}"/>
    <cellStyle name="Normal 23 2 2 2 3 4 2" xfId="30237" xr:uid="{00000000-0005-0000-0000-000002620000}"/>
    <cellStyle name="Normal 23 2 2 2 3 5" xfId="17180" xr:uid="{00000000-0005-0000-0000-000003620000}"/>
    <cellStyle name="Normal 23 2 2 2 3 5 2" xfId="30238" xr:uid="{00000000-0005-0000-0000-000004620000}"/>
    <cellStyle name="Normal 23 2 2 2 3 6" xfId="21585" xr:uid="{00000000-0005-0000-0000-000005620000}"/>
    <cellStyle name="Normal 23 2 2 2 4" xfId="8468" xr:uid="{00000000-0005-0000-0000-000006620000}"/>
    <cellStyle name="Normal 23 2 2 2 4 2" xfId="10909" xr:uid="{00000000-0005-0000-0000-000007620000}"/>
    <cellStyle name="Normal 23 2 2 2 4 2 2" xfId="17181" xr:uid="{00000000-0005-0000-0000-000008620000}"/>
    <cellStyle name="Normal 23 2 2 2 4 2 2 2" xfId="30239" xr:uid="{00000000-0005-0000-0000-000009620000}"/>
    <cellStyle name="Normal 23 2 2 2 4 2 3" xfId="17182" xr:uid="{00000000-0005-0000-0000-00000A620000}"/>
    <cellStyle name="Normal 23 2 2 2 4 2 3 2" xfId="30240" xr:uid="{00000000-0005-0000-0000-00000B620000}"/>
    <cellStyle name="Normal 23 2 2 2 4 2 4" xfId="24279" xr:uid="{00000000-0005-0000-0000-00000C620000}"/>
    <cellStyle name="Normal 23 2 2 2 4 3" xfId="17183" xr:uid="{00000000-0005-0000-0000-00000D620000}"/>
    <cellStyle name="Normal 23 2 2 2 4 3 2" xfId="30241" xr:uid="{00000000-0005-0000-0000-00000E620000}"/>
    <cellStyle name="Normal 23 2 2 2 4 4" xfId="17184" xr:uid="{00000000-0005-0000-0000-00000F620000}"/>
    <cellStyle name="Normal 23 2 2 2 4 4 2" xfId="30242" xr:uid="{00000000-0005-0000-0000-000010620000}"/>
    <cellStyle name="Normal 23 2 2 2 4 5" xfId="22123" xr:uid="{00000000-0005-0000-0000-000011620000}"/>
    <cellStyle name="Normal 23 2 2 2 5" xfId="9831" xr:uid="{00000000-0005-0000-0000-000012620000}"/>
    <cellStyle name="Normal 23 2 2 2 5 2" xfId="17185" xr:uid="{00000000-0005-0000-0000-000013620000}"/>
    <cellStyle name="Normal 23 2 2 2 5 2 2" xfId="30243" xr:uid="{00000000-0005-0000-0000-000014620000}"/>
    <cellStyle name="Normal 23 2 2 2 5 3" xfId="17186" xr:uid="{00000000-0005-0000-0000-000015620000}"/>
    <cellStyle name="Normal 23 2 2 2 5 3 2" xfId="30244" xr:uid="{00000000-0005-0000-0000-000016620000}"/>
    <cellStyle name="Normal 23 2 2 2 5 4" xfId="23201" xr:uid="{00000000-0005-0000-0000-000017620000}"/>
    <cellStyle name="Normal 23 2 2 2 6" xfId="17187" xr:uid="{00000000-0005-0000-0000-000018620000}"/>
    <cellStyle name="Normal 23 2 2 2 6 2" xfId="30245" xr:uid="{00000000-0005-0000-0000-000019620000}"/>
    <cellStyle name="Normal 23 2 2 2 7" xfId="17188" xr:uid="{00000000-0005-0000-0000-00001A620000}"/>
    <cellStyle name="Normal 23 2 2 2 7 2" xfId="30246" xr:uid="{00000000-0005-0000-0000-00001B620000}"/>
    <cellStyle name="Normal 23 2 2 2 8" xfId="21045" xr:uid="{00000000-0005-0000-0000-00001C620000}"/>
    <cellStyle name="Normal 23 2 2 3" xfId="6622" xr:uid="{00000000-0005-0000-0000-00001D620000}"/>
    <cellStyle name="Normal 23 2 2 3 2" xfId="7318" xr:uid="{00000000-0005-0000-0000-00001E620000}"/>
    <cellStyle name="Normal 23 2 2 3 2 2" xfId="9197" xr:uid="{00000000-0005-0000-0000-00001F620000}"/>
    <cellStyle name="Normal 23 2 2 3 2 2 2" xfId="11576" xr:uid="{00000000-0005-0000-0000-000020620000}"/>
    <cellStyle name="Normal 23 2 2 3 2 2 2 2" xfId="17189" xr:uid="{00000000-0005-0000-0000-000021620000}"/>
    <cellStyle name="Normal 23 2 2 3 2 2 2 2 2" xfId="30247" xr:uid="{00000000-0005-0000-0000-000022620000}"/>
    <cellStyle name="Normal 23 2 2 3 2 2 2 3" xfId="17190" xr:uid="{00000000-0005-0000-0000-000023620000}"/>
    <cellStyle name="Normal 23 2 2 3 2 2 2 3 2" xfId="30248" xr:uid="{00000000-0005-0000-0000-000024620000}"/>
    <cellStyle name="Normal 23 2 2 3 2 2 2 4" xfId="24946" xr:uid="{00000000-0005-0000-0000-000025620000}"/>
    <cellStyle name="Normal 23 2 2 3 2 2 3" xfId="17191" xr:uid="{00000000-0005-0000-0000-000026620000}"/>
    <cellStyle name="Normal 23 2 2 3 2 2 3 2" xfId="30249" xr:uid="{00000000-0005-0000-0000-000027620000}"/>
    <cellStyle name="Normal 23 2 2 3 2 2 4" xfId="17192" xr:uid="{00000000-0005-0000-0000-000028620000}"/>
    <cellStyle name="Normal 23 2 2 3 2 2 4 2" xfId="30250" xr:uid="{00000000-0005-0000-0000-000029620000}"/>
    <cellStyle name="Normal 23 2 2 3 2 2 5" xfId="22790" xr:uid="{00000000-0005-0000-0000-00002A620000}"/>
    <cellStyle name="Normal 23 2 2 3 2 3" xfId="10498" xr:uid="{00000000-0005-0000-0000-00002B620000}"/>
    <cellStyle name="Normal 23 2 2 3 2 3 2" xfId="17193" xr:uid="{00000000-0005-0000-0000-00002C620000}"/>
    <cellStyle name="Normal 23 2 2 3 2 3 2 2" xfId="30251" xr:uid="{00000000-0005-0000-0000-00002D620000}"/>
    <cellStyle name="Normal 23 2 2 3 2 3 3" xfId="17194" xr:uid="{00000000-0005-0000-0000-00002E620000}"/>
    <cellStyle name="Normal 23 2 2 3 2 3 3 2" xfId="30252" xr:uid="{00000000-0005-0000-0000-00002F620000}"/>
    <cellStyle name="Normal 23 2 2 3 2 3 4" xfId="23868" xr:uid="{00000000-0005-0000-0000-000030620000}"/>
    <cellStyle name="Normal 23 2 2 3 2 4" xfId="17195" xr:uid="{00000000-0005-0000-0000-000031620000}"/>
    <cellStyle name="Normal 23 2 2 3 2 4 2" xfId="30253" xr:uid="{00000000-0005-0000-0000-000032620000}"/>
    <cellStyle name="Normal 23 2 2 3 2 5" xfId="17196" xr:uid="{00000000-0005-0000-0000-000033620000}"/>
    <cellStyle name="Normal 23 2 2 3 2 5 2" xfId="30254" xr:uid="{00000000-0005-0000-0000-000034620000}"/>
    <cellStyle name="Normal 23 2 2 3 2 6" xfId="21712" xr:uid="{00000000-0005-0000-0000-000035620000}"/>
    <cellStyle name="Normal 23 2 2 3 3" xfId="8650" xr:uid="{00000000-0005-0000-0000-000036620000}"/>
    <cellStyle name="Normal 23 2 2 3 3 2" xfId="11036" xr:uid="{00000000-0005-0000-0000-000037620000}"/>
    <cellStyle name="Normal 23 2 2 3 3 2 2" xfId="17197" xr:uid="{00000000-0005-0000-0000-000038620000}"/>
    <cellStyle name="Normal 23 2 2 3 3 2 2 2" xfId="30255" xr:uid="{00000000-0005-0000-0000-000039620000}"/>
    <cellStyle name="Normal 23 2 2 3 3 2 3" xfId="17198" xr:uid="{00000000-0005-0000-0000-00003A620000}"/>
    <cellStyle name="Normal 23 2 2 3 3 2 3 2" xfId="30256" xr:uid="{00000000-0005-0000-0000-00003B620000}"/>
    <cellStyle name="Normal 23 2 2 3 3 2 4" xfId="24406" xr:uid="{00000000-0005-0000-0000-00003C620000}"/>
    <cellStyle name="Normal 23 2 2 3 3 3" xfId="17199" xr:uid="{00000000-0005-0000-0000-00003D620000}"/>
    <cellStyle name="Normal 23 2 2 3 3 3 2" xfId="30257" xr:uid="{00000000-0005-0000-0000-00003E620000}"/>
    <cellStyle name="Normal 23 2 2 3 3 4" xfId="17200" xr:uid="{00000000-0005-0000-0000-00003F620000}"/>
    <cellStyle name="Normal 23 2 2 3 3 4 2" xfId="30258" xr:uid="{00000000-0005-0000-0000-000040620000}"/>
    <cellStyle name="Normal 23 2 2 3 3 5" xfId="22250" xr:uid="{00000000-0005-0000-0000-000041620000}"/>
    <cellStyle name="Normal 23 2 2 3 4" xfId="9958" xr:uid="{00000000-0005-0000-0000-000042620000}"/>
    <cellStyle name="Normal 23 2 2 3 4 2" xfId="17201" xr:uid="{00000000-0005-0000-0000-000043620000}"/>
    <cellStyle name="Normal 23 2 2 3 4 2 2" xfId="30259" xr:uid="{00000000-0005-0000-0000-000044620000}"/>
    <cellStyle name="Normal 23 2 2 3 4 3" xfId="17202" xr:uid="{00000000-0005-0000-0000-000045620000}"/>
    <cellStyle name="Normal 23 2 2 3 4 3 2" xfId="30260" xr:uid="{00000000-0005-0000-0000-000046620000}"/>
    <cellStyle name="Normal 23 2 2 3 4 4" xfId="23328" xr:uid="{00000000-0005-0000-0000-000047620000}"/>
    <cellStyle name="Normal 23 2 2 3 5" xfId="17203" xr:uid="{00000000-0005-0000-0000-000048620000}"/>
    <cellStyle name="Normal 23 2 2 3 5 2" xfId="30261" xr:uid="{00000000-0005-0000-0000-000049620000}"/>
    <cellStyle name="Normal 23 2 2 3 6" xfId="17204" xr:uid="{00000000-0005-0000-0000-00004A620000}"/>
    <cellStyle name="Normal 23 2 2 3 6 2" xfId="30262" xr:uid="{00000000-0005-0000-0000-00004B620000}"/>
    <cellStyle name="Normal 23 2 2 3 7" xfId="21172" xr:uid="{00000000-0005-0000-0000-00004C620000}"/>
    <cellStyle name="Normal 23 2 2 4" xfId="7048" xr:uid="{00000000-0005-0000-0000-00004D620000}"/>
    <cellStyle name="Normal 23 2 2 4 2" xfId="8928" xr:uid="{00000000-0005-0000-0000-00004E620000}"/>
    <cellStyle name="Normal 23 2 2 4 2 2" xfId="11307" xr:uid="{00000000-0005-0000-0000-00004F620000}"/>
    <cellStyle name="Normal 23 2 2 4 2 2 2" xfId="17205" xr:uid="{00000000-0005-0000-0000-000050620000}"/>
    <cellStyle name="Normal 23 2 2 4 2 2 2 2" xfId="30263" xr:uid="{00000000-0005-0000-0000-000051620000}"/>
    <cellStyle name="Normal 23 2 2 4 2 2 3" xfId="17206" xr:uid="{00000000-0005-0000-0000-000052620000}"/>
    <cellStyle name="Normal 23 2 2 4 2 2 3 2" xfId="30264" xr:uid="{00000000-0005-0000-0000-000053620000}"/>
    <cellStyle name="Normal 23 2 2 4 2 2 4" xfId="24677" xr:uid="{00000000-0005-0000-0000-000054620000}"/>
    <cellStyle name="Normal 23 2 2 4 2 3" xfId="17207" xr:uid="{00000000-0005-0000-0000-000055620000}"/>
    <cellStyle name="Normal 23 2 2 4 2 3 2" xfId="30265" xr:uid="{00000000-0005-0000-0000-000056620000}"/>
    <cellStyle name="Normal 23 2 2 4 2 4" xfId="17208" xr:uid="{00000000-0005-0000-0000-000057620000}"/>
    <cellStyle name="Normal 23 2 2 4 2 4 2" xfId="30266" xr:uid="{00000000-0005-0000-0000-000058620000}"/>
    <cellStyle name="Normal 23 2 2 4 2 5" xfId="22521" xr:uid="{00000000-0005-0000-0000-000059620000}"/>
    <cellStyle name="Normal 23 2 2 4 3" xfId="10229" xr:uid="{00000000-0005-0000-0000-00005A620000}"/>
    <cellStyle name="Normal 23 2 2 4 3 2" xfId="17209" xr:uid="{00000000-0005-0000-0000-00005B620000}"/>
    <cellStyle name="Normal 23 2 2 4 3 2 2" xfId="30267" xr:uid="{00000000-0005-0000-0000-00005C620000}"/>
    <cellStyle name="Normal 23 2 2 4 3 3" xfId="17210" xr:uid="{00000000-0005-0000-0000-00005D620000}"/>
    <cellStyle name="Normal 23 2 2 4 3 3 2" xfId="30268" xr:uid="{00000000-0005-0000-0000-00005E620000}"/>
    <cellStyle name="Normal 23 2 2 4 3 4" xfId="23599" xr:uid="{00000000-0005-0000-0000-00005F620000}"/>
    <cellStyle name="Normal 23 2 2 4 4" xfId="17211" xr:uid="{00000000-0005-0000-0000-000060620000}"/>
    <cellStyle name="Normal 23 2 2 4 4 2" xfId="30269" xr:uid="{00000000-0005-0000-0000-000061620000}"/>
    <cellStyle name="Normal 23 2 2 4 5" xfId="17212" xr:uid="{00000000-0005-0000-0000-000062620000}"/>
    <cellStyle name="Normal 23 2 2 4 5 2" xfId="30270" xr:uid="{00000000-0005-0000-0000-000063620000}"/>
    <cellStyle name="Normal 23 2 2 4 6" xfId="21443" xr:uid="{00000000-0005-0000-0000-000064620000}"/>
    <cellStyle name="Normal 23 2 2 5" xfId="8252" xr:uid="{00000000-0005-0000-0000-000065620000}"/>
    <cellStyle name="Normal 23 2 2 5 2" xfId="10767" xr:uid="{00000000-0005-0000-0000-000066620000}"/>
    <cellStyle name="Normal 23 2 2 5 2 2" xfId="17213" xr:uid="{00000000-0005-0000-0000-000067620000}"/>
    <cellStyle name="Normal 23 2 2 5 2 2 2" xfId="30271" xr:uid="{00000000-0005-0000-0000-000068620000}"/>
    <cellStyle name="Normal 23 2 2 5 2 3" xfId="17214" xr:uid="{00000000-0005-0000-0000-000069620000}"/>
    <cellStyle name="Normal 23 2 2 5 2 3 2" xfId="30272" xr:uid="{00000000-0005-0000-0000-00006A620000}"/>
    <cellStyle name="Normal 23 2 2 5 2 4" xfId="24137" xr:uid="{00000000-0005-0000-0000-00006B620000}"/>
    <cellStyle name="Normal 23 2 2 5 3" xfId="17215" xr:uid="{00000000-0005-0000-0000-00006C620000}"/>
    <cellStyle name="Normal 23 2 2 5 3 2" xfId="30273" xr:uid="{00000000-0005-0000-0000-00006D620000}"/>
    <cellStyle name="Normal 23 2 2 5 4" xfId="17216" xr:uid="{00000000-0005-0000-0000-00006E620000}"/>
    <cellStyle name="Normal 23 2 2 5 4 2" xfId="30274" xr:uid="{00000000-0005-0000-0000-00006F620000}"/>
    <cellStyle name="Normal 23 2 2 5 5" xfId="21981" xr:uid="{00000000-0005-0000-0000-000070620000}"/>
    <cellStyle name="Normal 23 2 2 6" xfId="9688" xr:uid="{00000000-0005-0000-0000-000071620000}"/>
    <cellStyle name="Normal 23 2 2 6 2" xfId="17217" xr:uid="{00000000-0005-0000-0000-000072620000}"/>
    <cellStyle name="Normal 23 2 2 6 2 2" xfId="30275" xr:uid="{00000000-0005-0000-0000-000073620000}"/>
    <cellStyle name="Normal 23 2 2 6 3" xfId="17218" xr:uid="{00000000-0005-0000-0000-000074620000}"/>
    <cellStyle name="Normal 23 2 2 6 3 2" xfId="30276" xr:uid="{00000000-0005-0000-0000-000075620000}"/>
    <cellStyle name="Normal 23 2 2 6 4" xfId="23059" xr:uid="{00000000-0005-0000-0000-000076620000}"/>
    <cellStyle name="Normal 23 2 2 7" xfId="17219" xr:uid="{00000000-0005-0000-0000-000077620000}"/>
    <cellStyle name="Normal 23 2 2 7 2" xfId="30277" xr:uid="{00000000-0005-0000-0000-000078620000}"/>
    <cellStyle name="Normal 23 2 2 8" xfId="17220" xr:uid="{00000000-0005-0000-0000-000079620000}"/>
    <cellStyle name="Normal 23 2 2 8 2" xfId="30278" xr:uid="{00000000-0005-0000-0000-00007A620000}"/>
    <cellStyle name="Normal 23 2 2 9" xfId="20902" xr:uid="{00000000-0005-0000-0000-00007B620000}"/>
    <cellStyle name="Normal 23 2 3" xfId="5444" xr:uid="{00000000-0005-0000-0000-00007C620000}"/>
    <cellStyle name="Normal 23 2 3 2" xfId="6713" xr:uid="{00000000-0005-0000-0000-00007D620000}"/>
    <cellStyle name="Normal 23 2 3 2 2" xfId="7400" xr:uid="{00000000-0005-0000-0000-00007E620000}"/>
    <cellStyle name="Normal 23 2 3 2 2 2" xfId="9279" xr:uid="{00000000-0005-0000-0000-00007F620000}"/>
    <cellStyle name="Normal 23 2 3 2 2 2 2" xfId="11658" xr:uid="{00000000-0005-0000-0000-000080620000}"/>
    <cellStyle name="Normal 23 2 3 2 2 2 2 2" xfId="17221" xr:uid="{00000000-0005-0000-0000-000081620000}"/>
    <cellStyle name="Normal 23 2 3 2 2 2 2 2 2" xfId="30279" xr:uid="{00000000-0005-0000-0000-000082620000}"/>
    <cellStyle name="Normal 23 2 3 2 2 2 2 3" xfId="17222" xr:uid="{00000000-0005-0000-0000-000083620000}"/>
    <cellStyle name="Normal 23 2 3 2 2 2 2 3 2" xfId="30280" xr:uid="{00000000-0005-0000-0000-000084620000}"/>
    <cellStyle name="Normal 23 2 3 2 2 2 2 4" xfId="25028" xr:uid="{00000000-0005-0000-0000-000085620000}"/>
    <cellStyle name="Normal 23 2 3 2 2 2 3" xfId="17223" xr:uid="{00000000-0005-0000-0000-000086620000}"/>
    <cellStyle name="Normal 23 2 3 2 2 2 3 2" xfId="30281" xr:uid="{00000000-0005-0000-0000-000087620000}"/>
    <cellStyle name="Normal 23 2 3 2 2 2 4" xfId="17224" xr:uid="{00000000-0005-0000-0000-000088620000}"/>
    <cellStyle name="Normal 23 2 3 2 2 2 4 2" xfId="30282" xr:uid="{00000000-0005-0000-0000-000089620000}"/>
    <cellStyle name="Normal 23 2 3 2 2 2 5" xfId="22872" xr:uid="{00000000-0005-0000-0000-00008A620000}"/>
    <cellStyle name="Normal 23 2 3 2 2 3" xfId="10580" xr:uid="{00000000-0005-0000-0000-00008B620000}"/>
    <cellStyle name="Normal 23 2 3 2 2 3 2" xfId="17225" xr:uid="{00000000-0005-0000-0000-00008C620000}"/>
    <cellStyle name="Normal 23 2 3 2 2 3 2 2" xfId="30283" xr:uid="{00000000-0005-0000-0000-00008D620000}"/>
    <cellStyle name="Normal 23 2 3 2 2 3 3" xfId="17226" xr:uid="{00000000-0005-0000-0000-00008E620000}"/>
    <cellStyle name="Normal 23 2 3 2 2 3 3 2" xfId="30284" xr:uid="{00000000-0005-0000-0000-00008F620000}"/>
    <cellStyle name="Normal 23 2 3 2 2 3 4" xfId="23950" xr:uid="{00000000-0005-0000-0000-000090620000}"/>
    <cellStyle name="Normal 23 2 3 2 2 4" xfId="17227" xr:uid="{00000000-0005-0000-0000-000091620000}"/>
    <cellStyle name="Normal 23 2 3 2 2 4 2" xfId="30285" xr:uid="{00000000-0005-0000-0000-000092620000}"/>
    <cellStyle name="Normal 23 2 3 2 2 5" xfId="17228" xr:uid="{00000000-0005-0000-0000-000093620000}"/>
    <cellStyle name="Normal 23 2 3 2 2 5 2" xfId="30286" xr:uid="{00000000-0005-0000-0000-000094620000}"/>
    <cellStyle name="Normal 23 2 3 2 2 6" xfId="21794" xr:uid="{00000000-0005-0000-0000-000095620000}"/>
    <cellStyle name="Normal 23 2 3 2 3" xfId="8733" xr:uid="{00000000-0005-0000-0000-000096620000}"/>
    <cellStyle name="Normal 23 2 3 2 3 2" xfId="11118" xr:uid="{00000000-0005-0000-0000-000097620000}"/>
    <cellStyle name="Normal 23 2 3 2 3 2 2" xfId="17229" xr:uid="{00000000-0005-0000-0000-000098620000}"/>
    <cellStyle name="Normal 23 2 3 2 3 2 2 2" xfId="30287" xr:uid="{00000000-0005-0000-0000-000099620000}"/>
    <cellStyle name="Normal 23 2 3 2 3 2 3" xfId="17230" xr:uid="{00000000-0005-0000-0000-00009A620000}"/>
    <cellStyle name="Normal 23 2 3 2 3 2 3 2" xfId="30288" xr:uid="{00000000-0005-0000-0000-00009B620000}"/>
    <cellStyle name="Normal 23 2 3 2 3 2 4" xfId="24488" xr:uid="{00000000-0005-0000-0000-00009C620000}"/>
    <cellStyle name="Normal 23 2 3 2 3 3" xfId="17231" xr:uid="{00000000-0005-0000-0000-00009D620000}"/>
    <cellStyle name="Normal 23 2 3 2 3 3 2" xfId="30289" xr:uid="{00000000-0005-0000-0000-00009E620000}"/>
    <cellStyle name="Normal 23 2 3 2 3 4" xfId="17232" xr:uid="{00000000-0005-0000-0000-00009F620000}"/>
    <cellStyle name="Normal 23 2 3 2 3 4 2" xfId="30290" xr:uid="{00000000-0005-0000-0000-0000A0620000}"/>
    <cellStyle name="Normal 23 2 3 2 3 5" xfId="22332" xr:uid="{00000000-0005-0000-0000-0000A1620000}"/>
    <cellStyle name="Normal 23 2 3 2 4" xfId="10040" xr:uid="{00000000-0005-0000-0000-0000A2620000}"/>
    <cellStyle name="Normal 23 2 3 2 4 2" xfId="17233" xr:uid="{00000000-0005-0000-0000-0000A3620000}"/>
    <cellStyle name="Normal 23 2 3 2 4 2 2" xfId="30291" xr:uid="{00000000-0005-0000-0000-0000A4620000}"/>
    <cellStyle name="Normal 23 2 3 2 4 3" xfId="17234" xr:uid="{00000000-0005-0000-0000-0000A5620000}"/>
    <cellStyle name="Normal 23 2 3 2 4 3 2" xfId="30292" xr:uid="{00000000-0005-0000-0000-0000A6620000}"/>
    <cellStyle name="Normal 23 2 3 2 4 4" xfId="23410" xr:uid="{00000000-0005-0000-0000-0000A7620000}"/>
    <cellStyle name="Normal 23 2 3 2 5" xfId="17235" xr:uid="{00000000-0005-0000-0000-0000A8620000}"/>
    <cellStyle name="Normal 23 2 3 2 5 2" xfId="30293" xr:uid="{00000000-0005-0000-0000-0000A9620000}"/>
    <cellStyle name="Normal 23 2 3 2 6" xfId="17236" xr:uid="{00000000-0005-0000-0000-0000AA620000}"/>
    <cellStyle name="Normal 23 2 3 2 6 2" xfId="30294" xr:uid="{00000000-0005-0000-0000-0000AB620000}"/>
    <cellStyle name="Normal 23 2 3 2 7" xfId="21254" xr:uid="{00000000-0005-0000-0000-0000AC620000}"/>
    <cellStyle name="Normal 23 2 3 3" xfId="7131" xr:uid="{00000000-0005-0000-0000-0000AD620000}"/>
    <cellStyle name="Normal 23 2 3 3 2" xfId="9010" xr:uid="{00000000-0005-0000-0000-0000AE620000}"/>
    <cellStyle name="Normal 23 2 3 3 2 2" xfId="11389" xr:uid="{00000000-0005-0000-0000-0000AF620000}"/>
    <cellStyle name="Normal 23 2 3 3 2 2 2" xfId="17237" xr:uid="{00000000-0005-0000-0000-0000B0620000}"/>
    <cellStyle name="Normal 23 2 3 3 2 2 2 2" xfId="30295" xr:uid="{00000000-0005-0000-0000-0000B1620000}"/>
    <cellStyle name="Normal 23 2 3 3 2 2 3" xfId="17238" xr:uid="{00000000-0005-0000-0000-0000B2620000}"/>
    <cellStyle name="Normal 23 2 3 3 2 2 3 2" xfId="30296" xr:uid="{00000000-0005-0000-0000-0000B3620000}"/>
    <cellStyle name="Normal 23 2 3 3 2 2 4" xfId="24759" xr:uid="{00000000-0005-0000-0000-0000B4620000}"/>
    <cellStyle name="Normal 23 2 3 3 2 3" xfId="17239" xr:uid="{00000000-0005-0000-0000-0000B5620000}"/>
    <cellStyle name="Normal 23 2 3 3 2 3 2" xfId="30297" xr:uid="{00000000-0005-0000-0000-0000B6620000}"/>
    <cellStyle name="Normal 23 2 3 3 2 4" xfId="17240" xr:uid="{00000000-0005-0000-0000-0000B7620000}"/>
    <cellStyle name="Normal 23 2 3 3 2 4 2" xfId="30298" xr:uid="{00000000-0005-0000-0000-0000B8620000}"/>
    <cellStyle name="Normal 23 2 3 3 2 5" xfId="22603" xr:uid="{00000000-0005-0000-0000-0000B9620000}"/>
    <cellStyle name="Normal 23 2 3 3 3" xfId="10311" xr:uid="{00000000-0005-0000-0000-0000BA620000}"/>
    <cellStyle name="Normal 23 2 3 3 3 2" xfId="17241" xr:uid="{00000000-0005-0000-0000-0000BB620000}"/>
    <cellStyle name="Normal 23 2 3 3 3 2 2" xfId="30299" xr:uid="{00000000-0005-0000-0000-0000BC620000}"/>
    <cellStyle name="Normal 23 2 3 3 3 3" xfId="17242" xr:uid="{00000000-0005-0000-0000-0000BD620000}"/>
    <cellStyle name="Normal 23 2 3 3 3 3 2" xfId="30300" xr:uid="{00000000-0005-0000-0000-0000BE620000}"/>
    <cellStyle name="Normal 23 2 3 3 3 4" xfId="23681" xr:uid="{00000000-0005-0000-0000-0000BF620000}"/>
    <cellStyle name="Normal 23 2 3 3 4" xfId="17243" xr:uid="{00000000-0005-0000-0000-0000C0620000}"/>
    <cellStyle name="Normal 23 2 3 3 4 2" xfId="30301" xr:uid="{00000000-0005-0000-0000-0000C1620000}"/>
    <cellStyle name="Normal 23 2 3 3 5" xfId="17244" xr:uid="{00000000-0005-0000-0000-0000C2620000}"/>
    <cellStyle name="Normal 23 2 3 3 5 2" xfId="30302" xr:uid="{00000000-0005-0000-0000-0000C3620000}"/>
    <cellStyle name="Normal 23 2 3 3 6" xfId="21525" xr:uid="{00000000-0005-0000-0000-0000C4620000}"/>
    <cellStyle name="Normal 23 2 3 4" xfId="8402" xr:uid="{00000000-0005-0000-0000-0000C5620000}"/>
    <cellStyle name="Normal 23 2 3 4 2" xfId="10849" xr:uid="{00000000-0005-0000-0000-0000C6620000}"/>
    <cellStyle name="Normal 23 2 3 4 2 2" xfId="17245" xr:uid="{00000000-0005-0000-0000-0000C7620000}"/>
    <cellStyle name="Normal 23 2 3 4 2 2 2" xfId="30303" xr:uid="{00000000-0005-0000-0000-0000C8620000}"/>
    <cellStyle name="Normal 23 2 3 4 2 3" xfId="17246" xr:uid="{00000000-0005-0000-0000-0000C9620000}"/>
    <cellStyle name="Normal 23 2 3 4 2 3 2" xfId="30304" xr:uid="{00000000-0005-0000-0000-0000CA620000}"/>
    <cellStyle name="Normal 23 2 3 4 2 4" xfId="24219" xr:uid="{00000000-0005-0000-0000-0000CB620000}"/>
    <cellStyle name="Normal 23 2 3 4 3" xfId="17247" xr:uid="{00000000-0005-0000-0000-0000CC620000}"/>
    <cellStyle name="Normal 23 2 3 4 3 2" xfId="30305" xr:uid="{00000000-0005-0000-0000-0000CD620000}"/>
    <cellStyle name="Normal 23 2 3 4 4" xfId="17248" xr:uid="{00000000-0005-0000-0000-0000CE620000}"/>
    <cellStyle name="Normal 23 2 3 4 4 2" xfId="30306" xr:uid="{00000000-0005-0000-0000-0000CF620000}"/>
    <cellStyle name="Normal 23 2 3 4 5" xfId="22063" xr:uid="{00000000-0005-0000-0000-0000D0620000}"/>
    <cellStyle name="Normal 23 2 3 5" xfId="9771" xr:uid="{00000000-0005-0000-0000-0000D1620000}"/>
    <cellStyle name="Normal 23 2 3 5 2" xfId="17249" xr:uid="{00000000-0005-0000-0000-0000D2620000}"/>
    <cellStyle name="Normal 23 2 3 5 2 2" xfId="30307" xr:uid="{00000000-0005-0000-0000-0000D3620000}"/>
    <cellStyle name="Normal 23 2 3 5 3" xfId="17250" xr:uid="{00000000-0005-0000-0000-0000D4620000}"/>
    <cellStyle name="Normal 23 2 3 5 3 2" xfId="30308" xr:uid="{00000000-0005-0000-0000-0000D5620000}"/>
    <cellStyle name="Normal 23 2 3 5 4" xfId="23141" xr:uid="{00000000-0005-0000-0000-0000D6620000}"/>
    <cellStyle name="Normal 23 2 3 6" xfId="17251" xr:uid="{00000000-0005-0000-0000-0000D7620000}"/>
    <cellStyle name="Normal 23 2 3 6 2" xfId="30309" xr:uid="{00000000-0005-0000-0000-0000D8620000}"/>
    <cellStyle name="Normal 23 2 3 7" xfId="17252" xr:uid="{00000000-0005-0000-0000-0000D9620000}"/>
    <cellStyle name="Normal 23 2 3 7 2" xfId="30310" xr:uid="{00000000-0005-0000-0000-0000DA620000}"/>
    <cellStyle name="Normal 23 2 3 8" xfId="20985" xr:uid="{00000000-0005-0000-0000-0000DB620000}"/>
    <cellStyle name="Normal 23 2 4" xfId="6562" xr:uid="{00000000-0005-0000-0000-0000DC620000}"/>
    <cellStyle name="Normal 23 2 4 2" xfId="7263" xr:uid="{00000000-0005-0000-0000-0000DD620000}"/>
    <cellStyle name="Normal 23 2 4 2 2" xfId="9142" xr:uid="{00000000-0005-0000-0000-0000DE620000}"/>
    <cellStyle name="Normal 23 2 4 2 2 2" xfId="11521" xr:uid="{00000000-0005-0000-0000-0000DF620000}"/>
    <cellStyle name="Normal 23 2 4 2 2 2 2" xfId="17253" xr:uid="{00000000-0005-0000-0000-0000E0620000}"/>
    <cellStyle name="Normal 23 2 4 2 2 2 2 2" xfId="30311" xr:uid="{00000000-0005-0000-0000-0000E1620000}"/>
    <cellStyle name="Normal 23 2 4 2 2 2 3" xfId="17254" xr:uid="{00000000-0005-0000-0000-0000E2620000}"/>
    <cellStyle name="Normal 23 2 4 2 2 2 3 2" xfId="30312" xr:uid="{00000000-0005-0000-0000-0000E3620000}"/>
    <cellStyle name="Normal 23 2 4 2 2 2 4" xfId="24891" xr:uid="{00000000-0005-0000-0000-0000E4620000}"/>
    <cellStyle name="Normal 23 2 4 2 2 3" xfId="17255" xr:uid="{00000000-0005-0000-0000-0000E5620000}"/>
    <cellStyle name="Normal 23 2 4 2 2 3 2" xfId="30313" xr:uid="{00000000-0005-0000-0000-0000E6620000}"/>
    <cellStyle name="Normal 23 2 4 2 2 4" xfId="17256" xr:uid="{00000000-0005-0000-0000-0000E7620000}"/>
    <cellStyle name="Normal 23 2 4 2 2 4 2" xfId="30314" xr:uid="{00000000-0005-0000-0000-0000E8620000}"/>
    <cellStyle name="Normal 23 2 4 2 2 5" xfId="22735" xr:uid="{00000000-0005-0000-0000-0000E9620000}"/>
    <cellStyle name="Normal 23 2 4 2 3" xfId="10443" xr:uid="{00000000-0005-0000-0000-0000EA620000}"/>
    <cellStyle name="Normal 23 2 4 2 3 2" xfId="17257" xr:uid="{00000000-0005-0000-0000-0000EB620000}"/>
    <cellStyle name="Normal 23 2 4 2 3 2 2" xfId="30315" xr:uid="{00000000-0005-0000-0000-0000EC620000}"/>
    <cellStyle name="Normal 23 2 4 2 3 3" xfId="17258" xr:uid="{00000000-0005-0000-0000-0000ED620000}"/>
    <cellStyle name="Normal 23 2 4 2 3 3 2" xfId="30316" xr:uid="{00000000-0005-0000-0000-0000EE620000}"/>
    <cellStyle name="Normal 23 2 4 2 3 4" xfId="23813" xr:uid="{00000000-0005-0000-0000-0000EF620000}"/>
    <cellStyle name="Normal 23 2 4 2 4" xfId="17259" xr:uid="{00000000-0005-0000-0000-0000F0620000}"/>
    <cellStyle name="Normal 23 2 4 2 4 2" xfId="30317" xr:uid="{00000000-0005-0000-0000-0000F1620000}"/>
    <cellStyle name="Normal 23 2 4 2 5" xfId="17260" xr:uid="{00000000-0005-0000-0000-0000F2620000}"/>
    <cellStyle name="Normal 23 2 4 2 5 2" xfId="30318" xr:uid="{00000000-0005-0000-0000-0000F3620000}"/>
    <cellStyle name="Normal 23 2 4 2 6" xfId="21657" xr:uid="{00000000-0005-0000-0000-0000F4620000}"/>
    <cellStyle name="Normal 23 2 4 3" xfId="8595" xr:uid="{00000000-0005-0000-0000-0000F5620000}"/>
    <cellStyle name="Normal 23 2 4 3 2" xfId="10981" xr:uid="{00000000-0005-0000-0000-0000F6620000}"/>
    <cellStyle name="Normal 23 2 4 3 2 2" xfId="17261" xr:uid="{00000000-0005-0000-0000-0000F7620000}"/>
    <cellStyle name="Normal 23 2 4 3 2 2 2" xfId="30319" xr:uid="{00000000-0005-0000-0000-0000F8620000}"/>
    <cellStyle name="Normal 23 2 4 3 2 3" xfId="17262" xr:uid="{00000000-0005-0000-0000-0000F9620000}"/>
    <cellStyle name="Normal 23 2 4 3 2 3 2" xfId="30320" xr:uid="{00000000-0005-0000-0000-0000FA620000}"/>
    <cellStyle name="Normal 23 2 4 3 2 4" xfId="24351" xr:uid="{00000000-0005-0000-0000-0000FB620000}"/>
    <cellStyle name="Normal 23 2 4 3 3" xfId="17263" xr:uid="{00000000-0005-0000-0000-0000FC620000}"/>
    <cellStyle name="Normal 23 2 4 3 3 2" xfId="30321" xr:uid="{00000000-0005-0000-0000-0000FD620000}"/>
    <cellStyle name="Normal 23 2 4 3 4" xfId="17264" xr:uid="{00000000-0005-0000-0000-0000FE620000}"/>
    <cellStyle name="Normal 23 2 4 3 4 2" xfId="30322" xr:uid="{00000000-0005-0000-0000-0000FF620000}"/>
    <cellStyle name="Normal 23 2 4 3 5" xfId="22195" xr:uid="{00000000-0005-0000-0000-000000630000}"/>
    <cellStyle name="Normal 23 2 4 4" xfId="9903" xr:uid="{00000000-0005-0000-0000-000001630000}"/>
    <cellStyle name="Normal 23 2 4 4 2" xfId="17265" xr:uid="{00000000-0005-0000-0000-000002630000}"/>
    <cellStyle name="Normal 23 2 4 4 2 2" xfId="30323" xr:uid="{00000000-0005-0000-0000-000003630000}"/>
    <cellStyle name="Normal 23 2 4 4 3" xfId="17266" xr:uid="{00000000-0005-0000-0000-000004630000}"/>
    <cellStyle name="Normal 23 2 4 4 3 2" xfId="30324" xr:uid="{00000000-0005-0000-0000-000005630000}"/>
    <cellStyle name="Normal 23 2 4 4 4" xfId="23273" xr:uid="{00000000-0005-0000-0000-000006630000}"/>
    <cellStyle name="Normal 23 2 4 5" xfId="17267" xr:uid="{00000000-0005-0000-0000-000007630000}"/>
    <cellStyle name="Normal 23 2 4 5 2" xfId="30325" xr:uid="{00000000-0005-0000-0000-000008630000}"/>
    <cellStyle name="Normal 23 2 4 6" xfId="17268" xr:uid="{00000000-0005-0000-0000-000009630000}"/>
    <cellStyle name="Normal 23 2 4 6 2" xfId="30326" xr:uid="{00000000-0005-0000-0000-00000A630000}"/>
    <cellStyle name="Normal 23 2 4 7" xfId="21117" xr:uid="{00000000-0005-0000-0000-00000B630000}"/>
    <cellStyle name="Normal 23 2 5" xfId="6993" xr:uid="{00000000-0005-0000-0000-00000C630000}"/>
    <cellStyle name="Normal 23 2 5 2" xfId="8873" xr:uid="{00000000-0005-0000-0000-00000D630000}"/>
    <cellStyle name="Normal 23 2 5 2 2" xfId="11252" xr:uid="{00000000-0005-0000-0000-00000E630000}"/>
    <cellStyle name="Normal 23 2 5 2 2 2" xfId="17269" xr:uid="{00000000-0005-0000-0000-00000F630000}"/>
    <cellStyle name="Normal 23 2 5 2 2 2 2" xfId="30327" xr:uid="{00000000-0005-0000-0000-000010630000}"/>
    <cellStyle name="Normal 23 2 5 2 2 3" xfId="17270" xr:uid="{00000000-0005-0000-0000-000011630000}"/>
    <cellStyle name="Normal 23 2 5 2 2 3 2" xfId="30328" xr:uid="{00000000-0005-0000-0000-000012630000}"/>
    <cellStyle name="Normal 23 2 5 2 2 4" xfId="24622" xr:uid="{00000000-0005-0000-0000-000013630000}"/>
    <cellStyle name="Normal 23 2 5 2 3" xfId="17271" xr:uid="{00000000-0005-0000-0000-000014630000}"/>
    <cellStyle name="Normal 23 2 5 2 3 2" xfId="30329" xr:uid="{00000000-0005-0000-0000-000015630000}"/>
    <cellStyle name="Normal 23 2 5 2 4" xfId="17272" xr:uid="{00000000-0005-0000-0000-000016630000}"/>
    <cellStyle name="Normal 23 2 5 2 4 2" xfId="30330" xr:uid="{00000000-0005-0000-0000-000017630000}"/>
    <cellStyle name="Normal 23 2 5 2 5" xfId="22466" xr:uid="{00000000-0005-0000-0000-000018630000}"/>
    <cellStyle name="Normal 23 2 5 3" xfId="10174" xr:uid="{00000000-0005-0000-0000-000019630000}"/>
    <cellStyle name="Normal 23 2 5 3 2" xfId="17273" xr:uid="{00000000-0005-0000-0000-00001A630000}"/>
    <cellStyle name="Normal 23 2 5 3 2 2" xfId="30331" xr:uid="{00000000-0005-0000-0000-00001B630000}"/>
    <cellStyle name="Normal 23 2 5 3 3" xfId="17274" xr:uid="{00000000-0005-0000-0000-00001C630000}"/>
    <cellStyle name="Normal 23 2 5 3 3 2" xfId="30332" xr:uid="{00000000-0005-0000-0000-00001D630000}"/>
    <cellStyle name="Normal 23 2 5 3 4" xfId="23544" xr:uid="{00000000-0005-0000-0000-00001E630000}"/>
    <cellStyle name="Normal 23 2 5 4" xfId="17275" xr:uid="{00000000-0005-0000-0000-00001F630000}"/>
    <cellStyle name="Normal 23 2 5 4 2" xfId="30333" xr:uid="{00000000-0005-0000-0000-000020630000}"/>
    <cellStyle name="Normal 23 2 5 5" xfId="17276" xr:uid="{00000000-0005-0000-0000-000021630000}"/>
    <cellStyle name="Normal 23 2 5 5 2" xfId="30334" xr:uid="{00000000-0005-0000-0000-000022630000}"/>
    <cellStyle name="Normal 23 2 5 6" xfId="21388" xr:uid="{00000000-0005-0000-0000-000023630000}"/>
    <cellStyle name="Normal 23 2 6" xfId="8173" xr:uid="{00000000-0005-0000-0000-000024630000}"/>
    <cellStyle name="Normal 23 2 6 2" xfId="10712" xr:uid="{00000000-0005-0000-0000-000025630000}"/>
    <cellStyle name="Normal 23 2 6 2 2" xfId="17277" xr:uid="{00000000-0005-0000-0000-000026630000}"/>
    <cellStyle name="Normal 23 2 6 2 2 2" xfId="30335" xr:uid="{00000000-0005-0000-0000-000027630000}"/>
    <cellStyle name="Normal 23 2 6 2 3" xfId="17278" xr:uid="{00000000-0005-0000-0000-000028630000}"/>
    <cellStyle name="Normal 23 2 6 2 3 2" xfId="30336" xr:uid="{00000000-0005-0000-0000-000029630000}"/>
    <cellStyle name="Normal 23 2 6 2 4" xfId="24082" xr:uid="{00000000-0005-0000-0000-00002A630000}"/>
    <cellStyle name="Normal 23 2 6 3" xfId="17279" xr:uid="{00000000-0005-0000-0000-00002B630000}"/>
    <cellStyle name="Normal 23 2 6 3 2" xfId="30337" xr:uid="{00000000-0005-0000-0000-00002C630000}"/>
    <cellStyle name="Normal 23 2 6 4" xfId="17280" xr:uid="{00000000-0005-0000-0000-00002D630000}"/>
    <cellStyle name="Normal 23 2 6 4 2" xfId="30338" xr:uid="{00000000-0005-0000-0000-00002E630000}"/>
    <cellStyle name="Normal 23 2 6 5" xfId="21926" xr:uid="{00000000-0005-0000-0000-00002F630000}"/>
    <cellStyle name="Normal 23 2 7" xfId="9633" xr:uid="{00000000-0005-0000-0000-000030630000}"/>
    <cellStyle name="Normal 23 2 7 2" xfId="17281" xr:uid="{00000000-0005-0000-0000-000031630000}"/>
    <cellStyle name="Normal 23 2 7 2 2" xfId="30339" xr:uid="{00000000-0005-0000-0000-000032630000}"/>
    <cellStyle name="Normal 23 2 7 3" xfId="17282" xr:uid="{00000000-0005-0000-0000-000033630000}"/>
    <cellStyle name="Normal 23 2 7 3 2" xfId="30340" xr:uid="{00000000-0005-0000-0000-000034630000}"/>
    <cellStyle name="Normal 23 2 7 4" xfId="23004" xr:uid="{00000000-0005-0000-0000-000035630000}"/>
    <cellStyle name="Normal 23 2 8" xfId="17283" xr:uid="{00000000-0005-0000-0000-000036630000}"/>
    <cellStyle name="Normal 23 2 8 2" xfId="30341" xr:uid="{00000000-0005-0000-0000-000037630000}"/>
    <cellStyle name="Normal 23 2 9" xfId="17284" xr:uid="{00000000-0005-0000-0000-000038630000}"/>
    <cellStyle name="Normal 23 2 9 2" xfId="30342" xr:uid="{00000000-0005-0000-0000-000039630000}"/>
    <cellStyle name="Normal 23 3" xfId="3938" xr:uid="{00000000-0005-0000-0000-00003A630000}"/>
    <cellStyle name="Normal 23 3 10" xfId="20862" xr:uid="{00000000-0005-0000-0000-00003B630000}"/>
    <cellStyle name="Normal 23 3 2" xfId="4100" xr:uid="{00000000-0005-0000-0000-00003C630000}"/>
    <cellStyle name="Normal 23 3 2 2" xfId="5636" xr:uid="{00000000-0005-0000-0000-00003D630000}"/>
    <cellStyle name="Normal 23 3 2 2 2" xfId="6788" xr:uid="{00000000-0005-0000-0000-00003E630000}"/>
    <cellStyle name="Normal 23 3 2 2 2 2" xfId="7475" xr:uid="{00000000-0005-0000-0000-00003F630000}"/>
    <cellStyle name="Normal 23 3 2 2 2 2 2" xfId="9354" xr:uid="{00000000-0005-0000-0000-000040630000}"/>
    <cellStyle name="Normal 23 3 2 2 2 2 2 2" xfId="11733" xr:uid="{00000000-0005-0000-0000-000041630000}"/>
    <cellStyle name="Normal 23 3 2 2 2 2 2 2 2" xfId="17285" xr:uid="{00000000-0005-0000-0000-000042630000}"/>
    <cellStyle name="Normal 23 3 2 2 2 2 2 2 2 2" xfId="30343" xr:uid="{00000000-0005-0000-0000-000043630000}"/>
    <cellStyle name="Normal 23 3 2 2 2 2 2 2 3" xfId="17286" xr:uid="{00000000-0005-0000-0000-000044630000}"/>
    <cellStyle name="Normal 23 3 2 2 2 2 2 2 3 2" xfId="30344" xr:uid="{00000000-0005-0000-0000-000045630000}"/>
    <cellStyle name="Normal 23 3 2 2 2 2 2 2 4" xfId="25103" xr:uid="{00000000-0005-0000-0000-000046630000}"/>
    <cellStyle name="Normal 23 3 2 2 2 2 2 3" xfId="17287" xr:uid="{00000000-0005-0000-0000-000047630000}"/>
    <cellStyle name="Normal 23 3 2 2 2 2 2 3 2" xfId="30345" xr:uid="{00000000-0005-0000-0000-000048630000}"/>
    <cellStyle name="Normal 23 3 2 2 2 2 2 4" xfId="17288" xr:uid="{00000000-0005-0000-0000-000049630000}"/>
    <cellStyle name="Normal 23 3 2 2 2 2 2 4 2" xfId="30346" xr:uid="{00000000-0005-0000-0000-00004A630000}"/>
    <cellStyle name="Normal 23 3 2 2 2 2 2 5" xfId="22947" xr:uid="{00000000-0005-0000-0000-00004B630000}"/>
    <cellStyle name="Normal 23 3 2 2 2 2 3" xfId="10655" xr:uid="{00000000-0005-0000-0000-00004C630000}"/>
    <cellStyle name="Normal 23 3 2 2 2 2 3 2" xfId="17289" xr:uid="{00000000-0005-0000-0000-00004D630000}"/>
    <cellStyle name="Normal 23 3 2 2 2 2 3 2 2" xfId="30347" xr:uid="{00000000-0005-0000-0000-00004E630000}"/>
    <cellStyle name="Normal 23 3 2 2 2 2 3 3" xfId="17290" xr:uid="{00000000-0005-0000-0000-00004F630000}"/>
    <cellStyle name="Normal 23 3 2 2 2 2 3 3 2" xfId="30348" xr:uid="{00000000-0005-0000-0000-000050630000}"/>
    <cellStyle name="Normal 23 3 2 2 2 2 3 4" xfId="24025" xr:uid="{00000000-0005-0000-0000-000051630000}"/>
    <cellStyle name="Normal 23 3 2 2 2 2 4" xfId="17291" xr:uid="{00000000-0005-0000-0000-000052630000}"/>
    <cellStyle name="Normal 23 3 2 2 2 2 4 2" xfId="30349" xr:uid="{00000000-0005-0000-0000-000053630000}"/>
    <cellStyle name="Normal 23 3 2 2 2 2 5" xfId="17292" xr:uid="{00000000-0005-0000-0000-000054630000}"/>
    <cellStyle name="Normal 23 3 2 2 2 2 5 2" xfId="30350" xr:uid="{00000000-0005-0000-0000-000055630000}"/>
    <cellStyle name="Normal 23 3 2 2 2 2 6" xfId="21869" xr:uid="{00000000-0005-0000-0000-000056630000}"/>
    <cellStyle name="Normal 23 3 2 2 2 3" xfId="8808" xr:uid="{00000000-0005-0000-0000-000057630000}"/>
    <cellStyle name="Normal 23 3 2 2 2 3 2" xfId="11193" xr:uid="{00000000-0005-0000-0000-000058630000}"/>
    <cellStyle name="Normal 23 3 2 2 2 3 2 2" xfId="17293" xr:uid="{00000000-0005-0000-0000-000059630000}"/>
    <cellStyle name="Normal 23 3 2 2 2 3 2 2 2" xfId="30351" xr:uid="{00000000-0005-0000-0000-00005A630000}"/>
    <cellStyle name="Normal 23 3 2 2 2 3 2 3" xfId="17294" xr:uid="{00000000-0005-0000-0000-00005B630000}"/>
    <cellStyle name="Normal 23 3 2 2 2 3 2 3 2" xfId="30352" xr:uid="{00000000-0005-0000-0000-00005C630000}"/>
    <cellStyle name="Normal 23 3 2 2 2 3 2 4" xfId="24563" xr:uid="{00000000-0005-0000-0000-00005D630000}"/>
    <cellStyle name="Normal 23 3 2 2 2 3 3" xfId="17295" xr:uid="{00000000-0005-0000-0000-00005E630000}"/>
    <cellStyle name="Normal 23 3 2 2 2 3 3 2" xfId="30353" xr:uid="{00000000-0005-0000-0000-00005F630000}"/>
    <cellStyle name="Normal 23 3 2 2 2 3 4" xfId="17296" xr:uid="{00000000-0005-0000-0000-000060630000}"/>
    <cellStyle name="Normal 23 3 2 2 2 3 4 2" xfId="30354" xr:uid="{00000000-0005-0000-0000-000061630000}"/>
    <cellStyle name="Normal 23 3 2 2 2 3 5" xfId="22407" xr:uid="{00000000-0005-0000-0000-000062630000}"/>
    <cellStyle name="Normal 23 3 2 2 2 4" xfId="10115" xr:uid="{00000000-0005-0000-0000-000063630000}"/>
    <cellStyle name="Normal 23 3 2 2 2 4 2" xfId="17297" xr:uid="{00000000-0005-0000-0000-000064630000}"/>
    <cellStyle name="Normal 23 3 2 2 2 4 2 2" xfId="30355" xr:uid="{00000000-0005-0000-0000-000065630000}"/>
    <cellStyle name="Normal 23 3 2 2 2 4 3" xfId="17298" xr:uid="{00000000-0005-0000-0000-000066630000}"/>
    <cellStyle name="Normal 23 3 2 2 2 4 3 2" xfId="30356" xr:uid="{00000000-0005-0000-0000-000067630000}"/>
    <cellStyle name="Normal 23 3 2 2 2 4 4" xfId="23485" xr:uid="{00000000-0005-0000-0000-000068630000}"/>
    <cellStyle name="Normal 23 3 2 2 2 5" xfId="17299" xr:uid="{00000000-0005-0000-0000-000069630000}"/>
    <cellStyle name="Normal 23 3 2 2 2 5 2" xfId="30357" xr:uid="{00000000-0005-0000-0000-00006A630000}"/>
    <cellStyle name="Normal 23 3 2 2 2 6" xfId="17300" xr:uid="{00000000-0005-0000-0000-00006B630000}"/>
    <cellStyle name="Normal 23 3 2 2 2 6 2" xfId="30358" xr:uid="{00000000-0005-0000-0000-00006C630000}"/>
    <cellStyle name="Normal 23 3 2 2 2 7" xfId="21329" xr:uid="{00000000-0005-0000-0000-00006D630000}"/>
    <cellStyle name="Normal 23 3 2 2 3" xfId="7206" xr:uid="{00000000-0005-0000-0000-00006E630000}"/>
    <cellStyle name="Normal 23 3 2 2 3 2" xfId="9085" xr:uid="{00000000-0005-0000-0000-00006F630000}"/>
    <cellStyle name="Normal 23 3 2 2 3 2 2" xfId="11464" xr:uid="{00000000-0005-0000-0000-000070630000}"/>
    <cellStyle name="Normal 23 3 2 2 3 2 2 2" xfId="17301" xr:uid="{00000000-0005-0000-0000-000071630000}"/>
    <cellStyle name="Normal 23 3 2 2 3 2 2 2 2" xfId="30359" xr:uid="{00000000-0005-0000-0000-000072630000}"/>
    <cellStyle name="Normal 23 3 2 2 3 2 2 3" xfId="17302" xr:uid="{00000000-0005-0000-0000-000073630000}"/>
    <cellStyle name="Normal 23 3 2 2 3 2 2 3 2" xfId="30360" xr:uid="{00000000-0005-0000-0000-000074630000}"/>
    <cellStyle name="Normal 23 3 2 2 3 2 2 4" xfId="24834" xr:uid="{00000000-0005-0000-0000-000075630000}"/>
    <cellStyle name="Normal 23 3 2 2 3 2 3" xfId="17303" xr:uid="{00000000-0005-0000-0000-000076630000}"/>
    <cellStyle name="Normal 23 3 2 2 3 2 3 2" xfId="30361" xr:uid="{00000000-0005-0000-0000-000077630000}"/>
    <cellStyle name="Normal 23 3 2 2 3 2 4" xfId="17304" xr:uid="{00000000-0005-0000-0000-000078630000}"/>
    <cellStyle name="Normal 23 3 2 2 3 2 4 2" xfId="30362" xr:uid="{00000000-0005-0000-0000-000079630000}"/>
    <cellStyle name="Normal 23 3 2 2 3 2 5" xfId="22678" xr:uid="{00000000-0005-0000-0000-00007A630000}"/>
    <cellStyle name="Normal 23 3 2 2 3 3" xfId="10386" xr:uid="{00000000-0005-0000-0000-00007B630000}"/>
    <cellStyle name="Normal 23 3 2 2 3 3 2" xfId="17305" xr:uid="{00000000-0005-0000-0000-00007C630000}"/>
    <cellStyle name="Normal 23 3 2 2 3 3 2 2" xfId="30363" xr:uid="{00000000-0005-0000-0000-00007D630000}"/>
    <cellStyle name="Normal 23 3 2 2 3 3 3" xfId="17306" xr:uid="{00000000-0005-0000-0000-00007E630000}"/>
    <cellStyle name="Normal 23 3 2 2 3 3 3 2" xfId="30364" xr:uid="{00000000-0005-0000-0000-00007F630000}"/>
    <cellStyle name="Normal 23 3 2 2 3 3 4" xfId="23756" xr:uid="{00000000-0005-0000-0000-000080630000}"/>
    <cellStyle name="Normal 23 3 2 2 3 4" xfId="17307" xr:uid="{00000000-0005-0000-0000-000081630000}"/>
    <cellStyle name="Normal 23 3 2 2 3 4 2" xfId="30365" xr:uid="{00000000-0005-0000-0000-000082630000}"/>
    <cellStyle name="Normal 23 3 2 2 3 5" xfId="17308" xr:uid="{00000000-0005-0000-0000-000083630000}"/>
    <cellStyle name="Normal 23 3 2 2 3 5 2" xfId="30366" xr:uid="{00000000-0005-0000-0000-000084630000}"/>
    <cellStyle name="Normal 23 3 2 2 3 6" xfId="21600" xr:uid="{00000000-0005-0000-0000-000085630000}"/>
    <cellStyle name="Normal 23 3 2 2 4" xfId="8483" xr:uid="{00000000-0005-0000-0000-000086630000}"/>
    <cellStyle name="Normal 23 3 2 2 4 2" xfId="10924" xr:uid="{00000000-0005-0000-0000-000087630000}"/>
    <cellStyle name="Normal 23 3 2 2 4 2 2" xfId="17309" xr:uid="{00000000-0005-0000-0000-000088630000}"/>
    <cellStyle name="Normal 23 3 2 2 4 2 2 2" xfId="30367" xr:uid="{00000000-0005-0000-0000-000089630000}"/>
    <cellStyle name="Normal 23 3 2 2 4 2 3" xfId="17310" xr:uid="{00000000-0005-0000-0000-00008A630000}"/>
    <cellStyle name="Normal 23 3 2 2 4 2 3 2" xfId="30368" xr:uid="{00000000-0005-0000-0000-00008B630000}"/>
    <cellStyle name="Normal 23 3 2 2 4 2 4" xfId="24294" xr:uid="{00000000-0005-0000-0000-00008C630000}"/>
    <cellStyle name="Normal 23 3 2 2 4 3" xfId="17311" xr:uid="{00000000-0005-0000-0000-00008D630000}"/>
    <cellStyle name="Normal 23 3 2 2 4 3 2" xfId="30369" xr:uid="{00000000-0005-0000-0000-00008E630000}"/>
    <cellStyle name="Normal 23 3 2 2 4 4" xfId="17312" xr:uid="{00000000-0005-0000-0000-00008F630000}"/>
    <cellStyle name="Normal 23 3 2 2 4 4 2" xfId="30370" xr:uid="{00000000-0005-0000-0000-000090630000}"/>
    <cellStyle name="Normal 23 3 2 2 4 5" xfId="22138" xr:uid="{00000000-0005-0000-0000-000091630000}"/>
    <cellStyle name="Normal 23 3 2 2 5" xfId="9846" xr:uid="{00000000-0005-0000-0000-000092630000}"/>
    <cellStyle name="Normal 23 3 2 2 5 2" xfId="17313" xr:uid="{00000000-0005-0000-0000-000093630000}"/>
    <cellStyle name="Normal 23 3 2 2 5 2 2" xfId="30371" xr:uid="{00000000-0005-0000-0000-000094630000}"/>
    <cellStyle name="Normal 23 3 2 2 5 3" xfId="17314" xr:uid="{00000000-0005-0000-0000-000095630000}"/>
    <cellStyle name="Normal 23 3 2 2 5 3 2" xfId="30372" xr:uid="{00000000-0005-0000-0000-000096630000}"/>
    <cellStyle name="Normal 23 3 2 2 5 4" xfId="23216" xr:uid="{00000000-0005-0000-0000-000097630000}"/>
    <cellStyle name="Normal 23 3 2 2 6" xfId="17315" xr:uid="{00000000-0005-0000-0000-000098630000}"/>
    <cellStyle name="Normal 23 3 2 2 6 2" xfId="30373" xr:uid="{00000000-0005-0000-0000-000099630000}"/>
    <cellStyle name="Normal 23 3 2 2 7" xfId="17316" xr:uid="{00000000-0005-0000-0000-00009A630000}"/>
    <cellStyle name="Normal 23 3 2 2 7 2" xfId="30374" xr:uid="{00000000-0005-0000-0000-00009B630000}"/>
    <cellStyle name="Normal 23 3 2 2 8" xfId="21060" xr:uid="{00000000-0005-0000-0000-00009C630000}"/>
    <cellStyle name="Normal 23 3 2 3" xfId="6637" xr:uid="{00000000-0005-0000-0000-00009D630000}"/>
    <cellStyle name="Normal 23 3 2 3 2" xfId="7333" xr:uid="{00000000-0005-0000-0000-00009E630000}"/>
    <cellStyle name="Normal 23 3 2 3 2 2" xfId="9212" xr:uid="{00000000-0005-0000-0000-00009F630000}"/>
    <cellStyle name="Normal 23 3 2 3 2 2 2" xfId="11591" xr:uid="{00000000-0005-0000-0000-0000A0630000}"/>
    <cellStyle name="Normal 23 3 2 3 2 2 2 2" xfId="17317" xr:uid="{00000000-0005-0000-0000-0000A1630000}"/>
    <cellStyle name="Normal 23 3 2 3 2 2 2 2 2" xfId="30375" xr:uid="{00000000-0005-0000-0000-0000A2630000}"/>
    <cellStyle name="Normal 23 3 2 3 2 2 2 3" xfId="17318" xr:uid="{00000000-0005-0000-0000-0000A3630000}"/>
    <cellStyle name="Normal 23 3 2 3 2 2 2 3 2" xfId="30376" xr:uid="{00000000-0005-0000-0000-0000A4630000}"/>
    <cellStyle name="Normal 23 3 2 3 2 2 2 4" xfId="24961" xr:uid="{00000000-0005-0000-0000-0000A5630000}"/>
    <cellStyle name="Normal 23 3 2 3 2 2 3" xfId="17319" xr:uid="{00000000-0005-0000-0000-0000A6630000}"/>
    <cellStyle name="Normal 23 3 2 3 2 2 3 2" xfId="30377" xr:uid="{00000000-0005-0000-0000-0000A7630000}"/>
    <cellStyle name="Normal 23 3 2 3 2 2 4" xfId="17320" xr:uid="{00000000-0005-0000-0000-0000A8630000}"/>
    <cellStyle name="Normal 23 3 2 3 2 2 4 2" xfId="30378" xr:uid="{00000000-0005-0000-0000-0000A9630000}"/>
    <cellStyle name="Normal 23 3 2 3 2 2 5" xfId="22805" xr:uid="{00000000-0005-0000-0000-0000AA630000}"/>
    <cellStyle name="Normal 23 3 2 3 2 3" xfId="10513" xr:uid="{00000000-0005-0000-0000-0000AB630000}"/>
    <cellStyle name="Normal 23 3 2 3 2 3 2" xfId="17321" xr:uid="{00000000-0005-0000-0000-0000AC630000}"/>
    <cellStyle name="Normal 23 3 2 3 2 3 2 2" xfId="30379" xr:uid="{00000000-0005-0000-0000-0000AD630000}"/>
    <cellStyle name="Normal 23 3 2 3 2 3 3" xfId="17322" xr:uid="{00000000-0005-0000-0000-0000AE630000}"/>
    <cellStyle name="Normal 23 3 2 3 2 3 3 2" xfId="30380" xr:uid="{00000000-0005-0000-0000-0000AF630000}"/>
    <cellStyle name="Normal 23 3 2 3 2 3 4" xfId="23883" xr:uid="{00000000-0005-0000-0000-0000B0630000}"/>
    <cellStyle name="Normal 23 3 2 3 2 4" xfId="17323" xr:uid="{00000000-0005-0000-0000-0000B1630000}"/>
    <cellStyle name="Normal 23 3 2 3 2 4 2" xfId="30381" xr:uid="{00000000-0005-0000-0000-0000B2630000}"/>
    <cellStyle name="Normal 23 3 2 3 2 5" xfId="17324" xr:uid="{00000000-0005-0000-0000-0000B3630000}"/>
    <cellStyle name="Normal 23 3 2 3 2 5 2" xfId="30382" xr:uid="{00000000-0005-0000-0000-0000B4630000}"/>
    <cellStyle name="Normal 23 3 2 3 2 6" xfId="21727" xr:uid="{00000000-0005-0000-0000-0000B5630000}"/>
    <cellStyle name="Normal 23 3 2 3 3" xfId="8665" xr:uid="{00000000-0005-0000-0000-0000B6630000}"/>
    <cellStyle name="Normal 23 3 2 3 3 2" xfId="11051" xr:uid="{00000000-0005-0000-0000-0000B7630000}"/>
    <cellStyle name="Normal 23 3 2 3 3 2 2" xfId="17325" xr:uid="{00000000-0005-0000-0000-0000B8630000}"/>
    <cellStyle name="Normal 23 3 2 3 3 2 2 2" xfId="30383" xr:uid="{00000000-0005-0000-0000-0000B9630000}"/>
    <cellStyle name="Normal 23 3 2 3 3 2 3" xfId="17326" xr:uid="{00000000-0005-0000-0000-0000BA630000}"/>
    <cellStyle name="Normal 23 3 2 3 3 2 3 2" xfId="30384" xr:uid="{00000000-0005-0000-0000-0000BB630000}"/>
    <cellStyle name="Normal 23 3 2 3 3 2 4" xfId="24421" xr:uid="{00000000-0005-0000-0000-0000BC630000}"/>
    <cellStyle name="Normal 23 3 2 3 3 3" xfId="17327" xr:uid="{00000000-0005-0000-0000-0000BD630000}"/>
    <cellStyle name="Normal 23 3 2 3 3 3 2" xfId="30385" xr:uid="{00000000-0005-0000-0000-0000BE630000}"/>
    <cellStyle name="Normal 23 3 2 3 3 4" xfId="17328" xr:uid="{00000000-0005-0000-0000-0000BF630000}"/>
    <cellStyle name="Normal 23 3 2 3 3 4 2" xfId="30386" xr:uid="{00000000-0005-0000-0000-0000C0630000}"/>
    <cellStyle name="Normal 23 3 2 3 3 5" xfId="22265" xr:uid="{00000000-0005-0000-0000-0000C1630000}"/>
    <cellStyle name="Normal 23 3 2 3 4" xfId="9973" xr:uid="{00000000-0005-0000-0000-0000C2630000}"/>
    <cellStyle name="Normal 23 3 2 3 4 2" xfId="17329" xr:uid="{00000000-0005-0000-0000-0000C3630000}"/>
    <cellStyle name="Normal 23 3 2 3 4 2 2" xfId="30387" xr:uid="{00000000-0005-0000-0000-0000C4630000}"/>
    <cellStyle name="Normal 23 3 2 3 4 3" xfId="17330" xr:uid="{00000000-0005-0000-0000-0000C5630000}"/>
    <cellStyle name="Normal 23 3 2 3 4 3 2" xfId="30388" xr:uid="{00000000-0005-0000-0000-0000C6630000}"/>
    <cellStyle name="Normal 23 3 2 3 4 4" xfId="23343" xr:uid="{00000000-0005-0000-0000-0000C7630000}"/>
    <cellStyle name="Normal 23 3 2 3 5" xfId="17331" xr:uid="{00000000-0005-0000-0000-0000C8630000}"/>
    <cellStyle name="Normal 23 3 2 3 5 2" xfId="30389" xr:uid="{00000000-0005-0000-0000-0000C9630000}"/>
    <cellStyle name="Normal 23 3 2 3 6" xfId="17332" xr:uid="{00000000-0005-0000-0000-0000CA630000}"/>
    <cellStyle name="Normal 23 3 2 3 6 2" xfId="30390" xr:uid="{00000000-0005-0000-0000-0000CB630000}"/>
    <cellStyle name="Normal 23 3 2 3 7" xfId="21187" xr:uid="{00000000-0005-0000-0000-0000CC630000}"/>
    <cellStyle name="Normal 23 3 2 4" xfId="7063" xr:uid="{00000000-0005-0000-0000-0000CD630000}"/>
    <cellStyle name="Normal 23 3 2 4 2" xfId="8943" xr:uid="{00000000-0005-0000-0000-0000CE630000}"/>
    <cellStyle name="Normal 23 3 2 4 2 2" xfId="11322" xr:uid="{00000000-0005-0000-0000-0000CF630000}"/>
    <cellStyle name="Normal 23 3 2 4 2 2 2" xfId="17333" xr:uid="{00000000-0005-0000-0000-0000D0630000}"/>
    <cellStyle name="Normal 23 3 2 4 2 2 2 2" xfId="30391" xr:uid="{00000000-0005-0000-0000-0000D1630000}"/>
    <cellStyle name="Normal 23 3 2 4 2 2 3" xfId="17334" xr:uid="{00000000-0005-0000-0000-0000D2630000}"/>
    <cellStyle name="Normal 23 3 2 4 2 2 3 2" xfId="30392" xr:uid="{00000000-0005-0000-0000-0000D3630000}"/>
    <cellStyle name="Normal 23 3 2 4 2 2 4" xfId="24692" xr:uid="{00000000-0005-0000-0000-0000D4630000}"/>
    <cellStyle name="Normal 23 3 2 4 2 3" xfId="17335" xr:uid="{00000000-0005-0000-0000-0000D5630000}"/>
    <cellStyle name="Normal 23 3 2 4 2 3 2" xfId="30393" xr:uid="{00000000-0005-0000-0000-0000D6630000}"/>
    <cellStyle name="Normal 23 3 2 4 2 4" xfId="17336" xr:uid="{00000000-0005-0000-0000-0000D7630000}"/>
    <cellStyle name="Normal 23 3 2 4 2 4 2" xfId="30394" xr:uid="{00000000-0005-0000-0000-0000D8630000}"/>
    <cellStyle name="Normal 23 3 2 4 2 5" xfId="22536" xr:uid="{00000000-0005-0000-0000-0000D9630000}"/>
    <cellStyle name="Normal 23 3 2 4 3" xfId="10244" xr:uid="{00000000-0005-0000-0000-0000DA630000}"/>
    <cellStyle name="Normal 23 3 2 4 3 2" xfId="17337" xr:uid="{00000000-0005-0000-0000-0000DB630000}"/>
    <cellStyle name="Normal 23 3 2 4 3 2 2" xfId="30395" xr:uid="{00000000-0005-0000-0000-0000DC630000}"/>
    <cellStyle name="Normal 23 3 2 4 3 3" xfId="17338" xr:uid="{00000000-0005-0000-0000-0000DD630000}"/>
    <cellStyle name="Normal 23 3 2 4 3 3 2" xfId="30396" xr:uid="{00000000-0005-0000-0000-0000DE630000}"/>
    <cellStyle name="Normal 23 3 2 4 3 4" xfId="23614" xr:uid="{00000000-0005-0000-0000-0000DF630000}"/>
    <cellStyle name="Normal 23 3 2 4 4" xfId="17339" xr:uid="{00000000-0005-0000-0000-0000E0630000}"/>
    <cellStyle name="Normal 23 3 2 4 4 2" xfId="30397" xr:uid="{00000000-0005-0000-0000-0000E1630000}"/>
    <cellStyle name="Normal 23 3 2 4 5" xfId="17340" xr:uid="{00000000-0005-0000-0000-0000E2630000}"/>
    <cellStyle name="Normal 23 3 2 4 5 2" xfId="30398" xr:uid="{00000000-0005-0000-0000-0000E3630000}"/>
    <cellStyle name="Normal 23 3 2 4 6" xfId="21458" xr:uid="{00000000-0005-0000-0000-0000E4630000}"/>
    <cellStyle name="Normal 23 3 2 5" xfId="8267" xr:uid="{00000000-0005-0000-0000-0000E5630000}"/>
    <cellStyle name="Normal 23 3 2 5 2" xfId="10782" xr:uid="{00000000-0005-0000-0000-0000E6630000}"/>
    <cellStyle name="Normal 23 3 2 5 2 2" xfId="17341" xr:uid="{00000000-0005-0000-0000-0000E7630000}"/>
    <cellStyle name="Normal 23 3 2 5 2 2 2" xfId="30399" xr:uid="{00000000-0005-0000-0000-0000E8630000}"/>
    <cellStyle name="Normal 23 3 2 5 2 3" xfId="17342" xr:uid="{00000000-0005-0000-0000-0000E9630000}"/>
    <cellStyle name="Normal 23 3 2 5 2 3 2" xfId="30400" xr:uid="{00000000-0005-0000-0000-0000EA630000}"/>
    <cellStyle name="Normal 23 3 2 5 2 4" xfId="24152" xr:uid="{00000000-0005-0000-0000-0000EB630000}"/>
    <cellStyle name="Normal 23 3 2 5 3" xfId="17343" xr:uid="{00000000-0005-0000-0000-0000EC630000}"/>
    <cellStyle name="Normal 23 3 2 5 3 2" xfId="30401" xr:uid="{00000000-0005-0000-0000-0000ED630000}"/>
    <cellStyle name="Normal 23 3 2 5 4" xfId="17344" xr:uid="{00000000-0005-0000-0000-0000EE630000}"/>
    <cellStyle name="Normal 23 3 2 5 4 2" xfId="30402" xr:uid="{00000000-0005-0000-0000-0000EF630000}"/>
    <cellStyle name="Normal 23 3 2 5 5" xfId="21996" xr:uid="{00000000-0005-0000-0000-0000F0630000}"/>
    <cellStyle name="Normal 23 3 2 6" xfId="9703" xr:uid="{00000000-0005-0000-0000-0000F1630000}"/>
    <cellStyle name="Normal 23 3 2 6 2" xfId="17345" xr:uid="{00000000-0005-0000-0000-0000F2630000}"/>
    <cellStyle name="Normal 23 3 2 6 2 2" xfId="30403" xr:uid="{00000000-0005-0000-0000-0000F3630000}"/>
    <cellStyle name="Normal 23 3 2 6 3" xfId="17346" xr:uid="{00000000-0005-0000-0000-0000F4630000}"/>
    <cellStyle name="Normal 23 3 2 6 3 2" xfId="30404" xr:uid="{00000000-0005-0000-0000-0000F5630000}"/>
    <cellStyle name="Normal 23 3 2 6 4" xfId="23074" xr:uid="{00000000-0005-0000-0000-0000F6630000}"/>
    <cellStyle name="Normal 23 3 2 7" xfId="17347" xr:uid="{00000000-0005-0000-0000-0000F7630000}"/>
    <cellStyle name="Normal 23 3 2 7 2" xfId="30405" xr:uid="{00000000-0005-0000-0000-0000F8630000}"/>
    <cellStyle name="Normal 23 3 2 8" xfId="17348" xr:uid="{00000000-0005-0000-0000-0000F9630000}"/>
    <cellStyle name="Normal 23 3 2 8 2" xfId="30406" xr:uid="{00000000-0005-0000-0000-0000FA630000}"/>
    <cellStyle name="Normal 23 3 2 9" xfId="20917" xr:uid="{00000000-0005-0000-0000-0000FB630000}"/>
    <cellStyle name="Normal 23 3 3" xfId="5548" xr:uid="{00000000-0005-0000-0000-0000FC630000}"/>
    <cellStyle name="Normal 23 3 3 2" xfId="6732" xr:uid="{00000000-0005-0000-0000-0000FD630000}"/>
    <cellStyle name="Normal 23 3 3 2 2" xfId="7419" xr:uid="{00000000-0005-0000-0000-0000FE630000}"/>
    <cellStyle name="Normal 23 3 3 2 2 2" xfId="9298" xr:uid="{00000000-0005-0000-0000-0000FF630000}"/>
    <cellStyle name="Normal 23 3 3 2 2 2 2" xfId="11677" xr:uid="{00000000-0005-0000-0000-000000640000}"/>
    <cellStyle name="Normal 23 3 3 2 2 2 2 2" xfId="17349" xr:uid="{00000000-0005-0000-0000-000001640000}"/>
    <cellStyle name="Normal 23 3 3 2 2 2 2 2 2" xfId="30407" xr:uid="{00000000-0005-0000-0000-000002640000}"/>
    <cellStyle name="Normal 23 3 3 2 2 2 2 3" xfId="17350" xr:uid="{00000000-0005-0000-0000-000003640000}"/>
    <cellStyle name="Normal 23 3 3 2 2 2 2 3 2" xfId="30408" xr:uid="{00000000-0005-0000-0000-000004640000}"/>
    <cellStyle name="Normal 23 3 3 2 2 2 2 4" xfId="25047" xr:uid="{00000000-0005-0000-0000-000005640000}"/>
    <cellStyle name="Normal 23 3 3 2 2 2 3" xfId="17351" xr:uid="{00000000-0005-0000-0000-000006640000}"/>
    <cellStyle name="Normal 23 3 3 2 2 2 3 2" xfId="30409" xr:uid="{00000000-0005-0000-0000-000007640000}"/>
    <cellStyle name="Normal 23 3 3 2 2 2 4" xfId="17352" xr:uid="{00000000-0005-0000-0000-000008640000}"/>
    <cellStyle name="Normal 23 3 3 2 2 2 4 2" xfId="30410" xr:uid="{00000000-0005-0000-0000-000009640000}"/>
    <cellStyle name="Normal 23 3 3 2 2 2 5" xfId="22891" xr:uid="{00000000-0005-0000-0000-00000A640000}"/>
    <cellStyle name="Normal 23 3 3 2 2 3" xfId="10599" xr:uid="{00000000-0005-0000-0000-00000B640000}"/>
    <cellStyle name="Normal 23 3 3 2 2 3 2" xfId="17353" xr:uid="{00000000-0005-0000-0000-00000C640000}"/>
    <cellStyle name="Normal 23 3 3 2 2 3 2 2" xfId="30411" xr:uid="{00000000-0005-0000-0000-00000D640000}"/>
    <cellStyle name="Normal 23 3 3 2 2 3 3" xfId="17354" xr:uid="{00000000-0005-0000-0000-00000E640000}"/>
    <cellStyle name="Normal 23 3 3 2 2 3 3 2" xfId="30412" xr:uid="{00000000-0005-0000-0000-00000F640000}"/>
    <cellStyle name="Normal 23 3 3 2 2 3 4" xfId="23969" xr:uid="{00000000-0005-0000-0000-000010640000}"/>
    <cellStyle name="Normal 23 3 3 2 2 4" xfId="17355" xr:uid="{00000000-0005-0000-0000-000011640000}"/>
    <cellStyle name="Normal 23 3 3 2 2 4 2" xfId="30413" xr:uid="{00000000-0005-0000-0000-000012640000}"/>
    <cellStyle name="Normal 23 3 3 2 2 5" xfId="17356" xr:uid="{00000000-0005-0000-0000-000013640000}"/>
    <cellStyle name="Normal 23 3 3 2 2 5 2" xfId="30414" xr:uid="{00000000-0005-0000-0000-000014640000}"/>
    <cellStyle name="Normal 23 3 3 2 2 6" xfId="21813" xr:uid="{00000000-0005-0000-0000-000015640000}"/>
    <cellStyle name="Normal 23 3 3 2 3" xfId="8752" xr:uid="{00000000-0005-0000-0000-000016640000}"/>
    <cellStyle name="Normal 23 3 3 2 3 2" xfId="11137" xr:uid="{00000000-0005-0000-0000-000017640000}"/>
    <cellStyle name="Normal 23 3 3 2 3 2 2" xfId="17357" xr:uid="{00000000-0005-0000-0000-000018640000}"/>
    <cellStyle name="Normal 23 3 3 2 3 2 2 2" xfId="30415" xr:uid="{00000000-0005-0000-0000-000019640000}"/>
    <cellStyle name="Normal 23 3 3 2 3 2 3" xfId="17358" xr:uid="{00000000-0005-0000-0000-00001A640000}"/>
    <cellStyle name="Normal 23 3 3 2 3 2 3 2" xfId="30416" xr:uid="{00000000-0005-0000-0000-00001B640000}"/>
    <cellStyle name="Normal 23 3 3 2 3 2 4" xfId="24507" xr:uid="{00000000-0005-0000-0000-00001C640000}"/>
    <cellStyle name="Normal 23 3 3 2 3 3" xfId="17359" xr:uid="{00000000-0005-0000-0000-00001D640000}"/>
    <cellStyle name="Normal 23 3 3 2 3 3 2" xfId="30417" xr:uid="{00000000-0005-0000-0000-00001E640000}"/>
    <cellStyle name="Normal 23 3 3 2 3 4" xfId="17360" xr:uid="{00000000-0005-0000-0000-00001F640000}"/>
    <cellStyle name="Normal 23 3 3 2 3 4 2" xfId="30418" xr:uid="{00000000-0005-0000-0000-000020640000}"/>
    <cellStyle name="Normal 23 3 3 2 3 5" xfId="22351" xr:uid="{00000000-0005-0000-0000-000021640000}"/>
    <cellStyle name="Normal 23 3 3 2 4" xfId="10059" xr:uid="{00000000-0005-0000-0000-000022640000}"/>
    <cellStyle name="Normal 23 3 3 2 4 2" xfId="17361" xr:uid="{00000000-0005-0000-0000-000023640000}"/>
    <cellStyle name="Normal 23 3 3 2 4 2 2" xfId="30419" xr:uid="{00000000-0005-0000-0000-000024640000}"/>
    <cellStyle name="Normal 23 3 3 2 4 3" xfId="17362" xr:uid="{00000000-0005-0000-0000-000025640000}"/>
    <cellStyle name="Normal 23 3 3 2 4 3 2" xfId="30420" xr:uid="{00000000-0005-0000-0000-000026640000}"/>
    <cellStyle name="Normal 23 3 3 2 4 4" xfId="23429" xr:uid="{00000000-0005-0000-0000-000027640000}"/>
    <cellStyle name="Normal 23 3 3 2 5" xfId="17363" xr:uid="{00000000-0005-0000-0000-000028640000}"/>
    <cellStyle name="Normal 23 3 3 2 5 2" xfId="30421" xr:uid="{00000000-0005-0000-0000-000029640000}"/>
    <cellStyle name="Normal 23 3 3 2 6" xfId="17364" xr:uid="{00000000-0005-0000-0000-00002A640000}"/>
    <cellStyle name="Normal 23 3 3 2 6 2" xfId="30422" xr:uid="{00000000-0005-0000-0000-00002B640000}"/>
    <cellStyle name="Normal 23 3 3 2 7" xfId="21273" xr:uid="{00000000-0005-0000-0000-00002C640000}"/>
    <cellStyle name="Normal 23 3 3 3" xfId="7150" xr:uid="{00000000-0005-0000-0000-00002D640000}"/>
    <cellStyle name="Normal 23 3 3 3 2" xfId="9029" xr:uid="{00000000-0005-0000-0000-00002E640000}"/>
    <cellStyle name="Normal 23 3 3 3 2 2" xfId="11408" xr:uid="{00000000-0005-0000-0000-00002F640000}"/>
    <cellStyle name="Normal 23 3 3 3 2 2 2" xfId="17365" xr:uid="{00000000-0005-0000-0000-000030640000}"/>
    <cellStyle name="Normal 23 3 3 3 2 2 2 2" xfId="30423" xr:uid="{00000000-0005-0000-0000-000031640000}"/>
    <cellStyle name="Normal 23 3 3 3 2 2 3" xfId="17366" xr:uid="{00000000-0005-0000-0000-000032640000}"/>
    <cellStyle name="Normal 23 3 3 3 2 2 3 2" xfId="30424" xr:uid="{00000000-0005-0000-0000-000033640000}"/>
    <cellStyle name="Normal 23 3 3 3 2 2 4" xfId="24778" xr:uid="{00000000-0005-0000-0000-000034640000}"/>
    <cellStyle name="Normal 23 3 3 3 2 3" xfId="17367" xr:uid="{00000000-0005-0000-0000-000035640000}"/>
    <cellStyle name="Normal 23 3 3 3 2 3 2" xfId="30425" xr:uid="{00000000-0005-0000-0000-000036640000}"/>
    <cellStyle name="Normal 23 3 3 3 2 4" xfId="17368" xr:uid="{00000000-0005-0000-0000-000037640000}"/>
    <cellStyle name="Normal 23 3 3 3 2 4 2" xfId="30426" xr:uid="{00000000-0005-0000-0000-000038640000}"/>
    <cellStyle name="Normal 23 3 3 3 2 5" xfId="22622" xr:uid="{00000000-0005-0000-0000-000039640000}"/>
    <cellStyle name="Normal 23 3 3 3 3" xfId="10330" xr:uid="{00000000-0005-0000-0000-00003A640000}"/>
    <cellStyle name="Normal 23 3 3 3 3 2" xfId="17369" xr:uid="{00000000-0005-0000-0000-00003B640000}"/>
    <cellStyle name="Normal 23 3 3 3 3 2 2" xfId="30427" xr:uid="{00000000-0005-0000-0000-00003C640000}"/>
    <cellStyle name="Normal 23 3 3 3 3 3" xfId="17370" xr:uid="{00000000-0005-0000-0000-00003D640000}"/>
    <cellStyle name="Normal 23 3 3 3 3 3 2" xfId="30428" xr:uid="{00000000-0005-0000-0000-00003E640000}"/>
    <cellStyle name="Normal 23 3 3 3 3 4" xfId="23700" xr:uid="{00000000-0005-0000-0000-00003F640000}"/>
    <cellStyle name="Normal 23 3 3 3 4" xfId="17371" xr:uid="{00000000-0005-0000-0000-000040640000}"/>
    <cellStyle name="Normal 23 3 3 3 4 2" xfId="30429" xr:uid="{00000000-0005-0000-0000-000041640000}"/>
    <cellStyle name="Normal 23 3 3 3 5" xfId="17372" xr:uid="{00000000-0005-0000-0000-000042640000}"/>
    <cellStyle name="Normal 23 3 3 3 5 2" xfId="30430" xr:uid="{00000000-0005-0000-0000-000043640000}"/>
    <cellStyle name="Normal 23 3 3 3 6" xfId="21544" xr:uid="{00000000-0005-0000-0000-000044640000}"/>
    <cellStyle name="Normal 23 3 3 4" xfId="8425" xr:uid="{00000000-0005-0000-0000-000045640000}"/>
    <cellStyle name="Normal 23 3 3 4 2" xfId="10868" xr:uid="{00000000-0005-0000-0000-000046640000}"/>
    <cellStyle name="Normal 23 3 3 4 2 2" xfId="17373" xr:uid="{00000000-0005-0000-0000-000047640000}"/>
    <cellStyle name="Normal 23 3 3 4 2 2 2" xfId="30431" xr:uid="{00000000-0005-0000-0000-000048640000}"/>
    <cellStyle name="Normal 23 3 3 4 2 3" xfId="17374" xr:uid="{00000000-0005-0000-0000-000049640000}"/>
    <cellStyle name="Normal 23 3 3 4 2 3 2" xfId="30432" xr:uid="{00000000-0005-0000-0000-00004A640000}"/>
    <cellStyle name="Normal 23 3 3 4 2 4" xfId="24238" xr:uid="{00000000-0005-0000-0000-00004B640000}"/>
    <cellStyle name="Normal 23 3 3 4 3" xfId="17375" xr:uid="{00000000-0005-0000-0000-00004C640000}"/>
    <cellStyle name="Normal 23 3 3 4 3 2" xfId="30433" xr:uid="{00000000-0005-0000-0000-00004D640000}"/>
    <cellStyle name="Normal 23 3 3 4 4" xfId="17376" xr:uid="{00000000-0005-0000-0000-00004E640000}"/>
    <cellStyle name="Normal 23 3 3 4 4 2" xfId="30434" xr:uid="{00000000-0005-0000-0000-00004F640000}"/>
    <cellStyle name="Normal 23 3 3 4 5" xfId="22082" xr:uid="{00000000-0005-0000-0000-000050640000}"/>
    <cellStyle name="Normal 23 3 3 5" xfId="9790" xr:uid="{00000000-0005-0000-0000-000051640000}"/>
    <cellStyle name="Normal 23 3 3 5 2" xfId="17377" xr:uid="{00000000-0005-0000-0000-000052640000}"/>
    <cellStyle name="Normal 23 3 3 5 2 2" xfId="30435" xr:uid="{00000000-0005-0000-0000-000053640000}"/>
    <cellStyle name="Normal 23 3 3 5 3" xfId="17378" xr:uid="{00000000-0005-0000-0000-000054640000}"/>
    <cellStyle name="Normal 23 3 3 5 3 2" xfId="30436" xr:uid="{00000000-0005-0000-0000-000055640000}"/>
    <cellStyle name="Normal 23 3 3 5 4" xfId="23160" xr:uid="{00000000-0005-0000-0000-000056640000}"/>
    <cellStyle name="Normal 23 3 3 6" xfId="17379" xr:uid="{00000000-0005-0000-0000-000057640000}"/>
    <cellStyle name="Normal 23 3 3 6 2" xfId="30437" xr:uid="{00000000-0005-0000-0000-000058640000}"/>
    <cellStyle name="Normal 23 3 3 7" xfId="17380" xr:uid="{00000000-0005-0000-0000-000059640000}"/>
    <cellStyle name="Normal 23 3 3 7 2" xfId="30438" xr:uid="{00000000-0005-0000-0000-00005A640000}"/>
    <cellStyle name="Normal 23 3 3 8" xfId="21004" xr:uid="{00000000-0005-0000-0000-00005B640000}"/>
    <cellStyle name="Normal 23 3 4" xfId="6582" xr:uid="{00000000-0005-0000-0000-00005C640000}"/>
    <cellStyle name="Normal 23 3 4 2" xfId="7278" xr:uid="{00000000-0005-0000-0000-00005D640000}"/>
    <cellStyle name="Normal 23 3 4 2 2" xfId="9157" xr:uid="{00000000-0005-0000-0000-00005E640000}"/>
    <cellStyle name="Normal 23 3 4 2 2 2" xfId="11536" xr:uid="{00000000-0005-0000-0000-00005F640000}"/>
    <cellStyle name="Normal 23 3 4 2 2 2 2" xfId="17381" xr:uid="{00000000-0005-0000-0000-000060640000}"/>
    <cellStyle name="Normal 23 3 4 2 2 2 2 2" xfId="30439" xr:uid="{00000000-0005-0000-0000-000061640000}"/>
    <cellStyle name="Normal 23 3 4 2 2 2 3" xfId="17382" xr:uid="{00000000-0005-0000-0000-000062640000}"/>
    <cellStyle name="Normal 23 3 4 2 2 2 3 2" xfId="30440" xr:uid="{00000000-0005-0000-0000-000063640000}"/>
    <cellStyle name="Normal 23 3 4 2 2 2 4" xfId="24906" xr:uid="{00000000-0005-0000-0000-000064640000}"/>
    <cellStyle name="Normal 23 3 4 2 2 3" xfId="17383" xr:uid="{00000000-0005-0000-0000-000065640000}"/>
    <cellStyle name="Normal 23 3 4 2 2 3 2" xfId="30441" xr:uid="{00000000-0005-0000-0000-000066640000}"/>
    <cellStyle name="Normal 23 3 4 2 2 4" xfId="17384" xr:uid="{00000000-0005-0000-0000-000067640000}"/>
    <cellStyle name="Normal 23 3 4 2 2 4 2" xfId="30442" xr:uid="{00000000-0005-0000-0000-000068640000}"/>
    <cellStyle name="Normal 23 3 4 2 2 5" xfId="22750" xr:uid="{00000000-0005-0000-0000-000069640000}"/>
    <cellStyle name="Normal 23 3 4 2 3" xfId="10458" xr:uid="{00000000-0005-0000-0000-00006A640000}"/>
    <cellStyle name="Normal 23 3 4 2 3 2" xfId="17385" xr:uid="{00000000-0005-0000-0000-00006B640000}"/>
    <cellStyle name="Normal 23 3 4 2 3 2 2" xfId="30443" xr:uid="{00000000-0005-0000-0000-00006C640000}"/>
    <cellStyle name="Normal 23 3 4 2 3 3" xfId="17386" xr:uid="{00000000-0005-0000-0000-00006D640000}"/>
    <cellStyle name="Normal 23 3 4 2 3 3 2" xfId="30444" xr:uid="{00000000-0005-0000-0000-00006E640000}"/>
    <cellStyle name="Normal 23 3 4 2 3 4" xfId="23828" xr:uid="{00000000-0005-0000-0000-00006F640000}"/>
    <cellStyle name="Normal 23 3 4 2 4" xfId="17387" xr:uid="{00000000-0005-0000-0000-000070640000}"/>
    <cellStyle name="Normal 23 3 4 2 4 2" xfId="30445" xr:uid="{00000000-0005-0000-0000-000071640000}"/>
    <cellStyle name="Normal 23 3 4 2 5" xfId="17388" xr:uid="{00000000-0005-0000-0000-000072640000}"/>
    <cellStyle name="Normal 23 3 4 2 5 2" xfId="30446" xr:uid="{00000000-0005-0000-0000-000073640000}"/>
    <cellStyle name="Normal 23 3 4 2 6" xfId="21672" xr:uid="{00000000-0005-0000-0000-000074640000}"/>
    <cellStyle name="Normal 23 3 4 3" xfId="8610" xr:uid="{00000000-0005-0000-0000-000075640000}"/>
    <cellStyle name="Normal 23 3 4 3 2" xfId="10996" xr:uid="{00000000-0005-0000-0000-000076640000}"/>
    <cellStyle name="Normal 23 3 4 3 2 2" xfId="17389" xr:uid="{00000000-0005-0000-0000-000077640000}"/>
    <cellStyle name="Normal 23 3 4 3 2 2 2" xfId="30447" xr:uid="{00000000-0005-0000-0000-000078640000}"/>
    <cellStyle name="Normal 23 3 4 3 2 3" xfId="17390" xr:uid="{00000000-0005-0000-0000-000079640000}"/>
    <cellStyle name="Normal 23 3 4 3 2 3 2" xfId="30448" xr:uid="{00000000-0005-0000-0000-00007A640000}"/>
    <cellStyle name="Normal 23 3 4 3 2 4" xfId="24366" xr:uid="{00000000-0005-0000-0000-00007B640000}"/>
    <cellStyle name="Normal 23 3 4 3 3" xfId="17391" xr:uid="{00000000-0005-0000-0000-00007C640000}"/>
    <cellStyle name="Normal 23 3 4 3 3 2" xfId="30449" xr:uid="{00000000-0005-0000-0000-00007D640000}"/>
    <cellStyle name="Normal 23 3 4 3 4" xfId="17392" xr:uid="{00000000-0005-0000-0000-00007E640000}"/>
    <cellStyle name="Normal 23 3 4 3 4 2" xfId="30450" xr:uid="{00000000-0005-0000-0000-00007F640000}"/>
    <cellStyle name="Normal 23 3 4 3 5" xfId="22210" xr:uid="{00000000-0005-0000-0000-000080640000}"/>
    <cellStyle name="Normal 23 3 4 4" xfId="9918" xr:uid="{00000000-0005-0000-0000-000081640000}"/>
    <cellStyle name="Normal 23 3 4 4 2" xfId="17393" xr:uid="{00000000-0005-0000-0000-000082640000}"/>
    <cellStyle name="Normal 23 3 4 4 2 2" xfId="30451" xr:uid="{00000000-0005-0000-0000-000083640000}"/>
    <cellStyle name="Normal 23 3 4 4 3" xfId="17394" xr:uid="{00000000-0005-0000-0000-000084640000}"/>
    <cellStyle name="Normal 23 3 4 4 3 2" xfId="30452" xr:uid="{00000000-0005-0000-0000-000085640000}"/>
    <cellStyle name="Normal 23 3 4 4 4" xfId="23288" xr:uid="{00000000-0005-0000-0000-000086640000}"/>
    <cellStyle name="Normal 23 3 4 5" xfId="17395" xr:uid="{00000000-0005-0000-0000-000087640000}"/>
    <cellStyle name="Normal 23 3 4 5 2" xfId="30453" xr:uid="{00000000-0005-0000-0000-000088640000}"/>
    <cellStyle name="Normal 23 3 4 6" xfId="17396" xr:uid="{00000000-0005-0000-0000-000089640000}"/>
    <cellStyle name="Normal 23 3 4 6 2" xfId="30454" xr:uid="{00000000-0005-0000-0000-00008A640000}"/>
    <cellStyle name="Normal 23 3 4 7" xfId="21132" xr:uid="{00000000-0005-0000-0000-00008B640000}"/>
    <cellStyle name="Normal 23 3 5" xfId="7008" xr:uid="{00000000-0005-0000-0000-00008C640000}"/>
    <cellStyle name="Normal 23 3 5 2" xfId="8888" xr:uid="{00000000-0005-0000-0000-00008D640000}"/>
    <cellStyle name="Normal 23 3 5 2 2" xfId="11267" xr:uid="{00000000-0005-0000-0000-00008E640000}"/>
    <cellStyle name="Normal 23 3 5 2 2 2" xfId="17397" xr:uid="{00000000-0005-0000-0000-00008F640000}"/>
    <cellStyle name="Normal 23 3 5 2 2 2 2" xfId="30455" xr:uid="{00000000-0005-0000-0000-000090640000}"/>
    <cellStyle name="Normal 23 3 5 2 2 3" xfId="17398" xr:uid="{00000000-0005-0000-0000-000091640000}"/>
    <cellStyle name="Normal 23 3 5 2 2 3 2" xfId="30456" xr:uid="{00000000-0005-0000-0000-000092640000}"/>
    <cellStyle name="Normal 23 3 5 2 2 4" xfId="24637" xr:uid="{00000000-0005-0000-0000-000093640000}"/>
    <cellStyle name="Normal 23 3 5 2 3" xfId="17399" xr:uid="{00000000-0005-0000-0000-000094640000}"/>
    <cellStyle name="Normal 23 3 5 2 3 2" xfId="30457" xr:uid="{00000000-0005-0000-0000-000095640000}"/>
    <cellStyle name="Normal 23 3 5 2 4" xfId="17400" xr:uid="{00000000-0005-0000-0000-000096640000}"/>
    <cellStyle name="Normal 23 3 5 2 4 2" xfId="30458" xr:uid="{00000000-0005-0000-0000-000097640000}"/>
    <cellStyle name="Normal 23 3 5 2 5" xfId="22481" xr:uid="{00000000-0005-0000-0000-000098640000}"/>
    <cellStyle name="Normal 23 3 5 3" xfId="10189" xr:uid="{00000000-0005-0000-0000-000099640000}"/>
    <cellStyle name="Normal 23 3 5 3 2" xfId="17401" xr:uid="{00000000-0005-0000-0000-00009A640000}"/>
    <cellStyle name="Normal 23 3 5 3 2 2" xfId="30459" xr:uid="{00000000-0005-0000-0000-00009B640000}"/>
    <cellStyle name="Normal 23 3 5 3 3" xfId="17402" xr:uid="{00000000-0005-0000-0000-00009C640000}"/>
    <cellStyle name="Normal 23 3 5 3 3 2" xfId="30460" xr:uid="{00000000-0005-0000-0000-00009D640000}"/>
    <cellStyle name="Normal 23 3 5 3 4" xfId="23559" xr:uid="{00000000-0005-0000-0000-00009E640000}"/>
    <cellStyle name="Normal 23 3 5 4" xfId="17403" xr:uid="{00000000-0005-0000-0000-00009F640000}"/>
    <cellStyle name="Normal 23 3 5 4 2" xfId="30461" xr:uid="{00000000-0005-0000-0000-0000A0640000}"/>
    <cellStyle name="Normal 23 3 5 5" xfId="17404" xr:uid="{00000000-0005-0000-0000-0000A1640000}"/>
    <cellStyle name="Normal 23 3 5 5 2" xfId="30462" xr:uid="{00000000-0005-0000-0000-0000A2640000}"/>
    <cellStyle name="Normal 23 3 5 6" xfId="21403" xr:uid="{00000000-0005-0000-0000-0000A3640000}"/>
    <cellStyle name="Normal 23 3 6" xfId="8204" xr:uid="{00000000-0005-0000-0000-0000A4640000}"/>
    <cellStyle name="Normal 23 3 6 2" xfId="10727" xr:uid="{00000000-0005-0000-0000-0000A5640000}"/>
    <cellStyle name="Normal 23 3 6 2 2" xfId="17405" xr:uid="{00000000-0005-0000-0000-0000A6640000}"/>
    <cellStyle name="Normal 23 3 6 2 2 2" xfId="30463" xr:uid="{00000000-0005-0000-0000-0000A7640000}"/>
    <cellStyle name="Normal 23 3 6 2 3" xfId="17406" xr:uid="{00000000-0005-0000-0000-0000A8640000}"/>
    <cellStyle name="Normal 23 3 6 2 3 2" xfId="30464" xr:uid="{00000000-0005-0000-0000-0000A9640000}"/>
    <cellStyle name="Normal 23 3 6 2 4" xfId="24097" xr:uid="{00000000-0005-0000-0000-0000AA640000}"/>
    <cellStyle name="Normal 23 3 6 3" xfId="17407" xr:uid="{00000000-0005-0000-0000-0000AB640000}"/>
    <cellStyle name="Normal 23 3 6 3 2" xfId="30465" xr:uid="{00000000-0005-0000-0000-0000AC640000}"/>
    <cellStyle name="Normal 23 3 6 4" xfId="17408" xr:uid="{00000000-0005-0000-0000-0000AD640000}"/>
    <cellStyle name="Normal 23 3 6 4 2" xfId="30466" xr:uid="{00000000-0005-0000-0000-0000AE640000}"/>
    <cellStyle name="Normal 23 3 6 5" xfId="21941" xr:uid="{00000000-0005-0000-0000-0000AF640000}"/>
    <cellStyle name="Normal 23 3 7" xfId="9648" xr:uid="{00000000-0005-0000-0000-0000B0640000}"/>
    <cellStyle name="Normal 23 3 7 2" xfId="17409" xr:uid="{00000000-0005-0000-0000-0000B1640000}"/>
    <cellStyle name="Normal 23 3 7 2 2" xfId="30467" xr:uid="{00000000-0005-0000-0000-0000B2640000}"/>
    <cellStyle name="Normal 23 3 7 3" xfId="17410" xr:uid="{00000000-0005-0000-0000-0000B3640000}"/>
    <cellStyle name="Normal 23 3 7 3 2" xfId="30468" xr:uid="{00000000-0005-0000-0000-0000B4640000}"/>
    <cellStyle name="Normal 23 3 7 4" xfId="23019" xr:uid="{00000000-0005-0000-0000-0000B5640000}"/>
    <cellStyle name="Normal 23 3 8" xfId="17411" xr:uid="{00000000-0005-0000-0000-0000B6640000}"/>
    <cellStyle name="Normal 23 3 8 2" xfId="30469" xr:uid="{00000000-0005-0000-0000-0000B7640000}"/>
    <cellStyle name="Normal 23 3 9" xfId="17412" xr:uid="{00000000-0005-0000-0000-0000B8640000}"/>
    <cellStyle name="Normal 23 3 9 2" xfId="30470" xr:uid="{00000000-0005-0000-0000-0000B9640000}"/>
    <cellStyle name="Normal 23 4" xfId="4069" xr:uid="{00000000-0005-0000-0000-0000BA640000}"/>
    <cellStyle name="Normal 23 4 2" xfId="5605" xr:uid="{00000000-0005-0000-0000-0000BB640000}"/>
    <cellStyle name="Normal 23 4 2 2" xfId="6757" xr:uid="{00000000-0005-0000-0000-0000BC640000}"/>
    <cellStyle name="Normal 23 4 2 2 2" xfId="7444" xr:uid="{00000000-0005-0000-0000-0000BD640000}"/>
    <cellStyle name="Normal 23 4 2 2 2 2" xfId="9323" xr:uid="{00000000-0005-0000-0000-0000BE640000}"/>
    <cellStyle name="Normal 23 4 2 2 2 2 2" xfId="11702" xr:uid="{00000000-0005-0000-0000-0000BF640000}"/>
    <cellStyle name="Normal 23 4 2 2 2 2 2 2" xfId="17413" xr:uid="{00000000-0005-0000-0000-0000C0640000}"/>
    <cellStyle name="Normal 23 4 2 2 2 2 2 2 2" xfId="30471" xr:uid="{00000000-0005-0000-0000-0000C1640000}"/>
    <cellStyle name="Normal 23 4 2 2 2 2 2 3" xfId="17414" xr:uid="{00000000-0005-0000-0000-0000C2640000}"/>
    <cellStyle name="Normal 23 4 2 2 2 2 2 3 2" xfId="30472" xr:uid="{00000000-0005-0000-0000-0000C3640000}"/>
    <cellStyle name="Normal 23 4 2 2 2 2 2 4" xfId="25072" xr:uid="{00000000-0005-0000-0000-0000C4640000}"/>
    <cellStyle name="Normal 23 4 2 2 2 2 3" xfId="17415" xr:uid="{00000000-0005-0000-0000-0000C5640000}"/>
    <cellStyle name="Normal 23 4 2 2 2 2 3 2" xfId="30473" xr:uid="{00000000-0005-0000-0000-0000C6640000}"/>
    <cellStyle name="Normal 23 4 2 2 2 2 4" xfId="17416" xr:uid="{00000000-0005-0000-0000-0000C7640000}"/>
    <cellStyle name="Normal 23 4 2 2 2 2 4 2" xfId="30474" xr:uid="{00000000-0005-0000-0000-0000C8640000}"/>
    <cellStyle name="Normal 23 4 2 2 2 2 5" xfId="22916" xr:uid="{00000000-0005-0000-0000-0000C9640000}"/>
    <cellStyle name="Normal 23 4 2 2 2 3" xfId="10624" xr:uid="{00000000-0005-0000-0000-0000CA640000}"/>
    <cellStyle name="Normal 23 4 2 2 2 3 2" xfId="17417" xr:uid="{00000000-0005-0000-0000-0000CB640000}"/>
    <cellStyle name="Normal 23 4 2 2 2 3 2 2" xfId="30475" xr:uid="{00000000-0005-0000-0000-0000CC640000}"/>
    <cellStyle name="Normal 23 4 2 2 2 3 3" xfId="17418" xr:uid="{00000000-0005-0000-0000-0000CD640000}"/>
    <cellStyle name="Normal 23 4 2 2 2 3 3 2" xfId="30476" xr:uid="{00000000-0005-0000-0000-0000CE640000}"/>
    <cellStyle name="Normal 23 4 2 2 2 3 4" xfId="23994" xr:uid="{00000000-0005-0000-0000-0000CF640000}"/>
    <cellStyle name="Normal 23 4 2 2 2 4" xfId="17419" xr:uid="{00000000-0005-0000-0000-0000D0640000}"/>
    <cellStyle name="Normal 23 4 2 2 2 4 2" xfId="30477" xr:uid="{00000000-0005-0000-0000-0000D1640000}"/>
    <cellStyle name="Normal 23 4 2 2 2 5" xfId="17420" xr:uid="{00000000-0005-0000-0000-0000D2640000}"/>
    <cellStyle name="Normal 23 4 2 2 2 5 2" xfId="30478" xr:uid="{00000000-0005-0000-0000-0000D3640000}"/>
    <cellStyle name="Normal 23 4 2 2 2 6" xfId="21838" xr:uid="{00000000-0005-0000-0000-0000D4640000}"/>
    <cellStyle name="Normal 23 4 2 2 3" xfId="8777" xr:uid="{00000000-0005-0000-0000-0000D5640000}"/>
    <cellStyle name="Normal 23 4 2 2 3 2" xfId="11162" xr:uid="{00000000-0005-0000-0000-0000D6640000}"/>
    <cellStyle name="Normal 23 4 2 2 3 2 2" xfId="17421" xr:uid="{00000000-0005-0000-0000-0000D7640000}"/>
    <cellStyle name="Normal 23 4 2 2 3 2 2 2" xfId="30479" xr:uid="{00000000-0005-0000-0000-0000D8640000}"/>
    <cellStyle name="Normal 23 4 2 2 3 2 3" xfId="17422" xr:uid="{00000000-0005-0000-0000-0000D9640000}"/>
    <cellStyle name="Normal 23 4 2 2 3 2 3 2" xfId="30480" xr:uid="{00000000-0005-0000-0000-0000DA640000}"/>
    <cellStyle name="Normal 23 4 2 2 3 2 4" xfId="24532" xr:uid="{00000000-0005-0000-0000-0000DB640000}"/>
    <cellStyle name="Normal 23 4 2 2 3 3" xfId="17423" xr:uid="{00000000-0005-0000-0000-0000DC640000}"/>
    <cellStyle name="Normal 23 4 2 2 3 3 2" xfId="30481" xr:uid="{00000000-0005-0000-0000-0000DD640000}"/>
    <cellStyle name="Normal 23 4 2 2 3 4" xfId="17424" xr:uid="{00000000-0005-0000-0000-0000DE640000}"/>
    <cellStyle name="Normal 23 4 2 2 3 4 2" xfId="30482" xr:uid="{00000000-0005-0000-0000-0000DF640000}"/>
    <cellStyle name="Normal 23 4 2 2 3 5" xfId="22376" xr:uid="{00000000-0005-0000-0000-0000E0640000}"/>
    <cellStyle name="Normal 23 4 2 2 4" xfId="10084" xr:uid="{00000000-0005-0000-0000-0000E1640000}"/>
    <cellStyle name="Normal 23 4 2 2 4 2" xfId="17425" xr:uid="{00000000-0005-0000-0000-0000E2640000}"/>
    <cellStyle name="Normal 23 4 2 2 4 2 2" xfId="30483" xr:uid="{00000000-0005-0000-0000-0000E3640000}"/>
    <cellStyle name="Normal 23 4 2 2 4 3" xfId="17426" xr:uid="{00000000-0005-0000-0000-0000E4640000}"/>
    <cellStyle name="Normal 23 4 2 2 4 3 2" xfId="30484" xr:uid="{00000000-0005-0000-0000-0000E5640000}"/>
    <cellStyle name="Normal 23 4 2 2 4 4" xfId="23454" xr:uid="{00000000-0005-0000-0000-0000E6640000}"/>
    <cellStyle name="Normal 23 4 2 2 5" xfId="17427" xr:uid="{00000000-0005-0000-0000-0000E7640000}"/>
    <cellStyle name="Normal 23 4 2 2 5 2" xfId="30485" xr:uid="{00000000-0005-0000-0000-0000E8640000}"/>
    <cellStyle name="Normal 23 4 2 2 6" xfId="17428" xr:uid="{00000000-0005-0000-0000-0000E9640000}"/>
    <cellStyle name="Normal 23 4 2 2 6 2" xfId="30486" xr:uid="{00000000-0005-0000-0000-0000EA640000}"/>
    <cellStyle name="Normal 23 4 2 2 7" xfId="21298" xr:uid="{00000000-0005-0000-0000-0000EB640000}"/>
    <cellStyle name="Normal 23 4 2 3" xfId="7175" xr:uid="{00000000-0005-0000-0000-0000EC640000}"/>
    <cellStyle name="Normal 23 4 2 3 2" xfId="9054" xr:uid="{00000000-0005-0000-0000-0000ED640000}"/>
    <cellStyle name="Normal 23 4 2 3 2 2" xfId="11433" xr:uid="{00000000-0005-0000-0000-0000EE640000}"/>
    <cellStyle name="Normal 23 4 2 3 2 2 2" xfId="17429" xr:uid="{00000000-0005-0000-0000-0000EF640000}"/>
    <cellStyle name="Normal 23 4 2 3 2 2 2 2" xfId="30487" xr:uid="{00000000-0005-0000-0000-0000F0640000}"/>
    <cellStyle name="Normal 23 4 2 3 2 2 3" xfId="17430" xr:uid="{00000000-0005-0000-0000-0000F1640000}"/>
    <cellStyle name="Normal 23 4 2 3 2 2 3 2" xfId="30488" xr:uid="{00000000-0005-0000-0000-0000F2640000}"/>
    <cellStyle name="Normal 23 4 2 3 2 2 4" xfId="24803" xr:uid="{00000000-0005-0000-0000-0000F3640000}"/>
    <cellStyle name="Normal 23 4 2 3 2 3" xfId="17431" xr:uid="{00000000-0005-0000-0000-0000F4640000}"/>
    <cellStyle name="Normal 23 4 2 3 2 3 2" xfId="30489" xr:uid="{00000000-0005-0000-0000-0000F5640000}"/>
    <cellStyle name="Normal 23 4 2 3 2 4" xfId="17432" xr:uid="{00000000-0005-0000-0000-0000F6640000}"/>
    <cellStyle name="Normal 23 4 2 3 2 4 2" xfId="30490" xr:uid="{00000000-0005-0000-0000-0000F7640000}"/>
    <cellStyle name="Normal 23 4 2 3 2 5" xfId="22647" xr:uid="{00000000-0005-0000-0000-0000F8640000}"/>
    <cellStyle name="Normal 23 4 2 3 3" xfId="10355" xr:uid="{00000000-0005-0000-0000-0000F9640000}"/>
    <cellStyle name="Normal 23 4 2 3 3 2" xfId="17433" xr:uid="{00000000-0005-0000-0000-0000FA640000}"/>
    <cellStyle name="Normal 23 4 2 3 3 2 2" xfId="30491" xr:uid="{00000000-0005-0000-0000-0000FB640000}"/>
    <cellStyle name="Normal 23 4 2 3 3 3" xfId="17434" xr:uid="{00000000-0005-0000-0000-0000FC640000}"/>
    <cellStyle name="Normal 23 4 2 3 3 3 2" xfId="30492" xr:uid="{00000000-0005-0000-0000-0000FD640000}"/>
    <cellStyle name="Normal 23 4 2 3 3 4" xfId="23725" xr:uid="{00000000-0005-0000-0000-0000FE640000}"/>
    <cellStyle name="Normal 23 4 2 3 4" xfId="17435" xr:uid="{00000000-0005-0000-0000-0000FF640000}"/>
    <cellStyle name="Normal 23 4 2 3 4 2" xfId="30493" xr:uid="{00000000-0005-0000-0000-000000650000}"/>
    <cellStyle name="Normal 23 4 2 3 5" xfId="17436" xr:uid="{00000000-0005-0000-0000-000001650000}"/>
    <cellStyle name="Normal 23 4 2 3 5 2" xfId="30494" xr:uid="{00000000-0005-0000-0000-000002650000}"/>
    <cellStyle name="Normal 23 4 2 3 6" xfId="21569" xr:uid="{00000000-0005-0000-0000-000003650000}"/>
    <cellStyle name="Normal 23 4 2 4" xfId="8452" xr:uid="{00000000-0005-0000-0000-000004650000}"/>
    <cellStyle name="Normal 23 4 2 4 2" xfId="10893" xr:uid="{00000000-0005-0000-0000-000005650000}"/>
    <cellStyle name="Normal 23 4 2 4 2 2" xfId="17437" xr:uid="{00000000-0005-0000-0000-000006650000}"/>
    <cellStyle name="Normal 23 4 2 4 2 2 2" xfId="30495" xr:uid="{00000000-0005-0000-0000-000007650000}"/>
    <cellStyle name="Normal 23 4 2 4 2 3" xfId="17438" xr:uid="{00000000-0005-0000-0000-000008650000}"/>
    <cellStyle name="Normal 23 4 2 4 2 3 2" xfId="30496" xr:uid="{00000000-0005-0000-0000-000009650000}"/>
    <cellStyle name="Normal 23 4 2 4 2 4" xfId="24263" xr:uid="{00000000-0005-0000-0000-00000A650000}"/>
    <cellStyle name="Normal 23 4 2 4 3" xfId="17439" xr:uid="{00000000-0005-0000-0000-00000B650000}"/>
    <cellStyle name="Normal 23 4 2 4 3 2" xfId="30497" xr:uid="{00000000-0005-0000-0000-00000C650000}"/>
    <cellStyle name="Normal 23 4 2 4 4" xfId="17440" xr:uid="{00000000-0005-0000-0000-00000D650000}"/>
    <cellStyle name="Normal 23 4 2 4 4 2" xfId="30498" xr:uid="{00000000-0005-0000-0000-00000E650000}"/>
    <cellStyle name="Normal 23 4 2 4 5" xfId="22107" xr:uid="{00000000-0005-0000-0000-00000F650000}"/>
    <cellStyle name="Normal 23 4 2 5" xfId="9815" xr:uid="{00000000-0005-0000-0000-000010650000}"/>
    <cellStyle name="Normal 23 4 2 5 2" xfId="17441" xr:uid="{00000000-0005-0000-0000-000011650000}"/>
    <cellStyle name="Normal 23 4 2 5 2 2" xfId="30499" xr:uid="{00000000-0005-0000-0000-000012650000}"/>
    <cellStyle name="Normal 23 4 2 5 3" xfId="17442" xr:uid="{00000000-0005-0000-0000-000013650000}"/>
    <cellStyle name="Normal 23 4 2 5 3 2" xfId="30500" xr:uid="{00000000-0005-0000-0000-000014650000}"/>
    <cellStyle name="Normal 23 4 2 5 4" xfId="23185" xr:uid="{00000000-0005-0000-0000-000015650000}"/>
    <cellStyle name="Normal 23 4 2 6" xfId="17443" xr:uid="{00000000-0005-0000-0000-000016650000}"/>
    <cellStyle name="Normal 23 4 2 6 2" xfId="30501" xr:uid="{00000000-0005-0000-0000-000017650000}"/>
    <cellStyle name="Normal 23 4 2 7" xfId="17444" xr:uid="{00000000-0005-0000-0000-000018650000}"/>
    <cellStyle name="Normal 23 4 2 7 2" xfId="30502" xr:uid="{00000000-0005-0000-0000-000019650000}"/>
    <cellStyle name="Normal 23 4 2 8" xfId="21029" xr:uid="{00000000-0005-0000-0000-00001A650000}"/>
    <cellStyle name="Normal 23 4 3" xfId="6606" xr:uid="{00000000-0005-0000-0000-00001B650000}"/>
    <cellStyle name="Normal 23 4 3 2" xfId="7302" xr:uid="{00000000-0005-0000-0000-00001C650000}"/>
    <cellStyle name="Normal 23 4 3 2 2" xfId="9181" xr:uid="{00000000-0005-0000-0000-00001D650000}"/>
    <cellStyle name="Normal 23 4 3 2 2 2" xfId="11560" xr:uid="{00000000-0005-0000-0000-00001E650000}"/>
    <cellStyle name="Normal 23 4 3 2 2 2 2" xfId="17445" xr:uid="{00000000-0005-0000-0000-00001F650000}"/>
    <cellStyle name="Normal 23 4 3 2 2 2 2 2" xfId="30503" xr:uid="{00000000-0005-0000-0000-000020650000}"/>
    <cellStyle name="Normal 23 4 3 2 2 2 3" xfId="17446" xr:uid="{00000000-0005-0000-0000-000021650000}"/>
    <cellStyle name="Normal 23 4 3 2 2 2 3 2" xfId="30504" xr:uid="{00000000-0005-0000-0000-000022650000}"/>
    <cellStyle name="Normal 23 4 3 2 2 2 4" xfId="24930" xr:uid="{00000000-0005-0000-0000-000023650000}"/>
    <cellStyle name="Normal 23 4 3 2 2 3" xfId="17447" xr:uid="{00000000-0005-0000-0000-000024650000}"/>
    <cellStyle name="Normal 23 4 3 2 2 3 2" xfId="30505" xr:uid="{00000000-0005-0000-0000-000025650000}"/>
    <cellStyle name="Normal 23 4 3 2 2 4" xfId="17448" xr:uid="{00000000-0005-0000-0000-000026650000}"/>
    <cellStyle name="Normal 23 4 3 2 2 4 2" xfId="30506" xr:uid="{00000000-0005-0000-0000-000027650000}"/>
    <cellStyle name="Normal 23 4 3 2 2 5" xfId="22774" xr:uid="{00000000-0005-0000-0000-000028650000}"/>
    <cellStyle name="Normal 23 4 3 2 3" xfId="10482" xr:uid="{00000000-0005-0000-0000-000029650000}"/>
    <cellStyle name="Normal 23 4 3 2 3 2" xfId="17449" xr:uid="{00000000-0005-0000-0000-00002A650000}"/>
    <cellStyle name="Normal 23 4 3 2 3 2 2" xfId="30507" xr:uid="{00000000-0005-0000-0000-00002B650000}"/>
    <cellStyle name="Normal 23 4 3 2 3 3" xfId="17450" xr:uid="{00000000-0005-0000-0000-00002C650000}"/>
    <cellStyle name="Normal 23 4 3 2 3 3 2" xfId="30508" xr:uid="{00000000-0005-0000-0000-00002D650000}"/>
    <cellStyle name="Normal 23 4 3 2 3 4" xfId="23852" xr:uid="{00000000-0005-0000-0000-00002E650000}"/>
    <cellStyle name="Normal 23 4 3 2 4" xfId="17451" xr:uid="{00000000-0005-0000-0000-00002F650000}"/>
    <cellStyle name="Normal 23 4 3 2 4 2" xfId="30509" xr:uid="{00000000-0005-0000-0000-000030650000}"/>
    <cellStyle name="Normal 23 4 3 2 5" xfId="17452" xr:uid="{00000000-0005-0000-0000-000031650000}"/>
    <cellStyle name="Normal 23 4 3 2 5 2" xfId="30510" xr:uid="{00000000-0005-0000-0000-000032650000}"/>
    <cellStyle name="Normal 23 4 3 2 6" xfId="21696" xr:uid="{00000000-0005-0000-0000-000033650000}"/>
    <cellStyle name="Normal 23 4 3 3" xfId="8634" xr:uid="{00000000-0005-0000-0000-000034650000}"/>
    <cellStyle name="Normal 23 4 3 3 2" xfId="11020" xr:uid="{00000000-0005-0000-0000-000035650000}"/>
    <cellStyle name="Normal 23 4 3 3 2 2" xfId="17453" xr:uid="{00000000-0005-0000-0000-000036650000}"/>
    <cellStyle name="Normal 23 4 3 3 2 2 2" xfId="30511" xr:uid="{00000000-0005-0000-0000-000037650000}"/>
    <cellStyle name="Normal 23 4 3 3 2 3" xfId="17454" xr:uid="{00000000-0005-0000-0000-000038650000}"/>
    <cellStyle name="Normal 23 4 3 3 2 3 2" xfId="30512" xr:uid="{00000000-0005-0000-0000-000039650000}"/>
    <cellStyle name="Normal 23 4 3 3 2 4" xfId="24390" xr:uid="{00000000-0005-0000-0000-00003A650000}"/>
    <cellStyle name="Normal 23 4 3 3 3" xfId="17455" xr:uid="{00000000-0005-0000-0000-00003B650000}"/>
    <cellStyle name="Normal 23 4 3 3 3 2" xfId="30513" xr:uid="{00000000-0005-0000-0000-00003C650000}"/>
    <cellStyle name="Normal 23 4 3 3 4" xfId="17456" xr:uid="{00000000-0005-0000-0000-00003D650000}"/>
    <cellStyle name="Normal 23 4 3 3 4 2" xfId="30514" xr:uid="{00000000-0005-0000-0000-00003E650000}"/>
    <cellStyle name="Normal 23 4 3 3 5" xfId="22234" xr:uid="{00000000-0005-0000-0000-00003F650000}"/>
    <cellStyle name="Normal 23 4 3 4" xfId="9942" xr:uid="{00000000-0005-0000-0000-000040650000}"/>
    <cellStyle name="Normal 23 4 3 4 2" xfId="17457" xr:uid="{00000000-0005-0000-0000-000041650000}"/>
    <cellStyle name="Normal 23 4 3 4 2 2" xfId="30515" xr:uid="{00000000-0005-0000-0000-000042650000}"/>
    <cellStyle name="Normal 23 4 3 4 3" xfId="17458" xr:uid="{00000000-0005-0000-0000-000043650000}"/>
    <cellStyle name="Normal 23 4 3 4 3 2" xfId="30516" xr:uid="{00000000-0005-0000-0000-000044650000}"/>
    <cellStyle name="Normal 23 4 3 4 4" xfId="23312" xr:uid="{00000000-0005-0000-0000-000045650000}"/>
    <cellStyle name="Normal 23 4 3 5" xfId="17459" xr:uid="{00000000-0005-0000-0000-000046650000}"/>
    <cellStyle name="Normal 23 4 3 5 2" xfId="30517" xr:uid="{00000000-0005-0000-0000-000047650000}"/>
    <cellStyle name="Normal 23 4 3 6" xfId="17460" xr:uid="{00000000-0005-0000-0000-000048650000}"/>
    <cellStyle name="Normal 23 4 3 6 2" xfId="30518" xr:uid="{00000000-0005-0000-0000-000049650000}"/>
    <cellStyle name="Normal 23 4 3 7" xfId="21156" xr:uid="{00000000-0005-0000-0000-00004A650000}"/>
    <cellStyle name="Normal 23 4 4" xfId="7032" xr:uid="{00000000-0005-0000-0000-00004B650000}"/>
    <cellStyle name="Normal 23 4 4 2" xfId="8912" xr:uid="{00000000-0005-0000-0000-00004C650000}"/>
    <cellStyle name="Normal 23 4 4 2 2" xfId="11291" xr:uid="{00000000-0005-0000-0000-00004D650000}"/>
    <cellStyle name="Normal 23 4 4 2 2 2" xfId="17461" xr:uid="{00000000-0005-0000-0000-00004E650000}"/>
    <cellStyle name="Normal 23 4 4 2 2 2 2" xfId="30519" xr:uid="{00000000-0005-0000-0000-00004F650000}"/>
    <cellStyle name="Normal 23 4 4 2 2 3" xfId="17462" xr:uid="{00000000-0005-0000-0000-000050650000}"/>
    <cellStyle name="Normal 23 4 4 2 2 3 2" xfId="30520" xr:uid="{00000000-0005-0000-0000-000051650000}"/>
    <cellStyle name="Normal 23 4 4 2 2 4" xfId="24661" xr:uid="{00000000-0005-0000-0000-000052650000}"/>
    <cellStyle name="Normal 23 4 4 2 3" xfId="17463" xr:uid="{00000000-0005-0000-0000-000053650000}"/>
    <cellStyle name="Normal 23 4 4 2 3 2" xfId="30521" xr:uid="{00000000-0005-0000-0000-000054650000}"/>
    <cellStyle name="Normal 23 4 4 2 4" xfId="17464" xr:uid="{00000000-0005-0000-0000-000055650000}"/>
    <cellStyle name="Normal 23 4 4 2 4 2" xfId="30522" xr:uid="{00000000-0005-0000-0000-000056650000}"/>
    <cellStyle name="Normal 23 4 4 2 5" xfId="22505" xr:uid="{00000000-0005-0000-0000-000057650000}"/>
    <cellStyle name="Normal 23 4 4 3" xfId="10213" xr:uid="{00000000-0005-0000-0000-000058650000}"/>
    <cellStyle name="Normal 23 4 4 3 2" xfId="17465" xr:uid="{00000000-0005-0000-0000-000059650000}"/>
    <cellStyle name="Normal 23 4 4 3 2 2" xfId="30523" xr:uid="{00000000-0005-0000-0000-00005A650000}"/>
    <cellStyle name="Normal 23 4 4 3 3" xfId="17466" xr:uid="{00000000-0005-0000-0000-00005B650000}"/>
    <cellStyle name="Normal 23 4 4 3 3 2" xfId="30524" xr:uid="{00000000-0005-0000-0000-00005C650000}"/>
    <cellStyle name="Normal 23 4 4 3 4" xfId="23583" xr:uid="{00000000-0005-0000-0000-00005D650000}"/>
    <cellStyle name="Normal 23 4 4 4" xfId="17467" xr:uid="{00000000-0005-0000-0000-00005E650000}"/>
    <cellStyle name="Normal 23 4 4 4 2" xfId="30525" xr:uid="{00000000-0005-0000-0000-00005F650000}"/>
    <cellStyle name="Normal 23 4 4 5" xfId="17468" xr:uid="{00000000-0005-0000-0000-000060650000}"/>
    <cellStyle name="Normal 23 4 4 5 2" xfId="30526" xr:uid="{00000000-0005-0000-0000-000061650000}"/>
    <cellStyle name="Normal 23 4 4 6" xfId="21427" xr:uid="{00000000-0005-0000-0000-000062650000}"/>
    <cellStyle name="Normal 23 4 5" xfId="8236" xr:uid="{00000000-0005-0000-0000-000063650000}"/>
    <cellStyle name="Normal 23 4 5 2" xfId="10751" xr:uid="{00000000-0005-0000-0000-000064650000}"/>
    <cellStyle name="Normal 23 4 5 2 2" xfId="17469" xr:uid="{00000000-0005-0000-0000-000065650000}"/>
    <cellStyle name="Normal 23 4 5 2 2 2" xfId="30527" xr:uid="{00000000-0005-0000-0000-000066650000}"/>
    <cellStyle name="Normal 23 4 5 2 3" xfId="17470" xr:uid="{00000000-0005-0000-0000-000067650000}"/>
    <cellStyle name="Normal 23 4 5 2 3 2" xfId="30528" xr:uid="{00000000-0005-0000-0000-000068650000}"/>
    <cellStyle name="Normal 23 4 5 2 4" xfId="24121" xr:uid="{00000000-0005-0000-0000-000069650000}"/>
    <cellStyle name="Normal 23 4 5 3" xfId="17471" xr:uid="{00000000-0005-0000-0000-00006A650000}"/>
    <cellStyle name="Normal 23 4 5 3 2" xfId="30529" xr:uid="{00000000-0005-0000-0000-00006B650000}"/>
    <cellStyle name="Normal 23 4 5 4" xfId="17472" xr:uid="{00000000-0005-0000-0000-00006C650000}"/>
    <cellStyle name="Normal 23 4 5 4 2" xfId="30530" xr:uid="{00000000-0005-0000-0000-00006D650000}"/>
    <cellStyle name="Normal 23 4 5 5" xfId="21965" xr:uid="{00000000-0005-0000-0000-00006E650000}"/>
    <cellStyle name="Normal 23 4 6" xfId="9672" xr:uid="{00000000-0005-0000-0000-00006F650000}"/>
    <cellStyle name="Normal 23 4 6 2" xfId="17473" xr:uid="{00000000-0005-0000-0000-000070650000}"/>
    <cellStyle name="Normal 23 4 6 2 2" xfId="30531" xr:uid="{00000000-0005-0000-0000-000071650000}"/>
    <cellStyle name="Normal 23 4 6 3" xfId="17474" xr:uid="{00000000-0005-0000-0000-000072650000}"/>
    <cellStyle name="Normal 23 4 6 3 2" xfId="30532" xr:uid="{00000000-0005-0000-0000-000073650000}"/>
    <cellStyle name="Normal 23 4 6 4" xfId="23043" xr:uid="{00000000-0005-0000-0000-000074650000}"/>
    <cellStyle name="Normal 23 4 7" xfId="17475" xr:uid="{00000000-0005-0000-0000-000075650000}"/>
    <cellStyle name="Normal 23 4 7 2" xfId="30533" xr:uid="{00000000-0005-0000-0000-000076650000}"/>
    <cellStyle name="Normal 23 4 8" xfId="17476" xr:uid="{00000000-0005-0000-0000-000077650000}"/>
    <cellStyle name="Normal 23 4 8 2" xfId="30534" xr:uid="{00000000-0005-0000-0000-000078650000}"/>
    <cellStyle name="Normal 23 4 9" xfId="20886" xr:uid="{00000000-0005-0000-0000-000079650000}"/>
    <cellStyle name="Normal 23 5" xfId="5254" xr:uid="{00000000-0005-0000-0000-00007A650000}"/>
    <cellStyle name="Normal 23 5 2" xfId="6692" xr:uid="{00000000-0005-0000-0000-00007B650000}"/>
    <cellStyle name="Normal 23 5 2 2" xfId="7381" xr:uid="{00000000-0005-0000-0000-00007C650000}"/>
    <cellStyle name="Normal 23 5 2 2 2" xfId="9260" xr:uid="{00000000-0005-0000-0000-00007D650000}"/>
    <cellStyle name="Normal 23 5 2 2 2 2" xfId="11639" xr:uid="{00000000-0005-0000-0000-00007E650000}"/>
    <cellStyle name="Normal 23 5 2 2 2 2 2" xfId="17477" xr:uid="{00000000-0005-0000-0000-00007F650000}"/>
    <cellStyle name="Normal 23 5 2 2 2 2 2 2" xfId="30535" xr:uid="{00000000-0005-0000-0000-000080650000}"/>
    <cellStyle name="Normal 23 5 2 2 2 2 3" xfId="17478" xr:uid="{00000000-0005-0000-0000-000081650000}"/>
    <cellStyle name="Normal 23 5 2 2 2 2 3 2" xfId="30536" xr:uid="{00000000-0005-0000-0000-000082650000}"/>
    <cellStyle name="Normal 23 5 2 2 2 2 4" xfId="25009" xr:uid="{00000000-0005-0000-0000-000083650000}"/>
    <cellStyle name="Normal 23 5 2 2 2 3" xfId="17479" xr:uid="{00000000-0005-0000-0000-000084650000}"/>
    <cellStyle name="Normal 23 5 2 2 2 3 2" xfId="30537" xr:uid="{00000000-0005-0000-0000-000085650000}"/>
    <cellStyle name="Normal 23 5 2 2 2 4" xfId="17480" xr:uid="{00000000-0005-0000-0000-000086650000}"/>
    <cellStyle name="Normal 23 5 2 2 2 4 2" xfId="30538" xr:uid="{00000000-0005-0000-0000-000087650000}"/>
    <cellStyle name="Normal 23 5 2 2 2 5" xfId="22853" xr:uid="{00000000-0005-0000-0000-000088650000}"/>
    <cellStyle name="Normal 23 5 2 2 3" xfId="10561" xr:uid="{00000000-0005-0000-0000-000089650000}"/>
    <cellStyle name="Normal 23 5 2 2 3 2" xfId="17481" xr:uid="{00000000-0005-0000-0000-00008A650000}"/>
    <cellStyle name="Normal 23 5 2 2 3 2 2" xfId="30539" xr:uid="{00000000-0005-0000-0000-00008B650000}"/>
    <cellStyle name="Normal 23 5 2 2 3 3" xfId="17482" xr:uid="{00000000-0005-0000-0000-00008C650000}"/>
    <cellStyle name="Normal 23 5 2 2 3 3 2" xfId="30540" xr:uid="{00000000-0005-0000-0000-00008D650000}"/>
    <cellStyle name="Normal 23 5 2 2 3 4" xfId="23931" xr:uid="{00000000-0005-0000-0000-00008E650000}"/>
    <cellStyle name="Normal 23 5 2 2 4" xfId="17483" xr:uid="{00000000-0005-0000-0000-00008F650000}"/>
    <cellStyle name="Normal 23 5 2 2 4 2" xfId="30541" xr:uid="{00000000-0005-0000-0000-000090650000}"/>
    <cellStyle name="Normal 23 5 2 2 5" xfId="17484" xr:uid="{00000000-0005-0000-0000-000091650000}"/>
    <cellStyle name="Normal 23 5 2 2 5 2" xfId="30542" xr:uid="{00000000-0005-0000-0000-000092650000}"/>
    <cellStyle name="Normal 23 5 2 2 6" xfId="21775" xr:uid="{00000000-0005-0000-0000-000093650000}"/>
    <cellStyle name="Normal 23 5 2 3" xfId="8714" xr:uid="{00000000-0005-0000-0000-000094650000}"/>
    <cellStyle name="Normal 23 5 2 3 2" xfId="11099" xr:uid="{00000000-0005-0000-0000-000095650000}"/>
    <cellStyle name="Normal 23 5 2 3 2 2" xfId="17485" xr:uid="{00000000-0005-0000-0000-000096650000}"/>
    <cellStyle name="Normal 23 5 2 3 2 2 2" xfId="30543" xr:uid="{00000000-0005-0000-0000-000097650000}"/>
    <cellStyle name="Normal 23 5 2 3 2 3" xfId="17486" xr:uid="{00000000-0005-0000-0000-000098650000}"/>
    <cellStyle name="Normal 23 5 2 3 2 3 2" xfId="30544" xr:uid="{00000000-0005-0000-0000-000099650000}"/>
    <cellStyle name="Normal 23 5 2 3 2 4" xfId="24469" xr:uid="{00000000-0005-0000-0000-00009A650000}"/>
    <cellStyle name="Normal 23 5 2 3 3" xfId="17487" xr:uid="{00000000-0005-0000-0000-00009B650000}"/>
    <cellStyle name="Normal 23 5 2 3 3 2" xfId="30545" xr:uid="{00000000-0005-0000-0000-00009C650000}"/>
    <cellStyle name="Normal 23 5 2 3 4" xfId="17488" xr:uid="{00000000-0005-0000-0000-00009D650000}"/>
    <cellStyle name="Normal 23 5 2 3 4 2" xfId="30546" xr:uid="{00000000-0005-0000-0000-00009E650000}"/>
    <cellStyle name="Normal 23 5 2 3 5" xfId="22313" xr:uid="{00000000-0005-0000-0000-00009F650000}"/>
    <cellStyle name="Normal 23 5 2 4" xfId="10021" xr:uid="{00000000-0005-0000-0000-0000A0650000}"/>
    <cellStyle name="Normal 23 5 2 4 2" xfId="17489" xr:uid="{00000000-0005-0000-0000-0000A1650000}"/>
    <cellStyle name="Normal 23 5 2 4 2 2" xfId="30547" xr:uid="{00000000-0005-0000-0000-0000A2650000}"/>
    <cellStyle name="Normal 23 5 2 4 3" xfId="17490" xr:uid="{00000000-0005-0000-0000-0000A3650000}"/>
    <cellStyle name="Normal 23 5 2 4 3 2" xfId="30548" xr:uid="{00000000-0005-0000-0000-0000A4650000}"/>
    <cellStyle name="Normal 23 5 2 4 4" xfId="23391" xr:uid="{00000000-0005-0000-0000-0000A5650000}"/>
    <cellStyle name="Normal 23 5 2 5" xfId="17491" xr:uid="{00000000-0005-0000-0000-0000A6650000}"/>
    <cellStyle name="Normal 23 5 2 5 2" xfId="30549" xr:uid="{00000000-0005-0000-0000-0000A7650000}"/>
    <cellStyle name="Normal 23 5 2 6" xfId="17492" xr:uid="{00000000-0005-0000-0000-0000A8650000}"/>
    <cellStyle name="Normal 23 5 2 6 2" xfId="30550" xr:uid="{00000000-0005-0000-0000-0000A9650000}"/>
    <cellStyle name="Normal 23 5 2 7" xfId="21235" xr:uid="{00000000-0005-0000-0000-0000AA650000}"/>
    <cellStyle name="Normal 23 5 3" xfId="7112" xr:uid="{00000000-0005-0000-0000-0000AB650000}"/>
    <cellStyle name="Normal 23 5 3 2" xfId="8991" xr:uid="{00000000-0005-0000-0000-0000AC650000}"/>
    <cellStyle name="Normal 23 5 3 2 2" xfId="11370" xr:uid="{00000000-0005-0000-0000-0000AD650000}"/>
    <cellStyle name="Normal 23 5 3 2 2 2" xfId="17493" xr:uid="{00000000-0005-0000-0000-0000AE650000}"/>
    <cellStyle name="Normal 23 5 3 2 2 2 2" xfId="30551" xr:uid="{00000000-0005-0000-0000-0000AF650000}"/>
    <cellStyle name="Normal 23 5 3 2 2 3" xfId="17494" xr:uid="{00000000-0005-0000-0000-0000B0650000}"/>
    <cellStyle name="Normal 23 5 3 2 2 3 2" xfId="30552" xr:uid="{00000000-0005-0000-0000-0000B1650000}"/>
    <cellStyle name="Normal 23 5 3 2 2 4" xfId="24740" xr:uid="{00000000-0005-0000-0000-0000B2650000}"/>
    <cellStyle name="Normal 23 5 3 2 3" xfId="17495" xr:uid="{00000000-0005-0000-0000-0000B3650000}"/>
    <cellStyle name="Normal 23 5 3 2 3 2" xfId="30553" xr:uid="{00000000-0005-0000-0000-0000B4650000}"/>
    <cellStyle name="Normal 23 5 3 2 4" xfId="17496" xr:uid="{00000000-0005-0000-0000-0000B5650000}"/>
    <cellStyle name="Normal 23 5 3 2 4 2" xfId="30554" xr:uid="{00000000-0005-0000-0000-0000B6650000}"/>
    <cellStyle name="Normal 23 5 3 2 5" xfId="22584" xr:uid="{00000000-0005-0000-0000-0000B7650000}"/>
    <cellStyle name="Normal 23 5 3 3" xfId="10292" xr:uid="{00000000-0005-0000-0000-0000B8650000}"/>
    <cellStyle name="Normal 23 5 3 3 2" xfId="17497" xr:uid="{00000000-0005-0000-0000-0000B9650000}"/>
    <cellStyle name="Normal 23 5 3 3 2 2" xfId="30555" xr:uid="{00000000-0005-0000-0000-0000BA650000}"/>
    <cellStyle name="Normal 23 5 3 3 3" xfId="17498" xr:uid="{00000000-0005-0000-0000-0000BB650000}"/>
    <cellStyle name="Normal 23 5 3 3 3 2" xfId="30556" xr:uid="{00000000-0005-0000-0000-0000BC650000}"/>
    <cellStyle name="Normal 23 5 3 3 4" xfId="23662" xr:uid="{00000000-0005-0000-0000-0000BD650000}"/>
    <cellStyle name="Normal 23 5 3 4" xfId="17499" xr:uid="{00000000-0005-0000-0000-0000BE650000}"/>
    <cellStyle name="Normal 23 5 3 4 2" xfId="30557" xr:uid="{00000000-0005-0000-0000-0000BF650000}"/>
    <cellStyle name="Normal 23 5 3 5" xfId="17500" xr:uid="{00000000-0005-0000-0000-0000C0650000}"/>
    <cellStyle name="Normal 23 5 3 5 2" xfId="30558" xr:uid="{00000000-0005-0000-0000-0000C1650000}"/>
    <cellStyle name="Normal 23 5 3 6" xfId="21506" xr:uid="{00000000-0005-0000-0000-0000C2650000}"/>
    <cellStyle name="Normal 23 5 4" xfId="8376" xr:uid="{00000000-0005-0000-0000-0000C3650000}"/>
    <cellStyle name="Normal 23 5 4 2" xfId="10830" xr:uid="{00000000-0005-0000-0000-0000C4650000}"/>
    <cellStyle name="Normal 23 5 4 2 2" xfId="17501" xr:uid="{00000000-0005-0000-0000-0000C5650000}"/>
    <cellStyle name="Normal 23 5 4 2 2 2" xfId="30559" xr:uid="{00000000-0005-0000-0000-0000C6650000}"/>
    <cellStyle name="Normal 23 5 4 2 3" xfId="17502" xr:uid="{00000000-0005-0000-0000-0000C7650000}"/>
    <cellStyle name="Normal 23 5 4 2 3 2" xfId="30560" xr:uid="{00000000-0005-0000-0000-0000C8650000}"/>
    <cellStyle name="Normal 23 5 4 2 4" xfId="24200" xr:uid="{00000000-0005-0000-0000-0000C9650000}"/>
    <cellStyle name="Normal 23 5 4 3" xfId="17503" xr:uid="{00000000-0005-0000-0000-0000CA650000}"/>
    <cellStyle name="Normal 23 5 4 3 2" xfId="30561" xr:uid="{00000000-0005-0000-0000-0000CB650000}"/>
    <cellStyle name="Normal 23 5 4 4" xfId="17504" xr:uid="{00000000-0005-0000-0000-0000CC650000}"/>
    <cellStyle name="Normal 23 5 4 4 2" xfId="30562" xr:uid="{00000000-0005-0000-0000-0000CD650000}"/>
    <cellStyle name="Normal 23 5 4 5" xfId="22044" xr:uid="{00000000-0005-0000-0000-0000CE650000}"/>
    <cellStyle name="Normal 23 5 5" xfId="9752" xr:uid="{00000000-0005-0000-0000-0000CF650000}"/>
    <cellStyle name="Normal 23 5 5 2" xfId="17505" xr:uid="{00000000-0005-0000-0000-0000D0650000}"/>
    <cellStyle name="Normal 23 5 5 2 2" xfId="30563" xr:uid="{00000000-0005-0000-0000-0000D1650000}"/>
    <cellStyle name="Normal 23 5 5 3" xfId="17506" xr:uid="{00000000-0005-0000-0000-0000D2650000}"/>
    <cellStyle name="Normal 23 5 5 3 2" xfId="30564" xr:uid="{00000000-0005-0000-0000-0000D3650000}"/>
    <cellStyle name="Normal 23 5 5 4" xfId="23122" xr:uid="{00000000-0005-0000-0000-0000D4650000}"/>
    <cellStyle name="Normal 23 5 6" xfId="17507" xr:uid="{00000000-0005-0000-0000-0000D5650000}"/>
    <cellStyle name="Normal 23 5 6 2" xfId="30565" xr:uid="{00000000-0005-0000-0000-0000D6650000}"/>
    <cellStyle name="Normal 23 5 7" xfId="17508" xr:uid="{00000000-0005-0000-0000-0000D7650000}"/>
    <cellStyle name="Normal 23 5 7 2" xfId="30566" xr:uid="{00000000-0005-0000-0000-0000D8650000}"/>
    <cellStyle name="Normal 23 5 8" xfId="20966" xr:uid="{00000000-0005-0000-0000-0000D9650000}"/>
    <cellStyle name="Normal 23 6" xfId="6528" xr:uid="{00000000-0005-0000-0000-0000DA650000}"/>
    <cellStyle name="Normal 23 6 2" xfId="7247" xr:uid="{00000000-0005-0000-0000-0000DB650000}"/>
    <cellStyle name="Normal 23 6 2 2" xfId="9126" xr:uid="{00000000-0005-0000-0000-0000DC650000}"/>
    <cellStyle name="Normal 23 6 2 2 2" xfId="11505" xr:uid="{00000000-0005-0000-0000-0000DD650000}"/>
    <cellStyle name="Normal 23 6 2 2 2 2" xfId="17509" xr:uid="{00000000-0005-0000-0000-0000DE650000}"/>
    <cellStyle name="Normal 23 6 2 2 2 2 2" xfId="30567" xr:uid="{00000000-0005-0000-0000-0000DF650000}"/>
    <cellStyle name="Normal 23 6 2 2 2 3" xfId="17510" xr:uid="{00000000-0005-0000-0000-0000E0650000}"/>
    <cellStyle name="Normal 23 6 2 2 2 3 2" xfId="30568" xr:uid="{00000000-0005-0000-0000-0000E1650000}"/>
    <cellStyle name="Normal 23 6 2 2 2 4" xfId="24875" xr:uid="{00000000-0005-0000-0000-0000E2650000}"/>
    <cellStyle name="Normal 23 6 2 2 3" xfId="17511" xr:uid="{00000000-0005-0000-0000-0000E3650000}"/>
    <cellStyle name="Normal 23 6 2 2 3 2" xfId="30569" xr:uid="{00000000-0005-0000-0000-0000E4650000}"/>
    <cellStyle name="Normal 23 6 2 2 4" xfId="17512" xr:uid="{00000000-0005-0000-0000-0000E5650000}"/>
    <cellStyle name="Normal 23 6 2 2 4 2" xfId="30570" xr:uid="{00000000-0005-0000-0000-0000E6650000}"/>
    <cellStyle name="Normal 23 6 2 2 5" xfId="22719" xr:uid="{00000000-0005-0000-0000-0000E7650000}"/>
    <cellStyle name="Normal 23 6 2 3" xfId="10427" xr:uid="{00000000-0005-0000-0000-0000E8650000}"/>
    <cellStyle name="Normal 23 6 2 3 2" xfId="17513" xr:uid="{00000000-0005-0000-0000-0000E9650000}"/>
    <cellStyle name="Normal 23 6 2 3 2 2" xfId="30571" xr:uid="{00000000-0005-0000-0000-0000EA650000}"/>
    <cellStyle name="Normal 23 6 2 3 3" xfId="17514" xr:uid="{00000000-0005-0000-0000-0000EB650000}"/>
    <cellStyle name="Normal 23 6 2 3 3 2" xfId="30572" xr:uid="{00000000-0005-0000-0000-0000EC650000}"/>
    <cellStyle name="Normal 23 6 2 3 4" xfId="23797" xr:uid="{00000000-0005-0000-0000-0000ED650000}"/>
    <cellStyle name="Normal 23 6 2 4" xfId="17515" xr:uid="{00000000-0005-0000-0000-0000EE650000}"/>
    <cellStyle name="Normal 23 6 2 4 2" xfId="30573" xr:uid="{00000000-0005-0000-0000-0000EF650000}"/>
    <cellStyle name="Normal 23 6 2 5" xfId="17516" xr:uid="{00000000-0005-0000-0000-0000F0650000}"/>
    <cellStyle name="Normal 23 6 2 5 2" xfId="30574" xr:uid="{00000000-0005-0000-0000-0000F1650000}"/>
    <cellStyle name="Normal 23 6 2 6" xfId="21641" xr:uid="{00000000-0005-0000-0000-0000F2650000}"/>
    <cellStyle name="Normal 23 6 3" xfId="8578" xr:uid="{00000000-0005-0000-0000-0000F3650000}"/>
    <cellStyle name="Normal 23 6 3 2" xfId="10965" xr:uid="{00000000-0005-0000-0000-0000F4650000}"/>
    <cellStyle name="Normal 23 6 3 2 2" xfId="17517" xr:uid="{00000000-0005-0000-0000-0000F5650000}"/>
    <cellStyle name="Normal 23 6 3 2 2 2" xfId="30575" xr:uid="{00000000-0005-0000-0000-0000F6650000}"/>
    <cellStyle name="Normal 23 6 3 2 3" xfId="17518" xr:uid="{00000000-0005-0000-0000-0000F7650000}"/>
    <cellStyle name="Normal 23 6 3 2 3 2" xfId="30576" xr:uid="{00000000-0005-0000-0000-0000F8650000}"/>
    <cellStyle name="Normal 23 6 3 2 4" xfId="24335" xr:uid="{00000000-0005-0000-0000-0000F9650000}"/>
    <cellStyle name="Normal 23 6 3 3" xfId="17519" xr:uid="{00000000-0005-0000-0000-0000FA650000}"/>
    <cellStyle name="Normal 23 6 3 3 2" xfId="30577" xr:uid="{00000000-0005-0000-0000-0000FB650000}"/>
    <cellStyle name="Normal 23 6 3 4" xfId="17520" xr:uid="{00000000-0005-0000-0000-0000FC650000}"/>
    <cellStyle name="Normal 23 6 3 4 2" xfId="30578" xr:uid="{00000000-0005-0000-0000-0000FD650000}"/>
    <cellStyle name="Normal 23 6 3 5" xfId="22179" xr:uid="{00000000-0005-0000-0000-0000FE650000}"/>
    <cellStyle name="Normal 23 6 4" xfId="9887" xr:uid="{00000000-0005-0000-0000-0000FF650000}"/>
    <cellStyle name="Normal 23 6 4 2" xfId="17521" xr:uid="{00000000-0005-0000-0000-000000660000}"/>
    <cellStyle name="Normal 23 6 4 2 2" xfId="30579" xr:uid="{00000000-0005-0000-0000-000001660000}"/>
    <cellStyle name="Normal 23 6 4 3" xfId="17522" xr:uid="{00000000-0005-0000-0000-000002660000}"/>
    <cellStyle name="Normal 23 6 4 3 2" xfId="30580" xr:uid="{00000000-0005-0000-0000-000003660000}"/>
    <cellStyle name="Normal 23 6 4 4" xfId="23257" xr:uid="{00000000-0005-0000-0000-000004660000}"/>
    <cellStyle name="Normal 23 6 5" xfId="17523" xr:uid="{00000000-0005-0000-0000-000005660000}"/>
    <cellStyle name="Normal 23 6 5 2" xfId="30581" xr:uid="{00000000-0005-0000-0000-000006660000}"/>
    <cellStyle name="Normal 23 6 6" xfId="17524" xr:uid="{00000000-0005-0000-0000-000007660000}"/>
    <cellStyle name="Normal 23 6 6 2" xfId="30582" xr:uid="{00000000-0005-0000-0000-000008660000}"/>
    <cellStyle name="Normal 23 6 7" xfId="21101" xr:uid="{00000000-0005-0000-0000-000009660000}"/>
    <cellStyle name="Normal 23 7" xfId="6977" xr:uid="{00000000-0005-0000-0000-00000A660000}"/>
    <cellStyle name="Normal 23 7 2" xfId="8857" xr:uid="{00000000-0005-0000-0000-00000B660000}"/>
    <cellStyle name="Normal 23 7 2 2" xfId="11236" xr:uid="{00000000-0005-0000-0000-00000C660000}"/>
    <cellStyle name="Normal 23 7 2 2 2" xfId="17525" xr:uid="{00000000-0005-0000-0000-00000D660000}"/>
    <cellStyle name="Normal 23 7 2 2 2 2" xfId="30583" xr:uid="{00000000-0005-0000-0000-00000E660000}"/>
    <cellStyle name="Normal 23 7 2 2 3" xfId="17526" xr:uid="{00000000-0005-0000-0000-00000F660000}"/>
    <cellStyle name="Normal 23 7 2 2 3 2" xfId="30584" xr:uid="{00000000-0005-0000-0000-000010660000}"/>
    <cellStyle name="Normal 23 7 2 2 4" xfId="24606" xr:uid="{00000000-0005-0000-0000-000011660000}"/>
    <cellStyle name="Normal 23 7 2 3" xfId="17527" xr:uid="{00000000-0005-0000-0000-000012660000}"/>
    <cellStyle name="Normal 23 7 2 3 2" xfId="30585" xr:uid="{00000000-0005-0000-0000-000013660000}"/>
    <cellStyle name="Normal 23 7 2 4" xfId="17528" xr:uid="{00000000-0005-0000-0000-000014660000}"/>
    <cellStyle name="Normal 23 7 2 4 2" xfId="30586" xr:uid="{00000000-0005-0000-0000-000015660000}"/>
    <cellStyle name="Normal 23 7 2 5" xfId="22450" xr:uid="{00000000-0005-0000-0000-000016660000}"/>
    <cellStyle name="Normal 23 7 3" xfId="10158" xr:uid="{00000000-0005-0000-0000-000017660000}"/>
    <cellStyle name="Normal 23 7 3 2" xfId="17529" xr:uid="{00000000-0005-0000-0000-000018660000}"/>
    <cellStyle name="Normal 23 7 3 2 2" xfId="30587" xr:uid="{00000000-0005-0000-0000-000019660000}"/>
    <cellStyle name="Normal 23 7 3 3" xfId="17530" xr:uid="{00000000-0005-0000-0000-00001A660000}"/>
    <cellStyle name="Normal 23 7 3 3 2" xfId="30588" xr:uid="{00000000-0005-0000-0000-00001B660000}"/>
    <cellStyle name="Normal 23 7 3 4" xfId="23528" xr:uid="{00000000-0005-0000-0000-00001C660000}"/>
    <cellStyle name="Normal 23 7 4" xfId="17531" xr:uid="{00000000-0005-0000-0000-00001D660000}"/>
    <cellStyle name="Normal 23 7 4 2" xfId="30589" xr:uid="{00000000-0005-0000-0000-00001E660000}"/>
    <cellStyle name="Normal 23 7 5" xfId="17532" xr:uid="{00000000-0005-0000-0000-00001F660000}"/>
    <cellStyle name="Normal 23 7 5 2" xfId="30590" xr:uid="{00000000-0005-0000-0000-000020660000}"/>
    <cellStyle name="Normal 23 7 6" xfId="21372" xr:uid="{00000000-0005-0000-0000-000021660000}"/>
    <cellStyle name="Normal 23 8" xfId="8109" xr:uid="{00000000-0005-0000-0000-000022660000}"/>
    <cellStyle name="Normal 23 8 2" xfId="10696" xr:uid="{00000000-0005-0000-0000-000023660000}"/>
    <cellStyle name="Normal 23 8 2 2" xfId="17533" xr:uid="{00000000-0005-0000-0000-000024660000}"/>
    <cellStyle name="Normal 23 8 2 2 2" xfId="30591" xr:uid="{00000000-0005-0000-0000-000025660000}"/>
    <cellStyle name="Normal 23 8 2 3" xfId="17534" xr:uid="{00000000-0005-0000-0000-000026660000}"/>
    <cellStyle name="Normal 23 8 2 3 2" xfId="30592" xr:uid="{00000000-0005-0000-0000-000027660000}"/>
    <cellStyle name="Normal 23 8 2 4" xfId="24066" xr:uid="{00000000-0005-0000-0000-000028660000}"/>
    <cellStyle name="Normal 23 8 3" xfId="17535" xr:uid="{00000000-0005-0000-0000-000029660000}"/>
    <cellStyle name="Normal 23 8 3 2" xfId="30593" xr:uid="{00000000-0005-0000-0000-00002A660000}"/>
    <cellStyle name="Normal 23 8 4" xfId="17536" xr:uid="{00000000-0005-0000-0000-00002B660000}"/>
    <cellStyle name="Normal 23 8 4 2" xfId="30594" xr:uid="{00000000-0005-0000-0000-00002C660000}"/>
    <cellStyle name="Normal 23 8 5" xfId="21910" xr:uid="{00000000-0005-0000-0000-00002D660000}"/>
    <cellStyle name="Normal 23 9" xfId="9617" xr:uid="{00000000-0005-0000-0000-00002E660000}"/>
    <cellStyle name="Normal 23 9 2" xfId="17537" xr:uid="{00000000-0005-0000-0000-00002F660000}"/>
    <cellStyle name="Normal 23 9 2 2" xfId="30595" xr:uid="{00000000-0005-0000-0000-000030660000}"/>
    <cellStyle name="Normal 23 9 3" xfId="17538" xr:uid="{00000000-0005-0000-0000-000031660000}"/>
    <cellStyle name="Normal 23 9 3 2" xfId="30596" xr:uid="{00000000-0005-0000-0000-000032660000}"/>
    <cellStyle name="Normal 23 9 4" xfId="22988" xr:uid="{00000000-0005-0000-0000-000033660000}"/>
    <cellStyle name="Normal 24" xfId="3603" xr:uid="{00000000-0005-0000-0000-000034660000}"/>
    <cellStyle name="Normal 24 10" xfId="20844" xr:uid="{00000000-0005-0000-0000-000035660000}"/>
    <cellStyle name="Normal 24 2" xfId="4082" xr:uid="{00000000-0005-0000-0000-000036660000}"/>
    <cellStyle name="Normal 24 2 2" xfId="5618" xr:uid="{00000000-0005-0000-0000-000037660000}"/>
    <cellStyle name="Normal 24 2 2 2" xfId="6770" xr:uid="{00000000-0005-0000-0000-000038660000}"/>
    <cellStyle name="Normal 24 2 2 2 2" xfId="7457" xr:uid="{00000000-0005-0000-0000-000039660000}"/>
    <cellStyle name="Normal 24 2 2 2 2 2" xfId="9336" xr:uid="{00000000-0005-0000-0000-00003A660000}"/>
    <cellStyle name="Normal 24 2 2 2 2 2 2" xfId="11715" xr:uid="{00000000-0005-0000-0000-00003B660000}"/>
    <cellStyle name="Normal 24 2 2 2 2 2 2 2" xfId="17539" xr:uid="{00000000-0005-0000-0000-00003C660000}"/>
    <cellStyle name="Normal 24 2 2 2 2 2 2 2 2" xfId="30597" xr:uid="{00000000-0005-0000-0000-00003D660000}"/>
    <cellStyle name="Normal 24 2 2 2 2 2 2 3" xfId="17540" xr:uid="{00000000-0005-0000-0000-00003E660000}"/>
    <cellStyle name="Normal 24 2 2 2 2 2 2 3 2" xfId="30598" xr:uid="{00000000-0005-0000-0000-00003F660000}"/>
    <cellStyle name="Normal 24 2 2 2 2 2 2 4" xfId="25085" xr:uid="{00000000-0005-0000-0000-000040660000}"/>
    <cellStyle name="Normal 24 2 2 2 2 2 3" xfId="17541" xr:uid="{00000000-0005-0000-0000-000041660000}"/>
    <cellStyle name="Normal 24 2 2 2 2 2 3 2" xfId="30599" xr:uid="{00000000-0005-0000-0000-000042660000}"/>
    <cellStyle name="Normal 24 2 2 2 2 2 4" xfId="17542" xr:uid="{00000000-0005-0000-0000-000043660000}"/>
    <cellStyle name="Normal 24 2 2 2 2 2 4 2" xfId="30600" xr:uid="{00000000-0005-0000-0000-000044660000}"/>
    <cellStyle name="Normal 24 2 2 2 2 2 5" xfId="22929" xr:uid="{00000000-0005-0000-0000-000045660000}"/>
    <cellStyle name="Normal 24 2 2 2 2 3" xfId="10637" xr:uid="{00000000-0005-0000-0000-000046660000}"/>
    <cellStyle name="Normal 24 2 2 2 2 3 2" xfId="17543" xr:uid="{00000000-0005-0000-0000-000047660000}"/>
    <cellStyle name="Normal 24 2 2 2 2 3 2 2" xfId="30601" xr:uid="{00000000-0005-0000-0000-000048660000}"/>
    <cellStyle name="Normal 24 2 2 2 2 3 3" xfId="17544" xr:uid="{00000000-0005-0000-0000-000049660000}"/>
    <cellStyle name="Normal 24 2 2 2 2 3 3 2" xfId="30602" xr:uid="{00000000-0005-0000-0000-00004A660000}"/>
    <cellStyle name="Normal 24 2 2 2 2 3 4" xfId="24007" xr:uid="{00000000-0005-0000-0000-00004B660000}"/>
    <cellStyle name="Normal 24 2 2 2 2 4" xfId="17545" xr:uid="{00000000-0005-0000-0000-00004C660000}"/>
    <cellStyle name="Normal 24 2 2 2 2 4 2" xfId="30603" xr:uid="{00000000-0005-0000-0000-00004D660000}"/>
    <cellStyle name="Normal 24 2 2 2 2 5" xfId="17546" xr:uid="{00000000-0005-0000-0000-00004E660000}"/>
    <cellStyle name="Normal 24 2 2 2 2 5 2" xfId="30604" xr:uid="{00000000-0005-0000-0000-00004F660000}"/>
    <cellStyle name="Normal 24 2 2 2 2 6" xfId="21851" xr:uid="{00000000-0005-0000-0000-000050660000}"/>
    <cellStyle name="Normal 24 2 2 2 3" xfId="8790" xr:uid="{00000000-0005-0000-0000-000051660000}"/>
    <cellStyle name="Normal 24 2 2 2 3 2" xfId="11175" xr:uid="{00000000-0005-0000-0000-000052660000}"/>
    <cellStyle name="Normal 24 2 2 2 3 2 2" xfId="17547" xr:uid="{00000000-0005-0000-0000-000053660000}"/>
    <cellStyle name="Normal 24 2 2 2 3 2 2 2" xfId="30605" xr:uid="{00000000-0005-0000-0000-000054660000}"/>
    <cellStyle name="Normal 24 2 2 2 3 2 3" xfId="17548" xr:uid="{00000000-0005-0000-0000-000055660000}"/>
    <cellStyle name="Normal 24 2 2 2 3 2 3 2" xfId="30606" xr:uid="{00000000-0005-0000-0000-000056660000}"/>
    <cellStyle name="Normal 24 2 2 2 3 2 4" xfId="24545" xr:uid="{00000000-0005-0000-0000-000057660000}"/>
    <cellStyle name="Normal 24 2 2 2 3 3" xfId="17549" xr:uid="{00000000-0005-0000-0000-000058660000}"/>
    <cellStyle name="Normal 24 2 2 2 3 3 2" xfId="30607" xr:uid="{00000000-0005-0000-0000-000059660000}"/>
    <cellStyle name="Normal 24 2 2 2 3 4" xfId="17550" xr:uid="{00000000-0005-0000-0000-00005A660000}"/>
    <cellStyle name="Normal 24 2 2 2 3 4 2" xfId="30608" xr:uid="{00000000-0005-0000-0000-00005B660000}"/>
    <cellStyle name="Normal 24 2 2 2 3 5" xfId="22389" xr:uid="{00000000-0005-0000-0000-00005C660000}"/>
    <cellStyle name="Normal 24 2 2 2 4" xfId="10097" xr:uid="{00000000-0005-0000-0000-00005D660000}"/>
    <cellStyle name="Normal 24 2 2 2 4 2" xfId="17551" xr:uid="{00000000-0005-0000-0000-00005E660000}"/>
    <cellStyle name="Normal 24 2 2 2 4 2 2" xfId="30609" xr:uid="{00000000-0005-0000-0000-00005F660000}"/>
    <cellStyle name="Normal 24 2 2 2 4 3" xfId="17552" xr:uid="{00000000-0005-0000-0000-000060660000}"/>
    <cellStyle name="Normal 24 2 2 2 4 3 2" xfId="30610" xr:uid="{00000000-0005-0000-0000-000061660000}"/>
    <cellStyle name="Normal 24 2 2 2 4 4" xfId="23467" xr:uid="{00000000-0005-0000-0000-000062660000}"/>
    <cellStyle name="Normal 24 2 2 2 5" xfId="17553" xr:uid="{00000000-0005-0000-0000-000063660000}"/>
    <cellStyle name="Normal 24 2 2 2 5 2" xfId="30611" xr:uid="{00000000-0005-0000-0000-000064660000}"/>
    <cellStyle name="Normal 24 2 2 2 6" xfId="17554" xr:uid="{00000000-0005-0000-0000-000065660000}"/>
    <cellStyle name="Normal 24 2 2 2 6 2" xfId="30612" xr:uid="{00000000-0005-0000-0000-000066660000}"/>
    <cellStyle name="Normal 24 2 2 2 7" xfId="21311" xr:uid="{00000000-0005-0000-0000-000067660000}"/>
    <cellStyle name="Normal 24 2 2 3" xfId="7188" xr:uid="{00000000-0005-0000-0000-000068660000}"/>
    <cellStyle name="Normal 24 2 2 3 2" xfId="9067" xr:uid="{00000000-0005-0000-0000-000069660000}"/>
    <cellStyle name="Normal 24 2 2 3 2 2" xfId="11446" xr:uid="{00000000-0005-0000-0000-00006A660000}"/>
    <cellStyle name="Normal 24 2 2 3 2 2 2" xfId="17555" xr:uid="{00000000-0005-0000-0000-00006B660000}"/>
    <cellStyle name="Normal 24 2 2 3 2 2 2 2" xfId="30613" xr:uid="{00000000-0005-0000-0000-00006C660000}"/>
    <cellStyle name="Normal 24 2 2 3 2 2 3" xfId="17556" xr:uid="{00000000-0005-0000-0000-00006D660000}"/>
    <cellStyle name="Normal 24 2 2 3 2 2 3 2" xfId="30614" xr:uid="{00000000-0005-0000-0000-00006E660000}"/>
    <cellStyle name="Normal 24 2 2 3 2 2 4" xfId="24816" xr:uid="{00000000-0005-0000-0000-00006F660000}"/>
    <cellStyle name="Normal 24 2 2 3 2 3" xfId="17557" xr:uid="{00000000-0005-0000-0000-000070660000}"/>
    <cellStyle name="Normal 24 2 2 3 2 3 2" xfId="30615" xr:uid="{00000000-0005-0000-0000-000071660000}"/>
    <cellStyle name="Normal 24 2 2 3 2 4" xfId="17558" xr:uid="{00000000-0005-0000-0000-000072660000}"/>
    <cellStyle name="Normal 24 2 2 3 2 4 2" xfId="30616" xr:uid="{00000000-0005-0000-0000-000073660000}"/>
    <cellStyle name="Normal 24 2 2 3 2 5" xfId="22660" xr:uid="{00000000-0005-0000-0000-000074660000}"/>
    <cellStyle name="Normal 24 2 2 3 3" xfId="10368" xr:uid="{00000000-0005-0000-0000-000075660000}"/>
    <cellStyle name="Normal 24 2 2 3 3 2" xfId="17559" xr:uid="{00000000-0005-0000-0000-000076660000}"/>
    <cellStyle name="Normal 24 2 2 3 3 2 2" xfId="30617" xr:uid="{00000000-0005-0000-0000-000077660000}"/>
    <cellStyle name="Normal 24 2 2 3 3 3" xfId="17560" xr:uid="{00000000-0005-0000-0000-000078660000}"/>
    <cellStyle name="Normal 24 2 2 3 3 3 2" xfId="30618" xr:uid="{00000000-0005-0000-0000-000079660000}"/>
    <cellStyle name="Normal 24 2 2 3 3 4" xfId="23738" xr:uid="{00000000-0005-0000-0000-00007A660000}"/>
    <cellStyle name="Normal 24 2 2 3 4" xfId="17561" xr:uid="{00000000-0005-0000-0000-00007B660000}"/>
    <cellStyle name="Normal 24 2 2 3 4 2" xfId="30619" xr:uid="{00000000-0005-0000-0000-00007C660000}"/>
    <cellStyle name="Normal 24 2 2 3 5" xfId="17562" xr:uid="{00000000-0005-0000-0000-00007D660000}"/>
    <cellStyle name="Normal 24 2 2 3 5 2" xfId="30620" xr:uid="{00000000-0005-0000-0000-00007E660000}"/>
    <cellStyle name="Normal 24 2 2 3 6" xfId="21582" xr:uid="{00000000-0005-0000-0000-00007F660000}"/>
    <cellStyle name="Normal 24 2 2 4" xfId="8465" xr:uid="{00000000-0005-0000-0000-000080660000}"/>
    <cellStyle name="Normal 24 2 2 4 2" xfId="10906" xr:uid="{00000000-0005-0000-0000-000081660000}"/>
    <cellStyle name="Normal 24 2 2 4 2 2" xfId="17563" xr:uid="{00000000-0005-0000-0000-000082660000}"/>
    <cellStyle name="Normal 24 2 2 4 2 2 2" xfId="30621" xr:uid="{00000000-0005-0000-0000-000083660000}"/>
    <cellStyle name="Normal 24 2 2 4 2 3" xfId="17564" xr:uid="{00000000-0005-0000-0000-000084660000}"/>
    <cellStyle name="Normal 24 2 2 4 2 3 2" xfId="30622" xr:uid="{00000000-0005-0000-0000-000085660000}"/>
    <cellStyle name="Normal 24 2 2 4 2 4" xfId="24276" xr:uid="{00000000-0005-0000-0000-000086660000}"/>
    <cellStyle name="Normal 24 2 2 4 3" xfId="17565" xr:uid="{00000000-0005-0000-0000-000087660000}"/>
    <cellStyle name="Normal 24 2 2 4 3 2" xfId="30623" xr:uid="{00000000-0005-0000-0000-000088660000}"/>
    <cellStyle name="Normal 24 2 2 4 4" xfId="17566" xr:uid="{00000000-0005-0000-0000-000089660000}"/>
    <cellStyle name="Normal 24 2 2 4 4 2" xfId="30624" xr:uid="{00000000-0005-0000-0000-00008A660000}"/>
    <cellStyle name="Normal 24 2 2 4 5" xfId="22120" xr:uid="{00000000-0005-0000-0000-00008B660000}"/>
    <cellStyle name="Normal 24 2 2 5" xfId="9828" xr:uid="{00000000-0005-0000-0000-00008C660000}"/>
    <cellStyle name="Normal 24 2 2 5 2" xfId="17567" xr:uid="{00000000-0005-0000-0000-00008D660000}"/>
    <cellStyle name="Normal 24 2 2 5 2 2" xfId="30625" xr:uid="{00000000-0005-0000-0000-00008E660000}"/>
    <cellStyle name="Normal 24 2 2 5 3" xfId="17568" xr:uid="{00000000-0005-0000-0000-00008F660000}"/>
    <cellStyle name="Normal 24 2 2 5 3 2" xfId="30626" xr:uid="{00000000-0005-0000-0000-000090660000}"/>
    <cellStyle name="Normal 24 2 2 5 4" xfId="23198" xr:uid="{00000000-0005-0000-0000-000091660000}"/>
    <cellStyle name="Normal 24 2 2 6" xfId="17569" xr:uid="{00000000-0005-0000-0000-000092660000}"/>
    <cellStyle name="Normal 24 2 2 6 2" xfId="30627" xr:uid="{00000000-0005-0000-0000-000093660000}"/>
    <cellStyle name="Normal 24 2 2 7" xfId="17570" xr:uid="{00000000-0005-0000-0000-000094660000}"/>
    <cellStyle name="Normal 24 2 2 7 2" xfId="30628" xr:uid="{00000000-0005-0000-0000-000095660000}"/>
    <cellStyle name="Normal 24 2 2 8" xfId="21042" xr:uid="{00000000-0005-0000-0000-000096660000}"/>
    <cellStyle name="Normal 24 2 3" xfId="6619" xr:uid="{00000000-0005-0000-0000-000097660000}"/>
    <cellStyle name="Normal 24 2 3 2" xfId="7315" xr:uid="{00000000-0005-0000-0000-000098660000}"/>
    <cellStyle name="Normal 24 2 3 2 2" xfId="9194" xr:uid="{00000000-0005-0000-0000-000099660000}"/>
    <cellStyle name="Normal 24 2 3 2 2 2" xfId="11573" xr:uid="{00000000-0005-0000-0000-00009A660000}"/>
    <cellStyle name="Normal 24 2 3 2 2 2 2" xfId="17571" xr:uid="{00000000-0005-0000-0000-00009B660000}"/>
    <cellStyle name="Normal 24 2 3 2 2 2 2 2" xfId="30629" xr:uid="{00000000-0005-0000-0000-00009C660000}"/>
    <cellStyle name="Normal 24 2 3 2 2 2 3" xfId="17572" xr:uid="{00000000-0005-0000-0000-00009D660000}"/>
    <cellStyle name="Normal 24 2 3 2 2 2 3 2" xfId="30630" xr:uid="{00000000-0005-0000-0000-00009E660000}"/>
    <cellStyle name="Normal 24 2 3 2 2 2 4" xfId="24943" xr:uid="{00000000-0005-0000-0000-00009F660000}"/>
    <cellStyle name="Normal 24 2 3 2 2 3" xfId="17573" xr:uid="{00000000-0005-0000-0000-0000A0660000}"/>
    <cellStyle name="Normal 24 2 3 2 2 3 2" xfId="30631" xr:uid="{00000000-0005-0000-0000-0000A1660000}"/>
    <cellStyle name="Normal 24 2 3 2 2 4" xfId="17574" xr:uid="{00000000-0005-0000-0000-0000A2660000}"/>
    <cellStyle name="Normal 24 2 3 2 2 4 2" xfId="30632" xr:uid="{00000000-0005-0000-0000-0000A3660000}"/>
    <cellStyle name="Normal 24 2 3 2 2 5" xfId="22787" xr:uid="{00000000-0005-0000-0000-0000A4660000}"/>
    <cellStyle name="Normal 24 2 3 2 3" xfId="10495" xr:uid="{00000000-0005-0000-0000-0000A5660000}"/>
    <cellStyle name="Normal 24 2 3 2 3 2" xfId="17575" xr:uid="{00000000-0005-0000-0000-0000A6660000}"/>
    <cellStyle name="Normal 24 2 3 2 3 2 2" xfId="30633" xr:uid="{00000000-0005-0000-0000-0000A7660000}"/>
    <cellStyle name="Normal 24 2 3 2 3 3" xfId="17576" xr:uid="{00000000-0005-0000-0000-0000A8660000}"/>
    <cellStyle name="Normal 24 2 3 2 3 3 2" xfId="30634" xr:uid="{00000000-0005-0000-0000-0000A9660000}"/>
    <cellStyle name="Normal 24 2 3 2 3 4" xfId="23865" xr:uid="{00000000-0005-0000-0000-0000AA660000}"/>
    <cellStyle name="Normal 24 2 3 2 4" xfId="17577" xr:uid="{00000000-0005-0000-0000-0000AB660000}"/>
    <cellStyle name="Normal 24 2 3 2 4 2" xfId="30635" xr:uid="{00000000-0005-0000-0000-0000AC660000}"/>
    <cellStyle name="Normal 24 2 3 2 5" xfId="17578" xr:uid="{00000000-0005-0000-0000-0000AD660000}"/>
    <cellStyle name="Normal 24 2 3 2 5 2" xfId="30636" xr:uid="{00000000-0005-0000-0000-0000AE660000}"/>
    <cellStyle name="Normal 24 2 3 2 6" xfId="21709" xr:uid="{00000000-0005-0000-0000-0000AF660000}"/>
    <cellStyle name="Normal 24 2 3 3" xfId="8647" xr:uid="{00000000-0005-0000-0000-0000B0660000}"/>
    <cellStyle name="Normal 24 2 3 3 2" xfId="11033" xr:uid="{00000000-0005-0000-0000-0000B1660000}"/>
    <cellStyle name="Normal 24 2 3 3 2 2" xfId="17579" xr:uid="{00000000-0005-0000-0000-0000B2660000}"/>
    <cellStyle name="Normal 24 2 3 3 2 2 2" xfId="30637" xr:uid="{00000000-0005-0000-0000-0000B3660000}"/>
    <cellStyle name="Normal 24 2 3 3 2 3" xfId="17580" xr:uid="{00000000-0005-0000-0000-0000B4660000}"/>
    <cellStyle name="Normal 24 2 3 3 2 3 2" xfId="30638" xr:uid="{00000000-0005-0000-0000-0000B5660000}"/>
    <cellStyle name="Normal 24 2 3 3 2 4" xfId="24403" xr:uid="{00000000-0005-0000-0000-0000B6660000}"/>
    <cellStyle name="Normal 24 2 3 3 3" xfId="17581" xr:uid="{00000000-0005-0000-0000-0000B7660000}"/>
    <cellStyle name="Normal 24 2 3 3 3 2" xfId="30639" xr:uid="{00000000-0005-0000-0000-0000B8660000}"/>
    <cellStyle name="Normal 24 2 3 3 4" xfId="17582" xr:uid="{00000000-0005-0000-0000-0000B9660000}"/>
    <cellStyle name="Normal 24 2 3 3 4 2" xfId="30640" xr:uid="{00000000-0005-0000-0000-0000BA660000}"/>
    <cellStyle name="Normal 24 2 3 3 5" xfId="22247" xr:uid="{00000000-0005-0000-0000-0000BB660000}"/>
    <cellStyle name="Normal 24 2 3 4" xfId="9955" xr:uid="{00000000-0005-0000-0000-0000BC660000}"/>
    <cellStyle name="Normal 24 2 3 4 2" xfId="17583" xr:uid="{00000000-0005-0000-0000-0000BD660000}"/>
    <cellStyle name="Normal 24 2 3 4 2 2" xfId="30641" xr:uid="{00000000-0005-0000-0000-0000BE660000}"/>
    <cellStyle name="Normal 24 2 3 4 3" xfId="17584" xr:uid="{00000000-0005-0000-0000-0000BF660000}"/>
    <cellStyle name="Normal 24 2 3 4 3 2" xfId="30642" xr:uid="{00000000-0005-0000-0000-0000C0660000}"/>
    <cellStyle name="Normal 24 2 3 4 4" xfId="23325" xr:uid="{00000000-0005-0000-0000-0000C1660000}"/>
    <cellStyle name="Normal 24 2 3 5" xfId="17585" xr:uid="{00000000-0005-0000-0000-0000C2660000}"/>
    <cellStyle name="Normal 24 2 3 5 2" xfId="30643" xr:uid="{00000000-0005-0000-0000-0000C3660000}"/>
    <cellStyle name="Normal 24 2 3 6" xfId="17586" xr:uid="{00000000-0005-0000-0000-0000C4660000}"/>
    <cellStyle name="Normal 24 2 3 6 2" xfId="30644" xr:uid="{00000000-0005-0000-0000-0000C5660000}"/>
    <cellStyle name="Normal 24 2 3 7" xfId="21169" xr:uid="{00000000-0005-0000-0000-0000C6660000}"/>
    <cellStyle name="Normal 24 2 4" xfId="7045" xr:uid="{00000000-0005-0000-0000-0000C7660000}"/>
    <cellStyle name="Normal 24 2 4 2" xfId="8925" xr:uid="{00000000-0005-0000-0000-0000C8660000}"/>
    <cellStyle name="Normal 24 2 4 2 2" xfId="11304" xr:uid="{00000000-0005-0000-0000-0000C9660000}"/>
    <cellStyle name="Normal 24 2 4 2 2 2" xfId="17587" xr:uid="{00000000-0005-0000-0000-0000CA660000}"/>
    <cellStyle name="Normal 24 2 4 2 2 2 2" xfId="30645" xr:uid="{00000000-0005-0000-0000-0000CB660000}"/>
    <cellStyle name="Normal 24 2 4 2 2 3" xfId="17588" xr:uid="{00000000-0005-0000-0000-0000CC660000}"/>
    <cellStyle name="Normal 24 2 4 2 2 3 2" xfId="30646" xr:uid="{00000000-0005-0000-0000-0000CD660000}"/>
    <cellStyle name="Normal 24 2 4 2 2 4" xfId="24674" xr:uid="{00000000-0005-0000-0000-0000CE660000}"/>
    <cellStyle name="Normal 24 2 4 2 3" xfId="17589" xr:uid="{00000000-0005-0000-0000-0000CF660000}"/>
    <cellStyle name="Normal 24 2 4 2 3 2" xfId="30647" xr:uid="{00000000-0005-0000-0000-0000D0660000}"/>
    <cellStyle name="Normal 24 2 4 2 4" xfId="17590" xr:uid="{00000000-0005-0000-0000-0000D1660000}"/>
    <cellStyle name="Normal 24 2 4 2 4 2" xfId="30648" xr:uid="{00000000-0005-0000-0000-0000D2660000}"/>
    <cellStyle name="Normal 24 2 4 2 5" xfId="22518" xr:uid="{00000000-0005-0000-0000-0000D3660000}"/>
    <cellStyle name="Normal 24 2 4 3" xfId="10226" xr:uid="{00000000-0005-0000-0000-0000D4660000}"/>
    <cellStyle name="Normal 24 2 4 3 2" xfId="17591" xr:uid="{00000000-0005-0000-0000-0000D5660000}"/>
    <cellStyle name="Normal 24 2 4 3 2 2" xfId="30649" xr:uid="{00000000-0005-0000-0000-0000D6660000}"/>
    <cellStyle name="Normal 24 2 4 3 3" xfId="17592" xr:uid="{00000000-0005-0000-0000-0000D7660000}"/>
    <cellStyle name="Normal 24 2 4 3 3 2" xfId="30650" xr:uid="{00000000-0005-0000-0000-0000D8660000}"/>
    <cellStyle name="Normal 24 2 4 3 4" xfId="23596" xr:uid="{00000000-0005-0000-0000-0000D9660000}"/>
    <cellStyle name="Normal 24 2 4 4" xfId="17593" xr:uid="{00000000-0005-0000-0000-0000DA660000}"/>
    <cellStyle name="Normal 24 2 4 4 2" xfId="30651" xr:uid="{00000000-0005-0000-0000-0000DB660000}"/>
    <cellStyle name="Normal 24 2 4 5" xfId="17594" xr:uid="{00000000-0005-0000-0000-0000DC660000}"/>
    <cellStyle name="Normal 24 2 4 5 2" xfId="30652" xr:uid="{00000000-0005-0000-0000-0000DD660000}"/>
    <cellStyle name="Normal 24 2 4 6" xfId="21440" xr:uid="{00000000-0005-0000-0000-0000DE660000}"/>
    <cellStyle name="Normal 24 2 5" xfId="8249" xr:uid="{00000000-0005-0000-0000-0000DF660000}"/>
    <cellStyle name="Normal 24 2 5 2" xfId="10764" xr:uid="{00000000-0005-0000-0000-0000E0660000}"/>
    <cellStyle name="Normal 24 2 5 2 2" xfId="17595" xr:uid="{00000000-0005-0000-0000-0000E1660000}"/>
    <cellStyle name="Normal 24 2 5 2 2 2" xfId="30653" xr:uid="{00000000-0005-0000-0000-0000E2660000}"/>
    <cellStyle name="Normal 24 2 5 2 3" xfId="17596" xr:uid="{00000000-0005-0000-0000-0000E3660000}"/>
    <cellStyle name="Normal 24 2 5 2 3 2" xfId="30654" xr:uid="{00000000-0005-0000-0000-0000E4660000}"/>
    <cellStyle name="Normal 24 2 5 2 4" xfId="24134" xr:uid="{00000000-0005-0000-0000-0000E5660000}"/>
    <cellStyle name="Normal 24 2 5 3" xfId="17597" xr:uid="{00000000-0005-0000-0000-0000E6660000}"/>
    <cellStyle name="Normal 24 2 5 3 2" xfId="30655" xr:uid="{00000000-0005-0000-0000-0000E7660000}"/>
    <cellStyle name="Normal 24 2 5 4" xfId="17598" xr:uid="{00000000-0005-0000-0000-0000E8660000}"/>
    <cellStyle name="Normal 24 2 5 4 2" xfId="30656" xr:uid="{00000000-0005-0000-0000-0000E9660000}"/>
    <cellStyle name="Normal 24 2 5 5" xfId="21978" xr:uid="{00000000-0005-0000-0000-0000EA660000}"/>
    <cellStyle name="Normal 24 2 6" xfId="9685" xr:uid="{00000000-0005-0000-0000-0000EB660000}"/>
    <cellStyle name="Normal 24 2 6 2" xfId="17599" xr:uid="{00000000-0005-0000-0000-0000EC660000}"/>
    <cellStyle name="Normal 24 2 6 2 2" xfId="30657" xr:uid="{00000000-0005-0000-0000-0000ED660000}"/>
    <cellStyle name="Normal 24 2 6 3" xfId="17600" xr:uid="{00000000-0005-0000-0000-0000EE660000}"/>
    <cellStyle name="Normal 24 2 6 3 2" xfId="30658" xr:uid="{00000000-0005-0000-0000-0000EF660000}"/>
    <cellStyle name="Normal 24 2 6 4" xfId="23056" xr:uid="{00000000-0005-0000-0000-0000F0660000}"/>
    <cellStyle name="Normal 24 2 7" xfId="17601" xr:uid="{00000000-0005-0000-0000-0000F1660000}"/>
    <cellStyle name="Normal 24 2 7 2" xfId="30659" xr:uid="{00000000-0005-0000-0000-0000F2660000}"/>
    <cellStyle name="Normal 24 2 8" xfId="17602" xr:uid="{00000000-0005-0000-0000-0000F3660000}"/>
    <cellStyle name="Normal 24 2 8 2" xfId="30660" xr:uid="{00000000-0005-0000-0000-0000F4660000}"/>
    <cellStyle name="Normal 24 2 9" xfId="20899" xr:uid="{00000000-0005-0000-0000-0000F5660000}"/>
    <cellStyle name="Normal 24 3" xfId="5440" xr:uid="{00000000-0005-0000-0000-0000F6660000}"/>
    <cellStyle name="Normal 24 3 2" xfId="6710" xr:uid="{00000000-0005-0000-0000-0000F7660000}"/>
    <cellStyle name="Normal 24 3 2 2" xfId="7397" xr:uid="{00000000-0005-0000-0000-0000F8660000}"/>
    <cellStyle name="Normal 24 3 2 2 2" xfId="9276" xr:uid="{00000000-0005-0000-0000-0000F9660000}"/>
    <cellStyle name="Normal 24 3 2 2 2 2" xfId="11655" xr:uid="{00000000-0005-0000-0000-0000FA660000}"/>
    <cellStyle name="Normal 24 3 2 2 2 2 2" xfId="17603" xr:uid="{00000000-0005-0000-0000-0000FB660000}"/>
    <cellStyle name="Normal 24 3 2 2 2 2 2 2" xfId="30661" xr:uid="{00000000-0005-0000-0000-0000FC660000}"/>
    <cellStyle name="Normal 24 3 2 2 2 2 3" xfId="17604" xr:uid="{00000000-0005-0000-0000-0000FD660000}"/>
    <cellStyle name="Normal 24 3 2 2 2 2 3 2" xfId="30662" xr:uid="{00000000-0005-0000-0000-0000FE660000}"/>
    <cellStyle name="Normal 24 3 2 2 2 2 4" xfId="25025" xr:uid="{00000000-0005-0000-0000-0000FF660000}"/>
    <cellStyle name="Normal 24 3 2 2 2 3" xfId="17605" xr:uid="{00000000-0005-0000-0000-000000670000}"/>
    <cellStyle name="Normal 24 3 2 2 2 3 2" xfId="30663" xr:uid="{00000000-0005-0000-0000-000001670000}"/>
    <cellStyle name="Normal 24 3 2 2 2 4" xfId="17606" xr:uid="{00000000-0005-0000-0000-000002670000}"/>
    <cellStyle name="Normal 24 3 2 2 2 4 2" xfId="30664" xr:uid="{00000000-0005-0000-0000-000003670000}"/>
    <cellStyle name="Normal 24 3 2 2 2 5" xfId="22869" xr:uid="{00000000-0005-0000-0000-000004670000}"/>
    <cellStyle name="Normal 24 3 2 2 3" xfId="10577" xr:uid="{00000000-0005-0000-0000-000005670000}"/>
    <cellStyle name="Normal 24 3 2 2 3 2" xfId="17607" xr:uid="{00000000-0005-0000-0000-000006670000}"/>
    <cellStyle name="Normal 24 3 2 2 3 2 2" xfId="30665" xr:uid="{00000000-0005-0000-0000-000007670000}"/>
    <cellStyle name="Normal 24 3 2 2 3 3" xfId="17608" xr:uid="{00000000-0005-0000-0000-000008670000}"/>
    <cellStyle name="Normal 24 3 2 2 3 3 2" xfId="30666" xr:uid="{00000000-0005-0000-0000-000009670000}"/>
    <cellStyle name="Normal 24 3 2 2 3 4" xfId="23947" xr:uid="{00000000-0005-0000-0000-00000A670000}"/>
    <cellStyle name="Normal 24 3 2 2 4" xfId="17609" xr:uid="{00000000-0005-0000-0000-00000B670000}"/>
    <cellStyle name="Normal 24 3 2 2 4 2" xfId="30667" xr:uid="{00000000-0005-0000-0000-00000C670000}"/>
    <cellStyle name="Normal 24 3 2 2 5" xfId="17610" xr:uid="{00000000-0005-0000-0000-00000D670000}"/>
    <cellStyle name="Normal 24 3 2 2 5 2" xfId="30668" xr:uid="{00000000-0005-0000-0000-00000E670000}"/>
    <cellStyle name="Normal 24 3 2 2 6" xfId="21791" xr:uid="{00000000-0005-0000-0000-00000F670000}"/>
    <cellStyle name="Normal 24 3 2 3" xfId="8730" xr:uid="{00000000-0005-0000-0000-000010670000}"/>
    <cellStyle name="Normal 24 3 2 3 2" xfId="11115" xr:uid="{00000000-0005-0000-0000-000011670000}"/>
    <cellStyle name="Normal 24 3 2 3 2 2" xfId="17611" xr:uid="{00000000-0005-0000-0000-000012670000}"/>
    <cellStyle name="Normal 24 3 2 3 2 2 2" xfId="30669" xr:uid="{00000000-0005-0000-0000-000013670000}"/>
    <cellStyle name="Normal 24 3 2 3 2 3" xfId="17612" xr:uid="{00000000-0005-0000-0000-000014670000}"/>
    <cellStyle name="Normal 24 3 2 3 2 3 2" xfId="30670" xr:uid="{00000000-0005-0000-0000-000015670000}"/>
    <cellStyle name="Normal 24 3 2 3 2 4" xfId="24485" xr:uid="{00000000-0005-0000-0000-000016670000}"/>
    <cellStyle name="Normal 24 3 2 3 3" xfId="17613" xr:uid="{00000000-0005-0000-0000-000017670000}"/>
    <cellStyle name="Normal 24 3 2 3 3 2" xfId="30671" xr:uid="{00000000-0005-0000-0000-000018670000}"/>
    <cellStyle name="Normal 24 3 2 3 4" xfId="17614" xr:uid="{00000000-0005-0000-0000-000019670000}"/>
    <cellStyle name="Normal 24 3 2 3 4 2" xfId="30672" xr:uid="{00000000-0005-0000-0000-00001A670000}"/>
    <cellStyle name="Normal 24 3 2 3 5" xfId="22329" xr:uid="{00000000-0005-0000-0000-00001B670000}"/>
    <cellStyle name="Normal 24 3 2 4" xfId="10037" xr:uid="{00000000-0005-0000-0000-00001C670000}"/>
    <cellStyle name="Normal 24 3 2 4 2" xfId="17615" xr:uid="{00000000-0005-0000-0000-00001D670000}"/>
    <cellStyle name="Normal 24 3 2 4 2 2" xfId="30673" xr:uid="{00000000-0005-0000-0000-00001E670000}"/>
    <cellStyle name="Normal 24 3 2 4 3" xfId="17616" xr:uid="{00000000-0005-0000-0000-00001F670000}"/>
    <cellStyle name="Normal 24 3 2 4 3 2" xfId="30674" xr:uid="{00000000-0005-0000-0000-000020670000}"/>
    <cellStyle name="Normal 24 3 2 4 4" xfId="23407" xr:uid="{00000000-0005-0000-0000-000021670000}"/>
    <cellStyle name="Normal 24 3 2 5" xfId="17617" xr:uid="{00000000-0005-0000-0000-000022670000}"/>
    <cellStyle name="Normal 24 3 2 5 2" xfId="30675" xr:uid="{00000000-0005-0000-0000-000023670000}"/>
    <cellStyle name="Normal 24 3 2 6" xfId="17618" xr:uid="{00000000-0005-0000-0000-000024670000}"/>
    <cellStyle name="Normal 24 3 2 6 2" xfId="30676" xr:uid="{00000000-0005-0000-0000-000025670000}"/>
    <cellStyle name="Normal 24 3 2 7" xfId="21251" xr:uid="{00000000-0005-0000-0000-000026670000}"/>
    <cellStyle name="Normal 24 3 3" xfId="7128" xr:uid="{00000000-0005-0000-0000-000027670000}"/>
    <cellStyle name="Normal 24 3 3 2" xfId="9007" xr:uid="{00000000-0005-0000-0000-000028670000}"/>
    <cellStyle name="Normal 24 3 3 2 2" xfId="11386" xr:uid="{00000000-0005-0000-0000-000029670000}"/>
    <cellStyle name="Normal 24 3 3 2 2 2" xfId="17619" xr:uid="{00000000-0005-0000-0000-00002A670000}"/>
    <cellStyle name="Normal 24 3 3 2 2 2 2" xfId="30677" xr:uid="{00000000-0005-0000-0000-00002B670000}"/>
    <cellStyle name="Normal 24 3 3 2 2 3" xfId="17620" xr:uid="{00000000-0005-0000-0000-00002C670000}"/>
    <cellStyle name="Normal 24 3 3 2 2 3 2" xfId="30678" xr:uid="{00000000-0005-0000-0000-00002D670000}"/>
    <cellStyle name="Normal 24 3 3 2 2 4" xfId="24756" xr:uid="{00000000-0005-0000-0000-00002E670000}"/>
    <cellStyle name="Normal 24 3 3 2 3" xfId="17621" xr:uid="{00000000-0005-0000-0000-00002F670000}"/>
    <cellStyle name="Normal 24 3 3 2 3 2" xfId="30679" xr:uid="{00000000-0005-0000-0000-000030670000}"/>
    <cellStyle name="Normal 24 3 3 2 4" xfId="17622" xr:uid="{00000000-0005-0000-0000-000031670000}"/>
    <cellStyle name="Normal 24 3 3 2 4 2" xfId="30680" xr:uid="{00000000-0005-0000-0000-000032670000}"/>
    <cellStyle name="Normal 24 3 3 2 5" xfId="22600" xr:uid="{00000000-0005-0000-0000-000033670000}"/>
    <cellStyle name="Normal 24 3 3 3" xfId="10308" xr:uid="{00000000-0005-0000-0000-000034670000}"/>
    <cellStyle name="Normal 24 3 3 3 2" xfId="17623" xr:uid="{00000000-0005-0000-0000-000035670000}"/>
    <cellStyle name="Normal 24 3 3 3 2 2" xfId="30681" xr:uid="{00000000-0005-0000-0000-000036670000}"/>
    <cellStyle name="Normal 24 3 3 3 3" xfId="17624" xr:uid="{00000000-0005-0000-0000-000037670000}"/>
    <cellStyle name="Normal 24 3 3 3 3 2" xfId="30682" xr:uid="{00000000-0005-0000-0000-000038670000}"/>
    <cellStyle name="Normal 24 3 3 3 4" xfId="23678" xr:uid="{00000000-0005-0000-0000-000039670000}"/>
    <cellStyle name="Normal 24 3 3 4" xfId="17625" xr:uid="{00000000-0005-0000-0000-00003A670000}"/>
    <cellStyle name="Normal 24 3 3 4 2" xfId="30683" xr:uid="{00000000-0005-0000-0000-00003B670000}"/>
    <cellStyle name="Normal 24 3 3 5" xfId="17626" xr:uid="{00000000-0005-0000-0000-00003C670000}"/>
    <cellStyle name="Normal 24 3 3 5 2" xfId="30684" xr:uid="{00000000-0005-0000-0000-00003D670000}"/>
    <cellStyle name="Normal 24 3 3 6" xfId="21522" xr:uid="{00000000-0005-0000-0000-00003E670000}"/>
    <cellStyle name="Normal 24 3 4" xfId="8399" xr:uid="{00000000-0005-0000-0000-00003F670000}"/>
    <cellStyle name="Normal 24 3 4 2" xfId="10846" xr:uid="{00000000-0005-0000-0000-000040670000}"/>
    <cellStyle name="Normal 24 3 4 2 2" xfId="17627" xr:uid="{00000000-0005-0000-0000-000041670000}"/>
    <cellStyle name="Normal 24 3 4 2 2 2" xfId="30685" xr:uid="{00000000-0005-0000-0000-000042670000}"/>
    <cellStyle name="Normal 24 3 4 2 3" xfId="17628" xr:uid="{00000000-0005-0000-0000-000043670000}"/>
    <cellStyle name="Normal 24 3 4 2 3 2" xfId="30686" xr:uid="{00000000-0005-0000-0000-000044670000}"/>
    <cellStyle name="Normal 24 3 4 2 4" xfId="24216" xr:uid="{00000000-0005-0000-0000-000045670000}"/>
    <cellStyle name="Normal 24 3 4 3" xfId="17629" xr:uid="{00000000-0005-0000-0000-000046670000}"/>
    <cellStyle name="Normal 24 3 4 3 2" xfId="30687" xr:uid="{00000000-0005-0000-0000-000047670000}"/>
    <cellStyle name="Normal 24 3 4 4" xfId="17630" xr:uid="{00000000-0005-0000-0000-000048670000}"/>
    <cellStyle name="Normal 24 3 4 4 2" xfId="30688" xr:uid="{00000000-0005-0000-0000-000049670000}"/>
    <cellStyle name="Normal 24 3 4 5" xfId="22060" xr:uid="{00000000-0005-0000-0000-00004A670000}"/>
    <cellStyle name="Normal 24 3 5" xfId="9768" xr:uid="{00000000-0005-0000-0000-00004B670000}"/>
    <cellStyle name="Normal 24 3 5 2" xfId="17631" xr:uid="{00000000-0005-0000-0000-00004C670000}"/>
    <cellStyle name="Normal 24 3 5 2 2" xfId="30689" xr:uid="{00000000-0005-0000-0000-00004D670000}"/>
    <cellStyle name="Normal 24 3 5 3" xfId="17632" xr:uid="{00000000-0005-0000-0000-00004E670000}"/>
    <cellStyle name="Normal 24 3 5 3 2" xfId="30690" xr:uid="{00000000-0005-0000-0000-00004F670000}"/>
    <cellStyle name="Normal 24 3 5 4" xfId="23138" xr:uid="{00000000-0005-0000-0000-000050670000}"/>
    <cellStyle name="Normal 24 3 6" xfId="17633" xr:uid="{00000000-0005-0000-0000-000051670000}"/>
    <cellStyle name="Normal 24 3 6 2" xfId="30691" xr:uid="{00000000-0005-0000-0000-000052670000}"/>
    <cellStyle name="Normal 24 3 7" xfId="17634" xr:uid="{00000000-0005-0000-0000-000053670000}"/>
    <cellStyle name="Normal 24 3 7 2" xfId="30692" xr:uid="{00000000-0005-0000-0000-000054670000}"/>
    <cellStyle name="Normal 24 3 8" xfId="20982" xr:uid="{00000000-0005-0000-0000-000055670000}"/>
    <cellStyle name="Normal 24 4" xfId="6559" xr:uid="{00000000-0005-0000-0000-000056670000}"/>
    <cellStyle name="Normal 24 4 2" xfId="7260" xr:uid="{00000000-0005-0000-0000-000057670000}"/>
    <cellStyle name="Normal 24 4 2 2" xfId="9139" xr:uid="{00000000-0005-0000-0000-000058670000}"/>
    <cellStyle name="Normal 24 4 2 2 2" xfId="11518" xr:uid="{00000000-0005-0000-0000-000059670000}"/>
    <cellStyle name="Normal 24 4 2 2 2 2" xfId="17635" xr:uid="{00000000-0005-0000-0000-00005A670000}"/>
    <cellStyle name="Normal 24 4 2 2 2 2 2" xfId="30693" xr:uid="{00000000-0005-0000-0000-00005B670000}"/>
    <cellStyle name="Normal 24 4 2 2 2 3" xfId="17636" xr:uid="{00000000-0005-0000-0000-00005C670000}"/>
    <cellStyle name="Normal 24 4 2 2 2 3 2" xfId="30694" xr:uid="{00000000-0005-0000-0000-00005D670000}"/>
    <cellStyle name="Normal 24 4 2 2 2 4" xfId="24888" xr:uid="{00000000-0005-0000-0000-00005E670000}"/>
    <cellStyle name="Normal 24 4 2 2 3" xfId="17637" xr:uid="{00000000-0005-0000-0000-00005F670000}"/>
    <cellStyle name="Normal 24 4 2 2 3 2" xfId="30695" xr:uid="{00000000-0005-0000-0000-000060670000}"/>
    <cellStyle name="Normal 24 4 2 2 4" xfId="17638" xr:uid="{00000000-0005-0000-0000-000061670000}"/>
    <cellStyle name="Normal 24 4 2 2 4 2" xfId="30696" xr:uid="{00000000-0005-0000-0000-000062670000}"/>
    <cellStyle name="Normal 24 4 2 2 5" xfId="22732" xr:uid="{00000000-0005-0000-0000-000063670000}"/>
    <cellStyle name="Normal 24 4 2 3" xfId="10440" xr:uid="{00000000-0005-0000-0000-000064670000}"/>
    <cellStyle name="Normal 24 4 2 3 2" xfId="17639" xr:uid="{00000000-0005-0000-0000-000065670000}"/>
    <cellStyle name="Normal 24 4 2 3 2 2" xfId="30697" xr:uid="{00000000-0005-0000-0000-000066670000}"/>
    <cellStyle name="Normal 24 4 2 3 3" xfId="17640" xr:uid="{00000000-0005-0000-0000-000067670000}"/>
    <cellStyle name="Normal 24 4 2 3 3 2" xfId="30698" xr:uid="{00000000-0005-0000-0000-000068670000}"/>
    <cellStyle name="Normal 24 4 2 3 4" xfId="23810" xr:uid="{00000000-0005-0000-0000-000069670000}"/>
    <cellStyle name="Normal 24 4 2 4" xfId="17641" xr:uid="{00000000-0005-0000-0000-00006A670000}"/>
    <cellStyle name="Normal 24 4 2 4 2" xfId="30699" xr:uid="{00000000-0005-0000-0000-00006B670000}"/>
    <cellStyle name="Normal 24 4 2 5" xfId="17642" xr:uid="{00000000-0005-0000-0000-00006C670000}"/>
    <cellStyle name="Normal 24 4 2 5 2" xfId="30700" xr:uid="{00000000-0005-0000-0000-00006D670000}"/>
    <cellStyle name="Normal 24 4 2 6" xfId="21654" xr:uid="{00000000-0005-0000-0000-00006E670000}"/>
    <cellStyle name="Normal 24 4 3" xfId="8592" xr:uid="{00000000-0005-0000-0000-00006F670000}"/>
    <cellStyle name="Normal 24 4 3 2" xfId="10978" xr:uid="{00000000-0005-0000-0000-000070670000}"/>
    <cellStyle name="Normal 24 4 3 2 2" xfId="17643" xr:uid="{00000000-0005-0000-0000-000071670000}"/>
    <cellStyle name="Normal 24 4 3 2 2 2" xfId="30701" xr:uid="{00000000-0005-0000-0000-000072670000}"/>
    <cellStyle name="Normal 24 4 3 2 3" xfId="17644" xr:uid="{00000000-0005-0000-0000-000073670000}"/>
    <cellStyle name="Normal 24 4 3 2 3 2" xfId="30702" xr:uid="{00000000-0005-0000-0000-000074670000}"/>
    <cellStyle name="Normal 24 4 3 2 4" xfId="24348" xr:uid="{00000000-0005-0000-0000-000075670000}"/>
    <cellStyle name="Normal 24 4 3 3" xfId="17645" xr:uid="{00000000-0005-0000-0000-000076670000}"/>
    <cellStyle name="Normal 24 4 3 3 2" xfId="30703" xr:uid="{00000000-0005-0000-0000-000077670000}"/>
    <cellStyle name="Normal 24 4 3 4" xfId="17646" xr:uid="{00000000-0005-0000-0000-000078670000}"/>
    <cellStyle name="Normal 24 4 3 4 2" xfId="30704" xr:uid="{00000000-0005-0000-0000-000079670000}"/>
    <cellStyle name="Normal 24 4 3 5" xfId="22192" xr:uid="{00000000-0005-0000-0000-00007A670000}"/>
    <cellStyle name="Normal 24 4 4" xfId="9900" xr:uid="{00000000-0005-0000-0000-00007B670000}"/>
    <cellStyle name="Normal 24 4 4 2" xfId="17647" xr:uid="{00000000-0005-0000-0000-00007C670000}"/>
    <cellStyle name="Normal 24 4 4 2 2" xfId="30705" xr:uid="{00000000-0005-0000-0000-00007D670000}"/>
    <cellStyle name="Normal 24 4 4 3" xfId="17648" xr:uid="{00000000-0005-0000-0000-00007E670000}"/>
    <cellStyle name="Normal 24 4 4 3 2" xfId="30706" xr:uid="{00000000-0005-0000-0000-00007F670000}"/>
    <cellStyle name="Normal 24 4 4 4" xfId="23270" xr:uid="{00000000-0005-0000-0000-000080670000}"/>
    <cellStyle name="Normal 24 4 5" xfId="17649" xr:uid="{00000000-0005-0000-0000-000081670000}"/>
    <cellStyle name="Normal 24 4 5 2" xfId="30707" xr:uid="{00000000-0005-0000-0000-000082670000}"/>
    <cellStyle name="Normal 24 4 6" xfId="17650" xr:uid="{00000000-0005-0000-0000-000083670000}"/>
    <cellStyle name="Normal 24 4 6 2" xfId="30708" xr:uid="{00000000-0005-0000-0000-000084670000}"/>
    <cellStyle name="Normal 24 4 7" xfId="21114" xr:uid="{00000000-0005-0000-0000-000085670000}"/>
    <cellStyle name="Normal 24 5" xfId="6990" xr:uid="{00000000-0005-0000-0000-000086670000}"/>
    <cellStyle name="Normal 24 5 2" xfId="8870" xr:uid="{00000000-0005-0000-0000-000087670000}"/>
    <cellStyle name="Normal 24 5 2 2" xfId="11249" xr:uid="{00000000-0005-0000-0000-000088670000}"/>
    <cellStyle name="Normal 24 5 2 2 2" xfId="17651" xr:uid="{00000000-0005-0000-0000-000089670000}"/>
    <cellStyle name="Normal 24 5 2 2 2 2" xfId="30709" xr:uid="{00000000-0005-0000-0000-00008A670000}"/>
    <cellStyle name="Normal 24 5 2 2 3" xfId="17652" xr:uid="{00000000-0005-0000-0000-00008B670000}"/>
    <cellStyle name="Normal 24 5 2 2 3 2" xfId="30710" xr:uid="{00000000-0005-0000-0000-00008C670000}"/>
    <cellStyle name="Normal 24 5 2 2 4" xfId="24619" xr:uid="{00000000-0005-0000-0000-00008D670000}"/>
    <cellStyle name="Normal 24 5 2 3" xfId="17653" xr:uid="{00000000-0005-0000-0000-00008E670000}"/>
    <cellStyle name="Normal 24 5 2 3 2" xfId="30711" xr:uid="{00000000-0005-0000-0000-00008F670000}"/>
    <cellStyle name="Normal 24 5 2 4" xfId="17654" xr:uid="{00000000-0005-0000-0000-000090670000}"/>
    <cellStyle name="Normal 24 5 2 4 2" xfId="30712" xr:uid="{00000000-0005-0000-0000-000091670000}"/>
    <cellStyle name="Normal 24 5 2 5" xfId="22463" xr:uid="{00000000-0005-0000-0000-000092670000}"/>
    <cellStyle name="Normal 24 5 3" xfId="10171" xr:uid="{00000000-0005-0000-0000-000093670000}"/>
    <cellStyle name="Normal 24 5 3 2" xfId="17655" xr:uid="{00000000-0005-0000-0000-000094670000}"/>
    <cellStyle name="Normal 24 5 3 2 2" xfId="30713" xr:uid="{00000000-0005-0000-0000-000095670000}"/>
    <cellStyle name="Normal 24 5 3 3" xfId="17656" xr:uid="{00000000-0005-0000-0000-000096670000}"/>
    <cellStyle name="Normal 24 5 3 3 2" xfId="30714" xr:uid="{00000000-0005-0000-0000-000097670000}"/>
    <cellStyle name="Normal 24 5 3 4" xfId="23541" xr:uid="{00000000-0005-0000-0000-000098670000}"/>
    <cellStyle name="Normal 24 5 4" xfId="17657" xr:uid="{00000000-0005-0000-0000-000099670000}"/>
    <cellStyle name="Normal 24 5 4 2" xfId="30715" xr:uid="{00000000-0005-0000-0000-00009A670000}"/>
    <cellStyle name="Normal 24 5 5" xfId="17658" xr:uid="{00000000-0005-0000-0000-00009B670000}"/>
    <cellStyle name="Normal 24 5 5 2" xfId="30716" xr:uid="{00000000-0005-0000-0000-00009C670000}"/>
    <cellStyle name="Normal 24 5 6" xfId="21385" xr:uid="{00000000-0005-0000-0000-00009D670000}"/>
    <cellStyle name="Normal 24 6" xfId="8170" xr:uid="{00000000-0005-0000-0000-00009E670000}"/>
    <cellStyle name="Normal 24 6 2" xfId="10709" xr:uid="{00000000-0005-0000-0000-00009F670000}"/>
    <cellStyle name="Normal 24 6 2 2" xfId="17659" xr:uid="{00000000-0005-0000-0000-0000A0670000}"/>
    <cellStyle name="Normal 24 6 2 2 2" xfId="30717" xr:uid="{00000000-0005-0000-0000-0000A1670000}"/>
    <cellStyle name="Normal 24 6 2 3" xfId="17660" xr:uid="{00000000-0005-0000-0000-0000A2670000}"/>
    <cellStyle name="Normal 24 6 2 3 2" xfId="30718" xr:uid="{00000000-0005-0000-0000-0000A3670000}"/>
    <cellStyle name="Normal 24 6 2 4" xfId="24079" xr:uid="{00000000-0005-0000-0000-0000A4670000}"/>
    <cellStyle name="Normal 24 6 3" xfId="17661" xr:uid="{00000000-0005-0000-0000-0000A5670000}"/>
    <cellStyle name="Normal 24 6 3 2" xfId="30719" xr:uid="{00000000-0005-0000-0000-0000A6670000}"/>
    <cellStyle name="Normal 24 6 4" xfId="17662" xr:uid="{00000000-0005-0000-0000-0000A7670000}"/>
    <cellStyle name="Normal 24 6 4 2" xfId="30720" xr:uid="{00000000-0005-0000-0000-0000A8670000}"/>
    <cellStyle name="Normal 24 6 5" xfId="21923" xr:uid="{00000000-0005-0000-0000-0000A9670000}"/>
    <cellStyle name="Normal 24 7" xfId="9630" xr:uid="{00000000-0005-0000-0000-0000AA670000}"/>
    <cellStyle name="Normal 24 7 2" xfId="17663" xr:uid="{00000000-0005-0000-0000-0000AB670000}"/>
    <cellStyle name="Normal 24 7 2 2" xfId="30721" xr:uid="{00000000-0005-0000-0000-0000AC670000}"/>
    <cellStyle name="Normal 24 7 3" xfId="17664" xr:uid="{00000000-0005-0000-0000-0000AD670000}"/>
    <cellStyle name="Normal 24 7 3 2" xfId="30722" xr:uid="{00000000-0005-0000-0000-0000AE670000}"/>
    <cellStyle name="Normal 24 7 4" xfId="23001" xr:uid="{00000000-0005-0000-0000-0000AF670000}"/>
    <cellStyle name="Normal 24 8" xfId="17665" xr:uid="{00000000-0005-0000-0000-0000B0670000}"/>
    <cellStyle name="Normal 24 8 2" xfId="30723" xr:uid="{00000000-0005-0000-0000-0000B1670000}"/>
    <cellStyle name="Normal 24 9" xfId="17666" xr:uid="{00000000-0005-0000-0000-0000B2670000}"/>
    <cellStyle name="Normal 24 9 2" xfId="30724" xr:uid="{00000000-0005-0000-0000-0000B3670000}"/>
    <cellStyle name="Normal 25" xfId="3021" xr:uid="{00000000-0005-0000-0000-0000B4670000}"/>
    <cellStyle name="Normal 25 10" xfId="17667" xr:uid="{00000000-0005-0000-0000-0000B5670000}"/>
    <cellStyle name="Normal 25 10 2" xfId="30725" xr:uid="{00000000-0005-0000-0000-0000B6670000}"/>
    <cellStyle name="Normal 25 11" xfId="17668" xr:uid="{00000000-0005-0000-0000-0000B7670000}"/>
    <cellStyle name="Normal 25 11 2" xfId="30726" xr:uid="{00000000-0005-0000-0000-0000B8670000}"/>
    <cellStyle name="Normal 25 12" xfId="20830" xr:uid="{00000000-0005-0000-0000-0000B9670000}"/>
    <cellStyle name="Normal 25 2" xfId="3606" xr:uid="{00000000-0005-0000-0000-0000BA670000}"/>
    <cellStyle name="Normal 25 2 10" xfId="20846" xr:uid="{00000000-0005-0000-0000-0000BB670000}"/>
    <cellStyle name="Normal 25 2 2" xfId="4084" xr:uid="{00000000-0005-0000-0000-0000BC670000}"/>
    <cellStyle name="Normal 25 2 2 2" xfId="5620" xr:uid="{00000000-0005-0000-0000-0000BD670000}"/>
    <cellStyle name="Normal 25 2 2 2 2" xfId="6772" xr:uid="{00000000-0005-0000-0000-0000BE670000}"/>
    <cellStyle name="Normal 25 2 2 2 2 2" xfId="7459" xr:uid="{00000000-0005-0000-0000-0000BF670000}"/>
    <cellStyle name="Normal 25 2 2 2 2 2 2" xfId="9338" xr:uid="{00000000-0005-0000-0000-0000C0670000}"/>
    <cellStyle name="Normal 25 2 2 2 2 2 2 2" xfId="11717" xr:uid="{00000000-0005-0000-0000-0000C1670000}"/>
    <cellStyle name="Normal 25 2 2 2 2 2 2 2 2" xfId="17669" xr:uid="{00000000-0005-0000-0000-0000C2670000}"/>
    <cellStyle name="Normal 25 2 2 2 2 2 2 2 2 2" xfId="30727" xr:uid="{00000000-0005-0000-0000-0000C3670000}"/>
    <cellStyle name="Normal 25 2 2 2 2 2 2 2 3" xfId="17670" xr:uid="{00000000-0005-0000-0000-0000C4670000}"/>
    <cellStyle name="Normal 25 2 2 2 2 2 2 2 3 2" xfId="30728" xr:uid="{00000000-0005-0000-0000-0000C5670000}"/>
    <cellStyle name="Normal 25 2 2 2 2 2 2 2 4" xfId="25087" xr:uid="{00000000-0005-0000-0000-0000C6670000}"/>
    <cellStyle name="Normal 25 2 2 2 2 2 2 3" xfId="17671" xr:uid="{00000000-0005-0000-0000-0000C7670000}"/>
    <cellStyle name="Normal 25 2 2 2 2 2 2 3 2" xfId="30729" xr:uid="{00000000-0005-0000-0000-0000C8670000}"/>
    <cellStyle name="Normal 25 2 2 2 2 2 2 4" xfId="17672" xr:uid="{00000000-0005-0000-0000-0000C9670000}"/>
    <cellStyle name="Normal 25 2 2 2 2 2 2 4 2" xfId="30730" xr:uid="{00000000-0005-0000-0000-0000CA670000}"/>
    <cellStyle name="Normal 25 2 2 2 2 2 2 5" xfId="22931" xr:uid="{00000000-0005-0000-0000-0000CB670000}"/>
    <cellStyle name="Normal 25 2 2 2 2 2 3" xfId="10639" xr:uid="{00000000-0005-0000-0000-0000CC670000}"/>
    <cellStyle name="Normal 25 2 2 2 2 2 3 2" xfId="17673" xr:uid="{00000000-0005-0000-0000-0000CD670000}"/>
    <cellStyle name="Normal 25 2 2 2 2 2 3 2 2" xfId="30731" xr:uid="{00000000-0005-0000-0000-0000CE670000}"/>
    <cellStyle name="Normal 25 2 2 2 2 2 3 3" xfId="17674" xr:uid="{00000000-0005-0000-0000-0000CF670000}"/>
    <cellStyle name="Normal 25 2 2 2 2 2 3 3 2" xfId="30732" xr:uid="{00000000-0005-0000-0000-0000D0670000}"/>
    <cellStyle name="Normal 25 2 2 2 2 2 3 4" xfId="24009" xr:uid="{00000000-0005-0000-0000-0000D1670000}"/>
    <cellStyle name="Normal 25 2 2 2 2 2 4" xfId="17675" xr:uid="{00000000-0005-0000-0000-0000D2670000}"/>
    <cellStyle name="Normal 25 2 2 2 2 2 4 2" xfId="30733" xr:uid="{00000000-0005-0000-0000-0000D3670000}"/>
    <cellStyle name="Normal 25 2 2 2 2 2 5" xfId="17676" xr:uid="{00000000-0005-0000-0000-0000D4670000}"/>
    <cellStyle name="Normal 25 2 2 2 2 2 5 2" xfId="30734" xr:uid="{00000000-0005-0000-0000-0000D5670000}"/>
    <cellStyle name="Normal 25 2 2 2 2 2 6" xfId="21853" xr:uid="{00000000-0005-0000-0000-0000D6670000}"/>
    <cellStyle name="Normal 25 2 2 2 2 3" xfId="8792" xr:uid="{00000000-0005-0000-0000-0000D7670000}"/>
    <cellStyle name="Normal 25 2 2 2 2 3 2" xfId="11177" xr:uid="{00000000-0005-0000-0000-0000D8670000}"/>
    <cellStyle name="Normal 25 2 2 2 2 3 2 2" xfId="17677" xr:uid="{00000000-0005-0000-0000-0000D9670000}"/>
    <cellStyle name="Normal 25 2 2 2 2 3 2 2 2" xfId="30735" xr:uid="{00000000-0005-0000-0000-0000DA670000}"/>
    <cellStyle name="Normal 25 2 2 2 2 3 2 3" xfId="17678" xr:uid="{00000000-0005-0000-0000-0000DB670000}"/>
    <cellStyle name="Normal 25 2 2 2 2 3 2 3 2" xfId="30736" xr:uid="{00000000-0005-0000-0000-0000DC670000}"/>
    <cellStyle name="Normal 25 2 2 2 2 3 2 4" xfId="24547" xr:uid="{00000000-0005-0000-0000-0000DD670000}"/>
    <cellStyle name="Normal 25 2 2 2 2 3 3" xfId="17679" xr:uid="{00000000-0005-0000-0000-0000DE670000}"/>
    <cellStyle name="Normal 25 2 2 2 2 3 3 2" xfId="30737" xr:uid="{00000000-0005-0000-0000-0000DF670000}"/>
    <cellStyle name="Normal 25 2 2 2 2 3 4" xfId="17680" xr:uid="{00000000-0005-0000-0000-0000E0670000}"/>
    <cellStyle name="Normal 25 2 2 2 2 3 4 2" xfId="30738" xr:uid="{00000000-0005-0000-0000-0000E1670000}"/>
    <cellStyle name="Normal 25 2 2 2 2 3 5" xfId="22391" xr:uid="{00000000-0005-0000-0000-0000E2670000}"/>
    <cellStyle name="Normal 25 2 2 2 2 4" xfId="10099" xr:uid="{00000000-0005-0000-0000-0000E3670000}"/>
    <cellStyle name="Normal 25 2 2 2 2 4 2" xfId="17681" xr:uid="{00000000-0005-0000-0000-0000E4670000}"/>
    <cellStyle name="Normal 25 2 2 2 2 4 2 2" xfId="30739" xr:uid="{00000000-0005-0000-0000-0000E5670000}"/>
    <cellStyle name="Normal 25 2 2 2 2 4 3" xfId="17682" xr:uid="{00000000-0005-0000-0000-0000E6670000}"/>
    <cellStyle name="Normal 25 2 2 2 2 4 3 2" xfId="30740" xr:uid="{00000000-0005-0000-0000-0000E7670000}"/>
    <cellStyle name="Normal 25 2 2 2 2 4 4" xfId="23469" xr:uid="{00000000-0005-0000-0000-0000E8670000}"/>
    <cellStyle name="Normal 25 2 2 2 2 5" xfId="17683" xr:uid="{00000000-0005-0000-0000-0000E9670000}"/>
    <cellStyle name="Normal 25 2 2 2 2 5 2" xfId="30741" xr:uid="{00000000-0005-0000-0000-0000EA670000}"/>
    <cellStyle name="Normal 25 2 2 2 2 6" xfId="17684" xr:uid="{00000000-0005-0000-0000-0000EB670000}"/>
    <cellStyle name="Normal 25 2 2 2 2 6 2" xfId="30742" xr:uid="{00000000-0005-0000-0000-0000EC670000}"/>
    <cellStyle name="Normal 25 2 2 2 2 7" xfId="21313" xr:uid="{00000000-0005-0000-0000-0000ED670000}"/>
    <cellStyle name="Normal 25 2 2 2 3" xfId="7190" xr:uid="{00000000-0005-0000-0000-0000EE670000}"/>
    <cellStyle name="Normal 25 2 2 2 3 2" xfId="9069" xr:uid="{00000000-0005-0000-0000-0000EF670000}"/>
    <cellStyle name="Normal 25 2 2 2 3 2 2" xfId="11448" xr:uid="{00000000-0005-0000-0000-0000F0670000}"/>
    <cellStyle name="Normal 25 2 2 2 3 2 2 2" xfId="17685" xr:uid="{00000000-0005-0000-0000-0000F1670000}"/>
    <cellStyle name="Normal 25 2 2 2 3 2 2 2 2" xfId="30743" xr:uid="{00000000-0005-0000-0000-0000F2670000}"/>
    <cellStyle name="Normal 25 2 2 2 3 2 2 3" xfId="17686" xr:uid="{00000000-0005-0000-0000-0000F3670000}"/>
    <cellStyle name="Normal 25 2 2 2 3 2 2 3 2" xfId="30744" xr:uid="{00000000-0005-0000-0000-0000F4670000}"/>
    <cellStyle name="Normal 25 2 2 2 3 2 2 4" xfId="24818" xr:uid="{00000000-0005-0000-0000-0000F5670000}"/>
    <cellStyle name="Normal 25 2 2 2 3 2 3" xfId="17687" xr:uid="{00000000-0005-0000-0000-0000F6670000}"/>
    <cellStyle name="Normal 25 2 2 2 3 2 3 2" xfId="30745" xr:uid="{00000000-0005-0000-0000-0000F7670000}"/>
    <cellStyle name="Normal 25 2 2 2 3 2 4" xfId="17688" xr:uid="{00000000-0005-0000-0000-0000F8670000}"/>
    <cellStyle name="Normal 25 2 2 2 3 2 4 2" xfId="30746" xr:uid="{00000000-0005-0000-0000-0000F9670000}"/>
    <cellStyle name="Normal 25 2 2 2 3 2 5" xfId="22662" xr:uid="{00000000-0005-0000-0000-0000FA670000}"/>
    <cellStyle name="Normal 25 2 2 2 3 3" xfId="10370" xr:uid="{00000000-0005-0000-0000-0000FB670000}"/>
    <cellStyle name="Normal 25 2 2 2 3 3 2" xfId="17689" xr:uid="{00000000-0005-0000-0000-0000FC670000}"/>
    <cellStyle name="Normal 25 2 2 2 3 3 2 2" xfId="30747" xr:uid="{00000000-0005-0000-0000-0000FD670000}"/>
    <cellStyle name="Normal 25 2 2 2 3 3 3" xfId="17690" xr:uid="{00000000-0005-0000-0000-0000FE670000}"/>
    <cellStyle name="Normal 25 2 2 2 3 3 3 2" xfId="30748" xr:uid="{00000000-0005-0000-0000-0000FF670000}"/>
    <cellStyle name="Normal 25 2 2 2 3 3 4" xfId="23740" xr:uid="{00000000-0005-0000-0000-000000680000}"/>
    <cellStyle name="Normal 25 2 2 2 3 4" xfId="17691" xr:uid="{00000000-0005-0000-0000-000001680000}"/>
    <cellStyle name="Normal 25 2 2 2 3 4 2" xfId="30749" xr:uid="{00000000-0005-0000-0000-000002680000}"/>
    <cellStyle name="Normal 25 2 2 2 3 5" xfId="17692" xr:uid="{00000000-0005-0000-0000-000003680000}"/>
    <cellStyle name="Normal 25 2 2 2 3 5 2" xfId="30750" xr:uid="{00000000-0005-0000-0000-000004680000}"/>
    <cellStyle name="Normal 25 2 2 2 3 6" xfId="21584" xr:uid="{00000000-0005-0000-0000-000005680000}"/>
    <cellStyle name="Normal 25 2 2 2 4" xfId="8467" xr:uid="{00000000-0005-0000-0000-000006680000}"/>
    <cellStyle name="Normal 25 2 2 2 4 2" xfId="10908" xr:uid="{00000000-0005-0000-0000-000007680000}"/>
    <cellStyle name="Normal 25 2 2 2 4 2 2" xfId="17693" xr:uid="{00000000-0005-0000-0000-000008680000}"/>
    <cellStyle name="Normal 25 2 2 2 4 2 2 2" xfId="30751" xr:uid="{00000000-0005-0000-0000-000009680000}"/>
    <cellStyle name="Normal 25 2 2 2 4 2 3" xfId="17694" xr:uid="{00000000-0005-0000-0000-00000A680000}"/>
    <cellStyle name="Normal 25 2 2 2 4 2 3 2" xfId="30752" xr:uid="{00000000-0005-0000-0000-00000B680000}"/>
    <cellStyle name="Normal 25 2 2 2 4 2 4" xfId="24278" xr:uid="{00000000-0005-0000-0000-00000C680000}"/>
    <cellStyle name="Normal 25 2 2 2 4 3" xfId="17695" xr:uid="{00000000-0005-0000-0000-00000D680000}"/>
    <cellStyle name="Normal 25 2 2 2 4 3 2" xfId="30753" xr:uid="{00000000-0005-0000-0000-00000E680000}"/>
    <cellStyle name="Normal 25 2 2 2 4 4" xfId="17696" xr:uid="{00000000-0005-0000-0000-00000F680000}"/>
    <cellStyle name="Normal 25 2 2 2 4 4 2" xfId="30754" xr:uid="{00000000-0005-0000-0000-000010680000}"/>
    <cellStyle name="Normal 25 2 2 2 4 5" xfId="22122" xr:uid="{00000000-0005-0000-0000-000011680000}"/>
    <cellStyle name="Normal 25 2 2 2 5" xfId="9830" xr:uid="{00000000-0005-0000-0000-000012680000}"/>
    <cellStyle name="Normal 25 2 2 2 5 2" xfId="17697" xr:uid="{00000000-0005-0000-0000-000013680000}"/>
    <cellStyle name="Normal 25 2 2 2 5 2 2" xfId="30755" xr:uid="{00000000-0005-0000-0000-000014680000}"/>
    <cellStyle name="Normal 25 2 2 2 5 3" xfId="17698" xr:uid="{00000000-0005-0000-0000-000015680000}"/>
    <cellStyle name="Normal 25 2 2 2 5 3 2" xfId="30756" xr:uid="{00000000-0005-0000-0000-000016680000}"/>
    <cellStyle name="Normal 25 2 2 2 5 4" xfId="23200" xr:uid="{00000000-0005-0000-0000-000017680000}"/>
    <cellStyle name="Normal 25 2 2 2 6" xfId="17699" xr:uid="{00000000-0005-0000-0000-000018680000}"/>
    <cellStyle name="Normal 25 2 2 2 6 2" xfId="30757" xr:uid="{00000000-0005-0000-0000-000019680000}"/>
    <cellStyle name="Normal 25 2 2 2 7" xfId="17700" xr:uid="{00000000-0005-0000-0000-00001A680000}"/>
    <cellStyle name="Normal 25 2 2 2 7 2" xfId="30758" xr:uid="{00000000-0005-0000-0000-00001B680000}"/>
    <cellStyle name="Normal 25 2 2 2 8" xfId="21044" xr:uid="{00000000-0005-0000-0000-00001C680000}"/>
    <cellStyle name="Normal 25 2 2 3" xfId="6621" xr:uid="{00000000-0005-0000-0000-00001D680000}"/>
    <cellStyle name="Normal 25 2 2 3 2" xfId="7317" xr:uid="{00000000-0005-0000-0000-00001E680000}"/>
    <cellStyle name="Normal 25 2 2 3 2 2" xfId="9196" xr:uid="{00000000-0005-0000-0000-00001F680000}"/>
    <cellStyle name="Normal 25 2 2 3 2 2 2" xfId="11575" xr:uid="{00000000-0005-0000-0000-000020680000}"/>
    <cellStyle name="Normal 25 2 2 3 2 2 2 2" xfId="17701" xr:uid="{00000000-0005-0000-0000-000021680000}"/>
    <cellStyle name="Normal 25 2 2 3 2 2 2 2 2" xfId="30759" xr:uid="{00000000-0005-0000-0000-000022680000}"/>
    <cellStyle name="Normal 25 2 2 3 2 2 2 3" xfId="17702" xr:uid="{00000000-0005-0000-0000-000023680000}"/>
    <cellStyle name="Normal 25 2 2 3 2 2 2 3 2" xfId="30760" xr:uid="{00000000-0005-0000-0000-000024680000}"/>
    <cellStyle name="Normal 25 2 2 3 2 2 2 4" xfId="24945" xr:uid="{00000000-0005-0000-0000-000025680000}"/>
    <cellStyle name="Normal 25 2 2 3 2 2 3" xfId="17703" xr:uid="{00000000-0005-0000-0000-000026680000}"/>
    <cellStyle name="Normal 25 2 2 3 2 2 3 2" xfId="30761" xr:uid="{00000000-0005-0000-0000-000027680000}"/>
    <cellStyle name="Normal 25 2 2 3 2 2 4" xfId="17704" xr:uid="{00000000-0005-0000-0000-000028680000}"/>
    <cellStyle name="Normal 25 2 2 3 2 2 4 2" xfId="30762" xr:uid="{00000000-0005-0000-0000-000029680000}"/>
    <cellStyle name="Normal 25 2 2 3 2 2 5" xfId="22789" xr:uid="{00000000-0005-0000-0000-00002A680000}"/>
    <cellStyle name="Normal 25 2 2 3 2 3" xfId="10497" xr:uid="{00000000-0005-0000-0000-00002B680000}"/>
    <cellStyle name="Normal 25 2 2 3 2 3 2" xfId="17705" xr:uid="{00000000-0005-0000-0000-00002C680000}"/>
    <cellStyle name="Normal 25 2 2 3 2 3 2 2" xfId="30763" xr:uid="{00000000-0005-0000-0000-00002D680000}"/>
    <cellStyle name="Normal 25 2 2 3 2 3 3" xfId="17706" xr:uid="{00000000-0005-0000-0000-00002E680000}"/>
    <cellStyle name="Normal 25 2 2 3 2 3 3 2" xfId="30764" xr:uid="{00000000-0005-0000-0000-00002F680000}"/>
    <cellStyle name="Normal 25 2 2 3 2 3 4" xfId="23867" xr:uid="{00000000-0005-0000-0000-000030680000}"/>
    <cellStyle name="Normal 25 2 2 3 2 4" xfId="17707" xr:uid="{00000000-0005-0000-0000-000031680000}"/>
    <cellStyle name="Normal 25 2 2 3 2 4 2" xfId="30765" xr:uid="{00000000-0005-0000-0000-000032680000}"/>
    <cellStyle name="Normal 25 2 2 3 2 5" xfId="17708" xr:uid="{00000000-0005-0000-0000-000033680000}"/>
    <cellStyle name="Normal 25 2 2 3 2 5 2" xfId="30766" xr:uid="{00000000-0005-0000-0000-000034680000}"/>
    <cellStyle name="Normal 25 2 2 3 2 6" xfId="21711" xr:uid="{00000000-0005-0000-0000-000035680000}"/>
    <cellStyle name="Normal 25 2 2 3 3" xfId="8649" xr:uid="{00000000-0005-0000-0000-000036680000}"/>
    <cellStyle name="Normal 25 2 2 3 3 2" xfId="11035" xr:uid="{00000000-0005-0000-0000-000037680000}"/>
    <cellStyle name="Normal 25 2 2 3 3 2 2" xfId="17709" xr:uid="{00000000-0005-0000-0000-000038680000}"/>
    <cellStyle name="Normal 25 2 2 3 3 2 2 2" xfId="30767" xr:uid="{00000000-0005-0000-0000-000039680000}"/>
    <cellStyle name="Normal 25 2 2 3 3 2 3" xfId="17710" xr:uid="{00000000-0005-0000-0000-00003A680000}"/>
    <cellStyle name="Normal 25 2 2 3 3 2 3 2" xfId="30768" xr:uid="{00000000-0005-0000-0000-00003B680000}"/>
    <cellStyle name="Normal 25 2 2 3 3 2 4" xfId="24405" xr:uid="{00000000-0005-0000-0000-00003C680000}"/>
    <cellStyle name="Normal 25 2 2 3 3 3" xfId="17711" xr:uid="{00000000-0005-0000-0000-00003D680000}"/>
    <cellStyle name="Normal 25 2 2 3 3 3 2" xfId="30769" xr:uid="{00000000-0005-0000-0000-00003E680000}"/>
    <cellStyle name="Normal 25 2 2 3 3 4" xfId="17712" xr:uid="{00000000-0005-0000-0000-00003F680000}"/>
    <cellStyle name="Normal 25 2 2 3 3 4 2" xfId="30770" xr:uid="{00000000-0005-0000-0000-000040680000}"/>
    <cellStyle name="Normal 25 2 2 3 3 5" xfId="22249" xr:uid="{00000000-0005-0000-0000-000041680000}"/>
    <cellStyle name="Normal 25 2 2 3 4" xfId="9957" xr:uid="{00000000-0005-0000-0000-000042680000}"/>
    <cellStyle name="Normal 25 2 2 3 4 2" xfId="17713" xr:uid="{00000000-0005-0000-0000-000043680000}"/>
    <cellStyle name="Normal 25 2 2 3 4 2 2" xfId="30771" xr:uid="{00000000-0005-0000-0000-000044680000}"/>
    <cellStyle name="Normal 25 2 2 3 4 3" xfId="17714" xr:uid="{00000000-0005-0000-0000-000045680000}"/>
    <cellStyle name="Normal 25 2 2 3 4 3 2" xfId="30772" xr:uid="{00000000-0005-0000-0000-000046680000}"/>
    <cellStyle name="Normal 25 2 2 3 4 4" xfId="23327" xr:uid="{00000000-0005-0000-0000-000047680000}"/>
    <cellStyle name="Normal 25 2 2 3 5" xfId="17715" xr:uid="{00000000-0005-0000-0000-000048680000}"/>
    <cellStyle name="Normal 25 2 2 3 5 2" xfId="30773" xr:uid="{00000000-0005-0000-0000-000049680000}"/>
    <cellStyle name="Normal 25 2 2 3 6" xfId="17716" xr:uid="{00000000-0005-0000-0000-00004A680000}"/>
    <cellStyle name="Normal 25 2 2 3 6 2" xfId="30774" xr:uid="{00000000-0005-0000-0000-00004B680000}"/>
    <cellStyle name="Normal 25 2 2 3 7" xfId="21171" xr:uid="{00000000-0005-0000-0000-00004C680000}"/>
    <cellStyle name="Normal 25 2 2 4" xfId="7047" xr:uid="{00000000-0005-0000-0000-00004D680000}"/>
    <cellStyle name="Normal 25 2 2 4 2" xfId="8927" xr:uid="{00000000-0005-0000-0000-00004E680000}"/>
    <cellStyle name="Normal 25 2 2 4 2 2" xfId="11306" xr:uid="{00000000-0005-0000-0000-00004F680000}"/>
    <cellStyle name="Normal 25 2 2 4 2 2 2" xfId="17717" xr:uid="{00000000-0005-0000-0000-000050680000}"/>
    <cellStyle name="Normal 25 2 2 4 2 2 2 2" xfId="30775" xr:uid="{00000000-0005-0000-0000-000051680000}"/>
    <cellStyle name="Normal 25 2 2 4 2 2 3" xfId="17718" xr:uid="{00000000-0005-0000-0000-000052680000}"/>
    <cellStyle name="Normal 25 2 2 4 2 2 3 2" xfId="30776" xr:uid="{00000000-0005-0000-0000-000053680000}"/>
    <cellStyle name="Normal 25 2 2 4 2 2 4" xfId="24676" xr:uid="{00000000-0005-0000-0000-000054680000}"/>
    <cellStyle name="Normal 25 2 2 4 2 3" xfId="17719" xr:uid="{00000000-0005-0000-0000-000055680000}"/>
    <cellStyle name="Normal 25 2 2 4 2 3 2" xfId="30777" xr:uid="{00000000-0005-0000-0000-000056680000}"/>
    <cellStyle name="Normal 25 2 2 4 2 4" xfId="17720" xr:uid="{00000000-0005-0000-0000-000057680000}"/>
    <cellStyle name="Normal 25 2 2 4 2 4 2" xfId="30778" xr:uid="{00000000-0005-0000-0000-000058680000}"/>
    <cellStyle name="Normal 25 2 2 4 2 5" xfId="22520" xr:uid="{00000000-0005-0000-0000-000059680000}"/>
    <cellStyle name="Normal 25 2 2 4 3" xfId="10228" xr:uid="{00000000-0005-0000-0000-00005A680000}"/>
    <cellStyle name="Normal 25 2 2 4 3 2" xfId="17721" xr:uid="{00000000-0005-0000-0000-00005B680000}"/>
    <cellStyle name="Normal 25 2 2 4 3 2 2" xfId="30779" xr:uid="{00000000-0005-0000-0000-00005C680000}"/>
    <cellStyle name="Normal 25 2 2 4 3 3" xfId="17722" xr:uid="{00000000-0005-0000-0000-00005D680000}"/>
    <cellStyle name="Normal 25 2 2 4 3 3 2" xfId="30780" xr:uid="{00000000-0005-0000-0000-00005E680000}"/>
    <cellStyle name="Normal 25 2 2 4 3 4" xfId="23598" xr:uid="{00000000-0005-0000-0000-00005F680000}"/>
    <cellStyle name="Normal 25 2 2 4 4" xfId="17723" xr:uid="{00000000-0005-0000-0000-000060680000}"/>
    <cellStyle name="Normal 25 2 2 4 4 2" xfId="30781" xr:uid="{00000000-0005-0000-0000-000061680000}"/>
    <cellStyle name="Normal 25 2 2 4 5" xfId="17724" xr:uid="{00000000-0005-0000-0000-000062680000}"/>
    <cellStyle name="Normal 25 2 2 4 5 2" xfId="30782" xr:uid="{00000000-0005-0000-0000-000063680000}"/>
    <cellStyle name="Normal 25 2 2 4 6" xfId="21442" xr:uid="{00000000-0005-0000-0000-000064680000}"/>
    <cellStyle name="Normal 25 2 2 5" xfId="8251" xr:uid="{00000000-0005-0000-0000-000065680000}"/>
    <cellStyle name="Normal 25 2 2 5 2" xfId="10766" xr:uid="{00000000-0005-0000-0000-000066680000}"/>
    <cellStyle name="Normal 25 2 2 5 2 2" xfId="17725" xr:uid="{00000000-0005-0000-0000-000067680000}"/>
    <cellStyle name="Normal 25 2 2 5 2 2 2" xfId="30783" xr:uid="{00000000-0005-0000-0000-000068680000}"/>
    <cellStyle name="Normal 25 2 2 5 2 3" xfId="17726" xr:uid="{00000000-0005-0000-0000-000069680000}"/>
    <cellStyle name="Normal 25 2 2 5 2 3 2" xfId="30784" xr:uid="{00000000-0005-0000-0000-00006A680000}"/>
    <cellStyle name="Normal 25 2 2 5 2 4" xfId="24136" xr:uid="{00000000-0005-0000-0000-00006B680000}"/>
    <cellStyle name="Normal 25 2 2 5 3" xfId="17727" xr:uid="{00000000-0005-0000-0000-00006C680000}"/>
    <cellStyle name="Normal 25 2 2 5 3 2" xfId="30785" xr:uid="{00000000-0005-0000-0000-00006D680000}"/>
    <cellStyle name="Normal 25 2 2 5 4" xfId="17728" xr:uid="{00000000-0005-0000-0000-00006E680000}"/>
    <cellStyle name="Normal 25 2 2 5 4 2" xfId="30786" xr:uid="{00000000-0005-0000-0000-00006F680000}"/>
    <cellStyle name="Normal 25 2 2 5 5" xfId="21980" xr:uid="{00000000-0005-0000-0000-000070680000}"/>
    <cellStyle name="Normal 25 2 2 6" xfId="9687" xr:uid="{00000000-0005-0000-0000-000071680000}"/>
    <cellStyle name="Normal 25 2 2 6 2" xfId="17729" xr:uid="{00000000-0005-0000-0000-000072680000}"/>
    <cellStyle name="Normal 25 2 2 6 2 2" xfId="30787" xr:uid="{00000000-0005-0000-0000-000073680000}"/>
    <cellStyle name="Normal 25 2 2 6 3" xfId="17730" xr:uid="{00000000-0005-0000-0000-000074680000}"/>
    <cellStyle name="Normal 25 2 2 6 3 2" xfId="30788" xr:uid="{00000000-0005-0000-0000-000075680000}"/>
    <cellStyle name="Normal 25 2 2 6 4" xfId="23058" xr:uid="{00000000-0005-0000-0000-000076680000}"/>
    <cellStyle name="Normal 25 2 2 7" xfId="17731" xr:uid="{00000000-0005-0000-0000-000077680000}"/>
    <cellStyle name="Normal 25 2 2 7 2" xfId="30789" xr:uid="{00000000-0005-0000-0000-000078680000}"/>
    <cellStyle name="Normal 25 2 2 8" xfId="17732" xr:uid="{00000000-0005-0000-0000-000079680000}"/>
    <cellStyle name="Normal 25 2 2 8 2" xfId="30790" xr:uid="{00000000-0005-0000-0000-00007A680000}"/>
    <cellStyle name="Normal 25 2 2 9" xfId="20901" xr:uid="{00000000-0005-0000-0000-00007B680000}"/>
    <cellStyle name="Normal 25 2 3" xfId="5443" xr:uid="{00000000-0005-0000-0000-00007C680000}"/>
    <cellStyle name="Normal 25 2 3 2" xfId="6712" xr:uid="{00000000-0005-0000-0000-00007D680000}"/>
    <cellStyle name="Normal 25 2 3 2 2" xfId="7399" xr:uid="{00000000-0005-0000-0000-00007E680000}"/>
    <cellStyle name="Normal 25 2 3 2 2 2" xfId="9278" xr:uid="{00000000-0005-0000-0000-00007F680000}"/>
    <cellStyle name="Normal 25 2 3 2 2 2 2" xfId="11657" xr:uid="{00000000-0005-0000-0000-000080680000}"/>
    <cellStyle name="Normal 25 2 3 2 2 2 2 2" xfId="17733" xr:uid="{00000000-0005-0000-0000-000081680000}"/>
    <cellStyle name="Normal 25 2 3 2 2 2 2 2 2" xfId="30791" xr:uid="{00000000-0005-0000-0000-000082680000}"/>
    <cellStyle name="Normal 25 2 3 2 2 2 2 3" xfId="17734" xr:uid="{00000000-0005-0000-0000-000083680000}"/>
    <cellStyle name="Normal 25 2 3 2 2 2 2 3 2" xfId="30792" xr:uid="{00000000-0005-0000-0000-000084680000}"/>
    <cellStyle name="Normal 25 2 3 2 2 2 2 4" xfId="25027" xr:uid="{00000000-0005-0000-0000-000085680000}"/>
    <cellStyle name="Normal 25 2 3 2 2 2 3" xfId="17735" xr:uid="{00000000-0005-0000-0000-000086680000}"/>
    <cellStyle name="Normal 25 2 3 2 2 2 3 2" xfId="30793" xr:uid="{00000000-0005-0000-0000-000087680000}"/>
    <cellStyle name="Normal 25 2 3 2 2 2 4" xfId="17736" xr:uid="{00000000-0005-0000-0000-000088680000}"/>
    <cellStyle name="Normal 25 2 3 2 2 2 4 2" xfId="30794" xr:uid="{00000000-0005-0000-0000-000089680000}"/>
    <cellStyle name="Normal 25 2 3 2 2 2 5" xfId="22871" xr:uid="{00000000-0005-0000-0000-00008A680000}"/>
    <cellStyle name="Normal 25 2 3 2 2 3" xfId="10579" xr:uid="{00000000-0005-0000-0000-00008B680000}"/>
    <cellStyle name="Normal 25 2 3 2 2 3 2" xfId="17737" xr:uid="{00000000-0005-0000-0000-00008C680000}"/>
    <cellStyle name="Normal 25 2 3 2 2 3 2 2" xfId="30795" xr:uid="{00000000-0005-0000-0000-00008D680000}"/>
    <cellStyle name="Normal 25 2 3 2 2 3 3" xfId="17738" xr:uid="{00000000-0005-0000-0000-00008E680000}"/>
    <cellStyle name="Normal 25 2 3 2 2 3 3 2" xfId="30796" xr:uid="{00000000-0005-0000-0000-00008F680000}"/>
    <cellStyle name="Normal 25 2 3 2 2 3 4" xfId="23949" xr:uid="{00000000-0005-0000-0000-000090680000}"/>
    <cellStyle name="Normal 25 2 3 2 2 4" xfId="17739" xr:uid="{00000000-0005-0000-0000-000091680000}"/>
    <cellStyle name="Normal 25 2 3 2 2 4 2" xfId="30797" xr:uid="{00000000-0005-0000-0000-000092680000}"/>
    <cellStyle name="Normal 25 2 3 2 2 5" xfId="17740" xr:uid="{00000000-0005-0000-0000-000093680000}"/>
    <cellStyle name="Normal 25 2 3 2 2 5 2" xfId="30798" xr:uid="{00000000-0005-0000-0000-000094680000}"/>
    <cellStyle name="Normal 25 2 3 2 2 6" xfId="21793" xr:uid="{00000000-0005-0000-0000-000095680000}"/>
    <cellStyle name="Normal 25 2 3 2 3" xfId="8732" xr:uid="{00000000-0005-0000-0000-000096680000}"/>
    <cellStyle name="Normal 25 2 3 2 3 2" xfId="11117" xr:uid="{00000000-0005-0000-0000-000097680000}"/>
    <cellStyle name="Normal 25 2 3 2 3 2 2" xfId="17741" xr:uid="{00000000-0005-0000-0000-000098680000}"/>
    <cellStyle name="Normal 25 2 3 2 3 2 2 2" xfId="30799" xr:uid="{00000000-0005-0000-0000-000099680000}"/>
    <cellStyle name="Normal 25 2 3 2 3 2 3" xfId="17742" xr:uid="{00000000-0005-0000-0000-00009A680000}"/>
    <cellStyle name="Normal 25 2 3 2 3 2 3 2" xfId="30800" xr:uid="{00000000-0005-0000-0000-00009B680000}"/>
    <cellStyle name="Normal 25 2 3 2 3 2 4" xfId="24487" xr:uid="{00000000-0005-0000-0000-00009C680000}"/>
    <cellStyle name="Normal 25 2 3 2 3 3" xfId="17743" xr:uid="{00000000-0005-0000-0000-00009D680000}"/>
    <cellStyle name="Normal 25 2 3 2 3 3 2" xfId="30801" xr:uid="{00000000-0005-0000-0000-00009E680000}"/>
    <cellStyle name="Normal 25 2 3 2 3 4" xfId="17744" xr:uid="{00000000-0005-0000-0000-00009F680000}"/>
    <cellStyle name="Normal 25 2 3 2 3 4 2" xfId="30802" xr:uid="{00000000-0005-0000-0000-0000A0680000}"/>
    <cellStyle name="Normal 25 2 3 2 3 5" xfId="22331" xr:uid="{00000000-0005-0000-0000-0000A1680000}"/>
    <cellStyle name="Normal 25 2 3 2 4" xfId="10039" xr:uid="{00000000-0005-0000-0000-0000A2680000}"/>
    <cellStyle name="Normal 25 2 3 2 4 2" xfId="17745" xr:uid="{00000000-0005-0000-0000-0000A3680000}"/>
    <cellStyle name="Normal 25 2 3 2 4 2 2" xfId="30803" xr:uid="{00000000-0005-0000-0000-0000A4680000}"/>
    <cellStyle name="Normal 25 2 3 2 4 3" xfId="17746" xr:uid="{00000000-0005-0000-0000-0000A5680000}"/>
    <cellStyle name="Normal 25 2 3 2 4 3 2" xfId="30804" xr:uid="{00000000-0005-0000-0000-0000A6680000}"/>
    <cellStyle name="Normal 25 2 3 2 4 4" xfId="23409" xr:uid="{00000000-0005-0000-0000-0000A7680000}"/>
    <cellStyle name="Normal 25 2 3 2 5" xfId="17747" xr:uid="{00000000-0005-0000-0000-0000A8680000}"/>
    <cellStyle name="Normal 25 2 3 2 5 2" xfId="30805" xr:uid="{00000000-0005-0000-0000-0000A9680000}"/>
    <cellStyle name="Normal 25 2 3 2 6" xfId="17748" xr:uid="{00000000-0005-0000-0000-0000AA680000}"/>
    <cellStyle name="Normal 25 2 3 2 6 2" xfId="30806" xr:uid="{00000000-0005-0000-0000-0000AB680000}"/>
    <cellStyle name="Normal 25 2 3 2 7" xfId="21253" xr:uid="{00000000-0005-0000-0000-0000AC680000}"/>
    <cellStyle name="Normal 25 2 3 3" xfId="7130" xr:uid="{00000000-0005-0000-0000-0000AD680000}"/>
    <cellStyle name="Normal 25 2 3 3 2" xfId="9009" xr:uid="{00000000-0005-0000-0000-0000AE680000}"/>
    <cellStyle name="Normal 25 2 3 3 2 2" xfId="11388" xr:uid="{00000000-0005-0000-0000-0000AF680000}"/>
    <cellStyle name="Normal 25 2 3 3 2 2 2" xfId="17749" xr:uid="{00000000-0005-0000-0000-0000B0680000}"/>
    <cellStyle name="Normal 25 2 3 3 2 2 2 2" xfId="30807" xr:uid="{00000000-0005-0000-0000-0000B1680000}"/>
    <cellStyle name="Normal 25 2 3 3 2 2 3" xfId="17750" xr:uid="{00000000-0005-0000-0000-0000B2680000}"/>
    <cellStyle name="Normal 25 2 3 3 2 2 3 2" xfId="30808" xr:uid="{00000000-0005-0000-0000-0000B3680000}"/>
    <cellStyle name="Normal 25 2 3 3 2 2 4" xfId="24758" xr:uid="{00000000-0005-0000-0000-0000B4680000}"/>
    <cellStyle name="Normal 25 2 3 3 2 3" xfId="17751" xr:uid="{00000000-0005-0000-0000-0000B5680000}"/>
    <cellStyle name="Normal 25 2 3 3 2 3 2" xfId="30809" xr:uid="{00000000-0005-0000-0000-0000B6680000}"/>
    <cellStyle name="Normal 25 2 3 3 2 4" xfId="17752" xr:uid="{00000000-0005-0000-0000-0000B7680000}"/>
    <cellStyle name="Normal 25 2 3 3 2 4 2" xfId="30810" xr:uid="{00000000-0005-0000-0000-0000B8680000}"/>
    <cellStyle name="Normal 25 2 3 3 2 5" xfId="22602" xr:uid="{00000000-0005-0000-0000-0000B9680000}"/>
    <cellStyle name="Normal 25 2 3 3 3" xfId="10310" xr:uid="{00000000-0005-0000-0000-0000BA680000}"/>
    <cellStyle name="Normal 25 2 3 3 3 2" xfId="17753" xr:uid="{00000000-0005-0000-0000-0000BB680000}"/>
    <cellStyle name="Normal 25 2 3 3 3 2 2" xfId="30811" xr:uid="{00000000-0005-0000-0000-0000BC680000}"/>
    <cellStyle name="Normal 25 2 3 3 3 3" xfId="17754" xr:uid="{00000000-0005-0000-0000-0000BD680000}"/>
    <cellStyle name="Normal 25 2 3 3 3 3 2" xfId="30812" xr:uid="{00000000-0005-0000-0000-0000BE680000}"/>
    <cellStyle name="Normal 25 2 3 3 3 4" xfId="23680" xr:uid="{00000000-0005-0000-0000-0000BF680000}"/>
    <cellStyle name="Normal 25 2 3 3 4" xfId="17755" xr:uid="{00000000-0005-0000-0000-0000C0680000}"/>
    <cellStyle name="Normal 25 2 3 3 4 2" xfId="30813" xr:uid="{00000000-0005-0000-0000-0000C1680000}"/>
    <cellStyle name="Normal 25 2 3 3 5" xfId="17756" xr:uid="{00000000-0005-0000-0000-0000C2680000}"/>
    <cellStyle name="Normal 25 2 3 3 5 2" xfId="30814" xr:uid="{00000000-0005-0000-0000-0000C3680000}"/>
    <cellStyle name="Normal 25 2 3 3 6" xfId="21524" xr:uid="{00000000-0005-0000-0000-0000C4680000}"/>
    <cellStyle name="Normal 25 2 3 4" xfId="8401" xr:uid="{00000000-0005-0000-0000-0000C5680000}"/>
    <cellStyle name="Normal 25 2 3 4 2" xfId="10848" xr:uid="{00000000-0005-0000-0000-0000C6680000}"/>
    <cellStyle name="Normal 25 2 3 4 2 2" xfId="17757" xr:uid="{00000000-0005-0000-0000-0000C7680000}"/>
    <cellStyle name="Normal 25 2 3 4 2 2 2" xfId="30815" xr:uid="{00000000-0005-0000-0000-0000C8680000}"/>
    <cellStyle name="Normal 25 2 3 4 2 3" xfId="17758" xr:uid="{00000000-0005-0000-0000-0000C9680000}"/>
    <cellStyle name="Normal 25 2 3 4 2 3 2" xfId="30816" xr:uid="{00000000-0005-0000-0000-0000CA680000}"/>
    <cellStyle name="Normal 25 2 3 4 2 4" xfId="24218" xr:uid="{00000000-0005-0000-0000-0000CB680000}"/>
    <cellStyle name="Normal 25 2 3 4 3" xfId="17759" xr:uid="{00000000-0005-0000-0000-0000CC680000}"/>
    <cellStyle name="Normal 25 2 3 4 3 2" xfId="30817" xr:uid="{00000000-0005-0000-0000-0000CD680000}"/>
    <cellStyle name="Normal 25 2 3 4 4" xfId="17760" xr:uid="{00000000-0005-0000-0000-0000CE680000}"/>
    <cellStyle name="Normal 25 2 3 4 4 2" xfId="30818" xr:uid="{00000000-0005-0000-0000-0000CF680000}"/>
    <cellStyle name="Normal 25 2 3 4 5" xfId="22062" xr:uid="{00000000-0005-0000-0000-0000D0680000}"/>
    <cellStyle name="Normal 25 2 3 5" xfId="9770" xr:uid="{00000000-0005-0000-0000-0000D1680000}"/>
    <cellStyle name="Normal 25 2 3 5 2" xfId="17761" xr:uid="{00000000-0005-0000-0000-0000D2680000}"/>
    <cellStyle name="Normal 25 2 3 5 2 2" xfId="30819" xr:uid="{00000000-0005-0000-0000-0000D3680000}"/>
    <cellStyle name="Normal 25 2 3 5 3" xfId="17762" xr:uid="{00000000-0005-0000-0000-0000D4680000}"/>
    <cellStyle name="Normal 25 2 3 5 3 2" xfId="30820" xr:uid="{00000000-0005-0000-0000-0000D5680000}"/>
    <cellStyle name="Normal 25 2 3 5 4" xfId="23140" xr:uid="{00000000-0005-0000-0000-0000D6680000}"/>
    <cellStyle name="Normal 25 2 3 6" xfId="17763" xr:uid="{00000000-0005-0000-0000-0000D7680000}"/>
    <cellStyle name="Normal 25 2 3 6 2" xfId="30821" xr:uid="{00000000-0005-0000-0000-0000D8680000}"/>
    <cellStyle name="Normal 25 2 3 7" xfId="17764" xr:uid="{00000000-0005-0000-0000-0000D9680000}"/>
    <cellStyle name="Normal 25 2 3 7 2" xfId="30822" xr:uid="{00000000-0005-0000-0000-0000DA680000}"/>
    <cellStyle name="Normal 25 2 3 8" xfId="20984" xr:uid="{00000000-0005-0000-0000-0000DB680000}"/>
    <cellStyle name="Normal 25 2 4" xfId="6561" xr:uid="{00000000-0005-0000-0000-0000DC680000}"/>
    <cellStyle name="Normal 25 2 4 2" xfId="7262" xr:uid="{00000000-0005-0000-0000-0000DD680000}"/>
    <cellStyle name="Normal 25 2 4 2 2" xfId="9141" xr:uid="{00000000-0005-0000-0000-0000DE680000}"/>
    <cellStyle name="Normal 25 2 4 2 2 2" xfId="11520" xr:uid="{00000000-0005-0000-0000-0000DF680000}"/>
    <cellStyle name="Normal 25 2 4 2 2 2 2" xfId="17765" xr:uid="{00000000-0005-0000-0000-0000E0680000}"/>
    <cellStyle name="Normal 25 2 4 2 2 2 2 2" xfId="30823" xr:uid="{00000000-0005-0000-0000-0000E1680000}"/>
    <cellStyle name="Normal 25 2 4 2 2 2 3" xfId="17766" xr:uid="{00000000-0005-0000-0000-0000E2680000}"/>
    <cellStyle name="Normal 25 2 4 2 2 2 3 2" xfId="30824" xr:uid="{00000000-0005-0000-0000-0000E3680000}"/>
    <cellStyle name="Normal 25 2 4 2 2 2 4" xfId="24890" xr:uid="{00000000-0005-0000-0000-0000E4680000}"/>
    <cellStyle name="Normal 25 2 4 2 2 3" xfId="17767" xr:uid="{00000000-0005-0000-0000-0000E5680000}"/>
    <cellStyle name="Normal 25 2 4 2 2 3 2" xfId="30825" xr:uid="{00000000-0005-0000-0000-0000E6680000}"/>
    <cellStyle name="Normal 25 2 4 2 2 4" xfId="17768" xr:uid="{00000000-0005-0000-0000-0000E7680000}"/>
    <cellStyle name="Normal 25 2 4 2 2 4 2" xfId="30826" xr:uid="{00000000-0005-0000-0000-0000E8680000}"/>
    <cellStyle name="Normal 25 2 4 2 2 5" xfId="22734" xr:uid="{00000000-0005-0000-0000-0000E9680000}"/>
    <cellStyle name="Normal 25 2 4 2 3" xfId="10442" xr:uid="{00000000-0005-0000-0000-0000EA680000}"/>
    <cellStyle name="Normal 25 2 4 2 3 2" xfId="17769" xr:uid="{00000000-0005-0000-0000-0000EB680000}"/>
    <cellStyle name="Normal 25 2 4 2 3 2 2" xfId="30827" xr:uid="{00000000-0005-0000-0000-0000EC680000}"/>
    <cellStyle name="Normal 25 2 4 2 3 3" xfId="17770" xr:uid="{00000000-0005-0000-0000-0000ED680000}"/>
    <cellStyle name="Normal 25 2 4 2 3 3 2" xfId="30828" xr:uid="{00000000-0005-0000-0000-0000EE680000}"/>
    <cellStyle name="Normal 25 2 4 2 3 4" xfId="23812" xr:uid="{00000000-0005-0000-0000-0000EF680000}"/>
    <cellStyle name="Normal 25 2 4 2 4" xfId="17771" xr:uid="{00000000-0005-0000-0000-0000F0680000}"/>
    <cellStyle name="Normal 25 2 4 2 4 2" xfId="30829" xr:uid="{00000000-0005-0000-0000-0000F1680000}"/>
    <cellStyle name="Normal 25 2 4 2 5" xfId="17772" xr:uid="{00000000-0005-0000-0000-0000F2680000}"/>
    <cellStyle name="Normal 25 2 4 2 5 2" xfId="30830" xr:uid="{00000000-0005-0000-0000-0000F3680000}"/>
    <cellStyle name="Normal 25 2 4 2 6" xfId="21656" xr:uid="{00000000-0005-0000-0000-0000F4680000}"/>
    <cellStyle name="Normal 25 2 4 3" xfId="8594" xr:uid="{00000000-0005-0000-0000-0000F5680000}"/>
    <cellStyle name="Normal 25 2 4 3 2" xfId="10980" xr:uid="{00000000-0005-0000-0000-0000F6680000}"/>
    <cellStyle name="Normal 25 2 4 3 2 2" xfId="17773" xr:uid="{00000000-0005-0000-0000-0000F7680000}"/>
    <cellStyle name="Normal 25 2 4 3 2 2 2" xfId="30831" xr:uid="{00000000-0005-0000-0000-0000F8680000}"/>
    <cellStyle name="Normal 25 2 4 3 2 3" xfId="17774" xr:uid="{00000000-0005-0000-0000-0000F9680000}"/>
    <cellStyle name="Normal 25 2 4 3 2 3 2" xfId="30832" xr:uid="{00000000-0005-0000-0000-0000FA680000}"/>
    <cellStyle name="Normal 25 2 4 3 2 4" xfId="24350" xr:uid="{00000000-0005-0000-0000-0000FB680000}"/>
    <cellStyle name="Normal 25 2 4 3 3" xfId="17775" xr:uid="{00000000-0005-0000-0000-0000FC680000}"/>
    <cellStyle name="Normal 25 2 4 3 3 2" xfId="30833" xr:uid="{00000000-0005-0000-0000-0000FD680000}"/>
    <cellStyle name="Normal 25 2 4 3 4" xfId="17776" xr:uid="{00000000-0005-0000-0000-0000FE680000}"/>
    <cellStyle name="Normal 25 2 4 3 4 2" xfId="30834" xr:uid="{00000000-0005-0000-0000-0000FF680000}"/>
    <cellStyle name="Normal 25 2 4 3 5" xfId="22194" xr:uid="{00000000-0005-0000-0000-000000690000}"/>
    <cellStyle name="Normal 25 2 4 4" xfId="9902" xr:uid="{00000000-0005-0000-0000-000001690000}"/>
    <cellStyle name="Normal 25 2 4 4 2" xfId="17777" xr:uid="{00000000-0005-0000-0000-000002690000}"/>
    <cellStyle name="Normal 25 2 4 4 2 2" xfId="30835" xr:uid="{00000000-0005-0000-0000-000003690000}"/>
    <cellStyle name="Normal 25 2 4 4 3" xfId="17778" xr:uid="{00000000-0005-0000-0000-000004690000}"/>
    <cellStyle name="Normal 25 2 4 4 3 2" xfId="30836" xr:uid="{00000000-0005-0000-0000-000005690000}"/>
    <cellStyle name="Normal 25 2 4 4 4" xfId="23272" xr:uid="{00000000-0005-0000-0000-000006690000}"/>
    <cellStyle name="Normal 25 2 4 5" xfId="17779" xr:uid="{00000000-0005-0000-0000-000007690000}"/>
    <cellStyle name="Normal 25 2 4 5 2" xfId="30837" xr:uid="{00000000-0005-0000-0000-000008690000}"/>
    <cellStyle name="Normal 25 2 4 6" xfId="17780" xr:uid="{00000000-0005-0000-0000-000009690000}"/>
    <cellStyle name="Normal 25 2 4 6 2" xfId="30838" xr:uid="{00000000-0005-0000-0000-00000A690000}"/>
    <cellStyle name="Normal 25 2 4 7" xfId="21116" xr:uid="{00000000-0005-0000-0000-00000B690000}"/>
    <cellStyle name="Normal 25 2 5" xfId="6992" xr:uid="{00000000-0005-0000-0000-00000C690000}"/>
    <cellStyle name="Normal 25 2 5 2" xfId="8872" xr:uid="{00000000-0005-0000-0000-00000D690000}"/>
    <cellStyle name="Normal 25 2 5 2 2" xfId="11251" xr:uid="{00000000-0005-0000-0000-00000E690000}"/>
    <cellStyle name="Normal 25 2 5 2 2 2" xfId="17781" xr:uid="{00000000-0005-0000-0000-00000F690000}"/>
    <cellStyle name="Normal 25 2 5 2 2 2 2" xfId="30839" xr:uid="{00000000-0005-0000-0000-000010690000}"/>
    <cellStyle name="Normal 25 2 5 2 2 3" xfId="17782" xr:uid="{00000000-0005-0000-0000-000011690000}"/>
    <cellStyle name="Normal 25 2 5 2 2 3 2" xfId="30840" xr:uid="{00000000-0005-0000-0000-000012690000}"/>
    <cellStyle name="Normal 25 2 5 2 2 4" xfId="24621" xr:uid="{00000000-0005-0000-0000-000013690000}"/>
    <cellStyle name="Normal 25 2 5 2 3" xfId="17783" xr:uid="{00000000-0005-0000-0000-000014690000}"/>
    <cellStyle name="Normal 25 2 5 2 3 2" xfId="30841" xr:uid="{00000000-0005-0000-0000-000015690000}"/>
    <cellStyle name="Normal 25 2 5 2 4" xfId="17784" xr:uid="{00000000-0005-0000-0000-000016690000}"/>
    <cellStyle name="Normal 25 2 5 2 4 2" xfId="30842" xr:uid="{00000000-0005-0000-0000-000017690000}"/>
    <cellStyle name="Normal 25 2 5 2 5" xfId="22465" xr:uid="{00000000-0005-0000-0000-000018690000}"/>
    <cellStyle name="Normal 25 2 5 3" xfId="10173" xr:uid="{00000000-0005-0000-0000-000019690000}"/>
    <cellStyle name="Normal 25 2 5 3 2" xfId="17785" xr:uid="{00000000-0005-0000-0000-00001A690000}"/>
    <cellStyle name="Normal 25 2 5 3 2 2" xfId="30843" xr:uid="{00000000-0005-0000-0000-00001B690000}"/>
    <cellStyle name="Normal 25 2 5 3 3" xfId="17786" xr:uid="{00000000-0005-0000-0000-00001C690000}"/>
    <cellStyle name="Normal 25 2 5 3 3 2" xfId="30844" xr:uid="{00000000-0005-0000-0000-00001D690000}"/>
    <cellStyle name="Normal 25 2 5 3 4" xfId="23543" xr:uid="{00000000-0005-0000-0000-00001E690000}"/>
    <cellStyle name="Normal 25 2 5 4" xfId="17787" xr:uid="{00000000-0005-0000-0000-00001F690000}"/>
    <cellStyle name="Normal 25 2 5 4 2" xfId="30845" xr:uid="{00000000-0005-0000-0000-000020690000}"/>
    <cellStyle name="Normal 25 2 5 5" xfId="17788" xr:uid="{00000000-0005-0000-0000-000021690000}"/>
    <cellStyle name="Normal 25 2 5 5 2" xfId="30846" xr:uid="{00000000-0005-0000-0000-000022690000}"/>
    <cellStyle name="Normal 25 2 5 6" xfId="21387" xr:uid="{00000000-0005-0000-0000-000023690000}"/>
    <cellStyle name="Normal 25 2 6" xfId="8172" xr:uid="{00000000-0005-0000-0000-000024690000}"/>
    <cellStyle name="Normal 25 2 6 2" xfId="10711" xr:uid="{00000000-0005-0000-0000-000025690000}"/>
    <cellStyle name="Normal 25 2 6 2 2" xfId="17789" xr:uid="{00000000-0005-0000-0000-000026690000}"/>
    <cellStyle name="Normal 25 2 6 2 2 2" xfId="30847" xr:uid="{00000000-0005-0000-0000-000027690000}"/>
    <cellStyle name="Normal 25 2 6 2 3" xfId="17790" xr:uid="{00000000-0005-0000-0000-000028690000}"/>
    <cellStyle name="Normal 25 2 6 2 3 2" xfId="30848" xr:uid="{00000000-0005-0000-0000-000029690000}"/>
    <cellStyle name="Normal 25 2 6 2 4" xfId="24081" xr:uid="{00000000-0005-0000-0000-00002A690000}"/>
    <cellStyle name="Normal 25 2 6 3" xfId="17791" xr:uid="{00000000-0005-0000-0000-00002B690000}"/>
    <cellStyle name="Normal 25 2 6 3 2" xfId="30849" xr:uid="{00000000-0005-0000-0000-00002C690000}"/>
    <cellStyle name="Normal 25 2 6 4" xfId="17792" xr:uid="{00000000-0005-0000-0000-00002D690000}"/>
    <cellStyle name="Normal 25 2 6 4 2" xfId="30850" xr:uid="{00000000-0005-0000-0000-00002E690000}"/>
    <cellStyle name="Normal 25 2 6 5" xfId="21925" xr:uid="{00000000-0005-0000-0000-00002F690000}"/>
    <cellStyle name="Normal 25 2 7" xfId="9632" xr:uid="{00000000-0005-0000-0000-000030690000}"/>
    <cellStyle name="Normal 25 2 7 2" xfId="17793" xr:uid="{00000000-0005-0000-0000-000031690000}"/>
    <cellStyle name="Normal 25 2 7 2 2" xfId="30851" xr:uid="{00000000-0005-0000-0000-000032690000}"/>
    <cellStyle name="Normal 25 2 7 3" xfId="17794" xr:uid="{00000000-0005-0000-0000-000033690000}"/>
    <cellStyle name="Normal 25 2 7 3 2" xfId="30852" xr:uid="{00000000-0005-0000-0000-000034690000}"/>
    <cellStyle name="Normal 25 2 7 4" xfId="23003" xr:uid="{00000000-0005-0000-0000-000035690000}"/>
    <cellStyle name="Normal 25 2 8" xfId="17795" xr:uid="{00000000-0005-0000-0000-000036690000}"/>
    <cellStyle name="Normal 25 2 8 2" xfId="30853" xr:uid="{00000000-0005-0000-0000-000037690000}"/>
    <cellStyle name="Normal 25 2 9" xfId="17796" xr:uid="{00000000-0005-0000-0000-000038690000}"/>
    <cellStyle name="Normal 25 2 9 2" xfId="30854" xr:uid="{00000000-0005-0000-0000-000039690000}"/>
    <cellStyle name="Normal 25 3" xfId="3937" xr:uid="{00000000-0005-0000-0000-00003A690000}"/>
    <cellStyle name="Normal 25 3 10" xfId="20861" xr:uid="{00000000-0005-0000-0000-00003B690000}"/>
    <cellStyle name="Normal 25 3 2" xfId="4099" xr:uid="{00000000-0005-0000-0000-00003C690000}"/>
    <cellStyle name="Normal 25 3 2 2" xfId="5635" xr:uid="{00000000-0005-0000-0000-00003D690000}"/>
    <cellStyle name="Normal 25 3 2 2 2" xfId="6787" xr:uid="{00000000-0005-0000-0000-00003E690000}"/>
    <cellStyle name="Normal 25 3 2 2 2 2" xfId="7474" xr:uid="{00000000-0005-0000-0000-00003F690000}"/>
    <cellStyle name="Normal 25 3 2 2 2 2 2" xfId="9353" xr:uid="{00000000-0005-0000-0000-000040690000}"/>
    <cellStyle name="Normal 25 3 2 2 2 2 2 2" xfId="11732" xr:uid="{00000000-0005-0000-0000-000041690000}"/>
    <cellStyle name="Normal 25 3 2 2 2 2 2 2 2" xfId="17797" xr:uid="{00000000-0005-0000-0000-000042690000}"/>
    <cellStyle name="Normal 25 3 2 2 2 2 2 2 2 2" xfId="30855" xr:uid="{00000000-0005-0000-0000-000043690000}"/>
    <cellStyle name="Normal 25 3 2 2 2 2 2 2 3" xfId="17798" xr:uid="{00000000-0005-0000-0000-000044690000}"/>
    <cellStyle name="Normal 25 3 2 2 2 2 2 2 3 2" xfId="30856" xr:uid="{00000000-0005-0000-0000-000045690000}"/>
    <cellStyle name="Normal 25 3 2 2 2 2 2 2 4" xfId="25102" xr:uid="{00000000-0005-0000-0000-000046690000}"/>
    <cellStyle name="Normal 25 3 2 2 2 2 2 3" xfId="17799" xr:uid="{00000000-0005-0000-0000-000047690000}"/>
    <cellStyle name="Normal 25 3 2 2 2 2 2 3 2" xfId="30857" xr:uid="{00000000-0005-0000-0000-000048690000}"/>
    <cellStyle name="Normal 25 3 2 2 2 2 2 4" xfId="17800" xr:uid="{00000000-0005-0000-0000-000049690000}"/>
    <cellStyle name="Normal 25 3 2 2 2 2 2 4 2" xfId="30858" xr:uid="{00000000-0005-0000-0000-00004A690000}"/>
    <cellStyle name="Normal 25 3 2 2 2 2 2 5" xfId="22946" xr:uid="{00000000-0005-0000-0000-00004B690000}"/>
    <cellStyle name="Normal 25 3 2 2 2 2 3" xfId="10654" xr:uid="{00000000-0005-0000-0000-00004C690000}"/>
    <cellStyle name="Normal 25 3 2 2 2 2 3 2" xfId="17801" xr:uid="{00000000-0005-0000-0000-00004D690000}"/>
    <cellStyle name="Normal 25 3 2 2 2 2 3 2 2" xfId="30859" xr:uid="{00000000-0005-0000-0000-00004E690000}"/>
    <cellStyle name="Normal 25 3 2 2 2 2 3 3" xfId="17802" xr:uid="{00000000-0005-0000-0000-00004F690000}"/>
    <cellStyle name="Normal 25 3 2 2 2 2 3 3 2" xfId="30860" xr:uid="{00000000-0005-0000-0000-000050690000}"/>
    <cellStyle name="Normal 25 3 2 2 2 2 3 4" xfId="24024" xr:uid="{00000000-0005-0000-0000-000051690000}"/>
    <cellStyle name="Normal 25 3 2 2 2 2 4" xfId="17803" xr:uid="{00000000-0005-0000-0000-000052690000}"/>
    <cellStyle name="Normal 25 3 2 2 2 2 4 2" xfId="30861" xr:uid="{00000000-0005-0000-0000-000053690000}"/>
    <cellStyle name="Normal 25 3 2 2 2 2 5" xfId="17804" xr:uid="{00000000-0005-0000-0000-000054690000}"/>
    <cellStyle name="Normal 25 3 2 2 2 2 5 2" xfId="30862" xr:uid="{00000000-0005-0000-0000-000055690000}"/>
    <cellStyle name="Normal 25 3 2 2 2 2 6" xfId="21868" xr:uid="{00000000-0005-0000-0000-000056690000}"/>
    <cellStyle name="Normal 25 3 2 2 2 3" xfId="8807" xr:uid="{00000000-0005-0000-0000-000057690000}"/>
    <cellStyle name="Normal 25 3 2 2 2 3 2" xfId="11192" xr:uid="{00000000-0005-0000-0000-000058690000}"/>
    <cellStyle name="Normal 25 3 2 2 2 3 2 2" xfId="17805" xr:uid="{00000000-0005-0000-0000-000059690000}"/>
    <cellStyle name="Normal 25 3 2 2 2 3 2 2 2" xfId="30863" xr:uid="{00000000-0005-0000-0000-00005A690000}"/>
    <cellStyle name="Normal 25 3 2 2 2 3 2 3" xfId="17806" xr:uid="{00000000-0005-0000-0000-00005B690000}"/>
    <cellStyle name="Normal 25 3 2 2 2 3 2 3 2" xfId="30864" xr:uid="{00000000-0005-0000-0000-00005C690000}"/>
    <cellStyle name="Normal 25 3 2 2 2 3 2 4" xfId="24562" xr:uid="{00000000-0005-0000-0000-00005D690000}"/>
    <cellStyle name="Normal 25 3 2 2 2 3 3" xfId="17807" xr:uid="{00000000-0005-0000-0000-00005E690000}"/>
    <cellStyle name="Normal 25 3 2 2 2 3 3 2" xfId="30865" xr:uid="{00000000-0005-0000-0000-00005F690000}"/>
    <cellStyle name="Normal 25 3 2 2 2 3 4" xfId="17808" xr:uid="{00000000-0005-0000-0000-000060690000}"/>
    <cellStyle name="Normal 25 3 2 2 2 3 4 2" xfId="30866" xr:uid="{00000000-0005-0000-0000-000061690000}"/>
    <cellStyle name="Normal 25 3 2 2 2 3 5" xfId="22406" xr:uid="{00000000-0005-0000-0000-000062690000}"/>
    <cellStyle name="Normal 25 3 2 2 2 4" xfId="10114" xr:uid="{00000000-0005-0000-0000-000063690000}"/>
    <cellStyle name="Normal 25 3 2 2 2 4 2" xfId="17809" xr:uid="{00000000-0005-0000-0000-000064690000}"/>
    <cellStyle name="Normal 25 3 2 2 2 4 2 2" xfId="30867" xr:uid="{00000000-0005-0000-0000-000065690000}"/>
    <cellStyle name="Normal 25 3 2 2 2 4 3" xfId="17810" xr:uid="{00000000-0005-0000-0000-000066690000}"/>
    <cellStyle name="Normal 25 3 2 2 2 4 3 2" xfId="30868" xr:uid="{00000000-0005-0000-0000-000067690000}"/>
    <cellStyle name="Normal 25 3 2 2 2 4 4" xfId="23484" xr:uid="{00000000-0005-0000-0000-000068690000}"/>
    <cellStyle name="Normal 25 3 2 2 2 5" xfId="17811" xr:uid="{00000000-0005-0000-0000-000069690000}"/>
    <cellStyle name="Normal 25 3 2 2 2 5 2" xfId="30869" xr:uid="{00000000-0005-0000-0000-00006A690000}"/>
    <cellStyle name="Normal 25 3 2 2 2 6" xfId="17812" xr:uid="{00000000-0005-0000-0000-00006B690000}"/>
    <cellStyle name="Normal 25 3 2 2 2 6 2" xfId="30870" xr:uid="{00000000-0005-0000-0000-00006C690000}"/>
    <cellStyle name="Normal 25 3 2 2 2 7" xfId="21328" xr:uid="{00000000-0005-0000-0000-00006D690000}"/>
    <cellStyle name="Normal 25 3 2 2 3" xfId="7205" xr:uid="{00000000-0005-0000-0000-00006E690000}"/>
    <cellStyle name="Normal 25 3 2 2 3 2" xfId="9084" xr:uid="{00000000-0005-0000-0000-00006F690000}"/>
    <cellStyle name="Normal 25 3 2 2 3 2 2" xfId="11463" xr:uid="{00000000-0005-0000-0000-000070690000}"/>
    <cellStyle name="Normal 25 3 2 2 3 2 2 2" xfId="17813" xr:uid="{00000000-0005-0000-0000-000071690000}"/>
    <cellStyle name="Normal 25 3 2 2 3 2 2 2 2" xfId="30871" xr:uid="{00000000-0005-0000-0000-000072690000}"/>
    <cellStyle name="Normal 25 3 2 2 3 2 2 3" xfId="17814" xr:uid="{00000000-0005-0000-0000-000073690000}"/>
    <cellStyle name="Normal 25 3 2 2 3 2 2 3 2" xfId="30872" xr:uid="{00000000-0005-0000-0000-000074690000}"/>
    <cellStyle name="Normal 25 3 2 2 3 2 2 4" xfId="24833" xr:uid="{00000000-0005-0000-0000-000075690000}"/>
    <cellStyle name="Normal 25 3 2 2 3 2 3" xfId="17815" xr:uid="{00000000-0005-0000-0000-000076690000}"/>
    <cellStyle name="Normal 25 3 2 2 3 2 3 2" xfId="30873" xr:uid="{00000000-0005-0000-0000-000077690000}"/>
    <cellStyle name="Normal 25 3 2 2 3 2 4" xfId="17816" xr:uid="{00000000-0005-0000-0000-000078690000}"/>
    <cellStyle name="Normal 25 3 2 2 3 2 4 2" xfId="30874" xr:uid="{00000000-0005-0000-0000-000079690000}"/>
    <cellStyle name="Normal 25 3 2 2 3 2 5" xfId="22677" xr:uid="{00000000-0005-0000-0000-00007A690000}"/>
    <cellStyle name="Normal 25 3 2 2 3 3" xfId="10385" xr:uid="{00000000-0005-0000-0000-00007B690000}"/>
    <cellStyle name="Normal 25 3 2 2 3 3 2" xfId="17817" xr:uid="{00000000-0005-0000-0000-00007C690000}"/>
    <cellStyle name="Normal 25 3 2 2 3 3 2 2" xfId="30875" xr:uid="{00000000-0005-0000-0000-00007D690000}"/>
    <cellStyle name="Normal 25 3 2 2 3 3 3" xfId="17818" xr:uid="{00000000-0005-0000-0000-00007E690000}"/>
    <cellStyle name="Normal 25 3 2 2 3 3 3 2" xfId="30876" xr:uid="{00000000-0005-0000-0000-00007F690000}"/>
    <cellStyle name="Normal 25 3 2 2 3 3 4" xfId="23755" xr:uid="{00000000-0005-0000-0000-000080690000}"/>
    <cellStyle name="Normal 25 3 2 2 3 4" xfId="17819" xr:uid="{00000000-0005-0000-0000-000081690000}"/>
    <cellStyle name="Normal 25 3 2 2 3 4 2" xfId="30877" xr:uid="{00000000-0005-0000-0000-000082690000}"/>
    <cellStyle name="Normal 25 3 2 2 3 5" xfId="17820" xr:uid="{00000000-0005-0000-0000-000083690000}"/>
    <cellStyle name="Normal 25 3 2 2 3 5 2" xfId="30878" xr:uid="{00000000-0005-0000-0000-000084690000}"/>
    <cellStyle name="Normal 25 3 2 2 3 6" xfId="21599" xr:uid="{00000000-0005-0000-0000-000085690000}"/>
    <cellStyle name="Normal 25 3 2 2 4" xfId="8482" xr:uid="{00000000-0005-0000-0000-000086690000}"/>
    <cellStyle name="Normal 25 3 2 2 4 2" xfId="10923" xr:uid="{00000000-0005-0000-0000-000087690000}"/>
    <cellStyle name="Normal 25 3 2 2 4 2 2" xfId="17821" xr:uid="{00000000-0005-0000-0000-000088690000}"/>
    <cellStyle name="Normal 25 3 2 2 4 2 2 2" xfId="30879" xr:uid="{00000000-0005-0000-0000-000089690000}"/>
    <cellStyle name="Normal 25 3 2 2 4 2 3" xfId="17822" xr:uid="{00000000-0005-0000-0000-00008A690000}"/>
    <cellStyle name="Normal 25 3 2 2 4 2 3 2" xfId="30880" xr:uid="{00000000-0005-0000-0000-00008B690000}"/>
    <cellStyle name="Normal 25 3 2 2 4 2 4" xfId="24293" xr:uid="{00000000-0005-0000-0000-00008C690000}"/>
    <cellStyle name="Normal 25 3 2 2 4 3" xfId="17823" xr:uid="{00000000-0005-0000-0000-00008D690000}"/>
    <cellStyle name="Normal 25 3 2 2 4 3 2" xfId="30881" xr:uid="{00000000-0005-0000-0000-00008E690000}"/>
    <cellStyle name="Normal 25 3 2 2 4 4" xfId="17824" xr:uid="{00000000-0005-0000-0000-00008F690000}"/>
    <cellStyle name="Normal 25 3 2 2 4 4 2" xfId="30882" xr:uid="{00000000-0005-0000-0000-000090690000}"/>
    <cellStyle name="Normal 25 3 2 2 4 5" xfId="22137" xr:uid="{00000000-0005-0000-0000-000091690000}"/>
    <cellStyle name="Normal 25 3 2 2 5" xfId="9845" xr:uid="{00000000-0005-0000-0000-000092690000}"/>
    <cellStyle name="Normal 25 3 2 2 5 2" xfId="17825" xr:uid="{00000000-0005-0000-0000-000093690000}"/>
    <cellStyle name="Normal 25 3 2 2 5 2 2" xfId="30883" xr:uid="{00000000-0005-0000-0000-000094690000}"/>
    <cellStyle name="Normal 25 3 2 2 5 3" xfId="17826" xr:uid="{00000000-0005-0000-0000-000095690000}"/>
    <cellStyle name="Normal 25 3 2 2 5 3 2" xfId="30884" xr:uid="{00000000-0005-0000-0000-000096690000}"/>
    <cellStyle name="Normal 25 3 2 2 5 4" xfId="23215" xr:uid="{00000000-0005-0000-0000-000097690000}"/>
    <cellStyle name="Normal 25 3 2 2 6" xfId="17827" xr:uid="{00000000-0005-0000-0000-000098690000}"/>
    <cellStyle name="Normal 25 3 2 2 6 2" xfId="30885" xr:uid="{00000000-0005-0000-0000-000099690000}"/>
    <cellStyle name="Normal 25 3 2 2 7" xfId="17828" xr:uid="{00000000-0005-0000-0000-00009A690000}"/>
    <cellStyle name="Normal 25 3 2 2 7 2" xfId="30886" xr:uid="{00000000-0005-0000-0000-00009B690000}"/>
    <cellStyle name="Normal 25 3 2 2 8" xfId="21059" xr:uid="{00000000-0005-0000-0000-00009C690000}"/>
    <cellStyle name="Normal 25 3 2 3" xfId="6636" xr:uid="{00000000-0005-0000-0000-00009D690000}"/>
    <cellStyle name="Normal 25 3 2 3 2" xfId="7332" xr:uid="{00000000-0005-0000-0000-00009E690000}"/>
    <cellStyle name="Normal 25 3 2 3 2 2" xfId="9211" xr:uid="{00000000-0005-0000-0000-00009F690000}"/>
    <cellStyle name="Normal 25 3 2 3 2 2 2" xfId="11590" xr:uid="{00000000-0005-0000-0000-0000A0690000}"/>
    <cellStyle name="Normal 25 3 2 3 2 2 2 2" xfId="17829" xr:uid="{00000000-0005-0000-0000-0000A1690000}"/>
    <cellStyle name="Normal 25 3 2 3 2 2 2 2 2" xfId="30887" xr:uid="{00000000-0005-0000-0000-0000A2690000}"/>
    <cellStyle name="Normal 25 3 2 3 2 2 2 3" xfId="17830" xr:uid="{00000000-0005-0000-0000-0000A3690000}"/>
    <cellStyle name="Normal 25 3 2 3 2 2 2 3 2" xfId="30888" xr:uid="{00000000-0005-0000-0000-0000A4690000}"/>
    <cellStyle name="Normal 25 3 2 3 2 2 2 4" xfId="24960" xr:uid="{00000000-0005-0000-0000-0000A5690000}"/>
    <cellStyle name="Normal 25 3 2 3 2 2 3" xfId="17831" xr:uid="{00000000-0005-0000-0000-0000A6690000}"/>
    <cellStyle name="Normal 25 3 2 3 2 2 3 2" xfId="30889" xr:uid="{00000000-0005-0000-0000-0000A7690000}"/>
    <cellStyle name="Normal 25 3 2 3 2 2 4" xfId="17832" xr:uid="{00000000-0005-0000-0000-0000A8690000}"/>
    <cellStyle name="Normal 25 3 2 3 2 2 4 2" xfId="30890" xr:uid="{00000000-0005-0000-0000-0000A9690000}"/>
    <cellStyle name="Normal 25 3 2 3 2 2 5" xfId="22804" xr:uid="{00000000-0005-0000-0000-0000AA690000}"/>
    <cellStyle name="Normal 25 3 2 3 2 3" xfId="10512" xr:uid="{00000000-0005-0000-0000-0000AB690000}"/>
    <cellStyle name="Normal 25 3 2 3 2 3 2" xfId="17833" xr:uid="{00000000-0005-0000-0000-0000AC690000}"/>
    <cellStyle name="Normal 25 3 2 3 2 3 2 2" xfId="30891" xr:uid="{00000000-0005-0000-0000-0000AD690000}"/>
    <cellStyle name="Normal 25 3 2 3 2 3 3" xfId="17834" xr:uid="{00000000-0005-0000-0000-0000AE690000}"/>
    <cellStyle name="Normal 25 3 2 3 2 3 3 2" xfId="30892" xr:uid="{00000000-0005-0000-0000-0000AF690000}"/>
    <cellStyle name="Normal 25 3 2 3 2 3 4" xfId="23882" xr:uid="{00000000-0005-0000-0000-0000B0690000}"/>
    <cellStyle name="Normal 25 3 2 3 2 4" xfId="17835" xr:uid="{00000000-0005-0000-0000-0000B1690000}"/>
    <cellStyle name="Normal 25 3 2 3 2 4 2" xfId="30893" xr:uid="{00000000-0005-0000-0000-0000B2690000}"/>
    <cellStyle name="Normal 25 3 2 3 2 5" xfId="17836" xr:uid="{00000000-0005-0000-0000-0000B3690000}"/>
    <cellStyle name="Normal 25 3 2 3 2 5 2" xfId="30894" xr:uid="{00000000-0005-0000-0000-0000B4690000}"/>
    <cellStyle name="Normal 25 3 2 3 2 6" xfId="21726" xr:uid="{00000000-0005-0000-0000-0000B5690000}"/>
    <cellStyle name="Normal 25 3 2 3 3" xfId="8664" xr:uid="{00000000-0005-0000-0000-0000B6690000}"/>
    <cellStyle name="Normal 25 3 2 3 3 2" xfId="11050" xr:uid="{00000000-0005-0000-0000-0000B7690000}"/>
    <cellStyle name="Normal 25 3 2 3 3 2 2" xfId="17837" xr:uid="{00000000-0005-0000-0000-0000B8690000}"/>
    <cellStyle name="Normal 25 3 2 3 3 2 2 2" xfId="30895" xr:uid="{00000000-0005-0000-0000-0000B9690000}"/>
    <cellStyle name="Normal 25 3 2 3 3 2 3" xfId="17838" xr:uid="{00000000-0005-0000-0000-0000BA690000}"/>
    <cellStyle name="Normal 25 3 2 3 3 2 3 2" xfId="30896" xr:uid="{00000000-0005-0000-0000-0000BB690000}"/>
    <cellStyle name="Normal 25 3 2 3 3 2 4" xfId="24420" xr:uid="{00000000-0005-0000-0000-0000BC690000}"/>
    <cellStyle name="Normal 25 3 2 3 3 3" xfId="17839" xr:uid="{00000000-0005-0000-0000-0000BD690000}"/>
    <cellStyle name="Normal 25 3 2 3 3 3 2" xfId="30897" xr:uid="{00000000-0005-0000-0000-0000BE690000}"/>
    <cellStyle name="Normal 25 3 2 3 3 4" xfId="17840" xr:uid="{00000000-0005-0000-0000-0000BF690000}"/>
    <cellStyle name="Normal 25 3 2 3 3 4 2" xfId="30898" xr:uid="{00000000-0005-0000-0000-0000C0690000}"/>
    <cellStyle name="Normal 25 3 2 3 3 5" xfId="22264" xr:uid="{00000000-0005-0000-0000-0000C1690000}"/>
    <cellStyle name="Normal 25 3 2 3 4" xfId="9972" xr:uid="{00000000-0005-0000-0000-0000C2690000}"/>
    <cellStyle name="Normal 25 3 2 3 4 2" xfId="17841" xr:uid="{00000000-0005-0000-0000-0000C3690000}"/>
    <cellStyle name="Normal 25 3 2 3 4 2 2" xfId="30899" xr:uid="{00000000-0005-0000-0000-0000C4690000}"/>
    <cellStyle name="Normal 25 3 2 3 4 3" xfId="17842" xr:uid="{00000000-0005-0000-0000-0000C5690000}"/>
    <cellStyle name="Normal 25 3 2 3 4 3 2" xfId="30900" xr:uid="{00000000-0005-0000-0000-0000C6690000}"/>
    <cellStyle name="Normal 25 3 2 3 4 4" xfId="23342" xr:uid="{00000000-0005-0000-0000-0000C7690000}"/>
    <cellStyle name="Normal 25 3 2 3 5" xfId="17843" xr:uid="{00000000-0005-0000-0000-0000C8690000}"/>
    <cellStyle name="Normal 25 3 2 3 5 2" xfId="30901" xr:uid="{00000000-0005-0000-0000-0000C9690000}"/>
    <cellStyle name="Normal 25 3 2 3 6" xfId="17844" xr:uid="{00000000-0005-0000-0000-0000CA690000}"/>
    <cellStyle name="Normal 25 3 2 3 6 2" xfId="30902" xr:uid="{00000000-0005-0000-0000-0000CB690000}"/>
    <cellStyle name="Normal 25 3 2 3 7" xfId="21186" xr:uid="{00000000-0005-0000-0000-0000CC690000}"/>
    <cellStyle name="Normal 25 3 2 4" xfId="7062" xr:uid="{00000000-0005-0000-0000-0000CD690000}"/>
    <cellStyle name="Normal 25 3 2 4 2" xfId="8942" xr:uid="{00000000-0005-0000-0000-0000CE690000}"/>
    <cellStyle name="Normal 25 3 2 4 2 2" xfId="11321" xr:uid="{00000000-0005-0000-0000-0000CF690000}"/>
    <cellStyle name="Normal 25 3 2 4 2 2 2" xfId="17845" xr:uid="{00000000-0005-0000-0000-0000D0690000}"/>
    <cellStyle name="Normal 25 3 2 4 2 2 2 2" xfId="30903" xr:uid="{00000000-0005-0000-0000-0000D1690000}"/>
    <cellStyle name="Normal 25 3 2 4 2 2 3" xfId="17846" xr:uid="{00000000-0005-0000-0000-0000D2690000}"/>
    <cellStyle name="Normal 25 3 2 4 2 2 3 2" xfId="30904" xr:uid="{00000000-0005-0000-0000-0000D3690000}"/>
    <cellStyle name="Normal 25 3 2 4 2 2 4" xfId="24691" xr:uid="{00000000-0005-0000-0000-0000D4690000}"/>
    <cellStyle name="Normal 25 3 2 4 2 3" xfId="17847" xr:uid="{00000000-0005-0000-0000-0000D5690000}"/>
    <cellStyle name="Normal 25 3 2 4 2 3 2" xfId="30905" xr:uid="{00000000-0005-0000-0000-0000D6690000}"/>
    <cellStyle name="Normal 25 3 2 4 2 4" xfId="17848" xr:uid="{00000000-0005-0000-0000-0000D7690000}"/>
    <cellStyle name="Normal 25 3 2 4 2 4 2" xfId="30906" xr:uid="{00000000-0005-0000-0000-0000D8690000}"/>
    <cellStyle name="Normal 25 3 2 4 2 5" xfId="22535" xr:uid="{00000000-0005-0000-0000-0000D9690000}"/>
    <cellStyle name="Normal 25 3 2 4 3" xfId="10243" xr:uid="{00000000-0005-0000-0000-0000DA690000}"/>
    <cellStyle name="Normal 25 3 2 4 3 2" xfId="17849" xr:uid="{00000000-0005-0000-0000-0000DB690000}"/>
    <cellStyle name="Normal 25 3 2 4 3 2 2" xfId="30907" xr:uid="{00000000-0005-0000-0000-0000DC690000}"/>
    <cellStyle name="Normal 25 3 2 4 3 3" xfId="17850" xr:uid="{00000000-0005-0000-0000-0000DD690000}"/>
    <cellStyle name="Normal 25 3 2 4 3 3 2" xfId="30908" xr:uid="{00000000-0005-0000-0000-0000DE690000}"/>
    <cellStyle name="Normal 25 3 2 4 3 4" xfId="23613" xr:uid="{00000000-0005-0000-0000-0000DF690000}"/>
    <cellStyle name="Normal 25 3 2 4 4" xfId="17851" xr:uid="{00000000-0005-0000-0000-0000E0690000}"/>
    <cellStyle name="Normal 25 3 2 4 4 2" xfId="30909" xr:uid="{00000000-0005-0000-0000-0000E1690000}"/>
    <cellStyle name="Normal 25 3 2 4 5" xfId="17852" xr:uid="{00000000-0005-0000-0000-0000E2690000}"/>
    <cellStyle name="Normal 25 3 2 4 5 2" xfId="30910" xr:uid="{00000000-0005-0000-0000-0000E3690000}"/>
    <cellStyle name="Normal 25 3 2 4 6" xfId="21457" xr:uid="{00000000-0005-0000-0000-0000E4690000}"/>
    <cellStyle name="Normal 25 3 2 5" xfId="8266" xr:uid="{00000000-0005-0000-0000-0000E5690000}"/>
    <cellStyle name="Normal 25 3 2 5 2" xfId="10781" xr:uid="{00000000-0005-0000-0000-0000E6690000}"/>
    <cellStyle name="Normal 25 3 2 5 2 2" xfId="17853" xr:uid="{00000000-0005-0000-0000-0000E7690000}"/>
    <cellStyle name="Normal 25 3 2 5 2 2 2" xfId="30911" xr:uid="{00000000-0005-0000-0000-0000E8690000}"/>
    <cellStyle name="Normal 25 3 2 5 2 3" xfId="17854" xr:uid="{00000000-0005-0000-0000-0000E9690000}"/>
    <cellStyle name="Normal 25 3 2 5 2 3 2" xfId="30912" xr:uid="{00000000-0005-0000-0000-0000EA690000}"/>
    <cellStyle name="Normal 25 3 2 5 2 4" xfId="24151" xr:uid="{00000000-0005-0000-0000-0000EB690000}"/>
    <cellStyle name="Normal 25 3 2 5 3" xfId="17855" xr:uid="{00000000-0005-0000-0000-0000EC690000}"/>
    <cellStyle name="Normal 25 3 2 5 3 2" xfId="30913" xr:uid="{00000000-0005-0000-0000-0000ED690000}"/>
    <cellStyle name="Normal 25 3 2 5 4" xfId="17856" xr:uid="{00000000-0005-0000-0000-0000EE690000}"/>
    <cellStyle name="Normal 25 3 2 5 4 2" xfId="30914" xr:uid="{00000000-0005-0000-0000-0000EF690000}"/>
    <cellStyle name="Normal 25 3 2 5 5" xfId="21995" xr:uid="{00000000-0005-0000-0000-0000F0690000}"/>
    <cellStyle name="Normal 25 3 2 6" xfId="9702" xr:uid="{00000000-0005-0000-0000-0000F1690000}"/>
    <cellStyle name="Normal 25 3 2 6 2" xfId="17857" xr:uid="{00000000-0005-0000-0000-0000F2690000}"/>
    <cellStyle name="Normal 25 3 2 6 2 2" xfId="30915" xr:uid="{00000000-0005-0000-0000-0000F3690000}"/>
    <cellStyle name="Normal 25 3 2 6 3" xfId="17858" xr:uid="{00000000-0005-0000-0000-0000F4690000}"/>
    <cellStyle name="Normal 25 3 2 6 3 2" xfId="30916" xr:uid="{00000000-0005-0000-0000-0000F5690000}"/>
    <cellStyle name="Normal 25 3 2 6 4" xfId="23073" xr:uid="{00000000-0005-0000-0000-0000F6690000}"/>
    <cellStyle name="Normal 25 3 2 7" xfId="17859" xr:uid="{00000000-0005-0000-0000-0000F7690000}"/>
    <cellStyle name="Normal 25 3 2 7 2" xfId="30917" xr:uid="{00000000-0005-0000-0000-0000F8690000}"/>
    <cellStyle name="Normal 25 3 2 8" xfId="17860" xr:uid="{00000000-0005-0000-0000-0000F9690000}"/>
    <cellStyle name="Normal 25 3 2 8 2" xfId="30918" xr:uid="{00000000-0005-0000-0000-0000FA690000}"/>
    <cellStyle name="Normal 25 3 2 9" xfId="20916" xr:uid="{00000000-0005-0000-0000-0000FB690000}"/>
    <cellStyle name="Normal 25 3 3" xfId="5547" xr:uid="{00000000-0005-0000-0000-0000FC690000}"/>
    <cellStyle name="Normal 25 3 3 2" xfId="6731" xr:uid="{00000000-0005-0000-0000-0000FD690000}"/>
    <cellStyle name="Normal 25 3 3 2 2" xfId="7418" xr:uid="{00000000-0005-0000-0000-0000FE690000}"/>
    <cellStyle name="Normal 25 3 3 2 2 2" xfId="9297" xr:uid="{00000000-0005-0000-0000-0000FF690000}"/>
    <cellStyle name="Normal 25 3 3 2 2 2 2" xfId="11676" xr:uid="{00000000-0005-0000-0000-0000006A0000}"/>
    <cellStyle name="Normal 25 3 3 2 2 2 2 2" xfId="17861" xr:uid="{00000000-0005-0000-0000-0000016A0000}"/>
    <cellStyle name="Normal 25 3 3 2 2 2 2 2 2" xfId="30919" xr:uid="{00000000-0005-0000-0000-0000026A0000}"/>
    <cellStyle name="Normal 25 3 3 2 2 2 2 3" xfId="17862" xr:uid="{00000000-0005-0000-0000-0000036A0000}"/>
    <cellStyle name="Normal 25 3 3 2 2 2 2 3 2" xfId="30920" xr:uid="{00000000-0005-0000-0000-0000046A0000}"/>
    <cellStyle name="Normal 25 3 3 2 2 2 2 4" xfId="25046" xr:uid="{00000000-0005-0000-0000-0000056A0000}"/>
    <cellStyle name="Normal 25 3 3 2 2 2 3" xfId="17863" xr:uid="{00000000-0005-0000-0000-0000066A0000}"/>
    <cellStyle name="Normal 25 3 3 2 2 2 3 2" xfId="30921" xr:uid="{00000000-0005-0000-0000-0000076A0000}"/>
    <cellStyle name="Normal 25 3 3 2 2 2 4" xfId="17864" xr:uid="{00000000-0005-0000-0000-0000086A0000}"/>
    <cellStyle name="Normal 25 3 3 2 2 2 4 2" xfId="30922" xr:uid="{00000000-0005-0000-0000-0000096A0000}"/>
    <cellStyle name="Normal 25 3 3 2 2 2 5" xfId="22890" xr:uid="{00000000-0005-0000-0000-00000A6A0000}"/>
    <cellStyle name="Normal 25 3 3 2 2 3" xfId="10598" xr:uid="{00000000-0005-0000-0000-00000B6A0000}"/>
    <cellStyle name="Normal 25 3 3 2 2 3 2" xfId="17865" xr:uid="{00000000-0005-0000-0000-00000C6A0000}"/>
    <cellStyle name="Normal 25 3 3 2 2 3 2 2" xfId="30923" xr:uid="{00000000-0005-0000-0000-00000D6A0000}"/>
    <cellStyle name="Normal 25 3 3 2 2 3 3" xfId="17866" xr:uid="{00000000-0005-0000-0000-00000E6A0000}"/>
    <cellStyle name="Normal 25 3 3 2 2 3 3 2" xfId="30924" xr:uid="{00000000-0005-0000-0000-00000F6A0000}"/>
    <cellStyle name="Normal 25 3 3 2 2 3 4" xfId="23968" xr:uid="{00000000-0005-0000-0000-0000106A0000}"/>
    <cellStyle name="Normal 25 3 3 2 2 4" xfId="17867" xr:uid="{00000000-0005-0000-0000-0000116A0000}"/>
    <cellStyle name="Normal 25 3 3 2 2 4 2" xfId="30925" xr:uid="{00000000-0005-0000-0000-0000126A0000}"/>
    <cellStyle name="Normal 25 3 3 2 2 5" xfId="17868" xr:uid="{00000000-0005-0000-0000-0000136A0000}"/>
    <cellStyle name="Normal 25 3 3 2 2 5 2" xfId="30926" xr:uid="{00000000-0005-0000-0000-0000146A0000}"/>
    <cellStyle name="Normal 25 3 3 2 2 6" xfId="21812" xr:uid="{00000000-0005-0000-0000-0000156A0000}"/>
    <cellStyle name="Normal 25 3 3 2 3" xfId="8751" xr:uid="{00000000-0005-0000-0000-0000166A0000}"/>
    <cellStyle name="Normal 25 3 3 2 3 2" xfId="11136" xr:uid="{00000000-0005-0000-0000-0000176A0000}"/>
    <cellStyle name="Normal 25 3 3 2 3 2 2" xfId="17869" xr:uid="{00000000-0005-0000-0000-0000186A0000}"/>
    <cellStyle name="Normal 25 3 3 2 3 2 2 2" xfId="30927" xr:uid="{00000000-0005-0000-0000-0000196A0000}"/>
    <cellStyle name="Normal 25 3 3 2 3 2 3" xfId="17870" xr:uid="{00000000-0005-0000-0000-00001A6A0000}"/>
    <cellStyle name="Normal 25 3 3 2 3 2 3 2" xfId="30928" xr:uid="{00000000-0005-0000-0000-00001B6A0000}"/>
    <cellStyle name="Normal 25 3 3 2 3 2 4" xfId="24506" xr:uid="{00000000-0005-0000-0000-00001C6A0000}"/>
    <cellStyle name="Normal 25 3 3 2 3 3" xfId="17871" xr:uid="{00000000-0005-0000-0000-00001D6A0000}"/>
    <cellStyle name="Normal 25 3 3 2 3 3 2" xfId="30929" xr:uid="{00000000-0005-0000-0000-00001E6A0000}"/>
    <cellStyle name="Normal 25 3 3 2 3 4" xfId="17872" xr:uid="{00000000-0005-0000-0000-00001F6A0000}"/>
    <cellStyle name="Normal 25 3 3 2 3 4 2" xfId="30930" xr:uid="{00000000-0005-0000-0000-0000206A0000}"/>
    <cellStyle name="Normal 25 3 3 2 3 5" xfId="22350" xr:uid="{00000000-0005-0000-0000-0000216A0000}"/>
    <cellStyle name="Normal 25 3 3 2 4" xfId="10058" xr:uid="{00000000-0005-0000-0000-0000226A0000}"/>
    <cellStyle name="Normal 25 3 3 2 4 2" xfId="17873" xr:uid="{00000000-0005-0000-0000-0000236A0000}"/>
    <cellStyle name="Normal 25 3 3 2 4 2 2" xfId="30931" xr:uid="{00000000-0005-0000-0000-0000246A0000}"/>
    <cellStyle name="Normal 25 3 3 2 4 3" xfId="17874" xr:uid="{00000000-0005-0000-0000-0000256A0000}"/>
    <cellStyle name="Normal 25 3 3 2 4 3 2" xfId="30932" xr:uid="{00000000-0005-0000-0000-0000266A0000}"/>
    <cellStyle name="Normal 25 3 3 2 4 4" xfId="23428" xr:uid="{00000000-0005-0000-0000-0000276A0000}"/>
    <cellStyle name="Normal 25 3 3 2 5" xfId="17875" xr:uid="{00000000-0005-0000-0000-0000286A0000}"/>
    <cellStyle name="Normal 25 3 3 2 5 2" xfId="30933" xr:uid="{00000000-0005-0000-0000-0000296A0000}"/>
    <cellStyle name="Normal 25 3 3 2 6" xfId="17876" xr:uid="{00000000-0005-0000-0000-00002A6A0000}"/>
    <cellStyle name="Normal 25 3 3 2 6 2" xfId="30934" xr:uid="{00000000-0005-0000-0000-00002B6A0000}"/>
    <cellStyle name="Normal 25 3 3 2 7" xfId="21272" xr:uid="{00000000-0005-0000-0000-00002C6A0000}"/>
    <cellStyle name="Normal 25 3 3 3" xfId="7149" xr:uid="{00000000-0005-0000-0000-00002D6A0000}"/>
    <cellStyle name="Normal 25 3 3 3 2" xfId="9028" xr:uid="{00000000-0005-0000-0000-00002E6A0000}"/>
    <cellStyle name="Normal 25 3 3 3 2 2" xfId="11407" xr:uid="{00000000-0005-0000-0000-00002F6A0000}"/>
    <cellStyle name="Normal 25 3 3 3 2 2 2" xfId="17877" xr:uid="{00000000-0005-0000-0000-0000306A0000}"/>
    <cellStyle name="Normal 25 3 3 3 2 2 2 2" xfId="30935" xr:uid="{00000000-0005-0000-0000-0000316A0000}"/>
    <cellStyle name="Normal 25 3 3 3 2 2 3" xfId="17878" xr:uid="{00000000-0005-0000-0000-0000326A0000}"/>
    <cellStyle name="Normal 25 3 3 3 2 2 3 2" xfId="30936" xr:uid="{00000000-0005-0000-0000-0000336A0000}"/>
    <cellStyle name="Normal 25 3 3 3 2 2 4" xfId="24777" xr:uid="{00000000-0005-0000-0000-0000346A0000}"/>
    <cellStyle name="Normal 25 3 3 3 2 3" xfId="17879" xr:uid="{00000000-0005-0000-0000-0000356A0000}"/>
    <cellStyle name="Normal 25 3 3 3 2 3 2" xfId="30937" xr:uid="{00000000-0005-0000-0000-0000366A0000}"/>
    <cellStyle name="Normal 25 3 3 3 2 4" xfId="17880" xr:uid="{00000000-0005-0000-0000-0000376A0000}"/>
    <cellStyle name="Normal 25 3 3 3 2 4 2" xfId="30938" xr:uid="{00000000-0005-0000-0000-0000386A0000}"/>
    <cellStyle name="Normal 25 3 3 3 2 5" xfId="22621" xr:uid="{00000000-0005-0000-0000-0000396A0000}"/>
    <cellStyle name="Normal 25 3 3 3 3" xfId="10329" xr:uid="{00000000-0005-0000-0000-00003A6A0000}"/>
    <cellStyle name="Normal 25 3 3 3 3 2" xfId="17881" xr:uid="{00000000-0005-0000-0000-00003B6A0000}"/>
    <cellStyle name="Normal 25 3 3 3 3 2 2" xfId="30939" xr:uid="{00000000-0005-0000-0000-00003C6A0000}"/>
    <cellStyle name="Normal 25 3 3 3 3 3" xfId="17882" xr:uid="{00000000-0005-0000-0000-00003D6A0000}"/>
    <cellStyle name="Normal 25 3 3 3 3 3 2" xfId="30940" xr:uid="{00000000-0005-0000-0000-00003E6A0000}"/>
    <cellStyle name="Normal 25 3 3 3 3 4" xfId="23699" xr:uid="{00000000-0005-0000-0000-00003F6A0000}"/>
    <cellStyle name="Normal 25 3 3 3 4" xfId="17883" xr:uid="{00000000-0005-0000-0000-0000406A0000}"/>
    <cellStyle name="Normal 25 3 3 3 4 2" xfId="30941" xr:uid="{00000000-0005-0000-0000-0000416A0000}"/>
    <cellStyle name="Normal 25 3 3 3 5" xfId="17884" xr:uid="{00000000-0005-0000-0000-0000426A0000}"/>
    <cellStyle name="Normal 25 3 3 3 5 2" xfId="30942" xr:uid="{00000000-0005-0000-0000-0000436A0000}"/>
    <cellStyle name="Normal 25 3 3 3 6" xfId="21543" xr:uid="{00000000-0005-0000-0000-0000446A0000}"/>
    <cellStyle name="Normal 25 3 3 4" xfId="8424" xr:uid="{00000000-0005-0000-0000-0000456A0000}"/>
    <cellStyle name="Normal 25 3 3 4 2" xfId="10867" xr:uid="{00000000-0005-0000-0000-0000466A0000}"/>
    <cellStyle name="Normal 25 3 3 4 2 2" xfId="17885" xr:uid="{00000000-0005-0000-0000-0000476A0000}"/>
    <cellStyle name="Normal 25 3 3 4 2 2 2" xfId="30943" xr:uid="{00000000-0005-0000-0000-0000486A0000}"/>
    <cellStyle name="Normal 25 3 3 4 2 3" xfId="17886" xr:uid="{00000000-0005-0000-0000-0000496A0000}"/>
    <cellStyle name="Normal 25 3 3 4 2 3 2" xfId="30944" xr:uid="{00000000-0005-0000-0000-00004A6A0000}"/>
    <cellStyle name="Normal 25 3 3 4 2 4" xfId="24237" xr:uid="{00000000-0005-0000-0000-00004B6A0000}"/>
    <cellStyle name="Normal 25 3 3 4 3" xfId="17887" xr:uid="{00000000-0005-0000-0000-00004C6A0000}"/>
    <cellStyle name="Normal 25 3 3 4 3 2" xfId="30945" xr:uid="{00000000-0005-0000-0000-00004D6A0000}"/>
    <cellStyle name="Normal 25 3 3 4 4" xfId="17888" xr:uid="{00000000-0005-0000-0000-00004E6A0000}"/>
    <cellStyle name="Normal 25 3 3 4 4 2" xfId="30946" xr:uid="{00000000-0005-0000-0000-00004F6A0000}"/>
    <cellStyle name="Normal 25 3 3 4 5" xfId="22081" xr:uid="{00000000-0005-0000-0000-0000506A0000}"/>
    <cellStyle name="Normal 25 3 3 5" xfId="9789" xr:uid="{00000000-0005-0000-0000-0000516A0000}"/>
    <cellStyle name="Normal 25 3 3 5 2" xfId="17889" xr:uid="{00000000-0005-0000-0000-0000526A0000}"/>
    <cellStyle name="Normal 25 3 3 5 2 2" xfId="30947" xr:uid="{00000000-0005-0000-0000-0000536A0000}"/>
    <cellStyle name="Normal 25 3 3 5 3" xfId="17890" xr:uid="{00000000-0005-0000-0000-0000546A0000}"/>
    <cellStyle name="Normal 25 3 3 5 3 2" xfId="30948" xr:uid="{00000000-0005-0000-0000-0000556A0000}"/>
    <cellStyle name="Normal 25 3 3 5 4" xfId="23159" xr:uid="{00000000-0005-0000-0000-0000566A0000}"/>
    <cellStyle name="Normal 25 3 3 6" xfId="17891" xr:uid="{00000000-0005-0000-0000-0000576A0000}"/>
    <cellStyle name="Normal 25 3 3 6 2" xfId="30949" xr:uid="{00000000-0005-0000-0000-0000586A0000}"/>
    <cellStyle name="Normal 25 3 3 7" xfId="17892" xr:uid="{00000000-0005-0000-0000-0000596A0000}"/>
    <cellStyle name="Normal 25 3 3 7 2" xfId="30950" xr:uid="{00000000-0005-0000-0000-00005A6A0000}"/>
    <cellStyle name="Normal 25 3 3 8" xfId="21003" xr:uid="{00000000-0005-0000-0000-00005B6A0000}"/>
    <cellStyle name="Normal 25 3 4" xfId="6581" xr:uid="{00000000-0005-0000-0000-00005C6A0000}"/>
    <cellStyle name="Normal 25 3 4 2" xfId="7277" xr:uid="{00000000-0005-0000-0000-00005D6A0000}"/>
    <cellStyle name="Normal 25 3 4 2 2" xfId="9156" xr:uid="{00000000-0005-0000-0000-00005E6A0000}"/>
    <cellStyle name="Normal 25 3 4 2 2 2" xfId="11535" xr:uid="{00000000-0005-0000-0000-00005F6A0000}"/>
    <cellStyle name="Normal 25 3 4 2 2 2 2" xfId="17893" xr:uid="{00000000-0005-0000-0000-0000606A0000}"/>
    <cellStyle name="Normal 25 3 4 2 2 2 2 2" xfId="30951" xr:uid="{00000000-0005-0000-0000-0000616A0000}"/>
    <cellStyle name="Normal 25 3 4 2 2 2 3" xfId="17894" xr:uid="{00000000-0005-0000-0000-0000626A0000}"/>
    <cellStyle name="Normal 25 3 4 2 2 2 3 2" xfId="30952" xr:uid="{00000000-0005-0000-0000-0000636A0000}"/>
    <cellStyle name="Normal 25 3 4 2 2 2 4" xfId="24905" xr:uid="{00000000-0005-0000-0000-0000646A0000}"/>
    <cellStyle name="Normal 25 3 4 2 2 3" xfId="17895" xr:uid="{00000000-0005-0000-0000-0000656A0000}"/>
    <cellStyle name="Normal 25 3 4 2 2 3 2" xfId="30953" xr:uid="{00000000-0005-0000-0000-0000666A0000}"/>
    <cellStyle name="Normal 25 3 4 2 2 4" xfId="17896" xr:uid="{00000000-0005-0000-0000-0000676A0000}"/>
    <cellStyle name="Normal 25 3 4 2 2 4 2" xfId="30954" xr:uid="{00000000-0005-0000-0000-0000686A0000}"/>
    <cellStyle name="Normal 25 3 4 2 2 5" xfId="22749" xr:uid="{00000000-0005-0000-0000-0000696A0000}"/>
    <cellStyle name="Normal 25 3 4 2 3" xfId="10457" xr:uid="{00000000-0005-0000-0000-00006A6A0000}"/>
    <cellStyle name="Normal 25 3 4 2 3 2" xfId="17897" xr:uid="{00000000-0005-0000-0000-00006B6A0000}"/>
    <cellStyle name="Normal 25 3 4 2 3 2 2" xfId="30955" xr:uid="{00000000-0005-0000-0000-00006C6A0000}"/>
    <cellStyle name="Normal 25 3 4 2 3 3" xfId="17898" xr:uid="{00000000-0005-0000-0000-00006D6A0000}"/>
    <cellStyle name="Normal 25 3 4 2 3 3 2" xfId="30956" xr:uid="{00000000-0005-0000-0000-00006E6A0000}"/>
    <cellStyle name="Normal 25 3 4 2 3 4" xfId="23827" xr:uid="{00000000-0005-0000-0000-00006F6A0000}"/>
    <cellStyle name="Normal 25 3 4 2 4" xfId="17899" xr:uid="{00000000-0005-0000-0000-0000706A0000}"/>
    <cellStyle name="Normal 25 3 4 2 4 2" xfId="30957" xr:uid="{00000000-0005-0000-0000-0000716A0000}"/>
    <cellStyle name="Normal 25 3 4 2 5" xfId="17900" xr:uid="{00000000-0005-0000-0000-0000726A0000}"/>
    <cellStyle name="Normal 25 3 4 2 5 2" xfId="30958" xr:uid="{00000000-0005-0000-0000-0000736A0000}"/>
    <cellStyle name="Normal 25 3 4 2 6" xfId="21671" xr:uid="{00000000-0005-0000-0000-0000746A0000}"/>
    <cellStyle name="Normal 25 3 4 3" xfId="8609" xr:uid="{00000000-0005-0000-0000-0000756A0000}"/>
    <cellStyle name="Normal 25 3 4 3 2" xfId="10995" xr:uid="{00000000-0005-0000-0000-0000766A0000}"/>
    <cellStyle name="Normal 25 3 4 3 2 2" xfId="17901" xr:uid="{00000000-0005-0000-0000-0000776A0000}"/>
    <cellStyle name="Normal 25 3 4 3 2 2 2" xfId="30959" xr:uid="{00000000-0005-0000-0000-0000786A0000}"/>
    <cellStyle name="Normal 25 3 4 3 2 3" xfId="17902" xr:uid="{00000000-0005-0000-0000-0000796A0000}"/>
    <cellStyle name="Normal 25 3 4 3 2 3 2" xfId="30960" xr:uid="{00000000-0005-0000-0000-00007A6A0000}"/>
    <cellStyle name="Normal 25 3 4 3 2 4" xfId="24365" xr:uid="{00000000-0005-0000-0000-00007B6A0000}"/>
    <cellStyle name="Normal 25 3 4 3 3" xfId="17903" xr:uid="{00000000-0005-0000-0000-00007C6A0000}"/>
    <cellStyle name="Normal 25 3 4 3 3 2" xfId="30961" xr:uid="{00000000-0005-0000-0000-00007D6A0000}"/>
    <cellStyle name="Normal 25 3 4 3 4" xfId="17904" xr:uid="{00000000-0005-0000-0000-00007E6A0000}"/>
    <cellStyle name="Normal 25 3 4 3 4 2" xfId="30962" xr:uid="{00000000-0005-0000-0000-00007F6A0000}"/>
    <cellStyle name="Normal 25 3 4 3 5" xfId="22209" xr:uid="{00000000-0005-0000-0000-0000806A0000}"/>
    <cellStyle name="Normal 25 3 4 4" xfId="9917" xr:uid="{00000000-0005-0000-0000-0000816A0000}"/>
    <cellStyle name="Normal 25 3 4 4 2" xfId="17905" xr:uid="{00000000-0005-0000-0000-0000826A0000}"/>
    <cellStyle name="Normal 25 3 4 4 2 2" xfId="30963" xr:uid="{00000000-0005-0000-0000-0000836A0000}"/>
    <cellStyle name="Normal 25 3 4 4 3" xfId="17906" xr:uid="{00000000-0005-0000-0000-0000846A0000}"/>
    <cellStyle name="Normal 25 3 4 4 3 2" xfId="30964" xr:uid="{00000000-0005-0000-0000-0000856A0000}"/>
    <cellStyle name="Normal 25 3 4 4 4" xfId="23287" xr:uid="{00000000-0005-0000-0000-0000866A0000}"/>
    <cellStyle name="Normal 25 3 4 5" xfId="17907" xr:uid="{00000000-0005-0000-0000-0000876A0000}"/>
    <cellStyle name="Normal 25 3 4 5 2" xfId="30965" xr:uid="{00000000-0005-0000-0000-0000886A0000}"/>
    <cellStyle name="Normal 25 3 4 6" xfId="17908" xr:uid="{00000000-0005-0000-0000-0000896A0000}"/>
    <cellStyle name="Normal 25 3 4 6 2" xfId="30966" xr:uid="{00000000-0005-0000-0000-00008A6A0000}"/>
    <cellStyle name="Normal 25 3 4 7" xfId="21131" xr:uid="{00000000-0005-0000-0000-00008B6A0000}"/>
    <cellStyle name="Normal 25 3 5" xfId="7007" xr:uid="{00000000-0005-0000-0000-00008C6A0000}"/>
    <cellStyle name="Normal 25 3 5 2" xfId="8887" xr:uid="{00000000-0005-0000-0000-00008D6A0000}"/>
    <cellStyle name="Normal 25 3 5 2 2" xfId="11266" xr:uid="{00000000-0005-0000-0000-00008E6A0000}"/>
    <cellStyle name="Normal 25 3 5 2 2 2" xfId="17909" xr:uid="{00000000-0005-0000-0000-00008F6A0000}"/>
    <cellStyle name="Normal 25 3 5 2 2 2 2" xfId="30967" xr:uid="{00000000-0005-0000-0000-0000906A0000}"/>
    <cellStyle name="Normal 25 3 5 2 2 3" xfId="17910" xr:uid="{00000000-0005-0000-0000-0000916A0000}"/>
    <cellStyle name="Normal 25 3 5 2 2 3 2" xfId="30968" xr:uid="{00000000-0005-0000-0000-0000926A0000}"/>
    <cellStyle name="Normal 25 3 5 2 2 4" xfId="24636" xr:uid="{00000000-0005-0000-0000-0000936A0000}"/>
    <cellStyle name="Normal 25 3 5 2 3" xfId="17911" xr:uid="{00000000-0005-0000-0000-0000946A0000}"/>
    <cellStyle name="Normal 25 3 5 2 3 2" xfId="30969" xr:uid="{00000000-0005-0000-0000-0000956A0000}"/>
    <cellStyle name="Normal 25 3 5 2 4" xfId="17912" xr:uid="{00000000-0005-0000-0000-0000966A0000}"/>
    <cellStyle name="Normal 25 3 5 2 4 2" xfId="30970" xr:uid="{00000000-0005-0000-0000-0000976A0000}"/>
    <cellStyle name="Normal 25 3 5 2 5" xfId="22480" xr:uid="{00000000-0005-0000-0000-0000986A0000}"/>
    <cellStyle name="Normal 25 3 5 3" xfId="10188" xr:uid="{00000000-0005-0000-0000-0000996A0000}"/>
    <cellStyle name="Normal 25 3 5 3 2" xfId="17913" xr:uid="{00000000-0005-0000-0000-00009A6A0000}"/>
    <cellStyle name="Normal 25 3 5 3 2 2" xfId="30971" xr:uid="{00000000-0005-0000-0000-00009B6A0000}"/>
    <cellStyle name="Normal 25 3 5 3 3" xfId="17914" xr:uid="{00000000-0005-0000-0000-00009C6A0000}"/>
    <cellStyle name="Normal 25 3 5 3 3 2" xfId="30972" xr:uid="{00000000-0005-0000-0000-00009D6A0000}"/>
    <cellStyle name="Normal 25 3 5 3 4" xfId="23558" xr:uid="{00000000-0005-0000-0000-00009E6A0000}"/>
    <cellStyle name="Normal 25 3 5 4" xfId="17915" xr:uid="{00000000-0005-0000-0000-00009F6A0000}"/>
    <cellStyle name="Normal 25 3 5 4 2" xfId="30973" xr:uid="{00000000-0005-0000-0000-0000A06A0000}"/>
    <cellStyle name="Normal 25 3 5 5" xfId="17916" xr:uid="{00000000-0005-0000-0000-0000A16A0000}"/>
    <cellStyle name="Normal 25 3 5 5 2" xfId="30974" xr:uid="{00000000-0005-0000-0000-0000A26A0000}"/>
    <cellStyle name="Normal 25 3 5 6" xfId="21402" xr:uid="{00000000-0005-0000-0000-0000A36A0000}"/>
    <cellStyle name="Normal 25 3 6" xfId="8203" xr:uid="{00000000-0005-0000-0000-0000A46A0000}"/>
    <cellStyle name="Normal 25 3 6 2" xfId="10726" xr:uid="{00000000-0005-0000-0000-0000A56A0000}"/>
    <cellStyle name="Normal 25 3 6 2 2" xfId="17917" xr:uid="{00000000-0005-0000-0000-0000A66A0000}"/>
    <cellStyle name="Normal 25 3 6 2 2 2" xfId="30975" xr:uid="{00000000-0005-0000-0000-0000A76A0000}"/>
    <cellStyle name="Normal 25 3 6 2 3" xfId="17918" xr:uid="{00000000-0005-0000-0000-0000A86A0000}"/>
    <cellStyle name="Normal 25 3 6 2 3 2" xfId="30976" xr:uid="{00000000-0005-0000-0000-0000A96A0000}"/>
    <cellStyle name="Normal 25 3 6 2 4" xfId="24096" xr:uid="{00000000-0005-0000-0000-0000AA6A0000}"/>
    <cellStyle name="Normal 25 3 6 3" xfId="17919" xr:uid="{00000000-0005-0000-0000-0000AB6A0000}"/>
    <cellStyle name="Normal 25 3 6 3 2" xfId="30977" xr:uid="{00000000-0005-0000-0000-0000AC6A0000}"/>
    <cellStyle name="Normal 25 3 6 4" xfId="17920" xr:uid="{00000000-0005-0000-0000-0000AD6A0000}"/>
    <cellStyle name="Normal 25 3 6 4 2" xfId="30978" xr:uid="{00000000-0005-0000-0000-0000AE6A0000}"/>
    <cellStyle name="Normal 25 3 6 5" xfId="21940" xr:uid="{00000000-0005-0000-0000-0000AF6A0000}"/>
    <cellStyle name="Normal 25 3 7" xfId="9647" xr:uid="{00000000-0005-0000-0000-0000B06A0000}"/>
    <cellStyle name="Normal 25 3 7 2" xfId="17921" xr:uid="{00000000-0005-0000-0000-0000B16A0000}"/>
    <cellStyle name="Normal 25 3 7 2 2" xfId="30979" xr:uid="{00000000-0005-0000-0000-0000B26A0000}"/>
    <cellStyle name="Normal 25 3 7 3" xfId="17922" xr:uid="{00000000-0005-0000-0000-0000B36A0000}"/>
    <cellStyle name="Normal 25 3 7 3 2" xfId="30980" xr:uid="{00000000-0005-0000-0000-0000B46A0000}"/>
    <cellStyle name="Normal 25 3 7 4" xfId="23018" xr:uid="{00000000-0005-0000-0000-0000B56A0000}"/>
    <cellStyle name="Normal 25 3 8" xfId="17923" xr:uid="{00000000-0005-0000-0000-0000B66A0000}"/>
    <cellStyle name="Normal 25 3 8 2" xfId="30981" xr:uid="{00000000-0005-0000-0000-0000B76A0000}"/>
    <cellStyle name="Normal 25 3 9" xfId="17924" xr:uid="{00000000-0005-0000-0000-0000B86A0000}"/>
    <cellStyle name="Normal 25 3 9 2" xfId="30982" xr:uid="{00000000-0005-0000-0000-0000B96A0000}"/>
    <cellStyle name="Normal 25 4" xfId="4068" xr:uid="{00000000-0005-0000-0000-0000BA6A0000}"/>
    <cellStyle name="Normal 25 4 2" xfId="5604" xr:uid="{00000000-0005-0000-0000-0000BB6A0000}"/>
    <cellStyle name="Normal 25 4 2 2" xfId="6756" xr:uid="{00000000-0005-0000-0000-0000BC6A0000}"/>
    <cellStyle name="Normal 25 4 2 2 2" xfId="7443" xr:uid="{00000000-0005-0000-0000-0000BD6A0000}"/>
    <cellStyle name="Normal 25 4 2 2 2 2" xfId="9322" xr:uid="{00000000-0005-0000-0000-0000BE6A0000}"/>
    <cellStyle name="Normal 25 4 2 2 2 2 2" xfId="11701" xr:uid="{00000000-0005-0000-0000-0000BF6A0000}"/>
    <cellStyle name="Normal 25 4 2 2 2 2 2 2" xfId="17925" xr:uid="{00000000-0005-0000-0000-0000C06A0000}"/>
    <cellStyle name="Normal 25 4 2 2 2 2 2 2 2" xfId="30983" xr:uid="{00000000-0005-0000-0000-0000C16A0000}"/>
    <cellStyle name="Normal 25 4 2 2 2 2 2 3" xfId="17926" xr:uid="{00000000-0005-0000-0000-0000C26A0000}"/>
    <cellStyle name="Normal 25 4 2 2 2 2 2 3 2" xfId="30984" xr:uid="{00000000-0005-0000-0000-0000C36A0000}"/>
    <cellStyle name="Normal 25 4 2 2 2 2 2 4" xfId="25071" xr:uid="{00000000-0005-0000-0000-0000C46A0000}"/>
    <cellStyle name="Normal 25 4 2 2 2 2 3" xfId="17927" xr:uid="{00000000-0005-0000-0000-0000C56A0000}"/>
    <cellStyle name="Normal 25 4 2 2 2 2 3 2" xfId="30985" xr:uid="{00000000-0005-0000-0000-0000C66A0000}"/>
    <cellStyle name="Normal 25 4 2 2 2 2 4" xfId="17928" xr:uid="{00000000-0005-0000-0000-0000C76A0000}"/>
    <cellStyle name="Normal 25 4 2 2 2 2 4 2" xfId="30986" xr:uid="{00000000-0005-0000-0000-0000C86A0000}"/>
    <cellStyle name="Normal 25 4 2 2 2 2 5" xfId="22915" xr:uid="{00000000-0005-0000-0000-0000C96A0000}"/>
    <cellStyle name="Normal 25 4 2 2 2 3" xfId="10623" xr:uid="{00000000-0005-0000-0000-0000CA6A0000}"/>
    <cellStyle name="Normal 25 4 2 2 2 3 2" xfId="17929" xr:uid="{00000000-0005-0000-0000-0000CB6A0000}"/>
    <cellStyle name="Normal 25 4 2 2 2 3 2 2" xfId="30987" xr:uid="{00000000-0005-0000-0000-0000CC6A0000}"/>
    <cellStyle name="Normal 25 4 2 2 2 3 3" xfId="17930" xr:uid="{00000000-0005-0000-0000-0000CD6A0000}"/>
    <cellStyle name="Normal 25 4 2 2 2 3 3 2" xfId="30988" xr:uid="{00000000-0005-0000-0000-0000CE6A0000}"/>
    <cellStyle name="Normal 25 4 2 2 2 3 4" xfId="23993" xr:uid="{00000000-0005-0000-0000-0000CF6A0000}"/>
    <cellStyle name="Normal 25 4 2 2 2 4" xfId="17931" xr:uid="{00000000-0005-0000-0000-0000D06A0000}"/>
    <cellStyle name="Normal 25 4 2 2 2 4 2" xfId="30989" xr:uid="{00000000-0005-0000-0000-0000D16A0000}"/>
    <cellStyle name="Normal 25 4 2 2 2 5" xfId="17932" xr:uid="{00000000-0005-0000-0000-0000D26A0000}"/>
    <cellStyle name="Normal 25 4 2 2 2 5 2" xfId="30990" xr:uid="{00000000-0005-0000-0000-0000D36A0000}"/>
    <cellStyle name="Normal 25 4 2 2 2 6" xfId="21837" xr:uid="{00000000-0005-0000-0000-0000D46A0000}"/>
    <cellStyle name="Normal 25 4 2 2 3" xfId="8776" xr:uid="{00000000-0005-0000-0000-0000D56A0000}"/>
    <cellStyle name="Normal 25 4 2 2 3 2" xfId="11161" xr:uid="{00000000-0005-0000-0000-0000D66A0000}"/>
    <cellStyle name="Normal 25 4 2 2 3 2 2" xfId="17933" xr:uid="{00000000-0005-0000-0000-0000D76A0000}"/>
    <cellStyle name="Normal 25 4 2 2 3 2 2 2" xfId="30991" xr:uid="{00000000-0005-0000-0000-0000D86A0000}"/>
    <cellStyle name="Normal 25 4 2 2 3 2 3" xfId="17934" xr:uid="{00000000-0005-0000-0000-0000D96A0000}"/>
    <cellStyle name="Normal 25 4 2 2 3 2 3 2" xfId="30992" xr:uid="{00000000-0005-0000-0000-0000DA6A0000}"/>
    <cellStyle name="Normal 25 4 2 2 3 2 4" xfId="24531" xr:uid="{00000000-0005-0000-0000-0000DB6A0000}"/>
    <cellStyle name="Normal 25 4 2 2 3 3" xfId="17935" xr:uid="{00000000-0005-0000-0000-0000DC6A0000}"/>
    <cellStyle name="Normal 25 4 2 2 3 3 2" xfId="30993" xr:uid="{00000000-0005-0000-0000-0000DD6A0000}"/>
    <cellStyle name="Normal 25 4 2 2 3 4" xfId="17936" xr:uid="{00000000-0005-0000-0000-0000DE6A0000}"/>
    <cellStyle name="Normal 25 4 2 2 3 4 2" xfId="30994" xr:uid="{00000000-0005-0000-0000-0000DF6A0000}"/>
    <cellStyle name="Normal 25 4 2 2 3 5" xfId="22375" xr:uid="{00000000-0005-0000-0000-0000E06A0000}"/>
    <cellStyle name="Normal 25 4 2 2 4" xfId="10083" xr:uid="{00000000-0005-0000-0000-0000E16A0000}"/>
    <cellStyle name="Normal 25 4 2 2 4 2" xfId="17937" xr:uid="{00000000-0005-0000-0000-0000E26A0000}"/>
    <cellStyle name="Normal 25 4 2 2 4 2 2" xfId="30995" xr:uid="{00000000-0005-0000-0000-0000E36A0000}"/>
    <cellStyle name="Normal 25 4 2 2 4 3" xfId="17938" xr:uid="{00000000-0005-0000-0000-0000E46A0000}"/>
    <cellStyle name="Normal 25 4 2 2 4 3 2" xfId="30996" xr:uid="{00000000-0005-0000-0000-0000E56A0000}"/>
    <cellStyle name="Normal 25 4 2 2 4 4" xfId="23453" xr:uid="{00000000-0005-0000-0000-0000E66A0000}"/>
    <cellStyle name="Normal 25 4 2 2 5" xfId="17939" xr:uid="{00000000-0005-0000-0000-0000E76A0000}"/>
    <cellStyle name="Normal 25 4 2 2 5 2" xfId="30997" xr:uid="{00000000-0005-0000-0000-0000E86A0000}"/>
    <cellStyle name="Normal 25 4 2 2 6" xfId="17940" xr:uid="{00000000-0005-0000-0000-0000E96A0000}"/>
    <cellStyle name="Normal 25 4 2 2 6 2" xfId="30998" xr:uid="{00000000-0005-0000-0000-0000EA6A0000}"/>
    <cellStyle name="Normal 25 4 2 2 7" xfId="21297" xr:uid="{00000000-0005-0000-0000-0000EB6A0000}"/>
    <cellStyle name="Normal 25 4 2 3" xfId="7174" xr:uid="{00000000-0005-0000-0000-0000EC6A0000}"/>
    <cellStyle name="Normal 25 4 2 3 2" xfId="9053" xr:uid="{00000000-0005-0000-0000-0000ED6A0000}"/>
    <cellStyle name="Normal 25 4 2 3 2 2" xfId="11432" xr:uid="{00000000-0005-0000-0000-0000EE6A0000}"/>
    <cellStyle name="Normal 25 4 2 3 2 2 2" xfId="17941" xr:uid="{00000000-0005-0000-0000-0000EF6A0000}"/>
    <cellStyle name="Normal 25 4 2 3 2 2 2 2" xfId="30999" xr:uid="{00000000-0005-0000-0000-0000F06A0000}"/>
    <cellStyle name="Normal 25 4 2 3 2 2 3" xfId="17942" xr:uid="{00000000-0005-0000-0000-0000F16A0000}"/>
    <cellStyle name="Normal 25 4 2 3 2 2 3 2" xfId="31000" xr:uid="{00000000-0005-0000-0000-0000F26A0000}"/>
    <cellStyle name="Normal 25 4 2 3 2 2 4" xfId="24802" xr:uid="{00000000-0005-0000-0000-0000F36A0000}"/>
    <cellStyle name="Normal 25 4 2 3 2 3" xfId="17943" xr:uid="{00000000-0005-0000-0000-0000F46A0000}"/>
    <cellStyle name="Normal 25 4 2 3 2 3 2" xfId="31001" xr:uid="{00000000-0005-0000-0000-0000F56A0000}"/>
    <cellStyle name="Normal 25 4 2 3 2 4" xfId="17944" xr:uid="{00000000-0005-0000-0000-0000F66A0000}"/>
    <cellStyle name="Normal 25 4 2 3 2 4 2" xfId="31002" xr:uid="{00000000-0005-0000-0000-0000F76A0000}"/>
    <cellStyle name="Normal 25 4 2 3 2 5" xfId="22646" xr:uid="{00000000-0005-0000-0000-0000F86A0000}"/>
    <cellStyle name="Normal 25 4 2 3 3" xfId="10354" xr:uid="{00000000-0005-0000-0000-0000F96A0000}"/>
    <cellStyle name="Normal 25 4 2 3 3 2" xfId="17945" xr:uid="{00000000-0005-0000-0000-0000FA6A0000}"/>
    <cellStyle name="Normal 25 4 2 3 3 2 2" xfId="31003" xr:uid="{00000000-0005-0000-0000-0000FB6A0000}"/>
    <cellStyle name="Normal 25 4 2 3 3 3" xfId="17946" xr:uid="{00000000-0005-0000-0000-0000FC6A0000}"/>
    <cellStyle name="Normal 25 4 2 3 3 3 2" xfId="31004" xr:uid="{00000000-0005-0000-0000-0000FD6A0000}"/>
    <cellStyle name="Normal 25 4 2 3 3 4" xfId="23724" xr:uid="{00000000-0005-0000-0000-0000FE6A0000}"/>
    <cellStyle name="Normal 25 4 2 3 4" xfId="17947" xr:uid="{00000000-0005-0000-0000-0000FF6A0000}"/>
    <cellStyle name="Normal 25 4 2 3 4 2" xfId="31005" xr:uid="{00000000-0005-0000-0000-0000006B0000}"/>
    <cellStyle name="Normal 25 4 2 3 5" xfId="17948" xr:uid="{00000000-0005-0000-0000-0000016B0000}"/>
    <cellStyle name="Normal 25 4 2 3 5 2" xfId="31006" xr:uid="{00000000-0005-0000-0000-0000026B0000}"/>
    <cellStyle name="Normal 25 4 2 3 6" xfId="21568" xr:uid="{00000000-0005-0000-0000-0000036B0000}"/>
    <cellStyle name="Normal 25 4 2 4" xfId="8451" xr:uid="{00000000-0005-0000-0000-0000046B0000}"/>
    <cellStyle name="Normal 25 4 2 4 2" xfId="10892" xr:uid="{00000000-0005-0000-0000-0000056B0000}"/>
    <cellStyle name="Normal 25 4 2 4 2 2" xfId="17949" xr:uid="{00000000-0005-0000-0000-0000066B0000}"/>
    <cellStyle name="Normal 25 4 2 4 2 2 2" xfId="31007" xr:uid="{00000000-0005-0000-0000-0000076B0000}"/>
    <cellStyle name="Normal 25 4 2 4 2 3" xfId="17950" xr:uid="{00000000-0005-0000-0000-0000086B0000}"/>
    <cellStyle name="Normal 25 4 2 4 2 3 2" xfId="31008" xr:uid="{00000000-0005-0000-0000-0000096B0000}"/>
    <cellStyle name="Normal 25 4 2 4 2 4" xfId="24262" xr:uid="{00000000-0005-0000-0000-00000A6B0000}"/>
    <cellStyle name="Normal 25 4 2 4 3" xfId="17951" xr:uid="{00000000-0005-0000-0000-00000B6B0000}"/>
    <cellStyle name="Normal 25 4 2 4 3 2" xfId="31009" xr:uid="{00000000-0005-0000-0000-00000C6B0000}"/>
    <cellStyle name="Normal 25 4 2 4 4" xfId="17952" xr:uid="{00000000-0005-0000-0000-00000D6B0000}"/>
    <cellStyle name="Normal 25 4 2 4 4 2" xfId="31010" xr:uid="{00000000-0005-0000-0000-00000E6B0000}"/>
    <cellStyle name="Normal 25 4 2 4 5" xfId="22106" xr:uid="{00000000-0005-0000-0000-00000F6B0000}"/>
    <cellStyle name="Normal 25 4 2 5" xfId="9814" xr:uid="{00000000-0005-0000-0000-0000106B0000}"/>
    <cellStyle name="Normal 25 4 2 5 2" xfId="17953" xr:uid="{00000000-0005-0000-0000-0000116B0000}"/>
    <cellStyle name="Normal 25 4 2 5 2 2" xfId="31011" xr:uid="{00000000-0005-0000-0000-0000126B0000}"/>
    <cellStyle name="Normal 25 4 2 5 3" xfId="17954" xr:uid="{00000000-0005-0000-0000-0000136B0000}"/>
    <cellStyle name="Normal 25 4 2 5 3 2" xfId="31012" xr:uid="{00000000-0005-0000-0000-0000146B0000}"/>
    <cellStyle name="Normal 25 4 2 5 4" xfId="23184" xr:uid="{00000000-0005-0000-0000-0000156B0000}"/>
    <cellStyle name="Normal 25 4 2 6" xfId="17955" xr:uid="{00000000-0005-0000-0000-0000166B0000}"/>
    <cellStyle name="Normal 25 4 2 6 2" xfId="31013" xr:uid="{00000000-0005-0000-0000-0000176B0000}"/>
    <cellStyle name="Normal 25 4 2 7" xfId="17956" xr:uid="{00000000-0005-0000-0000-0000186B0000}"/>
    <cellStyle name="Normal 25 4 2 7 2" xfId="31014" xr:uid="{00000000-0005-0000-0000-0000196B0000}"/>
    <cellStyle name="Normal 25 4 2 8" xfId="21028" xr:uid="{00000000-0005-0000-0000-00001A6B0000}"/>
    <cellStyle name="Normal 25 4 3" xfId="6605" xr:uid="{00000000-0005-0000-0000-00001B6B0000}"/>
    <cellStyle name="Normal 25 4 3 2" xfId="7301" xr:uid="{00000000-0005-0000-0000-00001C6B0000}"/>
    <cellStyle name="Normal 25 4 3 2 2" xfId="9180" xr:uid="{00000000-0005-0000-0000-00001D6B0000}"/>
    <cellStyle name="Normal 25 4 3 2 2 2" xfId="11559" xr:uid="{00000000-0005-0000-0000-00001E6B0000}"/>
    <cellStyle name="Normal 25 4 3 2 2 2 2" xfId="17957" xr:uid="{00000000-0005-0000-0000-00001F6B0000}"/>
    <cellStyle name="Normal 25 4 3 2 2 2 2 2" xfId="31015" xr:uid="{00000000-0005-0000-0000-0000206B0000}"/>
    <cellStyle name="Normal 25 4 3 2 2 2 3" xfId="17958" xr:uid="{00000000-0005-0000-0000-0000216B0000}"/>
    <cellStyle name="Normal 25 4 3 2 2 2 3 2" xfId="31016" xr:uid="{00000000-0005-0000-0000-0000226B0000}"/>
    <cellStyle name="Normal 25 4 3 2 2 2 4" xfId="24929" xr:uid="{00000000-0005-0000-0000-0000236B0000}"/>
    <cellStyle name="Normal 25 4 3 2 2 3" xfId="17959" xr:uid="{00000000-0005-0000-0000-0000246B0000}"/>
    <cellStyle name="Normal 25 4 3 2 2 3 2" xfId="31017" xr:uid="{00000000-0005-0000-0000-0000256B0000}"/>
    <cellStyle name="Normal 25 4 3 2 2 4" xfId="17960" xr:uid="{00000000-0005-0000-0000-0000266B0000}"/>
    <cellStyle name="Normal 25 4 3 2 2 4 2" xfId="31018" xr:uid="{00000000-0005-0000-0000-0000276B0000}"/>
    <cellStyle name="Normal 25 4 3 2 2 5" xfId="22773" xr:uid="{00000000-0005-0000-0000-0000286B0000}"/>
    <cellStyle name="Normal 25 4 3 2 3" xfId="10481" xr:uid="{00000000-0005-0000-0000-0000296B0000}"/>
    <cellStyle name="Normal 25 4 3 2 3 2" xfId="17961" xr:uid="{00000000-0005-0000-0000-00002A6B0000}"/>
    <cellStyle name="Normal 25 4 3 2 3 2 2" xfId="31019" xr:uid="{00000000-0005-0000-0000-00002B6B0000}"/>
    <cellStyle name="Normal 25 4 3 2 3 3" xfId="17962" xr:uid="{00000000-0005-0000-0000-00002C6B0000}"/>
    <cellStyle name="Normal 25 4 3 2 3 3 2" xfId="31020" xr:uid="{00000000-0005-0000-0000-00002D6B0000}"/>
    <cellStyle name="Normal 25 4 3 2 3 4" xfId="23851" xr:uid="{00000000-0005-0000-0000-00002E6B0000}"/>
    <cellStyle name="Normal 25 4 3 2 4" xfId="17963" xr:uid="{00000000-0005-0000-0000-00002F6B0000}"/>
    <cellStyle name="Normal 25 4 3 2 4 2" xfId="31021" xr:uid="{00000000-0005-0000-0000-0000306B0000}"/>
    <cellStyle name="Normal 25 4 3 2 5" xfId="17964" xr:uid="{00000000-0005-0000-0000-0000316B0000}"/>
    <cellStyle name="Normal 25 4 3 2 5 2" xfId="31022" xr:uid="{00000000-0005-0000-0000-0000326B0000}"/>
    <cellStyle name="Normal 25 4 3 2 6" xfId="21695" xr:uid="{00000000-0005-0000-0000-0000336B0000}"/>
    <cellStyle name="Normal 25 4 3 3" xfId="8633" xr:uid="{00000000-0005-0000-0000-0000346B0000}"/>
    <cellStyle name="Normal 25 4 3 3 2" xfId="11019" xr:uid="{00000000-0005-0000-0000-0000356B0000}"/>
    <cellStyle name="Normal 25 4 3 3 2 2" xfId="17965" xr:uid="{00000000-0005-0000-0000-0000366B0000}"/>
    <cellStyle name="Normal 25 4 3 3 2 2 2" xfId="31023" xr:uid="{00000000-0005-0000-0000-0000376B0000}"/>
    <cellStyle name="Normal 25 4 3 3 2 3" xfId="17966" xr:uid="{00000000-0005-0000-0000-0000386B0000}"/>
    <cellStyle name="Normal 25 4 3 3 2 3 2" xfId="31024" xr:uid="{00000000-0005-0000-0000-0000396B0000}"/>
    <cellStyle name="Normal 25 4 3 3 2 4" xfId="24389" xr:uid="{00000000-0005-0000-0000-00003A6B0000}"/>
    <cellStyle name="Normal 25 4 3 3 3" xfId="17967" xr:uid="{00000000-0005-0000-0000-00003B6B0000}"/>
    <cellStyle name="Normal 25 4 3 3 3 2" xfId="31025" xr:uid="{00000000-0005-0000-0000-00003C6B0000}"/>
    <cellStyle name="Normal 25 4 3 3 4" xfId="17968" xr:uid="{00000000-0005-0000-0000-00003D6B0000}"/>
    <cellStyle name="Normal 25 4 3 3 4 2" xfId="31026" xr:uid="{00000000-0005-0000-0000-00003E6B0000}"/>
    <cellStyle name="Normal 25 4 3 3 5" xfId="22233" xr:uid="{00000000-0005-0000-0000-00003F6B0000}"/>
    <cellStyle name="Normal 25 4 3 4" xfId="9941" xr:uid="{00000000-0005-0000-0000-0000406B0000}"/>
    <cellStyle name="Normal 25 4 3 4 2" xfId="17969" xr:uid="{00000000-0005-0000-0000-0000416B0000}"/>
    <cellStyle name="Normal 25 4 3 4 2 2" xfId="31027" xr:uid="{00000000-0005-0000-0000-0000426B0000}"/>
    <cellStyle name="Normal 25 4 3 4 3" xfId="17970" xr:uid="{00000000-0005-0000-0000-0000436B0000}"/>
    <cellStyle name="Normal 25 4 3 4 3 2" xfId="31028" xr:uid="{00000000-0005-0000-0000-0000446B0000}"/>
    <cellStyle name="Normal 25 4 3 4 4" xfId="23311" xr:uid="{00000000-0005-0000-0000-0000456B0000}"/>
    <cellStyle name="Normal 25 4 3 5" xfId="17971" xr:uid="{00000000-0005-0000-0000-0000466B0000}"/>
    <cellStyle name="Normal 25 4 3 5 2" xfId="31029" xr:uid="{00000000-0005-0000-0000-0000476B0000}"/>
    <cellStyle name="Normal 25 4 3 6" xfId="17972" xr:uid="{00000000-0005-0000-0000-0000486B0000}"/>
    <cellStyle name="Normal 25 4 3 6 2" xfId="31030" xr:uid="{00000000-0005-0000-0000-0000496B0000}"/>
    <cellStyle name="Normal 25 4 3 7" xfId="21155" xr:uid="{00000000-0005-0000-0000-00004A6B0000}"/>
    <cellStyle name="Normal 25 4 4" xfId="7031" xr:uid="{00000000-0005-0000-0000-00004B6B0000}"/>
    <cellStyle name="Normal 25 4 4 2" xfId="8911" xr:uid="{00000000-0005-0000-0000-00004C6B0000}"/>
    <cellStyle name="Normal 25 4 4 2 2" xfId="11290" xr:uid="{00000000-0005-0000-0000-00004D6B0000}"/>
    <cellStyle name="Normal 25 4 4 2 2 2" xfId="17973" xr:uid="{00000000-0005-0000-0000-00004E6B0000}"/>
    <cellStyle name="Normal 25 4 4 2 2 2 2" xfId="31031" xr:uid="{00000000-0005-0000-0000-00004F6B0000}"/>
    <cellStyle name="Normal 25 4 4 2 2 3" xfId="17974" xr:uid="{00000000-0005-0000-0000-0000506B0000}"/>
    <cellStyle name="Normal 25 4 4 2 2 3 2" xfId="31032" xr:uid="{00000000-0005-0000-0000-0000516B0000}"/>
    <cellStyle name="Normal 25 4 4 2 2 4" xfId="24660" xr:uid="{00000000-0005-0000-0000-0000526B0000}"/>
    <cellStyle name="Normal 25 4 4 2 3" xfId="17975" xr:uid="{00000000-0005-0000-0000-0000536B0000}"/>
    <cellStyle name="Normal 25 4 4 2 3 2" xfId="31033" xr:uid="{00000000-0005-0000-0000-0000546B0000}"/>
    <cellStyle name="Normal 25 4 4 2 4" xfId="17976" xr:uid="{00000000-0005-0000-0000-0000556B0000}"/>
    <cellStyle name="Normal 25 4 4 2 4 2" xfId="31034" xr:uid="{00000000-0005-0000-0000-0000566B0000}"/>
    <cellStyle name="Normal 25 4 4 2 5" xfId="22504" xr:uid="{00000000-0005-0000-0000-0000576B0000}"/>
    <cellStyle name="Normal 25 4 4 3" xfId="10212" xr:uid="{00000000-0005-0000-0000-0000586B0000}"/>
    <cellStyle name="Normal 25 4 4 3 2" xfId="17977" xr:uid="{00000000-0005-0000-0000-0000596B0000}"/>
    <cellStyle name="Normal 25 4 4 3 2 2" xfId="31035" xr:uid="{00000000-0005-0000-0000-00005A6B0000}"/>
    <cellStyle name="Normal 25 4 4 3 3" xfId="17978" xr:uid="{00000000-0005-0000-0000-00005B6B0000}"/>
    <cellStyle name="Normal 25 4 4 3 3 2" xfId="31036" xr:uid="{00000000-0005-0000-0000-00005C6B0000}"/>
    <cellStyle name="Normal 25 4 4 3 4" xfId="23582" xr:uid="{00000000-0005-0000-0000-00005D6B0000}"/>
    <cellStyle name="Normal 25 4 4 4" xfId="17979" xr:uid="{00000000-0005-0000-0000-00005E6B0000}"/>
    <cellStyle name="Normal 25 4 4 4 2" xfId="31037" xr:uid="{00000000-0005-0000-0000-00005F6B0000}"/>
    <cellStyle name="Normal 25 4 4 5" xfId="17980" xr:uid="{00000000-0005-0000-0000-0000606B0000}"/>
    <cellStyle name="Normal 25 4 4 5 2" xfId="31038" xr:uid="{00000000-0005-0000-0000-0000616B0000}"/>
    <cellStyle name="Normal 25 4 4 6" xfId="21426" xr:uid="{00000000-0005-0000-0000-0000626B0000}"/>
    <cellStyle name="Normal 25 4 5" xfId="8235" xr:uid="{00000000-0005-0000-0000-0000636B0000}"/>
    <cellStyle name="Normal 25 4 5 2" xfId="10750" xr:uid="{00000000-0005-0000-0000-0000646B0000}"/>
    <cellStyle name="Normal 25 4 5 2 2" xfId="17981" xr:uid="{00000000-0005-0000-0000-0000656B0000}"/>
    <cellStyle name="Normal 25 4 5 2 2 2" xfId="31039" xr:uid="{00000000-0005-0000-0000-0000666B0000}"/>
    <cellStyle name="Normal 25 4 5 2 3" xfId="17982" xr:uid="{00000000-0005-0000-0000-0000676B0000}"/>
    <cellStyle name="Normal 25 4 5 2 3 2" xfId="31040" xr:uid="{00000000-0005-0000-0000-0000686B0000}"/>
    <cellStyle name="Normal 25 4 5 2 4" xfId="24120" xr:uid="{00000000-0005-0000-0000-0000696B0000}"/>
    <cellStyle name="Normal 25 4 5 3" xfId="17983" xr:uid="{00000000-0005-0000-0000-00006A6B0000}"/>
    <cellStyle name="Normal 25 4 5 3 2" xfId="31041" xr:uid="{00000000-0005-0000-0000-00006B6B0000}"/>
    <cellStyle name="Normal 25 4 5 4" xfId="17984" xr:uid="{00000000-0005-0000-0000-00006C6B0000}"/>
    <cellStyle name="Normal 25 4 5 4 2" xfId="31042" xr:uid="{00000000-0005-0000-0000-00006D6B0000}"/>
    <cellStyle name="Normal 25 4 5 5" xfId="21964" xr:uid="{00000000-0005-0000-0000-00006E6B0000}"/>
    <cellStyle name="Normal 25 4 6" xfId="9671" xr:uid="{00000000-0005-0000-0000-00006F6B0000}"/>
    <cellStyle name="Normal 25 4 6 2" xfId="17985" xr:uid="{00000000-0005-0000-0000-0000706B0000}"/>
    <cellStyle name="Normal 25 4 6 2 2" xfId="31043" xr:uid="{00000000-0005-0000-0000-0000716B0000}"/>
    <cellStyle name="Normal 25 4 6 3" xfId="17986" xr:uid="{00000000-0005-0000-0000-0000726B0000}"/>
    <cellStyle name="Normal 25 4 6 3 2" xfId="31044" xr:uid="{00000000-0005-0000-0000-0000736B0000}"/>
    <cellStyle name="Normal 25 4 6 4" xfId="23042" xr:uid="{00000000-0005-0000-0000-0000746B0000}"/>
    <cellStyle name="Normal 25 4 7" xfId="17987" xr:uid="{00000000-0005-0000-0000-0000756B0000}"/>
    <cellStyle name="Normal 25 4 7 2" xfId="31045" xr:uid="{00000000-0005-0000-0000-0000766B0000}"/>
    <cellStyle name="Normal 25 4 8" xfId="17988" xr:uid="{00000000-0005-0000-0000-0000776B0000}"/>
    <cellStyle name="Normal 25 4 8 2" xfId="31046" xr:uid="{00000000-0005-0000-0000-0000786B0000}"/>
    <cellStyle name="Normal 25 4 9" xfId="20885" xr:uid="{00000000-0005-0000-0000-0000796B0000}"/>
    <cellStyle name="Normal 25 5" xfId="5253" xr:uid="{00000000-0005-0000-0000-00007A6B0000}"/>
    <cellStyle name="Normal 25 5 2" xfId="6691" xr:uid="{00000000-0005-0000-0000-00007B6B0000}"/>
    <cellStyle name="Normal 25 5 2 2" xfId="7380" xr:uid="{00000000-0005-0000-0000-00007C6B0000}"/>
    <cellStyle name="Normal 25 5 2 2 2" xfId="9259" xr:uid="{00000000-0005-0000-0000-00007D6B0000}"/>
    <cellStyle name="Normal 25 5 2 2 2 2" xfId="11638" xr:uid="{00000000-0005-0000-0000-00007E6B0000}"/>
    <cellStyle name="Normal 25 5 2 2 2 2 2" xfId="17989" xr:uid="{00000000-0005-0000-0000-00007F6B0000}"/>
    <cellStyle name="Normal 25 5 2 2 2 2 2 2" xfId="31047" xr:uid="{00000000-0005-0000-0000-0000806B0000}"/>
    <cellStyle name="Normal 25 5 2 2 2 2 3" xfId="17990" xr:uid="{00000000-0005-0000-0000-0000816B0000}"/>
    <cellStyle name="Normal 25 5 2 2 2 2 3 2" xfId="31048" xr:uid="{00000000-0005-0000-0000-0000826B0000}"/>
    <cellStyle name="Normal 25 5 2 2 2 2 4" xfId="25008" xr:uid="{00000000-0005-0000-0000-0000836B0000}"/>
    <cellStyle name="Normal 25 5 2 2 2 3" xfId="17991" xr:uid="{00000000-0005-0000-0000-0000846B0000}"/>
    <cellStyle name="Normal 25 5 2 2 2 3 2" xfId="31049" xr:uid="{00000000-0005-0000-0000-0000856B0000}"/>
    <cellStyle name="Normal 25 5 2 2 2 4" xfId="17992" xr:uid="{00000000-0005-0000-0000-0000866B0000}"/>
    <cellStyle name="Normal 25 5 2 2 2 4 2" xfId="31050" xr:uid="{00000000-0005-0000-0000-0000876B0000}"/>
    <cellStyle name="Normal 25 5 2 2 2 5" xfId="22852" xr:uid="{00000000-0005-0000-0000-0000886B0000}"/>
    <cellStyle name="Normal 25 5 2 2 3" xfId="10560" xr:uid="{00000000-0005-0000-0000-0000896B0000}"/>
    <cellStyle name="Normal 25 5 2 2 3 2" xfId="17993" xr:uid="{00000000-0005-0000-0000-00008A6B0000}"/>
    <cellStyle name="Normal 25 5 2 2 3 2 2" xfId="31051" xr:uid="{00000000-0005-0000-0000-00008B6B0000}"/>
    <cellStyle name="Normal 25 5 2 2 3 3" xfId="17994" xr:uid="{00000000-0005-0000-0000-00008C6B0000}"/>
    <cellStyle name="Normal 25 5 2 2 3 3 2" xfId="31052" xr:uid="{00000000-0005-0000-0000-00008D6B0000}"/>
    <cellStyle name="Normal 25 5 2 2 3 4" xfId="23930" xr:uid="{00000000-0005-0000-0000-00008E6B0000}"/>
    <cellStyle name="Normal 25 5 2 2 4" xfId="17995" xr:uid="{00000000-0005-0000-0000-00008F6B0000}"/>
    <cellStyle name="Normal 25 5 2 2 4 2" xfId="31053" xr:uid="{00000000-0005-0000-0000-0000906B0000}"/>
    <cellStyle name="Normal 25 5 2 2 5" xfId="17996" xr:uid="{00000000-0005-0000-0000-0000916B0000}"/>
    <cellStyle name="Normal 25 5 2 2 5 2" xfId="31054" xr:uid="{00000000-0005-0000-0000-0000926B0000}"/>
    <cellStyle name="Normal 25 5 2 2 6" xfId="21774" xr:uid="{00000000-0005-0000-0000-0000936B0000}"/>
    <cellStyle name="Normal 25 5 2 3" xfId="8713" xr:uid="{00000000-0005-0000-0000-0000946B0000}"/>
    <cellStyle name="Normal 25 5 2 3 2" xfId="11098" xr:uid="{00000000-0005-0000-0000-0000956B0000}"/>
    <cellStyle name="Normal 25 5 2 3 2 2" xfId="17997" xr:uid="{00000000-0005-0000-0000-0000966B0000}"/>
    <cellStyle name="Normal 25 5 2 3 2 2 2" xfId="31055" xr:uid="{00000000-0005-0000-0000-0000976B0000}"/>
    <cellStyle name="Normal 25 5 2 3 2 3" xfId="17998" xr:uid="{00000000-0005-0000-0000-0000986B0000}"/>
    <cellStyle name="Normal 25 5 2 3 2 3 2" xfId="31056" xr:uid="{00000000-0005-0000-0000-0000996B0000}"/>
    <cellStyle name="Normal 25 5 2 3 2 4" xfId="24468" xr:uid="{00000000-0005-0000-0000-00009A6B0000}"/>
    <cellStyle name="Normal 25 5 2 3 3" xfId="17999" xr:uid="{00000000-0005-0000-0000-00009B6B0000}"/>
    <cellStyle name="Normal 25 5 2 3 3 2" xfId="31057" xr:uid="{00000000-0005-0000-0000-00009C6B0000}"/>
    <cellStyle name="Normal 25 5 2 3 4" xfId="18000" xr:uid="{00000000-0005-0000-0000-00009D6B0000}"/>
    <cellStyle name="Normal 25 5 2 3 4 2" xfId="31058" xr:uid="{00000000-0005-0000-0000-00009E6B0000}"/>
    <cellStyle name="Normal 25 5 2 3 5" xfId="22312" xr:uid="{00000000-0005-0000-0000-00009F6B0000}"/>
    <cellStyle name="Normal 25 5 2 4" xfId="10020" xr:uid="{00000000-0005-0000-0000-0000A06B0000}"/>
    <cellStyle name="Normal 25 5 2 4 2" xfId="18001" xr:uid="{00000000-0005-0000-0000-0000A16B0000}"/>
    <cellStyle name="Normal 25 5 2 4 2 2" xfId="31059" xr:uid="{00000000-0005-0000-0000-0000A26B0000}"/>
    <cellStyle name="Normal 25 5 2 4 3" xfId="18002" xr:uid="{00000000-0005-0000-0000-0000A36B0000}"/>
    <cellStyle name="Normal 25 5 2 4 3 2" xfId="31060" xr:uid="{00000000-0005-0000-0000-0000A46B0000}"/>
    <cellStyle name="Normal 25 5 2 4 4" xfId="23390" xr:uid="{00000000-0005-0000-0000-0000A56B0000}"/>
    <cellStyle name="Normal 25 5 2 5" xfId="18003" xr:uid="{00000000-0005-0000-0000-0000A66B0000}"/>
    <cellStyle name="Normal 25 5 2 5 2" xfId="31061" xr:uid="{00000000-0005-0000-0000-0000A76B0000}"/>
    <cellStyle name="Normal 25 5 2 6" xfId="18004" xr:uid="{00000000-0005-0000-0000-0000A86B0000}"/>
    <cellStyle name="Normal 25 5 2 6 2" xfId="31062" xr:uid="{00000000-0005-0000-0000-0000A96B0000}"/>
    <cellStyle name="Normal 25 5 2 7" xfId="21234" xr:uid="{00000000-0005-0000-0000-0000AA6B0000}"/>
    <cellStyle name="Normal 25 5 3" xfId="7111" xr:uid="{00000000-0005-0000-0000-0000AB6B0000}"/>
    <cellStyle name="Normal 25 5 3 2" xfId="8990" xr:uid="{00000000-0005-0000-0000-0000AC6B0000}"/>
    <cellStyle name="Normal 25 5 3 2 2" xfId="11369" xr:uid="{00000000-0005-0000-0000-0000AD6B0000}"/>
    <cellStyle name="Normal 25 5 3 2 2 2" xfId="18005" xr:uid="{00000000-0005-0000-0000-0000AE6B0000}"/>
    <cellStyle name="Normal 25 5 3 2 2 2 2" xfId="31063" xr:uid="{00000000-0005-0000-0000-0000AF6B0000}"/>
    <cellStyle name="Normal 25 5 3 2 2 3" xfId="18006" xr:uid="{00000000-0005-0000-0000-0000B06B0000}"/>
    <cellStyle name="Normal 25 5 3 2 2 3 2" xfId="31064" xr:uid="{00000000-0005-0000-0000-0000B16B0000}"/>
    <cellStyle name="Normal 25 5 3 2 2 4" xfId="24739" xr:uid="{00000000-0005-0000-0000-0000B26B0000}"/>
    <cellStyle name="Normal 25 5 3 2 3" xfId="18007" xr:uid="{00000000-0005-0000-0000-0000B36B0000}"/>
    <cellStyle name="Normal 25 5 3 2 3 2" xfId="31065" xr:uid="{00000000-0005-0000-0000-0000B46B0000}"/>
    <cellStyle name="Normal 25 5 3 2 4" xfId="18008" xr:uid="{00000000-0005-0000-0000-0000B56B0000}"/>
    <cellStyle name="Normal 25 5 3 2 4 2" xfId="31066" xr:uid="{00000000-0005-0000-0000-0000B66B0000}"/>
    <cellStyle name="Normal 25 5 3 2 5" xfId="22583" xr:uid="{00000000-0005-0000-0000-0000B76B0000}"/>
    <cellStyle name="Normal 25 5 3 3" xfId="10291" xr:uid="{00000000-0005-0000-0000-0000B86B0000}"/>
    <cellStyle name="Normal 25 5 3 3 2" xfId="18009" xr:uid="{00000000-0005-0000-0000-0000B96B0000}"/>
    <cellStyle name="Normal 25 5 3 3 2 2" xfId="31067" xr:uid="{00000000-0005-0000-0000-0000BA6B0000}"/>
    <cellStyle name="Normal 25 5 3 3 3" xfId="18010" xr:uid="{00000000-0005-0000-0000-0000BB6B0000}"/>
    <cellStyle name="Normal 25 5 3 3 3 2" xfId="31068" xr:uid="{00000000-0005-0000-0000-0000BC6B0000}"/>
    <cellStyle name="Normal 25 5 3 3 4" xfId="23661" xr:uid="{00000000-0005-0000-0000-0000BD6B0000}"/>
    <cellStyle name="Normal 25 5 3 4" xfId="18011" xr:uid="{00000000-0005-0000-0000-0000BE6B0000}"/>
    <cellStyle name="Normal 25 5 3 4 2" xfId="31069" xr:uid="{00000000-0005-0000-0000-0000BF6B0000}"/>
    <cellStyle name="Normal 25 5 3 5" xfId="18012" xr:uid="{00000000-0005-0000-0000-0000C06B0000}"/>
    <cellStyle name="Normal 25 5 3 5 2" xfId="31070" xr:uid="{00000000-0005-0000-0000-0000C16B0000}"/>
    <cellStyle name="Normal 25 5 3 6" xfId="21505" xr:uid="{00000000-0005-0000-0000-0000C26B0000}"/>
    <cellStyle name="Normal 25 5 4" xfId="8375" xr:uid="{00000000-0005-0000-0000-0000C36B0000}"/>
    <cellStyle name="Normal 25 5 4 2" xfId="10829" xr:uid="{00000000-0005-0000-0000-0000C46B0000}"/>
    <cellStyle name="Normal 25 5 4 2 2" xfId="18013" xr:uid="{00000000-0005-0000-0000-0000C56B0000}"/>
    <cellStyle name="Normal 25 5 4 2 2 2" xfId="31071" xr:uid="{00000000-0005-0000-0000-0000C66B0000}"/>
    <cellStyle name="Normal 25 5 4 2 3" xfId="18014" xr:uid="{00000000-0005-0000-0000-0000C76B0000}"/>
    <cellStyle name="Normal 25 5 4 2 3 2" xfId="31072" xr:uid="{00000000-0005-0000-0000-0000C86B0000}"/>
    <cellStyle name="Normal 25 5 4 2 4" xfId="24199" xr:uid="{00000000-0005-0000-0000-0000C96B0000}"/>
    <cellStyle name="Normal 25 5 4 3" xfId="18015" xr:uid="{00000000-0005-0000-0000-0000CA6B0000}"/>
    <cellStyle name="Normal 25 5 4 3 2" xfId="31073" xr:uid="{00000000-0005-0000-0000-0000CB6B0000}"/>
    <cellStyle name="Normal 25 5 4 4" xfId="18016" xr:uid="{00000000-0005-0000-0000-0000CC6B0000}"/>
    <cellStyle name="Normal 25 5 4 4 2" xfId="31074" xr:uid="{00000000-0005-0000-0000-0000CD6B0000}"/>
    <cellStyle name="Normal 25 5 4 5" xfId="22043" xr:uid="{00000000-0005-0000-0000-0000CE6B0000}"/>
    <cellStyle name="Normal 25 5 5" xfId="9751" xr:uid="{00000000-0005-0000-0000-0000CF6B0000}"/>
    <cellStyle name="Normal 25 5 5 2" xfId="18017" xr:uid="{00000000-0005-0000-0000-0000D06B0000}"/>
    <cellStyle name="Normal 25 5 5 2 2" xfId="31075" xr:uid="{00000000-0005-0000-0000-0000D16B0000}"/>
    <cellStyle name="Normal 25 5 5 3" xfId="18018" xr:uid="{00000000-0005-0000-0000-0000D26B0000}"/>
    <cellStyle name="Normal 25 5 5 3 2" xfId="31076" xr:uid="{00000000-0005-0000-0000-0000D36B0000}"/>
    <cellStyle name="Normal 25 5 5 4" xfId="23121" xr:uid="{00000000-0005-0000-0000-0000D46B0000}"/>
    <cellStyle name="Normal 25 5 6" xfId="18019" xr:uid="{00000000-0005-0000-0000-0000D56B0000}"/>
    <cellStyle name="Normal 25 5 6 2" xfId="31077" xr:uid="{00000000-0005-0000-0000-0000D66B0000}"/>
    <cellStyle name="Normal 25 5 7" xfId="18020" xr:uid="{00000000-0005-0000-0000-0000D76B0000}"/>
    <cellStyle name="Normal 25 5 7 2" xfId="31078" xr:uid="{00000000-0005-0000-0000-0000D86B0000}"/>
    <cellStyle name="Normal 25 5 8" xfId="20965" xr:uid="{00000000-0005-0000-0000-0000D96B0000}"/>
    <cellStyle name="Normal 25 6" xfId="6527" xr:uid="{00000000-0005-0000-0000-0000DA6B0000}"/>
    <cellStyle name="Normal 25 6 2" xfId="7246" xr:uid="{00000000-0005-0000-0000-0000DB6B0000}"/>
    <cellStyle name="Normal 25 6 2 2" xfId="9125" xr:uid="{00000000-0005-0000-0000-0000DC6B0000}"/>
    <cellStyle name="Normal 25 6 2 2 2" xfId="11504" xr:uid="{00000000-0005-0000-0000-0000DD6B0000}"/>
    <cellStyle name="Normal 25 6 2 2 2 2" xfId="18021" xr:uid="{00000000-0005-0000-0000-0000DE6B0000}"/>
    <cellStyle name="Normal 25 6 2 2 2 2 2" xfId="31079" xr:uid="{00000000-0005-0000-0000-0000DF6B0000}"/>
    <cellStyle name="Normal 25 6 2 2 2 3" xfId="18022" xr:uid="{00000000-0005-0000-0000-0000E06B0000}"/>
    <cellStyle name="Normal 25 6 2 2 2 3 2" xfId="31080" xr:uid="{00000000-0005-0000-0000-0000E16B0000}"/>
    <cellStyle name="Normal 25 6 2 2 2 4" xfId="24874" xr:uid="{00000000-0005-0000-0000-0000E26B0000}"/>
    <cellStyle name="Normal 25 6 2 2 3" xfId="18023" xr:uid="{00000000-0005-0000-0000-0000E36B0000}"/>
    <cellStyle name="Normal 25 6 2 2 3 2" xfId="31081" xr:uid="{00000000-0005-0000-0000-0000E46B0000}"/>
    <cellStyle name="Normal 25 6 2 2 4" xfId="18024" xr:uid="{00000000-0005-0000-0000-0000E56B0000}"/>
    <cellStyle name="Normal 25 6 2 2 4 2" xfId="31082" xr:uid="{00000000-0005-0000-0000-0000E66B0000}"/>
    <cellStyle name="Normal 25 6 2 2 5" xfId="22718" xr:uid="{00000000-0005-0000-0000-0000E76B0000}"/>
    <cellStyle name="Normal 25 6 2 3" xfId="10426" xr:uid="{00000000-0005-0000-0000-0000E86B0000}"/>
    <cellStyle name="Normal 25 6 2 3 2" xfId="18025" xr:uid="{00000000-0005-0000-0000-0000E96B0000}"/>
    <cellStyle name="Normal 25 6 2 3 2 2" xfId="31083" xr:uid="{00000000-0005-0000-0000-0000EA6B0000}"/>
    <cellStyle name="Normal 25 6 2 3 3" xfId="18026" xr:uid="{00000000-0005-0000-0000-0000EB6B0000}"/>
    <cellStyle name="Normal 25 6 2 3 3 2" xfId="31084" xr:uid="{00000000-0005-0000-0000-0000EC6B0000}"/>
    <cellStyle name="Normal 25 6 2 3 4" xfId="23796" xr:uid="{00000000-0005-0000-0000-0000ED6B0000}"/>
    <cellStyle name="Normal 25 6 2 4" xfId="18027" xr:uid="{00000000-0005-0000-0000-0000EE6B0000}"/>
    <cellStyle name="Normal 25 6 2 4 2" xfId="31085" xr:uid="{00000000-0005-0000-0000-0000EF6B0000}"/>
    <cellStyle name="Normal 25 6 2 5" xfId="18028" xr:uid="{00000000-0005-0000-0000-0000F06B0000}"/>
    <cellStyle name="Normal 25 6 2 5 2" xfId="31086" xr:uid="{00000000-0005-0000-0000-0000F16B0000}"/>
    <cellStyle name="Normal 25 6 2 6" xfId="21640" xr:uid="{00000000-0005-0000-0000-0000F26B0000}"/>
    <cellStyle name="Normal 25 6 3" xfId="8577" xr:uid="{00000000-0005-0000-0000-0000F36B0000}"/>
    <cellStyle name="Normal 25 6 3 2" xfId="10964" xr:uid="{00000000-0005-0000-0000-0000F46B0000}"/>
    <cellStyle name="Normal 25 6 3 2 2" xfId="18029" xr:uid="{00000000-0005-0000-0000-0000F56B0000}"/>
    <cellStyle name="Normal 25 6 3 2 2 2" xfId="31087" xr:uid="{00000000-0005-0000-0000-0000F66B0000}"/>
    <cellStyle name="Normal 25 6 3 2 3" xfId="18030" xr:uid="{00000000-0005-0000-0000-0000F76B0000}"/>
    <cellStyle name="Normal 25 6 3 2 3 2" xfId="31088" xr:uid="{00000000-0005-0000-0000-0000F86B0000}"/>
    <cellStyle name="Normal 25 6 3 2 4" xfId="24334" xr:uid="{00000000-0005-0000-0000-0000F96B0000}"/>
    <cellStyle name="Normal 25 6 3 3" xfId="18031" xr:uid="{00000000-0005-0000-0000-0000FA6B0000}"/>
    <cellStyle name="Normal 25 6 3 3 2" xfId="31089" xr:uid="{00000000-0005-0000-0000-0000FB6B0000}"/>
    <cellStyle name="Normal 25 6 3 4" xfId="18032" xr:uid="{00000000-0005-0000-0000-0000FC6B0000}"/>
    <cellStyle name="Normal 25 6 3 4 2" xfId="31090" xr:uid="{00000000-0005-0000-0000-0000FD6B0000}"/>
    <cellStyle name="Normal 25 6 3 5" xfId="22178" xr:uid="{00000000-0005-0000-0000-0000FE6B0000}"/>
    <cellStyle name="Normal 25 6 4" xfId="9886" xr:uid="{00000000-0005-0000-0000-0000FF6B0000}"/>
    <cellStyle name="Normal 25 6 4 2" xfId="18033" xr:uid="{00000000-0005-0000-0000-0000006C0000}"/>
    <cellStyle name="Normal 25 6 4 2 2" xfId="31091" xr:uid="{00000000-0005-0000-0000-0000016C0000}"/>
    <cellStyle name="Normal 25 6 4 3" xfId="18034" xr:uid="{00000000-0005-0000-0000-0000026C0000}"/>
    <cellStyle name="Normal 25 6 4 3 2" xfId="31092" xr:uid="{00000000-0005-0000-0000-0000036C0000}"/>
    <cellStyle name="Normal 25 6 4 4" xfId="23256" xr:uid="{00000000-0005-0000-0000-0000046C0000}"/>
    <cellStyle name="Normal 25 6 5" xfId="18035" xr:uid="{00000000-0005-0000-0000-0000056C0000}"/>
    <cellStyle name="Normal 25 6 5 2" xfId="31093" xr:uid="{00000000-0005-0000-0000-0000066C0000}"/>
    <cellStyle name="Normal 25 6 6" xfId="18036" xr:uid="{00000000-0005-0000-0000-0000076C0000}"/>
    <cellStyle name="Normal 25 6 6 2" xfId="31094" xr:uid="{00000000-0005-0000-0000-0000086C0000}"/>
    <cellStyle name="Normal 25 6 7" xfId="21100" xr:uid="{00000000-0005-0000-0000-0000096C0000}"/>
    <cellStyle name="Normal 25 7" xfId="6976" xr:uid="{00000000-0005-0000-0000-00000A6C0000}"/>
    <cellStyle name="Normal 25 7 2" xfId="8856" xr:uid="{00000000-0005-0000-0000-00000B6C0000}"/>
    <cellStyle name="Normal 25 7 2 2" xfId="11235" xr:uid="{00000000-0005-0000-0000-00000C6C0000}"/>
    <cellStyle name="Normal 25 7 2 2 2" xfId="18037" xr:uid="{00000000-0005-0000-0000-00000D6C0000}"/>
    <cellStyle name="Normal 25 7 2 2 2 2" xfId="31095" xr:uid="{00000000-0005-0000-0000-00000E6C0000}"/>
    <cellStyle name="Normal 25 7 2 2 3" xfId="18038" xr:uid="{00000000-0005-0000-0000-00000F6C0000}"/>
    <cellStyle name="Normal 25 7 2 2 3 2" xfId="31096" xr:uid="{00000000-0005-0000-0000-0000106C0000}"/>
    <cellStyle name="Normal 25 7 2 2 4" xfId="24605" xr:uid="{00000000-0005-0000-0000-0000116C0000}"/>
    <cellStyle name="Normal 25 7 2 3" xfId="18039" xr:uid="{00000000-0005-0000-0000-0000126C0000}"/>
    <cellStyle name="Normal 25 7 2 3 2" xfId="31097" xr:uid="{00000000-0005-0000-0000-0000136C0000}"/>
    <cellStyle name="Normal 25 7 2 4" xfId="18040" xr:uid="{00000000-0005-0000-0000-0000146C0000}"/>
    <cellStyle name="Normal 25 7 2 4 2" xfId="31098" xr:uid="{00000000-0005-0000-0000-0000156C0000}"/>
    <cellStyle name="Normal 25 7 2 5" xfId="22449" xr:uid="{00000000-0005-0000-0000-0000166C0000}"/>
    <cellStyle name="Normal 25 7 3" xfId="10157" xr:uid="{00000000-0005-0000-0000-0000176C0000}"/>
    <cellStyle name="Normal 25 7 3 2" xfId="18041" xr:uid="{00000000-0005-0000-0000-0000186C0000}"/>
    <cellStyle name="Normal 25 7 3 2 2" xfId="31099" xr:uid="{00000000-0005-0000-0000-0000196C0000}"/>
    <cellStyle name="Normal 25 7 3 3" xfId="18042" xr:uid="{00000000-0005-0000-0000-00001A6C0000}"/>
    <cellStyle name="Normal 25 7 3 3 2" xfId="31100" xr:uid="{00000000-0005-0000-0000-00001B6C0000}"/>
    <cellStyle name="Normal 25 7 3 4" xfId="23527" xr:uid="{00000000-0005-0000-0000-00001C6C0000}"/>
    <cellStyle name="Normal 25 7 4" xfId="18043" xr:uid="{00000000-0005-0000-0000-00001D6C0000}"/>
    <cellStyle name="Normal 25 7 4 2" xfId="31101" xr:uid="{00000000-0005-0000-0000-00001E6C0000}"/>
    <cellStyle name="Normal 25 7 5" xfId="18044" xr:uid="{00000000-0005-0000-0000-00001F6C0000}"/>
    <cellStyle name="Normal 25 7 5 2" xfId="31102" xr:uid="{00000000-0005-0000-0000-0000206C0000}"/>
    <cellStyle name="Normal 25 7 6" xfId="21371" xr:uid="{00000000-0005-0000-0000-0000216C0000}"/>
    <cellStyle name="Normal 25 8" xfId="8108" xr:uid="{00000000-0005-0000-0000-0000226C0000}"/>
    <cellStyle name="Normal 25 8 2" xfId="10695" xr:uid="{00000000-0005-0000-0000-0000236C0000}"/>
    <cellStyle name="Normal 25 8 2 2" xfId="18045" xr:uid="{00000000-0005-0000-0000-0000246C0000}"/>
    <cellStyle name="Normal 25 8 2 2 2" xfId="31103" xr:uid="{00000000-0005-0000-0000-0000256C0000}"/>
    <cellStyle name="Normal 25 8 2 3" xfId="18046" xr:uid="{00000000-0005-0000-0000-0000266C0000}"/>
    <cellStyle name="Normal 25 8 2 3 2" xfId="31104" xr:uid="{00000000-0005-0000-0000-0000276C0000}"/>
    <cellStyle name="Normal 25 8 2 4" xfId="24065" xr:uid="{00000000-0005-0000-0000-0000286C0000}"/>
    <cellStyle name="Normal 25 8 3" xfId="18047" xr:uid="{00000000-0005-0000-0000-0000296C0000}"/>
    <cellStyle name="Normal 25 8 3 2" xfId="31105" xr:uid="{00000000-0005-0000-0000-00002A6C0000}"/>
    <cellStyle name="Normal 25 8 4" xfId="18048" xr:uid="{00000000-0005-0000-0000-00002B6C0000}"/>
    <cellStyle name="Normal 25 8 4 2" xfId="31106" xr:uid="{00000000-0005-0000-0000-00002C6C0000}"/>
    <cellStyle name="Normal 25 8 5" xfId="21909" xr:uid="{00000000-0005-0000-0000-00002D6C0000}"/>
    <cellStyle name="Normal 25 9" xfId="9616" xr:uid="{00000000-0005-0000-0000-00002E6C0000}"/>
    <cellStyle name="Normal 25 9 2" xfId="18049" xr:uid="{00000000-0005-0000-0000-00002F6C0000}"/>
    <cellStyle name="Normal 25 9 2 2" xfId="31107" xr:uid="{00000000-0005-0000-0000-0000306C0000}"/>
    <cellStyle name="Normal 25 9 3" xfId="18050" xr:uid="{00000000-0005-0000-0000-0000316C0000}"/>
    <cellStyle name="Normal 25 9 3 2" xfId="31108" xr:uid="{00000000-0005-0000-0000-0000326C0000}"/>
    <cellStyle name="Normal 25 9 4" xfId="22987" xr:uid="{00000000-0005-0000-0000-0000336C0000}"/>
    <cellStyle name="Normal 256" xfId="36576" xr:uid="{00000000-0005-0000-0000-0000346C0000}"/>
    <cellStyle name="Normal 257" xfId="36577" xr:uid="{00000000-0005-0000-0000-0000356C0000}"/>
    <cellStyle name="Normal 258" xfId="36578" xr:uid="{00000000-0005-0000-0000-0000366C0000}"/>
    <cellStyle name="Normal 259" xfId="36579" xr:uid="{00000000-0005-0000-0000-0000376C0000}"/>
    <cellStyle name="Normal 26" xfId="3169" xr:uid="{00000000-0005-0000-0000-0000386C0000}"/>
    <cellStyle name="Normal 26 10" xfId="20835" xr:uid="{00000000-0005-0000-0000-0000396C0000}"/>
    <cellStyle name="Normal 26 2" xfId="4073" xr:uid="{00000000-0005-0000-0000-00003A6C0000}"/>
    <cellStyle name="Normal 26 2 2" xfId="5609" xr:uid="{00000000-0005-0000-0000-00003B6C0000}"/>
    <cellStyle name="Normal 26 2 2 2" xfId="6761" xr:uid="{00000000-0005-0000-0000-00003C6C0000}"/>
    <cellStyle name="Normal 26 2 2 2 2" xfId="7448" xr:uid="{00000000-0005-0000-0000-00003D6C0000}"/>
    <cellStyle name="Normal 26 2 2 2 2 2" xfId="9327" xr:uid="{00000000-0005-0000-0000-00003E6C0000}"/>
    <cellStyle name="Normal 26 2 2 2 2 2 2" xfId="11706" xr:uid="{00000000-0005-0000-0000-00003F6C0000}"/>
    <cellStyle name="Normal 26 2 2 2 2 2 2 2" xfId="18051" xr:uid="{00000000-0005-0000-0000-0000406C0000}"/>
    <cellStyle name="Normal 26 2 2 2 2 2 2 2 2" xfId="31109" xr:uid="{00000000-0005-0000-0000-0000416C0000}"/>
    <cellStyle name="Normal 26 2 2 2 2 2 2 3" xfId="18052" xr:uid="{00000000-0005-0000-0000-0000426C0000}"/>
    <cellStyle name="Normal 26 2 2 2 2 2 2 3 2" xfId="31110" xr:uid="{00000000-0005-0000-0000-0000436C0000}"/>
    <cellStyle name="Normal 26 2 2 2 2 2 2 4" xfId="25076" xr:uid="{00000000-0005-0000-0000-0000446C0000}"/>
    <cellStyle name="Normal 26 2 2 2 2 2 3" xfId="18053" xr:uid="{00000000-0005-0000-0000-0000456C0000}"/>
    <cellStyle name="Normal 26 2 2 2 2 2 3 2" xfId="31111" xr:uid="{00000000-0005-0000-0000-0000466C0000}"/>
    <cellStyle name="Normal 26 2 2 2 2 2 4" xfId="18054" xr:uid="{00000000-0005-0000-0000-0000476C0000}"/>
    <cellStyle name="Normal 26 2 2 2 2 2 4 2" xfId="31112" xr:uid="{00000000-0005-0000-0000-0000486C0000}"/>
    <cellStyle name="Normal 26 2 2 2 2 2 5" xfId="22920" xr:uid="{00000000-0005-0000-0000-0000496C0000}"/>
    <cellStyle name="Normal 26 2 2 2 2 3" xfId="10628" xr:uid="{00000000-0005-0000-0000-00004A6C0000}"/>
    <cellStyle name="Normal 26 2 2 2 2 3 2" xfId="18055" xr:uid="{00000000-0005-0000-0000-00004B6C0000}"/>
    <cellStyle name="Normal 26 2 2 2 2 3 2 2" xfId="31113" xr:uid="{00000000-0005-0000-0000-00004C6C0000}"/>
    <cellStyle name="Normal 26 2 2 2 2 3 3" xfId="18056" xr:uid="{00000000-0005-0000-0000-00004D6C0000}"/>
    <cellStyle name="Normal 26 2 2 2 2 3 3 2" xfId="31114" xr:uid="{00000000-0005-0000-0000-00004E6C0000}"/>
    <cellStyle name="Normal 26 2 2 2 2 3 4" xfId="23998" xr:uid="{00000000-0005-0000-0000-00004F6C0000}"/>
    <cellStyle name="Normal 26 2 2 2 2 4" xfId="18057" xr:uid="{00000000-0005-0000-0000-0000506C0000}"/>
    <cellStyle name="Normal 26 2 2 2 2 4 2" xfId="31115" xr:uid="{00000000-0005-0000-0000-0000516C0000}"/>
    <cellStyle name="Normal 26 2 2 2 2 5" xfId="18058" xr:uid="{00000000-0005-0000-0000-0000526C0000}"/>
    <cellStyle name="Normal 26 2 2 2 2 5 2" xfId="31116" xr:uid="{00000000-0005-0000-0000-0000536C0000}"/>
    <cellStyle name="Normal 26 2 2 2 2 6" xfId="21842" xr:uid="{00000000-0005-0000-0000-0000546C0000}"/>
    <cellStyle name="Normal 26 2 2 2 3" xfId="8781" xr:uid="{00000000-0005-0000-0000-0000556C0000}"/>
    <cellStyle name="Normal 26 2 2 2 3 2" xfId="11166" xr:uid="{00000000-0005-0000-0000-0000566C0000}"/>
    <cellStyle name="Normal 26 2 2 2 3 2 2" xfId="18059" xr:uid="{00000000-0005-0000-0000-0000576C0000}"/>
    <cellStyle name="Normal 26 2 2 2 3 2 2 2" xfId="31117" xr:uid="{00000000-0005-0000-0000-0000586C0000}"/>
    <cellStyle name="Normal 26 2 2 2 3 2 3" xfId="18060" xr:uid="{00000000-0005-0000-0000-0000596C0000}"/>
    <cellStyle name="Normal 26 2 2 2 3 2 3 2" xfId="31118" xr:uid="{00000000-0005-0000-0000-00005A6C0000}"/>
    <cellStyle name="Normal 26 2 2 2 3 2 4" xfId="24536" xr:uid="{00000000-0005-0000-0000-00005B6C0000}"/>
    <cellStyle name="Normal 26 2 2 2 3 3" xfId="18061" xr:uid="{00000000-0005-0000-0000-00005C6C0000}"/>
    <cellStyle name="Normal 26 2 2 2 3 3 2" xfId="31119" xr:uid="{00000000-0005-0000-0000-00005D6C0000}"/>
    <cellStyle name="Normal 26 2 2 2 3 4" xfId="18062" xr:uid="{00000000-0005-0000-0000-00005E6C0000}"/>
    <cellStyle name="Normal 26 2 2 2 3 4 2" xfId="31120" xr:uid="{00000000-0005-0000-0000-00005F6C0000}"/>
    <cellStyle name="Normal 26 2 2 2 3 5" xfId="22380" xr:uid="{00000000-0005-0000-0000-0000606C0000}"/>
    <cellStyle name="Normal 26 2 2 2 4" xfId="10088" xr:uid="{00000000-0005-0000-0000-0000616C0000}"/>
    <cellStyle name="Normal 26 2 2 2 4 2" xfId="18063" xr:uid="{00000000-0005-0000-0000-0000626C0000}"/>
    <cellStyle name="Normal 26 2 2 2 4 2 2" xfId="31121" xr:uid="{00000000-0005-0000-0000-0000636C0000}"/>
    <cellStyle name="Normal 26 2 2 2 4 3" xfId="18064" xr:uid="{00000000-0005-0000-0000-0000646C0000}"/>
    <cellStyle name="Normal 26 2 2 2 4 3 2" xfId="31122" xr:uid="{00000000-0005-0000-0000-0000656C0000}"/>
    <cellStyle name="Normal 26 2 2 2 4 4" xfId="23458" xr:uid="{00000000-0005-0000-0000-0000666C0000}"/>
    <cellStyle name="Normal 26 2 2 2 5" xfId="18065" xr:uid="{00000000-0005-0000-0000-0000676C0000}"/>
    <cellStyle name="Normal 26 2 2 2 5 2" xfId="31123" xr:uid="{00000000-0005-0000-0000-0000686C0000}"/>
    <cellStyle name="Normal 26 2 2 2 6" xfId="18066" xr:uid="{00000000-0005-0000-0000-0000696C0000}"/>
    <cellStyle name="Normal 26 2 2 2 6 2" xfId="31124" xr:uid="{00000000-0005-0000-0000-00006A6C0000}"/>
    <cellStyle name="Normal 26 2 2 2 7" xfId="21302" xr:uid="{00000000-0005-0000-0000-00006B6C0000}"/>
    <cellStyle name="Normal 26 2 2 3" xfId="7179" xr:uid="{00000000-0005-0000-0000-00006C6C0000}"/>
    <cellStyle name="Normal 26 2 2 3 2" xfId="9058" xr:uid="{00000000-0005-0000-0000-00006D6C0000}"/>
    <cellStyle name="Normal 26 2 2 3 2 2" xfId="11437" xr:uid="{00000000-0005-0000-0000-00006E6C0000}"/>
    <cellStyle name="Normal 26 2 2 3 2 2 2" xfId="18067" xr:uid="{00000000-0005-0000-0000-00006F6C0000}"/>
    <cellStyle name="Normal 26 2 2 3 2 2 2 2" xfId="31125" xr:uid="{00000000-0005-0000-0000-0000706C0000}"/>
    <cellStyle name="Normal 26 2 2 3 2 2 3" xfId="18068" xr:uid="{00000000-0005-0000-0000-0000716C0000}"/>
    <cellStyle name="Normal 26 2 2 3 2 2 3 2" xfId="31126" xr:uid="{00000000-0005-0000-0000-0000726C0000}"/>
    <cellStyle name="Normal 26 2 2 3 2 2 4" xfId="24807" xr:uid="{00000000-0005-0000-0000-0000736C0000}"/>
    <cellStyle name="Normal 26 2 2 3 2 3" xfId="18069" xr:uid="{00000000-0005-0000-0000-0000746C0000}"/>
    <cellStyle name="Normal 26 2 2 3 2 3 2" xfId="31127" xr:uid="{00000000-0005-0000-0000-0000756C0000}"/>
    <cellStyle name="Normal 26 2 2 3 2 4" xfId="18070" xr:uid="{00000000-0005-0000-0000-0000766C0000}"/>
    <cellStyle name="Normal 26 2 2 3 2 4 2" xfId="31128" xr:uid="{00000000-0005-0000-0000-0000776C0000}"/>
    <cellStyle name="Normal 26 2 2 3 2 5" xfId="22651" xr:uid="{00000000-0005-0000-0000-0000786C0000}"/>
    <cellStyle name="Normal 26 2 2 3 3" xfId="10359" xr:uid="{00000000-0005-0000-0000-0000796C0000}"/>
    <cellStyle name="Normal 26 2 2 3 3 2" xfId="18071" xr:uid="{00000000-0005-0000-0000-00007A6C0000}"/>
    <cellStyle name="Normal 26 2 2 3 3 2 2" xfId="31129" xr:uid="{00000000-0005-0000-0000-00007B6C0000}"/>
    <cellStyle name="Normal 26 2 2 3 3 3" xfId="18072" xr:uid="{00000000-0005-0000-0000-00007C6C0000}"/>
    <cellStyle name="Normal 26 2 2 3 3 3 2" xfId="31130" xr:uid="{00000000-0005-0000-0000-00007D6C0000}"/>
    <cellStyle name="Normal 26 2 2 3 3 4" xfId="23729" xr:uid="{00000000-0005-0000-0000-00007E6C0000}"/>
    <cellStyle name="Normal 26 2 2 3 4" xfId="18073" xr:uid="{00000000-0005-0000-0000-00007F6C0000}"/>
    <cellStyle name="Normal 26 2 2 3 4 2" xfId="31131" xr:uid="{00000000-0005-0000-0000-0000806C0000}"/>
    <cellStyle name="Normal 26 2 2 3 5" xfId="18074" xr:uid="{00000000-0005-0000-0000-0000816C0000}"/>
    <cellStyle name="Normal 26 2 2 3 5 2" xfId="31132" xr:uid="{00000000-0005-0000-0000-0000826C0000}"/>
    <cellStyle name="Normal 26 2 2 3 6" xfId="21573" xr:uid="{00000000-0005-0000-0000-0000836C0000}"/>
    <cellStyle name="Normal 26 2 2 4" xfId="8456" xr:uid="{00000000-0005-0000-0000-0000846C0000}"/>
    <cellStyle name="Normal 26 2 2 4 2" xfId="10897" xr:uid="{00000000-0005-0000-0000-0000856C0000}"/>
    <cellStyle name="Normal 26 2 2 4 2 2" xfId="18075" xr:uid="{00000000-0005-0000-0000-0000866C0000}"/>
    <cellStyle name="Normal 26 2 2 4 2 2 2" xfId="31133" xr:uid="{00000000-0005-0000-0000-0000876C0000}"/>
    <cellStyle name="Normal 26 2 2 4 2 3" xfId="18076" xr:uid="{00000000-0005-0000-0000-0000886C0000}"/>
    <cellStyle name="Normal 26 2 2 4 2 3 2" xfId="31134" xr:uid="{00000000-0005-0000-0000-0000896C0000}"/>
    <cellStyle name="Normal 26 2 2 4 2 4" xfId="24267" xr:uid="{00000000-0005-0000-0000-00008A6C0000}"/>
    <cellStyle name="Normal 26 2 2 4 3" xfId="18077" xr:uid="{00000000-0005-0000-0000-00008B6C0000}"/>
    <cellStyle name="Normal 26 2 2 4 3 2" xfId="31135" xr:uid="{00000000-0005-0000-0000-00008C6C0000}"/>
    <cellStyle name="Normal 26 2 2 4 4" xfId="18078" xr:uid="{00000000-0005-0000-0000-00008D6C0000}"/>
    <cellStyle name="Normal 26 2 2 4 4 2" xfId="31136" xr:uid="{00000000-0005-0000-0000-00008E6C0000}"/>
    <cellStyle name="Normal 26 2 2 4 5" xfId="22111" xr:uid="{00000000-0005-0000-0000-00008F6C0000}"/>
    <cellStyle name="Normal 26 2 2 5" xfId="9819" xr:uid="{00000000-0005-0000-0000-0000906C0000}"/>
    <cellStyle name="Normal 26 2 2 5 2" xfId="18079" xr:uid="{00000000-0005-0000-0000-0000916C0000}"/>
    <cellStyle name="Normal 26 2 2 5 2 2" xfId="31137" xr:uid="{00000000-0005-0000-0000-0000926C0000}"/>
    <cellStyle name="Normal 26 2 2 5 3" xfId="18080" xr:uid="{00000000-0005-0000-0000-0000936C0000}"/>
    <cellStyle name="Normal 26 2 2 5 3 2" xfId="31138" xr:uid="{00000000-0005-0000-0000-0000946C0000}"/>
    <cellStyle name="Normal 26 2 2 5 4" xfId="23189" xr:uid="{00000000-0005-0000-0000-0000956C0000}"/>
    <cellStyle name="Normal 26 2 2 6" xfId="18081" xr:uid="{00000000-0005-0000-0000-0000966C0000}"/>
    <cellStyle name="Normal 26 2 2 6 2" xfId="31139" xr:uid="{00000000-0005-0000-0000-0000976C0000}"/>
    <cellStyle name="Normal 26 2 2 7" xfId="18082" xr:uid="{00000000-0005-0000-0000-0000986C0000}"/>
    <cellStyle name="Normal 26 2 2 7 2" xfId="31140" xr:uid="{00000000-0005-0000-0000-0000996C0000}"/>
    <cellStyle name="Normal 26 2 2 8" xfId="21033" xr:uid="{00000000-0005-0000-0000-00009A6C0000}"/>
    <cellStyle name="Normal 26 2 3" xfId="6610" xr:uid="{00000000-0005-0000-0000-00009B6C0000}"/>
    <cellStyle name="Normal 26 2 3 2" xfId="7306" xr:uid="{00000000-0005-0000-0000-00009C6C0000}"/>
    <cellStyle name="Normal 26 2 3 2 2" xfId="9185" xr:uid="{00000000-0005-0000-0000-00009D6C0000}"/>
    <cellStyle name="Normal 26 2 3 2 2 2" xfId="11564" xr:uid="{00000000-0005-0000-0000-00009E6C0000}"/>
    <cellStyle name="Normal 26 2 3 2 2 2 2" xfId="18083" xr:uid="{00000000-0005-0000-0000-00009F6C0000}"/>
    <cellStyle name="Normal 26 2 3 2 2 2 2 2" xfId="31141" xr:uid="{00000000-0005-0000-0000-0000A06C0000}"/>
    <cellStyle name="Normal 26 2 3 2 2 2 3" xfId="18084" xr:uid="{00000000-0005-0000-0000-0000A16C0000}"/>
    <cellStyle name="Normal 26 2 3 2 2 2 3 2" xfId="31142" xr:uid="{00000000-0005-0000-0000-0000A26C0000}"/>
    <cellStyle name="Normal 26 2 3 2 2 2 4" xfId="24934" xr:uid="{00000000-0005-0000-0000-0000A36C0000}"/>
    <cellStyle name="Normal 26 2 3 2 2 3" xfId="18085" xr:uid="{00000000-0005-0000-0000-0000A46C0000}"/>
    <cellStyle name="Normal 26 2 3 2 2 3 2" xfId="31143" xr:uid="{00000000-0005-0000-0000-0000A56C0000}"/>
    <cellStyle name="Normal 26 2 3 2 2 4" xfId="18086" xr:uid="{00000000-0005-0000-0000-0000A66C0000}"/>
    <cellStyle name="Normal 26 2 3 2 2 4 2" xfId="31144" xr:uid="{00000000-0005-0000-0000-0000A76C0000}"/>
    <cellStyle name="Normal 26 2 3 2 2 5" xfId="22778" xr:uid="{00000000-0005-0000-0000-0000A86C0000}"/>
    <cellStyle name="Normal 26 2 3 2 3" xfId="10486" xr:uid="{00000000-0005-0000-0000-0000A96C0000}"/>
    <cellStyle name="Normal 26 2 3 2 3 2" xfId="18087" xr:uid="{00000000-0005-0000-0000-0000AA6C0000}"/>
    <cellStyle name="Normal 26 2 3 2 3 2 2" xfId="31145" xr:uid="{00000000-0005-0000-0000-0000AB6C0000}"/>
    <cellStyle name="Normal 26 2 3 2 3 3" xfId="18088" xr:uid="{00000000-0005-0000-0000-0000AC6C0000}"/>
    <cellStyle name="Normal 26 2 3 2 3 3 2" xfId="31146" xr:uid="{00000000-0005-0000-0000-0000AD6C0000}"/>
    <cellStyle name="Normal 26 2 3 2 3 4" xfId="23856" xr:uid="{00000000-0005-0000-0000-0000AE6C0000}"/>
    <cellStyle name="Normal 26 2 3 2 4" xfId="18089" xr:uid="{00000000-0005-0000-0000-0000AF6C0000}"/>
    <cellStyle name="Normal 26 2 3 2 4 2" xfId="31147" xr:uid="{00000000-0005-0000-0000-0000B06C0000}"/>
    <cellStyle name="Normal 26 2 3 2 5" xfId="18090" xr:uid="{00000000-0005-0000-0000-0000B16C0000}"/>
    <cellStyle name="Normal 26 2 3 2 5 2" xfId="31148" xr:uid="{00000000-0005-0000-0000-0000B26C0000}"/>
    <cellStyle name="Normal 26 2 3 2 6" xfId="21700" xr:uid="{00000000-0005-0000-0000-0000B36C0000}"/>
    <cellStyle name="Normal 26 2 3 3" xfId="8638" xr:uid="{00000000-0005-0000-0000-0000B46C0000}"/>
    <cellStyle name="Normal 26 2 3 3 2" xfId="11024" xr:uid="{00000000-0005-0000-0000-0000B56C0000}"/>
    <cellStyle name="Normal 26 2 3 3 2 2" xfId="18091" xr:uid="{00000000-0005-0000-0000-0000B66C0000}"/>
    <cellStyle name="Normal 26 2 3 3 2 2 2" xfId="31149" xr:uid="{00000000-0005-0000-0000-0000B76C0000}"/>
    <cellStyle name="Normal 26 2 3 3 2 3" xfId="18092" xr:uid="{00000000-0005-0000-0000-0000B86C0000}"/>
    <cellStyle name="Normal 26 2 3 3 2 3 2" xfId="31150" xr:uid="{00000000-0005-0000-0000-0000B96C0000}"/>
    <cellStyle name="Normal 26 2 3 3 2 4" xfId="24394" xr:uid="{00000000-0005-0000-0000-0000BA6C0000}"/>
    <cellStyle name="Normal 26 2 3 3 3" xfId="18093" xr:uid="{00000000-0005-0000-0000-0000BB6C0000}"/>
    <cellStyle name="Normal 26 2 3 3 3 2" xfId="31151" xr:uid="{00000000-0005-0000-0000-0000BC6C0000}"/>
    <cellStyle name="Normal 26 2 3 3 4" xfId="18094" xr:uid="{00000000-0005-0000-0000-0000BD6C0000}"/>
    <cellStyle name="Normal 26 2 3 3 4 2" xfId="31152" xr:uid="{00000000-0005-0000-0000-0000BE6C0000}"/>
    <cellStyle name="Normal 26 2 3 3 5" xfId="22238" xr:uid="{00000000-0005-0000-0000-0000BF6C0000}"/>
    <cellStyle name="Normal 26 2 3 4" xfId="9946" xr:uid="{00000000-0005-0000-0000-0000C06C0000}"/>
    <cellStyle name="Normal 26 2 3 4 2" xfId="18095" xr:uid="{00000000-0005-0000-0000-0000C16C0000}"/>
    <cellStyle name="Normal 26 2 3 4 2 2" xfId="31153" xr:uid="{00000000-0005-0000-0000-0000C26C0000}"/>
    <cellStyle name="Normal 26 2 3 4 3" xfId="18096" xr:uid="{00000000-0005-0000-0000-0000C36C0000}"/>
    <cellStyle name="Normal 26 2 3 4 3 2" xfId="31154" xr:uid="{00000000-0005-0000-0000-0000C46C0000}"/>
    <cellStyle name="Normal 26 2 3 4 4" xfId="23316" xr:uid="{00000000-0005-0000-0000-0000C56C0000}"/>
    <cellStyle name="Normal 26 2 3 5" xfId="18097" xr:uid="{00000000-0005-0000-0000-0000C66C0000}"/>
    <cellStyle name="Normal 26 2 3 5 2" xfId="31155" xr:uid="{00000000-0005-0000-0000-0000C76C0000}"/>
    <cellStyle name="Normal 26 2 3 6" xfId="18098" xr:uid="{00000000-0005-0000-0000-0000C86C0000}"/>
    <cellStyle name="Normal 26 2 3 6 2" xfId="31156" xr:uid="{00000000-0005-0000-0000-0000C96C0000}"/>
    <cellStyle name="Normal 26 2 3 7" xfId="21160" xr:uid="{00000000-0005-0000-0000-0000CA6C0000}"/>
    <cellStyle name="Normal 26 2 4" xfId="7036" xr:uid="{00000000-0005-0000-0000-0000CB6C0000}"/>
    <cellStyle name="Normal 26 2 4 2" xfId="8916" xr:uid="{00000000-0005-0000-0000-0000CC6C0000}"/>
    <cellStyle name="Normal 26 2 4 2 2" xfId="11295" xr:uid="{00000000-0005-0000-0000-0000CD6C0000}"/>
    <cellStyle name="Normal 26 2 4 2 2 2" xfId="18099" xr:uid="{00000000-0005-0000-0000-0000CE6C0000}"/>
    <cellStyle name="Normal 26 2 4 2 2 2 2" xfId="31157" xr:uid="{00000000-0005-0000-0000-0000CF6C0000}"/>
    <cellStyle name="Normal 26 2 4 2 2 3" xfId="18100" xr:uid="{00000000-0005-0000-0000-0000D06C0000}"/>
    <cellStyle name="Normal 26 2 4 2 2 3 2" xfId="31158" xr:uid="{00000000-0005-0000-0000-0000D16C0000}"/>
    <cellStyle name="Normal 26 2 4 2 2 4" xfId="24665" xr:uid="{00000000-0005-0000-0000-0000D26C0000}"/>
    <cellStyle name="Normal 26 2 4 2 3" xfId="18101" xr:uid="{00000000-0005-0000-0000-0000D36C0000}"/>
    <cellStyle name="Normal 26 2 4 2 3 2" xfId="31159" xr:uid="{00000000-0005-0000-0000-0000D46C0000}"/>
    <cellStyle name="Normal 26 2 4 2 4" xfId="18102" xr:uid="{00000000-0005-0000-0000-0000D56C0000}"/>
    <cellStyle name="Normal 26 2 4 2 4 2" xfId="31160" xr:uid="{00000000-0005-0000-0000-0000D66C0000}"/>
    <cellStyle name="Normal 26 2 4 2 5" xfId="22509" xr:uid="{00000000-0005-0000-0000-0000D76C0000}"/>
    <cellStyle name="Normal 26 2 4 3" xfId="10217" xr:uid="{00000000-0005-0000-0000-0000D86C0000}"/>
    <cellStyle name="Normal 26 2 4 3 2" xfId="18103" xr:uid="{00000000-0005-0000-0000-0000D96C0000}"/>
    <cellStyle name="Normal 26 2 4 3 2 2" xfId="31161" xr:uid="{00000000-0005-0000-0000-0000DA6C0000}"/>
    <cellStyle name="Normal 26 2 4 3 3" xfId="18104" xr:uid="{00000000-0005-0000-0000-0000DB6C0000}"/>
    <cellStyle name="Normal 26 2 4 3 3 2" xfId="31162" xr:uid="{00000000-0005-0000-0000-0000DC6C0000}"/>
    <cellStyle name="Normal 26 2 4 3 4" xfId="23587" xr:uid="{00000000-0005-0000-0000-0000DD6C0000}"/>
    <cellStyle name="Normal 26 2 4 4" xfId="18105" xr:uid="{00000000-0005-0000-0000-0000DE6C0000}"/>
    <cellStyle name="Normal 26 2 4 4 2" xfId="31163" xr:uid="{00000000-0005-0000-0000-0000DF6C0000}"/>
    <cellStyle name="Normal 26 2 4 5" xfId="18106" xr:uid="{00000000-0005-0000-0000-0000E06C0000}"/>
    <cellStyle name="Normal 26 2 4 5 2" xfId="31164" xr:uid="{00000000-0005-0000-0000-0000E16C0000}"/>
    <cellStyle name="Normal 26 2 4 6" xfId="21431" xr:uid="{00000000-0005-0000-0000-0000E26C0000}"/>
    <cellStyle name="Normal 26 2 5" xfId="8240" xr:uid="{00000000-0005-0000-0000-0000E36C0000}"/>
    <cellStyle name="Normal 26 2 5 2" xfId="10755" xr:uid="{00000000-0005-0000-0000-0000E46C0000}"/>
    <cellStyle name="Normal 26 2 5 2 2" xfId="18107" xr:uid="{00000000-0005-0000-0000-0000E56C0000}"/>
    <cellStyle name="Normal 26 2 5 2 2 2" xfId="31165" xr:uid="{00000000-0005-0000-0000-0000E66C0000}"/>
    <cellStyle name="Normal 26 2 5 2 3" xfId="18108" xr:uid="{00000000-0005-0000-0000-0000E76C0000}"/>
    <cellStyle name="Normal 26 2 5 2 3 2" xfId="31166" xr:uid="{00000000-0005-0000-0000-0000E86C0000}"/>
    <cellStyle name="Normal 26 2 5 2 4" xfId="24125" xr:uid="{00000000-0005-0000-0000-0000E96C0000}"/>
    <cellStyle name="Normal 26 2 5 3" xfId="18109" xr:uid="{00000000-0005-0000-0000-0000EA6C0000}"/>
    <cellStyle name="Normal 26 2 5 3 2" xfId="31167" xr:uid="{00000000-0005-0000-0000-0000EB6C0000}"/>
    <cellStyle name="Normal 26 2 5 4" xfId="18110" xr:uid="{00000000-0005-0000-0000-0000EC6C0000}"/>
    <cellStyle name="Normal 26 2 5 4 2" xfId="31168" xr:uid="{00000000-0005-0000-0000-0000ED6C0000}"/>
    <cellStyle name="Normal 26 2 5 5" xfId="21969" xr:uid="{00000000-0005-0000-0000-0000EE6C0000}"/>
    <cellStyle name="Normal 26 2 6" xfId="9676" xr:uid="{00000000-0005-0000-0000-0000EF6C0000}"/>
    <cellStyle name="Normal 26 2 6 2" xfId="18111" xr:uid="{00000000-0005-0000-0000-0000F06C0000}"/>
    <cellStyle name="Normal 26 2 6 2 2" xfId="31169" xr:uid="{00000000-0005-0000-0000-0000F16C0000}"/>
    <cellStyle name="Normal 26 2 6 3" xfId="18112" xr:uid="{00000000-0005-0000-0000-0000F26C0000}"/>
    <cellStyle name="Normal 26 2 6 3 2" xfId="31170" xr:uid="{00000000-0005-0000-0000-0000F36C0000}"/>
    <cellStyle name="Normal 26 2 6 4" xfId="23047" xr:uid="{00000000-0005-0000-0000-0000F46C0000}"/>
    <cellStyle name="Normal 26 2 7" xfId="18113" xr:uid="{00000000-0005-0000-0000-0000F56C0000}"/>
    <cellStyle name="Normal 26 2 7 2" xfId="31171" xr:uid="{00000000-0005-0000-0000-0000F66C0000}"/>
    <cellStyle name="Normal 26 2 8" xfId="18114" xr:uid="{00000000-0005-0000-0000-0000F76C0000}"/>
    <cellStyle name="Normal 26 2 8 2" xfId="31172" xr:uid="{00000000-0005-0000-0000-0000F86C0000}"/>
    <cellStyle name="Normal 26 2 9" xfId="20890" xr:uid="{00000000-0005-0000-0000-0000F96C0000}"/>
    <cellStyle name="Normal 26 3" xfId="5296" xr:uid="{00000000-0005-0000-0000-0000FA6C0000}"/>
    <cellStyle name="Normal 26 3 2" xfId="6698" xr:uid="{00000000-0005-0000-0000-0000FB6C0000}"/>
    <cellStyle name="Normal 26 3 2 2" xfId="7386" xr:uid="{00000000-0005-0000-0000-0000FC6C0000}"/>
    <cellStyle name="Normal 26 3 2 2 2" xfId="9265" xr:uid="{00000000-0005-0000-0000-0000FD6C0000}"/>
    <cellStyle name="Normal 26 3 2 2 2 2" xfId="11644" xr:uid="{00000000-0005-0000-0000-0000FE6C0000}"/>
    <cellStyle name="Normal 26 3 2 2 2 2 2" xfId="18115" xr:uid="{00000000-0005-0000-0000-0000FF6C0000}"/>
    <cellStyle name="Normal 26 3 2 2 2 2 2 2" xfId="31173" xr:uid="{00000000-0005-0000-0000-0000006D0000}"/>
    <cellStyle name="Normal 26 3 2 2 2 2 3" xfId="18116" xr:uid="{00000000-0005-0000-0000-0000016D0000}"/>
    <cellStyle name="Normal 26 3 2 2 2 2 3 2" xfId="31174" xr:uid="{00000000-0005-0000-0000-0000026D0000}"/>
    <cellStyle name="Normal 26 3 2 2 2 2 4" xfId="25014" xr:uid="{00000000-0005-0000-0000-0000036D0000}"/>
    <cellStyle name="Normal 26 3 2 2 2 3" xfId="18117" xr:uid="{00000000-0005-0000-0000-0000046D0000}"/>
    <cellStyle name="Normal 26 3 2 2 2 3 2" xfId="31175" xr:uid="{00000000-0005-0000-0000-0000056D0000}"/>
    <cellStyle name="Normal 26 3 2 2 2 4" xfId="18118" xr:uid="{00000000-0005-0000-0000-0000066D0000}"/>
    <cellStyle name="Normal 26 3 2 2 2 4 2" xfId="31176" xr:uid="{00000000-0005-0000-0000-0000076D0000}"/>
    <cellStyle name="Normal 26 3 2 2 2 5" xfId="22858" xr:uid="{00000000-0005-0000-0000-0000086D0000}"/>
    <cellStyle name="Normal 26 3 2 2 3" xfId="10566" xr:uid="{00000000-0005-0000-0000-0000096D0000}"/>
    <cellStyle name="Normal 26 3 2 2 3 2" xfId="18119" xr:uid="{00000000-0005-0000-0000-00000A6D0000}"/>
    <cellStyle name="Normal 26 3 2 2 3 2 2" xfId="31177" xr:uid="{00000000-0005-0000-0000-00000B6D0000}"/>
    <cellStyle name="Normal 26 3 2 2 3 3" xfId="18120" xr:uid="{00000000-0005-0000-0000-00000C6D0000}"/>
    <cellStyle name="Normal 26 3 2 2 3 3 2" xfId="31178" xr:uid="{00000000-0005-0000-0000-00000D6D0000}"/>
    <cellStyle name="Normal 26 3 2 2 3 4" xfId="23936" xr:uid="{00000000-0005-0000-0000-00000E6D0000}"/>
    <cellStyle name="Normal 26 3 2 2 4" xfId="18121" xr:uid="{00000000-0005-0000-0000-00000F6D0000}"/>
    <cellStyle name="Normal 26 3 2 2 4 2" xfId="31179" xr:uid="{00000000-0005-0000-0000-0000106D0000}"/>
    <cellStyle name="Normal 26 3 2 2 5" xfId="18122" xr:uid="{00000000-0005-0000-0000-0000116D0000}"/>
    <cellStyle name="Normal 26 3 2 2 5 2" xfId="31180" xr:uid="{00000000-0005-0000-0000-0000126D0000}"/>
    <cellStyle name="Normal 26 3 2 2 6" xfId="21780" xr:uid="{00000000-0005-0000-0000-0000136D0000}"/>
    <cellStyle name="Normal 26 3 2 3" xfId="8719" xr:uid="{00000000-0005-0000-0000-0000146D0000}"/>
    <cellStyle name="Normal 26 3 2 3 2" xfId="11104" xr:uid="{00000000-0005-0000-0000-0000156D0000}"/>
    <cellStyle name="Normal 26 3 2 3 2 2" xfId="18123" xr:uid="{00000000-0005-0000-0000-0000166D0000}"/>
    <cellStyle name="Normal 26 3 2 3 2 2 2" xfId="31181" xr:uid="{00000000-0005-0000-0000-0000176D0000}"/>
    <cellStyle name="Normal 26 3 2 3 2 3" xfId="18124" xr:uid="{00000000-0005-0000-0000-0000186D0000}"/>
    <cellStyle name="Normal 26 3 2 3 2 3 2" xfId="31182" xr:uid="{00000000-0005-0000-0000-0000196D0000}"/>
    <cellStyle name="Normal 26 3 2 3 2 4" xfId="24474" xr:uid="{00000000-0005-0000-0000-00001A6D0000}"/>
    <cellStyle name="Normal 26 3 2 3 3" xfId="18125" xr:uid="{00000000-0005-0000-0000-00001B6D0000}"/>
    <cellStyle name="Normal 26 3 2 3 3 2" xfId="31183" xr:uid="{00000000-0005-0000-0000-00001C6D0000}"/>
    <cellStyle name="Normal 26 3 2 3 4" xfId="18126" xr:uid="{00000000-0005-0000-0000-00001D6D0000}"/>
    <cellStyle name="Normal 26 3 2 3 4 2" xfId="31184" xr:uid="{00000000-0005-0000-0000-00001E6D0000}"/>
    <cellStyle name="Normal 26 3 2 3 5" xfId="22318" xr:uid="{00000000-0005-0000-0000-00001F6D0000}"/>
    <cellStyle name="Normal 26 3 2 4" xfId="10026" xr:uid="{00000000-0005-0000-0000-0000206D0000}"/>
    <cellStyle name="Normal 26 3 2 4 2" xfId="18127" xr:uid="{00000000-0005-0000-0000-0000216D0000}"/>
    <cellStyle name="Normal 26 3 2 4 2 2" xfId="31185" xr:uid="{00000000-0005-0000-0000-0000226D0000}"/>
    <cellStyle name="Normal 26 3 2 4 3" xfId="18128" xr:uid="{00000000-0005-0000-0000-0000236D0000}"/>
    <cellStyle name="Normal 26 3 2 4 3 2" xfId="31186" xr:uid="{00000000-0005-0000-0000-0000246D0000}"/>
    <cellStyle name="Normal 26 3 2 4 4" xfId="23396" xr:uid="{00000000-0005-0000-0000-0000256D0000}"/>
    <cellStyle name="Normal 26 3 2 5" xfId="18129" xr:uid="{00000000-0005-0000-0000-0000266D0000}"/>
    <cellStyle name="Normal 26 3 2 5 2" xfId="31187" xr:uid="{00000000-0005-0000-0000-0000276D0000}"/>
    <cellStyle name="Normal 26 3 2 6" xfId="18130" xr:uid="{00000000-0005-0000-0000-0000286D0000}"/>
    <cellStyle name="Normal 26 3 2 6 2" xfId="31188" xr:uid="{00000000-0005-0000-0000-0000296D0000}"/>
    <cellStyle name="Normal 26 3 2 7" xfId="21240" xr:uid="{00000000-0005-0000-0000-00002A6D0000}"/>
    <cellStyle name="Normal 26 3 3" xfId="7117" xr:uid="{00000000-0005-0000-0000-00002B6D0000}"/>
    <cellStyle name="Normal 26 3 3 2" xfId="8996" xr:uid="{00000000-0005-0000-0000-00002C6D0000}"/>
    <cellStyle name="Normal 26 3 3 2 2" xfId="11375" xr:uid="{00000000-0005-0000-0000-00002D6D0000}"/>
    <cellStyle name="Normal 26 3 3 2 2 2" xfId="18131" xr:uid="{00000000-0005-0000-0000-00002E6D0000}"/>
    <cellStyle name="Normal 26 3 3 2 2 2 2" xfId="31189" xr:uid="{00000000-0005-0000-0000-00002F6D0000}"/>
    <cellStyle name="Normal 26 3 3 2 2 3" xfId="18132" xr:uid="{00000000-0005-0000-0000-0000306D0000}"/>
    <cellStyle name="Normal 26 3 3 2 2 3 2" xfId="31190" xr:uid="{00000000-0005-0000-0000-0000316D0000}"/>
    <cellStyle name="Normal 26 3 3 2 2 4" xfId="24745" xr:uid="{00000000-0005-0000-0000-0000326D0000}"/>
    <cellStyle name="Normal 26 3 3 2 3" xfId="18133" xr:uid="{00000000-0005-0000-0000-0000336D0000}"/>
    <cellStyle name="Normal 26 3 3 2 3 2" xfId="31191" xr:uid="{00000000-0005-0000-0000-0000346D0000}"/>
    <cellStyle name="Normal 26 3 3 2 4" xfId="18134" xr:uid="{00000000-0005-0000-0000-0000356D0000}"/>
    <cellStyle name="Normal 26 3 3 2 4 2" xfId="31192" xr:uid="{00000000-0005-0000-0000-0000366D0000}"/>
    <cellStyle name="Normal 26 3 3 2 5" xfId="22589" xr:uid="{00000000-0005-0000-0000-0000376D0000}"/>
    <cellStyle name="Normal 26 3 3 3" xfId="10297" xr:uid="{00000000-0005-0000-0000-0000386D0000}"/>
    <cellStyle name="Normal 26 3 3 3 2" xfId="18135" xr:uid="{00000000-0005-0000-0000-0000396D0000}"/>
    <cellStyle name="Normal 26 3 3 3 2 2" xfId="31193" xr:uid="{00000000-0005-0000-0000-00003A6D0000}"/>
    <cellStyle name="Normal 26 3 3 3 3" xfId="18136" xr:uid="{00000000-0005-0000-0000-00003B6D0000}"/>
    <cellStyle name="Normal 26 3 3 3 3 2" xfId="31194" xr:uid="{00000000-0005-0000-0000-00003C6D0000}"/>
    <cellStyle name="Normal 26 3 3 3 4" xfId="23667" xr:uid="{00000000-0005-0000-0000-00003D6D0000}"/>
    <cellStyle name="Normal 26 3 3 4" xfId="18137" xr:uid="{00000000-0005-0000-0000-00003E6D0000}"/>
    <cellStyle name="Normal 26 3 3 4 2" xfId="31195" xr:uid="{00000000-0005-0000-0000-00003F6D0000}"/>
    <cellStyle name="Normal 26 3 3 5" xfId="18138" xr:uid="{00000000-0005-0000-0000-0000406D0000}"/>
    <cellStyle name="Normal 26 3 3 5 2" xfId="31196" xr:uid="{00000000-0005-0000-0000-0000416D0000}"/>
    <cellStyle name="Normal 26 3 3 6" xfId="21511" xr:uid="{00000000-0005-0000-0000-0000426D0000}"/>
    <cellStyle name="Normal 26 3 4" xfId="8383" xr:uid="{00000000-0005-0000-0000-0000436D0000}"/>
    <cellStyle name="Normal 26 3 4 2" xfId="10835" xr:uid="{00000000-0005-0000-0000-0000446D0000}"/>
    <cellStyle name="Normal 26 3 4 2 2" xfId="18139" xr:uid="{00000000-0005-0000-0000-0000456D0000}"/>
    <cellStyle name="Normal 26 3 4 2 2 2" xfId="31197" xr:uid="{00000000-0005-0000-0000-0000466D0000}"/>
    <cellStyle name="Normal 26 3 4 2 3" xfId="18140" xr:uid="{00000000-0005-0000-0000-0000476D0000}"/>
    <cellStyle name="Normal 26 3 4 2 3 2" xfId="31198" xr:uid="{00000000-0005-0000-0000-0000486D0000}"/>
    <cellStyle name="Normal 26 3 4 2 4" xfId="24205" xr:uid="{00000000-0005-0000-0000-0000496D0000}"/>
    <cellStyle name="Normal 26 3 4 3" xfId="18141" xr:uid="{00000000-0005-0000-0000-00004A6D0000}"/>
    <cellStyle name="Normal 26 3 4 3 2" xfId="31199" xr:uid="{00000000-0005-0000-0000-00004B6D0000}"/>
    <cellStyle name="Normal 26 3 4 4" xfId="18142" xr:uid="{00000000-0005-0000-0000-00004C6D0000}"/>
    <cellStyle name="Normal 26 3 4 4 2" xfId="31200" xr:uid="{00000000-0005-0000-0000-00004D6D0000}"/>
    <cellStyle name="Normal 26 3 4 5" xfId="22049" xr:uid="{00000000-0005-0000-0000-00004E6D0000}"/>
    <cellStyle name="Normal 26 3 5" xfId="9757" xr:uid="{00000000-0005-0000-0000-00004F6D0000}"/>
    <cellStyle name="Normal 26 3 5 2" xfId="18143" xr:uid="{00000000-0005-0000-0000-0000506D0000}"/>
    <cellStyle name="Normal 26 3 5 2 2" xfId="31201" xr:uid="{00000000-0005-0000-0000-0000516D0000}"/>
    <cellStyle name="Normal 26 3 5 3" xfId="18144" xr:uid="{00000000-0005-0000-0000-0000526D0000}"/>
    <cellStyle name="Normal 26 3 5 3 2" xfId="31202" xr:uid="{00000000-0005-0000-0000-0000536D0000}"/>
    <cellStyle name="Normal 26 3 5 4" xfId="23127" xr:uid="{00000000-0005-0000-0000-0000546D0000}"/>
    <cellStyle name="Normal 26 3 6" xfId="18145" xr:uid="{00000000-0005-0000-0000-0000556D0000}"/>
    <cellStyle name="Normal 26 3 6 2" xfId="31203" xr:uid="{00000000-0005-0000-0000-0000566D0000}"/>
    <cellStyle name="Normal 26 3 7" xfId="18146" xr:uid="{00000000-0005-0000-0000-0000576D0000}"/>
    <cellStyle name="Normal 26 3 7 2" xfId="31204" xr:uid="{00000000-0005-0000-0000-0000586D0000}"/>
    <cellStyle name="Normal 26 3 8" xfId="20971" xr:uid="{00000000-0005-0000-0000-0000596D0000}"/>
    <cellStyle name="Normal 26 4" xfId="6535" xr:uid="{00000000-0005-0000-0000-00005A6D0000}"/>
    <cellStyle name="Normal 26 4 2" xfId="7251" xr:uid="{00000000-0005-0000-0000-00005B6D0000}"/>
    <cellStyle name="Normal 26 4 2 2" xfId="9130" xr:uid="{00000000-0005-0000-0000-00005C6D0000}"/>
    <cellStyle name="Normal 26 4 2 2 2" xfId="11509" xr:uid="{00000000-0005-0000-0000-00005D6D0000}"/>
    <cellStyle name="Normal 26 4 2 2 2 2" xfId="18147" xr:uid="{00000000-0005-0000-0000-00005E6D0000}"/>
    <cellStyle name="Normal 26 4 2 2 2 2 2" xfId="31205" xr:uid="{00000000-0005-0000-0000-00005F6D0000}"/>
    <cellStyle name="Normal 26 4 2 2 2 3" xfId="18148" xr:uid="{00000000-0005-0000-0000-0000606D0000}"/>
    <cellStyle name="Normal 26 4 2 2 2 3 2" xfId="31206" xr:uid="{00000000-0005-0000-0000-0000616D0000}"/>
    <cellStyle name="Normal 26 4 2 2 2 4" xfId="24879" xr:uid="{00000000-0005-0000-0000-0000626D0000}"/>
    <cellStyle name="Normal 26 4 2 2 3" xfId="18149" xr:uid="{00000000-0005-0000-0000-0000636D0000}"/>
    <cellStyle name="Normal 26 4 2 2 3 2" xfId="31207" xr:uid="{00000000-0005-0000-0000-0000646D0000}"/>
    <cellStyle name="Normal 26 4 2 2 4" xfId="18150" xr:uid="{00000000-0005-0000-0000-0000656D0000}"/>
    <cellStyle name="Normal 26 4 2 2 4 2" xfId="31208" xr:uid="{00000000-0005-0000-0000-0000666D0000}"/>
    <cellStyle name="Normal 26 4 2 2 5" xfId="22723" xr:uid="{00000000-0005-0000-0000-0000676D0000}"/>
    <cellStyle name="Normal 26 4 2 3" xfId="10431" xr:uid="{00000000-0005-0000-0000-0000686D0000}"/>
    <cellStyle name="Normal 26 4 2 3 2" xfId="18151" xr:uid="{00000000-0005-0000-0000-0000696D0000}"/>
    <cellStyle name="Normal 26 4 2 3 2 2" xfId="31209" xr:uid="{00000000-0005-0000-0000-00006A6D0000}"/>
    <cellStyle name="Normal 26 4 2 3 3" xfId="18152" xr:uid="{00000000-0005-0000-0000-00006B6D0000}"/>
    <cellStyle name="Normal 26 4 2 3 3 2" xfId="31210" xr:uid="{00000000-0005-0000-0000-00006C6D0000}"/>
    <cellStyle name="Normal 26 4 2 3 4" xfId="23801" xr:uid="{00000000-0005-0000-0000-00006D6D0000}"/>
    <cellStyle name="Normal 26 4 2 4" xfId="18153" xr:uid="{00000000-0005-0000-0000-00006E6D0000}"/>
    <cellStyle name="Normal 26 4 2 4 2" xfId="31211" xr:uid="{00000000-0005-0000-0000-00006F6D0000}"/>
    <cellStyle name="Normal 26 4 2 5" xfId="18154" xr:uid="{00000000-0005-0000-0000-0000706D0000}"/>
    <cellStyle name="Normal 26 4 2 5 2" xfId="31212" xr:uid="{00000000-0005-0000-0000-0000716D0000}"/>
    <cellStyle name="Normal 26 4 2 6" xfId="21645" xr:uid="{00000000-0005-0000-0000-0000726D0000}"/>
    <cellStyle name="Normal 26 4 3" xfId="8582" xr:uid="{00000000-0005-0000-0000-0000736D0000}"/>
    <cellStyle name="Normal 26 4 3 2" xfId="10969" xr:uid="{00000000-0005-0000-0000-0000746D0000}"/>
    <cellStyle name="Normal 26 4 3 2 2" xfId="18155" xr:uid="{00000000-0005-0000-0000-0000756D0000}"/>
    <cellStyle name="Normal 26 4 3 2 2 2" xfId="31213" xr:uid="{00000000-0005-0000-0000-0000766D0000}"/>
    <cellStyle name="Normal 26 4 3 2 3" xfId="18156" xr:uid="{00000000-0005-0000-0000-0000776D0000}"/>
    <cellStyle name="Normal 26 4 3 2 3 2" xfId="31214" xr:uid="{00000000-0005-0000-0000-0000786D0000}"/>
    <cellStyle name="Normal 26 4 3 2 4" xfId="24339" xr:uid="{00000000-0005-0000-0000-0000796D0000}"/>
    <cellStyle name="Normal 26 4 3 3" xfId="18157" xr:uid="{00000000-0005-0000-0000-00007A6D0000}"/>
    <cellStyle name="Normal 26 4 3 3 2" xfId="31215" xr:uid="{00000000-0005-0000-0000-00007B6D0000}"/>
    <cellStyle name="Normal 26 4 3 4" xfId="18158" xr:uid="{00000000-0005-0000-0000-00007C6D0000}"/>
    <cellStyle name="Normal 26 4 3 4 2" xfId="31216" xr:uid="{00000000-0005-0000-0000-00007D6D0000}"/>
    <cellStyle name="Normal 26 4 3 5" xfId="22183" xr:uid="{00000000-0005-0000-0000-00007E6D0000}"/>
    <cellStyle name="Normal 26 4 4" xfId="9891" xr:uid="{00000000-0005-0000-0000-00007F6D0000}"/>
    <cellStyle name="Normal 26 4 4 2" xfId="18159" xr:uid="{00000000-0005-0000-0000-0000806D0000}"/>
    <cellStyle name="Normal 26 4 4 2 2" xfId="31217" xr:uid="{00000000-0005-0000-0000-0000816D0000}"/>
    <cellStyle name="Normal 26 4 4 3" xfId="18160" xr:uid="{00000000-0005-0000-0000-0000826D0000}"/>
    <cellStyle name="Normal 26 4 4 3 2" xfId="31218" xr:uid="{00000000-0005-0000-0000-0000836D0000}"/>
    <cellStyle name="Normal 26 4 4 4" xfId="23261" xr:uid="{00000000-0005-0000-0000-0000846D0000}"/>
    <cellStyle name="Normal 26 4 5" xfId="18161" xr:uid="{00000000-0005-0000-0000-0000856D0000}"/>
    <cellStyle name="Normal 26 4 5 2" xfId="31219" xr:uid="{00000000-0005-0000-0000-0000866D0000}"/>
    <cellStyle name="Normal 26 4 6" xfId="18162" xr:uid="{00000000-0005-0000-0000-0000876D0000}"/>
    <cellStyle name="Normal 26 4 6 2" xfId="31220" xr:uid="{00000000-0005-0000-0000-0000886D0000}"/>
    <cellStyle name="Normal 26 4 7" xfId="21105" xr:uid="{00000000-0005-0000-0000-0000896D0000}"/>
    <cellStyle name="Normal 26 5" xfId="6981" xr:uid="{00000000-0005-0000-0000-00008A6D0000}"/>
    <cellStyle name="Normal 26 5 2" xfId="8861" xr:uid="{00000000-0005-0000-0000-00008B6D0000}"/>
    <cellStyle name="Normal 26 5 2 2" xfId="11240" xr:uid="{00000000-0005-0000-0000-00008C6D0000}"/>
    <cellStyle name="Normal 26 5 2 2 2" xfId="18163" xr:uid="{00000000-0005-0000-0000-00008D6D0000}"/>
    <cellStyle name="Normal 26 5 2 2 2 2" xfId="31221" xr:uid="{00000000-0005-0000-0000-00008E6D0000}"/>
    <cellStyle name="Normal 26 5 2 2 3" xfId="18164" xr:uid="{00000000-0005-0000-0000-00008F6D0000}"/>
    <cellStyle name="Normal 26 5 2 2 3 2" xfId="31222" xr:uid="{00000000-0005-0000-0000-0000906D0000}"/>
    <cellStyle name="Normal 26 5 2 2 4" xfId="24610" xr:uid="{00000000-0005-0000-0000-0000916D0000}"/>
    <cellStyle name="Normal 26 5 2 3" xfId="18165" xr:uid="{00000000-0005-0000-0000-0000926D0000}"/>
    <cellStyle name="Normal 26 5 2 3 2" xfId="31223" xr:uid="{00000000-0005-0000-0000-0000936D0000}"/>
    <cellStyle name="Normal 26 5 2 4" xfId="18166" xr:uid="{00000000-0005-0000-0000-0000946D0000}"/>
    <cellStyle name="Normal 26 5 2 4 2" xfId="31224" xr:uid="{00000000-0005-0000-0000-0000956D0000}"/>
    <cellStyle name="Normal 26 5 2 5" xfId="22454" xr:uid="{00000000-0005-0000-0000-0000966D0000}"/>
    <cellStyle name="Normal 26 5 3" xfId="10162" xr:uid="{00000000-0005-0000-0000-0000976D0000}"/>
    <cellStyle name="Normal 26 5 3 2" xfId="18167" xr:uid="{00000000-0005-0000-0000-0000986D0000}"/>
    <cellStyle name="Normal 26 5 3 2 2" xfId="31225" xr:uid="{00000000-0005-0000-0000-0000996D0000}"/>
    <cellStyle name="Normal 26 5 3 3" xfId="18168" xr:uid="{00000000-0005-0000-0000-00009A6D0000}"/>
    <cellStyle name="Normal 26 5 3 3 2" xfId="31226" xr:uid="{00000000-0005-0000-0000-00009B6D0000}"/>
    <cellStyle name="Normal 26 5 3 4" xfId="23532" xr:uid="{00000000-0005-0000-0000-00009C6D0000}"/>
    <cellStyle name="Normal 26 5 4" xfId="18169" xr:uid="{00000000-0005-0000-0000-00009D6D0000}"/>
    <cellStyle name="Normal 26 5 4 2" xfId="31227" xr:uid="{00000000-0005-0000-0000-00009E6D0000}"/>
    <cellStyle name="Normal 26 5 5" xfId="18170" xr:uid="{00000000-0005-0000-0000-00009F6D0000}"/>
    <cellStyle name="Normal 26 5 5 2" xfId="31228" xr:uid="{00000000-0005-0000-0000-0000A06D0000}"/>
    <cellStyle name="Normal 26 5 6" xfId="21376" xr:uid="{00000000-0005-0000-0000-0000A16D0000}"/>
    <cellStyle name="Normal 26 6" xfId="8121" xr:uid="{00000000-0005-0000-0000-0000A26D0000}"/>
    <cellStyle name="Normal 26 6 2" xfId="10700" xr:uid="{00000000-0005-0000-0000-0000A36D0000}"/>
    <cellStyle name="Normal 26 6 2 2" xfId="18171" xr:uid="{00000000-0005-0000-0000-0000A46D0000}"/>
    <cellStyle name="Normal 26 6 2 2 2" xfId="31229" xr:uid="{00000000-0005-0000-0000-0000A56D0000}"/>
    <cellStyle name="Normal 26 6 2 3" xfId="18172" xr:uid="{00000000-0005-0000-0000-0000A66D0000}"/>
    <cellStyle name="Normal 26 6 2 3 2" xfId="31230" xr:uid="{00000000-0005-0000-0000-0000A76D0000}"/>
    <cellStyle name="Normal 26 6 2 4" xfId="24070" xr:uid="{00000000-0005-0000-0000-0000A86D0000}"/>
    <cellStyle name="Normal 26 6 3" xfId="18173" xr:uid="{00000000-0005-0000-0000-0000A96D0000}"/>
    <cellStyle name="Normal 26 6 3 2" xfId="31231" xr:uid="{00000000-0005-0000-0000-0000AA6D0000}"/>
    <cellStyle name="Normal 26 6 4" xfId="18174" xr:uid="{00000000-0005-0000-0000-0000AB6D0000}"/>
    <cellStyle name="Normal 26 6 4 2" xfId="31232" xr:uid="{00000000-0005-0000-0000-0000AC6D0000}"/>
    <cellStyle name="Normal 26 6 5" xfId="21914" xr:uid="{00000000-0005-0000-0000-0000AD6D0000}"/>
    <cellStyle name="Normal 26 7" xfId="9621" xr:uid="{00000000-0005-0000-0000-0000AE6D0000}"/>
    <cellStyle name="Normal 26 7 2" xfId="18175" xr:uid="{00000000-0005-0000-0000-0000AF6D0000}"/>
    <cellStyle name="Normal 26 7 2 2" xfId="31233" xr:uid="{00000000-0005-0000-0000-0000B06D0000}"/>
    <cellStyle name="Normal 26 7 3" xfId="18176" xr:uid="{00000000-0005-0000-0000-0000B16D0000}"/>
    <cellStyle name="Normal 26 7 3 2" xfId="31234" xr:uid="{00000000-0005-0000-0000-0000B26D0000}"/>
    <cellStyle name="Normal 26 7 4" xfId="22992" xr:uid="{00000000-0005-0000-0000-0000B36D0000}"/>
    <cellStyle name="Normal 26 8" xfId="18177" xr:uid="{00000000-0005-0000-0000-0000B46D0000}"/>
    <cellStyle name="Normal 26 8 2" xfId="31235" xr:uid="{00000000-0005-0000-0000-0000B56D0000}"/>
    <cellStyle name="Normal 26 9" xfId="18178" xr:uid="{00000000-0005-0000-0000-0000B66D0000}"/>
    <cellStyle name="Normal 26 9 2" xfId="31236" xr:uid="{00000000-0005-0000-0000-0000B76D0000}"/>
    <cellStyle name="Normal 260" xfId="36580" xr:uid="{00000000-0005-0000-0000-0000B86D0000}"/>
    <cellStyle name="Normal 261" xfId="36581" xr:uid="{00000000-0005-0000-0000-0000B96D0000}"/>
    <cellStyle name="Normal 262" xfId="36582" xr:uid="{00000000-0005-0000-0000-0000BA6D0000}"/>
    <cellStyle name="Normal 263" xfId="36583" xr:uid="{00000000-0005-0000-0000-0000BB6D0000}"/>
    <cellStyle name="Normal 264" xfId="36584" xr:uid="{00000000-0005-0000-0000-0000BC6D0000}"/>
    <cellStyle name="Normal 27" xfId="3641" xr:uid="{00000000-0005-0000-0000-0000BD6D0000}"/>
    <cellStyle name="Normal 27 10" xfId="20850" xr:uid="{00000000-0005-0000-0000-0000BE6D0000}"/>
    <cellStyle name="Normal 27 2" xfId="4088" xr:uid="{00000000-0005-0000-0000-0000BF6D0000}"/>
    <cellStyle name="Normal 27 2 2" xfId="5624" xr:uid="{00000000-0005-0000-0000-0000C06D0000}"/>
    <cellStyle name="Normal 27 2 2 2" xfId="6776" xr:uid="{00000000-0005-0000-0000-0000C16D0000}"/>
    <cellStyle name="Normal 27 2 2 2 2" xfId="7463" xr:uid="{00000000-0005-0000-0000-0000C26D0000}"/>
    <cellStyle name="Normal 27 2 2 2 2 2" xfId="9342" xr:uid="{00000000-0005-0000-0000-0000C36D0000}"/>
    <cellStyle name="Normal 27 2 2 2 2 2 2" xfId="11721" xr:uid="{00000000-0005-0000-0000-0000C46D0000}"/>
    <cellStyle name="Normal 27 2 2 2 2 2 2 2" xfId="18179" xr:uid="{00000000-0005-0000-0000-0000C56D0000}"/>
    <cellStyle name="Normal 27 2 2 2 2 2 2 2 2" xfId="31237" xr:uid="{00000000-0005-0000-0000-0000C66D0000}"/>
    <cellStyle name="Normal 27 2 2 2 2 2 2 3" xfId="18180" xr:uid="{00000000-0005-0000-0000-0000C76D0000}"/>
    <cellStyle name="Normal 27 2 2 2 2 2 2 3 2" xfId="31238" xr:uid="{00000000-0005-0000-0000-0000C86D0000}"/>
    <cellStyle name="Normal 27 2 2 2 2 2 2 4" xfId="25091" xr:uid="{00000000-0005-0000-0000-0000C96D0000}"/>
    <cellStyle name="Normal 27 2 2 2 2 2 3" xfId="18181" xr:uid="{00000000-0005-0000-0000-0000CA6D0000}"/>
    <cellStyle name="Normal 27 2 2 2 2 2 3 2" xfId="31239" xr:uid="{00000000-0005-0000-0000-0000CB6D0000}"/>
    <cellStyle name="Normal 27 2 2 2 2 2 4" xfId="18182" xr:uid="{00000000-0005-0000-0000-0000CC6D0000}"/>
    <cellStyle name="Normal 27 2 2 2 2 2 4 2" xfId="31240" xr:uid="{00000000-0005-0000-0000-0000CD6D0000}"/>
    <cellStyle name="Normal 27 2 2 2 2 2 5" xfId="22935" xr:uid="{00000000-0005-0000-0000-0000CE6D0000}"/>
    <cellStyle name="Normal 27 2 2 2 2 3" xfId="10643" xr:uid="{00000000-0005-0000-0000-0000CF6D0000}"/>
    <cellStyle name="Normal 27 2 2 2 2 3 2" xfId="18183" xr:uid="{00000000-0005-0000-0000-0000D06D0000}"/>
    <cellStyle name="Normal 27 2 2 2 2 3 2 2" xfId="31241" xr:uid="{00000000-0005-0000-0000-0000D16D0000}"/>
    <cellStyle name="Normal 27 2 2 2 2 3 3" xfId="18184" xr:uid="{00000000-0005-0000-0000-0000D26D0000}"/>
    <cellStyle name="Normal 27 2 2 2 2 3 3 2" xfId="31242" xr:uid="{00000000-0005-0000-0000-0000D36D0000}"/>
    <cellStyle name="Normal 27 2 2 2 2 3 4" xfId="24013" xr:uid="{00000000-0005-0000-0000-0000D46D0000}"/>
    <cellStyle name="Normal 27 2 2 2 2 4" xfId="18185" xr:uid="{00000000-0005-0000-0000-0000D56D0000}"/>
    <cellStyle name="Normal 27 2 2 2 2 4 2" xfId="31243" xr:uid="{00000000-0005-0000-0000-0000D66D0000}"/>
    <cellStyle name="Normal 27 2 2 2 2 5" xfId="18186" xr:uid="{00000000-0005-0000-0000-0000D76D0000}"/>
    <cellStyle name="Normal 27 2 2 2 2 5 2" xfId="31244" xr:uid="{00000000-0005-0000-0000-0000D86D0000}"/>
    <cellStyle name="Normal 27 2 2 2 2 6" xfId="21857" xr:uid="{00000000-0005-0000-0000-0000D96D0000}"/>
    <cellStyle name="Normal 27 2 2 2 3" xfId="8796" xr:uid="{00000000-0005-0000-0000-0000DA6D0000}"/>
    <cellStyle name="Normal 27 2 2 2 3 2" xfId="11181" xr:uid="{00000000-0005-0000-0000-0000DB6D0000}"/>
    <cellStyle name="Normal 27 2 2 2 3 2 2" xfId="18187" xr:uid="{00000000-0005-0000-0000-0000DC6D0000}"/>
    <cellStyle name="Normal 27 2 2 2 3 2 2 2" xfId="31245" xr:uid="{00000000-0005-0000-0000-0000DD6D0000}"/>
    <cellStyle name="Normal 27 2 2 2 3 2 3" xfId="18188" xr:uid="{00000000-0005-0000-0000-0000DE6D0000}"/>
    <cellStyle name="Normal 27 2 2 2 3 2 3 2" xfId="31246" xr:uid="{00000000-0005-0000-0000-0000DF6D0000}"/>
    <cellStyle name="Normal 27 2 2 2 3 2 4" xfId="24551" xr:uid="{00000000-0005-0000-0000-0000E06D0000}"/>
    <cellStyle name="Normal 27 2 2 2 3 3" xfId="18189" xr:uid="{00000000-0005-0000-0000-0000E16D0000}"/>
    <cellStyle name="Normal 27 2 2 2 3 3 2" xfId="31247" xr:uid="{00000000-0005-0000-0000-0000E26D0000}"/>
    <cellStyle name="Normal 27 2 2 2 3 4" xfId="18190" xr:uid="{00000000-0005-0000-0000-0000E36D0000}"/>
    <cellStyle name="Normal 27 2 2 2 3 4 2" xfId="31248" xr:uid="{00000000-0005-0000-0000-0000E46D0000}"/>
    <cellStyle name="Normal 27 2 2 2 3 5" xfId="22395" xr:uid="{00000000-0005-0000-0000-0000E56D0000}"/>
    <cellStyle name="Normal 27 2 2 2 4" xfId="10103" xr:uid="{00000000-0005-0000-0000-0000E66D0000}"/>
    <cellStyle name="Normal 27 2 2 2 4 2" xfId="18191" xr:uid="{00000000-0005-0000-0000-0000E76D0000}"/>
    <cellStyle name="Normal 27 2 2 2 4 2 2" xfId="31249" xr:uid="{00000000-0005-0000-0000-0000E86D0000}"/>
    <cellStyle name="Normal 27 2 2 2 4 3" xfId="18192" xr:uid="{00000000-0005-0000-0000-0000E96D0000}"/>
    <cellStyle name="Normal 27 2 2 2 4 3 2" xfId="31250" xr:uid="{00000000-0005-0000-0000-0000EA6D0000}"/>
    <cellStyle name="Normal 27 2 2 2 4 4" xfId="23473" xr:uid="{00000000-0005-0000-0000-0000EB6D0000}"/>
    <cellStyle name="Normal 27 2 2 2 5" xfId="18193" xr:uid="{00000000-0005-0000-0000-0000EC6D0000}"/>
    <cellStyle name="Normal 27 2 2 2 5 2" xfId="31251" xr:uid="{00000000-0005-0000-0000-0000ED6D0000}"/>
    <cellStyle name="Normal 27 2 2 2 6" xfId="18194" xr:uid="{00000000-0005-0000-0000-0000EE6D0000}"/>
    <cellStyle name="Normal 27 2 2 2 6 2" xfId="31252" xr:uid="{00000000-0005-0000-0000-0000EF6D0000}"/>
    <cellStyle name="Normal 27 2 2 2 7" xfId="21317" xr:uid="{00000000-0005-0000-0000-0000F06D0000}"/>
    <cellStyle name="Normal 27 2 2 3" xfId="7194" xr:uid="{00000000-0005-0000-0000-0000F16D0000}"/>
    <cellStyle name="Normal 27 2 2 3 2" xfId="9073" xr:uid="{00000000-0005-0000-0000-0000F26D0000}"/>
    <cellStyle name="Normal 27 2 2 3 2 2" xfId="11452" xr:uid="{00000000-0005-0000-0000-0000F36D0000}"/>
    <cellStyle name="Normal 27 2 2 3 2 2 2" xfId="18195" xr:uid="{00000000-0005-0000-0000-0000F46D0000}"/>
    <cellStyle name="Normal 27 2 2 3 2 2 2 2" xfId="31253" xr:uid="{00000000-0005-0000-0000-0000F56D0000}"/>
    <cellStyle name="Normal 27 2 2 3 2 2 3" xfId="18196" xr:uid="{00000000-0005-0000-0000-0000F66D0000}"/>
    <cellStyle name="Normal 27 2 2 3 2 2 3 2" xfId="31254" xr:uid="{00000000-0005-0000-0000-0000F76D0000}"/>
    <cellStyle name="Normal 27 2 2 3 2 2 4" xfId="24822" xr:uid="{00000000-0005-0000-0000-0000F86D0000}"/>
    <cellStyle name="Normal 27 2 2 3 2 3" xfId="18197" xr:uid="{00000000-0005-0000-0000-0000F96D0000}"/>
    <cellStyle name="Normal 27 2 2 3 2 3 2" xfId="31255" xr:uid="{00000000-0005-0000-0000-0000FA6D0000}"/>
    <cellStyle name="Normal 27 2 2 3 2 4" xfId="18198" xr:uid="{00000000-0005-0000-0000-0000FB6D0000}"/>
    <cellStyle name="Normal 27 2 2 3 2 4 2" xfId="31256" xr:uid="{00000000-0005-0000-0000-0000FC6D0000}"/>
    <cellStyle name="Normal 27 2 2 3 2 5" xfId="22666" xr:uid="{00000000-0005-0000-0000-0000FD6D0000}"/>
    <cellStyle name="Normal 27 2 2 3 3" xfId="10374" xr:uid="{00000000-0005-0000-0000-0000FE6D0000}"/>
    <cellStyle name="Normal 27 2 2 3 3 2" xfId="18199" xr:uid="{00000000-0005-0000-0000-0000FF6D0000}"/>
    <cellStyle name="Normal 27 2 2 3 3 2 2" xfId="31257" xr:uid="{00000000-0005-0000-0000-0000006E0000}"/>
    <cellStyle name="Normal 27 2 2 3 3 3" xfId="18200" xr:uid="{00000000-0005-0000-0000-0000016E0000}"/>
    <cellStyle name="Normal 27 2 2 3 3 3 2" xfId="31258" xr:uid="{00000000-0005-0000-0000-0000026E0000}"/>
    <cellStyle name="Normal 27 2 2 3 3 4" xfId="23744" xr:uid="{00000000-0005-0000-0000-0000036E0000}"/>
    <cellStyle name="Normal 27 2 2 3 4" xfId="18201" xr:uid="{00000000-0005-0000-0000-0000046E0000}"/>
    <cellStyle name="Normal 27 2 2 3 4 2" xfId="31259" xr:uid="{00000000-0005-0000-0000-0000056E0000}"/>
    <cellStyle name="Normal 27 2 2 3 5" xfId="18202" xr:uid="{00000000-0005-0000-0000-0000066E0000}"/>
    <cellStyle name="Normal 27 2 2 3 5 2" xfId="31260" xr:uid="{00000000-0005-0000-0000-0000076E0000}"/>
    <cellStyle name="Normal 27 2 2 3 6" xfId="21588" xr:uid="{00000000-0005-0000-0000-0000086E0000}"/>
    <cellStyle name="Normal 27 2 2 4" xfId="8471" xr:uid="{00000000-0005-0000-0000-0000096E0000}"/>
    <cellStyle name="Normal 27 2 2 4 2" xfId="10912" xr:uid="{00000000-0005-0000-0000-00000A6E0000}"/>
    <cellStyle name="Normal 27 2 2 4 2 2" xfId="18203" xr:uid="{00000000-0005-0000-0000-00000B6E0000}"/>
    <cellStyle name="Normal 27 2 2 4 2 2 2" xfId="31261" xr:uid="{00000000-0005-0000-0000-00000C6E0000}"/>
    <cellStyle name="Normal 27 2 2 4 2 3" xfId="18204" xr:uid="{00000000-0005-0000-0000-00000D6E0000}"/>
    <cellStyle name="Normal 27 2 2 4 2 3 2" xfId="31262" xr:uid="{00000000-0005-0000-0000-00000E6E0000}"/>
    <cellStyle name="Normal 27 2 2 4 2 4" xfId="24282" xr:uid="{00000000-0005-0000-0000-00000F6E0000}"/>
    <cellStyle name="Normal 27 2 2 4 3" xfId="18205" xr:uid="{00000000-0005-0000-0000-0000106E0000}"/>
    <cellStyle name="Normal 27 2 2 4 3 2" xfId="31263" xr:uid="{00000000-0005-0000-0000-0000116E0000}"/>
    <cellStyle name="Normal 27 2 2 4 4" xfId="18206" xr:uid="{00000000-0005-0000-0000-0000126E0000}"/>
    <cellStyle name="Normal 27 2 2 4 4 2" xfId="31264" xr:uid="{00000000-0005-0000-0000-0000136E0000}"/>
    <cellStyle name="Normal 27 2 2 4 5" xfId="22126" xr:uid="{00000000-0005-0000-0000-0000146E0000}"/>
    <cellStyle name="Normal 27 2 2 5" xfId="9834" xr:uid="{00000000-0005-0000-0000-0000156E0000}"/>
    <cellStyle name="Normal 27 2 2 5 2" xfId="18207" xr:uid="{00000000-0005-0000-0000-0000166E0000}"/>
    <cellStyle name="Normal 27 2 2 5 2 2" xfId="31265" xr:uid="{00000000-0005-0000-0000-0000176E0000}"/>
    <cellStyle name="Normal 27 2 2 5 3" xfId="18208" xr:uid="{00000000-0005-0000-0000-0000186E0000}"/>
    <cellStyle name="Normal 27 2 2 5 3 2" xfId="31266" xr:uid="{00000000-0005-0000-0000-0000196E0000}"/>
    <cellStyle name="Normal 27 2 2 5 4" xfId="23204" xr:uid="{00000000-0005-0000-0000-00001A6E0000}"/>
    <cellStyle name="Normal 27 2 2 6" xfId="18209" xr:uid="{00000000-0005-0000-0000-00001B6E0000}"/>
    <cellStyle name="Normal 27 2 2 6 2" xfId="31267" xr:uid="{00000000-0005-0000-0000-00001C6E0000}"/>
    <cellStyle name="Normal 27 2 2 7" xfId="18210" xr:uid="{00000000-0005-0000-0000-00001D6E0000}"/>
    <cellStyle name="Normal 27 2 2 7 2" xfId="31268" xr:uid="{00000000-0005-0000-0000-00001E6E0000}"/>
    <cellStyle name="Normal 27 2 2 8" xfId="21048" xr:uid="{00000000-0005-0000-0000-00001F6E0000}"/>
    <cellStyle name="Normal 27 2 3" xfId="6625" xr:uid="{00000000-0005-0000-0000-0000206E0000}"/>
    <cellStyle name="Normal 27 2 3 2" xfId="7321" xr:uid="{00000000-0005-0000-0000-0000216E0000}"/>
    <cellStyle name="Normal 27 2 3 2 2" xfId="9200" xr:uid="{00000000-0005-0000-0000-0000226E0000}"/>
    <cellStyle name="Normal 27 2 3 2 2 2" xfId="11579" xr:uid="{00000000-0005-0000-0000-0000236E0000}"/>
    <cellStyle name="Normal 27 2 3 2 2 2 2" xfId="18211" xr:uid="{00000000-0005-0000-0000-0000246E0000}"/>
    <cellStyle name="Normal 27 2 3 2 2 2 2 2" xfId="31269" xr:uid="{00000000-0005-0000-0000-0000256E0000}"/>
    <cellStyle name="Normal 27 2 3 2 2 2 3" xfId="18212" xr:uid="{00000000-0005-0000-0000-0000266E0000}"/>
    <cellStyle name="Normal 27 2 3 2 2 2 3 2" xfId="31270" xr:uid="{00000000-0005-0000-0000-0000276E0000}"/>
    <cellStyle name="Normal 27 2 3 2 2 2 4" xfId="24949" xr:uid="{00000000-0005-0000-0000-0000286E0000}"/>
    <cellStyle name="Normal 27 2 3 2 2 3" xfId="18213" xr:uid="{00000000-0005-0000-0000-0000296E0000}"/>
    <cellStyle name="Normal 27 2 3 2 2 3 2" xfId="31271" xr:uid="{00000000-0005-0000-0000-00002A6E0000}"/>
    <cellStyle name="Normal 27 2 3 2 2 4" xfId="18214" xr:uid="{00000000-0005-0000-0000-00002B6E0000}"/>
    <cellStyle name="Normal 27 2 3 2 2 4 2" xfId="31272" xr:uid="{00000000-0005-0000-0000-00002C6E0000}"/>
    <cellStyle name="Normal 27 2 3 2 2 5" xfId="22793" xr:uid="{00000000-0005-0000-0000-00002D6E0000}"/>
    <cellStyle name="Normal 27 2 3 2 3" xfId="10501" xr:uid="{00000000-0005-0000-0000-00002E6E0000}"/>
    <cellStyle name="Normal 27 2 3 2 3 2" xfId="18215" xr:uid="{00000000-0005-0000-0000-00002F6E0000}"/>
    <cellStyle name="Normal 27 2 3 2 3 2 2" xfId="31273" xr:uid="{00000000-0005-0000-0000-0000306E0000}"/>
    <cellStyle name="Normal 27 2 3 2 3 3" xfId="18216" xr:uid="{00000000-0005-0000-0000-0000316E0000}"/>
    <cellStyle name="Normal 27 2 3 2 3 3 2" xfId="31274" xr:uid="{00000000-0005-0000-0000-0000326E0000}"/>
    <cellStyle name="Normal 27 2 3 2 3 4" xfId="23871" xr:uid="{00000000-0005-0000-0000-0000336E0000}"/>
    <cellStyle name="Normal 27 2 3 2 4" xfId="18217" xr:uid="{00000000-0005-0000-0000-0000346E0000}"/>
    <cellStyle name="Normal 27 2 3 2 4 2" xfId="31275" xr:uid="{00000000-0005-0000-0000-0000356E0000}"/>
    <cellStyle name="Normal 27 2 3 2 5" xfId="18218" xr:uid="{00000000-0005-0000-0000-0000366E0000}"/>
    <cellStyle name="Normal 27 2 3 2 5 2" xfId="31276" xr:uid="{00000000-0005-0000-0000-0000376E0000}"/>
    <cellStyle name="Normal 27 2 3 2 6" xfId="21715" xr:uid="{00000000-0005-0000-0000-0000386E0000}"/>
    <cellStyle name="Normal 27 2 3 3" xfId="8653" xr:uid="{00000000-0005-0000-0000-0000396E0000}"/>
    <cellStyle name="Normal 27 2 3 3 2" xfId="11039" xr:uid="{00000000-0005-0000-0000-00003A6E0000}"/>
    <cellStyle name="Normal 27 2 3 3 2 2" xfId="18219" xr:uid="{00000000-0005-0000-0000-00003B6E0000}"/>
    <cellStyle name="Normal 27 2 3 3 2 2 2" xfId="31277" xr:uid="{00000000-0005-0000-0000-00003C6E0000}"/>
    <cellStyle name="Normal 27 2 3 3 2 3" xfId="18220" xr:uid="{00000000-0005-0000-0000-00003D6E0000}"/>
    <cellStyle name="Normal 27 2 3 3 2 3 2" xfId="31278" xr:uid="{00000000-0005-0000-0000-00003E6E0000}"/>
    <cellStyle name="Normal 27 2 3 3 2 4" xfId="24409" xr:uid="{00000000-0005-0000-0000-00003F6E0000}"/>
    <cellStyle name="Normal 27 2 3 3 3" xfId="18221" xr:uid="{00000000-0005-0000-0000-0000406E0000}"/>
    <cellStyle name="Normal 27 2 3 3 3 2" xfId="31279" xr:uid="{00000000-0005-0000-0000-0000416E0000}"/>
    <cellStyle name="Normal 27 2 3 3 4" xfId="18222" xr:uid="{00000000-0005-0000-0000-0000426E0000}"/>
    <cellStyle name="Normal 27 2 3 3 4 2" xfId="31280" xr:uid="{00000000-0005-0000-0000-0000436E0000}"/>
    <cellStyle name="Normal 27 2 3 3 5" xfId="22253" xr:uid="{00000000-0005-0000-0000-0000446E0000}"/>
    <cellStyle name="Normal 27 2 3 4" xfId="9961" xr:uid="{00000000-0005-0000-0000-0000456E0000}"/>
    <cellStyle name="Normal 27 2 3 4 2" xfId="18223" xr:uid="{00000000-0005-0000-0000-0000466E0000}"/>
    <cellStyle name="Normal 27 2 3 4 2 2" xfId="31281" xr:uid="{00000000-0005-0000-0000-0000476E0000}"/>
    <cellStyle name="Normal 27 2 3 4 3" xfId="18224" xr:uid="{00000000-0005-0000-0000-0000486E0000}"/>
    <cellStyle name="Normal 27 2 3 4 3 2" xfId="31282" xr:uid="{00000000-0005-0000-0000-0000496E0000}"/>
    <cellStyle name="Normal 27 2 3 4 4" xfId="23331" xr:uid="{00000000-0005-0000-0000-00004A6E0000}"/>
    <cellStyle name="Normal 27 2 3 5" xfId="18225" xr:uid="{00000000-0005-0000-0000-00004B6E0000}"/>
    <cellStyle name="Normal 27 2 3 5 2" xfId="31283" xr:uid="{00000000-0005-0000-0000-00004C6E0000}"/>
    <cellStyle name="Normal 27 2 3 6" xfId="18226" xr:uid="{00000000-0005-0000-0000-00004D6E0000}"/>
    <cellStyle name="Normal 27 2 3 6 2" xfId="31284" xr:uid="{00000000-0005-0000-0000-00004E6E0000}"/>
    <cellStyle name="Normal 27 2 3 7" xfId="21175" xr:uid="{00000000-0005-0000-0000-00004F6E0000}"/>
    <cellStyle name="Normal 27 2 4" xfId="7051" xr:uid="{00000000-0005-0000-0000-0000506E0000}"/>
    <cellStyle name="Normal 27 2 4 2" xfId="8931" xr:uid="{00000000-0005-0000-0000-0000516E0000}"/>
    <cellStyle name="Normal 27 2 4 2 2" xfId="11310" xr:uid="{00000000-0005-0000-0000-0000526E0000}"/>
    <cellStyle name="Normal 27 2 4 2 2 2" xfId="18227" xr:uid="{00000000-0005-0000-0000-0000536E0000}"/>
    <cellStyle name="Normal 27 2 4 2 2 2 2" xfId="31285" xr:uid="{00000000-0005-0000-0000-0000546E0000}"/>
    <cellStyle name="Normal 27 2 4 2 2 3" xfId="18228" xr:uid="{00000000-0005-0000-0000-0000556E0000}"/>
    <cellStyle name="Normal 27 2 4 2 2 3 2" xfId="31286" xr:uid="{00000000-0005-0000-0000-0000566E0000}"/>
    <cellStyle name="Normal 27 2 4 2 2 4" xfId="24680" xr:uid="{00000000-0005-0000-0000-0000576E0000}"/>
    <cellStyle name="Normal 27 2 4 2 3" xfId="18229" xr:uid="{00000000-0005-0000-0000-0000586E0000}"/>
    <cellStyle name="Normal 27 2 4 2 3 2" xfId="31287" xr:uid="{00000000-0005-0000-0000-0000596E0000}"/>
    <cellStyle name="Normal 27 2 4 2 4" xfId="18230" xr:uid="{00000000-0005-0000-0000-00005A6E0000}"/>
    <cellStyle name="Normal 27 2 4 2 4 2" xfId="31288" xr:uid="{00000000-0005-0000-0000-00005B6E0000}"/>
    <cellStyle name="Normal 27 2 4 2 5" xfId="22524" xr:uid="{00000000-0005-0000-0000-00005C6E0000}"/>
    <cellStyle name="Normal 27 2 4 3" xfId="10232" xr:uid="{00000000-0005-0000-0000-00005D6E0000}"/>
    <cellStyle name="Normal 27 2 4 3 2" xfId="18231" xr:uid="{00000000-0005-0000-0000-00005E6E0000}"/>
    <cellStyle name="Normal 27 2 4 3 2 2" xfId="31289" xr:uid="{00000000-0005-0000-0000-00005F6E0000}"/>
    <cellStyle name="Normal 27 2 4 3 3" xfId="18232" xr:uid="{00000000-0005-0000-0000-0000606E0000}"/>
    <cellStyle name="Normal 27 2 4 3 3 2" xfId="31290" xr:uid="{00000000-0005-0000-0000-0000616E0000}"/>
    <cellStyle name="Normal 27 2 4 3 4" xfId="23602" xr:uid="{00000000-0005-0000-0000-0000626E0000}"/>
    <cellStyle name="Normal 27 2 4 4" xfId="18233" xr:uid="{00000000-0005-0000-0000-0000636E0000}"/>
    <cellStyle name="Normal 27 2 4 4 2" xfId="31291" xr:uid="{00000000-0005-0000-0000-0000646E0000}"/>
    <cellStyle name="Normal 27 2 4 5" xfId="18234" xr:uid="{00000000-0005-0000-0000-0000656E0000}"/>
    <cellStyle name="Normal 27 2 4 5 2" xfId="31292" xr:uid="{00000000-0005-0000-0000-0000666E0000}"/>
    <cellStyle name="Normal 27 2 4 6" xfId="21446" xr:uid="{00000000-0005-0000-0000-0000676E0000}"/>
    <cellStyle name="Normal 27 2 5" xfId="8255" xr:uid="{00000000-0005-0000-0000-0000686E0000}"/>
    <cellStyle name="Normal 27 2 5 2" xfId="10770" xr:uid="{00000000-0005-0000-0000-0000696E0000}"/>
    <cellStyle name="Normal 27 2 5 2 2" xfId="18235" xr:uid="{00000000-0005-0000-0000-00006A6E0000}"/>
    <cellStyle name="Normal 27 2 5 2 2 2" xfId="31293" xr:uid="{00000000-0005-0000-0000-00006B6E0000}"/>
    <cellStyle name="Normal 27 2 5 2 3" xfId="18236" xr:uid="{00000000-0005-0000-0000-00006C6E0000}"/>
    <cellStyle name="Normal 27 2 5 2 3 2" xfId="31294" xr:uid="{00000000-0005-0000-0000-00006D6E0000}"/>
    <cellStyle name="Normal 27 2 5 2 4" xfId="24140" xr:uid="{00000000-0005-0000-0000-00006E6E0000}"/>
    <cellStyle name="Normal 27 2 5 3" xfId="18237" xr:uid="{00000000-0005-0000-0000-00006F6E0000}"/>
    <cellStyle name="Normal 27 2 5 3 2" xfId="31295" xr:uid="{00000000-0005-0000-0000-0000706E0000}"/>
    <cellStyle name="Normal 27 2 5 4" xfId="18238" xr:uid="{00000000-0005-0000-0000-0000716E0000}"/>
    <cellStyle name="Normal 27 2 5 4 2" xfId="31296" xr:uid="{00000000-0005-0000-0000-0000726E0000}"/>
    <cellStyle name="Normal 27 2 5 5" xfId="21984" xr:uid="{00000000-0005-0000-0000-0000736E0000}"/>
    <cellStyle name="Normal 27 2 6" xfId="9691" xr:uid="{00000000-0005-0000-0000-0000746E0000}"/>
    <cellStyle name="Normal 27 2 6 2" xfId="18239" xr:uid="{00000000-0005-0000-0000-0000756E0000}"/>
    <cellStyle name="Normal 27 2 6 2 2" xfId="31297" xr:uid="{00000000-0005-0000-0000-0000766E0000}"/>
    <cellStyle name="Normal 27 2 6 3" xfId="18240" xr:uid="{00000000-0005-0000-0000-0000776E0000}"/>
    <cellStyle name="Normal 27 2 6 3 2" xfId="31298" xr:uid="{00000000-0005-0000-0000-0000786E0000}"/>
    <cellStyle name="Normal 27 2 6 4" xfId="23062" xr:uid="{00000000-0005-0000-0000-0000796E0000}"/>
    <cellStyle name="Normal 27 2 7" xfId="18241" xr:uid="{00000000-0005-0000-0000-00007A6E0000}"/>
    <cellStyle name="Normal 27 2 7 2" xfId="31299" xr:uid="{00000000-0005-0000-0000-00007B6E0000}"/>
    <cellStyle name="Normal 27 2 8" xfId="18242" xr:uid="{00000000-0005-0000-0000-00007C6E0000}"/>
    <cellStyle name="Normal 27 2 8 2" xfId="31300" xr:uid="{00000000-0005-0000-0000-00007D6E0000}"/>
    <cellStyle name="Normal 27 2 9" xfId="20905" xr:uid="{00000000-0005-0000-0000-00007E6E0000}"/>
    <cellStyle name="Normal 27 3" xfId="5456" xr:uid="{00000000-0005-0000-0000-00007F6E0000}"/>
    <cellStyle name="Normal 27 3 2" xfId="6717" xr:uid="{00000000-0005-0000-0000-0000806E0000}"/>
    <cellStyle name="Normal 27 3 2 2" xfId="7404" xr:uid="{00000000-0005-0000-0000-0000816E0000}"/>
    <cellStyle name="Normal 27 3 2 2 2" xfId="9283" xr:uid="{00000000-0005-0000-0000-0000826E0000}"/>
    <cellStyle name="Normal 27 3 2 2 2 2" xfId="11662" xr:uid="{00000000-0005-0000-0000-0000836E0000}"/>
    <cellStyle name="Normal 27 3 2 2 2 2 2" xfId="18243" xr:uid="{00000000-0005-0000-0000-0000846E0000}"/>
    <cellStyle name="Normal 27 3 2 2 2 2 2 2" xfId="31301" xr:uid="{00000000-0005-0000-0000-0000856E0000}"/>
    <cellStyle name="Normal 27 3 2 2 2 2 3" xfId="18244" xr:uid="{00000000-0005-0000-0000-0000866E0000}"/>
    <cellStyle name="Normal 27 3 2 2 2 2 3 2" xfId="31302" xr:uid="{00000000-0005-0000-0000-0000876E0000}"/>
    <cellStyle name="Normal 27 3 2 2 2 2 4" xfId="25032" xr:uid="{00000000-0005-0000-0000-0000886E0000}"/>
    <cellStyle name="Normal 27 3 2 2 2 3" xfId="18245" xr:uid="{00000000-0005-0000-0000-0000896E0000}"/>
    <cellStyle name="Normal 27 3 2 2 2 3 2" xfId="31303" xr:uid="{00000000-0005-0000-0000-00008A6E0000}"/>
    <cellStyle name="Normal 27 3 2 2 2 4" xfId="18246" xr:uid="{00000000-0005-0000-0000-00008B6E0000}"/>
    <cellStyle name="Normal 27 3 2 2 2 4 2" xfId="31304" xr:uid="{00000000-0005-0000-0000-00008C6E0000}"/>
    <cellStyle name="Normal 27 3 2 2 2 5" xfId="22876" xr:uid="{00000000-0005-0000-0000-00008D6E0000}"/>
    <cellStyle name="Normal 27 3 2 2 3" xfId="10584" xr:uid="{00000000-0005-0000-0000-00008E6E0000}"/>
    <cellStyle name="Normal 27 3 2 2 3 2" xfId="18247" xr:uid="{00000000-0005-0000-0000-00008F6E0000}"/>
    <cellStyle name="Normal 27 3 2 2 3 2 2" xfId="31305" xr:uid="{00000000-0005-0000-0000-0000906E0000}"/>
    <cellStyle name="Normal 27 3 2 2 3 3" xfId="18248" xr:uid="{00000000-0005-0000-0000-0000916E0000}"/>
    <cellStyle name="Normal 27 3 2 2 3 3 2" xfId="31306" xr:uid="{00000000-0005-0000-0000-0000926E0000}"/>
    <cellStyle name="Normal 27 3 2 2 3 4" xfId="23954" xr:uid="{00000000-0005-0000-0000-0000936E0000}"/>
    <cellStyle name="Normal 27 3 2 2 4" xfId="18249" xr:uid="{00000000-0005-0000-0000-0000946E0000}"/>
    <cellStyle name="Normal 27 3 2 2 4 2" xfId="31307" xr:uid="{00000000-0005-0000-0000-0000956E0000}"/>
    <cellStyle name="Normal 27 3 2 2 5" xfId="18250" xr:uid="{00000000-0005-0000-0000-0000966E0000}"/>
    <cellStyle name="Normal 27 3 2 2 5 2" xfId="31308" xr:uid="{00000000-0005-0000-0000-0000976E0000}"/>
    <cellStyle name="Normal 27 3 2 2 6" xfId="21798" xr:uid="{00000000-0005-0000-0000-0000986E0000}"/>
    <cellStyle name="Normal 27 3 2 3" xfId="8737" xr:uid="{00000000-0005-0000-0000-0000996E0000}"/>
    <cellStyle name="Normal 27 3 2 3 2" xfId="11122" xr:uid="{00000000-0005-0000-0000-00009A6E0000}"/>
    <cellStyle name="Normal 27 3 2 3 2 2" xfId="18251" xr:uid="{00000000-0005-0000-0000-00009B6E0000}"/>
    <cellStyle name="Normal 27 3 2 3 2 2 2" xfId="31309" xr:uid="{00000000-0005-0000-0000-00009C6E0000}"/>
    <cellStyle name="Normal 27 3 2 3 2 3" xfId="18252" xr:uid="{00000000-0005-0000-0000-00009D6E0000}"/>
    <cellStyle name="Normal 27 3 2 3 2 3 2" xfId="31310" xr:uid="{00000000-0005-0000-0000-00009E6E0000}"/>
    <cellStyle name="Normal 27 3 2 3 2 4" xfId="24492" xr:uid="{00000000-0005-0000-0000-00009F6E0000}"/>
    <cellStyle name="Normal 27 3 2 3 3" xfId="18253" xr:uid="{00000000-0005-0000-0000-0000A06E0000}"/>
    <cellStyle name="Normal 27 3 2 3 3 2" xfId="31311" xr:uid="{00000000-0005-0000-0000-0000A16E0000}"/>
    <cellStyle name="Normal 27 3 2 3 4" xfId="18254" xr:uid="{00000000-0005-0000-0000-0000A26E0000}"/>
    <cellStyle name="Normal 27 3 2 3 4 2" xfId="31312" xr:uid="{00000000-0005-0000-0000-0000A36E0000}"/>
    <cellStyle name="Normal 27 3 2 3 5" xfId="22336" xr:uid="{00000000-0005-0000-0000-0000A46E0000}"/>
    <cellStyle name="Normal 27 3 2 4" xfId="10044" xr:uid="{00000000-0005-0000-0000-0000A56E0000}"/>
    <cellStyle name="Normal 27 3 2 4 2" xfId="18255" xr:uid="{00000000-0005-0000-0000-0000A66E0000}"/>
    <cellStyle name="Normal 27 3 2 4 2 2" xfId="31313" xr:uid="{00000000-0005-0000-0000-0000A76E0000}"/>
    <cellStyle name="Normal 27 3 2 4 3" xfId="18256" xr:uid="{00000000-0005-0000-0000-0000A86E0000}"/>
    <cellStyle name="Normal 27 3 2 4 3 2" xfId="31314" xr:uid="{00000000-0005-0000-0000-0000A96E0000}"/>
    <cellStyle name="Normal 27 3 2 4 4" xfId="23414" xr:uid="{00000000-0005-0000-0000-0000AA6E0000}"/>
    <cellStyle name="Normal 27 3 2 5" xfId="18257" xr:uid="{00000000-0005-0000-0000-0000AB6E0000}"/>
    <cellStyle name="Normal 27 3 2 5 2" xfId="31315" xr:uid="{00000000-0005-0000-0000-0000AC6E0000}"/>
    <cellStyle name="Normal 27 3 2 6" xfId="18258" xr:uid="{00000000-0005-0000-0000-0000AD6E0000}"/>
    <cellStyle name="Normal 27 3 2 6 2" xfId="31316" xr:uid="{00000000-0005-0000-0000-0000AE6E0000}"/>
    <cellStyle name="Normal 27 3 2 7" xfId="21258" xr:uid="{00000000-0005-0000-0000-0000AF6E0000}"/>
    <cellStyle name="Normal 27 3 3" xfId="7135" xr:uid="{00000000-0005-0000-0000-0000B06E0000}"/>
    <cellStyle name="Normal 27 3 3 2" xfId="9014" xr:uid="{00000000-0005-0000-0000-0000B16E0000}"/>
    <cellStyle name="Normal 27 3 3 2 2" xfId="11393" xr:uid="{00000000-0005-0000-0000-0000B26E0000}"/>
    <cellStyle name="Normal 27 3 3 2 2 2" xfId="18259" xr:uid="{00000000-0005-0000-0000-0000B36E0000}"/>
    <cellStyle name="Normal 27 3 3 2 2 2 2" xfId="31317" xr:uid="{00000000-0005-0000-0000-0000B46E0000}"/>
    <cellStyle name="Normal 27 3 3 2 2 3" xfId="18260" xr:uid="{00000000-0005-0000-0000-0000B56E0000}"/>
    <cellStyle name="Normal 27 3 3 2 2 3 2" xfId="31318" xr:uid="{00000000-0005-0000-0000-0000B66E0000}"/>
    <cellStyle name="Normal 27 3 3 2 2 4" xfId="24763" xr:uid="{00000000-0005-0000-0000-0000B76E0000}"/>
    <cellStyle name="Normal 27 3 3 2 3" xfId="18261" xr:uid="{00000000-0005-0000-0000-0000B86E0000}"/>
    <cellStyle name="Normal 27 3 3 2 3 2" xfId="31319" xr:uid="{00000000-0005-0000-0000-0000B96E0000}"/>
    <cellStyle name="Normal 27 3 3 2 4" xfId="18262" xr:uid="{00000000-0005-0000-0000-0000BA6E0000}"/>
    <cellStyle name="Normal 27 3 3 2 4 2" xfId="31320" xr:uid="{00000000-0005-0000-0000-0000BB6E0000}"/>
    <cellStyle name="Normal 27 3 3 2 5" xfId="22607" xr:uid="{00000000-0005-0000-0000-0000BC6E0000}"/>
    <cellStyle name="Normal 27 3 3 3" xfId="10315" xr:uid="{00000000-0005-0000-0000-0000BD6E0000}"/>
    <cellStyle name="Normal 27 3 3 3 2" xfId="18263" xr:uid="{00000000-0005-0000-0000-0000BE6E0000}"/>
    <cellStyle name="Normal 27 3 3 3 2 2" xfId="31321" xr:uid="{00000000-0005-0000-0000-0000BF6E0000}"/>
    <cellStyle name="Normal 27 3 3 3 3" xfId="18264" xr:uid="{00000000-0005-0000-0000-0000C06E0000}"/>
    <cellStyle name="Normal 27 3 3 3 3 2" xfId="31322" xr:uid="{00000000-0005-0000-0000-0000C16E0000}"/>
    <cellStyle name="Normal 27 3 3 3 4" xfId="23685" xr:uid="{00000000-0005-0000-0000-0000C26E0000}"/>
    <cellStyle name="Normal 27 3 3 4" xfId="18265" xr:uid="{00000000-0005-0000-0000-0000C36E0000}"/>
    <cellStyle name="Normal 27 3 3 4 2" xfId="31323" xr:uid="{00000000-0005-0000-0000-0000C46E0000}"/>
    <cellStyle name="Normal 27 3 3 5" xfId="18266" xr:uid="{00000000-0005-0000-0000-0000C56E0000}"/>
    <cellStyle name="Normal 27 3 3 5 2" xfId="31324" xr:uid="{00000000-0005-0000-0000-0000C66E0000}"/>
    <cellStyle name="Normal 27 3 3 6" xfId="21529" xr:uid="{00000000-0005-0000-0000-0000C76E0000}"/>
    <cellStyle name="Normal 27 3 4" xfId="8406" xr:uid="{00000000-0005-0000-0000-0000C86E0000}"/>
    <cellStyle name="Normal 27 3 4 2" xfId="10853" xr:uid="{00000000-0005-0000-0000-0000C96E0000}"/>
    <cellStyle name="Normal 27 3 4 2 2" xfId="18267" xr:uid="{00000000-0005-0000-0000-0000CA6E0000}"/>
    <cellStyle name="Normal 27 3 4 2 2 2" xfId="31325" xr:uid="{00000000-0005-0000-0000-0000CB6E0000}"/>
    <cellStyle name="Normal 27 3 4 2 3" xfId="18268" xr:uid="{00000000-0005-0000-0000-0000CC6E0000}"/>
    <cellStyle name="Normal 27 3 4 2 3 2" xfId="31326" xr:uid="{00000000-0005-0000-0000-0000CD6E0000}"/>
    <cellStyle name="Normal 27 3 4 2 4" xfId="24223" xr:uid="{00000000-0005-0000-0000-0000CE6E0000}"/>
    <cellStyle name="Normal 27 3 4 3" xfId="18269" xr:uid="{00000000-0005-0000-0000-0000CF6E0000}"/>
    <cellStyle name="Normal 27 3 4 3 2" xfId="31327" xr:uid="{00000000-0005-0000-0000-0000D06E0000}"/>
    <cellStyle name="Normal 27 3 4 4" xfId="18270" xr:uid="{00000000-0005-0000-0000-0000D16E0000}"/>
    <cellStyle name="Normal 27 3 4 4 2" xfId="31328" xr:uid="{00000000-0005-0000-0000-0000D26E0000}"/>
    <cellStyle name="Normal 27 3 4 5" xfId="22067" xr:uid="{00000000-0005-0000-0000-0000D36E0000}"/>
    <cellStyle name="Normal 27 3 5" xfId="9775" xr:uid="{00000000-0005-0000-0000-0000D46E0000}"/>
    <cellStyle name="Normal 27 3 5 2" xfId="18271" xr:uid="{00000000-0005-0000-0000-0000D56E0000}"/>
    <cellStyle name="Normal 27 3 5 2 2" xfId="31329" xr:uid="{00000000-0005-0000-0000-0000D66E0000}"/>
    <cellStyle name="Normal 27 3 5 3" xfId="18272" xr:uid="{00000000-0005-0000-0000-0000D76E0000}"/>
    <cellStyle name="Normal 27 3 5 3 2" xfId="31330" xr:uid="{00000000-0005-0000-0000-0000D86E0000}"/>
    <cellStyle name="Normal 27 3 5 4" xfId="23145" xr:uid="{00000000-0005-0000-0000-0000D96E0000}"/>
    <cellStyle name="Normal 27 3 6" xfId="18273" xr:uid="{00000000-0005-0000-0000-0000DA6E0000}"/>
    <cellStyle name="Normal 27 3 6 2" xfId="31331" xr:uid="{00000000-0005-0000-0000-0000DB6E0000}"/>
    <cellStyle name="Normal 27 3 7" xfId="18274" xr:uid="{00000000-0005-0000-0000-0000DC6E0000}"/>
    <cellStyle name="Normal 27 3 7 2" xfId="31332" xr:uid="{00000000-0005-0000-0000-0000DD6E0000}"/>
    <cellStyle name="Normal 27 3 8" xfId="20989" xr:uid="{00000000-0005-0000-0000-0000DE6E0000}"/>
    <cellStyle name="Normal 27 4" xfId="6566" xr:uid="{00000000-0005-0000-0000-0000DF6E0000}"/>
    <cellStyle name="Normal 27 4 2" xfId="7266" xr:uid="{00000000-0005-0000-0000-0000E06E0000}"/>
    <cellStyle name="Normal 27 4 2 2" xfId="9145" xr:uid="{00000000-0005-0000-0000-0000E16E0000}"/>
    <cellStyle name="Normal 27 4 2 2 2" xfId="11524" xr:uid="{00000000-0005-0000-0000-0000E26E0000}"/>
    <cellStyle name="Normal 27 4 2 2 2 2" xfId="18275" xr:uid="{00000000-0005-0000-0000-0000E36E0000}"/>
    <cellStyle name="Normal 27 4 2 2 2 2 2" xfId="31333" xr:uid="{00000000-0005-0000-0000-0000E46E0000}"/>
    <cellStyle name="Normal 27 4 2 2 2 3" xfId="18276" xr:uid="{00000000-0005-0000-0000-0000E56E0000}"/>
    <cellStyle name="Normal 27 4 2 2 2 3 2" xfId="31334" xr:uid="{00000000-0005-0000-0000-0000E66E0000}"/>
    <cellStyle name="Normal 27 4 2 2 2 4" xfId="24894" xr:uid="{00000000-0005-0000-0000-0000E76E0000}"/>
    <cellStyle name="Normal 27 4 2 2 3" xfId="18277" xr:uid="{00000000-0005-0000-0000-0000E86E0000}"/>
    <cellStyle name="Normal 27 4 2 2 3 2" xfId="31335" xr:uid="{00000000-0005-0000-0000-0000E96E0000}"/>
    <cellStyle name="Normal 27 4 2 2 4" xfId="18278" xr:uid="{00000000-0005-0000-0000-0000EA6E0000}"/>
    <cellStyle name="Normal 27 4 2 2 4 2" xfId="31336" xr:uid="{00000000-0005-0000-0000-0000EB6E0000}"/>
    <cellStyle name="Normal 27 4 2 2 5" xfId="22738" xr:uid="{00000000-0005-0000-0000-0000EC6E0000}"/>
    <cellStyle name="Normal 27 4 2 3" xfId="10446" xr:uid="{00000000-0005-0000-0000-0000ED6E0000}"/>
    <cellStyle name="Normal 27 4 2 3 2" xfId="18279" xr:uid="{00000000-0005-0000-0000-0000EE6E0000}"/>
    <cellStyle name="Normal 27 4 2 3 2 2" xfId="31337" xr:uid="{00000000-0005-0000-0000-0000EF6E0000}"/>
    <cellStyle name="Normal 27 4 2 3 3" xfId="18280" xr:uid="{00000000-0005-0000-0000-0000F06E0000}"/>
    <cellStyle name="Normal 27 4 2 3 3 2" xfId="31338" xr:uid="{00000000-0005-0000-0000-0000F16E0000}"/>
    <cellStyle name="Normal 27 4 2 3 4" xfId="23816" xr:uid="{00000000-0005-0000-0000-0000F26E0000}"/>
    <cellStyle name="Normal 27 4 2 4" xfId="18281" xr:uid="{00000000-0005-0000-0000-0000F36E0000}"/>
    <cellStyle name="Normal 27 4 2 4 2" xfId="31339" xr:uid="{00000000-0005-0000-0000-0000F46E0000}"/>
    <cellStyle name="Normal 27 4 2 5" xfId="18282" xr:uid="{00000000-0005-0000-0000-0000F56E0000}"/>
    <cellStyle name="Normal 27 4 2 5 2" xfId="31340" xr:uid="{00000000-0005-0000-0000-0000F66E0000}"/>
    <cellStyle name="Normal 27 4 2 6" xfId="21660" xr:uid="{00000000-0005-0000-0000-0000F76E0000}"/>
    <cellStyle name="Normal 27 4 3" xfId="8598" xr:uid="{00000000-0005-0000-0000-0000F86E0000}"/>
    <cellStyle name="Normal 27 4 3 2" xfId="10984" xr:uid="{00000000-0005-0000-0000-0000F96E0000}"/>
    <cellStyle name="Normal 27 4 3 2 2" xfId="18283" xr:uid="{00000000-0005-0000-0000-0000FA6E0000}"/>
    <cellStyle name="Normal 27 4 3 2 2 2" xfId="31341" xr:uid="{00000000-0005-0000-0000-0000FB6E0000}"/>
    <cellStyle name="Normal 27 4 3 2 3" xfId="18284" xr:uid="{00000000-0005-0000-0000-0000FC6E0000}"/>
    <cellStyle name="Normal 27 4 3 2 3 2" xfId="31342" xr:uid="{00000000-0005-0000-0000-0000FD6E0000}"/>
    <cellStyle name="Normal 27 4 3 2 4" xfId="24354" xr:uid="{00000000-0005-0000-0000-0000FE6E0000}"/>
    <cellStyle name="Normal 27 4 3 3" xfId="18285" xr:uid="{00000000-0005-0000-0000-0000FF6E0000}"/>
    <cellStyle name="Normal 27 4 3 3 2" xfId="31343" xr:uid="{00000000-0005-0000-0000-0000006F0000}"/>
    <cellStyle name="Normal 27 4 3 4" xfId="18286" xr:uid="{00000000-0005-0000-0000-0000016F0000}"/>
    <cellStyle name="Normal 27 4 3 4 2" xfId="31344" xr:uid="{00000000-0005-0000-0000-0000026F0000}"/>
    <cellStyle name="Normal 27 4 3 5" xfId="22198" xr:uid="{00000000-0005-0000-0000-0000036F0000}"/>
    <cellStyle name="Normal 27 4 4" xfId="9906" xr:uid="{00000000-0005-0000-0000-0000046F0000}"/>
    <cellStyle name="Normal 27 4 4 2" xfId="18287" xr:uid="{00000000-0005-0000-0000-0000056F0000}"/>
    <cellStyle name="Normal 27 4 4 2 2" xfId="31345" xr:uid="{00000000-0005-0000-0000-0000066F0000}"/>
    <cellStyle name="Normal 27 4 4 3" xfId="18288" xr:uid="{00000000-0005-0000-0000-0000076F0000}"/>
    <cellStyle name="Normal 27 4 4 3 2" xfId="31346" xr:uid="{00000000-0005-0000-0000-0000086F0000}"/>
    <cellStyle name="Normal 27 4 4 4" xfId="23276" xr:uid="{00000000-0005-0000-0000-0000096F0000}"/>
    <cellStyle name="Normal 27 4 5" xfId="18289" xr:uid="{00000000-0005-0000-0000-00000A6F0000}"/>
    <cellStyle name="Normal 27 4 5 2" xfId="31347" xr:uid="{00000000-0005-0000-0000-00000B6F0000}"/>
    <cellStyle name="Normal 27 4 6" xfId="18290" xr:uid="{00000000-0005-0000-0000-00000C6F0000}"/>
    <cellStyle name="Normal 27 4 6 2" xfId="31348" xr:uid="{00000000-0005-0000-0000-00000D6F0000}"/>
    <cellStyle name="Normal 27 4 7" xfId="21120" xr:uid="{00000000-0005-0000-0000-00000E6F0000}"/>
    <cellStyle name="Normal 27 5" xfId="6996" xr:uid="{00000000-0005-0000-0000-00000F6F0000}"/>
    <cellStyle name="Normal 27 5 2" xfId="8876" xr:uid="{00000000-0005-0000-0000-0000106F0000}"/>
    <cellStyle name="Normal 27 5 2 2" xfId="11255" xr:uid="{00000000-0005-0000-0000-0000116F0000}"/>
    <cellStyle name="Normal 27 5 2 2 2" xfId="18291" xr:uid="{00000000-0005-0000-0000-0000126F0000}"/>
    <cellStyle name="Normal 27 5 2 2 2 2" xfId="31349" xr:uid="{00000000-0005-0000-0000-0000136F0000}"/>
    <cellStyle name="Normal 27 5 2 2 3" xfId="18292" xr:uid="{00000000-0005-0000-0000-0000146F0000}"/>
    <cellStyle name="Normal 27 5 2 2 3 2" xfId="31350" xr:uid="{00000000-0005-0000-0000-0000156F0000}"/>
    <cellStyle name="Normal 27 5 2 2 4" xfId="24625" xr:uid="{00000000-0005-0000-0000-0000166F0000}"/>
    <cellStyle name="Normal 27 5 2 3" xfId="18293" xr:uid="{00000000-0005-0000-0000-0000176F0000}"/>
    <cellStyle name="Normal 27 5 2 3 2" xfId="31351" xr:uid="{00000000-0005-0000-0000-0000186F0000}"/>
    <cellStyle name="Normal 27 5 2 4" xfId="18294" xr:uid="{00000000-0005-0000-0000-0000196F0000}"/>
    <cellStyle name="Normal 27 5 2 4 2" xfId="31352" xr:uid="{00000000-0005-0000-0000-00001A6F0000}"/>
    <cellStyle name="Normal 27 5 2 5" xfId="22469" xr:uid="{00000000-0005-0000-0000-00001B6F0000}"/>
    <cellStyle name="Normal 27 5 3" xfId="10177" xr:uid="{00000000-0005-0000-0000-00001C6F0000}"/>
    <cellStyle name="Normal 27 5 3 2" xfId="18295" xr:uid="{00000000-0005-0000-0000-00001D6F0000}"/>
    <cellStyle name="Normal 27 5 3 2 2" xfId="31353" xr:uid="{00000000-0005-0000-0000-00001E6F0000}"/>
    <cellStyle name="Normal 27 5 3 3" xfId="18296" xr:uid="{00000000-0005-0000-0000-00001F6F0000}"/>
    <cellStyle name="Normal 27 5 3 3 2" xfId="31354" xr:uid="{00000000-0005-0000-0000-0000206F0000}"/>
    <cellStyle name="Normal 27 5 3 4" xfId="23547" xr:uid="{00000000-0005-0000-0000-0000216F0000}"/>
    <cellStyle name="Normal 27 5 4" xfId="18297" xr:uid="{00000000-0005-0000-0000-0000226F0000}"/>
    <cellStyle name="Normal 27 5 4 2" xfId="31355" xr:uid="{00000000-0005-0000-0000-0000236F0000}"/>
    <cellStyle name="Normal 27 5 5" xfId="18298" xr:uid="{00000000-0005-0000-0000-0000246F0000}"/>
    <cellStyle name="Normal 27 5 5 2" xfId="31356" xr:uid="{00000000-0005-0000-0000-0000256F0000}"/>
    <cellStyle name="Normal 27 5 6" xfId="21391" xr:uid="{00000000-0005-0000-0000-0000266F0000}"/>
    <cellStyle name="Normal 27 6" xfId="8176" xr:uid="{00000000-0005-0000-0000-0000276F0000}"/>
    <cellStyle name="Normal 27 6 2" xfId="10715" xr:uid="{00000000-0005-0000-0000-0000286F0000}"/>
    <cellStyle name="Normal 27 6 2 2" xfId="18299" xr:uid="{00000000-0005-0000-0000-0000296F0000}"/>
    <cellStyle name="Normal 27 6 2 2 2" xfId="31357" xr:uid="{00000000-0005-0000-0000-00002A6F0000}"/>
    <cellStyle name="Normal 27 6 2 3" xfId="18300" xr:uid="{00000000-0005-0000-0000-00002B6F0000}"/>
    <cellStyle name="Normal 27 6 2 3 2" xfId="31358" xr:uid="{00000000-0005-0000-0000-00002C6F0000}"/>
    <cellStyle name="Normal 27 6 2 4" xfId="24085" xr:uid="{00000000-0005-0000-0000-00002D6F0000}"/>
    <cellStyle name="Normal 27 6 3" xfId="18301" xr:uid="{00000000-0005-0000-0000-00002E6F0000}"/>
    <cellStyle name="Normal 27 6 3 2" xfId="31359" xr:uid="{00000000-0005-0000-0000-00002F6F0000}"/>
    <cellStyle name="Normal 27 6 4" xfId="18302" xr:uid="{00000000-0005-0000-0000-0000306F0000}"/>
    <cellStyle name="Normal 27 6 4 2" xfId="31360" xr:uid="{00000000-0005-0000-0000-0000316F0000}"/>
    <cellStyle name="Normal 27 6 5" xfId="21929" xr:uid="{00000000-0005-0000-0000-0000326F0000}"/>
    <cellStyle name="Normal 27 7" xfId="9636" xr:uid="{00000000-0005-0000-0000-0000336F0000}"/>
    <cellStyle name="Normal 27 7 2" xfId="18303" xr:uid="{00000000-0005-0000-0000-0000346F0000}"/>
    <cellStyle name="Normal 27 7 2 2" xfId="31361" xr:uid="{00000000-0005-0000-0000-0000356F0000}"/>
    <cellStyle name="Normal 27 7 3" xfId="18304" xr:uid="{00000000-0005-0000-0000-0000366F0000}"/>
    <cellStyle name="Normal 27 7 3 2" xfId="31362" xr:uid="{00000000-0005-0000-0000-0000376F0000}"/>
    <cellStyle name="Normal 27 7 4" xfId="23007" xr:uid="{00000000-0005-0000-0000-0000386F0000}"/>
    <cellStyle name="Normal 27 8" xfId="18305" xr:uid="{00000000-0005-0000-0000-0000396F0000}"/>
    <cellStyle name="Normal 27 8 2" xfId="31363" xr:uid="{00000000-0005-0000-0000-00003A6F0000}"/>
    <cellStyle name="Normal 27 9" xfId="18306" xr:uid="{00000000-0005-0000-0000-00003B6F0000}"/>
    <cellStyle name="Normal 27 9 2" xfId="31364" xr:uid="{00000000-0005-0000-0000-00003C6F0000}"/>
    <cellStyle name="Normal 28" xfId="3877" xr:uid="{00000000-0005-0000-0000-00003D6F0000}"/>
    <cellStyle name="Normal 28 10" xfId="20852" xr:uid="{00000000-0005-0000-0000-00003E6F0000}"/>
    <cellStyle name="Normal 28 2" xfId="4090" xr:uid="{00000000-0005-0000-0000-00003F6F0000}"/>
    <cellStyle name="Normal 28 2 2" xfId="5626" xr:uid="{00000000-0005-0000-0000-0000406F0000}"/>
    <cellStyle name="Normal 28 2 2 2" xfId="6778" xr:uid="{00000000-0005-0000-0000-0000416F0000}"/>
    <cellStyle name="Normal 28 2 2 2 2" xfId="7465" xr:uid="{00000000-0005-0000-0000-0000426F0000}"/>
    <cellStyle name="Normal 28 2 2 2 2 2" xfId="9344" xr:uid="{00000000-0005-0000-0000-0000436F0000}"/>
    <cellStyle name="Normal 28 2 2 2 2 2 2" xfId="11723" xr:uid="{00000000-0005-0000-0000-0000446F0000}"/>
    <cellStyle name="Normal 28 2 2 2 2 2 2 2" xfId="18307" xr:uid="{00000000-0005-0000-0000-0000456F0000}"/>
    <cellStyle name="Normal 28 2 2 2 2 2 2 2 2" xfId="31365" xr:uid="{00000000-0005-0000-0000-0000466F0000}"/>
    <cellStyle name="Normal 28 2 2 2 2 2 2 3" xfId="18308" xr:uid="{00000000-0005-0000-0000-0000476F0000}"/>
    <cellStyle name="Normal 28 2 2 2 2 2 2 3 2" xfId="31366" xr:uid="{00000000-0005-0000-0000-0000486F0000}"/>
    <cellStyle name="Normal 28 2 2 2 2 2 2 4" xfId="25093" xr:uid="{00000000-0005-0000-0000-0000496F0000}"/>
    <cellStyle name="Normal 28 2 2 2 2 2 3" xfId="18309" xr:uid="{00000000-0005-0000-0000-00004A6F0000}"/>
    <cellStyle name="Normal 28 2 2 2 2 2 3 2" xfId="31367" xr:uid="{00000000-0005-0000-0000-00004B6F0000}"/>
    <cellStyle name="Normal 28 2 2 2 2 2 4" xfId="18310" xr:uid="{00000000-0005-0000-0000-00004C6F0000}"/>
    <cellStyle name="Normal 28 2 2 2 2 2 4 2" xfId="31368" xr:uid="{00000000-0005-0000-0000-00004D6F0000}"/>
    <cellStyle name="Normal 28 2 2 2 2 2 5" xfId="22937" xr:uid="{00000000-0005-0000-0000-00004E6F0000}"/>
    <cellStyle name="Normal 28 2 2 2 2 3" xfId="10645" xr:uid="{00000000-0005-0000-0000-00004F6F0000}"/>
    <cellStyle name="Normal 28 2 2 2 2 3 2" xfId="18311" xr:uid="{00000000-0005-0000-0000-0000506F0000}"/>
    <cellStyle name="Normal 28 2 2 2 2 3 2 2" xfId="31369" xr:uid="{00000000-0005-0000-0000-0000516F0000}"/>
    <cellStyle name="Normal 28 2 2 2 2 3 3" xfId="18312" xr:uid="{00000000-0005-0000-0000-0000526F0000}"/>
    <cellStyle name="Normal 28 2 2 2 2 3 3 2" xfId="31370" xr:uid="{00000000-0005-0000-0000-0000536F0000}"/>
    <cellStyle name="Normal 28 2 2 2 2 3 4" xfId="24015" xr:uid="{00000000-0005-0000-0000-0000546F0000}"/>
    <cellStyle name="Normal 28 2 2 2 2 4" xfId="18313" xr:uid="{00000000-0005-0000-0000-0000556F0000}"/>
    <cellStyle name="Normal 28 2 2 2 2 4 2" xfId="31371" xr:uid="{00000000-0005-0000-0000-0000566F0000}"/>
    <cellStyle name="Normal 28 2 2 2 2 5" xfId="18314" xr:uid="{00000000-0005-0000-0000-0000576F0000}"/>
    <cellStyle name="Normal 28 2 2 2 2 5 2" xfId="31372" xr:uid="{00000000-0005-0000-0000-0000586F0000}"/>
    <cellStyle name="Normal 28 2 2 2 2 6" xfId="21859" xr:uid="{00000000-0005-0000-0000-0000596F0000}"/>
    <cellStyle name="Normal 28 2 2 2 3" xfId="8798" xr:uid="{00000000-0005-0000-0000-00005A6F0000}"/>
    <cellStyle name="Normal 28 2 2 2 3 2" xfId="11183" xr:uid="{00000000-0005-0000-0000-00005B6F0000}"/>
    <cellStyle name="Normal 28 2 2 2 3 2 2" xfId="18315" xr:uid="{00000000-0005-0000-0000-00005C6F0000}"/>
    <cellStyle name="Normal 28 2 2 2 3 2 2 2" xfId="31373" xr:uid="{00000000-0005-0000-0000-00005D6F0000}"/>
    <cellStyle name="Normal 28 2 2 2 3 2 3" xfId="18316" xr:uid="{00000000-0005-0000-0000-00005E6F0000}"/>
    <cellStyle name="Normal 28 2 2 2 3 2 3 2" xfId="31374" xr:uid="{00000000-0005-0000-0000-00005F6F0000}"/>
    <cellStyle name="Normal 28 2 2 2 3 2 4" xfId="24553" xr:uid="{00000000-0005-0000-0000-0000606F0000}"/>
    <cellStyle name="Normal 28 2 2 2 3 3" xfId="18317" xr:uid="{00000000-0005-0000-0000-0000616F0000}"/>
    <cellStyle name="Normal 28 2 2 2 3 3 2" xfId="31375" xr:uid="{00000000-0005-0000-0000-0000626F0000}"/>
    <cellStyle name="Normal 28 2 2 2 3 4" xfId="18318" xr:uid="{00000000-0005-0000-0000-0000636F0000}"/>
    <cellStyle name="Normal 28 2 2 2 3 4 2" xfId="31376" xr:uid="{00000000-0005-0000-0000-0000646F0000}"/>
    <cellStyle name="Normal 28 2 2 2 3 5" xfId="22397" xr:uid="{00000000-0005-0000-0000-0000656F0000}"/>
    <cellStyle name="Normal 28 2 2 2 4" xfId="10105" xr:uid="{00000000-0005-0000-0000-0000666F0000}"/>
    <cellStyle name="Normal 28 2 2 2 4 2" xfId="18319" xr:uid="{00000000-0005-0000-0000-0000676F0000}"/>
    <cellStyle name="Normal 28 2 2 2 4 2 2" xfId="31377" xr:uid="{00000000-0005-0000-0000-0000686F0000}"/>
    <cellStyle name="Normal 28 2 2 2 4 3" xfId="18320" xr:uid="{00000000-0005-0000-0000-0000696F0000}"/>
    <cellStyle name="Normal 28 2 2 2 4 3 2" xfId="31378" xr:uid="{00000000-0005-0000-0000-00006A6F0000}"/>
    <cellStyle name="Normal 28 2 2 2 4 4" xfId="23475" xr:uid="{00000000-0005-0000-0000-00006B6F0000}"/>
    <cellStyle name="Normal 28 2 2 2 5" xfId="18321" xr:uid="{00000000-0005-0000-0000-00006C6F0000}"/>
    <cellStyle name="Normal 28 2 2 2 5 2" xfId="31379" xr:uid="{00000000-0005-0000-0000-00006D6F0000}"/>
    <cellStyle name="Normal 28 2 2 2 6" xfId="18322" xr:uid="{00000000-0005-0000-0000-00006E6F0000}"/>
    <cellStyle name="Normal 28 2 2 2 6 2" xfId="31380" xr:uid="{00000000-0005-0000-0000-00006F6F0000}"/>
    <cellStyle name="Normal 28 2 2 2 7" xfId="21319" xr:uid="{00000000-0005-0000-0000-0000706F0000}"/>
    <cellStyle name="Normal 28 2 2 3" xfId="7196" xr:uid="{00000000-0005-0000-0000-0000716F0000}"/>
    <cellStyle name="Normal 28 2 2 3 2" xfId="9075" xr:uid="{00000000-0005-0000-0000-0000726F0000}"/>
    <cellStyle name="Normal 28 2 2 3 2 2" xfId="11454" xr:uid="{00000000-0005-0000-0000-0000736F0000}"/>
    <cellStyle name="Normal 28 2 2 3 2 2 2" xfId="18323" xr:uid="{00000000-0005-0000-0000-0000746F0000}"/>
    <cellStyle name="Normal 28 2 2 3 2 2 2 2" xfId="31381" xr:uid="{00000000-0005-0000-0000-0000756F0000}"/>
    <cellStyle name="Normal 28 2 2 3 2 2 3" xfId="18324" xr:uid="{00000000-0005-0000-0000-0000766F0000}"/>
    <cellStyle name="Normal 28 2 2 3 2 2 3 2" xfId="31382" xr:uid="{00000000-0005-0000-0000-0000776F0000}"/>
    <cellStyle name="Normal 28 2 2 3 2 2 4" xfId="24824" xr:uid="{00000000-0005-0000-0000-0000786F0000}"/>
    <cellStyle name="Normal 28 2 2 3 2 3" xfId="18325" xr:uid="{00000000-0005-0000-0000-0000796F0000}"/>
    <cellStyle name="Normal 28 2 2 3 2 3 2" xfId="31383" xr:uid="{00000000-0005-0000-0000-00007A6F0000}"/>
    <cellStyle name="Normal 28 2 2 3 2 4" xfId="18326" xr:uid="{00000000-0005-0000-0000-00007B6F0000}"/>
    <cellStyle name="Normal 28 2 2 3 2 4 2" xfId="31384" xr:uid="{00000000-0005-0000-0000-00007C6F0000}"/>
    <cellStyle name="Normal 28 2 2 3 2 5" xfId="22668" xr:uid="{00000000-0005-0000-0000-00007D6F0000}"/>
    <cellStyle name="Normal 28 2 2 3 3" xfId="10376" xr:uid="{00000000-0005-0000-0000-00007E6F0000}"/>
    <cellStyle name="Normal 28 2 2 3 3 2" xfId="18327" xr:uid="{00000000-0005-0000-0000-00007F6F0000}"/>
    <cellStyle name="Normal 28 2 2 3 3 2 2" xfId="31385" xr:uid="{00000000-0005-0000-0000-0000806F0000}"/>
    <cellStyle name="Normal 28 2 2 3 3 3" xfId="18328" xr:uid="{00000000-0005-0000-0000-0000816F0000}"/>
    <cellStyle name="Normal 28 2 2 3 3 3 2" xfId="31386" xr:uid="{00000000-0005-0000-0000-0000826F0000}"/>
    <cellStyle name="Normal 28 2 2 3 3 4" xfId="23746" xr:uid="{00000000-0005-0000-0000-0000836F0000}"/>
    <cellStyle name="Normal 28 2 2 3 4" xfId="18329" xr:uid="{00000000-0005-0000-0000-0000846F0000}"/>
    <cellStyle name="Normal 28 2 2 3 4 2" xfId="31387" xr:uid="{00000000-0005-0000-0000-0000856F0000}"/>
    <cellStyle name="Normal 28 2 2 3 5" xfId="18330" xr:uid="{00000000-0005-0000-0000-0000866F0000}"/>
    <cellStyle name="Normal 28 2 2 3 5 2" xfId="31388" xr:uid="{00000000-0005-0000-0000-0000876F0000}"/>
    <cellStyle name="Normal 28 2 2 3 6" xfId="21590" xr:uid="{00000000-0005-0000-0000-0000886F0000}"/>
    <cellStyle name="Normal 28 2 2 4" xfId="8473" xr:uid="{00000000-0005-0000-0000-0000896F0000}"/>
    <cellStyle name="Normal 28 2 2 4 2" xfId="10914" xr:uid="{00000000-0005-0000-0000-00008A6F0000}"/>
    <cellStyle name="Normal 28 2 2 4 2 2" xfId="18331" xr:uid="{00000000-0005-0000-0000-00008B6F0000}"/>
    <cellStyle name="Normal 28 2 2 4 2 2 2" xfId="31389" xr:uid="{00000000-0005-0000-0000-00008C6F0000}"/>
    <cellStyle name="Normal 28 2 2 4 2 3" xfId="18332" xr:uid="{00000000-0005-0000-0000-00008D6F0000}"/>
    <cellStyle name="Normal 28 2 2 4 2 3 2" xfId="31390" xr:uid="{00000000-0005-0000-0000-00008E6F0000}"/>
    <cellStyle name="Normal 28 2 2 4 2 4" xfId="24284" xr:uid="{00000000-0005-0000-0000-00008F6F0000}"/>
    <cellStyle name="Normal 28 2 2 4 3" xfId="18333" xr:uid="{00000000-0005-0000-0000-0000906F0000}"/>
    <cellStyle name="Normal 28 2 2 4 3 2" xfId="31391" xr:uid="{00000000-0005-0000-0000-0000916F0000}"/>
    <cellStyle name="Normal 28 2 2 4 4" xfId="18334" xr:uid="{00000000-0005-0000-0000-0000926F0000}"/>
    <cellStyle name="Normal 28 2 2 4 4 2" xfId="31392" xr:uid="{00000000-0005-0000-0000-0000936F0000}"/>
    <cellStyle name="Normal 28 2 2 4 5" xfId="22128" xr:uid="{00000000-0005-0000-0000-0000946F0000}"/>
    <cellStyle name="Normal 28 2 2 5" xfId="9836" xr:uid="{00000000-0005-0000-0000-0000956F0000}"/>
    <cellStyle name="Normal 28 2 2 5 2" xfId="18335" xr:uid="{00000000-0005-0000-0000-0000966F0000}"/>
    <cellStyle name="Normal 28 2 2 5 2 2" xfId="31393" xr:uid="{00000000-0005-0000-0000-0000976F0000}"/>
    <cellStyle name="Normal 28 2 2 5 3" xfId="18336" xr:uid="{00000000-0005-0000-0000-0000986F0000}"/>
    <cellStyle name="Normal 28 2 2 5 3 2" xfId="31394" xr:uid="{00000000-0005-0000-0000-0000996F0000}"/>
    <cellStyle name="Normal 28 2 2 5 4" xfId="23206" xr:uid="{00000000-0005-0000-0000-00009A6F0000}"/>
    <cellStyle name="Normal 28 2 2 6" xfId="18337" xr:uid="{00000000-0005-0000-0000-00009B6F0000}"/>
    <cellStyle name="Normal 28 2 2 6 2" xfId="31395" xr:uid="{00000000-0005-0000-0000-00009C6F0000}"/>
    <cellStyle name="Normal 28 2 2 7" xfId="18338" xr:uid="{00000000-0005-0000-0000-00009D6F0000}"/>
    <cellStyle name="Normal 28 2 2 7 2" xfId="31396" xr:uid="{00000000-0005-0000-0000-00009E6F0000}"/>
    <cellStyle name="Normal 28 2 2 8" xfId="21050" xr:uid="{00000000-0005-0000-0000-00009F6F0000}"/>
    <cellStyle name="Normal 28 2 3" xfId="6627" xr:uid="{00000000-0005-0000-0000-0000A06F0000}"/>
    <cellStyle name="Normal 28 2 3 2" xfId="7323" xr:uid="{00000000-0005-0000-0000-0000A16F0000}"/>
    <cellStyle name="Normal 28 2 3 2 2" xfId="9202" xr:uid="{00000000-0005-0000-0000-0000A26F0000}"/>
    <cellStyle name="Normal 28 2 3 2 2 2" xfId="11581" xr:uid="{00000000-0005-0000-0000-0000A36F0000}"/>
    <cellStyle name="Normal 28 2 3 2 2 2 2" xfId="18339" xr:uid="{00000000-0005-0000-0000-0000A46F0000}"/>
    <cellStyle name="Normal 28 2 3 2 2 2 2 2" xfId="31397" xr:uid="{00000000-0005-0000-0000-0000A56F0000}"/>
    <cellStyle name="Normal 28 2 3 2 2 2 3" xfId="18340" xr:uid="{00000000-0005-0000-0000-0000A66F0000}"/>
    <cellStyle name="Normal 28 2 3 2 2 2 3 2" xfId="31398" xr:uid="{00000000-0005-0000-0000-0000A76F0000}"/>
    <cellStyle name="Normal 28 2 3 2 2 2 4" xfId="24951" xr:uid="{00000000-0005-0000-0000-0000A86F0000}"/>
    <cellStyle name="Normal 28 2 3 2 2 3" xfId="18341" xr:uid="{00000000-0005-0000-0000-0000A96F0000}"/>
    <cellStyle name="Normal 28 2 3 2 2 3 2" xfId="31399" xr:uid="{00000000-0005-0000-0000-0000AA6F0000}"/>
    <cellStyle name="Normal 28 2 3 2 2 4" xfId="18342" xr:uid="{00000000-0005-0000-0000-0000AB6F0000}"/>
    <cellStyle name="Normal 28 2 3 2 2 4 2" xfId="31400" xr:uid="{00000000-0005-0000-0000-0000AC6F0000}"/>
    <cellStyle name="Normal 28 2 3 2 2 5" xfId="22795" xr:uid="{00000000-0005-0000-0000-0000AD6F0000}"/>
    <cellStyle name="Normal 28 2 3 2 3" xfId="10503" xr:uid="{00000000-0005-0000-0000-0000AE6F0000}"/>
    <cellStyle name="Normal 28 2 3 2 3 2" xfId="18343" xr:uid="{00000000-0005-0000-0000-0000AF6F0000}"/>
    <cellStyle name="Normal 28 2 3 2 3 2 2" xfId="31401" xr:uid="{00000000-0005-0000-0000-0000B06F0000}"/>
    <cellStyle name="Normal 28 2 3 2 3 3" xfId="18344" xr:uid="{00000000-0005-0000-0000-0000B16F0000}"/>
    <cellStyle name="Normal 28 2 3 2 3 3 2" xfId="31402" xr:uid="{00000000-0005-0000-0000-0000B26F0000}"/>
    <cellStyle name="Normal 28 2 3 2 3 4" xfId="23873" xr:uid="{00000000-0005-0000-0000-0000B36F0000}"/>
    <cellStyle name="Normal 28 2 3 2 4" xfId="18345" xr:uid="{00000000-0005-0000-0000-0000B46F0000}"/>
    <cellStyle name="Normal 28 2 3 2 4 2" xfId="31403" xr:uid="{00000000-0005-0000-0000-0000B56F0000}"/>
    <cellStyle name="Normal 28 2 3 2 5" xfId="18346" xr:uid="{00000000-0005-0000-0000-0000B66F0000}"/>
    <cellStyle name="Normal 28 2 3 2 5 2" xfId="31404" xr:uid="{00000000-0005-0000-0000-0000B76F0000}"/>
    <cellStyle name="Normal 28 2 3 2 6" xfId="21717" xr:uid="{00000000-0005-0000-0000-0000B86F0000}"/>
    <cellStyle name="Normal 28 2 3 3" xfId="8655" xr:uid="{00000000-0005-0000-0000-0000B96F0000}"/>
    <cellStyle name="Normal 28 2 3 3 2" xfId="11041" xr:uid="{00000000-0005-0000-0000-0000BA6F0000}"/>
    <cellStyle name="Normal 28 2 3 3 2 2" xfId="18347" xr:uid="{00000000-0005-0000-0000-0000BB6F0000}"/>
    <cellStyle name="Normal 28 2 3 3 2 2 2" xfId="31405" xr:uid="{00000000-0005-0000-0000-0000BC6F0000}"/>
    <cellStyle name="Normal 28 2 3 3 2 3" xfId="18348" xr:uid="{00000000-0005-0000-0000-0000BD6F0000}"/>
    <cellStyle name="Normal 28 2 3 3 2 3 2" xfId="31406" xr:uid="{00000000-0005-0000-0000-0000BE6F0000}"/>
    <cellStyle name="Normal 28 2 3 3 2 4" xfId="24411" xr:uid="{00000000-0005-0000-0000-0000BF6F0000}"/>
    <cellStyle name="Normal 28 2 3 3 3" xfId="18349" xr:uid="{00000000-0005-0000-0000-0000C06F0000}"/>
    <cellStyle name="Normal 28 2 3 3 3 2" xfId="31407" xr:uid="{00000000-0005-0000-0000-0000C16F0000}"/>
    <cellStyle name="Normal 28 2 3 3 4" xfId="18350" xr:uid="{00000000-0005-0000-0000-0000C26F0000}"/>
    <cellStyle name="Normal 28 2 3 3 4 2" xfId="31408" xr:uid="{00000000-0005-0000-0000-0000C36F0000}"/>
    <cellStyle name="Normal 28 2 3 3 5" xfId="22255" xr:uid="{00000000-0005-0000-0000-0000C46F0000}"/>
    <cellStyle name="Normal 28 2 3 4" xfId="9963" xr:uid="{00000000-0005-0000-0000-0000C56F0000}"/>
    <cellStyle name="Normal 28 2 3 4 2" xfId="18351" xr:uid="{00000000-0005-0000-0000-0000C66F0000}"/>
    <cellStyle name="Normal 28 2 3 4 2 2" xfId="31409" xr:uid="{00000000-0005-0000-0000-0000C76F0000}"/>
    <cellStyle name="Normal 28 2 3 4 3" xfId="18352" xr:uid="{00000000-0005-0000-0000-0000C86F0000}"/>
    <cellStyle name="Normal 28 2 3 4 3 2" xfId="31410" xr:uid="{00000000-0005-0000-0000-0000C96F0000}"/>
    <cellStyle name="Normal 28 2 3 4 4" xfId="23333" xr:uid="{00000000-0005-0000-0000-0000CA6F0000}"/>
    <cellStyle name="Normal 28 2 3 5" xfId="18353" xr:uid="{00000000-0005-0000-0000-0000CB6F0000}"/>
    <cellStyle name="Normal 28 2 3 5 2" xfId="31411" xr:uid="{00000000-0005-0000-0000-0000CC6F0000}"/>
    <cellStyle name="Normal 28 2 3 6" xfId="18354" xr:uid="{00000000-0005-0000-0000-0000CD6F0000}"/>
    <cellStyle name="Normal 28 2 3 6 2" xfId="31412" xr:uid="{00000000-0005-0000-0000-0000CE6F0000}"/>
    <cellStyle name="Normal 28 2 3 7" xfId="21177" xr:uid="{00000000-0005-0000-0000-0000CF6F0000}"/>
    <cellStyle name="Normal 28 2 4" xfId="7053" xr:uid="{00000000-0005-0000-0000-0000D06F0000}"/>
    <cellStyle name="Normal 28 2 4 2" xfId="8933" xr:uid="{00000000-0005-0000-0000-0000D16F0000}"/>
    <cellStyle name="Normal 28 2 4 2 2" xfId="11312" xr:uid="{00000000-0005-0000-0000-0000D26F0000}"/>
    <cellStyle name="Normal 28 2 4 2 2 2" xfId="18355" xr:uid="{00000000-0005-0000-0000-0000D36F0000}"/>
    <cellStyle name="Normal 28 2 4 2 2 2 2" xfId="31413" xr:uid="{00000000-0005-0000-0000-0000D46F0000}"/>
    <cellStyle name="Normal 28 2 4 2 2 3" xfId="18356" xr:uid="{00000000-0005-0000-0000-0000D56F0000}"/>
    <cellStyle name="Normal 28 2 4 2 2 3 2" xfId="31414" xr:uid="{00000000-0005-0000-0000-0000D66F0000}"/>
    <cellStyle name="Normal 28 2 4 2 2 4" xfId="24682" xr:uid="{00000000-0005-0000-0000-0000D76F0000}"/>
    <cellStyle name="Normal 28 2 4 2 3" xfId="18357" xr:uid="{00000000-0005-0000-0000-0000D86F0000}"/>
    <cellStyle name="Normal 28 2 4 2 3 2" xfId="31415" xr:uid="{00000000-0005-0000-0000-0000D96F0000}"/>
    <cellStyle name="Normal 28 2 4 2 4" xfId="18358" xr:uid="{00000000-0005-0000-0000-0000DA6F0000}"/>
    <cellStyle name="Normal 28 2 4 2 4 2" xfId="31416" xr:uid="{00000000-0005-0000-0000-0000DB6F0000}"/>
    <cellStyle name="Normal 28 2 4 2 5" xfId="22526" xr:uid="{00000000-0005-0000-0000-0000DC6F0000}"/>
    <cellStyle name="Normal 28 2 4 3" xfId="10234" xr:uid="{00000000-0005-0000-0000-0000DD6F0000}"/>
    <cellStyle name="Normal 28 2 4 3 2" xfId="18359" xr:uid="{00000000-0005-0000-0000-0000DE6F0000}"/>
    <cellStyle name="Normal 28 2 4 3 2 2" xfId="31417" xr:uid="{00000000-0005-0000-0000-0000DF6F0000}"/>
    <cellStyle name="Normal 28 2 4 3 3" xfId="18360" xr:uid="{00000000-0005-0000-0000-0000E06F0000}"/>
    <cellStyle name="Normal 28 2 4 3 3 2" xfId="31418" xr:uid="{00000000-0005-0000-0000-0000E16F0000}"/>
    <cellStyle name="Normal 28 2 4 3 4" xfId="23604" xr:uid="{00000000-0005-0000-0000-0000E26F0000}"/>
    <cellStyle name="Normal 28 2 4 4" xfId="18361" xr:uid="{00000000-0005-0000-0000-0000E36F0000}"/>
    <cellStyle name="Normal 28 2 4 4 2" xfId="31419" xr:uid="{00000000-0005-0000-0000-0000E46F0000}"/>
    <cellStyle name="Normal 28 2 4 5" xfId="18362" xr:uid="{00000000-0005-0000-0000-0000E56F0000}"/>
    <cellStyle name="Normal 28 2 4 5 2" xfId="31420" xr:uid="{00000000-0005-0000-0000-0000E66F0000}"/>
    <cellStyle name="Normal 28 2 4 6" xfId="21448" xr:uid="{00000000-0005-0000-0000-0000E76F0000}"/>
    <cellStyle name="Normal 28 2 5" xfId="8257" xr:uid="{00000000-0005-0000-0000-0000E86F0000}"/>
    <cellStyle name="Normal 28 2 5 2" xfId="10772" xr:uid="{00000000-0005-0000-0000-0000E96F0000}"/>
    <cellStyle name="Normal 28 2 5 2 2" xfId="18363" xr:uid="{00000000-0005-0000-0000-0000EA6F0000}"/>
    <cellStyle name="Normal 28 2 5 2 2 2" xfId="31421" xr:uid="{00000000-0005-0000-0000-0000EB6F0000}"/>
    <cellStyle name="Normal 28 2 5 2 3" xfId="18364" xr:uid="{00000000-0005-0000-0000-0000EC6F0000}"/>
    <cellStyle name="Normal 28 2 5 2 3 2" xfId="31422" xr:uid="{00000000-0005-0000-0000-0000ED6F0000}"/>
    <cellStyle name="Normal 28 2 5 2 4" xfId="24142" xr:uid="{00000000-0005-0000-0000-0000EE6F0000}"/>
    <cellStyle name="Normal 28 2 5 3" xfId="18365" xr:uid="{00000000-0005-0000-0000-0000EF6F0000}"/>
    <cellStyle name="Normal 28 2 5 3 2" xfId="31423" xr:uid="{00000000-0005-0000-0000-0000F06F0000}"/>
    <cellStyle name="Normal 28 2 5 4" xfId="18366" xr:uid="{00000000-0005-0000-0000-0000F16F0000}"/>
    <cellStyle name="Normal 28 2 5 4 2" xfId="31424" xr:uid="{00000000-0005-0000-0000-0000F26F0000}"/>
    <cellStyle name="Normal 28 2 5 5" xfId="21986" xr:uid="{00000000-0005-0000-0000-0000F36F0000}"/>
    <cellStyle name="Normal 28 2 6" xfId="9693" xr:uid="{00000000-0005-0000-0000-0000F46F0000}"/>
    <cellStyle name="Normal 28 2 6 2" xfId="18367" xr:uid="{00000000-0005-0000-0000-0000F56F0000}"/>
    <cellStyle name="Normal 28 2 6 2 2" xfId="31425" xr:uid="{00000000-0005-0000-0000-0000F66F0000}"/>
    <cellStyle name="Normal 28 2 6 3" xfId="18368" xr:uid="{00000000-0005-0000-0000-0000F76F0000}"/>
    <cellStyle name="Normal 28 2 6 3 2" xfId="31426" xr:uid="{00000000-0005-0000-0000-0000F86F0000}"/>
    <cellStyle name="Normal 28 2 6 4" xfId="23064" xr:uid="{00000000-0005-0000-0000-0000F96F0000}"/>
    <cellStyle name="Normal 28 2 7" xfId="18369" xr:uid="{00000000-0005-0000-0000-0000FA6F0000}"/>
    <cellStyle name="Normal 28 2 7 2" xfId="31427" xr:uid="{00000000-0005-0000-0000-0000FB6F0000}"/>
    <cellStyle name="Normal 28 2 8" xfId="18370" xr:uid="{00000000-0005-0000-0000-0000FC6F0000}"/>
    <cellStyle name="Normal 28 2 8 2" xfId="31428" xr:uid="{00000000-0005-0000-0000-0000FD6F0000}"/>
    <cellStyle name="Normal 28 2 9" xfId="20907" xr:uid="{00000000-0005-0000-0000-0000FE6F0000}"/>
    <cellStyle name="Normal 28 3" xfId="5525" xr:uid="{00000000-0005-0000-0000-0000FF6F0000}"/>
    <cellStyle name="Normal 28 3 2" xfId="6720" xr:uid="{00000000-0005-0000-0000-000000700000}"/>
    <cellStyle name="Normal 28 3 2 2" xfId="7407" xr:uid="{00000000-0005-0000-0000-000001700000}"/>
    <cellStyle name="Normal 28 3 2 2 2" xfId="9286" xr:uid="{00000000-0005-0000-0000-000002700000}"/>
    <cellStyle name="Normal 28 3 2 2 2 2" xfId="11665" xr:uid="{00000000-0005-0000-0000-000003700000}"/>
    <cellStyle name="Normal 28 3 2 2 2 2 2" xfId="18371" xr:uid="{00000000-0005-0000-0000-000004700000}"/>
    <cellStyle name="Normal 28 3 2 2 2 2 2 2" xfId="31429" xr:uid="{00000000-0005-0000-0000-000005700000}"/>
    <cellStyle name="Normal 28 3 2 2 2 2 3" xfId="18372" xr:uid="{00000000-0005-0000-0000-000006700000}"/>
    <cellStyle name="Normal 28 3 2 2 2 2 3 2" xfId="31430" xr:uid="{00000000-0005-0000-0000-000007700000}"/>
    <cellStyle name="Normal 28 3 2 2 2 2 4" xfId="25035" xr:uid="{00000000-0005-0000-0000-000008700000}"/>
    <cellStyle name="Normal 28 3 2 2 2 3" xfId="18373" xr:uid="{00000000-0005-0000-0000-000009700000}"/>
    <cellStyle name="Normal 28 3 2 2 2 3 2" xfId="31431" xr:uid="{00000000-0005-0000-0000-00000A700000}"/>
    <cellStyle name="Normal 28 3 2 2 2 4" xfId="18374" xr:uid="{00000000-0005-0000-0000-00000B700000}"/>
    <cellStyle name="Normal 28 3 2 2 2 4 2" xfId="31432" xr:uid="{00000000-0005-0000-0000-00000C700000}"/>
    <cellStyle name="Normal 28 3 2 2 2 5" xfId="22879" xr:uid="{00000000-0005-0000-0000-00000D700000}"/>
    <cellStyle name="Normal 28 3 2 2 3" xfId="10587" xr:uid="{00000000-0005-0000-0000-00000E700000}"/>
    <cellStyle name="Normal 28 3 2 2 3 2" xfId="18375" xr:uid="{00000000-0005-0000-0000-00000F700000}"/>
    <cellStyle name="Normal 28 3 2 2 3 2 2" xfId="31433" xr:uid="{00000000-0005-0000-0000-000010700000}"/>
    <cellStyle name="Normal 28 3 2 2 3 3" xfId="18376" xr:uid="{00000000-0005-0000-0000-000011700000}"/>
    <cellStyle name="Normal 28 3 2 2 3 3 2" xfId="31434" xr:uid="{00000000-0005-0000-0000-000012700000}"/>
    <cellStyle name="Normal 28 3 2 2 3 4" xfId="23957" xr:uid="{00000000-0005-0000-0000-000013700000}"/>
    <cellStyle name="Normal 28 3 2 2 4" xfId="18377" xr:uid="{00000000-0005-0000-0000-000014700000}"/>
    <cellStyle name="Normal 28 3 2 2 4 2" xfId="31435" xr:uid="{00000000-0005-0000-0000-000015700000}"/>
    <cellStyle name="Normal 28 3 2 2 5" xfId="18378" xr:uid="{00000000-0005-0000-0000-000016700000}"/>
    <cellStyle name="Normal 28 3 2 2 5 2" xfId="31436" xr:uid="{00000000-0005-0000-0000-000017700000}"/>
    <cellStyle name="Normal 28 3 2 2 6" xfId="21801" xr:uid="{00000000-0005-0000-0000-000018700000}"/>
    <cellStyle name="Normal 28 3 2 3" xfId="8740" xr:uid="{00000000-0005-0000-0000-000019700000}"/>
    <cellStyle name="Normal 28 3 2 3 2" xfId="11125" xr:uid="{00000000-0005-0000-0000-00001A700000}"/>
    <cellStyle name="Normal 28 3 2 3 2 2" xfId="18379" xr:uid="{00000000-0005-0000-0000-00001B700000}"/>
    <cellStyle name="Normal 28 3 2 3 2 2 2" xfId="31437" xr:uid="{00000000-0005-0000-0000-00001C700000}"/>
    <cellStyle name="Normal 28 3 2 3 2 3" xfId="18380" xr:uid="{00000000-0005-0000-0000-00001D700000}"/>
    <cellStyle name="Normal 28 3 2 3 2 3 2" xfId="31438" xr:uid="{00000000-0005-0000-0000-00001E700000}"/>
    <cellStyle name="Normal 28 3 2 3 2 4" xfId="24495" xr:uid="{00000000-0005-0000-0000-00001F700000}"/>
    <cellStyle name="Normal 28 3 2 3 3" xfId="18381" xr:uid="{00000000-0005-0000-0000-000020700000}"/>
    <cellStyle name="Normal 28 3 2 3 3 2" xfId="31439" xr:uid="{00000000-0005-0000-0000-000021700000}"/>
    <cellStyle name="Normal 28 3 2 3 4" xfId="18382" xr:uid="{00000000-0005-0000-0000-000022700000}"/>
    <cellStyle name="Normal 28 3 2 3 4 2" xfId="31440" xr:uid="{00000000-0005-0000-0000-000023700000}"/>
    <cellStyle name="Normal 28 3 2 3 5" xfId="22339" xr:uid="{00000000-0005-0000-0000-000024700000}"/>
    <cellStyle name="Normal 28 3 2 4" xfId="10047" xr:uid="{00000000-0005-0000-0000-000025700000}"/>
    <cellStyle name="Normal 28 3 2 4 2" xfId="18383" xr:uid="{00000000-0005-0000-0000-000026700000}"/>
    <cellStyle name="Normal 28 3 2 4 2 2" xfId="31441" xr:uid="{00000000-0005-0000-0000-000027700000}"/>
    <cellStyle name="Normal 28 3 2 4 3" xfId="18384" xr:uid="{00000000-0005-0000-0000-000028700000}"/>
    <cellStyle name="Normal 28 3 2 4 3 2" xfId="31442" xr:uid="{00000000-0005-0000-0000-000029700000}"/>
    <cellStyle name="Normal 28 3 2 4 4" xfId="23417" xr:uid="{00000000-0005-0000-0000-00002A700000}"/>
    <cellStyle name="Normal 28 3 2 5" xfId="18385" xr:uid="{00000000-0005-0000-0000-00002B700000}"/>
    <cellStyle name="Normal 28 3 2 5 2" xfId="31443" xr:uid="{00000000-0005-0000-0000-00002C700000}"/>
    <cellStyle name="Normal 28 3 2 6" xfId="18386" xr:uid="{00000000-0005-0000-0000-00002D700000}"/>
    <cellStyle name="Normal 28 3 2 6 2" xfId="31444" xr:uid="{00000000-0005-0000-0000-00002E700000}"/>
    <cellStyle name="Normal 28 3 2 7" xfId="21261" xr:uid="{00000000-0005-0000-0000-00002F700000}"/>
    <cellStyle name="Normal 28 3 3" xfId="7138" xr:uid="{00000000-0005-0000-0000-000030700000}"/>
    <cellStyle name="Normal 28 3 3 2" xfId="9017" xr:uid="{00000000-0005-0000-0000-000031700000}"/>
    <cellStyle name="Normal 28 3 3 2 2" xfId="11396" xr:uid="{00000000-0005-0000-0000-000032700000}"/>
    <cellStyle name="Normal 28 3 3 2 2 2" xfId="18387" xr:uid="{00000000-0005-0000-0000-000033700000}"/>
    <cellStyle name="Normal 28 3 3 2 2 2 2" xfId="31445" xr:uid="{00000000-0005-0000-0000-000034700000}"/>
    <cellStyle name="Normal 28 3 3 2 2 3" xfId="18388" xr:uid="{00000000-0005-0000-0000-000035700000}"/>
    <cellStyle name="Normal 28 3 3 2 2 3 2" xfId="31446" xr:uid="{00000000-0005-0000-0000-000036700000}"/>
    <cellStyle name="Normal 28 3 3 2 2 4" xfId="24766" xr:uid="{00000000-0005-0000-0000-000037700000}"/>
    <cellStyle name="Normal 28 3 3 2 3" xfId="18389" xr:uid="{00000000-0005-0000-0000-000038700000}"/>
    <cellStyle name="Normal 28 3 3 2 3 2" xfId="31447" xr:uid="{00000000-0005-0000-0000-000039700000}"/>
    <cellStyle name="Normal 28 3 3 2 4" xfId="18390" xr:uid="{00000000-0005-0000-0000-00003A700000}"/>
    <cellStyle name="Normal 28 3 3 2 4 2" xfId="31448" xr:uid="{00000000-0005-0000-0000-00003B700000}"/>
    <cellStyle name="Normal 28 3 3 2 5" xfId="22610" xr:uid="{00000000-0005-0000-0000-00003C700000}"/>
    <cellStyle name="Normal 28 3 3 3" xfId="10318" xr:uid="{00000000-0005-0000-0000-00003D700000}"/>
    <cellStyle name="Normal 28 3 3 3 2" xfId="18391" xr:uid="{00000000-0005-0000-0000-00003E700000}"/>
    <cellStyle name="Normal 28 3 3 3 2 2" xfId="31449" xr:uid="{00000000-0005-0000-0000-00003F700000}"/>
    <cellStyle name="Normal 28 3 3 3 3" xfId="18392" xr:uid="{00000000-0005-0000-0000-000040700000}"/>
    <cellStyle name="Normal 28 3 3 3 3 2" xfId="31450" xr:uid="{00000000-0005-0000-0000-000041700000}"/>
    <cellStyle name="Normal 28 3 3 3 4" xfId="23688" xr:uid="{00000000-0005-0000-0000-000042700000}"/>
    <cellStyle name="Normal 28 3 3 4" xfId="18393" xr:uid="{00000000-0005-0000-0000-000043700000}"/>
    <cellStyle name="Normal 28 3 3 4 2" xfId="31451" xr:uid="{00000000-0005-0000-0000-000044700000}"/>
    <cellStyle name="Normal 28 3 3 5" xfId="18394" xr:uid="{00000000-0005-0000-0000-000045700000}"/>
    <cellStyle name="Normal 28 3 3 5 2" xfId="31452" xr:uid="{00000000-0005-0000-0000-000046700000}"/>
    <cellStyle name="Normal 28 3 3 6" xfId="21532" xr:uid="{00000000-0005-0000-0000-000047700000}"/>
    <cellStyle name="Normal 28 3 4" xfId="8412" xr:uid="{00000000-0005-0000-0000-000048700000}"/>
    <cellStyle name="Normal 28 3 4 2" xfId="10856" xr:uid="{00000000-0005-0000-0000-000049700000}"/>
    <cellStyle name="Normal 28 3 4 2 2" xfId="18395" xr:uid="{00000000-0005-0000-0000-00004A700000}"/>
    <cellStyle name="Normal 28 3 4 2 2 2" xfId="31453" xr:uid="{00000000-0005-0000-0000-00004B700000}"/>
    <cellStyle name="Normal 28 3 4 2 3" xfId="18396" xr:uid="{00000000-0005-0000-0000-00004C700000}"/>
    <cellStyle name="Normal 28 3 4 2 3 2" xfId="31454" xr:uid="{00000000-0005-0000-0000-00004D700000}"/>
    <cellStyle name="Normal 28 3 4 2 4" xfId="24226" xr:uid="{00000000-0005-0000-0000-00004E700000}"/>
    <cellStyle name="Normal 28 3 4 3" xfId="18397" xr:uid="{00000000-0005-0000-0000-00004F700000}"/>
    <cellStyle name="Normal 28 3 4 3 2" xfId="31455" xr:uid="{00000000-0005-0000-0000-000050700000}"/>
    <cellStyle name="Normal 28 3 4 4" xfId="18398" xr:uid="{00000000-0005-0000-0000-000051700000}"/>
    <cellStyle name="Normal 28 3 4 4 2" xfId="31456" xr:uid="{00000000-0005-0000-0000-000052700000}"/>
    <cellStyle name="Normal 28 3 4 5" xfId="22070" xr:uid="{00000000-0005-0000-0000-000053700000}"/>
    <cellStyle name="Normal 28 3 5" xfId="9778" xr:uid="{00000000-0005-0000-0000-000054700000}"/>
    <cellStyle name="Normal 28 3 5 2" xfId="18399" xr:uid="{00000000-0005-0000-0000-000055700000}"/>
    <cellStyle name="Normal 28 3 5 2 2" xfId="31457" xr:uid="{00000000-0005-0000-0000-000056700000}"/>
    <cellStyle name="Normal 28 3 5 3" xfId="18400" xr:uid="{00000000-0005-0000-0000-000057700000}"/>
    <cellStyle name="Normal 28 3 5 3 2" xfId="31458" xr:uid="{00000000-0005-0000-0000-000058700000}"/>
    <cellStyle name="Normal 28 3 5 4" xfId="23148" xr:uid="{00000000-0005-0000-0000-000059700000}"/>
    <cellStyle name="Normal 28 3 6" xfId="18401" xr:uid="{00000000-0005-0000-0000-00005A700000}"/>
    <cellStyle name="Normal 28 3 6 2" xfId="31459" xr:uid="{00000000-0005-0000-0000-00005B700000}"/>
    <cellStyle name="Normal 28 3 7" xfId="18402" xr:uid="{00000000-0005-0000-0000-00005C700000}"/>
    <cellStyle name="Normal 28 3 7 2" xfId="31460" xr:uid="{00000000-0005-0000-0000-00005D700000}"/>
    <cellStyle name="Normal 28 3 8" xfId="20992" xr:uid="{00000000-0005-0000-0000-00005E700000}"/>
    <cellStyle name="Normal 28 4" xfId="6570" xr:uid="{00000000-0005-0000-0000-00005F700000}"/>
    <cellStyle name="Normal 28 4 2" xfId="7268" xr:uid="{00000000-0005-0000-0000-000060700000}"/>
    <cellStyle name="Normal 28 4 2 2" xfId="9147" xr:uid="{00000000-0005-0000-0000-000061700000}"/>
    <cellStyle name="Normal 28 4 2 2 2" xfId="11526" xr:uid="{00000000-0005-0000-0000-000062700000}"/>
    <cellStyle name="Normal 28 4 2 2 2 2" xfId="18403" xr:uid="{00000000-0005-0000-0000-000063700000}"/>
    <cellStyle name="Normal 28 4 2 2 2 2 2" xfId="31461" xr:uid="{00000000-0005-0000-0000-000064700000}"/>
    <cellStyle name="Normal 28 4 2 2 2 3" xfId="18404" xr:uid="{00000000-0005-0000-0000-000065700000}"/>
    <cellStyle name="Normal 28 4 2 2 2 3 2" xfId="31462" xr:uid="{00000000-0005-0000-0000-000066700000}"/>
    <cellStyle name="Normal 28 4 2 2 2 4" xfId="24896" xr:uid="{00000000-0005-0000-0000-000067700000}"/>
    <cellStyle name="Normal 28 4 2 2 3" xfId="18405" xr:uid="{00000000-0005-0000-0000-000068700000}"/>
    <cellStyle name="Normal 28 4 2 2 3 2" xfId="31463" xr:uid="{00000000-0005-0000-0000-000069700000}"/>
    <cellStyle name="Normal 28 4 2 2 4" xfId="18406" xr:uid="{00000000-0005-0000-0000-00006A700000}"/>
    <cellStyle name="Normal 28 4 2 2 4 2" xfId="31464" xr:uid="{00000000-0005-0000-0000-00006B700000}"/>
    <cellStyle name="Normal 28 4 2 2 5" xfId="22740" xr:uid="{00000000-0005-0000-0000-00006C700000}"/>
    <cellStyle name="Normal 28 4 2 3" xfId="10448" xr:uid="{00000000-0005-0000-0000-00006D700000}"/>
    <cellStyle name="Normal 28 4 2 3 2" xfId="18407" xr:uid="{00000000-0005-0000-0000-00006E700000}"/>
    <cellStyle name="Normal 28 4 2 3 2 2" xfId="31465" xr:uid="{00000000-0005-0000-0000-00006F700000}"/>
    <cellStyle name="Normal 28 4 2 3 3" xfId="18408" xr:uid="{00000000-0005-0000-0000-000070700000}"/>
    <cellStyle name="Normal 28 4 2 3 3 2" xfId="31466" xr:uid="{00000000-0005-0000-0000-000071700000}"/>
    <cellStyle name="Normal 28 4 2 3 4" xfId="23818" xr:uid="{00000000-0005-0000-0000-000072700000}"/>
    <cellStyle name="Normal 28 4 2 4" xfId="18409" xr:uid="{00000000-0005-0000-0000-000073700000}"/>
    <cellStyle name="Normal 28 4 2 4 2" xfId="31467" xr:uid="{00000000-0005-0000-0000-000074700000}"/>
    <cellStyle name="Normal 28 4 2 5" xfId="18410" xr:uid="{00000000-0005-0000-0000-000075700000}"/>
    <cellStyle name="Normal 28 4 2 5 2" xfId="31468" xr:uid="{00000000-0005-0000-0000-000076700000}"/>
    <cellStyle name="Normal 28 4 2 6" xfId="21662" xr:uid="{00000000-0005-0000-0000-000077700000}"/>
    <cellStyle name="Normal 28 4 3" xfId="8600" xr:uid="{00000000-0005-0000-0000-000078700000}"/>
    <cellStyle name="Normal 28 4 3 2" xfId="10986" xr:uid="{00000000-0005-0000-0000-000079700000}"/>
    <cellStyle name="Normal 28 4 3 2 2" xfId="18411" xr:uid="{00000000-0005-0000-0000-00007A700000}"/>
    <cellStyle name="Normal 28 4 3 2 2 2" xfId="31469" xr:uid="{00000000-0005-0000-0000-00007B700000}"/>
    <cellStyle name="Normal 28 4 3 2 3" xfId="18412" xr:uid="{00000000-0005-0000-0000-00007C700000}"/>
    <cellStyle name="Normal 28 4 3 2 3 2" xfId="31470" xr:uid="{00000000-0005-0000-0000-00007D700000}"/>
    <cellStyle name="Normal 28 4 3 2 4" xfId="24356" xr:uid="{00000000-0005-0000-0000-00007E700000}"/>
    <cellStyle name="Normal 28 4 3 3" xfId="18413" xr:uid="{00000000-0005-0000-0000-00007F700000}"/>
    <cellStyle name="Normal 28 4 3 3 2" xfId="31471" xr:uid="{00000000-0005-0000-0000-000080700000}"/>
    <cellStyle name="Normal 28 4 3 4" xfId="18414" xr:uid="{00000000-0005-0000-0000-000081700000}"/>
    <cellStyle name="Normal 28 4 3 4 2" xfId="31472" xr:uid="{00000000-0005-0000-0000-000082700000}"/>
    <cellStyle name="Normal 28 4 3 5" xfId="22200" xr:uid="{00000000-0005-0000-0000-000083700000}"/>
    <cellStyle name="Normal 28 4 4" xfId="9908" xr:uid="{00000000-0005-0000-0000-000084700000}"/>
    <cellStyle name="Normal 28 4 4 2" xfId="18415" xr:uid="{00000000-0005-0000-0000-000085700000}"/>
    <cellStyle name="Normal 28 4 4 2 2" xfId="31473" xr:uid="{00000000-0005-0000-0000-000086700000}"/>
    <cellStyle name="Normal 28 4 4 3" xfId="18416" xr:uid="{00000000-0005-0000-0000-000087700000}"/>
    <cellStyle name="Normal 28 4 4 3 2" xfId="31474" xr:uid="{00000000-0005-0000-0000-000088700000}"/>
    <cellStyle name="Normal 28 4 4 4" xfId="23278" xr:uid="{00000000-0005-0000-0000-000089700000}"/>
    <cellStyle name="Normal 28 4 5" xfId="18417" xr:uid="{00000000-0005-0000-0000-00008A700000}"/>
    <cellStyle name="Normal 28 4 5 2" xfId="31475" xr:uid="{00000000-0005-0000-0000-00008B700000}"/>
    <cellStyle name="Normal 28 4 6" xfId="18418" xr:uid="{00000000-0005-0000-0000-00008C700000}"/>
    <cellStyle name="Normal 28 4 6 2" xfId="31476" xr:uid="{00000000-0005-0000-0000-00008D700000}"/>
    <cellStyle name="Normal 28 4 7" xfId="21122" xr:uid="{00000000-0005-0000-0000-00008E700000}"/>
    <cellStyle name="Normal 28 5" xfId="6998" xr:uid="{00000000-0005-0000-0000-00008F700000}"/>
    <cellStyle name="Normal 28 5 2" xfId="8878" xr:uid="{00000000-0005-0000-0000-000090700000}"/>
    <cellStyle name="Normal 28 5 2 2" xfId="11257" xr:uid="{00000000-0005-0000-0000-000091700000}"/>
    <cellStyle name="Normal 28 5 2 2 2" xfId="18419" xr:uid="{00000000-0005-0000-0000-000092700000}"/>
    <cellStyle name="Normal 28 5 2 2 2 2" xfId="31477" xr:uid="{00000000-0005-0000-0000-000093700000}"/>
    <cellStyle name="Normal 28 5 2 2 3" xfId="18420" xr:uid="{00000000-0005-0000-0000-000094700000}"/>
    <cellStyle name="Normal 28 5 2 2 3 2" xfId="31478" xr:uid="{00000000-0005-0000-0000-000095700000}"/>
    <cellStyle name="Normal 28 5 2 2 4" xfId="24627" xr:uid="{00000000-0005-0000-0000-000096700000}"/>
    <cellStyle name="Normal 28 5 2 3" xfId="18421" xr:uid="{00000000-0005-0000-0000-000097700000}"/>
    <cellStyle name="Normal 28 5 2 3 2" xfId="31479" xr:uid="{00000000-0005-0000-0000-000098700000}"/>
    <cellStyle name="Normal 28 5 2 4" xfId="18422" xr:uid="{00000000-0005-0000-0000-000099700000}"/>
    <cellStyle name="Normal 28 5 2 4 2" xfId="31480" xr:uid="{00000000-0005-0000-0000-00009A700000}"/>
    <cellStyle name="Normal 28 5 2 5" xfId="22471" xr:uid="{00000000-0005-0000-0000-00009B700000}"/>
    <cellStyle name="Normal 28 5 3" xfId="10179" xr:uid="{00000000-0005-0000-0000-00009C700000}"/>
    <cellStyle name="Normal 28 5 3 2" xfId="18423" xr:uid="{00000000-0005-0000-0000-00009D700000}"/>
    <cellStyle name="Normal 28 5 3 2 2" xfId="31481" xr:uid="{00000000-0005-0000-0000-00009E700000}"/>
    <cellStyle name="Normal 28 5 3 3" xfId="18424" xr:uid="{00000000-0005-0000-0000-00009F700000}"/>
    <cellStyle name="Normal 28 5 3 3 2" xfId="31482" xr:uid="{00000000-0005-0000-0000-0000A0700000}"/>
    <cellStyle name="Normal 28 5 3 4" xfId="23549" xr:uid="{00000000-0005-0000-0000-0000A1700000}"/>
    <cellStyle name="Normal 28 5 4" xfId="18425" xr:uid="{00000000-0005-0000-0000-0000A2700000}"/>
    <cellStyle name="Normal 28 5 4 2" xfId="31483" xr:uid="{00000000-0005-0000-0000-0000A3700000}"/>
    <cellStyle name="Normal 28 5 5" xfId="18426" xr:uid="{00000000-0005-0000-0000-0000A4700000}"/>
    <cellStyle name="Normal 28 5 5 2" xfId="31484" xr:uid="{00000000-0005-0000-0000-0000A5700000}"/>
    <cellStyle name="Normal 28 5 6" xfId="21393" xr:uid="{00000000-0005-0000-0000-0000A6700000}"/>
    <cellStyle name="Normal 28 6" xfId="8187" xr:uid="{00000000-0005-0000-0000-0000A7700000}"/>
    <cellStyle name="Normal 28 6 2" xfId="10717" xr:uid="{00000000-0005-0000-0000-0000A8700000}"/>
    <cellStyle name="Normal 28 6 2 2" xfId="18427" xr:uid="{00000000-0005-0000-0000-0000A9700000}"/>
    <cellStyle name="Normal 28 6 2 2 2" xfId="31485" xr:uid="{00000000-0005-0000-0000-0000AA700000}"/>
    <cellStyle name="Normal 28 6 2 3" xfId="18428" xr:uid="{00000000-0005-0000-0000-0000AB700000}"/>
    <cellStyle name="Normal 28 6 2 3 2" xfId="31486" xr:uid="{00000000-0005-0000-0000-0000AC700000}"/>
    <cellStyle name="Normal 28 6 2 4" xfId="24087" xr:uid="{00000000-0005-0000-0000-0000AD700000}"/>
    <cellStyle name="Normal 28 6 3" xfId="18429" xr:uid="{00000000-0005-0000-0000-0000AE700000}"/>
    <cellStyle name="Normal 28 6 3 2" xfId="31487" xr:uid="{00000000-0005-0000-0000-0000AF700000}"/>
    <cellStyle name="Normal 28 6 4" xfId="18430" xr:uid="{00000000-0005-0000-0000-0000B0700000}"/>
    <cellStyle name="Normal 28 6 4 2" xfId="31488" xr:uid="{00000000-0005-0000-0000-0000B1700000}"/>
    <cellStyle name="Normal 28 6 5" xfId="21931" xr:uid="{00000000-0005-0000-0000-0000B2700000}"/>
    <cellStyle name="Normal 28 7" xfId="9638" xr:uid="{00000000-0005-0000-0000-0000B3700000}"/>
    <cellStyle name="Normal 28 7 2" xfId="18431" xr:uid="{00000000-0005-0000-0000-0000B4700000}"/>
    <cellStyle name="Normal 28 7 2 2" xfId="31489" xr:uid="{00000000-0005-0000-0000-0000B5700000}"/>
    <cellStyle name="Normal 28 7 3" xfId="18432" xr:uid="{00000000-0005-0000-0000-0000B6700000}"/>
    <cellStyle name="Normal 28 7 3 2" xfId="31490" xr:uid="{00000000-0005-0000-0000-0000B7700000}"/>
    <cellStyle name="Normal 28 7 4" xfId="23009" xr:uid="{00000000-0005-0000-0000-0000B8700000}"/>
    <cellStyle name="Normal 28 8" xfId="18433" xr:uid="{00000000-0005-0000-0000-0000B9700000}"/>
    <cellStyle name="Normal 28 8 2" xfId="31491" xr:uid="{00000000-0005-0000-0000-0000BA700000}"/>
    <cellStyle name="Normal 28 9" xfId="18434" xr:uid="{00000000-0005-0000-0000-0000BB700000}"/>
    <cellStyle name="Normal 28 9 2" xfId="31492" xr:uid="{00000000-0005-0000-0000-0000BC700000}"/>
    <cellStyle name="Normal 29" xfId="3725" xr:uid="{00000000-0005-0000-0000-0000BD700000}"/>
    <cellStyle name="Normal 29 10" xfId="20851" xr:uid="{00000000-0005-0000-0000-0000BE700000}"/>
    <cellStyle name="Normal 29 2" xfId="4089" xr:uid="{00000000-0005-0000-0000-0000BF700000}"/>
    <cellStyle name="Normal 29 2 2" xfId="5625" xr:uid="{00000000-0005-0000-0000-0000C0700000}"/>
    <cellStyle name="Normal 29 2 2 2" xfId="6777" xr:uid="{00000000-0005-0000-0000-0000C1700000}"/>
    <cellStyle name="Normal 29 2 2 2 2" xfId="7464" xr:uid="{00000000-0005-0000-0000-0000C2700000}"/>
    <cellStyle name="Normal 29 2 2 2 2 2" xfId="9343" xr:uid="{00000000-0005-0000-0000-0000C3700000}"/>
    <cellStyle name="Normal 29 2 2 2 2 2 2" xfId="11722" xr:uid="{00000000-0005-0000-0000-0000C4700000}"/>
    <cellStyle name="Normal 29 2 2 2 2 2 2 2" xfId="18435" xr:uid="{00000000-0005-0000-0000-0000C5700000}"/>
    <cellStyle name="Normal 29 2 2 2 2 2 2 2 2" xfId="31493" xr:uid="{00000000-0005-0000-0000-0000C6700000}"/>
    <cellStyle name="Normal 29 2 2 2 2 2 2 3" xfId="18436" xr:uid="{00000000-0005-0000-0000-0000C7700000}"/>
    <cellStyle name="Normal 29 2 2 2 2 2 2 3 2" xfId="31494" xr:uid="{00000000-0005-0000-0000-0000C8700000}"/>
    <cellStyle name="Normal 29 2 2 2 2 2 2 4" xfId="25092" xr:uid="{00000000-0005-0000-0000-0000C9700000}"/>
    <cellStyle name="Normal 29 2 2 2 2 2 3" xfId="18437" xr:uid="{00000000-0005-0000-0000-0000CA700000}"/>
    <cellStyle name="Normal 29 2 2 2 2 2 3 2" xfId="31495" xr:uid="{00000000-0005-0000-0000-0000CB700000}"/>
    <cellStyle name="Normal 29 2 2 2 2 2 4" xfId="18438" xr:uid="{00000000-0005-0000-0000-0000CC700000}"/>
    <cellStyle name="Normal 29 2 2 2 2 2 4 2" xfId="31496" xr:uid="{00000000-0005-0000-0000-0000CD700000}"/>
    <cellStyle name="Normal 29 2 2 2 2 2 5" xfId="22936" xr:uid="{00000000-0005-0000-0000-0000CE700000}"/>
    <cellStyle name="Normal 29 2 2 2 2 3" xfId="10644" xr:uid="{00000000-0005-0000-0000-0000CF700000}"/>
    <cellStyle name="Normal 29 2 2 2 2 3 2" xfId="18439" xr:uid="{00000000-0005-0000-0000-0000D0700000}"/>
    <cellStyle name="Normal 29 2 2 2 2 3 2 2" xfId="31497" xr:uid="{00000000-0005-0000-0000-0000D1700000}"/>
    <cellStyle name="Normal 29 2 2 2 2 3 3" xfId="18440" xr:uid="{00000000-0005-0000-0000-0000D2700000}"/>
    <cellStyle name="Normal 29 2 2 2 2 3 3 2" xfId="31498" xr:uid="{00000000-0005-0000-0000-0000D3700000}"/>
    <cellStyle name="Normal 29 2 2 2 2 3 4" xfId="24014" xr:uid="{00000000-0005-0000-0000-0000D4700000}"/>
    <cellStyle name="Normal 29 2 2 2 2 4" xfId="18441" xr:uid="{00000000-0005-0000-0000-0000D5700000}"/>
    <cellStyle name="Normal 29 2 2 2 2 4 2" xfId="31499" xr:uid="{00000000-0005-0000-0000-0000D6700000}"/>
    <cellStyle name="Normal 29 2 2 2 2 5" xfId="18442" xr:uid="{00000000-0005-0000-0000-0000D7700000}"/>
    <cellStyle name="Normal 29 2 2 2 2 5 2" xfId="31500" xr:uid="{00000000-0005-0000-0000-0000D8700000}"/>
    <cellStyle name="Normal 29 2 2 2 2 6" xfId="21858" xr:uid="{00000000-0005-0000-0000-0000D9700000}"/>
    <cellStyle name="Normal 29 2 2 2 3" xfId="8797" xr:uid="{00000000-0005-0000-0000-0000DA700000}"/>
    <cellStyle name="Normal 29 2 2 2 3 2" xfId="11182" xr:uid="{00000000-0005-0000-0000-0000DB700000}"/>
    <cellStyle name="Normal 29 2 2 2 3 2 2" xfId="18443" xr:uid="{00000000-0005-0000-0000-0000DC700000}"/>
    <cellStyle name="Normal 29 2 2 2 3 2 2 2" xfId="31501" xr:uid="{00000000-0005-0000-0000-0000DD700000}"/>
    <cellStyle name="Normal 29 2 2 2 3 2 3" xfId="18444" xr:uid="{00000000-0005-0000-0000-0000DE700000}"/>
    <cellStyle name="Normal 29 2 2 2 3 2 3 2" xfId="31502" xr:uid="{00000000-0005-0000-0000-0000DF700000}"/>
    <cellStyle name="Normal 29 2 2 2 3 2 4" xfId="24552" xr:uid="{00000000-0005-0000-0000-0000E0700000}"/>
    <cellStyle name="Normal 29 2 2 2 3 3" xfId="18445" xr:uid="{00000000-0005-0000-0000-0000E1700000}"/>
    <cellStyle name="Normal 29 2 2 2 3 3 2" xfId="31503" xr:uid="{00000000-0005-0000-0000-0000E2700000}"/>
    <cellStyle name="Normal 29 2 2 2 3 4" xfId="18446" xr:uid="{00000000-0005-0000-0000-0000E3700000}"/>
    <cellStyle name="Normal 29 2 2 2 3 4 2" xfId="31504" xr:uid="{00000000-0005-0000-0000-0000E4700000}"/>
    <cellStyle name="Normal 29 2 2 2 3 5" xfId="22396" xr:uid="{00000000-0005-0000-0000-0000E5700000}"/>
    <cellStyle name="Normal 29 2 2 2 4" xfId="10104" xr:uid="{00000000-0005-0000-0000-0000E6700000}"/>
    <cellStyle name="Normal 29 2 2 2 4 2" xfId="18447" xr:uid="{00000000-0005-0000-0000-0000E7700000}"/>
    <cellStyle name="Normal 29 2 2 2 4 2 2" xfId="31505" xr:uid="{00000000-0005-0000-0000-0000E8700000}"/>
    <cellStyle name="Normal 29 2 2 2 4 3" xfId="18448" xr:uid="{00000000-0005-0000-0000-0000E9700000}"/>
    <cellStyle name="Normal 29 2 2 2 4 3 2" xfId="31506" xr:uid="{00000000-0005-0000-0000-0000EA700000}"/>
    <cellStyle name="Normal 29 2 2 2 4 4" xfId="23474" xr:uid="{00000000-0005-0000-0000-0000EB700000}"/>
    <cellStyle name="Normal 29 2 2 2 5" xfId="18449" xr:uid="{00000000-0005-0000-0000-0000EC700000}"/>
    <cellStyle name="Normal 29 2 2 2 5 2" xfId="31507" xr:uid="{00000000-0005-0000-0000-0000ED700000}"/>
    <cellStyle name="Normal 29 2 2 2 6" xfId="18450" xr:uid="{00000000-0005-0000-0000-0000EE700000}"/>
    <cellStyle name="Normal 29 2 2 2 6 2" xfId="31508" xr:uid="{00000000-0005-0000-0000-0000EF700000}"/>
    <cellStyle name="Normal 29 2 2 2 7" xfId="21318" xr:uid="{00000000-0005-0000-0000-0000F0700000}"/>
    <cellStyle name="Normal 29 2 2 3" xfId="7195" xr:uid="{00000000-0005-0000-0000-0000F1700000}"/>
    <cellStyle name="Normal 29 2 2 3 2" xfId="9074" xr:uid="{00000000-0005-0000-0000-0000F2700000}"/>
    <cellStyle name="Normal 29 2 2 3 2 2" xfId="11453" xr:uid="{00000000-0005-0000-0000-0000F3700000}"/>
    <cellStyle name="Normal 29 2 2 3 2 2 2" xfId="18451" xr:uid="{00000000-0005-0000-0000-0000F4700000}"/>
    <cellStyle name="Normal 29 2 2 3 2 2 2 2" xfId="31509" xr:uid="{00000000-0005-0000-0000-0000F5700000}"/>
    <cellStyle name="Normal 29 2 2 3 2 2 3" xfId="18452" xr:uid="{00000000-0005-0000-0000-0000F6700000}"/>
    <cellStyle name="Normal 29 2 2 3 2 2 3 2" xfId="31510" xr:uid="{00000000-0005-0000-0000-0000F7700000}"/>
    <cellStyle name="Normal 29 2 2 3 2 2 4" xfId="24823" xr:uid="{00000000-0005-0000-0000-0000F8700000}"/>
    <cellStyle name="Normal 29 2 2 3 2 3" xfId="18453" xr:uid="{00000000-0005-0000-0000-0000F9700000}"/>
    <cellStyle name="Normal 29 2 2 3 2 3 2" xfId="31511" xr:uid="{00000000-0005-0000-0000-0000FA700000}"/>
    <cellStyle name="Normal 29 2 2 3 2 4" xfId="18454" xr:uid="{00000000-0005-0000-0000-0000FB700000}"/>
    <cellStyle name="Normal 29 2 2 3 2 4 2" xfId="31512" xr:uid="{00000000-0005-0000-0000-0000FC700000}"/>
    <cellStyle name="Normal 29 2 2 3 2 5" xfId="22667" xr:uid="{00000000-0005-0000-0000-0000FD700000}"/>
    <cellStyle name="Normal 29 2 2 3 3" xfId="10375" xr:uid="{00000000-0005-0000-0000-0000FE700000}"/>
    <cellStyle name="Normal 29 2 2 3 3 2" xfId="18455" xr:uid="{00000000-0005-0000-0000-0000FF700000}"/>
    <cellStyle name="Normal 29 2 2 3 3 2 2" xfId="31513" xr:uid="{00000000-0005-0000-0000-000000710000}"/>
    <cellStyle name="Normal 29 2 2 3 3 3" xfId="18456" xr:uid="{00000000-0005-0000-0000-000001710000}"/>
    <cellStyle name="Normal 29 2 2 3 3 3 2" xfId="31514" xr:uid="{00000000-0005-0000-0000-000002710000}"/>
    <cellStyle name="Normal 29 2 2 3 3 4" xfId="23745" xr:uid="{00000000-0005-0000-0000-000003710000}"/>
    <cellStyle name="Normal 29 2 2 3 4" xfId="18457" xr:uid="{00000000-0005-0000-0000-000004710000}"/>
    <cellStyle name="Normal 29 2 2 3 4 2" xfId="31515" xr:uid="{00000000-0005-0000-0000-000005710000}"/>
    <cellStyle name="Normal 29 2 2 3 5" xfId="18458" xr:uid="{00000000-0005-0000-0000-000006710000}"/>
    <cellStyle name="Normal 29 2 2 3 5 2" xfId="31516" xr:uid="{00000000-0005-0000-0000-000007710000}"/>
    <cellStyle name="Normal 29 2 2 3 6" xfId="21589" xr:uid="{00000000-0005-0000-0000-000008710000}"/>
    <cellStyle name="Normal 29 2 2 4" xfId="8472" xr:uid="{00000000-0005-0000-0000-000009710000}"/>
    <cellStyle name="Normal 29 2 2 4 2" xfId="10913" xr:uid="{00000000-0005-0000-0000-00000A710000}"/>
    <cellStyle name="Normal 29 2 2 4 2 2" xfId="18459" xr:uid="{00000000-0005-0000-0000-00000B710000}"/>
    <cellStyle name="Normal 29 2 2 4 2 2 2" xfId="31517" xr:uid="{00000000-0005-0000-0000-00000C710000}"/>
    <cellStyle name="Normal 29 2 2 4 2 3" xfId="18460" xr:uid="{00000000-0005-0000-0000-00000D710000}"/>
    <cellStyle name="Normal 29 2 2 4 2 3 2" xfId="31518" xr:uid="{00000000-0005-0000-0000-00000E710000}"/>
    <cellStyle name="Normal 29 2 2 4 2 4" xfId="24283" xr:uid="{00000000-0005-0000-0000-00000F710000}"/>
    <cellStyle name="Normal 29 2 2 4 3" xfId="18461" xr:uid="{00000000-0005-0000-0000-000010710000}"/>
    <cellStyle name="Normal 29 2 2 4 3 2" xfId="31519" xr:uid="{00000000-0005-0000-0000-000011710000}"/>
    <cellStyle name="Normal 29 2 2 4 4" xfId="18462" xr:uid="{00000000-0005-0000-0000-000012710000}"/>
    <cellStyle name="Normal 29 2 2 4 4 2" xfId="31520" xr:uid="{00000000-0005-0000-0000-000013710000}"/>
    <cellStyle name="Normal 29 2 2 4 5" xfId="22127" xr:uid="{00000000-0005-0000-0000-000014710000}"/>
    <cellStyle name="Normal 29 2 2 5" xfId="9835" xr:uid="{00000000-0005-0000-0000-000015710000}"/>
    <cellStyle name="Normal 29 2 2 5 2" xfId="18463" xr:uid="{00000000-0005-0000-0000-000016710000}"/>
    <cellStyle name="Normal 29 2 2 5 2 2" xfId="31521" xr:uid="{00000000-0005-0000-0000-000017710000}"/>
    <cellStyle name="Normal 29 2 2 5 3" xfId="18464" xr:uid="{00000000-0005-0000-0000-000018710000}"/>
    <cellStyle name="Normal 29 2 2 5 3 2" xfId="31522" xr:uid="{00000000-0005-0000-0000-000019710000}"/>
    <cellStyle name="Normal 29 2 2 5 4" xfId="23205" xr:uid="{00000000-0005-0000-0000-00001A710000}"/>
    <cellStyle name="Normal 29 2 2 6" xfId="18465" xr:uid="{00000000-0005-0000-0000-00001B710000}"/>
    <cellStyle name="Normal 29 2 2 6 2" xfId="31523" xr:uid="{00000000-0005-0000-0000-00001C710000}"/>
    <cellStyle name="Normal 29 2 2 7" xfId="18466" xr:uid="{00000000-0005-0000-0000-00001D710000}"/>
    <cellStyle name="Normal 29 2 2 7 2" xfId="31524" xr:uid="{00000000-0005-0000-0000-00001E710000}"/>
    <cellStyle name="Normal 29 2 2 8" xfId="21049" xr:uid="{00000000-0005-0000-0000-00001F710000}"/>
    <cellStyle name="Normal 29 2 3" xfId="6626" xr:uid="{00000000-0005-0000-0000-000020710000}"/>
    <cellStyle name="Normal 29 2 3 2" xfId="7322" xr:uid="{00000000-0005-0000-0000-000021710000}"/>
    <cellStyle name="Normal 29 2 3 2 2" xfId="9201" xr:uid="{00000000-0005-0000-0000-000022710000}"/>
    <cellStyle name="Normal 29 2 3 2 2 2" xfId="11580" xr:uid="{00000000-0005-0000-0000-000023710000}"/>
    <cellStyle name="Normal 29 2 3 2 2 2 2" xfId="18467" xr:uid="{00000000-0005-0000-0000-000024710000}"/>
    <cellStyle name="Normal 29 2 3 2 2 2 2 2" xfId="31525" xr:uid="{00000000-0005-0000-0000-000025710000}"/>
    <cellStyle name="Normal 29 2 3 2 2 2 3" xfId="18468" xr:uid="{00000000-0005-0000-0000-000026710000}"/>
    <cellStyle name="Normal 29 2 3 2 2 2 3 2" xfId="31526" xr:uid="{00000000-0005-0000-0000-000027710000}"/>
    <cellStyle name="Normal 29 2 3 2 2 2 4" xfId="24950" xr:uid="{00000000-0005-0000-0000-000028710000}"/>
    <cellStyle name="Normal 29 2 3 2 2 3" xfId="18469" xr:uid="{00000000-0005-0000-0000-000029710000}"/>
    <cellStyle name="Normal 29 2 3 2 2 3 2" xfId="31527" xr:uid="{00000000-0005-0000-0000-00002A710000}"/>
    <cellStyle name="Normal 29 2 3 2 2 4" xfId="18470" xr:uid="{00000000-0005-0000-0000-00002B710000}"/>
    <cellStyle name="Normal 29 2 3 2 2 4 2" xfId="31528" xr:uid="{00000000-0005-0000-0000-00002C710000}"/>
    <cellStyle name="Normal 29 2 3 2 2 5" xfId="22794" xr:uid="{00000000-0005-0000-0000-00002D710000}"/>
    <cellStyle name="Normal 29 2 3 2 3" xfId="10502" xr:uid="{00000000-0005-0000-0000-00002E710000}"/>
    <cellStyle name="Normal 29 2 3 2 3 2" xfId="18471" xr:uid="{00000000-0005-0000-0000-00002F710000}"/>
    <cellStyle name="Normal 29 2 3 2 3 2 2" xfId="31529" xr:uid="{00000000-0005-0000-0000-000030710000}"/>
    <cellStyle name="Normal 29 2 3 2 3 3" xfId="18472" xr:uid="{00000000-0005-0000-0000-000031710000}"/>
    <cellStyle name="Normal 29 2 3 2 3 3 2" xfId="31530" xr:uid="{00000000-0005-0000-0000-000032710000}"/>
    <cellStyle name="Normal 29 2 3 2 3 4" xfId="23872" xr:uid="{00000000-0005-0000-0000-000033710000}"/>
    <cellStyle name="Normal 29 2 3 2 4" xfId="18473" xr:uid="{00000000-0005-0000-0000-000034710000}"/>
    <cellStyle name="Normal 29 2 3 2 4 2" xfId="31531" xr:uid="{00000000-0005-0000-0000-000035710000}"/>
    <cellStyle name="Normal 29 2 3 2 5" xfId="18474" xr:uid="{00000000-0005-0000-0000-000036710000}"/>
    <cellStyle name="Normal 29 2 3 2 5 2" xfId="31532" xr:uid="{00000000-0005-0000-0000-000037710000}"/>
    <cellStyle name="Normal 29 2 3 2 6" xfId="21716" xr:uid="{00000000-0005-0000-0000-000038710000}"/>
    <cellStyle name="Normal 29 2 3 3" xfId="8654" xr:uid="{00000000-0005-0000-0000-000039710000}"/>
    <cellStyle name="Normal 29 2 3 3 2" xfId="11040" xr:uid="{00000000-0005-0000-0000-00003A710000}"/>
    <cellStyle name="Normal 29 2 3 3 2 2" xfId="18475" xr:uid="{00000000-0005-0000-0000-00003B710000}"/>
    <cellStyle name="Normal 29 2 3 3 2 2 2" xfId="31533" xr:uid="{00000000-0005-0000-0000-00003C710000}"/>
    <cellStyle name="Normal 29 2 3 3 2 3" xfId="18476" xr:uid="{00000000-0005-0000-0000-00003D710000}"/>
    <cellStyle name="Normal 29 2 3 3 2 3 2" xfId="31534" xr:uid="{00000000-0005-0000-0000-00003E710000}"/>
    <cellStyle name="Normal 29 2 3 3 2 4" xfId="24410" xr:uid="{00000000-0005-0000-0000-00003F710000}"/>
    <cellStyle name="Normal 29 2 3 3 3" xfId="18477" xr:uid="{00000000-0005-0000-0000-000040710000}"/>
    <cellStyle name="Normal 29 2 3 3 3 2" xfId="31535" xr:uid="{00000000-0005-0000-0000-000041710000}"/>
    <cellStyle name="Normal 29 2 3 3 4" xfId="18478" xr:uid="{00000000-0005-0000-0000-000042710000}"/>
    <cellStyle name="Normal 29 2 3 3 4 2" xfId="31536" xr:uid="{00000000-0005-0000-0000-000043710000}"/>
    <cellStyle name="Normal 29 2 3 3 5" xfId="22254" xr:uid="{00000000-0005-0000-0000-000044710000}"/>
    <cellStyle name="Normal 29 2 3 4" xfId="9962" xr:uid="{00000000-0005-0000-0000-000045710000}"/>
    <cellStyle name="Normal 29 2 3 4 2" xfId="18479" xr:uid="{00000000-0005-0000-0000-000046710000}"/>
    <cellStyle name="Normal 29 2 3 4 2 2" xfId="31537" xr:uid="{00000000-0005-0000-0000-000047710000}"/>
    <cellStyle name="Normal 29 2 3 4 3" xfId="18480" xr:uid="{00000000-0005-0000-0000-000048710000}"/>
    <cellStyle name="Normal 29 2 3 4 3 2" xfId="31538" xr:uid="{00000000-0005-0000-0000-000049710000}"/>
    <cellStyle name="Normal 29 2 3 4 4" xfId="23332" xr:uid="{00000000-0005-0000-0000-00004A710000}"/>
    <cellStyle name="Normal 29 2 3 5" xfId="18481" xr:uid="{00000000-0005-0000-0000-00004B710000}"/>
    <cellStyle name="Normal 29 2 3 5 2" xfId="31539" xr:uid="{00000000-0005-0000-0000-00004C710000}"/>
    <cellStyle name="Normal 29 2 3 6" xfId="18482" xr:uid="{00000000-0005-0000-0000-00004D710000}"/>
    <cellStyle name="Normal 29 2 3 6 2" xfId="31540" xr:uid="{00000000-0005-0000-0000-00004E710000}"/>
    <cellStyle name="Normal 29 2 3 7" xfId="21176" xr:uid="{00000000-0005-0000-0000-00004F710000}"/>
    <cellStyle name="Normal 29 2 4" xfId="7052" xr:uid="{00000000-0005-0000-0000-000050710000}"/>
    <cellStyle name="Normal 29 2 4 2" xfId="8932" xr:uid="{00000000-0005-0000-0000-000051710000}"/>
    <cellStyle name="Normal 29 2 4 2 2" xfId="11311" xr:uid="{00000000-0005-0000-0000-000052710000}"/>
    <cellStyle name="Normal 29 2 4 2 2 2" xfId="18483" xr:uid="{00000000-0005-0000-0000-000053710000}"/>
    <cellStyle name="Normal 29 2 4 2 2 2 2" xfId="31541" xr:uid="{00000000-0005-0000-0000-000054710000}"/>
    <cellStyle name="Normal 29 2 4 2 2 3" xfId="18484" xr:uid="{00000000-0005-0000-0000-000055710000}"/>
    <cellStyle name="Normal 29 2 4 2 2 3 2" xfId="31542" xr:uid="{00000000-0005-0000-0000-000056710000}"/>
    <cellStyle name="Normal 29 2 4 2 2 4" xfId="24681" xr:uid="{00000000-0005-0000-0000-000057710000}"/>
    <cellStyle name="Normal 29 2 4 2 3" xfId="18485" xr:uid="{00000000-0005-0000-0000-000058710000}"/>
    <cellStyle name="Normal 29 2 4 2 3 2" xfId="31543" xr:uid="{00000000-0005-0000-0000-000059710000}"/>
    <cellStyle name="Normal 29 2 4 2 4" xfId="18486" xr:uid="{00000000-0005-0000-0000-00005A710000}"/>
    <cellStyle name="Normal 29 2 4 2 4 2" xfId="31544" xr:uid="{00000000-0005-0000-0000-00005B710000}"/>
    <cellStyle name="Normal 29 2 4 2 5" xfId="22525" xr:uid="{00000000-0005-0000-0000-00005C710000}"/>
    <cellStyle name="Normal 29 2 4 3" xfId="10233" xr:uid="{00000000-0005-0000-0000-00005D710000}"/>
    <cellStyle name="Normal 29 2 4 3 2" xfId="18487" xr:uid="{00000000-0005-0000-0000-00005E710000}"/>
    <cellStyle name="Normal 29 2 4 3 2 2" xfId="31545" xr:uid="{00000000-0005-0000-0000-00005F710000}"/>
    <cellStyle name="Normal 29 2 4 3 3" xfId="18488" xr:uid="{00000000-0005-0000-0000-000060710000}"/>
    <cellStyle name="Normal 29 2 4 3 3 2" xfId="31546" xr:uid="{00000000-0005-0000-0000-000061710000}"/>
    <cellStyle name="Normal 29 2 4 3 4" xfId="23603" xr:uid="{00000000-0005-0000-0000-000062710000}"/>
    <cellStyle name="Normal 29 2 4 4" xfId="18489" xr:uid="{00000000-0005-0000-0000-000063710000}"/>
    <cellStyle name="Normal 29 2 4 4 2" xfId="31547" xr:uid="{00000000-0005-0000-0000-000064710000}"/>
    <cellStyle name="Normal 29 2 4 5" xfId="18490" xr:uid="{00000000-0005-0000-0000-000065710000}"/>
    <cellStyle name="Normal 29 2 4 5 2" xfId="31548" xr:uid="{00000000-0005-0000-0000-000066710000}"/>
    <cellStyle name="Normal 29 2 4 6" xfId="21447" xr:uid="{00000000-0005-0000-0000-000067710000}"/>
    <cellStyle name="Normal 29 2 5" xfId="8256" xr:uid="{00000000-0005-0000-0000-000068710000}"/>
    <cellStyle name="Normal 29 2 5 2" xfId="10771" xr:uid="{00000000-0005-0000-0000-000069710000}"/>
    <cellStyle name="Normal 29 2 5 2 2" xfId="18491" xr:uid="{00000000-0005-0000-0000-00006A710000}"/>
    <cellStyle name="Normal 29 2 5 2 2 2" xfId="31549" xr:uid="{00000000-0005-0000-0000-00006B710000}"/>
    <cellStyle name="Normal 29 2 5 2 3" xfId="18492" xr:uid="{00000000-0005-0000-0000-00006C710000}"/>
    <cellStyle name="Normal 29 2 5 2 3 2" xfId="31550" xr:uid="{00000000-0005-0000-0000-00006D710000}"/>
    <cellStyle name="Normal 29 2 5 2 4" xfId="24141" xr:uid="{00000000-0005-0000-0000-00006E710000}"/>
    <cellStyle name="Normal 29 2 5 3" xfId="18493" xr:uid="{00000000-0005-0000-0000-00006F710000}"/>
    <cellStyle name="Normal 29 2 5 3 2" xfId="31551" xr:uid="{00000000-0005-0000-0000-000070710000}"/>
    <cellStyle name="Normal 29 2 5 4" xfId="18494" xr:uid="{00000000-0005-0000-0000-000071710000}"/>
    <cellStyle name="Normal 29 2 5 4 2" xfId="31552" xr:uid="{00000000-0005-0000-0000-000072710000}"/>
    <cellStyle name="Normal 29 2 5 5" xfId="21985" xr:uid="{00000000-0005-0000-0000-000073710000}"/>
    <cellStyle name="Normal 29 2 6" xfId="9692" xr:uid="{00000000-0005-0000-0000-000074710000}"/>
    <cellStyle name="Normal 29 2 6 2" xfId="18495" xr:uid="{00000000-0005-0000-0000-000075710000}"/>
    <cellStyle name="Normal 29 2 6 2 2" xfId="31553" xr:uid="{00000000-0005-0000-0000-000076710000}"/>
    <cellStyle name="Normal 29 2 6 3" xfId="18496" xr:uid="{00000000-0005-0000-0000-000077710000}"/>
    <cellStyle name="Normal 29 2 6 3 2" xfId="31554" xr:uid="{00000000-0005-0000-0000-000078710000}"/>
    <cellStyle name="Normal 29 2 6 4" xfId="23063" xr:uid="{00000000-0005-0000-0000-000079710000}"/>
    <cellStyle name="Normal 29 2 7" xfId="18497" xr:uid="{00000000-0005-0000-0000-00007A710000}"/>
    <cellStyle name="Normal 29 2 7 2" xfId="31555" xr:uid="{00000000-0005-0000-0000-00007B710000}"/>
    <cellStyle name="Normal 29 2 8" xfId="18498" xr:uid="{00000000-0005-0000-0000-00007C710000}"/>
    <cellStyle name="Normal 29 2 8 2" xfId="31556" xr:uid="{00000000-0005-0000-0000-00007D710000}"/>
    <cellStyle name="Normal 29 2 9" xfId="20906" xr:uid="{00000000-0005-0000-0000-00007E710000}"/>
    <cellStyle name="Normal 29 3" xfId="5475" xr:uid="{00000000-0005-0000-0000-00007F710000}"/>
    <cellStyle name="Normal 29 3 2" xfId="6718" xr:uid="{00000000-0005-0000-0000-000080710000}"/>
    <cellStyle name="Normal 29 3 2 2" xfId="7405" xr:uid="{00000000-0005-0000-0000-000081710000}"/>
    <cellStyle name="Normal 29 3 2 2 2" xfId="9284" xr:uid="{00000000-0005-0000-0000-000082710000}"/>
    <cellStyle name="Normal 29 3 2 2 2 2" xfId="11663" xr:uid="{00000000-0005-0000-0000-000083710000}"/>
    <cellStyle name="Normal 29 3 2 2 2 2 2" xfId="18499" xr:uid="{00000000-0005-0000-0000-000084710000}"/>
    <cellStyle name="Normal 29 3 2 2 2 2 2 2" xfId="31557" xr:uid="{00000000-0005-0000-0000-000085710000}"/>
    <cellStyle name="Normal 29 3 2 2 2 2 3" xfId="18500" xr:uid="{00000000-0005-0000-0000-000086710000}"/>
    <cellStyle name="Normal 29 3 2 2 2 2 3 2" xfId="31558" xr:uid="{00000000-0005-0000-0000-000087710000}"/>
    <cellStyle name="Normal 29 3 2 2 2 2 4" xfId="25033" xr:uid="{00000000-0005-0000-0000-000088710000}"/>
    <cellStyle name="Normal 29 3 2 2 2 3" xfId="18501" xr:uid="{00000000-0005-0000-0000-000089710000}"/>
    <cellStyle name="Normal 29 3 2 2 2 3 2" xfId="31559" xr:uid="{00000000-0005-0000-0000-00008A710000}"/>
    <cellStyle name="Normal 29 3 2 2 2 4" xfId="18502" xr:uid="{00000000-0005-0000-0000-00008B710000}"/>
    <cellStyle name="Normal 29 3 2 2 2 4 2" xfId="31560" xr:uid="{00000000-0005-0000-0000-00008C710000}"/>
    <cellStyle name="Normal 29 3 2 2 2 5" xfId="22877" xr:uid="{00000000-0005-0000-0000-00008D710000}"/>
    <cellStyle name="Normal 29 3 2 2 3" xfId="10585" xr:uid="{00000000-0005-0000-0000-00008E710000}"/>
    <cellStyle name="Normal 29 3 2 2 3 2" xfId="18503" xr:uid="{00000000-0005-0000-0000-00008F710000}"/>
    <cellStyle name="Normal 29 3 2 2 3 2 2" xfId="31561" xr:uid="{00000000-0005-0000-0000-000090710000}"/>
    <cellStyle name="Normal 29 3 2 2 3 3" xfId="18504" xr:uid="{00000000-0005-0000-0000-000091710000}"/>
    <cellStyle name="Normal 29 3 2 2 3 3 2" xfId="31562" xr:uid="{00000000-0005-0000-0000-000092710000}"/>
    <cellStyle name="Normal 29 3 2 2 3 4" xfId="23955" xr:uid="{00000000-0005-0000-0000-000093710000}"/>
    <cellStyle name="Normal 29 3 2 2 4" xfId="18505" xr:uid="{00000000-0005-0000-0000-000094710000}"/>
    <cellStyle name="Normal 29 3 2 2 4 2" xfId="31563" xr:uid="{00000000-0005-0000-0000-000095710000}"/>
    <cellStyle name="Normal 29 3 2 2 5" xfId="18506" xr:uid="{00000000-0005-0000-0000-000096710000}"/>
    <cellStyle name="Normal 29 3 2 2 5 2" xfId="31564" xr:uid="{00000000-0005-0000-0000-000097710000}"/>
    <cellStyle name="Normal 29 3 2 2 6" xfId="21799" xr:uid="{00000000-0005-0000-0000-000098710000}"/>
    <cellStyle name="Normal 29 3 2 3" xfId="8738" xr:uid="{00000000-0005-0000-0000-000099710000}"/>
    <cellStyle name="Normal 29 3 2 3 2" xfId="11123" xr:uid="{00000000-0005-0000-0000-00009A710000}"/>
    <cellStyle name="Normal 29 3 2 3 2 2" xfId="18507" xr:uid="{00000000-0005-0000-0000-00009B710000}"/>
    <cellStyle name="Normal 29 3 2 3 2 2 2" xfId="31565" xr:uid="{00000000-0005-0000-0000-00009C710000}"/>
    <cellStyle name="Normal 29 3 2 3 2 3" xfId="18508" xr:uid="{00000000-0005-0000-0000-00009D710000}"/>
    <cellStyle name="Normal 29 3 2 3 2 3 2" xfId="31566" xr:uid="{00000000-0005-0000-0000-00009E710000}"/>
    <cellStyle name="Normal 29 3 2 3 2 4" xfId="24493" xr:uid="{00000000-0005-0000-0000-00009F710000}"/>
    <cellStyle name="Normal 29 3 2 3 3" xfId="18509" xr:uid="{00000000-0005-0000-0000-0000A0710000}"/>
    <cellStyle name="Normal 29 3 2 3 3 2" xfId="31567" xr:uid="{00000000-0005-0000-0000-0000A1710000}"/>
    <cellStyle name="Normal 29 3 2 3 4" xfId="18510" xr:uid="{00000000-0005-0000-0000-0000A2710000}"/>
    <cellStyle name="Normal 29 3 2 3 4 2" xfId="31568" xr:uid="{00000000-0005-0000-0000-0000A3710000}"/>
    <cellStyle name="Normal 29 3 2 3 5" xfId="22337" xr:uid="{00000000-0005-0000-0000-0000A4710000}"/>
    <cellStyle name="Normal 29 3 2 4" xfId="10045" xr:uid="{00000000-0005-0000-0000-0000A5710000}"/>
    <cellStyle name="Normal 29 3 2 4 2" xfId="18511" xr:uid="{00000000-0005-0000-0000-0000A6710000}"/>
    <cellStyle name="Normal 29 3 2 4 2 2" xfId="31569" xr:uid="{00000000-0005-0000-0000-0000A7710000}"/>
    <cellStyle name="Normal 29 3 2 4 3" xfId="18512" xr:uid="{00000000-0005-0000-0000-0000A8710000}"/>
    <cellStyle name="Normal 29 3 2 4 3 2" xfId="31570" xr:uid="{00000000-0005-0000-0000-0000A9710000}"/>
    <cellStyle name="Normal 29 3 2 4 4" xfId="23415" xr:uid="{00000000-0005-0000-0000-0000AA710000}"/>
    <cellStyle name="Normal 29 3 2 5" xfId="18513" xr:uid="{00000000-0005-0000-0000-0000AB710000}"/>
    <cellStyle name="Normal 29 3 2 5 2" xfId="31571" xr:uid="{00000000-0005-0000-0000-0000AC710000}"/>
    <cellStyle name="Normal 29 3 2 6" xfId="18514" xr:uid="{00000000-0005-0000-0000-0000AD710000}"/>
    <cellStyle name="Normal 29 3 2 6 2" xfId="31572" xr:uid="{00000000-0005-0000-0000-0000AE710000}"/>
    <cellStyle name="Normal 29 3 2 7" xfId="21259" xr:uid="{00000000-0005-0000-0000-0000AF710000}"/>
    <cellStyle name="Normal 29 3 3" xfId="7136" xr:uid="{00000000-0005-0000-0000-0000B0710000}"/>
    <cellStyle name="Normal 29 3 3 2" xfId="9015" xr:uid="{00000000-0005-0000-0000-0000B1710000}"/>
    <cellStyle name="Normal 29 3 3 2 2" xfId="11394" xr:uid="{00000000-0005-0000-0000-0000B2710000}"/>
    <cellStyle name="Normal 29 3 3 2 2 2" xfId="18515" xr:uid="{00000000-0005-0000-0000-0000B3710000}"/>
    <cellStyle name="Normal 29 3 3 2 2 2 2" xfId="31573" xr:uid="{00000000-0005-0000-0000-0000B4710000}"/>
    <cellStyle name="Normal 29 3 3 2 2 3" xfId="18516" xr:uid="{00000000-0005-0000-0000-0000B5710000}"/>
    <cellStyle name="Normal 29 3 3 2 2 3 2" xfId="31574" xr:uid="{00000000-0005-0000-0000-0000B6710000}"/>
    <cellStyle name="Normal 29 3 3 2 2 4" xfId="24764" xr:uid="{00000000-0005-0000-0000-0000B7710000}"/>
    <cellStyle name="Normal 29 3 3 2 3" xfId="18517" xr:uid="{00000000-0005-0000-0000-0000B8710000}"/>
    <cellStyle name="Normal 29 3 3 2 3 2" xfId="31575" xr:uid="{00000000-0005-0000-0000-0000B9710000}"/>
    <cellStyle name="Normal 29 3 3 2 4" xfId="18518" xr:uid="{00000000-0005-0000-0000-0000BA710000}"/>
    <cellStyle name="Normal 29 3 3 2 4 2" xfId="31576" xr:uid="{00000000-0005-0000-0000-0000BB710000}"/>
    <cellStyle name="Normal 29 3 3 2 5" xfId="22608" xr:uid="{00000000-0005-0000-0000-0000BC710000}"/>
    <cellStyle name="Normal 29 3 3 3" xfId="10316" xr:uid="{00000000-0005-0000-0000-0000BD710000}"/>
    <cellStyle name="Normal 29 3 3 3 2" xfId="18519" xr:uid="{00000000-0005-0000-0000-0000BE710000}"/>
    <cellStyle name="Normal 29 3 3 3 2 2" xfId="31577" xr:uid="{00000000-0005-0000-0000-0000BF710000}"/>
    <cellStyle name="Normal 29 3 3 3 3" xfId="18520" xr:uid="{00000000-0005-0000-0000-0000C0710000}"/>
    <cellStyle name="Normal 29 3 3 3 3 2" xfId="31578" xr:uid="{00000000-0005-0000-0000-0000C1710000}"/>
    <cellStyle name="Normal 29 3 3 3 4" xfId="23686" xr:uid="{00000000-0005-0000-0000-0000C2710000}"/>
    <cellStyle name="Normal 29 3 3 4" xfId="18521" xr:uid="{00000000-0005-0000-0000-0000C3710000}"/>
    <cellStyle name="Normal 29 3 3 4 2" xfId="31579" xr:uid="{00000000-0005-0000-0000-0000C4710000}"/>
    <cellStyle name="Normal 29 3 3 5" xfId="18522" xr:uid="{00000000-0005-0000-0000-0000C5710000}"/>
    <cellStyle name="Normal 29 3 3 5 2" xfId="31580" xr:uid="{00000000-0005-0000-0000-0000C6710000}"/>
    <cellStyle name="Normal 29 3 3 6" xfId="21530" xr:uid="{00000000-0005-0000-0000-0000C7710000}"/>
    <cellStyle name="Normal 29 3 4" xfId="8407" xr:uid="{00000000-0005-0000-0000-0000C8710000}"/>
    <cellStyle name="Normal 29 3 4 2" xfId="10854" xr:uid="{00000000-0005-0000-0000-0000C9710000}"/>
    <cellStyle name="Normal 29 3 4 2 2" xfId="18523" xr:uid="{00000000-0005-0000-0000-0000CA710000}"/>
    <cellStyle name="Normal 29 3 4 2 2 2" xfId="31581" xr:uid="{00000000-0005-0000-0000-0000CB710000}"/>
    <cellStyle name="Normal 29 3 4 2 3" xfId="18524" xr:uid="{00000000-0005-0000-0000-0000CC710000}"/>
    <cellStyle name="Normal 29 3 4 2 3 2" xfId="31582" xr:uid="{00000000-0005-0000-0000-0000CD710000}"/>
    <cellStyle name="Normal 29 3 4 2 4" xfId="24224" xr:uid="{00000000-0005-0000-0000-0000CE710000}"/>
    <cellStyle name="Normal 29 3 4 3" xfId="18525" xr:uid="{00000000-0005-0000-0000-0000CF710000}"/>
    <cellStyle name="Normal 29 3 4 3 2" xfId="31583" xr:uid="{00000000-0005-0000-0000-0000D0710000}"/>
    <cellStyle name="Normal 29 3 4 4" xfId="18526" xr:uid="{00000000-0005-0000-0000-0000D1710000}"/>
    <cellStyle name="Normal 29 3 4 4 2" xfId="31584" xr:uid="{00000000-0005-0000-0000-0000D2710000}"/>
    <cellStyle name="Normal 29 3 4 5" xfId="22068" xr:uid="{00000000-0005-0000-0000-0000D3710000}"/>
    <cellStyle name="Normal 29 3 5" xfId="9776" xr:uid="{00000000-0005-0000-0000-0000D4710000}"/>
    <cellStyle name="Normal 29 3 5 2" xfId="18527" xr:uid="{00000000-0005-0000-0000-0000D5710000}"/>
    <cellStyle name="Normal 29 3 5 2 2" xfId="31585" xr:uid="{00000000-0005-0000-0000-0000D6710000}"/>
    <cellStyle name="Normal 29 3 5 3" xfId="18528" xr:uid="{00000000-0005-0000-0000-0000D7710000}"/>
    <cellStyle name="Normal 29 3 5 3 2" xfId="31586" xr:uid="{00000000-0005-0000-0000-0000D8710000}"/>
    <cellStyle name="Normal 29 3 5 4" xfId="23146" xr:uid="{00000000-0005-0000-0000-0000D9710000}"/>
    <cellStyle name="Normal 29 3 6" xfId="18529" xr:uid="{00000000-0005-0000-0000-0000DA710000}"/>
    <cellStyle name="Normal 29 3 6 2" xfId="31587" xr:uid="{00000000-0005-0000-0000-0000DB710000}"/>
    <cellStyle name="Normal 29 3 7" xfId="18530" xr:uid="{00000000-0005-0000-0000-0000DC710000}"/>
    <cellStyle name="Normal 29 3 7 2" xfId="31588" xr:uid="{00000000-0005-0000-0000-0000DD710000}"/>
    <cellStyle name="Normal 29 3 8" xfId="20990" xr:uid="{00000000-0005-0000-0000-0000DE710000}"/>
    <cellStyle name="Normal 29 4" xfId="6567" xr:uid="{00000000-0005-0000-0000-0000DF710000}"/>
    <cellStyle name="Normal 29 4 2" xfId="7267" xr:uid="{00000000-0005-0000-0000-0000E0710000}"/>
    <cellStyle name="Normal 29 4 2 2" xfId="9146" xr:uid="{00000000-0005-0000-0000-0000E1710000}"/>
    <cellStyle name="Normal 29 4 2 2 2" xfId="11525" xr:uid="{00000000-0005-0000-0000-0000E2710000}"/>
    <cellStyle name="Normal 29 4 2 2 2 2" xfId="18531" xr:uid="{00000000-0005-0000-0000-0000E3710000}"/>
    <cellStyle name="Normal 29 4 2 2 2 2 2" xfId="31589" xr:uid="{00000000-0005-0000-0000-0000E4710000}"/>
    <cellStyle name="Normal 29 4 2 2 2 3" xfId="18532" xr:uid="{00000000-0005-0000-0000-0000E5710000}"/>
    <cellStyle name="Normal 29 4 2 2 2 3 2" xfId="31590" xr:uid="{00000000-0005-0000-0000-0000E6710000}"/>
    <cellStyle name="Normal 29 4 2 2 2 4" xfId="24895" xr:uid="{00000000-0005-0000-0000-0000E7710000}"/>
    <cellStyle name="Normal 29 4 2 2 3" xfId="18533" xr:uid="{00000000-0005-0000-0000-0000E8710000}"/>
    <cellStyle name="Normal 29 4 2 2 3 2" xfId="31591" xr:uid="{00000000-0005-0000-0000-0000E9710000}"/>
    <cellStyle name="Normal 29 4 2 2 4" xfId="18534" xr:uid="{00000000-0005-0000-0000-0000EA710000}"/>
    <cellStyle name="Normal 29 4 2 2 4 2" xfId="31592" xr:uid="{00000000-0005-0000-0000-0000EB710000}"/>
    <cellStyle name="Normal 29 4 2 2 5" xfId="22739" xr:uid="{00000000-0005-0000-0000-0000EC710000}"/>
    <cellStyle name="Normal 29 4 2 3" xfId="10447" xr:uid="{00000000-0005-0000-0000-0000ED710000}"/>
    <cellStyle name="Normal 29 4 2 3 2" xfId="18535" xr:uid="{00000000-0005-0000-0000-0000EE710000}"/>
    <cellStyle name="Normal 29 4 2 3 2 2" xfId="31593" xr:uid="{00000000-0005-0000-0000-0000EF710000}"/>
    <cellStyle name="Normal 29 4 2 3 3" xfId="18536" xr:uid="{00000000-0005-0000-0000-0000F0710000}"/>
    <cellStyle name="Normal 29 4 2 3 3 2" xfId="31594" xr:uid="{00000000-0005-0000-0000-0000F1710000}"/>
    <cellStyle name="Normal 29 4 2 3 4" xfId="23817" xr:uid="{00000000-0005-0000-0000-0000F2710000}"/>
    <cellStyle name="Normal 29 4 2 4" xfId="18537" xr:uid="{00000000-0005-0000-0000-0000F3710000}"/>
    <cellStyle name="Normal 29 4 2 4 2" xfId="31595" xr:uid="{00000000-0005-0000-0000-0000F4710000}"/>
    <cellStyle name="Normal 29 4 2 5" xfId="18538" xr:uid="{00000000-0005-0000-0000-0000F5710000}"/>
    <cellStyle name="Normal 29 4 2 5 2" xfId="31596" xr:uid="{00000000-0005-0000-0000-0000F6710000}"/>
    <cellStyle name="Normal 29 4 2 6" xfId="21661" xr:uid="{00000000-0005-0000-0000-0000F7710000}"/>
    <cellStyle name="Normal 29 4 3" xfId="8599" xr:uid="{00000000-0005-0000-0000-0000F8710000}"/>
    <cellStyle name="Normal 29 4 3 2" xfId="10985" xr:uid="{00000000-0005-0000-0000-0000F9710000}"/>
    <cellStyle name="Normal 29 4 3 2 2" xfId="18539" xr:uid="{00000000-0005-0000-0000-0000FA710000}"/>
    <cellStyle name="Normal 29 4 3 2 2 2" xfId="31597" xr:uid="{00000000-0005-0000-0000-0000FB710000}"/>
    <cellStyle name="Normal 29 4 3 2 3" xfId="18540" xr:uid="{00000000-0005-0000-0000-0000FC710000}"/>
    <cellStyle name="Normal 29 4 3 2 3 2" xfId="31598" xr:uid="{00000000-0005-0000-0000-0000FD710000}"/>
    <cellStyle name="Normal 29 4 3 2 4" xfId="24355" xr:uid="{00000000-0005-0000-0000-0000FE710000}"/>
    <cellStyle name="Normal 29 4 3 3" xfId="18541" xr:uid="{00000000-0005-0000-0000-0000FF710000}"/>
    <cellStyle name="Normal 29 4 3 3 2" xfId="31599" xr:uid="{00000000-0005-0000-0000-000000720000}"/>
    <cellStyle name="Normal 29 4 3 4" xfId="18542" xr:uid="{00000000-0005-0000-0000-000001720000}"/>
    <cellStyle name="Normal 29 4 3 4 2" xfId="31600" xr:uid="{00000000-0005-0000-0000-000002720000}"/>
    <cellStyle name="Normal 29 4 3 5" xfId="22199" xr:uid="{00000000-0005-0000-0000-000003720000}"/>
    <cellStyle name="Normal 29 4 4" xfId="9907" xr:uid="{00000000-0005-0000-0000-000004720000}"/>
    <cellStyle name="Normal 29 4 4 2" xfId="18543" xr:uid="{00000000-0005-0000-0000-000005720000}"/>
    <cellStyle name="Normal 29 4 4 2 2" xfId="31601" xr:uid="{00000000-0005-0000-0000-000006720000}"/>
    <cellStyle name="Normal 29 4 4 3" xfId="18544" xr:uid="{00000000-0005-0000-0000-000007720000}"/>
    <cellStyle name="Normal 29 4 4 3 2" xfId="31602" xr:uid="{00000000-0005-0000-0000-000008720000}"/>
    <cellStyle name="Normal 29 4 4 4" xfId="23277" xr:uid="{00000000-0005-0000-0000-000009720000}"/>
    <cellStyle name="Normal 29 4 5" xfId="18545" xr:uid="{00000000-0005-0000-0000-00000A720000}"/>
    <cellStyle name="Normal 29 4 5 2" xfId="31603" xr:uid="{00000000-0005-0000-0000-00000B720000}"/>
    <cellStyle name="Normal 29 4 6" xfId="18546" xr:uid="{00000000-0005-0000-0000-00000C720000}"/>
    <cellStyle name="Normal 29 4 6 2" xfId="31604" xr:uid="{00000000-0005-0000-0000-00000D720000}"/>
    <cellStyle name="Normal 29 4 7" xfId="21121" xr:uid="{00000000-0005-0000-0000-00000E720000}"/>
    <cellStyle name="Normal 29 5" xfId="6997" xr:uid="{00000000-0005-0000-0000-00000F720000}"/>
    <cellStyle name="Normal 29 5 2" xfId="8877" xr:uid="{00000000-0005-0000-0000-000010720000}"/>
    <cellStyle name="Normal 29 5 2 2" xfId="11256" xr:uid="{00000000-0005-0000-0000-000011720000}"/>
    <cellStyle name="Normal 29 5 2 2 2" xfId="18547" xr:uid="{00000000-0005-0000-0000-000012720000}"/>
    <cellStyle name="Normal 29 5 2 2 2 2" xfId="31605" xr:uid="{00000000-0005-0000-0000-000013720000}"/>
    <cellStyle name="Normal 29 5 2 2 3" xfId="18548" xr:uid="{00000000-0005-0000-0000-000014720000}"/>
    <cellStyle name="Normal 29 5 2 2 3 2" xfId="31606" xr:uid="{00000000-0005-0000-0000-000015720000}"/>
    <cellStyle name="Normal 29 5 2 2 4" xfId="24626" xr:uid="{00000000-0005-0000-0000-000016720000}"/>
    <cellStyle name="Normal 29 5 2 3" xfId="18549" xr:uid="{00000000-0005-0000-0000-000017720000}"/>
    <cellStyle name="Normal 29 5 2 3 2" xfId="31607" xr:uid="{00000000-0005-0000-0000-000018720000}"/>
    <cellStyle name="Normal 29 5 2 4" xfId="18550" xr:uid="{00000000-0005-0000-0000-000019720000}"/>
    <cellStyle name="Normal 29 5 2 4 2" xfId="31608" xr:uid="{00000000-0005-0000-0000-00001A720000}"/>
    <cellStyle name="Normal 29 5 2 5" xfId="22470" xr:uid="{00000000-0005-0000-0000-00001B720000}"/>
    <cellStyle name="Normal 29 5 3" xfId="10178" xr:uid="{00000000-0005-0000-0000-00001C720000}"/>
    <cellStyle name="Normal 29 5 3 2" xfId="18551" xr:uid="{00000000-0005-0000-0000-00001D720000}"/>
    <cellStyle name="Normal 29 5 3 2 2" xfId="31609" xr:uid="{00000000-0005-0000-0000-00001E720000}"/>
    <cellStyle name="Normal 29 5 3 3" xfId="18552" xr:uid="{00000000-0005-0000-0000-00001F720000}"/>
    <cellStyle name="Normal 29 5 3 3 2" xfId="31610" xr:uid="{00000000-0005-0000-0000-000020720000}"/>
    <cellStyle name="Normal 29 5 3 4" xfId="23548" xr:uid="{00000000-0005-0000-0000-000021720000}"/>
    <cellStyle name="Normal 29 5 4" xfId="18553" xr:uid="{00000000-0005-0000-0000-000022720000}"/>
    <cellStyle name="Normal 29 5 4 2" xfId="31611" xr:uid="{00000000-0005-0000-0000-000023720000}"/>
    <cellStyle name="Normal 29 5 5" xfId="18554" xr:uid="{00000000-0005-0000-0000-000024720000}"/>
    <cellStyle name="Normal 29 5 5 2" xfId="31612" xr:uid="{00000000-0005-0000-0000-000025720000}"/>
    <cellStyle name="Normal 29 5 6" xfId="21392" xr:uid="{00000000-0005-0000-0000-000026720000}"/>
    <cellStyle name="Normal 29 6" xfId="8178" xr:uid="{00000000-0005-0000-0000-000027720000}"/>
    <cellStyle name="Normal 29 6 2" xfId="10716" xr:uid="{00000000-0005-0000-0000-000028720000}"/>
    <cellStyle name="Normal 29 6 2 2" xfId="18555" xr:uid="{00000000-0005-0000-0000-000029720000}"/>
    <cellStyle name="Normal 29 6 2 2 2" xfId="31613" xr:uid="{00000000-0005-0000-0000-00002A720000}"/>
    <cellStyle name="Normal 29 6 2 3" xfId="18556" xr:uid="{00000000-0005-0000-0000-00002B720000}"/>
    <cellStyle name="Normal 29 6 2 3 2" xfId="31614" xr:uid="{00000000-0005-0000-0000-00002C720000}"/>
    <cellStyle name="Normal 29 6 2 4" xfId="24086" xr:uid="{00000000-0005-0000-0000-00002D720000}"/>
    <cellStyle name="Normal 29 6 3" xfId="18557" xr:uid="{00000000-0005-0000-0000-00002E720000}"/>
    <cellStyle name="Normal 29 6 3 2" xfId="31615" xr:uid="{00000000-0005-0000-0000-00002F720000}"/>
    <cellStyle name="Normal 29 6 4" xfId="18558" xr:uid="{00000000-0005-0000-0000-000030720000}"/>
    <cellStyle name="Normal 29 6 4 2" xfId="31616" xr:uid="{00000000-0005-0000-0000-000031720000}"/>
    <cellStyle name="Normal 29 6 5" xfId="21930" xr:uid="{00000000-0005-0000-0000-000032720000}"/>
    <cellStyle name="Normal 29 7" xfId="9637" xr:uid="{00000000-0005-0000-0000-000033720000}"/>
    <cellStyle name="Normal 29 7 2" xfId="18559" xr:uid="{00000000-0005-0000-0000-000034720000}"/>
    <cellStyle name="Normal 29 7 2 2" xfId="31617" xr:uid="{00000000-0005-0000-0000-000035720000}"/>
    <cellStyle name="Normal 29 7 3" xfId="18560" xr:uid="{00000000-0005-0000-0000-000036720000}"/>
    <cellStyle name="Normal 29 7 3 2" xfId="31618" xr:uid="{00000000-0005-0000-0000-000037720000}"/>
    <cellStyle name="Normal 29 7 4" xfId="23008" xr:uid="{00000000-0005-0000-0000-000038720000}"/>
    <cellStyle name="Normal 29 8" xfId="18561" xr:uid="{00000000-0005-0000-0000-000039720000}"/>
    <cellStyle name="Normal 29 8 2" xfId="31619" xr:uid="{00000000-0005-0000-0000-00003A720000}"/>
    <cellStyle name="Normal 29 9" xfId="18562" xr:uid="{00000000-0005-0000-0000-00003B720000}"/>
    <cellStyle name="Normal 29 9 2" xfId="31620" xr:uid="{00000000-0005-0000-0000-00003C720000}"/>
    <cellStyle name="Normal 3" xfId="1915" xr:uid="{00000000-0005-0000-0000-00003D720000}"/>
    <cellStyle name="Normal 3 2" xfId="34496" xr:uid="{00000000-0005-0000-0000-00003E720000}"/>
    <cellStyle name="Normal 3 3" xfId="34497" xr:uid="{00000000-0005-0000-0000-00003F720000}"/>
    <cellStyle name="Normal 3 4" xfId="34498" xr:uid="{00000000-0005-0000-0000-000040720000}"/>
    <cellStyle name="Normal 3 5" xfId="34499" xr:uid="{00000000-0005-0000-0000-000041720000}"/>
    <cellStyle name="Normal 3 6" xfId="34500" xr:uid="{00000000-0005-0000-0000-000042720000}"/>
    <cellStyle name="Normal 3 7" xfId="34501" xr:uid="{00000000-0005-0000-0000-000043720000}"/>
    <cellStyle name="Normal 3 8" xfId="34502" xr:uid="{00000000-0005-0000-0000-000044720000}"/>
    <cellStyle name="Normal 3 9" xfId="36585" xr:uid="{00000000-0005-0000-0000-000045720000}"/>
    <cellStyle name="Normal 30" xfId="3944" xr:uid="{00000000-0005-0000-0000-000046720000}"/>
    <cellStyle name="Normal 30 10" xfId="20865" xr:uid="{00000000-0005-0000-0000-000047720000}"/>
    <cellStyle name="Normal 30 11" xfId="33846" xr:uid="{00000000-0005-0000-0000-000048720000}"/>
    <cellStyle name="Normal 30 2" xfId="4103" xr:uid="{00000000-0005-0000-0000-000049720000}"/>
    <cellStyle name="Normal 30 2 2" xfId="5639" xr:uid="{00000000-0005-0000-0000-00004A720000}"/>
    <cellStyle name="Normal 30 2 2 2" xfId="6791" xr:uid="{00000000-0005-0000-0000-00004B720000}"/>
    <cellStyle name="Normal 30 2 2 2 2" xfId="7478" xr:uid="{00000000-0005-0000-0000-00004C720000}"/>
    <cellStyle name="Normal 30 2 2 2 2 2" xfId="9357" xr:uid="{00000000-0005-0000-0000-00004D720000}"/>
    <cellStyle name="Normal 30 2 2 2 2 2 2" xfId="11736" xr:uid="{00000000-0005-0000-0000-00004E720000}"/>
    <cellStyle name="Normal 30 2 2 2 2 2 2 2" xfId="18563" xr:uid="{00000000-0005-0000-0000-00004F720000}"/>
    <cellStyle name="Normal 30 2 2 2 2 2 2 2 2" xfId="31621" xr:uid="{00000000-0005-0000-0000-000050720000}"/>
    <cellStyle name="Normal 30 2 2 2 2 2 2 3" xfId="18564" xr:uid="{00000000-0005-0000-0000-000051720000}"/>
    <cellStyle name="Normal 30 2 2 2 2 2 2 3 2" xfId="31622" xr:uid="{00000000-0005-0000-0000-000052720000}"/>
    <cellStyle name="Normal 30 2 2 2 2 2 2 4" xfId="25106" xr:uid="{00000000-0005-0000-0000-000053720000}"/>
    <cellStyle name="Normal 30 2 2 2 2 2 3" xfId="18565" xr:uid="{00000000-0005-0000-0000-000054720000}"/>
    <cellStyle name="Normal 30 2 2 2 2 2 3 2" xfId="31623" xr:uid="{00000000-0005-0000-0000-000055720000}"/>
    <cellStyle name="Normal 30 2 2 2 2 2 4" xfId="18566" xr:uid="{00000000-0005-0000-0000-000056720000}"/>
    <cellStyle name="Normal 30 2 2 2 2 2 4 2" xfId="31624" xr:uid="{00000000-0005-0000-0000-000057720000}"/>
    <cellStyle name="Normal 30 2 2 2 2 2 5" xfId="22950" xr:uid="{00000000-0005-0000-0000-000058720000}"/>
    <cellStyle name="Normal 30 2 2 2 2 3" xfId="10658" xr:uid="{00000000-0005-0000-0000-000059720000}"/>
    <cellStyle name="Normal 30 2 2 2 2 3 2" xfId="18567" xr:uid="{00000000-0005-0000-0000-00005A720000}"/>
    <cellStyle name="Normal 30 2 2 2 2 3 2 2" xfId="31625" xr:uid="{00000000-0005-0000-0000-00005B720000}"/>
    <cellStyle name="Normal 30 2 2 2 2 3 3" xfId="18568" xr:uid="{00000000-0005-0000-0000-00005C720000}"/>
    <cellStyle name="Normal 30 2 2 2 2 3 3 2" xfId="31626" xr:uid="{00000000-0005-0000-0000-00005D720000}"/>
    <cellStyle name="Normal 30 2 2 2 2 3 4" xfId="24028" xr:uid="{00000000-0005-0000-0000-00005E720000}"/>
    <cellStyle name="Normal 30 2 2 2 2 4" xfId="18569" xr:uid="{00000000-0005-0000-0000-00005F720000}"/>
    <cellStyle name="Normal 30 2 2 2 2 4 2" xfId="31627" xr:uid="{00000000-0005-0000-0000-000060720000}"/>
    <cellStyle name="Normal 30 2 2 2 2 5" xfId="18570" xr:uid="{00000000-0005-0000-0000-000061720000}"/>
    <cellStyle name="Normal 30 2 2 2 2 5 2" xfId="31628" xr:uid="{00000000-0005-0000-0000-000062720000}"/>
    <cellStyle name="Normal 30 2 2 2 2 6" xfId="21872" xr:uid="{00000000-0005-0000-0000-000063720000}"/>
    <cellStyle name="Normal 30 2 2 2 3" xfId="8811" xr:uid="{00000000-0005-0000-0000-000064720000}"/>
    <cellStyle name="Normal 30 2 2 2 3 2" xfId="11196" xr:uid="{00000000-0005-0000-0000-000065720000}"/>
    <cellStyle name="Normal 30 2 2 2 3 2 2" xfId="18571" xr:uid="{00000000-0005-0000-0000-000066720000}"/>
    <cellStyle name="Normal 30 2 2 2 3 2 2 2" xfId="31629" xr:uid="{00000000-0005-0000-0000-000067720000}"/>
    <cellStyle name="Normal 30 2 2 2 3 2 3" xfId="18572" xr:uid="{00000000-0005-0000-0000-000068720000}"/>
    <cellStyle name="Normal 30 2 2 2 3 2 3 2" xfId="31630" xr:uid="{00000000-0005-0000-0000-000069720000}"/>
    <cellStyle name="Normal 30 2 2 2 3 2 4" xfId="24566" xr:uid="{00000000-0005-0000-0000-00006A720000}"/>
    <cellStyle name="Normal 30 2 2 2 3 3" xfId="18573" xr:uid="{00000000-0005-0000-0000-00006B720000}"/>
    <cellStyle name="Normal 30 2 2 2 3 3 2" xfId="31631" xr:uid="{00000000-0005-0000-0000-00006C720000}"/>
    <cellStyle name="Normal 30 2 2 2 3 4" xfId="18574" xr:uid="{00000000-0005-0000-0000-00006D720000}"/>
    <cellStyle name="Normal 30 2 2 2 3 4 2" xfId="31632" xr:uid="{00000000-0005-0000-0000-00006E720000}"/>
    <cellStyle name="Normal 30 2 2 2 3 5" xfId="22410" xr:uid="{00000000-0005-0000-0000-00006F720000}"/>
    <cellStyle name="Normal 30 2 2 2 4" xfId="10118" xr:uid="{00000000-0005-0000-0000-000070720000}"/>
    <cellStyle name="Normal 30 2 2 2 4 2" xfId="18575" xr:uid="{00000000-0005-0000-0000-000071720000}"/>
    <cellStyle name="Normal 30 2 2 2 4 2 2" xfId="31633" xr:uid="{00000000-0005-0000-0000-000072720000}"/>
    <cellStyle name="Normal 30 2 2 2 4 3" xfId="18576" xr:uid="{00000000-0005-0000-0000-000073720000}"/>
    <cellStyle name="Normal 30 2 2 2 4 3 2" xfId="31634" xr:uid="{00000000-0005-0000-0000-000074720000}"/>
    <cellStyle name="Normal 30 2 2 2 4 4" xfId="23488" xr:uid="{00000000-0005-0000-0000-000075720000}"/>
    <cellStyle name="Normal 30 2 2 2 5" xfId="18577" xr:uid="{00000000-0005-0000-0000-000076720000}"/>
    <cellStyle name="Normal 30 2 2 2 5 2" xfId="31635" xr:uid="{00000000-0005-0000-0000-000077720000}"/>
    <cellStyle name="Normal 30 2 2 2 6" xfId="18578" xr:uid="{00000000-0005-0000-0000-000078720000}"/>
    <cellStyle name="Normal 30 2 2 2 6 2" xfId="31636" xr:uid="{00000000-0005-0000-0000-000079720000}"/>
    <cellStyle name="Normal 30 2 2 2 7" xfId="21332" xr:uid="{00000000-0005-0000-0000-00007A720000}"/>
    <cellStyle name="Normal 30 2 2 3" xfId="7209" xr:uid="{00000000-0005-0000-0000-00007B720000}"/>
    <cellStyle name="Normal 30 2 2 3 2" xfId="9088" xr:uid="{00000000-0005-0000-0000-00007C720000}"/>
    <cellStyle name="Normal 30 2 2 3 2 2" xfId="11467" xr:uid="{00000000-0005-0000-0000-00007D720000}"/>
    <cellStyle name="Normal 30 2 2 3 2 2 2" xfId="18579" xr:uid="{00000000-0005-0000-0000-00007E720000}"/>
    <cellStyle name="Normal 30 2 2 3 2 2 2 2" xfId="31637" xr:uid="{00000000-0005-0000-0000-00007F720000}"/>
    <cellStyle name="Normal 30 2 2 3 2 2 3" xfId="18580" xr:uid="{00000000-0005-0000-0000-000080720000}"/>
    <cellStyle name="Normal 30 2 2 3 2 2 3 2" xfId="31638" xr:uid="{00000000-0005-0000-0000-000081720000}"/>
    <cellStyle name="Normal 30 2 2 3 2 2 4" xfId="24837" xr:uid="{00000000-0005-0000-0000-000082720000}"/>
    <cellStyle name="Normal 30 2 2 3 2 3" xfId="18581" xr:uid="{00000000-0005-0000-0000-000083720000}"/>
    <cellStyle name="Normal 30 2 2 3 2 3 2" xfId="31639" xr:uid="{00000000-0005-0000-0000-000084720000}"/>
    <cellStyle name="Normal 30 2 2 3 2 4" xfId="18582" xr:uid="{00000000-0005-0000-0000-000085720000}"/>
    <cellStyle name="Normal 30 2 2 3 2 4 2" xfId="31640" xr:uid="{00000000-0005-0000-0000-000086720000}"/>
    <cellStyle name="Normal 30 2 2 3 2 5" xfId="22681" xr:uid="{00000000-0005-0000-0000-000087720000}"/>
    <cellStyle name="Normal 30 2 2 3 3" xfId="10389" xr:uid="{00000000-0005-0000-0000-000088720000}"/>
    <cellStyle name="Normal 30 2 2 3 3 2" xfId="18583" xr:uid="{00000000-0005-0000-0000-000089720000}"/>
    <cellStyle name="Normal 30 2 2 3 3 2 2" xfId="31641" xr:uid="{00000000-0005-0000-0000-00008A720000}"/>
    <cellStyle name="Normal 30 2 2 3 3 3" xfId="18584" xr:uid="{00000000-0005-0000-0000-00008B720000}"/>
    <cellStyle name="Normal 30 2 2 3 3 3 2" xfId="31642" xr:uid="{00000000-0005-0000-0000-00008C720000}"/>
    <cellStyle name="Normal 30 2 2 3 3 4" xfId="23759" xr:uid="{00000000-0005-0000-0000-00008D720000}"/>
    <cellStyle name="Normal 30 2 2 3 4" xfId="18585" xr:uid="{00000000-0005-0000-0000-00008E720000}"/>
    <cellStyle name="Normal 30 2 2 3 4 2" xfId="31643" xr:uid="{00000000-0005-0000-0000-00008F720000}"/>
    <cellStyle name="Normal 30 2 2 3 5" xfId="18586" xr:uid="{00000000-0005-0000-0000-000090720000}"/>
    <cellStyle name="Normal 30 2 2 3 5 2" xfId="31644" xr:uid="{00000000-0005-0000-0000-000091720000}"/>
    <cellStyle name="Normal 30 2 2 3 6" xfId="21603" xr:uid="{00000000-0005-0000-0000-000092720000}"/>
    <cellStyle name="Normal 30 2 2 4" xfId="8486" xr:uid="{00000000-0005-0000-0000-000093720000}"/>
    <cellStyle name="Normal 30 2 2 4 2" xfId="10927" xr:uid="{00000000-0005-0000-0000-000094720000}"/>
    <cellStyle name="Normal 30 2 2 4 2 2" xfId="18587" xr:uid="{00000000-0005-0000-0000-000095720000}"/>
    <cellStyle name="Normal 30 2 2 4 2 2 2" xfId="31645" xr:uid="{00000000-0005-0000-0000-000096720000}"/>
    <cellStyle name="Normal 30 2 2 4 2 3" xfId="18588" xr:uid="{00000000-0005-0000-0000-000097720000}"/>
    <cellStyle name="Normal 30 2 2 4 2 3 2" xfId="31646" xr:uid="{00000000-0005-0000-0000-000098720000}"/>
    <cellStyle name="Normal 30 2 2 4 2 4" xfId="24297" xr:uid="{00000000-0005-0000-0000-000099720000}"/>
    <cellStyle name="Normal 30 2 2 4 3" xfId="18589" xr:uid="{00000000-0005-0000-0000-00009A720000}"/>
    <cellStyle name="Normal 30 2 2 4 3 2" xfId="31647" xr:uid="{00000000-0005-0000-0000-00009B720000}"/>
    <cellStyle name="Normal 30 2 2 4 4" xfId="18590" xr:uid="{00000000-0005-0000-0000-00009C720000}"/>
    <cellStyle name="Normal 30 2 2 4 4 2" xfId="31648" xr:uid="{00000000-0005-0000-0000-00009D720000}"/>
    <cellStyle name="Normal 30 2 2 4 5" xfId="22141" xr:uid="{00000000-0005-0000-0000-00009E720000}"/>
    <cellStyle name="Normal 30 2 2 5" xfId="9849" xr:uid="{00000000-0005-0000-0000-00009F720000}"/>
    <cellStyle name="Normal 30 2 2 5 2" xfId="18591" xr:uid="{00000000-0005-0000-0000-0000A0720000}"/>
    <cellStyle name="Normal 30 2 2 5 2 2" xfId="31649" xr:uid="{00000000-0005-0000-0000-0000A1720000}"/>
    <cellStyle name="Normal 30 2 2 5 3" xfId="18592" xr:uid="{00000000-0005-0000-0000-0000A2720000}"/>
    <cellStyle name="Normal 30 2 2 5 3 2" xfId="31650" xr:uid="{00000000-0005-0000-0000-0000A3720000}"/>
    <cellStyle name="Normal 30 2 2 5 4" xfId="23219" xr:uid="{00000000-0005-0000-0000-0000A4720000}"/>
    <cellStyle name="Normal 30 2 2 6" xfId="18593" xr:uid="{00000000-0005-0000-0000-0000A5720000}"/>
    <cellStyle name="Normal 30 2 2 6 2" xfId="31651" xr:uid="{00000000-0005-0000-0000-0000A6720000}"/>
    <cellStyle name="Normal 30 2 2 7" xfId="18594" xr:uid="{00000000-0005-0000-0000-0000A7720000}"/>
    <cellStyle name="Normal 30 2 2 7 2" xfId="31652" xr:uid="{00000000-0005-0000-0000-0000A8720000}"/>
    <cellStyle name="Normal 30 2 2 8" xfId="21063" xr:uid="{00000000-0005-0000-0000-0000A9720000}"/>
    <cellStyle name="Normal 30 2 3" xfId="6640" xr:uid="{00000000-0005-0000-0000-0000AA720000}"/>
    <cellStyle name="Normal 30 2 3 2" xfId="7336" xr:uid="{00000000-0005-0000-0000-0000AB720000}"/>
    <cellStyle name="Normal 30 2 3 2 2" xfId="9215" xr:uid="{00000000-0005-0000-0000-0000AC720000}"/>
    <cellStyle name="Normal 30 2 3 2 2 2" xfId="11594" xr:uid="{00000000-0005-0000-0000-0000AD720000}"/>
    <cellStyle name="Normal 30 2 3 2 2 2 2" xfId="18595" xr:uid="{00000000-0005-0000-0000-0000AE720000}"/>
    <cellStyle name="Normal 30 2 3 2 2 2 2 2" xfId="31653" xr:uid="{00000000-0005-0000-0000-0000AF720000}"/>
    <cellStyle name="Normal 30 2 3 2 2 2 3" xfId="18596" xr:uid="{00000000-0005-0000-0000-0000B0720000}"/>
    <cellStyle name="Normal 30 2 3 2 2 2 3 2" xfId="31654" xr:uid="{00000000-0005-0000-0000-0000B1720000}"/>
    <cellStyle name="Normal 30 2 3 2 2 2 4" xfId="24964" xr:uid="{00000000-0005-0000-0000-0000B2720000}"/>
    <cellStyle name="Normal 30 2 3 2 2 3" xfId="18597" xr:uid="{00000000-0005-0000-0000-0000B3720000}"/>
    <cellStyle name="Normal 30 2 3 2 2 3 2" xfId="31655" xr:uid="{00000000-0005-0000-0000-0000B4720000}"/>
    <cellStyle name="Normal 30 2 3 2 2 4" xfId="18598" xr:uid="{00000000-0005-0000-0000-0000B5720000}"/>
    <cellStyle name="Normal 30 2 3 2 2 4 2" xfId="31656" xr:uid="{00000000-0005-0000-0000-0000B6720000}"/>
    <cellStyle name="Normal 30 2 3 2 2 5" xfId="22808" xr:uid="{00000000-0005-0000-0000-0000B7720000}"/>
    <cellStyle name="Normal 30 2 3 2 3" xfId="10516" xr:uid="{00000000-0005-0000-0000-0000B8720000}"/>
    <cellStyle name="Normal 30 2 3 2 3 2" xfId="18599" xr:uid="{00000000-0005-0000-0000-0000B9720000}"/>
    <cellStyle name="Normal 30 2 3 2 3 2 2" xfId="31657" xr:uid="{00000000-0005-0000-0000-0000BA720000}"/>
    <cellStyle name="Normal 30 2 3 2 3 3" xfId="18600" xr:uid="{00000000-0005-0000-0000-0000BB720000}"/>
    <cellStyle name="Normal 30 2 3 2 3 3 2" xfId="31658" xr:uid="{00000000-0005-0000-0000-0000BC720000}"/>
    <cellStyle name="Normal 30 2 3 2 3 4" xfId="23886" xr:uid="{00000000-0005-0000-0000-0000BD720000}"/>
    <cellStyle name="Normal 30 2 3 2 4" xfId="18601" xr:uid="{00000000-0005-0000-0000-0000BE720000}"/>
    <cellStyle name="Normal 30 2 3 2 4 2" xfId="31659" xr:uid="{00000000-0005-0000-0000-0000BF720000}"/>
    <cellStyle name="Normal 30 2 3 2 5" xfId="18602" xr:uid="{00000000-0005-0000-0000-0000C0720000}"/>
    <cellStyle name="Normal 30 2 3 2 5 2" xfId="31660" xr:uid="{00000000-0005-0000-0000-0000C1720000}"/>
    <cellStyle name="Normal 30 2 3 2 6" xfId="21730" xr:uid="{00000000-0005-0000-0000-0000C2720000}"/>
    <cellStyle name="Normal 30 2 3 3" xfId="8668" xr:uid="{00000000-0005-0000-0000-0000C3720000}"/>
    <cellStyle name="Normal 30 2 3 3 2" xfId="11054" xr:uid="{00000000-0005-0000-0000-0000C4720000}"/>
    <cellStyle name="Normal 30 2 3 3 2 2" xfId="18603" xr:uid="{00000000-0005-0000-0000-0000C5720000}"/>
    <cellStyle name="Normal 30 2 3 3 2 2 2" xfId="31661" xr:uid="{00000000-0005-0000-0000-0000C6720000}"/>
    <cellStyle name="Normal 30 2 3 3 2 3" xfId="18604" xr:uid="{00000000-0005-0000-0000-0000C7720000}"/>
    <cellStyle name="Normal 30 2 3 3 2 3 2" xfId="31662" xr:uid="{00000000-0005-0000-0000-0000C8720000}"/>
    <cellStyle name="Normal 30 2 3 3 2 4" xfId="24424" xr:uid="{00000000-0005-0000-0000-0000C9720000}"/>
    <cellStyle name="Normal 30 2 3 3 3" xfId="18605" xr:uid="{00000000-0005-0000-0000-0000CA720000}"/>
    <cellStyle name="Normal 30 2 3 3 3 2" xfId="31663" xr:uid="{00000000-0005-0000-0000-0000CB720000}"/>
    <cellStyle name="Normal 30 2 3 3 4" xfId="18606" xr:uid="{00000000-0005-0000-0000-0000CC720000}"/>
    <cellStyle name="Normal 30 2 3 3 4 2" xfId="31664" xr:uid="{00000000-0005-0000-0000-0000CD720000}"/>
    <cellStyle name="Normal 30 2 3 3 5" xfId="22268" xr:uid="{00000000-0005-0000-0000-0000CE720000}"/>
    <cellStyle name="Normal 30 2 3 4" xfId="9976" xr:uid="{00000000-0005-0000-0000-0000CF720000}"/>
    <cellStyle name="Normal 30 2 3 4 2" xfId="18607" xr:uid="{00000000-0005-0000-0000-0000D0720000}"/>
    <cellStyle name="Normal 30 2 3 4 2 2" xfId="31665" xr:uid="{00000000-0005-0000-0000-0000D1720000}"/>
    <cellStyle name="Normal 30 2 3 4 3" xfId="18608" xr:uid="{00000000-0005-0000-0000-0000D2720000}"/>
    <cellStyle name="Normal 30 2 3 4 3 2" xfId="31666" xr:uid="{00000000-0005-0000-0000-0000D3720000}"/>
    <cellStyle name="Normal 30 2 3 4 4" xfId="23346" xr:uid="{00000000-0005-0000-0000-0000D4720000}"/>
    <cellStyle name="Normal 30 2 3 5" xfId="18609" xr:uid="{00000000-0005-0000-0000-0000D5720000}"/>
    <cellStyle name="Normal 30 2 3 5 2" xfId="31667" xr:uid="{00000000-0005-0000-0000-0000D6720000}"/>
    <cellStyle name="Normal 30 2 3 6" xfId="18610" xr:uid="{00000000-0005-0000-0000-0000D7720000}"/>
    <cellStyle name="Normal 30 2 3 6 2" xfId="31668" xr:uid="{00000000-0005-0000-0000-0000D8720000}"/>
    <cellStyle name="Normal 30 2 3 7" xfId="21190" xr:uid="{00000000-0005-0000-0000-0000D9720000}"/>
    <cellStyle name="Normal 30 2 4" xfId="7066" xr:uid="{00000000-0005-0000-0000-0000DA720000}"/>
    <cellStyle name="Normal 30 2 4 2" xfId="8946" xr:uid="{00000000-0005-0000-0000-0000DB720000}"/>
    <cellStyle name="Normal 30 2 4 2 2" xfId="11325" xr:uid="{00000000-0005-0000-0000-0000DC720000}"/>
    <cellStyle name="Normal 30 2 4 2 2 2" xfId="18611" xr:uid="{00000000-0005-0000-0000-0000DD720000}"/>
    <cellStyle name="Normal 30 2 4 2 2 2 2" xfId="31669" xr:uid="{00000000-0005-0000-0000-0000DE720000}"/>
    <cellStyle name="Normal 30 2 4 2 2 3" xfId="18612" xr:uid="{00000000-0005-0000-0000-0000DF720000}"/>
    <cellStyle name="Normal 30 2 4 2 2 3 2" xfId="31670" xr:uid="{00000000-0005-0000-0000-0000E0720000}"/>
    <cellStyle name="Normal 30 2 4 2 2 4" xfId="24695" xr:uid="{00000000-0005-0000-0000-0000E1720000}"/>
    <cellStyle name="Normal 30 2 4 2 3" xfId="18613" xr:uid="{00000000-0005-0000-0000-0000E2720000}"/>
    <cellStyle name="Normal 30 2 4 2 3 2" xfId="31671" xr:uid="{00000000-0005-0000-0000-0000E3720000}"/>
    <cellStyle name="Normal 30 2 4 2 4" xfId="18614" xr:uid="{00000000-0005-0000-0000-0000E4720000}"/>
    <cellStyle name="Normal 30 2 4 2 4 2" xfId="31672" xr:uid="{00000000-0005-0000-0000-0000E5720000}"/>
    <cellStyle name="Normal 30 2 4 2 5" xfId="22539" xr:uid="{00000000-0005-0000-0000-0000E6720000}"/>
    <cellStyle name="Normal 30 2 4 3" xfId="10247" xr:uid="{00000000-0005-0000-0000-0000E7720000}"/>
    <cellStyle name="Normal 30 2 4 3 2" xfId="18615" xr:uid="{00000000-0005-0000-0000-0000E8720000}"/>
    <cellStyle name="Normal 30 2 4 3 2 2" xfId="31673" xr:uid="{00000000-0005-0000-0000-0000E9720000}"/>
    <cellStyle name="Normal 30 2 4 3 3" xfId="18616" xr:uid="{00000000-0005-0000-0000-0000EA720000}"/>
    <cellStyle name="Normal 30 2 4 3 3 2" xfId="31674" xr:uid="{00000000-0005-0000-0000-0000EB720000}"/>
    <cellStyle name="Normal 30 2 4 3 4" xfId="23617" xr:uid="{00000000-0005-0000-0000-0000EC720000}"/>
    <cellStyle name="Normal 30 2 4 4" xfId="18617" xr:uid="{00000000-0005-0000-0000-0000ED720000}"/>
    <cellStyle name="Normal 30 2 4 4 2" xfId="31675" xr:uid="{00000000-0005-0000-0000-0000EE720000}"/>
    <cellStyle name="Normal 30 2 4 5" xfId="18618" xr:uid="{00000000-0005-0000-0000-0000EF720000}"/>
    <cellStyle name="Normal 30 2 4 5 2" xfId="31676" xr:uid="{00000000-0005-0000-0000-0000F0720000}"/>
    <cellStyle name="Normal 30 2 4 6" xfId="21461" xr:uid="{00000000-0005-0000-0000-0000F1720000}"/>
    <cellStyle name="Normal 30 2 5" xfId="8270" xr:uid="{00000000-0005-0000-0000-0000F2720000}"/>
    <cellStyle name="Normal 30 2 5 2" xfId="10785" xr:uid="{00000000-0005-0000-0000-0000F3720000}"/>
    <cellStyle name="Normal 30 2 5 2 2" xfId="18619" xr:uid="{00000000-0005-0000-0000-0000F4720000}"/>
    <cellStyle name="Normal 30 2 5 2 2 2" xfId="31677" xr:uid="{00000000-0005-0000-0000-0000F5720000}"/>
    <cellStyle name="Normal 30 2 5 2 3" xfId="18620" xr:uid="{00000000-0005-0000-0000-0000F6720000}"/>
    <cellStyle name="Normal 30 2 5 2 3 2" xfId="31678" xr:uid="{00000000-0005-0000-0000-0000F7720000}"/>
    <cellStyle name="Normal 30 2 5 2 4" xfId="24155" xr:uid="{00000000-0005-0000-0000-0000F8720000}"/>
    <cellStyle name="Normal 30 2 5 3" xfId="18621" xr:uid="{00000000-0005-0000-0000-0000F9720000}"/>
    <cellStyle name="Normal 30 2 5 3 2" xfId="31679" xr:uid="{00000000-0005-0000-0000-0000FA720000}"/>
    <cellStyle name="Normal 30 2 5 4" xfId="18622" xr:uid="{00000000-0005-0000-0000-0000FB720000}"/>
    <cellStyle name="Normal 30 2 5 4 2" xfId="31680" xr:uid="{00000000-0005-0000-0000-0000FC720000}"/>
    <cellStyle name="Normal 30 2 5 5" xfId="21999" xr:uid="{00000000-0005-0000-0000-0000FD720000}"/>
    <cellStyle name="Normal 30 2 6" xfId="9706" xr:uid="{00000000-0005-0000-0000-0000FE720000}"/>
    <cellStyle name="Normal 30 2 6 2" xfId="18623" xr:uid="{00000000-0005-0000-0000-0000FF720000}"/>
    <cellStyle name="Normal 30 2 6 2 2" xfId="31681" xr:uid="{00000000-0005-0000-0000-000000730000}"/>
    <cellStyle name="Normal 30 2 6 3" xfId="18624" xr:uid="{00000000-0005-0000-0000-000001730000}"/>
    <cellStyle name="Normal 30 2 6 3 2" xfId="31682" xr:uid="{00000000-0005-0000-0000-000002730000}"/>
    <cellStyle name="Normal 30 2 6 4" xfId="23077" xr:uid="{00000000-0005-0000-0000-000003730000}"/>
    <cellStyle name="Normal 30 2 7" xfId="18625" xr:uid="{00000000-0005-0000-0000-000004730000}"/>
    <cellStyle name="Normal 30 2 7 2" xfId="31683" xr:uid="{00000000-0005-0000-0000-000005730000}"/>
    <cellStyle name="Normal 30 2 8" xfId="18626" xr:uid="{00000000-0005-0000-0000-000006730000}"/>
    <cellStyle name="Normal 30 2 8 2" xfId="31684" xr:uid="{00000000-0005-0000-0000-000007730000}"/>
    <cellStyle name="Normal 30 2 9" xfId="20920" xr:uid="{00000000-0005-0000-0000-000008730000}"/>
    <cellStyle name="Normal 30 3" xfId="5551" xr:uid="{00000000-0005-0000-0000-000009730000}"/>
    <cellStyle name="Normal 30 3 2" xfId="6735" xr:uid="{00000000-0005-0000-0000-00000A730000}"/>
    <cellStyle name="Normal 30 3 2 2" xfId="7422" xr:uid="{00000000-0005-0000-0000-00000B730000}"/>
    <cellStyle name="Normal 30 3 2 2 2" xfId="9301" xr:uid="{00000000-0005-0000-0000-00000C730000}"/>
    <cellStyle name="Normal 30 3 2 2 2 2" xfId="11680" xr:uid="{00000000-0005-0000-0000-00000D730000}"/>
    <cellStyle name="Normal 30 3 2 2 2 2 2" xfId="18627" xr:uid="{00000000-0005-0000-0000-00000E730000}"/>
    <cellStyle name="Normal 30 3 2 2 2 2 2 2" xfId="31685" xr:uid="{00000000-0005-0000-0000-00000F730000}"/>
    <cellStyle name="Normal 30 3 2 2 2 2 3" xfId="18628" xr:uid="{00000000-0005-0000-0000-000010730000}"/>
    <cellStyle name="Normal 30 3 2 2 2 2 3 2" xfId="31686" xr:uid="{00000000-0005-0000-0000-000011730000}"/>
    <cellStyle name="Normal 30 3 2 2 2 2 4" xfId="25050" xr:uid="{00000000-0005-0000-0000-000012730000}"/>
    <cellStyle name="Normal 30 3 2 2 2 3" xfId="18629" xr:uid="{00000000-0005-0000-0000-000013730000}"/>
    <cellStyle name="Normal 30 3 2 2 2 3 2" xfId="31687" xr:uid="{00000000-0005-0000-0000-000014730000}"/>
    <cellStyle name="Normal 30 3 2 2 2 4" xfId="18630" xr:uid="{00000000-0005-0000-0000-000015730000}"/>
    <cellStyle name="Normal 30 3 2 2 2 4 2" xfId="31688" xr:uid="{00000000-0005-0000-0000-000016730000}"/>
    <cellStyle name="Normal 30 3 2 2 2 5" xfId="22894" xr:uid="{00000000-0005-0000-0000-000017730000}"/>
    <cellStyle name="Normal 30 3 2 2 3" xfId="10602" xr:uid="{00000000-0005-0000-0000-000018730000}"/>
    <cellStyle name="Normal 30 3 2 2 3 2" xfId="18631" xr:uid="{00000000-0005-0000-0000-000019730000}"/>
    <cellStyle name="Normal 30 3 2 2 3 2 2" xfId="31689" xr:uid="{00000000-0005-0000-0000-00001A730000}"/>
    <cellStyle name="Normal 30 3 2 2 3 3" xfId="18632" xr:uid="{00000000-0005-0000-0000-00001B730000}"/>
    <cellStyle name="Normal 30 3 2 2 3 3 2" xfId="31690" xr:uid="{00000000-0005-0000-0000-00001C730000}"/>
    <cellStyle name="Normal 30 3 2 2 3 4" xfId="23972" xr:uid="{00000000-0005-0000-0000-00001D730000}"/>
    <cellStyle name="Normal 30 3 2 2 4" xfId="18633" xr:uid="{00000000-0005-0000-0000-00001E730000}"/>
    <cellStyle name="Normal 30 3 2 2 4 2" xfId="31691" xr:uid="{00000000-0005-0000-0000-00001F730000}"/>
    <cellStyle name="Normal 30 3 2 2 5" xfId="18634" xr:uid="{00000000-0005-0000-0000-000020730000}"/>
    <cellStyle name="Normal 30 3 2 2 5 2" xfId="31692" xr:uid="{00000000-0005-0000-0000-000021730000}"/>
    <cellStyle name="Normal 30 3 2 2 6" xfId="21816" xr:uid="{00000000-0005-0000-0000-000022730000}"/>
    <cellStyle name="Normal 30 3 2 3" xfId="8755" xr:uid="{00000000-0005-0000-0000-000023730000}"/>
    <cellStyle name="Normal 30 3 2 3 2" xfId="11140" xr:uid="{00000000-0005-0000-0000-000024730000}"/>
    <cellStyle name="Normal 30 3 2 3 2 2" xfId="18635" xr:uid="{00000000-0005-0000-0000-000025730000}"/>
    <cellStyle name="Normal 30 3 2 3 2 2 2" xfId="31693" xr:uid="{00000000-0005-0000-0000-000026730000}"/>
    <cellStyle name="Normal 30 3 2 3 2 3" xfId="18636" xr:uid="{00000000-0005-0000-0000-000027730000}"/>
    <cellStyle name="Normal 30 3 2 3 2 3 2" xfId="31694" xr:uid="{00000000-0005-0000-0000-000028730000}"/>
    <cellStyle name="Normal 30 3 2 3 2 4" xfId="24510" xr:uid="{00000000-0005-0000-0000-000029730000}"/>
    <cellStyle name="Normal 30 3 2 3 3" xfId="18637" xr:uid="{00000000-0005-0000-0000-00002A730000}"/>
    <cellStyle name="Normal 30 3 2 3 3 2" xfId="31695" xr:uid="{00000000-0005-0000-0000-00002B730000}"/>
    <cellStyle name="Normal 30 3 2 3 4" xfId="18638" xr:uid="{00000000-0005-0000-0000-00002C730000}"/>
    <cellStyle name="Normal 30 3 2 3 4 2" xfId="31696" xr:uid="{00000000-0005-0000-0000-00002D730000}"/>
    <cellStyle name="Normal 30 3 2 3 5" xfId="22354" xr:uid="{00000000-0005-0000-0000-00002E730000}"/>
    <cellStyle name="Normal 30 3 2 4" xfId="10062" xr:uid="{00000000-0005-0000-0000-00002F730000}"/>
    <cellStyle name="Normal 30 3 2 4 2" xfId="18639" xr:uid="{00000000-0005-0000-0000-000030730000}"/>
    <cellStyle name="Normal 30 3 2 4 2 2" xfId="31697" xr:uid="{00000000-0005-0000-0000-000031730000}"/>
    <cellStyle name="Normal 30 3 2 4 3" xfId="18640" xr:uid="{00000000-0005-0000-0000-000032730000}"/>
    <cellStyle name="Normal 30 3 2 4 3 2" xfId="31698" xr:uid="{00000000-0005-0000-0000-000033730000}"/>
    <cellStyle name="Normal 30 3 2 4 4" xfId="23432" xr:uid="{00000000-0005-0000-0000-000034730000}"/>
    <cellStyle name="Normal 30 3 2 5" xfId="18641" xr:uid="{00000000-0005-0000-0000-000035730000}"/>
    <cellStyle name="Normal 30 3 2 5 2" xfId="31699" xr:uid="{00000000-0005-0000-0000-000036730000}"/>
    <cellStyle name="Normal 30 3 2 6" xfId="18642" xr:uid="{00000000-0005-0000-0000-000037730000}"/>
    <cellStyle name="Normal 30 3 2 6 2" xfId="31700" xr:uid="{00000000-0005-0000-0000-000038730000}"/>
    <cellStyle name="Normal 30 3 2 7" xfId="21276" xr:uid="{00000000-0005-0000-0000-000039730000}"/>
    <cellStyle name="Normal 30 3 3" xfId="7153" xr:uid="{00000000-0005-0000-0000-00003A730000}"/>
    <cellStyle name="Normal 30 3 3 2" xfId="9032" xr:uid="{00000000-0005-0000-0000-00003B730000}"/>
    <cellStyle name="Normal 30 3 3 2 2" xfId="11411" xr:uid="{00000000-0005-0000-0000-00003C730000}"/>
    <cellStyle name="Normal 30 3 3 2 2 2" xfId="18643" xr:uid="{00000000-0005-0000-0000-00003D730000}"/>
    <cellStyle name="Normal 30 3 3 2 2 2 2" xfId="31701" xr:uid="{00000000-0005-0000-0000-00003E730000}"/>
    <cellStyle name="Normal 30 3 3 2 2 3" xfId="18644" xr:uid="{00000000-0005-0000-0000-00003F730000}"/>
    <cellStyle name="Normal 30 3 3 2 2 3 2" xfId="31702" xr:uid="{00000000-0005-0000-0000-000040730000}"/>
    <cellStyle name="Normal 30 3 3 2 2 4" xfId="24781" xr:uid="{00000000-0005-0000-0000-000041730000}"/>
    <cellStyle name="Normal 30 3 3 2 3" xfId="18645" xr:uid="{00000000-0005-0000-0000-000042730000}"/>
    <cellStyle name="Normal 30 3 3 2 3 2" xfId="31703" xr:uid="{00000000-0005-0000-0000-000043730000}"/>
    <cellStyle name="Normal 30 3 3 2 4" xfId="18646" xr:uid="{00000000-0005-0000-0000-000044730000}"/>
    <cellStyle name="Normal 30 3 3 2 4 2" xfId="31704" xr:uid="{00000000-0005-0000-0000-000045730000}"/>
    <cellStyle name="Normal 30 3 3 2 5" xfId="22625" xr:uid="{00000000-0005-0000-0000-000046730000}"/>
    <cellStyle name="Normal 30 3 3 3" xfId="10333" xr:uid="{00000000-0005-0000-0000-000047730000}"/>
    <cellStyle name="Normal 30 3 3 3 2" xfId="18647" xr:uid="{00000000-0005-0000-0000-000048730000}"/>
    <cellStyle name="Normal 30 3 3 3 2 2" xfId="31705" xr:uid="{00000000-0005-0000-0000-000049730000}"/>
    <cellStyle name="Normal 30 3 3 3 3" xfId="18648" xr:uid="{00000000-0005-0000-0000-00004A730000}"/>
    <cellStyle name="Normal 30 3 3 3 3 2" xfId="31706" xr:uid="{00000000-0005-0000-0000-00004B730000}"/>
    <cellStyle name="Normal 30 3 3 3 4" xfId="23703" xr:uid="{00000000-0005-0000-0000-00004C730000}"/>
    <cellStyle name="Normal 30 3 3 4" xfId="18649" xr:uid="{00000000-0005-0000-0000-00004D730000}"/>
    <cellStyle name="Normal 30 3 3 4 2" xfId="31707" xr:uid="{00000000-0005-0000-0000-00004E730000}"/>
    <cellStyle name="Normal 30 3 3 5" xfId="18650" xr:uid="{00000000-0005-0000-0000-00004F730000}"/>
    <cellStyle name="Normal 30 3 3 5 2" xfId="31708" xr:uid="{00000000-0005-0000-0000-000050730000}"/>
    <cellStyle name="Normal 30 3 3 6" xfId="21547" xr:uid="{00000000-0005-0000-0000-000051730000}"/>
    <cellStyle name="Normal 30 3 4" xfId="8428" xr:uid="{00000000-0005-0000-0000-000052730000}"/>
    <cellStyle name="Normal 30 3 4 2" xfId="10871" xr:uid="{00000000-0005-0000-0000-000053730000}"/>
    <cellStyle name="Normal 30 3 4 2 2" xfId="18651" xr:uid="{00000000-0005-0000-0000-000054730000}"/>
    <cellStyle name="Normal 30 3 4 2 2 2" xfId="31709" xr:uid="{00000000-0005-0000-0000-000055730000}"/>
    <cellStyle name="Normal 30 3 4 2 3" xfId="18652" xr:uid="{00000000-0005-0000-0000-000056730000}"/>
    <cellStyle name="Normal 30 3 4 2 3 2" xfId="31710" xr:uid="{00000000-0005-0000-0000-000057730000}"/>
    <cellStyle name="Normal 30 3 4 2 4" xfId="24241" xr:uid="{00000000-0005-0000-0000-000058730000}"/>
    <cellStyle name="Normal 30 3 4 3" xfId="18653" xr:uid="{00000000-0005-0000-0000-000059730000}"/>
    <cellStyle name="Normal 30 3 4 3 2" xfId="31711" xr:uid="{00000000-0005-0000-0000-00005A730000}"/>
    <cellStyle name="Normal 30 3 4 4" xfId="18654" xr:uid="{00000000-0005-0000-0000-00005B730000}"/>
    <cellStyle name="Normal 30 3 4 4 2" xfId="31712" xr:uid="{00000000-0005-0000-0000-00005C730000}"/>
    <cellStyle name="Normal 30 3 4 5" xfId="22085" xr:uid="{00000000-0005-0000-0000-00005D730000}"/>
    <cellStyle name="Normal 30 3 5" xfId="9793" xr:uid="{00000000-0005-0000-0000-00005E730000}"/>
    <cellStyle name="Normal 30 3 5 2" xfId="18655" xr:uid="{00000000-0005-0000-0000-00005F730000}"/>
    <cellStyle name="Normal 30 3 5 2 2" xfId="31713" xr:uid="{00000000-0005-0000-0000-000060730000}"/>
    <cellStyle name="Normal 30 3 5 3" xfId="18656" xr:uid="{00000000-0005-0000-0000-000061730000}"/>
    <cellStyle name="Normal 30 3 5 3 2" xfId="31714" xr:uid="{00000000-0005-0000-0000-000062730000}"/>
    <cellStyle name="Normal 30 3 5 4" xfId="23163" xr:uid="{00000000-0005-0000-0000-000063730000}"/>
    <cellStyle name="Normal 30 3 6" xfId="18657" xr:uid="{00000000-0005-0000-0000-000064730000}"/>
    <cellStyle name="Normal 30 3 6 2" xfId="31715" xr:uid="{00000000-0005-0000-0000-000065730000}"/>
    <cellStyle name="Normal 30 3 7" xfId="18658" xr:uid="{00000000-0005-0000-0000-000066730000}"/>
    <cellStyle name="Normal 30 3 7 2" xfId="31716" xr:uid="{00000000-0005-0000-0000-000067730000}"/>
    <cellStyle name="Normal 30 3 8" xfId="21007" xr:uid="{00000000-0005-0000-0000-000068730000}"/>
    <cellStyle name="Normal 30 4" xfId="6585" xr:uid="{00000000-0005-0000-0000-000069730000}"/>
    <cellStyle name="Normal 30 4 2" xfId="7281" xr:uid="{00000000-0005-0000-0000-00006A730000}"/>
    <cellStyle name="Normal 30 4 2 2" xfId="9160" xr:uid="{00000000-0005-0000-0000-00006B730000}"/>
    <cellStyle name="Normal 30 4 2 2 2" xfId="11539" xr:uid="{00000000-0005-0000-0000-00006C730000}"/>
    <cellStyle name="Normal 30 4 2 2 2 2" xfId="18659" xr:uid="{00000000-0005-0000-0000-00006D730000}"/>
    <cellStyle name="Normal 30 4 2 2 2 2 2" xfId="31717" xr:uid="{00000000-0005-0000-0000-00006E730000}"/>
    <cellStyle name="Normal 30 4 2 2 2 3" xfId="18660" xr:uid="{00000000-0005-0000-0000-00006F730000}"/>
    <cellStyle name="Normal 30 4 2 2 2 3 2" xfId="31718" xr:uid="{00000000-0005-0000-0000-000070730000}"/>
    <cellStyle name="Normal 30 4 2 2 2 4" xfId="24909" xr:uid="{00000000-0005-0000-0000-000071730000}"/>
    <cellStyle name="Normal 30 4 2 2 3" xfId="18661" xr:uid="{00000000-0005-0000-0000-000072730000}"/>
    <cellStyle name="Normal 30 4 2 2 3 2" xfId="31719" xr:uid="{00000000-0005-0000-0000-000073730000}"/>
    <cellStyle name="Normal 30 4 2 2 4" xfId="18662" xr:uid="{00000000-0005-0000-0000-000074730000}"/>
    <cellStyle name="Normal 30 4 2 2 4 2" xfId="31720" xr:uid="{00000000-0005-0000-0000-000075730000}"/>
    <cellStyle name="Normal 30 4 2 2 5" xfId="22753" xr:uid="{00000000-0005-0000-0000-000076730000}"/>
    <cellStyle name="Normal 30 4 2 3" xfId="10461" xr:uid="{00000000-0005-0000-0000-000077730000}"/>
    <cellStyle name="Normal 30 4 2 3 2" xfId="18663" xr:uid="{00000000-0005-0000-0000-000078730000}"/>
    <cellStyle name="Normal 30 4 2 3 2 2" xfId="31721" xr:uid="{00000000-0005-0000-0000-000079730000}"/>
    <cellStyle name="Normal 30 4 2 3 3" xfId="18664" xr:uid="{00000000-0005-0000-0000-00007A730000}"/>
    <cellStyle name="Normal 30 4 2 3 3 2" xfId="31722" xr:uid="{00000000-0005-0000-0000-00007B730000}"/>
    <cellStyle name="Normal 30 4 2 3 4" xfId="23831" xr:uid="{00000000-0005-0000-0000-00007C730000}"/>
    <cellStyle name="Normal 30 4 2 4" xfId="18665" xr:uid="{00000000-0005-0000-0000-00007D730000}"/>
    <cellStyle name="Normal 30 4 2 4 2" xfId="31723" xr:uid="{00000000-0005-0000-0000-00007E730000}"/>
    <cellStyle name="Normal 30 4 2 5" xfId="18666" xr:uid="{00000000-0005-0000-0000-00007F730000}"/>
    <cellStyle name="Normal 30 4 2 5 2" xfId="31724" xr:uid="{00000000-0005-0000-0000-000080730000}"/>
    <cellStyle name="Normal 30 4 2 6" xfId="21675" xr:uid="{00000000-0005-0000-0000-000081730000}"/>
    <cellStyle name="Normal 30 4 3" xfId="8613" xr:uid="{00000000-0005-0000-0000-000082730000}"/>
    <cellStyle name="Normal 30 4 3 2" xfId="10999" xr:uid="{00000000-0005-0000-0000-000083730000}"/>
    <cellStyle name="Normal 30 4 3 2 2" xfId="18667" xr:uid="{00000000-0005-0000-0000-000084730000}"/>
    <cellStyle name="Normal 30 4 3 2 2 2" xfId="31725" xr:uid="{00000000-0005-0000-0000-000085730000}"/>
    <cellStyle name="Normal 30 4 3 2 3" xfId="18668" xr:uid="{00000000-0005-0000-0000-000086730000}"/>
    <cellStyle name="Normal 30 4 3 2 3 2" xfId="31726" xr:uid="{00000000-0005-0000-0000-000087730000}"/>
    <cellStyle name="Normal 30 4 3 2 4" xfId="24369" xr:uid="{00000000-0005-0000-0000-000088730000}"/>
    <cellStyle name="Normal 30 4 3 3" xfId="18669" xr:uid="{00000000-0005-0000-0000-000089730000}"/>
    <cellStyle name="Normal 30 4 3 3 2" xfId="31727" xr:uid="{00000000-0005-0000-0000-00008A730000}"/>
    <cellStyle name="Normal 30 4 3 4" xfId="18670" xr:uid="{00000000-0005-0000-0000-00008B730000}"/>
    <cellStyle name="Normal 30 4 3 4 2" xfId="31728" xr:uid="{00000000-0005-0000-0000-00008C730000}"/>
    <cellStyle name="Normal 30 4 3 5" xfId="22213" xr:uid="{00000000-0005-0000-0000-00008D730000}"/>
    <cellStyle name="Normal 30 4 4" xfId="9921" xr:uid="{00000000-0005-0000-0000-00008E730000}"/>
    <cellStyle name="Normal 30 4 4 2" xfId="18671" xr:uid="{00000000-0005-0000-0000-00008F730000}"/>
    <cellStyle name="Normal 30 4 4 2 2" xfId="31729" xr:uid="{00000000-0005-0000-0000-000090730000}"/>
    <cellStyle name="Normal 30 4 4 3" xfId="18672" xr:uid="{00000000-0005-0000-0000-000091730000}"/>
    <cellStyle name="Normal 30 4 4 3 2" xfId="31730" xr:uid="{00000000-0005-0000-0000-000092730000}"/>
    <cellStyle name="Normal 30 4 4 4" xfId="23291" xr:uid="{00000000-0005-0000-0000-000093730000}"/>
    <cellStyle name="Normal 30 4 5" xfId="18673" xr:uid="{00000000-0005-0000-0000-000094730000}"/>
    <cellStyle name="Normal 30 4 5 2" xfId="31731" xr:uid="{00000000-0005-0000-0000-000095730000}"/>
    <cellStyle name="Normal 30 4 6" xfId="18674" xr:uid="{00000000-0005-0000-0000-000096730000}"/>
    <cellStyle name="Normal 30 4 6 2" xfId="31732" xr:uid="{00000000-0005-0000-0000-000097730000}"/>
    <cellStyle name="Normal 30 4 7" xfId="21135" xr:uid="{00000000-0005-0000-0000-000098730000}"/>
    <cellStyle name="Normal 30 5" xfId="7011" xr:uid="{00000000-0005-0000-0000-000099730000}"/>
    <cellStyle name="Normal 30 5 2" xfId="8891" xr:uid="{00000000-0005-0000-0000-00009A730000}"/>
    <cellStyle name="Normal 30 5 2 2" xfId="11270" xr:uid="{00000000-0005-0000-0000-00009B730000}"/>
    <cellStyle name="Normal 30 5 2 2 2" xfId="18675" xr:uid="{00000000-0005-0000-0000-00009C730000}"/>
    <cellStyle name="Normal 30 5 2 2 2 2" xfId="31733" xr:uid="{00000000-0005-0000-0000-00009D730000}"/>
    <cellStyle name="Normal 30 5 2 2 3" xfId="18676" xr:uid="{00000000-0005-0000-0000-00009E730000}"/>
    <cellStyle name="Normal 30 5 2 2 3 2" xfId="31734" xr:uid="{00000000-0005-0000-0000-00009F730000}"/>
    <cellStyle name="Normal 30 5 2 2 4" xfId="24640" xr:uid="{00000000-0005-0000-0000-0000A0730000}"/>
    <cellStyle name="Normal 30 5 2 3" xfId="18677" xr:uid="{00000000-0005-0000-0000-0000A1730000}"/>
    <cellStyle name="Normal 30 5 2 3 2" xfId="31735" xr:uid="{00000000-0005-0000-0000-0000A2730000}"/>
    <cellStyle name="Normal 30 5 2 4" xfId="18678" xr:uid="{00000000-0005-0000-0000-0000A3730000}"/>
    <cellStyle name="Normal 30 5 2 4 2" xfId="31736" xr:uid="{00000000-0005-0000-0000-0000A4730000}"/>
    <cellStyle name="Normal 30 5 2 5" xfId="22484" xr:uid="{00000000-0005-0000-0000-0000A5730000}"/>
    <cellStyle name="Normal 30 5 3" xfId="10192" xr:uid="{00000000-0005-0000-0000-0000A6730000}"/>
    <cellStyle name="Normal 30 5 3 2" xfId="18679" xr:uid="{00000000-0005-0000-0000-0000A7730000}"/>
    <cellStyle name="Normal 30 5 3 2 2" xfId="31737" xr:uid="{00000000-0005-0000-0000-0000A8730000}"/>
    <cellStyle name="Normal 30 5 3 3" xfId="18680" xr:uid="{00000000-0005-0000-0000-0000A9730000}"/>
    <cellStyle name="Normal 30 5 3 3 2" xfId="31738" xr:uid="{00000000-0005-0000-0000-0000AA730000}"/>
    <cellStyle name="Normal 30 5 3 4" xfId="23562" xr:uid="{00000000-0005-0000-0000-0000AB730000}"/>
    <cellStyle name="Normal 30 5 4" xfId="18681" xr:uid="{00000000-0005-0000-0000-0000AC730000}"/>
    <cellStyle name="Normal 30 5 4 2" xfId="31739" xr:uid="{00000000-0005-0000-0000-0000AD730000}"/>
    <cellStyle name="Normal 30 5 5" xfId="18682" xr:uid="{00000000-0005-0000-0000-0000AE730000}"/>
    <cellStyle name="Normal 30 5 5 2" xfId="31740" xr:uid="{00000000-0005-0000-0000-0000AF730000}"/>
    <cellStyle name="Normal 30 5 6" xfId="21406" xr:uid="{00000000-0005-0000-0000-0000B0730000}"/>
    <cellStyle name="Normal 30 6" xfId="8207" xr:uid="{00000000-0005-0000-0000-0000B1730000}"/>
    <cellStyle name="Normal 30 6 2" xfId="10730" xr:uid="{00000000-0005-0000-0000-0000B2730000}"/>
    <cellStyle name="Normal 30 6 2 2" xfId="18683" xr:uid="{00000000-0005-0000-0000-0000B3730000}"/>
    <cellStyle name="Normal 30 6 2 2 2" xfId="31741" xr:uid="{00000000-0005-0000-0000-0000B4730000}"/>
    <cellStyle name="Normal 30 6 2 3" xfId="18684" xr:uid="{00000000-0005-0000-0000-0000B5730000}"/>
    <cellStyle name="Normal 30 6 2 3 2" xfId="31742" xr:uid="{00000000-0005-0000-0000-0000B6730000}"/>
    <cellStyle name="Normal 30 6 2 4" xfId="24100" xr:uid="{00000000-0005-0000-0000-0000B7730000}"/>
    <cellStyle name="Normal 30 6 3" xfId="18685" xr:uid="{00000000-0005-0000-0000-0000B8730000}"/>
    <cellStyle name="Normal 30 6 3 2" xfId="31743" xr:uid="{00000000-0005-0000-0000-0000B9730000}"/>
    <cellStyle name="Normal 30 6 4" xfId="18686" xr:uid="{00000000-0005-0000-0000-0000BA730000}"/>
    <cellStyle name="Normal 30 6 4 2" xfId="31744" xr:uid="{00000000-0005-0000-0000-0000BB730000}"/>
    <cellStyle name="Normal 30 6 5" xfId="21944" xr:uid="{00000000-0005-0000-0000-0000BC730000}"/>
    <cellStyle name="Normal 30 7" xfId="9651" xr:uid="{00000000-0005-0000-0000-0000BD730000}"/>
    <cellStyle name="Normal 30 7 2" xfId="18687" xr:uid="{00000000-0005-0000-0000-0000BE730000}"/>
    <cellStyle name="Normal 30 7 2 2" xfId="31745" xr:uid="{00000000-0005-0000-0000-0000BF730000}"/>
    <cellStyle name="Normal 30 7 3" xfId="18688" xr:uid="{00000000-0005-0000-0000-0000C0730000}"/>
    <cellStyle name="Normal 30 7 3 2" xfId="31746" xr:uid="{00000000-0005-0000-0000-0000C1730000}"/>
    <cellStyle name="Normal 30 7 4" xfId="23022" xr:uid="{00000000-0005-0000-0000-0000C2730000}"/>
    <cellStyle name="Normal 30 8" xfId="18689" xr:uid="{00000000-0005-0000-0000-0000C3730000}"/>
    <cellStyle name="Normal 30 8 2" xfId="31747" xr:uid="{00000000-0005-0000-0000-0000C4730000}"/>
    <cellStyle name="Normal 30 9" xfId="18690" xr:uid="{00000000-0005-0000-0000-0000C5730000}"/>
    <cellStyle name="Normal 30 9 2" xfId="31748" xr:uid="{00000000-0005-0000-0000-0000C6730000}"/>
    <cellStyle name="Normal 31" xfId="3945" xr:uid="{00000000-0005-0000-0000-0000C7730000}"/>
    <cellStyle name="Normal 31 10" xfId="20866" xr:uid="{00000000-0005-0000-0000-0000C8730000}"/>
    <cellStyle name="Normal 31 2" xfId="4104" xr:uid="{00000000-0005-0000-0000-0000C9730000}"/>
    <cellStyle name="Normal 31 2 2" xfId="5640" xr:uid="{00000000-0005-0000-0000-0000CA730000}"/>
    <cellStyle name="Normal 31 2 2 2" xfId="6792" xr:uid="{00000000-0005-0000-0000-0000CB730000}"/>
    <cellStyle name="Normal 31 2 2 2 2" xfId="7479" xr:uid="{00000000-0005-0000-0000-0000CC730000}"/>
    <cellStyle name="Normal 31 2 2 2 2 2" xfId="9358" xr:uid="{00000000-0005-0000-0000-0000CD730000}"/>
    <cellStyle name="Normal 31 2 2 2 2 2 2" xfId="11737" xr:uid="{00000000-0005-0000-0000-0000CE730000}"/>
    <cellStyle name="Normal 31 2 2 2 2 2 2 2" xfId="18691" xr:uid="{00000000-0005-0000-0000-0000CF730000}"/>
    <cellStyle name="Normal 31 2 2 2 2 2 2 2 2" xfId="31749" xr:uid="{00000000-0005-0000-0000-0000D0730000}"/>
    <cellStyle name="Normal 31 2 2 2 2 2 2 3" xfId="18692" xr:uid="{00000000-0005-0000-0000-0000D1730000}"/>
    <cellStyle name="Normal 31 2 2 2 2 2 2 3 2" xfId="31750" xr:uid="{00000000-0005-0000-0000-0000D2730000}"/>
    <cellStyle name="Normal 31 2 2 2 2 2 2 4" xfId="25107" xr:uid="{00000000-0005-0000-0000-0000D3730000}"/>
    <cellStyle name="Normal 31 2 2 2 2 2 3" xfId="18693" xr:uid="{00000000-0005-0000-0000-0000D4730000}"/>
    <cellStyle name="Normal 31 2 2 2 2 2 3 2" xfId="31751" xr:uid="{00000000-0005-0000-0000-0000D5730000}"/>
    <cellStyle name="Normal 31 2 2 2 2 2 4" xfId="18694" xr:uid="{00000000-0005-0000-0000-0000D6730000}"/>
    <cellStyle name="Normal 31 2 2 2 2 2 4 2" xfId="31752" xr:uid="{00000000-0005-0000-0000-0000D7730000}"/>
    <cellStyle name="Normal 31 2 2 2 2 2 5" xfId="22951" xr:uid="{00000000-0005-0000-0000-0000D8730000}"/>
    <cellStyle name="Normal 31 2 2 2 2 3" xfId="10659" xr:uid="{00000000-0005-0000-0000-0000D9730000}"/>
    <cellStyle name="Normal 31 2 2 2 2 3 2" xfId="18695" xr:uid="{00000000-0005-0000-0000-0000DA730000}"/>
    <cellStyle name="Normal 31 2 2 2 2 3 2 2" xfId="31753" xr:uid="{00000000-0005-0000-0000-0000DB730000}"/>
    <cellStyle name="Normal 31 2 2 2 2 3 3" xfId="18696" xr:uid="{00000000-0005-0000-0000-0000DC730000}"/>
    <cellStyle name="Normal 31 2 2 2 2 3 3 2" xfId="31754" xr:uid="{00000000-0005-0000-0000-0000DD730000}"/>
    <cellStyle name="Normal 31 2 2 2 2 3 4" xfId="24029" xr:uid="{00000000-0005-0000-0000-0000DE730000}"/>
    <cellStyle name="Normal 31 2 2 2 2 4" xfId="18697" xr:uid="{00000000-0005-0000-0000-0000DF730000}"/>
    <cellStyle name="Normal 31 2 2 2 2 4 2" xfId="31755" xr:uid="{00000000-0005-0000-0000-0000E0730000}"/>
    <cellStyle name="Normal 31 2 2 2 2 5" xfId="18698" xr:uid="{00000000-0005-0000-0000-0000E1730000}"/>
    <cellStyle name="Normal 31 2 2 2 2 5 2" xfId="31756" xr:uid="{00000000-0005-0000-0000-0000E2730000}"/>
    <cellStyle name="Normal 31 2 2 2 2 6" xfId="21873" xr:uid="{00000000-0005-0000-0000-0000E3730000}"/>
    <cellStyle name="Normal 31 2 2 2 3" xfId="8812" xr:uid="{00000000-0005-0000-0000-0000E4730000}"/>
    <cellStyle name="Normal 31 2 2 2 3 2" xfId="11197" xr:uid="{00000000-0005-0000-0000-0000E5730000}"/>
    <cellStyle name="Normal 31 2 2 2 3 2 2" xfId="18699" xr:uid="{00000000-0005-0000-0000-0000E6730000}"/>
    <cellStyle name="Normal 31 2 2 2 3 2 2 2" xfId="31757" xr:uid="{00000000-0005-0000-0000-0000E7730000}"/>
    <cellStyle name="Normal 31 2 2 2 3 2 3" xfId="18700" xr:uid="{00000000-0005-0000-0000-0000E8730000}"/>
    <cellStyle name="Normal 31 2 2 2 3 2 3 2" xfId="31758" xr:uid="{00000000-0005-0000-0000-0000E9730000}"/>
    <cellStyle name="Normal 31 2 2 2 3 2 4" xfId="24567" xr:uid="{00000000-0005-0000-0000-0000EA730000}"/>
    <cellStyle name="Normal 31 2 2 2 3 3" xfId="18701" xr:uid="{00000000-0005-0000-0000-0000EB730000}"/>
    <cellStyle name="Normal 31 2 2 2 3 3 2" xfId="31759" xr:uid="{00000000-0005-0000-0000-0000EC730000}"/>
    <cellStyle name="Normal 31 2 2 2 3 4" xfId="18702" xr:uid="{00000000-0005-0000-0000-0000ED730000}"/>
    <cellStyle name="Normal 31 2 2 2 3 4 2" xfId="31760" xr:uid="{00000000-0005-0000-0000-0000EE730000}"/>
    <cellStyle name="Normal 31 2 2 2 3 5" xfId="22411" xr:uid="{00000000-0005-0000-0000-0000EF730000}"/>
    <cellStyle name="Normal 31 2 2 2 4" xfId="10119" xr:uid="{00000000-0005-0000-0000-0000F0730000}"/>
    <cellStyle name="Normal 31 2 2 2 4 2" xfId="18703" xr:uid="{00000000-0005-0000-0000-0000F1730000}"/>
    <cellStyle name="Normal 31 2 2 2 4 2 2" xfId="31761" xr:uid="{00000000-0005-0000-0000-0000F2730000}"/>
    <cellStyle name="Normal 31 2 2 2 4 3" xfId="18704" xr:uid="{00000000-0005-0000-0000-0000F3730000}"/>
    <cellStyle name="Normal 31 2 2 2 4 3 2" xfId="31762" xr:uid="{00000000-0005-0000-0000-0000F4730000}"/>
    <cellStyle name="Normal 31 2 2 2 4 4" xfId="23489" xr:uid="{00000000-0005-0000-0000-0000F5730000}"/>
    <cellStyle name="Normal 31 2 2 2 5" xfId="18705" xr:uid="{00000000-0005-0000-0000-0000F6730000}"/>
    <cellStyle name="Normal 31 2 2 2 5 2" xfId="31763" xr:uid="{00000000-0005-0000-0000-0000F7730000}"/>
    <cellStyle name="Normal 31 2 2 2 6" xfId="18706" xr:uid="{00000000-0005-0000-0000-0000F8730000}"/>
    <cellStyle name="Normal 31 2 2 2 6 2" xfId="31764" xr:uid="{00000000-0005-0000-0000-0000F9730000}"/>
    <cellStyle name="Normal 31 2 2 2 7" xfId="21333" xr:uid="{00000000-0005-0000-0000-0000FA730000}"/>
    <cellStyle name="Normal 31 2 2 3" xfId="7210" xr:uid="{00000000-0005-0000-0000-0000FB730000}"/>
    <cellStyle name="Normal 31 2 2 3 2" xfId="9089" xr:uid="{00000000-0005-0000-0000-0000FC730000}"/>
    <cellStyle name="Normal 31 2 2 3 2 2" xfId="11468" xr:uid="{00000000-0005-0000-0000-0000FD730000}"/>
    <cellStyle name="Normal 31 2 2 3 2 2 2" xfId="18707" xr:uid="{00000000-0005-0000-0000-0000FE730000}"/>
    <cellStyle name="Normal 31 2 2 3 2 2 2 2" xfId="31765" xr:uid="{00000000-0005-0000-0000-0000FF730000}"/>
    <cellStyle name="Normal 31 2 2 3 2 2 3" xfId="18708" xr:uid="{00000000-0005-0000-0000-000000740000}"/>
    <cellStyle name="Normal 31 2 2 3 2 2 3 2" xfId="31766" xr:uid="{00000000-0005-0000-0000-000001740000}"/>
    <cellStyle name="Normal 31 2 2 3 2 2 4" xfId="24838" xr:uid="{00000000-0005-0000-0000-000002740000}"/>
    <cellStyle name="Normal 31 2 2 3 2 3" xfId="18709" xr:uid="{00000000-0005-0000-0000-000003740000}"/>
    <cellStyle name="Normal 31 2 2 3 2 3 2" xfId="31767" xr:uid="{00000000-0005-0000-0000-000004740000}"/>
    <cellStyle name="Normal 31 2 2 3 2 4" xfId="18710" xr:uid="{00000000-0005-0000-0000-000005740000}"/>
    <cellStyle name="Normal 31 2 2 3 2 4 2" xfId="31768" xr:uid="{00000000-0005-0000-0000-000006740000}"/>
    <cellStyle name="Normal 31 2 2 3 2 5" xfId="22682" xr:uid="{00000000-0005-0000-0000-000007740000}"/>
    <cellStyle name="Normal 31 2 2 3 3" xfId="10390" xr:uid="{00000000-0005-0000-0000-000008740000}"/>
    <cellStyle name="Normal 31 2 2 3 3 2" xfId="18711" xr:uid="{00000000-0005-0000-0000-000009740000}"/>
    <cellStyle name="Normal 31 2 2 3 3 2 2" xfId="31769" xr:uid="{00000000-0005-0000-0000-00000A740000}"/>
    <cellStyle name="Normal 31 2 2 3 3 3" xfId="18712" xr:uid="{00000000-0005-0000-0000-00000B740000}"/>
    <cellStyle name="Normal 31 2 2 3 3 3 2" xfId="31770" xr:uid="{00000000-0005-0000-0000-00000C740000}"/>
    <cellStyle name="Normal 31 2 2 3 3 4" xfId="23760" xr:uid="{00000000-0005-0000-0000-00000D740000}"/>
    <cellStyle name="Normal 31 2 2 3 4" xfId="18713" xr:uid="{00000000-0005-0000-0000-00000E740000}"/>
    <cellStyle name="Normal 31 2 2 3 4 2" xfId="31771" xr:uid="{00000000-0005-0000-0000-00000F740000}"/>
    <cellStyle name="Normal 31 2 2 3 5" xfId="18714" xr:uid="{00000000-0005-0000-0000-000010740000}"/>
    <cellStyle name="Normal 31 2 2 3 5 2" xfId="31772" xr:uid="{00000000-0005-0000-0000-000011740000}"/>
    <cellStyle name="Normal 31 2 2 3 6" xfId="21604" xr:uid="{00000000-0005-0000-0000-000012740000}"/>
    <cellStyle name="Normal 31 2 2 4" xfId="8487" xr:uid="{00000000-0005-0000-0000-000013740000}"/>
    <cellStyle name="Normal 31 2 2 4 2" xfId="10928" xr:uid="{00000000-0005-0000-0000-000014740000}"/>
    <cellStyle name="Normal 31 2 2 4 2 2" xfId="18715" xr:uid="{00000000-0005-0000-0000-000015740000}"/>
    <cellStyle name="Normal 31 2 2 4 2 2 2" xfId="31773" xr:uid="{00000000-0005-0000-0000-000016740000}"/>
    <cellStyle name="Normal 31 2 2 4 2 3" xfId="18716" xr:uid="{00000000-0005-0000-0000-000017740000}"/>
    <cellStyle name="Normal 31 2 2 4 2 3 2" xfId="31774" xr:uid="{00000000-0005-0000-0000-000018740000}"/>
    <cellStyle name="Normal 31 2 2 4 2 4" xfId="24298" xr:uid="{00000000-0005-0000-0000-000019740000}"/>
    <cellStyle name="Normal 31 2 2 4 3" xfId="18717" xr:uid="{00000000-0005-0000-0000-00001A740000}"/>
    <cellStyle name="Normal 31 2 2 4 3 2" xfId="31775" xr:uid="{00000000-0005-0000-0000-00001B740000}"/>
    <cellStyle name="Normal 31 2 2 4 4" xfId="18718" xr:uid="{00000000-0005-0000-0000-00001C740000}"/>
    <cellStyle name="Normal 31 2 2 4 4 2" xfId="31776" xr:uid="{00000000-0005-0000-0000-00001D740000}"/>
    <cellStyle name="Normal 31 2 2 4 5" xfId="22142" xr:uid="{00000000-0005-0000-0000-00001E740000}"/>
    <cellStyle name="Normal 31 2 2 5" xfId="9850" xr:uid="{00000000-0005-0000-0000-00001F740000}"/>
    <cellStyle name="Normal 31 2 2 5 2" xfId="18719" xr:uid="{00000000-0005-0000-0000-000020740000}"/>
    <cellStyle name="Normal 31 2 2 5 2 2" xfId="31777" xr:uid="{00000000-0005-0000-0000-000021740000}"/>
    <cellStyle name="Normal 31 2 2 5 3" xfId="18720" xr:uid="{00000000-0005-0000-0000-000022740000}"/>
    <cellStyle name="Normal 31 2 2 5 3 2" xfId="31778" xr:uid="{00000000-0005-0000-0000-000023740000}"/>
    <cellStyle name="Normal 31 2 2 5 4" xfId="23220" xr:uid="{00000000-0005-0000-0000-000024740000}"/>
    <cellStyle name="Normal 31 2 2 6" xfId="18721" xr:uid="{00000000-0005-0000-0000-000025740000}"/>
    <cellStyle name="Normal 31 2 2 6 2" xfId="31779" xr:uid="{00000000-0005-0000-0000-000026740000}"/>
    <cellStyle name="Normal 31 2 2 7" xfId="18722" xr:uid="{00000000-0005-0000-0000-000027740000}"/>
    <cellStyle name="Normal 31 2 2 7 2" xfId="31780" xr:uid="{00000000-0005-0000-0000-000028740000}"/>
    <cellStyle name="Normal 31 2 2 8" xfId="21064" xr:uid="{00000000-0005-0000-0000-000029740000}"/>
    <cellStyle name="Normal 31 2 3" xfId="6641" xr:uid="{00000000-0005-0000-0000-00002A740000}"/>
    <cellStyle name="Normal 31 2 3 2" xfId="7337" xr:uid="{00000000-0005-0000-0000-00002B740000}"/>
    <cellStyle name="Normal 31 2 3 2 2" xfId="9216" xr:uid="{00000000-0005-0000-0000-00002C740000}"/>
    <cellStyle name="Normal 31 2 3 2 2 2" xfId="11595" xr:uid="{00000000-0005-0000-0000-00002D740000}"/>
    <cellStyle name="Normal 31 2 3 2 2 2 2" xfId="18723" xr:uid="{00000000-0005-0000-0000-00002E740000}"/>
    <cellStyle name="Normal 31 2 3 2 2 2 2 2" xfId="31781" xr:uid="{00000000-0005-0000-0000-00002F740000}"/>
    <cellStyle name="Normal 31 2 3 2 2 2 3" xfId="18724" xr:uid="{00000000-0005-0000-0000-000030740000}"/>
    <cellStyle name="Normal 31 2 3 2 2 2 3 2" xfId="31782" xr:uid="{00000000-0005-0000-0000-000031740000}"/>
    <cellStyle name="Normal 31 2 3 2 2 2 4" xfId="24965" xr:uid="{00000000-0005-0000-0000-000032740000}"/>
    <cellStyle name="Normal 31 2 3 2 2 3" xfId="18725" xr:uid="{00000000-0005-0000-0000-000033740000}"/>
    <cellStyle name="Normal 31 2 3 2 2 3 2" xfId="31783" xr:uid="{00000000-0005-0000-0000-000034740000}"/>
    <cellStyle name="Normal 31 2 3 2 2 4" xfId="18726" xr:uid="{00000000-0005-0000-0000-000035740000}"/>
    <cellStyle name="Normal 31 2 3 2 2 4 2" xfId="31784" xr:uid="{00000000-0005-0000-0000-000036740000}"/>
    <cellStyle name="Normal 31 2 3 2 2 5" xfId="22809" xr:uid="{00000000-0005-0000-0000-000037740000}"/>
    <cellStyle name="Normal 31 2 3 2 3" xfId="10517" xr:uid="{00000000-0005-0000-0000-000038740000}"/>
    <cellStyle name="Normal 31 2 3 2 3 2" xfId="18727" xr:uid="{00000000-0005-0000-0000-000039740000}"/>
    <cellStyle name="Normal 31 2 3 2 3 2 2" xfId="31785" xr:uid="{00000000-0005-0000-0000-00003A740000}"/>
    <cellStyle name="Normal 31 2 3 2 3 3" xfId="18728" xr:uid="{00000000-0005-0000-0000-00003B740000}"/>
    <cellStyle name="Normal 31 2 3 2 3 3 2" xfId="31786" xr:uid="{00000000-0005-0000-0000-00003C740000}"/>
    <cellStyle name="Normal 31 2 3 2 3 4" xfId="23887" xr:uid="{00000000-0005-0000-0000-00003D740000}"/>
    <cellStyle name="Normal 31 2 3 2 4" xfId="18729" xr:uid="{00000000-0005-0000-0000-00003E740000}"/>
    <cellStyle name="Normal 31 2 3 2 4 2" xfId="31787" xr:uid="{00000000-0005-0000-0000-00003F740000}"/>
    <cellStyle name="Normal 31 2 3 2 5" xfId="18730" xr:uid="{00000000-0005-0000-0000-000040740000}"/>
    <cellStyle name="Normal 31 2 3 2 5 2" xfId="31788" xr:uid="{00000000-0005-0000-0000-000041740000}"/>
    <cellStyle name="Normal 31 2 3 2 6" xfId="21731" xr:uid="{00000000-0005-0000-0000-000042740000}"/>
    <cellStyle name="Normal 31 2 3 3" xfId="8669" xr:uid="{00000000-0005-0000-0000-000043740000}"/>
    <cellStyle name="Normal 31 2 3 3 2" xfId="11055" xr:uid="{00000000-0005-0000-0000-000044740000}"/>
    <cellStyle name="Normal 31 2 3 3 2 2" xfId="18731" xr:uid="{00000000-0005-0000-0000-000045740000}"/>
    <cellStyle name="Normal 31 2 3 3 2 2 2" xfId="31789" xr:uid="{00000000-0005-0000-0000-000046740000}"/>
    <cellStyle name="Normal 31 2 3 3 2 3" xfId="18732" xr:uid="{00000000-0005-0000-0000-000047740000}"/>
    <cellStyle name="Normal 31 2 3 3 2 3 2" xfId="31790" xr:uid="{00000000-0005-0000-0000-000048740000}"/>
    <cellStyle name="Normal 31 2 3 3 2 4" xfId="24425" xr:uid="{00000000-0005-0000-0000-000049740000}"/>
    <cellStyle name="Normal 31 2 3 3 3" xfId="18733" xr:uid="{00000000-0005-0000-0000-00004A740000}"/>
    <cellStyle name="Normal 31 2 3 3 3 2" xfId="31791" xr:uid="{00000000-0005-0000-0000-00004B740000}"/>
    <cellStyle name="Normal 31 2 3 3 4" xfId="18734" xr:uid="{00000000-0005-0000-0000-00004C740000}"/>
    <cellStyle name="Normal 31 2 3 3 4 2" xfId="31792" xr:uid="{00000000-0005-0000-0000-00004D740000}"/>
    <cellStyle name="Normal 31 2 3 3 5" xfId="22269" xr:uid="{00000000-0005-0000-0000-00004E740000}"/>
    <cellStyle name="Normal 31 2 3 4" xfId="9977" xr:uid="{00000000-0005-0000-0000-00004F740000}"/>
    <cellStyle name="Normal 31 2 3 4 2" xfId="18735" xr:uid="{00000000-0005-0000-0000-000050740000}"/>
    <cellStyle name="Normal 31 2 3 4 2 2" xfId="31793" xr:uid="{00000000-0005-0000-0000-000051740000}"/>
    <cellStyle name="Normal 31 2 3 4 3" xfId="18736" xr:uid="{00000000-0005-0000-0000-000052740000}"/>
    <cellStyle name="Normal 31 2 3 4 3 2" xfId="31794" xr:uid="{00000000-0005-0000-0000-000053740000}"/>
    <cellStyle name="Normal 31 2 3 4 4" xfId="23347" xr:uid="{00000000-0005-0000-0000-000054740000}"/>
    <cellStyle name="Normal 31 2 3 5" xfId="18737" xr:uid="{00000000-0005-0000-0000-000055740000}"/>
    <cellStyle name="Normal 31 2 3 5 2" xfId="31795" xr:uid="{00000000-0005-0000-0000-000056740000}"/>
    <cellStyle name="Normal 31 2 3 6" xfId="18738" xr:uid="{00000000-0005-0000-0000-000057740000}"/>
    <cellStyle name="Normal 31 2 3 6 2" xfId="31796" xr:uid="{00000000-0005-0000-0000-000058740000}"/>
    <cellStyle name="Normal 31 2 3 7" xfId="21191" xr:uid="{00000000-0005-0000-0000-000059740000}"/>
    <cellStyle name="Normal 31 2 4" xfId="7067" xr:uid="{00000000-0005-0000-0000-00005A740000}"/>
    <cellStyle name="Normal 31 2 4 2" xfId="8947" xr:uid="{00000000-0005-0000-0000-00005B740000}"/>
    <cellStyle name="Normal 31 2 4 2 2" xfId="11326" xr:uid="{00000000-0005-0000-0000-00005C740000}"/>
    <cellStyle name="Normal 31 2 4 2 2 2" xfId="18739" xr:uid="{00000000-0005-0000-0000-00005D740000}"/>
    <cellStyle name="Normal 31 2 4 2 2 2 2" xfId="31797" xr:uid="{00000000-0005-0000-0000-00005E740000}"/>
    <cellStyle name="Normal 31 2 4 2 2 3" xfId="18740" xr:uid="{00000000-0005-0000-0000-00005F740000}"/>
    <cellStyle name="Normal 31 2 4 2 2 3 2" xfId="31798" xr:uid="{00000000-0005-0000-0000-000060740000}"/>
    <cellStyle name="Normal 31 2 4 2 2 4" xfId="24696" xr:uid="{00000000-0005-0000-0000-000061740000}"/>
    <cellStyle name="Normal 31 2 4 2 3" xfId="18741" xr:uid="{00000000-0005-0000-0000-000062740000}"/>
    <cellStyle name="Normal 31 2 4 2 3 2" xfId="31799" xr:uid="{00000000-0005-0000-0000-000063740000}"/>
    <cellStyle name="Normal 31 2 4 2 4" xfId="18742" xr:uid="{00000000-0005-0000-0000-000064740000}"/>
    <cellStyle name="Normal 31 2 4 2 4 2" xfId="31800" xr:uid="{00000000-0005-0000-0000-000065740000}"/>
    <cellStyle name="Normal 31 2 4 2 5" xfId="22540" xr:uid="{00000000-0005-0000-0000-000066740000}"/>
    <cellStyle name="Normal 31 2 4 3" xfId="10248" xr:uid="{00000000-0005-0000-0000-000067740000}"/>
    <cellStyle name="Normal 31 2 4 3 2" xfId="18743" xr:uid="{00000000-0005-0000-0000-000068740000}"/>
    <cellStyle name="Normal 31 2 4 3 2 2" xfId="31801" xr:uid="{00000000-0005-0000-0000-000069740000}"/>
    <cellStyle name="Normal 31 2 4 3 3" xfId="18744" xr:uid="{00000000-0005-0000-0000-00006A740000}"/>
    <cellStyle name="Normal 31 2 4 3 3 2" xfId="31802" xr:uid="{00000000-0005-0000-0000-00006B740000}"/>
    <cellStyle name="Normal 31 2 4 3 4" xfId="23618" xr:uid="{00000000-0005-0000-0000-00006C740000}"/>
    <cellStyle name="Normal 31 2 4 4" xfId="18745" xr:uid="{00000000-0005-0000-0000-00006D740000}"/>
    <cellStyle name="Normal 31 2 4 4 2" xfId="31803" xr:uid="{00000000-0005-0000-0000-00006E740000}"/>
    <cellStyle name="Normal 31 2 4 5" xfId="18746" xr:uid="{00000000-0005-0000-0000-00006F740000}"/>
    <cellStyle name="Normal 31 2 4 5 2" xfId="31804" xr:uid="{00000000-0005-0000-0000-000070740000}"/>
    <cellStyle name="Normal 31 2 4 6" xfId="21462" xr:uid="{00000000-0005-0000-0000-000071740000}"/>
    <cellStyle name="Normal 31 2 5" xfId="8271" xr:uid="{00000000-0005-0000-0000-000072740000}"/>
    <cellStyle name="Normal 31 2 5 2" xfId="10786" xr:uid="{00000000-0005-0000-0000-000073740000}"/>
    <cellStyle name="Normal 31 2 5 2 2" xfId="18747" xr:uid="{00000000-0005-0000-0000-000074740000}"/>
    <cellStyle name="Normal 31 2 5 2 2 2" xfId="31805" xr:uid="{00000000-0005-0000-0000-000075740000}"/>
    <cellStyle name="Normal 31 2 5 2 3" xfId="18748" xr:uid="{00000000-0005-0000-0000-000076740000}"/>
    <cellStyle name="Normal 31 2 5 2 3 2" xfId="31806" xr:uid="{00000000-0005-0000-0000-000077740000}"/>
    <cellStyle name="Normal 31 2 5 2 4" xfId="24156" xr:uid="{00000000-0005-0000-0000-000078740000}"/>
    <cellStyle name="Normal 31 2 5 3" xfId="18749" xr:uid="{00000000-0005-0000-0000-000079740000}"/>
    <cellStyle name="Normal 31 2 5 3 2" xfId="31807" xr:uid="{00000000-0005-0000-0000-00007A740000}"/>
    <cellStyle name="Normal 31 2 5 4" xfId="18750" xr:uid="{00000000-0005-0000-0000-00007B740000}"/>
    <cellStyle name="Normal 31 2 5 4 2" xfId="31808" xr:uid="{00000000-0005-0000-0000-00007C740000}"/>
    <cellStyle name="Normal 31 2 5 5" xfId="22000" xr:uid="{00000000-0005-0000-0000-00007D740000}"/>
    <cellStyle name="Normal 31 2 6" xfId="9707" xr:uid="{00000000-0005-0000-0000-00007E740000}"/>
    <cellStyle name="Normal 31 2 6 2" xfId="18751" xr:uid="{00000000-0005-0000-0000-00007F740000}"/>
    <cellStyle name="Normal 31 2 6 2 2" xfId="31809" xr:uid="{00000000-0005-0000-0000-000080740000}"/>
    <cellStyle name="Normal 31 2 6 3" xfId="18752" xr:uid="{00000000-0005-0000-0000-000081740000}"/>
    <cellStyle name="Normal 31 2 6 3 2" xfId="31810" xr:uid="{00000000-0005-0000-0000-000082740000}"/>
    <cellStyle name="Normal 31 2 6 4" xfId="23078" xr:uid="{00000000-0005-0000-0000-000083740000}"/>
    <cellStyle name="Normal 31 2 7" xfId="18753" xr:uid="{00000000-0005-0000-0000-000084740000}"/>
    <cellStyle name="Normal 31 2 7 2" xfId="31811" xr:uid="{00000000-0005-0000-0000-000085740000}"/>
    <cellStyle name="Normal 31 2 8" xfId="18754" xr:uid="{00000000-0005-0000-0000-000086740000}"/>
    <cellStyle name="Normal 31 2 8 2" xfId="31812" xr:uid="{00000000-0005-0000-0000-000087740000}"/>
    <cellStyle name="Normal 31 2 9" xfId="20921" xr:uid="{00000000-0005-0000-0000-000088740000}"/>
    <cellStyle name="Normal 31 3" xfId="5552" xr:uid="{00000000-0005-0000-0000-000089740000}"/>
    <cellStyle name="Normal 31 3 2" xfId="6736" xr:uid="{00000000-0005-0000-0000-00008A740000}"/>
    <cellStyle name="Normal 31 3 2 2" xfId="7423" xr:uid="{00000000-0005-0000-0000-00008B740000}"/>
    <cellStyle name="Normal 31 3 2 2 2" xfId="9302" xr:uid="{00000000-0005-0000-0000-00008C740000}"/>
    <cellStyle name="Normal 31 3 2 2 2 2" xfId="11681" xr:uid="{00000000-0005-0000-0000-00008D740000}"/>
    <cellStyle name="Normal 31 3 2 2 2 2 2" xfId="18755" xr:uid="{00000000-0005-0000-0000-00008E740000}"/>
    <cellStyle name="Normal 31 3 2 2 2 2 2 2" xfId="31813" xr:uid="{00000000-0005-0000-0000-00008F740000}"/>
    <cellStyle name="Normal 31 3 2 2 2 2 3" xfId="18756" xr:uid="{00000000-0005-0000-0000-000090740000}"/>
    <cellStyle name="Normal 31 3 2 2 2 2 3 2" xfId="31814" xr:uid="{00000000-0005-0000-0000-000091740000}"/>
    <cellStyle name="Normal 31 3 2 2 2 2 4" xfId="25051" xr:uid="{00000000-0005-0000-0000-000092740000}"/>
    <cellStyle name="Normal 31 3 2 2 2 3" xfId="18757" xr:uid="{00000000-0005-0000-0000-000093740000}"/>
    <cellStyle name="Normal 31 3 2 2 2 3 2" xfId="31815" xr:uid="{00000000-0005-0000-0000-000094740000}"/>
    <cellStyle name="Normal 31 3 2 2 2 4" xfId="18758" xr:uid="{00000000-0005-0000-0000-000095740000}"/>
    <cellStyle name="Normal 31 3 2 2 2 4 2" xfId="31816" xr:uid="{00000000-0005-0000-0000-000096740000}"/>
    <cellStyle name="Normal 31 3 2 2 2 5" xfId="22895" xr:uid="{00000000-0005-0000-0000-000097740000}"/>
    <cellStyle name="Normal 31 3 2 2 3" xfId="10603" xr:uid="{00000000-0005-0000-0000-000098740000}"/>
    <cellStyle name="Normal 31 3 2 2 3 2" xfId="18759" xr:uid="{00000000-0005-0000-0000-000099740000}"/>
    <cellStyle name="Normal 31 3 2 2 3 2 2" xfId="31817" xr:uid="{00000000-0005-0000-0000-00009A740000}"/>
    <cellStyle name="Normal 31 3 2 2 3 3" xfId="18760" xr:uid="{00000000-0005-0000-0000-00009B740000}"/>
    <cellStyle name="Normal 31 3 2 2 3 3 2" xfId="31818" xr:uid="{00000000-0005-0000-0000-00009C740000}"/>
    <cellStyle name="Normal 31 3 2 2 3 4" xfId="23973" xr:uid="{00000000-0005-0000-0000-00009D740000}"/>
    <cellStyle name="Normal 31 3 2 2 4" xfId="18761" xr:uid="{00000000-0005-0000-0000-00009E740000}"/>
    <cellStyle name="Normal 31 3 2 2 4 2" xfId="31819" xr:uid="{00000000-0005-0000-0000-00009F740000}"/>
    <cellStyle name="Normal 31 3 2 2 5" xfId="18762" xr:uid="{00000000-0005-0000-0000-0000A0740000}"/>
    <cellStyle name="Normal 31 3 2 2 5 2" xfId="31820" xr:uid="{00000000-0005-0000-0000-0000A1740000}"/>
    <cellStyle name="Normal 31 3 2 2 6" xfId="21817" xr:uid="{00000000-0005-0000-0000-0000A2740000}"/>
    <cellStyle name="Normal 31 3 2 3" xfId="8756" xr:uid="{00000000-0005-0000-0000-0000A3740000}"/>
    <cellStyle name="Normal 31 3 2 3 2" xfId="11141" xr:uid="{00000000-0005-0000-0000-0000A4740000}"/>
    <cellStyle name="Normal 31 3 2 3 2 2" xfId="18763" xr:uid="{00000000-0005-0000-0000-0000A5740000}"/>
    <cellStyle name="Normal 31 3 2 3 2 2 2" xfId="31821" xr:uid="{00000000-0005-0000-0000-0000A6740000}"/>
    <cellStyle name="Normal 31 3 2 3 2 3" xfId="18764" xr:uid="{00000000-0005-0000-0000-0000A7740000}"/>
    <cellStyle name="Normal 31 3 2 3 2 3 2" xfId="31822" xr:uid="{00000000-0005-0000-0000-0000A8740000}"/>
    <cellStyle name="Normal 31 3 2 3 2 4" xfId="24511" xr:uid="{00000000-0005-0000-0000-0000A9740000}"/>
    <cellStyle name="Normal 31 3 2 3 3" xfId="18765" xr:uid="{00000000-0005-0000-0000-0000AA740000}"/>
    <cellStyle name="Normal 31 3 2 3 3 2" xfId="31823" xr:uid="{00000000-0005-0000-0000-0000AB740000}"/>
    <cellStyle name="Normal 31 3 2 3 4" xfId="18766" xr:uid="{00000000-0005-0000-0000-0000AC740000}"/>
    <cellStyle name="Normal 31 3 2 3 4 2" xfId="31824" xr:uid="{00000000-0005-0000-0000-0000AD740000}"/>
    <cellStyle name="Normal 31 3 2 3 5" xfId="22355" xr:uid="{00000000-0005-0000-0000-0000AE740000}"/>
    <cellStyle name="Normal 31 3 2 4" xfId="10063" xr:uid="{00000000-0005-0000-0000-0000AF740000}"/>
    <cellStyle name="Normal 31 3 2 4 2" xfId="18767" xr:uid="{00000000-0005-0000-0000-0000B0740000}"/>
    <cellStyle name="Normal 31 3 2 4 2 2" xfId="31825" xr:uid="{00000000-0005-0000-0000-0000B1740000}"/>
    <cellStyle name="Normal 31 3 2 4 3" xfId="18768" xr:uid="{00000000-0005-0000-0000-0000B2740000}"/>
    <cellStyle name="Normal 31 3 2 4 3 2" xfId="31826" xr:uid="{00000000-0005-0000-0000-0000B3740000}"/>
    <cellStyle name="Normal 31 3 2 4 4" xfId="23433" xr:uid="{00000000-0005-0000-0000-0000B4740000}"/>
    <cellStyle name="Normal 31 3 2 5" xfId="18769" xr:uid="{00000000-0005-0000-0000-0000B5740000}"/>
    <cellStyle name="Normal 31 3 2 5 2" xfId="31827" xr:uid="{00000000-0005-0000-0000-0000B6740000}"/>
    <cellStyle name="Normal 31 3 2 6" xfId="18770" xr:uid="{00000000-0005-0000-0000-0000B7740000}"/>
    <cellStyle name="Normal 31 3 2 6 2" xfId="31828" xr:uid="{00000000-0005-0000-0000-0000B8740000}"/>
    <cellStyle name="Normal 31 3 2 7" xfId="21277" xr:uid="{00000000-0005-0000-0000-0000B9740000}"/>
    <cellStyle name="Normal 31 3 3" xfId="7154" xr:uid="{00000000-0005-0000-0000-0000BA740000}"/>
    <cellStyle name="Normal 31 3 3 2" xfId="9033" xr:uid="{00000000-0005-0000-0000-0000BB740000}"/>
    <cellStyle name="Normal 31 3 3 2 2" xfId="11412" xr:uid="{00000000-0005-0000-0000-0000BC740000}"/>
    <cellStyle name="Normal 31 3 3 2 2 2" xfId="18771" xr:uid="{00000000-0005-0000-0000-0000BD740000}"/>
    <cellStyle name="Normal 31 3 3 2 2 2 2" xfId="31829" xr:uid="{00000000-0005-0000-0000-0000BE740000}"/>
    <cellStyle name="Normal 31 3 3 2 2 3" xfId="18772" xr:uid="{00000000-0005-0000-0000-0000BF740000}"/>
    <cellStyle name="Normal 31 3 3 2 2 3 2" xfId="31830" xr:uid="{00000000-0005-0000-0000-0000C0740000}"/>
    <cellStyle name="Normal 31 3 3 2 2 4" xfId="24782" xr:uid="{00000000-0005-0000-0000-0000C1740000}"/>
    <cellStyle name="Normal 31 3 3 2 3" xfId="18773" xr:uid="{00000000-0005-0000-0000-0000C2740000}"/>
    <cellStyle name="Normal 31 3 3 2 3 2" xfId="31831" xr:uid="{00000000-0005-0000-0000-0000C3740000}"/>
    <cellStyle name="Normal 31 3 3 2 4" xfId="18774" xr:uid="{00000000-0005-0000-0000-0000C4740000}"/>
    <cellStyle name="Normal 31 3 3 2 4 2" xfId="31832" xr:uid="{00000000-0005-0000-0000-0000C5740000}"/>
    <cellStyle name="Normal 31 3 3 2 5" xfId="22626" xr:uid="{00000000-0005-0000-0000-0000C6740000}"/>
    <cellStyle name="Normal 31 3 3 3" xfId="10334" xr:uid="{00000000-0005-0000-0000-0000C7740000}"/>
    <cellStyle name="Normal 31 3 3 3 2" xfId="18775" xr:uid="{00000000-0005-0000-0000-0000C8740000}"/>
    <cellStyle name="Normal 31 3 3 3 2 2" xfId="31833" xr:uid="{00000000-0005-0000-0000-0000C9740000}"/>
    <cellStyle name="Normal 31 3 3 3 3" xfId="18776" xr:uid="{00000000-0005-0000-0000-0000CA740000}"/>
    <cellStyle name="Normal 31 3 3 3 3 2" xfId="31834" xr:uid="{00000000-0005-0000-0000-0000CB740000}"/>
    <cellStyle name="Normal 31 3 3 3 4" xfId="23704" xr:uid="{00000000-0005-0000-0000-0000CC740000}"/>
    <cellStyle name="Normal 31 3 3 4" xfId="18777" xr:uid="{00000000-0005-0000-0000-0000CD740000}"/>
    <cellStyle name="Normal 31 3 3 4 2" xfId="31835" xr:uid="{00000000-0005-0000-0000-0000CE740000}"/>
    <cellStyle name="Normal 31 3 3 5" xfId="18778" xr:uid="{00000000-0005-0000-0000-0000CF740000}"/>
    <cellStyle name="Normal 31 3 3 5 2" xfId="31836" xr:uid="{00000000-0005-0000-0000-0000D0740000}"/>
    <cellStyle name="Normal 31 3 3 6" xfId="21548" xr:uid="{00000000-0005-0000-0000-0000D1740000}"/>
    <cellStyle name="Normal 31 3 4" xfId="8429" xr:uid="{00000000-0005-0000-0000-0000D2740000}"/>
    <cellStyle name="Normal 31 3 4 2" xfId="10872" xr:uid="{00000000-0005-0000-0000-0000D3740000}"/>
    <cellStyle name="Normal 31 3 4 2 2" xfId="18779" xr:uid="{00000000-0005-0000-0000-0000D4740000}"/>
    <cellStyle name="Normal 31 3 4 2 2 2" xfId="31837" xr:uid="{00000000-0005-0000-0000-0000D5740000}"/>
    <cellStyle name="Normal 31 3 4 2 3" xfId="18780" xr:uid="{00000000-0005-0000-0000-0000D6740000}"/>
    <cellStyle name="Normal 31 3 4 2 3 2" xfId="31838" xr:uid="{00000000-0005-0000-0000-0000D7740000}"/>
    <cellStyle name="Normal 31 3 4 2 4" xfId="24242" xr:uid="{00000000-0005-0000-0000-0000D8740000}"/>
    <cellStyle name="Normal 31 3 4 3" xfId="18781" xr:uid="{00000000-0005-0000-0000-0000D9740000}"/>
    <cellStyle name="Normal 31 3 4 3 2" xfId="31839" xr:uid="{00000000-0005-0000-0000-0000DA740000}"/>
    <cellStyle name="Normal 31 3 4 4" xfId="18782" xr:uid="{00000000-0005-0000-0000-0000DB740000}"/>
    <cellStyle name="Normal 31 3 4 4 2" xfId="31840" xr:uid="{00000000-0005-0000-0000-0000DC740000}"/>
    <cellStyle name="Normal 31 3 4 5" xfId="22086" xr:uid="{00000000-0005-0000-0000-0000DD740000}"/>
    <cellStyle name="Normal 31 3 5" xfId="9794" xr:uid="{00000000-0005-0000-0000-0000DE740000}"/>
    <cellStyle name="Normal 31 3 5 2" xfId="18783" xr:uid="{00000000-0005-0000-0000-0000DF740000}"/>
    <cellStyle name="Normal 31 3 5 2 2" xfId="31841" xr:uid="{00000000-0005-0000-0000-0000E0740000}"/>
    <cellStyle name="Normal 31 3 5 3" xfId="18784" xr:uid="{00000000-0005-0000-0000-0000E1740000}"/>
    <cellStyle name="Normal 31 3 5 3 2" xfId="31842" xr:uid="{00000000-0005-0000-0000-0000E2740000}"/>
    <cellStyle name="Normal 31 3 5 4" xfId="23164" xr:uid="{00000000-0005-0000-0000-0000E3740000}"/>
    <cellStyle name="Normal 31 3 6" xfId="18785" xr:uid="{00000000-0005-0000-0000-0000E4740000}"/>
    <cellStyle name="Normal 31 3 6 2" xfId="31843" xr:uid="{00000000-0005-0000-0000-0000E5740000}"/>
    <cellStyle name="Normal 31 3 7" xfId="18786" xr:uid="{00000000-0005-0000-0000-0000E6740000}"/>
    <cellStyle name="Normal 31 3 7 2" xfId="31844" xr:uid="{00000000-0005-0000-0000-0000E7740000}"/>
    <cellStyle name="Normal 31 3 8" xfId="21008" xr:uid="{00000000-0005-0000-0000-0000E8740000}"/>
    <cellStyle name="Normal 31 4" xfId="6586" xr:uid="{00000000-0005-0000-0000-0000E9740000}"/>
    <cellStyle name="Normal 31 4 2" xfId="7282" xr:uid="{00000000-0005-0000-0000-0000EA740000}"/>
    <cellStyle name="Normal 31 4 2 2" xfId="9161" xr:uid="{00000000-0005-0000-0000-0000EB740000}"/>
    <cellStyle name="Normal 31 4 2 2 2" xfId="11540" xr:uid="{00000000-0005-0000-0000-0000EC740000}"/>
    <cellStyle name="Normal 31 4 2 2 2 2" xfId="18787" xr:uid="{00000000-0005-0000-0000-0000ED740000}"/>
    <cellStyle name="Normal 31 4 2 2 2 2 2" xfId="31845" xr:uid="{00000000-0005-0000-0000-0000EE740000}"/>
    <cellStyle name="Normal 31 4 2 2 2 3" xfId="18788" xr:uid="{00000000-0005-0000-0000-0000EF740000}"/>
    <cellStyle name="Normal 31 4 2 2 2 3 2" xfId="31846" xr:uid="{00000000-0005-0000-0000-0000F0740000}"/>
    <cellStyle name="Normal 31 4 2 2 2 4" xfId="24910" xr:uid="{00000000-0005-0000-0000-0000F1740000}"/>
    <cellStyle name="Normal 31 4 2 2 3" xfId="18789" xr:uid="{00000000-0005-0000-0000-0000F2740000}"/>
    <cellStyle name="Normal 31 4 2 2 3 2" xfId="31847" xr:uid="{00000000-0005-0000-0000-0000F3740000}"/>
    <cellStyle name="Normal 31 4 2 2 4" xfId="18790" xr:uid="{00000000-0005-0000-0000-0000F4740000}"/>
    <cellStyle name="Normal 31 4 2 2 4 2" xfId="31848" xr:uid="{00000000-0005-0000-0000-0000F5740000}"/>
    <cellStyle name="Normal 31 4 2 2 5" xfId="22754" xr:uid="{00000000-0005-0000-0000-0000F6740000}"/>
    <cellStyle name="Normal 31 4 2 3" xfId="10462" xr:uid="{00000000-0005-0000-0000-0000F7740000}"/>
    <cellStyle name="Normal 31 4 2 3 2" xfId="18791" xr:uid="{00000000-0005-0000-0000-0000F8740000}"/>
    <cellStyle name="Normal 31 4 2 3 2 2" xfId="31849" xr:uid="{00000000-0005-0000-0000-0000F9740000}"/>
    <cellStyle name="Normal 31 4 2 3 3" xfId="18792" xr:uid="{00000000-0005-0000-0000-0000FA740000}"/>
    <cellStyle name="Normal 31 4 2 3 3 2" xfId="31850" xr:uid="{00000000-0005-0000-0000-0000FB740000}"/>
    <cellStyle name="Normal 31 4 2 3 4" xfId="23832" xr:uid="{00000000-0005-0000-0000-0000FC740000}"/>
    <cellStyle name="Normal 31 4 2 4" xfId="18793" xr:uid="{00000000-0005-0000-0000-0000FD740000}"/>
    <cellStyle name="Normal 31 4 2 4 2" xfId="31851" xr:uid="{00000000-0005-0000-0000-0000FE740000}"/>
    <cellStyle name="Normal 31 4 2 5" xfId="18794" xr:uid="{00000000-0005-0000-0000-0000FF740000}"/>
    <cellStyle name="Normal 31 4 2 5 2" xfId="31852" xr:uid="{00000000-0005-0000-0000-000000750000}"/>
    <cellStyle name="Normal 31 4 2 6" xfId="21676" xr:uid="{00000000-0005-0000-0000-000001750000}"/>
    <cellStyle name="Normal 31 4 3" xfId="8614" xr:uid="{00000000-0005-0000-0000-000002750000}"/>
    <cellStyle name="Normal 31 4 3 2" xfId="11000" xr:uid="{00000000-0005-0000-0000-000003750000}"/>
    <cellStyle name="Normal 31 4 3 2 2" xfId="18795" xr:uid="{00000000-0005-0000-0000-000004750000}"/>
    <cellStyle name="Normal 31 4 3 2 2 2" xfId="31853" xr:uid="{00000000-0005-0000-0000-000005750000}"/>
    <cellStyle name="Normal 31 4 3 2 3" xfId="18796" xr:uid="{00000000-0005-0000-0000-000006750000}"/>
    <cellStyle name="Normal 31 4 3 2 3 2" xfId="31854" xr:uid="{00000000-0005-0000-0000-000007750000}"/>
    <cellStyle name="Normal 31 4 3 2 4" xfId="24370" xr:uid="{00000000-0005-0000-0000-000008750000}"/>
    <cellStyle name="Normal 31 4 3 3" xfId="18797" xr:uid="{00000000-0005-0000-0000-000009750000}"/>
    <cellStyle name="Normal 31 4 3 3 2" xfId="31855" xr:uid="{00000000-0005-0000-0000-00000A750000}"/>
    <cellStyle name="Normal 31 4 3 4" xfId="18798" xr:uid="{00000000-0005-0000-0000-00000B750000}"/>
    <cellStyle name="Normal 31 4 3 4 2" xfId="31856" xr:uid="{00000000-0005-0000-0000-00000C750000}"/>
    <cellStyle name="Normal 31 4 3 5" xfId="22214" xr:uid="{00000000-0005-0000-0000-00000D750000}"/>
    <cellStyle name="Normal 31 4 4" xfId="9922" xr:uid="{00000000-0005-0000-0000-00000E750000}"/>
    <cellStyle name="Normal 31 4 4 2" xfId="18799" xr:uid="{00000000-0005-0000-0000-00000F750000}"/>
    <cellStyle name="Normal 31 4 4 2 2" xfId="31857" xr:uid="{00000000-0005-0000-0000-000010750000}"/>
    <cellStyle name="Normal 31 4 4 3" xfId="18800" xr:uid="{00000000-0005-0000-0000-000011750000}"/>
    <cellStyle name="Normal 31 4 4 3 2" xfId="31858" xr:uid="{00000000-0005-0000-0000-000012750000}"/>
    <cellStyle name="Normal 31 4 4 4" xfId="23292" xr:uid="{00000000-0005-0000-0000-000013750000}"/>
    <cellStyle name="Normal 31 4 5" xfId="18801" xr:uid="{00000000-0005-0000-0000-000014750000}"/>
    <cellStyle name="Normal 31 4 5 2" xfId="31859" xr:uid="{00000000-0005-0000-0000-000015750000}"/>
    <cellStyle name="Normal 31 4 6" xfId="18802" xr:uid="{00000000-0005-0000-0000-000016750000}"/>
    <cellStyle name="Normal 31 4 6 2" xfId="31860" xr:uid="{00000000-0005-0000-0000-000017750000}"/>
    <cellStyle name="Normal 31 4 7" xfId="21136" xr:uid="{00000000-0005-0000-0000-000018750000}"/>
    <cellStyle name="Normal 31 5" xfId="7012" xr:uid="{00000000-0005-0000-0000-000019750000}"/>
    <cellStyle name="Normal 31 5 2" xfId="8892" xr:uid="{00000000-0005-0000-0000-00001A750000}"/>
    <cellStyle name="Normal 31 5 2 2" xfId="11271" xr:uid="{00000000-0005-0000-0000-00001B750000}"/>
    <cellStyle name="Normal 31 5 2 2 2" xfId="18803" xr:uid="{00000000-0005-0000-0000-00001C750000}"/>
    <cellStyle name="Normal 31 5 2 2 2 2" xfId="31861" xr:uid="{00000000-0005-0000-0000-00001D750000}"/>
    <cellStyle name="Normal 31 5 2 2 3" xfId="18804" xr:uid="{00000000-0005-0000-0000-00001E750000}"/>
    <cellStyle name="Normal 31 5 2 2 3 2" xfId="31862" xr:uid="{00000000-0005-0000-0000-00001F750000}"/>
    <cellStyle name="Normal 31 5 2 2 4" xfId="24641" xr:uid="{00000000-0005-0000-0000-000020750000}"/>
    <cellStyle name="Normal 31 5 2 3" xfId="18805" xr:uid="{00000000-0005-0000-0000-000021750000}"/>
    <cellStyle name="Normal 31 5 2 3 2" xfId="31863" xr:uid="{00000000-0005-0000-0000-000022750000}"/>
    <cellStyle name="Normal 31 5 2 4" xfId="18806" xr:uid="{00000000-0005-0000-0000-000023750000}"/>
    <cellStyle name="Normal 31 5 2 4 2" xfId="31864" xr:uid="{00000000-0005-0000-0000-000024750000}"/>
    <cellStyle name="Normal 31 5 2 5" xfId="22485" xr:uid="{00000000-0005-0000-0000-000025750000}"/>
    <cellStyle name="Normal 31 5 3" xfId="10193" xr:uid="{00000000-0005-0000-0000-000026750000}"/>
    <cellStyle name="Normal 31 5 3 2" xfId="18807" xr:uid="{00000000-0005-0000-0000-000027750000}"/>
    <cellStyle name="Normal 31 5 3 2 2" xfId="31865" xr:uid="{00000000-0005-0000-0000-000028750000}"/>
    <cellStyle name="Normal 31 5 3 3" xfId="18808" xr:uid="{00000000-0005-0000-0000-000029750000}"/>
    <cellStyle name="Normal 31 5 3 3 2" xfId="31866" xr:uid="{00000000-0005-0000-0000-00002A750000}"/>
    <cellStyle name="Normal 31 5 3 4" xfId="23563" xr:uid="{00000000-0005-0000-0000-00002B750000}"/>
    <cellStyle name="Normal 31 5 4" xfId="18809" xr:uid="{00000000-0005-0000-0000-00002C750000}"/>
    <cellStyle name="Normal 31 5 4 2" xfId="31867" xr:uid="{00000000-0005-0000-0000-00002D750000}"/>
    <cellStyle name="Normal 31 5 5" xfId="18810" xr:uid="{00000000-0005-0000-0000-00002E750000}"/>
    <cellStyle name="Normal 31 5 5 2" xfId="31868" xr:uid="{00000000-0005-0000-0000-00002F750000}"/>
    <cellStyle name="Normal 31 5 6" xfId="21407" xr:uid="{00000000-0005-0000-0000-000030750000}"/>
    <cellStyle name="Normal 31 6" xfId="8208" xr:uid="{00000000-0005-0000-0000-000031750000}"/>
    <cellStyle name="Normal 31 6 2" xfId="10731" xr:uid="{00000000-0005-0000-0000-000032750000}"/>
    <cellStyle name="Normal 31 6 2 2" xfId="18811" xr:uid="{00000000-0005-0000-0000-000033750000}"/>
    <cellStyle name="Normal 31 6 2 2 2" xfId="31869" xr:uid="{00000000-0005-0000-0000-000034750000}"/>
    <cellStyle name="Normal 31 6 2 3" xfId="18812" xr:uid="{00000000-0005-0000-0000-000035750000}"/>
    <cellStyle name="Normal 31 6 2 3 2" xfId="31870" xr:uid="{00000000-0005-0000-0000-000036750000}"/>
    <cellStyle name="Normal 31 6 2 4" xfId="24101" xr:uid="{00000000-0005-0000-0000-000037750000}"/>
    <cellStyle name="Normal 31 6 3" xfId="18813" xr:uid="{00000000-0005-0000-0000-000038750000}"/>
    <cellStyle name="Normal 31 6 3 2" xfId="31871" xr:uid="{00000000-0005-0000-0000-000039750000}"/>
    <cellStyle name="Normal 31 6 4" xfId="18814" xr:uid="{00000000-0005-0000-0000-00003A750000}"/>
    <cellStyle name="Normal 31 6 4 2" xfId="31872" xr:uid="{00000000-0005-0000-0000-00003B750000}"/>
    <cellStyle name="Normal 31 6 5" xfId="21945" xr:uid="{00000000-0005-0000-0000-00003C750000}"/>
    <cellStyle name="Normal 31 7" xfId="9652" xr:uid="{00000000-0005-0000-0000-00003D750000}"/>
    <cellStyle name="Normal 31 7 2" xfId="18815" xr:uid="{00000000-0005-0000-0000-00003E750000}"/>
    <cellStyle name="Normal 31 7 2 2" xfId="31873" xr:uid="{00000000-0005-0000-0000-00003F750000}"/>
    <cellStyle name="Normal 31 7 3" xfId="18816" xr:uid="{00000000-0005-0000-0000-000040750000}"/>
    <cellStyle name="Normal 31 7 3 2" xfId="31874" xr:uid="{00000000-0005-0000-0000-000041750000}"/>
    <cellStyle name="Normal 31 7 4" xfId="23023" xr:uid="{00000000-0005-0000-0000-000042750000}"/>
    <cellStyle name="Normal 31 8" xfId="18817" xr:uid="{00000000-0005-0000-0000-000043750000}"/>
    <cellStyle name="Normal 31 8 2" xfId="31875" xr:uid="{00000000-0005-0000-0000-000044750000}"/>
    <cellStyle name="Normal 31 9" xfId="18818" xr:uid="{00000000-0005-0000-0000-000045750000}"/>
    <cellStyle name="Normal 31 9 2" xfId="31876" xr:uid="{00000000-0005-0000-0000-000046750000}"/>
    <cellStyle name="Normal 32" xfId="3946" xr:uid="{00000000-0005-0000-0000-000047750000}"/>
    <cellStyle name="Normal 32 10" xfId="20867" xr:uid="{00000000-0005-0000-0000-000048750000}"/>
    <cellStyle name="Normal 32 2" xfId="4105" xr:uid="{00000000-0005-0000-0000-000049750000}"/>
    <cellStyle name="Normal 32 2 2" xfId="5641" xr:uid="{00000000-0005-0000-0000-00004A750000}"/>
    <cellStyle name="Normal 32 2 2 2" xfId="6793" xr:uid="{00000000-0005-0000-0000-00004B750000}"/>
    <cellStyle name="Normal 32 2 2 2 2" xfId="7480" xr:uid="{00000000-0005-0000-0000-00004C750000}"/>
    <cellStyle name="Normal 32 2 2 2 2 2" xfId="9359" xr:uid="{00000000-0005-0000-0000-00004D750000}"/>
    <cellStyle name="Normal 32 2 2 2 2 2 2" xfId="11738" xr:uid="{00000000-0005-0000-0000-00004E750000}"/>
    <cellStyle name="Normal 32 2 2 2 2 2 2 2" xfId="18819" xr:uid="{00000000-0005-0000-0000-00004F750000}"/>
    <cellStyle name="Normal 32 2 2 2 2 2 2 2 2" xfId="31877" xr:uid="{00000000-0005-0000-0000-000050750000}"/>
    <cellStyle name="Normal 32 2 2 2 2 2 2 3" xfId="18820" xr:uid="{00000000-0005-0000-0000-000051750000}"/>
    <cellStyle name="Normal 32 2 2 2 2 2 2 3 2" xfId="31878" xr:uid="{00000000-0005-0000-0000-000052750000}"/>
    <cellStyle name="Normal 32 2 2 2 2 2 2 4" xfId="25108" xr:uid="{00000000-0005-0000-0000-000053750000}"/>
    <cellStyle name="Normal 32 2 2 2 2 2 3" xfId="18821" xr:uid="{00000000-0005-0000-0000-000054750000}"/>
    <cellStyle name="Normal 32 2 2 2 2 2 3 2" xfId="31879" xr:uid="{00000000-0005-0000-0000-000055750000}"/>
    <cellStyle name="Normal 32 2 2 2 2 2 4" xfId="18822" xr:uid="{00000000-0005-0000-0000-000056750000}"/>
    <cellStyle name="Normal 32 2 2 2 2 2 4 2" xfId="31880" xr:uid="{00000000-0005-0000-0000-000057750000}"/>
    <cellStyle name="Normal 32 2 2 2 2 2 5" xfId="22952" xr:uid="{00000000-0005-0000-0000-000058750000}"/>
    <cellStyle name="Normal 32 2 2 2 2 3" xfId="10660" xr:uid="{00000000-0005-0000-0000-000059750000}"/>
    <cellStyle name="Normal 32 2 2 2 2 3 2" xfId="18823" xr:uid="{00000000-0005-0000-0000-00005A750000}"/>
    <cellStyle name="Normal 32 2 2 2 2 3 2 2" xfId="31881" xr:uid="{00000000-0005-0000-0000-00005B750000}"/>
    <cellStyle name="Normal 32 2 2 2 2 3 3" xfId="18824" xr:uid="{00000000-0005-0000-0000-00005C750000}"/>
    <cellStyle name="Normal 32 2 2 2 2 3 3 2" xfId="31882" xr:uid="{00000000-0005-0000-0000-00005D750000}"/>
    <cellStyle name="Normal 32 2 2 2 2 3 4" xfId="24030" xr:uid="{00000000-0005-0000-0000-00005E750000}"/>
    <cellStyle name="Normal 32 2 2 2 2 4" xfId="18825" xr:uid="{00000000-0005-0000-0000-00005F750000}"/>
    <cellStyle name="Normal 32 2 2 2 2 4 2" xfId="31883" xr:uid="{00000000-0005-0000-0000-000060750000}"/>
    <cellStyle name="Normal 32 2 2 2 2 5" xfId="18826" xr:uid="{00000000-0005-0000-0000-000061750000}"/>
    <cellStyle name="Normal 32 2 2 2 2 5 2" xfId="31884" xr:uid="{00000000-0005-0000-0000-000062750000}"/>
    <cellStyle name="Normal 32 2 2 2 2 6" xfId="21874" xr:uid="{00000000-0005-0000-0000-000063750000}"/>
    <cellStyle name="Normal 32 2 2 2 3" xfId="8813" xr:uid="{00000000-0005-0000-0000-000064750000}"/>
    <cellStyle name="Normal 32 2 2 2 3 2" xfId="11198" xr:uid="{00000000-0005-0000-0000-000065750000}"/>
    <cellStyle name="Normal 32 2 2 2 3 2 2" xfId="18827" xr:uid="{00000000-0005-0000-0000-000066750000}"/>
    <cellStyle name="Normal 32 2 2 2 3 2 2 2" xfId="31885" xr:uid="{00000000-0005-0000-0000-000067750000}"/>
    <cellStyle name="Normal 32 2 2 2 3 2 3" xfId="18828" xr:uid="{00000000-0005-0000-0000-000068750000}"/>
    <cellStyle name="Normal 32 2 2 2 3 2 3 2" xfId="31886" xr:uid="{00000000-0005-0000-0000-000069750000}"/>
    <cellStyle name="Normal 32 2 2 2 3 2 4" xfId="24568" xr:uid="{00000000-0005-0000-0000-00006A750000}"/>
    <cellStyle name="Normal 32 2 2 2 3 3" xfId="18829" xr:uid="{00000000-0005-0000-0000-00006B750000}"/>
    <cellStyle name="Normal 32 2 2 2 3 3 2" xfId="31887" xr:uid="{00000000-0005-0000-0000-00006C750000}"/>
    <cellStyle name="Normal 32 2 2 2 3 4" xfId="18830" xr:uid="{00000000-0005-0000-0000-00006D750000}"/>
    <cellStyle name="Normal 32 2 2 2 3 4 2" xfId="31888" xr:uid="{00000000-0005-0000-0000-00006E750000}"/>
    <cellStyle name="Normal 32 2 2 2 3 5" xfId="22412" xr:uid="{00000000-0005-0000-0000-00006F750000}"/>
    <cellStyle name="Normal 32 2 2 2 4" xfId="10120" xr:uid="{00000000-0005-0000-0000-000070750000}"/>
    <cellStyle name="Normal 32 2 2 2 4 2" xfId="18831" xr:uid="{00000000-0005-0000-0000-000071750000}"/>
    <cellStyle name="Normal 32 2 2 2 4 2 2" xfId="31889" xr:uid="{00000000-0005-0000-0000-000072750000}"/>
    <cellStyle name="Normal 32 2 2 2 4 3" xfId="18832" xr:uid="{00000000-0005-0000-0000-000073750000}"/>
    <cellStyle name="Normal 32 2 2 2 4 3 2" xfId="31890" xr:uid="{00000000-0005-0000-0000-000074750000}"/>
    <cellStyle name="Normal 32 2 2 2 4 4" xfId="23490" xr:uid="{00000000-0005-0000-0000-000075750000}"/>
    <cellStyle name="Normal 32 2 2 2 5" xfId="18833" xr:uid="{00000000-0005-0000-0000-000076750000}"/>
    <cellStyle name="Normal 32 2 2 2 5 2" xfId="31891" xr:uid="{00000000-0005-0000-0000-000077750000}"/>
    <cellStyle name="Normal 32 2 2 2 6" xfId="18834" xr:uid="{00000000-0005-0000-0000-000078750000}"/>
    <cellStyle name="Normal 32 2 2 2 6 2" xfId="31892" xr:uid="{00000000-0005-0000-0000-000079750000}"/>
    <cellStyle name="Normal 32 2 2 2 7" xfId="21334" xr:uid="{00000000-0005-0000-0000-00007A750000}"/>
    <cellStyle name="Normal 32 2 2 3" xfId="7211" xr:uid="{00000000-0005-0000-0000-00007B750000}"/>
    <cellStyle name="Normal 32 2 2 3 2" xfId="9090" xr:uid="{00000000-0005-0000-0000-00007C750000}"/>
    <cellStyle name="Normal 32 2 2 3 2 2" xfId="11469" xr:uid="{00000000-0005-0000-0000-00007D750000}"/>
    <cellStyle name="Normal 32 2 2 3 2 2 2" xfId="18835" xr:uid="{00000000-0005-0000-0000-00007E750000}"/>
    <cellStyle name="Normal 32 2 2 3 2 2 2 2" xfId="31893" xr:uid="{00000000-0005-0000-0000-00007F750000}"/>
    <cellStyle name="Normal 32 2 2 3 2 2 3" xfId="18836" xr:uid="{00000000-0005-0000-0000-000080750000}"/>
    <cellStyle name="Normal 32 2 2 3 2 2 3 2" xfId="31894" xr:uid="{00000000-0005-0000-0000-000081750000}"/>
    <cellStyle name="Normal 32 2 2 3 2 2 4" xfId="24839" xr:uid="{00000000-0005-0000-0000-000082750000}"/>
    <cellStyle name="Normal 32 2 2 3 2 3" xfId="18837" xr:uid="{00000000-0005-0000-0000-000083750000}"/>
    <cellStyle name="Normal 32 2 2 3 2 3 2" xfId="31895" xr:uid="{00000000-0005-0000-0000-000084750000}"/>
    <cellStyle name="Normal 32 2 2 3 2 4" xfId="18838" xr:uid="{00000000-0005-0000-0000-000085750000}"/>
    <cellStyle name="Normal 32 2 2 3 2 4 2" xfId="31896" xr:uid="{00000000-0005-0000-0000-000086750000}"/>
    <cellStyle name="Normal 32 2 2 3 2 5" xfId="22683" xr:uid="{00000000-0005-0000-0000-000087750000}"/>
    <cellStyle name="Normal 32 2 2 3 3" xfId="10391" xr:uid="{00000000-0005-0000-0000-000088750000}"/>
    <cellStyle name="Normal 32 2 2 3 3 2" xfId="18839" xr:uid="{00000000-0005-0000-0000-000089750000}"/>
    <cellStyle name="Normal 32 2 2 3 3 2 2" xfId="31897" xr:uid="{00000000-0005-0000-0000-00008A750000}"/>
    <cellStyle name="Normal 32 2 2 3 3 3" xfId="18840" xr:uid="{00000000-0005-0000-0000-00008B750000}"/>
    <cellStyle name="Normal 32 2 2 3 3 3 2" xfId="31898" xr:uid="{00000000-0005-0000-0000-00008C750000}"/>
    <cellStyle name="Normal 32 2 2 3 3 4" xfId="23761" xr:uid="{00000000-0005-0000-0000-00008D750000}"/>
    <cellStyle name="Normal 32 2 2 3 4" xfId="18841" xr:uid="{00000000-0005-0000-0000-00008E750000}"/>
    <cellStyle name="Normal 32 2 2 3 4 2" xfId="31899" xr:uid="{00000000-0005-0000-0000-00008F750000}"/>
    <cellStyle name="Normal 32 2 2 3 5" xfId="18842" xr:uid="{00000000-0005-0000-0000-000090750000}"/>
    <cellStyle name="Normal 32 2 2 3 5 2" xfId="31900" xr:uid="{00000000-0005-0000-0000-000091750000}"/>
    <cellStyle name="Normal 32 2 2 3 6" xfId="21605" xr:uid="{00000000-0005-0000-0000-000092750000}"/>
    <cellStyle name="Normal 32 2 2 4" xfId="8488" xr:uid="{00000000-0005-0000-0000-000093750000}"/>
    <cellStyle name="Normal 32 2 2 4 2" xfId="10929" xr:uid="{00000000-0005-0000-0000-000094750000}"/>
    <cellStyle name="Normal 32 2 2 4 2 2" xfId="18843" xr:uid="{00000000-0005-0000-0000-000095750000}"/>
    <cellStyle name="Normal 32 2 2 4 2 2 2" xfId="31901" xr:uid="{00000000-0005-0000-0000-000096750000}"/>
    <cellStyle name="Normal 32 2 2 4 2 3" xfId="18844" xr:uid="{00000000-0005-0000-0000-000097750000}"/>
    <cellStyle name="Normal 32 2 2 4 2 3 2" xfId="31902" xr:uid="{00000000-0005-0000-0000-000098750000}"/>
    <cellStyle name="Normal 32 2 2 4 2 4" xfId="24299" xr:uid="{00000000-0005-0000-0000-000099750000}"/>
    <cellStyle name="Normal 32 2 2 4 3" xfId="18845" xr:uid="{00000000-0005-0000-0000-00009A750000}"/>
    <cellStyle name="Normal 32 2 2 4 3 2" xfId="31903" xr:uid="{00000000-0005-0000-0000-00009B750000}"/>
    <cellStyle name="Normal 32 2 2 4 4" xfId="18846" xr:uid="{00000000-0005-0000-0000-00009C750000}"/>
    <cellStyle name="Normal 32 2 2 4 4 2" xfId="31904" xr:uid="{00000000-0005-0000-0000-00009D750000}"/>
    <cellStyle name="Normal 32 2 2 4 5" xfId="22143" xr:uid="{00000000-0005-0000-0000-00009E750000}"/>
    <cellStyle name="Normal 32 2 2 5" xfId="9851" xr:uid="{00000000-0005-0000-0000-00009F750000}"/>
    <cellStyle name="Normal 32 2 2 5 2" xfId="18847" xr:uid="{00000000-0005-0000-0000-0000A0750000}"/>
    <cellStyle name="Normal 32 2 2 5 2 2" xfId="31905" xr:uid="{00000000-0005-0000-0000-0000A1750000}"/>
    <cellStyle name="Normal 32 2 2 5 3" xfId="18848" xr:uid="{00000000-0005-0000-0000-0000A2750000}"/>
    <cellStyle name="Normal 32 2 2 5 3 2" xfId="31906" xr:uid="{00000000-0005-0000-0000-0000A3750000}"/>
    <cellStyle name="Normal 32 2 2 5 4" xfId="23221" xr:uid="{00000000-0005-0000-0000-0000A4750000}"/>
    <cellStyle name="Normal 32 2 2 6" xfId="18849" xr:uid="{00000000-0005-0000-0000-0000A5750000}"/>
    <cellStyle name="Normal 32 2 2 6 2" xfId="31907" xr:uid="{00000000-0005-0000-0000-0000A6750000}"/>
    <cellStyle name="Normal 32 2 2 7" xfId="18850" xr:uid="{00000000-0005-0000-0000-0000A7750000}"/>
    <cellStyle name="Normal 32 2 2 7 2" xfId="31908" xr:uid="{00000000-0005-0000-0000-0000A8750000}"/>
    <cellStyle name="Normal 32 2 2 8" xfId="21065" xr:uid="{00000000-0005-0000-0000-0000A9750000}"/>
    <cellStyle name="Normal 32 2 3" xfId="6642" xr:uid="{00000000-0005-0000-0000-0000AA750000}"/>
    <cellStyle name="Normal 32 2 3 2" xfId="7338" xr:uid="{00000000-0005-0000-0000-0000AB750000}"/>
    <cellStyle name="Normal 32 2 3 2 2" xfId="9217" xr:uid="{00000000-0005-0000-0000-0000AC750000}"/>
    <cellStyle name="Normal 32 2 3 2 2 2" xfId="11596" xr:uid="{00000000-0005-0000-0000-0000AD750000}"/>
    <cellStyle name="Normal 32 2 3 2 2 2 2" xfId="18851" xr:uid="{00000000-0005-0000-0000-0000AE750000}"/>
    <cellStyle name="Normal 32 2 3 2 2 2 2 2" xfId="31909" xr:uid="{00000000-0005-0000-0000-0000AF750000}"/>
    <cellStyle name="Normal 32 2 3 2 2 2 3" xfId="18852" xr:uid="{00000000-0005-0000-0000-0000B0750000}"/>
    <cellStyle name="Normal 32 2 3 2 2 2 3 2" xfId="31910" xr:uid="{00000000-0005-0000-0000-0000B1750000}"/>
    <cellStyle name="Normal 32 2 3 2 2 2 4" xfId="24966" xr:uid="{00000000-0005-0000-0000-0000B2750000}"/>
    <cellStyle name="Normal 32 2 3 2 2 3" xfId="18853" xr:uid="{00000000-0005-0000-0000-0000B3750000}"/>
    <cellStyle name="Normal 32 2 3 2 2 3 2" xfId="31911" xr:uid="{00000000-0005-0000-0000-0000B4750000}"/>
    <cellStyle name="Normal 32 2 3 2 2 4" xfId="18854" xr:uid="{00000000-0005-0000-0000-0000B5750000}"/>
    <cellStyle name="Normal 32 2 3 2 2 4 2" xfId="31912" xr:uid="{00000000-0005-0000-0000-0000B6750000}"/>
    <cellStyle name="Normal 32 2 3 2 2 5" xfId="22810" xr:uid="{00000000-0005-0000-0000-0000B7750000}"/>
    <cellStyle name="Normal 32 2 3 2 3" xfId="10518" xr:uid="{00000000-0005-0000-0000-0000B8750000}"/>
    <cellStyle name="Normal 32 2 3 2 3 2" xfId="18855" xr:uid="{00000000-0005-0000-0000-0000B9750000}"/>
    <cellStyle name="Normal 32 2 3 2 3 2 2" xfId="31913" xr:uid="{00000000-0005-0000-0000-0000BA750000}"/>
    <cellStyle name="Normal 32 2 3 2 3 3" xfId="18856" xr:uid="{00000000-0005-0000-0000-0000BB750000}"/>
    <cellStyle name="Normal 32 2 3 2 3 3 2" xfId="31914" xr:uid="{00000000-0005-0000-0000-0000BC750000}"/>
    <cellStyle name="Normal 32 2 3 2 3 4" xfId="23888" xr:uid="{00000000-0005-0000-0000-0000BD750000}"/>
    <cellStyle name="Normal 32 2 3 2 4" xfId="18857" xr:uid="{00000000-0005-0000-0000-0000BE750000}"/>
    <cellStyle name="Normal 32 2 3 2 4 2" xfId="31915" xr:uid="{00000000-0005-0000-0000-0000BF750000}"/>
    <cellStyle name="Normal 32 2 3 2 5" xfId="18858" xr:uid="{00000000-0005-0000-0000-0000C0750000}"/>
    <cellStyle name="Normal 32 2 3 2 5 2" xfId="31916" xr:uid="{00000000-0005-0000-0000-0000C1750000}"/>
    <cellStyle name="Normal 32 2 3 2 6" xfId="21732" xr:uid="{00000000-0005-0000-0000-0000C2750000}"/>
    <cellStyle name="Normal 32 2 3 3" xfId="8670" xr:uid="{00000000-0005-0000-0000-0000C3750000}"/>
    <cellStyle name="Normal 32 2 3 3 2" xfId="11056" xr:uid="{00000000-0005-0000-0000-0000C4750000}"/>
    <cellStyle name="Normal 32 2 3 3 2 2" xfId="18859" xr:uid="{00000000-0005-0000-0000-0000C5750000}"/>
    <cellStyle name="Normal 32 2 3 3 2 2 2" xfId="31917" xr:uid="{00000000-0005-0000-0000-0000C6750000}"/>
    <cellStyle name="Normal 32 2 3 3 2 3" xfId="18860" xr:uid="{00000000-0005-0000-0000-0000C7750000}"/>
    <cellStyle name="Normal 32 2 3 3 2 3 2" xfId="31918" xr:uid="{00000000-0005-0000-0000-0000C8750000}"/>
    <cellStyle name="Normal 32 2 3 3 2 4" xfId="24426" xr:uid="{00000000-0005-0000-0000-0000C9750000}"/>
    <cellStyle name="Normal 32 2 3 3 3" xfId="18861" xr:uid="{00000000-0005-0000-0000-0000CA750000}"/>
    <cellStyle name="Normal 32 2 3 3 3 2" xfId="31919" xr:uid="{00000000-0005-0000-0000-0000CB750000}"/>
    <cellStyle name="Normal 32 2 3 3 4" xfId="18862" xr:uid="{00000000-0005-0000-0000-0000CC750000}"/>
    <cellStyle name="Normal 32 2 3 3 4 2" xfId="31920" xr:uid="{00000000-0005-0000-0000-0000CD750000}"/>
    <cellStyle name="Normal 32 2 3 3 5" xfId="22270" xr:uid="{00000000-0005-0000-0000-0000CE750000}"/>
    <cellStyle name="Normal 32 2 3 4" xfId="9978" xr:uid="{00000000-0005-0000-0000-0000CF750000}"/>
    <cellStyle name="Normal 32 2 3 4 2" xfId="18863" xr:uid="{00000000-0005-0000-0000-0000D0750000}"/>
    <cellStyle name="Normal 32 2 3 4 2 2" xfId="31921" xr:uid="{00000000-0005-0000-0000-0000D1750000}"/>
    <cellStyle name="Normal 32 2 3 4 3" xfId="18864" xr:uid="{00000000-0005-0000-0000-0000D2750000}"/>
    <cellStyle name="Normal 32 2 3 4 3 2" xfId="31922" xr:uid="{00000000-0005-0000-0000-0000D3750000}"/>
    <cellStyle name="Normal 32 2 3 4 4" xfId="23348" xr:uid="{00000000-0005-0000-0000-0000D4750000}"/>
    <cellStyle name="Normal 32 2 3 5" xfId="18865" xr:uid="{00000000-0005-0000-0000-0000D5750000}"/>
    <cellStyle name="Normal 32 2 3 5 2" xfId="31923" xr:uid="{00000000-0005-0000-0000-0000D6750000}"/>
    <cellStyle name="Normal 32 2 3 6" xfId="18866" xr:uid="{00000000-0005-0000-0000-0000D7750000}"/>
    <cellStyle name="Normal 32 2 3 6 2" xfId="31924" xr:uid="{00000000-0005-0000-0000-0000D8750000}"/>
    <cellStyle name="Normal 32 2 3 7" xfId="21192" xr:uid="{00000000-0005-0000-0000-0000D9750000}"/>
    <cellStyle name="Normal 32 2 4" xfId="7068" xr:uid="{00000000-0005-0000-0000-0000DA750000}"/>
    <cellStyle name="Normal 32 2 4 2" xfId="8948" xr:uid="{00000000-0005-0000-0000-0000DB750000}"/>
    <cellStyle name="Normal 32 2 4 2 2" xfId="11327" xr:uid="{00000000-0005-0000-0000-0000DC750000}"/>
    <cellStyle name="Normal 32 2 4 2 2 2" xfId="18867" xr:uid="{00000000-0005-0000-0000-0000DD750000}"/>
    <cellStyle name="Normal 32 2 4 2 2 2 2" xfId="31925" xr:uid="{00000000-0005-0000-0000-0000DE750000}"/>
    <cellStyle name="Normal 32 2 4 2 2 3" xfId="18868" xr:uid="{00000000-0005-0000-0000-0000DF750000}"/>
    <cellStyle name="Normal 32 2 4 2 2 3 2" xfId="31926" xr:uid="{00000000-0005-0000-0000-0000E0750000}"/>
    <cellStyle name="Normal 32 2 4 2 2 4" xfId="24697" xr:uid="{00000000-0005-0000-0000-0000E1750000}"/>
    <cellStyle name="Normal 32 2 4 2 3" xfId="18869" xr:uid="{00000000-0005-0000-0000-0000E2750000}"/>
    <cellStyle name="Normal 32 2 4 2 3 2" xfId="31927" xr:uid="{00000000-0005-0000-0000-0000E3750000}"/>
    <cellStyle name="Normal 32 2 4 2 4" xfId="18870" xr:uid="{00000000-0005-0000-0000-0000E4750000}"/>
    <cellStyle name="Normal 32 2 4 2 4 2" xfId="31928" xr:uid="{00000000-0005-0000-0000-0000E5750000}"/>
    <cellStyle name="Normal 32 2 4 2 5" xfId="22541" xr:uid="{00000000-0005-0000-0000-0000E6750000}"/>
    <cellStyle name="Normal 32 2 4 3" xfId="10249" xr:uid="{00000000-0005-0000-0000-0000E7750000}"/>
    <cellStyle name="Normal 32 2 4 3 2" xfId="18871" xr:uid="{00000000-0005-0000-0000-0000E8750000}"/>
    <cellStyle name="Normal 32 2 4 3 2 2" xfId="31929" xr:uid="{00000000-0005-0000-0000-0000E9750000}"/>
    <cellStyle name="Normal 32 2 4 3 3" xfId="18872" xr:uid="{00000000-0005-0000-0000-0000EA750000}"/>
    <cellStyle name="Normal 32 2 4 3 3 2" xfId="31930" xr:uid="{00000000-0005-0000-0000-0000EB750000}"/>
    <cellStyle name="Normal 32 2 4 3 4" xfId="23619" xr:uid="{00000000-0005-0000-0000-0000EC750000}"/>
    <cellStyle name="Normal 32 2 4 4" xfId="18873" xr:uid="{00000000-0005-0000-0000-0000ED750000}"/>
    <cellStyle name="Normal 32 2 4 4 2" xfId="31931" xr:uid="{00000000-0005-0000-0000-0000EE750000}"/>
    <cellStyle name="Normal 32 2 4 5" xfId="18874" xr:uid="{00000000-0005-0000-0000-0000EF750000}"/>
    <cellStyle name="Normal 32 2 4 5 2" xfId="31932" xr:uid="{00000000-0005-0000-0000-0000F0750000}"/>
    <cellStyle name="Normal 32 2 4 6" xfId="21463" xr:uid="{00000000-0005-0000-0000-0000F1750000}"/>
    <cellStyle name="Normal 32 2 5" xfId="8272" xr:uid="{00000000-0005-0000-0000-0000F2750000}"/>
    <cellStyle name="Normal 32 2 5 2" xfId="10787" xr:uid="{00000000-0005-0000-0000-0000F3750000}"/>
    <cellStyle name="Normal 32 2 5 2 2" xfId="18875" xr:uid="{00000000-0005-0000-0000-0000F4750000}"/>
    <cellStyle name="Normal 32 2 5 2 2 2" xfId="31933" xr:uid="{00000000-0005-0000-0000-0000F5750000}"/>
    <cellStyle name="Normal 32 2 5 2 3" xfId="18876" xr:uid="{00000000-0005-0000-0000-0000F6750000}"/>
    <cellStyle name="Normal 32 2 5 2 3 2" xfId="31934" xr:uid="{00000000-0005-0000-0000-0000F7750000}"/>
    <cellStyle name="Normal 32 2 5 2 4" xfId="24157" xr:uid="{00000000-0005-0000-0000-0000F8750000}"/>
    <cellStyle name="Normal 32 2 5 3" xfId="18877" xr:uid="{00000000-0005-0000-0000-0000F9750000}"/>
    <cellStyle name="Normal 32 2 5 3 2" xfId="31935" xr:uid="{00000000-0005-0000-0000-0000FA750000}"/>
    <cellStyle name="Normal 32 2 5 4" xfId="18878" xr:uid="{00000000-0005-0000-0000-0000FB750000}"/>
    <cellStyle name="Normal 32 2 5 4 2" xfId="31936" xr:uid="{00000000-0005-0000-0000-0000FC750000}"/>
    <cellStyle name="Normal 32 2 5 5" xfId="22001" xr:uid="{00000000-0005-0000-0000-0000FD750000}"/>
    <cellStyle name="Normal 32 2 6" xfId="9708" xr:uid="{00000000-0005-0000-0000-0000FE750000}"/>
    <cellStyle name="Normal 32 2 6 2" xfId="18879" xr:uid="{00000000-0005-0000-0000-0000FF750000}"/>
    <cellStyle name="Normal 32 2 6 2 2" xfId="31937" xr:uid="{00000000-0005-0000-0000-000000760000}"/>
    <cellStyle name="Normal 32 2 6 3" xfId="18880" xr:uid="{00000000-0005-0000-0000-000001760000}"/>
    <cellStyle name="Normal 32 2 6 3 2" xfId="31938" xr:uid="{00000000-0005-0000-0000-000002760000}"/>
    <cellStyle name="Normal 32 2 6 4" xfId="23079" xr:uid="{00000000-0005-0000-0000-000003760000}"/>
    <cellStyle name="Normal 32 2 7" xfId="18881" xr:uid="{00000000-0005-0000-0000-000004760000}"/>
    <cellStyle name="Normal 32 2 7 2" xfId="31939" xr:uid="{00000000-0005-0000-0000-000005760000}"/>
    <cellStyle name="Normal 32 2 8" xfId="18882" xr:uid="{00000000-0005-0000-0000-000006760000}"/>
    <cellStyle name="Normal 32 2 8 2" xfId="31940" xr:uid="{00000000-0005-0000-0000-000007760000}"/>
    <cellStyle name="Normal 32 2 9" xfId="20922" xr:uid="{00000000-0005-0000-0000-000008760000}"/>
    <cellStyle name="Normal 32 3" xfId="5553" xr:uid="{00000000-0005-0000-0000-000009760000}"/>
    <cellStyle name="Normal 32 3 2" xfId="6737" xr:uid="{00000000-0005-0000-0000-00000A760000}"/>
    <cellStyle name="Normal 32 3 2 2" xfId="7424" xr:uid="{00000000-0005-0000-0000-00000B760000}"/>
    <cellStyle name="Normal 32 3 2 2 2" xfId="9303" xr:uid="{00000000-0005-0000-0000-00000C760000}"/>
    <cellStyle name="Normal 32 3 2 2 2 2" xfId="11682" xr:uid="{00000000-0005-0000-0000-00000D760000}"/>
    <cellStyle name="Normal 32 3 2 2 2 2 2" xfId="18883" xr:uid="{00000000-0005-0000-0000-00000E760000}"/>
    <cellStyle name="Normal 32 3 2 2 2 2 2 2" xfId="31941" xr:uid="{00000000-0005-0000-0000-00000F760000}"/>
    <cellStyle name="Normal 32 3 2 2 2 2 3" xfId="18884" xr:uid="{00000000-0005-0000-0000-000010760000}"/>
    <cellStyle name="Normal 32 3 2 2 2 2 3 2" xfId="31942" xr:uid="{00000000-0005-0000-0000-000011760000}"/>
    <cellStyle name="Normal 32 3 2 2 2 2 4" xfId="25052" xr:uid="{00000000-0005-0000-0000-000012760000}"/>
    <cellStyle name="Normal 32 3 2 2 2 3" xfId="18885" xr:uid="{00000000-0005-0000-0000-000013760000}"/>
    <cellStyle name="Normal 32 3 2 2 2 3 2" xfId="31943" xr:uid="{00000000-0005-0000-0000-000014760000}"/>
    <cellStyle name="Normal 32 3 2 2 2 4" xfId="18886" xr:uid="{00000000-0005-0000-0000-000015760000}"/>
    <cellStyle name="Normal 32 3 2 2 2 4 2" xfId="31944" xr:uid="{00000000-0005-0000-0000-000016760000}"/>
    <cellStyle name="Normal 32 3 2 2 2 5" xfId="22896" xr:uid="{00000000-0005-0000-0000-000017760000}"/>
    <cellStyle name="Normal 32 3 2 2 3" xfId="10604" xr:uid="{00000000-0005-0000-0000-000018760000}"/>
    <cellStyle name="Normal 32 3 2 2 3 2" xfId="18887" xr:uid="{00000000-0005-0000-0000-000019760000}"/>
    <cellStyle name="Normal 32 3 2 2 3 2 2" xfId="31945" xr:uid="{00000000-0005-0000-0000-00001A760000}"/>
    <cellStyle name="Normal 32 3 2 2 3 3" xfId="18888" xr:uid="{00000000-0005-0000-0000-00001B760000}"/>
    <cellStyle name="Normal 32 3 2 2 3 3 2" xfId="31946" xr:uid="{00000000-0005-0000-0000-00001C760000}"/>
    <cellStyle name="Normal 32 3 2 2 3 4" xfId="23974" xr:uid="{00000000-0005-0000-0000-00001D760000}"/>
    <cellStyle name="Normal 32 3 2 2 4" xfId="18889" xr:uid="{00000000-0005-0000-0000-00001E760000}"/>
    <cellStyle name="Normal 32 3 2 2 4 2" xfId="31947" xr:uid="{00000000-0005-0000-0000-00001F760000}"/>
    <cellStyle name="Normal 32 3 2 2 5" xfId="18890" xr:uid="{00000000-0005-0000-0000-000020760000}"/>
    <cellStyle name="Normal 32 3 2 2 5 2" xfId="31948" xr:uid="{00000000-0005-0000-0000-000021760000}"/>
    <cellStyle name="Normal 32 3 2 2 6" xfId="21818" xr:uid="{00000000-0005-0000-0000-000022760000}"/>
    <cellStyle name="Normal 32 3 2 3" xfId="8757" xr:uid="{00000000-0005-0000-0000-000023760000}"/>
    <cellStyle name="Normal 32 3 2 3 2" xfId="11142" xr:uid="{00000000-0005-0000-0000-000024760000}"/>
    <cellStyle name="Normal 32 3 2 3 2 2" xfId="18891" xr:uid="{00000000-0005-0000-0000-000025760000}"/>
    <cellStyle name="Normal 32 3 2 3 2 2 2" xfId="31949" xr:uid="{00000000-0005-0000-0000-000026760000}"/>
    <cellStyle name="Normal 32 3 2 3 2 3" xfId="18892" xr:uid="{00000000-0005-0000-0000-000027760000}"/>
    <cellStyle name="Normal 32 3 2 3 2 3 2" xfId="31950" xr:uid="{00000000-0005-0000-0000-000028760000}"/>
    <cellStyle name="Normal 32 3 2 3 2 4" xfId="24512" xr:uid="{00000000-0005-0000-0000-000029760000}"/>
    <cellStyle name="Normal 32 3 2 3 3" xfId="18893" xr:uid="{00000000-0005-0000-0000-00002A760000}"/>
    <cellStyle name="Normal 32 3 2 3 3 2" xfId="31951" xr:uid="{00000000-0005-0000-0000-00002B760000}"/>
    <cellStyle name="Normal 32 3 2 3 4" xfId="18894" xr:uid="{00000000-0005-0000-0000-00002C760000}"/>
    <cellStyle name="Normal 32 3 2 3 4 2" xfId="31952" xr:uid="{00000000-0005-0000-0000-00002D760000}"/>
    <cellStyle name="Normal 32 3 2 3 5" xfId="22356" xr:uid="{00000000-0005-0000-0000-00002E760000}"/>
    <cellStyle name="Normal 32 3 2 4" xfId="10064" xr:uid="{00000000-0005-0000-0000-00002F760000}"/>
    <cellStyle name="Normal 32 3 2 4 2" xfId="18895" xr:uid="{00000000-0005-0000-0000-000030760000}"/>
    <cellStyle name="Normal 32 3 2 4 2 2" xfId="31953" xr:uid="{00000000-0005-0000-0000-000031760000}"/>
    <cellStyle name="Normal 32 3 2 4 3" xfId="18896" xr:uid="{00000000-0005-0000-0000-000032760000}"/>
    <cellStyle name="Normal 32 3 2 4 3 2" xfId="31954" xr:uid="{00000000-0005-0000-0000-000033760000}"/>
    <cellStyle name="Normal 32 3 2 4 4" xfId="23434" xr:uid="{00000000-0005-0000-0000-000034760000}"/>
    <cellStyle name="Normal 32 3 2 5" xfId="18897" xr:uid="{00000000-0005-0000-0000-000035760000}"/>
    <cellStyle name="Normal 32 3 2 5 2" xfId="31955" xr:uid="{00000000-0005-0000-0000-000036760000}"/>
    <cellStyle name="Normal 32 3 2 6" xfId="18898" xr:uid="{00000000-0005-0000-0000-000037760000}"/>
    <cellStyle name="Normal 32 3 2 6 2" xfId="31956" xr:uid="{00000000-0005-0000-0000-000038760000}"/>
    <cellStyle name="Normal 32 3 2 7" xfId="21278" xr:uid="{00000000-0005-0000-0000-000039760000}"/>
    <cellStyle name="Normal 32 3 3" xfId="7155" xr:uid="{00000000-0005-0000-0000-00003A760000}"/>
    <cellStyle name="Normal 32 3 3 2" xfId="9034" xr:uid="{00000000-0005-0000-0000-00003B760000}"/>
    <cellStyle name="Normal 32 3 3 2 2" xfId="11413" xr:uid="{00000000-0005-0000-0000-00003C760000}"/>
    <cellStyle name="Normal 32 3 3 2 2 2" xfId="18899" xr:uid="{00000000-0005-0000-0000-00003D760000}"/>
    <cellStyle name="Normal 32 3 3 2 2 2 2" xfId="31957" xr:uid="{00000000-0005-0000-0000-00003E760000}"/>
    <cellStyle name="Normal 32 3 3 2 2 3" xfId="18900" xr:uid="{00000000-0005-0000-0000-00003F760000}"/>
    <cellStyle name="Normal 32 3 3 2 2 3 2" xfId="31958" xr:uid="{00000000-0005-0000-0000-000040760000}"/>
    <cellStyle name="Normal 32 3 3 2 2 4" xfId="24783" xr:uid="{00000000-0005-0000-0000-000041760000}"/>
    <cellStyle name="Normal 32 3 3 2 3" xfId="18901" xr:uid="{00000000-0005-0000-0000-000042760000}"/>
    <cellStyle name="Normal 32 3 3 2 3 2" xfId="31959" xr:uid="{00000000-0005-0000-0000-000043760000}"/>
    <cellStyle name="Normal 32 3 3 2 4" xfId="18902" xr:uid="{00000000-0005-0000-0000-000044760000}"/>
    <cellStyle name="Normal 32 3 3 2 4 2" xfId="31960" xr:uid="{00000000-0005-0000-0000-000045760000}"/>
    <cellStyle name="Normal 32 3 3 2 5" xfId="22627" xr:uid="{00000000-0005-0000-0000-000046760000}"/>
    <cellStyle name="Normal 32 3 3 3" xfId="10335" xr:uid="{00000000-0005-0000-0000-000047760000}"/>
    <cellStyle name="Normal 32 3 3 3 2" xfId="18903" xr:uid="{00000000-0005-0000-0000-000048760000}"/>
    <cellStyle name="Normal 32 3 3 3 2 2" xfId="31961" xr:uid="{00000000-0005-0000-0000-000049760000}"/>
    <cellStyle name="Normal 32 3 3 3 3" xfId="18904" xr:uid="{00000000-0005-0000-0000-00004A760000}"/>
    <cellStyle name="Normal 32 3 3 3 3 2" xfId="31962" xr:uid="{00000000-0005-0000-0000-00004B760000}"/>
    <cellStyle name="Normal 32 3 3 3 4" xfId="23705" xr:uid="{00000000-0005-0000-0000-00004C760000}"/>
    <cellStyle name="Normal 32 3 3 4" xfId="18905" xr:uid="{00000000-0005-0000-0000-00004D760000}"/>
    <cellStyle name="Normal 32 3 3 4 2" xfId="31963" xr:uid="{00000000-0005-0000-0000-00004E760000}"/>
    <cellStyle name="Normal 32 3 3 5" xfId="18906" xr:uid="{00000000-0005-0000-0000-00004F760000}"/>
    <cellStyle name="Normal 32 3 3 5 2" xfId="31964" xr:uid="{00000000-0005-0000-0000-000050760000}"/>
    <cellStyle name="Normal 32 3 3 6" xfId="21549" xr:uid="{00000000-0005-0000-0000-000051760000}"/>
    <cellStyle name="Normal 32 3 4" xfId="8430" xr:uid="{00000000-0005-0000-0000-000052760000}"/>
    <cellStyle name="Normal 32 3 4 2" xfId="10873" xr:uid="{00000000-0005-0000-0000-000053760000}"/>
    <cellStyle name="Normal 32 3 4 2 2" xfId="18907" xr:uid="{00000000-0005-0000-0000-000054760000}"/>
    <cellStyle name="Normal 32 3 4 2 2 2" xfId="31965" xr:uid="{00000000-0005-0000-0000-000055760000}"/>
    <cellStyle name="Normal 32 3 4 2 3" xfId="18908" xr:uid="{00000000-0005-0000-0000-000056760000}"/>
    <cellStyle name="Normal 32 3 4 2 3 2" xfId="31966" xr:uid="{00000000-0005-0000-0000-000057760000}"/>
    <cellStyle name="Normal 32 3 4 2 4" xfId="24243" xr:uid="{00000000-0005-0000-0000-000058760000}"/>
    <cellStyle name="Normal 32 3 4 3" xfId="18909" xr:uid="{00000000-0005-0000-0000-000059760000}"/>
    <cellStyle name="Normal 32 3 4 3 2" xfId="31967" xr:uid="{00000000-0005-0000-0000-00005A760000}"/>
    <cellStyle name="Normal 32 3 4 4" xfId="18910" xr:uid="{00000000-0005-0000-0000-00005B760000}"/>
    <cellStyle name="Normal 32 3 4 4 2" xfId="31968" xr:uid="{00000000-0005-0000-0000-00005C760000}"/>
    <cellStyle name="Normal 32 3 4 5" xfId="22087" xr:uid="{00000000-0005-0000-0000-00005D760000}"/>
    <cellStyle name="Normal 32 3 5" xfId="9795" xr:uid="{00000000-0005-0000-0000-00005E760000}"/>
    <cellStyle name="Normal 32 3 5 2" xfId="18911" xr:uid="{00000000-0005-0000-0000-00005F760000}"/>
    <cellStyle name="Normal 32 3 5 2 2" xfId="31969" xr:uid="{00000000-0005-0000-0000-000060760000}"/>
    <cellStyle name="Normal 32 3 5 3" xfId="18912" xr:uid="{00000000-0005-0000-0000-000061760000}"/>
    <cellStyle name="Normal 32 3 5 3 2" xfId="31970" xr:uid="{00000000-0005-0000-0000-000062760000}"/>
    <cellStyle name="Normal 32 3 5 4" xfId="23165" xr:uid="{00000000-0005-0000-0000-000063760000}"/>
    <cellStyle name="Normal 32 3 6" xfId="18913" xr:uid="{00000000-0005-0000-0000-000064760000}"/>
    <cellStyle name="Normal 32 3 6 2" xfId="31971" xr:uid="{00000000-0005-0000-0000-000065760000}"/>
    <cellStyle name="Normal 32 3 7" xfId="18914" xr:uid="{00000000-0005-0000-0000-000066760000}"/>
    <cellStyle name="Normal 32 3 7 2" xfId="31972" xr:uid="{00000000-0005-0000-0000-000067760000}"/>
    <cellStyle name="Normal 32 3 8" xfId="21009" xr:uid="{00000000-0005-0000-0000-000068760000}"/>
    <cellStyle name="Normal 32 4" xfId="6587" xr:uid="{00000000-0005-0000-0000-000069760000}"/>
    <cellStyle name="Normal 32 4 2" xfId="7283" xr:uid="{00000000-0005-0000-0000-00006A760000}"/>
    <cellStyle name="Normal 32 4 2 2" xfId="9162" xr:uid="{00000000-0005-0000-0000-00006B760000}"/>
    <cellStyle name="Normal 32 4 2 2 2" xfId="11541" xr:uid="{00000000-0005-0000-0000-00006C760000}"/>
    <cellStyle name="Normal 32 4 2 2 2 2" xfId="18915" xr:uid="{00000000-0005-0000-0000-00006D760000}"/>
    <cellStyle name="Normal 32 4 2 2 2 2 2" xfId="31973" xr:uid="{00000000-0005-0000-0000-00006E760000}"/>
    <cellStyle name="Normal 32 4 2 2 2 3" xfId="18916" xr:uid="{00000000-0005-0000-0000-00006F760000}"/>
    <cellStyle name="Normal 32 4 2 2 2 3 2" xfId="31974" xr:uid="{00000000-0005-0000-0000-000070760000}"/>
    <cellStyle name="Normal 32 4 2 2 2 4" xfId="24911" xr:uid="{00000000-0005-0000-0000-000071760000}"/>
    <cellStyle name="Normal 32 4 2 2 3" xfId="18917" xr:uid="{00000000-0005-0000-0000-000072760000}"/>
    <cellStyle name="Normal 32 4 2 2 3 2" xfId="31975" xr:uid="{00000000-0005-0000-0000-000073760000}"/>
    <cellStyle name="Normal 32 4 2 2 4" xfId="18918" xr:uid="{00000000-0005-0000-0000-000074760000}"/>
    <cellStyle name="Normal 32 4 2 2 4 2" xfId="31976" xr:uid="{00000000-0005-0000-0000-000075760000}"/>
    <cellStyle name="Normal 32 4 2 2 5" xfId="22755" xr:uid="{00000000-0005-0000-0000-000076760000}"/>
    <cellStyle name="Normal 32 4 2 3" xfId="10463" xr:uid="{00000000-0005-0000-0000-000077760000}"/>
    <cellStyle name="Normal 32 4 2 3 2" xfId="18919" xr:uid="{00000000-0005-0000-0000-000078760000}"/>
    <cellStyle name="Normal 32 4 2 3 2 2" xfId="31977" xr:uid="{00000000-0005-0000-0000-000079760000}"/>
    <cellStyle name="Normal 32 4 2 3 3" xfId="18920" xr:uid="{00000000-0005-0000-0000-00007A760000}"/>
    <cellStyle name="Normal 32 4 2 3 3 2" xfId="31978" xr:uid="{00000000-0005-0000-0000-00007B760000}"/>
    <cellStyle name="Normal 32 4 2 3 4" xfId="23833" xr:uid="{00000000-0005-0000-0000-00007C760000}"/>
    <cellStyle name="Normal 32 4 2 4" xfId="18921" xr:uid="{00000000-0005-0000-0000-00007D760000}"/>
    <cellStyle name="Normal 32 4 2 4 2" xfId="31979" xr:uid="{00000000-0005-0000-0000-00007E760000}"/>
    <cellStyle name="Normal 32 4 2 5" xfId="18922" xr:uid="{00000000-0005-0000-0000-00007F760000}"/>
    <cellStyle name="Normal 32 4 2 5 2" xfId="31980" xr:uid="{00000000-0005-0000-0000-000080760000}"/>
    <cellStyle name="Normal 32 4 2 6" xfId="21677" xr:uid="{00000000-0005-0000-0000-000081760000}"/>
    <cellStyle name="Normal 32 4 3" xfId="8615" xr:uid="{00000000-0005-0000-0000-000082760000}"/>
    <cellStyle name="Normal 32 4 3 2" xfId="11001" xr:uid="{00000000-0005-0000-0000-000083760000}"/>
    <cellStyle name="Normal 32 4 3 2 2" xfId="18923" xr:uid="{00000000-0005-0000-0000-000084760000}"/>
    <cellStyle name="Normal 32 4 3 2 2 2" xfId="31981" xr:uid="{00000000-0005-0000-0000-000085760000}"/>
    <cellStyle name="Normal 32 4 3 2 3" xfId="18924" xr:uid="{00000000-0005-0000-0000-000086760000}"/>
    <cellStyle name="Normal 32 4 3 2 3 2" xfId="31982" xr:uid="{00000000-0005-0000-0000-000087760000}"/>
    <cellStyle name="Normal 32 4 3 2 4" xfId="24371" xr:uid="{00000000-0005-0000-0000-000088760000}"/>
    <cellStyle name="Normal 32 4 3 3" xfId="18925" xr:uid="{00000000-0005-0000-0000-000089760000}"/>
    <cellStyle name="Normal 32 4 3 3 2" xfId="31983" xr:uid="{00000000-0005-0000-0000-00008A760000}"/>
    <cellStyle name="Normal 32 4 3 4" xfId="18926" xr:uid="{00000000-0005-0000-0000-00008B760000}"/>
    <cellStyle name="Normal 32 4 3 4 2" xfId="31984" xr:uid="{00000000-0005-0000-0000-00008C760000}"/>
    <cellStyle name="Normal 32 4 3 5" xfId="22215" xr:uid="{00000000-0005-0000-0000-00008D760000}"/>
    <cellStyle name="Normal 32 4 4" xfId="9923" xr:uid="{00000000-0005-0000-0000-00008E760000}"/>
    <cellStyle name="Normal 32 4 4 2" xfId="18927" xr:uid="{00000000-0005-0000-0000-00008F760000}"/>
    <cellStyle name="Normal 32 4 4 2 2" xfId="31985" xr:uid="{00000000-0005-0000-0000-000090760000}"/>
    <cellStyle name="Normal 32 4 4 3" xfId="18928" xr:uid="{00000000-0005-0000-0000-000091760000}"/>
    <cellStyle name="Normal 32 4 4 3 2" xfId="31986" xr:uid="{00000000-0005-0000-0000-000092760000}"/>
    <cellStyle name="Normal 32 4 4 4" xfId="23293" xr:uid="{00000000-0005-0000-0000-000093760000}"/>
    <cellStyle name="Normal 32 4 5" xfId="18929" xr:uid="{00000000-0005-0000-0000-000094760000}"/>
    <cellStyle name="Normal 32 4 5 2" xfId="31987" xr:uid="{00000000-0005-0000-0000-000095760000}"/>
    <cellStyle name="Normal 32 4 6" xfId="18930" xr:uid="{00000000-0005-0000-0000-000096760000}"/>
    <cellStyle name="Normal 32 4 6 2" xfId="31988" xr:uid="{00000000-0005-0000-0000-000097760000}"/>
    <cellStyle name="Normal 32 4 7" xfId="21137" xr:uid="{00000000-0005-0000-0000-000098760000}"/>
    <cellStyle name="Normal 32 5" xfId="7013" xr:uid="{00000000-0005-0000-0000-000099760000}"/>
    <cellStyle name="Normal 32 5 2" xfId="8893" xr:uid="{00000000-0005-0000-0000-00009A760000}"/>
    <cellStyle name="Normal 32 5 2 2" xfId="11272" xr:uid="{00000000-0005-0000-0000-00009B760000}"/>
    <cellStyle name="Normal 32 5 2 2 2" xfId="18931" xr:uid="{00000000-0005-0000-0000-00009C760000}"/>
    <cellStyle name="Normal 32 5 2 2 2 2" xfId="31989" xr:uid="{00000000-0005-0000-0000-00009D760000}"/>
    <cellStyle name="Normal 32 5 2 2 3" xfId="18932" xr:uid="{00000000-0005-0000-0000-00009E760000}"/>
    <cellStyle name="Normal 32 5 2 2 3 2" xfId="31990" xr:uid="{00000000-0005-0000-0000-00009F760000}"/>
    <cellStyle name="Normal 32 5 2 2 4" xfId="24642" xr:uid="{00000000-0005-0000-0000-0000A0760000}"/>
    <cellStyle name="Normal 32 5 2 3" xfId="18933" xr:uid="{00000000-0005-0000-0000-0000A1760000}"/>
    <cellStyle name="Normal 32 5 2 3 2" xfId="31991" xr:uid="{00000000-0005-0000-0000-0000A2760000}"/>
    <cellStyle name="Normal 32 5 2 4" xfId="18934" xr:uid="{00000000-0005-0000-0000-0000A3760000}"/>
    <cellStyle name="Normal 32 5 2 4 2" xfId="31992" xr:uid="{00000000-0005-0000-0000-0000A4760000}"/>
    <cellStyle name="Normal 32 5 2 5" xfId="22486" xr:uid="{00000000-0005-0000-0000-0000A5760000}"/>
    <cellStyle name="Normal 32 5 3" xfId="10194" xr:uid="{00000000-0005-0000-0000-0000A6760000}"/>
    <cellStyle name="Normal 32 5 3 2" xfId="18935" xr:uid="{00000000-0005-0000-0000-0000A7760000}"/>
    <cellStyle name="Normal 32 5 3 2 2" xfId="31993" xr:uid="{00000000-0005-0000-0000-0000A8760000}"/>
    <cellStyle name="Normal 32 5 3 3" xfId="18936" xr:uid="{00000000-0005-0000-0000-0000A9760000}"/>
    <cellStyle name="Normal 32 5 3 3 2" xfId="31994" xr:uid="{00000000-0005-0000-0000-0000AA760000}"/>
    <cellStyle name="Normal 32 5 3 4" xfId="23564" xr:uid="{00000000-0005-0000-0000-0000AB760000}"/>
    <cellStyle name="Normal 32 5 4" xfId="18937" xr:uid="{00000000-0005-0000-0000-0000AC760000}"/>
    <cellStyle name="Normal 32 5 4 2" xfId="31995" xr:uid="{00000000-0005-0000-0000-0000AD760000}"/>
    <cellStyle name="Normal 32 5 5" xfId="18938" xr:uid="{00000000-0005-0000-0000-0000AE760000}"/>
    <cellStyle name="Normal 32 5 5 2" xfId="31996" xr:uid="{00000000-0005-0000-0000-0000AF760000}"/>
    <cellStyle name="Normal 32 5 6" xfId="21408" xr:uid="{00000000-0005-0000-0000-0000B0760000}"/>
    <cellStyle name="Normal 32 6" xfId="8209" xr:uid="{00000000-0005-0000-0000-0000B1760000}"/>
    <cellStyle name="Normal 32 6 2" xfId="10732" xr:uid="{00000000-0005-0000-0000-0000B2760000}"/>
    <cellStyle name="Normal 32 6 2 2" xfId="18939" xr:uid="{00000000-0005-0000-0000-0000B3760000}"/>
    <cellStyle name="Normal 32 6 2 2 2" xfId="31997" xr:uid="{00000000-0005-0000-0000-0000B4760000}"/>
    <cellStyle name="Normal 32 6 2 3" xfId="18940" xr:uid="{00000000-0005-0000-0000-0000B5760000}"/>
    <cellStyle name="Normal 32 6 2 3 2" xfId="31998" xr:uid="{00000000-0005-0000-0000-0000B6760000}"/>
    <cellStyle name="Normal 32 6 2 4" xfId="24102" xr:uid="{00000000-0005-0000-0000-0000B7760000}"/>
    <cellStyle name="Normal 32 6 3" xfId="18941" xr:uid="{00000000-0005-0000-0000-0000B8760000}"/>
    <cellStyle name="Normal 32 6 3 2" xfId="31999" xr:uid="{00000000-0005-0000-0000-0000B9760000}"/>
    <cellStyle name="Normal 32 6 4" xfId="18942" xr:uid="{00000000-0005-0000-0000-0000BA760000}"/>
    <cellStyle name="Normal 32 6 4 2" xfId="32000" xr:uid="{00000000-0005-0000-0000-0000BB760000}"/>
    <cellStyle name="Normal 32 6 5" xfId="21946" xr:uid="{00000000-0005-0000-0000-0000BC760000}"/>
    <cellStyle name="Normal 32 7" xfId="9653" xr:uid="{00000000-0005-0000-0000-0000BD760000}"/>
    <cellStyle name="Normal 32 7 2" xfId="18943" xr:uid="{00000000-0005-0000-0000-0000BE760000}"/>
    <cellStyle name="Normal 32 7 2 2" xfId="32001" xr:uid="{00000000-0005-0000-0000-0000BF760000}"/>
    <cellStyle name="Normal 32 7 3" xfId="18944" xr:uid="{00000000-0005-0000-0000-0000C0760000}"/>
    <cellStyle name="Normal 32 7 3 2" xfId="32002" xr:uid="{00000000-0005-0000-0000-0000C1760000}"/>
    <cellStyle name="Normal 32 7 4" xfId="23024" xr:uid="{00000000-0005-0000-0000-0000C2760000}"/>
    <cellStyle name="Normal 32 8" xfId="18945" xr:uid="{00000000-0005-0000-0000-0000C3760000}"/>
    <cellStyle name="Normal 32 8 2" xfId="32003" xr:uid="{00000000-0005-0000-0000-0000C4760000}"/>
    <cellStyle name="Normal 32 9" xfId="18946" xr:uid="{00000000-0005-0000-0000-0000C5760000}"/>
    <cellStyle name="Normal 32 9 2" xfId="32004" xr:uid="{00000000-0005-0000-0000-0000C6760000}"/>
    <cellStyle name="Normal 33" xfId="3948" xr:uid="{00000000-0005-0000-0000-0000C7760000}"/>
    <cellStyle name="Normal 33 10" xfId="20869" xr:uid="{00000000-0005-0000-0000-0000C8760000}"/>
    <cellStyle name="Normal 33 2" xfId="4107" xr:uid="{00000000-0005-0000-0000-0000C9760000}"/>
    <cellStyle name="Normal 33 2 2" xfId="5643" xr:uid="{00000000-0005-0000-0000-0000CA760000}"/>
    <cellStyle name="Normal 33 2 2 2" xfId="6795" xr:uid="{00000000-0005-0000-0000-0000CB760000}"/>
    <cellStyle name="Normal 33 2 2 2 2" xfId="7482" xr:uid="{00000000-0005-0000-0000-0000CC760000}"/>
    <cellStyle name="Normal 33 2 2 2 2 2" xfId="9361" xr:uid="{00000000-0005-0000-0000-0000CD760000}"/>
    <cellStyle name="Normal 33 2 2 2 2 2 2" xfId="11740" xr:uid="{00000000-0005-0000-0000-0000CE760000}"/>
    <cellStyle name="Normal 33 2 2 2 2 2 2 2" xfId="18947" xr:uid="{00000000-0005-0000-0000-0000CF760000}"/>
    <cellStyle name="Normal 33 2 2 2 2 2 2 2 2" xfId="32005" xr:uid="{00000000-0005-0000-0000-0000D0760000}"/>
    <cellStyle name="Normal 33 2 2 2 2 2 2 3" xfId="18948" xr:uid="{00000000-0005-0000-0000-0000D1760000}"/>
    <cellStyle name="Normal 33 2 2 2 2 2 2 3 2" xfId="32006" xr:uid="{00000000-0005-0000-0000-0000D2760000}"/>
    <cellStyle name="Normal 33 2 2 2 2 2 2 4" xfId="25110" xr:uid="{00000000-0005-0000-0000-0000D3760000}"/>
    <cellStyle name="Normal 33 2 2 2 2 2 3" xfId="18949" xr:uid="{00000000-0005-0000-0000-0000D4760000}"/>
    <cellStyle name="Normal 33 2 2 2 2 2 3 2" xfId="32007" xr:uid="{00000000-0005-0000-0000-0000D5760000}"/>
    <cellStyle name="Normal 33 2 2 2 2 2 4" xfId="18950" xr:uid="{00000000-0005-0000-0000-0000D6760000}"/>
    <cellStyle name="Normal 33 2 2 2 2 2 4 2" xfId="32008" xr:uid="{00000000-0005-0000-0000-0000D7760000}"/>
    <cellStyle name="Normal 33 2 2 2 2 2 5" xfId="22954" xr:uid="{00000000-0005-0000-0000-0000D8760000}"/>
    <cellStyle name="Normal 33 2 2 2 2 3" xfId="10662" xr:uid="{00000000-0005-0000-0000-0000D9760000}"/>
    <cellStyle name="Normal 33 2 2 2 2 3 2" xfId="18951" xr:uid="{00000000-0005-0000-0000-0000DA760000}"/>
    <cellStyle name="Normal 33 2 2 2 2 3 2 2" xfId="32009" xr:uid="{00000000-0005-0000-0000-0000DB760000}"/>
    <cellStyle name="Normal 33 2 2 2 2 3 3" xfId="18952" xr:uid="{00000000-0005-0000-0000-0000DC760000}"/>
    <cellStyle name="Normal 33 2 2 2 2 3 3 2" xfId="32010" xr:uid="{00000000-0005-0000-0000-0000DD760000}"/>
    <cellStyle name="Normal 33 2 2 2 2 3 4" xfId="24032" xr:uid="{00000000-0005-0000-0000-0000DE760000}"/>
    <cellStyle name="Normal 33 2 2 2 2 4" xfId="18953" xr:uid="{00000000-0005-0000-0000-0000DF760000}"/>
    <cellStyle name="Normal 33 2 2 2 2 4 2" xfId="32011" xr:uid="{00000000-0005-0000-0000-0000E0760000}"/>
    <cellStyle name="Normal 33 2 2 2 2 5" xfId="18954" xr:uid="{00000000-0005-0000-0000-0000E1760000}"/>
    <cellStyle name="Normal 33 2 2 2 2 5 2" xfId="32012" xr:uid="{00000000-0005-0000-0000-0000E2760000}"/>
    <cellStyle name="Normal 33 2 2 2 2 6" xfId="21876" xr:uid="{00000000-0005-0000-0000-0000E3760000}"/>
    <cellStyle name="Normal 33 2 2 2 3" xfId="8815" xr:uid="{00000000-0005-0000-0000-0000E4760000}"/>
    <cellStyle name="Normal 33 2 2 2 3 2" xfId="11200" xr:uid="{00000000-0005-0000-0000-0000E5760000}"/>
    <cellStyle name="Normal 33 2 2 2 3 2 2" xfId="18955" xr:uid="{00000000-0005-0000-0000-0000E6760000}"/>
    <cellStyle name="Normal 33 2 2 2 3 2 2 2" xfId="32013" xr:uid="{00000000-0005-0000-0000-0000E7760000}"/>
    <cellStyle name="Normal 33 2 2 2 3 2 3" xfId="18956" xr:uid="{00000000-0005-0000-0000-0000E8760000}"/>
    <cellStyle name="Normal 33 2 2 2 3 2 3 2" xfId="32014" xr:uid="{00000000-0005-0000-0000-0000E9760000}"/>
    <cellStyle name="Normal 33 2 2 2 3 2 4" xfId="24570" xr:uid="{00000000-0005-0000-0000-0000EA760000}"/>
    <cellStyle name="Normal 33 2 2 2 3 3" xfId="18957" xr:uid="{00000000-0005-0000-0000-0000EB760000}"/>
    <cellStyle name="Normal 33 2 2 2 3 3 2" xfId="32015" xr:uid="{00000000-0005-0000-0000-0000EC760000}"/>
    <cellStyle name="Normal 33 2 2 2 3 4" xfId="18958" xr:uid="{00000000-0005-0000-0000-0000ED760000}"/>
    <cellStyle name="Normal 33 2 2 2 3 4 2" xfId="32016" xr:uid="{00000000-0005-0000-0000-0000EE760000}"/>
    <cellStyle name="Normal 33 2 2 2 3 5" xfId="22414" xr:uid="{00000000-0005-0000-0000-0000EF760000}"/>
    <cellStyle name="Normal 33 2 2 2 4" xfId="10122" xr:uid="{00000000-0005-0000-0000-0000F0760000}"/>
    <cellStyle name="Normal 33 2 2 2 4 2" xfId="18959" xr:uid="{00000000-0005-0000-0000-0000F1760000}"/>
    <cellStyle name="Normal 33 2 2 2 4 2 2" xfId="32017" xr:uid="{00000000-0005-0000-0000-0000F2760000}"/>
    <cellStyle name="Normal 33 2 2 2 4 3" xfId="18960" xr:uid="{00000000-0005-0000-0000-0000F3760000}"/>
    <cellStyle name="Normal 33 2 2 2 4 3 2" xfId="32018" xr:uid="{00000000-0005-0000-0000-0000F4760000}"/>
    <cellStyle name="Normal 33 2 2 2 4 4" xfId="23492" xr:uid="{00000000-0005-0000-0000-0000F5760000}"/>
    <cellStyle name="Normal 33 2 2 2 5" xfId="18961" xr:uid="{00000000-0005-0000-0000-0000F6760000}"/>
    <cellStyle name="Normal 33 2 2 2 5 2" xfId="32019" xr:uid="{00000000-0005-0000-0000-0000F7760000}"/>
    <cellStyle name="Normal 33 2 2 2 6" xfId="18962" xr:uid="{00000000-0005-0000-0000-0000F8760000}"/>
    <cellStyle name="Normal 33 2 2 2 6 2" xfId="32020" xr:uid="{00000000-0005-0000-0000-0000F9760000}"/>
    <cellStyle name="Normal 33 2 2 2 7" xfId="21336" xr:uid="{00000000-0005-0000-0000-0000FA760000}"/>
    <cellStyle name="Normal 33 2 2 3" xfId="7213" xr:uid="{00000000-0005-0000-0000-0000FB760000}"/>
    <cellStyle name="Normal 33 2 2 3 2" xfId="9092" xr:uid="{00000000-0005-0000-0000-0000FC760000}"/>
    <cellStyle name="Normal 33 2 2 3 2 2" xfId="11471" xr:uid="{00000000-0005-0000-0000-0000FD760000}"/>
    <cellStyle name="Normal 33 2 2 3 2 2 2" xfId="18963" xr:uid="{00000000-0005-0000-0000-0000FE760000}"/>
    <cellStyle name="Normal 33 2 2 3 2 2 2 2" xfId="32021" xr:uid="{00000000-0005-0000-0000-0000FF760000}"/>
    <cellStyle name="Normal 33 2 2 3 2 2 3" xfId="18964" xr:uid="{00000000-0005-0000-0000-000000770000}"/>
    <cellStyle name="Normal 33 2 2 3 2 2 3 2" xfId="32022" xr:uid="{00000000-0005-0000-0000-000001770000}"/>
    <cellStyle name="Normal 33 2 2 3 2 2 4" xfId="24841" xr:uid="{00000000-0005-0000-0000-000002770000}"/>
    <cellStyle name="Normal 33 2 2 3 2 3" xfId="18965" xr:uid="{00000000-0005-0000-0000-000003770000}"/>
    <cellStyle name="Normal 33 2 2 3 2 3 2" xfId="32023" xr:uid="{00000000-0005-0000-0000-000004770000}"/>
    <cellStyle name="Normal 33 2 2 3 2 4" xfId="18966" xr:uid="{00000000-0005-0000-0000-000005770000}"/>
    <cellStyle name="Normal 33 2 2 3 2 4 2" xfId="32024" xr:uid="{00000000-0005-0000-0000-000006770000}"/>
    <cellStyle name="Normal 33 2 2 3 2 5" xfId="22685" xr:uid="{00000000-0005-0000-0000-000007770000}"/>
    <cellStyle name="Normal 33 2 2 3 3" xfId="10393" xr:uid="{00000000-0005-0000-0000-000008770000}"/>
    <cellStyle name="Normal 33 2 2 3 3 2" xfId="18967" xr:uid="{00000000-0005-0000-0000-000009770000}"/>
    <cellStyle name="Normal 33 2 2 3 3 2 2" xfId="32025" xr:uid="{00000000-0005-0000-0000-00000A770000}"/>
    <cellStyle name="Normal 33 2 2 3 3 3" xfId="18968" xr:uid="{00000000-0005-0000-0000-00000B770000}"/>
    <cellStyle name="Normal 33 2 2 3 3 3 2" xfId="32026" xr:uid="{00000000-0005-0000-0000-00000C770000}"/>
    <cellStyle name="Normal 33 2 2 3 3 4" xfId="23763" xr:uid="{00000000-0005-0000-0000-00000D770000}"/>
    <cellStyle name="Normal 33 2 2 3 4" xfId="18969" xr:uid="{00000000-0005-0000-0000-00000E770000}"/>
    <cellStyle name="Normal 33 2 2 3 4 2" xfId="32027" xr:uid="{00000000-0005-0000-0000-00000F770000}"/>
    <cellStyle name="Normal 33 2 2 3 5" xfId="18970" xr:uid="{00000000-0005-0000-0000-000010770000}"/>
    <cellStyle name="Normal 33 2 2 3 5 2" xfId="32028" xr:uid="{00000000-0005-0000-0000-000011770000}"/>
    <cellStyle name="Normal 33 2 2 3 6" xfId="21607" xr:uid="{00000000-0005-0000-0000-000012770000}"/>
    <cellStyle name="Normal 33 2 2 4" xfId="8490" xr:uid="{00000000-0005-0000-0000-000013770000}"/>
    <cellStyle name="Normal 33 2 2 4 2" xfId="10931" xr:uid="{00000000-0005-0000-0000-000014770000}"/>
    <cellStyle name="Normal 33 2 2 4 2 2" xfId="18971" xr:uid="{00000000-0005-0000-0000-000015770000}"/>
    <cellStyle name="Normal 33 2 2 4 2 2 2" xfId="32029" xr:uid="{00000000-0005-0000-0000-000016770000}"/>
    <cellStyle name="Normal 33 2 2 4 2 3" xfId="18972" xr:uid="{00000000-0005-0000-0000-000017770000}"/>
    <cellStyle name="Normal 33 2 2 4 2 3 2" xfId="32030" xr:uid="{00000000-0005-0000-0000-000018770000}"/>
    <cellStyle name="Normal 33 2 2 4 2 4" xfId="24301" xr:uid="{00000000-0005-0000-0000-000019770000}"/>
    <cellStyle name="Normal 33 2 2 4 3" xfId="18973" xr:uid="{00000000-0005-0000-0000-00001A770000}"/>
    <cellStyle name="Normal 33 2 2 4 3 2" xfId="32031" xr:uid="{00000000-0005-0000-0000-00001B770000}"/>
    <cellStyle name="Normal 33 2 2 4 4" xfId="18974" xr:uid="{00000000-0005-0000-0000-00001C770000}"/>
    <cellStyle name="Normal 33 2 2 4 4 2" xfId="32032" xr:uid="{00000000-0005-0000-0000-00001D770000}"/>
    <cellStyle name="Normal 33 2 2 4 5" xfId="22145" xr:uid="{00000000-0005-0000-0000-00001E770000}"/>
    <cellStyle name="Normal 33 2 2 5" xfId="9853" xr:uid="{00000000-0005-0000-0000-00001F770000}"/>
    <cellStyle name="Normal 33 2 2 5 2" xfId="18975" xr:uid="{00000000-0005-0000-0000-000020770000}"/>
    <cellStyle name="Normal 33 2 2 5 2 2" xfId="32033" xr:uid="{00000000-0005-0000-0000-000021770000}"/>
    <cellStyle name="Normal 33 2 2 5 3" xfId="18976" xr:uid="{00000000-0005-0000-0000-000022770000}"/>
    <cellStyle name="Normal 33 2 2 5 3 2" xfId="32034" xr:uid="{00000000-0005-0000-0000-000023770000}"/>
    <cellStyle name="Normal 33 2 2 5 4" xfId="23223" xr:uid="{00000000-0005-0000-0000-000024770000}"/>
    <cellStyle name="Normal 33 2 2 6" xfId="18977" xr:uid="{00000000-0005-0000-0000-000025770000}"/>
    <cellStyle name="Normal 33 2 2 6 2" xfId="32035" xr:uid="{00000000-0005-0000-0000-000026770000}"/>
    <cellStyle name="Normal 33 2 2 7" xfId="18978" xr:uid="{00000000-0005-0000-0000-000027770000}"/>
    <cellStyle name="Normal 33 2 2 7 2" xfId="32036" xr:uid="{00000000-0005-0000-0000-000028770000}"/>
    <cellStyle name="Normal 33 2 2 8" xfId="21067" xr:uid="{00000000-0005-0000-0000-000029770000}"/>
    <cellStyle name="Normal 33 2 3" xfId="6644" xr:uid="{00000000-0005-0000-0000-00002A770000}"/>
    <cellStyle name="Normal 33 2 3 2" xfId="7340" xr:uid="{00000000-0005-0000-0000-00002B770000}"/>
    <cellStyle name="Normal 33 2 3 2 2" xfId="9219" xr:uid="{00000000-0005-0000-0000-00002C770000}"/>
    <cellStyle name="Normal 33 2 3 2 2 2" xfId="11598" xr:uid="{00000000-0005-0000-0000-00002D770000}"/>
    <cellStyle name="Normal 33 2 3 2 2 2 2" xfId="18979" xr:uid="{00000000-0005-0000-0000-00002E770000}"/>
    <cellStyle name="Normal 33 2 3 2 2 2 2 2" xfId="32037" xr:uid="{00000000-0005-0000-0000-00002F770000}"/>
    <cellStyle name="Normal 33 2 3 2 2 2 3" xfId="18980" xr:uid="{00000000-0005-0000-0000-000030770000}"/>
    <cellStyle name="Normal 33 2 3 2 2 2 3 2" xfId="32038" xr:uid="{00000000-0005-0000-0000-000031770000}"/>
    <cellStyle name="Normal 33 2 3 2 2 2 4" xfId="24968" xr:uid="{00000000-0005-0000-0000-000032770000}"/>
    <cellStyle name="Normal 33 2 3 2 2 3" xfId="18981" xr:uid="{00000000-0005-0000-0000-000033770000}"/>
    <cellStyle name="Normal 33 2 3 2 2 3 2" xfId="32039" xr:uid="{00000000-0005-0000-0000-000034770000}"/>
    <cellStyle name="Normal 33 2 3 2 2 4" xfId="18982" xr:uid="{00000000-0005-0000-0000-000035770000}"/>
    <cellStyle name="Normal 33 2 3 2 2 4 2" xfId="32040" xr:uid="{00000000-0005-0000-0000-000036770000}"/>
    <cellStyle name="Normal 33 2 3 2 2 5" xfId="22812" xr:uid="{00000000-0005-0000-0000-000037770000}"/>
    <cellStyle name="Normal 33 2 3 2 3" xfId="10520" xr:uid="{00000000-0005-0000-0000-000038770000}"/>
    <cellStyle name="Normal 33 2 3 2 3 2" xfId="18983" xr:uid="{00000000-0005-0000-0000-000039770000}"/>
    <cellStyle name="Normal 33 2 3 2 3 2 2" xfId="32041" xr:uid="{00000000-0005-0000-0000-00003A770000}"/>
    <cellStyle name="Normal 33 2 3 2 3 3" xfId="18984" xr:uid="{00000000-0005-0000-0000-00003B770000}"/>
    <cellStyle name="Normal 33 2 3 2 3 3 2" xfId="32042" xr:uid="{00000000-0005-0000-0000-00003C770000}"/>
    <cellStyle name="Normal 33 2 3 2 3 4" xfId="23890" xr:uid="{00000000-0005-0000-0000-00003D770000}"/>
    <cellStyle name="Normal 33 2 3 2 4" xfId="18985" xr:uid="{00000000-0005-0000-0000-00003E770000}"/>
    <cellStyle name="Normal 33 2 3 2 4 2" xfId="32043" xr:uid="{00000000-0005-0000-0000-00003F770000}"/>
    <cellStyle name="Normal 33 2 3 2 5" xfId="18986" xr:uid="{00000000-0005-0000-0000-000040770000}"/>
    <cellStyle name="Normal 33 2 3 2 5 2" xfId="32044" xr:uid="{00000000-0005-0000-0000-000041770000}"/>
    <cellStyle name="Normal 33 2 3 2 6" xfId="21734" xr:uid="{00000000-0005-0000-0000-000042770000}"/>
    <cellStyle name="Normal 33 2 3 3" xfId="8672" xr:uid="{00000000-0005-0000-0000-000043770000}"/>
    <cellStyle name="Normal 33 2 3 3 2" xfId="11058" xr:uid="{00000000-0005-0000-0000-000044770000}"/>
    <cellStyle name="Normal 33 2 3 3 2 2" xfId="18987" xr:uid="{00000000-0005-0000-0000-000045770000}"/>
    <cellStyle name="Normal 33 2 3 3 2 2 2" xfId="32045" xr:uid="{00000000-0005-0000-0000-000046770000}"/>
    <cellStyle name="Normal 33 2 3 3 2 3" xfId="18988" xr:uid="{00000000-0005-0000-0000-000047770000}"/>
    <cellStyle name="Normal 33 2 3 3 2 3 2" xfId="32046" xr:uid="{00000000-0005-0000-0000-000048770000}"/>
    <cellStyle name="Normal 33 2 3 3 2 4" xfId="24428" xr:uid="{00000000-0005-0000-0000-000049770000}"/>
    <cellStyle name="Normal 33 2 3 3 3" xfId="18989" xr:uid="{00000000-0005-0000-0000-00004A770000}"/>
    <cellStyle name="Normal 33 2 3 3 3 2" xfId="32047" xr:uid="{00000000-0005-0000-0000-00004B770000}"/>
    <cellStyle name="Normal 33 2 3 3 4" xfId="18990" xr:uid="{00000000-0005-0000-0000-00004C770000}"/>
    <cellStyle name="Normal 33 2 3 3 4 2" xfId="32048" xr:uid="{00000000-0005-0000-0000-00004D770000}"/>
    <cellStyle name="Normal 33 2 3 3 5" xfId="22272" xr:uid="{00000000-0005-0000-0000-00004E770000}"/>
    <cellStyle name="Normal 33 2 3 4" xfId="9980" xr:uid="{00000000-0005-0000-0000-00004F770000}"/>
    <cellStyle name="Normal 33 2 3 4 2" xfId="18991" xr:uid="{00000000-0005-0000-0000-000050770000}"/>
    <cellStyle name="Normal 33 2 3 4 2 2" xfId="32049" xr:uid="{00000000-0005-0000-0000-000051770000}"/>
    <cellStyle name="Normal 33 2 3 4 3" xfId="18992" xr:uid="{00000000-0005-0000-0000-000052770000}"/>
    <cellStyle name="Normal 33 2 3 4 3 2" xfId="32050" xr:uid="{00000000-0005-0000-0000-000053770000}"/>
    <cellStyle name="Normal 33 2 3 4 4" xfId="23350" xr:uid="{00000000-0005-0000-0000-000054770000}"/>
    <cellStyle name="Normal 33 2 3 5" xfId="18993" xr:uid="{00000000-0005-0000-0000-000055770000}"/>
    <cellStyle name="Normal 33 2 3 5 2" xfId="32051" xr:uid="{00000000-0005-0000-0000-000056770000}"/>
    <cellStyle name="Normal 33 2 3 6" xfId="18994" xr:uid="{00000000-0005-0000-0000-000057770000}"/>
    <cellStyle name="Normal 33 2 3 6 2" xfId="32052" xr:uid="{00000000-0005-0000-0000-000058770000}"/>
    <cellStyle name="Normal 33 2 3 7" xfId="21194" xr:uid="{00000000-0005-0000-0000-000059770000}"/>
    <cellStyle name="Normal 33 2 4" xfId="7070" xr:uid="{00000000-0005-0000-0000-00005A770000}"/>
    <cellStyle name="Normal 33 2 4 2" xfId="8950" xr:uid="{00000000-0005-0000-0000-00005B770000}"/>
    <cellStyle name="Normal 33 2 4 2 2" xfId="11329" xr:uid="{00000000-0005-0000-0000-00005C770000}"/>
    <cellStyle name="Normal 33 2 4 2 2 2" xfId="18995" xr:uid="{00000000-0005-0000-0000-00005D770000}"/>
    <cellStyle name="Normal 33 2 4 2 2 2 2" xfId="32053" xr:uid="{00000000-0005-0000-0000-00005E770000}"/>
    <cellStyle name="Normal 33 2 4 2 2 3" xfId="18996" xr:uid="{00000000-0005-0000-0000-00005F770000}"/>
    <cellStyle name="Normal 33 2 4 2 2 3 2" xfId="32054" xr:uid="{00000000-0005-0000-0000-000060770000}"/>
    <cellStyle name="Normal 33 2 4 2 2 4" xfId="24699" xr:uid="{00000000-0005-0000-0000-000061770000}"/>
    <cellStyle name="Normal 33 2 4 2 3" xfId="18997" xr:uid="{00000000-0005-0000-0000-000062770000}"/>
    <cellStyle name="Normal 33 2 4 2 3 2" xfId="32055" xr:uid="{00000000-0005-0000-0000-000063770000}"/>
    <cellStyle name="Normal 33 2 4 2 4" xfId="18998" xr:uid="{00000000-0005-0000-0000-000064770000}"/>
    <cellStyle name="Normal 33 2 4 2 4 2" xfId="32056" xr:uid="{00000000-0005-0000-0000-000065770000}"/>
    <cellStyle name="Normal 33 2 4 2 5" xfId="22543" xr:uid="{00000000-0005-0000-0000-000066770000}"/>
    <cellStyle name="Normal 33 2 4 3" xfId="10251" xr:uid="{00000000-0005-0000-0000-000067770000}"/>
    <cellStyle name="Normal 33 2 4 3 2" xfId="18999" xr:uid="{00000000-0005-0000-0000-000068770000}"/>
    <cellStyle name="Normal 33 2 4 3 2 2" xfId="32057" xr:uid="{00000000-0005-0000-0000-000069770000}"/>
    <cellStyle name="Normal 33 2 4 3 3" xfId="19000" xr:uid="{00000000-0005-0000-0000-00006A770000}"/>
    <cellStyle name="Normal 33 2 4 3 3 2" xfId="32058" xr:uid="{00000000-0005-0000-0000-00006B770000}"/>
    <cellStyle name="Normal 33 2 4 3 4" xfId="23621" xr:uid="{00000000-0005-0000-0000-00006C770000}"/>
    <cellStyle name="Normal 33 2 4 4" xfId="19001" xr:uid="{00000000-0005-0000-0000-00006D770000}"/>
    <cellStyle name="Normal 33 2 4 4 2" xfId="32059" xr:uid="{00000000-0005-0000-0000-00006E770000}"/>
    <cellStyle name="Normal 33 2 4 5" xfId="19002" xr:uid="{00000000-0005-0000-0000-00006F770000}"/>
    <cellStyle name="Normal 33 2 4 5 2" xfId="32060" xr:uid="{00000000-0005-0000-0000-000070770000}"/>
    <cellStyle name="Normal 33 2 4 6" xfId="21465" xr:uid="{00000000-0005-0000-0000-000071770000}"/>
    <cellStyle name="Normal 33 2 5" xfId="8274" xr:uid="{00000000-0005-0000-0000-000072770000}"/>
    <cellStyle name="Normal 33 2 5 2" xfId="10789" xr:uid="{00000000-0005-0000-0000-000073770000}"/>
    <cellStyle name="Normal 33 2 5 2 2" xfId="19003" xr:uid="{00000000-0005-0000-0000-000074770000}"/>
    <cellStyle name="Normal 33 2 5 2 2 2" xfId="32061" xr:uid="{00000000-0005-0000-0000-000075770000}"/>
    <cellStyle name="Normal 33 2 5 2 3" xfId="19004" xr:uid="{00000000-0005-0000-0000-000076770000}"/>
    <cellStyle name="Normal 33 2 5 2 3 2" xfId="32062" xr:uid="{00000000-0005-0000-0000-000077770000}"/>
    <cellStyle name="Normal 33 2 5 2 4" xfId="24159" xr:uid="{00000000-0005-0000-0000-000078770000}"/>
    <cellStyle name="Normal 33 2 5 3" xfId="19005" xr:uid="{00000000-0005-0000-0000-000079770000}"/>
    <cellStyle name="Normal 33 2 5 3 2" xfId="32063" xr:uid="{00000000-0005-0000-0000-00007A770000}"/>
    <cellStyle name="Normal 33 2 5 4" xfId="19006" xr:uid="{00000000-0005-0000-0000-00007B770000}"/>
    <cellStyle name="Normal 33 2 5 4 2" xfId="32064" xr:uid="{00000000-0005-0000-0000-00007C770000}"/>
    <cellStyle name="Normal 33 2 5 5" xfId="22003" xr:uid="{00000000-0005-0000-0000-00007D770000}"/>
    <cellStyle name="Normal 33 2 6" xfId="9710" xr:uid="{00000000-0005-0000-0000-00007E770000}"/>
    <cellStyle name="Normal 33 2 6 2" xfId="19007" xr:uid="{00000000-0005-0000-0000-00007F770000}"/>
    <cellStyle name="Normal 33 2 6 2 2" xfId="32065" xr:uid="{00000000-0005-0000-0000-000080770000}"/>
    <cellStyle name="Normal 33 2 6 3" xfId="19008" xr:uid="{00000000-0005-0000-0000-000081770000}"/>
    <cellStyle name="Normal 33 2 6 3 2" xfId="32066" xr:uid="{00000000-0005-0000-0000-000082770000}"/>
    <cellStyle name="Normal 33 2 6 4" xfId="23081" xr:uid="{00000000-0005-0000-0000-000083770000}"/>
    <cellStyle name="Normal 33 2 7" xfId="19009" xr:uid="{00000000-0005-0000-0000-000084770000}"/>
    <cellStyle name="Normal 33 2 7 2" xfId="32067" xr:uid="{00000000-0005-0000-0000-000085770000}"/>
    <cellStyle name="Normal 33 2 8" xfId="19010" xr:uid="{00000000-0005-0000-0000-000086770000}"/>
    <cellStyle name="Normal 33 2 8 2" xfId="32068" xr:uid="{00000000-0005-0000-0000-000087770000}"/>
    <cellStyle name="Normal 33 2 9" xfId="20924" xr:uid="{00000000-0005-0000-0000-000088770000}"/>
    <cellStyle name="Normal 33 3" xfId="5555" xr:uid="{00000000-0005-0000-0000-000089770000}"/>
    <cellStyle name="Normal 33 3 2" xfId="6739" xr:uid="{00000000-0005-0000-0000-00008A770000}"/>
    <cellStyle name="Normal 33 3 2 2" xfId="7426" xr:uid="{00000000-0005-0000-0000-00008B770000}"/>
    <cellStyle name="Normal 33 3 2 2 2" xfId="9305" xr:uid="{00000000-0005-0000-0000-00008C770000}"/>
    <cellStyle name="Normal 33 3 2 2 2 2" xfId="11684" xr:uid="{00000000-0005-0000-0000-00008D770000}"/>
    <cellStyle name="Normal 33 3 2 2 2 2 2" xfId="19011" xr:uid="{00000000-0005-0000-0000-00008E770000}"/>
    <cellStyle name="Normal 33 3 2 2 2 2 2 2" xfId="32069" xr:uid="{00000000-0005-0000-0000-00008F770000}"/>
    <cellStyle name="Normal 33 3 2 2 2 2 3" xfId="19012" xr:uid="{00000000-0005-0000-0000-000090770000}"/>
    <cellStyle name="Normal 33 3 2 2 2 2 3 2" xfId="32070" xr:uid="{00000000-0005-0000-0000-000091770000}"/>
    <cellStyle name="Normal 33 3 2 2 2 2 4" xfId="25054" xr:uid="{00000000-0005-0000-0000-000092770000}"/>
    <cellStyle name="Normal 33 3 2 2 2 3" xfId="19013" xr:uid="{00000000-0005-0000-0000-000093770000}"/>
    <cellStyle name="Normal 33 3 2 2 2 3 2" xfId="32071" xr:uid="{00000000-0005-0000-0000-000094770000}"/>
    <cellStyle name="Normal 33 3 2 2 2 4" xfId="19014" xr:uid="{00000000-0005-0000-0000-000095770000}"/>
    <cellStyle name="Normal 33 3 2 2 2 4 2" xfId="32072" xr:uid="{00000000-0005-0000-0000-000096770000}"/>
    <cellStyle name="Normal 33 3 2 2 2 5" xfId="22898" xr:uid="{00000000-0005-0000-0000-000097770000}"/>
    <cellStyle name="Normal 33 3 2 2 3" xfId="10606" xr:uid="{00000000-0005-0000-0000-000098770000}"/>
    <cellStyle name="Normal 33 3 2 2 3 2" xfId="19015" xr:uid="{00000000-0005-0000-0000-000099770000}"/>
    <cellStyle name="Normal 33 3 2 2 3 2 2" xfId="32073" xr:uid="{00000000-0005-0000-0000-00009A770000}"/>
    <cellStyle name="Normal 33 3 2 2 3 3" xfId="19016" xr:uid="{00000000-0005-0000-0000-00009B770000}"/>
    <cellStyle name="Normal 33 3 2 2 3 3 2" xfId="32074" xr:uid="{00000000-0005-0000-0000-00009C770000}"/>
    <cellStyle name="Normal 33 3 2 2 3 4" xfId="23976" xr:uid="{00000000-0005-0000-0000-00009D770000}"/>
    <cellStyle name="Normal 33 3 2 2 4" xfId="19017" xr:uid="{00000000-0005-0000-0000-00009E770000}"/>
    <cellStyle name="Normal 33 3 2 2 4 2" xfId="32075" xr:uid="{00000000-0005-0000-0000-00009F770000}"/>
    <cellStyle name="Normal 33 3 2 2 5" xfId="19018" xr:uid="{00000000-0005-0000-0000-0000A0770000}"/>
    <cellStyle name="Normal 33 3 2 2 5 2" xfId="32076" xr:uid="{00000000-0005-0000-0000-0000A1770000}"/>
    <cellStyle name="Normal 33 3 2 2 6" xfId="21820" xr:uid="{00000000-0005-0000-0000-0000A2770000}"/>
    <cellStyle name="Normal 33 3 2 3" xfId="8759" xr:uid="{00000000-0005-0000-0000-0000A3770000}"/>
    <cellStyle name="Normal 33 3 2 3 2" xfId="11144" xr:uid="{00000000-0005-0000-0000-0000A4770000}"/>
    <cellStyle name="Normal 33 3 2 3 2 2" xfId="19019" xr:uid="{00000000-0005-0000-0000-0000A5770000}"/>
    <cellStyle name="Normal 33 3 2 3 2 2 2" xfId="32077" xr:uid="{00000000-0005-0000-0000-0000A6770000}"/>
    <cellStyle name="Normal 33 3 2 3 2 3" xfId="19020" xr:uid="{00000000-0005-0000-0000-0000A7770000}"/>
    <cellStyle name="Normal 33 3 2 3 2 3 2" xfId="32078" xr:uid="{00000000-0005-0000-0000-0000A8770000}"/>
    <cellStyle name="Normal 33 3 2 3 2 4" xfId="24514" xr:uid="{00000000-0005-0000-0000-0000A9770000}"/>
    <cellStyle name="Normal 33 3 2 3 3" xfId="19021" xr:uid="{00000000-0005-0000-0000-0000AA770000}"/>
    <cellStyle name="Normal 33 3 2 3 3 2" xfId="32079" xr:uid="{00000000-0005-0000-0000-0000AB770000}"/>
    <cellStyle name="Normal 33 3 2 3 4" xfId="19022" xr:uid="{00000000-0005-0000-0000-0000AC770000}"/>
    <cellStyle name="Normal 33 3 2 3 4 2" xfId="32080" xr:uid="{00000000-0005-0000-0000-0000AD770000}"/>
    <cellStyle name="Normal 33 3 2 3 5" xfId="22358" xr:uid="{00000000-0005-0000-0000-0000AE770000}"/>
    <cellStyle name="Normal 33 3 2 4" xfId="10066" xr:uid="{00000000-0005-0000-0000-0000AF770000}"/>
    <cellStyle name="Normal 33 3 2 4 2" xfId="19023" xr:uid="{00000000-0005-0000-0000-0000B0770000}"/>
    <cellStyle name="Normal 33 3 2 4 2 2" xfId="32081" xr:uid="{00000000-0005-0000-0000-0000B1770000}"/>
    <cellStyle name="Normal 33 3 2 4 3" xfId="19024" xr:uid="{00000000-0005-0000-0000-0000B2770000}"/>
    <cellStyle name="Normal 33 3 2 4 3 2" xfId="32082" xr:uid="{00000000-0005-0000-0000-0000B3770000}"/>
    <cellStyle name="Normal 33 3 2 4 4" xfId="23436" xr:uid="{00000000-0005-0000-0000-0000B4770000}"/>
    <cellStyle name="Normal 33 3 2 5" xfId="19025" xr:uid="{00000000-0005-0000-0000-0000B5770000}"/>
    <cellStyle name="Normal 33 3 2 5 2" xfId="32083" xr:uid="{00000000-0005-0000-0000-0000B6770000}"/>
    <cellStyle name="Normal 33 3 2 6" xfId="19026" xr:uid="{00000000-0005-0000-0000-0000B7770000}"/>
    <cellStyle name="Normal 33 3 2 6 2" xfId="32084" xr:uid="{00000000-0005-0000-0000-0000B8770000}"/>
    <cellStyle name="Normal 33 3 2 7" xfId="21280" xr:uid="{00000000-0005-0000-0000-0000B9770000}"/>
    <cellStyle name="Normal 33 3 3" xfId="7157" xr:uid="{00000000-0005-0000-0000-0000BA770000}"/>
    <cellStyle name="Normal 33 3 3 2" xfId="9036" xr:uid="{00000000-0005-0000-0000-0000BB770000}"/>
    <cellStyle name="Normal 33 3 3 2 2" xfId="11415" xr:uid="{00000000-0005-0000-0000-0000BC770000}"/>
    <cellStyle name="Normal 33 3 3 2 2 2" xfId="19027" xr:uid="{00000000-0005-0000-0000-0000BD770000}"/>
    <cellStyle name="Normal 33 3 3 2 2 2 2" xfId="32085" xr:uid="{00000000-0005-0000-0000-0000BE770000}"/>
    <cellStyle name="Normal 33 3 3 2 2 3" xfId="19028" xr:uid="{00000000-0005-0000-0000-0000BF770000}"/>
    <cellStyle name="Normal 33 3 3 2 2 3 2" xfId="32086" xr:uid="{00000000-0005-0000-0000-0000C0770000}"/>
    <cellStyle name="Normal 33 3 3 2 2 4" xfId="24785" xr:uid="{00000000-0005-0000-0000-0000C1770000}"/>
    <cellStyle name="Normal 33 3 3 2 3" xfId="19029" xr:uid="{00000000-0005-0000-0000-0000C2770000}"/>
    <cellStyle name="Normal 33 3 3 2 3 2" xfId="32087" xr:uid="{00000000-0005-0000-0000-0000C3770000}"/>
    <cellStyle name="Normal 33 3 3 2 4" xfId="19030" xr:uid="{00000000-0005-0000-0000-0000C4770000}"/>
    <cellStyle name="Normal 33 3 3 2 4 2" xfId="32088" xr:uid="{00000000-0005-0000-0000-0000C5770000}"/>
    <cellStyle name="Normal 33 3 3 2 5" xfId="22629" xr:uid="{00000000-0005-0000-0000-0000C6770000}"/>
    <cellStyle name="Normal 33 3 3 3" xfId="10337" xr:uid="{00000000-0005-0000-0000-0000C7770000}"/>
    <cellStyle name="Normal 33 3 3 3 2" xfId="19031" xr:uid="{00000000-0005-0000-0000-0000C8770000}"/>
    <cellStyle name="Normal 33 3 3 3 2 2" xfId="32089" xr:uid="{00000000-0005-0000-0000-0000C9770000}"/>
    <cellStyle name="Normal 33 3 3 3 3" xfId="19032" xr:uid="{00000000-0005-0000-0000-0000CA770000}"/>
    <cellStyle name="Normal 33 3 3 3 3 2" xfId="32090" xr:uid="{00000000-0005-0000-0000-0000CB770000}"/>
    <cellStyle name="Normal 33 3 3 3 4" xfId="23707" xr:uid="{00000000-0005-0000-0000-0000CC770000}"/>
    <cellStyle name="Normal 33 3 3 4" xfId="19033" xr:uid="{00000000-0005-0000-0000-0000CD770000}"/>
    <cellStyle name="Normal 33 3 3 4 2" xfId="32091" xr:uid="{00000000-0005-0000-0000-0000CE770000}"/>
    <cellStyle name="Normal 33 3 3 5" xfId="19034" xr:uid="{00000000-0005-0000-0000-0000CF770000}"/>
    <cellStyle name="Normal 33 3 3 5 2" xfId="32092" xr:uid="{00000000-0005-0000-0000-0000D0770000}"/>
    <cellStyle name="Normal 33 3 3 6" xfId="21551" xr:uid="{00000000-0005-0000-0000-0000D1770000}"/>
    <cellStyle name="Normal 33 3 4" xfId="8432" xr:uid="{00000000-0005-0000-0000-0000D2770000}"/>
    <cellStyle name="Normal 33 3 4 2" xfId="10875" xr:uid="{00000000-0005-0000-0000-0000D3770000}"/>
    <cellStyle name="Normal 33 3 4 2 2" xfId="19035" xr:uid="{00000000-0005-0000-0000-0000D4770000}"/>
    <cellStyle name="Normal 33 3 4 2 2 2" xfId="32093" xr:uid="{00000000-0005-0000-0000-0000D5770000}"/>
    <cellStyle name="Normal 33 3 4 2 3" xfId="19036" xr:uid="{00000000-0005-0000-0000-0000D6770000}"/>
    <cellStyle name="Normal 33 3 4 2 3 2" xfId="32094" xr:uid="{00000000-0005-0000-0000-0000D7770000}"/>
    <cellStyle name="Normal 33 3 4 2 4" xfId="24245" xr:uid="{00000000-0005-0000-0000-0000D8770000}"/>
    <cellStyle name="Normal 33 3 4 3" xfId="19037" xr:uid="{00000000-0005-0000-0000-0000D9770000}"/>
    <cellStyle name="Normal 33 3 4 3 2" xfId="32095" xr:uid="{00000000-0005-0000-0000-0000DA770000}"/>
    <cellStyle name="Normal 33 3 4 4" xfId="19038" xr:uid="{00000000-0005-0000-0000-0000DB770000}"/>
    <cellStyle name="Normal 33 3 4 4 2" xfId="32096" xr:uid="{00000000-0005-0000-0000-0000DC770000}"/>
    <cellStyle name="Normal 33 3 4 5" xfId="22089" xr:uid="{00000000-0005-0000-0000-0000DD770000}"/>
    <cellStyle name="Normal 33 3 5" xfId="9797" xr:uid="{00000000-0005-0000-0000-0000DE770000}"/>
    <cellStyle name="Normal 33 3 5 2" xfId="19039" xr:uid="{00000000-0005-0000-0000-0000DF770000}"/>
    <cellStyle name="Normal 33 3 5 2 2" xfId="32097" xr:uid="{00000000-0005-0000-0000-0000E0770000}"/>
    <cellStyle name="Normal 33 3 5 3" xfId="19040" xr:uid="{00000000-0005-0000-0000-0000E1770000}"/>
    <cellStyle name="Normal 33 3 5 3 2" xfId="32098" xr:uid="{00000000-0005-0000-0000-0000E2770000}"/>
    <cellStyle name="Normal 33 3 5 4" xfId="23167" xr:uid="{00000000-0005-0000-0000-0000E3770000}"/>
    <cellStyle name="Normal 33 3 6" xfId="19041" xr:uid="{00000000-0005-0000-0000-0000E4770000}"/>
    <cellStyle name="Normal 33 3 6 2" xfId="32099" xr:uid="{00000000-0005-0000-0000-0000E5770000}"/>
    <cellStyle name="Normal 33 3 7" xfId="19042" xr:uid="{00000000-0005-0000-0000-0000E6770000}"/>
    <cellStyle name="Normal 33 3 7 2" xfId="32100" xr:uid="{00000000-0005-0000-0000-0000E7770000}"/>
    <cellStyle name="Normal 33 3 8" xfId="21011" xr:uid="{00000000-0005-0000-0000-0000E8770000}"/>
    <cellStyle name="Normal 33 4" xfId="6589" xr:uid="{00000000-0005-0000-0000-0000E9770000}"/>
    <cellStyle name="Normal 33 4 2" xfId="7285" xr:uid="{00000000-0005-0000-0000-0000EA770000}"/>
    <cellStyle name="Normal 33 4 2 2" xfId="9164" xr:uid="{00000000-0005-0000-0000-0000EB770000}"/>
    <cellStyle name="Normal 33 4 2 2 2" xfId="11543" xr:uid="{00000000-0005-0000-0000-0000EC770000}"/>
    <cellStyle name="Normal 33 4 2 2 2 2" xfId="19043" xr:uid="{00000000-0005-0000-0000-0000ED770000}"/>
    <cellStyle name="Normal 33 4 2 2 2 2 2" xfId="32101" xr:uid="{00000000-0005-0000-0000-0000EE770000}"/>
    <cellStyle name="Normal 33 4 2 2 2 3" xfId="19044" xr:uid="{00000000-0005-0000-0000-0000EF770000}"/>
    <cellStyle name="Normal 33 4 2 2 2 3 2" xfId="32102" xr:uid="{00000000-0005-0000-0000-0000F0770000}"/>
    <cellStyle name="Normal 33 4 2 2 2 4" xfId="24913" xr:uid="{00000000-0005-0000-0000-0000F1770000}"/>
    <cellStyle name="Normal 33 4 2 2 3" xfId="19045" xr:uid="{00000000-0005-0000-0000-0000F2770000}"/>
    <cellStyle name="Normal 33 4 2 2 3 2" xfId="32103" xr:uid="{00000000-0005-0000-0000-0000F3770000}"/>
    <cellStyle name="Normal 33 4 2 2 4" xfId="19046" xr:uid="{00000000-0005-0000-0000-0000F4770000}"/>
    <cellStyle name="Normal 33 4 2 2 4 2" xfId="32104" xr:uid="{00000000-0005-0000-0000-0000F5770000}"/>
    <cellStyle name="Normal 33 4 2 2 5" xfId="22757" xr:uid="{00000000-0005-0000-0000-0000F6770000}"/>
    <cellStyle name="Normal 33 4 2 3" xfId="10465" xr:uid="{00000000-0005-0000-0000-0000F7770000}"/>
    <cellStyle name="Normal 33 4 2 3 2" xfId="19047" xr:uid="{00000000-0005-0000-0000-0000F8770000}"/>
    <cellStyle name="Normal 33 4 2 3 2 2" xfId="32105" xr:uid="{00000000-0005-0000-0000-0000F9770000}"/>
    <cellStyle name="Normal 33 4 2 3 3" xfId="19048" xr:uid="{00000000-0005-0000-0000-0000FA770000}"/>
    <cellStyle name="Normal 33 4 2 3 3 2" xfId="32106" xr:uid="{00000000-0005-0000-0000-0000FB770000}"/>
    <cellStyle name="Normal 33 4 2 3 4" xfId="23835" xr:uid="{00000000-0005-0000-0000-0000FC770000}"/>
    <cellStyle name="Normal 33 4 2 4" xfId="19049" xr:uid="{00000000-0005-0000-0000-0000FD770000}"/>
    <cellStyle name="Normal 33 4 2 4 2" xfId="32107" xr:uid="{00000000-0005-0000-0000-0000FE770000}"/>
    <cellStyle name="Normal 33 4 2 5" xfId="19050" xr:uid="{00000000-0005-0000-0000-0000FF770000}"/>
    <cellStyle name="Normal 33 4 2 5 2" xfId="32108" xr:uid="{00000000-0005-0000-0000-000000780000}"/>
    <cellStyle name="Normal 33 4 2 6" xfId="21679" xr:uid="{00000000-0005-0000-0000-000001780000}"/>
    <cellStyle name="Normal 33 4 3" xfId="8617" xr:uid="{00000000-0005-0000-0000-000002780000}"/>
    <cellStyle name="Normal 33 4 3 2" xfId="11003" xr:uid="{00000000-0005-0000-0000-000003780000}"/>
    <cellStyle name="Normal 33 4 3 2 2" xfId="19051" xr:uid="{00000000-0005-0000-0000-000004780000}"/>
    <cellStyle name="Normal 33 4 3 2 2 2" xfId="32109" xr:uid="{00000000-0005-0000-0000-000005780000}"/>
    <cellStyle name="Normal 33 4 3 2 3" xfId="19052" xr:uid="{00000000-0005-0000-0000-000006780000}"/>
    <cellStyle name="Normal 33 4 3 2 3 2" xfId="32110" xr:uid="{00000000-0005-0000-0000-000007780000}"/>
    <cellStyle name="Normal 33 4 3 2 4" xfId="24373" xr:uid="{00000000-0005-0000-0000-000008780000}"/>
    <cellStyle name="Normal 33 4 3 3" xfId="19053" xr:uid="{00000000-0005-0000-0000-000009780000}"/>
    <cellStyle name="Normal 33 4 3 3 2" xfId="32111" xr:uid="{00000000-0005-0000-0000-00000A780000}"/>
    <cellStyle name="Normal 33 4 3 4" xfId="19054" xr:uid="{00000000-0005-0000-0000-00000B780000}"/>
    <cellStyle name="Normal 33 4 3 4 2" xfId="32112" xr:uid="{00000000-0005-0000-0000-00000C780000}"/>
    <cellStyle name="Normal 33 4 3 5" xfId="22217" xr:uid="{00000000-0005-0000-0000-00000D780000}"/>
    <cellStyle name="Normal 33 4 4" xfId="9925" xr:uid="{00000000-0005-0000-0000-00000E780000}"/>
    <cellStyle name="Normal 33 4 4 2" xfId="19055" xr:uid="{00000000-0005-0000-0000-00000F780000}"/>
    <cellStyle name="Normal 33 4 4 2 2" xfId="32113" xr:uid="{00000000-0005-0000-0000-000010780000}"/>
    <cellStyle name="Normal 33 4 4 3" xfId="19056" xr:uid="{00000000-0005-0000-0000-000011780000}"/>
    <cellStyle name="Normal 33 4 4 3 2" xfId="32114" xr:uid="{00000000-0005-0000-0000-000012780000}"/>
    <cellStyle name="Normal 33 4 4 4" xfId="23295" xr:uid="{00000000-0005-0000-0000-000013780000}"/>
    <cellStyle name="Normal 33 4 5" xfId="19057" xr:uid="{00000000-0005-0000-0000-000014780000}"/>
    <cellStyle name="Normal 33 4 5 2" xfId="32115" xr:uid="{00000000-0005-0000-0000-000015780000}"/>
    <cellStyle name="Normal 33 4 6" xfId="19058" xr:uid="{00000000-0005-0000-0000-000016780000}"/>
    <cellStyle name="Normal 33 4 6 2" xfId="32116" xr:uid="{00000000-0005-0000-0000-000017780000}"/>
    <cellStyle name="Normal 33 4 7" xfId="21139" xr:uid="{00000000-0005-0000-0000-000018780000}"/>
    <cellStyle name="Normal 33 5" xfId="7015" xr:uid="{00000000-0005-0000-0000-000019780000}"/>
    <cellStyle name="Normal 33 5 2" xfId="8895" xr:uid="{00000000-0005-0000-0000-00001A780000}"/>
    <cellStyle name="Normal 33 5 2 2" xfId="11274" xr:uid="{00000000-0005-0000-0000-00001B780000}"/>
    <cellStyle name="Normal 33 5 2 2 2" xfId="19059" xr:uid="{00000000-0005-0000-0000-00001C780000}"/>
    <cellStyle name="Normal 33 5 2 2 2 2" xfId="32117" xr:uid="{00000000-0005-0000-0000-00001D780000}"/>
    <cellStyle name="Normal 33 5 2 2 3" xfId="19060" xr:uid="{00000000-0005-0000-0000-00001E780000}"/>
    <cellStyle name="Normal 33 5 2 2 3 2" xfId="32118" xr:uid="{00000000-0005-0000-0000-00001F780000}"/>
    <cellStyle name="Normal 33 5 2 2 4" xfId="24644" xr:uid="{00000000-0005-0000-0000-000020780000}"/>
    <cellStyle name="Normal 33 5 2 3" xfId="19061" xr:uid="{00000000-0005-0000-0000-000021780000}"/>
    <cellStyle name="Normal 33 5 2 3 2" xfId="32119" xr:uid="{00000000-0005-0000-0000-000022780000}"/>
    <cellStyle name="Normal 33 5 2 4" xfId="19062" xr:uid="{00000000-0005-0000-0000-000023780000}"/>
    <cellStyle name="Normal 33 5 2 4 2" xfId="32120" xr:uid="{00000000-0005-0000-0000-000024780000}"/>
    <cellStyle name="Normal 33 5 2 5" xfId="22488" xr:uid="{00000000-0005-0000-0000-000025780000}"/>
    <cellStyle name="Normal 33 5 3" xfId="10196" xr:uid="{00000000-0005-0000-0000-000026780000}"/>
    <cellStyle name="Normal 33 5 3 2" xfId="19063" xr:uid="{00000000-0005-0000-0000-000027780000}"/>
    <cellStyle name="Normal 33 5 3 2 2" xfId="32121" xr:uid="{00000000-0005-0000-0000-000028780000}"/>
    <cellStyle name="Normal 33 5 3 3" xfId="19064" xr:uid="{00000000-0005-0000-0000-000029780000}"/>
    <cellStyle name="Normal 33 5 3 3 2" xfId="32122" xr:uid="{00000000-0005-0000-0000-00002A780000}"/>
    <cellStyle name="Normal 33 5 3 4" xfId="23566" xr:uid="{00000000-0005-0000-0000-00002B780000}"/>
    <cellStyle name="Normal 33 5 4" xfId="19065" xr:uid="{00000000-0005-0000-0000-00002C780000}"/>
    <cellStyle name="Normal 33 5 4 2" xfId="32123" xr:uid="{00000000-0005-0000-0000-00002D780000}"/>
    <cellStyle name="Normal 33 5 5" xfId="19066" xr:uid="{00000000-0005-0000-0000-00002E780000}"/>
    <cellStyle name="Normal 33 5 5 2" xfId="32124" xr:uid="{00000000-0005-0000-0000-00002F780000}"/>
    <cellStyle name="Normal 33 5 6" xfId="21410" xr:uid="{00000000-0005-0000-0000-000030780000}"/>
    <cellStyle name="Normal 33 6" xfId="8211" xr:uid="{00000000-0005-0000-0000-000031780000}"/>
    <cellStyle name="Normal 33 6 2" xfId="10734" xr:uid="{00000000-0005-0000-0000-000032780000}"/>
    <cellStyle name="Normal 33 6 2 2" xfId="19067" xr:uid="{00000000-0005-0000-0000-000033780000}"/>
    <cellStyle name="Normal 33 6 2 2 2" xfId="32125" xr:uid="{00000000-0005-0000-0000-000034780000}"/>
    <cellStyle name="Normal 33 6 2 3" xfId="19068" xr:uid="{00000000-0005-0000-0000-000035780000}"/>
    <cellStyle name="Normal 33 6 2 3 2" xfId="32126" xr:uid="{00000000-0005-0000-0000-000036780000}"/>
    <cellStyle name="Normal 33 6 2 4" xfId="24104" xr:uid="{00000000-0005-0000-0000-000037780000}"/>
    <cellStyle name="Normal 33 6 3" xfId="19069" xr:uid="{00000000-0005-0000-0000-000038780000}"/>
    <cellStyle name="Normal 33 6 3 2" xfId="32127" xr:uid="{00000000-0005-0000-0000-000039780000}"/>
    <cellStyle name="Normal 33 6 4" xfId="19070" xr:uid="{00000000-0005-0000-0000-00003A780000}"/>
    <cellStyle name="Normal 33 6 4 2" xfId="32128" xr:uid="{00000000-0005-0000-0000-00003B780000}"/>
    <cellStyle name="Normal 33 6 5" xfId="21948" xr:uid="{00000000-0005-0000-0000-00003C780000}"/>
    <cellStyle name="Normal 33 7" xfId="9655" xr:uid="{00000000-0005-0000-0000-00003D780000}"/>
    <cellStyle name="Normal 33 7 2" xfId="19071" xr:uid="{00000000-0005-0000-0000-00003E780000}"/>
    <cellStyle name="Normal 33 7 2 2" xfId="32129" xr:uid="{00000000-0005-0000-0000-00003F780000}"/>
    <cellStyle name="Normal 33 7 3" xfId="19072" xr:uid="{00000000-0005-0000-0000-000040780000}"/>
    <cellStyle name="Normal 33 7 3 2" xfId="32130" xr:uid="{00000000-0005-0000-0000-000041780000}"/>
    <cellStyle name="Normal 33 7 4" xfId="23026" xr:uid="{00000000-0005-0000-0000-000042780000}"/>
    <cellStyle name="Normal 33 8" xfId="19073" xr:uid="{00000000-0005-0000-0000-000043780000}"/>
    <cellStyle name="Normal 33 8 2" xfId="32131" xr:uid="{00000000-0005-0000-0000-000044780000}"/>
    <cellStyle name="Normal 33 9" xfId="19074" xr:uid="{00000000-0005-0000-0000-000045780000}"/>
    <cellStyle name="Normal 33 9 2" xfId="32132" xr:uid="{00000000-0005-0000-0000-000046780000}"/>
    <cellStyle name="Normal 34" xfId="3949" xr:uid="{00000000-0005-0000-0000-000047780000}"/>
    <cellStyle name="Normal 34 10" xfId="20870" xr:uid="{00000000-0005-0000-0000-000048780000}"/>
    <cellStyle name="Normal 34 2" xfId="4108" xr:uid="{00000000-0005-0000-0000-000049780000}"/>
    <cellStyle name="Normal 34 2 2" xfId="5644" xr:uid="{00000000-0005-0000-0000-00004A780000}"/>
    <cellStyle name="Normal 34 2 2 2" xfId="6796" xr:uid="{00000000-0005-0000-0000-00004B780000}"/>
    <cellStyle name="Normal 34 2 2 2 2" xfId="7483" xr:uid="{00000000-0005-0000-0000-00004C780000}"/>
    <cellStyle name="Normal 34 2 2 2 2 2" xfId="9362" xr:uid="{00000000-0005-0000-0000-00004D780000}"/>
    <cellStyle name="Normal 34 2 2 2 2 2 2" xfId="11741" xr:uid="{00000000-0005-0000-0000-00004E780000}"/>
    <cellStyle name="Normal 34 2 2 2 2 2 2 2" xfId="19075" xr:uid="{00000000-0005-0000-0000-00004F780000}"/>
    <cellStyle name="Normal 34 2 2 2 2 2 2 2 2" xfId="32133" xr:uid="{00000000-0005-0000-0000-000050780000}"/>
    <cellStyle name="Normal 34 2 2 2 2 2 2 3" xfId="19076" xr:uid="{00000000-0005-0000-0000-000051780000}"/>
    <cellStyle name="Normal 34 2 2 2 2 2 2 3 2" xfId="32134" xr:uid="{00000000-0005-0000-0000-000052780000}"/>
    <cellStyle name="Normal 34 2 2 2 2 2 2 4" xfId="25111" xr:uid="{00000000-0005-0000-0000-000053780000}"/>
    <cellStyle name="Normal 34 2 2 2 2 2 3" xfId="19077" xr:uid="{00000000-0005-0000-0000-000054780000}"/>
    <cellStyle name="Normal 34 2 2 2 2 2 3 2" xfId="32135" xr:uid="{00000000-0005-0000-0000-000055780000}"/>
    <cellStyle name="Normal 34 2 2 2 2 2 4" xfId="19078" xr:uid="{00000000-0005-0000-0000-000056780000}"/>
    <cellStyle name="Normal 34 2 2 2 2 2 4 2" xfId="32136" xr:uid="{00000000-0005-0000-0000-000057780000}"/>
    <cellStyle name="Normal 34 2 2 2 2 2 5" xfId="22955" xr:uid="{00000000-0005-0000-0000-000058780000}"/>
    <cellStyle name="Normal 34 2 2 2 2 3" xfId="10663" xr:uid="{00000000-0005-0000-0000-000059780000}"/>
    <cellStyle name="Normal 34 2 2 2 2 3 2" xfId="19079" xr:uid="{00000000-0005-0000-0000-00005A780000}"/>
    <cellStyle name="Normal 34 2 2 2 2 3 2 2" xfId="32137" xr:uid="{00000000-0005-0000-0000-00005B780000}"/>
    <cellStyle name="Normal 34 2 2 2 2 3 3" xfId="19080" xr:uid="{00000000-0005-0000-0000-00005C780000}"/>
    <cellStyle name="Normal 34 2 2 2 2 3 3 2" xfId="32138" xr:uid="{00000000-0005-0000-0000-00005D780000}"/>
    <cellStyle name="Normal 34 2 2 2 2 3 4" xfId="24033" xr:uid="{00000000-0005-0000-0000-00005E780000}"/>
    <cellStyle name="Normal 34 2 2 2 2 4" xfId="19081" xr:uid="{00000000-0005-0000-0000-00005F780000}"/>
    <cellStyle name="Normal 34 2 2 2 2 4 2" xfId="32139" xr:uid="{00000000-0005-0000-0000-000060780000}"/>
    <cellStyle name="Normal 34 2 2 2 2 5" xfId="19082" xr:uid="{00000000-0005-0000-0000-000061780000}"/>
    <cellStyle name="Normal 34 2 2 2 2 5 2" xfId="32140" xr:uid="{00000000-0005-0000-0000-000062780000}"/>
    <cellStyle name="Normal 34 2 2 2 2 6" xfId="21877" xr:uid="{00000000-0005-0000-0000-000063780000}"/>
    <cellStyle name="Normal 34 2 2 2 3" xfId="8816" xr:uid="{00000000-0005-0000-0000-000064780000}"/>
    <cellStyle name="Normal 34 2 2 2 3 2" xfId="11201" xr:uid="{00000000-0005-0000-0000-000065780000}"/>
    <cellStyle name="Normal 34 2 2 2 3 2 2" xfId="19083" xr:uid="{00000000-0005-0000-0000-000066780000}"/>
    <cellStyle name="Normal 34 2 2 2 3 2 2 2" xfId="32141" xr:uid="{00000000-0005-0000-0000-000067780000}"/>
    <cellStyle name="Normal 34 2 2 2 3 2 3" xfId="19084" xr:uid="{00000000-0005-0000-0000-000068780000}"/>
    <cellStyle name="Normal 34 2 2 2 3 2 3 2" xfId="32142" xr:uid="{00000000-0005-0000-0000-000069780000}"/>
    <cellStyle name="Normal 34 2 2 2 3 2 4" xfId="24571" xr:uid="{00000000-0005-0000-0000-00006A780000}"/>
    <cellStyle name="Normal 34 2 2 2 3 3" xfId="19085" xr:uid="{00000000-0005-0000-0000-00006B780000}"/>
    <cellStyle name="Normal 34 2 2 2 3 3 2" xfId="32143" xr:uid="{00000000-0005-0000-0000-00006C780000}"/>
    <cellStyle name="Normal 34 2 2 2 3 4" xfId="19086" xr:uid="{00000000-0005-0000-0000-00006D780000}"/>
    <cellStyle name="Normal 34 2 2 2 3 4 2" xfId="32144" xr:uid="{00000000-0005-0000-0000-00006E780000}"/>
    <cellStyle name="Normal 34 2 2 2 3 5" xfId="22415" xr:uid="{00000000-0005-0000-0000-00006F780000}"/>
    <cellStyle name="Normal 34 2 2 2 4" xfId="10123" xr:uid="{00000000-0005-0000-0000-000070780000}"/>
    <cellStyle name="Normal 34 2 2 2 4 2" xfId="19087" xr:uid="{00000000-0005-0000-0000-000071780000}"/>
    <cellStyle name="Normal 34 2 2 2 4 2 2" xfId="32145" xr:uid="{00000000-0005-0000-0000-000072780000}"/>
    <cellStyle name="Normal 34 2 2 2 4 3" xfId="19088" xr:uid="{00000000-0005-0000-0000-000073780000}"/>
    <cellStyle name="Normal 34 2 2 2 4 3 2" xfId="32146" xr:uid="{00000000-0005-0000-0000-000074780000}"/>
    <cellStyle name="Normal 34 2 2 2 4 4" xfId="23493" xr:uid="{00000000-0005-0000-0000-000075780000}"/>
    <cellStyle name="Normal 34 2 2 2 5" xfId="19089" xr:uid="{00000000-0005-0000-0000-000076780000}"/>
    <cellStyle name="Normal 34 2 2 2 5 2" xfId="32147" xr:uid="{00000000-0005-0000-0000-000077780000}"/>
    <cellStyle name="Normal 34 2 2 2 6" xfId="19090" xr:uid="{00000000-0005-0000-0000-000078780000}"/>
    <cellStyle name="Normal 34 2 2 2 6 2" xfId="32148" xr:uid="{00000000-0005-0000-0000-000079780000}"/>
    <cellStyle name="Normal 34 2 2 2 7" xfId="21337" xr:uid="{00000000-0005-0000-0000-00007A780000}"/>
    <cellStyle name="Normal 34 2 2 3" xfId="7214" xr:uid="{00000000-0005-0000-0000-00007B780000}"/>
    <cellStyle name="Normal 34 2 2 3 2" xfId="9093" xr:uid="{00000000-0005-0000-0000-00007C780000}"/>
    <cellStyle name="Normal 34 2 2 3 2 2" xfId="11472" xr:uid="{00000000-0005-0000-0000-00007D780000}"/>
    <cellStyle name="Normal 34 2 2 3 2 2 2" xfId="19091" xr:uid="{00000000-0005-0000-0000-00007E780000}"/>
    <cellStyle name="Normal 34 2 2 3 2 2 2 2" xfId="32149" xr:uid="{00000000-0005-0000-0000-00007F780000}"/>
    <cellStyle name="Normal 34 2 2 3 2 2 3" xfId="19092" xr:uid="{00000000-0005-0000-0000-000080780000}"/>
    <cellStyle name="Normal 34 2 2 3 2 2 3 2" xfId="32150" xr:uid="{00000000-0005-0000-0000-000081780000}"/>
    <cellStyle name="Normal 34 2 2 3 2 2 4" xfId="24842" xr:uid="{00000000-0005-0000-0000-000082780000}"/>
    <cellStyle name="Normal 34 2 2 3 2 3" xfId="19093" xr:uid="{00000000-0005-0000-0000-000083780000}"/>
    <cellStyle name="Normal 34 2 2 3 2 3 2" xfId="32151" xr:uid="{00000000-0005-0000-0000-000084780000}"/>
    <cellStyle name="Normal 34 2 2 3 2 4" xfId="19094" xr:uid="{00000000-0005-0000-0000-000085780000}"/>
    <cellStyle name="Normal 34 2 2 3 2 4 2" xfId="32152" xr:uid="{00000000-0005-0000-0000-000086780000}"/>
    <cellStyle name="Normal 34 2 2 3 2 5" xfId="22686" xr:uid="{00000000-0005-0000-0000-000087780000}"/>
    <cellStyle name="Normal 34 2 2 3 3" xfId="10394" xr:uid="{00000000-0005-0000-0000-000088780000}"/>
    <cellStyle name="Normal 34 2 2 3 3 2" xfId="19095" xr:uid="{00000000-0005-0000-0000-000089780000}"/>
    <cellStyle name="Normal 34 2 2 3 3 2 2" xfId="32153" xr:uid="{00000000-0005-0000-0000-00008A780000}"/>
    <cellStyle name="Normal 34 2 2 3 3 3" xfId="19096" xr:uid="{00000000-0005-0000-0000-00008B780000}"/>
    <cellStyle name="Normal 34 2 2 3 3 3 2" xfId="32154" xr:uid="{00000000-0005-0000-0000-00008C780000}"/>
    <cellStyle name="Normal 34 2 2 3 3 4" xfId="23764" xr:uid="{00000000-0005-0000-0000-00008D780000}"/>
    <cellStyle name="Normal 34 2 2 3 4" xfId="19097" xr:uid="{00000000-0005-0000-0000-00008E780000}"/>
    <cellStyle name="Normal 34 2 2 3 4 2" xfId="32155" xr:uid="{00000000-0005-0000-0000-00008F780000}"/>
    <cellStyle name="Normal 34 2 2 3 5" xfId="19098" xr:uid="{00000000-0005-0000-0000-000090780000}"/>
    <cellStyle name="Normal 34 2 2 3 5 2" xfId="32156" xr:uid="{00000000-0005-0000-0000-000091780000}"/>
    <cellStyle name="Normal 34 2 2 3 6" xfId="21608" xr:uid="{00000000-0005-0000-0000-000092780000}"/>
    <cellStyle name="Normal 34 2 2 4" xfId="8491" xr:uid="{00000000-0005-0000-0000-000093780000}"/>
    <cellStyle name="Normal 34 2 2 4 2" xfId="10932" xr:uid="{00000000-0005-0000-0000-000094780000}"/>
    <cellStyle name="Normal 34 2 2 4 2 2" xfId="19099" xr:uid="{00000000-0005-0000-0000-000095780000}"/>
    <cellStyle name="Normal 34 2 2 4 2 2 2" xfId="32157" xr:uid="{00000000-0005-0000-0000-000096780000}"/>
    <cellStyle name="Normal 34 2 2 4 2 3" xfId="19100" xr:uid="{00000000-0005-0000-0000-000097780000}"/>
    <cellStyle name="Normal 34 2 2 4 2 3 2" xfId="32158" xr:uid="{00000000-0005-0000-0000-000098780000}"/>
    <cellStyle name="Normal 34 2 2 4 2 4" xfId="24302" xr:uid="{00000000-0005-0000-0000-000099780000}"/>
    <cellStyle name="Normal 34 2 2 4 3" xfId="19101" xr:uid="{00000000-0005-0000-0000-00009A780000}"/>
    <cellStyle name="Normal 34 2 2 4 3 2" xfId="32159" xr:uid="{00000000-0005-0000-0000-00009B780000}"/>
    <cellStyle name="Normal 34 2 2 4 4" xfId="19102" xr:uid="{00000000-0005-0000-0000-00009C780000}"/>
    <cellStyle name="Normal 34 2 2 4 4 2" xfId="32160" xr:uid="{00000000-0005-0000-0000-00009D780000}"/>
    <cellStyle name="Normal 34 2 2 4 5" xfId="22146" xr:uid="{00000000-0005-0000-0000-00009E780000}"/>
    <cellStyle name="Normal 34 2 2 5" xfId="9854" xr:uid="{00000000-0005-0000-0000-00009F780000}"/>
    <cellStyle name="Normal 34 2 2 5 2" xfId="19103" xr:uid="{00000000-0005-0000-0000-0000A0780000}"/>
    <cellStyle name="Normal 34 2 2 5 2 2" xfId="32161" xr:uid="{00000000-0005-0000-0000-0000A1780000}"/>
    <cellStyle name="Normal 34 2 2 5 3" xfId="19104" xr:uid="{00000000-0005-0000-0000-0000A2780000}"/>
    <cellStyle name="Normal 34 2 2 5 3 2" xfId="32162" xr:uid="{00000000-0005-0000-0000-0000A3780000}"/>
    <cellStyle name="Normal 34 2 2 5 4" xfId="23224" xr:uid="{00000000-0005-0000-0000-0000A4780000}"/>
    <cellStyle name="Normal 34 2 2 6" xfId="19105" xr:uid="{00000000-0005-0000-0000-0000A5780000}"/>
    <cellStyle name="Normal 34 2 2 6 2" xfId="32163" xr:uid="{00000000-0005-0000-0000-0000A6780000}"/>
    <cellStyle name="Normal 34 2 2 7" xfId="19106" xr:uid="{00000000-0005-0000-0000-0000A7780000}"/>
    <cellStyle name="Normal 34 2 2 7 2" xfId="32164" xr:uid="{00000000-0005-0000-0000-0000A8780000}"/>
    <cellStyle name="Normal 34 2 2 8" xfId="21068" xr:uid="{00000000-0005-0000-0000-0000A9780000}"/>
    <cellStyle name="Normal 34 2 3" xfId="6645" xr:uid="{00000000-0005-0000-0000-0000AA780000}"/>
    <cellStyle name="Normal 34 2 3 2" xfId="7341" xr:uid="{00000000-0005-0000-0000-0000AB780000}"/>
    <cellStyle name="Normal 34 2 3 2 2" xfId="9220" xr:uid="{00000000-0005-0000-0000-0000AC780000}"/>
    <cellStyle name="Normal 34 2 3 2 2 2" xfId="11599" xr:uid="{00000000-0005-0000-0000-0000AD780000}"/>
    <cellStyle name="Normal 34 2 3 2 2 2 2" xfId="19107" xr:uid="{00000000-0005-0000-0000-0000AE780000}"/>
    <cellStyle name="Normal 34 2 3 2 2 2 2 2" xfId="32165" xr:uid="{00000000-0005-0000-0000-0000AF780000}"/>
    <cellStyle name="Normal 34 2 3 2 2 2 3" xfId="19108" xr:uid="{00000000-0005-0000-0000-0000B0780000}"/>
    <cellStyle name="Normal 34 2 3 2 2 2 3 2" xfId="32166" xr:uid="{00000000-0005-0000-0000-0000B1780000}"/>
    <cellStyle name="Normal 34 2 3 2 2 2 4" xfId="24969" xr:uid="{00000000-0005-0000-0000-0000B2780000}"/>
    <cellStyle name="Normal 34 2 3 2 2 3" xfId="19109" xr:uid="{00000000-0005-0000-0000-0000B3780000}"/>
    <cellStyle name="Normal 34 2 3 2 2 3 2" xfId="32167" xr:uid="{00000000-0005-0000-0000-0000B4780000}"/>
    <cellStyle name="Normal 34 2 3 2 2 4" xfId="19110" xr:uid="{00000000-0005-0000-0000-0000B5780000}"/>
    <cellStyle name="Normal 34 2 3 2 2 4 2" xfId="32168" xr:uid="{00000000-0005-0000-0000-0000B6780000}"/>
    <cellStyle name="Normal 34 2 3 2 2 5" xfId="22813" xr:uid="{00000000-0005-0000-0000-0000B7780000}"/>
    <cellStyle name="Normal 34 2 3 2 3" xfId="10521" xr:uid="{00000000-0005-0000-0000-0000B8780000}"/>
    <cellStyle name="Normal 34 2 3 2 3 2" xfId="19111" xr:uid="{00000000-0005-0000-0000-0000B9780000}"/>
    <cellStyle name="Normal 34 2 3 2 3 2 2" xfId="32169" xr:uid="{00000000-0005-0000-0000-0000BA780000}"/>
    <cellStyle name="Normal 34 2 3 2 3 3" xfId="19112" xr:uid="{00000000-0005-0000-0000-0000BB780000}"/>
    <cellStyle name="Normal 34 2 3 2 3 3 2" xfId="32170" xr:uid="{00000000-0005-0000-0000-0000BC780000}"/>
    <cellStyle name="Normal 34 2 3 2 3 4" xfId="23891" xr:uid="{00000000-0005-0000-0000-0000BD780000}"/>
    <cellStyle name="Normal 34 2 3 2 4" xfId="19113" xr:uid="{00000000-0005-0000-0000-0000BE780000}"/>
    <cellStyle name="Normal 34 2 3 2 4 2" xfId="32171" xr:uid="{00000000-0005-0000-0000-0000BF780000}"/>
    <cellStyle name="Normal 34 2 3 2 5" xfId="19114" xr:uid="{00000000-0005-0000-0000-0000C0780000}"/>
    <cellStyle name="Normal 34 2 3 2 5 2" xfId="32172" xr:uid="{00000000-0005-0000-0000-0000C1780000}"/>
    <cellStyle name="Normal 34 2 3 2 6" xfId="21735" xr:uid="{00000000-0005-0000-0000-0000C2780000}"/>
    <cellStyle name="Normal 34 2 3 3" xfId="8673" xr:uid="{00000000-0005-0000-0000-0000C3780000}"/>
    <cellStyle name="Normal 34 2 3 3 2" xfId="11059" xr:uid="{00000000-0005-0000-0000-0000C4780000}"/>
    <cellStyle name="Normal 34 2 3 3 2 2" xfId="19115" xr:uid="{00000000-0005-0000-0000-0000C5780000}"/>
    <cellStyle name="Normal 34 2 3 3 2 2 2" xfId="32173" xr:uid="{00000000-0005-0000-0000-0000C6780000}"/>
    <cellStyle name="Normal 34 2 3 3 2 3" xfId="19116" xr:uid="{00000000-0005-0000-0000-0000C7780000}"/>
    <cellStyle name="Normal 34 2 3 3 2 3 2" xfId="32174" xr:uid="{00000000-0005-0000-0000-0000C8780000}"/>
    <cellStyle name="Normal 34 2 3 3 2 4" xfId="24429" xr:uid="{00000000-0005-0000-0000-0000C9780000}"/>
    <cellStyle name="Normal 34 2 3 3 3" xfId="19117" xr:uid="{00000000-0005-0000-0000-0000CA780000}"/>
    <cellStyle name="Normal 34 2 3 3 3 2" xfId="32175" xr:uid="{00000000-0005-0000-0000-0000CB780000}"/>
    <cellStyle name="Normal 34 2 3 3 4" xfId="19118" xr:uid="{00000000-0005-0000-0000-0000CC780000}"/>
    <cellStyle name="Normal 34 2 3 3 4 2" xfId="32176" xr:uid="{00000000-0005-0000-0000-0000CD780000}"/>
    <cellStyle name="Normal 34 2 3 3 5" xfId="22273" xr:uid="{00000000-0005-0000-0000-0000CE780000}"/>
    <cellStyle name="Normal 34 2 3 4" xfId="9981" xr:uid="{00000000-0005-0000-0000-0000CF780000}"/>
    <cellStyle name="Normal 34 2 3 4 2" xfId="19119" xr:uid="{00000000-0005-0000-0000-0000D0780000}"/>
    <cellStyle name="Normal 34 2 3 4 2 2" xfId="32177" xr:uid="{00000000-0005-0000-0000-0000D1780000}"/>
    <cellStyle name="Normal 34 2 3 4 3" xfId="19120" xr:uid="{00000000-0005-0000-0000-0000D2780000}"/>
    <cellStyle name="Normal 34 2 3 4 3 2" xfId="32178" xr:uid="{00000000-0005-0000-0000-0000D3780000}"/>
    <cellStyle name="Normal 34 2 3 4 4" xfId="23351" xr:uid="{00000000-0005-0000-0000-0000D4780000}"/>
    <cellStyle name="Normal 34 2 3 5" xfId="19121" xr:uid="{00000000-0005-0000-0000-0000D5780000}"/>
    <cellStyle name="Normal 34 2 3 5 2" xfId="32179" xr:uid="{00000000-0005-0000-0000-0000D6780000}"/>
    <cellStyle name="Normal 34 2 3 6" xfId="19122" xr:uid="{00000000-0005-0000-0000-0000D7780000}"/>
    <cellStyle name="Normal 34 2 3 6 2" xfId="32180" xr:uid="{00000000-0005-0000-0000-0000D8780000}"/>
    <cellStyle name="Normal 34 2 3 7" xfId="21195" xr:uid="{00000000-0005-0000-0000-0000D9780000}"/>
    <cellStyle name="Normal 34 2 4" xfId="7071" xr:uid="{00000000-0005-0000-0000-0000DA780000}"/>
    <cellStyle name="Normal 34 2 4 2" xfId="8951" xr:uid="{00000000-0005-0000-0000-0000DB780000}"/>
    <cellStyle name="Normal 34 2 4 2 2" xfId="11330" xr:uid="{00000000-0005-0000-0000-0000DC780000}"/>
    <cellStyle name="Normal 34 2 4 2 2 2" xfId="19123" xr:uid="{00000000-0005-0000-0000-0000DD780000}"/>
    <cellStyle name="Normal 34 2 4 2 2 2 2" xfId="32181" xr:uid="{00000000-0005-0000-0000-0000DE780000}"/>
    <cellStyle name="Normal 34 2 4 2 2 3" xfId="19124" xr:uid="{00000000-0005-0000-0000-0000DF780000}"/>
    <cellStyle name="Normal 34 2 4 2 2 3 2" xfId="32182" xr:uid="{00000000-0005-0000-0000-0000E0780000}"/>
    <cellStyle name="Normal 34 2 4 2 2 4" xfId="24700" xr:uid="{00000000-0005-0000-0000-0000E1780000}"/>
    <cellStyle name="Normal 34 2 4 2 3" xfId="19125" xr:uid="{00000000-0005-0000-0000-0000E2780000}"/>
    <cellStyle name="Normal 34 2 4 2 3 2" xfId="32183" xr:uid="{00000000-0005-0000-0000-0000E3780000}"/>
    <cellStyle name="Normal 34 2 4 2 4" xfId="19126" xr:uid="{00000000-0005-0000-0000-0000E4780000}"/>
    <cellStyle name="Normal 34 2 4 2 4 2" xfId="32184" xr:uid="{00000000-0005-0000-0000-0000E5780000}"/>
    <cellStyle name="Normal 34 2 4 2 5" xfId="22544" xr:uid="{00000000-0005-0000-0000-0000E6780000}"/>
    <cellStyle name="Normal 34 2 4 3" xfId="10252" xr:uid="{00000000-0005-0000-0000-0000E7780000}"/>
    <cellStyle name="Normal 34 2 4 3 2" xfId="19127" xr:uid="{00000000-0005-0000-0000-0000E8780000}"/>
    <cellStyle name="Normal 34 2 4 3 2 2" xfId="32185" xr:uid="{00000000-0005-0000-0000-0000E9780000}"/>
    <cellStyle name="Normal 34 2 4 3 3" xfId="19128" xr:uid="{00000000-0005-0000-0000-0000EA780000}"/>
    <cellStyle name="Normal 34 2 4 3 3 2" xfId="32186" xr:uid="{00000000-0005-0000-0000-0000EB780000}"/>
    <cellStyle name="Normal 34 2 4 3 4" xfId="23622" xr:uid="{00000000-0005-0000-0000-0000EC780000}"/>
    <cellStyle name="Normal 34 2 4 4" xfId="19129" xr:uid="{00000000-0005-0000-0000-0000ED780000}"/>
    <cellStyle name="Normal 34 2 4 4 2" xfId="32187" xr:uid="{00000000-0005-0000-0000-0000EE780000}"/>
    <cellStyle name="Normal 34 2 4 5" xfId="19130" xr:uid="{00000000-0005-0000-0000-0000EF780000}"/>
    <cellStyle name="Normal 34 2 4 5 2" xfId="32188" xr:uid="{00000000-0005-0000-0000-0000F0780000}"/>
    <cellStyle name="Normal 34 2 4 6" xfId="21466" xr:uid="{00000000-0005-0000-0000-0000F1780000}"/>
    <cellStyle name="Normal 34 2 5" xfId="8275" xr:uid="{00000000-0005-0000-0000-0000F2780000}"/>
    <cellStyle name="Normal 34 2 5 2" xfId="10790" xr:uid="{00000000-0005-0000-0000-0000F3780000}"/>
    <cellStyle name="Normal 34 2 5 2 2" xfId="19131" xr:uid="{00000000-0005-0000-0000-0000F4780000}"/>
    <cellStyle name="Normal 34 2 5 2 2 2" xfId="32189" xr:uid="{00000000-0005-0000-0000-0000F5780000}"/>
    <cellStyle name="Normal 34 2 5 2 3" xfId="19132" xr:uid="{00000000-0005-0000-0000-0000F6780000}"/>
    <cellStyle name="Normal 34 2 5 2 3 2" xfId="32190" xr:uid="{00000000-0005-0000-0000-0000F7780000}"/>
    <cellStyle name="Normal 34 2 5 2 4" xfId="24160" xr:uid="{00000000-0005-0000-0000-0000F8780000}"/>
    <cellStyle name="Normal 34 2 5 3" xfId="19133" xr:uid="{00000000-0005-0000-0000-0000F9780000}"/>
    <cellStyle name="Normal 34 2 5 3 2" xfId="32191" xr:uid="{00000000-0005-0000-0000-0000FA780000}"/>
    <cellStyle name="Normal 34 2 5 4" xfId="19134" xr:uid="{00000000-0005-0000-0000-0000FB780000}"/>
    <cellStyle name="Normal 34 2 5 4 2" xfId="32192" xr:uid="{00000000-0005-0000-0000-0000FC780000}"/>
    <cellStyle name="Normal 34 2 5 5" xfId="22004" xr:uid="{00000000-0005-0000-0000-0000FD780000}"/>
    <cellStyle name="Normal 34 2 6" xfId="9711" xr:uid="{00000000-0005-0000-0000-0000FE780000}"/>
    <cellStyle name="Normal 34 2 6 2" xfId="19135" xr:uid="{00000000-0005-0000-0000-0000FF780000}"/>
    <cellStyle name="Normal 34 2 6 2 2" xfId="32193" xr:uid="{00000000-0005-0000-0000-000000790000}"/>
    <cellStyle name="Normal 34 2 6 3" xfId="19136" xr:uid="{00000000-0005-0000-0000-000001790000}"/>
    <cellStyle name="Normal 34 2 6 3 2" xfId="32194" xr:uid="{00000000-0005-0000-0000-000002790000}"/>
    <cellStyle name="Normal 34 2 6 4" xfId="23082" xr:uid="{00000000-0005-0000-0000-000003790000}"/>
    <cellStyle name="Normal 34 2 7" xfId="19137" xr:uid="{00000000-0005-0000-0000-000004790000}"/>
    <cellStyle name="Normal 34 2 7 2" xfId="32195" xr:uid="{00000000-0005-0000-0000-000005790000}"/>
    <cellStyle name="Normal 34 2 8" xfId="19138" xr:uid="{00000000-0005-0000-0000-000006790000}"/>
    <cellStyle name="Normal 34 2 8 2" xfId="32196" xr:uid="{00000000-0005-0000-0000-000007790000}"/>
    <cellStyle name="Normal 34 2 9" xfId="20925" xr:uid="{00000000-0005-0000-0000-000008790000}"/>
    <cellStyle name="Normal 34 3" xfId="5556" xr:uid="{00000000-0005-0000-0000-000009790000}"/>
    <cellStyle name="Normal 34 3 2" xfId="6740" xr:uid="{00000000-0005-0000-0000-00000A790000}"/>
    <cellStyle name="Normal 34 3 2 2" xfId="7427" xr:uid="{00000000-0005-0000-0000-00000B790000}"/>
    <cellStyle name="Normal 34 3 2 2 2" xfId="9306" xr:uid="{00000000-0005-0000-0000-00000C790000}"/>
    <cellStyle name="Normal 34 3 2 2 2 2" xfId="11685" xr:uid="{00000000-0005-0000-0000-00000D790000}"/>
    <cellStyle name="Normal 34 3 2 2 2 2 2" xfId="19139" xr:uid="{00000000-0005-0000-0000-00000E790000}"/>
    <cellStyle name="Normal 34 3 2 2 2 2 2 2" xfId="32197" xr:uid="{00000000-0005-0000-0000-00000F790000}"/>
    <cellStyle name="Normal 34 3 2 2 2 2 3" xfId="19140" xr:uid="{00000000-0005-0000-0000-000010790000}"/>
    <cellStyle name="Normal 34 3 2 2 2 2 3 2" xfId="32198" xr:uid="{00000000-0005-0000-0000-000011790000}"/>
    <cellStyle name="Normal 34 3 2 2 2 2 4" xfId="25055" xr:uid="{00000000-0005-0000-0000-000012790000}"/>
    <cellStyle name="Normal 34 3 2 2 2 3" xfId="19141" xr:uid="{00000000-0005-0000-0000-000013790000}"/>
    <cellStyle name="Normal 34 3 2 2 2 3 2" xfId="32199" xr:uid="{00000000-0005-0000-0000-000014790000}"/>
    <cellStyle name="Normal 34 3 2 2 2 4" xfId="19142" xr:uid="{00000000-0005-0000-0000-000015790000}"/>
    <cellStyle name="Normal 34 3 2 2 2 4 2" xfId="32200" xr:uid="{00000000-0005-0000-0000-000016790000}"/>
    <cellStyle name="Normal 34 3 2 2 2 5" xfId="22899" xr:uid="{00000000-0005-0000-0000-000017790000}"/>
    <cellStyle name="Normal 34 3 2 2 3" xfId="10607" xr:uid="{00000000-0005-0000-0000-000018790000}"/>
    <cellStyle name="Normal 34 3 2 2 3 2" xfId="19143" xr:uid="{00000000-0005-0000-0000-000019790000}"/>
    <cellStyle name="Normal 34 3 2 2 3 2 2" xfId="32201" xr:uid="{00000000-0005-0000-0000-00001A790000}"/>
    <cellStyle name="Normal 34 3 2 2 3 3" xfId="19144" xr:uid="{00000000-0005-0000-0000-00001B790000}"/>
    <cellStyle name="Normal 34 3 2 2 3 3 2" xfId="32202" xr:uid="{00000000-0005-0000-0000-00001C790000}"/>
    <cellStyle name="Normal 34 3 2 2 3 4" xfId="23977" xr:uid="{00000000-0005-0000-0000-00001D790000}"/>
    <cellStyle name="Normal 34 3 2 2 4" xfId="19145" xr:uid="{00000000-0005-0000-0000-00001E790000}"/>
    <cellStyle name="Normal 34 3 2 2 4 2" xfId="32203" xr:uid="{00000000-0005-0000-0000-00001F790000}"/>
    <cellStyle name="Normal 34 3 2 2 5" xfId="19146" xr:uid="{00000000-0005-0000-0000-000020790000}"/>
    <cellStyle name="Normal 34 3 2 2 5 2" xfId="32204" xr:uid="{00000000-0005-0000-0000-000021790000}"/>
    <cellStyle name="Normal 34 3 2 2 6" xfId="21821" xr:uid="{00000000-0005-0000-0000-000022790000}"/>
    <cellStyle name="Normal 34 3 2 3" xfId="8760" xr:uid="{00000000-0005-0000-0000-000023790000}"/>
    <cellStyle name="Normal 34 3 2 3 2" xfId="11145" xr:uid="{00000000-0005-0000-0000-000024790000}"/>
    <cellStyle name="Normal 34 3 2 3 2 2" xfId="19147" xr:uid="{00000000-0005-0000-0000-000025790000}"/>
    <cellStyle name="Normal 34 3 2 3 2 2 2" xfId="32205" xr:uid="{00000000-0005-0000-0000-000026790000}"/>
    <cellStyle name="Normal 34 3 2 3 2 3" xfId="19148" xr:uid="{00000000-0005-0000-0000-000027790000}"/>
    <cellStyle name="Normal 34 3 2 3 2 3 2" xfId="32206" xr:uid="{00000000-0005-0000-0000-000028790000}"/>
    <cellStyle name="Normal 34 3 2 3 2 4" xfId="24515" xr:uid="{00000000-0005-0000-0000-000029790000}"/>
    <cellStyle name="Normal 34 3 2 3 3" xfId="19149" xr:uid="{00000000-0005-0000-0000-00002A790000}"/>
    <cellStyle name="Normal 34 3 2 3 3 2" xfId="32207" xr:uid="{00000000-0005-0000-0000-00002B790000}"/>
    <cellStyle name="Normal 34 3 2 3 4" xfId="19150" xr:uid="{00000000-0005-0000-0000-00002C790000}"/>
    <cellStyle name="Normal 34 3 2 3 4 2" xfId="32208" xr:uid="{00000000-0005-0000-0000-00002D790000}"/>
    <cellStyle name="Normal 34 3 2 3 5" xfId="22359" xr:uid="{00000000-0005-0000-0000-00002E790000}"/>
    <cellStyle name="Normal 34 3 2 4" xfId="10067" xr:uid="{00000000-0005-0000-0000-00002F790000}"/>
    <cellStyle name="Normal 34 3 2 4 2" xfId="19151" xr:uid="{00000000-0005-0000-0000-000030790000}"/>
    <cellStyle name="Normal 34 3 2 4 2 2" xfId="32209" xr:uid="{00000000-0005-0000-0000-000031790000}"/>
    <cellStyle name="Normal 34 3 2 4 3" xfId="19152" xr:uid="{00000000-0005-0000-0000-000032790000}"/>
    <cellStyle name="Normal 34 3 2 4 3 2" xfId="32210" xr:uid="{00000000-0005-0000-0000-000033790000}"/>
    <cellStyle name="Normal 34 3 2 4 4" xfId="23437" xr:uid="{00000000-0005-0000-0000-000034790000}"/>
    <cellStyle name="Normal 34 3 2 5" xfId="19153" xr:uid="{00000000-0005-0000-0000-000035790000}"/>
    <cellStyle name="Normal 34 3 2 5 2" xfId="32211" xr:uid="{00000000-0005-0000-0000-000036790000}"/>
    <cellStyle name="Normal 34 3 2 6" xfId="19154" xr:uid="{00000000-0005-0000-0000-000037790000}"/>
    <cellStyle name="Normal 34 3 2 6 2" xfId="32212" xr:uid="{00000000-0005-0000-0000-000038790000}"/>
    <cellStyle name="Normal 34 3 2 7" xfId="21281" xr:uid="{00000000-0005-0000-0000-000039790000}"/>
    <cellStyle name="Normal 34 3 3" xfId="7158" xr:uid="{00000000-0005-0000-0000-00003A790000}"/>
    <cellStyle name="Normal 34 3 3 2" xfId="9037" xr:uid="{00000000-0005-0000-0000-00003B790000}"/>
    <cellStyle name="Normal 34 3 3 2 2" xfId="11416" xr:uid="{00000000-0005-0000-0000-00003C790000}"/>
    <cellStyle name="Normal 34 3 3 2 2 2" xfId="19155" xr:uid="{00000000-0005-0000-0000-00003D790000}"/>
    <cellStyle name="Normal 34 3 3 2 2 2 2" xfId="32213" xr:uid="{00000000-0005-0000-0000-00003E790000}"/>
    <cellStyle name="Normal 34 3 3 2 2 3" xfId="19156" xr:uid="{00000000-0005-0000-0000-00003F790000}"/>
    <cellStyle name="Normal 34 3 3 2 2 3 2" xfId="32214" xr:uid="{00000000-0005-0000-0000-000040790000}"/>
    <cellStyle name="Normal 34 3 3 2 2 4" xfId="24786" xr:uid="{00000000-0005-0000-0000-000041790000}"/>
    <cellStyle name="Normal 34 3 3 2 3" xfId="19157" xr:uid="{00000000-0005-0000-0000-000042790000}"/>
    <cellStyle name="Normal 34 3 3 2 3 2" xfId="32215" xr:uid="{00000000-0005-0000-0000-000043790000}"/>
    <cellStyle name="Normal 34 3 3 2 4" xfId="19158" xr:uid="{00000000-0005-0000-0000-000044790000}"/>
    <cellStyle name="Normal 34 3 3 2 4 2" xfId="32216" xr:uid="{00000000-0005-0000-0000-000045790000}"/>
    <cellStyle name="Normal 34 3 3 2 5" xfId="22630" xr:uid="{00000000-0005-0000-0000-000046790000}"/>
    <cellStyle name="Normal 34 3 3 3" xfId="10338" xr:uid="{00000000-0005-0000-0000-000047790000}"/>
    <cellStyle name="Normal 34 3 3 3 2" xfId="19159" xr:uid="{00000000-0005-0000-0000-000048790000}"/>
    <cellStyle name="Normal 34 3 3 3 2 2" xfId="32217" xr:uid="{00000000-0005-0000-0000-000049790000}"/>
    <cellStyle name="Normal 34 3 3 3 3" xfId="19160" xr:uid="{00000000-0005-0000-0000-00004A790000}"/>
    <cellStyle name="Normal 34 3 3 3 3 2" xfId="32218" xr:uid="{00000000-0005-0000-0000-00004B790000}"/>
    <cellStyle name="Normal 34 3 3 3 4" xfId="23708" xr:uid="{00000000-0005-0000-0000-00004C790000}"/>
    <cellStyle name="Normal 34 3 3 4" xfId="19161" xr:uid="{00000000-0005-0000-0000-00004D790000}"/>
    <cellStyle name="Normal 34 3 3 4 2" xfId="32219" xr:uid="{00000000-0005-0000-0000-00004E790000}"/>
    <cellStyle name="Normal 34 3 3 5" xfId="19162" xr:uid="{00000000-0005-0000-0000-00004F790000}"/>
    <cellStyle name="Normal 34 3 3 5 2" xfId="32220" xr:uid="{00000000-0005-0000-0000-000050790000}"/>
    <cellStyle name="Normal 34 3 3 6" xfId="21552" xr:uid="{00000000-0005-0000-0000-000051790000}"/>
    <cellStyle name="Normal 34 3 4" xfId="8433" xr:uid="{00000000-0005-0000-0000-000052790000}"/>
    <cellStyle name="Normal 34 3 4 2" xfId="10876" xr:uid="{00000000-0005-0000-0000-000053790000}"/>
    <cellStyle name="Normal 34 3 4 2 2" xfId="19163" xr:uid="{00000000-0005-0000-0000-000054790000}"/>
    <cellStyle name="Normal 34 3 4 2 2 2" xfId="32221" xr:uid="{00000000-0005-0000-0000-000055790000}"/>
    <cellStyle name="Normal 34 3 4 2 3" xfId="19164" xr:uid="{00000000-0005-0000-0000-000056790000}"/>
    <cellStyle name="Normal 34 3 4 2 3 2" xfId="32222" xr:uid="{00000000-0005-0000-0000-000057790000}"/>
    <cellStyle name="Normal 34 3 4 2 4" xfId="24246" xr:uid="{00000000-0005-0000-0000-000058790000}"/>
    <cellStyle name="Normal 34 3 4 3" xfId="19165" xr:uid="{00000000-0005-0000-0000-000059790000}"/>
    <cellStyle name="Normal 34 3 4 3 2" xfId="32223" xr:uid="{00000000-0005-0000-0000-00005A790000}"/>
    <cellStyle name="Normal 34 3 4 4" xfId="19166" xr:uid="{00000000-0005-0000-0000-00005B790000}"/>
    <cellStyle name="Normal 34 3 4 4 2" xfId="32224" xr:uid="{00000000-0005-0000-0000-00005C790000}"/>
    <cellStyle name="Normal 34 3 4 5" xfId="22090" xr:uid="{00000000-0005-0000-0000-00005D790000}"/>
    <cellStyle name="Normal 34 3 5" xfId="9798" xr:uid="{00000000-0005-0000-0000-00005E790000}"/>
    <cellStyle name="Normal 34 3 5 2" xfId="19167" xr:uid="{00000000-0005-0000-0000-00005F790000}"/>
    <cellStyle name="Normal 34 3 5 2 2" xfId="32225" xr:uid="{00000000-0005-0000-0000-000060790000}"/>
    <cellStyle name="Normal 34 3 5 3" xfId="19168" xr:uid="{00000000-0005-0000-0000-000061790000}"/>
    <cellStyle name="Normal 34 3 5 3 2" xfId="32226" xr:uid="{00000000-0005-0000-0000-000062790000}"/>
    <cellStyle name="Normal 34 3 5 4" xfId="23168" xr:uid="{00000000-0005-0000-0000-000063790000}"/>
    <cellStyle name="Normal 34 3 6" xfId="19169" xr:uid="{00000000-0005-0000-0000-000064790000}"/>
    <cellStyle name="Normal 34 3 6 2" xfId="32227" xr:uid="{00000000-0005-0000-0000-000065790000}"/>
    <cellStyle name="Normal 34 3 7" xfId="19170" xr:uid="{00000000-0005-0000-0000-000066790000}"/>
    <cellStyle name="Normal 34 3 7 2" xfId="32228" xr:uid="{00000000-0005-0000-0000-000067790000}"/>
    <cellStyle name="Normal 34 3 8" xfId="21012" xr:uid="{00000000-0005-0000-0000-000068790000}"/>
    <cellStyle name="Normal 34 4" xfId="6590" xr:uid="{00000000-0005-0000-0000-000069790000}"/>
    <cellStyle name="Normal 34 4 2" xfId="7286" xr:uid="{00000000-0005-0000-0000-00006A790000}"/>
    <cellStyle name="Normal 34 4 2 2" xfId="9165" xr:uid="{00000000-0005-0000-0000-00006B790000}"/>
    <cellStyle name="Normal 34 4 2 2 2" xfId="11544" xr:uid="{00000000-0005-0000-0000-00006C790000}"/>
    <cellStyle name="Normal 34 4 2 2 2 2" xfId="19171" xr:uid="{00000000-0005-0000-0000-00006D790000}"/>
    <cellStyle name="Normal 34 4 2 2 2 2 2" xfId="32229" xr:uid="{00000000-0005-0000-0000-00006E790000}"/>
    <cellStyle name="Normal 34 4 2 2 2 3" xfId="19172" xr:uid="{00000000-0005-0000-0000-00006F790000}"/>
    <cellStyle name="Normal 34 4 2 2 2 3 2" xfId="32230" xr:uid="{00000000-0005-0000-0000-000070790000}"/>
    <cellStyle name="Normal 34 4 2 2 2 4" xfId="24914" xr:uid="{00000000-0005-0000-0000-000071790000}"/>
    <cellStyle name="Normal 34 4 2 2 3" xfId="19173" xr:uid="{00000000-0005-0000-0000-000072790000}"/>
    <cellStyle name="Normal 34 4 2 2 3 2" xfId="32231" xr:uid="{00000000-0005-0000-0000-000073790000}"/>
    <cellStyle name="Normal 34 4 2 2 4" xfId="19174" xr:uid="{00000000-0005-0000-0000-000074790000}"/>
    <cellStyle name="Normal 34 4 2 2 4 2" xfId="32232" xr:uid="{00000000-0005-0000-0000-000075790000}"/>
    <cellStyle name="Normal 34 4 2 2 5" xfId="22758" xr:uid="{00000000-0005-0000-0000-000076790000}"/>
    <cellStyle name="Normal 34 4 2 3" xfId="10466" xr:uid="{00000000-0005-0000-0000-000077790000}"/>
    <cellStyle name="Normal 34 4 2 3 2" xfId="19175" xr:uid="{00000000-0005-0000-0000-000078790000}"/>
    <cellStyle name="Normal 34 4 2 3 2 2" xfId="32233" xr:uid="{00000000-0005-0000-0000-000079790000}"/>
    <cellStyle name="Normal 34 4 2 3 3" xfId="19176" xr:uid="{00000000-0005-0000-0000-00007A790000}"/>
    <cellStyle name="Normal 34 4 2 3 3 2" xfId="32234" xr:uid="{00000000-0005-0000-0000-00007B790000}"/>
    <cellStyle name="Normal 34 4 2 3 4" xfId="23836" xr:uid="{00000000-0005-0000-0000-00007C790000}"/>
    <cellStyle name="Normal 34 4 2 4" xfId="19177" xr:uid="{00000000-0005-0000-0000-00007D790000}"/>
    <cellStyle name="Normal 34 4 2 4 2" xfId="32235" xr:uid="{00000000-0005-0000-0000-00007E790000}"/>
    <cellStyle name="Normal 34 4 2 5" xfId="19178" xr:uid="{00000000-0005-0000-0000-00007F790000}"/>
    <cellStyle name="Normal 34 4 2 5 2" xfId="32236" xr:uid="{00000000-0005-0000-0000-000080790000}"/>
    <cellStyle name="Normal 34 4 2 6" xfId="21680" xr:uid="{00000000-0005-0000-0000-000081790000}"/>
    <cellStyle name="Normal 34 4 3" xfId="8618" xr:uid="{00000000-0005-0000-0000-000082790000}"/>
    <cellStyle name="Normal 34 4 3 2" xfId="11004" xr:uid="{00000000-0005-0000-0000-000083790000}"/>
    <cellStyle name="Normal 34 4 3 2 2" xfId="19179" xr:uid="{00000000-0005-0000-0000-000084790000}"/>
    <cellStyle name="Normal 34 4 3 2 2 2" xfId="32237" xr:uid="{00000000-0005-0000-0000-000085790000}"/>
    <cellStyle name="Normal 34 4 3 2 3" xfId="19180" xr:uid="{00000000-0005-0000-0000-000086790000}"/>
    <cellStyle name="Normal 34 4 3 2 3 2" xfId="32238" xr:uid="{00000000-0005-0000-0000-000087790000}"/>
    <cellStyle name="Normal 34 4 3 2 4" xfId="24374" xr:uid="{00000000-0005-0000-0000-000088790000}"/>
    <cellStyle name="Normal 34 4 3 3" xfId="19181" xr:uid="{00000000-0005-0000-0000-000089790000}"/>
    <cellStyle name="Normal 34 4 3 3 2" xfId="32239" xr:uid="{00000000-0005-0000-0000-00008A790000}"/>
    <cellStyle name="Normal 34 4 3 4" xfId="19182" xr:uid="{00000000-0005-0000-0000-00008B790000}"/>
    <cellStyle name="Normal 34 4 3 4 2" xfId="32240" xr:uid="{00000000-0005-0000-0000-00008C790000}"/>
    <cellStyle name="Normal 34 4 3 5" xfId="22218" xr:uid="{00000000-0005-0000-0000-00008D790000}"/>
    <cellStyle name="Normal 34 4 4" xfId="9926" xr:uid="{00000000-0005-0000-0000-00008E790000}"/>
    <cellStyle name="Normal 34 4 4 2" xfId="19183" xr:uid="{00000000-0005-0000-0000-00008F790000}"/>
    <cellStyle name="Normal 34 4 4 2 2" xfId="32241" xr:uid="{00000000-0005-0000-0000-000090790000}"/>
    <cellStyle name="Normal 34 4 4 3" xfId="19184" xr:uid="{00000000-0005-0000-0000-000091790000}"/>
    <cellStyle name="Normal 34 4 4 3 2" xfId="32242" xr:uid="{00000000-0005-0000-0000-000092790000}"/>
    <cellStyle name="Normal 34 4 4 4" xfId="23296" xr:uid="{00000000-0005-0000-0000-000093790000}"/>
    <cellStyle name="Normal 34 4 5" xfId="19185" xr:uid="{00000000-0005-0000-0000-000094790000}"/>
    <cellStyle name="Normal 34 4 5 2" xfId="32243" xr:uid="{00000000-0005-0000-0000-000095790000}"/>
    <cellStyle name="Normal 34 4 6" xfId="19186" xr:uid="{00000000-0005-0000-0000-000096790000}"/>
    <cellStyle name="Normal 34 4 6 2" xfId="32244" xr:uid="{00000000-0005-0000-0000-000097790000}"/>
    <cellStyle name="Normal 34 4 7" xfId="21140" xr:uid="{00000000-0005-0000-0000-000098790000}"/>
    <cellStyle name="Normal 34 5" xfId="7016" xr:uid="{00000000-0005-0000-0000-000099790000}"/>
    <cellStyle name="Normal 34 5 2" xfId="8896" xr:uid="{00000000-0005-0000-0000-00009A790000}"/>
    <cellStyle name="Normal 34 5 2 2" xfId="11275" xr:uid="{00000000-0005-0000-0000-00009B790000}"/>
    <cellStyle name="Normal 34 5 2 2 2" xfId="19187" xr:uid="{00000000-0005-0000-0000-00009C790000}"/>
    <cellStyle name="Normal 34 5 2 2 2 2" xfId="32245" xr:uid="{00000000-0005-0000-0000-00009D790000}"/>
    <cellStyle name="Normal 34 5 2 2 3" xfId="19188" xr:uid="{00000000-0005-0000-0000-00009E790000}"/>
    <cellStyle name="Normal 34 5 2 2 3 2" xfId="32246" xr:uid="{00000000-0005-0000-0000-00009F790000}"/>
    <cellStyle name="Normal 34 5 2 2 4" xfId="24645" xr:uid="{00000000-0005-0000-0000-0000A0790000}"/>
    <cellStyle name="Normal 34 5 2 3" xfId="19189" xr:uid="{00000000-0005-0000-0000-0000A1790000}"/>
    <cellStyle name="Normal 34 5 2 3 2" xfId="32247" xr:uid="{00000000-0005-0000-0000-0000A2790000}"/>
    <cellStyle name="Normal 34 5 2 4" xfId="19190" xr:uid="{00000000-0005-0000-0000-0000A3790000}"/>
    <cellStyle name="Normal 34 5 2 4 2" xfId="32248" xr:uid="{00000000-0005-0000-0000-0000A4790000}"/>
    <cellStyle name="Normal 34 5 2 5" xfId="22489" xr:uid="{00000000-0005-0000-0000-0000A5790000}"/>
    <cellStyle name="Normal 34 5 3" xfId="10197" xr:uid="{00000000-0005-0000-0000-0000A6790000}"/>
    <cellStyle name="Normal 34 5 3 2" xfId="19191" xr:uid="{00000000-0005-0000-0000-0000A7790000}"/>
    <cellStyle name="Normal 34 5 3 2 2" xfId="32249" xr:uid="{00000000-0005-0000-0000-0000A8790000}"/>
    <cellStyle name="Normal 34 5 3 3" xfId="19192" xr:uid="{00000000-0005-0000-0000-0000A9790000}"/>
    <cellStyle name="Normal 34 5 3 3 2" xfId="32250" xr:uid="{00000000-0005-0000-0000-0000AA790000}"/>
    <cellStyle name="Normal 34 5 3 4" xfId="23567" xr:uid="{00000000-0005-0000-0000-0000AB790000}"/>
    <cellStyle name="Normal 34 5 4" xfId="19193" xr:uid="{00000000-0005-0000-0000-0000AC790000}"/>
    <cellStyle name="Normal 34 5 4 2" xfId="32251" xr:uid="{00000000-0005-0000-0000-0000AD790000}"/>
    <cellStyle name="Normal 34 5 5" xfId="19194" xr:uid="{00000000-0005-0000-0000-0000AE790000}"/>
    <cellStyle name="Normal 34 5 5 2" xfId="32252" xr:uid="{00000000-0005-0000-0000-0000AF790000}"/>
    <cellStyle name="Normal 34 5 6" xfId="21411" xr:uid="{00000000-0005-0000-0000-0000B0790000}"/>
    <cellStyle name="Normal 34 6" xfId="8212" xr:uid="{00000000-0005-0000-0000-0000B1790000}"/>
    <cellStyle name="Normal 34 6 2" xfId="10735" xr:uid="{00000000-0005-0000-0000-0000B2790000}"/>
    <cellStyle name="Normal 34 6 2 2" xfId="19195" xr:uid="{00000000-0005-0000-0000-0000B3790000}"/>
    <cellStyle name="Normal 34 6 2 2 2" xfId="32253" xr:uid="{00000000-0005-0000-0000-0000B4790000}"/>
    <cellStyle name="Normal 34 6 2 3" xfId="19196" xr:uid="{00000000-0005-0000-0000-0000B5790000}"/>
    <cellStyle name="Normal 34 6 2 3 2" xfId="32254" xr:uid="{00000000-0005-0000-0000-0000B6790000}"/>
    <cellStyle name="Normal 34 6 2 4" xfId="24105" xr:uid="{00000000-0005-0000-0000-0000B7790000}"/>
    <cellStyle name="Normal 34 6 3" xfId="19197" xr:uid="{00000000-0005-0000-0000-0000B8790000}"/>
    <cellStyle name="Normal 34 6 3 2" xfId="32255" xr:uid="{00000000-0005-0000-0000-0000B9790000}"/>
    <cellStyle name="Normal 34 6 4" xfId="19198" xr:uid="{00000000-0005-0000-0000-0000BA790000}"/>
    <cellStyle name="Normal 34 6 4 2" xfId="32256" xr:uid="{00000000-0005-0000-0000-0000BB790000}"/>
    <cellStyle name="Normal 34 6 5" xfId="21949" xr:uid="{00000000-0005-0000-0000-0000BC790000}"/>
    <cellStyle name="Normal 34 7" xfId="9656" xr:uid="{00000000-0005-0000-0000-0000BD790000}"/>
    <cellStyle name="Normal 34 7 2" xfId="19199" xr:uid="{00000000-0005-0000-0000-0000BE790000}"/>
    <cellStyle name="Normal 34 7 2 2" xfId="32257" xr:uid="{00000000-0005-0000-0000-0000BF790000}"/>
    <cellStyle name="Normal 34 7 3" xfId="19200" xr:uid="{00000000-0005-0000-0000-0000C0790000}"/>
    <cellStyle name="Normal 34 7 3 2" xfId="32258" xr:uid="{00000000-0005-0000-0000-0000C1790000}"/>
    <cellStyle name="Normal 34 7 4" xfId="23027" xr:uid="{00000000-0005-0000-0000-0000C2790000}"/>
    <cellStyle name="Normal 34 8" xfId="19201" xr:uid="{00000000-0005-0000-0000-0000C3790000}"/>
    <cellStyle name="Normal 34 8 2" xfId="32259" xr:uid="{00000000-0005-0000-0000-0000C4790000}"/>
    <cellStyle name="Normal 34 9" xfId="19202" xr:uid="{00000000-0005-0000-0000-0000C5790000}"/>
    <cellStyle name="Normal 34 9 2" xfId="32260" xr:uid="{00000000-0005-0000-0000-0000C6790000}"/>
    <cellStyle name="Normal 35" xfId="3950" xr:uid="{00000000-0005-0000-0000-0000C7790000}"/>
    <cellStyle name="Normal 35 10" xfId="20871" xr:uid="{00000000-0005-0000-0000-0000C8790000}"/>
    <cellStyle name="Normal 35 2" xfId="4109" xr:uid="{00000000-0005-0000-0000-0000C9790000}"/>
    <cellStyle name="Normal 35 2 2" xfId="5645" xr:uid="{00000000-0005-0000-0000-0000CA790000}"/>
    <cellStyle name="Normal 35 2 2 2" xfId="6797" xr:uid="{00000000-0005-0000-0000-0000CB790000}"/>
    <cellStyle name="Normal 35 2 2 2 2" xfId="7484" xr:uid="{00000000-0005-0000-0000-0000CC790000}"/>
    <cellStyle name="Normal 35 2 2 2 2 2" xfId="9363" xr:uid="{00000000-0005-0000-0000-0000CD790000}"/>
    <cellStyle name="Normal 35 2 2 2 2 2 2" xfId="11742" xr:uid="{00000000-0005-0000-0000-0000CE790000}"/>
    <cellStyle name="Normal 35 2 2 2 2 2 2 2" xfId="19203" xr:uid="{00000000-0005-0000-0000-0000CF790000}"/>
    <cellStyle name="Normal 35 2 2 2 2 2 2 2 2" xfId="32261" xr:uid="{00000000-0005-0000-0000-0000D0790000}"/>
    <cellStyle name="Normal 35 2 2 2 2 2 2 3" xfId="19204" xr:uid="{00000000-0005-0000-0000-0000D1790000}"/>
    <cellStyle name="Normal 35 2 2 2 2 2 2 3 2" xfId="32262" xr:uid="{00000000-0005-0000-0000-0000D2790000}"/>
    <cellStyle name="Normal 35 2 2 2 2 2 2 4" xfId="25112" xr:uid="{00000000-0005-0000-0000-0000D3790000}"/>
    <cellStyle name="Normal 35 2 2 2 2 2 3" xfId="19205" xr:uid="{00000000-0005-0000-0000-0000D4790000}"/>
    <cellStyle name="Normal 35 2 2 2 2 2 3 2" xfId="32263" xr:uid="{00000000-0005-0000-0000-0000D5790000}"/>
    <cellStyle name="Normal 35 2 2 2 2 2 4" xfId="19206" xr:uid="{00000000-0005-0000-0000-0000D6790000}"/>
    <cellStyle name="Normal 35 2 2 2 2 2 4 2" xfId="32264" xr:uid="{00000000-0005-0000-0000-0000D7790000}"/>
    <cellStyle name="Normal 35 2 2 2 2 2 5" xfId="22956" xr:uid="{00000000-0005-0000-0000-0000D8790000}"/>
    <cellStyle name="Normal 35 2 2 2 2 3" xfId="10664" xr:uid="{00000000-0005-0000-0000-0000D9790000}"/>
    <cellStyle name="Normal 35 2 2 2 2 3 2" xfId="19207" xr:uid="{00000000-0005-0000-0000-0000DA790000}"/>
    <cellStyle name="Normal 35 2 2 2 2 3 2 2" xfId="32265" xr:uid="{00000000-0005-0000-0000-0000DB790000}"/>
    <cellStyle name="Normal 35 2 2 2 2 3 3" xfId="19208" xr:uid="{00000000-0005-0000-0000-0000DC790000}"/>
    <cellStyle name="Normal 35 2 2 2 2 3 3 2" xfId="32266" xr:uid="{00000000-0005-0000-0000-0000DD790000}"/>
    <cellStyle name="Normal 35 2 2 2 2 3 4" xfId="24034" xr:uid="{00000000-0005-0000-0000-0000DE790000}"/>
    <cellStyle name="Normal 35 2 2 2 2 4" xfId="19209" xr:uid="{00000000-0005-0000-0000-0000DF790000}"/>
    <cellStyle name="Normal 35 2 2 2 2 4 2" xfId="32267" xr:uid="{00000000-0005-0000-0000-0000E0790000}"/>
    <cellStyle name="Normal 35 2 2 2 2 5" xfId="19210" xr:uid="{00000000-0005-0000-0000-0000E1790000}"/>
    <cellStyle name="Normal 35 2 2 2 2 5 2" xfId="32268" xr:uid="{00000000-0005-0000-0000-0000E2790000}"/>
    <cellStyle name="Normal 35 2 2 2 2 6" xfId="21878" xr:uid="{00000000-0005-0000-0000-0000E3790000}"/>
    <cellStyle name="Normal 35 2 2 2 3" xfId="8817" xr:uid="{00000000-0005-0000-0000-0000E4790000}"/>
    <cellStyle name="Normal 35 2 2 2 3 2" xfId="11202" xr:uid="{00000000-0005-0000-0000-0000E5790000}"/>
    <cellStyle name="Normal 35 2 2 2 3 2 2" xfId="19211" xr:uid="{00000000-0005-0000-0000-0000E6790000}"/>
    <cellStyle name="Normal 35 2 2 2 3 2 2 2" xfId="32269" xr:uid="{00000000-0005-0000-0000-0000E7790000}"/>
    <cellStyle name="Normal 35 2 2 2 3 2 3" xfId="19212" xr:uid="{00000000-0005-0000-0000-0000E8790000}"/>
    <cellStyle name="Normal 35 2 2 2 3 2 3 2" xfId="32270" xr:uid="{00000000-0005-0000-0000-0000E9790000}"/>
    <cellStyle name="Normal 35 2 2 2 3 2 4" xfId="24572" xr:uid="{00000000-0005-0000-0000-0000EA790000}"/>
    <cellStyle name="Normal 35 2 2 2 3 3" xfId="19213" xr:uid="{00000000-0005-0000-0000-0000EB790000}"/>
    <cellStyle name="Normal 35 2 2 2 3 3 2" xfId="32271" xr:uid="{00000000-0005-0000-0000-0000EC790000}"/>
    <cellStyle name="Normal 35 2 2 2 3 4" xfId="19214" xr:uid="{00000000-0005-0000-0000-0000ED790000}"/>
    <cellStyle name="Normal 35 2 2 2 3 4 2" xfId="32272" xr:uid="{00000000-0005-0000-0000-0000EE790000}"/>
    <cellStyle name="Normal 35 2 2 2 3 5" xfId="22416" xr:uid="{00000000-0005-0000-0000-0000EF790000}"/>
    <cellStyle name="Normal 35 2 2 2 4" xfId="10124" xr:uid="{00000000-0005-0000-0000-0000F0790000}"/>
    <cellStyle name="Normal 35 2 2 2 4 2" xfId="19215" xr:uid="{00000000-0005-0000-0000-0000F1790000}"/>
    <cellStyle name="Normal 35 2 2 2 4 2 2" xfId="32273" xr:uid="{00000000-0005-0000-0000-0000F2790000}"/>
    <cellStyle name="Normal 35 2 2 2 4 3" xfId="19216" xr:uid="{00000000-0005-0000-0000-0000F3790000}"/>
    <cellStyle name="Normal 35 2 2 2 4 3 2" xfId="32274" xr:uid="{00000000-0005-0000-0000-0000F4790000}"/>
    <cellStyle name="Normal 35 2 2 2 4 4" xfId="23494" xr:uid="{00000000-0005-0000-0000-0000F5790000}"/>
    <cellStyle name="Normal 35 2 2 2 5" xfId="19217" xr:uid="{00000000-0005-0000-0000-0000F6790000}"/>
    <cellStyle name="Normal 35 2 2 2 5 2" xfId="32275" xr:uid="{00000000-0005-0000-0000-0000F7790000}"/>
    <cellStyle name="Normal 35 2 2 2 6" xfId="19218" xr:uid="{00000000-0005-0000-0000-0000F8790000}"/>
    <cellStyle name="Normal 35 2 2 2 6 2" xfId="32276" xr:uid="{00000000-0005-0000-0000-0000F9790000}"/>
    <cellStyle name="Normal 35 2 2 2 7" xfId="21338" xr:uid="{00000000-0005-0000-0000-0000FA790000}"/>
    <cellStyle name="Normal 35 2 2 3" xfId="7215" xr:uid="{00000000-0005-0000-0000-0000FB790000}"/>
    <cellStyle name="Normal 35 2 2 3 2" xfId="9094" xr:uid="{00000000-0005-0000-0000-0000FC790000}"/>
    <cellStyle name="Normal 35 2 2 3 2 2" xfId="11473" xr:uid="{00000000-0005-0000-0000-0000FD790000}"/>
    <cellStyle name="Normal 35 2 2 3 2 2 2" xfId="19219" xr:uid="{00000000-0005-0000-0000-0000FE790000}"/>
    <cellStyle name="Normal 35 2 2 3 2 2 2 2" xfId="32277" xr:uid="{00000000-0005-0000-0000-0000FF790000}"/>
    <cellStyle name="Normal 35 2 2 3 2 2 3" xfId="19220" xr:uid="{00000000-0005-0000-0000-0000007A0000}"/>
    <cellStyle name="Normal 35 2 2 3 2 2 3 2" xfId="32278" xr:uid="{00000000-0005-0000-0000-0000017A0000}"/>
    <cellStyle name="Normal 35 2 2 3 2 2 4" xfId="24843" xr:uid="{00000000-0005-0000-0000-0000027A0000}"/>
    <cellStyle name="Normal 35 2 2 3 2 3" xfId="19221" xr:uid="{00000000-0005-0000-0000-0000037A0000}"/>
    <cellStyle name="Normal 35 2 2 3 2 3 2" xfId="32279" xr:uid="{00000000-0005-0000-0000-0000047A0000}"/>
    <cellStyle name="Normal 35 2 2 3 2 4" xfId="19222" xr:uid="{00000000-0005-0000-0000-0000057A0000}"/>
    <cellStyle name="Normal 35 2 2 3 2 4 2" xfId="32280" xr:uid="{00000000-0005-0000-0000-0000067A0000}"/>
    <cellStyle name="Normal 35 2 2 3 2 5" xfId="22687" xr:uid="{00000000-0005-0000-0000-0000077A0000}"/>
    <cellStyle name="Normal 35 2 2 3 3" xfId="10395" xr:uid="{00000000-0005-0000-0000-0000087A0000}"/>
    <cellStyle name="Normal 35 2 2 3 3 2" xfId="19223" xr:uid="{00000000-0005-0000-0000-0000097A0000}"/>
    <cellStyle name="Normal 35 2 2 3 3 2 2" xfId="32281" xr:uid="{00000000-0005-0000-0000-00000A7A0000}"/>
    <cellStyle name="Normal 35 2 2 3 3 3" xfId="19224" xr:uid="{00000000-0005-0000-0000-00000B7A0000}"/>
    <cellStyle name="Normal 35 2 2 3 3 3 2" xfId="32282" xr:uid="{00000000-0005-0000-0000-00000C7A0000}"/>
    <cellStyle name="Normal 35 2 2 3 3 4" xfId="23765" xr:uid="{00000000-0005-0000-0000-00000D7A0000}"/>
    <cellStyle name="Normal 35 2 2 3 4" xfId="19225" xr:uid="{00000000-0005-0000-0000-00000E7A0000}"/>
    <cellStyle name="Normal 35 2 2 3 4 2" xfId="32283" xr:uid="{00000000-0005-0000-0000-00000F7A0000}"/>
    <cellStyle name="Normal 35 2 2 3 5" xfId="19226" xr:uid="{00000000-0005-0000-0000-0000107A0000}"/>
    <cellStyle name="Normal 35 2 2 3 5 2" xfId="32284" xr:uid="{00000000-0005-0000-0000-0000117A0000}"/>
    <cellStyle name="Normal 35 2 2 3 6" xfId="21609" xr:uid="{00000000-0005-0000-0000-0000127A0000}"/>
    <cellStyle name="Normal 35 2 2 4" xfId="8492" xr:uid="{00000000-0005-0000-0000-0000137A0000}"/>
    <cellStyle name="Normal 35 2 2 4 2" xfId="10933" xr:uid="{00000000-0005-0000-0000-0000147A0000}"/>
    <cellStyle name="Normal 35 2 2 4 2 2" xfId="19227" xr:uid="{00000000-0005-0000-0000-0000157A0000}"/>
    <cellStyle name="Normal 35 2 2 4 2 2 2" xfId="32285" xr:uid="{00000000-0005-0000-0000-0000167A0000}"/>
    <cellStyle name="Normal 35 2 2 4 2 3" xfId="19228" xr:uid="{00000000-0005-0000-0000-0000177A0000}"/>
    <cellStyle name="Normal 35 2 2 4 2 3 2" xfId="32286" xr:uid="{00000000-0005-0000-0000-0000187A0000}"/>
    <cellStyle name="Normal 35 2 2 4 2 4" xfId="24303" xr:uid="{00000000-0005-0000-0000-0000197A0000}"/>
    <cellStyle name="Normal 35 2 2 4 3" xfId="19229" xr:uid="{00000000-0005-0000-0000-00001A7A0000}"/>
    <cellStyle name="Normal 35 2 2 4 3 2" xfId="32287" xr:uid="{00000000-0005-0000-0000-00001B7A0000}"/>
    <cellStyle name="Normal 35 2 2 4 4" xfId="19230" xr:uid="{00000000-0005-0000-0000-00001C7A0000}"/>
    <cellStyle name="Normal 35 2 2 4 4 2" xfId="32288" xr:uid="{00000000-0005-0000-0000-00001D7A0000}"/>
    <cellStyle name="Normal 35 2 2 4 5" xfId="22147" xr:uid="{00000000-0005-0000-0000-00001E7A0000}"/>
    <cellStyle name="Normal 35 2 2 5" xfId="9855" xr:uid="{00000000-0005-0000-0000-00001F7A0000}"/>
    <cellStyle name="Normal 35 2 2 5 2" xfId="19231" xr:uid="{00000000-0005-0000-0000-0000207A0000}"/>
    <cellStyle name="Normal 35 2 2 5 2 2" xfId="32289" xr:uid="{00000000-0005-0000-0000-0000217A0000}"/>
    <cellStyle name="Normal 35 2 2 5 3" xfId="19232" xr:uid="{00000000-0005-0000-0000-0000227A0000}"/>
    <cellStyle name="Normal 35 2 2 5 3 2" xfId="32290" xr:uid="{00000000-0005-0000-0000-0000237A0000}"/>
    <cellStyle name="Normal 35 2 2 5 4" xfId="23225" xr:uid="{00000000-0005-0000-0000-0000247A0000}"/>
    <cellStyle name="Normal 35 2 2 6" xfId="19233" xr:uid="{00000000-0005-0000-0000-0000257A0000}"/>
    <cellStyle name="Normal 35 2 2 6 2" xfId="32291" xr:uid="{00000000-0005-0000-0000-0000267A0000}"/>
    <cellStyle name="Normal 35 2 2 7" xfId="19234" xr:uid="{00000000-0005-0000-0000-0000277A0000}"/>
    <cellStyle name="Normal 35 2 2 7 2" xfId="32292" xr:uid="{00000000-0005-0000-0000-0000287A0000}"/>
    <cellStyle name="Normal 35 2 2 8" xfId="21069" xr:uid="{00000000-0005-0000-0000-0000297A0000}"/>
    <cellStyle name="Normal 35 2 3" xfId="6646" xr:uid="{00000000-0005-0000-0000-00002A7A0000}"/>
    <cellStyle name="Normal 35 2 3 2" xfId="7342" xr:uid="{00000000-0005-0000-0000-00002B7A0000}"/>
    <cellStyle name="Normal 35 2 3 2 2" xfId="9221" xr:uid="{00000000-0005-0000-0000-00002C7A0000}"/>
    <cellStyle name="Normal 35 2 3 2 2 2" xfId="11600" xr:uid="{00000000-0005-0000-0000-00002D7A0000}"/>
    <cellStyle name="Normal 35 2 3 2 2 2 2" xfId="19235" xr:uid="{00000000-0005-0000-0000-00002E7A0000}"/>
    <cellStyle name="Normal 35 2 3 2 2 2 2 2" xfId="32293" xr:uid="{00000000-0005-0000-0000-00002F7A0000}"/>
    <cellStyle name="Normal 35 2 3 2 2 2 3" xfId="19236" xr:uid="{00000000-0005-0000-0000-0000307A0000}"/>
    <cellStyle name="Normal 35 2 3 2 2 2 3 2" xfId="32294" xr:uid="{00000000-0005-0000-0000-0000317A0000}"/>
    <cellStyle name="Normal 35 2 3 2 2 2 4" xfId="24970" xr:uid="{00000000-0005-0000-0000-0000327A0000}"/>
    <cellStyle name="Normal 35 2 3 2 2 3" xfId="19237" xr:uid="{00000000-0005-0000-0000-0000337A0000}"/>
    <cellStyle name="Normal 35 2 3 2 2 3 2" xfId="32295" xr:uid="{00000000-0005-0000-0000-0000347A0000}"/>
    <cellStyle name="Normal 35 2 3 2 2 4" xfId="19238" xr:uid="{00000000-0005-0000-0000-0000357A0000}"/>
    <cellStyle name="Normal 35 2 3 2 2 4 2" xfId="32296" xr:uid="{00000000-0005-0000-0000-0000367A0000}"/>
    <cellStyle name="Normal 35 2 3 2 2 5" xfId="22814" xr:uid="{00000000-0005-0000-0000-0000377A0000}"/>
    <cellStyle name="Normal 35 2 3 2 3" xfId="10522" xr:uid="{00000000-0005-0000-0000-0000387A0000}"/>
    <cellStyle name="Normal 35 2 3 2 3 2" xfId="19239" xr:uid="{00000000-0005-0000-0000-0000397A0000}"/>
    <cellStyle name="Normal 35 2 3 2 3 2 2" xfId="32297" xr:uid="{00000000-0005-0000-0000-00003A7A0000}"/>
    <cellStyle name="Normal 35 2 3 2 3 3" xfId="19240" xr:uid="{00000000-0005-0000-0000-00003B7A0000}"/>
    <cellStyle name="Normal 35 2 3 2 3 3 2" xfId="32298" xr:uid="{00000000-0005-0000-0000-00003C7A0000}"/>
    <cellStyle name="Normal 35 2 3 2 3 4" xfId="23892" xr:uid="{00000000-0005-0000-0000-00003D7A0000}"/>
    <cellStyle name="Normal 35 2 3 2 4" xfId="19241" xr:uid="{00000000-0005-0000-0000-00003E7A0000}"/>
    <cellStyle name="Normal 35 2 3 2 4 2" xfId="32299" xr:uid="{00000000-0005-0000-0000-00003F7A0000}"/>
    <cellStyle name="Normal 35 2 3 2 5" xfId="19242" xr:uid="{00000000-0005-0000-0000-0000407A0000}"/>
    <cellStyle name="Normal 35 2 3 2 5 2" xfId="32300" xr:uid="{00000000-0005-0000-0000-0000417A0000}"/>
    <cellStyle name="Normal 35 2 3 2 6" xfId="21736" xr:uid="{00000000-0005-0000-0000-0000427A0000}"/>
    <cellStyle name="Normal 35 2 3 3" xfId="8674" xr:uid="{00000000-0005-0000-0000-0000437A0000}"/>
    <cellStyle name="Normal 35 2 3 3 2" xfId="11060" xr:uid="{00000000-0005-0000-0000-0000447A0000}"/>
    <cellStyle name="Normal 35 2 3 3 2 2" xfId="19243" xr:uid="{00000000-0005-0000-0000-0000457A0000}"/>
    <cellStyle name="Normal 35 2 3 3 2 2 2" xfId="32301" xr:uid="{00000000-0005-0000-0000-0000467A0000}"/>
    <cellStyle name="Normal 35 2 3 3 2 3" xfId="19244" xr:uid="{00000000-0005-0000-0000-0000477A0000}"/>
    <cellStyle name="Normal 35 2 3 3 2 3 2" xfId="32302" xr:uid="{00000000-0005-0000-0000-0000487A0000}"/>
    <cellStyle name="Normal 35 2 3 3 2 4" xfId="24430" xr:uid="{00000000-0005-0000-0000-0000497A0000}"/>
    <cellStyle name="Normal 35 2 3 3 3" xfId="19245" xr:uid="{00000000-0005-0000-0000-00004A7A0000}"/>
    <cellStyle name="Normal 35 2 3 3 3 2" xfId="32303" xr:uid="{00000000-0005-0000-0000-00004B7A0000}"/>
    <cellStyle name="Normal 35 2 3 3 4" xfId="19246" xr:uid="{00000000-0005-0000-0000-00004C7A0000}"/>
    <cellStyle name="Normal 35 2 3 3 4 2" xfId="32304" xr:uid="{00000000-0005-0000-0000-00004D7A0000}"/>
    <cellStyle name="Normal 35 2 3 3 5" xfId="22274" xr:uid="{00000000-0005-0000-0000-00004E7A0000}"/>
    <cellStyle name="Normal 35 2 3 4" xfId="9982" xr:uid="{00000000-0005-0000-0000-00004F7A0000}"/>
    <cellStyle name="Normal 35 2 3 4 2" xfId="19247" xr:uid="{00000000-0005-0000-0000-0000507A0000}"/>
    <cellStyle name="Normal 35 2 3 4 2 2" xfId="32305" xr:uid="{00000000-0005-0000-0000-0000517A0000}"/>
    <cellStyle name="Normal 35 2 3 4 3" xfId="19248" xr:uid="{00000000-0005-0000-0000-0000527A0000}"/>
    <cellStyle name="Normal 35 2 3 4 3 2" xfId="32306" xr:uid="{00000000-0005-0000-0000-0000537A0000}"/>
    <cellStyle name="Normal 35 2 3 4 4" xfId="23352" xr:uid="{00000000-0005-0000-0000-0000547A0000}"/>
    <cellStyle name="Normal 35 2 3 5" xfId="19249" xr:uid="{00000000-0005-0000-0000-0000557A0000}"/>
    <cellStyle name="Normal 35 2 3 5 2" xfId="32307" xr:uid="{00000000-0005-0000-0000-0000567A0000}"/>
    <cellStyle name="Normal 35 2 3 6" xfId="19250" xr:uid="{00000000-0005-0000-0000-0000577A0000}"/>
    <cellStyle name="Normal 35 2 3 6 2" xfId="32308" xr:uid="{00000000-0005-0000-0000-0000587A0000}"/>
    <cellStyle name="Normal 35 2 3 7" xfId="21196" xr:uid="{00000000-0005-0000-0000-0000597A0000}"/>
    <cellStyle name="Normal 35 2 4" xfId="7072" xr:uid="{00000000-0005-0000-0000-00005A7A0000}"/>
    <cellStyle name="Normal 35 2 4 2" xfId="8952" xr:uid="{00000000-0005-0000-0000-00005B7A0000}"/>
    <cellStyle name="Normal 35 2 4 2 2" xfId="11331" xr:uid="{00000000-0005-0000-0000-00005C7A0000}"/>
    <cellStyle name="Normal 35 2 4 2 2 2" xfId="19251" xr:uid="{00000000-0005-0000-0000-00005D7A0000}"/>
    <cellStyle name="Normal 35 2 4 2 2 2 2" xfId="32309" xr:uid="{00000000-0005-0000-0000-00005E7A0000}"/>
    <cellStyle name="Normal 35 2 4 2 2 3" xfId="19252" xr:uid="{00000000-0005-0000-0000-00005F7A0000}"/>
    <cellStyle name="Normal 35 2 4 2 2 3 2" xfId="32310" xr:uid="{00000000-0005-0000-0000-0000607A0000}"/>
    <cellStyle name="Normal 35 2 4 2 2 4" xfId="24701" xr:uid="{00000000-0005-0000-0000-0000617A0000}"/>
    <cellStyle name="Normal 35 2 4 2 3" xfId="19253" xr:uid="{00000000-0005-0000-0000-0000627A0000}"/>
    <cellStyle name="Normal 35 2 4 2 3 2" xfId="32311" xr:uid="{00000000-0005-0000-0000-0000637A0000}"/>
    <cellStyle name="Normal 35 2 4 2 4" xfId="19254" xr:uid="{00000000-0005-0000-0000-0000647A0000}"/>
    <cellStyle name="Normal 35 2 4 2 4 2" xfId="32312" xr:uid="{00000000-0005-0000-0000-0000657A0000}"/>
    <cellStyle name="Normal 35 2 4 2 5" xfId="22545" xr:uid="{00000000-0005-0000-0000-0000667A0000}"/>
    <cellStyle name="Normal 35 2 4 3" xfId="10253" xr:uid="{00000000-0005-0000-0000-0000677A0000}"/>
    <cellStyle name="Normal 35 2 4 3 2" xfId="19255" xr:uid="{00000000-0005-0000-0000-0000687A0000}"/>
    <cellStyle name="Normal 35 2 4 3 2 2" xfId="32313" xr:uid="{00000000-0005-0000-0000-0000697A0000}"/>
    <cellStyle name="Normal 35 2 4 3 3" xfId="19256" xr:uid="{00000000-0005-0000-0000-00006A7A0000}"/>
    <cellStyle name="Normal 35 2 4 3 3 2" xfId="32314" xr:uid="{00000000-0005-0000-0000-00006B7A0000}"/>
    <cellStyle name="Normal 35 2 4 3 4" xfId="23623" xr:uid="{00000000-0005-0000-0000-00006C7A0000}"/>
    <cellStyle name="Normal 35 2 4 4" xfId="19257" xr:uid="{00000000-0005-0000-0000-00006D7A0000}"/>
    <cellStyle name="Normal 35 2 4 4 2" xfId="32315" xr:uid="{00000000-0005-0000-0000-00006E7A0000}"/>
    <cellStyle name="Normal 35 2 4 5" xfId="19258" xr:uid="{00000000-0005-0000-0000-00006F7A0000}"/>
    <cellStyle name="Normal 35 2 4 5 2" xfId="32316" xr:uid="{00000000-0005-0000-0000-0000707A0000}"/>
    <cellStyle name="Normal 35 2 4 6" xfId="21467" xr:uid="{00000000-0005-0000-0000-0000717A0000}"/>
    <cellStyle name="Normal 35 2 5" xfId="8276" xr:uid="{00000000-0005-0000-0000-0000727A0000}"/>
    <cellStyle name="Normal 35 2 5 2" xfId="10791" xr:uid="{00000000-0005-0000-0000-0000737A0000}"/>
    <cellStyle name="Normal 35 2 5 2 2" xfId="19259" xr:uid="{00000000-0005-0000-0000-0000747A0000}"/>
    <cellStyle name="Normal 35 2 5 2 2 2" xfId="32317" xr:uid="{00000000-0005-0000-0000-0000757A0000}"/>
    <cellStyle name="Normal 35 2 5 2 3" xfId="19260" xr:uid="{00000000-0005-0000-0000-0000767A0000}"/>
    <cellStyle name="Normal 35 2 5 2 3 2" xfId="32318" xr:uid="{00000000-0005-0000-0000-0000777A0000}"/>
    <cellStyle name="Normal 35 2 5 2 4" xfId="24161" xr:uid="{00000000-0005-0000-0000-0000787A0000}"/>
    <cellStyle name="Normal 35 2 5 3" xfId="19261" xr:uid="{00000000-0005-0000-0000-0000797A0000}"/>
    <cellStyle name="Normal 35 2 5 3 2" xfId="32319" xr:uid="{00000000-0005-0000-0000-00007A7A0000}"/>
    <cellStyle name="Normal 35 2 5 4" xfId="19262" xr:uid="{00000000-0005-0000-0000-00007B7A0000}"/>
    <cellStyle name="Normal 35 2 5 4 2" xfId="32320" xr:uid="{00000000-0005-0000-0000-00007C7A0000}"/>
    <cellStyle name="Normal 35 2 5 5" xfId="22005" xr:uid="{00000000-0005-0000-0000-00007D7A0000}"/>
    <cellStyle name="Normal 35 2 6" xfId="9712" xr:uid="{00000000-0005-0000-0000-00007E7A0000}"/>
    <cellStyle name="Normal 35 2 6 2" xfId="19263" xr:uid="{00000000-0005-0000-0000-00007F7A0000}"/>
    <cellStyle name="Normal 35 2 6 2 2" xfId="32321" xr:uid="{00000000-0005-0000-0000-0000807A0000}"/>
    <cellStyle name="Normal 35 2 6 3" xfId="19264" xr:uid="{00000000-0005-0000-0000-0000817A0000}"/>
    <cellStyle name="Normal 35 2 6 3 2" xfId="32322" xr:uid="{00000000-0005-0000-0000-0000827A0000}"/>
    <cellStyle name="Normal 35 2 6 4" xfId="23083" xr:uid="{00000000-0005-0000-0000-0000837A0000}"/>
    <cellStyle name="Normal 35 2 7" xfId="19265" xr:uid="{00000000-0005-0000-0000-0000847A0000}"/>
    <cellStyle name="Normal 35 2 7 2" xfId="32323" xr:uid="{00000000-0005-0000-0000-0000857A0000}"/>
    <cellStyle name="Normal 35 2 8" xfId="19266" xr:uid="{00000000-0005-0000-0000-0000867A0000}"/>
    <cellStyle name="Normal 35 2 8 2" xfId="32324" xr:uid="{00000000-0005-0000-0000-0000877A0000}"/>
    <cellStyle name="Normal 35 2 9" xfId="20926" xr:uid="{00000000-0005-0000-0000-0000887A0000}"/>
    <cellStyle name="Normal 35 3" xfId="5557" xr:uid="{00000000-0005-0000-0000-0000897A0000}"/>
    <cellStyle name="Normal 35 3 2" xfId="6741" xr:uid="{00000000-0005-0000-0000-00008A7A0000}"/>
    <cellStyle name="Normal 35 3 2 2" xfId="7428" xr:uid="{00000000-0005-0000-0000-00008B7A0000}"/>
    <cellStyle name="Normal 35 3 2 2 2" xfId="9307" xr:uid="{00000000-0005-0000-0000-00008C7A0000}"/>
    <cellStyle name="Normal 35 3 2 2 2 2" xfId="11686" xr:uid="{00000000-0005-0000-0000-00008D7A0000}"/>
    <cellStyle name="Normal 35 3 2 2 2 2 2" xfId="19267" xr:uid="{00000000-0005-0000-0000-00008E7A0000}"/>
    <cellStyle name="Normal 35 3 2 2 2 2 2 2" xfId="32325" xr:uid="{00000000-0005-0000-0000-00008F7A0000}"/>
    <cellStyle name="Normal 35 3 2 2 2 2 3" xfId="19268" xr:uid="{00000000-0005-0000-0000-0000907A0000}"/>
    <cellStyle name="Normal 35 3 2 2 2 2 3 2" xfId="32326" xr:uid="{00000000-0005-0000-0000-0000917A0000}"/>
    <cellStyle name="Normal 35 3 2 2 2 2 4" xfId="25056" xr:uid="{00000000-0005-0000-0000-0000927A0000}"/>
    <cellStyle name="Normal 35 3 2 2 2 3" xfId="19269" xr:uid="{00000000-0005-0000-0000-0000937A0000}"/>
    <cellStyle name="Normal 35 3 2 2 2 3 2" xfId="32327" xr:uid="{00000000-0005-0000-0000-0000947A0000}"/>
    <cellStyle name="Normal 35 3 2 2 2 4" xfId="19270" xr:uid="{00000000-0005-0000-0000-0000957A0000}"/>
    <cellStyle name="Normal 35 3 2 2 2 4 2" xfId="32328" xr:uid="{00000000-0005-0000-0000-0000967A0000}"/>
    <cellStyle name="Normal 35 3 2 2 2 5" xfId="22900" xr:uid="{00000000-0005-0000-0000-0000977A0000}"/>
    <cellStyle name="Normal 35 3 2 2 3" xfId="10608" xr:uid="{00000000-0005-0000-0000-0000987A0000}"/>
    <cellStyle name="Normal 35 3 2 2 3 2" xfId="19271" xr:uid="{00000000-0005-0000-0000-0000997A0000}"/>
    <cellStyle name="Normal 35 3 2 2 3 2 2" xfId="32329" xr:uid="{00000000-0005-0000-0000-00009A7A0000}"/>
    <cellStyle name="Normal 35 3 2 2 3 3" xfId="19272" xr:uid="{00000000-0005-0000-0000-00009B7A0000}"/>
    <cellStyle name="Normal 35 3 2 2 3 3 2" xfId="32330" xr:uid="{00000000-0005-0000-0000-00009C7A0000}"/>
    <cellStyle name="Normal 35 3 2 2 3 4" xfId="23978" xr:uid="{00000000-0005-0000-0000-00009D7A0000}"/>
    <cellStyle name="Normal 35 3 2 2 4" xfId="19273" xr:uid="{00000000-0005-0000-0000-00009E7A0000}"/>
    <cellStyle name="Normal 35 3 2 2 4 2" xfId="32331" xr:uid="{00000000-0005-0000-0000-00009F7A0000}"/>
    <cellStyle name="Normal 35 3 2 2 5" xfId="19274" xr:uid="{00000000-0005-0000-0000-0000A07A0000}"/>
    <cellStyle name="Normal 35 3 2 2 5 2" xfId="32332" xr:uid="{00000000-0005-0000-0000-0000A17A0000}"/>
    <cellStyle name="Normal 35 3 2 2 6" xfId="21822" xr:uid="{00000000-0005-0000-0000-0000A27A0000}"/>
    <cellStyle name="Normal 35 3 2 3" xfId="8761" xr:uid="{00000000-0005-0000-0000-0000A37A0000}"/>
    <cellStyle name="Normal 35 3 2 3 2" xfId="11146" xr:uid="{00000000-0005-0000-0000-0000A47A0000}"/>
    <cellStyle name="Normal 35 3 2 3 2 2" xfId="19275" xr:uid="{00000000-0005-0000-0000-0000A57A0000}"/>
    <cellStyle name="Normal 35 3 2 3 2 2 2" xfId="32333" xr:uid="{00000000-0005-0000-0000-0000A67A0000}"/>
    <cellStyle name="Normal 35 3 2 3 2 3" xfId="19276" xr:uid="{00000000-0005-0000-0000-0000A77A0000}"/>
    <cellStyle name="Normal 35 3 2 3 2 3 2" xfId="32334" xr:uid="{00000000-0005-0000-0000-0000A87A0000}"/>
    <cellStyle name="Normal 35 3 2 3 2 4" xfId="24516" xr:uid="{00000000-0005-0000-0000-0000A97A0000}"/>
    <cellStyle name="Normal 35 3 2 3 3" xfId="19277" xr:uid="{00000000-0005-0000-0000-0000AA7A0000}"/>
    <cellStyle name="Normal 35 3 2 3 3 2" xfId="32335" xr:uid="{00000000-0005-0000-0000-0000AB7A0000}"/>
    <cellStyle name="Normal 35 3 2 3 4" xfId="19278" xr:uid="{00000000-0005-0000-0000-0000AC7A0000}"/>
    <cellStyle name="Normal 35 3 2 3 4 2" xfId="32336" xr:uid="{00000000-0005-0000-0000-0000AD7A0000}"/>
    <cellStyle name="Normal 35 3 2 3 5" xfId="22360" xr:uid="{00000000-0005-0000-0000-0000AE7A0000}"/>
    <cellStyle name="Normal 35 3 2 4" xfId="10068" xr:uid="{00000000-0005-0000-0000-0000AF7A0000}"/>
    <cellStyle name="Normal 35 3 2 4 2" xfId="19279" xr:uid="{00000000-0005-0000-0000-0000B07A0000}"/>
    <cellStyle name="Normal 35 3 2 4 2 2" xfId="32337" xr:uid="{00000000-0005-0000-0000-0000B17A0000}"/>
    <cellStyle name="Normal 35 3 2 4 3" xfId="19280" xr:uid="{00000000-0005-0000-0000-0000B27A0000}"/>
    <cellStyle name="Normal 35 3 2 4 3 2" xfId="32338" xr:uid="{00000000-0005-0000-0000-0000B37A0000}"/>
    <cellStyle name="Normal 35 3 2 4 4" xfId="23438" xr:uid="{00000000-0005-0000-0000-0000B47A0000}"/>
    <cellStyle name="Normal 35 3 2 5" xfId="19281" xr:uid="{00000000-0005-0000-0000-0000B57A0000}"/>
    <cellStyle name="Normal 35 3 2 5 2" xfId="32339" xr:uid="{00000000-0005-0000-0000-0000B67A0000}"/>
    <cellStyle name="Normal 35 3 2 6" xfId="19282" xr:uid="{00000000-0005-0000-0000-0000B77A0000}"/>
    <cellStyle name="Normal 35 3 2 6 2" xfId="32340" xr:uid="{00000000-0005-0000-0000-0000B87A0000}"/>
    <cellStyle name="Normal 35 3 2 7" xfId="21282" xr:uid="{00000000-0005-0000-0000-0000B97A0000}"/>
    <cellStyle name="Normal 35 3 3" xfId="7159" xr:uid="{00000000-0005-0000-0000-0000BA7A0000}"/>
    <cellStyle name="Normal 35 3 3 2" xfId="9038" xr:uid="{00000000-0005-0000-0000-0000BB7A0000}"/>
    <cellStyle name="Normal 35 3 3 2 2" xfId="11417" xr:uid="{00000000-0005-0000-0000-0000BC7A0000}"/>
    <cellStyle name="Normal 35 3 3 2 2 2" xfId="19283" xr:uid="{00000000-0005-0000-0000-0000BD7A0000}"/>
    <cellStyle name="Normal 35 3 3 2 2 2 2" xfId="32341" xr:uid="{00000000-0005-0000-0000-0000BE7A0000}"/>
    <cellStyle name="Normal 35 3 3 2 2 3" xfId="19284" xr:uid="{00000000-0005-0000-0000-0000BF7A0000}"/>
    <cellStyle name="Normal 35 3 3 2 2 3 2" xfId="32342" xr:uid="{00000000-0005-0000-0000-0000C07A0000}"/>
    <cellStyle name="Normal 35 3 3 2 2 4" xfId="24787" xr:uid="{00000000-0005-0000-0000-0000C17A0000}"/>
    <cellStyle name="Normal 35 3 3 2 3" xfId="19285" xr:uid="{00000000-0005-0000-0000-0000C27A0000}"/>
    <cellStyle name="Normal 35 3 3 2 3 2" xfId="32343" xr:uid="{00000000-0005-0000-0000-0000C37A0000}"/>
    <cellStyle name="Normal 35 3 3 2 4" xfId="19286" xr:uid="{00000000-0005-0000-0000-0000C47A0000}"/>
    <cellStyle name="Normal 35 3 3 2 4 2" xfId="32344" xr:uid="{00000000-0005-0000-0000-0000C57A0000}"/>
    <cellStyle name="Normal 35 3 3 2 5" xfId="22631" xr:uid="{00000000-0005-0000-0000-0000C67A0000}"/>
    <cellStyle name="Normal 35 3 3 3" xfId="10339" xr:uid="{00000000-0005-0000-0000-0000C77A0000}"/>
    <cellStyle name="Normal 35 3 3 3 2" xfId="19287" xr:uid="{00000000-0005-0000-0000-0000C87A0000}"/>
    <cellStyle name="Normal 35 3 3 3 2 2" xfId="32345" xr:uid="{00000000-0005-0000-0000-0000C97A0000}"/>
    <cellStyle name="Normal 35 3 3 3 3" xfId="19288" xr:uid="{00000000-0005-0000-0000-0000CA7A0000}"/>
    <cellStyle name="Normal 35 3 3 3 3 2" xfId="32346" xr:uid="{00000000-0005-0000-0000-0000CB7A0000}"/>
    <cellStyle name="Normal 35 3 3 3 4" xfId="23709" xr:uid="{00000000-0005-0000-0000-0000CC7A0000}"/>
    <cellStyle name="Normal 35 3 3 4" xfId="19289" xr:uid="{00000000-0005-0000-0000-0000CD7A0000}"/>
    <cellStyle name="Normal 35 3 3 4 2" xfId="32347" xr:uid="{00000000-0005-0000-0000-0000CE7A0000}"/>
    <cellStyle name="Normal 35 3 3 5" xfId="19290" xr:uid="{00000000-0005-0000-0000-0000CF7A0000}"/>
    <cellStyle name="Normal 35 3 3 5 2" xfId="32348" xr:uid="{00000000-0005-0000-0000-0000D07A0000}"/>
    <cellStyle name="Normal 35 3 3 6" xfId="21553" xr:uid="{00000000-0005-0000-0000-0000D17A0000}"/>
    <cellStyle name="Normal 35 3 4" xfId="8434" xr:uid="{00000000-0005-0000-0000-0000D27A0000}"/>
    <cellStyle name="Normal 35 3 4 2" xfId="10877" xr:uid="{00000000-0005-0000-0000-0000D37A0000}"/>
    <cellStyle name="Normal 35 3 4 2 2" xfId="19291" xr:uid="{00000000-0005-0000-0000-0000D47A0000}"/>
    <cellStyle name="Normal 35 3 4 2 2 2" xfId="32349" xr:uid="{00000000-0005-0000-0000-0000D57A0000}"/>
    <cellStyle name="Normal 35 3 4 2 3" xfId="19292" xr:uid="{00000000-0005-0000-0000-0000D67A0000}"/>
    <cellStyle name="Normal 35 3 4 2 3 2" xfId="32350" xr:uid="{00000000-0005-0000-0000-0000D77A0000}"/>
    <cellStyle name="Normal 35 3 4 2 4" xfId="24247" xr:uid="{00000000-0005-0000-0000-0000D87A0000}"/>
    <cellStyle name="Normal 35 3 4 3" xfId="19293" xr:uid="{00000000-0005-0000-0000-0000D97A0000}"/>
    <cellStyle name="Normal 35 3 4 3 2" xfId="32351" xr:uid="{00000000-0005-0000-0000-0000DA7A0000}"/>
    <cellStyle name="Normal 35 3 4 4" xfId="19294" xr:uid="{00000000-0005-0000-0000-0000DB7A0000}"/>
    <cellStyle name="Normal 35 3 4 4 2" xfId="32352" xr:uid="{00000000-0005-0000-0000-0000DC7A0000}"/>
    <cellStyle name="Normal 35 3 4 5" xfId="22091" xr:uid="{00000000-0005-0000-0000-0000DD7A0000}"/>
    <cellStyle name="Normal 35 3 5" xfId="9799" xr:uid="{00000000-0005-0000-0000-0000DE7A0000}"/>
    <cellStyle name="Normal 35 3 5 2" xfId="19295" xr:uid="{00000000-0005-0000-0000-0000DF7A0000}"/>
    <cellStyle name="Normal 35 3 5 2 2" xfId="32353" xr:uid="{00000000-0005-0000-0000-0000E07A0000}"/>
    <cellStyle name="Normal 35 3 5 3" xfId="19296" xr:uid="{00000000-0005-0000-0000-0000E17A0000}"/>
    <cellStyle name="Normal 35 3 5 3 2" xfId="32354" xr:uid="{00000000-0005-0000-0000-0000E27A0000}"/>
    <cellStyle name="Normal 35 3 5 4" xfId="23169" xr:uid="{00000000-0005-0000-0000-0000E37A0000}"/>
    <cellStyle name="Normal 35 3 6" xfId="19297" xr:uid="{00000000-0005-0000-0000-0000E47A0000}"/>
    <cellStyle name="Normal 35 3 6 2" xfId="32355" xr:uid="{00000000-0005-0000-0000-0000E57A0000}"/>
    <cellStyle name="Normal 35 3 7" xfId="19298" xr:uid="{00000000-0005-0000-0000-0000E67A0000}"/>
    <cellStyle name="Normal 35 3 7 2" xfId="32356" xr:uid="{00000000-0005-0000-0000-0000E77A0000}"/>
    <cellStyle name="Normal 35 3 8" xfId="21013" xr:uid="{00000000-0005-0000-0000-0000E87A0000}"/>
    <cellStyle name="Normal 35 4" xfId="6591" xr:uid="{00000000-0005-0000-0000-0000E97A0000}"/>
    <cellStyle name="Normal 35 4 2" xfId="7287" xr:uid="{00000000-0005-0000-0000-0000EA7A0000}"/>
    <cellStyle name="Normal 35 4 2 2" xfId="9166" xr:uid="{00000000-0005-0000-0000-0000EB7A0000}"/>
    <cellStyle name="Normal 35 4 2 2 2" xfId="11545" xr:uid="{00000000-0005-0000-0000-0000EC7A0000}"/>
    <cellStyle name="Normal 35 4 2 2 2 2" xfId="19299" xr:uid="{00000000-0005-0000-0000-0000ED7A0000}"/>
    <cellStyle name="Normal 35 4 2 2 2 2 2" xfId="32357" xr:uid="{00000000-0005-0000-0000-0000EE7A0000}"/>
    <cellStyle name="Normal 35 4 2 2 2 3" xfId="19300" xr:uid="{00000000-0005-0000-0000-0000EF7A0000}"/>
    <cellStyle name="Normal 35 4 2 2 2 3 2" xfId="32358" xr:uid="{00000000-0005-0000-0000-0000F07A0000}"/>
    <cellStyle name="Normal 35 4 2 2 2 4" xfId="24915" xr:uid="{00000000-0005-0000-0000-0000F17A0000}"/>
    <cellStyle name="Normal 35 4 2 2 3" xfId="19301" xr:uid="{00000000-0005-0000-0000-0000F27A0000}"/>
    <cellStyle name="Normal 35 4 2 2 3 2" xfId="32359" xr:uid="{00000000-0005-0000-0000-0000F37A0000}"/>
    <cellStyle name="Normal 35 4 2 2 4" xfId="19302" xr:uid="{00000000-0005-0000-0000-0000F47A0000}"/>
    <cellStyle name="Normal 35 4 2 2 4 2" xfId="32360" xr:uid="{00000000-0005-0000-0000-0000F57A0000}"/>
    <cellStyle name="Normal 35 4 2 2 5" xfId="22759" xr:uid="{00000000-0005-0000-0000-0000F67A0000}"/>
    <cellStyle name="Normal 35 4 2 3" xfId="10467" xr:uid="{00000000-0005-0000-0000-0000F77A0000}"/>
    <cellStyle name="Normal 35 4 2 3 2" xfId="19303" xr:uid="{00000000-0005-0000-0000-0000F87A0000}"/>
    <cellStyle name="Normal 35 4 2 3 2 2" xfId="32361" xr:uid="{00000000-0005-0000-0000-0000F97A0000}"/>
    <cellStyle name="Normal 35 4 2 3 3" xfId="19304" xr:uid="{00000000-0005-0000-0000-0000FA7A0000}"/>
    <cellStyle name="Normal 35 4 2 3 3 2" xfId="32362" xr:uid="{00000000-0005-0000-0000-0000FB7A0000}"/>
    <cellStyle name="Normal 35 4 2 3 4" xfId="23837" xr:uid="{00000000-0005-0000-0000-0000FC7A0000}"/>
    <cellStyle name="Normal 35 4 2 4" xfId="19305" xr:uid="{00000000-0005-0000-0000-0000FD7A0000}"/>
    <cellStyle name="Normal 35 4 2 4 2" xfId="32363" xr:uid="{00000000-0005-0000-0000-0000FE7A0000}"/>
    <cellStyle name="Normal 35 4 2 5" xfId="19306" xr:uid="{00000000-0005-0000-0000-0000FF7A0000}"/>
    <cellStyle name="Normal 35 4 2 5 2" xfId="32364" xr:uid="{00000000-0005-0000-0000-0000007B0000}"/>
    <cellStyle name="Normal 35 4 2 6" xfId="21681" xr:uid="{00000000-0005-0000-0000-0000017B0000}"/>
    <cellStyle name="Normal 35 4 3" xfId="8619" xr:uid="{00000000-0005-0000-0000-0000027B0000}"/>
    <cellStyle name="Normal 35 4 3 2" xfId="11005" xr:uid="{00000000-0005-0000-0000-0000037B0000}"/>
    <cellStyle name="Normal 35 4 3 2 2" xfId="19307" xr:uid="{00000000-0005-0000-0000-0000047B0000}"/>
    <cellStyle name="Normal 35 4 3 2 2 2" xfId="32365" xr:uid="{00000000-0005-0000-0000-0000057B0000}"/>
    <cellStyle name="Normal 35 4 3 2 3" xfId="19308" xr:uid="{00000000-0005-0000-0000-0000067B0000}"/>
    <cellStyle name="Normal 35 4 3 2 3 2" xfId="32366" xr:uid="{00000000-0005-0000-0000-0000077B0000}"/>
    <cellStyle name="Normal 35 4 3 2 4" xfId="24375" xr:uid="{00000000-0005-0000-0000-0000087B0000}"/>
    <cellStyle name="Normal 35 4 3 3" xfId="19309" xr:uid="{00000000-0005-0000-0000-0000097B0000}"/>
    <cellStyle name="Normal 35 4 3 3 2" xfId="32367" xr:uid="{00000000-0005-0000-0000-00000A7B0000}"/>
    <cellStyle name="Normal 35 4 3 4" xfId="19310" xr:uid="{00000000-0005-0000-0000-00000B7B0000}"/>
    <cellStyle name="Normal 35 4 3 4 2" xfId="32368" xr:uid="{00000000-0005-0000-0000-00000C7B0000}"/>
    <cellStyle name="Normal 35 4 3 5" xfId="22219" xr:uid="{00000000-0005-0000-0000-00000D7B0000}"/>
    <cellStyle name="Normal 35 4 4" xfId="9927" xr:uid="{00000000-0005-0000-0000-00000E7B0000}"/>
    <cellStyle name="Normal 35 4 4 2" xfId="19311" xr:uid="{00000000-0005-0000-0000-00000F7B0000}"/>
    <cellStyle name="Normal 35 4 4 2 2" xfId="32369" xr:uid="{00000000-0005-0000-0000-0000107B0000}"/>
    <cellStyle name="Normal 35 4 4 3" xfId="19312" xr:uid="{00000000-0005-0000-0000-0000117B0000}"/>
    <cellStyle name="Normal 35 4 4 3 2" xfId="32370" xr:uid="{00000000-0005-0000-0000-0000127B0000}"/>
    <cellStyle name="Normal 35 4 4 4" xfId="23297" xr:uid="{00000000-0005-0000-0000-0000137B0000}"/>
    <cellStyle name="Normal 35 4 5" xfId="19313" xr:uid="{00000000-0005-0000-0000-0000147B0000}"/>
    <cellStyle name="Normal 35 4 5 2" xfId="32371" xr:uid="{00000000-0005-0000-0000-0000157B0000}"/>
    <cellStyle name="Normal 35 4 6" xfId="19314" xr:uid="{00000000-0005-0000-0000-0000167B0000}"/>
    <cellStyle name="Normal 35 4 6 2" xfId="32372" xr:uid="{00000000-0005-0000-0000-0000177B0000}"/>
    <cellStyle name="Normal 35 4 7" xfId="21141" xr:uid="{00000000-0005-0000-0000-0000187B0000}"/>
    <cellStyle name="Normal 35 5" xfId="7017" xr:uid="{00000000-0005-0000-0000-0000197B0000}"/>
    <cellStyle name="Normal 35 5 2" xfId="8897" xr:uid="{00000000-0005-0000-0000-00001A7B0000}"/>
    <cellStyle name="Normal 35 5 2 2" xfId="11276" xr:uid="{00000000-0005-0000-0000-00001B7B0000}"/>
    <cellStyle name="Normal 35 5 2 2 2" xfId="19315" xr:uid="{00000000-0005-0000-0000-00001C7B0000}"/>
    <cellStyle name="Normal 35 5 2 2 2 2" xfId="32373" xr:uid="{00000000-0005-0000-0000-00001D7B0000}"/>
    <cellStyle name="Normal 35 5 2 2 3" xfId="19316" xr:uid="{00000000-0005-0000-0000-00001E7B0000}"/>
    <cellStyle name="Normal 35 5 2 2 3 2" xfId="32374" xr:uid="{00000000-0005-0000-0000-00001F7B0000}"/>
    <cellStyle name="Normal 35 5 2 2 4" xfId="24646" xr:uid="{00000000-0005-0000-0000-0000207B0000}"/>
    <cellStyle name="Normal 35 5 2 3" xfId="19317" xr:uid="{00000000-0005-0000-0000-0000217B0000}"/>
    <cellStyle name="Normal 35 5 2 3 2" xfId="32375" xr:uid="{00000000-0005-0000-0000-0000227B0000}"/>
    <cellStyle name="Normal 35 5 2 4" xfId="19318" xr:uid="{00000000-0005-0000-0000-0000237B0000}"/>
    <cellStyle name="Normal 35 5 2 4 2" xfId="32376" xr:uid="{00000000-0005-0000-0000-0000247B0000}"/>
    <cellStyle name="Normal 35 5 2 5" xfId="22490" xr:uid="{00000000-0005-0000-0000-0000257B0000}"/>
    <cellStyle name="Normal 35 5 3" xfId="10198" xr:uid="{00000000-0005-0000-0000-0000267B0000}"/>
    <cellStyle name="Normal 35 5 3 2" xfId="19319" xr:uid="{00000000-0005-0000-0000-0000277B0000}"/>
    <cellStyle name="Normal 35 5 3 2 2" xfId="32377" xr:uid="{00000000-0005-0000-0000-0000287B0000}"/>
    <cellStyle name="Normal 35 5 3 3" xfId="19320" xr:uid="{00000000-0005-0000-0000-0000297B0000}"/>
    <cellStyle name="Normal 35 5 3 3 2" xfId="32378" xr:uid="{00000000-0005-0000-0000-00002A7B0000}"/>
    <cellStyle name="Normal 35 5 3 4" xfId="23568" xr:uid="{00000000-0005-0000-0000-00002B7B0000}"/>
    <cellStyle name="Normal 35 5 4" xfId="19321" xr:uid="{00000000-0005-0000-0000-00002C7B0000}"/>
    <cellStyle name="Normal 35 5 4 2" xfId="32379" xr:uid="{00000000-0005-0000-0000-00002D7B0000}"/>
    <cellStyle name="Normal 35 5 5" xfId="19322" xr:uid="{00000000-0005-0000-0000-00002E7B0000}"/>
    <cellStyle name="Normal 35 5 5 2" xfId="32380" xr:uid="{00000000-0005-0000-0000-00002F7B0000}"/>
    <cellStyle name="Normal 35 5 6" xfId="21412" xr:uid="{00000000-0005-0000-0000-0000307B0000}"/>
    <cellStyle name="Normal 35 6" xfId="8213" xr:uid="{00000000-0005-0000-0000-0000317B0000}"/>
    <cellStyle name="Normal 35 6 2" xfId="10736" xr:uid="{00000000-0005-0000-0000-0000327B0000}"/>
    <cellStyle name="Normal 35 6 2 2" xfId="19323" xr:uid="{00000000-0005-0000-0000-0000337B0000}"/>
    <cellStyle name="Normal 35 6 2 2 2" xfId="32381" xr:uid="{00000000-0005-0000-0000-0000347B0000}"/>
    <cellStyle name="Normal 35 6 2 3" xfId="19324" xr:uid="{00000000-0005-0000-0000-0000357B0000}"/>
    <cellStyle name="Normal 35 6 2 3 2" xfId="32382" xr:uid="{00000000-0005-0000-0000-0000367B0000}"/>
    <cellStyle name="Normal 35 6 2 4" xfId="24106" xr:uid="{00000000-0005-0000-0000-0000377B0000}"/>
    <cellStyle name="Normal 35 6 3" xfId="19325" xr:uid="{00000000-0005-0000-0000-0000387B0000}"/>
    <cellStyle name="Normal 35 6 3 2" xfId="32383" xr:uid="{00000000-0005-0000-0000-0000397B0000}"/>
    <cellStyle name="Normal 35 6 4" xfId="19326" xr:uid="{00000000-0005-0000-0000-00003A7B0000}"/>
    <cellStyle name="Normal 35 6 4 2" xfId="32384" xr:uid="{00000000-0005-0000-0000-00003B7B0000}"/>
    <cellStyle name="Normal 35 6 5" xfId="21950" xr:uid="{00000000-0005-0000-0000-00003C7B0000}"/>
    <cellStyle name="Normal 35 7" xfId="9657" xr:uid="{00000000-0005-0000-0000-00003D7B0000}"/>
    <cellStyle name="Normal 35 7 2" xfId="19327" xr:uid="{00000000-0005-0000-0000-00003E7B0000}"/>
    <cellStyle name="Normal 35 7 2 2" xfId="32385" xr:uid="{00000000-0005-0000-0000-00003F7B0000}"/>
    <cellStyle name="Normal 35 7 3" xfId="19328" xr:uid="{00000000-0005-0000-0000-0000407B0000}"/>
    <cellStyle name="Normal 35 7 3 2" xfId="32386" xr:uid="{00000000-0005-0000-0000-0000417B0000}"/>
    <cellStyle name="Normal 35 7 4" xfId="23028" xr:uid="{00000000-0005-0000-0000-0000427B0000}"/>
    <cellStyle name="Normal 35 8" xfId="19329" xr:uid="{00000000-0005-0000-0000-0000437B0000}"/>
    <cellStyle name="Normal 35 8 2" xfId="32387" xr:uid="{00000000-0005-0000-0000-0000447B0000}"/>
    <cellStyle name="Normal 35 9" xfId="19330" xr:uid="{00000000-0005-0000-0000-0000457B0000}"/>
    <cellStyle name="Normal 35 9 2" xfId="32388" xr:uid="{00000000-0005-0000-0000-0000467B0000}"/>
    <cellStyle name="Normal 36" xfId="3952" xr:uid="{00000000-0005-0000-0000-0000477B0000}"/>
    <cellStyle name="Normal 36 10" xfId="20873" xr:uid="{00000000-0005-0000-0000-0000487B0000}"/>
    <cellStyle name="Normal 36 2" xfId="4111" xr:uid="{00000000-0005-0000-0000-0000497B0000}"/>
    <cellStyle name="Normal 36 2 2" xfId="5647" xr:uid="{00000000-0005-0000-0000-00004A7B0000}"/>
    <cellStyle name="Normal 36 2 2 2" xfId="6799" xr:uid="{00000000-0005-0000-0000-00004B7B0000}"/>
    <cellStyle name="Normal 36 2 2 2 2" xfId="7486" xr:uid="{00000000-0005-0000-0000-00004C7B0000}"/>
    <cellStyle name="Normal 36 2 2 2 2 2" xfId="9365" xr:uid="{00000000-0005-0000-0000-00004D7B0000}"/>
    <cellStyle name="Normal 36 2 2 2 2 2 2" xfId="11744" xr:uid="{00000000-0005-0000-0000-00004E7B0000}"/>
    <cellStyle name="Normal 36 2 2 2 2 2 2 2" xfId="19331" xr:uid="{00000000-0005-0000-0000-00004F7B0000}"/>
    <cellStyle name="Normal 36 2 2 2 2 2 2 2 2" xfId="32389" xr:uid="{00000000-0005-0000-0000-0000507B0000}"/>
    <cellStyle name="Normal 36 2 2 2 2 2 2 3" xfId="19332" xr:uid="{00000000-0005-0000-0000-0000517B0000}"/>
    <cellStyle name="Normal 36 2 2 2 2 2 2 3 2" xfId="32390" xr:uid="{00000000-0005-0000-0000-0000527B0000}"/>
    <cellStyle name="Normal 36 2 2 2 2 2 2 4" xfId="25114" xr:uid="{00000000-0005-0000-0000-0000537B0000}"/>
    <cellStyle name="Normal 36 2 2 2 2 2 3" xfId="19333" xr:uid="{00000000-0005-0000-0000-0000547B0000}"/>
    <cellStyle name="Normal 36 2 2 2 2 2 3 2" xfId="32391" xr:uid="{00000000-0005-0000-0000-0000557B0000}"/>
    <cellStyle name="Normal 36 2 2 2 2 2 4" xfId="19334" xr:uid="{00000000-0005-0000-0000-0000567B0000}"/>
    <cellStyle name="Normal 36 2 2 2 2 2 4 2" xfId="32392" xr:uid="{00000000-0005-0000-0000-0000577B0000}"/>
    <cellStyle name="Normal 36 2 2 2 2 2 5" xfId="22958" xr:uid="{00000000-0005-0000-0000-0000587B0000}"/>
    <cellStyle name="Normal 36 2 2 2 2 3" xfId="10666" xr:uid="{00000000-0005-0000-0000-0000597B0000}"/>
    <cellStyle name="Normal 36 2 2 2 2 3 2" xfId="19335" xr:uid="{00000000-0005-0000-0000-00005A7B0000}"/>
    <cellStyle name="Normal 36 2 2 2 2 3 2 2" xfId="32393" xr:uid="{00000000-0005-0000-0000-00005B7B0000}"/>
    <cellStyle name="Normal 36 2 2 2 2 3 3" xfId="19336" xr:uid="{00000000-0005-0000-0000-00005C7B0000}"/>
    <cellStyle name="Normal 36 2 2 2 2 3 3 2" xfId="32394" xr:uid="{00000000-0005-0000-0000-00005D7B0000}"/>
    <cellStyle name="Normal 36 2 2 2 2 3 4" xfId="24036" xr:uid="{00000000-0005-0000-0000-00005E7B0000}"/>
    <cellStyle name="Normal 36 2 2 2 2 4" xfId="19337" xr:uid="{00000000-0005-0000-0000-00005F7B0000}"/>
    <cellStyle name="Normal 36 2 2 2 2 4 2" xfId="32395" xr:uid="{00000000-0005-0000-0000-0000607B0000}"/>
    <cellStyle name="Normal 36 2 2 2 2 5" xfId="19338" xr:uid="{00000000-0005-0000-0000-0000617B0000}"/>
    <cellStyle name="Normal 36 2 2 2 2 5 2" xfId="32396" xr:uid="{00000000-0005-0000-0000-0000627B0000}"/>
    <cellStyle name="Normal 36 2 2 2 2 6" xfId="21880" xr:uid="{00000000-0005-0000-0000-0000637B0000}"/>
    <cellStyle name="Normal 36 2 2 2 3" xfId="8819" xr:uid="{00000000-0005-0000-0000-0000647B0000}"/>
    <cellStyle name="Normal 36 2 2 2 3 2" xfId="11204" xr:uid="{00000000-0005-0000-0000-0000657B0000}"/>
    <cellStyle name="Normal 36 2 2 2 3 2 2" xfId="19339" xr:uid="{00000000-0005-0000-0000-0000667B0000}"/>
    <cellStyle name="Normal 36 2 2 2 3 2 2 2" xfId="32397" xr:uid="{00000000-0005-0000-0000-0000677B0000}"/>
    <cellStyle name="Normal 36 2 2 2 3 2 3" xfId="19340" xr:uid="{00000000-0005-0000-0000-0000687B0000}"/>
    <cellStyle name="Normal 36 2 2 2 3 2 3 2" xfId="32398" xr:uid="{00000000-0005-0000-0000-0000697B0000}"/>
    <cellStyle name="Normal 36 2 2 2 3 2 4" xfId="24574" xr:uid="{00000000-0005-0000-0000-00006A7B0000}"/>
    <cellStyle name="Normal 36 2 2 2 3 3" xfId="19341" xr:uid="{00000000-0005-0000-0000-00006B7B0000}"/>
    <cellStyle name="Normal 36 2 2 2 3 3 2" xfId="32399" xr:uid="{00000000-0005-0000-0000-00006C7B0000}"/>
    <cellStyle name="Normal 36 2 2 2 3 4" xfId="19342" xr:uid="{00000000-0005-0000-0000-00006D7B0000}"/>
    <cellStyle name="Normal 36 2 2 2 3 4 2" xfId="32400" xr:uid="{00000000-0005-0000-0000-00006E7B0000}"/>
    <cellStyle name="Normal 36 2 2 2 3 5" xfId="22418" xr:uid="{00000000-0005-0000-0000-00006F7B0000}"/>
    <cellStyle name="Normal 36 2 2 2 4" xfId="10126" xr:uid="{00000000-0005-0000-0000-0000707B0000}"/>
    <cellStyle name="Normal 36 2 2 2 4 2" xfId="19343" xr:uid="{00000000-0005-0000-0000-0000717B0000}"/>
    <cellStyle name="Normal 36 2 2 2 4 2 2" xfId="32401" xr:uid="{00000000-0005-0000-0000-0000727B0000}"/>
    <cellStyle name="Normal 36 2 2 2 4 3" xfId="19344" xr:uid="{00000000-0005-0000-0000-0000737B0000}"/>
    <cellStyle name="Normal 36 2 2 2 4 3 2" xfId="32402" xr:uid="{00000000-0005-0000-0000-0000747B0000}"/>
    <cellStyle name="Normal 36 2 2 2 4 4" xfId="23496" xr:uid="{00000000-0005-0000-0000-0000757B0000}"/>
    <cellStyle name="Normal 36 2 2 2 5" xfId="19345" xr:uid="{00000000-0005-0000-0000-0000767B0000}"/>
    <cellStyle name="Normal 36 2 2 2 5 2" xfId="32403" xr:uid="{00000000-0005-0000-0000-0000777B0000}"/>
    <cellStyle name="Normal 36 2 2 2 6" xfId="19346" xr:uid="{00000000-0005-0000-0000-0000787B0000}"/>
    <cellStyle name="Normal 36 2 2 2 6 2" xfId="32404" xr:uid="{00000000-0005-0000-0000-0000797B0000}"/>
    <cellStyle name="Normal 36 2 2 2 7" xfId="21340" xr:uid="{00000000-0005-0000-0000-00007A7B0000}"/>
    <cellStyle name="Normal 36 2 2 3" xfId="7217" xr:uid="{00000000-0005-0000-0000-00007B7B0000}"/>
    <cellStyle name="Normal 36 2 2 3 2" xfId="9096" xr:uid="{00000000-0005-0000-0000-00007C7B0000}"/>
    <cellStyle name="Normal 36 2 2 3 2 2" xfId="11475" xr:uid="{00000000-0005-0000-0000-00007D7B0000}"/>
    <cellStyle name="Normal 36 2 2 3 2 2 2" xfId="19347" xr:uid="{00000000-0005-0000-0000-00007E7B0000}"/>
    <cellStyle name="Normal 36 2 2 3 2 2 2 2" xfId="32405" xr:uid="{00000000-0005-0000-0000-00007F7B0000}"/>
    <cellStyle name="Normal 36 2 2 3 2 2 3" xfId="19348" xr:uid="{00000000-0005-0000-0000-0000807B0000}"/>
    <cellStyle name="Normal 36 2 2 3 2 2 3 2" xfId="32406" xr:uid="{00000000-0005-0000-0000-0000817B0000}"/>
    <cellStyle name="Normal 36 2 2 3 2 2 4" xfId="24845" xr:uid="{00000000-0005-0000-0000-0000827B0000}"/>
    <cellStyle name="Normal 36 2 2 3 2 3" xfId="19349" xr:uid="{00000000-0005-0000-0000-0000837B0000}"/>
    <cellStyle name="Normal 36 2 2 3 2 3 2" xfId="32407" xr:uid="{00000000-0005-0000-0000-0000847B0000}"/>
    <cellStyle name="Normal 36 2 2 3 2 4" xfId="19350" xr:uid="{00000000-0005-0000-0000-0000857B0000}"/>
    <cellStyle name="Normal 36 2 2 3 2 4 2" xfId="32408" xr:uid="{00000000-0005-0000-0000-0000867B0000}"/>
    <cellStyle name="Normal 36 2 2 3 2 5" xfId="22689" xr:uid="{00000000-0005-0000-0000-0000877B0000}"/>
    <cellStyle name="Normal 36 2 2 3 3" xfId="10397" xr:uid="{00000000-0005-0000-0000-0000887B0000}"/>
    <cellStyle name="Normal 36 2 2 3 3 2" xfId="19351" xr:uid="{00000000-0005-0000-0000-0000897B0000}"/>
    <cellStyle name="Normal 36 2 2 3 3 2 2" xfId="32409" xr:uid="{00000000-0005-0000-0000-00008A7B0000}"/>
    <cellStyle name="Normal 36 2 2 3 3 3" xfId="19352" xr:uid="{00000000-0005-0000-0000-00008B7B0000}"/>
    <cellStyle name="Normal 36 2 2 3 3 3 2" xfId="32410" xr:uid="{00000000-0005-0000-0000-00008C7B0000}"/>
    <cellStyle name="Normal 36 2 2 3 3 4" xfId="23767" xr:uid="{00000000-0005-0000-0000-00008D7B0000}"/>
    <cellStyle name="Normal 36 2 2 3 4" xfId="19353" xr:uid="{00000000-0005-0000-0000-00008E7B0000}"/>
    <cellStyle name="Normal 36 2 2 3 4 2" xfId="32411" xr:uid="{00000000-0005-0000-0000-00008F7B0000}"/>
    <cellStyle name="Normal 36 2 2 3 5" xfId="19354" xr:uid="{00000000-0005-0000-0000-0000907B0000}"/>
    <cellStyle name="Normal 36 2 2 3 5 2" xfId="32412" xr:uid="{00000000-0005-0000-0000-0000917B0000}"/>
    <cellStyle name="Normal 36 2 2 3 6" xfId="21611" xr:uid="{00000000-0005-0000-0000-0000927B0000}"/>
    <cellStyle name="Normal 36 2 2 4" xfId="8494" xr:uid="{00000000-0005-0000-0000-0000937B0000}"/>
    <cellStyle name="Normal 36 2 2 4 2" xfId="10935" xr:uid="{00000000-0005-0000-0000-0000947B0000}"/>
    <cellStyle name="Normal 36 2 2 4 2 2" xfId="19355" xr:uid="{00000000-0005-0000-0000-0000957B0000}"/>
    <cellStyle name="Normal 36 2 2 4 2 2 2" xfId="32413" xr:uid="{00000000-0005-0000-0000-0000967B0000}"/>
    <cellStyle name="Normal 36 2 2 4 2 3" xfId="19356" xr:uid="{00000000-0005-0000-0000-0000977B0000}"/>
    <cellStyle name="Normal 36 2 2 4 2 3 2" xfId="32414" xr:uid="{00000000-0005-0000-0000-0000987B0000}"/>
    <cellStyle name="Normal 36 2 2 4 2 4" xfId="24305" xr:uid="{00000000-0005-0000-0000-0000997B0000}"/>
    <cellStyle name="Normal 36 2 2 4 3" xfId="19357" xr:uid="{00000000-0005-0000-0000-00009A7B0000}"/>
    <cellStyle name="Normal 36 2 2 4 3 2" xfId="32415" xr:uid="{00000000-0005-0000-0000-00009B7B0000}"/>
    <cellStyle name="Normal 36 2 2 4 4" xfId="19358" xr:uid="{00000000-0005-0000-0000-00009C7B0000}"/>
    <cellStyle name="Normal 36 2 2 4 4 2" xfId="32416" xr:uid="{00000000-0005-0000-0000-00009D7B0000}"/>
    <cellStyle name="Normal 36 2 2 4 5" xfId="22149" xr:uid="{00000000-0005-0000-0000-00009E7B0000}"/>
    <cellStyle name="Normal 36 2 2 5" xfId="9857" xr:uid="{00000000-0005-0000-0000-00009F7B0000}"/>
    <cellStyle name="Normal 36 2 2 5 2" xfId="19359" xr:uid="{00000000-0005-0000-0000-0000A07B0000}"/>
    <cellStyle name="Normal 36 2 2 5 2 2" xfId="32417" xr:uid="{00000000-0005-0000-0000-0000A17B0000}"/>
    <cellStyle name="Normal 36 2 2 5 3" xfId="19360" xr:uid="{00000000-0005-0000-0000-0000A27B0000}"/>
    <cellStyle name="Normal 36 2 2 5 3 2" xfId="32418" xr:uid="{00000000-0005-0000-0000-0000A37B0000}"/>
    <cellStyle name="Normal 36 2 2 5 4" xfId="23227" xr:uid="{00000000-0005-0000-0000-0000A47B0000}"/>
    <cellStyle name="Normal 36 2 2 6" xfId="19361" xr:uid="{00000000-0005-0000-0000-0000A57B0000}"/>
    <cellStyle name="Normal 36 2 2 6 2" xfId="32419" xr:uid="{00000000-0005-0000-0000-0000A67B0000}"/>
    <cellStyle name="Normal 36 2 2 7" xfId="19362" xr:uid="{00000000-0005-0000-0000-0000A77B0000}"/>
    <cellStyle name="Normal 36 2 2 7 2" xfId="32420" xr:uid="{00000000-0005-0000-0000-0000A87B0000}"/>
    <cellStyle name="Normal 36 2 2 8" xfId="21071" xr:uid="{00000000-0005-0000-0000-0000A97B0000}"/>
    <cellStyle name="Normal 36 2 3" xfId="6648" xr:uid="{00000000-0005-0000-0000-0000AA7B0000}"/>
    <cellStyle name="Normal 36 2 3 2" xfId="7344" xr:uid="{00000000-0005-0000-0000-0000AB7B0000}"/>
    <cellStyle name="Normal 36 2 3 2 2" xfId="9223" xr:uid="{00000000-0005-0000-0000-0000AC7B0000}"/>
    <cellStyle name="Normal 36 2 3 2 2 2" xfId="11602" xr:uid="{00000000-0005-0000-0000-0000AD7B0000}"/>
    <cellStyle name="Normal 36 2 3 2 2 2 2" xfId="19363" xr:uid="{00000000-0005-0000-0000-0000AE7B0000}"/>
    <cellStyle name="Normal 36 2 3 2 2 2 2 2" xfId="32421" xr:uid="{00000000-0005-0000-0000-0000AF7B0000}"/>
    <cellStyle name="Normal 36 2 3 2 2 2 3" xfId="19364" xr:uid="{00000000-0005-0000-0000-0000B07B0000}"/>
    <cellStyle name="Normal 36 2 3 2 2 2 3 2" xfId="32422" xr:uid="{00000000-0005-0000-0000-0000B17B0000}"/>
    <cellStyle name="Normal 36 2 3 2 2 2 4" xfId="24972" xr:uid="{00000000-0005-0000-0000-0000B27B0000}"/>
    <cellStyle name="Normal 36 2 3 2 2 3" xfId="19365" xr:uid="{00000000-0005-0000-0000-0000B37B0000}"/>
    <cellStyle name="Normal 36 2 3 2 2 3 2" xfId="32423" xr:uid="{00000000-0005-0000-0000-0000B47B0000}"/>
    <cellStyle name="Normal 36 2 3 2 2 4" xfId="19366" xr:uid="{00000000-0005-0000-0000-0000B57B0000}"/>
    <cellStyle name="Normal 36 2 3 2 2 4 2" xfId="32424" xr:uid="{00000000-0005-0000-0000-0000B67B0000}"/>
    <cellStyle name="Normal 36 2 3 2 2 5" xfId="22816" xr:uid="{00000000-0005-0000-0000-0000B77B0000}"/>
    <cellStyle name="Normal 36 2 3 2 3" xfId="10524" xr:uid="{00000000-0005-0000-0000-0000B87B0000}"/>
    <cellStyle name="Normal 36 2 3 2 3 2" xfId="19367" xr:uid="{00000000-0005-0000-0000-0000B97B0000}"/>
    <cellStyle name="Normal 36 2 3 2 3 2 2" xfId="32425" xr:uid="{00000000-0005-0000-0000-0000BA7B0000}"/>
    <cellStyle name="Normal 36 2 3 2 3 3" xfId="19368" xr:uid="{00000000-0005-0000-0000-0000BB7B0000}"/>
    <cellStyle name="Normal 36 2 3 2 3 3 2" xfId="32426" xr:uid="{00000000-0005-0000-0000-0000BC7B0000}"/>
    <cellStyle name="Normal 36 2 3 2 3 4" xfId="23894" xr:uid="{00000000-0005-0000-0000-0000BD7B0000}"/>
    <cellStyle name="Normal 36 2 3 2 4" xfId="19369" xr:uid="{00000000-0005-0000-0000-0000BE7B0000}"/>
    <cellStyle name="Normal 36 2 3 2 4 2" xfId="32427" xr:uid="{00000000-0005-0000-0000-0000BF7B0000}"/>
    <cellStyle name="Normal 36 2 3 2 5" xfId="19370" xr:uid="{00000000-0005-0000-0000-0000C07B0000}"/>
    <cellStyle name="Normal 36 2 3 2 5 2" xfId="32428" xr:uid="{00000000-0005-0000-0000-0000C17B0000}"/>
    <cellStyle name="Normal 36 2 3 2 6" xfId="21738" xr:uid="{00000000-0005-0000-0000-0000C27B0000}"/>
    <cellStyle name="Normal 36 2 3 3" xfId="8676" xr:uid="{00000000-0005-0000-0000-0000C37B0000}"/>
    <cellStyle name="Normal 36 2 3 3 2" xfId="11062" xr:uid="{00000000-0005-0000-0000-0000C47B0000}"/>
    <cellStyle name="Normal 36 2 3 3 2 2" xfId="19371" xr:uid="{00000000-0005-0000-0000-0000C57B0000}"/>
    <cellStyle name="Normal 36 2 3 3 2 2 2" xfId="32429" xr:uid="{00000000-0005-0000-0000-0000C67B0000}"/>
    <cellStyle name="Normal 36 2 3 3 2 3" xfId="19372" xr:uid="{00000000-0005-0000-0000-0000C77B0000}"/>
    <cellStyle name="Normal 36 2 3 3 2 3 2" xfId="32430" xr:uid="{00000000-0005-0000-0000-0000C87B0000}"/>
    <cellStyle name="Normal 36 2 3 3 2 4" xfId="24432" xr:uid="{00000000-0005-0000-0000-0000C97B0000}"/>
    <cellStyle name="Normal 36 2 3 3 3" xfId="19373" xr:uid="{00000000-0005-0000-0000-0000CA7B0000}"/>
    <cellStyle name="Normal 36 2 3 3 3 2" xfId="32431" xr:uid="{00000000-0005-0000-0000-0000CB7B0000}"/>
    <cellStyle name="Normal 36 2 3 3 4" xfId="19374" xr:uid="{00000000-0005-0000-0000-0000CC7B0000}"/>
    <cellStyle name="Normal 36 2 3 3 4 2" xfId="32432" xr:uid="{00000000-0005-0000-0000-0000CD7B0000}"/>
    <cellStyle name="Normal 36 2 3 3 5" xfId="22276" xr:uid="{00000000-0005-0000-0000-0000CE7B0000}"/>
    <cellStyle name="Normal 36 2 3 4" xfId="9984" xr:uid="{00000000-0005-0000-0000-0000CF7B0000}"/>
    <cellStyle name="Normal 36 2 3 4 2" xfId="19375" xr:uid="{00000000-0005-0000-0000-0000D07B0000}"/>
    <cellStyle name="Normal 36 2 3 4 2 2" xfId="32433" xr:uid="{00000000-0005-0000-0000-0000D17B0000}"/>
    <cellStyle name="Normal 36 2 3 4 3" xfId="19376" xr:uid="{00000000-0005-0000-0000-0000D27B0000}"/>
    <cellStyle name="Normal 36 2 3 4 3 2" xfId="32434" xr:uid="{00000000-0005-0000-0000-0000D37B0000}"/>
    <cellStyle name="Normal 36 2 3 4 4" xfId="23354" xr:uid="{00000000-0005-0000-0000-0000D47B0000}"/>
    <cellStyle name="Normal 36 2 3 5" xfId="19377" xr:uid="{00000000-0005-0000-0000-0000D57B0000}"/>
    <cellStyle name="Normal 36 2 3 5 2" xfId="32435" xr:uid="{00000000-0005-0000-0000-0000D67B0000}"/>
    <cellStyle name="Normal 36 2 3 6" xfId="19378" xr:uid="{00000000-0005-0000-0000-0000D77B0000}"/>
    <cellStyle name="Normal 36 2 3 6 2" xfId="32436" xr:uid="{00000000-0005-0000-0000-0000D87B0000}"/>
    <cellStyle name="Normal 36 2 3 7" xfId="21198" xr:uid="{00000000-0005-0000-0000-0000D97B0000}"/>
    <cellStyle name="Normal 36 2 4" xfId="7074" xr:uid="{00000000-0005-0000-0000-0000DA7B0000}"/>
    <cellStyle name="Normal 36 2 4 2" xfId="8954" xr:uid="{00000000-0005-0000-0000-0000DB7B0000}"/>
    <cellStyle name="Normal 36 2 4 2 2" xfId="11333" xr:uid="{00000000-0005-0000-0000-0000DC7B0000}"/>
    <cellStyle name="Normal 36 2 4 2 2 2" xfId="19379" xr:uid="{00000000-0005-0000-0000-0000DD7B0000}"/>
    <cellStyle name="Normal 36 2 4 2 2 2 2" xfId="32437" xr:uid="{00000000-0005-0000-0000-0000DE7B0000}"/>
    <cellStyle name="Normal 36 2 4 2 2 3" xfId="19380" xr:uid="{00000000-0005-0000-0000-0000DF7B0000}"/>
    <cellStyle name="Normal 36 2 4 2 2 3 2" xfId="32438" xr:uid="{00000000-0005-0000-0000-0000E07B0000}"/>
    <cellStyle name="Normal 36 2 4 2 2 4" xfId="24703" xr:uid="{00000000-0005-0000-0000-0000E17B0000}"/>
    <cellStyle name="Normal 36 2 4 2 3" xfId="19381" xr:uid="{00000000-0005-0000-0000-0000E27B0000}"/>
    <cellStyle name="Normal 36 2 4 2 3 2" xfId="32439" xr:uid="{00000000-0005-0000-0000-0000E37B0000}"/>
    <cellStyle name="Normal 36 2 4 2 4" xfId="19382" xr:uid="{00000000-0005-0000-0000-0000E47B0000}"/>
    <cellStyle name="Normal 36 2 4 2 4 2" xfId="32440" xr:uid="{00000000-0005-0000-0000-0000E57B0000}"/>
    <cellStyle name="Normal 36 2 4 2 5" xfId="22547" xr:uid="{00000000-0005-0000-0000-0000E67B0000}"/>
    <cellStyle name="Normal 36 2 4 3" xfId="10255" xr:uid="{00000000-0005-0000-0000-0000E77B0000}"/>
    <cellStyle name="Normal 36 2 4 3 2" xfId="19383" xr:uid="{00000000-0005-0000-0000-0000E87B0000}"/>
    <cellStyle name="Normal 36 2 4 3 2 2" xfId="32441" xr:uid="{00000000-0005-0000-0000-0000E97B0000}"/>
    <cellStyle name="Normal 36 2 4 3 3" xfId="19384" xr:uid="{00000000-0005-0000-0000-0000EA7B0000}"/>
    <cellStyle name="Normal 36 2 4 3 3 2" xfId="32442" xr:uid="{00000000-0005-0000-0000-0000EB7B0000}"/>
    <cellStyle name="Normal 36 2 4 3 4" xfId="23625" xr:uid="{00000000-0005-0000-0000-0000EC7B0000}"/>
    <cellStyle name="Normal 36 2 4 4" xfId="19385" xr:uid="{00000000-0005-0000-0000-0000ED7B0000}"/>
    <cellStyle name="Normal 36 2 4 4 2" xfId="32443" xr:uid="{00000000-0005-0000-0000-0000EE7B0000}"/>
    <cellStyle name="Normal 36 2 4 5" xfId="19386" xr:uid="{00000000-0005-0000-0000-0000EF7B0000}"/>
    <cellStyle name="Normal 36 2 4 5 2" xfId="32444" xr:uid="{00000000-0005-0000-0000-0000F07B0000}"/>
    <cellStyle name="Normal 36 2 4 6" xfId="21469" xr:uid="{00000000-0005-0000-0000-0000F17B0000}"/>
    <cellStyle name="Normal 36 2 5" xfId="8278" xr:uid="{00000000-0005-0000-0000-0000F27B0000}"/>
    <cellStyle name="Normal 36 2 5 2" xfId="10793" xr:uid="{00000000-0005-0000-0000-0000F37B0000}"/>
    <cellStyle name="Normal 36 2 5 2 2" xfId="19387" xr:uid="{00000000-0005-0000-0000-0000F47B0000}"/>
    <cellStyle name="Normal 36 2 5 2 2 2" xfId="32445" xr:uid="{00000000-0005-0000-0000-0000F57B0000}"/>
    <cellStyle name="Normal 36 2 5 2 3" xfId="19388" xr:uid="{00000000-0005-0000-0000-0000F67B0000}"/>
    <cellStyle name="Normal 36 2 5 2 3 2" xfId="32446" xr:uid="{00000000-0005-0000-0000-0000F77B0000}"/>
    <cellStyle name="Normal 36 2 5 2 4" xfId="24163" xr:uid="{00000000-0005-0000-0000-0000F87B0000}"/>
    <cellStyle name="Normal 36 2 5 3" xfId="19389" xr:uid="{00000000-0005-0000-0000-0000F97B0000}"/>
    <cellStyle name="Normal 36 2 5 3 2" xfId="32447" xr:uid="{00000000-0005-0000-0000-0000FA7B0000}"/>
    <cellStyle name="Normal 36 2 5 4" xfId="19390" xr:uid="{00000000-0005-0000-0000-0000FB7B0000}"/>
    <cellStyle name="Normal 36 2 5 4 2" xfId="32448" xr:uid="{00000000-0005-0000-0000-0000FC7B0000}"/>
    <cellStyle name="Normal 36 2 5 5" xfId="22007" xr:uid="{00000000-0005-0000-0000-0000FD7B0000}"/>
    <cellStyle name="Normal 36 2 6" xfId="9714" xr:uid="{00000000-0005-0000-0000-0000FE7B0000}"/>
    <cellStyle name="Normal 36 2 6 2" xfId="19391" xr:uid="{00000000-0005-0000-0000-0000FF7B0000}"/>
    <cellStyle name="Normal 36 2 6 2 2" xfId="32449" xr:uid="{00000000-0005-0000-0000-0000007C0000}"/>
    <cellStyle name="Normal 36 2 6 3" xfId="19392" xr:uid="{00000000-0005-0000-0000-0000017C0000}"/>
    <cellStyle name="Normal 36 2 6 3 2" xfId="32450" xr:uid="{00000000-0005-0000-0000-0000027C0000}"/>
    <cellStyle name="Normal 36 2 6 4" xfId="23085" xr:uid="{00000000-0005-0000-0000-0000037C0000}"/>
    <cellStyle name="Normal 36 2 7" xfId="19393" xr:uid="{00000000-0005-0000-0000-0000047C0000}"/>
    <cellStyle name="Normal 36 2 7 2" xfId="32451" xr:uid="{00000000-0005-0000-0000-0000057C0000}"/>
    <cellStyle name="Normal 36 2 8" xfId="19394" xr:uid="{00000000-0005-0000-0000-0000067C0000}"/>
    <cellStyle name="Normal 36 2 8 2" xfId="32452" xr:uid="{00000000-0005-0000-0000-0000077C0000}"/>
    <cellStyle name="Normal 36 2 9" xfId="20928" xr:uid="{00000000-0005-0000-0000-0000087C0000}"/>
    <cellStyle name="Normal 36 3" xfId="5559" xr:uid="{00000000-0005-0000-0000-0000097C0000}"/>
    <cellStyle name="Normal 36 3 2" xfId="6743" xr:uid="{00000000-0005-0000-0000-00000A7C0000}"/>
    <cellStyle name="Normal 36 3 2 2" xfId="7430" xr:uid="{00000000-0005-0000-0000-00000B7C0000}"/>
    <cellStyle name="Normal 36 3 2 2 2" xfId="9309" xr:uid="{00000000-0005-0000-0000-00000C7C0000}"/>
    <cellStyle name="Normal 36 3 2 2 2 2" xfId="11688" xr:uid="{00000000-0005-0000-0000-00000D7C0000}"/>
    <cellStyle name="Normal 36 3 2 2 2 2 2" xfId="19395" xr:uid="{00000000-0005-0000-0000-00000E7C0000}"/>
    <cellStyle name="Normal 36 3 2 2 2 2 2 2" xfId="32453" xr:uid="{00000000-0005-0000-0000-00000F7C0000}"/>
    <cellStyle name="Normal 36 3 2 2 2 2 3" xfId="19396" xr:uid="{00000000-0005-0000-0000-0000107C0000}"/>
    <cellStyle name="Normal 36 3 2 2 2 2 3 2" xfId="32454" xr:uid="{00000000-0005-0000-0000-0000117C0000}"/>
    <cellStyle name="Normal 36 3 2 2 2 2 4" xfId="25058" xr:uid="{00000000-0005-0000-0000-0000127C0000}"/>
    <cellStyle name="Normal 36 3 2 2 2 3" xfId="19397" xr:uid="{00000000-0005-0000-0000-0000137C0000}"/>
    <cellStyle name="Normal 36 3 2 2 2 3 2" xfId="32455" xr:uid="{00000000-0005-0000-0000-0000147C0000}"/>
    <cellStyle name="Normal 36 3 2 2 2 4" xfId="19398" xr:uid="{00000000-0005-0000-0000-0000157C0000}"/>
    <cellStyle name="Normal 36 3 2 2 2 4 2" xfId="32456" xr:uid="{00000000-0005-0000-0000-0000167C0000}"/>
    <cellStyle name="Normal 36 3 2 2 2 5" xfId="22902" xr:uid="{00000000-0005-0000-0000-0000177C0000}"/>
    <cellStyle name="Normal 36 3 2 2 3" xfId="10610" xr:uid="{00000000-0005-0000-0000-0000187C0000}"/>
    <cellStyle name="Normal 36 3 2 2 3 2" xfId="19399" xr:uid="{00000000-0005-0000-0000-0000197C0000}"/>
    <cellStyle name="Normal 36 3 2 2 3 2 2" xfId="32457" xr:uid="{00000000-0005-0000-0000-00001A7C0000}"/>
    <cellStyle name="Normal 36 3 2 2 3 3" xfId="19400" xr:uid="{00000000-0005-0000-0000-00001B7C0000}"/>
    <cellStyle name="Normal 36 3 2 2 3 3 2" xfId="32458" xr:uid="{00000000-0005-0000-0000-00001C7C0000}"/>
    <cellStyle name="Normal 36 3 2 2 3 4" xfId="23980" xr:uid="{00000000-0005-0000-0000-00001D7C0000}"/>
    <cellStyle name="Normal 36 3 2 2 4" xfId="19401" xr:uid="{00000000-0005-0000-0000-00001E7C0000}"/>
    <cellStyle name="Normal 36 3 2 2 4 2" xfId="32459" xr:uid="{00000000-0005-0000-0000-00001F7C0000}"/>
    <cellStyle name="Normal 36 3 2 2 5" xfId="19402" xr:uid="{00000000-0005-0000-0000-0000207C0000}"/>
    <cellStyle name="Normal 36 3 2 2 5 2" xfId="32460" xr:uid="{00000000-0005-0000-0000-0000217C0000}"/>
    <cellStyle name="Normal 36 3 2 2 6" xfId="21824" xr:uid="{00000000-0005-0000-0000-0000227C0000}"/>
    <cellStyle name="Normal 36 3 2 3" xfId="8763" xr:uid="{00000000-0005-0000-0000-0000237C0000}"/>
    <cellStyle name="Normal 36 3 2 3 2" xfId="11148" xr:uid="{00000000-0005-0000-0000-0000247C0000}"/>
    <cellStyle name="Normal 36 3 2 3 2 2" xfId="19403" xr:uid="{00000000-0005-0000-0000-0000257C0000}"/>
    <cellStyle name="Normal 36 3 2 3 2 2 2" xfId="32461" xr:uid="{00000000-0005-0000-0000-0000267C0000}"/>
    <cellStyle name="Normal 36 3 2 3 2 3" xfId="19404" xr:uid="{00000000-0005-0000-0000-0000277C0000}"/>
    <cellStyle name="Normal 36 3 2 3 2 3 2" xfId="32462" xr:uid="{00000000-0005-0000-0000-0000287C0000}"/>
    <cellStyle name="Normal 36 3 2 3 2 4" xfId="24518" xr:uid="{00000000-0005-0000-0000-0000297C0000}"/>
    <cellStyle name="Normal 36 3 2 3 3" xfId="19405" xr:uid="{00000000-0005-0000-0000-00002A7C0000}"/>
    <cellStyle name="Normal 36 3 2 3 3 2" xfId="32463" xr:uid="{00000000-0005-0000-0000-00002B7C0000}"/>
    <cellStyle name="Normal 36 3 2 3 4" xfId="19406" xr:uid="{00000000-0005-0000-0000-00002C7C0000}"/>
    <cellStyle name="Normal 36 3 2 3 4 2" xfId="32464" xr:uid="{00000000-0005-0000-0000-00002D7C0000}"/>
    <cellStyle name="Normal 36 3 2 3 5" xfId="22362" xr:uid="{00000000-0005-0000-0000-00002E7C0000}"/>
    <cellStyle name="Normal 36 3 2 4" xfId="10070" xr:uid="{00000000-0005-0000-0000-00002F7C0000}"/>
    <cellStyle name="Normal 36 3 2 4 2" xfId="19407" xr:uid="{00000000-0005-0000-0000-0000307C0000}"/>
    <cellStyle name="Normal 36 3 2 4 2 2" xfId="32465" xr:uid="{00000000-0005-0000-0000-0000317C0000}"/>
    <cellStyle name="Normal 36 3 2 4 3" xfId="19408" xr:uid="{00000000-0005-0000-0000-0000327C0000}"/>
    <cellStyle name="Normal 36 3 2 4 3 2" xfId="32466" xr:uid="{00000000-0005-0000-0000-0000337C0000}"/>
    <cellStyle name="Normal 36 3 2 4 4" xfId="23440" xr:uid="{00000000-0005-0000-0000-0000347C0000}"/>
    <cellStyle name="Normal 36 3 2 5" xfId="19409" xr:uid="{00000000-0005-0000-0000-0000357C0000}"/>
    <cellStyle name="Normal 36 3 2 5 2" xfId="32467" xr:uid="{00000000-0005-0000-0000-0000367C0000}"/>
    <cellStyle name="Normal 36 3 2 6" xfId="19410" xr:uid="{00000000-0005-0000-0000-0000377C0000}"/>
    <cellStyle name="Normal 36 3 2 6 2" xfId="32468" xr:uid="{00000000-0005-0000-0000-0000387C0000}"/>
    <cellStyle name="Normal 36 3 2 7" xfId="21284" xr:uid="{00000000-0005-0000-0000-0000397C0000}"/>
    <cellStyle name="Normal 36 3 3" xfId="7161" xr:uid="{00000000-0005-0000-0000-00003A7C0000}"/>
    <cellStyle name="Normal 36 3 3 2" xfId="9040" xr:uid="{00000000-0005-0000-0000-00003B7C0000}"/>
    <cellStyle name="Normal 36 3 3 2 2" xfId="11419" xr:uid="{00000000-0005-0000-0000-00003C7C0000}"/>
    <cellStyle name="Normal 36 3 3 2 2 2" xfId="19411" xr:uid="{00000000-0005-0000-0000-00003D7C0000}"/>
    <cellStyle name="Normal 36 3 3 2 2 2 2" xfId="32469" xr:uid="{00000000-0005-0000-0000-00003E7C0000}"/>
    <cellStyle name="Normal 36 3 3 2 2 3" xfId="19412" xr:uid="{00000000-0005-0000-0000-00003F7C0000}"/>
    <cellStyle name="Normal 36 3 3 2 2 3 2" xfId="32470" xr:uid="{00000000-0005-0000-0000-0000407C0000}"/>
    <cellStyle name="Normal 36 3 3 2 2 4" xfId="24789" xr:uid="{00000000-0005-0000-0000-0000417C0000}"/>
    <cellStyle name="Normal 36 3 3 2 3" xfId="19413" xr:uid="{00000000-0005-0000-0000-0000427C0000}"/>
    <cellStyle name="Normal 36 3 3 2 3 2" xfId="32471" xr:uid="{00000000-0005-0000-0000-0000437C0000}"/>
    <cellStyle name="Normal 36 3 3 2 4" xfId="19414" xr:uid="{00000000-0005-0000-0000-0000447C0000}"/>
    <cellStyle name="Normal 36 3 3 2 4 2" xfId="32472" xr:uid="{00000000-0005-0000-0000-0000457C0000}"/>
    <cellStyle name="Normal 36 3 3 2 5" xfId="22633" xr:uid="{00000000-0005-0000-0000-0000467C0000}"/>
    <cellStyle name="Normal 36 3 3 3" xfId="10341" xr:uid="{00000000-0005-0000-0000-0000477C0000}"/>
    <cellStyle name="Normal 36 3 3 3 2" xfId="19415" xr:uid="{00000000-0005-0000-0000-0000487C0000}"/>
    <cellStyle name="Normal 36 3 3 3 2 2" xfId="32473" xr:uid="{00000000-0005-0000-0000-0000497C0000}"/>
    <cellStyle name="Normal 36 3 3 3 3" xfId="19416" xr:uid="{00000000-0005-0000-0000-00004A7C0000}"/>
    <cellStyle name="Normal 36 3 3 3 3 2" xfId="32474" xr:uid="{00000000-0005-0000-0000-00004B7C0000}"/>
    <cellStyle name="Normal 36 3 3 3 4" xfId="23711" xr:uid="{00000000-0005-0000-0000-00004C7C0000}"/>
    <cellStyle name="Normal 36 3 3 4" xfId="19417" xr:uid="{00000000-0005-0000-0000-00004D7C0000}"/>
    <cellStyle name="Normal 36 3 3 4 2" xfId="32475" xr:uid="{00000000-0005-0000-0000-00004E7C0000}"/>
    <cellStyle name="Normal 36 3 3 5" xfId="19418" xr:uid="{00000000-0005-0000-0000-00004F7C0000}"/>
    <cellStyle name="Normal 36 3 3 5 2" xfId="32476" xr:uid="{00000000-0005-0000-0000-0000507C0000}"/>
    <cellStyle name="Normal 36 3 3 6" xfId="21555" xr:uid="{00000000-0005-0000-0000-0000517C0000}"/>
    <cellStyle name="Normal 36 3 4" xfId="8436" xr:uid="{00000000-0005-0000-0000-0000527C0000}"/>
    <cellStyle name="Normal 36 3 4 2" xfId="10879" xr:uid="{00000000-0005-0000-0000-0000537C0000}"/>
    <cellStyle name="Normal 36 3 4 2 2" xfId="19419" xr:uid="{00000000-0005-0000-0000-0000547C0000}"/>
    <cellStyle name="Normal 36 3 4 2 2 2" xfId="32477" xr:uid="{00000000-0005-0000-0000-0000557C0000}"/>
    <cellStyle name="Normal 36 3 4 2 3" xfId="19420" xr:uid="{00000000-0005-0000-0000-0000567C0000}"/>
    <cellStyle name="Normal 36 3 4 2 3 2" xfId="32478" xr:uid="{00000000-0005-0000-0000-0000577C0000}"/>
    <cellStyle name="Normal 36 3 4 2 4" xfId="24249" xr:uid="{00000000-0005-0000-0000-0000587C0000}"/>
    <cellStyle name="Normal 36 3 4 3" xfId="19421" xr:uid="{00000000-0005-0000-0000-0000597C0000}"/>
    <cellStyle name="Normal 36 3 4 3 2" xfId="32479" xr:uid="{00000000-0005-0000-0000-00005A7C0000}"/>
    <cellStyle name="Normal 36 3 4 4" xfId="19422" xr:uid="{00000000-0005-0000-0000-00005B7C0000}"/>
    <cellStyle name="Normal 36 3 4 4 2" xfId="32480" xr:uid="{00000000-0005-0000-0000-00005C7C0000}"/>
    <cellStyle name="Normal 36 3 4 5" xfId="22093" xr:uid="{00000000-0005-0000-0000-00005D7C0000}"/>
    <cellStyle name="Normal 36 3 5" xfId="9801" xr:uid="{00000000-0005-0000-0000-00005E7C0000}"/>
    <cellStyle name="Normal 36 3 5 2" xfId="19423" xr:uid="{00000000-0005-0000-0000-00005F7C0000}"/>
    <cellStyle name="Normal 36 3 5 2 2" xfId="32481" xr:uid="{00000000-0005-0000-0000-0000607C0000}"/>
    <cellStyle name="Normal 36 3 5 3" xfId="19424" xr:uid="{00000000-0005-0000-0000-0000617C0000}"/>
    <cellStyle name="Normal 36 3 5 3 2" xfId="32482" xr:uid="{00000000-0005-0000-0000-0000627C0000}"/>
    <cellStyle name="Normal 36 3 5 4" xfId="23171" xr:uid="{00000000-0005-0000-0000-0000637C0000}"/>
    <cellStyle name="Normal 36 3 6" xfId="19425" xr:uid="{00000000-0005-0000-0000-0000647C0000}"/>
    <cellStyle name="Normal 36 3 6 2" xfId="32483" xr:uid="{00000000-0005-0000-0000-0000657C0000}"/>
    <cellStyle name="Normal 36 3 7" xfId="19426" xr:uid="{00000000-0005-0000-0000-0000667C0000}"/>
    <cellStyle name="Normal 36 3 7 2" xfId="32484" xr:uid="{00000000-0005-0000-0000-0000677C0000}"/>
    <cellStyle name="Normal 36 3 8" xfId="21015" xr:uid="{00000000-0005-0000-0000-0000687C0000}"/>
    <cellStyle name="Normal 36 4" xfId="6593" xr:uid="{00000000-0005-0000-0000-0000697C0000}"/>
    <cellStyle name="Normal 36 4 2" xfId="7289" xr:uid="{00000000-0005-0000-0000-00006A7C0000}"/>
    <cellStyle name="Normal 36 4 2 2" xfId="9168" xr:uid="{00000000-0005-0000-0000-00006B7C0000}"/>
    <cellStyle name="Normal 36 4 2 2 2" xfId="11547" xr:uid="{00000000-0005-0000-0000-00006C7C0000}"/>
    <cellStyle name="Normal 36 4 2 2 2 2" xfId="19427" xr:uid="{00000000-0005-0000-0000-00006D7C0000}"/>
    <cellStyle name="Normal 36 4 2 2 2 2 2" xfId="32485" xr:uid="{00000000-0005-0000-0000-00006E7C0000}"/>
    <cellStyle name="Normal 36 4 2 2 2 3" xfId="19428" xr:uid="{00000000-0005-0000-0000-00006F7C0000}"/>
    <cellStyle name="Normal 36 4 2 2 2 3 2" xfId="32486" xr:uid="{00000000-0005-0000-0000-0000707C0000}"/>
    <cellStyle name="Normal 36 4 2 2 2 4" xfId="24917" xr:uid="{00000000-0005-0000-0000-0000717C0000}"/>
    <cellStyle name="Normal 36 4 2 2 3" xfId="19429" xr:uid="{00000000-0005-0000-0000-0000727C0000}"/>
    <cellStyle name="Normal 36 4 2 2 3 2" xfId="32487" xr:uid="{00000000-0005-0000-0000-0000737C0000}"/>
    <cellStyle name="Normal 36 4 2 2 4" xfId="19430" xr:uid="{00000000-0005-0000-0000-0000747C0000}"/>
    <cellStyle name="Normal 36 4 2 2 4 2" xfId="32488" xr:uid="{00000000-0005-0000-0000-0000757C0000}"/>
    <cellStyle name="Normal 36 4 2 2 5" xfId="22761" xr:uid="{00000000-0005-0000-0000-0000767C0000}"/>
    <cellStyle name="Normal 36 4 2 3" xfId="10469" xr:uid="{00000000-0005-0000-0000-0000777C0000}"/>
    <cellStyle name="Normal 36 4 2 3 2" xfId="19431" xr:uid="{00000000-0005-0000-0000-0000787C0000}"/>
    <cellStyle name="Normal 36 4 2 3 2 2" xfId="32489" xr:uid="{00000000-0005-0000-0000-0000797C0000}"/>
    <cellStyle name="Normal 36 4 2 3 3" xfId="19432" xr:uid="{00000000-0005-0000-0000-00007A7C0000}"/>
    <cellStyle name="Normal 36 4 2 3 3 2" xfId="32490" xr:uid="{00000000-0005-0000-0000-00007B7C0000}"/>
    <cellStyle name="Normal 36 4 2 3 4" xfId="23839" xr:uid="{00000000-0005-0000-0000-00007C7C0000}"/>
    <cellStyle name="Normal 36 4 2 4" xfId="19433" xr:uid="{00000000-0005-0000-0000-00007D7C0000}"/>
    <cellStyle name="Normal 36 4 2 4 2" xfId="32491" xr:uid="{00000000-0005-0000-0000-00007E7C0000}"/>
    <cellStyle name="Normal 36 4 2 5" xfId="19434" xr:uid="{00000000-0005-0000-0000-00007F7C0000}"/>
    <cellStyle name="Normal 36 4 2 5 2" xfId="32492" xr:uid="{00000000-0005-0000-0000-0000807C0000}"/>
    <cellStyle name="Normal 36 4 2 6" xfId="21683" xr:uid="{00000000-0005-0000-0000-0000817C0000}"/>
    <cellStyle name="Normal 36 4 3" xfId="8621" xr:uid="{00000000-0005-0000-0000-0000827C0000}"/>
    <cellStyle name="Normal 36 4 3 2" xfId="11007" xr:uid="{00000000-0005-0000-0000-0000837C0000}"/>
    <cellStyle name="Normal 36 4 3 2 2" xfId="19435" xr:uid="{00000000-0005-0000-0000-0000847C0000}"/>
    <cellStyle name="Normal 36 4 3 2 2 2" xfId="32493" xr:uid="{00000000-0005-0000-0000-0000857C0000}"/>
    <cellStyle name="Normal 36 4 3 2 3" xfId="19436" xr:uid="{00000000-0005-0000-0000-0000867C0000}"/>
    <cellStyle name="Normal 36 4 3 2 3 2" xfId="32494" xr:uid="{00000000-0005-0000-0000-0000877C0000}"/>
    <cellStyle name="Normal 36 4 3 2 4" xfId="24377" xr:uid="{00000000-0005-0000-0000-0000887C0000}"/>
    <cellStyle name="Normal 36 4 3 3" xfId="19437" xr:uid="{00000000-0005-0000-0000-0000897C0000}"/>
    <cellStyle name="Normal 36 4 3 3 2" xfId="32495" xr:uid="{00000000-0005-0000-0000-00008A7C0000}"/>
    <cellStyle name="Normal 36 4 3 4" xfId="19438" xr:uid="{00000000-0005-0000-0000-00008B7C0000}"/>
    <cellStyle name="Normal 36 4 3 4 2" xfId="32496" xr:uid="{00000000-0005-0000-0000-00008C7C0000}"/>
    <cellStyle name="Normal 36 4 3 5" xfId="22221" xr:uid="{00000000-0005-0000-0000-00008D7C0000}"/>
    <cellStyle name="Normal 36 4 4" xfId="9929" xr:uid="{00000000-0005-0000-0000-00008E7C0000}"/>
    <cellStyle name="Normal 36 4 4 2" xfId="19439" xr:uid="{00000000-0005-0000-0000-00008F7C0000}"/>
    <cellStyle name="Normal 36 4 4 2 2" xfId="32497" xr:uid="{00000000-0005-0000-0000-0000907C0000}"/>
    <cellStyle name="Normal 36 4 4 3" xfId="19440" xr:uid="{00000000-0005-0000-0000-0000917C0000}"/>
    <cellStyle name="Normal 36 4 4 3 2" xfId="32498" xr:uid="{00000000-0005-0000-0000-0000927C0000}"/>
    <cellStyle name="Normal 36 4 4 4" xfId="23299" xr:uid="{00000000-0005-0000-0000-0000937C0000}"/>
    <cellStyle name="Normal 36 4 5" xfId="19441" xr:uid="{00000000-0005-0000-0000-0000947C0000}"/>
    <cellStyle name="Normal 36 4 5 2" xfId="32499" xr:uid="{00000000-0005-0000-0000-0000957C0000}"/>
    <cellStyle name="Normal 36 4 6" xfId="19442" xr:uid="{00000000-0005-0000-0000-0000967C0000}"/>
    <cellStyle name="Normal 36 4 6 2" xfId="32500" xr:uid="{00000000-0005-0000-0000-0000977C0000}"/>
    <cellStyle name="Normal 36 4 7" xfId="21143" xr:uid="{00000000-0005-0000-0000-0000987C0000}"/>
    <cellStyle name="Normal 36 5" xfId="7019" xr:uid="{00000000-0005-0000-0000-0000997C0000}"/>
    <cellStyle name="Normal 36 5 2" xfId="8899" xr:uid="{00000000-0005-0000-0000-00009A7C0000}"/>
    <cellStyle name="Normal 36 5 2 2" xfId="11278" xr:uid="{00000000-0005-0000-0000-00009B7C0000}"/>
    <cellStyle name="Normal 36 5 2 2 2" xfId="19443" xr:uid="{00000000-0005-0000-0000-00009C7C0000}"/>
    <cellStyle name="Normal 36 5 2 2 2 2" xfId="32501" xr:uid="{00000000-0005-0000-0000-00009D7C0000}"/>
    <cellStyle name="Normal 36 5 2 2 3" xfId="19444" xr:uid="{00000000-0005-0000-0000-00009E7C0000}"/>
    <cellStyle name="Normal 36 5 2 2 3 2" xfId="32502" xr:uid="{00000000-0005-0000-0000-00009F7C0000}"/>
    <cellStyle name="Normal 36 5 2 2 4" xfId="24648" xr:uid="{00000000-0005-0000-0000-0000A07C0000}"/>
    <cellStyle name="Normal 36 5 2 3" xfId="19445" xr:uid="{00000000-0005-0000-0000-0000A17C0000}"/>
    <cellStyle name="Normal 36 5 2 3 2" xfId="32503" xr:uid="{00000000-0005-0000-0000-0000A27C0000}"/>
    <cellStyle name="Normal 36 5 2 4" xfId="19446" xr:uid="{00000000-0005-0000-0000-0000A37C0000}"/>
    <cellStyle name="Normal 36 5 2 4 2" xfId="32504" xr:uid="{00000000-0005-0000-0000-0000A47C0000}"/>
    <cellStyle name="Normal 36 5 2 5" xfId="22492" xr:uid="{00000000-0005-0000-0000-0000A57C0000}"/>
    <cellStyle name="Normal 36 5 3" xfId="10200" xr:uid="{00000000-0005-0000-0000-0000A67C0000}"/>
    <cellStyle name="Normal 36 5 3 2" xfId="19447" xr:uid="{00000000-0005-0000-0000-0000A77C0000}"/>
    <cellStyle name="Normal 36 5 3 2 2" xfId="32505" xr:uid="{00000000-0005-0000-0000-0000A87C0000}"/>
    <cellStyle name="Normal 36 5 3 3" xfId="19448" xr:uid="{00000000-0005-0000-0000-0000A97C0000}"/>
    <cellStyle name="Normal 36 5 3 3 2" xfId="32506" xr:uid="{00000000-0005-0000-0000-0000AA7C0000}"/>
    <cellStyle name="Normal 36 5 3 4" xfId="23570" xr:uid="{00000000-0005-0000-0000-0000AB7C0000}"/>
    <cellStyle name="Normal 36 5 4" xfId="19449" xr:uid="{00000000-0005-0000-0000-0000AC7C0000}"/>
    <cellStyle name="Normal 36 5 4 2" xfId="32507" xr:uid="{00000000-0005-0000-0000-0000AD7C0000}"/>
    <cellStyle name="Normal 36 5 5" xfId="19450" xr:uid="{00000000-0005-0000-0000-0000AE7C0000}"/>
    <cellStyle name="Normal 36 5 5 2" xfId="32508" xr:uid="{00000000-0005-0000-0000-0000AF7C0000}"/>
    <cellStyle name="Normal 36 5 6" xfId="21414" xr:uid="{00000000-0005-0000-0000-0000B07C0000}"/>
    <cellStyle name="Normal 36 6" xfId="8215" xr:uid="{00000000-0005-0000-0000-0000B17C0000}"/>
    <cellStyle name="Normal 36 6 2" xfId="10738" xr:uid="{00000000-0005-0000-0000-0000B27C0000}"/>
    <cellStyle name="Normal 36 6 2 2" xfId="19451" xr:uid="{00000000-0005-0000-0000-0000B37C0000}"/>
    <cellStyle name="Normal 36 6 2 2 2" xfId="32509" xr:uid="{00000000-0005-0000-0000-0000B47C0000}"/>
    <cellStyle name="Normal 36 6 2 3" xfId="19452" xr:uid="{00000000-0005-0000-0000-0000B57C0000}"/>
    <cellStyle name="Normal 36 6 2 3 2" xfId="32510" xr:uid="{00000000-0005-0000-0000-0000B67C0000}"/>
    <cellStyle name="Normal 36 6 2 4" xfId="24108" xr:uid="{00000000-0005-0000-0000-0000B77C0000}"/>
    <cellStyle name="Normal 36 6 3" xfId="19453" xr:uid="{00000000-0005-0000-0000-0000B87C0000}"/>
    <cellStyle name="Normal 36 6 3 2" xfId="32511" xr:uid="{00000000-0005-0000-0000-0000B97C0000}"/>
    <cellStyle name="Normal 36 6 4" xfId="19454" xr:uid="{00000000-0005-0000-0000-0000BA7C0000}"/>
    <cellStyle name="Normal 36 6 4 2" xfId="32512" xr:uid="{00000000-0005-0000-0000-0000BB7C0000}"/>
    <cellStyle name="Normal 36 6 5" xfId="21952" xr:uid="{00000000-0005-0000-0000-0000BC7C0000}"/>
    <cellStyle name="Normal 36 7" xfId="9659" xr:uid="{00000000-0005-0000-0000-0000BD7C0000}"/>
    <cellStyle name="Normal 36 7 2" xfId="19455" xr:uid="{00000000-0005-0000-0000-0000BE7C0000}"/>
    <cellStyle name="Normal 36 7 2 2" xfId="32513" xr:uid="{00000000-0005-0000-0000-0000BF7C0000}"/>
    <cellStyle name="Normal 36 7 3" xfId="19456" xr:uid="{00000000-0005-0000-0000-0000C07C0000}"/>
    <cellStyle name="Normal 36 7 3 2" xfId="32514" xr:uid="{00000000-0005-0000-0000-0000C17C0000}"/>
    <cellStyle name="Normal 36 7 4" xfId="23030" xr:uid="{00000000-0005-0000-0000-0000C27C0000}"/>
    <cellStyle name="Normal 36 8" xfId="19457" xr:uid="{00000000-0005-0000-0000-0000C37C0000}"/>
    <cellStyle name="Normal 36 8 2" xfId="32515" xr:uid="{00000000-0005-0000-0000-0000C47C0000}"/>
    <cellStyle name="Normal 36 9" xfId="19458" xr:uid="{00000000-0005-0000-0000-0000C57C0000}"/>
    <cellStyle name="Normal 36 9 2" xfId="32516" xr:uid="{00000000-0005-0000-0000-0000C67C0000}"/>
    <cellStyle name="Normal 37" xfId="3953" xr:uid="{00000000-0005-0000-0000-0000C77C0000}"/>
    <cellStyle name="Normal 37 10" xfId="20874" xr:uid="{00000000-0005-0000-0000-0000C87C0000}"/>
    <cellStyle name="Normal 37 2" xfId="4112" xr:uid="{00000000-0005-0000-0000-0000C97C0000}"/>
    <cellStyle name="Normal 37 2 2" xfId="5648" xr:uid="{00000000-0005-0000-0000-0000CA7C0000}"/>
    <cellStyle name="Normal 37 2 2 2" xfId="6800" xr:uid="{00000000-0005-0000-0000-0000CB7C0000}"/>
    <cellStyle name="Normal 37 2 2 2 2" xfId="7487" xr:uid="{00000000-0005-0000-0000-0000CC7C0000}"/>
    <cellStyle name="Normal 37 2 2 2 2 2" xfId="9366" xr:uid="{00000000-0005-0000-0000-0000CD7C0000}"/>
    <cellStyle name="Normal 37 2 2 2 2 2 2" xfId="11745" xr:uid="{00000000-0005-0000-0000-0000CE7C0000}"/>
    <cellStyle name="Normal 37 2 2 2 2 2 2 2" xfId="19459" xr:uid="{00000000-0005-0000-0000-0000CF7C0000}"/>
    <cellStyle name="Normal 37 2 2 2 2 2 2 2 2" xfId="32517" xr:uid="{00000000-0005-0000-0000-0000D07C0000}"/>
    <cellStyle name="Normal 37 2 2 2 2 2 2 3" xfId="19460" xr:uid="{00000000-0005-0000-0000-0000D17C0000}"/>
    <cellStyle name="Normal 37 2 2 2 2 2 2 3 2" xfId="32518" xr:uid="{00000000-0005-0000-0000-0000D27C0000}"/>
    <cellStyle name="Normal 37 2 2 2 2 2 2 4" xfId="25115" xr:uid="{00000000-0005-0000-0000-0000D37C0000}"/>
    <cellStyle name="Normal 37 2 2 2 2 2 3" xfId="19461" xr:uid="{00000000-0005-0000-0000-0000D47C0000}"/>
    <cellStyle name="Normal 37 2 2 2 2 2 3 2" xfId="32519" xr:uid="{00000000-0005-0000-0000-0000D57C0000}"/>
    <cellStyle name="Normal 37 2 2 2 2 2 4" xfId="19462" xr:uid="{00000000-0005-0000-0000-0000D67C0000}"/>
    <cellStyle name="Normal 37 2 2 2 2 2 4 2" xfId="32520" xr:uid="{00000000-0005-0000-0000-0000D77C0000}"/>
    <cellStyle name="Normal 37 2 2 2 2 2 5" xfId="22959" xr:uid="{00000000-0005-0000-0000-0000D87C0000}"/>
    <cellStyle name="Normal 37 2 2 2 2 3" xfId="10667" xr:uid="{00000000-0005-0000-0000-0000D97C0000}"/>
    <cellStyle name="Normal 37 2 2 2 2 3 2" xfId="19463" xr:uid="{00000000-0005-0000-0000-0000DA7C0000}"/>
    <cellStyle name="Normal 37 2 2 2 2 3 2 2" xfId="32521" xr:uid="{00000000-0005-0000-0000-0000DB7C0000}"/>
    <cellStyle name="Normal 37 2 2 2 2 3 3" xfId="19464" xr:uid="{00000000-0005-0000-0000-0000DC7C0000}"/>
    <cellStyle name="Normal 37 2 2 2 2 3 3 2" xfId="32522" xr:uid="{00000000-0005-0000-0000-0000DD7C0000}"/>
    <cellStyle name="Normal 37 2 2 2 2 3 4" xfId="24037" xr:uid="{00000000-0005-0000-0000-0000DE7C0000}"/>
    <cellStyle name="Normal 37 2 2 2 2 4" xfId="19465" xr:uid="{00000000-0005-0000-0000-0000DF7C0000}"/>
    <cellStyle name="Normal 37 2 2 2 2 4 2" xfId="32523" xr:uid="{00000000-0005-0000-0000-0000E07C0000}"/>
    <cellStyle name="Normal 37 2 2 2 2 5" xfId="19466" xr:uid="{00000000-0005-0000-0000-0000E17C0000}"/>
    <cellStyle name="Normal 37 2 2 2 2 5 2" xfId="32524" xr:uid="{00000000-0005-0000-0000-0000E27C0000}"/>
    <cellStyle name="Normal 37 2 2 2 2 6" xfId="21881" xr:uid="{00000000-0005-0000-0000-0000E37C0000}"/>
    <cellStyle name="Normal 37 2 2 2 3" xfId="8820" xr:uid="{00000000-0005-0000-0000-0000E47C0000}"/>
    <cellStyle name="Normal 37 2 2 2 3 2" xfId="11205" xr:uid="{00000000-0005-0000-0000-0000E57C0000}"/>
    <cellStyle name="Normal 37 2 2 2 3 2 2" xfId="19467" xr:uid="{00000000-0005-0000-0000-0000E67C0000}"/>
    <cellStyle name="Normal 37 2 2 2 3 2 2 2" xfId="32525" xr:uid="{00000000-0005-0000-0000-0000E77C0000}"/>
    <cellStyle name="Normal 37 2 2 2 3 2 3" xfId="19468" xr:uid="{00000000-0005-0000-0000-0000E87C0000}"/>
    <cellStyle name="Normal 37 2 2 2 3 2 3 2" xfId="32526" xr:uid="{00000000-0005-0000-0000-0000E97C0000}"/>
    <cellStyle name="Normal 37 2 2 2 3 2 4" xfId="24575" xr:uid="{00000000-0005-0000-0000-0000EA7C0000}"/>
    <cellStyle name="Normal 37 2 2 2 3 3" xfId="19469" xr:uid="{00000000-0005-0000-0000-0000EB7C0000}"/>
    <cellStyle name="Normal 37 2 2 2 3 3 2" xfId="32527" xr:uid="{00000000-0005-0000-0000-0000EC7C0000}"/>
    <cellStyle name="Normal 37 2 2 2 3 4" xfId="19470" xr:uid="{00000000-0005-0000-0000-0000ED7C0000}"/>
    <cellStyle name="Normal 37 2 2 2 3 4 2" xfId="32528" xr:uid="{00000000-0005-0000-0000-0000EE7C0000}"/>
    <cellStyle name="Normal 37 2 2 2 3 5" xfId="22419" xr:uid="{00000000-0005-0000-0000-0000EF7C0000}"/>
    <cellStyle name="Normal 37 2 2 2 4" xfId="10127" xr:uid="{00000000-0005-0000-0000-0000F07C0000}"/>
    <cellStyle name="Normal 37 2 2 2 4 2" xfId="19471" xr:uid="{00000000-0005-0000-0000-0000F17C0000}"/>
    <cellStyle name="Normal 37 2 2 2 4 2 2" xfId="32529" xr:uid="{00000000-0005-0000-0000-0000F27C0000}"/>
    <cellStyle name="Normal 37 2 2 2 4 3" xfId="19472" xr:uid="{00000000-0005-0000-0000-0000F37C0000}"/>
    <cellStyle name="Normal 37 2 2 2 4 3 2" xfId="32530" xr:uid="{00000000-0005-0000-0000-0000F47C0000}"/>
    <cellStyle name="Normal 37 2 2 2 4 4" xfId="23497" xr:uid="{00000000-0005-0000-0000-0000F57C0000}"/>
    <cellStyle name="Normal 37 2 2 2 5" xfId="19473" xr:uid="{00000000-0005-0000-0000-0000F67C0000}"/>
    <cellStyle name="Normal 37 2 2 2 5 2" xfId="32531" xr:uid="{00000000-0005-0000-0000-0000F77C0000}"/>
    <cellStyle name="Normal 37 2 2 2 6" xfId="19474" xr:uid="{00000000-0005-0000-0000-0000F87C0000}"/>
    <cellStyle name="Normal 37 2 2 2 6 2" xfId="32532" xr:uid="{00000000-0005-0000-0000-0000F97C0000}"/>
    <cellStyle name="Normal 37 2 2 2 7" xfId="21341" xr:uid="{00000000-0005-0000-0000-0000FA7C0000}"/>
    <cellStyle name="Normal 37 2 2 3" xfId="7218" xr:uid="{00000000-0005-0000-0000-0000FB7C0000}"/>
    <cellStyle name="Normal 37 2 2 3 2" xfId="9097" xr:uid="{00000000-0005-0000-0000-0000FC7C0000}"/>
    <cellStyle name="Normal 37 2 2 3 2 2" xfId="11476" xr:uid="{00000000-0005-0000-0000-0000FD7C0000}"/>
    <cellStyle name="Normal 37 2 2 3 2 2 2" xfId="19475" xr:uid="{00000000-0005-0000-0000-0000FE7C0000}"/>
    <cellStyle name="Normal 37 2 2 3 2 2 2 2" xfId="32533" xr:uid="{00000000-0005-0000-0000-0000FF7C0000}"/>
    <cellStyle name="Normal 37 2 2 3 2 2 3" xfId="19476" xr:uid="{00000000-0005-0000-0000-0000007D0000}"/>
    <cellStyle name="Normal 37 2 2 3 2 2 3 2" xfId="32534" xr:uid="{00000000-0005-0000-0000-0000017D0000}"/>
    <cellStyle name="Normal 37 2 2 3 2 2 4" xfId="24846" xr:uid="{00000000-0005-0000-0000-0000027D0000}"/>
    <cellStyle name="Normal 37 2 2 3 2 3" xfId="19477" xr:uid="{00000000-0005-0000-0000-0000037D0000}"/>
    <cellStyle name="Normal 37 2 2 3 2 3 2" xfId="32535" xr:uid="{00000000-0005-0000-0000-0000047D0000}"/>
    <cellStyle name="Normal 37 2 2 3 2 4" xfId="19478" xr:uid="{00000000-0005-0000-0000-0000057D0000}"/>
    <cellStyle name="Normal 37 2 2 3 2 4 2" xfId="32536" xr:uid="{00000000-0005-0000-0000-0000067D0000}"/>
    <cellStyle name="Normal 37 2 2 3 2 5" xfId="22690" xr:uid="{00000000-0005-0000-0000-0000077D0000}"/>
    <cellStyle name="Normal 37 2 2 3 3" xfId="10398" xr:uid="{00000000-0005-0000-0000-0000087D0000}"/>
    <cellStyle name="Normal 37 2 2 3 3 2" xfId="19479" xr:uid="{00000000-0005-0000-0000-0000097D0000}"/>
    <cellStyle name="Normal 37 2 2 3 3 2 2" xfId="32537" xr:uid="{00000000-0005-0000-0000-00000A7D0000}"/>
    <cellStyle name="Normal 37 2 2 3 3 3" xfId="19480" xr:uid="{00000000-0005-0000-0000-00000B7D0000}"/>
    <cellStyle name="Normal 37 2 2 3 3 3 2" xfId="32538" xr:uid="{00000000-0005-0000-0000-00000C7D0000}"/>
    <cellStyle name="Normal 37 2 2 3 3 4" xfId="23768" xr:uid="{00000000-0005-0000-0000-00000D7D0000}"/>
    <cellStyle name="Normal 37 2 2 3 4" xfId="19481" xr:uid="{00000000-0005-0000-0000-00000E7D0000}"/>
    <cellStyle name="Normal 37 2 2 3 4 2" xfId="32539" xr:uid="{00000000-0005-0000-0000-00000F7D0000}"/>
    <cellStyle name="Normal 37 2 2 3 5" xfId="19482" xr:uid="{00000000-0005-0000-0000-0000107D0000}"/>
    <cellStyle name="Normal 37 2 2 3 5 2" xfId="32540" xr:uid="{00000000-0005-0000-0000-0000117D0000}"/>
    <cellStyle name="Normal 37 2 2 3 6" xfId="21612" xr:uid="{00000000-0005-0000-0000-0000127D0000}"/>
    <cellStyle name="Normal 37 2 2 4" xfId="8495" xr:uid="{00000000-0005-0000-0000-0000137D0000}"/>
    <cellStyle name="Normal 37 2 2 4 2" xfId="10936" xr:uid="{00000000-0005-0000-0000-0000147D0000}"/>
    <cellStyle name="Normal 37 2 2 4 2 2" xfId="19483" xr:uid="{00000000-0005-0000-0000-0000157D0000}"/>
    <cellStyle name="Normal 37 2 2 4 2 2 2" xfId="32541" xr:uid="{00000000-0005-0000-0000-0000167D0000}"/>
    <cellStyle name="Normal 37 2 2 4 2 3" xfId="19484" xr:uid="{00000000-0005-0000-0000-0000177D0000}"/>
    <cellStyle name="Normal 37 2 2 4 2 3 2" xfId="32542" xr:uid="{00000000-0005-0000-0000-0000187D0000}"/>
    <cellStyle name="Normal 37 2 2 4 2 4" xfId="24306" xr:uid="{00000000-0005-0000-0000-0000197D0000}"/>
    <cellStyle name="Normal 37 2 2 4 3" xfId="19485" xr:uid="{00000000-0005-0000-0000-00001A7D0000}"/>
    <cellStyle name="Normal 37 2 2 4 3 2" xfId="32543" xr:uid="{00000000-0005-0000-0000-00001B7D0000}"/>
    <cellStyle name="Normal 37 2 2 4 4" xfId="19486" xr:uid="{00000000-0005-0000-0000-00001C7D0000}"/>
    <cellStyle name="Normal 37 2 2 4 4 2" xfId="32544" xr:uid="{00000000-0005-0000-0000-00001D7D0000}"/>
    <cellStyle name="Normal 37 2 2 4 5" xfId="22150" xr:uid="{00000000-0005-0000-0000-00001E7D0000}"/>
    <cellStyle name="Normal 37 2 2 5" xfId="9858" xr:uid="{00000000-0005-0000-0000-00001F7D0000}"/>
    <cellStyle name="Normal 37 2 2 5 2" xfId="19487" xr:uid="{00000000-0005-0000-0000-0000207D0000}"/>
    <cellStyle name="Normal 37 2 2 5 2 2" xfId="32545" xr:uid="{00000000-0005-0000-0000-0000217D0000}"/>
    <cellStyle name="Normal 37 2 2 5 3" xfId="19488" xr:uid="{00000000-0005-0000-0000-0000227D0000}"/>
    <cellStyle name="Normal 37 2 2 5 3 2" xfId="32546" xr:uid="{00000000-0005-0000-0000-0000237D0000}"/>
    <cellStyle name="Normal 37 2 2 5 4" xfId="23228" xr:uid="{00000000-0005-0000-0000-0000247D0000}"/>
    <cellStyle name="Normal 37 2 2 6" xfId="19489" xr:uid="{00000000-0005-0000-0000-0000257D0000}"/>
    <cellStyle name="Normal 37 2 2 6 2" xfId="32547" xr:uid="{00000000-0005-0000-0000-0000267D0000}"/>
    <cellStyle name="Normal 37 2 2 7" xfId="19490" xr:uid="{00000000-0005-0000-0000-0000277D0000}"/>
    <cellStyle name="Normal 37 2 2 7 2" xfId="32548" xr:uid="{00000000-0005-0000-0000-0000287D0000}"/>
    <cellStyle name="Normal 37 2 2 8" xfId="21072" xr:uid="{00000000-0005-0000-0000-0000297D0000}"/>
    <cellStyle name="Normal 37 2 3" xfId="6649" xr:uid="{00000000-0005-0000-0000-00002A7D0000}"/>
    <cellStyle name="Normal 37 2 3 2" xfId="7345" xr:uid="{00000000-0005-0000-0000-00002B7D0000}"/>
    <cellStyle name="Normal 37 2 3 2 2" xfId="9224" xr:uid="{00000000-0005-0000-0000-00002C7D0000}"/>
    <cellStyle name="Normal 37 2 3 2 2 2" xfId="11603" xr:uid="{00000000-0005-0000-0000-00002D7D0000}"/>
    <cellStyle name="Normal 37 2 3 2 2 2 2" xfId="19491" xr:uid="{00000000-0005-0000-0000-00002E7D0000}"/>
    <cellStyle name="Normal 37 2 3 2 2 2 2 2" xfId="32549" xr:uid="{00000000-0005-0000-0000-00002F7D0000}"/>
    <cellStyle name="Normal 37 2 3 2 2 2 3" xfId="19492" xr:uid="{00000000-0005-0000-0000-0000307D0000}"/>
    <cellStyle name="Normal 37 2 3 2 2 2 3 2" xfId="32550" xr:uid="{00000000-0005-0000-0000-0000317D0000}"/>
    <cellStyle name="Normal 37 2 3 2 2 2 4" xfId="24973" xr:uid="{00000000-0005-0000-0000-0000327D0000}"/>
    <cellStyle name="Normal 37 2 3 2 2 3" xfId="19493" xr:uid="{00000000-0005-0000-0000-0000337D0000}"/>
    <cellStyle name="Normal 37 2 3 2 2 3 2" xfId="32551" xr:uid="{00000000-0005-0000-0000-0000347D0000}"/>
    <cellStyle name="Normal 37 2 3 2 2 4" xfId="19494" xr:uid="{00000000-0005-0000-0000-0000357D0000}"/>
    <cellStyle name="Normal 37 2 3 2 2 4 2" xfId="32552" xr:uid="{00000000-0005-0000-0000-0000367D0000}"/>
    <cellStyle name="Normal 37 2 3 2 2 5" xfId="22817" xr:uid="{00000000-0005-0000-0000-0000377D0000}"/>
    <cellStyle name="Normal 37 2 3 2 3" xfId="10525" xr:uid="{00000000-0005-0000-0000-0000387D0000}"/>
    <cellStyle name="Normal 37 2 3 2 3 2" xfId="19495" xr:uid="{00000000-0005-0000-0000-0000397D0000}"/>
    <cellStyle name="Normal 37 2 3 2 3 2 2" xfId="32553" xr:uid="{00000000-0005-0000-0000-00003A7D0000}"/>
    <cellStyle name="Normal 37 2 3 2 3 3" xfId="19496" xr:uid="{00000000-0005-0000-0000-00003B7D0000}"/>
    <cellStyle name="Normal 37 2 3 2 3 3 2" xfId="32554" xr:uid="{00000000-0005-0000-0000-00003C7D0000}"/>
    <cellStyle name="Normal 37 2 3 2 3 4" xfId="23895" xr:uid="{00000000-0005-0000-0000-00003D7D0000}"/>
    <cellStyle name="Normal 37 2 3 2 4" xfId="19497" xr:uid="{00000000-0005-0000-0000-00003E7D0000}"/>
    <cellStyle name="Normal 37 2 3 2 4 2" xfId="32555" xr:uid="{00000000-0005-0000-0000-00003F7D0000}"/>
    <cellStyle name="Normal 37 2 3 2 5" xfId="19498" xr:uid="{00000000-0005-0000-0000-0000407D0000}"/>
    <cellStyle name="Normal 37 2 3 2 5 2" xfId="32556" xr:uid="{00000000-0005-0000-0000-0000417D0000}"/>
    <cellStyle name="Normal 37 2 3 2 6" xfId="21739" xr:uid="{00000000-0005-0000-0000-0000427D0000}"/>
    <cellStyle name="Normal 37 2 3 3" xfId="8677" xr:uid="{00000000-0005-0000-0000-0000437D0000}"/>
    <cellStyle name="Normal 37 2 3 3 2" xfId="11063" xr:uid="{00000000-0005-0000-0000-0000447D0000}"/>
    <cellStyle name="Normal 37 2 3 3 2 2" xfId="19499" xr:uid="{00000000-0005-0000-0000-0000457D0000}"/>
    <cellStyle name="Normal 37 2 3 3 2 2 2" xfId="32557" xr:uid="{00000000-0005-0000-0000-0000467D0000}"/>
    <cellStyle name="Normal 37 2 3 3 2 3" xfId="19500" xr:uid="{00000000-0005-0000-0000-0000477D0000}"/>
    <cellStyle name="Normal 37 2 3 3 2 3 2" xfId="32558" xr:uid="{00000000-0005-0000-0000-0000487D0000}"/>
    <cellStyle name="Normal 37 2 3 3 2 4" xfId="24433" xr:uid="{00000000-0005-0000-0000-0000497D0000}"/>
    <cellStyle name="Normal 37 2 3 3 3" xfId="19501" xr:uid="{00000000-0005-0000-0000-00004A7D0000}"/>
    <cellStyle name="Normal 37 2 3 3 3 2" xfId="32559" xr:uid="{00000000-0005-0000-0000-00004B7D0000}"/>
    <cellStyle name="Normal 37 2 3 3 4" xfId="19502" xr:uid="{00000000-0005-0000-0000-00004C7D0000}"/>
    <cellStyle name="Normal 37 2 3 3 4 2" xfId="32560" xr:uid="{00000000-0005-0000-0000-00004D7D0000}"/>
    <cellStyle name="Normal 37 2 3 3 5" xfId="22277" xr:uid="{00000000-0005-0000-0000-00004E7D0000}"/>
    <cellStyle name="Normal 37 2 3 4" xfId="9985" xr:uid="{00000000-0005-0000-0000-00004F7D0000}"/>
    <cellStyle name="Normal 37 2 3 4 2" xfId="19503" xr:uid="{00000000-0005-0000-0000-0000507D0000}"/>
    <cellStyle name="Normal 37 2 3 4 2 2" xfId="32561" xr:uid="{00000000-0005-0000-0000-0000517D0000}"/>
    <cellStyle name="Normal 37 2 3 4 3" xfId="19504" xr:uid="{00000000-0005-0000-0000-0000527D0000}"/>
    <cellStyle name="Normal 37 2 3 4 3 2" xfId="32562" xr:uid="{00000000-0005-0000-0000-0000537D0000}"/>
    <cellStyle name="Normal 37 2 3 4 4" xfId="23355" xr:uid="{00000000-0005-0000-0000-0000547D0000}"/>
    <cellStyle name="Normal 37 2 3 5" xfId="19505" xr:uid="{00000000-0005-0000-0000-0000557D0000}"/>
    <cellStyle name="Normal 37 2 3 5 2" xfId="32563" xr:uid="{00000000-0005-0000-0000-0000567D0000}"/>
    <cellStyle name="Normal 37 2 3 6" xfId="19506" xr:uid="{00000000-0005-0000-0000-0000577D0000}"/>
    <cellStyle name="Normal 37 2 3 6 2" xfId="32564" xr:uid="{00000000-0005-0000-0000-0000587D0000}"/>
    <cellStyle name="Normal 37 2 3 7" xfId="21199" xr:uid="{00000000-0005-0000-0000-0000597D0000}"/>
    <cellStyle name="Normal 37 2 4" xfId="7075" xr:uid="{00000000-0005-0000-0000-00005A7D0000}"/>
    <cellStyle name="Normal 37 2 4 2" xfId="8955" xr:uid="{00000000-0005-0000-0000-00005B7D0000}"/>
    <cellStyle name="Normal 37 2 4 2 2" xfId="11334" xr:uid="{00000000-0005-0000-0000-00005C7D0000}"/>
    <cellStyle name="Normal 37 2 4 2 2 2" xfId="19507" xr:uid="{00000000-0005-0000-0000-00005D7D0000}"/>
    <cellStyle name="Normal 37 2 4 2 2 2 2" xfId="32565" xr:uid="{00000000-0005-0000-0000-00005E7D0000}"/>
    <cellStyle name="Normal 37 2 4 2 2 3" xfId="19508" xr:uid="{00000000-0005-0000-0000-00005F7D0000}"/>
    <cellStyle name="Normal 37 2 4 2 2 3 2" xfId="32566" xr:uid="{00000000-0005-0000-0000-0000607D0000}"/>
    <cellStyle name="Normal 37 2 4 2 2 4" xfId="24704" xr:uid="{00000000-0005-0000-0000-0000617D0000}"/>
    <cellStyle name="Normal 37 2 4 2 3" xfId="19509" xr:uid="{00000000-0005-0000-0000-0000627D0000}"/>
    <cellStyle name="Normal 37 2 4 2 3 2" xfId="32567" xr:uid="{00000000-0005-0000-0000-0000637D0000}"/>
    <cellStyle name="Normal 37 2 4 2 4" xfId="19510" xr:uid="{00000000-0005-0000-0000-0000647D0000}"/>
    <cellStyle name="Normal 37 2 4 2 4 2" xfId="32568" xr:uid="{00000000-0005-0000-0000-0000657D0000}"/>
    <cellStyle name="Normal 37 2 4 2 5" xfId="22548" xr:uid="{00000000-0005-0000-0000-0000667D0000}"/>
    <cellStyle name="Normal 37 2 4 3" xfId="10256" xr:uid="{00000000-0005-0000-0000-0000677D0000}"/>
    <cellStyle name="Normal 37 2 4 3 2" xfId="19511" xr:uid="{00000000-0005-0000-0000-0000687D0000}"/>
    <cellStyle name="Normal 37 2 4 3 2 2" xfId="32569" xr:uid="{00000000-0005-0000-0000-0000697D0000}"/>
    <cellStyle name="Normal 37 2 4 3 3" xfId="19512" xr:uid="{00000000-0005-0000-0000-00006A7D0000}"/>
    <cellStyle name="Normal 37 2 4 3 3 2" xfId="32570" xr:uid="{00000000-0005-0000-0000-00006B7D0000}"/>
    <cellStyle name="Normal 37 2 4 3 4" xfId="23626" xr:uid="{00000000-0005-0000-0000-00006C7D0000}"/>
    <cellStyle name="Normal 37 2 4 4" xfId="19513" xr:uid="{00000000-0005-0000-0000-00006D7D0000}"/>
    <cellStyle name="Normal 37 2 4 4 2" xfId="32571" xr:uid="{00000000-0005-0000-0000-00006E7D0000}"/>
    <cellStyle name="Normal 37 2 4 5" xfId="19514" xr:uid="{00000000-0005-0000-0000-00006F7D0000}"/>
    <cellStyle name="Normal 37 2 4 5 2" xfId="32572" xr:uid="{00000000-0005-0000-0000-0000707D0000}"/>
    <cellStyle name="Normal 37 2 4 6" xfId="21470" xr:uid="{00000000-0005-0000-0000-0000717D0000}"/>
    <cellStyle name="Normal 37 2 5" xfId="8279" xr:uid="{00000000-0005-0000-0000-0000727D0000}"/>
    <cellStyle name="Normal 37 2 5 2" xfId="10794" xr:uid="{00000000-0005-0000-0000-0000737D0000}"/>
    <cellStyle name="Normal 37 2 5 2 2" xfId="19515" xr:uid="{00000000-0005-0000-0000-0000747D0000}"/>
    <cellStyle name="Normal 37 2 5 2 2 2" xfId="32573" xr:uid="{00000000-0005-0000-0000-0000757D0000}"/>
    <cellStyle name="Normal 37 2 5 2 3" xfId="19516" xr:uid="{00000000-0005-0000-0000-0000767D0000}"/>
    <cellStyle name="Normal 37 2 5 2 3 2" xfId="32574" xr:uid="{00000000-0005-0000-0000-0000777D0000}"/>
    <cellStyle name="Normal 37 2 5 2 4" xfId="24164" xr:uid="{00000000-0005-0000-0000-0000787D0000}"/>
    <cellStyle name="Normal 37 2 5 3" xfId="19517" xr:uid="{00000000-0005-0000-0000-0000797D0000}"/>
    <cellStyle name="Normal 37 2 5 3 2" xfId="32575" xr:uid="{00000000-0005-0000-0000-00007A7D0000}"/>
    <cellStyle name="Normal 37 2 5 4" xfId="19518" xr:uid="{00000000-0005-0000-0000-00007B7D0000}"/>
    <cellStyle name="Normal 37 2 5 4 2" xfId="32576" xr:uid="{00000000-0005-0000-0000-00007C7D0000}"/>
    <cellStyle name="Normal 37 2 5 5" xfId="22008" xr:uid="{00000000-0005-0000-0000-00007D7D0000}"/>
    <cellStyle name="Normal 37 2 6" xfId="9715" xr:uid="{00000000-0005-0000-0000-00007E7D0000}"/>
    <cellStyle name="Normal 37 2 6 2" xfId="19519" xr:uid="{00000000-0005-0000-0000-00007F7D0000}"/>
    <cellStyle name="Normal 37 2 6 2 2" xfId="32577" xr:uid="{00000000-0005-0000-0000-0000807D0000}"/>
    <cellStyle name="Normal 37 2 6 3" xfId="19520" xr:uid="{00000000-0005-0000-0000-0000817D0000}"/>
    <cellStyle name="Normal 37 2 6 3 2" xfId="32578" xr:uid="{00000000-0005-0000-0000-0000827D0000}"/>
    <cellStyle name="Normal 37 2 6 4" xfId="23086" xr:uid="{00000000-0005-0000-0000-0000837D0000}"/>
    <cellStyle name="Normal 37 2 7" xfId="19521" xr:uid="{00000000-0005-0000-0000-0000847D0000}"/>
    <cellStyle name="Normal 37 2 7 2" xfId="32579" xr:uid="{00000000-0005-0000-0000-0000857D0000}"/>
    <cellStyle name="Normal 37 2 8" xfId="19522" xr:uid="{00000000-0005-0000-0000-0000867D0000}"/>
    <cellStyle name="Normal 37 2 8 2" xfId="32580" xr:uid="{00000000-0005-0000-0000-0000877D0000}"/>
    <cellStyle name="Normal 37 2 9" xfId="20929" xr:uid="{00000000-0005-0000-0000-0000887D0000}"/>
    <cellStyle name="Normal 37 3" xfId="5560" xr:uid="{00000000-0005-0000-0000-0000897D0000}"/>
    <cellStyle name="Normal 37 3 2" xfId="6744" xr:uid="{00000000-0005-0000-0000-00008A7D0000}"/>
    <cellStyle name="Normal 37 3 2 2" xfId="7431" xr:uid="{00000000-0005-0000-0000-00008B7D0000}"/>
    <cellStyle name="Normal 37 3 2 2 2" xfId="9310" xr:uid="{00000000-0005-0000-0000-00008C7D0000}"/>
    <cellStyle name="Normal 37 3 2 2 2 2" xfId="11689" xr:uid="{00000000-0005-0000-0000-00008D7D0000}"/>
    <cellStyle name="Normal 37 3 2 2 2 2 2" xfId="19523" xr:uid="{00000000-0005-0000-0000-00008E7D0000}"/>
    <cellStyle name="Normal 37 3 2 2 2 2 2 2" xfId="32581" xr:uid="{00000000-0005-0000-0000-00008F7D0000}"/>
    <cellStyle name="Normal 37 3 2 2 2 2 3" xfId="19524" xr:uid="{00000000-0005-0000-0000-0000907D0000}"/>
    <cellStyle name="Normal 37 3 2 2 2 2 3 2" xfId="32582" xr:uid="{00000000-0005-0000-0000-0000917D0000}"/>
    <cellStyle name="Normal 37 3 2 2 2 2 4" xfId="25059" xr:uid="{00000000-0005-0000-0000-0000927D0000}"/>
    <cellStyle name="Normal 37 3 2 2 2 3" xfId="19525" xr:uid="{00000000-0005-0000-0000-0000937D0000}"/>
    <cellStyle name="Normal 37 3 2 2 2 3 2" xfId="32583" xr:uid="{00000000-0005-0000-0000-0000947D0000}"/>
    <cellStyle name="Normal 37 3 2 2 2 4" xfId="19526" xr:uid="{00000000-0005-0000-0000-0000957D0000}"/>
    <cellStyle name="Normal 37 3 2 2 2 4 2" xfId="32584" xr:uid="{00000000-0005-0000-0000-0000967D0000}"/>
    <cellStyle name="Normal 37 3 2 2 2 5" xfId="22903" xr:uid="{00000000-0005-0000-0000-0000977D0000}"/>
    <cellStyle name="Normal 37 3 2 2 3" xfId="10611" xr:uid="{00000000-0005-0000-0000-0000987D0000}"/>
    <cellStyle name="Normal 37 3 2 2 3 2" xfId="19527" xr:uid="{00000000-0005-0000-0000-0000997D0000}"/>
    <cellStyle name="Normal 37 3 2 2 3 2 2" xfId="32585" xr:uid="{00000000-0005-0000-0000-00009A7D0000}"/>
    <cellStyle name="Normal 37 3 2 2 3 3" xfId="19528" xr:uid="{00000000-0005-0000-0000-00009B7D0000}"/>
    <cellStyle name="Normal 37 3 2 2 3 3 2" xfId="32586" xr:uid="{00000000-0005-0000-0000-00009C7D0000}"/>
    <cellStyle name="Normal 37 3 2 2 3 4" xfId="23981" xr:uid="{00000000-0005-0000-0000-00009D7D0000}"/>
    <cellStyle name="Normal 37 3 2 2 4" xfId="19529" xr:uid="{00000000-0005-0000-0000-00009E7D0000}"/>
    <cellStyle name="Normal 37 3 2 2 4 2" xfId="32587" xr:uid="{00000000-0005-0000-0000-00009F7D0000}"/>
    <cellStyle name="Normal 37 3 2 2 5" xfId="19530" xr:uid="{00000000-0005-0000-0000-0000A07D0000}"/>
    <cellStyle name="Normal 37 3 2 2 5 2" xfId="32588" xr:uid="{00000000-0005-0000-0000-0000A17D0000}"/>
    <cellStyle name="Normal 37 3 2 2 6" xfId="21825" xr:uid="{00000000-0005-0000-0000-0000A27D0000}"/>
    <cellStyle name="Normal 37 3 2 3" xfId="8764" xr:uid="{00000000-0005-0000-0000-0000A37D0000}"/>
    <cellStyle name="Normal 37 3 2 3 2" xfId="11149" xr:uid="{00000000-0005-0000-0000-0000A47D0000}"/>
    <cellStyle name="Normal 37 3 2 3 2 2" xfId="19531" xr:uid="{00000000-0005-0000-0000-0000A57D0000}"/>
    <cellStyle name="Normal 37 3 2 3 2 2 2" xfId="32589" xr:uid="{00000000-0005-0000-0000-0000A67D0000}"/>
    <cellStyle name="Normal 37 3 2 3 2 3" xfId="19532" xr:uid="{00000000-0005-0000-0000-0000A77D0000}"/>
    <cellStyle name="Normal 37 3 2 3 2 3 2" xfId="32590" xr:uid="{00000000-0005-0000-0000-0000A87D0000}"/>
    <cellStyle name="Normal 37 3 2 3 2 4" xfId="24519" xr:uid="{00000000-0005-0000-0000-0000A97D0000}"/>
    <cellStyle name="Normal 37 3 2 3 3" xfId="19533" xr:uid="{00000000-0005-0000-0000-0000AA7D0000}"/>
    <cellStyle name="Normal 37 3 2 3 3 2" xfId="32591" xr:uid="{00000000-0005-0000-0000-0000AB7D0000}"/>
    <cellStyle name="Normal 37 3 2 3 4" xfId="19534" xr:uid="{00000000-0005-0000-0000-0000AC7D0000}"/>
    <cellStyle name="Normal 37 3 2 3 4 2" xfId="32592" xr:uid="{00000000-0005-0000-0000-0000AD7D0000}"/>
    <cellStyle name="Normal 37 3 2 3 5" xfId="22363" xr:uid="{00000000-0005-0000-0000-0000AE7D0000}"/>
    <cellStyle name="Normal 37 3 2 4" xfId="10071" xr:uid="{00000000-0005-0000-0000-0000AF7D0000}"/>
    <cellStyle name="Normal 37 3 2 4 2" xfId="19535" xr:uid="{00000000-0005-0000-0000-0000B07D0000}"/>
    <cellStyle name="Normal 37 3 2 4 2 2" xfId="32593" xr:uid="{00000000-0005-0000-0000-0000B17D0000}"/>
    <cellStyle name="Normal 37 3 2 4 3" xfId="19536" xr:uid="{00000000-0005-0000-0000-0000B27D0000}"/>
    <cellStyle name="Normal 37 3 2 4 3 2" xfId="32594" xr:uid="{00000000-0005-0000-0000-0000B37D0000}"/>
    <cellStyle name="Normal 37 3 2 4 4" xfId="23441" xr:uid="{00000000-0005-0000-0000-0000B47D0000}"/>
    <cellStyle name="Normal 37 3 2 5" xfId="19537" xr:uid="{00000000-0005-0000-0000-0000B57D0000}"/>
    <cellStyle name="Normal 37 3 2 5 2" xfId="32595" xr:uid="{00000000-0005-0000-0000-0000B67D0000}"/>
    <cellStyle name="Normal 37 3 2 6" xfId="19538" xr:uid="{00000000-0005-0000-0000-0000B77D0000}"/>
    <cellStyle name="Normal 37 3 2 6 2" xfId="32596" xr:uid="{00000000-0005-0000-0000-0000B87D0000}"/>
    <cellStyle name="Normal 37 3 2 7" xfId="21285" xr:uid="{00000000-0005-0000-0000-0000B97D0000}"/>
    <cellStyle name="Normal 37 3 3" xfId="7162" xr:uid="{00000000-0005-0000-0000-0000BA7D0000}"/>
    <cellStyle name="Normal 37 3 3 2" xfId="9041" xr:uid="{00000000-0005-0000-0000-0000BB7D0000}"/>
    <cellStyle name="Normal 37 3 3 2 2" xfId="11420" xr:uid="{00000000-0005-0000-0000-0000BC7D0000}"/>
    <cellStyle name="Normal 37 3 3 2 2 2" xfId="19539" xr:uid="{00000000-0005-0000-0000-0000BD7D0000}"/>
    <cellStyle name="Normal 37 3 3 2 2 2 2" xfId="32597" xr:uid="{00000000-0005-0000-0000-0000BE7D0000}"/>
    <cellStyle name="Normal 37 3 3 2 2 3" xfId="19540" xr:uid="{00000000-0005-0000-0000-0000BF7D0000}"/>
    <cellStyle name="Normal 37 3 3 2 2 3 2" xfId="32598" xr:uid="{00000000-0005-0000-0000-0000C07D0000}"/>
    <cellStyle name="Normal 37 3 3 2 2 4" xfId="24790" xr:uid="{00000000-0005-0000-0000-0000C17D0000}"/>
    <cellStyle name="Normal 37 3 3 2 3" xfId="19541" xr:uid="{00000000-0005-0000-0000-0000C27D0000}"/>
    <cellStyle name="Normal 37 3 3 2 3 2" xfId="32599" xr:uid="{00000000-0005-0000-0000-0000C37D0000}"/>
    <cellStyle name="Normal 37 3 3 2 4" xfId="19542" xr:uid="{00000000-0005-0000-0000-0000C47D0000}"/>
    <cellStyle name="Normal 37 3 3 2 4 2" xfId="32600" xr:uid="{00000000-0005-0000-0000-0000C57D0000}"/>
    <cellStyle name="Normal 37 3 3 2 5" xfId="22634" xr:uid="{00000000-0005-0000-0000-0000C67D0000}"/>
    <cellStyle name="Normal 37 3 3 3" xfId="10342" xr:uid="{00000000-0005-0000-0000-0000C77D0000}"/>
    <cellStyle name="Normal 37 3 3 3 2" xfId="19543" xr:uid="{00000000-0005-0000-0000-0000C87D0000}"/>
    <cellStyle name="Normal 37 3 3 3 2 2" xfId="32601" xr:uid="{00000000-0005-0000-0000-0000C97D0000}"/>
    <cellStyle name="Normal 37 3 3 3 3" xfId="19544" xr:uid="{00000000-0005-0000-0000-0000CA7D0000}"/>
    <cellStyle name="Normal 37 3 3 3 3 2" xfId="32602" xr:uid="{00000000-0005-0000-0000-0000CB7D0000}"/>
    <cellStyle name="Normal 37 3 3 3 4" xfId="23712" xr:uid="{00000000-0005-0000-0000-0000CC7D0000}"/>
    <cellStyle name="Normal 37 3 3 4" xfId="19545" xr:uid="{00000000-0005-0000-0000-0000CD7D0000}"/>
    <cellStyle name="Normal 37 3 3 4 2" xfId="32603" xr:uid="{00000000-0005-0000-0000-0000CE7D0000}"/>
    <cellStyle name="Normal 37 3 3 5" xfId="19546" xr:uid="{00000000-0005-0000-0000-0000CF7D0000}"/>
    <cellStyle name="Normal 37 3 3 5 2" xfId="32604" xr:uid="{00000000-0005-0000-0000-0000D07D0000}"/>
    <cellStyle name="Normal 37 3 3 6" xfId="21556" xr:uid="{00000000-0005-0000-0000-0000D17D0000}"/>
    <cellStyle name="Normal 37 3 4" xfId="8437" xr:uid="{00000000-0005-0000-0000-0000D27D0000}"/>
    <cellStyle name="Normal 37 3 4 2" xfId="10880" xr:uid="{00000000-0005-0000-0000-0000D37D0000}"/>
    <cellStyle name="Normal 37 3 4 2 2" xfId="19547" xr:uid="{00000000-0005-0000-0000-0000D47D0000}"/>
    <cellStyle name="Normal 37 3 4 2 2 2" xfId="32605" xr:uid="{00000000-0005-0000-0000-0000D57D0000}"/>
    <cellStyle name="Normal 37 3 4 2 3" xfId="19548" xr:uid="{00000000-0005-0000-0000-0000D67D0000}"/>
    <cellStyle name="Normal 37 3 4 2 3 2" xfId="32606" xr:uid="{00000000-0005-0000-0000-0000D77D0000}"/>
    <cellStyle name="Normal 37 3 4 2 4" xfId="24250" xr:uid="{00000000-0005-0000-0000-0000D87D0000}"/>
    <cellStyle name="Normal 37 3 4 3" xfId="19549" xr:uid="{00000000-0005-0000-0000-0000D97D0000}"/>
    <cellStyle name="Normal 37 3 4 3 2" xfId="32607" xr:uid="{00000000-0005-0000-0000-0000DA7D0000}"/>
    <cellStyle name="Normal 37 3 4 4" xfId="19550" xr:uid="{00000000-0005-0000-0000-0000DB7D0000}"/>
    <cellStyle name="Normal 37 3 4 4 2" xfId="32608" xr:uid="{00000000-0005-0000-0000-0000DC7D0000}"/>
    <cellStyle name="Normal 37 3 4 5" xfId="22094" xr:uid="{00000000-0005-0000-0000-0000DD7D0000}"/>
    <cellStyle name="Normal 37 3 5" xfId="9802" xr:uid="{00000000-0005-0000-0000-0000DE7D0000}"/>
    <cellStyle name="Normal 37 3 5 2" xfId="19551" xr:uid="{00000000-0005-0000-0000-0000DF7D0000}"/>
    <cellStyle name="Normal 37 3 5 2 2" xfId="32609" xr:uid="{00000000-0005-0000-0000-0000E07D0000}"/>
    <cellStyle name="Normal 37 3 5 3" xfId="19552" xr:uid="{00000000-0005-0000-0000-0000E17D0000}"/>
    <cellStyle name="Normal 37 3 5 3 2" xfId="32610" xr:uid="{00000000-0005-0000-0000-0000E27D0000}"/>
    <cellStyle name="Normal 37 3 5 4" xfId="23172" xr:uid="{00000000-0005-0000-0000-0000E37D0000}"/>
    <cellStyle name="Normal 37 3 6" xfId="19553" xr:uid="{00000000-0005-0000-0000-0000E47D0000}"/>
    <cellStyle name="Normal 37 3 6 2" xfId="32611" xr:uid="{00000000-0005-0000-0000-0000E57D0000}"/>
    <cellStyle name="Normal 37 3 7" xfId="19554" xr:uid="{00000000-0005-0000-0000-0000E67D0000}"/>
    <cellStyle name="Normal 37 3 7 2" xfId="32612" xr:uid="{00000000-0005-0000-0000-0000E77D0000}"/>
    <cellStyle name="Normal 37 3 8" xfId="21016" xr:uid="{00000000-0005-0000-0000-0000E87D0000}"/>
    <cellStyle name="Normal 37 4" xfId="6594" xr:uid="{00000000-0005-0000-0000-0000E97D0000}"/>
    <cellStyle name="Normal 37 4 2" xfId="7290" xr:uid="{00000000-0005-0000-0000-0000EA7D0000}"/>
    <cellStyle name="Normal 37 4 2 2" xfId="9169" xr:uid="{00000000-0005-0000-0000-0000EB7D0000}"/>
    <cellStyle name="Normal 37 4 2 2 2" xfId="11548" xr:uid="{00000000-0005-0000-0000-0000EC7D0000}"/>
    <cellStyle name="Normal 37 4 2 2 2 2" xfId="19555" xr:uid="{00000000-0005-0000-0000-0000ED7D0000}"/>
    <cellStyle name="Normal 37 4 2 2 2 2 2" xfId="32613" xr:uid="{00000000-0005-0000-0000-0000EE7D0000}"/>
    <cellStyle name="Normal 37 4 2 2 2 3" xfId="19556" xr:uid="{00000000-0005-0000-0000-0000EF7D0000}"/>
    <cellStyle name="Normal 37 4 2 2 2 3 2" xfId="32614" xr:uid="{00000000-0005-0000-0000-0000F07D0000}"/>
    <cellStyle name="Normal 37 4 2 2 2 4" xfId="24918" xr:uid="{00000000-0005-0000-0000-0000F17D0000}"/>
    <cellStyle name="Normal 37 4 2 2 3" xfId="19557" xr:uid="{00000000-0005-0000-0000-0000F27D0000}"/>
    <cellStyle name="Normal 37 4 2 2 3 2" xfId="32615" xr:uid="{00000000-0005-0000-0000-0000F37D0000}"/>
    <cellStyle name="Normal 37 4 2 2 4" xfId="19558" xr:uid="{00000000-0005-0000-0000-0000F47D0000}"/>
    <cellStyle name="Normal 37 4 2 2 4 2" xfId="32616" xr:uid="{00000000-0005-0000-0000-0000F57D0000}"/>
    <cellStyle name="Normal 37 4 2 2 5" xfId="22762" xr:uid="{00000000-0005-0000-0000-0000F67D0000}"/>
    <cellStyle name="Normal 37 4 2 3" xfId="10470" xr:uid="{00000000-0005-0000-0000-0000F77D0000}"/>
    <cellStyle name="Normal 37 4 2 3 2" xfId="19559" xr:uid="{00000000-0005-0000-0000-0000F87D0000}"/>
    <cellStyle name="Normal 37 4 2 3 2 2" xfId="32617" xr:uid="{00000000-0005-0000-0000-0000F97D0000}"/>
    <cellStyle name="Normal 37 4 2 3 3" xfId="19560" xr:uid="{00000000-0005-0000-0000-0000FA7D0000}"/>
    <cellStyle name="Normal 37 4 2 3 3 2" xfId="32618" xr:uid="{00000000-0005-0000-0000-0000FB7D0000}"/>
    <cellStyle name="Normal 37 4 2 3 4" xfId="23840" xr:uid="{00000000-0005-0000-0000-0000FC7D0000}"/>
    <cellStyle name="Normal 37 4 2 4" xfId="19561" xr:uid="{00000000-0005-0000-0000-0000FD7D0000}"/>
    <cellStyle name="Normal 37 4 2 4 2" xfId="32619" xr:uid="{00000000-0005-0000-0000-0000FE7D0000}"/>
    <cellStyle name="Normal 37 4 2 5" xfId="19562" xr:uid="{00000000-0005-0000-0000-0000FF7D0000}"/>
    <cellStyle name="Normal 37 4 2 5 2" xfId="32620" xr:uid="{00000000-0005-0000-0000-0000007E0000}"/>
    <cellStyle name="Normal 37 4 2 6" xfId="21684" xr:uid="{00000000-0005-0000-0000-0000017E0000}"/>
    <cellStyle name="Normal 37 4 3" xfId="8622" xr:uid="{00000000-0005-0000-0000-0000027E0000}"/>
    <cellStyle name="Normal 37 4 3 2" xfId="11008" xr:uid="{00000000-0005-0000-0000-0000037E0000}"/>
    <cellStyle name="Normal 37 4 3 2 2" xfId="19563" xr:uid="{00000000-0005-0000-0000-0000047E0000}"/>
    <cellStyle name="Normal 37 4 3 2 2 2" xfId="32621" xr:uid="{00000000-0005-0000-0000-0000057E0000}"/>
    <cellStyle name="Normal 37 4 3 2 3" xfId="19564" xr:uid="{00000000-0005-0000-0000-0000067E0000}"/>
    <cellStyle name="Normal 37 4 3 2 3 2" xfId="32622" xr:uid="{00000000-0005-0000-0000-0000077E0000}"/>
    <cellStyle name="Normal 37 4 3 2 4" xfId="24378" xr:uid="{00000000-0005-0000-0000-0000087E0000}"/>
    <cellStyle name="Normal 37 4 3 3" xfId="19565" xr:uid="{00000000-0005-0000-0000-0000097E0000}"/>
    <cellStyle name="Normal 37 4 3 3 2" xfId="32623" xr:uid="{00000000-0005-0000-0000-00000A7E0000}"/>
    <cellStyle name="Normal 37 4 3 4" xfId="19566" xr:uid="{00000000-0005-0000-0000-00000B7E0000}"/>
    <cellStyle name="Normal 37 4 3 4 2" xfId="32624" xr:uid="{00000000-0005-0000-0000-00000C7E0000}"/>
    <cellStyle name="Normal 37 4 3 5" xfId="22222" xr:uid="{00000000-0005-0000-0000-00000D7E0000}"/>
    <cellStyle name="Normal 37 4 4" xfId="9930" xr:uid="{00000000-0005-0000-0000-00000E7E0000}"/>
    <cellStyle name="Normal 37 4 4 2" xfId="19567" xr:uid="{00000000-0005-0000-0000-00000F7E0000}"/>
    <cellStyle name="Normal 37 4 4 2 2" xfId="32625" xr:uid="{00000000-0005-0000-0000-0000107E0000}"/>
    <cellStyle name="Normal 37 4 4 3" xfId="19568" xr:uid="{00000000-0005-0000-0000-0000117E0000}"/>
    <cellStyle name="Normal 37 4 4 3 2" xfId="32626" xr:uid="{00000000-0005-0000-0000-0000127E0000}"/>
    <cellStyle name="Normal 37 4 4 4" xfId="23300" xr:uid="{00000000-0005-0000-0000-0000137E0000}"/>
    <cellStyle name="Normal 37 4 5" xfId="19569" xr:uid="{00000000-0005-0000-0000-0000147E0000}"/>
    <cellStyle name="Normal 37 4 5 2" xfId="32627" xr:uid="{00000000-0005-0000-0000-0000157E0000}"/>
    <cellStyle name="Normal 37 4 6" xfId="19570" xr:uid="{00000000-0005-0000-0000-0000167E0000}"/>
    <cellStyle name="Normal 37 4 6 2" xfId="32628" xr:uid="{00000000-0005-0000-0000-0000177E0000}"/>
    <cellStyle name="Normal 37 4 7" xfId="21144" xr:uid="{00000000-0005-0000-0000-0000187E0000}"/>
    <cellStyle name="Normal 37 5" xfId="7020" xr:uid="{00000000-0005-0000-0000-0000197E0000}"/>
    <cellStyle name="Normal 37 5 2" xfId="8900" xr:uid="{00000000-0005-0000-0000-00001A7E0000}"/>
    <cellStyle name="Normal 37 5 2 2" xfId="11279" xr:uid="{00000000-0005-0000-0000-00001B7E0000}"/>
    <cellStyle name="Normal 37 5 2 2 2" xfId="19571" xr:uid="{00000000-0005-0000-0000-00001C7E0000}"/>
    <cellStyle name="Normal 37 5 2 2 2 2" xfId="32629" xr:uid="{00000000-0005-0000-0000-00001D7E0000}"/>
    <cellStyle name="Normal 37 5 2 2 3" xfId="19572" xr:uid="{00000000-0005-0000-0000-00001E7E0000}"/>
    <cellStyle name="Normal 37 5 2 2 3 2" xfId="32630" xr:uid="{00000000-0005-0000-0000-00001F7E0000}"/>
    <cellStyle name="Normal 37 5 2 2 4" xfId="24649" xr:uid="{00000000-0005-0000-0000-0000207E0000}"/>
    <cellStyle name="Normal 37 5 2 3" xfId="19573" xr:uid="{00000000-0005-0000-0000-0000217E0000}"/>
    <cellStyle name="Normal 37 5 2 3 2" xfId="32631" xr:uid="{00000000-0005-0000-0000-0000227E0000}"/>
    <cellStyle name="Normal 37 5 2 4" xfId="19574" xr:uid="{00000000-0005-0000-0000-0000237E0000}"/>
    <cellStyle name="Normal 37 5 2 4 2" xfId="32632" xr:uid="{00000000-0005-0000-0000-0000247E0000}"/>
    <cellStyle name="Normal 37 5 2 5" xfId="22493" xr:uid="{00000000-0005-0000-0000-0000257E0000}"/>
    <cellStyle name="Normal 37 5 3" xfId="10201" xr:uid="{00000000-0005-0000-0000-0000267E0000}"/>
    <cellStyle name="Normal 37 5 3 2" xfId="19575" xr:uid="{00000000-0005-0000-0000-0000277E0000}"/>
    <cellStyle name="Normal 37 5 3 2 2" xfId="32633" xr:uid="{00000000-0005-0000-0000-0000287E0000}"/>
    <cellStyle name="Normal 37 5 3 3" xfId="19576" xr:uid="{00000000-0005-0000-0000-0000297E0000}"/>
    <cellStyle name="Normal 37 5 3 3 2" xfId="32634" xr:uid="{00000000-0005-0000-0000-00002A7E0000}"/>
    <cellStyle name="Normal 37 5 3 4" xfId="23571" xr:uid="{00000000-0005-0000-0000-00002B7E0000}"/>
    <cellStyle name="Normal 37 5 4" xfId="19577" xr:uid="{00000000-0005-0000-0000-00002C7E0000}"/>
    <cellStyle name="Normal 37 5 4 2" xfId="32635" xr:uid="{00000000-0005-0000-0000-00002D7E0000}"/>
    <cellStyle name="Normal 37 5 5" xfId="19578" xr:uid="{00000000-0005-0000-0000-00002E7E0000}"/>
    <cellStyle name="Normal 37 5 5 2" xfId="32636" xr:uid="{00000000-0005-0000-0000-00002F7E0000}"/>
    <cellStyle name="Normal 37 5 6" xfId="21415" xr:uid="{00000000-0005-0000-0000-0000307E0000}"/>
    <cellStyle name="Normal 37 6" xfId="8216" xr:uid="{00000000-0005-0000-0000-0000317E0000}"/>
    <cellStyle name="Normal 37 6 2" xfId="10739" xr:uid="{00000000-0005-0000-0000-0000327E0000}"/>
    <cellStyle name="Normal 37 6 2 2" xfId="19579" xr:uid="{00000000-0005-0000-0000-0000337E0000}"/>
    <cellStyle name="Normal 37 6 2 2 2" xfId="32637" xr:uid="{00000000-0005-0000-0000-0000347E0000}"/>
    <cellStyle name="Normal 37 6 2 3" xfId="19580" xr:uid="{00000000-0005-0000-0000-0000357E0000}"/>
    <cellStyle name="Normal 37 6 2 3 2" xfId="32638" xr:uid="{00000000-0005-0000-0000-0000367E0000}"/>
    <cellStyle name="Normal 37 6 2 4" xfId="24109" xr:uid="{00000000-0005-0000-0000-0000377E0000}"/>
    <cellStyle name="Normal 37 6 3" xfId="19581" xr:uid="{00000000-0005-0000-0000-0000387E0000}"/>
    <cellStyle name="Normal 37 6 3 2" xfId="32639" xr:uid="{00000000-0005-0000-0000-0000397E0000}"/>
    <cellStyle name="Normal 37 6 4" xfId="19582" xr:uid="{00000000-0005-0000-0000-00003A7E0000}"/>
    <cellStyle name="Normal 37 6 4 2" xfId="32640" xr:uid="{00000000-0005-0000-0000-00003B7E0000}"/>
    <cellStyle name="Normal 37 6 5" xfId="21953" xr:uid="{00000000-0005-0000-0000-00003C7E0000}"/>
    <cellStyle name="Normal 37 7" xfId="9660" xr:uid="{00000000-0005-0000-0000-00003D7E0000}"/>
    <cellStyle name="Normal 37 7 2" xfId="19583" xr:uid="{00000000-0005-0000-0000-00003E7E0000}"/>
    <cellStyle name="Normal 37 7 2 2" xfId="32641" xr:uid="{00000000-0005-0000-0000-00003F7E0000}"/>
    <cellStyle name="Normal 37 7 3" xfId="19584" xr:uid="{00000000-0005-0000-0000-0000407E0000}"/>
    <cellStyle name="Normal 37 7 3 2" xfId="32642" xr:uid="{00000000-0005-0000-0000-0000417E0000}"/>
    <cellStyle name="Normal 37 7 4" xfId="23031" xr:uid="{00000000-0005-0000-0000-0000427E0000}"/>
    <cellStyle name="Normal 37 8" xfId="19585" xr:uid="{00000000-0005-0000-0000-0000437E0000}"/>
    <cellStyle name="Normal 37 8 2" xfId="32643" xr:uid="{00000000-0005-0000-0000-0000447E0000}"/>
    <cellStyle name="Normal 37 9" xfId="19586" xr:uid="{00000000-0005-0000-0000-0000457E0000}"/>
    <cellStyle name="Normal 37 9 2" xfId="32644" xr:uid="{00000000-0005-0000-0000-0000467E0000}"/>
    <cellStyle name="Normal 38" xfId="3954" xr:uid="{00000000-0005-0000-0000-0000477E0000}"/>
    <cellStyle name="Normal 38 10" xfId="20875" xr:uid="{00000000-0005-0000-0000-0000487E0000}"/>
    <cellStyle name="Normal 38 2" xfId="4113" xr:uid="{00000000-0005-0000-0000-0000497E0000}"/>
    <cellStyle name="Normal 38 2 2" xfId="5649" xr:uid="{00000000-0005-0000-0000-00004A7E0000}"/>
    <cellStyle name="Normal 38 2 2 2" xfId="6801" xr:uid="{00000000-0005-0000-0000-00004B7E0000}"/>
    <cellStyle name="Normal 38 2 2 2 2" xfId="7488" xr:uid="{00000000-0005-0000-0000-00004C7E0000}"/>
    <cellStyle name="Normal 38 2 2 2 2 2" xfId="9367" xr:uid="{00000000-0005-0000-0000-00004D7E0000}"/>
    <cellStyle name="Normal 38 2 2 2 2 2 2" xfId="11746" xr:uid="{00000000-0005-0000-0000-00004E7E0000}"/>
    <cellStyle name="Normal 38 2 2 2 2 2 2 2" xfId="19587" xr:uid="{00000000-0005-0000-0000-00004F7E0000}"/>
    <cellStyle name="Normal 38 2 2 2 2 2 2 2 2" xfId="32645" xr:uid="{00000000-0005-0000-0000-0000507E0000}"/>
    <cellStyle name="Normal 38 2 2 2 2 2 2 3" xfId="19588" xr:uid="{00000000-0005-0000-0000-0000517E0000}"/>
    <cellStyle name="Normal 38 2 2 2 2 2 2 3 2" xfId="32646" xr:uid="{00000000-0005-0000-0000-0000527E0000}"/>
    <cellStyle name="Normal 38 2 2 2 2 2 2 4" xfId="25116" xr:uid="{00000000-0005-0000-0000-0000537E0000}"/>
    <cellStyle name="Normal 38 2 2 2 2 2 3" xfId="19589" xr:uid="{00000000-0005-0000-0000-0000547E0000}"/>
    <cellStyle name="Normal 38 2 2 2 2 2 3 2" xfId="32647" xr:uid="{00000000-0005-0000-0000-0000557E0000}"/>
    <cellStyle name="Normal 38 2 2 2 2 2 4" xfId="19590" xr:uid="{00000000-0005-0000-0000-0000567E0000}"/>
    <cellStyle name="Normal 38 2 2 2 2 2 4 2" xfId="32648" xr:uid="{00000000-0005-0000-0000-0000577E0000}"/>
    <cellStyle name="Normal 38 2 2 2 2 2 5" xfId="22960" xr:uid="{00000000-0005-0000-0000-0000587E0000}"/>
    <cellStyle name="Normal 38 2 2 2 2 3" xfId="10668" xr:uid="{00000000-0005-0000-0000-0000597E0000}"/>
    <cellStyle name="Normal 38 2 2 2 2 3 2" xfId="19591" xr:uid="{00000000-0005-0000-0000-00005A7E0000}"/>
    <cellStyle name="Normal 38 2 2 2 2 3 2 2" xfId="32649" xr:uid="{00000000-0005-0000-0000-00005B7E0000}"/>
    <cellStyle name="Normal 38 2 2 2 2 3 3" xfId="19592" xr:uid="{00000000-0005-0000-0000-00005C7E0000}"/>
    <cellStyle name="Normal 38 2 2 2 2 3 3 2" xfId="32650" xr:uid="{00000000-0005-0000-0000-00005D7E0000}"/>
    <cellStyle name="Normal 38 2 2 2 2 3 4" xfId="24038" xr:uid="{00000000-0005-0000-0000-00005E7E0000}"/>
    <cellStyle name="Normal 38 2 2 2 2 4" xfId="19593" xr:uid="{00000000-0005-0000-0000-00005F7E0000}"/>
    <cellStyle name="Normal 38 2 2 2 2 4 2" xfId="32651" xr:uid="{00000000-0005-0000-0000-0000607E0000}"/>
    <cellStyle name="Normal 38 2 2 2 2 5" xfId="19594" xr:uid="{00000000-0005-0000-0000-0000617E0000}"/>
    <cellStyle name="Normal 38 2 2 2 2 5 2" xfId="32652" xr:uid="{00000000-0005-0000-0000-0000627E0000}"/>
    <cellStyle name="Normal 38 2 2 2 2 6" xfId="21882" xr:uid="{00000000-0005-0000-0000-0000637E0000}"/>
    <cellStyle name="Normal 38 2 2 2 3" xfId="8821" xr:uid="{00000000-0005-0000-0000-0000647E0000}"/>
    <cellStyle name="Normal 38 2 2 2 3 2" xfId="11206" xr:uid="{00000000-0005-0000-0000-0000657E0000}"/>
    <cellStyle name="Normal 38 2 2 2 3 2 2" xfId="19595" xr:uid="{00000000-0005-0000-0000-0000667E0000}"/>
    <cellStyle name="Normal 38 2 2 2 3 2 2 2" xfId="32653" xr:uid="{00000000-0005-0000-0000-0000677E0000}"/>
    <cellStyle name="Normal 38 2 2 2 3 2 3" xfId="19596" xr:uid="{00000000-0005-0000-0000-0000687E0000}"/>
    <cellStyle name="Normal 38 2 2 2 3 2 3 2" xfId="32654" xr:uid="{00000000-0005-0000-0000-0000697E0000}"/>
    <cellStyle name="Normal 38 2 2 2 3 2 4" xfId="24576" xr:uid="{00000000-0005-0000-0000-00006A7E0000}"/>
    <cellStyle name="Normal 38 2 2 2 3 3" xfId="19597" xr:uid="{00000000-0005-0000-0000-00006B7E0000}"/>
    <cellStyle name="Normal 38 2 2 2 3 3 2" xfId="32655" xr:uid="{00000000-0005-0000-0000-00006C7E0000}"/>
    <cellStyle name="Normal 38 2 2 2 3 4" xfId="19598" xr:uid="{00000000-0005-0000-0000-00006D7E0000}"/>
    <cellStyle name="Normal 38 2 2 2 3 4 2" xfId="32656" xr:uid="{00000000-0005-0000-0000-00006E7E0000}"/>
    <cellStyle name="Normal 38 2 2 2 3 5" xfId="22420" xr:uid="{00000000-0005-0000-0000-00006F7E0000}"/>
    <cellStyle name="Normal 38 2 2 2 4" xfId="10128" xr:uid="{00000000-0005-0000-0000-0000707E0000}"/>
    <cellStyle name="Normal 38 2 2 2 4 2" xfId="19599" xr:uid="{00000000-0005-0000-0000-0000717E0000}"/>
    <cellStyle name="Normal 38 2 2 2 4 2 2" xfId="32657" xr:uid="{00000000-0005-0000-0000-0000727E0000}"/>
    <cellStyle name="Normal 38 2 2 2 4 3" xfId="19600" xr:uid="{00000000-0005-0000-0000-0000737E0000}"/>
    <cellStyle name="Normal 38 2 2 2 4 3 2" xfId="32658" xr:uid="{00000000-0005-0000-0000-0000747E0000}"/>
    <cellStyle name="Normal 38 2 2 2 4 4" xfId="23498" xr:uid="{00000000-0005-0000-0000-0000757E0000}"/>
    <cellStyle name="Normal 38 2 2 2 5" xfId="19601" xr:uid="{00000000-0005-0000-0000-0000767E0000}"/>
    <cellStyle name="Normal 38 2 2 2 5 2" xfId="32659" xr:uid="{00000000-0005-0000-0000-0000777E0000}"/>
    <cellStyle name="Normal 38 2 2 2 6" xfId="19602" xr:uid="{00000000-0005-0000-0000-0000787E0000}"/>
    <cellStyle name="Normal 38 2 2 2 6 2" xfId="32660" xr:uid="{00000000-0005-0000-0000-0000797E0000}"/>
    <cellStyle name="Normal 38 2 2 2 7" xfId="21342" xr:uid="{00000000-0005-0000-0000-00007A7E0000}"/>
    <cellStyle name="Normal 38 2 2 3" xfId="7219" xr:uid="{00000000-0005-0000-0000-00007B7E0000}"/>
    <cellStyle name="Normal 38 2 2 3 2" xfId="9098" xr:uid="{00000000-0005-0000-0000-00007C7E0000}"/>
    <cellStyle name="Normal 38 2 2 3 2 2" xfId="11477" xr:uid="{00000000-0005-0000-0000-00007D7E0000}"/>
    <cellStyle name="Normal 38 2 2 3 2 2 2" xfId="19603" xr:uid="{00000000-0005-0000-0000-00007E7E0000}"/>
    <cellStyle name="Normal 38 2 2 3 2 2 2 2" xfId="32661" xr:uid="{00000000-0005-0000-0000-00007F7E0000}"/>
    <cellStyle name="Normal 38 2 2 3 2 2 3" xfId="19604" xr:uid="{00000000-0005-0000-0000-0000807E0000}"/>
    <cellStyle name="Normal 38 2 2 3 2 2 3 2" xfId="32662" xr:uid="{00000000-0005-0000-0000-0000817E0000}"/>
    <cellStyle name="Normal 38 2 2 3 2 2 4" xfId="24847" xr:uid="{00000000-0005-0000-0000-0000827E0000}"/>
    <cellStyle name="Normal 38 2 2 3 2 3" xfId="19605" xr:uid="{00000000-0005-0000-0000-0000837E0000}"/>
    <cellStyle name="Normal 38 2 2 3 2 3 2" xfId="32663" xr:uid="{00000000-0005-0000-0000-0000847E0000}"/>
    <cellStyle name="Normal 38 2 2 3 2 4" xfId="19606" xr:uid="{00000000-0005-0000-0000-0000857E0000}"/>
    <cellStyle name="Normal 38 2 2 3 2 4 2" xfId="32664" xr:uid="{00000000-0005-0000-0000-0000867E0000}"/>
    <cellStyle name="Normal 38 2 2 3 2 5" xfId="22691" xr:uid="{00000000-0005-0000-0000-0000877E0000}"/>
    <cellStyle name="Normal 38 2 2 3 3" xfId="10399" xr:uid="{00000000-0005-0000-0000-0000887E0000}"/>
    <cellStyle name="Normal 38 2 2 3 3 2" xfId="19607" xr:uid="{00000000-0005-0000-0000-0000897E0000}"/>
    <cellStyle name="Normal 38 2 2 3 3 2 2" xfId="32665" xr:uid="{00000000-0005-0000-0000-00008A7E0000}"/>
    <cellStyle name="Normal 38 2 2 3 3 3" xfId="19608" xr:uid="{00000000-0005-0000-0000-00008B7E0000}"/>
    <cellStyle name="Normal 38 2 2 3 3 3 2" xfId="32666" xr:uid="{00000000-0005-0000-0000-00008C7E0000}"/>
    <cellStyle name="Normal 38 2 2 3 3 4" xfId="23769" xr:uid="{00000000-0005-0000-0000-00008D7E0000}"/>
    <cellStyle name="Normal 38 2 2 3 4" xfId="19609" xr:uid="{00000000-0005-0000-0000-00008E7E0000}"/>
    <cellStyle name="Normal 38 2 2 3 4 2" xfId="32667" xr:uid="{00000000-0005-0000-0000-00008F7E0000}"/>
    <cellStyle name="Normal 38 2 2 3 5" xfId="19610" xr:uid="{00000000-0005-0000-0000-0000907E0000}"/>
    <cellStyle name="Normal 38 2 2 3 5 2" xfId="32668" xr:uid="{00000000-0005-0000-0000-0000917E0000}"/>
    <cellStyle name="Normal 38 2 2 3 6" xfId="21613" xr:uid="{00000000-0005-0000-0000-0000927E0000}"/>
    <cellStyle name="Normal 38 2 2 4" xfId="8496" xr:uid="{00000000-0005-0000-0000-0000937E0000}"/>
    <cellStyle name="Normal 38 2 2 4 2" xfId="10937" xr:uid="{00000000-0005-0000-0000-0000947E0000}"/>
    <cellStyle name="Normal 38 2 2 4 2 2" xfId="19611" xr:uid="{00000000-0005-0000-0000-0000957E0000}"/>
    <cellStyle name="Normal 38 2 2 4 2 2 2" xfId="32669" xr:uid="{00000000-0005-0000-0000-0000967E0000}"/>
    <cellStyle name="Normal 38 2 2 4 2 3" xfId="19612" xr:uid="{00000000-0005-0000-0000-0000977E0000}"/>
    <cellStyle name="Normal 38 2 2 4 2 3 2" xfId="32670" xr:uid="{00000000-0005-0000-0000-0000987E0000}"/>
    <cellStyle name="Normal 38 2 2 4 2 4" xfId="24307" xr:uid="{00000000-0005-0000-0000-0000997E0000}"/>
    <cellStyle name="Normal 38 2 2 4 3" xfId="19613" xr:uid="{00000000-0005-0000-0000-00009A7E0000}"/>
    <cellStyle name="Normal 38 2 2 4 3 2" xfId="32671" xr:uid="{00000000-0005-0000-0000-00009B7E0000}"/>
    <cellStyle name="Normal 38 2 2 4 4" xfId="19614" xr:uid="{00000000-0005-0000-0000-00009C7E0000}"/>
    <cellStyle name="Normal 38 2 2 4 4 2" xfId="32672" xr:uid="{00000000-0005-0000-0000-00009D7E0000}"/>
    <cellStyle name="Normal 38 2 2 4 5" xfId="22151" xr:uid="{00000000-0005-0000-0000-00009E7E0000}"/>
    <cellStyle name="Normal 38 2 2 5" xfId="9859" xr:uid="{00000000-0005-0000-0000-00009F7E0000}"/>
    <cellStyle name="Normal 38 2 2 5 2" xfId="19615" xr:uid="{00000000-0005-0000-0000-0000A07E0000}"/>
    <cellStyle name="Normal 38 2 2 5 2 2" xfId="32673" xr:uid="{00000000-0005-0000-0000-0000A17E0000}"/>
    <cellStyle name="Normal 38 2 2 5 3" xfId="19616" xr:uid="{00000000-0005-0000-0000-0000A27E0000}"/>
    <cellStyle name="Normal 38 2 2 5 3 2" xfId="32674" xr:uid="{00000000-0005-0000-0000-0000A37E0000}"/>
    <cellStyle name="Normal 38 2 2 5 4" xfId="23229" xr:uid="{00000000-0005-0000-0000-0000A47E0000}"/>
    <cellStyle name="Normal 38 2 2 6" xfId="19617" xr:uid="{00000000-0005-0000-0000-0000A57E0000}"/>
    <cellStyle name="Normal 38 2 2 6 2" xfId="32675" xr:uid="{00000000-0005-0000-0000-0000A67E0000}"/>
    <cellStyle name="Normal 38 2 2 7" xfId="19618" xr:uid="{00000000-0005-0000-0000-0000A77E0000}"/>
    <cellStyle name="Normal 38 2 2 7 2" xfId="32676" xr:uid="{00000000-0005-0000-0000-0000A87E0000}"/>
    <cellStyle name="Normal 38 2 2 8" xfId="21073" xr:uid="{00000000-0005-0000-0000-0000A97E0000}"/>
    <cellStyle name="Normal 38 2 3" xfId="6650" xr:uid="{00000000-0005-0000-0000-0000AA7E0000}"/>
    <cellStyle name="Normal 38 2 3 2" xfId="7346" xr:uid="{00000000-0005-0000-0000-0000AB7E0000}"/>
    <cellStyle name="Normal 38 2 3 2 2" xfId="9225" xr:uid="{00000000-0005-0000-0000-0000AC7E0000}"/>
    <cellStyle name="Normal 38 2 3 2 2 2" xfId="11604" xr:uid="{00000000-0005-0000-0000-0000AD7E0000}"/>
    <cellStyle name="Normal 38 2 3 2 2 2 2" xfId="19619" xr:uid="{00000000-0005-0000-0000-0000AE7E0000}"/>
    <cellStyle name="Normal 38 2 3 2 2 2 2 2" xfId="32677" xr:uid="{00000000-0005-0000-0000-0000AF7E0000}"/>
    <cellStyle name="Normal 38 2 3 2 2 2 3" xfId="19620" xr:uid="{00000000-0005-0000-0000-0000B07E0000}"/>
    <cellStyle name="Normal 38 2 3 2 2 2 3 2" xfId="32678" xr:uid="{00000000-0005-0000-0000-0000B17E0000}"/>
    <cellStyle name="Normal 38 2 3 2 2 2 4" xfId="24974" xr:uid="{00000000-0005-0000-0000-0000B27E0000}"/>
    <cellStyle name="Normal 38 2 3 2 2 3" xfId="19621" xr:uid="{00000000-0005-0000-0000-0000B37E0000}"/>
    <cellStyle name="Normal 38 2 3 2 2 3 2" xfId="32679" xr:uid="{00000000-0005-0000-0000-0000B47E0000}"/>
    <cellStyle name="Normal 38 2 3 2 2 4" xfId="19622" xr:uid="{00000000-0005-0000-0000-0000B57E0000}"/>
    <cellStyle name="Normal 38 2 3 2 2 4 2" xfId="32680" xr:uid="{00000000-0005-0000-0000-0000B67E0000}"/>
    <cellStyle name="Normal 38 2 3 2 2 5" xfId="22818" xr:uid="{00000000-0005-0000-0000-0000B77E0000}"/>
    <cellStyle name="Normal 38 2 3 2 3" xfId="10526" xr:uid="{00000000-0005-0000-0000-0000B87E0000}"/>
    <cellStyle name="Normal 38 2 3 2 3 2" xfId="19623" xr:uid="{00000000-0005-0000-0000-0000B97E0000}"/>
    <cellStyle name="Normal 38 2 3 2 3 2 2" xfId="32681" xr:uid="{00000000-0005-0000-0000-0000BA7E0000}"/>
    <cellStyle name="Normal 38 2 3 2 3 3" xfId="19624" xr:uid="{00000000-0005-0000-0000-0000BB7E0000}"/>
    <cellStyle name="Normal 38 2 3 2 3 3 2" xfId="32682" xr:uid="{00000000-0005-0000-0000-0000BC7E0000}"/>
    <cellStyle name="Normal 38 2 3 2 3 4" xfId="23896" xr:uid="{00000000-0005-0000-0000-0000BD7E0000}"/>
    <cellStyle name="Normal 38 2 3 2 4" xfId="19625" xr:uid="{00000000-0005-0000-0000-0000BE7E0000}"/>
    <cellStyle name="Normal 38 2 3 2 4 2" xfId="32683" xr:uid="{00000000-0005-0000-0000-0000BF7E0000}"/>
    <cellStyle name="Normal 38 2 3 2 5" xfId="19626" xr:uid="{00000000-0005-0000-0000-0000C07E0000}"/>
    <cellStyle name="Normal 38 2 3 2 5 2" xfId="32684" xr:uid="{00000000-0005-0000-0000-0000C17E0000}"/>
    <cellStyle name="Normal 38 2 3 2 6" xfId="21740" xr:uid="{00000000-0005-0000-0000-0000C27E0000}"/>
    <cellStyle name="Normal 38 2 3 3" xfId="8678" xr:uid="{00000000-0005-0000-0000-0000C37E0000}"/>
    <cellStyle name="Normal 38 2 3 3 2" xfId="11064" xr:uid="{00000000-0005-0000-0000-0000C47E0000}"/>
    <cellStyle name="Normal 38 2 3 3 2 2" xfId="19627" xr:uid="{00000000-0005-0000-0000-0000C57E0000}"/>
    <cellStyle name="Normal 38 2 3 3 2 2 2" xfId="32685" xr:uid="{00000000-0005-0000-0000-0000C67E0000}"/>
    <cellStyle name="Normal 38 2 3 3 2 3" xfId="19628" xr:uid="{00000000-0005-0000-0000-0000C77E0000}"/>
    <cellStyle name="Normal 38 2 3 3 2 3 2" xfId="32686" xr:uid="{00000000-0005-0000-0000-0000C87E0000}"/>
    <cellStyle name="Normal 38 2 3 3 2 4" xfId="24434" xr:uid="{00000000-0005-0000-0000-0000C97E0000}"/>
    <cellStyle name="Normal 38 2 3 3 3" xfId="19629" xr:uid="{00000000-0005-0000-0000-0000CA7E0000}"/>
    <cellStyle name="Normal 38 2 3 3 3 2" xfId="32687" xr:uid="{00000000-0005-0000-0000-0000CB7E0000}"/>
    <cellStyle name="Normal 38 2 3 3 4" xfId="19630" xr:uid="{00000000-0005-0000-0000-0000CC7E0000}"/>
    <cellStyle name="Normal 38 2 3 3 4 2" xfId="32688" xr:uid="{00000000-0005-0000-0000-0000CD7E0000}"/>
    <cellStyle name="Normal 38 2 3 3 5" xfId="22278" xr:uid="{00000000-0005-0000-0000-0000CE7E0000}"/>
    <cellStyle name="Normal 38 2 3 4" xfId="9986" xr:uid="{00000000-0005-0000-0000-0000CF7E0000}"/>
    <cellStyle name="Normal 38 2 3 4 2" xfId="19631" xr:uid="{00000000-0005-0000-0000-0000D07E0000}"/>
    <cellStyle name="Normal 38 2 3 4 2 2" xfId="32689" xr:uid="{00000000-0005-0000-0000-0000D17E0000}"/>
    <cellStyle name="Normal 38 2 3 4 3" xfId="19632" xr:uid="{00000000-0005-0000-0000-0000D27E0000}"/>
    <cellStyle name="Normal 38 2 3 4 3 2" xfId="32690" xr:uid="{00000000-0005-0000-0000-0000D37E0000}"/>
    <cellStyle name="Normal 38 2 3 4 4" xfId="23356" xr:uid="{00000000-0005-0000-0000-0000D47E0000}"/>
    <cellStyle name="Normal 38 2 3 5" xfId="19633" xr:uid="{00000000-0005-0000-0000-0000D57E0000}"/>
    <cellStyle name="Normal 38 2 3 5 2" xfId="32691" xr:uid="{00000000-0005-0000-0000-0000D67E0000}"/>
    <cellStyle name="Normal 38 2 3 6" xfId="19634" xr:uid="{00000000-0005-0000-0000-0000D77E0000}"/>
    <cellStyle name="Normal 38 2 3 6 2" xfId="32692" xr:uid="{00000000-0005-0000-0000-0000D87E0000}"/>
    <cellStyle name="Normal 38 2 3 7" xfId="21200" xr:uid="{00000000-0005-0000-0000-0000D97E0000}"/>
    <cellStyle name="Normal 38 2 4" xfId="7076" xr:uid="{00000000-0005-0000-0000-0000DA7E0000}"/>
    <cellStyle name="Normal 38 2 4 2" xfId="8956" xr:uid="{00000000-0005-0000-0000-0000DB7E0000}"/>
    <cellStyle name="Normal 38 2 4 2 2" xfId="11335" xr:uid="{00000000-0005-0000-0000-0000DC7E0000}"/>
    <cellStyle name="Normal 38 2 4 2 2 2" xfId="19635" xr:uid="{00000000-0005-0000-0000-0000DD7E0000}"/>
    <cellStyle name="Normal 38 2 4 2 2 2 2" xfId="32693" xr:uid="{00000000-0005-0000-0000-0000DE7E0000}"/>
    <cellStyle name="Normal 38 2 4 2 2 3" xfId="19636" xr:uid="{00000000-0005-0000-0000-0000DF7E0000}"/>
    <cellStyle name="Normal 38 2 4 2 2 3 2" xfId="32694" xr:uid="{00000000-0005-0000-0000-0000E07E0000}"/>
    <cellStyle name="Normal 38 2 4 2 2 4" xfId="24705" xr:uid="{00000000-0005-0000-0000-0000E17E0000}"/>
    <cellStyle name="Normal 38 2 4 2 3" xfId="19637" xr:uid="{00000000-0005-0000-0000-0000E27E0000}"/>
    <cellStyle name="Normal 38 2 4 2 3 2" xfId="32695" xr:uid="{00000000-0005-0000-0000-0000E37E0000}"/>
    <cellStyle name="Normal 38 2 4 2 4" xfId="19638" xr:uid="{00000000-0005-0000-0000-0000E47E0000}"/>
    <cellStyle name="Normal 38 2 4 2 4 2" xfId="32696" xr:uid="{00000000-0005-0000-0000-0000E57E0000}"/>
    <cellStyle name="Normal 38 2 4 2 5" xfId="22549" xr:uid="{00000000-0005-0000-0000-0000E67E0000}"/>
    <cellStyle name="Normal 38 2 4 3" xfId="10257" xr:uid="{00000000-0005-0000-0000-0000E77E0000}"/>
    <cellStyle name="Normal 38 2 4 3 2" xfId="19639" xr:uid="{00000000-0005-0000-0000-0000E87E0000}"/>
    <cellStyle name="Normal 38 2 4 3 2 2" xfId="32697" xr:uid="{00000000-0005-0000-0000-0000E97E0000}"/>
    <cellStyle name="Normal 38 2 4 3 3" xfId="19640" xr:uid="{00000000-0005-0000-0000-0000EA7E0000}"/>
    <cellStyle name="Normal 38 2 4 3 3 2" xfId="32698" xr:uid="{00000000-0005-0000-0000-0000EB7E0000}"/>
    <cellStyle name="Normal 38 2 4 3 4" xfId="23627" xr:uid="{00000000-0005-0000-0000-0000EC7E0000}"/>
    <cellStyle name="Normal 38 2 4 4" xfId="19641" xr:uid="{00000000-0005-0000-0000-0000ED7E0000}"/>
    <cellStyle name="Normal 38 2 4 4 2" xfId="32699" xr:uid="{00000000-0005-0000-0000-0000EE7E0000}"/>
    <cellStyle name="Normal 38 2 4 5" xfId="19642" xr:uid="{00000000-0005-0000-0000-0000EF7E0000}"/>
    <cellStyle name="Normal 38 2 4 5 2" xfId="32700" xr:uid="{00000000-0005-0000-0000-0000F07E0000}"/>
    <cellStyle name="Normal 38 2 4 6" xfId="21471" xr:uid="{00000000-0005-0000-0000-0000F17E0000}"/>
    <cellStyle name="Normal 38 2 5" xfId="8280" xr:uid="{00000000-0005-0000-0000-0000F27E0000}"/>
    <cellStyle name="Normal 38 2 5 2" xfId="10795" xr:uid="{00000000-0005-0000-0000-0000F37E0000}"/>
    <cellStyle name="Normal 38 2 5 2 2" xfId="19643" xr:uid="{00000000-0005-0000-0000-0000F47E0000}"/>
    <cellStyle name="Normal 38 2 5 2 2 2" xfId="32701" xr:uid="{00000000-0005-0000-0000-0000F57E0000}"/>
    <cellStyle name="Normal 38 2 5 2 3" xfId="19644" xr:uid="{00000000-0005-0000-0000-0000F67E0000}"/>
    <cellStyle name="Normal 38 2 5 2 3 2" xfId="32702" xr:uid="{00000000-0005-0000-0000-0000F77E0000}"/>
    <cellStyle name="Normal 38 2 5 2 4" xfId="24165" xr:uid="{00000000-0005-0000-0000-0000F87E0000}"/>
    <cellStyle name="Normal 38 2 5 3" xfId="19645" xr:uid="{00000000-0005-0000-0000-0000F97E0000}"/>
    <cellStyle name="Normal 38 2 5 3 2" xfId="32703" xr:uid="{00000000-0005-0000-0000-0000FA7E0000}"/>
    <cellStyle name="Normal 38 2 5 4" xfId="19646" xr:uid="{00000000-0005-0000-0000-0000FB7E0000}"/>
    <cellStyle name="Normal 38 2 5 4 2" xfId="32704" xr:uid="{00000000-0005-0000-0000-0000FC7E0000}"/>
    <cellStyle name="Normal 38 2 5 5" xfId="22009" xr:uid="{00000000-0005-0000-0000-0000FD7E0000}"/>
    <cellStyle name="Normal 38 2 6" xfId="9716" xr:uid="{00000000-0005-0000-0000-0000FE7E0000}"/>
    <cellStyle name="Normal 38 2 6 2" xfId="19647" xr:uid="{00000000-0005-0000-0000-0000FF7E0000}"/>
    <cellStyle name="Normal 38 2 6 2 2" xfId="32705" xr:uid="{00000000-0005-0000-0000-0000007F0000}"/>
    <cellStyle name="Normal 38 2 6 3" xfId="19648" xr:uid="{00000000-0005-0000-0000-0000017F0000}"/>
    <cellStyle name="Normal 38 2 6 3 2" xfId="32706" xr:uid="{00000000-0005-0000-0000-0000027F0000}"/>
    <cellStyle name="Normal 38 2 6 4" xfId="23087" xr:uid="{00000000-0005-0000-0000-0000037F0000}"/>
    <cellStyle name="Normal 38 2 7" xfId="19649" xr:uid="{00000000-0005-0000-0000-0000047F0000}"/>
    <cellStyle name="Normal 38 2 7 2" xfId="32707" xr:uid="{00000000-0005-0000-0000-0000057F0000}"/>
    <cellStyle name="Normal 38 2 8" xfId="19650" xr:uid="{00000000-0005-0000-0000-0000067F0000}"/>
    <cellStyle name="Normal 38 2 8 2" xfId="32708" xr:uid="{00000000-0005-0000-0000-0000077F0000}"/>
    <cellStyle name="Normal 38 2 9" xfId="20930" xr:uid="{00000000-0005-0000-0000-0000087F0000}"/>
    <cellStyle name="Normal 38 3" xfId="5561" xr:uid="{00000000-0005-0000-0000-0000097F0000}"/>
    <cellStyle name="Normal 38 3 2" xfId="6745" xr:uid="{00000000-0005-0000-0000-00000A7F0000}"/>
    <cellStyle name="Normal 38 3 2 2" xfId="7432" xr:uid="{00000000-0005-0000-0000-00000B7F0000}"/>
    <cellStyle name="Normal 38 3 2 2 2" xfId="9311" xr:uid="{00000000-0005-0000-0000-00000C7F0000}"/>
    <cellStyle name="Normal 38 3 2 2 2 2" xfId="11690" xr:uid="{00000000-0005-0000-0000-00000D7F0000}"/>
    <cellStyle name="Normal 38 3 2 2 2 2 2" xfId="19651" xr:uid="{00000000-0005-0000-0000-00000E7F0000}"/>
    <cellStyle name="Normal 38 3 2 2 2 2 2 2" xfId="32709" xr:uid="{00000000-0005-0000-0000-00000F7F0000}"/>
    <cellStyle name="Normal 38 3 2 2 2 2 3" xfId="19652" xr:uid="{00000000-0005-0000-0000-0000107F0000}"/>
    <cellStyle name="Normal 38 3 2 2 2 2 3 2" xfId="32710" xr:uid="{00000000-0005-0000-0000-0000117F0000}"/>
    <cellStyle name="Normal 38 3 2 2 2 2 4" xfId="25060" xr:uid="{00000000-0005-0000-0000-0000127F0000}"/>
    <cellStyle name="Normal 38 3 2 2 2 3" xfId="19653" xr:uid="{00000000-0005-0000-0000-0000137F0000}"/>
    <cellStyle name="Normal 38 3 2 2 2 3 2" xfId="32711" xr:uid="{00000000-0005-0000-0000-0000147F0000}"/>
    <cellStyle name="Normal 38 3 2 2 2 4" xfId="19654" xr:uid="{00000000-0005-0000-0000-0000157F0000}"/>
    <cellStyle name="Normal 38 3 2 2 2 4 2" xfId="32712" xr:uid="{00000000-0005-0000-0000-0000167F0000}"/>
    <cellStyle name="Normal 38 3 2 2 2 5" xfId="22904" xr:uid="{00000000-0005-0000-0000-0000177F0000}"/>
    <cellStyle name="Normal 38 3 2 2 3" xfId="10612" xr:uid="{00000000-0005-0000-0000-0000187F0000}"/>
    <cellStyle name="Normal 38 3 2 2 3 2" xfId="19655" xr:uid="{00000000-0005-0000-0000-0000197F0000}"/>
    <cellStyle name="Normal 38 3 2 2 3 2 2" xfId="32713" xr:uid="{00000000-0005-0000-0000-00001A7F0000}"/>
    <cellStyle name="Normal 38 3 2 2 3 3" xfId="19656" xr:uid="{00000000-0005-0000-0000-00001B7F0000}"/>
    <cellStyle name="Normal 38 3 2 2 3 3 2" xfId="32714" xr:uid="{00000000-0005-0000-0000-00001C7F0000}"/>
    <cellStyle name="Normal 38 3 2 2 3 4" xfId="23982" xr:uid="{00000000-0005-0000-0000-00001D7F0000}"/>
    <cellStyle name="Normal 38 3 2 2 4" xfId="19657" xr:uid="{00000000-0005-0000-0000-00001E7F0000}"/>
    <cellStyle name="Normal 38 3 2 2 4 2" xfId="32715" xr:uid="{00000000-0005-0000-0000-00001F7F0000}"/>
    <cellStyle name="Normal 38 3 2 2 5" xfId="19658" xr:uid="{00000000-0005-0000-0000-0000207F0000}"/>
    <cellStyle name="Normal 38 3 2 2 5 2" xfId="32716" xr:uid="{00000000-0005-0000-0000-0000217F0000}"/>
    <cellStyle name="Normal 38 3 2 2 6" xfId="21826" xr:uid="{00000000-0005-0000-0000-0000227F0000}"/>
    <cellStyle name="Normal 38 3 2 3" xfId="8765" xr:uid="{00000000-0005-0000-0000-0000237F0000}"/>
    <cellStyle name="Normal 38 3 2 3 2" xfId="11150" xr:uid="{00000000-0005-0000-0000-0000247F0000}"/>
    <cellStyle name="Normal 38 3 2 3 2 2" xfId="19659" xr:uid="{00000000-0005-0000-0000-0000257F0000}"/>
    <cellStyle name="Normal 38 3 2 3 2 2 2" xfId="32717" xr:uid="{00000000-0005-0000-0000-0000267F0000}"/>
    <cellStyle name="Normal 38 3 2 3 2 3" xfId="19660" xr:uid="{00000000-0005-0000-0000-0000277F0000}"/>
    <cellStyle name="Normal 38 3 2 3 2 3 2" xfId="32718" xr:uid="{00000000-0005-0000-0000-0000287F0000}"/>
    <cellStyle name="Normal 38 3 2 3 2 4" xfId="24520" xr:uid="{00000000-0005-0000-0000-0000297F0000}"/>
    <cellStyle name="Normal 38 3 2 3 3" xfId="19661" xr:uid="{00000000-0005-0000-0000-00002A7F0000}"/>
    <cellStyle name="Normal 38 3 2 3 3 2" xfId="32719" xr:uid="{00000000-0005-0000-0000-00002B7F0000}"/>
    <cellStyle name="Normal 38 3 2 3 4" xfId="19662" xr:uid="{00000000-0005-0000-0000-00002C7F0000}"/>
    <cellStyle name="Normal 38 3 2 3 4 2" xfId="32720" xr:uid="{00000000-0005-0000-0000-00002D7F0000}"/>
    <cellStyle name="Normal 38 3 2 3 5" xfId="22364" xr:uid="{00000000-0005-0000-0000-00002E7F0000}"/>
    <cellStyle name="Normal 38 3 2 4" xfId="10072" xr:uid="{00000000-0005-0000-0000-00002F7F0000}"/>
    <cellStyle name="Normal 38 3 2 4 2" xfId="19663" xr:uid="{00000000-0005-0000-0000-0000307F0000}"/>
    <cellStyle name="Normal 38 3 2 4 2 2" xfId="32721" xr:uid="{00000000-0005-0000-0000-0000317F0000}"/>
    <cellStyle name="Normal 38 3 2 4 3" xfId="19664" xr:uid="{00000000-0005-0000-0000-0000327F0000}"/>
    <cellStyle name="Normal 38 3 2 4 3 2" xfId="32722" xr:uid="{00000000-0005-0000-0000-0000337F0000}"/>
    <cellStyle name="Normal 38 3 2 4 4" xfId="23442" xr:uid="{00000000-0005-0000-0000-0000347F0000}"/>
    <cellStyle name="Normal 38 3 2 5" xfId="19665" xr:uid="{00000000-0005-0000-0000-0000357F0000}"/>
    <cellStyle name="Normal 38 3 2 5 2" xfId="32723" xr:uid="{00000000-0005-0000-0000-0000367F0000}"/>
    <cellStyle name="Normal 38 3 2 6" xfId="19666" xr:uid="{00000000-0005-0000-0000-0000377F0000}"/>
    <cellStyle name="Normal 38 3 2 6 2" xfId="32724" xr:uid="{00000000-0005-0000-0000-0000387F0000}"/>
    <cellStyle name="Normal 38 3 2 7" xfId="21286" xr:uid="{00000000-0005-0000-0000-0000397F0000}"/>
    <cellStyle name="Normal 38 3 3" xfId="7163" xr:uid="{00000000-0005-0000-0000-00003A7F0000}"/>
    <cellStyle name="Normal 38 3 3 2" xfId="9042" xr:uid="{00000000-0005-0000-0000-00003B7F0000}"/>
    <cellStyle name="Normal 38 3 3 2 2" xfId="11421" xr:uid="{00000000-0005-0000-0000-00003C7F0000}"/>
    <cellStyle name="Normal 38 3 3 2 2 2" xfId="19667" xr:uid="{00000000-0005-0000-0000-00003D7F0000}"/>
    <cellStyle name="Normal 38 3 3 2 2 2 2" xfId="32725" xr:uid="{00000000-0005-0000-0000-00003E7F0000}"/>
    <cellStyle name="Normal 38 3 3 2 2 3" xfId="19668" xr:uid="{00000000-0005-0000-0000-00003F7F0000}"/>
    <cellStyle name="Normal 38 3 3 2 2 3 2" xfId="32726" xr:uid="{00000000-0005-0000-0000-0000407F0000}"/>
    <cellStyle name="Normal 38 3 3 2 2 4" xfId="24791" xr:uid="{00000000-0005-0000-0000-0000417F0000}"/>
    <cellStyle name="Normal 38 3 3 2 3" xfId="19669" xr:uid="{00000000-0005-0000-0000-0000427F0000}"/>
    <cellStyle name="Normal 38 3 3 2 3 2" xfId="32727" xr:uid="{00000000-0005-0000-0000-0000437F0000}"/>
    <cellStyle name="Normal 38 3 3 2 4" xfId="19670" xr:uid="{00000000-0005-0000-0000-0000447F0000}"/>
    <cellStyle name="Normal 38 3 3 2 4 2" xfId="32728" xr:uid="{00000000-0005-0000-0000-0000457F0000}"/>
    <cellStyle name="Normal 38 3 3 2 5" xfId="22635" xr:uid="{00000000-0005-0000-0000-0000467F0000}"/>
    <cellStyle name="Normal 38 3 3 3" xfId="10343" xr:uid="{00000000-0005-0000-0000-0000477F0000}"/>
    <cellStyle name="Normal 38 3 3 3 2" xfId="19671" xr:uid="{00000000-0005-0000-0000-0000487F0000}"/>
    <cellStyle name="Normal 38 3 3 3 2 2" xfId="32729" xr:uid="{00000000-0005-0000-0000-0000497F0000}"/>
    <cellStyle name="Normal 38 3 3 3 3" xfId="19672" xr:uid="{00000000-0005-0000-0000-00004A7F0000}"/>
    <cellStyle name="Normal 38 3 3 3 3 2" xfId="32730" xr:uid="{00000000-0005-0000-0000-00004B7F0000}"/>
    <cellStyle name="Normal 38 3 3 3 4" xfId="23713" xr:uid="{00000000-0005-0000-0000-00004C7F0000}"/>
    <cellStyle name="Normal 38 3 3 4" xfId="19673" xr:uid="{00000000-0005-0000-0000-00004D7F0000}"/>
    <cellStyle name="Normal 38 3 3 4 2" xfId="32731" xr:uid="{00000000-0005-0000-0000-00004E7F0000}"/>
    <cellStyle name="Normal 38 3 3 5" xfId="19674" xr:uid="{00000000-0005-0000-0000-00004F7F0000}"/>
    <cellStyle name="Normal 38 3 3 5 2" xfId="32732" xr:uid="{00000000-0005-0000-0000-0000507F0000}"/>
    <cellStyle name="Normal 38 3 3 6" xfId="21557" xr:uid="{00000000-0005-0000-0000-0000517F0000}"/>
    <cellStyle name="Normal 38 3 4" xfId="8438" xr:uid="{00000000-0005-0000-0000-0000527F0000}"/>
    <cellStyle name="Normal 38 3 4 2" xfId="10881" xr:uid="{00000000-0005-0000-0000-0000537F0000}"/>
    <cellStyle name="Normal 38 3 4 2 2" xfId="19675" xr:uid="{00000000-0005-0000-0000-0000547F0000}"/>
    <cellStyle name="Normal 38 3 4 2 2 2" xfId="32733" xr:uid="{00000000-0005-0000-0000-0000557F0000}"/>
    <cellStyle name="Normal 38 3 4 2 3" xfId="19676" xr:uid="{00000000-0005-0000-0000-0000567F0000}"/>
    <cellStyle name="Normal 38 3 4 2 3 2" xfId="32734" xr:uid="{00000000-0005-0000-0000-0000577F0000}"/>
    <cellStyle name="Normal 38 3 4 2 4" xfId="24251" xr:uid="{00000000-0005-0000-0000-0000587F0000}"/>
    <cellStyle name="Normal 38 3 4 3" xfId="19677" xr:uid="{00000000-0005-0000-0000-0000597F0000}"/>
    <cellStyle name="Normal 38 3 4 3 2" xfId="32735" xr:uid="{00000000-0005-0000-0000-00005A7F0000}"/>
    <cellStyle name="Normal 38 3 4 4" xfId="19678" xr:uid="{00000000-0005-0000-0000-00005B7F0000}"/>
    <cellStyle name="Normal 38 3 4 4 2" xfId="32736" xr:uid="{00000000-0005-0000-0000-00005C7F0000}"/>
    <cellStyle name="Normal 38 3 4 5" xfId="22095" xr:uid="{00000000-0005-0000-0000-00005D7F0000}"/>
    <cellStyle name="Normal 38 3 5" xfId="9803" xr:uid="{00000000-0005-0000-0000-00005E7F0000}"/>
    <cellStyle name="Normal 38 3 5 2" xfId="19679" xr:uid="{00000000-0005-0000-0000-00005F7F0000}"/>
    <cellStyle name="Normal 38 3 5 2 2" xfId="32737" xr:uid="{00000000-0005-0000-0000-0000607F0000}"/>
    <cellStyle name="Normal 38 3 5 3" xfId="19680" xr:uid="{00000000-0005-0000-0000-0000617F0000}"/>
    <cellStyle name="Normal 38 3 5 3 2" xfId="32738" xr:uid="{00000000-0005-0000-0000-0000627F0000}"/>
    <cellStyle name="Normal 38 3 5 4" xfId="23173" xr:uid="{00000000-0005-0000-0000-0000637F0000}"/>
    <cellStyle name="Normal 38 3 6" xfId="19681" xr:uid="{00000000-0005-0000-0000-0000647F0000}"/>
    <cellStyle name="Normal 38 3 6 2" xfId="32739" xr:uid="{00000000-0005-0000-0000-0000657F0000}"/>
    <cellStyle name="Normal 38 3 7" xfId="19682" xr:uid="{00000000-0005-0000-0000-0000667F0000}"/>
    <cellStyle name="Normal 38 3 7 2" xfId="32740" xr:uid="{00000000-0005-0000-0000-0000677F0000}"/>
    <cellStyle name="Normal 38 3 8" xfId="21017" xr:uid="{00000000-0005-0000-0000-0000687F0000}"/>
    <cellStyle name="Normal 38 4" xfId="6595" xr:uid="{00000000-0005-0000-0000-0000697F0000}"/>
    <cellStyle name="Normal 38 4 2" xfId="7291" xr:uid="{00000000-0005-0000-0000-00006A7F0000}"/>
    <cellStyle name="Normal 38 4 2 2" xfId="9170" xr:uid="{00000000-0005-0000-0000-00006B7F0000}"/>
    <cellStyle name="Normal 38 4 2 2 2" xfId="11549" xr:uid="{00000000-0005-0000-0000-00006C7F0000}"/>
    <cellStyle name="Normal 38 4 2 2 2 2" xfId="19683" xr:uid="{00000000-0005-0000-0000-00006D7F0000}"/>
    <cellStyle name="Normal 38 4 2 2 2 2 2" xfId="32741" xr:uid="{00000000-0005-0000-0000-00006E7F0000}"/>
    <cellStyle name="Normal 38 4 2 2 2 3" xfId="19684" xr:uid="{00000000-0005-0000-0000-00006F7F0000}"/>
    <cellStyle name="Normal 38 4 2 2 2 3 2" xfId="32742" xr:uid="{00000000-0005-0000-0000-0000707F0000}"/>
    <cellStyle name="Normal 38 4 2 2 2 4" xfId="24919" xr:uid="{00000000-0005-0000-0000-0000717F0000}"/>
    <cellStyle name="Normal 38 4 2 2 3" xfId="19685" xr:uid="{00000000-0005-0000-0000-0000727F0000}"/>
    <cellStyle name="Normal 38 4 2 2 3 2" xfId="32743" xr:uid="{00000000-0005-0000-0000-0000737F0000}"/>
    <cellStyle name="Normal 38 4 2 2 4" xfId="19686" xr:uid="{00000000-0005-0000-0000-0000747F0000}"/>
    <cellStyle name="Normal 38 4 2 2 4 2" xfId="32744" xr:uid="{00000000-0005-0000-0000-0000757F0000}"/>
    <cellStyle name="Normal 38 4 2 2 5" xfId="22763" xr:uid="{00000000-0005-0000-0000-0000767F0000}"/>
    <cellStyle name="Normal 38 4 2 3" xfId="10471" xr:uid="{00000000-0005-0000-0000-0000777F0000}"/>
    <cellStyle name="Normal 38 4 2 3 2" xfId="19687" xr:uid="{00000000-0005-0000-0000-0000787F0000}"/>
    <cellStyle name="Normal 38 4 2 3 2 2" xfId="32745" xr:uid="{00000000-0005-0000-0000-0000797F0000}"/>
    <cellStyle name="Normal 38 4 2 3 3" xfId="19688" xr:uid="{00000000-0005-0000-0000-00007A7F0000}"/>
    <cellStyle name="Normal 38 4 2 3 3 2" xfId="32746" xr:uid="{00000000-0005-0000-0000-00007B7F0000}"/>
    <cellStyle name="Normal 38 4 2 3 4" xfId="23841" xr:uid="{00000000-0005-0000-0000-00007C7F0000}"/>
    <cellStyle name="Normal 38 4 2 4" xfId="19689" xr:uid="{00000000-0005-0000-0000-00007D7F0000}"/>
    <cellStyle name="Normal 38 4 2 4 2" xfId="32747" xr:uid="{00000000-0005-0000-0000-00007E7F0000}"/>
    <cellStyle name="Normal 38 4 2 5" xfId="19690" xr:uid="{00000000-0005-0000-0000-00007F7F0000}"/>
    <cellStyle name="Normal 38 4 2 5 2" xfId="32748" xr:uid="{00000000-0005-0000-0000-0000807F0000}"/>
    <cellStyle name="Normal 38 4 2 6" xfId="21685" xr:uid="{00000000-0005-0000-0000-0000817F0000}"/>
    <cellStyle name="Normal 38 4 3" xfId="8623" xr:uid="{00000000-0005-0000-0000-0000827F0000}"/>
    <cellStyle name="Normal 38 4 3 2" xfId="11009" xr:uid="{00000000-0005-0000-0000-0000837F0000}"/>
    <cellStyle name="Normal 38 4 3 2 2" xfId="19691" xr:uid="{00000000-0005-0000-0000-0000847F0000}"/>
    <cellStyle name="Normal 38 4 3 2 2 2" xfId="32749" xr:uid="{00000000-0005-0000-0000-0000857F0000}"/>
    <cellStyle name="Normal 38 4 3 2 3" xfId="19692" xr:uid="{00000000-0005-0000-0000-0000867F0000}"/>
    <cellStyle name="Normal 38 4 3 2 3 2" xfId="32750" xr:uid="{00000000-0005-0000-0000-0000877F0000}"/>
    <cellStyle name="Normal 38 4 3 2 4" xfId="24379" xr:uid="{00000000-0005-0000-0000-0000887F0000}"/>
    <cellStyle name="Normal 38 4 3 3" xfId="19693" xr:uid="{00000000-0005-0000-0000-0000897F0000}"/>
    <cellStyle name="Normal 38 4 3 3 2" xfId="32751" xr:uid="{00000000-0005-0000-0000-00008A7F0000}"/>
    <cellStyle name="Normal 38 4 3 4" xfId="19694" xr:uid="{00000000-0005-0000-0000-00008B7F0000}"/>
    <cellStyle name="Normal 38 4 3 4 2" xfId="32752" xr:uid="{00000000-0005-0000-0000-00008C7F0000}"/>
    <cellStyle name="Normal 38 4 3 5" xfId="22223" xr:uid="{00000000-0005-0000-0000-00008D7F0000}"/>
    <cellStyle name="Normal 38 4 4" xfId="9931" xr:uid="{00000000-0005-0000-0000-00008E7F0000}"/>
    <cellStyle name="Normal 38 4 4 2" xfId="19695" xr:uid="{00000000-0005-0000-0000-00008F7F0000}"/>
    <cellStyle name="Normal 38 4 4 2 2" xfId="32753" xr:uid="{00000000-0005-0000-0000-0000907F0000}"/>
    <cellStyle name="Normal 38 4 4 3" xfId="19696" xr:uid="{00000000-0005-0000-0000-0000917F0000}"/>
    <cellStyle name="Normal 38 4 4 3 2" xfId="32754" xr:uid="{00000000-0005-0000-0000-0000927F0000}"/>
    <cellStyle name="Normal 38 4 4 4" xfId="23301" xr:uid="{00000000-0005-0000-0000-0000937F0000}"/>
    <cellStyle name="Normal 38 4 5" xfId="19697" xr:uid="{00000000-0005-0000-0000-0000947F0000}"/>
    <cellStyle name="Normal 38 4 5 2" xfId="32755" xr:uid="{00000000-0005-0000-0000-0000957F0000}"/>
    <cellStyle name="Normal 38 4 6" xfId="19698" xr:uid="{00000000-0005-0000-0000-0000967F0000}"/>
    <cellStyle name="Normal 38 4 6 2" xfId="32756" xr:uid="{00000000-0005-0000-0000-0000977F0000}"/>
    <cellStyle name="Normal 38 4 7" xfId="21145" xr:uid="{00000000-0005-0000-0000-0000987F0000}"/>
    <cellStyle name="Normal 38 5" xfId="7021" xr:uid="{00000000-0005-0000-0000-0000997F0000}"/>
    <cellStyle name="Normal 38 5 2" xfId="8901" xr:uid="{00000000-0005-0000-0000-00009A7F0000}"/>
    <cellStyle name="Normal 38 5 2 2" xfId="11280" xr:uid="{00000000-0005-0000-0000-00009B7F0000}"/>
    <cellStyle name="Normal 38 5 2 2 2" xfId="19699" xr:uid="{00000000-0005-0000-0000-00009C7F0000}"/>
    <cellStyle name="Normal 38 5 2 2 2 2" xfId="32757" xr:uid="{00000000-0005-0000-0000-00009D7F0000}"/>
    <cellStyle name="Normal 38 5 2 2 3" xfId="19700" xr:uid="{00000000-0005-0000-0000-00009E7F0000}"/>
    <cellStyle name="Normal 38 5 2 2 3 2" xfId="32758" xr:uid="{00000000-0005-0000-0000-00009F7F0000}"/>
    <cellStyle name="Normal 38 5 2 2 4" xfId="24650" xr:uid="{00000000-0005-0000-0000-0000A07F0000}"/>
    <cellStyle name="Normal 38 5 2 3" xfId="19701" xr:uid="{00000000-0005-0000-0000-0000A17F0000}"/>
    <cellStyle name="Normal 38 5 2 3 2" xfId="32759" xr:uid="{00000000-0005-0000-0000-0000A27F0000}"/>
    <cellStyle name="Normal 38 5 2 4" xfId="19702" xr:uid="{00000000-0005-0000-0000-0000A37F0000}"/>
    <cellStyle name="Normal 38 5 2 4 2" xfId="32760" xr:uid="{00000000-0005-0000-0000-0000A47F0000}"/>
    <cellStyle name="Normal 38 5 2 5" xfId="22494" xr:uid="{00000000-0005-0000-0000-0000A57F0000}"/>
    <cellStyle name="Normal 38 5 3" xfId="10202" xr:uid="{00000000-0005-0000-0000-0000A67F0000}"/>
    <cellStyle name="Normal 38 5 3 2" xfId="19703" xr:uid="{00000000-0005-0000-0000-0000A77F0000}"/>
    <cellStyle name="Normal 38 5 3 2 2" xfId="32761" xr:uid="{00000000-0005-0000-0000-0000A87F0000}"/>
    <cellStyle name="Normal 38 5 3 3" xfId="19704" xr:uid="{00000000-0005-0000-0000-0000A97F0000}"/>
    <cellStyle name="Normal 38 5 3 3 2" xfId="32762" xr:uid="{00000000-0005-0000-0000-0000AA7F0000}"/>
    <cellStyle name="Normal 38 5 3 4" xfId="23572" xr:uid="{00000000-0005-0000-0000-0000AB7F0000}"/>
    <cellStyle name="Normal 38 5 4" xfId="19705" xr:uid="{00000000-0005-0000-0000-0000AC7F0000}"/>
    <cellStyle name="Normal 38 5 4 2" xfId="32763" xr:uid="{00000000-0005-0000-0000-0000AD7F0000}"/>
    <cellStyle name="Normal 38 5 5" xfId="19706" xr:uid="{00000000-0005-0000-0000-0000AE7F0000}"/>
    <cellStyle name="Normal 38 5 5 2" xfId="32764" xr:uid="{00000000-0005-0000-0000-0000AF7F0000}"/>
    <cellStyle name="Normal 38 5 6" xfId="21416" xr:uid="{00000000-0005-0000-0000-0000B07F0000}"/>
    <cellStyle name="Normal 38 6" xfId="8217" xr:uid="{00000000-0005-0000-0000-0000B17F0000}"/>
    <cellStyle name="Normal 38 6 2" xfId="10740" xr:uid="{00000000-0005-0000-0000-0000B27F0000}"/>
    <cellStyle name="Normal 38 6 2 2" xfId="19707" xr:uid="{00000000-0005-0000-0000-0000B37F0000}"/>
    <cellStyle name="Normal 38 6 2 2 2" xfId="32765" xr:uid="{00000000-0005-0000-0000-0000B47F0000}"/>
    <cellStyle name="Normal 38 6 2 3" xfId="19708" xr:uid="{00000000-0005-0000-0000-0000B57F0000}"/>
    <cellStyle name="Normal 38 6 2 3 2" xfId="32766" xr:uid="{00000000-0005-0000-0000-0000B67F0000}"/>
    <cellStyle name="Normal 38 6 2 4" xfId="24110" xr:uid="{00000000-0005-0000-0000-0000B77F0000}"/>
    <cellStyle name="Normal 38 6 3" xfId="19709" xr:uid="{00000000-0005-0000-0000-0000B87F0000}"/>
    <cellStyle name="Normal 38 6 3 2" xfId="32767" xr:uid="{00000000-0005-0000-0000-0000B97F0000}"/>
    <cellStyle name="Normal 38 6 4" xfId="19710" xr:uid="{00000000-0005-0000-0000-0000BA7F0000}"/>
    <cellStyle name="Normal 38 6 4 2" xfId="32768" xr:uid="{00000000-0005-0000-0000-0000BB7F0000}"/>
    <cellStyle name="Normal 38 6 5" xfId="21954" xr:uid="{00000000-0005-0000-0000-0000BC7F0000}"/>
    <cellStyle name="Normal 38 7" xfId="9661" xr:uid="{00000000-0005-0000-0000-0000BD7F0000}"/>
    <cellStyle name="Normal 38 7 2" xfId="19711" xr:uid="{00000000-0005-0000-0000-0000BE7F0000}"/>
    <cellStyle name="Normal 38 7 2 2" xfId="32769" xr:uid="{00000000-0005-0000-0000-0000BF7F0000}"/>
    <cellStyle name="Normal 38 7 3" xfId="19712" xr:uid="{00000000-0005-0000-0000-0000C07F0000}"/>
    <cellStyle name="Normal 38 7 3 2" xfId="32770" xr:uid="{00000000-0005-0000-0000-0000C17F0000}"/>
    <cellStyle name="Normal 38 7 4" xfId="23032" xr:uid="{00000000-0005-0000-0000-0000C27F0000}"/>
    <cellStyle name="Normal 38 8" xfId="19713" xr:uid="{00000000-0005-0000-0000-0000C37F0000}"/>
    <cellStyle name="Normal 38 8 2" xfId="32771" xr:uid="{00000000-0005-0000-0000-0000C47F0000}"/>
    <cellStyle name="Normal 38 9" xfId="19714" xr:uid="{00000000-0005-0000-0000-0000C57F0000}"/>
    <cellStyle name="Normal 38 9 2" xfId="32772" xr:uid="{00000000-0005-0000-0000-0000C67F0000}"/>
    <cellStyle name="Normal 39" xfId="3956" xr:uid="{00000000-0005-0000-0000-0000C77F0000}"/>
    <cellStyle name="Normal 4" xfId="1916" xr:uid="{00000000-0005-0000-0000-0000C87F0000}"/>
    <cellStyle name="Normal 4 10" xfId="34503" xr:uid="{00000000-0005-0000-0000-0000C97F0000}"/>
    <cellStyle name="Normal 4 2" xfId="4135" xr:uid="{00000000-0005-0000-0000-0000CA7F0000}"/>
    <cellStyle name="Normal 4 3" xfId="34504" xr:uid="{00000000-0005-0000-0000-0000CB7F0000}"/>
    <cellStyle name="Normal 4 4" xfId="34505" xr:uid="{00000000-0005-0000-0000-0000CC7F0000}"/>
    <cellStyle name="Normal 4 5" xfId="34506" xr:uid="{00000000-0005-0000-0000-0000CD7F0000}"/>
    <cellStyle name="Normal 4 6" xfId="34507" xr:uid="{00000000-0005-0000-0000-0000CE7F0000}"/>
    <cellStyle name="Normal 4 7" xfId="34508" xr:uid="{00000000-0005-0000-0000-0000CF7F0000}"/>
    <cellStyle name="Normal 4 8" xfId="34509" xr:uid="{00000000-0005-0000-0000-0000D07F0000}"/>
    <cellStyle name="Normal 4 9" xfId="34510" xr:uid="{00000000-0005-0000-0000-0000D17F0000}"/>
    <cellStyle name="Normal 40" xfId="3960" xr:uid="{00000000-0005-0000-0000-0000D27F0000}"/>
    <cellStyle name="Normal 40 10" xfId="20876" xr:uid="{00000000-0005-0000-0000-0000D37F0000}"/>
    <cellStyle name="Normal 40 2" xfId="4117" xr:uid="{00000000-0005-0000-0000-0000D47F0000}"/>
    <cellStyle name="Normal 40 2 2" xfId="5652" xr:uid="{00000000-0005-0000-0000-0000D57F0000}"/>
    <cellStyle name="Normal 40 2 2 2" xfId="6803" xr:uid="{00000000-0005-0000-0000-0000D67F0000}"/>
    <cellStyle name="Normal 40 2 2 2 2" xfId="7490" xr:uid="{00000000-0005-0000-0000-0000D77F0000}"/>
    <cellStyle name="Normal 40 2 2 2 2 2" xfId="9369" xr:uid="{00000000-0005-0000-0000-0000D87F0000}"/>
    <cellStyle name="Normal 40 2 2 2 2 2 2" xfId="11748" xr:uid="{00000000-0005-0000-0000-0000D97F0000}"/>
    <cellStyle name="Normal 40 2 2 2 2 2 2 2" xfId="19715" xr:uid="{00000000-0005-0000-0000-0000DA7F0000}"/>
    <cellStyle name="Normal 40 2 2 2 2 2 2 2 2" xfId="32773" xr:uid="{00000000-0005-0000-0000-0000DB7F0000}"/>
    <cellStyle name="Normal 40 2 2 2 2 2 2 3" xfId="19716" xr:uid="{00000000-0005-0000-0000-0000DC7F0000}"/>
    <cellStyle name="Normal 40 2 2 2 2 2 2 3 2" xfId="32774" xr:uid="{00000000-0005-0000-0000-0000DD7F0000}"/>
    <cellStyle name="Normal 40 2 2 2 2 2 2 4" xfId="25118" xr:uid="{00000000-0005-0000-0000-0000DE7F0000}"/>
    <cellStyle name="Normal 40 2 2 2 2 2 3" xfId="19717" xr:uid="{00000000-0005-0000-0000-0000DF7F0000}"/>
    <cellStyle name="Normal 40 2 2 2 2 2 3 2" xfId="32775" xr:uid="{00000000-0005-0000-0000-0000E07F0000}"/>
    <cellStyle name="Normal 40 2 2 2 2 2 4" xfId="19718" xr:uid="{00000000-0005-0000-0000-0000E17F0000}"/>
    <cellStyle name="Normal 40 2 2 2 2 2 4 2" xfId="32776" xr:uid="{00000000-0005-0000-0000-0000E27F0000}"/>
    <cellStyle name="Normal 40 2 2 2 2 2 5" xfId="22962" xr:uid="{00000000-0005-0000-0000-0000E37F0000}"/>
    <cellStyle name="Normal 40 2 2 2 2 3" xfId="10670" xr:uid="{00000000-0005-0000-0000-0000E47F0000}"/>
    <cellStyle name="Normal 40 2 2 2 2 3 2" xfId="19719" xr:uid="{00000000-0005-0000-0000-0000E57F0000}"/>
    <cellStyle name="Normal 40 2 2 2 2 3 2 2" xfId="32777" xr:uid="{00000000-0005-0000-0000-0000E67F0000}"/>
    <cellStyle name="Normal 40 2 2 2 2 3 3" xfId="19720" xr:uid="{00000000-0005-0000-0000-0000E77F0000}"/>
    <cellStyle name="Normal 40 2 2 2 2 3 3 2" xfId="32778" xr:uid="{00000000-0005-0000-0000-0000E87F0000}"/>
    <cellStyle name="Normal 40 2 2 2 2 3 4" xfId="24040" xr:uid="{00000000-0005-0000-0000-0000E97F0000}"/>
    <cellStyle name="Normal 40 2 2 2 2 4" xfId="19721" xr:uid="{00000000-0005-0000-0000-0000EA7F0000}"/>
    <cellStyle name="Normal 40 2 2 2 2 4 2" xfId="32779" xr:uid="{00000000-0005-0000-0000-0000EB7F0000}"/>
    <cellStyle name="Normal 40 2 2 2 2 5" xfId="19722" xr:uid="{00000000-0005-0000-0000-0000EC7F0000}"/>
    <cellStyle name="Normal 40 2 2 2 2 5 2" xfId="32780" xr:uid="{00000000-0005-0000-0000-0000ED7F0000}"/>
    <cellStyle name="Normal 40 2 2 2 2 6" xfId="21884" xr:uid="{00000000-0005-0000-0000-0000EE7F0000}"/>
    <cellStyle name="Normal 40 2 2 2 3" xfId="8823" xr:uid="{00000000-0005-0000-0000-0000EF7F0000}"/>
    <cellStyle name="Normal 40 2 2 2 3 2" xfId="11208" xr:uid="{00000000-0005-0000-0000-0000F07F0000}"/>
    <cellStyle name="Normal 40 2 2 2 3 2 2" xfId="19723" xr:uid="{00000000-0005-0000-0000-0000F17F0000}"/>
    <cellStyle name="Normal 40 2 2 2 3 2 2 2" xfId="32781" xr:uid="{00000000-0005-0000-0000-0000F27F0000}"/>
    <cellStyle name="Normal 40 2 2 2 3 2 3" xfId="19724" xr:uid="{00000000-0005-0000-0000-0000F37F0000}"/>
    <cellStyle name="Normal 40 2 2 2 3 2 3 2" xfId="32782" xr:uid="{00000000-0005-0000-0000-0000F47F0000}"/>
    <cellStyle name="Normal 40 2 2 2 3 2 4" xfId="24578" xr:uid="{00000000-0005-0000-0000-0000F57F0000}"/>
    <cellStyle name="Normal 40 2 2 2 3 3" xfId="19725" xr:uid="{00000000-0005-0000-0000-0000F67F0000}"/>
    <cellStyle name="Normal 40 2 2 2 3 3 2" xfId="32783" xr:uid="{00000000-0005-0000-0000-0000F77F0000}"/>
    <cellStyle name="Normal 40 2 2 2 3 4" xfId="19726" xr:uid="{00000000-0005-0000-0000-0000F87F0000}"/>
    <cellStyle name="Normal 40 2 2 2 3 4 2" xfId="32784" xr:uid="{00000000-0005-0000-0000-0000F97F0000}"/>
    <cellStyle name="Normal 40 2 2 2 3 5" xfId="22422" xr:uid="{00000000-0005-0000-0000-0000FA7F0000}"/>
    <cellStyle name="Normal 40 2 2 2 4" xfId="10130" xr:uid="{00000000-0005-0000-0000-0000FB7F0000}"/>
    <cellStyle name="Normal 40 2 2 2 4 2" xfId="19727" xr:uid="{00000000-0005-0000-0000-0000FC7F0000}"/>
    <cellStyle name="Normal 40 2 2 2 4 2 2" xfId="32785" xr:uid="{00000000-0005-0000-0000-0000FD7F0000}"/>
    <cellStyle name="Normal 40 2 2 2 4 3" xfId="19728" xr:uid="{00000000-0005-0000-0000-0000FE7F0000}"/>
    <cellStyle name="Normal 40 2 2 2 4 3 2" xfId="32786" xr:uid="{00000000-0005-0000-0000-0000FF7F0000}"/>
    <cellStyle name="Normal 40 2 2 2 4 4" xfId="23500" xr:uid="{00000000-0005-0000-0000-000000800000}"/>
    <cellStyle name="Normal 40 2 2 2 5" xfId="19729" xr:uid="{00000000-0005-0000-0000-000001800000}"/>
    <cellStyle name="Normal 40 2 2 2 5 2" xfId="32787" xr:uid="{00000000-0005-0000-0000-000002800000}"/>
    <cellStyle name="Normal 40 2 2 2 6" xfId="19730" xr:uid="{00000000-0005-0000-0000-000003800000}"/>
    <cellStyle name="Normal 40 2 2 2 6 2" xfId="32788" xr:uid="{00000000-0005-0000-0000-000004800000}"/>
    <cellStyle name="Normal 40 2 2 2 7" xfId="21344" xr:uid="{00000000-0005-0000-0000-000005800000}"/>
    <cellStyle name="Normal 40 2 2 3" xfId="7221" xr:uid="{00000000-0005-0000-0000-000006800000}"/>
    <cellStyle name="Normal 40 2 2 3 2" xfId="9100" xr:uid="{00000000-0005-0000-0000-000007800000}"/>
    <cellStyle name="Normal 40 2 2 3 2 2" xfId="11479" xr:uid="{00000000-0005-0000-0000-000008800000}"/>
    <cellStyle name="Normal 40 2 2 3 2 2 2" xfId="19731" xr:uid="{00000000-0005-0000-0000-000009800000}"/>
    <cellStyle name="Normal 40 2 2 3 2 2 2 2" xfId="32789" xr:uid="{00000000-0005-0000-0000-00000A800000}"/>
    <cellStyle name="Normal 40 2 2 3 2 2 3" xfId="19732" xr:uid="{00000000-0005-0000-0000-00000B800000}"/>
    <cellStyle name="Normal 40 2 2 3 2 2 3 2" xfId="32790" xr:uid="{00000000-0005-0000-0000-00000C800000}"/>
    <cellStyle name="Normal 40 2 2 3 2 2 4" xfId="24849" xr:uid="{00000000-0005-0000-0000-00000D800000}"/>
    <cellStyle name="Normal 40 2 2 3 2 3" xfId="19733" xr:uid="{00000000-0005-0000-0000-00000E800000}"/>
    <cellStyle name="Normal 40 2 2 3 2 3 2" xfId="32791" xr:uid="{00000000-0005-0000-0000-00000F800000}"/>
    <cellStyle name="Normal 40 2 2 3 2 4" xfId="19734" xr:uid="{00000000-0005-0000-0000-000010800000}"/>
    <cellStyle name="Normal 40 2 2 3 2 4 2" xfId="32792" xr:uid="{00000000-0005-0000-0000-000011800000}"/>
    <cellStyle name="Normal 40 2 2 3 2 5" xfId="22693" xr:uid="{00000000-0005-0000-0000-000012800000}"/>
    <cellStyle name="Normal 40 2 2 3 3" xfId="10401" xr:uid="{00000000-0005-0000-0000-000013800000}"/>
    <cellStyle name="Normal 40 2 2 3 3 2" xfId="19735" xr:uid="{00000000-0005-0000-0000-000014800000}"/>
    <cellStyle name="Normal 40 2 2 3 3 2 2" xfId="32793" xr:uid="{00000000-0005-0000-0000-000015800000}"/>
    <cellStyle name="Normal 40 2 2 3 3 3" xfId="19736" xr:uid="{00000000-0005-0000-0000-000016800000}"/>
    <cellStyle name="Normal 40 2 2 3 3 3 2" xfId="32794" xr:uid="{00000000-0005-0000-0000-000017800000}"/>
    <cellStyle name="Normal 40 2 2 3 3 4" xfId="23771" xr:uid="{00000000-0005-0000-0000-000018800000}"/>
    <cellStyle name="Normal 40 2 2 3 4" xfId="19737" xr:uid="{00000000-0005-0000-0000-000019800000}"/>
    <cellStyle name="Normal 40 2 2 3 4 2" xfId="32795" xr:uid="{00000000-0005-0000-0000-00001A800000}"/>
    <cellStyle name="Normal 40 2 2 3 5" xfId="19738" xr:uid="{00000000-0005-0000-0000-00001B800000}"/>
    <cellStyle name="Normal 40 2 2 3 5 2" xfId="32796" xr:uid="{00000000-0005-0000-0000-00001C800000}"/>
    <cellStyle name="Normal 40 2 2 3 6" xfId="21615" xr:uid="{00000000-0005-0000-0000-00001D800000}"/>
    <cellStyle name="Normal 40 2 2 4" xfId="8498" xr:uid="{00000000-0005-0000-0000-00001E800000}"/>
    <cellStyle name="Normal 40 2 2 4 2" xfId="10939" xr:uid="{00000000-0005-0000-0000-00001F800000}"/>
    <cellStyle name="Normal 40 2 2 4 2 2" xfId="19739" xr:uid="{00000000-0005-0000-0000-000020800000}"/>
    <cellStyle name="Normal 40 2 2 4 2 2 2" xfId="32797" xr:uid="{00000000-0005-0000-0000-000021800000}"/>
    <cellStyle name="Normal 40 2 2 4 2 3" xfId="19740" xr:uid="{00000000-0005-0000-0000-000022800000}"/>
    <cellStyle name="Normal 40 2 2 4 2 3 2" xfId="32798" xr:uid="{00000000-0005-0000-0000-000023800000}"/>
    <cellStyle name="Normal 40 2 2 4 2 4" xfId="24309" xr:uid="{00000000-0005-0000-0000-000024800000}"/>
    <cellStyle name="Normal 40 2 2 4 3" xfId="19741" xr:uid="{00000000-0005-0000-0000-000025800000}"/>
    <cellStyle name="Normal 40 2 2 4 3 2" xfId="32799" xr:uid="{00000000-0005-0000-0000-000026800000}"/>
    <cellStyle name="Normal 40 2 2 4 4" xfId="19742" xr:uid="{00000000-0005-0000-0000-000027800000}"/>
    <cellStyle name="Normal 40 2 2 4 4 2" xfId="32800" xr:uid="{00000000-0005-0000-0000-000028800000}"/>
    <cellStyle name="Normal 40 2 2 4 5" xfId="22153" xr:uid="{00000000-0005-0000-0000-000029800000}"/>
    <cellStyle name="Normal 40 2 2 5" xfId="9861" xr:uid="{00000000-0005-0000-0000-00002A800000}"/>
    <cellStyle name="Normal 40 2 2 5 2" xfId="19743" xr:uid="{00000000-0005-0000-0000-00002B800000}"/>
    <cellStyle name="Normal 40 2 2 5 2 2" xfId="32801" xr:uid="{00000000-0005-0000-0000-00002C800000}"/>
    <cellStyle name="Normal 40 2 2 5 3" xfId="19744" xr:uid="{00000000-0005-0000-0000-00002D800000}"/>
    <cellStyle name="Normal 40 2 2 5 3 2" xfId="32802" xr:uid="{00000000-0005-0000-0000-00002E800000}"/>
    <cellStyle name="Normal 40 2 2 5 4" xfId="23231" xr:uid="{00000000-0005-0000-0000-00002F800000}"/>
    <cellStyle name="Normal 40 2 2 6" xfId="19745" xr:uid="{00000000-0005-0000-0000-000030800000}"/>
    <cellStyle name="Normal 40 2 2 6 2" xfId="32803" xr:uid="{00000000-0005-0000-0000-000031800000}"/>
    <cellStyle name="Normal 40 2 2 7" xfId="19746" xr:uid="{00000000-0005-0000-0000-000032800000}"/>
    <cellStyle name="Normal 40 2 2 7 2" xfId="32804" xr:uid="{00000000-0005-0000-0000-000033800000}"/>
    <cellStyle name="Normal 40 2 2 8" xfId="21075" xr:uid="{00000000-0005-0000-0000-000034800000}"/>
    <cellStyle name="Normal 40 2 3" xfId="6651" xr:uid="{00000000-0005-0000-0000-000035800000}"/>
    <cellStyle name="Normal 40 2 3 2" xfId="7347" xr:uid="{00000000-0005-0000-0000-000036800000}"/>
    <cellStyle name="Normal 40 2 3 2 2" xfId="9226" xr:uid="{00000000-0005-0000-0000-000037800000}"/>
    <cellStyle name="Normal 40 2 3 2 2 2" xfId="11605" xr:uid="{00000000-0005-0000-0000-000038800000}"/>
    <cellStyle name="Normal 40 2 3 2 2 2 2" xfId="19747" xr:uid="{00000000-0005-0000-0000-000039800000}"/>
    <cellStyle name="Normal 40 2 3 2 2 2 2 2" xfId="32805" xr:uid="{00000000-0005-0000-0000-00003A800000}"/>
    <cellStyle name="Normal 40 2 3 2 2 2 3" xfId="19748" xr:uid="{00000000-0005-0000-0000-00003B800000}"/>
    <cellStyle name="Normal 40 2 3 2 2 2 3 2" xfId="32806" xr:uid="{00000000-0005-0000-0000-00003C800000}"/>
    <cellStyle name="Normal 40 2 3 2 2 2 4" xfId="24975" xr:uid="{00000000-0005-0000-0000-00003D800000}"/>
    <cellStyle name="Normal 40 2 3 2 2 3" xfId="19749" xr:uid="{00000000-0005-0000-0000-00003E800000}"/>
    <cellStyle name="Normal 40 2 3 2 2 3 2" xfId="32807" xr:uid="{00000000-0005-0000-0000-00003F800000}"/>
    <cellStyle name="Normal 40 2 3 2 2 4" xfId="19750" xr:uid="{00000000-0005-0000-0000-000040800000}"/>
    <cellStyle name="Normal 40 2 3 2 2 4 2" xfId="32808" xr:uid="{00000000-0005-0000-0000-000041800000}"/>
    <cellStyle name="Normal 40 2 3 2 2 5" xfId="22819" xr:uid="{00000000-0005-0000-0000-000042800000}"/>
    <cellStyle name="Normal 40 2 3 2 3" xfId="10527" xr:uid="{00000000-0005-0000-0000-000043800000}"/>
    <cellStyle name="Normal 40 2 3 2 3 2" xfId="19751" xr:uid="{00000000-0005-0000-0000-000044800000}"/>
    <cellStyle name="Normal 40 2 3 2 3 2 2" xfId="32809" xr:uid="{00000000-0005-0000-0000-000045800000}"/>
    <cellStyle name="Normal 40 2 3 2 3 3" xfId="19752" xr:uid="{00000000-0005-0000-0000-000046800000}"/>
    <cellStyle name="Normal 40 2 3 2 3 3 2" xfId="32810" xr:uid="{00000000-0005-0000-0000-000047800000}"/>
    <cellStyle name="Normal 40 2 3 2 3 4" xfId="23897" xr:uid="{00000000-0005-0000-0000-000048800000}"/>
    <cellStyle name="Normal 40 2 3 2 4" xfId="19753" xr:uid="{00000000-0005-0000-0000-000049800000}"/>
    <cellStyle name="Normal 40 2 3 2 4 2" xfId="32811" xr:uid="{00000000-0005-0000-0000-00004A800000}"/>
    <cellStyle name="Normal 40 2 3 2 5" xfId="19754" xr:uid="{00000000-0005-0000-0000-00004B800000}"/>
    <cellStyle name="Normal 40 2 3 2 5 2" xfId="32812" xr:uid="{00000000-0005-0000-0000-00004C800000}"/>
    <cellStyle name="Normal 40 2 3 2 6" xfId="21741" xr:uid="{00000000-0005-0000-0000-00004D800000}"/>
    <cellStyle name="Normal 40 2 3 3" xfId="8679" xr:uid="{00000000-0005-0000-0000-00004E800000}"/>
    <cellStyle name="Normal 40 2 3 3 2" xfId="11065" xr:uid="{00000000-0005-0000-0000-00004F800000}"/>
    <cellStyle name="Normal 40 2 3 3 2 2" xfId="19755" xr:uid="{00000000-0005-0000-0000-000050800000}"/>
    <cellStyle name="Normal 40 2 3 3 2 2 2" xfId="32813" xr:uid="{00000000-0005-0000-0000-000051800000}"/>
    <cellStyle name="Normal 40 2 3 3 2 3" xfId="19756" xr:uid="{00000000-0005-0000-0000-000052800000}"/>
    <cellStyle name="Normal 40 2 3 3 2 3 2" xfId="32814" xr:uid="{00000000-0005-0000-0000-000053800000}"/>
    <cellStyle name="Normal 40 2 3 3 2 4" xfId="24435" xr:uid="{00000000-0005-0000-0000-000054800000}"/>
    <cellStyle name="Normal 40 2 3 3 3" xfId="19757" xr:uid="{00000000-0005-0000-0000-000055800000}"/>
    <cellStyle name="Normal 40 2 3 3 3 2" xfId="32815" xr:uid="{00000000-0005-0000-0000-000056800000}"/>
    <cellStyle name="Normal 40 2 3 3 4" xfId="19758" xr:uid="{00000000-0005-0000-0000-000057800000}"/>
    <cellStyle name="Normal 40 2 3 3 4 2" xfId="32816" xr:uid="{00000000-0005-0000-0000-000058800000}"/>
    <cellStyle name="Normal 40 2 3 3 5" xfId="22279" xr:uid="{00000000-0005-0000-0000-000059800000}"/>
    <cellStyle name="Normal 40 2 3 4" xfId="9987" xr:uid="{00000000-0005-0000-0000-00005A800000}"/>
    <cellStyle name="Normal 40 2 3 4 2" xfId="19759" xr:uid="{00000000-0005-0000-0000-00005B800000}"/>
    <cellStyle name="Normal 40 2 3 4 2 2" xfId="32817" xr:uid="{00000000-0005-0000-0000-00005C800000}"/>
    <cellStyle name="Normal 40 2 3 4 3" xfId="19760" xr:uid="{00000000-0005-0000-0000-00005D800000}"/>
    <cellStyle name="Normal 40 2 3 4 3 2" xfId="32818" xr:uid="{00000000-0005-0000-0000-00005E800000}"/>
    <cellStyle name="Normal 40 2 3 4 4" xfId="23357" xr:uid="{00000000-0005-0000-0000-00005F800000}"/>
    <cellStyle name="Normal 40 2 3 5" xfId="19761" xr:uid="{00000000-0005-0000-0000-000060800000}"/>
    <cellStyle name="Normal 40 2 3 5 2" xfId="32819" xr:uid="{00000000-0005-0000-0000-000061800000}"/>
    <cellStyle name="Normal 40 2 3 6" xfId="19762" xr:uid="{00000000-0005-0000-0000-000062800000}"/>
    <cellStyle name="Normal 40 2 3 6 2" xfId="32820" xr:uid="{00000000-0005-0000-0000-000063800000}"/>
    <cellStyle name="Normal 40 2 3 7" xfId="21201" xr:uid="{00000000-0005-0000-0000-000064800000}"/>
    <cellStyle name="Normal 40 2 4" xfId="7077" xr:uid="{00000000-0005-0000-0000-000065800000}"/>
    <cellStyle name="Normal 40 2 4 2" xfId="8957" xr:uid="{00000000-0005-0000-0000-000066800000}"/>
    <cellStyle name="Normal 40 2 4 2 2" xfId="11336" xr:uid="{00000000-0005-0000-0000-000067800000}"/>
    <cellStyle name="Normal 40 2 4 2 2 2" xfId="19763" xr:uid="{00000000-0005-0000-0000-000068800000}"/>
    <cellStyle name="Normal 40 2 4 2 2 2 2" xfId="32821" xr:uid="{00000000-0005-0000-0000-000069800000}"/>
    <cellStyle name="Normal 40 2 4 2 2 3" xfId="19764" xr:uid="{00000000-0005-0000-0000-00006A800000}"/>
    <cellStyle name="Normal 40 2 4 2 2 3 2" xfId="32822" xr:uid="{00000000-0005-0000-0000-00006B800000}"/>
    <cellStyle name="Normal 40 2 4 2 2 4" xfId="24706" xr:uid="{00000000-0005-0000-0000-00006C800000}"/>
    <cellStyle name="Normal 40 2 4 2 3" xfId="19765" xr:uid="{00000000-0005-0000-0000-00006D800000}"/>
    <cellStyle name="Normal 40 2 4 2 3 2" xfId="32823" xr:uid="{00000000-0005-0000-0000-00006E800000}"/>
    <cellStyle name="Normal 40 2 4 2 4" xfId="19766" xr:uid="{00000000-0005-0000-0000-00006F800000}"/>
    <cellStyle name="Normal 40 2 4 2 4 2" xfId="32824" xr:uid="{00000000-0005-0000-0000-000070800000}"/>
    <cellStyle name="Normal 40 2 4 2 5" xfId="22550" xr:uid="{00000000-0005-0000-0000-000071800000}"/>
    <cellStyle name="Normal 40 2 4 3" xfId="10258" xr:uid="{00000000-0005-0000-0000-000072800000}"/>
    <cellStyle name="Normal 40 2 4 3 2" xfId="19767" xr:uid="{00000000-0005-0000-0000-000073800000}"/>
    <cellStyle name="Normal 40 2 4 3 2 2" xfId="32825" xr:uid="{00000000-0005-0000-0000-000074800000}"/>
    <cellStyle name="Normal 40 2 4 3 3" xfId="19768" xr:uid="{00000000-0005-0000-0000-000075800000}"/>
    <cellStyle name="Normal 40 2 4 3 3 2" xfId="32826" xr:uid="{00000000-0005-0000-0000-000076800000}"/>
    <cellStyle name="Normal 40 2 4 3 4" xfId="23628" xr:uid="{00000000-0005-0000-0000-000077800000}"/>
    <cellStyle name="Normal 40 2 4 4" xfId="19769" xr:uid="{00000000-0005-0000-0000-000078800000}"/>
    <cellStyle name="Normal 40 2 4 4 2" xfId="32827" xr:uid="{00000000-0005-0000-0000-000079800000}"/>
    <cellStyle name="Normal 40 2 4 5" xfId="19770" xr:uid="{00000000-0005-0000-0000-00007A800000}"/>
    <cellStyle name="Normal 40 2 4 5 2" xfId="32828" xr:uid="{00000000-0005-0000-0000-00007B800000}"/>
    <cellStyle name="Normal 40 2 4 6" xfId="21472" xr:uid="{00000000-0005-0000-0000-00007C800000}"/>
    <cellStyle name="Normal 40 2 5" xfId="8281" xr:uid="{00000000-0005-0000-0000-00007D800000}"/>
    <cellStyle name="Normal 40 2 5 2" xfId="10796" xr:uid="{00000000-0005-0000-0000-00007E800000}"/>
    <cellStyle name="Normal 40 2 5 2 2" xfId="19771" xr:uid="{00000000-0005-0000-0000-00007F800000}"/>
    <cellStyle name="Normal 40 2 5 2 2 2" xfId="32829" xr:uid="{00000000-0005-0000-0000-000080800000}"/>
    <cellStyle name="Normal 40 2 5 2 3" xfId="19772" xr:uid="{00000000-0005-0000-0000-000081800000}"/>
    <cellStyle name="Normal 40 2 5 2 3 2" xfId="32830" xr:uid="{00000000-0005-0000-0000-000082800000}"/>
    <cellStyle name="Normal 40 2 5 2 4" xfId="24166" xr:uid="{00000000-0005-0000-0000-000083800000}"/>
    <cellStyle name="Normal 40 2 5 3" xfId="19773" xr:uid="{00000000-0005-0000-0000-000084800000}"/>
    <cellStyle name="Normal 40 2 5 3 2" xfId="32831" xr:uid="{00000000-0005-0000-0000-000085800000}"/>
    <cellStyle name="Normal 40 2 5 4" xfId="19774" xr:uid="{00000000-0005-0000-0000-000086800000}"/>
    <cellStyle name="Normal 40 2 5 4 2" xfId="32832" xr:uid="{00000000-0005-0000-0000-000087800000}"/>
    <cellStyle name="Normal 40 2 5 5" xfId="22010" xr:uid="{00000000-0005-0000-0000-000088800000}"/>
    <cellStyle name="Normal 40 2 6" xfId="9717" xr:uid="{00000000-0005-0000-0000-000089800000}"/>
    <cellStyle name="Normal 40 2 6 2" xfId="19775" xr:uid="{00000000-0005-0000-0000-00008A800000}"/>
    <cellStyle name="Normal 40 2 6 2 2" xfId="32833" xr:uid="{00000000-0005-0000-0000-00008B800000}"/>
    <cellStyle name="Normal 40 2 6 3" xfId="19776" xr:uid="{00000000-0005-0000-0000-00008C800000}"/>
    <cellStyle name="Normal 40 2 6 3 2" xfId="32834" xr:uid="{00000000-0005-0000-0000-00008D800000}"/>
    <cellStyle name="Normal 40 2 6 4" xfId="23088" xr:uid="{00000000-0005-0000-0000-00008E800000}"/>
    <cellStyle name="Normal 40 2 7" xfId="19777" xr:uid="{00000000-0005-0000-0000-00008F800000}"/>
    <cellStyle name="Normal 40 2 7 2" xfId="32835" xr:uid="{00000000-0005-0000-0000-000090800000}"/>
    <cellStyle name="Normal 40 2 8" xfId="19778" xr:uid="{00000000-0005-0000-0000-000091800000}"/>
    <cellStyle name="Normal 40 2 8 2" xfId="32836" xr:uid="{00000000-0005-0000-0000-000092800000}"/>
    <cellStyle name="Normal 40 2 9" xfId="20931" xr:uid="{00000000-0005-0000-0000-000093800000}"/>
    <cellStyle name="Normal 40 3" xfId="5563" xr:uid="{00000000-0005-0000-0000-000094800000}"/>
    <cellStyle name="Normal 40 3 2" xfId="6746" xr:uid="{00000000-0005-0000-0000-000095800000}"/>
    <cellStyle name="Normal 40 3 2 2" xfId="7433" xr:uid="{00000000-0005-0000-0000-000096800000}"/>
    <cellStyle name="Normal 40 3 2 2 2" xfId="9312" xr:uid="{00000000-0005-0000-0000-000097800000}"/>
    <cellStyle name="Normal 40 3 2 2 2 2" xfId="11691" xr:uid="{00000000-0005-0000-0000-000098800000}"/>
    <cellStyle name="Normal 40 3 2 2 2 2 2" xfId="19779" xr:uid="{00000000-0005-0000-0000-000099800000}"/>
    <cellStyle name="Normal 40 3 2 2 2 2 2 2" xfId="32837" xr:uid="{00000000-0005-0000-0000-00009A800000}"/>
    <cellStyle name="Normal 40 3 2 2 2 2 3" xfId="19780" xr:uid="{00000000-0005-0000-0000-00009B800000}"/>
    <cellStyle name="Normal 40 3 2 2 2 2 3 2" xfId="32838" xr:uid="{00000000-0005-0000-0000-00009C800000}"/>
    <cellStyle name="Normal 40 3 2 2 2 2 4" xfId="25061" xr:uid="{00000000-0005-0000-0000-00009D800000}"/>
    <cellStyle name="Normal 40 3 2 2 2 3" xfId="19781" xr:uid="{00000000-0005-0000-0000-00009E800000}"/>
    <cellStyle name="Normal 40 3 2 2 2 3 2" xfId="32839" xr:uid="{00000000-0005-0000-0000-00009F800000}"/>
    <cellStyle name="Normal 40 3 2 2 2 4" xfId="19782" xr:uid="{00000000-0005-0000-0000-0000A0800000}"/>
    <cellStyle name="Normal 40 3 2 2 2 4 2" xfId="32840" xr:uid="{00000000-0005-0000-0000-0000A1800000}"/>
    <cellStyle name="Normal 40 3 2 2 2 5" xfId="22905" xr:uid="{00000000-0005-0000-0000-0000A2800000}"/>
    <cellStyle name="Normal 40 3 2 2 3" xfId="10613" xr:uid="{00000000-0005-0000-0000-0000A3800000}"/>
    <cellStyle name="Normal 40 3 2 2 3 2" xfId="19783" xr:uid="{00000000-0005-0000-0000-0000A4800000}"/>
    <cellStyle name="Normal 40 3 2 2 3 2 2" xfId="32841" xr:uid="{00000000-0005-0000-0000-0000A5800000}"/>
    <cellStyle name="Normal 40 3 2 2 3 3" xfId="19784" xr:uid="{00000000-0005-0000-0000-0000A6800000}"/>
    <cellStyle name="Normal 40 3 2 2 3 3 2" xfId="32842" xr:uid="{00000000-0005-0000-0000-0000A7800000}"/>
    <cellStyle name="Normal 40 3 2 2 3 4" xfId="23983" xr:uid="{00000000-0005-0000-0000-0000A8800000}"/>
    <cellStyle name="Normal 40 3 2 2 4" xfId="19785" xr:uid="{00000000-0005-0000-0000-0000A9800000}"/>
    <cellStyle name="Normal 40 3 2 2 4 2" xfId="32843" xr:uid="{00000000-0005-0000-0000-0000AA800000}"/>
    <cellStyle name="Normal 40 3 2 2 5" xfId="19786" xr:uid="{00000000-0005-0000-0000-0000AB800000}"/>
    <cellStyle name="Normal 40 3 2 2 5 2" xfId="32844" xr:uid="{00000000-0005-0000-0000-0000AC800000}"/>
    <cellStyle name="Normal 40 3 2 2 6" xfId="21827" xr:uid="{00000000-0005-0000-0000-0000AD800000}"/>
    <cellStyle name="Normal 40 3 2 3" xfId="8766" xr:uid="{00000000-0005-0000-0000-0000AE800000}"/>
    <cellStyle name="Normal 40 3 2 3 2" xfId="11151" xr:uid="{00000000-0005-0000-0000-0000AF800000}"/>
    <cellStyle name="Normal 40 3 2 3 2 2" xfId="19787" xr:uid="{00000000-0005-0000-0000-0000B0800000}"/>
    <cellStyle name="Normal 40 3 2 3 2 2 2" xfId="32845" xr:uid="{00000000-0005-0000-0000-0000B1800000}"/>
    <cellStyle name="Normal 40 3 2 3 2 3" xfId="19788" xr:uid="{00000000-0005-0000-0000-0000B2800000}"/>
    <cellStyle name="Normal 40 3 2 3 2 3 2" xfId="32846" xr:uid="{00000000-0005-0000-0000-0000B3800000}"/>
    <cellStyle name="Normal 40 3 2 3 2 4" xfId="24521" xr:uid="{00000000-0005-0000-0000-0000B4800000}"/>
    <cellStyle name="Normal 40 3 2 3 3" xfId="19789" xr:uid="{00000000-0005-0000-0000-0000B5800000}"/>
    <cellStyle name="Normal 40 3 2 3 3 2" xfId="32847" xr:uid="{00000000-0005-0000-0000-0000B6800000}"/>
    <cellStyle name="Normal 40 3 2 3 4" xfId="19790" xr:uid="{00000000-0005-0000-0000-0000B7800000}"/>
    <cellStyle name="Normal 40 3 2 3 4 2" xfId="32848" xr:uid="{00000000-0005-0000-0000-0000B8800000}"/>
    <cellStyle name="Normal 40 3 2 3 5" xfId="22365" xr:uid="{00000000-0005-0000-0000-0000B9800000}"/>
    <cellStyle name="Normal 40 3 2 4" xfId="10073" xr:uid="{00000000-0005-0000-0000-0000BA800000}"/>
    <cellStyle name="Normal 40 3 2 4 2" xfId="19791" xr:uid="{00000000-0005-0000-0000-0000BB800000}"/>
    <cellStyle name="Normal 40 3 2 4 2 2" xfId="32849" xr:uid="{00000000-0005-0000-0000-0000BC800000}"/>
    <cellStyle name="Normal 40 3 2 4 3" xfId="19792" xr:uid="{00000000-0005-0000-0000-0000BD800000}"/>
    <cellStyle name="Normal 40 3 2 4 3 2" xfId="32850" xr:uid="{00000000-0005-0000-0000-0000BE800000}"/>
    <cellStyle name="Normal 40 3 2 4 4" xfId="23443" xr:uid="{00000000-0005-0000-0000-0000BF800000}"/>
    <cellStyle name="Normal 40 3 2 5" xfId="19793" xr:uid="{00000000-0005-0000-0000-0000C0800000}"/>
    <cellStyle name="Normal 40 3 2 5 2" xfId="32851" xr:uid="{00000000-0005-0000-0000-0000C1800000}"/>
    <cellStyle name="Normal 40 3 2 6" xfId="19794" xr:uid="{00000000-0005-0000-0000-0000C2800000}"/>
    <cellStyle name="Normal 40 3 2 6 2" xfId="32852" xr:uid="{00000000-0005-0000-0000-0000C3800000}"/>
    <cellStyle name="Normal 40 3 2 7" xfId="21287" xr:uid="{00000000-0005-0000-0000-0000C4800000}"/>
    <cellStyle name="Normal 40 3 3" xfId="7164" xr:uid="{00000000-0005-0000-0000-0000C5800000}"/>
    <cellStyle name="Normal 40 3 3 2" xfId="9043" xr:uid="{00000000-0005-0000-0000-0000C6800000}"/>
    <cellStyle name="Normal 40 3 3 2 2" xfId="11422" xr:uid="{00000000-0005-0000-0000-0000C7800000}"/>
    <cellStyle name="Normal 40 3 3 2 2 2" xfId="19795" xr:uid="{00000000-0005-0000-0000-0000C8800000}"/>
    <cellStyle name="Normal 40 3 3 2 2 2 2" xfId="32853" xr:uid="{00000000-0005-0000-0000-0000C9800000}"/>
    <cellStyle name="Normal 40 3 3 2 2 3" xfId="19796" xr:uid="{00000000-0005-0000-0000-0000CA800000}"/>
    <cellStyle name="Normal 40 3 3 2 2 3 2" xfId="32854" xr:uid="{00000000-0005-0000-0000-0000CB800000}"/>
    <cellStyle name="Normal 40 3 3 2 2 4" xfId="24792" xr:uid="{00000000-0005-0000-0000-0000CC800000}"/>
    <cellStyle name="Normal 40 3 3 2 3" xfId="19797" xr:uid="{00000000-0005-0000-0000-0000CD800000}"/>
    <cellStyle name="Normal 40 3 3 2 3 2" xfId="32855" xr:uid="{00000000-0005-0000-0000-0000CE800000}"/>
    <cellStyle name="Normal 40 3 3 2 4" xfId="19798" xr:uid="{00000000-0005-0000-0000-0000CF800000}"/>
    <cellStyle name="Normal 40 3 3 2 4 2" xfId="32856" xr:uid="{00000000-0005-0000-0000-0000D0800000}"/>
    <cellStyle name="Normal 40 3 3 2 5" xfId="22636" xr:uid="{00000000-0005-0000-0000-0000D1800000}"/>
    <cellStyle name="Normal 40 3 3 3" xfId="10344" xr:uid="{00000000-0005-0000-0000-0000D2800000}"/>
    <cellStyle name="Normal 40 3 3 3 2" xfId="19799" xr:uid="{00000000-0005-0000-0000-0000D3800000}"/>
    <cellStyle name="Normal 40 3 3 3 2 2" xfId="32857" xr:uid="{00000000-0005-0000-0000-0000D4800000}"/>
    <cellStyle name="Normal 40 3 3 3 3" xfId="19800" xr:uid="{00000000-0005-0000-0000-0000D5800000}"/>
    <cellStyle name="Normal 40 3 3 3 3 2" xfId="32858" xr:uid="{00000000-0005-0000-0000-0000D6800000}"/>
    <cellStyle name="Normal 40 3 3 3 4" xfId="23714" xr:uid="{00000000-0005-0000-0000-0000D7800000}"/>
    <cellStyle name="Normal 40 3 3 4" xfId="19801" xr:uid="{00000000-0005-0000-0000-0000D8800000}"/>
    <cellStyle name="Normal 40 3 3 4 2" xfId="32859" xr:uid="{00000000-0005-0000-0000-0000D9800000}"/>
    <cellStyle name="Normal 40 3 3 5" xfId="19802" xr:uid="{00000000-0005-0000-0000-0000DA800000}"/>
    <cellStyle name="Normal 40 3 3 5 2" xfId="32860" xr:uid="{00000000-0005-0000-0000-0000DB800000}"/>
    <cellStyle name="Normal 40 3 3 6" xfId="21558" xr:uid="{00000000-0005-0000-0000-0000DC800000}"/>
    <cellStyle name="Normal 40 3 4" xfId="8439" xr:uid="{00000000-0005-0000-0000-0000DD800000}"/>
    <cellStyle name="Normal 40 3 4 2" xfId="10882" xr:uid="{00000000-0005-0000-0000-0000DE800000}"/>
    <cellStyle name="Normal 40 3 4 2 2" xfId="19803" xr:uid="{00000000-0005-0000-0000-0000DF800000}"/>
    <cellStyle name="Normal 40 3 4 2 2 2" xfId="32861" xr:uid="{00000000-0005-0000-0000-0000E0800000}"/>
    <cellStyle name="Normal 40 3 4 2 3" xfId="19804" xr:uid="{00000000-0005-0000-0000-0000E1800000}"/>
    <cellStyle name="Normal 40 3 4 2 3 2" xfId="32862" xr:uid="{00000000-0005-0000-0000-0000E2800000}"/>
    <cellStyle name="Normal 40 3 4 2 4" xfId="24252" xr:uid="{00000000-0005-0000-0000-0000E3800000}"/>
    <cellStyle name="Normal 40 3 4 3" xfId="19805" xr:uid="{00000000-0005-0000-0000-0000E4800000}"/>
    <cellStyle name="Normal 40 3 4 3 2" xfId="32863" xr:uid="{00000000-0005-0000-0000-0000E5800000}"/>
    <cellStyle name="Normal 40 3 4 4" xfId="19806" xr:uid="{00000000-0005-0000-0000-0000E6800000}"/>
    <cellStyle name="Normal 40 3 4 4 2" xfId="32864" xr:uid="{00000000-0005-0000-0000-0000E7800000}"/>
    <cellStyle name="Normal 40 3 4 5" xfId="22096" xr:uid="{00000000-0005-0000-0000-0000E8800000}"/>
    <cellStyle name="Normal 40 3 5" xfId="9804" xr:uid="{00000000-0005-0000-0000-0000E9800000}"/>
    <cellStyle name="Normal 40 3 5 2" xfId="19807" xr:uid="{00000000-0005-0000-0000-0000EA800000}"/>
    <cellStyle name="Normal 40 3 5 2 2" xfId="32865" xr:uid="{00000000-0005-0000-0000-0000EB800000}"/>
    <cellStyle name="Normal 40 3 5 3" xfId="19808" xr:uid="{00000000-0005-0000-0000-0000EC800000}"/>
    <cellStyle name="Normal 40 3 5 3 2" xfId="32866" xr:uid="{00000000-0005-0000-0000-0000ED800000}"/>
    <cellStyle name="Normal 40 3 5 4" xfId="23174" xr:uid="{00000000-0005-0000-0000-0000EE800000}"/>
    <cellStyle name="Normal 40 3 6" xfId="19809" xr:uid="{00000000-0005-0000-0000-0000EF800000}"/>
    <cellStyle name="Normal 40 3 6 2" xfId="32867" xr:uid="{00000000-0005-0000-0000-0000F0800000}"/>
    <cellStyle name="Normal 40 3 7" xfId="19810" xr:uid="{00000000-0005-0000-0000-0000F1800000}"/>
    <cellStyle name="Normal 40 3 7 2" xfId="32868" xr:uid="{00000000-0005-0000-0000-0000F2800000}"/>
    <cellStyle name="Normal 40 3 8" xfId="21018" xr:uid="{00000000-0005-0000-0000-0000F3800000}"/>
    <cellStyle name="Normal 40 4" xfId="6596" xr:uid="{00000000-0005-0000-0000-0000F4800000}"/>
    <cellStyle name="Normal 40 4 2" xfId="7292" xr:uid="{00000000-0005-0000-0000-0000F5800000}"/>
    <cellStyle name="Normal 40 4 2 2" xfId="9171" xr:uid="{00000000-0005-0000-0000-0000F6800000}"/>
    <cellStyle name="Normal 40 4 2 2 2" xfId="11550" xr:uid="{00000000-0005-0000-0000-0000F7800000}"/>
    <cellStyle name="Normal 40 4 2 2 2 2" xfId="19811" xr:uid="{00000000-0005-0000-0000-0000F8800000}"/>
    <cellStyle name="Normal 40 4 2 2 2 2 2" xfId="32869" xr:uid="{00000000-0005-0000-0000-0000F9800000}"/>
    <cellStyle name="Normal 40 4 2 2 2 3" xfId="19812" xr:uid="{00000000-0005-0000-0000-0000FA800000}"/>
    <cellStyle name="Normal 40 4 2 2 2 3 2" xfId="32870" xr:uid="{00000000-0005-0000-0000-0000FB800000}"/>
    <cellStyle name="Normal 40 4 2 2 2 4" xfId="24920" xr:uid="{00000000-0005-0000-0000-0000FC800000}"/>
    <cellStyle name="Normal 40 4 2 2 3" xfId="19813" xr:uid="{00000000-0005-0000-0000-0000FD800000}"/>
    <cellStyle name="Normal 40 4 2 2 3 2" xfId="32871" xr:uid="{00000000-0005-0000-0000-0000FE800000}"/>
    <cellStyle name="Normal 40 4 2 2 4" xfId="19814" xr:uid="{00000000-0005-0000-0000-0000FF800000}"/>
    <cellStyle name="Normal 40 4 2 2 4 2" xfId="32872" xr:uid="{00000000-0005-0000-0000-000000810000}"/>
    <cellStyle name="Normal 40 4 2 2 5" xfId="22764" xr:uid="{00000000-0005-0000-0000-000001810000}"/>
    <cellStyle name="Normal 40 4 2 3" xfId="10472" xr:uid="{00000000-0005-0000-0000-000002810000}"/>
    <cellStyle name="Normal 40 4 2 3 2" xfId="19815" xr:uid="{00000000-0005-0000-0000-000003810000}"/>
    <cellStyle name="Normal 40 4 2 3 2 2" xfId="32873" xr:uid="{00000000-0005-0000-0000-000004810000}"/>
    <cellStyle name="Normal 40 4 2 3 3" xfId="19816" xr:uid="{00000000-0005-0000-0000-000005810000}"/>
    <cellStyle name="Normal 40 4 2 3 3 2" xfId="32874" xr:uid="{00000000-0005-0000-0000-000006810000}"/>
    <cellStyle name="Normal 40 4 2 3 4" xfId="23842" xr:uid="{00000000-0005-0000-0000-000007810000}"/>
    <cellStyle name="Normal 40 4 2 4" xfId="19817" xr:uid="{00000000-0005-0000-0000-000008810000}"/>
    <cellStyle name="Normal 40 4 2 4 2" xfId="32875" xr:uid="{00000000-0005-0000-0000-000009810000}"/>
    <cellStyle name="Normal 40 4 2 5" xfId="19818" xr:uid="{00000000-0005-0000-0000-00000A810000}"/>
    <cellStyle name="Normal 40 4 2 5 2" xfId="32876" xr:uid="{00000000-0005-0000-0000-00000B810000}"/>
    <cellStyle name="Normal 40 4 2 6" xfId="21686" xr:uid="{00000000-0005-0000-0000-00000C810000}"/>
    <cellStyle name="Normal 40 4 3" xfId="8624" xr:uid="{00000000-0005-0000-0000-00000D810000}"/>
    <cellStyle name="Normal 40 4 3 2" xfId="11010" xr:uid="{00000000-0005-0000-0000-00000E810000}"/>
    <cellStyle name="Normal 40 4 3 2 2" xfId="19819" xr:uid="{00000000-0005-0000-0000-00000F810000}"/>
    <cellStyle name="Normal 40 4 3 2 2 2" xfId="32877" xr:uid="{00000000-0005-0000-0000-000010810000}"/>
    <cellStyle name="Normal 40 4 3 2 3" xfId="19820" xr:uid="{00000000-0005-0000-0000-000011810000}"/>
    <cellStyle name="Normal 40 4 3 2 3 2" xfId="32878" xr:uid="{00000000-0005-0000-0000-000012810000}"/>
    <cellStyle name="Normal 40 4 3 2 4" xfId="24380" xr:uid="{00000000-0005-0000-0000-000013810000}"/>
    <cellStyle name="Normal 40 4 3 3" xfId="19821" xr:uid="{00000000-0005-0000-0000-000014810000}"/>
    <cellStyle name="Normal 40 4 3 3 2" xfId="32879" xr:uid="{00000000-0005-0000-0000-000015810000}"/>
    <cellStyle name="Normal 40 4 3 4" xfId="19822" xr:uid="{00000000-0005-0000-0000-000016810000}"/>
    <cellStyle name="Normal 40 4 3 4 2" xfId="32880" xr:uid="{00000000-0005-0000-0000-000017810000}"/>
    <cellStyle name="Normal 40 4 3 5" xfId="22224" xr:uid="{00000000-0005-0000-0000-000018810000}"/>
    <cellStyle name="Normal 40 4 4" xfId="9932" xr:uid="{00000000-0005-0000-0000-000019810000}"/>
    <cellStyle name="Normal 40 4 4 2" xfId="19823" xr:uid="{00000000-0005-0000-0000-00001A810000}"/>
    <cellStyle name="Normal 40 4 4 2 2" xfId="32881" xr:uid="{00000000-0005-0000-0000-00001B810000}"/>
    <cellStyle name="Normal 40 4 4 3" xfId="19824" xr:uid="{00000000-0005-0000-0000-00001C810000}"/>
    <cellStyle name="Normal 40 4 4 3 2" xfId="32882" xr:uid="{00000000-0005-0000-0000-00001D810000}"/>
    <cellStyle name="Normal 40 4 4 4" xfId="23302" xr:uid="{00000000-0005-0000-0000-00001E810000}"/>
    <cellStyle name="Normal 40 4 5" xfId="19825" xr:uid="{00000000-0005-0000-0000-00001F810000}"/>
    <cellStyle name="Normal 40 4 5 2" xfId="32883" xr:uid="{00000000-0005-0000-0000-000020810000}"/>
    <cellStyle name="Normal 40 4 6" xfId="19826" xr:uid="{00000000-0005-0000-0000-000021810000}"/>
    <cellStyle name="Normal 40 4 6 2" xfId="32884" xr:uid="{00000000-0005-0000-0000-000022810000}"/>
    <cellStyle name="Normal 40 4 7" xfId="21146" xr:uid="{00000000-0005-0000-0000-000023810000}"/>
    <cellStyle name="Normal 40 5" xfId="7022" xr:uid="{00000000-0005-0000-0000-000024810000}"/>
    <cellStyle name="Normal 40 5 2" xfId="8902" xr:uid="{00000000-0005-0000-0000-000025810000}"/>
    <cellStyle name="Normal 40 5 2 2" xfId="11281" xr:uid="{00000000-0005-0000-0000-000026810000}"/>
    <cellStyle name="Normal 40 5 2 2 2" xfId="19827" xr:uid="{00000000-0005-0000-0000-000027810000}"/>
    <cellStyle name="Normal 40 5 2 2 2 2" xfId="32885" xr:uid="{00000000-0005-0000-0000-000028810000}"/>
    <cellStyle name="Normal 40 5 2 2 3" xfId="19828" xr:uid="{00000000-0005-0000-0000-000029810000}"/>
    <cellStyle name="Normal 40 5 2 2 3 2" xfId="32886" xr:uid="{00000000-0005-0000-0000-00002A810000}"/>
    <cellStyle name="Normal 40 5 2 2 4" xfId="24651" xr:uid="{00000000-0005-0000-0000-00002B810000}"/>
    <cellStyle name="Normal 40 5 2 3" xfId="19829" xr:uid="{00000000-0005-0000-0000-00002C810000}"/>
    <cellStyle name="Normal 40 5 2 3 2" xfId="32887" xr:uid="{00000000-0005-0000-0000-00002D810000}"/>
    <cellStyle name="Normal 40 5 2 4" xfId="19830" xr:uid="{00000000-0005-0000-0000-00002E810000}"/>
    <cellStyle name="Normal 40 5 2 4 2" xfId="32888" xr:uid="{00000000-0005-0000-0000-00002F810000}"/>
    <cellStyle name="Normal 40 5 2 5" xfId="22495" xr:uid="{00000000-0005-0000-0000-000030810000}"/>
    <cellStyle name="Normal 40 5 3" xfId="10203" xr:uid="{00000000-0005-0000-0000-000031810000}"/>
    <cellStyle name="Normal 40 5 3 2" xfId="19831" xr:uid="{00000000-0005-0000-0000-000032810000}"/>
    <cellStyle name="Normal 40 5 3 2 2" xfId="32889" xr:uid="{00000000-0005-0000-0000-000033810000}"/>
    <cellStyle name="Normal 40 5 3 3" xfId="19832" xr:uid="{00000000-0005-0000-0000-000034810000}"/>
    <cellStyle name="Normal 40 5 3 3 2" xfId="32890" xr:uid="{00000000-0005-0000-0000-000035810000}"/>
    <cellStyle name="Normal 40 5 3 4" xfId="23573" xr:uid="{00000000-0005-0000-0000-000036810000}"/>
    <cellStyle name="Normal 40 5 4" xfId="19833" xr:uid="{00000000-0005-0000-0000-000037810000}"/>
    <cellStyle name="Normal 40 5 4 2" xfId="32891" xr:uid="{00000000-0005-0000-0000-000038810000}"/>
    <cellStyle name="Normal 40 5 5" xfId="19834" xr:uid="{00000000-0005-0000-0000-000039810000}"/>
    <cellStyle name="Normal 40 5 5 2" xfId="32892" xr:uid="{00000000-0005-0000-0000-00003A810000}"/>
    <cellStyle name="Normal 40 5 6" xfId="21417" xr:uid="{00000000-0005-0000-0000-00003B810000}"/>
    <cellStyle name="Normal 40 6" xfId="8218" xr:uid="{00000000-0005-0000-0000-00003C810000}"/>
    <cellStyle name="Normal 40 6 2" xfId="10741" xr:uid="{00000000-0005-0000-0000-00003D810000}"/>
    <cellStyle name="Normal 40 6 2 2" xfId="19835" xr:uid="{00000000-0005-0000-0000-00003E810000}"/>
    <cellStyle name="Normal 40 6 2 2 2" xfId="32893" xr:uid="{00000000-0005-0000-0000-00003F810000}"/>
    <cellStyle name="Normal 40 6 2 3" xfId="19836" xr:uid="{00000000-0005-0000-0000-000040810000}"/>
    <cellStyle name="Normal 40 6 2 3 2" xfId="32894" xr:uid="{00000000-0005-0000-0000-000041810000}"/>
    <cellStyle name="Normal 40 6 2 4" xfId="24111" xr:uid="{00000000-0005-0000-0000-000042810000}"/>
    <cellStyle name="Normal 40 6 3" xfId="19837" xr:uid="{00000000-0005-0000-0000-000043810000}"/>
    <cellStyle name="Normal 40 6 3 2" xfId="32895" xr:uid="{00000000-0005-0000-0000-000044810000}"/>
    <cellStyle name="Normal 40 6 4" xfId="19838" xr:uid="{00000000-0005-0000-0000-000045810000}"/>
    <cellStyle name="Normal 40 6 4 2" xfId="32896" xr:uid="{00000000-0005-0000-0000-000046810000}"/>
    <cellStyle name="Normal 40 6 5" xfId="21955" xr:uid="{00000000-0005-0000-0000-000047810000}"/>
    <cellStyle name="Normal 40 7" xfId="9662" xr:uid="{00000000-0005-0000-0000-000048810000}"/>
    <cellStyle name="Normal 40 7 2" xfId="19839" xr:uid="{00000000-0005-0000-0000-000049810000}"/>
    <cellStyle name="Normal 40 7 2 2" xfId="32897" xr:uid="{00000000-0005-0000-0000-00004A810000}"/>
    <cellStyle name="Normal 40 7 3" xfId="19840" xr:uid="{00000000-0005-0000-0000-00004B810000}"/>
    <cellStyle name="Normal 40 7 3 2" xfId="32898" xr:uid="{00000000-0005-0000-0000-00004C810000}"/>
    <cellStyle name="Normal 40 7 4" xfId="23033" xr:uid="{00000000-0005-0000-0000-00004D810000}"/>
    <cellStyle name="Normal 40 8" xfId="19841" xr:uid="{00000000-0005-0000-0000-00004E810000}"/>
    <cellStyle name="Normal 40 8 2" xfId="32899" xr:uid="{00000000-0005-0000-0000-00004F810000}"/>
    <cellStyle name="Normal 40 9" xfId="19842" xr:uid="{00000000-0005-0000-0000-000050810000}"/>
    <cellStyle name="Normal 40 9 2" xfId="32900" xr:uid="{00000000-0005-0000-0000-000051810000}"/>
    <cellStyle name="Normal 41" xfId="3961" xr:uid="{00000000-0005-0000-0000-000052810000}"/>
    <cellStyle name="Normal 42" xfId="4126" xr:uid="{00000000-0005-0000-0000-000053810000}"/>
    <cellStyle name="Normal 42 2" xfId="5658" xr:uid="{00000000-0005-0000-0000-000054810000}"/>
    <cellStyle name="Normal 42 2 2" xfId="6806" xr:uid="{00000000-0005-0000-0000-000055810000}"/>
    <cellStyle name="Normal 42 2 2 2" xfId="7493" xr:uid="{00000000-0005-0000-0000-000056810000}"/>
    <cellStyle name="Normal 42 2 2 2 2" xfId="9372" xr:uid="{00000000-0005-0000-0000-000057810000}"/>
    <cellStyle name="Normal 42 2 2 2 2 2" xfId="11751" xr:uid="{00000000-0005-0000-0000-000058810000}"/>
    <cellStyle name="Normal 42 2 2 2 2 2 2" xfId="19843" xr:uid="{00000000-0005-0000-0000-000059810000}"/>
    <cellStyle name="Normal 42 2 2 2 2 2 2 2" xfId="32901" xr:uid="{00000000-0005-0000-0000-00005A810000}"/>
    <cellStyle name="Normal 42 2 2 2 2 2 3" xfId="19844" xr:uid="{00000000-0005-0000-0000-00005B810000}"/>
    <cellStyle name="Normal 42 2 2 2 2 2 3 2" xfId="32902" xr:uid="{00000000-0005-0000-0000-00005C810000}"/>
    <cellStyle name="Normal 42 2 2 2 2 2 4" xfId="25121" xr:uid="{00000000-0005-0000-0000-00005D810000}"/>
    <cellStyle name="Normal 42 2 2 2 2 3" xfId="19845" xr:uid="{00000000-0005-0000-0000-00005E810000}"/>
    <cellStyle name="Normal 42 2 2 2 2 3 2" xfId="32903" xr:uid="{00000000-0005-0000-0000-00005F810000}"/>
    <cellStyle name="Normal 42 2 2 2 2 4" xfId="19846" xr:uid="{00000000-0005-0000-0000-000060810000}"/>
    <cellStyle name="Normal 42 2 2 2 2 4 2" xfId="32904" xr:uid="{00000000-0005-0000-0000-000061810000}"/>
    <cellStyle name="Normal 42 2 2 2 2 5" xfId="22965" xr:uid="{00000000-0005-0000-0000-000062810000}"/>
    <cellStyle name="Normal 42 2 2 2 3" xfId="10673" xr:uid="{00000000-0005-0000-0000-000063810000}"/>
    <cellStyle name="Normal 42 2 2 2 3 2" xfId="19847" xr:uid="{00000000-0005-0000-0000-000064810000}"/>
    <cellStyle name="Normal 42 2 2 2 3 2 2" xfId="32905" xr:uid="{00000000-0005-0000-0000-000065810000}"/>
    <cellStyle name="Normal 42 2 2 2 3 3" xfId="19848" xr:uid="{00000000-0005-0000-0000-000066810000}"/>
    <cellStyle name="Normal 42 2 2 2 3 3 2" xfId="32906" xr:uid="{00000000-0005-0000-0000-000067810000}"/>
    <cellStyle name="Normal 42 2 2 2 3 4" xfId="24043" xr:uid="{00000000-0005-0000-0000-000068810000}"/>
    <cellStyle name="Normal 42 2 2 2 4" xfId="19849" xr:uid="{00000000-0005-0000-0000-000069810000}"/>
    <cellStyle name="Normal 42 2 2 2 4 2" xfId="32907" xr:uid="{00000000-0005-0000-0000-00006A810000}"/>
    <cellStyle name="Normal 42 2 2 2 5" xfId="19850" xr:uid="{00000000-0005-0000-0000-00006B810000}"/>
    <cellStyle name="Normal 42 2 2 2 5 2" xfId="32908" xr:uid="{00000000-0005-0000-0000-00006C810000}"/>
    <cellStyle name="Normal 42 2 2 2 6" xfId="21887" xr:uid="{00000000-0005-0000-0000-00006D810000}"/>
    <cellStyle name="Normal 42 2 2 3" xfId="8826" xr:uid="{00000000-0005-0000-0000-00006E810000}"/>
    <cellStyle name="Normal 42 2 2 3 2" xfId="11211" xr:uid="{00000000-0005-0000-0000-00006F810000}"/>
    <cellStyle name="Normal 42 2 2 3 2 2" xfId="19851" xr:uid="{00000000-0005-0000-0000-000070810000}"/>
    <cellStyle name="Normal 42 2 2 3 2 2 2" xfId="32909" xr:uid="{00000000-0005-0000-0000-000071810000}"/>
    <cellStyle name="Normal 42 2 2 3 2 3" xfId="19852" xr:uid="{00000000-0005-0000-0000-000072810000}"/>
    <cellStyle name="Normal 42 2 2 3 2 3 2" xfId="32910" xr:uid="{00000000-0005-0000-0000-000073810000}"/>
    <cellStyle name="Normal 42 2 2 3 2 4" xfId="24581" xr:uid="{00000000-0005-0000-0000-000074810000}"/>
    <cellStyle name="Normal 42 2 2 3 3" xfId="19853" xr:uid="{00000000-0005-0000-0000-000075810000}"/>
    <cellStyle name="Normal 42 2 2 3 3 2" xfId="32911" xr:uid="{00000000-0005-0000-0000-000076810000}"/>
    <cellStyle name="Normal 42 2 2 3 4" xfId="19854" xr:uid="{00000000-0005-0000-0000-000077810000}"/>
    <cellStyle name="Normal 42 2 2 3 4 2" xfId="32912" xr:uid="{00000000-0005-0000-0000-000078810000}"/>
    <cellStyle name="Normal 42 2 2 3 5" xfId="22425" xr:uid="{00000000-0005-0000-0000-000079810000}"/>
    <cellStyle name="Normal 42 2 2 4" xfId="10133" xr:uid="{00000000-0005-0000-0000-00007A810000}"/>
    <cellStyle name="Normal 42 2 2 4 2" xfId="19855" xr:uid="{00000000-0005-0000-0000-00007B810000}"/>
    <cellStyle name="Normal 42 2 2 4 2 2" xfId="32913" xr:uid="{00000000-0005-0000-0000-00007C810000}"/>
    <cellStyle name="Normal 42 2 2 4 3" xfId="19856" xr:uid="{00000000-0005-0000-0000-00007D810000}"/>
    <cellStyle name="Normal 42 2 2 4 3 2" xfId="32914" xr:uid="{00000000-0005-0000-0000-00007E810000}"/>
    <cellStyle name="Normal 42 2 2 4 4" xfId="23503" xr:uid="{00000000-0005-0000-0000-00007F810000}"/>
    <cellStyle name="Normal 42 2 2 5" xfId="19857" xr:uid="{00000000-0005-0000-0000-000080810000}"/>
    <cellStyle name="Normal 42 2 2 5 2" xfId="32915" xr:uid="{00000000-0005-0000-0000-000081810000}"/>
    <cellStyle name="Normal 42 2 2 6" xfId="19858" xr:uid="{00000000-0005-0000-0000-000082810000}"/>
    <cellStyle name="Normal 42 2 2 6 2" xfId="32916" xr:uid="{00000000-0005-0000-0000-000083810000}"/>
    <cellStyle name="Normal 42 2 2 7" xfId="21347" xr:uid="{00000000-0005-0000-0000-000084810000}"/>
    <cellStyle name="Normal 42 2 3" xfId="7224" xr:uid="{00000000-0005-0000-0000-000085810000}"/>
    <cellStyle name="Normal 42 2 3 2" xfId="9103" xr:uid="{00000000-0005-0000-0000-000086810000}"/>
    <cellStyle name="Normal 42 2 3 2 2" xfId="11482" xr:uid="{00000000-0005-0000-0000-000087810000}"/>
    <cellStyle name="Normal 42 2 3 2 2 2" xfId="19859" xr:uid="{00000000-0005-0000-0000-000088810000}"/>
    <cellStyle name="Normal 42 2 3 2 2 2 2" xfId="32917" xr:uid="{00000000-0005-0000-0000-000089810000}"/>
    <cellStyle name="Normal 42 2 3 2 2 3" xfId="19860" xr:uid="{00000000-0005-0000-0000-00008A810000}"/>
    <cellStyle name="Normal 42 2 3 2 2 3 2" xfId="32918" xr:uid="{00000000-0005-0000-0000-00008B810000}"/>
    <cellStyle name="Normal 42 2 3 2 2 4" xfId="24852" xr:uid="{00000000-0005-0000-0000-00008C810000}"/>
    <cellStyle name="Normal 42 2 3 2 3" xfId="19861" xr:uid="{00000000-0005-0000-0000-00008D810000}"/>
    <cellStyle name="Normal 42 2 3 2 3 2" xfId="32919" xr:uid="{00000000-0005-0000-0000-00008E810000}"/>
    <cellStyle name="Normal 42 2 3 2 4" xfId="19862" xr:uid="{00000000-0005-0000-0000-00008F810000}"/>
    <cellStyle name="Normal 42 2 3 2 4 2" xfId="32920" xr:uid="{00000000-0005-0000-0000-000090810000}"/>
    <cellStyle name="Normal 42 2 3 2 5" xfId="22696" xr:uid="{00000000-0005-0000-0000-000091810000}"/>
    <cellStyle name="Normal 42 2 3 3" xfId="10404" xr:uid="{00000000-0005-0000-0000-000092810000}"/>
    <cellStyle name="Normal 42 2 3 3 2" xfId="19863" xr:uid="{00000000-0005-0000-0000-000093810000}"/>
    <cellStyle name="Normal 42 2 3 3 2 2" xfId="32921" xr:uid="{00000000-0005-0000-0000-000094810000}"/>
    <cellStyle name="Normal 42 2 3 3 3" xfId="19864" xr:uid="{00000000-0005-0000-0000-000095810000}"/>
    <cellStyle name="Normal 42 2 3 3 3 2" xfId="32922" xr:uid="{00000000-0005-0000-0000-000096810000}"/>
    <cellStyle name="Normal 42 2 3 3 4" xfId="23774" xr:uid="{00000000-0005-0000-0000-000097810000}"/>
    <cellStyle name="Normal 42 2 3 4" xfId="19865" xr:uid="{00000000-0005-0000-0000-000098810000}"/>
    <cellStyle name="Normal 42 2 3 4 2" xfId="32923" xr:uid="{00000000-0005-0000-0000-000099810000}"/>
    <cellStyle name="Normal 42 2 3 5" xfId="19866" xr:uid="{00000000-0005-0000-0000-00009A810000}"/>
    <cellStyle name="Normal 42 2 3 5 2" xfId="32924" xr:uid="{00000000-0005-0000-0000-00009B810000}"/>
    <cellStyle name="Normal 42 2 3 6" xfId="21618" xr:uid="{00000000-0005-0000-0000-00009C810000}"/>
    <cellStyle name="Normal 42 2 4" xfId="8501" xr:uid="{00000000-0005-0000-0000-00009D810000}"/>
    <cellStyle name="Normal 42 2 4 2" xfId="10942" xr:uid="{00000000-0005-0000-0000-00009E810000}"/>
    <cellStyle name="Normal 42 2 4 2 2" xfId="19867" xr:uid="{00000000-0005-0000-0000-00009F810000}"/>
    <cellStyle name="Normal 42 2 4 2 2 2" xfId="32925" xr:uid="{00000000-0005-0000-0000-0000A0810000}"/>
    <cellStyle name="Normal 42 2 4 2 3" xfId="19868" xr:uid="{00000000-0005-0000-0000-0000A1810000}"/>
    <cellStyle name="Normal 42 2 4 2 3 2" xfId="32926" xr:uid="{00000000-0005-0000-0000-0000A2810000}"/>
    <cellStyle name="Normal 42 2 4 2 4" xfId="24312" xr:uid="{00000000-0005-0000-0000-0000A3810000}"/>
    <cellStyle name="Normal 42 2 4 3" xfId="19869" xr:uid="{00000000-0005-0000-0000-0000A4810000}"/>
    <cellStyle name="Normal 42 2 4 3 2" xfId="32927" xr:uid="{00000000-0005-0000-0000-0000A5810000}"/>
    <cellStyle name="Normal 42 2 4 4" xfId="19870" xr:uid="{00000000-0005-0000-0000-0000A6810000}"/>
    <cellStyle name="Normal 42 2 4 4 2" xfId="32928" xr:uid="{00000000-0005-0000-0000-0000A7810000}"/>
    <cellStyle name="Normal 42 2 4 5" xfId="22156" xr:uid="{00000000-0005-0000-0000-0000A8810000}"/>
    <cellStyle name="Normal 42 2 5" xfId="9864" xr:uid="{00000000-0005-0000-0000-0000A9810000}"/>
    <cellStyle name="Normal 42 2 5 2" xfId="19871" xr:uid="{00000000-0005-0000-0000-0000AA810000}"/>
    <cellStyle name="Normal 42 2 5 2 2" xfId="32929" xr:uid="{00000000-0005-0000-0000-0000AB810000}"/>
    <cellStyle name="Normal 42 2 5 3" xfId="19872" xr:uid="{00000000-0005-0000-0000-0000AC810000}"/>
    <cellStyle name="Normal 42 2 5 3 2" xfId="32930" xr:uid="{00000000-0005-0000-0000-0000AD810000}"/>
    <cellStyle name="Normal 42 2 5 4" xfId="23234" xr:uid="{00000000-0005-0000-0000-0000AE810000}"/>
    <cellStyle name="Normal 42 2 6" xfId="19873" xr:uid="{00000000-0005-0000-0000-0000AF810000}"/>
    <cellStyle name="Normal 42 2 6 2" xfId="32931" xr:uid="{00000000-0005-0000-0000-0000B0810000}"/>
    <cellStyle name="Normal 42 2 7" xfId="19874" xr:uid="{00000000-0005-0000-0000-0000B1810000}"/>
    <cellStyle name="Normal 42 2 7 2" xfId="32932" xr:uid="{00000000-0005-0000-0000-0000B2810000}"/>
    <cellStyle name="Normal 42 2 8" xfId="21078" xr:uid="{00000000-0005-0000-0000-0000B3810000}"/>
    <cellStyle name="Normal 42 3" xfId="6656" xr:uid="{00000000-0005-0000-0000-0000B4810000}"/>
    <cellStyle name="Normal 42 3 2" xfId="7350" xr:uid="{00000000-0005-0000-0000-0000B5810000}"/>
    <cellStyle name="Normal 42 3 2 2" xfId="9229" xr:uid="{00000000-0005-0000-0000-0000B6810000}"/>
    <cellStyle name="Normal 42 3 2 2 2" xfId="11608" xr:uid="{00000000-0005-0000-0000-0000B7810000}"/>
    <cellStyle name="Normal 42 3 2 2 2 2" xfId="19875" xr:uid="{00000000-0005-0000-0000-0000B8810000}"/>
    <cellStyle name="Normal 42 3 2 2 2 2 2" xfId="32933" xr:uid="{00000000-0005-0000-0000-0000B9810000}"/>
    <cellStyle name="Normal 42 3 2 2 2 3" xfId="19876" xr:uid="{00000000-0005-0000-0000-0000BA810000}"/>
    <cellStyle name="Normal 42 3 2 2 2 3 2" xfId="32934" xr:uid="{00000000-0005-0000-0000-0000BB810000}"/>
    <cellStyle name="Normal 42 3 2 2 2 4" xfId="24978" xr:uid="{00000000-0005-0000-0000-0000BC810000}"/>
    <cellStyle name="Normal 42 3 2 2 3" xfId="19877" xr:uid="{00000000-0005-0000-0000-0000BD810000}"/>
    <cellStyle name="Normal 42 3 2 2 3 2" xfId="32935" xr:uid="{00000000-0005-0000-0000-0000BE810000}"/>
    <cellStyle name="Normal 42 3 2 2 4" xfId="19878" xr:uid="{00000000-0005-0000-0000-0000BF810000}"/>
    <cellStyle name="Normal 42 3 2 2 4 2" xfId="32936" xr:uid="{00000000-0005-0000-0000-0000C0810000}"/>
    <cellStyle name="Normal 42 3 2 2 5" xfId="22822" xr:uid="{00000000-0005-0000-0000-0000C1810000}"/>
    <cellStyle name="Normal 42 3 2 3" xfId="10530" xr:uid="{00000000-0005-0000-0000-0000C2810000}"/>
    <cellStyle name="Normal 42 3 2 3 2" xfId="19879" xr:uid="{00000000-0005-0000-0000-0000C3810000}"/>
    <cellStyle name="Normal 42 3 2 3 2 2" xfId="32937" xr:uid="{00000000-0005-0000-0000-0000C4810000}"/>
    <cellStyle name="Normal 42 3 2 3 3" xfId="19880" xr:uid="{00000000-0005-0000-0000-0000C5810000}"/>
    <cellStyle name="Normal 42 3 2 3 3 2" xfId="32938" xr:uid="{00000000-0005-0000-0000-0000C6810000}"/>
    <cellStyle name="Normal 42 3 2 3 4" xfId="23900" xr:uid="{00000000-0005-0000-0000-0000C7810000}"/>
    <cellStyle name="Normal 42 3 2 4" xfId="19881" xr:uid="{00000000-0005-0000-0000-0000C8810000}"/>
    <cellStyle name="Normal 42 3 2 4 2" xfId="32939" xr:uid="{00000000-0005-0000-0000-0000C9810000}"/>
    <cellStyle name="Normal 42 3 2 5" xfId="19882" xr:uid="{00000000-0005-0000-0000-0000CA810000}"/>
    <cellStyle name="Normal 42 3 2 5 2" xfId="32940" xr:uid="{00000000-0005-0000-0000-0000CB810000}"/>
    <cellStyle name="Normal 42 3 2 6" xfId="21744" xr:uid="{00000000-0005-0000-0000-0000CC810000}"/>
    <cellStyle name="Normal 42 3 3" xfId="8683" xr:uid="{00000000-0005-0000-0000-0000CD810000}"/>
    <cellStyle name="Normal 42 3 3 2" xfId="11068" xr:uid="{00000000-0005-0000-0000-0000CE810000}"/>
    <cellStyle name="Normal 42 3 3 2 2" xfId="19883" xr:uid="{00000000-0005-0000-0000-0000CF810000}"/>
    <cellStyle name="Normal 42 3 3 2 2 2" xfId="32941" xr:uid="{00000000-0005-0000-0000-0000D0810000}"/>
    <cellStyle name="Normal 42 3 3 2 3" xfId="19884" xr:uid="{00000000-0005-0000-0000-0000D1810000}"/>
    <cellStyle name="Normal 42 3 3 2 3 2" xfId="32942" xr:uid="{00000000-0005-0000-0000-0000D2810000}"/>
    <cellStyle name="Normal 42 3 3 2 4" xfId="24438" xr:uid="{00000000-0005-0000-0000-0000D3810000}"/>
    <cellStyle name="Normal 42 3 3 3" xfId="19885" xr:uid="{00000000-0005-0000-0000-0000D4810000}"/>
    <cellStyle name="Normal 42 3 3 3 2" xfId="32943" xr:uid="{00000000-0005-0000-0000-0000D5810000}"/>
    <cellStyle name="Normal 42 3 3 4" xfId="19886" xr:uid="{00000000-0005-0000-0000-0000D6810000}"/>
    <cellStyle name="Normal 42 3 3 4 2" xfId="32944" xr:uid="{00000000-0005-0000-0000-0000D7810000}"/>
    <cellStyle name="Normal 42 3 3 5" xfId="22282" xr:uid="{00000000-0005-0000-0000-0000D8810000}"/>
    <cellStyle name="Normal 42 3 4" xfId="9990" xr:uid="{00000000-0005-0000-0000-0000D9810000}"/>
    <cellStyle name="Normal 42 3 4 2" xfId="19887" xr:uid="{00000000-0005-0000-0000-0000DA810000}"/>
    <cellStyle name="Normal 42 3 4 2 2" xfId="32945" xr:uid="{00000000-0005-0000-0000-0000DB810000}"/>
    <cellStyle name="Normal 42 3 4 3" xfId="19888" xr:uid="{00000000-0005-0000-0000-0000DC810000}"/>
    <cellStyle name="Normal 42 3 4 3 2" xfId="32946" xr:uid="{00000000-0005-0000-0000-0000DD810000}"/>
    <cellStyle name="Normal 42 3 4 4" xfId="23360" xr:uid="{00000000-0005-0000-0000-0000DE810000}"/>
    <cellStyle name="Normal 42 3 5" xfId="19889" xr:uid="{00000000-0005-0000-0000-0000DF810000}"/>
    <cellStyle name="Normal 42 3 5 2" xfId="32947" xr:uid="{00000000-0005-0000-0000-0000E0810000}"/>
    <cellStyle name="Normal 42 3 6" xfId="19890" xr:uid="{00000000-0005-0000-0000-0000E1810000}"/>
    <cellStyle name="Normal 42 3 6 2" xfId="32948" xr:uid="{00000000-0005-0000-0000-0000E2810000}"/>
    <cellStyle name="Normal 42 3 7" xfId="21204" xr:uid="{00000000-0005-0000-0000-0000E3810000}"/>
    <cellStyle name="Normal 42 4" xfId="7081" xr:uid="{00000000-0005-0000-0000-0000E4810000}"/>
    <cellStyle name="Normal 42 4 2" xfId="8960" xr:uid="{00000000-0005-0000-0000-0000E5810000}"/>
    <cellStyle name="Normal 42 4 2 2" xfId="11339" xr:uid="{00000000-0005-0000-0000-0000E6810000}"/>
    <cellStyle name="Normal 42 4 2 2 2" xfId="19891" xr:uid="{00000000-0005-0000-0000-0000E7810000}"/>
    <cellStyle name="Normal 42 4 2 2 2 2" xfId="32949" xr:uid="{00000000-0005-0000-0000-0000E8810000}"/>
    <cellStyle name="Normal 42 4 2 2 3" xfId="19892" xr:uid="{00000000-0005-0000-0000-0000E9810000}"/>
    <cellStyle name="Normal 42 4 2 2 3 2" xfId="32950" xr:uid="{00000000-0005-0000-0000-0000EA810000}"/>
    <cellStyle name="Normal 42 4 2 2 4" xfId="24709" xr:uid="{00000000-0005-0000-0000-0000EB810000}"/>
    <cellStyle name="Normal 42 4 2 3" xfId="19893" xr:uid="{00000000-0005-0000-0000-0000EC810000}"/>
    <cellStyle name="Normal 42 4 2 3 2" xfId="32951" xr:uid="{00000000-0005-0000-0000-0000ED810000}"/>
    <cellStyle name="Normal 42 4 2 4" xfId="19894" xr:uid="{00000000-0005-0000-0000-0000EE810000}"/>
    <cellStyle name="Normal 42 4 2 4 2" xfId="32952" xr:uid="{00000000-0005-0000-0000-0000EF810000}"/>
    <cellStyle name="Normal 42 4 2 5" xfId="22553" xr:uid="{00000000-0005-0000-0000-0000F0810000}"/>
    <cellStyle name="Normal 42 4 3" xfId="10261" xr:uid="{00000000-0005-0000-0000-0000F1810000}"/>
    <cellStyle name="Normal 42 4 3 2" xfId="19895" xr:uid="{00000000-0005-0000-0000-0000F2810000}"/>
    <cellStyle name="Normal 42 4 3 2 2" xfId="32953" xr:uid="{00000000-0005-0000-0000-0000F3810000}"/>
    <cellStyle name="Normal 42 4 3 3" xfId="19896" xr:uid="{00000000-0005-0000-0000-0000F4810000}"/>
    <cellStyle name="Normal 42 4 3 3 2" xfId="32954" xr:uid="{00000000-0005-0000-0000-0000F5810000}"/>
    <cellStyle name="Normal 42 4 3 4" xfId="23631" xr:uid="{00000000-0005-0000-0000-0000F6810000}"/>
    <cellStyle name="Normal 42 4 4" xfId="19897" xr:uid="{00000000-0005-0000-0000-0000F7810000}"/>
    <cellStyle name="Normal 42 4 4 2" xfId="32955" xr:uid="{00000000-0005-0000-0000-0000F8810000}"/>
    <cellStyle name="Normal 42 4 5" xfId="19898" xr:uid="{00000000-0005-0000-0000-0000F9810000}"/>
    <cellStyle name="Normal 42 4 5 2" xfId="32956" xr:uid="{00000000-0005-0000-0000-0000FA810000}"/>
    <cellStyle name="Normal 42 4 6" xfId="21475" xr:uid="{00000000-0005-0000-0000-0000FB810000}"/>
    <cellStyle name="Normal 42 5" xfId="8287" xr:uid="{00000000-0005-0000-0000-0000FC810000}"/>
    <cellStyle name="Normal 42 5 2" xfId="10799" xr:uid="{00000000-0005-0000-0000-0000FD810000}"/>
    <cellStyle name="Normal 42 5 2 2" xfId="19899" xr:uid="{00000000-0005-0000-0000-0000FE810000}"/>
    <cellStyle name="Normal 42 5 2 2 2" xfId="32957" xr:uid="{00000000-0005-0000-0000-0000FF810000}"/>
    <cellStyle name="Normal 42 5 2 3" xfId="19900" xr:uid="{00000000-0005-0000-0000-000000820000}"/>
    <cellStyle name="Normal 42 5 2 3 2" xfId="32958" xr:uid="{00000000-0005-0000-0000-000001820000}"/>
    <cellStyle name="Normal 42 5 2 4" xfId="24169" xr:uid="{00000000-0005-0000-0000-000002820000}"/>
    <cellStyle name="Normal 42 5 3" xfId="19901" xr:uid="{00000000-0005-0000-0000-000003820000}"/>
    <cellStyle name="Normal 42 5 3 2" xfId="32959" xr:uid="{00000000-0005-0000-0000-000004820000}"/>
    <cellStyle name="Normal 42 5 4" xfId="19902" xr:uid="{00000000-0005-0000-0000-000005820000}"/>
    <cellStyle name="Normal 42 5 4 2" xfId="32960" xr:uid="{00000000-0005-0000-0000-000006820000}"/>
    <cellStyle name="Normal 42 5 5" xfId="22013" xr:uid="{00000000-0005-0000-0000-000007820000}"/>
    <cellStyle name="Normal 42 6" xfId="9721" xr:uid="{00000000-0005-0000-0000-000008820000}"/>
    <cellStyle name="Normal 42 6 2" xfId="19903" xr:uid="{00000000-0005-0000-0000-000009820000}"/>
    <cellStyle name="Normal 42 6 2 2" xfId="32961" xr:uid="{00000000-0005-0000-0000-00000A820000}"/>
    <cellStyle name="Normal 42 6 3" xfId="19904" xr:uid="{00000000-0005-0000-0000-00000B820000}"/>
    <cellStyle name="Normal 42 6 3 2" xfId="32962" xr:uid="{00000000-0005-0000-0000-00000C820000}"/>
    <cellStyle name="Normal 42 6 4" xfId="23091" xr:uid="{00000000-0005-0000-0000-00000D820000}"/>
    <cellStyle name="Normal 42 7" xfId="19905" xr:uid="{00000000-0005-0000-0000-00000E820000}"/>
    <cellStyle name="Normal 42 7 2" xfId="32963" xr:uid="{00000000-0005-0000-0000-00000F820000}"/>
    <cellStyle name="Normal 42 8" xfId="19906" xr:uid="{00000000-0005-0000-0000-000010820000}"/>
    <cellStyle name="Normal 42 8 2" xfId="32964" xr:uid="{00000000-0005-0000-0000-000011820000}"/>
    <cellStyle name="Normal 42 9" xfId="20935" xr:uid="{00000000-0005-0000-0000-000012820000}"/>
    <cellStyle name="Normal 43" xfId="4130" xr:uid="{00000000-0005-0000-0000-000013820000}"/>
    <cellStyle name="Normal 43 2" xfId="5661" xr:uid="{00000000-0005-0000-0000-000014820000}"/>
    <cellStyle name="Normal 43 2 2" xfId="6807" xr:uid="{00000000-0005-0000-0000-000015820000}"/>
    <cellStyle name="Normal 43 2 2 2" xfId="7494" xr:uid="{00000000-0005-0000-0000-000016820000}"/>
    <cellStyle name="Normal 43 2 2 2 2" xfId="9373" xr:uid="{00000000-0005-0000-0000-000017820000}"/>
    <cellStyle name="Normal 43 2 2 2 2 2" xfId="11752" xr:uid="{00000000-0005-0000-0000-000018820000}"/>
    <cellStyle name="Normal 43 2 2 2 2 2 2" xfId="19907" xr:uid="{00000000-0005-0000-0000-000019820000}"/>
    <cellStyle name="Normal 43 2 2 2 2 2 2 2" xfId="32965" xr:uid="{00000000-0005-0000-0000-00001A820000}"/>
    <cellStyle name="Normal 43 2 2 2 2 2 3" xfId="19908" xr:uid="{00000000-0005-0000-0000-00001B820000}"/>
    <cellStyle name="Normal 43 2 2 2 2 2 3 2" xfId="32966" xr:uid="{00000000-0005-0000-0000-00001C820000}"/>
    <cellStyle name="Normal 43 2 2 2 2 2 4" xfId="25122" xr:uid="{00000000-0005-0000-0000-00001D820000}"/>
    <cellStyle name="Normal 43 2 2 2 2 3" xfId="19909" xr:uid="{00000000-0005-0000-0000-00001E820000}"/>
    <cellStyle name="Normal 43 2 2 2 2 3 2" xfId="32967" xr:uid="{00000000-0005-0000-0000-00001F820000}"/>
    <cellStyle name="Normal 43 2 2 2 2 4" xfId="19910" xr:uid="{00000000-0005-0000-0000-000020820000}"/>
    <cellStyle name="Normal 43 2 2 2 2 4 2" xfId="32968" xr:uid="{00000000-0005-0000-0000-000021820000}"/>
    <cellStyle name="Normal 43 2 2 2 2 5" xfId="22966" xr:uid="{00000000-0005-0000-0000-000022820000}"/>
    <cellStyle name="Normal 43 2 2 2 3" xfId="10674" xr:uid="{00000000-0005-0000-0000-000023820000}"/>
    <cellStyle name="Normal 43 2 2 2 3 2" xfId="19911" xr:uid="{00000000-0005-0000-0000-000024820000}"/>
    <cellStyle name="Normal 43 2 2 2 3 2 2" xfId="32969" xr:uid="{00000000-0005-0000-0000-000025820000}"/>
    <cellStyle name="Normal 43 2 2 2 3 3" xfId="19912" xr:uid="{00000000-0005-0000-0000-000026820000}"/>
    <cellStyle name="Normal 43 2 2 2 3 3 2" xfId="32970" xr:uid="{00000000-0005-0000-0000-000027820000}"/>
    <cellStyle name="Normal 43 2 2 2 3 4" xfId="24044" xr:uid="{00000000-0005-0000-0000-000028820000}"/>
    <cellStyle name="Normal 43 2 2 2 4" xfId="19913" xr:uid="{00000000-0005-0000-0000-000029820000}"/>
    <cellStyle name="Normal 43 2 2 2 4 2" xfId="32971" xr:uid="{00000000-0005-0000-0000-00002A820000}"/>
    <cellStyle name="Normal 43 2 2 2 5" xfId="19914" xr:uid="{00000000-0005-0000-0000-00002B820000}"/>
    <cellStyle name="Normal 43 2 2 2 5 2" xfId="32972" xr:uid="{00000000-0005-0000-0000-00002C820000}"/>
    <cellStyle name="Normal 43 2 2 2 6" xfId="21888" xr:uid="{00000000-0005-0000-0000-00002D820000}"/>
    <cellStyle name="Normal 43 2 2 3" xfId="8827" xr:uid="{00000000-0005-0000-0000-00002E820000}"/>
    <cellStyle name="Normal 43 2 2 3 2" xfId="11212" xr:uid="{00000000-0005-0000-0000-00002F820000}"/>
    <cellStyle name="Normal 43 2 2 3 2 2" xfId="19915" xr:uid="{00000000-0005-0000-0000-000030820000}"/>
    <cellStyle name="Normal 43 2 2 3 2 2 2" xfId="32973" xr:uid="{00000000-0005-0000-0000-000031820000}"/>
    <cellStyle name="Normal 43 2 2 3 2 3" xfId="19916" xr:uid="{00000000-0005-0000-0000-000032820000}"/>
    <cellStyle name="Normal 43 2 2 3 2 3 2" xfId="32974" xr:uid="{00000000-0005-0000-0000-000033820000}"/>
    <cellStyle name="Normal 43 2 2 3 2 4" xfId="24582" xr:uid="{00000000-0005-0000-0000-000034820000}"/>
    <cellStyle name="Normal 43 2 2 3 3" xfId="19917" xr:uid="{00000000-0005-0000-0000-000035820000}"/>
    <cellStyle name="Normal 43 2 2 3 3 2" xfId="32975" xr:uid="{00000000-0005-0000-0000-000036820000}"/>
    <cellStyle name="Normal 43 2 2 3 4" xfId="19918" xr:uid="{00000000-0005-0000-0000-000037820000}"/>
    <cellStyle name="Normal 43 2 2 3 4 2" xfId="32976" xr:uid="{00000000-0005-0000-0000-000038820000}"/>
    <cellStyle name="Normal 43 2 2 3 5" xfId="22426" xr:uid="{00000000-0005-0000-0000-000039820000}"/>
    <cellStyle name="Normal 43 2 2 4" xfId="10134" xr:uid="{00000000-0005-0000-0000-00003A820000}"/>
    <cellStyle name="Normal 43 2 2 4 2" xfId="19919" xr:uid="{00000000-0005-0000-0000-00003B820000}"/>
    <cellStyle name="Normal 43 2 2 4 2 2" xfId="32977" xr:uid="{00000000-0005-0000-0000-00003C820000}"/>
    <cellStyle name="Normal 43 2 2 4 3" xfId="19920" xr:uid="{00000000-0005-0000-0000-00003D820000}"/>
    <cellStyle name="Normal 43 2 2 4 3 2" xfId="32978" xr:uid="{00000000-0005-0000-0000-00003E820000}"/>
    <cellStyle name="Normal 43 2 2 4 4" xfId="23504" xr:uid="{00000000-0005-0000-0000-00003F820000}"/>
    <cellStyle name="Normal 43 2 2 5" xfId="19921" xr:uid="{00000000-0005-0000-0000-000040820000}"/>
    <cellStyle name="Normal 43 2 2 5 2" xfId="32979" xr:uid="{00000000-0005-0000-0000-000041820000}"/>
    <cellStyle name="Normal 43 2 2 6" xfId="19922" xr:uid="{00000000-0005-0000-0000-000042820000}"/>
    <cellStyle name="Normal 43 2 2 6 2" xfId="32980" xr:uid="{00000000-0005-0000-0000-000043820000}"/>
    <cellStyle name="Normal 43 2 2 7" xfId="21348" xr:uid="{00000000-0005-0000-0000-000044820000}"/>
    <cellStyle name="Normal 43 2 3" xfId="7225" xr:uid="{00000000-0005-0000-0000-000045820000}"/>
    <cellStyle name="Normal 43 2 3 2" xfId="9104" xr:uid="{00000000-0005-0000-0000-000046820000}"/>
    <cellStyle name="Normal 43 2 3 2 2" xfId="11483" xr:uid="{00000000-0005-0000-0000-000047820000}"/>
    <cellStyle name="Normal 43 2 3 2 2 2" xfId="19923" xr:uid="{00000000-0005-0000-0000-000048820000}"/>
    <cellStyle name="Normal 43 2 3 2 2 2 2" xfId="32981" xr:uid="{00000000-0005-0000-0000-000049820000}"/>
    <cellStyle name="Normal 43 2 3 2 2 3" xfId="19924" xr:uid="{00000000-0005-0000-0000-00004A820000}"/>
    <cellStyle name="Normal 43 2 3 2 2 3 2" xfId="32982" xr:uid="{00000000-0005-0000-0000-00004B820000}"/>
    <cellStyle name="Normal 43 2 3 2 2 4" xfId="24853" xr:uid="{00000000-0005-0000-0000-00004C820000}"/>
    <cellStyle name="Normal 43 2 3 2 3" xfId="19925" xr:uid="{00000000-0005-0000-0000-00004D820000}"/>
    <cellStyle name="Normal 43 2 3 2 3 2" xfId="32983" xr:uid="{00000000-0005-0000-0000-00004E820000}"/>
    <cellStyle name="Normal 43 2 3 2 4" xfId="19926" xr:uid="{00000000-0005-0000-0000-00004F820000}"/>
    <cellStyle name="Normal 43 2 3 2 4 2" xfId="32984" xr:uid="{00000000-0005-0000-0000-000050820000}"/>
    <cellStyle name="Normal 43 2 3 2 5" xfId="22697" xr:uid="{00000000-0005-0000-0000-000051820000}"/>
    <cellStyle name="Normal 43 2 3 3" xfId="10405" xr:uid="{00000000-0005-0000-0000-000052820000}"/>
    <cellStyle name="Normal 43 2 3 3 2" xfId="19927" xr:uid="{00000000-0005-0000-0000-000053820000}"/>
    <cellStyle name="Normal 43 2 3 3 2 2" xfId="32985" xr:uid="{00000000-0005-0000-0000-000054820000}"/>
    <cellStyle name="Normal 43 2 3 3 3" xfId="19928" xr:uid="{00000000-0005-0000-0000-000055820000}"/>
    <cellStyle name="Normal 43 2 3 3 3 2" xfId="32986" xr:uid="{00000000-0005-0000-0000-000056820000}"/>
    <cellStyle name="Normal 43 2 3 3 4" xfId="23775" xr:uid="{00000000-0005-0000-0000-000057820000}"/>
    <cellStyle name="Normal 43 2 3 4" xfId="19929" xr:uid="{00000000-0005-0000-0000-000058820000}"/>
    <cellStyle name="Normal 43 2 3 4 2" xfId="32987" xr:uid="{00000000-0005-0000-0000-000059820000}"/>
    <cellStyle name="Normal 43 2 3 5" xfId="19930" xr:uid="{00000000-0005-0000-0000-00005A820000}"/>
    <cellStyle name="Normal 43 2 3 5 2" xfId="32988" xr:uid="{00000000-0005-0000-0000-00005B820000}"/>
    <cellStyle name="Normal 43 2 3 6" xfId="21619" xr:uid="{00000000-0005-0000-0000-00005C820000}"/>
    <cellStyle name="Normal 43 2 4" xfId="8502" xr:uid="{00000000-0005-0000-0000-00005D820000}"/>
    <cellStyle name="Normal 43 2 4 2" xfId="10943" xr:uid="{00000000-0005-0000-0000-00005E820000}"/>
    <cellStyle name="Normal 43 2 4 2 2" xfId="19931" xr:uid="{00000000-0005-0000-0000-00005F820000}"/>
    <cellStyle name="Normal 43 2 4 2 2 2" xfId="32989" xr:uid="{00000000-0005-0000-0000-000060820000}"/>
    <cellStyle name="Normal 43 2 4 2 3" xfId="19932" xr:uid="{00000000-0005-0000-0000-000061820000}"/>
    <cellStyle name="Normal 43 2 4 2 3 2" xfId="32990" xr:uid="{00000000-0005-0000-0000-000062820000}"/>
    <cellStyle name="Normal 43 2 4 2 4" xfId="24313" xr:uid="{00000000-0005-0000-0000-000063820000}"/>
    <cellStyle name="Normal 43 2 4 3" xfId="19933" xr:uid="{00000000-0005-0000-0000-000064820000}"/>
    <cellStyle name="Normal 43 2 4 3 2" xfId="32991" xr:uid="{00000000-0005-0000-0000-000065820000}"/>
    <cellStyle name="Normal 43 2 4 4" xfId="19934" xr:uid="{00000000-0005-0000-0000-000066820000}"/>
    <cellStyle name="Normal 43 2 4 4 2" xfId="32992" xr:uid="{00000000-0005-0000-0000-000067820000}"/>
    <cellStyle name="Normal 43 2 4 5" xfId="22157" xr:uid="{00000000-0005-0000-0000-000068820000}"/>
    <cellStyle name="Normal 43 2 5" xfId="9865" xr:uid="{00000000-0005-0000-0000-000069820000}"/>
    <cellStyle name="Normal 43 2 5 2" xfId="19935" xr:uid="{00000000-0005-0000-0000-00006A820000}"/>
    <cellStyle name="Normal 43 2 5 2 2" xfId="32993" xr:uid="{00000000-0005-0000-0000-00006B820000}"/>
    <cellStyle name="Normal 43 2 5 3" xfId="19936" xr:uid="{00000000-0005-0000-0000-00006C820000}"/>
    <cellStyle name="Normal 43 2 5 3 2" xfId="32994" xr:uid="{00000000-0005-0000-0000-00006D820000}"/>
    <cellStyle name="Normal 43 2 5 4" xfId="23235" xr:uid="{00000000-0005-0000-0000-00006E820000}"/>
    <cellStyle name="Normal 43 2 6" xfId="19937" xr:uid="{00000000-0005-0000-0000-00006F820000}"/>
    <cellStyle name="Normal 43 2 6 2" xfId="32995" xr:uid="{00000000-0005-0000-0000-000070820000}"/>
    <cellStyle name="Normal 43 2 7" xfId="19938" xr:uid="{00000000-0005-0000-0000-000071820000}"/>
    <cellStyle name="Normal 43 2 7 2" xfId="32996" xr:uid="{00000000-0005-0000-0000-000072820000}"/>
    <cellStyle name="Normal 43 2 8" xfId="21079" xr:uid="{00000000-0005-0000-0000-000073820000}"/>
    <cellStyle name="Normal 43 3" xfId="6657" xr:uid="{00000000-0005-0000-0000-000074820000}"/>
    <cellStyle name="Normal 43 3 2" xfId="7351" xr:uid="{00000000-0005-0000-0000-000075820000}"/>
    <cellStyle name="Normal 43 3 2 2" xfId="9230" xr:uid="{00000000-0005-0000-0000-000076820000}"/>
    <cellStyle name="Normal 43 3 2 2 2" xfId="11609" xr:uid="{00000000-0005-0000-0000-000077820000}"/>
    <cellStyle name="Normal 43 3 2 2 2 2" xfId="19939" xr:uid="{00000000-0005-0000-0000-000078820000}"/>
    <cellStyle name="Normal 43 3 2 2 2 2 2" xfId="32997" xr:uid="{00000000-0005-0000-0000-000079820000}"/>
    <cellStyle name="Normal 43 3 2 2 2 3" xfId="19940" xr:uid="{00000000-0005-0000-0000-00007A820000}"/>
    <cellStyle name="Normal 43 3 2 2 2 3 2" xfId="32998" xr:uid="{00000000-0005-0000-0000-00007B820000}"/>
    <cellStyle name="Normal 43 3 2 2 2 4" xfId="24979" xr:uid="{00000000-0005-0000-0000-00007C820000}"/>
    <cellStyle name="Normal 43 3 2 2 3" xfId="19941" xr:uid="{00000000-0005-0000-0000-00007D820000}"/>
    <cellStyle name="Normal 43 3 2 2 3 2" xfId="32999" xr:uid="{00000000-0005-0000-0000-00007E820000}"/>
    <cellStyle name="Normal 43 3 2 2 4" xfId="19942" xr:uid="{00000000-0005-0000-0000-00007F820000}"/>
    <cellStyle name="Normal 43 3 2 2 4 2" xfId="33000" xr:uid="{00000000-0005-0000-0000-000080820000}"/>
    <cellStyle name="Normal 43 3 2 2 5" xfId="22823" xr:uid="{00000000-0005-0000-0000-000081820000}"/>
    <cellStyle name="Normal 43 3 2 3" xfId="10531" xr:uid="{00000000-0005-0000-0000-000082820000}"/>
    <cellStyle name="Normal 43 3 2 3 2" xfId="19943" xr:uid="{00000000-0005-0000-0000-000083820000}"/>
    <cellStyle name="Normal 43 3 2 3 2 2" xfId="33001" xr:uid="{00000000-0005-0000-0000-000084820000}"/>
    <cellStyle name="Normal 43 3 2 3 3" xfId="19944" xr:uid="{00000000-0005-0000-0000-000085820000}"/>
    <cellStyle name="Normal 43 3 2 3 3 2" xfId="33002" xr:uid="{00000000-0005-0000-0000-000086820000}"/>
    <cellStyle name="Normal 43 3 2 3 4" xfId="23901" xr:uid="{00000000-0005-0000-0000-000087820000}"/>
    <cellStyle name="Normal 43 3 2 4" xfId="19945" xr:uid="{00000000-0005-0000-0000-000088820000}"/>
    <cellStyle name="Normal 43 3 2 4 2" xfId="33003" xr:uid="{00000000-0005-0000-0000-000089820000}"/>
    <cellStyle name="Normal 43 3 2 5" xfId="19946" xr:uid="{00000000-0005-0000-0000-00008A820000}"/>
    <cellStyle name="Normal 43 3 2 5 2" xfId="33004" xr:uid="{00000000-0005-0000-0000-00008B820000}"/>
    <cellStyle name="Normal 43 3 2 6" xfId="21745" xr:uid="{00000000-0005-0000-0000-00008C820000}"/>
    <cellStyle name="Normal 43 3 3" xfId="8684" xr:uid="{00000000-0005-0000-0000-00008D820000}"/>
    <cellStyle name="Normal 43 3 3 2" xfId="11069" xr:uid="{00000000-0005-0000-0000-00008E820000}"/>
    <cellStyle name="Normal 43 3 3 2 2" xfId="19947" xr:uid="{00000000-0005-0000-0000-00008F820000}"/>
    <cellStyle name="Normal 43 3 3 2 2 2" xfId="33005" xr:uid="{00000000-0005-0000-0000-000090820000}"/>
    <cellStyle name="Normal 43 3 3 2 3" xfId="19948" xr:uid="{00000000-0005-0000-0000-000091820000}"/>
    <cellStyle name="Normal 43 3 3 2 3 2" xfId="33006" xr:uid="{00000000-0005-0000-0000-000092820000}"/>
    <cellStyle name="Normal 43 3 3 2 4" xfId="24439" xr:uid="{00000000-0005-0000-0000-000093820000}"/>
    <cellStyle name="Normal 43 3 3 3" xfId="19949" xr:uid="{00000000-0005-0000-0000-000094820000}"/>
    <cellStyle name="Normal 43 3 3 3 2" xfId="33007" xr:uid="{00000000-0005-0000-0000-000095820000}"/>
    <cellStyle name="Normal 43 3 3 4" xfId="19950" xr:uid="{00000000-0005-0000-0000-000096820000}"/>
    <cellStyle name="Normal 43 3 3 4 2" xfId="33008" xr:uid="{00000000-0005-0000-0000-000097820000}"/>
    <cellStyle name="Normal 43 3 3 5" xfId="22283" xr:uid="{00000000-0005-0000-0000-000098820000}"/>
    <cellStyle name="Normal 43 3 4" xfId="9991" xr:uid="{00000000-0005-0000-0000-000099820000}"/>
    <cellStyle name="Normal 43 3 4 2" xfId="19951" xr:uid="{00000000-0005-0000-0000-00009A820000}"/>
    <cellStyle name="Normal 43 3 4 2 2" xfId="33009" xr:uid="{00000000-0005-0000-0000-00009B820000}"/>
    <cellStyle name="Normal 43 3 4 3" xfId="19952" xr:uid="{00000000-0005-0000-0000-00009C820000}"/>
    <cellStyle name="Normal 43 3 4 3 2" xfId="33010" xr:uid="{00000000-0005-0000-0000-00009D820000}"/>
    <cellStyle name="Normal 43 3 4 4" xfId="23361" xr:uid="{00000000-0005-0000-0000-00009E820000}"/>
    <cellStyle name="Normal 43 3 5" xfId="19953" xr:uid="{00000000-0005-0000-0000-00009F820000}"/>
    <cellStyle name="Normal 43 3 5 2" xfId="33011" xr:uid="{00000000-0005-0000-0000-0000A0820000}"/>
    <cellStyle name="Normal 43 3 6" xfId="19954" xr:uid="{00000000-0005-0000-0000-0000A1820000}"/>
    <cellStyle name="Normal 43 3 6 2" xfId="33012" xr:uid="{00000000-0005-0000-0000-0000A2820000}"/>
    <cellStyle name="Normal 43 3 7" xfId="21205" xr:uid="{00000000-0005-0000-0000-0000A3820000}"/>
    <cellStyle name="Normal 43 4" xfId="7082" xr:uid="{00000000-0005-0000-0000-0000A4820000}"/>
    <cellStyle name="Normal 43 4 2" xfId="8961" xr:uid="{00000000-0005-0000-0000-0000A5820000}"/>
    <cellStyle name="Normal 43 4 2 2" xfId="11340" xr:uid="{00000000-0005-0000-0000-0000A6820000}"/>
    <cellStyle name="Normal 43 4 2 2 2" xfId="19955" xr:uid="{00000000-0005-0000-0000-0000A7820000}"/>
    <cellStyle name="Normal 43 4 2 2 2 2" xfId="33013" xr:uid="{00000000-0005-0000-0000-0000A8820000}"/>
    <cellStyle name="Normal 43 4 2 2 3" xfId="19956" xr:uid="{00000000-0005-0000-0000-0000A9820000}"/>
    <cellStyle name="Normal 43 4 2 2 3 2" xfId="33014" xr:uid="{00000000-0005-0000-0000-0000AA820000}"/>
    <cellStyle name="Normal 43 4 2 2 4" xfId="24710" xr:uid="{00000000-0005-0000-0000-0000AB820000}"/>
    <cellStyle name="Normal 43 4 2 3" xfId="19957" xr:uid="{00000000-0005-0000-0000-0000AC820000}"/>
    <cellStyle name="Normal 43 4 2 3 2" xfId="33015" xr:uid="{00000000-0005-0000-0000-0000AD820000}"/>
    <cellStyle name="Normal 43 4 2 4" xfId="19958" xr:uid="{00000000-0005-0000-0000-0000AE820000}"/>
    <cellStyle name="Normal 43 4 2 4 2" xfId="33016" xr:uid="{00000000-0005-0000-0000-0000AF820000}"/>
    <cellStyle name="Normal 43 4 2 5" xfId="22554" xr:uid="{00000000-0005-0000-0000-0000B0820000}"/>
    <cellStyle name="Normal 43 4 3" xfId="10262" xr:uid="{00000000-0005-0000-0000-0000B1820000}"/>
    <cellStyle name="Normal 43 4 3 2" xfId="19959" xr:uid="{00000000-0005-0000-0000-0000B2820000}"/>
    <cellStyle name="Normal 43 4 3 2 2" xfId="33017" xr:uid="{00000000-0005-0000-0000-0000B3820000}"/>
    <cellStyle name="Normal 43 4 3 3" xfId="19960" xr:uid="{00000000-0005-0000-0000-0000B4820000}"/>
    <cellStyle name="Normal 43 4 3 3 2" xfId="33018" xr:uid="{00000000-0005-0000-0000-0000B5820000}"/>
    <cellStyle name="Normal 43 4 3 4" xfId="23632" xr:uid="{00000000-0005-0000-0000-0000B6820000}"/>
    <cellStyle name="Normal 43 4 4" xfId="19961" xr:uid="{00000000-0005-0000-0000-0000B7820000}"/>
    <cellStyle name="Normal 43 4 4 2" xfId="33019" xr:uid="{00000000-0005-0000-0000-0000B8820000}"/>
    <cellStyle name="Normal 43 4 5" xfId="19962" xr:uid="{00000000-0005-0000-0000-0000B9820000}"/>
    <cellStyle name="Normal 43 4 5 2" xfId="33020" xr:uid="{00000000-0005-0000-0000-0000BA820000}"/>
    <cellStyle name="Normal 43 4 6" xfId="21476" xr:uid="{00000000-0005-0000-0000-0000BB820000}"/>
    <cellStyle name="Normal 43 5" xfId="8288" xr:uid="{00000000-0005-0000-0000-0000BC820000}"/>
    <cellStyle name="Normal 43 5 2" xfId="10800" xr:uid="{00000000-0005-0000-0000-0000BD820000}"/>
    <cellStyle name="Normal 43 5 2 2" xfId="19963" xr:uid="{00000000-0005-0000-0000-0000BE820000}"/>
    <cellStyle name="Normal 43 5 2 2 2" xfId="33021" xr:uid="{00000000-0005-0000-0000-0000BF820000}"/>
    <cellStyle name="Normal 43 5 2 3" xfId="19964" xr:uid="{00000000-0005-0000-0000-0000C0820000}"/>
    <cellStyle name="Normal 43 5 2 3 2" xfId="33022" xr:uid="{00000000-0005-0000-0000-0000C1820000}"/>
    <cellStyle name="Normal 43 5 2 4" xfId="24170" xr:uid="{00000000-0005-0000-0000-0000C2820000}"/>
    <cellStyle name="Normal 43 5 3" xfId="19965" xr:uid="{00000000-0005-0000-0000-0000C3820000}"/>
    <cellStyle name="Normal 43 5 3 2" xfId="33023" xr:uid="{00000000-0005-0000-0000-0000C4820000}"/>
    <cellStyle name="Normal 43 5 4" xfId="19966" xr:uid="{00000000-0005-0000-0000-0000C5820000}"/>
    <cellStyle name="Normal 43 5 4 2" xfId="33024" xr:uid="{00000000-0005-0000-0000-0000C6820000}"/>
    <cellStyle name="Normal 43 5 5" xfId="22014" xr:uid="{00000000-0005-0000-0000-0000C7820000}"/>
    <cellStyle name="Normal 43 6" xfId="9722" xr:uid="{00000000-0005-0000-0000-0000C8820000}"/>
    <cellStyle name="Normal 43 6 2" xfId="19967" xr:uid="{00000000-0005-0000-0000-0000C9820000}"/>
    <cellStyle name="Normal 43 6 2 2" xfId="33025" xr:uid="{00000000-0005-0000-0000-0000CA820000}"/>
    <cellStyle name="Normal 43 6 3" xfId="19968" xr:uid="{00000000-0005-0000-0000-0000CB820000}"/>
    <cellStyle name="Normal 43 6 3 2" xfId="33026" xr:uid="{00000000-0005-0000-0000-0000CC820000}"/>
    <cellStyle name="Normal 43 6 4" xfId="23092" xr:uid="{00000000-0005-0000-0000-0000CD820000}"/>
    <cellStyle name="Normal 43 7" xfId="19969" xr:uid="{00000000-0005-0000-0000-0000CE820000}"/>
    <cellStyle name="Normal 43 7 2" xfId="33027" xr:uid="{00000000-0005-0000-0000-0000CF820000}"/>
    <cellStyle name="Normal 43 8" xfId="19970" xr:uid="{00000000-0005-0000-0000-0000D0820000}"/>
    <cellStyle name="Normal 43 8 2" xfId="33028" xr:uid="{00000000-0005-0000-0000-0000D1820000}"/>
    <cellStyle name="Normal 43 9" xfId="20936" xr:uid="{00000000-0005-0000-0000-0000D2820000}"/>
    <cellStyle name="Normal 44" xfId="4139" xr:uid="{00000000-0005-0000-0000-0000D3820000}"/>
    <cellStyle name="Normal 44 2" xfId="5663" xr:uid="{00000000-0005-0000-0000-0000D4820000}"/>
    <cellStyle name="Normal 44 2 2" xfId="6808" xr:uid="{00000000-0005-0000-0000-0000D5820000}"/>
    <cellStyle name="Normal 44 2 2 2" xfId="7495" xr:uid="{00000000-0005-0000-0000-0000D6820000}"/>
    <cellStyle name="Normal 44 2 2 2 2" xfId="9374" xr:uid="{00000000-0005-0000-0000-0000D7820000}"/>
    <cellStyle name="Normal 44 2 2 2 2 2" xfId="11753" xr:uid="{00000000-0005-0000-0000-0000D8820000}"/>
    <cellStyle name="Normal 44 2 2 2 2 2 2" xfId="19971" xr:uid="{00000000-0005-0000-0000-0000D9820000}"/>
    <cellStyle name="Normal 44 2 2 2 2 2 2 2" xfId="33029" xr:uid="{00000000-0005-0000-0000-0000DA820000}"/>
    <cellStyle name="Normal 44 2 2 2 2 2 3" xfId="19972" xr:uid="{00000000-0005-0000-0000-0000DB820000}"/>
    <cellStyle name="Normal 44 2 2 2 2 2 3 2" xfId="33030" xr:uid="{00000000-0005-0000-0000-0000DC820000}"/>
    <cellStyle name="Normal 44 2 2 2 2 2 4" xfId="25123" xr:uid="{00000000-0005-0000-0000-0000DD820000}"/>
    <cellStyle name="Normal 44 2 2 2 2 3" xfId="19973" xr:uid="{00000000-0005-0000-0000-0000DE820000}"/>
    <cellStyle name="Normal 44 2 2 2 2 3 2" xfId="33031" xr:uid="{00000000-0005-0000-0000-0000DF820000}"/>
    <cellStyle name="Normal 44 2 2 2 2 4" xfId="19974" xr:uid="{00000000-0005-0000-0000-0000E0820000}"/>
    <cellStyle name="Normal 44 2 2 2 2 4 2" xfId="33032" xr:uid="{00000000-0005-0000-0000-0000E1820000}"/>
    <cellStyle name="Normal 44 2 2 2 2 5" xfId="22967" xr:uid="{00000000-0005-0000-0000-0000E2820000}"/>
    <cellStyle name="Normal 44 2 2 2 3" xfId="10675" xr:uid="{00000000-0005-0000-0000-0000E3820000}"/>
    <cellStyle name="Normal 44 2 2 2 3 2" xfId="19975" xr:uid="{00000000-0005-0000-0000-0000E4820000}"/>
    <cellStyle name="Normal 44 2 2 2 3 2 2" xfId="33033" xr:uid="{00000000-0005-0000-0000-0000E5820000}"/>
    <cellStyle name="Normal 44 2 2 2 3 3" xfId="19976" xr:uid="{00000000-0005-0000-0000-0000E6820000}"/>
    <cellStyle name="Normal 44 2 2 2 3 3 2" xfId="33034" xr:uid="{00000000-0005-0000-0000-0000E7820000}"/>
    <cellStyle name="Normal 44 2 2 2 3 4" xfId="24045" xr:uid="{00000000-0005-0000-0000-0000E8820000}"/>
    <cellStyle name="Normal 44 2 2 2 4" xfId="19977" xr:uid="{00000000-0005-0000-0000-0000E9820000}"/>
    <cellStyle name="Normal 44 2 2 2 4 2" xfId="33035" xr:uid="{00000000-0005-0000-0000-0000EA820000}"/>
    <cellStyle name="Normal 44 2 2 2 5" xfId="19978" xr:uid="{00000000-0005-0000-0000-0000EB820000}"/>
    <cellStyle name="Normal 44 2 2 2 5 2" xfId="33036" xr:uid="{00000000-0005-0000-0000-0000EC820000}"/>
    <cellStyle name="Normal 44 2 2 2 6" xfId="21889" xr:uid="{00000000-0005-0000-0000-0000ED820000}"/>
    <cellStyle name="Normal 44 2 2 3" xfId="8828" xr:uid="{00000000-0005-0000-0000-0000EE820000}"/>
    <cellStyle name="Normal 44 2 2 3 2" xfId="11213" xr:uid="{00000000-0005-0000-0000-0000EF820000}"/>
    <cellStyle name="Normal 44 2 2 3 2 2" xfId="19979" xr:uid="{00000000-0005-0000-0000-0000F0820000}"/>
    <cellStyle name="Normal 44 2 2 3 2 2 2" xfId="33037" xr:uid="{00000000-0005-0000-0000-0000F1820000}"/>
    <cellStyle name="Normal 44 2 2 3 2 3" xfId="19980" xr:uid="{00000000-0005-0000-0000-0000F2820000}"/>
    <cellStyle name="Normal 44 2 2 3 2 3 2" xfId="33038" xr:uid="{00000000-0005-0000-0000-0000F3820000}"/>
    <cellStyle name="Normal 44 2 2 3 2 4" xfId="24583" xr:uid="{00000000-0005-0000-0000-0000F4820000}"/>
    <cellStyle name="Normal 44 2 2 3 3" xfId="19981" xr:uid="{00000000-0005-0000-0000-0000F5820000}"/>
    <cellStyle name="Normal 44 2 2 3 3 2" xfId="33039" xr:uid="{00000000-0005-0000-0000-0000F6820000}"/>
    <cellStyle name="Normal 44 2 2 3 4" xfId="19982" xr:uid="{00000000-0005-0000-0000-0000F7820000}"/>
    <cellStyle name="Normal 44 2 2 3 4 2" xfId="33040" xr:uid="{00000000-0005-0000-0000-0000F8820000}"/>
    <cellStyle name="Normal 44 2 2 3 5" xfId="22427" xr:uid="{00000000-0005-0000-0000-0000F9820000}"/>
    <cellStyle name="Normal 44 2 2 4" xfId="10135" xr:uid="{00000000-0005-0000-0000-0000FA820000}"/>
    <cellStyle name="Normal 44 2 2 4 2" xfId="19983" xr:uid="{00000000-0005-0000-0000-0000FB820000}"/>
    <cellStyle name="Normal 44 2 2 4 2 2" xfId="33041" xr:uid="{00000000-0005-0000-0000-0000FC820000}"/>
    <cellStyle name="Normal 44 2 2 4 3" xfId="19984" xr:uid="{00000000-0005-0000-0000-0000FD820000}"/>
    <cellStyle name="Normal 44 2 2 4 3 2" xfId="33042" xr:uid="{00000000-0005-0000-0000-0000FE820000}"/>
    <cellStyle name="Normal 44 2 2 4 4" xfId="23505" xr:uid="{00000000-0005-0000-0000-0000FF820000}"/>
    <cellStyle name="Normal 44 2 2 5" xfId="19985" xr:uid="{00000000-0005-0000-0000-000000830000}"/>
    <cellStyle name="Normal 44 2 2 5 2" xfId="33043" xr:uid="{00000000-0005-0000-0000-000001830000}"/>
    <cellStyle name="Normal 44 2 2 6" xfId="19986" xr:uid="{00000000-0005-0000-0000-000002830000}"/>
    <cellStyle name="Normal 44 2 2 6 2" xfId="33044" xr:uid="{00000000-0005-0000-0000-000003830000}"/>
    <cellStyle name="Normal 44 2 2 7" xfId="21349" xr:uid="{00000000-0005-0000-0000-000004830000}"/>
    <cellStyle name="Normal 44 2 3" xfId="7226" xr:uid="{00000000-0005-0000-0000-000005830000}"/>
    <cellStyle name="Normal 44 2 3 2" xfId="9105" xr:uid="{00000000-0005-0000-0000-000006830000}"/>
    <cellStyle name="Normal 44 2 3 2 2" xfId="11484" xr:uid="{00000000-0005-0000-0000-000007830000}"/>
    <cellStyle name="Normal 44 2 3 2 2 2" xfId="19987" xr:uid="{00000000-0005-0000-0000-000008830000}"/>
    <cellStyle name="Normal 44 2 3 2 2 2 2" xfId="33045" xr:uid="{00000000-0005-0000-0000-000009830000}"/>
    <cellStyle name="Normal 44 2 3 2 2 3" xfId="19988" xr:uid="{00000000-0005-0000-0000-00000A830000}"/>
    <cellStyle name="Normal 44 2 3 2 2 3 2" xfId="33046" xr:uid="{00000000-0005-0000-0000-00000B830000}"/>
    <cellStyle name="Normal 44 2 3 2 2 4" xfId="24854" xr:uid="{00000000-0005-0000-0000-00000C830000}"/>
    <cellStyle name="Normal 44 2 3 2 3" xfId="19989" xr:uid="{00000000-0005-0000-0000-00000D830000}"/>
    <cellStyle name="Normal 44 2 3 2 3 2" xfId="33047" xr:uid="{00000000-0005-0000-0000-00000E830000}"/>
    <cellStyle name="Normal 44 2 3 2 4" xfId="19990" xr:uid="{00000000-0005-0000-0000-00000F830000}"/>
    <cellStyle name="Normal 44 2 3 2 4 2" xfId="33048" xr:uid="{00000000-0005-0000-0000-000010830000}"/>
    <cellStyle name="Normal 44 2 3 2 5" xfId="22698" xr:uid="{00000000-0005-0000-0000-000011830000}"/>
    <cellStyle name="Normal 44 2 3 3" xfId="10406" xr:uid="{00000000-0005-0000-0000-000012830000}"/>
    <cellStyle name="Normal 44 2 3 3 2" xfId="19991" xr:uid="{00000000-0005-0000-0000-000013830000}"/>
    <cellStyle name="Normal 44 2 3 3 2 2" xfId="33049" xr:uid="{00000000-0005-0000-0000-000014830000}"/>
    <cellStyle name="Normal 44 2 3 3 3" xfId="19992" xr:uid="{00000000-0005-0000-0000-000015830000}"/>
    <cellStyle name="Normal 44 2 3 3 3 2" xfId="33050" xr:uid="{00000000-0005-0000-0000-000016830000}"/>
    <cellStyle name="Normal 44 2 3 3 4" xfId="23776" xr:uid="{00000000-0005-0000-0000-000017830000}"/>
    <cellStyle name="Normal 44 2 3 4" xfId="19993" xr:uid="{00000000-0005-0000-0000-000018830000}"/>
    <cellStyle name="Normal 44 2 3 4 2" xfId="33051" xr:uid="{00000000-0005-0000-0000-000019830000}"/>
    <cellStyle name="Normal 44 2 3 5" xfId="19994" xr:uid="{00000000-0005-0000-0000-00001A830000}"/>
    <cellStyle name="Normal 44 2 3 5 2" xfId="33052" xr:uid="{00000000-0005-0000-0000-00001B830000}"/>
    <cellStyle name="Normal 44 2 3 6" xfId="21620" xr:uid="{00000000-0005-0000-0000-00001C830000}"/>
    <cellStyle name="Normal 44 2 4" xfId="8503" xr:uid="{00000000-0005-0000-0000-00001D830000}"/>
    <cellStyle name="Normal 44 2 4 2" xfId="10944" xr:uid="{00000000-0005-0000-0000-00001E830000}"/>
    <cellStyle name="Normal 44 2 4 2 2" xfId="19995" xr:uid="{00000000-0005-0000-0000-00001F830000}"/>
    <cellStyle name="Normal 44 2 4 2 2 2" xfId="33053" xr:uid="{00000000-0005-0000-0000-000020830000}"/>
    <cellStyle name="Normal 44 2 4 2 3" xfId="19996" xr:uid="{00000000-0005-0000-0000-000021830000}"/>
    <cellStyle name="Normal 44 2 4 2 3 2" xfId="33054" xr:uid="{00000000-0005-0000-0000-000022830000}"/>
    <cellStyle name="Normal 44 2 4 2 4" xfId="24314" xr:uid="{00000000-0005-0000-0000-000023830000}"/>
    <cellStyle name="Normal 44 2 4 3" xfId="19997" xr:uid="{00000000-0005-0000-0000-000024830000}"/>
    <cellStyle name="Normal 44 2 4 3 2" xfId="33055" xr:uid="{00000000-0005-0000-0000-000025830000}"/>
    <cellStyle name="Normal 44 2 4 4" xfId="19998" xr:uid="{00000000-0005-0000-0000-000026830000}"/>
    <cellStyle name="Normal 44 2 4 4 2" xfId="33056" xr:uid="{00000000-0005-0000-0000-000027830000}"/>
    <cellStyle name="Normal 44 2 4 5" xfId="22158" xr:uid="{00000000-0005-0000-0000-000028830000}"/>
    <cellStyle name="Normal 44 2 5" xfId="9866" xr:uid="{00000000-0005-0000-0000-000029830000}"/>
    <cellStyle name="Normal 44 2 5 2" xfId="19999" xr:uid="{00000000-0005-0000-0000-00002A830000}"/>
    <cellStyle name="Normal 44 2 5 2 2" xfId="33057" xr:uid="{00000000-0005-0000-0000-00002B830000}"/>
    <cellStyle name="Normal 44 2 5 3" xfId="20000" xr:uid="{00000000-0005-0000-0000-00002C830000}"/>
    <cellStyle name="Normal 44 2 5 3 2" xfId="33058" xr:uid="{00000000-0005-0000-0000-00002D830000}"/>
    <cellStyle name="Normal 44 2 5 4" xfId="23236" xr:uid="{00000000-0005-0000-0000-00002E830000}"/>
    <cellStyle name="Normal 44 2 6" xfId="20001" xr:uid="{00000000-0005-0000-0000-00002F830000}"/>
    <cellStyle name="Normal 44 2 6 2" xfId="33059" xr:uid="{00000000-0005-0000-0000-000030830000}"/>
    <cellStyle name="Normal 44 2 7" xfId="20002" xr:uid="{00000000-0005-0000-0000-000031830000}"/>
    <cellStyle name="Normal 44 2 7 2" xfId="33060" xr:uid="{00000000-0005-0000-0000-000032830000}"/>
    <cellStyle name="Normal 44 2 8" xfId="21080" xr:uid="{00000000-0005-0000-0000-000033830000}"/>
    <cellStyle name="Normal 44 3" xfId="6658" xr:uid="{00000000-0005-0000-0000-000034830000}"/>
    <cellStyle name="Normal 44 3 2" xfId="7352" xr:uid="{00000000-0005-0000-0000-000035830000}"/>
    <cellStyle name="Normal 44 3 2 2" xfId="9231" xr:uid="{00000000-0005-0000-0000-000036830000}"/>
    <cellStyle name="Normal 44 3 2 2 2" xfId="11610" xr:uid="{00000000-0005-0000-0000-000037830000}"/>
    <cellStyle name="Normal 44 3 2 2 2 2" xfId="20003" xr:uid="{00000000-0005-0000-0000-000038830000}"/>
    <cellStyle name="Normal 44 3 2 2 2 2 2" xfId="33061" xr:uid="{00000000-0005-0000-0000-000039830000}"/>
    <cellStyle name="Normal 44 3 2 2 2 3" xfId="20004" xr:uid="{00000000-0005-0000-0000-00003A830000}"/>
    <cellStyle name="Normal 44 3 2 2 2 3 2" xfId="33062" xr:uid="{00000000-0005-0000-0000-00003B830000}"/>
    <cellStyle name="Normal 44 3 2 2 2 4" xfId="24980" xr:uid="{00000000-0005-0000-0000-00003C830000}"/>
    <cellStyle name="Normal 44 3 2 2 3" xfId="20005" xr:uid="{00000000-0005-0000-0000-00003D830000}"/>
    <cellStyle name="Normal 44 3 2 2 3 2" xfId="33063" xr:uid="{00000000-0005-0000-0000-00003E830000}"/>
    <cellStyle name="Normal 44 3 2 2 4" xfId="20006" xr:uid="{00000000-0005-0000-0000-00003F830000}"/>
    <cellStyle name="Normal 44 3 2 2 4 2" xfId="33064" xr:uid="{00000000-0005-0000-0000-000040830000}"/>
    <cellStyle name="Normal 44 3 2 2 5" xfId="22824" xr:uid="{00000000-0005-0000-0000-000041830000}"/>
    <cellStyle name="Normal 44 3 2 3" xfId="10532" xr:uid="{00000000-0005-0000-0000-000042830000}"/>
    <cellStyle name="Normal 44 3 2 3 2" xfId="20007" xr:uid="{00000000-0005-0000-0000-000043830000}"/>
    <cellStyle name="Normal 44 3 2 3 2 2" xfId="33065" xr:uid="{00000000-0005-0000-0000-000044830000}"/>
    <cellStyle name="Normal 44 3 2 3 3" xfId="20008" xr:uid="{00000000-0005-0000-0000-000045830000}"/>
    <cellStyle name="Normal 44 3 2 3 3 2" xfId="33066" xr:uid="{00000000-0005-0000-0000-000046830000}"/>
    <cellStyle name="Normal 44 3 2 3 4" xfId="23902" xr:uid="{00000000-0005-0000-0000-000047830000}"/>
    <cellStyle name="Normal 44 3 2 4" xfId="20009" xr:uid="{00000000-0005-0000-0000-000048830000}"/>
    <cellStyle name="Normal 44 3 2 4 2" xfId="33067" xr:uid="{00000000-0005-0000-0000-000049830000}"/>
    <cellStyle name="Normal 44 3 2 5" xfId="20010" xr:uid="{00000000-0005-0000-0000-00004A830000}"/>
    <cellStyle name="Normal 44 3 2 5 2" xfId="33068" xr:uid="{00000000-0005-0000-0000-00004B830000}"/>
    <cellStyle name="Normal 44 3 2 6" xfId="21746" xr:uid="{00000000-0005-0000-0000-00004C830000}"/>
    <cellStyle name="Normal 44 3 3" xfId="8685" xr:uid="{00000000-0005-0000-0000-00004D830000}"/>
    <cellStyle name="Normal 44 3 3 2" xfId="11070" xr:uid="{00000000-0005-0000-0000-00004E830000}"/>
    <cellStyle name="Normal 44 3 3 2 2" xfId="20011" xr:uid="{00000000-0005-0000-0000-00004F830000}"/>
    <cellStyle name="Normal 44 3 3 2 2 2" xfId="33069" xr:uid="{00000000-0005-0000-0000-000050830000}"/>
    <cellStyle name="Normal 44 3 3 2 3" xfId="20012" xr:uid="{00000000-0005-0000-0000-000051830000}"/>
    <cellStyle name="Normal 44 3 3 2 3 2" xfId="33070" xr:uid="{00000000-0005-0000-0000-000052830000}"/>
    <cellStyle name="Normal 44 3 3 2 4" xfId="24440" xr:uid="{00000000-0005-0000-0000-000053830000}"/>
    <cellStyle name="Normal 44 3 3 3" xfId="20013" xr:uid="{00000000-0005-0000-0000-000054830000}"/>
    <cellStyle name="Normal 44 3 3 3 2" xfId="33071" xr:uid="{00000000-0005-0000-0000-000055830000}"/>
    <cellStyle name="Normal 44 3 3 4" xfId="20014" xr:uid="{00000000-0005-0000-0000-000056830000}"/>
    <cellStyle name="Normal 44 3 3 4 2" xfId="33072" xr:uid="{00000000-0005-0000-0000-000057830000}"/>
    <cellStyle name="Normal 44 3 3 5" xfId="22284" xr:uid="{00000000-0005-0000-0000-000058830000}"/>
    <cellStyle name="Normal 44 3 4" xfId="9992" xr:uid="{00000000-0005-0000-0000-000059830000}"/>
    <cellStyle name="Normal 44 3 4 2" xfId="20015" xr:uid="{00000000-0005-0000-0000-00005A830000}"/>
    <cellStyle name="Normal 44 3 4 2 2" xfId="33073" xr:uid="{00000000-0005-0000-0000-00005B830000}"/>
    <cellStyle name="Normal 44 3 4 3" xfId="20016" xr:uid="{00000000-0005-0000-0000-00005C830000}"/>
    <cellStyle name="Normal 44 3 4 3 2" xfId="33074" xr:uid="{00000000-0005-0000-0000-00005D830000}"/>
    <cellStyle name="Normal 44 3 4 4" xfId="23362" xr:uid="{00000000-0005-0000-0000-00005E830000}"/>
    <cellStyle name="Normal 44 3 5" xfId="20017" xr:uid="{00000000-0005-0000-0000-00005F830000}"/>
    <cellStyle name="Normal 44 3 5 2" xfId="33075" xr:uid="{00000000-0005-0000-0000-000060830000}"/>
    <cellStyle name="Normal 44 3 6" xfId="20018" xr:uid="{00000000-0005-0000-0000-000061830000}"/>
    <cellStyle name="Normal 44 3 6 2" xfId="33076" xr:uid="{00000000-0005-0000-0000-000062830000}"/>
    <cellStyle name="Normal 44 3 7" xfId="21206" xr:uid="{00000000-0005-0000-0000-000063830000}"/>
    <cellStyle name="Normal 44 4" xfId="7083" xr:uid="{00000000-0005-0000-0000-000064830000}"/>
    <cellStyle name="Normal 44 4 2" xfId="8962" xr:uid="{00000000-0005-0000-0000-000065830000}"/>
    <cellStyle name="Normal 44 4 2 2" xfId="11341" xr:uid="{00000000-0005-0000-0000-000066830000}"/>
    <cellStyle name="Normal 44 4 2 2 2" xfId="20019" xr:uid="{00000000-0005-0000-0000-000067830000}"/>
    <cellStyle name="Normal 44 4 2 2 2 2" xfId="33077" xr:uid="{00000000-0005-0000-0000-000068830000}"/>
    <cellStyle name="Normal 44 4 2 2 3" xfId="20020" xr:uid="{00000000-0005-0000-0000-000069830000}"/>
    <cellStyle name="Normal 44 4 2 2 3 2" xfId="33078" xr:uid="{00000000-0005-0000-0000-00006A830000}"/>
    <cellStyle name="Normal 44 4 2 2 4" xfId="24711" xr:uid="{00000000-0005-0000-0000-00006B830000}"/>
    <cellStyle name="Normal 44 4 2 3" xfId="20021" xr:uid="{00000000-0005-0000-0000-00006C830000}"/>
    <cellStyle name="Normal 44 4 2 3 2" xfId="33079" xr:uid="{00000000-0005-0000-0000-00006D830000}"/>
    <cellStyle name="Normal 44 4 2 4" xfId="20022" xr:uid="{00000000-0005-0000-0000-00006E830000}"/>
    <cellStyle name="Normal 44 4 2 4 2" xfId="33080" xr:uid="{00000000-0005-0000-0000-00006F830000}"/>
    <cellStyle name="Normal 44 4 2 5" xfId="22555" xr:uid="{00000000-0005-0000-0000-000070830000}"/>
    <cellStyle name="Normal 44 4 3" xfId="10263" xr:uid="{00000000-0005-0000-0000-000071830000}"/>
    <cellStyle name="Normal 44 4 3 2" xfId="20023" xr:uid="{00000000-0005-0000-0000-000072830000}"/>
    <cellStyle name="Normal 44 4 3 2 2" xfId="33081" xr:uid="{00000000-0005-0000-0000-000073830000}"/>
    <cellStyle name="Normal 44 4 3 3" xfId="20024" xr:uid="{00000000-0005-0000-0000-000074830000}"/>
    <cellStyle name="Normal 44 4 3 3 2" xfId="33082" xr:uid="{00000000-0005-0000-0000-000075830000}"/>
    <cellStyle name="Normal 44 4 3 4" xfId="23633" xr:uid="{00000000-0005-0000-0000-000076830000}"/>
    <cellStyle name="Normal 44 4 4" xfId="20025" xr:uid="{00000000-0005-0000-0000-000077830000}"/>
    <cellStyle name="Normal 44 4 4 2" xfId="33083" xr:uid="{00000000-0005-0000-0000-000078830000}"/>
    <cellStyle name="Normal 44 4 5" xfId="20026" xr:uid="{00000000-0005-0000-0000-000079830000}"/>
    <cellStyle name="Normal 44 4 5 2" xfId="33084" xr:uid="{00000000-0005-0000-0000-00007A830000}"/>
    <cellStyle name="Normal 44 4 6" xfId="21477" xr:uid="{00000000-0005-0000-0000-00007B830000}"/>
    <cellStyle name="Normal 44 5" xfId="8289" xr:uid="{00000000-0005-0000-0000-00007C830000}"/>
    <cellStyle name="Normal 44 5 2" xfId="10801" xr:uid="{00000000-0005-0000-0000-00007D830000}"/>
    <cellStyle name="Normal 44 5 2 2" xfId="20027" xr:uid="{00000000-0005-0000-0000-00007E830000}"/>
    <cellStyle name="Normal 44 5 2 2 2" xfId="33085" xr:uid="{00000000-0005-0000-0000-00007F830000}"/>
    <cellStyle name="Normal 44 5 2 3" xfId="20028" xr:uid="{00000000-0005-0000-0000-000080830000}"/>
    <cellStyle name="Normal 44 5 2 3 2" xfId="33086" xr:uid="{00000000-0005-0000-0000-000081830000}"/>
    <cellStyle name="Normal 44 5 2 4" xfId="24171" xr:uid="{00000000-0005-0000-0000-000082830000}"/>
    <cellStyle name="Normal 44 5 3" xfId="20029" xr:uid="{00000000-0005-0000-0000-000083830000}"/>
    <cellStyle name="Normal 44 5 3 2" xfId="33087" xr:uid="{00000000-0005-0000-0000-000084830000}"/>
    <cellStyle name="Normal 44 5 4" xfId="20030" xr:uid="{00000000-0005-0000-0000-000085830000}"/>
    <cellStyle name="Normal 44 5 4 2" xfId="33088" xr:uid="{00000000-0005-0000-0000-000086830000}"/>
    <cellStyle name="Normal 44 5 5" xfId="22015" xr:uid="{00000000-0005-0000-0000-000087830000}"/>
    <cellStyle name="Normal 44 6" xfId="9723" xr:uid="{00000000-0005-0000-0000-000088830000}"/>
    <cellStyle name="Normal 44 6 2" xfId="20031" xr:uid="{00000000-0005-0000-0000-000089830000}"/>
    <cellStyle name="Normal 44 6 2 2" xfId="33089" xr:uid="{00000000-0005-0000-0000-00008A830000}"/>
    <cellStyle name="Normal 44 6 3" xfId="20032" xr:uid="{00000000-0005-0000-0000-00008B830000}"/>
    <cellStyle name="Normal 44 6 3 2" xfId="33090" xr:uid="{00000000-0005-0000-0000-00008C830000}"/>
    <cellStyle name="Normal 44 6 4" xfId="23093" xr:uid="{00000000-0005-0000-0000-00008D830000}"/>
    <cellStyle name="Normal 44 7" xfId="20033" xr:uid="{00000000-0005-0000-0000-00008E830000}"/>
    <cellStyle name="Normal 44 7 2" xfId="33091" xr:uid="{00000000-0005-0000-0000-00008F830000}"/>
    <cellStyle name="Normal 44 8" xfId="20034" xr:uid="{00000000-0005-0000-0000-000090830000}"/>
    <cellStyle name="Normal 44 8 2" xfId="33092" xr:uid="{00000000-0005-0000-0000-000091830000}"/>
    <cellStyle name="Normal 44 9" xfId="20937" xr:uid="{00000000-0005-0000-0000-000092830000}"/>
    <cellStyle name="Normal 45" xfId="5664" xr:uid="{00000000-0005-0000-0000-000093830000}"/>
    <cellStyle name="Normal 45 2" xfId="6809" xr:uid="{00000000-0005-0000-0000-000094830000}"/>
    <cellStyle name="Normal 45 2 2" xfId="7496" xr:uid="{00000000-0005-0000-0000-000095830000}"/>
    <cellStyle name="Normal 45 2 2 2" xfId="9375" xr:uid="{00000000-0005-0000-0000-000096830000}"/>
    <cellStyle name="Normal 45 2 2 2 2" xfId="11754" xr:uid="{00000000-0005-0000-0000-000097830000}"/>
    <cellStyle name="Normal 45 2 2 2 2 2" xfId="20035" xr:uid="{00000000-0005-0000-0000-000098830000}"/>
    <cellStyle name="Normal 45 2 2 2 2 2 2" xfId="33093" xr:uid="{00000000-0005-0000-0000-000099830000}"/>
    <cellStyle name="Normal 45 2 2 2 2 3" xfId="20036" xr:uid="{00000000-0005-0000-0000-00009A830000}"/>
    <cellStyle name="Normal 45 2 2 2 2 3 2" xfId="33094" xr:uid="{00000000-0005-0000-0000-00009B830000}"/>
    <cellStyle name="Normal 45 2 2 2 2 4" xfId="25124" xr:uid="{00000000-0005-0000-0000-00009C830000}"/>
    <cellStyle name="Normal 45 2 2 2 3" xfId="20037" xr:uid="{00000000-0005-0000-0000-00009D830000}"/>
    <cellStyle name="Normal 45 2 2 2 3 2" xfId="33095" xr:uid="{00000000-0005-0000-0000-00009E830000}"/>
    <cellStyle name="Normal 45 2 2 2 4" xfId="20038" xr:uid="{00000000-0005-0000-0000-00009F830000}"/>
    <cellStyle name="Normal 45 2 2 2 4 2" xfId="33096" xr:uid="{00000000-0005-0000-0000-0000A0830000}"/>
    <cellStyle name="Normal 45 2 2 2 5" xfId="22968" xr:uid="{00000000-0005-0000-0000-0000A1830000}"/>
    <cellStyle name="Normal 45 2 2 3" xfId="10676" xr:uid="{00000000-0005-0000-0000-0000A2830000}"/>
    <cellStyle name="Normal 45 2 2 3 2" xfId="20039" xr:uid="{00000000-0005-0000-0000-0000A3830000}"/>
    <cellStyle name="Normal 45 2 2 3 2 2" xfId="33097" xr:uid="{00000000-0005-0000-0000-0000A4830000}"/>
    <cellStyle name="Normal 45 2 2 3 3" xfId="20040" xr:uid="{00000000-0005-0000-0000-0000A5830000}"/>
    <cellStyle name="Normal 45 2 2 3 3 2" xfId="33098" xr:uid="{00000000-0005-0000-0000-0000A6830000}"/>
    <cellStyle name="Normal 45 2 2 3 4" xfId="24046" xr:uid="{00000000-0005-0000-0000-0000A7830000}"/>
    <cellStyle name="Normal 45 2 2 4" xfId="20041" xr:uid="{00000000-0005-0000-0000-0000A8830000}"/>
    <cellStyle name="Normal 45 2 2 4 2" xfId="33099" xr:uid="{00000000-0005-0000-0000-0000A9830000}"/>
    <cellStyle name="Normal 45 2 2 5" xfId="20042" xr:uid="{00000000-0005-0000-0000-0000AA830000}"/>
    <cellStyle name="Normal 45 2 2 5 2" xfId="33100" xr:uid="{00000000-0005-0000-0000-0000AB830000}"/>
    <cellStyle name="Normal 45 2 2 6" xfId="21890" xr:uid="{00000000-0005-0000-0000-0000AC830000}"/>
    <cellStyle name="Normal 45 2 3" xfId="8829" xr:uid="{00000000-0005-0000-0000-0000AD830000}"/>
    <cellStyle name="Normal 45 2 3 2" xfId="11214" xr:uid="{00000000-0005-0000-0000-0000AE830000}"/>
    <cellStyle name="Normal 45 2 3 2 2" xfId="20043" xr:uid="{00000000-0005-0000-0000-0000AF830000}"/>
    <cellStyle name="Normal 45 2 3 2 2 2" xfId="33101" xr:uid="{00000000-0005-0000-0000-0000B0830000}"/>
    <cellStyle name="Normal 45 2 3 2 3" xfId="20044" xr:uid="{00000000-0005-0000-0000-0000B1830000}"/>
    <cellStyle name="Normal 45 2 3 2 3 2" xfId="33102" xr:uid="{00000000-0005-0000-0000-0000B2830000}"/>
    <cellStyle name="Normal 45 2 3 2 4" xfId="24584" xr:uid="{00000000-0005-0000-0000-0000B3830000}"/>
    <cellStyle name="Normal 45 2 3 3" xfId="20045" xr:uid="{00000000-0005-0000-0000-0000B4830000}"/>
    <cellStyle name="Normal 45 2 3 3 2" xfId="33103" xr:uid="{00000000-0005-0000-0000-0000B5830000}"/>
    <cellStyle name="Normal 45 2 3 4" xfId="20046" xr:uid="{00000000-0005-0000-0000-0000B6830000}"/>
    <cellStyle name="Normal 45 2 3 4 2" xfId="33104" xr:uid="{00000000-0005-0000-0000-0000B7830000}"/>
    <cellStyle name="Normal 45 2 3 5" xfId="22428" xr:uid="{00000000-0005-0000-0000-0000B8830000}"/>
    <cellStyle name="Normal 45 2 4" xfId="10136" xr:uid="{00000000-0005-0000-0000-0000B9830000}"/>
    <cellStyle name="Normal 45 2 4 2" xfId="20047" xr:uid="{00000000-0005-0000-0000-0000BA830000}"/>
    <cellStyle name="Normal 45 2 4 2 2" xfId="33105" xr:uid="{00000000-0005-0000-0000-0000BB830000}"/>
    <cellStyle name="Normal 45 2 4 3" xfId="20048" xr:uid="{00000000-0005-0000-0000-0000BC830000}"/>
    <cellStyle name="Normal 45 2 4 3 2" xfId="33106" xr:uid="{00000000-0005-0000-0000-0000BD830000}"/>
    <cellStyle name="Normal 45 2 4 4" xfId="23506" xr:uid="{00000000-0005-0000-0000-0000BE830000}"/>
    <cellStyle name="Normal 45 2 5" xfId="20049" xr:uid="{00000000-0005-0000-0000-0000BF830000}"/>
    <cellStyle name="Normal 45 2 5 2" xfId="33107" xr:uid="{00000000-0005-0000-0000-0000C0830000}"/>
    <cellStyle name="Normal 45 2 6" xfId="20050" xr:uid="{00000000-0005-0000-0000-0000C1830000}"/>
    <cellStyle name="Normal 45 2 6 2" xfId="33108" xr:uid="{00000000-0005-0000-0000-0000C2830000}"/>
    <cellStyle name="Normal 45 2 7" xfId="21350" xr:uid="{00000000-0005-0000-0000-0000C3830000}"/>
    <cellStyle name="Normal 45 3" xfId="7227" xr:uid="{00000000-0005-0000-0000-0000C4830000}"/>
    <cellStyle name="Normal 45 3 2" xfId="9106" xr:uid="{00000000-0005-0000-0000-0000C5830000}"/>
    <cellStyle name="Normal 45 3 2 2" xfId="11485" xr:uid="{00000000-0005-0000-0000-0000C6830000}"/>
    <cellStyle name="Normal 45 3 2 2 2" xfId="20051" xr:uid="{00000000-0005-0000-0000-0000C7830000}"/>
    <cellStyle name="Normal 45 3 2 2 2 2" xfId="33109" xr:uid="{00000000-0005-0000-0000-0000C8830000}"/>
    <cellStyle name="Normal 45 3 2 2 3" xfId="20052" xr:uid="{00000000-0005-0000-0000-0000C9830000}"/>
    <cellStyle name="Normal 45 3 2 2 3 2" xfId="33110" xr:uid="{00000000-0005-0000-0000-0000CA830000}"/>
    <cellStyle name="Normal 45 3 2 2 4" xfId="24855" xr:uid="{00000000-0005-0000-0000-0000CB830000}"/>
    <cellStyle name="Normal 45 3 2 3" xfId="20053" xr:uid="{00000000-0005-0000-0000-0000CC830000}"/>
    <cellStyle name="Normal 45 3 2 3 2" xfId="33111" xr:uid="{00000000-0005-0000-0000-0000CD830000}"/>
    <cellStyle name="Normal 45 3 2 4" xfId="20054" xr:uid="{00000000-0005-0000-0000-0000CE830000}"/>
    <cellStyle name="Normal 45 3 2 4 2" xfId="33112" xr:uid="{00000000-0005-0000-0000-0000CF830000}"/>
    <cellStyle name="Normal 45 3 2 5" xfId="22699" xr:uid="{00000000-0005-0000-0000-0000D0830000}"/>
    <cellStyle name="Normal 45 3 3" xfId="10407" xr:uid="{00000000-0005-0000-0000-0000D1830000}"/>
    <cellStyle name="Normal 45 3 3 2" xfId="20055" xr:uid="{00000000-0005-0000-0000-0000D2830000}"/>
    <cellStyle name="Normal 45 3 3 2 2" xfId="33113" xr:uid="{00000000-0005-0000-0000-0000D3830000}"/>
    <cellStyle name="Normal 45 3 3 3" xfId="20056" xr:uid="{00000000-0005-0000-0000-0000D4830000}"/>
    <cellStyle name="Normal 45 3 3 3 2" xfId="33114" xr:uid="{00000000-0005-0000-0000-0000D5830000}"/>
    <cellStyle name="Normal 45 3 3 4" xfId="23777" xr:uid="{00000000-0005-0000-0000-0000D6830000}"/>
    <cellStyle name="Normal 45 3 4" xfId="20057" xr:uid="{00000000-0005-0000-0000-0000D7830000}"/>
    <cellStyle name="Normal 45 3 4 2" xfId="33115" xr:uid="{00000000-0005-0000-0000-0000D8830000}"/>
    <cellStyle name="Normal 45 3 5" xfId="20058" xr:uid="{00000000-0005-0000-0000-0000D9830000}"/>
    <cellStyle name="Normal 45 3 5 2" xfId="33116" xr:uid="{00000000-0005-0000-0000-0000DA830000}"/>
    <cellStyle name="Normal 45 3 6" xfId="21621" xr:uid="{00000000-0005-0000-0000-0000DB830000}"/>
    <cellStyle name="Normal 45 4" xfId="8504" xr:uid="{00000000-0005-0000-0000-0000DC830000}"/>
    <cellStyle name="Normal 45 4 2" xfId="10945" xr:uid="{00000000-0005-0000-0000-0000DD830000}"/>
    <cellStyle name="Normal 45 4 2 2" xfId="20059" xr:uid="{00000000-0005-0000-0000-0000DE830000}"/>
    <cellStyle name="Normal 45 4 2 2 2" xfId="33117" xr:uid="{00000000-0005-0000-0000-0000DF830000}"/>
    <cellStyle name="Normal 45 4 2 3" xfId="20060" xr:uid="{00000000-0005-0000-0000-0000E0830000}"/>
    <cellStyle name="Normal 45 4 2 3 2" xfId="33118" xr:uid="{00000000-0005-0000-0000-0000E1830000}"/>
    <cellStyle name="Normal 45 4 2 4" xfId="24315" xr:uid="{00000000-0005-0000-0000-0000E2830000}"/>
    <cellStyle name="Normal 45 4 3" xfId="20061" xr:uid="{00000000-0005-0000-0000-0000E3830000}"/>
    <cellStyle name="Normal 45 4 3 2" xfId="33119" xr:uid="{00000000-0005-0000-0000-0000E4830000}"/>
    <cellStyle name="Normal 45 4 4" xfId="20062" xr:uid="{00000000-0005-0000-0000-0000E5830000}"/>
    <cellStyle name="Normal 45 4 4 2" xfId="33120" xr:uid="{00000000-0005-0000-0000-0000E6830000}"/>
    <cellStyle name="Normal 45 4 5" xfId="22159" xr:uid="{00000000-0005-0000-0000-0000E7830000}"/>
    <cellStyle name="Normal 45 5" xfId="9867" xr:uid="{00000000-0005-0000-0000-0000E8830000}"/>
    <cellStyle name="Normal 45 5 2" xfId="20063" xr:uid="{00000000-0005-0000-0000-0000E9830000}"/>
    <cellStyle name="Normal 45 5 2 2" xfId="33121" xr:uid="{00000000-0005-0000-0000-0000EA830000}"/>
    <cellStyle name="Normal 45 5 3" xfId="20064" xr:uid="{00000000-0005-0000-0000-0000EB830000}"/>
    <cellStyle name="Normal 45 5 3 2" xfId="33122" xr:uid="{00000000-0005-0000-0000-0000EC830000}"/>
    <cellStyle name="Normal 45 5 4" xfId="23237" xr:uid="{00000000-0005-0000-0000-0000ED830000}"/>
    <cellStyle name="Normal 45 6" xfId="20065" xr:uid="{00000000-0005-0000-0000-0000EE830000}"/>
    <cellStyle name="Normal 45 6 2" xfId="33123" xr:uid="{00000000-0005-0000-0000-0000EF830000}"/>
    <cellStyle name="Normal 45 7" xfId="20066" xr:uid="{00000000-0005-0000-0000-0000F0830000}"/>
    <cellStyle name="Normal 45 7 2" xfId="33124" xr:uid="{00000000-0005-0000-0000-0000F1830000}"/>
    <cellStyle name="Normal 45 8" xfId="21081" xr:uid="{00000000-0005-0000-0000-0000F2830000}"/>
    <cellStyle name="Normal 46" xfId="4142" xr:uid="{00000000-0005-0000-0000-0000F3830000}"/>
    <cellStyle name="Normal 47" xfId="5665" xr:uid="{00000000-0005-0000-0000-0000F4830000}"/>
    <cellStyle name="Normal 48" xfId="4138" xr:uid="{00000000-0005-0000-0000-0000F5830000}"/>
    <cellStyle name="Normal 49" xfId="5776" xr:uid="{00000000-0005-0000-0000-0000F6830000}"/>
    <cellStyle name="Normal 5" xfId="1917" xr:uid="{00000000-0005-0000-0000-0000F7830000}"/>
    <cellStyle name="Normal 5 2" xfId="34511" xr:uid="{00000000-0005-0000-0000-0000F8830000}"/>
    <cellStyle name="Normal 5 3" xfId="34512" xr:uid="{00000000-0005-0000-0000-0000F9830000}"/>
    <cellStyle name="Normal 50" xfId="5682" xr:uid="{00000000-0005-0000-0000-0000FA830000}"/>
    <cellStyle name="Normal 51" xfId="5761" xr:uid="{00000000-0005-0000-0000-0000FB830000}"/>
    <cellStyle name="Normal 52" xfId="5695" xr:uid="{00000000-0005-0000-0000-0000FC830000}"/>
    <cellStyle name="Normal 53" xfId="5744" xr:uid="{00000000-0005-0000-0000-0000FD830000}"/>
    <cellStyle name="Normal 54" xfId="5712" xr:uid="{00000000-0005-0000-0000-0000FE830000}"/>
    <cellStyle name="Normal 55" xfId="5729" xr:uid="{00000000-0005-0000-0000-0000FF830000}"/>
    <cellStyle name="Normal 56" xfId="5784" xr:uid="{00000000-0005-0000-0000-000000840000}"/>
    <cellStyle name="Normal 57" xfId="5679" xr:uid="{00000000-0005-0000-0000-000001840000}"/>
    <cellStyle name="Normal 58" xfId="4137" xr:uid="{00000000-0005-0000-0000-000002840000}"/>
    <cellStyle name="Normal 59" xfId="5764" xr:uid="{00000000-0005-0000-0000-000003840000}"/>
    <cellStyle name="Normal 6" xfId="1918" xr:uid="{00000000-0005-0000-0000-000004840000}"/>
    <cellStyle name="Normal 6 2" xfId="34513" xr:uid="{00000000-0005-0000-0000-000005840000}"/>
    <cellStyle name="Normal 6 3" xfId="34514" xr:uid="{00000000-0005-0000-0000-000006840000}"/>
    <cellStyle name="Normal 60" xfId="5693" xr:uid="{00000000-0005-0000-0000-000007840000}"/>
    <cellStyle name="Normal 61" xfId="5746" xr:uid="{00000000-0005-0000-0000-000008840000}"/>
    <cellStyle name="Normal 62" xfId="5710" xr:uid="{00000000-0005-0000-0000-000009840000}"/>
    <cellStyle name="Normal 63" xfId="5731" xr:uid="{00000000-0005-0000-0000-00000A840000}"/>
    <cellStyle name="Normal 63 2" xfId="34515" xr:uid="{00000000-0005-0000-0000-00000B840000}"/>
    <cellStyle name="Normal 63 3" xfId="34516" xr:uid="{00000000-0005-0000-0000-00000C840000}"/>
    <cellStyle name="Normal 64" xfId="4140" xr:uid="{00000000-0005-0000-0000-00000D840000}"/>
    <cellStyle name="Normal 64 2" xfId="6659" xr:uid="{00000000-0005-0000-0000-00000E840000}"/>
    <cellStyle name="Normal 64 2 2" xfId="7353" xr:uid="{00000000-0005-0000-0000-00000F840000}"/>
    <cellStyle name="Normal 64 2 2 2" xfId="9232" xr:uid="{00000000-0005-0000-0000-000010840000}"/>
    <cellStyle name="Normal 64 2 2 2 2" xfId="11611" xr:uid="{00000000-0005-0000-0000-000011840000}"/>
    <cellStyle name="Normal 64 2 2 2 2 2" xfId="20067" xr:uid="{00000000-0005-0000-0000-000012840000}"/>
    <cellStyle name="Normal 64 2 2 2 2 2 2" xfId="33125" xr:uid="{00000000-0005-0000-0000-000013840000}"/>
    <cellStyle name="Normal 64 2 2 2 2 3" xfId="20068" xr:uid="{00000000-0005-0000-0000-000014840000}"/>
    <cellStyle name="Normal 64 2 2 2 2 3 2" xfId="33126" xr:uid="{00000000-0005-0000-0000-000015840000}"/>
    <cellStyle name="Normal 64 2 2 2 2 4" xfId="24981" xr:uid="{00000000-0005-0000-0000-000016840000}"/>
    <cellStyle name="Normal 64 2 2 2 3" xfId="20069" xr:uid="{00000000-0005-0000-0000-000017840000}"/>
    <cellStyle name="Normal 64 2 2 2 3 2" xfId="33127" xr:uid="{00000000-0005-0000-0000-000018840000}"/>
    <cellStyle name="Normal 64 2 2 2 4" xfId="20070" xr:uid="{00000000-0005-0000-0000-000019840000}"/>
    <cellStyle name="Normal 64 2 2 2 4 2" xfId="33128" xr:uid="{00000000-0005-0000-0000-00001A840000}"/>
    <cellStyle name="Normal 64 2 2 2 5" xfId="22825" xr:uid="{00000000-0005-0000-0000-00001B840000}"/>
    <cellStyle name="Normal 64 2 2 3" xfId="10533" xr:uid="{00000000-0005-0000-0000-00001C840000}"/>
    <cellStyle name="Normal 64 2 2 3 2" xfId="20071" xr:uid="{00000000-0005-0000-0000-00001D840000}"/>
    <cellStyle name="Normal 64 2 2 3 2 2" xfId="33129" xr:uid="{00000000-0005-0000-0000-00001E840000}"/>
    <cellStyle name="Normal 64 2 2 3 3" xfId="20072" xr:uid="{00000000-0005-0000-0000-00001F840000}"/>
    <cellStyle name="Normal 64 2 2 3 3 2" xfId="33130" xr:uid="{00000000-0005-0000-0000-000020840000}"/>
    <cellStyle name="Normal 64 2 2 3 4" xfId="23903" xr:uid="{00000000-0005-0000-0000-000021840000}"/>
    <cellStyle name="Normal 64 2 2 4" xfId="20073" xr:uid="{00000000-0005-0000-0000-000022840000}"/>
    <cellStyle name="Normal 64 2 2 4 2" xfId="33131" xr:uid="{00000000-0005-0000-0000-000023840000}"/>
    <cellStyle name="Normal 64 2 2 5" xfId="20074" xr:uid="{00000000-0005-0000-0000-000024840000}"/>
    <cellStyle name="Normal 64 2 2 5 2" xfId="33132" xr:uid="{00000000-0005-0000-0000-000025840000}"/>
    <cellStyle name="Normal 64 2 2 6" xfId="21747" xr:uid="{00000000-0005-0000-0000-000026840000}"/>
    <cellStyle name="Normal 64 2 3" xfId="8686" xr:uid="{00000000-0005-0000-0000-000027840000}"/>
    <cellStyle name="Normal 64 2 3 2" xfId="11071" xr:uid="{00000000-0005-0000-0000-000028840000}"/>
    <cellStyle name="Normal 64 2 3 2 2" xfId="20075" xr:uid="{00000000-0005-0000-0000-000029840000}"/>
    <cellStyle name="Normal 64 2 3 2 2 2" xfId="33133" xr:uid="{00000000-0005-0000-0000-00002A840000}"/>
    <cellStyle name="Normal 64 2 3 2 3" xfId="20076" xr:uid="{00000000-0005-0000-0000-00002B840000}"/>
    <cellStyle name="Normal 64 2 3 2 3 2" xfId="33134" xr:uid="{00000000-0005-0000-0000-00002C840000}"/>
    <cellStyle name="Normal 64 2 3 2 4" xfId="24441" xr:uid="{00000000-0005-0000-0000-00002D840000}"/>
    <cellStyle name="Normal 64 2 3 3" xfId="20077" xr:uid="{00000000-0005-0000-0000-00002E840000}"/>
    <cellStyle name="Normal 64 2 3 3 2" xfId="33135" xr:uid="{00000000-0005-0000-0000-00002F840000}"/>
    <cellStyle name="Normal 64 2 3 4" xfId="20078" xr:uid="{00000000-0005-0000-0000-000030840000}"/>
    <cellStyle name="Normal 64 2 3 4 2" xfId="33136" xr:uid="{00000000-0005-0000-0000-000031840000}"/>
    <cellStyle name="Normal 64 2 3 5" xfId="22285" xr:uid="{00000000-0005-0000-0000-000032840000}"/>
    <cellStyle name="Normal 64 2 4" xfId="9993" xr:uid="{00000000-0005-0000-0000-000033840000}"/>
    <cellStyle name="Normal 64 2 4 2" xfId="20079" xr:uid="{00000000-0005-0000-0000-000034840000}"/>
    <cellStyle name="Normal 64 2 4 2 2" xfId="33137" xr:uid="{00000000-0005-0000-0000-000035840000}"/>
    <cellStyle name="Normal 64 2 4 3" xfId="20080" xr:uid="{00000000-0005-0000-0000-000036840000}"/>
    <cellStyle name="Normal 64 2 4 3 2" xfId="33138" xr:uid="{00000000-0005-0000-0000-000037840000}"/>
    <cellStyle name="Normal 64 2 4 4" xfId="23363" xr:uid="{00000000-0005-0000-0000-000038840000}"/>
    <cellStyle name="Normal 64 2 5" xfId="20081" xr:uid="{00000000-0005-0000-0000-000039840000}"/>
    <cellStyle name="Normal 64 2 5 2" xfId="33139" xr:uid="{00000000-0005-0000-0000-00003A840000}"/>
    <cellStyle name="Normal 64 2 6" xfId="20082" xr:uid="{00000000-0005-0000-0000-00003B840000}"/>
    <cellStyle name="Normal 64 2 6 2" xfId="33140" xr:uid="{00000000-0005-0000-0000-00003C840000}"/>
    <cellStyle name="Normal 64 2 7" xfId="21207" xr:uid="{00000000-0005-0000-0000-00003D840000}"/>
    <cellStyle name="Normal 64 3" xfId="7084" xr:uid="{00000000-0005-0000-0000-00003E840000}"/>
    <cellStyle name="Normal 64 3 2" xfId="8963" xr:uid="{00000000-0005-0000-0000-00003F840000}"/>
    <cellStyle name="Normal 64 3 2 2" xfId="11342" xr:uid="{00000000-0005-0000-0000-000040840000}"/>
    <cellStyle name="Normal 64 3 2 2 2" xfId="20083" xr:uid="{00000000-0005-0000-0000-000041840000}"/>
    <cellStyle name="Normal 64 3 2 2 2 2" xfId="33141" xr:uid="{00000000-0005-0000-0000-000042840000}"/>
    <cellStyle name="Normal 64 3 2 2 3" xfId="20084" xr:uid="{00000000-0005-0000-0000-000043840000}"/>
    <cellStyle name="Normal 64 3 2 2 3 2" xfId="33142" xr:uid="{00000000-0005-0000-0000-000044840000}"/>
    <cellStyle name="Normal 64 3 2 2 4" xfId="24712" xr:uid="{00000000-0005-0000-0000-000045840000}"/>
    <cellStyle name="Normal 64 3 2 3" xfId="20085" xr:uid="{00000000-0005-0000-0000-000046840000}"/>
    <cellStyle name="Normal 64 3 2 3 2" xfId="33143" xr:uid="{00000000-0005-0000-0000-000047840000}"/>
    <cellStyle name="Normal 64 3 2 4" xfId="20086" xr:uid="{00000000-0005-0000-0000-000048840000}"/>
    <cellStyle name="Normal 64 3 2 4 2" xfId="33144" xr:uid="{00000000-0005-0000-0000-000049840000}"/>
    <cellStyle name="Normal 64 3 2 5" xfId="22556" xr:uid="{00000000-0005-0000-0000-00004A840000}"/>
    <cellStyle name="Normal 64 3 3" xfId="10264" xr:uid="{00000000-0005-0000-0000-00004B840000}"/>
    <cellStyle name="Normal 64 3 3 2" xfId="20087" xr:uid="{00000000-0005-0000-0000-00004C840000}"/>
    <cellStyle name="Normal 64 3 3 2 2" xfId="33145" xr:uid="{00000000-0005-0000-0000-00004D840000}"/>
    <cellStyle name="Normal 64 3 3 3" xfId="20088" xr:uid="{00000000-0005-0000-0000-00004E840000}"/>
    <cellStyle name="Normal 64 3 3 3 2" xfId="33146" xr:uid="{00000000-0005-0000-0000-00004F840000}"/>
    <cellStyle name="Normal 64 3 3 4" xfId="23634" xr:uid="{00000000-0005-0000-0000-000050840000}"/>
    <cellStyle name="Normal 64 3 4" xfId="20089" xr:uid="{00000000-0005-0000-0000-000051840000}"/>
    <cellStyle name="Normal 64 3 4 2" xfId="33147" xr:uid="{00000000-0005-0000-0000-000052840000}"/>
    <cellStyle name="Normal 64 3 5" xfId="20090" xr:uid="{00000000-0005-0000-0000-000053840000}"/>
    <cellStyle name="Normal 64 3 5 2" xfId="33148" xr:uid="{00000000-0005-0000-0000-000054840000}"/>
    <cellStyle name="Normal 64 3 6" xfId="21478" xr:uid="{00000000-0005-0000-0000-000055840000}"/>
    <cellStyle name="Normal 64 4" xfId="8290" xr:uid="{00000000-0005-0000-0000-000056840000}"/>
    <cellStyle name="Normal 64 4 2" xfId="10802" xr:uid="{00000000-0005-0000-0000-000057840000}"/>
    <cellStyle name="Normal 64 4 2 2" xfId="20091" xr:uid="{00000000-0005-0000-0000-000058840000}"/>
    <cellStyle name="Normal 64 4 2 2 2" xfId="33149" xr:uid="{00000000-0005-0000-0000-000059840000}"/>
    <cellStyle name="Normal 64 4 2 3" xfId="20092" xr:uid="{00000000-0005-0000-0000-00005A840000}"/>
    <cellStyle name="Normal 64 4 2 3 2" xfId="33150" xr:uid="{00000000-0005-0000-0000-00005B840000}"/>
    <cellStyle name="Normal 64 4 2 4" xfId="24172" xr:uid="{00000000-0005-0000-0000-00005C840000}"/>
    <cellStyle name="Normal 64 4 3" xfId="20093" xr:uid="{00000000-0005-0000-0000-00005D840000}"/>
    <cellStyle name="Normal 64 4 3 2" xfId="33151" xr:uid="{00000000-0005-0000-0000-00005E840000}"/>
    <cellStyle name="Normal 64 4 4" xfId="20094" xr:uid="{00000000-0005-0000-0000-00005F840000}"/>
    <cellStyle name="Normal 64 4 4 2" xfId="33152" xr:uid="{00000000-0005-0000-0000-000060840000}"/>
    <cellStyle name="Normal 64 4 5" xfId="22016" xr:uid="{00000000-0005-0000-0000-000061840000}"/>
    <cellStyle name="Normal 64 5" xfId="9724" xr:uid="{00000000-0005-0000-0000-000062840000}"/>
    <cellStyle name="Normal 64 5 2" xfId="20095" xr:uid="{00000000-0005-0000-0000-000063840000}"/>
    <cellStyle name="Normal 64 5 2 2" xfId="33153" xr:uid="{00000000-0005-0000-0000-000064840000}"/>
    <cellStyle name="Normal 64 5 3" xfId="20096" xr:uid="{00000000-0005-0000-0000-000065840000}"/>
    <cellStyle name="Normal 64 5 3 2" xfId="33154" xr:uid="{00000000-0005-0000-0000-000066840000}"/>
    <cellStyle name="Normal 64 5 4" xfId="23094" xr:uid="{00000000-0005-0000-0000-000067840000}"/>
    <cellStyle name="Normal 64 6" xfId="20097" xr:uid="{00000000-0005-0000-0000-000068840000}"/>
    <cellStyle name="Normal 64 6 2" xfId="33155" xr:uid="{00000000-0005-0000-0000-000069840000}"/>
    <cellStyle name="Normal 64 7" xfId="20098" xr:uid="{00000000-0005-0000-0000-00006A840000}"/>
    <cellStyle name="Normal 64 7 2" xfId="33156" xr:uid="{00000000-0005-0000-0000-00006B840000}"/>
    <cellStyle name="Normal 64 8" xfId="20938" xr:uid="{00000000-0005-0000-0000-00006C840000}"/>
    <cellStyle name="Normal 65" xfId="4990" xr:uid="{00000000-0005-0000-0000-00006D840000}"/>
    <cellStyle name="Normal 65 2" xfId="6676" xr:uid="{00000000-0005-0000-0000-00006E840000}"/>
    <cellStyle name="Normal 65 2 2" xfId="7365" xr:uid="{00000000-0005-0000-0000-00006F840000}"/>
    <cellStyle name="Normal 65 2 2 2" xfId="9244" xr:uid="{00000000-0005-0000-0000-000070840000}"/>
    <cellStyle name="Normal 65 2 2 2 2" xfId="11623" xr:uid="{00000000-0005-0000-0000-000071840000}"/>
    <cellStyle name="Normal 65 2 2 2 2 2" xfId="20099" xr:uid="{00000000-0005-0000-0000-000072840000}"/>
    <cellStyle name="Normal 65 2 2 2 2 2 2" xfId="33157" xr:uid="{00000000-0005-0000-0000-000073840000}"/>
    <cellStyle name="Normal 65 2 2 2 2 3" xfId="20100" xr:uid="{00000000-0005-0000-0000-000074840000}"/>
    <cellStyle name="Normal 65 2 2 2 2 3 2" xfId="33158" xr:uid="{00000000-0005-0000-0000-000075840000}"/>
    <cellStyle name="Normal 65 2 2 2 2 4" xfId="24993" xr:uid="{00000000-0005-0000-0000-000076840000}"/>
    <cellStyle name="Normal 65 2 2 2 3" xfId="20101" xr:uid="{00000000-0005-0000-0000-000077840000}"/>
    <cellStyle name="Normal 65 2 2 2 3 2" xfId="33159" xr:uid="{00000000-0005-0000-0000-000078840000}"/>
    <cellStyle name="Normal 65 2 2 2 4" xfId="20102" xr:uid="{00000000-0005-0000-0000-000079840000}"/>
    <cellStyle name="Normal 65 2 2 2 4 2" xfId="33160" xr:uid="{00000000-0005-0000-0000-00007A840000}"/>
    <cellStyle name="Normal 65 2 2 2 5" xfId="22837" xr:uid="{00000000-0005-0000-0000-00007B840000}"/>
    <cellStyle name="Normal 65 2 2 3" xfId="10545" xr:uid="{00000000-0005-0000-0000-00007C840000}"/>
    <cellStyle name="Normal 65 2 2 3 2" xfId="20103" xr:uid="{00000000-0005-0000-0000-00007D840000}"/>
    <cellStyle name="Normal 65 2 2 3 2 2" xfId="33161" xr:uid="{00000000-0005-0000-0000-00007E840000}"/>
    <cellStyle name="Normal 65 2 2 3 3" xfId="20104" xr:uid="{00000000-0005-0000-0000-00007F840000}"/>
    <cellStyle name="Normal 65 2 2 3 3 2" xfId="33162" xr:uid="{00000000-0005-0000-0000-000080840000}"/>
    <cellStyle name="Normal 65 2 2 3 4" xfId="23915" xr:uid="{00000000-0005-0000-0000-000081840000}"/>
    <cellStyle name="Normal 65 2 2 4" xfId="20105" xr:uid="{00000000-0005-0000-0000-000082840000}"/>
    <cellStyle name="Normal 65 2 2 4 2" xfId="33163" xr:uid="{00000000-0005-0000-0000-000083840000}"/>
    <cellStyle name="Normal 65 2 2 5" xfId="20106" xr:uid="{00000000-0005-0000-0000-000084840000}"/>
    <cellStyle name="Normal 65 2 2 5 2" xfId="33164" xr:uid="{00000000-0005-0000-0000-000085840000}"/>
    <cellStyle name="Normal 65 2 2 6" xfId="21759" xr:uid="{00000000-0005-0000-0000-000086840000}"/>
    <cellStyle name="Normal 65 2 3" xfId="8698" xr:uid="{00000000-0005-0000-0000-000087840000}"/>
    <cellStyle name="Normal 65 2 3 2" xfId="11083" xr:uid="{00000000-0005-0000-0000-000088840000}"/>
    <cellStyle name="Normal 65 2 3 2 2" xfId="20107" xr:uid="{00000000-0005-0000-0000-000089840000}"/>
    <cellStyle name="Normal 65 2 3 2 2 2" xfId="33165" xr:uid="{00000000-0005-0000-0000-00008A840000}"/>
    <cellStyle name="Normal 65 2 3 2 3" xfId="20108" xr:uid="{00000000-0005-0000-0000-00008B840000}"/>
    <cellStyle name="Normal 65 2 3 2 3 2" xfId="33166" xr:uid="{00000000-0005-0000-0000-00008C840000}"/>
    <cellStyle name="Normal 65 2 3 2 4" xfId="24453" xr:uid="{00000000-0005-0000-0000-00008D840000}"/>
    <cellStyle name="Normal 65 2 3 3" xfId="20109" xr:uid="{00000000-0005-0000-0000-00008E840000}"/>
    <cellStyle name="Normal 65 2 3 3 2" xfId="33167" xr:uid="{00000000-0005-0000-0000-00008F840000}"/>
    <cellStyle name="Normal 65 2 3 4" xfId="20110" xr:uid="{00000000-0005-0000-0000-000090840000}"/>
    <cellStyle name="Normal 65 2 3 4 2" xfId="33168" xr:uid="{00000000-0005-0000-0000-000091840000}"/>
    <cellStyle name="Normal 65 2 3 5" xfId="22297" xr:uid="{00000000-0005-0000-0000-000092840000}"/>
    <cellStyle name="Normal 65 2 4" xfId="10005" xr:uid="{00000000-0005-0000-0000-000093840000}"/>
    <cellStyle name="Normal 65 2 4 2" xfId="20111" xr:uid="{00000000-0005-0000-0000-000094840000}"/>
    <cellStyle name="Normal 65 2 4 2 2" xfId="33169" xr:uid="{00000000-0005-0000-0000-000095840000}"/>
    <cellStyle name="Normal 65 2 4 3" xfId="20112" xr:uid="{00000000-0005-0000-0000-000096840000}"/>
    <cellStyle name="Normal 65 2 4 3 2" xfId="33170" xr:uid="{00000000-0005-0000-0000-000097840000}"/>
    <cellStyle name="Normal 65 2 4 4" xfId="23375" xr:uid="{00000000-0005-0000-0000-000098840000}"/>
    <cellStyle name="Normal 65 2 5" xfId="20113" xr:uid="{00000000-0005-0000-0000-000099840000}"/>
    <cellStyle name="Normal 65 2 5 2" xfId="33171" xr:uid="{00000000-0005-0000-0000-00009A840000}"/>
    <cellStyle name="Normal 65 2 6" xfId="20114" xr:uid="{00000000-0005-0000-0000-00009B840000}"/>
    <cellStyle name="Normal 65 2 6 2" xfId="33172" xr:uid="{00000000-0005-0000-0000-00009C840000}"/>
    <cellStyle name="Normal 65 2 7" xfId="21219" xr:uid="{00000000-0005-0000-0000-00009D840000}"/>
    <cellStyle name="Normal 65 3" xfId="7096" xr:uid="{00000000-0005-0000-0000-00009E840000}"/>
    <cellStyle name="Normal 65 3 2" xfId="8975" xr:uid="{00000000-0005-0000-0000-00009F840000}"/>
    <cellStyle name="Normal 65 3 2 2" xfId="11354" xr:uid="{00000000-0005-0000-0000-0000A0840000}"/>
    <cellStyle name="Normal 65 3 2 2 2" xfId="20115" xr:uid="{00000000-0005-0000-0000-0000A1840000}"/>
    <cellStyle name="Normal 65 3 2 2 2 2" xfId="33173" xr:uid="{00000000-0005-0000-0000-0000A2840000}"/>
    <cellStyle name="Normal 65 3 2 2 3" xfId="20116" xr:uid="{00000000-0005-0000-0000-0000A3840000}"/>
    <cellStyle name="Normal 65 3 2 2 3 2" xfId="33174" xr:uid="{00000000-0005-0000-0000-0000A4840000}"/>
    <cellStyle name="Normal 65 3 2 2 4" xfId="24724" xr:uid="{00000000-0005-0000-0000-0000A5840000}"/>
    <cellStyle name="Normal 65 3 2 3" xfId="20117" xr:uid="{00000000-0005-0000-0000-0000A6840000}"/>
    <cellStyle name="Normal 65 3 2 3 2" xfId="33175" xr:uid="{00000000-0005-0000-0000-0000A7840000}"/>
    <cellStyle name="Normal 65 3 2 4" xfId="20118" xr:uid="{00000000-0005-0000-0000-0000A8840000}"/>
    <cellStyle name="Normal 65 3 2 4 2" xfId="33176" xr:uid="{00000000-0005-0000-0000-0000A9840000}"/>
    <cellStyle name="Normal 65 3 2 5" xfId="22568" xr:uid="{00000000-0005-0000-0000-0000AA840000}"/>
    <cellStyle name="Normal 65 3 3" xfId="10276" xr:uid="{00000000-0005-0000-0000-0000AB840000}"/>
    <cellStyle name="Normal 65 3 3 2" xfId="20119" xr:uid="{00000000-0005-0000-0000-0000AC840000}"/>
    <cellStyle name="Normal 65 3 3 2 2" xfId="33177" xr:uid="{00000000-0005-0000-0000-0000AD840000}"/>
    <cellStyle name="Normal 65 3 3 3" xfId="20120" xr:uid="{00000000-0005-0000-0000-0000AE840000}"/>
    <cellStyle name="Normal 65 3 3 3 2" xfId="33178" xr:uid="{00000000-0005-0000-0000-0000AF840000}"/>
    <cellStyle name="Normal 65 3 3 4" xfId="23646" xr:uid="{00000000-0005-0000-0000-0000B0840000}"/>
    <cellStyle name="Normal 65 3 4" xfId="20121" xr:uid="{00000000-0005-0000-0000-0000B1840000}"/>
    <cellStyle name="Normal 65 3 4 2" xfId="33179" xr:uid="{00000000-0005-0000-0000-0000B2840000}"/>
    <cellStyle name="Normal 65 3 5" xfId="20122" xr:uid="{00000000-0005-0000-0000-0000B3840000}"/>
    <cellStyle name="Normal 65 3 5 2" xfId="33180" xr:uid="{00000000-0005-0000-0000-0000B4840000}"/>
    <cellStyle name="Normal 65 3 6" xfId="21490" xr:uid="{00000000-0005-0000-0000-0000B5840000}"/>
    <cellStyle name="Normal 65 4" xfId="8348" xr:uid="{00000000-0005-0000-0000-0000B6840000}"/>
    <cellStyle name="Normal 65 4 2" xfId="10814" xr:uid="{00000000-0005-0000-0000-0000B7840000}"/>
    <cellStyle name="Normal 65 4 2 2" xfId="20123" xr:uid="{00000000-0005-0000-0000-0000B8840000}"/>
    <cellStyle name="Normal 65 4 2 2 2" xfId="33181" xr:uid="{00000000-0005-0000-0000-0000B9840000}"/>
    <cellStyle name="Normal 65 4 2 3" xfId="20124" xr:uid="{00000000-0005-0000-0000-0000BA840000}"/>
    <cellStyle name="Normal 65 4 2 3 2" xfId="33182" xr:uid="{00000000-0005-0000-0000-0000BB840000}"/>
    <cellStyle name="Normal 65 4 2 4" xfId="24184" xr:uid="{00000000-0005-0000-0000-0000BC840000}"/>
    <cellStyle name="Normal 65 4 3" xfId="20125" xr:uid="{00000000-0005-0000-0000-0000BD840000}"/>
    <cellStyle name="Normal 65 4 3 2" xfId="33183" xr:uid="{00000000-0005-0000-0000-0000BE840000}"/>
    <cellStyle name="Normal 65 4 4" xfId="20126" xr:uid="{00000000-0005-0000-0000-0000BF840000}"/>
    <cellStyle name="Normal 65 4 4 2" xfId="33184" xr:uid="{00000000-0005-0000-0000-0000C0840000}"/>
    <cellStyle name="Normal 65 4 5" xfId="22028" xr:uid="{00000000-0005-0000-0000-0000C1840000}"/>
    <cellStyle name="Normal 65 5" xfId="9736" xr:uid="{00000000-0005-0000-0000-0000C2840000}"/>
    <cellStyle name="Normal 65 5 2" xfId="20127" xr:uid="{00000000-0005-0000-0000-0000C3840000}"/>
    <cellStyle name="Normal 65 5 2 2" xfId="33185" xr:uid="{00000000-0005-0000-0000-0000C4840000}"/>
    <cellStyle name="Normal 65 5 3" xfId="20128" xr:uid="{00000000-0005-0000-0000-0000C5840000}"/>
    <cellStyle name="Normal 65 5 3 2" xfId="33186" xr:uid="{00000000-0005-0000-0000-0000C6840000}"/>
    <cellStyle name="Normal 65 5 4" xfId="23106" xr:uid="{00000000-0005-0000-0000-0000C7840000}"/>
    <cellStyle name="Normal 65 6" xfId="20129" xr:uid="{00000000-0005-0000-0000-0000C8840000}"/>
    <cellStyle name="Normal 65 6 2" xfId="33187" xr:uid="{00000000-0005-0000-0000-0000C9840000}"/>
    <cellStyle name="Normal 65 7" xfId="20130" xr:uid="{00000000-0005-0000-0000-0000CA840000}"/>
    <cellStyle name="Normal 65 7 2" xfId="33188" xr:uid="{00000000-0005-0000-0000-0000CB840000}"/>
    <cellStyle name="Normal 65 8" xfId="20950" xr:uid="{00000000-0005-0000-0000-0000CC840000}"/>
    <cellStyle name="Normal 66" xfId="5234" xr:uid="{00000000-0005-0000-0000-0000CD840000}"/>
    <cellStyle name="Normal 66 2" xfId="6688" xr:uid="{00000000-0005-0000-0000-0000CE840000}"/>
    <cellStyle name="Normal 66 2 2" xfId="7377" xr:uid="{00000000-0005-0000-0000-0000CF840000}"/>
    <cellStyle name="Normal 66 2 2 2" xfId="9256" xr:uid="{00000000-0005-0000-0000-0000D0840000}"/>
    <cellStyle name="Normal 66 2 2 2 2" xfId="11635" xr:uid="{00000000-0005-0000-0000-0000D1840000}"/>
    <cellStyle name="Normal 66 2 2 2 2 2" xfId="20131" xr:uid="{00000000-0005-0000-0000-0000D2840000}"/>
    <cellStyle name="Normal 66 2 2 2 2 2 2" xfId="33189" xr:uid="{00000000-0005-0000-0000-0000D3840000}"/>
    <cellStyle name="Normal 66 2 2 2 2 3" xfId="20132" xr:uid="{00000000-0005-0000-0000-0000D4840000}"/>
    <cellStyle name="Normal 66 2 2 2 2 3 2" xfId="33190" xr:uid="{00000000-0005-0000-0000-0000D5840000}"/>
    <cellStyle name="Normal 66 2 2 2 2 4" xfId="25005" xr:uid="{00000000-0005-0000-0000-0000D6840000}"/>
    <cellStyle name="Normal 66 2 2 2 3" xfId="20133" xr:uid="{00000000-0005-0000-0000-0000D7840000}"/>
    <cellStyle name="Normal 66 2 2 2 3 2" xfId="33191" xr:uid="{00000000-0005-0000-0000-0000D8840000}"/>
    <cellStyle name="Normal 66 2 2 2 4" xfId="20134" xr:uid="{00000000-0005-0000-0000-0000D9840000}"/>
    <cellStyle name="Normal 66 2 2 2 4 2" xfId="33192" xr:uid="{00000000-0005-0000-0000-0000DA840000}"/>
    <cellStyle name="Normal 66 2 2 2 5" xfId="22849" xr:uid="{00000000-0005-0000-0000-0000DB840000}"/>
    <cellStyle name="Normal 66 2 2 3" xfId="10557" xr:uid="{00000000-0005-0000-0000-0000DC840000}"/>
    <cellStyle name="Normal 66 2 2 3 2" xfId="20135" xr:uid="{00000000-0005-0000-0000-0000DD840000}"/>
    <cellStyle name="Normal 66 2 2 3 2 2" xfId="33193" xr:uid="{00000000-0005-0000-0000-0000DE840000}"/>
    <cellStyle name="Normal 66 2 2 3 3" xfId="20136" xr:uid="{00000000-0005-0000-0000-0000DF840000}"/>
    <cellStyle name="Normal 66 2 2 3 3 2" xfId="33194" xr:uid="{00000000-0005-0000-0000-0000E0840000}"/>
    <cellStyle name="Normal 66 2 2 3 4" xfId="23927" xr:uid="{00000000-0005-0000-0000-0000E1840000}"/>
    <cellStyle name="Normal 66 2 2 4" xfId="20137" xr:uid="{00000000-0005-0000-0000-0000E2840000}"/>
    <cellStyle name="Normal 66 2 2 4 2" xfId="33195" xr:uid="{00000000-0005-0000-0000-0000E3840000}"/>
    <cellStyle name="Normal 66 2 2 5" xfId="20138" xr:uid="{00000000-0005-0000-0000-0000E4840000}"/>
    <cellStyle name="Normal 66 2 2 5 2" xfId="33196" xr:uid="{00000000-0005-0000-0000-0000E5840000}"/>
    <cellStyle name="Normal 66 2 2 6" xfId="21771" xr:uid="{00000000-0005-0000-0000-0000E6840000}"/>
    <cellStyle name="Normal 66 2 3" xfId="8710" xr:uid="{00000000-0005-0000-0000-0000E7840000}"/>
    <cellStyle name="Normal 66 2 3 2" xfId="11095" xr:uid="{00000000-0005-0000-0000-0000E8840000}"/>
    <cellStyle name="Normal 66 2 3 2 2" xfId="20139" xr:uid="{00000000-0005-0000-0000-0000E9840000}"/>
    <cellStyle name="Normal 66 2 3 2 2 2" xfId="33197" xr:uid="{00000000-0005-0000-0000-0000EA840000}"/>
    <cellStyle name="Normal 66 2 3 2 3" xfId="20140" xr:uid="{00000000-0005-0000-0000-0000EB840000}"/>
    <cellStyle name="Normal 66 2 3 2 3 2" xfId="33198" xr:uid="{00000000-0005-0000-0000-0000EC840000}"/>
    <cellStyle name="Normal 66 2 3 2 4" xfId="24465" xr:uid="{00000000-0005-0000-0000-0000ED840000}"/>
    <cellStyle name="Normal 66 2 3 3" xfId="20141" xr:uid="{00000000-0005-0000-0000-0000EE840000}"/>
    <cellStyle name="Normal 66 2 3 3 2" xfId="33199" xr:uid="{00000000-0005-0000-0000-0000EF840000}"/>
    <cellStyle name="Normal 66 2 3 4" xfId="20142" xr:uid="{00000000-0005-0000-0000-0000F0840000}"/>
    <cellStyle name="Normal 66 2 3 4 2" xfId="33200" xr:uid="{00000000-0005-0000-0000-0000F1840000}"/>
    <cellStyle name="Normal 66 2 3 5" xfId="22309" xr:uid="{00000000-0005-0000-0000-0000F2840000}"/>
    <cellStyle name="Normal 66 2 4" xfId="10017" xr:uid="{00000000-0005-0000-0000-0000F3840000}"/>
    <cellStyle name="Normal 66 2 4 2" xfId="20143" xr:uid="{00000000-0005-0000-0000-0000F4840000}"/>
    <cellStyle name="Normal 66 2 4 2 2" xfId="33201" xr:uid="{00000000-0005-0000-0000-0000F5840000}"/>
    <cellStyle name="Normal 66 2 4 3" xfId="20144" xr:uid="{00000000-0005-0000-0000-0000F6840000}"/>
    <cellStyle name="Normal 66 2 4 3 2" xfId="33202" xr:uid="{00000000-0005-0000-0000-0000F7840000}"/>
    <cellStyle name="Normal 66 2 4 4" xfId="23387" xr:uid="{00000000-0005-0000-0000-0000F8840000}"/>
    <cellStyle name="Normal 66 2 5" xfId="20145" xr:uid="{00000000-0005-0000-0000-0000F9840000}"/>
    <cellStyle name="Normal 66 2 5 2" xfId="33203" xr:uid="{00000000-0005-0000-0000-0000FA840000}"/>
    <cellStyle name="Normal 66 2 6" xfId="20146" xr:uid="{00000000-0005-0000-0000-0000FB840000}"/>
    <cellStyle name="Normal 66 2 6 2" xfId="33204" xr:uid="{00000000-0005-0000-0000-0000FC840000}"/>
    <cellStyle name="Normal 66 2 7" xfId="21231" xr:uid="{00000000-0005-0000-0000-0000FD840000}"/>
    <cellStyle name="Normal 66 3" xfId="7108" xr:uid="{00000000-0005-0000-0000-0000FE840000}"/>
    <cellStyle name="Normal 66 3 2" xfId="8987" xr:uid="{00000000-0005-0000-0000-0000FF840000}"/>
    <cellStyle name="Normal 66 3 2 2" xfId="11366" xr:uid="{00000000-0005-0000-0000-000000850000}"/>
    <cellStyle name="Normal 66 3 2 2 2" xfId="20147" xr:uid="{00000000-0005-0000-0000-000001850000}"/>
    <cellStyle name="Normal 66 3 2 2 2 2" xfId="33205" xr:uid="{00000000-0005-0000-0000-000002850000}"/>
    <cellStyle name="Normal 66 3 2 2 3" xfId="20148" xr:uid="{00000000-0005-0000-0000-000003850000}"/>
    <cellStyle name="Normal 66 3 2 2 3 2" xfId="33206" xr:uid="{00000000-0005-0000-0000-000004850000}"/>
    <cellStyle name="Normal 66 3 2 2 4" xfId="24736" xr:uid="{00000000-0005-0000-0000-000005850000}"/>
    <cellStyle name="Normal 66 3 2 3" xfId="20149" xr:uid="{00000000-0005-0000-0000-000006850000}"/>
    <cellStyle name="Normal 66 3 2 3 2" xfId="33207" xr:uid="{00000000-0005-0000-0000-000007850000}"/>
    <cellStyle name="Normal 66 3 2 4" xfId="20150" xr:uid="{00000000-0005-0000-0000-000008850000}"/>
    <cellStyle name="Normal 66 3 2 4 2" xfId="33208" xr:uid="{00000000-0005-0000-0000-000009850000}"/>
    <cellStyle name="Normal 66 3 2 5" xfId="22580" xr:uid="{00000000-0005-0000-0000-00000A850000}"/>
    <cellStyle name="Normal 66 3 3" xfId="10288" xr:uid="{00000000-0005-0000-0000-00000B850000}"/>
    <cellStyle name="Normal 66 3 3 2" xfId="20151" xr:uid="{00000000-0005-0000-0000-00000C850000}"/>
    <cellStyle name="Normal 66 3 3 2 2" xfId="33209" xr:uid="{00000000-0005-0000-0000-00000D850000}"/>
    <cellStyle name="Normal 66 3 3 3" xfId="20152" xr:uid="{00000000-0005-0000-0000-00000E850000}"/>
    <cellStyle name="Normal 66 3 3 3 2" xfId="33210" xr:uid="{00000000-0005-0000-0000-00000F850000}"/>
    <cellStyle name="Normal 66 3 3 4" xfId="23658" xr:uid="{00000000-0005-0000-0000-000010850000}"/>
    <cellStyle name="Normal 66 3 4" xfId="20153" xr:uid="{00000000-0005-0000-0000-000011850000}"/>
    <cellStyle name="Normal 66 3 4 2" xfId="33211" xr:uid="{00000000-0005-0000-0000-000012850000}"/>
    <cellStyle name="Normal 66 3 5" xfId="20154" xr:uid="{00000000-0005-0000-0000-000013850000}"/>
    <cellStyle name="Normal 66 3 5 2" xfId="33212" xr:uid="{00000000-0005-0000-0000-000014850000}"/>
    <cellStyle name="Normal 66 3 6" xfId="21502" xr:uid="{00000000-0005-0000-0000-000015850000}"/>
    <cellStyle name="Normal 66 4" xfId="8370" xr:uid="{00000000-0005-0000-0000-000016850000}"/>
    <cellStyle name="Normal 66 4 2" xfId="10826" xr:uid="{00000000-0005-0000-0000-000017850000}"/>
    <cellStyle name="Normal 66 4 2 2" xfId="20155" xr:uid="{00000000-0005-0000-0000-000018850000}"/>
    <cellStyle name="Normal 66 4 2 2 2" xfId="33213" xr:uid="{00000000-0005-0000-0000-000019850000}"/>
    <cellStyle name="Normal 66 4 2 3" xfId="20156" xr:uid="{00000000-0005-0000-0000-00001A850000}"/>
    <cellStyle name="Normal 66 4 2 3 2" xfId="33214" xr:uid="{00000000-0005-0000-0000-00001B850000}"/>
    <cellStyle name="Normal 66 4 2 4" xfId="24196" xr:uid="{00000000-0005-0000-0000-00001C850000}"/>
    <cellStyle name="Normal 66 4 3" xfId="20157" xr:uid="{00000000-0005-0000-0000-00001D850000}"/>
    <cellStyle name="Normal 66 4 3 2" xfId="33215" xr:uid="{00000000-0005-0000-0000-00001E850000}"/>
    <cellStyle name="Normal 66 4 4" xfId="20158" xr:uid="{00000000-0005-0000-0000-00001F850000}"/>
    <cellStyle name="Normal 66 4 4 2" xfId="33216" xr:uid="{00000000-0005-0000-0000-000020850000}"/>
    <cellStyle name="Normal 66 4 5" xfId="22040" xr:uid="{00000000-0005-0000-0000-000021850000}"/>
    <cellStyle name="Normal 66 5" xfId="9748" xr:uid="{00000000-0005-0000-0000-000022850000}"/>
    <cellStyle name="Normal 66 5 2" xfId="20159" xr:uid="{00000000-0005-0000-0000-000023850000}"/>
    <cellStyle name="Normal 66 5 2 2" xfId="33217" xr:uid="{00000000-0005-0000-0000-000024850000}"/>
    <cellStyle name="Normal 66 5 3" xfId="20160" xr:uid="{00000000-0005-0000-0000-000025850000}"/>
    <cellStyle name="Normal 66 5 3 2" xfId="33218" xr:uid="{00000000-0005-0000-0000-000026850000}"/>
    <cellStyle name="Normal 66 5 4" xfId="23118" xr:uid="{00000000-0005-0000-0000-000027850000}"/>
    <cellStyle name="Normal 66 6" xfId="20161" xr:uid="{00000000-0005-0000-0000-000028850000}"/>
    <cellStyle name="Normal 66 6 2" xfId="33219" xr:uid="{00000000-0005-0000-0000-000029850000}"/>
    <cellStyle name="Normal 66 7" xfId="20162" xr:uid="{00000000-0005-0000-0000-00002A850000}"/>
    <cellStyle name="Normal 66 7 2" xfId="33220" xr:uid="{00000000-0005-0000-0000-00002B850000}"/>
    <cellStyle name="Normal 66 8" xfId="20962" xr:uid="{00000000-0005-0000-0000-00002C850000}"/>
    <cellStyle name="Normal 67" xfId="5523" xr:uid="{00000000-0005-0000-0000-00002D850000}"/>
    <cellStyle name="Normal 67 2" xfId="6719" xr:uid="{00000000-0005-0000-0000-00002E850000}"/>
    <cellStyle name="Normal 67 2 2" xfId="7406" xr:uid="{00000000-0005-0000-0000-00002F850000}"/>
    <cellStyle name="Normal 67 2 2 2" xfId="9285" xr:uid="{00000000-0005-0000-0000-000030850000}"/>
    <cellStyle name="Normal 67 2 2 2 2" xfId="11664" xr:uid="{00000000-0005-0000-0000-000031850000}"/>
    <cellStyle name="Normal 67 2 2 2 2 2" xfId="20163" xr:uid="{00000000-0005-0000-0000-000032850000}"/>
    <cellStyle name="Normal 67 2 2 2 2 2 2" xfId="33221" xr:uid="{00000000-0005-0000-0000-000033850000}"/>
    <cellStyle name="Normal 67 2 2 2 2 3" xfId="20164" xr:uid="{00000000-0005-0000-0000-000034850000}"/>
    <cellStyle name="Normal 67 2 2 2 2 3 2" xfId="33222" xr:uid="{00000000-0005-0000-0000-000035850000}"/>
    <cellStyle name="Normal 67 2 2 2 2 4" xfId="25034" xr:uid="{00000000-0005-0000-0000-000036850000}"/>
    <cellStyle name="Normal 67 2 2 2 3" xfId="20165" xr:uid="{00000000-0005-0000-0000-000037850000}"/>
    <cellStyle name="Normal 67 2 2 2 3 2" xfId="33223" xr:uid="{00000000-0005-0000-0000-000038850000}"/>
    <cellStyle name="Normal 67 2 2 2 4" xfId="20166" xr:uid="{00000000-0005-0000-0000-000039850000}"/>
    <cellStyle name="Normal 67 2 2 2 4 2" xfId="33224" xr:uid="{00000000-0005-0000-0000-00003A850000}"/>
    <cellStyle name="Normal 67 2 2 2 5" xfId="22878" xr:uid="{00000000-0005-0000-0000-00003B850000}"/>
    <cellStyle name="Normal 67 2 2 3" xfId="10586" xr:uid="{00000000-0005-0000-0000-00003C850000}"/>
    <cellStyle name="Normal 67 2 2 3 2" xfId="20167" xr:uid="{00000000-0005-0000-0000-00003D850000}"/>
    <cellStyle name="Normal 67 2 2 3 2 2" xfId="33225" xr:uid="{00000000-0005-0000-0000-00003E850000}"/>
    <cellStyle name="Normal 67 2 2 3 3" xfId="20168" xr:uid="{00000000-0005-0000-0000-00003F850000}"/>
    <cellStyle name="Normal 67 2 2 3 3 2" xfId="33226" xr:uid="{00000000-0005-0000-0000-000040850000}"/>
    <cellStyle name="Normal 67 2 2 3 4" xfId="23956" xr:uid="{00000000-0005-0000-0000-000041850000}"/>
    <cellStyle name="Normal 67 2 2 4" xfId="20169" xr:uid="{00000000-0005-0000-0000-000042850000}"/>
    <cellStyle name="Normal 67 2 2 4 2" xfId="33227" xr:uid="{00000000-0005-0000-0000-000043850000}"/>
    <cellStyle name="Normal 67 2 2 5" xfId="20170" xr:uid="{00000000-0005-0000-0000-000044850000}"/>
    <cellStyle name="Normal 67 2 2 5 2" xfId="33228" xr:uid="{00000000-0005-0000-0000-000045850000}"/>
    <cellStyle name="Normal 67 2 2 6" xfId="21800" xr:uid="{00000000-0005-0000-0000-000046850000}"/>
    <cellStyle name="Normal 67 2 3" xfId="8739" xr:uid="{00000000-0005-0000-0000-000047850000}"/>
    <cellStyle name="Normal 67 2 3 2" xfId="11124" xr:uid="{00000000-0005-0000-0000-000048850000}"/>
    <cellStyle name="Normal 67 2 3 2 2" xfId="20171" xr:uid="{00000000-0005-0000-0000-000049850000}"/>
    <cellStyle name="Normal 67 2 3 2 2 2" xfId="33229" xr:uid="{00000000-0005-0000-0000-00004A850000}"/>
    <cellStyle name="Normal 67 2 3 2 3" xfId="20172" xr:uid="{00000000-0005-0000-0000-00004B850000}"/>
    <cellStyle name="Normal 67 2 3 2 3 2" xfId="33230" xr:uid="{00000000-0005-0000-0000-00004C850000}"/>
    <cellStyle name="Normal 67 2 3 2 4" xfId="24494" xr:uid="{00000000-0005-0000-0000-00004D850000}"/>
    <cellStyle name="Normal 67 2 3 3" xfId="20173" xr:uid="{00000000-0005-0000-0000-00004E850000}"/>
    <cellStyle name="Normal 67 2 3 3 2" xfId="33231" xr:uid="{00000000-0005-0000-0000-00004F850000}"/>
    <cellStyle name="Normal 67 2 3 4" xfId="20174" xr:uid="{00000000-0005-0000-0000-000050850000}"/>
    <cellStyle name="Normal 67 2 3 4 2" xfId="33232" xr:uid="{00000000-0005-0000-0000-000051850000}"/>
    <cellStyle name="Normal 67 2 3 5" xfId="22338" xr:uid="{00000000-0005-0000-0000-000052850000}"/>
    <cellStyle name="Normal 67 2 4" xfId="10046" xr:uid="{00000000-0005-0000-0000-000053850000}"/>
    <cellStyle name="Normal 67 2 4 2" xfId="20175" xr:uid="{00000000-0005-0000-0000-000054850000}"/>
    <cellStyle name="Normal 67 2 4 2 2" xfId="33233" xr:uid="{00000000-0005-0000-0000-000055850000}"/>
    <cellStyle name="Normal 67 2 4 3" xfId="20176" xr:uid="{00000000-0005-0000-0000-000056850000}"/>
    <cellStyle name="Normal 67 2 4 3 2" xfId="33234" xr:uid="{00000000-0005-0000-0000-000057850000}"/>
    <cellStyle name="Normal 67 2 4 4" xfId="23416" xr:uid="{00000000-0005-0000-0000-000058850000}"/>
    <cellStyle name="Normal 67 2 5" xfId="20177" xr:uid="{00000000-0005-0000-0000-000059850000}"/>
    <cellStyle name="Normal 67 2 5 2" xfId="33235" xr:uid="{00000000-0005-0000-0000-00005A850000}"/>
    <cellStyle name="Normal 67 2 6" xfId="20178" xr:uid="{00000000-0005-0000-0000-00005B850000}"/>
    <cellStyle name="Normal 67 2 6 2" xfId="33236" xr:uid="{00000000-0005-0000-0000-00005C850000}"/>
    <cellStyle name="Normal 67 2 7" xfId="21260" xr:uid="{00000000-0005-0000-0000-00005D850000}"/>
    <cellStyle name="Normal 67 3" xfId="7137" xr:uid="{00000000-0005-0000-0000-00005E850000}"/>
    <cellStyle name="Normal 67 3 2" xfId="9016" xr:uid="{00000000-0005-0000-0000-00005F850000}"/>
    <cellStyle name="Normal 67 3 2 2" xfId="11395" xr:uid="{00000000-0005-0000-0000-000060850000}"/>
    <cellStyle name="Normal 67 3 2 2 2" xfId="20179" xr:uid="{00000000-0005-0000-0000-000061850000}"/>
    <cellStyle name="Normal 67 3 2 2 2 2" xfId="33237" xr:uid="{00000000-0005-0000-0000-000062850000}"/>
    <cellStyle name="Normal 67 3 2 2 3" xfId="20180" xr:uid="{00000000-0005-0000-0000-000063850000}"/>
    <cellStyle name="Normal 67 3 2 2 3 2" xfId="33238" xr:uid="{00000000-0005-0000-0000-000064850000}"/>
    <cellStyle name="Normal 67 3 2 2 4" xfId="24765" xr:uid="{00000000-0005-0000-0000-000065850000}"/>
    <cellStyle name="Normal 67 3 2 3" xfId="20181" xr:uid="{00000000-0005-0000-0000-000066850000}"/>
    <cellStyle name="Normal 67 3 2 3 2" xfId="33239" xr:uid="{00000000-0005-0000-0000-000067850000}"/>
    <cellStyle name="Normal 67 3 2 4" xfId="20182" xr:uid="{00000000-0005-0000-0000-000068850000}"/>
    <cellStyle name="Normal 67 3 2 4 2" xfId="33240" xr:uid="{00000000-0005-0000-0000-000069850000}"/>
    <cellStyle name="Normal 67 3 2 5" xfId="22609" xr:uid="{00000000-0005-0000-0000-00006A850000}"/>
    <cellStyle name="Normal 67 3 3" xfId="10317" xr:uid="{00000000-0005-0000-0000-00006B850000}"/>
    <cellStyle name="Normal 67 3 3 2" xfId="20183" xr:uid="{00000000-0005-0000-0000-00006C850000}"/>
    <cellStyle name="Normal 67 3 3 2 2" xfId="33241" xr:uid="{00000000-0005-0000-0000-00006D850000}"/>
    <cellStyle name="Normal 67 3 3 3" xfId="20184" xr:uid="{00000000-0005-0000-0000-00006E850000}"/>
    <cellStyle name="Normal 67 3 3 3 2" xfId="33242" xr:uid="{00000000-0005-0000-0000-00006F850000}"/>
    <cellStyle name="Normal 67 3 3 4" xfId="23687" xr:uid="{00000000-0005-0000-0000-000070850000}"/>
    <cellStyle name="Normal 67 3 4" xfId="20185" xr:uid="{00000000-0005-0000-0000-000071850000}"/>
    <cellStyle name="Normal 67 3 4 2" xfId="33243" xr:uid="{00000000-0005-0000-0000-000072850000}"/>
    <cellStyle name="Normal 67 3 5" xfId="20186" xr:uid="{00000000-0005-0000-0000-000073850000}"/>
    <cellStyle name="Normal 67 3 5 2" xfId="33244" xr:uid="{00000000-0005-0000-0000-000074850000}"/>
    <cellStyle name="Normal 67 3 6" xfId="21531" xr:uid="{00000000-0005-0000-0000-000075850000}"/>
    <cellStyle name="Normal 67 4" xfId="8411" xr:uid="{00000000-0005-0000-0000-000076850000}"/>
    <cellStyle name="Normal 67 4 2" xfId="10855" xr:uid="{00000000-0005-0000-0000-000077850000}"/>
    <cellStyle name="Normal 67 4 2 2" xfId="20187" xr:uid="{00000000-0005-0000-0000-000078850000}"/>
    <cellStyle name="Normal 67 4 2 2 2" xfId="33245" xr:uid="{00000000-0005-0000-0000-000079850000}"/>
    <cellStyle name="Normal 67 4 2 3" xfId="20188" xr:uid="{00000000-0005-0000-0000-00007A850000}"/>
    <cellStyle name="Normal 67 4 2 3 2" xfId="33246" xr:uid="{00000000-0005-0000-0000-00007B850000}"/>
    <cellStyle name="Normal 67 4 2 4" xfId="24225" xr:uid="{00000000-0005-0000-0000-00007C850000}"/>
    <cellStyle name="Normal 67 4 3" xfId="20189" xr:uid="{00000000-0005-0000-0000-00007D850000}"/>
    <cellStyle name="Normal 67 4 3 2" xfId="33247" xr:uid="{00000000-0005-0000-0000-00007E850000}"/>
    <cellStyle name="Normal 67 4 4" xfId="20190" xr:uid="{00000000-0005-0000-0000-00007F850000}"/>
    <cellStyle name="Normal 67 4 4 2" xfId="33248" xr:uid="{00000000-0005-0000-0000-000080850000}"/>
    <cellStyle name="Normal 67 4 5" xfId="22069" xr:uid="{00000000-0005-0000-0000-000081850000}"/>
    <cellStyle name="Normal 67 5" xfId="9777" xr:uid="{00000000-0005-0000-0000-000082850000}"/>
    <cellStyle name="Normal 67 5 2" xfId="20191" xr:uid="{00000000-0005-0000-0000-000083850000}"/>
    <cellStyle name="Normal 67 5 2 2" xfId="33249" xr:uid="{00000000-0005-0000-0000-000084850000}"/>
    <cellStyle name="Normal 67 5 3" xfId="20192" xr:uid="{00000000-0005-0000-0000-000085850000}"/>
    <cellStyle name="Normal 67 5 3 2" xfId="33250" xr:uid="{00000000-0005-0000-0000-000086850000}"/>
    <cellStyle name="Normal 67 5 4" xfId="23147" xr:uid="{00000000-0005-0000-0000-000087850000}"/>
    <cellStyle name="Normal 67 6" xfId="20193" xr:uid="{00000000-0005-0000-0000-000088850000}"/>
    <cellStyle name="Normal 67 6 2" xfId="33251" xr:uid="{00000000-0005-0000-0000-000089850000}"/>
    <cellStyle name="Normal 67 7" xfId="20194" xr:uid="{00000000-0005-0000-0000-00008A850000}"/>
    <cellStyle name="Normal 67 7 2" xfId="33252" xr:uid="{00000000-0005-0000-0000-00008B850000}"/>
    <cellStyle name="Normal 67 8" xfId="20991" xr:uid="{00000000-0005-0000-0000-00008C850000}"/>
    <cellStyle name="Normal 68" xfId="4252" xr:uid="{00000000-0005-0000-0000-00008D850000}"/>
    <cellStyle name="Normal 68 2" xfId="6662" xr:uid="{00000000-0005-0000-0000-00008E850000}"/>
    <cellStyle name="Normal 68 2 2" xfId="7355" xr:uid="{00000000-0005-0000-0000-00008F850000}"/>
    <cellStyle name="Normal 68 2 2 2" xfId="9234" xr:uid="{00000000-0005-0000-0000-000090850000}"/>
    <cellStyle name="Normal 68 2 2 2 2" xfId="11613" xr:uid="{00000000-0005-0000-0000-000091850000}"/>
    <cellStyle name="Normal 68 2 2 2 2 2" xfId="20195" xr:uid="{00000000-0005-0000-0000-000092850000}"/>
    <cellStyle name="Normal 68 2 2 2 2 2 2" xfId="33253" xr:uid="{00000000-0005-0000-0000-000093850000}"/>
    <cellStyle name="Normal 68 2 2 2 2 3" xfId="20196" xr:uid="{00000000-0005-0000-0000-000094850000}"/>
    <cellStyle name="Normal 68 2 2 2 2 3 2" xfId="33254" xr:uid="{00000000-0005-0000-0000-000095850000}"/>
    <cellStyle name="Normal 68 2 2 2 2 4" xfId="24983" xr:uid="{00000000-0005-0000-0000-000096850000}"/>
    <cellStyle name="Normal 68 2 2 2 3" xfId="20197" xr:uid="{00000000-0005-0000-0000-000097850000}"/>
    <cellStyle name="Normal 68 2 2 2 3 2" xfId="33255" xr:uid="{00000000-0005-0000-0000-000098850000}"/>
    <cellStyle name="Normal 68 2 2 2 4" xfId="20198" xr:uid="{00000000-0005-0000-0000-000099850000}"/>
    <cellStyle name="Normal 68 2 2 2 4 2" xfId="33256" xr:uid="{00000000-0005-0000-0000-00009A850000}"/>
    <cellStyle name="Normal 68 2 2 2 5" xfId="22827" xr:uid="{00000000-0005-0000-0000-00009B850000}"/>
    <cellStyle name="Normal 68 2 2 3" xfId="10535" xr:uid="{00000000-0005-0000-0000-00009C850000}"/>
    <cellStyle name="Normal 68 2 2 3 2" xfId="20199" xr:uid="{00000000-0005-0000-0000-00009D850000}"/>
    <cellStyle name="Normal 68 2 2 3 2 2" xfId="33257" xr:uid="{00000000-0005-0000-0000-00009E850000}"/>
    <cellStyle name="Normal 68 2 2 3 3" xfId="20200" xr:uid="{00000000-0005-0000-0000-00009F850000}"/>
    <cellStyle name="Normal 68 2 2 3 3 2" xfId="33258" xr:uid="{00000000-0005-0000-0000-0000A0850000}"/>
    <cellStyle name="Normal 68 2 2 3 4" xfId="23905" xr:uid="{00000000-0005-0000-0000-0000A1850000}"/>
    <cellStyle name="Normal 68 2 2 4" xfId="20201" xr:uid="{00000000-0005-0000-0000-0000A2850000}"/>
    <cellStyle name="Normal 68 2 2 4 2" xfId="33259" xr:uid="{00000000-0005-0000-0000-0000A3850000}"/>
    <cellStyle name="Normal 68 2 2 5" xfId="20202" xr:uid="{00000000-0005-0000-0000-0000A4850000}"/>
    <cellStyle name="Normal 68 2 2 5 2" xfId="33260" xr:uid="{00000000-0005-0000-0000-0000A5850000}"/>
    <cellStyle name="Normal 68 2 2 6" xfId="21749" xr:uid="{00000000-0005-0000-0000-0000A6850000}"/>
    <cellStyle name="Normal 68 2 3" xfId="8688" xr:uid="{00000000-0005-0000-0000-0000A7850000}"/>
    <cellStyle name="Normal 68 2 3 2" xfId="11073" xr:uid="{00000000-0005-0000-0000-0000A8850000}"/>
    <cellStyle name="Normal 68 2 3 2 2" xfId="20203" xr:uid="{00000000-0005-0000-0000-0000A9850000}"/>
    <cellStyle name="Normal 68 2 3 2 2 2" xfId="33261" xr:uid="{00000000-0005-0000-0000-0000AA850000}"/>
    <cellStyle name="Normal 68 2 3 2 3" xfId="20204" xr:uid="{00000000-0005-0000-0000-0000AB850000}"/>
    <cellStyle name="Normal 68 2 3 2 3 2" xfId="33262" xr:uid="{00000000-0005-0000-0000-0000AC850000}"/>
    <cellStyle name="Normal 68 2 3 2 4" xfId="24443" xr:uid="{00000000-0005-0000-0000-0000AD850000}"/>
    <cellStyle name="Normal 68 2 3 3" xfId="20205" xr:uid="{00000000-0005-0000-0000-0000AE850000}"/>
    <cellStyle name="Normal 68 2 3 3 2" xfId="33263" xr:uid="{00000000-0005-0000-0000-0000AF850000}"/>
    <cellStyle name="Normal 68 2 3 4" xfId="20206" xr:uid="{00000000-0005-0000-0000-0000B0850000}"/>
    <cellStyle name="Normal 68 2 3 4 2" xfId="33264" xr:uid="{00000000-0005-0000-0000-0000B1850000}"/>
    <cellStyle name="Normal 68 2 3 5" xfId="22287" xr:uid="{00000000-0005-0000-0000-0000B2850000}"/>
    <cellStyle name="Normal 68 2 4" xfId="9995" xr:uid="{00000000-0005-0000-0000-0000B3850000}"/>
    <cellStyle name="Normal 68 2 4 2" xfId="20207" xr:uid="{00000000-0005-0000-0000-0000B4850000}"/>
    <cellStyle name="Normal 68 2 4 2 2" xfId="33265" xr:uid="{00000000-0005-0000-0000-0000B5850000}"/>
    <cellStyle name="Normal 68 2 4 3" xfId="20208" xr:uid="{00000000-0005-0000-0000-0000B6850000}"/>
    <cellStyle name="Normal 68 2 4 3 2" xfId="33266" xr:uid="{00000000-0005-0000-0000-0000B7850000}"/>
    <cellStyle name="Normal 68 2 4 4" xfId="23365" xr:uid="{00000000-0005-0000-0000-0000B8850000}"/>
    <cellStyle name="Normal 68 2 5" xfId="20209" xr:uid="{00000000-0005-0000-0000-0000B9850000}"/>
    <cellStyle name="Normal 68 2 5 2" xfId="33267" xr:uid="{00000000-0005-0000-0000-0000BA850000}"/>
    <cellStyle name="Normal 68 2 6" xfId="20210" xr:uid="{00000000-0005-0000-0000-0000BB850000}"/>
    <cellStyle name="Normal 68 2 6 2" xfId="33268" xr:uid="{00000000-0005-0000-0000-0000BC850000}"/>
    <cellStyle name="Normal 68 2 7" xfId="21209" xr:uid="{00000000-0005-0000-0000-0000BD850000}"/>
    <cellStyle name="Normal 68 3" xfId="7086" xr:uid="{00000000-0005-0000-0000-0000BE850000}"/>
    <cellStyle name="Normal 68 3 2" xfId="8965" xr:uid="{00000000-0005-0000-0000-0000BF850000}"/>
    <cellStyle name="Normal 68 3 2 2" xfId="11344" xr:uid="{00000000-0005-0000-0000-0000C0850000}"/>
    <cellStyle name="Normal 68 3 2 2 2" xfId="20211" xr:uid="{00000000-0005-0000-0000-0000C1850000}"/>
    <cellStyle name="Normal 68 3 2 2 2 2" xfId="33269" xr:uid="{00000000-0005-0000-0000-0000C2850000}"/>
    <cellStyle name="Normal 68 3 2 2 3" xfId="20212" xr:uid="{00000000-0005-0000-0000-0000C3850000}"/>
    <cellStyle name="Normal 68 3 2 2 3 2" xfId="33270" xr:uid="{00000000-0005-0000-0000-0000C4850000}"/>
    <cellStyle name="Normal 68 3 2 2 4" xfId="24714" xr:uid="{00000000-0005-0000-0000-0000C5850000}"/>
    <cellStyle name="Normal 68 3 2 3" xfId="20213" xr:uid="{00000000-0005-0000-0000-0000C6850000}"/>
    <cellStyle name="Normal 68 3 2 3 2" xfId="33271" xr:uid="{00000000-0005-0000-0000-0000C7850000}"/>
    <cellStyle name="Normal 68 3 2 4" xfId="20214" xr:uid="{00000000-0005-0000-0000-0000C8850000}"/>
    <cellStyle name="Normal 68 3 2 4 2" xfId="33272" xr:uid="{00000000-0005-0000-0000-0000C9850000}"/>
    <cellStyle name="Normal 68 3 2 5" xfId="22558" xr:uid="{00000000-0005-0000-0000-0000CA850000}"/>
    <cellStyle name="Normal 68 3 3" xfId="10266" xr:uid="{00000000-0005-0000-0000-0000CB850000}"/>
    <cellStyle name="Normal 68 3 3 2" xfId="20215" xr:uid="{00000000-0005-0000-0000-0000CC850000}"/>
    <cellStyle name="Normal 68 3 3 2 2" xfId="33273" xr:uid="{00000000-0005-0000-0000-0000CD850000}"/>
    <cellStyle name="Normal 68 3 3 3" xfId="20216" xr:uid="{00000000-0005-0000-0000-0000CE850000}"/>
    <cellStyle name="Normal 68 3 3 3 2" xfId="33274" xr:uid="{00000000-0005-0000-0000-0000CF850000}"/>
    <cellStyle name="Normal 68 3 3 4" xfId="23636" xr:uid="{00000000-0005-0000-0000-0000D0850000}"/>
    <cellStyle name="Normal 68 3 4" xfId="20217" xr:uid="{00000000-0005-0000-0000-0000D1850000}"/>
    <cellStyle name="Normal 68 3 4 2" xfId="33275" xr:uid="{00000000-0005-0000-0000-0000D2850000}"/>
    <cellStyle name="Normal 68 3 5" xfId="20218" xr:uid="{00000000-0005-0000-0000-0000D3850000}"/>
    <cellStyle name="Normal 68 3 5 2" xfId="33276" xr:uid="{00000000-0005-0000-0000-0000D4850000}"/>
    <cellStyle name="Normal 68 3 6" xfId="21480" xr:uid="{00000000-0005-0000-0000-0000D5850000}"/>
    <cellStyle name="Normal 68 4" xfId="8300" xr:uid="{00000000-0005-0000-0000-0000D6850000}"/>
    <cellStyle name="Normal 68 4 2" xfId="10804" xr:uid="{00000000-0005-0000-0000-0000D7850000}"/>
    <cellStyle name="Normal 68 4 2 2" xfId="20219" xr:uid="{00000000-0005-0000-0000-0000D8850000}"/>
    <cellStyle name="Normal 68 4 2 2 2" xfId="33277" xr:uid="{00000000-0005-0000-0000-0000D9850000}"/>
    <cellStyle name="Normal 68 4 2 3" xfId="20220" xr:uid="{00000000-0005-0000-0000-0000DA850000}"/>
    <cellStyle name="Normal 68 4 2 3 2" xfId="33278" xr:uid="{00000000-0005-0000-0000-0000DB850000}"/>
    <cellStyle name="Normal 68 4 2 4" xfId="24174" xr:uid="{00000000-0005-0000-0000-0000DC850000}"/>
    <cellStyle name="Normal 68 4 3" xfId="20221" xr:uid="{00000000-0005-0000-0000-0000DD850000}"/>
    <cellStyle name="Normal 68 4 3 2" xfId="33279" xr:uid="{00000000-0005-0000-0000-0000DE850000}"/>
    <cellStyle name="Normal 68 4 4" xfId="20222" xr:uid="{00000000-0005-0000-0000-0000DF850000}"/>
    <cellStyle name="Normal 68 4 4 2" xfId="33280" xr:uid="{00000000-0005-0000-0000-0000E0850000}"/>
    <cellStyle name="Normal 68 4 5" xfId="22018" xr:uid="{00000000-0005-0000-0000-0000E1850000}"/>
    <cellStyle name="Normal 68 5" xfId="9726" xr:uid="{00000000-0005-0000-0000-0000E2850000}"/>
    <cellStyle name="Normal 68 5 2" xfId="20223" xr:uid="{00000000-0005-0000-0000-0000E3850000}"/>
    <cellStyle name="Normal 68 5 2 2" xfId="33281" xr:uid="{00000000-0005-0000-0000-0000E4850000}"/>
    <cellStyle name="Normal 68 5 3" xfId="20224" xr:uid="{00000000-0005-0000-0000-0000E5850000}"/>
    <cellStyle name="Normal 68 5 3 2" xfId="33282" xr:uid="{00000000-0005-0000-0000-0000E6850000}"/>
    <cellStyle name="Normal 68 5 4" xfId="23096" xr:uid="{00000000-0005-0000-0000-0000E7850000}"/>
    <cellStyle name="Normal 68 6" xfId="20225" xr:uid="{00000000-0005-0000-0000-0000E8850000}"/>
    <cellStyle name="Normal 68 6 2" xfId="33283" xr:uid="{00000000-0005-0000-0000-0000E9850000}"/>
    <cellStyle name="Normal 68 7" xfId="20226" xr:uid="{00000000-0005-0000-0000-0000EA850000}"/>
    <cellStyle name="Normal 68 7 2" xfId="33284" xr:uid="{00000000-0005-0000-0000-0000EB850000}"/>
    <cellStyle name="Normal 68 8" xfId="20940" xr:uid="{00000000-0005-0000-0000-0000EC850000}"/>
    <cellStyle name="Normal 69" xfId="4877" xr:uid="{00000000-0005-0000-0000-0000ED850000}"/>
    <cellStyle name="Normal 69 2" xfId="6673" xr:uid="{00000000-0005-0000-0000-0000EE850000}"/>
    <cellStyle name="Normal 69 2 2" xfId="7362" xr:uid="{00000000-0005-0000-0000-0000EF850000}"/>
    <cellStyle name="Normal 69 2 2 2" xfId="9241" xr:uid="{00000000-0005-0000-0000-0000F0850000}"/>
    <cellStyle name="Normal 69 2 2 2 2" xfId="11620" xr:uid="{00000000-0005-0000-0000-0000F1850000}"/>
    <cellStyle name="Normal 69 2 2 2 2 2" xfId="20227" xr:uid="{00000000-0005-0000-0000-0000F2850000}"/>
    <cellStyle name="Normal 69 2 2 2 2 2 2" xfId="33285" xr:uid="{00000000-0005-0000-0000-0000F3850000}"/>
    <cellStyle name="Normal 69 2 2 2 2 3" xfId="20228" xr:uid="{00000000-0005-0000-0000-0000F4850000}"/>
    <cellStyle name="Normal 69 2 2 2 2 3 2" xfId="33286" xr:uid="{00000000-0005-0000-0000-0000F5850000}"/>
    <cellStyle name="Normal 69 2 2 2 2 4" xfId="24990" xr:uid="{00000000-0005-0000-0000-0000F6850000}"/>
    <cellStyle name="Normal 69 2 2 2 3" xfId="20229" xr:uid="{00000000-0005-0000-0000-0000F7850000}"/>
    <cellStyle name="Normal 69 2 2 2 3 2" xfId="33287" xr:uid="{00000000-0005-0000-0000-0000F8850000}"/>
    <cellStyle name="Normal 69 2 2 2 4" xfId="20230" xr:uid="{00000000-0005-0000-0000-0000F9850000}"/>
    <cellStyle name="Normal 69 2 2 2 4 2" xfId="33288" xr:uid="{00000000-0005-0000-0000-0000FA850000}"/>
    <cellStyle name="Normal 69 2 2 2 5" xfId="22834" xr:uid="{00000000-0005-0000-0000-0000FB850000}"/>
    <cellStyle name="Normal 69 2 2 3" xfId="10542" xr:uid="{00000000-0005-0000-0000-0000FC850000}"/>
    <cellStyle name="Normal 69 2 2 3 2" xfId="20231" xr:uid="{00000000-0005-0000-0000-0000FD850000}"/>
    <cellStyle name="Normal 69 2 2 3 2 2" xfId="33289" xr:uid="{00000000-0005-0000-0000-0000FE850000}"/>
    <cellStyle name="Normal 69 2 2 3 3" xfId="20232" xr:uid="{00000000-0005-0000-0000-0000FF850000}"/>
    <cellStyle name="Normal 69 2 2 3 3 2" xfId="33290" xr:uid="{00000000-0005-0000-0000-000000860000}"/>
    <cellStyle name="Normal 69 2 2 3 4" xfId="23912" xr:uid="{00000000-0005-0000-0000-000001860000}"/>
    <cellStyle name="Normal 69 2 2 4" xfId="20233" xr:uid="{00000000-0005-0000-0000-000002860000}"/>
    <cellStyle name="Normal 69 2 2 4 2" xfId="33291" xr:uid="{00000000-0005-0000-0000-000003860000}"/>
    <cellStyle name="Normal 69 2 2 5" xfId="20234" xr:uid="{00000000-0005-0000-0000-000004860000}"/>
    <cellStyle name="Normal 69 2 2 5 2" xfId="33292" xr:uid="{00000000-0005-0000-0000-000005860000}"/>
    <cellStyle name="Normal 69 2 2 6" xfId="21756" xr:uid="{00000000-0005-0000-0000-000006860000}"/>
    <cellStyle name="Normal 69 2 3" xfId="8695" xr:uid="{00000000-0005-0000-0000-000007860000}"/>
    <cellStyle name="Normal 69 2 3 2" xfId="11080" xr:uid="{00000000-0005-0000-0000-000008860000}"/>
    <cellStyle name="Normal 69 2 3 2 2" xfId="20235" xr:uid="{00000000-0005-0000-0000-000009860000}"/>
    <cellStyle name="Normal 69 2 3 2 2 2" xfId="33293" xr:uid="{00000000-0005-0000-0000-00000A860000}"/>
    <cellStyle name="Normal 69 2 3 2 3" xfId="20236" xr:uid="{00000000-0005-0000-0000-00000B860000}"/>
    <cellStyle name="Normal 69 2 3 2 3 2" xfId="33294" xr:uid="{00000000-0005-0000-0000-00000C860000}"/>
    <cellStyle name="Normal 69 2 3 2 4" xfId="24450" xr:uid="{00000000-0005-0000-0000-00000D860000}"/>
    <cellStyle name="Normal 69 2 3 3" xfId="20237" xr:uid="{00000000-0005-0000-0000-00000E860000}"/>
    <cellStyle name="Normal 69 2 3 3 2" xfId="33295" xr:uid="{00000000-0005-0000-0000-00000F860000}"/>
    <cellStyle name="Normal 69 2 3 4" xfId="20238" xr:uid="{00000000-0005-0000-0000-000010860000}"/>
    <cellStyle name="Normal 69 2 3 4 2" xfId="33296" xr:uid="{00000000-0005-0000-0000-000011860000}"/>
    <cellStyle name="Normal 69 2 3 5" xfId="22294" xr:uid="{00000000-0005-0000-0000-000012860000}"/>
    <cellStyle name="Normal 69 2 4" xfId="10002" xr:uid="{00000000-0005-0000-0000-000013860000}"/>
    <cellStyle name="Normal 69 2 4 2" xfId="20239" xr:uid="{00000000-0005-0000-0000-000014860000}"/>
    <cellStyle name="Normal 69 2 4 2 2" xfId="33297" xr:uid="{00000000-0005-0000-0000-000015860000}"/>
    <cellStyle name="Normal 69 2 4 3" xfId="20240" xr:uid="{00000000-0005-0000-0000-000016860000}"/>
    <cellStyle name="Normal 69 2 4 3 2" xfId="33298" xr:uid="{00000000-0005-0000-0000-000017860000}"/>
    <cellStyle name="Normal 69 2 4 4" xfId="23372" xr:uid="{00000000-0005-0000-0000-000018860000}"/>
    <cellStyle name="Normal 69 2 5" xfId="20241" xr:uid="{00000000-0005-0000-0000-000019860000}"/>
    <cellStyle name="Normal 69 2 5 2" xfId="33299" xr:uid="{00000000-0005-0000-0000-00001A860000}"/>
    <cellStyle name="Normal 69 2 6" xfId="20242" xr:uid="{00000000-0005-0000-0000-00001B860000}"/>
    <cellStyle name="Normal 69 2 6 2" xfId="33300" xr:uid="{00000000-0005-0000-0000-00001C860000}"/>
    <cellStyle name="Normal 69 2 7" xfId="21216" xr:uid="{00000000-0005-0000-0000-00001D860000}"/>
    <cellStyle name="Normal 69 3" xfId="7093" xr:uid="{00000000-0005-0000-0000-00001E860000}"/>
    <cellStyle name="Normal 69 3 2" xfId="8972" xr:uid="{00000000-0005-0000-0000-00001F860000}"/>
    <cellStyle name="Normal 69 3 2 2" xfId="11351" xr:uid="{00000000-0005-0000-0000-000020860000}"/>
    <cellStyle name="Normal 69 3 2 2 2" xfId="20243" xr:uid="{00000000-0005-0000-0000-000021860000}"/>
    <cellStyle name="Normal 69 3 2 2 2 2" xfId="33301" xr:uid="{00000000-0005-0000-0000-000022860000}"/>
    <cellStyle name="Normal 69 3 2 2 3" xfId="20244" xr:uid="{00000000-0005-0000-0000-000023860000}"/>
    <cellStyle name="Normal 69 3 2 2 3 2" xfId="33302" xr:uid="{00000000-0005-0000-0000-000024860000}"/>
    <cellStyle name="Normal 69 3 2 2 4" xfId="24721" xr:uid="{00000000-0005-0000-0000-000025860000}"/>
    <cellStyle name="Normal 69 3 2 3" xfId="20245" xr:uid="{00000000-0005-0000-0000-000026860000}"/>
    <cellStyle name="Normal 69 3 2 3 2" xfId="33303" xr:uid="{00000000-0005-0000-0000-000027860000}"/>
    <cellStyle name="Normal 69 3 2 4" xfId="20246" xr:uid="{00000000-0005-0000-0000-000028860000}"/>
    <cellStyle name="Normal 69 3 2 4 2" xfId="33304" xr:uid="{00000000-0005-0000-0000-000029860000}"/>
    <cellStyle name="Normal 69 3 2 5" xfId="22565" xr:uid="{00000000-0005-0000-0000-00002A860000}"/>
    <cellStyle name="Normal 69 3 3" xfId="10273" xr:uid="{00000000-0005-0000-0000-00002B860000}"/>
    <cellStyle name="Normal 69 3 3 2" xfId="20247" xr:uid="{00000000-0005-0000-0000-00002C860000}"/>
    <cellStyle name="Normal 69 3 3 2 2" xfId="33305" xr:uid="{00000000-0005-0000-0000-00002D860000}"/>
    <cellStyle name="Normal 69 3 3 3" xfId="20248" xr:uid="{00000000-0005-0000-0000-00002E860000}"/>
    <cellStyle name="Normal 69 3 3 3 2" xfId="33306" xr:uid="{00000000-0005-0000-0000-00002F860000}"/>
    <cellStyle name="Normal 69 3 3 4" xfId="23643" xr:uid="{00000000-0005-0000-0000-000030860000}"/>
    <cellStyle name="Normal 69 3 4" xfId="20249" xr:uid="{00000000-0005-0000-0000-000031860000}"/>
    <cellStyle name="Normal 69 3 4 2" xfId="33307" xr:uid="{00000000-0005-0000-0000-000032860000}"/>
    <cellStyle name="Normal 69 3 5" xfId="20250" xr:uid="{00000000-0005-0000-0000-000033860000}"/>
    <cellStyle name="Normal 69 3 5 2" xfId="33308" xr:uid="{00000000-0005-0000-0000-000034860000}"/>
    <cellStyle name="Normal 69 3 6" xfId="21487" xr:uid="{00000000-0005-0000-0000-000035860000}"/>
    <cellStyle name="Normal 69 4" xfId="8338" xr:uid="{00000000-0005-0000-0000-000036860000}"/>
    <cellStyle name="Normal 69 4 2" xfId="10811" xr:uid="{00000000-0005-0000-0000-000037860000}"/>
    <cellStyle name="Normal 69 4 2 2" xfId="20251" xr:uid="{00000000-0005-0000-0000-000038860000}"/>
    <cellStyle name="Normal 69 4 2 2 2" xfId="33309" xr:uid="{00000000-0005-0000-0000-000039860000}"/>
    <cellStyle name="Normal 69 4 2 3" xfId="20252" xr:uid="{00000000-0005-0000-0000-00003A860000}"/>
    <cellStyle name="Normal 69 4 2 3 2" xfId="33310" xr:uid="{00000000-0005-0000-0000-00003B860000}"/>
    <cellStyle name="Normal 69 4 2 4" xfId="24181" xr:uid="{00000000-0005-0000-0000-00003C860000}"/>
    <cellStyle name="Normal 69 4 3" xfId="20253" xr:uid="{00000000-0005-0000-0000-00003D860000}"/>
    <cellStyle name="Normal 69 4 3 2" xfId="33311" xr:uid="{00000000-0005-0000-0000-00003E860000}"/>
    <cellStyle name="Normal 69 4 4" xfId="20254" xr:uid="{00000000-0005-0000-0000-00003F860000}"/>
    <cellStyle name="Normal 69 4 4 2" xfId="33312" xr:uid="{00000000-0005-0000-0000-000040860000}"/>
    <cellStyle name="Normal 69 4 5" xfId="22025" xr:uid="{00000000-0005-0000-0000-000041860000}"/>
    <cellStyle name="Normal 69 5" xfId="9733" xr:uid="{00000000-0005-0000-0000-000042860000}"/>
    <cellStyle name="Normal 69 5 2" xfId="20255" xr:uid="{00000000-0005-0000-0000-000043860000}"/>
    <cellStyle name="Normal 69 5 2 2" xfId="33313" xr:uid="{00000000-0005-0000-0000-000044860000}"/>
    <cellStyle name="Normal 69 5 3" xfId="20256" xr:uid="{00000000-0005-0000-0000-000045860000}"/>
    <cellStyle name="Normal 69 5 3 2" xfId="33314" xr:uid="{00000000-0005-0000-0000-000046860000}"/>
    <cellStyle name="Normal 69 5 4" xfId="23103" xr:uid="{00000000-0005-0000-0000-000047860000}"/>
    <cellStyle name="Normal 69 6" xfId="20257" xr:uid="{00000000-0005-0000-0000-000048860000}"/>
    <cellStyle name="Normal 69 6 2" xfId="33315" xr:uid="{00000000-0005-0000-0000-000049860000}"/>
    <cellStyle name="Normal 69 7" xfId="20258" xr:uid="{00000000-0005-0000-0000-00004A860000}"/>
    <cellStyle name="Normal 69 7 2" xfId="33316" xr:uid="{00000000-0005-0000-0000-00004B860000}"/>
    <cellStyle name="Normal 69 8" xfId="20947" xr:uid="{00000000-0005-0000-0000-00004C860000}"/>
    <cellStyle name="Normal 7" xfId="1919" xr:uid="{00000000-0005-0000-0000-00004D860000}"/>
    <cellStyle name="Normal 7 2" xfId="34517" xr:uid="{00000000-0005-0000-0000-00004E860000}"/>
    <cellStyle name="Normal 7 3" xfId="34518" xr:uid="{00000000-0005-0000-0000-00004F860000}"/>
    <cellStyle name="Normal 70" xfId="6016" xr:uid="{00000000-0005-0000-0000-000050860000}"/>
    <cellStyle name="Normal 70 2" xfId="6815" xr:uid="{00000000-0005-0000-0000-000051860000}"/>
    <cellStyle name="Normal 70 2 2" xfId="7500" xr:uid="{00000000-0005-0000-0000-000052860000}"/>
    <cellStyle name="Normal 70 2 2 2" xfId="9379" xr:uid="{00000000-0005-0000-0000-000053860000}"/>
    <cellStyle name="Normal 70 2 2 2 2" xfId="11758" xr:uid="{00000000-0005-0000-0000-000054860000}"/>
    <cellStyle name="Normal 70 2 2 2 2 2" xfId="20259" xr:uid="{00000000-0005-0000-0000-000055860000}"/>
    <cellStyle name="Normal 70 2 2 2 2 2 2" xfId="33317" xr:uid="{00000000-0005-0000-0000-000056860000}"/>
    <cellStyle name="Normal 70 2 2 2 2 3" xfId="20260" xr:uid="{00000000-0005-0000-0000-000057860000}"/>
    <cellStyle name="Normal 70 2 2 2 2 3 2" xfId="33318" xr:uid="{00000000-0005-0000-0000-000058860000}"/>
    <cellStyle name="Normal 70 2 2 2 2 4" xfId="25128" xr:uid="{00000000-0005-0000-0000-000059860000}"/>
    <cellStyle name="Normal 70 2 2 2 3" xfId="20261" xr:uid="{00000000-0005-0000-0000-00005A860000}"/>
    <cellStyle name="Normal 70 2 2 2 3 2" xfId="33319" xr:uid="{00000000-0005-0000-0000-00005B860000}"/>
    <cellStyle name="Normal 70 2 2 2 4" xfId="20262" xr:uid="{00000000-0005-0000-0000-00005C860000}"/>
    <cellStyle name="Normal 70 2 2 2 4 2" xfId="33320" xr:uid="{00000000-0005-0000-0000-00005D860000}"/>
    <cellStyle name="Normal 70 2 2 2 5" xfId="22972" xr:uid="{00000000-0005-0000-0000-00005E860000}"/>
    <cellStyle name="Normal 70 2 2 3" xfId="10680" xr:uid="{00000000-0005-0000-0000-00005F860000}"/>
    <cellStyle name="Normal 70 2 2 3 2" xfId="20263" xr:uid="{00000000-0005-0000-0000-000060860000}"/>
    <cellStyle name="Normal 70 2 2 3 2 2" xfId="33321" xr:uid="{00000000-0005-0000-0000-000061860000}"/>
    <cellStyle name="Normal 70 2 2 3 3" xfId="20264" xr:uid="{00000000-0005-0000-0000-000062860000}"/>
    <cellStyle name="Normal 70 2 2 3 3 2" xfId="33322" xr:uid="{00000000-0005-0000-0000-000063860000}"/>
    <cellStyle name="Normal 70 2 2 3 4" xfId="24050" xr:uid="{00000000-0005-0000-0000-000064860000}"/>
    <cellStyle name="Normal 70 2 2 4" xfId="20265" xr:uid="{00000000-0005-0000-0000-000065860000}"/>
    <cellStyle name="Normal 70 2 2 4 2" xfId="33323" xr:uid="{00000000-0005-0000-0000-000066860000}"/>
    <cellStyle name="Normal 70 2 2 5" xfId="20266" xr:uid="{00000000-0005-0000-0000-000067860000}"/>
    <cellStyle name="Normal 70 2 2 5 2" xfId="33324" xr:uid="{00000000-0005-0000-0000-000068860000}"/>
    <cellStyle name="Normal 70 2 2 6" xfId="21894" xr:uid="{00000000-0005-0000-0000-000069860000}"/>
    <cellStyle name="Normal 70 2 3" xfId="8833" xr:uid="{00000000-0005-0000-0000-00006A860000}"/>
    <cellStyle name="Normal 70 2 3 2" xfId="11218" xr:uid="{00000000-0005-0000-0000-00006B860000}"/>
    <cellStyle name="Normal 70 2 3 2 2" xfId="20267" xr:uid="{00000000-0005-0000-0000-00006C860000}"/>
    <cellStyle name="Normal 70 2 3 2 2 2" xfId="33325" xr:uid="{00000000-0005-0000-0000-00006D860000}"/>
    <cellStyle name="Normal 70 2 3 2 3" xfId="20268" xr:uid="{00000000-0005-0000-0000-00006E860000}"/>
    <cellStyle name="Normal 70 2 3 2 3 2" xfId="33326" xr:uid="{00000000-0005-0000-0000-00006F860000}"/>
    <cellStyle name="Normal 70 2 3 2 4" xfId="24588" xr:uid="{00000000-0005-0000-0000-000070860000}"/>
    <cellStyle name="Normal 70 2 3 3" xfId="20269" xr:uid="{00000000-0005-0000-0000-000071860000}"/>
    <cellStyle name="Normal 70 2 3 3 2" xfId="33327" xr:uid="{00000000-0005-0000-0000-000072860000}"/>
    <cellStyle name="Normal 70 2 3 4" xfId="20270" xr:uid="{00000000-0005-0000-0000-000073860000}"/>
    <cellStyle name="Normal 70 2 3 4 2" xfId="33328" xr:uid="{00000000-0005-0000-0000-000074860000}"/>
    <cellStyle name="Normal 70 2 3 5" xfId="22432" xr:uid="{00000000-0005-0000-0000-000075860000}"/>
    <cellStyle name="Normal 70 2 4" xfId="10140" xr:uid="{00000000-0005-0000-0000-000076860000}"/>
    <cellStyle name="Normal 70 2 4 2" xfId="20271" xr:uid="{00000000-0005-0000-0000-000077860000}"/>
    <cellStyle name="Normal 70 2 4 2 2" xfId="33329" xr:uid="{00000000-0005-0000-0000-000078860000}"/>
    <cellStyle name="Normal 70 2 4 3" xfId="20272" xr:uid="{00000000-0005-0000-0000-000079860000}"/>
    <cellStyle name="Normal 70 2 4 3 2" xfId="33330" xr:uid="{00000000-0005-0000-0000-00007A860000}"/>
    <cellStyle name="Normal 70 2 4 4" xfId="23510" xr:uid="{00000000-0005-0000-0000-00007B860000}"/>
    <cellStyle name="Normal 70 2 5" xfId="20273" xr:uid="{00000000-0005-0000-0000-00007C860000}"/>
    <cellStyle name="Normal 70 2 5 2" xfId="33331" xr:uid="{00000000-0005-0000-0000-00007D860000}"/>
    <cellStyle name="Normal 70 2 6" xfId="20274" xr:uid="{00000000-0005-0000-0000-00007E860000}"/>
    <cellStyle name="Normal 70 2 6 2" xfId="33332" xr:uid="{00000000-0005-0000-0000-00007F860000}"/>
    <cellStyle name="Normal 70 2 7" xfId="21354" xr:uid="{00000000-0005-0000-0000-000080860000}"/>
    <cellStyle name="Normal 70 3" xfId="7231" xr:uid="{00000000-0005-0000-0000-000081860000}"/>
    <cellStyle name="Normal 70 3 2" xfId="9110" xr:uid="{00000000-0005-0000-0000-000082860000}"/>
    <cellStyle name="Normal 70 3 2 2" xfId="11489" xr:uid="{00000000-0005-0000-0000-000083860000}"/>
    <cellStyle name="Normal 70 3 2 2 2" xfId="20275" xr:uid="{00000000-0005-0000-0000-000084860000}"/>
    <cellStyle name="Normal 70 3 2 2 2 2" xfId="33333" xr:uid="{00000000-0005-0000-0000-000085860000}"/>
    <cellStyle name="Normal 70 3 2 2 3" xfId="20276" xr:uid="{00000000-0005-0000-0000-000086860000}"/>
    <cellStyle name="Normal 70 3 2 2 3 2" xfId="33334" xr:uid="{00000000-0005-0000-0000-000087860000}"/>
    <cellStyle name="Normal 70 3 2 2 4" xfId="24859" xr:uid="{00000000-0005-0000-0000-000088860000}"/>
    <cellStyle name="Normal 70 3 2 3" xfId="20277" xr:uid="{00000000-0005-0000-0000-000089860000}"/>
    <cellStyle name="Normal 70 3 2 3 2" xfId="33335" xr:uid="{00000000-0005-0000-0000-00008A860000}"/>
    <cellStyle name="Normal 70 3 2 4" xfId="20278" xr:uid="{00000000-0005-0000-0000-00008B860000}"/>
    <cellStyle name="Normal 70 3 2 4 2" xfId="33336" xr:uid="{00000000-0005-0000-0000-00008C860000}"/>
    <cellStyle name="Normal 70 3 2 5" xfId="22703" xr:uid="{00000000-0005-0000-0000-00008D860000}"/>
    <cellStyle name="Normal 70 3 3" xfId="10411" xr:uid="{00000000-0005-0000-0000-00008E860000}"/>
    <cellStyle name="Normal 70 3 3 2" xfId="20279" xr:uid="{00000000-0005-0000-0000-00008F860000}"/>
    <cellStyle name="Normal 70 3 3 2 2" xfId="33337" xr:uid="{00000000-0005-0000-0000-000090860000}"/>
    <cellStyle name="Normal 70 3 3 3" xfId="20280" xr:uid="{00000000-0005-0000-0000-000091860000}"/>
    <cellStyle name="Normal 70 3 3 3 2" xfId="33338" xr:uid="{00000000-0005-0000-0000-000092860000}"/>
    <cellStyle name="Normal 70 3 3 4" xfId="23781" xr:uid="{00000000-0005-0000-0000-000093860000}"/>
    <cellStyle name="Normal 70 3 4" xfId="20281" xr:uid="{00000000-0005-0000-0000-000094860000}"/>
    <cellStyle name="Normal 70 3 4 2" xfId="33339" xr:uid="{00000000-0005-0000-0000-000095860000}"/>
    <cellStyle name="Normal 70 3 5" xfId="20282" xr:uid="{00000000-0005-0000-0000-000096860000}"/>
    <cellStyle name="Normal 70 3 5 2" xfId="33340" xr:uid="{00000000-0005-0000-0000-000097860000}"/>
    <cellStyle name="Normal 70 3 6" xfId="21625" xr:uid="{00000000-0005-0000-0000-000098860000}"/>
    <cellStyle name="Normal 70 4" xfId="8532" xr:uid="{00000000-0005-0000-0000-000099860000}"/>
    <cellStyle name="Normal 70 4 2" xfId="10949" xr:uid="{00000000-0005-0000-0000-00009A860000}"/>
    <cellStyle name="Normal 70 4 2 2" xfId="20283" xr:uid="{00000000-0005-0000-0000-00009B860000}"/>
    <cellStyle name="Normal 70 4 2 2 2" xfId="33341" xr:uid="{00000000-0005-0000-0000-00009C860000}"/>
    <cellStyle name="Normal 70 4 2 3" xfId="20284" xr:uid="{00000000-0005-0000-0000-00009D860000}"/>
    <cellStyle name="Normal 70 4 2 3 2" xfId="33342" xr:uid="{00000000-0005-0000-0000-00009E860000}"/>
    <cellStyle name="Normal 70 4 2 4" xfId="24319" xr:uid="{00000000-0005-0000-0000-00009F860000}"/>
    <cellStyle name="Normal 70 4 3" xfId="20285" xr:uid="{00000000-0005-0000-0000-0000A0860000}"/>
    <cellStyle name="Normal 70 4 3 2" xfId="33343" xr:uid="{00000000-0005-0000-0000-0000A1860000}"/>
    <cellStyle name="Normal 70 4 4" xfId="20286" xr:uid="{00000000-0005-0000-0000-0000A2860000}"/>
    <cellStyle name="Normal 70 4 4 2" xfId="33344" xr:uid="{00000000-0005-0000-0000-0000A3860000}"/>
    <cellStyle name="Normal 70 4 5" xfId="22163" xr:uid="{00000000-0005-0000-0000-0000A4860000}"/>
    <cellStyle name="Normal 70 5" xfId="9871" xr:uid="{00000000-0005-0000-0000-0000A5860000}"/>
    <cellStyle name="Normal 70 5 2" xfId="20287" xr:uid="{00000000-0005-0000-0000-0000A6860000}"/>
    <cellStyle name="Normal 70 5 2 2" xfId="33345" xr:uid="{00000000-0005-0000-0000-0000A7860000}"/>
    <cellStyle name="Normal 70 5 3" xfId="20288" xr:uid="{00000000-0005-0000-0000-0000A8860000}"/>
    <cellStyle name="Normal 70 5 3 2" xfId="33346" xr:uid="{00000000-0005-0000-0000-0000A9860000}"/>
    <cellStyle name="Normal 70 5 4" xfId="23241" xr:uid="{00000000-0005-0000-0000-0000AA860000}"/>
    <cellStyle name="Normal 70 6" xfId="20289" xr:uid="{00000000-0005-0000-0000-0000AB860000}"/>
    <cellStyle name="Normal 70 6 2" xfId="33347" xr:uid="{00000000-0005-0000-0000-0000AC860000}"/>
    <cellStyle name="Normal 70 7" xfId="20290" xr:uid="{00000000-0005-0000-0000-0000AD860000}"/>
    <cellStyle name="Normal 70 7 2" xfId="33348" xr:uid="{00000000-0005-0000-0000-0000AE860000}"/>
    <cellStyle name="Normal 70 8" xfId="21085" xr:uid="{00000000-0005-0000-0000-0000AF860000}"/>
    <cellStyle name="Normal 71" xfId="4880" xr:uid="{00000000-0005-0000-0000-0000B0860000}"/>
    <cellStyle name="Normal 71 2" xfId="6674" xr:uid="{00000000-0005-0000-0000-0000B1860000}"/>
    <cellStyle name="Normal 71 2 2" xfId="7363" xr:uid="{00000000-0005-0000-0000-0000B2860000}"/>
    <cellStyle name="Normal 71 2 2 2" xfId="9242" xr:uid="{00000000-0005-0000-0000-0000B3860000}"/>
    <cellStyle name="Normal 71 2 2 2 2" xfId="11621" xr:uid="{00000000-0005-0000-0000-0000B4860000}"/>
    <cellStyle name="Normal 71 2 2 2 2 2" xfId="20291" xr:uid="{00000000-0005-0000-0000-0000B5860000}"/>
    <cellStyle name="Normal 71 2 2 2 2 2 2" xfId="33349" xr:uid="{00000000-0005-0000-0000-0000B6860000}"/>
    <cellStyle name="Normal 71 2 2 2 2 3" xfId="20292" xr:uid="{00000000-0005-0000-0000-0000B7860000}"/>
    <cellStyle name="Normal 71 2 2 2 2 3 2" xfId="33350" xr:uid="{00000000-0005-0000-0000-0000B8860000}"/>
    <cellStyle name="Normal 71 2 2 2 2 4" xfId="24991" xr:uid="{00000000-0005-0000-0000-0000B9860000}"/>
    <cellStyle name="Normal 71 2 2 2 3" xfId="20293" xr:uid="{00000000-0005-0000-0000-0000BA860000}"/>
    <cellStyle name="Normal 71 2 2 2 3 2" xfId="33351" xr:uid="{00000000-0005-0000-0000-0000BB860000}"/>
    <cellStyle name="Normal 71 2 2 2 4" xfId="20294" xr:uid="{00000000-0005-0000-0000-0000BC860000}"/>
    <cellStyle name="Normal 71 2 2 2 4 2" xfId="33352" xr:uid="{00000000-0005-0000-0000-0000BD860000}"/>
    <cellStyle name="Normal 71 2 2 2 5" xfId="22835" xr:uid="{00000000-0005-0000-0000-0000BE860000}"/>
    <cellStyle name="Normal 71 2 2 3" xfId="10543" xr:uid="{00000000-0005-0000-0000-0000BF860000}"/>
    <cellStyle name="Normal 71 2 2 3 2" xfId="20295" xr:uid="{00000000-0005-0000-0000-0000C0860000}"/>
    <cellStyle name="Normal 71 2 2 3 2 2" xfId="33353" xr:uid="{00000000-0005-0000-0000-0000C1860000}"/>
    <cellStyle name="Normal 71 2 2 3 3" xfId="20296" xr:uid="{00000000-0005-0000-0000-0000C2860000}"/>
    <cellStyle name="Normal 71 2 2 3 3 2" xfId="33354" xr:uid="{00000000-0005-0000-0000-0000C3860000}"/>
    <cellStyle name="Normal 71 2 2 3 4" xfId="23913" xr:uid="{00000000-0005-0000-0000-0000C4860000}"/>
    <cellStyle name="Normal 71 2 2 4" xfId="20297" xr:uid="{00000000-0005-0000-0000-0000C5860000}"/>
    <cellStyle name="Normal 71 2 2 4 2" xfId="33355" xr:uid="{00000000-0005-0000-0000-0000C6860000}"/>
    <cellStyle name="Normal 71 2 2 5" xfId="20298" xr:uid="{00000000-0005-0000-0000-0000C7860000}"/>
    <cellStyle name="Normal 71 2 2 5 2" xfId="33356" xr:uid="{00000000-0005-0000-0000-0000C8860000}"/>
    <cellStyle name="Normal 71 2 2 6" xfId="21757" xr:uid="{00000000-0005-0000-0000-0000C9860000}"/>
    <cellStyle name="Normal 71 2 3" xfId="8696" xr:uid="{00000000-0005-0000-0000-0000CA860000}"/>
    <cellStyle name="Normal 71 2 3 2" xfId="11081" xr:uid="{00000000-0005-0000-0000-0000CB860000}"/>
    <cellStyle name="Normal 71 2 3 2 2" xfId="20299" xr:uid="{00000000-0005-0000-0000-0000CC860000}"/>
    <cellStyle name="Normal 71 2 3 2 2 2" xfId="33357" xr:uid="{00000000-0005-0000-0000-0000CD860000}"/>
    <cellStyle name="Normal 71 2 3 2 3" xfId="20300" xr:uid="{00000000-0005-0000-0000-0000CE860000}"/>
    <cellStyle name="Normal 71 2 3 2 3 2" xfId="33358" xr:uid="{00000000-0005-0000-0000-0000CF860000}"/>
    <cellStyle name="Normal 71 2 3 2 4" xfId="24451" xr:uid="{00000000-0005-0000-0000-0000D0860000}"/>
    <cellStyle name="Normal 71 2 3 3" xfId="20301" xr:uid="{00000000-0005-0000-0000-0000D1860000}"/>
    <cellStyle name="Normal 71 2 3 3 2" xfId="33359" xr:uid="{00000000-0005-0000-0000-0000D2860000}"/>
    <cellStyle name="Normal 71 2 3 4" xfId="20302" xr:uid="{00000000-0005-0000-0000-0000D3860000}"/>
    <cellStyle name="Normal 71 2 3 4 2" xfId="33360" xr:uid="{00000000-0005-0000-0000-0000D4860000}"/>
    <cellStyle name="Normal 71 2 3 5" xfId="22295" xr:uid="{00000000-0005-0000-0000-0000D5860000}"/>
    <cellStyle name="Normal 71 2 4" xfId="10003" xr:uid="{00000000-0005-0000-0000-0000D6860000}"/>
    <cellStyle name="Normal 71 2 4 2" xfId="20303" xr:uid="{00000000-0005-0000-0000-0000D7860000}"/>
    <cellStyle name="Normal 71 2 4 2 2" xfId="33361" xr:uid="{00000000-0005-0000-0000-0000D8860000}"/>
    <cellStyle name="Normal 71 2 4 3" xfId="20304" xr:uid="{00000000-0005-0000-0000-0000D9860000}"/>
    <cellStyle name="Normal 71 2 4 3 2" xfId="33362" xr:uid="{00000000-0005-0000-0000-0000DA860000}"/>
    <cellStyle name="Normal 71 2 4 4" xfId="23373" xr:uid="{00000000-0005-0000-0000-0000DB860000}"/>
    <cellStyle name="Normal 71 2 5" xfId="20305" xr:uid="{00000000-0005-0000-0000-0000DC860000}"/>
    <cellStyle name="Normal 71 2 5 2" xfId="33363" xr:uid="{00000000-0005-0000-0000-0000DD860000}"/>
    <cellStyle name="Normal 71 2 6" xfId="20306" xr:uid="{00000000-0005-0000-0000-0000DE860000}"/>
    <cellStyle name="Normal 71 2 6 2" xfId="33364" xr:uid="{00000000-0005-0000-0000-0000DF860000}"/>
    <cellStyle name="Normal 71 2 7" xfId="21217" xr:uid="{00000000-0005-0000-0000-0000E0860000}"/>
    <cellStyle name="Normal 71 3" xfId="7094" xr:uid="{00000000-0005-0000-0000-0000E1860000}"/>
    <cellStyle name="Normal 71 3 2" xfId="8973" xr:uid="{00000000-0005-0000-0000-0000E2860000}"/>
    <cellStyle name="Normal 71 3 2 2" xfId="11352" xr:uid="{00000000-0005-0000-0000-0000E3860000}"/>
    <cellStyle name="Normal 71 3 2 2 2" xfId="20307" xr:uid="{00000000-0005-0000-0000-0000E4860000}"/>
    <cellStyle name="Normal 71 3 2 2 2 2" xfId="33365" xr:uid="{00000000-0005-0000-0000-0000E5860000}"/>
    <cellStyle name="Normal 71 3 2 2 3" xfId="20308" xr:uid="{00000000-0005-0000-0000-0000E6860000}"/>
    <cellStyle name="Normal 71 3 2 2 3 2" xfId="33366" xr:uid="{00000000-0005-0000-0000-0000E7860000}"/>
    <cellStyle name="Normal 71 3 2 2 4" xfId="24722" xr:uid="{00000000-0005-0000-0000-0000E8860000}"/>
    <cellStyle name="Normal 71 3 2 3" xfId="20309" xr:uid="{00000000-0005-0000-0000-0000E9860000}"/>
    <cellStyle name="Normal 71 3 2 3 2" xfId="33367" xr:uid="{00000000-0005-0000-0000-0000EA860000}"/>
    <cellStyle name="Normal 71 3 2 4" xfId="20310" xr:uid="{00000000-0005-0000-0000-0000EB860000}"/>
    <cellStyle name="Normal 71 3 2 4 2" xfId="33368" xr:uid="{00000000-0005-0000-0000-0000EC860000}"/>
    <cellStyle name="Normal 71 3 2 5" xfId="22566" xr:uid="{00000000-0005-0000-0000-0000ED860000}"/>
    <cellStyle name="Normal 71 3 3" xfId="10274" xr:uid="{00000000-0005-0000-0000-0000EE860000}"/>
    <cellStyle name="Normal 71 3 3 2" xfId="20311" xr:uid="{00000000-0005-0000-0000-0000EF860000}"/>
    <cellStyle name="Normal 71 3 3 2 2" xfId="33369" xr:uid="{00000000-0005-0000-0000-0000F0860000}"/>
    <cellStyle name="Normal 71 3 3 3" xfId="20312" xr:uid="{00000000-0005-0000-0000-0000F1860000}"/>
    <cellStyle name="Normal 71 3 3 3 2" xfId="33370" xr:uid="{00000000-0005-0000-0000-0000F2860000}"/>
    <cellStyle name="Normal 71 3 3 4" xfId="23644" xr:uid="{00000000-0005-0000-0000-0000F3860000}"/>
    <cellStyle name="Normal 71 3 4" xfId="20313" xr:uid="{00000000-0005-0000-0000-0000F4860000}"/>
    <cellStyle name="Normal 71 3 4 2" xfId="33371" xr:uid="{00000000-0005-0000-0000-0000F5860000}"/>
    <cellStyle name="Normal 71 3 5" xfId="20314" xr:uid="{00000000-0005-0000-0000-0000F6860000}"/>
    <cellStyle name="Normal 71 3 5 2" xfId="33372" xr:uid="{00000000-0005-0000-0000-0000F7860000}"/>
    <cellStyle name="Normal 71 3 6" xfId="21488" xr:uid="{00000000-0005-0000-0000-0000F8860000}"/>
    <cellStyle name="Normal 71 4" xfId="8339" xr:uid="{00000000-0005-0000-0000-0000F9860000}"/>
    <cellStyle name="Normal 71 4 2" xfId="10812" xr:uid="{00000000-0005-0000-0000-0000FA860000}"/>
    <cellStyle name="Normal 71 4 2 2" xfId="20315" xr:uid="{00000000-0005-0000-0000-0000FB860000}"/>
    <cellStyle name="Normal 71 4 2 2 2" xfId="33373" xr:uid="{00000000-0005-0000-0000-0000FC860000}"/>
    <cellStyle name="Normal 71 4 2 3" xfId="20316" xr:uid="{00000000-0005-0000-0000-0000FD860000}"/>
    <cellStyle name="Normal 71 4 2 3 2" xfId="33374" xr:uid="{00000000-0005-0000-0000-0000FE860000}"/>
    <cellStyle name="Normal 71 4 2 4" xfId="24182" xr:uid="{00000000-0005-0000-0000-0000FF860000}"/>
    <cellStyle name="Normal 71 4 3" xfId="20317" xr:uid="{00000000-0005-0000-0000-000000870000}"/>
    <cellStyle name="Normal 71 4 3 2" xfId="33375" xr:uid="{00000000-0005-0000-0000-000001870000}"/>
    <cellStyle name="Normal 71 4 4" xfId="20318" xr:uid="{00000000-0005-0000-0000-000002870000}"/>
    <cellStyle name="Normal 71 4 4 2" xfId="33376" xr:uid="{00000000-0005-0000-0000-000003870000}"/>
    <cellStyle name="Normal 71 4 5" xfId="22026" xr:uid="{00000000-0005-0000-0000-000004870000}"/>
    <cellStyle name="Normal 71 5" xfId="9734" xr:uid="{00000000-0005-0000-0000-000005870000}"/>
    <cellStyle name="Normal 71 5 2" xfId="20319" xr:uid="{00000000-0005-0000-0000-000006870000}"/>
    <cellStyle name="Normal 71 5 2 2" xfId="33377" xr:uid="{00000000-0005-0000-0000-000007870000}"/>
    <cellStyle name="Normal 71 5 3" xfId="20320" xr:uid="{00000000-0005-0000-0000-000008870000}"/>
    <cellStyle name="Normal 71 5 3 2" xfId="33378" xr:uid="{00000000-0005-0000-0000-000009870000}"/>
    <cellStyle name="Normal 71 5 4" xfId="23104" xr:uid="{00000000-0005-0000-0000-00000A870000}"/>
    <cellStyle name="Normal 71 6" xfId="20321" xr:uid="{00000000-0005-0000-0000-00000B870000}"/>
    <cellStyle name="Normal 71 6 2" xfId="33379" xr:uid="{00000000-0005-0000-0000-00000C870000}"/>
    <cellStyle name="Normal 71 7" xfId="20322" xr:uid="{00000000-0005-0000-0000-00000D870000}"/>
    <cellStyle name="Normal 71 7 2" xfId="33380" xr:uid="{00000000-0005-0000-0000-00000E870000}"/>
    <cellStyle name="Normal 71 8" xfId="20948" xr:uid="{00000000-0005-0000-0000-00000F870000}"/>
    <cellStyle name="Normal 72" xfId="5532" xr:uid="{00000000-0005-0000-0000-000010870000}"/>
    <cellStyle name="Normal 72 2" xfId="6727" xr:uid="{00000000-0005-0000-0000-000011870000}"/>
    <cellStyle name="Normal 72 2 2" xfId="7414" xr:uid="{00000000-0005-0000-0000-000012870000}"/>
    <cellStyle name="Normal 72 2 2 2" xfId="9293" xr:uid="{00000000-0005-0000-0000-000013870000}"/>
    <cellStyle name="Normal 72 2 2 2 2" xfId="11672" xr:uid="{00000000-0005-0000-0000-000014870000}"/>
    <cellStyle name="Normal 72 2 2 2 2 2" xfId="20323" xr:uid="{00000000-0005-0000-0000-000015870000}"/>
    <cellStyle name="Normal 72 2 2 2 2 2 2" xfId="33381" xr:uid="{00000000-0005-0000-0000-000016870000}"/>
    <cellStyle name="Normal 72 2 2 2 2 3" xfId="20324" xr:uid="{00000000-0005-0000-0000-000017870000}"/>
    <cellStyle name="Normal 72 2 2 2 2 3 2" xfId="33382" xr:uid="{00000000-0005-0000-0000-000018870000}"/>
    <cellStyle name="Normal 72 2 2 2 2 4" xfId="25042" xr:uid="{00000000-0005-0000-0000-000019870000}"/>
    <cellStyle name="Normal 72 2 2 2 3" xfId="20325" xr:uid="{00000000-0005-0000-0000-00001A870000}"/>
    <cellStyle name="Normal 72 2 2 2 3 2" xfId="33383" xr:uid="{00000000-0005-0000-0000-00001B870000}"/>
    <cellStyle name="Normal 72 2 2 2 4" xfId="20326" xr:uid="{00000000-0005-0000-0000-00001C870000}"/>
    <cellStyle name="Normal 72 2 2 2 4 2" xfId="33384" xr:uid="{00000000-0005-0000-0000-00001D870000}"/>
    <cellStyle name="Normal 72 2 2 2 5" xfId="22886" xr:uid="{00000000-0005-0000-0000-00001E870000}"/>
    <cellStyle name="Normal 72 2 2 3" xfId="10594" xr:uid="{00000000-0005-0000-0000-00001F870000}"/>
    <cellStyle name="Normal 72 2 2 3 2" xfId="20327" xr:uid="{00000000-0005-0000-0000-000020870000}"/>
    <cellStyle name="Normal 72 2 2 3 2 2" xfId="33385" xr:uid="{00000000-0005-0000-0000-000021870000}"/>
    <cellStyle name="Normal 72 2 2 3 3" xfId="20328" xr:uid="{00000000-0005-0000-0000-000022870000}"/>
    <cellStyle name="Normal 72 2 2 3 3 2" xfId="33386" xr:uid="{00000000-0005-0000-0000-000023870000}"/>
    <cellStyle name="Normal 72 2 2 3 4" xfId="23964" xr:uid="{00000000-0005-0000-0000-000024870000}"/>
    <cellStyle name="Normal 72 2 2 4" xfId="20329" xr:uid="{00000000-0005-0000-0000-000025870000}"/>
    <cellStyle name="Normal 72 2 2 4 2" xfId="33387" xr:uid="{00000000-0005-0000-0000-000026870000}"/>
    <cellStyle name="Normal 72 2 2 5" xfId="20330" xr:uid="{00000000-0005-0000-0000-000027870000}"/>
    <cellStyle name="Normal 72 2 2 5 2" xfId="33388" xr:uid="{00000000-0005-0000-0000-000028870000}"/>
    <cellStyle name="Normal 72 2 2 6" xfId="21808" xr:uid="{00000000-0005-0000-0000-000029870000}"/>
    <cellStyle name="Normal 72 2 3" xfId="8747" xr:uid="{00000000-0005-0000-0000-00002A870000}"/>
    <cellStyle name="Normal 72 2 3 2" xfId="11132" xr:uid="{00000000-0005-0000-0000-00002B870000}"/>
    <cellStyle name="Normal 72 2 3 2 2" xfId="20331" xr:uid="{00000000-0005-0000-0000-00002C870000}"/>
    <cellStyle name="Normal 72 2 3 2 2 2" xfId="33389" xr:uid="{00000000-0005-0000-0000-00002D870000}"/>
    <cellStyle name="Normal 72 2 3 2 3" xfId="20332" xr:uid="{00000000-0005-0000-0000-00002E870000}"/>
    <cellStyle name="Normal 72 2 3 2 3 2" xfId="33390" xr:uid="{00000000-0005-0000-0000-00002F870000}"/>
    <cellStyle name="Normal 72 2 3 2 4" xfId="24502" xr:uid="{00000000-0005-0000-0000-000030870000}"/>
    <cellStyle name="Normal 72 2 3 3" xfId="20333" xr:uid="{00000000-0005-0000-0000-000031870000}"/>
    <cellStyle name="Normal 72 2 3 3 2" xfId="33391" xr:uid="{00000000-0005-0000-0000-000032870000}"/>
    <cellStyle name="Normal 72 2 3 4" xfId="20334" xr:uid="{00000000-0005-0000-0000-000033870000}"/>
    <cellStyle name="Normal 72 2 3 4 2" xfId="33392" xr:uid="{00000000-0005-0000-0000-000034870000}"/>
    <cellStyle name="Normal 72 2 3 5" xfId="22346" xr:uid="{00000000-0005-0000-0000-000035870000}"/>
    <cellStyle name="Normal 72 2 4" xfId="10054" xr:uid="{00000000-0005-0000-0000-000036870000}"/>
    <cellStyle name="Normal 72 2 4 2" xfId="20335" xr:uid="{00000000-0005-0000-0000-000037870000}"/>
    <cellStyle name="Normal 72 2 4 2 2" xfId="33393" xr:uid="{00000000-0005-0000-0000-000038870000}"/>
    <cellStyle name="Normal 72 2 4 3" xfId="20336" xr:uid="{00000000-0005-0000-0000-000039870000}"/>
    <cellStyle name="Normal 72 2 4 3 2" xfId="33394" xr:uid="{00000000-0005-0000-0000-00003A870000}"/>
    <cellStyle name="Normal 72 2 4 4" xfId="23424" xr:uid="{00000000-0005-0000-0000-00003B870000}"/>
    <cellStyle name="Normal 72 2 5" xfId="20337" xr:uid="{00000000-0005-0000-0000-00003C870000}"/>
    <cellStyle name="Normal 72 2 5 2" xfId="33395" xr:uid="{00000000-0005-0000-0000-00003D870000}"/>
    <cellStyle name="Normal 72 2 6" xfId="20338" xr:uid="{00000000-0005-0000-0000-00003E870000}"/>
    <cellStyle name="Normal 72 2 6 2" xfId="33396" xr:uid="{00000000-0005-0000-0000-00003F870000}"/>
    <cellStyle name="Normal 72 2 7" xfId="21268" xr:uid="{00000000-0005-0000-0000-000040870000}"/>
    <cellStyle name="Normal 72 3" xfId="7145" xr:uid="{00000000-0005-0000-0000-000041870000}"/>
    <cellStyle name="Normal 72 3 2" xfId="9024" xr:uid="{00000000-0005-0000-0000-000042870000}"/>
    <cellStyle name="Normal 72 3 2 2" xfId="11403" xr:uid="{00000000-0005-0000-0000-000043870000}"/>
    <cellStyle name="Normal 72 3 2 2 2" xfId="20339" xr:uid="{00000000-0005-0000-0000-000044870000}"/>
    <cellStyle name="Normal 72 3 2 2 2 2" xfId="33397" xr:uid="{00000000-0005-0000-0000-000045870000}"/>
    <cellStyle name="Normal 72 3 2 2 3" xfId="20340" xr:uid="{00000000-0005-0000-0000-000046870000}"/>
    <cellStyle name="Normal 72 3 2 2 3 2" xfId="33398" xr:uid="{00000000-0005-0000-0000-000047870000}"/>
    <cellStyle name="Normal 72 3 2 2 4" xfId="24773" xr:uid="{00000000-0005-0000-0000-000048870000}"/>
    <cellStyle name="Normal 72 3 2 3" xfId="20341" xr:uid="{00000000-0005-0000-0000-000049870000}"/>
    <cellStyle name="Normal 72 3 2 3 2" xfId="33399" xr:uid="{00000000-0005-0000-0000-00004A870000}"/>
    <cellStyle name="Normal 72 3 2 4" xfId="20342" xr:uid="{00000000-0005-0000-0000-00004B870000}"/>
    <cellStyle name="Normal 72 3 2 4 2" xfId="33400" xr:uid="{00000000-0005-0000-0000-00004C870000}"/>
    <cellStyle name="Normal 72 3 2 5" xfId="22617" xr:uid="{00000000-0005-0000-0000-00004D870000}"/>
    <cellStyle name="Normal 72 3 3" xfId="10325" xr:uid="{00000000-0005-0000-0000-00004E870000}"/>
    <cellStyle name="Normal 72 3 3 2" xfId="20343" xr:uid="{00000000-0005-0000-0000-00004F870000}"/>
    <cellStyle name="Normal 72 3 3 2 2" xfId="33401" xr:uid="{00000000-0005-0000-0000-000050870000}"/>
    <cellStyle name="Normal 72 3 3 3" xfId="20344" xr:uid="{00000000-0005-0000-0000-000051870000}"/>
    <cellStyle name="Normal 72 3 3 3 2" xfId="33402" xr:uid="{00000000-0005-0000-0000-000052870000}"/>
    <cellStyle name="Normal 72 3 3 4" xfId="23695" xr:uid="{00000000-0005-0000-0000-000053870000}"/>
    <cellStyle name="Normal 72 3 4" xfId="20345" xr:uid="{00000000-0005-0000-0000-000054870000}"/>
    <cellStyle name="Normal 72 3 4 2" xfId="33403" xr:uid="{00000000-0005-0000-0000-000055870000}"/>
    <cellStyle name="Normal 72 3 5" xfId="20346" xr:uid="{00000000-0005-0000-0000-000056870000}"/>
    <cellStyle name="Normal 72 3 5 2" xfId="33404" xr:uid="{00000000-0005-0000-0000-000057870000}"/>
    <cellStyle name="Normal 72 3 6" xfId="21539" xr:uid="{00000000-0005-0000-0000-000058870000}"/>
    <cellStyle name="Normal 72 4" xfId="8419" xr:uid="{00000000-0005-0000-0000-000059870000}"/>
    <cellStyle name="Normal 72 4 2" xfId="10863" xr:uid="{00000000-0005-0000-0000-00005A870000}"/>
    <cellStyle name="Normal 72 4 2 2" xfId="20347" xr:uid="{00000000-0005-0000-0000-00005B870000}"/>
    <cellStyle name="Normal 72 4 2 2 2" xfId="33405" xr:uid="{00000000-0005-0000-0000-00005C870000}"/>
    <cellStyle name="Normal 72 4 2 3" xfId="20348" xr:uid="{00000000-0005-0000-0000-00005D870000}"/>
    <cellStyle name="Normal 72 4 2 3 2" xfId="33406" xr:uid="{00000000-0005-0000-0000-00005E870000}"/>
    <cellStyle name="Normal 72 4 2 4" xfId="24233" xr:uid="{00000000-0005-0000-0000-00005F870000}"/>
    <cellStyle name="Normal 72 4 3" xfId="20349" xr:uid="{00000000-0005-0000-0000-000060870000}"/>
    <cellStyle name="Normal 72 4 3 2" xfId="33407" xr:uid="{00000000-0005-0000-0000-000061870000}"/>
    <cellStyle name="Normal 72 4 4" xfId="20350" xr:uid="{00000000-0005-0000-0000-000062870000}"/>
    <cellStyle name="Normal 72 4 4 2" xfId="33408" xr:uid="{00000000-0005-0000-0000-000063870000}"/>
    <cellStyle name="Normal 72 4 5" xfId="22077" xr:uid="{00000000-0005-0000-0000-000064870000}"/>
    <cellStyle name="Normal 72 5" xfId="9785" xr:uid="{00000000-0005-0000-0000-000065870000}"/>
    <cellStyle name="Normal 72 5 2" xfId="20351" xr:uid="{00000000-0005-0000-0000-000066870000}"/>
    <cellStyle name="Normal 72 5 2 2" xfId="33409" xr:uid="{00000000-0005-0000-0000-000067870000}"/>
    <cellStyle name="Normal 72 5 3" xfId="20352" xr:uid="{00000000-0005-0000-0000-000068870000}"/>
    <cellStyle name="Normal 72 5 3 2" xfId="33410" xr:uid="{00000000-0005-0000-0000-000069870000}"/>
    <cellStyle name="Normal 72 5 4" xfId="23155" xr:uid="{00000000-0005-0000-0000-00006A870000}"/>
    <cellStyle name="Normal 72 6" xfId="20353" xr:uid="{00000000-0005-0000-0000-00006B870000}"/>
    <cellStyle name="Normal 72 6 2" xfId="33411" xr:uid="{00000000-0005-0000-0000-00006C870000}"/>
    <cellStyle name="Normal 72 7" xfId="20354" xr:uid="{00000000-0005-0000-0000-00006D870000}"/>
    <cellStyle name="Normal 72 7 2" xfId="33412" xr:uid="{00000000-0005-0000-0000-00006E870000}"/>
    <cellStyle name="Normal 72 8" xfId="20999" xr:uid="{00000000-0005-0000-0000-00006F870000}"/>
    <cellStyle name="Normal 73" xfId="4872" xr:uid="{00000000-0005-0000-0000-000070870000}"/>
    <cellStyle name="Normal 73 2" xfId="6672" xr:uid="{00000000-0005-0000-0000-000071870000}"/>
    <cellStyle name="Normal 73 2 2" xfId="7361" xr:uid="{00000000-0005-0000-0000-000072870000}"/>
    <cellStyle name="Normal 73 2 2 2" xfId="9240" xr:uid="{00000000-0005-0000-0000-000073870000}"/>
    <cellStyle name="Normal 73 2 2 2 2" xfId="11619" xr:uid="{00000000-0005-0000-0000-000074870000}"/>
    <cellStyle name="Normal 73 2 2 2 2 2" xfId="20355" xr:uid="{00000000-0005-0000-0000-000075870000}"/>
    <cellStyle name="Normal 73 2 2 2 2 2 2" xfId="33413" xr:uid="{00000000-0005-0000-0000-000076870000}"/>
    <cellStyle name="Normal 73 2 2 2 2 3" xfId="20356" xr:uid="{00000000-0005-0000-0000-000077870000}"/>
    <cellStyle name="Normal 73 2 2 2 2 3 2" xfId="33414" xr:uid="{00000000-0005-0000-0000-000078870000}"/>
    <cellStyle name="Normal 73 2 2 2 2 4" xfId="24989" xr:uid="{00000000-0005-0000-0000-000079870000}"/>
    <cellStyle name="Normal 73 2 2 2 3" xfId="20357" xr:uid="{00000000-0005-0000-0000-00007A870000}"/>
    <cellStyle name="Normal 73 2 2 2 3 2" xfId="33415" xr:uid="{00000000-0005-0000-0000-00007B870000}"/>
    <cellStyle name="Normal 73 2 2 2 4" xfId="20358" xr:uid="{00000000-0005-0000-0000-00007C870000}"/>
    <cellStyle name="Normal 73 2 2 2 4 2" xfId="33416" xr:uid="{00000000-0005-0000-0000-00007D870000}"/>
    <cellStyle name="Normal 73 2 2 2 5" xfId="22833" xr:uid="{00000000-0005-0000-0000-00007E870000}"/>
    <cellStyle name="Normal 73 2 2 3" xfId="10541" xr:uid="{00000000-0005-0000-0000-00007F870000}"/>
    <cellStyle name="Normal 73 2 2 3 2" xfId="20359" xr:uid="{00000000-0005-0000-0000-000080870000}"/>
    <cellStyle name="Normal 73 2 2 3 2 2" xfId="33417" xr:uid="{00000000-0005-0000-0000-000081870000}"/>
    <cellStyle name="Normal 73 2 2 3 3" xfId="20360" xr:uid="{00000000-0005-0000-0000-000082870000}"/>
    <cellStyle name="Normal 73 2 2 3 3 2" xfId="33418" xr:uid="{00000000-0005-0000-0000-000083870000}"/>
    <cellStyle name="Normal 73 2 2 3 4" xfId="23911" xr:uid="{00000000-0005-0000-0000-000084870000}"/>
    <cellStyle name="Normal 73 2 2 4" xfId="20361" xr:uid="{00000000-0005-0000-0000-000085870000}"/>
    <cellStyle name="Normal 73 2 2 4 2" xfId="33419" xr:uid="{00000000-0005-0000-0000-000086870000}"/>
    <cellStyle name="Normal 73 2 2 5" xfId="20362" xr:uid="{00000000-0005-0000-0000-000087870000}"/>
    <cellStyle name="Normal 73 2 2 5 2" xfId="33420" xr:uid="{00000000-0005-0000-0000-000088870000}"/>
    <cellStyle name="Normal 73 2 2 6" xfId="21755" xr:uid="{00000000-0005-0000-0000-000089870000}"/>
    <cellStyle name="Normal 73 2 3" xfId="8694" xr:uid="{00000000-0005-0000-0000-00008A870000}"/>
    <cellStyle name="Normal 73 2 3 2" xfId="11079" xr:uid="{00000000-0005-0000-0000-00008B870000}"/>
    <cellStyle name="Normal 73 2 3 2 2" xfId="20363" xr:uid="{00000000-0005-0000-0000-00008C870000}"/>
    <cellStyle name="Normal 73 2 3 2 2 2" xfId="33421" xr:uid="{00000000-0005-0000-0000-00008D870000}"/>
    <cellStyle name="Normal 73 2 3 2 3" xfId="20364" xr:uid="{00000000-0005-0000-0000-00008E870000}"/>
    <cellStyle name="Normal 73 2 3 2 3 2" xfId="33422" xr:uid="{00000000-0005-0000-0000-00008F870000}"/>
    <cellStyle name="Normal 73 2 3 2 4" xfId="24449" xr:uid="{00000000-0005-0000-0000-000090870000}"/>
    <cellStyle name="Normal 73 2 3 3" xfId="20365" xr:uid="{00000000-0005-0000-0000-000091870000}"/>
    <cellStyle name="Normal 73 2 3 3 2" xfId="33423" xr:uid="{00000000-0005-0000-0000-000092870000}"/>
    <cellStyle name="Normal 73 2 3 4" xfId="20366" xr:uid="{00000000-0005-0000-0000-000093870000}"/>
    <cellStyle name="Normal 73 2 3 4 2" xfId="33424" xr:uid="{00000000-0005-0000-0000-000094870000}"/>
    <cellStyle name="Normal 73 2 3 5" xfId="22293" xr:uid="{00000000-0005-0000-0000-000095870000}"/>
    <cellStyle name="Normal 73 2 4" xfId="10001" xr:uid="{00000000-0005-0000-0000-000096870000}"/>
    <cellStyle name="Normal 73 2 4 2" xfId="20367" xr:uid="{00000000-0005-0000-0000-000097870000}"/>
    <cellStyle name="Normal 73 2 4 2 2" xfId="33425" xr:uid="{00000000-0005-0000-0000-000098870000}"/>
    <cellStyle name="Normal 73 2 4 3" xfId="20368" xr:uid="{00000000-0005-0000-0000-000099870000}"/>
    <cellStyle name="Normal 73 2 4 3 2" xfId="33426" xr:uid="{00000000-0005-0000-0000-00009A870000}"/>
    <cellStyle name="Normal 73 2 4 4" xfId="23371" xr:uid="{00000000-0005-0000-0000-00009B870000}"/>
    <cellStyle name="Normal 73 2 5" xfId="20369" xr:uid="{00000000-0005-0000-0000-00009C870000}"/>
    <cellStyle name="Normal 73 2 5 2" xfId="33427" xr:uid="{00000000-0005-0000-0000-00009D870000}"/>
    <cellStyle name="Normal 73 2 6" xfId="20370" xr:uid="{00000000-0005-0000-0000-00009E870000}"/>
    <cellStyle name="Normal 73 2 6 2" xfId="33428" xr:uid="{00000000-0005-0000-0000-00009F870000}"/>
    <cellStyle name="Normal 73 2 7" xfId="21215" xr:uid="{00000000-0005-0000-0000-0000A0870000}"/>
    <cellStyle name="Normal 73 3" xfId="7092" xr:uid="{00000000-0005-0000-0000-0000A1870000}"/>
    <cellStyle name="Normal 73 3 2" xfId="8971" xr:uid="{00000000-0005-0000-0000-0000A2870000}"/>
    <cellStyle name="Normal 73 3 2 2" xfId="11350" xr:uid="{00000000-0005-0000-0000-0000A3870000}"/>
    <cellStyle name="Normal 73 3 2 2 2" xfId="20371" xr:uid="{00000000-0005-0000-0000-0000A4870000}"/>
    <cellStyle name="Normal 73 3 2 2 2 2" xfId="33429" xr:uid="{00000000-0005-0000-0000-0000A5870000}"/>
    <cellStyle name="Normal 73 3 2 2 3" xfId="20372" xr:uid="{00000000-0005-0000-0000-0000A6870000}"/>
    <cellStyle name="Normal 73 3 2 2 3 2" xfId="33430" xr:uid="{00000000-0005-0000-0000-0000A7870000}"/>
    <cellStyle name="Normal 73 3 2 2 4" xfId="24720" xr:uid="{00000000-0005-0000-0000-0000A8870000}"/>
    <cellStyle name="Normal 73 3 2 3" xfId="20373" xr:uid="{00000000-0005-0000-0000-0000A9870000}"/>
    <cellStyle name="Normal 73 3 2 3 2" xfId="33431" xr:uid="{00000000-0005-0000-0000-0000AA870000}"/>
    <cellStyle name="Normal 73 3 2 4" xfId="20374" xr:uid="{00000000-0005-0000-0000-0000AB870000}"/>
    <cellStyle name="Normal 73 3 2 4 2" xfId="33432" xr:uid="{00000000-0005-0000-0000-0000AC870000}"/>
    <cellStyle name="Normal 73 3 2 5" xfId="22564" xr:uid="{00000000-0005-0000-0000-0000AD870000}"/>
    <cellStyle name="Normal 73 3 3" xfId="10272" xr:uid="{00000000-0005-0000-0000-0000AE870000}"/>
    <cellStyle name="Normal 73 3 3 2" xfId="20375" xr:uid="{00000000-0005-0000-0000-0000AF870000}"/>
    <cellStyle name="Normal 73 3 3 2 2" xfId="33433" xr:uid="{00000000-0005-0000-0000-0000B0870000}"/>
    <cellStyle name="Normal 73 3 3 3" xfId="20376" xr:uid="{00000000-0005-0000-0000-0000B1870000}"/>
    <cellStyle name="Normal 73 3 3 3 2" xfId="33434" xr:uid="{00000000-0005-0000-0000-0000B2870000}"/>
    <cellStyle name="Normal 73 3 3 4" xfId="23642" xr:uid="{00000000-0005-0000-0000-0000B3870000}"/>
    <cellStyle name="Normal 73 3 4" xfId="20377" xr:uid="{00000000-0005-0000-0000-0000B4870000}"/>
    <cellStyle name="Normal 73 3 4 2" xfId="33435" xr:uid="{00000000-0005-0000-0000-0000B5870000}"/>
    <cellStyle name="Normal 73 3 5" xfId="20378" xr:uid="{00000000-0005-0000-0000-0000B6870000}"/>
    <cellStyle name="Normal 73 3 5 2" xfId="33436" xr:uid="{00000000-0005-0000-0000-0000B7870000}"/>
    <cellStyle name="Normal 73 3 6" xfId="21486" xr:uid="{00000000-0005-0000-0000-0000B8870000}"/>
    <cellStyle name="Normal 73 4" xfId="8337" xr:uid="{00000000-0005-0000-0000-0000B9870000}"/>
    <cellStyle name="Normal 73 4 2" xfId="10810" xr:uid="{00000000-0005-0000-0000-0000BA870000}"/>
    <cellStyle name="Normal 73 4 2 2" xfId="20379" xr:uid="{00000000-0005-0000-0000-0000BB870000}"/>
    <cellStyle name="Normal 73 4 2 2 2" xfId="33437" xr:uid="{00000000-0005-0000-0000-0000BC870000}"/>
    <cellStyle name="Normal 73 4 2 3" xfId="20380" xr:uid="{00000000-0005-0000-0000-0000BD870000}"/>
    <cellStyle name="Normal 73 4 2 3 2" xfId="33438" xr:uid="{00000000-0005-0000-0000-0000BE870000}"/>
    <cellStyle name="Normal 73 4 2 4" xfId="24180" xr:uid="{00000000-0005-0000-0000-0000BF870000}"/>
    <cellStyle name="Normal 73 4 3" xfId="20381" xr:uid="{00000000-0005-0000-0000-0000C0870000}"/>
    <cellStyle name="Normal 73 4 3 2" xfId="33439" xr:uid="{00000000-0005-0000-0000-0000C1870000}"/>
    <cellStyle name="Normal 73 4 4" xfId="20382" xr:uid="{00000000-0005-0000-0000-0000C2870000}"/>
    <cellStyle name="Normal 73 4 4 2" xfId="33440" xr:uid="{00000000-0005-0000-0000-0000C3870000}"/>
    <cellStyle name="Normal 73 4 5" xfId="22024" xr:uid="{00000000-0005-0000-0000-0000C4870000}"/>
    <cellStyle name="Normal 73 5" xfId="9732" xr:uid="{00000000-0005-0000-0000-0000C5870000}"/>
    <cellStyle name="Normal 73 5 2" xfId="20383" xr:uid="{00000000-0005-0000-0000-0000C6870000}"/>
    <cellStyle name="Normal 73 5 2 2" xfId="33441" xr:uid="{00000000-0005-0000-0000-0000C7870000}"/>
    <cellStyle name="Normal 73 5 3" xfId="20384" xr:uid="{00000000-0005-0000-0000-0000C8870000}"/>
    <cellStyle name="Normal 73 5 3 2" xfId="33442" xr:uid="{00000000-0005-0000-0000-0000C9870000}"/>
    <cellStyle name="Normal 73 5 4" xfId="23102" xr:uid="{00000000-0005-0000-0000-0000CA870000}"/>
    <cellStyle name="Normal 73 6" xfId="20385" xr:uid="{00000000-0005-0000-0000-0000CB870000}"/>
    <cellStyle name="Normal 73 6 2" xfId="33443" xr:uid="{00000000-0005-0000-0000-0000CC870000}"/>
    <cellStyle name="Normal 73 7" xfId="20386" xr:uid="{00000000-0005-0000-0000-0000CD870000}"/>
    <cellStyle name="Normal 73 7 2" xfId="33444" xr:uid="{00000000-0005-0000-0000-0000CE870000}"/>
    <cellStyle name="Normal 73 8" xfId="20946" xr:uid="{00000000-0005-0000-0000-0000CF870000}"/>
    <cellStyle name="Normal 74" xfId="5873" xr:uid="{00000000-0005-0000-0000-0000D0870000}"/>
    <cellStyle name="Normal 74 2" xfId="6810" xr:uid="{00000000-0005-0000-0000-0000D1870000}"/>
    <cellStyle name="Normal 74 2 2" xfId="7497" xr:uid="{00000000-0005-0000-0000-0000D2870000}"/>
    <cellStyle name="Normal 74 2 2 2" xfId="9376" xr:uid="{00000000-0005-0000-0000-0000D3870000}"/>
    <cellStyle name="Normal 74 2 2 2 2" xfId="11755" xr:uid="{00000000-0005-0000-0000-0000D4870000}"/>
    <cellStyle name="Normal 74 2 2 2 2 2" xfId="20387" xr:uid="{00000000-0005-0000-0000-0000D5870000}"/>
    <cellStyle name="Normal 74 2 2 2 2 2 2" xfId="33445" xr:uid="{00000000-0005-0000-0000-0000D6870000}"/>
    <cellStyle name="Normal 74 2 2 2 2 3" xfId="20388" xr:uid="{00000000-0005-0000-0000-0000D7870000}"/>
    <cellStyle name="Normal 74 2 2 2 2 3 2" xfId="33446" xr:uid="{00000000-0005-0000-0000-0000D8870000}"/>
    <cellStyle name="Normal 74 2 2 2 2 4" xfId="25125" xr:uid="{00000000-0005-0000-0000-0000D9870000}"/>
    <cellStyle name="Normal 74 2 2 2 3" xfId="20389" xr:uid="{00000000-0005-0000-0000-0000DA870000}"/>
    <cellStyle name="Normal 74 2 2 2 3 2" xfId="33447" xr:uid="{00000000-0005-0000-0000-0000DB870000}"/>
    <cellStyle name="Normal 74 2 2 2 4" xfId="20390" xr:uid="{00000000-0005-0000-0000-0000DC870000}"/>
    <cellStyle name="Normal 74 2 2 2 4 2" xfId="33448" xr:uid="{00000000-0005-0000-0000-0000DD870000}"/>
    <cellStyle name="Normal 74 2 2 2 5" xfId="22969" xr:uid="{00000000-0005-0000-0000-0000DE870000}"/>
    <cellStyle name="Normal 74 2 2 3" xfId="10677" xr:uid="{00000000-0005-0000-0000-0000DF870000}"/>
    <cellStyle name="Normal 74 2 2 3 2" xfId="20391" xr:uid="{00000000-0005-0000-0000-0000E0870000}"/>
    <cellStyle name="Normal 74 2 2 3 2 2" xfId="33449" xr:uid="{00000000-0005-0000-0000-0000E1870000}"/>
    <cellStyle name="Normal 74 2 2 3 3" xfId="20392" xr:uid="{00000000-0005-0000-0000-0000E2870000}"/>
    <cellStyle name="Normal 74 2 2 3 3 2" xfId="33450" xr:uid="{00000000-0005-0000-0000-0000E3870000}"/>
    <cellStyle name="Normal 74 2 2 3 4" xfId="24047" xr:uid="{00000000-0005-0000-0000-0000E4870000}"/>
    <cellStyle name="Normal 74 2 2 4" xfId="20393" xr:uid="{00000000-0005-0000-0000-0000E5870000}"/>
    <cellStyle name="Normal 74 2 2 4 2" xfId="33451" xr:uid="{00000000-0005-0000-0000-0000E6870000}"/>
    <cellStyle name="Normal 74 2 2 5" xfId="20394" xr:uid="{00000000-0005-0000-0000-0000E7870000}"/>
    <cellStyle name="Normal 74 2 2 5 2" xfId="33452" xr:uid="{00000000-0005-0000-0000-0000E8870000}"/>
    <cellStyle name="Normal 74 2 2 6" xfId="21891" xr:uid="{00000000-0005-0000-0000-0000E9870000}"/>
    <cellStyle name="Normal 74 2 3" xfId="8830" xr:uid="{00000000-0005-0000-0000-0000EA870000}"/>
    <cellStyle name="Normal 74 2 3 2" xfId="11215" xr:uid="{00000000-0005-0000-0000-0000EB870000}"/>
    <cellStyle name="Normal 74 2 3 2 2" xfId="20395" xr:uid="{00000000-0005-0000-0000-0000EC870000}"/>
    <cellStyle name="Normal 74 2 3 2 2 2" xfId="33453" xr:uid="{00000000-0005-0000-0000-0000ED870000}"/>
    <cellStyle name="Normal 74 2 3 2 3" xfId="20396" xr:uid="{00000000-0005-0000-0000-0000EE870000}"/>
    <cellStyle name="Normal 74 2 3 2 3 2" xfId="33454" xr:uid="{00000000-0005-0000-0000-0000EF870000}"/>
    <cellStyle name="Normal 74 2 3 2 4" xfId="24585" xr:uid="{00000000-0005-0000-0000-0000F0870000}"/>
    <cellStyle name="Normal 74 2 3 3" xfId="20397" xr:uid="{00000000-0005-0000-0000-0000F1870000}"/>
    <cellStyle name="Normal 74 2 3 3 2" xfId="33455" xr:uid="{00000000-0005-0000-0000-0000F2870000}"/>
    <cellStyle name="Normal 74 2 3 4" xfId="20398" xr:uid="{00000000-0005-0000-0000-0000F3870000}"/>
    <cellStyle name="Normal 74 2 3 4 2" xfId="33456" xr:uid="{00000000-0005-0000-0000-0000F4870000}"/>
    <cellStyle name="Normal 74 2 3 5" xfId="22429" xr:uid="{00000000-0005-0000-0000-0000F5870000}"/>
    <cellStyle name="Normal 74 2 4" xfId="10137" xr:uid="{00000000-0005-0000-0000-0000F6870000}"/>
    <cellStyle name="Normal 74 2 4 2" xfId="20399" xr:uid="{00000000-0005-0000-0000-0000F7870000}"/>
    <cellStyle name="Normal 74 2 4 2 2" xfId="33457" xr:uid="{00000000-0005-0000-0000-0000F8870000}"/>
    <cellStyle name="Normal 74 2 4 3" xfId="20400" xr:uid="{00000000-0005-0000-0000-0000F9870000}"/>
    <cellStyle name="Normal 74 2 4 3 2" xfId="33458" xr:uid="{00000000-0005-0000-0000-0000FA870000}"/>
    <cellStyle name="Normal 74 2 4 4" xfId="23507" xr:uid="{00000000-0005-0000-0000-0000FB870000}"/>
    <cellStyle name="Normal 74 2 5" xfId="20401" xr:uid="{00000000-0005-0000-0000-0000FC870000}"/>
    <cellStyle name="Normal 74 2 5 2" xfId="33459" xr:uid="{00000000-0005-0000-0000-0000FD870000}"/>
    <cellStyle name="Normal 74 2 6" xfId="20402" xr:uid="{00000000-0005-0000-0000-0000FE870000}"/>
    <cellStyle name="Normal 74 2 6 2" xfId="33460" xr:uid="{00000000-0005-0000-0000-0000FF870000}"/>
    <cellStyle name="Normal 74 2 7" xfId="21351" xr:uid="{00000000-0005-0000-0000-000000880000}"/>
    <cellStyle name="Normal 74 3" xfId="7228" xr:uid="{00000000-0005-0000-0000-000001880000}"/>
    <cellStyle name="Normal 74 3 2" xfId="9107" xr:uid="{00000000-0005-0000-0000-000002880000}"/>
    <cellStyle name="Normal 74 3 2 2" xfId="11486" xr:uid="{00000000-0005-0000-0000-000003880000}"/>
    <cellStyle name="Normal 74 3 2 2 2" xfId="20403" xr:uid="{00000000-0005-0000-0000-000004880000}"/>
    <cellStyle name="Normal 74 3 2 2 2 2" xfId="33461" xr:uid="{00000000-0005-0000-0000-000005880000}"/>
    <cellStyle name="Normal 74 3 2 2 3" xfId="20404" xr:uid="{00000000-0005-0000-0000-000006880000}"/>
    <cellStyle name="Normal 74 3 2 2 3 2" xfId="33462" xr:uid="{00000000-0005-0000-0000-000007880000}"/>
    <cellStyle name="Normal 74 3 2 2 4" xfId="24856" xr:uid="{00000000-0005-0000-0000-000008880000}"/>
    <cellStyle name="Normal 74 3 2 3" xfId="20405" xr:uid="{00000000-0005-0000-0000-000009880000}"/>
    <cellStyle name="Normal 74 3 2 3 2" xfId="33463" xr:uid="{00000000-0005-0000-0000-00000A880000}"/>
    <cellStyle name="Normal 74 3 2 4" xfId="20406" xr:uid="{00000000-0005-0000-0000-00000B880000}"/>
    <cellStyle name="Normal 74 3 2 4 2" xfId="33464" xr:uid="{00000000-0005-0000-0000-00000C880000}"/>
    <cellStyle name="Normal 74 3 2 5" xfId="22700" xr:uid="{00000000-0005-0000-0000-00000D880000}"/>
    <cellStyle name="Normal 74 3 3" xfId="10408" xr:uid="{00000000-0005-0000-0000-00000E880000}"/>
    <cellStyle name="Normal 74 3 3 2" xfId="20407" xr:uid="{00000000-0005-0000-0000-00000F880000}"/>
    <cellStyle name="Normal 74 3 3 2 2" xfId="33465" xr:uid="{00000000-0005-0000-0000-000010880000}"/>
    <cellStyle name="Normal 74 3 3 3" xfId="20408" xr:uid="{00000000-0005-0000-0000-000011880000}"/>
    <cellStyle name="Normal 74 3 3 3 2" xfId="33466" xr:uid="{00000000-0005-0000-0000-000012880000}"/>
    <cellStyle name="Normal 74 3 3 4" xfId="23778" xr:uid="{00000000-0005-0000-0000-000013880000}"/>
    <cellStyle name="Normal 74 3 4" xfId="20409" xr:uid="{00000000-0005-0000-0000-000014880000}"/>
    <cellStyle name="Normal 74 3 4 2" xfId="33467" xr:uid="{00000000-0005-0000-0000-000015880000}"/>
    <cellStyle name="Normal 74 3 5" xfId="20410" xr:uid="{00000000-0005-0000-0000-000016880000}"/>
    <cellStyle name="Normal 74 3 5 2" xfId="33468" xr:uid="{00000000-0005-0000-0000-000017880000}"/>
    <cellStyle name="Normal 74 3 6" xfId="21622" xr:uid="{00000000-0005-0000-0000-000018880000}"/>
    <cellStyle name="Normal 74 4" xfId="8522" xr:uid="{00000000-0005-0000-0000-000019880000}"/>
    <cellStyle name="Normal 74 4 2" xfId="10946" xr:uid="{00000000-0005-0000-0000-00001A880000}"/>
    <cellStyle name="Normal 74 4 2 2" xfId="20411" xr:uid="{00000000-0005-0000-0000-00001B880000}"/>
    <cellStyle name="Normal 74 4 2 2 2" xfId="33469" xr:uid="{00000000-0005-0000-0000-00001C880000}"/>
    <cellStyle name="Normal 74 4 2 3" xfId="20412" xr:uid="{00000000-0005-0000-0000-00001D880000}"/>
    <cellStyle name="Normal 74 4 2 3 2" xfId="33470" xr:uid="{00000000-0005-0000-0000-00001E880000}"/>
    <cellStyle name="Normal 74 4 2 4" xfId="24316" xr:uid="{00000000-0005-0000-0000-00001F880000}"/>
    <cellStyle name="Normal 74 4 3" xfId="20413" xr:uid="{00000000-0005-0000-0000-000020880000}"/>
    <cellStyle name="Normal 74 4 3 2" xfId="33471" xr:uid="{00000000-0005-0000-0000-000021880000}"/>
    <cellStyle name="Normal 74 4 4" xfId="20414" xr:uid="{00000000-0005-0000-0000-000022880000}"/>
    <cellStyle name="Normal 74 4 4 2" xfId="33472" xr:uid="{00000000-0005-0000-0000-000023880000}"/>
    <cellStyle name="Normal 74 4 5" xfId="22160" xr:uid="{00000000-0005-0000-0000-000024880000}"/>
    <cellStyle name="Normal 74 5" xfId="9868" xr:uid="{00000000-0005-0000-0000-000025880000}"/>
    <cellStyle name="Normal 74 5 2" xfId="20415" xr:uid="{00000000-0005-0000-0000-000026880000}"/>
    <cellStyle name="Normal 74 5 2 2" xfId="33473" xr:uid="{00000000-0005-0000-0000-000027880000}"/>
    <cellStyle name="Normal 74 5 3" xfId="20416" xr:uid="{00000000-0005-0000-0000-000028880000}"/>
    <cellStyle name="Normal 74 5 3 2" xfId="33474" xr:uid="{00000000-0005-0000-0000-000029880000}"/>
    <cellStyle name="Normal 74 5 4" xfId="23238" xr:uid="{00000000-0005-0000-0000-00002A880000}"/>
    <cellStyle name="Normal 74 6" xfId="20417" xr:uid="{00000000-0005-0000-0000-00002B880000}"/>
    <cellStyle name="Normal 74 6 2" xfId="33475" xr:uid="{00000000-0005-0000-0000-00002C880000}"/>
    <cellStyle name="Normal 74 7" xfId="20418" xr:uid="{00000000-0005-0000-0000-00002D880000}"/>
    <cellStyle name="Normal 74 7 2" xfId="33476" xr:uid="{00000000-0005-0000-0000-00002E880000}"/>
    <cellStyle name="Normal 74 8" xfId="21082" xr:uid="{00000000-0005-0000-0000-00002F880000}"/>
    <cellStyle name="Normal 75" xfId="5141" xr:uid="{00000000-0005-0000-0000-000030880000}"/>
    <cellStyle name="Normal 75 2" xfId="6686" xr:uid="{00000000-0005-0000-0000-000031880000}"/>
    <cellStyle name="Normal 75 2 2" xfId="7375" xr:uid="{00000000-0005-0000-0000-000032880000}"/>
    <cellStyle name="Normal 75 2 2 2" xfId="9254" xr:uid="{00000000-0005-0000-0000-000033880000}"/>
    <cellStyle name="Normal 75 2 2 2 2" xfId="11633" xr:uid="{00000000-0005-0000-0000-000034880000}"/>
    <cellStyle name="Normal 75 2 2 2 2 2" xfId="20419" xr:uid="{00000000-0005-0000-0000-000035880000}"/>
    <cellStyle name="Normal 75 2 2 2 2 2 2" xfId="33477" xr:uid="{00000000-0005-0000-0000-000036880000}"/>
    <cellStyle name="Normal 75 2 2 2 2 3" xfId="20420" xr:uid="{00000000-0005-0000-0000-000037880000}"/>
    <cellStyle name="Normal 75 2 2 2 2 3 2" xfId="33478" xr:uid="{00000000-0005-0000-0000-000038880000}"/>
    <cellStyle name="Normal 75 2 2 2 2 4" xfId="25003" xr:uid="{00000000-0005-0000-0000-000039880000}"/>
    <cellStyle name="Normal 75 2 2 2 3" xfId="20421" xr:uid="{00000000-0005-0000-0000-00003A880000}"/>
    <cellStyle name="Normal 75 2 2 2 3 2" xfId="33479" xr:uid="{00000000-0005-0000-0000-00003B880000}"/>
    <cellStyle name="Normal 75 2 2 2 4" xfId="20422" xr:uid="{00000000-0005-0000-0000-00003C880000}"/>
    <cellStyle name="Normal 75 2 2 2 4 2" xfId="33480" xr:uid="{00000000-0005-0000-0000-00003D880000}"/>
    <cellStyle name="Normal 75 2 2 2 5" xfId="22847" xr:uid="{00000000-0005-0000-0000-00003E880000}"/>
    <cellStyle name="Normal 75 2 2 3" xfId="10555" xr:uid="{00000000-0005-0000-0000-00003F880000}"/>
    <cellStyle name="Normal 75 2 2 3 2" xfId="20423" xr:uid="{00000000-0005-0000-0000-000040880000}"/>
    <cellStyle name="Normal 75 2 2 3 2 2" xfId="33481" xr:uid="{00000000-0005-0000-0000-000041880000}"/>
    <cellStyle name="Normal 75 2 2 3 3" xfId="20424" xr:uid="{00000000-0005-0000-0000-000042880000}"/>
    <cellStyle name="Normal 75 2 2 3 3 2" xfId="33482" xr:uid="{00000000-0005-0000-0000-000043880000}"/>
    <cellStyle name="Normal 75 2 2 3 4" xfId="23925" xr:uid="{00000000-0005-0000-0000-000044880000}"/>
    <cellStyle name="Normal 75 2 2 4" xfId="20425" xr:uid="{00000000-0005-0000-0000-000045880000}"/>
    <cellStyle name="Normal 75 2 2 4 2" xfId="33483" xr:uid="{00000000-0005-0000-0000-000046880000}"/>
    <cellStyle name="Normal 75 2 2 5" xfId="20426" xr:uid="{00000000-0005-0000-0000-000047880000}"/>
    <cellStyle name="Normal 75 2 2 5 2" xfId="33484" xr:uid="{00000000-0005-0000-0000-000048880000}"/>
    <cellStyle name="Normal 75 2 2 6" xfId="21769" xr:uid="{00000000-0005-0000-0000-000049880000}"/>
    <cellStyle name="Normal 75 2 3" xfId="8708" xr:uid="{00000000-0005-0000-0000-00004A880000}"/>
    <cellStyle name="Normal 75 2 3 2" xfId="11093" xr:uid="{00000000-0005-0000-0000-00004B880000}"/>
    <cellStyle name="Normal 75 2 3 2 2" xfId="20427" xr:uid="{00000000-0005-0000-0000-00004C880000}"/>
    <cellStyle name="Normal 75 2 3 2 2 2" xfId="33485" xr:uid="{00000000-0005-0000-0000-00004D880000}"/>
    <cellStyle name="Normal 75 2 3 2 3" xfId="20428" xr:uid="{00000000-0005-0000-0000-00004E880000}"/>
    <cellStyle name="Normal 75 2 3 2 3 2" xfId="33486" xr:uid="{00000000-0005-0000-0000-00004F880000}"/>
    <cellStyle name="Normal 75 2 3 2 4" xfId="24463" xr:uid="{00000000-0005-0000-0000-000050880000}"/>
    <cellStyle name="Normal 75 2 3 3" xfId="20429" xr:uid="{00000000-0005-0000-0000-000051880000}"/>
    <cellStyle name="Normal 75 2 3 3 2" xfId="33487" xr:uid="{00000000-0005-0000-0000-000052880000}"/>
    <cellStyle name="Normal 75 2 3 4" xfId="20430" xr:uid="{00000000-0005-0000-0000-000053880000}"/>
    <cellStyle name="Normal 75 2 3 4 2" xfId="33488" xr:uid="{00000000-0005-0000-0000-000054880000}"/>
    <cellStyle name="Normal 75 2 3 5" xfId="22307" xr:uid="{00000000-0005-0000-0000-000055880000}"/>
    <cellStyle name="Normal 75 2 4" xfId="10015" xr:uid="{00000000-0005-0000-0000-000056880000}"/>
    <cellStyle name="Normal 75 2 4 2" xfId="20431" xr:uid="{00000000-0005-0000-0000-000057880000}"/>
    <cellStyle name="Normal 75 2 4 2 2" xfId="33489" xr:uid="{00000000-0005-0000-0000-000058880000}"/>
    <cellStyle name="Normal 75 2 4 3" xfId="20432" xr:uid="{00000000-0005-0000-0000-000059880000}"/>
    <cellStyle name="Normal 75 2 4 3 2" xfId="33490" xr:uid="{00000000-0005-0000-0000-00005A880000}"/>
    <cellStyle name="Normal 75 2 4 4" xfId="23385" xr:uid="{00000000-0005-0000-0000-00005B880000}"/>
    <cellStyle name="Normal 75 2 5" xfId="20433" xr:uid="{00000000-0005-0000-0000-00005C880000}"/>
    <cellStyle name="Normal 75 2 5 2" xfId="33491" xr:uid="{00000000-0005-0000-0000-00005D880000}"/>
    <cellStyle name="Normal 75 2 6" xfId="20434" xr:uid="{00000000-0005-0000-0000-00005E880000}"/>
    <cellStyle name="Normal 75 2 6 2" xfId="33492" xr:uid="{00000000-0005-0000-0000-00005F880000}"/>
    <cellStyle name="Normal 75 2 7" xfId="21229" xr:uid="{00000000-0005-0000-0000-000060880000}"/>
    <cellStyle name="Normal 75 3" xfId="7106" xr:uid="{00000000-0005-0000-0000-000061880000}"/>
    <cellStyle name="Normal 75 3 2" xfId="8985" xr:uid="{00000000-0005-0000-0000-000062880000}"/>
    <cellStyle name="Normal 75 3 2 2" xfId="11364" xr:uid="{00000000-0005-0000-0000-000063880000}"/>
    <cellStyle name="Normal 75 3 2 2 2" xfId="20435" xr:uid="{00000000-0005-0000-0000-000064880000}"/>
    <cellStyle name="Normal 75 3 2 2 2 2" xfId="33493" xr:uid="{00000000-0005-0000-0000-000065880000}"/>
    <cellStyle name="Normal 75 3 2 2 3" xfId="20436" xr:uid="{00000000-0005-0000-0000-000066880000}"/>
    <cellStyle name="Normal 75 3 2 2 3 2" xfId="33494" xr:uid="{00000000-0005-0000-0000-000067880000}"/>
    <cellStyle name="Normal 75 3 2 2 4" xfId="24734" xr:uid="{00000000-0005-0000-0000-000068880000}"/>
    <cellStyle name="Normal 75 3 2 3" xfId="20437" xr:uid="{00000000-0005-0000-0000-000069880000}"/>
    <cellStyle name="Normal 75 3 2 3 2" xfId="33495" xr:uid="{00000000-0005-0000-0000-00006A880000}"/>
    <cellStyle name="Normal 75 3 2 4" xfId="20438" xr:uid="{00000000-0005-0000-0000-00006B880000}"/>
    <cellStyle name="Normal 75 3 2 4 2" xfId="33496" xr:uid="{00000000-0005-0000-0000-00006C880000}"/>
    <cellStyle name="Normal 75 3 2 5" xfId="22578" xr:uid="{00000000-0005-0000-0000-00006D880000}"/>
    <cellStyle name="Normal 75 3 3" xfId="10286" xr:uid="{00000000-0005-0000-0000-00006E880000}"/>
    <cellStyle name="Normal 75 3 3 2" xfId="20439" xr:uid="{00000000-0005-0000-0000-00006F880000}"/>
    <cellStyle name="Normal 75 3 3 2 2" xfId="33497" xr:uid="{00000000-0005-0000-0000-000070880000}"/>
    <cellStyle name="Normal 75 3 3 3" xfId="20440" xr:uid="{00000000-0005-0000-0000-000071880000}"/>
    <cellStyle name="Normal 75 3 3 3 2" xfId="33498" xr:uid="{00000000-0005-0000-0000-000072880000}"/>
    <cellStyle name="Normal 75 3 3 4" xfId="23656" xr:uid="{00000000-0005-0000-0000-000073880000}"/>
    <cellStyle name="Normal 75 3 4" xfId="20441" xr:uid="{00000000-0005-0000-0000-000074880000}"/>
    <cellStyle name="Normal 75 3 4 2" xfId="33499" xr:uid="{00000000-0005-0000-0000-000075880000}"/>
    <cellStyle name="Normal 75 3 5" xfId="20442" xr:uid="{00000000-0005-0000-0000-000076880000}"/>
    <cellStyle name="Normal 75 3 5 2" xfId="33500" xr:uid="{00000000-0005-0000-0000-000077880000}"/>
    <cellStyle name="Normal 75 3 6" xfId="21500" xr:uid="{00000000-0005-0000-0000-000078880000}"/>
    <cellStyle name="Normal 75 4" xfId="8365" xr:uid="{00000000-0005-0000-0000-000079880000}"/>
    <cellStyle name="Normal 75 4 2" xfId="10824" xr:uid="{00000000-0005-0000-0000-00007A880000}"/>
    <cellStyle name="Normal 75 4 2 2" xfId="20443" xr:uid="{00000000-0005-0000-0000-00007B880000}"/>
    <cellStyle name="Normal 75 4 2 2 2" xfId="33501" xr:uid="{00000000-0005-0000-0000-00007C880000}"/>
    <cellStyle name="Normal 75 4 2 3" xfId="20444" xr:uid="{00000000-0005-0000-0000-00007D880000}"/>
    <cellStyle name="Normal 75 4 2 3 2" xfId="33502" xr:uid="{00000000-0005-0000-0000-00007E880000}"/>
    <cellStyle name="Normal 75 4 2 4" xfId="24194" xr:uid="{00000000-0005-0000-0000-00007F880000}"/>
    <cellStyle name="Normal 75 4 3" xfId="20445" xr:uid="{00000000-0005-0000-0000-000080880000}"/>
    <cellStyle name="Normal 75 4 3 2" xfId="33503" xr:uid="{00000000-0005-0000-0000-000081880000}"/>
    <cellStyle name="Normal 75 4 4" xfId="20446" xr:uid="{00000000-0005-0000-0000-000082880000}"/>
    <cellStyle name="Normal 75 4 4 2" xfId="33504" xr:uid="{00000000-0005-0000-0000-000083880000}"/>
    <cellStyle name="Normal 75 4 5" xfId="22038" xr:uid="{00000000-0005-0000-0000-000084880000}"/>
    <cellStyle name="Normal 75 5" xfId="9746" xr:uid="{00000000-0005-0000-0000-000085880000}"/>
    <cellStyle name="Normal 75 5 2" xfId="20447" xr:uid="{00000000-0005-0000-0000-000086880000}"/>
    <cellStyle name="Normal 75 5 2 2" xfId="33505" xr:uid="{00000000-0005-0000-0000-000087880000}"/>
    <cellStyle name="Normal 75 5 3" xfId="20448" xr:uid="{00000000-0005-0000-0000-000088880000}"/>
    <cellStyle name="Normal 75 5 3 2" xfId="33506" xr:uid="{00000000-0005-0000-0000-000089880000}"/>
    <cellStyle name="Normal 75 5 4" xfId="23116" xr:uid="{00000000-0005-0000-0000-00008A880000}"/>
    <cellStyle name="Normal 75 6" xfId="20449" xr:uid="{00000000-0005-0000-0000-00008B880000}"/>
    <cellStyle name="Normal 75 6 2" xfId="33507" xr:uid="{00000000-0005-0000-0000-00008C880000}"/>
    <cellStyle name="Normal 75 7" xfId="20450" xr:uid="{00000000-0005-0000-0000-00008D880000}"/>
    <cellStyle name="Normal 75 7 2" xfId="33508" xr:uid="{00000000-0005-0000-0000-00008E880000}"/>
    <cellStyle name="Normal 75 8" xfId="20960" xr:uid="{00000000-0005-0000-0000-00008F880000}"/>
    <cellStyle name="Normal 76" xfId="4286" xr:uid="{00000000-0005-0000-0000-000090880000}"/>
    <cellStyle name="Normal 76 2" xfId="6664" xr:uid="{00000000-0005-0000-0000-000091880000}"/>
    <cellStyle name="Normal 76 2 2" xfId="7356" xr:uid="{00000000-0005-0000-0000-000092880000}"/>
    <cellStyle name="Normal 76 2 2 2" xfId="9235" xr:uid="{00000000-0005-0000-0000-000093880000}"/>
    <cellStyle name="Normal 76 2 2 2 2" xfId="11614" xr:uid="{00000000-0005-0000-0000-000094880000}"/>
    <cellStyle name="Normal 76 2 2 2 2 2" xfId="20451" xr:uid="{00000000-0005-0000-0000-000095880000}"/>
    <cellStyle name="Normal 76 2 2 2 2 2 2" xfId="33509" xr:uid="{00000000-0005-0000-0000-000096880000}"/>
    <cellStyle name="Normal 76 2 2 2 2 3" xfId="20452" xr:uid="{00000000-0005-0000-0000-000097880000}"/>
    <cellStyle name="Normal 76 2 2 2 2 3 2" xfId="33510" xr:uid="{00000000-0005-0000-0000-000098880000}"/>
    <cellStyle name="Normal 76 2 2 2 2 4" xfId="24984" xr:uid="{00000000-0005-0000-0000-000099880000}"/>
    <cellStyle name="Normal 76 2 2 2 3" xfId="20453" xr:uid="{00000000-0005-0000-0000-00009A880000}"/>
    <cellStyle name="Normal 76 2 2 2 3 2" xfId="33511" xr:uid="{00000000-0005-0000-0000-00009B880000}"/>
    <cellStyle name="Normal 76 2 2 2 4" xfId="20454" xr:uid="{00000000-0005-0000-0000-00009C880000}"/>
    <cellStyle name="Normal 76 2 2 2 4 2" xfId="33512" xr:uid="{00000000-0005-0000-0000-00009D880000}"/>
    <cellStyle name="Normal 76 2 2 2 5" xfId="22828" xr:uid="{00000000-0005-0000-0000-00009E880000}"/>
    <cellStyle name="Normal 76 2 2 3" xfId="10536" xr:uid="{00000000-0005-0000-0000-00009F880000}"/>
    <cellStyle name="Normal 76 2 2 3 2" xfId="20455" xr:uid="{00000000-0005-0000-0000-0000A0880000}"/>
    <cellStyle name="Normal 76 2 2 3 2 2" xfId="33513" xr:uid="{00000000-0005-0000-0000-0000A1880000}"/>
    <cellStyle name="Normal 76 2 2 3 3" xfId="20456" xr:uid="{00000000-0005-0000-0000-0000A2880000}"/>
    <cellStyle name="Normal 76 2 2 3 3 2" xfId="33514" xr:uid="{00000000-0005-0000-0000-0000A3880000}"/>
    <cellStyle name="Normal 76 2 2 3 4" xfId="23906" xr:uid="{00000000-0005-0000-0000-0000A4880000}"/>
    <cellStyle name="Normal 76 2 2 4" xfId="20457" xr:uid="{00000000-0005-0000-0000-0000A5880000}"/>
    <cellStyle name="Normal 76 2 2 4 2" xfId="33515" xr:uid="{00000000-0005-0000-0000-0000A6880000}"/>
    <cellStyle name="Normal 76 2 2 5" xfId="20458" xr:uid="{00000000-0005-0000-0000-0000A7880000}"/>
    <cellStyle name="Normal 76 2 2 5 2" xfId="33516" xr:uid="{00000000-0005-0000-0000-0000A8880000}"/>
    <cellStyle name="Normal 76 2 2 6" xfId="21750" xr:uid="{00000000-0005-0000-0000-0000A9880000}"/>
    <cellStyle name="Normal 76 2 3" xfId="8689" xr:uid="{00000000-0005-0000-0000-0000AA880000}"/>
    <cellStyle name="Normal 76 2 3 2" xfId="11074" xr:uid="{00000000-0005-0000-0000-0000AB880000}"/>
    <cellStyle name="Normal 76 2 3 2 2" xfId="20459" xr:uid="{00000000-0005-0000-0000-0000AC880000}"/>
    <cellStyle name="Normal 76 2 3 2 2 2" xfId="33517" xr:uid="{00000000-0005-0000-0000-0000AD880000}"/>
    <cellStyle name="Normal 76 2 3 2 3" xfId="20460" xr:uid="{00000000-0005-0000-0000-0000AE880000}"/>
    <cellStyle name="Normal 76 2 3 2 3 2" xfId="33518" xr:uid="{00000000-0005-0000-0000-0000AF880000}"/>
    <cellStyle name="Normal 76 2 3 2 4" xfId="24444" xr:uid="{00000000-0005-0000-0000-0000B0880000}"/>
    <cellStyle name="Normal 76 2 3 3" xfId="20461" xr:uid="{00000000-0005-0000-0000-0000B1880000}"/>
    <cellStyle name="Normal 76 2 3 3 2" xfId="33519" xr:uid="{00000000-0005-0000-0000-0000B2880000}"/>
    <cellStyle name="Normal 76 2 3 4" xfId="20462" xr:uid="{00000000-0005-0000-0000-0000B3880000}"/>
    <cellStyle name="Normal 76 2 3 4 2" xfId="33520" xr:uid="{00000000-0005-0000-0000-0000B4880000}"/>
    <cellStyle name="Normal 76 2 3 5" xfId="22288" xr:uid="{00000000-0005-0000-0000-0000B5880000}"/>
    <cellStyle name="Normal 76 2 4" xfId="9996" xr:uid="{00000000-0005-0000-0000-0000B6880000}"/>
    <cellStyle name="Normal 76 2 4 2" xfId="20463" xr:uid="{00000000-0005-0000-0000-0000B7880000}"/>
    <cellStyle name="Normal 76 2 4 2 2" xfId="33521" xr:uid="{00000000-0005-0000-0000-0000B8880000}"/>
    <cellStyle name="Normal 76 2 4 3" xfId="20464" xr:uid="{00000000-0005-0000-0000-0000B9880000}"/>
    <cellStyle name="Normal 76 2 4 3 2" xfId="33522" xr:uid="{00000000-0005-0000-0000-0000BA880000}"/>
    <cellStyle name="Normal 76 2 4 4" xfId="23366" xr:uid="{00000000-0005-0000-0000-0000BB880000}"/>
    <cellStyle name="Normal 76 2 5" xfId="20465" xr:uid="{00000000-0005-0000-0000-0000BC880000}"/>
    <cellStyle name="Normal 76 2 5 2" xfId="33523" xr:uid="{00000000-0005-0000-0000-0000BD880000}"/>
    <cellStyle name="Normal 76 2 6" xfId="20466" xr:uid="{00000000-0005-0000-0000-0000BE880000}"/>
    <cellStyle name="Normal 76 2 6 2" xfId="33524" xr:uid="{00000000-0005-0000-0000-0000BF880000}"/>
    <cellStyle name="Normal 76 2 7" xfId="21210" xr:uid="{00000000-0005-0000-0000-0000C0880000}"/>
    <cellStyle name="Normal 76 3" xfId="7087" xr:uid="{00000000-0005-0000-0000-0000C1880000}"/>
    <cellStyle name="Normal 76 3 2" xfId="8966" xr:uid="{00000000-0005-0000-0000-0000C2880000}"/>
    <cellStyle name="Normal 76 3 2 2" xfId="11345" xr:uid="{00000000-0005-0000-0000-0000C3880000}"/>
    <cellStyle name="Normal 76 3 2 2 2" xfId="20467" xr:uid="{00000000-0005-0000-0000-0000C4880000}"/>
    <cellStyle name="Normal 76 3 2 2 2 2" xfId="33525" xr:uid="{00000000-0005-0000-0000-0000C5880000}"/>
    <cellStyle name="Normal 76 3 2 2 3" xfId="20468" xr:uid="{00000000-0005-0000-0000-0000C6880000}"/>
    <cellStyle name="Normal 76 3 2 2 3 2" xfId="33526" xr:uid="{00000000-0005-0000-0000-0000C7880000}"/>
    <cellStyle name="Normal 76 3 2 2 4" xfId="24715" xr:uid="{00000000-0005-0000-0000-0000C8880000}"/>
    <cellStyle name="Normal 76 3 2 3" xfId="20469" xr:uid="{00000000-0005-0000-0000-0000C9880000}"/>
    <cellStyle name="Normal 76 3 2 3 2" xfId="33527" xr:uid="{00000000-0005-0000-0000-0000CA880000}"/>
    <cellStyle name="Normal 76 3 2 4" xfId="20470" xr:uid="{00000000-0005-0000-0000-0000CB880000}"/>
    <cellStyle name="Normal 76 3 2 4 2" xfId="33528" xr:uid="{00000000-0005-0000-0000-0000CC880000}"/>
    <cellStyle name="Normal 76 3 2 5" xfId="22559" xr:uid="{00000000-0005-0000-0000-0000CD880000}"/>
    <cellStyle name="Normal 76 3 3" xfId="10267" xr:uid="{00000000-0005-0000-0000-0000CE880000}"/>
    <cellStyle name="Normal 76 3 3 2" xfId="20471" xr:uid="{00000000-0005-0000-0000-0000CF880000}"/>
    <cellStyle name="Normal 76 3 3 2 2" xfId="33529" xr:uid="{00000000-0005-0000-0000-0000D0880000}"/>
    <cellStyle name="Normal 76 3 3 3" xfId="20472" xr:uid="{00000000-0005-0000-0000-0000D1880000}"/>
    <cellStyle name="Normal 76 3 3 3 2" xfId="33530" xr:uid="{00000000-0005-0000-0000-0000D2880000}"/>
    <cellStyle name="Normal 76 3 3 4" xfId="23637" xr:uid="{00000000-0005-0000-0000-0000D3880000}"/>
    <cellStyle name="Normal 76 3 4" xfId="20473" xr:uid="{00000000-0005-0000-0000-0000D4880000}"/>
    <cellStyle name="Normal 76 3 4 2" xfId="33531" xr:uid="{00000000-0005-0000-0000-0000D5880000}"/>
    <cellStyle name="Normal 76 3 5" xfId="20474" xr:uid="{00000000-0005-0000-0000-0000D6880000}"/>
    <cellStyle name="Normal 76 3 5 2" xfId="33532" xr:uid="{00000000-0005-0000-0000-0000D7880000}"/>
    <cellStyle name="Normal 76 3 6" xfId="21481" xr:uid="{00000000-0005-0000-0000-0000D8880000}"/>
    <cellStyle name="Normal 76 4" xfId="8302" xr:uid="{00000000-0005-0000-0000-0000D9880000}"/>
    <cellStyle name="Normal 76 4 2" xfId="10805" xr:uid="{00000000-0005-0000-0000-0000DA880000}"/>
    <cellStyle name="Normal 76 4 2 2" xfId="20475" xr:uid="{00000000-0005-0000-0000-0000DB880000}"/>
    <cellStyle name="Normal 76 4 2 2 2" xfId="33533" xr:uid="{00000000-0005-0000-0000-0000DC880000}"/>
    <cellStyle name="Normal 76 4 2 3" xfId="20476" xr:uid="{00000000-0005-0000-0000-0000DD880000}"/>
    <cellStyle name="Normal 76 4 2 3 2" xfId="33534" xr:uid="{00000000-0005-0000-0000-0000DE880000}"/>
    <cellStyle name="Normal 76 4 2 4" xfId="24175" xr:uid="{00000000-0005-0000-0000-0000DF880000}"/>
    <cellStyle name="Normal 76 4 3" xfId="20477" xr:uid="{00000000-0005-0000-0000-0000E0880000}"/>
    <cellStyle name="Normal 76 4 3 2" xfId="33535" xr:uid="{00000000-0005-0000-0000-0000E1880000}"/>
    <cellStyle name="Normal 76 4 4" xfId="20478" xr:uid="{00000000-0005-0000-0000-0000E2880000}"/>
    <cellStyle name="Normal 76 4 4 2" xfId="33536" xr:uid="{00000000-0005-0000-0000-0000E3880000}"/>
    <cellStyle name="Normal 76 4 5" xfId="22019" xr:uid="{00000000-0005-0000-0000-0000E4880000}"/>
    <cellStyle name="Normal 76 5" xfId="9727" xr:uid="{00000000-0005-0000-0000-0000E5880000}"/>
    <cellStyle name="Normal 76 5 2" xfId="20479" xr:uid="{00000000-0005-0000-0000-0000E6880000}"/>
    <cellStyle name="Normal 76 5 2 2" xfId="33537" xr:uid="{00000000-0005-0000-0000-0000E7880000}"/>
    <cellStyle name="Normal 76 5 3" xfId="20480" xr:uid="{00000000-0005-0000-0000-0000E8880000}"/>
    <cellStyle name="Normal 76 5 3 2" xfId="33538" xr:uid="{00000000-0005-0000-0000-0000E9880000}"/>
    <cellStyle name="Normal 76 5 4" xfId="23097" xr:uid="{00000000-0005-0000-0000-0000EA880000}"/>
    <cellStyle name="Normal 76 6" xfId="20481" xr:uid="{00000000-0005-0000-0000-0000EB880000}"/>
    <cellStyle name="Normal 76 6 2" xfId="33539" xr:uid="{00000000-0005-0000-0000-0000EC880000}"/>
    <cellStyle name="Normal 76 7" xfId="20482" xr:uid="{00000000-0005-0000-0000-0000ED880000}"/>
    <cellStyle name="Normal 76 7 2" xfId="33540" xr:uid="{00000000-0005-0000-0000-0000EE880000}"/>
    <cellStyle name="Normal 76 8" xfId="20941" xr:uid="{00000000-0005-0000-0000-0000EF880000}"/>
    <cellStyle name="Normal 77" xfId="5117" xr:uid="{00000000-0005-0000-0000-0000F0880000}"/>
    <cellStyle name="Normal 77 2" xfId="6685" xr:uid="{00000000-0005-0000-0000-0000F1880000}"/>
    <cellStyle name="Normal 77 2 2" xfId="7374" xr:uid="{00000000-0005-0000-0000-0000F2880000}"/>
    <cellStyle name="Normal 77 2 2 2" xfId="9253" xr:uid="{00000000-0005-0000-0000-0000F3880000}"/>
    <cellStyle name="Normal 77 2 2 2 2" xfId="11632" xr:uid="{00000000-0005-0000-0000-0000F4880000}"/>
    <cellStyle name="Normal 77 2 2 2 2 2" xfId="20483" xr:uid="{00000000-0005-0000-0000-0000F5880000}"/>
    <cellStyle name="Normal 77 2 2 2 2 2 2" xfId="33541" xr:uid="{00000000-0005-0000-0000-0000F6880000}"/>
    <cellStyle name="Normal 77 2 2 2 2 3" xfId="20484" xr:uid="{00000000-0005-0000-0000-0000F7880000}"/>
    <cellStyle name="Normal 77 2 2 2 2 3 2" xfId="33542" xr:uid="{00000000-0005-0000-0000-0000F8880000}"/>
    <cellStyle name="Normal 77 2 2 2 2 4" xfId="25002" xr:uid="{00000000-0005-0000-0000-0000F9880000}"/>
    <cellStyle name="Normal 77 2 2 2 3" xfId="20485" xr:uid="{00000000-0005-0000-0000-0000FA880000}"/>
    <cellStyle name="Normal 77 2 2 2 3 2" xfId="33543" xr:uid="{00000000-0005-0000-0000-0000FB880000}"/>
    <cellStyle name="Normal 77 2 2 2 4" xfId="20486" xr:uid="{00000000-0005-0000-0000-0000FC880000}"/>
    <cellStyle name="Normal 77 2 2 2 4 2" xfId="33544" xr:uid="{00000000-0005-0000-0000-0000FD880000}"/>
    <cellStyle name="Normal 77 2 2 2 5" xfId="22846" xr:uid="{00000000-0005-0000-0000-0000FE880000}"/>
    <cellStyle name="Normal 77 2 2 3" xfId="10554" xr:uid="{00000000-0005-0000-0000-0000FF880000}"/>
    <cellStyle name="Normal 77 2 2 3 2" xfId="20487" xr:uid="{00000000-0005-0000-0000-000000890000}"/>
    <cellStyle name="Normal 77 2 2 3 2 2" xfId="33545" xr:uid="{00000000-0005-0000-0000-000001890000}"/>
    <cellStyle name="Normal 77 2 2 3 3" xfId="20488" xr:uid="{00000000-0005-0000-0000-000002890000}"/>
    <cellStyle name="Normal 77 2 2 3 3 2" xfId="33546" xr:uid="{00000000-0005-0000-0000-000003890000}"/>
    <cellStyle name="Normal 77 2 2 3 4" xfId="23924" xr:uid="{00000000-0005-0000-0000-000004890000}"/>
    <cellStyle name="Normal 77 2 2 4" xfId="20489" xr:uid="{00000000-0005-0000-0000-000005890000}"/>
    <cellStyle name="Normal 77 2 2 4 2" xfId="33547" xr:uid="{00000000-0005-0000-0000-000006890000}"/>
    <cellStyle name="Normal 77 2 2 5" xfId="20490" xr:uid="{00000000-0005-0000-0000-000007890000}"/>
    <cellStyle name="Normal 77 2 2 5 2" xfId="33548" xr:uid="{00000000-0005-0000-0000-000008890000}"/>
    <cellStyle name="Normal 77 2 2 6" xfId="21768" xr:uid="{00000000-0005-0000-0000-000009890000}"/>
    <cellStyle name="Normal 77 2 3" xfId="8707" xr:uid="{00000000-0005-0000-0000-00000A890000}"/>
    <cellStyle name="Normal 77 2 3 2" xfId="11092" xr:uid="{00000000-0005-0000-0000-00000B890000}"/>
    <cellStyle name="Normal 77 2 3 2 2" xfId="20491" xr:uid="{00000000-0005-0000-0000-00000C890000}"/>
    <cellStyle name="Normal 77 2 3 2 2 2" xfId="33549" xr:uid="{00000000-0005-0000-0000-00000D890000}"/>
    <cellStyle name="Normal 77 2 3 2 3" xfId="20492" xr:uid="{00000000-0005-0000-0000-00000E890000}"/>
    <cellStyle name="Normal 77 2 3 2 3 2" xfId="33550" xr:uid="{00000000-0005-0000-0000-00000F890000}"/>
    <cellStyle name="Normal 77 2 3 2 4" xfId="24462" xr:uid="{00000000-0005-0000-0000-000010890000}"/>
    <cellStyle name="Normal 77 2 3 3" xfId="20493" xr:uid="{00000000-0005-0000-0000-000011890000}"/>
    <cellStyle name="Normal 77 2 3 3 2" xfId="33551" xr:uid="{00000000-0005-0000-0000-000012890000}"/>
    <cellStyle name="Normal 77 2 3 4" xfId="20494" xr:uid="{00000000-0005-0000-0000-000013890000}"/>
    <cellStyle name="Normal 77 2 3 4 2" xfId="33552" xr:uid="{00000000-0005-0000-0000-000014890000}"/>
    <cellStyle name="Normal 77 2 3 5" xfId="22306" xr:uid="{00000000-0005-0000-0000-000015890000}"/>
    <cellStyle name="Normal 77 2 4" xfId="10014" xr:uid="{00000000-0005-0000-0000-000016890000}"/>
    <cellStyle name="Normal 77 2 4 2" xfId="20495" xr:uid="{00000000-0005-0000-0000-000017890000}"/>
    <cellStyle name="Normal 77 2 4 2 2" xfId="33553" xr:uid="{00000000-0005-0000-0000-000018890000}"/>
    <cellStyle name="Normal 77 2 4 3" xfId="20496" xr:uid="{00000000-0005-0000-0000-000019890000}"/>
    <cellStyle name="Normal 77 2 4 3 2" xfId="33554" xr:uid="{00000000-0005-0000-0000-00001A890000}"/>
    <cellStyle name="Normal 77 2 4 4" xfId="23384" xr:uid="{00000000-0005-0000-0000-00001B890000}"/>
    <cellStyle name="Normal 77 2 5" xfId="20497" xr:uid="{00000000-0005-0000-0000-00001C890000}"/>
    <cellStyle name="Normal 77 2 5 2" xfId="33555" xr:uid="{00000000-0005-0000-0000-00001D890000}"/>
    <cellStyle name="Normal 77 2 6" xfId="20498" xr:uid="{00000000-0005-0000-0000-00001E890000}"/>
    <cellStyle name="Normal 77 2 6 2" xfId="33556" xr:uid="{00000000-0005-0000-0000-00001F890000}"/>
    <cellStyle name="Normal 77 2 7" xfId="21228" xr:uid="{00000000-0005-0000-0000-000020890000}"/>
    <cellStyle name="Normal 77 3" xfId="7105" xr:uid="{00000000-0005-0000-0000-000021890000}"/>
    <cellStyle name="Normal 77 3 2" xfId="8984" xr:uid="{00000000-0005-0000-0000-000022890000}"/>
    <cellStyle name="Normal 77 3 2 2" xfId="11363" xr:uid="{00000000-0005-0000-0000-000023890000}"/>
    <cellStyle name="Normal 77 3 2 2 2" xfId="20499" xr:uid="{00000000-0005-0000-0000-000024890000}"/>
    <cellStyle name="Normal 77 3 2 2 2 2" xfId="33557" xr:uid="{00000000-0005-0000-0000-000025890000}"/>
    <cellStyle name="Normal 77 3 2 2 3" xfId="20500" xr:uid="{00000000-0005-0000-0000-000026890000}"/>
    <cellStyle name="Normal 77 3 2 2 3 2" xfId="33558" xr:uid="{00000000-0005-0000-0000-000027890000}"/>
    <cellStyle name="Normal 77 3 2 2 4" xfId="24733" xr:uid="{00000000-0005-0000-0000-000028890000}"/>
    <cellStyle name="Normal 77 3 2 3" xfId="20501" xr:uid="{00000000-0005-0000-0000-000029890000}"/>
    <cellStyle name="Normal 77 3 2 3 2" xfId="33559" xr:uid="{00000000-0005-0000-0000-00002A890000}"/>
    <cellStyle name="Normal 77 3 2 4" xfId="20502" xr:uid="{00000000-0005-0000-0000-00002B890000}"/>
    <cellStyle name="Normal 77 3 2 4 2" xfId="33560" xr:uid="{00000000-0005-0000-0000-00002C890000}"/>
    <cellStyle name="Normal 77 3 2 5" xfId="22577" xr:uid="{00000000-0005-0000-0000-00002D890000}"/>
    <cellStyle name="Normal 77 3 3" xfId="10285" xr:uid="{00000000-0005-0000-0000-00002E890000}"/>
    <cellStyle name="Normal 77 3 3 2" xfId="20503" xr:uid="{00000000-0005-0000-0000-00002F890000}"/>
    <cellStyle name="Normal 77 3 3 2 2" xfId="33561" xr:uid="{00000000-0005-0000-0000-000030890000}"/>
    <cellStyle name="Normal 77 3 3 3" xfId="20504" xr:uid="{00000000-0005-0000-0000-000031890000}"/>
    <cellStyle name="Normal 77 3 3 3 2" xfId="33562" xr:uid="{00000000-0005-0000-0000-000032890000}"/>
    <cellStyle name="Normal 77 3 3 4" xfId="23655" xr:uid="{00000000-0005-0000-0000-000033890000}"/>
    <cellStyle name="Normal 77 3 4" xfId="20505" xr:uid="{00000000-0005-0000-0000-000034890000}"/>
    <cellStyle name="Normal 77 3 4 2" xfId="33563" xr:uid="{00000000-0005-0000-0000-000035890000}"/>
    <cellStyle name="Normal 77 3 5" xfId="20506" xr:uid="{00000000-0005-0000-0000-000036890000}"/>
    <cellStyle name="Normal 77 3 5 2" xfId="33564" xr:uid="{00000000-0005-0000-0000-000037890000}"/>
    <cellStyle name="Normal 77 3 6" xfId="21499" xr:uid="{00000000-0005-0000-0000-000038890000}"/>
    <cellStyle name="Normal 77 4" xfId="8362" xr:uid="{00000000-0005-0000-0000-000039890000}"/>
    <cellStyle name="Normal 77 4 2" xfId="10823" xr:uid="{00000000-0005-0000-0000-00003A890000}"/>
    <cellStyle name="Normal 77 4 2 2" xfId="20507" xr:uid="{00000000-0005-0000-0000-00003B890000}"/>
    <cellStyle name="Normal 77 4 2 2 2" xfId="33565" xr:uid="{00000000-0005-0000-0000-00003C890000}"/>
    <cellStyle name="Normal 77 4 2 3" xfId="20508" xr:uid="{00000000-0005-0000-0000-00003D890000}"/>
    <cellStyle name="Normal 77 4 2 3 2" xfId="33566" xr:uid="{00000000-0005-0000-0000-00003E890000}"/>
    <cellStyle name="Normal 77 4 2 4" xfId="24193" xr:uid="{00000000-0005-0000-0000-00003F890000}"/>
    <cellStyle name="Normal 77 4 3" xfId="20509" xr:uid="{00000000-0005-0000-0000-000040890000}"/>
    <cellStyle name="Normal 77 4 3 2" xfId="33567" xr:uid="{00000000-0005-0000-0000-000041890000}"/>
    <cellStyle name="Normal 77 4 4" xfId="20510" xr:uid="{00000000-0005-0000-0000-000042890000}"/>
    <cellStyle name="Normal 77 4 4 2" xfId="33568" xr:uid="{00000000-0005-0000-0000-000043890000}"/>
    <cellStyle name="Normal 77 4 5" xfId="22037" xr:uid="{00000000-0005-0000-0000-000044890000}"/>
    <cellStyle name="Normal 77 5" xfId="9745" xr:uid="{00000000-0005-0000-0000-000045890000}"/>
    <cellStyle name="Normal 77 5 2" xfId="20511" xr:uid="{00000000-0005-0000-0000-000046890000}"/>
    <cellStyle name="Normal 77 5 2 2" xfId="33569" xr:uid="{00000000-0005-0000-0000-000047890000}"/>
    <cellStyle name="Normal 77 5 3" xfId="20512" xr:uid="{00000000-0005-0000-0000-000048890000}"/>
    <cellStyle name="Normal 77 5 3 2" xfId="33570" xr:uid="{00000000-0005-0000-0000-000049890000}"/>
    <cellStyle name="Normal 77 5 4" xfId="23115" xr:uid="{00000000-0005-0000-0000-00004A890000}"/>
    <cellStyle name="Normal 77 6" xfId="20513" xr:uid="{00000000-0005-0000-0000-00004B890000}"/>
    <cellStyle name="Normal 77 6 2" xfId="33571" xr:uid="{00000000-0005-0000-0000-00004C890000}"/>
    <cellStyle name="Normal 77 7" xfId="20514" xr:uid="{00000000-0005-0000-0000-00004D890000}"/>
    <cellStyle name="Normal 77 7 2" xfId="33572" xr:uid="{00000000-0005-0000-0000-00004E890000}"/>
    <cellStyle name="Normal 77 8" xfId="20959" xr:uid="{00000000-0005-0000-0000-00004F890000}"/>
    <cellStyle name="Normal 78" xfId="4563" xr:uid="{00000000-0005-0000-0000-000050890000}"/>
    <cellStyle name="Normal 78 2" xfId="6669" xr:uid="{00000000-0005-0000-0000-000051890000}"/>
    <cellStyle name="Normal 78 2 2" xfId="7359" xr:uid="{00000000-0005-0000-0000-000052890000}"/>
    <cellStyle name="Normal 78 2 2 2" xfId="9238" xr:uid="{00000000-0005-0000-0000-000053890000}"/>
    <cellStyle name="Normal 78 2 2 2 2" xfId="11617" xr:uid="{00000000-0005-0000-0000-000054890000}"/>
    <cellStyle name="Normal 78 2 2 2 2 2" xfId="20515" xr:uid="{00000000-0005-0000-0000-000055890000}"/>
    <cellStyle name="Normal 78 2 2 2 2 2 2" xfId="33573" xr:uid="{00000000-0005-0000-0000-000056890000}"/>
    <cellStyle name="Normal 78 2 2 2 2 3" xfId="20516" xr:uid="{00000000-0005-0000-0000-000057890000}"/>
    <cellStyle name="Normal 78 2 2 2 2 3 2" xfId="33574" xr:uid="{00000000-0005-0000-0000-000058890000}"/>
    <cellStyle name="Normal 78 2 2 2 2 4" xfId="24987" xr:uid="{00000000-0005-0000-0000-000059890000}"/>
    <cellStyle name="Normal 78 2 2 2 3" xfId="20517" xr:uid="{00000000-0005-0000-0000-00005A890000}"/>
    <cellStyle name="Normal 78 2 2 2 3 2" xfId="33575" xr:uid="{00000000-0005-0000-0000-00005B890000}"/>
    <cellStyle name="Normal 78 2 2 2 4" xfId="20518" xr:uid="{00000000-0005-0000-0000-00005C890000}"/>
    <cellStyle name="Normal 78 2 2 2 4 2" xfId="33576" xr:uid="{00000000-0005-0000-0000-00005D890000}"/>
    <cellStyle name="Normal 78 2 2 2 5" xfId="22831" xr:uid="{00000000-0005-0000-0000-00005E890000}"/>
    <cellStyle name="Normal 78 2 2 3" xfId="10539" xr:uid="{00000000-0005-0000-0000-00005F890000}"/>
    <cellStyle name="Normal 78 2 2 3 2" xfId="20519" xr:uid="{00000000-0005-0000-0000-000060890000}"/>
    <cellStyle name="Normal 78 2 2 3 2 2" xfId="33577" xr:uid="{00000000-0005-0000-0000-000061890000}"/>
    <cellStyle name="Normal 78 2 2 3 3" xfId="20520" xr:uid="{00000000-0005-0000-0000-000062890000}"/>
    <cellStyle name="Normal 78 2 2 3 3 2" xfId="33578" xr:uid="{00000000-0005-0000-0000-000063890000}"/>
    <cellStyle name="Normal 78 2 2 3 4" xfId="23909" xr:uid="{00000000-0005-0000-0000-000064890000}"/>
    <cellStyle name="Normal 78 2 2 4" xfId="20521" xr:uid="{00000000-0005-0000-0000-000065890000}"/>
    <cellStyle name="Normal 78 2 2 4 2" xfId="33579" xr:uid="{00000000-0005-0000-0000-000066890000}"/>
    <cellStyle name="Normal 78 2 2 5" xfId="20522" xr:uid="{00000000-0005-0000-0000-000067890000}"/>
    <cellStyle name="Normal 78 2 2 5 2" xfId="33580" xr:uid="{00000000-0005-0000-0000-000068890000}"/>
    <cellStyle name="Normal 78 2 2 6" xfId="21753" xr:uid="{00000000-0005-0000-0000-000069890000}"/>
    <cellStyle name="Normal 78 2 3" xfId="8692" xr:uid="{00000000-0005-0000-0000-00006A890000}"/>
    <cellStyle name="Normal 78 2 3 2" xfId="11077" xr:uid="{00000000-0005-0000-0000-00006B890000}"/>
    <cellStyle name="Normal 78 2 3 2 2" xfId="20523" xr:uid="{00000000-0005-0000-0000-00006C890000}"/>
    <cellStyle name="Normal 78 2 3 2 2 2" xfId="33581" xr:uid="{00000000-0005-0000-0000-00006D890000}"/>
    <cellStyle name="Normal 78 2 3 2 3" xfId="20524" xr:uid="{00000000-0005-0000-0000-00006E890000}"/>
    <cellStyle name="Normal 78 2 3 2 3 2" xfId="33582" xr:uid="{00000000-0005-0000-0000-00006F890000}"/>
    <cellStyle name="Normal 78 2 3 2 4" xfId="24447" xr:uid="{00000000-0005-0000-0000-000070890000}"/>
    <cellStyle name="Normal 78 2 3 3" xfId="20525" xr:uid="{00000000-0005-0000-0000-000071890000}"/>
    <cellStyle name="Normal 78 2 3 3 2" xfId="33583" xr:uid="{00000000-0005-0000-0000-000072890000}"/>
    <cellStyle name="Normal 78 2 3 4" xfId="20526" xr:uid="{00000000-0005-0000-0000-000073890000}"/>
    <cellStyle name="Normal 78 2 3 4 2" xfId="33584" xr:uid="{00000000-0005-0000-0000-000074890000}"/>
    <cellStyle name="Normal 78 2 3 5" xfId="22291" xr:uid="{00000000-0005-0000-0000-000075890000}"/>
    <cellStyle name="Normal 78 2 4" xfId="9999" xr:uid="{00000000-0005-0000-0000-000076890000}"/>
    <cellStyle name="Normal 78 2 4 2" xfId="20527" xr:uid="{00000000-0005-0000-0000-000077890000}"/>
    <cellStyle name="Normal 78 2 4 2 2" xfId="33585" xr:uid="{00000000-0005-0000-0000-000078890000}"/>
    <cellStyle name="Normal 78 2 4 3" xfId="20528" xr:uid="{00000000-0005-0000-0000-000079890000}"/>
    <cellStyle name="Normal 78 2 4 3 2" xfId="33586" xr:uid="{00000000-0005-0000-0000-00007A890000}"/>
    <cellStyle name="Normal 78 2 4 4" xfId="23369" xr:uid="{00000000-0005-0000-0000-00007B890000}"/>
    <cellStyle name="Normal 78 2 5" xfId="20529" xr:uid="{00000000-0005-0000-0000-00007C890000}"/>
    <cellStyle name="Normal 78 2 5 2" xfId="33587" xr:uid="{00000000-0005-0000-0000-00007D890000}"/>
    <cellStyle name="Normal 78 2 6" xfId="20530" xr:uid="{00000000-0005-0000-0000-00007E890000}"/>
    <cellStyle name="Normal 78 2 6 2" xfId="33588" xr:uid="{00000000-0005-0000-0000-00007F890000}"/>
    <cellStyle name="Normal 78 2 7" xfId="21213" xr:uid="{00000000-0005-0000-0000-000080890000}"/>
    <cellStyle name="Normal 78 3" xfId="7090" xr:uid="{00000000-0005-0000-0000-000081890000}"/>
    <cellStyle name="Normal 78 3 2" xfId="8969" xr:uid="{00000000-0005-0000-0000-000082890000}"/>
    <cellStyle name="Normal 78 3 2 2" xfId="11348" xr:uid="{00000000-0005-0000-0000-000083890000}"/>
    <cellStyle name="Normal 78 3 2 2 2" xfId="20531" xr:uid="{00000000-0005-0000-0000-000084890000}"/>
    <cellStyle name="Normal 78 3 2 2 2 2" xfId="33589" xr:uid="{00000000-0005-0000-0000-000085890000}"/>
    <cellStyle name="Normal 78 3 2 2 3" xfId="20532" xr:uid="{00000000-0005-0000-0000-000086890000}"/>
    <cellStyle name="Normal 78 3 2 2 3 2" xfId="33590" xr:uid="{00000000-0005-0000-0000-000087890000}"/>
    <cellStyle name="Normal 78 3 2 2 4" xfId="24718" xr:uid="{00000000-0005-0000-0000-000088890000}"/>
    <cellStyle name="Normal 78 3 2 3" xfId="20533" xr:uid="{00000000-0005-0000-0000-000089890000}"/>
    <cellStyle name="Normal 78 3 2 3 2" xfId="33591" xr:uid="{00000000-0005-0000-0000-00008A890000}"/>
    <cellStyle name="Normal 78 3 2 4" xfId="20534" xr:uid="{00000000-0005-0000-0000-00008B890000}"/>
    <cellStyle name="Normal 78 3 2 4 2" xfId="33592" xr:uid="{00000000-0005-0000-0000-00008C890000}"/>
    <cellStyle name="Normal 78 3 2 5" xfId="22562" xr:uid="{00000000-0005-0000-0000-00008D890000}"/>
    <cellStyle name="Normal 78 3 3" xfId="10270" xr:uid="{00000000-0005-0000-0000-00008E890000}"/>
    <cellStyle name="Normal 78 3 3 2" xfId="20535" xr:uid="{00000000-0005-0000-0000-00008F890000}"/>
    <cellStyle name="Normal 78 3 3 2 2" xfId="33593" xr:uid="{00000000-0005-0000-0000-000090890000}"/>
    <cellStyle name="Normal 78 3 3 3" xfId="20536" xr:uid="{00000000-0005-0000-0000-000091890000}"/>
    <cellStyle name="Normal 78 3 3 3 2" xfId="33594" xr:uid="{00000000-0005-0000-0000-000092890000}"/>
    <cellStyle name="Normal 78 3 3 4" xfId="23640" xr:uid="{00000000-0005-0000-0000-000093890000}"/>
    <cellStyle name="Normal 78 3 4" xfId="20537" xr:uid="{00000000-0005-0000-0000-000094890000}"/>
    <cellStyle name="Normal 78 3 4 2" xfId="33595" xr:uid="{00000000-0005-0000-0000-000095890000}"/>
    <cellStyle name="Normal 78 3 5" xfId="20538" xr:uid="{00000000-0005-0000-0000-000096890000}"/>
    <cellStyle name="Normal 78 3 5 2" xfId="33596" xr:uid="{00000000-0005-0000-0000-000097890000}"/>
    <cellStyle name="Normal 78 3 6" xfId="21484" xr:uid="{00000000-0005-0000-0000-000098890000}"/>
    <cellStyle name="Normal 78 4" xfId="8317" xr:uid="{00000000-0005-0000-0000-000099890000}"/>
    <cellStyle name="Normal 78 4 2" xfId="10808" xr:uid="{00000000-0005-0000-0000-00009A890000}"/>
    <cellStyle name="Normal 78 4 2 2" xfId="20539" xr:uid="{00000000-0005-0000-0000-00009B890000}"/>
    <cellStyle name="Normal 78 4 2 2 2" xfId="33597" xr:uid="{00000000-0005-0000-0000-00009C890000}"/>
    <cellStyle name="Normal 78 4 2 3" xfId="20540" xr:uid="{00000000-0005-0000-0000-00009D890000}"/>
    <cellStyle name="Normal 78 4 2 3 2" xfId="33598" xr:uid="{00000000-0005-0000-0000-00009E890000}"/>
    <cellStyle name="Normal 78 4 2 4" xfId="24178" xr:uid="{00000000-0005-0000-0000-00009F890000}"/>
    <cellStyle name="Normal 78 4 3" xfId="20541" xr:uid="{00000000-0005-0000-0000-0000A0890000}"/>
    <cellStyle name="Normal 78 4 3 2" xfId="33599" xr:uid="{00000000-0005-0000-0000-0000A1890000}"/>
    <cellStyle name="Normal 78 4 4" xfId="20542" xr:uid="{00000000-0005-0000-0000-0000A2890000}"/>
    <cellStyle name="Normal 78 4 4 2" xfId="33600" xr:uid="{00000000-0005-0000-0000-0000A3890000}"/>
    <cellStyle name="Normal 78 4 5" xfId="22022" xr:uid="{00000000-0005-0000-0000-0000A4890000}"/>
    <cellStyle name="Normal 78 5" xfId="9730" xr:uid="{00000000-0005-0000-0000-0000A5890000}"/>
    <cellStyle name="Normal 78 5 2" xfId="20543" xr:uid="{00000000-0005-0000-0000-0000A6890000}"/>
    <cellStyle name="Normal 78 5 2 2" xfId="33601" xr:uid="{00000000-0005-0000-0000-0000A7890000}"/>
    <cellStyle name="Normal 78 5 3" xfId="20544" xr:uid="{00000000-0005-0000-0000-0000A8890000}"/>
    <cellStyle name="Normal 78 5 3 2" xfId="33602" xr:uid="{00000000-0005-0000-0000-0000A9890000}"/>
    <cellStyle name="Normal 78 5 4" xfId="23100" xr:uid="{00000000-0005-0000-0000-0000AA890000}"/>
    <cellStyle name="Normal 78 6" xfId="20545" xr:uid="{00000000-0005-0000-0000-0000AB890000}"/>
    <cellStyle name="Normal 78 6 2" xfId="33603" xr:uid="{00000000-0005-0000-0000-0000AC890000}"/>
    <cellStyle name="Normal 78 7" xfId="20546" xr:uid="{00000000-0005-0000-0000-0000AD890000}"/>
    <cellStyle name="Normal 78 7 2" xfId="33604" xr:uid="{00000000-0005-0000-0000-0000AE890000}"/>
    <cellStyle name="Normal 78 8" xfId="20944" xr:uid="{00000000-0005-0000-0000-0000AF890000}"/>
    <cellStyle name="Normal 79" xfId="6157" xr:uid="{00000000-0005-0000-0000-0000B0890000}"/>
    <cellStyle name="Normal 79 2" xfId="6818" xr:uid="{00000000-0005-0000-0000-0000B1890000}"/>
    <cellStyle name="Normal 79 2 2" xfId="7502" xr:uid="{00000000-0005-0000-0000-0000B2890000}"/>
    <cellStyle name="Normal 79 2 2 2" xfId="9381" xr:uid="{00000000-0005-0000-0000-0000B3890000}"/>
    <cellStyle name="Normal 79 2 2 2 2" xfId="11760" xr:uid="{00000000-0005-0000-0000-0000B4890000}"/>
    <cellStyle name="Normal 79 2 2 2 2 2" xfId="20547" xr:uid="{00000000-0005-0000-0000-0000B5890000}"/>
    <cellStyle name="Normal 79 2 2 2 2 2 2" xfId="33605" xr:uid="{00000000-0005-0000-0000-0000B6890000}"/>
    <cellStyle name="Normal 79 2 2 2 2 3" xfId="20548" xr:uid="{00000000-0005-0000-0000-0000B7890000}"/>
    <cellStyle name="Normal 79 2 2 2 2 3 2" xfId="33606" xr:uid="{00000000-0005-0000-0000-0000B8890000}"/>
    <cellStyle name="Normal 79 2 2 2 2 4" xfId="25130" xr:uid="{00000000-0005-0000-0000-0000B9890000}"/>
    <cellStyle name="Normal 79 2 2 2 3" xfId="20549" xr:uid="{00000000-0005-0000-0000-0000BA890000}"/>
    <cellStyle name="Normal 79 2 2 2 3 2" xfId="33607" xr:uid="{00000000-0005-0000-0000-0000BB890000}"/>
    <cellStyle name="Normal 79 2 2 2 4" xfId="20550" xr:uid="{00000000-0005-0000-0000-0000BC890000}"/>
    <cellStyle name="Normal 79 2 2 2 4 2" xfId="33608" xr:uid="{00000000-0005-0000-0000-0000BD890000}"/>
    <cellStyle name="Normal 79 2 2 2 5" xfId="22974" xr:uid="{00000000-0005-0000-0000-0000BE890000}"/>
    <cellStyle name="Normal 79 2 2 3" xfId="10682" xr:uid="{00000000-0005-0000-0000-0000BF890000}"/>
    <cellStyle name="Normal 79 2 2 3 2" xfId="20551" xr:uid="{00000000-0005-0000-0000-0000C0890000}"/>
    <cellStyle name="Normal 79 2 2 3 2 2" xfId="33609" xr:uid="{00000000-0005-0000-0000-0000C1890000}"/>
    <cellStyle name="Normal 79 2 2 3 3" xfId="20552" xr:uid="{00000000-0005-0000-0000-0000C2890000}"/>
    <cellStyle name="Normal 79 2 2 3 3 2" xfId="33610" xr:uid="{00000000-0005-0000-0000-0000C3890000}"/>
    <cellStyle name="Normal 79 2 2 3 4" xfId="24052" xr:uid="{00000000-0005-0000-0000-0000C4890000}"/>
    <cellStyle name="Normal 79 2 2 4" xfId="20553" xr:uid="{00000000-0005-0000-0000-0000C5890000}"/>
    <cellStyle name="Normal 79 2 2 4 2" xfId="33611" xr:uid="{00000000-0005-0000-0000-0000C6890000}"/>
    <cellStyle name="Normal 79 2 2 5" xfId="20554" xr:uid="{00000000-0005-0000-0000-0000C7890000}"/>
    <cellStyle name="Normal 79 2 2 5 2" xfId="33612" xr:uid="{00000000-0005-0000-0000-0000C8890000}"/>
    <cellStyle name="Normal 79 2 2 6" xfId="21896" xr:uid="{00000000-0005-0000-0000-0000C9890000}"/>
    <cellStyle name="Normal 79 2 3" xfId="8835" xr:uid="{00000000-0005-0000-0000-0000CA890000}"/>
    <cellStyle name="Normal 79 2 3 2" xfId="11220" xr:uid="{00000000-0005-0000-0000-0000CB890000}"/>
    <cellStyle name="Normal 79 2 3 2 2" xfId="20555" xr:uid="{00000000-0005-0000-0000-0000CC890000}"/>
    <cellStyle name="Normal 79 2 3 2 2 2" xfId="33613" xr:uid="{00000000-0005-0000-0000-0000CD890000}"/>
    <cellStyle name="Normal 79 2 3 2 3" xfId="20556" xr:uid="{00000000-0005-0000-0000-0000CE890000}"/>
    <cellStyle name="Normal 79 2 3 2 3 2" xfId="33614" xr:uid="{00000000-0005-0000-0000-0000CF890000}"/>
    <cellStyle name="Normal 79 2 3 2 4" xfId="24590" xr:uid="{00000000-0005-0000-0000-0000D0890000}"/>
    <cellStyle name="Normal 79 2 3 3" xfId="20557" xr:uid="{00000000-0005-0000-0000-0000D1890000}"/>
    <cellStyle name="Normal 79 2 3 3 2" xfId="33615" xr:uid="{00000000-0005-0000-0000-0000D2890000}"/>
    <cellStyle name="Normal 79 2 3 4" xfId="20558" xr:uid="{00000000-0005-0000-0000-0000D3890000}"/>
    <cellStyle name="Normal 79 2 3 4 2" xfId="33616" xr:uid="{00000000-0005-0000-0000-0000D4890000}"/>
    <cellStyle name="Normal 79 2 3 5" xfId="22434" xr:uid="{00000000-0005-0000-0000-0000D5890000}"/>
    <cellStyle name="Normal 79 2 4" xfId="10142" xr:uid="{00000000-0005-0000-0000-0000D6890000}"/>
    <cellStyle name="Normal 79 2 4 2" xfId="20559" xr:uid="{00000000-0005-0000-0000-0000D7890000}"/>
    <cellStyle name="Normal 79 2 4 2 2" xfId="33617" xr:uid="{00000000-0005-0000-0000-0000D8890000}"/>
    <cellStyle name="Normal 79 2 4 3" xfId="20560" xr:uid="{00000000-0005-0000-0000-0000D9890000}"/>
    <cellStyle name="Normal 79 2 4 3 2" xfId="33618" xr:uid="{00000000-0005-0000-0000-0000DA890000}"/>
    <cellStyle name="Normal 79 2 4 4" xfId="23512" xr:uid="{00000000-0005-0000-0000-0000DB890000}"/>
    <cellStyle name="Normal 79 2 5" xfId="20561" xr:uid="{00000000-0005-0000-0000-0000DC890000}"/>
    <cellStyle name="Normal 79 2 5 2" xfId="33619" xr:uid="{00000000-0005-0000-0000-0000DD890000}"/>
    <cellStyle name="Normal 79 2 6" xfId="20562" xr:uid="{00000000-0005-0000-0000-0000DE890000}"/>
    <cellStyle name="Normal 79 2 6 2" xfId="33620" xr:uid="{00000000-0005-0000-0000-0000DF890000}"/>
    <cellStyle name="Normal 79 2 7" xfId="21356" xr:uid="{00000000-0005-0000-0000-0000E0890000}"/>
    <cellStyle name="Normal 79 3" xfId="7233" xr:uid="{00000000-0005-0000-0000-0000E1890000}"/>
    <cellStyle name="Normal 79 3 2" xfId="9112" xr:uid="{00000000-0005-0000-0000-0000E2890000}"/>
    <cellStyle name="Normal 79 3 2 2" xfId="11491" xr:uid="{00000000-0005-0000-0000-0000E3890000}"/>
    <cellStyle name="Normal 79 3 2 2 2" xfId="20563" xr:uid="{00000000-0005-0000-0000-0000E4890000}"/>
    <cellStyle name="Normal 79 3 2 2 2 2" xfId="33621" xr:uid="{00000000-0005-0000-0000-0000E5890000}"/>
    <cellStyle name="Normal 79 3 2 2 3" xfId="20564" xr:uid="{00000000-0005-0000-0000-0000E6890000}"/>
    <cellStyle name="Normal 79 3 2 2 3 2" xfId="33622" xr:uid="{00000000-0005-0000-0000-0000E7890000}"/>
    <cellStyle name="Normal 79 3 2 2 4" xfId="24861" xr:uid="{00000000-0005-0000-0000-0000E8890000}"/>
    <cellStyle name="Normal 79 3 2 3" xfId="20565" xr:uid="{00000000-0005-0000-0000-0000E9890000}"/>
    <cellStyle name="Normal 79 3 2 3 2" xfId="33623" xr:uid="{00000000-0005-0000-0000-0000EA890000}"/>
    <cellStyle name="Normal 79 3 2 4" xfId="20566" xr:uid="{00000000-0005-0000-0000-0000EB890000}"/>
    <cellStyle name="Normal 79 3 2 4 2" xfId="33624" xr:uid="{00000000-0005-0000-0000-0000EC890000}"/>
    <cellStyle name="Normal 79 3 2 5" xfId="22705" xr:uid="{00000000-0005-0000-0000-0000ED890000}"/>
    <cellStyle name="Normal 79 3 3" xfId="10413" xr:uid="{00000000-0005-0000-0000-0000EE890000}"/>
    <cellStyle name="Normal 79 3 3 2" xfId="20567" xr:uid="{00000000-0005-0000-0000-0000EF890000}"/>
    <cellStyle name="Normal 79 3 3 2 2" xfId="33625" xr:uid="{00000000-0005-0000-0000-0000F0890000}"/>
    <cellStyle name="Normal 79 3 3 3" xfId="20568" xr:uid="{00000000-0005-0000-0000-0000F1890000}"/>
    <cellStyle name="Normal 79 3 3 3 2" xfId="33626" xr:uid="{00000000-0005-0000-0000-0000F2890000}"/>
    <cellStyle name="Normal 79 3 3 4" xfId="23783" xr:uid="{00000000-0005-0000-0000-0000F3890000}"/>
    <cellStyle name="Normal 79 3 4" xfId="20569" xr:uid="{00000000-0005-0000-0000-0000F4890000}"/>
    <cellStyle name="Normal 79 3 4 2" xfId="33627" xr:uid="{00000000-0005-0000-0000-0000F5890000}"/>
    <cellStyle name="Normal 79 3 5" xfId="20570" xr:uid="{00000000-0005-0000-0000-0000F6890000}"/>
    <cellStyle name="Normal 79 3 5 2" xfId="33628" xr:uid="{00000000-0005-0000-0000-0000F7890000}"/>
    <cellStyle name="Normal 79 3 6" xfId="21627" xr:uid="{00000000-0005-0000-0000-0000F8890000}"/>
    <cellStyle name="Normal 79 4" xfId="8542" xr:uid="{00000000-0005-0000-0000-0000F9890000}"/>
    <cellStyle name="Normal 79 4 2" xfId="10951" xr:uid="{00000000-0005-0000-0000-0000FA890000}"/>
    <cellStyle name="Normal 79 4 2 2" xfId="20571" xr:uid="{00000000-0005-0000-0000-0000FB890000}"/>
    <cellStyle name="Normal 79 4 2 2 2" xfId="33629" xr:uid="{00000000-0005-0000-0000-0000FC890000}"/>
    <cellStyle name="Normal 79 4 2 3" xfId="20572" xr:uid="{00000000-0005-0000-0000-0000FD890000}"/>
    <cellStyle name="Normal 79 4 2 3 2" xfId="33630" xr:uid="{00000000-0005-0000-0000-0000FE890000}"/>
    <cellStyle name="Normal 79 4 2 4" xfId="24321" xr:uid="{00000000-0005-0000-0000-0000FF890000}"/>
    <cellStyle name="Normal 79 4 3" xfId="20573" xr:uid="{00000000-0005-0000-0000-0000008A0000}"/>
    <cellStyle name="Normal 79 4 3 2" xfId="33631" xr:uid="{00000000-0005-0000-0000-0000018A0000}"/>
    <cellStyle name="Normal 79 4 4" xfId="20574" xr:uid="{00000000-0005-0000-0000-0000028A0000}"/>
    <cellStyle name="Normal 79 4 4 2" xfId="33632" xr:uid="{00000000-0005-0000-0000-0000038A0000}"/>
    <cellStyle name="Normal 79 4 5" xfId="22165" xr:uid="{00000000-0005-0000-0000-0000048A0000}"/>
    <cellStyle name="Normal 79 5" xfId="9873" xr:uid="{00000000-0005-0000-0000-0000058A0000}"/>
    <cellStyle name="Normal 79 5 2" xfId="20575" xr:uid="{00000000-0005-0000-0000-0000068A0000}"/>
    <cellStyle name="Normal 79 5 2 2" xfId="33633" xr:uid="{00000000-0005-0000-0000-0000078A0000}"/>
    <cellStyle name="Normal 79 5 3" xfId="20576" xr:uid="{00000000-0005-0000-0000-0000088A0000}"/>
    <cellStyle name="Normal 79 5 3 2" xfId="33634" xr:uid="{00000000-0005-0000-0000-0000098A0000}"/>
    <cellStyle name="Normal 79 5 4" xfId="23243" xr:uid="{00000000-0005-0000-0000-00000A8A0000}"/>
    <cellStyle name="Normal 79 6" xfId="20577" xr:uid="{00000000-0005-0000-0000-00000B8A0000}"/>
    <cellStyle name="Normal 79 6 2" xfId="33635" xr:uid="{00000000-0005-0000-0000-00000C8A0000}"/>
    <cellStyle name="Normal 79 7" xfId="20578" xr:uid="{00000000-0005-0000-0000-00000D8A0000}"/>
    <cellStyle name="Normal 79 7 2" xfId="33636" xr:uid="{00000000-0005-0000-0000-00000E8A0000}"/>
    <cellStyle name="Normal 79 8" xfId="21087" xr:uid="{00000000-0005-0000-0000-00000F8A0000}"/>
    <cellStyle name="Normal 8" xfId="1920" xr:uid="{00000000-0005-0000-0000-0000108A0000}"/>
    <cellStyle name="Normal 8 2" xfId="34519" xr:uid="{00000000-0005-0000-0000-0000118A0000}"/>
    <cellStyle name="Normal 80" xfId="6178" xr:uid="{00000000-0005-0000-0000-0000128A0000}"/>
    <cellStyle name="Normal 80 2" xfId="6819" xr:uid="{00000000-0005-0000-0000-0000138A0000}"/>
    <cellStyle name="Normal 80 2 2" xfId="7503" xr:uid="{00000000-0005-0000-0000-0000148A0000}"/>
    <cellStyle name="Normal 80 2 2 2" xfId="9382" xr:uid="{00000000-0005-0000-0000-0000158A0000}"/>
    <cellStyle name="Normal 80 2 2 2 2" xfId="11761" xr:uid="{00000000-0005-0000-0000-0000168A0000}"/>
    <cellStyle name="Normal 80 2 2 2 2 2" xfId="20579" xr:uid="{00000000-0005-0000-0000-0000178A0000}"/>
    <cellStyle name="Normal 80 2 2 2 2 2 2" xfId="33637" xr:uid="{00000000-0005-0000-0000-0000188A0000}"/>
    <cellStyle name="Normal 80 2 2 2 2 3" xfId="20580" xr:uid="{00000000-0005-0000-0000-0000198A0000}"/>
    <cellStyle name="Normal 80 2 2 2 2 3 2" xfId="33638" xr:uid="{00000000-0005-0000-0000-00001A8A0000}"/>
    <cellStyle name="Normal 80 2 2 2 2 4" xfId="25131" xr:uid="{00000000-0005-0000-0000-00001B8A0000}"/>
    <cellStyle name="Normal 80 2 2 2 3" xfId="20581" xr:uid="{00000000-0005-0000-0000-00001C8A0000}"/>
    <cellStyle name="Normal 80 2 2 2 3 2" xfId="33639" xr:uid="{00000000-0005-0000-0000-00001D8A0000}"/>
    <cellStyle name="Normal 80 2 2 2 4" xfId="20582" xr:uid="{00000000-0005-0000-0000-00001E8A0000}"/>
    <cellStyle name="Normal 80 2 2 2 4 2" xfId="33640" xr:uid="{00000000-0005-0000-0000-00001F8A0000}"/>
    <cellStyle name="Normal 80 2 2 2 5" xfId="22975" xr:uid="{00000000-0005-0000-0000-0000208A0000}"/>
    <cellStyle name="Normal 80 2 2 3" xfId="10683" xr:uid="{00000000-0005-0000-0000-0000218A0000}"/>
    <cellStyle name="Normal 80 2 2 3 2" xfId="20583" xr:uid="{00000000-0005-0000-0000-0000228A0000}"/>
    <cellStyle name="Normal 80 2 2 3 2 2" xfId="33641" xr:uid="{00000000-0005-0000-0000-0000238A0000}"/>
    <cellStyle name="Normal 80 2 2 3 3" xfId="20584" xr:uid="{00000000-0005-0000-0000-0000248A0000}"/>
    <cellStyle name="Normal 80 2 2 3 3 2" xfId="33642" xr:uid="{00000000-0005-0000-0000-0000258A0000}"/>
    <cellStyle name="Normal 80 2 2 3 4" xfId="24053" xr:uid="{00000000-0005-0000-0000-0000268A0000}"/>
    <cellStyle name="Normal 80 2 2 4" xfId="20585" xr:uid="{00000000-0005-0000-0000-0000278A0000}"/>
    <cellStyle name="Normal 80 2 2 4 2" xfId="33643" xr:uid="{00000000-0005-0000-0000-0000288A0000}"/>
    <cellStyle name="Normal 80 2 2 5" xfId="20586" xr:uid="{00000000-0005-0000-0000-0000298A0000}"/>
    <cellStyle name="Normal 80 2 2 5 2" xfId="33644" xr:uid="{00000000-0005-0000-0000-00002A8A0000}"/>
    <cellStyle name="Normal 80 2 2 6" xfId="21897" xr:uid="{00000000-0005-0000-0000-00002B8A0000}"/>
    <cellStyle name="Normal 80 2 3" xfId="8836" xr:uid="{00000000-0005-0000-0000-00002C8A0000}"/>
    <cellStyle name="Normal 80 2 3 2" xfId="11221" xr:uid="{00000000-0005-0000-0000-00002D8A0000}"/>
    <cellStyle name="Normal 80 2 3 2 2" xfId="20587" xr:uid="{00000000-0005-0000-0000-00002E8A0000}"/>
    <cellStyle name="Normal 80 2 3 2 2 2" xfId="33645" xr:uid="{00000000-0005-0000-0000-00002F8A0000}"/>
    <cellStyle name="Normal 80 2 3 2 3" xfId="20588" xr:uid="{00000000-0005-0000-0000-0000308A0000}"/>
    <cellStyle name="Normal 80 2 3 2 3 2" xfId="33646" xr:uid="{00000000-0005-0000-0000-0000318A0000}"/>
    <cellStyle name="Normal 80 2 3 2 4" xfId="24591" xr:uid="{00000000-0005-0000-0000-0000328A0000}"/>
    <cellStyle name="Normal 80 2 3 3" xfId="20589" xr:uid="{00000000-0005-0000-0000-0000338A0000}"/>
    <cellStyle name="Normal 80 2 3 3 2" xfId="33647" xr:uid="{00000000-0005-0000-0000-0000348A0000}"/>
    <cellStyle name="Normal 80 2 3 4" xfId="20590" xr:uid="{00000000-0005-0000-0000-0000358A0000}"/>
    <cellStyle name="Normal 80 2 3 4 2" xfId="33648" xr:uid="{00000000-0005-0000-0000-0000368A0000}"/>
    <cellStyle name="Normal 80 2 3 5" xfId="22435" xr:uid="{00000000-0005-0000-0000-0000378A0000}"/>
    <cellStyle name="Normal 80 2 4" xfId="10143" xr:uid="{00000000-0005-0000-0000-0000388A0000}"/>
    <cellStyle name="Normal 80 2 4 2" xfId="20591" xr:uid="{00000000-0005-0000-0000-0000398A0000}"/>
    <cellStyle name="Normal 80 2 4 2 2" xfId="33649" xr:uid="{00000000-0005-0000-0000-00003A8A0000}"/>
    <cellStyle name="Normal 80 2 4 3" xfId="20592" xr:uid="{00000000-0005-0000-0000-00003B8A0000}"/>
    <cellStyle name="Normal 80 2 4 3 2" xfId="33650" xr:uid="{00000000-0005-0000-0000-00003C8A0000}"/>
    <cellStyle name="Normal 80 2 4 4" xfId="23513" xr:uid="{00000000-0005-0000-0000-00003D8A0000}"/>
    <cellStyle name="Normal 80 2 5" xfId="20593" xr:uid="{00000000-0005-0000-0000-00003E8A0000}"/>
    <cellStyle name="Normal 80 2 5 2" xfId="33651" xr:uid="{00000000-0005-0000-0000-00003F8A0000}"/>
    <cellStyle name="Normal 80 2 6" xfId="20594" xr:uid="{00000000-0005-0000-0000-0000408A0000}"/>
    <cellStyle name="Normal 80 2 6 2" xfId="33652" xr:uid="{00000000-0005-0000-0000-0000418A0000}"/>
    <cellStyle name="Normal 80 2 7" xfId="21357" xr:uid="{00000000-0005-0000-0000-0000428A0000}"/>
    <cellStyle name="Normal 80 3" xfId="7234" xr:uid="{00000000-0005-0000-0000-0000438A0000}"/>
    <cellStyle name="Normal 80 3 2" xfId="9113" xr:uid="{00000000-0005-0000-0000-0000448A0000}"/>
    <cellStyle name="Normal 80 3 2 2" xfId="11492" xr:uid="{00000000-0005-0000-0000-0000458A0000}"/>
    <cellStyle name="Normal 80 3 2 2 2" xfId="20595" xr:uid="{00000000-0005-0000-0000-0000468A0000}"/>
    <cellStyle name="Normal 80 3 2 2 2 2" xfId="33653" xr:uid="{00000000-0005-0000-0000-0000478A0000}"/>
    <cellStyle name="Normal 80 3 2 2 3" xfId="20596" xr:uid="{00000000-0005-0000-0000-0000488A0000}"/>
    <cellStyle name="Normal 80 3 2 2 3 2" xfId="33654" xr:uid="{00000000-0005-0000-0000-0000498A0000}"/>
    <cellStyle name="Normal 80 3 2 2 4" xfId="24862" xr:uid="{00000000-0005-0000-0000-00004A8A0000}"/>
    <cellStyle name="Normal 80 3 2 3" xfId="20597" xr:uid="{00000000-0005-0000-0000-00004B8A0000}"/>
    <cellStyle name="Normal 80 3 2 3 2" xfId="33655" xr:uid="{00000000-0005-0000-0000-00004C8A0000}"/>
    <cellStyle name="Normal 80 3 2 4" xfId="20598" xr:uid="{00000000-0005-0000-0000-00004D8A0000}"/>
    <cellStyle name="Normal 80 3 2 4 2" xfId="33656" xr:uid="{00000000-0005-0000-0000-00004E8A0000}"/>
    <cellStyle name="Normal 80 3 2 5" xfId="22706" xr:uid="{00000000-0005-0000-0000-00004F8A0000}"/>
    <cellStyle name="Normal 80 3 3" xfId="10414" xr:uid="{00000000-0005-0000-0000-0000508A0000}"/>
    <cellStyle name="Normal 80 3 3 2" xfId="20599" xr:uid="{00000000-0005-0000-0000-0000518A0000}"/>
    <cellStyle name="Normal 80 3 3 2 2" xfId="33657" xr:uid="{00000000-0005-0000-0000-0000528A0000}"/>
    <cellStyle name="Normal 80 3 3 3" xfId="20600" xr:uid="{00000000-0005-0000-0000-0000538A0000}"/>
    <cellStyle name="Normal 80 3 3 3 2" xfId="33658" xr:uid="{00000000-0005-0000-0000-0000548A0000}"/>
    <cellStyle name="Normal 80 3 3 4" xfId="23784" xr:uid="{00000000-0005-0000-0000-0000558A0000}"/>
    <cellStyle name="Normal 80 3 4" xfId="20601" xr:uid="{00000000-0005-0000-0000-0000568A0000}"/>
    <cellStyle name="Normal 80 3 4 2" xfId="33659" xr:uid="{00000000-0005-0000-0000-0000578A0000}"/>
    <cellStyle name="Normal 80 3 5" xfId="20602" xr:uid="{00000000-0005-0000-0000-0000588A0000}"/>
    <cellStyle name="Normal 80 3 5 2" xfId="33660" xr:uid="{00000000-0005-0000-0000-0000598A0000}"/>
    <cellStyle name="Normal 80 3 6" xfId="21628" xr:uid="{00000000-0005-0000-0000-00005A8A0000}"/>
    <cellStyle name="Normal 80 4" xfId="8544" xr:uid="{00000000-0005-0000-0000-00005B8A0000}"/>
    <cellStyle name="Normal 80 4 2" xfId="10952" xr:uid="{00000000-0005-0000-0000-00005C8A0000}"/>
    <cellStyle name="Normal 80 4 2 2" xfId="20603" xr:uid="{00000000-0005-0000-0000-00005D8A0000}"/>
    <cellStyle name="Normal 80 4 2 2 2" xfId="33661" xr:uid="{00000000-0005-0000-0000-00005E8A0000}"/>
    <cellStyle name="Normal 80 4 2 3" xfId="20604" xr:uid="{00000000-0005-0000-0000-00005F8A0000}"/>
    <cellStyle name="Normal 80 4 2 3 2" xfId="33662" xr:uid="{00000000-0005-0000-0000-0000608A0000}"/>
    <cellStyle name="Normal 80 4 2 4" xfId="24322" xr:uid="{00000000-0005-0000-0000-0000618A0000}"/>
    <cellStyle name="Normal 80 4 3" xfId="20605" xr:uid="{00000000-0005-0000-0000-0000628A0000}"/>
    <cellStyle name="Normal 80 4 3 2" xfId="33663" xr:uid="{00000000-0005-0000-0000-0000638A0000}"/>
    <cellStyle name="Normal 80 4 4" xfId="20606" xr:uid="{00000000-0005-0000-0000-0000648A0000}"/>
    <cellStyle name="Normal 80 4 4 2" xfId="33664" xr:uid="{00000000-0005-0000-0000-0000658A0000}"/>
    <cellStyle name="Normal 80 4 5" xfId="22166" xr:uid="{00000000-0005-0000-0000-0000668A0000}"/>
    <cellStyle name="Normal 80 5" xfId="9874" xr:uid="{00000000-0005-0000-0000-0000678A0000}"/>
    <cellStyle name="Normal 80 5 2" xfId="20607" xr:uid="{00000000-0005-0000-0000-0000688A0000}"/>
    <cellStyle name="Normal 80 5 2 2" xfId="33665" xr:uid="{00000000-0005-0000-0000-0000698A0000}"/>
    <cellStyle name="Normal 80 5 3" xfId="20608" xr:uid="{00000000-0005-0000-0000-00006A8A0000}"/>
    <cellStyle name="Normal 80 5 3 2" xfId="33666" xr:uid="{00000000-0005-0000-0000-00006B8A0000}"/>
    <cellStyle name="Normal 80 5 4" xfId="23244" xr:uid="{00000000-0005-0000-0000-00006C8A0000}"/>
    <cellStyle name="Normal 80 6" xfId="20609" xr:uid="{00000000-0005-0000-0000-00006D8A0000}"/>
    <cellStyle name="Normal 80 6 2" xfId="33667" xr:uid="{00000000-0005-0000-0000-00006E8A0000}"/>
    <cellStyle name="Normal 80 7" xfId="20610" xr:uid="{00000000-0005-0000-0000-00006F8A0000}"/>
    <cellStyle name="Normal 80 7 2" xfId="33668" xr:uid="{00000000-0005-0000-0000-0000708A0000}"/>
    <cellStyle name="Normal 80 8" xfId="21088" xr:uid="{00000000-0005-0000-0000-0000718A0000}"/>
    <cellStyle name="Normal 81" xfId="6196" xr:uid="{00000000-0005-0000-0000-0000728A0000}"/>
    <cellStyle name="Normal 81 2" xfId="6820" xr:uid="{00000000-0005-0000-0000-0000738A0000}"/>
    <cellStyle name="Normal 81 2 2" xfId="7504" xr:uid="{00000000-0005-0000-0000-0000748A0000}"/>
    <cellStyle name="Normal 81 2 2 2" xfId="9383" xr:uid="{00000000-0005-0000-0000-0000758A0000}"/>
    <cellStyle name="Normal 81 2 2 2 2" xfId="11762" xr:uid="{00000000-0005-0000-0000-0000768A0000}"/>
    <cellStyle name="Normal 81 2 2 2 2 2" xfId="20611" xr:uid="{00000000-0005-0000-0000-0000778A0000}"/>
    <cellStyle name="Normal 81 2 2 2 2 2 2" xfId="33669" xr:uid="{00000000-0005-0000-0000-0000788A0000}"/>
    <cellStyle name="Normal 81 2 2 2 2 3" xfId="20612" xr:uid="{00000000-0005-0000-0000-0000798A0000}"/>
    <cellStyle name="Normal 81 2 2 2 2 3 2" xfId="33670" xr:uid="{00000000-0005-0000-0000-00007A8A0000}"/>
    <cellStyle name="Normal 81 2 2 2 2 4" xfId="25132" xr:uid="{00000000-0005-0000-0000-00007B8A0000}"/>
    <cellStyle name="Normal 81 2 2 2 3" xfId="20613" xr:uid="{00000000-0005-0000-0000-00007C8A0000}"/>
    <cellStyle name="Normal 81 2 2 2 3 2" xfId="33671" xr:uid="{00000000-0005-0000-0000-00007D8A0000}"/>
    <cellStyle name="Normal 81 2 2 2 4" xfId="20614" xr:uid="{00000000-0005-0000-0000-00007E8A0000}"/>
    <cellStyle name="Normal 81 2 2 2 4 2" xfId="33672" xr:uid="{00000000-0005-0000-0000-00007F8A0000}"/>
    <cellStyle name="Normal 81 2 2 2 5" xfId="22976" xr:uid="{00000000-0005-0000-0000-0000808A0000}"/>
    <cellStyle name="Normal 81 2 2 3" xfId="10684" xr:uid="{00000000-0005-0000-0000-0000818A0000}"/>
    <cellStyle name="Normal 81 2 2 3 2" xfId="20615" xr:uid="{00000000-0005-0000-0000-0000828A0000}"/>
    <cellStyle name="Normal 81 2 2 3 2 2" xfId="33673" xr:uid="{00000000-0005-0000-0000-0000838A0000}"/>
    <cellStyle name="Normal 81 2 2 3 3" xfId="20616" xr:uid="{00000000-0005-0000-0000-0000848A0000}"/>
    <cellStyle name="Normal 81 2 2 3 3 2" xfId="33674" xr:uid="{00000000-0005-0000-0000-0000858A0000}"/>
    <cellStyle name="Normal 81 2 2 3 4" xfId="24054" xr:uid="{00000000-0005-0000-0000-0000868A0000}"/>
    <cellStyle name="Normal 81 2 2 4" xfId="20617" xr:uid="{00000000-0005-0000-0000-0000878A0000}"/>
    <cellStyle name="Normal 81 2 2 4 2" xfId="33675" xr:uid="{00000000-0005-0000-0000-0000888A0000}"/>
    <cellStyle name="Normal 81 2 2 5" xfId="20618" xr:uid="{00000000-0005-0000-0000-0000898A0000}"/>
    <cellStyle name="Normal 81 2 2 5 2" xfId="33676" xr:uid="{00000000-0005-0000-0000-00008A8A0000}"/>
    <cellStyle name="Normal 81 2 2 6" xfId="21898" xr:uid="{00000000-0005-0000-0000-00008B8A0000}"/>
    <cellStyle name="Normal 81 2 3" xfId="8837" xr:uid="{00000000-0005-0000-0000-00008C8A0000}"/>
    <cellStyle name="Normal 81 2 3 2" xfId="11222" xr:uid="{00000000-0005-0000-0000-00008D8A0000}"/>
    <cellStyle name="Normal 81 2 3 2 2" xfId="20619" xr:uid="{00000000-0005-0000-0000-00008E8A0000}"/>
    <cellStyle name="Normal 81 2 3 2 2 2" xfId="33677" xr:uid="{00000000-0005-0000-0000-00008F8A0000}"/>
    <cellStyle name="Normal 81 2 3 2 3" xfId="20620" xr:uid="{00000000-0005-0000-0000-0000908A0000}"/>
    <cellStyle name="Normal 81 2 3 2 3 2" xfId="33678" xr:uid="{00000000-0005-0000-0000-0000918A0000}"/>
    <cellStyle name="Normal 81 2 3 2 4" xfId="24592" xr:uid="{00000000-0005-0000-0000-0000928A0000}"/>
    <cellStyle name="Normal 81 2 3 3" xfId="20621" xr:uid="{00000000-0005-0000-0000-0000938A0000}"/>
    <cellStyle name="Normal 81 2 3 3 2" xfId="33679" xr:uid="{00000000-0005-0000-0000-0000948A0000}"/>
    <cellStyle name="Normal 81 2 3 4" xfId="20622" xr:uid="{00000000-0005-0000-0000-0000958A0000}"/>
    <cellStyle name="Normal 81 2 3 4 2" xfId="33680" xr:uid="{00000000-0005-0000-0000-0000968A0000}"/>
    <cellStyle name="Normal 81 2 3 5" xfId="22436" xr:uid="{00000000-0005-0000-0000-0000978A0000}"/>
    <cellStyle name="Normal 81 2 4" xfId="10144" xr:uid="{00000000-0005-0000-0000-0000988A0000}"/>
    <cellStyle name="Normal 81 2 4 2" xfId="20623" xr:uid="{00000000-0005-0000-0000-0000998A0000}"/>
    <cellStyle name="Normal 81 2 4 2 2" xfId="33681" xr:uid="{00000000-0005-0000-0000-00009A8A0000}"/>
    <cellStyle name="Normal 81 2 4 3" xfId="20624" xr:uid="{00000000-0005-0000-0000-00009B8A0000}"/>
    <cellStyle name="Normal 81 2 4 3 2" xfId="33682" xr:uid="{00000000-0005-0000-0000-00009C8A0000}"/>
    <cellStyle name="Normal 81 2 4 4" xfId="23514" xr:uid="{00000000-0005-0000-0000-00009D8A0000}"/>
    <cellStyle name="Normal 81 2 5" xfId="20625" xr:uid="{00000000-0005-0000-0000-00009E8A0000}"/>
    <cellStyle name="Normal 81 2 5 2" xfId="33683" xr:uid="{00000000-0005-0000-0000-00009F8A0000}"/>
    <cellStyle name="Normal 81 2 6" xfId="20626" xr:uid="{00000000-0005-0000-0000-0000A08A0000}"/>
    <cellStyle name="Normal 81 2 6 2" xfId="33684" xr:uid="{00000000-0005-0000-0000-0000A18A0000}"/>
    <cellStyle name="Normal 81 2 7" xfId="21358" xr:uid="{00000000-0005-0000-0000-0000A28A0000}"/>
    <cellStyle name="Normal 81 3" xfId="7235" xr:uid="{00000000-0005-0000-0000-0000A38A0000}"/>
    <cellStyle name="Normal 81 3 2" xfId="9114" xr:uid="{00000000-0005-0000-0000-0000A48A0000}"/>
    <cellStyle name="Normal 81 3 2 2" xfId="11493" xr:uid="{00000000-0005-0000-0000-0000A58A0000}"/>
    <cellStyle name="Normal 81 3 2 2 2" xfId="20627" xr:uid="{00000000-0005-0000-0000-0000A68A0000}"/>
    <cellStyle name="Normal 81 3 2 2 2 2" xfId="33685" xr:uid="{00000000-0005-0000-0000-0000A78A0000}"/>
    <cellStyle name="Normal 81 3 2 2 3" xfId="20628" xr:uid="{00000000-0005-0000-0000-0000A88A0000}"/>
    <cellStyle name="Normal 81 3 2 2 3 2" xfId="33686" xr:uid="{00000000-0005-0000-0000-0000A98A0000}"/>
    <cellStyle name="Normal 81 3 2 2 4" xfId="24863" xr:uid="{00000000-0005-0000-0000-0000AA8A0000}"/>
    <cellStyle name="Normal 81 3 2 3" xfId="20629" xr:uid="{00000000-0005-0000-0000-0000AB8A0000}"/>
    <cellStyle name="Normal 81 3 2 3 2" xfId="33687" xr:uid="{00000000-0005-0000-0000-0000AC8A0000}"/>
    <cellStyle name="Normal 81 3 2 4" xfId="20630" xr:uid="{00000000-0005-0000-0000-0000AD8A0000}"/>
    <cellStyle name="Normal 81 3 2 4 2" xfId="33688" xr:uid="{00000000-0005-0000-0000-0000AE8A0000}"/>
    <cellStyle name="Normal 81 3 2 5" xfId="22707" xr:uid="{00000000-0005-0000-0000-0000AF8A0000}"/>
    <cellStyle name="Normal 81 3 3" xfId="10415" xr:uid="{00000000-0005-0000-0000-0000B08A0000}"/>
    <cellStyle name="Normal 81 3 3 2" xfId="20631" xr:uid="{00000000-0005-0000-0000-0000B18A0000}"/>
    <cellStyle name="Normal 81 3 3 2 2" xfId="33689" xr:uid="{00000000-0005-0000-0000-0000B28A0000}"/>
    <cellStyle name="Normal 81 3 3 3" xfId="20632" xr:uid="{00000000-0005-0000-0000-0000B38A0000}"/>
    <cellStyle name="Normal 81 3 3 3 2" xfId="33690" xr:uid="{00000000-0005-0000-0000-0000B48A0000}"/>
    <cellStyle name="Normal 81 3 3 4" xfId="23785" xr:uid="{00000000-0005-0000-0000-0000B58A0000}"/>
    <cellStyle name="Normal 81 3 4" xfId="20633" xr:uid="{00000000-0005-0000-0000-0000B68A0000}"/>
    <cellStyle name="Normal 81 3 4 2" xfId="33691" xr:uid="{00000000-0005-0000-0000-0000B78A0000}"/>
    <cellStyle name="Normal 81 3 5" xfId="20634" xr:uid="{00000000-0005-0000-0000-0000B88A0000}"/>
    <cellStyle name="Normal 81 3 5 2" xfId="33692" xr:uid="{00000000-0005-0000-0000-0000B98A0000}"/>
    <cellStyle name="Normal 81 3 6" xfId="21629" xr:uid="{00000000-0005-0000-0000-0000BA8A0000}"/>
    <cellStyle name="Normal 81 4" xfId="8546" xr:uid="{00000000-0005-0000-0000-0000BB8A0000}"/>
    <cellStyle name="Normal 81 4 2" xfId="10953" xr:uid="{00000000-0005-0000-0000-0000BC8A0000}"/>
    <cellStyle name="Normal 81 4 2 2" xfId="20635" xr:uid="{00000000-0005-0000-0000-0000BD8A0000}"/>
    <cellStyle name="Normal 81 4 2 2 2" xfId="33693" xr:uid="{00000000-0005-0000-0000-0000BE8A0000}"/>
    <cellStyle name="Normal 81 4 2 3" xfId="20636" xr:uid="{00000000-0005-0000-0000-0000BF8A0000}"/>
    <cellStyle name="Normal 81 4 2 3 2" xfId="33694" xr:uid="{00000000-0005-0000-0000-0000C08A0000}"/>
    <cellStyle name="Normal 81 4 2 4" xfId="24323" xr:uid="{00000000-0005-0000-0000-0000C18A0000}"/>
    <cellStyle name="Normal 81 4 3" xfId="20637" xr:uid="{00000000-0005-0000-0000-0000C28A0000}"/>
    <cellStyle name="Normal 81 4 3 2" xfId="33695" xr:uid="{00000000-0005-0000-0000-0000C38A0000}"/>
    <cellStyle name="Normal 81 4 4" xfId="20638" xr:uid="{00000000-0005-0000-0000-0000C48A0000}"/>
    <cellStyle name="Normal 81 4 4 2" xfId="33696" xr:uid="{00000000-0005-0000-0000-0000C58A0000}"/>
    <cellStyle name="Normal 81 4 5" xfId="22167" xr:uid="{00000000-0005-0000-0000-0000C68A0000}"/>
    <cellStyle name="Normal 81 5" xfId="9875" xr:uid="{00000000-0005-0000-0000-0000C78A0000}"/>
    <cellStyle name="Normal 81 5 2" xfId="20639" xr:uid="{00000000-0005-0000-0000-0000C88A0000}"/>
    <cellStyle name="Normal 81 5 2 2" xfId="33697" xr:uid="{00000000-0005-0000-0000-0000C98A0000}"/>
    <cellStyle name="Normal 81 5 3" xfId="20640" xr:uid="{00000000-0005-0000-0000-0000CA8A0000}"/>
    <cellStyle name="Normal 81 5 3 2" xfId="33698" xr:uid="{00000000-0005-0000-0000-0000CB8A0000}"/>
    <cellStyle name="Normal 81 5 4" xfId="23245" xr:uid="{00000000-0005-0000-0000-0000CC8A0000}"/>
    <cellStyle name="Normal 81 6" xfId="20641" xr:uid="{00000000-0005-0000-0000-0000CD8A0000}"/>
    <cellStyle name="Normal 81 6 2" xfId="33699" xr:uid="{00000000-0005-0000-0000-0000CE8A0000}"/>
    <cellStyle name="Normal 81 7" xfId="20642" xr:uid="{00000000-0005-0000-0000-0000CF8A0000}"/>
    <cellStyle name="Normal 81 7 2" xfId="33700" xr:uid="{00000000-0005-0000-0000-0000D08A0000}"/>
    <cellStyle name="Normal 81 8" xfId="21089" xr:uid="{00000000-0005-0000-0000-0000D18A0000}"/>
    <cellStyle name="Normal 82" xfId="6250" xr:uid="{00000000-0005-0000-0000-0000D28A0000}"/>
    <cellStyle name="Normal 82 2" xfId="6821" xr:uid="{00000000-0005-0000-0000-0000D38A0000}"/>
    <cellStyle name="Normal 82 2 2" xfId="7505" xr:uid="{00000000-0005-0000-0000-0000D48A0000}"/>
    <cellStyle name="Normal 82 2 2 2" xfId="9384" xr:uid="{00000000-0005-0000-0000-0000D58A0000}"/>
    <cellStyle name="Normal 82 2 2 2 2" xfId="11763" xr:uid="{00000000-0005-0000-0000-0000D68A0000}"/>
    <cellStyle name="Normal 82 2 2 2 2 2" xfId="20643" xr:uid="{00000000-0005-0000-0000-0000D78A0000}"/>
    <cellStyle name="Normal 82 2 2 2 2 2 2" xfId="33701" xr:uid="{00000000-0005-0000-0000-0000D88A0000}"/>
    <cellStyle name="Normal 82 2 2 2 2 3" xfId="20644" xr:uid="{00000000-0005-0000-0000-0000D98A0000}"/>
    <cellStyle name="Normal 82 2 2 2 2 3 2" xfId="33702" xr:uid="{00000000-0005-0000-0000-0000DA8A0000}"/>
    <cellStyle name="Normal 82 2 2 2 2 4" xfId="25133" xr:uid="{00000000-0005-0000-0000-0000DB8A0000}"/>
    <cellStyle name="Normal 82 2 2 2 3" xfId="20645" xr:uid="{00000000-0005-0000-0000-0000DC8A0000}"/>
    <cellStyle name="Normal 82 2 2 2 3 2" xfId="33703" xr:uid="{00000000-0005-0000-0000-0000DD8A0000}"/>
    <cellStyle name="Normal 82 2 2 2 4" xfId="20646" xr:uid="{00000000-0005-0000-0000-0000DE8A0000}"/>
    <cellStyle name="Normal 82 2 2 2 4 2" xfId="33704" xr:uid="{00000000-0005-0000-0000-0000DF8A0000}"/>
    <cellStyle name="Normal 82 2 2 2 5" xfId="22977" xr:uid="{00000000-0005-0000-0000-0000E08A0000}"/>
    <cellStyle name="Normal 82 2 2 3" xfId="10685" xr:uid="{00000000-0005-0000-0000-0000E18A0000}"/>
    <cellStyle name="Normal 82 2 2 3 2" xfId="20647" xr:uid="{00000000-0005-0000-0000-0000E28A0000}"/>
    <cellStyle name="Normal 82 2 2 3 2 2" xfId="33705" xr:uid="{00000000-0005-0000-0000-0000E38A0000}"/>
    <cellStyle name="Normal 82 2 2 3 3" xfId="20648" xr:uid="{00000000-0005-0000-0000-0000E48A0000}"/>
    <cellStyle name="Normal 82 2 2 3 3 2" xfId="33706" xr:uid="{00000000-0005-0000-0000-0000E58A0000}"/>
    <cellStyle name="Normal 82 2 2 3 4" xfId="24055" xr:uid="{00000000-0005-0000-0000-0000E68A0000}"/>
    <cellStyle name="Normal 82 2 2 4" xfId="20649" xr:uid="{00000000-0005-0000-0000-0000E78A0000}"/>
    <cellStyle name="Normal 82 2 2 4 2" xfId="33707" xr:uid="{00000000-0005-0000-0000-0000E88A0000}"/>
    <cellStyle name="Normal 82 2 2 5" xfId="20650" xr:uid="{00000000-0005-0000-0000-0000E98A0000}"/>
    <cellStyle name="Normal 82 2 2 5 2" xfId="33708" xr:uid="{00000000-0005-0000-0000-0000EA8A0000}"/>
    <cellStyle name="Normal 82 2 2 6" xfId="21899" xr:uid="{00000000-0005-0000-0000-0000EB8A0000}"/>
    <cellStyle name="Normal 82 2 3" xfId="8838" xr:uid="{00000000-0005-0000-0000-0000EC8A0000}"/>
    <cellStyle name="Normal 82 2 3 2" xfId="11223" xr:uid="{00000000-0005-0000-0000-0000ED8A0000}"/>
    <cellStyle name="Normal 82 2 3 2 2" xfId="20651" xr:uid="{00000000-0005-0000-0000-0000EE8A0000}"/>
    <cellStyle name="Normal 82 2 3 2 2 2" xfId="33709" xr:uid="{00000000-0005-0000-0000-0000EF8A0000}"/>
    <cellStyle name="Normal 82 2 3 2 3" xfId="20652" xr:uid="{00000000-0005-0000-0000-0000F08A0000}"/>
    <cellStyle name="Normal 82 2 3 2 3 2" xfId="33710" xr:uid="{00000000-0005-0000-0000-0000F18A0000}"/>
    <cellStyle name="Normal 82 2 3 2 4" xfId="24593" xr:uid="{00000000-0005-0000-0000-0000F28A0000}"/>
    <cellStyle name="Normal 82 2 3 3" xfId="20653" xr:uid="{00000000-0005-0000-0000-0000F38A0000}"/>
    <cellStyle name="Normal 82 2 3 3 2" xfId="33711" xr:uid="{00000000-0005-0000-0000-0000F48A0000}"/>
    <cellStyle name="Normal 82 2 3 4" xfId="20654" xr:uid="{00000000-0005-0000-0000-0000F58A0000}"/>
    <cellStyle name="Normal 82 2 3 4 2" xfId="33712" xr:uid="{00000000-0005-0000-0000-0000F68A0000}"/>
    <cellStyle name="Normal 82 2 3 5" xfId="22437" xr:uid="{00000000-0005-0000-0000-0000F78A0000}"/>
    <cellStyle name="Normal 82 2 4" xfId="10145" xr:uid="{00000000-0005-0000-0000-0000F88A0000}"/>
    <cellStyle name="Normal 82 2 4 2" xfId="20655" xr:uid="{00000000-0005-0000-0000-0000F98A0000}"/>
    <cellStyle name="Normal 82 2 4 2 2" xfId="33713" xr:uid="{00000000-0005-0000-0000-0000FA8A0000}"/>
    <cellStyle name="Normal 82 2 4 3" xfId="20656" xr:uid="{00000000-0005-0000-0000-0000FB8A0000}"/>
    <cellStyle name="Normal 82 2 4 3 2" xfId="33714" xr:uid="{00000000-0005-0000-0000-0000FC8A0000}"/>
    <cellStyle name="Normal 82 2 4 4" xfId="23515" xr:uid="{00000000-0005-0000-0000-0000FD8A0000}"/>
    <cellStyle name="Normal 82 2 5" xfId="20657" xr:uid="{00000000-0005-0000-0000-0000FE8A0000}"/>
    <cellStyle name="Normal 82 2 5 2" xfId="33715" xr:uid="{00000000-0005-0000-0000-0000FF8A0000}"/>
    <cellStyle name="Normal 82 2 6" xfId="20658" xr:uid="{00000000-0005-0000-0000-0000008B0000}"/>
    <cellStyle name="Normal 82 2 6 2" xfId="33716" xr:uid="{00000000-0005-0000-0000-0000018B0000}"/>
    <cellStyle name="Normal 82 2 7" xfId="21359" xr:uid="{00000000-0005-0000-0000-0000028B0000}"/>
    <cellStyle name="Normal 82 3" xfId="7236" xr:uid="{00000000-0005-0000-0000-0000038B0000}"/>
    <cellStyle name="Normal 82 3 2" xfId="9115" xr:uid="{00000000-0005-0000-0000-0000048B0000}"/>
    <cellStyle name="Normal 82 3 2 2" xfId="11494" xr:uid="{00000000-0005-0000-0000-0000058B0000}"/>
    <cellStyle name="Normal 82 3 2 2 2" xfId="20659" xr:uid="{00000000-0005-0000-0000-0000068B0000}"/>
    <cellStyle name="Normal 82 3 2 2 2 2" xfId="33717" xr:uid="{00000000-0005-0000-0000-0000078B0000}"/>
    <cellStyle name="Normal 82 3 2 2 3" xfId="20660" xr:uid="{00000000-0005-0000-0000-0000088B0000}"/>
    <cellStyle name="Normal 82 3 2 2 3 2" xfId="33718" xr:uid="{00000000-0005-0000-0000-0000098B0000}"/>
    <cellStyle name="Normal 82 3 2 2 4" xfId="24864" xr:uid="{00000000-0005-0000-0000-00000A8B0000}"/>
    <cellStyle name="Normal 82 3 2 3" xfId="20661" xr:uid="{00000000-0005-0000-0000-00000B8B0000}"/>
    <cellStyle name="Normal 82 3 2 3 2" xfId="33719" xr:uid="{00000000-0005-0000-0000-00000C8B0000}"/>
    <cellStyle name="Normal 82 3 2 4" xfId="20662" xr:uid="{00000000-0005-0000-0000-00000D8B0000}"/>
    <cellStyle name="Normal 82 3 2 4 2" xfId="33720" xr:uid="{00000000-0005-0000-0000-00000E8B0000}"/>
    <cellStyle name="Normal 82 3 2 5" xfId="22708" xr:uid="{00000000-0005-0000-0000-00000F8B0000}"/>
    <cellStyle name="Normal 82 3 3" xfId="10416" xr:uid="{00000000-0005-0000-0000-0000108B0000}"/>
    <cellStyle name="Normal 82 3 3 2" xfId="20663" xr:uid="{00000000-0005-0000-0000-0000118B0000}"/>
    <cellStyle name="Normal 82 3 3 2 2" xfId="33721" xr:uid="{00000000-0005-0000-0000-0000128B0000}"/>
    <cellStyle name="Normal 82 3 3 3" xfId="20664" xr:uid="{00000000-0005-0000-0000-0000138B0000}"/>
    <cellStyle name="Normal 82 3 3 3 2" xfId="33722" xr:uid="{00000000-0005-0000-0000-0000148B0000}"/>
    <cellStyle name="Normal 82 3 3 4" xfId="23786" xr:uid="{00000000-0005-0000-0000-0000158B0000}"/>
    <cellStyle name="Normal 82 3 4" xfId="20665" xr:uid="{00000000-0005-0000-0000-0000168B0000}"/>
    <cellStyle name="Normal 82 3 4 2" xfId="33723" xr:uid="{00000000-0005-0000-0000-0000178B0000}"/>
    <cellStyle name="Normal 82 3 5" xfId="20666" xr:uid="{00000000-0005-0000-0000-0000188B0000}"/>
    <cellStyle name="Normal 82 3 5 2" xfId="33724" xr:uid="{00000000-0005-0000-0000-0000198B0000}"/>
    <cellStyle name="Normal 82 3 6" xfId="21630" xr:uid="{00000000-0005-0000-0000-00001A8B0000}"/>
    <cellStyle name="Normal 82 4" xfId="8554" xr:uid="{00000000-0005-0000-0000-00001B8B0000}"/>
    <cellStyle name="Normal 82 4 2" xfId="10954" xr:uid="{00000000-0005-0000-0000-00001C8B0000}"/>
    <cellStyle name="Normal 82 4 2 2" xfId="20667" xr:uid="{00000000-0005-0000-0000-00001D8B0000}"/>
    <cellStyle name="Normal 82 4 2 2 2" xfId="33725" xr:uid="{00000000-0005-0000-0000-00001E8B0000}"/>
    <cellStyle name="Normal 82 4 2 3" xfId="20668" xr:uid="{00000000-0005-0000-0000-00001F8B0000}"/>
    <cellStyle name="Normal 82 4 2 3 2" xfId="33726" xr:uid="{00000000-0005-0000-0000-0000208B0000}"/>
    <cellStyle name="Normal 82 4 2 4" xfId="24324" xr:uid="{00000000-0005-0000-0000-0000218B0000}"/>
    <cellStyle name="Normal 82 4 3" xfId="20669" xr:uid="{00000000-0005-0000-0000-0000228B0000}"/>
    <cellStyle name="Normal 82 4 3 2" xfId="33727" xr:uid="{00000000-0005-0000-0000-0000238B0000}"/>
    <cellStyle name="Normal 82 4 4" xfId="20670" xr:uid="{00000000-0005-0000-0000-0000248B0000}"/>
    <cellStyle name="Normal 82 4 4 2" xfId="33728" xr:uid="{00000000-0005-0000-0000-0000258B0000}"/>
    <cellStyle name="Normal 82 4 5" xfId="22168" xr:uid="{00000000-0005-0000-0000-0000268B0000}"/>
    <cellStyle name="Normal 82 5" xfId="9876" xr:uid="{00000000-0005-0000-0000-0000278B0000}"/>
    <cellStyle name="Normal 82 5 2" xfId="20671" xr:uid="{00000000-0005-0000-0000-0000288B0000}"/>
    <cellStyle name="Normal 82 5 2 2" xfId="33729" xr:uid="{00000000-0005-0000-0000-0000298B0000}"/>
    <cellStyle name="Normal 82 5 3" xfId="20672" xr:uid="{00000000-0005-0000-0000-00002A8B0000}"/>
    <cellStyle name="Normal 82 5 3 2" xfId="33730" xr:uid="{00000000-0005-0000-0000-00002B8B0000}"/>
    <cellStyle name="Normal 82 5 4" xfId="23246" xr:uid="{00000000-0005-0000-0000-00002C8B0000}"/>
    <cellStyle name="Normal 82 6" xfId="20673" xr:uid="{00000000-0005-0000-0000-00002D8B0000}"/>
    <cellStyle name="Normal 82 6 2" xfId="33731" xr:uid="{00000000-0005-0000-0000-00002E8B0000}"/>
    <cellStyle name="Normal 82 7" xfId="20674" xr:uid="{00000000-0005-0000-0000-00002F8B0000}"/>
    <cellStyle name="Normal 82 7 2" xfId="33732" xr:uid="{00000000-0005-0000-0000-0000308B0000}"/>
    <cellStyle name="Normal 82 8" xfId="21090" xr:uid="{00000000-0005-0000-0000-0000318B0000}"/>
    <cellStyle name="Normal 83" xfId="6251" xr:uid="{00000000-0005-0000-0000-0000328B0000}"/>
    <cellStyle name="Normal 83 2" xfId="6822" xr:uid="{00000000-0005-0000-0000-0000338B0000}"/>
    <cellStyle name="Normal 83 2 2" xfId="7506" xr:uid="{00000000-0005-0000-0000-0000348B0000}"/>
    <cellStyle name="Normal 83 2 2 2" xfId="9385" xr:uid="{00000000-0005-0000-0000-0000358B0000}"/>
    <cellStyle name="Normal 83 2 2 2 2" xfId="11764" xr:uid="{00000000-0005-0000-0000-0000368B0000}"/>
    <cellStyle name="Normal 83 2 2 2 2 2" xfId="20675" xr:uid="{00000000-0005-0000-0000-0000378B0000}"/>
    <cellStyle name="Normal 83 2 2 2 2 2 2" xfId="33733" xr:uid="{00000000-0005-0000-0000-0000388B0000}"/>
    <cellStyle name="Normal 83 2 2 2 2 3" xfId="20676" xr:uid="{00000000-0005-0000-0000-0000398B0000}"/>
    <cellStyle name="Normal 83 2 2 2 2 3 2" xfId="33734" xr:uid="{00000000-0005-0000-0000-00003A8B0000}"/>
    <cellStyle name="Normal 83 2 2 2 2 4" xfId="25134" xr:uid="{00000000-0005-0000-0000-00003B8B0000}"/>
    <cellStyle name="Normal 83 2 2 2 3" xfId="20677" xr:uid="{00000000-0005-0000-0000-00003C8B0000}"/>
    <cellStyle name="Normal 83 2 2 2 3 2" xfId="33735" xr:uid="{00000000-0005-0000-0000-00003D8B0000}"/>
    <cellStyle name="Normal 83 2 2 2 4" xfId="20678" xr:uid="{00000000-0005-0000-0000-00003E8B0000}"/>
    <cellStyle name="Normal 83 2 2 2 4 2" xfId="33736" xr:uid="{00000000-0005-0000-0000-00003F8B0000}"/>
    <cellStyle name="Normal 83 2 2 2 5" xfId="22978" xr:uid="{00000000-0005-0000-0000-0000408B0000}"/>
    <cellStyle name="Normal 83 2 2 3" xfId="10686" xr:uid="{00000000-0005-0000-0000-0000418B0000}"/>
    <cellStyle name="Normal 83 2 2 3 2" xfId="20679" xr:uid="{00000000-0005-0000-0000-0000428B0000}"/>
    <cellStyle name="Normal 83 2 2 3 2 2" xfId="33737" xr:uid="{00000000-0005-0000-0000-0000438B0000}"/>
    <cellStyle name="Normal 83 2 2 3 3" xfId="20680" xr:uid="{00000000-0005-0000-0000-0000448B0000}"/>
    <cellStyle name="Normal 83 2 2 3 3 2" xfId="33738" xr:uid="{00000000-0005-0000-0000-0000458B0000}"/>
    <cellStyle name="Normal 83 2 2 3 4" xfId="24056" xr:uid="{00000000-0005-0000-0000-0000468B0000}"/>
    <cellStyle name="Normal 83 2 2 4" xfId="20681" xr:uid="{00000000-0005-0000-0000-0000478B0000}"/>
    <cellStyle name="Normal 83 2 2 4 2" xfId="33739" xr:uid="{00000000-0005-0000-0000-0000488B0000}"/>
    <cellStyle name="Normal 83 2 2 5" xfId="20682" xr:uid="{00000000-0005-0000-0000-0000498B0000}"/>
    <cellStyle name="Normal 83 2 2 5 2" xfId="33740" xr:uid="{00000000-0005-0000-0000-00004A8B0000}"/>
    <cellStyle name="Normal 83 2 2 6" xfId="21900" xr:uid="{00000000-0005-0000-0000-00004B8B0000}"/>
    <cellStyle name="Normal 83 2 3" xfId="8839" xr:uid="{00000000-0005-0000-0000-00004C8B0000}"/>
    <cellStyle name="Normal 83 2 3 2" xfId="11224" xr:uid="{00000000-0005-0000-0000-00004D8B0000}"/>
    <cellStyle name="Normal 83 2 3 2 2" xfId="20683" xr:uid="{00000000-0005-0000-0000-00004E8B0000}"/>
    <cellStyle name="Normal 83 2 3 2 2 2" xfId="33741" xr:uid="{00000000-0005-0000-0000-00004F8B0000}"/>
    <cellStyle name="Normal 83 2 3 2 3" xfId="20684" xr:uid="{00000000-0005-0000-0000-0000508B0000}"/>
    <cellStyle name="Normal 83 2 3 2 3 2" xfId="33742" xr:uid="{00000000-0005-0000-0000-0000518B0000}"/>
    <cellStyle name="Normal 83 2 3 2 4" xfId="24594" xr:uid="{00000000-0005-0000-0000-0000528B0000}"/>
    <cellStyle name="Normal 83 2 3 3" xfId="20685" xr:uid="{00000000-0005-0000-0000-0000538B0000}"/>
    <cellStyle name="Normal 83 2 3 3 2" xfId="33743" xr:uid="{00000000-0005-0000-0000-0000548B0000}"/>
    <cellStyle name="Normal 83 2 3 4" xfId="20686" xr:uid="{00000000-0005-0000-0000-0000558B0000}"/>
    <cellStyle name="Normal 83 2 3 4 2" xfId="33744" xr:uid="{00000000-0005-0000-0000-0000568B0000}"/>
    <cellStyle name="Normal 83 2 3 5" xfId="22438" xr:uid="{00000000-0005-0000-0000-0000578B0000}"/>
    <cellStyle name="Normal 83 2 4" xfId="10146" xr:uid="{00000000-0005-0000-0000-0000588B0000}"/>
    <cellStyle name="Normal 83 2 4 2" xfId="20687" xr:uid="{00000000-0005-0000-0000-0000598B0000}"/>
    <cellStyle name="Normal 83 2 4 2 2" xfId="33745" xr:uid="{00000000-0005-0000-0000-00005A8B0000}"/>
    <cellStyle name="Normal 83 2 4 3" xfId="20688" xr:uid="{00000000-0005-0000-0000-00005B8B0000}"/>
    <cellStyle name="Normal 83 2 4 3 2" xfId="33746" xr:uid="{00000000-0005-0000-0000-00005C8B0000}"/>
    <cellStyle name="Normal 83 2 4 4" xfId="23516" xr:uid="{00000000-0005-0000-0000-00005D8B0000}"/>
    <cellStyle name="Normal 83 2 5" xfId="20689" xr:uid="{00000000-0005-0000-0000-00005E8B0000}"/>
    <cellStyle name="Normal 83 2 5 2" xfId="33747" xr:uid="{00000000-0005-0000-0000-00005F8B0000}"/>
    <cellStyle name="Normal 83 2 6" xfId="20690" xr:uid="{00000000-0005-0000-0000-0000608B0000}"/>
    <cellStyle name="Normal 83 2 6 2" xfId="33748" xr:uid="{00000000-0005-0000-0000-0000618B0000}"/>
    <cellStyle name="Normal 83 2 7" xfId="21360" xr:uid="{00000000-0005-0000-0000-0000628B0000}"/>
    <cellStyle name="Normal 83 3" xfId="7237" xr:uid="{00000000-0005-0000-0000-0000638B0000}"/>
    <cellStyle name="Normal 83 3 2" xfId="9116" xr:uid="{00000000-0005-0000-0000-0000648B0000}"/>
    <cellStyle name="Normal 83 3 2 2" xfId="11495" xr:uid="{00000000-0005-0000-0000-0000658B0000}"/>
    <cellStyle name="Normal 83 3 2 2 2" xfId="20691" xr:uid="{00000000-0005-0000-0000-0000668B0000}"/>
    <cellStyle name="Normal 83 3 2 2 2 2" xfId="33749" xr:uid="{00000000-0005-0000-0000-0000678B0000}"/>
    <cellStyle name="Normal 83 3 2 2 3" xfId="20692" xr:uid="{00000000-0005-0000-0000-0000688B0000}"/>
    <cellStyle name="Normal 83 3 2 2 3 2" xfId="33750" xr:uid="{00000000-0005-0000-0000-0000698B0000}"/>
    <cellStyle name="Normal 83 3 2 2 4" xfId="24865" xr:uid="{00000000-0005-0000-0000-00006A8B0000}"/>
    <cellStyle name="Normal 83 3 2 3" xfId="20693" xr:uid="{00000000-0005-0000-0000-00006B8B0000}"/>
    <cellStyle name="Normal 83 3 2 3 2" xfId="33751" xr:uid="{00000000-0005-0000-0000-00006C8B0000}"/>
    <cellStyle name="Normal 83 3 2 4" xfId="20694" xr:uid="{00000000-0005-0000-0000-00006D8B0000}"/>
    <cellStyle name="Normal 83 3 2 4 2" xfId="33752" xr:uid="{00000000-0005-0000-0000-00006E8B0000}"/>
    <cellStyle name="Normal 83 3 2 5" xfId="22709" xr:uid="{00000000-0005-0000-0000-00006F8B0000}"/>
    <cellStyle name="Normal 83 3 3" xfId="10417" xr:uid="{00000000-0005-0000-0000-0000708B0000}"/>
    <cellStyle name="Normal 83 3 3 2" xfId="20695" xr:uid="{00000000-0005-0000-0000-0000718B0000}"/>
    <cellStyle name="Normal 83 3 3 2 2" xfId="33753" xr:uid="{00000000-0005-0000-0000-0000728B0000}"/>
    <cellStyle name="Normal 83 3 3 3" xfId="20696" xr:uid="{00000000-0005-0000-0000-0000738B0000}"/>
    <cellStyle name="Normal 83 3 3 3 2" xfId="33754" xr:uid="{00000000-0005-0000-0000-0000748B0000}"/>
    <cellStyle name="Normal 83 3 3 4" xfId="23787" xr:uid="{00000000-0005-0000-0000-0000758B0000}"/>
    <cellStyle name="Normal 83 3 4" xfId="20697" xr:uid="{00000000-0005-0000-0000-0000768B0000}"/>
    <cellStyle name="Normal 83 3 4 2" xfId="33755" xr:uid="{00000000-0005-0000-0000-0000778B0000}"/>
    <cellStyle name="Normal 83 3 5" xfId="20698" xr:uid="{00000000-0005-0000-0000-0000788B0000}"/>
    <cellStyle name="Normal 83 3 5 2" xfId="33756" xr:uid="{00000000-0005-0000-0000-0000798B0000}"/>
    <cellStyle name="Normal 83 3 6" xfId="21631" xr:uid="{00000000-0005-0000-0000-00007A8B0000}"/>
    <cellStyle name="Normal 83 4" xfId="8555" xr:uid="{00000000-0005-0000-0000-00007B8B0000}"/>
    <cellStyle name="Normal 83 4 2" xfId="10955" xr:uid="{00000000-0005-0000-0000-00007C8B0000}"/>
    <cellStyle name="Normal 83 4 2 2" xfId="20699" xr:uid="{00000000-0005-0000-0000-00007D8B0000}"/>
    <cellStyle name="Normal 83 4 2 2 2" xfId="33757" xr:uid="{00000000-0005-0000-0000-00007E8B0000}"/>
    <cellStyle name="Normal 83 4 2 3" xfId="20700" xr:uid="{00000000-0005-0000-0000-00007F8B0000}"/>
    <cellStyle name="Normal 83 4 2 3 2" xfId="33758" xr:uid="{00000000-0005-0000-0000-0000808B0000}"/>
    <cellStyle name="Normal 83 4 2 4" xfId="24325" xr:uid="{00000000-0005-0000-0000-0000818B0000}"/>
    <cellStyle name="Normal 83 4 3" xfId="20701" xr:uid="{00000000-0005-0000-0000-0000828B0000}"/>
    <cellStyle name="Normal 83 4 3 2" xfId="33759" xr:uid="{00000000-0005-0000-0000-0000838B0000}"/>
    <cellStyle name="Normal 83 4 4" xfId="20702" xr:uid="{00000000-0005-0000-0000-0000848B0000}"/>
    <cellStyle name="Normal 83 4 4 2" xfId="33760" xr:uid="{00000000-0005-0000-0000-0000858B0000}"/>
    <cellStyle name="Normal 83 4 5" xfId="22169" xr:uid="{00000000-0005-0000-0000-0000868B0000}"/>
    <cellStyle name="Normal 83 5" xfId="9877" xr:uid="{00000000-0005-0000-0000-0000878B0000}"/>
    <cellStyle name="Normal 83 5 2" xfId="20703" xr:uid="{00000000-0005-0000-0000-0000888B0000}"/>
    <cellStyle name="Normal 83 5 2 2" xfId="33761" xr:uid="{00000000-0005-0000-0000-0000898B0000}"/>
    <cellStyle name="Normal 83 5 3" xfId="20704" xr:uid="{00000000-0005-0000-0000-00008A8B0000}"/>
    <cellStyle name="Normal 83 5 3 2" xfId="33762" xr:uid="{00000000-0005-0000-0000-00008B8B0000}"/>
    <cellStyle name="Normal 83 5 4" xfId="23247" xr:uid="{00000000-0005-0000-0000-00008C8B0000}"/>
    <cellStyle name="Normal 83 6" xfId="20705" xr:uid="{00000000-0005-0000-0000-00008D8B0000}"/>
    <cellStyle name="Normal 83 6 2" xfId="33763" xr:uid="{00000000-0005-0000-0000-00008E8B0000}"/>
    <cellStyle name="Normal 83 7" xfId="20706" xr:uid="{00000000-0005-0000-0000-00008F8B0000}"/>
    <cellStyle name="Normal 83 7 2" xfId="33764" xr:uid="{00000000-0005-0000-0000-0000908B0000}"/>
    <cellStyle name="Normal 83 8" xfId="21091" xr:uid="{00000000-0005-0000-0000-0000918B0000}"/>
    <cellStyle name="Normal 84" xfId="6252" xr:uid="{00000000-0005-0000-0000-0000928B0000}"/>
    <cellStyle name="Normal 85" xfId="6512" xr:uid="{00000000-0005-0000-0000-0000938B0000}"/>
    <cellStyle name="Normal 86" xfId="6348" xr:uid="{00000000-0005-0000-0000-0000948B0000}"/>
    <cellStyle name="Normal 87" xfId="6826" xr:uid="{00000000-0005-0000-0000-0000958B0000}"/>
    <cellStyle name="Normal 88" xfId="7507" xr:uid="{00000000-0005-0000-0000-0000968B0000}"/>
    <cellStyle name="Normal 89" xfId="7579" xr:uid="{00000000-0005-0000-0000-0000978B0000}"/>
    <cellStyle name="Normal 9" xfId="1921" xr:uid="{00000000-0005-0000-0000-0000988B0000}"/>
    <cellStyle name="Normal 90" xfId="7536" xr:uid="{00000000-0005-0000-0000-0000998B0000}"/>
    <cellStyle name="Normal 91" xfId="7570" xr:uid="{00000000-0005-0000-0000-00009A8B0000}"/>
    <cellStyle name="Normal 92" xfId="7677" xr:uid="{00000000-0005-0000-0000-00009B8B0000}"/>
    <cellStyle name="Normal 93" xfId="7682" xr:uid="{00000000-0005-0000-0000-00009C8B0000}"/>
    <cellStyle name="Normal 94" xfId="7510" xr:uid="{00000000-0005-0000-0000-00009D8B0000}"/>
    <cellStyle name="Normal 95" xfId="7586" xr:uid="{00000000-0005-0000-0000-00009E8B0000}"/>
    <cellStyle name="Normal 96" xfId="7670" xr:uid="{00000000-0005-0000-0000-00009F8B0000}"/>
    <cellStyle name="Normal 97" xfId="7618" xr:uid="{00000000-0005-0000-0000-0000A08B0000}"/>
    <cellStyle name="Normal 98" xfId="7571" xr:uid="{00000000-0005-0000-0000-0000A18B0000}"/>
    <cellStyle name="Normal 99" xfId="7593" xr:uid="{00000000-0005-0000-0000-0000A28B0000}"/>
    <cellStyle name="Normale_LSCO0697" xfId="1922" xr:uid="{00000000-0005-0000-0000-0000A38B0000}"/>
    <cellStyle name="Note" xfId="2160" builtinId="10" customBuiltin="1"/>
    <cellStyle name="Note 10" xfId="34520" xr:uid="{00000000-0005-0000-0000-0000A58B0000}"/>
    <cellStyle name="Note 10 2" xfId="34521" xr:uid="{00000000-0005-0000-0000-0000A68B0000}"/>
    <cellStyle name="Note 11" xfId="34522" xr:uid="{00000000-0005-0000-0000-0000A78B0000}"/>
    <cellStyle name="Note 11 2" xfId="34523" xr:uid="{00000000-0005-0000-0000-0000A88B0000}"/>
    <cellStyle name="Note 12" xfId="34524" xr:uid="{00000000-0005-0000-0000-0000A98B0000}"/>
    <cellStyle name="Note 12 2" xfId="34525" xr:uid="{00000000-0005-0000-0000-0000AA8B0000}"/>
    <cellStyle name="Note 13" xfId="34526" xr:uid="{00000000-0005-0000-0000-0000AB8B0000}"/>
    <cellStyle name="Note 13 2" xfId="34527" xr:uid="{00000000-0005-0000-0000-0000AC8B0000}"/>
    <cellStyle name="Note 14" xfId="34528" xr:uid="{00000000-0005-0000-0000-0000AD8B0000}"/>
    <cellStyle name="Note 14 2" xfId="34529" xr:uid="{00000000-0005-0000-0000-0000AE8B0000}"/>
    <cellStyle name="Note 15" xfId="34530" xr:uid="{00000000-0005-0000-0000-0000AF8B0000}"/>
    <cellStyle name="Note 15 2" xfId="34531" xr:uid="{00000000-0005-0000-0000-0000B08B0000}"/>
    <cellStyle name="Note 2" xfId="3408" xr:uid="{00000000-0005-0000-0000-0000B18B0000}"/>
    <cellStyle name="Note 2 2" xfId="34532" xr:uid="{00000000-0005-0000-0000-0000B28B0000}"/>
    <cellStyle name="Note 3" xfId="4827" xr:uid="{00000000-0005-0000-0000-0000B38B0000}"/>
    <cellStyle name="Note 3 2" xfId="34533" xr:uid="{00000000-0005-0000-0000-0000B48B0000}"/>
    <cellStyle name="Note 4" xfId="6957" xr:uid="{00000000-0005-0000-0000-0000B58B0000}"/>
    <cellStyle name="Note 4 2" xfId="34534" xr:uid="{00000000-0005-0000-0000-0000B68B0000}"/>
    <cellStyle name="Note 5" xfId="34535" xr:uid="{00000000-0005-0000-0000-0000B78B0000}"/>
    <cellStyle name="Note 5 2" xfId="34536" xr:uid="{00000000-0005-0000-0000-0000B88B0000}"/>
    <cellStyle name="Note 6" xfId="34537" xr:uid="{00000000-0005-0000-0000-0000B98B0000}"/>
    <cellStyle name="Note 6 2" xfId="34538" xr:uid="{00000000-0005-0000-0000-0000BA8B0000}"/>
    <cellStyle name="Note 7" xfId="34539" xr:uid="{00000000-0005-0000-0000-0000BB8B0000}"/>
    <cellStyle name="Note 7 2" xfId="34540" xr:uid="{00000000-0005-0000-0000-0000BC8B0000}"/>
    <cellStyle name="Note 8" xfId="34541" xr:uid="{00000000-0005-0000-0000-0000BD8B0000}"/>
    <cellStyle name="Note 8 2" xfId="34542" xr:uid="{00000000-0005-0000-0000-0000BE8B0000}"/>
    <cellStyle name="Note 9" xfId="34543" xr:uid="{00000000-0005-0000-0000-0000BF8B0000}"/>
    <cellStyle name="Note 9 2" xfId="34544" xr:uid="{00000000-0005-0000-0000-0000C08B0000}"/>
    <cellStyle name="Œ…‹æØ‚è [0.00]_Region Orders (2)" xfId="1923" xr:uid="{00000000-0005-0000-0000-0000C18B0000}"/>
    <cellStyle name="Œ…‹æØ‚è_Region Orders (2)" xfId="1924" xr:uid="{00000000-0005-0000-0000-0000C28B0000}"/>
    <cellStyle name="omma [0]_Mktg Prog" xfId="1925" xr:uid="{00000000-0005-0000-0000-0000C38B0000}"/>
    <cellStyle name="ormal_Sheet1_1" xfId="1926" xr:uid="{00000000-0005-0000-0000-0000C48B0000}"/>
    <cellStyle name="Output" xfId="2216" builtinId="21" customBuiltin="1"/>
    <cellStyle name="Output 10" xfId="34545" xr:uid="{00000000-0005-0000-0000-0000C68B0000}"/>
    <cellStyle name="Output 10 2" xfId="34546" xr:uid="{00000000-0005-0000-0000-0000C78B0000}"/>
    <cellStyle name="Output 11" xfId="34547" xr:uid="{00000000-0005-0000-0000-0000C88B0000}"/>
    <cellStyle name="Output 11 2" xfId="34548" xr:uid="{00000000-0005-0000-0000-0000C98B0000}"/>
    <cellStyle name="Output 12" xfId="34549" xr:uid="{00000000-0005-0000-0000-0000CA8B0000}"/>
    <cellStyle name="Output 12 2" xfId="34550" xr:uid="{00000000-0005-0000-0000-0000CB8B0000}"/>
    <cellStyle name="Output 13" xfId="34551" xr:uid="{00000000-0005-0000-0000-0000CC8B0000}"/>
    <cellStyle name="Output 13 2" xfId="34552" xr:uid="{00000000-0005-0000-0000-0000CD8B0000}"/>
    <cellStyle name="Output 14" xfId="34553" xr:uid="{00000000-0005-0000-0000-0000CE8B0000}"/>
    <cellStyle name="Output 14 2" xfId="34554" xr:uid="{00000000-0005-0000-0000-0000CF8B0000}"/>
    <cellStyle name="Output 15" xfId="34555" xr:uid="{00000000-0005-0000-0000-0000D08B0000}"/>
    <cellStyle name="Output 15 2" xfId="34556" xr:uid="{00000000-0005-0000-0000-0000D18B0000}"/>
    <cellStyle name="Output 2" xfId="3409" xr:uid="{00000000-0005-0000-0000-0000D28B0000}"/>
    <cellStyle name="Output 2 2" xfId="34557" xr:uid="{00000000-0005-0000-0000-0000D38B0000}"/>
    <cellStyle name="Output 3" xfId="4829" xr:uid="{00000000-0005-0000-0000-0000D48B0000}"/>
    <cellStyle name="Output 3 2" xfId="34558" xr:uid="{00000000-0005-0000-0000-0000D58B0000}"/>
    <cellStyle name="Output 4" xfId="6958" xr:uid="{00000000-0005-0000-0000-0000D68B0000}"/>
    <cellStyle name="Output 4 2" xfId="34559" xr:uid="{00000000-0005-0000-0000-0000D78B0000}"/>
    <cellStyle name="Output 5" xfId="34560" xr:uid="{00000000-0005-0000-0000-0000D88B0000}"/>
    <cellStyle name="Output 5 2" xfId="34561" xr:uid="{00000000-0005-0000-0000-0000D98B0000}"/>
    <cellStyle name="Output 6" xfId="34562" xr:uid="{00000000-0005-0000-0000-0000DA8B0000}"/>
    <cellStyle name="Output 6 2" xfId="34563" xr:uid="{00000000-0005-0000-0000-0000DB8B0000}"/>
    <cellStyle name="Output 7" xfId="34564" xr:uid="{00000000-0005-0000-0000-0000DC8B0000}"/>
    <cellStyle name="Output 7 2" xfId="34565" xr:uid="{00000000-0005-0000-0000-0000DD8B0000}"/>
    <cellStyle name="Output 8" xfId="34566" xr:uid="{00000000-0005-0000-0000-0000DE8B0000}"/>
    <cellStyle name="Output 8 2" xfId="34567" xr:uid="{00000000-0005-0000-0000-0000DF8B0000}"/>
    <cellStyle name="Output 9" xfId="34568" xr:uid="{00000000-0005-0000-0000-0000E08B0000}"/>
    <cellStyle name="Output 9 2" xfId="34569" xr:uid="{00000000-0005-0000-0000-0000E18B0000}"/>
    <cellStyle name="per.style" xfId="1927" xr:uid="{00000000-0005-0000-0000-0000E28B0000}"/>
    <cellStyle name="Percent %" xfId="1928" xr:uid="{00000000-0005-0000-0000-0000E38B0000}"/>
    <cellStyle name="Percent % Long Underline" xfId="1929" xr:uid="{00000000-0005-0000-0000-0000E48B0000}"/>
    <cellStyle name="Percent (0)" xfId="1930" xr:uid="{00000000-0005-0000-0000-0000E58B0000}"/>
    <cellStyle name="Percent [0]" xfId="1931" xr:uid="{00000000-0005-0000-0000-0000E68B0000}"/>
    <cellStyle name="Percent [0] 2" xfId="3411" xr:uid="{00000000-0005-0000-0000-0000E78B0000}"/>
    <cellStyle name="Percent [00]" xfId="1932" xr:uid="{00000000-0005-0000-0000-0000E88B0000}"/>
    <cellStyle name="Percent [2]" xfId="1933" xr:uid="{00000000-0005-0000-0000-0000E98B0000}"/>
    <cellStyle name="Percent [2] 2" xfId="3412" xr:uid="{00000000-0005-0000-0000-0000EA8B0000}"/>
    <cellStyle name="Percent [2] 3" xfId="34570" xr:uid="{00000000-0005-0000-0000-0000EB8B0000}"/>
    <cellStyle name="Percent 0.0%" xfId="1934" xr:uid="{00000000-0005-0000-0000-0000EC8B0000}"/>
    <cellStyle name="Percent 0.0% Long Underline" xfId="1935" xr:uid="{00000000-0005-0000-0000-0000ED8B0000}"/>
    <cellStyle name="Percent 0.00%" xfId="1936" xr:uid="{00000000-0005-0000-0000-0000EE8B0000}"/>
    <cellStyle name="Percent 0.00% Long Underline" xfId="1937" xr:uid="{00000000-0005-0000-0000-0000EF8B0000}"/>
    <cellStyle name="Percent 0.000%" xfId="1938" xr:uid="{00000000-0005-0000-0000-0000F08B0000}"/>
    <cellStyle name="Percent 0.000% Long Underline" xfId="1939" xr:uid="{00000000-0005-0000-0000-0000F18B0000}"/>
    <cellStyle name="Percent 10" xfId="5769" xr:uid="{00000000-0005-0000-0000-0000F28B0000}"/>
    <cellStyle name="Percent 11" xfId="5688" xr:uid="{00000000-0005-0000-0000-0000F38B0000}"/>
    <cellStyle name="Percent 12" xfId="5749" xr:uid="{00000000-0005-0000-0000-0000F48B0000}"/>
    <cellStyle name="Percent 13" xfId="5707" xr:uid="{00000000-0005-0000-0000-0000F58B0000}"/>
    <cellStyle name="Percent 14" xfId="5734" xr:uid="{00000000-0005-0000-0000-0000F68B0000}"/>
    <cellStyle name="Percent 15" xfId="5789" xr:uid="{00000000-0005-0000-0000-0000F78B0000}"/>
    <cellStyle name="Percent 16" xfId="5674" xr:uid="{00000000-0005-0000-0000-0000F88B0000}"/>
    <cellStyle name="Percent 17" xfId="5803" xr:uid="{00000000-0005-0000-0000-0000F98B0000}"/>
    <cellStyle name="Percent 18" xfId="5815" xr:uid="{00000000-0005-0000-0000-0000FA8B0000}"/>
    <cellStyle name="Percent 19" xfId="5668" xr:uid="{00000000-0005-0000-0000-0000FB8B0000}"/>
    <cellStyle name="Percent 2" xfId="3025" xr:uid="{00000000-0005-0000-0000-0000FC8B0000}"/>
    <cellStyle name="Percent 2 2" xfId="34571" xr:uid="{00000000-0005-0000-0000-0000FD8B0000}"/>
    <cellStyle name="Percent 2 3" xfId="34572" xr:uid="{00000000-0005-0000-0000-0000FE8B0000}"/>
    <cellStyle name="Percent 2 4" xfId="34573" xr:uid="{00000000-0005-0000-0000-0000FF8B0000}"/>
    <cellStyle name="Percent 2 5" xfId="34574" xr:uid="{00000000-0005-0000-0000-0000008C0000}"/>
    <cellStyle name="Percent 2 6" xfId="34575" xr:uid="{00000000-0005-0000-0000-0000018C0000}"/>
    <cellStyle name="Percent 2 7" xfId="34576" xr:uid="{00000000-0005-0000-0000-0000028C0000}"/>
    <cellStyle name="Percent 2 8" xfId="34577" xr:uid="{00000000-0005-0000-0000-0000038C0000}"/>
    <cellStyle name="Percent 20" xfId="5774" xr:uid="{00000000-0005-0000-0000-0000048C0000}"/>
    <cellStyle name="Percent 21" xfId="5683" xr:uid="{00000000-0005-0000-0000-0000058C0000}"/>
    <cellStyle name="Percent 22" xfId="5824" xr:uid="{00000000-0005-0000-0000-0000068C0000}"/>
    <cellStyle name="Percent 23" xfId="5822" xr:uid="{00000000-0005-0000-0000-0000078C0000}"/>
    <cellStyle name="Percent 24" xfId="5797" xr:uid="{00000000-0005-0000-0000-0000088C0000}"/>
    <cellStyle name="Percent 25" xfId="6442" xr:uid="{00000000-0005-0000-0000-0000098C0000}"/>
    <cellStyle name="Percent 26" xfId="6421" xr:uid="{00000000-0005-0000-0000-00000A8C0000}"/>
    <cellStyle name="Percent 27" xfId="6520" xr:uid="{00000000-0005-0000-0000-00000B8C0000}"/>
    <cellStyle name="Percent 28" xfId="6959" xr:uid="{00000000-0005-0000-0000-00000C8C0000}"/>
    <cellStyle name="Percent 29" xfId="7573" xr:uid="{00000000-0005-0000-0000-00000D8C0000}"/>
    <cellStyle name="Percent 3" xfId="3410" xr:uid="{00000000-0005-0000-0000-00000E8C0000}"/>
    <cellStyle name="Percent 30" xfId="7545" xr:uid="{00000000-0005-0000-0000-00000F8C0000}"/>
    <cellStyle name="Percent 31" xfId="7567" xr:uid="{00000000-0005-0000-0000-0000108C0000}"/>
    <cellStyle name="Percent 32" xfId="7547" xr:uid="{00000000-0005-0000-0000-0000118C0000}"/>
    <cellStyle name="Percent 33" xfId="7665" xr:uid="{00000000-0005-0000-0000-0000128C0000}"/>
    <cellStyle name="Percent 34" xfId="7688" xr:uid="{00000000-0005-0000-0000-0000138C0000}"/>
    <cellStyle name="Percent 35" xfId="7693" xr:uid="{00000000-0005-0000-0000-0000148C0000}"/>
    <cellStyle name="Percent 36" xfId="7678" xr:uid="{00000000-0005-0000-0000-0000158C0000}"/>
    <cellStyle name="Percent 37" xfId="7577" xr:uid="{00000000-0005-0000-0000-0000168C0000}"/>
    <cellStyle name="Percent 38" xfId="7606" xr:uid="{00000000-0005-0000-0000-0000178C0000}"/>
    <cellStyle name="Percent 39" xfId="7616" xr:uid="{00000000-0005-0000-0000-0000188C0000}"/>
    <cellStyle name="Percent 4" xfId="3955" xr:uid="{00000000-0005-0000-0000-0000198C0000}"/>
    <cellStyle name="Percent 40" xfId="7628" xr:uid="{00000000-0005-0000-0000-00001A8C0000}"/>
    <cellStyle name="Percent 41" xfId="7561" xr:uid="{00000000-0005-0000-0000-00001B8C0000}"/>
    <cellStyle name="Percent 42" xfId="7657" xr:uid="{00000000-0005-0000-0000-00001C8C0000}"/>
    <cellStyle name="Percent 43" xfId="7607" xr:uid="{00000000-0005-0000-0000-00001D8C0000}"/>
    <cellStyle name="Percent 44" xfId="7508" xr:uid="{00000000-0005-0000-0000-00001E8C0000}"/>
    <cellStyle name="Percent 45" xfId="7589" xr:uid="{00000000-0005-0000-0000-00001F8C0000}"/>
    <cellStyle name="Percent 46" xfId="7632" xr:uid="{00000000-0005-0000-0000-0000208C0000}"/>
    <cellStyle name="Percent 47" xfId="7527" xr:uid="{00000000-0005-0000-0000-0000218C0000}"/>
    <cellStyle name="Percent 48" xfId="7978" xr:uid="{00000000-0005-0000-0000-0000228C0000}"/>
    <cellStyle name="Percent 49" xfId="8090" xr:uid="{00000000-0005-0000-0000-0000238C0000}"/>
    <cellStyle name="Percent 5" xfId="3959" xr:uid="{00000000-0005-0000-0000-0000248C0000}"/>
    <cellStyle name="Percent 5 2" xfId="4116" xr:uid="{00000000-0005-0000-0000-0000258C0000}"/>
    <cellStyle name="Percent 50" xfId="8076" xr:uid="{00000000-0005-0000-0000-0000268C0000}"/>
    <cellStyle name="Percent 51" xfId="8514" xr:uid="{00000000-0005-0000-0000-0000278C0000}"/>
    <cellStyle name="Percent 52" xfId="9435" xr:uid="{00000000-0005-0000-0000-0000288C0000}"/>
    <cellStyle name="Percent 53" xfId="7805" xr:uid="{00000000-0005-0000-0000-0000298C0000}"/>
    <cellStyle name="Percent 54" xfId="8315" xr:uid="{00000000-0005-0000-0000-00002A8C0000}"/>
    <cellStyle name="Percent 55" xfId="9503" xr:uid="{00000000-0005-0000-0000-00002B8C0000}"/>
    <cellStyle name="Percent 56" xfId="9505" xr:uid="{00000000-0005-0000-0000-00002C8C0000}"/>
    <cellStyle name="Percent 57" xfId="9507" xr:uid="{00000000-0005-0000-0000-00002D8C0000}"/>
    <cellStyle name="Percent 58" xfId="9602" xr:uid="{00000000-0005-0000-0000-00002E8C0000}"/>
    <cellStyle name="Percent 59" xfId="11769" xr:uid="{00000000-0005-0000-0000-00002F8C0000}"/>
    <cellStyle name="Percent 6" xfId="4054" xr:uid="{00000000-0005-0000-0000-0000308C0000}"/>
    <cellStyle name="Percent 60" xfId="11772" xr:uid="{00000000-0005-0000-0000-0000318C0000}"/>
    <cellStyle name="Percent 61" xfId="11777" xr:uid="{00000000-0005-0000-0000-0000328C0000}"/>
    <cellStyle name="Percent 62" xfId="11780" xr:uid="{00000000-0005-0000-0000-0000338C0000}"/>
    <cellStyle name="Percent 63" xfId="11783" xr:uid="{00000000-0005-0000-0000-0000348C0000}"/>
    <cellStyle name="Percent 64" xfId="11785" xr:uid="{00000000-0005-0000-0000-0000358C0000}"/>
    <cellStyle name="Percent 65" xfId="11787" xr:uid="{00000000-0005-0000-0000-0000368C0000}"/>
    <cellStyle name="Percent 66" xfId="11791" xr:uid="{00000000-0005-0000-0000-0000378C0000}"/>
    <cellStyle name="Percent 67" xfId="11794" xr:uid="{00000000-0005-0000-0000-0000388C0000}"/>
    <cellStyle name="Percent 68" xfId="11793" xr:uid="{00000000-0005-0000-0000-0000398C0000}"/>
    <cellStyle name="Percent 69" xfId="11795" xr:uid="{00000000-0005-0000-0000-00003A8C0000}"/>
    <cellStyle name="Percent 7" xfId="4129" xr:uid="{00000000-0005-0000-0000-00003B8C0000}"/>
    <cellStyle name="Percent 70" xfId="11797" xr:uid="{00000000-0005-0000-0000-00003C8C0000}"/>
    <cellStyle name="Percent 71" xfId="20816" xr:uid="{00000000-0005-0000-0000-00003D8C0000}"/>
    <cellStyle name="Percent 72" xfId="33771" xr:uid="{00000000-0005-0000-0000-00003E8C0000}"/>
    <cellStyle name="Percent 73" xfId="33772" xr:uid="{00000000-0005-0000-0000-00003F8C0000}"/>
    <cellStyle name="Percent 74" xfId="33774" xr:uid="{00000000-0005-0000-0000-0000408C0000}"/>
    <cellStyle name="Percent 75" xfId="33776" xr:uid="{00000000-0005-0000-0000-0000418C0000}"/>
    <cellStyle name="Percent 76" xfId="33778" xr:uid="{00000000-0005-0000-0000-0000428C0000}"/>
    <cellStyle name="Percent 77" xfId="33783" xr:uid="{00000000-0005-0000-0000-0000438C0000}"/>
    <cellStyle name="Percent 78" xfId="33785" xr:uid="{00000000-0005-0000-0000-0000448C0000}"/>
    <cellStyle name="Percent 79" xfId="33787" xr:uid="{00000000-0005-0000-0000-0000458C0000}"/>
    <cellStyle name="Percent 8" xfId="4830" xr:uid="{00000000-0005-0000-0000-0000468C0000}"/>
    <cellStyle name="Percent 80" xfId="33789" xr:uid="{00000000-0005-0000-0000-0000478C0000}"/>
    <cellStyle name="Percent 81" xfId="33781" xr:uid="{00000000-0005-0000-0000-0000488C0000}"/>
    <cellStyle name="Percent 82" xfId="33791" xr:uid="{00000000-0005-0000-0000-0000498C0000}"/>
    <cellStyle name="Percent 83" xfId="33793" xr:uid="{00000000-0005-0000-0000-00004A8C0000}"/>
    <cellStyle name="Percent 84" xfId="33795" xr:uid="{00000000-0005-0000-0000-00004B8C0000}"/>
    <cellStyle name="Percent 85" xfId="33797" xr:uid="{00000000-0005-0000-0000-00004C8C0000}"/>
    <cellStyle name="Percent 86" xfId="33799" xr:uid="{00000000-0005-0000-0000-00004D8C0000}"/>
    <cellStyle name="Percent 87" xfId="33801" xr:uid="{00000000-0005-0000-0000-00004E8C0000}"/>
    <cellStyle name="Percent 88" xfId="33803" xr:uid="{00000000-0005-0000-0000-00004F8C0000}"/>
    <cellStyle name="Percent 89" xfId="33805" xr:uid="{00000000-0005-0000-0000-0000508C0000}"/>
    <cellStyle name="Percent 9" xfId="4133" xr:uid="{00000000-0005-0000-0000-0000518C0000}"/>
    <cellStyle name="Percent 90" xfId="33821" xr:uid="{00000000-0005-0000-0000-0000528C0000}"/>
    <cellStyle name="Percent 91" xfId="33824" xr:uid="{00000000-0005-0000-0000-0000538C0000}"/>
    <cellStyle name="Percent 92" xfId="33825" xr:uid="{00000000-0005-0000-0000-0000548C0000}"/>
    <cellStyle name="Percent 93" xfId="33820" xr:uid="{00000000-0005-0000-0000-0000558C0000}"/>
    <cellStyle name="Percent 94" xfId="33826" xr:uid="{00000000-0005-0000-0000-0000568C0000}"/>
    <cellStyle name="Percent 95" xfId="34643" xr:uid="{00000000-0005-0000-0000-0000578C0000}"/>
    <cellStyle name="PERCENTAGE" xfId="1940" xr:uid="{00000000-0005-0000-0000-0000588C0000}"/>
    <cellStyle name="pivot table" xfId="1941" xr:uid="{00000000-0005-0000-0000-0000598C0000}"/>
    <cellStyle name="PrePop Currency (0)" xfId="1972" xr:uid="{00000000-0005-0000-0000-00005A8C0000}"/>
    <cellStyle name="PrePop Currency (2)" xfId="1973" xr:uid="{00000000-0005-0000-0000-00005B8C0000}"/>
    <cellStyle name="PrePop Units (0)" xfId="1974" xr:uid="{00000000-0005-0000-0000-00005C8C0000}"/>
    <cellStyle name="PrePop Units (1)" xfId="1975" xr:uid="{00000000-0005-0000-0000-00005D8C0000}"/>
    <cellStyle name="PrePop Units (1) 2" xfId="3415" xr:uid="{00000000-0005-0000-0000-00005E8C0000}"/>
    <cellStyle name="PrePop Units (2)" xfId="1976" xr:uid="{00000000-0005-0000-0000-00005F8C0000}"/>
    <cellStyle name="pricing" xfId="1977" xr:uid="{00000000-0005-0000-0000-0000608C0000}"/>
    <cellStyle name="PSChar" xfId="1978" xr:uid="{00000000-0005-0000-0000-0000618C0000}"/>
    <cellStyle name="PSHeading" xfId="1979" xr:uid="{00000000-0005-0000-0000-0000628C0000}"/>
    <cellStyle name="regstoresfromspecstores" xfId="1980" xr:uid="{00000000-0005-0000-0000-0000638C0000}"/>
    <cellStyle name="RevList" xfId="1981" xr:uid="{00000000-0005-0000-0000-0000648C0000}"/>
    <cellStyle name="S—_x0008_" xfId="1982" xr:uid="{00000000-0005-0000-0000-0000658C0000}"/>
    <cellStyle name="SAPBEXaggData" xfId="1983" xr:uid="{00000000-0005-0000-0000-0000668C0000}"/>
    <cellStyle name="SAPBEXaggDataEmph" xfId="1984" xr:uid="{00000000-0005-0000-0000-0000678C0000}"/>
    <cellStyle name="SAPBEXaggItem" xfId="1985" xr:uid="{00000000-0005-0000-0000-0000688C0000}"/>
    <cellStyle name="SAPBEXaggItemX" xfId="1986" xr:uid="{00000000-0005-0000-0000-0000698C0000}"/>
    <cellStyle name="SAPBEXchaText" xfId="1987" xr:uid="{00000000-0005-0000-0000-00006A8C0000}"/>
    <cellStyle name="SAPBEXexcBad7" xfId="1988" xr:uid="{00000000-0005-0000-0000-00006B8C0000}"/>
    <cellStyle name="SAPBEXexcBad8" xfId="1989" xr:uid="{00000000-0005-0000-0000-00006C8C0000}"/>
    <cellStyle name="SAPBEXexcBad9" xfId="1990" xr:uid="{00000000-0005-0000-0000-00006D8C0000}"/>
    <cellStyle name="SAPBEXexcCritical4" xfId="1991" xr:uid="{00000000-0005-0000-0000-00006E8C0000}"/>
    <cellStyle name="SAPBEXexcCritical5" xfId="1992" xr:uid="{00000000-0005-0000-0000-00006F8C0000}"/>
    <cellStyle name="SAPBEXexcCritical6" xfId="1993" xr:uid="{00000000-0005-0000-0000-0000708C0000}"/>
    <cellStyle name="SAPBEXexcGood1" xfId="1994" xr:uid="{00000000-0005-0000-0000-0000718C0000}"/>
    <cellStyle name="SAPBEXexcGood2" xfId="1995" xr:uid="{00000000-0005-0000-0000-0000728C0000}"/>
    <cellStyle name="SAPBEXexcGood3" xfId="1996" xr:uid="{00000000-0005-0000-0000-0000738C0000}"/>
    <cellStyle name="SAPBEXfilterDrill" xfId="1997" xr:uid="{00000000-0005-0000-0000-0000748C0000}"/>
    <cellStyle name="SAPBEXfilterItem" xfId="1998" xr:uid="{00000000-0005-0000-0000-0000758C0000}"/>
    <cellStyle name="SAPBEXfilterText" xfId="1999" xr:uid="{00000000-0005-0000-0000-0000768C0000}"/>
    <cellStyle name="SAPBEXformats" xfId="2000" xr:uid="{00000000-0005-0000-0000-0000778C0000}"/>
    <cellStyle name="SAPBEXheaderItem" xfId="2001" xr:uid="{00000000-0005-0000-0000-0000788C0000}"/>
    <cellStyle name="SAPBEXheaderText" xfId="2002" xr:uid="{00000000-0005-0000-0000-0000798C0000}"/>
    <cellStyle name="SAPBEXHLevel0" xfId="2003" xr:uid="{00000000-0005-0000-0000-00007A8C0000}"/>
    <cellStyle name="SAPBEXHLevel0 2" xfId="3416" xr:uid="{00000000-0005-0000-0000-00007B8C0000}"/>
    <cellStyle name="SAPBEXHLevel0X" xfId="2004" xr:uid="{00000000-0005-0000-0000-00007C8C0000}"/>
    <cellStyle name="SAPBEXHLevel0X 2" xfId="3417" xr:uid="{00000000-0005-0000-0000-00007D8C0000}"/>
    <cellStyle name="SAPBEXHLevel1" xfId="2005" xr:uid="{00000000-0005-0000-0000-00007E8C0000}"/>
    <cellStyle name="SAPBEXHLevel1 2" xfId="3418" xr:uid="{00000000-0005-0000-0000-00007F8C0000}"/>
    <cellStyle name="SAPBEXHLevel1X" xfId="2006" xr:uid="{00000000-0005-0000-0000-0000808C0000}"/>
    <cellStyle name="SAPBEXHLevel1X 2" xfId="3419" xr:uid="{00000000-0005-0000-0000-0000818C0000}"/>
    <cellStyle name="SAPBEXHLevel2" xfId="2007" xr:uid="{00000000-0005-0000-0000-0000828C0000}"/>
    <cellStyle name="SAPBEXHLevel2 2" xfId="3420" xr:uid="{00000000-0005-0000-0000-0000838C0000}"/>
    <cellStyle name="SAPBEXHLevel2X" xfId="2008" xr:uid="{00000000-0005-0000-0000-0000848C0000}"/>
    <cellStyle name="SAPBEXHLevel2X 2" xfId="3421" xr:uid="{00000000-0005-0000-0000-0000858C0000}"/>
    <cellStyle name="SAPBEXHLevel3" xfId="2009" xr:uid="{00000000-0005-0000-0000-0000868C0000}"/>
    <cellStyle name="SAPBEXHLevel3 2" xfId="3422" xr:uid="{00000000-0005-0000-0000-0000878C0000}"/>
    <cellStyle name="SAPBEXHLevel3X" xfId="2010" xr:uid="{00000000-0005-0000-0000-0000888C0000}"/>
    <cellStyle name="SAPBEXHLevel3X 2" xfId="3423" xr:uid="{00000000-0005-0000-0000-0000898C0000}"/>
    <cellStyle name="SAPBEXresData" xfId="2011" xr:uid="{00000000-0005-0000-0000-00008A8C0000}"/>
    <cellStyle name="SAPBEXresDataEmph" xfId="2012" xr:uid="{00000000-0005-0000-0000-00008B8C0000}"/>
    <cellStyle name="SAPBEXresItem" xfId="2013" xr:uid="{00000000-0005-0000-0000-00008C8C0000}"/>
    <cellStyle name="SAPBEXresItemX" xfId="2014" xr:uid="{00000000-0005-0000-0000-00008D8C0000}"/>
    <cellStyle name="SAPBEXstdData" xfId="2015" xr:uid="{00000000-0005-0000-0000-00008E8C0000}"/>
    <cellStyle name="SAPBEXstdDataEmph" xfId="2016" xr:uid="{00000000-0005-0000-0000-00008F8C0000}"/>
    <cellStyle name="SAPBEXstdItem" xfId="2017" xr:uid="{00000000-0005-0000-0000-0000908C0000}"/>
    <cellStyle name="SAPBEXstdItemX" xfId="2018" xr:uid="{00000000-0005-0000-0000-0000918C0000}"/>
    <cellStyle name="SAPBEXtitle" xfId="2019" xr:uid="{00000000-0005-0000-0000-0000928C0000}"/>
    <cellStyle name="SAPBEXundefined" xfId="2020" xr:uid="{00000000-0005-0000-0000-0000938C0000}"/>
    <cellStyle name="SHADEDSTORES" xfId="2021" xr:uid="{00000000-0005-0000-0000-0000948C0000}"/>
    <cellStyle name="shawn1" xfId="2022" xr:uid="{00000000-0005-0000-0000-0000958C0000}"/>
    <cellStyle name="specstores" xfId="2023" xr:uid="{00000000-0005-0000-0000-0000968C0000}"/>
    <cellStyle name="Standard_EL4921CAT21" xfId="2024" xr:uid="{00000000-0005-0000-0000-0000978C0000}"/>
    <cellStyle name="Style 1" xfId="2025" xr:uid="{00000000-0005-0000-0000-0000988C0000}"/>
    <cellStyle name="Style 1 10" xfId="34578" xr:uid="{00000000-0005-0000-0000-0000998C0000}"/>
    <cellStyle name="Style 1 11" xfId="34579" xr:uid="{00000000-0005-0000-0000-00009A8C0000}"/>
    <cellStyle name="Style 1 2" xfId="3424" xr:uid="{00000000-0005-0000-0000-00009B8C0000}"/>
    <cellStyle name="Style 1 3" xfId="33823" xr:uid="{00000000-0005-0000-0000-00009C8C0000}"/>
    <cellStyle name="Style 1 4" xfId="34580" xr:uid="{00000000-0005-0000-0000-00009D8C0000}"/>
    <cellStyle name="Style 1 5" xfId="34581" xr:uid="{00000000-0005-0000-0000-00009E8C0000}"/>
    <cellStyle name="Style 1 6" xfId="34582" xr:uid="{00000000-0005-0000-0000-00009F8C0000}"/>
    <cellStyle name="Style 1 7" xfId="34583" xr:uid="{00000000-0005-0000-0000-0000A08C0000}"/>
    <cellStyle name="Style 1 8" xfId="34584" xr:uid="{00000000-0005-0000-0000-0000A18C0000}"/>
    <cellStyle name="Style 1 9" xfId="34585" xr:uid="{00000000-0005-0000-0000-0000A28C0000}"/>
    <cellStyle name="Style 10" xfId="2026" xr:uid="{00000000-0005-0000-0000-0000A38C0000}"/>
    <cellStyle name="Style 100" xfId="1971" xr:uid="{00000000-0005-0000-0000-0000A48C0000}"/>
    <cellStyle name="Style 101" xfId="2091" xr:uid="{00000000-0005-0000-0000-0000A58C0000}"/>
    <cellStyle name="Style 102" xfId="2092" xr:uid="{00000000-0005-0000-0000-0000A68C0000}"/>
    <cellStyle name="Style 103" xfId="2093" xr:uid="{00000000-0005-0000-0000-0000A78C0000}"/>
    <cellStyle name="Style 104" xfId="2094" xr:uid="{00000000-0005-0000-0000-0000A88C0000}"/>
    <cellStyle name="Style 105" xfId="2095" xr:uid="{00000000-0005-0000-0000-0000A98C0000}"/>
    <cellStyle name="Style 106" xfId="2096" xr:uid="{00000000-0005-0000-0000-0000AA8C0000}"/>
    <cellStyle name="Style 107" xfId="2097" xr:uid="{00000000-0005-0000-0000-0000AB8C0000}"/>
    <cellStyle name="Style 108" xfId="2098" xr:uid="{00000000-0005-0000-0000-0000AC8C0000}"/>
    <cellStyle name="Style 109" xfId="2099" xr:uid="{00000000-0005-0000-0000-0000AD8C0000}"/>
    <cellStyle name="Style 11" xfId="2027" xr:uid="{00000000-0005-0000-0000-0000AE8C0000}"/>
    <cellStyle name="Style 110" xfId="2100" xr:uid="{00000000-0005-0000-0000-0000AF8C0000}"/>
    <cellStyle name="Style 111" xfId="2101" xr:uid="{00000000-0005-0000-0000-0000B08C0000}"/>
    <cellStyle name="Style 112" xfId="2102" xr:uid="{00000000-0005-0000-0000-0000B18C0000}"/>
    <cellStyle name="Style 113" xfId="2103" xr:uid="{00000000-0005-0000-0000-0000B28C0000}"/>
    <cellStyle name="Style 114" xfId="2104" xr:uid="{00000000-0005-0000-0000-0000B38C0000}"/>
    <cellStyle name="Style 119" xfId="2028" xr:uid="{00000000-0005-0000-0000-0000B48C0000}"/>
    <cellStyle name="Style 12" xfId="2029" xr:uid="{00000000-0005-0000-0000-0000B58C0000}"/>
    <cellStyle name="Style 13" xfId="2030" xr:uid="{00000000-0005-0000-0000-0000B68C0000}"/>
    <cellStyle name="Style 14" xfId="2031" xr:uid="{00000000-0005-0000-0000-0000B78C0000}"/>
    <cellStyle name="Style 15" xfId="2032" xr:uid="{00000000-0005-0000-0000-0000B88C0000}"/>
    <cellStyle name="Style 16" xfId="2033" xr:uid="{00000000-0005-0000-0000-0000B98C0000}"/>
    <cellStyle name="Style 17" xfId="2034" xr:uid="{00000000-0005-0000-0000-0000BA8C0000}"/>
    <cellStyle name="Style 18" xfId="2035" xr:uid="{00000000-0005-0000-0000-0000BB8C0000}"/>
    <cellStyle name="Style 19" xfId="2036" xr:uid="{00000000-0005-0000-0000-0000BC8C0000}"/>
    <cellStyle name="Style 2" xfId="2037" xr:uid="{00000000-0005-0000-0000-0000BD8C0000}"/>
    <cellStyle name="Style 20" xfId="2038" xr:uid="{00000000-0005-0000-0000-0000BE8C0000}"/>
    <cellStyle name="Style 21" xfId="2039" xr:uid="{00000000-0005-0000-0000-0000BF8C0000}"/>
    <cellStyle name="Style 22" xfId="2040" xr:uid="{00000000-0005-0000-0000-0000C08C0000}"/>
    <cellStyle name="Style 23" xfId="2041" xr:uid="{00000000-0005-0000-0000-0000C18C0000}"/>
    <cellStyle name="Style 24" xfId="2042" xr:uid="{00000000-0005-0000-0000-0000C28C0000}"/>
    <cellStyle name="Style 25" xfId="2043" xr:uid="{00000000-0005-0000-0000-0000C38C0000}"/>
    <cellStyle name="Style 26" xfId="2044" xr:uid="{00000000-0005-0000-0000-0000C48C0000}"/>
    <cellStyle name="Style 27" xfId="2045" xr:uid="{00000000-0005-0000-0000-0000C58C0000}"/>
    <cellStyle name="Style 28" xfId="2046" xr:uid="{00000000-0005-0000-0000-0000C68C0000}"/>
    <cellStyle name="Style 29" xfId="2047" xr:uid="{00000000-0005-0000-0000-0000C78C0000}"/>
    <cellStyle name="Style 3" xfId="2048" xr:uid="{00000000-0005-0000-0000-0000C88C0000}"/>
    <cellStyle name="Style 30" xfId="2049" xr:uid="{00000000-0005-0000-0000-0000C98C0000}"/>
    <cellStyle name="Style 31" xfId="2050" xr:uid="{00000000-0005-0000-0000-0000CA8C0000}"/>
    <cellStyle name="Style 32" xfId="2051" xr:uid="{00000000-0005-0000-0000-0000CB8C0000}"/>
    <cellStyle name="Style 33" xfId="2052" xr:uid="{00000000-0005-0000-0000-0000CC8C0000}"/>
    <cellStyle name="Style 34" xfId="2053" xr:uid="{00000000-0005-0000-0000-0000CD8C0000}"/>
    <cellStyle name="Style 35" xfId="2054" xr:uid="{00000000-0005-0000-0000-0000CE8C0000}"/>
    <cellStyle name="Style 36" xfId="2055" xr:uid="{00000000-0005-0000-0000-0000CF8C0000}"/>
    <cellStyle name="Style 37" xfId="2056" xr:uid="{00000000-0005-0000-0000-0000D08C0000}"/>
    <cellStyle name="Style 38" xfId="2057" xr:uid="{00000000-0005-0000-0000-0000D18C0000}"/>
    <cellStyle name="Style 39" xfId="2058" xr:uid="{00000000-0005-0000-0000-0000D28C0000}"/>
    <cellStyle name="Style 4" xfId="2059" xr:uid="{00000000-0005-0000-0000-0000D38C0000}"/>
    <cellStyle name="Style 40" xfId="1718" xr:uid="{00000000-0005-0000-0000-0000D48C0000}"/>
    <cellStyle name="Style 41" xfId="1719" xr:uid="{00000000-0005-0000-0000-0000D58C0000}"/>
    <cellStyle name="Style 42" xfId="1720" xr:uid="{00000000-0005-0000-0000-0000D68C0000}"/>
    <cellStyle name="Style 43" xfId="2060" xr:uid="{00000000-0005-0000-0000-0000D78C0000}"/>
    <cellStyle name="Style 44" xfId="2061" xr:uid="{00000000-0005-0000-0000-0000D88C0000}"/>
    <cellStyle name="Style 45" xfId="1721" xr:uid="{00000000-0005-0000-0000-0000D98C0000}"/>
    <cellStyle name="Style 46" xfId="1722" xr:uid="{00000000-0005-0000-0000-0000DA8C0000}"/>
    <cellStyle name="Style 47" xfId="2062" xr:uid="{00000000-0005-0000-0000-0000DB8C0000}"/>
    <cellStyle name="Style 48" xfId="2063" xr:uid="{00000000-0005-0000-0000-0000DC8C0000}"/>
    <cellStyle name="Style 49" xfId="2064" xr:uid="{00000000-0005-0000-0000-0000DD8C0000}"/>
    <cellStyle name="Style 5" xfId="2065" xr:uid="{00000000-0005-0000-0000-0000DE8C0000}"/>
    <cellStyle name="Style 50" xfId="2066" xr:uid="{00000000-0005-0000-0000-0000DF8C0000}"/>
    <cellStyle name="Style 51" xfId="2067" xr:uid="{00000000-0005-0000-0000-0000E08C0000}"/>
    <cellStyle name="Style 52" xfId="1723" xr:uid="{00000000-0005-0000-0000-0000E18C0000}"/>
    <cellStyle name="Style 53" xfId="2068" xr:uid="{00000000-0005-0000-0000-0000E28C0000}"/>
    <cellStyle name="Style 54" xfId="1724" xr:uid="{00000000-0005-0000-0000-0000E38C0000}"/>
    <cellStyle name="Style 55" xfId="1725" xr:uid="{00000000-0005-0000-0000-0000E48C0000}"/>
    <cellStyle name="Style 56" xfId="2069" xr:uid="{00000000-0005-0000-0000-0000E58C0000}"/>
    <cellStyle name="Style 57" xfId="2070" xr:uid="{00000000-0005-0000-0000-0000E68C0000}"/>
    <cellStyle name="Style 58" xfId="2071" xr:uid="{00000000-0005-0000-0000-0000E78C0000}"/>
    <cellStyle name="Style 59" xfId="2072" xr:uid="{00000000-0005-0000-0000-0000E88C0000}"/>
    <cellStyle name="Style 6" xfId="2073" xr:uid="{00000000-0005-0000-0000-0000E98C0000}"/>
    <cellStyle name="Style 60" xfId="2074" xr:uid="{00000000-0005-0000-0000-0000EA8C0000}"/>
    <cellStyle name="Style 61" xfId="2075" xr:uid="{00000000-0005-0000-0000-0000EB8C0000}"/>
    <cellStyle name="Style 62" xfId="2076" xr:uid="{00000000-0005-0000-0000-0000EC8C0000}"/>
    <cellStyle name="Style 63" xfId="2077" xr:uid="{00000000-0005-0000-0000-0000ED8C0000}"/>
    <cellStyle name="Style 64" xfId="2078" xr:uid="{00000000-0005-0000-0000-0000EE8C0000}"/>
    <cellStyle name="Style 65" xfId="2079" xr:uid="{00000000-0005-0000-0000-0000EF8C0000}"/>
    <cellStyle name="Style 66" xfId="2080" xr:uid="{00000000-0005-0000-0000-0000F08C0000}"/>
    <cellStyle name="Style 67" xfId="2081" xr:uid="{00000000-0005-0000-0000-0000F18C0000}"/>
    <cellStyle name="Style 68" xfId="2082" xr:uid="{00000000-0005-0000-0000-0000F28C0000}"/>
    <cellStyle name="Style 69" xfId="2083" xr:uid="{00000000-0005-0000-0000-0000F38C0000}"/>
    <cellStyle name="Style 7" xfId="2084" xr:uid="{00000000-0005-0000-0000-0000F48C0000}"/>
    <cellStyle name="Style 70" xfId="2085" xr:uid="{00000000-0005-0000-0000-0000F58C0000}"/>
    <cellStyle name="Style 71" xfId="1942" xr:uid="{00000000-0005-0000-0000-0000F68C0000}"/>
    <cellStyle name="Style 72" xfId="1943" xr:uid="{00000000-0005-0000-0000-0000F78C0000}"/>
    <cellStyle name="Style 73" xfId="1944" xr:uid="{00000000-0005-0000-0000-0000F88C0000}"/>
    <cellStyle name="Style 74" xfId="1945" xr:uid="{00000000-0005-0000-0000-0000F98C0000}"/>
    <cellStyle name="Style 75" xfId="1946" xr:uid="{00000000-0005-0000-0000-0000FA8C0000}"/>
    <cellStyle name="Style 76" xfId="1947" xr:uid="{00000000-0005-0000-0000-0000FB8C0000}"/>
    <cellStyle name="Style 77" xfId="1948" xr:uid="{00000000-0005-0000-0000-0000FC8C0000}"/>
    <cellStyle name="Style 78" xfId="1949" xr:uid="{00000000-0005-0000-0000-0000FD8C0000}"/>
    <cellStyle name="Style 79" xfId="1950" xr:uid="{00000000-0005-0000-0000-0000FE8C0000}"/>
    <cellStyle name="Style 8" xfId="2086" xr:uid="{00000000-0005-0000-0000-0000FF8C0000}"/>
    <cellStyle name="Style 80" xfId="1951" xr:uid="{00000000-0005-0000-0000-0000008D0000}"/>
    <cellStyle name="Style 81" xfId="1952" xr:uid="{00000000-0005-0000-0000-0000018D0000}"/>
    <cellStyle name="Style 82" xfId="1953" xr:uid="{00000000-0005-0000-0000-0000028D0000}"/>
    <cellStyle name="Style 83" xfId="1954" xr:uid="{00000000-0005-0000-0000-0000038D0000}"/>
    <cellStyle name="Style 84" xfId="1955" xr:uid="{00000000-0005-0000-0000-0000048D0000}"/>
    <cellStyle name="Style 85" xfId="1956" xr:uid="{00000000-0005-0000-0000-0000058D0000}"/>
    <cellStyle name="Style 86" xfId="1957" xr:uid="{00000000-0005-0000-0000-0000068D0000}"/>
    <cellStyle name="Style 87" xfId="1958" xr:uid="{00000000-0005-0000-0000-0000078D0000}"/>
    <cellStyle name="Style 88" xfId="1959" xr:uid="{00000000-0005-0000-0000-0000088D0000}"/>
    <cellStyle name="Style 89" xfId="1960" xr:uid="{00000000-0005-0000-0000-0000098D0000}"/>
    <cellStyle name="Style 9" xfId="2087" xr:uid="{00000000-0005-0000-0000-00000A8D0000}"/>
    <cellStyle name="Style 90" xfId="1961" xr:uid="{00000000-0005-0000-0000-00000B8D0000}"/>
    <cellStyle name="Style 91" xfId="1962" xr:uid="{00000000-0005-0000-0000-00000C8D0000}"/>
    <cellStyle name="Style 92" xfId="1963" xr:uid="{00000000-0005-0000-0000-00000D8D0000}"/>
    <cellStyle name="Style 93" xfId="1964" xr:uid="{00000000-0005-0000-0000-00000E8D0000}"/>
    <cellStyle name="Style 94" xfId="1965" xr:uid="{00000000-0005-0000-0000-00000F8D0000}"/>
    <cellStyle name="Style 95" xfId="1966" xr:uid="{00000000-0005-0000-0000-0000108D0000}"/>
    <cellStyle name="Style 96" xfId="1967" xr:uid="{00000000-0005-0000-0000-0000118D0000}"/>
    <cellStyle name="Style 97" xfId="1968" xr:uid="{00000000-0005-0000-0000-0000128D0000}"/>
    <cellStyle name="Style 98" xfId="1969" xr:uid="{00000000-0005-0000-0000-0000138D0000}"/>
    <cellStyle name="Style 99" xfId="1970" xr:uid="{00000000-0005-0000-0000-0000148D0000}"/>
    <cellStyle name="SUB" xfId="2088" xr:uid="{00000000-0005-0000-0000-0000158D0000}"/>
    <cellStyle name="subhead" xfId="2089" xr:uid="{00000000-0005-0000-0000-0000168D0000}"/>
    <cellStyle name="Subtotal" xfId="2090" xr:uid="{00000000-0005-0000-0000-0000178D0000}"/>
    <cellStyle name="T" xfId="2105" xr:uid="{00000000-0005-0000-0000-0000188D0000}"/>
    <cellStyle name="T_511 - RevenueAccount_28022010" xfId="2106" xr:uid="{00000000-0005-0000-0000-0000198D0000}"/>
    <cellStyle name="T_511 - RevenueAccount_30042010" xfId="2107" xr:uid="{00000000-0005-0000-0000-00001A8D0000}"/>
    <cellStyle name="T_511 - RevenueAccount_30092010" xfId="2108" xr:uid="{00000000-0005-0000-0000-00001B8D0000}"/>
    <cellStyle name="T_511 - RevenueAccount_31012010" xfId="2109" xr:uid="{00000000-0005-0000-0000-00001C8D0000}"/>
    <cellStyle name="T_511 - RevenueAccount_31032010" xfId="2110" xr:uid="{00000000-0005-0000-0000-00001D8D0000}"/>
    <cellStyle name="T_511 - RevenueAccount_31072010" xfId="2111" xr:uid="{00000000-0005-0000-0000-00001E8D0000}"/>
    <cellStyle name="T_Book1 (version 5)" xfId="2112" xr:uid="{00000000-0005-0000-0000-00001F8D0000}"/>
    <cellStyle name="T_DEtial-02" xfId="2113" xr:uid="{00000000-0005-0000-0000-0000208D0000}"/>
    <cellStyle name="T_DEtial-02 2" xfId="2922" xr:uid="{00000000-0005-0000-0000-0000218D0000}"/>
    <cellStyle name="T_DEtial-02 3" xfId="2289" xr:uid="{00000000-0005-0000-0000-0000228D0000}"/>
    <cellStyle name="T_DEtial-02 4" xfId="2960" xr:uid="{00000000-0005-0000-0000-0000238D0000}"/>
    <cellStyle name="T_DEtial-02 5" xfId="2977" xr:uid="{00000000-0005-0000-0000-0000248D0000}"/>
    <cellStyle name="T_DEtial-02 6" xfId="3017" xr:uid="{00000000-0005-0000-0000-0000258D0000}"/>
    <cellStyle name="T_DEtial-02 7" xfId="2973" xr:uid="{00000000-0005-0000-0000-0000268D0000}"/>
    <cellStyle name="T_ReceiptList" xfId="2114" xr:uid="{00000000-0005-0000-0000-0000278D0000}"/>
    <cellStyle name="T_ReceiptList 2" xfId="2923" xr:uid="{00000000-0005-0000-0000-0000288D0000}"/>
    <cellStyle name="T_ReceiptList 3" xfId="2288" xr:uid="{00000000-0005-0000-0000-0000298D0000}"/>
    <cellStyle name="T_ReceiptList 4" xfId="2961" xr:uid="{00000000-0005-0000-0000-00002A8D0000}"/>
    <cellStyle name="T_ReceiptList 5" xfId="2978" xr:uid="{00000000-0005-0000-0000-00002B8D0000}"/>
    <cellStyle name="T_ReceiptList 6" xfId="3018" xr:uid="{00000000-0005-0000-0000-00002C8D0000}"/>
    <cellStyle name="T_ReceiptList 7" xfId="2974" xr:uid="{00000000-0005-0000-0000-00002D8D0000}"/>
    <cellStyle name="T_Sales Book 082008" xfId="2115" xr:uid="{00000000-0005-0000-0000-00002E8D0000}"/>
    <cellStyle name="T_Sales Book 082008 2" xfId="2924" xr:uid="{00000000-0005-0000-0000-00002F8D0000}"/>
    <cellStyle name="T_Sales Book 082008 3" xfId="2287" xr:uid="{00000000-0005-0000-0000-0000308D0000}"/>
    <cellStyle name="T_Sales Book 082008 4" xfId="2962" xr:uid="{00000000-0005-0000-0000-0000318D0000}"/>
    <cellStyle name="T_Sales Book 082008 5" xfId="2979" xr:uid="{00000000-0005-0000-0000-0000328D0000}"/>
    <cellStyle name="T_Sales Book 082008 6" xfId="3019" xr:uid="{00000000-0005-0000-0000-0000338D0000}"/>
    <cellStyle name="T_Sales Book 082008 7" xfId="2975" xr:uid="{00000000-0005-0000-0000-0000348D0000}"/>
    <cellStyle name="T_Sheet3" xfId="2116" xr:uid="{00000000-0005-0000-0000-0000358D0000}"/>
    <cellStyle name="T_Sheet3 2" xfId="2925" xr:uid="{00000000-0005-0000-0000-0000368D0000}"/>
    <cellStyle name="T_Sheet3 3" xfId="2286" xr:uid="{00000000-0005-0000-0000-0000378D0000}"/>
    <cellStyle name="T_Sheet3 4" xfId="2963" xr:uid="{00000000-0005-0000-0000-0000388D0000}"/>
    <cellStyle name="T_Sheet3 5" xfId="2980" xr:uid="{00000000-0005-0000-0000-0000398D0000}"/>
    <cellStyle name="T_Sheet3 6" xfId="3020" xr:uid="{00000000-0005-0000-0000-00003A8D0000}"/>
    <cellStyle name="T_Sheet3 7" xfId="2976" xr:uid="{00000000-0005-0000-0000-00003B8D0000}"/>
    <cellStyle name="T_TB" xfId="2117" xr:uid="{00000000-0005-0000-0000-00003C8D0000}"/>
    <cellStyle name="Text Indent A" xfId="2118" xr:uid="{00000000-0005-0000-0000-00003D8D0000}"/>
    <cellStyle name="Text Indent B" xfId="2119" xr:uid="{00000000-0005-0000-0000-00003E8D0000}"/>
    <cellStyle name="Text Indent B 2" xfId="3428" xr:uid="{00000000-0005-0000-0000-00003F8D0000}"/>
    <cellStyle name="Text Indent C" xfId="2120" xr:uid="{00000000-0005-0000-0000-0000408D0000}"/>
    <cellStyle name="Text Indent C 2" xfId="3429" xr:uid="{00000000-0005-0000-0000-0000418D0000}"/>
    <cellStyle name="th" xfId="2121" xr:uid="{00000000-0005-0000-0000-0000428D0000}"/>
    <cellStyle name="þ_CMP" xfId="2122" xr:uid="{00000000-0005-0000-0000-0000438D0000}"/>
    <cellStyle name="þ_CMP 2" xfId="3430" xr:uid="{00000000-0005-0000-0000-0000448D0000}"/>
    <cellStyle name="þ_x001d_ðK" xfId="2124" xr:uid="{00000000-0005-0000-0000-0000458D0000}"/>
    <cellStyle name="þ_x001d_ðK 2" xfId="3431" xr:uid="{00000000-0005-0000-0000-0000468D0000}"/>
    <cellStyle name="þ_x001d_ðK_x000c_&quot;ÿ_x001b__x000d__x0015_" xfId="2125" xr:uid="{00000000-0005-0000-0000-0000478D0000}"/>
    <cellStyle name="þ_x001d_ðK_x000c_&quot;ÿ_x001b__x000d__x0015_ 2" xfId="3432" xr:uid="{00000000-0005-0000-0000-0000488D0000}"/>
    <cellStyle name="þ_x001d_ðK_x000c_&quot;ÿ_x001b__x000d__x0015_ÿU" xfId="2126" xr:uid="{00000000-0005-0000-0000-0000498D0000}"/>
    <cellStyle name="þ_x001d_ðK_x000c_&quot;ÿ_x001b__x000d__x0015_ÿU_x0001_" xfId="2127" xr:uid="{00000000-0005-0000-0000-00004A8D0000}"/>
    <cellStyle name="þ_x001d_ðK_x000c_&quot;ÿ_x001b__x000d__x0015_ÿU 10" xfId="4883" xr:uid="{00000000-0005-0000-0000-00004B8D0000}"/>
    <cellStyle name="þ_x001d_ðK_x000c_&quot;ÿ_x001b__x000d__x0015_ÿU_x0001_ 10" xfId="4884" xr:uid="{00000000-0005-0000-0000-00004C8D0000}"/>
    <cellStyle name="þ_x001d_ðK_x000c_&quot;ÿ_x001b__x000d__x0015_ÿU 11" xfId="5151" xr:uid="{00000000-0005-0000-0000-00004D8D0000}"/>
    <cellStyle name="þ_x001d_ðK_x000c_&quot;ÿ_x001b__x000d__x0015_ÿU_x0001_ 11" xfId="5067" xr:uid="{00000000-0005-0000-0000-00004E8D0000}"/>
    <cellStyle name="þ_x001d_ðK_x000c_&quot;ÿ_x001b__x000d__x0015_ÿU 12" xfId="4666" xr:uid="{00000000-0005-0000-0000-00004F8D0000}"/>
    <cellStyle name="þ_x001d_ðK_x000c_&quot;ÿ_x001b__x000d__x0015_ÿU_x0001_ 12" xfId="4667" xr:uid="{00000000-0005-0000-0000-0000508D0000}"/>
    <cellStyle name="þ_x001d_ðK_x000c_&quot;ÿ_x001b__x000d__x0015_ÿU 13" xfId="4482" xr:uid="{00000000-0005-0000-0000-0000518D0000}"/>
    <cellStyle name="þ_x001d_ðK_x000c_&quot;ÿ_x001b__x000d__x0015_ÿU_x0001_ 13" xfId="4481" xr:uid="{00000000-0005-0000-0000-0000528D0000}"/>
    <cellStyle name="þ_x001d_ðK_x000c_&quot;ÿ_x001b__x000d__x0015_ÿU 14" xfId="4604" xr:uid="{00000000-0005-0000-0000-0000538D0000}"/>
    <cellStyle name="þ_x001d_ðK_x000c_&quot;ÿ_x001b__x000d__x0015_ÿU_x0001_ 14" xfId="4605" xr:uid="{00000000-0005-0000-0000-0000548D0000}"/>
    <cellStyle name="þ_x001d_ðK_x000c_&quot;ÿ_x001b__x000d__x0015_ÿU 15" xfId="4340" xr:uid="{00000000-0005-0000-0000-0000558D0000}"/>
    <cellStyle name="þ_x001d_ðK_x000c_&quot;ÿ_x001b__x000d__x0015_ÿU_x0001_ 15" xfId="4292" xr:uid="{00000000-0005-0000-0000-0000568D0000}"/>
    <cellStyle name="þ_x001d_ðK_x000c_&quot;ÿ_x001b__x000d__x0015_ÿU 16" xfId="4747" xr:uid="{00000000-0005-0000-0000-0000578D0000}"/>
    <cellStyle name="þ_x001d_ðK_x000c_&quot;ÿ_x001b__x000d__x0015_ÿU_x0001_ 16" xfId="5956" xr:uid="{00000000-0005-0000-0000-0000588D0000}"/>
    <cellStyle name="þ_x001d_ðK_x000c_&quot;ÿ_x001b__x000d__x0015_ÿU 17" xfId="4852" xr:uid="{00000000-0005-0000-0000-0000598D0000}"/>
    <cellStyle name="þ_x001d_ðK_x000c_&quot;ÿ_x001b__x000d__x0015_ÿU_x0001_ 17" xfId="4447" xr:uid="{00000000-0005-0000-0000-00005A8D0000}"/>
    <cellStyle name="þ_x001d_ðK_x000c_&quot;ÿ_x001b__x000d__x0015_ÿU 18" xfId="5841" xr:uid="{00000000-0005-0000-0000-00005B8D0000}"/>
    <cellStyle name="þ_x001d_ðK_x000c_&quot;ÿ_x001b__x000d__x0015_ÿU_x0001_ 18" xfId="5032" xr:uid="{00000000-0005-0000-0000-00005C8D0000}"/>
    <cellStyle name="þ_x001d_ðK_x000c_&quot;ÿ_x001b__x000d__x0015_ÿU 19" xfId="5231" xr:uid="{00000000-0005-0000-0000-00005D8D0000}"/>
    <cellStyle name="þ_x001d_ðK_x000c_&quot;ÿ_x001b__x000d__x0015_ÿU_x0001_ 19" xfId="5994" xr:uid="{00000000-0005-0000-0000-00005E8D0000}"/>
    <cellStyle name="þ_x001d_ðK_x000c_&quot;ÿ_x001b__x000d__x0015_ÿU 2" xfId="3433" xr:uid="{00000000-0005-0000-0000-00005F8D0000}"/>
    <cellStyle name="þ_x001d_ðK_x000c_&quot;ÿ_x001b__x000d__x0015_ÿU_x0001_ 2" xfId="3434" xr:uid="{00000000-0005-0000-0000-0000608D0000}"/>
    <cellStyle name="þ_x001d_ðK_x000c_&quot;ÿ_x001b__x000d__x0015_ÿU 20" xfId="4408" xr:uid="{00000000-0005-0000-0000-0000618D0000}"/>
    <cellStyle name="þ_x001d_ðK_x000c_&quot;ÿ_x001b__x000d__x0015_ÿU_x0001_ 20" xfId="5222" xr:uid="{00000000-0005-0000-0000-0000628D0000}"/>
    <cellStyle name="þ_x001d_ðK_x000c_&quot;ÿ_x001b__x000d__x0015_ÿU 21" xfId="5957" xr:uid="{00000000-0005-0000-0000-0000638D0000}"/>
    <cellStyle name="þ_x001d_ðK_x000c_&quot;ÿ_x001b__x000d__x0015_ÿU_x0001_ 21" xfId="5653" xr:uid="{00000000-0005-0000-0000-0000648D0000}"/>
    <cellStyle name="þ_x001d_ðK_x000c_&quot;ÿ_x001b__x000d__x0015_ÿU 22" xfId="5007" xr:uid="{00000000-0005-0000-0000-0000658D0000}"/>
    <cellStyle name="þ_x001d_ðK_x000c_&quot;ÿ_x001b__x000d__x0015_ÿU_x0001_ 22" xfId="6091" xr:uid="{00000000-0005-0000-0000-0000668D0000}"/>
    <cellStyle name="þ_x001d_ðK_x000c_&quot;ÿ_x001b__x000d__x0015_ÿU 23" xfId="5582" xr:uid="{00000000-0005-0000-0000-0000678D0000}"/>
    <cellStyle name="þ_x001d_ðK_x000c_&quot;ÿ_x001b__x000d__x0015_ÿU_x0001_ 23" xfId="4531" xr:uid="{00000000-0005-0000-0000-0000688D0000}"/>
    <cellStyle name="þ_x001d_ðK_x000c_&quot;ÿ_x001b__x000d__x0015_ÿU 24" xfId="5651" xr:uid="{00000000-0005-0000-0000-0000698D0000}"/>
    <cellStyle name="þ_x001d_ðK_x000c_&quot;ÿ_x001b__x000d__x0015_ÿU_x0001_ 24" xfId="5537" xr:uid="{00000000-0005-0000-0000-00006A8D0000}"/>
    <cellStyle name="þ_x001d_ðK_x000c_&quot;ÿ_x001b__x000d__x0015_ÿU 25" xfId="5130" xr:uid="{00000000-0005-0000-0000-00006B8D0000}"/>
    <cellStyle name="þ_x001d_ðK_x000c_&quot;ÿ_x001b__x000d__x0015_ÿU_x0001_ 25" xfId="5388" xr:uid="{00000000-0005-0000-0000-00006C8D0000}"/>
    <cellStyle name="þ_x001d_ðK_x000c_&quot;ÿ_x001b__x000d__x0015_ÿU 26" xfId="4641" xr:uid="{00000000-0005-0000-0000-00006D8D0000}"/>
    <cellStyle name="þ_x001d_ðK_x000c_&quot;ÿ_x001b__x000d__x0015_ÿU_x0001_ 26" xfId="4245" xr:uid="{00000000-0005-0000-0000-00006E8D0000}"/>
    <cellStyle name="þ_x001d_ðK_x000c_&quot;ÿ_x001b__x000d__x0015_ÿU 27" xfId="4268" xr:uid="{00000000-0005-0000-0000-00006F8D0000}"/>
    <cellStyle name="þ_x001d_ðK_x000c_&quot;ÿ_x001b__x000d__x0015_ÿU_x0001_ 27" xfId="5185" xr:uid="{00000000-0005-0000-0000-0000708D0000}"/>
    <cellStyle name="þ_x001d_ðK_x000c_&quot;ÿ_x001b__x000d__x0015_ÿU 28" xfId="6443" xr:uid="{00000000-0005-0000-0000-0000718D0000}"/>
    <cellStyle name="þ_x001d_ðK_x000c_&quot;ÿ_x001b__x000d__x0015_ÿU_x0001_ 28" xfId="6444" xr:uid="{00000000-0005-0000-0000-0000728D0000}"/>
    <cellStyle name="þ_x001d_ðK_x000c_&quot;ÿ_x001b__x000d__x0015_ÿU 29" xfId="6420" xr:uid="{00000000-0005-0000-0000-0000738D0000}"/>
    <cellStyle name="þ_x001d_ðK_x000c_&quot;ÿ_x001b__x000d__x0015_ÿU_x0001_ 29" xfId="6419" xr:uid="{00000000-0005-0000-0000-0000748D0000}"/>
    <cellStyle name="þ_x001d_ðK_x000c_&quot;ÿ_x001b__x000d__x0015_ÿU 3" xfId="3575" xr:uid="{00000000-0005-0000-0000-0000758D0000}"/>
    <cellStyle name="þ_x001d_ðK_x000c_&quot;ÿ_x001b__x000d__x0015_ÿU_x0001_ 3" xfId="3567" xr:uid="{00000000-0005-0000-0000-0000768D0000}"/>
    <cellStyle name="þ_x001d_ðK_x000c_&quot;ÿ_x001b__x000d__x0015_ÿU 30" xfId="6435" xr:uid="{00000000-0005-0000-0000-0000778D0000}"/>
    <cellStyle name="þ_x001d_ðK_x000c_&quot;ÿ_x001b__x000d__x0015_ÿU_x0001_ 30" xfId="6436" xr:uid="{00000000-0005-0000-0000-0000788D0000}"/>
    <cellStyle name="þ_x001d_ðK_x000c_&quot;ÿ_x001b__x000d__x0015_ÿU 31" xfId="6960" xr:uid="{00000000-0005-0000-0000-0000798D0000}"/>
    <cellStyle name="þ_x001d_ðK_x000c_&quot;ÿ_x001b__x000d__x0015_ÿU_x0001_ 31" xfId="6961" xr:uid="{00000000-0005-0000-0000-00007A8D0000}"/>
    <cellStyle name="þ_x001d_ðK_x000c_&quot;ÿ_x001b__x000d__x0015_ÿU 32" xfId="7985" xr:uid="{00000000-0005-0000-0000-00007B8D0000}"/>
    <cellStyle name="þ_x001d_ðK_x000c_&quot;ÿ_x001b__x000d__x0015_ÿU_x0001_ 32" xfId="7986" xr:uid="{00000000-0005-0000-0000-00007C8D0000}"/>
    <cellStyle name="þ_x001d_ðK_x000c_&quot;ÿ_x001b__x000d__x0015_ÿU 33" xfId="8088" xr:uid="{00000000-0005-0000-0000-00007D8D0000}"/>
    <cellStyle name="þ_x001d_ðK_x000c_&quot;ÿ_x001b__x000d__x0015_ÿU_x0001_ 33" xfId="8085" xr:uid="{00000000-0005-0000-0000-00007E8D0000}"/>
    <cellStyle name="þ_x001d_ðK_x000c_&quot;ÿ_x001b__x000d__x0015_ÿU 34" xfId="8521" xr:uid="{00000000-0005-0000-0000-00007F8D0000}"/>
    <cellStyle name="þ_x001d_ðK_x000c_&quot;ÿ_x001b__x000d__x0015_ÿU_x0001_ 34" xfId="8529" xr:uid="{00000000-0005-0000-0000-0000808D0000}"/>
    <cellStyle name="þ_x001d_ðK_x000c_&quot;ÿ_x001b__x000d__x0015_ÿU 35" xfId="8316" xr:uid="{00000000-0005-0000-0000-0000818D0000}"/>
    <cellStyle name="þ_x001d_ðK_x000c_&quot;ÿ_x001b__x000d__x0015_ÿU_x0001_ 35" xfId="8304" xr:uid="{00000000-0005-0000-0000-0000828D0000}"/>
    <cellStyle name="þ_x001d_ðK_x000c_&quot;ÿ_x001b__x000d__x0015_ÿU 36" xfId="8562" xr:uid="{00000000-0005-0000-0000-0000838D0000}"/>
    <cellStyle name="þ_x001d_ðK_x000c_&quot;ÿ_x001b__x000d__x0015_ÿU_x0001_ 36" xfId="8143" xr:uid="{00000000-0005-0000-0000-0000848D0000}"/>
    <cellStyle name="þ_x001d_ðK_x000c_&quot;ÿ_x001b__x000d__x0015_ÿU 37" xfId="8086" xr:uid="{00000000-0005-0000-0000-0000858D0000}"/>
    <cellStyle name="þ_x001d_ðK_x000c_&quot;ÿ_x001b__x000d__x0015_ÿU_x0001_ 37" xfId="7809" xr:uid="{00000000-0005-0000-0000-0000868D0000}"/>
    <cellStyle name="þ_x001d_ðK_x000c_&quot;ÿ_x001b__x000d__x0015_ÿU 38" xfId="9431" xr:uid="{00000000-0005-0000-0000-0000878D0000}"/>
    <cellStyle name="þ_x001d_ðK_x000c_&quot;ÿ_x001b__x000d__x0015_ÿU_x0001_ 38" xfId="7831" xr:uid="{00000000-0005-0000-0000-0000888D0000}"/>
    <cellStyle name="þ_x001d_ðK_x000c_&quot;ÿ_x001b__x000d__x0015_ÿU 39" xfId="9603" xr:uid="{00000000-0005-0000-0000-0000898D0000}"/>
    <cellStyle name="þ_x001d_ðK_x000c_&quot;ÿ_x001b__x000d__x0015_ÿU_x0001_ 39" xfId="9604" xr:uid="{00000000-0005-0000-0000-00008A8D0000}"/>
    <cellStyle name="þ_x001d_ðK_x000c_&quot;ÿ_x001b__x000d__x0015_ÿU 4" xfId="3304" xr:uid="{00000000-0005-0000-0000-00008B8D0000}"/>
    <cellStyle name="þ_x001d_ðK_x000c_&quot;ÿ_x001b__x000d__x0015_ÿU_x0001_ 4" xfId="3311" xr:uid="{00000000-0005-0000-0000-00008C8D0000}"/>
    <cellStyle name="þ_x001d_ðK_x000c_&quot;ÿ_x001b__x000d__x0015_ÿU 40" xfId="20707" xr:uid="{00000000-0005-0000-0000-00008D8D0000}"/>
    <cellStyle name="þ_x001d_ðK_x000c_&quot;ÿ_x001b__x000d__x0015_ÿU_x0001_ 40" xfId="20708" xr:uid="{00000000-0005-0000-0000-00008E8D0000}"/>
    <cellStyle name="þ_x001d_ðK_x000c_&quot;ÿ_x001b__x000d__x0015_ÿU 41" xfId="20709" xr:uid="{00000000-0005-0000-0000-00008F8D0000}"/>
    <cellStyle name="þ_x001d_ðK_x000c_&quot;ÿ_x001b__x000d__x0015_ÿU_x0001_ 41" xfId="20710" xr:uid="{00000000-0005-0000-0000-0000908D0000}"/>
    <cellStyle name="þ_x001d_ðK_x000c_&quot;ÿ_x001b__x000d__x0015_ÿU 42" xfId="20711" xr:uid="{00000000-0005-0000-0000-0000918D0000}"/>
    <cellStyle name="þ_x001d_ðK_x000c_&quot;ÿ_x001b__x000d__x0015_ÿU_x0001_ 42" xfId="20712" xr:uid="{00000000-0005-0000-0000-0000928D0000}"/>
    <cellStyle name="þ_x001d_ðK_x000c_&quot;ÿ_x001b__x000d__x0015_ÿU 43" xfId="20817" xr:uid="{00000000-0005-0000-0000-0000938D0000}"/>
    <cellStyle name="þ_x001d_ðK_x000c_&quot;ÿ_x001b__x000d__x0015_ÿU_x0001_ 43" xfId="20818" xr:uid="{00000000-0005-0000-0000-0000948D0000}"/>
    <cellStyle name="þ_x001d_ðK_x000c_&quot;ÿ_x001b__x000d__x0015_ÿU 5" xfId="3571" xr:uid="{00000000-0005-0000-0000-0000958D0000}"/>
    <cellStyle name="þ_x001d_ðK_x000c_&quot;ÿ_x001b__x000d__x0015_ÿU_x0001_ 5" xfId="3569" xr:uid="{00000000-0005-0000-0000-0000968D0000}"/>
    <cellStyle name="þ_x001d_ðK_x000c_&quot;ÿ_x001b__x000d__x0015_ÿU 6" xfId="3793" xr:uid="{00000000-0005-0000-0000-0000978D0000}"/>
    <cellStyle name="þ_x001d_ðK_x000c_&quot;ÿ_x001b__x000d__x0015_ÿU_x0001_ 6" xfId="3794" xr:uid="{00000000-0005-0000-0000-0000988D0000}"/>
    <cellStyle name="þ_x001d_ðK_x000c_&quot;ÿ_x001b__x000d__x0015_ÿU 7" xfId="3910" xr:uid="{00000000-0005-0000-0000-0000998D0000}"/>
    <cellStyle name="þ_x001d_ðK_x000c_&quot;ÿ_x001b__x000d__x0015_ÿU_x0001_ 7" xfId="3920" xr:uid="{00000000-0005-0000-0000-00009A8D0000}"/>
    <cellStyle name="þ_x001d_ðK_x000c_&quot;ÿ_x001b__x000d__x0015_ÿU 8" xfId="3783" xr:uid="{00000000-0005-0000-0000-00009B8D0000}"/>
    <cellStyle name="þ_x001d_ðK_x000c_&quot;ÿ_x001b__x000d__x0015_ÿU_x0001_ 8" xfId="3782" xr:uid="{00000000-0005-0000-0000-00009C8D0000}"/>
    <cellStyle name="þ_x001d_ðK_x000c_&quot;ÿ_x001b__x000d__x0015_ÿU 9" xfId="4055" xr:uid="{00000000-0005-0000-0000-00009D8D0000}"/>
    <cellStyle name="þ_x001d_ðK_x000c_&quot;ÿ_x001b__x000d__x0015_ÿU_x0001_ 9" xfId="4056" xr:uid="{00000000-0005-0000-0000-00009E8D0000}"/>
    <cellStyle name="þ_x001d_ðK_x000c_&quot;ÿ_x001b__x000d__x0015_ÿU_x0001_¤_x0005_û" xfId="2128" xr:uid="{00000000-0005-0000-0000-00009F8D0000}"/>
    <cellStyle name="þ_x001d_ðK_x000c_&quot;ÿ_x001b__x000d__x0015_ÿU_x0001_¤_x0005_û_x0006__x0007__x0001_" xfId="2129" xr:uid="{00000000-0005-0000-0000-0000A08D0000}"/>
    <cellStyle name="þ_x001d_ðK_x000c_&quot;ÿ_x001b__x000d__x0015_ÿU_x0001_¤_x0005_û_x0006__x0007__x0001__x0001_" xfId="2130" xr:uid="{00000000-0005-0000-0000-0000A18D0000}"/>
    <cellStyle name="þ_x001d_ðK_x000c_&quot;ÿ_x001b__x000d__x0015_ÿU_x0001_¤_x0005_û 10" xfId="4885" xr:uid="{00000000-0005-0000-0000-0000A28D0000}"/>
    <cellStyle name="þ_x001d_ðK_x000c_&quot;ÿ_x001b__x000d__x0015_ÿU_x0001_¤_x0005_û_x0006__x0007__x0001_ 10" xfId="4886" xr:uid="{00000000-0005-0000-0000-0000A38D0000}"/>
    <cellStyle name="þ_x001d_ðK_x000c_&quot;ÿ_x001b__x000d__x0015_ÿU_x0001_¤_x0005_û_x0006__x0007__x0001__x0001_ 10" xfId="4887" xr:uid="{00000000-0005-0000-0000-0000A48D0000}"/>
    <cellStyle name="þ_x001d_ðK_x000c_&quot;ÿ_x001b__x000d__x0015_ÿU_x0001_¤_x0005_û 11" xfId="4406" xr:uid="{00000000-0005-0000-0000-0000A58D0000}"/>
    <cellStyle name="þ_x001d_ðK_x000c_&quot;ÿ_x001b__x000d__x0015_ÿU_x0001_¤_x0005_û_x0006__x0007__x0001_ 11" xfId="5213" xr:uid="{00000000-0005-0000-0000-0000A68D0000}"/>
    <cellStyle name="þ_x001d_ðK_x000c_&quot;ÿ_x001b__x000d__x0015_ÿU_x0001_¤_x0005_û_x0006__x0007__x0001__x0001_ 11" xfId="5084" xr:uid="{00000000-0005-0000-0000-0000A78D0000}"/>
    <cellStyle name="þ_x001d_ðK_x000c_&quot;ÿ_x001b__x000d__x0015_ÿU_x0001_¤_x0005_û 12" xfId="4668" xr:uid="{00000000-0005-0000-0000-0000A88D0000}"/>
    <cellStyle name="þ_x001d_ðK_x000c_&quot;ÿ_x001b__x000d__x0015_ÿU_x0001_¤_x0005_û_x0006__x0007__x0001_ 12" xfId="4669" xr:uid="{00000000-0005-0000-0000-0000A98D0000}"/>
    <cellStyle name="þ_x001d_ðK_x000c_&quot;ÿ_x001b__x000d__x0015_ÿU_x0001_¤_x0005_û_x0006__x0007__x0001__x0001_ 12" xfId="4670" xr:uid="{00000000-0005-0000-0000-0000AA8D0000}"/>
    <cellStyle name="þ_x001d_ðK_x000c_&quot;ÿ_x001b__x000d__x0015_ÿU_x0001_¤_x0005_û 13" xfId="5912" xr:uid="{00000000-0005-0000-0000-0000AB8D0000}"/>
    <cellStyle name="þ_x001d_ðK_x000c_&quot;ÿ_x001b__x000d__x0015_ÿU_x0001_¤_x0005_û_x0006__x0007__x0001_ 13" xfId="5924" xr:uid="{00000000-0005-0000-0000-0000AC8D0000}"/>
    <cellStyle name="þ_x001d_ðK_x000c_&quot;ÿ_x001b__x000d__x0015_ÿU_x0001_¤_x0005_û_x0006__x0007__x0001__x0001_ 13" xfId="5950" xr:uid="{00000000-0005-0000-0000-0000AD8D0000}"/>
    <cellStyle name="þ_x001d_ðK_x000c_&quot;ÿ_x001b__x000d__x0015_ÿU_x0001_¤_x0005_û 14" xfId="5463" xr:uid="{00000000-0005-0000-0000-0000AE8D0000}"/>
    <cellStyle name="þ_x001d_ðK_x000c_&quot;ÿ_x001b__x000d__x0015_ÿU_x0001_¤_x0005_û_x0006__x0007__x0001_ 14" xfId="5482" xr:uid="{00000000-0005-0000-0000-0000AF8D0000}"/>
    <cellStyle name="þ_x001d_ðK_x000c_&quot;ÿ_x001b__x000d__x0015_ÿU_x0001_¤_x0005_û_x0006__x0007__x0001__x0001_ 14" xfId="5976" xr:uid="{00000000-0005-0000-0000-0000B08D0000}"/>
    <cellStyle name="þ_x001d_ðK_x000c_&quot;ÿ_x001b__x000d__x0015_ÿU_x0001_¤_x0005_û 15" xfId="4912" xr:uid="{00000000-0005-0000-0000-0000B18D0000}"/>
    <cellStyle name="þ_x001d_ðK_x000c_&quot;ÿ_x001b__x000d__x0015_ÿU_x0001_¤_x0005_û_x0006__x0007__x0001_ 15" xfId="4881" xr:uid="{00000000-0005-0000-0000-0000B28D0000}"/>
    <cellStyle name="þ_x001d_ðK_x000c_&quot;ÿ_x001b__x000d__x0015_ÿU_x0001_¤_x0005_û_x0006__x0007__x0001__x0001_ 15" xfId="6006" xr:uid="{00000000-0005-0000-0000-0000B38D0000}"/>
    <cellStyle name="þ_x001d_ðK_x000c_&quot;ÿ_x001b__x000d__x0015_ÿU_x0001_¤_x0005_û 16" xfId="4483" xr:uid="{00000000-0005-0000-0000-0000B48D0000}"/>
    <cellStyle name="þ_x001d_ðK_x000c_&quot;ÿ_x001b__x000d__x0015_ÿU_x0001_¤_x0005_û_x0006__x0007__x0001_ 16" xfId="4489" xr:uid="{00000000-0005-0000-0000-0000B58D0000}"/>
    <cellStyle name="þ_x001d_ðK_x000c_&quot;ÿ_x001b__x000d__x0015_ÿU_x0001_¤_x0005_û_x0006__x0007__x0001__x0001_ 16" xfId="5458" xr:uid="{00000000-0005-0000-0000-0000B68D0000}"/>
    <cellStyle name="þ_x001d_ðK_x000c_&quot;ÿ_x001b__x000d__x0015_ÿU_x0001_¤_x0005_û 17" xfId="5457" xr:uid="{00000000-0005-0000-0000-0000B78D0000}"/>
    <cellStyle name="þ_x001d_ðK_x000c_&quot;ÿ_x001b__x000d__x0015_ÿU_x0001_¤_x0005_û_x0006__x0007__x0001_ 17" xfId="4798" xr:uid="{00000000-0005-0000-0000-0000B88D0000}"/>
    <cellStyle name="þ_x001d_ðK_x000c_&quot;ÿ_x001b__x000d__x0015_ÿU_x0001_¤_x0005_û_x0006__x0007__x0001__x0001_ 17" xfId="4351" xr:uid="{00000000-0005-0000-0000-0000B98D0000}"/>
    <cellStyle name="þ_x001d_ðK_x000c_&quot;ÿ_x001b__x000d__x0015_ÿU_x0001_¤_x0005_û 18" xfId="5839" xr:uid="{00000000-0005-0000-0000-0000BA8D0000}"/>
    <cellStyle name="þ_x001d_ðK_x000c_&quot;ÿ_x001b__x000d__x0015_ÿU_x0001_¤_x0005_û_x0006__x0007__x0001_ 18" xfId="4274" xr:uid="{00000000-0005-0000-0000-0000BB8D0000}"/>
    <cellStyle name="þ_x001d_ðK_x000c_&quot;ÿ_x001b__x000d__x0015_ÿU_x0001_¤_x0005_û_x0006__x0007__x0001__x0001_ 18" xfId="5896" xr:uid="{00000000-0005-0000-0000-0000BC8D0000}"/>
    <cellStyle name="þ_x001d_ðK_x000c_&quot;ÿ_x001b__x000d__x0015_ÿU_x0001_¤_x0005_û 19" xfId="4506" xr:uid="{00000000-0005-0000-0000-0000BD8D0000}"/>
    <cellStyle name="þ_x001d_ðK_x000c_&quot;ÿ_x001b__x000d__x0015_ÿU_x0001_¤_x0005_û_x0006__x0007__x0001_ 19" xfId="6008" xr:uid="{00000000-0005-0000-0000-0000BE8D0000}"/>
    <cellStyle name="þ_x001d_ðK_x000c_&quot;ÿ_x001b__x000d__x0015_ÿU_x0001_¤_x0005_û_x0006__x0007__x0001__x0001_ 19" xfId="4560" xr:uid="{00000000-0005-0000-0000-0000BF8D0000}"/>
    <cellStyle name="þ_x001d_ðK_x000c_&quot;ÿ_x001b__x000d__x0015_ÿU_x0001_¤_x0005_û 2" xfId="3435" xr:uid="{00000000-0005-0000-0000-0000C08D0000}"/>
    <cellStyle name="þ_x001d_ðK_x000c_&quot;ÿ_x001b__x000d__x0015_ÿU_x0001_¤_x0005_û_x0006__x0007__x0001_ 2" xfId="3436" xr:uid="{00000000-0005-0000-0000-0000C18D0000}"/>
    <cellStyle name="þ_x001d_ðK_x000c_&quot;ÿ_x001b__x000d__x0015_ÿU_x0001_¤_x0005_û_x0006__x0007__x0001__x0001_ 2" xfId="3437" xr:uid="{00000000-0005-0000-0000-0000C28D0000}"/>
    <cellStyle name="þ_x001d_ðK_x000c_&quot;ÿ_x001b__x000d__x0015_ÿU_x0001_¤_x0005_û 20" xfId="5242" xr:uid="{00000000-0005-0000-0000-0000C38D0000}"/>
    <cellStyle name="þ_x001d_ðK_x000c_&quot;ÿ_x001b__x000d__x0015_ÿU_x0001_¤_x0005_û_x0006__x0007__x0001_ 20" xfId="6145" xr:uid="{00000000-0005-0000-0000-0000C48D0000}"/>
    <cellStyle name="þ_x001d_ðK_x000c_&quot;ÿ_x001b__x000d__x0015_ÿU_x0001_¤_x0005_û_x0006__x0007__x0001__x0001_ 20" xfId="6165" xr:uid="{00000000-0005-0000-0000-0000C58D0000}"/>
    <cellStyle name="þ_x001d_ðK_x000c_&quot;ÿ_x001b__x000d__x0015_ÿU_x0001_¤_x0005_û 21" xfId="5509" xr:uid="{00000000-0005-0000-0000-0000C68D0000}"/>
    <cellStyle name="þ_x001d_ðK_x000c_&quot;ÿ_x001b__x000d__x0015_ÿU_x0001_¤_x0005_û_x0006__x0007__x0001_ 21" xfId="5467" xr:uid="{00000000-0005-0000-0000-0000C78D0000}"/>
    <cellStyle name="þ_x001d_ðK_x000c_&quot;ÿ_x001b__x000d__x0015_ÿU_x0001_¤_x0005_û_x0006__x0007__x0001__x0001_ 21" xfId="6184" xr:uid="{00000000-0005-0000-0000-0000C88D0000}"/>
    <cellStyle name="þ_x001d_ðK_x000c_&quot;ÿ_x001b__x000d__x0015_ÿU_x0001_¤_x0005_û 22" xfId="6052" xr:uid="{00000000-0005-0000-0000-0000C98D0000}"/>
    <cellStyle name="þ_x001d_ðK_x000c_&quot;ÿ_x001b__x000d__x0015_ÿU_x0001_¤_x0005_û_x0006__x0007__x0001_ 22" xfId="6074" xr:uid="{00000000-0005-0000-0000-0000CA8D0000}"/>
    <cellStyle name="þ_x001d_ðK_x000c_&quot;ÿ_x001b__x000d__x0015_ÿU_x0001_¤_x0005_û_x0006__x0007__x0001__x0001_ 22" xfId="6200" xr:uid="{00000000-0005-0000-0000-0000CB8D0000}"/>
    <cellStyle name="þ_x001d_ðK_x000c_&quot;ÿ_x001b__x000d__x0015_ÿU_x0001_¤_x0005_û 23" xfId="6030" xr:uid="{00000000-0005-0000-0000-0000CC8D0000}"/>
    <cellStyle name="þ_x001d_ðK_x000c_&quot;ÿ_x001b__x000d__x0015_ÿU_x0001_¤_x0005_û_x0006__x0007__x0001_ 23" xfId="4601" xr:uid="{00000000-0005-0000-0000-0000CD8D0000}"/>
    <cellStyle name="þ_x001d_ðK_x000c_&quot;ÿ_x001b__x000d__x0015_ÿU_x0001_¤_x0005_û_x0006__x0007__x0001__x0001_ 23" xfId="6214" xr:uid="{00000000-0005-0000-0000-0000CE8D0000}"/>
    <cellStyle name="þ_x001d_ðK_x000c_&quot;ÿ_x001b__x000d__x0015_ÿU_x0001_¤_x0005_û 24" xfId="5325" xr:uid="{00000000-0005-0000-0000-0000CF8D0000}"/>
    <cellStyle name="þ_x001d_ðK_x000c_&quot;ÿ_x001b__x000d__x0015_ÿU_x0001_¤_x0005_û_x0006__x0007__x0001_ 24" xfId="4487" xr:uid="{00000000-0005-0000-0000-0000D08D0000}"/>
    <cellStyle name="þ_x001d_ðK_x000c_&quot;ÿ_x001b__x000d__x0015_ÿU_x0001_¤_x0005_û_x0006__x0007__x0001__x0001_ 24" xfId="6227" xr:uid="{00000000-0005-0000-0000-0000D18D0000}"/>
    <cellStyle name="þ_x001d_ðK_x000c_&quot;ÿ_x001b__x000d__x0015_ÿU_x0001_¤_x0005_û 25" xfId="5947" xr:uid="{00000000-0005-0000-0000-0000D28D0000}"/>
    <cellStyle name="þ_x001d_ðK_x000c_&quot;ÿ_x001b__x000d__x0015_ÿU_x0001_¤_x0005_û_x0006__x0007__x0001_ 25" xfId="4419" xr:uid="{00000000-0005-0000-0000-0000D38D0000}"/>
    <cellStyle name="þ_x001d_ðK_x000c_&quot;ÿ_x001b__x000d__x0015_ÿU_x0001_¤_x0005_û_x0006__x0007__x0001__x0001_ 25" xfId="6235" xr:uid="{00000000-0005-0000-0000-0000D48D0000}"/>
    <cellStyle name="þ_x001d_ðK_x000c_&quot;ÿ_x001b__x000d__x0015_ÿU_x0001_¤_x0005_û 26" xfId="6071" xr:uid="{00000000-0005-0000-0000-0000D58D0000}"/>
    <cellStyle name="þ_x001d_ðK_x000c_&quot;ÿ_x001b__x000d__x0015_ÿU_x0001_¤_x0005_û_x0006__x0007__x0001_ 26" xfId="6126" xr:uid="{00000000-0005-0000-0000-0000D68D0000}"/>
    <cellStyle name="þ_x001d_ðK_x000c_&quot;ÿ_x001b__x000d__x0015_ÿU_x0001_¤_x0005_û_x0006__x0007__x0001__x0001_ 26" xfId="6242" xr:uid="{00000000-0005-0000-0000-0000D78D0000}"/>
    <cellStyle name="þ_x001d_ðK_x000c_&quot;ÿ_x001b__x000d__x0015_ÿU_x0001_¤_x0005_û 27" xfId="4875" xr:uid="{00000000-0005-0000-0000-0000D88D0000}"/>
    <cellStyle name="þ_x001d_ðK_x000c_&quot;ÿ_x001b__x000d__x0015_ÿU_x0001_¤_x0005_û_x0006__x0007__x0001_ 27" xfId="5999" xr:uid="{00000000-0005-0000-0000-0000D98D0000}"/>
    <cellStyle name="þ_x001d_ðK_x000c_&quot;ÿ_x001b__x000d__x0015_ÿU_x0001_¤_x0005_û_x0006__x0007__x0001__x0001_ 27" xfId="6249" xr:uid="{00000000-0005-0000-0000-0000DA8D0000}"/>
    <cellStyle name="þ_x001d_ðK_x000c_&quot;ÿ_x001b__x000d__x0015_ÿU_x0001_¤_x0005_û 28" xfId="6445" xr:uid="{00000000-0005-0000-0000-0000DB8D0000}"/>
    <cellStyle name="þ_x001d_ðK_x000c_&quot;ÿ_x001b__x000d__x0015_ÿU_x0001_¤_x0005_û_x0006__x0007__x0001_ 28" xfId="6446" xr:uid="{00000000-0005-0000-0000-0000DC8D0000}"/>
    <cellStyle name="þ_x001d_ðK_x000c_&quot;ÿ_x001b__x000d__x0015_ÿU_x0001_¤_x0005_û_x0006__x0007__x0001__x0001_ 28" xfId="6447" xr:uid="{00000000-0005-0000-0000-0000DD8D0000}"/>
    <cellStyle name="þ_x001d_ðK_x000c_&quot;ÿ_x001b__x000d__x0015_ÿU_x0001_¤_x0005_û 29" xfId="6418" xr:uid="{00000000-0005-0000-0000-0000DE8D0000}"/>
    <cellStyle name="þ_x001d_ðK_x000c_&quot;ÿ_x001b__x000d__x0015_ÿU_x0001_¤_x0005_û_x0006__x0007__x0001_ 29" xfId="6417" xr:uid="{00000000-0005-0000-0000-0000DF8D0000}"/>
    <cellStyle name="þ_x001d_ðK_x000c_&quot;ÿ_x001b__x000d__x0015_ÿU_x0001_¤_x0005_û_x0006__x0007__x0001__x0001_ 29" xfId="6416" xr:uid="{00000000-0005-0000-0000-0000E08D0000}"/>
    <cellStyle name="þ_x001d_ðK_x000c_&quot;ÿ_x001b__x000d__x0015_ÿU_x0001_¤_x0005_û 3" xfId="3215" xr:uid="{00000000-0005-0000-0000-0000E18D0000}"/>
    <cellStyle name="þ_x001d_ðK_x000c_&quot;ÿ_x001b__x000d__x0015_ÿU_x0001_¤_x0005_û_x0006__x0007__x0001_ 3" xfId="3214" xr:uid="{00000000-0005-0000-0000-0000E28D0000}"/>
    <cellStyle name="þ_x001d_ðK_x000c_&quot;ÿ_x001b__x000d__x0015_ÿU_x0001_¤_x0005_û_x0006__x0007__x0001__x0001_ 3" xfId="3213" xr:uid="{00000000-0005-0000-0000-0000E38D0000}"/>
    <cellStyle name="þ_x001d_ðK_x000c_&quot;ÿ_x001b__x000d__x0015_ÿU_x0001_¤_x0005_û 30" xfId="6523" xr:uid="{00000000-0005-0000-0000-0000E48D0000}"/>
    <cellStyle name="þ_x001d_ðK_x000c_&quot;ÿ_x001b__x000d__x0015_ÿU_x0001_¤_x0005_û_x0006__x0007__x0001_ 30" xfId="6346" xr:uid="{00000000-0005-0000-0000-0000E58D0000}"/>
    <cellStyle name="þ_x001d_ðK_x000c_&quot;ÿ_x001b__x000d__x0015_ÿU_x0001_¤_x0005_û_x0006__x0007__x0001__x0001_ 30" xfId="6521" xr:uid="{00000000-0005-0000-0000-0000E68D0000}"/>
    <cellStyle name="þ_x001d_ðK_x000c_&quot;ÿ_x001b__x000d__x0015_ÿU_x0001_¤_x0005_û 31" xfId="6962" xr:uid="{00000000-0005-0000-0000-0000E78D0000}"/>
    <cellStyle name="þ_x001d_ðK_x000c_&quot;ÿ_x001b__x000d__x0015_ÿU_x0001_¤_x0005_û_x0006__x0007__x0001_ 31" xfId="6963" xr:uid="{00000000-0005-0000-0000-0000E88D0000}"/>
    <cellStyle name="þ_x001d_ðK_x000c_&quot;ÿ_x001b__x000d__x0015_ÿU_x0001_¤_x0005_û_x0006__x0007__x0001__x0001_ 31" xfId="6964" xr:uid="{00000000-0005-0000-0000-0000E98D0000}"/>
    <cellStyle name="þ_x001d_ðK_x000c_&quot;ÿ_x001b__x000d__x0015_ÿU_x0001_¤_x0005_û 32" xfId="7987" xr:uid="{00000000-0005-0000-0000-0000EA8D0000}"/>
    <cellStyle name="þ_x001d_ðK_x000c_&quot;ÿ_x001b__x000d__x0015_ÿU_x0001_¤_x0005_û_x0006__x0007__x0001_ 32" xfId="7988" xr:uid="{00000000-0005-0000-0000-0000EB8D0000}"/>
    <cellStyle name="þ_x001d_ðK_x000c_&quot;ÿ_x001b__x000d__x0015_ÿU_x0001_¤_x0005_û_x0006__x0007__x0001__x0001_ 32" xfId="7989" xr:uid="{00000000-0005-0000-0000-0000EC8D0000}"/>
    <cellStyle name="þ_x001d_ðK_x000c_&quot;ÿ_x001b__x000d__x0015_ÿU_x0001_¤_x0005_û 33" xfId="8087" xr:uid="{00000000-0005-0000-0000-0000ED8D0000}"/>
    <cellStyle name="þ_x001d_ðK_x000c_&quot;ÿ_x001b__x000d__x0015_ÿU_x0001_¤_x0005_û_x0006__x0007__x0001_ 33" xfId="7923" xr:uid="{00000000-0005-0000-0000-0000EE8D0000}"/>
    <cellStyle name="þ_x001d_ðK_x000c_&quot;ÿ_x001b__x000d__x0015_ÿU_x0001_¤_x0005_û_x0006__x0007__x0001__x0001_ 33" xfId="7922" xr:uid="{00000000-0005-0000-0000-0000EF8D0000}"/>
    <cellStyle name="þ_x001d_ðK_x000c_&quot;ÿ_x001b__x000d__x0015_ÿU_x0001_¤_x0005_û 34" xfId="8313" xr:uid="{00000000-0005-0000-0000-0000F08D0000}"/>
    <cellStyle name="þ_x001d_ðK_x000c_&quot;ÿ_x001b__x000d__x0015_ÿU_x0001_¤_x0005_û_x0006__x0007__x0001_ 34" xfId="8545" xr:uid="{00000000-0005-0000-0000-0000F18D0000}"/>
    <cellStyle name="þ_x001d_ðK_x000c_&quot;ÿ_x001b__x000d__x0015_ÿU_x0001_¤_x0005_û_x0006__x0007__x0001__x0001_ 34" xfId="8293" xr:uid="{00000000-0005-0000-0000-0000F28D0000}"/>
    <cellStyle name="þ_x001d_ðK_x000c_&quot;ÿ_x001b__x000d__x0015_ÿU_x0001_¤_x0005_û 35" xfId="8308" xr:uid="{00000000-0005-0000-0000-0000F38D0000}"/>
    <cellStyle name="þ_x001d_ðK_x000c_&quot;ÿ_x001b__x000d__x0015_ÿU_x0001_¤_x0005_û_x0006__x0007__x0001_ 35" xfId="8535" xr:uid="{00000000-0005-0000-0000-0000F48D0000}"/>
    <cellStyle name="þ_x001d_ðK_x000c_&quot;ÿ_x001b__x000d__x0015_ÿU_x0001_¤_x0005_û_x0006__x0007__x0001__x0001_ 35" xfId="8117" xr:uid="{00000000-0005-0000-0000-0000F58D0000}"/>
    <cellStyle name="þ_x001d_ðK_x000c_&quot;ÿ_x001b__x000d__x0015_ÿU_x0001_¤_x0005_û 36" xfId="8295" xr:uid="{00000000-0005-0000-0000-0000F68D0000}"/>
    <cellStyle name="þ_x001d_ðK_x000c_&quot;ÿ_x001b__x000d__x0015_ÿU_x0001_¤_x0005_û_x0006__x0007__x0001_ 36" xfId="8101" xr:uid="{00000000-0005-0000-0000-0000F78D0000}"/>
    <cellStyle name="þ_x001d_ðK_x000c_&quot;ÿ_x001b__x000d__x0015_ÿU_x0001_¤_x0005_û_x0006__x0007__x0001__x0001_ 36" xfId="7976" xr:uid="{00000000-0005-0000-0000-0000F88D0000}"/>
    <cellStyle name="þ_x001d_ðK_x000c_&quot;ÿ_x001b__x000d__x0015_ÿU_x0001_¤_x0005_û 37" xfId="7834" xr:uid="{00000000-0005-0000-0000-0000F98D0000}"/>
    <cellStyle name="þ_x001d_ðK_x000c_&quot;ÿ_x001b__x000d__x0015_ÿU_x0001_¤_x0005_û_x0006__x0007__x0001_ 37" xfId="9451" xr:uid="{00000000-0005-0000-0000-0000FA8D0000}"/>
    <cellStyle name="þ_x001d_ðK_x000c_&quot;ÿ_x001b__x000d__x0015_ÿU_x0001_¤_x0005_û_x0006__x0007__x0001__x0001_ 37" xfId="9453" xr:uid="{00000000-0005-0000-0000-0000FB8D0000}"/>
    <cellStyle name="þ_x001d_ðK_x000c_&quot;ÿ_x001b__x000d__x0015_ÿU_x0001_¤_x0005_û 38" xfId="8114" xr:uid="{00000000-0005-0000-0000-0000FC8D0000}"/>
    <cellStyle name="þ_x001d_ðK_x000c_&quot;ÿ_x001b__x000d__x0015_ÿU_x0001_¤_x0005_û_x0006__x0007__x0001_ 38" xfId="8124" xr:uid="{00000000-0005-0000-0000-0000FD8D0000}"/>
    <cellStyle name="þ_x001d_ðK_x000c_&quot;ÿ_x001b__x000d__x0015_ÿU_x0001_¤_x0005_û_x0006__x0007__x0001__x0001_ 38" xfId="7961" xr:uid="{00000000-0005-0000-0000-0000FE8D0000}"/>
    <cellStyle name="þ_x001d_ðK_x000c_&quot;ÿ_x001b__x000d__x0015_ÿU_x0001_¤_x0005_û 39" xfId="9605" xr:uid="{00000000-0005-0000-0000-0000FF8D0000}"/>
    <cellStyle name="þ_x001d_ðK_x000c_&quot;ÿ_x001b__x000d__x0015_ÿU_x0001_¤_x0005_û_x0006__x0007__x0001_ 39" xfId="9606" xr:uid="{00000000-0005-0000-0000-0000008E0000}"/>
    <cellStyle name="þ_x001d_ðK_x000c_&quot;ÿ_x001b__x000d__x0015_ÿU_x0001_¤_x0005_û_x0006__x0007__x0001__x0001_ 39" xfId="9607" xr:uid="{00000000-0005-0000-0000-0000018E0000}"/>
    <cellStyle name="þ_x001d_ðK_x000c_&quot;ÿ_x001b__x000d__x0015_ÿU_x0001_¤_x0005_û 4" xfId="3312" xr:uid="{00000000-0005-0000-0000-0000028E0000}"/>
    <cellStyle name="þ_x001d_ðK_x000c_&quot;ÿ_x001b__x000d__x0015_ÿU_x0001_¤_x0005_û_x0006__x0007__x0001_ 4" xfId="3313" xr:uid="{00000000-0005-0000-0000-0000038E0000}"/>
    <cellStyle name="þ_x001d_ðK_x000c_&quot;ÿ_x001b__x000d__x0015_ÿU_x0001_¤_x0005_û_x0006__x0007__x0001__x0001_ 4" xfId="3314" xr:uid="{00000000-0005-0000-0000-0000048E0000}"/>
    <cellStyle name="þ_x001d_ðK_x000c_&quot;ÿ_x001b__x000d__x0015_ÿU_x0001_¤_x0005_û 40" xfId="20713" xr:uid="{00000000-0005-0000-0000-0000058E0000}"/>
    <cellStyle name="þ_x001d_ðK_x000c_&quot;ÿ_x001b__x000d__x0015_ÿU_x0001_¤_x0005_û_x0006__x0007__x0001_ 40" xfId="20714" xr:uid="{00000000-0005-0000-0000-0000068E0000}"/>
    <cellStyle name="þ_x001d_ðK_x000c_&quot;ÿ_x001b__x000d__x0015_ÿU_x0001_¤_x0005_û_x0006__x0007__x0001__x0001_ 40" xfId="20715" xr:uid="{00000000-0005-0000-0000-0000078E0000}"/>
    <cellStyle name="þ_x001d_ðK_x000c_&quot;ÿ_x001b__x000d__x0015_ÿU_x0001_¤_x0005_û 41" xfId="20716" xr:uid="{00000000-0005-0000-0000-0000088E0000}"/>
    <cellStyle name="þ_x001d_ðK_x000c_&quot;ÿ_x001b__x000d__x0015_ÿU_x0001_¤_x0005_û_x0006__x0007__x0001_ 41" xfId="20717" xr:uid="{00000000-0005-0000-0000-0000098E0000}"/>
    <cellStyle name="þ_x001d_ðK_x000c_&quot;ÿ_x001b__x000d__x0015_ÿU_x0001_¤_x0005_û_x0006__x0007__x0001__x0001_ 41" xfId="20718" xr:uid="{00000000-0005-0000-0000-00000A8E0000}"/>
    <cellStyle name="þ_x001d_ðK_x000c_&quot;ÿ_x001b__x000d__x0015_ÿU_x0001_¤_x0005_û 42" xfId="20719" xr:uid="{00000000-0005-0000-0000-00000B8E0000}"/>
    <cellStyle name="þ_x001d_ðK_x000c_&quot;ÿ_x001b__x000d__x0015_ÿU_x0001_¤_x0005_û_x0006__x0007__x0001_ 42" xfId="20720" xr:uid="{00000000-0005-0000-0000-00000C8E0000}"/>
    <cellStyle name="þ_x001d_ðK_x000c_&quot;ÿ_x001b__x000d__x0015_ÿU_x0001_¤_x0005_û_x0006__x0007__x0001__x0001_ 42" xfId="20721" xr:uid="{00000000-0005-0000-0000-00000D8E0000}"/>
    <cellStyle name="þ_x001d_ðK_x000c_&quot;ÿ_x001b__x000d__x0015_ÿU_x0001_¤_x0005_û 43" xfId="20819" xr:uid="{00000000-0005-0000-0000-00000E8E0000}"/>
    <cellStyle name="þ_x001d_ðK_x000c_&quot;ÿ_x001b__x000d__x0015_ÿU_x0001_¤_x0005_û_x0006__x0007__x0001_ 43" xfId="20820" xr:uid="{00000000-0005-0000-0000-00000F8E0000}"/>
    <cellStyle name="þ_x001d_ðK_x000c_&quot;ÿ_x001b__x000d__x0015_ÿU_x0001_¤_x0005_û_x0006__x0007__x0001__x0001_ 43" xfId="20821" xr:uid="{00000000-0005-0000-0000-0000108E0000}"/>
    <cellStyle name="þ_x001d_ðK_x000c_&quot;ÿ_x001b__x000d__x0015_ÿU_x0001_¤_x0005_û 5" xfId="3573" xr:uid="{00000000-0005-0000-0000-0000118E0000}"/>
    <cellStyle name="þ_x001d_ðK_x000c_&quot;ÿ_x001b__x000d__x0015_ÿU_x0001_¤_x0005_û_x0006__x0007__x0001_ 5" xfId="3570" xr:uid="{00000000-0005-0000-0000-0000128E0000}"/>
    <cellStyle name="þ_x001d_ðK_x000c_&quot;ÿ_x001b__x000d__x0015_ÿU_x0001_¤_x0005_û_x0006__x0007__x0001__x0001_ 5" xfId="3218" xr:uid="{00000000-0005-0000-0000-0000138E0000}"/>
    <cellStyle name="þ_x001d_ðK_x000c_&quot;ÿ_x001b__x000d__x0015_ÿU_x0001_¤_x0005_û 6" xfId="3795" xr:uid="{00000000-0005-0000-0000-0000148E0000}"/>
    <cellStyle name="þ_x001d_ðK_x000c_&quot;ÿ_x001b__x000d__x0015_ÿU_x0001_¤_x0005_û_x0006__x0007__x0001_ 6" xfId="3796" xr:uid="{00000000-0005-0000-0000-0000158E0000}"/>
    <cellStyle name="þ_x001d_ðK_x000c_&quot;ÿ_x001b__x000d__x0015_ÿU_x0001_¤_x0005_û_x0006__x0007__x0001__x0001_ 6" xfId="3797" xr:uid="{00000000-0005-0000-0000-0000168E0000}"/>
    <cellStyle name="þ_x001d_ðK_x000c_&quot;ÿ_x001b__x000d__x0015_ÿU_x0001_¤_x0005_û 7" xfId="3893" xr:uid="{00000000-0005-0000-0000-0000178E0000}"/>
    <cellStyle name="þ_x001d_ðK_x000c_&quot;ÿ_x001b__x000d__x0015_ÿU_x0001_¤_x0005_û_x0006__x0007__x0001_ 7" xfId="3915" xr:uid="{00000000-0005-0000-0000-0000188E0000}"/>
    <cellStyle name="þ_x001d_ðK_x000c_&quot;ÿ_x001b__x000d__x0015_ÿU_x0001_¤_x0005_û_x0006__x0007__x0001__x0001_ 7" xfId="3906" xr:uid="{00000000-0005-0000-0000-0000198E0000}"/>
    <cellStyle name="þ_x001d_ðK_x000c_&quot;ÿ_x001b__x000d__x0015_ÿU_x0001_¤_x0005_û 8" xfId="3784" xr:uid="{00000000-0005-0000-0000-00001A8E0000}"/>
    <cellStyle name="þ_x001d_ðK_x000c_&quot;ÿ_x001b__x000d__x0015_ÿU_x0001_¤_x0005_û_x0006__x0007__x0001_ 8" xfId="3785" xr:uid="{00000000-0005-0000-0000-00001B8E0000}"/>
    <cellStyle name="þ_x001d_ðK_x000c_&quot;ÿ_x001b__x000d__x0015_ÿU_x0001_¤_x0005_û_x0006__x0007__x0001__x0001_ 8" xfId="3786" xr:uid="{00000000-0005-0000-0000-00001C8E0000}"/>
    <cellStyle name="þ_x001d_ðK_x000c_&quot;ÿ_x001b__x000d__x0015_ÿU_x0001_¤_x0005_û 9" xfId="4057" xr:uid="{00000000-0005-0000-0000-00001D8E0000}"/>
    <cellStyle name="þ_x001d_ðK_x000c_&quot;ÿ_x001b__x000d__x0015_ÿU_x0001_¤_x0005_û_x0006__x0007__x0001_ 9" xfId="4058" xr:uid="{00000000-0005-0000-0000-00001E8E0000}"/>
    <cellStyle name="þ_x001d_ðK_x000c_&quot;ÿ_x001b__x000d__x0015_ÿU_x0001_¤_x0005_û_x0006__x0007__x0001__x0001_ 9" xfId="4059" xr:uid="{00000000-0005-0000-0000-00001F8E0000}"/>
    <cellStyle name="THN" xfId="2131" xr:uid="{00000000-0005-0000-0000-0000208E0000}"/>
    <cellStyle name="Tickmark" xfId="2132" xr:uid="{00000000-0005-0000-0000-0000218E0000}"/>
    <cellStyle name="Title" xfId="2208" builtinId="15" customBuiltin="1"/>
    <cellStyle name="Title 10" xfId="34586" xr:uid="{00000000-0005-0000-0000-0000238E0000}"/>
    <cellStyle name="Title 11" xfId="34587" xr:uid="{00000000-0005-0000-0000-0000248E0000}"/>
    <cellStyle name="Title 12" xfId="34588" xr:uid="{00000000-0005-0000-0000-0000258E0000}"/>
    <cellStyle name="Title 13" xfId="34589" xr:uid="{00000000-0005-0000-0000-0000268E0000}"/>
    <cellStyle name="Title 14" xfId="34590" xr:uid="{00000000-0005-0000-0000-0000278E0000}"/>
    <cellStyle name="Title 15" xfId="34591" xr:uid="{00000000-0005-0000-0000-0000288E0000}"/>
    <cellStyle name="Title 2" xfId="3438" xr:uid="{00000000-0005-0000-0000-0000298E0000}"/>
    <cellStyle name="Title 3" xfId="4888" xr:uid="{00000000-0005-0000-0000-00002A8E0000}"/>
    <cellStyle name="Title 4" xfId="6965" xr:uid="{00000000-0005-0000-0000-00002B8E0000}"/>
    <cellStyle name="Title 5" xfId="34592" xr:uid="{00000000-0005-0000-0000-00002C8E0000}"/>
    <cellStyle name="Title 6" xfId="34593" xr:uid="{00000000-0005-0000-0000-00002D8E0000}"/>
    <cellStyle name="Title 7" xfId="34594" xr:uid="{00000000-0005-0000-0000-00002E8E0000}"/>
    <cellStyle name="Title 8" xfId="34595" xr:uid="{00000000-0005-0000-0000-00002F8E0000}"/>
    <cellStyle name="Title 9" xfId="34596" xr:uid="{00000000-0005-0000-0000-0000308E0000}"/>
    <cellStyle name="Total" xfId="2206" builtinId="25" customBuiltin="1"/>
    <cellStyle name="Total 10" xfId="34597" xr:uid="{00000000-0005-0000-0000-0000328E0000}"/>
    <cellStyle name="Total 10 2" xfId="34598" xr:uid="{00000000-0005-0000-0000-0000338E0000}"/>
    <cellStyle name="Total 11" xfId="34599" xr:uid="{00000000-0005-0000-0000-0000348E0000}"/>
    <cellStyle name="Total 11 2" xfId="34600" xr:uid="{00000000-0005-0000-0000-0000358E0000}"/>
    <cellStyle name="Total 12" xfId="34601" xr:uid="{00000000-0005-0000-0000-0000368E0000}"/>
    <cellStyle name="Total 12 2" xfId="34602" xr:uid="{00000000-0005-0000-0000-0000378E0000}"/>
    <cellStyle name="Total 13" xfId="34603" xr:uid="{00000000-0005-0000-0000-0000388E0000}"/>
    <cellStyle name="Total 13 2" xfId="34604" xr:uid="{00000000-0005-0000-0000-0000398E0000}"/>
    <cellStyle name="Total 14" xfId="34605" xr:uid="{00000000-0005-0000-0000-00003A8E0000}"/>
    <cellStyle name="Total 14 2" xfId="34606" xr:uid="{00000000-0005-0000-0000-00003B8E0000}"/>
    <cellStyle name="Total 15" xfId="34607" xr:uid="{00000000-0005-0000-0000-00003C8E0000}"/>
    <cellStyle name="Total 15 2" xfId="34608" xr:uid="{00000000-0005-0000-0000-00003D8E0000}"/>
    <cellStyle name="Total 2" xfId="3439" xr:uid="{00000000-0005-0000-0000-00003E8E0000}"/>
    <cellStyle name="Total 2 2" xfId="34609" xr:uid="{00000000-0005-0000-0000-00003F8E0000}"/>
    <cellStyle name="Total 3" xfId="4889" xr:uid="{00000000-0005-0000-0000-0000408E0000}"/>
    <cellStyle name="Total 3 2" xfId="34610" xr:uid="{00000000-0005-0000-0000-0000418E0000}"/>
    <cellStyle name="Total 4" xfId="6966" xr:uid="{00000000-0005-0000-0000-0000428E0000}"/>
    <cellStyle name="Total 4 2" xfId="34611" xr:uid="{00000000-0005-0000-0000-0000438E0000}"/>
    <cellStyle name="Total 5" xfId="34612" xr:uid="{00000000-0005-0000-0000-0000448E0000}"/>
    <cellStyle name="Total 5 2" xfId="34613" xr:uid="{00000000-0005-0000-0000-0000458E0000}"/>
    <cellStyle name="Total 6" xfId="34614" xr:uid="{00000000-0005-0000-0000-0000468E0000}"/>
    <cellStyle name="Total 6 2" xfId="34615" xr:uid="{00000000-0005-0000-0000-0000478E0000}"/>
    <cellStyle name="Total 7" xfId="34616" xr:uid="{00000000-0005-0000-0000-0000488E0000}"/>
    <cellStyle name="Total 7 2" xfId="34617" xr:uid="{00000000-0005-0000-0000-0000498E0000}"/>
    <cellStyle name="Total 8" xfId="34618" xr:uid="{00000000-0005-0000-0000-00004A8E0000}"/>
    <cellStyle name="Total 8 2" xfId="34619" xr:uid="{00000000-0005-0000-0000-00004B8E0000}"/>
    <cellStyle name="Total 9" xfId="34620" xr:uid="{00000000-0005-0000-0000-00004C8E0000}"/>
    <cellStyle name="Total 9 2" xfId="34621" xr:uid="{00000000-0005-0000-0000-00004D8E0000}"/>
    <cellStyle name="viet" xfId="2133" xr:uid="{00000000-0005-0000-0000-00004E8E0000}"/>
    <cellStyle name="viet2" xfId="2134" xr:uid="{00000000-0005-0000-0000-00004F8E0000}"/>
    <cellStyle name="VN new romanNormal" xfId="2135" xr:uid="{00000000-0005-0000-0000-0000508E0000}"/>
    <cellStyle name="VN time new roman" xfId="2136" xr:uid="{00000000-0005-0000-0000-0000518E0000}"/>
    <cellStyle name="vnhead1" xfId="2137" xr:uid="{00000000-0005-0000-0000-0000528E0000}"/>
    <cellStyle name="vnhead3" xfId="2138" xr:uid="{00000000-0005-0000-0000-0000538E0000}"/>
    <cellStyle name="vntxt1" xfId="2139" xr:uid="{00000000-0005-0000-0000-0000548E0000}"/>
    <cellStyle name="vntxt2" xfId="2140" xr:uid="{00000000-0005-0000-0000-0000558E0000}"/>
    <cellStyle name="Währung [0]_UXO VII" xfId="2142" xr:uid="{00000000-0005-0000-0000-0000568E0000}"/>
    <cellStyle name="Währung_UXO VII" xfId="2143" xr:uid="{00000000-0005-0000-0000-0000578E0000}"/>
    <cellStyle name="Warning Text" xfId="2154" builtinId="11" customBuiltin="1"/>
    <cellStyle name="Warning Text 10" xfId="34622" xr:uid="{00000000-0005-0000-0000-0000598E0000}"/>
    <cellStyle name="Warning Text 11" xfId="34623" xr:uid="{00000000-0005-0000-0000-00005A8E0000}"/>
    <cellStyle name="Warning Text 12" xfId="34624" xr:uid="{00000000-0005-0000-0000-00005B8E0000}"/>
    <cellStyle name="Warning Text 13" xfId="34625" xr:uid="{00000000-0005-0000-0000-00005C8E0000}"/>
    <cellStyle name="Warning Text 14" xfId="34626" xr:uid="{00000000-0005-0000-0000-00005D8E0000}"/>
    <cellStyle name="Warning Text 15" xfId="34627" xr:uid="{00000000-0005-0000-0000-00005E8E0000}"/>
    <cellStyle name="Warning Text 2" xfId="3440" xr:uid="{00000000-0005-0000-0000-00005F8E0000}"/>
    <cellStyle name="Warning Text 3" xfId="4893" xr:uid="{00000000-0005-0000-0000-0000608E0000}"/>
    <cellStyle name="Warning Text 4" xfId="6967" xr:uid="{00000000-0005-0000-0000-0000618E0000}"/>
    <cellStyle name="Warning Text 5" xfId="34628" xr:uid="{00000000-0005-0000-0000-0000628E0000}"/>
    <cellStyle name="Warning Text 6" xfId="34629" xr:uid="{00000000-0005-0000-0000-0000638E0000}"/>
    <cellStyle name="Warning Text 7" xfId="34630" xr:uid="{00000000-0005-0000-0000-0000648E0000}"/>
    <cellStyle name="Warning Text 8" xfId="34631" xr:uid="{00000000-0005-0000-0000-0000658E0000}"/>
    <cellStyle name="Warning Text 9" xfId="34632" xr:uid="{00000000-0005-0000-0000-0000668E0000}"/>
    <cellStyle name="เครื่องหมายจุลภาค_th salary" xfId="2144" xr:uid="{00000000-0005-0000-0000-0000678E0000}"/>
    <cellStyle name="เครื่องหมายสกุลเงิน [0]_FTC_OFFER" xfId="2145" xr:uid="{00000000-0005-0000-0000-0000688E0000}"/>
    <cellStyle name="เครื่องหมายสกุลเงิน_FTC_OFFER" xfId="2146" xr:uid="{00000000-0005-0000-0000-0000698E0000}"/>
    <cellStyle name="ปกติ_Book1" xfId="2147" xr:uid="{00000000-0005-0000-0000-00006A8E0000}"/>
    <cellStyle name=" [0.00]_ Att. 1- Cover" xfId="2277" xr:uid="{00000000-0005-0000-0000-00006B8E0000}"/>
    <cellStyle name="_ Att. 1- Cover" xfId="2278" xr:uid="{00000000-0005-0000-0000-00006C8E0000}"/>
    <cellStyle name="?_ Att. 1- Cover" xfId="2279" xr:uid="{00000000-0005-0000-0000-00006D8E0000}"/>
    <cellStyle name="뒤에 오는 하이퍼링크_(334) 한샘 HSI0308028N PO#P35027A2,3 208PCS (A) 보람" xfId="2157" xr:uid="{00000000-0005-0000-0000-00006E8E0000}"/>
    <cellStyle name="똿뗦먛귟 [0.00]_PRODUCT DETAIL Q1" xfId="2158" xr:uid="{00000000-0005-0000-0000-00006F8E0000}"/>
    <cellStyle name="똿뗦먛귟_PRODUCT DETAIL Q1" xfId="2159" xr:uid="{00000000-0005-0000-0000-0000708E0000}"/>
    <cellStyle name="메모 2" xfId="2161" xr:uid="{00000000-0005-0000-0000-0000718E0000}"/>
    <cellStyle name="메모 2 2" xfId="3454" xr:uid="{00000000-0005-0000-0000-0000728E0000}"/>
    <cellStyle name="믅됞 [0.00]_PRODUCT DETAIL Q1" xfId="2162" xr:uid="{00000000-0005-0000-0000-0000738E0000}"/>
    <cellStyle name="믅됞_PRODUCT DETAIL Q1" xfId="2163" xr:uid="{00000000-0005-0000-0000-0000748E0000}"/>
    <cellStyle name="백분율 2" xfId="2164" xr:uid="{00000000-0005-0000-0000-0000758E0000}"/>
    <cellStyle name="백분율 2 2" xfId="2165" xr:uid="{00000000-0005-0000-0000-0000768E0000}"/>
    <cellStyle name="뷭?_BOOKSHIP" xfId="2167" xr:uid="{00000000-0005-0000-0000-0000778E0000}"/>
    <cellStyle name="쉼표 [0] 2" xfId="2170" xr:uid="{00000000-0005-0000-0000-0000788E0000}"/>
    <cellStyle name="쉼표 [0] 2 2" xfId="2171" xr:uid="{00000000-0005-0000-0000-0000798E0000}"/>
    <cellStyle name="쉼표 [0] 2 2 2" xfId="2172" xr:uid="{00000000-0005-0000-0000-00007A8E0000}"/>
    <cellStyle name="쉼표 [0] 2 2 3" xfId="2173" xr:uid="{00000000-0005-0000-0000-00007B8E0000}"/>
    <cellStyle name="쉼표 [0] 2 2 4" xfId="36587" xr:uid="{00000000-0005-0000-0000-00007C8E0000}"/>
    <cellStyle name="쉼표 [0] 2 2_5" xfId="2174" xr:uid="{00000000-0005-0000-0000-00007D8E0000}"/>
    <cellStyle name="쉼표 [0] 2 3" xfId="2175" xr:uid="{00000000-0005-0000-0000-00007E8E0000}"/>
    <cellStyle name="쉼표 [0] 2 3 2" xfId="36588" xr:uid="{00000000-0005-0000-0000-00007F8E0000}"/>
    <cellStyle name="쉼표 [0] 2 4" xfId="2176" xr:uid="{00000000-0005-0000-0000-0000808E0000}"/>
    <cellStyle name="쉼표 [0] 2 4 2" xfId="36589" xr:uid="{00000000-0005-0000-0000-0000818E0000}"/>
    <cellStyle name="쉼표 [0] 2 5" xfId="36590" xr:uid="{00000000-0005-0000-0000-0000828E0000}"/>
    <cellStyle name="쉼표 [0] 2 6" xfId="36591" xr:uid="{00000000-0005-0000-0000-0000838E0000}"/>
    <cellStyle name="쉼표 [0] 2 7" xfId="36586" xr:uid="{00000000-0005-0000-0000-0000848E0000}"/>
    <cellStyle name="쉼표 [0] 2_CAGE 4 &amp; PL" xfId="2177" xr:uid="{00000000-0005-0000-0000-0000858E0000}"/>
    <cellStyle name="쉼표 [0] 3" xfId="2178" xr:uid="{00000000-0005-0000-0000-0000868E0000}"/>
    <cellStyle name="쉼표 [0] 3 2" xfId="2179" xr:uid="{00000000-0005-0000-0000-0000878E0000}"/>
    <cellStyle name="쉼표 [0] 3_DAMAGES PINK" xfId="2180" xr:uid="{00000000-0005-0000-0000-0000888E0000}"/>
    <cellStyle name="쉼표 [0] 4" xfId="2181" xr:uid="{00000000-0005-0000-0000-0000898E0000}"/>
    <cellStyle name="쉼표 [0] 5" xfId="2182" xr:uid="{00000000-0005-0000-0000-00008A8E0000}"/>
    <cellStyle name="쉼표 [0] 5 2" xfId="3471" xr:uid="{00000000-0005-0000-0000-00008B8E0000}"/>
    <cellStyle name="쉼표 [0] 6" xfId="2183" xr:uid="{00000000-0005-0000-0000-00008C8E0000}"/>
    <cellStyle name="쉼표 [0] 6 2" xfId="2184" xr:uid="{00000000-0005-0000-0000-00008D8E0000}"/>
    <cellStyle name="쉼표 [0] 6 3" xfId="2185" xr:uid="{00000000-0005-0000-0000-00008E8E0000}"/>
    <cellStyle name="쉼표 [0] 6 4" xfId="3472" xr:uid="{00000000-0005-0000-0000-00008F8E0000}"/>
    <cellStyle name="쉼표 [0] 6_5" xfId="2186" xr:uid="{00000000-0005-0000-0000-0000908E0000}"/>
    <cellStyle name="쉼표 [0] 7" xfId="2187" xr:uid="{00000000-0005-0000-0000-0000918E0000}"/>
    <cellStyle name="쉼표 [0] 8" xfId="2188" xr:uid="{00000000-0005-0000-0000-0000928E0000}"/>
    <cellStyle name="쉼표 [0] 9" xfId="2189" xr:uid="{00000000-0005-0000-0000-0000938E0000}"/>
    <cellStyle name="쉼표 [0] 9 2" xfId="3476" xr:uid="{00000000-0005-0000-0000-0000948E0000}"/>
    <cellStyle name="쉼표 2" xfId="2190" xr:uid="{00000000-0005-0000-0000-0000958E0000}"/>
    <cellStyle name="쉼표 2 2" xfId="36593" xr:uid="{00000000-0005-0000-0000-0000968E0000}"/>
    <cellStyle name="쉼표 2 3" xfId="36594" xr:uid="{00000000-0005-0000-0000-0000978E0000}"/>
    <cellStyle name="쉼표 2 4" xfId="36595" xr:uid="{00000000-0005-0000-0000-0000988E0000}"/>
    <cellStyle name="쉼표 2 5" xfId="36596" xr:uid="{00000000-0005-0000-0000-0000998E0000}"/>
    <cellStyle name="쉼표 2 6" xfId="36597" xr:uid="{00000000-0005-0000-0000-00009A8E0000}"/>
    <cellStyle name="쉼표 2 7" xfId="36592" xr:uid="{00000000-0005-0000-0000-00009B8E0000}"/>
    <cellStyle name="쉼표 3" xfId="2191" xr:uid="{00000000-0005-0000-0000-00009C8E0000}"/>
    <cellStyle name="쉼표 4" xfId="2192" xr:uid="{00000000-0005-0000-0000-00009D8E0000}"/>
    <cellStyle name="스타일 1" xfId="2193" xr:uid="{00000000-0005-0000-0000-00009E8E0000}"/>
    <cellStyle name="스타일 10" xfId="2194" xr:uid="{00000000-0005-0000-0000-00009F8E0000}"/>
    <cellStyle name="스타일 10 2" xfId="3480" xr:uid="{00000000-0005-0000-0000-0000A08E0000}"/>
    <cellStyle name="스타일 11" xfId="2195" xr:uid="{00000000-0005-0000-0000-0000A18E0000}"/>
    <cellStyle name="스타일 11 2" xfId="3481" xr:uid="{00000000-0005-0000-0000-0000A28E0000}"/>
    <cellStyle name="스타일 12" xfId="2196" xr:uid="{00000000-0005-0000-0000-0000A38E0000}"/>
    <cellStyle name="스타일 12 2" xfId="3482" xr:uid="{00000000-0005-0000-0000-0000A48E0000}"/>
    <cellStyle name="스타일 2" xfId="2197" xr:uid="{00000000-0005-0000-0000-0000A58E0000}"/>
    <cellStyle name="스타일 2 2" xfId="3483" xr:uid="{00000000-0005-0000-0000-0000A68E0000}"/>
    <cellStyle name="스타일 3" xfId="2198" xr:uid="{00000000-0005-0000-0000-0000A78E0000}"/>
    <cellStyle name="스타일 3 2" xfId="3484" xr:uid="{00000000-0005-0000-0000-0000A88E0000}"/>
    <cellStyle name="스타일 4" xfId="2199" xr:uid="{00000000-0005-0000-0000-0000A98E0000}"/>
    <cellStyle name="스타일 4 2" xfId="3485" xr:uid="{00000000-0005-0000-0000-0000AA8E0000}"/>
    <cellStyle name="스타일 5" xfId="2200" xr:uid="{00000000-0005-0000-0000-0000AB8E0000}"/>
    <cellStyle name="스타일 5 2" xfId="3486" xr:uid="{00000000-0005-0000-0000-0000AC8E0000}"/>
    <cellStyle name="스타일 6" xfId="2201" xr:uid="{00000000-0005-0000-0000-0000AD8E0000}"/>
    <cellStyle name="스타일 6 2" xfId="3487" xr:uid="{00000000-0005-0000-0000-0000AE8E0000}"/>
    <cellStyle name="스타일 7" xfId="2202" xr:uid="{00000000-0005-0000-0000-0000AF8E0000}"/>
    <cellStyle name="스타일 7 2" xfId="3488" xr:uid="{00000000-0005-0000-0000-0000B08E0000}"/>
    <cellStyle name="스타일 8" xfId="2203" xr:uid="{00000000-0005-0000-0000-0000B18E0000}"/>
    <cellStyle name="스타일 8 2" xfId="3489" xr:uid="{00000000-0005-0000-0000-0000B28E0000}"/>
    <cellStyle name="스타일 9" xfId="2204" xr:uid="{00000000-0005-0000-0000-0000B38E0000}"/>
    <cellStyle name="스타일 9 2" xfId="3490" xr:uid="{00000000-0005-0000-0000-0000B48E0000}"/>
    <cellStyle name="지정되지 않음" xfId="2215" xr:uid="{00000000-0005-0000-0000-0000B58E0000}"/>
    <cellStyle name="콤냡?&lt;_x000f_$??: `1_1 " xfId="2219" xr:uid="{00000000-0005-0000-0000-0000B68E0000}"/>
    <cellStyle name="콤마 [0]_ 4차선적" xfId="2220" xr:uid="{00000000-0005-0000-0000-0000B78E0000}"/>
    <cellStyle name="콤마_ 4차선적" xfId="2221" xr:uid="{00000000-0005-0000-0000-0000B88E0000}"/>
    <cellStyle name="통화 2" xfId="2222" xr:uid="{00000000-0005-0000-0000-0000B98E0000}"/>
    <cellStyle name="표준 19" xfId="2223" xr:uid="{00000000-0005-0000-0000-0000BA8E0000}"/>
    <cellStyle name="표준 2" xfId="2224" xr:uid="{00000000-0005-0000-0000-0000BB8E0000}"/>
    <cellStyle name="표준 2 10" xfId="34633" xr:uid="{00000000-0005-0000-0000-0000BC8E0000}"/>
    <cellStyle name="표준 2 11" xfId="34634" xr:uid="{00000000-0005-0000-0000-0000BD8E0000}"/>
    <cellStyle name="표준 2 12" xfId="36598" xr:uid="{00000000-0005-0000-0000-0000BE8E0000}"/>
    <cellStyle name="표준 2 2" xfId="2225" xr:uid="{00000000-0005-0000-0000-0000BF8E0000}"/>
    <cellStyle name="표준 2 2 2" xfId="2226" xr:uid="{00000000-0005-0000-0000-0000C08E0000}"/>
    <cellStyle name="표준 2 2 3" xfId="2227" xr:uid="{00000000-0005-0000-0000-0000C18E0000}"/>
    <cellStyle name="표준 2 2 4" xfId="3508" xr:uid="{00000000-0005-0000-0000-0000C28E0000}"/>
    <cellStyle name="표준 2 2 5" xfId="36599" xr:uid="{00000000-0005-0000-0000-0000C38E0000}"/>
    <cellStyle name="표준 2 2_target" xfId="2228" xr:uid="{00000000-0005-0000-0000-0000C48E0000}"/>
    <cellStyle name="표준 2 3" xfId="2229" xr:uid="{00000000-0005-0000-0000-0000C58E0000}"/>
    <cellStyle name="표준 2 3 2" xfId="36600" xr:uid="{00000000-0005-0000-0000-0000C68E0000}"/>
    <cellStyle name="표준 2 4" xfId="2230" xr:uid="{00000000-0005-0000-0000-0000C78E0000}"/>
    <cellStyle name="표준 2 4 2" xfId="36601" xr:uid="{00000000-0005-0000-0000-0000C88E0000}"/>
    <cellStyle name="표준 2 5" xfId="34635" xr:uid="{00000000-0005-0000-0000-0000C98E0000}"/>
    <cellStyle name="표준 2 6" xfId="34636" xr:uid="{00000000-0005-0000-0000-0000CA8E0000}"/>
    <cellStyle name="표준 2 7" xfId="34637" xr:uid="{00000000-0005-0000-0000-0000CB8E0000}"/>
    <cellStyle name="표준 2 8" xfId="34638" xr:uid="{00000000-0005-0000-0000-0000CC8E0000}"/>
    <cellStyle name="표준 2 9" xfId="34639" xr:uid="{00000000-0005-0000-0000-0000CD8E0000}"/>
    <cellStyle name="표준 2_1" xfId="2231" xr:uid="{00000000-0005-0000-0000-0000CE8E0000}"/>
    <cellStyle name="표준 26" xfId="36602" xr:uid="{00000000-0005-0000-0000-0000CF8E0000}"/>
    <cellStyle name="표준 27" xfId="4120" xr:uid="{00000000-0005-0000-0000-0000D08E0000}"/>
    <cellStyle name="표준 3" xfId="2232" xr:uid="{00000000-0005-0000-0000-0000D18E0000}"/>
    <cellStyle name="표준 3 2" xfId="2233" xr:uid="{00000000-0005-0000-0000-0000D28E0000}"/>
    <cellStyle name="표준 3 3" xfId="3514" xr:uid="{00000000-0005-0000-0000-0000D38E0000}"/>
    <cellStyle name="표준 3_target" xfId="2234" xr:uid="{00000000-0005-0000-0000-0000D48E0000}"/>
    <cellStyle name="표준 4" xfId="2235" xr:uid="{00000000-0005-0000-0000-0000D58E0000}"/>
    <cellStyle name="표준 5" xfId="2236" xr:uid="{00000000-0005-0000-0000-0000D68E0000}"/>
    <cellStyle name="표준 6" xfId="2237" xr:uid="{00000000-0005-0000-0000-0000D78E0000}"/>
    <cellStyle name="一般_#10019(4th Khaki)" xfId="2214" xr:uid="{00000000-0005-0000-0000-0000D88E0000}"/>
    <cellStyle name="千分位[0]_00Q3902REV.1" xfId="2217" xr:uid="{00000000-0005-0000-0000-0000D98E0000}"/>
    <cellStyle name="千分位_00Q3902REV.1" xfId="2218" xr:uid="{00000000-0005-0000-0000-0000DA8E0000}"/>
    <cellStyle name="好" xfId="2238" xr:uid="{00000000-0005-0000-0000-0000DB8E0000}"/>
    <cellStyle name="好_Microsoft Assistant VBA" xfId="2239" xr:uid="{00000000-0005-0000-0000-0000DC8E0000}"/>
    <cellStyle name="差" xfId="2240" xr:uid="{00000000-0005-0000-0000-0000DD8E0000}"/>
    <cellStyle name="差_Microsoft Assistant VBA" xfId="2241" xr:uid="{00000000-0005-0000-0000-0000DE8E0000}"/>
    <cellStyle name="常规_82-1478(3.3)-F" xfId="34640" xr:uid="{00000000-0005-0000-0000-0000DF8E0000}"/>
    <cellStyle name="强调 1" xfId="2242" xr:uid="{00000000-0005-0000-0000-0000E08E0000}"/>
    <cellStyle name="强调 2" xfId="2243" xr:uid="{00000000-0005-0000-0000-0000E18E0000}"/>
    <cellStyle name="强调 3" xfId="2244" xr:uid="{00000000-0005-0000-0000-0000E28E0000}"/>
    <cellStyle name="强调文字颜色 1" xfId="2245" xr:uid="{00000000-0005-0000-0000-0000E38E0000}"/>
    <cellStyle name="强调文字颜色 2" xfId="2246" xr:uid="{00000000-0005-0000-0000-0000E48E0000}"/>
    <cellStyle name="强调文字颜色 3" xfId="2247" xr:uid="{00000000-0005-0000-0000-0000E58E0000}"/>
    <cellStyle name="强调文字颜色 4" xfId="2248" xr:uid="{00000000-0005-0000-0000-0000E68E0000}"/>
    <cellStyle name="强调文字颜色 5" xfId="2249" xr:uid="{00000000-0005-0000-0000-0000E78E0000}"/>
    <cellStyle name="强调文字颜色 6" xfId="2250" xr:uid="{00000000-0005-0000-0000-0000E88E0000}"/>
    <cellStyle name="标题" xfId="2251" xr:uid="{00000000-0005-0000-0000-0000E98E0000}"/>
    <cellStyle name="标题 1" xfId="2252" xr:uid="{00000000-0005-0000-0000-0000EA8E0000}"/>
    <cellStyle name="标题 2" xfId="2253" xr:uid="{00000000-0005-0000-0000-0000EB8E0000}"/>
    <cellStyle name="标题 3" xfId="2254" xr:uid="{00000000-0005-0000-0000-0000EC8E0000}"/>
    <cellStyle name="标题 4" xfId="2255" xr:uid="{00000000-0005-0000-0000-0000ED8E0000}"/>
    <cellStyle name="桁区切り [0.00]_List-dwg瑩畳䵜楡" xfId="2256" xr:uid="{00000000-0005-0000-0000-0000EE8E0000}"/>
    <cellStyle name="桁区切り_List-dwgist-" xfId="2257" xr:uid="{00000000-0005-0000-0000-0000EF8E0000}"/>
    <cellStyle name="检查单元格" xfId="2258" xr:uid="{00000000-0005-0000-0000-0000F08E0000}"/>
    <cellStyle name="標準_011003V" xfId="2259" xr:uid="{00000000-0005-0000-0000-0000F18E0000}"/>
    <cellStyle name="汇总" xfId="2260" xr:uid="{00000000-0005-0000-0000-0000F28E0000}"/>
    <cellStyle name="注释" xfId="2261" xr:uid="{00000000-0005-0000-0000-0000F38E0000}"/>
    <cellStyle name="表标题" xfId="2262" xr:uid="{00000000-0005-0000-0000-0000F48E0000}"/>
    <cellStyle name="解释性文本" xfId="2263" xr:uid="{00000000-0005-0000-0000-0000F58E0000}"/>
    <cellStyle name="警告文本" xfId="2264" xr:uid="{00000000-0005-0000-0000-0000F68E0000}"/>
    <cellStyle name="计算" xfId="2265" xr:uid="{00000000-0005-0000-0000-0000F78E0000}"/>
    <cellStyle name="貨幣 [0]_00Q3902REV.1" xfId="2266" xr:uid="{00000000-0005-0000-0000-0000F88E0000}"/>
    <cellStyle name="貨幣[0]_BRE" xfId="2267" xr:uid="{00000000-0005-0000-0000-0000F98E0000}"/>
    <cellStyle name="貨幣_00Q3902REV.1" xfId="2268" xr:uid="{00000000-0005-0000-0000-0000FA8E0000}"/>
    <cellStyle name="超連結" xfId="2269" xr:uid="{00000000-0005-0000-0000-0000FB8E0000}"/>
    <cellStyle name="输入" xfId="2270" xr:uid="{00000000-0005-0000-0000-0000FC8E0000}"/>
    <cellStyle name="输出" xfId="2271" xr:uid="{00000000-0005-0000-0000-0000FD8E0000}"/>
    <cellStyle name="适中" xfId="2272" xr:uid="{00000000-0005-0000-0000-0000FE8E0000}"/>
    <cellStyle name="通貨 [0.00]_List-dwgwg" xfId="2273" xr:uid="{00000000-0005-0000-0000-0000FF8E0000}"/>
    <cellStyle name="通貨_List-dwgis" xfId="2274" xr:uid="{00000000-0005-0000-0000-0000008F0000}"/>
    <cellStyle name="链接单元格" xfId="2275" xr:uid="{00000000-0005-0000-0000-0000018F0000}"/>
    <cellStyle name="隨後的超連結_Book1" xfId="2276" xr:uid="{00000000-0005-0000-0000-0000028F0000}"/>
  </cellStyles>
  <dxfs count="120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  <color rgb="FFFFFF00"/>
      <color rgb="FF00FFFF"/>
      <color rgb="FFFFFFFF"/>
      <color rgb="FFFF99FF"/>
      <color rgb="FF99FFCC"/>
      <color rgb="FF00FF00"/>
      <color rgb="FF66FFFF"/>
      <color rgb="FFFF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COGS(&#47588;&#52636;&#50896;&#44032;+&#51116;&#44277;&#54408;+&#50756;&#49457;&#51228;&#54408;)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702470</xdr:colOff>
      <xdr:row>0</xdr:row>
      <xdr:rowOff>35719</xdr:rowOff>
    </xdr:from>
    <xdr:to>
      <xdr:col>30</xdr:col>
      <xdr:colOff>464344</xdr:colOff>
      <xdr:row>1</xdr:row>
      <xdr:rowOff>381001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050501" y="35719"/>
          <a:ext cx="1452562" cy="6429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100"/>
            <a:t>BACK TO COGS</a:t>
          </a:r>
        </a:p>
        <a:p>
          <a:pPr algn="l"/>
          <a:endParaRPr lang="vi-VN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FBB8CC-7664-4A61-AD88-35C23F5FBA7F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3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A38B99-98DC-4CB1-81D3-D6EE342D5695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4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0BAF3D-61F8-41DD-A5DE-33AA20ECADA9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3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4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11906</xdr:colOff>
      <xdr:row>0</xdr:row>
      <xdr:rowOff>95250</xdr:rowOff>
    </xdr:from>
    <xdr:to>
      <xdr:col>48</xdr:col>
      <xdr:colOff>964406</xdr:colOff>
      <xdr:row>2</xdr:row>
      <xdr:rowOff>142875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909625" y="95250"/>
          <a:ext cx="1726406" cy="4524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100"/>
            <a:t>BACK TO COGS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0</xdr:row>
      <xdr:rowOff>104775</xdr:rowOff>
    </xdr:from>
    <xdr:to>
      <xdr:col>12</xdr:col>
      <xdr:colOff>238125</xdr:colOff>
      <xdr:row>3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277350" y="104775"/>
          <a:ext cx="1362075" cy="381000"/>
        </a:xfrm>
        <a:prstGeom prst="leftArrow">
          <a:avLst>
            <a:gd name="adj1" fmla="val 50000"/>
            <a:gd name="adj2" fmla="val 57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000"/>
            <a:t>BACK TO COGS</a:t>
          </a:r>
        </a:p>
        <a:p>
          <a:pPr algn="l"/>
          <a:endParaRPr lang="vi-VN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59531</xdr:colOff>
      <xdr:row>1</xdr:row>
      <xdr:rowOff>11905</xdr:rowOff>
    </xdr:from>
    <xdr:to>
      <xdr:col>28</xdr:col>
      <xdr:colOff>666749</xdr:colOff>
      <xdr:row>3</xdr:row>
      <xdr:rowOff>130968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7146250" y="202405"/>
          <a:ext cx="1500187" cy="50006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100"/>
            <a:t>BACK TO COGS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772584</xdr:colOff>
      <xdr:row>0</xdr:row>
      <xdr:rowOff>84667</xdr:rowOff>
    </xdr:from>
    <xdr:to>
      <xdr:col>26</xdr:col>
      <xdr:colOff>508000</xdr:colOff>
      <xdr:row>1</xdr:row>
      <xdr:rowOff>243416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9991917" y="84667"/>
          <a:ext cx="1566333" cy="4656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100"/>
            <a:t>BACK TO COGS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488157</xdr:colOff>
      <xdr:row>0</xdr:row>
      <xdr:rowOff>154781</xdr:rowOff>
    </xdr:from>
    <xdr:to>
      <xdr:col>26</xdr:col>
      <xdr:colOff>750095</xdr:colOff>
      <xdr:row>3</xdr:row>
      <xdr:rowOff>154781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22526626" y="154781"/>
          <a:ext cx="1416844" cy="50006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1100"/>
            <a:t>BACK TO COGS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2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3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  <xdr:twoCellAnchor>
    <xdr:from>
      <xdr:col>15</xdr:col>
      <xdr:colOff>152399</xdr:colOff>
      <xdr:row>0</xdr:row>
      <xdr:rowOff>0</xdr:rowOff>
    </xdr:from>
    <xdr:to>
      <xdr:col>17</xdr:col>
      <xdr:colOff>57149</xdr:colOff>
      <xdr:row>2</xdr:row>
      <xdr:rowOff>19050</xdr:rowOff>
    </xdr:to>
    <xdr:sp macro="" textlink="">
      <xdr:nvSpPr>
        <xdr:cNvPr id="4" name="Left Arrow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12211049" y="0"/>
          <a:ext cx="12096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vi-VN" sz="800"/>
            <a:t>BACK TO COGS</a:t>
          </a:r>
        </a:p>
        <a:p>
          <a:pPr algn="l"/>
          <a:endParaRPr lang="vi-VN" sz="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c\AppData\Roaming\Skype\My%20Skype%20Received%20Files\11111111111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5.INVENTORY%20REPORT%20-ACC%2015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NGOC/N&#258;M%202018/THANG%2005/WIP/05.WIP-CSV-DPR-MAY-6J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 HET SAN XUAT"/>
      <sheetName val="Sheet1"/>
    </sheetNames>
    <sheetDataSet>
      <sheetData sheetId="0">
        <row r="8">
          <cell r="D8">
            <v>74211</v>
          </cell>
          <cell r="E8">
            <v>0</v>
          </cell>
          <cell r="F8">
            <v>3960</v>
          </cell>
          <cell r="G8">
            <v>3960</v>
          </cell>
          <cell r="H8">
            <v>37</v>
          </cell>
          <cell r="I8">
            <v>0</v>
          </cell>
          <cell r="K8">
            <v>0</v>
          </cell>
          <cell r="L8">
            <v>0</v>
          </cell>
          <cell r="M8">
            <v>0</v>
          </cell>
          <cell r="N8">
            <v>37</v>
          </cell>
          <cell r="O8">
            <v>0</v>
          </cell>
          <cell r="P8">
            <v>0</v>
          </cell>
          <cell r="Q8">
            <v>37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X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42754</v>
          </cell>
          <cell r="AG8">
            <v>16920</v>
          </cell>
          <cell r="AH8">
            <v>16920</v>
          </cell>
          <cell r="AI8">
            <v>0</v>
          </cell>
          <cell r="AJ8" t="str">
            <v>DA HET SAN XUAT</v>
          </cell>
        </row>
        <row r="9">
          <cell r="D9" t="str">
            <v>KPT001611</v>
          </cell>
          <cell r="E9">
            <v>0</v>
          </cell>
          <cell r="F9">
            <v>89849</v>
          </cell>
          <cell r="G9">
            <v>89849</v>
          </cell>
          <cell r="H9">
            <v>16696</v>
          </cell>
          <cell r="I9">
            <v>0</v>
          </cell>
          <cell r="K9">
            <v>0</v>
          </cell>
          <cell r="L9">
            <v>0</v>
          </cell>
          <cell r="M9">
            <v>0</v>
          </cell>
          <cell r="N9">
            <v>16696</v>
          </cell>
          <cell r="O9">
            <v>79</v>
          </cell>
          <cell r="P9">
            <v>129</v>
          </cell>
          <cell r="Q9">
            <v>16488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42502</v>
          </cell>
          <cell r="AG9">
            <v>94524</v>
          </cell>
          <cell r="AH9">
            <v>94777</v>
          </cell>
          <cell r="AI9">
            <v>253</v>
          </cell>
        </row>
        <row r="10">
          <cell r="D10">
            <v>7285</v>
          </cell>
          <cell r="E10">
            <v>0</v>
          </cell>
          <cell r="F10">
            <v>0</v>
          </cell>
          <cell r="G10">
            <v>0</v>
          </cell>
          <cell r="H10">
            <v>32</v>
          </cell>
          <cell r="I10">
            <v>0</v>
          </cell>
          <cell r="K10">
            <v>0</v>
          </cell>
          <cell r="L10">
            <v>0</v>
          </cell>
          <cell r="M10">
            <v>0</v>
          </cell>
          <cell r="N10">
            <v>32</v>
          </cell>
          <cell r="O10">
            <v>0</v>
          </cell>
          <cell r="P10">
            <v>0</v>
          </cell>
          <cell r="Q10">
            <v>32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X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2532</v>
          </cell>
          <cell r="AH10">
            <v>1953</v>
          </cell>
          <cell r="AI10">
            <v>-579</v>
          </cell>
        </row>
        <row r="11">
          <cell r="D11">
            <v>100004407</v>
          </cell>
          <cell r="E11">
            <v>0</v>
          </cell>
          <cell r="F11">
            <v>14942</v>
          </cell>
          <cell r="G11">
            <v>14942</v>
          </cell>
          <cell r="H11">
            <v>305</v>
          </cell>
          <cell r="I11">
            <v>0</v>
          </cell>
          <cell r="K11">
            <v>0</v>
          </cell>
          <cell r="L11">
            <v>0</v>
          </cell>
          <cell r="M11">
            <v>0</v>
          </cell>
          <cell r="N11">
            <v>305</v>
          </cell>
          <cell r="O11">
            <v>0</v>
          </cell>
          <cell r="P11">
            <v>116</v>
          </cell>
          <cell r="Q11">
            <v>189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X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42968</v>
          </cell>
          <cell r="AG11">
            <v>14535</v>
          </cell>
          <cell r="AH11">
            <v>14535</v>
          </cell>
          <cell r="AI11">
            <v>0</v>
          </cell>
          <cell r="AJ11" t="str">
            <v>DA HET SAN XUAT</v>
          </cell>
        </row>
        <row r="12">
          <cell r="D12">
            <v>446053</v>
          </cell>
          <cell r="E12">
            <v>0</v>
          </cell>
          <cell r="F12">
            <v>0</v>
          </cell>
          <cell r="G12">
            <v>0</v>
          </cell>
          <cell r="H12">
            <v>63</v>
          </cell>
          <cell r="I12">
            <v>0</v>
          </cell>
          <cell r="K12">
            <v>0</v>
          </cell>
          <cell r="L12">
            <v>0</v>
          </cell>
          <cell r="M12">
            <v>0</v>
          </cell>
          <cell r="N12">
            <v>63</v>
          </cell>
          <cell r="O12">
            <v>0</v>
          </cell>
          <cell r="P12">
            <v>0</v>
          </cell>
          <cell r="Q12">
            <v>63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42950</v>
          </cell>
          <cell r="AG12">
            <v>1000</v>
          </cell>
          <cell r="AH12">
            <v>1000</v>
          </cell>
          <cell r="AI12">
            <v>0</v>
          </cell>
          <cell r="AJ12" t="str">
            <v>DA HET SAN XUAT</v>
          </cell>
        </row>
        <row r="13">
          <cell r="D13">
            <v>100004405</v>
          </cell>
          <cell r="E13">
            <v>0</v>
          </cell>
          <cell r="F13">
            <v>0</v>
          </cell>
          <cell r="G13">
            <v>0</v>
          </cell>
          <cell r="H13">
            <v>79</v>
          </cell>
          <cell r="I13">
            <v>0</v>
          </cell>
          <cell r="K13">
            <v>0</v>
          </cell>
          <cell r="L13">
            <v>0</v>
          </cell>
          <cell r="M13">
            <v>0</v>
          </cell>
          <cell r="N13">
            <v>79</v>
          </cell>
          <cell r="O13">
            <v>0</v>
          </cell>
          <cell r="P13">
            <v>0</v>
          </cell>
          <cell r="Q13">
            <v>79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X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42969</v>
          </cell>
          <cell r="AG13">
            <v>1248</v>
          </cell>
          <cell r="AH13">
            <v>1248</v>
          </cell>
          <cell r="AI13">
            <v>0</v>
          </cell>
          <cell r="AJ13" t="str">
            <v>DA HET SAN XUAT</v>
          </cell>
        </row>
        <row r="14">
          <cell r="D14">
            <v>100003246</v>
          </cell>
          <cell r="E14">
            <v>0</v>
          </cell>
          <cell r="F14">
            <v>0</v>
          </cell>
          <cell r="G14">
            <v>0</v>
          </cell>
          <cell r="H14">
            <v>377</v>
          </cell>
          <cell r="I14">
            <v>0</v>
          </cell>
          <cell r="K14">
            <v>0</v>
          </cell>
          <cell r="L14">
            <v>0</v>
          </cell>
          <cell r="M14">
            <v>0</v>
          </cell>
          <cell r="N14">
            <v>377</v>
          </cell>
          <cell r="O14">
            <v>0</v>
          </cell>
          <cell r="P14">
            <v>0</v>
          </cell>
          <cell r="Q14">
            <v>377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42941</v>
          </cell>
          <cell r="AG14">
            <v>3237</v>
          </cell>
          <cell r="AH14">
            <v>3237</v>
          </cell>
          <cell r="AI14">
            <v>0</v>
          </cell>
          <cell r="AJ14" t="str">
            <v>DA HET SAN XUAT</v>
          </cell>
        </row>
        <row r="15">
          <cell r="D15" t="str">
            <v>7X408</v>
          </cell>
          <cell r="E15">
            <v>0</v>
          </cell>
          <cell r="F15">
            <v>0</v>
          </cell>
          <cell r="G15">
            <v>0</v>
          </cell>
          <cell r="H15">
            <v>108</v>
          </cell>
          <cell r="I15">
            <v>0</v>
          </cell>
          <cell r="K15">
            <v>0</v>
          </cell>
          <cell r="L15">
            <v>0</v>
          </cell>
          <cell r="M15">
            <v>0</v>
          </cell>
          <cell r="N15">
            <v>108</v>
          </cell>
          <cell r="O15">
            <v>0</v>
          </cell>
          <cell r="P15">
            <v>0</v>
          </cell>
          <cell r="Q15">
            <v>108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42938</v>
          </cell>
          <cell r="AG15">
            <v>6356</v>
          </cell>
          <cell r="AH15">
            <v>6356</v>
          </cell>
          <cell r="AI15">
            <v>0</v>
          </cell>
          <cell r="AJ15" t="str">
            <v>DA HET SAN XUAT</v>
          </cell>
        </row>
        <row r="16">
          <cell r="D16" t="str">
            <v>7X708</v>
          </cell>
          <cell r="E16">
            <v>0</v>
          </cell>
          <cell r="F16">
            <v>7574</v>
          </cell>
          <cell r="G16">
            <v>7574</v>
          </cell>
          <cell r="H16">
            <v>187</v>
          </cell>
          <cell r="I16">
            <v>0</v>
          </cell>
          <cell r="K16">
            <v>0</v>
          </cell>
          <cell r="L16">
            <v>0</v>
          </cell>
          <cell r="M16">
            <v>0</v>
          </cell>
          <cell r="N16">
            <v>187</v>
          </cell>
          <cell r="O16">
            <v>0</v>
          </cell>
          <cell r="P16">
            <v>0</v>
          </cell>
          <cell r="Q16">
            <v>187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42938</v>
          </cell>
          <cell r="AG16">
            <v>5166</v>
          </cell>
          <cell r="AH16">
            <v>5166</v>
          </cell>
          <cell r="AI16">
            <v>0</v>
          </cell>
          <cell r="AJ16" t="str">
            <v>DA HET SAN XUAT</v>
          </cell>
        </row>
        <row r="17">
          <cell r="D17" t="str">
            <v>7N900</v>
          </cell>
          <cell r="E17">
            <v>0</v>
          </cell>
          <cell r="F17">
            <v>0</v>
          </cell>
          <cell r="G17">
            <v>0</v>
          </cell>
          <cell r="H17">
            <v>144</v>
          </cell>
          <cell r="I17">
            <v>0</v>
          </cell>
          <cell r="K17">
            <v>0</v>
          </cell>
          <cell r="L17">
            <v>0</v>
          </cell>
          <cell r="M17">
            <v>0</v>
          </cell>
          <cell r="N17">
            <v>144</v>
          </cell>
          <cell r="O17">
            <v>0</v>
          </cell>
          <cell r="P17">
            <v>22</v>
          </cell>
          <cell r="Q17">
            <v>122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42958</v>
          </cell>
          <cell r="AG17">
            <v>1896</v>
          </cell>
          <cell r="AH17">
            <v>1896</v>
          </cell>
          <cell r="AI17">
            <v>0</v>
          </cell>
          <cell r="AJ17" t="str">
            <v>DA HET SAN XUAT</v>
          </cell>
        </row>
        <row r="18">
          <cell r="D18">
            <v>100004400</v>
          </cell>
          <cell r="E18">
            <v>0</v>
          </cell>
          <cell r="F18">
            <v>0</v>
          </cell>
          <cell r="G18">
            <v>0</v>
          </cell>
          <cell r="H18">
            <v>66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  <cell r="N18">
            <v>66</v>
          </cell>
          <cell r="O18">
            <v>0</v>
          </cell>
          <cell r="P18">
            <v>0</v>
          </cell>
          <cell r="Q18">
            <v>66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42991</v>
          </cell>
          <cell r="AG18">
            <v>1005</v>
          </cell>
          <cell r="AH18">
            <v>1005</v>
          </cell>
          <cell r="AI18">
            <v>0</v>
          </cell>
          <cell r="AJ18" t="str">
            <v>DA HET SAN XUAT</v>
          </cell>
        </row>
        <row r="19">
          <cell r="D19">
            <v>100008889</v>
          </cell>
          <cell r="E19">
            <v>0</v>
          </cell>
          <cell r="F19">
            <v>0</v>
          </cell>
          <cell r="G19">
            <v>0</v>
          </cell>
          <cell r="H19">
            <v>164</v>
          </cell>
          <cell r="I19">
            <v>0</v>
          </cell>
          <cell r="K19">
            <v>0</v>
          </cell>
          <cell r="L19">
            <v>0</v>
          </cell>
          <cell r="M19">
            <v>0</v>
          </cell>
          <cell r="N19">
            <v>164</v>
          </cell>
          <cell r="O19">
            <v>0</v>
          </cell>
          <cell r="P19">
            <v>0</v>
          </cell>
          <cell r="Q19">
            <v>164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42997</v>
          </cell>
          <cell r="AG19">
            <v>3489</v>
          </cell>
          <cell r="AH19">
            <v>3489</v>
          </cell>
          <cell r="AI19">
            <v>0</v>
          </cell>
          <cell r="AJ19" t="str">
            <v>DA HET SAN XUAT</v>
          </cell>
        </row>
        <row r="20">
          <cell r="D20">
            <v>174034722</v>
          </cell>
          <cell r="E20">
            <v>0</v>
          </cell>
          <cell r="F20">
            <v>0</v>
          </cell>
          <cell r="G20">
            <v>0</v>
          </cell>
          <cell r="H20">
            <v>182</v>
          </cell>
          <cell r="I20">
            <v>0</v>
          </cell>
          <cell r="K20">
            <v>0</v>
          </cell>
          <cell r="L20">
            <v>0</v>
          </cell>
          <cell r="M20">
            <v>0</v>
          </cell>
          <cell r="N20">
            <v>182</v>
          </cell>
          <cell r="O20">
            <v>0</v>
          </cell>
          <cell r="P20">
            <v>0</v>
          </cell>
          <cell r="Q20">
            <v>182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43013</v>
          </cell>
          <cell r="AG20">
            <v>471</v>
          </cell>
          <cell r="AH20">
            <v>465</v>
          </cell>
          <cell r="AI20">
            <v>-6</v>
          </cell>
        </row>
        <row r="21">
          <cell r="D21">
            <v>174034719</v>
          </cell>
          <cell r="E21">
            <v>0</v>
          </cell>
          <cell r="F21">
            <v>0</v>
          </cell>
          <cell r="G21">
            <v>0</v>
          </cell>
          <cell r="H21">
            <v>129</v>
          </cell>
          <cell r="I21">
            <v>0</v>
          </cell>
          <cell r="K21">
            <v>0</v>
          </cell>
          <cell r="L21">
            <v>0</v>
          </cell>
          <cell r="M21">
            <v>0</v>
          </cell>
          <cell r="N21">
            <v>129</v>
          </cell>
          <cell r="O21">
            <v>0</v>
          </cell>
          <cell r="P21">
            <v>0</v>
          </cell>
          <cell r="Q21">
            <v>129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42977</v>
          </cell>
          <cell r="AG21">
            <v>571</v>
          </cell>
          <cell r="AH21">
            <v>571</v>
          </cell>
          <cell r="AI21">
            <v>0</v>
          </cell>
          <cell r="AJ21" t="str">
            <v>DA HET SAN XUAT</v>
          </cell>
        </row>
        <row r="22">
          <cell r="D22">
            <v>174034721</v>
          </cell>
          <cell r="E22">
            <v>0</v>
          </cell>
          <cell r="F22">
            <v>0</v>
          </cell>
          <cell r="G22">
            <v>0</v>
          </cell>
          <cell r="H22">
            <v>109</v>
          </cell>
          <cell r="I22">
            <v>0</v>
          </cell>
          <cell r="K22">
            <v>0</v>
          </cell>
          <cell r="L22">
            <v>0</v>
          </cell>
          <cell r="M22">
            <v>0</v>
          </cell>
          <cell r="N22">
            <v>109</v>
          </cell>
          <cell r="O22">
            <v>0</v>
          </cell>
          <cell r="P22">
            <v>0</v>
          </cell>
          <cell r="Q22">
            <v>109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42977</v>
          </cell>
          <cell r="AG22">
            <v>743</v>
          </cell>
          <cell r="AH22">
            <v>738</v>
          </cell>
          <cell r="AI22">
            <v>-5</v>
          </cell>
        </row>
        <row r="23">
          <cell r="D23">
            <v>100003226</v>
          </cell>
          <cell r="E23">
            <v>0</v>
          </cell>
          <cell r="F23">
            <v>0</v>
          </cell>
          <cell r="G23">
            <v>0</v>
          </cell>
          <cell r="H23">
            <v>101</v>
          </cell>
          <cell r="I23">
            <v>0</v>
          </cell>
          <cell r="K23">
            <v>0</v>
          </cell>
          <cell r="L23">
            <v>0</v>
          </cell>
          <cell r="M23">
            <v>0</v>
          </cell>
          <cell r="N23">
            <v>101</v>
          </cell>
          <cell r="O23">
            <v>0</v>
          </cell>
          <cell r="P23">
            <v>0</v>
          </cell>
          <cell r="Q23">
            <v>101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42968</v>
          </cell>
          <cell r="AG23">
            <v>1596</v>
          </cell>
          <cell r="AH23">
            <v>1596</v>
          </cell>
          <cell r="AI23">
            <v>0</v>
          </cell>
          <cell r="AJ23" t="str">
            <v>DA HET SAN XUAT</v>
          </cell>
        </row>
        <row r="24">
          <cell r="D24">
            <v>174034717</v>
          </cell>
          <cell r="E24">
            <v>0</v>
          </cell>
          <cell r="F24">
            <v>0</v>
          </cell>
          <cell r="G24">
            <v>0</v>
          </cell>
          <cell r="H24">
            <v>99</v>
          </cell>
          <cell r="I24">
            <v>0</v>
          </cell>
          <cell r="K24">
            <v>0</v>
          </cell>
          <cell r="L24">
            <v>0</v>
          </cell>
          <cell r="M24">
            <v>0</v>
          </cell>
          <cell r="N24">
            <v>99</v>
          </cell>
          <cell r="O24">
            <v>0</v>
          </cell>
          <cell r="P24">
            <v>0</v>
          </cell>
          <cell r="Q24">
            <v>99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42991</v>
          </cell>
          <cell r="AG24">
            <v>572</v>
          </cell>
          <cell r="AH24">
            <v>548</v>
          </cell>
          <cell r="AI24">
            <v>-24</v>
          </cell>
        </row>
        <row r="25">
          <cell r="D25" t="str">
            <v>RK368419MI</v>
          </cell>
          <cell r="E25">
            <v>0</v>
          </cell>
          <cell r="F25">
            <v>0</v>
          </cell>
          <cell r="G25">
            <v>0</v>
          </cell>
          <cell r="H25">
            <v>71</v>
          </cell>
          <cell r="I25">
            <v>0</v>
          </cell>
          <cell r="K25">
            <v>0</v>
          </cell>
          <cell r="L25">
            <v>0</v>
          </cell>
          <cell r="M25">
            <v>0</v>
          </cell>
          <cell r="N25">
            <v>71</v>
          </cell>
          <cell r="O25">
            <v>0</v>
          </cell>
          <cell r="P25">
            <v>0</v>
          </cell>
          <cell r="Q25">
            <v>71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G25">
            <v>0</v>
          </cell>
          <cell r="AH25">
            <v>0</v>
          </cell>
          <cell r="AI25">
            <v>0</v>
          </cell>
          <cell r="AJ25" t="str">
            <v>DA HET SAN XUAT</v>
          </cell>
        </row>
        <row r="26">
          <cell r="D26">
            <v>453280</v>
          </cell>
          <cell r="E26">
            <v>0</v>
          </cell>
          <cell r="F26">
            <v>0</v>
          </cell>
          <cell r="G26">
            <v>0</v>
          </cell>
          <cell r="H26">
            <v>196</v>
          </cell>
          <cell r="I26">
            <v>0</v>
          </cell>
          <cell r="K26">
            <v>0</v>
          </cell>
          <cell r="L26">
            <v>0</v>
          </cell>
          <cell r="M26">
            <v>0</v>
          </cell>
          <cell r="N26">
            <v>196</v>
          </cell>
          <cell r="O26">
            <v>0</v>
          </cell>
          <cell r="P26">
            <v>0</v>
          </cell>
          <cell r="Q26">
            <v>196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42964</v>
          </cell>
          <cell r="AG26">
            <v>2750</v>
          </cell>
          <cell r="AH26">
            <v>2750</v>
          </cell>
          <cell r="AI26">
            <v>0</v>
          </cell>
          <cell r="AJ26" t="str">
            <v>DA HET SAN XUAT</v>
          </cell>
        </row>
        <row r="27">
          <cell r="D27">
            <v>100003227</v>
          </cell>
          <cell r="E27">
            <v>0</v>
          </cell>
          <cell r="F27">
            <v>10247</v>
          </cell>
          <cell r="G27">
            <v>10247</v>
          </cell>
          <cell r="H27">
            <v>378</v>
          </cell>
          <cell r="I27">
            <v>0</v>
          </cell>
          <cell r="K27">
            <v>0</v>
          </cell>
          <cell r="L27">
            <v>0</v>
          </cell>
          <cell r="M27">
            <v>0</v>
          </cell>
          <cell r="N27">
            <v>378</v>
          </cell>
          <cell r="O27">
            <v>0</v>
          </cell>
          <cell r="P27">
            <v>0</v>
          </cell>
          <cell r="Q27">
            <v>378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43001</v>
          </cell>
          <cell r="AG27">
            <v>8052</v>
          </cell>
          <cell r="AH27">
            <v>8025</v>
          </cell>
          <cell r="AI27">
            <v>-27</v>
          </cell>
        </row>
        <row r="28">
          <cell r="D28">
            <v>100003486</v>
          </cell>
          <cell r="E28">
            <v>0</v>
          </cell>
          <cell r="F28">
            <v>0</v>
          </cell>
          <cell r="G28">
            <v>0</v>
          </cell>
          <cell r="H28">
            <v>249</v>
          </cell>
          <cell r="I28">
            <v>0</v>
          </cell>
          <cell r="K28">
            <v>0</v>
          </cell>
          <cell r="L28">
            <v>0</v>
          </cell>
          <cell r="M28">
            <v>0</v>
          </cell>
          <cell r="N28">
            <v>249</v>
          </cell>
          <cell r="O28">
            <v>0</v>
          </cell>
          <cell r="P28">
            <v>0</v>
          </cell>
          <cell r="Q28">
            <v>249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43020</v>
          </cell>
          <cell r="AG28">
            <v>7164</v>
          </cell>
          <cell r="AH28">
            <v>7164</v>
          </cell>
          <cell r="AI28">
            <v>0</v>
          </cell>
          <cell r="AJ28" t="str">
            <v>DA HET SAN XUAT</v>
          </cell>
        </row>
        <row r="29">
          <cell r="D29">
            <v>100003532</v>
          </cell>
          <cell r="E29">
            <v>0</v>
          </cell>
          <cell r="F29">
            <v>0</v>
          </cell>
          <cell r="G29">
            <v>0</v>
          </cell>
          <cell r="H29">
            <v>68</v>
          </cell>
          <cell r="I29">
            <v>0</v>
          </cell>
          <cell r="K29">
            <v>0</v>
          </cell>
          <cell r="L29">
            <v>0</v>
          </cell>
          <cell r="M29">
            <v>0</v>
          </cell>
          <cell r="N29">
            <v>68</v>
          </cell>
          <cell r="O29">
            <v>0</v>
          </cell>
          <cell r="P29">
            <v>0</v>
          </cell>
          <cell r="Q29">
            <v>68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43029</v>
          </cell>
          <cell r="AG29">
            <v>2748</v>
          </cell>
          <cell r="AH29">
            <v>2748</v>
          </cell>
          <cell r="AI29">
            <v>0</v>
          </cell>
          <cell r="AJ29" t="str">
            <v>DA HET SAN XUAT</v>
          </cell>
        </row>
        <row r="30">
          <cell r="D30">
            <v>100003576</v>
          </cell>
          <cell r="E30">
            <v>0</v>
          </cell>
          <cell r="F30">
            <v>0</v>
          </cell>
          <cell r="G30">
            <v>0</v>
          </cell>
          <cell r="H30">
            <v>96</v>
          </cell>
          <cell r="I30">
            <v>0</v>
          </cell>
          <cell r="K30">
            <v>0</v>
          </cell>
          <cell r="L30">
            <v>0</v>
          </cell>
          <cell r="M30">
            <v>0</v>
          </cell>
          <cell r="N30">
            <v>96</v>
          </cell>
          <cell r="O30">
            <v>0</v>
          </cell>
          <cell r="P30">
            <v>0</v>
          </cell>
          <cell r="Q30">
            <v>96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X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43022</v>
          </cell>
          <cell r="AG30">
            <v>3177</v>
          </cell>
          <cell r="AH30">
            <v>3177</v>
          </cell>
          <cell r="AI30">
            <v>0</v>
          </cell>
          <cell r="AJ30" t="str">
            <v>DA HET SAN XUAT</v>
          </cell>
        </row>
        <row r="31">
          <cell r="D31">
            <v>100004424</v>
          </cell>
          <cell r="E31">
            <v>0</v>
          </cell>
          <cell r="F31">
            <v>0</v>
          </cell>
          <cell r="G31">
            <v>0</v>
          </cell>
          <cell r="H31">
            <v>81</v>
          </cell>
          <cell r="I31">
            <v>0</v>
          </cell>
          <cell r="K31">
            <v>0</v>
          </cell>
          <cell r="L31">
            <v>0</v>
          </cell>
          <cell r="M31">
            <v>0</v>
          </cell>
          <cell r="N31">
            <v>81</v>
          </cell>
          <cell r="O31">
            <v>0</v>
          </cell>
          <cell r="P31">
            <v>0</v>
          </cell>
          <cell r="Q31">
            <v>81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43001</v>
          </cell>
          <cell r="AG31">
            <v>1209</v>
          </cell>
          <cell r="AH31">
            <v>1185</v>
          </cell>
          <cell r="AI31">
            <v>-24</v>
          </cell>
        </row>
        <row r="32">
          <cell r="D32">
            <v>100005621</v>
          </cell>
          <cell r="E32">
            <v>0</v>
          </cell>
          <cell r="F32">
            <v>0</v>
          </cell>
          <cell r="G32">
            <v>0</v>
          </cell>
          <cell r="H32">
            <v>56</v>
          </cell>
          <cell r="I32">
            <v>0</v>
          </cell>
          <cell r="K32">
            <v>0</v>
          </cell>
          <cell r="L32">
            <v>0</v>
          </cell>
          <cell r="M32">
            <v>0</v>
          </cell>
          <cell r="N32">
            <v>56</v>
          </cell>
          <cell r="O32">
            <v>0</v>
          </cell>
          <cell r="P32">
            <v>0</v>
          </cell>
          <cell r="Q32">
            <v>56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X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43001</v>
          </cell>
          <cell r="AG32">
            <v>648</v>
          </cell>
          <cell r="AH32">
            <v>648</v>
          </cell>
          <cell r="AI32">
            <v>0</v>
          </cell>
          <cell r="AJ32" t="str">
            <v>DA HET SAN XUAT</v>
          </cell>
        </row>
        <row r="33">
          <cell r="D33">
            <v>100005705</v>
          </cell>
          <cell r="E33">
            <v>0</v>
          </cell>
          <cell r="F33">
            <v>5880</v>
          </cell>
          <cell r="G33">
            <v>5880</v>
          </cell>
          <cell r="H33">
            <v>352</v>
          </cell>
          <cell r="I33">
            <v>0</v>
          </cell>
          <cell r="K33">
            <v>0</v>
          </cell>
          <cell r="L33">
            <v>0</v>
          </cell>
          <cell r="M33">
            <v>0</v>
          </cell>
          <cell r="N33">
            <v>352</v>
          </cell>
          <cell r="O33">
            <v>0</v>
          </cell>
          <cell r="P33">
            <v>69</v>
          </cell>
          <cell r="Q33">
            <v>283</v>
          </cell>
          <cell r="R33">
            <v>0</v>
          </cell>
          <cell r="S33">
            <v>3</v>
          </cell>
          <cell r="T33">
            <v>3</v>
          </cell>
          <cell r="U33">
            <v>0</v>
          </cell>
          <cell r="X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3</v>
          </cell>
          <cell r="AE33">
            <v>3</v>
          </cell>
          <cell r="AF33">
            <v>42997</v>
          </cell>
          <cell r="AG33">
            <v>10467</v>
          </cell>
          <cell r="AH33">
            <v>10299</v>
          </cell>
          <cell r="AI33">
            <v>-168</v>
          </cell>
        </row>
        <row r="34">
          <cell r="D34">
            <v>100008197</v>
          </cell>
          <cell r="E34">
            <v>0</v>
          </cell>
          <cell r="F34">
            <v>9784</v>
          </cell>
          <cell r="G34">
            <v>9784</v>
          </cell>
          <cell r="H34">
            <v>461</v>
          </cell>
          <cell r="I34">
            <v>0</v>
          </cell>
          <cell r="K34">
            <v>0</v>
          </cell>
          <cell r="L34">
            <v>0</v>
          </cell>
          <cell r="M34">
            <v>0</v>
          </cell>
          <cell r="N34">
            <v>461</v>
          </cell>
          <cell r="O34">
            <v>0</v>
          </cell>
          <cell r="P34">
            <v>0</v>
          </cell>
          <cell r="Q34">
            <v>461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43020</v>
          </cell>
          <cell r="AG34">
            <v>1440</v>
          </cell>
          <cell r="AH34">
            <v>1440</v>
          </cell>
          <cell r="AI34">
            <v>0</v>
          </cell>
          <cell r="AJ34" t="str">
            <v>DA HET SAN XUAT</v>
          </cell>
        </row>
        <row r="35">
          <cell r="D35">
            <v>100008887</v>
          </cell>
          <cell r="E35">
            <v>0</v>
          </cell>
          <cell r="F35">
            <v>0</v>
          </cell>
          <cell r="G35">
            <v>0</v>
          </cell>
          <cell r="H35">
            <v>200</v>
          </cell>
          <cell r="I35">
            <v>0</v>
          </cell>
          <cell r="K35">
            <v>0</v>
          </cell>
          <cell r="L35">
            <v>0</v>
          </cell>
          <cell r="M35">
            <v>0</v>
          </cell>
          <cell r="N35">
            <v>200</v>
          </cell>
          <cell r="O35">
            <v>0</v>
          </cell>
          <cell r="P35">
            <v>0</v>
          </cell>
          <cell r="Q35">
            <v>200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43001</v>
          </cell>
          <cell r="AG35">
            <v>3195</v>
          </cell>
          <cell r="AH35">
            <v>3177</v>
          </cell>
          <cell r="AI35">
            <v>-18</v>
          </cell>
        </row>
        <row r="36">
          <cell r="D36">
            <v>100010914</v>
          </cell>
          <cell r="E36">
            <v>0</v>
          </cell>
          <cell r="F36">
            <v>0</v>
          </cell>
          <cell r="G36">
            <v>0</v>
          </cell>
          <cell r="H36">
            <v>55</v>
          </cell>
          <cell r="I36">
            <v>0</v>
          </cell>
          <cell r="K36">
            <v>0</v>
          </cell>
          <cell r="L36">
            <v>0</v>
          </cell>
          <cell r="M36">
            <v>0</v>
          </cell>
          <cell r="N36">
            <v>55</v>
          </cell>
          <cell r="O36">
            <v>0</v>
          </cell>
          <cell r="P36">
            <v>0</v>
          </cell>
          <cell r="Q36">
            <v>55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43020</v>
          </cell>
          <cell r="AG36">
            <v>1362</v>
          </cell>
          <cell r="AH36">
            <v>1362</v>
          </cell>
          <cell r="AI36">
            <v>0</v>
          </cell>
          <cell r="AJ36" t="str">
            <v>DA HET SAN XUAT</v>
          </cell>
        </row>
        <row r="37">
          <cell r="D37">
            <v>100011006</v>
          </cell>
          <cell r="E37">
            <v>0</v>
          </cell>
          <cell r="F37">
            <v>0</v>
          </cell>
          <cell r="G37">
            <v>0</v>
          </cell>
          <cell r="H37">
            <v>94</v>
          </cell>
          <cell r="I37">
            <v>0</v>
          </cell>
          <cell r="K37">
            <v>0</v>
          </cell>
          <cell r="L37">
            <v>0</v>
          </cell>
          <cell r="M37">
            <v>0</v>
          </cell>
          <cell r="N37">
            <v>94</v>
          </cell>
          <cell r="O37">
            <v>0</v>
          </cell>
          <cell r="P37">
            <v>0</v>
          </cell>
          <cell r="Q37">
            <v>94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>DA HET SAN XUAT</v>
          </cell>
        </row>
        <row r="38">
          <cell r="D38">
            <v>100011101</v>
          </cell>
          <cell r="E38">
            <v>0</v>
          </cell>
          <cell r="F38">
            <v>0</v>
          </cell>
          <cell r="G38">
            <v>0</v>
          </cell>
          <cell r="H38">
            <v>21</v>
          </cell>
          <cell r="I38">
            <v>0</v>
          </cell>
          <cell r="K38">
            <v>0</v>
          </cell>
          <cell r="L38">
            <v>0</v>
          </cell>
          <cell r="M38">
            <v>0</v>
          </cell>
          <cell r="N38">
            <v>21</v>
          </cell>
          <cell r="O38">
            <v>0</v>
          </cell>
          <cell r="P38">
            <v>0</v>
          </cell>
          <cell r="Q38">
            <v>21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X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43020</v>
          </cell>
          <cell r="AG38">
            <v>1137</v>
          </cell>
          <cell r="AH38">
            <v>1137</v>
          </cell>
          <cell r="AI38">
            <v>0</v>
          </cell>
          <cell r="AJ38" t="str">
            <v>DA HET SAN XUAT</v>
          </cell>
        </row>
        <row r="39">
          <cell r="D39">
            <v>100011102</v>
          </cell>
          <cell r="E39">
            <v>0</v>
          </cell>
          <cell r="F39">
            <v>0</v>
          </cell>
          <cell r="G39">
            <v>0</v>
          </cell>
          <cell r="H39">
            <v>31</v>
          </cell>
          <cell r="I39">
            <v>0</v>
          </cell>
          <cell r="K39">
            <v>0</v>
          </cell>
          <cell r="L39">
            <v>0</v>
          </cell>
          <cell r="M39">
            <v>0</v>
          </cell>
          <cell r="N39">
            <v>31</v>
          </cell>
          <cell r="O39">
            <v>0</v>
          </cell>
          <cell r="P39">
            <v>0</v>
          </cell>
          <cell r="Q39">
            <v>31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43020</v>
          </cell>
          <cell r="AG39">
            <v>1527</v>
          </cell>
          <cell r="AH39">
            <v>1527</v>
          </cell>
          <cell r="AI39">
            <v>0</v>
          </cell>
          <cell r="AJ39" t="str">
            <v>DA HET SAN XUAT</v>
          </cell>
        </row>
        <row r="40">
          <cell r="D40">
            <v>2335</v>
          </cell>
          <cell r="E40">
            <v>0</v>
          </cell>
          <cell r="F40">
            <v>23823</v>
          </cell>
          <cell r="G40">
            <v>23823</v>
          </cell>
          <cell r="H40">
            <v>1273</v>
          </cell>
          <cell r="I40">
            <v>0</v>
          </cell>
          <cell r="K40">
            <v>0</v>
          </cell>
          <cell r="L40">
            <v>0</v>
          </cell>
          <cell r="M40">
            <v>0</v>
          </cell>
          <cell r="N40">
            <v>1273</v>
          </cell>
          <cell r="O40">
            <v>0</v>
          </cell>
          <cell r="P40">
            <v>328</v>
          </cell>
          <cell r="Q40">
            <v>945</v>
          </cell>
          <cell r="R40">
            <v>0</v>
          </cell>
          <cell r="S40">
            <v>89</v>
          </cell>
          <cell r="T40">
            <v>89</v>
          </cell>
          <cell r="U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89</v>
          </cell>
          <cell r="AE40">
            <v>89</v>
          </cell>
          <cell r="AF40">
            <v>42503</v>
          </cell>
          <cell r="AG40">
            <v>45138</v>
          </cell>
          <cell r="AH40">
            <v>45207</v>
          </cell>
          <cell r="AI40">
            <v>69</v>
          </cell>
        </row>
        <row r="41">
          <cell r="D41">
            <v>7220</v>
          </cell>
          <cell r="E41">
            <v>0</v>
          </cell>
          <cell r="F41">
            <v>5987</v>
          </cell>
          <cell r="G41">
            <v>5987</v>
          </cell>
          <cell r="H41">
            <v>1361</v>
          </cell>
          <cell r="I41">
            <v>0</v>
          </cell>
          <cell r="K41">
            <v>1142</v>
          </cell>
          <cell r="L41">
            <v>0</v>
          </cell>
          <cell r="M41">
            <v>0</v>
          </cell>
          <cell r="N41">
            <v>219</v>
          </cell>
          <cell r="O41">
            <v>0</v>
          </cell>
          <cell r="P41">
            <v>101</v>
          </cell>
          <cell r="Q41">
            <v>118</v>
          </cell>
          <cell r="R41">
            <v>0</v>
          </cell>
          <cell r="S41">
            <v>0</v>
          </cell>
          <cell r="T41">
            <v>1142</v>
          </cell>
          <cell r="U41">
            <v>1142</v>
          </cell>
          <cell r="X41">
            <v>1116</v>
          </cell>
          <cell r="Z41">
            <v>2</v>
          </cell>
          <cell r="AA41">
            <v>24</v>
          </cell>
          <cell r="AB41">
            <v>1142</v>
          </cell>
          <cell r="AC41">
            <v>0</v>
          </cell>
          <cell r="AD41">
            <v>24</v>
          </cell>
          <cell r="AE41">
            <v>24</v>
          </cell>
          <cell r="AF41">
            <v>42656</v>
          </cell>
          <cell r="AG41">
            <v>26068</v>
          </cell>
          <cell r="AH41">
            <v>22479</v>
          </cell>
          <cell r="AI41">
            <v>-3589</v>
          </cell>
        </row>
        <row r="42">
          <cell r="D42" t="str">
            <v>7D400</v>
          </cell>
          <cell r="E42">
            <v>0</v>
          </cell>
          <cell r="F42">
            <v>0</v>
          </cell>
          <cell r="G42">
            <v>0</v>
          </cell>
          <cell r="H42">
            <v>72</v>
          </cell>
          <cell r="I42">
            <v>0</v>
          </cell>
          <cell r="K42">
            <v>0</v>
          </cell>
          <cell r="L42">
            <v>0</v>
          </cell>
          <cell r="M42">
            <v>0</v>
          </cell>
          <cell r="N42">
            <v>72</v>
          </cell>
          <cell r="O42">
            <v>0</v>
          </cell>
          <cell r="P42">
            <v>0</v>
          </cell>
          <cell r="Q42">
            <v>72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43001</v>
          </cell>
          <cell r="AG42">
            <v>2130</v>
          </cell>
          <cell r="AH42">
            <v>2130</v>
          </cell>
          <cell r="AI42">
            <v>0</v>
          </cell>
          <cell r="AJ42" t="str">
            <v>DA HET SAN XUAT</v>
          </cell>
        </row>
        <row r="43">
          <cell r="D43" t="str">
            <v>7D701</v>
          </cell>
          <cell r="E43">
            <v>0</v>
          </cell>
          <cell r="F43">
            <v>0</v>
          </cell>
          <cell r="G43">
            <v>0</v>
          </cell>
          <cell r="H43">
            <v>180</v>
          </cell>
          <cell r="I43">
            <v>0</v>
          </cell>
          <cell r="K43">
            <v>0</v>
          </cell>
          <cell r="L43">
            <v>0</v>
          </cell>
          <cell r="M43">
            <v>0</v>
          </cell>
          <cell r="N43">
            <v>180</v>
          </cell>
          <cell r="O43">
            <v>0</v>
          </cell>
          <cell r="P43">
            <v>0</v>
          </cell>
          <cell r="Q43">
            <v>180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X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43001</v>
          </cell>
          <cell r="AG43">
            <v>2589</v>
          </cell>
          <cell r="AH43">
            <v>2589</v>
          </cell>
          <cell r="AI43">
            <v>0</v>
          </cell>
          <cell r="AJ43" t="str">
            <v>DA HET SAN XUAT</v>
          </cell>
        </row>
        <row r="44">
          <cell r="D44" t="str">
            <v>7D707</v>
          </cell>
          <cell r="E44">
            <v>0</v>
          </cell>
          <cell r="F44">
            <v>0</v>
          </cell>
          <cell r="G44">
            <v>0</v>
          </cell>
          <cell r="H44">
            <v>387</v>
          </cell>
          <cell r="I44">
            <v>0</v>
          </cell>
          <cell r="K44">
            <v>0</v>
          </cell>
          <cell r="L44">
            <v>0</v>
          </cell>
          <cell r="M44">
            <v>0</v>
          </cell>
          <cell r="N44">
            <v>387</v>
          </cell>
          <cell r="O44">
            <v>0</v>
          </cell>
          <cell r="P44">
            <v>0</v>
          </cell>
          <cell r="Q44">
            <v>387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43019</v>
          </cell>
          <cell r="AG44">
            <v>6750</v>
          </cell>
          <cell r="AH44">
            <v>6561</v>
          </cell>
          <cell r="AI44">
            <v>-189</v>
          </cell>
        </row>
        <row r="45">
          <cell r="D45" t="str">
            <v>7D902</v>
          </cell>
          <cell r="E45">
            <v>0</v>
          </cell>
          <cell r="F45">
            <v>0</v>
          </cell>
          <cell r="G45">
            <v>0</v>
          </cell>
          <cell r="H45">
            <v>92</v>
          </cell>
          <cell r="I45">
            <v>0</v>
          </cell>
          <cell r="K45">
            <v>0</v>
          </cell>
          <cell r="L45">
            <v>0</v>
          </cell>
          <cell r="M45">
            <v>0</v>
          </cell>
          <cell r="N45">
            <v>92</v>
          </cell>
          <cell r="O45">
            <v>0</v>
          </cell>
          <cell r="P45">
            <v>0</v>
          </cell>
          <cell r="Q45">
            <v>92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X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42990</v>
          </cell>
          <cell r="AG45">
            <v>1365</v>
          </cell>
          <cell r="AH45">
            <v>1347</v>
          </cell>
          <cell r="AI45">
            <v>-18</v>
          </cell>
        </row>
        <row r="46">
          <cell r="D46" t="str">
            <v>7N714</v>
          </cell>
          <cell r="E46">
            <v>0</v>
          </cell>
          <cell r="F46">
            <v>0</v>
          </cell>
          <cell r="G46">
            <v>0</v>
          </cell>
          <cell r="H46">
            <v>100</v>
          </cell>
          <cell r="I46">
            <v>0</v>
          </cell>
          <cell r="K46">
            <v>0</v>
          </cell>
          <cell r="L46">
            <v>0</v>
          </cell>
          <cell r="M46">
            <v>0</v>
          </cell>
          <cell r="N46">
            <v>100</v>
          </cell>
          <cell r="O46">
            <v>0</v>
          </cell>
          <cell r="P46">
            <v>0</v>
          </cell>
          <cell r="Q46">
            <v>100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42992</v>
          </cell>
          <cell r="AG46">
            <v>1875</v>
          </cell>
          <cell r="AH46">
            <v>1875</v>
          </cell>
          <cell r="AI46">
            <v>0</v>
          </cell>
          <cell r="AJ46" t="str">
            <v>DA HET SAN XUAT</v>
          </cell>
        </row>
        <row r="47">
          <cell r="D47">
            <v>448556</v>
          </cell>
          <cell r="E47">
            <v>0</v>
          </cell>
          <cell r="F47">
            <v>0</v>
          </cell>
          <cell r="G47">
            <v>0</v>
          </cell>
          <cell r="H47">
            <v>56</v>
          </cell>
          <cell r="I47">
            <v>0</v>
          </cell>
          <cell r="K47">
            <v>0</v>
          </cell>
          <cell r="L47">
            <v>0</v>
          </cell>
          <cell r="M47">
            <v>0</v>
          </cell>
          <cell r="N47">
            <v>56</v>
          </cell>
          <cell r="O47">
            <v>0</v>
          </cell>
          <cell r="P47">
            <v>0</v>
          </cell>
          <cell r="Q47">
            <v>56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X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43004</v>
          </cell>
          <cell r="AG47">
            <v>1200</v>
          </cell>
          <cell r="AH47">
            <v>1200</v>
          </cell>
          <cell r="AI47">
            <v>0</v>
          </cell>
          <cell r="AJ47" t="str">
            <v>DA HET SAN XUAT</v>
          </cell>
        </row>
        <row r="48">
          <cell r="D48">
            <v>454819</v>
          </cell>
          <cell r="E48">
            <v>0</v>
          </cell>
          <cell r="F48">
            <v>0</v>
          </cell>
          <cell r="G48">
            <v>0</v>
          </cell>
          <cell r="H48">
            <v>121</v>
          </cell>
          <cell r="I48">
            <v>0</v>
          </cell>
          <cell r="K48">
            <v>0</v>
          </cell>
          <cell r="L48">
            <v>0</v>
          </cell>
          <cell r="M48">
            <v>0</v>
          </cell>
          <cell r="N48">
            <v>121</v>
          </cell>
          <cell r="O48">
            <v>0</v>
          </cell>
          <cell r="P48">
            <v>0</v>
          </cell>
          <cell r="Q48">
            <v>121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X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43019</v>
          </cell>
          <cell r="AG48">
            <v>1600</v>
          </cell>
          <cell r="AH48">
            <v>1600</v>
          </cell>
          <cell r="AI48">
            <v>0</v>
          </cell>
          <cell r="AJ48" t="str">
            <v>DA HET SAN XUAT</v>
          </cell>
        </row>
        <row r="49">
          <cell r="D49">
            <v>457050</v>
          </cell>
          <cell r="E49">
            <v>0</v>
          </cell>
          <cell r="F49">
            <v>0</v>
          </cell>
          <cell r="G49">
            <v>0</v>
          </cell>
          <cell r="H49">
            <v>262</v>
          </cell>
          <cell r="I49">
            <v>0</v>
          </cell>
          <cell r="K49">
            <v>0</v>
          </cell>
          <cell r="L49">
            <v>0</v>
          </cell>
          <cell r="M49">
            <v>0</v>
          </cell>
          <cell r="N49">
            <v>262</v>
          </cell>
          <cell r="O49">
            <v>0</v>
          </cell>
          <cell r="P49">
            <v>0</v>
          </cell>
          <cell r="Q49">
            <v>262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X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43013</v>
          </cell>
          <cell r="AG49">
            <v>2000</v>
          </cell>
          <cell r="AH49">
            <v>2000</v>
          </cell>
          <cell r="AI49">
            <v>0</v>
          </cell>
          <cell r="AJ49" t="str">
            <v>DA HET SAN XUAT</v>
          </cell>
        </row>
        <row r="50">
          <cell r="D50" t="str">
            <v>7D320(100010192)</v>
          </cell>
          <cell r="E50">
            <v>0</v>
          </cell>
          <cell r="F50">
            <v>0</v>
          </cell>
          <cell r="G50">
            <v>0</v>
          </cell>
          <cell r="H50">
            <v>73</v>
          </cell>
          <cell r="I50">
            <v>0</v>
          </cell>
          <cell r="K50">
            <v>0</v>
          </cell>
          <cell r="L50">
            <v>0</v>
          </cell>
          <cell r="M50">
            <v>0</v>
          </cell>
          <cell r="N50">
            <v>73</v>
          </cell>
          <cell r="O50">
            <v>0</v>
          </cell>
          <cell r="P50">
            <v>0</v>
          </cell>
          <cell r="Q50">
            <v>73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X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I50">
            <v>0</v>
          </cell>
          <cell r="AJ50" t="str">
            <v>DA HET SAN XUAT</v>
          </cell>
        </row>
        <row r="51">
          <cell r="D51" t="str">
            <v>7D534(100010660)</v>
          </cell>
          <cell r="E51">
            <v>0</v>
          </cell>
          <cell r="F51">
            <v>0</v>
          </cell>
          <cell r="G51">
            <v>0</v>
          </cell>
          <cell r="H51">
            <v>27</v>
          </cell>
          <cell r="I51">
            <v>0</v>
          </cell>
          <cell r="K51">
            <v>0</v>
          </cell>
          <cell r="L51">
            <v>0</v>
          </cell>
          <cell r="M51">
            <v>0</v>
          </cell>
          <cell r="N51">
            <v>27</v>
          </cell>
          <cell r="O51">
            <v>0</v>
          </cell>
          <cell r="P51">
            <v>0</v>
          </cell>
          <cell r="Q51">
            <v>27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X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I51">
            <v>0</v>
          </cell>
          <cell r="AJ51" t="str">
            <v>DA HET SAN XUAT</v>
          </cell>
        </row>
        <row r="52">
          <cell r="D52" t="str">
            <v>7D650(100010275)</v>
          </cell>
          <cell r="E52">
            <v>0</v>
          </cell>
          <cell r="F52">
            <v>0</v>
          </cell>
          <cell r="G52">
            <v>0</v>
          </cell>
          <cell r="H52">
            <v>112</v>
          </cell>
          <cell r="I52">
            <v>0</v>
          </cell>
          <cell r="K52">
            <v>0</v>
          </cell>
          <cell r="L52">
            <v>0</v>
          </cell>
          <cell r="M52">
            <v>0</v>
          </cell>
          <cell r="N52">
            <v>112</v>
          </cell>
          <cell r="O52">
            <v>0</v>
          </cell>
          <cell r="P52">
            <v>0</v>
          </cell>
          <cell r="Q52">
            <v>112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I52">
            <v>0</v>
          </cell>
          <cell r="AJ52" t="str">
            <v>DA HET SAN XUAT</v>
          </cell>
        </row>
        <row r="53">
          <cell r="D53" t="str">
            <v>7D664(100007920)</v>
          </cell>
          <cell r="E53">
            <v>0</v>
          </cell>
          <cell r="F53">
            <v>0</v>
          </cell>
          <cell r="G53">
            <v>0</v>
          </cell>
          <cell r="H53">
            <v>46</v>
          </cell>
          <cell r="I53">
            <v>0</v>
          </cell>
          <cell r="K53">
            <v>0</v>
          </cell>
          <cell r="L53">
            <v>0</v>
          </cell>
          <cell r="M53">
            <v>0</v>
          </cell>
          <cell r="N53">
            <v>46</v>
          </cell>
          <cell r="O53">
            <v>0</v>
          </cell>
          <cell r="P53">
            <v>0</v>
          </cell>
          <cell r="Q53">
            <v>46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X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I53">
            <v>0</v>
          </cell>
          <cell r="AJ53" t="str">
            <v>DA HET SAN XUAT</v>
          </cell>
        </row>
        <row r="54">
          <cell r="D54">
            <v>100003523</v>
          </cell>
          <cell r="E54">
            <v>0</v>
          </cell>
          <cell r="F54">
            <v>0</v>
          </cell>
          <cell r="G54">
            <v>0</v>
          </cell>
          <cell r="H54">
            <v>113</v>
          </cell>
          <cell r="I54">
            <v>0</v>
          </cell>
          <cell r="K54">
            <v>0</v>
          </cell>
          <cell r="L54">
            <v>0</v>
          </cell>
          <cell r="M54">
            <v>0</v>
          </cell>
          <cell r="N54">
            <v>113</v>
          </cell>
          <cell r="O54">
            <v>0</v>
          </cell>
          <cell r="P54">
            <v>0</v>
          </cell>
          <cell r="Q54">
            <v>113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X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43029</v>
          </cell>
          <cell r="AG54">
            <v>2319</v>
          </cell>
          <cell r="AH54">
            <v>2319</v>
          </cell>
          <cell r="AI54">
            <v>0</v>
          </cell>
          <cell r="AJ54" t="str">
            <v>DA HET SAN XUAT</v>
          </cell>
        </row>
        <row r="55">
          <cell r="D55">
            <v>100003547</v>
          </cell>
          <cell r="E55">
            <v>0</v>
          </cell>
          <cell r="F55">
            <v>0</v>
          </cell>
          <cell r="G55">
            <v>0</v>
          </cell>
          <cell r="H55">
            <v>324</v>
          </cell>
          <cell r="I55">
            <v>0</v>
          </cell>
          <cell r="K55">
            <v>0</v>
          </cell>
          <cell r="L55">
            <v>0</v>
          </cell>
          <cell r="M55">
            <v>0</v>
          </cell>
          <cell r="N55">
            <v>324</v>
          </cell>
          <cell r="O55">
            <v>0</v>
          </cell>
          <cell r="P55">
            <v>0</v>
          </cell>
          <cell r="Q55">
            <v>324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X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43019</v>
          </cell>
          <cell r="AG55">
            <v>3702</v>
          </cell>
          <cell r="AH55">
            <v>3702</v>
          </cell>
          <cell r="AI55">
            <v>0</v>
          </cell>
          <cell r="AJ55" t="str">
            <v>DA HET SAN XUAT</v>
          </cell>
        </row>
        <row r="56">
          <cell r="D56">
            <v>100003559</v>
          </cell>
          <cell r="E56">
            <v>0</v>
          </cell>
          <cell r="F56">
            <v>0</v>
          </cell>
          <cell r="G56">
            <v>0</v>
          </cell>
          <cell r="H56">
            <v>81</v>
          </cell>
          <cell r="I56">
            <v>0</v>
          </cell>
          <cell r="K56">
            <v>0</v>
          </cell>
          <cell r="L56">
            <v>0</v>
          </cell>
          <cell r="M56">
            <v>0</v>
          </cell>
          <cell r="N56">
            <v>81</v>
          </cell>
          <cell r="O56">
            <v>0</v>
          </cell>
          <cell r="P56">
            <v>0</v>
          </cell>
          <cell r="Q56">
            <v>81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X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43046</v>
          </cell>
          <cell r="AG56">
            <v>2742</v>
          </cell>
          <cell r="AH56">
            <v>2742</v>
          </cell>
          <cell r="AI56">
            <v>0</v>
          </cell>
          <cell r="AJ56" t="str">
            <v>DA HET SAN XUAT</v>
          </cell>
        </row>
        <row r="57">
          <cell r="D57">
            <v>100003582</v>
          </cell>
          <cell r="E57">
            <v>0</v>
          </cell>
          <cell r="F57">
            <v>0</v>
          </cell>
          <cell r="G57">
            <v>0</v>
          </cell>
          <cell r="H57">
            <v>109</v>
          </cell>
          <cell r="I57">
            <v>0</v>
          </cell>
          <cell r="K57">
            <v>0</v>
          </cell>
          <cell r="L57">
            <v>0</v>
          </cell>
          <cell r="M57">
            <v>0</v>
          </cell>
          <cell r="N57">
            <v>109</v>
          </cell>
          <cell r="O57">
            <v>0</v>
          </cell>
          <cell r="P57">
            <v>0</v>
          </cell>
          <cell r="Q57">
            <v>109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X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43053</v>
          </cell>
          <cell r="AG57">
            <v>7080</v>
          </cell>
          <cell r="AH57">
            <v>7080</v>
          </cell>
          <cell r="AI57">
            <v>0</v>
          </cell>
          <cell r="AJ57" t="str">
            <v>DA HET SAN XUAT</v>
          </cell>
        </row>
        <row r="58">
          <cell r="D58">
            <v>100003585</v>
          </cell>
          <cell r="E58">
            <v>0</v>
          </cell>
          <cell r="F58">
            <v>0</v>
          </cell>
          <cell r="G58">
            <v>0</v>
          </cell>
          <cell r="H58">
            <v>51</v>
          </cell>
          <cell r="I58">
            <v>0</v>
          </cell>
          <cell r="K58">
            <v>0</v>
          </cell>
          <cell r="L58">
            <v>0</v>
          </cell>
          <cell r="M58">
            <v>0</v>
          </cell>
          <cell r="N58">
            <v>51</v>
          </cell>
          <cell r="O58">
            <v>0</v>
          </cell>
          <cell r="P58">
            <v>0</v>
          </cell>
          <cell r="Q58">
            <v>51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43046</v>
          </cell>
          <cell r="AG58">
            <v>4893</v>
          </cell>
          <cell r="AH58">
            <v>4932</v>
          </cell>
          <cell r="AI58">
            <v>39</v>
          </cell>
        </row>
        <row r="59">
          <cell r="D59">
            <v>100003592</v>
          </cell>
          <cell r="E59">
            <v>0</v>
          </cell>
          <cell r="F59">
            <v>0</v>
          </cell>
          <cell r="G59">
            <v>0</v>
          </cell>
          <cell r="H59">
            <v>85</v>
          </cell>
          <cell r="I59">
            <v>0</v>
          </cell>
          <cell r="K59">
            <v>0</v>
          </cell>
          <cell r="L59">
            <v>0</v>
          </cell>
          <cell r="M59">
            <v>0</v>
          </cell>
          <cell r="N59">
            <v>85</v>
          </cell>
          <cell r="O59">
            <v>0</v>
          </cell>
          <cell r="P59">
            <v>0</v>
          </cell>
          <cell r="Q59">
            <v>85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43053</v>
          </cell>
          <cell r="AG59">
            <v>1623</v>
          </cell>
          <cell r="AH59">
            <v>1623</v>
          </cell>
          <cell r="AI59">
            <v>0</v>
          </cell>
          <cell r="AJ59" t="str">
            <v>DA HET SAN XUAT</v>
          </cell>
        </row>
        <row r="60">
          <cell r="D60">
            <v>100004432</v>
          </cell>
          <cell r="E60">
            <v>0</v>
          </cell>
          <cell r="F60">
            <v>0</v>
          </cell>
          <cell r="G60">
            <v>0</v>
          </cell>
          <cell r="H60">
            <v>24</v>
          </cell>
          <cell r="I60">
            <v>0</v>
          </cell>
          <cell r="K60">
            <v>0</v>
          </cell>
          <cell r="L60">
            <v>0</v>
          </cell>
          <cell r="M60">
            <v>0</v>
          </cell>
          <cell r="N60">
            <v>24</v>
          </cell>
          <cell r="O60">
            <v>0</v>
          </cell>
          <cell r="P60">
            <v>0</v>
          </cell>
          <cell r="Q60">
            <v>24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43047</v>
          </cell>
          <cell r="AG60">
            <v>684</v>
          </cell>
          <cell r="AH60">
            <v>684</v>
          </cell>
          <cell r="AI60">
            <v>0</v>
          </cell>
          <cell r="AJ60" t="str">
            <v>DA HET SAN XUAT</v>
          </cell>
        </row>
        <row r="61">
          <cell r="D61">
            <v>100008196</v>
          </cell>
          <cell r="E61">
            <v>0</v>
          </cell>
          <cell r="F61">
            <v>0</v>
          </cell>
          <cell r="G61">
            <v>0</v>
          </cell>
          <cell r="H61">
            <v>337</v>
          </cell>
          <cell r="I61">
            <v>0</v>
          </cell>
          <cell r="K61">
            <v>0</v>
          </cell>
          <cell r="L61">
            <v>0</v>
          </cell>
          <cell r="M61">
            <v>0</v>
          </cell>
          <cell r="N61">
            <v>337</v>
          </cell>
          <cell r="O61">
            <v>0</v>
          </cell>
          <cell r="P61">
            <v>0</v>
          </cell>
          <cell r="Q61">
            <v>337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43062</v>
          </cell>
          <cell r="AG61">
            <v>6840</v>
          </cell>
          <cell r="AH61">
            <v>6852</v>
          </cell>
          <cell r="AI61">
            <v>12</v>
          </cell>
        </row>
        <row r="62">
          <cell r="D62">
            <v>100008212</v>
          </cell>
          <cell r="E62">
            <v>0</v>
          </cell>
          <cell r="F62">
            <v>0</v>
          </cell>
          <cell r="G62">
            <v>0</v>
          </cell>
          <cell r="H62">
            <v>85</v>
          </cell>
          <cell r="I62">
            <v>0</v>
          </cell>
          <cell r="K62">
            <v>0</v>
          </cell>
          <cell r="L62">
            <v>0</v>
          </cell>
          <cell r="M62">
            <v>0</v>
          </cell>
          <cell r="N62">
            <v>85</v>
          </cell>
          <cell r="O62">
            <v>0</v>
          </cell>
          <cell r="P62">
            <v>0</v>
          </cell>
          <cell r="Q62">
            <v>85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X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43046</v>
          </cell>
          <cell r="AG62">
            <v>864</v>
          </cell>
          <cell r="AH62">
            <v>864</v>
          </cell>
          <cell r="AI62">
            <v>0</v>
          </cell>
          <cell r="AJ62" t="str">
            <v>DA HET SAN XUAT</v>
          </cell>
        </row>
        <row r="63">
          <cell r="D63">
            <v>100008214</v>
          </cell>
          <cell r="E63">
            <v>0</v>
          </cell>
          <cell r="F63">
            <v>0</v>
          </cell>
          <cell r="G63">
            <v>0</v>
          </cell>
          <cell r="H63">
            <v>23</v>
          </cell>
          <cell r="I63">
            <v>0</v>
          </cell>
          <cell r="K63">
            <v>0</v>
          </cell>
          <cell r="L63">
            <v>0</v>
          </cell>
          <cell r="M63">
            <v>0</v>
          </cell>
          <cell r="N63">
            <v>23</v>
          </cell>
          <cell r="O63">
            <v>0</v>
          </cell>
          <cell r="P63">
            <v>0</v>
          </cell>
          <cell r="Q63">
            <v>23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43062</v>
          </cell>
          <cell r="AG63">
            <v>765</v>
          </cell>
          <cell r="AH63">
            <v>765</v>
          </cell>
          <cell r="AI63">
            <v>0</v>
          </cell>
          <cell r="AJ63" t="str">
            <v>DA HET SAN XUAT</v>
          </cell>
        </row>
        <row r="64">
          <cell r="D64">
            <v>100008216</v>
          </cell>
          <cell r="E64">
            <v>0</v>
          </cell>
          <cell r="F64">
            <v>0</v>
          </cell>
          <cell r="G64">
            <v>0</v>
          </cell>
          <cell r="H64">
            <v>102</v>
          </cell>
          <cell r="I64">
            <v>0</v>
          </cell>
          <cell r="K64">
            <v>0</v>
          </cell>
          <cell r="L64">
            <v>0</v>
          </cell>
          <cell r="M64">
            <v>0</v>
          </cell>
          <cell r="N64">
            <v>102</v>
          </cell>
          <cell r="O64">
            <v>0</v>
          </cell>
          <cell r="P64">
            <v>0</v>
          </cell>
          <cell r="Q64">
            <v>102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X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43059</v>
          </cell>
          <cell r="AG64">
            <v>2091</v>
          </cell>
          <cell r="AH64">
            <v>2091</v>
          </cell>
          <cell r="AI64">
            <v>0</v>
          </cell>
          <cell r="AJ64" t="str">
            <v>DA HET SAN XUAT</v>
          </cell>
        </row>
        <row r="65">
          <cell r="D65">
            <v>100009597</v>
          </cell>
          <cell r="E65">
            <v>0</v>
          </cell>
          <cell r="F65">
            <v>17282</v>
          </cell>
          <cell r="G65">
            <v>17282</v>
          </cell>
          <cell r="H65">
            <v>552</v>
          </cell>
          <cell r="I65">
            <v>0</v>
          </cell>
          <cell r="K65">
            <v>0</v>
          </cell>
          <cell r="L65">
            <v>0</v>
          </cell>
          <cell r="M65">
            <v>0</v>
          </cell>
          <cell r="N65">
            <v>552</v>
          </cell>
          <cell r="O65">
            <v>0</v>
          </cell>
          <cell r="P65">
            <v>0</v>
          </cell>
          <cell r="Q65">
            <v>552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43029</v>
          </cell>
          <cell r="AG65">
            <v>11250</v>
          </cell>
          <cell r="AH65">
            <v>11250</v>
          </cell>
          <cell r="AI65">
            <v>0</v>
          </cell>
          <cell r="AJ65" t="str">
            <v>DA HET SAN XUAT</v>
          </cell>
        </row>
        <row r="66">
          <cell r="D66">
            <v>74401</v>
          </cell>
          <cell r="E66">
            <v>5</v>
          </cell>
          <cell r="F66">
            <v>11001</v>
          </cell>
          <cell r="G66">
            <v>11006</v>
          </cell>
          <cell r="H66">
            <v>4111</v>
          </cell>
          <cell r="I66">
            <v>5</v>
          </cell>
          <cell r="K66">
            <v>4001</v>
          </cell>
          <cell r="L66">
            <v>0</v>
          </cell>
          <cell r="M66">
            <v>0</v>
          </cell>
          <cell r="N66">
            <v>115</v>
          </cell>
          <cell r="O66">
            <v>0</v>
          </cell>
          <cell r="P66">
            <v>0</v>
          </cell>
          <cell r="Q66">
            <v>115</v>
          </cell>
          <cell r="R66">
            <v>6890</v>
          </cell>
          <cell r="S66">
            <v>0</v>
          </cell>
          <cell r="T66">
            <v>10891</v>
          </cell>
          <cell r="U66">
            <v>4001</v>
          </cell>
          <cell r="X66">
            <v>10748</v>
          </cell>
          <cell r="Z66">
            <v>7</v>
          </cell>
          <cell r="AA66">
            <v>136</v>
          </cell>
          <cell r="AB66">
            <v>4001</v>
          </cell>
          <cell r="AC66">
            <v>0</v>
          </cell>
          <cell r="AD66">
            <v>136</v>
          </cell>
          <cell r="AE66">
            <v>136</v>
          </cell>
          <cell r="AF66">
            <v>43103</v>
          </cell>
          <cell r="AG66">
            <v>19298</v>
          </cell>
          <cell r="AH66">
            <v>17388</v>
          </cell>
          <cell r="AI66">
            <v>-1910</v>
          </cell>
        </row>
        <row r="67">
          <cell r="D67" t="str">
            <v>7X733</v>
          </cell>
          <cell r="E67">
            <v>0</v>
          </cell>
          <cell r="F67">
            <v>0</v>
          </cell>
          <cell r="G67">
            <v>0</v>
          </cell>
          <cell r="H67">
            <v>65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  <cell r="N67">
            <v>65</v>
          </cell>
          <cell r="O67">
            <v>0</v>
          </cell>
          <cell r="P67">
            <v>0</v>
          </cell>
          <cell r="Q67">
            <v>65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42912</v>
          </cell>
          <cell r="AG67">
            <v>13398</v>
          </cell>
          <cell r="AH67">
            <v>13398</v>
          </cell>
          <cell r="AI67">
            <v>0</v>
          </cell>
          <cell r="AJ67" t="str">
            <v>DA HET SAN XUAT</v>
          </cell>
        </row>
        <row r="68">
          <cell r="D68" t="str">
            <v>452172(456261)</v>
          </cell>
          <cell r="E68">
            <v>0</v>
          </cell>
          <cell r="F68">
            <v>0</v>
          </cell>
          <cell r="G68">
            <v>0</v>
          </cell>
          <cell r="H68">
            <v>329</v>
          </cell>
          <cell r="I68">
            <v>0</v>
          </cell>
          <cell r="K68">
            <v>0</v>
          </cell>
          <cell r="L68">
            <v>0</v>
          </cell>
          <cell r="M68">
            <v>0</v>
          </cell>
          <cell r="N68">
            <v>329</v>
          </cell>
          <cell r="O68">
            <v>0</v>
          </cell>
          <cell r="P68">
            <v>0</v>
          </cell>
          <cell r="Q68">
            <v>329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X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G68">
            <v>0</v>
          </cell>
          <cell r="AH68">
            <v>0</v>
          </cell>
          <cell r="AI68">
            <v>0</v>
          </cell>
          <cell r="AJ68" t="str">
            <v>DA HET SAN XUAT</v>
          </cell>
        </row>
        <row r="69">
          <cell r="D69" t="str">
            <v>453516(456278)</v>
          </cell>
          <cell r="E69">
            <v>0</v>
          </cell>
          <cell r="F69">
            <v>0</v>
          </cell>
          <cell r="G69">
            <v>0</v>
          </cell>
          <cell r="H69">
            <v>440</v>
          </cell>
          <cell r="I69">
            <v>0</v>
          </cell>
          <cell r="K69">
            <v>0</v>
          </cell>
          <cell r="L69">
            <v>0</v>
          </cell>
          <cell r="M69">
            <v>0</v>
          </cell>
          <cell r="N69">
            <v>440</v>
          </cell>
          <cell r="O69">
            <v>0</v>
          </cell>
          <cell r="P69">
            <v>0</v>
          </cell>
          <cell r="Q69">
            <v>440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G69">
            <v>0</v>
          </cell>
          <cell r="AH69">
            <v>0</v>
          </cell>
          <cell r="AI69">
            <v>0</v>
          </cell>
          <cell r="AJ69" t="str">
            <v>DA HET SAN XUAT</v>
          </cell>
        </row>
        <row r="70">
          <cell r="D70">
            <v>455129</v>
          </cell>
          <cell r="E70">
            <v>0</v>
          </cell>
          <cell r="F70">
            <v>0</v>
          </cell>
          <cell r="G70">
            <v>0</v>
          </cell>
          <cell r="H70">
            <v>97</v>
          </cell>
          <cell r="I70">
            <v>0</v>
          </cell>
          <cell r="K70">
            <v>0</v>
          </cell>
          <cell r="L70">
            <v>0</v>
          </cell>
          <cell r="M70">
            <v>0</v>
          </cell>
          <cell r="N70">
            <v>97</v>
          </cell>
          <cell r="O70">
            <v>0</v>
          </cell>
          <cell r="P70">
            <v>0</v>
          </cell>
          <cell r="Q70">
            <v>97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43034</v>
          </cell>
          <cell r="AG70">
            <v>1520</v>
          </cell>
          <cell r="AH70">
            <v>1520</v>
          </cell>
          <cell r="AI70">
            <v>0</v>
          </cell>
          <cell r="AJ70" t="str">
            <v>DA HET SAN XUAT</v>
          </cell>
        </row>
        <row r="71">
          <cell r="D71">
            <v>455571</v>
          </cell>
          <cell r="E71">
            <v>0</v>
          </cell>
          <cell r="F71">
            <v>0</v>
          </cell>
          <cell r="G71">
            <v>0</v>
          </cell>
          <cell r="H71">
            <v>491</v>
          </cell>
          <cell r="I71">
            <v>0</v>
          </cell>
          <cell r="K71">
            <v>0</v>
          </cell>
          <cell r="L71">
            <v>0</v>
          </cell>
          <cell r="M71">
            <v>0</v>
          </cell>
          <cell r="N71">
            <v>491</v>
          </cell>
          <cell r="O71">
            <v>0</v>
          </cell>
          <cell r="P71">
            <v>0</v>
          </cell>
          <cell r="Q71">
            <v>491</v>
          </cell>
          <cell r="R71">
            <v>0</v>
          </cell>
          <cell r="S71">
            <v>13</v>
          </cell>
          <cell r="T71">
            <v>13</v>
          </cell>
          <cell r="U71">
            <v>0</v>
          </cell>
          <cell r="X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13</v>
          </cell>
          <cell r="AE71">
            <v>13</v>
          </cell>
          <cell r="AF71">
            <v>43075</v>
          </cell>
          <cell r="AG71">
            <v>7480</v>
          </cell>
          <cell r="AH71">
            <v>7459</v>
          </cell>
          <cell r="AI71">
            <v>-21</v>
          </cell>
        </row>
        <row r="72">
          <cell r="D72" t="str">
            <v>456532(456692)</v>
          </cell>
          <cell r="E72">
            <v>0</v>
          </cell>
          <cell r="F72">
            <v>0</v>
          </cell>
          <cell r="G72">
            <v>0</v>
          </cell>
          <cell r="H72">
            <v>143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  <cell r="N72">
            <v>143</v>
          </cell>
          <cell r="O72">
            <v>0</v>
          </cell>
          <cell r="P72">
            <v>0</v>
          </cell>
          <cell r="Q72">
            <v>143</v>
          </cell>
          <cell r="R72">
            <v>0</v>
          </cell>
          <cell r="S72">
            <v>200</v>
          </cell>
          <cell r="T72">
            <v>200</v>
          </cell>
          <cell r="U72">
            <v>0</v>
          </cell>
          <cell r="X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200</v>
          </cell>
          <cell r="AE72">
            <v>200</v>
          </cell>
          <cell r="AG72">
            <v>0</v>
          </cell>
          <cell r="AH72">
            <v>0</v>
          </cell>
          <cell r="AI72">
            <v>0</v>
          </cell>
          <cell r="AJ72" t="str">
            <v>DA HET SAN XUAT</v>
          </cell>
        </row>
        <row r="73">
          <cell r="D73" t="str">
            <v>KCL0026</v>
          </cell>
          <cell r="E73">
            <v>0</v>
          </cell>
          <cell r="F73">
            <v>0</v>
          </cell>
          <cell r="G73">
            <v>0</v>
          </cell>
          <cell r="H73">
            <v>36</v>
          </cell>
          <cell r="I73">
            <v>0</v>
          </cell>
          <cell r="K73">
            <v>0</v>
          </cell>
          <cell r="L73">
            <v>0</v>
          </cell>
          <cell r="M73">
            <v>0</v>
          </cell>
          <cell r="N73">
            <v>36</v>
          </cell>
          <cell r="O73">
            <v>0</v>
          </cell>
          <cell r="P73">
            <v>0</v>
          </cell>
          <cell r="Q73">
            <v>36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G73">
            <v>0</v>
          </cell>
          <cell r="AH73">
            <v>0</v>
          </cell>
          <cell r="AI73">
            <v>0</v>
          </cell>
          <cell r="AJ73" t="str">
            <v>DA HET SAN XUAT</v>
          </cell>
        </row>
        <row r="74">
          <cell r="D74">
            <v>100007764</v>
          </cell>
          <cell r="E74">
            <v>0</v>
          </cell>
          <cell r="F74">
            <v>57594</v>
          </cell>
          <cell r="G74">
            <v>57594</v>
          </cell>
          <cell r="H74">
            <v>1283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1283</v>
          </cell>
          <cell r="O74">
            <v>0</v>
          </cell>
          <cell r="P74">
            <v>32</v>
          </cell>
          <cell r="Q74">
            <v>1251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43018</v>
          </cell>
          <cell r="AG74">
            <v>15321</v>
          </cell>
          <cell r="AH74">
            <v>15321</v>
          </cell>
          <cell r="AI74">
            <v>0</v>
          </cell>
          <cell r="AJ74" t="str">
            <v>DA HET SAN XUAT</v>
          </cell>
        </row>
        <row r="75">
          <cell r="D75">
            <v>100009688</v>
          </cell>
          <cell r="E75">
            <v>0</v>
          </cell>
          <cell r="F75">
            <v>0</v>
          </cell>
          <cell r="G75">
            <v>0</v>
          </cell>
          <cell r="H75">
            <v>48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  <cell r="N75">
            <v>48</v>
          </cell>
          <cell r="O75">
            <v>0</v>
          </cell>
          <cell r="P75">
            <v>0</v>
          </cell>
          <cell r="Q75">
            <v>48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43025</v>
          </cell>
          <cell r="AG75">
            <v>1296</v>
          </cell>
          <cell r="AH75">
            <v>1296</v>
          </cell>
          <cell r="AI75">
            <v>0</v>
          </cell>
          <cell r="AJ75" t="str">
            <v>DA HET SAN XUAT</v>
          </cell>
        </row>
        <row r="76">
          <cell r="D76">
            <v>100013564</v>
          </cell>
          <cell r="E76">
            <v>0</v>
          </cell>
          <cell r="F76">
            <v>0</v>
          </cell>
          <cell r="G76">
            <v>0</v>
          </cell>
          <cell r="H76">
            <v>198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  <cell r="N76">
            <v>198</v>
          </cell>
          <cell r="O76">
            <v>0</v>
          </cell>
          <cell r="P76">
            <v>0</v>
          </cell>
          <cell r="Q76">
            <v>198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43018</v>
          </cell>
          <cell r="AG76">
            <v>3984</v>
          </cell>
          <cell r="AH76">
            <v>3984</v>
          </cell>
          <cell r="AI76">
            <v>0</v>
          </cell>
          <cell r="AJ76" t="str">
            <v>DA HET SAN XUAT</v>
          </cell>
        </row>
        <row r="77">
          <cell r="D77" t="str">
            <v>KDR112751</v>
          </cell>
          <cell r="E77">
            <v>0</v>
          </cell>
          <cell r="F77">
            <v>0</v>
          </cell>
          <cell r="G77">
            <v>0</v>
          </cell>
          <cell r="H77">
            <v>104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  <cell r="N77">
            <v>104</v>
          </cell>
          <cell r="O77">
            <v>0</v>
          </cell>
          <cell r="P77">
            <v>0</v>
          </cell>
          <cell r="Q77">
            <v>104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X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43041</v>
          </cell>
          <cell r="AG77">
            <v>1575</v>
          </cell>
          <cell r="AH77">
            <v>1575</v>
          </cell>
          <cell r="AI77">
            <v>0</v>
          </cell>
          <cell r="AJ77" t="str">
            <v>DA HET SAN XUAT</v>
          </cell>
        </row>
        <row r="78">
          <cell r="D78" t="str">
            <v>KJT112641</v>
          </cell>
          <cell r="E78">
            <v>0</v>
          </cell>
          <cell r="F78">
            <v>0</v>
          </cell>
          <cell r="G78">
            <v>0</v>
          </cell>
          <cell r="H78">
            <v>278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  <cell r="N78">
            <v>278</v>
          </cell>
          <cell r="O78">
            <v>0</v>
          </cell>
          <cell r="P78">
            <v>0</v>
          </cell>
          <cell r="Q78">
            <v>278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X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43073</v>
          </cell>
          <cell r="AG78">
            <v>13116</v>
          </cell>
          <cell r="AH78">
            <v>4721</v>
          </cell>
          <cell r="AI78">
            <v>-8395</v>
          </cell>
        </row>
        <row r="79">
          <cell r="D79" t="str">
            <v>KPT128561</v>
          </cell>
          <cell r="E79">
            <v>1036</v>
          </cell>
          <cell r="F79">
            <v>136100</v>
          </cell>
          <cell r="G79">
            <v>137136</v>
          </cell>
          <cell r="H79">
            <v>10739</v>
          </cell>
          <cell r="I79">
            <v>1036</v>
          </cell>
          <cell r="K79">
            <v>6802</v>
          </cell>
          <cell r="L79">
            <v>0</v>
          </cell>
          <cell r="M79">
            <v>0</v>
          </cell>
          <cell r="N79">
            <v>4973</v>
          </cell>
          <cell r="O79">
            <v>654</v>
          </cell>
          <cell r="P79">
            <v>947</v>
          </cell>
          <cell r="Q79">
            <v>3372</v>
          </cell>
          <cell r="R79">
            <v>1331</v>
          </cell>
          <cell r="S79">
            <v>55</v>
          </cell>
          <cell r="T79">
            <v>8188</v>
          </cell>
          <cell r="U79">
            <v>6802</v>
          </cell>
          <cell r="X79">
            <v>7637</v>
          </cell>
          <cell r="Z79">
            <v>17</v>
          </cell>
          <cell r="AA79">
            <v>479</v>
          </cell>
          <cell r="AB79">
            <v>6802</v>
          </cell>
          <cell r="AC79">
            <v>0</v>
          </cell>
          <cell r="AD79">
            <v>534</v>
          </cell>
          <cell r="AE79">
            <v>534</v>
          </cell>
          <cell r="AF79">
            <v>43038</v>
          </cell>
          <cell r="AG79">
            <v>80327</v>
          </cell>
          <cell r="AH79">
            <v>79646</v>
          </cell>
          <cell r="AI79">
            <v>-681</v>
          </cell>
        </row>
        <row r="80">
          <cell r="D80" t="str">
            <v>KTP101721</v>
          </cell>
          <cell r="E80">
            <v>0</v>
          </cell>
          <cell r="F80">
            <v>0</v>
          </cell>
          <cell r="G80">
            <v>0</v>
          </cell>
          <cell r="H80">
            <v>440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>
            <v>440</v>
          </cell>
          <cell r="O80">
            <v>0</v>
          </cell>
          <cell r="P80">
            <v>0</v>
          </cell>
          <cell r="Q80">
            <v>440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X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43042</v>
          </cell>
          <cell r="AG80">
            <v>10176</v>
          </cell>
          <cell r="AH80">
            <v>10150</v>
          </cell>
          <cell r="AI80">
            <v>-26</v>
          </cell>
        </row>
        <row r="81">
          <cell r="D81" t="str">
            <v>KTP109571</v>
          </cell>
          <cell r="E81">
            <v>0</v>
          </cell>
          <cell r="F81">
            <v>0</v>
          </cell>
          <cell r="G81">
            <v>0</v>
          </cell>
          <cell r="H81">
            <v>79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>
            <v>79</v>
          </cell>
          <cell r="O81">
            <v>0</v>
          </cell>
          <cell r="P81">
            <v>0</v>
          </cell>
          <cell r="Q81">
            <v>79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X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43039</v>
          </cell>
          <cell r="AG81">
            <v>2451</v>
          </cell>
          <cell r="AH81">
            <v>2465</v>
          </cell>
          <cell r="AI81">
            <v>14</v>
          </cell>
        </row>
        <row r="82">
          <cell r="D82" t="str">
            <v>KTP112701</v>
          </cell>
          <cell r="E82">
            <v>0</v>
          </cell>
          <cell r="F82">
            <v>0</v>
          </cell>
          <cell r="G82">
            <v>0</v>
          </cell>
          <cell r="H82">
            <v>727</v>
          </cell>
          <cell r="I82">
            <v>0</v>
          </cell>
          <cell r="K82">
            <v>0</v>
          </cell>
          <cell r="L82">
            <v>0</v>
          </cell>
          <cell r="M82">
            <v>0</v>
          </cell>
          <cell r="N82">
            <v>727</v>
          </cell>
          <cell r="O82">
            <v>0</v>
          </cell>
          <cell r="P82">
            <v>0</v>
          </cell>
          <cell r="Q82">
            <v>727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X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43069</v>
          </cell>
          <cell r="AG82">
            <v>8046</v>
          </cell>
          <cell r="AH82">
            <v>8046</v>
          </cell>
          <cell r="AI82">
            <v>0</v>
          </cell>
          <cell r="AJ82" t="str">
            <v>DA HET SAN XUAT</v>
          </cell>
        </row>
        <row r="83">
          <cell r="D83" t="str">
            <v>JMML9R1668</v>
          </cell>
          <cell r="E83">
            <v>0</v>
          </cell>
          <cell r="F83">
            <v>0</v>
          </cell>
          <cell r="G83">
            <v>0</v>
          </cell>
          <cell r="H83">
            <v>614</v>
          </cell>
          <cell r="I83">
            <v>0</v>
          </cell>
          <cell r="K83">
            <v>0</v>
          </cell>
          <cell r="L83">
            <v>0</v>
          </cell>
          <cell r="M83">
            <v>0</v>
          </cell>
          <cell r="N83">
            <v>614</v>
          </cell>
          <cell r="O83">
            <v>0</v>
          </cell>
          <cell r="P83">
            <v>0</v>
          </cell>
          <cell r="Q83">
            <v>614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X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43032</v>
          </cell>
          <cell r="AG83">
            <v>12606</v>
          </cell>
          <cell r="AH83">
            <v>11766</v>
          </cell>
          <cell r="AI83">
            <v>-840</v>
          </cell>
        </row>
        <row r="84">
          <cell r="D84" t="str">
            <v>JPMR8KT003</v>
          </cell>
          <cell r="E84">
            <v>0</v>
          </cell>
          <cell r="F84">
            <v>0</v>
          </cell>
          <cell r="G84">
            <v>0</v>
          </cell>
          <cell r="H84">
            <v>58</v>
          </cell>
          <cell r="I84">
            <v>0</v>
          </cell>
          <cell r="K84">
            <v>0</v>
          </cell>
          <cell r="L84">
            <v>0</v>
          </cell>
          <cell r="M84">
            <v>0</v>
          </cell>
          <cell r="N84">
            <v>58</v>
          </cell>
          <cell r="O84">
            <v>0</v>
          </cell>
          <cell r="P84">
            <v>0</v>
          </cell>
          <cell r="Q84">
            <v>58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43056</v>
          </cell>
          <cell r="AG84">
            <v>1368</v>
          </cell>
          <cell r="AH84">
            <v>1306</v>
          </cell>
          <cell r="AI84">
            <v>-62</v>
          </cell>
        </row>
        <row r="85">
          <cell r="D85" t="str">
            <v>RK381915MI</v>
          </cell>
          <cell r="E85">
            <v>0</v>
          </cell>
          <cell r="F85">
            <v>0</v>
          </cell>
          <cell r="G85">
            <v>0</v>
          </cell>
          <cell r="H85">
            <v>6</v>
          </cell>
          <cell r="I85">
            <v>0</v>
          </cell>
          <cell r="K85">
            <v>0</v>
          </cell>
          <cell r="L85">
            <v>0</v>
          </cell>
          <cell r="M85">
            <v>0</v>
          </cell>
          <cell r="N85">
            <v>6</v>
          </cell>
          <cell r="O85">
            <v>0</v>
          </cell>
          <cell r="P85">
            <v>0</v>
          </cell>
          <cell r="Q85">
            <v>6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43052</v>
          </cell>
          <cell r="AG85">
            <v>2984</v>
          </cell>
          <cell r="AH85">
            <v>2984</v>
          </cell>
          <cell r="AI85">
            <v>0</v>
          </cell>
          <cell r="AJ85" t="str">
            <v>DA HET SAN XUAT</v>
          </cell>
        </row>
        <row r="86">
          <cell r="D86" t="str">
            <v>BP381321MI</v>
          </cell>
          <cell r="E86">
            <v>0</v>
          </cell>
          <cell r="F86">
            <v>0</v>
          </cell>
          <cell r="G86">
            <v>0</v>
          </cell>
          <cell r="H86">
            <v>144</v>
          </cell>
          <cell r="I86">
            <v>0</v>
          </cell>
          <cell r="K86">
            <v>0</v>
          </cell>
          <cell r="L86">
            <v>0</v>
          </cell>
          <cell r="M86">
            <v>0</v>
          </cell>
          <cell r="N86">
            <v>144</v>
          </cell>
          <cell r="O86">
            <v>0</v>
          </cell>
          <cell r="P86">
            <v>0</v>
          </cell>
          <cell r="Q86">
            <v>144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X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43052</v>
          </cell>
          <cell r="AG86">
            <v>3356</v>
          </cell>
          <cell r="AH86">
            <v>3356</v>
          </cell>
          <cell r="AI86">
            <v>0</v>
          </cell>
          <cell r="AJ86" t="str">
            <v>DA HET SAN XUAT</v>
          </cell>
        </row>
        <row r="87">
          <cell r="D87" t="str">
            <v>HA372336MI</v>
          </cell>
          <cell r="E87">
            <v>0</v>
          </cell>
          <cell r="F87">
            <v>0</v>
          </cell>
          <cell r="G87">
            <v>0</v>
          </cell>
          <cell r="H87">
            <v>252</v>
          </cell>
          <cell r="I87">
            <v>0</v>
          </cell>
          <cell r="K87">
            <v>0</v>
          </cell>
          <cell r="L87">
            <v>0</v>
          </cell>
          <cell r="M87">
            <v>0</v>
          </cell>
          <cell r="N87">
            <v>252</v>
          </cell>
          <cell r="O87">
            <v>0</v>
          </cell>
          <cell r="P87">
            <v>0</v>
          </cell>
          <cell r="Q87">
            <v>252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X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43025</v>
          </cell>
          <cell r="AG87">
            <v>2860</v>
          </cell>
          <cell r="AH87">
            <v>2554</v>
          </cell>
          <cell r="AI87">
            <v>-306</v>
          </cell>
        </row>
        <row r="88">
          <cell r="D88" t="str">
            <v>RK381125MI</v>
          </cell>
          <cell r="E88">
            <v>0</v>
          </cell>
          <cell r="F88">
            <v>0</v>
          </cell>
          <cell r="G88">
            <v>0</v>
          </cell>
          <cell r="H88">
            <v>70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70</v>
          </cell>
          <cell r="O88">
            <v>0</v>
          </cell>
          <cell r="P88">
            <v>0</v>
          </cell>
          <cell r="Q88">
            <v>70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X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43027</v>
          </cell>
          <cell r="AG88">
            <v>2440</v>
          </cell>
          <cell r="AH88">
            <v>1950</v>
          </cell>
          <cell r="AI88">
            <v>-490</v>
          </cell>
        </row>
        <row r="89">
          <cell r="D89">
            <v>444136</v>
          </cell>
          <cell r="E89">
            <v>0</v>
          </cell>
          <cell r="F89">
            <v>0</v>
          </cell>
          <cell r="G89">
            <v>0</v>
          </cell>
          <cell r="H89">
            <v>203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>
            <v>203</v>
          </cell>
          <cell r="O89">
            <v>0</v>
          </cell>
          <cell r="P89">
            <v>0</v>
          </cell>
          <cell r="Q89">
            <v>203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X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42899</v>
          </cell>
          <cell r="AG89">
            <v>45006</v>
          </cell>
          <cell r="AH89">
            <v>45113</v>
          </cell>
          <cell r="AI89">
            <v>107</v>
          </cell>
        </row>
        <row r="90">
          <cell r="D90" t="str">
            <v>258G827</v>
          </cell>
          <cell r="E90">
            <v>0</v>
          </cell>
          <cell r="F90">
            <v>0</v>
          </cell>
          <cell r="G90">
            <v>0</v>
          </cell>
          <cell r="H90">
            <v>397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>
            <v>397</v>
          </cell>
          <cell r="O90">
            <v>0</v>
          </cell>
          <cell r="P90">
            <v>0</v>
          </cell>
          <cell r="Q90">
            <v>397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J90" t="str">
            <v>DA HET SAN XUAT</v>
          </cell>
        </row>
        <row r="91">
          <cell r="D91">
            <v>174034833</v>
          </cell>
          <cell r="E91">
            <v>0</v>
          </cell>
          <cell r="F91">
            <v>0</v>
          </cell>
          <cell r="G91">
            <v>0</v>
          </cell>
          <cell r="H91">
            <v>303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>
            <v>303</v>
          </cell>
          <cell r="O91">
            <v>0</v>
          </cell>
          <cell r="P91">
            <v>0</v>
          </cell>
          <cell r="Q91">
            <v>303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43040</v>
          </cell>
          <cell r="AG91">
            <v>2013</v>
          </cell>
          <cell r="AH91">
            <v>1955</v>
          </cell>
          <cell r="AI91">
            <v>-58</v>
          </cell>
        </row>
        <row r="92">
          <cell r="D92">
            <v>174034834</v>
          </cell>
          <cell r="E92">
            <v>0</v>
          </cell>
          <cell r="F92">
            <v>0</v>
          </cell>
          <cell r="G92">
            <v>0</v>
          </cell>
          <cell r="H92">
            <v>255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>
            <v>255</v>
          </cell>
          <cell r="O92">
            <v>0</v>
          </cell>
          <cell r="P92">
            <v>0</v>
          </cell>
          <cell r="Q92">
            <v>255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43040</v>
          </cell>
          <cell r="AG92">
            <v>2477</v>
          </cell>
          <cell r="AH92">
            <v>2437</v>
          </cell>
          <cell r="AI92">
            <v>-40</v>
          </cell>
        </row>
        <row r="93">
          <cell r="D93">
            <v>174034840</v>
          </cell>
          <cell r="E93">
            <v>0</v>
          </cell>
          <cell r="F93">
            <v>0</v>
          </cell>
          <cell r="G93">
            <v>0</v>
          </cell>
          <cell r="H93">
            <v>391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>
            <v>391</v>
          </cell>
          <cell r="O93">
            <v>0</v>
          </cell>
          <cell r="P93">
            <v>0</v>
          </cell>
          <cell r="Q93">
            <v>391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43063</v>
          </cell>
          <cell r="AG93">
            <v>2829</v>
          </cell>
          <cell r="AH93">
            <v>2823</v>
          </cell>
          <cell r="AI93">
            <v>-6</v>
          </cell>
        </row>
        <row r="94">
          <cell r="D94">
            <v>174034863</v>
          </cell>
          <cell r="E94">
            <v>0</v>
          </cell>
          <cell r="F94">
            <v>0</v>
          </cell>
          <cell r="G94">
            <v>0</v>
          </cell>
          <cell r="H94">
            <v>139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>
            <v>139</v>
          </cell>
          <cell r="O94">
            <v>0</v>
          </cell>
          <cell r="P94">
            <v>0</v>
          </cell>
          <cell r="Q94">
            <v>139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43040</v>
          </cell>
          <cell r="AG94">
            <v>2063</v>
          </cell>
          <cell r="AH94">
            <v>2063</v>
          </cell>
          <cell r="AI94">
            <v>0</v>
          </cell>
          <cell r="AJ94" t="str">
            <v>DA HET SAN XUAT</v>
          </cell>
        </row>
        <row r="95">
          <cell r="D95">
            <v>181013004</v>
          </cell>
          <cell r="E95">
            <v>0</v>
          </cell>
          <cell r="F95">
            <v>0</v>
          </cell>
          <cell r="G95">
            <v>0</v>
          </cell>
          <cell r="H95">
            <v>1236</v>
          </cell>
          <cell r="I95">
            <v>0</v>
          </cell>
          <cell r="K95">
            <v>0</v>
          </cell>
          <cell r="L95">
            <v>0</v>
          </cell>
          <cell r="M95">
            <v>0</v>
          </cell>
          <cell r="N95">
            <v>1236</v>
          </cell>
          <cell r="O95">
            <v>0</v>
          </cell>
          <cell r="P95">
            <v>0</v>
          </cell>
          <cell r="Q95">
            <v>1236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X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43068</v>
          </cell>
          <cell r="AG95">
            <v>13768</v>
          </cell>
          <cell r="AH95">
            <v>14306</v>
          </cell>
          <cell r="AI95">
            <v>538</v>
          </cell>
        </row>
        <row r="96">
          <cell r="D96">
            <v>100003581</v>
          </cell>
          <cell r="E96">
            <v>0</v>
          </cell>
          <cell r="F96">
            <v>0</v>
          </cell>
          <cell r="G96">
            <v>0</v>
          </cell>
          <cell r="H96">
            <v>223</v>
          </cell>
          <cell r="I96">
            <v>0</v>
          </cell>
          <cell r="K96">
            <v>0</v>
          </cell>
          <cell r="L96">
            <v>0</v>
          </cell>
          <cell r="M96">
            <v>0</v>
          </cell>
          <cell r="N96">
            <v>223</v>
          </cell>
          <cell r="O96">
            <v>0</v>
          </cell>
          <cell r="P96">
            <v>0</v>
          </cell>
          <cell r="Q96">
            <v>223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X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43071</v>
          </cell>
          <cell r="AG96">
            <v>5850</v>
          </cell>
          <cell r="AH96">
            <v>5850</v>
          </cell>
          <cell r="AI96">
            <v>0</v>
          </cell>
          <cell r="AJ96" t="str">
            <v>DA HET SAN XUAT</v>
          </cell>
        </row>
        <row r="97">
          <cell r="D97">
            <v>100016414</v>
          </cell>
          <cell r="E97">
            <v>0</v>
          </cell>
          <cell r="F97">
            <v>0</v>
          </cell>
          <cell r="G97">
            <v>0</v>
          </cell>
          <cell r="H97">
            <v>41</v>
          </cell>
          <cell r="I97">
            <v>0</v>
          </cell>
          <cell r="K97">
            <v>0</v>
          </cell>
          <cell r="L97">
            <v>0</v>
          </cell>
          <cell r="M97">
            <v>0</v>
          </cell>
          <cell r="N97">
            <v>41</v>
          </cell>
          <cell r="O97">
            <v>0</v>
          </cell>
          <cell r="P97">
            <v>0</v>
          </cell>
          <cell r="Q97">
            <v>41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X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43071</v>
          </cell>
          <cell r="AG97">
            <v>1149</v>
          </cell>
          <cell r="AH97">
            <v>1149</v>
          </cell>
          <cell r="AI97">
            <v>0</v>
          </cell>
          <cell r="AJ97" t="str">
            <v>DA HET SAN XUAT</v>
          </cell>
        </row>
        <row r="98">
          <cell r="D98">
            <v>69216</v>
          </cell>
          <cell r="E98">
            <v>0</v>
          </cell>
          <cell r="F98">
            <v>160</v>
          </cell>
          <cell r="G98">
            <v>160</v>
          </cell>
          <cell r="H98">
            <v>302</v>
          </cell>
          <cell r="I98">
            <v>0</v>
          </cell>
          <cell r="K98">
            <v>0</v>
          </cell>
          <cell r="L98">
            <v>0</v>
          </cell>
          <cell r="M98">
            <v>0</v>
          </cell>
          <cell r="N98">
            <v>302</v>
          </cell>
          <cell r="O98">
            <v>0</v>
          </cell>
          <cell r="P98">
            <v>0</v>
          </cell>
          <cell r="Q98">
            <v>302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X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42555</v>
          </cell>
          <cell r="AG98">
            <v>18537</v>
          </cell>
          <cell r="AH98">
            <v>18537</v>
          </cell>
          <cell r="AI98">
            <v>0</v>
          </cell>
          <cell r="AJ98" t="str">
            <v>DA HET SAN XUAT</v>
          </cell>
        </row>
        <row r="99">
          <cell r="D99" t="str">
            <v>444136(444143)</v>
          </cell>
          <cell r="E99">
            <v>0</v>
          </cell>
          <cell r="F99">
            <v>0</v>
          </cell>
          <cell r="G99">
            <v>0</v>
          </cell>
          <cell r="H99">
            <v>754</v>
          </cell>
          <cell r="I99">
            <v>0</v>
          </cell>
          <cell r="K99">
            <v>0</v>
          </cell>
          <cell r="L99">
            <v>0</v>
          </cell>
          <cell r="M99">
            <v>0</v>
          </cell>
          <cell r="N99">
            <v>754</v>
          </cell>
          <cell r="O99">
            <v>0</v>
          </cell>
          <cell r="P99">
            <v>0</v>
          </cell>
          <cell r="Q99">
            <v>754</v>
          </cell>
          <cell r="R99">
            <v>0</v>
          </cell>
          <cell r="S99">
            <v>133</v>
          </cell>
          <cell r="T99">
            <v>133</v>
          </cell>
          <cell r="U99">
            <v>0</v>
          </cell>
          <cell r="X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133</v>
          </cell>
          <cell r="AE99">
            <v>133</v>
          </cell>
          <cell r="AG99">
            <v>0</v>
          </cell>
          <cell r="AH99">
            <v>0</v>
          </cell>
          <cell r="AI99">
            <v>0</v>
          </cell>
          <cell r="AJ99" t="str">
            <v>DA HET SAN XUAT</v>
          </cell>
        </row>
        <row r="100">
          <cell r="D100">
            <v>451230</v>
          </cell>
          <cell r="E100">
            <v>0</v>
          </cell>
          <cell r="F100">
            <v>0</v>
          </cell>
          <cell r="G100">
            <v>0</v>
          </cell>
          <cell r="H100">
            <v>866</v>
          </cell>
          <cell r="I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866</v>
          </cell>
          <cell r="O100">
            <v>0</v>
          </cell>
          <cell r="P100">
            <v>0</v>
          </cell>
          <cell r="Q100">
            <v>866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X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43076</v>
          </cell>
          <cell r="AG100">
            <v>8500</v>
          </cell>
          <cell r="AH100">
            <v>8500</v>
          </cell>
          <cell r="AI100">
            <v>0</v>
          </cell>
          <cell r="AJ100" t="str">
            <v>DA HET SAN XUAT</v>
          </cell>
        </row>
        <row r="101">
          <cell r="D101">
            <v>451311</v>
          </cell>
          <cell r="E101">
            <v>0</v>
          </cell>
          <cell r="F101">
            <v>0</v>
          </cell>
          <cell r="G101">
            <v>0</v>
          </cell>
          <cell r="H101">
            <v>292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292</v>
          </cell>
          <cell r="O101">
            <v>0</v>
          </cell>
          <cell r="P101">
            <v>0</v>
          </cell>
          <cell r="Q101">
            <v>292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X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43097</v>
          </cell>
          <cell r="AG101">
            <v>16316</v>
          </cell>
          <cell r="AH101">
            <v>16507</v>
          </cell>
          <cell r="AI101">
            <v>191</v>
          </cell>
        </row>
        <row r="102">
          <cell r="D102">
            <v>451365</v>
          </cell>
          <cell r="E102">
            <v>0</v>
          </cell>
          <cell r="F102">
            <v>0</v>
          </cell>
          <cell r="G102">
            <v>0</v>
          </cell>
          <cell r="H102">
            <v>386</v>
          </cell>
          <cell r="I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386</v>
          </cell>
          <cell r="O102">
            <v>0</v>
          </cell>
          <cell r="P102">
            <v>0</v>
          </cell>
          <cell r="Q102">
            <v>386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X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43076</v>
          </cell>
          <cell r="AG102">
            <v>4470</v>
          </cell>
          <cell r="AH102">
            <v>4480</v>
          </cell>
          <cell r="AI102">
            <v>10</v>
          </cell>
        </row>
        <row r="103">
          <cell r="D103" t="str">
            <v>453289(456581)</v>
          </cell>
          <cell r="E103">
            <v>0</v>
          </cell>
          <cell r="F103">
            <v>0</v>
          </cell>
          <cell r="G103">
            <v>0</v>
          </cell>
          <cell r="H103">
            <v>1964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1964</v>
          </cell>
          <cell r="O103">
            <v>0</v>
          </cell>
          <cell r="P103">
            <v>0</v>
          </cell>
          <cell r="Q103">
            <v>1964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X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G103">
            <v>0</v>
          </cell>
          <cell r="AH103">
            <v>0</v>
          </cell>
          <cell r="AI103">
            <v>0</v>
          </cell>
          <cell r="AJ103" t="str">
            <v>DA HET SAN XUAT</v>
          </cell>
        </row>
        <row r="104">
          <cell r="D104">
            <v>453590</v>
          </cell>
          <cell r="E104">
            <v>0</v>
          </cell>
          <cell r="F104">
            <v>0</v>
          </cell>
          <cell r="G104">
            <v>0</v>
          </cell>
          <cell r="H104">
            <v>463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463</v>
          </cell>
          <cell r="O104">
            <v>0</v>
          </cell>
          <cell r="P104">
            <v>0</v>
          </cell>
          <cell r="Q104">
            <v>463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X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43075</v>
          </cell>
          <cell r="AG104">
            <v>3700</v>
          </cell>
          <cell r="AH104">
            <v>2781</v>
          </cell>
          <cell r="AI104">
            <v>-919</v>
          </cell>
        </row>
        <row r="105">
          <cell r="D105" t="str">
            <v>453595(456582)</v>
          </cell>
          <cell r="E105">
            <v>0</v>
          </cell>
          <cell r="F105">
            <v>0</v>
          </cell>
          <cell r="G105">
            <v>0</v>
          </cell>
          <cell r="H105">
            <v>1052</v>
          </cell>
          <cell r="I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1052</v>
          </cell>
          <cell r="O105">
            <v>0</v>
          </cell>
          <cell r="P105">
            <v>0</v>
          </cell>
          <cell r="Q105">
            <v>1052</v>
          </cell>
          <cell r="R105">
            <v>0</v>
          </cell>
          <cell r="S105">
            <v>64</v>
          </cell>
          <cell r="T105">
            <v>64</v>
          </cell>
          <cell r="U105">
            <v>0</v>
          </cell>
          <cell r="X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64</v>
          </cell>
          <cell r="AE105">
            <v>64</v>
          </cell>
          <cell r="AG105">
            <v>0</v>
          </cell>
          <cell r="AH105">
            <v>0</v>
          </cell>
          <cell r="AI105">
            <v>0</v>
          </cell>
          <cell r="AJ105" t="str">
            <v>DA HET SAN XUAT</v>
          </cell>
        </row>
        <row r="106">
          <cell r="D106" t="str">
            <v>456729(456854)</v>
          </cell>
          <cell r="E106">
            <v>0</v>
          </cell>
          <cell r="F106">
            <v>0</v>
          </cell>
          <cell r="G106">
            <v>0</v>
          </cell>
          <cell r="H106">
            <v>410</v>
          </cell>
          <cell r="I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410</v>
          </cell>
          <cell r="O106">
            <v>0</v>
          </cell>
          <cell r="P106">
            <v>0</v>
          </cell>
          <cell r="Q106">
            <v>410</v>
          </cell>
          <cell r="R106">
            <v>0</v>
          </cell>
          <cell r="S106">
            <v>359</v>
          </cell>
          <cell r="T106">
            <v>359</v>
          </cell>
          <cell r="U106">
            <v>0</v>
          </cell>
          <cell r="X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359</v>
          </cell>
          <cell r="AE106">
            <v>359</v>
          </cell>
          <cell r="AG106">
            <v>0</v>
          </cell>
          <cell r="AH106">
            <v>0</v>
          </cell>
          <cell r="AI106">
            <v>0</v>
          </cell>
          <cell r="AJ106" t="str">
            <v>DA HET SAN XUAT</v>
          </cell>
        </row>
        <row r="107">
          <cell r="D107">
            <v>457839</v>
          </cell>
          <cell r="E107">
            <v>0</v>
          </cell>
          <cell r="F107">
            <v>0</v>
          </cell>
          <cell r="G107">
            <v>0</v>
          </cell>
          <cell r="H107">
            <v>279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279</v>
          </cell>
          <cell r="O107">
            <v>0</v>
          </cell>
          <cell r="P107">
            <v>0</v>
          </cell>
          <cell r="Q107">
            <v>279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X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43082</v>
          </cell>
          <cell r="AG107">
            <v>13255</v>
          </cell>
          <cell r="AH107">
            <v>13255</v>
          </cell>
          <cell r="AI107">
            <v>0</v>
          </cell>
          <cell r="AJ107" t="str">
            <v>DA HET SAN XUAT</v>
          </cell>
        </row>
        <row r="108">
          <cell r="D108">
            <v>457840</v>
          </cell>
          <cell r="E108">
            <v>0</v>
          </cell>
          <cell r="F108">
            <v>0</v>
          </cell>
          <cell r="G108">
            <v>0</v>
          </cell>
          <cell r="H108">
            <v>845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845</v>
          </cell>
          <cell r="O108">
            <v>0</v>
          </cell>
          <cell r="P108">
            <v>0</v>
          </cell>
          <cell r="Q108">
            <v>845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X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43097</v>
          </cell>
          <cell r="AG108">
            <v>12747</v>
          </cell>
          <cell r="AH108">
            <v>12747</v>
          </cell>
          <cell r="AI108">
            <v>0</v>
          </cell>
          <cell r="AJ108" t="str">
            <v>DA HET SAN XUAT</v>
          </cell>
        </row>
        <row r="109">
          <cell r="D109">
            <v>457841</v>
          </cell>
          <cell r="E109">
            <v>0</v>
          </cell>
          <cell r="F109">
            <v>0</v>
          </cell>
          <cell r="G109">
            <v>0</v>
          </cell>
          <cell r="H109">
            <v>73</v>
          </cell>
          <cell r="I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73</v>
          </cell>
          <cell r="O109">
            <v>0</v>
          </cell>
          <cell r="P109">
            <v>0</v>
          </cell>
          <cell r="Q109">
            <v>73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X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43082</v>
          </cell>
          <cell r="AG109">
            <v>14931</v>
          </cell>
          <cell r="AH109">
            <v>14931</v>
          </cell>
          <cell r="AI109">
            <v>0</v>
          </cell>
          <cell r="AJ109" t="str">
            <v>DA HET SAN XUAT</v>
          </cell>
        </row>
        <row r="110">
          <cell r="D110">
            <v>457842</v>
          </cell>
          <cell r="E110">
            <v>0</v>
          </cell>
          <cell r="F110">
            <v>0</v>
          </cell>
          <cell r="G110">
            <v>0</v>
          </cell>
          <cell r="H110">
            <v>374</v>
          </cell>
          <cell r="I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374</v>
          </cell>
          <cell r="O110">
            <v>0</v>
          </cell>
          <cell r="P110">
            <v>0</v>
          </cell>
          <cell r="Q110">
            <v>374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X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43097</v>
          </cell>
          <cell r="AG110">
            <v>10859</v>
          </cell>
          <cell r="AH110">
            <v>10859</v>
          </cell>
          <cell r="AI110">
            <v>0</v>
          </cell>
          <cell r="AJ110" t="str">
            <v>DA HET SAN XUAT</v>
          </cell>
        </row>
        <row r="111">
          <cell r="D111">
            <v>459044</v>
          </cell>
          <cell r="E111">
            <v>0</v>
          </cell>
          <cell r="F111">
            <v>0</v>
          </cell>
          <cell r="G111">
            <v>0</v>
          </cell>
          <cell r="H111">
            <v>109</v>
          </cell>
          <cell r="I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109</v>
          </cell>
          <cell r="O111">
            <v>0</v>
          </cell>
          <cell r="P111">
            <v>0</v>
          </cell>
          <cell r="Q111">
            <v>109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X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43089</v>
          </cell>
          <cell r="AG111">
            <v>1600</v>
          </cell>
          <cell r="AH111">
            <v>1600</v>
          </cell>
          <cell r="AI111">
            <v>0</v>
          </cell>
          <cell r="AJ111" t="str">
            <v>DA HET SAN XUAT</v>
          </cell>
        </row>
        <row r="112">
          <cell r="D112">
            <v>459199</v>
          </cell>
          <cell r="E112">
            <v>0</v>
          </cell>
          <cell r="F112">
            <v>0</v>
          </cell>
          <cell r="G112">
            <v>0</v>
          </cell>
          <cell r="H112">
            <v>130</v>
          </cell>
          <cell r="I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130</v>
          </cell>
          <cell r="O112">
            <v>0</v>
          </cell>
          <cell r="P112">
            <v>0</v>
          </cell>
          <cell r="Q112">
            <v>130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X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43075</v>
          </cell>
          <cell r="AG112">
            <v>3700</v>
          </cell>
          <cell r="AH112">
            <v>3744</v>
          </cell>
          <cell r="AI112">
            <v>44</v>
          </cell>
        </row>
        <row r="113">
          <cell r="D113">
            <v>459200</v>
          </cell>
          <cell r="E113">
            <v>0</v>
          </cell>
          <cell r="F113">
            <v>0</v>
          </cell>
          <cell r="G113">
            <v>0</v>
          </cell>
          <cell r="H113">
            <v>91</v>
          </cell>
          <cell r="I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91</v>
          </cell>
          <cell r="O113">
            <v>0</v>
          </cell>
          <cell r="P113">
            <v>0</v>
          </cell>
          <cell r="Q113">
            <v>91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X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43075</v>
          </cell>
          <cell r="AG113">
            <v>4600</v>
          </cell>
          <cell r="AH113">
            <v>4648</v>
          </cell>
          <cell r="AI113">
            <v>48</v>
          </cell>
        </row>
        <row r="114">
          <cell r="D114">
            <v>459703</v>
          </cell>
          <cell r="E114">
            <v>0</v>
          </cell>
          <cell r="F114">
            <v>0</v>
          </cell>
          <cell r="G114">
            <v>0</v>
          </cell>
          <cell r="H114">
            <v>45</v>
          </cell>
          <cell r="I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45</v>
          </cell>
          <cell r="O114">
            <v>0</v>
          </cell>
          <cell r="P114">
            <v>0</v>
          </cell>
          <cell r="Q114">
            <v>45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X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43089</v>
          </cell>
          <cell r="AG114">
            <v>350</v>
          </cell>
          <cell r="AH114">
            <v>350</v>
          </cell>
          <cell r="AI114">
            <v>0</v>
          </cell>
          <cell r="AJ114" t="str">
            <v>DA HET SAN XUAT</v>
          </cell>
        </row>
        <row r="115">
          <cell r="D115">
            <v>460424</v>
          </cell>
          <cell r="E115">
            <v>0</v>
          </cell>
          <cell r="F115">
            <v>0</v>
          </cell>
          <cell r="G115">
            <v>0</v>
          </cell>
          <cell r="H115">
            <v>208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208</v>
          </cell>
          <cell r="O115">
            <v>0</v>
          </cell>
          <cell r="P115">
            <v>0</v>
          </cell>
          <cell r="Q115">
            <v>208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X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43059</v>
          </cell>
          <cell r="AG115">
            <v>1890</v>
          </cell>
          <cell r="AH115">
            <v>1891</v>
          </cell>
          <cell r="AI115">
            <v>1</v>
          </cell>
        </row>
        <row r="116">
          <cell r="D116">
            <v>100014612</v>
          </cell>
          <cell r="E116">
            <v>0</v>
          </cell>
          <cell r="F116">
            <v>0</v>
          </cell>
          <cell r="G116">
            <v>0</v>
          </cell>
          <cell r="H116">
            <v>223</v>
          </cell>
          <cell r="I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223</v>
          </cell>
          <cell r="O116">
            <v>0</v>
          </cell>
          <cell r="P116">
            <v>0</v>
          </cell>
          <cell r="Q116">
            <v>223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X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43054</v>
          </cell>
          <cell r="AG116">
            <v>5346</v>
          </cell>
          <cell r="AH116">
            <v>5346</v>
          </cell>
          <cell r="AI116">
            <v>0</v>
          </cell>
          <cell r="AJ116" t="str">
            <v>DA HET SAN XUAT</v>
          </cell>
        </row>
        <row r="117">
          <cell r="D117">
            <v>100014882</v>
          </cell>
          <cell r="E117">
            <v>0</v>
          </cell>
          <cell r="F117">
            <v>0</v>
          </cell>
          <cell r="G117">
            <v>0</v>
          </cell>
          <cell r="H117">
            <v>25</v>
          </cell>
          <cell r="I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25</v>
          </cell>
          <cell r="O117">
            <v>0</v>
          </cell>
          <cell r="P117">
            <v>0</v>
          </cell>
          <cell r="Q117">
            <v>25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X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G117">
            <v>0</v>
          </cell>
          <cell r="AH117">
            <v>0</v>
          </cell>
          <cell r="AI117">
            <v>0</v>
          </cell>
          <cell r="AJ117" t="str">
            <v>DA HET SAN XUAT</v>
          </cell>
        </row>
        <row r="118">
          <cell r="D118" t="str">
            <v>CN380880MI</v>
          </cell>
          <cell r="E118">
            <v>0</v>
          </cell>
          <cell r="F118">
            <v>0</v>
          </cell>
          <cell r="G118">
            <v>0</v>
          </cell>
          <cell r="H118">
            <v>362</v>
          </cell>
          <cell r="I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362</v>
          </cell>
          <cell r="O118">
            <v>0</v>
          </cell>
          <cell r="P118">
            <v>0</v>
          </cell>
          <cell r="Q118">
            <v>362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X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G118">
            <v>0</v>
          </cell>
          <cell r="AH118">
            <v>0</v>
          </cell>
          <cell r="AI118">
            <v>0</v>
          </cell>
          <cell r="AJ118" t="str">
            <v>DA HET SAN XUAT</v>
          </cell>
        </row>
        <row r="119">
          <cell r="D119" t="str">
            <v>RK381912MI</v>
          </cell>
          <cell r="E119">
            <v>0</v>
          </cell>
          <cell r="F119">
            <v>0</v>
          </cell>
          <cell r="G119">
            <v>0</v>
          </cell>
          <cell r="H119">
            <v>213</v>
          </cell>
          <cell r="I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213</v>
          </cell>
          <cell r="O119">
            <v>0</v>
          </cell>
          <cell r="P119">
            <v>0</v>
          </cell>
          <cell r="Q119">
            <v>213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X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G119">
            <v>0</v>
          </cell>
          <cell r="AH119">
            <v>0</v>
          </cell>
          <cell r="AI119">
            <v>0</v>
          </cell>
          <cell r="AJ119" t="str">
            <v>DA HET SAN XUAT</v>
          </cell>
        </row>
        <row r="120">
          <cell r="D120">
            <v>100008562</v>
          </cell>
          <cell r="E120">
            <v>0</v>
          </cell>
          <cell r="F120">
            <v>0</v>
          </cell>
          <cell r="G120">
            <v>0</v>
          </cell>
          <cell r="H120">
            <v>55</v>
          </cell>
          <cell r="I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55</v>
          </cell>
          <cell r="O120">
            <v>0</v>
          </cell>
          <cell r="P120">
            <v>0</v>
          </cell>
          <cell r="Q120">
            <v>55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X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43096</v>
          </cell>
          <cell r="AG120">
            <v>1422</v>
          </cell>
          <cell r="AH120">
            <v>1422</v>
          </cell>
          <cell r="AI120">
            <v>0</v>
          </cell>
          <cell r="AJ120" t="str">
            <v>DA HET SAN XUAT</v>
          </cell>
        </row>
        <row r="121">
          <cell r="D121">
            <v>100008572</v>
          </cell>
          <cell r="E121">
            <v>0</v>
          </cell>
          <cell r="F121">
            <v>0</v>
          </cell>
          <cell r="G121">
            <v>0</v>
          </cell>
          <cell r="H121">
            <v>126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126</v>
          </cell>
          <cell r="O121">
            <v>0</v>
          </cell>
          <cell r="P121">
            <v>0</v>
          </cell>
          <cell r="Q121">
            <v>126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X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43095</v>
          </cell>
          <cell r="AG121">
            <v>3108</v>
          </cell>
          <cell r="AH121">
            <v>3108</v>
          </cell>
          <cell r="AI121">
            <v>0</v>
          </cell>
          <cell r="AJ121" t="str">
            <v>DA HET SAN XUAT</v>
          </cell>
        </row>
        <row r="122">
          <cell r="D122">
            <v>100008587</v>
          </cell>
          <cell r="E122">
            <v>0</v>
          </cell>
          <cell r="F122">
            <v>0</v>
          </cell>
          <cell r="G122">
            <v>0</v>
          </cell>
          <cell r="H122">
            <v>113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113</v>
          </cell>
          <cell r="O122">
            <v>0</v>
          </cell>
          <cell r="P122">
            <v>0</v>
          </cell>
          <cell r="Q122">
            <v>113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X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43106</v>
          </cell>
          <cell r="AG122">
            <v>1815</v>
          </cell>
          <cell r="AH122">
            <v>1815</v>
          </cell>
          <cell r="AI122">
            <v>0</v>
          </cell>
          <cell r="AJ122" t="str">
            <v>DA HET SAN XUAT</v>
          </cell>
        </row>
        <row r="123">
          <cell r="D123">
            <v>100008588</v>
          </cell>
          <cell r="E123">
            <v>0</v>
          </cell>
          <cell r="F123">
            <v>0</v>
          </cell>
          <cell r="G123">
            <v>0</v>
          </cell>
          <cell r="H123">
            <v>51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51</v>
          </cell>
          <cell r="O123">
            <v>0</v>
          </cell>
          <cell r="P123">
            <v>0</v>
          </cell>
          <cell r="Q123">
            <v>51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X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43106</v>
          </cell>
          <cell r="AG123">
            <v>2469</v>
          </cell>
          <cell r="AH123">
            <v>2469</v>
          </cell>
          <cell r="AI123">
            <v>0</v>
          </cell>
          <cell r="AJ123" t="str">
            <v>DA HET SAN XUAT</v>
          </cell>
        </row>
        <row r="124">
          <cell r="D124">
            <v>100008624</v>
          </cell>
          <cell r="E124">
            <v>0</v>
          </cell>
          <cell r="F124">
            <v>0</v>
          </cell>
          <cell r="G124">
            <v>0</v>
          </cell>
          <cell r="H124">
            <v>143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143</v>
          </cell>
          <cell r="O124">
            <v>0</v>
          </cell>
          <cell r="P124">
            <v>0</v>
          </cell>
          <cell r="Q124">
            <v>143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X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43096</v>
          </cell>
          <cell r="AG124">
            <v>6645</v>
          </cell>
          <cell r="AH124">
            <v>6645</v>
          </cell>
          <cell r="AI124">
            <v>0</v>
          </cell>
          <cell r="AJ124" t="str">
            <v>DA HET SAN XUAT</v>
          </cell>
        </row>
        <row r="125">
          <cell r="D125">
            <v>100008652</v>
          </cell>
          <cell r="E125">
            <v>0</v>
          </cell>
          <cell r="F125">
            <v>0</v>
          </cell>
          <cell r="G125">
            <v>0</v>
          </cell>
          <cell r="H125">
            <v>122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122</v>
          </cell>
          <cell r="O125">
            <v>0</v>
          </cell>
          <cell r="P125">
            <v>0</v>
          </cell>
          <cell r="Q125">
            <v>122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X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43106</v>
          </cell>
          <cell r="AG125">
            <v>668</v>
          </cell>
          <cell r="AH125">
            <v>668</v>
          </cell>
          <cell r="AI125">
            <v>0</v>
          </cell>
          <cell r="AJ125" t="str">
            <v>DA HET SAN XUAT</v>
          </cell>
        </row>
        <row r="126">
          <cell r="D126">
            <v>100008653</v>
          </cell>
          <cell r="E126">
            <v>0</v>
          </cell>
          <cell r="F126">
            <v>0</v>
          </cell>
          <cell r="G126">
            <v>0</v>
          </cell>
          <cell r="H126">
            <v>69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69</v>
          </cell>
          <cell r="O126">
            <v>0</v>
          </cell>
          <cell r="P126">
            <v>0</v>
          </cell>
          <cell r="Q126">
            <v>69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X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43106</v>
          </cell>
          <cell r="AG126">
            <v>2978</v>
          </cell>
          <cell r="AH126">
            <v>2978</v>
          </cell>
          <cell r="AI126">
            <v>0</v>
          </cell>
          <cell r="AJ126" t="str">
            <v>DA HET SAN XUAT</v>
          </cell>
        </row>
        <row r="127">
          <cell r="D127">
            <v>100008702</v>
          </cell>
          <cell r="E127">
            <v>0</v>
          </cell>
          <cell r="F127">
            <v>0</v>
          </cell>
          <cell r="G127">
            <v>0</v>
          </cell>
          <cell r="H127">
            <v>59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59</v>
          </cell>
          <cell r="O127">
            <v>0</v>
          </cell>
          <cell r="P127">
            <v>0</v>
          </cell>
          <cell r="Q127">
            <v>59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X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43098</v>
          </cell>
          <cell r="AG127">
            <v>3117</v>
          </cell>
          <cell r="AH127">
            <v>3117</v>
          </cell>
          <cell r="AI127">
            <v>0</v>
          </cell>
          <cell r="AJ127" t="str">
            <v>DA HET SAN XUAT</v>
          </cell>
        </row>
        <row r="128">
          <cell r="D128">
            <v>100008703</v>
          </cell>
          <cell r="E128">
            <v>0</v>
          </cell>
          <cell r="F128">
            <v>0</v>
          </cell>
          <cell r="G128">
            <v>0</v>
          </cell>
          <cell r="H128">
            <v>78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78</v>
          </cell>
          <cell r="O128">
            <v>0</v>
          </cell>
          <cell r="P128">
            <v>0</v>
          </cell>
          <cell r="Q128">
            <v>78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X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43098</v>
          </cell>
          <cell r="AG128">
            <v>1980</v>
          </cell>
          <cell r="AH128">
            <v>1980</v>
          </cell>
          <cell r="AI128">
            <v>0</v>
          </cell>
          <cell r="AJ128" t="str">
            <v>DA HET SAN XUAT</v>
          </cell>
        </row>
        <row r="129">
          <cell r="D129">
            <v>100008704</v>
          </cell>
          <cell r="E129">
            <v>0</v>
          </cell>
          <cell r="F129">
            <v>8432</v>
          </cell>
          <cell r="G129">
            <v>8432</v>
          </cell>
          <cell r="H129">
            <v>102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102</v>
          </cell>
          <cell r="O129">
            <v>0</v>
          </cell>
          <cell r="P129">
            <v>0</v>
          </cell>
          <cell r="Q129">
            <v>102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X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43106</v>
          </cell>
          <cell r="AG129">
            <v>4320</v>
          </cell>
          <cell r="AH129">
            <v>4320</v>
          </cell>
          <cell r="AI129">
            <v>0</v>
          </cell>
          <cell r="AJ129" t="str">
            <v>DA HET SAN XUAT</v>
          </cell>
        </row>
        <row r="130">
          <cell r="D130">
            <v>100008706</v>
          </cell>
          <cell r="E130">
            <v>0</v>
          </cell>
          <cell r="F130">
            <v>0</v>
          </cell>
          <cell r="G130">
            <v>0</v>
          </cell>
          <cell r="H130">
            <v>220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220</v>
          </cell>
          <cell r="O130">
            <v>0</v>
          </cell>
          <cell r="P130">
            <v>0</v>
          </cell>
          <cell r="Q130">
            <v>220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X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43098</v>
          </cell>
          <cell r="AG130">
            <v>8193</v>
          </cell>
          <cell r="AH130">
            <v>8193</v>
          </cell>
          <cell r="AI130">
            <v>0</v>
          </cell>
          <cell r="AJ130" t="str">
            <v>DA HET SAN XUAT</v>
          </cell>
        </row>
        <row r="131">
          <cell r="D131">
            <v>100008707</v>
          </cell>
          <cell r="E131">
            <v>0</v>
          </cell>
          <cell r="F131">
            <v>0</v>
          </cell>
          <cell r="G131">
            <v>0</v>
          </cell>
          <cell r="H131">
            <v>275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275</v>
          </cell>
          <cell r="O131">
            <v>0</v>
          </cell>
          <cell r="P131">
            <v>183</v>
          </cell>
          <cell r="Q131">
            <v>92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X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43095</v>
          </cell>
          <cell r="AG131">
            <v>6075</v>
          </cell>
          <cell r="AH131">
            <v>6075</v>
          </cell>
          <cell r="AI131">
            <v>0</v>
          </cell>
          <cell r="AJ131" t="str">
            <v>DA HET SAN XUAT</v>
          </cell>
        </row>
        <row r="132">
          <cell r="D132">
            <v>100008708</v>
          </cell>
          <cell r="E132">
            <v>0</v>
          </cell>
          <cell r="F132">
            <v>0</v>
          </cell>
          <cell r="G132">
            <v>0</v>
          </cell>
          <cell r="H132">
            <v>97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97</v>
          </cell>
          <cell r="O132">
            <v>0</v>
          </cell>
          <cell r="P132">
            <v>0</v>
          </cell>
          <cell r="Q132">
            <v>97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X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43104</v>
          </cell>
          <cell r="AG132">
            <v>3447</v>
          </cell>
          <cell r="AH132">
            <v>3447</v>
          </cell>
          <cell r="AI132">
            <v>0</v>
          </cell>
          <cell r="AJ132" t="str">
            <v>DA HET SAN XUAT</v>
          </cell>
        </row>
        <row r="133">
          <cell r="D133">
            <v>100008709</v>
          </cell>
          <cell r="E133">
            <v>4892</v>
          </cell>
          <cell r="F133">
            <v>0</v>
          </cell>
          <cell r="G133">
            <v>4892</v>
          </cell>
          <cell r="H133">
            <v>221</v>
          </cell>
          <cell r="I133">
            <v>4892</v>
          </cell>
          <cell r="K133">
            <v>0</v>
          </cell>
          <cell r="L133">
            <v>0</v>
          </cell>
          <cell r="M133">
            <v>0</v>
          </cell>
          <cell r="N133">
            <v>5113</v>
          </cell>
          <cell r="O133">
            <v>0</v>
          </cell>
          <cell r="P133">
            <v>653</v>
          </cell>
          <cell r="Q133">
            <v>4460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X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43097</v>
          </cell>
          <cell r="AG133">
            <v>4761</v>
          </cell>
          <cell r="AH133">
            <v>1053</v>
          </cell>
          <cell r="AI133">
            <v>-3708</v>
          </cell>
        </row>
        <row r="134">
          <cell r="D134">
            <v>100008714</v>
          </cell>
          <cell r="E134">
            <v>0</v>
          </cell>
          <cell r="F134">
            <v>0</v>
          </cell>
          <cell r="G134">
            <v>0</v>
          </cell>
          <cell r="H134">
            <v>611</v>
          </cell>
          <cell r="I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611</v>
          </cell>
          <cell r="O134">
            <v>0</v>
          </cell>
          <cell r="P134">
            <v>100</v>
          </cell>
          <cell r="Q134">
            <v>511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X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43097</v>
          </cell>
          <cell r="AG134">
            <v>3858</v>
          </cell>
          <cell r="AH134">
            <v>3858</v>
          </cell>
          <cell r="AI134">
            <v>0</v>
          </cell>
          <cell r="AJ134" t="str">
            <v>DA HET SAN XUAT</v>
          </cell>
        </row>
        <row r="135">
          <cell r="D135">
            <v>100008716</v>
          </cell>
          <cell r="E135">
            <v>0</v>
          </cell>
          <cell r="F135">
            <v>0</v>
          </cell>
          <cell r="G135">
            <v>0</v>
          </cell>
          <cell r="H135">
            <v>78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78</v>
          </cell>
          <cell r="O135">
            <v>0</v>
          </cell>
          <cell r="P135">
            <v>23</v>
          </cell>
          <cell r="Q135">
            <v>55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X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43097</v>
          </cell>
          <cell r="AG135">
            <v>1203</v>
          </cell>
          <cell r="AH135">
            <v>1203</v>
          </cell>
          <cell r="AI135">
            <v>0</v>
          </cell>
          <cell r="AJ135" t="str">
            <v>DA HET SAN XUAT</v>
          </cell>
        </row>
        <row r="136">
          <cell r="D136">
            <v>100008730</v>
          </cell>
          <cell r="E136">
            <v>0</v>
          </cell>
          <cell r="F136">
            <v>0</v>
          </cell>
          <cell r="G136">
            <v>0</v>
          </cell>
          <cell r="H136">
            <v>130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130</v>
          </cell>
          <cell r="O136">
            <v>0</v>
          </cell>
          <cell r="P136">
            <v>0</v>
          </cell>
          <cell r="Q136">
            <v>130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X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43122</v>
          </cell>
          <cell r="AG136">
            <v>3771</v>
          </cell>
          <cell r="AH136">
            <v>3804</v>
          </cell>
          <cell r="AI136">
            <v>33</v>
          </cell>
        </row>
        <row r="137">
          <cell r="D137">
            <v>100008747</v>
          </cell>
          <cell r="E137">
            <v>0</v>
          </cell>
          <cell r="F137">
            <v>0</v>
          </cell>
          <cell r="G137">
            <v>0</v>
          </cell>
          <cell r="H137">
            <v>683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683</v>
          </cell>
          <cell r="O137">
            <v>0</v>
          </cell>
          <cell r="P137">
            <v>0</v>
          </cell>
          <cell r="Q137">
            <v>683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X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43097</v>
          </cell>
          <cell r="AG137">
            <v>10917</v>
          </cell>
          <cell r="AH137">
            <v>10917</v>
          </cell>
          <cell r="AI137">
            <v>0</v>
          </cell>
          <cell r="AJ137" t="str">
            <v>DA HET SAN XUAT</v>
          </cell>
        </row>
        <row r="138">
          <cell r="D138">
            <v>100008749</v>
          </cell>
          <cell r="E138">
            <v>5640</v>
          </cell>
          <cell r="F138">
            <v>0</v>
          </cell>
          <cell r="G138">
            <v>5640</v>
          </cell>
          <cell r="H138">
            <v>201</v>
          </cell>
          <cell r="I138">
            <v>5640</v>
          </cell>
          <cell r="K138">
            <v>0</v>
          </cell>
          <cell r="L138">
            <v>0</v>
          </cell>
          <cell r="M138">
            <v>0</v>
          </cell>
          <cell r="N138">
            <v>5841</v>
          </cell>
          <cell r="O138">
            <v>0</v>
          </cell>
          <cell r="P138">
            <v>166</v>
          </cell>
          <cell r="Q138">
            <v>5675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X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43102</v>
          </cell>
          <cell r="AG138">
            <v>5202</v>
          </cell>
          <cell r="AH138">
            <v>2715</v>
          </cell>
          <cell r="AI138">
            <v>-2487</v>
          </cell>
        </row>
        <row r="139">
          <cell r="D139">
            <v>100008773</v>
          </cell>
          <cell r="E139">
            <v>0</v>
          </cell>
          <cell r="F139">
            <v>0</v>
          </cell>
          <cell r="G139">
            <v>0</v>
          </cell>
          <cell r="H139">
            <v>70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70</v>
          </cell>
          <cell r="O139">
            <v>0</v>
          </cell>
          <cell r="P139">
            <v>0</v>
          </cell>
          <cell r="Q139">
            <v>70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X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43106</v>
          </cell>
          <cell r="AG139">
            <v>2469</v>
          </cell>
          <cell r="AH139">
            <v>2469</v>
          </cell>
          <cell r="AI139">
            <v>0</v>
          </cell>
          <cell r="AJ139" t="str">
            <v>DA HET SAN XUAT</v>
          </cell>
        </row>
        <row r="140">
          <cell r="D140">
            <v>100011932</v>
          </cell>
          <cell r="E140">
            <v>0</v>
          </cell>
          <cell r="F140">
            <v>0</v>
          </cell>
          <cell r="G140">
            <v>0</v>
          </cell>
          <cell r="H140">
            <v>11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11</v>
          </cell>
          <cell r="O140">
            <v>0</v>
          </cell>
          <cell r="P140">
            <v>0</v>
          </cell>
          <cell r="Q140">
            <v>11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X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G140">
            <v>0</v>
          </cell>
          <cell r="AH140">
            <v>0</v>
          </cell>
          <cell r="AI140">
            <v>0</v>
          </cell>
          <cell r="AJ140" t="str">
            <v>DA HET SAN XUAT</v>
          </cell>
        </row>
        <row r="141">
          <cell r="D141">
            <v>100011935</v>
          </cell>
          <cell r="E141">
            <v>0</v>
          </cell>
          <cell r="F141">
            <v>0</v>
          </cell>
          <cell r="G141">
            <v>0</v>
          </cell>
          <cell r="H141">
            <v>85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85</v>
          </cell>
          <cell r="O141">
            <v>0</v>
          </cell>
          <cell r="P141">
            <v>0</v>
          </cell>
          <cell r="Q141">
            <v>85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X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43122</v>
          </cell>
          <cell r="AG141">
            <v>4848</v>
          </cell>
          <cell r="AH141">
            <v>4848</v>
          </cell>
          <cell r="AI141">
            <v>0</v>
          </cell>
          <cell r="AJ141" t="str">
            <v>DA HET SAN XUAT</v>
          </cell>
        </row>
        <row r="142">
          <cell r="D142">
            <v>100013594</v>
          </cell>
          <cell r="E142">
            <v>0</v>
          </cell>
          <cell r="F142">
            <v>0</v>
          </cell>
          <cell r="G142">
            <v>0</v>
          </cell>
          <cell r="H142">
            <v>45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45</v>
          </cell>
          <cell r="O142">
            <v>0</v>
          </cell>
          <cell r="P142">
            <v>0</v>
          </cell>
          <cell r="Q142">
            <v>45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X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43097</v>
          </cell>
          <cell r="AG142">
            <v>1440</v>
          </cell>
          <cell r="AH142">
            <v>1440</v>
          </cell>
          <cell r="AI142">
            <v>0</v>
          </cell>
          <cell r="AJ142" t="str">
            <v>DA HET SAN XUAT</v>
          </cell>
        </row>
        <row r="143">
          <cell r="D143">
            <v>100016323</v>
          </cell>
          <cell r="E143">
            <v>0</v>
          </cell>
          <cell r="F143">
            <v>0</v>
          </cell>
          <cell r="G143">
            <v>0</v>
          </cell>
          <cell r="H143">
            <v>5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5</v>
          </cell>
          <cell r="O143">
            <v>0</v>
          </cell>
          <cell r="P143">
            <v>0</v>
          </cell>
          <cell r="Q143">
            <v>5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X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43106</v>
          </cell>
          <cell r="AG143">
            <v>6999</v>
          </cell>
          <cell r="AH143">
            <v>6999</v>
          </cell>
          <cell r="AI143">
            <v>0</v>
          </cell>
          <cell r="AJ143" t="str">
            <v>DA HET SAN XUAT</v>
          </cell>
        </row>
        <row r="144">
          <cell r="D144">
            <v>100016362</v>
          </cell>
          <cell r="E144">
            <v>0</v>
          </cell>
          <cell r="F144">
            <v>0</v>
          </cell>
          <cell r="G144">
            <v>0</v>
          </cell>
          <cell r="H144">
            <v>110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110</v>
          </cell>
          <cell r="O144">
            <v>0</v>
          </cell>
          <cell r="P144">
            <v>0</v>
          </cell>
          <cell r="Q144">
            <v>110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X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43097</v>
          </cell>
          <cell r="AG144">
            <v>2145</v>
          </cell>
          <cell r="AH144">
            <v>2145</v>
          </cell>
          <cell r="AI144">
            <v>0</v>
          </cell>
          <cell r="AJ144" t="str">
            <v>DA HET SAN XUAT</v>
          </cell>
        </row>
        <row r="145">
          <cell r="D145">
            <v>100017250</v>
          </cell>
          <cell r="E145">
            <v>1043</v>
          </cell>
          <cell r="F145">
            <v>0</v>
          </cell>
          <cell r="G145">
            <v>1043</v>
          </cell>
          <cell r="H145">
            <v>12</v>
          </cell>
          <cell r="I145">
            <v>1043</v>
          </cell>
          <cell r="K145">
            <v>0</v>
          </cell>
          <cell r="L145">
            <v>0</v>
          </cell>
          <cell r="M145">
            <v>0</v>
          </cell>
          <cell r="N145">
            <v>1055</v>
          </cell>
          <cell r="O145">
            <v>0</v>
          </cell>
          <cell r="P145">
            <v>990</v>
          </cell>
          <cell r="Q145">
            <v>65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X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43106</v>
          </cell>
          <cell r="AG145">
            <v>1823</v>
          </cell>
          <cell r="AH145">
            <v>1194</v>
          </cell>
          <cell r="AI145">
            <v>-629</v>
          </cell>
        </row>
        <row r="146">
          <cell r="D146">
            <v>100017251</v>
          </cell>
          <cell r="E146">
            <v>0</v>
          </cell>
          <cell r="F146">
            <v>0</v>
          </cell>
          <cell r="G146">
            <v>0</v>
          </cell>
          <cell r="H146">
            <v>8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8</v>
          </cell>
          <cell r="O146">
            <v>0</v>
          </cell>
          <cell r="P146">
            <v>0</v>
          </cell>
          <cell r="Q146">
            <v>8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X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43106</v>
          </cell>
          <cell r="AG146">
            <v>720</v>
          </cell>
          <cell r="AH146">
            <v>720</v>
          </cell>
          <cell r="AI146">
            <v>0</v>
          </cell>
          <cell r="AJ146" t="str">
            <v>DA HET SAN XUAT</v>
          </cell>
        </row>
        <row r="147">
          <cell r="D147">
            <v>100017339</v>
          </cell>
          <cell r="E147">
            <v>0</v>
          </cell>
          <cell r="F147">
            <v>0</v>
          </cell>
          <cell r="G147">
            <v>0</v>
          </cell>
          <cell r="H147">
            <v>84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84</v>
          </cell>
          <cell r="O147">
            <v>0</v>
          </cell>
          <cell r="P147">
            <v>4</v>
          </cell>
          <cell r="Q147">
            <v>80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X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G147">
            <v>0</v>
          </cell>
          <cell r="AH147">
            <v>0</v>
          </cell>
          <cell r="AI147">
            <v>0</v>
          </cell>
          <cell r="AJ147" t="str">
            <v>DA HET SAN XUAT</v>
          </cell>
        </row>
        <row r="148">
          <cell r="D148">
            <v>100018342</v>
          </cell>
          <cell r="E148">
            <v>0</v>
          </cell>
          <cell r="F148">
            <v>0</v>
          </cell>
          <cell r="G148">
            <v>0</v>
          </cell>
          <cell r="H148">
            <v>108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108</v>
          </cell>
          <cell r="O148">
            <v>0</v>
          </cell>
          <cell r="P148">
            <v>0</v>
          </cell>
          <cell r="Q148">
            <v>108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X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43122</v>
          </cell>
          <cell r="AG148">
            <v>4710</v>
          </cell>
          <cell r="AH148">
            <v>4752</v>
          </cell>
          <cell r="AI148">
            <v>42</v>
          </cell>
        </row>
        <row r="149">
          <cell r="D149">
            <v>453088</v>
          </cell>
          <cell r="E149">
            <v>0</v>
          </cell>
          <cell r="F149">
            <v>0</v>
          </cell>
          <cell r="G149">
            <v>0</v>
          </cell>
          <cell r="H149">
            <v>745</v>
          </cell>
          <cell r="I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745</v>
          </cell>
          <cell r="O149">
            <v>0</v>
          </cell>
          <cell r="P149">
            <v>0</v>
          </cell>
          <cell r="Q149">
            <v>745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X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43097</v>
          </cell>
          <cell r="AG149">
            <v>3580</v>
          </cell>
          <cell r="AH149">
            <v>3247</v>
          </cell>
          <cell r="AI149">
            <v>-333</v>
          </cell>
        </row>
        <row r="150">
          <cell r="D150">
            <v>453616</v>
          </cell>
          <cell r="E150">
            <v>0</v>
          </cell>
          <cell r="F150">
            <v>0</v>
          </cell>
          <cell r="G150">
            <v>0</v>
          </cell>
          <cell r="H150">
            <v>312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312</v>
          </cell>
          <cell r="O150">
            <v>0</v>
          </cell>
          <cell r="P150">
            <v>219</v>
          </cell>
          <cell r="Q150">
            <v>93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X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43117</v>
          </cell>
          <cell r="AG150">
            <v>9200</v>
          </cell>
          <cell r="AH150">
            <v>9238</v>
          </cell>
          <cell r="AI150">
            <v>38</v>
          </cell>
        </row>
        <row r="151">
          <cell r="D151">
            <v>453707</v>
          </cell>
          <cell r="E151">
            <v>0</v>
          </cell>
          <cell r="F151">
            <v>0</v>
          </cell>
          <cell r="G151">
            <v>0</v>
          </cell>
          <cell r="H151">
            <v>343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343</v>
          </cell>
          <cell r="O151">
            <v>0</v>
          </cell>
          <cell r="P151">
            <v>0</v>
          </cell>
          <cell r="Q151">
            <v>343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X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43097</v>
          </cell>
          <cell r="AG151">
            <v>7342</v>
          </cell>
          <cell r="AH151">
            <v>7386</v>
          </cell>
          <cell r="AI151">
            <v>44</v>
          </cell>
        </row>
        <row r="152">
          <cell r="D152">
            <v>454208</v>
          </cell>
          <cell r="E152">
            <v>0</v>
          </cell>
          <cell r="F152">
            <v>0</v>
          </cell>
          <cell r="G152">
            <v>0</v>
          </cell>
          <cell r="H152">
            <v>3056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3056</v>
          </cell>
          <cell r="O152">
            <v>7</v>
          </cell>
          <cell r="P152">
            <v>1522</v>
          </cell>
          <cell r="Q152">
            <v>1527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X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43111</v>
          </cell>
          <cell r="AG152">
            <v>33803</v>
          </cell>
          <cell r="AH152">
            <v>33924</v>
          </cell>
          <cell r="AI152">
            <v>121</v>
          </cell>
        </row>
        <row r="153">
          <cell r="D153">
            <v>455769</v>
          </cell>
          <cell r="E153">
            <v>0</v>
          </cell>
          <cell r="F153">
            <v>0</v>
          </cell>
          <cell r="G153">
            <v>0</v>
          </cell>
          <cell r="H153">
            <v>114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114</v>
          </cell>
          <cell r="O153">
            <v>0</v>
          </cell>
          <cell r="P153">
            <v>48</v>
          </cell>
          <cell r="Q153">
            <v>66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X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43117</v>
          </cell>
          <cell r="AG153">
            <v>4600</v>
          </cell>
          <cell r="AH153">
            <v>4624</v>
          </cell>
          <cell r="AI153">
            <v>24</v>
          </cell>
        </row>
        <row r="154">
          <cell r="D154">
            <v>455770</v>
          </cell>
          <cell r="E154">
            <v>0</v>
          </cell>
          <cell r="F154">
            <v>0</v>
          </cell>
          <cell r="G154">
            <v>0</v>
          </cell>
          <cell r="H154">
            <v>201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201</v>
          </cell>
          <cell r="O154">
            <v>0</v>
          </cell>
          <cell r="P154">
            <v>92</v>
          </cell>
          <cell r="Q154">
            <v>109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X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43117</v>
          </cell>
          <cell r="AG154">
            <v>4600</v>
          </cell>
          <cell r="AH154">
            <v>4650</v>
          </cell>
          <cell r="AI154">
            <v>50</v>
          </cell>
        </row>
        <row r="155">
          <cell r="D155">
            <v>100014739</v>
          </cell>
          <cell r="E155">
            <v>0</v>
          </cell>
          <cell r="F155">
            <v>0</v>
          </cell>
          <cell r="G155">
            <v>0</v>
          </cell>
          <cell r="H155">
            <v>397</v>
          </cell>
          <cell r="I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397</v>
          </cell>
          <cell r="O155">
            <v>0</v>
          </cell>
          <cell r="P155">
            <v>0</v>
          </cell>
          <cell r="Q155">
            <v>397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X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G155">
            <v>0</v>
          </cell>
          <cell r="AH155">
            <v>0</v>
          </cell>
          <cell r="AI155">
            <v>0</v>
          </cell>
          <cell r="AJ155" t="str">
            <v>DA HET SAN XUAT</v>
          </cell>
        </row>
        <row r="156">
          <cell r="D156" t="str">
            <v>KPT128571</v>
          </cell>
          <cell r="E156">
            <v>0</v>
          </cell>
          <cell r="F156">
            <v>18913</v>
          </cell>
          <cell r="G156">
            <v>18913</v>
          </cell>
          <cell r="H156">
            <v>1253</v>
          </cell>
          <cell r="I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1253</v>
          </cell>
          <cell r="O156">
            <v>627</v>
          </cell>
          <cell r="P156">
            <v>32</v>
          </cell>
          <cell r="Q156">
            <v>594</v>
          </cell>
          <cell r="R156">
            <v>0</v>
          </cell>
          <cell r="S156">
            <v>229</v>
          </cell>
          <cell r="T156">
            <v>229</v>
          </cell>
          <cell r="U156">
            <v>0</v>
          </cell>
          <cell r="X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229</v>
          </cell>
          <cell r="AE156">
            <v>229</v>
          </cell>
          <cell r="AF156">
            <v>43103</v>
          </cell>
          <cell r="AG156">
            <v>12695</v>
          </cell>
          <cell r="AH156">
            <v>12745</v>
          </cell>
          <cell r="AI156">
            <v>50</v>
          </cell>
        </row>
        <row r="157">
          <cell r="D157" t="str">
            <v>KPT128581</v>
          </cell>
          <cell r="E157">
            <v>0</v>
          </cell>
          <cell r="F157">
            <v>5208</v>
          </cell>
          <cell r="G157">
            <v>5208</v>
          </cell>
          <cell r="H157">
            <v>216</v>
          </cell>
          <cell r="I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216</v>
          </cell>
          <cell r="O157">
            <v>9</v>
          </cell>
          <cell r="P157">
            <v>57</v>
          </cell>
          <cell r="Q157">
            <v>150</v>
          </cell>
          <cell r="R157">
            <v>0</v>
          </cell>
          <cell r="S157">
            <v>63</v>
          </cell>
          <cell r="T157">
            <v>63</v>
          </cell>
          <cell r="U157">
            <v>0</v>
          </cell>
          <cell r="X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63</v>
          </cell>
          <cell r="AE157">
            <v>63</v>
          </cell>
          <cell r="AF157">
            <v>43103</v>
          </cell>
          <cell r="AG157">
            <v>2403</v>
          </cell>
          <cell r="AH157">
            <v>2409</v>
          </cell>
          <cell r="AI157">
            <v>6</v>
          </cell>
        </row>
        <row r="158">
          <cell r="D158" t="str">
            <v>KTP115221</v>
          </cell>
          <cell r="E158">
            <v>0</v>
          </cell>
          <cell r="F158">
            <v>0</v>
          </cell>
          <cell r="G158">
            <v>0</v>
          </cell>
          <cell r="H158">
            <v>899</v>
          </cell>
          <cell r="I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899</v>
          </cell>
          <cell r="O158">
            <v>0</v>
          </cell>
          <cell r="P158">
            <v>0</v>
          </cell>
          <cell r="Q158">
            <v>899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X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43102</v>
          </cell>
          <cell r="AG158">
            <v>20035</v>
          </cell>
          <cell r="AH158">
            <v>20168</v>
          </cell>
          <cell r="AI158">
            <v>133</v>
          </cell>
        </row>
        <row r="159">
          <cell r="D159">
            <v>181034126</v>
          </cell>
          <cell r="E159">
            <v>0</v>
          </cell>
          <cell r="F159">
            <v>0</v>
          </cell>
          <cell r="G159">
            <v>0</v>
          </cell>
          <cell r="H159">
            <v>36</v>
          </cell>
          <cell r="I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36</v>
          </cell>
          <cell r="O159">
            <v>0</v>
          </cell>
          <cell r="P159">
            <v>0</v>
          </cell>
          <cell r="Q159">
            <v>36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X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43089</v>
          </cell>
          <cell r="AG159">
            <v>246</v>
          </cell>
          <cell r="AH159">
            <v>246</v>
          </cell>
          <cell r="AI159">
            <v>0</v>
          </cell>
          <cell r="AJ159" t="str">
            <v>DA HET SAN XUAT</v>
          </cell>
        </row>
        <row r="160">
          <cell r="D160">
            <v>181034892</v>
          </cell>
          <cell r="E160">
            <v>0</v>
          </cell>
          <cell r="F160">
            <v>0</v>
          </cell>
          <cell r="G160">
            <v>0</v>
          </cell>
          <cell r="H160">
            <v>68</v>
          </cell>
          <cell r="I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68</v>
          </cell>
          <cell r="O160">
            <v>0</v>
          </cell>
          <cell r="P160">
            <v>46</v>
          </cell>
          <cell r="Q160">
            <v>22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X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43122</v>
          </cell>
          <cell r="AG160">
            <v>537</v>
          </cell>
          <cell r="AH160">
            <v>537</v>
          </cell>
          <cell r="AI160">
            <v>0</v>
          </cell>
          <cell r="AJ160" t="str">
            <v>DA HET SAN XUAT</v>
          </cell>
        </row>
        <row r="161">
          <cell r="D161">
            <v>466852</v>
          </cell>
          <cell r="E161">
            <v>0</v>
          </cell>
          <cell r="F161">
            <v>9244</v>
          </cell>
          <cell r="G161">
            <v>9244</v>
          </cell>
          <cell r="H161">
            <v>418</v>
          </cell>
          <cell r="I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418</v>
          </cell>
          <cell r="O161">
            <v>0</v>
          </cell>
          <cell r="P161">
            <v>0</v>
          </cell>
          <cell r="Q161">
            <v>418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X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43171</v>
          </cell>
          <cell r="AG161">
            <v>8212</v>
          </cell>
          <cell r="AH161">
            <v>8194</v>
          </cell>
          <cell r="AI161">
            <v>-18</v>
          </cell>
        </row>
        <row r="162">
          <cell r="D162" t="str">
            <v>BP381295MI</v>
          </cell>
          <cell r="E162">
            <v>0</v>
          </cell>
          <cell r="F162">
            <v>0</v>
          </cell>
          <cell r="G162">
            <v>0</v>
          </cell>
          <cell r="H162">
            <v>70</v>
          </cell>
          <cell r="I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70</v>
          </cell>
          <cell r="O162">
            <v>0</v>
          </cell>
          <cell r="P162">
            <v>0</v>
          </cell>
          <cell r="Q162">
            <v>70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X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43081</v>
          </cell>
          <cell r="AG162">
            <v>1560</v>
          </cell>
          <cell r="AH162">
            <v>1523</v>
          </cell>
          <cell r="AI162">
            <v>-37</v>
          </cell>
        </row>
        <row r="163">
          <cell r="D163">
            <v>100008598</v>
          </cell>
          <cell r="E163">
            <v>0</v>
          </cell>
          <cell r="F163">
            <v>4348</v>
          </cell>
          <cell r="G163">
            <v>4348</v>
          </cell>
          <cell r="H163">
            <v>91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91</v>
          </cell>
          <cell r="O163">
            <v>0</v>
          </cell>
          <cell r="P163">
            <v>0</v>
          </cell>
          <cell r="Q163">
            <v>91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X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43133</v>
          </cell>
          <cell r="AG163">
            <v>7188</v>
          </cell>
          <cell r="AH163">
            <v>2853</v>
          </cell>
          <cell r="AI163">
            <v>-4335</v>
          </cell>
        </row>
        <row r="164">
          <cell r="D164">
            <v>100008604</v>
          </cell>
          <cell r="E164">
            <v>0</v>
          </cell>
          <cell r="F164">
            <v>0</v>
          </cell>
          <cell r="G164">
            <v>0</v>
          </cell>
          <cell r="H164">
            <v>154</v>
          </cell>
          <cell r="I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154</v>
          </cell>
          <cell r="O164">
            <v>0</v>
          </cell>
          <cell r="P164">
            <v>21</v>
          </cell>
          <cell r="Q164">
            <v>133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X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43122</v>
          </cell>
          <cell r="AG164">
            <v>1488</v>
          </cell>
          <cell r="AH164">
            <v>1488</v>
          </cell>
          <cell r="AI164">
            <v>0</v>
          </cell>
          <cell r="AJ164" t="str">
            <v>DA HET SAN XUAT</v>
          </cell>
        </row>
        <row r="165">
          <cell r="D165">
            <v>100008605</v>
          </cell>
          <cell r="E165">
            <v>0</v>
          </cell>
          <cell r="F165">
            <v>6330</v>
          </cell>
          <cell r="G165">
            <v>6330</v>
          </cell>
          <cell r="H165">
            <v>222</v>
          </cell>
          <cell r="I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222</v>
          </cell>
          <cell r="O165">
            <v>0</v>
          </cell>
          <cell r="P165">
            <v>0</v>
          </cell>
          <cell r="Q165">
            <v>222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X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43123</v>
          </cell>
          <cell r="AG165">
            <v>3933</v>
          </cell>
          <cell r="AH165">
            <v>3933</v>
          </cell>
          <cell r="AI165">
            <v>0</v>
          </cell>
          <cell r="AJ165" t="str">
            <v>DA HET SAN XUAT</v>
          </cell>
        </row>
        <row r="166">
          <cell r="D166">
            <v>100008607</v>
          </cell>
          <cell r="E166">
            <v>0</v>
          </cell>
          <cell r="F166">
            <v>0</v>
          </cell>
          <cell r="G166">
            <v>0</v>
          </cell>
          <cell r="H166">
            <v>146</v>
          </cell>
          <cell r="I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146</v>
          </cell>
          <cell r="O166">
            <v>0</v>
          </cell>
          <cell r="P166">
            <v>0</v>
          </cell>
          <cell r="Q166">
            <v>146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X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43125</v>
          </cell>
          <cell r="AG166">
            <v>4983</v>
          </cell>
          <cell r="AH166">
            <v>4983</v>
          </cell>
          <cell r="AI166">
            <v>0</v>
          </cell>
          <cell r="AJ166" t="str">
            <v>DA HET SAN XUAT</v>
          </cell>
        </row>
        <row r="167">
          <cell r="D167">
            <v>100008660</v>
          </cell>
          <cell r="E167">
            <v>0</v>
          </cell>
          <cell r="F167">
            <v>4774</v>
          </cell>
          <cell r="G167">
            <v>4774</v>
          </cell>
          <cell r="H167">
            <v>195</v>
          </cell>
          <cell r="I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195</v>
          </cell>
          <cell r="O167">
            <v>0</v>
          </cell>
          <cell r="P167">
            <v>0</v>
          </cell>
          <cell r="Q167">
            <v>195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X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43133</v>
          </cell>
          <cell r="AG167">
            <v>8034</v>
          </cell>
          <cell r="AH167">
            <v>3422</v>
          </cell>
          <cell r="AI167">
            <v>-4612</v>
          </cell>
        </row>
        <row r="168">
          <cell r="D168">
            <v>100008746</v>
          </cell>
          <cell r="E168">
            <v>0</v>
          </cell>
          <cell r="F168">
            <v>773</v>
          </cell>
          <cell r="G168">
            <v>773</v>
          </cell>
          <cell r="H168">
            <v>25</v>
          </cell>
          <cell r="I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25</v>
          </cell>
          <cell r="O168">
            <v>0</v>
          </cell>
          <cell r="P168">
            <v>0</v>
          </cell>
          <cell r="Q168">
            <v>25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X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43133</v>
          </cell>
          <cell r="AG168">
            <v>705</v>
          </cell>
          <cell r="AH168">
            <v>705</v>
          </cell>
          <cell r="AI168">
            <v>0</v>
          </cell>
          <cell r="AJ168" t="str">
            <v>DA HET SAN XUAT</v>
          </cell>
        </row>
        <row r="169">
          <cell r="D169">
            <v>100009162</v>
          </cell>
          <cell r="E169">
            <v>0</v>
          </cell>
          <cell r="F169">
            <v>0</v>
          </cell>
          <cell r="G169">
            <v>0</v>
          </cell>
          <cell r="H169">
            <v>86</v>
          </cell>
          <cell r="I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86</v>
          </cell>
          <cell r="O169">
            <v>0</v>
          </cell>
          <cell r="P169">
            <v>0</v>
          </cell>
          <cell r="Q169">
            <v>86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X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43125</v>
          </cell>
          <cell r="AG169">
            <v>5790</v>
          </cell>
          <cell r="AH169">
            <v>5844</v>
          </cell>
          <cell r="AI169">
            <v>54</v>
          </cell>
        </row>
        <row r="170">
          <cell r="D170">
            <v>100009622</v>
          </cell>
          <cell r="E170">
            <v>0</v>
          </cell>
          <cell r="F170">
            <v>2284</v>
          </cell>
          <cell r="G170">
            <v>2284</v>
          </cell>
          <cell r="H170">
            <v>425</v>
          </cell>
          <cell r="I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425</v>
          </cell>
          <cell r="O170">
            <v>0</v>
          </cell>
          <cell r="P170">
            <v>189</v>
          </cell>
          <cell r="Q170">
            <v>236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X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43160</v>
          </cell>
          <cell r="AG170">
            <v>300</v>
          </cell>
          <cell r="AH170">
            <v>300</v>
          </cell>
          <cell r="AI170">
            <v>0</v>
          </cell>
          <cell r="AJ170" t="str">
            <v>DA HET SAN XUAT</v>
          </cell>
        </row>
        <row r="171">
          <cell r="D171">
            <v>100015352</v>
          </cell>
          <cell r="E171">
            <v>0</v>
          </cell>
          <cell r="F171">
            <v>9258</v>
          </cell>
          <cell r="G171">
            <v>9258</v>
          </cell>
          <cell r="H171">
            <v>261</v>
          </cell>
          <cell r="I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261</v>
          </cell>
          <cell r="O171">
            <v>0</v>
          </cell>
          <cell r="P171">
            <v>163</v>
          </cell>
          <cell r="Q171">
            <v>98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X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43165</v>
          </cell>
          <cell r="AG171">
            <v>8628</v>
          </cell>
          <cell r="AH171">
            <v>8628</v>
          </cell>
          <cell r="AI171">
            <v>0</v>
          </cell>
          <cell r="AJ171" t="str">
            <v>DA HET SAN XUAT</v>
          </cell>
        </row>
        <row r="172">
          <cell r="D172">
            <v>100015355</v>
          </cell>
          <cell r="E172">
            <v>0</v>
          </cell>
          <cell r="F172">
            <v>4812</v>
          </cell>
          <cell r="G172">
            <v>4812</v>
          </cell>
          <cell r="H172">
            <v>344</v>
          </cell>
          <cell r="I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344</v>
          </cell>
          <cell r="O172">
            <v>0</v>
          </cell>
          <cell r="P172">
            <v>104</v>
          </cell>
          <cell r="Q172">
            <v>240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X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43164</v>
          </cell>
          <cell r="AG172">
            <v>1413</v>
          </cell>
          <cell r="AH172">
            <v>1413</v>
          </cell>
          <cell r="AI172">
            <v>0</v>
          </cell>
          <cell r="AJ172" t="str">
            <v>DA HET SAN XUAT</v>
          </cell>
        </row>
        <row r="173">
          <cell r="D173">
            <v>100015669</v>
          </cell>
          <cell r="E173">
            <v>6295</v>
          </cell>
          <cell r="F173">
            <v>1170</v>
          </cell>
          <cell r="G173">
            <v>7465</v>
          </cell>
          <cell r="H173">
            <v>14</v>
          </cell>
          <cell r="I173">
            <v>6295</v>
          </cell>
          <cell r="K173">
            <v>0</v>
          </cell>
          <cell r="L173">
            <v>0</v>
          </cell>
          <cell r="M173">
            <v>0</v>
          </cell>
          <cell r="N173">
            <v>6309</v>
          </cell>
          <cell r="O173">
            <v>0</v>
          </cell>
          <cell r="P173">
            <v>0</v>
          </cell>
          <cell r="Q173">
            <v>6309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X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43167</v>
          </cell>
          <cell r="AG173">
            <v>7267</v>
          </cell>
          <cell r="AH173">
            <v>1125</v>
          </cell>
          <cell r="AI173">
            <v>-6142</v>
          </cell>
        </row>
        <row r="174">
          <cell r="D174">
            <v>100018310</v>
          </cell>
          <cell r="E174">
            <v>0</v>
          </cell>
          <cell r="F174">
            <v>7710</v>
          </cell>
          <cell r="G174">
            <v>7710</v>
          </cell>
          <cell r="H174">
            <v>195</v>
          </cell>
          <cell r="I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195</v>
          </cell>
          <cell r="O174">
            <v>0</v>
          </cell>
          <cell r="P174">
            <v>97</v>
          </cell>
          <cell r="Q174">
            <v>98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X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43165</v>
          </cell>
          <cell r="AG174">
            <v>6780</v>
          </cell>
          <cell r="AH174">
            <v>6780</v>
          </cell>
          <cell r="AI174">
            <v>0</v>
          </cell>
          <cell r="AJ174" t="str">
            <v>DA HET SAN XUAT</v>
          </cell>
        </row>
        <row r="175">
          <cell r="D175">
            <v>100021064</v>
          </cell>
          <cell r="E175">
            <v>0</v>
          </cell>
          <cell r="F175">
            <v>3723</v>
          </cell>
          <cell r="G175">
            <v>3723</v>
          </cell>
          <cell r="H175">
            <v>160</v>
          </cell>
          <cell r="I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160</v>
          </cell>
          <cell r="O175">
            <v>0</v>
          </cell>
          <cell r="P175">
            <v>80</v>
          </cell>
          <cell r="Q175">
            <v>80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X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43164</v>
          </cell>
          <cell r="AG175">
            <v>2079</v>
          </cell>
          <cell r="AH175">
            <v>2079</v>
          </cell>
          <cell r="AI175">
            <v>0</v>
          </cell>
          <cell r="AJ175" t="str">
            <v>DA HET SAN XUAT</v>
          </cell>
        </row>
        <row r="176">
          <cell r="D176">
            <v>73301</v>
          </cell>
          <cell r="E176">
            <v>3765</v>
          </cell>
          <cell r="F176">
            <v>17543</v>
          </cell>
          <cell r="G176">
            <v>21308</v>
          </cell>
          <cell r="H176">
            <v>471</v>
          </cell>
          <cell r="I176">
            <v>3765</v>
          </cell>
          <cell r="K176">
            <v>3600</v>
          </cell>
          <cell r="L176">
            <v>0</v>
          </cell>
          <cell r="M176">
            <v>0</v>
          </cell>
          <cell r="N176">
            <v>636</v>
          </cell>
          <cell r="O176">
            <v>0</v>
          </cell>
          <cell r="P176">
            <v>54</v>
          </cell>
          <cell r="Q176">
            <v>582</v>
          </cell>
          <cell r="R176">
            <v>0</v>
          </cell>
          <cell r="S176">
            <v>286</v>
          </cell>
          <cell r="T176">
            <v>3886</v>
          </cell>
          <cell r="U176">
            <v>3600</v>
          </cell>
          <cell r="X176">
            <v>3600</v>
          </cell>
          <cell r="Z176">
            <v>0</v>
          </cell>
          <cell r="AA176">
            <v>0</v>
          </cell>
          <cell r="AB176">
            <v>3600</v>
          </cell>
          <cell r="AC176">
            <v>0</v>
          </cell>
          <cell r="AD176">
            <v>286</v>
          </cell>
          <cell r="AE176">
            <v>286</v>
          </cell>
          <cell r="AF176">
            <v>42731</v>
          </cell>
          <cell r="AG176">
            <v>24874</v>
          </cell>
          <cell r="AH176">
            <v>22446</v>
          </cell>
          <cell r="AI176">
            <v>-2428</v>
          </cell>
        </row>
        <row r="177">
          <cell r="D177">
            <v>74902</v>
          </cell>
          <cell r="E177">
            <v>0</v>
          </cell>
          <cell r="F177">
            <v>11031</v>
          </cell>
          <cell r="G177">
            <v>11031</v>
          </cell>
          <cell r="H177">
            <v>1535</v>
          </cell>
          <cell r="I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1535</v>
          </cell>
          <cell r="O177">
            <v>47</v>
          </cell>
          <cell r="P177">
            <v>337</v>
          </cell>
          <cell r="Q177">
            <v>1151</v>
          </cell>
          <cell r="R177">
            <v>0</v>
          </cell>
          <cell r="S177">
            <v>50</v>
          </cell>
          <cell r="T177">
            <v>50</v>
          </cell>
          <cell r="U177">
            <v>0</v>
          </cell>
          <cell r="X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50</v>
          </cell>
          <cell r="AE177">
            <v>50</v>
          </cell>
          <cell r="AF177">
            <v>42754</v>
          </cell>
          <cell r="AG177">
            <v>52179</v>
          </cell>
          <cell r="AH177">
            <v>52428</v>
          </cell>
          <cell r="AI177">
            <v>249</v>
          </cell>
        </row>
        <row r="178">
          <cell r="D178">
            <v>75303</v>
          </cell>
          <cell r="E178">
            <v>0</v>
          </cell>
          <cell r="F178">
            <v>9025</v>
          </cell>
          <cell r="G178">
            <v>9025</v>
          </cell>
          <cell r="H178">
            <v>459</v>
          </cell>
          <cell r="I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459</v>
          </cell>
          <cell r="O178">
            <v>5</v>
          </cell>
          <cell r="P178">
            <v>11</v>
          </cell>
          <cell r="Q178">
            <v>443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X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 t="str">
            <v>SKVN-1</v>
          </cell>
          <cell r="AG178">
            <v>15156</v>
          </cell>
          <cell r="AH178">
            <v>15156</v>
          </cell>
          <cell r="AI178">
            <v>0</v>
          </cell>
          <cell r="AJ178" t="str">
            <v>DA HET SAN XUAT</v>
          </cell>
        </row>
        <row r="179">
          <cell r="D179">
            <v>7999</v>
          </cell>
          <cell r="E179">
            <v>0</v>
          </cell>
          <cell r="F179">
            <v>0</v>
          </cell>
          <cell r="G179">
            <v>0</v>
          </cell>
          <cell r="H179">
            <v>142</v>
          </cell>
          <cell r="I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142</v>
          </cell>
          <cell r="O179">
            <v>0</v>
          </cell>
          <cell r="P179">
            <v>83</v>
          </cell>
          <cell r="Q179">
            <v>59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X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42698</v>
          </cell>
          <cell r="AG179">
            <v>9657</v>
          </cell>
          <cell r="AH179">
            <v>9657</v>
          </cell>
          <cell r="AI179">
            <v>0</v>
          </cell>
          <cell r="AJ179" t="str">
            <v>DA HET SAN XUAT</v>
          </cell>
        </row>
        <row r="180">
          <cell r="D180">
            <v>460895</v>
          </cell>
          <cell r="E180">
            <v>0</v>
          </cell>
          <cell r="F180">
            <v>0</v>
          </cell>
          <cell r="G180">
            <v>0</v>
          </cell>
          <cell r="H180">
            <v>20</v>
          </cell>
          <cell r="I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20</v>
          </cell>
          <cell r="O180">
            <v>0</v>
          </cell>
          <cell r="P180">
            <v>20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X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43125</v>
          </cell>
          <cell r="AG180">
            <v>1150</v>
          </cell>
          <cell r="AH180">
            <v>1142</v>
          </cell>
          <cell r="AI180">
            <v>-8</v>
          </cell>
        </row>
        <row r="181">
          <cell r="D181">
            <v>452546</v>
          </cell>
          <cell r="E181">
            <v>0</v>
          </cell>
          <cell r="F181">
            <v>0</v>
          </cell>
          <cell r="G181">
            <v>0</v>
          </cell>
          <cell r="H181">
            <v>569</v>
          </cell>
          <cell r="I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569</v>
          </cell>
          <cell r="O181">
            <v>37</v>
          </cell>
          <cell r="P181">
            <v>306</v>
          </cell>
          <cell r="Q181">
            <v>226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X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43125</v>
          </cell>
          <cell r="AG181">
            <v>9984</v>
          </cell>
          <cell r="AH181">
            <v>10082</v>
          </cell>
          <cell r="AI181">
            <v>98</v>
          </cell>
        </row>
        <row r="182">
          <cell r="D182">
            <v>457802</v>
          </cell>
          <cell r="E182">
            <v>0</v>
          </cell>
          <cell r="F182">
            <v>32384</v>
          </cell>
          <cell r="G182">
            <v>32384</v>
          </cell>
          <cell r="H182">
            <v>1698</v>
          </cell>
          <cell r="I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1698</v>
          </cell>
          <cell r="O182">
            <v>65</v>
          </cell>
          <cell r="P182">
            <v>658</v>
          </cell>
          <cell r="Q182">
            <v>975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X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43131</v>
          </cell>
          <cell r="AG182">
            <v>21680</v>
          </cell>
          <cell r="AH182">
            <v>21861</v>
          </cell>
          <cell r="AI182">
            <v>181</v>
          </cell>
        </row>
        <row r="183">
          <cell r="D183">
            <v>457814</v>
          </cell>
          <cell r="E183">
            <v>0</v>
          </cell>
          <cell r="F183">
            <v>0</v>
          </cell>
          <cell r="G183">
            <v>0</v>
          </cell>
          <cell r="H183">
            <v>355</v>
          </cell>
          <cell r="I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355</v>
          </cell>
          <cell r="O183">
            <v>0</v>
          </cell>
          <cell r="P183">
            <v>209</v>
          </cell>
          <cell r="Q183">
            <v>146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X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43132</v>
          </cell>
          <cell r="AG183">
            <v>7850</v>
          </cell>
          <cell r="AH183">
            <v>7913</v>
          </cell>
          <cell r="AI183">
            <v>63</v>
          </cell>
        </row>
        <row r="184">
          <cell r="D184">
            <v>457815</v>
          </cell>
          <cell r="E184">
            <v>0</v>
          </cell>
          <cell r="F184">
            <v>3519</v>
          </cell>
          <cell r="G184">
            <v>3519</v>
          </cell>
          <cell r="H184">
            <v>209</v>
          </cell>
          <cell r="I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209</v>
          </cell>
          <cell r="O184">
            <v>140</v>
          </cell>
          <cell r="P184">
            <v>52</v>
          </cell>
          <cell r="Q184">
            <v>17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X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43132</v>
          </cell>
          <cell r="AG184">
            <v>3281</v>
          </cell>
          <cell r="AH184">
            <v>3281</v>
          </cell>
          <cell r="AI184">
            <v>0</v>
          </cell>
          <cell r="AJ184" t="str">
            <v>DA HET SAN XUAT</v>
          </cell>
        </row>
        <row r="185">
          <cell r="D185">
            <v>459065</v>
          </cell>
          <cell r="E185">
            <v>0</v>
          </cell>
          <cell r="F185">
            <v>0</v>
          </cell>
          <cell r="G185">
            <v>0</v>
          </cell>
          <cell r="H185">
            <v>153</v>
          </cell>
          <cell r="I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153</v>
          </cell>
          <cell r="O185">
            <v>0</v>
          </cell>
          <cell r="P185">
            <v>123</v>
          </cell>
          <cell r="Q185">
            <v>30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X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43117</v>
          </cell>
          <cell r="AG185">
            <v>3700</v>
          </cell>
          <cell r="AH185">
            <v>3724</v>
          </cell>
          <cell r="AI185">
            <v>24</v>
          </cell>
        </row>
        <row r="186">
          <cell r="D186">
            <v>460586</v>
          </cell>
          <cell r="E186">
            <v>0</v>
          </cell>
          <cell r="F186">
            <v>0</v>
          </cell>
          <cell r="G186">
            <v>0</v>
          </cell>
          <cell r="H186">
            <v>516</v>
          </cell>
          <cell r="I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516</v>
          </cell>
          <cell r="O186">
            <v>116</v>
          </cell>
          <cell r="P186">
            <v>176</v>
          </cell>
          <cell r="Q186">
            <v>224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X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43131</v>
          </cell>
          <cell r="AG186">
            <v>7370</v>
          </cell>
          <cell r="AH186">
            <v>7388</v>
          </cell>
          <cell r="AI186">
            <v>18</v>
          </cell>
        </row>
        <row r="187">
          <cell r="D187">
            <v>460588</v>
          </cell>
          <cell r="E187">
            <v>0</v>
          </cell>
          <cell r="F187">
            <v>6820</v>
          </cell>
          <cell r="G187">
            <v>6820</v>
          </cell>
          <cell r="H187">
            <v>407</v>
          </cell>
          <cell r="I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407</v>
          </cell>
          <cell r="O187">
            <v>0</v>
          </cell>
          <cell r="P187">
            <v>198</v>
          </cell>
          <cell r="Q187">
            <v>209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X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43132</v>
          </cell>
          <cell r="AG187">
            <v>6310</v>
          </cell>
          <cell r="AH187">
            <v>6391</v>
          </cell>
          <cell r="AI187">
            <v>81</v>
          </cell>
        </row>
        <row r="188">
          <cell r="D188">
            <v>460591</v>
          </cell>
          <cell r="E188">
            <v>0</v>
          </cell>
          <cell r="F188">
            <v>7440</v>
          </cell>
          <cell r="G188">
            <v>7440</v>
          </cell>
          <cell r="H188">
            <v>304</v>
          </cell>
          <cell r="I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304</v>
          </cell>
          <cell r="O188">
            <v>0</v>
          </cell>
          <cell r="P188">
            <v>111</v>
          </cell>
          <cell r="Q188">
            <v>193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X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43131</v>
          </cell>
          <cell r="AG188">
            <v>6950</v>
          </cell>
          <cell r="AH188">
            <v>7011</v>
          </cell>
          <cell r="AI188">
            <v>61</v>
          </cell>
        </row>
        <row r="189">
          <cell r="D189">
            <v>460727</v>
          </cell>
          <cell r="E189">
            <v>0</v>
          </cell>
          <cell r="F189">
            <v>0</v>
          </cell>
          <cell r="G189">
            <v>0</v>
          </cell>
          <cell r="H189">
            <v>98</v>
          </cell>
          <cell r="I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98</v>
          </cell>
          <cell r="O189">
            <v>30</v>
          </cell>
          <cell r="P189">
            <v>15</v>
          </cell>
          <cell r="Q189">
            <v>53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X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43125</v>
          </cell>
          <cell r="AG189">
            <v>900</v>
          </cell>
          <cell r="AH189">
            <v>869</v>
          </cell>
          <cell r="AI189">
            <v>-31</v>
          </cell>
        </row>
        <row r="190">
          <cell r="D190">
            <v>461609</v>
          </cell>
          <cell r="E190">
            <v>0</v>
          </cell>
          <cell r="F190">
            <v>18336</v>
          </cell>
          <cell r="G190">
            <v>18336</v>
          </cell>
          <cell r="H190">
            <v>490</v>
          </cell>
          <cell r="I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490</v>
          </cell>
          <cell r="O190">
            <v>62</v>
          </cell>
          <cell r="P190">
            <v>141</v>
          </cell>
          <cell r="Q190">
            <v>287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X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43132</v>
          </cell>
          <cell r="AG190">
            <v>17680</v>
          </cell>
          <cell r="AH190">
            <v>17777</v>
          </cell>
          <cell r="AI190">
            <v>97</v>
          </cell>
        </row>
        <row r="191">
          <cell r="D191">
            <v>464818</v>
          </cell>
          <cell r="E191">
            <v>0</v>
          </cell>
          <cell r="F191">
            <v>16492</v>
          </cell>
          <cell r="G191">
            <v>16492</v>
          </cell>
          <cell r="H191">
            <v>1375</v>
          </cell>
          <cell r="I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1375</v>
          </cell>
          <cell r="O191">
            <v>0</v>
          </cell>
          <cell r="P191">
            <v>662</v>
          </cell>
          <cell r="Q191">
            <v>713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X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43140</v>
          </cell>
          <cell r="AG191">
            <v>11656</v>
          </cell>
          <cell r="AH191">
            <v>11698</v>
          </cell>
          <cell r="AI191">
            <v>42</v>
          </cell>
        </row>
        <row r="192">
          <cell r="D192">
            <v>465184</v>
          </cell>
          <cell r="E192">
            <v>0</v>
          </cell>
          <cell r="F192">
            <v>10251</v>
          </cell>
          <cell r="G192">
            <v>10251</v>
          </cell>
          <cell r="H192">
            <v>76</v>
          </cell>
          <cell r="I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76</v>
          </cell>
          <cell r="O192">
            <v>0</v>
          </cell>
          <cell r="P192">
            <v>16</v>
          </cell>
          <cell r="Q192">
            <v>60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X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43167</v>
          </cell>
          <cell r="AG192">
            <v>8540</v>
          </cell>
          <cell r="AH192">
            <v>8593</v>
          </cell>
          <cell r="AI192">
            <v>53</v>
          </cell>
        </row>
        <row r="193">
          <cell r="D193">
            <v>465409</v>
          </cell>
          <cell r="E193">
            <v>0</v>
          </cell>
          <cell r="F193">
            <v>14872</v>
          </cell>
          <cell r="G193">
            <v>14872</v>
          </cell>
          <cell r="H193">
            <v>1041</v>
          </cell>
          <cell r="I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1041</v>
          </cell>
          <cell r="O193">
            <v>2</v>
          </cell>
          <cell r="P193">
            <v>14</v>
          </cell>
          <cell r="Q193">
            <v>1025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X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43137</v>
          </cell>
          <cell r="AG193">
            <v>8721</v>
          </cell>
          <cell r="AH193">
            <v>8839</v>
          </cell>
          <cell r="AI193">
            <v>118</v>
          </cell>
        </row>
        <row r="194">
          <cell r="D194">
            <v>100010055</v>
          </cell>
          <cell r="E194">
            <v>0</v>
          </cell>
          <cell r="F194">
            <v>2729</v>
          </cell>
          <cell r="G194">
            <v>2729</v>
          </cell>
          <cell r="H194">
            <v>24</v>
          </cell>
          <cell r="I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24</v>
          </cell>
          <cell r="O194">
            <v>0</v>
          </cell>
          <cell r="P194">
            <v>17</v>
          </cell>
          <cell r="Q194">
            <v>7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X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43163</v>
          </cell>
          <cell r="AG194">
            <v>1194</v>
          </cell>
          <cell r="AH194">
            <v>1194</v>
          </cell>
          <cell r="AI194">
            <v>0</v>
          </cell>
          <cell r="AJ194" t="str">
            <v>DA HET SAN XUAT</v>
          </cell>
        </row>
        <row r="195">
          <cell r="D195">
            <v>100013421</v>
          </cell>
          <cell r="E195">
            <v>0</v>
          </cell>
          <cell r="F195">
            <v>19570</v>
          </cell>
          <cell r="G195">
            <v>19570</v>
          </cell>
          <cell r="H195">
            <v>702</v>
          </cell>
          <cell r="I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702</v>
          </cell>
          <cell r="O195">
            <v>0</v>
          </cell>
          <cell r="P195">
            <v>364</v>
          </cell>
          <cell r="Q195">
            <v>338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X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43127</v>
          </cell>
          <cell r="AG195">
            <v>8811</v>
          </cell>
          <cell r="AH195">
            <v>8811</v>
          </cell>
          <cell r="AI195">
            <v>0</v>
          </cell>
          <cell r="AJ195" t="str">
            <v>DA HET SAN XUAT</v>
          </cell>
        </row>
        <row r="196">
          <cell r="D196">
            <v>100006969</v>
          </cell>
          <cell r="E196">
            <v>0</v>
          </cell>
          <cell r="F196">
            <v>3293</v>
          </cell>
          <cell r="G196">
            <v>3293</v>
          </cell>
          <cell r="H196">
            <v>160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160</v>
          </cell>
          <cell r="O196">
            <v>30</v>
          </cell>
          <cell r="P196">
            <v>73</v>
          </cell>
          <cell r="Q196">
            <v>57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X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43163</v>
          </cell>
          <cell r="AG196">
            <v>3156</v>
          </cell>
          <cell r="AH196">
            <v>3156</v>
          </cell>
          <cell r="AI196">
            <v>0</v>
          </cell>
          <cell r="AJ196" t="str">
            <v>DA HET SAN XUAT</v>
          </cell>
        </row>
        <row r="197">
          <cell r="D197">
            <v>100020548</v>
          </cell>
          <cell r="E197">
            <v>0</v>
          </cell>
          <cell r="F197">
            <v>6352</v>
          </cell>
          <cell r="G197">
            <v>6352</v>
          </cell>
          <cell r="H197">
            <v>850</v>
          </cell>
          <cell r="I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850</v>
          </cell>
          <cell r="O197">
            <v>0</v>
          </cell>
          <cell r="P197">
            <v>436</v>
          </cell>
          <cell r="Q197">
            <v>414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X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43123</v>
          </cell>
          <cell r="AG197">
            <v>5410</v>
          </cell>
          <cell r="AH197">
            <v>5410</v>
          </cell>
          <cell r="AI197">
            <v>0</v>
          </cell>
          <cell r="AJ197" t="str">
            <v>DA HET SAN XUAT</v>
          </cell>
        </row>
        <row r="198">
          <cell r="D198">
            <v>77511</v>
          </cell>
          <cell r="E198">
            <v>0</v>
          </cell>
          <cell r="F198">
            <v>10287</v>
          </cell>
          <cell r="G198">
            <v>10287</v>
          </cell>
          <cell r="H198">
            <v>89</v>
          </cell>
          <cell r="I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89</v>
          </cell>
          <cell r="O198">
            <v>0</v>
          </cell>
          <cell r="P198">
            <v>0</v>
          </cell>
          <cell r="Q198">
            <v>89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X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42850</v>
          </cell>
          <cell r="AG198">
            <v>978</v>
          </cell>
          <cell r="AH198">
            <v>978</v>
          </cell>
          <cell r="AI198">
            <v>0</v>
          </cell>
          <cell r="AJ198" t="str">
            <v>DA HET SAN XUAT</v>
          </cell>
        </row>
        <row r="199">
          <cell r="D199" t="str">
            <v>KTP118131</v>
          </cell>
          <cell r="E199">
            <v>0</v>
          </cell>
          <cell r="F199">
            <v>13099</v>
          </cell>
          <cell r="G199">
            <v>13099</v>
          </cell>
          <cell r="H199">
            <v>619</v>
          </cell>
          <cell r="I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619</v>
          </cell>
          <cell r="O199">
            <v>0</v>
          </cell>
          <cell r="P199">
            <v>0</v>
          </cell>
          <cell r="Q199">
            <v>619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X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43164</v>
          </cell>
          <cell r="AG199">
            <v>8119</v>
          </cell>
          <cell r="AH199">
            <v>8185</v>
          </cell>
          <cell r="AI199">
            <v>66</v>
          </cell>
        </row>
        <row r="200">
          <cell r="D200" t="str">
            <v>KTP121661</v>
          </cell>
          <cell r="E200">
            <v>0</v>
          </cell>
          <cell r="F200">
            <v>13517</v>
          </cell>
          <cell r="G200">
            <v>13517</v>
          </cell>
          <cell r="H200">
            <v>278</v>
          </cell>
          <cell r="I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278</v>
          </cell>
          <cell r="O200">
            <v>0</v>
          </cell>
          <cell r="P200">
            <v>47</v>
          </cell>
          <cell r="Q200">
            <v>231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X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43165</v>
          </cell>
          <cell r="AG200">
            <v>11258</v>
          </cell>
          <cell r="AH200">
            <v>11452</v>
          </cell>
          <cell r="AI200">
            <v>194</v>
          </cell>
        </row>
        <row r="201">
          <cell r="D201">
            <v>100015354</v>
          </cell>
          <cell r="E201">
            <v>0</v>
          </cell>
          <cell r="F201">
            <v>9786</v>
          </cell>
          <cell r="G201">
            <v>9786</v>
          </cell>
          <cell r="H201">
            <v>207</v>
          </cell>
          <cell r="I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207</v>
          </cell>
          <cell r="O201">
            <v>0</v>
          </cell>
          <cell r="P201">
            <v>8</v>
          </cell>
          <cell r="Q201">
            <v>199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X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43169</v>
          </cell>
          <cell r="AG201">
            <v>8931</v>
          </cell>
          <cell r="AH201">
            <v>8931</v>
          </cell>
          <cell r="AI201">
            <v>0</v>
          </cell>
          <cell r="AJ201" t="str">
            <v>DA HET SAN XUAT</v>
          </cell>
        </row>
        <row r="202">
          <cell r="D202">
            <v>468248</v>
          </cell>
          <cell r="E202">
            <v>0</v>
          </cell>
          <cell r="F202">
            <v>10996</v>
          </cell>
          <cell r="G202">
            <v>10996</v>
          </cell>
          <cell r="H202">
            <v>823</v>
          </cell>
          <cell r="I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823</v>
          </cell>
          <cell r="O202">
            <v>593</v>
          </cell>
          <cell r="P202">
            <v>116</v>
          </cell>
          <cell r="Q202">
            <v>114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X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43175</v>
          </cell>
          <cell r="AG202">
            <v>9656</v>
          </cell>
          <cell r="AH202">
            <v>9782</v>
          </cell>
          <cell r="AI202">
            <v>126</v>
          </cell>
        </row>
        <row r="203">
          <cell r="D203">
            <v>100008608</v>
          </cell>
          <cell r="E203">
            <v>0</v>
          </cell>
          <cell r="F203">
            <v>0</v>
          </cell>
          <cell r="G203">
            <v>0</v>
          </cell>
          <cell r="H203">
            <v>77</v>
          </cell>
          <cell r="I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77</v>
          </cell>
          <cell r="O203">
            <v>0</v>
          </cell>
          <cell r="P203">
            <v>48</v>
          </cell>
          <cell r="Q203">
            <v>29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X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43125</v>
          </cell>
          <cell r="AG203">
            <v>2610</v>
          </cell>
          <cell r="AH203">
            <v>2610</v>
          </cell>
          <cell r="AI203">
            <v>0</v>
          </cell>
          <cell r="AJ203" t="str">
            <v>DA HET SAN XUAT</v>
          </cell>
        </row>
        <row r="204">
          <cell r="D204">
            <v>16661</v>
          </cell>
          <cell r="E204">
            <v>0</v>
          </cell>
          <cell r="F204">
            <v>2736</v>
          </cell>
          <cell r="G204">
            <v>2736</v>
          </cell>
          <cell r="H204">
            <v>46</v>
          </cell>
          <cell r="I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46</v>
          </cell>
          <cell r="O204">
            <v>0</v>
          </cell>
          <cell r="P204">
            <v>0</v>
          </cell>
          <cell r="Q204">
            <v>46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X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43163</v>
          </cell>
          <cell r="AG204">
            <v>1422</v>
          </cell>
          <cell r="AH204">
            <v>1422</v>
          </cell>
          <cell r="AI204">
            <v>0</v>
          </cell>
          <cell r="AJ204" t="str">
            <v>DA HET SAN XUAT</v>
          </cell>
        </row>
        <row r="205">
          <cell r="D205">
            <v>76733</v>
          </cell>
          <cell r="E205">
            <v>0</v>
          </cell>
          <cell r="F205">
            <v>1514</v>
          </cell>
          <cell r="G205">
            <v>1514</v>
          </cell>
          <cell r="H205">
            <v>150</v>
          </cell>
          <cell r="I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150</v>
          </cell>
          <cell r="O205">
            <v>0</v>
          </cell>
          <cell r="P205">
            <v>141</v>
          </cell>
          <cell r="Q205">
            <v>9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X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 t="str">
            <v>SKVN-1</v>
          </cell>
          <cell r="AG205">
            <v>27639</v>
          </cell>
          <cell r="AH205">
            <v>27639</v>
          </cell>
          <cell r="AI205">
            <v>0</v>
          </cell>
          <cell r="AJ205" t="str">
            <v>DA HET SAN XUAT</v>
          </cell>
        </row>
        <row r="206">
          <cell r="D206">
            <v>467914</v>
          </cell>
          <cell r="E206">
            <v>0</v>
          </cell>
          <cell r="F206">
            <v>5976</v>
          </cell>
          <cell r="G206">
            <v>5976</v>
          </cell>
          <cell r="H206">
            <v>175</v>
          </cell>
          <cell r="I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175</v>
          </cell>
          <cell r="O206">
            <v>0</v>
          </cell>
          <cell r="P206">
            <v>83</v>
          </cell>
          <cell r="Q206">
            <v>92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X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43171</v>
          </cell>
          <cell r="AG206">
            <v>4926</v>
          </cell>
          <cell r="AH206">
            <v>4990</v>
          </cell>
          <cell r="AI206">
            <v>64</v>
          </cell>
        </row>
        <row r="207">
          <cell r="D207">
            <v>468229</v>
          </cell>
          <cell r="E207">
            <v>0</v>
          </cell>
          <cell r="F207">
            <v>20315</v>
          </cell>
          <cell r="G207">
            <v>20315</v>
          </cell>
          <cell r="H207">
            <v>1131</v>
          </cell>
          <cell r="I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1131</v>
          </cell>
          <cell r="O207">
            <v>29</v>
          </cell>
          <cell r="P207">
            <v>521</v>
          </cell>
          <cell r="Q207">
            <v>581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X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43181</v>
          </cell>
          <cell r="AG207">
            <v>17950</v>
          </cell>
          <cell r="AH207">
            <v>17929</v>
          </cell>
          <cell r="AI207">
            <v>-21</v>
          </cell>
        </row>
        <row r="208">
          <cell r="D208">
            <v>468230</v>
          </cell>
          <cell r="E208">
            <v>0</v>
          </cell>
          <cell r="F208">
            <v>13350</v>
          </cell>
          <cell r="G208">
            <v>13350</v>
          </cell>
          <cell r="H208">
            <v>676</v>
          </cell>
          <cell r="I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676</v>
          </cell>
          <cell r="O208">
            <v>0</v>
          </cell>
          <cell r="P208">
            <v>208</v>
          </cell>
          <cell r="Q208">
            <v>468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X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43181</v>
          </cell>
          <cell r="AG208">
            <v>12100</v>
          </cell>
          <cell r="AH208">
            <v>12272</v>
          </cell>
          <cell r="AI208">
            <v>172</v>
          </cell>
        </row>
        <row r="209">
          <cell r="D209">
            <v>468249</v>
          </cell>
          <cell r="E209">
            <v>0</v>
          </cell>
          <cell r="F209">
            <v>12864</v>
          </cell>
          <cell r="G209">
            <v>12864</v>
          </cell>
          <cell r="H209">
            <v>452</v>
          </cell>
          <cell r="I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452</v>
          </cell>
          <cell r="O209">
            <v>0</v>
          </cell>
          <cell r="P209">
            <v>299</v>
          </cell>
          <cell r="Q209">
            <v>153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X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43167</v>
          </cell>
          <cell r="AG209">
            <v>12802</v>
          </cell>
          <cell r="AH209">
            <v>12017</v>
          </cell>
          <cell r="AI209">
            <v>-785</v>
          </cell>
        </row>
        <row r="210">
          <cell r="D210">
            <v>100013593</v>
          </cell>
          <cell r="E210">
            <v>0</v>
          </cell>
          <cell r="F210">
            <v>1062</v>
          </cell>
          <cell r="G210">
            <v>1062</v>
          </cell>
          <cell r="H210">
            <v>141</v>
          </cell>
          <cell r="I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141</v>
          </cell>
          <cell r="O210">
            <v>0</v>
          </cell>
          <cell r="P210">
            <v>67</v>
          </cell>
          <cell r="Q210">
            <v>74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X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43167</v>
          </cell>
          <cell r="AG210">
            <v>920</v>
          </cell>
          <cell r="AH210">
            <v>920</v>
          </cell>
          <cell r="AI210">
            <v>0</v>
          </cell>
          <cell r="AJ210" t="str">
            <v>DA HET SAN XUAT</v>
          </cell>
        </row>
        <row r="211">
          <cell r="D211">
            <v>100014855</v>
          </cell>
          <cell r="E211">
            <v>0</v>
          </cell>
          <cell r="F211">
            <v>2098</v>
          </cell>
          <cell r="G211">
            <v>2098</v>
          </cell>
          <cell r="H211">
            <v>112</v>
          </cell>
          <cell r="I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112</v>
          </cell>
          <cell r="O211">
            <v>0</v>
          </cell>
          <cell r="P211">
            <v>37</v>
          </cell>
          <cell r="Q211">
            <v>75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X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43169</v>
          </cell>
          <cell r="AG211">
            <v>1347</v>
          </cell>
          <cell r="AH211">
            <v>1347</v>
          </cell>
          <cell r="AI211">
            <v>0</v>
          </cell>
          <cell r="AJ211" t="str">
            <v>DA HET SAN XUAT</v>
          </cell>
        </row>
        <row r="212">
          <cell r="D212">
            <v>100015130</v>
          </cell>
          <cell r="E212">
            <v>0</v>
          </cell>
          <cell r="F212">
            <v>2720</v>
          </cell>
          <cell r="G212">
            <v>2720</v>
          </cell>
          <cell r="H212">
            <v>193</v>
          </cell>
          <cell r="I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193</v>
          </cell>
          <cell r="O212">
            <v>0</v>
          </cell>
          <cell r="P212">
            <v>70</v>
          </cell>
          <cell r="Q212">
            <v>123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X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43167</v>
          </cell>
          <cell r="AG212">
            <v>1278</v>
          </cell>
          <cell r="AH212">
            <v>1278</v>
          </cell>
          <cell r="AI212">
            <v>0</v>
          </cell>
          <cell r="AJ212" t="str">
            <v>DA HET SAN XUAT</v>
          </cell>
        </row>
        <row r="213">
          <cell r="D213">
            <v>100015136</v>
          </cell>
          <cell r="E213">
            <v>0</v>
          </cell>
          <cell r="F213">
            <v>5365</v>
          </cell>
          <cell r="G213">
            <v>5365</v>
          </cell>
          <cell r="H213">
            <v>33</v>
          </cell>
          <cell r="I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33</v>
          </cell>
          <cell r="O213">
            <v>0</v>
          </cell>
          <cell r="P213">
            <v>0</v>
          </cell>
          <cell r="Q213">
            <v>33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X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43165</v>
          </cell>
          <cell r="AG213">
            <v>4062</v>
          </cell>
          <cell r="AH213">
            <v>3966</v>
          </cell>
          <cell r="AI213">
            <v>-96</v>
          </cell>
        </row>
        <row r="214">
          <cell r="D214">
            <v>100015145</v>
          </cell>
          <cell r="E214">
            <v>0</v>
          </cell>
          <cell r="F214">
            <v>3576</v>
          </cell>
          <cell r="G214">
            <v>3576</v>
          </cell>
          <cell r="H214">
            <v>70</v>
          </cell>
          <cell r="I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70</v>
          </cell>
          <cell r="O214">
            <v>0</v>
          </cell>
          <cell r="P214">
            <v>34</v>
          </cell>
          <cell r="Q214">
            <v>36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X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43167</v>
          </cell>
          <cell r="AG214">
            <v>3408</v>
          </cell>
          <cell r="AH214">
            <v>3408</v>
          </cell>
          <cell r="AI214">
            <v>0</v>
          </cell>
          <cell r="AJ214" t="str">
            <v>DA HET SAN XUAT</v>
          </cell>
        </row>
        <row r="215">
          <cell r="D215">
            <v>100015153</v>
          </cell>
          <cell r="E215">
            <v>0</v>
          </cell>
          <cell r="F215">
            <v>10064</v>
          </cell>
          <cell r="G215">
            <v>10064</v>
          </cell>
          <cell r="H215">
            <v>383</v>
          </cell>
          <cell r="I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383</v>
          </cell>
          <cell r="O215">
            <v>0</v>
          </cell>
          <cell r="P215">
            <v>347</v>
          </cell>
          <cell r="Q215">
            <v>36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X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43169</v>
          </cell>
          <cell r="AG215">
            <v>1836</v>
          </cell>
          <cell r="AH215">
            <v>1836</v>
          </cell>
          <cell r="AI215">
            <v>0</v>
          </cell>
          <cell r="AJ215" t="str">
            <v>DA HET SAN XUAT</v>
          </cell>
        </row>
        <row r="216">
          <cell r="D216">
            <v>100015224</v>
          </cell>
          <cell r="E216">
            <v>0</v>
          </cell>
          <cell r="F216">
            <v>8638</v>
          </cell>
          <cell r="G216">
            <v>8638</v>
          </cell>
          <cell r="H216">
            <v>44</v>
          </cell>
          <cell r="I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44</v>
          </cell>
          <cell r="O216">
            <v>0</v>
          </cell>
          <cell r="P216">
            <v>0</v>
          </cell>
          <cell r="Q216">
            <v>44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X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43167</v>
          </cell>
          <cell r="AG216">
            <v>3483</v>
          </cell>
          <cell r="AH216">
            <v>3483</v>
          </cell>
          <cell r="AI216">
            <v>0</v>
          </cell>
          <cell r="AJ216" t="str">
            <v>DA HET SAN XUAT</v>
          </cell>
        </row>
        <row r="217">
          <cell r="D217">
            <v>100015225</v>
          </cell>
          <cell r="E217">
            <v>0</v>
          </cell>
          <cell r="F217">
            <v>3687</v>
          </cell>
          <cell r="G217">
            <v>3687</v>
          </cell>
          <cell r="H217">
            <v>56</v>
          </cell>
          <cell r="I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56</v>
          </cell>
          <cell r="O217">
            <v>4</v>
          </cell>
          <cell r="P217">
            <v>34</v>
          </cell>
          <cell r="Q217">
            <v>18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X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43164</v>
          </cell>
          <cell r="AG217">
            <v>3471</v>
          </cell>
          <cell r="AH217">
            <v>3471</v>
          </cell>
          <cell r="AI217">
            <v>0</v>
          </cell>
          <cell r="AJ217" t="str">
            <v>DA HET SAN XUAT</v>
          </cell>
        </row>
        <row r="218">
          <cell r="D218">
            <v>100015357</v>
          </cell>
          <cell r="E218">
            <v>0</v>
          </cell>
          <cell r="F218">
            <v>13183</v>
          </cell>
          <cell r="G218">
            <v>13183</v>
          </cell>
          <cell r="H218">
            <v>44</v>
          </cell>
          <cell r="I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44</v>
          </cell>
          <cell r="O218">
            <v>0</v>
          </cell>
          <cell r="P218">
            <v>0</v>
          </cell>
          <cell r="Q218">
            <v>44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X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43164</v>
          </cell>
          <cell r="AG218">
            <v>6960</v>
          </cell>
          <cell r="AH218">
            <v>6960</v>
          </cell>
          <cell r="AI218">
            <v>0</v>
          </cell>
          <cell r="AJ218" t="str">
            <v>DA HET SAN XUAT</v>
          </cell>
        </row>
        <row r="219">
          <cell r="D219">
            <v>100022985</v>
          </cell>
          <cell r="E219">
            <v>0</v>
          </cell>
          <cell r="F219">
            <v>4854</v>
          </cell>
          <cell r="G219">
            <v>4854</v>
          </cell>
          <cell r="H219">
            <v>42</v>
          </cell>
          <cell r="I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42</v>
          </cell>
          <cell r="O219">
            <v>0</v>
          </cell>
          <cell r="P219">
            <v>0</v>
          </cell>
          <cell r="Q219">
            <v>42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X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43163</v>
          </cell>
          <cell r="AG219">
            <v>4629</v>
          </cell>
          <cell r="AH219">
            <v>4629</v>
          </cell>
          <cell r="AI219">
            <v>0</v>
          </cell>
          <cell r="AJ219" t="str">
            <v>DA HET SAN XUAT</v>
          </cell>
        </row>
        <row r="220">
          <cell r="D220">
            <v>100024114</v>
          </cell>
          <cell r="E220">
            <v>0</v>
          </cell>
          <cell r="F220">
            <v>1521</v>
          </cell>
          <cell r="G220">
            <v>1521</v>
          </cell>
          <cell r="H220">
            <v>26</v>
          </cell>
          <cell r="I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26</v>
          </cell>
          <cell r="O220">
            <v>0</v>
          </cell>
          <cell r="P220">
            <v>0</v>
          </cell>
          <cell r="Q220">
            <v>26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X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43163</v>
          </cell>
          <cell r="AG220">
            <v>1479</v>
          </cell>
          <cell r="AH220">
            <v>1479</v>
          </cell>
          <cell r="AI220">
            <v>0</v>
          </cell>
          <cell r="AJ220" t="str">
            <v>DA HET SAN XUAT</v>
          </cell>
        </row>
        <row r="221">
          <cell r="D221">
            <v>100021859</v>
          </cell>
          <cell r="E221">
            <v>0</v>
          </cell>
          <cell r="F221">
            <v>3297</v>
          </cell>
          <cell r="G221">
            <v>3297</v>
          </cell>
          <cell r="H221">
            <v>174</v>
          </cell>
          <cell r="I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174</v>
          </cell>
          <cell r="O221">
            <v>0</v>
          </cell>
          <cell r="P221">
            <v>0</v>
          </cell>
          <cell r="Q221">
            <v>174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X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43163</v>
          </cell>
          <cell r="AG221">
            <v>1095</v>
          </cell>
          <cell r="AH221">
            <v>1095</v>
          </cell>
          <cell r="AI221">
            <v>0</v>
          </cell>
          <cell r="AJ221" t="str">
            <v>DA HET SAN XUAT</v>
          </cell>
        </row>
        <row r="222">
          <cell r="D222">
            <v>182034355</v>
          </cell>
          <cell r="E222">
            <v>0</v>
          </cell>
          <cell r="F222">
            <v>3182</v>
          </cell>
          <cell r="G222">
            <v>3182</v>
          </cell>
          <cell r="H222">
            <v>83</v>
          </cell>
          <cell r="I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83</v>
          </cell>
          <cell r="O222">
            <v>0</v>
          </cell>
          <cell r="P222">
            <v>11</v>
          </cell>
          <cell r="Q222">
            <v>72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X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43189</v>
          </cell>
          <cell r="AG222">
            <v>2062</v>
          </cell>
          <cell r="AH222">
            <v>2062</v>
          </cell>
          <cell r="AI222">
            <v>0</v>
          </cell>
          <cell r="AJ222" t="str">
            <v>DA HET SAN XUAT</v>
          </cell>
        </row>
        <row r="223">
          <cell r="D223">
            <v>182034365</v>
          </cell>
          <cell r="E223">
            <v>0</v>
          </cell>
          <cell r="F223">
            <v>11189</v>
          </cell>
          <cell r="G223">
            <v>11189</v>
          </cell>
          <cell r="H223">
            <v>675</v>
          </cell>
          <cell r="I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675</v>
          </cell>
          <cell r="O223">
            <v>9</v>
          </cell>
          <cell r="P223">
            <v>194</v>
          </cell>
          <cell r="Q223">
            <v>472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X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43182</v>
          </cell>
          <cell r="AG223">
            <v>5064</v>
          </cell>
          <cell r="AH223">
            <v>5064</v>
          </cell>
          <cell r="AI223">
            <v>0</v>
          </cell>
          <cell r="AJ223" t="str">
            <v>DA HET SAN XUAT</v>
          </cell>
        </row>
        <row r="224">
          <cell r="D224">
            <v>463036</v>
          </cell>
          <cell r="E224">
            <v>0</v>
          </cell>
          <cell r="F224">
            <v>3824</v>
          </cell>
          <cell r="G224">
            <v>3824</v>
          </cell>
          <cell r="H224">
            <v>430</v>
          </cell>
          <cell r="I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430</v>
          </cell>
          <cell r="O224">
            <v>31</v>
          </cell>
          <cell r="P224">
            <v>172</v>
          </cell>
          <cell r="Q224">
            <v>227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X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43181</v>
          </cell>
          <cell r="AG224">
            <v>3500</v>
          </cell>
          <cell r="AH224">
            <v>3373</v>
          </cell>
          <cell r="AI224">
            <v>-127</v>
          </cell>
        </row>
        <row r="225">
          <cell r="D225">
            <v>468543</v>
          </cell>
          <cell r="E225">
            <v>0</v>
          </cell>
          <cell r="F225">
            <v>9520</v>
          </cell>
          <cell r="G225">
            <v>9520</v>
          </cell>
          <cell r="H225">
            <v>839</v>
          </cell>
          <cell r="I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839</v>
          </cell>
          <cell r="O225">
            <v>120</v>
          </cell>
          <cell r="P225">
            <v>503</v>
          </cell>
          <cell r="Q225">
            <v>216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X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43181</v>
          </cell>
          <cell r="AG225">
            <v>7806</v>
          </cell>
          <cell r="AH225">
            <v>7667</v>
          </cell>
          <cell r="AI225">
            <v>-139</v>
          </cell>
        </row>
        <row r="226">
          <cell r="D226">
            <v>76203</v>
          </cell>
          <cell r="E226">
            <v>0</v>
          </cell>
          <cell r="F226">
            <v>615</v>
          </cell>
          <cell r="G226">
            <v>615</v>
          </cell>
          <cell r="H226">
            <v>22</v>
          </cell>
          <cell r="I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22</v>
          </cell>
          <cell r="O226">
            <v>0</v>
          </cell>
          <cell r="P226">
            <v>0</v>
          </cell>
          <cell r="Q226">
            <v>22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X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43193</v>
          </cell>
          <cell r="AG226">
            <v>585</v>
          </cell>
          <cell r="AH226">
            <v>585</v>
          </cell>
          <cell r="AI226">
            <v>0</v>
          </cell>
          <cell r="AJ226" t="str">
            <v>DA HET SAN XUAT</v>
          </cell>
        </row>
        <row r="227">
          <cell r="D227">
            <v>457309</v>
          </cell>
          <cell r="E227">
            <v>0</v>
          </cell>
          <cell r="F227">
            <v>36158</v>
          </cell>
          <cell r="G227">
            <v>36158</v>
          </cell>
          <cell r="H227">
            <v>9206</v>
          </cell>
          <cell r="I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9206</v>
          </cell>
          <cell r="O227">
            <v>0</v>
          </cell>
          <cell r="P227">
            <v>5210</v>
          </cell>
          <cell r="Q227">
            <v>3996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X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43181</v>
          </cell>
          <cell r="AG227">
            <v>22180</v>
          </cell>
          <cell r="AH227">
            <v>21428</v>
          </cell>
          <cell r="AI227">
            <v>-752</v>
          </cell>
        </row>
        <row r="228">
          <cell r="D228">
            <v>462511</v>
          </cell>
          <cell r="E228">
            <v>0</v>
          </cell>
          <cell r="F228">
            <v>14294</v>
          </cell>
          <cell r="G228">
            <v>14294</v>
          </cell>
          <cell r="H228">
            <v>1052</v>
          </cell>
          <cell r="I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1052</v>
          </cell>
          <cell r="O228">
            <v>312</v>
          </cell>
          <cell r="P228">
            <v>434</v>
          </cell>
          <cell r="Q228">
            <v>306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X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43181</v>
          </cell>
          <cell r="AG228">
            <v>12167</v>
          </cell>
          <cell r="AH228">
            <v>12167</v>
          </cell>
          <cell r="AI228">
            <v>0</v>
          </cell>
          <cell r="AJ228" t="str">
            <v>DA HET SAN XUAT</v>
          </cell>
        </row>
        <row r="229">
          <cell r="D229">
            <v>462516</v>
          </cell>
          <cell r="E229">
            <v>0</v>
          </cell>
          <cell r="F229">
            <v>33496</v>
          </cell>
          <cell r="G229">
            <v>33496</v>
          </cell>
          <cell r="H229">
            <v>1058</v>
          </cell>
          <cell r="I229">
            <v>0</v>
          </cell>
          <cell r="K229">
            <v>2</v>
          </cell>
          <cell r="L229">
            <v>0</v>
          </cell>
          <cell r="M229">
            <v>0</v>
          </cell>
          <cell r="N229">
            <v>1056</v>
          </cell>
          <cell r="O229">
            <v>0</v>
          </cell>
          <cell r="P229">
            <v>415</v>
          </cell>
          <cell r="Q229">
            <v>641</v>
          </cell>
          <cell r="R229">
            <v>0</v>
          </cell>
          <cell r="S229">
            <v>771</v>
          </cell>
          <cell r="T229">
            <v>773</v>
          </cell>
          <cell r="U229">
            <v>2</v>
          </cell>
          <cell r="X229">
            <v>0</v>
          </cell>
          <cell r="Z229">
            <v>2</v>
          </cell>
          <cell r="AA229">
            <v>0</v>
          </cell>
          <cell r="AB229">
            <v>2</v>
          </cell>
          <cell r="AC229">
            <v>0</v>
          </cell>
          <cell r="AD229">
            <v>771</v>
          </cell>
          <cell r="AE229">
            <v>771</v>
          </cell>
          <cell r="AF229">
            <v>43202</v>
          </cell>
          <cell r="AG229">
            <v>30622</v>
          </cell>
          <cell r="AH229">
            <v>30622</v>
          </cell>
          <cell r="AI229">
            <v>0</v>
          </cell>
          <cell r="AJ229" t="str">
            <v>DA HET SAN XUAT</v>
          </cell>
        </row>
        <row r="230">
          <cell r="D230">
            <v>464101</v>
          </cell>
          <cell r="E230">
            <v>0</v>
          </cell>
          <cell r="F230">
            <v>14069</v>
          </cell>
          <cell r="G230">
            <v>14069</v>
          </cell>
          <cell r="H230">
            <v>1167</v>
          </cell>
          <cell r="I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1167</v>
          </cell>
          <cell r="O230">
            <v>87</v>
          </cell>
          <cell r="P230">
            <v>320</v>
          </cell>
          <cell r="Q230">
            <v>760</v>
          </cell>
          <cell r="R230">
            <v>0</v>
          </cell>
          <cell r="S230">
            <v>147</v>
          </cell>
          <cell r="T230">
            <v>147</v>
          </cell>
          <cell r="U230">
            <v>0</v>
          </cell>
          <cell r="X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147</v>
          </cell>
          <cell r="AE230">
            <v>147</v>
          </cell>
          <cell r="AF230">
            <v>43186</v>
          </cell>
          <cell r="AG230">
            <v>9184</v>
          </cell>
          <cell r="AH230">
            <v>9184</v>
          </cell>
          <cell r="AI230">
            <v>0</v>
          </cell>
          <cell r="AJ230" t="str">
            <v>DA HET SAN XUAT</v>
          </cell>
        </row>
        <row r="231">
          <cell r="D231">
            <v>469135</v>
          </cell>
          <cell r="E231">
            <v>0</v>
          </cell>
          <cell r="F231">
            <v>4767</v>
          </cell>
          <cell r="G231">
            <v>4767</v>
          </cell>
          <cell r="H231">
            <v>303</v>
          </cell>
          <cell r="I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303</v>
          </cell>
          <cell r="O231">
            <v>0</v>
          </cell>
          <cell r="P231">
            <v>189</v>
          </cell>
          <cell r="Q231">
            <v>114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X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43202</v>
          </cell>
          <cell r="AG231">
            <v>3749</v>
          </cell>
          <cell r="AH231">
            <v>3749</v>
          </cell>
          <cell r="AI231">
            <v>0</v>
          </cell>
          <cell r="AJ231" t="str">
            <v>DA HET SAN XUAT</v>
          </cell>
        </row>
        <row r="232">
          <cell r="D232">
            <v>469615</v>
          </cell>
          <cell r="E232">
            <v>0</v>
          </cell>
          <cell r="F232">
            <v>13917</v>
          </cell>
          <cell r="G232">
            <v>13917</v>
          </cell>
          <cell r="H232">
            <v>497</v>
          </cell>
          <cell r="I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497</v>
          </cell>
          <cell r="O232">
            <v>0</v>
          </cell>
          <cell r="P232">
            <v>44</v>
          </cell>
          <cell r="Q232">
            <v>453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X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43180</v>
          </cell>
          <cell r="AG232">
            <v>12582</v>
          </cell>
          <cell r="AH232">
            <v>12582</v>
          </cell>
          <cell r="AI232">
            <v>0</v>
          </cell>
          <cell r="AJ232" t="str">
            <v>DA HET SAN XUAT</v>
          </cell>
        </row>
        <row r="233">
          <cell r="D233">
            <v>471355</v>
          </cell>
          <cell r="E233">
            <v>0</v>
          </cell>
          <cell r="F233">
            <v>11358</v>
          </cell>
          <cell r="G233">
            <v>11358</v>
          </cell>
          <cell r="H233">
            <v>340</v>
          </cell>
          <cell r="I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340</v>
          </cell>
          <cell r="O233">
            <v>0</v>
          </cell>
          <cell r="P233">
            <v>0</v>
          </cell>
          <cell r="Q233">
            <v>340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X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43202</v>
          </cell>
          <cell r="AG233">
            <v>10869</v>
          </cell>
          <cell r="AH233">
            <v>10869</v>
          </cell>
          <cell r="AI233">
            <v>0</v>
          </cell>
          <cell r="AJ233" t="str">
            <v>DA HET SAN XUAT</v>
          </cell>
        </row>
        <row r="234">
          <cell r="D234">
            <v>100014860</v>
          </cell>
          <cell r="E234">
            <v>0</v>
          </cell>
          <cell r="F234">
            <v>2024</v>
          </cell>
          <cell r="G234">
            <v>2024</v>
          </cell>
          <cell r="H234">
            <v>21</v>
          </cell>
          <cell r="I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21</v>
          </cell>
          <cell r="O234">
            <v>0</v>
          </cell>
          <cell r="P234">
            <v>0</v>
          </cell>
          <cell r="Q234">
            <v>21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X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43169</v>
          </cell>
          <cell r="AG234">
            <v>1230</v>
          </cell>
          <cell r="AH234">
            <v>1230</v>
          </cell>
          <cell r="AI234">
            <v>0</v>
          </cell>
          <cell r="AJ234" t="str">
            <v>DA HET SAN XUAT</v>
          </cell>
        </row>
        <row r="235">
          <cell r="D235">
            <v>100014861</v>
          </cell>
          <cell r="E235">
            <v>0</v>
          </cell>
          <cell r="F235">
            <v>3242</v>
          </cell>
          <cell r="G235">
            <v>3242</v>
          </cell>
          <cell r="H235">
            <v>6</v>
          </cell>
          <cell r="I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6</v>
          </cell>
          <cell r="O235">
            <v>0</v>
          </cell>
          <cell r="P235">
            <v>0</v>
          </cell>
          <cell r="Q235">
            <v>6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X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G235">
            <v>0</v>
          </cell>
          <cell r="AH235">
            <v>0</v>
          </cell>
          <cell r="AI235">
            <v>0</v>
          </cell>
          <cell r="AJ235" t="str">
            <v>DA HET SAN XUAT</v>
          </cell>
        </row>
        <row r="236">
          <cell r="D236">
            <v>100014862</v>
          </cell>
          <cell r="E236">
            <v>0</v>
          </cell>
          <cell r="F236">
            <v>4822</v>
          </cell>
          <cell r="G236">
            <v>4822</v>
          </cell>
          <cell r="H236">
            <v>54</v>
          </cell>
          <cell r="I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54</v>
          </cell>
          <cell r="O236">
            <v>0</v>
          </cell>
          <cell r="P236">
            <v>0</v>
          </cell>
          <cell r="Q236">
            <v>54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X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43193</v>
          </cell>
          <cell r="AG236">
            <v>2541</v>
          </cell>
          <cell r="AH236">
            <v>2445</v>
          </cell>
          <cell r="AI236">
            <v>-96</v>
          </cell>
        </row>
        <row r="237">
          <cell r="D237">
            <v>100014863</v>
          </cell>
          <cell r="E237">
            <v>0</v>
          </cell>
          <cell r="F237">
            <v>9776</v>
          </cell>
          <cell r="G237">
            <v>9776</v>
          </cell>
          <cell r="H237">
            <v>1656</v>
          </cell>
          <cell r="I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1656</v>
          </cell>
          <cell r="O237">
            <v>0</v>
          </cell>
          <cell r="P237">
            <v>360</v>
          </cell>
          <cell r="Q237">
            <v>1296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X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43193</v>
          </cell>
          <cell r="AG237">
            <v>4554</v>
          </cell>
          <cell r="AH237">
            <v>4554</v>
          </cell>
          <cell r="AI237">
            <v>0</v>
          </cell>
          <cell r="AJ237" t="str">
            <v>DA HET SAN XUAT</v>
          </cell>
        </row>
        <row r="238">
          <cell r="D238">
            <v>100014864</v>
          </cell>
          <cell r="E238">
            <v>0</v>
          </cell>
          <cell r="F238">
            <v>6671</v>
          </cell>
          <cell r="G238">
            <v>6671</v>
          </cell>
          <cell r="H238">
            <v>44</v>
          </cell>
          <cell r="I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44</v>
          </cell>
          <cell r="O238">
            <v>0</v>
          </cell>
          <cell r="P238">
            <v>0</v>
          </cell>
          <cell r="Q238">
            <v>44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X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43193</v>
          </cell>
          <cell r="AG238">
            <v>6525</v>
          </cell>
          <cell r="AH238">
            <v>6480</v>
          </cell>
          <cell r="AI238">
            <v>-45</v>
          </cell>
        </row>
        <row r="239">
          <cell r="D239">
            <v>100014869</v>
          </cell>
          <cell r="E239">
            <v>0</v>
          </cell>
          <cell r="F239">
            <v>2665</v>
          </cell>
          <cell r="G239">
            <v>2665</v>
          </cell>
          <cell r="H239">
            <v>42</v>
          </cell>
          <cell r="I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42</v>
          </cell>
          <cell r="O239">
            <v>0</v>
          </cell>
          <cell r="P239">
            <v>24</v>
          </cell>
          <cell r="Q239">
            <v>18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X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43193</v>
          </cell>
          <cell r="AG239">
            <v>2619</v>
          </cell>
          <cell r="AH239">
            <v>2619</v>
          </cell>
          <cell r="AI239">
            <v>0</v>
          </cell>
          <cell r="AJ239" t="str">
            <v>DA HET SAN XUAT</v>
          </cell>
        </row>
        <row r="240">
          <cell r="D240">
            <v>100015148</v>
          </cell>
          <cell r="E240">
            <v>0</v>
          </cell>
          <cell r="F240">
            <v>6006</v>
          </cell>
          <cell r="G240">
            <v>6006</v>
          </cell>
          <cell r="H240">
            <v>53</v>
          </cell>
          <cell r="I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53</v>
          </cell>
          <cell r="O240">
            <v>0</v>
          </cell>
          <cell r="P240">
            <v>0</v>
          </cell>
          <cell r="Q240">
            <v>53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X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43169</v>
          </cell>
          <cell r="AG240">
            <v>4257</v>
          </cell>
          <cell r="AH240">
            <v>4209</v>
          </cell>
          <cell r="AI240">
            <v>-48</v>
          </cell>
        </row>
        <row r="241">
          <cell r="D241">
            <v>100015173</v>
          </cell>
          <cell r="E241">
            <v>0</v>
          </cell>
          <cell r="F241">
            <v>1988</v>
          </cell>
          <cell r="G241">
            <v>1988</v>
          </cell>
          <cell r="H241">
            <v>18</v>
          </cell>
          <cell r="I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18</v>
          </cell>
          <cell r="O241">
            <v>0</v>
          </cell>
          <cell r="P241">
            <v>0</v>
          </cell>
          <cell r="Q241">
            <v>18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X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43187</v>
          </cell>
          <cell r="AG241">
            <v>1088</v>
          </cell>
          <cell r="AH241">
            <v>1016</v>
          </cell>
          <cell r="AI241">
            <v>-72</v>
          </cell>
        </row>
        <row r="242">
          <cell r="D242">
            <v>100015180</v>
          </cell>
          <cell r="E242">
            <v>0</v>
          </cell>
          <cell r="F242">
            <v>1294</v>
          </cell>
          <cell r="G242">
            <v>1294</v>
          </cell>
          <cell r="H242">
            <v>25</v>
          </cell>
          <cell r="I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25</v>
          </cell>
          <cell r="O242">
            <v>0</v>
          </cell>
          <cell r="P242">
            <v>9</v>
          </cell>
          <cell r="Q242">
            <v>16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X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43187</v>
          </cell>
          <cell r="AG242">
            <v>1244</v>
          </cell>
          <cell r="AH242">
            <v>1244</v>
          </cell>
          <cell r="AI242">
            <v>0</v>
          </cell>
          <cell r="AJ242" t="str">
            <v>DA HET SAN XUAT</v>
          </cell>
        </row>
        <row r="243">
          <cell r="D243">
            <v>100015249</v>
          </cell>
          <cell r="E243">
            <v>0</v>
          </cell>
          <cell r="F243">
            <v>10009</v>
          </cell>
          <cell r="G243">
            <v>10009</v>
          </cell>
          <cell r="H243">
            <v>62</v>
          </cell>
          <cell r="I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62</v>
          </cell>
          <cell r="O243">
            <v>0</v>
          </cell>
          <cell r="P243">
            <v>22</v>
          </cell>
          <cell r="Q243">
            <v>40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X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43197</v>
          </cell>
          <cell r="AG243">
            <v>6531</v>
          </cell>
          <cell r="AH243">
            <v>6531</v>
          </cell>
          <cell r="AI243">
            <v>0</v>
          </cell>
          <cell r="AJ243" t="str">
            <v>DA HET SAN XUAT</v>
          </cell>
        </row>
        <row r="244">
          <cell r="D244">
            <v>100015301</v>
          </cell>
          <cell r="E244">
            <v>0</v>
          </cell>
          <cell r="F244">
            <v>13343</v>
          </cell>
          <cell r="G244">
            <v>13343</v>
          </cell>
          <cell r="H244">
            <v>443</v>
          </cell>
          <cell r="I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443</v>
          </cell>
          <cell r="O244">
            <v>0</v>
          </cell>
          <cell r="P244">
            <v>0</v>
          </cell>
          <cell r="Q244">
            <v>443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X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43193</v>
          </cell>
          <cell r="AG244">
            <v>6435</v>
          </cell>
          <cell r="AH244">
            <v>6435</v>
          </cell>
          <cell r="AI244">
            <v>0</v>
          </cell>
          <cell r="AJ244" t="str">
            <v>DA HET SAN XUAT</v>
          </cell>
        </row>
        <row r="245">
          <cell r="D245">
            <v>100015303</v>
          </cell>
          <cell r="E245">
            <v>0</v>
          </cell>
          <cell r="F245">
            <v>13289</v>
          </cell>
          <cell r="G245">
            <v>13289</v>
          </cell>
          <cell r="H245">
            <v>189</v>
          </cell>
          <cell r="I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189</v>
          </cell>
          <cell r="O245">
            <v>0</v>
          </cell>
          <cell r="P245">
            <v>0</v>
          </cell>
          <cell r="Q245">
            <v>189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X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43193</v>
          </cell>
          <cell r="AG245">
            <v>6684</v>
          </cell>
          <cell r="AH245">
            <v>6684</v>
          </cell>
          <cell r="AI245">
            <v>0</v>
          </cell>
          <cell r="AJ245" t="str">
            <v>DA HET SAN XUAT</v>
          </cell>
        </row>
        <row r="246">
          <cell r="D246">
            <v>100015304</v>
          </cell>
          <cell r="E246">
            <v>0</v>
          </cell>
          <cell r="F246">
            <v>6756</v>
          </cell>
          <cell r="G246">
            <v>6756</v>
          </cell>
          <cell r="H246">
            <v>120</v>
          </cell>
          <cell r="I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120</v>
          </cell>
          <cell r="O246">
            <v>17</v>
          </cell>
          <cell r="P246">
            <v>80</v>
          </cell>
          <cell r="Q246">
            <v>23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X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43193</v>
          </cell>
          <cell r="AG246">
            <v>6534</v>
          </cell>
          <cell r="AH246">
            <v>6534</v>
          </cell>
          <cell r="AI246">
            <v>0</v>
          </cell>
          <cell r="AJ246" t="str">
            <v>DA HET SAN XUAT</v>
          </cell>
        </row>
        <row r="247">
          <cell r="D247">
            <v>100015356</v>
          </cell>
          <cell r="E247">
            <v>0</v>
          </cell>
          <cell r="F247">
            <v>3285</v>
          </cell>
          <cell r="G247">
            <v>3285</v>
          </cell>
          <cell r="H247">
            <v>53</v>
          </cell>
          <cell r="I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53</v>
          </cell>
          <cell r="O247">
            <v>0</v>
          </cell>
          <cell r="P247">
            <v>37</v>
          </cell>
          <cell r="Q247">
            <v>16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X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43197</v>
          </cell>
          <cell r="AG247">
            <v>2202</v>
          </cell>
          <cell r="AH247">
            <v>2202</v>
          </cell>
          <cell r="AI247">
            <v>0</v>
          </cell>
          <cell r="AJ247" t="str">
            <v>DA HET SAN XUAT</v>
          </cell>
        </row>
        <row r="248">
          <cell r="D248">
            <v>100015404</v>
          </cell>
          <cell r="E248">
            <v>0</v>
          </cell>
          <cell r="F248">
            <v>3422</v>
          </cell>
          <cell r="G248">
            <v>3422</v>
          </cell>
          <cell r="H248">
            <v>166</v>
          </cell>
          <cell r="I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166</v>
          </cell>
          <cell r="O248">
            <v>0</v>
          </cell>
          <cell r="P248">
            <v>105</v>
          </cell>
          <cell r="Q248">
            <v>61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X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43197</v>
          </cell>
          <cell r="AG248">
            <v>3315</v>
          </cell>
          <cell r="AH248">
            <v>3252</v>
          </cell>
          <cell r="AI248">
            <v>-63</v>
          </cell>
        </row>
        <row r="249">
          <cell r="D249">
            <v>100015437</v>
          </cell>
          <cell r="E249">
            <v>0</v>
          </cell>
          <cell r="F249">
            <v>1736</v>
          </cell>
          <cell r="G249">
            <v>1736</v>
          </cell>
          <cell r="H249">
            <v>37</v>
          </cell>
          <cell r="I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37</v>
          </cell>
          <cell r="O249">
            <v>24</v>
          </cell>
          <cell r="P249">
            <v>0</v>
          </cell>
          <cell r="Q249">
            <v>13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X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43167</v>
          </cell>
          <cell r="AG249">
            <v>1656</v>
          </cell>
          <cell r="AH249">
            <v>1656</v>
          </cell>
          <cell r="AI249">
            <v>0</v>
          </cell>
          <cell r="AJ249" t="str">
            <v>DA HET SAN XUAT</v>
          </cell>
        </row>
        <row r="250">
          <cell r="D250">
            <v>100016367</v>
          </cell>
          <cell r="E250">
            <v>0</v>
          </cell>
          <cell r="F250">
            <v>7470</v>
          </cell>
          <cell r="G250">
            <v>7470</v>
          </cell>
          <cell r="H250">
            <v>142</v>
          </cell>
          <cell r="I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142</v>
          </cell>
          <cell r="O250">
            <v>0</v>
          </cell>
          <cell r="P250">
            <v>29</v>
          </cell>
          <cell r="Q250">
            <v>113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X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43197</v>
          </cell>
          <cell r="AG250">
            <v>4455</v>
          </cell>
          <cell r="AH250">
            <v>4455</v>
          </cell>
          <cell r="AI250">
            <v>0</v>
          </cell>
          <cell r="AJ250" t="str">
            <v>DA HET SAN XUAT</v>
          </cell>
        </row>
        <row r="251">
          <cell r="D251">
            <v>100016575</v>
          </cell>
          <cell r="E251">
            <v>0</v>
          </cell>
          <cell r="F251">
            <v>1057</v>
          </cell>
          <cell r="G251">
            <v>1057</v>
          </cell>
          <cell r="H251">
            <v>119</v>
          </cell>
          <cell r="I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119</v>
          </cell>
          <cell r="O251">
            <v>0</v>
          </cell>
          <cell r="P251">
            <v>6</v>
          </cell>
          <cell r="Q251">
            <v>113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X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43193</v>
          </cell>
          <cell r="AG251">
            <v>906</v>
          </cell>
          <cell r="AH251">
            <v>906</v>
          </cell>
          <cell r="AI251">
            <v>0</v>
          </cell>
          <cell r="AJ251" t="str">
            <v>DA HET SAN XUAT</v>
          </cell>
        </row>
        <row r="252">
          <cell r="D252">
            <v>100019839</v>
          </cell>
          <cell r="E252">
            <v>0</v>
          </cell>
          <cell r="F252">
            <v>2214</v>
          </cell>
          <cell r="G252">
            <v>2214</v>
          </cell>
          <cell r="H252">
            <v>303</v>
          </cell>
          <cell r="I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303</v>
          </cell>
          <cell r="O252">
            <v>0</v>
          </cell>
          <cell r="P252">
            <v>114</v>
          </cell>
          <cell r="Q252">
            <v>189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X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43173</v>
          </cell>
          <cell r="AG252">
            <v>1290</v>
          </cell>
          <cell r="AH252">
            <v>1290</v>
          </cell>
          <cell r="AI252">
            <v>0</v>
          </cell>
          <cell r="AJ252" t="str">
            <v>DA HET SAN XUAT</v>
          </cell>
        </row>
        <row r="253">
          <cell r="D253">
            <v>100021862</v>
          </cell>
          <cell r="E253">
            <v>0</v>
          </cell>
          <cell r="F253">
            <v>798</v>
          </cell>
          <cell r="G253">
            <v>798</v>
          </cell>
          <cell r="H253">
            <v>7</v>
          </cell>
          <cell r="I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7</v>
          </cell>
          <cell r="O253">
            <v>0</v>
          </cell>
          <cell r="P253">
            <v>0</v>
          </cell>
          <cell r="Q253">
            <v>7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X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43193</v>
          </cell>
          <cell r="AG253">
            <v>759</v>
          </cell>
          <cell r="AH253">
            <v>759</v>
          </cell>
          <cell r="AI253">
            <v>0</v>
          </cell>
          <cell r="AJ253" t="str">
            <v>DA HET SAN XUAT</v>
          </cell>
        </row>
        <row r="254">
          <cell r="D254">
            <v>100025244</v>
          </cell>
          <cell r="E254">
            <v>0</v>
          </cell>
          <cell r="F254">
            <v>627</v>
          </cell>
          <cell r="G254">
            <v>627</v>
          </cell>
          <cell r="H254">
            <v>12</v>
          </cell>
          <cell r="I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12</v>
          </cell>
          <cell r="O254">
            <v>0</v>
          </cell>
          <cell r="P254">
            <v>0</v>
          </cell>
          <cell r="Q254">
            <v>12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X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G254">
            <v>0</v>
          </cell>
          <cell r="AH254">
            <v>0</v>
          </cell>
          <cell r="AI254">
            <v>0</v>
          </cell>
          <cell r="AJ254" t="str">
            <v>DA HET SAN XUAT</v>
          </cell>
        </row>
        <row r="255">
          <cell r="D255">
            <v>100025245</v>
          </cell>
          <cell r="E255">
            <v>0</v>
          </cell>
          <cell r="F255">
            <v>596</v>
          </cell>
          <cell r="G255">
            <v>596</v>
          </cell>
          <cell r="H255">
            <v>38</v>
          </cell>
          <cell r="I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38</v>
          </cell>
          <cell r="O255">
            <v>22</v>
          </cell>
          <cell r="P255">
            <v>5</v>
          </cell>
          <cell r="Q255">
            <v>11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X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G255">
            <v>0</v>
          </cell>
          <cell r="AH255">
            <v>0</v>
          </cell>
          <cell r="AI255">
            <v>0</v>
          </cell>
          <cell r="AJ255" t="str">
            <v>DA HET SAN XUAT</v>
          </cell>
        </row>
        <row r="256">
          <cell r="D256">
            <v>182013373</v>
          </cell>
          <cell r="E256">
            <v>0</v>
          </cell>
          <cell r="F256">
            <v>10358</v>
          </cell>
          <cell r="G256">
            <v>10358</v>
          </cell>
          <cell r="H256">
            <v>591</v>
          </cell>
          <cell r="I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591</v>
          </cell>
          <cell r="O256">
            <v>0</v>
          </cell>
          <cell r="P256">
            <v>318</v>
          </cell>
          <cell r="Q256">
            <v>273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X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43189</v>
          </cell>
          <cell r="AG256">
            <v>9200</v>
          </cell>
          <cell r="AH256">
            <v>9088</v>
          </cell>
          <cell r="AI256">
            <v>-112</v>
          </cell>
        </row>
        <row r="257">
          <cell r="D257">
            <v>182013374</v>
          </cell>
          <cell r="E257">
            <v>0</v>
          </cell>
          <cell r="F257">
            <v>7929</v>
          </cell>
          <cell r="G257">
            <v>7929</v>
          </cell>
          <cell r="H257">
            <v>406</v>
          </cell>
          <cell r="I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406</v>
          </cell>
          <cell r="O257">
            <v>0</v>
          </cell>
          <cell r="P257">
            <v>69</v>
          </cell>
          <cell r="Q257">
            <v>337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X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43189</v>
          </cell>
          <cell r="AG257">
            <v>7600</v>
          </cell>
          <cell r="AH257">
            <v>7364</v>
          </cell>
          <cell r="AI257">
            <v>-236</v>
          </cell>
        </row>
        <row r="258">
          <cell r="D258">
            <v>182034338</v>
          </cell>
          <cell r="E258">
            <v>0</v>
          </cell>
          <cell r="F258">
            <v>1608</v>
          </cell>
          <cell r="G258">
            <v>1608</v>
          </cell>
          <cell r="H258">
            <v>71</v>
          </cell>
          <cell r="I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71</v>
          </cell>
          <cell r="O258">
            <v>0</v>
          </cell>
          <cell r="P258">
            <v>61</v>
          </cell>
          <cell r="Q258">
            <v>10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X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43189</v>
          </cell>
          <cell r="AG258">
            <v>952</v>
          </cell>
          <cell r="AH258">
            <v>922</v>
          </cell>
          <cell r="AI258">
            <v>-30</v>
          </cell>
        </row>
        <row r="259">
          <cell r="D259">
            <v>100015358</v>
          </cell>
          <cell r="E259">
            <v>0</v>
          </cell>
          <cell r="F259">
            <v>5087</v>
          </cell>
          <cell r="G259">
            <v>5087</v>
          </cell>
          <cell r="H259">
            <v>62</v>
          </cell>
          <cell r="I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62</v>
          </cell>
          <cell r="O259">
            <v>0</v>
          </cell>
          <cell r="P259">
            <v>26</v>
          </cell>
          <cell r="Q259">
            <v>36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X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43197</v>
          </cell>
          <cell r="AG259">
            <v>4077</v>
          </cell>
          <cell r="AH259">
            <v>4077</v>
          </cell>
          <cell r="AI259">
            <v>0</v>
          </cell>
          <cell r="AJ259" t="str">
            <v>DA HET SAN XUAT</v>
          </cell>
        </row>
        <row r="260">
          <cell r="D260">
            <v>100022090</v>
          </cell>
          <cell r="E260">
            <v>0</v>
          </cell>
          <cell r="F260">
            <v>6032</v>
          </cell>
          <cell r="G260">
            <v>6032</v>
          </cell>
          <cell r="H260">
            <v>335</v>
          </cell>
          <cell r="I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335</v>
          </cell>
          <cell r="O260">
            <v>0</v>
          </cell>
          <cell r="P260">
            <v>0</v>
          </cell>
          <cell r="Q260">
            <v>335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X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43193</v>
          </cell>
          <cell r="AG260">
            <v>2577</v>
          </cell>
          <cell r="AH260">
            <v>2577</v>
          </cell>
          <cell r="AI260">
            <v>0</v>
          </cell>
          <cell r="AJ260" t="str">
            <v>DA HET SAN XUAT</v>
          </cell>
        </row>
        <row r="261">
          <cell r="D261">
            <v>182034820</v>
          </cell>
          <cell r="E261">
            <v>0</v>
          </cell>
          <cell r="F261">
            <v>11437</v>
          </cell>
          <cell r="G261">
            <v>11437</v>
          </cell>
          <cell r="H261">
            <v>876</v>
          </cell>
          <cell r="I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876</v>
          </cell>
          <cell r="O261">
            <v>0</v>
          </cell>
          <cell r="P261">
            <v>367</v>
          </cell>
          <cell r="Q261">
            <v>509</v>
          </cell>
          <cell r="R261">
            <v>0</v>
          </cell>
          <cell r="S261">
            <v>234</v>
          </cell>
          <cell r="T261">
            <v>234</v>
          </cell>
          <cell r="U261">
            <v>0</v>
          </cell>
          <cell r="X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234</v>
          </cell>
          <cell r="AE261">
            <v>234</v>
          </cell>
          <cell r="AF261">
            <v>43200</v>
          </cell>
          <cell r="AG261">
            <v>5989</v>
          </cell>
          <cell r="AH261">
            <v>5989</v>
          </cell>
          <cell r="AI261">
            <v>0</v>
          </cell>
          <cell r="AJ261" t="str">
            <v>DA HET SAN XUAT</v>
          </cell>
        </row>
        <row r="262">
          <cell r="D262">
            <v>457223</v>
          </cell>
          <cell r="E262">
            <v>0</v>
          </cell>
          <cell r="F262">
            <v>10595</v>
          </cell>
          <cell r="G262">
            <v>10595</v>
          </cell>
          <cell r="H262">
            <v>314</v>
          </cell>
          <cell r="I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314</v>
          </cell>
          <cell r="O262">
            <v>0</v>
          </cell>
          <cell r="P262">
            <v>212</v>
          </cell>
          <cell r="Q262">
            <v>102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X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43181</v>
          </cell>
          <cell r="AG262">
            <v>7100</v>
          </cell>
          <cell r="AH262">
            <v>7100</v>
          </cell>
          <cell r="AI262">
            <v>0</v>
          </cell>
          <cell r="AJ262" t="str">
            <v>DA HET SAN XUAT</v>
          </cell>
        </row>
        <row r="263">
          <cell r="D263">
            <v>461186</v>
          </cell>
          <cell r="E263">
            <v>0</v>
          </cell>
          <cell r="F263">
            <v>4721</v>
          </cell>
          <cell r="G263">
            <v>4721</v>
          </cell>
          <cell r="H263">
            <v>227</v>
          </cell>
          <cell r="I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227</v>
          </cell>
          <cell r="O263">
            <v>0</v>
          </cell>
          <cell r="P263">
            <v>142</v>
          </cell>
          <cell r="Q263">
            <v>85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X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43180</v>
          </cell>
          <cell r="AG263">
            <v>4400</v>
          </cell>
          <cell r="AH263">
            <v>4425</v>
          </cell>
          <cell r="AI263">
            <v>25</v>
          </cell>
        </row>
        <row r="264">
          <cell r="D264">
            <v>461795</v>
          </cell>
          <cell r="E264">
            <v>0</v>
          </cell>
          <cell r="F264">
            <v>12770</v>
          </cell>
          <cell r="G264">
            <v>12770</v>
          </cell>
          <cell r="H264">
            <v>735</v>
          </cell>
          <cell r="I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735</v>
          </cell>
          <cell r="O264">
            <v>0</v>
          </cell>
          <cell r="P264">
            <v>314</v>
          </cell>
          <cell r="Q264">
            <v>421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X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43203</v>
          </cell>
          <cell r="AG264">
            <v>8750</v>
          </cell>
          <cell r="AH264">
            <v>8750</v>
          </cell>
          <cell r="AI264">
            <v>0</v>
          </cell>
          <cell r="AJ264" t="str">
            <v>DA HET SAN XUAT</v>
          </cell>
        </row>
        <row r="265">
          <cell r="D265">
            <v>463022</v>
          </cell>
          <cell r="E265">
            <v>0</v>
          </cell>
          <cell r="F265">
            <v>3150</v>
          </cell>
          <cell r="G265">
            <v>3150</v>
          </cell>
          <cell r="H265">
            <v>124</v>
          </cell>
          <cell r="I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124</v>
          </cell>
          <cell r="O265">
            <v>0</v>
          </cell>
          <cell r="P265">
            <v>0</v>
          </cell>
          <cell r="Q265">
            <v>124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X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43181</v>
          </cell>
          <cell r="AG265">
            <v>3050</v>
          </cell>
          <cell r="AH265">
            <v>3024</v>
          </cell>
          <cell r="AI265">
            <v>-26</v>
          </cell>
        </row>
        <row r="266">
          <cell r="D266">
            <v>463024</v>
          </cell>
          <cell r="E266">
            <v>0</v>
          </cell>
          <cell r="F266">
            <v>6277</v>
          </cell>
          <cell r="G266">
            <v>6277</v>
          </cell>
          <cell r="H266">
            <v>183</v>
          </cell>
          <cell r="I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183</v>
          </cell>
          <cell r="O266">
            <v>0</v>
          </cell>
          <cell r="P266">
            <v>72</v>
          </cell>
          <cell r="Q266">
            <v>111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X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43181</v>
          </cell>
          <cell r="AG266">
            <v>4050</v>
          </cell>
          <cell r="AH266">
            <v>4050</v>
          </cell>
          <cell r="AI266">
            <v>0</v>
          </cell>
          <cell r="AJ266" t="str">
            <v>DA HET SAN XUAT</v>
          </cell>
        </row>
        <row r="267">
          <cell r="D267">
            <v>463029</v>
          </cell>
          <cell r="E267">
            <v>0</v>
          </cell>
          <cell r="F267">
            <v>6421</v>
          </cell>
          <cell r="G267">
            <v>6421</v>
          </cell>
          <cell r="H267">
            <v>87</v>
          </cell>
          <cell r="I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87</v>
          </cell>
          <cell r="O267">
            <v>0</v>
          </cell>
          <cell r="P267">
            <v>23</v>
          </cell>
          <cell r="Q267">
            <v>64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X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43180</v>
          </cell>
          <cell r="AG267">
            <v>4050</v>
          </cell>
          <cell r="AH267">
            <v>4119</v>
          </cell>
          <cell r="AI267">
            <v>69</v>
          </cell>
        </row>
        <row r="268">
          <cell r="D268">
            <v>463030</v>
          </cell>
          <cell r="E268">
            <v>0</v>
          </cell>
          <cell r="F268">
            <v>3719</v>
          </cell>
          <cell r="G268">
            <v>3719</v>
          </cell>
          <cell r="H268">
            <v>164</v>
          </cell>
          <cell r="I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164</v>
          </cell>
          <cell r="O268">
            <v>0</v>
          </cell>
          <cell r="P268">
            <v>101</v>
          </cell>
          <cell r="Q268">
            <v>63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X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43180</v>
          </cell>
          <cell r="AG268">
            <v>3500</v>
          </cell>
          <cell r="AH268">
            <v>3521</v>
          </cell>
          <cell r="AI268">
            <v>21</v>
          </cell>
        </row>
        <row r="269">
          <cell r="D269">
            <v>466459</v>
          </cell>
          <cell r="E269">
            <v>0</v>
          </cell>
          <cell r="F269">
            <v>2985</v>
          </cell>
          <cell r="G269">
            <v>2985</v>
          </cell>
          <cell r="H269">
            <v>259</v>
          </cell>
          <cell r="I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259</v>
          </cell>
          <cell r="O269">
            <v>0</v>
          </cell>
          <cell r="P269">
            <v>13</v>
          </cell>
          <cell r="Q269">
            <v>246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X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43173</v>
          </cell>
          <cell r="AG269">
            <v>2663</v>
          </cell>
          <cell r="AH269">
            <v>2663</v>
          </cell>
          <cell r="AI269">
            <v>0</v>
          </cell>
          <cell r="AJ269" t="str">
            <v>DA HET SAN XUAT</v>
          </cell>
        </row>
        <row r="270">
          <cell r="D270">
            <v>467476</v>
          </cell>
          <cell r="E270">
            <v>0</v>
          </cell>
          <cell r="F270">
            <v>19251</v>
          </cell>
          <cell r="G270">
            <v>19251</v>
          </cell>
          <cell r="H270">
            <v>1054</v>
          </cell>
          <cell r="I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1054</v>
          </cell>
          <cell r="O270">
            <v>0</v>
          </cell>
          <cell r="P270">
            <v>512</v>
          </cell>
          <cell r="Q270">
            <v>542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X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43181</v>
          </cell>
          <cell r="AG270">
            <v>11778</v>
          </cell>
          <cell r="AH270">
            <v>11778</v>
          </cell>
          <cell r="AI270">
            <v>0</v>
          </cell>
          <cell r="AJ270" t="str">
            <v>DA HET SAN XUAT</v>
          </cell>
        </row>
        <row r="271">
          <cell r="D271">
            <v>468585</v>
          </cell>
          <cell r="E271">
            <v>0</v>
          </cell>
          <cell r="F271">
            <v>14189</v>
          </cell>
          <cell r="G271">
            <v>14189</v>
          </cell>
          <cell r="H271">
            <v>1931</v>
          </cell>
          <cell r="I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1931</v>
          </cell>
          <cell r="O271">
            <v>0</v>
          </cell>
          <cell r="P271">
            <v>640</v>
          </cell>
          <cell r="Q271">
            <v>1291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X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43188</v>
          </cell>
          <cell r="AG271">
            <v>8774</v>
          </cell>
          <cell r="AH271">
            <v>8625</v>
          </cell>
          <cell r="AI271">
            <v>-149</v>
          </cell>
        </row>
        <row r="272">
          <cell r="D272">
            <v>471857</v>
          </cell>
          <cell r="E272">
            <v>0</v>
          </cell>
          <cell r="F272">
            <v>4690</v>
          </cell>
          <cell r="G272">
            <v>4690</v>
          </cell>
          <cell r="H272">
            <v>87</v>
          </cell>
          <cell r="I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86</v>
          </cell>
          <cell r="O272">
            <v>0</v>
          </cell>
          <cell r="P272">
            <v>33</v>
          </cell>
          <cell r="Q272">
            <v>53</v>
          </cell>
          <cell r="R272">
            <v>0</v>
          </cell>
          <cell r="S272">
            <v>29</v>
          </cell>
          <cell r="T272">
            <v>30</v>
          </cell>
          <cell r="U272">
            <v>1</v>
          </cell>
          <cell r="X272">
            <v>0</v>
          </cell>
          <cell r="Z272">
            <v>1</v>
          </cell>
          <cell r="AA272">
            <v>0</v>
          </cell>
          <cell r="AB272">
            <v>1</v>
          </cell>
          <cell r="AC272">
            <v>0</v>
          </cell>
          <cell r="AD272">
            <v>29</v>
          </cell>
          <cell r="AE272">
            <v>29</v>
          </cell>
          <cell r="AF272">
            <v>43202</v>
          </cell>
          <cell r="AG272">
            <v>4844</v>
          </cell>
          <cell r="AH272">
            <v>4559</v>
          </cell>
          <cell r="AI272">
            <v>-285</v>
          </cell>
        </row>
        <row r="273">
          <cell r="D273" t="str">
            <v>KTP122131</v>
          </cell>
          <cell r="E273">
            <v>0</v>
          </cell>
          <cell r="F273">
            <v>12498</v>
          </cell>
          <cell r="G273">
            <v>12498</v>
          </cell>
          <cell r="H273">
            <v>1264</v>
          </cell>
          <cell r="I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1264</v>
          </cell>
          <cell r="O273">
            <v>2</v>
          </cell>
          <cell r="P273">
            <v>309</v>
          </cell>
          <cell r="Q273">
            <v>953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X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43193</v>
          </cell>
          <cell r="AG273">
            <v>9237</v>
          </cell>
          <cell r="AH273">
            <v>9373</v>
          </cell>
          <cell r="AI273">
            <v>136</v>
          </cell>
        </row>
        <row r="274">
          <cell r="D274" t="str">
            <v>KTP124011</v>
          </cell>
          <cell r="E274">
            <v>0</v>
          </cell>
          <cell r="F274">
            <v>15421</v>
          </cell>
          <cell r="G274">
            <v>15421</v>
          </cell>
          <cell r="H274">
            <v>1081</v>
          </cell>
          <cell r="I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1081</v>
          </cell>
          <cell r="O274">
            <v>0</v>
          </cell>
          <cell r="P274">
            <v>349</v>
          </cell>
          <cell r="Q274">
            <v>732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X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43194</v>
          </cell>
          <cell r="AG274">
            <v>10286</v>
          </cell>
          <cell r="AH274">
            <v>10286</v>
          </cell>
          <cell r="AI274">
            <v>0</v>
          </cell>
          <cell r="AJ274" t="str">
            <v>DA HET SAN XUAT</v>
          </cell>
        </row>
        <row r="275">
          <cell r="D275" t="str">
            <v>KTP124021</v>
          </cell>
          <cell r="E275">
            <v>0</v>
          </cell>
          <cell r="F275">
            <v>7167</v>
          </cell>
          <cell r="G275">
            <v>7167</v>
          </cell>
          <cell r="H275">
            <v>427</v>
          </cell>
          <cell r="I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427</v>
          </cell>
          <cell r="O275">
            <v>0</v>
          </cell>
          <cell r="P275">
            <v>70</v>
          </cell>
          <cell r="Q275">
            <v>357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X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43194</v>
          </cell>
          <cell r="AG275">
            <v>3817</v>
          </cell>
          <cell r="AH275">
            <v>3817</v>
          </cell>
          <cell r="AI275">
            <v>0</v>
          </cell>
          <cell r="AJ275" t="str">
            <v>DA HET SAN XUAT</v>
          </cell>
        </row>
        <row r="276">
          <cell r="D276">
            <v>100023338</v>
          </cell>
          <cell r="E276">
            <v>0</v>
          </cell>
          <cell r="F276">
            <v>6730</v>
          </cell>
          <cell r="G276">
            <v>6730</v>
          </cell>
          <cell r="H276">
            <v>243</v>
          </cell>
          <cell r="I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243</v>
          </cell>
          <cell r="O276">
            <v>0</v>
          </cell>
          <cell r="P276">
            <v>144</v>
          </cell>
          <cell r="Q276">
            <v>99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X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43163</v>
          </cell>
          <cell r="AG276">
            <v>6231</v>
          </cell>
          <cell r="AH276">
            <v>6231</v>
          </cell>
          <cell r="AI276">
            <v>0</v>
          </cell>
          <cell r="AJ276" t="str">
            <v>DA HET SAN XUAT</v>
          </cell>
        </row>
        <row r="277">
          <cell r="D277">
            <v>100025351</v>
          </cell>
          <cell r="E277">
            <v>0</v>
          </cell>
          <cell r="F277">
            <v>1125</v>
          </cell>
          <cell r="G277">
            <v>1125</v>
          </cell>
          <cell r="H277">
            <v>24</v>
          </cell>
          <cell r="I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24</v>
          </cell>
          <cell r="O277">
            <v>0</v>
          </cell>
          <cell r="P277">
            <v>24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X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43193</v>
          </cell>
          <cell r="AG277">
            <v>1068</v>
          </cell>
          <cell r="AH277">
            <v>1068</v>
          </cell>
          <cell r="AI277">
            <v>0</v>
          </cell>
          <cell r="AJ277" t="str">
            <v>DA HET SAN XUAT</v>
          </cell>
        </row>
        <row r="278">
          <cell r="D278">
            <v>182034821</v>
          </cell>
          <cell r="E278">
            <v>0</v>
          </cell>
          <cell r="F278">
            <v>11876</v>
          </cell>
          <cell r="G278">
            <v>11876</v>
          </cell>
          <cell r="H278">
            <v>256</v>
          </cell>
          <cell r="I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256</v>
          </cell>
          <cell r="O278">
            <v>41</v>
          </cell>
          <cell r="P278">
            <v>215</v>
          </cell>
          <cell r="Q278">
            <v>0</v>
          </cell>
          <cell r="R278">
            <v>0</v>
          </cell>
          <cell r="S278">
            <v>173</v>
          </cell>
          <cell r="T278">
            <v>173</v>
          </cell>
          <cell r="U278">
            <v>0</v>
          </cell>
          <cell r="X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173</v>
          </cell>
          <cell r="AE278">
            <v>173</v>
          </cell>
          <cell r="AF278">
            <v>43208</v>
          </cell>
          <cell r="AG278">
            <v>5350</v>
          </cell>
          <cell r="AH278">
            <v>5350</v>
          </cell>
          <cell r="AI278">
            <v>0</v>
          </cell>
          <cell r="AJ278" t="str">
            <v>DA HET SAN XUAT</v>
          </cell>
        </row>
        <row r="279">
          <cell r="D279">
            <v>182034836</v>
          </cell>
          <cell r="E279">
            <v>0</v>
          </cell>
          <cell r="F279">
            <v>3006</v>
          </cell>
          <cell r="G279">
            <v>3006</v>
          </cell>
          <cell r="H279">
            <v>354</v>
          </cell>
          <cell r="I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354</v>
          </cell>
          <cell r="O279">
            <v>0</v>
          </cell>
          <cell r="P279">
            <v>299</v>
          </cell>
          <cell r="Q279">
            <v>55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X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43200</v>
          </cell>
          <cell r="AG279">
            <v>2275</v>
          </cell>
          <cell r="AH279">
            <v>2275</v>
          </cell>
          <cell r="AI279">
            <v>0</v>
          </cell>
          <cell r="AJ279" t="str">
            <v>DA HET SAN XUAT</v>
          </cell>
        </row>
        <row r="280">
          <cell r="D280">
            <v>182034837</v>
          </cell>
          <cell r="E280">
            <v>0</v>
          </cell>
          <cell r="F280">
            <v>810</v>
          </cell>
          <cell r="G280">
            <v>810</v>
          </cell>
          <cell r="H280">
            <v>47</v>
          </cell>
          <cell r="I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47</v>
          </cell>
          <cell r="O280">
            <v>1</v>
          </cell>
          <cell r="P280">
            <v>9</v>
          </cell>
          <cell r="Q280">
            <v>37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X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43213</v>
          </cell>
          <cell r="AG280">
            <v>483</v>
          </cell>
          <cell r="AH280">
            <v>483</v>
          </cell>
          <cell r="AI280">
            <v>0</v>
          </cell>
          <cell r="AJ280" t="str">
            <v>DA HET SAN XUAT</v>
          </cell>
        </row>
        <row r="281">
          <cell r="D281" t="str">
            <v>KPT122931</v>
          </cell>
          <cell r="E281">
            <v>0</v>
          </cell>
          <cell r="F281">
            <v>11564</v>
          </cell>
          <cell r="G281">
            <v>11564</v>
          </cell>
          <cell r="H281">
            <v>391</v>
          </cell>
          <cell r="I281">
            <v>0</v>
          </cell>
          <cell r="K281">
            <v>87</v>
          </cell>
          <cell r="L281">
            <v>0</v>
          </cell>
          <cell r="M281">
            <v>0</v>
          </cell>
          <cell r="N281">
            <v>304</v>
          </cell>
          <cell r="O281">
            <v>0</v>
          </cell>
          <cell r="P281">
            <v>212</v>
          </cell>
          <cell r="Q281">
            <v>92</v>
          </cell>
          <cell r="R281">
            <v>2490</v>
          </cell>
          <cell r="S281">
            <v>0</v>
          </cell>
          <cell r="T281">
            <v>2577</v>
          </cell>
          <cell r="U281">
            <v>87</v>
          </cell>
          <cell r="X281">
            <v>2568</v>
          </cell>
          <cell r="Z281">
            <v>9</v>
          </cell>
          <cell r="AA281">
            <v>0</v>
          </cell>
          <cell r="AB281">
            <v>87</v>
          </cell>
          <cell r="AC281">
            <v>0</v>
          </cell>
          <cell r="AD281">
            <v>0</v>
          </cell>
          <cell r="AE281">
            <v>0</v>
          </cell>
          <cell r="AF281">
            <v>43229</v>
          </cell>
          <cell r="AG281">
            <v>8032</v>
          </cell>
          <cell r="AH281">
            <v>8039</v>
          </cell>
          <cell r="AI281">
            <v>7</v>
          </cell>
        </row>
        <row r="282">
          <cell r="D282">
            <v>465318</v>
          </cell>
          <cell r="E282">
            <v>0</v>
          </cell>
          <cell r="F282">
            <v>6582</v>
          </cell>
          <cell r="G282">
            <v>6582</v>
          </cell>
          <cell r="H282">
            <v>397</v>
          </cell>
          <cell r="I282">
            <v>0</v>
          </cell>
          <cell r="K282">
            <v>8</v>
          </cell>
          <cell r="L282">
            <v>0</v>
          </cell>
          <cell r="M282">
            <v>0</v>
          </cell>
          <cell r="N282">
            <v>389</v>
          </cell>
          <cell r="O282">
            <v>0</v>
          </cell>
          <cell r="P282">
            <v>142</v>
          </cell>
          <cell r="Q282">
            <v>247</v>
          </cell>
          <cell r="R282">
            <v>0</v>
          </cell>
          <cell r="S282">
            <v>115</v>
          </cell>
          <cell r="T282">
            <v>123</v>
          </cell>
          <cell r="U282">
            <v>8</v>
          </cell>
          <cell r="X282">
            <v>0</v>
          </cell>
          <cell r="Z282">
            <v>8</v>
          </cell>
          <cell r="AA282">
            <v>0</v>
          </cell>
          <cell r="AB282">
            <v>8</v>
          </cell>
          <cell r="AC282">
            <v>0</v>
          </cell>
          <cell r="AD282">
            <v>115</v>
          </cell>
          <cell r="AE282">
            <v>115</v>
          </cell>
          <cell r="AF282">
            <v>43234</v>
          </cell>
          <cell r="AG282">
            <v>6070</v>
          </cell>
          <cell r="AH282">
            <v>6070</v>
          </cell>
          <cell r="AI282">
            <v>0</v>
          </cell>
          <cell r="AJ282" t="str">
            <v>DA HET SAN XUAT</v>
          </cell>
        </row>
        <row r="283">
          <cell r="D283">
            <v>465985</v>
          </cell>
          <cell r="E283">
            <v>0</v>
          </cell>
          <cell r="F283">
            <v>9760</v>
          </cell>
          <cell r="G283">
            <v>9760</v>
          </cell>
          <cell r="H283">
            <v>793</v>
          </cell>
          <cell r="I283">
            <v>0</v>
          </cell>
          <cell r="K283">
            <v>8</v>
          </cell>
          <cell r="L283">
            <v>0</v>
          </cell>
          <cell r="M283">
            <v>0</v>
          </cell>
          <cell r="N283">
            <v>785</v>
          </cell>
          <cell r="O283">
            <v>0</v>
          </cell>
          <cell r="P283">
            <v>314</v>
          </cell>
          <cell r="Q283">
            <v>471</v>
          </cell>
          <cell r="R283">
            <v>0</v>
          </cell>
          <cell r="S283">
            <v>123</v>
          </cell>
          <cell r="T283">
            <v>131</v>
          </cell>
          <cell r="U283">
            <v>8</v>
          </cell>
          <cell r="X283">
            <v>0</v>
          </cell>
          <cell r="Z283">
            <v>8</v>
          </cell>
          <cell r="AA283">
            <v>0</v>
          </cell>
          <cell r="AB283">
            <v>8</v>
          </cell>
          <cell r="AC283">
            <v>0</v>
          </cell>
          <cell r="AD283">
            <v>123</v>
          </cell>
          <cell r="AE283">
            <v>123</v>
          </cell>
          <cell r="AF283">
            <v>43237</v>
          </cell>
          <cell r="AG283">
            <v>9519</v>
          </cell>
          <cell r="AH283">
            <v>8844</v>
          </cell>
          <cell r="AI283">
            <v>-675</v>
          </cell>
        </row>
        <row r="284">
          <cell r="D284">
            <v>466092</v>
          </cell>
          <cell r="E284">
            <v>0</v>
          </cell>
          <cell r="F284">
            <v>1691</v>
          </cell>
          <cell r="G284">
            <v>1691</v>
          </cell>
          <cell r="H284">
            <v>203</v>
          </cell>
          <cell r="I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203</v>
          </cell>
          <cell r="O284">
            <v>0</v>
          </cell>
          <cell r="P284">
            <v>21</v>
          </cell>
          <cell r="Q284">
            <v>182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X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43202</v>
          </cell>
          <cell r="AG284">
            <v>1500</v>
          </cell>
          <cell r="AH284">
            <v>1472</v>
          </cell>
          <cell r="AI284">
            <v>-28</v>
          </cell>
        </row>
        <row r="285">
          <cell r="D285">
            <v>470322</v>
          </cell>
          <cell r="E285">
            <v>0</v>
          </cell>
          <cell r="F285">
            <v>6479</v>
          </cell>
          <cell r="G285">
            <v>6479</v>
          </cell>
          <cell r="H285">
            <v>311</v>
          </cell>
          <cell r="I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310</v>
          </cell>
          <cell r="O285">
            <v>0</v>
          </cell>
          <cell r="P285">
            <v>72</v>
          </cell>
          <cell r="Q285">
            <v>238</v>
          </cell>
          <cell r="R285">
            <v>0</v>
          </cell>
          <cell r="S285">
            <v>0</v>
          </cell>
          <cell r="T285">
            <v>1</v>
          </cell>
          <cell r="U285">
            <v>1</v>
          </cell>
          <cell r="X285">
            <v>0</v>
          </cell>
          <cell r="Z285">
            <v>1</v>
          </cell>
          <cell r="AA285">
            <v>0</v>
          </cell>
          <cell r="AB285">
            <v>1</v>
          </cell>
          <cell r="AC285">
            <v>0</v>
          </cell>
          <cell r="AD285">
            <v>0</v>
          </cell>
          <cell r="AE285">
            <v>0</v>
          </cell>
          <cell r="AF285">
            <v>43206</v>
          </cell>
          <cell r="AG285">
            <v>6100</v>
          </cell>
          <cell r="AH285">
            <v>6100</v>
          </cell>
          <cell r="AI285">
            <v>0</v>
          </cell>
          <cell r="AJ285" t="str">
            <v>DA HET SAN XUAT</v>
          </cell>
        </row>
        <row r="286">
          <cell r="D286">
            <v>471823</v>
          </cell>
          <cell r="E286">
            <v>0</v>
          </cell>
          <cell r="F286">
            <v>9254</v>
          </cell>
          <cell r="G286">
            <v>9254</v>
          </cell>
          <cell r="H286">
            <v>1013</v>
          </cell>
          <cell r="I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1013</v>
          </cell>
          <cell r="O286">
            <v>0</v>
          </cell>
          <cell r="P286">
            <v>125</v>
          </cell>
          <cell r="Q286">
            <v>888</v>
          </cell>
          <cell r="R286">
            <v>0</v>
          </cell>
          <cell r="S286">
            <v>100</v>
          </cell>
          <cell r="T286">
            <v>100</v>
          </cell>
          <cell r="U286">
            <v>0</v>
          </cell>
          <cell r="X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100</v>
          </cell>
          <cell r="AE286">
            <v>100</v>
          </cell>
          <cell r="AF286">
            <v>43202</v>
          </cell>
          <cell r="AG286">
            <v>8130</v>
          </cell>
          <cell r="AH286">
            <v>8130</v>
          </cell>
          <cell r="AI286">
            <v>0</v>
          </cell>
          <cell r="AJ286" t="str">
            <v>DA HET SAN XUAT</v>
          </cell>
        </row>
        <row r="287">
          <cell r="D287">
            <v>471825</v>
          </cell>
          <cell r="E287">
            <v>0</v>
          </cell>
          <cell r="F287">
            <v>965</v>
          </cell>
          <cell r="G287">
            <v>965</v>
          </cell>
          <cell r="H287">
            <v>50</v>
          </cell>
          <cell r="I287">
            <v>0</v>
          </cell>
          <cell r="K287">
            <v>11</v>
          </cell>
          <cell r="L287">
            <v>0</v>
          </cell>
          <cell r="M287">
            <v>0</v>
          </cell>
          <cell r="N287">
            <v>39</v>
          </cell>
          <cell r="O287">
            <v>0</v>
          </cell>
          <cell r="P287">
            <v>0</v>
          </cell>
          <cell r="Q287">
            <v>39</v>
          </cell>
          <cell r="R287">
            <v>0</v>
          </cell>
          <cell r="S287">
            <v>5</v>
          </cell>
          <cell r="T287">
            <v>16</v>
          </cell>
          <cell r="U287">
            <v>11</v>
          </cell>
          <cell r="X287">
            <v>0</v>
          </cell>
          <cell r="Z287">
            <v>11</v>
          </cell>
          <cell r="AA287">
            <v>0</v>
          </cell>
          <cell r="AB287">
            <v>11</v>
          </cell>
          <cell r="AC287">
            <v>0</v>
          </cell>
          <cell r="AD287">
            <v>5</v>
          </cell>
          <cell r="AE287">
            <v>5</v>
          </cell>
          <cell r="AF287">
            <v>43224</v>
          </cell>
          <cell r="AG287">
            <v>900</v>
          </cell>
          <cell r="AH287">
            <v>900</v>
          </cell>
          <cell r="AI287">
            <v>0</v>
          </cell>
          <cell r="AJ287" t="str">
            <v>DA HET SAN XUAT</v>
          </cell>
        </row>
        <row r="288">
          <cell r="D288">
            <v>472140</v>
          </cell>
          <cell r="E288">
            <v>0</v>
          </cell>
          <cell r="F288">
            <v>1526</v>
          </cell>
          <cell r="G288">
            <v>1526</v>
          </cell>
          <cell r="H288">
            <v>157</v>
          </cell>
          <cell r="I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157</v>
          </cell>
          <cell r="O288">
            <v>0</v>
          </cell>
          <cell r="P288">
            <v>78</v>
          </cell>
          <cell r="Q288">
            <v>79</v>
          </cell>
          <cell r="R288">
            <v>0</v>
          </cell>
          <cell r="S288">
            <v>52</v>
          </cell>
          <cell r="T288">
            <v>52</v>
          </cell>
          <cell r="U288">
            <v>0</v>
          </cell>
          <cell r="X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52</v>
          </cell>
          <cell r="AE288">
            <v>52</v>
          </cell>
          <cell r="AF288">
            <v>43224</v>
          </cell>
          <cell r="AG288">
            <v>1300</v>
          </cell>
          <cell r="AH288">
            <v>1300</v>
          </cell>
          <cell r="AI288">
            <v>0</v>
          </cell>
          <cell r="AJ288" t="str">
            <v>DA HET SAN XUAT</v>
          </cell>
        </row>
        <row r="289">
          <cell r="D289">
            <v>472629</v>
          </cell>
          <cell r="E289">
            <v>0</v>
          </cell>
          <cell r="F289">
            <v>5498</v>
          </cell>
          <cell r="G289">
            <v>5498</v>
          </cell>
          <cell r="H289">
            <v>476</v>
          </cell>
          <cell r="I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476</v>
          </cell>
          <cell r="O289">
            <v>0</v>
          </cell>
          <cell r="P289">
            <v>0</v>
          </cell>
          <cell r="Q289">
            <v>476</v>
          </cell>
          <cell r="R289">
            <v>0</v>
          </cell>
          <cell r="S289">
            <v>68</v>
          </cell>
          <cell r="T289">
            <v>68</v>
          </cell>
          <cell r="U289">
            <v>0</v>
          </cell>
          <cell r="X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68</v>
          </cell>
          <cell r="AE289">
            <v>68</v>
          </cell>
          <cell r="AF289">
            <v>43216</v>
          </cell>
          <cell r="AG289">
            <v>4950</v>
          </cell>
          <cell r="AH289">
            <v>4950</v>
          </cell>
          <cell r="AI289">
            <v>0</v>
          </cell>
          <cell r="AJ289" t="str">
            <v>DA HET SAN XUAT</v>
          </cell>
        </row>
        <row r="290">
          <cell r="D290">
            <v>100015200</v>
          </cell>
          <cell r="E290">
            <v>0</v>
          </cell>
          <cell r="F290">
            <v>2891</v>
          </cell>
          <cell r="G290">
            <v>2891</v>
          </cell>
          <cell r="H290">
            <v>249</v>
          </cell>
          <cell r="I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249</v>
          </cell>
          <cell r="O290">
            <v>0</v>
          </cell>
          <cell r="P290">
            <v>110</v>
          </cell>
          <cell r="Q290">
            <v>139</v>
          </cell>
          <cell r="R290">
            <v>0</v>
          </cell>
          <cell r="S290">
            <v>33</v>
          </cell>
          <cell r="T290">
            <v>33</v>
          </cell>
          <cell r="U290">
            <v>0</v>
          </cell>
          <cell r="X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33</v>
          </cell>
          <cell r="AE290">
            <v>33</v>
          </cell>
          <cell r="AF290">
            <v>43217</v>
          </cell>
          <cell r="AG290">
            <v>1836</v>
          </cell>
          <cell r="AH290">
            <v>1836</v>
          </cell>
          <cell r="AI290">
            <v>0</v>
          </cell>
          <cell r="AJ290" t="str">
            <v>DA HET SAN XUAT</v>
          </cell>
        </row>
        <row r="291">
          <cell r="D291">
            <v>100015306</v>
          </cell>
          <cell r="E291">
            <v>0</v>
          </cell>
          <cell r="F291">
            <v>2410</v>
          </cell>
          <cell r="G291">
            <v>2410</v>
          </cell>
          <cell r="H291">
            <v>85</v>
          </cell>
          <cell r="I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85</v>
          </cell>
          <cell r="O291">
            <v>0</v>
          </cell>
          <cell r="P291">
            <v>0</v>
          </cell>
          <cell r="Q291">
            <v>85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X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G291">
            <v>0</v>
          </cell>
          <cell r="AH291">
            <v>0</v>
          </cell>
          <cell r="AI291">
            <v>0</v>
          </cell>
          <cell r="AJ291" t="str">
            <v>DA HET SAN XUAT</v>
          </cell>
        </row>
        <row r="292">
          <cell r="D292">
            <v>100016101</v>
          </cell>
          <cell r="E292">
            <v>0</v>
          </cell>
          <cell r="F292">
            <v>2509</v>
          </cell>
          <cell r="G292">
            <v>2509</v>
          </cell>
          <cell r="H292">
            <v>301</v>
          </cell>
          <cell r="I292">
            <v>0</v>
          </cell>
          <cell r="K292">
            <v>30</v>
          </cell>
          <cell r="L292">
            <v>0</v>
          </cell>
          <cell r="M292">
            <v>0</v>
          </cell>
          <cell r="N292">
            <v>271</v>
          </cell>
          <cell r="O292">
            <v>0</v>
          </cell>
          <cell r="P292">
            <v>196</v>
          </cell>
          <cell r="Q292">
            <v>75</v>
          </cell>
          <cell r="R292">
            <v>1395</v>
          </cell>
          <cell r="S292">
            <v>0</v>
          </cell>
          <cell r="T292">
            <v>1425</v>
          </cell>
          <cell r="U292">
            <v>30</v>
          </cell>
          <cell r="X292">
            <v>1352</v>
          </cell>
          <cell r="Z292">
            <v>5</v>
          </cell>
          <cell r="AA292">
            <v>68</v>
          </cell>
          <cell r="AB292">
            <v>30</v>
          </cell>
          <cell r="AC292">
            <v>0</v>
          </cell>
          <cell r="AD292">
            <v>68</v>
          </cell>
          <cell r="AE292">
            <v>68</v>
          </cell>
          <cell r="AG292">
            <v>0</v>
          </cell>
          <cell r="AH292">
            <v>0</v>
          </cell>
          <cell r="AI292">
            <v>0</v>
          </cell>
          <cell r="AJ292" t="str">
            <v>DA HET SAN XUAT</v>
          </cell>
        </row>
        <row r="293">
          <cell r="D293">
            <v>100017974</v>
          </cell>
          <cell r="E293">
            <v>0</v>
          </cell>
          <cell r="F293">
            <v>9562</v>
          </cell>
          <cell r="G293">
            <v>9562</v>
          </cell>
          <cell r="H293">
            <v>301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301</v>
          </cell>
          <cell r="O293">
            <v>63</v>
          </cell>
          <cell r="P293">
            <v>118</v>
          </cell>
          <cell r="Q293">
            <v>120</v>
          </cell>
          <cell r="R293">
            <v>0</v>
          </cell>
          <cell r="S293">
            <v>58</v>
          </cell>
          <cell r="T293">
            <v>58</v>
          </cell>
          <cell r="U293">
            <v>0</v>
          </cell>
          <cell r="X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58</v>
          </cell>
          <cell r="AE293">
            <v>58</v>
          </cell>
          <cell r="AF293">
            <v>43217</v>
          </cell>
          <cell r="AG293">
            <v>4632</v>
          </cell>
          <cell r="AH293">
            <v>4632</v>
          </cell>
          <cell r="AI293">
            <v>0</v>
          </cell>
          <cell r="AJ293" t="str">
            <v>DA HET SAN XUAT</v>
          </cell>
        </row>
        <row r="294">
          <cell r="D294">
            <v>100018139</v>
          </cell>
          <cell r="E294">
            <v>0</v>
          </cell>
          <cell r="F294">
            <v>8114</v>
          </cell>
          <cell r="G294">
            <v>8114</v>
          </cell>
          <cell r="H294">
            <v>578</v>
          </cell>
          <cell r="I294">
            <v>0</v>
          </cell>
          <cell r="K294">
            <v>429</v>
          </cell>
          <cell r="L294">
            <v>0</v>
          </cell>
          <cell r="M294">
            <v>0</v>
          </cell>
          <cell r="N294">
            <v>149</v>
          </cell>
          <cell r="P294">
            <v>70</v>
          </cell>
          <cell r="Q294">
            <v>79</v>
          </cell>
          <cell r="R294">
            <v>7536</v>
          </cell>
          <cell r="S294">
            <v>0</v>
          </cell>
          <cell r="T294">
            <v>7965</v>
          </cell>
          <cell r="U294">
            <v>429</v>
          </cell>
          <cell r="X294">
            <v>7871</v>
          </cell>
          <cell r="Z294">
            <v>2</v>
          </cell>
          <cell r="AA294">
            <v>92</v>
          </cell>
          <cell r="AB294">
            <v>429</v>
          </cell>
          <cell r="AC294">
            <v>0</v>
          </cell>
          <cell r="AD294">
            <v>92</v>
          </cell>
          <cell r="AE294">
            <v>92</v>
          </cell>
          <cell r="AF294">
            <v>43258</v>
          </cell>
          <cell r="AG294">
            <v>6294</v>
          </cell>
          <cell r="AH294">
            <v>6294</v>
          </cell>
          <cell r="AI294">
            <v>0</v>
          </cell>
          <cell r="AJ294" t="str">
            <v>DA HET SAN XUAT</v>
          </cell>
        </row>
        <row r="295">
          <cell r="D295">
            <v>100018175</v>
          </cell>
          <cell r="E295">
            <v>0</v>
          </cell>
          <cell r="F295">
            <v>13068</v>
          </cell>
          <cell r="G295">
            <v>13068</v>
          </cell>
          <cell r="H295">
            <v>202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202</v>
          </cell>
          <cell r="O295">
            <v>0</v>
          </cell>
          <cell r="P295">
            <v>50</v>
          </cell>
          <cell r="Q295">
            <v>152</v>
          </cell>
          <cell r="R295">
            <v>0</v>
          </cell>
          <cell r="S295">
            <v>291</v>
          </cell>
          <cell r="T295">
            <v>291</v>
          </cell>
          <cell r="U295">
            <v>0</v>
          </cell>
          <cell r="X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291</v>
          </cell>
          <cell r="AE295">
            <v>291</v>
          </cell>
          <cell r="AF295">
            <v>43217</v>
          </cell>
          <cell r="AG295">
            <v>3033</v>
          </cell>
          <cell r="AH295">
            <v>3033</v>
          </cell>
          <cell r="AI295">
            <v>0</v>
          </cell>
          <cell r="AJ295" t="str">
            <v>DA HET SAN XUAT</v>
          </cell>
        </row>
        <row r="296">
          <cell r="D296">
            <v>100018176</v>
          </cell>
          <cell r="E296">
            <v>0</v>
          </cell>
          <cell r="F296">
            <v>6108</v>
          </cell>
          <cell r="G296">
            <v>6108</v>
          </cell>
          <cell r="H296">
            <v>350</v>
          </cell>
          <cell r="I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350</v>
          </cell>
          <cell r="O296">
            <v>0</v>
          </cell>
          <cell r="P296">
            <v>308</v>
          </cell>
          <cell r="Q296">
            <v>42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X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43225</v>
          </cell>
          <cell r="AG296">
            <v>4548</v>
          </cell>
          <cell r="AH296">
            <v>4422</v>
          </cell>
          <cell r="AI296">
            <v>-126</v>
          </cell>
        </row>
        <row r="297">
          <cell r="D297">
            <v>100018178</v>
          </cell>
          <cell r="E297">
            <v>0</v>
          </cell>
          <cell r="F297">
            <v>997</v>
          </cell>
          <cell r="G297">
            <v>997</v>
          </cell>
          <cell r="H297">
            <v>78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78</v>
          </cell>
          <cell r="O297">
            <v>0</v>
          </cell>
          <cell r="P297">
            <v>72</v>
          </cell>
          <cell r="Q297">
            <v>6</v>
          </cell>
          <cell r="R297">
            <v>0</v>
          </cell>
          <cell r="S297">
            <v>22</v>
          </cell>
          <cell r="T297">
            <v>22</v>
          </cell>
          <cell r="U297">
            <v>0</v>
          </cell>
          <cell r="X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22</v>
          </cell>
          <cell r="AE297">
            <v>22</v>
          </cell>
          <cell r="AF297">
            <v>43217</v>
          </cell>
          <cell r="AG297">
            <v>894</v>
          </cell>
          <cell r="AH297">
            <v>894</v>
          </cell>
          <cell r="AI297">
            <v>0</v>
          </cell>
          <cell r="AJ297" t="str">
            <v>DA HET SAN XUAT</v>
          </cell>
        </row>
        <row r="298">
          <cell r="D298">
            <v>100018179</v>
          </cell>
          <cell r="E298">
            <v>0</v>
          </cell>
          <cell r="F298">
            <v>1784</v>
          </cell>
          <cell r="G298">
            <v>1784</v>
          </cell>
          <cell r="H298">
            <v>57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57</v>
          </cell>
          <cell r="O298">
            <v>25</v>
          </cell>
          <cell r="P298">
            <v>32</v>
          </cell>
          <cell r="Q298">
            <v>0</v>
          </cell>
          <cell r="R298">
            <v>0</v>
          </cell>
          <cell r="S298">
            <v>20</v>
          </cell>
          <cell r="T298">
            <v>20</v>
          </cell>
          <cell r="U298">
            <v>0</v>
          </cell>
          <cell r="X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20</v>
          </cell>
          <cell r="AE298">
            <v>20</v>
          </cell>
          <cell r="AF298">
            <v>43214</v>
          </cell>
          <cell r="AG298">
            <v>1704</v>
          </cell>
          <cell r="AH298">
            <v>1704</v>
          </cell>
          <cell r="AI298">
            <v>0</v>
          </cell>
          <cell r="AJ298" t="str">
            <v>DA HET SAN XUAT</v>
          </cell>
        </row>
        <row r="299">
          <cell r="D299">
            <v>100018235</v>
          </cell>
          <cell r="E299">
            <v>0</v>
          </cell>
          <cell r="F299">
            <v>3845</v>
          </cell>
          <cell r="G299">
            <v>3845</v>
          </cell>
          <cell r="H299">
            <v>260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260</v>
          </cell>
          <cell r="O299">
            <v>38</v>
          </cell>
          <cell r="P299">
            <v>54</v>
          </cell>
          <cell r="Q299">
            <v>168</v>
          </cell>
          <cell r="R299">
            <v>0</v>
          </cell>
          <cell r="S299">
            <v>67</v>
          </cell>
          <cell r="T299">
            <v>67</v>
          </cell>
          <cell r="U299">
            <v>0</v>
          </cell>
          <cell r="X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67</v>
          </cell>
          <cell r="AE299">
            <v>67</v>
          </cell>
          <cell r="AF299">
            <v>43217</v>
          </cell>
          <cell r="AG299">
            <v>1308</v>
          </cell>
          <cell r="AH299">
            <v>1308</v>
          </cell>
          <cell r="AI299">
            <v>0</v>
          </cell>
          <cell r="AJ299" t="str">
            <v>DA HET SAN XUAT</v>
          </cell>
        </row>
        <row r="300">
          <cell r="D300">
            <v>100018237</v>
          </cell>
          <cell r="E300">
            <v>0</v>
          </cell>
          <cell r="F300">
            <v>5185</v>
          </cell>
          <cell r="G300">
            <v>5185</v>
          </cell>
          <cell r="H300">
            <v>141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141</v>
          </cell>
          <cell r="O300">
            <v>104</v>
          </cell>
          <cell r="P300">
            <v>37</v>
          </cell>
          <cell r="Q300">
            <v>0</v>
          </cell>
          <cell r="R300">
            <v>0</v>
          </cell>
          <cell r="S300">
            <v>112</v>
          </cell>
          <cell r="T300">
            <v>112</v>
          </cell>
          <cell r="U300">
            <v>0</v>
          </cell>
          <cell r="X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112</v>
          </cell>
          <cell r="AE300">
            <v>112</v>
          </cell>
          <cell r="AF300">
            <v>43217</v>
          </cell>
          <cell r="AG300">
            <v>4932</v>
          </cell>
          <cell r="AH300">
            <v>4932</v>
          </cell>
          <cell r="AI300">
            <v>0</v>
          </cell>
          <cell r="AJ300" t="str">
            <v>DA HET SAN XUAT</v>
          </cell>
        </row>
        <row r="301">
          <cell r="D301">
            <v>100018239</v>
          </cell>
          <cell r="E301">
            <v>0</v>
          </cell>
          <cell r="F301">
            <v>2790</v>
          </cell>
          <cell r="G301">
            <v>2790</v>
          </cell>
          <cell r="H301">
            <v>65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65</v>
          </cell>
          <cell r="O301">
            <v>17</v>
          </cell>
          <cell r="P301">
            <v>48</v>
          </cell>
          <cell r="Q301">
            <v>0</v>
          </cell>
          <cell r="R301">
            <v>0</v>
          </cell>
          <cell r="S301">
            <v>62</v>
          </cell>
          <cell r="T301">
            <v>62</v>
          </cell>
          <cell r="U301">
            <v>0</v>
          </cell>
          <cell r="X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62</v>
          </cell>
          <cell r="AE301">
            <v>62</v>
          </cell>
          <cell r="AF301">
            <v>43217</v>
          </cell>
          <cell r="AG301">
            <v>2661</v>
          </cell>
          <cell r="AH301">
            <v>2661</v>
          </cell>
          <cell r="AI301">
            <v>0</v>
          </cell>
          <cell r="AJ301" t="str">
            <v>DA HET SAN XUAT</v>
          </cell>
        </row>
        <row r="302">
          <cell r="D302">
            <v>100018240</v>
          </cell>
          <cell r="E302">
            <v>0</v>
          </cell>
          <cell r="F302">
            <v>6183</v>
          </cell>
          <cell r="G302">
            <v>6183</v>
          </cell>
          <cell r="H302">
            <v>60</v>
          </cell>
          <cell r="I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60</v>
          </cell>
          <cell r="O302">
            <v>0</v>
          </cell>
          <cell r="P302">
            <v>44</v>
          </cell>
          <cell r="Q302">
            <v>16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X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43217</v>
          </cell>
          <cell r="AG302">
            <v>6216</v>
          </cell>
          <cell r="AH302">
            <v>6123</v>
          </cell>
          <cell r="AI302">
            <v>-93</v>
          </cell>
        </row>
        <row r="303">
          <cell r="D303">
            <v>100018242</v>
          </cell>
          <cell r="E303">
            <v>0</v>
          </cell>
          <cell r="F303">
            <v>1841</v>
          </cell>
          <cell r="G303">
            <v>1841</v>
          </cell>
          <cell r="H303">
            <v>46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46</v>
          </cell>
          <cell r="O303">
            <v>0</v>
          </cell>
          <cell r="P303">
            <v>46</v>
          </cell>
          <cell r="Q303">
            <v>0</v>
          </cell>
          <cell r="R303">
            <v>0</v>
          </cell>
          <cell r="S303">
            <v>31</v>
          </cell>
          <cell r="T303">
            <v>31</v>
          </cell>
          <cell r="U303">
            <v>0</v>
          </cell>
          <cell r="X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31</v>
          </cell>
          <cell r="AE303">
            <v>31</v>
          </cell>
          <cell r="AF303">
            <v>43217</v>
          </cell>
          <cell r="AG303">
            <v>1761</v>
          </cell>
          <cell r="AH303">
            <v>1761</v>
          </cell>
          <cell r="AI303">
            <v>0</v>
          </cell>
          <cell r="AJ303" t="str">
            <v>DA HET SAN XUAT</v>
          </cell>
        </row>
        <row r="304">
          <cell r="D304">
            <v>100019044</v>
          </cell>
          <cell r="E304">
            <v>0</v>
          </cell>
          <cell r="F304">
            <v>12790</v>
          </cell>
          <cell r="G304">
            <v>12790</v>
          </cell>
          <cell r="H304">
            <v>220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220</v>
          </cell>
          <cell r="O304">
            <v>0</v>
          </cell>
          <cell r="P304">
            <v>110</v>
          </cell>
          <cell r="Q304">
            <v>110</v>
          </cell>
          <cell r="R304">
            <v>0</v>
          </cell>
          <cell r="S304">
            <v>89</v>
          </cell>
          <cell r="T304">
            <v>89</v>
          </cell>
          <cell r="U304">
            <v>0</v>
          </cell>
          <cell r="X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89</v>
          </cell>
          <cell r="AE304">
            <v>89</v>
          </cell>
          <cell r="AF304">
            <v>43217</v>
          </cell>
          <cell r="AG304">
            <v>6228</v>
          </cell>
          <cell r="AH304">
            <v>6228</v>
          </cell>
          <cell r="AI304">
            <v>0</v>
          </cell>
          <cell r="AJ304" t="str">
            <v>DA HET SAN XUAT</v>
          </cell>
        </row>
        <row r="305">
          <cell r="D305">
            <v>100023527</v>
          </cell>
          <cell r="E305">
            <v>0</v>
          </cell>
          <cell r="F305">
            <v>14681</v>
          </cell>
          <cell r="G305">
            <v>14681</v>
          </cell>
          <cell r="H305">
            <v>634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634</v>
          </cell>
          <cell r="O305">
            <v>11</v>
          </cell>
          <cell r="P305">
            <v>185</v>
          </cell>
          <cell r="Q305">
            <v>438</v>
          </cell>
          <cell r="R305">
            <v>0</v>
          </cell>
          <cell r="S305">
            <v>32</v>
          </cell>
          <cell r="T305">
            <v>32</v>
          </cell>
          <cell r="U305">
            <v>0</v>
          </cell>
          <cell r="X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32</v>
          </cell>
          <cell r="AE305">
            <v>32</v>
          </cell>
          <cell r="AF305">
            <v>43217</v>
          </cell>
          <cell r="AG305">
            <v>6657</v>
          </cell>
          <cell r="AH305">
            <v>6657</v>
          </cell>
          <cell r="AI305">
            <v>0</v>
          </cell>
          <cell r="AJ305" t="str">
            <v>DA HET SAN XUAT</v>
          </cell>
        </row>
        <row r="306">
          <cell r="D306">
            <v>100024705</v>
          </cell>
          <cell r="E306">
            <v>0</v>
          </cell>
          <cell r="F306">
            <v>4824</v>
          </cell>
          <cell r="G306">
            <v>4824</v>
          </cell>
          <cell r="H306">
            <v>69</v>
          </cell>
          <cell r="I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69</v>
          </cell>
          <cell r="O306">
            <v>0</v>
          </cell>
          <cell r="P306">
            <v>23</v>
          </cell>
          <cell r="Q306">
            <v>46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X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43248</v>
          </cell>
          <cell r="AG306">
            <v>4755</v>
          </cell>
          <cell r="AH306">
            <v>4755</v>
          </cell>
          <cell r="AI306">
            <v>0</v>
          </cell>
          <cell r="AJ306" t="str">
            <v>DA HET SAN XUAT</v>
          </cell>
        </row>
        <row r="307">
          <cell r="D307">
            <v>100027400</v>
          </cell>
          <cell r="E307">
            <v>0</v>
          </cell>
          <cell r="F307">
            <v>803</v>
          </cell>
          <cell r="G307">
            <v>803</v>
          </cell>
          <cell r="H307">
            <v>27</v>
          </cell>
          <cell r="I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27</v>
          </cell>
          <cell r="O307">
            <v>1</v>
          </cell>
          <cell r="P307">
            <v>12</v>
          </cell>
          <cell r="Q307">
            <v>14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X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G307">
            <v>0</v>
          </cell>
          <cell r="AH307">
            <v>0</v>
          </cell>
          <cell r="AI307">
            <v>0</v>
          </cell>
          <cell r="AJ307" t="str">
            <v>DA HET SAN XUAT</v>
          </cell>
        </row>
        <row r="308">
          <cell r="D308">
            <v>100027987</v>
          </cell>
          <cell r="E308">
            <v>0</v>
          </cell>
          <cell r="F308">
            <v>5798</v>
          </cell>
          <cell r="G308">
            <v>5798</v>
          </cell>
          <cell r="H308">
            <v>260</v>
          </cell>
          <cell r="I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260</v>
          </cell>
          <cell r="O308">
            <v>0</v>
          </cell>
          <cell r="P308">
            <v>38</v>
          </cell>
          <cell r="Q308">
            <v>222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X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G308">
            <v>0</v>
          </cell>
          <cell r="AH308">
            <v>0</v>
          </cell>
          <cell r="AI308">
            <v>0</v>
          </cell>
          <cell r="AJ308" t="str">
            <v>DA HET SAN XUAT</v>
          </cell>
        </row>
        <row r="309">
          <cell r="D309">
            <v>100028764</v>
          </cell>
          <cell r="E309">
            <v>281</v>
          </cell>
          <cell r="F309">
            <v>5048</v>
          </cell>
          <cell r="G309">
            <v>5329</v>
          </cell>
          <cell r="H309">
            <v>360</v>
          </cell>
          <cell r="I309">
            <v>281</v>
          </cell>
          <cell r="K309">
            <v>361</v>
          </cell>
          <cell r="L309">
            <v>0</v>
          </cell>
          <cell r="M309">
            <v>0</v>
          </cell>
          <cell r="N309">
            <v>280</v>
          </cell>
          <cell r="P309">
            <v>173</v>
          </cell>
          <cell r="Q309">
            <v>107</v>
          </cell>
          <cell r="R309">
            <v>4688</v>
          </cell>
          <cell r="S309">
            <v>0</v>
          </cell>
          <cell r="T309">
            <v>5049</v>
          </cell>
          <cell r="U309">
            <v>361</v>
          </cell>
          <cell r="X309">
            <v>5049</v>
          </cell>
          <cell r="Z309">
            <v>0</v>
          </cell>
          <cell r="AA309">
            <v>0</v>
          </cell>
          <cell r="AB309">
            <v>361</v>
          </cell>
          <cell r="AC309">
            <v>0</v>
          </cell>
          <cell r="AD309">
            <v>0</v>
          </cell>
          <cell r="AE309">
            <v>0</v>
          </cell>
          <cell r="AG309">
            <v>0</v>
          </cell>
          <cell r="AH309">
            <v>0</v>
          </cell>
          <cell r="AI309">
            <v>0</v>
          </cell>
          <cell r="AJ309" t="str">
            <v>DA HET SAN XUAT</v>
          </cell>
        </row>
        <row r="310">
          <cell r="D310">
            <v>100033322</v>
          </cell>
          <cell r="E310">
            <v>0</v>
          </cell>
          <cell r="F310">
            <v>4396</v>
          </cell>
          <cell r="G310">
            <v>4396</v>
          </cell>
          <cell r="H310">
            <v>63</v>
          </cell>
          <cell r="I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63</v>
          </cell>
          <cell r="O310">
            <v>0</v>
          </cell>
          <cell r="P310">
            <v>44</v>
          </cell>
          <cell r="Q310">
            <v>19</v>
          </cell>
          <cell r="R310">
            <v>0</v>
          </cell>
          <cell r="S310">
            <v>16</v>
          </cell>
          <cell r="T310">
            <v>16</v>
          </cell>
          <cell r="U310">
            <v>0</v>
          </cell>
          <cell r="X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16</v>
          </cell>
          <cell r="AE310">
            <v>16</v>
          </cell>
          <cell r="AF310">
            <v>43217</v>
          </cell>
          <cell r="AG310">
            <v>4404</v>
          </cell>
          <cell r="AH310">
            <v>4314</v>
          </cell>
          <cell r="AI310">
            <v>-90</v>
          </cell>
        </row>
        <row r="311">
          <cell r="D311">
            <v>100034173</v>
          </cell>
          <cell r="E311">
            <v>0</v>
          </cell>
          <cell r="F311">
            <v>6878</v>
          </cell>
          <cell r="G311">
            <v>6878</v>
          </cell>
          <cell r="H311">
            <v>195</v>
          </cell>
          <cell r="I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195</v>
          </cell>
          <cell r="O311">
            <v>49</v>
          </cell>
          <cell r="P311">
            <v>102</v>
          </cell>
          <cell r="Q311">
            <v>44</v>
          </cell>
          <cell r="R311">
            <v>12</v>
          </cell>
          <cell r="S311">
            <v>0</v>
          </cell>
          <cell r="T311">
            <v>12</v>
          </cell>
          <cell r="U311">
            <v>0</v>
          </cell>
          <cell r="X311">
            <v>12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G311">
            <v>0</v>
          </cell>
          <cell r="AH311">
            <v>0</v>
          </cell>
          <cell r="AI311">
            <v>0</v>
          </cell>
          <cell r="AJ311" t="str">
            <v>DA HET SAN XUAT</v>
          </cell>
        </row>
        <row r="312">
          <cell r="D312">
            <v>182034833</v>
          </cell>
          <cell r="E312">
            <v>0</v>
          </cell>
          <cell r="F312">
            <v>4590</v>
          </cell>
          <cell r="G312">
            <v>4590</v>
          </cell>
          <cell r="H312">
            <v>133</v>
          </cell>
          <cell r="I312">
            <v>0</v>
          </cell>
          <cell r="K312">
            <v>3</v>
          </cell>
          <cell r="L312">
            <v>0</v>
          </cell>
          <cell r="M312">
            <v>0</v>
          </cell>
          <cell r="N312">
            <v>130</v>
          </cell>
          <cell r="Q312">
            <v>130</v>
          </cell>
          <cell r="R312">
            <v>2845</v>
          </cell>
          <cell r="S312">
            <v>67</v>
          </cell>
          <cell r="T312">
            <v>2915</v>
          </cell>
          <cell r="U312">
            <v>3</v>
          </cell>
          <cell r="X312">
            <v>2845</v>
          </cell>
          <cell r="Z312">
            <v>3</v>
          </cell>
          <cell r="AA312">
            <v>0</v>
          </cell>
          <cell r="AB312">
            <v>3</v>
          </cell>
          <cell r="AC312">
            <v>0</v>
          </cell>
          <cell r="AD312">
            <v>67</v>
          </cell>
          <cell r="AE312">
            <v>67</v>
          </cell>
          <cell r="AF312">
            <v>43213</v>
          </cell>
          <cell r="AG312">
            <v>3644</v>
          </cell>
          <cell r="AH312">
            <v>3644</v>
          </cell>
          <cell r="AI312">
            <v>0</v>
          </cell>
          <cell r="AJ312" t="str">
            <v>DA HET SAN XUAT</v>
          </cell>
        </row>
        <row r="313">
          <cell r="D313">
            <v>464035</v>
          </cell>
          <cell r="E313">
            <v>0</v>
          </cell>
          <cell r="F313">
            <v>19907</v>
          </cell>
          <cell r="G313">
            <v>19907</v>
          </cell>
          <cell r="H313">
            <v>387</v>
          </cell>
          <cell r="I313">
            <v>0</v>
          </cell>
          <cell r="K313">
            <v>20</v>
          </cell>
          <cell r="L313">
            <v>0</v>
          </cell>
          <cell r="M313">
            <v>0</v>
          </cell>
          <cell r="N313">
            <v>367</v>
          </cell>
          <cell r="P313">
            <v>110</v>
          </cell>
          <cell r="Q313">
            <v>257</v>
          </cell>
          <cell r="R313">
            <v>0</v>
          </cell>
          <cell r="S313">
            <v>519</v>
          </cell>
          <cell r="T313">
            <v>539</v>
          </cell>
          <cell r="U313">
            <v>20</v>
          </cell>
          <cell r="X313">
            <v>0</v>
          </cell>
          <cell r="Z313">
            <v>20</v>
          </cell>
          <cell r="AA313">
            <v>0</v>
          </cell>
          <cell r="AB313">
            <v>20</v>
          </cell>
          <cell r="AC313">
            <v>0</v>
          </cell>
          <cell r="AD313">
            <v>519</v>
          </cell>
          <cell r="AE313">
            <v>519</v>
          </cell>
          <cell r="AF313">
            <v>43250</v>
          </cell>
          <cell r="AG313">
            <v>11325</v>
          </cell>
          <cell r="AH313">
            <v>11325</v>
          </cell>
          <cell r="AI313">
            <v>0</v>
          </cell>
          <cell r="AJ313" t="str">
            <v>DA HET SAN XUAT</v>
          </cell>
        </row>
        <row r="314">
          <cell r="D314">
            <v>464354</v>
          </cell>
          <cell r="E314">
            <v>0</v>
          </cell>
          <cell r="F314">
            <v>24806</v>
          </cell>
          <cell r="G314">
            <v>24806</v>
          </cell>
          <cell r="H314">
            <v>3702</v>
          </cell>
          <cell r="I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3702</v>
          </cell>
          <cell r="O314">
            <v>1</v>
          </cell>
          <cell r="P314">
            <v>636</v>
          </cell>
          <cell r="Q314">
            <v>3065</v>
          </cell>
          <cell r="R314">
            <v>0</v>
          </cell>
          <cell r="S314">
            <v>197</v>
          </cell>
          <cell r="T314">
            <v>197</v>
          </cell>
          <cell r="U314">
            <v>0</v>
          </cell>
          <cell r="X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197</v>
          </cell>
          <cell r="AE314">
            <v>197</v>
          </cell>
          <cell r="AF314">
            <v>43229</v>
          </cell>
          <cell r="AG314">
            <v>19605</v>
          </cell>
          <cell r="AH314">
            <v>19605</v>
          </cell>
          <cell r="AI314">
            <v>0</v>
          </cell>
          <cell r="AJ314" t="str">
            <v>DA HET SAN XUAT</v>
          </cell>
        </row>
        <row r="315">
          <cell r="D315">
            <v>469491</v>
          </cell>
          <cell r="E315">
            <v>0</v>
          </cell>
          <cell r="F315">
            <v>8893</v>
          </cell>
          <cell r="G315">
            <v>8893</v>
          </cell>
          <cell r="H315">
            <v>519</v>
          </cell>
          <cell r="I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519</v>
          </cell>
          <cell r="O315">
            <v>0</v>
          </cell>
          <cell r="P315">
            <v>92</v>
          </cell>
          <cell r="Q315">
            <v>427</v>
          </cell>
          <cell r="R315">
            <v>0</v>
          </cell>
          <cell r="S315">
            <v>91</v>
          </cell>
          <cell r="T315">
            <v>91</v>
          </cell>
          <cell r="U315">
            <v>0</v>
          </cell>
          <cell r="X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91</v>
          </cell>
          <cell r="AE315">
            <v>91</v>
          </cell>
          <cell r="AF315">
            <v>43213</v>
          </cell>
          <cell r="AG315">
            <v>6250</v>
          </cell>
          <cell r="AH315">
            <v>6250</v>
          </cell>
          <cell r="AI315">
            <v>0</v>
          </cell>
          <cell r="AJ315" t="str">
            <v>DA HET SAN XUAT</v>
          </cell>
        </row>
        <row r="316">
          <cell r="D316">
            <v>474304</v>
          </cell>
          <cell r="E316">
            <v>0</v>
          </cell>
          <cell r="F316">
            <v>10293</v>
          </cell>
          <cell r="G316">
            <v>10293</v>
          </cell>
          <cell r="H316">
            <v>367</v>
          </cell>
          <cell r="I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366</v>
          </cell>
          <cell r="O316">
            <v>63</v>
          </cell>
          <cell r="P316">
            <v>118</v>
          </cell>
          <cell r="Q316">
            <v>185</v>
          </cell>
          <cell r="R316">
            <v>0</v>
          </cell>
          <cell r="S316">
            <v>179</v>
          </cell>
          <cell r="T316">
            <v>180</v>
          </cell>
          <cell r="U316">
            <v>1</v>
          </cell>
          <cell r="X316">
            <v>0</v>
          </cell>
          <cell r="Z316">
            <v>1</v>
          </cell>
          <cell r="AA316">
            <v>0</v>
          </cell>
          <cell r="AB316">
            <v>1</v>
          </cell>
          <cell r="AC316">
            <v>0</v>
          </cell>
          <cell r="AD316">
            <v>179</v>
          </cell>
          <cell r="AE316">
            <v>179</v>
          </cell>
          <cell r="AF316">
            <v>43234</v>
          </cell>
          <cell r="AG316">
            <v>8699</v>
          </cell>
          <cell r="AH316">
            <v>8831</v>
          </cell>
          <cell r="AI316">
            <v>132</v>
          </cell>
        </row>
        <row r="317">
          <cell r="D317" t="str">
            <v>7X211</v>
          </cell>
          <cell r="E317">
            <v>0</v>
          </cell>
          <cell r="F317">
            <v>363</v>
          </cell>
          <cell r="G317">
            <v>363</v>
          </cell>
          <cell r="H317">
            <v>49</v>
          </cell>
          <cell r="I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49</v>
          </cell>
          <cell r="O317">
            <v>0</v>
          </cell>
          <cell r="P317">
            <v>14</v>
          </cell>
          <cell r="Q317">
            <v>35</v>
          </cell>
          <cell r="R317">
            <v>0</v>
          </cell>
          <cell r="S317">
            <v>3</v>
          </cell>
          <cell r="T317">
            <v>3</v>
          </cell>
          <cell r="U317">
            <v>0</v>
          </cell>
          <cell r="X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3</v>
          </cell>
          <cell r="AE317">
            <v>3</v>
          </cell>
          <cell r="AF317">
            <v>0</v>
          </cell>
          <cell r="AG317">
            <v>4413</v>
          </cell>
          <cell r="AH317">
            <v>3537</v>
          </cell>
          <cell r="AI317">
            <v>-876</v>
          </cell>
        </row>
        <row r="318">
          <cell r="D318">
            <v>100019047</v>
          </cell>
          <cell r="E318">
            <v>0</v>
          </cell>
          <cell r="F318">
            <v>9642</v>
          </cell>
          <cell r="G318">
            <v>9642</v>
          </cell>
          <cell r="H318">
            <v>9642</v>
          </cell>
          <cell r="I318">
            <v>0</v>
          </cell>
          <cell r="K318">
            <v>9264</v>
          </cell>
          <cell r="L318">
            <v>0</v>
          </cell>
          <cell r="M318">
            <v>0</v>
          </cell>
          <cell r="N318">
            <v>378</v>
          </cell>
          <cell r="P318">
            <v>0</v>
          </cell>
          <cell r="Q318">
            <v>378</v>
          </cell>
          <cell r="R318">
            <v>0</v>
          </cell>
          <cell r="S318">
            <v>0</v>
          </cell>
          <cell r="T318">
            <v>9264</v>
          </cell>
          <cell r="U318">
            <v>9264</v>
          </cell>
          <cell r="X318">
            <v>9264</v>
          </cell>
          <cell r="Z318">
            <v>0</v>
          </cell>
          <cell r="AA318">
            <v>0</v>
          </cell>
          <cell r="AB318">
            <v>9264</v>
          </cell>
          <cell r="AC318">
            <v>0</v>
          </cell>
          <cell r="AD318">
            <v>0</v>
          </cell>
          <cell r="AE318">
            <v>0</v>
          </cell>
          <cell r="AF318">
            <v>43260</v>
          </cell>
          <cell r="AG318">
            <v>6884</v>
          </cell>
          <cell r="AH318">
            <v>6740</v>
          </cell>
          <cell r="AI318">
            <v>-144</v>
          </cell>
        </row>
        <row r="319">
          <cell r="D319">
            <v>466798</v>
          </cell>
          <cell r="E319">
            <v>0</v>
          </cell>
          <cell r="F319">
            <v>4778</v>
          </cell>
          <cell r="G319">
            <v>4778</v>
          </cell>
          <cell r="H319">
            <v>548</v>
          </cell>
          <cell r="I319">
            <v>0</v>
          </cell>
          <cell r="K319">
            <v>455</v>
          </cell>
          <cell r="L319">
            <v>0</v>
          </cell>
          <cell r="M319">
            <v>0</v>
          </cell>
          <cell r="N319">
            <v>93</v>
          </cell>
          <cell r="P319">
            <v>32</v>
          </cell>
          <cell r="Q319">
            <v>61</v>
          </cell>
          <cell r="R319">
            <v>137</v>
          </cell>
          <cell r="S319">
            <v>0</v>
          </cell>
          <cell r="T319">
            <v>592</v>
          </cell>
          <cell r="U319">
            <v>455</v>
          </cell>
          <cell r="X319">
            <v>579</v>
          </cell>
          <cell r="Z319">
            <v>0</v>
          </cell>
          <cell r="AA319">
            <v>13</v>
          </cell>
          <cell r="AB319">
            <v>455</v>
          </cell>
          <cell r="AC319">
            <v>0</v>
          </cell>
          <cell r="AD319">
            <v>13</v>
          </cell>
          <cell r="AE319">
            <v>13</v>
          </cell>
          <cell r="AF319">
            <v>43244</v>
          </cell>
          <cell r="AG319">
            <v>4950</v>
          </cell>
          <cell r="AH319">
            <v>4672</v>
          </cell>
          <cell r="AI319">
            <v>-278</v>
          </cell>
        </row>
        <row r="320">
          <cell r="D320">
            <v>468921</v>
          </cell>
          <cell r="E320">
            <v>0</v>
          </cell>
          <cell r="F320">
            <v>7087</v>
          </cell>
          <cell r="G320">
            <v>7087</v>
          </cell>
          <cell r="H320">
            <v>409</v>
          </cell>
          <cell r="I320">
            <v>0</v>
          </cell>
          <cell r="K320">
            <v>98</v>
          </cell>
          <cell r="L320">
            <v>0</v>
          </cell>
          <cell r="M320">
            <v>0</v>
          </cell>
          <cell r="N320">
            <v>311</v>
          </cell>
          <cell r="O320">
            <v>0</v>
          </cell>
          <cell r="P320">
            <v>146</v>
          </cell>
          <cell r="Q320">
            <v>165</v>
          </cell>
          <cell r="R320">
            <v>1428</v>
          </cell>
          <cell r="S320">
            <v>0</v>
          </cell>
          <cell r="T320">
            <v>1526</v>
          </cell>
          <cell r="U320">
            <v>98</v>
          </cell>
          <cell r="X320">
            <v>1469</v>
          </cell>
          <cell r="Z320">
            <v>11</v>
          </cell>
          <cell r="AA320">
            <v>46</v>
          </cell>
          <cell r="AB320">
            <v>98</v>
          </cell>
          <cell r="AC320">
            <v>0</v>
          </cell>
          <cell r="AD320">
            <v>46</v>
          </cell>
          <cell r="AE320">
            <v>46</v>
          </cell>
          <cell r="AF320">
            <v>43242</v>
          </cell>
          <cell r="AG320">
            <v>4269</v>
          </cell>
          <cell r="AH320">
            <v>4269</v>
          </cell>
          <cell r="AI320">
            <v>0</v>
          </cell>
          <cell r="AJ320" t="str">
            <v>DA HET SAN XUAT</v>
          </cell>
        </row>
        <row r="321">
          <cell r="D321">
            <v>469052</v>
          </cell>
          <cell r="E321">
            <v>0</v>
          </cell>
          <cell r="F321">
            <v>11443</v>
          </cell>
          <cell r="G321">
            <v>11443</v>
          </cell>
          <cell r="H321">
            <v>907</v>
          </cell>
          <cell r="I321">
            <v>0</v>
          </cell>
          <cell r="K321">
            <v>11</v>
          </cell>
          <cell r="L321">
            <v>0</v>
          </cell>
          <cell r="M321">
            <v>0</v>
          </cell>
          <cell r="N321">
            <v>896</v>
          </cell>
          <cell r="O321">
            <v>0</v>
          </cell>
          <cell r="P321">
            <v>452</v>
          </cell>
          <cell r="Q321">
            <v>444</v>
          </cell>
          <cell r="R321">
            <v>615</v>
          </cell>
          <cell r="S321">
            <v>0</v>
          </cell>
          <cell r="T321">
            <v>626</v>
          </cell>
          <cell r="U321">
            <v>11</v>
          </cell>
          <cell r="X321">
            <v>616</v>
          </cell>
          <cell r="Z321">
            <v>10</v>
          </cell>
          <cell r="AA321">
            <v>0</v>
          </cell>
          <cell r="AB321">
            <v>11</v>
          </cell>
          <cell r="AC321">
            <v>0</v>
          </cell>
          <cell r="AD321">
            <v>0</v>
          </cell>
          <cell r="AE321">
            <v>0</v>
          </cell>
          <cell r="AF321">
            <v>43244</v>
          </cell>
          <cell r="AG321">
            <v>6066</v>
          </cell>
          <cell r="AH321">
            <v>5866</v>
          </cell>
          <cell r="AI321">
            <v>-200</v>
          </cell>
        </row>
        <row r="322">
          <cell r="D322">
            <v>469493</v>
          </cell>
          <cell r="E322">
            <v>0</v>
          </cell>
          <cell r="F322">
            <v>4427</v>
          </cell>
          <cell r="G322">
            <v>4427</v>
          </cell>
          <cell r="H322">
            <v>628</v>
          </cell>
          <cell r="I322">
            <v>0</v>
          </cell>
          <cell r="K322">
            <v>392</v>
          </cell>
          <cell r="L322">
            <v>0</v>
          </cell>
          <cell r="M322">
            <v>0</v>
          </cell>
          <cell r="N322">
            <v>236</v>
          </cell>
          <cell r="O322">
            <v>0</v>
          </cell>
          <cell r="P322">
            <v>31</v>
          </cell>
          <cell r="Q322">
            <v>205</v>
          </cell>
          <cell r="R322">
            <v>229</v>
          </cell>
          <cell r="S322">
            <v>1</v>
          </cell>
          <cell r="T322">
            <v>622</v>
          </cell>
          <cell r="U322">
            <v>392</v>
          </cell>
          <cell r="X322">
            <v>600</v>
          </cell>
          <cell r="Z322">
            <v>6</v>
          </cell>
          <cell r="AA322">
            <v>15</v>
          </cell>
          <cell r="AB322">
            <v>392</v>
          </cell>
          <cell r="AC322">
            <v>0</v>
          </cell>
          <cell r="AD322">
            <v>16</v>
          </cell>
          <cell r="AE322">
            <v>16</v>
          </cell>
          <cell r="AF322">
            <v>43244</v>
          </cell>
          <cell r="AG322">
            <v>4300</v>
          </cell>
          <cell r="AH322">
            <v>4169</v>
          </cell>
          <cell r="AI322">
            <v>-131</v>
          </cell>
        </row>
        <row r="323">
          <cell r="D323">
            <v>470238</v>
          </cell>
          <cell r="E323">
            <v>0</v>
          </cell>
          <cell r="F323">
            <v>5770</v>
          </cell>
          <cell r="G323">
            <v>5770</v>
          </cell>
          <cell r="H323">
            <v>870</v>
          </cell>
          <cell r="I323">
            <v>0</v>
          </cell>
          <cell r="K323">
            <v>12</v>
          </cell>
          <cell r="L323">
            <v>0</v>
          </cell>
          <cell r="M323">
            <v>0</v>
          </cell>
          <cell r="N323">
            <v>858</v>
          </cell>
          <cell r="O323">
            <v>11</v>
          </cell>
          <cell r="P323">
            <v>793</v>
          </cell>
          <cell r="Q323">
            <v>54</v>
          </cell>
          <cell r="R323">
            <v>300</v>
          </cell>
          <cell r="S323">
            <v>66</v>
          </cell>
          <cell r="T323">
            <v>378</v>
          </cell>
          <cell r="U323">
            <v>12</v>
          </cell>
          <cell r="X323">
            <v>300</v>
          </cell>
          <cell r="Z323">
            <v>12</v>
          </cell>
          <cell r="AA323">
            <v>0</v>
          </cell>
          <cell r="AB323">
            <v>12</v>
          </cell>
          <cell r="AC323">
            <v>0</v>
          </cell>
          <cell r="AD323">
            <v>66</v>
          </cell>
          <cell r="AE323">
            <v>66</v>
          </cell>
          <cell r="AF323">
            <v>43234</v>
          </cell>
          <cell r="AG323">
            <v>4830</v>
          </cell>
          <cell r="AH323">
            <v>4830</v>
          </cell>
          <cell r="AI323">
            <v>0</v>
          </cell>
          <cell r="AJ323" t="str">
            <v>DA HET SAN XUAT</v>
          </cell>
        </row>
        <row r="324">
          <cell r="D324">
            <v>474049</v>
          </cell>
          <cell r="E324">
            <v>0</v>
          </cell>
          <cell r="F324">
            <v>11355</v>
          </cell>
          <cell r="G324">
            <v>11355</v>
          </cell>
          <cell r="H324">
            <v>983</v>
          </cell>
          <cell r="I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983</v>
          </cell>
          <cell r="O324">
            <v>3</v>
          </cell>
          <cell r="P324">
            <v>73</v>
          </cell>
          <cell r="Q324">
            <v>907</v>
          </cell>
          <cell r="R324">
            <v>0</v>
          </cell>
          <cell r="S324">
            <v>107</v>
          </cell>
          <cell r="T324">
            <v>107</v>
          </cell>
          <cell r="U324">
            <v>0</v>
          </cell>
          <cell r="X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107</v>
          </cell>
          <cell r="AE324">
            <v>107</v>
          </cell>
          <cell r="AF324">
            <v>43230</v>
          </cell>
          <cell r="AG324">
            <v>9624</v>
          </cell>
          <cell r="AH324">
            <v>9624</v>
          </cell>
          <cell r="AI324">
            <v>0</v>
          </cell>
          <cell r="AJ324" t="str">
            <v>DA HET SAN XUAT</v>
          </cell>
        </row>
        <row r="325">
          <cell r="D325">
            <v>474816</v>
          </cell>
          <cell r="E325">
            <v>0</v>
          </cell>
          <cell r="F325">
            <v>8587</v>
          </cell>
          <cell r="G325">
            <v>8587</v>
          </cell>
          <cell r="H325">
            <v>646</v>
          </cell>
          <cell r="I325">
            <v>0</v>
          </cell>
          <cell r="K325">
            <v>190</v>
          </cell>
          <cell r="L325">
            <v>0</v>
          </cell>
          <cell r="M325">
            <v>0</v>
          </cell>
          <cell r="N325">
            <v>456</v>
          </cell>
          <cell r="P325">
            <v>150</v>
          </cell>
          <cell r="Q325">
            <v>306</v>
          </cell>
          <cell r="R325">
            <v>890</v>
          </cell>
          <cell r="S325">
            <v>1</v>
          </cell>
          <cell r="T325">
            <v>1081</v>
          </cell>
          <cell r="U325">
            <v>190</v>
          </cell>
          <cell r="X325">
            <v>1000</v>
          </cell>
          <cell r="Z325">
            <v>12</v>
          </cell>
          <cell r="AA325">
            <v>68</v>
          </cell>
          <cell r="AB325">
            <v>190</v>
          </cell>
          <cell r="AC325">
            <v>0</v>
          </cell>
          <cell r="AD325">
            <v>69</v>
          </cell>
          <cell r="AE325">
            <v>69</v>
          </cell>
          <cell r="AF325">
            <v>43244</v>
          </cell>
          <cell r="AG325">
            <v>8300</v>
          </cell>
          <cell r="AH325">
            <v>8050</v>
          </cell>
          <cell r="AI325">
            <v>-250</v>
          </cell>
        </row>
        <row r="326">
          <cell r="D326">
            <v>471157</v>
          </cell>
          <cell r="E326">
            <v>0</v>
          </cell>
          <cell r="F326">
            <v>3170</v>
          </cell>
          <cell r="G326">
            <v>3170</v>
          </cell>
          <cell r="H326">
            <v>94</v>
          </cell>
          <cell r="I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94</v>
          </cell>
          <cell r="O326">
            <v>0</v>
          </cell>
          <cell r="P326">
            <v>35</v>
          </cell>
          <cell r="Q326">
            <v>59</v>
          </cell>
          <cell r="R326">
            <v>0</v>
          </cell>
          <cell r="S326">
            <v>28</v>
          </cell>
          <cell r="T326">
            <v>28</v>
          </cell>
          <cell r="U326">
            <v>0</v>
          </cell>
          <cell r="X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28</v>
          </cell>
          <cell r="AE326">
            <v>28</v>
          </cell>
          <cell r="AF326">
            <v>43235</v>
          </cell>
          <cell r="AG326">
            <v>2853</v>
          </cell>
          <cell r="AH326">
            <v>2805</v>
          </cell>
          <cell r="AI326">
            <v>-48</v>
          </cell>
        </row>
        <row r="327">
          <cell r="D327">
            <v>482924</v>
          </cell>
          <cell r="E327">
            <v>0</v>
          </cell>
          <cell r="F327">
            <v>1234</v>
          </cell>
          <cell r="G327">
            <v>1234</v>
          </cell>
          <cell r="H327">
            <v>70</v>
          </cell>
          <cell r="I327">
            <v>0</v>
          </cell>
          <cell r="K327">
            <v>8</v>
          </cell>
          <cell r="L327">
            <v>0</v>
          </cell>
          <cell r="M327">
            <v>0</v>
          </cell>
          <cell r="N327">
            <v>62</v>
          </cell>
          <cell r="P327">
            <v>11</v>
          </cell>
          <cell r="Q327">
            <v>51</v>
          </cell>
          <cell r="R327">
            <v>0</v>
          </cell>
          <cell r="S327">
            <v>114</v>
          </cell>
          <cell r="T327">
            <v>122</v>
          </cell>
          <cell r="U327">
            <v>8</v>
          </cell>
          <cell r="X327">
            <v>0</v>
          </cell>
          <cell r="Z327">
            <v>8</v>
          </cell>
          <cell r="AA327">
            <v>0</v>
          </cell>
          <cell r="AB327">
            <v>8</v>
          </cell>
          <cell r="AC327">
            <v>0</v>
          </cell>
          <cell r="AD327">
            <v>114</v>
          </cell>
          <cell r="AE327">
            <v>114</v>
          </cell>
          <cell r="AF327">
            <v>43235</v>
          </cell>
          <cell r="AG327">
            <v>1050</v>
          </cell>
          <cell r="AH327">
            <v>1050</v>
          </cell>
          <cell r="AI327">
            <v>0</v>
          </cell>
          <cell r="AJ327" t="str">
            <v>DA HET SAN XUAT</v>
          </cell>
        </row>
        <row r="328">
          <cell r="D328">
            <v>466742</v>
          </cell>
          <cell r="E328">
            <v>610</v>
          </cell>
          <cell r="F328">
            <v>19531</v>
          </cell>
          <cell r="G328">
            <v>20141</v>
          </cell>
          <cell r="H328">
            <v>883</v>
          </cell>
          <cell r="I328">
            <v>610</v>
          </cell>
          <cell r="K328">
            <v>571</v>
          </cell>
          <cell r="L328">
            <v>0</v>
          </cell>
          <cell r="M328">
            <v>0</v>
          </cell>
          <cell r="N328">
            <v>922</v>
          </cell>
          <cell r="O328">
            <v>0</v>
          </cell>
          <cell r="P328">
            <v>474</v>
          </cell>
          <cell r="Q328">
            <v>448</v>
          </cell>
          <cell r="R328">
            <v>17628</v>
          </cell>
          <cell r="S328">
            <v>0</v>
          </cell>
          <cell r="T328">
            <v>18199</v>
          </cell>
          <cell r="U328">
            <v>571</v>
          </cell>
          <cell r="X328">
            <v>17958</v>
          </cell>
          <cell r="Z328">
            <v>20</v>
          </cell>
          <cell r="AA328">
            <v>221</v>
          </cell>
          <cell r="AB328">
            <v>571</v>
          </cell>
          <cell r="AC328">
            <v>0</v>
          </cell>
          <cell r="AD328">
            <v>221</v>
          </cell>
          <cell r="AE328">
            <v>221</v>
          </cell>
          <cell r="AF328">
            <v>43248</v>
          </cell>
          <cell r="AG328">
            <v>19508</v>
          </cell>
          <cell r="AH328">
            <v>18906</v>
          </cell>
          <cell r="AI328">
            <v>-602</v>
          </cell>
        </row>
        <row r="329">
          <cell r="D329">
            <v>100018226</v>
          </cell>
          <cell r="E329">
            <v>0</v>
          </cell>
          <cell r="F329">
            <v>2288</v>
          </cell>
          <cell r="G329">
            <v>2288</v>
          </cell>
          <cell r="H329">
            <v>81</v>
          </cell>
          <cell r="I329">
            <v>0</v>
          </cell>
          <cell r="K329">
            <v>2</v>
          </cell>
          <cell r="L329">
            <v>0</v>
          </cell>
          <cell r="M329">
            <v>0</v>
          </cell>
          <cell r="N329">
            <v>79</v>
          </cell>
          <cell r="P329">
            <v>18</v>
          </cell>
          <cell r="Q329">
            <v>61</v>
          </cell>
          <cell r="R329">
            <v>0</v>
          </cell>
          <cell r="S329">
            <v>0</v>
          </cell>
          <cell r="T329">
            <v>2</v>
          </cell>
          <cell r="U329">
            <v>2</v>
          </cell>
          <cell r="X329">
            <v>0</v>
          </cell>
          <cell r="Z329">
            <v>2</v>
          </cell>
          <cell r="AA329">
            <v>0</v>
          </cell>
          <cell r="AB329">
            <v>2</v>
          </cell>
          <cell r="AC329">
            <v>0</v>
          </cell>
          <cell r="AD329">
            <v>0</v>
          </cell>
          <cell r="AE329">
            <v>0</v>
          </cell>
          <cell r="AF329">
            <v>43248</v>
          </cell>
          <cell r="AG329">
            <v>1281</v>
          </cell>
          <cell r="AH329">
            <v>1281</v>
          </cell>
          <cell r="AI329">
            <v>0</v>
          </cell>
          <cell r="AJ329" t="str">
            <v>DA HET SAN XUAT</v>
          </cell>
        </row>
        <row r="330">
          <cell r="D330">
            <v>100035009</v>
          </cell>
          <cell r="E330">
            <v>2546</v>
          </cell>
          <cell r="F330">
            <v>5365</v>
          </cell>
          <cell r="G330">
            <v>7911</v>
          </cell>
          <cell r="H330">
            <v>1900</v>
          </cell>
          <cell r="I330">
            <v>2546</v>
          </cell>
          <cell r="K330">
            <v>3975</v>
          </cell>
          <cell r="L330">
            <v>0</v>
          </cell>
          <cell r="M330">
            <v>0</v>
          </cell>
          <cell r="N330">
            <v>471</v>
          </cell>
          <cell r="P330">
            <v>44</v>
          </cell>
          <cell r="Q330">
            <v>427</v>
          </cell>
          <cell r="R330">
            <v>5</v>
          </cell>
          <cell r="S330">
            <v>0</v>
          </cell>
          <cell r="T330">
            <v>3980</v>
          </cell>
          <cell r="U330">
            <v>3975</v>
          </cell>
          <cell r="X330">
            <v>3917</v>
          </cell>
          <cell r="Z330">
            <v>3</v>
          </cell>
          <cell r="AA330">
            <v>60</v>
          </cell>
          <cell r="AB330">
            <v>3975</v>
          </cell>
          <cell r="AC330">
            <v>0</v>
          </cell>
          <cell r="AD330">
            <v>60</v>
          </cell>
          <cell r="AE330">
            <v>60</v>
          </cell>
          <cell r="AF330">
            <v>43240</v>
          </cell>
          <cell r="AG330">
            <v>7409</v>
          </cell>
          <cell r="AH330">
            <v>7373</v>
          </cell>
          <cell r="AI330">
            <v>-36</v>
          </cell>
        </row>
        <row r="331">
          <cell r="D331">
            <v>174034865</v>
          </cell>
          <cell r="E331">
            <v>0</v>
          </cell>
          <cell r="F331">
            <v>8809</v>
          </cell>
          <cell r="G331">
            <v>8809</v>
          </cell>
          <cell r="H331">
            <v>507</v>
          </cell>
          <cell r="I331">
            <v>0</v>
          </cell>
          <cell r="K331">
            <v>11</v>
          </cell>
          <cell r="L331">
            <v>0</v>
          </cell>
          <cell r="M331">
            <v>0</v>
          </cell>
          <cell r="N331">
            <v>496</v>
          </cell>
          <cell r="O331">
            <v>0</v>
          </cell>
          <cell r="P331">
            <v>236</v>
          </cell>
          <cell r="Q331">
            <v>260</v>
          </cell>
          <cell r="R331">
            <v>0</v>
          </cell>
          <cell r="S331">
            <v>275</v>
          </cell>
          <cell r="T331">
            <v>286</v>
          </cell>
          <cell r="U331">
            <v>11</v>
          </cell>
          <cell r="X331">
            <v>0</v>
          </cell>
          <cell r="Z331">
            <v>11</v>
          </cell>
          <cell r="AA331">
            <v>0</v>
          </cell>
          <cell r="AB331">
            <v>11</v>
          </cell>
          <cell r="AC331">
            <v>0</v>
          </cell>
          <cell r="AD331">
            <v>275</v>
          </cell>
          <cell r="AE331">
            <v>275</v>
          </cell>
          <cell r="AF331">
            <v>43249</v>
          </cell>
          <cell r="AG331">
            <v>5600</v>
          </cell>
          <cell r="AH331">
            <v>5338</v>
          </cell>
          <cell r="AI331">
            <v>-262</v>
          </cell>
        </row>
        <row r="332">
          <cell r="D332">
            <v>464202</v>
          </cell>
          <cell r="E332">
            <v>586</v>
          </cell>
          <cell r="F332">
            <v>2313</v>
          </cell>
          <cell r="G332">
            <v>2899</v>
          </cell>
          <cell r="H332">
            <v>266</v>
          </cell>
          <cell r="I332">
            <v>586</v>
          </cell>
          <cell r="K332">
            <v>612</v>
          </cell>
          <cell r="L332">
            <v>0</v>
          </cell>
          <cell r="M332">
            <v>0</v>
          </cell>
          <cell r="N332">
            <v>240</v>
          </cell>
          <cell r="P332">
            <v>31</v>
          </cell>
          <cell r="Q332">
            <v>209</v>
          </cell>
          <cell r="R332">
            <v>509</v>
          </cell>
          <cell r="S332">
            <v>0</v>
          </cell>
          <cell r="T332">
            <v>1121</v>
          </cell>
          <cell r="U332">
            <v>612</v>
          </cell>
          <cell r="X332">
            <v>1090</v>
          </cell>
          <cell r="Z332">
            <v>9</v>
          </cell>
          <cell r="AA332">
            <v>22</v>
          </cell>
          <cell r="AB332">
            <v>612</v>
          </cell>
          <cell r="AC332">
            <v>0</v>
          </cell>
          <cell r="AD332">
            <v>22</v>
          </cell>
          <cell r="AE332">
            <v>22</v>
          </cell>
          <cell r="AF332">
            <v>43251</v>
          </cell>
          <cell r="AG332">
            <v>1600</v>
          </cell>
          <cell r="AH332">
            <v>1538</v>
          </cell>
          <cell r="AI332">
            <v>-62</v>
          </cell>
        </row>
        <row r="333">
          <cell r="D333">
            <v>466748</v>
          </cell>
          <cell r="E333">
            <v>0</v>
          </cell>
          <cell r="F333">
            <v>15532</v>
          </cell>
          <cell r="G333">
            <v>15532</v>
          </cell>
          <cell r="H333">
            <v>1184</v>
          </cell>
          <cell r="I333">
            <v>0</v>
          </cell>
          <cell r="K333">
            <v>424</v>
          </cell>
          <cell r="L333">
            <v>0</v>
          </cell>
          <cell r="M333">
            <v>0</v>
          </cell>
          <cell r="N333">
            <v>760</v>
          </cell>
          <cell r="P333">
            <v>492</v>
          </cell>
          <cell r="Q333">
            <v>268</v>
          </cell>
          <cell r="R333">
            <v>748</v>
          </cell>
          <cell r="S333">
            <v>0</v>
          </cell>
          <cell r="T333">
            <v>1172</v>
          </cell>
          <cell r="U333">
            <v>424</v>
          </cell>
          <cell r="X333">
            <v>748</v>
          </cell>
          <cell r="Z333">
            <v>13</v>
          </cell>
          <cell r="AA333">
            <v>411</v>
          </cell>
          <cell r="AB333">
            <v>424</v>
          </cell>
          <cell r="AC333">
            <v>0</v>
          </cell>
          <cell r="AD333">
            <v>411</v>
          </cell>
          <cell r="AE333">
            <v>411</v>
          </cell>
          <cell r="AF333">
            <v>43244</v>
          </cell>
          <cell r="AG333">
            <v>14348</v>
          </cell>
          <cell r="AH333">
            <v>14348</v>
          </cell>
          <cell r="AI333">
            <v>0</v>
          </cell>
          <cell r="AJ333" t="str">
            <v>DA HET SAN XUAT</v>
          </cell>
        </row>
        <row r="334">
          <cell r="D334">
            <v>468918</v>
          </cell>
          <cell r="E334">
            <v>0</v>
          </cell>
          <cell r="F334">
            <v>2329</v>
          </cell>
          <cell r="G334">
            <v>2329</v>
          </cell>
          <cell r="H334">
            <v>99</v>
          </cell>
          <cell r="I334">
            <v>0</v>
          </cell>
          <cell r="K334">
            <v>10</v>
          </cell>
          <cell r="L334">
            <v>0</v>
          </cell>
          <cell r="M334">
            <v>0</v>
          </cell>
          <cell r="N334">
            <v>89</v>
          </cell>
          <cell r="O334">
            <v>0</v>
          </cell>
          <cell r="P334">
            <v>52</v>
          </cell>
          <cell r="Q334">
            <v>37</v>
          </cell>
          <cell r="R334">
            <v>300</v>
          </cell>
          <cell r="S334">
            <v>30</v>
          </cell>
          <cell r="T334">
            <v>340</v>
          </cell>
          <cell r="U334">
            <v>10</v>
          </cell>
          <cell r="X334">
            <v>300</v>
          </cell>
          <cell r="Z334">
            <v>10</v>
          </cell>
          <cell r="AA334">
            <v>0</v>
          </cell>
          <cell r="AB334">
            <v>10</v>
          </cell>
          <cell r="AC334">
            <v>0</v>
          </cell>
          <cell r="AD334">
            <v>30</v>
          </cell>
          <cell r="AE334">
            <v>30</v>
          </cell>
          <cell r="AF334">
            <v>43242</v>
          </cell>
          <cell r="AG334">
            <v>2200</v>
          </cell>
          <cell r="AH334">
            <v>2200</v>
          </cell>
          <cell r="AI334">
            <v>0</v>
          </cell>
          <cell r="AJ334" t="str">
            <v>DA HET SAN XUAT</v>
          </cell>
        </row>
        <row r="335">
          <cell r="D335">
            <v>469040</v>
          </cell>
          <cell r="E335">
            <v>380</v>
          </cell>
          <cell r="F335">
            <v>7927</v>
          </cell>
          <cell r="G335">
            <v>8307</v>
          </cell>
          <cell r="H335">
            <v>3094</v>
          </cell>
          <cell r="I335">
            <v>380</v>
          </cell>
          <cell r="K335">
            <v>2132</v>
          </cell>
          <cell r="L335">
            <v>0</v>
          </cell>
          <cell r="M335">
            <v>0</v>
          </cell>
          <cell r="N335">
            <v>1342</v>
          </cell>
          <cell r="O335">
            <v>0</v>
          </cell>
          <cell r="P335">
            <v>379</v>
          </cell>
          <cell r="Q335">
            <v>963</v>
          </cell>
          <cell r="R335">
            <v>4418</v>
          </cell>
          <cell r="S335">
            <v>0</v>
          </cell>
          <cell r="T335">
            <v>6550</v>
          </cell>
          <cell r="U335">
            <v>2132</v>
          </cell>
          <cell r="X335">
            <v>6550</v>
          </cell>
          <cell r="Z335">
            <v>0</v>
          </cell>
          <cell r="AA335">
            <v>0</v>
          </cell>
          <cell r="AB335">
            <v>2132</v>
          </cell>
          <cell r="AC335">
            <v>0</v>
          </cell>
          <cell r="AD335">
            <v>0</v>
          </cell>
          <cell r="AE335">
            <v>0</v>
          </cell>
          <cell r="AF335">
            <v>43248</v>
          </cell>
          <cell r="AG335">
            <v>8282</v>
          </cell>
          <cell r="AH335">
            <v>6965</v>
          </cell>
          <cell r="AI335">
            <v>-1317</v>
          </cell>
        </row>
        <row r="336">
          <cell r="D336">
            <v>469041</v>
          </cell>
          <cell r="E336">
            <v>356</v>
          </cell>
          <cell r="F336">
            <v>6892</v>
          </cell>
          <cell r="G336">
            <v>7248</v>
          </cell>
          <cell r="H336">
            <v>283</v>
          </cell>
          <cell r="I336">
            <v>356</v>
          </cell>
          <cell r="K336">
            <v>322</v>
          </cell>
          <cell r="L336">
            <v>0</v>
          </cell>
          <cell r="M336">
            <v>0</v>
          </cell>
          <cell r="N336">
            <v>317</v>
          </cell>
          <cell r="O336">
            <v>0</v>
          </cell>
          <cell r="P336">
            <v>260</v>
          </cell>
          <cell r="Q336">
            <v>57</v>
          </cell>
          <cell r="R336">
            <v>113</v>
          </cell>
          <cell r="S336">
            <v>4</v>
          </cell>
          <cell r="T336">
            <v>439</v>
          </cell>
          <cell r="U336">
            <v>322</v>
          </cell>
          <cell r="X336">
            <v>403</v>
          </cell>
          <cell r="Z336">
            <v>0</v>
          </cell>
          <cell r="AA336">
            <v>32</v>
          </cell>
          <cell r="AB336">
            <v>322</v>
          </cell>
          <cell r="AC336">
            <v>0</v>
          </cell>
          <cell r="AD336">
            <v>36</v>
          </cell>
          <cell r="AE336">
            <v>36</v>
          </cell>
          <cell r="AF336">
            <v>43237</v>
          </cell>
          <cell r="AG336">
            <v>7723</v>
          </cell>
          <cell r="AH336">
            <v>6895</v>
          </cell>
          <cell r="AI336">
            <v>-828</v>
          </cell>
        </row>
        <row r="337">
          <cell r="D337">
            <v>469042</v>
          </cell>
          <cell r="E337">
            <v>0</v>
          </cell>
          <cell r="F337">
            <v>6305</v>
          </cell>
          <cell r="G337">
            <v>6305</v>
          </cell>
          <cell r="H337">
            <v>874</v>
          </cell>
          <cell r="I337">
            <v>0</v>
          </cell>
          <cell r="K337">
            <v>410</v>
          </cell>
          <cell r="L337">
            <v>0</v>
          </cell>
          <cell r="M337">
            <v>0</v>
          </cell>
          <cell r="N337">
            <v>464</v>
          </cell>
          <cell r="O337">
            <v>0</v>
          </cell>
          <cell r="P337">
            <v>227</v>
          </cell>
          <cell r="Q337">
            <v>237</v>
          </cell>
          <cell r="R337">
            <v>5071</v>
          </cell>
          <cell r="S337">
            <v>0</v>
          </cell>
          <cell r="T337">
            <v>5481</v>
          </cell>
          <cell r="U337">
            <v>410</v>
          </cell>
          <cell r="X337">
            <v>5394</v>
          </cell>
          <cell r="Z337">
            <v>17</v>
          </cell>
          <cell r="AA337">
            <v>70</v>
          </cell>
          <cell r="AB337">
            <v>410</v>
          </cell>
          <cell r="AC337">
            <v>0</v>
          </cell>
          <cell r="AD337">
            <v>70</v>
          </cell>
          <cell r="AE337">
            <v>70</v>
          </cell>
          <cell r="AF337">
            <v>43248</v>
          </cell>
          <cell r="AG337">
            <v>6900</v>
          </cell>
          <cell r="AH337">
            <v>5754</v>
          </cell>
          <cell r="AI337">
            <v>-1146</v>
          </cell>
        </row>
        <row r="338">
          <cell r="D338">
            <v>471140</v>
          </cell>
          <cell r="E338">
            <v>0</v>
          </cell>
          <cell r="F338">
            <v>11248</v>
          </cell>
          <cell r="G338">
            <v>11248</v>
          </cell>
          <cell r="H338">
            <v>1591</v>
          </cell>
          <cell r="I338">
            <v>0</v>
          </cell>
          <cell r="K338">
            <v>46</v>
          </cell>
          <cell r="L338">
            <v>0</v>
          </cell>
          <cell r="M338">
            <v>0</v>
          </cell>
          <cell r="N338">
            <v>1545</v>
          </cell>
          <cell r="O338">
            <v>0</v>
          </cell>
          <cell r="P338">
            <v>123</v>
          </cell>
          <cell r="Q338">
            <v>1422</v>
          </cell>
          <cell r="R338">
            <v>0</v>
          </cell>
          <cell r="S338">
            <v>154</v>
          </cell>
          <cell r="T338">
            <v>200</v>
          </cell>
          <cell r="U338">
            <v>46</v>
          </cell>
          <cell r="X338">
            <v>0</v>
          </cell>
          <cell r="Z338">
            <v>33</v>
          </cell>
          <cell r="AA338">
            <v>13</v>
          </cell>
          <cell r="AB338">
            <v>46</v>
          </cell>
          <cell r="AC338">
            <v>0</v>
          </cell>
          <cell r="AD338">
            <v>167</v>
          </cell>
          <cell r="AE338">
            <v>167</v>
          </cell>
          <cell r="AF338">
            <v>43244</v>
          </cell>
          <cell r="AG338">
            <v>9044</v>
          </cell>
          <cell r="AH338">
            <v>9016</v>
          </cell>
          <cell r="AI338">
            <v>-28</v>
          </cell>
        </row>
        <row r="339">
          <cell r="D339">
            <v>473551</v>
          </cell>
          <cell r="E339">
            <v>0</v>
          </cell>
          <cell r="F339">
            <v>18038</v>
          </cell>
          <cell r="G339">
            <v>18038</v>
          </cell>
          <cell r="H339">
            <v>889</v>
          </cell>
          <cell r="I339">
            <v>0</v>
          </cell>
          <cell r="K339">
            <v>20</v>
          </cell>
          <cell r="L339">
            <v>0</v>
          </cell>
          <cell r="M339">
            <v>0</v>
          </cell>
          <cell r="N339">
            <v>869</v>
          </cell>
          <cell r="O339">
            <v>0</v>
          </cell>
          <cell r="P339">
            <v>510</v>
          </cell>
          <cell r="Q339">
            <v>359</v>
          </cell>
          <cell r="R339">
            <v>0</v>
          </cell>
          <cell r="S339">
            <v>381</v>
          </cell>
          <cell r="T339">
            <v>401</v>
          </cell>
          <cell r="U339">
            <v>20</v>
          </cell>
          <cell r="X339">
            <v>0</v>
          </cell>
          <cell r="Z339">
            <v>20</v>
          </cell>
          <cell r="AA339">
            <v>0</v>
          </cell>
          <cell r="AB339">
            <v>20</v>
          </cell>
          <cell r="AC339">
            <v>0</v>
          </cell>
          <cell r="AD339">
            <v>381</v>
          </cell>
          <cell r="AE339">
            <v>381</v>
          </cell>
          <cell r="AF339">
            <v>43241</v>
          </cell>
          <cell r="AG339">
            <v>16700</v>
          </cell>
          <cell r="AH339">
            <v>16764</v>
          </cell>
          <cell r="AI339">
            <v>64</v>
          </cell>
        </row>
        <row r="340">
          <cell r="D340">
            <v>474874</v>
          </cell>
          <cell r="E340">
            <v>0</v>
          </cell>
          <cell r="F340">
            <v>9954</v>
          </cell>
          <cell r="G340">
            <v>9954</v>
          </cell>
          <cell r="H340">
            <v>573</v>
          </cell>
          <cell r="I340">
            <v>0</v>
          </cell>
          <cell r="K340">
            <v>6</v>
          </cell>
          <cell r="L340">
            <v>0</v>
          </cell>
          <cell r="M340">
            <v>0</v>
          </cell>
          <cell r="N340">
            <v>567</v>
          </cell>
          <cell r="O340">
            <v>0</v>
          </cell>
          <cell r="P340">
            <v>267</v>
          </cell>
          <cell r="Q340">
            <v>300</v>
          </cell>
          <cell r="R340">
            <v>0</v>
          </cell>
          <cell r="S340">
            <v>0</v>
          </cell>
          <cell r="T340">
            <v>6</v>
          </cell>
          <cell r="U340">
            <v>6</v>
          </cell>
          <cell r="X340">
            <v>0</v>
          </cell>
          <cell r="Z340">
            <v>6</v>
          </cell>
          <cell r="AA340">
            <v>0</v>
          </cell>
          <cell r="AB340">
            <v>6</v>
          </cell>
          <cell r="AC340">
            <v>0</v>
          </cell>
          <cell r="AD340">
            <v>0</v>
          </cell>
          <cell r="AE340">
            <v>0</v>
          </cell>
          <cell r="AF340">
            <v>43250</v>
          </cell>
          <cell r="AG340">
            <v>9381</v>
          </cell>
          <cell r="AH340">
            <v>9381</v>
          </cell>
          <cell r="AI340">
            <v>0</v>
          </cell>
          <cell r="AJ340" t="str">
            <v>DA HET SAN XUAT</v>
          </cell>
        </row>
        <row r="341">
          <cell r="D341">
            <v>475746</v>
          </cell>
          <cell r="E341">
            <v>0</v>
          </cell>
          <cell r="F341">
            <v>4633</v>
          </cell>
          <cell r="G341">
            <v>4633</v>
          </cell>
          <cell r="H341">
            <v>399</v>
          </cell>
          <cell r="I341">
            <v>0</v>
          </cell>
          <cell r="K341">
            <v>9</v>
          </cell>
          <cell r="L341">
            <v>0</v>
          </cell>
          <cell r="M341">
            <v>0</v>
          </cell>
          <cell r="N341">
            <v>390</v>
          </cell>
          <cell r="O341">
            <v>0</v>
          </cell>
          <cell r="P341">
            <v>281</v>
          </cell>
          <cell r="Q341">
            <v>109</v>
          </cell>
          <cell r="R341">
            <v>0</v>
          </cell>
          <cell r="S341">
            <v>32</v>
          </cell>
          <cell r="T341">
            <v>41</v>
          </cell>
          <cell r="U341">
            <v>9</v>
          </cell>
          <cell r="X341">
            <v>0</v>
          </cell>
          <cell r="Z341">
            <v>9</v>
          </cell>
          <cell r="AA341">
            <v>0</v>
          </cell>
          <cell r="AB341">
            <v>9</v>
          </cell>
          <cell r="AC341">
            <v>0</v>
          </cell>
          <cell r="AD341">
            <v>32</v>
          </cell>
          <cell r="AE341">
            <v>32</v>
          </cell>
          <cell r="AF341">
            <v>43244</v>
          </cell>
          <cell r="AG341">
            <v>3905</v>
          </cell>
          <cell r="AH341">
            <v>4023</v>
          </cell>
          <cell r="AI341">
            <v>118</v>
          </cell>
        </row>
        <row r="342">
          <cell r="D342">
            <v>100018130</v>
          </cell>
          <cell r="E342">
            <v>1590</v>
          </cell>
          <cell r="F342">
            <v>6437</v>
          </cell>
          <cell r="G342">
            <v>8027</v>
          </cell>
          <cell r="H342">
            <v>6437</v>
          </cell>
          <cell r="I342">
            <v>1590</v>
          </cell>
          <cell r="K342">
            <v>7946</v>
          </cell>
          <cell r="L342">
            <v>0</v>
          </cell>
          <cell r="M342">
            <v>0</v>
          </cell>
          <cell r="N342">
            <v>81</v>
          </cell>
          <cell r="O342">
            <v>0</v>
          </cell>
          <cell r="P342">
            <v>0</v>
          </cell>
          <cell r="Q342">
            <v>81</v>
          </cell>
          <cell r="R342">
            <v>0</v>
          </cell>
          <cell r="S342">
            <v>0</v>
          </cell>
          <cell r="T342">
            <v>7946</v>
          </cell>
          <cell r="U342">
            <v>7946</v>
          </cell>
          <cell r="X342">
            <v>7855</v>
          </cell>
          <cell r="Z342">
            <v>2</v>
          </cell>
          <cell r="AA342">
            <v>89</v>
          </cell>
          <cell r="AB342">
            <v>7946</v>
          </cell>
          <cell r="AC342">
            <v>0</v>
          </cell>
          <cell r="AD342">
            <v>89</v>
          </cell>
          <cell r="AE342">
            <v>89</v>
          </cell>
          <cell r="AF342">
            <v>43260</v>
          </cell>
          <cell r="AG342">
            <v>3722</v>
          </cell>
          <cell r="AH342">
            <v>3686</v>
          </cell>
          <cell r="AI342">
            <v>-36</v>
          </cell>
        </row>
        <row r="343">
          <cell r="D343">
            <v>100018197</v>
          </cell>
          <cell r="E343">
            <v>0</v>
          </cell>
          <cell r="F343">
            <v>9784</v>
          </cell>
          <cell r="G343">
            <v>9784</v>
          </cell>
          <cell r="H343">
            <v>9555</v>
          </cell>
          <cell r="I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9555</v>
          </cell>
          <cell r="O343">
            <v>0</v>
          </cell>
          <cell r="P343">
            <v>175</v>
          </cell>
          <cell r="Q343">
            <v>9380</v>
          </cell>
          <cell r="R343">
            <v>0</v>
          </cell>
          <cell r="S343">
            <v>225</v>
          </cell>
          <cell r="T343">
            <v>225</v>
          </cell>
          <cell r="U343">
            <v>0</v>
          </cell>
          <cell r="X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225</v>
          </cell>
          <cell r="AE343">
            <v>225</v>
          </cell>
          <cell r="AF343">
            <v>43214</v>
          </cell>
          <cell r="AG343">
            <v>7122</v>
          </cell>
          <cell r="AH343">
            <v>7122</v>
          </cell>
          <cell r="AI343">
            <v>0</v>
          </cell>
          <cell r="AJ343" t="str">
            <v>DA HET SAN XUAT</v>
          </cell>
        </row>
        <row r="344">
          <cell r="D344">
            <v>100018200</v>
          </cell>
          <cell r="E344">
            <v>0</v>
          </cell>
          <cell r="F344">
            <v>4180</v>
          </cell>
          <cell r="G344">
            <v>4180</v>
          </cell>
          <cell r="H344">
            <v>1895</v>
          </cell>
          <cell r="I344">
            <v>0</v>
          </cell>
          <cell r="K344">
            <v>1757</v>
          </cell>
          <cell r="L344">
            <v>0</v>
          </cell>
          <cell r="M344">
            <v>0</v>
          </cell>
          <cell r="N344">
            <v>138</v>
          </cell>
          <cell r="O344">
            <v>0</v>
          </cell>
          <cell r="P344">
            <v>0</v>
          </cell>
          <cell r="Q344">
            <v>138</v>
          </cell>
          <cell r="R344">
            <v>2285</v>
          </cell>
          <cell r="S344">
            <v>0</v>
          </cell>
          <cell r="T344">
            <v>4042</v>
          </cell>
          <cell r="U344">
            <v>1757</v>
          </cell>
          <cell r="X344">
            <v>3966</v>
          </cell>
          <cell r="Z344">
            <v>4</v>
          </cell>
          <cell r="AA344">
            <v>72</v>
          </cell>
          <cell r="AB344">
            <v>1757</v>
          </cell>
          <cell r="AC344">
            <v>0</v>
          </cell>
          <cell r="AD344">
            <v>72</v>
          </cell>
          <cell r="AE344">
            <v>72</v>
          </cell>
          <cell r="AF344">
            <v>43258</v>
          </cell>
          <cell r="AG344">
            <v>1788</v>
          </cell>
          <cell r="AH344">
            <v>1788</v>
          </cell>
          <cell r="AI344">
            <v>0</v>
          </cell>
          <cell r="AJ344" t="str">
            <v>DA HET SAN XUAT</v>
          </cell>
        </row>
        <row r="345">
          <cell r="D345">
            <v>100018207</v>
          </cell>
          <cell r="E345">
            <v>3</v>
          </cell>
          <cell r="F345">
            <v>3321</v>
          </cell>
          <cell r="G345">
            <v>3324</v>
          </cell>
          <cell r="H345">
            <v>3321</v>
          </cell>
          <cell r="I345">
            <v>3</v>
          </cell>
          <cell r="K345">
            <v>3058</v>
          </cell>
          <cell r="L345">
            <v>0</v>
          </cell>
          <cell r="M345">
            <v>0</v>
          </cell>
          <cell r="N345">
            <v>266</v>
          </cell>
          <cell r="O345">
            <v>152</v>
          </cell>
          <cell r="P345">
            <v>90</v>
          </cell>
          <cell r="Q345">
            <v>24</v>
          </cell>
          <cell r="R345">
            <v>0</v>
          </cell>
          <cell r="S345">
            <v>0</v>
          </cell>
          <cell r="T345">
            <v>3058</v>
          </cell>
          <cell r="U345">
            <v>3058</v>
          </cell>
          <cell r="X345">
            <v>3038</v>
          </cell>
          <cell r="Z345">
            <v>0</v>
          </cell>
          <cell r="AA345">
            <v>20</v>
          </cell>
          <cell r="AB345">
            <v>3058</v>
          </cell>
          <cell r="AC345">
            <v>0</v>
          </cell>
          <cell r="AD345">
            <v>20</v>
          </cell>
          <cell r="AE345">
            <v>20</v>
          </cell>
          <cell r="AF345">
            <v>43260</v>
          </cell>
          <cell r="AG345">
            <v>1563</v>
          </cell>
          <cell r="AH345">
            <v>1503</v>
          </cell>
          <cell r="AI345">
            <v>-60</v>
          </cell>
        </row>
        <row r="346">
          <cell r="D346">
            <v>100018229</v>
          </cell>
          <cell r="E346">
            <v>59</v>
          </cell>
          <cell r="F346">
            <v>9739</v>
          </cell>
          <cell r="G346">
            <v>9798</v>
          </cell>
          <cell r="H346">
            <v>1582</v>
          </cell>
          <cell r="I346">
            <v>59</v>
          </cell>
          <cell r="K346">
            <v>1381</v>
          </cell>
          <cell r="L346">
            <v>0</v>
          </cell>
          <cell r="M346">
            <v>0</v>
          </cell>
          <cell r="N346">
            <v>260</v>
          </cell>
          <cell r="O346">
            <v>0</v>
          </cell>
          <cell r="P346">
            <v>10</v>
          </cell>
          <cell r="Q346">
            <v>250</v>
          </cell>
          <cell r="R346">
            <v>8157</v>
          </cell>
          <cell r="S346">
            <v>0</v>
          </cell>
          <cell r="T346">
            <v>9538</v>
          </cell>
          <cell r="U346">
            <v>1381</v>
          </cell>
          <cell r="X346">
            <v>9428</v>
          </cell>
          <cell r="Z346">
            <v>4</v>
          </cell>
          <cell r="AA346">
            <v>106</v>
          </cell>
          <cell r="AB346">
            <v>1381</v>
          </cell>
          <cell r="AC346">
            <v>0</v>
          </cell>
          <cell r="AD346">
            <v>106</v>
          </cell>
          <cell r="AE346">
            <v>106</v>
          </cell>
          <cell r="AF346">
            <v>43257</v>
          </cell>
          <cell r="AG346">
            <v>3222</v>
          </cell>
          <cell r="AH346">
            <v>3222</v>
          </cell>
          <cell r="AI346">
            <v>0</v>
          </cell>
          <cell r="AJ346" t="str">
            <v>DA HET SAN XUAT</v>
          </cell>
        </row>
        <row r="347">
          <cell r="D347">
            <v>100018250</v>
          </cell>
          <cell r="E347">
            <v>0</v>
          </cell>
          <cell r="F347">
            <v>7995</v>
          </cell>
          <cell r="G347">
            <v>7995</v>
          </cell>
          <cell r="H347">
            <v>830</v>
          </cell>
          <cell r="I347">
            <v>0</v>
          </cell>
          <cell r="K347">
            <v>603</v>
          </cell>
          <cell r="L347">
            <v>0</v>
          </cell>
          <cell r="M347">
            <v>0</v>
          </cell>
          <cell r="N347">
            <v>227</v>
          </cell>
          <cell r="O347">
            <v>0</v>
          </cell>
          <cell r="P347">
            <v>144</v>
          </cell>
          <cell r="Q347">
            <v>83</v>
          </cell>
          <cell r="R347">
            <v>7165</v>
          </cell>
          <cell r="S347">
            <v>0</v>
          </cell>
          <cell r="T347">
            <v>7768</v>
          </cell>
          <cell r="U347">
            <v>603</v>
          </cell>
          <cell r="X347">
            <v>7768</v>
          </cell>
          <cell r="Z347">
            <v>0</v>
          </cell>
          <cell r="AA347">
            <v>0</v>
          </cell>
          <cell r="AB347">
            <v>603</v>
          </cell>
          <cell r="AC347">
            <v>0</v>
          </cell>
          <cell r="AD347">
            <v>0</v>
          </cell>
          <cell r="AE347">
            <v>0</v>
          </cell>
          <cell r="AF347">
            <v>43258</v>
          </cell>
          <cell r="AG347">
            <v>6741</v>
          </cell>
          <cell r="AH347">
            <v>6645</v>
          </cell>
          <cell r="AI347">
            <v>-96</v>
          </cell>
        </row>
        <row r="348">
          <cell r="D348">
            <v>100018251</v>
          </cell>
          <cell r="E348">
            <v>229</v>
          </cell>
          <cell r="F348">
            <v>3460</v>
          </cell>
          <cell r="G348">
            <v>3689</v>
          </cell>
          <cell r="H348">
            <v>294</v>
          </cell>
          <cell r="I348">
            <v>229</v>
          </cell>
          <cell r="K348">
            <v>207</v>
          </cell>
          <cell r="L348">
            <v>0</v>
          </cell>
          <cell r="M348">
            <v>0</v>
          </cell>
          <cell r="N348">
            <v>316</v>
          </cell>
          <cell r="O348">
            <v>0</v>
          </cell>
          <cell r="P348">
            <v>101</v>
          </cell>
          <cell r="Q348">
            <v>215</v>
          </cell>
          <cell r="R348">
            <v>3166</v>
          </cell>
          <cell r="S348">
            <v>0</v>
          </cell>
          <cell r="T348">
            <v>3373</v>
          </cell>
          <cell r="U348">
            <v>207</v>
          </cell>
          <cell r="X348">
            <v>3335</v>
          </cell>
          <cell r="Z348">
            <v>0</v>
          </cell>
          <cell r="AA348">
            <v>38</v>
          </cell>
          <cell r="AB348">
            <v>207</v>
          </cell>
          <cell r="AC348">
            <v>0</v>
          </cell>
          <cell r="AD348">
            <v>38</v>
          </cell>
          <cell r="AE348">
            <v>38</v>
          </cell>
          <cell r="AF348">
            <v>43257</v>
          </cell>
          <cell r="AG348">
            <v>1326</v>
          </cell>
          <cell r="AH348">
            <v>1326</v>
          </cell>
          <cell r="AI348">
            <v>0</v>
          </cell>
          <cell r="AJ348" t="str">
            <v>DA HET SAN XUAT</v>
          </cell>
        </row>
        <row r="349">
          <cell r="D349">
            <v>100018252</v>
          </cell>
          <cell r="E349">
            <v>0</v>
          </cell>
          <cell r="F349">
            <v>2441</v>
          </cell>
          <cell r="G349">
            <v>2441</v>
          </cell>
          <cell r="H349">
            <v>93</v>
          </cell>
          <cell r="I349">
            <v>0</v>
          </cell>
          <cell r="K349">
            <v>47</v>
          </cell>
          <cell r="L349">
            <v>0</v>
          </cell>
          <cell r="M349">
            <v>0</v>
          </cell>
          <cell r="N349">
            <v>46</v>
          </cell>
          <cell r="O349">
            <v>0</v>
          </cell>
          <cell r="P349">
            <v>3</v>
          </cell>
          <cell r="Q349">
            <v>43</v>
          </cell>
          <cell r="R349">
            <v>2346</v>
          </cell>
          <cell r="S349">
            <v>0</v>
          </cell>
          <cell r="T349">
            <v>2393</v>
          </cell>
          <cell r="U349">
            <v>47</v>
          </cell>
          <cell r="X349">
            <v>2354</v>
          </cell>
          <cell r="Z349">
            <v>2</v>
          </cell>
          <cell r="AA349">
            <v>37</v>
          </cell>
          <cell r="AB349">
            <v>47</v>
          </cell>
          <cell r="AC349">
            <v>0</v>
          </cell>
          <cell r="AD349">
            <v>37</v>
          </cell>
          <cell r="AE349">
            <v>37</v>
          </cell>
          <cell r="AF349">
            <v>43258</v>
          </cell>
          <cell r="AG349">
            <v>1701</v>
          </cell>
          <cell r="AH349">
            <v>1701</v>
          </cell>
          <cell r="AI349">
            <v>0</v>
          </cell>
          <cell r="AJ349" t="str">
            <v>DA HET SAN XUAT</v>
          </cell>
        </row>
        <row r="350">
          <cell r="D350">
            <v>100018257</v>
          </cell>
          <cell r="E350">
            <v>226</v>
          </cell>
          <cell r="F350">
            <v>4305</v>
          </cell>
          <cell r="G350">
            <v>4531</v>
          </cell>
          <cell r="H350">
            <v>2413</v>
          </cell>
          <cell r="I350">
            <v>226</v>
          </cell>
          <cell r="K350">
            <v>2580</v>
          </cell>
          <cell r="L350">
            <v>0</v>
          </cell>
          <cell r="M350">
            <v>0</v>
          </cell>
          <cell r="N350">
            <v>59</v>
          </cell>
          <cell r="O350">
            <v>0</v>
          </cell>
          <cell r="P350">
            <v>0</v>
          </cell>
          <cell r="Q350">
            <v>59</v>
          </cell>
          <cell r="R350">
            <v>1892</v>
          </cell>
          <cell r="S350">
            <v>0</v>
          </cell>
          <cell r="T350">
            <v>4472</v>
          </cell>
          <cell r="U350">
            <v>2580</v>
          </cell>
          <cell r="X350">
            <v>4416</v>
          </cell>
          <cell r="Z350">
            <v>0</v>
          </cell>
          <cell r="AA350">
            <v>56</v>
          </cell>
          <cell r="AB350">
            <v>2580</v>
          </cell>
          <cell r="AC350">
            <v>0</v>
          </cell>
          <cell r="AD350">
            <v>56</v>
          </cell>
          <cell r="AE350">
            <v>56</v>
          </cell>
          <cell r="AF350">
            <v>43257</v>
          </cell>
          <cell r="AG350">
            <v>4674</v>
          </cell>
          <cell r="AH350">
            <v>4416</v>
          </cell>
          <cell r="AI350">
            <v>-258</v>
          </cell>
        </row>
        <row r="351">
          <cell r="D351">
            <v>100018258</v>
          </cell>
          <cell r="E351">
            <v>0</v>
          </cell>
          <cell r="F351">
            <v>6525</v>
          </cell>
          <cell r="G351">
            <v>6525</v>
          </cell>
          <cell r="H351">
            <v>671</v>
          </cell>
          <cell r="I351">
            <v>0</v>
          </cell>
          <cell r="K351">
            <v>501</v>
          </cell>
          <cell r="L351">
            <v>0</v>
          </cell>
          <cell r="M351">
            <v>0</v>
          </cell>
          <cell r="N351">
            <v>170</v>
          </cell>
          <cell r="O351">
            <v>0</v>
          </cell>
          <cell r="P351">
            <v>37</v>
          </cell>
          <cell r="Q351">
            <v>133</v>
          </cell>
          <cell r="R351">
            <v>5854</v>
          </cell>
          <cell r="S351">
            <v>0</v>
          </cell>
          <cell r="T351">
            <v>6355</v>
          </cell>
          <cell r="U351">
            <v>501</v>
          </cell>
          <cell r="X351">
            <v>6348</v>
          </cell>
          <cell r="Z351">
            <v>1</v>
          </cell>
          <cell r="AA351">
            <v>6</v>
          </cell>
          <cell r="AB351">
            <v>501</v>
          </cell>
          <cell r="AC351">
            <v>0</v>
          </cell>
          <cell r="AD351">
            <v>6</v>
          </cell>
          <cell r="AE351">
            <v>6</v>
          </cell>
          <cell r="AF351">
            <v>43257</v>
          </cell>
          <cell r="AG351">
            <v>6372</v>
          </cell>
          <cell r="AH351">
            <v>6348</v>
          </cell>
          <cell r="AI351">
            <v>-24</v>
          </cell>
        </row>
        <row r="352">
          <cell r="D352">
            <v>100018259</v>
          </cell>
          <cell r="E352">
            <v>0</v>
          </cell>
          <cell r="F352">
            <v>1281</v>
          </cell>
          <cell r="G352">
            <v>1281</v>
          </cell>
          <cell r="H352">
            <v>26</v>
          </cell>
          <cell r="I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26</v>
          </cell>
          <cell r="O352">
            <v>0</v>
          </cell>
          <cell r="P352">
            <v>26</v>
          </cell>
          <cell r="Q352">
            <v>0</v>
          </cell>
          <cell r="R352">
            <v>1255</v>
          </cell>
          <cell r="S352">
            <v>0</v>
          </cell>
          <cell r="T352">
            <v>1255</v>
          </cell>
          <cell r="U352">
            <v>0</v>
          </cell>
          <cell r="X352">
            <v>1239</v>
          </cell>
          <cell r="Z352">
            <v>0</v>
          </cell>
          <cell r="AA352">
            <v>16</v>
          </cell>
          <cell r="AB352">
            <v>0</v>
          </cell>
          <cell r="AC352">
            <v>0</v>
          </cell>
          <cell r="AD352">
            <v>16</v>
          </cell>
          <cell r="AE352">
            <v>16</v>
          </cell>
          <cell r="AF352">
            <v>43256</v>
          </cell>
          <cell r="AG352">
            <v>1239</v>
          </cell>
          <cell r="AH352">
            <v>1239</v>
          </cell>
          <cell r="AI352">
            <v>0</v>
          </cell>
          <cell r="AJ352" t="str">
            <v>DA HET SAN XUAT</v>
          </cell>
        </row>
        <row r="353">
          <cell r="D353">
            <v>100018260</v>
          </cell>
          <cell r="E353">
            <v>0</v>
          </cell>
          <cell r="F353">
            <v>1352</v>
          </cell>
          <cell r="G353">
            <v>1352</v>
          </cell>
          <cell r="H353">
            <v>1352</v>
          </cell>
          <cell r="I353">
            <v>0</v>
          </cell>
          <cell r="K353">
            <v>1310</v>
          </cell>
          <cell r="L353">
            <v>0</v>
          </cell>
          <cell r="M353">
            <v>0</v>
          </cell>
          <cell r="N353">
            <v>42</v>
          </cell>
          <cell r="P353">
            <v>0</v>
          </cell>
          <cell r="Q353">
            <v>42</v>
          </cell>
          <cell r="R353">
            <v>0</v>
          </cell>
          <cell r="S353">
            <v>0</v>
          </cell>
          <cell r="T353">
            <v>1310</v>
          </cell>
          <cell r="U353">
            <v>1310</v>
          </cell>
          <cell r="X353">
            <v>1293</v>
          </cell>
          <cell r="Z353">
            <v>0</v>
          </cell>
          <cell r="AA353">
            <v>17</v>
          </cell>
          <cell r="AB353">
            <v>1310</v>
          </cell>
          <cell r="AC353">
            <v>0</v>
          </cell>
          <cell r="AD353">
            <v>17</v>
          </cell>
          <cell r="AE353">
            <v>17</v>
          </cell>
          <cell r="AF353">
            <v>43258</v>
          </cell>
          <cell r="AG353">
            <v>1305</v>
          </cell>
          <cell r="AH353">
            <v>1293</v>
          </cell>
          <cell r="AI353">
            <v>-12</v>
          </cell>
        </row>
        <row r="354">
          <cell r="D354">
            <v>100027409</v>
          </cell>
          <cell r="E354">
            <v>0</v>
          </cell>
          <cell r="F354">
            <v>4401</v>
          </cell>
          <cell r="G354">
            <v>4401</v>
          </cell>
          <cell r="H354">
            <v>270</v>
          </cell>
          <cell r="I354">
            <v>0</v>
          </cell>
          <cell r="K354">
            <v>65</v>
          </cell>
          <cell r="L354">
            <v>0</v>
          </cell>
          <cell r="M354">
            <v>0</v>
          </cell>
          <cell r="N354">
            <v>205</v>
          </cell>
          <cell r="P354">
            <v>152</v>
          </cell>
          <cell r="Q354">
            <v>53</v>
          </cell>
          <cell r="R354">
            <v>4131</v>
          </cell>
          <cell r="S354">
            <v>0</v>
          </cell>
          <cell r="T354">
            <v>4196</v>
          </cell>
          <cell r="U354">
            <v>65</v>
          </cell>
          <cell r="X354">
            <v>4127</v>
          </cell>
          <cell r="Z354">
            <v>0</v>
          </cell>
          <cell r="AA354">
            <v>69</v>
          </cell>
          <cell r="AB354">
            <v>65</v>
          </cell>
          <cell r="AC354">
            <v>0</v>
          </cell>
          <cell r="AD354">
            <v>69</v>
          </cell>
          <cell r="AE354">
            <v>69</v>
          </cell>
          <cell r="AG354">
            <v>0</v>
          </cell>
          <cell r="AH354">
            <v>0</v>
          </cell>
          <cell r="AI354">
            <v>0</v>
          </cell>
          <cell r="AJ354" t="str">
            <v>DA HET SAN XUAT</v>
          </cell>
        </row>
        <row r="355">
          <cell r="D355" t="str">
            <v xml:space="preserve">7X727 </v>
          </cell>
          <cell r="E355">
            <v>5138</v>
          </cell>
          <cell r="F355">
            <v>7443</v>
          </cell>
          <cell r="G355">
            <v>12581</v>
          </cell>
          <cell r="H355">
            <v>7443</v>
          </cell>
          <cell r="I355">
            <v>5138</v>
          </cell>
          <cell r="K355">
            <v>0</v>
          </cell>
          <cell r="L355">
            <v>0</v>
          </cell>
          <cell r="M355">
            <v>0</v>
          </cell>
          <cell r="N355">
            <v>12581</v>
          </cell>
          <cell r="O355">
            <v>0</v>
          </cell>
          <cell r="P355">
            <v>0</v>
          </cell>
          <cell r="Q355">
            <v>12581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X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42938</v>
          </cell>
          <cell r="AG355">
            <v>3054</v>
          </cell>
          <cell r="AH355">
            <v>3054</v>
          </cell>
        </row>
        <row r="356">
          <cell r="D356" t="str">
            <v>EESOQ-T4577</v>
          </cell>
          <cell r="E356">
            <v>0</v>
          </cell>
          <cell r="F356">
            <v>1100</v>
          </cell>
          <cell r="G356">
            <v>1100</v>
          </cell>
          <cell r="H356">
            <v>663</v>
          </cell>
          <cell r="I356">
            <v>0</v>
          </cell>
          <cell r="K356">
            <v>573</v>
          </cell>
          <cell r="L356">
            <v>0</v>
          </cell>
          <cell r="M356">
            <v>0</v>
          </cell>
          <cell r="N356">
            <v>90</v>
          </cell>
          <cell r="O356">
            <v>0</v>
          </cell>
          <cell r="P356">
            <v>51</v>
          </cell>
          <cell r="Q356">
            <v>39</v>
          </cell>
          <cell r="R356">
            <v>437</v>
          </cell>
          <cell r="S356">
            <v>0</v>
          </cell>
          <cell r="T356">
            <v>1010</v>
          </cell>
          <cell r="U356">
            <v>573</v>
          </cell>
          <cell r="X356">
            <v>1008</v>
          </cell>
          <cell r="Z356">
            <v>2</v>
          </cell>
          <cell r="AA356">
            <v>0</v>
          </cell>
          <cell r="AB356">
            <v>573</v>
          </cell>
          <cell r="AC356">
            <v>0</v>
          </cell>
          <cell r="AD356">
            <v>0</v>
          </cell>
          <cell r="AE356">
            <v>0</v>
          </cell>
          <cell r="AG356">
            <v>0</v>
          </cell>
          <cell r="AH356">
            <v>0</v>
          </cell>
          <cell r="AI356">
            <v>0</v>
          </cell>
          <cell r="AJ356" t="str">
            <v>DA HET SAN XUAT</v>
          </cell>
        </row>
        <row r="357">
          <cell r="D357" t="str">
            <v>F8SOQ-T4578M</v>
          </cell>
          <cell r="E357">
            <v>0</v>
          </cell>
          <cell r="F357">
            <v>1306</v>
          </cell>
          <cell r="G357">
            <v>1306</v>
          </cell>
          <cell r="H357">
            <v>135</v>
          </cell>
          <cell r="I357">
            <v>0</v>
          </cell>
          <cell r="K357">
            <v>64</v>
          </cell>
          <cell r="L357">
            <v>0</v>
          </cell>
          <cell r="M357">
            <v>0</v>
          </cell>
          <cell r="N357">
            <v>71</v>
          </cell>
          <cell r="O357">
            <v>0</v>
          </cell>
          <cell r="P357">
            <v>32</v>
          </cell>
          <cell r="Q357">
            <v>39</v>
          </cell>
          <cell r="R357">
            <v>1171</v>
          </cell>
          <cell r="S357">
            <v>0</v>
          </cell>
          <cell r="T357">
            <v>1235</v>
          </cell>
          <cell r="U357">
            <v>64</v>
          </cell>
          <cell r="X357">
            <v>1233</v>
          </cell>
          <cell r="Z357">
            <v>2</v>
          </cell>
          <cell r="AA357">
            <v>0</v>
          </cell>
          <cell r="AB357">
            <v>64</v>
          </cell>
          <cell r="AC357">
            <v>0</v>
          </cell>
          <cell r="AD357">
            <v>0</v>
          </cell>
          <cell r="AE357">
            <v>0</v>
          </cell>
          <cell r="AG357">
            <v>0</v>
          </cell>
          <cell r="AH357">
            <v>0</v>
          </cell>
          <cell r="AI357">
            <v>0</v>
          </cell>
          <cell r="AJ357" t="str">
            <v>DA HET SAN XUAT</v>
          </cell>
        </row>
        <row r="358">
          <cell r="D358">
            <v>100034276</v>
          </cell>
          <cell r="E358">
            <v>0</v>
          </cell>
          <cell r="F358">
            <v>5936</v>
          </cell>
          <cell r="G358">
            <v>5936</v>
          </cell>
          <cell r="H358">
            <v>1635</v>
          </cell>
          <cell r="I358">
            <v>0</v>
          </cell>
          <cell r="K358">
            <v>1532</v>
          </cell>
          <cell r="L358">
            <v>0</v>
          </cell>
          <cell r="M358">
            <v>0</v>
          </cell>
          <cell r="N358">
            <v>103</v>
          </cell>
          <cell r="O358">
            <v>0</v>
          </cell>
          <cell r="P358">
            <v>56</v>
          </cell>
          <cell r="Q358">
            <v>47</v>
          </cell>
          <cell r="R358">
            <v>4298</v>
          </cell>
          <cell r="S358">
            <v>0</v>
          </cell>
          <cell r="T358">
            <v>5830</v>
          </cell>
          <cell r="U358">
            <v>1532</v>
          </cell>
          <cell r="X358">
            <v>5826</v>
          </cell>
          <cell r="Z358">
            <v>4</v>
          </cell>
          <cell r="AA358">
            <v>0</v>
          </cell>
          <cell r="AB358">
            <v>1532</v>
          </cell>
          <cell r="AC358">
            <v>0</v>
          </cell>
          <cell r="AD358">
            <v>0</v>
          </cell>
          <cell r="AE358">
            <v>0</v>
          </cell>
          <cell r="AG358">
            <v>0</v>
          </cell>
          <cell r="AH358">
            <v>0</v>
          </cell>
          <cell r="AI358">
            <v>0</v>
          </cell>
          <cell r="AJ358" t="str">
            <v>DA HET SAN XUAT</v>
          </cell>
        </row>
        <row r="359">
          <cell r="D359">
            <v>183034592</v>
          </cell>
          <cell r="E359">
            <v>80</v>
          </cell>
          <cell r="F359">
            <v>1733</v>
          </cell>
          <cell r="G359">
            <v>1813</v>
          </cell>
          <cell r="H359">
            <v>1579</v>
          </cell>
          <cell r="I359">
            <v>80</v>
          </cell>
          <cell r="K359">
            <v>1487</v>
          </cell>
          <cell r="L359">
            <v>0</v>
          </cell>
          <cell r="M359">
            <v>0</v>
          </cell>
          <cell r="N359">
            <v>172</v>
          </cell>
          <cell r="O359">
            <v>0</v>
          </cell>
          <cell r="P359">
            <v>108</v>
          </cell>
          <cell r="Q359">
            <v>64</v>
          </cell>
          <cell r="R359">
            <v>140</v>
          </cell>
          <cell r="S359">
            <v>0</v>
          </cell>
          <cell r="T359">
            <v>1627</v>
          </cell>
          <cell r="U359">
            <v>1487</v>
          </cell>
          <cell r="X359">
            <v>1599</v>
          </cell>
          <cell r="Z359">
            <v>4</v>
          </cell>
          <cell r="AA359">
            <v>24</v>
          </cell>
          <cell r="AB359">
            <v>1487</v>
          </cell>
          <cell r="AC359">
            <v>0</v>
          </cell>
          <cell r="AD359">
            <v>24</v>
          </cell>
          <cell r="AE359">
            <v>24</v>
          </cell>
          <cell r="AF359">
            <v>43251</v>
          </cell>
          <cell r="AG359">
            <v>1151</v>
          </cell>
          <cell r="AH359">
            <v>1125</v>
          </cell>
          <cell r="AI359">
            <v>-26</v>
          </cell>
        </row>
        <row r="360">
          <cell r="D360">
            <v>476154</v>
          </cell>
          <cell r="E360">
            <v>3704</v>
          </cell>
          <cell r="F360">
            <v>6409</v>
          </cell>
          <cell r="G360">
            <v>10113</v>
          </cell>
          <cell r="H360">
            <v>6409</v>
          </cell>
          <cell r="I360">
            <v>3704</v>
          </cell>
          <cell r="K360">
            <v>9190</v>
          </cell>
          <cell r="L360">
            <v>0</v>
          </cell>
          <cell r="M360">
            <v>0</v>
          </cell>
          <cell r="N360">
            <v>923</v>
          </cell>
          <cell r="O360">
            <v>0</v>
          </cell>
          <cell r="P360">
            <v>458</v>
          </cell>
          <cell r="Q360">
            <v>465</v>
          </cell>
          <cell r="R360">
            <v>0</v>
          </cell>
          <cell r="S360">
            <v>0</v>
          </cell>
          <cell r="T360">
            <v>9190</v>
          </cell>
          <cell r="U360">
            <v>9190</v>
          </cell>
          <cell r="X360">
            <v>9000</v>
          </cell>
          <cell r="Z360">
            <v>20</v>
          </cell>
          <cell r="AA360">
            <v>170</v>
          </cell>
          <cell r="AB360">
            <v>9190</v>
          </cell>
          <cell r="AC360">
            <v>0</v>
          </cell>
          <cell r="AD360">
            <v>170</v>
          </cell>
          <cell r="AE360">
            <v>170</v>
          </cell>
          <cell r="AF360">
            <v>43265</v>
          </cell>
          <cell r="AG360">
            <v>9000</v>
          </cell>
          <cell r="AH360">
            <v>9000</v>
          </cell>
          <cell r="AI360">
            <v>0</v>
          </cell>
          <cell r="AJ360" t="str">
            <v>DA HET SAN XUAT</v>
          </cell>
        </row>
        <row r="361">
          <cell r="D361">
            <v>470392</v>
          </cell>
          <cell r="E361">
            <v>4122</v>
          </cell>
          <cell r="G361">
            <v>4122</v>
          </cell>
          <cell r="H361">
            <v>0</v>
          </cell>
          <cell r="I361">
            <v>4122</v>
          </cell>
          <cell r="K361">
            <v>0</v>
          </cell>
          <cell r="L361">
            <v>0</v>
          </cell>
          <cell r="M361">
            <v>0</v>
          </cell>
          <cell r="N361">
            <v>4122</v>
          </cell>
          <cell r="O361">
            <v>798</v>
          </cell>
          <cell r="P361">
            <v>2424</v>
          </cell>
          <cell r="Q361">
            <v>900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X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43285</v>
          </cell>
          <cell r="AG361">
            <v>4000</v>
          </cell>
          <cell r="AH361">
            <v>0</v>
          </cell>
          <cell r="AI361">
            <v>-4000</v>
          </cell>
        </row>
        <row r="362">
          <cell r="D362">
            <v>471300</v>
          </cell>
          <cell r="E362">
            <v>1308</v>
          </cell>
          <cell r="G362">
            <v>1308</v>
          </cell>
          <cell r="H362">
            <v>0</v>
          </cell>
          <cell r="I362">
            <v>1308</v>
          </cell>
          <cell r="K362">
            <v>1155</v>
          </cell>
          <cell r="L362">
            <v>0</v>
          </cell>
          <cell r="M362">
            <v>0</v>
          </cell>
          <cell r="N362">
            <v>153</v>
          </cell>
          <cell r="P362">
            <v>91</v>
          </cell>
          <cell r="Q362">
            <v>62</v>
          </cell>
          <cell r="R362">
            <v>0</v>
          </cell>
          <cell r="S362">
            <v>0</v>
          </cell>
          <cell r="T362">
            <v>1155</v>
          </cell>
          <cell r="U362">
            <v>1155</v>
          </cell>
          <cell r="X362">
            <v>1143</v>
          </cell>
          <cell r="Z362">
            <v>12</v>
          </cell>
          <cell r="AA362">
            <v>0</v>
          </cell>
          <cell r="AB362">
            <v>1155</v>
          </cell>
          <cell r="AC362">
            <v>0</v>
          </cell>
          <cell r="AD362">
            <v>0</v>
          </cell>
          <cell r="AE362">
            <v>0</v>
          </cell>
          <cell r="AF362">
            <v>43272</v>
          </cell>
          <cell r="AG362">
            <v>831</v>
          </cell>
          <cell r="AH362">
            <v>819</v>
          </cell>
          <cell r="AI362">
            <v>-12</v>
          </cell>
        </row>
        <row r="363">
          <cell r="D363">
            <v>100018230</v>
          </cell>
          <cell r="E363">
            <v>5184</v>
          </cell>
          <cell r="G363">
            <v>5184</v>
          </cell>
          <cell r="H363">
            <v>0</v>
          </cell>
          <cell r="I363">
            <v>5184</v>
          </cell>
          <cell r="K363">
            <v>4881</v>
          </cell>
          <cell r="L363">
            <v>0</v>
          </cell>
          <cell r="M363">
            <v>0</v>
          </cell>
          <cell r="N363">
            <v>303</v>
          </cell>
          <cell r="Q363">
            <v>303</v>
          </cell>
          <cell r="R363">
            <v>0</v>
          </cell>
          <cell r="S363">
            <v>0</v>
          </cell>
          <cell r="T363">
            <v>4881</v>
          </cell>
          <cell r="U363">
            <v>4881</v>
          </cell>
          <cell r="X363">
            <v>4797</v>
          </cell>
          <cell r="Z363">
            <v>4</v>
          </cell>
          <cell r="AA363">
            <v>80</v>
          </cell>
          <cell r="AB363">
            <v>4881</v>
          </cell>
          <cell r="AC363">
            <v>0</v>
          </cell>
          <cell r="AD363">
            <v>80</v>
          </cell>
          <cell r="AE363">
            <v>80</v>
          </cell>
          <cell r="AF363">
            <v>43260</v>
          </cell>
          <cell r="AG363">
            <v>2826</v>
          </cell>
          <cell r="AH363">
            <v>2826</v>
          </cell>
          <cell r="AI363">
            <v>0</v>
          </cell>
          <cell r="AJ363" t="str">
            <v>DA HET SAN XUAT</v>
          </cell>
        </row>
        <row r="364">
          <cell r="D364">
            <v>100024758</v>
          </cell>
          <cell r="E364">
            <v>7292</v>
          </cell>
          <cell r="G364">
            <v>7292</v>
          </cell>
          <cell r="H364">
            <v>0</v>
          </cell>
          <cell r="I364">
            <v>7292</v>
          </cell>
          <cell r="K364">
            <v>0</v>
          </cell>
          <cell r="L364">
            <v>0</v>
          </cell>
          <cell r="M364">
            <v>0</v>
          </cell>
          <cell r="N364">
            <v>7292</v>
          </cell>
          <cell r="O364">
            <v>5329</v>
          </cell>
          <cell r="P364">
            <v>216</v>
          </cell>
          <cell r="Q364">
            <v>1747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X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43284</v>
          </cell>
          <cell r="AG364">
            <v>4374</v>
          </cell>
          <cell r="AH364">
            <v>0</v>
          </cell>
          <cell r="AI364">
            <v>-4374</v>
          </cell>
        </row>
        <row r="365">
          <cell r="D365">
            <v>100025038</v>
          </cell>
          <cell r="E365">
            <v>991</v>
          </cell>
          <cell r="G365">
            <v>991</v>
          </cell>
          <cell r="H365">
            <v>0</v>
          </cell>
          <cell r="I365">
            <v>991</v>
          </cell>
          <cell r="K365">
            <v>0</v>
          </cell>
          <cell r="L365">
            <v>0</v>
          </cell>
          <cell r="M365">
            <v>0</v>
          </cell>
          <cell r="N365">
            <v>991</v>
          </cell>
          <cell r="P365">
            <v>250</v>
          </cell>
          <cell r="Q365">
            <v>741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43285</v>
          </cell>
          <cell r="AG365">
            <v>480</v>
          </cell>
          <cell r="AH365">
            <v>0</v>
          </cell>
          <cell r="AI365">
            <v>-480</v>
          </cell>
        </row>
        <row r="366">
          <cell r="D366">
            <v>100027487</v>
          </cell>
          <cell r="E366">
            <v>1282</v>
          </cell>
          <cell r="G366">
            <v>1282</v>
          </cell>
          <cell r="H366">
            <v>0</v>
          </cell>
          <cell r="I366">
            <v>1282</v>
          </cell>
          <cell r="K366">
            <v>1205</v>
          </cell>
          <cell r="L366">
            <v>0</v>
          </cell>
          <cell r="M366">
            <v>0</v>
          </cell>
          <cell r="N366">
            <v>77</v>
          </cell>
          <cell r="P366">
            <v>73</v>
          </cell>
          <cell r="Q366">
            <v>4</v>
          </cell>
          <cell r="R366">
            <v>0</v>
          </cell>
          <cell r="S366">
            <v>0</v>
          </cell>
          <cell r="T366">
            <v>1205</v>
          </cell>
          <cell r="U366">
            <v>1205</v>
          </cell>
          <cell r="X366">
            <v>1172</v>
          </cell>
          <cell r="Z366">
            <v>0</v>
          </cell>
          <cell r="AA366">
            <v>33</v>
          </cell>
          <cell r="AB366">
            <v>1205</v>
          </cell>
          <cell r="AC366">
            <v>0</v>
          </cell>
          <cell r="AD366">
            <v>33</v>
          </cell>
          <cell r="AE366">
            <v>33</v>
          </cell>
          <cell r="AG366">
            <v>0</v>
          </cell>
          <cell r="AH366">
            <v>0</v>
          </cell>
          <cell r="AI366">
            <v>0</v>
          </cell>
          <cell r="AJ366" t="str">
            <v>DA HET SAN XUAT</v>
          </cell>
        </row>
        <row r="367">
          <cell r="D367">
            <v>100033970</v>
          </cell>
          <cell r="E367">
            <v>1465</v>
          </cell>
          <cell r="G367">
            <v>1465</v>
          </cell>
          <cell r="H367">
            <v>0</v>
          </cell>
          <cell r="I367">
            <v>1465</v>
          </cell>
          <cell r="K367">
            <v>0</v>
          </cell>
          <cell r="L367">
            <v>0</v>
          </cell>
          <cell r="M367">
            <v>0</v>
          </cell>
          <cell r="N367">
            <v>1465</v>
          </cell>
          <cell r="P367">
            <v>665</v>
          </cell>
          <cell r="Q367">
            <v>800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X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43284</v>
          </cell>
          <cell r="AG367">
            <v>1591</v>
          </cell>
          <cell r="AH367">
            <v>0</v>
          </cell>
          <cell r="AI367">
            <v>-1591</v>
          </cell>
        </row>
        <row r="368">
          <cell r="D368">
            <v>100033058</v>
          </cell>
          <cell r="E368">
            <v>1116</v>
          </cell>
          <cell r="G368">
            <v>1116</v>
          </cell>
          <cell r="H368">
            <v>0</v>
          </cell>
          <cell r="I368">
            <v>1116</v>
          </cell>
          <cell r="K368">
            <v>1060</v>
          </cell>
          <cell r="L368">
            <v>0</v>
          </cell>
          <cell r="M368">
            <v>0</v>
          </cell>
          <cell r="N368">
            <v>56</v>
          </cell>
          <cell r="P368">
            <v>8</v>
          </cell>
          <cell r="Q368">
            <v>48</v>
          </cell>
          <cell r="R368">
            <v>0</v>
          </cell>
          <cell r="S368">
            <v>0</v>
          </cell>
          <cell r="T368">
            <v>1060</v>
          </cell>
          <cell r="U368">
            <v>1060</v>
          </cell>
          <cell r="X368">
            <v>1057</v>
          </cell>
          <cell r="Z368">
            <v>3</v>
          </cell>
          <cell r="AA368">
            <v>0</v>
          </cell>
          <cell r="AB368">
            <v>1060</v>
          </cell>
          <cell r="AC368">
            <v>0</v>
          </cell>
          <cell r="AD368">
            <v>0</v>
          </cell>
          <cell r="AE368">
            <v>0</v>
          </cell>
          <cell r="AF368">
            <v>43261</v>
          </cell>
          <cell r="AG368">
            <v>1057</v>
          </cell>
          <cell r="AH368">
            <v>1057</v>
          </cell>
          <cell r="AI368">
            <v>0</v>
          </cell>
          <cell r="AJ368" t="str">
            <v>DA HET SAN XUAT</v>
          </cell>
        </row>
        <row r="369">
          <cell r="D369">
            <v>100033483</v>
          </cell>
          <cell r="E369">
            <v>1488</v>
          </cell>
          <cell r="G369">
            <v>1488</v>
          </cell>
          <cell r="H369">
            <v>0</v>
          </cell>
          <cell r="I369">
            <v>1488</v>
          </cell>
          <cell r="K369">
            <v>0</v>
          </cell>
          <cell r="L369">
            <v>0</v>
          </cell>
          <cell r="M369">
            <v>0</v>
          </cell>
          <cell r="N369">
            <v>1488</v>
          </cell>
          <cell r="Q369">
            <v>1488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X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43282</v>
          </cell>
          <cell r="AG369">
            <v>1440</v>
          </cell>
          <cell r="AH369">
            <v>0</v>
          </cell>
          <cell r="AI369">
            <v>-1440</v>
          </cell>
        </row>
        <row r="370">
          <cell r="D370">
            <v>100034352</v>
          </cell>
          <cell r="E370">
            <v>6199</v>
          </cell>
          <cell r="G370">
            <v>6199</v>
          </cell>
          <cell r="H370">
            <v>0</v>
          </cell>
          <cell r="I370">
            <v>6199</v>
          </cell>
          <cell r="K370">
            <v>5894</v>
          </cell>
          <cell r="L370">
            <v>0</v>
          </cell>
          <cell r="M370">
            <v>0</v>
          </cell>
          <cell r="N370">
            <v>305</v>
          </cell>
          <cell r="O370">
            <v>129</v>
          </cell>
          <cell r="P370">
            <v>169</v>
          </cell>
          <cell r="Q370">
            <v>7</v>
          </cell>
          <cell r="R370">
            <v>0</v>
          </cell>
          <cell r="S370">
            <v>0</v>
          </cell>
          <cell r="T370">
            <v>5894</v>
          </cell>
          <cell r="U370">
            <v>5894</v>
          </cell>
          <cell r="X370">
            <v>5844</v>
          </cell>
          <cell r="Z370">
            <v>3</v>
          </cell>
          <cell r="AA370">
            <v>47</v>
          </cell>
          <cell r="AB370">
            <v>5894</v>
          </cell>
          <cell r="AC370">
            <v>0</v>
          </cell>
          <cell r="AD370">
            <v>47</v>
          </cell>
          <cell r="AE370">
            <v>47</v>
          </cell>
          <cell r="AF370">
            <v>43261</v>
          </cell>
          <cell r="AG370">
            <v>5940</v>
          </cell>
          <cell r="AH370">
            <v>5832</v>
          </cell>
          <cell r="AI370">
            <v>-108</v>
          </cell>
        </row>
        <row r="371">
          <cell r="D371">
            <v>100041571</v>
          </cell>
          <cell r="E371">
            <v>911</v>
          </cell>
          <cell r="G371">
            <v>911</v>
          </cell>
          <cell r="H371">
            <v>0</v>
          </cell>
          <cell r="I371">
            <v>911</v>
          </cell>
          <cell r="K371">
            <v>0</v>
          </cell>
          <cell r="L371">
            <v>0</v>
          </cell>
          <cell r="M371">
            <v>0</v>
          </cell>
          <cell r="N371">
            <v>911</v>
          </cell>
          <cell r="P371">
            <v>743</v>
          </cell>
          <cell r="Q371">
            <v>168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X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43283</v>
          </cell>
          <cell r="AG371">
            <v>1732</v>
          </cell>
          <cell r="AH371">
            <v>0</v>
          </cell>
          <cell r="AI371">
            <v>-1732</v>
          </cell>
        </row>
        <row r="372">
          <cell r="D372">
            <v>468564</v>
          </cell>
          <cell r="E372">
            <v>2430</v>
          </cell>
          <cell r="G372">
            <v>2430</v>
          </cell>
          <cell r="H372">
            <v>0</v>
          </cell>
          <cell r="I372">
            <v>2430</v>
          </cell>
          <cell r="K372">
            <v>0</v>
          </cell>
          <cell r="L372">
            <v>0</v>
          </cell>
          <cell r="M372">
            <v>0</v>
          </cell>
          <cell r="N372">
            <v>2430</v>
          </cell>
          <cell r="O372">
            <v>1026</v>
          </cell>
          <cell r="P372">
            <v>247</v>
          </cell>
          <cell r="Q372">
            <v>1157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X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43285</v>
          </cell>
          <cell r="AG372">
            <v>11950</v>
          </cell>
          <cell r="AH372">
            <v>0</v>
          </cell>
          <cell r="AI372">
            <v>-11950</v>
          </cell>
        </row>
        <row r="373">
          <cell r="D373">
            <v>468568</v>
          </cell>
          <cell r="E373">
            <v>4531</v>
          </cell>
          <cell r="G373">
            <v>4531</v>
          </cell>
          <cell r="H373">
            <v>0</v>
          </cell>
          <cell r="I373">
            <v>4531</v>
          </cell>
          <cell r="K373">
            <v>0</v>
          </cell>
          <cell r="L373">
            <v>0</v>
          </cell>
          <cell r="M373">
            <v>0</v>
          </cell>
          <cell r="N373">
            <v>4531</v>
          </cell>
          <cell r="O373">
            <v>4531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X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43291</v>
          </cell>
          <cell r="AG373">
            <v>5950</v>
          </cell>
          <cell r="AH373">
            <v>0</v>
          </cell>
          <cell r="AI373">
            <v>-5950</v>
          </cell>
        </row>
        <row r="374">
          <cell r="D374" t="str">
            <v>472379 (483561)</v>
          </cell>
          <cell r="E374">
            <v>2914</v>
          </cell>
          <cell r="G374">
            <v>2914</v>
          </cell>
          <cell r="H374">
            <v>0</v>
          </cell>
          <cell r="I374">
            <v>2914</v>
          </cell>
          <cell r="K374">
            <v>2704</v>
          </cell>
          <cell r="L374">
            <v>0</v>
          </cell>
          <cell r="M374">
            <v>0</v>
          </cell>
          <cell r="N374">
            <v>210</v>
          </cell>
          <cell r="P374">
            <v>127</v>
          </cell>
          <cell r="Q374">
            <v>83</v>
          </cell>
          <cell r="R374">
            <v>0</v>
          </cell>
          <cell r="S374">
            <v>0</v>
          </cell>
          <cell r="T374">
            <v>2704</v>
          </cell>
          <cell r="U374">
            <v>2704</v>
          </cell>
          <cell r="X374">
            <v>2627</v>
          </cell>
          <cell r="Z374">
            <v>16</v>
          </cell>
          <cell r="AA374">
            <v>61</v>
          </cell>
          <cell r="AB374">
            <v>2704</v>
          </cell>
          <cell r="AC374">
            <v>0</v>
          </cell>
          <cell r="AD374">
            <v>61</v>
          </cell>
          <cell r="AE374">
            <v>61</v>
          </cell>
          <cell r="AG374">
            <v>0</v>
          </cell>
          <cell r="AH374">
            <v>0</v>
          </cell>
          <cell r="AI374">
            <v>0</v>
          </cell>
          <cell r="AJ374" t="str">
            <v>DA HET SAN XUAT</v>
          </cell>
        </row>
        <row r="375">
          <cell r="D375">
            <v>473781</v>
          </cell>
          <cell r="E375">
            <v>1300</v>
          </cell>
          <cell r="G375">
            <v>1300</v>
          </cell>
          <cell r="H375">
            <v>0</v>
          </cell>
          <cell r="I375">
            <v>1300</v>
          </cell>
          <cell r="K375">
            <v>0</v>
          </cell>
          <cell r="L375">
            <v>0</v>
          </cell>
          <cell r="M375">
            <v>0</v>
          </cell>
          <cell r="N375">
            <v>1300</v>
          </cell>
          <cell r="P375">
            <v>1281</v>
          </cell>
          <cell r="Q375">
            <v>19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X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43291</v>
          </cell>
          <cell r="AG375">
            <v>27632</v>
          </cell>
          <cell r="AH375">
            <v>0</v>
          </cell>
          <cell r="AI375">
            <v>-27632</v>
          </cell>
        </row>
        <row r="376">
          <cell r="D376">
            <v>476545</v>
          </cell>
          <cell r="E376">
            <v>3534</v>
          </cell>
          <cell r="G376">
            <v>3534</v>
          </cell>
          <cell r="H376">
            <v>0</v>
          </cell>
          <cell r="I376">
            <v>3534</v>
          </cell>
          <cell r="K376">
            <v>0</v>
          </cell>
          <cell r="L376">
            <v>0</v>
          </cell>
          <cell r="M376">
            <v>0</v>
          </cell>
          <cell r="N376">
            <v>3534</v>
          </cell>
          <cell r="O376">
            <v>3534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X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43299</v>
          </cell>
          <cell r="AG376">
            <v>2697</v>
          </cell>
          <cell r="AH376">
            <v>0</v>
          </cell>
          <cell r="AI376">
            <v>-2697</v>
          </cell>
        </row>
        <row r="377">
          <cell r="D377">
            <v>477891</v>
          </cell>
          <cell r="E377">
            <v>502</v>
          </cell>
          <cell r="G377">
            <v>502</v>
          </cell>
          <cell r="H377">
            <v>0</v>
          </cell>
          <cell r="I377">
            <v>502</v>
          </cell>
          <cell r="K377">
            <v>0</v>
          </cell>
          <cell r="L377">
            <v>0</v>
          </cell>
          <cell r="M377">
            <v>0</v>
          </cell>
          <cell r="N377">
            <v>502</v>
          </cell>
          <cell r="O377">
            <v>379</v>
          </cell>
          <cell r="P377">
            <v>123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X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43299</v>
          </cell>
          <cell r="AG377">
            <v>2529</v>
          </cell>
          <cell r="AH377">
            <v>0</v>
          </cell>
          <cell r="AI377">
            <v>-2529</v>
          </cell>
        </row>
        <row r="378">
          <cell r="D378">
            <v>100035724</v>
          </cell>
          <cell r="E378">
            <v>1992</v>
          </cell>
          <cell r="G378">
            <v>1992</v>
          </cell>
          <cell r="H378">
            <v>0</v>
          </cell>
          <cell r="I378">
            <v>1992</v>
          </cell>
          <cell r="K378">
            <v>0</v>
          </cell>
          <cell r="L378">
            <v>0</v>
          </cell>
          <cell r="M378">
            <v>0</v>
          </cell>
          <cell r="N378">
            <v>1992</v>
          </cell>
          <cell r="O378">
            <v>504</v>
          </cell>
          <cell r="P378">
            <v>88</v>
          </cell>
          <cell r="Q378">
            <v>1400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X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43282</v>
          </cell>
          <cell r="AG378">
            <v>4152</v>
          </cell>
          <cell r="AH378">
            <v>0</v>
          </cell>
          <cell r="AI378">
            <v>-4152</v>
          </cell>
        </row>
        <row r="379">
          <cell r="D379" t="str">
            <v>EESOQ-T4607</v>
          </cell>
          <cell r="E379">
            <v>1000</v>
          </cell>
          <cell r="G379">
            <v>1000</v>
          </cell>
          <cell r="H379">
            <v>0</v>
          </cell>
          <cell r="I379">
            <v>1000</v>
          </cell>
          <cell r="K379">
            <v>825</v>
          </cell>
          <cell r="L379">
            <v>0</v>
          </cell>
          <cell r="M379">
            <v>0</v>
          </cell>
          <cell r="N379">
            <v>175</v>
          </cell>
          <cell r="P379">
            <v>39</v>
          </cell>
          <cell r="Q379">
            <v>136</v>
          </cell>
          <cell r="R379">
            <v>0</v>
          </cell>
          <cell r="S379">
            <v>0</v>
          </cell>
          <cell r="T379">
            <v>825</v>
          </cell>
          <cell r="U379">
            <v>825</v>
          </cell>
          <cell r="X379">
            <v>804</v>
          </cell>
          <cell r="Z379">
            <v>21</v>
          </cell>
          <cell r="AA379">
            <v>0</v>
          </cell>
          <cell r="AB379">
            <v>825</v>
          </cell>
          <cell r="AC379">
            <v>0</v>
          </cell>
          <cell r="AD379">
            <v>0</v>
          </cell>
          <cell r="AE379">
            <v>0</v>
          </cell>
          <cell r="AG379">
            <v>0</v>
          </cell>
          <cell r="AH379">
            <v>0</v>
          </cell>
          <cell r="AI379">
            <v>0</v>
          </cell>
          <cell r="AJ379" t="str">
            <v>DA HET SAN XUAT</v>
          </cell>
        </row>
        <row r="380">
          <cell r="D380" t="str">
            <v>KJT138251</v>
          </cell>
          <cell r="E380">
            <v>2676</v>
          </cell>
          <cell r="G380">
            <v>2676</v>
          </cell>
          <cell r="H380">
            <v>0</v>
          </cell>
          <cell r="I380">
            <v>2676</v>
          </cell>
          <cell r="K380">
            <v>0</v>
          </cell>
          <cell r="L380">
            <v>0</v>
          </cell>
          <cell r="M380">
            <v>0</v>
          </cell>
          <cell r="N380">
            <v>2676</v>
          </cell>
          <cell r="O380">
            <v>332</v>
          </cell>
          <cell r="P380">
            <v>2068</v>
          </cell>
          <cell r="Q380">
            <v>276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X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43286</v>
          </cell>
          <cell r="AG380">
            <v>5365</v>
          </cell>
          <cell r="AH380">
            <v>0</v>
          </cell>
          <cell r="AI380">
            <v>-5365</v>
          </cell>
        </row>
        <row r="381">
          <cell r="D381">
            <v>73738</v>
          </cell>
          <cell r="E381">
            <v>0</v>
          </cell>
          <cell r="F381">
            <v>0</v>
          </cell>
          <cell r="G381">
            <v>0</v>
          </cell>
          <cell r="H381">
            <v>473</v>
          </cell>
          <cell r="I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473</v>
          </cell>
          <cell r="O381">
            <v>0</v>
          </cell>
          <cell r="P381">
            <v>0</v>
          </cell>
          <cell r="Q381">
            <v>473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X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 t="str">
            <v>SKVN-1</v>
          </cell>
          <cell r="AG381">
            <v>10752</v>
          </cell>
          <cell r="AH381">
            <v>10752</v>
          </cell>
          <cell r="AI381">
            <v>0</v>
          </cell>
          <cell r="AJ381" t="str">
            <v>DA HET SAN XUAT</v>
          </cell>
        </row>
        <row r="382">
          <cell r="D382">
            <v>446749</v>
          </cell>
          <cell r="E382">
            <v>0</v>
          </cell>
          <cell r="F382">
            <v>0</v>
          </cell>
          <cell r="G382">
            <v>0</v>
          </cell>
          <cell r="H382">
            <v>165</v>
          </cell>
          <cell r="I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165</v>
          </cell>
          <cell r="O382">
            <v>0</v>
          </cell>
          <cell r="P382">
            <v>0</v>
          </cell>
          <cell r="Q382">
            <v>165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X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42950</v>
          </cell>
          <cell r="AG382">
            <v>1350</v>
          </cell>
          <cell r="AH382">
            <v>1350</v>
          </cell>
          <cell r="AI382">
            <v>0</v>
          </cell>
          <cell r="AJ382" t="str">
            <v>DA HET SAN XUAT</v>
          </cell>
        </row>
        <row r="383">
          <cell r="D383">
            <v>100001802</v>
          </cell>
          <cell r="E383">
            <v>0</v>
          </cell>
          <cell r="F383">
            <v>0</v>
          </cell>
          <cell r="G383">
            <v>0</v>
          </cell>
          <cell r="H383">
            <v>103</v>
          </cell>
          <cell r="I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103</v>
          </cell>
          <cell r="O383">
            <v>0</v>
          </cell>
          <cell r="P383">
            <v>0</v>
          </cell>
          <cell r="Q383">
            <v>103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X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G383">
            <v>0</v>
          </cell>
          <cell r="AH383">
            <v>0</v>
          </cell>
          <cell r="AI383">
            <v>0</v>
          </cell>
          <cell r="AJ383" t="str">
            <v>DA HET SAN XUAT</v>
          </cell>
        </row>
        <row r="384">
          <cell r="D384" t="str">
            <v>7N713</v>
          </cell>
          <cell r="E384">
            <v>0</v>
          </cell>
          <cell r="F384">
            <v>0</v>
          </cell>
          <cell r="G384">
            <v>0</v>
          </cell>
          <cell r="H384">
            <v>179</v>
          </cell>
          <cell r="I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179</v>
          </cell>
          <cell r="O384">
            <v>0</v>
          </cell>
          <cell r="P384">
            <v>0</v>
          </cell>
          <cell r="Q384">
            <v>179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X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8504101</v>
          </cell>
          <cell r="AG384">
            <v>1995</v>
          </cell>
          <cell r="AH384">
            <v>1995</v>
          </cell>
          <cell r="AI384">
            <v>0</v>
          </cell>
          <cell r="AJ384" t="str">
            <v>DA HET SAN XUAT</v>
          </cell>
        </row>
        <row r="385">
          <cell r="D385">
            <v>100004422</v>
          </cell>
          <cell r="E385">
            <v>0</v>
          </cell>
          <cell r="F385">
            <v>0</v>
          </cell>
          <cell r="G385">
            <v>0</v>
          </cell>
          <cell r="H385">
            <v>63</v>
          </cell>
          <cell r="I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63</v>
          </cell>
          <cell r="O385">
            <v>0</v>
          </cell>
          <cell r="P385">
            <v>0</v>
          </cell>
          <cell r="Q385">
            <v>63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X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43001</v>
          </cell>
          <cell r="AG385">
            <v>1359</v>
          </cell>
          <cell r="AH385">
            <v>1275</v>
          </cell>
          <cell r="AI385">
            <v>-84</v>
          </cell>
        </row>
        <row r="386">
          <cell r="D386">
            <v>100005710</v>
          </cell>
          <cell r="E386">
            <v>0</v>
          </cell>
          <cell r="F386">
            <v>0</v>
          </cell>
          <cell r="G386">
            <v>0</v>
          </cell>
          <cell r="H386">
            <v>109</v>
          </cell>
          <cell r="I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109</v>
          </cell>
          <cell r="O386">
            <v>0</v>
          </cell>
          <cell r="P386">
            <v>69</v>
          </cell>
          <cell r="Q386">
            <v>40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X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G386">
            <v>0</v>
          </cell>
          <cell r="AH386">
            <v>0</v>
          </cell>
          <cell r="AI386">
            <v>0</v>
          </cell>
          <cell r="AJ386" t="str">
            <v>DA HET SAN XUAT</v>
          </cell>
        </row>
        <row r="387">
          <cell r="D387">
            <v>100010879</v>
          </cell>
          <cell r="E387">
            <v>0</v>
          </cell>
          <cell r="F387">
            <v>0</v>
          </cell>
          <cell r="G387">
            <v>0</v>
          </cell>
          <cell r="H387">
            <v>250</v>
          </cell>
          <cell r="I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250</v>
          </cell>
          <cell r="O387">
            <v>0</v>
          </cell>
          <cell r="P387">
            <v>0</v>
          </cell>
          <cell r="Q387">
            <v>250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X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43027</v>
          </cell>
          <cell r="AG387">
            <v>1863</v>
          </cell>
          <cell r="AH387">
            <v>1863</v>
          </cell>
          <cell r="AI387">
            <v>0</v>
          </cell>
          <cell r="AJ387" t="str">
            <v>DA HET SAN XUAT</v>
          </cell>
        </row>
        <row r="388">
          <cell r="D388">
            <v>100007750</v>
          </cell>
          <cell r="E388">
            <v>0</v>
          </cell>
          <cell r="F388">
            <v>0</v>
          </cell>
          <cell r="G388">
            <v>0</v>
          </cell>
          <cell r="H388">
            <v>42</v>
          </cell>
          <cell r="I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42</v>
          </cell>
          <cell r="O388">
            <v>0</v>
          </cell>
          <cell r="P388">
            <v>0</v>
          </cell>
          <cell r="Q388">
            <v>42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X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43018</v>
          </cell>
          <cell r="AG388">
            <v>2181</v>
          </cell>
          <cell r="AH388">
            <v>2169</v>
          </cell>
          <cell r="AI388">
            <v>-12</v>
          </cell>
        </row>
        <row r="389">
          <cell r="D389">
            <v>100008168</v>
          </cell>
          <cell r="E389">
            <v>0</v>
          </cell>
          <cell r="F389">
            <v>0</v>
          </cell>
          <cell r="G389">
            <v>0</v>
          </cell>
          <cell r="H389">
            <v>94</v>
          </cell>
          <cell r="I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94</v>
          </cell>
          <cell r="O389">
            <v>0</v>
          </cell>
          <cell r="P389">
            <v>0</v>
          </cell>
          <cell r="Q389">
            <v>94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X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G389">
            <v>0</v>
          </cell>
          <cell r="AH389">
            <v>0</v>
          </cell>
          <cell r="AI389">
            <v>0</v>
          </cell>
          <cell r="AJ389" t="str">
            <v>DA HET SAN XUAT</v>
          </cell>
        </row>
        <row r="390">
          <cell r="D390" t="str">
            <v>10010195(7D324)</v>
          </cell>
          <cell r="E390">
            <v>0</v>
          </cell>
          <cell r="F390">
            <v>0</v>
          </cell>
          <cell r="G390">
            <v>0</v>
          </cell>
          <cell r="H390">
            <v>48</v>
          </cell>
          <cell r="I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48</v>
          </cell>
          <cell r="O390">
            <v>0</v>
          </cell>
          <cell r="P390">
            <v>0</v>
          </cell>
          <cell r="Q390">
            <v>48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X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G390">
            <v>0</v>
          </cell>
          <cell r="AH390">
            <v>0</v>
          </cell>
          <cell r="AI390">
            <v>0</v>
          </cell>
          <cell r="AJ390" t="str">
            <v>DA HET SAN XUAT</v>
          </cell>
        </row>
        <row r="391">
          <cell r="D391" t="str">
            <v>7D670(10007909)</v>
          </cell>
          <cell r="E391">
            <v>0</v>
          </cell>
          <cell r="F391">
            <v>0</v>
          </cell>
          <cell r="G391">
            <v>0</v>
          </cell>
          <cell r="H391">
            <v>356</v>
          </cell>
          <cell r="I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356</v>
          </cell>
          <cell r="O391">
            <v>0</v>
          </cell>
          <cell r="P391">
            <v>0</v>
          </cell>
          <cell r="Q391">
            <v>356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X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G391">
            <v>0</v>
          </cell>
          <cell r="AH391">
            <v>0</v>
          </cell>
          <cell r="AI391">
            <v>0</v>
          </cell>
          <cell r="AJ391" t="str">
            <v>DA HET SAN XUAT</v>
          </cell>
        </row>
        <row r="392">
          <cell r="D392">
            <v>100003487</v>
          </cell>
          <cell r="E392">
            <v>0</v>
          </cell>
          <cell r="F392">
            <v>0</v>
          </cell>
          <cell r="G392">
            <v>0</v>
          </cell>
          <cell r="H392">
            <v>87</v>
          </cell>
          <cell r="I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87</v>
          </cell>
          <cell r="O392">
            <v>0</v>
          </cell>
          <cell r="P392">
            <v>0</v>
          </cell>
          <cell r="Q392">
            <v>87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X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43029</v>
          </cell>
          <cell r="AG392">
            <v>1896</v>
          </cell>
          <cell r="AH392">
            <v>1896</v>
          </cell>
          <cell r="AI392">
            <v>0</v>
          </cell>
          <cell r="AJ392" t="str">
            <v>DA HET SAN XUAT</v>
          </cell>
        </row>
        <row r="393">
          <cell r="D393">
            <v>100003522</v>
          </cell>
          <cell r="E393">
            <v>0</v>
          </cell>
          <cell r="F393">
            <v>0</v>
          </cell>
          <cell r="G393">
            <v>0</v>
          </cell>
          <cell r="H393">
            <v>113</v>
          </cell>
          <cell r="I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113</v>
          </cell>
          <cell r="O393">
            <v>0</v>
          </cell>
          <cell r="P393">
            <v>0</v>
          </cell>
          <cell r="Q393">
            <v>113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X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43027</v>
          </cell>
          <cell r="AG393">
            <v>1323</v>
          </cell>
          <cell r="AH393">
            <v>1323</v>
          </cell>
          <cell r="AI393">
            <v>0</v>
          </cell>
          <cell r="AJ393" t="str">
            <v>DA HET SAN XUAT</v>
          </cell>
        </row>
        <row r="394">
          <cell r="D394">
            <v>453609</v>
          </cell>
          <cell r="E394">
            <v>0</v>
          </cell>
          <cell r="F394">
            <v>0</v>
          </cell>
          <cell r="G394">
            <v>0</v>
          </cell>
          <cell r="H394">
            <v>121</v>
          </cell>
          <cell r="I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121</v>
          </cell>
          <cell r="O394">
            <v>0</v>
          </cell>
          <cell r="P394">
            <v>0</v>
          </cell>
          <cell r="Q394">
            <v>121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X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43034</v>
          </cell>
          <cell r="AG394">
            <v>4050</v>
          </cell>
          <cell r="AH394">
            <v>4050</v>
          </cell>
          <cell r="AI394">
            <v>0</v>
          </cell>
          <cell r="AJ394" t="str">
            <v>DA HET SAN XUAT</v>
          </cell>
        </row>
        <row r="395">
          <cell r="D395">
            <v>100012436</v>
          </cell>
          <cell r="E395">
            <v>0</v>
          </cell>
          <cell r="F395">
            <v>0</v>
          </cell>
          <cell r="G395">
            <v>0</v>
          </cell>
          <cell r="H395">
            <v>88</v>
          </cell>
          <cell r="I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88</v>
          </cell>
          <cell r="O395">
            <v>0</v>
          </cell>
          <cell r="P395">
            <v>0</v>
          </cell>
          <cell r="Q395">
            <v>88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X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43025</v>
          </cell>
          <cell r="AG395">
            <v>1008</v>
          </cell>
          <cell r="AH395">
            <v>1008</v>
          </cell>
          <cell r="AI395">
            <v>0</v>
          </cell>
          <cell r="AJ395" t="str">
            <v>DA HET SAN XUAT</v>
          </cell>
        </row>
        <row r="396">
          <cell r="D396">
            <v>100012476</v>
          </cell>
          <cell r="E396">
            <v>0</v>
          </cell>
          <cell r="F396">
            <v>0</v>
          </cell>
          <cell r="G396">
            <v>0</v>
          </cell>
          <cell r="H396">
            <v>168</v>
          </cell>
          <cell r="I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168</v>
          </cell>
          <cell r="O396">
            <v>0</v>
          </cell>
          <cell r="P396">
            <v>0</v>
          </cell>
          <cell r="Q396">
            <v>168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X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43018</v>
          </cell>
          <cell r="AG396">
            <v>1069</v>
          </cell>
          <cell r="AH396">
            <v>1069</v>
          </cell>
          <cell r="AI396">
            <v>0</v>
          </cell>
          <cell r="AJ396" t="str">
            <v>DA HET SAN XUAT</v>
          </cell>
        </row>
        <row r="397">
          <cell r="D397" t="str">
            <v>KJT113771</v>
          </cell>
          <cell r="E397">
            <v>0</v>
          </cell>
          <cell r="F397">
            <v>0</v>
          </cell>
          <cell r="G397">
            <v>0</v>
          </cell>
          <cell r="H397">
            <v>115</v>
          </cell>
          <cell r="I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115</v>
          </cell>
          <cell r="O397">
            <v>0</v>
          </cell>
          <cell r="P397">
            <v>0</v>
          </cell>
          <cell r="Q397">
            <v>115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X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43040</v>
          </cell>
          <cell r="AG397">
            <v>1027</v>
          </cell>
          <cell r="AH397">
            <v>1027</v>
          </cell>
          <cell r="AI397">
            <v>0</v>
          </cell>
          <cell r="AJ397" t="str">
            <v>DA HET SAN XUAT</v>
          </cell>
        </row>
        <row r="398">
          <cell r="D398" t="str">
            <v>KTP109581</v>
          </cell>
          <cell r="E398">
            <v>0</v>
          </cell>
          <cell r="F398">
            <v>0</v>
          </cell>
          <cell r="G398">
            <v>0</v>
          </cell>
          <cell r="H398">
            <v>434</v>
          </cell>
          <cell r="I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434</v>
          </cell>
          <cell r="O398">
            <v>0</v>
          </cell>
          <cell r="P398">
            <v>0</v>
          </cell>
          <cell r="Q398">
            <v>434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X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43040</v>
          </cell>
          <cell r="AG398">
            <v>12682</v>
          </cell>
          <cell r="AH398">
            <v>12584</v>
          </cell>
          <cell r="AI398">
            <v>-98</v>
          </cell>
        </row>
        <row r="399">
          <cell r="D399">
            <v>100003498</v>
          </cell>
          <cell r="E399">
            <v>0</v>
          </cell>
          <cell r="F399">
            <v>0</v>
          </cell>
          <cell r="G399">
            <v>0</v>
          </cell>
          <cell r="H399">
            <v>344</v>
          </cell>
          <cell r="I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344</v>
          </cell>
          <cell r="O399">
            <v>0</v>
          </cell>
          <cell r="P399">
            <v>0</v>
          </cell>
          <cell r="Q399">
            <v>344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X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43067</v>
          </cell>
          <cell r="AG399">
            <v>7527</v>
          </cell>
          <cell r="AH399">
            <v>7527</v>
          </cell>
          <cell r="AI399">
            <v>0</v>
          </cell>
          <cell r="AJ399" t="str">
            <v>DA HET SAN XUAT</v>
          </cell>
        </row>
        <row r="400">
          <cell r="D400">
            <v>100003560</v>
          </cell>
          <cell r="E400">
            <v>0</v>
          </cell>
          <cell r="F400">
            <v>0</v>
          </cell>
          <cell r="G400">
            <v>0</v>
          </cell>
          <cell r="H400">
            <v>66</v>
          </cell>
          <cell r="I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66</v>
          </cell>
          <cell r="O400">
            <v>0</v>
          </cell>
          <cell r="P400">
            <v>0</v>
          </cell>
          <cell r="Q400">
            <v>66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X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43071</v>
          </cell>
          <cell r="AG400">
            <v>2289</v>
          </cell>
          <cell r="AH400">
            <v>2289</v>
          </cell>
          <cell r="AI400">
            <v>0</v>
          </cell>
          <cell r="AJ400" t="str">
            <v>DA HET SAN XUAT</v>
          </cell>
        </row>
        <row r="401">
          <cell r="D401">
            <v>453089</v>
          </cell>
          <cell r="E401">
            <v>0</v>
          </cell>
          <cell r="F401">
            <v>0</v>
          </cell>
          <cell r="G401">
            <v>0</v>
          </cell>
          <cell r="H401">
            <v>323</v>
          </cell>
          <cell r="I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323</v>
          </cell>
          <cell r="O401">
            <v>0</v>
          </cell>
          <cell r="P401">
            <v>0</v>
          </cell>
          <cell r="Q401">
            <v>323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X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43076</v>
          </cell>
          <cell r="AG401">
            <v>4030</v>
          </cell>
          <cell r="AH401">
            <v>4030</v>
          </cell>
          <cell r="AI401">
            <v>0</v>
          </cell>
          <cell r="AJ401" t="str">
            <v>DA HET SAN XUAT</v>
          </cell>
        </row>
        <row r="402">
          <cell r="D402" t="str">
            <v>458244(458839)</v>
          </cell>
          <cell r="E402">
            <v>0</v>
          </cell>
          <cell r="F402">
            <v>0</v>
          </cell>
          <cell r="G402">
            <v>0</v>
          </cell>
          <cell r="H402">
            <v>570</v>
          </cell>
          <cell r="I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570</v>
          </cell>
          <cell r="O402">
            <v>0</v>
          </cell>
          <cell r="P402">
            <v>0</v>
          </cell>
          <cell r="Q402">
            <v>570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X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G402">
            <v>0</v>
          </cell>
          <cell r="AH402">
            <v>0</v>
          </cell>
          <cell r="AI402">
            <v>0</v>
          </cell>
          <cell r="AJ402" t="str">
            <v>DA HET SAN XUAT</v>
          </cell>
        </row>
        <row r="403">
          <cell r="D403">
            <v>458624</v>
          </cell>
          <cell r="E403">
            <v>0</v>
          </cell>
          <cell r="F403">
            <v>0</v>
          </cell>
          <cell r="G403">
            <v>0</v>
          </cell>
          <cell r="H403">
            <v>298</v>
          </cell>
          <cell r="I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298</v>
          </cell>
          <cell r="O403">
            <v>0</v>
          </cell>
          <cell r="P403">
            <v>0</v>
          </cell>
          <cell r="Q403">
            <v>298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X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43083</v>
          </cell>
          <cell r="AG403">
            <v>150</v>
          </cell>
          <cell r="AH403">
            <v>150</v>
          </cell>
          <cell r="AI403">
            <v>0</v>
          </cell>
          <cell r="AJ403" t="str">
            <v>DA HET SAN XUAT</v>
          </cell>
        </row>
        <row r="404">
          <cell r="D404">
            <v>458626</v>
          </cell>
          <cell r="E404">
            <v>0</v>
          </cell>
          <cell r="F404">
            <v>0</v>
          </cell>
          <cell r="G404">
            <v>0</v>
          </cell>
          <cell r="H404">
            <v>165</v>
          </cell>
          <cell r="I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165</v>
          </cell>
          <cell r="O404">
            <v>0</v>
          </cell>
          <cell r="P404">
            <v>0</v>
          </cell>
          <cell r="Q404">
            <v>165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X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43082</v>
          </cell>
          <cell r="AG404">
            <v>125</v>
          </cell>
          <cell r="AH404">
            <v>125</v>
          </cell>
          <cell r="AI404">
            <v>0</v>
          </cell>
          <cell r="AJ404" t="str">
            <v>DA HET SAN XUAT</v>
          </cell>
        </row>
        <row r="405">
          <cell r="D405">
            <v>459046</v>
          </cell>
          <cell r="E405">
            <v>0</v>
          </cell>
          <cell r="F405">
            <v>0</v>
          </cell>
          <cell r="G405">
            <v>0</v>
          </cell>
          <cell r="H405">
            <v>126</v>
          </cell>
          <cell r="I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126</v>
          </cell>
          <cell r="O405">
            <v>0</v>
          </cell>
          <cell r="P405">
            <v>0</v>
          </cell>
          <cell r="Q405">
            <v>126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X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43089</v>
          </cell>
          <cell r="AG405">
            <v>1148</v>
          </cell>
          <cell r="AH405">
            <v>1148</v>
          </cell>
          <cell r="AI405">
            <v>0</v>
          </cell>
          <cell r="AJ405" t="str">
            <v>DA HET SAN XUAT</v>
          </cell>
        </row>
        <row r="406">
          <cell r="D406">
            <v>459648</v>
          </cell>
          <cell r="E406">
            <v>0</v>
          </cell>
          <cell r="F406">
            <v>0</v>
          </cell>
          <cell r="G406">
            <v>0</v>
          </cell>
          <cell r="H406">
            <v>111</v>
          </cell>
          <cell r="I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111</v>
          </cell>
          <cell r="O406">
            <v>0</v>
          </cell>
          <cell r="P406">
            <v>0</v>
          </cell>
          <cell r="Q406">
            <v>111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X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43082</v>
          </cell>
          <cell r="AG406">
            <v>1129</v>
          </cell>
          <cell r="AH406">
            <v>1129</v>
          </cell>
          <cell r="AI406">
            <v>0</v>
          </cell>
          <cell r="AJ406" t="str">
            <v>DA HET SAN XUAT</v>
          </cell>
        </row>
        <row r="407">
          <cell r="D407">
            <v>459700</v>
          </cell>
          <cell r="E407">
            <v>0</v>
          </cell>
          <cell r="F407">
            <v>0</v>
          </cell>
          <cell r="G407">
            <v>0</v>
          </cell>
          <cell r="H407">
            <v>78</v>
          </cell>
          <cell r="I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78</v>
          </cell>
          <cell r="O407">
            <v>0</v>
          </cell>
          <cell r="P407">
            <v>0</v>
          </cell>
          <cell r="Q407">
            <v>78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X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43097</v>
          </cell>
          <cell r="AG407">
            <v>1300</v>
          </cell>
          <cell r="AH407">
            <v>1300</v>
          </cell>
          <cell r="AI407">
            <v>0</v>
          </cell>
          <cell r="AJ407" t="str">
            <v>DA HET SAN XUAT</v>
          </cell>
        </row>
        <row r="408">
          <cell r="D408">
            <v>459701</v>
          </cell>
          <cell r="E408">
            <v>0</v>
          </cell>
          <cell r="F408">
            <v>0</v>
          </cell>
          <cell r="G408">
            <v>0</v>
          </cell>
          <cell r="H408">
            <v>133</v>
          </cell>
          <cell r="I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133</v>
          </cell>
          <cell r="O408">
            <v>0</v>
          </cell>
          <cell r="P408">
            <v>0</v>
          </cell>
          <cell r="Q408">
            <v>133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X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43082</v>
          </cell>
          <cell r="AG408">
            <v>1507</v>
          </cell>
          <cell r="AH408">
            <v>1507</v>
          </cell>
          <cell r="AI408">
            <v>0</v>
          </cell>
          <cell r="AJ408" t="str">
            <v>DA HET SAN XUAT</v>
          </cell>
        </row>
        <row r="409">
          <cell r="D409">
            <v>459702</v>
          </cell>
          <cell r="E409">
            <v>0</v>
          </cell>
          <cell r="F409">
            <v>0</v>
          </cell>
          <cell r="G409">
            <v>0</v>
          </cell>
          <cell r="H409">
            <v>42</v>
          </cell>
          <cell r="I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42</v>
          </cell>
          <cell r="O409">
            <v>0</v>
          </cell>
          <cell r="P409">
            <v>0</v>
          </cell>
          <cell r="Q409">
            <v>42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X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43097</v>
          </cell>
          <cell r="AG409">
            <v>600</v>
          </cell>
          <cell r="AH409">
            <v>600</v>
          </cell>
          <cell r="AI409">
            <v>0</v>
          </cell>
          <cell r="AJ409" t="str">
            <v>DA HET SAN XUAT</v>
          </cell>
        </row>
        <row r="410">
          <cell r="D410">
            <v>459704</v>
          </cell>
          <cell r="E410">
            <v>0</v>
          </cell>
          <cell r="F410">
            <v>0</v>
          </cell>
          <cell r="G410">
            <v>0</v>
          </cell>
          <cell r="H410">
            <v>48</v>
          </cell>
          <cell r="I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48</v>
          </cell>
          <cell r="O410">
            <v>0</v>
          </cell>
          <cell r="P410">
            <v>0</v>
          </cell>
          <cell r="Q410">
            <v>48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X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43089</v>
          </cell>
          <cell r="AG410">
            <v>350</v>
          </cell>
          <cell r="AH410">
            <v>350</v>
          </cell>
          <cell r="AI410">
            <v>0</v>
          </cell>
          <cell r="AJ410" t="str">
            <v>DA HET SAN XUAT</v>
          </cell>
        </row>
        <row r="411">
          <cell r="D411">
            <v>459715</v>
          </cell>
          <cell r="E411">
            <v>0</v>
          </cell>
          <cell r="F411">
            <v>0</v>
          </cell>
          <cell r="G411">
            <v>0</v>
          </cell>
          <cell r="H411">
            <v>31</v>
          </cell>
          <cell r="I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31</v>
          </cell>
          <cell r="O411">
            <v>0</v>
          </cell>
          <cell r="P411">
            <v>0</v>
          </cell>
          <cell r="Q411">
            <v>31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X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43083</v>
          </cell>
          <cell r="AG411">
            <v>150</v>
          </cell>
          <cell r="AH411">
            <v>150</v>
          </cell>
          <cell r="AI411">
            <v>0</v>
          </cell>
          <cell r="AJ411" t="str">
            <v>DA HET SAN XUAT</v>
          </cell>
        </row>
        <row r="412">
          <cell r="D412">
            <v>460886</v>
          </cell>
          <cell r="E412">
            <v>0</v>
          </cell>
          <cell r="F412">
            <v>0</v>
          </cell>
          <cell r="G412">
            <v>0</v>
          </cell>
          <cell r="H412">
            <v>30</v>
          </cell>
          <cell r="I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30</v>
          </cell>
          <cell r="O412">
            <v>0</v>
          </cell>
          <cell r="P412">
            <v>0</v>
          </cell>
          <cell r="Q412">
            <v>30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X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43083</v>
          </cell>
          <cell r="AG412">
            <v>550</v>
          </cell>
          <cell r="AH412">
            <v>550</v>
          </cell>
          <cell r="AI412">
            <v>0</v>
          </cell>
          <cell r="AJ412" t="str">
            <v>DA HET SAN XUAT</v>
          </cell>
        </row>
        <row r="413">
          <cell r="D413">
            <v>456858</v>
          </cell>
          <cell r="E413">
            <v>0</v>
          </cell>
          <cell r="F413">
            <v>0</v>
          </cell>
          <cell r="G413">
            <v>0</v>
          </cell>
          <cell r="H413">
            <v>450</v>
          </cell>
          <cell r="I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450</v>
          </cell>
          <cell r="O413">
            <v>0</v>
          </cell>
          <cell r="P413">
            <v>0</v>
          </cell>
          <cell r="Q413">
            <v>450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X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43097</v>
          </cell>
          <cell r="AG413">
            <v>3040</v>
          </cell>
          <cell r="AH413">
            <v>2876</v>
          </cell>
          <cell r="AI413">
            <v>-164</v>
          </cell>
        </row>
        <row r="414">
          <cell r="D414">
            <v>465443</v>
          </cell>
          <cell r="E414">
            <v>0</v>
          </cell>
          <cell r="F414">
            <v>0</v>
          </cell>
          <cell r="G414">
            <v>0</v>
          </cell>
          <cell r="H414">
            <v>42</v>
          </cell>
          <cell r="I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42</v>
          </cell>
          <cell r="O414">
            <v>0</v>
          </cell>
          <cell r="P414">
            <v>0</v>
          </cell>
          <cell r="Q414">
            <v>42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X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43083</v>
          </cell>
          <cell r="AG414">
            <v>300</v>
          </cell>
          <cell r="AH414">
            <v>300</v>
          </cell>
          <cell r="AI414">
            <v>0</v>
          </cell>
          <cell r="AJ414" t="str">
            <v>DA HET SAN XUAT</v>
          </cell>
        </row>
        <row r="415">
          <cell r="D415">
            <v>465452</v>
          </cell>
          <cell r="E415">
            <v>0</v>
          </cell>
          <cell r="F415">
            <v>0</v>
          </cell>
          <cell r="G415">
            <v>0</v>
          </cell>
          <cell r="H415">
            <v>62</v>
          </cell>
          <cell r="I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62</v>
          </cell>
          <cell r="O415">
            <v>0</v>
          </cell>
          <cell r="P415">
            <v>0</v>
          </cell>
          <cell r="Q415">
            <v>62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X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43082</v>
          </cell>
          <cell r="AG415">
            <v>250</v>
          </cell>
          <cell r="AH415">
            <v>250</v>
          </cell>
          <cell r="AI415">
            <v>0</v>
          </cell>
          <cell r="AJ415" t="str">
            <v>DA HET SAN XUAT</v>
          </cell>
        </row>
        <row r="416">
          <cell r="D416">
            <v>465456</v>
          </cell>
          <cell r="E416">
            <v>0</v>
          </cell>
          <cell r="F416">
            <v>0</v>
          </cell>
          <cell r="G416">
            <v>0</v>
          </cell>
          <cell r="H416">
            <v>20</v>
          </cell>
          <cell r="I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20</v>
          </cell>
          <cell r="O416">
            <v>0</v>
          </cell>
          <cell r="P416">
            <v>0</v>
          </cell>
          <cell r="Q416">
            <v>20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X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43081</v>
          </cell>
          <cell r="AG416">
            <v>150</v>
          </cell>
          <cell r="AH416">
            <v>150</v>
          </cell>
          <cell r="AI416">
            <v>0</v>
          </cell>
          <cell r="AJ416" t="str">
            <v>DA HET SAN XUAT</v>
          </cell>
        </row>
        <row r="417">
          <cell r="D417">
            <v>100003058</v>
          </cell>
          <cell r="E417">
            <v>0</v>
          </cell>
          <cell r="F417">
            <v>0</v>
          </cell>
          <cell r="G417">
            <v>0</v>
          </cell>
          <cell r="H417">
            <v>28</v>
          </cell>
          <cell r="I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28</v>
          </cell>
          <cell r="O417">
            <v>0</v>
          </cell>
          <cell r="P417">
            <v>0</v>
          </cell>
          <cell r="Q417">
            <v>28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X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G417">
            <v>0</v>
          </cell>
          <cell r="AH417">
            <v>0</v>
          </cell>
          <cell r="AI417">
            <v>0</v>
          </cell>
          <cell r="AJ417" t="str">
            <v>DA HET SAN XUAT</v>
          </cell>
        </row>
        <row r="418">
          <cell r="D418">
            <v>75740</v>
          </cell>
          <cell r="E418">
            <v>0</v>
          </cell>
          <cell r="F418">
            <v>995</v>
          </cell>
          <cell r="G418">
            <v>995</v>
          </cell>
          <cell r="H418">
            <v>12</v>
          </cell>
          <cell r="I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12</v>
          </cell>
          <cell r="O418">
            <v>0</v>
          </cell>
          <cell r="P418">
            <v>0</v>
          </cell>
          <cell r="Q418">
            <v>12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X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 t="str">
            <v>SKVN-1</v>
          </cell>
          <cell r="AG418">
            <v>6756</v>
          </cell>
          <cell r="AH418">
            <v>6756</v>
          </cell>
          <cell r="AI418">
            <v>0</v>
          </cell>
          <cell r="AJ418" t="str">
            <v>DA HET SAN XUAT</v>
          </cell>
        </row>
        <row r="419">
          <cell r="D419">
            <v>73206</v>
          </cell>
          <cell r="E419">
            <v>0</v>
          </cell>
          <cell r="F419">
            <v>696</v>
          </cell>
          <cell r="G419">
            <v>696</v>
          </cell>
          <cell r="H419">
            <v>34</v>
          </cell>
          <cell r="I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34</v>
          </cell>
          <cell r="O419">
            <v>0</v>
          </cell>
          <cell r="P419">
            <v>0</v>
          </cell>
          <cell r="Q419">
            <v>34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X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42754</v>
          </cell>
          <cell r="AG419">
            <v>3480</v>
          </cell>
          <cell r="AH419">
            <v>3480</v>
          </cell>
          <cell r="AI419">
            <v>0</v>
          </cell>
          <cell r="AJ419" t="str">
            <v>DA HET SAN XUAT</v>
          </cell>
        </row>
      </sheetData>
      <sheetData sheetId="1">
        <row r="3">
          <cell r="B3">
            <v>74211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E"/>
      <sheetName val="PROCESSING"/>
      <sheetName val="ACC 1551 (QUY)"/>
      <sheetName val="Sheet4"/>
      <sheetName val="ACC 1551 (QUY) (2)"/>
      <sheetName val="154"/>
      <sheetName val="PROCESSING ((SYVN)"/>
      <sheetName val="Sheet2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C9" t="str">
            <v>A2335</v>
          </cell>
          <cell r="D9" t="str">
            <v>PCS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</row>
        <row r="10">
          <cell r="C10">
            <v>74210</v>
          </cell>
          <cell r="D10" t="str">
            <v>PCS</v>
          </cell>
          <cell r="E10">
            <v>317</v>
          </cell>
          <cell r="F10">
            <v>0</v>
          </cell>
          <cell r="H10">
            <v>317</v>
          </cell>
          <cell r="I10">
            <v>317</v>
          </cell>
          <cell r="J10">
            <v>0</v>
          </cell>
          <cell r="K10">
            <v>317</v>
          </cell>
          <cell r="L10">
            <v>0</v>
          </cell>
          <cell r="M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</row>
        <row r="11">
          <cell r="C11">
            <v>69717</v>
          </cell>
          <cell r="D11" t="str">
            <v>PCS</v>
          </cell>
          <cell r="E11">
            <v>6903</v>
          </cell>
          <cell r="F11">
            <v>2341</v>
          </cell>
          <cell r="G11">
            <v>133</v>
          </cell>
          <cell r="H11">
            <v>9111</v>
          </cell>
          <cell r="I11">
            <v>9111</v>
          </cell>
          <cell r="J11">
            <v>41</v>
          </cell>
          <cell r="K11">
            <v>2161</v>
          </cell>
          <cell r="L11">
            <v>6991</v>
          </cell>
          <cell r="M11">
            <v>6991</v>
          </cell>
          <cell r="N11">
            <v>0</v>
          </cell>
          <cell r="O11">
            <v>0</v>
          </cell>
          <cell r="P11">
            <v>6991</v>
          </cell>
          <cell r="Q11">
            <v>6991</v>
          </cell>
          <cell r="R11">
            <v>357</v>
          </cell>
          <cell r="S11">
            <v>294</v>
          </cell>
          <cell r="T11">
            <v>7054</v>
          </cell>
        </row>
        <row r="12">
          <cell r="C12">
            <v>73738</v>
          </cell>
          <cell r="D12" t="str">
            <v>PCS</v>
          </cell>
          <cell r="E12">
            <v>473</v>
          </cell>
          <cell r="F12">
            <v>0</v>
          </cell>
          <cell r="H12">
            <v>473</v>
          </cell>
          <cell r="I12">
            <v>473</v>
          </cell>
          <cell r="J12">
            <v>0</v>
          </cell>
          <cell r="K12">
            <v>0</v>
          </cell>
          <cell r="L12">
            <v>473</v>
          </cell>
          <cell r="M12">
            <v>473</v>
          </cell>
          <cell r="N12">
            <v>0</v>
          </cell>
          <cell r="O12">
            <v>0</v>
          </cell>
          <cell r="P12">
            <v>473</v>
          </cell>
          <cell r="Q12">
            <v>473</v>
          </cell>
          <cell r="R12">
            <v>0</v>
          </cell>
          <cell r="S12">
            <v>0</v>
          </cell>
          <cell r="T12">
            <v>473</v>
          </cell>
        </row>
        <row r="13">
          <cell r="C13">
            <v>73935</v>
          </cell>
          <cell r="D13" t="str">
            <v>PCS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</row>
        <row r="14">
          <cell r="C14">
            <v>73736</v>
          </cell>
          <cell r="D14" t="str">
            <v>PCS</v>
          </cell>
          <cell r="E14">
            <v>0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C15">
            <v>73746</v>
          </cell>
          <cell r="D15" t="str">
            <v>PCS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</row>
        <row r="16">
          <cell r="C16" t="str">
            <v>R2072</v>
          </cell>
          <cell r="D16" t="str">
            <v>PCS</v>
          </cell>
          <cell r="E16">
            <v>6874</v>
          </cell>
          <cell r="F16">
            <v>8504</v>
          </cell>
          <cell r="G16">
            <v>2911</v>
          </cell>
          <cell r="H16">
            <v>12467</v>
          </cell>
          <cell r="I16">
            <v>12467</v>
          </cell>
          <cell r="J16">
            <v>938</v>
          </cell>
          <cell r="K16">
            <v>6157</v>
          </cell>
          <cell r="L16">
            <v>7248</v>
          </cell>
          <cell r="M16">
            <v>7248</v>
          </cell>
          <cell r="N16">
            <v>9502</v>
          </cell>
          <cell r="O16">
            <v>8982</v>
          </cell>
          <cell r="P16">
            <v>7768</v>
          </cell>
          <cell r="Q16">
            <v>7768</v>
          </cell>
          <cell r="R16">
            <v>20706</v>
          </cell>
          <cell r="S16">
            <v>16147</v>
          </cell>
          <cell r="T16">
            <v>12327</v>
          </cell>
        </row>
        <row r="17">
          <cell r="C17" t="str">
            <v>KJK078971</v>
          </cell>
          <cell r="D17" t="str">
            <v>PCS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</row>
        <row r="18">
          <cell r="C18" t="str">
            <v>KPT001611</v>
          </cell>
          <cell r="D18" t="str">
            <v>PCS</v>
          </cell>
          <cell r="E18">
            <v>16363</v>
          </cell>
          <cell r="F18">
            <v>13420</v>
          </cell>
          <cell r="G18">
            <v>10999</v>
          </cell>
          <cell r="H18">
            <v>18784</v>
          </cell>
          <cell r="I18">
            <v>18784</v>
          </cell>
          <cell r="J18">
            <v>319</v>
          </cell>
          <cell r="K18">
            <v>2449</v>
          </cell>
          <cell r="L18">
            <v>16654</v>
          </cell>
          <cell r="M18">
            <v>16654</v>
          </cell>
          <cell r="N18">
            <v>694</v>
          </cell>
          <cell r="O18">
            <v>652</v>
          </cell>
          <cell r="P18">
            <v>16696</v>
          </cell>
          <cell r="Q18">
            <v>16696</v>
          </cell>
          <cell r="R18">
            <v>0</v>
          </cell>
          <cell r="S18">
            <v>0</v>
          </cell>
          <cell r="T18">
            <v>16696</v>
          </cell>
        </row>
        <row r="19">
          <cell r="C19" t="str">
            <v>KPT070471</v>
          </cell>
          <cell r="D19" t="str">
            <v>PCS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</row>
        <row r="20">
          <cell r="C20" t="str">
            <v>KPT101081</v>
          </cell>
          <cell r="D20" t="str">
            <v>PCS</v>
          </cell>
          <cell r="E20">
            <v>882</v>
          </cell>
          <cell r="F20">
            <v>0</v>
          </cell>
          <cell r="H20">
            <v>882</v>
          </cell>
          <cell r="I20">
            <v>882</v>
          </cell>
          <cell r="J20">
            <v>485</v>
          </cell>
          <cell r="K20">
            <v>400</v>
          </cell>
          <cell r="L20">
            <v>967</v>
          </cell>
          <cell r="M20">
            <v>967</v>
          </cell>
          <cell r="N20">
            <v>513</v>
          </cell>
          <cell r="O20">
            <v>450</v>
          </cell>
          <cell r="P20">
            <v>1030</v>
          </cell>
          <cell r="Q20">
            <v>1030</v>
          </cell>
          <cell r="R20">
            <v>19542</v>
          </cell>
          <cell r="S20">
            <v>17971</v>
          </cell>
          <cell r="T20">
            <v>2601</v>
          </cell>
        </row>
        <row r="21">
          <cell r="C21" t="str">
            <v>CM 76</v>
          </cell>
          <cell r="D21" t="str">
            <v>PCS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</row>
        <row r="22">
          <cell r="C22" t="str">
            <v>79-0710</v>
          </cell>
          <cell r="D22" t="str">
            <v>PCS</v>
          </cell>
          <cell r="E22">
            <v>383</v>
          </cell>
          <cell r="F22">
            <v>0</v>
          </cell>
          <cell r="H22">
            <v>383</v>
          </cell>
          <cell r="I22">
            <v>383</v>
          </cell>
          <cell r="J22">
            <v>0</v>
          </cell>
          <cell r="K22">
            <v>383</v>
          </cell>
          <cell r="L22">
            <v>0</v>
          </cell>
          <cell r="M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</row>
        <row r="23">
          <cell r="C23" t="str">
            <v>79-0711</v>
          </cell>
          <cell r="D23" t="str">
            <v>PCS</v>
          </cell>
          <cell r="E23">
            <v>431</v>
          </cell>
          <cell r="F23">
            <v>0</v>
          </cell>
          <cell r="H23">
            <v>431</v>
          </cell>
          <cell r="I23">
            <v>431</v>
          </cell>
          <cell r="J23">
            <v>0</v>
          </cell>
          <cell r="K23">
            <v>431</v>
          </cell>
          <cell r="L23">
            <v>0</v>
          </cell>
          <cell r="M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</row>
        <row r="24">
          <cell r="C24" t="str">
            <v>KPT020401</v>
          </cell>
          <cell r="D24" t="str">
            <v>PCS</v>
          </cell>
          <cell r="E24">
            <v>1838</v>
          </cell>
          <cell r="F24">
            <v>0</v>
          </cell>
          <cell r="H24">
            <v>1838</v>
          </cell>
          <cell r="I24">
            <v>1838</v>
          </cell>
          <cell r="J24">
            <v>0</v>
          </cell>
          <cell r="K24">
            <v>1592</v>
          </cell>
          <cell r="L24">
            <v>246</v>
          </cell>
          <cell r="M24">
            <v>246</v>
          </cell>
          <cell r="P24">
            <v>246</v>
          </cell>
          <cell r="Q24">
            <v>246</v>
          </cell>
          <cell r="R24">
            <v>0</v>
          </cell>
          <cell r="S24">
            <v>0</v>
          </cell>
          <cell r="T24">
            <v>246</v>
          </cell>
        </row>
        <row r="25">
          <cell r="C25">
            <v>173034559</v>
          </cell>
          <cell r="D25" t="str">
            <v>PCS</v>
          </cell>
          <cell r="E25">
            <v>4958</v>
          </cell>
          <cell r="F25">
            <v>0</v>
          </cell>
          <cell r="H25">
            <v>4958</v>
          </cell>
          <cell r="I25">
            <v>4958</v>
          </cell>
          <cell r="J25">
            <v>0</v>
          </cell>
          <cell r="K25">
            <v>4958</v>
          </cell>
          <cell r="L25">
            <v>0</v>
          </cell>
          <cell r="M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6">
          <cell r="C26">
            <v>173013549</v>
          </cell>
          <cell r="D26" t="str">
            <v>PCS</v>
          </cell>
          <cell r="E26">
            <v>127</v>
          </cell>
          <cell r="F26">
            <v>0</v>
          </cell>
          <cell r="H26">
            <v>127</v>
          </cell>
          <cell r="I26">
            <v>127</v>
          </cell>
          <cell r="J26">
            <v>0</v>
          </cell>
          <cell r="K26">
            <v>127</v>
          </cell>
          <cell r="L26">
            <v>0</v>
          </cell>
          <cell r="M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</row>
        <row r="27">
          <cell r="C27">
            <v>173013486</v>
          </cell>
          <cell r="D27" t="str">
            <v>PCS</v>
          </cell>
          <cell r="E27">
            <v>527</v>
          </cell>
          <cell r="F27">
            <v>0</v>
          </cell>
          <cell r="H27">
            <v>527</v>
          </cell>
          <cell r="I27">
            <v>527</v>
          </cell>
          <cell r="J27">
            <v>0</v>
          </cell>
          <cell r="K27">
            <v>527</v>
          </cell>
          <cell r="L27">
            <v>0</v>
          </cell>
          <cell r="M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</row>
        <row r="28">
          <cell r="C28" t="str">
            <v>76C17</v>
          </cell>
          <cell r="D28" t="str">
            <v>PCS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</row>
        <row r="29">
          <cell r="C29">
            <v>73313</v>
          </cell>
          <cell r="D29" t="str">
            <v>PCS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</row>
        <row r="30">
          <cell r="C30">
            <v>73640</v>
          </cell>
          <cell r="D30" t="str">
            <v>PCS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C31">
            <v>78662</v>
          </cell>
          <cell r="D31" t="str">
            <v>PCS</v>
          </cell>
          <cell r="E31">
            <v>102</v>
          </cell>
          <cell r="F31">
            <v>0</v>
          </cell>
          <cell r="H31">
            <v>102</v>
          </cell>
          <cell r="I31">
            <v>102</v>
          </cell>
          <cell r="J31">
            <v>0</v>
          </cell>
          <cell r="K31">
            <v>102</v>
          </cell>
          <cell r="L31">
            <v>0</v>
          </cell>
          <cell r="M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C32">
            <v>7285</v>
          </cell>
          <cell r="D32" t="str">
            <v>PCS</v>
          </cell>
          <cell r="E32">
            <v>539</v>
          </cell>
          <cell r="F32">
            <v>0</v>
          </cell>
          <cell r="G32">
            <v>507</v>
          </cell>
          <cell r="H32">
            <v>32</v>
          </cell>
          <cell r="I32">
            <v>32</v>
          </cell>
          <cell r="J32">
            <v>0</v>
          </cell>
          <cell r="K32">
            <v>0</v>
          </cell>
          <cell r="L32">
            <v>32</v>
          </cell>
          <cell r="M32">
            <v>32</v>
          </cell>
          <cell r="N32">
            <v>0</v>
          </cell>
          <cell r="O32">
            <v>0</v>
          </cell>
          <cell r="P32">
            <v>32</v>
          </cell>
          <cell r="Q32">
            <v>32</v>
          </cell>
          <cell r="R32">
            <v>0</v>
          </cell>
          <cell r="S32">
            <v>0</v>
          </cell>
          <cell r="T32">
            <v>32</v>
          </cell>
        </row>
        <row r="33">
          <cell r="C33">
            <v>100002227</v>
          </cell>
          <cell r="D33" t="str">
            <v>PCS</v>
          </cell>
          <cell r="E33">
            <v>72</v>
          </cell>
          <cell r="F33">
            <v>0</v>
          </cell>
          <cell r="H33">
            <v>72</v>
          </cell>
          <cell r="I33">
            <v>72</v>
          </cell>
          <cell r="J33">
            <v>0</v>
          </cell>
          <cell r="K33">
            <v>72</v>
          </cell>
          <cell r="L33">
            <v>0</v>
          </cell>
          <cell r="M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</row>
        <row r="34">
          <cell r="C34">
            <v>100003183</v>
          </cell>
          <cell r="D34" t="str">
            <v>PCS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C35">
            <v>79708</v>
          </cell>
          <cell r="D35" t="str">
            <v>PCS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</row>
        <row r="36">
          <cell r="C36" t="str">
            <v>7X304</v>
          </cell>
          <cell r="D36" t="str">
            <v>PCS</v>
          </cell>
          <cell r="E36">
            <v>0</v>
          </cell>
          <cell r="F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37">
          <cell r="C37" t="str">
            <v>7X412</v>
          </cell>
          <cell r="D37" t="str">
            <v>PCS</v>
          </cell>
          <cell r="E37">
            <v>68</v>
          </cell>
          <cell r="F37">
            <v>0</v>
          </cell>
          <cell r="H37">
            <v>68</v>
          </cell>
          <cell r="I37">
            <v>68</v>
          </cell>
          <cell r="J37">
            <v>0</v>
          </cell>
          <cell r="K37">
            <v>68</v>
          </cell>
          <cell r="L37">
            <v>0</v>
          </cell>
          <cell r="M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</row>
        <row r="38">
          <cell r="C38" t="str">
            <v>7X720</v>
          </cell>
          <cell r="D38" t="str">
            <v>PCS</v>
          </cell>
          <cell r="E38">
            <v>216</v>
          </cell>
          <cell r="F38">
            <v>0</v>
          </cell>
          <cell r="H38">
            <v>216</v>
          </cell>
          <cell r="I38">
            <v>216</v>
          </cell>
          <cell r="J38">
            <v>0</v>
          </cell>
          <cell r="K38">
            <v>216</v>
          </cell>
          <cell r="L38">
            <v>0</v>
          </cell>
          <cell r="M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C39" t="str">
            <v>7X910</v>
          </cell>
          <cell r="D39" t="str">
            <v>PCS</v>
          </cell>
          <cell r="E39">
            <v>219</v>
          </cell>
          <cell r="F39">
            <v>0</v>
          </cell>
          <cell r="H39">
            <v>219</v>
          </cell>
          <cell r="I39">
            <v>219</v>
          </cell>
          <cell r="J39">
            <v>0</v>
          </cell>
          <cell r="K39">
            <v>219</v>
          </cell>
          <cell r="L39">
            <v>0</v>
          </cell>
          <cell r="M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0">
          <cell r="C40" t="str">
            <v>437886(445994-455508)</v>
          </cell>
          <cell r="D40" t="str">
            <v>PCS</v>
          </cell>
          <cell r="E40">
            <v>388</v>
          </cell>
          <cell r="F40">
            <v>0</v>
          </cell>
          <cell r="H40">
            <v>388</v>
          </cell>
          <cell r="I40">
            <v>388</v>
          </cell>
          <cell r="J40">
            <v>0</v>
          </cell>
          <cell r="K40">
            <v>388</v>
          </cell>
          <cell r="L40">
            <v>0</v>
          </cell>
          <cell r="M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C41">
            <v>446831</v>
          </cell>
          <cell r="D41" t="str">
            <v>PCS</v>
          </cell>
          <cell r="E41">
            <v>219</v>
          </cell>
          <cell r="F41">
            <v>0</v>
          </cell>
          <cell r="H41">
            <v>219</v>
          </cell>
          <cell r="I41">
            <v>219</v>
          </cell>
          <cell r="J41">
            <v>0</v>
          </cell>
          <cell r="K41">
            <v>219</v>
          </cell>
          <cell r="L41">
            <v>0</v>
          </cell>
          <cell r="M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</row>
        <row r="42">
          <cell r="C42">
            <v>1398</v>
          </cell>
          <cell r="D42" t="str">
            <v>PCS</v>
          </cell>
          <cell r="E42">
            <v>106</v>
          </cell>
          <cell r="F42">
            <v>0</v>
          </cell>
          <cell r="H42">
            <v>106</v>
          </cell>
          <cell r="I42">
            <v>106</v>
          </cell>
          <cell r="J42">
            <v>0</v>
          </cell>
          <cell r="K42">
            <v>106</v>
          </cell>
          <cell r="L42">
            <v>0</v>
          </cell>
          <cell r="M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C43">
            <v>1596</v>
          </cell>
          <cell r="D43" t="str">
            <v>PCS</v>
          </cell>
          <cell r="E43">
            <v>0</v>
          </cell>
          <cell r="F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</row>
        <row r="44">
          <cell r="C44">
            <v>16627</v>
          </cell>
          <cell r="D44" t="str">
            <v>PCS</v>
          </cell>
          <cell r="E44">
            <v>94</v>
          </cell>
          <cell r="F44">
            <v>0</v>
          </cell>
          <cell r="H44">
            <v>94</v>
          </cell>
          <cell r="I44">
            <v>94</v>
          </cell>
          <cell r="J44">
            <v>0</v>
          </cell>
          <cell r="K44">
            <v>94</v>
          </cell>
          <cell r="L44">
            <v>0</v>
          </cell>
          <cell r="M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C45">
            <v>16667</v>
          </cell>
          <cell r="D45" t="str">
            <v>PCS</v>
          </cell>
          <cell r="E45">
            <v>0</v>
          </cell>
          <cell r="F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</row>
        <row r="46">
          <cell r="C46">
            <v>2207260</v>
          </cell>
          <cell r="D46" t="str">
            <v>PCS</v>
          </cell>
          <cell r="E46">
            <v>307</v>
          </cell>
          <cell r="F46">
            <v>0</v>
          </cell>
          <cell r="H46">
            <v>307</v>
          </cell>
          <cell r="I46">
            <v>307</v>
          </cell>
          <cell r="J46">
            <v>0</v>
          </cell>
          <cell r="K46">
            <v>307</v>
          </cell>
          <cell r="L46">
            <v>0</v>
          </cell>
          <cell r="M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</row>
        <row r="47">
          <cell r="C47">
            <v>2207263</v>
          </cell>
          <cell r="D47" t="str">
            <v>PCS</v>
          </cell>
          <cell r="E47">
            <v>344</v>
          </cell>
          <cell r="F47">
            <v>0</v>
          </cell>
          <cell r="H47">
            <v>344</v>
          </cell>
          <cell r="I47">
            <v>344</v>
          </cell>
          <cell r="J47">
            <v>0</v>
          </cell>
          <cell r="K47">
            <v>344</v>
          </cell>
          <cell r="L47">
            <v>0</v>
          </cell>
          <cell r="M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</row>
        <row r="48">
          <cell r="C48">
            <v>100002317</v>
          </cell>
          <cell r="D48" t="str">
            <v>PCS</v>
          </cell>
          <cell r="E48">
            <v>0</v>
          </cell>
          <cell r="F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</row>
        <row r="49">
          <cell r="C49" t="str">
            <v>KJT111881</v>
          </cell>
          <cell r="D49" t="str">
            <v>PCS</v>
          </cell>
          <cell r="E49">
            <v>148</v>
          </cell>
          <cell r="F49">
            <v>0</v>
          </cell>
          <cell r="H49">
            <v>148</v>
          </cell>
          <cell r="I49">
            <v>148</v>
          </cell>
          <cell r="J49">
            <v>0</v>
          </cell>
          <cell r="K49">
            <v>148</v>
          </cell>
          <cell r="L49">
            <v>0</v>
          </cell>
          <cell r="M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</row>
        <row r="50">
          <cell r="C50">
            <v>173034525</v>
          </cell>
          <cell r="D50" t="str">
            <v>PCS</v>
          </cell>
          <cell r="E50">
            <v>196</v>
          </cell>
          <cell r="F50">
            <v>0</v>
          </cell>
          <cell r="H50">
            <v>196</v>
          </cell>
          <cell r="I50">
            <v>196</v>
          </cell>
          <cell r="J50">
            <v>0</v>
          </cell>
          <cell r="K50">
            <v>196</v>
          </cell>
          <cell r="L50">
            <v>0</v>
          </cell>
          <cell r="M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</row>
        <row r="51">
          <cell r="C51">
            <v>173034576</v>
          </cell>
          <cell r="D51" t="str">
            <v>PCS</v>
          </cell>
          <cell r="E51">
            <v>414</v>
          </cell>
          <cell r="F51">
            <v>0</v>
          </cell>
          <cell r="H51">
            <v>414</v>
          </cell>
          <cell r="I51">
            <v>414</v>
          </cell>
          <cell r="J51">
            <v>0</v>
          </cell>
          <cell r="K51">
            <v>414</v>
          </cell>
          <cell r="L51">
            <v>0</v>
          </cell>
          <cell r="M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</row>
        <row r="52">
          <cell r="C52">
            <v>173034582</v>
          </cell>
          <cell r="D52" t="str">
            <v>PCS</v>
          </cell>
          <cell r="E52">
            <v>65</v>
          </cell>
          <cell r="F52">
            <v>0</v>
          </cell>
          <cell r="H52">
            <v>65</v>
          </cell>
          <cell r="I52">
            <v>65</v>
          </cell>
          <cell r="J52">
            <v>0</v>
          </cell>
          <cell r="K52">
            <v>65</v>
          </cell>
          <cell r="L52">
            <v>0</v>
          </cell>
          <cell r="M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</row>
        <row r="53">
          <cell r="C53" t="str">
            <v>KPT100181</v>
          </cell>
          <cell r="D53" t="str">
            <v>PCS</v>
          </cell>
          <cell r="E53">
            <v>170</v>
          </cell>
          <cell r="F53">
            <v>0</v>
          </cell>
          <cell r="H53">
            <v>170</v>
          </cell>
          <cell r="I53">
            <v>170</v>
          </cell>
          <cell r="J53">
            <v>0</v>
          </cell>
          <cell r="K53">
            <v>170</v>
          </cell>
          <cell r="L53">
            <v>0</v>
          </cell>
          <cell r="M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</row>
        <row r="54">
          <cell r="C54">
            <v>1323</v>
          </cell>
          <cell r="D54" t="str">
            <v>PCS</v>
          </cell>
          <cell r="E54">
            <v>0</v>
          </cell>
          <cell r="F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</row>
        <row r="55">
          <cell r="C55">
            <v>16636</v>
          </cell>
          <cell r="D55" t="str">
            <v>PCS</v>
          </cell>
          <cell r="E55">
            <v>0</v>
          </cell>
          <cell r="F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</row>
        <row r="56">
          <cell r="C56">
            <v>1396</v>
          </cell>
          <cell r="D56" t="str">
            <v>PCS</v>
          </cell>
          <cell r="E56">
            <v>71</v>
          </cell>
          <cell r="F56">
            <v>0</v>
          </cell>
          <cell r="H56">
            <v>71</v>
          </cell>
          <cell r="I56">
            <v>71</v>
          </cell>
          <cell r="J56">
            <v>0</v>
          </cell>
          <cell r="K56">
            <v>71</v>
          </cell>
          <cell r="L56">
            <v>0</v>
          </cell>
          <cell r="M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</row>
        <row r="57">
          <cell r="C57">
            <v>100009329</v>
          </cell>
          <cell r="D57" t="str">
            <v>PCS</v>
          </cell>
          <cell r="E57">
            <v>255</v>
          </cell>
          <cell r="F57">
            <v>0</v>
          </cell>
          <cell r="H57">
            <v>255</v>
          </cell>
          <cell r="I57">
            <v>255</v>
          </cell>
          <cell r="J57">
            <v>0</v>
          </cell>
          <cell r="K57">
            <v>255</v>
          </cell>
          <cell r="L57">
            <v>0</v>
          </cell>
          <cell r="M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</row>
        <row r="58">
          <cell r="C58" t="str">
            <v>7N720</v>
          </cell>
          <cell r="D58" t="str">
            <v>PCS</v>
          </cell>
          <cell r="E58">
            <v>292</v>
          </cell>
          <cell r="F58">
            <v>0</v>
          </cell>
          <cell r="H58">
            <v>292</v>
          </cell>
          <cell r="I58">
            <v>292</v>
          </cell>
          <cell r="J58">
            <v>0</v>
          </cell>
          <cell r="K58">
            <v>292</v>
          </cell>
          <cell r="L58">
            <v>0</v>
          </cell>
          <cell r="M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</row>
        <row r="59">
          <cell r="C59">
            <v>100004407</v>
          </cell>
          <cell r="D59" t="str">
            <v>PCS</v>
          </cell>
          <cell r="E59">
            <v>345</v>
          </cell>
          <cell r="F59">
            <v>117</v>
          </cell>
          <cell r="G59">
            <v>102</v>
          </cell>
          <cell r="H59">
            <v>360</v>
          </cell>
          <cell r="I59">
            <v>360</v>
          </cell>
          <cell r="J59">
            <v>4422</v>
          </cell>
          <cell r="K59">
            <v>4224</v>
          </cell>
          <cell r="L59">
            <v>558</v>
          </cell>
          <cell r="M59">
            <v>558</v>
          </cell>
          <cell r="N59">
            <v>2376</v>
          </cell>
          <cell r="O59">
            <v>0</v>
          </cell>
          <cell r="P59">
            <v>2934</v>
          </cell>
          <cell r="Q59">
            <v>2934</v>
          </cell>
          <cell r="R59">
            <v>87</v>
          </cell>
          <cell r="S59">
            <v>2336</v>
          </cell>
          <cell r="T59">
            <v>685</v>
          </cell>
        </row>
        <row r="60">
          <cell r="C60">
            <v>79201</v>
          </cell>
          <cell r="D60" t="str">
            <v>PCS</v>
          </cell>
          <cell r="E60">
            <v>0</v>
          </cell>
          <cell r="F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</row>
        <row r="61">
          <cell r="C61">
            <v>446749</v>
          </cell>
          <cell r="D61" t="str">
            <v>PCS</v>
          </cell>
          <cell r="E61">
            <v>165</v>
          </cell>
          <cell r="F61">
            <v>0</v>
          </cell>
          <cell r="H61">
            <v>165</v>
          </cell>
          <cell r="I61">
            <v>165</v>
          </cell>
          <cell r="J61">
            <v>0</v>
          </cell>
          <cell r="K61">
            <v>0</v>
          </cell>
          <cell r="L61">
            <v>165</v>
          </cell>
          <cell r="M61">
            <v>165</v>
          </cell>
          <cell r="N61">
            <v>0</v>
          </cell>
          <cell r="O61">
            <v>0</v>
          </cell>
          <cell r="P61">
            <v>165</v>
          </cell>
          <cell r="Q61">
            <v>165</v>
          </cell>
          <cell r="R61">
            <v>0</v>
          </cell>
          <cell r="S61">
            <v>0</v>
          </cell>
          <cell r="T61">
            <v>165</v>
          </cell>
        </row>
        <row r="62">
          <cell r="C62">
            <v>446053</v>
          </cell>
          <cell r="D62" t="str">
            <v>PCS</v>
          </cell>
          <cell r="E62">
            <v>63</v>
          </cell>
          <cell r="F62">
            <v>0</v>
          </cell>
          <cell r="H62">
            <v>63</v>
          </cell>
          <cell r="I62">
            <v>63</v>
          </cell>
          <cell r="J62">
            <v>0</v>
          </cell>
          <cell r="K62">
            <v>0</v>
          </cell>
          <cell r="L62">
            <v>63</v>
          </cell>
          <cell r="M62">
            <v>63</v>
          </cell>
          <cell r="N62">
            <v>0</v>
          </cell>
          <cell r="O62">
            <v>0</v>
          </cell>
          <cell r="P62">
            <v>63</v>
          </cell>
          <cell r="Q62">
            <v>63</v>
          </cell>
          <cell r="R62">
            <v>0</v>
          </cell>
          <cell r="S62">
            <v>0</v>
          </cell>
          <cell r="T62">
            <v>63</v>
          </cell>
        </row>
        <row r="63">
          <cell r="C63" t="str">
            <v>443696(445300)</v>
          </cell>
          <cell r="D63" t="str">
            <v>PCS</v>
          </cell>
          <cell r="E63">
            <v>0</v>
          </cell>
          <cell r="F63">
            <v>0</v>
          </cell>
          <cell r="H63">
            <v>0</v>
          </cell>
          <cell r="I63">
            <v>0</v>
          </cell>
          <cell r="K63">
            <v>0</v>
          </cell>
          <cell r="L63">
            <v>0</v>
          </cell>
          <cell r="M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</row>
        <row r="64">
          <cell r="C64">
            <v>446830</v>
          </cell>
          <cell r="D64" t="str">
            <v>PCS</v>
          </cell>
          <cell r="E64">
            <v>493</v>
          </cell>
          <cell r="F64">
            <v>0</v>
          </cell>
          <cell r="H64">
            <v>493</v>
          </cell>
          <cell r="I64">
            <v>493</v>
          </cell>
          <cell r="J64">
            <v>0</v>
          </cell>
          <cell r="K64">
            <v>493</v>
          </cell>
          <cell r="L64">
            <v>0</v>
          </cell>
          <cell r="M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C65" t="str">
            <v>7X656(100000292)</v>
          </cell>
          <cell r="D65" t="str">
            <v>PCS</v>
          </cell>
          <cell r="E65">
            <v>164</v>
          </cell>
          <cell r="F65">
            <v>0</v>
          </cell>
          <cell r="H65">
            <v>164</v>
          </cell>
          <cell r="I65">
            <v>164</v>
          </cell>
          <cell r="J65">
            <v>0</v>
          </cell>
          <cell r="K65">
            <v>164</v>
          </cell>
          <cell r="L65">
            <v>0</v>
          </cell>
          <cell r="M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</row>
        <row r="66">
          <cell r="C66">
            <v>100004405</v>
          </cell>
          <cell r="D66" t="str">
            <v>PCS</v>
          </cell>
          <cell r="E66">
            <v>79</v>
          </cell>
          <cell r="F66">
            <v>0</v>
          </cell>
          <cell r="H66">
            <v>79</v>
          </cell>
          <cell r="I66">
            <v>79</v>
          </cell>
          <cell r="J66">
            <v>0</v>
          </cell>
          <cell r="K66">
            <v>0</v>
          </cell>
          <cell r="L66">
            <v>79</v>
          </cell>
          <cell r="M66">
            <v>79</v>
          </cell>
          <cell r="N66">
            <v>0</v>
          </cell>
          <cell r="O66">
            <v>0</v>
          </cell>
          <cell r="P66">
            <v>79</v>
          </cell>
          <cell r="Q66">
            <v>79</v>
          </cell>
          <cell r="R66">
            <v>0</v>
          </cell>
          <cell r="S66">
            <v>0</v>
          </cell>
          <cell r="T66">
            <v>79</v>
          </cell>
        </row>
        <row r="67">
          <cell r="C67" t="str">
            <v>7X719</v>
          </cell>
          <cell r="D67" t="str">
            <v>PCS</v>
          </cell>
          <cell r="E67">
            <v>301</v>
          </cell>
          <cell r="F67">
            <v>0</v>
          </cell>
          <cell r="H67">
            <v>301</v>
          </cell>
          <cell r="I67">
            <v>301</v>
          </cell>
          <cell r="J67">
            <v>0</v>
          </cell>
          <cell r="K67">
            <v>301</v>
          </cell>
          <cell r="L67">
            <v>0</v>
          </cell>
          <cell r="M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</row>
        <row r="68">
          <cell r="C68">
            <v>79925</v>
          </cell>
          <cell r="D68" t="str">
            <v>PCS</v>
          </cell>
          <cell r="E68">
            <v>64</v>
          </cell>
          <cell r="F68">
            <v>0</v>
          </cell>
          <cell r="H68">
            <v>64</v>
          </cell>
          <cell r="I68">
            <v>64</v>
          </cell>
          <cell r="J68">
            <v>0</v>
          </cell>
          <cell r="K68">
            <v>64</v>
          </cell>
          <cell r="L68">
            <v>0</v>
          </cell>
          <cell r="M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</row>
        <row r="69">
          <cell r="C69">
            <v>100003246</v>
          </cell>
          <cell r="D69" t="str">
            <v>PCS</v>
          </cell>
          <cell r="E69">
            <v>377</v>
          </cell>
          <cell r="F69">
            <v>0</v>
          </cell>
          <cell r="H69">
            <v>377</v>
          </cell>
          <cell r="I69">
            <v>377</v>
          </cell>
          <cell r="J69">
            <v>0</v>
          </cell>
          <cell r="K69">
            <v>0</v>
          </cell>
          <cell r="L69">
            <v>377</v>
          </cell>
          <cell r="M69">
            <v>377</v>
          </cell>
          <cell r="N69">
            <v>0</v>
          </cell>
          <cell r="O69">
            <v>0</v>
          </cell>
          <cell r="P69">
            <v>377</v>
          </cell>
          <cell r="Q69">
            <v>377</v>
          </cell>
          <cell r="R69">
            <v>0</v>
          </cell>
          <cell r="S69">
            <v>0</v>
          </cell>
          <cell r="T69">
            <v>377</v>
          </cell>
        </row>
        <row r="70">
          <cell r="C70">
            <v>100001802</v>
          </cell>
          <cell r="D70" t="str">
            <v>PCS</v>
          </cell>
          <cell r="E70">
            <v>103</v>
          </cell>
          <cell r="F70">
            <v>0</v>
          </cell>
          <cell r="H70">
            <v>103</v>
          </cell>
          <cell r="I70">
            <v>103</v>
          </cell>
          <cell r="J70">
            <v>0</v>
          </cell>
          <cell r="K70">
            <v>0</v>
          </cell>
          <cell r="L70">
            <v>103</v>
          </cell>
          <cell r="M70">
            <v>103</v>
          </cell>
          <cell r="N70">
            <v>0</v>
          </cell>
          <cell r="O70">
            <v>0</v>
          </cell>
          <cell r="P70">
            <v>103</v>
          </cell>
          <cell r="Q70">
            <v>103</v>
          </cell>
          <cell r="R70">
            <v>0</v>
          </cell>
          <cell r="S70">
            <v>0</v>
          </cell>
          <cell r="T70">
            <v>103</v>
          </cell>
        </row>
        <row r="71">
          <cell r="C71" t="str">
            <v>7X731</v>
          </cell>
          <cell r="D71" t="str">
            <v>PCS</v>
          </cell>
          <cell r="E71">
            <v>87</v>
          </cell>
          <cell r="F71">
            <v>0</v>
          </cell>
          <cell r="H71">
            <v>87</v>
          </cell>
          <cell r="I71">
            <v>87</v>
          </cell>
          <cell r="J71">
            <v>0</v>
          </cell>
          <cell r="K71">
            <v>87</v>
          </cell>
          <cell r="L71">
            <v>0</v>
          </cell>
          <cell r="M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</row>
        <row r="72">
          <cell r="C72">
            <v>68416</v>
          </cell>
          <cell r="D72" t="str">
            <v>PCS</v>
          </cell>
          <cell r="E72">
            <v>93</v>
          </cell>
          <cell r="F72">
            <v>1438</v>
          </cell>
          <cell r="G72">
            <v>1178</v>
          </cell>
          <cell r="H72">
            <v>353</v>
          </cell>
          <cell r="I72">
            <v>353</v>
          </cell>
          <cell r="J72">
            <v>7</v>
          </cell>
          <cell r="K72">
            <v>81</v>
          </cell>
          <cell r="L72">
            <v>279</v>
          </cell>
          <cell r="M72">
            <v>279</v>
          </cell>
          <cell r="N72">
            <v>0</v>
          </cell>
          <cell r="O72">
            <v>0</v>
          </cell>
          <cell r="P72">
            <v>279</v>
          </cell>
          <cell r="Q72">
            <v>279</v>
          </cell>
          <cell r="R72">
            <v>0</v>
          </cell>
          <cell r="S72">
            <v>0</v>
          </cell>
          <cell r="T72">
            <v>279</v>
          </cell>
        </row>
        <row r="73">
          <cell r="C73" t="str">
            <v>79201S</v>
          </cell>
          <cell r="D73" t="str">
            <v>PCS</v>
          </cell>
          <cell r="E73">
            <v>0</v>
          </cell>
          <cell r="F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</row>
        <row r="74">
          <cell r="C74" t="str">
            <v>7X408</v>
          </cell>
          <cell r="D74" t="str">
            <v>PCS</v>
          </cell>
          <cell r="E74">
            <v>110</v>
          </cell>
          <cell r="F74">
            <v>0</v>
          </cell>
          <cell r="G74">
            <v>2</v>
          </cell>
          <cell r="H74">
            <v>108</v>
          </cell>
          <cell r="I74">
            <v>108</v>
          </cell>
          <cell r="J74">
            <v>0</v>
          </cell>
          <cell r="K74">
            <v>0</v>
          </cell>
          <cell r="L74">
            <v>108</v>
          </cell>
          <cell r="M74">
            <v>108</v>
          </cell>
          <cell r="N74">
            <v>0</v>
          </cell>
          <cell r="O74">
            <v>0</v>
          </cell>
          <cell r="P74">
            <v>108</v>
          </cell>
          <cell r="Q74">
            <v>108</v>
          </cell>
          <cell r="R74">
            <v>0</v>
          </cell>
          <cell r="S74">
            <v>0</v>
          </cell>
          <cell r="T74">
            <v>108</v>
          </cell>
        </row>
        <row r="75">
          <cell r="C75">
            <v>1622</v>
          </cell>
          <cell r="D75" t="str">
            <v>PCS</v>
          </cell>
          <cell r="E75">
            <v>0</v>
          </cell>
          <cell r="F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</row>
        <row r="76">
          <cell r="C76">
            <v>1623</v>
          </cell>
          <cell r="D76" t="str">
            <v>PCS</v>
          </cell>
          <cell r="E76">
            <v>0</v>
          </cell>
          <cell r="F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C77" t="str">
            <v>7X727</v>
          </cell>
          <cell r="D77" t="str">
            <v>PCS</v>
          </cell>
          <cell r="E77">
            <v>183</v>
          </cell>
          <cell r="F77">
            <v>0</v>
          </cell>
          <cell r="H77">
            <v>183</v>
          </cell>
          <cell r="I77">
            <v>183</v>
          </cell>
          <cell r="J77">
            <v>0</v>
          </cell>
          <cell r="K77">
            <v>183</v>
          </cell>
          <cell r="L77">
            <v>0</v>
          </cell>
          <cell r="M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</row>
        <row r="78">
          <cell r="C78" t="str">
            <v>7X410</v>
          </cell>
          <cell r="D78" t="str">
            <v>PCS</v>
          </cell>
          <cell r="E78">
            <v>78</v>
          </cell>
          <cell r="F78">
            <v>0</v>
          </cell>
          <cell r="H78">
            <v>78</v>
          </cell>
          <cell r="I78">
            <v>78</v>
          </cell>
          <cell r="J78">
            <v>0</v>
          </cell>
          <cell r="K78">
            <v>78</v>
          </cell>
          <cell r="L78">
            <v>0</v>
          </cell>
          <cell r="M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C79" t="str">
            <v>7X708</v>
          </cell>
          <cell r="D79" t="str">
            <v>PCS</v>
          </cell>
          <cell r="E79">
            <v>156</v>
          </cell>
          <cell r="F79">
            <v>7574</v>
          </cell>
          <cell r="G79">
            <v>7502</v>
          </cell>
          <cell r="H79">
            <v>228</v>
          </cell>
          <cell r="I79">
            <v>228</v>
          </cell>
          <cell r="J79">
            <v>0</v>
          </cell>
          <cell r="K79">
            <v>0</v>
          </cell>
          <cell r="L79">
            <v>228</v>
          </cell>
          <cell r="M79">
            <v>228</v>
          </cell>
          <cell r="N79">
            <v>0</v>
          </cell>
          <cell r="O79">
            <v>0</v>
          </cell>
          <cell r="P79">
            <v>228</v>
          </cell>
          <cell r="Q79">
            <v>228</v>
          </cell>
          <cell r="R79">
            <v>0</v>
          </cell>
          <cell r="S79">
            <v>0</v>
          </cell>
          <cell r="T79">
            <v>228</v>
          </cell>
        </row>
        <row r="80">
          <cell r="C80" t="str">
            <v>7X616</v>
          </cell>
          <cell r="D80" t="str">
            <v>PCS</v>
          </cell>
          <cell r="E80">
            <v>193</v>
          </cell>
          <cell r="F80">
            <v>0</v>
          </cell>
          <cell r="H80">
            <v>193</v>
          </cell>
          <cell r="I80">
            <v>193</v>
          </cell>
          <cell r="J80">
            <v>0</v>
          </cell>
          <cell r="K80">
            <v>193</v>
          </cell>
          <cell r="L80">
            <v>0</v>
          </cell>
          <cell r="M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</row>
        <row r="81">
          <cell r="C81" t="str">
            <v>7N900</v>
          </cell>
          <cell r="D81" t="str">
            <v>PCS</v>
          </cell>
          <cell r="E81">
            <v>144</v>
          </cell>
          <cell r="F81">
            <v>0</v>
          </cell>
          <cell r="H81">
            <v>144</v>
          </cell>
          <cell r="I81">
            <v>144</v>
          </cell>
          <cell r="J81">
            <v>0</v>
          </cell>
          <cell r="K81">
            <v>0</v>
          </cell>
          <cell r="L81">
            <v>144</v>
          </cell>
          <cell r="M81">
            <v>144</v>
          </cell>
          <cell r="N81">
            <v>0</v>
          </cell>
          <cell r="O81">
            <v>0</v>
          </cell>
          <cell r="P81">
            <v>144</v>
          </cell>
          <cell r="Q81">
            <v>144</v>
          </cell>
          <cell r="R81">
            <v>0</v>
          </cell>
          <cell r="S81">
            <v>0</v>
          </cell>
          <cell r="T81">
            <v>144</v>
          </cell>
        </row>
        <row r="82">
          <cell r="C82" t="str">
            <v>KPT117791</v>
          </cell>
          <cell r="D82" t="str">
            <v>PCS</v>
          </cell>
          <cell r="E82">
            <v>444</v>
          </cell>
          <cell r="F82">
            <v>0</v>
          </cell>
          <cell r="H82">
            <v>444</v>
          </cell>
          <cell r="I82">
            <v>444</v>
          </cell>
          <cell r="J82">
            <v>0</v>
          </cell>
          <cell r="K82">
            <v>444</v>
          </cell>
          <cell r="L82">
            <v>0</v>
          </cell>
          <cell r="M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</row>
        <row r="83">
          <cell r="C83">
            <v>451899</v>
          </cell>
          <cell r="D83" t="str">
            <v>PCS</v>
          </cell>
          <cell r="E83">
            <v>137</v>
          </cell>
          <cell r="F83">
            <v>0</v>
          </cell>
          <cell r="H83">
            <v>137</v>
          </cell>
          <cell r="I83">
            <v>137</v>
          </cell>
          <cell r="J83">
            <v>0</v>
          </cell>
          <cell r="K83">
            <v>137</v>
          </cell>
          <cell r="L83">
            <v>0</v>
          </cell>
          <cell r="M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</row>
        <row r="84">
          <cell r="C84">
            <v>445007</v>
          </cell>
          <cell r="D84" t="str">
            <v>PCS</v>
          </cell>
          <cell r="E84">
            <v>330</v>
          </cell>
          <cell r="F84">
            <v>0</v>
          </cell>
          <cell r="H84">
            <v>330</v>
          </cell>
          <cell r="I84">
            <v>330</v>
          </cell>
          <cell r="J84">
            <v>0</v>
          </cell>
          <cell r="K84">
            <v>330</v>
          </cell>
          <cell r="L84">
            <v>0</v>
          </cell>
          <cell r="M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</row>
        <row r="85">
          <cell r="C85" t="str">
            <v>454810(455022)</v>
          </cell>
          <cell r="D85" t="str">
            <v>PCS</v>
          </cell>
          <cell r="E85">
            <v>340</v>
          </cell>
          <cell r="F85">
            <v>0</v>
          </cell>
          <cell r="H85">
            <v>340</v>
          </cell>
          <cell r="I85">
            <v>340</v>
          </cell>
          <cell r="J85">
            <v>0</v>
          </cell>
          <cell r="K85">
            <v>340</v>
          </cell>
          <cell r="L85">
            <v>0</v>
          </cell>
          <cell r="M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</row>
        <row r="86">
          <cell r="C86">
            <v>448315</v>
          </cell>
          <cell r="D86" t="str">
            <v>PCS</v>
          </cell>
          <cell r="E86">
            <v>139</v>
          </cell>
          <cell r="F86">
            <v>0</v>
          </cell>
          <cell r="H86">
            <v>139</v>
          </cell>
          <cell r="I86">
            <v>139</v>
          </cell>
          <cell r="J86">
            <v>0</v>
          </cell>
          <cell r="K86">
            <v>139</v>
          </cell>
          <cell r="L86">
            <v>0</v>
          </cell>
          <cell r="M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</row>
        <row r="87">
          <cell r="C87">
            <v>450595</v>
          </cell>
          <cell r="D87" t="str">
            <v>PCS</v>
          </cell>
          <cell r="E87">
            <v>189</v>
          </cell>
          <cell r="F87">
            <v>0</v>
          </cell>
          <cell r="H87">
            <v>189</v>
          </cell>
          <cell r="I87">
            <v>189</v>
          </cell>
          <cell r="J87">
            <v>0</v>
          </cell>
          <cell r="K87">
            <v>189</v>
          </cell>
          <cell r="L87">
            <v>0</v>
          </cell>
          <cell r="M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</row>
        <row r="88">
          <cell r="C88">
            <v>449003</v>
          </cell>
          <cell r="D88" t="str">
            <v>PCS</v>
          </cell>
          <cell r="E88">
            <v>129</v>
          </cell>
          <cell r="F88">
            <v>0</v>
          </cell>
          <cell r="H88">
            <v>129</v>
          </cell>
          <cell r="I88">
            <v>129</v>
          </cell>
          <cell r="J88">
            <v>0</v>
          </cell>
          <cell r="K88">
            <v>129</v>
          </cell>
          <cell r="L88">
            <v>0</v>
          </cell>
          <cell r="M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</row>
        <row r="89">
          <cell r="C89">
            <v>449002</v>
          </cell>
          <cell r="D89" t="str">
            <v>PCS</v>
          </cell>
          <cell r="E89">
            <v>288</v>
          </cell>
          <cell r="F89">
            <v>0</v>
          </cell>
          <cell r="H89">
            <v>288</v>
          </cell>
          <cell r="I89">
            <v>288</v>
          </cell>
          <cell r="J89">
            <v>0</v>
          </cell>
          <cell r="K89">
            <v>288</v>
          </cell>
          <cell r="L89">
            <v>0</v>
          </cell>
          <cell r="M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</row>
        <row r="90">
          <cell r="C90">
            <v>442366</v>
          </cell>
          <cell r="D90" t="str">
            <v>PCS</v>
          </cell>
          <cell r="E90">
            <v>172</v>
          </cell>
          <cell r="F90">
            <v>0</v>
          </cell>
          <cell r="H90">
            <v>172</v>
          </cell>
          <cell r="I90">
            <v>172</v>
          </cell>
          <cell r="J90">
            <v>0</v>
          </cell>
          <cell r="K90">
            <v>172</v>
          </cell>
          <cell r="L90">
            <v>0</v>
          </cell>
          <cell r="M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C91">
            <v>442364</v>
          </cell>
          <cell r="D91" t="str">
            <v>PCS</v>
          </cell>
          <cell r="E91">
            <v>74</v>
          </cell>
          <cell r="F91">
            <v>0</v>
          </cell>
          <cell r="H91">
            <v>74</v>
          </cell>
          <cell r="I91">
            <v>74</v>
          </cell>
          <cell r="J91">
            <v>0</v>
          </cell>
          <cell r="K91">
            <v>74</v>
          </cell>
          <cell r="L91">
            <v>0</v>
          </cell>
          <cell r="M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</row>
        <row r="92">
          <cell r="C92" t="str">
            <v>KPT114841</v>
          </cell>
          <cell r="D92" t="str">
            <v>PCS</v>
          </cell>
          <cell r="E92">
            <v>0</v>
          </cell>
          <cell r="F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</row>
        <row r="93">
          <cell r="C93" t="str">
            <v>KPT104771</v>
          </cell>
          <cell r="D93" t="str">
            <v>PCS</v>
          </cell>
          <cell r="E93">
            <v>1641</v>
          </cell>
          <cell r="F93">
            <v>0</v>
          </cell>
          <cell r="H93">
            <v>1641</v>
          </cell>
          <cell r="I93">
            <v>1641</v>
          </cell>
          <cell r="J93">
            <v>0</v>
          </cell>
          <cell r="K93">
            <v>1641</v>
          </cell>
          <cell r="L93">
            <v>0</v>
          </cell>
          <cell r="M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</row>
        <row r="94">
          <cell r="C94" t="str">
            <v>KTP100241</v>
          </cell>
          <cell r="D94" t="str">
            <v>PCS</v>
          </cell>
          <cell r="E94">
            <v>2194</v>
          </cell>
          <cell r="F94">
            <v>0</v>
          </cell>
          <cell r="H94">
            <v>2194</v>
          </cell>
          <cell r="I94">
            <v>2194</v>
          </cell>
          <cell r="J94">
            <v>0</v>
          </cell>
          <cell r="K94">
            <v>2194</v>
          </cell>
          <cell r="L94">
            <v>0</v>
          </cell>
          <cell r="M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</row>
        <row r="95">
          <cell r="C95" t="str">
            <v>KJT114381</v>
          </cell>
          <cell r="D95" t="str">
            <v>PCS</v>
          </cell>
          <cell r="E95">
            <v>288</v>
          </cell>
          <cell r="F95">
            <v>0</v>
          </cell>
          <cell r="H95">
            <v>288</v>
          </cell>
          <cell r="I95">
            <v>288</v>
          </cell>
          <cell r="J95">
            <v>0</v>
          </cell>
          <cell r="K95">
            <v>288</v>
          </cell>
          <cell r="L95">
            <v>0</v>
          </cell>
          <cell r="M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C96">
            <v>100005280</v>
          </cell>
          <cell r="D96" t="str">
            <v>PCS</v>
          </cell>
          <cell r="E96">
            <v>137</v>
          </cell>
          <cell r="F96">
            <v>0</v>
          </cell>
          <cell r="H96">
            <v>137</v>
          </cell>
          <cell r="I96">
            <v>137</v>
          </cell>
          <cell r="J96">
            <v>0</v>
          </cell>
          <cell r="K96">
            <v>137</v>
          </cell>
          <cell r="L96">
            <v>0</v>
          </cell>
          <cell r="M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</row>
        <row r="97">
          <cell r="C97">
            <v>100004400</v>
          </cell>
          <cell r="D97" t="str">
            <v>PCS</v>
          </cell>
          <cell r="E97">
            <v>66</v>
          </cell>
          <cell r="F97">
            <v>0</v>
          </cell>
          <cell r="H97">
            <v>66</v>
          </cell>
          <cell r="I97">
            <v>66</v>
          </cell>
          <cell r="J97">
            <v>0</v>
          </cell>
          <cell r="K97">
            <v>0</v>
          </cell>
          <cell r="L97">
            <v>66</v>
          </cell>
          <cell r="M97">
            <v>66</v>
          </cell>
          <cell r="N97">
            <v>0</v>
          </cell>
          <cell r="O97">
            <v>0</v>
          </cell>
          <cell r="P97">
            <v>66</v>
          </cell>
          <cell r="Q97">
            <v>66</v>
          </cell>
          <cell r="R97">
            <v>0</v>
          </cell>
          <cell r="S97">
            <v>0</v>
          </cell>
          <cell r="T97">
            <v>66</v>
          </cell>
        </row>
        <row r="98">
          <cell r="C98">
            <v>100008889</v>
          </cell>
          <cell r="D98" t="str">
            <v>PCS</v>
          </cell>
          <cell r="E98">
            <v>164</v>
          </cell>
          <cell r="F98">
            <v>0</v>
          </cell>
          <cell r="H98">
            <v>164</v>
          </cell>
          <cell r="I98">
            <v>164</v>
          </cell>
          <cell r="J98">
            <v>0</v>
          </cell>
          <cell r="K98">
            <v>0</v>
          </cell>
          <cell r="L98">
            <v>164</v>
          </cell>
          <cell r="M98">
            <v>164</v>
          </cell>
          <cell r="N98">
            <v>0</v>
          </cell>
          <cell r="O98">
            <v>0</v>
          </cell>
          <cell r="P98">
            <v>164</v>
          </cell>
          <cell r="Q98">
            <v>164</v>
          </cell>
          <cell r="R98">
            <v>0</v>
          </cell>
          <cell r="S98">
            <v>0</v>
          </cell>
          <cell r="T98">
            <v>164</v>
          </cell>
        </row>
        <row r="99">
          <cell r="C99">
            <v>100010579</v>
          </cell>
          <cell r="D99" t="str">
            <v>PCS</v>
          </cell>
          <cell r="E99">
            <v>193</v>
          </cell>
          <cell r="F99">
            <v>1346</v>
          </cell>
          <cell r="G99">
            <v>1302</v>
          </cell>
          <cell r="H99">
            <v>237</v>
          </cell>
          <cell r="I99">
            <v>237</v>
          </cell>
          <cell r="J99">
            <v>0</v>
          </cell>
          <cell r="K99">
            <v>0</v>
          </cell>
          <cell r="L99">
            <v>237</v>
          </cell>
          <cell r="M99">
            <v>237</v>
          </cell>
          <cell r="N99">
            <v>1366</v>
          </cell>
          <cell r="O99">
            <v>1296</v>
          </cell>
          <cell r="P99">
            <v>307</v>
          </cell>
          <cell r="Q99">
            <v>307</v>
          </cell>
          <cell r="R99">
            <v>748</v>
          </cell>
          <cell r="S99">
            <v>489</v>
          </cell>
          <cell r="T99">
            <v>566</v>
          </cell>
        </row>
        <row r="100">
          <cell r="C100" t="str">
            <v>7N730</v>
          </cell>
          <cell r="D100" t="str">
            <v>PCS</v>
          </cell>
          <cell r="E100">
            <v>221</v>
          </cell>
          <cell r="F100">
            <v>0</v>
          </cell>
          <cell r="H100">
            <v>221</v>
          </cell>
          <cell r="I100">
            <v>221</v>
          </cell>
          <cell r="J100">
            <v>0</v>
          </cell>
          <cell r="K100">
            <v>221</v>
          </cell>
          <cell r="L100">
            <v>0</v>
          </cell>
          <cell r="M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C101" t="str">
            <v>7D300</v>
          </cell>
          <cell r="D101" t="str">
            <v>PCS</v>
          </cell>
          <cell r="E101">
            <v>116</v>
          </cell>
          <cell r="F101">
            <v>0</v>
          </cell>
          <cell r="H101">
            <v>116</v>
          </cell>
          <cell r="I101">
            <v>116</v>
          </cell>
          <cell r="J101">
            <v>0</v>
          </cell>
          <cell r="K101">
            <v>116</v>
          </cell>
          <cell r="L101">
            <v>0</v>
          </cell>
          <cell r="M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</row>
        <row r="102">
          <cell r="C102">
            <v>100006911</v>
          </cell>
          <cell r="D102" t="str">
            <v>PCS</v>
          </cell>
          <cell r="E102">
            <v>0</v>
          </cell>
          <cell r="F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</row>
        <row r="103">
          <cell r="C103">
            <v>174034724</v>
          </cell>
          <cell r="D103" t="str">
            <v>PCS</v>
          </cell>
          <cell r="E103">
            <v>333</v>
          </cell>
          <cell r="F103">
            <v>0</v>
          </cell>
          <cell r="H103">
            <v>333</v>
          </cell>
          <cell r="I103">
            <v>333</v>
          </cell>
          <cell r="J103">
            <v>0</v>
          </cell>
          <cell r="K103">
            <v>333</v>
          </cell>
          <cell r="L103">
            <v>0</v>
          </cell>
          <cell r="M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</row>
        <row r="104">
          <cell r="C104">
            <v>174034722</v>
          </cell>
          <cell r="D104" t="str">
            <v>PCS</v>
          </cell>
          <cell r="E104">
            <v>182</v>
          </cell>
          <cell r="F104">
            <v>0</v>
          </cell>
          <cell r="H104">
            <v>182</v>
          </cell>
          <cell r="I104">
            <v>182</v>
          </cell>
          <cell r="J104">
            <v>0</v>
          </cell>
          <cell r="K104">
            <v>0</v>
          </cell>
          <cell r="L104">
            <v>182</v>
          </cell>
          <cell r="M104">
            <v>182</v>
          </cell>
          <cell r="N104">
            <v>0</v>
          </cell>
          <cell r="O104">
            <v>0</v>
          </cell>
          <cell r="P104">
            <v>182</v>
          </cell>
          <cell r="Q104">
            <v>182</v>
          </cell>
          <cell r="R104">
            <v>0</v>
          </cell>
          <cell r="S104">
            <v>0</v>
          </cell>
          <cell r="T104">
            <v>182</v>
          </cell>
        </row>
        <row r="105">
          <cell r="C105">
            <v>174034719</v>
          </cell>
          <cell r="D105" t="str">
            <v>PCS</v>
          </cell>
          <cell r="E105">
            <v>129</v>
          </cell>
          <cell r="F105">
            <v>0</v>
          </cell>
          <cell r="H105">
            <v>129</v>
          </cell>
          <cell r="I105">
            <v>129</v>
          </cell>
          <cell r="J105">
            <v>0</v>
          </cell>
          <cell r="K105">
            <v>0</v>
          </cell>
          <cell r="L105">
            <v>129</v>
          </cell>
          <cell r="M105">
            <v>129</v>
          </cell>
          <cell r="N105">
            <v>0</v>
          </cell>
          <cell r="O105">
            <v>0</v>
          </cell>
          <cell r="P105">
            <v>129</v>
          </cell>
          <cell r="Q105">
            <v>129</v>
          </cell>
          <cell r="R105">
            <v>0</v>
          </cell>
          <cell r="S105">
            <v>0</v>
          </cell>
          <cell r="T105">
            <v>129</v>
          </cell>
        </row>
        <row r="106">
          <cell r="C106">
            <v>174034721</v>
          </cell>
          <cell r="D106" t="str">
            <v>PCS</v>
          </cell>
          <cell r="E106">
            <v>109</v>
          </cell>
          <cell r="F106">
            <v>0</v>
          </cell>
          <cell r="H106">
            <v>109</v>
          </cell>
          <cell r="I106">
            <v>109</v>
          </cell>
          <cell r="J106">
            <v>0</v>
          </cell>
          <cell r="K106">
            <v>0</v>
          </cell>
          <cell r="L106">
            <v>109</v>
          </cell>
          <cell r="M106">
            <v>109</v>
          </cell>
          <cell r="N106">
            <v>0</v>
          </cell>
          <cell r="O106">
            <v>0</v>
          </cell>
          <cell r="P106">
            <v>109</v>
          </cell>
          <cell r="Q106">
            <v>109</v>
          </cell>
          <cell r="R106">
            <v>0</v>
          </cell>
          <cell r="S106">
            <v>0</v>
          </cell>
          <cell r="T106">
            <v>109</v>
          </cell>
        </row>
        <row r="107">
          <cell r="C107">
            <v>100003226</v>
          </cell>
          <cell r="D107" t="str">
            <v>PCS</v>
          </cell>
          <cell r="E107">
            <v>101</v>
          </cell>
          <cell r="F107">
            <v>0</v>
          </cell>
          <cell r="H107">
            <v>101</v>
          </cell>
          <cell r="I107">
            <v>101</v>
          </cell>
          <cell r="J107">
            <v>0</v>
          </cell>
          <cell r="K107">
            <v>0</v>
          </cell>
          <cell r="L107">
            <v>101</v>
          </cell>
          <cell r="M107">
            <v>101</v>
          </cell>
          <cell r="N107">
            <v>0</v>
          </cell>
          <cell r="O107">
            <v>0</v>
          </cell>
          <cell r="P107">
            <v>101</v>
          </cell>
          <cell r="Q107">
            <v>101</v>
          </cell>
          <cell r="R107">
            <v>0</v>
          </cell>
          <cell r="S107">
            <v>0</v>
          </cell>
          <cell r="T107">
            <v>101</v>
          </cell>
        </row>
        <row r="108">
          <cell r="C108">
            <v>174034717</v>
          </cell>
          <cell r="D108" t="str">
            <v>PCS</v>
          </cell>
          <cell r="E108">
            <v>99</v>
          </cell>
          <cell r="F108">
            <v>0</v>
          </cell>
          <cell r="H108">
            <v>99</v>
          </cell>
          <cell r="I108">
            <v>99</v>
          </cell>
          <cell r="J108">
            <v>0</v>
          </cell>
          <cell r="K108">
            <v>0</v>
          </cell>
          <cell r="L108">
            <v>99</v>
          </cell>
          <cell r="M108">
            <v>99</v>
          </cell>
          <cell r="N108">
            <v>0</v>
          </cell>
          <cell r="O108">
            <v>0</v>
          </cell>
          <cell r="P108">
            <v>99</v>
          </cell>
          <cell r="Q108">
            <v>99</v>
          </cell>
          <cell r="R108">
            <v>0</v>
          </cell>
          <cell r="S108">
            <v>0</v>
          </cell>
          <cell r="T108">
            <v>99</v>
          </cell>
        </row>
        <row r="109">
          <cell r="C109">
            <v>76710</v>
          </cell>
          <cell r="D109" t="str">
            <v>PCS</v>
          </cell>
          <cell r="E109">
            <v>0</v>
          </cell>
          <cell r="F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</row>
        <row r="110">
          <cell r="C110" t="str">
            <v>7N304</v>
          </cell>
          <cell r="D110" t="str">
            <v>PCS</v>
          </cell>
          <cell r="E110">
            <v>0</v>
          </cell>
          <cell r="F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</row>
        <row r="111">
          <cell r="C111" t="str">
            <v>7N403</v>
          </cell>
          <cell r="D111" t="str">
            <v>PCS</v>
          </cell>
          <cell r="E111">
            <v>0</v>
          </cell>
          <cell r="F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</row>
        <row r="112">
          <cell r="C112" t="str">
            <v>7N713</v>
          </cell>
          <cell r="D112" t="str">
            <v>PCS</v>
          </cell>
          <cell r="E112">
            <v>179</v>
          </cell>
          <cell r="F112">
            <v>0</v>
          </cell>
          <cell r="H112">
            <v>179</v>
          </cell>
          <cell r="I112">
            <v>179</v>
          </cell>
          <cell r="J112">
            <v>0</v>
          </cell>
          <cell r="K112">
            <v>0</v>
          </cell>
          <cell r="L112">
            <v>179</v>
          </cell>
          <cell r="M112">
            <v>179</v>
          </cell>
          <cell r="N112">
            <v>0</v>
          </cell>
          <cell r="O112">
            <v>0</v>
          </cell>
          <cell r="P112">
            <v>179</v>
          </cell>
          <cell r="Q112">
            <v>179</v>
          </cell>
          <cell r="R112">
            <v>0</v>
          </cell>
          <cell r="S112">
            <v>0</v>
          </cell>
          <cell r="T112">
            <v>179</v>
          </cell>
        </row>
        <row r="113">
          <cell r="C113" t="str">
            <v>RK368419MI</v>
          </cell>
          <cell r="D113" t="str">
            <v>PCS</v>
          </cell>
          <cell r="E113">
            <v>71</v>
          </cell>
          <cell r="F113">
            <v>0</v>
          </cell>
          <cell r="H113">
            <v>71</v>
          </cell>
          <cell r="I113">
            <v>71</v>
          </cell>
          <cell r="J113">
            <v>0</v>
          </cell>
          <cell r="K113">
            <v>0</v>
          </cell>
          <cell r="L113">
            <v>71</v>
          </cell>
          <cell r="M113">
            <v>71</v>
          </cell>
          <cell r="N113">
            <v>0</v>
          </cell>
          <cell r="O113">
            <v>0</v>
          </cell>
          <cell r="P113">
            <v>71</v>
          </cell>
          <cell r="Q113">
            <v>71</v>
          </cell>
          <cell r="R113">
            <v>0</v>
          </cell>
          <cell r="S113">
            <v>0</v>
          </cell>
          <cell r="T113">
            <v>71</v>
          </cell>
        </row>
        <row r="114">
          <cell r="C114">
            <v>453280</v>
          </cell>
          <cell r="D114" t="str">
            <v>PCS</v>
          </cell>
          <cell r="E114">
            <v>196</v>
          </cell>
          <cell r="F114">
            <v>0</v>
          </cell>
          <cell r="H114">
            <v>196</v>
          </cell>
          <cell r="I114">
            <v>196</v>
          </cell>
          <cell r="J114">
            <v>0</v>
          </cell>
          <cell r="K114">
            <v>0</v>
          </cell>
          <cell r="L114">
            <v>196</v>
          </cell>
          <cell r="M114">
            <v>196</v>
          </cell>
          <cell r="N114">
            <v>0</v>
          </cell>
          <cell r="O114">
            <v>0</v>
          </cell>
          <cell r="P114">
            <v>196</v>
          </cell>
          <cell r="Q114">
            <v>196</v>
          </cell>
          <cell r="R114">
            <v>0</v>
          </cell>
          <cell r="S114">
            <v>0</v>
          </cell>
          <cell r="T114">
            <v>196</v>
          </cell>
        </row>
        <row r="115">
          <cell r="C115">
            <v>100003227</v>
          </cell>
          <cell r="D115" t="str">
            <v>PCS</v>
          </cell>
          <cell r="E115">
            <v>100</v>
          </cell>
          <cell r="F115">
            <v>10247</v>
          </cell>
          <cell r="G115">
            <v>9969</v>
          </cell>
          <cell r="H115">
            <v>378</v>
          </cell>
          <cell r="I115">
            <v>378</v>
          </cell>
          <cell r="J115">
            <v>0</v>
          </cell>
          <cell r="K115">
            <v>0</v>
          </cell>
          <cell r="L115">
            <v>378</v>
          </cell>
          <cell r="M115">
            <v>378</v>
          </cell>
          <cell r="N115">
            <v>0</v>
          </cell>
          <cell r="O115">
            <v>0</v>
          </cell>
          <cell r="P115">
            <v>378</v>
          </cell>
          <cell r="Q115">
            <v>378</v>
          </cell>
          <cell r="R115">
            <v>0</v>
          </cell>
          <cell r="S115">
            <v>0</v>
          </cell>
          <cell r="T115">
            <v>378</v>
          </cell>
        </row>
        <row r="116">
          <cell r="C116">
            <v>100003486</v>
          </cell>
          <cell r="D116" t="str">
            <v>PCS</v>
          </cell>
          <cell r="E116">
            <v>249</v>
          </cell>
          <cell r="F116">
            <v>0</v>
          </cell>
          <cell r="H116">
            <v>249</v>
          </cell>
          <cell r="I116">
            <v>249</v>
          </cell>
          <cell r="J116">
            <v>0</v>
          </cell>
          <cell r="K116">
            <v>0</v>
          </cell>
          <cell r="L116">
            <v>249</v>
          </cell>
          <cell r="M116">
            <v>249</v>
          </cell>
          <cell r="N116">
            <v>0</v>
          </cell>
          <cell r="O116">
            <v>0</v>
          </cell>
          <cell r="P116">
            <v>249</v>
          </cell>
          <cell r="Q116">
            <v>249</v>
          </cell>
          <cell r="R116">
            <v>0</v>
          </cell>
          <cell r="S116">
            <v>0</v>
          </cell>
          <cell r="T116">
            <v>249</v>
          </cell>
        </row>
        <row r="117">
          <cell r="C117">
            <v>100003532</v>
          </cell>
          <cell r="D117" t="str">
            <v>PCS</v>
          </cell>
          <cell r="E117">
            <v>68</v>
          </cell>
          <cell r="F117">
            <v>0</v>
          </cell>
          <cell r="H117">
            <v>68</v>
          </cell>
          <cell r="I117">
            <v>68</v>
          </cell>
          <cell r="J117">
            <v>0</v>
          </cell>
          <cell r="K117">
            <v>0</v>
          </cell>
          <cell r="L117">
            <v>68</v>
          </cell>
          <cell r="M117">
            <v>68</v>
          </cell>
          <cell r="N117">
            <v>0</v>
          </cell>
          <cell r="O117">
            <v>0</v>
          </cell>
          <cell r="P117">
            <v>68</v>
          </cell>
          <cell r="Q117">
            <v>68</v>
          </cell>
          <cell r="R117">
            <v>0</v>
          </cell>
          <cell r="S117">
            <v>0</v>
          </cell>
          <cell r="T117">
            <v>68</v>
          </cell>
        </row>
        <row r="118">
          <cell r="C118">
            <v>100003576</v>
          </cell>
          <cell r="D118" t="str">
            <v>PCS</v>
          </cell>
          <cell r="E118">
            <v>96</v>
          </cell>
          <cell r="F118">
            <v>0</v>
          </cell>
          <cell r="H118">
            <v>96</v>
          </cell>
          <cell r="I118">
            <v>96</v>
          </cell>
          <cell r="J118">
            <v>0</v>
          </cell>
          <cell r="K118">
            <v>0</v>
          </cell>
          <cell r="L118">
            <v>96</v>
          </cell>
          <cell r="M118">
            <v>96</v>
          </cell>
          <cell r="N118">
            <v>0</v>
          </cell>
          <cell r="O118">
            <v>0</v>
          </cell>
          <cell r="P118">
            <v>96</v>
          </cell>
          <cell r="Q118">
            <v>96</v>
          </cell>
          <cell r="R118">
            <v>0</v>
          </cell>
          <cell r="S118">
            <v>0</v>
          </cell>
          <cell r="T118">
            <v>96</v>
          </cell>
        </row>
        <row r="119">
          <cell r="C119">
            <v>100004422</v>
          </cell>
          <cell r="D119" t="str">
            <v>PCS</v>
          </cell>
          <cell r="E119">
            <v>63</v>
          </cell>
          <cell r="F119">
            <v>0</v>
          </cell>
          <cell r="H119">
            <v>63</v>
          </cell>
          <cell r="I119">
            <v>63</v>
          </cell>
          <cell r="J119">
            <v>0</v>
          </cell>
          <cell r="K119">
            <v>0</v>
          </cell>
          <cell r="L119">
            <v>63</v>
          </cell>
          <cell r="M119">
            <v>63</v>
          </cell>
          <cell r="N119">
            <v>0</v>
          </cell>
          <cell r="O119">
            <v>0</v>
          </cell>
          <cell r="P119">
            <v>63</v>
          </cell>
          <cell r="Q119">
            <v>63</v>
          </cell>
          <cell r="R119">
            <v>0</v>
          </cell>
          <cell r="S119">
            <v>0</v>
          </cell>
          <cell r="T119">
            <v>63</v>
          </cell>
        </row>
        <row r="120">
          <cell r="C120">
            <v>100004424</v>
          </cell>
          <cell r="D120" t="str">
            <v>PCS</v>
          </cell>
          <cell r="E120">
            <v>81</v>
          </cell>
          <cell r="F120">
            <v>0</v>
          </cell>
          <cell r="H120">
            <v>81</v>
          </cell>
          <cell r="I120">
            <v>81</v>
          </cell>
          <cell r="J120">
            <v>0</v>
          </cell>
          <cell r="K120">
            <v>0</v>
          </cell>
          <cell r="L120">
            <v>81</v>
          </cell>
          <cell r="M120">
            <v>81</v>
          </cell>
          <cell r="N120">
            <v>0</v>
          </cell>
          <cell r="O120">
            <v>0</v>
          </cell>
          <cell r="P120">
            <v>81</v>
          </cell>
          <cell r="Q120">
            <v>81</v>
          </cell>
          <cell r="R120">
            <v>0</v>
          </cell>
          <cell r="S120">
            <v>0</v>
          </cell>
          <cell r="T120">
            <v>81</v>
          </cell>
        </row>
        <row r="121">
          <cell r="C121">
            <v>100005621</v>
          </cell>
          <cell r="D121" t="str">
            <v>PCS</v>
          </cell>
          <cell r="E121">
            <v>56</v>
          </cell>
          <cell r="F121">
            <v>0</v>
          </cell>
          <cell r="H121">
            <v>56</v>
          </cell>
          <cell r="I121">
            <v>56</v>
          </cell>
          <cell r="J121">
            <v>0</v>
          </cell>
          <cell r="K121">
            <v>0</v>
          </cell>
          <cell r="L121">
            <v>56</v>
          </cell>
          <cell r="M121">
            <v>56</v>
          </cell>
          <cell r="N121">
            <v>0</v>
          </cell>
          <cell r="O121">
            <v>0</v>
          </cell>
          <cell r="P121">
            <v>56</v>
          </cell>
          <cell r="Q121">
            <v>56</v>
          </cell>
          <cell r="R121">
            <v>0</v>
          </cell>
          <cell r="S121">
            <v>0</v>
          </cell>
          <cell r="T121">
            <v>56</v>
          </cell>
        </row>
        <row r="122">
          <cell r="C122">
            <v>100005705</v>
          </cell>
          <cell r="D122" t="str">
            <v>PCS</v>
          </cell>
          <cell r="E122">
            <v>187</v>
          </cell>
          <cell r="F122">
            <v>0</v>
          </cell>
          <cell r="H122">
            <v>187</v>
          </cell>
          <cell r="I122">
            <v>187</v>
          </cell>
          <cell r="J122">
            <v>0</v>
          </cell>
          <cell r="K122">
            <v>0</v>
          </cell>
          <cell r="L122">
            <v>187</v>
          </cell>
          <cell r="M122">
            <v>187</v>
          </cell>
          <cell r="N122">
            <v>0</v>
          </cell>
          <cell r="O122">
            <v>0</v>
          </cell>
          <cell r="P122">
            <v>187</v>
          </cell>
          <cell r="Q122">
            <v>187</v>
          </cell>
          <cell r="R122">
            <v>5880</v>
          </cell>
          <cell r="S122">
            <v>4986</v>
          </cell>
          <cell r="T122">
            <v>1081</v>
          </cell>
        </row>
        <row r="123">
          <cell r="C123">
            <v>100005710</v>
          </cell>
          <cell r="D123" t="str">
            <v>PCS</v>
          </cell>
          <cell r="E123">
            <v>132</v>
          </cell>
          <cell r="F123">
            <v>0</v>
          </cell>
          <cell r="H123">
            <v>132</v>
          </cell>
          <cell r="I123">
            <v>132</v>
          </cell>
          <cell r="J123">
            <v>0</v>
          </cell>
          <cell r="K123">
            <v>0</v>
          </cell>
          <cell r="L123">
            <v>132</v>
          </cell>
          <cell r="M123">
            <v>132</v>
          </cell>
          <cell r="N123">
            <v>0</v>
          </cell>
          <cell r="O123">
            <v>0</v>
          </cell>
          <cell r="P123">
            <v>132</v>
          </cell>
          <cell r="Q123">
            <v>132</v>
          </cell>
          <cell r="R123">
            <v>0</v>
          </cell>
          <cell r="S123">
            <v>0</v>
          </cell>
          <cell r="T123">
            <v>132</v>
          </cell>
        </row>
        <row r="124">
          <cell r="C124">
            <v>100006873</v>
          </cell>
          <cell r="D124" t="str">
            <v>PCS</v>
          </cell>
          <cell r="E124">
            <v>0</v>
          </cell>
          <cell r="F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</row>
        <row r="125">
          <cell r="C125">
            <v>100006874</v>
          </cell>
          <cell r="D125" t="str">
            <v>PCS</v>
          </cell>
          <cell r="E125">
            <v>0</v>
          </cell>
          <cell r="F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C126">
            <v>100008197</v>
          </cell>
          <cell r="D126" t="str">
            <v>PCS</v>
          </cell>
          <cell r="E126">
            <v>32</v>
          </cell>
          <cell r="F126">
            <v>0</v>
          </cell>
          <cell r="H126">
            <v>32</v>
          </cell>
          <cell r="I126">
            <v>32</v>
          </cell>
          <cell r="J126">
            <v>0</v>
          </cell>
          <cell r="K126">
            <v>0</v>
          </cell>
          <cell r="L126">
            <v>32</v>
          </cell>
          <cell r="M126">
            <v>32</v>
          </cell>
          <cell r="N126">
            <v>0</v>
          </cell>
          <cell r="O126">
            <v>0</v>
          </cell>
          <cell r="P126">
            <v>32</v>
          </cell>
          <cell r="Q126">
            <v>32</v>
          </cell>
          <cell r="R126">
            <v>9784</v>
          </cell>
          <cell r="S126">
            <v>9355</v>
          </cell>
          <cell r="T126">
            <v>461</v>
          </cell>
        </row>
        <row r="127">
          <cell r="C127">
            <v>100008887</v>
          </cell>
          <cell r="D127" t="str">
            <v>PCS</v>
          </cell>
          <cell r="E127">
            <v>200</v>
          </cell>
          <cell r="F127">
            <v>0</v>
          </cell>
          <cell r="H127">
            <v>200</v>
          </cell>
          <cell r="I127">
            <v>200</v>
          </cell>
          <cell r="J127">
            <v>0</v>
          </cell>
          <cell r="K127">
            <v>0</v>
          </cell>
          <cell r="L127">
            <v>200</v>
          </cell>
          <cell r="M127">
            <v>200</v>
          </cell>
          <cell r="N127">
            <v>0</v>
          </cell>
          <cell r="O127">
            <v>0</v>
          </cell>
          <cell r="P127">
            <v>200</v>
          </cell>
          <cell r="Q127">
            <v>200</v>
          </cell>
          <cell r="R127">
            <v>0</v>
          </cell>
          <cell r="S127">
            <v>0</v>
          </cell>
          <cell r="T127">
            <v>200</v>
          </cell>
        </row>
        <row r="128">
          <cell r="C128">
            <v>100010879</v>
          </cell>
          <cell r="D128" t="str">
            <v>PCS</v>
          </cell>
          <cell r="E128">
            <v>250</v>
          </cell>
          <cell r="F128">
            <v>0</v>
          </cell>
          <cell r="H128">
            <v>250</v>
          </cell>
          <cell r="I128">
            <v>250</v>
          </cell>
          <cell r="J128">
            <v>0</v>
          </cell>
          <cell r="K128">
            <v>0</v>
          </cell>
          <cell r="L128">
            <v>250</v>
          </cell>
          <cell r="M128">
            <v>250</v>
          </cell>
          <cell r="N128">
            <v>0</v>
          </cell>
          <cell r="O128">
            <v>0</v>
          </cell>
          <cell r="P128">
            <v>250</v>
          </cell>
          <cell r="Q128">
            <v>250</v>
          </cell>
          <cell r="R128">
            <v>0</v>
          </cell>
          <cell r="S128">
            <v>0</v>
          </cell>
          <cell r="T128">
            <v>250</v>
          </cell>
        </row>
        <row r="129">
          <cell r="C129">
            <v>100010914</v>
          </cell>
          <cell r="D129" t="str">
            <v>PCS</v>
          </cell>
          <cell r="E129">
            <v>55</v>
          </cell>
          <cell r="F129">
            <v>0</v>
          </cell>
          <cell r="H129">
            <v>55</v>
          </cell>
          <cell r="I129">
            <v>55</v>
          </cell>
          <cell r="J129">
            <v>0</v>
          </cell>
          <cell r="K129">
            <v>0</v>
          </cell>
          <cell r="L129">
            <v>55</v>
          </cell>
          <cell r="M129">
            <v>55</v>
          </cell>
          <cell r="N129">
            <v>0</v>
          </cell>
          <cell r="O129">
            <v>0</v>
          </cell>
          <cell r="P129">
            <v>55</v>
          </cell>
          <cell r="Q129">
            <v>55</v>
          </cell>
          <cell r="R129">
            <v>0</v>
          </cell>
          <cell r="S129">
            <v>0</v>
          </cell>
          <cell r="T129">
            <v>55</v>
          </cell>
        </row>
        <row r="130">
          <cell r="C130">
            <v>100011006</v>
          </cell>
          <cell r="D130" t="str">
            <v>PCS</v>
          </cell>
          <cell r="E130">
            <v>94</v>
          </cell>
          <cell r="F130">
            <v>0</v>
          </cell>
          <cell r="H130">
            <v>94</v>
          </cell>
          <cell r="I130">
            <v>94</v>
          </cell>
          <cell r="J130">
            <v>0</v>
          </cell>
          <cell r="K130">
            <v>0</v>
          </cell>
          <cell r="L130">
            <v>94</v>
          </cell>
          <cell r="M130">
            <v>94</v>
          </cell>
          <cell r="N130">
            <v>0</v>
          </cell>
          <cell r="O130">
            <v>0</v>
          </cell>
          <cell r="P130">
            <v>94</v>
          </cell>
          <cell r="Q130">
            <v>94</v>
          </cell>
          <cell r="R130">
            <v>0</v>
          </cell>
          <cell r="S130">
            <v>0</v>
          </cell>
          <cell r="T130">
            <v>94</v>
          </cell>
        </row>
        <row r="131">
          <cell r="C131">
            <v>100011101</v>
          </cell>
          <cell r="D131" t="str">
            <v>PCS</v>
          </cell>
          <cell r="E131">
            <v>21</v>
          </cell>
          <cell r="F131">
            <v>0</v>
          </cell>
          <cell r="H131">
            <v>21</v>
          </cell>
          <cell r="I131">
            <v>21</v>
          </cell>
          <cell r="J131">
            <v>0</v>
          </cell>
          <cell r="K131">
            <v>0</v>
          </cell>
          <cell r="L131">
            <v>21</v>
          </cell>
          <cell r="M131">
            <v>21</v>
          </cell>
          <cell r="N131">
            <v>0</v>
          </cell>
          <cell r="O131">
            <v>0</v>
          </cell>
          <cell r="P131">
            <v>21</v>
          </cell>
          <cell r="Q131">
            <v>21</v>
          </cell>
          <cell r="R131">
            <v>0</v>
          </cell>
          <cell r="S131">
            <v>0</v>
          </cell>
          <cell r="T131">
            <v>21</v>
          </cell>
        </row>
        <row r="132">
          <cell r="C132">
            <v>100011102</v>
          </cell>
          <cell r="D132" t="str">
            <v>PCS</v>
          </cell>
          <cell r="E132">
            <v>31</v>
          </cell>
          <cell r="F132">
            <v>0</v>
          </cell>
          <cell r="H132">
            <v>31</v>
          </cell>
          <cell r="I132">
            <v>31</v>
          </cell>
          <cell r="J132">
            <v>0</v>
          </cell>
          <cell r="K132">
            <v>0</v>
          </cell>
          <cell r="L132">
            <v>31</v>
          </cell>
          <cell r="M132">
            <v>31</v>
          </cell>
          <cell r="N132">
            <v>0</v>
          </cell>
          <cell r="O132">
            <v>0</v>
          </cell>
          <cell r="P132">
            <v>31</v>
          </cell>
          <cell r="Q132">
            <v>31</v>
          </cell>
          <cell r="R132">
            <v>0</v>
          </cell>
          <cell r="S132">
            <v>0</v>
          </cell>
          <cell r="T132">
            <v>31</v>
          </cell>
        </row>
        <row r="133">
          <cell r="C133">
            <v>2335</v>
          </cell>
          <cell r="D133" t="str">
            <v>PCS</v>
          </cell>
          <cell r="E133">
            <v>599</v>
          </cell>
          <cell r="F133">
            <v>0</v>
          </cell>
          <cell r="G133">
            <v>32</v>
          </cell>
          <cell r="H133">
            <v>567</v>
          </cell>
          <cell r="I133">
            <v>567</v>
          </cell>
          <cell r="J133">
            <v>3622</v>
          </cell>
          <cell r="K133">
            <v>3104</v>
          </cell>
          <cell r="L133">
            <v>1085</v>
          </cell>
          <cell r="M133">
            <v>1085</v>
          </cell>
          <cell r="N133">
            <v>3341</v>
          </cell>
          <cell r="O133">
            <v>2174</v>
          </cell>
          <cell r="P133">
            <v>2252</v>
          </cell>
          <cell r="Q133">
            <v>2252</v>
          </cell>
          <cell r="R133">
            <v>838</v>
          </cell>
          <cell r="S133">
            <v>2035</v>
          </cell>
          <cell r="T133">
            <v>1055</v>
          </cell>
        </row>
        <row r="134">
          <cell r="C134">
            <v>7220</v>
          </cell>
          <cell r="D134" t="str">
            <v>PCS</v>
          </cell>
          <cell r="E134">
            <v>317</v>
          </cell>
          <cell r="F134">
            <v>1555</v>
          </cell>
          <cell r="G134">
            <v>47</v>
          </cell>
          <cell r="H134">
            <v>1825</v>
          </cell>
          <cell r="I134">
            <v>1825</v>
          </cell>
          <cell r="J134">
            <v>105</v>
          </cell>
          <cell r="K134">
            <v>1532</v>
          </cell>
          <cell r="L134">
            <v>398</v>
          </cell>
          <cell r="M134">
            <v>398</v>
          </cell>
          <cell r="N134">
            <v>0</v>
          </cell>
          <cell r="O134">
            <v>0</v>
          </cell>
          <cell r="P134">
            <v>398</v>
          </cell>
          <cell r="Q134">
            <v>398</v>
          </cell>
          <cell r="R134">
            <v>0</v>
          </cell>
          <cell r="S134">
            <v>0</v>
          </cell>
          <cell r="T134">
            <v>398</v>
          </cell>
        </row>
        <row r="135">
          <cell r="C135" t="str">
            <v>7D400</v>
          </cell>
          <cell r="D135" t="str">
            <v>PCS</v>
          </cell>
          <cell r="E135">
            <v>72</v>
          </cell>
          <cell r="F135">
            <v>0</v>
          </cell>
          <cell r="H135">
            <v>72</v>
          </cell>
          <cell r="I135">
            <v>72</v>
          </cell>
          <cell r="J135">
            <v>0</v>
          </cell>
          <cell r="K135">
            <v>0</v>
          </cell>
          <cell r="L135">
            <v>72</v>
          </cell>
          <cell r="M135">
            <v>72</v>
          </cell>
          <cell r="N135">
            <v>0</v>
          </cell>
          <cell r="O135">
            <v>0</v>
          </cell>
          <cell r="P135">
            <v>72</v>
          </cell>
          <cell r="Q135">
            <v>72</v>
          </cell>
          <cell r="R135">
            <v>0</v>
          </cell>
          <cell r="S135">
            <v>0</v>
          </cell>
          <cell r="T135">
            <v>72</v>
          </cell>
        </row>
        <row r="136">
          <cell r="C136" t="str">
            <v>7D701</v>
          </cell>
          <cell r="D136" t="str">
            <v>PCS</v>
          </cell>
          <cell r="E136">
            <v>180</v>
          </cell>
          <cell r="F136">
            <v>0</v>
          </cell>
          <cell r="H136">
            <v>180</v>
          </cell>
          <cell r="I136">
            <v>180</v>
          </cell>
          <cell r="J136">
            <v>0</v>
          </cell>
          <cell r="K136">
            <v>0</v>
          </cell>
          <cell r="L136">
            <v>180</v>
          </cell>
          <cell r="M136">
            <v>180</v>
          </cell>
          <cell r="N136">
            <v>0</v>
          </cell>
          <cell r="O136">
            <v>0</v>
          </cell>
          <cell r="P136">
            <v>180</v>
          </cell>
          <cell r="Q136">
            <v>180</v>
          </cell>
          <cell r="R136">
            <v>0</v>
          </cell>
          <cell r="S136">
            <v>0</v>
          </cell>
          <cell r="T136">
            <v>180</v>
          </cell>
        </row>
        <row r="137">
          <cell r="C137" t="str">
            <v>7D707</v>
          </cell>
          <cell r="D137" t="str">
            <v>PCS</v>
          </cell>
          <cell r="E137">
            <v>387</v>
          </cell>
          <cell r="F137">
            <v>0</v>
          </cell>
          <cell r="H137">
            <v>387</v>
          </cell>
          <cell r="I137">
            <v>387</v>
          </cell>
          <cell r="J137">
            <v>0</v>
          </cell>
          <cell r="K137">
            <v>0</v>
          </cell>
          <cell r="L137">
            <v>387</v>
          </cell>
          <cell r="M137">
            <v>387</v>
          </cell>
          <cell r="N137">
            <v>0</v>
          </cell>
          <cell r="O137">
            <v>0</v>
          </cell>
          <cell r="P137">
            <v>387</v>
          </cell>
          <cell r="Q137">
            <v>387</v>
          </cell>
          <cell r="R137">
            <v>0</v>
          </cell>
          <cell r="S137">
            <v>0</v>
          </cell>
          <cell r="T137">
            <v>387</v>
          </cell>
        </row>
        <row r="138">
          <cell r="C138" t="str">
            <v>7D713</v>
          </cell>
          <cell r="D138" t="str">
            <v>PCS</v>
          </cell>
          <cell r="E138">
            <v>0</v>
          </cell>
          <cell r="F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</row>
        <row r="139">
          <cell r="C139" t="str">
            <v>7D902</v>
          </cell>
          <cell r="D139" t="str">
            <v>PCS</v>
          </cell>
          <cell r="E139">
            <v>92</v>
          </cell>
          <cell r="F139">
            <v>0</v>
          </cell>
          <cell r="H139">
            <v>92</v>
          </cell>
          <cell r="I139">
            <v>92</v>
          </cell>
          <cell r="J139">
            <v>0</v>
          </cell>
          <cell r="K139">
            <v>0</v>
          </cell>
          <cell r="L139">
            <v>92</v>
          </cell>
          <cell r="M139">
            <v>92</v>
          </cell>
          <cell r="N139">
            <v>0</v>
          </cell>
          <cell r="O139">
            <v>0</v>
          </cell>
          <cell r="P139">
            <v>92</v>
          </cell>
          <cell r="Q139">
            <v>92</v>
          </cell>
          <cell r="R139">
            <v>0</v>
          </cell>
          <cell r="S139">
            <v>0</v>
          </cell>
          <cell r="T139">
            <v>92</v>
          </cell>
        </row>
        <row r="140">
          <cell r="C140" t="str">
            <v>7N714</v>
          </cell>
          <cell r="D140" t="str">
            <v>PCS</v>
          </cell>
          <cell r="E140">
            <v>119</v>
          </cell>
          <cell r="F140">
            <v>0</v>
          </cell>
          <cell r="H140">
            <v>119</v>
          </cell>
          <cell r="I140">
            <v>119</v>
          </cell>
          <cell r="J140">
            <v>0</v>
          </cell>
          <cell r="K140">
            <v>0</v>
          </cell>
          <cell r="L140">
            <v>119</v>
          </cell>
          <cell r="M140">
            <v>119</v>
          </cell>
          <cell r="N140">
            <v>0</v>
          </cell>
          <cell r="O140">
            <v>0</v>
          </cell>
          <cell r="P140">
            <v>119</v>
          </cell>
          <cell r="Q140">
            <v>119</v>
          </cell>
          <cell r="R140">
            <v>0</v>
          </cell>
          <cell r="S140">
            <v>0</v>
          </cell>
          <cell r="T140">
            <v>119</v>
          </cell>
        </row>
        <row r="141">
          <cell r="C141">
            <v>444357</v>
          </cell>
          <cell r="D141" t="str">
            <v>PCS</v>
          </cell>
          <cell r="E141">
            <v>680</v>
          </cell>
          <cell r="F141">
            <v>0</v>
          </cell>
          <cell r="H141">
            <v>680</v>
          </cell>
          <cell r="I141">
            <v>680</v>
          </cell>
          <cell r="J141">
            <v>0</v>
          </cell>
          <cell r="K141">
            <v>680</v>
          </cell>
          <cell r="L141">
            <v>0</v>
          </cell>
          <cell r="M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</row>
        <row r="142">
          <cell r="C142">
            <v>447636</v>
          </cell>
          <cell r="D142" t="str">
            <v>PCS</v>
          </cell>
          <cell r="E142">
            <v>675</v>
          </cell>
          <cell r="F142">
            <v>0</v>
          </cell>
          <cell r="H142">
            <v>675</v>
          </cell>
          <cell r="I142">
            <v>675</v>
          </cell>
          <cell r="J142">
            <v>0</v>
          </cell>
          <cell r="K142">
            <v>675</v>
          </cell>
          <cell r="L142">
            <v>0</v>
          </cell>
          <cell r="M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</row>
        <row r="143">
          <cell r="C143">
            <v>448556</v>
          </cell>
          <cell r="D143" t="str">
            <v>PCS</v>
          </cell>
          <cell r="E143">
            <v>56</v>
          </cell>
          <cell r="F143">
            <v>0</v>
          </cell>
          <cell r="H143">
            <v>56</v>
          </cell>
          <cell r="I143">
            <v>56</v>
          </cell>
          <cell r="J143">
            <v>0</v>
          </cell>
          <cell r="K143">
            <v>0</v>
          </cell>
          <cell r="L143">
            <v>56</v>
          </cell>
          <cell r="M143">
            <v>56</v>
          </cell>
          <cell r="N143">
            <v>0</v>
          </cell>
          <cell r="O143">
            <v>0</v>
          </cell>
          <cell r="P143">
            <v>56</v>
          </cell>
          <cell r="Q143">
            <v>56</v>
          </cell>
          <cell r="R143">
            <v>0</v>
          </cell>
          <cell r="S143">
            <v>0</v>
          </cell>
          <cell r="T143">
            <v>56</v>
          </cell>
        </row>
        <row r="144">
          <cell r="C144" t="str">
            <v>448959(452355)</v>
          </cell>
          <cell r="D144" t="str">
            <v>PCS</v>
          </cell>
          <cell r="E144">
            <v>1113</v>
          </cell>
          <cell r="F144">
            <v>0</v>
          </cell>
          <cell r="H144">
            <v>1113</v>
          </cell>
          <cell r="I144">
            <v>1113</v>
          </cell>
          <cell r="J144">
            <v>0</v>
          </cell>
          <cell r="K144">
            <v>1113</v>
          </cell>
          <cell r="L144">
            <v>0</v>
          </cell>
          <cell r="M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</row>
        <row r="145">
          <cell r="C145">
            <v>453577</v>
          </cell>
          <cell r="D145" t="str">
            <v>PCS</v>
          </cell>
          <cell r="E145">
            <v>341</v>
          </cell>
          <cell r="F145">
            <v>0</v>
          </cell>
          <cell r="H145">
            <v>341</v>
          </cell>
          <cell r="I145">
            <v>341</v>
          </cell>
          <cell r="J145">
            <v>0</v>
          </cell>
          <cell r="K145">
            <v>341</v>
          </cell>
          <cell r="L145">
            <v>0</v>
          </cell>
          <cell r="M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</row>
        <row r="146">
          <cell r="C146">
            <v>454819</v>
          </cell>
          <cell r="D146" t="str">
            <v>PCS</v>
          </cell>
          <cell r="E146">
            <v>121</v>
          </cell>
          <cell r="F146">
            <v>0</v>
          </cell>
          <cell r="H146">
            <v>121</v>
          </cell>
          <cell r="I146">
            <v>121</v>
          </cell>
          <cell r="J146">
            <v>0</v>
          </cell>
          <cell r="K146">
            <v>0</v>
          </cell>
          <cell r="L146">
            <v>121</v>
          </cell>
          <cell r="M146">
            <v>121</v>
          </cell>
          <cell r="N146">
            <v>0</v>
          </cell>
          <cell r="O146">
            <v>0</v>
          </cell>
          <cell r="P146">
            <v>121</v>
          </cell>
          <cell r="Q146">
            <v>121</v>
          </cell>
          <cell r="R146">
            <v>0</v>
          </cell>
          <cell r="S146">
            <v>0</v>
          </cell>
          <cell r="T146">
            <v>121</v>
          </cell>
        </row>
        <row r="147">
          <cell r="C147">
            <v>457050</v>
          </cell>
          <cell r="D147" t="str">
            <v>PCS</v>
          </cell>
          <cell r="E147">
            <v>262</v>
          </cell>
          <cell r="F147">
            <v>0</v>
          </cell>
          <cell r="H147">
            <v>262</v>
          </cell>
          <cell r="I147">
            <v>262</v>
          </cell>
          <cell r="J147">
            <v>0</v>
          </cell>
          <cell r="K147">
            <v>0</v>
          </cell>
          <cell r="L147">
            <v>262</v>
          </cell>
          <cell r="M147">
            <v>262</v>
          </cell>
          <cell r="N147">
            <v>0</v>
          </cell>
          <cell r="O147">
            <v>0</v>
          </cell>
          <cell r="P147">
            <v>262</v>
          </cell>
          <cell r="Q147">
            <v>262</v>
          </cell>
          <cell r="R147">
            <v>0</v>
          </cell>
          <cell r="S147">
            <v>0</v>
          </cell>
          <cell r="T147">
            <v>262</v>
          </cell>
        </row>
        <row r="148">
          <cell r="C148">
            <v>461183</v>
          </cell>
          <cell r="D148" t="str">
            <v>PCS</v>
          </cell>
          <cell r="E148">
            <v>226</v>
          </cell>
          <cell r="F148">
            <v>0</v>
          </cell>
          <cell r="H148">
            <v>226</v>
          </cell>
          <cell r="I148">
            <v>226</v>
          </cell>
          <cell r="J148">
            <v>0</v>
          </cell>
          <cell r="K148">
            <v>226</v>
          </cell>
          <cell r="L148">
            <v>0</v>
          </cell>
          <cell r="M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</row>
        <row r="149">
          <cell r="C149">
            <v>100007741</v>
          </cell>
          <cell r="D149" t="str">
            <v>PCS</v>
          </cell>
          <cell r="E149">
            <v>129</v>
          </cell>
          <cell r="F149">
            <v>0</v>
          </cell>
          <cell r="H149">
            <v>129</v>
          </cell>
          <cell r="I149">
            <v>129</v>
          </cell>
          <cell r="J149">
            <v>0</v>
          </cell>
          <cell r="K149">
            <v>129</v>
          </cell>
          <cell r="L149">
            <v>0</v>
          </cell>
          <cell r="M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</row>
        <row r="150">
          <cell r="C150">
            <v>100007750</v>
          </cell>
          <cell r="D150" t="str">
            <v>PCS</v>
          </cell>
          <cell r="E150">
            <v>42</v>
          </cell>
          <cell r="F150">
            <v>0</v>
          </cell>
          <cell r="H150">
            <v>42</v>
          </cell>
          <cell r="I150">
            <v>42</v>
          </cell>
          <cell r="J150">
            <v>0</v>
          </cell>
          <cell r="K150">
            <v>0</v>
          </cell>
          <cell r="L150">
            <v>42</v>
          </cell>
          <cell r="M150">
            <v>42</v>
          </cell>
          <cell r="N150">
            <v>0</v>
          </cell>
          <cell r="O150">
            <v>0</v>
          </cell>
          <cell r="P150">
            <v>42</v>
          </cell>
          <cell r="Q150">
            <v>42</v>
          </cell>
          <cell r="R150">
            <v>0</v>
          </cell>
          <cell r="S150">
            <v>0</v>
          </cell>
          <cell r="T150">
            <v>42</v>
          </cell>
        </row>
        <row r="151">
          <cell r="C151">
            <v>100007762</v>
          </cell>
          <cell r="D151" t="str">
            <v>PCS</v>
          </cell>
          <cell r="E151">
            <v>245</v>
          </cell>
          <cell r="F151">
            <v>0</v>
          </cell>
          <cell r="H151">
            <v>245</v>
          </cell>
          <cell r="I151">
            <v>245</v>
          </cell>
          <cell r="J151">
            <v>0</v>
          </cell>
          <cell r="K151">
            <v>245</v>
          </cell>
          <cell r="L151">
            <v>0</v>
          </cell>
          <cell r="M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</row>
        <row r="152">
          <cell r="C152">
            <v>100008168</v>
          </cell>
          <cell r="D152" t="str">
            <v>PCS</v>
          </cell>
          <cell r="E152">
            <v>94</v>
          </cell>
          <cell r="F152">
            <v>0</v>
          </cell>
          <cell r="H152">
            <v>94</v>
          </cell>
          <cell r="I152">
            <v>94</v>
          </cell>
          <cell r="J152">
            <v>0</v>
          </cell>
          <cell r="K152">
            <v>0</v>
          </cell>
          <cell r="L152">
            <v>94</v>
          </cell>
          <cell r="M152">
            <v>94</v>
          </cell>
          <cell r="N152">
            <v>0</v>
          </cell>
          <cell r="O152">
            <v>0</v>
          </cell>
          <cell r="P152">
            <v>94</v>
          </cell>
          <cell r="Q152">
            <v>94</v>
          </cell>
          <cell r="R152">
            <v>0</v>
          </cell>
          <cell r="S152">
            <v>0</v>
          </cell>
          <cell r="T152">
            <v>94</v>
          </cell>
        </row>
        <row r="153">
          <cell r="C153" t="str">
            <v>10010195(7D324)</v>
          </cell>
          <cell r="D153" t="str">
            <v>PCS</v>
          </cell>
          <cell r="E153">
            <v>48</v>
          </cell>
          <cell r="F153">
            <v>0</v>
          </cell>
          <cell r="H153">
            <v>48</v>
          </cell>
          <cell r="I153">
            <v>48</v>
          </cell>
          <cell r="J153">
            <v>0</v>
          </cell>
          <cell r="K153">
            <v>0</v>
          </cell>
          <cell r="L153">
            <v>48</v>
          </cell>
          <cell r="M153">
            <v>48</v>
          </cell>
          <cell r="N153">
            <v>0</v>
          </cell>
          <cell r="O153">
            <v>0</v>
          </cell>
          <cell r="P153">
            <v>48</v>
          </cell>
          <cell r="Q153">
            <v>48</v>
          </cell>
          <cell r="R153">
            <v>0</v>
          </cell>
          <cell r="S153">
            <v>0</v>
          </cell>
          <cell r="T153">
            <v>48</v>
          </cell>
        </row>
        <row r="154">
          <cell r="C154" t="str">
            <v>6D398</v>
          </cell>
          <cell r="D154" t="str">
            <v>PCS</v>
          </cell>
          <cell r="E154">
            <v>2</v>
          </cell>
          <cell r="F154">
            <v>0</v>
          </cell>
          <cell r="H154">
            <v>2</v>
          </cell>
          <cell r="I154">
            <v>2</v>
          </cell>
          <cell r="J154">
            <v>0</v>
          </cell>
          <cell r="K154">
            <v>0</v>
          </cell>
          <cell r="L154">
            <v>2</v>
          </cell>
          <cell r="M154">
            <v>2</v>
          </cell>
          <cell r="N154">
            <v>0</v>
          </cell>
          <cell r="O154">
            <v>0</v>
          </cell>
          <cell r="P154">
            <v>2</v>
          </cell>
          <cell r="Q154">
            <v>2</v>
          </cell>
          <cell r="R154">
            <v>4528</v>
          </cell>
          <cell r="S154">
            <v>145</v>
          </cell>
          <cell r="T154">
            <v>4385</v>
          </cell>
        </row>
        <row r="155">
          <cell r="C155" t="str">
            <v>7D320(100010192)</v>
          </cell>
          <cell r="D155" t="str">
            <v>PCS</v>
          </cell>
          <cell r="E155">
            <v>73</v>
          </cell>
          <cell r="F155">
            <v>0</v>
          </cell>
          <cell r="H155">
            <v>73</v>
          </cell>
          <cell r="I155">
            <v>73</v>
          </cell>
          <cell r="J155">
            <v>0</v>
          </cell>
          <cell r="K155">
            <v>0</v>
          </cell>
          <cell r="L155">
            <v>73</v>
          </cell>
          <cell r="M155">
            <v>73</v>
          </cell>
          <cell r="N155">
            <v>0</v>
          </cell>
          <cell r="O155">
            <v>0</v>
          </cell>
          <cell r="P155">
            <v>73</v>
          </cell>
          <cell r="Q155">
            <v>73</v>
          </cell>
          <cell r="R155">
            <v>0</v>
          </cell>
          <cell r="S155">
            <v>0</v>
          </cell>
          <cell r="T155">
            <v>73</v>
          </cell>
        </row>
        <row r="156">
          <cell r="C156" t="str">
            <v>7D534(100010660)</v>
          </cell>
          <cell r="D156" t="str">
            <v>PCS</v>
          </cell>
          <cell r="E156">
            <v>27</v>
          </cell>
          <cell r="F156">
            <v>0</v>
          </cell>
          <cell r="H156">
            <v>27</v>
          </cell>
          <cell r="I156">
            <v>27</v>
          </cell>
          <cell r="J156">
            <v>0</v>
          </cell>
          <cell r="K156">
            <v>0</v>
          </cell>
          <cell r="L156">
            <v>27</v>
          </cell>
          <cell r="M156">
            <v>27</v>
          </cell>
          <cell r="N156">
            <v>0</v>
          </cell>
          <cell r="O156">
            <v>0</v>
          </cell>
          <cell r="P156">
            <v>27</v>
          </cell>
          <cell r="Q156">
            <v>27</v>
          </cell>
          <cell r="R156">
            <v>0</v>
          </cell>
          <cell r="S156">
            <v>0</v>
          </cell>
          <cell r="T156">
            <v>27</v>
          </cell>
        </row>
        <row r="157">
          <cell r="C157" t="str">
            <v>7D543(100004192)</v>
          </cell>
          <cell r="D157" t="str">
            <v>PCS</v>
          </cell>
          <cell r="E157">
            <v>110</v>
          </cell>
          <cell r="F157">
            <v>0</v>
          </cell>
          <cell r="H157">
            <v>110</v>
          </cell>
          <cell r="I157">
            <v>110</v>
          </cell>
          <cell r="J157">
            <v>0</v>
          </cell>
          <cell r="K157">
            <v>110</v>
          </cell>
          <cell r="L157">
            <v>0</v>
          </cell>
          <cell r="M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</row>
        <row r="158">
          <cell r="C158" t="str">
            <v>7D650(100010275)</v>
          </cell>
          <cell r="D158" t="str">
            <v>PCS</v>
          </cell>
          <cell r="E158">
            <v>112</v>
          </cell>
          <cell r="F158">
            <v>0</v>
          </cell>
          <cell r="H158">
            <v>112</v>
          </cell>
          <cell r="I158">
            <v>112</v>
          </cell>
          <cell r="J158">
            <v>0</v>
          </cell>
          <cell r="K158">
            <v>0</v>
          </cell>
          <cell r="L158">
            <v>112</v>
          </cell>
          <cell r="M158">
            <v>112</v>
          </cell>
          <cell r="N158">
            <v>0</v>
          </cell>
          <cell r="O158">
            <v>0</v>
          </cell>
          <cell r="P158">
            <v>112</v>
          </cell>
          <cell r="Q158">
            <v>112</v>
          </cell>
          <cell r="R158">
            <v>0</v>
          </cell>
          <cell r="S158">
            <v>0</v>
          </cell>
          <cell r="T158">
            <v>112</v>
          </cell>
        </row>
        <row r="159">
          <cell r="C159" t="str">
            <v>7D664(100007920)</v>
          </cell>
          <cell r="D159" t="str">
            <v>PCS</v>
          </cell>
          <cell r="E159">
            <v>46</v>
          </cell>
          <cell r="F159">
            <v>0</v>
          </cell>
          <cell r="H159">
            <v>46</v>
          </cell>
          <cell r="I159">
            <v>46</v>
          </cell>
          <cell r="J159">
            <v>0</v>
          </cell>
          <cell r="K159">
            <v>0</v>
          </cell>
          <cell r="L159">
            <v>46</v>
          </cell>
          <cell r="M159">
            <v>46</v>
          </cell>
          <cell r="N159">
            <v>0</v>
          </cell>
          <cell r="O159">
            <v>0</v>
          </cell>
          <cell r="P159">
            <v>46</v>
          </cell>
          <cell r="Q159">
            <v>46</v>
          </cell>
          <cell r="R159">
            <v>0</v>
          </cell>
          <cell r="S159">
            <v>0</v>
          </cell>
          <cell r="T159">
            <v>46</v>
          </cell>
        </row>
        <row r="160">
          <cell r="C160" t="str">
            <v>7D670(10007909)</v>
          </cell>
          <cell r="D160" t="str">
            <v>PCS</v>
          </cell>
          <cell r="E160">
            <v>356</v>
          </cell>
          <cell r="F160">
            <v>0</v>
          </cell>
          <cell r="H160">
            <v>356</v>
          </cell>
          <cell r="I160">
            <v>356</v>
          </cell>
          <cell r="J160">
            <v>0</v>
          </cell>
          <cell r="K160">
            <v>0</v>
          </cell>
          <cell r="L160">
            <v>356</v>
          </cell>
          <cell r="M160">
            <v>356</v>
          </cell>
          <cell r="N160">
            <v>0</v>
          </cell>
          <cell r="O160">
            <v>0</v>
          </cell>
          <cell r="P160">
            <v>356</v>
          </cell>
          <cell r="Q160">
            <v>356</v>
          </cell>
          <cell r="R160">
            <v>0</v>
          </cell>
          <cell r="S160">
            <v>0</v>
          </cell>
          <cell r="T160">
            <v>356</v>
          </cell>
        </row>
        <row r="161">
          <cell r="C161" t="str">
            <v>7D672(100010284)</v>
          </cell>
          <cell r="D161" t="str">
            <v>PCS</v>
          </cell>
          <cell r="E161">
            <v>475</v>
          </cell>
          <cell r="F161">
            <v>0</v>
          </cell>
          <cell r="H161">
            <v>475</v>
          </cell>
          <cell r="I161">
            <v>475</v>
          </cell>
          <cell r="J161">
            <v>0</v>
          </cell>
          <cell r="K161">
            <v>475</v>
          </cell>
          <cell r="L161">
            <v>0</v>
          </cell>
          <cell r="M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</row>
        <row r="162">
          <cell r="C162">
            <v>100014739</v>
          </cell>
          <cell r="D162" t="str">
            <v>PCS</v>
          </cell>
          <cell r="E162">
            <v>4653</v>
          </cell>
          <cell r="F162">
            <v>0</v>
          </cell>
          <cell r="G162">
            <v>4123</v>
          </cell>
          <cell r="H162">
            <v>530</v>
          </cell>
          <cell r="I162">
            <v>530</v>
          </cell>
          <cell r="J162">
            <v>0</v>
          </cell>
          <cell r="K162">
            <v>0</v>
          </cell>
          <cell r="L162">
            <v>530</v>
          </cell>
          <cell r="M162">
            <v>530</v>
          </cell>
          <cell r="N162">
            <v>0</v>
          </cell>
          <cell r="O162">
            <v>0</v>
          </cell>
          <cell r="P162">
            <v>530</v>
          </cell>
          <cell r="Q162">
            <v>530</v>
          </cell>
          <cell r="R162">
            <v>0</v>
          </cell>
          <cell r="S162">
            <v>0</v>
          </cell>
          <cell r="T162">
            <v>530</v>
          </cell>
        </row>
        <row r="163">
          <cell r="C163">
            <v>100003487</v>
          </cell>
          <cell r="D163" t="str">
            <v>PCS</v>
          </cell>
          <cell r="E163">
            <v>87</v>
          </cell>
          <cell r="F163">
            <v>0</v>
          </cell>
          <cell r="H163">
            <v>87</v>
          </cell>
          <cell r="I163">
            <v>87</v>
          </cell>
          <cell r="J163">
            <v>0</v>
          </cell>
          <cell r="K163">
            <v>0</v>
          </cell>
          <cell r="L163">
            <v>87</v>
          </cell>
          <cell r="M163">
            <v>87</v>
          </cell>
          <cell r="N163">
            <v>0</v>
          </cell>
          <cell r="O163">
            <v>0</v>
          </cell>
          <cell r="P163">
            <v>87</v>
          </cell>
          <cell r="Q163">
            <v>87</v>
          </cell>
          <cell r="R163">
            <v>0</v>
          </cell>
          <cell r="S163">
            <v>0</v>
          </cell>
          <cell r="T163">
            <v>87</v>
          </cell>
        </row>
        <row r="164">
          <cell r="C164">
            <v>100003506</v>
          </cell>
          <cell r="D164" t="str">
            <v>PCS</v>
          </cell>
          <cell r="E164">
            <v>59</v>
          </cell>
          <cell r="F164">
            <v>0</v>
          </cell>
          <cell r="H164">
            <v>59</v>
          </cell>
          <cell r="I164">
            <v>59</v>
          </cell>
          <cell r="J164">
            <v>0</v>
          </cell>
          <cell r="K164">
            <v>0</v>
          </cell>
          <cell r="L164">
            <v>59</v>
          </cell>
          <cell r="M164">
            <v>59</v>
          </cell>
          <cell r="N164">
            <v>0</v>
          </cell>
          <cell r="O164">
            <v>0</v>
          </cell>
          <cell r="P164">
            <v>59</v>
          </cell>
          <cell r="Q164">
            <v>59</v>
          </cell>
          <cell r="R164">
            <v>0</v>
          </cell>
          <cell r="S164">
            <v>0</v>
          </cell>
          <cell r="T164">
            <v>59</v>
          </cell>
        </row>
        <row r="165">
          <cell r="C165">
            <v>100003522</v>
          </cell>
          <cell r="D165" t="str">
            <v>PCS</v>
          </cell>
          <cell r="E165">
            <v>113</v>
          </cell>
          <cell r="F165">
            <v>0</v>
          </cell>
          <cell r="H165">
            <v>113</v>
          </cell>
          <cell r="I165">
            <v>113</v>
          </cell>
          <cell r="J165">
            <v>0</v>
          </cell>
          <cell r="K165">
            <v>0</v>
          </cell>
          <cell r="L165">
            <v>113</v>
          </cell>
          <cell r="M165">
            <v>113</v>
          </cell>
          <cell r="N165">
            <v>0</v>
          </cell>
          <cell r="O165">
            <v>0</v>
          </cell>
          <cell r="P165">
            <v>113</v>
          </cell>
          <cell r="Q165">
            <v>113</v>
          </cell>
          <cell r="R165">
            <v>0</v>
          </cell>
          <cell r="S165">
            <v>0</v>
          </cell>
          <cell r="T165">
            <v>113</v>
          </cell>
        </row>
        <row r="166">
          <cell r="C166">
            <v>100003523</v>
          </cell>
          <cell r="D166" t="str">
            <v>PCS</v>
          </cell>
          <cell r="E166">
            <v>113</v>
          </cell>
          <cell r="F166">
            <v>0</v>
          </cell>
          <cell r="H166">
            <v>113</v>
          </cell>
          <cell r="I166">
            <v>113</v>
          </cell>
          <cell r="J166">
            <v>0</v>
          </cell>
          <cell r="K166">
            <v>0</v>
          </cell>
          <cell r="L166">
            <v>113</v>
          </cell>
          <cell r="M166">
            <v>113</v>
          </cell>
          <cell r="N166">
            <v>0</v>
          </cell>
          <cell r="O166">
            <v>0</v>
          </cell>
          <cell r="P166">
            <v>113</v>
          </cell>
          <cell r="Q166">
            <v>113</v>
          </cell>
          <cell r="R166">
            <v>0</v>
          </cell>
          <cell r="S166">
            <v>0</v>
          </cell>
          <cell r="T166">
            <v>113</v>
          </cell>
        </row>
        <row r="167">
          <cell r="C167">
            <v>100003547</v>
          </cell>
          <cell r="D167" t="str">
            <v>PCS</v>
          </cell>
          <cell r="E167">
            <v>324</v>
          </cell>
          <cell r="F167">
            <v>0</v>
          </cell>
          <cell r="H167">
            <v>324</v>
          </cell>
          <cell r="I167">
            <v>324</v>
          </cell>
          <cell r="J167">
            <v>0</v>
          </cell>
          <cell r="K167">
            <v>0</v>
          </cell>
          <cell r="L167">
            <v>324</v>
          </cell>
          <cell r="M167">
            <v>324</v>
          </cell>
          <cell r="N167">
            <v>0</v>
          </cell>
          <cell r="O167">
            <v>0</v>
          </cell>
          <cell r="P167">
            <v>324</v>
          </cell>
          <cell r="Q167">
            <v>324</v>
          </cell>
          <cell r="R167">
            <v>0</v>
          </cell>
          <cell r="S167">
            <v>0</v>
          </cell>
          <cell r="T167">
            <v>324</v>
          </cell>
        </row>
        <row r="168">
          <cell r="C168">
            <v>100003559</v>
          </cell>
          <cell r="D168" t="str">
            <v>PCS</v>
          </cell>
          <cell r="E168">
            <v>81</v>
          </cell>
          <cell r="F168">
            <v>0</v>
          </cell>
          <cell r="H168">
            <v>81</v>
          </cell>
          <cell r="I168">
            <v>81</v>
          </cell>
          <cell r="J168">
            <v>0</v>
          </cell>
          <cell r="K168">
            <v>0</v>
          </cell>
          <cell r="L168">
            <v>81</v>
          </cell>
          <cell r="M168">
            <v>81</v>
          </cell>
          <cell r="N168">
            <v>0</v>
          </cell>
          <cell r="O168">
            <v>0</v>
          </cell>
          <cell r="P168">
            <v>81</v>
          </cell>
          <cell r="Q168">
            <v>81</v>
          </cell>
          <cell r="R168">
            <v>0</v>
          </cell>
          <cell r="S168">
            <v>0</v>
          </cell>
          <cell r="T168">
            <v>81</v>
          </cell>
        </row>
        <row r="169">
          <cell r="C169">
            <v>100003582</v>
          </cell>
          <cell r="D169" t="str">
            <v>PCS</v>
          </cell>
          <cell r="E169">
            <v>109</v>
          </cell>
          <cell r="F169">
            <v>0</v>
          </cell>
          <cell r="H169">
            <v>109</v>
          </cell>
          <cell r="I169">
            <v>109</v>
          </cell>
          <cell r="J169">
            <v>0</v>
          </cell>
          <cell r="K169">
            <v>0</v>
          </cell>
          <cell r="L169">
            <v>109</v>
          </cell>
          <cell r="M169">
            <v>109</v>
          </cell>
          <cell r="N169">
            <v>0</v>
          </cell>
          <cell r="O169">
            <v>0</v>
          </cell>
          <cell r="P169">
            <v>109</v>
          </cell>
          <cell r="Q169">
            <v>109</v>
          </cell>
          <cell r="R169">
            <v>0</v>
          </cell>
          <cell r="S169">
            <v>0</v>
          </cell>
          <cell r="T169">
            <v>109</v>
          </cell>
        </row>
        <row r="170">
          <cell r="C170">
            <v>100003585</v>
          </cell>
          <cell r="D170" t="str">
            <v>PCS</v>
          </cell>
          <cell r="E170">
            <v>51</v>
          </cell>
          <cell r="F170">
            <v>0</v>
          </cell>
          <cell r="H170">
            <v>51</v>
          </cell>
          <cell r="I170">
            <v>51</v>
          </cell>
          <cell r="J170">
            <v>0</v>
          </cell>
          <cell r="K170">
            <v>0</v>
          </cell>
          <cell r="L170">
            <v>51</v>
          </cell>
          <cell r="M170">
            <v>51</v>
          </cell>
          <cell r="N170">
            <v>0</v>
          </cell>
          <cell r="O170">
            <v>0</v>
          </cell>
          <cell r="P170">
            <v>51</v>
          </cell>
          <cell r="Q170">
            <v>51</v>
          </cell>
          <cell r="R170">
            <v>0</v>
          </cell>
          <cell r="S170">
            <v>0</v>
          </cell>
          <cell r="T170">
            <v>51</v>
          </cell>
        </row>
        <row r="171">
          <cell r="C171">
            <v>100003592</v>
          </cell>
          <cell r="D171" t="str">
            <v>PCS</v>
          </cell>
          <cell r="E171">
            <v>85</v>
          </cell>
          <cell r="F171">
            <v>0</v>
          </cell>
          <cell r="H171">
            <v>85</v>
          </cell>
          <cell r="I171">
            <v>85</v>
          </cell>
          <cell r="J171">
            <v>0</v>
          </cell>
          <cell r="K171">
            <v>0</v>
          </cell>
          <cell r="L171">
            <v>85</v>
          </cell>
          <cell r="M171">
            <v>85</v>
          </cell>
          <cell r="N171">
            <v>0</v>
          </cell>
          <cell r="O171">
            <v>0</v>
          </cell>
          <cell r="P171">
            <v>85</v>
          </cell>
          <cell r="Q171">
            <v>85</v>
          </cell>
          <cell r="R171">
            <v>0</v>
          </cell>
          <cell r="S171">
            <v>0</v>
          </cell>
          <cell r="T171">
            <v>85</v>
          </cell>
        </row>
        <row r="172">
          <cell r="C172">
            <v>100004432</v>
          </cell>
          <cell r="D172" t="str">
            <v>PCS</v>
          </cell>
          <cell r="E172">
            <v>24</v>
          </cell>
          <cell r="F172">
            <v>0</v>
          </cell>
          <cell r="H172">
            <v>24</v>
          </cell>
          <cell r="I172">
            <v>24</v>
          </cell>
          <cell r="J172">
            <v>0</v>
          </cell>
          <cell r="K172">
            <v>0</v>
          </cell>
          <cell r="L172">
            <v>24</v>
          </cell>
          <cell r="M172">
            <v>24</v>
          </cell>
          <cell r="N172">
            <v>0</v>
          </cell>
          <cell r="O172">
            <v>0</v>
          </cell>
          <cell r="P172">
            <v>24</v>
          </cell>
          <cell r="Q172">
            <v>24</v>
          </cell>
          <cell r="R172">
            <v>0</v>
          </cell>
          <cell r="S172">
            <v>0</v>
          </cell>
          <cell r="T172">
            <v>24</v>
          </cell>
        </row>
        <row r="173">
          <cell r="C173">
            <v>100008196</v>
          </cell>
          <cell r="D173" t="str">
            <v>PCS</v>
          </cell>
          <cell r="E173">
            <v>337</v>
          </cell>
          <cell r="F173">
            <v>0</v>
          </cell>
          <cell r="H173">
            <v>337</v>
          </cell>
          <cell r="I173">
            <v>337</v>
          </cell>
          <cell r="J173">
            <v>0</v>
          </cell>
          <cell r="K173">
            <v>0</v>
          </cell>
          <cell r="L173">
            <v>337</v>
          </cell>
          <cell r="M173">
            <v>337</v>
          </cell>
          <cell r="N173">
            <v>0</v>
          </cell>
          <cell r="O173">
            <v>0</v>
          </cell>
          <cell r="P173">
            <v>337</v>
          </cell>
          <cell r="Q173">
            <v>337</v>
          </cell>
          <cell r="R173">
            <v>0</v>
          </cell>
          <cell r="S173">
            <v>0</v>
          </cell>
          <cell r="T173">
            <v>337</v>
          </cell>
        </row>
        <row r="174">
          <cell r="C174">
            <v>100008212</v>
          </cell>
          <cell r="D174" t="str">
            <v>PCS</v>
          </cell>
          <cell r="E174">
            <v>85</v>
          </cell>
          <cell r="F174">
            <v>0</v>
          </cell>
          <cell r="H174">
            <v>85</v>
          </cell>
          <cell r="I174">
            <v>85</v>
          </cell>
          <cell r="J174">
            <v>0</v>
          </cell>
          <cell r="K174">
            <v>0</v>
          </cell>
          <cell r="L174">
            <v>85</v>
          </cell>
          <cell r="M174">
            <v>85</v>
          </cell>
          <cell r="N174">
            <v>0</v>
          </cell>
          <cell r="O174">
            <v>0</v>
          </cell>
          <cell r="P174">
            <v>85</v>
          </cell>
          <cell r="Q174">
            <v>85</v>
          </cell>
          <cell r="R174">
            <v>0</v>
          </cell>
          <cell r="S174">
            <v>0</v>
          </cell>
          <cell r="T174">
            <v>85</v>
          </cell>
        </row>
        <row r="175">
          <cell r="C175">
            <v>100008214</v>
          </cell>
          <cell r="D175" t="str">
            <v>PCS</v>
          </cell>
          <cell r="E175">
            <v>23</v>
          </cell>
          <cell r="F175">
            <v>0</v>
          </cell>
          <cell r="H175">
            <v>23</v>
          </cell>
          <cell r="I175">
            <v>23</v>
          </cell>
          <cell r="J175">
            <v>0</v>
          </cell>
          <cell r="K175">
            <v>0</v>
          </cell>
          <cell r="L175">
            <v>23</v>
          </cell>
          <cell r="M175">
            <v>23</v>
          </cell>
          <cell r="N175">
            <v>0</v>
          </cell>
          <cell r="O175">
            <v>0</v>
          </cell>
          <cell r="P175">
            <v>23</v>
          </cell>
          <cell r="Q175">
            <v>23</v>
          </cell>
          <cell r="R175">
            <v>0</v>
          </cell>
          <cell r="S175">
            <v>0</v>
          </cell>
          <cell r="T175">
            <v>23</v>
          </cell>
        </row>
        <row r="176">
          <cell r="C176">
            <v>100008216</v>
          </cell>
          <cell r="D176" t="str">
            <v>PCS</v>
          </cell>
          <cell r="E176">
            <v>102</v>
          </cell>
          <cell r="F176">
            <v>0</v>
          </cell>
          <cell r="H176">
            <v>102</v>
          </cell>
          <cell r="I176">
            <v>102</v>
          </cell>
          <cell r="J176">
            <v>0</v>
          </cell>
          <cell r="K176">
            <v>0</v>
          </cell>
          <cell r="L176">
            <v>102</v>
          </cell>
          <cell r="M176">
            <v>102</v>
          </cell>
          <cell r="N176">
            <v>0</v>
          </cell>
          <cell r="O176">
            <v>0</v>
          </cell>
          <cell r="P176">
            <v>102</v>
          </cell>
          <cell r="Q176">
            <v>102</v>
          </cell>
          <cell r="R176">
            <v>0</v>
          </cell>
          <cell r="S176">
            <v>0</v>
          </cell>
          <cell r="T176">
            <v>102</v>
          </cell>
        </row>
        <row r="177">
          <cell r="C177">
            <v>100009597</v>
          </cell>
          <cell r="D177" t="str">
            <v>PCS</v>
          </cell>
          <cell r="E177">
            <v>5502</v>
          </cell>
          <cell r="F177">
            <v>8550</v>
          </cell>
          <cell r="G177">
            <v>13499</v>
          </cell>
          <cell r="H177">
            <v>553</v>
          </cell>
          <cell r="I177">
            <v>553</v>
          </cell>
          <cell r="J177">
            <v>1940</v>
          </cell>
          <cell r="K177">
            <v>1898</v>
          </cell>
          <cell r="L177">
            <v>595</v>
          </cell>
          <cell r="M177">
            <v>595</v>
          </cell>
          <cell r="N177">
            <v>0</v>
          </cell>
          <cell r="O177">
            <v>0</v>
          </cell>
          <cell r="P177">
            <v>595</v>
          </cell>
          <cell r="Q177">
            <v>595</v>
          </cell>
          <cell r="R177">
            <v>0</v>
          </cell>
          <cell r="S177">
            <v>0</v>
          </cell>
          <cell r="T177">
            <v>595</v>
          </cell>
        </row>
        <row r="178">
          <cell r="C178">
            <v>74401</v>
          </cell>
          <cell r="D178" t="str">
            <v>PCS</v>
          </cell>
          <cell r="E178">
            <v>5078</v>
          </cell>
          <cell r="F178">
            <v>6934</v>
          </cell>
          <cell r="G178">
            <v>12012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</row>
        <row r="179">
          <cell r="C179" t="str">
            <v>7X733</v>
          </cell>
          <cell r="D179" t="str">
            <v>PCS</v>
          </cell>
          <cell r="E179">
            <v>108</v>
          </cell>
          <cell r="F179">
            <v>0</v>
          </cell>
          <cell r="G179">
            <v>7</v>
          </cell>
          <cell r="H179">
            <v>101</v>
          </cell>
          <cell r="I179">
            <v>101</v>
          </cell>
          <cell r="J179">
            <v>0</v>
          </cell>
          <cell r="K179">
            <v>0</v>
          </cell>
          <cell r="L179">
            <v>101</v>
          </cell>
          <cell r="M179">
            <v>101</v>
          </cell>
          <cell r="N179">
            <v>0</v>
          </cell>
          <cell r="O179">
            <v>0</v>
          </cell>
          <cell r="P179">
            <v>101</v>
          </cell>
          <cell r="Q179">
            <v>101</v>
          </cell>
          <cell r="R179">
            <v>0</v>
          </cell>
          <cell r="S179">
            <v>0</v>
          </cell>
          <cell r="T179">
            <v>101</v>
          </cell>
        </row>
        <row r="180">
          <cell r="C180">
            <v>451823</v>
          </cell>
          <cell r="D180" t="str">
            <v>PCS</v>
          </cell>
          <cell r="E180">
            <v>3096</v>
          </cell>
          <cell r="F180">
            <v>0</v>
          </cell>
          <cell r="H180">
            <v>3096</v>
          </cell>
          <cell r="I180">
            <v>3096</v>
          </cell>
          <cell r="J180">
            <v>0</v>
          </cell>
          <cell r="K180">
            <v>3096</v>
          </cell>
          <cell r="L180">
            <v>0</v>
          </cell>
          <cell r="M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</row>
        <row r="181">
          <cell r="C181" t="str">
            <v>452172(456261)</v>
          </cell>
          <cell r="D181" t="str">
            <v>PCS</v>
          </cell>
          <cell r="E181">
            <v>329</v>
          </cell>
          <cell r="F181">
            <v>0</v>
          </cell>
          <cell r="H181">
            <v>329</v>
          </cell>
          <cell r="I181">
            <v>329</v>
          </cell>
          <cell r="J181">
            <v>0</v>
          </cell>
          <cell r="K181">
            <v>0</v>
          </cell>
          <cell r="L181">
            <v>329</v>
          </cell>
          <cell r="M181">
            <v>329</v>
          </cell>
          <cell r="N181">
            <v>0</v>
          </cell>
          <cell r="O181">
            <v>0</v>
          </cell>
          <cell r="P181">
            <v>329</v>
          </cell>
          <cell r="Q181">
            <v>329</v>
          </cell>
          <cell r="R181">
            <v>0</v>
          </cell>
          <cell r="S181">
            <v>0</v>
          </cell>
          <cell r="T181">
            <v>329</v>
          </cell>
        </row>
        <row r="182">
          <cell r="C182" t="str">
            <v>453516(456278)</v>
          </cell>
          <cell r="D182" t="str">
            <v>PCS</v>
          </cell>
          <cell r="E182">
            <v>440</v>
          </cell>
          <cell r="F182">
            <v>0</v>
          </cell>
          <cell r="H182">
            <v>440</v>
          </cell>
          <cell r="I182">
            <v>440</v>
          </cell>
          <cell r="J182">
            <v>0</v>
          </cell>
          <cell r="K182">
            <v>0</v>
          </cell>
          <cell r="L182">
            <v>440</v>
          </cell>
          <cell r="M182">
            <v>440</v>
          </cell>
          <cell r="N182">
            <v>0</v>
          </cell>
          <cell r="O182">
            <v>0</v>
          </cell>
          <cell r="P182">
            <v>440</v>
          </cell>
          <cell r="Q182">
            <v>440</v>
          </cell>
          <cell r="R182">
            <v>0</v>
          </cell>
          <cell r="S182">
            <v>0</v>
          </cell>
          <cell r="T182">
            <v>440</v>
          </cell>
        </row>
        <row r="183">
          <cell r="C183">
            <v>453609</v>
          </cell>
          <cell r="D183" t="str">
            <v>PCS</v>
          </cell>
          <cell r="E183">
            <v>121</v>
          </cell>
          <cell r="F183">
            <v>0</v>
          </cell>
          <cell r="H183">
            <v>121</v>
          </cell>
          <cell r="I183">
            <v>121</v>
          </cell>
          <cell r="J183">
            <v>0</v>
          </cell>
          <cell r="K183">
            <v>0</v>
          </cell>
          <cell r="L183">
            <v>121</v>
          </cell>
          <cell r="M183">
            <v>121</v>
          </cell>
          <cell r="N183">
            <v>0</v>
          </cell>
          <cell r="O183">
            <v>0</v>
          </cell>
          <cell r="P183">
            <v>121</v>
          </cell>
          <cell r="Q183">
            <v>121</v>
          </cell>
          <cell r="R183">
            <v>0</v>
          </cell>
          <cell r="S183">
            <v>0</v>
          </cell>
          <cell r="T183">
            <v>121</v>
          </cell>
        </row>
        <row r="184">
          <cell r="C184">
            <v>455129</v>
          </cell>
          <cell r="D184" t="str">
            <v>PCS</v>
          </cell>
          <cell r="E184">
            <v>97</v>
          </cell>
          <cell r="F184">
            <v>0</v>
          </cell>
          <cell r="H184">
            <v>97</v>
          </cell>
          <cell r="I184">
            <v>97</v>
          </cell>
          <cell r="J184">
            <v>0</v>
          </cell>
          <cell r="K184">
            <v>0</v>
          </cell>
          <cell r="L184">
            <v>97</v>
          </cell>
          <cell r="M184">
            <v>97</v>
          </cell>
          <cell r="N184">
            <v>0</v>
          </cell>
          <cell r="O184">
            <v>0</v>
          </cell>
          <cell r="P184">
            <v>97</v>
          </cell>
          <cell r="Q184">
            <v>97</v>
          </cell>
          <cell r="R184">
            <v>0</v>
          </cell>
          <cell r="S184">
            <v>0</v>
          </cell>
          <cell r="T184">
            <v>97</v>
          </cell>
        </row>
        <row r="185">
          <cell r="C185">
            <v>455571</v>
          </cell>
          <cell r="D185" t="str">
            <v>PCS</v>
          </cell>
          <cell r="E185">
            <v>491</v>
          </cell>
          <cell r="F185">
            <v>0</v>
          </cell>
          <cell r="H185">
            <v>491</v>
          </cell>
          <cell r="I185">
            <v>491</v>
          </cell>
          <cell r="J185">
            <v>0</v>
          </cell>
          <cell r="K185">
            <v>0</v>
          </cell>
          <cell r="L185">
            <v>491</v>
          </cell>
          <cell r="M185">
            <v>491</v>
          </cell>
          <cell r="N185">
            <v>0</v>
          </cell>
          <cell r="O185">
            <v>0</v>
          </cell>
          <cell r="P185">
            <v>491</v>
          </cell>
          <cell r="Q185">
            <v>491</v>
          </cell>
          <cell r="R185">
            <v>0</v>
          </cell>
          <cell r="S185">
            <v>0</v>
          </cell>
          <cell r="T185">
            <v>491</v>
          </cell>
        </row>
        <row r="186">
          <cell r="C186" t="str">
            <v>456532(456692)</v>
          </cell>
          <cell r="D186" t="str">
            <v>PCS</v>
          </cell>
          <cell r="E186">
            <v>143</v>
          </cell>
          <cell r="F186">
            <v>0</v>
          </cell>
          <cell r="H186">
            <v>143</v>
          </cell>
          <cell r="I186">
            <v>143</v>
          </cell>
          <cell r="J186">
            <v>0</v>
          </cell>
          <cell r="K186">
            <v>0</v>
          </cell>
          <cell r="L186">
            <v>143</v>
          </cell>
          <cell r="M186">
            <v>143</v>
          </cell>
          <cell r="N186">
            <v>0</v>
          </cell>
          <cell r="O186">
            <v>0</v>
          </cell>
          <cell r="P186">
            <v>143</v>
          </cell>
          <cell r="Q186">
            <v>143</v>
          </cell>
          <cell r="R186">
            <v>0</v>
          </cell>
          <cell r="S186">
            <v>0</v>
          </cell>
          <cell r="T186">
            <v>143</v>
          </cell>
        </row>
        <row r="187">
          <cell r="C187" t="str">
            <v>KCL0026</v>
          </cell>
          <cell r="D187" t="str">
            <v>PCS</v>
          </cell>
          <cell r="E187">
            <v>36</v>
          </cell>
          <cell r="F187">
            <v>0</v>
          </cell>
          <cell r="H187">
            <v>36</v>
          </cell>
          <cell r="I187">
            <v>36</v>
          </cell>
          <cell r="J187">
            <v>0</v>
          </cell>
          <cell r="K187">
            <v>0</v>
          </cell>
          <cell r="L187">
            <v>36</v>
          </cell>
          <cell r="M187">
            <v>36</v>
          </cell>
          <cell r="N187">
            <v>0</v>
          </cell>
          <cell r="O187">
            <v>0</v>
          </cell>
          <cell r="P187">
            <v>36</v>
          </cell>
          <cell r="Q187">
            <v>36</v>
          </cell>
          <cell r="R187">
            <v>0</v>
          </cell>
          <cell r="S187">
            <v>0</v>
          </cell>
          <cell r="T187">
            <v>36</v>
          </cell>
        </row>
        <row r="188">
          <cell r="C188">
            <v>100006969</v>
          </cell>
          <cell r="D188" t="str">
            <v>PCS</v>
          </cell>
          <cell r="E188">
            <v>46</v>
          </cell>
          <cell r="F188">
            <v>1725</v>
          </cell>
          <cell r="H188">
            <v>1771</v>
          </cell>
          <cell r="I188">
            <v>1771</v>
          </cell>
          <cell r="J188">
            <v>1568</v>
          </cell>
          <cell r="K188">
            <v>1939</v>
          </cell>
          <cell r="L188">
            <v>1400</v>
          </cell>
          <cell r="M188">
            <v>1400</v>
          </cell>
          <cell r="N188">
            <v>0</v>
          </cell>
          <cell r="O188">
            <v>1240</v>
          </cell>
          <cell r="P188">
            <v>160</v>
          </cell>
          <cell r="Q188">
            <v>160</v>
          </cell>
          <cell r="R188">
            <v>0</v>
          </cell>
          <cell r="S188">
            <v>0</v>
          </cell>
          <cell r="T188">
            <v>160</v>
          </cell>
        </row>
        <row r="189">
          <cell r="C189">
            <v>100007764</v>
          </cell>
          <cell r="D189" t="str">
            <v>PCS</v>
          </cell>
          <cell r="E189">
            <v>1199</v>
          </cell>
          <cell r="F189">
            <v>4686</v>
          </cell>
          <cell r="G189">
            <v>397</v>
          </cell>
          <cell r="H189">
            <v>5488</v>
          </cell>
          <cell r="I189">
            <v>5488</v>
          </cell>
          <cell r="J189">
            <v>0</v>
          </cell>
          <cell r="K189">
            <v>4195</v>
          </cell>
          <cell r="L189">
            <v>1293</v>
          </cell>
          <cell r="M189">
            <v>1293</v>
          </cell>
          <cell r="N189">
            <v>0</v>
          </cell>
          <cell r="O189">
            <v>10</v>
          </cell>
          <cell r="P189">
            <v>1283</v>
          </cell>
          <cell r="Q189">
            <v>1283</v>
          </cell>
          <cell r="R189">
            <v>0</v>
          </cell>
          <cell r="S189">
            <v>0</v>
          </cell>
          <cell r="T189">
            <v>1283</v>
          </cell>
        </row>
        <row r="190">
          <cell r="C190">
            <v>100007863</v>
          </cell>
          <cell r="D190" t="str">
            <v>PCS</v>
          </cell>
          <cell r="E190">
            <v>43</v>
          </cell>
          <cell r="F190">
            <v>0</v>
          </cell>
          <cell r="H190">
            <v>43</v>
          </cell>
          <cell r="I190">
            <v>43</v>
          </cell>
          <cell r="J190">
            <v>0</v>
          </cell>
          <cell r="K190">
            <v>0</v>
          </cell>
          <cell r="L190">
            <v>43</v>
          </cell>
          <cell r="M190">
            <v>43</v>
          </cell>
          <cell r="N190">
            <v>0</v>
          </cell>
          <cell r="O190">
            <v>0</v>
          </cell>
          <cell r="P190">
            <v>43</v>
          </cell>
          <cell r="Q190">
            <v>43</v>
          </cell>
          <cell r="R190">
            <v>0</v>
          </cell>
          <cell r="S190">
            <v>0</v>
          </cell>
          <cell r="T190">
            <v>43</v>
          </cell>
        </row>
        <row r="191">
          <cell r="C191">
            <v>100009688</v>
          </cell>
          <cell r="D191" t="str">
            <v>PCS</v>
          </cell>
          <cell r="E191">
            <v>48</v>
          </cell>
          <cell r="F191">
            <v>0</v>
          </cell>
          <cell r="H191">
            <v>48</v>
          </cell>
          <cell r="I191">
            <v>48</v>
          </cell>
          <cell r="J191">
            <v>0</v>
          </cell>
          <cell r="K191">
            <v>0</v>
          </cell>
          <cell r="L191">
            <v>48</v>
          </cell>
          <cell r="M191">
            <v>48</v>
          </cell>
          <cell r="N191">
            <v>0</v>
          </cell>
          <cell r="O191">
            <v>0</v>
          </cell>
          <cell r="P191">
            <v>48</v>
          </cell>
          <cell r="Q191">
            <v>48</v>
          </cell>
          <cell r="R191">
            <v>0</v>
          </cell>
          <cell r="S191">
            <v>0</v>
          </cell>
          <cell r="T191">
            <v>48</v>
          </cell>
        </row>
        <row r="192">
          <cell r="C192">
            <v>100012436</v>
          </cell>
          <cell r="D192" t="str">
            <v>PCS</v>
          </cell>
          <cell r="E192">
            <v>88</v>
          </cell>
          <cell r="F192">
            <v>0</v>
          </cell>
          <cell r="H192">
            <v>88</v>
          </cell>
          <cell r="I192">
            <v>88</v>
          </cell>
          <cell r="J192">
            <v>0</v>
          </cell>
          <cell r="K192">
            <v>0</v>
          </cell>
          <cell r="L192">
            <v>88</v>
          </cell>
          <cell r="M192">
            <v>88</v>
          </cell>
          <cell r="N192">
            <v>0</v>
          </cell>
          <cell r="O192">
            <v>0</v>
          </cell>
          <cell r="P192">
            <v>88</v>
          </cell>
          <cell r="Q192">
            <v>88</v>
          </cell>
          <cell r="R192">
            <v>0</v>
          </cell>
          <cell r="S192">
            <v>0</v>
          </cell>
          <cell r="T192">
            <v>88</v>
          </cell>
        </row>
        <row r="193">
          <cell r="C193">
            <v>100012476</v>
          </cell>
          <cell r="D193" t="str">
            <v>PCS</v>
          </cell>
          <cell r="E193">
            <v>168</v>
          </cell>
          <cell r="F193">
            <v>0</v>
          </cell>
          <cell r="H193">
            <v>168</v>
          </cell>
          <cell r="I193">
            <v>168</v>
          </cell>
          <cell r="J193">
            <v>0</v>
          </cell>
          <cell r="K193">
            <v>0</v>
          </cell>
          <cell r="L193">
            <v>168</v>
          </cell>
          <cell r="M193">
            <v>168</v>
          </cell>
          <cell r="N193">
            <v>0</v>
          </cell>
          <cell r="O193">
            <v>0</v>
          </cell>
          <cell r="P193">
            <v>168</v>
          </cell>
          <cell r="Q193">
            <v>168</v>
          </cell>
          <cell r="R193">
            <v>0</v>
          </cell>
          <cell r="S193">
            <v>0</v>
          </cell>
          <cell r="T193">
            <v>168</v>
          </cell>
        </row>
        <row r="194">
          <cell r="C194">
            <v>100013564</v>
          </cell>
          <cell r="D194" t="str">
            <v>PCS</v>
          </cell>
          <cell r="E194">
            <v>198</v>
          </cell>
          <cell r="F194">
            <v>0</v>
          </cell>
          <cell r="H194">
            <v>198</v>
          </cell>
          <cell r="I194">
            <v>198</v>
          </cell>
          <cell r="J194">
            <v>0</v>
          </cell>
          <cell r="K194">
            <v>0</v>
          </cell>
          <cell r="L194">
            <v>198</v>
          </cell>
          <cell r="M194">
            <v>198</v>
          </cell>
          <cell r="N194">
            <v>0</v>
          </cell>
          <cell r="O194">
            <v>0</v>
          </cell>
          <cell r="P194">
            <v>198</v>
          </cell>
          <cell r="Q194">
            <v>198</v>
          </cell>
          <cell r="R194">
            <v>0</v>
          </cell>
          <cell r="S194">
            <v>0</v>
          </cell>
          <cell r="T194">
            <v>198</v>
          </cell>
        </row>
        <row r="195">
          <cell r="C195" t="str">
            <v>KDR112751</v>
          </cell>
          <cell r="D195" t="str">
            <v>PCS</v>
          </cell>
          <cell r="E195">
            <v>104</v>
          </cell>
          <cell r="F195">
            <v>0</v>
          </cell>
          <cell r="H195">
            <v>104</v>
          </cell>
          <cell r="I195">
            <v>104</v>
          </cell>
          <cell r="J195">
            <v>0</v>
          </cell>
          <cell r="K195">
            <v>0</v>
          </cell>
          <cell r="L195">
            <v>104</v>
          </cell>
          <cell r="M195">
            <v>104</v>
          </cell>
          <cell r="N195">
            <v>0</v>
          </cell>
          <cell r="O195">
            <v>0</v>
          </cell>
          <cell r="P195">
            <v>104</v>
          </cell>
          <cell r="Q195">
            <v>104</v>
          </cell>
          <cell r="R195">
            <v>0</v>
          </cell>
          <cell r="S195">
            <v>0</v>
          </cell>
          <cell r="T195">
            <v>104</v>
          </cell>
        </row>
        <row r="196">
          <cell r="C196" t="str">
            <v>KJT112641</v>
          </cell>
          <cell r="D196" t="str">
            <v>PCS</v>
          </cell>
          <cell r="E196">
            <v>283</v>
          </cell>
          <cell r="F196">
            <v>0</v>
          </cell>
          <cell r="H196">
            <v>283</v>
          </cell>
          <cell r="I196">
            <v>283</v>
          </cell>
          <cell r="J196">
            <v>0</v>
          </cell>
          <cell r="K196">
            <v>0</v>
          </cell>
          <cell r="L196">
            <v>283</v>
          </cell>
          <cell r="M196">
            <v>283</v>
          </cell>
          <cell r="N196">
            <v>0</v>
          </cell>
          <cell r="O196">
            <v>0</v>
          </cell>
          <cell r="P196">
            <v>283</v>
          </cell>
          <cell r="Q196">
            <v>283</v>
          </cell>
          <cell r="R196">
            <v>0</v>
          </cell>
          <cell r="S196">
            <v>5</v>
          </cell>
          <cell r="T196">
            <v>278</v>
          </cell>
        </row>
        <row r="197">
          <cell r="C197" t="str">
            <v>KJT113771</v>
          </cell>
          <cell r="D197" t="str">
            <v>PCS</v>
          </cell>
          <cell r="E197">
            <v>115</v>
          </cell>
          <cell r="F197">
            <v>0</v>
          </cell>
          <cell r="H197">
            <v>115</v>
          </cell>
          <cell r="I197">
            <v>115</v>
          </cell>
          <cell r="J197">
            <v>0</v>
          </cell>
          <cell r="K197">
            <v>0</v>
          </cell>
          <cell r="L197">
            <v>115</v>
          </cell>
          <cell r="M197">
            <v>115</v>
          </cell>
          <cell r="N197">
            <v>0</v>
          </cell>
          <cell r="O197">
            <v>0</v>
          </cell>
          <cell r="P197">
            <v>115</v>
          </cell>
          <cell r="Q197">
            <v>115</v>
          </cell>
          <cell r="R197">
            <v>0</v>
          </cell>
          <cell r="S197">
            <v>0</v>
          </cell>
          <cell r="T197">
            <v>115</v>
          </cell>
        </row>
        <row r="198">
          <cell r="C198" t="str">
            <v>KPT128561</v>
          </cell>
          <cell r="D198" t="str">
            <v>PCS</v>
          </cell>
          <cell r="E198">
            <v>3258</v>
          </cell>
          <cell r="F198">
            <v>38348</v>
          </cell>
          <cell r="G198">
            <v>32555</v>
          </cell>
          <cell r="H198">
            <v>9051</v>
          </cell>
          <cell r="I198">
            <v>9051</v>
          </cell>
          <cell r="J198">
            <v>25202</v>
          </cell>
          <cell r="K198">
            <v>25629</v>
          </cell>
          <cell r="L198">
            <v>8624</v>
          </cell>
          <cell r="M198">
            <v>8624</v>
          </cell>
          <cell r="N198">
            <v>11589</v>
          </cell>
          <cell r="O198">
            <v>12528</v>
          </cell>
          <cell r="P198">
            <v>7685</v>
          </cell>
          <cell r="Q198">
            <v>7685</v>
          </cell>
          <cell r="R198">
            <v>17223</v>
          </cell>
          <cell r="S198">
            <v>18929</v>
          </cell>
          <cell r="T198">
            <v>5979</v>
          </cell>
        </row>
        <row r="199">
          <cell r="C199" t="str">
            <v>KTP101721</v>
          </cell>
          <cell r="D199" t="str">
            <v>PCS</v>
          </cell>
          <cell r="E199">
            <v>440</v>
          </cell>
          <cell r="F199">
            <v>0</v>
          </cell>
          <cell r="H199">
            <v>440</v>
          </cell>
          <cell r="I199">
            <v>440</v>
          </cell>
          <cell r="J199">
            <v>0</v>
          </cell>
          <cell r="K199">
            <v>0</v>
          </cell>
          <cell r="L199">
            <v>440</v>
          </cell>
          <cell r="M199">
            <v>440</v>
          </cell>
          <cell r="N199">
            <v>0</v>
          </cell>
          <cell r="O199">
            <v>0</v>
          </cell>
          <cell r="P199">
            <v>440</v>
          </cell>
          <cell r="Q199">
            <v>440</v>
          </cell>
          <cell r="R199">
            <v>0</v>
          </cell>
          <cell r="S199">
            <v>0</v>
          </cell>
          <cell r="T199">
            <v>440</v>
          </cell>
        </row>
        <row r="200">
          <cell r="C200" t="str">
            <v>KTP109571</v>
          </cell>
          <cell r="D200" t="str">
            <v>PCS</v>
          </cell>
          <cell r="E200">
            <v>79</v>
          </cell>
          <cell r="F200">
            <v>0</v>
          </cell>
          <cell r="H200">
            <v>79</v>
          </cell>
          <cell r="I200">
            <v>79</v>
          </cell>
          <cell r="J200">
            <v>0</v>
          </cell>
          <cell r="K200">
            <v>0</v>
          </cell>
          <cell r="L200">
            <v>79</v>
          </cell>
          <cell r="M200">
            <v>79</v>
          </cell>
          <cell r="N200">
            <v>0</v>
          </cell>
          <cell r="O200">
            <v>0</v>
          </cell>
          <cell r="P200">
            <v>79</v>
          </cell>
          <cell r="Q200">
            <v>79</v>
          </cell>
          <cell r="R200">
            <v>0</v>
          </cell>
          <cell r="S200">
            <v>0</v>
          </cell>
          <cell r="T200">
            <v>79</v>
          </cell>
        </row>
        <row r="201">
          <cell r="C201" t="str">
            <v>KTP109581</v>
          </cell>
          <cell r="D201" t="str">
            <v>PCS</v>
          </cell>
          <cell r="E201">
            <v>434</v>
          </cell>
          <cell r="F201">
            <v>0</v>
          </cell>
          <cell r="H201">
            <v>434</v>
          </cell>
          <cell r="I201">
            <v>434</v>
          </cell>
          <cell r="J201">
            <v>0</v>
          </cell>
          <cell r="K201">
            <v>0</v>
          </cell>
          <cell r="L201">
            <v>434</v>
          </cell>
          <cell r="M201">
            <v>434</v>
          </cell>
          <cell r="N201">
            <v>0</v>
          </cell>
          <cell r="O201">
            <v>0</v>
          </cell>
          <cell r="P201">
            <v>434</v>
          </cell>
          <cell r="Q201">
            <v>434</v>
          </cell>
          <cell r="R201">
            <v>0</v>
          </cell>
          <cell r="S201">
            <v>0</v>
          </cell>
          <cell r="T201">
            <v>434</v>
          </cell>
        </row>
        <row r="202">
          <cell r="C202" t="str">
            <v>KTP109851</v>
          </cell>
          <cell r="D202" t="str">
            <v>PCS</v>
          </cell>
          <cell r="E202">
            <v>2065</v>
          </cell>
          <cell r="F202">
            <v>0</v>
          </cell>
          <cell r="H202">
            <v>2065</v>
          </cell>
          <cell r="I202">
            <v>2065</v>
          </cell>
          <cell r="J202">
            <v>0</v>
          </cell>
          <cell r="K202">
            <v>1383</v>
          </cell>
          <cell r="L202">
            <v>682</v>
          </cell>
          <cell r="M202">
            <v>682</v>
          </cell>
          <cell r="P202">
            <v>682</v>
          </cell>
          <cell r="Q202">
            <v>682</v>
          </cell>
          <cell r="R202">
            <v>0</v>
          </cell>
          <cell r="S202">
            <v>0</v>
          </cell>
          <cell r="T202">
            <v>682</v>
          </cell>
        </row>
        <row r="203">
          <cell r="C203" t="str">
            <v>KTP112701</v>
          </cell>
          <cell r="D203" t="str">
            <v>PCS</v>
          </cell>
          <cell r="E203">
            <v>727</v>
          </cell>
          <cell r="F203">
            <v>0</v>
          </cell>
          <cell r="H203">
            <v>727</v>
          </cell>
          <cell r="I203">
            <v>727</v>
          </cell>
          <cell r="J203">
            <v>0</v>
          </cell>
          <cell r="K203">
            <v>0</v>
          </cell>
          <cell r="L203">
            <v>727</v>
          </cell>
          <cell r="M203">
            <v>727</v>
          </cell>
          <cell r="N203">
            <v>0</v>
          </cell>
          <cell r="O203">
            <v>0</v>
          </cell>
          <cell r="P203">
            <v>727</v>
          </cell>
          <cell r="Q203">
            <v>727</v>
          </cell>
          <cell r="R203">
            <v>0</v>
          </cell>
          <cell r="S203">
            <v>0</v>
          </cell>
          <cell r="T203">
            <v>727</v>
          </cell>
        </row>
        <row r="204">
          <cell r="C204" t="str">
            <v>JMML9R1668</v>
          </cell>
          <cell r="D204" t="str">
            <v>PCS</v>
          </cell>
          <cell r="E204">
            <v>614</v>
          </cell>
          <cell r="F204">
            <v>0</v>
          </cell>
          <cell r="H204">
            <v>614</v>
          </cell>
          <cell r="I204">
            <v>614</v>
          </cell>
          <cell r="J204">
            <v>0</v>
          </cell>
          <cell r="K204">
            <v>0</v>
          </cell>
          <cell r="L204">
            <v>614</v>
          </cell>
          <cell r="M204">
            <v>614</v>
          </cell>
          <cell r="N204">
            <v>0</v>
          </cell>
          <cell r="O204">
            <v>0</v>
          </cell>
          <cell r="P204">
            <v>614</v>
          </cell>
          <cell r="Q204">
            <v>614</v>
          </cell>
          <cell r="R204">
            <v>0</v>
          </cell>
          <cell r="S204">
            <v>0</v>
          </cell>
          <cell r="T204">
            <v>614</v>
          </cell>
        </row>
        <row r="205">
          <cell r="C205" t="str">
            <v>JPMR8KT003</v>
          </cell>
          <cell r="D205" t="str">
            <v>PCS</v>
          </cell>
          <cell r="E205">
            <v>58</v>
          </cell>
          <cell r="F205">
            <v>0</v>
          </cell>
          <cell r="H205">
            <v>58</v>
          </cell>
          <cell r="I205">
            <v>58</v>
          </cell>
          <cell r="J205">
            <v>0</v>
          </cell>
          <cell r="K205">
            <v>0</v>
          </cell>
          <cell r="L205">
            <v>58</v>
          </cell>
          <cell r="M205">
            <v>58</v>
          </cell>
          <cell r="N205">
            <v>0</v>
          </cell>
          <cell r="O205">
            <v>0</v>
          </cell>
          <cell r="P205">
            <v>58</v>
          </cell>
          <cell r="Q205">
            <v>58</v>
          </cell>
          <cell r="R205">
            <v>0</v>
          </cell>
          <cell r="S205">
            <v>0</v>
          </cell>
          <cell r="T205">
            <v>58</v>
          </cell>
        </row>
        <row r="206">
          <cell r="C206" t="str">
            <v>JPMR8KT004</v>
          </cell>
          <cell r="D206" t="str">
            <v>PCS</v>
          </cell>
          <cell r="E206">
            <v>1419</v>
          </cell>
          <cell r="F206">
            <v>0</v>
          </cell>
          <cell r="H206">
            <v>1419</v>
          </cell>
          <cell r="I206">
            <v>1419</v>
          </cell>
          <cell r="J206">
            <v>0</v>
          </cell>
          <cell r="K206">
            <v>687</v>
          </cell>
          <cell r="L206">
            <v>732</v>
          </cell>
          <cell r="M206">
            <v>732</v>
          </cell>
          <cell r="P206">
            <v>732</v>
          </cell>
          <cell r="Q206">
            <v>732</v>
          </cell>
          <cell r="R206">
            <v>0</v>
          </cell>
          <cell r="S206">
            <v>0</v>
          </cell>
          <cell r="T206">
            <v>732</v>
          </cell>
        </row>
        <row r="207">
          <cell r="C207" t="str">
            <v>JPMR8KT005</v>
          </cell>
          <cell r="D207" t="str">
            <v>PCS</v>
          </cell>
          <cell r="E207">
            <v>361</v>
          </cell>
          <cell r="F207">
            <v>0</v>
          </cell>
          <cell r="H207">
            <v>361</v>
          </cell>
          <cell r="I207">
            <v>361</v>
          </cell>
          <cell r="J207">
            <v>0</v>
          </cell>
          <cell r="K207">
            <v>361</v>
          </cell>
          <cell r="L207">
            <v>0</v>
          </cell>
          <cell r="M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</row>
        <row r="208">
          <cell r="C208" t="str">
            <v>RK381915MI</v>
          </cell>
          <cell r="D208" t="str">
            <v>PCS</v>
          </cell>
          <cell r="E208">
            <v>15</v>
          </cell>
          <cell r="F208">
            <v>0</v>
          </cell>
          <cell r="H208">
            <v>15</v>
          </cell>
          <cell r="I208">
            <v>15</v>
          </cell>
          <cell r="J208">
            <v>0</v>
          </cell>
          <cell r="K208">
            <v>0</v>
          </cell>
          <cell r="L208">
            <v>15</v>
          </cell>
          <cell r="M208">
            <v>15</v>
          </cell>
          <cell r="N208">
            <v>0</v>
          </cell>
          <cell r="O208">
            <v>0</v>
          </cell>
          <cell r="P208">
            <v>15</v>
          </cell>
          <cell r="Q208">
            <v>15</v>
          </cell>
          <cell r="R208">
            <v>0</v>
          </cell>
          <cell r="S208">
            <v>0</v>
          </cell>
          <cell r="T208">
            <v>15</v>
          </cell>
        </row>
        <row r="209">
          <cell r="C209" t="str">
            <v>BP381321MI</v>
          </cell>
          <cell r="D209" t="str">
            <v>PCS</v>
          </cell>
          <cell r="E209">
            <v>144</v>
          </cell>
          <cell r="F209">
            <v>0</v>
          </cell>
          <cell r="H209">
            <v>144</v>
          </cell>
          <cell r="I209">
            <v>144</v>
          </cell>
          <cell r="J209">
            <v>0</v>
          </cell>
          <cell r="K209">
            <v>0</v>
          </cell>
          <cell r="L209">
            <v>144</v>
          </cell>
          <cell r="M209">
            <v>144</v>
          </cell>
          <cell r="N209">
            <v>0</v>
          </cell>
          <cell r="O209">
            <v>0</v>
          </cell>
          <cell r="P209">
            <v>144</v>
          </cell>
          <cell r="Q209">
            <v>144</v>
          </cell>
          <cell r="R209">
            <v>0</v>
          </cell>
          <cell r="S209">
            <v>0</v>
          </cell>
          <cell r="T209">
            <v>144</v>
          </cell>
        </row>
        <row r="210">
          <cell r="C210" t="str">
            <v>HA372336MI</v>
          </cell>
          <cell r="D210" t="str">
            <v>PCS</v>
          </cell>
          <cell r="E210">
            <v>252</v>
          </cell>
          <cell r="F210">
            <v>0</v>
          </cell>
          <cell r="H210">
            <v>252</v>
          </cell>
          <cell r="I210">
            <v>252</v>
          </cell>
          <cell r="J210">
            <v>0</v>
          </cell>
          <cell r="K210">
            <v>0</v>
          </cell>
          <cell r="L210">
            <v>252</v>
          </cell>
          <cell r="M210">
            <v>252</v>
          </cell>
          <cell r="N210">
            <v>0</v>
          </cell>
          <cell r="O210">
            <v>0</v>
          </cell>
          <cell r="P210">
            <v>252</v>
          </cell>
          <cell r="Q210">
            <v>252</v>
          </cell>
          <cell r="R210">
            <v>0</v>
          </cell>
          <cell r="S210">
            <v>0</v>
          </cell>
          <cell r="T210">
            <v>252</v>
          </cell>
        </row>
        <row r="211">
          <cell r="C211" t="str">
            <v>RK381125MI</v>
          </cell>
          <cell r="D211" t="str">
            <v>PCS</v>
          </cell>
          <cell r="E211">
            <v>70</v>
          </cell>
          <cell r="F211">
            <v>0</v>
          </cell>
          <cell r="H211">
            <v>70</v>
          </cell>
          <cell r="I211">
            <v>70</v>
          </cell>
          <cell r="J211">
            <v>0</v>
          </cell>
          <cell r="K211">
            <v>0</v>
          </cell>
          <cell r="L211">
            <v>70</v>
          </cell>
          <cell r="M211">
            <v>70</v>
          </cell>
          <cell r="N211">
            <v>0</v>
          </cell>
          <cell r="O211">
            <v>0</v>
          </cell>
          <cell r="P211">
            <v>70</v>
          </cell>
          <cell r="Q211">
            <v>70</v>
          </cell>
          <cell r="R211">
            <v>0</v>
          </cell>
          <cell r="S211">
            <v>0</v>
          </cell>
          <cell r="T211">
            <v>70</v>
          </cell>
        </row>
        <row r="212">
          <cell r="C212">
            <v>444136</v>
          </cell>
          <cell r="D212" t="str">
            <v>PCS</v>
          </cell>
          <cell r="E212">
            <v>1090</v>
          </cell>
          <cell r="F212">
            <v>0</v>
          </cell>
          <cell r="H212">
            <v>1090</v>
          </cell>
          <cell r="I212">
            <v>1090</v>
          </cell>
          <cell r="J212">
            <v>0</v>
          </cell>
          <cell r="K212">
            <v>0</v>
          </cell>
          <cell r="L212">
            <v>1090</v>
          </cell>
          <cell r="M212">
            <v>1090</v>
          </cell>
          <cell r="N212">
            <v>0</v>
          </cell>
          <cell r="O212">
            <v>0</v>
          </cell>
          <cell r="P212">
            <v>1090</v>
          </cell>
          <cell r="Q212">
            <v>1090</v>
          </cell>
          <cell r="R212">
            <v>0</v>
          </cell>
          <cell r="S212">
            <v>0</v>
          </cell>
          <cell r="T212">
            <v>1090</v>
          </cell>
        </row>
        <row r="213">
          <cell r="C213" t="str">
            <v>258G827</v>
          </cell>
          <cell r="D213" t="str">
            <v>PCS</v>
          </cell>
          <cell r="E213">
            <v>397</v>
          </cell>
          <cell r="F213">
            <v>0</v>
          </cell>
          <cell r="H213">
            <v>397</v>
          </cell>
          <cell r="I213">
            <v>397</v>
          </cell>
          <cell r="J213">
            <v>0</v>
          </cell>
          <cell r="K213">
            <v>0</v>
          </cell>
          <cell r="L213">
            <v>397</v>
          </cell>
          <cell r="M213">
            <v>397</v>
          </cell>
          <cell r="N213">
            <v>0</v>
          </cell>
          <cell r="O213">
            <v>0</v>
          </cell>
          <cell r="P213">
            <v>397</v>
          </cell>
          <cell r="Q213">
            <v>397</v>
          </cell>
          <cell r="R213">
            <v>0</v>
          </cell>
          <cell r="S213">
            <v>0</v>
          </cell>
          <cell r="T213">
            <v>397</v>
          </cell>
        </row>
        <row r="214">
          <cell r="C214">
            <v>174034833</v>
          </cell>
          <cell r="D214" t="str">
            <v>PCS</v>
          </cell>
          <cell r="E214">
            <v>318</v>
          </cell>
          <cell r="F214">
            <v>0</v>
          </cell>
          <cell r="G214">
            <v>11</v>
          </cell>
          <cell r="H214">
            <v>307</v>
          </cell>
          <cell r="I214">
            <v>307</v>
          </cell>
          <cell r="J214">
            <v>0</v>
          </cell>
          <cell r="K214">
            <v>0</v>
          </cell>
          <cell r="L214">
            <v>307</v>
          </cell>
          <cell r="M214">
            <v>307</v>
          </cell>
          <cell r="N214">
            <v>0</v>
          </cell>
          <cell r="O214">
            <v>4</v>
          </cell>
          <cell r="P214">
            <v>303</v>
          </cell>
          <cell r="Q214">
            <v>303</v>
          </cell>
          <cell r="R214">
            <v>0</v>
          </cell>
          <cell r="S214">
            <v>0</v>
          </cell>
          <cell r="T214">
            <v>303</v>
          </cell>
        </row>
        <row r="215">
          <cell r="C215">
            <v>174034834</v>
          </cell>
          <cell r="D215" t="str">
            <v>PCS</v>
          </cell>
          <cell r="E215">
            <v>325</v>
          </cell>
          <cell r="F215">
            <v>0</v>
          </cell>
          <cell r="H215">
            <v>325</v>
          </cell>
          <cell r="I215">
            <v>325</v>
          </cell>
          <cell r="J215">
            <v>0</v>
          </cell>
          <cell r="K215">
            <v>0</v>
          </cell>
          <cell r="L215">
            <v>325</v>
          </cell>
          <cell r="M215">
            <v>325</v>
          </cell>
          <cell r="N215">
            <v>0</v>
          </cell>
          <cell r="O215">
            <v>0</v>
          </cell>
          <cell r="P215">
            <v>325</v>
          </cell>
          <cell r="Q215">
            <v>325</v>
          </cell>
          <cell r="R215">
            <v>0</v>
          </cell>
          <cell r="S215">
            <v>0</v>
          </cell>
          <cell r="T215">
            <v>325</v>
          </cell>
        </row>
        <row r="216">
          <cell r="C216">
            <v>174034840</v>
          </cell>
          <cell r="D216" t="str">
            <v>PCS</v>
          </cell>
          <cell r="E216">
            <v>391</v>
          </cell>
          <cell r="F216">
            <v>0</v>
          </cell>
          <cell r="H216">
            <v>391</v>
          </cell>
          <cell r="I216">
            <v>391</v>
          </cell>
          <cell r="J216">
            <v>0</v>
          </cell>
          <cell r="K216">
            <v>0</v>
          </cell>
          <cell r="L216">
            <v>391</v>
          </cell>
          <cell r="M216">
            <v>391</v>
          </cell>
          <cell r="N216">
            <v>0</v>
          </cell>
          <cell r="O216">
            <v>0</v>
          </cell>
          <cell r="P216">
            <v>391</v>
          </cell>
          <cell r="Q216">
            <v>391</v>
          </cell>
          <cell r="R216">
            <v>0</v>
          </cell>
          <cell r="S216">
            <v>0</v>
          </cell>
          <cell r="T216">
            <v>391</v>
          </cell>
        </row>
        <row r="217">
          <cell r="C217">
            <v>174034863</v>
          </cell>
          <cell r="D217" t="str">
            <v>PCS</v>
          </cell>
          <cell r="E217">
            <v>143</v>
          </cell>
          <cell r="F217">
            <v>0</v>
          </cell>
          <cell r="H217">
            <v>143</v>
          </cell>
          <cell r="I217">
            <v>143</v>
          </cell>
          <cell r="J217">
            <v>0</v>
          </cell>
          <cell r="K217">
            <v>0</v>
          </cell>
          <cell r="L217">
            <v>143</v>
          </cell>
          <cell r="M217">
            <v>143</v>
          </cell>
          <cell r="N217">
            <v>0</v>
          </cell>
          <cell r="O217">
            <v>0</v>
          </cell>
          <cell r="P217">
            <v>143</v>
          </cell>
          <cell r="Q217">
            <v>143</v>
          </cell>
          <cell r="R217">
            <v>0</v>
          </cell>
          <cell r="S217">
            <v>4</v>
          </cell>
          <cell r="T217">
            <v>139</v>
          </cell>
        </row>
        <row r="218">
          <cell r="C218">
            <v>181013004</v>
          </cell>
          <cell r="D218" t="str">
            <v>PCS</v>
          </cell>
          <cell r="E218">
            <v>1236</v>
          </cell>
          <cell r="F218">
            <v>0</v>
          </cell>
          <cell r="H218">
            <v>1236</v>
          </cell>
          <cell r="I218">
            <v>1236</v>
          </cell>
          <cell r="J218">
            <v>0</v>
          </cell>
          <cell r="K218">
            <v>0</v>
          </cell>
          <cell r="L218">
            <v>1236</v>
          </cell>
          <cell r="M218">
            <v>1236</v>
          </cell>
          <cell r="N218">
            <v>0</v>
          </cell>
          <cell r="O218">
            <v>0</v>
          </cell>
          <cell r="P218">
            <v>1236</v>
          </cell>
          <cell r="Q218">
            <v>1236</v>
          </cell>
          <cell r="R218">
            <v>0</v>
          </cell>
          <cell r="S218">
            <v>0</v>
          </cell>
          <cell r="T218">
            <v>1236</v>
          </cell>
        </row>
        <row r="219">
          <cell r="C219">
            <v>100003498</v>
          </cell>
          <cell r="D219" t="str">
            <v>PCS</v>
          </cell>
          <cell r="E219">
            <v>344</v>
          </cell>
          <cell r="F219">
            <v>0</v>
          </cell>
          <cell r="H219">
            <v>344</v>
          </cell>
          <cell r="I219">
            <v>344</v>
          </cell>
          <cell r="J219">
            <v>0</v>
          </cell>
          <cell r="K219">
            <v>0</v>
          </cell>
          <cell r="L219">
            <v>344</v>
          </cell>
          <cell r="M219">
            <v>344</v>
          </cell>
          <cell r="N219">
            <v>0</v>
          </cell>
          <cell r="O219">
            <v>0</v>
          </cell>
          <cell r="P219">
            <v>344</v>
          </cell>
          <cell r="Q219">
            <v>344</v>
          </cell>
          <cell r="R219">
            <v>0</v>
          </cell>
          <cell r="S219">
            <v>0</v>
          </cell>
          <cell r="T219">
            <v>344</v>
          </cell>
        </row>
        <row r="220">
          <cell r="C220">
            <v>100003560</v>
          </cell>
          <cell r="D220" t="str">
            <v>PCS</v>
          </cell>
          <cell r="E220">
            <v>66</v>
          </cell>
          <cell r="F220">
            <v>0</v>
          </cell>
          <cell r="H220">
            <v>66</v>
          </cell>
          <cell r="I220">
            <v>66</v>
          </cell>
          <cell r="J220">
            <v>0</v>
          </cell>
          <cell r="K220">
            <v>0</v>
          </cell>
          <cell r="L220">
            <v>66</v>
          </cell>
          <cell r="M220">
            <v>66</v>
          </cell>
          <cell r="N220">
            <v>0</v>
          </cell>
          <cell r="O220">
            <v>0</v>
          </cell>
          <cell r="P220">
            <v>66</v>
          </cell>
          <cell r="Q220">
            <v>66</v>
          </cell>
          <cell r="R220">
            <v>0</v>
          </cell>
          <cell r="S220">
            <v>0</v>
          </cell>
          <cell r="T220">
            <v>66</v>
          </cell>
        </row>
        <row r="221">
          <cell r="C221">
            <v>100003581</v>
          </cell>
          <cell r="D221" t="str">
            <v>PCS</v>
          </cell>
          <cell r="E221">
            <v>223</v>
          </cell>
          <cell r="F221">
            <v>0</v>
          </cell>
          <cell r="H221">
            <v>223</v>
          </cell>
          <cell r="I221">
            <v>223</v>
          </cell>
          <cell r="J221">
            <v>0</v>
          </cell>
          <cell r="K221">
            <v>0</v>
          </cell>
          <cell r="L221">
            <v>223</v>
          </cell>
          <cell r="M221">
            <v>223</v>
          </cell>
          <cell r="N221">
            <v>0</v>
          </cell>
          <cell r="O221">
            <v>0</v>
          </cell>
          <cell r="P221">
            <v>223</v>
          </cell>
          <cell r="Q221">
            <v>223</v>
          </cell>
          <cell r="R221">
            <v>0</v>
          </cell>
          <cell r="S221">
            <v>0</v>
          </cell>
          <cell r="T221">
            <v>223</v>
          </cell>
        </row>
        <row r="222">
          <cell r="C222">
            <v>100003599</v>
          </cell>
          <cell r="D222" t="str">
            <v>PCS</v>
          </cell>
          <cell r="E222">
            <v>92</v>
          </cell>
          <cell r="F222">
            <v>0</v>
          </cell>
          <cell r="H222">
            <v>92</v>
          </cell>
          <cell r="I222">
            <v>92</v>
          </cell>
          <cell r="J222">
            <v>0</v>
          </cell>
          <cell r="K222">
            <v>0</v>
          </cell>
          <cell r="L222">
            <v>92</v>
          </cell>
          <cell r="M222">
            <v>92</v>
          </cell>
          <cell r="N222">
            <v>0</v>
          </cell>
          <cell r="O222">
            <v>0</v>
          </cell>
          <cell r="P222">
            <v>92</v>
          </cell>
          <cell r="Q222">
            <v>92</v>
          </cell>
          <cell r="R222">
            <v>0</v>
          </cell>
          <cell r="S222">
            <v>0</v>
          </cell>
          <cell r="T222">
            <v>92</v>
          </cell>
        </row>
        <row r="223">
          <cell r="C223">
            <v>100016414</v>
          </cell>
          <cell r="D223" t="str">
            <v>PCS</v>
          </cell>
          <cell r="E223">
            <v>70</v>
          </cell>
          <cell r="F223">
            <v>0</v>
          </cell>
          <cell r="H223">
            <v>70</v>
          </cell>
          <cell r="I223">
            <v>70</v>
          </cell>
          <cell r="J223">
            <v>0</v>
          </cell>
          <cell r="K223">
            <v>0</v>
          </cell>
          <cell r="L223">
            <v>70</v>
          </cell>
          <cell r="M223">
            <v>70</v>
          </cell>
          <cell r="N223">
            <v>0</v>
          </cell>
          <cell r="O223">
            <v>0</v>
          </cell>
          <cell r="P223">
            <v>70</v>
          </cell>
          <cell r="Q223">
            <v>70</v>
          </cell>
          <cell r="R223">
            <v>0</v>
          </cell>
          <cell r="S223">
            <v>0</v>
          </cell>
          <cell r="T223">
            <v>70</v>
          </cell>
        </row>
        <row r="224">
          <cell r="C224">
            <v>69216</v>
          </cell>
          <cell r="D224" t="str">
            <v>PCS</v>
          </cell>
          <cell r="E224">
            <v>355</v>
          </cell>
          <cell r="F224">
            <v>0</v>
          </cell>
          <cell r="H224">
            <v>355</v>
          </cell>
          <cell r="I224">
            <v>355</v>
          </cell>
          <cell r="J224">
            <v>0</v>
          </cell>
          <cell r="K224">
            <v>0</v>
          </cell>
          <cell r="L224">
            <v>355</v>
          </cell>
          <cell r="M224">
            <v>355</v>
          </cell>
          <cell r="N224">
            <v>160</v>
          </cell>
          <cell r="O224">
            <v>144</v>
          </cell>
          <cell r="P224">
            <v>371</v>
          </cell>
          <cell r="Q224">
            <v>371</v>
          </cell>
          <cell r="R224">
            <v>0</v>
          </cell>
          <cell r="S224">
            <v>0</v>
          </cell>
          <cell r="T224">
            <v>371</v>
          </cell>
        </row>
        <row r="225">
          <cell r="C225">
            <v>451230</v>
          </cell>
          <cell r="D225" t="str">
            <v>PCS</v>
          </cell>
          <cell r="E225">
            <v>1085</v>
          </cell>
          <cell r="F225">
            <v>0</v>
          </cell>
          <cell r="H225">
            <v>1085</v>
          </cell>
          <cell r="I225">
            <v>1085</v>
          </cell>
          <cell r="J225">
            <v>0</v>
          </cell>
          <cell r="K225">
            <v>0</v>
          </cell>
          <cell r="L225">
            <v>1085</v>
          </cell>
          <cell r="M225">
            <v>1085</v>
          </cell>
          <cell r="N225">
            <v>0</v>
          </cell>
          <cell r="O225">
            <v>0</v>
          </cell>
          <cell r="P225">
            <v>1085</v>
          </cell>
          <cell r="Q225">
            <v>1085</v>
          </cell>
          <cell r="R225">
            <v>0</v>
          </cell>
          <cell r="S225">
            <v>0</v>
          </cell>
          <cell r="T225">
            <v>1085</v>
          </cell>
        </row>
        <row r="226">
          <cell r="C226">
            <v>451311</v>
          </cell>
          <cell r="D226" t="str">
            <v>PCS</v>
          </cell>
          <cell r="E226">
            <v>562</v>
          </cell>
          <cell r="F226">
            <v>0</v>
          </cell>
          <cell r="H226">
            <v>562</v>
          </cell>
          <cell r="I226">
            <v>562</v>
          </cell>
          <cell r="J226">
            <v>0</v>
          </cell>
          <cell r="K226">
            <v>0</v>
          </cell>
          <cell r="L226">
            <v>562</v>
          </cell>
          <cell r="M226">
            <v>562</v>
          </cell>
          <cell r="N226">
            <v>0</v>
          </cell>
          <cell r="O226">
            <v>0</v>
          </cell>
          <cell r="P226">
            <v>562</v>
          </cell>
          <cell r="Q226">
            <v>562</v>
          </cell>
          <cell r="R226">
            <v>0</v>
          </cell>
          <cell r="S226">
            <v>0</v>
          </cell>
          <cell r="T226">
            <v>562</v>
          </cell>
        </row>
        <row r="227">
          <cell r="C227">
            <v>451365</v>
          </cell>
          <cell r="D227" t="str">
            <v>PCS</v>
          </cell>
          <cell r="E227">
            <v>563</v>
          </cell>
          <cell r="F227">
            <v>0</v>
          </cell>
          <cell r="H227">
            <v>563</v>
          </cell>
          <cell r="I227">
            <v>563</v>
          </cell>
          <cell r="J227">
            <v>0</v>
          </cell>
          <cell r="K227">
            <v>0</v>
          </cell>
          <cell r="L227">
            <v>563</v>
          </cell>
          <cell r="M227">
            <v>563</v>
          </cell>
          <cell r="N227">
            <v>0</v>
          </cell>
          <cell r="O227">
            <v>0</v>
          </cell>
          <cell r="P227">
            <v>563</v>
          </cell>
          <cell r="Q227">
            <v>563</v>
          </cell>
          <cell r="R227">
            <v>0</v>
          </cell>
          <cell r="S227">
            <v>0</v>
          </cell>
          <cell r="T227">
            <v>563</v>
          </cell>
        </row>
        <row r="228">
          <cell r="C228">
            <v>453089</v>
          </cell>
          <cell r="D228" t="str">
            <v>PCS</v>
          </cell>
          <cell r="E228">
            <v>323</v>
          </cell>
          <cell r="F228">
            <v>0</v>
          </cell>
          <cell r="H228">
            <v>323</v>
          </cell>
          <cell r="I228">
            <v>323</v>
          </cell>
          <cell r="J228">
            <v>0</v>
          </cell>
          <cell r="K228">
            <v>0</v>
          </cell>
          <cell r="L228">
            <v>323</v>
          </cell>
          <cell r="M228">
            <v>323</v>
          </cell>
          <cell r="N228">
            <v>0</v>
          </cell>
          <cell r="O228">
            <v>0</v>
          </cell>
          <cell r="P228">
            <v>323</v>
          </cell>
          <cell r="Q228">
            <v>323</v>
          </cell>
          <cell r="R228">
            <v>0</v>
          </cell>
          <cell r="S228">
            <v>0</v>
          </cell>
          <cell r="T228">
            <v>323</v>
          </cell>
        </row>
        <row r="229">
          <cell r="C229" t="str">
            <v>453289(456581)</v>
          </cell>
          <cell r="D229" t="str">
            <v>PCS</v>
          </cell>
          <cell r="E229">
            <v>1964</v>
          </cell>
          <cell r="F229">
            <v>0</v>
          </cell>
          <cell r="H229">
            <v>1964</v>
          </cell>
          <cell r="I229">
            <v>1964</v>
          </cell>
          <cell r="J229">
            <v>0</v>
          </cell>
          <cell r="K229">
            <v>0</v>
          </cell>
          <cell r="L229">
            <v>1964</v>
          </cell>
          <cell r="M229">
            <v>1964</v>
          </cell>
          <cell r="N229">
            <v>0</v>
          </cell>
          <cell r="O229">
            <v>0</v>
          </cell>
          <cell r="P229">
            <v>1964</v>
          </cell>
          <cell r="Q229">
            <v>1964</v>
          </cell>
          <cell r="R229">
            <v>0</v>
          </cell>
          <cell r="S229">
            <v>0</v>
          </cell>
          <cell r="T229">
            <v>1964</v>
          </cell>
        </row>
        <row r="230">
          <cell r="C230">
            <v>453590</v>
          </cell>
          <cell r="D230" t="str">
            <v>PCS</v>
          </cell>
          <cell r="E230">
            <v>463</v>
          </cell>
          <cell r="F230">
            <v>0</v>
          </cell>
          <cell r="H230">
            <v>463</v>
          </cell>
          <cell r="I230">
            <v>463</v>
          </cell>
          <cell r="J230">
            <v>0</v>
          </cell>
          <cell r="K230">
            <v>0</v>
          </cell>
          <cell r="L230">
            <v>463</v>
          </cell>
          <cell r="M230">
            <v>463</v>
          </cell>
          <cell r="N230">
            <v>0</v>
          </cell>
          <cell r="O230">
            <v>0</v>
          </cell>
          <cell r="P230">
            <v>463</v>
          </cell>
          <cell r="Q230">
            <v>463</v>
          </cell>
          <cell r="R230">
            <v>0</v>
          </cell>
          <cell r="S230">
            <v>0</v>
          </cell>
          <cell r="T230">
            <v>463</v>
          </cell>
        </row>
        <row r="231">
          <cell r="C231" t="str">
            <v>453595(456582)</v>
          </cell>
          <cell r="D231" t="str">
            <v>PCS</v>
          </cell>
          <cell r="E231">
            <v>1052</v>
          </cell>
          <cell r="F231">
            <v>0</v>
          </cell>
          <cell r="H231">
            <v>1052</v>
          </cell>
          <cell r="I231">
            <v>1052</v>
          </cell>
          <cell r="J231">
            <v>0</v>
          </cell>
          <cell r="K231">
            <v>0</v>
          </cell>
          <cell r="L231">
            <v>1052</v>
          </cell>
          <cell r="M231">
            <v>1052</v>
          </cell>
          <cell r="N231">
            <v>0</v>
          </cell>
          <cell r="O231">
            <v>0</v>
          </cell>
          <cell r="P231">
            <v>1052</v>
          </cell>
          <cell r="Q231">
            <v>1052</v>
          </cell>
          <cell r="R231">
            <v>0</v>
          </cell>
          <cell r="S231">
            <v>0</v>
          </cell>
          <cell r="T231">
            <v>1052</v>
          </cell>
        </row>
        <row r="232">
          <cell r="C232" t="str">
            <v>456729(456854)</v>
          </cell>
          <cell r="D232" t="str">
            <v>PCS</v>
          </cell>
          <cell r="E232">
            <v>410</v>
          </cell>
          <cell r="F232">
            <v>0</v>
          </cell>
          <cell r="H232">
            <v>410</v>
          </cell>
          <cell r="I232">
            <v>410</v>
          </cell>
          <cell r="J232">
            <v>0</v>
          </cell>
          <cell r="K232">
            <v>0</v>
          </cell>
          <cell r="L232">
            <v>410</v>
          </cell>
          <cell r="M232">
            <v>410</v>
          </cell>
          <cell r="N232">
            <v>0</v>
          </cell>
          <cell r="O232">
            <v>0</v>
          </cell>
          <cell r="P232">
            <v>410</v>
          </cell>
          <cell r="Q232">
            <v>410</v>
          </cell>
          <cell r="R232">
            <v>0</v>
          </cell>
          <cell r="S232">
            <v>0</v>
          </cell>
          <cell r="T232">
            <v>410</v>
          </cell>
        </row>
        <row r="233">
          <cell r="C233">
            <v>456857</v>
          </cell>
          <cell r="D233" t="str">
            <v>PCS</v>
          </cell>
          <cell r="E233">
            <v>30</v>
          </cell>
          <cell r="F233">
            <v>0</v>
          </cell>
          <cell r="H233">
            <v>30</v>
          </cell>
          <cell r="I233">
            <v>30</v>
          </cell>
          <cell r="J233">
            <v>0</v>
          </cell>
          <cell r="K233">
            <v>30</v>
          </cell>
          <cell r="L233">
            <v>0</v>
          </cell>
          <cell r="M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</row>
        <row r="234">
          <cell r="C234">
            <v>457839</v>
          </cell>
          <cell r="D234" t="str">
            <v>PCS</v>
          </cell>
          <cell r="E234">
            <v>423</v>
          </cell>
          <cell r="F234">
            <v>0</v>
          </cell>
          <cell r="H234">
            <v>423</v>
          </cell>
          <cell r="I234">
            <v>423</v>
          </cell>
          <cell r="J234">
            <v>0</v>
          </cell>
          <cell r="K234">
            <v>0</v>
          </cell>
          <cell r="L234">
            <v>423</v>
          </cell>
          <cell r="M234">
            <v>423</v>
          </cell>
          <cell r="N234">
            <v>0</v>
          </cell>
          <cell r="O234">
            <v>0</v>
          </cell>
          <cell r="P234">
            <v>423</v>
          </cell>
          <cell r="Q234">
            <v>423</v>
          </cell>
          <cell r="R234">
            <v>0</v>
          </cell>
          <cell r="S234">
            <v>0</v>
          </cell>
          <cell r="T234">
            <v>423</v>
          </cell>
        </row>
        <row r="235">
          <cell r="C235">
            <v>457840</v>
          </cell>
          <cell r="D235" t="str">
            <v>PCS</v>
          </cell>
          <cell r="E235">
            <v>845</v>
          </cell>
          <cell r="F235">
            <v>0</v>
          </cell>
          <cell r="H235">
            <v>845</v>
          </cell>
          <cell r="I235">
            <v>845</v>
          </cell>
          <cell r="J235">
            <v>0</v>
          </cell>
          <cell r="K235">
            <v>0</v>
          </cell>
          <cell r="L235">
            <v>845</v>
          </cell>
          <cell r="M235">
            <v>845</v>
          </cell>
          <cell r="N235">
            <v>0</v>
          </cell>
          <cell r="O235">
            <v>0</v>
          </cell>
          <cell r="P235">
            <v>845</v>
          </cell>
          <cell r="Q235">
            <v>845</v>
          </cell>
          <cell r="R235">
            <v>0</v>
          </cell>
          <cell r="S235">
            <v>0</v>
          </cell>
          <cell r="T235">
            <v>845</v>
          </cell>
        </row>
        <row r="236">
          <cell r="C236">
            <v>457841</v>
          </cell>
          <cell r="D236" t="str">
            <v>PCS</v>
          </cell>
          <cell r="E236">
            <v>155</v>
          </cell>
          <cell r="F236">
            <v>0</v>
          </cell>
          <cell r="H236">
            <v>155</v>
          </cell>
          <cell r="I236">
            <v>155</v>
          </cell>
          <cell r="J236">
            <v>0</v>
          </cell>
          <cell r="K236">
            <v>0</v>
          </cell>
          <cell r="L236">
            <v>155</v>
          </cell>
          <cell r="M236">
            <v>155</v>
          </cell>
          <cell r="N236">
            <v>0</v>
          </cell>
          <cell r="O236">
            <v>0</v>
          </cell>
          <cell r="P236">
            <v>155</v>
          </cell>
          <cell r="Q236">
            <v>155</v>
          </cell>
          <cell r="R236">
            <v>0</v>
          </cell>
          <cell r="S236">
            <v>0</v>
          </cell>
          <cell r="T236">
            <v>155</v>
          </cell>
        </row>
        <row r="237">
          <cell r="C237">
            <v>457842</v>
          </cell>
          <cell r="D237" t="str">
            <v>PCS</v>
          </cell>
          <cell r="E237">
            <v>488</v>
          </cell>
          <cell r="F237">
            <v>0</v>
          </cell>
          <cell r="G237">
            <v>114</v>
          </cell>
          <cell r="H237">
            <v>374</v>
          </cell>
          <cell r="I237">
            <v>374</v>
          </cell>
          <cell r="J237">
            <v>0</v>
          </cell>
          <cell r="K237">
            <v>0</v>
          </cell>
          <cell r="L237">
            <v>374</v>
          </cell>
          <cell r="M237">
            <v>374</v>
          </cell>
          <cell r="N237">
            <v>0</v>
          </cell>
          <cell r="O237">
            <v>0</v>
          </cell>
          <cell r="P237">
            <v>374</v>
          </cell>
          <cell r="Q237">
            <v>374</v>
          </cell>
          <cell r="R237">
            <v>0</v>
          </cell>
          <cell r="S237">
            <v>0</v>
          </cell>
          <cell r="T237">
            <v>374</v>
          </cell>
        </row>
        <row r="238">
          <cell r="C238" t="str">
            <v>458244(458839)</v>
          </cell>
          <cell r="D238" t="str">
            <v>PCS</v>
          </cell>
          <cell r="E238">
            <v>570</v>
          </cell>
          <cell r="F238">
            <v>0</v>
          </cell>
          <cell r="H238">
            <v>570</v>
          </cell>
          <cell r="I238">
            <v>570</v>
          </cell>
          <cell r="J238">
            <v>0</v>
          </cell>
          <cell r="K238">
            <v>0</v>
          </cell>
          <cell r="L238">
            <v>570</v>
          </cell>
          <cell r="M238">
            <v>570</v>
          </cell>
          <cell r="N238">
            <v>0</v>
          </cell>
          <cell r="O238">
            <v>0</v>
          </cell>
          <cell r="P238">
            <v>570</v>
          </cell>
          <cell r="Q238">
            <v>570</v>
          </cell>
          <cell r="R238">
            <v>0</v>
          </cell>
          <cell r="S238">
            <v>0</v>
          </cell>
          <cell r="T238">
            <v>570</v>
          </cell>
        </row>
        <row r="239">
          <cell r="C239">
            <v>458624</v>
          </cell>
          <cell r="D239" t="str">
            <v>PCS</v>
          </cell>
          <cell r="E239">
            <v>298</v>
          </cell>
          <cell r="F239">
            <v>0</v>
          </cell>
          <cell r="H239">
            <v>298</v>
          </cell>
          <cell r="I239">
            <v>298</v>
          </cell>
          <cell r="J239">
            <v>0</v>
          </cell>
          <cell r="K239">
            <v>0</v>
          </cell>
          <cell r="L239">
            <v>298</v>
          </cell>
          <cell r="M239">
            <v>298</v>
          </cell>
          <cell r="N239">
            <v>0</v>
          </cell>
          <cell r="O239">
            <v>0</v>
          </cell>
          <cell r="P239">
            <v>298</v>
          </cell>
          <cell r="Q239">
            <v>298</v>
          </cell>
          <cell r="R239">
            <v>0</v>
          </cell>
          <cell r="S239">
            <v>0</v>
          </cell>
          <cell r="T239">
            <v>298</v>
          </cell>
        </row>
        <row r="240">
          <cell r="C240">
            <v>458626</v>
          </cell>
          <cell r="D240" t="str">
            <v>PCS</v>
          </cell>
          <cell r="E240">
            <v>165</v>
          </cell>
          <cell r="F240">
            <v>0</v>
          </cell>
          <cell r="H240">
            <v>165</v>
          </cell>
          <cell r="I240">
            <v>165</v>
          </cell>
          <cell r="J240">
            <v>0</v>
          </cell>
          <cell r="K240">
            <v>0</v>
          </cell>
          <cell r="L240">
            <v>165</v>
          </cell>
          <cell r="M240">
            <v>165</v>
          </cell>
          <cell r="N240">
            <v>0</v>
          </cell>
          <cell r="O240">
            <v>0</v>
          </cell>
          <cell r="P240">
            <v>165</v>
          </cell>
          <cell r="Q240">
            <v>165</v>
          </cell>
          <cell r="R240">
            <v>0</v>
          </cell>
          <cell r="S240">
            <v>0</v>
          </cell>
          <cell r="T240">
            <v>165</v>
          </cell>
        </row>
        <row r="241">
          <cell r="C241">
            <v>459044</v>
          </cell>
          <cell r="D241" t="str">
            <v>PCS</v>
          </cell>
          <cell r="E241">
            <v>109</v>
          </cell>
          <cell r="F241">
            <v>0</v>
          </cell>
          <cell r="H241">
            <v>109</v>
          </cell>
          <cell r="I241">
            <v>109</v>
          </cell>
          <cell r="J241">
            <v>0</v>
          </cell>
          <cell r="K241">
            <v>0</v>
          </cell>
          <cell r="L241">
            <v>109</v>
          </cell>
          <cell r="M241">
            <v>109</v>
          </cell>
          <cell r="N241">
            <v>0</v>
          </cell>
          <cell r="O241">
            <v>0</v>
          </cell>
          <cell r="P241">
            <v>109</v>
          </cell>
          <cell r="Q241">
            <v>109</v>
          </cell>
          <cell r="R241">
            <v>0</v>
          </cell>
          <cell r="S241">
            <v>0</v>
          </cell>
          <cell r="T241">
            <v>109</v>
          </cell>
        </row>
        <row r="242">
          <cell r="C242">
            <v>459046</v>
          </cell>
          <cell r="D242" t="str">
            <v>PCS</v>
          </cell>
          <cell r="E242">
            <v>129</v>
          </cell>
          <cell r="F242">
            <v>0</v>
          </cell>
          <cell r="G242">
            <v>3</v>
          </cell>
          <cell r="H242">
            <v>126</v>
          </cell>
          <cell r="I242">
            <v>126</v>
          </cell>
          <cell r="J242">
            <v>0</v>
          </cell>
          <cell r="K242">
            <v>0</v>
          </cell>
          <cell r="L242">
            <v>126</v>
          </cell>
          <cell r="M242">
            <v>126</v>
          </cell>
          <cell r="N242">
            <v>0</v>
          </cell>
          <cell r="O242">
            <v>0</v>
          </cell>
          <cell r="P242">
            <v>126</v>
          </cell>
          <cell r="Q242">
            <v>126</v>
          </cell>
          <cell r="R242">
            <v>0</v>
          </cell>
          <cell r="S242">
            <v>0</v>
          </cell>
          <cell r="T242">
            <v>126</v>
          </cell>
        </row>
        <row r="243">
          <cell r="C243">
            <v>459199</v>
          </cell>
          <cell r="D243" t="str">
            <v>PCS</v>
          </cell>
          <cell r="E243">
            <v>130</v>
          </cell>
          <cell r="F243">
            <v>0</v>
          </cell>
          <cell r="H243">
            <v>130</v>
          </cell>
          <cell r="I243">
            <v>130</v>
          </cell>
          <cell r="J243">
            <v>0</v>
          </cell>
          <cell r="K243">
            <v>0</v>
          </cell>
          <cell r="L243">
            <v>130</v>
          </cell>
          <cell r="M243">
            <v>130</v>
          </cell>
          <cell r="N243">
            <v>0</v>
          </cell>
          <cell r="O243">
            <v>0</v>
          </cell>
          <cell r="P243">
            <v>130</v>
          </cell>
          <cell r="Q243">
            <v>130</v>
          </cell>
          <cell r="R243">
            <v>0</v>
          </cell>
          <cell r="S243">
            <v>0</v>
          </cell>
          <cell r="T243">
            <v>130</v>
          </cell>
        </row>
        <row r="244">
          <cell r="C244">
            <v>459200</v>
          </cell>
          <cell r="D244" t="str">
            <v>PCS</v>
          </cell>
          <cell r="E244">
            <v>305</v>
          </cell>
          <cell r="F244">
            <v>0</v>
          </cell>
          <cell r="H244">
            <v>305</v>
          </cell>
          <cell r="I244">
            <v>305</v>
          </cell>
          <cell r="J244">
            <v>0</v>
          </cell>
          <cell r="K244">
            <v>0</v>
          </cell>
          <cell r="L244">
            <v>305</v>
          </cell>
          <cell r="M244">
            <v>305</v>
          </cell>
          <cell r="N244">
            <v>0</v>
          </cell>
          <cell r="O244">
            <v>0</v>
          </cell>
          <cell r="P244">
            <v>305</v>
          </cell>
          <cell r="Q244">
            <v>305</v>
          </cell>
          <cell r="R244">
            <v>0</v>
          </cell>
          <cell r="S244">
            <v>0</v>
          </cell>
          <cell r="T244">
            <v>305</v>
          </cell>
        </row>
        <row r="245">
          <cell r="C245">
            <v>459648</v>
          </cell>
          <cell r="D245" t="str">
            <v>PCS</v>
          </cell>
          <cell r="E245">
            <v>111</v>
          </cell>
          <cell r="F245">
            <v>0</v>
          </cell>
          <cell r="H245">
            <v>111</v>
          </cell>
          <cell r="I245">
            <v>111</v>
          </cell>
          <cell r="J245">
            <v>0</v>
          </cell>
          <cell r="K245">
            <v>0</v>
          </cell>
          <cell r="L245">
            <v>111</v>
          </cell>
          <cell r="M245">
            <v>111</v>
          </cell>
          <cell r="N245">
            <v>0</v>
          </cell>
          <cell r="O245">
            <v>0</v>
          </cell>
          <cell r="P245">
            <v>111</v>
          </cell>
          <cell r="Q245">
            <v>111</v>
          </cell>
          <cell r="R245">
            <v>0</v>
          </cell>
          <cell r="S245">
            <v>0</v>
          </cell>
          <cell r="T245">
            <v>111</v>
          </cell>
        </row>
        <row r="246">
          <cell r="C246">
            <v>459700</v>
          </cell>
          <cell r="D246" t="str">
            <v>PCS</v>
          </cell>
          <cell r="E246">
            <v>78</v>
          </cell>
          <cell r="F246">
            <v>0</v>
          </cell>
          <cell r="H246">
            <v>78</v>
          </cell>
          <cell r="I246">
            <v>78</v>
          </cell>
          <cell r="J246">
            <v>0</v>
          </cell>
          <cell r="K246">
            <v>0</v>
          </cell>
          <cell r="L246">
            <v>78</v>
          </cell>
          <cell r="M246">
            <v>78</v>
          </cell>
          <cell r="N246">
            <v>0</v>
          </cell>
          <cell r="O246">
            <v>0</v>
          </cell>
          <cell r="P246">
            <v>78</v>
          </cell>
          <cell r="Q246">
            <v>78</v>
          </cell>
          <cell r="R246">
            <v>0</v>
          </cell>
          <cell r="S246">
            <v>0</v>
          </cell>
          <cell r="T246">
            <v>78</v>
          </cell>
        </row>
        <row r="247">
          <cell r="C247">
            <v>459701</v>
          </cell>
          <cell r="D247" t="str">
            <v>PCS</v>
          </cell>
          <cell r="E247">
            <v>133</v>
          </cell>
          <cell r="F247">
            <v>0</v>
          </cell>
          <cell r="H247">
            <v>133</v>
          </cell>
          <cell r="I247">
            <v>133</v>
          </cell>
          <cell r="J247">
            <v>0</v>
          </cell>
          <cell r="K247">
            <v>0</v>
          </cell>
          <cell r="L247">
            <v>133</v>
          </cell>
          <cell r="M247">
            <v>133</v>
          </cell>
          <cell r="N247">
            <v>0</v>
          </cell>
          <cell r="O247">
            <v>0</v>
          </cell>
          <cell r="P247">
            <v>133</v>
          </cell>
          <cell r="Q247">
            <v>133</v>
          </cell>
          <cell r="R247">
            <v>0</v>
          </cell>
          <cell r="S247">
            <v>0</v>
          </cell>
          <cell r="T247">
            <v>133</v>
          </cell>
        </row>
        <row r="248">
          <cell r="C248">
            <v>459702</v>
          </cell>
          <cell r="D248" t="str">
            <v>PCS</v>
          </cell>
          <cell r="E248">
            <v>55</v>
          </cell>
          <cell r="F248">
            <v>0</v>
          </cell>
          <cell r="G248">
            <v>13</v>
          </cell>
          <cell r="H248">
            <v>42</v>
          </cell>
          <cell r="I248">
            <v>42</v>
          </cell>
          <cell r="J248">
            <v>0</v>
          </cell>
          <cell r="K248">
            <v>0</v>
          </cell>
          <cell r="L248">
            <v>42</v>
          </cell>
          <cell r="M248">
            <v>42</v>
          </cell>
          <cell r="N248">
            <v>0</v>
          </cell>
          <cell r="O248">
            <v>0</v>
          </cell>
          <cell r="P248">
            <v>42</v>
          </cell>
          <cell r="Q248">
            <v>42</v>
          </cell>
          <cell r="R248">
            <v>0</v>
          </cell>
          <cell r="S248">
            <v>0</v>
          </cell>
          <cell r="T248">
            <v>42</v>
          </cell>
        </row>
        <row r="249">
          <cell r="C249">
            <v>459703</v>
          </cell>
          <cell r="D249" t="str">
            <v>PCS</v>
          </cell>
          <cell r="E249">
            <v>45</v>
          </cell>
          <cell r="F249">
            <v>0</v>
          </cell>
          <cell r="H249">
            <v>45</v>
          </cell>
          <cell r="I249">
            <v>45</v>
          </cell>
          <cell r="J249">
            <v>0</v>
          </cell>
          <cell r="K249">
            <v>0</v>
          </cell>
          <cell r="L249">
            <v>45</v>
          </cell>
          <cell r="M249">
            <v>45</v>
          </cell>
          <cell r="N249">
            <v>0</v>
          </cell>
          <cell r="O249">
            <v>0</v>
          </cell>
          <cell r="P249">
            <v>45</v>
          </cell>
          <cell r="Q249">
            <v>45</v>
          </cell>
          <cell r="R249">
            <v>0</v>
          </cell>
          <cell r="S249">
            <v>0</v>
          </cell>
          <cell r="T249">
            <v>45</v>
          </cell>
        </row>
        <row r="250">
          <cell r="C250">
            <v>459704</v>
          </cell>
          <cell r="D250" t="str">
            <v>PCS</v>
          </cell>
          <cell r="E250">
            <v>50</v>
          </cell>
          <cell r="F250">
            <v>0</v>
          </cell>
          <cell r="G250">
            <v>2</v>
          </cell>
          <cell r="H250">
            <v>48</v>
          </cell>
          <cell r="I250">
            <v>48</v>
          </cell>
          <cell r="J250">
            <v>0</v>
          </cell>
          <cell r="K250">
            <v>0</v>
          </cell>
          <cell r="L250">
            <v>48</v>
          </cell>
          <cell r="M250">
            <v>48</v>
          </cell>
          <cell r="N250">
            <v>0</v>
          </cell>
          <cell r="O250">
            <v>0</v>
          </cell>
          <cell r="P250">
            <v>48</v>
          </cell>
          <cell r="Q250">
            <v>48</v>
          </cell>
          <cell r="R250">
            <v>0</v>
          </cell>
          <cell r="S250">
            <v>0</v>
          </cell>
          <cell r="T250">
            <v>48</v>
          </cell>
        </row>
        <row r="251">
          <cell r="C251">
            <v>459715</v>
          </cell>
          <cell r="D251" t="str">
            <v>PCS</v>
          </cell>
          <cell r="E251">
            <v>32</v>
          </cell>
          <cell r="F251">
            <v>0</v>
          </cell>
          <cell r="G251">
            <v>1</v>
          </cell>
          <cell r="H251">
            <v>31</v>
          </cell>
          <cell r="I251">
            <v>31</v>
          </cell>
          <cell r="J251">
            <v>0</v>
          </cell>
          <cell r="K251">
            <v>0</v>
          </cell>
          <cell r="L251">
            <v>31</v>
          </cell>
          <cell r="M251">
            <v>31</v>
          </cell>
          <cell r="N251">
            <v>0</v>
          </cell>
          <cell r="O251">
            <v>0</v>
          </cell>
          <cell r="P251">
            <v>31</v>
          </cell>
          <cell r="Q251">
            <v>31</v>
          </cell>
          <cell r="R251">
            <v>0</v>
          </cell>
          <cell r="S251">
            <v>0</v>
          </cell>
          <cell r="T251">
            <v>31</v>
          </cell>
        </row>
        <row r="252">
          <cell r="C252">
            <v>460424</v>
          </cell>
          <cell r="D252" t="str">
            <v>PCS</v>
          </cell>
          <cell r="E252">
            <v>208</v>
          </cell>
          <cell r="F252">
            <v>0</v>
          </cell>
          <cell r="H252">
            <v>208</v>
          </cell>
          <cell r="I252">
            <v>208</v>
          </cell>
          <cell r="J252">
            <v>0</v>
          </cell>
          <cell r="K252">
            <v>0</v>
          </cell>
          <cell r="L252">
            <v>208</v>
          </cell>
          <cell r="M252">
            <v>208</v>
          </cell>
          <cell r="N252">
            <v>0</v>
          </cell>
          <cell r="O252">
            <v>0</v>
          </cell>
          <cell r="P252">
            <v>208</v>
          </cell>
          <cell r="Q252">
            <v>208</v>
          </cell>
          <cell r="R252">
            <v>0</v>
          </cell>
          <cell r="S252">
            <v>0</v>
          </cell>
          <cell r="T252">
            <v>208</v>
          </cell>
        </row>
        <row r="253">
          <cell r="C253">
            <v>460886</v>
          </cell>
          <cell r="D253" t="str">
            <v>PCS</v>
          </cell>
          <cell r="E253">
            <v>30</v>
          </cell>
          <cell r="F253">
            <v>0</v>
          </cell>
          <cell r="H253">
            <v>30</v>
          </cell>
          <cell r="I253">
            <v>30</v>
          </cell>
          <cell r="J253">
            <v>0</v>
          </cell>
          <cell r="K253">
            <v>0</v>
          </cell>
          <cell r="L253">
            <v>30</v>
          </cell>
          <cell r="M253">
            <v>30</v>
          </cell>
          <cell r="N253">
            <v>0</v>
          </cell>
          <cell r="O253">
            <v>0</v>
          </cell>
          <cell r="P253">
            <v>30</v>
          </cell>
          <cell r="Q253">
            <v>30</v>
          </cell>
          <cell r="R253">
            <v>0</v>
          </cell>
          <cell r="S253">
            <v>0</v>
          </cell>
          <cell r="T253">
            <v>30</v>
          </cell>
        </row>
        <row r="254">
          <cell r="C254">
            <v>100014612</v>
          </cell>
          <cell r="D254" t="str">
            <v>PCS</v>
          </cell>
          <cell r="E254">
            <v>223</v>
          </cell>
          <cell r="F254">
            <v>0</v>
          </cell>
          <cell r="H254">
            <v>223</v>
          </cell>
          <cell r="I254">
            <v>223</v>
          </cell>
          <cell r="J254">
            <v>0</v>
          </cell>
          <cell r="K254">
            <v>0</v>
          </cell>
          <cell r="L254">
            <v>223</v>
          </cell>
          <cell r="M254">
            <v>223</v>
          </cell>
          <cell r="N254">
            <v>0</v>
          </cell>
          <cell r="O254">
            <v>0</v>
          </cell>
          <cell r="P254">
            <v>223</v>
          </cell>
          <cell r="Q254">
            <v>223</v>
          </cell>
          <cell r="R254">
            <v>0</v>
          </cell>
          <cell r="S254">
            <v>0</v>
          </cell>
          <cell r="T254">
            <v>223</v>
          </cell>
        </row>
        <row r="255">
          <cell r="C255">
            <v>100014882</v>
          </cell>
          <cell r="D255" t="str">
            <v>PCS</v>
          </cell>
          <cell r="E255">
            <v>25</v>
          </cell>
          <cell r="F255">
            <v>0</v>
          </cell>
          <cell r="H255">
            <v>25</v>
          </cell>
          <cell r="I255">
            <v>25</v>
          </cell>
          <cell r="J255">
            <v>0</v>
          </cell>
          <cell r="K255">
            <v>0</v>
          </cell>
          <cell r="L255">
            <v>25</v>
          </cell>
          <cell r="M255">
            <v>25</v>
          </cell>
          <cell r="N255">
            <v>0</v>
          </cell>
          <cell r="O255">
            <v>0</v>
          </cell>
          <cell r="P255">
            <v>25</v>
          </cell>
          <cell r="Q255">
            <v>25</v>
          </cell>
          <cell r="R255">
            <v>0</v>
          </cell>
          <cell r="S255">
            <v>0</v>
          </cell>
          <cell r="T255">
            <v>25</v>
          </cell>
        </row>
        <row r="256">
          <cell r="C256" t="str">
            <v>CN380880MI</v>
          </cell>
          <cell r="D256" t="str">
            <v>PCS</v>
          </cell>
          <cell r="E256">
            <v>384</v>
          </cell>
          <cell r="F256">
            <v>0</v>
          </cell>
          <cell r="G256">
            <v>22</v>
          </cell>
          <cell r="H256">
            <v>362</v>
          </cell>
          <cell r="I256">
            <v>362</v>
          </cell>
          <cell r="J256">
            <v>0</v>
          </cell>
          <cell r="K256">
            <v>0</v>
          </cell>
          <cell r="L256">
            <v>362</v>
          </cell>
          <cell r="M256">
            <v>362</v>
          </cell>
          <cell r="N256">
            <v>0</v>
          </cell>
          <cell r="O256">
            <v>0</v>
          </cell>
          <cell r="P256">
            <v>362</v>
          </cell>
          <cell r="Q256">
            <v>362</v>
          </cell>
          <cell r="R256">
            <v>0</v>
          </cell>
          <cell r="S256">
            <v>0</v>
          </cell>
          <cell r="T256">
            <v>362</v>
          </cell>
        </row>
        <row r="257">
          <cell r="C257" t="str">
            <v>RK381912MI</v>
          </cell>
          <cell r="D257" t="str">
            <v>PCS</v>
          </cell>
          <cell r="E257">
            <v>213</v>
          </cell>
          <cell r="F257">
            <v>0</v>
          </cell>
          <cell r="H257">
            <v>213</v>
          </cell>
          <cell r="I257">
            <v>213</v>
          </cell>
          <cell r="J257">
            <v>0</v>
          </cell>
          <cell r="K257">
            <v>0</v>
          </cell>
          <cell r="L257">
            <v>213</v>
          </cell>
          <cell r="M257">
            <v>213</v>
          </cell>
          <cell r="N257">
            <v>0</v>
          </cell>
          <cell r="O257">
            <v>0</v>
          </cell>
          <cell r="P257">
            <v>213</v>
          </cell>
          <cell r="Q257">
            <v>213</v>
          </cell>
          <cell r="R257">
            <v>0</v>
          </cell>
          <cell r="S257">
            <v>0</v>
          </cell>
          <cell r="T257">
            <v>213</v>
          </cell>
        </row>
        <row r="258">
          <cell r="C258">
            <v>100008562</v>
          </cell>
          <cell r="D258" t="str">
            <v>PCS</v>
          </cell>
          <cell r="E258">
            <v>68</v>
          </cell>
          <cell r="F258">
            <v>0</v>
          </cell>
          <cell r="G258">
            <v>3</v>
          </cell>
          <cell r="H258">
            <v>65</v>
          </cell>
          <cell r="I258">
            <v>65</v>
          </cell>
          <cell r="J258">
            <v>0</v>
          </cell>
          <cell r="K258">
            <v>0</v>
          </cell>
          <cell r="L258">
            <v>65</v>
          </cell>
          <cell r="M258">
            <v>65</v>
          </cell>
          <cell r="N258">
            <v>0</v>
          </cell>
          <cell r="O258">
            <v>0</v>
          </cell>
          <cell r="P258">
            <v>65</v>
          </cell>
          <cell r="Q258">
            <v>65</v>
          </cell>
          <cell r="R258">
            <v>0</v>
          </cell>
          <cell r="S258">
            <v>0</v>
          </cell>
          <cell r="T258">
            <v>65</v>
          </cell>
        </row>
        <row r="259">
          <cell r="C259">
            <v>100008572</v>
          </cell>
          <cell r="D259" t="str">
            <v>PCS</v>
          </cell>
          <cell r="E259">
            <v>310</v>
          </cell>
          <cell r="F259">
            <v>0</v>
          </cell>
          <cell r="G259">
            <v>139</v>
          </cell>
          <cell r="H259">
            <v>171</v>
          </cell>
          <cell r="I259">
            <v>171</v>
          </cell>
          <cell r="J259">
            <v>0</v>
          </cell>
          <cell r="K259">
            <v>0</v>
          </cell>
          <cell r="L259">
            <v>171</v>
          </cell>
          <cell r="M259">
            <v>171</v>
          </cell>
          <cell r="N259">
            <v>0</v>
          </cell>
          <cell r="O259">
            <v>0</v>
          </cell>
          <cell r="P259">
            <v>171</v>
          </cell>
          <cell r="Q259">
            <v>171</v>
          </cell>
          <cell r="R259">
            <v>0</v>
          </cell>
          <cell r="S259">
            <v>0</v>
          </cell>
          <cell r="T259">
            <v>171</v>
          </cell>
        </row>
        <row r="260">
          <cell r="C260">
            <v>100008587</v>
          </cell>
          <cell r="D260" t="str">
            <v>PCS</v>
          </cell>
          <cell r="E260">
            <v>1280</v>
          </cell>
          <cell r="F260">
            <v>0</v>
          </cell>
          <cell r="G260">
            <v>1159</v>
          </cell>
          <cell r="H260">
            <v>121</v>
          </cell>
          <cell r="I260">
            <v>121</v>
          </cell>
          <cell r="J260">
            <v>0</v>
          </cell>
          <cell r="K260">
            <v>0</v>
          </cell>
          <cell r="L260">
            <v>121</v>
          </cell>
          <cell r="M260">
            <v>121</v>
          </cell>
          <cell r="N260">
            <v>0</v>
          </cell>
          <cell r="O260">
            <v>0</v>
          </cell>
          <cell r="P260">
            <v>121</v>
          </cell>
          <cell r="Q260">
            <v>121</v>
          </cell>
          <cell r="R260">
            <v>0</v>
          </cell>
          <cell r="S260">
            <v>0</v>
          </cell>
          <cell r="T260">
            <v>121</v>
          </cell>
        </row>
        <row r="261">
          <cell r="C261">
            <v>100008588</v>
          </cell>
          <cell r="D261" t="str">
            <v>PCS</v>
          </cell>
          <cell r="E261">
            <v>197</v>
          </cell>
          <cell r="F261">
            <v>0</v>
          </cell>
          <cell r="G261">
            <v>135</v>
          </cell>
          <cell r="H261">
            <v>62</v>
          </cell>
          <cell r="I261">
            <v>62</v>
          </cell>
          <cell r="J261">
            <v>0</v>
          </cell>
          <cell r="K261">
            <v>0</v>
          </cell>
          <cell r="L261">
            <v>62</v>
          </cell>
          <cell r="M261">
            <v>62</v>
          </cell>
          <cell r="N261">
            <v>0</v>
          </cell>
          <cell r="O261">
            <v>0</v>
          </cell>
          <cell r="P261">
            <v>62</v>
          </cell>
          <cell r="Q261">
            <v>62</v>
          </cell>
          <cell r="R261">
            <v>0</v>
          </cell>
          <cell r="S261">
            <v>0</v>
          </cell>
          <cell r="T261">
            <v>62</v>
          </cell>
        </row>
        <row r="262">
          <cell r="C262">
            <v>100008624</v>
          </cell>
          <cell r="D262" t="str">
            <v>PCS</v>
          </cell>
          <cell r="E262">
            <v>787</v>
          </cell>
          <cell r="F262">
            <v>0</v>
          </cell>
          <cell r="G262">
            <v>390</v>
          </cell>
          <cell r="H262">
            <v>397</v>
          </cell>
          <cell r="I262">
            <v>397</v>
          </cell>
          <cell r="J262">
            <v>0</v>
          </cell>
          <cell r="K262">
            <v>0</v>
          </cell>
          <cell r="L262">
            <v>397</v>
          </cell>
          <cell r="M262">
            <v>397</v>
          </cell>
          <cell r="N262">
            <v>0</v>
          </cell>
          <cell r="O262">
            <v>0</v>
          </cell>
          <cell r="P262">
            <v>397</v>
          </cell>
          <cell r="Q262">
            <v>397</v>
          </cell>
          <cell r="R262">
            <v>0</v>
          </cell>
          <cell r="S262">
            <v>0</v>
          </cell>
          <cell r="T262">
            <v>397</v>
          </cell>
        </row>
        <row r="263">
          <cell r="C263">
            <v>100008652</v>
          </cell>
          <cell r="D263" t="str">
            <v>PCS</v>
          </cell>
          <cell r="E263">
            <v>1299</v>
          </cell>
          <cell r="F263">
            <v>0</v>
          </cell>
          <cell r="G263">
            <v>1154</v>
          </cell>
          <cell r="H263">
            <v>145</v>
          </cell>
          <cell r="I263">
            <v>145</v>
          </cell>
          <cell r="J263">
            <v>0</v>
          </cell>
          <cell r="K263">
            <v>0</v>
          </cell>
          <cell r="L263">
            <v>145</v>
          </cell>
          <cell r="M263">
            <v>145</v>
          </cell>
          <cell r="N263">
            <v>0</v>
          </cell>
          <cell r="O263">
            <v>0</v>
          </cell>
          <cell r="P263">
            <v>145</v>
          </cell>
          <cell r="Q263">
            <v>145</v>
          </cell>
          <cell r="R263">
            <v>0</v>
          </cell>
          <cell r="S263">
            <v>0</v>
          </cell>
          <cell r="T263">
            <v>145</v>
          </cell>
        </row>
        <row r="264">
          <cell r="C264">
            <v>100008653</v>
          </cell>
          <cell r="D264" t="str">
            <v>PCS</v>
          </cell>
          <cell r="E264">
            <v>3133</v>
          </cell>
          <cell r="F264">
            <v>0</v>
          </cell>
          <cell r="G264">
            <v>2938</v>
          </cell>
          <cell r="H264">
            <v>195</v>
          </cell>
          <cell r="I264">
            <v>195</v>
          </cell>
          <cell r="J264">
            <v>0</v>
          </cell>
          <cell r="K264">
            <v>0</v>
          </cell>
          <cell r="L264">
            <v>195</v>
          </cell>
          <cell r="M264">
            <v>195</v>
          </cell>
          <cell r="N264">
            <v>0</v>
          </cell>
          <cell r="O264">
            <v>0</v>
          </cell>
          <cell r="P264">
            <v>195</v>
          </cell>
          <cell r="Q264">
            <v>195</v>
          </cell>
          <cell r="R264">
            <v>0</v>
          </cell>
          <cell r="S264">
            <v>0</v>
          </cell>
          <cell r="T264">
            <v>195</v>
          </cell>
        </row>
        <row r="265">
          <cell r="C265">
            <v>100008702</v>
          </cell>
          <cell r="D265" t="str">
            <v>PCS</v>
          </cell>
          <cell r="E265">
            <v>200</v>
          </cell>
          <cell r="F265">
            <v>0</v>
          </cell>
          <cell r="H265">
            <v>200</v>
          </cell>
          <cell r="I265">
            <v>200</v>
          </cell>
          <cell r="J265">
            <v>0</v>
          </cell>
          <cell r="K265">
            <v>0</v>
          </cell>
          <cell r="L265">
            <v>200</v>
          </cell>
          <cell r="M265">
            <v>200</v>
          </cell>
          <cell r="N265">
            <v>0</v>
          </cell>
          <cell r="O265">
            <v>0</v>
          </cell>
          <cell r="P265">
            <v>200</v>
          </cell>
          <cell r="Q265">
            <v>200</v>
          </cell>
          <cell r="R265">
            <v>0</v>
          </cell>
          <cell r="S265">
            <v>0</v>
          </cell>
          <cell r="T265">
            <v>200</v>
          </cell>
        </row>
        <row r="266">
          <cell r="C266">
            <v>100008703</v>
          </cell>
          <cell r="D266" t="str">
            <v>PCS</v>
          </cell>
          <cell r="E266">
            <v>61</v>
          </cell>
          <cell r="F266">
            <v>749</v>
          </cell>
          <cell r="G266">
            <v>732</v>
          </cell>
          <cell r="H266">
            <v>78</v>
          </cell>
          <cell r="I266">
            <v>78</v>
          </cell>
          <cell r="J266">
            <v>0</v>
          </cell>
          <cell r="K266">
            <v>0</v>
          </cell>
          <cell r="L266">
            <v>78</v>
          </cell>
          <cell r="M266">
            <v>78</v>
          </cell>
          <cell r="N266">
            <v>0</v>
          </cell>
          <cell r="O266">
            <v>0</v>
          </cell>
          <cell r="P266">
            <v>78</v>
          </cell>
          <cell r="Q266">
            <v>78</v>
          </cell>
          <cell r="R266">
            <v>0</v>
          </cell>
          <cell r="S266">
            <v>0</v>
          </cell>
          <cell r="T266">
            <v>78</v>
          </cell>
        </row>
        <row r="267">
          <cell r="C267">
            <v>100008704</v>
          </cell>
          <cell r="D267" t="str">
            <v>PCS</v>
          </cell>
          <cell r="E267">
            <v>2905</v>
          </cell>
          <cell r="F267">
            <v>4064</v>
          </cell>
          <cell r="G267">
            <v>6867</v>
          </cell>
          <cell r="H267">
            <v>102</v>
          </cell>
          <cell r="I267">
            <v>102</v>
          </cell>
          <cell r="J267">
            <v>0</v>
          </cell>
          <cell r="K267">
            <v>0</v>
          </cell>
          <cell r="L267">
            <v>102</v>
          </cell>
          <cell r="M267">
            <v>102</v>
          </cell>
          <cell r="N267">
            <v>0</v>
          </cell>
          <cell r="O267">
            <v>0</v>
          </cell>
          <cell r="P267">
            <v>102</v>
          </cell>
          <cell r="Q267">
            <v>102</v>
          </cell>
          <cell r="R267">
            <v>0</v>
          </cell>
          <cell r="S267">
            <v>0</v>
          </cell>
          <cell r="T267">
            <v>102</v>
          </cell>
        </row>
        <row r="268">
          <cell r="C268">
            <v>100008706</v>
          </cell>
          <cell r="D268" t="str">
            <v>PCS</v>
          </cell>
          <cell r="E268">
            <v>893</v>
          </cell>
          <cell r="F268">
            <v>0</v>
          </cell>
          <cell r="G268">
            <v>673</v>
          </cell>
          <cell r="H268">
            <v>220</v>
          </cell>
          <cell r="I268">
            <v>220</v>
          </cell>
          <cell r="J268">
            <v>0</v>
          </cell>
          <cell r="K268">
            <v>0</v>
          </cell>
          <cell r="L268">
            <v>220</v>
          </cell>
          <cell r="M268">
            <v>220</v>
          </cell>
          <cell r="N268">
            <v>0</v>
          </cell>
          <cell r="O268">
            <v>0</v>
          </cell>
          <cell r="P268">
            <v>220</v>
          </cell>
          <cell r="Q268">
            <v>220</v>
          </cell>
          <cell r="R268">
            <v>0</v>
          </cell>
          <cell r="S268">
            <v>0</v>
          </cell>
          <cell r="T268">
            <v>220</v>
          </cell>
        </row>
        <row r="269">
          <cell r="C269">
            <v>100008707</v>
          </cell>
          <cell r="D269" t="str">
            <v>PCS</v>
          </cell>
          <cell r="E269">
            <v>7002</v>
          </cell>
          <cell r="F269">
            <v>1356</v>
          </cell>
          <cell r="G269">
            <v>8083</v>
          </cell>
          <cell r="H269">
            <v>275</v>
          </cell>
          <cell r="I269">
            <v>275</v>
          </cell>
          <cell r="J269">
            <v>0</v>
          </cell>
          <cell r="K269">
            <v>0</v>
          </cell>
          <cell r="L269">
            <v>275</v>
          </cell>
          <cell r="M269">
            <v>275</v>
          </cell>
          <cell r="N269">
            <v>0</v>
          </cell>
          <cell r="O269">
            <v>0</v>
          </cell>
          <cell r="P269">
            <v>275</v>
          </cell>
          <cell r="Q269">
            <v>275</v>
          </cell>
          <cell r="R269">
            <v>0</v>
          </cell>
          <cell r="S269">
            <v>0</v>
          </cell>
          <cell r="T269">
            <v>275</v>
          </cell>
        </row>
        <row r="270">
          <cell r="C270">
            <v>100008708</v>
          </cell>
          <cell r="D270" t="str">
            <v>PCS</v>
          </cell>
          <cell r="E270">
            <v>2622</v>
          </cell>
          <cell r="F270">
            <v>458</v>
          </cell>
          <cell r="G270">
            <v>2983</v>
          </cell>
          <cell r="H270">
            <v>97</v>
          </cell>
          <cell r="I270">
            <v>97</v>
          </cell>
          <cell r="J270">
            <v>0</v>
          </cell>
          <cell r="K270">
            <v>0</v>
          </cell>
          <cell r="L270">
            <v>97</v>
          </cell>
          <cell r="M270">
            <v>97</v>
          </cell>
          <cell r="N270">
            <v>0</v>
          </cell>
          <cell r="O270">
            <v>0</v>
          </cell>
          <cell r="P270">
            <v>97</v>
          </cell>
          <cell r="Q270">
            <v>97</v>
          </cell>
          <cell r="R270">
            <v>0</v>
          </cell>
          <cell r="S270">
            <v>0</v>
          </cell>
          <cell r="T270">
            <v>97</v>
          </cell>
        </row>
        <row r="271">
          <cell r="C271">
            <v>100008709</v>
          </cell>
          <cell r="D271" t="str">
            <v>PCS</v>
          </cell>
          <cell r="E271">
            <v>400</v>
          </cell>
          <cell r="F271">
            <v>13</v>
          </cell>
          <cell r="G271">
            <v>192</v>
          </cell>
          <cell r="H271">
            <v>221</v>
          </cell>
          <cell r="I271">
            <v>221</v>
          </cell>
          <cell r="J271">
            <v>0</v>
          </cell>
          <cell r="K271">
            <v>0</v>
          </cell>
          <cell r="L271">
            <v>221</v>
          </cell>
          <cell r="M271">
            <v>221</v>
          </cell>
          <cell r="N271">
            <v>0</v>
          </cell>
          <cell r="O271">
            <v>0</v>
          </cell>
          <cell r="P271">
            <v>221</v>
          </cell>
          <cell r="Q271">
            <v>221</v>
          </cell>
          <cell r="R271">
            <v>0</v>
          </cell>
          <cell r="S271">
            <v>0</v>
          </cell>
          <cell r="T271">
            <v>221</v>
          </cell>
        </row>
        <row r="272">
          <cell r="C272">
            <v>100008714</v>
          </cell>
          <cell r="D272" t="str">
            <v>PCS</v>
          </cell>
          <cell r="E272">
            <v>1010</v>
          </cell>
          <cell r="F272">
            <v>1771</v>
          </cell>
          <cell r="G272">
            <v>2170</v>
          </cell>
          <cell r="H272">
            <v>611</v>
          </cell>
          <cell r="I272">
            <v>611</v>
          </cell>
          <cell r="J272">
            <v>0</v>
          </cell>
          <cell r="K272">
            <v>0</v>
          </cell>
          <cell r="L272">
            <v>611</v>
          </cell>
          <cell r="M272">
            <v>611</v>
          </cell>
          <cell r="N272">
            <v>0</v>
          </cell>
          <cell r="O272">
            <v>0</v>
          </cell>
          <cell r="P272">
            <v>611</v>
          </cell>
          <cell r="Q272">
            <v>611</v>
          </cell>
          <cell r="R272">
            <v>0</v>
          </cell>
          <cell r="S272">
            <v>0</v>
          </cell>
          <cell r="T272">
            <v>611</v>
          </cell>
        </row>
        <row r="273">
          <cell r="C273">
            <v>100008716</v>
          </cell>
          <cell r="D273" t="str">
            <v>PCS</v>
          </cell>
          <cell r="E273">
            <v>51</v>
          </cell>
          <cell r="F273">
            <v>731</v>
          </cell>
          <cell r="G273">
            <v>704</v>
          </cell>
          <cell r="H273">
            <v>78</v>
          </cell>
          <cell r="I273">
            <v>78</v>
          </cell>
          <cell r="J273">
            <v>0</v>
          </cell>
          <cell r="K273">
            <v>0</v>
          </cell>
          <cell r="L273">
            <v>78</v>
          </cell>
          <cell r="M273">
            <v>78</v>
          </cell>
          <cell r="N273">
            <v>0</v>
          </cell>
          <cell r="O273">
            <v>0</v>
          </cell>
          <cell r="P273">
            <v>78</v>
          </cell>
          <cell r="Q273">
            <v>78</v>
          </cell>
          <cell r="R273">
            <v>0</v>
          </cell>
          <cell r="S273">
            <v>0</v>
          </cell>
          <cell r="T273">
            <v>78</v>
          </cell>
        </row>
        <row r="274">
          <cell r="C274">
            <v>100008730</v>
          </cell>
          <cell r="D274" t="str">
            <v>PCS</v>
          </cell>
          <cell r="E274">
            <v>262</v>
          </cell>
          <cell r="F274">
            <v>0</v>
          </cell>
          <cell r="G274">
            <v>132</v>
          </cell>
          <cell r="H274">
            <v>130</v>
          </cell>
          <cell r="I274">
            <v>130</v>
          </cell>
          <cell r="J274">
            <v>0</v>
          </cell>
          <cell r="K274">
            <v>0</v>
          </cell>
          <cell r="L274">
            <v>130</v>
          </cell>
          <cell r="M274">
            <v>130</v>
          </cell>
          <cell r="N274">
            <v>0</v>
          </cell>
          <cell r="O274">
            <v>0</v>
          </cell>
          <cell r="P274">
            <v>130</v>
          </cell>
          <cell r="Q274">
            <v>130</v>
          </cell>
          <cell r="R274">
            <v>0</v>
          </cell>
          <cell r="S274">
            <v>0</v>
          </cell>
          <cell r="T274">
            <v>130</v>
          </cell>
        </row>
        <row r="275">
          <cell r="C275">
            <v>100008747</v>
          </cell>
          <cell r="D275" t="str">
            <v>PCS</v>
          </cell>
          <cell r="E275">
            <v>945</v>
          </cell>
          <cell r="F275">
            <v>0</v>
          </cell>
          <cell r="G275">
            <v>37</v>
          </cell>
          <cell r="H275">
            <v>908</v>
          </cell>
          <cell r="I275">
            <v>908</v>
          </cell>
          <cell r="J275">
            <v>0</v>
          </cell>
          <cell r="K275">
            <v>0</v>
          </cell>
          <cell r="L275">
            <v>908</v>
          </cell>
          <cell r="M275">
            <v>908</v>
          </cell>
          <cell r="N275">
            <v>0</v>
          </cell>
          <cell r="O275">
            <v>0</v>
          </cell>
          <cell r="P275">
            <v>908</v>
          </cell>
          <cell r="Q275">
            <v>908</v>
          </cell>
          <cell r="R275">
            <v>0</v>
          </cell>
          <cell r="S275">
            <v>0</v>
          </cell>
          <cell r="T275">
            <v>908</v>
          </cell>
        </row>
        <row r="276">
          <cell r="C276">
            <v>100008749</v>
          </cell>
          <cell r="D276" t="str">
            <v>PCS</v>
          </cell>
          <cell r="E276">
            <v>362</v>
          </cell>
          <cell r="F276">
            <v>7432</v>
          </cell>
          <cell r="G276">
            <v>7377</v>
          </cell>
          <cell r="H276">
            <v>417</v>
          </cell>
          <cell r="I276">
            <v>417</v>
          </cell>
          <cell r="J276">
            <v>0</v>
          </cell>
          <cell r="K276">
            <v>0</v>
          </cell>
          <cell r="L276">
            <v>417</v>
          </cell>
          <cell r="M276">
            <v>417</v>
          </cell>
          <cell r="N276">
            <v>0</v>
          </cell>
          <cell r="O276">
            <v>0</v>
          </cell>
          <cell r="P276">
            <v>417</v>
          </cell>
          <cell r="Q276">
            <v>417</v>
          </cell>
          <cell r="R276">
            <v>0</v>
          </cell>
          <cell r="S276">
            <v>0</v>
          </cell>
          <cell r="T276">
            <v>417</v>
          </cell>
        </row>
        <row r="277">
          <cell r="C277">
            <v>100008773</v>
          </cell>
          <cell r="D277" t="str">
            <v>PCS</v>
          </cell>
          <cell r="E277">
            <v>1415</v>
          </cell>
          <cell r="F277">
            <v>440</v>
          </cell>
          <cell r="G277">
            <v>1583</v>
          </cell>
          <cell r="H277">
            <v>272</v>
          </cell>
          <cell r="I277">
            <v>272</v>
          </cell>
          <cell r="J277">
            <v>0</v>
          </cell>
          <cell r="K277">
            <v>0</v>
          </cell>
          <cell r="L277">
            <v>272</v>
          </cell>
          <cell r="M277">
            <v>272</v>
          </cell>
          <cell r="N277">
            <v>0</v>
          </cell>
          <cell r="O277">
            <v>0</v>
          </cell>
          <cell r="P277">
            <v>272</v>
          </cell>
          <cell r="Q277">
            <v>272</v>
          </cell>
          <cell r="R277">
            <v>0</v>
          </cell>
          <cell r="S277">
            <v>0</v>
          </cell>
          <cell r="T277">
            <v>272</v>
          </cell>
        </row>
        <row r="278">
          <cell r="C278">
            <v>100009618</v>
          </cell>
          <cell r="D278" t="str">
            <v>PCS</v>
          </cell>
          <cell r="E278">
            <v>1784</v>
          </cell>
          <cell r="F278">
            <v>0</v>
          </cell>
          <cell r="G278">
            <v>1697</v>
          </cell>
          <cell r="H278">
            <v>87</v>
          </cell>
          <cell r="I278">
            <v>87</v>
          </cell>
          <cell r="J278">
            <v>0</v>
          </cell>
          <cell r="K278">
            <v>0</v>
          </cell>
          <cell r="L278">
            <v>87</v>
          </cell>
          <cell r="M278">
            <v>87</v>
          </cell>
          <cell r="N278">
            <v>0</v>
          </cell>
          <cell r="O278">
            <v>0</v>
          </cell>
          <cell r="P278">
            <v>87</v>
          </cell>
          <cell r="Q278">
            <v>87</v>
          </cell>
          <cell r="R278">
            <v>0</v>
          </cell>
          <cell r="S278">
            <v>0</v>
          </cell>
          <cell r="T278">
            <v>87</v>
          </cell>
        </row>
        <row r="279">
          <cell r="C279">
            <v>100011932</v>
          </cell>
          <cell r="D279" t="str">
            <v>PCS</v>
          </cell>
          <cell r="E279">
            <v>15</v>
          </cell>
          <cell r="F279">
            <v>0</v>
          </cell>
          <cell r="H279">
            <v>15</v>
          </cell>
          <cell r="I279">
            <v>15</v>
          </cell>
          <cell r="J279">
            <v>0</v>
          </cell>
          <cell r="K279">
            <v>0</v>
          </cell>
          <cell r="L279">
            <v>15</v>
          </cell>
          <cell r="M279">
            <v>15</v>
          </cell>
          <cell r="N279">
            <v>0</v>
          </cell>
          <cell r="O279">
            <v>0</v>
          </cell>
          <cell r="P279">
            <v>15</v>
          </cell>
          <cell r="Q279">
            <v>15</v>
          </cell>
          <cell r="R279">
            <v>0</v>
          </cell>
          <cell r="S279">
            <v>0</v>
          </cell>
          <cell r="T279">
            <v>15</v>
          </cell>
        </row>
        <row r="280">
          <cell r="C280">
            <v>100011933</v>
          </cell>
          <cell r="D280" t="str">
            <v>PCS</v>
          </cell>
          <cell r="E280">
            <v>0</v>
          </cell>
          <cell r="F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</row>
        <row r="281">
          <cell r="C281">
            <v>100011935</v>
          </cell>
          <cell r="D281" t="str">
            <v>PCS</v>
          </cell>
          <cell r="E281">
            <v>263</v>
          </cell>
          <cell r="F281">
            <v>25</v>
          </cell>
          <cell r="G281">
            <v>51</v>
          </cell>
          <cell r="H281">
            <v>237</v>
          </cell>
          <cell r="I281">
            <v>237</v>
          </cell>
          <cell r="J281">
            <v>0</v>
          </cell>
          <cell r="K281">
            <v>0</v>
          </cell>
          <cell r="L281">
            <v>237</v>
          </cell>
          <cell r="M281">
            <v>237</v>
          </cell>
          <cell r="N281">
            <v>0</v>
          </cell>
          <cell r="O281">
            <v>0</v>
          </cell>
          <cell r="P281">
            <v>237</v>
          </cell>
          <cell r="Q281">
            <v>237</v>
          </cell>
          <cell r="R281">
            <v>0</v>
          </cell>
          <cell r="S281">
            <v>0</v>
          </cell>
          <cell r="T281">
            <v>237</v>
          </cell>
        </row>
        <row r="282">
          <cell r="C282">
            <v>100013594</v>
          </cell>
          <cell r="D282" t="str">
            <v>PCS</v>
          </cell>
          <cell r="E282">
            <v>286</v>
          </cell>
          <cell r="F282">
            <v>0</v>
          </cell>
          <cell r="G282">
            <v>25</v>
          </cell>
          <cell r="H282">
            <v>261</v>
          </cell>
          <cell r="I282">
            <v>261</v>
          </cell>
          <cell r="J282">
            <v>0</v>
          </cell>
          <cell r="K282">
            <v>0</v>
          </cell>
          <cell r="L282">
            <v>261</v>
          </cell>
          <cell r="M282">
            <v>261</v>
          </cell>
          <cell r="N282">
            <v>0</v>
          </cell>
          <cell r="O282">
            <v>0</v>
          </cell>
          <cell r="P282">
            <v>261</v>
          </cell>
          <cell r="Q282">
            <v>261</v>
          </cell>
          <cell r="R282">
            <v>0</v>
          </cell>
          <cell r="S282">
            <v>0</v>
          </cell>
          <cell r="T282">
            <v>261</v>
          </cell>
        </row>
        <row r="283">
          <cell r="C283">
            <v>100016320</v>
          </cell>
          <cell r="D283" t="str">
            <v>PCS</v>
          </cell>
          <cell r="E283">
            <v>308</v>
          </cell>
          <cell r="F283">
            <v>0</v>
          </cell>
          <cell r="H283">
            <v>308</v>
          </cell>
          <cell r="I283">
            <v>308</v>
          </cell>
          <cell r="J283">
            <v>0</v>
          </cell>
          <cell r="K283">
            <v>0</v>
          </cell>
          <cell r="L283">
            <v>308</v>
          </cell>
          <cell r="M283">
            <v>308</v>
          </cell>
          <cell r="N283">
            <v>0</v>
          </cell>
          <cell r="O283">
            <v>0</v>
          </cell>
          <cell r="P283">
            <v>308</v>
          </cell>
          <cell r="Q283">
            <v>308</v>
          </cell>
          <cell r="R283">
            <v>0</v>
          </cell>
          <cell r="S283">
            <v>0</v>
          </cell>
          <cell r="T283">
            <v>308</v>
          </cell>
        </row>
        <row r="284">
          <cell r="C284">
            <v>100016323</v>
          </cell>
          <cell r="D284" t="str">
            <v>PCS</v>
          </cell>
          <cell r="E284">
            <v>13084</v>
          </cell>
          <cell r="F284">
            <v>904</v>
          </cell>
          <cell r="G284">
            <v>13773</v>
          </cell>
          <cell r="H284">
            <v>215</v>
          </cell>
          <cell r="I284">
            <v>215</v>
          </cell>
          <cell r="J284">
            <v>0</v>
          </cell>
          <cell r="K284">
            <v>0</v>
          </cell>
          <cell r="L284">
            <v>215</v>
          </cell>
          <cell r="M284">
            <v>215</v>
          </cell>
          <cell r="N284">
            <v>0</v>
          </cell>
          <cell r="O284">
            <v>0</v>
          </cell>
          <cell r="P284">
            <v>215</v>
          </cell>
          <cell r="Q284">
            <v>215</v>
          </cell>
          <cell r="R284">
            <v>0</v>
          </cell>
          <cell r="S284">
            <v>0</v>
          </cell>
          <cell r="T284">
            <v>215</v>
          </cell>
        </row>
        <row r="285">
          <cell r="C285">
            <v>100016362</v>
          </cell>
          <cell r="D285" t="str">
            <v>PCS</v>
          </cell>
          <cell r="E285">
            <v>669</v>
          </cell>
          <cell r="F285">
            <v>0</v>
          </cell>
          <cell r="G285">
            <v>321</v>
          </cell>
          <cell r="H285">
            <v>348</v>
          </cell>
          <cell r="I285">
            <v>348</v>
          </cell>
          <cell r="J285">
            <v>0</v>
          </cell>
          <cell r="K285">
            <v>0</v>
          </cell>
          <cell r="L285">
            <v>348</v>
          </cell>
          <cell r="M285">
            <v>348</v>
          </cell>
          <cell r="N285">
            <v>0</v>
          </cell>
          <cell r="O285">
            <v>0</v>
          </cell>
          <cell r="P285">
            <v>348</v>
          </cell>
          <cell r="Q285">
            <v>348</v>
          </cell>
          <cell r="R285">
            <v>0</v>
          </cell>
          <cell r="S285">
            <v>0</v>
          </cell>
          <cell r="T285">
            <v>348</v>
          </cell>
        </row>
        <row r="286">
          <cell r="C286">
            <v>100017250</v>
          </cell>
          <cell r="D286" t="str">
            <v>PCS</v>
          </cell>
          <cell r="E286">
            <v>332</v>
          </cell>
          <cell r="F286">
            <v>1717</v>
          </cell>
          <cell r="G286">
            <v>1991</v>
          </cell>
          <cell r="H286">
            <v>58</v>
          </cell>
          <cell r="I286">
            <v>58</v>
          </cell>
          <cell r="J286">
            <v>0</v>
          </cell>
          <cell r="K286">
            <v>0</v>
          </cell>
          <cell r="L286">
            <v>58</v>
          </cell>
          <cell r="M286">
            <v>58</v>
          </cell>
          <cell r="N286">
            <v>0</v>
          </cell>
          <cell r="O286">
            <v>0</v>
          </cell>
          <cell r="P286">
            <v>58</v>
          </cell>
          <cell r="Q286">
            <v>58</v>
          </cell>
          <cell r="R286">
            <v>0</v>
          </cell>
          <cell r="S286">
            <v>0</v>
          </cell>
          <cell r="T286">
            <v>58</v>
          </cell>
        </row>
        <row r="287">
          <cell r="C287">
            <v>100017251</v>
          </cell>
          <cell r="D287" t="str">
            <v>PCS</v>
          </cell>
          <cell r="E287">
            <v>750</v>
          </cell>
          <cell r="F287">
            <v>60</v>
          </cell>
          <cell r="G287">
            <v>764</v>
          </cell>
          <cell r="H287">
            <v>46</v>
          </cell>
          <cell r="I287">
            <v>46</v>
          </cell>
          <cell r="J287">
            <v>0</v>
          </cell>
          <cell r="K287">
            <v>0</v>
          </cell>
          <cell r="L287">
            <v>46</v>
          </cell>
          <cell r="M287">
            <v>46</v>
          </cell>
          <cell r="N287">
            <v>0</v>
          </cell>
          <cell r="O287">
            <v>0</v>
          </cell>
          <cell r="P287">
            <v>46</v>
          </cell>
          <cell r="Q287">
            <v>46</v>
          </cell>
          <cell r="R287">
            <v>0</v>
          </cell>
          <cell r="S287">
            <v>0</v>
          </cell>
          <cell r="T287">
            <v>46</v>
          </cell>
        </row>
        <row r="288">
          <cell r="C288">
            <v>100017330</v>
          </cell>
          <cell r="D288" t="str">
            <v>PCS</v>
          </cell>
          <cell r="E288">
            <v>122</v>
          </cell>
          <cell r="F288">
            <v>5</v>
          </cell>
          <cell r="G288">
            <v>28</v>
          </cell>
          <cell r="H288">
            <v>99</v>
          </cell>
          <cell r="I288">
            <v>99</v>
          </cell>
          <cell r="J288">
            <v>0</v>
          </cell>
          <cell r="K288">
            <v>0</v>
          </cell>
          <cell r="L288">
            <v>99</v>
          </cell>
          <cell r="M288">
            <v>99</v>
          </cell>
          <cell r="N288">
            <v>0</v>
          </cell>
          <cell r="O288">
            <v>0</v>
          </cell>
          <cell r="P288">
            <v>99</v>
          </cell>
          <cell r="Q288">
            <v>99</v>
          </cell>
          <cell r="R288">
            <v>0</v>
          </cell>
          <cell r="S288">
            <v>0</v>
          </cell>
          <cell r="T288">
            <v>99</v>
          </cell>
        </row>
        <row r="289">
          <cell r="C289">
            <v>100017339</v>
          </cell>
          <cell r="D289" t="str">
            <v>PCS</v>
          </cell>
          <cell r="E289">
            <v>3298</v>
          </cell>
          <cell r="F289">
            <v>0</v>
          </cell>
          <cell r="G289">
            <v>3214</v>
          </cell>
          <cell r="H289">
            <v>84</v>
          </cell>
          <cell r="I289">
            <v>84</v>
          </cell>
          <cell r="J289">
            <v>0</v>
          </cell>
          <cell r="K289">
            <v>0</v>
          </cell>
          <cell r="L289">
            <v>84</v>
          </cell>
          <cell r="M289">
            <v>84</v>
          </cell>
          <cell r="N289">
            <v>0</v>
          </cell>
          <cell r="O289">
            <v>0</v>
          </cell>
          <cell r="P289">
            <v>84</v>
          </cell>
          <cell r="Q289">
            <v>84</v>
          </cell>
          <cell r="R289">
            <v>0</v>
          </cell>
          <cell r="S289">
            <v>0</v>
          </cell>
          <cell r="T289">
            <v>84</v>
          </cell>
        </row>
        <row r="290">
          <cell r="C290">
            <v>100018342</v>
          </cell>
          <cell r="D290" t="str">
            <v>PCS</v>
          </cell>
          <cell r="E290">
            <v>160</v>
          </cell>
          <cell r="F290">
            <v>0</v>
          </cell>
          <cell r="G290">
            <v>52</v>
          </cell>
          <cell r="H290">
            <v>108</v>
          </cell>
          <cell r="I290">
            <v>108</v>
          </cell>
          <cell r="J290">
            <v>0</v>
          </cell>
          <cell r="K290">
            <v>0</v>
          </cell>
          <cell r="L290">
            <v>108</v>
          </cell>
          <cell r="M290">
            <v>108</v>
          </cell>
          <cell r="N290">
            <v>0</v>
          </cell>
          <cell r="O290">
            <v>0</v>
          </cell>
          <cell r="P290">
            <v>108</v>
          </cell>
          <cell r="Q290">
            <v>108</v>
          </cell>
          <cell r="R290">
            <v>0</v>
          </cell>
          <cell r="S290">
            <v>0</v>
          </cell>
          <cell r="T290">
            <v>108</v>
          </cell>
        </row>
        <row r="291">
          <cell r="C291">
            <v>453088</v>
          </cell>
          <cell r="D291" t="str">
            <v>PCS</v>
          </cell>
          <cell r="E291">
            <v>745</v>
          </cell>
          <cell r="F291">
            <v>0</v>
          </cell>
          <cell r="H291">
            <v>745</v>
          </cell>
          <cell r="I291">
            <v>745</v>
          </cell>
          <cell r="J291">
            <v>0</v>
          </cell>
          <cell r="K291">
            <v>0</v>
          </cell>
          <cell r="L291">
            <v>745</v>
          </cell>
          <cell r="M291">
            <v>745</v>
          </cell>
          <cell r="N291">
            <v>0</v>
          </cell>
          <cell r="O291">
            <v>0</v>
          </cell>
          <cell r="P291">
            <v>745</v>
          </cell>
          <cell r="Q291">
            <v>745</v>
          </cell>
          <cell r="R291">
            <v>0</v>
          </cell>
          <cell r="S291">
            <v>0</v>
          </cell>
          <cell r="T291">
            <v>745</v>
          </cell>
        </row>
        <row r="292">
          <cell r="C292">
            <v>453616</v>
          </cell>
          <cell r="D292" t="str">
            <v>PCS</v>
          </cell>
          <cell r="E292">
            <v>3641</v>
          </cell>
          <cell r="F292">
            <v>5962</v>
          </cell>
          <cell r="G292">
            <v>9291</v>
          </cell>
          <cell r="H292">
            <v>312</v>
          </cell>
          <cell r="I292">
            <v>312</v>
          </cell>
          <cell r="J292">
            <v>0</v>
          </cell>
          <cell r="K292">
            <v>0</v>
          </cell>
          <cell r="L292">
            <v>312</v>
          </cell>
          <cell r="M292">
            <v>312</v>
          </cell>
          <cell r="N292">
            <v>0</v>
          </cell>
          <cell r="O292">
            <v>0</v>
          </cell>
          <cell r="P292">
            <v>312</v>
          </cell>
          <cell r="Q292">
            <v>312</v>
          </cell>
          <cell r="R292">
            <v>0</v>
          </cell>
          <cell r="S292">
            <v>0</v>
          </cell>
          <cell r="T292">
            <v>312</v>
          </cell>
        </row>
        <row r="293">
          <cell r="C293">
            <v>453707</v>
          </cell>
          <cell r="D293" t="str">
            <v>PCS</v>
          </cell>
          <cell r="E293">
            <v>343</v>
          </cell>
          <cell r="F293">
            <v>0</v>
          </cell>
          <cell r="H293">
            <v>343</v>
          </cell>
          <cell r="I293">
            <v>343</v>
          </cell>
          <cell r="J293">
            <v>0</v>
          </cell>
          <cell r="K293">
            <v>0</v>
          </cell>
          <cell r="L293">
            <v>343</v>
          </cell>
          <cell r="M293">
            <v>343</v>
          </cell>
          <cell r="N293">
            <v>0</v>
          </cell>
          <cell r="O293">
            <v>0</v>
          </cell>
          <cell r="P293">
            <v>343</v>
          </cell>
          <cell r="Q293">
            <v>343</v>
          </cell>
          <cell r="R293">
            <v>0</v>
          </cell>
          <cell r="S293">
            <v>0</v>
          </cell>
          <cell r="T293">
            <v>343</v>
          </cell>
        </row>
        <row r="294">
          <cell r="C294">
            <v>454208</v>
          </cell>
          <cell r="D294" t="str">
            <v>PCS</v>
          </cell>
          <cell r="E294">
            <v>25902</v>
          </cell>
          <cell r="F294">
            <v>26793</v>
          </cell>
          <cell r="G294">
            <v>49639</v>
          </cell>
          <cell r="H294">
            <v>3056</v>
          </cell>
          <cell r="I294">
            <v>3056</v>
          </cell>
          <cell r="J294">
            <v>0</v>
          </cell>
          <cell r="K294">
            <v>0</v>
          </cell>
          <cell r="L294">
            <v>3056</v>
          </cell>
          <cell r="M294">
            <v>3056</v>
          </cell>
          <cell r="N294">
            <v>0</v>
          </cell>
          <cell r="O294">
            <v>0</v>
          </cell>
          <cell r="P294">
            <v>3056</v>
          </cell>
          <cell r="Q294">
            <v>3056</v>
          </cell>
          <cell r="R294">
            <v>0</v>
          </cell>
          <cell r="S294">
            <v>0</v>
          </cell>
          <cell r="T294">
            <v>3056</v>
          </cell>
        </row>
        <row r="295">
          <cell r="C295">
            <v>455769</v>
          </cell>
          <cell r="D295" t="str">
            <v>PCS</v>
          </cell>
          <cell r="E295">
            <v>4741</v>
          </cell>
          <cell r="F295">
            <v>70</v>
          </cell>
          <cell r="G295">
            <v>4697</v>
          </cell>
          <cell r="H295">
            <v>114</v>
          </cell>
          <cell r="I295">
            <v>114</v>
          </cell>
          <cell r="J295">
            <v>0</v>
          </cell>
          <cell r="K295">
            <v>0</v>
          </cell>
          <cell r="L295">
            <v>114</v>
          </cell>
          <cell r="M295">
            <v>114</v>
          </cell>
          <cell r="N295">
            <v>0</v>
          </cell>
          <cell r="O295">
            <v>0</v>
          </cell>
          <cell r="P295">
            <v>114</v>
          </cell>
          <cell r="Q295">
            <v>114</v>
          </cell>
          <cell r="R295">
            <v>0</v>
          </cell>
          <cell r="S295">
            <v>0</v>
          </cell>
          <cell r="T295">
            <v>114</v>
          </cell>
        </row>
        <row r="296">
          <cell r="C296">
            <v>455770</v>
          </cell>
          <cell r="D296" t="str">
            <v>PCS</v>
          </cell>
          <cell r="E296">
            <v>3110</v>
          </cell>
          <cell r="F296">
            <v>1813</v>
          </cell>
          <cell r="G296">
            <v>4722</v>
          </cell>
          <cell r="H296">
            <v>201</v>
          </cell>
          <cell r="I296">
            <v>201</v>
          </cell>
          <cell r="J296">
            <v>0</v>
          </cell>
          <cell r="K296">
            <v>0</v>
          </cell>
          <cell r="L296">
            <v>201</v>
          </cell>
          <cell r="M296">
            <v>201</v>
          </cell>
          <cell r="N296">
            <v>0</v>
          </cell>
          <cell r="O296">
            <v>0</v>
          </cell>
          <cell r="P296">
            <v>201</v>
          </cell>
          <cell r="Q296">
            <v>201</v>
          </cell>
          <cell r="R296">
            <v>0</v>
          </cell>
          <cell r="S296">
            <v>0</v>
          </cell>
          <cell r="T296">
            <v>201</v>
          </cell>
        </row>
        <row r="297">
          <cell r="C297">
            <v>456858</v>
          </cell>
          <cell r="D297" t="str">
            <v>PCS</v>
          </cell>
          <cell r="E297">
            <v>450</v>
          </cell>
          <cell r="F297">
            <v>0</v>
          </cell>
          <cell r="H297">
            <v>450</v>
          </cell>
          <cell r="I297">
            <v>450</v>
          </cell>
          <cell r="J297">
            <v>0</v>
          </cell>
          <cell r="K297">
            <v>0</v>
          </cell>
          <cell r="L297">
            <v>450</v>
          </cell>
          <cell r="M297">
            <v>450</v>
          </cell>
          <cell r="N297">
            <v>0</v>
          </cell>
          <cell r="O297">
            <v>0</v>
          </cell>
          <cell r="P297">
            <v>450</v>
          </cell>
          <cell r="Q297">
            <v>450</v>
          </cell>
          <cell r="R297">
            <v>0</v>
          </cell>
          <cell r="S297">
            <v>0</v>
          </cell>
          <cell r="T297">
            <v>450</v>
          </cell>
        </row>
        <row r="298">
          <cell r="C298">
            <v>465443</v>
          </cell>
          <cell r="D298" t="str">
            <v>PCS</v>
          </cell>
          <cell r="E298">
            <v>42</v>
          </cell>
          <cell r="F298">
            <v>0</v>
          </cell>
          <cell r="H298">
            <v>42</v>
          </cell>
          <cell r="I298">
            <v>42</v>
          </cell>
          <cell r="J298">
            <v>0</v>
          </cell>
          <cell r="K298">
            <v>0</v>
          </cell>
          <cell r="L298">
            <v>42</v>
          </cell>
          <cell r="M298">
            <v>42</v>
          </cell>
          <cell r="N298">
            <v>0</v>
          </cell>
          <cell r="O298">
            <v>0</v>
          </cell>
          <cell r="P298">
            <v>42</v>
          </cell>
          <cell r="Q298">
            <v>42</v>
          </cell>
          <cell r="R298">
            <v>0</v>
          </cell>
          <cell r="S298">
            <v>0</v>
          </cell>
          <cell r="T298">
            <v>42</v>
          </cell>
        </row>
        <row r="299">
          <cell r="C299">
            <v>465452</v>
          </cell>
          <cell r="D299" t="str">
            <v>PCS</v>
          </cell>
          <cell r="E299">
            <v>62</v>
          </cell>
          <cell r="F299">
            <v>0</v>
          </cell>
          <cell r="H299">
            <v>62</v>
          </cell>
          <cell r="I299">
            <v>62</v>
          </cell>
          <cell r="J299">
            <v>0</v>
          </cell>
          <cell r="K299">
            <v>0</v>
          </cell>
          <cell r="L299">
            <v>62</v>
          </cell>
          <cell r="M299">
            <v>62</v>
          </cell>
          <cell r="N299">
            <v>0</v>
          </cell>
          <cell r="O299">
            <v>0</v>
          </cell>
          <cell r="P299">
            <v>62</v>
          </cell>
          <cell r="Q299">
            <v>62</v>
          </cell>
          <cell r="R299">
            <v>0</v>
          </cell>
          <cell r="S299">
            <v>0</v>
          </cell>
          <cell r="T299">
            <v>62</v>
          </cell>
        </row>
        <row r="300">
          <cell r="C300">
            <v>465456</v>
          </cell>
          <cell r="D300" t="str">
            <v>PCS</v>
          </cell>
          <cell r="E300">
            <v>24</v>
          </cell>
          <cell r="F300">
            <v>0</v>
          </cell>
          <cell r="G300">
            <v>4</v>
          </cell>
          <cell r="H300">
            <v>20</v>
          </cell>
          <cell r="I300">
            <v>20</v>
          </cell>
          <cell r="J300">
            <v>0</v>
          </cell>
          <cell r="K300">
            <v>0</v>
          </cell>
          <cell r="L300">
            <v>20</v>
          </cell>
          <cell r="M300">
            <v>20</v>
          </cell>
          <cell r="N300">
            <v>0</v>
          </cell>
          <cell r="O300">
            <v>0</v>
          </cell>
          <cell r="P300">
            <v>20</v>
          </cell>
          <cell r="Q300">
            <v>20</v>
          </cell>
          <cell r="R300">
            <v>0</v>
          </cell>
          <cell r="S300">
            <v>0</v>
          </cell>
          <cell r="T300">
            <v>20</v>
          </cell>
        </row>
        <row r="301">
          <cell r="C301">
            <v>100003058</v>
          </cell>
          <cell r="D301" t="str">
            <v>PCS</v>
          </cell>
          <cell r="E301">
            <v>35</v>
          </cell>
          <cell r="F301">
            <v>0</v>
          </cell>
          <cell r="G301">
            <v>7</v>
          </cell>
          <cell r="H301">
            <v>28</v>
          </cell>
          <cell r="I301">
            <v>28</v>
          </cell>
          <cell r="J301">
            <v>0</v>
          </cell>
          <cell r="K301">
            <v>0</v>
          </cell>
          <cell r="L301">
            <v>28</v>
          </cell>
          <cell r="M301">
            <v>28</v>
          </cell>
          <cell r="N301">
            <v>0</v>
          </cell>
          <cell r="O301">
            <v>0</v>
          </cell>
          <cell r="P301">
            <v>28</v>
          </cell>
          <cell r="Q301">
            <v>28</v>
          </cell>
          <cell r="R301">
            <v>0</v>
          </cell>
          <cell r="S301">
            <v>0</v>
          </cell>
          <cell r="T301">
            <v>28</v>
          </cell>
        </row>
        <row r="302">
          <cell r="C302" t="str">
            <v>KPT128571</v>
          </cell>
          <cell r="D302" t="str">
            <v>PCS</v>
          </cell>
          <cell r="E302">
            <v>596</v>
          </cell>
          <cell r="F302">
            <v>9846</v>
          </cell>
          <cell r="G302">
            <v>4094</v>
          </cell>
          <cell r="H302">
            <v>6348</v>
          </cell>
          <cell r="I302">
            <v>6348</v>
          </cell>
          <cell r="J302">
            <v>151</v>
          </cell>
          <cell r="K302">
            <v>5851</v>
          </cell>
          <cell r="L302">
            <v>648</v>
          </cell>
          <cell r="M302">
            <v>648</v>
          </cell>
          <cell r="N302">
            <v>6379</v>
          </cell>
          <cell r="O302">
            <v>4183</v>
          </cell>
          <cell r="P302">
            <v>2844</v>
          </cell>
          <cell r="Q302">
            <v>2844</v>
          </cell>
          <cell r="R302">
            <v>98</v>
          </cell>
          <cell r="S302">
            <v>2020</v>
          </cell>
          <cell r="T302">
            <v>922</v>
          </cell>
        </row>
        <row r="303">
          <cell r="C303" t="str">
            <v>KPT128581</v>
          </cell>
          <cell r="D303" t="str">
            <v>PCS</v>
          </cell>
          <cell r="E303">
            <v>518</v>
          </cell>
          <cell r="F303">
            <v>1211</v>
          </cell>
          <cell r="G303">
            <v>1627</v>
          </cell>
          <cell r="H303">
            <v>102</v>
          </cell>
          <cell r="I303">
            <v>102</v>
          </cell>
          <cell r="J303">
            <v>1466</v>
          </cell>
          <cell r="K303">
            <v>1422</v>
          </cell>
          <cell r="L303">
            <v>146</v>
          </cell>
          <cell r="M303">
            <v>146</v>
          </cell>
          <cell r="N303">
            <v>1560</v>
          </cell>
          <cell r="O303">
            <v>1411</v>
          </cell>
          <cell r="P303">
            <v>295</v>
          </cell>
          <cell r="Q303">
            <v>295</v>
          </cell>
          <cell r="R303">
            <v>453</v>
          </cell>
          <cell r="S303">
            <v>473</v>
          </cell>
          <cell r="T303">
            <v>275</v>
          </cell>
        </row>
        <row r="304">
          <cell r="C304" t="str">
            <v>KTP115221</v>
          </cell>
          <cell r="D304" t="str">
            <v>PCS</v>
          </cell>
          <cell r="E304">
            <v>2184</v>
          </cell>
          <cell r="F304">
            <v>0</v>
          </cell>
          <cell r="G304">
            <v>494</v>
          </cell>
          <cell r="H304">
            <v>1690</v>
          </cell>
          <cell r="I304">
            <v>1690</v>
          </cell>
          <cell r="J304">
            <v>0</v>
          </cell>
          <cell r="K304">
            <v>0</v>
          </cell>
          <cell r="L304">
            <v>1690</v>
          </cell>
          <cell r="M304">
            <v>1690</v>
          </cell>
          <cell r="N304">
            <v>0</v>
          </cell>
          <cell r="O304">
            <v>6</v>
          </cell>
          <cell r="P304">
            <v>1684</v>
          </cell>
          <cell r="Q304">
            <v>1684</v>
          </cell>
          <cell r="R304">
            <v>0</v>
          </cell>
          <cell r="S304">
            <v>0</v>
          </cell>
          <cell r="T304">
            <v>1684</v>
          </cell>
        </row>
        <row r="305">
          <cell r="C305">
            <v>181034126</v>
          </cell>
          <cell r="D305" t="str">
            <v>PCS</v>
          </cell>
          <cell r="E305">
            <v>53</v>
          </cell>
          <cell r="F305">
            <v>0</v>
          </cell>
          <cell r="H305">
            <v>53</v>
          </cell>
          <cell r="I305">
            <v>53</v>
          </cell>
          <cell r="J305">
            <v>0</v>
          </cell>
          <cell r="K305">
            <v>0</v>
          </cell>
          <cell r="L305">
            <v>53</v>
          </cell>
          <cell r="M305">
            <v>53</v>
          </cell>
          <cell r="N305">
            <v>0</v>
          </cell>
          <cell r="O305">
            <v>0</v>
          </cell>
          <cell r="P305">
            <v>53</v>
          </cell>
          <cell r="Q305">
            <v>53</v>
          </cell>
          <cell r="R305">
            <v>0</v>
          </cell>
          <cell r="S305">
            <v>0</v>
          </cell>
          <cell r="T305">
            <v>53</v>
          </cell>
        </row>
        <row r="306">
          <cell r="C306">
            <v>181034892</v>
          </cell>
          <cell r="D306" t="str">
            <v>PCS</v>
          </cell>
          <cell r="E306">
            <v>967</v>
          </cell>
          <cell r="F306">
            <v>74</v>
          </cell>
          <cell r="G306">
            <v>973</v>
          </cell>
          <cell r="H306">
            <v>68</v>
          </cell>
          <cell r="I306">
            <v>68</v>
          </cell>
          <cell r="J306">
            <v>0</v>
          </cell>
          <cell r="K306">
            <v>0</v>
          </cell>
          <cell r="L306">
            <v>68</v>
          </cell>
          <cell r="M306">
            <v>68</v>
          </cell>
          <cell r="N306">
            <v>0</v>
          </cell>
          <cell r="O306">
            <v>0</v>
          </cell>
          <cell r="P306">
            <v>68</v>
          </cell>
          <cell r="Q306">
            <v>68</v>
          </cell>
          <cell r="R306">
            <v>0</v>
          </cell>
          <cell r="S306">
            <v>0</v>
          </cell>
          <cell r="T306">
            <v>68</v>
          </cell>
        </row>
        <row r="307">
          <cell r="C307">
            <v>466852</v>
          </cell>
          <cell r="D307" t="str">
            <v>PCS</v>
          </cell>
          <cell r="E307">
            <v>3110</v>
          </cell>
          <cell r="F307">
            <v>5358</v>
          </cell>
          <cell r="H307">
            <v>8468</v>
          </cell>
          <cell r="I307">
            <v>8468</v>
          </cell>
          <cell r="J307">
            <v>776</v>
          </cell>
          <cell r="K307">
            <v>1458</v>
          </cell>
          <cell r="L307">
            <v>7786</v>
          </cell>
          <cell r="M307">
            <v>7786</v>
          </cell>
          <cell r="N307">
            <v>0</v>
          </cell>
          <cell r="O307">
            <v>7368</v>
          </cell>
          <cell r="P307">
            <v>418</v>
          </cell>
          <cell r="Q307">
            <v>418</v>
          </cell>
          <cell r="R307">
            <v>0</v>
          </cell>
          <cell r="S307">
            <v>0</v>
          </cell>
          <cell r="T307">
            <v>418</v>
          </cell>
        </row>
        <row r="308">
          <cell r="C308" t="str">
            <v>BP381295MI</v>
          </cell>
          <cell r="D308" t="str">
            <v>PCS</v>
          </cell>
          <cell r="E308">
            <v>72</v>
          </cell>
          <cell r="F308">
            <v>0</v>
          </cell>
          <cell r="H308">
            <v>72</v>
          </cell>
          <cell r="I308">
            <v>72</v>
          </cell>
          <cell r="J308">
            <v>0</v>
          </cell>
          <cell r="K308">
            <v>0</v>
          </cell>
          <cell r="L308">
            <v>72</v>
          </cell>
          <cell r="M308">
            <v>72</v>
          </cell>
          <cell r="N308">
            <v>0</v>
          </cell>
          <cell r="O308">
            <v>0</v>
          </cell>
          <cell r="P308">
            <v>72</v>
          </cell>
          <cell r="Q308">
            <v>72</v>
          </cell>
          <cell r="R308">
            <v>0</v>
          </cell>
          <cell r="S308">
            <v>0</v>
          </cell>
          <cell r="T308">
            <v>72</v>
          </cell>
        </row>
        <row r="309">
          <cell r="C309">
            <v>100008598</v>
          </cell>
          <cell r="D309" t="str">
            <v>PCS</v>
          </cell>
          <cell r="E309">
            <v>0</v>
          </cell>
          <cell r="F309">
            <v>4186</v>
          </cell>
          <cell r="G309">
            <v>2243</v>
          </cell>
          <cell r="H309">
            <v>1943</v>
          </cell>
          <cell r="I309">
            <v>1943</v>
          </cell>
          <cell r="J309">
            <v>162</v>
          </cell>
          <cell r="K309">
            <v>1826</v>
          </cell>
          <cell r="L309">
            <v>279</v>
          </cell>
          <cell r="M309">
            <v>279</v>
          </cell>
          <cell r="N309">
            <v>0</v>
          </cell>
          <cell r="O309">
            <v>0</v>
          </cell>
          <cell r="P309">
            <v>279</v>
          </cell>
          <cell r="Q309">
            <v>279</v>
          </cell>
          <cell r="R309">
            <v>0</v>
          </cell>
          <cell r="S309">
            <v>0</v>
          </cell>
          <cell r="T309">
            <v>279</v>
          </cell>
        </row>
        <row r="310">
          <cell r="C310">
            <v>100008604</v>
          </cell>
          <cell r="D310" t="str">
            <v>PCS</v>
          </cell>
          <cell r="E310">
            <v>0</v>
          </cell>
          <cell r="F310">
            <v>2925</v>
          </cell>
          <cell r="G310">
            <v>2771</v>
          </cell>
          <cell r="H310">
            <v>154</v>
          </cell>
          <cell r="I310">
            <v>154</v>
          </cell>
          <cell r="J310">
            <v>0</v>
          </cell>
          <cell r="K310">
            <v>0</v>
          </cell>
          <cell r="L310">
            <v>154</v>
          </cell>
          <cell r="M310">
            <v>154</v>
          </cell>
          <cell r="N310">
            <v>0</v>
          </cell>
          <cell r="O310">
            <v>0</v>
          </cell>
          <cell r="P310">
            <v>154</v>
          </cell>
          <cell r="Q310">
            <v>154</v>
          </cell>
          <cell r="R310">
            <v>0</v>
          </cell>
          <cell r="S310">
            <v>0</v>
          </cell>
          <cell r="T310">
            <v>154</v>
          </cell>
        </row>
        <row r="311">
          <cell r="C311">
            <v>100008605</v>
          </cell>
          <cell r="D311" t="str">
            <v>PCS</v>
          </cell>
          <cell r="E311">
            <v>0</v>
          </cell>
          <cell r="F311">
            <v>6002</v>
          </cell>
          <cell r="G311">
            <v>5810</v>
          </cell>
          <cell r="H311">
            <v>192</v>
          </cell>
          <cell r="I311">
            <v>192</v>
          </cell>
          <cell r="J311">
            <v>0</v>
          </cell>
          <cell r="K311">
            <v>0</v>
          </cell>
          <cell r="L311">
            <v>192</v>
          </cell>
          <cell r="M311">
            <v>192</v>
          </cell>
          <cell r="N311">
            <v>328</v>
          </cell>
          <cell r="O311">
            <v>298</v>
          </cell>
          <cell r="P311">
            <v>222</v>
          </cell>
          <cell r="Q311">
            <v>222</v>
          </cell>
          <cell r="R311">
            <v>0</v>
          </cell>
          <cell r="S311">
            <v>0</v>
          </cell>
          <cell r="T311">
            <v>222</v>
          </cell>
        </row>
        <row r="312">
          <cell r="C312">
            <v>100008607</v>
          </cell>
          <cell r="D312" t="str">
            <v>PCS</v>
          </cell>
          <cell r="E312">
            <v>0</v>
          </cell>
          <cell r="F312">
            <v>6449</v>
          </cell>
          <cell r="G312">
            <v>6303</v>
          </cell>
          <cell r="H312">
            <v>146</v>
          </cell>
          <cell r="I312">
            <v>146</v>
          </cell>
          <cell r="J312">
            <v>0</v>
          </cell>
          <cell r="K312">
            <v>0</v>
          </cell>
          <cell r="L312">
            <v>146</v>
          </cell>
          <cell r="M312">
            <v>146</v>
          </cell>
          <cell r="N312">
            <v>0</v>
          </cell>
          <cell r="O312">
            <v>0</v>
          </cell>
          <cell r="P312">
            <v>146</v>
          </cell>
          <cell r="Q312">
            <v>146</v>
          </cell>
          <cell r="R312">
            <v>0</v>
          </cell>
          <cell r="S312">
            <v>0</v>
          </cell>
          <cell r="T312">
            <v>146</v>
          </cell>
        </row>
        <row r="313">
          <cell r="C313">
            <v>100008660</v>
          </cell>
          <cell r="D313" t="str">
            <v>PCS</v>
          </cell>
          <cell r="E313">
            <v>0</v>
          </cell>
          <cell r="F313">
            <v>4774</v>
          </cell>
          <cell r="G313">
            <v>3622</v>
          </cell>
          <cell r="H313">
            <v>1152</v>
          </cell>
          <cell r="I313">
            <v>1152</v>
          </cell>
          <cell r="J313">
            <v>0</v>
          </cell>
          <cell r="K313">
            <v>832</v>
          </cell>
          <cell r="L313">
            <v>320</v>
          </cell>
          <cell r="M313">
            <v>320</v>
          </cell>
          <cell r="N313">
            <v>0</v>
          </cell>
          <cell r="O313">
            <v>0</v>
          </cell>
          <cell r="P313">
            <v>320</v>
          </cell>
          <cell r="Q313">
            <v>320</v>
          </cell>
          <cell r="R313">
            <v>0</v>
          </cell>
          <cell r="S313">
            <v>0</v>
          </cell>
          <cell r="T313">
            <v>320</v>
          </cell>
        </row>
        <row r="314">
          <cell r="C314">
            <v>100008746</v>
          </cell>
          <cell r="D314" t="str">
            <v>PCS</v>
          </cell>
          <cell r="E314">
            <v>0</v>
          </cell>
          <cell r="F314">
            <v>773</v>
          </cell>
          <cell r="G314">
            <v>748</v>
          </cell>
          <cell r="H314">
            <v>25</v>
          </cell>
          <cell r="I314">
            <v>25</v>
          </cell>
          <cell r="J314">
            <v>0</v>
          </cell>
          <cell r="K314">
            <v>0</v>
          </cell>
          <cell r="L314">
            <v>25</v>
          </cell>
          <cell r="M314">
            <v>25</v>
          </cell>
          <cell r="N314">
            <v>0</v>
          </cell>
          <cell r="O314">
            <v>0</v>
          </cell>
          <cell r="P314">
            <v>25</v>
          </cell>
          <cell r="Q314">
            <v>25</v>
          </cell>
          <cell r="R314">
            <v>0</v>
          </cell>
          <cell r="S314">
            <v>0</v>
          </cell>
          <cell r="T314">
            <v>25</v>
          </cell>
        </row>
        <row r="315">
          <cell r="C315">
            <v>100009162</v>
          </cell>
          <cell r="D315" t="str">
            <v>PCS</v>
          </cell>
          <cell r="E315">
            <v>0</v>
          </cell>
          <cell r="F315">
            <v>13651</v>
          </cell>
          <cell r="G315">
            <v>13565</v>
          </cell>
          <cell r="H315">
            <v>86</v>
          </cell>
          <cell r="I315">
            <v>86</v>
          </cell>
          <cell r="J315">
            <v>0</v>
          </cell>
          <cell r="K315">
            <v>0</v>
          </cell>
          <cell r="L315">
            <v>86</v>
          </cell>
          <cell r="M315">
            <v>86</v>
          </cell>
          <cell r="N315">
            <v>0</v>
          </cell>
          <cell r="O315">
            <v>0</v>
          </cell>
          <cell r="P315">
            <v>86</v>
          </cell>
          <cell r="Q315">
            <v>86</v>
          </cell>
          <cell r="R315">
            <v>0</v>
          </cell>
          <cell r="S315">
            <v>0</v>
          </cell>
          <cell r="T315">
            <v>86</v>
          </cell>
        </row>
        <row r="316">
          <cell r="C316">
            <v>100009622</v>
          </cell>
          <cell r="D316" t="str">
            <v>PCS</v>
          </cell>
          <cell r="E316">
            <v>0</v>
          </cell>
          <cell r="F316">
            <v>1565</v>
          </cell>
          <cell r="G316">
            <v>127</v>
          </cell>
          <cell r="H316">
            <v>1438</v>
          </cell>
          <cell r="I316">
            <v>1438</v>
          </cell>
          <cell r="J316">
            <v>719</v>
          </cell>
          <cell r="K316">
            <v>1114</v>
          </cell>
          <cell r="L316">
            <v>1043</v>
          </cell>
          <cell r="M316">
            <v>1043</v>
          </cell>
          <cell r="N316">
            <v>0</v>
          </cell>
          <cell r="O316">
            <v>309</v>
          </cell>
          <cell r="P316">
            <v>734</v>
          </cell>
          <cell r="Q316">
            <v>734</v>
          </cell>
          <cell r="R316">
            <v>0</v>
          </cell>
          <cell r="S316">
            <v>0</v>
          </cell>
          <cell r="T316">
            <v>734</v>
          </cell>
        </row>
        <row r="317">
          <cell r="C317">
            <v>100015352</v>
          </cell>
          <cell r="D317" t="str">
            <v>PCS</v>
          </cell>
          <cell r="E317">
            <v>0</v>
          </cell>
          <cell r="F317">
            <v>1480</v>
          </cell>
          <cell r="H317">
            <v>1480</v>
          </cell>
          <cell r="I317">
            <v>1480</v>
          </cell>
          <cell r="J317">
            <v>1579</v>
          </cell>
          <cell r="K317">
            <v>2426</v>
          </cell>
          <cell r="L317">
            <v>633</v>
          </cell>
          <cell r="M317">
            <v>633</v>
          </cell>
          <cell r="N317">
            <v>5595</v>
          </cell>
          <cell r="O317">
            <v>1647</v>
          </cell>
          <cell r="P317">
            <v>4581</v>
          </cell>
          <cell r="Q317">
            <v>4581</v>
          </cell>
          <cell r="R317">
            <v>604</v>
          </cell>
          <cell r="S317">
            <v>4924</v>
          </cell>
          <cell r="T317">
            <v>261</v>
          </cell>
        </row>
        <row r="318">
          <cell r="C318">
            <v>100015355</v>
          </cell>
          <cell r="D318" t="str">
            <v>PCS</v>
          </cell>
          <cell r="E318">
            <v>0</v>
          </cell>
          <cell r="F318">
            <v>2805</v>
          </cell>
          <cell r="H318">
            <v>2805</v>
          </cell>
          <cell r="I318">
            <v>2805</v>
          </cell>
          <cell r="J318">
            <v>514</v>
          </cell>
          <cell r="K318">
            <v>3106</v>
          </cell>
          <cell r="L318">
            <v>213</v>
          </cell>
          <cell r="M318">
            <v>213</v>
          </cell>
          <cell r="N318">
            <v>1493</v>
          </cell>
          <cell r="O318">
            <v>1066</v>
          </cell>
          <cell r="P318">
            <v>640</v>
          </cell>
          <cell r="Q318">
            <v>640</v>
          </cell>
          <cell r="R318">
            <v>0</v>
          </cell>
          <cell r="S318">
            <v>296</v>
          </cell>
          <cell r="T318">
            <v>344</v>
          </cell>
        </row>
        <row r="319">
          <cell r="C319">
            <v>100015669</v>
          </cell>
          <cell r="D319" t="str">
            <v>PCS</v>
          </cell>
          <cell r="E319">
            <v>0</v>
          </cell>
          <cell r="F319">
            <v>1170</v>
          </cell>
          <cell r="H319">
            <v>1170</v>
          </cell>
          <cell r="I319">
            <v>1170</v>
          </cell>
          <cell r="J319">
            <v>0</v>
          </cell>
          <cell r="K319">
            <v>1124</v>
          </cell>
          <cell r="L319">
            <v>46</v>
          </cell>
          <cell r="M319">
            <v>46</v>
          </cell>
          <cell r="N319">
            <v>0</v>
          </cell>
          <cell r="O319">
            <v>1</v>
          </cell>
          <cell r="P319">
            <v>45</v>
          </cell>
          <cell r="Q319">
            <v>45</v>
          </cell>
          <cell r="R319">
            <v>0</v>
          </cell>
          <cell r="S319">
            <v>0</v>
          </cell>
          <cell r="T319">
            <v>45</v>
          </cell>
        </row>
        <row r="320">
          <cell r="C320">
            <v>100018310</v>
          </cell>
          <cell r="D320" t="str">
            <v>PCS</v>
          </cell>
          <cell r="E320">
            <v>0</v>
          </cell>
          <cell r="F320">
            <v>1166</v>
          </cell>
          <cell r="H320">
            <v>1166</v>
          </cell>
          <cell r="I320">
            <v>1166</v>
          </cell>
          <cell r="J320">
            <v>382</v>
          </cell>
          <cell r="K320">
            <v>1494</v>
          </cell>
          <cell r="L320">
            <v>54</v>
          </cell>
          <cell r="M320">
            <v>54</v>
          </cell>
          <cell r="N320">
            <v>6072</v>
          </cell>
          <cell r="O320">
            <v>2766</v>
          </cell>
          <cell r="P320">
            <v>3360</v>
          </cell>
          <cell r="Q320">
            <v>3360</v>
          </cell>
          <cell r="R320">
            <v>90</v>
          </cell>
          <cell r="S320">
            <v>3255</v>
          </cell>
          <cell r="T320">
            <v>195</v>
          </cell>
        </row>
        <row r="321">
          <cell r="C321">
            <v>100021064</v>
          </cell>
          <cell r="D321" t="str">
            <v>PCS</v>
          </cell>
          <cell r="E321">
            <v>0</v>
          </cell>
          <cell r="F321">
            <v>2148</v>
          </cell>
          <cell r="G321">
            <v>83</v>
          </cell>
          <cell r="H321">
            <v>2065</v>
          </cell>
          <cell r="I321">
            <v>2065</v>
          </cell>
          <cell r="J321">
            <v>0</v>
          </cell>
          <cell r="K321">
            <v>1813</v>
          </cell>
          <cell r="L321">
            <v>252</v>
          </cell>
          <cell r="M321">
            <v>252</v>
          </cell>
          <cell r="N321">
            <v>1575</v>
          </cell>
          <cell r="O321">
            <v>1663</v>
          </cell>
          <cell r="P321">
            <v>164</v>
          </cell>
          <cell r="Q321">
            <v>164</v>
          </cell>
          <cell r="R321">
            <v>0</v>
          </cell>
          <cell r="S321">
            <v>4</v>
          </cell>
          <cell r="T321">
            <v>160</v>
          </cell>
        </row>
        <row r="322">
          <cell r="C322">
            <v>73301</v>
          </cell>
          <cell r="D322" t="str">
            <v>PCS</v>
          </cell>
          <cell r="E322">
            <v>0</v>
          </cell>
          <cell r="F322">
            <v>3919</v>
          </cell>
          <cell r="G322">
            <v>195</v>
          </cell>
          <cell r="H322">
            <v>3724</v>
          </cell>
          <cell r="I322">
            <v>3724</v>
          </cell>
          <cell r="J322">
            <v>9539</v>
          </cell>
          <cell r="K322">
            <v>11953</v>
          </cell>
          <cell r="L322">
            <v>1310</v>
          </cell>
          <cell r="M322">
            <v>1310</v>
          </cell>
          <cell r="N322">
            <v>0</v>
          </cell>
          <cell r="O322">
            <v>918</v>
          </cell>
          <cell r="P322">
            <v>392</v>
          </cell>
          <cell r="Q322">
            <v>392</v>
          </cell>
          <cell r="R322">
            <v>4085</v>
          </cell>
          <cell r="S322">
            <v>4006</v>
          </cell>
          <cell r="T322">
            <v>471</v>
          </cell>
        </row>
        <row r="323">
          <cell r="C323">
            <v>74902</v>
          </cell>
          <cell r="D323" t="str">
            <v>PCS</v>
          </cell>
          <cell r="E323">
            <v>0</v>
          </cell>
          <cell r="F323">
            <v>5986</v>
          </cell>
          <cell r="G323">
            <v>5504</v>
          </cell>
          <cell r="H323">
            <v>482</v>
          </cell>
          <cell r="I323">
            <v>482</v>
          </cell>
          <cell r="J323">
            <v>251</v>
          </cell>
          <cell r="K323">
            <v>58</v>
          </cell>
          <cell r="L323">
            <v>675</v>
          </cell>
          <cell r="M323">
            <v>675</v>
          </cell>
          <cell r="N323">
            <v>4084</v>
          </cell>
          <cell r="O323">
            <v>992</v>
          </cell>
          <cell r="P323">
            <v>3767</v>
          </cell>
          <cell r="Q323">
            <v>3767</v>
          </cell>
          <cell r="R323">
            <v>710</v>
          </cell>
          <cell r="S323">
            <v>2931</v>
          </cell>
          <cell r="T323">
            <v>1546</v>
          </cell>
        </row>
        <row r="324">
          <cell r="C324">
            <v>75303</v>
          </cell>
          <cell r="D324" t="str">
            <v>PCS</v>
          </cell>
          <cell r="E324">
            <v>0</v>
          </cell>
          <cell r="F324">
            <v>821</v>
          </cell>
          <cell r="G324">
            <v>251</v>
          </cell>
          <cell r="H324">
            <v>570</v>
          </cell>
          <cell r="I324">
            <v>570</v>
          </cell>
          <cell r="J324">
            <v>15</v>
          </cell>
          <cell r="K324">
            <v>548</v>
          </cell>
          <cell r="L324">
            <v>37</v>
          </cell>
          <cell r="M324">
            <v>37</v>
          </cell>
          <cell r="N324">
            <v>8189</v>
          </cell>
          <cell r="O324">
            <v>7765</v>
          </cell>
          <cell r="P324">
            <v>461</v>
          </cell>
          <cell r="Q324">
            <v>461</v>
          </cell>
          <cell r="R324">
            <v>0</v>
          </cell>
          <cell r="S324">
            <v>2</v>
          </cell>
          <cell r="T324">
            <v>459</v>
          </cell>
        </row>
        <row r="325">
          <cell r="C325">
            <v>7999</v>
          </cell>
          <cell r="D325" t="str">
            <v>PCS</v>
          </cell>
          <cell r="E325">
            <v>0</v>
          </cell>
          <cell r="F325">
            <v>1993</v>
          </cell>
          <cell r="G325">
            <v>1851</v>
          </cell>
          <cell r="H325">
            <v>142</v>
          </cell>
          <cell r="I325">
            <v>142</v>
          </cell>
          <cell r="J325">
            <v>0</v>
          </cell>
          <cell r="K325">
            <v>0</v>
          </cell>
          <cell r="L325">
            <v>142</v>
          </cell>
          <cell r="M325">
            <v>142</v>
          </cell>
          <cell r="N325">
            <v>0</v>
          </cell>
          <cell r="O325">
            <v>0</v>
          </cell>
          <cell r="P325">
            <v>142</v>
          </cell>
          <cell r="Q325">
            <v>142</v>
          </cell>
          <cell r="R325">
            <v>0</v>
          </cell>
          <cell r="S325">
            <v>0</v>
          </cell>
          <cell r="T325">
            <v>142</v>
          </cell>
        </row>
        <row r="326">
          <cell r="C326">
            <v>460895</v>
          </cell>
          <cell r="D326" t="str">
            <v>PCS</v>
          </cell>
          <cell r="E326">
            <v>0</v>
          </cell>
          <cell r="F326">
            <v>1567</v>
          </cell>
          <cell r="G326">
            <v>1547</v>
          </cell>
          <cell r="H326">
            <v>20</v>
          </cell>
          <cell r="I326">
            <v>20</v>
          </cell>
          <cell r="J326">
            <v>0</v>
          </cell>
          <cell r="K326">
            <v>0</v>
          </cell>
          <cell r="L326">
            <v>20</v>
          </cell>
          <cell r="M326">
            <v>20</v>
          </cell>
          <cell r="N326">
            <v>0</v>
          </cell>
          <cell r="O326">
            <v>0</v>
          </cell>
          <cell r="P326">
            <v>20</v>
          </cell>
          <cell r="Q326">
            <v>20</v>
          </cell>
          <cell r="R326">
            <v>0</v>
          </cell>
          <cell r="S326">
            <v>0</v>
          </cell>
          <cell r="T326">
            <v>20</v>
          </cell>
        </row>
        <row r="327">
          <cell r="C327">
            <v>452546</v>
          </cell>
          <cell r="D327" t="str">
            <v>PCS</v>
          </cell>
          <cell r="E327">
            <v>0</v>
          </cell>
          <cell r="F327">
            <v>12683</v>
          </cell>
          <cell r="G327">
            <v>12114</v>
          </cell>
          <cell r="H327">
            <v>569</v>
          </cell>
          <cell r="I327">
            <v>569</v>
          </cell>
          <cell r="J327">
            <v>0</v>
          </cell>
          <cell r="K327">
            <v>0</v>
          </cell>
          <cell r="L327">
            <v>569</v>
          </cell>
          <cell r="M327">
            <v>569</v>
          </cell>
          <cell r="N327">
            <v>0</v>
          </cell>
          <cell r="O327">
            <v>0</v>
          </cell>
          <cell r="P327">
            <v>569</v>
          </cell>
          <cell r="Q327">
            <v>569</v>
          </cell>
          <cell r="R327">
            <v>0</v>
          </cell>
          <cell r="S327">
            <v>0</v>
          </cell>
          <cell r="T327">
            <v>569</v>
          </cell>
        </row>
        <row r="328">
          <cell r="C328">
            <v>457802</v>
          </cell>
          <cell r="D328" t="str">
            <v>PCS</v>
          </cell>
          <cell r="E328">
            <v>0</v>
          </cell>
          <cell r="F328">
            <v>32384</v>
          </cell>
          <cell r="G328">
            <v>30677</v>
          </cell>
          <cell r="H328">
            <v>1707</v>
          </cell>
          <cell r="I328">
            <v>1707</v>
          </cell>
          <cell r="J328">
            <v>0</v>
          </cell>
          <cell r="K328">
            <v>9</v>
          </cell>
          <cell r="L328">
            <v>1698</v>
          </cell>
          <cell r="M328">
            <v>1698</v>
          </cell>
          <cell r="N328">
            <v>0</v>
          </cell>
          <cell r="O328">
            <v>0</v>
          </cell>
          <cell r="P328">
            <v>1698</v>
          </cell>
          <cell r="Q328">
            <v>1698</v>
          </cell>
          <cell r="R328">
            <v>0</v>
          </cell>
          <cell r="S328">
            <v>0</v>
          </cell>
          <cell r="T328">
            <v>1698</v>
          </cell>
        </row>
        <row r="329">
          <cell r="C329">
            <v>457814</v>
          </cell>
          <cell r="D329" t="str">
            <v>PCS</v>
          </cell>
          <cell r="E329">
            <v>0</v>
          </cell>
          <cell r="F329">
            <v>8302</v>
          </cell>
          <cell r="G329">
            <v>7947</v>
          </cell>
          <cell r="H329">
            <v>355</v>
          </cell>
          <cell r="I329">
            <v>355</v>
          </cell>
          <cell r="J329">
            <v>0</v>
          </cell>
          <cell r="K329">
            <v>0</v>
          </cell>
          <cell r="L329">
            <v>355</v>
          </cell>
          <cell r="M329">
            <v>355</v>
          </cell>
          <cell r="N329">
            <v>0</v>
          </cell>
          <cell r="O329">
            <v>0</v>
          </cell>
          <cell r="P329">
            <v>355</v>
          </cell>
          <cell r="Q329">
            <v>355</v>
          </cell>
          <cell r="R329">
            <v>0</v>
          </cell>
          <cell r="S329">
            <v>0</v>
          </cell>
          <cell r="T329">
            <v>355</v>
          </cell>
        </row>
        <row r="330">
          <cell r="C330">
            <v>457815</v>
          </cell>
          <cell r="D330" t="str">
            <v>PCS</v>
          </cell>
          <cell r="E330">
            <v>0</v>
          </cell>
          <cell r="F330">
            <v>3519</v>
          </cell>
          <cell r="G330">
            <v>898</v>
          </cell>
          <cell r="H330">
            <v>2621</v>
          </cell>
          <cell r="I330">
            <v>2621</v>
          </cell>
          <cell r="J330">
            <v>0</v>
          </cell>
          <cell r="K330">
            <v>2412</v>
          </cell>
          <cell r="L330">
            <v>209</v>
          </cell>
          <cell r="M330">
            <v>209</v>
          </cell>
          <cell r="N330">
            <v>0</v>
          </cell>
          <cell r="O330">
            <v>0</v>
          </cell>
          <cell r="P330">
            <v>209</v>
          </cell>
          <cell r="Q330">
            <v>209</v>
          </cell>
          <cell r="R330">
            <v>0</v>
          </cell>
          <cell r="S330">
            <v>0</v>
          </cell>
          <cell r="T330">
            <v>209</v>
          </cell>
        </row>
        <row r="331">
          <cell r="C331">
            <v>459065</v>
          </cell>
          <cell r="D331" t="str">
            <v>PCS</v>
          </cell>
          <cell r="E331">
            <v>0</v>
          </cell>
          <cell r="F331">
            <v>3927</v>
          </cell>
          <cell r="G331">
            <v>3774</v>
          </cell>
          <cell r="H331">
            <v>153</v>
          </cell>
          <cell r="I331">
            <v>153</v>
          </cell>
          <cell r="J331">
            <v>0</v>
          </cell>
          <cell r="K331">
            <v>0</v>
          </cell>
          <cell r="L331">
            <v>153</v>
          </cell>
          <cell r="M331">
            <v>153</v>
          </cell>
          <cell r="N331">
            <v>0</v>
          </cell>
          <cell r="O331">
            <v>0</v>
          </cell>
          <cell r="P331">
            <v>153</v>
          </cell>
          <cell r="Q331">
            <v>153</v>
          </cell>
          <cell r="R331">
            <v>0</v>
          </cell>
          <cell r="S331">
            <v>0</v>
          </cell>
          <cell r="T331">
            <v>153</v>
          </cell>
        </row>
        <row r="332">
          <cell r="C332">
            <v>460586</v>
          </cell>
          <cell r="D332" t="str">
            <v>PCS</v>
          </cell>
          <cell r="E332">
            <v>0</v>
          </cell>
          <cell r="F332">
            <v>11258</v>
          </cell>
          <cell r="G332">
            <v>10684</v>
          </cell>
          <cell r="H332">
            <v>574</v>
          </cell>
          <cell r="I332">
            <v>574</v>
          </cell>
          <cell r="J332">
            <v>0</v>
          </cell>
          <cell r="K332">
            <v>58</v>
          </cell>
          <cell r="L332">
            <v>516</v>
          </cell>
          <cell r="M332">
            <v>516</v>
          </cell>
          <cell r="N332">
            <v>0</v>
          </cell>
          <cell r="O332">
            <v>0</v>
          </cell>
          <cell r="P332">
            <v>516</v>
          </cell>
          <cell r="Q332">
            <v>516</v>
          </cell>
          <cell r="R332">
            <v>0</v>
          </cell>
          <cell r="S332">
            <v>0</v>
          </cell>
          <cell r="T332">
            <v>516</v>
          </cell>
        </row>
        <row r="333">
          <cell r="C333">
            <v>460588</v>
          </cell>
          <cell r="D333" t="str">
            <v>PCS</v>
          </cell>
          <cell r="E333">
            <v>0</v>
          </cell>
          <cell r="F333">
            <v>6820</v>
          </cell>
          <cell r="G333">
            <v>6413</v>
          </cell>
          <cell r="H333">
            <v>407</v>
          </cell>
          <cell r="I333">
            <v>407</v>
          </cell>
          <cell r="J333">
            <v>0</v>
          </cell>
          <cell r="K333">
            <v>0</v>
          </cell>
          <cell r="L333">
            <v>407</v>
          </cell>
          <cell r="M333">
            <v>407</v>
          </cell>
          <cell r="N333">
            <v>0</v>
          </cell>
          <cell r="O333">
            <v>0</v>
          </cell>
          <cell r="P333">
            <v>407</v>
          </cell>
          <cell r="Q333">
            <v>407</v>
          </cell>
          <cell r="R333">
            <v>0</v>
          </cell>
          <cell r="S333">
            <v>0</v>
          </cell>
          <cell r="T333">
            <v>407</v>
          </cell>
        </row>
        <row r="334">
          <cell r="C334">
            <v>460591</v>
          </cell>
          <cell r="D334" t="str">
            <v>PCS</v>
          </cell>
          <cell r="E334">
            <v>0</v>
          </cell>
          <cell r="F334">
            <v>7440</v>
          </cell>
          <cell r="G334">
            <v>7136</v>
          </cell>
          <cell r="H334">
            <v>304</v>
          </cell>
          <cell r="I334">
            <v>304</v>
          </cell>
          <cell r="J334">
            <v>0</v>
          </cell>
          <cell r="K334">
            <v>0</v>
          </cell>
          <cell r="L334">
            <v>304</v>
          </cell>
          <cell r="M334">
            <v>304</v>
          </cell>
          <cell r="N334">
            <v>0</v>
          </cell>
          <cell r="O334">
            <v>0</v>
          </cell>
          <cell r="P334">
            <v>304</v>
          </cell>
          <cell r="Q334">
            <v>304</v>
          </cell>
          <cell r="R334">
            <v>0</v>
          </cell>
          <cell r="S334">
            <v>0</v>
          </cell>
          <cell r="T334">
            <v>304</v>
          </cell>
        </row>
        <row r="335">
          <cell r="C335">
            <v>460727</v>
          </cell>
          <cell r="D335" t="str">
            <v>PCS</v>
          </cell>
          <cell r="E335">
            <v>0</v>
          </cell>
          <cell r="F335">
            <v>968</v>
          </cell>
          <cell r="G335">
            <v>870</v>
          </cell>
          <cell r="H335">
            <v>98</v>
          </cell>
          <cell r="I335">
            <v>98</v>
          </cell>
          <cell r="J335">
            <v>0</v>
          </cell>
          <cell r="K335">
            <v>0</v>
          </cell>
          <cell r="L335">
            <v>98</v>
          </cell>
          <cell r="M335">
            <v>98</v>
          </cell>
          <cell r="N335">
            <v>0</v>
          </cell>
          <cell r="O335">
            <v>0</v>
          </cell>
          <cell r="P335">
            <v>98</v>
          </cell>
          <cell r="Q335">
            <v>98</v>
          </cell>
          <cell r="R335">
            <v>0</v>
          </cell>
          <cell r="S335">
            <v>0</v>
          </cell>
          <cell r="T335">
            <v>98</v>
          </cell>
        </row>
        <row r="336">
          <cell r="C336">
            <v>461609</v>
          </cell>
          <cell r="D336" t="str">
            <v>PCS</v>
          </cell>
          <cell r="E336">
            <v>0</v>
          </cell>
          <cell r="F336">
            <v>18336</v>
          </cell>
          <cell r="G336">
            <v>17789</v>
          </cell>
          <cell r="H336">
            <v>547</v>
          </cell>
          <cell r="I336">
            <v>547</v>
          </cell>
          <cell r="J336">
            <v>0</v>
          </cell>
          <cell r="K336">
            <v>57</v>
          </cell>
          <cell r="L336">
            <v>490</v>
          </cell>
          <cell r="M336">
            <v>490</v>
          </cell>
          <cell r="N336">
            <v>0</v>
          </cell>
          <cell r="O336">
            <v>0</v>
          </cell>
          <cell r="P336">
            <v>490</v>
          </cell>
          <cell r="Q336">
            <v>490</v>
          </cell>
          <cell r="R336">
            <v>0</v>
          </cell>
          <cell r="S336">
            <v>0</v>
          </cell>
          <cell r="T336">
            <v>490</v>
          </cell>
        </row>
        <row r="337">
          <cell r="C337">
            <v>464818</v>
          </cell>
          <cell r="D337" t="str">
            <v>PCS</v>
          </cell>
          <cell r="E337">
            <v>0</v>
          </cell>
          <cell r="F337">
            <v>12558</v>
          </cell>
          <cell r="G337">
            <v>69</v>
          </cell>
          <cell r="H337">
            <v>12489</v>
          </cell>
          <cell r="I337">
            <v>12489</v>
          </cell>
          <cell r="J337">
            <v>3934</v>
          </cell>
          <cell r="K337">
            <v>15048</v>
          </cell>
          <cell r="L337">
            <v>1375</v>
          </cell>
          <cell r="M337">
            <v>1375</v>
          </cell>
          <cell r="N337">
            <v>0</v>
          </cell>
          <cell r="O337">
            <v>0</v>
          </cell>
          <cell r="P337">
            <v>1375</v>
          </cell>
          <cell r="Q337">
            <v>1375</v>
          </cell>
          <cell r="R337">
            <v>0</v>
          </cell>
          <cell r="S337">
            <v>0</v>
          </cell>
          <cell r="T337">
            <v>1375</v>
          </cell>
        </row>
        <row r="338">
          <cell r="C338">
            <v>465184</v>
          </cell>
          <cell r="D338" t="str">
            <v>PCS</v>
          </cell>
          <cell r="E338">
            <v>0</v>
          </cell>
          <cell r="F338">
            <v>2545</v>
          </cell>
          <cell r="H338">
            <v>2545</v>
          </cell>
          <cell r="I338">
            <v>2545</v>
          </cell>
          <cell r="J338">
            <v>7706</v>
          </cell>
          <cell r="K338">
            <v>10158</v>
          </cell>
          <cell r="L338">
            <v>93</v>
          </cell>
          <cell r="M338">
            <v>93</v>
          </cell>
          <cell r="N338">
            <v>0</v>
          </cell>
          <cell r="O338">
            <v>17</v>
          </cell>
          <cell r="P338">
            <v>76</v>
          </cell>
          <cell r="Q338">
            <v>76</v>
          </cell>
          <cell r="R338">
            <v>0</v>
          </cell>
          <cell r="S338">
            <v>0</v>
          </cell>
          <cell r="T338">
            <v>76</v>
          </cell>
        </row>
        <row r="339">
          <cell r="C339">
            <v>465409</v>
          </cell>
          <cell r="D339" t="str">
            <v>PCS</v>
          </cell>
          <cell r="E339">
            <v>0</v>
          </cell>
          <cell r="F339">
            <v>14872</v>
          </cell>
          <cell r="G339">
            <v>13737</v>
          </cell>
          <cell r="H339">
            <v>1135</v>
          </cell>
          <cell r="I339">
            <v>1135</v>
          </cell>
          <cell r="J339">
            <v>0</v>
          </cell>
          <cell r="K339">
            <v>94</v>
          </cell>
          <cell r="L339">
            <v>1041</v>
          </cell>
          <cell r="M339">
            <v>1041</v>
          </cell>
          <cell r="N339">
            <v>0</v>
          </cell>
          <cell r="O339">
            <v>0</v>
          </cell>
          <cell r="P339">
            <v>1041</v>
          </cell>
          <cell r="Q339">
            <v>1041</v>
          </cell>
          <cell r="R339">
            <v>0</v>
          </cell>
          <cell r="S339">
            <v>0</v>
          </cell>
          <cell r="T339">
            <v>1041</v>
          </cell>
        </row>
        <row r="340">
          <cell r="C340">
            <v>100010055</v>
          </cell>
          <cell r="D340" t="str">
            <v>PCS</v>
          </cell>
          <cell r="E340">
            <v>0</v>
          </cell>
          <cell r="F340">
            <v>832</v>
          </cell>
          <cell r="H340">
            <v>832</v>
          </cell>
          <cell r="I340">
            <v>832</v>
          </cell>
          <cell r="J340">
            <v>1897</v>
          </cell>
          <cell r="K340">
            <v>2510</v>
          </cell>
          <cell r="L340">
            <v>219</v>
          </cell>
          <cell r="M340">
            <v>219</v>
          </cell>
          <cell r="N340">
            <v>0</v>
          </cell>
          <cell r="O340">
            <v>143</v>
          </cell>
          <cell r="P340">
            <v>76</v>
          </cell>
          <cell r="Q340">
            <v>76</v>
          </cell>
          <cell r="R340">
            <v>0</v>
          </cell>
          <cell r="S340">
            <v>0</v>
          </cell>
          <cell r="T340">
            <v>76</v>
          </cell>
        </row>
        <row r="341">
          <cell r="C341">
            <v>100013421</v>
          </cell>
          <cell r="D341" t="str">
            <v>PCS</v>
          </cell>
          <cell r="E341">
            <v>0</v>
          </cell>
          <cell r="F341">
            <v>19570</v>
          </cell>
          <cell r="G341">
            <v>18569</v>
          </cell>
          <cell r="H341">
            <v>1001</v>
          </cell>
          <cell r="I341">
            <v>1001</v>
          </cell>
          <cell r="J341">
            <v>0</v>
          </cell>
          <cell r="K341">
            <v>231</v>
          </cell>
          <cell r="L341">
            <v>770</v>
          </cell>
          <cell r="M341">
            <v>770</v>
          </cell>
          <cell r="N341">
            <v>0</v>
          </cell>
          <cell r="O341">
            <v>68</v>
          </cell>
          <cell r="P341">
            <v>702</v>
          </cell>
          <cell r="Q341">
            <v>702</v>
          </cell>
          <cell r="R341">
            <v>0</v>
          </cell>
          <cell r="S341">
            <v>0</v>
          </cell>
          <cell r="T341">
            <v>702</v>
          </cell>
        </row>
        <row r="342">
          <cell r="C342" t="str">
            <v>T2163</v>
          </cell>
          <cell r="D342" t="str">
            <v>PCS</v>
          </cell>
          <cell r="E342">
            <v>0</v>
          </cell>
          <cell r="F342">
            <v>499</v>
          </cell>
          <cell r="G342">
            <v>482</v>
          </cell>
          <cell r="H342">
            <v>17</v>
          </cell>
          <cell r="I342">
            <v>17</v>
          </cell>
          <cell r="J342">
            <v>0</v>
          </cell>
          <cell r="K342">
            <v>17</v>
          </cell>
          <cell r="L342">
            <v>0</v>
          </cell>
          <cell r="M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</row>
        <row r="343">
          <cell r="C343" t="str">
            <v>U3910</v>
          </cell>
          <cell r="D343" t="str">
            <v>PCS</v>
          </cell>
          <cell r="E343">
            <v>0</v>
          </cell>
          <cell r="F343">
            <v>310</v>
          </cell>
          <cell r="G343">
            <v>308</v>
          </cell>
          <cell r="H343">
            <v>2</v>
          </cell>
          <cell r="I343">
            <v>2</v>
          </cell>
          <cell r="J343">
            <v>0</v>
          </cell>
          <cell r="K343">
            <v>2</v>
          </cell>
          <cell r="L343">
            <v>0</v>
          </cell>
          <cell r="M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</row>
        <row r="344">
          <cell r="C344">
            <v>100020548</v>
          </cell>
          <cell r="D344" t="str">
            <v>PCS</v>
          </cell>
          <cell r="E344">
            <v>0</v>
          </cell>
          <cell r="F344">
            <v>6352</v>
          </cell>
          <cell r="G344">
            <v>5502</v>
          </cell>
          <cell r="H344">
            <v>850</v>
          </cell>
          <cell r="I344">
            <v>850</v>
          </cell>
          <cell r="J344">
            <v>0</v>
          </cell>
          <cell r="K344">
            <v>0</v>
          </cell>
          <cell r="L344">
            <v>850</v>
          </cell>
          <cell r="M344">
            <v>850</v>
          </cell>
          <cell r="N344">
            <v>0</v>
          </cell>
          <cell r="O344">
            <v>0</v>
          </cell>
          <cell r="P344">
            <v>850</v>
          </cell>
          <cell r="Q344">
            <v>850</v>
          </cell>
          <cell r="R344">
            <v>0</v>
          </cell>
          <cell r="S344">
            <v>0</v>
          </cell>
          <cell r="T344">
            <v>850</v>
          </cell>
        </row>
        <row r="345">
          <cell r="C345">
            <v>77511</v>
          </cell>
          <cell r="D345" t="str">
            <v>PCS</v>
          </cell>
          <cell r="E345">
            <v>0</v>
          </cell>
          <cell r="F345">
            <v>9155</v>
          </cell>
          <cell r="G345">
            <v>4823</v>
          </cell>
          <cell r="H345">
            <v>4332</v>
          </cell>
          <cell r="I345">
            <v>4332</v>
          </cell>
          <cell r="J345">
            <v>1132</v>
          </cell>
          <cell r="K345">
            <v>5093</v>
          </cell>
          <cell r="L345">
            <v>371</v>
          </cell>
          <cell r="M345">
            <v>371</v>
          </cell>
          <cell r="N345">
            <v>0</v>
          </cell>
          <cell r="O345">
            <v>6</v>
          </cell>
          <cell r="P345">
            <v>365</v>
          </cell>
          <cell r="Q345">
            <v>365</v>
          </cell>
          <cell r="R345">
            <v>0</v>
          </cell>
          <cell r="S345">
            <v>0</v>
          </cell>
          <cell r="T345">
            <v>365</v>
          </cell>
        </row>
        <row r="346">
          <cell r="C346" t="str">
            <v>KTP118131</v>
          </cell>
          <cell r="D346" t="str">
            <v>PCS</v>
          </cell>
          <cell r="E346">
            <v>0</v>
          </cell>
          <cell r="F346">
            <v>12771</v>
          </cell>
          <cell r="G346">
            <v>2467</v>
          </cell>
          <cell r="H346">
            <v>10304</v>
          </cell>
          <cell r="I346">
            <v>10304</v>
          </cell>
          <cell r="J346">
            <v>328</v>
          </cell>
          <cell r="K346">
            <v>9029</v>
          </cell>
          <cell r="L346">
            <v>1603</v>
          </cell>
          <cell r="M346">
            <v>1603</v>
          </cell>
          <cell r="N346">
            <v>0</v>
          </cell>
          <cell r="O346">
            <v>140</v>
          </cell>
          <cell r="P346">
            <v>1463</v>
          </cell>
          <cell r="Q346">
            <v>1463</v>
          </cell>
          <cell r="R346">
            <v>0</v>
          </cell>
          <cell r="S346">
            <v>0</v>
          </cell>
          <cell r="T346">
            <v>1463</v>
          </cell>
        </row>
        <row r="347">
          <cell r="C347" t="str">
            <v>KTP121661</v>
          </cell>
          <cell r="D347" t="str">
            <v>PCS</v>
          </cell>
          <cell r="E347">
            <v>0</v>
          </cell>
          <cell r="F347">
            <v>6528</v>
          </cell>
          <cell r="G347">
            <v>151</v>
          </cell>
          <cell r="H347">
            <v>6377</v>
          </cell>
          <cell r="I347">
            <v>6377</v>
          </cell>
          <cell r="J347">
            <v>6989</v>
          </cell>
          <cell r="K347">
            <v>8185</v>
          </cell>
          <cell r="L347">
            <v>5181</v>
          </cell>
          <cell r="M347">
            <v>5181</v>
          </cell>
          <cell r="N347">
            <v>0</v>
          </cell>
          <cell r="O347">
            <v>4903</v>
          </cell>
          <cell r="P347">
            <v>278</v>
          </cell>
          <cell r="Q347">
            <v>278</v>
          </cell>
          <cell r="R347">
            <v>0</v>
          </cell>
          <cell r="S347">
            <v>0</v>
          </cell>
          <cell r="T347">
            <v>278</v>
          </cell>
        </row>
        <row r="348">
          <cell r="C348">
            <v>100015354</v>
          </cell>
          <cell r="D348" t="str">
            <v>PCS</v>
          </cell>
          <cell r="E348">
            <v>0</v>
          </cell>
          <cell r="F348">
            <v>6524</v>
          </cell>
          <cell r="H348">
            <v>6524</v>
          </cell>
          <cell r="I348">
            <v>6524</v>
          </cell>
          <cell r="J348">
            <v>1105</v>
          </cell>
          <cell r="K348">
            <v>7143</v>
          </cell>
          <cell r="L348">
            <v>486</v>
          </cell>
          <cell r="M348">
            <v>486</v>
          </cell>
          <cell r="N348">
            <v>2157</v>
          </cell>
          <cell r="O348">
            <v>1230</v>
          </cell>
          <cell r="P348">
            <v>1413</v>
          </cell>
          <cell r="Q348">
            <v>1413</v>
          </cell>
          <cell r="R348">
            <v>0</v>
          </cell>
          <cell r="S348">
            <v>1206</v>
          </cell>
          <cell r="T348">
            <v>207</v>
          </cell>
        </row>
        <row r="349">
          <cell r="C349">
            <v>74211</v>
          </cell>
          <cell r="D349" t="str">
            <v>PCS</v>
          </cell>
          <cell r="E349">
            <v>281</v>
          </cell>
          <cell r="F349">
            <v>5948</v>
          </cell>
          <cell r="G349">
            <v>5773</v>
          </cell>
          <cell r="H349">
            <v>456</v>
          </cell>
          <cell r="I349">
            <v>456</v>
          </cell>
          <cell r="J349">
            <v>0</v>
          </cell>
          <cell r="K349">
            <v>175</v>
          </cell>
          <cell r="L349">
            <v>281</v>
          </cell>
          <cell r="M349">
            <v>281</v>
          </cell>
          <cell r="N349">
            <v>3960</v>
          </cell>
          <cell r="O349">
            <v>3803</v>
          </cell>
          <cell r="P349">
            <v>438</v>
          </cell>
          <cell r="Q349">
            <v>438</v>
          </cell>
          <cell r="R349">
            <v>0</v>
          </cell>
          <cell r="S349">
            <v>3</v>
          </cell>
          <cell r="T349">
            <v>435</v>
          </cell>
        </row>
        <row r="350">
          <cell r="C350" t="str">
            <v>A7X708</v>
          </cell>
          <cell r="D350" t="str">
            <v>PCS</v>
          </cell>
          <cell r="E350">
            <v>0</v>
          </cell>
          <cell r="F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0</v>
          </cell>
          <cell r="M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</row>
        <row r="351">
          <cell r="C351">
            <v>468248</v>
          </cell>
          <cell r="D351" t="str">
            <v>PCS</v>
          </cell>
          <cell r="E351">
            <v>0</v>
          </cell>
          <cell r="F351">
            <v>2252</v>
          </cell>
          <cell r="H351">
            <v>2252</v>
          </cell>
          <cell r="I351">
            <v>2252</v>
          </cell>
          <cell r="J351">
            <v>8168</v>
          </cell>
          <cell r="K351">
            <v>4849</v>
          </cell>
          <cell r="L351">
            <v>5571</v>
          </cell>
          <cell r="M351">
            <v>5571</v>
          </cell>
          <cell r="N351">
            <v>576</v>
          </cell>
          <cell r="O351">
            <v>5324</v>
          </cell>
          <cell r="P351">
            <v>823</v>
          </cell>
          <cell r="Q351">
            <v>823</v>
          </cell>
          <cell r="R351">
            <v>0</v>
          </cell>
          <cell r="S351">
            <v>0</v>
          </cell>
          <cell r="T351">
            <v>823</v>
          </cell>
        </row>
        <row r="352">
          <cell r="C352">
            <v>100008608</v>
          </cell>
          <cell r="D352" t="str">
            <v>PCS</v>
          </cell>
          <cell r="E352">
            <v>0</v>
          </cell>
          <cell r="F352">
            <v>3922</v>
          </cell>
          <cell r="G352">
            <v>3845</v>
          </cell>
          <cell r="H352">
            <v>77</v>
          </cell>
          <cell r="I352">
            <v>77</v>
          </cell>
          <cell r="J352">
            <v>0</v>
          </cell>
          <cell r="K352">
            <v>0</v>
          </cell>
          <cell r="L352">
            <v>77</v>
          </cell>
          <cell r="M352">
            <v>77</v>
          </cell>
          <cell r="N352">
            <v>0</v>
          </cell>
          <cell r="O352">
            <v>0</v>
          </cell>
          <cell r="P352">
            <v>77</v>
          </cell>
          <cell r="Q352">
            <v>77</v>
          </cell>
          <cell r="R352">
            <v>0</v>
          </cell>
          <cell r="S352">
            <v>0</v>
          </cell>
          <cell r="T352">
            <v>77</v>
          </cell>
        </row>
        <row r="353">
          <cell r="C353">
            <v>16661</v>
          </cell>
          <cell r="D353" t="str">
            <v>PCS</v>
          </cell>
          <cell r="J353">
            <v>2736</v>
          </cell>
          <cell r="K353">
            <v>2105</v>
          </cell>
          <cell r="L353">
            <v>631</v>
          </cell>
          <cell r="M353">
            <v>631</v>
          </cell>
          <cell r="N353">
            <v>0</v>
          </cell>
          <cell r="O353">
            <v>487</v>
          </cell>
          <cell r="P353">
            <v>144</v>
          </cell>
          <cell r="Q353">
            <v>144</v>
          </cell>
          <cell r="R353">
            <v>0</v>
          </cell>
          <cell r="S353">
            <v>30</v>
          </cell>
          <cell r="T353">
            <v>114</v>
          </cell>
        </row>
        <row r="354">
          <cell r="C354">
            <v>75740</v>
          </cell>
          <cell r="D354" t="str">
            <v>PCS</v>
          </cell>
          <cell r="J354">
            <v>955</v>
          </cell>
          <cell r="K354">
            <v>785</v>
          </cell>
          <cell r="L354">
            <v>170</v>
          </cell>
          <cell r="M354">
            <v>170</v>
          </cell>
          <cell r="N354">
            <v>40</v>
          </cell>
          <cell r="O354">
            <v>147</v>
          </cell>
          <cell r="P354">
            <v>63</v>
          </cell>
          <cell r="Q354">
            <v>63</v>
          </cell>
          <cell r="R354">
            <v>0</v>
          </cell>
          <cell r="S354">
            <v>0</v>
          </cell>
          <cell r="T354">
            <v>63</v>
          </cell>
        </row>
        <row r="355">
          <cell r="C355">
            <v>76733</v>
          </cell>
          <cell r="D355" t="str">
            <v>PCS</v>
          </cell>
          <cell r="J355">
            <v>1514</v>
          </cell>
          <cell r="K355">
            <v>1362</v>
          </cell>
          <cell r="L355">
            <v>152</v>
          </cell>
          <cell r="M355">
            <v>152</v>
          </cell>
          <cell r="N355">
            <v>0</v>
          </cell>
          <cell r="O355">
            <v>0</v>
          </cell>
          <cell r="P355">
            <v>152</v>
          </cell>
          <cell r="Q355">
            <v>152</v>
          </cell>
          <cell r="R355">
            <v>0</v>
          </cell>
          <cell r="S355">
            <v>2</v>
          </cell>
          <cell r="T355">
            <v>150</v>
          </cell>
        </row>
        <row r="356">
          <cell r="C356">
            <v>467914</v>
          </cell>
          <cell r="D356" t="str">
            <v>PCS</v>
          </cell>
          <cell r="J356">
            <v>5944</v>
          </cell>
          <cell r="K356">
            <v>718</v>
          </cell>
          <cell r="L356">
            <v>5226</v>
          </cell>
          <cell r="M356">
            <v>5226</v>
          </cell>
          <cell r="N356">
            <v>32</v>
          </cell>
          <cell r="O356">
            <v>5083</v>
          </cell>
          <cell r="P356">
            <v>175</v>
          </cell>
          <cell r="Q356">
            <v>175</v>
          </cell>
          <cell r="R356">
            <v>0</v>
          </cell>
          <cell r="S356">
            <v>0</v>
          </cell>
          <cell r="T356">
            <v>175</v>
          </cell>
        </row>
        <row r="357">
          <cell r="C357">
            <v>468229</v>
          </cell>
          <cell r="D357" t="str">
            <v>PCS</v>
          </cell>
          <cell r="J357">
            <v>7291</v>
          </cell>
          <cell r="K357">
            <v>0</v>
          </cell>
          <cell r="L357">
            <v>7291</v>
          </cell>
          <cell r="M357">
            <v>7291</v>
          </cell>
          <cell r="N357">
            <v>13024</v>
          </cell>
          <cell r="O357">
            <v>19184</v>
          </cell>
          <cell r="P357">
            <v>1131</v>
          </cell>
          <cell r="Q357">
            <v>1131</v>
          </cell>
          <cell r="R357">
            <v>0</v>
          </cell>
          <cell r="S357">
            <v>0</v>
          </cell>
          <cell r="T357">
            <v>1131</v>
          </cell>
        </row>
        <row r="358">
          <cell r="C358">
            <v>468230</v>
          </cell>
          <cell r="D358" t="str">
            <v>PCS</v>
          </cell>
          <cell r="J358">
            <v>1672</v>
          </cell>
          <cell r="K358">
            <v>24</v>
          </cell>
          <cell r="L358">
            <v>1648</v>
          </cell>
          <cell r="M358">
            <v>1648</v>
          </cell>
          <cell r="N358">
            <v>11678</v>
          </cell>
          <cell r="O358">
            <v>12650</v>
          </cell>
          <cell r="P358">
            <v>676</v>
          </cell>
          <cell r="Q358">
            <v>676</v>
          </cell>
          <cell r="R358">
            <v>0</v>
          </cell>
          <cell r="S358">
            <v>0</v>
          </cell>
          <cell r="T358">
            <v>676</v>
          </cell>
        </row>
        <row r="359">
          <cell r="C359">
            <v>468249</v>
          </cell>
          <cell r="D359" t="str">
            <v>PCS</v>
          </cell>
          <cell r="J359">
            <v>8825</v>
          </cell>
          <cell r="K359">
            <v>2009</v>
          </cell>
          <cell r="L359">
            <v>6816</v>
          </cell>
          <cell r="M359">
            <v>6816</v>
          </cell>
          <cell r="N359">
            <v>4039</v>
          </cell>
          <cell r="O359">
            <v>10403</v>
          </cell>
          <cell r="P359">
            <v>452</v>
          </cell>
          <cell r="Q359">
            <v>452</v>
          </cell>
          <cell r="R359">
            <v>0</v>
          </cell>
          <cell r="S359">
            <v>0</v>
          </cell>
          <cell r="T359">
            <v>452</v>
          </cell>
        </row>
        <row r="360">
          <cell r="C360">
            <v>100013593</v>
          </cell>
          <cell r="D360" t="str">
            <v>PCS</v>
          </cell>
          <cell r="J360">
            <v>1035</v>
          </cell>
          <cell r="K360">
            <v>836</v>
          </cell>
          <cell r="L360">
            <v>199</v>
          </cell>
          <cell r="M360">
            <v>199</v>
          </cell>
          <cell r="N360">
            <v>27</v>
          </cell>
          <cell r="O360">
            <v>82</v>
          </cell>
          <cell r="P360">
            <v>144</v>
          </cell>
          <cell r="Q360">
            <v>144</v>
          </cell>
          <cell r="R360">
            <v>0</v>
          </cell>
          <cell r="S360">
            <v>3</v>
          </cell>
          <cell r="T360">
            <v>141</v>
          </cell>
        </row>
        <row r="361">
          <cell r="C361">
            <v>100014855</v>
          </cell>
          <cell r="D361" t="str">
            <v>PCS</v>
          </cell>
          <cell r="J361">
            <v>2036</v>
          </cell>
          <cell r="K361">
            <v>155</v>
          </cell>
          <cell r="L361">
            <v>1881</v>
          </cell>
          <cell r="M361">
            <v>1881</v>
          </cell>
          <cell r="N361">
            <v>62</v>
          </cell>
          <cell r="O361">
            <v>1831</v>
          </cell>
          <cell r="P361">
            <v>112</v>
          </cell>
          <cell r="Q361">
            <v>112</v>
          </cell>
          <cell r="R361">
            <v>0</v>
          </cell>
          <cell r="S361">
            <v>0</v>
          </cell>
          <cell r="T361">
            <v>112</v>
          </cell>
        </row>
        <row r="362">
          <cell r="C362">
            <v>100015130</v>
          </cell>
          <cell r="D362" t="str">
            <v>PCS</v>
          </cell>
          <cell r="J362">
            <v>1322</v>
          </cell>
          <cell r="K362">
            <v>437</v>
          </cell>
          <cell r="L362">
            <v>885</v>
          </cell>
          <cell r="M362">
            <v>885</v>
          </cell>
          <cell r="N362">
            <v>1398</v>
          </cell>
          <cell r="O362">
            <v>2090</v>
          </cell>
          <cell r="P362">
            <v>193</v>
          </cell>
          <cell r="Q362">
            <v>193</v>
          </cell>
          <cell r="R362">
            <v>0</v>
          </cell>
          <cell r="S362">
            <v>0</v>
          </cell>
          <cell r="T362">
            <v>193</v>
          </cell>
        </row>
        <row r="363">
          <cell r="C363">
            <v>100015136</v>
          </cell>
          <cell r="D363" t="str">
            <v>PCS</v>
          </cell>
          <cell r="J363">
            <v>3959</v>
          </cell>
          <cell r="K363">
            <v>2512</v>
          </cell>
          <cell r="L363">
            <v>1447</v>
          </cell>
          <cell r="M363">
            <v>1447</v>
          </cell>
          <cell r="N363">
            <v>1406</v>
          </cell>
          <cell r="O363">
            <v>2757</v>
          </cell>
          <cell r="P363">
            <v>96</v>
          </cell>
          <cell r="Q363">
            <v>96</v>
          </cell>
          <cell r="R363">
            <v>0</v>
          </cell>
          <cell r="S363">
            <v>0</v>
          </cell>
          <cell r="T363">
            <v>96</v>
          </cell>
        </row>
        <row r="364">
          <cell r="C364">
            <v>100015145</v>
          </cell>
          <cell r="D364" t="str">
            <v>PCS</v>
          </cell>
          <cell r="J364">
            <v>3418</v>
          </cell>
          <cell r="K364">
            <v>2038</v>
          </cell>
          <cell r="L364">
            <v>1380</v>
          </cell>
          <cell r="M364">
            <v>1380</v>
          </cell>
          <cell r="N364">
            <v>158</v>
          </cell>
          <cell r="O364">
            <v>1393</v>
          </cell>
          <cell r="P364">
            <v>145</v>
          </cell>
          <cell r="Q364">
            <v>145</v>
          </cell>
          <cell r="R364">
            <v>0</v>
          </cell>
          <cell r="S364">
            <v>0</v>
          </cell>
          <cell r="T364">
            <v>145</v>
          </cell>
        </row>
        <row r="365">
          <cell r="C365">
            <v>100015153</v>
          </cell>
          <cell r="D365" t="str">
            <v>PCS</v>
          </cell>
          <cell r="J365">
            <v>1817</v>
          </cell>
          <cell r="K365">
            <v>231</v>
          </cell>
          <cell r="L365">
            <v>1586</v>
          </cell>
          <cell r="M365">
            <v>1586</v>
          </cell>
          <cell r="N365">
            <v>8247</v>
          </cell>
          <cell r="O365">
            <v>9428</v>
          </cell>
          <cell r="P365">
            <v>405</v>
          </cell>
          <cell r="Q365">
            <v>405</v>
          </cell>
          <cell r="R365">
            <v>0</v>
          </cell>
          <cell r="S365">
            <v>0</v>
          </cell>
          <cell r="T365">
            <v>405</v>
          </cell>
        </row>
        <row r="366">
          <cell r="C366">
            <v>100015224</v>
          </cell>
          <cell r="D366" t="str">
            <v>PCS</v>
          </cell>
          <cell r="J366">
            <v>8610</v>
          </cell>
          <cell r="K366">
            <v>4611</v>
          </cell>
          <cell r="L366">
            <v>3999</v>
          </cell>
          <cell r="M366">
            <v>3999</v>
          </cell>
          <cell r="N366">
            <v>28</v>
          </cell>
          <cell r="O366">
            <v>3843</v>
          </cell>
          <cell r="P366">
            <v>184</v>
          </cell>
          <cell r="Q366">
            <v>184</v>
          </cell>
          <cell r="R366">
            <v>0</v>
          </cell>
          <cell r="S366">
            <v>0</v>
          </cell>
          <cell r="T366">
            <v>184</v>
          </cell>
        </row>
        <row r="367">
          <cell r="C367">
            <v>100015225</v>
          </cell>
          <cell r="D367" t="str">
            <v>PCS</v>
          </cell>
          <cell r="J367">
            <v>3687</v>
          </cell>
          <cell r="K367">
            <v>3466</v>
          </cell>
          <cell r="L367">
            <v>221</v>
          </cell>
          <cell r="M367">
            <v>221</v>
          </cell>
          <cell r="N367">
            <v>0</v>
          </cell>
          <cell r="O367">
            <v>21</v>
          </cell>
          <cell r="P367">
            <v>200</v>
          </cell>
          <cell r="Q367">
            <v>200</v>
          </cell>
          <cell r="R367">
            <v>0</v>
          </cell>
          <cell r="S367">
            <v>0</v>
          </cell>
          <cell r="T367">
            <v>200</v>
          </cell>
        </row>
        <row r="368">
          <cell r="C368">
            <v>100015357</v>
          </cell>
          <cell r="D368" t="str">
            <v>PCS</v>
          </cell>
          <cell r="J368">
            <v>13008</v>
          </cell>
          <cell r="K368">
            <v>11599</v>
          </cell>
          <cell r="L368">
            <v>1409</v>
          </cell>
          <cell r="M368">
            <v>1409</v>
          </cell>
          <cell r="N368">
            <v>175</v>
          </cell>
          <cell r="O368">
            <v>1255</v>
          </cell>
          <cell r="P368">
            <v>329</v>
          </cell>
          <cell r="Q368">
            <v>329</v>
          </cell>
          <cell r="R368">
            <v>0</v>
          </cell>
          <cell r="S368">
            <v>0</v>
          </cell>
          <cell r="T368">
            <v>329</v>
          </cell>
        </row>
        <row r="369">
          <cell r="C369">
            <v>100022985</v>
          </cell>
          <cell r="D369" t="str">
            <v>PCS</v>
          </cell>
          <cell r="J369">
            <v>4778</v>
          </cell>
          <cell r="K369">
            <v>2382</v>
          </cell>
          <cell r="L369">
            <v>2396</v>
          </cell>
          <cell r="M369">
            <v>2396</v>
          </cell>
          <cell r="N369">
            <v>76</v>
          </cell>
          <cell r="O369">
            <v>2395</v>
          </cell>
          <cell r="P369">
            <v>77</v>
          </cell>
          <cell r="Q369">
            <v>77</v>
          </cell>
          <cell r="R369">
            <v>0</v>
          </cell>
          <cell r="S369">
            <v>0</v>
          </cell>
          <cell r="T369">
            <v>77</v>
          </cell>
        </row>
        <row r="370">
          <cell r="C370">
            <v>100024114</v>
          </cell>
          <cell r="D370" t="str">
            <v>PCS</v>
          </cell>
          <cell r="J370">
            <v>1413</v>
          </cell>
          <cell r="K370">
            <v>940</v>
          </cell>
          <cell r="L370">
            <v>473</v>
          </cell>
          <cell r="M370">
            <v>473</v>
          </cell>
          <cell r="N370">
            <v>108</v>
          </cell>
          <cell r="O370">
            <v>555</v>
          </cell>
          <cell r="P370">
            <v>26</v>
          </cell>
          <cell r="Q370">
            <v>26</v>
          </cell>
          <cell r="R370">
            <v>0</v>
          </cell>
          <cell r="S370">
            <v>0</v>
          </cell>
          <cell r="T370">
            <v>26</v>
          </cell>
        </row>
        <row r="371">
          <cell r="C371">
            <v>100015151</v>
          </cell>
          <cell r="D371" t="str">
            <v>PCS</v>
          </cell>
          <cell r="J371">
            <v>9115</v>
          </cell>
          <cell r="K371">
            <v>175</v>
          </cell>
          <cell r="L371">
            <v>8940</v>
          </cell>
          <cell r="M371">
            <v>8940</v>
          </cell>
          <cell r="N371">
            <v>2542</v>
          </cell>
          <cell r="O371">
            <v>11279</v>
          </cell>
          <cell r="P371">
            <v>203</v>
          </cell>
          <cell r="Q371">
            <v>203</v>
          </cell>
          <cell r="R371">
            <v>0</v>
          </cell>
          <cell r="S371">
            <v>0</v>
          </cell>
          <cell r="T371">
            <v>203</v>
          </cell>
        </row>
        <row r="372">
          <cell r="C372">
            <v>100021859</v>
          </cell>
          <cell r="D372" t="str">
            <v>PCS</v>
          </cell>
          <cell r="J372">
            <v>3117</v>
          </cell>
          <cell r="K372">
            <v>864</v>
          </cell>
          <cell r="L372">
            <v>2253</v>
          </cell>
          <cell r="M372">
            <v>2253</v>
          </cell>
          <cell r="N372">
            <v>180</v>
          </cell>
          <cell r="O372">
            <v>2183</v>
          </cell>
          <cell r="P372">
            <v>250</v>
          </cell>
          <cell r="Q372">
            <v>250</v>
          </cell>
          <cell r="R372">
            <v>0</v>
          </cell>
          <cell r="S372">
            <v>0</v>
          </cell>
          <cell r="T372">
            <v>250</v>
          </cell>
        </row>
        <row r="373">
          <cell r="C373">
            <v>100021861</v>
          </cell>
          <cell r="D373" t="str">
            <v>PCS</v>
          </cell>
          <cell r="J373">
            <v>1869</v>
          </cell>
          <cell r="K373">
            <v>0</v>
          </cell>
          <cell r="L373">
            <v>1869</v>
          </cell>
          <cell r="M373">
            <v>1869</v>
          </cell>
          <cell r="N373">
            <v>299</v>
          </cell>
          <cell r="O373">
            <v>2071</v>
          </cell>
          <cell r="P373">
            <v>97</v>
          </cell>
          <cell r="Q373">
            <v>97</v>
          </cell>
          <cell r="R373">
            <v>0</v>
          </cell>
          <cell r="S373">
            <v>0</v>
          </cell>
          <cell r="T373">
            <v>97</v>
          </cell>
        </row>
        <row r="374">
          <cell r="C374">
            <v>182034355</v>
          </cell>
          <cell r="D374" t="str">
            <v>PCS</v>
          </cell>
          <cell r="J374">
            <v>3182</v>
          </cell>
          <cell r="K374">
            <v>0</v>
          </cell>
          <cell r="L374">
            <v>3182</v>
          </cell>
          <cell r="M374">
            <v>3182</v>
          </cell>
          <cell r="N374">
            <v>0</v>
          </cell>
          <cell r="O374">
            <v>3095</v>
          </cell>
          <cell r="P374">
            <v>87</v>
          </cell>
          <cell r="Q374">
            <v>87</v>
          </cell>
          <cell r="R374">
            <v>0</v>
          </cell>
          <cell r="S374">
            <v>0</v>
          </cell>
          <cell r="T374">
            <v>87</v>
          </cell>
        </row>
        <row r="375">
          <cell r="C375">
            <v>182034365</v>
          </cell>
          <cell r="D375" t="str">
            <v>PCS</v>
          </cell>
          <cell r="J375">
            <v>3137</v>
          </cell>
          <cell r="K375">
            <v>0</v>
          </cell>
          <cell r="L375">
            <v>3137</v>
          </cell>
          <cell r="M375">
            <v>3137</v>
          </cell>
          <cell r="N375">
            <v>8052</v>
          </cell>
          <cell r="O375">
            <v>10513</v>
          </cell>
          <cell r="P375">
            <v>676</v>
          </cell>
          <cell r="Q375">
            <v>676</v>
          </cell>
          <cell r="R375">
            <v>0</v>
          </cell>
          <cell r="S375">
            <v>0</v>
          </cell>
          <cell r="T375">
            <v>676</v>
          </cell>
        </row>
        <row r="376">
          <cell r="C376">
            <v>463036</v>
          </cell>
          <cell r="D376" t="str">
            <v>PCS</v>
          </cell>
          <cell r="J376">
            <v>3709</v>
          </cell>
          <cell r="K376">
            <v>0</v>
          </cell>
          <cell r="L376">
            <v>3709</v>
          </cell>
          <cell r="M376">
            <v>3709</v>
          </cell>
          <cell r="N376">
            <v>115</v>
          </cell>
          <cell r="O376">
            <v>3394</v>
          </cell>
          <cell r="P376">
            <v>430</v>
          </cell>
          <cell r="Q376">
            <v>430</v>
          </cell>
          <cell r="R376">
            <v>0</v>
          </cell>
          <cell r="S376">
            <v>0</v>
          </cell>
          <cell r="T376">
            <v>430</v>
          </cell>
        </row>
        <row r="377">
          <cell r="C377">
            <v>468543</v>
          </cell>
          <cell r="D377" t="str">
            <v>PCS</v>
          </cell>
          <cell r="J377">
            <v>2304</v>
          </cell>
          <cell r="K377">
            <v>0</v>
          </cell>
          <cell r="L377">
            <v>2304</v>
          </cell>
          <cell r="M377">
            <v>2304</v>
          </cell>
          <cell r="N377">
            <v>7216</v>
          </cell>
          <cell r="O377">
            <v>5612</v>
          </cell>
          <cell r="P377">
            <v>3908</v>
          </cell>
          <cell r="Q377">
            <v>3908</v>
          </cell>
          <cell r="R377">
            <v>0</v>
          </cell>
          <cell r="S377">
            <v>3069</v>
          </cell>
          <cell r="T377">
            <v>839</v>
          </cell>
        </row>
        <row r="378">
          <cell r="C378">
            <v>73206</v>
          </cell>
          <cell r="D378" t="str">
            <v>PCS</v>
          </cell>
          <cell r="N378">
            <v>696</v>
          </cell>
          <cell r="O378">
            <v>431</v>
          </cell>
          <cell r="P378">
            <v>265</v>
          </cell>
          <cell r="Q378">
            <v>265</v>
          </cell>
          <cell r="R378">
            <v>0</v>
          </cell>
          <cell r="S378">
            <v>231</v>
          </cell>
          <cell r="T378">
            <v>34</v>
          </cell>
        </row>
        <row r="379">
          <cell r="C379">
            <v>76203</v>
          </cell>
          <cell r="D379" t="str">
            <v>PCS</v>
          </cell>
          <cell r="N379">
            <v>615</v>
          </cell>
          <cell r="O379">
            <v>593</v>
          </cell>
          <cell r="P379">
            <v>22</v>
          </cell>
          <cell r="Q379">
            <v>22</v>
          </cell>
          <cell r="R379">
            <v>0</v>
          </cell>
          <cell r="S379">
            <v>0</v>
          </cell>
          <cell r="T379">
            <v>22</v>
          </cell>
        </row>
        <row r="380">
          <cell r="C380">
            <v>457309</v>
          </cell>
          <cell r="D380" t="str">
            <v>PCS</v>
          </cell>
          <cell r="N380">
            <v>27328</v>
          </cell>
          <cell r="O380">
            <v>9976</v>
          </cell>
          <cell r="P380">
            <v>17352</v>
          </cell>
          <cell r="Q380">
            <v>17352</v>
          </cell>
          <cell r="R380">
            <v>8830</v>
          </cell>
          <cell r="S380">
            <v>16976</v>
          </cell>
          <cell r="T380">
            <v>9206</v>
          </cell>
        </row>
        <row r="381">
          <cell r="C381">
            <v>462511</v>
          </cell>
          <cell r="D381" t="str">
            <v>PCS</v>
          </cell>
          <cell r="N381">
            <v>14188</v>
          </cell>
          <cell r="O381">
            <v>13239</v>
          </cell>
          <cell r="P381">
            <v>949</v>
          </cell>
          <cell r="Q381">
            <v>949</v>
          </cell>
          <cell r="R381">
            <v>106</v>
          </cell>
          <cell r="S381">
            <v>3</v>
          </cell>
          <cell r="T381">
            <v>1052</v>
          </cell>
        </row>
        <row r="382">
          <cell r="C382">
            <v>462516</v>
          </cell>
          <cell r="D382" t="str">
            <v>PCS</v>
          </cell>
          <cell r="N382">
            <v>17011</v>
          </cell>
          <cell r="O382">
            <v>525</v>
          </cell>
          <cell r="P382">
            <v>16486</v>
          </cell>
          <cell r="Q382">
            <v>16486</v>
          </cell>
          <cell r="R382">
            <v>16485</v>
          </cell>
          <cell r="S382">
            <v>31135</v>
          </cell>
          <cell r="T382">
            <v>1836</v>
          </cell>
        </row>
        <row r="383">
          <cell r="C383">
            <v>464101</v>
          </cell>
          <cell r="D383" t="str">
            <v>PCS</v>
          </cell>
          <cell r="N383">
            <v>8455</v>
          </cell>
          <cell r="O383">
            <v>7440</v>
          </cell>
          <cell r="P383">
            <v>1015</v>
          </cell>
          <cell r="Q383">
            <v>1015</v>
          </cell>
          <cell r="R383">
            <v>5614</v>
          </cell>
          <cell r="S383">
            <v>5296</v>
          </cell>
          <cell r="T383">
            <v>1333</v>
          </cell>
        </row>
        <row r="384">
          <cell r="C384">
            <v>469135</v>
          </cell>
          <cell r="D384" t="str">
            <v>PCS</v>
          </cell>
          <cell r="N384">
            <v>796</v>
          </cell>
          <cell r="O384">
            <v>0</v>
          </cell>
          <cell r="P384">
            <v>796</v>
          </cell>
          <cell r="Q384">
            <v>796</v>
          </cell>
          <cell r="R384">
            <v>3971</v>
          </cell>
          <cell r="S384">
            <v>4464</v>
          </cell>
          <cell r="T384">
            <v>303</v>
          </cell>
        </row>
        <row r="385">
          <cell r="C385">
            <v>469615</v>
          </cell>
          <cell r="D385" t="str">
            <v>PCS</v>
          </cell>
          <cell r="N385">
            <v>10920</v>
          </cell>
          <cell r="O385">
            <v>7176</v>
          </cell>
          <cell r="P385">
            <v>3744</v>
          </cell>
          <cell r="Q385">
            <v>3744</v>
          </cell>
          <cell r="R385">
            <v>2997</v>
          </cell>
          <cell r="S385">
            <v>6244</v>
          </cell>
          <cell r="T385">
            <v>497</v>
          </cell>
        </row>
        <row r="386">
          <cell r="C386">
            <v>471355</v>
          </cell>
          <cell r="D386" t="str">
            <v>PCS</v>
          </cell>
          <cell r="N386">
            <v>10476</v>
          </cell>
          <cell r="O386">
            <v>0</v>
          </cell>
          <cell r="P386">
            <v>10476</v>
          </cell>
          <cell r="Q386">
            <v>10476</v>
          </cell>
          <cell r="R386">
            <v>882</v>
          </cell>
          <cell r="S386">
            <v>11018</v>
          </cell>
          <cell r="T386">
            <v>340</v>
          </cell>
        </row>
        <row r="387">
          <cell r="C387">
            <v>100014854</v>
          </cell>
          <cell r="D387" t="str">
            <v>PCS</v>
          </cell>
          <cell r="N387">
            <v>9516</v>
          </cell>
          <cell r="O387">
            <v>9258</v>
          </cell>
          <cell r="P387">
            <v>258</v>
          </cell>
          <cell r="Q387">
            <v>258</v>
          </cell>
          <cell r="R387">
            <v>0</v>
          </cell>
          <cell r="S387">
            <v>0</v>
          </cell>
          <cell r="T387">
            <v>258</v>
          </cell>
        </row>
        <row r="388">
          <cell r="C388">
            <v>100014856</v>
          </cell>
          <cell r="D388" t="str">
            <v>PCS</v>
          </cell>
          <cell r="N388">
            <v>6728</v>
          </cell>
          <cell r="O388">
            <v>6614</v>
          </cell>
          <cell r="P388">
            <v>114</v>
          </cell>
          <cell r="Q388">
            <v>114</v>
          </cell>
          <cell r="R388">
            <v>0</v>
          </cell>
          <cell r="S388">
            <v>4</v>
          </cell>
          <cell r="T388">
            <v>110</v>
          </cell>
        </row>
        <row r="389">
          <cell r="C389">
            <v>100014860</v>
          </cell>
          <cell r="D389" t="str">
            <v>PCS</v>
          </cell>
          <cell r="N389">
            <v>2024</v>
          </cell>
          <cell r="O389">
            <v>1973</v>
          </cell>
          <cell r="P389">
            <v>51</v>
          </cell>
          <cell r="Q389">
            <v>51</v>
          </cell>
          <cell r="R389">
            <v>0</v>
          </cell>
          <cell r="S389">
            <v>0</v>
          </cell>
          <cell r="T389">
            <v>51</v>
          </cell>
        </row>
        <row r="390">
          <cell r="C390">
            <v>100014861</v>
          </cell>
          <cell r="D390" t="str">
            <v>PCS</v>
          </cell>
          <cell r="N390">
            <v>3242</v>
          </cell>
          <cell r="O390">
            <v>3201</v>
          </cell>
          <cell r="P390">
            <v>41</v>
          </cell>
          <cell r="Q390">
            <v>41</v>
          </cell>
          <cell r="R390">
            <v>0</v>
          </cell>
          <cell r="S390">
            <v>0</v>
          </cell>
          <cell r="T390">
            <v>41</v>
          </cell>
        </row>
        <row r="391">
          <cell r="C391">
            <v>100014862</v>
          </cell>
          <cell r="D391" t="str">
            <v>PCS</v>
          </cell>
          <cell r="N391">
            <v>4691</v>
          </cell>
          <cell r="O391">
            <v>3452</v>
          </cell>
          <cell r="P391">
            <v>1239</v>
          </cell>
          <cell r="Q391">
            <v>1239</v>
          </cell>
          <cell r="R391">
            <v>131</v>
          </cell>
          <cell r="S391">
            <v>1072</v>
          </cell>
          <cell r="T391">
            <v>298</v>
          </cell>
        </row>
        <row r="392">
          <cell r="C392">
            <v>100014863</v>
          </cell>
          <cell r="D392" t="str">
            <v>PCS</v>
          </cell>
          <cell r="N392">
            <v>8590</v>
          </cell>
          <cell r="O392">
            <v>7030</v>
          </cell>
          <cell r="P392">
            <v>1560</v>
          </cell>
          <cell r="Q392">
            <v>1560</v>
          </cell>
          <cell r="R392">
            <v>1186</v>
          </cell>
          <cell r="S392">
            <v>1090</v>
          </cell>
          <cell r="T392">
            <v>1656</v>
          </cell>
        </row>
        <row r="393">
          <cell r="C393">
            <v>100014864</v>
          </cell>
          <cell r="D393" t="str">
            <v>PCS</v>
          </cell>
          <cell r="N393">
            <v>6671</v>
          </cell>
          <cell r="O393">
            <v>3044</v>
          </cell>
          <cell r="P393">
            <v>3627</v>
          </cell>
          <cell r="Q393">
            <v>3627</v>
          </cell>
          <cell r="R393">
            <v>0</v>
          </cell>
          <cell r="S393">
            <v>3482</v>
          </cell>
          <cell r="T393">
            <v>145</v>
          </cell>
        </row>
        <row r="394">
          <cell r="C394">
            <v>100014869</v>
          </cell>
          <cell r="D394" t="str">
            <v>PCS</v>
          </cell>
          <cell r="N394">
            <v>2665</v>
          </cell>
          <cell r="O394">
            <v>2584</v>
          </cell>
          <cell r="P394">
            <v>81</v>
          </cell>
          <cell r="Q394">
            <v>81</v>
          </cell>
          <cell r="R394">
            <v>0</v>
          </cell>
          <cell r="S394">
            <v>39</v>
          </cell>
          <cell r="T394">
            <v>42</v>
          </cell>
        </row>
        <row r="395">
          <cell r="C395">
            <v>100015148</v>
          </cell>
          <cell r="D395" t="str">
            <v>PCS</v>
          </cell>
          <cell r="N395">
            <v>6006</v>
          </cell>
          <cell r="O395">
            <v>5792</v>
          </cell>
          <cell r="P395">
            <v>214</v>
          </cell>
          <cell r="Q395">
            <v>214</v>
          </cell>
          <cell r="R395">
            <v>0</v>
          </cell>
          <cell r="S395">
            <v>0</v>
          </cell>
          <cell r="T395">
            <v>214</v>
          </cell>
        </row>
        <row r="396">
          <cell r="C396">
            <v>100015173</v>
          </cell>
          <cell r="D396" t="str">
            <v>PCS</v>
          </cell>
          <cell r="N396">
            <v>1988</v>
          </cell>
          <cell r="O396">
            <v>1851</v>
          </cell>
          <cell r="P396">
            <v>137</v>
          </cell>
          <cell r="Q396">
            <v>137</v>
          </cell>
          <cell r="R396">
            <v>0</v>
          </cell>
          <cell r="S396">
            <v>0</v>
          </cell>
          <cell r="T396">
            <v>137</v>
          </cell>
        </row>
        <row r="397">
          <cell r="C397">
            <v>100015180</v>
          </cell>
          <cell r="D397" t="str">
            <v>PCS</v>
          </cell>
          <cell r="N397">
            <v>1294</v>
          </cell>
          <cell r="O397">
            <v>1269</v>
          </cell>
          <cell r="P397">
            <v>25</v>
          </cell>
          <cell r="Q397">
            <v>25</v>
          </cell>
          <cell r="R397">
            <v>0</v>
          </cell>
          <cell r="S397">
            <v>0</v>
          </cell>
          <cell r="T397">
            <v>25</v>
          </cell>
        </row>
        <row r="398">
          <cell r="C398">
            <v>100015249</v>
          </cell>
          <cell r="D398" t="str">
            <v>PCS</v>
          </cell>
          <cell r="N398">
            <v>8954</v>
          </cell>
          <cell r="O398">
            <v>28</v>
          </cell>
          <cell r="P398">
            <v>8926</v>
          </cell>
          <cell r="Q398">
            <v>8926</v>
          </cell>
          <cell r="R398">
            <v>1055</v>
          </cell>
          <cell r="S398">
            <v>9919</v>
          </cell>
          <cell r="T398">
            <v>62</v>
          </cell>
        </row>
        <row r="399">
          <cell r="C399">
            <v>100015301</v>
          </cell>
          <cell r="D399" t="str">
            <v>PCS</v>
          </cell>
          <cell r="N399">
            <v>12971</v>
          </cell>
          <cell r="O399">
            <v>10272</v>
          </cell>
          <cell r="P399">
            <v>2699</v>
          </cell>
          <cell r="Q399">
            <v>2699</v>
          </cell>
          <cell r="R399">
            <v>372</v>
          </cell>
          <cell r="S399">
            <v>2320</v>
          </cell>
          <cell r="T399">
            <v>751</v>
          </cell>
        </row>
        <row r="400">
          <cell r="C400">
            <v>100015303</v>
          </cell>
          <cell r="D400" t="str">
            <v>PCS</v>
          </cell>
          <cell r="N400">
            <v>13289</v>
          </cell>
          <cell r="O400">
            <v>6838</v>
          </cell>
          <cell r="P400">
            <v>6451</v>
          </cell>
          <cell r="Q400">
            <v>6451</v>
          </cell>
          <cell r="R400">
            <v>0</v>
          </cell>
          <cell r="S400">
            <v>6129</v>
          </cell>
          <cell r="T400">
            <v>322</v>
          </cell>
        </row>
        <row r="401">
          <cell r="C401">
            <v>100015304</v>
          </cell>
          <cell r="D401" t="str">
            <v>PCS</v>
          </cell>
          <cell r="N401">
            <v>6756</v>
          </cell>
          <cell r="O401">
            <v>6377</v>
          </cell>
          <cell r="P401">
            <v>379</v>
          </cell>
          <cell r="Q401">
            <v>379</v>
          </cell>
          <cell r="R401">
            <v>0</v>
          </cell>
          <cell r="S401">
            <v>259</v>
          </cell>
          <cell r="T401">
            <v>120</v>
          </cell>
        </row>
        <row r="402">
          <cell r="C402">
            <v>100015356</v>
          </cell>
          <cell r="D402" t="str">
            <v>PCS</v>
          </cell>
          <cell r="N402">
            <v>3126</v>
          </cell>
          <cell r="O402">
            <v>24</v>
          </cell>
          <cell r="P402">
            <v>3102</v>
          </cell>
          <cell r="Q402">
            <v>3102</v>
          </cell>
          <cell r="R402">
            <v>159</v>
          </cell>
          <cell r="S402">
            <v>3208</v>
          </cell>
          <cell r="T402">
            <v>53</v>
          </cell>
        </row>
        <row r="403">
          <cell r="C403">
            <v>100015404</v>
          </cell>
          <cell r="D403" t="str">
            <v>PCS</v>
          </cell>
          <cell r="N403">
            <v>1765</v>
          </cell>
          <cell r="O403">
            <v>502</v>
          </cell>
          <cell r="P403">
            <v>1263</v>
          </cell>
          <cell r="Q403">
            <v>1263</v>
          </cell>
          <cell r="R403">
            <v>1657</v>
          </cell>
          <cell r="S403">
            <v>2754</v>
          </cell>
          <cell r="T403">
            <v>166</v>
          </cell>
        </row>
        <row r="404">
          <cell r="C404">
            <v>100015437</v>
          </cell>
          <cell r="D404" t="str">
            <v>PCS</v>
          </cell>
          <cell r="N404">
            <v>1736</v>
          </cell>
          <cell r="O404">
            <v>1699</v>
          </cell>
          <cell r="P404">
            <v>37</v>
          </cell>
          <cell r="Q404">
            <v>37</v>
          </cell>
          <cell r="R404">
            <v>0</v>
          </cell>
          <cell r="S404">
            <v>0</v>
          </cell>
          <cell r="T404">
            <v>37</v>
          </cell>
        </row>
        <row r="405">
          <cell r="C405">
            <v>100016367</v>
          </cell>
          <cell r="D405" t="str">
            <v>PCS</v>
          </cell>
          <cell r="N405">
            <v>5930</v>
          </cell>
          <cell r="O405">
            <v>0</v>
          </cell>
          <cell r="P405">
            <v>5930</v>
          </cell>
          <cell r="Q405">
            <v>5930</v>
          </cell>
          <cell r="R405">
            <v>1540</v>
          </cell>
          <cell r="S405">
            <v>7328</v>
          </cell>
          <cell r="T405">
            <v>142</v>
          </cell>
        </row>
        <row r="406">
          <cell r="C406">
            <v>100016575</v>
          </cell>
          <cell r="D406" t="str">
            <v>PCS</v>
          </cell>
          <cell r="N406">
            <v>955</v>
          </cell>
          <cell r="O406">
            <v>3</v>
          </cell>
          <cell r="P406">
            <v>952</v>
          </cell>
          <cell r="Q406">
            <v>952</v>
          </cell>
          <cell r="R406">
            <v>102</v>
          </cell>
          <cell r="S406">
            <v>935</v>
          </cell>
          <cell r="T406">
            <v>119</v>
          </cell>
        </row>
        <row r="407">
          <cell r="C407">
            <v>100019839</v>
          </cell>
          <cell r="D407" t="str">
            <v>PCS</v>
          </cell>
          <cell r="N407">
            <v>2214</v>
          </cell>
          <cell r="O407">
            <v>1907</v>
          </cell>
          <cell r="P407">
            <v>307</v>
          </cell>
          <cell r="Q407">
            <v>307</v>
          </cell>
          <cell r="R407">
            <v>0</v>
          </cell>
          <cell r="S407">
            <v>4</v>
          </cell>
          <cell r="T407">
            <v>303</v>
          </cell>
        </row>
        <row r="408">
          <cell r="C408">
            <v>100021862</v>
          </cell>
          <cell r="D408" t="str">
            <v>PCS</v>
          </cell>
          <cell r="N408">
            <v>798</v>
          </cell>
          <cell r="O408">
            <v>10</v>
          </cell>
          <cell r="P408">
            <v>788</v>
          </cell>
          <cell r="Q408">
            <v>788</v>
          </cell>
          <cell r="R408">
            <v>0</v>
          </cell>
          <cell r="S408">
            <v>781</v>
          </cell>
          <cell r="T408">
            <v>7</v>
          </cell>
        </row>
        <row r="409">
          <cell r="C409">
            <v>100025244</v>
          </cell>
          <cell r="D409" t="str">
            <v>PCS</v>
          </cell>
          <cell r="N409">
            <v>627</v>
          </cell>
          <cell r="O409">
            <v>594</v>
          </cell>
          <cell r="P409">
            <v>33</v>
          </cell>
          <cell r="Q409">
            <v>33</v>
          </cell>
          <cell r="R409">
            <v>0</v>
          </cell>
          <cell r="S409">
            <v>0</v>
          </cell>
          <cell r="T409">
            <v>33</v>
          </cell>
        </row>
        <row r="410">
          <cell r="C410">
            <v>100025245</v>
          </cell>
          <cell r="D410" t="str">
            <v>PCS</v>
          </cell>
          <cell r="N410">
            <v>596</v>
          </cell>
          <cell r="O410">
            <v>558</v>
          </cell>
          <cell r="P410">
            <v>38</v>
          </cell>
          <cell r="Q410">
            <v>38</v>
          </cell>
          <cell r="R410">
            <v>0</v>
          </cell>
          <cell r="S410">
            <v>0</v>
          </cell>
          <cell r="T410">
            <v>38</v>
          </cell>
        </row>
        <row r="411">
          <cell r="C411">
            <v>182013373</v>
          </cell>
          <cell r="D411" t="str">
            <v>PCS</v>
          </cell>
          <cell r="N411">
            <v>10358</v>
          </cell>
          <cell r="O411">
            <v>9766</v>
          </cell>
          <cell r="P411">
            <v>592</v>
          </cell>
          <cell r="Q411">
            <v>592</v>
          </cell>
          <cell r="R411">
            <v>0</v>
          </cell>
          <cell r="S411">
            <v>0</v>
          </cell>
          <cell r="T411">
            <v>592</v>
          </cell>
        </row>
        <row r="412">
          <cell r="C412">
            <v>182013374</v>
          </cell>
          <cell r="D412" t="str">
            <v>PCS</v>
          </cell>
          <cell r="N412">
            <v>7929</v>
          </cell>
          <cell r="O412">
            <v>7522</v>
          </cell>
          <cell r="P412">
            <v>407</v>
          </cell>
          <cell r="Q412">
            <v>407</v>
          </cell>
          <cell r="R412">
            <v>0</v>
          </cell>
          <cell r="S412">
            <v>0</v>
          </cell>
          <cell r="T412">
            <v>407</v>
          </cell>
        </row>
        <row r="413">
          <cell r="C413">
            <v>182034338</v>
          </cell>
          <cell r="D413" t="str">
            <v>PCS</v>
          </cell>
          <cell r="N413">
            <v>1608</v>
          </cell>
          <cell r="O413">
            <v>1347</v>
          </cell>
          <cell r="P413">
            <v>261</v>
          </cell>
          <cell r="Q413">
            <v>261</v>
          </cell>
          <cell r="R413">
            <v>0</v>
          </cell>
          <cell r="S413">
            <v>189</v>
          </cell>
          <cell r="T413">
            <v>72</v>
          </cell>
        </row>
        <row r="414">
          <cell r="C414">
            <v>100015358</v>
          </cell>
          <cell r="D414" t="str">
            <v>PCS</v>
          </cell>
          <cell r="N414">
            <v>4965</v>
          </cell>
          <cell r="O414">
            <v>4558</v>
          </cell>
          <cell r="P414">
            <v>407</v>
          </cell>
          <cell r="Q414">
            <v>407</v>
          </cell>
          <cell r="R414">
            <v>122</v>
          </cell>
          <cell r="S414">
            <v>467</v>
          </cell>
          <cell r="T414">
            <v>62</v>
          </cell>
        </row>
        <row r="415">
          <cell r="C415">
            <v>100022090</v>
          </cell>
          <cell r="D415" t="str">
            <v>PCS</v>
          </cell>
          <cell r="N415">
            <v>6032</v>
          </cell>
          <cell r="O415">
            <v>5688</v>
          </cell>
          <cell r="P415">
            <v>344</v>
          </cell>
          <cell r="Q415">
            <v>344</v>
          </cell>
          <cell r="R415">
            <v>0</v>
          </cell>
          <cell r="S415">
            <v>9</v>
          </cell>
          <cell r="T415">
            <v>335</v>
          </cell>
        </row>
        <row r="416">
          <cell r="C416">
            <v>182034820</v>
          </cell>
          <cell r="D416" t="str">
            <v>PCS</v>
          </cell>
          <cell r="N416">
            <v>1034</v>
          </cell>
          <cell r="O416">
            <v>4</v>
          </cell>
          <cell r="P416">
            <v>1030</v>
          </cell>
          <cell r="Q416">
            <v>1030</v>
          </cell>
          <cell r="R416">
            <v>10356</v>
          </cell>
          <cell r="S416">
            <v>10292</v>
          </cell>
          <cell r="T416">
            <v>1094</v>
          </cell>
        </row>
        <row r="417">
          <cell r="C417">
            <v>457223</v>
          </cell>
          <cell r="D417" t="str">
            <v>PCS</v>
          </cell>
          <cell r="N417">
            <v>10595</v>
          </cell>
          <cell r="O417">
            <v>10273</v>
          </cell>
          <cell r="P417">
            <v>322</v>
          </cell>
          <cell r="Q417">
            <v>322</v>
          </cell>
          <cell r="R417">
            <v>0</v>
          </cell>
          <cell r="S417">
            <v>8</v>
          </cell>
          <cell r="T417">
            <v>314</v>
          </cell>
        </row>
        <row r="418">
          <cell r="C418">
            <v>461186</v>
          </cell>
          <cell r="D418" t="str">
            <v>PCS</v>
          </cell>
          <cell r="N418">
            <v>4721</v>
          </cell>
          <cell r="O418">
            <v>4494</v>
          </cell>
          <cell r="P418">
            <v>227</v>
          </cell>
          <cell r="Q418">
            <v>227</v>
          </cell>
          <cell r="R418">
            <v>0</v>
          </cell>
          <cell r="S418">
            <v>0</v>
          </cell>
          <cell r="T418">
            <v>227</v>
          </cell>
        </row>
        <row r="419">
          <cell r="C419">
            <v>461795</v>
          </cell>
          <cell r="D419" t="str">
            <v>PCS</v>
          </cell>
          <cell r="N419">
            <v>12770</v>
          </cell>
          <cell r="O419">
            <v>12022</v>
          </cell>
          <cell r="P419">
            <v>748</v>
          </cell>
          <cell r="Q419">
            <v>748</v>
          </cell>
          <cell r="R419">
            <v>0</v>
          </cell>
          <cell r="S419">
            <v>13</v>
          </cell>
          <cell r="T419">
            <v>735</v>
          </cell>
        </row>
        <row r="420">
          <cell r="C420">
            <v>463022</v>
          </cell>
          <cell r="D420" t="str">
            <v>PCS</v>
          </cell>
          <cell r="N420">
            <v>3150</v>
          </cell>
          <cell r="O420">
            <v>3026</v>
          </cell>
          <cell r="P420">
            <v>124</v>
          </cell>
          <cell r="Q420">
            <v>124</v>
          </cell>
          <cell r="R420">
            <v>0</v>
          </cell>
          <cell r="S420">
            <v>0</v>
          </cell>
          <cell r="T420">
            <v>124</v>
          </cell>
        </row>
        <row r="421">
          <cell r="C421">
            <v>463024</v>
          </cell>
          <cell r="D421" t="str">
            <v>PCS</v>
          </cell>
          <cell r="N421">
            <v>6277</v>
          </cell>
          <cell r="O421">
            <v>6090</v>
          </cell>
          <cell r="P421">
            <v>187</v>
          </cell>
          <cell r="Q421">
            <v>187</v>
          </cell>
          <cell r="R421">
            <v>0</v>
          </cell>
          <cell r="S421">
            <v>4</v>
          </cell>
          <cell r="T421">
            <v>183</v>
          </cell>
        </row>
        <row r="422">
          <cell r="C422">
            <v>463029</v>
          </cell>
          <cell r="D422" t="str">
            <v>PCS</v>
          </cell>
          <cell r="N422">
            <v>6421</v>
          </cell>
          <cell r="O422">
            <v>6334</v>
          </cell>
          <cell r="P422">
            <v>87</v>
          </cell>
          <cell r="Q422">
            <v>87</v>
          </cell>
          <cell r="R422">
            <v>0</v>
          </cell>
          <cell r="S422">
            <v>0</v>
          </cell>
          <cell r="T422">
            <v>87</v>
          </cell>
        </row>
        <row r="423">
          <cell r="C423">
            <v>463030</v>
          </cell>
          <cell r="D423" t="str">
            <v>PCS</v>
          </cell>
          <cell r="N423">
            <v>3719</v>
          </cell>
          <cell r="O423">
            <v>3555</v>
          </cell>
          <cell r="P423">
            <v>164</v>
          </cell>
          <cell r="Q423">
            <v>164</v>
          </cell>
          <cell r="R423">
            <v>0</v>
          </cell>
          <cell r="S423">
            <v>0</v>
          </cell>
          <cell r="T423">
            <v>164</v>
          </cell>
        </row>
        <row r="424">
          <cell r="C424">
            <v>466459</v>
          </cell>
          <cell r="D424" t="str">
            <v>PCS</v>
          </cell>
          <cell r="N424">
            <v>2985</v>
          </cell>
          <cell r="O424">
            <v>2726</v>
          </cell>
          <cell r="P424">
            <v>259</v>
          </cell>
          <cell r="Q424">
            <v>259</v>
          </cell>
          <cell r="R424">
            <v>0</v>
          </cell>
          <cell r="S424">
            <v>0</v>
          </cell>
          <cell r="T424">
            <v>259</v>
          </cell>
        </row>
        <row r="425">
          <cell r="C425">
            <v>467476</v>
          </cell>
          <cell r="D425" t="str">
            <v>PCS</v>
          </cell>
          <cell r="N425">
            <v>16706</v>
          </cell>
          <cell r="O425">
            <v>6436</v>
          </cell>
          <cell r="P425">
            <v>10270</v>
          </cell>
          <cell r="Q425">
            <v>10270</v>
          </cell>
          <cell r="R425">
            <v>2545</v>
          </cell>
          <cell r="S425">
            <v>11761</v>
          </cell>
          <cell r="T425">
            <v>1054</v>
          </cell>
        </row>
        <row r="426">
          <cell r="C426">
            <v>468585</v>
          </cell>
          <cell r="D426" t="str">
            <v>PCS</v>
          </cell>
          <cell r="N426">
            <v>14189</v>
          </cell>
          <cell r="O426">
            <v>12233</v>
          </cell>
          <cell r="P426">
            <v>1956</v>
          </cell>
          <cell r="Q426">
            <v>1956</v>
          </cell>
          <cell r="R426">
            <v>0</v>
          </cell>
          <cell r="S426">
            <v>25</v>
          </cell>
          <cell r="T426">
            <v>1931</v>
          </cell>
        </row>
        <row r="427">
          <cell r="C427">
            <v>471857</v>
          </cell>
          <cell r="D427" t="str">
            <v>PCS</v>
          </cell>
          <cell r="N427">
            <v>868</v>
          </cell>
          <cell r="O427">
            <v>0</v>
          </cell>
          <cell r="P427">
            <v>868</v>
          </cell>
          <cell r="Q427">
            <v>868</v>
          </cell>
          <cell r="R427">
            <v>3822</v>
          </cell>
          <cell r="S427">
            <v>4562</v>
          </cell>
          <cell r="T427">
            <v>128</v>
          </cell>
        </row>
        <row r="428">
          <cell r="C428" t="str">
            <v>KTP122131</v>
          </cell>
          <cell r="D428" t="str">
            <v>PCS</v>
          </cell>
          <cell r="N428">
            <v>12498</v>
          </cell>
          <cell r="O428">
            <v>11093</v>
          </cell>
          <cell r="P428">
            <v>1405</v>
          </cell>
          <cell r="Q428">
            <v>1405</v>
          </cell>
          <cell r="R428">
            <v>0</v>
          </cell>
          <cell r="S428">
            <v>141</v>
          </cell>
          <cell r="T428">
            <v>1264</v>
          </cell>
        </row>
        <row r="429">
          <cell r="C429" t="str">
            <v>KTP124011</v>
          </cell>
          <cell r="D429" t="str">
            <v>PCS</v>
          </cell>
          <cell r="N429">
            <v>15421</v>
          </cell>
          <cell r="O429">
            <v>12605</v>
          </cell>
          <cell r="P429">
            <v>2816</v>
          </cell>
          <cell r="Q429">
            <v>2816</v>
          </cell>
          <cell r="R429">
            <v>0</v>
          </cell>
          <cell r="S429">
            <v>1735</v>
          </cell>
          <cell r="T429">
            <v>1081</v>
          </cell>
        </row>
        <row r="430">
          <cell r="C430" t="str">
            <v>KTP124021</v>
          </cell>
          <cell r="D430" t="str">
            <v>PCS</v>
          </cell>
          <cell r="N430">
            <v>7167</v>
          </cell>
          <cell r="O430">
            <v>5088</v>
          </cell>
          <cell r="P430">
            <v>2079</v>
          </cell>
          <cell r="Q430">
            <v>2079</v>
          </cell>
          <cell r="R430">
            <v>0</v>
          </cell>
          <cell r="S430">
            <v>1652</v>
          </cell>
          <cell r="T430">
            <v>427</v>
          </cell>
        </row>
        <row r="431">
          <cell r="C431">
            <v>100023338</v>
          </cell>
          <cell r="D431" t="str">
            <v>PCS</v>
          </cell>
          <cell r="N431">
            <v>6706</v>
          </cell>
          <cell r="O431">
            <v>6420</v>
          </cell>
          <cell r="P431">
            <v>286</v>
          </cell>
          <cell r="Q431">
            <v>286</v>
          </cell>
          <cell r="R431">
            <v>24</v>
          </cell>
          <cell r="S431">
            <v>10</v>
          </cell>
          <cell r="T431">
            <v>300</v>
          </cell>
        </row>
        <row r="432">
          <cell r="C432">
            <v>100025351</v>
          </cell>
          <cell r="D432" t="str">
            <v>PCS</v>
          </cell>
          <cell r="N432">
            <v>720</v>
          </cell>
          <cell r="O432">
            <v>10</v>
          </cell>
          <cell r="P432">
            <v>710</v>
          </cell>
          <cell r="Q432">
            <v>710</v>
          </cell>
          <cell r="R432">
            <v>405</v>
          </cell>
          <cell r="S432">
            <v>1091</v>
          </cell>
          <cell r="T432">
            <v>24</v>
          </cell>
        </row>
        <row r="433">
          <cell r="C433">
            <v>182034821</v>
          </cell>
          <cell r="D433" t="str">
            <v>PCS</v>
          </cell>
          <cell r="N433">
            <v>558</v>
          </cell>
          <cell r="O433">
            <v>4</v>
          </cell>
          <cell r="P433">
            <v>554</v>
          </cell>
          <cell r="Q433">
            <v>554</v>
          </cell>
          <cell r="R433">
            <v>11318</v>
          </cell>
          <cell r="S433">
            <v>11430</v>
          </cell>
          <cell r="T433">
            <v>442</v>
          </cell>
        </row>
        <row r="434">
          <cell r="C434">
            <v>182034836</v>
          </cell>
          <cell r="D434" t="str">
            <v>PCS</v>
          </cell>
          <cell r="N434">
            <v>250</v>
          </cell>
          <cell r="O434">
            <v>4</v>
          </cell>
          <cell r="P434">
            <v>246</v>
          </cell>
          <cell r="Q434">
            <v>246</v>
          </cell>
          <cell r="R434">
            <v>2756</v>
          </cell>
          <cell r="S434">
            <v>2647</v>
          </cell>
          <cell r="T434">
            <v>355</v>
          </cell>
        </row>
        <row r="435">
          <cell r="C435">
            <v>182034837</v>
          </cell>
          <cell r="D435" t="str">
            <v>PCS</v>
          </cell>
          <cell r="N435">
            <v>805</v>
          </cell>
          <cell r="O435">
            <v>4</v>
          </cell>
          <cell r="P435">
            <v>801</v>
          </cell>
          <cell r="Q435">
            <v>801</v>
          </cell>
          <cell r="R435">
            <v>5</v>
          </cell>
          <cell r="S435">
            <v>759</v>
          </cell>
          <cell r="T435">
            <v>47</v>
          </cell>
        </row>
        <row r="436">
          <cell r="C436" t="str">
            <v>KPT122931</v>
          </cell>
          <cell r="D436" t="str">
            <v>PCS</v>
          </cell>
          <cell r="N436">
            <v>1200</v>
          </cell>
          <cell r="O436">
            <v>10</v>
          </cell>
          <cell r="P436">
            <v>1190</v>
          </cell>
          <cell r="Q436">
            <v>1190</v>
          </cell>
          <cell r="R436">
            <v>10364</v>
          </cell>
          <cell r="S436">
            <v>1579</v>
          </cell>
          <cell r="T436">
            <v>9975</v>
          </cell>
        </row>
        <row r="437">
          <cell r="C437">
            <v>465318</v>
          </cell>
          <cell r="D437" t="str">
            <v>PCS</v>
          </cell>
          <cell r="R437">
            <v>6582</v>
          </cell>
          <cell r="S437">
            <v>673</v>
          </cell>
          <cell r="T437">
            <v>5909</v>
          </cell>
        </row>
        <row r="438">
          <cell r="C438">
            <v>465985</v>
          </cell>
          <cell r="D438" t="str">
            <v>PCS</v>
          </cell>
          <cell r="R438">
            <v>6498</v>
          </cell>
          <cell r="S438">
            <v>898</v>
          </cell>
          <cell r="T438">
            <v>5600</v>
          </cell>
        </row>
        <row r="439">
          <cell r="C439">
            <v>466092</v>
          </cell>
          <cell r="D439" t="str">
            <v>PCS</v>
          </cell>
          <cell r="R439">
            <v>1691</v>
          </cell>
          <cell r="S439">
            <v>1488</v>
          </cell>
          <cell r="T439">
            <v>203</v>
          </cell>
        </row>
        <row r="440">
          <cell r="C440">
            <v>470322</v>
          </cell>
          <cell r="D440" t="str">
            <v>PCS</v>
          </cell>
          <cell r="R440">
            <v>6479</v>
          </cell>
          <cell r="S440">
            <v>6168</v>
          </cell>
          <cell r="T440">
            <v>311</v>
          </cell>
        </row>
        <row r="441">
          <cell r="C441">
            <v>471823</v>
          </cell>
          <cell r="D441" t="str">
            <v>PCS</v>
          </cell>
          <cell r="R441">
            <v>8474</v>
          </cell>
          <cell r="S441">
            <v>2521</v>
          </cell>
          <cell r="T441">
            <v>5953</v>
          </cell>
        </row>
        <row r="442">
          <cell r="C442">
            <v>471825</v>
          </cell>
          <cell r="D442" t="str">
            <v>PCS</v>
          </cell>
          <cell r="R442">
            <v>965</v>
          </cell>
          <cell r="S442">
            <v>856</v>
          </cell>
          <cell r="T442">
            <v>109</v>
          </cell>
        </row>
        <row r="443">
          <cell r="C443">
            <v>472140</v>
          </cell>
          <cell r="D443" t="str">
            <v>PCS</v>
          </cell>
          <cell r="R443">
            <v>1526</v>
          </cell>
          <cell r="S443">
            <v>1324</v>
          </cell>
          <cell r="T443">
            <v>202</v>
          </cell>
        </row>
        <row r="444">
          <cell r="C444">
            <v>472629</v>
          </cell>
          <cell r="D444" t="str">
            <v>PCS</v>
          </cell>
          <cell r="R444">
            <v>5498</v>
          </cell>
          <cell r="S444">
            <v>4950</v>
          </cell>
          <cell r="T444">
            <v>548</v>
          </cell>
        </row>
        <row r="445">
          <cell r="C445">
            <v>100015200</v>
          </cell>
          <cell r="D445" t="str">
            <v>PCS</v>
          </cell>
          <cell r="R445">
            <v>2891</v>
          </cell>
          <cell r="S445">
            <v>2473</v>
          </cell>
          <cell r="T445">
            <v>418</v>
          </cell>
        </row>
        <row r="446">
          <cell r="C446">
            <v>100015306</v>
          </cell>
          <cell r="D446" t="str">
            <v>PCS</v>
          </cell>
          <cell r="R446">
            <v>2410</v>
          </cell>
          <cell r="S446">
            <v>2325</v>
          </cell>
          <cell r="T446">
            <v>85</v>
          </cell>
        </row>
        <row r="447">
          <cell r="C447">
            <v>100016101</v>
          </cell>
          <cell r="D447" t="str">
            <v>PCS</v>
          </cell>
          <cell r="R447">
            <v>2509</v>
          </cell>
          <cell r="S447">
            <v>1167</v>
          </cell>
          <cell r="T447">
            <v>1342</v>
          </cell>
        </row>
        <row r="448">
          <cell r="C448">
            <v>100017974</v>
          </cell>
          <cell r="D448" t="str">
            <v>PCS</v>
          </cell>
          <cell r="R448">
            <v>9562</v>
          </cell>
          <cell r="S448">
            <v>9198</v>
          </cell>
          <cell r="T448">
            <v>364</v>
          </cell>
        </row>
        <row r="449">
          <cell r="C449">
            <v>100018139</v>
          </cell>
          <cell r="D449" t="str">
            <v>PCS</v>
          </cell>
          <cell r="R449">
            <v>8114</v>
          </cell>
          <cell r="S449">
            <v>1506</v>
          </cell>
          <cell r="T449">
            <v>6608</v>
          </cell>
        </row>
        <row r="450">
          <cell r="C450">
            <v>100018175</v>
          </cell>
          <cell r="D450" t="str">
            <v>PCS</v>
          </cell>
          <cell r="R450">
            <v>11391</v>
          </cell>
          <cell r="S450">
            <v>6528</v>
          </cell>
          <cell r="T450">
            <v>4863</v>
          </cell>
        </row>
        <row r="451">
          <cell r="C451">
            <v>100018176</v>
          </cell>
          <cell r="D451" t="str">
            <v>PCS</v>
          </cell>
          <cell r="R451">
            <v>6108</v>
          </cell>
          <cell r="S451">
            <v>5215</v>
          </cell>
          <cell r="T451">
            <v>893</v>
          </cell>
        </row>
        <row r="452">
          <cell r="C452">
            <v>100018178</v>
          </cell>
          <cell r="D452" t="str">
            <v>PCS</v>
          </cell>
          <cell r="R452">
            <v>997</v>
          </cell>
          <cell r="S452">
            <v>894</v>
          </cell>
          <cell r="T452">
            <v>103</v>
          </cell>
        </row>
        <row r="453">
          <cell r="C453">
            <v>100018179</v>
          </cell>
          <cell r="D453" t="str">
            <v>PCS</v>
          </cell>
          <cell r="R453">
            <v>1784</v>
          </cell>
          <cell r="S453">
            <v>1704</v>
          </cell>
          <cell r="T453">
            <v>80</v>
          </cell>
        </row>
        <row r="454">
          <cell r="C454">
            <v>100018235</v>
          </cell>
          <cell r="D454" t="str">
            <v>PCS</v>
          </cell>
          <cell r="R454">
            <v>3845</v>
          </cell>
          <cell r="S454">
            <v>3518</v>
          </cell>
          <cell r="T454">
            <v>327</v>
          </cell>
        </row>
        <row r="455">
          <cell r="C455">
            <v>100018237</v>
          </cell>
          <cell r="D455" t="str">
            <v>PCS</v>
          </cell>
          <cell r="R455">
            <v>5185</v>
          </cell>
          <cell r="S455">
            <v>4932</v>
          </cell>
          <cell r="T455">
            <v>253</v>
          </cell>
        </row>
        <row r="456">
          <cell r="C456">
            <v>100018239</v>
          </cell>
          <cell r="D456" t="str">
            <v>PCS</v>
          </cell>
          <cell r="R456">
            <v>2790</v>
          </cell>
          <cell r="S456">
            <v>2661</v>
          </cell>
          <cell r="T456">
            <v>129</v>
          </cell>
        </row>
        <row r="457">
          <cell r="C457">
            <v>100018240</v>
          </cell>
          <cell r="D457" t="str">
            <v>PCS</v>
          </cell>
          <cell r="R457">
            <v>6183</v>
          </cell>
          <cell r="S457">
            <v>5822</v>
          </cell>
          <cell r="T457">
            <v>361</v>
          </cell>
        </row>
        <row r="458">
          <cell r="C458">
            <v>100018242</v>
          </cell>
          <cell r="D458" t="str">
            <v>PCS</v>
          </cell>
          <cell r="R458">
            <v>1841</v>
          </cell>
          <cell r="S458">
            <v>1761</v>
          </cell>
          <cell r="T458">
            <v>80</v>
          </cell>
        </row>
        <row r="459">
          <cell r="C459">
            <v>100019044</v>
          </cell>
          <cell r="D459" t="str">
            <v>PCS</v>
          </cell>
          <cell r="R459">
            <v>12790</v>
          </cell>
          <cell r="S459">
            <v>11794</v>
          </cell>
          <cell r="T459">
            <v>996</v>
          </cell>
        </row>
        <row r="460">
          <cell r="C460">
            <v>100023527</v>
          </cell>
          <cell r="D460" t="str">
            <v>PCS</v>
          </cell>
          <cell r="R460">
            <v>14681</v>
          </cell>
          <cell r="S460">
            <v>14010</v>
          </cell>
          <cell r="T460">
            <v>671</v>
          </cell>
        </row>
        <row r="461">
          <cell r="C461">
            <v>100024705</v>
          </cell>
          <cell r="D461" t="str">
            <v>PCS</v>
          </cell>
          <cell r="R461">
            <v>4824</v>
          </cell>
          <cell r="S461">
            <v>2324</v>
          </cell>
          <cell r="T461">
            <v>2500</v>
          </cell>
        </row>
        <row r="462">
          <cell r="C462">
            <v>100027400</v>
          </cell>
          <cell r="D462" t="str">
            <v>PCS</v>
          </cell>
          <cell r="R462">
            <v>803</v>
          </cell>
          <cell r="S462">
            <v>776</v>
          </cell>
          <cell r="T462">
            <v>27</v>
          </cell>
        </row>
        <row r="463">
          <cell r="C463">
            <v>100027987</v>
          </cell>
          <cell r="D463" t="str">
            <v>PCS</v>
          </cell>
          <cell r="R463">
            <v>5798</v>
          </cell>
          <cell r="S463">
            <v>5538</v>
          </cell>
          <cell r="T463">
            <v>260</v>
          </cell>
        </row>
        <row r="464">
          <cell r="C464">
            <v>100028764</v>
          </cell>
          <cell r="D464" t="str">
            <v>PCS</v>
          </cell>
          <cell r="R464">
            <v>4565</v>
          </cell>
          <cell r="S464">
            <v>45</v>
          </cell>
          <cell r="T464">
            <v>4520</v>
          </cell>
        </row>
        <row r="465">
          <cell r="C465">
            <v>100033322</v>
          </cell>
          <cell r="D465" t="str">
            <v>PCS</v>
          </cell>
          <cell r="R465">
            <v>4396</v>
          </cell>
          <cell r="S465">
            <v>4314</v>
          </cell>
          <cell r="T465">
            <v>82</v>
          </cell>
        </row>
        <row r="466">
          <cell r="C466">
            <v>100034173</v>
          </cell>
          <cell r="D466" t="str">
            <v>PCS</v>
          </cell>
          <cell r="R466">
            <v>6878</v>
          </cell>
          <cell r="S466">
            <v>1457</v>
          </cell>
          <cell r="T466">
            <v>5421</v>
          </cell>
        </row>
        <row r="467">
          <cell r="C467">
            <v>182034833</v>
          </cell>
          <cell r="D467" t="str">
            <v>PCS</v>
          </cell>
          <cell r="R467">
            <v>1718</v>
          </cell>
          <cell r="S467">
            <v>1667</v>
          </cell>
          <cell r="T467">
            <v>51</v>
          </cell>
        </row>
        <row r="468">
          <cell r="C468">
            <v>464035</v>
          </cell>
          <cell r="D468" t="str">
            <v>PCS</v>
          </cell>
          <cell r="R468">
            <v>12678</v>
          </cell>
          <cell r="S468">
            <v>5923</v>
          </cell>
          <cell r="T468">
            <v>6755</v>
          </cell>
        </row>
        <row r="469">
          <cell r="C469">
            <v>464354</v>
          </cell>
          <cell r="D469" t="str">
            <v>PCS</v>
          </cell>
          <cell r="R469">
            <v>17461</v>
          </cell>
          <cell r="S469">
            <v>9318</v>
          </cell>
          <cell r="T469">
            <v>8143</v>
          </cell>
        </row>
        <row r="470">
          <cell r="C470">
            <v>469491</v>
          </cell>
          <cell r="D470" t="str">
            <v>PCS</v>
          </cell>
          <cell r="R470">
            <v>8893</v>
          </cell>
          <cell r="S470">
            <v>8260</v>
          </cell>
          <cell r="T470">
            <v>633</v>
          </cell>
        </row>
        <row r="471">
          <cell r="C471">
            <v>474304</v>
          </cell>
          <cell r="D471" t="str">
            <v>PCS</v>
          </cell>
          <cell r="R471">
            <v>10293</v>
          </cell>
          <cell r="S471">
            <v>8589</v>
          </cell>
          <cell r="T471">
            <v>1704</v>
          </cell>
        </row>
        <row r="472">
          <cell r="C472" t="str">
            <v>7X211</v>
          </cell>
          <cell r="D472" t="str">
            <v>PCS</v>
          </cell>
          <cell r="R472">
            <v>363</v>
          </cell>
          <cell r="S472">
            <v>243</v>
          </cell>
          <cell r="T472">
            <v>120</v>
          </cell>
        </row>
        <row r="473">
          <cell r="C473" t="str">
            <v>KPT116131</v>
          </cell>
          <cell r="D473" t="str">
            <v>PCS</v>
          </cell>
          <cell r="R473">
            <v>8479</v>
          </cell>
          <cell r="S473">
            <v>4523</v>
          </cell>
          <cell r="T473">
            <v>3956</v>
          </cell>
        </row>
        <row r="474">
          <cell r="C474">
            <v>100019047</v>
          </cell>
          <cell r="D474" t="str">
            <v>PCS</v>
          </cell>
          <cell r="R474">
            <v>3684</v>
          </cell>
          <cell r="S474">
            <v>0</v>
          </cell>
          <cell r="T474">
            <v>3684</v>
          </cell>
        </row>
        <row r="475">
          <cell r="C475">
            <v>466798</v>
          </cell>
          <cell r="D475" t="str">
            <v>PCS</v>
          </cell>
          <cell r="R475">
            <v>2350</v>
          </cell>
          <cell r="S475">
            <v>0</v>
          </cell>
          <cell r="T475">
            <v>2350</v>
          </cell>
        </row>
        <row r="476">
          <cell r="C476">
            <v>468921</v>
          </cell>
          <cell r="D476" t="str">
            <v>PCS</v>
          </cell>
          <cell r="R476">
            <v>708</v>
          </cell>
          <cell r="S476">
            <v>0</v>
          </cell>
          <cell r="T476">
            <v>708</v>
          </cell>
        </row>
        <row r="477">
          <cell r="C477">
            <v>469052</v>
          </cell>
          <cell r="D477" t="str">
            <v>PCS</v>
          </cell>
          <cell r="R477">
            <v>2376</v>
          </cell>
          <cell r="S477">
            <v>0</v>
          </cell>
          <cell r="T477">
            <v>2376</v>
          </cell>
        </row>
        <row r="478">
          <cell r="C478">
            <v>469493</v>
          </cell>
          <cell r="D478" t="str">
            <v>PCS</v>
          </cell>
          <cell r="R478">
            <v>1092</v>
          </cell>
          <cell r="S478">
            <v>0</v>
          </cell>
          <cell r="T478">
            <v>1092</v>
          </cell>
        </row>
        <row r="479">
          <cell r="C479">
            <v>470238</v>
          </cell>
          <cell r="D479" t="str">
            <v>PCS</v>
          </cell>
          <cell r="R479">
            <v>4986</v>
          </cell>
          <cell r="S479">
            <v>4</v>
          </cell>
          <cell r="T479">
            <v>4982</v>
          </cell>
        </row>
        <row r="480">
          <cell r="C480">
            <v>470342</v>
          </cell>
          <cell r="D480" t="str">
            <v>PCS</v>
          </cell>
          <cell r="R480">
            <v>2398</v>
          </cell>
          <cell r="S480">
            <v>0</v>
          </cell>
          <cell r="T480">
            <v>2398</v>
          </cell>
        </row>
        <row r="481">
          <cell r="C481">
            <v>474049</v>
          </cell>
          <cell r="D481" t="str">
            <v>PCS</v>
          </cell>
          <cell r="R481">
            <v>7880</v>
          </cell>
          <cell r="S481">
            <v>0</v>
          </cell>
          <cell r="T481">
            <v>7880</v>
          </cell>
        </row>
        <row r="482">
          <cell r="C482">
            <v>474816</v>
          </cell>
          <cell r="D482" t="str">
            <v>PCS</v>
          </cell>
          <cell r="R482">
            <v>7832</v>
          </cell>
          <cell r="S482">
            <v>0</v>
          </cell>
          <cell r="T482">
            <v>7832</v>
          </cell>
        </row>
        <row r="483">
          <cell r="C483">
            <v>471157</v>
          </cell>
          <cell r="D483" t="str">
            <v>PCS</v>
          </cell>
          <cell r="R483">
            <v>2886</v>
          </cell>
          <cell r="S483">
            <v>0</v>
          </cell>
          <cell r="T483">
            <v>2886</v>
          </cell>
        </row>
        <row r="484">
          <cell r="C484">
            <v>482924</v>
          </cell>
          <cell r="D484" t="str">
            <v>PCS</v>
          </cell>
          <cell r="R484">
            <v>452</v>
          </cell>
          <cell r="S484">
            <v>0</v>
          </cell>
          <cell r="T484">
            <v>452</v>
          </cell>
        </row>
        <row r="485">
          <cell r="C485">
            <v>466742</v>
          </cell>
          <cell r="D485" t="str">
            <v>PCS</v>
          </cell>
          <cell r="R485">
            <v>7982</v>
          </cell>
          <cell r="S485">
            <v>0</v>
          </cell>
          <cell r="T485">
            <v>7982</v>
          </cell>
        </row>
        <row r="486">
          <cell r="C486">
            <v>100018226</v>
          </cell>
          <cell r="D486" t="str">
            <v>PCS</v>
          </cell>
          <cell r="T486">
            <v>0</v>
          </cell>
        </row>
        <row r="487">
          <cell r="C487">
            <v>100034888</v>
          </cell>
          <cell r="D487" t="str">
            <v>PCS</v>
          </cell>
          <cell r="T487">
            <v>0</v>
          </cell>
        </row>
        <row r="488">
          <cell r="C488">
            <v>100035009</v>
          </cell>
          <cell r="D488" t="str">
            <v>PCS</v>
          </cell>
          <cell r="T488">
            <v>0</v>
          </cell>
        </row>
        <row r="489">
          <cell r="C489">
            <v>174034716</v>
          </cell>
          <cell r="D489" t="str">
            <v>PCS</v>
          </cell>
          <cell r="T489">
            <v>0</v>
          </cell>
        </row>
        <row r="490">
          <cell r="C490">
            <v>174034718</v>
          </cell>
          <cell r="D490" t="str">
            <v>PCS</v>
          </cell>
          <cell r="T490">
            <v>0</v>
          </cell>
        </row>
        <row r="491">
          <cell r="C491">
            <v>174034720</v>
          </cell>
          <cell r="D491" t="str">
            <v>PCS</v>
          </cell>
          <cell r="T491">
            <v>0</v>
          </cell>
        </row>
        <row r="492">
          <cell r="C492">
            <v>174034865</v>
          </cell>
          <cell r="D492" t="str">
            <v>PCS</v>
          </cell>
          <cell r="T492">
            <v>0</v>
          </cell>
        </row>
        <row r="493">
          <cell r="C493">
            <v>183034522</v>
          </cell>
          <cell r="D493" t="str">
            <v>PCS</v>
          </cell>
          <cell r="T493">
            <v>0</v>
          </cell>
        </row>
        <row r="494">
          <cell r="C494">
            <v>452172</v>
          </cell>
          <cell r="D494" t="str">
            <v>PCS</v>
          </cell>
          <cell r="T494">
            <v>0</v>
          </cell>
        </row>
        <row r="495">
          <cell r="C495">
            <v>453289</v>
          </cell>
          <cell r="D495" t="str">
            <v>PCS</v>
          </cell>
          <cell r="T495">
            <v>0</v>
          </cell>
        </row>
        <row r="496">
          <cell r="C496">
            <v>453516</v>
          </cell>
          <cell r="D496" t="str">
            <v>PCS</v>
          </cell>
          <cell r="T496">
            <v>0</v>
          </cell>
        </row>
        <row r="497">
          <cell r="C497">
            <v>453595</v>
          </cell>
          <cell r="D497" t="str">
            <v>PCS</v>
          </cell>
          <cell r="T497">
            <v>0</v>
          </cell>
        </row>
        <row r="498">
          <cell r="C498">
            <v>454060</v>
          </cell>
          <cell r="D498" t="str">
            <v>PCS</v>
          </cell>
          <cell r="T498">
            <v>0</v>
          </cell>
        </row>
        <row r="499">
          <cell r="C499">
            <v>456261</v>
          </cell>
          <cell r="D499" t="str">
            <v>PCS</v>
          </cell>
          <cell r="T499">
            <v>0</v>
          </cell>
        </row>
        <row r="500">
          <cell r="C500">
            <v>456532</v>
          </cell>
          <cell r="D500" t="str">
            <v>PCS</v>
          </cell>
          <cell r="T500">
            <v>0</v>
          </cell>
        </row>
        <row r="501">
          <cell r="C501">
            <v>456729</v>
          </cell>
          <cell r="D501" t="str">
            <v>PCS</v>
          </cell>
          <cell r="T501">
            <v>0</v>
          </cell>
        </row>
        <row r="502">
          <cell r="C502">
            <v>464202</v>
          </cell>
          <cell r="D502" t="str">
            <v>PCS</v>
          </cell>
          <cell r="T502">
            <v>0</v>
          </cell>
        </row>
        <row r="503">
          <cell r="C503">
            <v>464618</v>
          </cell>
          <cell r="D503" t="str">
            <v>PCS</v>
          </cell>
          <cell r="T503">
            <v>0</v>
          </cell>
        </row>
        <row r="504">
          <cell r="C504">
            <v>466748</v>
          </cell>
          <cell r="D504" t="str">
            <v>PCS</v>
          </cell>
          <cell r="T504">
            <v>0</v>
          </cell>
        </row>
        <row r="505">
          <cell r="C505">
            <v>468918</v>
          </cell>
          <cell r="D505" t="str">
            <v>PCS</v>
          </cell>
          <cell r="T505">
            <v>0</v>
          </cell>
        </row>
        <row r="506">
          <cell r="C506">
            <v>469040</v>
          </cell>
          <cell r="D506" t="str">
            <v>PCS</v>
          </cell>
          <cell r="T506">
            <v>0</v>
          </cell>
        </row>
        <row r="507">
          <cell r="C507">
            <v>469041</v>
          </cell>
          <cell r="D507" t="str">
            <v>PCS</v>
          </cell>
          <cell r="T507">
            <v>0</v>
          </cell>
        </row>
        <row r="508">
          <cell r="C508">
            <v>469042</v>
          </cell>
          <cell r="D508" t="str">
            <v>PCS</v>
          </cell>
          <cell r="T508">
            <v>0</v>
          </cell>
        </row>
        <row r="509">
          <cell r="C509">
            <v>470341</v>
          </cell>
          <cell r="D509" t="str">
            <v>PCS</v>
          </cell>
          <cell r="T509">
            <v>0</v>
          </cell>
        </row>
        <row r="510">
          <cell r="C510">
            <v>471140</v>
          </cell>
          <cell r="D510" t="str">
            <v>PCS</v>
          </cell>
          <cell r="T510">
            <v>0</v>
          </cell>
        </row>
        <row r="511">
          <cell r="C511">
            <v>473551</v>
          </cell>
          <cell r="D511" t="str">
            <v>PCS</v>
          </cell>
          <cell r="T511">
            <v>0</v>
          </cell>
        </row>
        <row r="512">
          <cell r="C512">
            <v>474753</v>
          </cell>
          <cell r="D512" t="str">
            <v>PCS</v>
          </cell>
          <cell r="T512">
            <v>0</v>
          </cell>
        </row>
        <row r="513">
          <cell r="C513">
            <v>474874</v>
          </cell>
          <cell r="D513" t="str">
            <v>PCS</v>
          </cell>
          <cell r="T513">
            <v>0</v>
          </cell>
        </row>
        <row r="514">
          <cell r="C514">
            <v>475746</v>
          </cell>
          <cell r="D514" t="str">
            <v>PCS</v>
          </cell>
          <cell r="T514">
            <v>0</v>
          </cell>
        </row>
        <row r="515">
          <cell r="C515" t="str">
            <v>CN387950MI</v>
          </cell>
          <cell r="D515" t="str">
            <v>PCS</v>
          </cell>
          <cell r="T515">
            <v>0</v>
          </cell>
        </row>
        <row r="516">
          <cell r="C516" t="str">
            <v>CN387950MP</v>
          </cell>
          <cell r="D516" t="str">
            <v>PCS</v>
          </cell>
          <cell r="T516">
            <v>0</v>
          </cell>
        </row>
        <row r="517">
          <cell r="C517" t="str">
            <v>HA389675MI</v>
          </cell>
          <cell r="D517" t="str">
            <v>PCS</v>
          </cell>
          <cell r="T517">
            <v>0</v>
          </cell>
        </row>
        <row r="518">
          <cell r="C518" t="str">
            <v>HA389675MP</v>
          </cell>
          <cell r="D518" t="str">
            <v>PCS</v>
          </cell>
          <cell r="T518">
            <v>0</v>
          </cell>
        </row>
        <row r="519">
          <cell r="C519" t="str">
            <v>HA389950MI</v>
          </cell>
          <cell r="D519" t="str">
            <v>PCS</v>
          </cell>
          <cell r="T519">
            <v>0</v>
          </cell>
        </row>
        <row r="520">
          <cell r="C520" t="str">
            <v>HA389950MP</v>
          </cell>
          <cell r="D520" t="str">
            <v>PCS</v>
          </cell>
          <cell r="T520">
            <v>0</v>
          </cell>
        </row>
        <row r="521">
          <cell r="C521" t="str">
            <v>HL383808MI</v>
          </cell>
          <cell r="D521" t="str">
            <v>PCS</v>
          </cell>
          <cell r="T521">
            <v>0</v>
          </cell>
        </row>
        <row r="522">
          <cell r="C522" t="str">
            <v>HL383852MI</v>
          </cell>
          <cell r="D522" t="str">
            <v>PCS</v>
          </cell>
          <cell r="T522">
            <v>0</v>
          </cell>
        </row>
        <row r="523">
          <cell r="C523" t="str">
            <v>KPT072751</v>
          </cell>
          <cell r="D523" t="str">
            <v>PCS</v>
          </cell>
          <cell r="R523">
            <v>44</v>
          </cell>
          <cell r="T523">
            <v>44</v>
          </cell>
        </row>
        <row r="524">
          <cell r="C524" t="str">
            <v>KTP117791</v>
          </cell>
          <cell r="D524" t="str">
            <v>PCS</v>
          </cell>
          <cell r="R524">
            <v>12</v>
          </cell>
          <cell r="T524">
            <v>12</v>
          </cell>
        </row>
        <row r="525">
          <cell r="C525">
            <v>472085</v>
          </cell>
          <cell r="D525" t="str">
            <v>PCS</v>
          </cell>
          <cell r="T525">
            <v>0</v>
          </cell>
        </row>
        <row r="526">
          <cell r="C526">
            <v>472371</v>
          </cell>
          <cell r="D526" t="str">
            <v>PCS</v>
          </cell>
          <cell r="T526">
            <v>0</v>
          </cell>
        </row>
        <row r="527">
          <cell r="C527">
            <v>474932</v>
          </cell>
          <cell r="D527" t="str">
            <v>PCS</v>
          </cell>
          <cell r="T527">
            <v>0</v>
          </cell>
        </row>
        <row r="528">
          <cell r="C528">
            <v>476091</v>
          </cell>
          <cell r="D528" t="str">
            <v>PCS</v>
          </cell>
          <cell r="T528">
            <v>0</v>
          </cell>
        </row>
        <row r="529">
          <cell r="C529">
            <v>100018130</v>
          </cell>
          <cell r="D529" t="str">
            <v>PCS</v>
          </cell>
          <cell r="T529">
            <v>0</v>
          </cell>
        </row>
        <row r="530">
          <cell r="C530">
            <v>100018197</v>
          </cell>
          <cell r="D530" t="str">
            <v>PCS</v>
          </cell>
          <cell r="T530">
            <v>0</v>
          </cell>
        </row>
        <row r="531">
          <cell r="C531">
            <v>100018200</v>
          </cell>
          <cell r="D531" t="str">
            <v>PCS</v>
          </cell>
          <cell r="T531">
            <v>0</v>
          </cell>
        </row>
        <row r="532">
          <cell r="C532">
            <v>100018207</v>
          </cell>
          <cell r="D532" t="str">
            <v>PCS</v>
          </cell>
          <cell r="T532">
            <v>0</v>
          </cell>
        </row>
        <row r="533">
          <cell r="C533">
            <v>100018224</v>
          </cell>
          <cell r="D533" t="str">
            <v>PCS</v>
          </cell>
          <cell r="T533">
            <v>0</v>
          </cell>
        </row>
        <row r="534">
          <cell r="C534">
            <v>100018229</v>
          </cell>
          <cell r="D534" t="str">
            <v>PCS</v>
          </cell>
          <cell r="T534">
            <v>0</v>
          </cell>
        </row>
        <row r="535">
          <cell r="C535">
            <v>100018250</v>
          </cell>
          <cell r="D535" t="str">
            <v>PCS</v>
          </cell>
          <cell r="T535">
            <v>0</v>
          </cell>
        </row>
        <row r="536">
          <cell r="C536">
            <v>100018251</v>
          </cell>
          <cell r="D536" t="str">
            <v>PCS</v>
          </cell>
          <cell r="T536">
            <v>0</v>
          </cell>
        </row>
        <row r="537">
          <cell r="C537">
            <v>100018252</v>
          </cell>
          <cell r="D537" t="str">
            <v>PCS</v>
          </cell>
          <cell r="T537">
            <v>0</v>
          </cell>
        </row>
        <row r="538">
          <cell r="C538">
            <v>100018257</v>
          </cell>
          <cell r="D538" t="str">
            <v>PCS</v>
          </cell>
          <cell r="T538">
            <v>0</v>
          </cell>
        </row>
        <row r="539">
          <cell r="C539">
            <v>100018258</v>
          </cell>
          <cell r="D539" t="str">
            <v>PCS</v>
          </cell>
          <cell r="T539">
            <v>0</v>
          </cell>
        </row>
        <row r="540">
          <cell r="C540">
            <v>100018259</v>
          </cell>
          <cell r="D540" t="str">
            <v>PCS</v>
          </cell>
          <cell r="T540">
            <v>0</v>
          </cell>
        </row>
        <row r="541">
          <cell r="C541">
            <v>100018260</v>
          </cell>
          <cell r="D541" t="str">
            <v>PCS</v>
          </cell>
          <cell r="T541">
            <v>0</v>
          </cell>
        </row>
        <row r="542">
          <cell r="C542">
            <v>100024706</v>
          </cell>
          <cell r="D542" t="str">
            <v>PCS</v>
          </cell>
          <cell r="T542">
            <v>0</v>
          </cell>
        </row>
        <row r="543">
          <cell r="C543">
            <v>100027409</v>
          </cell>
          <cell r="D543" t="str">
            <v>PCS</v>
          </cell>
          <cell r="T543">
            <v>0</v>
          </cell>
        </row>
        <row r="544">
          <cell r="C544">
            <v>100034267</v>
          </cell>
          <cell r="D544" t="str">
            <v>PCS</v>
          </cell>
          <cell r="T544">
            <v>0</v>
          </cell>
        </row>
        <row r="545">
          <cell r="C545">
            <v>183034591</v>
          </cell>
          <cell r="D545" t="str">
            <v>PCS</v>
          </cell>
          <cell r="T545">
            <v>0</v>
          </cell>
        </row>
        <row r="546">
          <cell r="C546" t="str">
            <v xml:space="preserve">7X727 </v>
          </cell>
          <cell r="D546" t="str">
            <v>PCS</v>
          </cell>
          <cell r="T546">
            <v>0</v>
          </cell>
        </row>
        <row r="547">
          <cell r="C547" t="str">
            <v>EESOQ-T4577</v>
          </cell>
          <cell r="D547" t="str">
            <v>PCS</v>
          </cell>
          <cell r="T547">
            <v>0</v>
          </cell>
        </row>
        <row r="548">
          <cell r="C548" t="str">
            <v>F8SOQ-T4578M</v>
          </cell>
          <cell r="D548" t="str">
            <v>PCS</v>
          </cell>
          <cell r="T548">
            <v>0</v>
          </cell>
        </row>
        <row r="549">
          <cell r="C549">
            <v>100034276</v>
          </cell>
          <cell r="D549" t="str">
            <v>PCS</v>
          </cell>
          <cell r="T549">
            <v>0</v>
          </cell>
        </row>
        <row r="550">
          <cell r="C550">
            <v>183033602</v>
          </cell>
          <cell r="D550" t="str">
            <v>PCS</v>
          </cell>
          <cell r="T550">
            <v>0</v>
          </cell>
        </row>
        <row r="551">
          <cell r="C551">
            <v>183034592</v>
          </cell>
          <cell r="D551" t="str">
            <v>PCS</v>
          </cell>
          <cell r="T551">
            <v>0</v>
          </cell>
        </row>
        <row r="552">
          <cell r="C552">
            <v>476154</v>
          </cell>
          <cell r="D552" t="str">
            <v>PCS</v>
          </cell>
          <cell r="T552">
            <v>0</v>
          </cell>
        </row>
        <row r="553">
          <cell r="C553">
            <v>483830</v>
          </cell>
          <cell r="D553" t="str">
            <v>PCS</v>
          </cell>
          <cell r="T553">
            <v>0</v>
          </cell>
        </row>
        <row r="554">
          <cell r="C554" t="str">
            <v>KPT001631</v>
          </cell>
          <cell r="D554" t="str">
            <v>PCS</v>
          </cell>
          <cell r="R554">
            <v>274</v>
          </cell>
          <cell r="T554">
            <v>274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T - Daily"/>
      <sheetName val="cutting"/>
      <sheetName val="SUM-Daily"/>
      <sheetName val="FINISH SHIPPING ON APR"/>
      <sheetName val="Sheet6"/>
      <sheetName val="Sheet7"/>
      <sheetName val="ANNTAYLOR"/>
      <sheetName val="SUM-Daily (2)"/>
      <sheetName val=" FINISH SHIPPING ON FEB"/>
      <sheetName val="Sheet1"/>
      <sheetName val="FINISH SHIPPING ON FEB"/>
      <sheetName val=" FINISH SHIPPING ON JAN"/>
      <sheetName val="FINISH SHIPPING ON JAN"/>
      <sheetName val="FINISH SHIPPING ON JAN (2)"/>
    </sheetNames>
    <sheetDataSet>
      <sheetData sheetId="0" refreshError="1"/>
      <sheetData sheetId="1">
        <row r="4">
          <cell r="A4">
            <v>2072</v>
          </cell>
          <cell r="B4">
            <v>34920</v>
          </cell>
          <cell r="C4">
            <v>24568</v>
          </cell>
        </row>
        <row r="5">
          <cell r="A5">
            <v>2335</v>
          </cell>
          <cell r="B5">
            <v>9098</v>
          </cell>
          <cell r="C5">
            <v>7801</v>
          </cell>
        </row>
        <row r="6">
          <cell r="A6">
            <v>7220</v>
          </cell>
          <cell r="B6">
            <v>2865</v>
          </cell>
          <cell r="C6">
            <v>1660</v>
          </cell>
        </row>
        <row r="7">
          <cell r="A7">
            <v>16661</v>
          </cell>
          <cell r="B7">
            <v>2736</v>
          </cell>
          <cell r="C7">
            <v>2736</v>
          </cell>
        </row>
        <row r="8">
          <cell r="A8">
            <v>68416</v>
          </cell>
          <cell r="B8">
            <v>940</v>
          </cell>
        </row>
        <row r="9">
          <cell r="A9">
            <v>69216</v>
          </cell>
          <cell r="B9">
            <v>160</v>
          </cell>
          <cell r="C9">
            <v>160</v>
          </cell>
        </row>
        <row r="10">
          <cell r="A10">
            <v>69717</v>
          </cell>
          <cell r="B10">
            <v>7401</v>
          </cell>
          <cell r="C10">
            <v>2739</v>
          </cell>
        </row>
        <row r="11">
          <cell r="A11">
            <v>73206</v>
          </cell>
          <cell r="B11">
            <v>696</v>
          </cell>
          <cell r="C11">
            <v>696</v>
          </cell>
        </row>
        <row r="12">
          <cell r="A12">
            <v>73301</v>
          </cell>
          <cell r="B12">
            <v>4085</v>
          </cell>
          <cell r="C12">
            <v>4085</v>
          </cell>
        </row>
        <row r="13">
          <cell r="A13">
            <v>74401</v>
          </cell>
          <cell r="B13">
            <v>11000.630000000001</v>
          </cell>
        </row>
        <row r="14">
          <cell r="A14">
            <v>74902</v>
          </cell>
          <cell r="B14">
            <v>10917</v>
          </cell>
          <cell r="C14">
            <v>10917</v>
          </cell>
        </row>
        <row r="15">
          <cell r="A15">
            <v>75303</v>
          </cell>
          <cell r="B15">
            <v>9025</v>
          </cell>
          <cell r="C15">
            <v>9025</v>
          </cell>
        </row>
        <row r="16">
          <cell r="A16">
            <v>76203</v>
          </cell>
          <cell r="B16">
            <v>615</v>
          </cell>
          <cell r="C16">
            <v>615</v>
          </cell>
        </row>
        <row r="17">
          <cell r="A17">
            <v>76733</v>
          </cell>
          <cell r="B17">
            <v>1514</v>
          </cell>
          <cell r="C17">
            <v>1514</v>
          </cell>
        </row>
        <row r="18">
          <cell r="A18">
            <v>462511</v>
          </cell>
          <cell r="B18">
            <v>14214</v>
          </cell>
          <cell r="C18">
            <v>14214</v>
          </cell>
        </row>
        <row r="19">
          <cell r="A19">
            <v>462516</v>
          </cell>
          <cell r="B19">
            <v>33496</v>
          </cell>
          <cell r="C19">
            <v>33496</v>
          </cell>
        </row>
        <row r="20">
          <cell r="A20">
            <v>464035</v>
          </cell>
          <cell r="B20">
            <v>19907</v>
          </cell>
          <cell r="C20">
            <v>12678</v>
          </cell>
        </row>
        <row r="21">
          <cell r="A21">
            <v>464101</v>
          </cell>
          <cell r="B21">
            <v>13639</v>
          </cell>
          <cell r="C21">
            <v>13639</v>
          </cell>
        </row>
        <row r="22">
          <cell r="A22">
            <v>464202</v>
          </cell>
          <cell r="B22">
            <v>2313</v>
          </cell>
        </row>
        <row r="23">
          <cell r="A23">
            <v>464354</v>
          </cell>
          <cell r="B23">
            <v>24806</v>
          </cell>
          <cell r="C23">
            <v>17461</v>
          </cell>
        </row>
        <row r="24">
          <cell r="A24">
            <v>465985</v>
          </cell>
          <cell r="B24">
            <v>9760</v>
          </cell>
          <cell r="C24">
            <v>5983</v>
          </cell>
        </row>
        <row r="25">
          <cell r="A25">
            <v>466748</v>
          </cell>
          <cell r="B25">
            <v>15532</v>
          </cell>
        </row>
        <row r="26">
          <cell r="A26">
            <v>466798</v>
          </cell>
          <cell r="B26">
            <v>4778</v>
          </cell>
          <cell r="C26">
            <v>2350</v>
          </cell>
        </row>
        <row r="27">
          <cell r="A27">
            <v>468229</v>
          </cell>
          <cell r="B27">
            <v>20315</v>
          </cell>
          <cell r="C27">
            <v>20315</v>
          </cell>
        </row>
        <row r="28">
          <cell r="A28">
            <v>468918</v>
          </cell>
          <cell r="B28">
            <v>2329</v>
          </cell>
        </row>
        <row r="29">
          <cell r="A29">
            <v>468921</v>
          </cell>
          <cell r="B29">
            <v>7087</v>
          </cell>
          <cell r="C29">
            <v>708</v>
          </cell>
        </row>
        <row r="30">
          <cell r="A30">
            <v>469052</v>
          </cell>
          <cell r="B30">
            <v>11443</v>
          </cell>
          <cell r="C30">
            <v>2376</v>
          </cell>
        </row>
        <row r="31">
          <cell r="A31">
            <v>469493</v>
          </cell>
          <cell r="B31">
            <v>4427</v>
          </cell>
          <cell r="C31">
            <v>1092</v>
          </cell>
        </row>
        <row r="32">
          <cell r="A32">
            <v>470238</v>
          </cell>
          <cell r="B32">
            <v>5770</v>
          </cell>
          <cell r="C32">
            <v>4986</v>
          </cell>
        </row>
        <row r="33">
          <cell r="A33">
            <v>470341</v>
          </cell>
          <cell r="B33">
            <v>8633</v>
          </cell>
        </row>
        <row r="34">
          <cell r="A34">
            <v>470342</v>
          </cell>
          <cell r="B34">
            <v>14771</v>
          </cell>
          <cell r="C34">
            <v>1072</v>
          </cell>
        </row>
        <row r="35">
          <cell r="A35">
            <v>471140</v>
          </cell>
          <cell r="B35">
            <v>11248</v>
          </cell>
        </row>
        <row r="36">
          <cell r="A36">
            <v>471825</v>
          </cell>
          <cell r="B36">
            <v>965</v>
          </cell>
          <cell r="C36">
            <v>965</v>
          </cell>
        </row>
        <row r="37">
          <cell r="A37">
            <v>472085</v>
          </cell>
          <cell r="B37">
            <v>3859</v>
          </cell>
        </row>
        <row r="38">
          <cell r="A38">
            <v>472140</v>
          </cell>
          <cell r="B38">
            <v>1526</v>
          </cell>
          <cell r="C38">
            <v>1526</v>
          </cell>
        </row>
        <row r="39">
          <cell r="A39">
            <v>472371</v>
          </cell>
          <cell r="B39">
            <v>1508</v>
          </cell>
        </row>
        <row r="40">
          <cell r="A40">
            <v>473551</v>
          </cell>
          <cell r="B40">
            <v>18038</v>
          </cell>
        </row>
        <row r="41">
          <cell r="A41">
            <v>474049</v>
          </cell>
          <cell r="B41">
            <v>11355</v>
          </cell>
          <cell r="C41">
            <v>7880</v>
          </cell>
        </row>
        <row r="42">
          <cell r="A42">
            <v>474304</v>
          </cell>
          <cell r="B42">
            <v>10293</v>
          </cell>
          <cell r="C42">
            <v>10293</v>
          </cell>
        </row>
        <row r="43">
          <cell r="A43">
            <v>474753</v>
          </cell>
          <cell r="B43">
            <v>8504</v>
          </cell>
        </row>
        <row r="44">
          <cell r="A44">
            <v>474816</v>
          </cell>
          <cell r="B44">
            <v>8587</v>
          </cell>
          <cell r="C44">
            <v>7832</v>
          </cell>
        </row>
        <row r="45">
          <cell r="A45">
            <v>474874</v>
          </cell>
          <cell r="B45">
            <v>9954</v>
          </cell>
        </row>
        <row r="46">
          <cell r="A46">
            <v>474932</v>
          </cell>
          <cell r="B46">
            <v>9654</v>
          </cell>
        </row>
        <row r="47">
          <cell r="A47">
            <v>475746</v>
          </cell>
          <cell r="B47">
            <v>4633</v>
          </cell>
        </row>
        <row r="48">
          <cell r="A48">
            <v>476091</v>
          </cell>
          <cell r="B48">
            <v>594</v>
          </cell>
        </row>
        <row r="49">
          <cell r="A49">
            <v>483830</v>
          </cell>
          <cell r="B49">
            <v>13527</v>
          </cell>
        </row>
        <row r="50">
          <cell r="A50">
            <v>100004407</v>
          </cell>
          <cell r="B50">
            <v>2434</v>
          </cell>
          <cell r="C50">
            <v>2434</v>
          </cell>
        </row>
        <row r="51">
          <cell r="A51">
            <v>100005705</v>
          </cell>
          <cell r="B51">
            <v>5880</v>
          </cell>
          <cell r="C51">
            <v>5880</v>
          </cell>
        </row>
        <row r="52">
          <cell r="A52">
            <v>100013593</v>
          </cell>
          <cell r="B52">
            <v>399</v>
          </cell>
          <cell r="C52">
            <v>399</v>
          </cell>
        </row>
        <row r="53">
          <cell r="A53">
            <v>100014856</v>
          </cell>
          <cell r="B53">
            <v>6666</v>
          </cell>
          <cell r="C53">
            <v>6666</v>
          </cell>
        </row>
        <row r="54">
          <cell r="A54">
            <v>100015200</v>
          </cell>
          <cell r="B54">
            <v>2891</v>
          </cell>
          <cell r="C54">
            <v>2891</v>
          </cell>
        </row>
        <row r="55">
          <cell r="A55">
            <v>100015354</v>
          </cell>
          <cell r="B55">
            <v>1971</v>
          </cell>
          <cell r="C55">
            <v>1971</v>
          </cell>
        </row>
        <row r="56">
          <cell r="A56">
            <v>100016101</v>
          </cell>
          <cell r="B56">
            <v>2509</v>
          </cell>
          <cell r="C56">
            <v>2509</v>
          </cell>
        </row>
        <row r="57">
          <cell r="A57">
            <v>100016320</v>
          </cell>
          <cell r="B57">
            <v>11804</v>
          </cell>
        </row>
        <row r="58">
          <cell r="A58">
            <v>100017974</v>
          </cell>
          <cell r="B58">
            <v>9562</v>
          </cell>
          <cell r="C58">
            <v>9562</v>
          </cell>
        </row>
        <row r="59">
          <cell r="A59">
            <v>100018130</v>
          </cell>
          <cell r="B59">
            <v>6437</v>
          </cell>
        </row>
        <row r="60">
          <cell r="A60">
            <v>100018139</v>
          </cell>
          <cell r="B60">
            <v>8309</v>
          </cell>
          <cell r="C60">
            <v>8114</v>
          </cell>
        </row>
        <row r="61">
          <cell r="A61">
            <v>100018175</v>
          </cell>
          <cell r="B61">
            <v>13068</v>
          </cell>
          <cell r="C61">
            <v>11391</v>
          </cell>
        </row>
        <row r="62">
          <cell r="A62">
            <v>100018176</v>
          </cell>
          <cell r="B62">
            <v>6108</v>
          </cell>
          <cell r="C62">
            <v>6108</v>
          </cell>
        </row>
        <row r="63">
          <cell r="A63">
            <v>100018178</v>
          </cell>
          <cell r="B63">
            <v>997</v>
          </cell>
          <cell r="C63">
            <v>997</v>
          </cell>
        </row>
        <row r="64">
          <cell r="A64">
            <v>100018179</v>
          </cell>
          <cell r="B64">
            <v>1784</v>
          </cell>
          <cell r="C64">
            <v>1784</v>
          </cell>
        </row>
        <row r="65">
          <cell r="A65">
            <v>100018197</v>
          </cell>
          <cell r="B65">
            <v>9784</v>
          </cell>
          <cell r="C65">
            <v>0</v>
          </cell>
        </row>
        <row r="66">
          <cell r="A66">
            <v>100018200</v>
          </cell>
          <cell r="B66">
            <v>4180</v>
          </cell>
        </row>
        <row r="67">
          <cell r="A67">
            <v>100018207</v>
          </cell>
          <cell r="B67">
            <v>3321</v>
          </cell>
        </row>
        <row r="68">
          <cell r="A68">
            <v>100018224</v>
          </cell>
          <cell r="B68">
            <v>2736</v>
          </cell>
        </row>
        <row r="69">
          <cell r="A69">
            <v>100018226</v>
          </cell>
          <cell r="B69">
            <v>2288</v>
          </cell>
        </row>
        <row r="70">
          <cell r="A70">
            <v>100018229</v>
          </cell>
          <cell r="B70">
            <v>9739</v>
          </cell>
        </row>
        <row r="71">
          <cell r="A71">
            <v>100018235</v>
          </cell>
          <cell r="B71">
            <v>3845</v>
          </cell>
          <cell r="C71">
            <v>3845</v>
          </cell>
        </row>
        <row r="72">
          <cell r="A72">
            <v>100018237</v>
          </cell>
          <cell r="B72">
            <v>5185</v>
          </cell>
          <cell r="C72">
            <v>5185</v>
          </cell>
        </row>
        <row r="73">
          <cell r="A73">
            <v>100018239</v>
          </cell>
          <cell r="B73">
            <v>2790</v>
          </cell>
          <cell r="C73">
            <v>2790</v>
          </cell>
        </row>
        <row r="74">
          <cell r="A74">
            <v>100018242</v>
          </cell>
          <cell r="B74">
            <v>1841</v>
          </cell>
          <cell r="C74">
            <v>1841</v>
          </cell>
        </row>
        <row r="75">
          <cell r="A75">
            <v>100018250</v>
          </cell>
          <cell r="B75">
            <v>7995</v>
          </cell>
        </row>
        <row r="76">
          <cell r="A76">
            <v>100018251</v>
          </cell>
          <cell r="B76">
            <v>3460</v>
          </cell>
        </row>
        <row r="77">
          <cell r="A77">
            <v>100018252</v>
          </cell>
          <cell r="B77">
            <v>2441</v>
          </cell>
        </row>
        <row r="78">
          <cell r="A78">
            <v>100018257</v>
          </cell>
          <cell r="B78">
            <v>4305</v>
          </cell>
        </row>
        <row r="79">
          <cell r="A79">
            <v>100018258</v>
          </cell>
          <cell r="B79">
            <v>6525</v>
          </cell>
        </row>
        <row r="80">
          <cell r="A80">
            <v>100018259</v>
          </cell>
          <cell r="B80">
            <v>1281</v>
          </cell>
        </row>
        <row r="81">
          <cell r="A81">
            <v>100018260</v>
          </cell>
          <cell r="B81">
            <v>1352</v>
          </cell>
        </row>
        <row r="82">
          <cell r="A82">
            <v>100019044</v>
          </cell>
          <cell r="B82">
            <v>12790</v>
          </cell>
          <cell r="C82">
            <v>12790</v>
          </cell>
        </row>
        <row r="83">
          <cell r="A83">
            <v>100019047</v>
          </cell>
          <cell r="B83">
            <v>9642</v>
          </cell>
          <cell r="C83">
            <v>3041</v>
          </cell>
        </row>
        <row r="84">
          <cell r="A84">
            <v>100023527</v>
          </cell>
          <cell r="B84">
            <v>14681</v>
          </cell>
          <cell r="C84">
            <v>14681</v>
          </cell>
        </row>
        <row r="85">
          <cell r="A85">
            <v>100024705</v>
          </cell>
          <cell r="B85">
            <v>4824</v>
          </cell>
          <cell r="C85">
            <v>4824</v>
          </cell>
        </row>
        <row r="86">
          <cell r="A86">
            <v>100024706</v>
          </cell>
          <cell r="B86">
            <v>3685</v>
          </cell>
        </row>
        <row r="87">
          <cell r="A87">
            <v>100027400</v>
          </cell>
          <cell r="B87">
            <v>803</v>
          </cell>
          <cell r="C87">
            <v>803</v>
          </cell>
        </row>
        <row r="88">
          <cell r="A88">
            <v>100027409</v>
          </cell>
          <cell r="B88">
            <v>4401</v>
          </cell>
        </row>
        <row r="89">
          <cell r="A89">
            <v>100034267</v>
          </cell>
          <cell r="B89">
            <v>1749</v>
          </cell>
        </row>
        <row r="90">
          <cell r="A90">
            <v>182013374</v>
          </cell>
          <cell r="B90">
            <v>7929</v>
          </cell>
          <cell r="C90">
            <v>7929</v>
          </cell>
        </row>
        <row r="91">
          <cell r="A91">
            <v>182034821</v>
          </cell>
          <cell r="B91">
            <v>11876</v>
          </cell>
          <cell r="C91">
            <v>11876</v>
          </cell>
        </row>
        <row r="92">
          <cell r="A92">
            <v>182034837</v>
          </cell>
          <cell r="B92">
            <v>810</v>
          </cell>
          <cell r="C92">
            <v>810</v>
          </cell>
        </row>
        <row r="93">
          <cell r="A93">
            <v>183034591</v>
          </cell>
          <cell r="B93">
            <v>4328</v>
          </cell>
        </row>
        <row r="94">
          <cell r="A94">
            <v>100028764</v>
          </cell>
          <cell r="B94">
            <v>5048</v>
          </cell>
          <cell r="C94">
            <v>4565</v>
          </cell>
        </row>
        <row r="95">
          <cell r="A95" t="str">
            <v>100008704</v>
          </cell>
          <cell r="B95">
            <v>8432</v>
          </cell>
          <cell r="C95">
            <v>8432</v>
          </cell>
        </row>
        <row r="96">
          <cell r="A96">
            <v>100010579</v>
          </cell>
          <cell r="B96">
            <v>10477</v>
          </cell>
          <cell r="C96">
            <v>748</v>
          </cell>
        </row>
        <row r="97">
          <cell r="A97">
            <v>100018240</v>
          </cell>
          <cell r="B97">
            <v>6183</v>
          </cell>
          <cell r="C97">
            <v>6183</v>
          </cell>
        </row>
        <row r="98">
          <cell r="A98">
            <v>100033322</v>
          </cell>
          <cell r="B98">
            <v>4396</v>
          </cell>
          <cell r="C98">
            <v>4396</v>
          </cell>
        </row>
        <row r="99">
          <cell r="A99">
            <v>100034173</v>
          </cell>
          <cell r="B99">
            <v>6878</v>
          </cell>
          <cell r="C99">
            <v>6878</v>
          </cell>
        </row>
        <row r="100">
          <cell r="A100">
            <v>100034276</v>
          </cell>
          <cell r="B100">
            <v>5936</v>
          </cell>
        </row>
        <row r="101">
          <cell r="A101">
            <v>100034888</v>
          </cell>
          <cell r="B101">
            <v>3184</v>
          </cell>
        </row>
        <row r="102">
          <cell r="A102">
            <v>100035009</v>
          </cell>
          <cell r="B102">
            <v>5365</v>
          </cell>
        </row>
        <row r="103">
          <cell r="A103">
            <v>174034865</v>
          </cell>
          <cell r="B103">
            <v>8809</v>
          </cell>
        </row>
        <row r="104">
          <cell r="A104">
            <v>182034355</v>
          </cell>
          <cell r="B104">
            <v>3182</v>
          </cell>
          <cell r="C104">
            <v>3182</v>
          </cell>
        </row>
        <row r="105">
          <cell r="A105">
            <v>182034365</v>
          </cell>
          <cell r="B105">
            <v>11189</v>
          </cell>
          <cell r="C105">
            <v>11189</v>
          </cell>
        </row>
        <row r="106">
          <cell r="A106">
            <v>182034820</v>
          </cell>
          <cell r="B106">
            <v>11437</v>
          </cell>
          <cell r="C106">
            <v>11390</v>
          </cell>
        </row>
        <row r="107">
          <cell r="A107">
            <v>183033602</v>
          </cell>
          <cell r="B107">
            <v>12787</v>
          </cell>
        </row>
        <row r="108">
          <cell r="A108">
            <v>183034522</v>
          </cell>
          <cell r="B108">
            <v>11909</v>
          </cell>
        </row>
        <row r="109">
          <cell r="A109">
            <v>183034592</v>
          </cell>
          <cell r="B109">
            <v>1733</v>
          </cell>
        </row>
        <row r="110">
          <cell r="A110">
            <v>457223</v>
          </cell>
          <cell r="B110">
            <v>10595</v>
          </cell>
          <cell r="C110">
            <v>10595</v>
          </cell>
        </row>
        <row r="111">
          <cell r="A111">
            <v>461186</v>
          </cell>
          <cell r="B111">
            <v>4721</v>
          </cell>
          <cell r="C111">
            <v>4721</v>
          </cell>
        </row>
        <row r="112">
          <cell r="A112">
            <v>461795</v>
          </cell>
          <cell r="B112">
            <v>12770</v>
          </cell>
          <cell r="C112">
            <v>12770</v>
          </cell>
        </row>
        <row r="113">
          <cell r="A113">
            <v>463024</v>
          </cell>
          <cell r="B113">
            <v>6277</v>
          </cell>
          <cell r="C113">
            <v>6277</v>
          </cell>
        </row>
        <row r="114">
          <cell r="A114">
            <v>463029</v>
          </cell>
          <cell r="B114">
            <v>6421</v>
          </cell>
          <cell r="C114">
            <v>6421</v>
          </cell>
        </row>
        <row r="115">
          <cell r="A115">
            <v>463030</v>
          </cell>
          <cell r="B115">
            <v>3719</v>
          </cell>
          <cell r="C115">
            <v>3719</v>
          </cell>
        </row>
        <row r="116">
          <cell r="A116">
            <v>463036</v>
          </cell>
          <cell r="B116">
            <v>3824</v>
          </cell>
          <cell r="C116">
            <v>3824</v>
          </cell>
        </row>
        <row r="117">
          <cell r="A117">
            <v>464618</v>
          </cell>
          <cell r="B117">
            <v>6956</v>
          </cell>
        </row>
        <row r="118">
          <cell r="A118">
            <v>465318</v>
          </cell>
          <cell r="B118">
            <v>6582</v>
          </cell>
          <cell r="C118">
            <v>6582</v>
          </cell>
        </row>
        <row r="119">
          <cell r="A119">
            <v>466742</v>
          </cell>
          <cell r="B119">
            <v>19531</v>
          </cell>
          <cell r="C119">
            <v>7960</v>
          </cell>
        </row>
        <row r="120">
          <cell r="A120">
            <v>466852</v>
          </cell>
          <cell r="B120">
            <v>9244</v>
          </cell>
          <cell r="C120">
            <v>9244</v>
          </cell>
        </row>
        <row r="121">
          <cell r="A121">
            <v>468248</v>
          </cell>
          <cell r="B121">
            <v>10996</v>
          </cell>
          <cell r="C121">
            <v>10996</v>
          </cell>
        </row>
        <row r="122">
          <cell r="A122">
            <v>468585</v>
          </cell>
          <cell r="B122">
            <v>14189</v>
          </cell>
          <cell r="C122">
            <v>14189</v>
          </cell>
        </row>
        <row r="123">
          <cell r="A123">
            <v>469040</v>
          </cell>
          <cell r="B123">
            <v>7927</v>
          </cell>
        </row>
        <row r="124">
          <cell r="A124">
            <v>469041</v>
          </cell>
          <cell r="B124">
            <v>6892</v>
          </cell>
        </row>
        <row r="125">
          <cell r="A125">
            <v>469042</v>
          </cell>
          <cell r="B125">
            <v>6305</v>
          </cell>
        </row>
        <row r="126">
          <cell r="A126">
            <v>471157</v>
          </cell>
          <cell r="B126">
            <v>3170</v>
          </cell>
          <cell r="C126">
            <v>3150</v>
          </cell>
        </row>
        <row r="127">
          <cell r="A127">
            <v>471823</v>
          </cell>
          <cell r="B127">
            <v>9119</v>
          </cell>
          <cell r="C127">
            <v>8339</v>
          </cell>
        </row>
        <row r="128">
          <cell r="A128">
            <v>471857</v>
          </cell>
          <cell r="B128">
            <v>4690</v>
          </cell>
          <cell r="C128">
            <v>4690</v>
          </cell>
        </row>
        <row r="129">
          <cell r="A129">
            <v>476154</v>
          </cell>
          <cell r="B129">
            <v>6409</v>
          </cell>
        </row>
        <row r="130">
          <cell r="A130">
            <v>482924</v>
          </cell>
          <cell r="B130">
            <v>1234</v>
          </cell>
          <cell r="C130">
            <v>452</v>
          </cell>
        </row>
        <row r="131">
          <cell r="A131" t="str">
            <v>6D398</v>
          </cell>
          <cell r="B131">
            <v>11576</v>
          </cell>
          <cell r="C131">
            <v>4528</v>
          </cell>
        </row>
        <row r="132">
          <cell r="A132" t="str">
            <v>7X211</v>
          </cell>
          <cell r="B132">
            <v>363</v>
          </cell>
          <cell r="C132">
            <v>363</v>
          </cell>
        </row>
        <row r="133">
          <cell r="A133" t="str">
            <v xml:space="preserve">7X727 </v>
          </cell>
          <cell r="B133">
            <v>7443</v>
          </cell>
        </row>
        <row r="134">
          <cell r="A134">
            <v>463022</v>
          </cell>
          <cell r="B134">
            <v>3150</v>
          </cell>
          <cell r="C134">
            <v>3150</v>
          </cell>
        </row>
        <row r="135">
          <cell r="A135" t="str">
            <v>EESOQ-T4577</v>
          </cell>
          <cell r="B135">
            <v>1100</v>
          </cell>
        </row>
        <row r="136">
          <cell r="A136" t="str">
            <v>F8SOQ-T4578M</v>
          </cell>
          <cell r="B136">
            <v>1306</v>
          </cell>
        </row>
        <row r="137">
          <cell r="A137">
            <v>100023338</v>
          </cell>
          <cell r="B137">
            <v>6631</v>
          </cell>
          <cell r="C137">
            <v>6631</v>
          </cell>
        </row>
        <row r="138">
          <cell r="A138" t="str">
            <v>KPT001611</v>
          </cell>
          <cell r="B138">
            <v>7345</v>
          </cell>
          <cell r="C138">
            <v>7345</v>
          </cell>
        </row>
        <row r="139">
          <cell r="A139" t="str">
            <v>KPT101081</v>
          </cell>
          <cell r="B139">
            <v>20027</v>
          </cell>
          <cell r="C139">
            <v>20027</v>
          </cell>
        </row>
        <row r="140">
          <cell r="A140" t="str">
            <v>KPT101081</v>
          </cell>
          <cell r="B140">
            <v>513</v>
          </cell>
          <cell r="C140">
            <v>0</v>
          </cell>
        </row>
        <row r="141">
          <cell r="A141" t="str">
            <v>KPT116131</v>
          </cell>
          <cell r="B141">
            <v>9631</v>
          </cell>
          <cell r="C141">
            <v>8451</v>
          </cell>
        </row>
        <row r="142">
          <cell r="A142" t="str">
            <v>KPT122931</v>
          </cell>
          <cell r="B142">
            <v>12182</v>
          </cell>
          <cell r="C142">
            <v>11564</v>
          </cell>
        </row>
        <row r="143">
          <cell r="A143" t="str">
            <v>KPT128561</v>
          </cell>
          <cell r="B143">
            <v>77082</v>
          </cell>
          <cell r="C143">
            <v>69452</v>
          </cell>
        </row>
        <row r="144">
          <cell r="A144" t="str">
            <v>KPT128571</v>
          </cell>
          <cell r="B144">
            <v>15849</v>
          </cell>
          <cell r="C144">
            <v>14787</v>
          </cell>
        </row>
        <row r="145">
          <cell r="A145" t="str">
            <v>KPT128581</v>
          </cell>
          <cell r="B145">
            <v>3479</v>
          </cell>
          <cell r="C145">
            <v>3479</v>
          </cell>
        </row>
        <row r="146">
          <cell r="A146" t="str">
            <v>KTP122131</v>
          </cell>
          <cell r="B146">
            <v>12498</v>
          </cell>
          <cell r="C146">
            <v>12498</v>
          </cell>
        </row>
        <row r="147">
          <cell r="A147" t="str">
            <v>KTP124011</v>
          </cell>
          <cell r="B147">
            <v>15421</v>
          </cell>
          <cell r="C147">
            <v>15421</v>
          </cell>
        </row>
        <row r="148">
          <cell r="A148" t="str">
            <v>KTP124021</v>
          </cell>
          <cell r="B148">
            <v>7167</v>
          </cell>
          <cell r="C148">
            <v>7167</v>
          </cell>
        </row>
        <row r="149">
          <cell r="A149" t="str">
            <v>S-69717</v>
          </cell>
          <cell r="B149">
            <v>5784</v>
          </cell>
          <cell r="C149">
            <v>5784</v>
          </cell>
        </row>
        <row r="150">
          <cell r="A150">
            <v>182034833</v>
          </cell>
          <cell r="B150">
            <v>4590</v>
          </cell>
          <cell r="C150">
            <v>1718</v>
          </cell>
        </row>
        <row r="151">
          <cell r="A151" t="str">
            <v>Grand Total</v>
          </cell>
          <cell r="B151">
            <v>1160990.6299999999</v>
          </cell>
          <cell r="C151">
            <v>734552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tabColor rgb="FFFF0000"/>
  </sheetPr>
  <dimension ref="A1:K42"/>
  <sheetViews>
    <sheetView view="pageBreakPreview" zoomScaleNormal="100" zoomScaleSheetLayoutView="100" workbookViewId="0"/>
  </sheetViews>
  <sheetFormatPr defaultColWidth="9.140625" defaultRowHeight="12.75"/>
  <cols>
    <col min="1" max="1" width="9.140625" style="124"/>
    <col min="2" max="2" width="14.140625" style="124" customWidth="1"/>
    <col min="3" max="3" width="14.5703125" style="124" bestFit="1" customWidth="1"/>
    <col min="4" max="4" width="23.85546875" style="124" customWidth="1"/>
    <col min="5" max="5" width="19.7109375" style="124" customWidth="1"/>
    <col min="6" max="6" width="27.85546875" style="124" customWidth="1"/>
    <col min="7" max="7" width="25.28515625" style="124" customWidth="1"/>
    <col min="8" max="8" width="15" style="124" customWidth="1"/>
    <col min="9" max="9" width="19.140625" style="124" customWidth="1"/>
    <col min="10" max="10" width="14.42578125" style="124" customWidth="1"/>
    <col min="11" max="16384" width="9.140625" style="124"/>
  </cols>
  <sheetData>
    <row r="1" spans="1:10" ht="15">
      <c r="A1" s="121"/>
      <c r="B1" s="122"/>
      <c r="C1" s="123"/>
      <c r="D1" s="123"/>
      <c r="E1" s="123"/>
      <c r="F1" s="123"/>
    </row>
    <row r="2" spans="1:10" ht="15">
      <c r="A2" s="121" t="s">
        <v>96</v>
      </c>
      <c r="B2" s="122"/>
      <c r="C2" s="123"/>
      <c r="D2" s="123"/>
      <c r="E2" s="123"/>
      <c r="F2" s="123"/>
    </row>
    <row r="3" spans="1:10" ht="15">
      <c r="A3" s="513" t="s">
        <v>638</v>
      </c>
      <c r="B3" s="513"/>
      <c r="C3" s="513"/>
      <c r="D3" s="123"/>
      <c r="E3" s="123"/>
      <c r="F3" s="123"/>
    </row>
    <row r="4" spans="1:10" ht="15">
      <c r="A4" s="122"/>
      <c r="B4" s="123"/>
      <c r="C4" s="515" t="s">
        <v>639</v>
      </c>
      <c r="D4" s="516"/>
      <c r="E4" s="516"/>
      <c r="F4" s="516"/>
      <c r="G4" s="516"/>
      <c r="H4" s="125"/>
      <c r="I4" s="125"/>
    </row>
    <row r="5" spans="1:10" ht="15">
      <c r="A5" s="122"/>
      <c r="B5" s="123"/>
      <c r="C5" s="286"/>
      <c r="D5" s="126"/>
      <c r="E5" s="126"/>
      <c r="F5" s="126"/>
      <c r="G5" s="126"/>
    </row>
    <row r="6" spans="1:10" ht="15">
      <c r="A6" s="122"/>
      <c r="B6" s="123"/>
      <c r="C6" s="170">
        <v>511</v>
      </c>
      <c r="D6" s="127">
        <v>19607773243</v>
      </c>
      <c r="E6" s="128">
        <f>'Sales profit (스타일 별 매출이익)'!O5</f>
        <v>864612.24999999953</v>
      </c>
      <c r="F6" s="129">
        <f>'Sales profit (스타일 별 매출이익)'!E5</f>
        <v>392031</v>
      </c>
      <c r="G6" s="130" t="s">
        <v>152</v>
      </c>
      <c r="H6" s="131"/>
    </row>
    <row r="7" spans="1:10" ht="15">
      <c r="A7" s="122"/>
      <c r="B7" s="171"/>
      <c r="C7" s="172">
        <v>622</v>
      </c>
      <c r="D7" s="132">
        <v>6782821106</v>
      </c>
      <c r="E7" s="123"/>
      <c r="F7" s="133"/>
      <c r="J7" s="131"/>
    </row>
    <row r="8" spans="1:10" ht="15">
      <c r="A8" s="122"/>
      <c r="B8" s="171"/>
      <c r="C8" s="172">
        <v>627</v>
      </c>
      <c r="D8" s="132">
        <v>13251858147</v>
      </c>
      <c r="E8" s="123"/>
      <c r="F8" s="133"/>
    </row>
    <row r="9" spans="1:10" ht="15.75" thickBot="1">
      <c r="A9" s="122"/>
      <c r="B9" s="123"/>
      <c r="C9" s="134" t="s">
        <v>0</v>
      </c>
      <c r="D9" s="135">
        <f>SUM(D7:D8)</f>
        <v>20034679253</v>
      </c>
    </row>
    <row r="10" spans="1:10" ht="13.5" thickTop="1">
      <c r="D10" s="136">
        <f>C14+F14+D9-D21-G21-I19</f>
        <v>0</v>
      </c>
    </row>
    <row r="12" spans="1:10" s="4" customFormat="1">
      <c r="A12" s="137" t="s">
        <v>129</v>
      </c>
      <c r="C12" s="517" t="s">
        <v>126</v>
      </c>
      <c r="D12" s="517"/>
      <c r="E12" s="1"/>
      <c r="F12" s="517" t="s">
        <v>127</v>
      </c>
      <c r="G12" s="517"/>
      <c r="I12" s="518" t="s">
        <v>128</v>
      </c>
      <c r="J12" s="518"/>
    </row>
    <row r="13" spans="1:10">
      <c r="D13" s="139"/>
      <c r="G13" s="139"/>
      <c r="J13" s="139"/>
    </row>
    <row r="14" spans="1:10" ht="15">
      <c r="B14" s="319" t="s">
        <v>295</v>
      </c>
      <c r="C14" s="141">
        <f>'WIP(재공품)'!L7</f>
        <v>8125656666</v>
      </c>
      <c r="D14" s="142"/>
      <c r="E14" s="319" t="s">
        <v>295</v>
      </c>
      <c r="F14" s="141">
        <f>'In-out-bal products (155)(완성제품)'!F7</f>
        <v>6043796522</v>
      </c>
      <c r="G14" s="142"/>
      <c r="H14" s="144"/>
      <c r="I14" s="144"/>
      <c r="J14" s="142"/>
    </row>
    <row r="15" spans="1:10">
      <c r="B15" s="140"/>
      <c r="C15" s="144"/>
      <c r="D15" s="142">
        <f>'WIP(재공품)'!X7</f>
        <v>18291801777</v>
      </c>
      <c r="E15" s="145"/>
      <c r="F15" s="144">
        <f>'In-out-bal products (155)(완성제품)'!L7</f>
        <v>18291801777</v>
      </c>
      <c r="G15" s="142">
        <f>'In-out-bal products (155)(완성제품)'!X7</f>
        <v>15788962803</v>
      </c>
      <c r="H15" s="146"/>
      <c r="I15" s="144">
        <f>G15</f>
        <v>15788962803</v>
      </c>
      <c r="J15" s="142"/>
    </row>
    <row r="16" spans="1:10">
      <c r="B16" s="140"/>
      <c r="C16" s="144">
        <f>D9</f>
        <v>20034679253</v>
      </c>
      <c r="D16" s="142">
        <f>'WIP(재공품)'!U7</f>
        <v>28190139</v>
      </c>
      <c r="E16" s="143"/>
      <c r="F16" s="144">
        <f>'In-out-bal products (155)(완성제품)'!O7</f>
        <v>28190139</v>
      </c>
      <c r="G16" s="142">
        <f>'In-out-bal products (155)(완성제품)'!AA7</f>
        <v>0</v>
      </c>
      <c r="H16" s="144"/>
      <c r="I16" s="144">
        <f>G16</f>
        <v>0</v>
      </c>
      <c r="J16" s="142"/>
    </row>
    <row r="17" spans="1:10">
      <c r="B17" s="140"/>
      <c r="C17" s="144"/>
      <c r="D17" s="142"/>
      <c r="E17" s="143"/>
      <c r="F17" s="144"/>
      <c r="G17" s="142">
        <f>'In-out-bal products (155)(완성제품)'!AG7</f>
        <v>28190139</v>
      </c>
      <c r="H17" s="144"/>
      <c r="I17" s="144">
        <f>G17</f>
        <v>28190139</v>
      </c>
      <c r="J17" s="142"/>
    </row>
    <row r="18" spans="1:10">
      <c r="B18" s="140"/>
      <c r="C18" s="144"/>
      <c r="D18" s="142"/>
      <c r="E18" s="143"/>
      <c r="F18" s="144"/>
      <c r="G18" s="142"/>
      <c r="H18" s="144"/>
      <c r="I18" s="144"/>
      <c r="J18" s="142"/>
    </row>
    <row r="19" spans="1:10" ht="13.5" thickBot="1">
      <c r="B19" s="140"/>
      <c r="C19" s="147">
        <f>C14+C16</f>
        <v>28160335919</v>
      </c>
      <c r="D19" s="148">
        <f>D15+D16</f>
        <v>18319991916</v>
      </c>
      <c r="E19" s="149"/>
      <c r="F19" s="147">
        <f>F14+F15+F16</f>
        <v>24363788438</v>
      </c>
      <c r="G19" s="148">
        <f>G15+G16+G17</f>
        <v>15817152942</v>
      </c>
      <c r="H19" s="150"/>
      <c r="I19" s="147">
        <f>I15+I16+I17</f>
        <v>15817152942</v>
      </c>
      <c r="J19" s="148"/>
    </row>
    <row r="20" spans="1:10" ht="13.5" thickTop="1">
      <c r="B20" s="140"/>
      <c r="C20" s="144"/>
      <c r="D20" s="142"/>
      <c r="E20" s="143"/>
      <c r="F20" s="144"/>
      <c r="G20" s="142"/>
      <c r="H20" s="144"/>
      <c r="I20" s="144"/>
      <c r="J20" s="142"/>
    </row>
    <row r="21" spans="1:10">
      <c r="B21" s="319" t="s">
        <v>296</v>
      </c>
      <c r="C21" s="144"/>
      <c r="D21" s="151">
        <f>C19-D19</f>
        <v>9840344003</v>
      </c>
      <c r="E21" s="319" t="s">
        <v>296</v>
      </c>
      <c r="F21" s="144"/>
      <c r="G21" s="151">
        <f>ROUND(F19-G19,0)</f>
        <v>8546635496</v>
      </c>
      <c r="H21" s="144"/>
      <c r="I21" s="144"/>
      <c r="J21" s="142"/>
    </row>
    <row r="22" spans="1:10">
      <c r="C22" s="152">
        <v>622</v>
      </c>
      <c r="D22" s="153">
        <f>'Direct labour(직접노무비)'!AA7</f>
        <v>3495335232</v>
      </c>
      <c r="E22" s="143"/>
      <c r="F22" s="144"/>
      <c r="G22" s="142">
        <f>'In-out-bal products (155)(완성제품)'!AU7</f>
        <v>7306633775</v>
      </c>
      <c r="H22" s="144" t="s">
        <v>136</v>
      </c>
      <c r="I22" s="144"/>
      <c r="J22" s="142"/>
    </row>
    <row r="23" spans="1:10">
      <c r="C23" s="154">
        <v>627</v>
      </c>
      <c r="D23" s="154">
        <f>'Overhead exp(제조경비)'!AA7</f>
        <v>6345008754</v>
      </c>
      <c r="E23" s="155"/>
      <c r="F23" s="156"/>
      <c r="G23" s="156">
        <f>'In-out-bal products (155)(완성제품)'!AW7</f>
        <v>1240001721</v>
      </c>
      <c r="H23" s="156" t="s">
        <v>137</v>
      </c>
      <c r="I23" s="156"/>
      <c r="J23" s="156"/>
    </row>
    <row r="24" spans="1:10">
      <c r="C24" s="156"/>
      <c r="D24" s="156">
        <f>+D22+D23-D21</f>
        <v>-17</v>
      </c>
      <c r="E24" s="156"/>
      <c r="F24" s="156"/>
      <c r="G24" s="156">
        <f>+G21-G22-G23</f>
        <v>0</v>
      </c>
      <c r="H24" s="156"/>
      <c r="I24" s="156"/>
      <c r="J24" s="156"/>
    </row>
    <row r="25" spans="1:10">
      <c r="C25" s="157"/>
      <c r="D25" s="158"/>
      <c r="E25" s="158"/>
      <c r="F25" s="157"/>
      <c r="G25" s="157"/>
      <c r="H25" s="157"/>
      <c r="I25" s="157"/>
    </row>
    <row r="26" spans="1:10">
      <c r="C26" s="157"/>
      <c r="D26" s="157"/>
      <c r="E26" s="157"/>
      <c r="F26" s="157"/>
      <c r="G26" s="157"/>
      <c r="H26" s="157"/>
      <c r="I26" s="157"/>
      <c r="J26" s="157"/>
    </row>
    <row r="27" spans="1:10">
      <c r="A27" s="137" t="s">
        <v>125</v>
      </c>
      <c r="C27" s="514" t="s">
        <v>126</v>
      </c>
      <c r="D27" s="514"/>
      <c r="E27" s="138"/>
      <c r="F27" s="514" t="s">
        <v>127</v>
      </c>
      <c r="G27" s="514"/>
      <c r="I27" s="514" t="s">
        <v>128</v>
      </c>
      <c r="J27" s="514"/>
    </row>
    <row r="28" spans="1:10">
      <c r="D28" s="139"/>
      <c r="G28" s="139"/>
      <c r="J28" s="139"/>
    </row>
    <row r="29" spans="1:10" ht="15">
      <c r="B29" s="319" t="s">
        <v>295</v>
      </c>
      <c r="C29" s="141">
        <f>'WIP(재공품)'!I7</f>
        <v>290539</v>
      </c>
      <c r="D29" s="142"/>
      <c r="E29" s="319" t="s">
        <v>295</v>
      </c>
      <c r="F29" s="141">
        <f>'In-out-bal products (155)(완성제품)'!D7</f>
        <v>173116</v>
      </c>
      <c r="G29" s="142"/>
      <c r="H29" s="144"/>
      <c r="I29" s="144"/>
      <c r="J29" s="142"/>
    </row>
    <row r="30" spans="1:10">
      <c r="B30" s="140"/>
      <c r="C30" s="144"/>
      <c r="D30" s="159">
        <f>'WIP(재공품)'!S7</f>
        <v>445561</v>
      </c>
      <c r="E30" s="145"/>
      <c r="F30" s="144">
        <f>'In-out-bal products (155)(완성제품)'!G7+'In-out-bal products (155)(완성제품)'!H7</f>
        <v>445561</v>
      </c>
      <c r="G30" s="142">
        <f>'In-out-bal products (155)(완성제품)'!V7</f>
        <v>392031</v>
      </c>
      <c r="H30" s="146"/>
      <c r="I30" s="144">
        <f>G30</f>
        <v>392031</v>
      </c>
      <c r="J30" s="142"/>
    </row>
    <row r="31" spans="1:10">
      <c r="B31" s="140"/>
      <c r="C31" s="144"/>
      <c r="D31" s="159">
        <f>+'WIP(재공품)'!T7</f>
        <v>605</v>
      </c>
      <c r="E31" s="155"/>
      <c r="F31" s="144">
        <f>D31</f>
        <v>605</v>
      </c>
      <c r="G31" s="142">
        <f>'In-out-bal products (155)(완성제품)'!Y7</f>
        <v>0</v>
      </c>
      <c r="H31" s="156"/>
      <c r="I31" s="144">
        <f>G31</f>
        <v>0</v>
      </c>
      <c r="J31" s="142"/>
    </row>
    <row r="32" spans="1:10">
      <c r="B32" s="140"/>
      <c r="C32" s="505">
        <f>'JUNE (물량흐름)'!H8+'JUNE (물량흐름)'!V8</f>
        <v>482727</v>
      </c>
      <c r="D32" s="159"/>
      <c r="E32" s="143"/>
      <c r="F32" s="144"/>
      <c r="G32" s="142">
        <f>'In-out-bal products (155)(완성제품)'!AE7</f>
        <v>605</v>
      </c>
      <c r="H32" s="144"/>
      <c r="I32" s="144">
        <f>G32</f>
        <v>605</v>
      </c>
      <c r="J32" s="142"/>
    </row>
    <row r="33" spans="2:11">
      <c r="B33" s="140"/>
      <c r="C33" s="144"/>
      <c r="D33" s="159"/>
      <c r="E33" s="143"/>
      <c r="F33" s="144"/>
      <c r="G33" s="142"/>
      <c r="H33" s="144"/>
      <c r="I33" s="144"/>
      <c r="J33" s="142"/>
    </row>
    <row r="34" spans="2:11">
      <c r="B34" s="140"/>
      <c r="C34" s="144"/>
      <c r="D34" s="159"/>
      <c r="E34" s="143"/>
      <c r="F34" s="144"/>
      <c r="G34" s="142"/>
      <c r="H34" s="144"/>
      <c r="I34" s="144"/>
      <c r="J34" s="142"/>
    </row>
    <row r="35" spans="2:11" ht="13.5" thickBot="1">
      <c r="B35" s="140"/>
      <c r="C35" s="147">
        <f>C29+C32+C33</f>
        <v>773266</v>
      </c>
      <c r="D35" s="160">
        <f>D30+D31+D32</f>
        <v>446166</v>
      </c>
      <c r="E35" s="149"/>
      <c r="F35" s="147">
        <f>F29+SUM(F30:F32)</f>
        <v>619282</v>
      </c>
      <c r="G35" s="148">
        <f>SUM(G30:G32)</f>
        <v>392636</v>
      </c>
      <c r="H35" s="150"/>
      <c r="I35" s="147">
        <f>I30+I31+I32</f>
        <v>392636</v>
      </c>
      <c r="J35" s="148"/>
    </row>
    <row r="36" spans="2:11" ht="13.5" thickTop="1">
      <c r="B36" s="140"/>
      <c r="C36" s="144"/>
      <c r="D36" s="159"/>
      <c r="E36" s="143"/>
      <c r="F36" s="144"/>
      <c r="G36" s="142"/>
      <c r="H36" s="144"/>
      <c r="I36" s="144"/>
      <c r="J36" s="142"/>
    </row>
    <row r="37" spans="2:11">
      <c r="B37" s="319" t="s">
        <v>296</v>
      </c>
      <c r="C37" s="144"/>
      <c r="D37" s="506">
        <f>C35-D35</f>
        <v>327100</v>
      </c>
      <c r="E37" s="319" t="s">
        <v>296</v>
      </c>
      <c r="F37" s="144"/>
      <c r="G37" s="151">
        <f>F35-G35</f>
        <v>226646</v>
      </c>
      <c r="H37" s="144"/>
      <c r="I37" s="144"/>
      <c r="J37" s="142"/>
    </row>
    <row r="38" spans="2:11">
      <c r="B38" s="140"/>
      <c r="C38" s="144"/>
      <c r="D38" s="161"/>
      <c r="E38" s="143"/>
      <c r="F38" s="144"/>
      <c r="G38" s="151"/>
      <c r="H38" s="144"/>
      <c r="I38" s="144"/>
      <c r="J38" s="142"/>
    </row>
    <row r="39" spans="2:11">
      <c r="C39" s="144"/>
      <c r="D39" s="159"/>
      <c r="E39" s="143"/>
      <c r="F39" s="144"/>
      <c r="G39" s="142">
        <f>'In-out-bal products (155)(완성제품)'!AT7</f>
        <v>184933</v>
      </c>
      <c r="H39" s="144" t="s">
        <v>136</v>
      </c>
      <c r="I39" s="144"/>
      <c r="J39" s="142"/>
    </row>
    <row r="40" spans="2:11">
      <c r="C40" s="156"/>
      <c r="D40" s="156"/>
      <c r="E40" s="155"/>
      <c r="F40" s="156"/>
      <c r="G40" s="142">
        <f>'In-out-bal products (155)(완성제품)'!AV7</f>
        <v>41713</v>
      </c>
      <c r="H40" s="156" t="s">
        <v>137</v>
      </c>
      <c r="I40" s="156"/>
      <c r="J40" s="156"/>
    </row>
    <row r="41" spans="2:11">
      <c r="D41" s="156"/>
      <c r="E41" s="156"/>
      <c r="F41" s="156"/>
      <c r="G41" s="156"/>
      <c r="H41" s="156"/>
      <c r="I41" s="156"/>
      <c r="J41" s="156"/>
      <c r="K41" s="156"/>
    </row>
    <row r="42" spans="2:11">
      <c r="D42" s="157"/>
      <c r="E42" s="157"/>
      <c r="F42" s="157"/>
      <c r="G42" s="157"/>
      <c r="H42" s="157"/>
      <c r="I42" s="157"/>
      <c r="J42" s="157"/>
      <c r="K42" s="157"/>
    </row>
  </sheetData>
  <mergeCells count="8">
    <mergeCell ref="A3:C3"/>
    <mergeCell ref="C27:D27"/>
    <mergeCell ref="F27:G27"/>
    <mergeCell ref="I27:J27"/>
    <mergeCell ref="C4:G4"/>
    <mergeCell ref="F12:G12"/>
    <mergeCell ref="C12:D12"/>
    <mergeCell ref="I12:J12"/>
  </mergeCells>
  <phoneticPr fontId="242" type="noConversion"/>
  <hyperlinks>
    <hyperlink ref="C7" location="'Direct labour(직접노무비)'!Print_Titles" display="'Direct labour(직접노무비)'!Print_Titles" xr:uid="{00000000-0004-0000-0000-000000000000}"/>
    <hyperlink ref="C8" location="'Overhead exp(제조경비)'!Print_Area" display="'Overhead exp(제조경비)'!Print_Area" xr:uid="{00000000-0004-0000-0000-000001000000}"/>
    <hyperlink ref="C12:D12" location="'WIP(재공품)'!Print_Area" display=" ACC 154" xr:uid="{00000000-0004-0000-0000-000002000000}"/>
    <hyperlink ref="F12:G12" location="'In-out-bal products (155)(완성제품)'!Print_Area" display="ACC 155" xr:uid="{00000000-0004-0000-0000-000003000000}"/>
  </hyperlinks>
  <pageMargins left="0.7" right="0.7" top="0.75" bottom="0.75" header="0.3" footer="0.3"/>
  <pageSetup paperSize="9" scale="70" orientation="landscape" r:id="rId1"/>
  <ignoredErrors>
    <ignoredError sqref="G37 F14 D15 I15 F29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>
    <tabColor rgb="FFFF0000"/>
  </sheetPr>
  <dimension ref="A1:AU522"/>
  <sheetViews>
    <sheetView view="pageBreakPreview" zoomScale="76" zoomScaleNormal="80" zoomScaleSheetLayoutView="76" workbookViewId="0">
      <pane xSplit="3" ySplit="12" topLeftCell="V470" activePane="bottomRight" state="frozen"/>
      <selection pane="topRight" activeCell="D1" sqref="D1"/>
      <selection pane="bottomLeft" activeCell="A13" sqref="A13"/>
      <selection pane="bottomRight" sqref="A1:A2"/>
    </sheetView>
  </sheetViews>
  <sheetFormatPr defaultColWidth="9.140625" defaultRowHeight="19.5" customHeight="1"/>
  <cols>
    <col min="1" max="1" width="6.42578125" style="4" customWidth="1"/>
    <col min="2" max="2" width="16.7109375" style="4" customWidth="1"/>
    <col min="3" max="3" width="24" style="354" customWidth="1"/>
    <col min="4" max="4" width="13.85546875" style="4" customWidth="1"/>
    <col min="5" max="5" width="13" style="173" customWidth="1"/>
    <col min="6" max="6" width="13.5703125" style="4" bestFit="1" customWidth="1"/>
    <col min="7" max="12" width="12.42578125" style="4" customWidth="1"/>
    <col min="13" max="13" width="15.5703125" style="4" customWidth="1"/>
    <col min="14" max="14" width="10.85546875" style="4" bestFit="1" customWidth="1"/>
    <col min="15" max="16" width="11.5703125" style="4" bestFit="1" customWidth="1"/>
    <col min="17" max="22" width="15.85546875" style="4" customWidth="1"/>
    <col min="23" max="23" width="10.85546875" style="4" bestFit="1" customWidth="1"/>
    <col min="24" max="24" width="11.140625" style="4" customWidth="1"/>
    <col min="25" max="25" width="11.5703125" style="4" customWidth="1"/>
    <col min="26" max="26" width="15.140625" style="4" customWidth="1"/>
    <col min="27" max="27" width="16.85546875" style="4" customWidth="1"/>
    <col min="28" max="28" width="19.85546875" style="4" customWidth="1"/>
    <col min="29" max="29" width="17.28515625" style="4" customWidth="1"/>
    <col min="30" max="30" width="16.42578125" style="4" customWidth="1"/>
    <col min="31" max="31" width="20.140625" style="4" customWidth="1"/>
    <col min="32" max="32" width="17.28515625" style="4" bestFit="1" customWidth="1"/>
    <col min="33" max="33" width="11" style="4" bestFit="1" customWidth="1"/>
    <col min="34" max="34" width="9" style="4" bestFit="1" customWidth="1"/>
    <col min="35" max="35" width="9.7109375" style="4" customWidth="1"/>
    <col min="36" max="36" width="7.5703125" style="4" customWidth="1"/>
    <col min="37" max="37" width="10.42578125" style="4" customWidth="1"/>
    <col min="38" max="38" width="9.140625" style="4" hidden="1" customWidth="1"/>
    <col min="39" max="39" width="12.140625" style="4" hidden="1" customWidth="1"/>
    <col min="40" max="40" width="5.140625" style="4" bestFit="1" customWidth="1"/>
    <col min="41" max="42" width="9.140625" style="4" hidden="1" customWidth="1"/>
    <col min="43" max="43" width="15.42578125" style="4" customWidth="1"/>
    <col min="44" max="44" width="18" style="173" bestFit="1" customWidth="1"/>
    <col min="45" max="45" width="17" style="173" customWidth="1"/>
    <col min="46" max="46" width="18.85546875" style="4" customWidth="1"/>
    <col min="47" max="47" width="10.42578125" style="4" bestFit="1" customWidth="1"/>
    <col min="48" max="16384" width="9.140625" style="4"/>
  </cols>
  <sheetData>
    <row r="1" spans="1:45" s="183" customFormat="1" ht="23.25" customHeight="1">
      <c r="A1" s="322"/>
      <c r="B1" s="179"/>
      <c r="C1" s="180"/>
      <c r="D1" s="178"/>
      <c r="E1" s="178"/>
      <c r="F1" s="178"/>
      <c r="G1" s="181"/>
      <c r="H1" s="178"/>
      <c r="I1" s="182"/>
      <c r="J1" s="181"/>
      <c r="K1" s="181"/>
      <c r="L1" s="181"/>
      <c r="M1" s="181"/>
      <c r="N1" s="181"/>
      <c r="O1" s="181"/>
      <c r="P1" s="181"/>
      <c r="Q1" s="181"/>
      <c r="R1" s="178"/>
      <c r="S1" s="166"/>
      <c r="T1" s="181"/>
      <c r="U1" s="181"/>
      <c r="V1" s="181"/>
      <c r="W1" s="178"/>
      <c r="X1" s="181"/>
      <c r="Y1" s="181"/>
      <c r="Z1" s="181"/>
      <c r="AA1" s="178"/>
      <c r="AB1" s="178"/>
      <c r="AC1" s="178"/>
      <c r="AD1" s="178"/>
      <c r="AE1" s="181"/>
      <c r="AF1" s="181"/>
      <c r="AG1" s="181"/>
      <c r="AR1" s="302"/>
      <c r="AS1" s="302"/>
    </row>
    <row r="2" spans="1:45" s="183" customFormat="1" ht="30.75" customHeight="1">
      <c r="A2" s="321"/>
      <c r="B2" s="179"/>
      <c r="C2" s="180"/>
      <c r="D2" s="178"/>
      <c r="E2" s="178"/>
      <c r="F2" s="178"/>
      <c r="G2" s="181"/>
      <c r="H2" s="178"/>
      <c r="I2" s="182"/>
      <c r="J2" s="181"/>
      <c r="K2" s="166">
        <f>M8-N8-O8-P8</f>
        <v>0</v>
      </c>
      <c r="L2" s="181"/>
      <c r="M2" s="166">
        <f>+M8-N8-O8-P8</f>
        <v>0</v>
      </c>
      <c r="N2" s="166"/>
      <c r="O2" s="166"/>
      <c r="P2" s="166"/>
      <c r="Q2" s="181"/>
      <c r="R2" s="166"/>
      <c r="S2" s="181"/>
      <c r="T2" s="181"/>
      <c r="U2" s="181"/>
      <c r="V2" s="181"/>
      <c r="W2" s="178"/>
      <c r="X2" s="181"/>
      <c r="Y2" s="181"/>
      <c r="Z2" s="181"/>
      <c r="AA2" s="166"/>
      <c r="AB2" s="166"/>
      <c r="AC2" s="166"/>
      <c r="AD2" s="166"/>
      <c r="AE2" s="181"/>
      <c r="AF2" s="181"/>
      <c r="AG2" s="181"/>
      <c r="AR2" s="302"/>
      <c r="AS2" s="302"/>
    </row>
    <row r="3" spans="1:45" s="183" customFormat="1" ht="14.25" customHeight="1">
      <c r="A3" s="178"/>
      <c r="B3" s="179"/>
      <c r="C3" s="180"/>
      <c r="D3" s="178"/>
      <c r="E3" s="178"/>
      <c r="F3" s="178"/>
      <c r="G3" s="166"/>
      <c r="H3" s="184"/>
      <c r="I3" s="185"/>
      <c r="J3" s="184"/>
      <c r="K3" s="181"/>
      <c r="L3" s="166"/>
      <c r="M3" s="166"/>
      <c r="N3" s="181"/>
      <c r="O3" s="181"/>
      <c r="P3" s="181"/>
      <c r="Q3" s="181"/>
      <c r="R3" s="181"/>
      <c r="S3" s="181"/>
      <c r="T3" s="181"/>
      <c r="U3" s="181"/>
      <c r="V3" s="181"/>
      <c r="W3" s="178"/>
      <c r="X3" s="181"/>
      <c r="Y3" s="166"/>
      <c r="Z3" s="181"/>
      <c r="AA3" s="181"/>
      <c r="AB3" s="181"/>
      <c r="AC3" s="181"/>
      <c r="AD3" s="181"/>
      <c r="AE3" s="181"/>
      <c r="AF3" s="181"/>
      <c r="AG3" s="181"/>
      <c r="AR3" s="302"/>
      <c r="AS3" s="302"/>
    </row>
    <row r="4" spans="1:45" s="183" customFormat="1" ht="14.25" customHeight="1">
      <c r="A4" s="178"/>
      <c r="B4" s="179"/>
      <c r="C4" s="180"/>
      <c r="D4" s="178"/>
      <c r="E4" s="178"/>
      <c r="F4" s="178"/>
      <c r="G4" s="166"/>
      <c r="H4" s="178"/>
      <c r="I4" s="182"/>
      <c r="J4" s="166"/>
      <c r="K4" s="181"/>
      <c r="L4" s="181"/>
      <c r="M4" s="181"/>
      <c r="N4" s="181"/>
      <c r="O4" s="166"/>
      <c r="P4" s="181"/>
      <c r="Q4" s="181"/>
      <c r="R4" s="181"/>
      <c r="S4" s="181"/>
      <c r="T4" s="181"/>
      <c r="U4" s="181"/>
      <c r="V4" s="181"/>
      <c r="W4" s="178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R4" s="302"/>
      <c r="AS4" s="302"/>
    </row>
    <row r="5" spans="1:45" s="183" customFormat="1" ht="14.25" customHeight="1">
      <c r="A5" s="178"/>
      <c r="B5" s="179"/>
      <c r="C5" s="180"/>
      <c r="D5" s="178"/>
      <c r="E5" s="178"/>
      <c r="F5" s="178"/>
      <c r="G5" s="166"/>
      <c r="H5" s="178"/>
      <c r="I5" s="182"/>
      <c r="J5" s="181"/>
      <c r="K5" s="181"/>
      <c r="L5" s="166">
        <f>+G8+H8-J8-L8-M8</f>
        <v>0</v>
      </c>
      <c r="M5" s="166"/>
      <c r="N5" s="181"/>
      <c r="O5" s="181"/>
      <c r="P5" s="181"/>
      <c r="Q5" s="181"/>
      <c r="R5" s="181"/>
      <c r="S5" s="181"/>
      <c r="T5" s="181"/>
      <c r="U5" s="181"/>
      <c r="V5" s="181"/>
      <c r="W5" s="178"/>
      <c r="X5" s="166"/>
      <c r="Y5" s="181"/>
      <c r="Z5" s="181"/>
      <c r="AA5" s="181"/>
      <c r="AB5" s="181"/>
      <c r="AC5" s="181"/>
      <c r="AD5" s="181"/>
      <c r="AE5" s="181"/>
      <c r="AF5" s="181"/>
      <c r="AG5" s="181"/>
      <c r="AR5" s="302"/>
      <c r="AS5" s="302"/>
    </row>
    <row r="6" spans="1:45" s="183" customFormat="1" ht="21" customHeight="1">
      <c r="A6" s="380" t="s">
        <v>637</v>
      </c>
      <c r="B6" s="179"/>
      <c r="C6" s="180"/>
      <c r="D6" s="178"/>
      <c r="E6" s="178"/>
      <c r="F6" s="178"/>
      <c r="G6" s="166"/>
      <c r="H6" s="178"/>
      <c r="I6" s="182"/>
      <c r="J6" s="166"/>
      <c r="K6" s="166"/>
      <c r="L6" s="166"/>
      <c r="M6" s="166"/>
      <c r="N6" s="166"/>
      <c r="O6" s="178"/>
      <c r="P6" s="181"/>
      <c r="Q6" s="181"/>
      <c r="R6" s="181"/>
      <c r="S6" s="181"/>
      <c r="T6" s="181"/>
      <c r="U6" s="181"/>
      <c r="V6" s="181"/>
      <c r="W6" s="178"/>
      <c r="X6" s="166"/>
      <c r="Y6" s="181"/>
      <c r="Z6" s="181"/>
      <c r="AA6" s="181"/>
      <c r="AB6" s="181"/>
      <c r="AC6" s="181"/>
      <c r="AD6" s="181"/>
      <c r="AE6" s="181"/>
      <c r="AF6" s="181"/>
      <c r="AG6" s="181"/>
      <c r="AR6" s="302"/>
      <c r="AS6" s="302"/>
    </row>
    <row r="7" spans="1:45" s="177" customFormat="1" ht="14.25" customHeight="1">
      <c r="A7" s="12"/>
      <c r="B7" s="163"/>
      <c r="C7" s="186"/>
      <c r="D7" s="187"/>
      <c r="E7" s="519"/>
      <c r="F7" s="519"/>
      <c r="G7" s="519"/>
      <c r="H7" s="519"/>
      <c r="I7" s="188"/>
      <c r="J7" s="519"/>
      <c r="K7" s="519"/>
      <c r="L7" s="189"/>
      <c r="M7" s="190"/>
      <c r="N7" s="12"/>
      <c r="O7" s="12"/>
      <c r="P7" s="11"/>
      <c r="Q7" s="11"/>
      <c r="R7" s="191"/>
      <c r="S7" s="11" t="s">
        <v>98</v>
      </c>
      <c r="T7" s="191"/>
      <c r="U7" s="191"/>
      <c r="V7" s="191"/>
      <c r="W7" s="192" t="s">
        <v>102</v>
      </c>
      <c r="X7" s="11"/>
      <c r="Y7" s="11"/>
      <c r="Z7" s="191"/>
      <c r="AA7" s="191"/>
      <c r="AB7" s="191"/>
      <c r="AC7" s="191">
        <v>41713</v>
      </c>
      <c r="AD7" s="11">
        <f>+AC7-AC8</f>
        <v>0</v>
      </c>
      <c r="AE7" s="193"/>
      <c r="AF7" s="11"/>
      <c r="AG7" s="11"/>
      <c r="AR7" s="196"/>
      <c r="AS7" s="196"/>
    </row>
    <row r="8" spans="1:45" s="196" customFormat="1" ht="14.25" customHeight="1">
      <c r="A8" s="12"/>
      <c r="B8" s="192"/>
      <c r="C8" s="194"/>
      <c r="D8" s="355">
        <f t="shared" ref="D8:AD8" si="0">SUBTOTAL(9,D13:D493)</f>
        <v>451937</v>
      </c>
      <c r="E8" s="355">
        <f t="shared" si="0"/>
        <v>2172048</v>
      </c>
      <c r="F8" s="355">
        <f t="shared" si="0"/>
        <v>2623985</v>
      </c>
      <c r="G8" s="355">
        <f t="shared" si="0"/>
        <v>290539</v>
      </c>
      <c r="H8" s="355">
        <f t="shared" si="0"/>
        <v>451937</v>
      </c>
      <c r="I8" s="355">
        <f t="shared" si="0"/>
        <v>30790</v>
      </c>
      <c r="J8" s="355">
        <f t="shared" si="0"/>
        <v>415376</v>
      </c>
      <c r="K8" s="355">
        <f t="shared" si="0"/>
        <v>0</v>
      </c>
      <c r="L8" s="355">
        <f t="shared" si="0"/>
        <v>0</v>
      </c>
      <c r="M8" s="355">
        <f t="shared" si="0"/>
        <v>327100</v>
      </c>
      <c r="N8" s="355">
        <f t="shared" si="0"/>
        <v>35663</v>
      </c>
      <c r="O8" s="355">
        <f t="shared" si="0"/>
        <v>90847</v>
      </c>
      <c r="P8" s="355">
        <f t="shared" si="0"/>
        <v>200590</v>
      </c>
      <c r="Q8" s="355">
        <f t="shared" si="0"/>
        <v>166221</v>
      </c>
      <c r="R8" s="355">
        <f t="shared" si="0"/>
        <v>6895</v>
      </c>
      <c r="S8" s="355">
        <f t="shared" si="0"/>
        <v>588492</v>
      </c>
      <c r="T8" s="355">
        <f>SUBTOTAL(9,T13:T493)</f>
        <v>384995</v>
      </c>
      <c r="U8" s="355">
        <f>SUBTOTAL(9,U13:U493)</f>
        <v>30381</v>
      </c>
      <c r="V8" s="355">
        <f>SUBTOTAL(9,V13:V493)</f>
        <v>30790</v>
      </c>
      <c r="W8" s="355">
        <f t="shared" si="0"/>
        <v>392031</v>
      </c>
      <c r="X8" s="355">
        <f t="shared" si="0"/>
        <v>0</v>
      </c>
      <c r="Y8" s="355">
        <f t="shared" si="0"/>
        <v>605</v>
      </c>
      <c r="Z8" s="355">
        <f t="shared" si="0"/>
        <v>4437</v>
      </c>
      <c r="AA8" s="355">
        <f t="shared" si="0"/>
        <v>446166</v>
      </c>
      <c r="AB8" s="355">
        <f t="shared" si="0"/>
        <v>184933</v>
      </c>
      <c r="AC8" s="355">
        <f t="shared" si="0"/>
        <v>41713</v>
      </c>
      <c r="AD8" s="355">
        <f t="shared" si="0"/>
        <v>226646</v>
      </c>
      <c r="AE8" s="355">
        <f>SUBTOTAL(9,AE13:AE488)</f>
        <v>0</v>
      </c>
      <c r="AF8" s="355"/>
      <c r="AG8" s="355"/>
      <c r="AH8" s="187">
        <f>SUBTOTAL(9,AH13:AH391)</f>
        <v>0</v>
      </c>
      <c r="AI8" s="195">
        <f>SUBTOTAL(9,AI13:AI274)</f>
        <v>0</v>
      </c>
      <c r="AJ8" s="195">
        <f>SUBTOTAL(9,AJ13:AJ274)</f>
        <v>0</v>
      </c>
    </row>
    <row r="9" spans="1:45" s="183" customFormat="1" ht="27.75" customHeight="1">
      <c r="A9" s="520" t="s">
        <v>56</v>
      </c>
      <c r="B9" s="522" t="s">
        <v>5</v>
      </c>
      <c r="C9" s="524" t="s">
        <v>18</v>
      </c>
      <c r="D9" s="530" t="s">
        <v>139</v>
      </c>
      <c r="E9" s="530" t="s">
        <v>20</v>
      </c>
      <c r="F9" s="530" t="s">
        <v>19</v>
      </c>
      <c r="G9" s="522" t="s">
        <v>21</v>
      </c>
      <c r="H9" s="530" t="s">
        <v>22</v>
      </c>
      <c r="I9" s="526" t="s">
        <v>23</v>
      </c>
      <c r="J9" s="522" t="s">
        <v>24</v>
      </c>
      <c r="K9" s="528"/>
      <c r="L9" s="528"/>
      <c r="M9" s="522" t="s">
        <v>28</v>
      </c>
      <c r="N9" s="522" t="s">
        <v>29</v>
      </c>
      <c r="O9" s="522"/>
      <c r="P9" s="522"/>
      <c r="Q9" s="522" t="s">
        <v>628</v>
      </c>
      <c r="R9" s="522" t="s">
        <v>629</v>
      </c>
      <c r="S9" s="522" t="s">
        <v>30</v>
      </c>
      <c r="T9" s="522" t="s">
        <v>627</v>
      </c>
      <c r="U9" s="536" t="s">
        <v>630</v>
      </c>
      <c r="V9" s="522" t="s">
        <v>32</v>
      </c>
      <c r="W9" s="535" t="s">
        <v>31</v>
      </c>
      <c r="X9" s="528"/>
      <c r="Y9" s="528"/>
      <c r="Z9" s="528"/>
      <c r="AA9" s="522" t="s">
        <v>142</v>
      </c>
      <c r="AB9" s="522" t="s">
        <v>141</v>
      </c>
      <c r="AC9" s="522" t="s">
        <v>35</v>
      </c>
      <c r="AD9" s="522" t="s">
        <v>36</v>
      </c>
      <c r="AE9" s="522" t="s">
        <v>140</v>
      </c>
      <c r="AF9" s="522"/>
      <c r="AG9" s="533"/>
      <c r="AQ9" s="187"/>
      <c r="AR9" s="187"/>
      <c r="AS9" s="302"/>
    </row>
    <row r="10" spans="1:45" s="183" customFormat="1" ht="22.5" customHeight="1">
      <c r="A10" s="521"/>
      <c r="B10" s="523"/>
      <c r="C10" s="525"/>
      <c r="D10" s="531"/>
      <c r="E10" s="532"/>
      <c r="F10" s="532"/>
      <c r="G10" s="523"/>
      <c r="H10" s="531"/>
      <c r="I10" s="527"/>
      <c r="J10" s="529"/>
      <c r="K10" s="529"/>
      <c r="L10" s="529"/>
      <c r="M10" s="529"/>
      <c r="N10" s="523"/>
      <c r="O10" s="523"/>
      <c r="P10" s="523"/>
      <c r="Q10" s="529"/>
      <c r="R10" s="523"/>
      <c r="S10" s="529"/>
      <c r="T10" s="523"/>
      <c r="U10" s="537"/>
      <c r="V10" s="523"/>
      <c r="W10" s="532"/>
      <c r="X10" s="529"/>
      <c r="Y10" s="529"/>
      <c r="Z10" s="529"/>
      <c r="AA10" s="523"/>
      <c r="AB10" s="529"/>
      <c r="AC10" s="529"/>
      <c r="AD10" s="529"/>
      <c r="AE10" s="529"/>
      <c r="AF10" s="523"/>
      <c r="AG10" s="534"/>
      <c r="AR10" s="302"/>
      <c r="AS10" s="302"/>
    </row>
    <row r="11" spans="1:45" s="183" customFormat="1" ht="75.75" customHeight="1">
      <c r="A11" s="521"/>
      <c r="B11" s="523"/>
      <c r="C11" s="525"/>
      <c r="D11" s="531"/>
      <c r="E11" s="532"/>
      <c r="F11" s="532"/>
      <c r="G11" s="523"/>
      <c r="H11" s="531"/>
      <c r="I11" s="527"/>
      <c r="J11" s="197" t="s">
        <v>25</v>
      </c>
      <c r="K11" s="437" t="s">
        <v>26</v>
      </c>
      <c r="L11" s="437" t="s">
        <v>27</v>
      </c>
      <c r="M11" s="529"/>
      <c r="N11" s="437" t="s">
        <v>8</v>
      </c>
      <c r="O11" s="437" t="s">
        <v>9</v>
      </c>
      <c r="P11" s="437" t="s">
        <v>151</v>
      </c>
      <c r="Q11" s="529"/>
      <c r="R11" s="523"/>
      <c r="S11" s="529"/>
      <c r="T11" s="523"/>
      <c r="U11" s="538"/>
      <c r="V11" s="523"/>
      <c r="W11" s="438" t="s">
        <v>33</v>
      </c>
      <c r="X11" s="500" t="s">
        <v>660</v>
      </c>
      <c r="Y11" s="437" t="s">
        <v>659</v>
      </c>
      <c r="Z11" s="437" t="s">
        <v>34</v>
      </c>
      <c r="AA11" s="523"/>
      <c r="AB11" s="529"/>
      <c r="AC11" s="529"/>
      <c r="AD11" s="529"/>
      <c r="AE11" s="529"/>
      <c r="AF11" s="523"/>
      <c r="AG11" s="534"/>
      <c r="AR11" s="302"/>
      <c r="AS11" s="302"/>
    </row>
    <row r="12" spans="1:45" s="196" customFormat="1" ht="12.75">
      <c r="A12" s="297"/>
      <c r="B12" s="298">
        <v>2</v>
      </c>
      <c r="C12" s="299">
        <v>3</v>
      </c>
      <c r="D12" s="297">
        <v>4</v>
      </c>
      <c r="E12" s="298">
        <v>5</v>
      </c>
      <c r="F12" s="298">
        <v>6</v>
      </c>
      <c r="G12" s="297">
        <v>7</v>
      </c>
      <c r="H12" s="298">
        <v>8</v>
      </c>
      <c r="I12" s="298">
        <v>9</v>
      </c>
      <c r="J12" s="297">
        <v>10</v>
      </c>
      <c r="K12" s="298">
        <v>11</v>
      </c>
      <c r="L12" s="298">
        <v>12</v>
      </c>
      <c r="M12" s="297">
        <v>13</v>
      </c>
      <c r="N12" s="298">
        <v>14</v>
      </c>
      <c r="O12" s="298">
        <v>15</v>
      </c>
      <c r="P12" s="297">
        <v>16</v>
      </c>
      <c r="Q12" s="298">
        <v>17</v>
      </c>
      <c r="R12" s="297">
        <v>25</v>
      </c>
      <c r="S12" s="298">
        <v>18</v>
      </c>
      <c r="T12" s="297">
        <v>19</v>
      </c>
      <c r="U12" s="440"/>
      <c r="V12" s="298">
        <v>20</v>
      </c>
      <c r="W12" s="298">
        <v>21</v>
      </c>
      <c r="X12" s="297">
        <v>22</v>
      </c>
      <c r="Y12" s="298">
        <v>23</v>
      </c>
      <c r="Z12" s="298">
        <v>24</v>
      </c>
      <c r="AA12" s="298">
        <v>26</v>
      </c>
      <c r="AB12" s="298">
        <v>27</v>
      </c>
      <c r="AC12" s="297">
        <v>28</v>
      </c>
      <c r="AD12" s="298">
        <v>29</v>
      </c>
      <c r="AE12" s="300">
        <v>35</v>
      </c>
      <c r="AF12" s="300"/>
      <c r="AG12" s="301"/>
      <c r="AQ12" s="415"/>
      <c r="AR12" s="196">
        <f>SUBTOTAL(9,AR13:AR488)</f>
        <v>0</v>
      </c>
      <c r="AS12" s="414"/>
    </row>
    <row r="13" spans="1:45" s="411" customFormat="1" ht="18.75" customHeight="1">
      <c r="A13" s="167">
        <v>1</v>
      </c>
      <c r="B13" s="79" t="str">
        <f>IFERROR(VLOOKUP(A13,O.B.JUNE!$A$7:$C$448,2,0),0)</f>
        <v>ALFANI</v>
      </c>
      <c r="C13" s="174">
        <f>IFERROR(VLOOKUP(A13,O.B.JUNE!$A$7:$C$448,3,0),0)</f>
        <v>69717</v>
      </c>
      <c r="D13" s="80">
        <f>F13-E13</f>
        <v>0</v>
      </c>
      <c r="E13" s="80">
        <f>IFERROR(VLOOKUP(C13,O.B.JUNE!$C$7:$D$448,2,0),0)</f>
        <v>12331</v>
      </c>
      <c r="F13" s="80">
        <f>VLOOKUP(C13,'CUTTING ON JUNE'!$A$4:$D$316,3,0)</f>
        <v>12331</v>
      </c>
      <c r="G13" s="80">
        <f>IFERROR(VLOOKUP(C13,O.B.JUNE!$C$7:$E$448,3,0),0)</f>
        <v>3455</v>
      </c>
      <c r="H13" s="80">
        <f>IF(F13="","",F13-E13)</f>
        <v>0</v>
      </c>
      <c r="I13" s="80"/>
      <c r="J13" s="80">
        <f>IF(S13="",0,S13-Q13-V13-R13)</f>
        <v>2500</v>
      </c>
      <c r="K13" s="80">
        <v>0</v>
      </c>
      <c r="L13" s="80">
        <v>0</v>
      </c>
      <c r="M13" s="81">
        <f>ROUND(IF(ISERROR(F13-S13-K13-L13-R13),0,(F13-S13-K13-L13+Q13+R13+G13-E13)),0)</f>
        <v>955</v>
      </c>
      <c r="N13" s="81">
        <v>0</v>
      </c>
      <c r="O13" s="81">
        <v>224</v>
      </c>
      <c r="P13" s="81">
        <f t="shared" ref="P13:P76" si="1">+M13-N13-O13</f>
        <v>731</v>
      </c>
      <c r="Q13" s="80">
        <f>IFERROR(VLOOKUP(C13,O.B.JUNE!$C$7:$K$448,7,0),0)</f>
        <v>1878</v>
      </c>
      <c r="R13" s="80">
        <f>IFERROR(VLOOKUP(C13,O.B.JUNE!$C$7:$J$448,8,0),0)</f>
        <v>0</v>
      </c>
      <c r="S13" s="323">
        <f>Q13+T13+U13+R13</f>
        <v>4378</v>
      </c>
      <c r="T13" s="324">
        <v>2500</v>
      </c>
      <c r="U13" s="324"/>
      <c r="V13" s="80"/>
      <c r="W13" s="324">
        <v>2370</v>
      </c>
      <c r="X13" s="324"/>
      <c r="Y13" s="324">
        <v>0</v>
      </c>
      <c r="Z13" s="80">
        <v>0</v>
      </c>
      <c r="AA13" s="80">
        <f>V13+U13+T13</f>
        <v>2500</v>
      </c>
      <c r="AB13" s="323">
        <f>ROUND(Q13+T13+V13-W13-Y13-Z13,0)</f>
        <v>2008</v>
      </c>
      <c r="AC13" s="80">
        <f>+R13+U13+Z13-X13</f>
        <v>0</v>
      </c>
      <c r="AD13" s="80">
        <f>AB13+AC13</f>
        <v>2008</v>
      </c>
      <c r="AE13" s="80"/>
      <c r="AF13" s="80"/>
      <c r="AG13" s="80"/>
      <c r="AH13" s="326">
        <f t="shared" ref="AH13" si="2">G13+H13-J13-L13-M13</f>
        <v>0</v>
      </c>
      <c r="AI13" s="326">
        <f>Q13+T13+U13-S13+R13</f>
        <v>0</v>
      </c>
      <c r="AJ13" s="326">
        <f t="shared" ref="AJ13" si="3">M13-N13-O13-P13</f>
        <v>0</v>
      </c>
      <c r="AK13" s="326">
        <f t="shared" ref="AK13" si="4">M13-N13-O13-P13</f>
        <v>0</v>
      </c>
      <c r="AL13" s="326"/>
      <c r="AM13" s="326"/>
      <c r="AN13" s="326">
        <v>0</v>
      </c>
      <c r="AO13" s="326"/>
      <c r="AP13" s="326"/>
      <c r="AQ13" s="326"/>
      <c r="AR13" s="327"/>
      <c r="AS13" s="209"/>
    </row>
    <row r="14" spans="1:45" s="411" customFormat="1" ht="18.75" customHeight="1">
      <c r="A14" s="167">
        <v>2</v>
      </c>
      <c r="B14" s="79" t="str">
        <f>IFERROR(VLOOKUP(A14,O.B.JUNE!$A$7:$C$448,2,0),0)</f>
        <v>ALFANI</v>
      </c>
      <c r="C14" s="174">
        <f>IFERROR(VLOOKUP(A14,O.B.JUNE!$A$7:$C$448,3,0),0)</f>
        <v>73738</v>
      </c>
      <c r="D14" s="80">
        <f t="shared" ref="D14:D77" si="5">F14-E14</f>
        <v>0</v>
      </c>
      <c r="E14" s="80">
        <f>IFERROR(VLOOKUP(C14,O.B.JUNE!$C$7:$D$448,2,0),0)</f>
        <v>0</v>
      </c>
      <c r="F14" s="80">
        <v>0</v>
      </c>
      <c r="G14" s="80">
        <f>IFERROR(VLOOKUP(C14,O.B.JUNE!$C$7:$E$448,3,0),0)</f>
        <v>473</v>
      </c>
      <c r="H14" s="80">
        <f t="shared" ref="H14:H77" si="6">IF(F14="","",F14-E14)</f>
        <v>0</v>
      </c>
      <c r="I14" s="80"/>
      <c r="J14" s="80">
        <f t="shared" ref="J14:J77" si="7">IF(S14="",0,S14-Q14-V14-R14)</f>
        <v>473</v>
      </c>
      <c r="K14" s="80">
        <v>0</v>
      </c>
      <c r="L14" s="80">
        <v>0</v>
      </c>
      <c r="M14" s="81">
        <f t="shared" ref="M14:M77" si="8">ROUND(IF(ISERROR(F14-S14-K14-L14-R14),0,(F14-S14-K14-L14+Q14+R14+G14-E14)),0)</f>
        <v>0</v>
      </c>
      <c r="N14" s="81">
        <v>0</v>
      </c>
      <c r="O14" s="81">
        <v>0</v>
      </c>
      <c r="P14" s="81">
        <f t="shared" si="1"/>
        <v>0</v>
      </c>
      <c r="Q14" s="80">
        <f>IFERROR(VLOOKUP(C14,O.B.JUNE!$C$7:$K$448,7,0),0)</f>
        <v>0</v>
      </c>
      <c r="R14" s="80">
        <f>IFERROR(VLOOKUP(C14,O.B.JUNE!$C$7:$J$448,8,0),0)</f>
        <v>0</v>
      </c>
      <c r="S14" s="323">
        <f>Q14+T14+U14+R14</f>
        <v>473</v>
      </c>
      <c r="T14" s="324">
        <v>0</v>
      </c>
      <c r="U14" s="324">
        <v>473</v>
      </c>
      <c r="V14" s="80"/>
      <c r="W14" s="324">
        <v>0</v>
      </c>
      <c r="X14" s="324"/>
      <c r="Y14" s="324">
        <v>0</v>
      </c>
      <c r="Z14" s="80">
        <v>0</v>
      </c>
      <c r="AA14" s="80">
        <f t="shared" ref="AA14:AA77" si="9">V14+U14+T14</f>
        <v>473</v>
      </c>
      <c r="AB14" s="323">
        <f t="shared" ref="AB14:AB77" si="10">ROUND(Q14+T14+V14-X14-W14-Y14-Z14,0)</f>
        <v>0</v>
      </c>
      <c r="AC14" s="80">
        <f t="shared" ref="AC14:AC77" si="11">+R14+U14+Z14-X14</f>
        <v>473</v>
      </c>
      <c r="AD14" s="80">
        <f t="shared" ref="AD14:AD15" si="12">AB14+AC14</f>
        <v>473</v>
      </c>
      <c r="AE14" s="80"/>
      <c r="AF14" s="80"/>
      <c r="AG14" s="80"/>
      <c r="AH14" s="326">
        <f t="shared" ref="AH14:AH77" si="13">G14+H14-J14-L14-M14</f>
        <v>0</v>
      </c>
      <c r="AI14" s="326">
        <f t="shared" ref="AI14:AI77" si="14">Q14+T14+U14-S14+R14</f>
        <v>0</v>
      </c>
      <c r="AJ14" s="326">
        <f t="shared" ref="AJ14:AJ77" si="15">M14-N14-O14-P14</f>
        <v>0</v>
      </c>
      <c r="AK14" s="326">
        <f t="shared" ref="AK14:AK77" si="16">M14-N14-O14-P14</f>
        <v>0</v>
      </c>
      <c r="AL14" s="326"/>
      <c r="AM14" s="326"/>
      <c r="AN14" s="326"/>
      <c r="AO14" s="326"/>
      <c r="AP14" s="326"/>
      <c r="AQ14" s="326"/>
      <c r="AR14" s="327"/>
      <c r="AS14" s="504" t="s">
        <v>658</v>
      </c>
    </row>
    <row r="15" spans="1:45" s="411" customFormat="1" ht="18.75" customHeight="1">
      <c r="A15" s="167">
        <v>3</v>
      </c>
      <c r="B15" s="79" t="str">
        <f>IFERROR(VLOOKUP(A15,O.B.JUNE!$A$7:$C$448,2,0),0)</f>
        <v>ALFANI</v>
      </c>
      <c r="C15" s="174">
        <f>IFERROR(VLOOKUP(A15,O.B.JUNE!$A$7:$C$448,3,0),0)</f>
        <v>73746</v>
      </c>
      <c r="D15" s="80">
        <f t="shared" si="5"/>
        <v>0</v>
      </c>
      <c r="E15" s="80">
        <f>IFERROR(VLOOKUP(C15,O.B.JUNE!$C$7:$D$448,2,0),0)</f>
        <v>0</v>
      </c>
      <c r="F15" s="80">
        <v>0</v>
      </c>
      <c r="G15" s="80">
        <f>IFERROR(VLOOKUP(C15,O.B.JUNE!$C$7:$E$448,3,0),0)</f>
        <v>0</v>
      </c>
      <c r="H15" s="80">
        <f t="shared" si="6"/>
        <v>0</v>
      </c>
      <c r="I15" s="80"/>
      <c r="J15" s="80">
        <f t="shared" si="7"/>
        <v>0</v>
      </c>
      <c r="K15" s="80">
        <v>0</v>
      </c>
      <c r="L15" s="80">
        <v>0</v>
      </c>
      <c r="M15" s="81">
        <f t="shared" si="8"/>
        <v>0</v>
      </c>
      <c r="N15" s="81">
        <v>0</v>
      </c>
      <c r="O15" s="81">
        <v>0</v>
      </c>
      <c r="P15" s="81">
        <v>0</v>
      </c>
      <c r="Q15" s="80">
        <f>IFERROR(VLOOKUP(C15,O.B.JUNE!$C$7:$K$448,7,0),0)</f>
        <v>0</v>
      </c>
      <c r="R15" s="80">
        <f>IFERROR(VLOOKUP(C15,O.B.JUNE!$C$7:$J$448,8,0),0)</f>
        <v>11</v>
      </c>
      <c r="S15" s="323">
        <f t="shared" ref="S15:S77" si="17">Q15+T15+U15+R15</f>
        <v>11</v>
      </c>
      <c r="T15" s="324">
        <v>0</v>
      </c>
      <c r="U15" s="324"/>
      <c r="V15" s="80"/>
      <c r="W15" s="324">
        <v>0</v>
      </c>
      <c r="X15" s="324"/>
      <c r="Y15" s="324">
        <v>0</v>
      </c>
      <c r="Z15" s="80">
        <v>0</v>
      </c>
      <c r="AA15" s="80">
        <f t="shared" si="9"/>
        <v>0</v>
      </c>
      <c r="AB15" s="323">
        <f t="shared" si="10"/>
        <v>0</v>
      </c>
      <c r="AC15" s="80">
        <f t="shared" si="11"/>
        <v>11</v>
      </c>
      <c r="AD15" s="80">
        <f t="shared" si="12"/>
        <v>11</v>
      </c>
      <c r="AE15" s="80"/>
      <c r="AF15" s="80"/>
      <c r="AG15" s="80"/>
      <c r="AH15" s="326">
        <f t="shared" si="13"/>
        <v>0</v>
      </c>
      <c r="AI15" s="326">
        <f t="shared" si="14"/>
        <v>0</v>
      </c>
      <c r="AJ15" s="326">
        <f t="shared" si="15"/>
        <v>0</v>
      </c>
      <c r="AK15" s="326">
        <f t="shared" si="16"/>
        <v>0</v>
      </c>
      <c r="AL15" s="326"/>
      <c r="AM15" s="326"/>
      <c r="AN15" s="326"/>
      <c r="AO15" s="326"/>
      <c r="AP15" s="326"/>
      <c r="AQ15" s="326"/>
      <c r="AR15" s="327"/>
      <c r="AS15" s="209"/>
    </row>
    <row r="16" spans="1:45" s="411" customFormat="1" ht="18.75" customHeight="1">
      <c r="A16" s="167">
        <v>4</v>
      </c>
      <c r="B16" s="79" t="str">
        <f>IFERROR(VLOOKUP(A16,O.B.JUNE!$A$7:$C$448,2,0),0)</f>
        <v>ALFANI</v>
      </c>
      <c r="C16" s="174">
        <f>IFERROR(VLOOKUP(A16,O.B.JUNE!$A$7:$C$448,3,0),0)</f>
        <v>74211</v>
      </c>
      <c r="D16" s="80">
        <f t="shared" si="5"/>
        <v>0</v>
      </c>
      <c r="E16" s="80">
        <f>IFERROR(VLOOKUP(C16,O.B.JUNE!$C$7:$D$448,2,0),0)</f>
        <v>3960</v>
      </c>
      <c r="F16" s="80">
        <f>VLOOKUP(C16,'CUTTING ON JUNE'!$A$4:$D$316,3,0)</f>
        <v>3960</v>
      </c>
      <c r="G16" s="80">
        <f>IFERROR(VLOOKUP(C16,O.B.JUNE!$C$7:$E$448,3,0),0)</f>
        <v>37</v>
      </c>
      <c r="H16" s="80">
        <f t="shared" si="6"/>
        <v>0</v>
      </c>
      <c r="I16" s="80"/>
      <c r="J16" s="80">
        <f t="shared" si="7"/>
        <v>37</v>
      </c>
      <c r="K16" s="80">
        <v>0</v>
      </c>
      <c r="L16" s="80">
        <v>0</v>
      </c>
      <c r="M16" s="81">
        <f t="shared" si="8"/>
        <v>0</v>
      </c>
      <c r="N16" s="81">
        <v>0</v>
      </c>
      <c r="O16" s="81">
        <v>0</v>
      </c>
      <c r="P16" s="81">
        <f t="shared" ref="P16" si="18">+M16-N16-O16</f>
        <v>0</v>
      </c>
      <c r="Q16" s="80">
        <f>IFERROR(VLOOKUP(C16,O.B.JUNE!$C$7:$K$448,7,0),0)</f>
        <v>0</v>
      </c>
      <c r="R16" s="80">
        <f>IFERROR(VLOOKUP(C16,O.B.JUNE!$C$7:$J$448,8,0),0)</f>
        <v>0</v>
      </c>
      <c r="S16" s="323">
        <f t="shared" si="17"/>
        <v>37</v>
      </c>
      <c r="T16" s="324">
        <v>0</v>
      </c>
      <c r="U16" s="324">
        <v>37</v>
      </c>
      <c r="V16" s="80"/>
      <c r="W16" s="324">
        <v>0</v>
      </c>
      <c r="X16" s="324"/>
      <c r="Y16" s="324">
        <v>0</v>
      </c>
      <c r="Z16" s="80">
        <v>0</v>
      </c>
      <c r="AA16" s="80">
        <f t="shared" si="9"/>
        <v>37</v>
      </c>
      <c r="AB16" s="323">
        <f t="shared" si="10"/>
        <v>0</v>
      </c>
      <c r="AC16" s="80">
        <f t="shared" si="11"/>
        <v>37</v>
      </c>
      <c r="AD16" s="80">
        <f>AB16+AC16</f>
        <v>37</v>
      </c>
      <c r="AE16" s="80"/>
      <c r="AF16" s="80"/>
      <c r="AG16" s="80"/>
      <c r="AH16" s="326">
        <f t="shared" si="13"/>
        <v>0</v>
      </c>
      <c r="AI16" s="326">
        <f t="shared" si="14"/>
        <v>0</v>
      </c>
      <c r="AJ16" s="326">
        <f t="shared" si="15"/>
        <v>0</v>
      </c>
      <c r="AK16" s="326">
        <f t="shared" si="16"/>
        <v>0</v>
      </c>
      <c r="AL16" s="326"/>
      <c r="AM16" s="326"/>
      <c r="AN16" s="326"/>
      <c r="AO16" s="326"/>
      <c r="AP16" s="326"/>
      <c r="AQ16" s="326"/>
      <c r="AR16" s="327"/>
      <c r="AS16" s="504" t="s">
        <v>658</v>
      </c>
    </row>
    <row r="17" spans="1:47" s="411" customFormat="1" ht="18.75" customHeight="1">
      <c r="A17" s="167">
        <v>5</v>
      </c>
      <c r="B17" s="79" t="str">
        <f>IFERROR(VLOOKUP(A17,O.B.JUNE!$A$7:$C$448,2,0),0)</f>
        <v>ALFANI</v>
      </c>
      <c r="C17" s="174">
        <f>IFERROR(VLOOKUP(A17,O.B.JUNE!$A$7:$C$448,3,0),0)</f>
        <v>2072</v>
      </c>
      <c r="D17" s="80">
        <f t="shared" si="5"/>
        <v>17463</v>
      </c>
      <c r="E17" s="80">
        <f>IFERROR(VLOOKUP(C17,O.B.JUNE!$C$7:$D$448,2,0),0)</f>
        <v>142225</v>
      </c>
      <c r="F17" s="80">
        <f>VLOOKUP(C17,'CUTTING ON JUNE'!$A$4:$D$316,3,0)</f>
        <v>159688</v>
      </c>
      <c r="G17" s="80">
        <f>IFERROR(VLOOKUP(C17,O.B.JUNE!$C$7:$E$448,3,0),0)</f>
        <v>10378</v>
      </c>
      <c r="H17" s="80">
        <f t="shared" si="6"/>
        <v>17463</v>
      </c>
      <c r="I17" s="80"/>
      <c r="J17" s="80">
        <f t="shared" si="7"/>
        <v>15677</v>
      </c>
      <c r="K17" s="80">
        <v>0</v>
      </c>
      <c r="L17" s="80">
        <v>0</v>
      </c>
      <c r="M17" s="81">
        <f>ROUND(IF(ISERROR(F17-S17-K17-L17-R17),0,(F17-S17-K17-L17+Q17+R17+G17-E17)),0)</f>
        <v>12164</v>
      </c>
      <c r="N17" s="81">
        <v>50</v>
      </c>
      <c r="O17" s="81">
        <v>595</v>
      </c>
      <c r="P17" s="81">
        <f t="shared" si="1"/>
        <v>11519</v>
      </c>
      <c r="Q17" s="80">
        <f>IFERROR(VLOOKUP(C17,O.B.JUNE!$C$7:$K$448,7,0),0)</f>
        <v>0</v>
      </c>
      <c r="R17" s="80">
        <f>IFERROR(VLOOKUP(C17,O.B.JUNE!$C$7:$J$448,8,0),0)</f>
        <v>142</v>
      </c>
      <c r="S17" s="323">
        <f t="shared" si="17"/>
        <v>15819</v>
      </c>
      <c r="T17" s="324">
        <v>15677</v>
      </c>
      <c r="U17" s="324"/>
      <c r="V17" s="80"/>
      <c r="W17" s="324">
        <v>11304</v>
      </c>
      <c r="X17" s="324"/>
      <c r="Y17" s="324">
        <v>0</v>
      </c>
      <c r="Z17" s="80">
        <v>0</v>
      </c>
      <c r="AA17" s="80">
        <f t="shared" si="9"/>
        <v>15677</v>
      </c>
      <c r="AB17" s="323">
        <f t="shared" si="10"/>
        <v>4373</v>
      </c>
      <c r="AC17" s="80">
        <f t="shared" si="11"/>
        <v>142</v>
      </c>
      <c r="AD17" s="80">
        <f t="shared" ref="AD17:AD80" si="19">AB17+AC17</f>
        <v>4515</v>
      </c>
      <c r="AE17" s="80"/>
      <c r="AF17" s="80"/>
      <c r="AG17" s="80"/>
      <c r="AH17" s="326">
        <f t="shared" si="13"/>
        <v>0</v>
      </c>
      <c r="AI17" s="326">
        <f t="shared" si="14"/>
        <v>0</v>
      </c>
      <c r="AJ17" s="326">
        <f t="shared" si="15"/>
        <v>0</v>
      </c>
      <c r="AK17" s="326">
        <f t="shared" si="16"/>
        <v>0</v>
      </c>
      <c r="AL17" s="326"/>
      <c r="AM17" s="326"/>
      <c r="AN17" s="326"/>
      <c r="AO17" s="326"/>
      <c r="AP17" s="326"/>
      <c r="AQ17" s="326"/>
      <c r="AR17" s="327"/>
      <c r="AS17" s="209"/>
    </row>
    <row r="18" spans="1:47" s="411" customFormat="1" ht="18.75" customHeight="1">
      <c r="A18" s="167">
        <v>6</v>
      </c>
      <c r="B18" s="79" t="str">
        <f>IFERROR(VLOOKUP(A18,O.B.JUNE!$A$7:$C$448,2,0),0)</f>
        <v>J JILL</v>
      </c>
      <c r="C18" s="174" t="str">
        <f>IFERROR(VLOOKUP(A18,O.B.JUNE!$A$7:$C$448,3,0),0)</f>
        <v>KPT001611</v>
      </c>
      <c r="D18" s="80">
        <f t="shared" si="5"/>
        <v>0</v>
      </c>
      <c r="E18" s="80">
        <f>IFERROR(VLOOKUP(C18,O.B.JUNE!$C$7:$D$448,2,0),0)</f>
        <v>89849</v>
      </c>
      <c r="F18" s="80">
        <f>VLOOKUP(C18,'CUTTING ON JUNE'!$A$4:$D$316,3,0)</f>
        <v>89849</v>
      </c>
      <c r="G18" s="80">
        <f>IFERROR(VLOOKUP(C18,O.B.JUNE!$C$7:$E$448,3,0),0)</f>
        <v>16696</v>
      </c>
      <c r="H18" s="80">
        <f>IF(F18="","",F18-E18)</f>
        <v>0</v>
      </c>
      <c r="I18" s="80"/>
      <c r="J18" s="80">
        <f t="shared" si="7"/>
        <v>0</v>
      </c>
      <c r="K18" s="80">
        <v>0</v>
      </c>
      <c r="L18" s="80">
        <v>0</v>
      </c>
      <c r="M18" s="81">
        <f t="shared" si="8"/>
        <v>16696</v>
      </c>
      <c r="N18" s="81">
        <v>79</v>
      </c>
      <c r="O18" s="81">
        <v>129</v>
      </c>
      <c r="P18" s="81">
        <f t="shared" si="1"/>
        <v>16488</v>
      </c>
      <c r="Q18" s="80">
        <f>IFERROR(VLOOKUP(C18,O.B.JUNE!$C$7:$K$448,7,0),0)</f>
        <v>0</v>
      </c>
      <c r="R18" s="80">
        <f>IFERROR(VLOOKUP(C18,O.B.JUNE!$C$7:$J$448,8,0),0)</f>
        <v>0</v>
      </c>
      <c r="S18" s="323">
        <f t="shared" si="17"/>
        <v>0</v>
      </c>
      <c r="T18" s="324">
        <v>0</v>
      </c>
      <c r="U18" s="324"/>
      <c r="V18" s="323"/>
      <c r="W18" s="324">
        <v>0</v>
      </c>
      <c r="X18" s="324"/>
      <c r="Y18" s="324">
        <v>0</v>
      </c>
      <c r="Z18" s="80">
        <v>0</v>
      </c>
      <c r="AA18" s="80">
        <f t="shared" si="9"/>
        <v>0</v>
      </c>
      <c r="AB18" s="323">
        <f t="shared" si="10"/>
        <v>0</v>
      </c>
      <c r="AC18" s="80">
        <f t="shared" si="11"/>
        <v>0</v>
      </c>
      <c r="AD18" s="80">
        <f t="shared" si="19"/>
        <v>0</v>
      </c>
      <c r="AE18" s="80"/>
      <c r="AF18" s="80"/>
      <c r="AG18" s="80"/>
      <c r="AH18" s="326">
        <f t="shared" si="13"/>
        <v>0</v>
      </c>
      <c r="AI18" s="326">
        <f t="shared" si="14"/>
        <v>0</v>
      </c>
      <c r="AJ18" s="326">
        <f t="shared" si="15"/>
        <v>0</v>
      </c>
      <c r="AK18" s="326">
        <f t="shared" si="16"/>
        <v>0</v>
      </c>
      <c r="AL18" s="326"/>
      <c r="AM18" s="326"/>
      <c r="AN18" s="326"/>
      <c r="AO18" s="326"/>
      <c r="AP18" s="326"/>
      <c r="AQ18" s="326"/>
      <c r="AR18" s="327">
        <f>VLOOKUP(C18,'[1]DA HET SAN XUAT'!$D$8:$AJ$419,33,0)</f>
        <v>0</v>
      </c>
      <c r="AS18" s="209"/>
    </row>
    <row r="19" spans="1:47" s="411" customFormat="1" ht="18.75" customHeight="1">
      <c r="A19" s="167">
        <v>7</v>
      </c>
      <c r="B19" s="79" t="str">
        <f>IFERROR(VLOOKUP(A19,O.B.JUNE!$A$7:$C$448,2,0),0)</f>
        <v>J JILL</v>
      </c>
      <c r="C19" s="174" t="str">
        <f>IFERROR(VLOOKUP(A19,O.B.JUNE!$A$7:$C$448,3,0),0)</f>
        <v>KPT101081</v>
      </c>
      <c r="D19" s="80">
        <f t="shared" si="5"/>
        <v>4453</v>
      </c>
      <c r="E19" s="80">
        <f>IFERROR(VLOOKUP(C19,O.B.JUNE!$C$7:$D$448,2,0),0)</f>
        <v>45884</v>
      </c>
      <c r="F19" s="80">
        <f>VLOOKUP(C19,'CUTTING ON JUNE'!$A$4:$D$316,3,0)</f>
        <v>50337</v>
      </c>
      <c r="G19" s="80">
        <f>IFERROR(VLOOKUP(C19,O.B.JUNE!$C$7:$E$448,3,0),0)</f>
        <v>2660</v>
      </c>
      <c r="H19" s="80">
        <f>IF(F19="","",F19-E19)</f>
        <v>4453</v>
      </c>
      <c r="I19" s="80"/>
      <c r="J19" s="80">
        <f t="shared" si="7"/>
        <v>4292</v>
      </c>
      <c r="K19" s="80">
        <v>0</v>
      </c>
      <c r="L19" s="80">
        <v>0</v>
      </c>
      <c r="M19" s="81">
        <f t="shared" si="8"/>
        <v>2821</v>
      </c>
      <c r="N19" s="81">
        <v>234</v>
      </c>
      <c r="O19" s="81">
        <v>362</v>
      </c>
      <c r="P19" s="81">
        <f t="shared" si="1"/>
        <v>2225</v>
      </c>
      <c r="Q19" s="80">
        <f>IFERROR(VLOOKUP(C19,O.B.JUNE!$C$7:$K$448,7,0),0)</f>
        <v>5304</v>
      </c>
      <c r="R19" s="80">
        <f>IFERROR(VLOOKUP(C19,O.B.JUNE!$C$7:$J$448,8,0),0)</f>
        <v>58</v>
      </c>
      <c r="S19" s="323">
        <f t="shared" si="17"/>
        <v>9654</v>
      </c>
      <c r="T19" s="324">
        <v>4292</v>
      </c>
      <c r="U19" s="324"/>
      <c r="V19" s="323"/>
      <c r="W19" s="324">
        <v>5407</v>
      </c>
      <c r="X19" s="324"/>
      <c r="Y19" s="324">
        <v>0</v>
      </c>
      <c r="Z19" s="80">
        <v>35</v>
      </c>
      <c r="AA19" s="80">
        <f t="shared" si="9"/>
        <v>4292</v>
      </c>
      <c r="AB19" s="323">
        <f t="shared" si="10"/>
        <v>4154</v>
      </c>
      <c r="AC19" s="80">
        <f t="shared" si="11"/>
        <v>93</v>
      </c>
      <c r="AD19" s="80">
        <f t="shared" si="19"/>
        <v>4247</v>
      </c>
      <c r="AE19" s="80"/>
      <c r="AF19" s="80"/>
      <c r="AG19" s="80"/>
      <c r="AH19" s="326">
        <f t="shared" si="13"/>
        <v>0</v>
      </c>
      <c r="AI19" s="326">
        <f t="shared" si="14"/>
        <v>0</v>
      </c>
      <c r="AJ19" s="326">
        <f t="shared" si="15"/>
        <v>0</v>
      </c>
      <c r="AK19" s="326">
        <f t="shared" si="16"/>
        <v>0</v>
      </c>
      <c r="AL19" s="326"/>
      <c r="AM19" s="326"/>
      <c r="AN19" s="326"/>
      <c r="AO19" s="326"/>
      <c r="AP19" s="326"/>
      <c r="AQ19" s="326"/>
      <c r="AR19" s="327"/>
      <c r="AS19" s="209"/>
    </row>
    <row r="20" spans="1:47" s="327" customFormat="1" ht="18.75" customHeight="1">
      <c r="A20" s="167">
        <v>8</v>
      </c>
      <c r="B20" s="79" t="str">
        <f>IFERROR(VLOOKUP(A20,O.B.JUNE!$A$7:$C$448,2,0),0)</f>
        <v>ALFANI</v>
      </c>
      <c r="C20" s="174">
        <f>IFERROR(VLOOKUP(A20,O.B.JUNE!$A$7:$C$448,3,0),0)</f>
        <v>7285</v>
      </c>
      <c r="D20" s="80">
        <f t="shared" si="5"/>
        <v>0</v>
      </c>
      <c r="E20" s="80">
        <f>IFERROR(VLOOKUP(C20,O.B.JUNE!$C$7:$D$448,2,0),0)</f>
        <v>0</v>
      </c>
      <c r="F20" s="80">
        <v>0</v>
      </c>
      <c r="G20" s="80">
        <f>IFERROR(VLOOKUP(C20,O.B.JUNE!$C$7:$E$448,3,0),0)</f>
        <v>32</v>
      </c>
      <c r="H20" s="80">
        <f t="shared" si="6"/>
        <v>0</v>
      </c>
      <c r="I20" s="80"/>
      <c r="J20" s="80">
        <f t="shared" si="7"/>
        <v>32</v>
      </c>
      <c r="K20" s="80">
        <v>0</v>
      </c>
      <c r="L20" s="80">
        <v>0</v>
      </c>
      <c r="M20" s="81">
        <f t="shared" si="8"/>
        <v>0</v>
      </c>
      <c r="N20" s="81">
        <v>0</v>
      </c>
      <c r="O20" s="81">
        <v>0</v>
      </c>
      <c r="P20" s="81">
        <f t="shared" ref="P20:P25" si="20">+M20-N20-O20</f>
        <v>0</v>
      </c>
      <c r="Q20" s="80">
        <f>IFERROR(VLOOKUP(C20,O.B.JUNE!$C$7:$K$448,7,0),0)</f>
        <v>0</v>
      </c>
      <c r="R20" s="80">
        <f>IFERROR(VLOOKUP(C20,O.B.JUNE!$C$7:$J$448,8,0),0)</f>
        <v>0</v>
      </c>
      <c r="S20" s="323">
        <f t="shared" si="17"/>
        <v>32</v>
      </c>
      <c r="T20" s="324">
        <v>0</v>
      </c>
      <c r="U20" s="324">
        <v>32</v>
      </c>
      <c r="V20" s="80"/>
      <c r="W20" s="324">
        <v>0</v>
      </c>
      <c r="X20" s="324"/>
      <c r="Y20" s="324">
        <v>0</v>
      </c>
      <c r="Z20" s="80">
        <v>0</v>
      </c>
      <c r="AA20" s="80">
        <f t="shared" si="9"/>
        <v>32</v>
      </c>
      <c r="AB20" s="323">
        <f t="shared" si="10"/>
        <v>0</v>
      </c>
      <c r="AC20" s="80">
        <f t="shared" si="11"/>
        <v>32</v>
      </c>
      <c r="AD20" s="80">
        <f t="shared" si="19"/>
        <v>32</v>
      </c>
      <c r="AE20" s="80"/>
      <c r="AF20" s="80"/>
      <c r="AG20" s="80"/>
      <c r="AH20" s="326">
        <f t="shared" si="13"/>
        <v>0</v>
      </c>
      <c r="AI20" s="326">
        <f t="shared" si="14"/>
        <v>0</v>
      </c>
      <c r="AJ20" s="326">
        <f t="shared" si="15"/>
        <v>0</v>
      </c>
      <c r="AK20" s="326">
        <f t="shared" si="16"/>
        <v>0</v>
      </c>
      <c r="AL20" s="326"/>
      <c r="AM20" s="326"/>
      <c r="AN20" s="326"/>
      <c r="AO20" s="326"/>
      <c r="AP20" s="326"/>
      <c r="AQ20" s="326"/>
      <c r="AS20" s="504" t="s">
        <v>658</v>
      </c>
      <c r="AT20" s="411"/>
      <c r="AU20" s="411"/>
    </row>
    <row r="21" spans="1:47" s="327" customFormat="1" ht="18.75" customHeight="1">
      <c r="A21" s="167">
        <v>9</v>
      </c>
      <c r="B21" s="79" t="str">
        <f>IFERROR(VLOOKUP(A21,O.B.JUNE!$A$7:$C$448,2,0),0)</f>
        <v>ALFANI</v>
      </c>
      <c r="C21" s="174">
        <f>IFERROR(VLOOKUP(A21,O.B.JUNE!$A$7:$C$448,3,0),0)</f>
        <v>100004407</v>
      </c>
      <c r="D21" s="80">
        <f t="shared" si="5"/>
        <v>0</v>
      </c>
      <c r="E21" s="80">
        <f>IFERROR(VLOOKUP(C21,O.B.JUNE!$C$7:$D$448,2,0),0)</f>
        <v>14942</v>
      </c>
      <c r="F21" s="80">
        <f>VLOOKUP(C21,'CUTTING ON JUNE'!$A$4:$D$316,3,0)</f>
        <v>14942</v>
      </c>
      <c r="G21" s="80">
        <f>IFERROR(VLOOKUP(C21,O.B.JUNE!$C$7:$E$448,3,0),0)</f>
        <v>305</v>
      </c>
      <c r="H21" s="80">
        <f t="shared" si="6"/>
        <v>0</v>
      </c>
      <c r="I21" s="80"/>
      <c r="J21" s="80">
        <f t="shared" si="7"/>
        <v>0</v>
      </c>
      <c r="K21" s="80">
        <v>0</v>
      </c>
      <c r="L21" s="80">
        <v>0</v>
      </c>
      <c r="M21" s="81">
        <f t="shared" si="8"/>
        <v>305</v>
      </c>
      <c r="N21" s="81">
        <v>0</v>
      </c>
      <c r="O21" s="81">
        <v>116</v>
      </c>
      <c r="P21" s="81">
        <f t="shared" si="20"/>
        <v>189</v>
      </c>
      <c r="Q21" s="80">
        <f>IFERROR(VLOOKUP(C21,O.B.JUNE!$C$7:$K$448,7,0),0)</f>
        <v>0</v>
      </c>
      <c r="R21" s="80">
        <f>IFERROR(VLOOKUP(C21,O.B.JUNE!$C$7:$J$448,8,0),0)</f>
        <v>0</v>
      </c>
      <c r="S21" s="323">
        <f t="shared" si="17"/>
        <v>0</v>
      </c>
      <c r="T21" s="324">
        <v>0</v>
      </c>
      <c r="U21" s="324"/>
      <c r="V21" s="80"/>
      <c r="W21" s="324">
        <v>0</v>
      </c>
      <c r="X21" s="324"/>
      <c r="Y21" s="324">
        <v>0</v>
      </c>
      <c r="Z21" s="80">
        <v>0</v>
      </c>
      <c r="AA21" s="80">
        <f t="shared" si="9"/>
        <v>0</v>
      </c>
      <c r="AB21" s="323">
        <f t="shared" si="10"/>
        <v>0</v>
      </c>
      <c r="AC21" s="80">
        <f t="shared" si="11"/>
        <v>0</v>
      </c>
      <c r="AD21" s="80">
        <f t="shared" si="19"/>
        <v>0</v>
      </c>
      <c r="AE21" s="80"/>
      <c r="AF21" s="80"/>
      <c r="AG21" s="80"/>
      <c r="AH21" s="326">
        <f t="shared" si="13"/>
        <v>0</v>
      </c>
      <c r="AI21" s="326">
        <f t="shared" si="14"/>
        <v>0</v>
      </c>
      <c r="AJ21" s="326">
        <f t="shared" si="15"/>
        <v>0</v>
      </c>
      <c r="AK21" s="326">
        <f t="shared" si="16"/>
        <v>0</v>
      </c>
      <c r="AL21" s="326"/>
      <c r="AM21" s="326"/>
      <c r="AN21" s="326"/>
      <c r="AO21" s="326"/>
      <c r="AP21" s="326"/>
      <c r="AQ21" s="326"/>
      <c r="AS21" s="504" t="s">
        <v>658</v>
      </c>
      <c r="AT21" s="411"/>
      <c r="AU21" s="411"/>
    </row>
    <row r="22" spans="1:47" s="327" customFormat="1" ht="18.75" customHeight="1">
      <c r="A22" s="167">
        <v>10</v>
      </c>
      <c r="B22" s="79" t="str">
        <f>IFERROR(VLOOKUP(A22,O.B.JUNE!$A$7:$C$448,2,0),0)</f>
        <v>ANN TAYLOR</v>
      </c>
      <c r="C22" s="174">
        <f>IFERROR(VLOOKUP(A22,O.B.JUNE!$A$7:$C$448,3,0),0)</f>
        <v>446749</v>
      </c>
      <c r="D22" s="80">
        <f t="shared" si="5"/>
        <v>0</v>
      </c>
      <c r="E22" s="80">
        <f>IFERROR(VLOOKUP(C22,O.B.JUNE!$C$7:$D$448,2,0),0)</f>
        <v>0</v>
      </c>
      <c r="F22" s="80">
        <v>0</v>
      </c>
      <c r="G22" s="80">
        <f>IFERROR(VLOOKUP(C22,O.B.JUNE!$C$7:$E$448,3,0),0)</f>
        <v>165</v>
      </c>
      <c r="H22" s="80">
        <f t="shared" si="6"/>
        <v>0</v>
      </c>
      <c r="I22" s="80"/>
      <c r="J22" s="80">
        <f t="shared" si="7"/>
        <v>165</v>
      </c>
      <c r="K22" s="80">
        <v>0</v>
      </c>
      <c r="L22" s="80">
        <v>0</v>
      </c>
      <c r="M22" s="81">
        <f t="shared" si="8"/>
        <v>0</v>
      </c>
      <c r="N22" s="81">
        <v>0</v>
      </c>
      <c r="O22" s="81">
        <v>0</v>
      </c>
      <c r="P22" s="81">
        <f t="shared" si="20"/>
        <v>0</v>
      </c>
      <c r="Q22" s="80">
        <f>IFERROR(VLOOKUP(C22,O.B.JUNE!$C$7:$K$448,7,0),0)</f>
        <v>0</v>
      </c>
      <c r="R22" s="80">
        <f>IFERROR(VLOOKUP(C22,O.B.JUNE!$C$7:$J$448,8,0),0)</f>
        <v>0</v>
      </c>
      <c r="S22" s="323">
        <f t="shared" si="17"/>
        <v>165</v>
      </c>
      <c r="T22" s="324">
        <v>0</v>
      </c>
      <c r="U22" s="324">
        <v>165</v>
      </c>
      <c r="V22" s="80"/>
      <c r="W22" s="324">
        <v>0</v>
      </c>
      <c r="X22" s="324"/>
      <c r="Y22" s="324">
        <v>0</v>
      </c>
      <c r="Z22" s="80">
        <v>0</v>
      </c>
      <c r="AA22" s="80">
        <f t="shared" si="9"/>
        <v>165</v>
      </c>
      <c r="AB22" s="323">
        <f t="shared" si="10"/>
        <v>0</v>
      </c>
      <c r="AC22" s="80">
        <f t="shared" si="11"/>
        <v>165</v>
      </c>
      <c r="AD22" s="80">
        <f t="shared" si="19"/>
        <v>165</v>
      </c>
      <c r="AE22" s="80"/>
      <c r="AF22" s="80"/>
      <c r="AG22" s="80"/>
      <c r="AH22" s="326">
        <f t="shared" si="13"/>
        <v>0</v>
      </c>
      <c r="AI22" s="326">
        <f t="shared" si="14"/>
        <v>0</v>
      </c>
      <c r="AJ22" s="326">
        <f t="shared" si="15"/>
        <v>0</v>
      </c>
      <c r="AK22" s="326">
        <f t="shared" si="16"/>
        <v>0</v>
      </c>
      <c r="AL22" s="326"/>
      <c r="AM22" s="326"/>
      <c r="AN22" s="326"/>
      <c r="AO22" s="326"/>
      <c r="AP22" s="326"/>
      <c r="AQ22" s="326"/>
      <c r="AS22" s="504" t="s">
        <v>658</v>
      </c>
      <c r="AT22" s="411"/>
      <c r="AU22" s="411"/>
    </row>
    <row r="23" spans="1:47" s="327" customFormat="1" ht="18.75" customHeight="1">
      <c r="A23" s="167">
        <v>11</v>
      </c>
      <c r="B23" s="79" t="str">
        <f>IFERROR(VLOOKUP(A23,O.B.JUNE!$A$7:$C$448,2,0),0)</f>
        <v>ANN TAYLOR</v>
      </c>
      <c r="C23" s="174">
        <f>IFERROR(VLOOKUP(A23,O.B.JUNE!$A$7:$C$448,3,0),0)</f>
        <v>446053</v>
      </c>
      <c r="D23" s="80">
        <f t="shared" si="5"/>
        <v>0</v>
      </c>
      <c r="E23" s="80">
        <f>IFERROR(VLOOKUP(C23,O.B.JUNE!$C$7:$D$448,2,0),0)</f>
        <v>0</v>
      </c>
      <c r="F23" s="80">
        <v>0</v>
      </c>
      <c r="G23" s="80">
        <f>IFERROR(VLOOKUP(C23,O.B.JUNE!$C$7:$E$448,3,0),0)</f>
        <v>63</v>
      </c>
      <c r="H23" s="80">
        <f t="shared" si="6"/>
        <v>0</v>
      </c>
      <c r="I23" s="80"/>
      <c r="J23" s="80">
        <f t="shared" si="7"/>
        <v>63</v>
      </c>
      <c r="K23" s="80">
        <v>0</v>
      </c>
      <c r="L23" s="80">
        <v>0</v>
      </c>
      <c r="M23" s="81">
        <f t="shared" si="8"/>
        <v>0</v>
      </c>
      <c r="N23" s="81">
        <v>0</v>
      </c>
      <c r="O23" s="81">
        <v>0</v>
      </c>
      <c r="P23" s="81">
        <f t="shared" si="20"/>
        <v>0</v>
      </c>
      <c r="Q23" s="80">
        <f>IFERROR(VLOOKUP(C23,O.B.JUNE!$C$7:$K$448,7,0),0)</f>
        <v>0</v>
      </c>
      <c r="R23" s="80">
        <f>IFERROR(VLOOKUP(C23,O.B.JUNE!$C$7:$J$448,8,0),0)</f>
        <v>0</v>
      </c>
      <c r="S23" s="323">
        <f t="shared" si="17"/>
        <v>63</v>
      </c>
      <c r="T23" s="324">
        <v>0</v>
      </c>
      <c r="U23" s="324">
        <v>63</v>
      </c>
      <c r="V23" s="80"/>
      <c r="W23" s="324">
        <v>0</v>
      </c>
      <c r="X23" s="324"/>
      <c r="Y23" s="324">
        <v>0</v>
      </c>
      <c r="Z23" s="80">
        <v>0</v>
      </c>
      <c r="AA23" s="80">
        <f t="shared" si="9"/>
        <v>63</v>
      </c>
      <c r="AB23" s="323">
        <f t="shared" si="10"/>
        <v>0</v>
      </c>
      <c r="AC23" s="80">
        <f t="shared" si="11"/>
        <v>63</v>
      </c>
      <c r="AD23" s="80">
        <f t="shared" si="19"/>
        <v>63</v>
      </c>
      <c r="AE23" s="80"/>
      <c r="AF23" s="80"/>
      <c r="AG23" s="80"/>
      <c r="AH23" s="326">
        <f t="shared" si="13"/>
        <v>0</v>
      </c>
      <c r="AI23" s="326">
        <f t="shared" si="14"/>
        <v>0</v>
      </c>
      <c r="AJ23" s="326">
        <f t="shared" si="15"/>
        <v>0</v>
      </c>
      <c r="AK23" s="326">
        <f t="shared" si="16"/>
        <v>0</v>
      </c>
      <c r="AL23" s="326"/>
      <c r="AM23" s="326"/>
      <c r="AN23" s="326"/>
      <c r="AO23" s="326"/>
      <c r="AP23" s="326"/>
      <c r="AQ23" s="326"/>
      <c r="AS23" s="504" t="s">
        <v>658</v>
      </c>
      <c r="AT23" s="411"/>
      <c r="AU23" s="411"/>
    </row>
    <row r="24" spans="1:47" s="327" customFormat="1" ht="18.75" customHeight="1">
      <c r="A24" s="167">
        <v>12</v>
      </c>
      <c r="B24" s="79" t="str">
        <f>IFERROR(VLOOKUP(A24,O.B.JUNE!$A$7:$C$448,2,0),0)</f>
        <v>ALFANI</v>
      </c>
      <c r="C24" s="174">
        <f>IFERROR(VLOOKUP(A24,O.B.JUNE!$A$7:$C$448,3,0),0)</f>
        <v>100004405</v>
      </c>
      <c r="D24" s="80">
        <f t="shared" si="5"/>
        <v>0</v>
      </c>
      <c r="E24" s="80">
        <f>IFERROR(VLOOKUP(C24,O.B.JUNE!$C$7:$D$448,2,0),0)</f>
        <v>0</v>
      </c>
      <c r="F24" s="80">
        <v>0</v>
      </c>
      <c r="G24" s="80">
        <f>IFERROR(VLOOKUP(C24,O.B.JUNE!$C$7:$E$448,3,0),0)</f>
        <v>79</v>
      </c>
      <c r="H24" s="80">
        <f t="shared" si="6"/>
        <v>0</v>
      </c>
      <c r="I24" s="80"/>
      <c r="J24" s="80">
        <f t="shared" si="7"/>
        <v>79</v>
      </c>
      <c r="K24" s="80">
        <v>0</v>
      </c>
      <c r="L24" s="80">
        <v>0</v>
      </c>
      <c r="M24" s="81">
        <f t="shared" si="8"/>
        <v>0</v>
      </c>
      <c r="N24" s="81">
        <v>0</v>
      </c>
      <c r="O24" s="81">
        <v>0</v>
      </c>
      <c r="P24" s="81">
        <f t="shared" si="20"/>
        <v>0</v>
      </c>
      <c r="Q24" s="80">
        <f>IFERROR(VLOOKUP(C24,O.B.JUNE!$C$7:$K$448,7,0),0)</f>
        <v>0</v>
      </c>
      <c r="R24" s="80">
        <f>IFERROR(VLOOKUP(C24,O.B.JUNE!$C$7:$J$448,8,0),0)</f>
        <v>0</v>
      </c>
      <c r="S24" s="323">
        <f t="shared" si="17"/>
        <v>79</v>
      </c>
      <c r="T24" s="324">
        <v>0</v>
      </c>
      <c r="U24" s="324">
        <v>79</v>
      </c>
      <c r="V24" s="80"/>
      <c r="W24" s="324">
        <v>0</v>
      </c>
      <c r="X24" s="324"/>
      <c r="Y24" s="324">
        <v>0</v>
      </c>
      <c r="Z24" s="80">
        <v>0</v>
      </c>
      <c r="AA24" s="80">
        <f t="shared" si="9"/>
        <v>79</v>
      </c>
      <c r="AB24" s="323">
        <f t="shared" si="10"/>
        <v>0</v>
      </c>
      <c r="AC24" s="80">
        <f t="shared" si="11"/>
        <v>79</v>
      </c>
      <c r="AD24" s="80">
        <f t="shared" si="19"/>
        <v>79</v>
      </c>
      <c r="AE24" s="80"/>
      <c r="AF24" s="80"/>
      <c r="AG24" s="80"/>
      <c r="AH24" s="326">
        <f t="shared" si="13"/>
        <v>0</v>
      </c>
      <c r="AI24" s="326">
        <f t="shared" si="14"/>
        <v>0</v>
      </c>
      <c r="AJ24" s="326">
        <f t="shared" si="15"/>
        <v>0</v>
      </c>
      <c r="AK24" s="326">
        <f t="shared" si="16"/>
        <v>0</v>
      </c>
      <c r="AL24" s="326"/>
      <c r="AM24" s="326"/>
      <c r="AN24" s="326"/>
      <c r="AO24" s="326"/>
      <c r="AP24" s="326"/>
      <c r="AQ24" s="326"/>
      <c r="AS24" s="504" t="s">
        <v>658</v>
      </c>
      <c r="AT24" s="411"/>
      <c r="AU24" s="411"/>
    </row>
    <row r="25" spans="1:47" s="327" customFormat="1" ht="18.75" customHeight="1">
      <c r="A25" s="167">
        <v>13</v>
      </c>
      <c r="B25" s="79" t="str">
        <f>IFERROR(VLOOKUP(A25,O.B.JUNE!$A$7:$C$448,2,0),0)</f>
        <v>ALFANI</v>
      </c>
      <c r="C25" s="174">
        <f>IFERROR(VLOOKUP(A25,O.B.JUNE!$A$7:$C$448,3,0),0)</f>
        <v>100003246</v>
      </c>
      <c r="D25" s="80">
        <f t="shared" si="5"/>
        <v>0</v>
      </c>
      <c r="E25" s="80">
        <f>IFERROR(VLOOKUP(C25,O.B.JUNE!$C$7:$D$448,2,0),0)</f>
        <v>0</v>
      </c>
      <c r="F25" s="80">
        <v>0</v>
      </c>
      <c r="G25" s="80">
        <f>IFERROR(VLOOKUP(C25,O.B.JUNE!$C$7:$E$448,3,0),0)</f>
        <v>377</v>
      </c>
      <c r="H25" s="80">
        <f t="shared" si="6"/>
        <v>0</v>
      </c>
      <c r="I25" s="80"/>
      <c r="J25" s="80">
        <f t="shared" si="7"/>
        <v>377</v>
      </c>
      <c r="K25" s="80">
        <v>0</v>
      </c>
      <c r="L25" s="80">
        <v>0</v>
      </c>
      <c r="M25" s="81">
        <f t="shared" si="8"/>
        <v>0</v>
      </c>
      <c r="N25" s="81">
        <v>0</v>
      </c>
      <c r="O25" s="81">
        <v>0</v>
      </c>
      <c r="P25" s="81">
        <f t="shared" si="20"/>
        <v>0</v>
      </c>
      <c r="Q25" s="80">
        <f>IFERROR(VLOOKUP(C25,O.B.JUNE!$C$7:$K$448,7,0),0)</f>
        <v>0</v>
      </c>
      <c r="R25" s="80">
        <f>IFERROR(VLOOKUP(C25,O.B.JUNE!$C$7:$J$448,8,0),0)</f>
        <v>0</v>
      </c>
      <c r="S25" s="323">
        <f t="shared" si="17"/>
        <v>377</v>
      </c>
      <c r="T25" s="324">
        <v>0</v>
      </c>
      <c r="U25" s="324">
        <v>377</v>
      </c>
      <c r="V25" s="80"/>
      <c r="W25" s="324">
        <v>0</v>
      </c>
      <c r="X25" s="324"/>
      <c r="Y25" s="324">
        <v>0</v>
      </c>
      <c r="Z25" s="80">
        <v>0</v>
      </c>
      <c r="AA25" s="80">
        <f t="shared" si="9"/>
        <v>377</v>
      </c>
      <c r="AB25" s="323">
        <f t="shared" si="10"/>
        <v>0</v>
      </c>
      <c r="AC25" s="80">
        <f t="shared" si="11"/>
        <v>377</v>
      </c>
      <c r="AD25" s="80">
        <f t="shared" si="19"/>
        <v>377</v>
      </c>
      <c r="AE25" s="80"/>
      <c r="AF25" s="80"/>
      <c r="AG25" s="80"/>
      <c r="AH25" s="326">
        <f t="shared" si="13"/>
        <v>0</v>
      </c>
      <c r="AI25" s="326">
        <f t="shared" si="14"/>
        <v>0</v>
      </c>
      <c r="AJ25" s="326">
        <f t="shared" si="15"/>
        <v>0</v>
      </c>
      <c r="AK25" s="326">
        <f t="shared" si="16"/>
        <v>0</v>
      </c>
      <c r="AL25" s="326"/>
      <c r="AM25" s="326"/>
      <c r="AN25" s="326"/>
      <c r="AO25" s="326"/>
      <c r="AP25" s="326"/>
      <c r="AQ25" s="326"/>
      <c r="AS25" s="504" t="s">
        <v>658</v>
      </c>
      <c r="AT25" s="411"/>
      <c r="AU25" s="411"/>
    </row>
    <row r="26" spans="1:47" s="327" customFormat="1" ht="18.75" customHeight="1">
      <c r="A26" s="167">
        <v>14</v>
      </c>
      <c r="B26" s="79" t="str">
        <f>IFERROR(VLOOKUP(A26,O.B.JUNE!$A$7:$C$448,2,0),0)</f>
        <v>ALFANI</v>
      </c>
      <c r="C26" s="174">
        <f>IFERROR(VLOOKUP(A26,O.B.JUNE!$A$7:$C$448,3,0),0)</f>
        <v>100001802</v>
      </c>
      <c r="D26" s="80">
        <f t="shared" si="5"/>
        <v>0</v>
      </c>
      <c r="E26" s="80">
        <f>IFERROR(VLOOKUP(C26,O.B.JUNE!$C$7:$D$448,2,0),0)</f>
        <v>0</v>
      </c>
      <c r="F26" s="80">
        <v>0</v>
      </c>
      <c r="G26" s="80">
        <f>IFERROR(VLOOKUP(C26,O.B.JUNE!$C$7:$E$448,3,0),0)</f>
        <v>103</v>
      </c>
      <c r="H26" s="80">
        <f t="shared" si="6"/>
        <v>0</v>
      </c>
      <c r="I26" s="80"/>
      <c r="J26" s="80">
        <f t="shared" si="7"/>
        <v>0</v>
      </c>
      <c r="K26" s="80">
        <v>0</v>
      </c>
      <c r="L26" s="80">
        <v>0</v>
      </c>
      <c r="M26" s="81">
        <f t="shared" si="8"/>
        <v>103</v>
      </c>
      <c r="N26" s="81">
        <v>0</v>
      </c>
      <c r="O26" s="81">
        <v>0</v>
      </c>
      <c r="P26" s="81">
        <f t="shared" si="1"/>
        <v>103</v>
      </c>
      <c r="Q26" s="80">
        <f>IFERROR(VLOOKUP(C26,O.B.JUNE!$C$7:$K$448,7,0),0)</f>
        <v>0</v>
      </c>
      <c r="R26" s="80">
        <f>IFERROR(VLOOKUP(C26,O.B.JUNE!$C$7:$J$448,8,0),0)</f>
        <v>0</v>
      </c>
      <c r="S26" s="323">
        <f t="shared" si="17"/>
        <v>0</v>
      </c>
      <c r="T26" s="324">
        <v>0</v>
      </c>
      <c r="U26" s="324"/>
      <c r="V26" s="80"/>
      <c r="W26" s="324">
        <v>0</v>
      </c>
      <c r="X26" s="324"/>
      <c r="Y26" s="324">
        <v>0</v>
      </c>
      <c r="Z26" s="80">
        <v>0</v>
      </c>
      <c r="AA26" s="80">
        <f t="shared" si="9"/>
        <v>0</v>
      </c>
      <c r="AB26" s="323">
        <f t="shared" si="10"/>
        <v>0</v>
      </c>
      <c r="AC26" s="80">
        <f t="shared" si="11"/>
        <v>0</v>
      </c>
      <c r="AD26" s="80">
        <f t="shared" si="19"/>
        <v>0</v>
      </c>
      <c r="AE26" s="80"/>
      <c r="AF26" s="80"/>
      <c r="AG26" s="80"/>
      <c r="AH26" s="326">
        <f t="shared" si="13"/>
        <v>0</v>
      </c>
      <c r="AI26" s="326">
        <f t="shared" si="14"/>
        <v>0</v>
      </c>
      <c r="AJ26" s="326">
        <f t="shared" si="15"/>
        <v>0</v>
      </c>
      <c r="AK26" s="326">
        <f t="shared" si="16"/>
        <v>0</v>
      </c>
      <c r="AL26" s="326"/>
      <c r="AM26" s="326"/>
      <c r="AN26" s="326"/>
      <c r="AO26" s="326"/>
      <c r="AP26" s="326"/>
      <c r="AQ26" s="326"/>
      <c r="AS26" s="209"/>
      <c r="AT26" s="411"/>
      <c r="AU26" s="411"/>
    </row>
    <row r="27" spans="1:47" s="327" customFormat="1" ht="18.75" customHeight="1">
      <c r="A27" s="167">
        <v>15</v>
      </c>
      <c r="B27" s="79" t="str">
        <f>IFERROR(VLOOKUP(A27,O.B.JUNE!$A$7:$C$448,2,0),0)</f>
        <v>ALFANI</v>
      </c>
      <c r="C27" s="174">
        <f>IFERROR(VLOOKUP(A27,O.B.JUNE!$A$7:$C$448,3,0),0)</f>
        <v>68416</v>
      </c>
      <c r="D27" s="80">
        <f t="shared" si="5"/>
        <v>32</v>
      </c>
      <c r="E27" s="80">
        <f>IFERROR(VLOOKUP(C27,O.B.JUNE!$C$7:$D$448,2,0),0)</f>
        <v>2385</v>
      </c>
      <c r="F27" s="80">
        <f>VLOOKUP(C27,'CUTTING ON JUNE'!$A$4:$D$316,3,0)</f>
        <v>2417</v>
      </c>
      <c r="G27" s="80">
        <f>IFERROR(VLOOKUP(C27,O.B.JUNE!$C$7:$E$448,3,0),0)</f>
        <v>872</v>
      </c>
      <c r="H27" s="80">
        <f t="shared" si="6"/>
        <v>32</v>
      </c>
      <c r="I27" s="80"/>
      <c r="J27" s="80">
        <f t="shared" si="7"/>
        <v>688</v>
      </c>
      <c r="K27" s="80">
        <v>0</v>
      </c>
      <c r="L27" s="80">
        <v>0</v>
      </c>
      <c r="M27" s="81">
        <f t="shared" si="8"/>
        <v>216</v>
      </c>
      <c r="N27" s="81">
        <v>0</v>
      </c>
      <c r="O27" s="81">
        <v>27</v>
      </c>
      <c r="P27" s="81">
        <f t="shared" si="1"/>
        <v>189</v>
      </c>
      <c r="Q27" s="80">
        <f>IFERROR(VLOOKUP(C27,O.B.JUNE!$C$7:$K$448,7,0),0)</f>
        <v>197</v>
      </c>
      <c r="R27" s="80">
        <f>IFERROR(VLOOKUP(C27,O.B.JUNE!$C$7:$J$448,8,0),0)</f>
        <v>0</v>
      </c>
      <c r="S27" s="323">
        <f t="shared" si="17"/>
        <v>885</v>
      </c>
      <c r="T27" s="324">
        <v>688</v>
      </c>
      <c r="U27" s="324"/>
      <c r="V27" s="80"/>
      <c r="W27" s="324">
        <v>864</v>
      </c>
      <c r="X27" s="324"/>
      <c r="Y27" s="324">
        <v>5</v>
      </c>
      <c r="Z27" s="80">
        <v>16</v>
      </c>
      <c r="AA27" s="80">
        <f t="shared" si="9"/>
        <v>688</v>
      </c>
      <c r="AB27" s="323">
        <f t="shared" si="10"/>
        <v>0</v>
      </c>
      <c r="AC27" s="80">
        <f t="shared" si="11"/>
        <v>16</v>
      </c>
      <c r="AD27" s="80">
        <f t="shared" si="19"/>
        <v>16</v>
      </c>
      <c r="AE27" s="80"/>
      <c r="AF27" s="80"/>
      <c r="AG27" s="80"/>
      <c r="AH27" s="326">
        <f t="shared" si="13"/>
        <v>0</v>
      </c>
      <c r="AI27" s="326">
        <f t="shared" si="14"/>
        <v>0</v>
      </c>
      <c r="AJ27" s="326">
        <f t="shared" si="15"/>
        <v>0</v>
      </c>
      <c r="AK27" s="326">
        <f t="shared" si="16"/>
        <v>0</v>
      </c>
      <c r="AL27" s="326"/>
      <c r="AM27" s="326"/>
      <c r="AN27" s="326"/>
      <c r="AO27" s="326"/>
      <c r="AP27" s="326"/>
      <c r="AQ27" s="326"/>
      <c r="AS27" s="209"/>
      <c r="AT27" s="411"/>
      <c r="AU27" s="411"/>
    </row>
    <row r="28" spans="1:47" s="327" customFormat="1" ht="18.75" customHeight="1">
      <c r="A28" s="167">
        <v>16</v>
      </c>
      <c r="B28" s="79" t="str">
        <f>IFERROR(VLOOKUP(A28,O.B.JUNE!$A$7:$C$448,2,0),0)</f>
        <v>ALFANI</v>
      </c>
      <c r="C28" s="174" t="str">
        <f>IFERROR(VLOOKUP(A28,O.B.JUNE!$A$7:$C$448,3,0),0)</f>
        <v>7X408</v>
      </c>
      <c r="D28" s="80">
        <f t="shared" si="5"/>
        <v>0</v>
      </c>
      <c r="E28" s="80">
        <f>IFERROR(VLOOKUP(C28,O.B.JUNE!$C$7:$D$448,2,0),0)</f>
        <v>0</v>
      </c>
      <c r="F28" s="80">
        <v>0</v>
      </c>
      <c r="G28" s="80">
        <f>IFERROR(VLOOKUP(C28,O.B.JUNE!$C$7:$E$448,3,0),0)</f>
        <v>108</v>
      </c>
      <c r="H28" s="80">
        <f t="shared" si="6"/>
        <v>0</v>
      </c>
      <c r="I28" s="80"/>
      <c r="J28" s="80">
        <f t="shared" si="7"/>
        <v>108</v>
      </c>
      <c r="K28" s="80">
        <v>0</v>
      </c>
      <c r="L28" s="80">
        <v>0</v>
      </c>
      <c r="M28" s="81">
        <f t="shared" si="8"/>
        <v>0</v>
      </c>
      <c r="N28" s="81">
        <v>0</v>
      </c>
      <c r="O28" s="81">
        <v>0</v>
      </c>
      <c r="P28" s="81">
        <f t="shared" ref="P28:P32" si="21">+M28-N28-O28</f>
        <v>0</v>
      </c>
      <c r="Q28" s="80">
        <f>IFERROR(VLOOKUP(C28,O.B.JUNE!$C$7:$K$448,7,0),0)</f>
        <v>0</v>
      </c>
      <c r="R28" s="80">
        <f>IFERROR(VLOOKUP(C28,O.B.JUNE!$C$7:$J$448,8,0),0)</f>
        <v>0</v>
      </c>
      <c r="S28" s="323">
        <f t="shared" si="17"/>
        <v>108</v>
      </c>
      <c r="T28" s="324">
        <v>0</v>
      </c>
      <c r="U28" s="324">
        <v>108</v>
      </c>
      <c r="V28" s="80"/>
      <c r="W28" s="324">
        <v>0</v>
      </c>
      <c r="X28" s="324"/>
      <c r="Y28" s="324">
        <v>0</v>
      </c>
      <c r="Z28" s="80">
        <v>0</v>
      </c>
      <c r="AA28" s="80">
        <f t="shared" si="9"/>
        <v>108</v>
      </c>
      <c r="AB28" s="323">
        <f t="shared" si="10"/>
        <v>0</v>
      </c>
      <c r="AC28" s="80">
        <f t="shared" si="11"/>
        <v>108</v>
      </c>
      <c r="AD28" s="80">
        <f t="shared" si="19"/>
        <v>108</v>
      </c>
      <c r="AE28" s="80"/>
      <c r="AF28" s="80"/>
      <c r="AG28" s="80"/>
      <c r="AH28" s="326">
        <f t="shared" si="13"/>
        <v>0</v>
      </c>
      <c r="AI28" s="326">
        <f t="shared" si="14"/>
        <v>0</v>
      </c>
      <c r="AJ28" s="326">
        <f t="shared" si="15"/>
        <v>0</v>
      </c>
      <c r="AK28" s="326">
        <f t="shared" si="16"/>
        <v>0</v>
      </c>
      <c r="AL28" s="326"/>
      <c r="AM28" s="326"/>
      <c r="AN28" s="326"/>
      <c r="AO28" s="326"/>
      <c r="AP28" s="326"/>
      <c r="AQ28" s="326"/>
      <c r="AS28" s="504" t="s">
        <v>658</v>
      </c>
      <c r="AT28" s="411"/>
      <c r="AU28" s="411"/>
    </row>
    <row r="29" spans="1:47" s="327" customFormat="1" ht="18.75" customHeight="1">
      <c r="A29" s="167">
        <v>17</v>
      </c>
      <c r="B29" s="79" t="str">
        <f>IFERROR(VLOOKUP(A29,O.B.JUNE!$A$7:$C$448,2,0),0)</f>
        <v>ALFANI</v>
      </c>
      <c r="C29" s="174" t="str">
        <f>IFERROR(VLOOKUP(A29,O.B.JUNE!$A$7:$C$448,3,0),0)</f>
        <v>7X708</v>
      </c>
      <c r="D29" s="80">
        <f t="shared" si="5"/>
        <v>0</v>
      </c>
      <c r="E29" s="80">
        <f>IFERROR(VLOOKUP(C29,O.B.JUNE!$C$7:$D$448,2,0),0)</f>
        <v>7574</v>
      </c>
      <c r="F29" s="80">
        <f>VLOOKUP(C29,'CUTTING ON JUNE'!$A$4:$D$316,3,0)</f>
        <v>7574</v>
      </c>
      <c r="G29" s="80">
        <f>IFERROR(VLOOKUP(C29,O.B.JUNE!$C$7:$E$448,3,0),0)</f>
        <v>187</v>
      </c>
      <c r="H29" s="80">
        <f t="shared" si="6"/>
        <v>0</v>
      </c>
      <c r="I29" s="80"/>
      <c r="J29" s="80">
        <f t="shared" si="7"/>
        <v>187</v>
      </c>
      <c r="K29" s="80">
        <v>0</v>
      </c>
      <c r="L29" s="80">
        <v>0</v>
      </c>
      <c r="M29" s="81">
        <f t="shared" si="8"/>
        <v>0</v>
      </c>
      <c r="N29" s="81">
        <v>0</v>
      </c>
      <c r="O29" s="81">
        <v>0</v>
      </c>
      <c r="P29" s="81">
        <f t="shared" si="21"/>
        <v>0</v>
      </c>
      <c r="Q29" s="80">
        <f>IFERROR(VLOOKUP(C29,O.B.JUNE!$C$7:$K$448,7,0),0)</f>
        <v>0</v>
      </c>
      <c r="R29" s="80">
        <f>IFERROR(VLOOKUP(C29,O.B.JUNE!$C$7:$J$448,8,0),0)</f>
        <v>0</v>
      </c>
      <c r="S29" s="323">
        <f t="shared" si="17"/>
        <v>187</v>
      </c>
      <c r="T29" s="324">
        <v>0</v>
      </c>
      <c r="U29" s="324">
        <v>187</v>
      </c>
      <c r="V29" s="80"/>
      <c r="W29" s="324">
        <v>0</v>
      </c>
      <c r="X29" s="324"/>
      <c r="Y29" s="324">
        <v>0</v>
      </c>
      <c r="Z29" s="80">
        <v>0</v>
      </c>
      <c r="AA29" s="80">
        <f t="shared" si="9"/>
        <v>187</v>
      </c>
      <c r="AB29" s="323">
        <f t="shared" si="10"/>
        <v>0</v>
      </c>
      <c r="AC29" s="80">
        <f t="shared" si="11"/>
        <v>187</v>
      </c>
      <c r="AD29" s="80">
        <f t="shared" si="19"/>
        <v>187</v>
      </c>
      <c r="AE29" s="80"/>
      <c r="AF29" s="80"/>
      <c r="AG29" s="80"/>
      <c r="AH29" s="326">
        <f t="shared" si="13"/>
        <v>0</v>
      </c>
      <c r="AI29" s="326">
        <f t="shared" si="14"/>
        <v>0</v>
      </c>
      <c r="AJ29" s="326">
        <f t="shared" si="15"/>
        <v>0</v>
      </c>
      <c r="AK29" s="326">
        <f t="shared" si="16"/>
        <v>0</v>
      </c>
      <c r="AL29" s="326"/>
      <c r="AM29" s="326"/>
      <c r="AN29" s="326"/>
      <c r="AO29" s="326"/>
      <c r="AP29" s="326"/>
      <c r="AQ29" s="326"/>
      <c r="AS29" s="504" t="s">
        <v>658</v>
      </c>
      <c r="AT29" s="411"/>
      <c r="AU29" s="411"/>
    </row>
    <row r="30" spans="1:47" s="327" customFormat="1" ht="18.75" customHeight="1">
      <c r="A30" s="167">
        <v>18</v>
      </c>
      <c r="B30" s="79" t="str">
        <f>IFERROR(VLOOKUP(A30,O.B.JUNE!$A$7:$C$448,2,0),0)</f>
        <v>ALFANI</v>
      </c>
      <c r="C30" s="174" t="str">
        <f>IFERROR(VLOOKUP(A30,O.B.JUNE!$A$7:$C$448,3,0),0)</f>
        <v>7N900</v>
      </c>
      <c r="D30" s="80">
        <f t="shared" si="5"/>
        <v>0</v>
      </c>
      <c r="E30" s="80">
        <f>IFERROR(VLOOKUP(C30,O.B.JUNE!$C$7:$D$448,2,0),0)</f>
        <v>0</v>
      </c>
      <c r="F30" s="80">
        <v>0</v>
      </c>
      <c r="G30" s="80">
        <f>IFERROR(VLOOKUP(C30,O.B.JUNE!$C$7:$E$448,3,0),0)</f>
        <v>144</v>
      </c>
      <c r="H30" s="80">
        <f t="shared" si="6"/>
        <v>0</v>
      </c>
      <c r="I30" s="80"/>
      <c r="J30" s="80">
        <f t="shared" si="7"/>
        <v>144</v>
      </c>
      <c r="K30" s="80">
        <v>0</v>
      </c>
      <c r="L30" s="80">
        <v>0</v>
      </c>
      <c r="M30" s="81">
        <f t="shared" si="8"/>
        <v>0</v>
      </c>
      <c r="N30" s="81">
        <v>0</v>
      </c>
      <c r="O30" s="81">
        <v>0</v>
      </c>
      <c r="P30" s="81">
        <f t="shared" si="21"/>
        <v>0</v>
      </c>
      <c r="Q30" s="80">
        <f>IFERROR(VLOOKUP(C30,O.B.JUNE!$C$7:$K$448,7,0),0)</f>
        <v>0</v>
      </c>
      <c r="R30" s="80">
        <f>IFERROR(VLOOKUP(C30,O.B.JUNE!$C$7:$J$448,8,0),0)</f>
        <v>0</v>
      </c>
      <c r="S30" s="323">
        <f t="shared" si="17"/>
        <v>144</v>
      </c>
      <c r="T30" s="324">
        <v>0</v>
      </c>
      <c r="U30" s="324">
        <v>144</v>
      </c>
      <c r="V30" s="80"/>
      <c r="W30" s="324">
        <v>0</v>
      </c>
      <c r="X30" s="324"/>
      <c r="Y30" s="324">
        <v>0</v>
      </c>
      <c r="Z30" s="80">
        <v>0</v>
      </c>
      <c r="AA30" s="80">
        <f t="shared" si="9"/>
        <v>144</v>
      </c>
      <c r="AB30" s="323">
        <f t="shared" si="10"/>
        <v>0</v>
      </c>
      <c r="AC30" s="80">
        <f t="shared" si="11"/>
        <v>144</v>
      </c>
      <c r="AD30" s="80">
        <f t="shared" si="19"/>
        <v>144</v>
      </c>
      <c r="AE30" s="80"/>
      <c r="AF30" s="80"/>
      <c r="AG30" s="80"/>
      <c r="AH30" s="326">
        <f t="shared" si="13"/>
        <v>0</v>
      </c>
      <c r="AI30" s="326">
        <f t="shared" si="14"/>
        <v>0</v>
      </c>
      <c r="AJ30" s="326">
        <f t="shared" si="15"/>
        <v>0</v>
      </c>
      <c r="AK30" s="326">
        <f t="shared" si="16"/>
        <v>0</v>
      </c>
      <c r="AL30" s="326"/>
      <c r="AM30" s="326"/>
      <c r="AN30" s="326"/>
      <c r="AO30" s="326"/>
      <c r="AP30" s="326"/>
      <c r="AQ30" s="326"/>
      <c r="AS30" s="504" t="s">
        <v>658</v>
      </c>
      <c r="AT30" s="411"/>
      <c r="AU30" s="411"/>
    </row>
    <row r="31" spans="1:47" s="327" customFormat="1" ht="18.75" customHeight="1">
      <c r="A31" s="167">
        <v>19</v>
      </c>
      <c r="B31" s="79" t="str">
        <f>IFERROR(VLOOKUP(A31,O.B.JUNE!$A$7:$C$448,2,0),0)</f>
        <v>ALFANI</v>
      </c>
      <c r="C31" s="174">
        <f>IFERROR(VLOOKUP(A31,O.B.JUNE!$A$7:$C$448,3,0),0)</f>
        <v>100004400</v>
      </c>
      <c r="D31" s="80">
        <f t="shared" si="5"/>
        <v>0</v>
      </c>
      <c r="E31" s="80">
        <f>IFERROR(VLOOKUP(C31,O.B.JUNE!$C$7:$D$448,2,0),0)</f>
        <v>0</v>
      </c>
      <c r="F31" s="80">
        <v>0</v>
      </c>
      <c r="G31" s="80">
        <f>IFERROR(VLOOKUP(C31,O.B.JUNE!$C$7:$E$448,3,0),0)</f>
        <v>66</v>
      </c>
      <c r="H31" s="80">
        <f t="shared" si="6"/>
        <v>0</v>
      </c>
      <c r="I31" s="80"/>
      <c r="J31" s="80">
        <f t="shared" si="7"/>
        <v>66</v>
      </c>
      <c r="K31" s="80">
        <v>0</v>
      </c>
      <c r="L31" s="80">
        <v>0</v>
      </c>
      <c r="M31" s="81">
        <f t="shared" si="8"/>
        <v>0</v>
      </c>
      <c r="N31" s="81">
        <v>0</v>
      </c>
      <c r="O31" s="81">
        <v>0</v>
      </c>
      <c r="P31" s="81">
        <f t="shared" si="21"/>
        <v>0</v>
      </c>
      <c r="Q31" s="80">
        <f>IFERROR(VLOOKUP(C31,O.B.JUNE!$C$7:$K$448,7,0),0)</f>
        <v>0</v>
      </c>
      <c r="R31" s="80">
        <f>IFERROR(VLOOKUP(C31,O.B.JUNE!$C$7:$J$448,8,0),0)</f>
        <v>0</v>
      </c>
      <c r="S31" s="323">
        <f t="shared" si="17"/>
        <v>66</v>
      </c>
      <c r="T31" s="324">
        <v>0</v>
      </c>
      <c r="U31" s="324">
        <v>66</v>
      </c>
      <c r="V31" s="80"/>
      <c r="W31" s="324">
        <v>0</v>
      </c>
      <c r="X31" s="324"/>
      <c r="Y31" s="324">
        <v>0</v>
      </c>
      <c r="Z31" s="80">
        <v>0</v>
      </c>
      <c r="AA31" s="80">
        <f t="shared" si="9"/>
        <v>66</v>
      </c>
      <c r="AB31" s="323">
        <f t="shared" si="10"/>
        <v>0</v>
      </c>
      <c r="AC31" s="80">
        <f t="shared" si="11"/>
        <v>66</v>
      </c>
      <c r="AD31" s="80">
        <f t="shared" si="19"/>
        <v>66</v>
      </c>
      <c r="AE31" s="80"/>
      <c r="AF31" s="80"/>
      <c r="AG31" s="80"/>
      <c r="AH31" s="326">
        <f t="shared" si="13"/>
        <v>0</v>
      </c>
      <c r="AI31" s="326">
        <f t="shared" si="14"/>
        <v>0</v>
      </c>
      <c r="AJ31" s="326">
        <f t="shared" si="15"/>
        <v>0</v>
      </c>
      <c r="AK31" s="326">
        <f t="shared" si="16"/>
        <v>0</v>
      </c>
      <c r="AL31" s="326"/>
      <c r="AM31" s="326"/>
      <c r="AN31" s="326"/>
      <c r="AO31" s="326"/>
      <c r="AP31" s="326"/>
      <c r="AQ31" s="326"/>
      <c r="AS31" s="504" t="s">
        <v>658</v>
      </c>
      <c r="AT31" s="411"/>
      <c r="AU31" s="411"/>
    </row>
    <row r="32" spans="1:47" s="327" customFormat="1" ht="18.75" customHeight="1">
      <c r="A32" s="167">
        <v>20</v>
      </c>
      <c r="B32" s="79" t="str">
        <f>IFERROR(VLOOKUP(A32,O.B.JUNE!$A$7:$C$448,2,0),0)</f>
        <v>ALFANI</v>
      </c>
      <c r="C32" s="174">
        <f>IFERROR(VLOOKUP(A32,O.B.JUNE!$A$7:$C$448,3,0),0)</f>
        <v>100008889</v>
      </c>
      <c r="D32" s="80">
        <f t="shared" si="5"/>
        <v>0</v>
      </c>
      <c r="E32" s="80">
        <f>IFERROR(VLOOKUP(C32,O.B.JUNE!$C$7:$D$448,2,0),0)</f>
        <v>0</v>
      </c>
      <c r="F32" s="80">
        <v>0</v>
      </c>
      <c r="G32" s="80">
        <f>IFERROR(VLOOKUP(C32,O.B.JUNE!$C$7:$E$448,3,0),0)</f>
        <v>164</v>
      </c>
      <c r="H32" s="80">
        <f t="shared" si="6"/>
        <v>0</v>
      </c>
      <c r="I32" s="80"/>
      <c r="J32" s="80">
        <f t="shared" si="7"/>
        <v>164</v>
      </c>
      <c r="K32" s="80">
        <v>0</v>
      </c>
      <c r="L32" s="80">
        <v>0</v>
      </c>
      <c r="M32" s="81">
        <f t="shared" si="8"/>
        <v>0</v>
      </c>
      <c r="N32" s="81">
        <v>0</v>
      </c>
      <c r="O32" s="81">
        <v>0</v>
      </c>
      <c r="P32" s="81">
        <f t="shared" si="21"/>
        <v>0</v>
      </c>
      <c r="Q32" s="80">
        <f>IFERROR(VLOOKUP(C32,O.B.JUNE!$C$7:$K$448,7,0),0)</f>
        <v>0</v>
      </c>
      <c r="R32" s="80">
        <f>IFERROR(VLOOKUP(C32,O.B.JUNE!$C$7:$J$448,8,0),0)</f>
        <v>0</v>
      </c>
      <c r="S32" s="323">
        <f t="shared" si="17"/>
        <v>164</v>
      </c>
      <c r="T32" s="324">
        <v>0</v>
      </c>
      <c r="U32" s="324">
        <v>164</v>
      </c>
      <c r="V32" s="80"/>
      <c r="W32" s="324">
        <v>0</v>
      </c>
      <c r="X32" s="324"/>
      <c r="Y32" s="324">
        <v>0</v>
      </c>
      <c r="Z32" s="80">
        <v>0</v>
      </c>
      <c r="AA32" s="80">
        <f t="shared" si="9"/>
        <v>164</v>
      </c>
      <c r="AB32" s="323">
        <f t="shared" si="10"/>
        <v>0</v>
      </c>
      <c r="AC32" s="80">
        <f t="shared" si="11"/>
        <v>164</v>
      </c>
      <c r="AD32" s="80">
        <f t="shared" si="19"/>
        <v>164</v>
      </c>
      <c r="AE32" s="80"/>
      <c r="AF32" s="80"/>
      <c r="AG32" s="80"/>
      <c r="AH32" s="326">
        <f t="shared" si="13"/>
        <v>0</v>
      </c>
      <c r="AI32" s="326">
        <f t="shared" si="14"/>
        <v>0</v>
      </c>
      <c r="AJ32" s="326">
        <f t="shared" si="15"/>
        <v>0</v>
      </c>
      <c r="AK32" s="326">
        <f t="shared" si="16"/>
        <v>0</v>
      </c>
      <c r="AL32" s="326"/>
      <c r="AM32" s="326"/>
      <c r="AN32" s="326"/>
      <c r="AO32" s="326"/>
      <c r="AP32" s="326"/>
      <c r="AQ32" s="326"/>
      <c r="AS32" s="504" t="s">
        <v>658</v>
      </c>
      <c r="AT32" s="411"/>
      <c r="AU32" s="411"/>
    </row>
    <row r="33" spans="1:47" s="327" customFormat="1" ht="18.75" customHeight="1">
      <c r="A33" s="167">
        <v>21</v>
      </c>
      <c r="B33" s="79" t="str">
        <f>IFERROR(VLOOKUP(A33,O.B.JUNE!$A$7:$C$448,2,0),0)</f>
        <v>ALFANI</v>
      </c>
      <c r="C33" s="174">
        <f>IFERROR(VLOOKUP(A33,O.B.JUNE!$A$7:$C$448,3,0),0)</f>
        <v>100010579</v>
      </c>
      <c r="D33" s="80">
        <f t="shared" si="5"/>
        <v>859</v>
      </c>
      <c r="E33" s="80">
        <f>IFERROR(VLOOKUP(C33,O.B.JUNE!$C$7:$D$448,2,0),0)</f>
        <v>13189</v>
      </c>
      <c r="F33" s="80">
        <f>VLOOKUP(C33,'CUTTING ON JUNE'!$A$4:$D$316,3,0)</f>
        <v>14048</v>
      </c>
      <c r="G33" s="80">
        <f>IFERROR(VLOOKUP(C33,O.B.JUNE!$C$7:$E$448,3,0),0)</f>
        <v>1457</v>
      </c>
      <c r="H33" s="80">
        <f t="shared" si="6"/>
        <v>859</v>
      </c>
      <c r="I33" s="80"/>
      <c r="J33" s="80">
        <f t="shared" si="7"/>
        <v>1367</v>
      </c>
      <c r="K33" s="80">
        <v>0</v>
      </c>
      <c r="L33" s="80">
        <v>0</v>
      </c>
      <c r="M33" s="81">
        <f t="shared" si="8"/>
        <v>949</v>
      </c>
      <c r="N33" s="81">
        <v>0</v>
      </c>
      <c r="O33" s="81">
        <v>389</v>
      </c>
      <c r="P33" s="81">
        <f t="shared" si="1"/>
        <v>560</v>
      </c>
      <c r="Q33" s="80">
        <f>IFERROR(VLOOKUP(C33,O.B.JUNE!$C$7:$K$448,7,0),0)</f>
        <v>8626</v>
      </c>
      <c r="R33" s="80">
        <f>IFERROR(VLOOKUP(C33,O.B.JUNE!$C$7:$J$448,8,0),0)</f>
        <v>15</v>
      </c>
      <c r="S33" s="323">
        <f t="shared" si="17"/>
        <v>10008</v>
      </c>
      <c r="T33" s="324">
        <v>1367</v>
      </c>
      <c r="U33" s="324"/>
      <c r="V33" s="80"/>
      <c r="W33" s="324">
        <v>9137</v>
      </c>
      <c r="X33" s="324"/>
      <c r="Y33" s="324">
        <v>0</v>
      </c>
      <c r="Z33" s="80">
        <v>6</v>
      </c>
      <c r="AA33" s="80">
        <f t="shared" si="9"/>
        <v>1367</v>
      </c>
      <c r="AB33" s="323">
        <f t="shared" si="10"/>
        <v>850</v>
      </c>
      <c r="AC33" s="80">
        <f t="shared" si="11"/>
        <v>21</v>
      </c>
      <c r="AD33" s="80">
        <f t="shared" si="19"/>
        <v>871</v>
      </c>
      <c r="AE33" s="80"/>
      <c r="AF33" s="80"/>
      <c r="AG33" s="80"/>
      <c r="AH33" s="326">
        <f t="shared" si="13"/>
        <v>0</v>
      </c>
      <c r="AI33" s="326">
        <f t="shared" si="14"/>
        <v>0</v>
      </c>
      <c r="AJ33" s="326">
        <f t="shared" si="15"/>
        <v>0</v>
      </c>
      <c r="AK33" s="326">
        <f t="shared" si="16"/>
        <v>0</v>
      </c>
      <c r="AL33" s="326"/>
      <c r="AM33" s="326"/>
      <c r="AN33" s="326"/>
      <c r="AO33" s="326"/>
      <c r="AP33" s="326"/>
      <c r="AQ33" s="326"/>
      <c r="AS33" s="209"/>
      <c r="AT33" s="411"/>
      <c r="AU33" s="411"/>
    </row>
    <row r="34" spans="1:47" s="327" customFormat="1" ht="18.75" customHeight="1">
      <c r="A34" s="167">
        <v>22</v>
      </c>
      <c r="B34" s="79" t="str">
        <f>IFERROR(VLOOKUP(A34,O.B.JUNE!$A$7:$C$448,2,0),0)</f>
        <v>TALBOTS</v>
      </c>
      <c r="C34" s="174">
        <f>IFERROR(VLOOKUP(A34,O.B.JUNE!$A$7:$C$448,3,0),0)</f>
        <v>174034722</v>
      </c>
      <c r="D34" s="80">
        <f t="shared" si="5"/>
        <v>0</v>
      </c>
      <c r="E34" s="80">
        <f>IFERROR(VLOOKUP(C34,O.B.JUNE!$C$7:$D$448,2,0),0)</f>
        <v>0</v>
      </c>
      <c r="F34" s="80">
        <v>0</v>
      </c>
      <c r="G34" s="80">
        <f>IFERROR(VLOOKUP(C34,O.B.JUNE!$C$7:$E$448,3,0),0)</f>
        <v>182</v>
      </c>
      <c r="H34" s="80">
        <f t="shared" si="6"/>
        <v>0</v>
      </c>
      <c r="I34" s="80"/>
      <c r="J34" s="80">
        <f t="shared" si="7"/>
        <v>182</v>
      </c>
      <c r="K34" s="80">
        <v>0</v>
      </c>
      <c r="L34" s="80">
        <v>0</v>
      </c>
      <c r="M34" s="81">
        <f t="shared" si="8"/>
        <v>0</v>
      </c>
      <c r="N34" s="81">
        <v>0</v>
      </c>
      <c r="O34" s="81">
        <v>0</v>
      </c>
      <c r="P34" s="81">
        <f t="shared" si="1"/>
        <v>0</v>
      </c>
      <c r="Q34" s="80">
        <f>IFERROR(VLOOKUP(C34,O.B.JUNE!$C$7:$K$448,7,0),0)</f>
        <v>0</v>
      </c>
      <c r="R34" s="80">
        <f>IFERROR(VLOOKUP(C34,O.B.JUNE!$C$7:$J$448,8,0),0)</f>
        <v>0</v>
      </c>
      <c r="S34" s="323">
        <f t="shared" si="17"/>
        <v>182</v>
      </c>
      <c r="T34" s="324">
        <v>0</v>
      </c>
      <c r="U34" s="324">
        <v>182</v>
      </c>
      <c r="V34" s="80"/>
      <c r="W34" s="324">
        <v>0</v>
      </c>
      <c r="X34" s="324"/>
      <c r="Y34" s="324">
        <v>0</v>
      </c>
      <c r="Z34" s="80">
        <v>0</v>
      </c>
      <c r="AA34" s="80">
        <f t="shared" si="9"/>
        <v>182</v>
      </c>
      <c r="AB34" s="323">
        <f t="shared" si="10"/>
        <v>0</v>
      </c>
      <c r="AC34" s="80">
        <f t="shared" si="11"/>
        <v>182</v>
      </c>
      <c r="AD34" s="80">
        <f t="shared" si="19"/>
        <v>182</v>
      </c>
      <c r="AE34" s="80"/>
      <c r="AF34" s="80"/>
      <c r="AG34" s="80"/>
      <c r="AH34" s="326">
        <f t="shared" si="13"/>
        <v>0</v>
      </c>
      <c r="AI34" s="326">
        <f t="shared" si="14"/>
        <v>0</v>
      </c>
      <c r="AJ34" s="326">
        <f t="shared" si="15"/>
        <v>0</v>
      </c>
      <c r="AK34" s="326">
        <f t="shared" si="16"/>
        <v>0</v>
      </c>
      <c r="AL34" s="326"/>
      <c r="AM34" s="326"/>
      <c r="AN34" s="326"/>
      <c r="AO34" s="326"/>
      <c r="AP34" s="326"/>
      <c r="AQ34" s="326"/>
      <c r="AR34" s="327">
        <f>VLOOKUP(C34,'[1]DA HET SAN XUAT'!$D$8:$AJ$419,33,0)</f>
        <v>0</v>
      </c>
      <c r="AS34" s="504" t="s">
        <v>658</v>
      </c>
      <c r="AT34" s="411"/>
      <c r="AU34" s="411"/>
    </row>
    <row r="35" spans="1:47" s="327" customFormat="1" ht="18.75" customHeight="1">
      <c r="A35" s="167">
        <v>23</v>
      </c>
      <c r="B35" s="79" t="str">
        <f>IFERROR(VLOOKUP(A35,O.B.JUNE!$A$7:$C$448,2,0),0)</f>
        <v>TALBOTS</v>
      </c>
      <c r="C35" s="174">
        <f>IFERROR(VLOOKUP(A35,O.B.JUNE!$A$7:$C$448,3,0),0)</f>
        <v>174034719</v>
      </c>
      <c r="D35" s="80">
        <f t="shared" si="5"/>
        <v>0</v>
      </c>
      <c r="E35" s="80">
        <f>IFERROR(VLOOKUP(C35,O.B.JUNE!$C$7:$D$448,2,0),0)</f>
        <v>0</v>
      </c>
      <c r="F35" s="80">
        <v>0</v>
      </c>
      <c r="G35" s="80">
        <f>IFERROR(VLOOKUP(C35,O.B.JUNE!$C$7:$E$448,3,0),0)</f>
        <v>129</v>
      </c>
      <c r="H35" s="80">
        <f t="shared" si="6"/>
        <v>0</v>
      </c>
      <c r="I35" s="80"/>
      <c r="J35" s="80">
        <f t="shared" si="7"/>
        <v>129</v>
      </c>
      <c r="K35" s="80">
        <v>0</v>
      </c>
      <c r="L35" s="80">
        <v>0</v>
      </c>
      <c r="M35" s="81">
        <f t="shared" si="8"/>
        <v>0</v>
      </c>
      <c r="N35" s="81">
        <v>0</v>
      </c>
      <c r="O35" s="81">
        <v>0</v>
      </c>
      <c r="P35" s="81">
        <f t="shared" ref="P35" si="22">+M35-N35-O35</f>
        <v>0</v>
      </c>
      <c r="Q35" s="80">
        <f>IFERROR(VLOOKUP(C35,O.B.JUNE!$C$7:$K$448,7,0),0)</f>
        <v>0</v>
      </c>
      <c r="R35" s="80">
        <f>IFERROR(VLOOKUP(C35,O.B.JUNE!$C$7:$J$448,8,0),0)</f>
        <v>0</v>
      </c>
      <c r="S35" s="323">
        <f t="shared" si="17"/>
        <v>129</v>
      </c>
      <c r="T35" s="324">
        <v>0</v>
      </c>
      <c r="U35" s="324">
        <v>129</v>
      </c>
      <c r="V35" s="80"/>
      <c r="W35" s="324">
        <v>0</v>
      </c>
      <c r="X35" s="324"/>
      <c r="Y35" s="324">
        <v>0</v>
      </c>
      <c r="Z35" s="80">
        <v>0</v>
      </c>
      <c r="AA35" s="80">
        <f t="shared" si="9"/>
        <v>129</v>
      </c>
      <c r="AB35" s="323">
        <f t="shared" si="10"/>
        <v>0</v>
      </c>
      <c r="AC35" s="80">
        <f t="shared" si="11"/>
        <v>129</v>
      </c>
      <c r="AD35" s="80">
        <f t="shared" si="19"/>
        <v>129</v>
      </c>
      <c r="AE35" s="80"/>
      <c r="AF35" s="80"/>
      <c r="AG35" s="80"/>
      <c r="AH35" s="326">
        <f t="shared" si="13"/>
        <v>0</v>
      </c>
      <c r="AI35" s="326">
        <f t="shared" si="14"/>
        <v>0</v>
      </c>
      <c r="AJ35" s="326">
        <f t="shared" si="15"/>
        <v>0</v>
      </c>
      <c r="AK35" s="326">
        <f t="shared" si="16"/>
        <v>0</v>
      </c>
      <c r="AL35" s="326"/>
      <c r="AM35" s="326"/>
      <c r="AN35" s="326"/>
      <c r="AO35" s="326"/>
      <c r="AP35" s="326"/>
      <c r="AQ35" s="326"/>
      <c r="AS35" s="504" t="s">
        <v>658</v>
      </c>
      <c r="AT35" s="411"/>
      <c r="AU35" s="411"/>
    </row>
    <row r="36" spans="1:47" s="327" customFormat="1" ht="18.75" customHeight="1">
      <c r="A36" s="167">
        <v>24</v>
      </c>
      <c r="B36" s="79" t="str">
        <f>IFERROR(VLOOKUP(A36,O.B.JUNE!$A$7:$C$448,2,0),0)</f>
        <v>TALBOTS</v>
      </c>
      <c r="C36" s="174">
        <f>IFERROR(VLOOKUP(A36,O.B.JUNE!$A$7:$C$448,3,0),0)</f>
        <v>174034721</v>
      </c>
      <c r="D36" s="80">
        <f t="shared" si="5"/>
        <v>0</v>
      </c>
      <c r="E36" s="80">
        <f>IFERROR(VLOOKUP(C36,O.B.JUNE!$C$7:$D$448,2,0),0)</f>
        <v>0</v>
      </c>
      <c r="F36" s="80">
        <v>0</v>
      </c>
      <c r="G36" s="80">
        <f>IFERROR(VLOOKUP(C36,O.B.JUNE!$C$7:$E$448,3,0),0)</f>
        <v>109</v>
      </c>
      <c r="H36" s="80">
        <f t="shared" si="6"/>
        <v>0</v>
      </c>
      <c r="I36" s="80"/>
      <c r="J36" s="80">
        <f t="shared" si="7"/>
        <v>109</v>
      </c>
      <c r="K36" s="80">
        <v>0</v>
      </c>
      <c r="L36" s="80">
        <v>0</v>
      </c>
      <c r="M36" s="81">
        <f t="shared" si="8"/>
        <v>0</v>
      </c>
      <c r="N36" s="81">
        <v>0</v>
      </c>
      <c r="O36" s="81">
        <v>0</v>
      </c>
      <c r="P36" s="81">
        <f t="shared" si="1"/>
        <v>0</v>
      </c>
      <c r="Q36" s="80">
        <f>IFERROR(VLOOKUP(C36,O.B.JUNE!$C$7:$K$448,7,0),0)</f>
        <v>0</v>
      </c>
      <c r="R36" s="80">
        <f>IFERROR(VLOOKUP(C36,O.B.JUNE!$C$7:$J$448,8,0),0)</f>
        <v>0</v>
      </c>
      <c r="S36" s="323">
        <f t="shared" si="17"/>
        <v>109</v>
      </c>
      <c r="T36" s="324">
        <v>0</v>
      </c>
      <c r="U36" s="324">
        <v>109</v>
      </c>
      <c r="V36" s="80">
        <v>0</v>
      </c>
      <c r="W36" s="324">
        <v>0</v>
      </c>
      <c r="X36" s="324"/>
      <c r="Y36" s="324">
        <v>0</v>
      </c>
      <c r="Z36" s="80">
        <v>0</v>
      </c>
      <c r="AA36" s="80">
        <f t="shared" si="9"/>
        <v>109</v>
      </c>
      <c r="AB36" s="323">
        <f t="shared" si="10"/>
        <v>0</v>
      </c>
      <c r="AC36" s="80">
        <f t="shared" si="11"/>
        <v>109</v>
      </c>
      <c r="AD36" s="80">
        <f t="shared" si="19"/>
        <v>109</v>
      </c>
      <c r="AE36" s="80"/>
      <c r="AF36" s="80"/>
      <c r="AG36" s="80"/>
      <c r="AH36" s="326">
        <f t="shared" si="13"/>
        <v>0</v>
      </c>
      <c r="AI36" s="326">
        <f t="shared" si="14"/>
        <v>0</v>
      </c>
      <c r="AJ36" s="326">
        <f t="shared" si="15"/>
        <v>0</v>
      </c>
      <c r="AK36" s="326">
        <f t="shared" si="16"/>
        <v>0</v>
      </c>
      <c r="AL36" s="326"/>
      <c r="AM36" s="326"/>
      <c r="AN36" s="326"/>
      <c r="AO36" s="326"/>
      <c r="AP36" s="326"/>
      <c r="AQ36" s="326"/>
      <c r="AR36" s="327">
        <f>VLOOKUP(C36,'[1]DA HET SAN XUAT'!$D$8:$AJ$419,33,0)</f>
        <v>0</v>
      </c>
      <c r="AS36" s="504" t="s">
        <v>658</v>
      </c>
      <c r="AT36" s="411"/>
      <c r="AU36" s="411"/>
    </row>
    <row r="37" spans="1:47" s="327" customFormat="1" ht="18.75" customHeight="1">
      <c r="A37" s="167">
        <v>25</v>
      </c>
      <c r="B37" s="79" t="str">
        <f>IFERROR(VLOOKUP(A37,O.B.JUNE!$A$7:$C$448,2,0),0)</f>
        <v>ALFANI</v>
      </c>
      <c r="C37" s="174">
        <f>IFERROR(VLOOKUP(A37,O.B.JUNE!$A$7:$C$448,3,0),0)</f>
        <v>100003226</v>
      </c>
      <c r="D37" s="80">
        <f t="shared" si="5"/>
        <v>0</v>
      </c>
      <c r="E37" s="80">
        <f>IFERROR(VLOOKUP(C37,O.B.JUNE!$C$7:$D$448,2,0),0)</f>
        <v>0</v>
      </c>
      <c r="F37" s="80">
        <v>0</v>
      </c>
      <c r="G37" s="80">
        <f>IFERROR(VLOOKUP(C37,O.B.JUNE!$C$7:$E$448,3,0),0)</f>
        <v>101</v>
      </c>
      <c r="H37" s="80">
        <f t="shared" si="6"/>
        <v>0</v>
      </c>
      <c r="I37" s="80"/>
      <c r="J37" s="80">
        <f t="shared" si="7"/>
        <v>101</v>
      </c>
      <c r="K37" s="80">
        <v>0</v>
      </c>
      <c r="L37" s="80">
        <v>0</v>
      </c>
      <c r="M37" s="81">
        <f t="shared" si="8"/>
        <v>0</v>
      </c>
      <c r="N37" s="81">
        <v>0</v>
      </c>
      <c r="O37" s="81">
        <v>0</v>
      </c>
      <c r="P37" s="81">
        <f t="shared" ref="P37" si="23">+M37-N37-O37</f>
        <v>0</v>
      </c>
      <c r="Q37" s="80">
        <f>IFERROR(VLOOKUP(C37,O.B.JUNE!$C$7:$K$448,7,0),0)</f>
        <v>0</v>
      </c>
      <c r="R37" s="80">
        <f>IFERROR(VLOOKUP(C37,O.B.JUNE!$C$7:$J$448,8,0),0)</f>
        <v>0</v>
      </c>
      <c r="S37" s="323">
        <f t="shared" si="17"/>
        <v>101</v>
      </c>
      <c r="T37" s="324">
        <v>0</v>
      </c>
      <c r="U37" s="324">
        <v>101</v>
      </c>
      <c r="V37" s="80"/>
      <c r="W37" s="324">
        <v>0</v>
      </c>
      <c r="X37" s="324"/>
      <c r="Y37" s="324">
        <v>0</v>
      </c>
      <c r="Z37" s="80">
        <v>0</v>
      </c>
      <c r="AA37" s="80">
        <f t="shared" si="9"/>
        <v>101</v>
      </c>
      <c r="AB37" s="323">
        <f t="shared" si="10"/>
        <v>0</v>
      </c>
      <c r="AC37" s="80">
        <f t="shared" si="11"/>
        <v>101</v>
      </c>
      <c r="AD37" s="80">
        <f t="shared" si="19"/>
        <v>101</v>
      </c>
      <c r="AE37" s="80"/>
      <c r="AF37" s="80"/>
      <c r="AG37" s="80"/>
      <c r="AH37" s="326">
        <f t="shared" si="13"/>
        <v>0</v>
      </c>
      <c r="AI37" s="326">
        <f t="shared" si="14"/>
        <v>0</v>
      </c>
      <c r="AJ37" s="326">
        <f t="shared" si="15"/>
        <v>0</v>
      </c>
      <c r="AK37" s="326">
        <f t="shared" si="16"/>
        <v>0</v>
      </c>
      <c r="AL37" s="326"/>
      <c r="AM37" s="326"/>
      <c r="AN37" s="326"/>
      <c r="AO37" s="326"/>
      <c r="AP37" s="326"/>
      <c r="AQ37" s="326"/>
      <c r="AS37" s="504" t="s">
        <v>658</v>
      </c>
      <c r="AT37" s="411"/>
      <c r="AU37" s="411"/>
    </row>
    <row r="38" spans="1:47" s="327" customFormat="1" ht="18.75" customHeight="1">
      <c r="A38" s="167">
        <v>26</v>
      </c>
      <c r="B38" s="79" t="str">
        <f>IFERROR(VLOOKUP(A38,O.B.JUNE!$A$7:$C$448,2,0),0)</f>
        <v>TALBOTS</v>
      </c>
      <c r="C38" s="174">
        <f>IFERROR(VLOOKUP(A38,O.B.JUNE!$A$7:$C$448,3,0),0)</f>
        <v>174034717</v>
      </c>
      <c r="D38" s="80">
        <f t="shared" si="5"/>
        <v>0</v>
      </c>
      <c r="E38" s="80">
        <f>IFERROR(VLOOKUP(C38,O.B.JUNE!$C$7:$D$448,2,0),0)</f>
        <v>0</v>
      </c>
      <c r="F38" s="80">
        <v>0</v>
      </c>
      <c r="G38" s="80">
        <f>IFERROR(VLOOKUP(C38,O.B.JUNE!$C$7:$E$448,3,0),0)</f>
        <v>99</v>
      </c>
      <c r="H38" s="80">
        <f t="shared" si="6"/>
        <v>0</v>
      </c>
      <c r="I38" s="80"/>
      <c r="J38" s="80">
        <f t="shared" si="7"/>
        <v>99</v>
      </c>
      <c r="K38" s="80">
        <v>0</v>
      </c>
      <c r="L38" s="80">
        <v>0</v>
      </c>
      <c r="M38" s="81">
        <f t="shared" si="8"/>
        <v>0</v>
      </c>
      <c r="N38" s="81">
        <v>0</v>
      </c>
      <c r="O38" s="81">
        <v>0</v>
      </c>
      <c r="P38" s="81">
        <f t="shared" si="1"/>
        <v>0</v>
      </c>
      <c r="Q38" s="80">
        <f>IFERROR(VLOOKUP(C38,O.B.JUNE!$C$7:$K$448,7,0),0)</f>
        <v>0</v>
      </c>
      <c r="R38" s="80">
        <f>IFERROR(VLOOKUP(C38,O.B.JUNE!$C$7:$J$448,8,0),0)</f>
        <v>0</v>
      </c>
      <c r="S38" s="323">
        <f t="shared" si="17"/>
        <v>99</v>
      </c>
      <c r="T38" s="324">
        <v>0</v>
      </c>
      <c r="U38" s="324">
        <v>99</v>
      </c>
      <c r="V38" s="80"/>
      <c r="W38" s="324">
        <v>0</v>
      </c>
      <c r="X38" s="324"/>
      <c r="Y38" s="324">
        <v>0</v>
      </c>
      <c r="Z38" s="80">
        <v>0</v>
      </c>
      <c r="AA38" s="80">
        <f t="shared" si="9"/>
        <v>99</v>
      </c>
      <c r="AB38" s="323">
        <f t="shared" si="10"/>
        <v>0</v>
      </c>
      <c r="AC38" s="80">
        <f t="shared" si="11"/>
        <v>99</v>
      </c>
      <c r="AD38" s="80">
        <f t="shared" si="19"/>
        <v>99</v>
      </c>
      <c r="AE38" s="80"/>
      <c r="AF38" s="80"/>
      <c r="AG38" s="80"/>
      <c r="AH38" s="326">
        <f t="shared" si="13"/>
        <v>0</v>
      </c>
      <c r="AI38" s="326">
        <f t="shared" si="14"/>
        <v>0</v>
      </c>
      <c r="AJ38" s="326">
        <f t="shared" si="15"/>
        <v>0</v>
      </c>
      <c r="AK38" s="326">
        <f t="shared" si="16"/>
        <v>0</v>
      </c>
      <c r="AL38" s="326"/>
      <c r="AM38" s="326"/>
      <c r="AN38" s="326"/>
      <c r="AO38" s="326"/>
      <c r="AP38" s="326"/>
      <c r="AQ38" s="326"/>
      <c r="AR38" s="327">
        <f>VLOOKUP(C38,'[1]DA HET SAN XUAT'!$D$8:$AJ$419,33,0)</f>
        <v>0</v>
      </c>
      <c r="AS38" s="504" t="s">
        <v>658</v>
      </c>
      <c r="AT38" s="411"/>
      <c r="AU38" s="411"/>
    </row>
    <row r="39" spans="1:47" s="327" customFormat="1" ht="18.75" customHeight="1">
      <c r="A39" s="167">
        <v>27</v>
      </c>
      <c r="B39" s="79" t="str">
        <f>IFERROR(VLOOKUP(A39,O.B.JUNE!$A$7:$C$448,2,0),0)</f>
        <v>ALFANI</v>
      </c>
      <c r="C39" s="174" t="str">
        <f>IFERROR(VLOOKUP(A39,O.B.JUNE!$A$7:$C$448,3,0),0)</f>
        <v>7N713</v>
      </c>
      <c r="D39" s="80">
        <f t="shared" si="5"/>
        <v>0</v>
      </c>
      <c r="E39" s="80">
        <f>IFERROR(VLOOKUP(C39,O.B.JUNE!$C$7:$D$448,2,0),0)</f>
        <v>0</v>
      </c>
      <c r="F39" s="80">
        <v>0</v>
      </c>
      <c r="G39" s="80">
        <f>IFERROR(VLOOKUP(C39,O.B.JUNE!$C$7:$E$448,3,0),0)</f>
        <v>179</v>
      </c>
      <c r="H39" s="80">
        <f t="shared" si="6"/>
        <v>0</v>
      </c>
      <c r="I39" s="80"/>
      <c r="J39" s="80">
        <f t="shared" si="7"/>
        <v>0</v>
      </c>
      <c r="K39" s="80">
        <v>0</v>
      </c>
      <c r="L39" s="80">
        <v>0</v>
      </c>
      <c r="M39" s="81">
        <f t="shared" si="8"/>
        <v>179</v>
      </c>
      <c r="N39" s="81">
        <v>0</v>
      </c>
      <c r="O39" s="81">
        <v>0</v>
      </c>
      <c r="P39" s="81">
        <f t="shared" si="1"/>
        <v>179</v>
      </c>
      <c r="Q39" s="80">
        <f>IFERROR(VLOOKUP(C39,O.B.JUNE!$C$7:$K$448,7,0),0)</f>
        <v>0</v>
      </c>
      <c r="R39" s="80">
        <f>IFERROR(VLOOKUP(C39,O.B.JUNE!$C$7:$J$448,8,0),0)</f>
        <v>0</v>
      </c>
      <c r="S39" s="323">
        <f t="shared" si="17"/>
        <v>0</v>
      </c>
      <c r="T39" s="324">
        <v>0</v>
      </c>
      <c r="U39" s="324"/>
      <c r="V39" s="80"/>
      <c r="W39" s="324">
        <v>0</v>
      </c>
      <c r="X39" s="324"/>
      <c r="Y39" s="324">
        <v>0</v>
      </c>
      <c r="Z39" s="80">
        <v>0</v>
      </c>
      <c r="AA39" s="80">
        <f t="shared" si="9"/>
        <v>0</v>
      </c>
      <c r="AB39" s="323">
        <f t="shared" si="10"/>
        <v>0</v>
      </c>
      <c r="AC39" s="80">
        <f t="shared" si="11"/>
        <v>0</v>
      </c>
      <c r="AD39" s="80">
        <f t="shared" si="19"/>
        <v>0</v>
      </c>
      <c r="AE39" s="80"/>
      <c r="AF39" s="80"/>
      <c r="AG39" s="80"/>
      <c r="AH39" s="326">
        <f t="shared" si="13"/>
        <v>0</v>
      </c>
      <c r="AI39" s="326">
        <f t="shared" si="14"/>
        <v>0</v>
      </c>
      <c r="AJ39" s="326">
        <f t="shared" si="15"/>
        <v>0</v>
      </c>
      <c r="AK39" s="326">
        <f t="shared" si="16"/>
        <v>0</v>
      </c>
      <c r="AL39" s="326"/>
      <c r="AM39" s="326"/>
      <c r="AN39" s="326"/>
      <c r="AO39" s="326"/>
      <c r="AP39" s="326"/>
      <c r="AQ39" s="326"/>
      <c r="AS39" s="209"/>
      <c r="AT39" s="411"/>
      <c r="AU39" s="411"/>
    </row>
    <row r="40" spans="1:47" s="327" customFormat="1" ht="18.75" customHeight="1">
      <c r="A40" s="167">
        <v>28</v>
      </c>
      <c r="B40" s="79" t="str">
        <f>IFERROR(VLOOKUP(A40,O.B.JUNE!$A$7:$C$448,2,0),0)</f>
        <v>NORDSTROM</v>
      </c>
      <c r="C40" s="174" t="str">
        <f>IFERROR(VLOOKUP(A40,O.B.JUNE!$A$7:$C$448,3,0),0)</f>
        <v>RK368419MI</v>
      </c>
      <c r="D40" s="80">
        <f t="shared" si="5"/>
        <v>0</v>
      </c>
      <c r="E40" s="80">
        <f>IFERROR(VLOOKUP(C40,O.B.JUNE!$C$7:$D$448,2,0),0)</f>
        <v>0</v>
      </c>
      <c r="F40" s="80">
        <v>0</v>
      </c>
      <c r="G40" s="80">
        <f>IFERROR(VLOOKUP(C40,O.B.JUNE!$C$7:$E$448,3,0),0)</f>
        <v>71</v>
      </c>
      <c r="H40" s="80">
        <f t="shared" si="6"/>
        <v>0</v>
      </c>
      <c r="I40" s="80"/>
      <c r="J40" s="80">
        <f t="shared" si="7"/>
        <v>71</v>
      </c>
      <c r="K40" s="80">
        <v>0</v>
      </c>
      <c r="L40" s="80">
        <v>0</v>
      </c>
      <c r="M40" s="81">
        <f t="shared" si="8"/>
        <v>0</v>
      </c>
      <c r="N40" s="81">
        <v>0</v>
      </c>
      <c r="O40" s="81">
        <v>0</v>
      </c>
      <c r="P40" s="81">
        <f t="shared" si="1"/>
        <v>0</v>
      </c>
      <c r="Q40" s="80">
        <f>IFERROR(VLOOKUP(C40,O.B.JUNE!$C$7:$K$448,7,0),0)</f>
        <v>0</v>
      </c>
      <c r="R40" s="80">
        <f>IFERROR(VLOOKUP(C40,O.B.JUNE!$C$7:$J$448,8,0),0)</f>
        <v>0</v>
      </c>
      <c r="S40" s="323">
        <f t="shared" si="17"/>
        <v>71</v>
      </c>
      <c r="T40" s="324">
        <v>0</v>
      </c>
      <c r="U40" s="324">
        <v>71</v>
      </c>
      <c r="V40" s="80"/>
      <c r="W40" s="324">
        <v>0</v>
      </c>
      <c r="X40" s="324"/>
      <c r="Y40" s="324">
        <v>0</v>
      </c>
      <c r="Z40" s="80">
        <v>0</v>
      </c>
      <c r="AA40" s="80">
        <f t="shared" si="9"/>
        <v>71</v>
      </c>
      <c r="AB40" s="323">
        <f t="shared" si="10"/>
        <v>0</v>
      </c>
      <c r="AC40" s="80">
        <f t="shared" si="11"/>
        <v>71</v>
      </c>
      <c r="AD40" s="80">
        <f t="shared" si="19"/>
        <v>71</v>
      </c>
      <c r="AE40" s="80"/>
      <c r="AF40" s="80"/>
      <c r="AG40" s="80"/>
      <c r="AH40" s="326">
        <f t="shared" si="13"/>
        <v>0</v>
      </c>
      <c r="AI40" s="326">
        <f t="shared" si="14"/>
        <v>0</v>
      </c>
      <c r="AJ40" s="326">
        <f t="shared" si="15"/>
        <v>0</v>
      </c>
      <c r="AK40" s="326">
        <f t="shared" si="16"/>
        <v>0</v>
      </c>
      <c r="AL40" s="326"/>
      <c r="AM40" s="326"/>
      <c r="AN40" s="326"/>
      <c r="AO40" s="326"/>
      <c r="AP40" s="326"/>
      <c r="AQ40" s="326"/>
      <c r="AS40" s="504" t="s">
        <v>658</v>
      </c>
      <c r="AT40" s="411"/>
      <c r="AU40" s="411"/>
    </row>
    <row r="41" spans="1:47" s="327" customFormat="1" ht="18.75" customHeight="1">
      <c r="A41" s="167">
        <v>29</v>
      </c>
      <c r="B41" s="79" t="str">
        <f>IFERROR(VLOOKUP(A41,O.B.JUNE!$A$7:$C$448,2,0),0)</f>
        <v>ANN TAYLOR</v>
      </c>
      <c r="C41" s="174">
        <f>IFERROR(VLOOKUP(A41,O.B.JUNE!$A$7:$C$448,3,0),0)</f>
        <v>453280</v>
      </c>
      <c r="D41" s="80">
        <f t="shared" si="5"/>
        <v>0</v>
      </c>
      <c r="E41" s="80">
        <f>IFERROR(VLOOKUP(C41,O.B.JUNE!$C$7:$D$448,2,0),0)</f>
        <v>0</v>
      </c>
      <c r="F41" s="80">
        <v>0</v>
      </c>
      <c r="G41" s="80">
        <f>IFERROR(VLOOKUP(C41,O.B.JUNE!$C$7:$E$448,3,0),0)</f>
        <v>196</v>
      </c>
      <c r="H41" s="80">
        <f t="shared" si="6"/>
        <v>0</v>
      </c>
      <c r="I41" s="80"/>
      <c r="J41" s="80">
        <f t="shared" si="7"/>
        <v>196</v>
      </c>
      <c r="K41" s="80">
        <v>0</v>
      </c>
      <c r="L41" s="80">
        <v>0</v>
      </c>
      <c r="M41" s="81">
        <f t="shared" si="8"/>
        <v>0</v>
      </c>
      <c r="N41" s="81">
        <v>0</v>
      </c>
      <c r="O41" s="81">
        <v>0</v>
      </c>
      <c r="P41" s="81">
        <f t="shared" ref="P41" si="24">+M41-N41-O41</f>
        <v>0</v>
      </c>
      <c r="Q41" s="80">
        <f>IFERROR(VLOOKUP(C41,O.B.JUNE!$C$7:$K$448,7,0),0)</f>
        <v>0</v>
      </c>
      <c r="R41" s="80">
        <f>IFERROR(VLOOKUP(C41,O.B.JUNE!$C$7:$J$448,8,0),0)</f>
        <v>0</v>
      </c>
      <c r="S41" s="323">
        <f t="shared" si="17"/>
        <v>196</v>
      </c>
      <c r="T41" s="324">
        <v>0</v>
      </c>
      <c r="U41" s="324">
        <v>196</v>
      </c>
      <c r="V41" s="80"/>
      <c r="W41" s="324">
        <v>0</v>
      </c>
      <c r="X41" s="324"/>
      <c r="Y41" s="324">
        <v>0</v>
      </c>
      <c r="Z41" s="80">
        <v>0</v>
      </c>
      <c r="AA41" s="80">
        <f t="shared" si="9"/>
        <v>196</v>
      </c>
      <c r="AB41" s="323">
        <f t="shared" si="10"/>
        <v>0</v>
      </c>
      <c r="AC41" s="80">
        <f t="shared" si="11"/>
        <v>196</v>
      </c>
      <c r="AD41" s="80">
        <f t="shared" si="19"/>
        <v>196</v>
      </c>
      <c r="AE41" s="80"/>
      <c r="AF41" s="80"/>
      <c r="AG41" s="80"/>
      <c r="AH41" s="326">
        <f t="shared" si="13"/>
        <v>0</v>
      </c>
      <c r="AI41" s="326">
        <f t="shared" si="14"/>
        <v>0</v>
      </c>
      <c r="AJ41" s="326">
        <f t="shared" si="15"/>
        <v>0</v>
      </c>
      <c r="AK41" s="326">
        <f t="shared" si="16"/>
        <v>0</v>
      </c>
      <c r="AL41" s="326"/>
      <c r="AM41" s="326"/>
      <c r="AN41" s="326"/>
      <c r="AO41" s="326"/>
      <c r="AP41" s="326"/>
      <c r="AQ41" s="326"/>
      <c r="AS41" s="504" t="s">
        <v>658</v>
      </c>
      <c r="AT41" s="411"/>
      <c r="AU41" s="411"/>
    </row>
    <row r="42" spans="1:47" s="327" customFormat="1" ht="18.75" customHeight="1">
      <c r="A42" s="167">
        <v>30</v>
      </c>
      <c r="B42" s="79" t="str">
        <f>IFERROR(VLOOKUP(A42,O.B.JUNE!$A$7:$C$448,2,0),0)</f>
        <v>ALFANI</v>
      </c>
      <c r="C42" s="174">
        <f>IFERROR(VLOOKUP(A42,O.B.JUNE!$A$7:$C$448,3,0),0)</f>
        <v>100003227</v>
      </c>
      <c r="D42" s="80">
        <f t="shared" si="5"/>
        <v>0</v>
      </c>
      <c r="E42" s="80">
        <f>IFERROR(VLOOKUP(C42,O.B.JUNE!$C$7:$D$448,2,0),0)</f>
        <v>10247</v>
      </c>
      <c r="F42" s="80">
        <f>VLOOKUP(C42,'CUTTING ON JUNE'!$A$4:$D$316,3,0)</f>
        <v>10247</v>
      </c>
      <c r="G42" s="80">
        <f>IFERROR(VLOOKUP(C42,O.B.JUNE!$C$7:$E$448,3,0),0)</f>
        <v>378</v>
      </c>
      <c r="H42" s="80">
        <f t="shared" si="6"/>
        <v>0</v>
      </c>
      <c r="I42" s="80"/>
      <c r="J42" s="80">
        <f t="shared" si="7"/>
        <v>0</v>
      </c>
      <c r="K42" s="80">
        <v>0</v>
      </c>
      <c r="L42" s="80">
        <v>0</v>
      </c>
      <c r="M42" s="81">
        <f t="shared" si="8"/>
        <v>378</v>
      </c>
      <c r="N42" s="81">
        <v>0</v>
      </c>
      <c r="O42" s="81">
        <v>0</v>
      </c>
      <c r="P42" s="81">
        <f t="shared" si="1"/>
        <v>378</v>
      </c>
      <c r="Q42" s="80">
        <f>IFERROR(VLOOKUP(C42,O.B.JUNE!$C$7:$K$448,7,0),0)</f>
        <v>0</v>
      </c>
      <c r="R42" s="80">
        <f>IFERROR(VLOOKUP(C42,O.B.JUNE!$C$7:$J$448,8,0),0)</f>
        <v>0</v>
      </c>
      <c r="S42" s="323">
        <f t="shared" si="17"/>
        <v>0</v>
      </c>
      <c r="T42" s="324">
        <v>0</v>
      </c>
      <c r="U42" s="324"/>
      <c r="V42" s="80"/>
      <c r="W42" s="324">
        <v>0</v>
      </c>
      <c r="X42" s="324"/>
      <c r="Y42" s="324">
        <v>0</v>
      </c>
      <c r="Z42" s="80">
        <v>0</v>
      </c>
      <c r="AA42" s="80">
        <f t="shared" si="9"/>
        <v>0</v>
      </c>
      <c r="AB42" s="323">
        <f t="shared" si="10"/>
        <v>0</v>
      </c>
      <c r="AC42" s="80">
        <f t="shared" si="11"/>
        <v>0</v>
      </c>
      <c r="AD42" s="80">
        <f t="shared" si="19"/>
        <v>0</v>
      </c>
      <c r="AE42" s="80"/>
      <c r="AF42" s="80"/>
      <c r="AG42" s="80"/>
      <c r="AH42" s="326">
        <f t="shared" si="13"/>
        <v>0</v>
      </c>
      <c r="AI42" s="326">
        <f t="shared" si="14"/>
        <v>0</v>
      </c>
      <c r="AJ42" s="326">
        <f t="shared" si="15"/>
        <v>0</v>
      </c>
      <c r="AK42" s="326">
        <f t="shared" si="16"/>
        <v>0</v>
      </c>
      <c r="AL42" s="326"/>
      <c r="AM42" s="326"/>
      <c r="AN42" s="326"/>
      <c r="AO42" s="326"/>
      <c r="AP42" s="326"/>
      <c r="AQ42" s="326"/>
      <c r="AR42" s="327">
        <f>VLOOKUP(C42,'[1]DA HET SAN XUAT'!$D$8:$AJ$419,33,0)</f>
        <v>0</v>
      </c>
      <c r="AS42" s="209"/>
      <c r="AT42" s="411"/>
      <c r="AU42" s="411"/>
    </row>
    <row r="43" spans="1:47" s="327" customFormat="1" ht="18.75" customHeight="1">
      <c r="A43" s="167">
        <v>31</v>
      </c>
      <c r="B43" s="79" t="str">
        <f>IFERROR(VLOOKUP(A43,O.B.JUNE!$A$7:$C$448,2,0),0)</f>
        <v>ALFANI</v>
      </c>
      <c r="C43" s="174">
        <f>IFERROR(VLOOKUP(A43,O.B.JUNE!$A$7:$C$448,3,0),0)</f>
        <v>100003486</v>
      </c>
      <c r="D43" s="80">
        <f t="shared" si="5"/>
        <v>0</v>
      </c>
      <c r="E43" s="80">
        <f>IFERROR(VLOOKUP(C43,O.B.JUNE!$C$7:$D$448,2,0),0)</f>
        <v>0</v>
      </c>
      <c r="F43" s="80">
        <v>0</v>
      </c>
      <c r="G43" s="80">
        <f>IFERROR(VLOOKUP(C43,O.B.JUNE!$C$7:$E$448,3,0),0)</f>
        <v>249</v>
      </c>
      <c r="H43" s="80">
        <f t="shared" si="6"/>
        <v>0</v>
      </c>
      <c r="I43" s="80"/>
      <c r="J43" s="80">
        <f t="shared" si="7"/>
        <v>0</v>
      </c>
      <c r="K43" s="80">
        <v>0</v>
      </c>
      <c r="L43" s="80">
        <v>0</v>
      </c>
      <c r="M43" s="81">
        <f t="shared" si="8"/>
        <v>249</v>
      </c>
      <c r="N43" s="81">
        <v>0</v>
      </c>
      <c r="O43" s="81">
        <v>0</v>
      </c>
      <c r="P43" s="81">
        <f t="shared" si="1"/>
        <v>249</v>
      </c>
      <c r="Q43" s="80">
        <f>IFERROR(VLOOKUP(C43,O.B.JUNE!$C$7:$K$448,7,0),0)</f>
        <v>0</v>
      </c>
      <c r="R43" s="80">
        <f>IFERROR(VLOOKUP(C43,O.B.JUNE!$C$7:$J$448,8,0),0)</f>
        <v>0</v>
      </c>
      <c r="S43" s="323">
        <f t="shared" si="17"/>
        <v>0</v>
      </c>
      <c r="T43" s="324">
        <v>0</v>
      </c>
      <c r="U43" s="324"/>
      <c r="V43" s="80"/>
      <c r="W43" s="324">
        <v>0</v>
      </c>
      <c r="X43" s="324"/>
      <c r="Y43" s="324">
        <v>0</v>
      </c>
      <c r="Z43" s="80">
        <v>0</v>
      </c>
      <c r="AA43" s="80">
        <f t="shared" si="9"/>
        <v>0</v>
      </c>
      <c r="AB43" s="323">
        <f t="shared" si="10"/>
        <v>0</v>
      </c>
      <c r="AC43" s="80">
        <f t="shared" si="11"/>
        <v>0</v>
      </c>
      <c r="AD43" s="80">
        <f t="shared" si="19"/>
        <v>0</v>
      </c>
      <c r="AE43" s="80"/>
      <c r="AF43" s="80"/>
      <c r="AG43" s="80"/>
      <c r="AH43" s="326">
        <f t="shared" si="13"/>
        <v>0</v>
      </c>
      <c r="AI43" s="326">
        <f t="shared" si="14"/>
        <v>0</v>
      </c>
      <c r="AJ43" s="326">
        <f t="shared" si="15"/>
        <v>0</v>
      </c>
      <c r="AK43" s="326">
        <f t="shared" si="16"/>
        <v>0</v>
      </c>
      <c r="AL43" s="326"/>
      <c r="AM43" s="326"/>
      <c r="AN43" s="326"/>
      <c r="AO43" s="326"/>
      <c r="AP43" s="326"/>
      <c r="AQ43" s="326"/>
      <c r="AS43" s="209"/>
      <c r="AT43" s="411"/>
      <c r="AU43" s="411"/>
    </row>
    <row r="44" spans="1:47" s="327" customFormat="1" ht="18.75" customHeight="1">
      <c r="A44" s="167">
        <v>32</v>
      </c>
      <c r="B44" s="79" t="str">
        <f>IFERROR(VLOOKUP(A44,O.B.JUNE!$A$7:$C$448,2,0),0)</f>
        <v>ALFANI</v>
      </c>
      <c r="C44" s="174">
        <f>IFERROR(VLOOKUP(A44,O.B.JUNE!$A$7:$C$448,3,0),0)</f>
        <v>100003532</v>
      </c>
      <c r="D44" s="80">
        <f t="shared" si="5"/>
        <v>0</v>
      </c>
      <c r="E44" s="80">
        <f>IFERROR(VLOOKUP(C44,O.B.JUNE!$C$7:$D$448,2,0),0)</f>
        <v>0</v>
      </c>
      <c r="F44" s="80">
        <v>0</v>
      </c>
      <c r="G44" s="80">
        <f>IFERROR(VLOOKUP(C44,O.B.JUNE!$C$7:$E$448,3,0),0)</f>
        <v>68</v>
      </c>
      <c r="H44" s="80">
        <f t="shared" si="6"/>
        <v>0</v>
      </c>
      <c r="I44" s="80"/>
      <c r="J44" s="80">
        <f t="shared" si="7"/>
        <v>0</v>
      </c>
      <c r="K44" s="80">
        <v>0</v>
      </c>
      <c r="L44" s="80">
        <v>0</v>
      </c>
      <c r="M44" s="81">
        <f t="shared" si="8"/>
        <v>68</v>
      </c>
      <c r="N44" s="81">
        <v>0</v>
      </c>
      <c r="O44" s="81">
        <v>0</v>
      </c>
      <c r="P44" s="81">
        <f t="shared" si="1"/>
        <v>68</v>
      </c>
      <c r="Q44" s="80">
        <f>IFERROR(VLOOKUP(C44,O.B.JUNE!$C$7:$K$448,7,0),0)</f>
        <v>0</v>
      </c>
      <c r="R44" s="80">
        <f>IFERROR(VLOOKUP(C44,O.B.JUNE!$C$7:$J$448,8,0),0)</f>
        <v>0</v>
      </c>
      <c r="S44" s="323">
        <f t="shared" si="17"/>
        <v>0</v>
      </c>
      <c r="T44" s="324">
        <v>0</v>
      </c>
      <c r="U44" s="324"/>
      <c r="V44" s="80"/>
      <c r="W44" s="324">
        <v>0</v>
      </c>
      <c r="X44" s="324"/>
      <c r="Y44" s="324">
        <v>0</v>
      </c>
      <c r="Z44" s="80">
        <v>0</v>
      </c>
      <c r="AA44" s="80">
        <f t="shared" si="9"/>
        <v>0</v>
      </c>
      <c r="AB44" s="323">
        <f t="shared" si="10"/>
        <v>0</v>
      </c>
      <c r="AC44" s="80">
        <f t="shared" si="11"/>
        <v>0</v>
      </c>
      <c r="AD44" s="80">
        <f t="shared" si="19"/>
        <v>0</v>
      </c>
      <c r="AE44" s="80"/>
      <c r="AF44" s="80"/>
      <c r="AG44" s="80"/>
      <c r="AH44" s="326">
        <f t="shared" si="13"/>
        <v>0</v>
      </c>
      <c r="AI44" s="326">
        <f t="shared" si="14"/>
        <v>0</v>
      </c>
      <c r="AJ44" s="326">
        <f t="shared" si="15"/>
        <v>0</v>
      </c>
      <c r="AK44" s="326">
        <f t="shared" si="16"/>
        <v>0</v>
      </c>
      <c r="AL44" s="326"/>
      <c r="AM44" s="326"/>
      <c r="AN44" s="326"/>
      <c r="AO44" s="326"/>
      <c r="AP44" s="326"/>
      <c r="AQ44" s="326"/>
      <c r="AS44" s="209"/>
      <c r="AT44" s="411"/>
      <c r="AU44" s="411"/>
    </row>
    <row r="45" spans="1:47" s="327" customFormat="1" ht="18.75" customHeight="1">
      <c r="A45" s="167">
        <v>33</v>
      </c>
      <c r="B45" s="79" t="str">
        <f>IFERROR(VLOOKUP(A45,O.B.JUNE!$A$7:$C$448,2,0),0)</f>
        <v>ALFANI</v>
      </c>
      <c r="C45" s="174">
        <f>IFERROR(VLOOKUP(A45,O.B.JUNE!$A$7:$C$448,3,0),0)</f>
        <v>100003576</v>
      </c>
      <c r="D45" s="80">
        <f t="shared" si="5"/>
        <v>0</v>
      </c>
      <c r="E45" s="80">
        <f>IFERROR(VLOOKUP(C45,O.B.JUNE!$C$7:$D$448,2,0),0)</f>
        <v>0</v>
      </c>
      <c r="F45" s="80">
        <v>0</v>
      </c>
      <c r="G45" s="80">
        <f>IFERROR(VLOOKUP(C45,O.B.JUNE!$C$7:$E$448,3,0),0)</f>
        <v>96</v>
      </c>
      <c r="H45" s="80">
        <f t="shared" si="6"/>
        <v>0</v>
      </c>
      <c r="I45" s="80"/>
      <c r="J45" s="80">
        <f t="shared" si="7"/>
        <v>0</v>
      </c>
      <c r="K45" s="80">
        <v>0</v>
      </c>
      <c r="L45" s="80">
        <v>0</v>
      </c>
      <c r="M45" s="81">
        <f t="shared" si="8"/>
        <v>96</v>
      </c>
      <c r="N45" s="81">
        <v>0</v>
      </c>
      <c r="O45" s="81">
        <v>0</v>
      </c>
      <c r="P45" s="81">
        <f t="shared" si="1"/>
        <v>96</v>
      </c>
      <c r="Q45" s="80">
        <f>IFERROR(VLOOKUP(C45,O.B.JUNE!$C$7:$K$448,7,0),0)</f>
        <v>0</v>
      </c>
      <c r="R45" s="80">
        <f>IFERROR(VLOOKUP(C45,O.B.JUNE!$C$7:$J$448,8,0),0)</f>
        <v>0</v>
      </c>
      <c r="S45" s="323">
        <f t="shared" si="17"/>
        <v>0</v>
      </c>
      <c r="T45" s="324">
        <v>0</v>
      </c>
      <c r="U45" s="324"/>
      <c r="V45" s="80"/>
      <c r="W45" s="324">
        <v>0</v>
      </c>
      <c r="X45" s="324"/>
      <c r="Y45" s="324">
        <v>0</v>
      </c>
      <c r="Z45" s="80">
        <v>0</v>
      </c>
      <c r="AA45" s="80">
        <f t="shared" si="9"/>
        <v>0</v>
      </c>
      <c r="AB45" s="323">
        <f t="shared" si="10"/>
        <v>0</v>
      </c>
      <c r="AC45" s="80">
        <f t="shared" si="11"/>
        <v>0</v>
      </c>
      <c r="AD45" s="80">
        <f t="shared" si="19"/>
        <v>0</v>
      </c>
      <c r="AE45" s="80"/>
      <c r="AF45" s="80"/>
      <c r="AG45" s="80"/>
      <c r="AH45" s="326">
        <f t="shared" si="13"/>
        <v>0</v>
      </c>
      <c r="AI45" s="326">
        <f t="shared" si="14"/>
        <v>0</v>
      </c>
      <c r="AJ45" s="326">
        <f t="shared" si="15"/>
        <v>0</v>
      </c>
      <c r="AK45" s="326">
        <f t="shared" si="16"/>
        <v>0</v>
      </c>
      <c r="AL45" s="326"/>
      <c r="AM45" s="326"/>
      <c r="AN45" s="326"/>
      <c r="AO45" s="326"/>
      <c r="AP45" s="326"/>
      <c r="AQ45" s="326"/>
      <c r="AS45" s="209"/>
      <c r="AT45" s="411"/>
      <c r="AU45" s="411"/>
    </row>
    <row r="46" spans="1:47" s="327" customFormat="1" ht="18.75" customHeight="1">
      <c r="A46" s="167">
        <v>34</v>
      </c>
      <c r="B46" s="79" t="str">
        <f>IFERROR(VLOOKUP(A46,O.B.JUNE!$A$7:$C$448,2,0),0)</f>
        <v>ALFANI</v>
      </c>
      <c r="C46" s="174">
        <f>IFERROR(VLOOKUP(A46,O.B.JUNE!$A$7:$C$448,3,0),0)</f>
        <v>100004422</v>
      </c>
      <c r="D46" s="80">
        <f t="shared" si="5"/>
        <v>0</v>
      </c>
      <c r="E46" s="80">
        <f>IFERROR(VLOOKUP(C46,O.B.JUNE!$C$7:$D$448,2,0),0)</f>
        <v>0</v>
      </c>
      <c r="F46" s="80">
        <v>0</v>
      </c>
      <c r="G46" s="80">
        <f>IFERROR(VLOOKUP(C46,O.B.JUNE!$C$7:$E$448,3,0),0)</f>
        <v>63</v>
      </c>
      <c r="H46" s="80">
        <f t="shared" si="6"/>
        <v>0</v>
      </c>
      <c r="I46" s="80"/>
      <c r="J46" s="80">
        <f t="shared" si="7"/>
        <v>0</v>
      </c>
      <c r="K46" s="80">
        <v>0</v>
      </c>
      <c r="L46" s="80">
        <v>0</v>
      </c>
      <c r="M46" s="81">
        <f t="shared" si="8"/>
        <v>63</v>
      </c>
      <c r="N46" s="81">
        <v>0</v>
      </c>
      <c r="O46" s="81">
        <v>0</v>
      </c>
      <c r="P46" s="81">
        <f t="shared" si="1"/>
        <v>63</v>
      </c>
      <c r="Q46" s="80">
        <f>IFERROR(VLOOKUP(C46,O.B.JUNE!$C$7:$K$448,7,0),0)</f>
        <v>0</v>
      </c>
      <c r="R46" s="80">
        <f>IFERROR(VLOOKUP(C46,O.B.JUNE!$C$7:$J$448,8,0),0)</f>
        <v>0</v>
      </c>
      <c r="S46" s="323">
        <f t="shared" si="17"/>
        <v>0</v>
      </c>
      <c r="T46" s="324">
        <v>0</v>
      </c>
      <c r="U46" s="324"/>
      <c r="V46" s="80"/>
      <c r="W46" s="324">
        <v>0</v>
      </c>
      <c r="X46" s="324"/>
      <c r="Y46" s="324">
        <v>0</v>
      </c>
      <c r="Z46" s="80">
        <v>0</v>
      </c>
      <c r="AA46" s="80">
        <f t="shared" si="9"/>
        <v>0</v>
      </c>
      <c r="AB46" s="323">
        <f t="shared" si="10"/>
        <v>0</v>
      </c>
      <c r="AC46" s="80">
        <f t="shared" si="11"/>
        <v>0</v>
      </c>
      <c r="AD46" s="80">
        <f t="shared" si="19"/>
        <v>0</v>
      </c>
      <c r="AE46" s="80"/>
      <c r="AF46" s="80"/>
      <c r="AG46" s="80"/>
      <c r="AH46" s="326">
        <f t="shared" si="13"/>
        <v>0</v>
      </c>
      <c r="AI46" s="326">
        <f t="shared" si="14"/>
        <v>0</v>
      </c>
      <c r="AJ46" s="326">
        <f t="shared" si="15"/>
        <v>0</v>
      </c>
      <c r="AK46" s="326">
        <f t="shared" si="16"/>
        <v>0</v>
      </c>
      <c r="AL46" s="326"/>
      <c r="AM46" s="326"/>
      <c r="AN46" s="326"/>
      <c r="AO46" s="326"/>
      <c r="AP46" s="326"/>
      <c r="AQ46" s="326"/>
      <c r="AR46" s="327">
        <f>VLOOKUP(C46,'[1]DA HET SAN XUAT'!$D$8:$AJ$419,33,0)</f>
        <v>0</v>
      </c>
      <c r="AS46" s="209"/>
      <c r="AT46" s="411"/>
      <c r="AU46" s="411"/>
    </row>
    <row r="47" spans="1:47" s="327" customFormat="1" ht="18.75" customHeight="1">
      <c r="A47" s="167">
        <v>35</v>
      </c>
      <c r="B47" s="79" t="str">
        <f>IFERROR(VLOOKUP(A47,O.B.JUNE!$A$7:$C$448,2,0),0)</f>
        <v>ALFANI</v>
      </c>
      <c r="C47" s="174">
        <f>IFERROR(VLOOKUP(A47,O.B.JUNE!$A$7:$C$448,3,0),0)</f>
        <v>100004424</v>
      </c>
      <c r="D47" s="80">
        <f t="shared" si="5"/>
        <v>0</v>
      </c>
      <c r="E47" s="80">
        <f>IFERROR(VLOOKUP(C47,O.B.JUNE!$C$7:$D$448,2,0),0)</f>
        <v>0</v>
      </c>
      <c r="F47" s="80">
        <v>0</v>
      </c>
      <c r="G47" s="80">
        <f>IFERROR(VLOOKUP(C47,O.B.JUNE!$C$7:$E$448,3,0),0)</f>
        <v>81</v>
      </c>
      <c r="H47" s="80">
        <f t="shared" si="6"/>
        <v>0</v>
      </c>
      <c r="I47" s="80"/>
      <c r="J47" s="80">
        <f t="shared" si="7"/>
        <v>0</v>
      </c>
      <c r="K47" s="80">
        <v>0</v>
      </c>
      <c r="L47" s="80">
        <v>0</v>
      </c>
      <c r="M47" s="81">
        <f t="shared" si="8"/>
        <v>81</v>
      </c>
      <c r="N47" s="81">
        <v>0</v>
      </c>
      <c r="O47" s="81">
        <v>0</v>
      </c>
      <c r="P47" s="81">
        <f t="shared" si="1"/>
        <v>81</v>
      </c>
      <c r="Q47" s="80">
        <f>IFERROR(VLOOKUP(C47,O.B.JUNE!$C$7:$K$448,7,0),0)</f>
        <v>0</v>
      </c>
      <c r="R47" s="80">
        <f>IFERROR(VLOOKUP(C47,O.B.JUNE!$C$7:$J$448,8,0),0)</f>
        <v>0</v>
      </c>
      <c r="S47" s="323">
        <f t="shared" si="17"/>
        <v>0</v>
      </c>
      <c r="T47" s="324">
        <v>0</v>
      </c>
      <c r="U47" s="324"/>
      <c r="V47" s="80"/>
      <c r="W47" s="324">
        <v>0</v>
      </c>
      <c r="X47" s="324"/>
      <c r="Y47" s="324">
        <v>0</v>
      </c>
      <c r="Z47" s="80">
        <v>0</v>
      </c>
      <c r="AA47" s="80">
        <f t="shared" si="9"/>
        <v>0</v>
      </c>
      <c r="AB47" s="323">
        <f t="shared" si="10"/>
        <v>0</v>
      </c>
      <c r="AC47" s="80">
        <f t="shared" si="11"/>
        <v>0</v>
      </c>
      <c r="AD47" s="80">
        <f t="shared" si="19"/>
        <v>0</v>
      </c>
      <c r="AE47" s="80"/>
      <c r="AF47" s="80"/>
      <c r="AG47" s="80"/>
      <c r="AH47" s="326">
        <f t="shared" si="13"/>
        <v>0</v>
      </c>
      <c r="AI47" s="326">
        <f t="shared" si="14"/>
        <v>0</v>
      </c>
      <c r="AJ47" s="326">
        <f t="shared" si="15"/>
        <v>0</v>
      </c>
      <c r="AK47" s="326">
        <f t="shared" si="16"/>
        <v>0</v>
      </c>
      <c r="AL47" s="326"/>
      <c r="AM47" s="326"/>
      <c r="AN47" s="326"/>
      <c r="AO47" s="326"/>
      <c r="AP47" s="326"/>
      <c r="AQ47" s="326"/>
      <c r="AR47" s="327">
        <f>VLOOKUP(C47,'[1]DA HET SAN XUAT'!$D$8:$AJ$419,33,0)</f>
        <v>0</v>
      </c>
      <c r="AS47" s="209"/>
      <c r="AT47" s="411"/>
      <c r="AU47" s="411"/>
    </row>
    <row r="48" spans="1:47" s="327" customFormat="1" ht="18.75" customHeight="1">
      <c r="A48" s="167">
        <v>36</v>
      </c>
      <c r="B48" s="79" t="str">
        <f>IFERROR(VLOOKUP(A48,O.B.JUNE!$A$7:$C$448,2,0),0)</f>
        <v>ALFANI</v>
      </c>
      <c r="C48" s="174">
        <f>IFERROR(VLOOKUP(A48,O.B.JUNE!$A$7:$C$448,3,0),0)</f>
        <v>100005621</v>
      </c>
      <c r="D48" s="80">
        <f t="shared" si="5"/>
        <v>0</v>
      </c>
      <c r="E48" s="80">
        <f>IFERROR(VLOOKUP(C48,O.B.JUNE!$C$7:$D$448,2,0),0)</f>
        <v>0</v>
      </c>
      <c r="F48" s="80">
        <v>0</v>
      </c>
      <c r="G48" s="80">
        <f>IFERROR(VLOOKUP(C48,O.B.JUNE!$C$7:$E$448,3,0),0)</f>
        <v>56</v>
      </c>
      <c r="H48" s="80">
        <f t="shared" si="6"/>
        <v>0</v>
      </c>
      <c r="I48" s="80"/>
      <c r="J48" s="80">
        <f t="shared" si="7"/>
        <v>56</v>
      </c>
      <c r="K48" s="80">
        <v>0</v>
      </c>
      <c r="L48" s="80">
        <v>0</v>
      </c>
      <c r="M48" s="81">
        <f t="shared" si="8"/>
        <v>0</v>
      </c>
      <c r="N48" s="81">
        <v>0</v>
      </c>
      <c r="O48" s="81">
        <v>0</v>
      </c>
      <c r="P48" s="81">
        <f t="shared" ref="P48" si="25">+M48-N48-O48</f>
        <v>0</v>
      </c>
      <c r="Q48" s="80">
        <f>IFERROR(VLOOKUP(C48,O.B.JUNE!$C$7:$K$448,7,0),0)</f>
        <v>0</v>
      </c>
      <c r="R48" s="80">
        <f>IFERROR(VLOOKUP(C48,O.B.JUNE!$C$7:$J$448,8,0),0)</f>
        <v>0</v>
      </c>
      <c r="S48" s="323">
        <f t="shared" si="17"/>
        <v>56</v>
      </c>
      <c r="T48" s="324">
        <v>0</v>
      </c>
      <c r="U48" s="324">
        <v>56</v>
      </c>
      <c r="V48" s="80"/>
      <c r="W48" s="324">
        <v>0</v>
      </c>
      <c r="X48" s="324"/>
      <c r="Y48" s="324">
        <v>0</v>
      </c>
      <c r="Z48" s="80">
        <v>0</v>
      </c>
      <c r="AA48" s="80">
        <f t="shared" si="9"/>
        <v>56</v>
      </c>
      <c r="AB48" s="323">
        <f t="shared" si="10"/>
        <v>0</v>
      </c>
      <c r="AC48" s="80">
        <f t="shared" si="11"/>
        <v>56</v>
      </c>
      <c r="AD48" s="80">
        <f t="shared" si="19"/>
        <v>56</v>
      </c>
      <c r="AE48" s="80"/>
      <c r="AF48" s="80"/>
      <c r="AG48" s="80"/>
      <c r="AH48" s="326">
        <f t="shared" si="13"/>
        <v>0</v>
      </c>
      <c r="AI48" s="326">
        <f t="shared" si="14"/>
        <v>0</v>
      </c>
      <c r="AJ48" s="326">
        <f t="shared" si="15"/>
        <v>0</v>
      </c>
      <c r="AK48" s="326">
        <f t="shared" si="16"/>
        <v>0</v>
      </c>
      <c r="AL48" s="326"/>
      <c r="AM48" s="326"/>
      <c r="AN48" s="326"/>
      <c r="AO48" s="326"/>
      <c r="AP48" s="326"/>
      <c r="AQ48" s="326"/>
      <c r="AS48" s="504" t="s">
        <v>658</v>
      </c>
      <c r="AT48" s="411"/>
      <c r="AU48" s="411"/>
    </row>
    <row r="49" spans="1:47" s="327" customFormat="1" ht="18.75" customHeight="1">
      <c r="A49" s="167">
        <v>37</v>
      </c>
      <c r="B49" s="79" t="str">
        <f>IFERROR(VLOOKUP(A49,O.B.JUNE!$A$7:$C$448,2,0),0)</f>
        <v>ALFANI</v>
      </c>
      <c r="C49" s="174">
        <f>IFERROR(VLOOKUP(A49,O.B.JUNE!$A$7:$C$448,3,0),0)</f>
        <v>100005705</v>
      </c>
      <c r="D49" s="80">
        <f t="shared" si="5"/>
        <v>0</v>
      </c>
      <c r="E49" s="80">
        <f>IFERROR(VLOOKUP(C49,O.B.JUNE!$C$7:$D$448,2,0),0)</f>
        <v>5880</v>
      </c>
      <c r="F49" s="80">
        <f>VLOOKUP(C49,'CUTTING ON JUNE'!$A$4:$D$316,3,0)</f>
        <v>5880</v>
      </c>
      <c r="G49" s="80">
        <f>IFERROR(VLOOKUP(C49,O.B.JUNE!$C$7:$E$448,3,0),0)</f>
        <v>352</v>
      </c>
      <c r="H49" s="80">
        <f t="shared" si="6"/>
        <v>0</v>
      </c>
      <c r="I49" s="80"/>
      <c r="J49" s="80">
        <f t="shared" si="7"/>
        <v>0</v>
      </c>
      <c r="K49" s="80">
        <v>0</v>
      </c>
      <c r="L49" s="80">
        <v>0</v>
      </c>
      <c r="M49" s="81">
        <f t="shared" si="8"/>
        <v>352</v>
      </c>
      <c r="N49" s="81">
        <v>0</v>
      </c>
      <c r="O49" s="81">
        <v>69</v>
      </c>
      <c r="P49" s="81">
        <f t="shared" si="1"/>
        <v>283</v>
      </c>
      <c r="Q49" s="80">
        <f>IFERROR(VLOOKUP(C49,O.B.JUNE!$C$7:$K$448,7,0),0)</f>
        <v>0</v>
      </c>
      <c r="R49" s="80">
        <f>IFERROR(VLOOKUP(C49,O.B.JUNE!$C$7:$J$448,8,0),0)</f>
        <v>3</v>
      </c>
      <c r="S49" s="323">
        <f t="shared" si="17"/>
        <v>3</v>
      </c>
      <c r="T49" s="324">
        <v>0</v>
      </c>
      <c r="U49" s="324"/>
      <c r="V49" s="80"/>
      <c r="W49" s="324">
        <v>0</v>
      </c>
      <c r="X49" s="324"/>
      <c r="Y49" s="324">
        <v>0</v>
      </c>
      <c r="Z49" s="80">
        <v>0</v>
      </c>
      <c r="AA49" s="80">
        <f t="shared" si="9"/>
        <v>0</v>
      </c>
      <c r="AB49" s="323">
        <f t="shared" si="10"/>
        <v>0</v>
      </c>
      <c r="AC49" s="80">
        <f t="shared" si="11"/>
        <v>3</v>
      </c>
      <c r="AD49" s="80">
        <f t="shared" si="19"/>
        <v>3</v>
      </c>
      <c r="AE49" s="80"/>
      <c r="AF49" s="80"/>
      <c r="AG49" s="80"/>
      <c r="AH49" s="326">
        <f t="shared" si="13"/>
        <v>0</v>
      </c>
      <c r="AI49" s="326">
        <f t="shared" si="14"/>
        <v>0</v>
      </c>
      <c r="AJ49" s="326">
        <f t="shared" si="15"/>
        <v>0</v>
      </c>
      <c r="AK49" s="326">
        <f t="shared" si="16"/>
        <v>0</v>
      </c>
      <c r="AL49" s="326"/>
      <c r="AM49" s="326"/>
      <c r="AN49" s="326"/>
      <c r="AO49" s="326"/>
      <c r="AP49" s="326"/>
      <c r="AQ49" s="326"/>
      <c r="AR49" s="327">
        <f>VLOOKUP(C49,'[1]DA HET SAN XUAT'!$D$8:$AJ$419,33,0)</f>
        <v>0</v>
      </c>
      <c r="AS49" s="209"/>
      <c r="AT49" s="411"/>
      <c r="AU49" s="411"/>
    </row>
    <row r="50" spans="1:47" s="327" customFormat="1" ht="18.75" customHeight="1">
      <c r="A50" s="167">
        <v>38</v>
      </c>
      <c r="B50" s="79" t="str">
        <f>IFERROR(VLOOKUP(A50,O.B.JUNE!$A$7:$C$448,2,0),0)</f>
        <v>ALFANI</v>
      </c>
      <c r="C50" s="174">
        <f>IFERROR(VLOOKUP(A50,O.B.JUNE!$A$7:$C$448,3,0),0)</f>
        <v>100005710</v>
      </c>
      <c r="D50" s="80">
        <f t="shared" si="5"/>
        <v>0</v>
      </c>
      <c r="E50" s="80">
        <f>IFERROR(VLOOKUP(C50,O.B.JUNE!$C$7:$D$448,2,0),0)</f>
        <v>0</v>
      </c>
      <c r="F50" s="80">
        <v>0</v>
      </c>
      <c r="G50" s="80">
        <f>IFERROR(VLOOKUP(C50,O.B.JUNE!$C$7:$E$448,3,0),0)</f>
        <v>109</v>
      </c>
      <c r="H50" s="80">
        <f t="shared" si="6"/>
        <v>0</v>
      </c>
      <c r="I50" s="80"/>
      <c r="J50" s="80">
        <f t="shared" si="7"/>
        <v>0</v>
      </c>
      <c r="K50" s="80">
        <v>0</v>
      </c>
      <c r="L50" s="80">
        <v>0</v>
      </c>
      <c r="M50" s="81">
        <f t="shared" si="8"/>
        <v>109</v>
      </c>
      <c r="N50" s="81">
        <v>0</v>
      </c>
      <c r="O50" s="81">
        <v>69</v>
      </c>
      <c r="P50" s="81">
        <f t="shared" si="1"/>
        <v>40</v>
      </c>
      <c r="Q50" s="80">
        <f>IFERROR(VLOOKUP(C50,O.B.JUNE!$C$7:$K$448,7,0),0)</f>
        <v>0</v>
      </c>
      <c r="R50" s="80">
        <f>IFERROR(VLOOKUP(C50,O.B.JUNE!$C$7:$J$448,8,0),0)</f>
        <v>0</v>
      </c>
      <c r="S50" s="323">
        <f t="shared" si="17"/>
        <v>0</v>
      </c>
      <c r="T50" s="324">
        <v>0</v>
      </c>
      <c r="U50" s="324"/>
      <c r="V50" s="80"/>
      <c r="W50" s="324">
        <v>0</v>
      </c>
      <c r="X50" s="324"/>
      <c r="Y50" s="324">
        <v>0</v>
      </c>
      <c r="Z50" s="80">
        <v>0</v>
      </c>
      <c r="AA50" s="80">
        <f t="shared" si="9"/>
        <v>0</v>
      </c>
      <c r="AB50" s="323">
        <f t="shared" si="10"/>
        <v>0</v>
      </c>
      <c r="AC50" s="80">
        <f t="shared" si="11"/>
        <v>0</v>
      </c>
      <c r="AD50" s="80">
        <f t="shared" si="19"/>
        <v>0</v>
      </c>
      <c r="AE50" s="80"/>
      <c r="AF50" s="80"/>
      <c r="AG50" s="80"/>
      <c r="AH50" s="326">
        <f t="shared" si="13"/>
        <v>0</v>
      </c>
      <c r="AI50" s="326">
        <f t="shared" si="14"/>
        <v>0</v>
      </c>
      <c r="AJ50" s="326">
        <f t="shared" si="15"/>
        <v>0</v>
      </c>
      <c r="AK50" s="326">
        <f t="shared" si="16"/>
        <v>0</v>
      </c>
      <c r="AL50" s="326"/>
      <c r="AM50" s="326"/>
      <c r="AN50" s="326"/>
      <c r="AO50" s="326"/>
      <c r="AP50" s="326"/>
      <c r="AQ50" s="326"/>
      <c r="AS50" s="209"/>
      <c r="AT50" s="411"/>
      <c r="AU50" s="411"/>
    </row>
    <row r="51" spans="1:47" s="327" customFormat="1" ht="18.75" customHeight="1">
      <c r="A51" s="167">
        <v>39</v>
      </c>
      <c r="B51" s="79" t="str">
        <f>IFERROR(VLOOKUP(A51,O.B.JUNE!$A$7:$C$448,2,0),0)</f>
        <v>ALFANI</v>
      </c>
      <c r="C51" s="174">
        <f>IFERROR(VLOOKUP(A51,O.B.JUNE!$A$7:$C$448,3,0),0)</f>
        <v>100008197</v>
      </c>
      <c r="D51" s="80">
        <f t="shared" si="5"/>
        <v>0</v>
      </c>
      <c r="E51" s="80">
        <f>IFERROR(VLOOKUP(C51,O.B.JUNE!$C$7:$D$448,2,0),0)</f>
        <v>9784</v>
      </c>
      <c r="F51" s="80">
        <f>VLOOKUP(C51,'CUTTING ON JUNE'!$A$4:$D$316,3,0)</f>
        <v>9784</v>
      </c>
      <c r="G51" s="80">
        <f>IFERROR(VLOOKUP(C51,O.B.JUNE!$C$7:$E$448,3,0),0)</f>
        <v>461</v>
      </c>
      <c r="H51" s="80">
        <f t="shared" si="6"/>
        <v>0</v>
      </c>
      <c r="I51" s="80"/>
      <c r="J51" s="80">
        <f t="shared" si="7"/>
        <v>0</v>
      </c>
      <c r="K51" s="80">
        <v>0</v>
      </c>
      <c r="L51" s="80">
        <v>0</v>
      </c>
      <c r="M51" s="81">
        <f t="shared" si="8"/>
        <v>461</v>
      </c>
      <c r="N51" s="81">
        <v>0</v>
      </c>
      <c r="O51" s="81">
        <v>0</v>
      </c>
      <c r="P51" s="81">
        <f t="shared" si="1"/>
        <v>461</v>
      </c>
      <c r="Q51" s="80">
        <f>IFERROR(VLOOKUP(C51,O.B.JUNE!$C$7:$K$448,7,0),0)</f>
        <v>0</v>
      </c>
      <c r="R51" s="80">
        <f>IFERROR(VLOOKUP(C51,O.B.JUNE!$C$7:$J$448,8,0),0)</f>
        <v>0</v>
      </c>
      <c r="S51" s="323">
        <f t="shared" si="17"/>
        <v>0</v>
      </c>
      <c r="T51" s="324">
        <v>0</v>
      </c>
      <c r="U51" s="324"/>
      <c r="V51" s="80"/>
      <c r="W51" s="324">
        <v>0</v>
      </c>
      <c r="X51" s="324"/>
      <c r="Y51" s="324">
        <v>0</v>
      </c>
      <c r="Z51" s="80">
        <v>0</v>
      </c>
      <c r="AA51" s="80">
        <f t="shared" si="9"/>
        <v>0</v>
      </c>
      <c r="AB51" s="323">
        <f t="shared" si="10"/>
        <v>0</v>
      </c>
      <c r="AC51" s="80">
        <f t="shared" si="11"/>
        <v>0</v>
      </c>
      <c r="AD51" s="80">
        <f t="shared" si="19"/>
        <v>0</v>
      </c>
      <c r="AE51" s="80"/>
      <c r="AF51" s="80"/>
      <c r="AG51" s="80"/>
      <c r="AH51" s="326">
        <f t="shared" si="13"/>
        <v>0</v>
      </c>
      <c r="AI51" s="326">
        <f t="shared" si="14"/>
        <v>0</v>
      </c>
      <c r="AJ51" s="326">
        <f t="shared" si="15"/>
        <v>0</v>
      </c>
      <c r="AK51" s="326">
        <f t="shared" si="16"/>
        <v>0</v>
      </c>
      <c r="AL51" s="326"/>
      <c r="AM51" s="326"/>
      <c r="AN51" s="326"/>
      <c r="AO51" s="326"/>
      <c r="AP51" s="326"/>
      <c r="AQ51" s="326"/>
      <c r="AS51" s="209"/>
      <c r="AT51" s="411"/>
      <c r="AU51" s="411"/>
    </row>
    <row r="52" spans="1:47" s="327" customFormat="1" ht="18.75" customHeight="1">
      <c r="A52" s="167">
        <v>40</v>
      </c>
      <c r="B52" s="79" t="str">
        <f>IFERROR(VLOOKUP(A52,O.B.JUNE!$A$7:$C$448,2,0),0)</f>
        <v>ALFANI</v>
      </c>
      <c r="C52" s="174">
        <f>IFERROR(VLOOKUP(A52,O.B.JUNE!$A$7:$C$448,3,0),0)</f>
        <v>100008887</v>
      </c>
      <c r="D52" s="80">
        <f t="shared" si="5"/>
        <v>0</v>
      </c>
      <c r="E52" s="80">
        <f>IFERROR(VLOOKUP(C52,O.B.JUNE!$C$7:$D$448,2,0),0)</f>
        <v>0</v>
      </c>
      <c r="F52" s="80">
        <v>0</v>
      </c>
      <c r="G52" s="80">
        <f>IFERROR(VLOOKUP(C52,O.B.JUNE!$C$7:$E$448,3,0),0)</f>
        <v>200</v>
      </c>
      <c r="H52" s="80">
        <f t="shared" si="6"/>
        <v>0</v>
      </c>
      <c r="I52" s="80"/>
      <c r="J52" s="80">
        <f t="shared" si="7"/>
        <v>0</v>
      </c>
      <c r="K52" s="80">
        <v>0</v>
      </c>
      <c r="L52" s="80">
        <v>0</v>
      </c>
      <c r="M52" s="81">
        <f t="shared" si="8"/>
        <v>200</v>
      </c>
      <c r="N52" s="81">
        <v>0</v>
      </c>
      <c r="O52" s="81">
        <v>0</v>
      </c>
      <c r="P52" s="81">
        <f t="shared" si="1"/>
        <v>200</v>
      </c>
      <c r="Q52" s="80">
        <f>IFERROR(VLOOKUP(C52,O.B.JUNE!$C$7:$K$448,7,0),0)</f>
        <v>0</v>
      </c>
      <c r="R52" s="80">
        <f>IFERROR(VLOOKUP(C52,O.B.JUNE!$C$7:$J$448,8,0),0)</f>
        <v>0</v>
      </c>
      <c r="S52" s="323">
        <f t="shared" si="17"/>
        <v>0</v>
      </c>
      <c r="T52" s="324">
        <v>0</v>
      </c>
      <c r="U52" s="324"/>
      <c r="V52" s="80"/>
      <c r="W52" s="324">
        <v>0</v>
      </c>
      <c r="X52" s="324"/>
      <c r="Y52" s="324">
        <v>0</v>
      </c>
      <c r="Z52" s="80">
        <v>0</v>
      </c>
      <c r="AA52" s="80">
        <f t="shared" si="9"/>
        <v>0</v>
      </c>
      <c r="AB52" s="323">
        <f t="shared" si="10"/>
        <v>0</v>
      </c>
      <c r="AC52" s="80">
        <f t="shared" si="11"/>
        <v>0</v>
      </c>
      <c r="AD52" s="80">
        <f t="shared" si="19"/>
        <v>0</v>
      </c>
      <c r="AE52" s="80"/>
      <c r="AF52" s="80"/>
      <c r="AG52" s="80"/>
      <c r="AH52" s="326">
        <f t="shared" si="13"/>
        <v>0</v>
      </c>
      <c r="AI52" s="326">
        <f t="shared" si="14"/>
        <v>0</v>
      </c>
      <c r="AJ52" s="326">
        <f t="shared" si="15"/>
        <v>0</v>
      </c>
      <c r="AK52" s="326">
        <f t="shared" si="16"/>
        <v>0</v>
      </c>
      <c r="AL52" s="326"/>
      <c r="AM52" s="326"/>
      <c r="AN52" s="326"/>
      <c r="AO52" s="326"/>
      <c r="AP52" s="326"/>
      <c r="AQ52" s="326"/>
      <c r="AR52" s="327">
        <f>VLOOKUP(C52,'[1]DA HET SAN XUAT'!$D$8:$AJ$419,33,0)</f>
        <v>0</v>
      </c>
      <c r="AS52" s="209"/>
      <c r="AT52" s="411"/>
      <c r="AU52" s="411"/>
    </row>
    <row r="53" spans="1:47" s="327" customFormat="1" ht="18.75" customHeight="1">
      <c r="A53" s="167">
        <v>41</v>
      </c>
      <c r="B53" s="79" t="str">
        <f>IFERROR(VLOOKUP(A53,O.B.JUNE!$A$7:$C$448,2,0),0)</f>
        <v>ALFANI</v>
      </c>
      <c r="C53" s="174">
        <f>IFERROR(VLOOKUP(A53,O.B.JUNE!$A$7:$C$448,3,0),0)</f>
        <v>100010879</v>
      </c>
      <c r="D53" s="80">
        <f t="shared" si="5"/>
        <v>0</v>
      </c>
      <c r="E53" s="80">
        <f>IFERROR(VLOOKUP(C53,O.B.JUNE!$C$7:$D$448,2,0),0)</f>
        <v>0</v>
      </c>
      <c r="F53" s="80">
        <v>0</v>
      </c>
      <c r="G53" s="80">
        <f>IFERROR(VLOOKUP(C53,O.B.JUNE!$C$7:$E$448,3,0),0)</f>
        <v>250</v>
      </c>
      <c r="H53" s="80">
        <f t="shared" si="6"/>
        <v>0</v>
      </c>
      <c r="I53" s="80"/>
      <c r="J53" s="80">
        <f t="shared" si="7"/>
        <v>0</v>
      </c>
      <c r="K53" s="80">
        <v>0</v>
      </c>
      <c r="L53" s="80">
        <v>0</v>
      </c>
      <c r="M53" s="81">
        <f t="shared" si="8"/>
        <v>250</v>
      </c>
      <c r="N53" s="81">
        <v>0</v>
      </c>
      <c r="O53" s="81">
        <v>0</v>
      </c>
      <c r="P53" s="81">
        <f t="shared" si="1"/>
        <v>250</v>
      </c>
      <c r="Q53" s="80">
        <f>IFERROR(VLOOKUP(C53,O.B.JUNE!$C$7:$K$448,7,0),0)</f>
        <v>0</v>
      </c>
      <c r="R53" s="80">
        <f>IFERROR(VLOOKUP(C53,O.B.JUNE!$C$7:$J$448,8,0),0)</f>
        <v>0</v>
      </c>
      <c r="S53" s="323">
        <f t="shared" si="17"/>
        <v>0</v>
      </c>
      <c r="T53" s="324">
        <v>0</v>
      </c>
      <c r="U53" s="324"/>
      <c r="V53" s="80"/>
      <c r="W53" s="324">
        <v>0</v>
      </c>
      <c r="X53" s="324"/>
      <c r="Y53" s="324">
        <v>0</v>
      </c>
      <c r="Z53" s="80">
        <v>0</v>
      </c>
      <c r="AA53" s="80">
        <f t="shared" si="9"/>
        <v>0</v>
      </c>
      <c r="AB53" s="323">
        <f t="shared" si="10"/>
        <v>0</v>
      </c>
      <c r="AC53" s="80">
        <f t="shared" si="11"/>
        <v>0</v>
      </c>
      <c r="AD53" s="80">
        <f t="shared" si="19"/>
        <v>0</v>
      </c>
      <c r="AE53" s="80"/>
      <c r="AF53" s="80"/>
      <c r="AG53" s="80"/>
      <c r="AH53" s="326">
        <f t="shared" si="13"/>
        <v>0</v>
      </c>
      <c r="AI53" s="326">
        <f t="shared" si="14"/>
        <v>0</v>
      </c>
      <c r="AJ53" s="326">
        <f t="shared" si="15"/>
        <v>0</v>
      </c>
      <c r="AK53" s="326">
        <f t="shared" si="16"/>
        <v>0</v>
      </c>
      <c r="AL53" s="326"/>
      <c r="AM53" s="326"/>
      <c r="AN53" s="326"/>
      <c r="AO53" s="326"/>
      <c r="AP53" s="326"/>
      <c r="AQ53" s="326"/>
      <c r="AS53" s="209"/>
      <c r="AT53" s="411"/>
      <c r="AU53" s="411"/>
    </row>
    <row r="54" spans="1:47" s="327" customFormat="1" ht="18.75" customHeight="1">
      <c r="A54" s="167">
        <v>42</v>
      </c>
      <c r="B54" s="79" t="str">
        <f>IFERROR(VLOOKUP(A54,O.B.JUNE!$A$7:$C$448,2,0),0)</f>
        <v>ALFANI</v>
      </c>
      <c r="C54" s="174">
        <f>IFERROR(VLOOKUP(A54,O.B.JUNE!$A$7:$C$448,3,0),0)</f>
        <v>100010914</v>
      </c>
      <c r="D54" s="80">
        <f t="shared" si="5"/>
        <v>0</v>
      </c>
      <c r="E54" s="80">
        <f>IFERROR(VLOOKUP(C54,O.B.JUNE!$C$7:$D$448,2,0),0)</f>
        <v>0</v>
      </c>
      <c r="F54" s="80">
        <v>0</v>
      </c>
      <c r="G54" s="80">
        <f>IFERROR(VLOOKUP(C54,O.B.JUNE!$C$7:$E$448,3,0),0)</f>
        <v>55</v>
      </c>
      <c r="H54" s="80">
        <f t="shared" si="6"/>
        <v>0</v>
      </c>
      <c r="I54" s="80"/>
      <c r="J54" s="80">
        <f t="shared" si="7"/>
        <v>0</v>
      </c>
      <c r="K54" s="80">
        <v>0</v>
      </c>
      <c r="L54" s="80">
        <v>0</v>
      </c>
      <c r="M54" s="81">
        <f t="shared" si="8"/>
        <v>55</v>
      </c>
      <c r="N54" s="81">
        <v>0</v>
      </c>
      <c r="O54" s="81">
        <v>0</v>
      </c>
      <c r="P54" s="81">
        <f t="shared" si="1"/>
        <v>55</v>
      </c>
      <c r="Q54" s="80">
        <f>IFERROR(VLOOKUP(C54,O.B.JUNE!$C$7:$K$448,7,0),0)</f>
        <v>0</v>
      </c>
      <c r="R54" s="80">
        <f>IFERROR(VLOOKUP(C54,O.B.JUNE!$C$7:$J$448,8,0),0)</f>
        <v>0</v>
      </c>
      <c r="S54" s="323">
        <f t="shared" si="17"/>
        <v>0</v>
      </c>
      <c r="T54" s="324">
        <v>0</v>
      </c>
      <c r="U54" s="324"/>
      <c r="V54" s="80"/>
      <c r="W54" s="324">
        <v>0</v>
      </c>
      <c r="X54" s="324"/>
      <c r="Y54" s="324">
        <v>0</v>
      </c>
      <c r="Z54" s="80">
        <v>0</v>
      </c>
      <c r="AA54" s="80">
        <f t="shared" si="9"/>
        <v>0</v>
      </c>
      <c r="AB54" s="323">
        <f t="shared" si="10"/>
        <v>0</v>
      </c>
      <c r="AC54" s="80">
        <f t="shared" si="11"/>
        <v>0</v>
      </c>
      <c r="AD54" s="80">
        <f t="shared" si="19"/>
        <v>0</v>
      </c>
      <c r="AE54" s="80"/>
      <c r="AF54" s="80"/>
      <c r="AG54" s="80"/>
      <c r="AH54" s="326">
        <f t="shared" si="13"/>
        <v>0</v>
      </c>
      <c r="AI54" s="326">
        <f t="shared" si="14"/>
        <v>0</v>
      </c>
      <c r="AJ54" s="326">
        <f t="shared" si="15"/>
        <v>0</v>
      </c>
      <c r="AK54" s="326">
        <f t="shared" si="16"/>
        <v>0</v>
      </c>
      <c r="AL54" s="326"/>
      <c r="AM54" s="326"/>
      <c r="AN54" s="326"/>
      <c r="AO54" s="326"/>
      <c r="AP54" s="326"/>
      <c r="AQ54" s="326"/>
      <c r="AS54" s="209"/>
      <c r="AT54" s="411"/>
      <c r="AU54" s="411"/>
    </row>
    <row r="55" spans="1:47" s="327" customFormat="1" ht="18.75" customHeight="1">
      <c r="A55" s="167">
        <v>43</v>
      </c>
      <c r="B55" s="79" t="str">
        <f>IFERROR(VLOOKUP(A55,O.B.JUNE!$A$7:$C$448,2,0),0)</f>
        <v>ALFANI</v>
      </c>
      <c r="C55" s="174">
        <f>IFERROR(VLOOKUP(A55,O.B.JUNE!$A$7:$C$448,3,0),0)</f>
        <v>100011006</v>
      </c>
      <c r="D55" s="80">
        <f t="shared" si="5"/>
        <v>0</v>
      </c>
      <c r="E55" s="80">
        <f>IFERROR(VLOOKUP(C55,O.B.JUNE!$C$7:$D$448,2,0),0)</f>
        <v>0</v>
      </c>
      <c r="F55" s="80">
        <v>0</v>
      </c>
      <c r="G55" s="80">
        <f>IFERROR(VLOOKUP(C55,O.B.JUNE!$C$7:$E$448,3,0),0)</f>
        <v>94</v>
      </c>
      <c r="H55" s="80">
        <f t="shared" si="6"/>
        <v>0</v>
      </c>
      <c r="I55" s="80"/>
      <c r="J55" s="80">
        <f t="shared" si="7"/>
        <v>0</v>
      </c>
      <c r="K55" s="80">
        <v>0</v>
      </c>
      <c r="L55" s="80">
        <v>0</v>
      </c>
      <c r="M55" s="81">
        <f t="shared" si="8"/>
        <v>94</v>
      </c>
      <c r="N55" s="81">
        <v>0</v>
      </c>
      <c r="O55" s="81">
        <v>0</v>
      </c>
      <c r="P55" s="81">
        <f t="shared" si="1"/>
        <v>94</v>
      </c>
      <c r="Q55" s="80">
        <f>IFERROR(VLOOKUP(C55,O.B.JUNE!$C$7:$K$448,7,0),0)</f>
        <v>0</v>
      </c>
      <c r="R55" s="80">
        <f>IFERROR(VLOOKUP(C55,O.B.JUNE!$C$7:$J$448,8,0),0)</f>
        <v>0</v>
      </c>
      <c r="S55" s="323">
        <f t="shared" si="17"/>
        <v>0</v>
      </c>
      <c r="T55" s="324">
        <v>0</v>
      </c>
      <c r="U55" s="324"/>
      <c r="V55" s="80"/>
      <c r="W55" s="324">
        <v>0</v>
      </c>
      <c r="X55" s="324"/>
      <c r="Y55" s="324">
        <v>0</v>
      </c>
      <c r="Z55" s="80">
        <v>0</v>
      </c>
      <c r="AA55" s="80">
        <f t="shared" si="9"/>
        <v>0</v>
      </c>
      <c r="AB55" s="323">
        <f t="shared" si="10"/>
        <v>0</v>
      </c>
      <c r="AC55" s="80">
        <f t="shared" si="11"/>
        <v>0</v>
      </c>
      <c r="AD55" s="80">
        <f t="shared" si="19"/>
        <v>0</v>
      </c>
      <c r="AE55" s="80"/>
      <c r="AF55" s="80"/>
      <c r="AG55" s="80"/>
      <c r="AH55" s="326">
        <f t="shared" si="13"/>
        <v>0</v>
      </c>
      <c r="AI55" s="326">
        <f t="shared" si="14"/>
        <v>0</v>
      </c>
      <c r="AJ55" s="326">
        <f t="shared" si="15"/>
        <v>0</v>
      </c>
      <c r="AK55" s="326">
        <f t="shared" si="16"/>
        <v>0</v>
      </c>
      <c r="AL55" s="326"/>
      <c r="AM55" s="326"/>
      <c r="AN55" s="326"/>
      <c r="AO55" s="326"/>
      <c r="AP55" s="326"/>
      <c r="AQ55" s="326"/>
      <c r="AS55" s="209"/>
      <c r="AT55" s="411"/>
      <c r="AU55" s="411"/>
    </row>
    <row r="56" spans="1:47" s="327" customFormat="1" ht="18.75" customHeight="1">
      <c r="A56" s="167">
        <v>44</v>
      </c>
      <c r="B56" s="79" t="str">
        <f>IFERROR(VLOOKUP(A56,O.B.JUNE!$A$7:$C$448,2,0),0)</f>
        <v>ALFANI</v>
      </c>
      <c r="C56" s="174">
        <f>IFERROR(VLOOKUP(A56,O.B.JUNE!$A$7:$C$448,3,0),0)</f>
        <v>100011101</v>
      </c>
      <c r="D56" s="80">
        <f t="shared" si="5"/>
        <v>0</v>
      </c>
      <c r="E56" s="80">
        <f>IFERROR(VLOOKUP(C56,O.B.JUNE!$C$7:$D$448,2,0),0)</f>
        <v>0</v>
      </c>
      <c r="F56" s="80">
        <v>0</v>
      </c>
      <c r="G56" s="80">
        <f>IFERROR(VLOOKUP(C56,O.B.JUNE!$C$7:$E$448,3,0),0)</f>
        <v>21</v>
      </c>
      <c r="H56" s="80">
        <f t="shared" si="6"/>
        <v>0</v>
      </c>
      <c r="I56" s="80"/>
      <c r="J56" s="80">
        <f t="shared" si="7"/>
        <v>0</v>
      </c>
      <c r="K56" s="80">
        <v>0</v>
      </c>
      <c r="L56" s="80">
        <v>0</v>
      </c>
      <c r="M56" s="81">
        <f t="shared" si="8"/>
        <v>21</v>
      </c>
      <c r="N56" s="81">
        <v>0</v>
      </c>
      <c r="O56" s="81">
        <v>0</v>
      </c>
      <c r="P56" s="81">
        <f t="shared" si="1"/>
        <v>21</v>
      </c>
      <c r="Q56" s="80">
        <f>IFERROR(VLOOKUP(C56,O.B.JUNE!$C$7:$K$448,7,0),0)</f>
        <v>0</v>
      </c>
      <c r="R56" s="80">
        <f>IFERROR(VLOOKUP(C56,O.B.JUNE!$C$7:$J$448,8,0),0)</f>
        <v>0</v>
      </c>
      <c r="S56" s="323">
        <f t="shared" si="17"/>
        <v>0</v>
      </c>
      <c r="T56" s="324">
        <v>0</v>
      </c>
      <c r="U56" s="324"/>
      <c r="V56" s="80"/>
      <c r="W56" s="324">
        <v>0</v>
      </c>
      <c r="X56" s="324"/>
      <c r="Y56" s="324">
        <v>0</v>
      </c>
      <c r="Z56" s="80">
        <v>0</v>
      </c>
      <c r="AA56" s="80">
        <f t="shared" si="9"/>
        <v>0</v>
      </c>
      <c r="AB56" s="323">
        <f t="shared" si="10"/>
        <v>0</v>
      </c>
      <c r="AC56" s="80">
        <f t="shared" si="11"/>
        <v>0</v>
      </c>
      <c r="AD56" s="80">
        <f t="shared" si="19"/>
        <v>0</v>
      </c>
      <c r="AE56" s="80"/>
      <c r="AF56" s="80"/>
      <c r="AG56" s="80"/>
      <c r="AH56" s="326">
        <f t="shared" si="13"/>
        <v>0</v>
      </c>
      <c r="AI56" s="326">
        <f t="shared" si="14"/>
        <v>0</v>
      </c>
      <c r="AJ56" s="326">
        <f t="shared" si="15"/>
        <v>0</v>
      </c>
      <c r="AK56" s="326">
        <f t="shared" si="16"/>
        <v>0</v>
      </c>
      <c r="AL56" s="326"/>
      <c r="AM56" s="326"/>
      <c r="AN56" s="326"/>
      <c r="AO56" s="326"/>
      <c r="AP56" s="326"/>
      <c r="AQ56" s="326"/>
      <c r="AS56" s="209"/>
      <c r="AT56" s="411"/>
      <c r="AU56" s="411"/>
    </row>
    <row r="57" spans="1:47" s="327" customFormat="1" ht="18.75" customHeight="1">
      <c r="A57" s="167">
        <v>45</v>
      </c>
      <c r="B57" s="79" t="str">
        <f>IFERROR(VLOOKUP(A57,O.B.JUNE!$A$7:$C$448,2,0),0)</f>
        <v>ALFANI</v>
      </c>
      <c r="C57" s="174">
        <f>IFERROR(VLOOKUP(A57,O.B.JUNE!$A$7:$C$448,3,0),0)</f>
        <v>100011102</v>
      </c>
      <c r="D57" s="80">
        <f t="shared" si="5"/>
        <v>0</v>
      </c>
      <c r="E57" s="80">
        <f>IFERROR(VLOOKUP(C57,O.B.JUNE!$C$7:$D$448,2,0),0)</f>
        <v>0</v>
      </c>
      <c r="F57" s="80">
        <v>0</v>
      </c>
      <c r="G57" s="80">
        <f>IFERROR(VLOOKUP(C57,O.B.JUNE!$C$7:$E$448,3,0),0)</f>
        <v>31</v>
      </c>
      <c r="H57" s="80">
        <f t="shared" si="6"/>
        <v>0</v>
      </c>
      <c r="I57" s="80"/>
      <c r="J57" s="80">
        <f t="shared" si="7"/>
        <v>0</v>
      </c>
      <c r="K57" s="80">
        <v>0</v>
      </c>
      <c r="L57" s="80">
        <v>0</v>
      </c>
      <c r="M57" s="81">
        <f t="shared" si="8"/>
        <v>31</v>
      </c>
      <c r="N57" s="81">
        <v>0</v>
      </c>
      <c r="O57" s="81">
        <v>0</v>
      </c>
      <c r="P57" s="81">
        <f t="shared" si="1"/>
        <v>31</v>
      </c>
      <c r="Q57" s="80">
        <f>IFERROR(VLOOKUP(C57,O.B.JUNE!$C$7:$K$448,7,0),0)</f>
        <v>0</v>
      </c>
      <c r="R57" s="80">
        <f>IFERROR(VLOOKUP(C57,O.B.JUNE!$C$7:$J$448,8,0),0)</f>
        <v>0</v>
      </c>
      <c r="S57" s="323">
        <f t="shared" si="17"/>
        <v>0</v>
      </c>
      <c r="T57" s="324">
        <v>0</v>
      </c>
      <c r="U57" s="324"/>
      <c r="V57" s="80"/>
      <c r="W57" s="324">
        <v>0</v>
      </c>
      <c r="X57" s="324"/>
      <c r="Y57" s="324">
        <v>0</v>
      </c>
      <c r="Z57" s="80">
        <v>0</v>
      </c>
      <c r="AA57" s="80">
        <f t="shared" si="9"/>
        <v>0</v>
      </c>
      <c r="AB57" s="323">
        <f t="shared" si="10"/>
        <v>0</v>
      </c>
      <c r="AC57" s="80">
        <f t="shared" si="11"/>
        <v>0</v>
      </c>
      <c r="AD57" s="80">
        <f t="shared" si="19"/>
        <v>0</v>
      </c>
      <c r="AE57" s="80"/>
      <c r="AF57" s="80"/>
      <c r="AG57" s="80"/>
      <c r="AH57" s="326">
        <f t="shared" si="13"/>
        <v>0</v>
      </c>
      <c r="AI57" s="326">
        <f t="shared" si="14"/>
        <v>0</v>
      </c>
      <c r="AJ57" s="326">
        <f t="shared" si="15"/>
        <v>0</v>
      </c>
      <c r="AK57" s="326">
        <f t="shared" si="16"/>
        <v>0</v>
      </c>
      <c r="AL57" s="326"/>
      <c r="AM57" s="326"/>
      <c r="AN57" s="326"/>
      <c r="AO57" s="326"/>
      <c r="AP57" s="326"/>
      <c r="AQ57" s="326"/>
      <c r="AS57" s="209"/>
      <c r="AT57" s="411"/>
      <c r="AU57" s="411"/>
    </row>
    <row r="58" spans="1:47" s="327" customFormat="1" ht="18.75" customHeight="1">
      <c r="A58" s="167">
        <v>46</v>
      </c>
      <c r="B58" s="79" t="str">
        <f>IFERROR(VLOOKUP(A58,O.B.JUNE!$A$7:$C$448,2,0),0)</f>
        <v>ALFANI</v>
      </c>
      <c r="C58" s="174">
        <f>IFERROR(VLOOKUP(A58,O.B.JUNE!$A$7:$C$448,3,0),0)</f>
        <v>2335</v>
      </c>
      <c r="D58" s="80">
        <f t="shared" si="5"/>
        <v>0</v>
      </c>
      <c r="E58" s="80">
        <f>IFERROR(VLOOKUP(C58,O.B.JUNE!$C$7:$D$448,2,0),0)</f>
        <v>23823</v>
      </c>
      <c r="F58" s="80">
        <f>VLOOKUP(C58,'CUTTING ON JUNE'!$A$4:$D$316,3,0)</f>
        <v>23823</v>
      </c>
      <c r="G58" s="80">
        <f>IFERROR(VLOOKUP(C58,O.B.JUNE!$C$7:$E$448,3,0),0)</f>
        <v>1273</v>
      </c>
      <c r="H58" s="80">
        <f t="shared" si="6"/>
        <v>0</v>
      </c>
      <c r="I58" s="80"/>
      <c r="J58" s="80">
        <f t="shared" si="7"/>
        <v>0</v>
      </c>
      <c r="K58" s="80">
        <v>0</v>
      </c>
      <c r="L58" s="80">
        <v>0</v>
      </c>
      <c r="M58" s="81">
        <f t="shared" si="8"/>
        <v>1273</v>
      </c>
      <c r="N58" s="81">
        <v>0</v>
      </c>
      <c r="O58" s="81">
        <v>4</v>
      </c>
      <c r="P58" s="81">
        <f t="shared" si="1"/>
        <v>1269</v>
      </c>
      <c r="Q58" s="80">
        <f>IFERROR(VLOOKUP(C58,O.B.JUNE!$C$7:$K$448,7,0),0)</f>
        <v>0</v>
      </c>
      <c r="R58" s="80">
        <f>IFERROR(VLOOKUP(C58,O.B.JUNE!$C$7:$J$448,8,0),0)</f>
        <v>89</v>
      </c>
      <c r="S58" s="323">
        <f t="shared" si="17"/>
        <v>89</v>
      </c>
      <c r="T58" s="324">
        <v>0</v>
      </c>
      <c r="U58" s="324"/>
      <c r="V58" s="80"/>
      <c r="W58" s="324">
        <v>0</v>
      </c>
      <c r="X58" s="324"/>
      <c r="Y58" s="324">
        <v>0</v>
      </c>
      <c r="Z58" s="80">
        <v>0</v>
      </c>
      <c r="AA58" s="80">
        <f t="shared" si="9"/>
        <v>0</v>
      </c>
      <c r="AB58" s="323">
        <f t="shared" si="10"/>
        <v>0</v>
      </c>
      <c r="AC58" s="80">
        <f t="shared" si="11"/>
        <v>89</v>
      </c>
      <c r="AD58" s="80">
        <f t="shared" si="19"/>
        <v>89</v>
      </c>
      <c r="AE58" s="80"/>
      <c r="AF58" s="80"/>
      <c r="AG58" s="80"/>
      <c r="AH58" s="326">
        <f t="shared" si="13"/>
        <v>0</v>
      </c>
      <c r="AI58" s="326">
        <f t="shared" si="14"/>
        <v>0</v>
      </c>
      <c r="AJ58" s="326">
        <f t="shared" si="15"/>
        <v>0</v>
      </c>
      <c r="AK58" s="326">
        <f t="shared" si="16"/>
        <v>0</v>
      </c>
      <c r="AL58" s="326"/>
      <c r="AM58" s="326"/>
      <c r="AN58" s="326"/>
      <c r="AO58" s="326"/>
      <c r="AP58" s="326"/>
      <c r="AQ58" s="326"/>
      <c r="AR58" s="327">
        <f>VLOOKUP(C58,'[1]DA HET SAN XUAT'!$D$8:$AJ$419,33,0)</f>
        <v>0</v>
      </c>
      <c r="AS58" s="209"/>
      <c r="AT58" s="411"/>
      <c r="AU58" s="411"/>
    </row>
    <row r="59" spans="1:47" s="327" customFormat="1" ht="18.75" customHeight="1">
      <c r="A59" s="167">
        <v>47</v>
      </c>
      <c r="B59" s="79" t="str">
        <f>IFERROR(VLOOKUP(A59,O.B.JUNE!$A$7:$C$448,2,0),0)</f>
        <v>ALFANI</v>
      </c>
      <c r="C59" s="174">
        <f>IFERROR(VLOOKUP(A59,O.B.JUNE!$A$7:$C$448,3,0),0)</f>
        <v>7220</v>
      </c>
      <c r="D59" s="80">
        <f t="shared" si="5"/>
        <v>0</v>
      </c>
      <c r="E59" s="80">
        <f>IFERROR(VLOOKUP(C59,O.B.JUNE!$C$7:$D$448,2,0),0)</f>
        <v>5987</v>
      </c>
      <c r="F59" s="80">
        <f>VLOOKUP(C59,'CUTTING ON JUNE'!$A$4:$D$316,3,0)</f>
        <v>5987</v>
      </c>
      <c r="G59" s="80">
        <f>IFERROR(VLOOKUP(C59,O.B.JUNE!$C$7:$E$448,3,0),0)</f>
        <v>1361</v>
      </c>
      <c r="H59" s="80">
        <f t="shared" si="6"/>
        <v>0</v>
      </c>
      <c r="I59" s="80"/>
      <c r="J59" s="80">
        <f t="shared" si="7"/>
        <v>1142</v>
      </c>
      <c r="K59" s="80">
        <v>0</v>
      </c>
      <c r="L59" s="80">
        <v>0</v>
      </c>
      <c r="M59" s="81">
        <f t="shared" si="8"/>
        <v>219</v>
      </c>
      <c r="N59" s="81">
        <v>0</v>
      </c>
      <c r="O59" s="507">
        <v>101</v>
      </c>
      <c r="P59" s="81">
        <f t="shared" si="1"/>
        <v>118</v>
      </c>
      <c r="Q59" s="80">
        <f>IFERROR(VLOOKUP(C59,O.B.JUNE!$C$7:$K$448,7,0),0)</f>
        <v>0</v>
      </c>
      <c r="R59" s="80">
        <f>IFERROR(VLOOKUP(C59,O.B.JUNE!$C$7:$J$448,8,0),0)</f>
        <v>0</v>
      </c>
      <c r="S59" s="323">
        <f t="shared" si="17"/>
        <v>1142</v>
      </c>
      <c r="T59" s="324">
        <v>1142</v>
      </c>
      <c r="U59" s="324"/>
      <c r="V59" s="80"/>
      <c r="W59" s="324">
        <v>1116</v>
      </c>
      <c r="X59" s="324"/>
      <c r="Y59" s="324">
        <v>2</v>
      </c>
      <c r="Z59" s="80">
        <v>24</v>
      </c>
      <c r="AA59" s="80">
        <f t="shared" si="9"/>
        <v>1142</v>
      </c>
      <c r="AB59" s="323">
        <f t="shared" si="10"/>
        <v>0</v>
      </c>
      <c r="AC59" s="80">
        <f t="shared" si="11"/>
        <v>24</v>
      </c>
      <c r="AD59" s="80">
        <f t="shared" si="19"/>
        <v>24</v>
      </c>
      <c r="AE59" s="80"/>
      <c r="AF59" s="80"/>
      <c r="AG59" s="80"/>
      <c r="AH59" s="326">
        <f t="shared" si="13"/>
        <v>0</v>
      </c>
      <c r="AI59" s="326">
        <f t="shared" si="14"/>
        <v>0</v>
      </c>
      <c r="AJ59" s="326">
        <f t="shared" si="15"/>
        <v>0</v>
      </c>
      <c r="AK59" s="326">
        <f t="shared" si="16"/>
        <v>0</v>
      </c>
      <c r="AL59" s="326"/>
      <c r="AM59" s="326"/>
      <c r="AN59" s="326"/>
      <c r="AO59" s="326"/>
      <c r="AP59" s="326"/>
      <c r="AQ59" s="326"/>
      <c r="AR59" s="327">
        <f>VLOOKUP(C59,'[1]DA HET SAN XUAT'!$D$8:$AJ$419,33,0)</f>
        <v>0</v>
      </c>
      <c r="AS59" s="209"/>
      <c r="AT59" s="411"/>
      <c r="AU59" s="411"/>
    </row>
    <row r="60" spans="1:47" s="327" customFormat="1" ht="18.75" customHeight="1">
      <c r="A60" s="167">
        <v>48</v>
      </c>
      <c r="B60" s="79" t="str">
        <f>IFERROR(VLOOKUP(A60,O.B.JUNE!$A$7:$C$448,2,0),0)</f>
        <v>ALFANI</v>
      </c>
      <c r="C60" s="174" t="str">
        <f>IFERROR(VLOOKUP(A60,O.B.JUNE!$A$7:$C$448,3,0),0)</f>
        <v>7D400</v>
      </c>
      <c r="D60" s="80">
        <f t="shared" si="5"/>
        <v>0</v>
      </c>
      <c r="E60" s="80">
        <f>IFERROR(VLOOKUP(C60,O.B.JUNE!$C$7:$D$448,2,0),0)</f>
        <v>0</v>
      </c>
      <c r="F60" s="80">
        <v>0</v>
      </c>
      <c r="G60" s="80">
        <f>IFERROR(VLOOKUP(C60,O.B.JUNE!$C$7:$E$448,3,0),0)</f>
        <v>72</v>
      </c>
      <c r="H60" s="80">
        <f t="shared" si="6"/>
        <v>0</v>
      </c>
      <c r="I60" s="80"/>
      <c r="J60" s="80">
        <f t="shared" si="7"/>
        <v>72</v>
      </c>
      <c r="K60" s="80">
        <v>0</v>
      </c>
      <c r="L60" s="80">
        <v>0</v>
      </c>
      <c r="M60" s="81">
        <f t="shared" si="8"/>
        <v>0</v>
      </c>
      <c r="N60" s="81">
        <v>0</v>
      </c>
      <c r="O60" s="81">
        <v>0</v>
      </c>
      <c r="P60" s="81">
        <f t="shared" ref="P60:P61" si="26">+M60-N60-O60</f>
        <v>0</v>
      </c>
      <c r="Q60" s="80">
        <f>IFERROR(VLOOKUP(C60,O.B.JUNE!$C$7:$K$448,7,0),0)</f>
        <v>0</v>
      </c>
      <c r="R60" s="80">
        <f>IFERROR(VLOOKUP(C60,O.B.JUNE!$C$7:$J$448,8,0),0)</f>
        <v>0</v>
      </c>
      <c r="S60" s="323">
        <f t="shared" si="17"/>
        <v>72</v>
      </c>
      <c r="T60" s="324">
        <v>0</v>
      </c>
      <c r="U60" s="324">
        <v>72</v>
      </c>
      <c r="V60" s="80"/>
      <c r="W60" s="324">
        <v>0</v>
      </c>
      <c r="X60" s="324"/>
      <c r="Y60" s="324">
        <v>0</v>
      </c>
      <c r="Z60" s="80">
        <v>0</v>
      </c>
      <c r="AA60" s="80">
        <f t="shared" si="9"/>
        <v>72</v>
      </c>
      <c r="AB60" s="323">
        <f t="shared" si="10"/>
        <v>0</v>
      </c>
      <c r="AC60" s="80">
        <f t="shared" si="11"/>
        <v>72</v>
      </c>
      <c r="AD60" s="80">
        <f t="shared" si="19"/>
        <v>72</v>
      </c>
      <c r="AE60" s="80"/>
      <c r="AF60" s="80"/>
      <c r="AG60" s="80"/>
      <c r="AH60" s="326">
        <f t="shared" si="13"/>
        <v>0</v>
      </c>
      <c r="AI60" s="326">
        <f t="shared" si="14"/>
        <v>0</v>
      </c>
      <c r="AJ60" s="326">
        <f t="shared" si="15"/>
        <v>0</v>
      </c>
      <c r="AK60" s="326">
        <f t="shared" si="16"/>
        <v>0</v>
      </c>
      <c r="AL60" s="326"/>
      <c r="AM60" s="326"/>
      <c r="AN60" s="326"/>
      <c r="AO60" s="326"/>
      <c r="AP60" s="326"/>
      <c r="AQ60" s="326"/>
      <c r="AS60" s="504" t="s">
        <v>658</v>
      </c>
      <c r="AT60" s="411"/>
      <c r="AU60" s="411"/>
    </row>
    <row r="61" spans="1:47" s="327" customFormat="1" ht="18.75" customHeight="1">
      <c r="A61" s="167">
        <v>49</v>
      </c>
      <c r="B61" s="79" t="str">
        <f>IFERROR(VLOOKUP(A61,O.B.JUNE!$A$7:$C$448,2,0),0)</f>
        <v>ALFANI</v>
      </c>
      <c r="C61" s="174" t="str">
        <f>IFERROR(VLOOKUP(A61,O.B.JUNE!$A$7:$C$448,3,0),0)</f>
        <v>7D701</v>
      </c>
      <c r="D61" s="80">
        <f t="shared" si="5"/>
        <v>0</v>
      </c>
      <c r="E61" s="80">
        <f>IFERROR(VLOOKUP(C61,O.B.JUNE!$C$7:$D$448,2,0),0)</f>
        <v>0</v>
      </c>
      <c r="F61" s="80">
        <v>0</v>
      </c>
      <c r="G61" s="80">
        <f>IFERROR(VLOOKUP(C61,O.B.JUNE!$C$7:$E$448,3,0),0)</f>
        <v>180</v>
      </c>
      <c r="H61" s="80">
        <f t="shared" si="6"/>
        <v>0</v>
      </c>
      <c r="I61" s="80"/>
      <c r="J61" s="80">
        <f t="shared" si="7"/>
        <v>180</v>
      </c>
      <c r="K61" s="80">
        <v>0</v>
      </c>
      <c r="L61" s="80">
        <v>0</v>
      </c>
      <c r="M61" s="81">
        <f t="shared" si="8"/>
        <v>0</v>
      </c>
      <c r="N61" s="81">
        <v>0</v>
      </c>
      <c r="O61" s="81">
        <v>0</v>
      </c>
      <c r="P61" s="81">
        <f t="shared" si="26"/>
        <v>0</v>
      </c>
      <c r="Q61" s="80">
        <f>IFERROR(VLOOKUP(C61,O.B.JUNE!$C$7:$K$448,7,0),0)</f>
        <v>0</v>
      </c>
      <c r="R61" s="80">
        <f>IFERROR(VLOOKUP(C61,O.B.JUNE!$C$7:$J$448,8,0),0)</f>
        <v>0</v>
      </c>
      <c r="S61" s="323">
        <f t="shared" si="17"/>
        <v>180</v>
      </c>
      <c r="T61" s="324">
        <v>0</v>
      </c>
      <c r="U61" s="324">
        <v>180</v>
      </c>
      <c r="V61" s="80"/>
      <c r="W61" s="324">
        <v>0</v>
      </c>
      <c r="X61" s="324"/>
      <c r="Y61" s="324">
        <v>0</v>
      </c>
      <c r="Z61" s="80">
        <v>0</v>
      </c>
      <c r="AA61" s="80">
        <f t="shared" si="9"/>
        <v>180</v>
      </c>
      <c r="AB61" s="323">
        <f t="shared" si="10"/>
        <v>0</v>
      </c>
      <c r="AC61" s="80">
        <f t="shared" si="11"/>
        <v>180</v>
      </c>
      <c r="AD61" s="80">
        <f t="shared" si="19"/>
        <v>180</v>
      </c>
      <c r="AE61" s="80"/>
      <c r="AF61" s="80"/>
      <c r="AG61" s="80"/>
      <c r="AH61" s="326">
        <f t="shared" si="13"/>
        <v>0</v>
      </c>
      <c r="AI61" s="326">
        <f t="shared" si="14"/>
        <v>0</v>
      </c>
      <c r="AJ61" s="326">
        <f t="shared" si="15"/>
        <v>0</v>
      </c>
      <c r="AK61" s="326">
        <f t="shared" si="16"/>
        <v>0</v>
      </c>
      <c r="AL61" s="326"/>
      <c r="AM61" s="326"/>
      <c r="AN61" s="326"/>
      <c r="AO61" s="326"/>
      <c r="AP61" s="326"/>
      <c r="AQ61" s="326"/>
      <c r="AS61" s="504" t="s">
        <v>658</v>
      </c>
      <c r="AT61" s="411"/>
      <c r="AU61" s="411"/>
    </row>
    <row r="62" spans="1:47" s="389" customFormat="1" ht="18.75" customHeight="1">
      <c r="A62" s="167">
        <v>50</v>
      </c>
      <c r="B62" s="79" t="str">
        <f>IFERROR(VLOOKUP(A62,O.B.JUNE!$A$7:$C$448,2,0),0)</f>
        <v>ALFANI</v>
      </c>
      <c r="C62" s="174" t="str">
        <f>IFERROR(VLOOKUP(A62,O.B.JUNE!$A$7:$C$448,3,0),0)</f>
        <v>7D707</v>
      </c>
      <c r="D62" s="80">
        <f t="shared" si="5"/>
        <v>0</v>
      </c>
      <c r="E62" s="80">
        <f>IFERROR(VLOOKUP(C62,O.B.JUNE!$C$7:$D$448,2,0),0)</f>
        <v>0</v>
      </c>
      <c r="F62" s="80">
        <v>0</v>
      </c>
      <c r="G62" s="80">
        <f>IFERROR(VLOOKUP(C62,O.B.JUNE!$C$7:$E$448,3,0),0)</f>
        <v>387</v>
      </c>
      <c r="H62" s="80">
        <f t="shared" si="6"/>
        <v>0</v>
      </c>
      <c r="I62" s="80"/>
      <c r="J62" s="80">
        <f t="shared" si="7"/>
        <v>0</v>
      </c>
      <c r="K62" s="80">
        <v>0</v>
      </c>
      <c r="L62" s="80">
        <v>0</v>
      </c>
      <c r="M62" s="81">
        <f t="shared" si="8"/>
        <v>387</v>
      </c>
      <c r="N62" s="81">
        <v>0</v>
      </c>
      <c r="O62" s="81">
        <v>0</v>
      </c>
      <c r="P62" s="81">
        <f t="shared" si="1"/>
        <v>387</v>
      </c>
      <c r="Q62" s="80">
        <f>IFERROR(VLOOKUP(C62,O.B.JUNE!$C$7:$K$448,7,0),0)</f>
        <v>0</v>
      </c>
      <c r="R62" s="80">
        <f>IFERROR(VLOOKUP(C62,O.B.JUNE!$C$7:$J$448,8,0),0)</f>
        <v>0</v>
      </c>
      <c r="S62" s="323">
        <f t="shared" si="17"/>
        <v>0</v>
      </c>
      <c r="T62" s="324">
        <v>0</v>
      </c>
      <c r="U62" s="324"/>
      <c r="V62" s="80"/>
      <c r="W62" s="324">
        <v>0</v>
      </c>
      <c r="X62" s="324"/>
      <c r="Y62" s="324">
        <v>0</v>
      </c>
      <c r="Z62" s="80">
        <v>0</v>
      </c>
      <c r="AA62" s="80">
        <f t="shared" si="9"/>
        <v>0</v>
      </c>
      <c r="AB62" s="323">
        <f t="shared" si="10"/>
        <v>0</v>
      </c>
      <c r="AC62" s="80">
        <f t="shared" si="11"/>
        <v>0</v>
      </c>
      <c r="AD62" s="80">
        <f t="shared" si="19"/>
        <v>0</v>
      </c>
      <c r="AE62" s="80"/>
      <c r="AF62" s="80"/>
      <c r="AG62" s="80"/>
      <c r="AH62" s="326">
        <f t="shared" si="13"/>
        <v>0</v>
      </c>
      <c r="AI62" s="326">
        <f t="shared" si="14"/>
        <v>0</v>
      </c>
      <c r="AJ62" s="326">
        <f t="shared" si="15"/>
        <v>0</v>
      </c>
      <c r="AK62" s="326">
        <f t="shared" si="16"/>
        <v>0</v>
      </c>
      <c r="AL62" s="326"/>
      <c r="AM62" s="326"/>
      <c r="AN62" s="326"/>
      <c r="AO62" s="326"/>
      <c r="AP62" s="326"/>
      <c r="AQ62" s="326"/>
      <c r="AR62" s="327">
        <f>VLOOKUP(C62,'[1]DA HET SAN XUAT'!$D$8:$AJ$419,33,0)</f>
        <v>0</v>
      </c>
      <c r="AS62" s="209"/>
      <c r="AT62" s="411"/>
      <c r="AU62" s="411"/>
    </row>
    <row r="63" spans="1:47" s="412" customFormat="1" ht="18.75" customHeight="1">
      <c r="A63" s="167">
        <v>51</v>
      </c>
      <c r="B63" s="79" t="str">
        <f>IFERROR(VLOOKUP(A63,O.B.JUNE!$A$7:$C$448,2,0),0)</f>
        <v>ALFANI</v>
      </c>
      <c r="C63" s="174" t="str">
        <f>IFERROR(VLOOKUP(A63,O.B.JUNE!$A$7:$C$448,3,0),0)</f>
        <v>7D902</v>
      </c>
      <c r="D63" s="80">
        <f t="shared" si="5"/>
        <v>0</v>
      </c>
      <c r="E63" s="80">
        <f>IFERROR(VLOOKUP(C63,O.B.JUNE!$C$7:$D$448,2,0),0)</f>
        <v>0</v>
      </c>
      <c r="F63" s="80">
        <v>0</v>
      </c>
      <c r="G63" s="80">
        <f>IFERROR(VLOOKUP(C63,O.B.JUNE!$C$7:$E$448,3,0),0)</f>
        <v>92</v>
      </c>
      <c r="H63" s="80">
        <f t="shared" si="6"/>
        <v>0</v>
      </c>
      <c r="I63" s="80"/>
      <c r="J63" s="80">
        <f t="shared" si="7"/>
        <v>0</v>
      </c>
      <c r="K63" s="80">
        <v>0</v>
      </c>
      <c r="L63" s="80">
        <v>0</v>
      </c>
      <c r="M63" s="81">
        <f t="shared" si="8"/>
        <v>92</v>
      </c>
      <c r="N63" s="81">
        <v>0</v>
      </c>
      <c r="O63" s="81">
        <v>0</v>
      </c>
      <c r="P63" s="81">
        <f t="shared" si="1"/>
        <v>92</v>
      </c>
      <c r="Q63" s="80">
        <f>IFERROR(VLOOKUP(C63,O.B.JUNE!$C$7:$K$448,7,0),0)</f>
        <v>0</v>
      </c>
      <c r="R63" s="80">
        <f>IFERROR(VLOOKUP(C63,O.B.JUNE!$C$7:$J$448,8,0),0)</f>
        <v>0</v>
      </c>
      <c r="S63" s="323">
        <f t="shared" si="17"/>
        <v>0</v>
      </c>
      <c r="T63" s="324">
        <v>0</v>
      </c>
      <c r="U63" s="324"/>
      <c r="V63" s="80"/>
      <c r="W63" s="324">
        <v>0</v>
      </c>
      <c r="X63" s="324"/>
      <c r="Y63" s="324">
        <v>0</v>
      </c>
      <c r="Z63" s="80">
        <v>0</v>
      </c>
      <c r="AA63" s="80">
        <f t="shared" si="9"/>
        <v>0</v>
      </c>
      <c r="AB63" s="323">
        <f t="shared" si="10"/>
        <v>0</v>
      </c>
      <c r="AC63" s="80">
        <f t="shared" si="11"/>
        <v>0</v>
      </c>
      <c r="AD63" s="80">
        <f t="shared" si="19"/>
        <v>0</v>
      </c>
      <c r="AE63" s="80"/>
      <c r="AF63" s="80"/>
      <c r="AG63" s="80"/>
      <c r="AH63" s="326">
        <f t="shared" si="13"/>
        <v>0</v>
      </c>
      <c r="AI63" s="326">
        <f t="shared" si="14"/>
        <v>0</v>
      </c>
      <c r="AJ63" s="326">
        <f t="shared" si="15"/>
        <v>0</v>
      </c>
      <c r="AK63" s="326">
        <f t="shared" si="16"/>
        <v>0</v>
      </c>
      <c r="AL63" s="326"/>
      <c r="AM63" s="326"/>
      <c r="AN63" s="326"/>
      <c r="AO63" s="326"/>
      <c r="AP63" s="326"/>
      <c r="AQ63" s="326"/>
      <c r="AR63" s="327">
        <f>VLOOKUP(C63,'[1]DA HET SAN XUAT'!$D$8:$AJ$419,33,0)</f>
        <v>0</v>
      </c>
      <c r="AS63" s="209"/>
      <c r="AT63" s="411"/>
      <c r="AU63" s="411"/>
    </row>
    <row r="64" spans="1:47" s="412" customFormat="1" ht="18.75" customHeight="1">
      <c r="A64" s="167">
        <v>52</v>
      </c>
      <c r="B64" s="79" t="str">
        <f>IFERROR(VLOOKUP(A64,O.B.JUNE!$A$7:$C$448,2,0),0)</f>
        <v>ALFANI</v>
      </c>
      <c r="C64" s="174" t="str">
        <f>IFERROR(VLOOKUP(A64,O.B.JUNE!$A$7:$C$448,3,0),0)</f>
        <v>7N714</v>
      </c>
      <c r="D64" s="80">
        <f t="shared" si="5"/>
        <v>0</v>
      </c>
      <c r="E64" s="80">
        <f>IFERROR(VLOOKUP(C64,O.B.JUNE!$C$7:$D$448,2,0),0)</f>
        <v>0</v>
      </c>
      <c r="F64" s="80">
        <v>0</v>
      </c>
      <c r="G64" s="80">
        <f>IFERROR(VLOOKUP(C64,O.B.JUNE!$C$7:$E$448,3,0),0)</f>
        <v>100</v>
      </c>
      <c r="H64" s="80">
        <f t="shared" si="6"/>
        <v>0</v>
      </c>
      <c r="I64" s="80"/>
      <c r="J64" s="80">
        <f t="shared" si="7"/>
        <v>100</v>
      </c>
      <c r="K64" s="80">
        <v>0</v>
      </c>
      <c r="L64" s="80">
        <v>0</v>
      </c>
      <c r="M64" s="81">
        <f t="shared" si="8"/>
        <v>0</v>
      </c>
      <c r="N64" s="81">
        <v>0</v>
      </c>
      <c r="O64" s="81">
        <v>0</v>
      </c>
      <c r="P64" s="81">
        <f t="shared" ref="P64:P65" si="27">+M64-N64-O64</f>
        <v>0</v>
      </c>
      <c r="Q64" s="80">
        <f>IFERROR(VLOOKUP(C64,O.B.JUNE!$C$7:$K$448,7,0),0)</f>
        <v>0</v>
      </c>
      <c r="R64" s="80">
        <f>IFERROR(VLOOKUP(C64,O.B.JUNE!$C$7:$J$448,8,0),0)</f>
        <v>0</v>
      </c>
      <c r="S64" s="323">
        <f t="shared" si="17"/>
        <v>100</v>
      </c>
      <c r="T64" s="324">
        <v>0</v>
      </c>
      <c r="U64" s="324">
        <v>100</v>
      </c>
      <c r="V64" s="80"/>
      <c r="W64" s="324">
        <v>0</v>
      </c>
      <c r="X64" s="324"/>
      <c r="Y64" s="324">
        <v>0</v>
      </c>
      <c r="Z64" s="80">
        <v>0</v>
      </c>
      <c r="AA64" s="80">
        <f t="shared" si="9"/>
        <v>100</v>
      </c>
      <c r="AB64" s="323">
        <f t="shared" si="10"/>
        <v>0</v>
      </c>
      <c r="AC64" s="80">
        <f t="shared" si="11"/>
        <v>100</v>
      </c>
      <c r="AD64" s="80">
        <f t="shared" si="19"/>
        <v>100</v>
      </c>
      <c r="AE64" s="80"/>
      <c r="AF64" s="80"/>
      <c r="AG64" s="80"/>
      <c r="AH64" s="326">
        <f t="shared" si="13"/>
        <v>0</v>
      </c>
      <c r="AI64" s="326">
        <f t="shared" si="14"/>
        <v>0</v>
      </c>
      <c r="AJ64" s="326">
        <f t="shared" si="15"/>
        <v>0</v>
      </c>
      <c r="AK64" s="326">
        <f t="shared" si="16"/>
        <v>0</v>
      </c>
      <c r="AL64" s="326"/>
      <c r="AM64" s="326"/>
      <c r="AN64" s="326"/>
      <c r="AO64" s="326"/>
      <c r="AP64" s="326"/>
      <c r="AQ64" s="326"/>
      <c r="AR64" s="327"/>
      <c r="AS64" s="504" t="s">
        <v>658</v>
      </c>
      <c r="AT64" s="411"/>
      <c r="AU64" s="411"/>
    </row>
    <row r="65" spans="1:47" s="412" customFormat="1" ht="18.75" customHeight="1">
      <c r="A65" s="167">
        <v>53</v>
      </c>
      <c r="B65" s="79" t="str">
        <f>IFERROR(VLOOKUP(A65,O.B.JUNE!$A$7:$C$448,2,0),0)</f>
        <v>ANN TAYLOR</v>
      </c>
      <c r="C65" s="174">
        <f>IFERROR(VLOOKUP(A65,O.B.JUNE!$A$7:$C$448,3,0),0)</f>
        <v>448556</v>
      </c>
      <c r="D65" s="80">
        <f t="shared" si="5"/>
        <v>0</v>
      </c>
      <c r="E65" s="80">
        <f>IFERROR(VLOOKUP(C65,O.B.JUNE!$C$7:$D$448,2,0),0)</f>
        <v>0</v>
      </c>
      <c r="F65" s="80">
        <v>0</v>
      </c>
      <c r="G65" s="80">
        <f>IFERROR(VLOOKUP(C65,O.B.JUNE!$C$7:$E$448,3,0),0)</f>
        <v>56</v>
      </c>
      <c r="H65" s="80">
        <f t="shared" si="6"/>
        <v>0</v>
      </c>
      <c r="I65" s="80"/>
      <c r="J65" s="80">
        <f t="shared" si="7"/>
        <v>56</v>
      </c>
      <c r="K65" s="80">
        <v>0</v>
      </c>
      <c r="L65" s="80">
        <v>0</v>
      </c>
      <c r="M65" s="81">
        <f t="shared" si="8"/>
        <v>0</v>
      </c>
      <c r="N65" s="81">
        <v>0</v>
      </c>
      <c r="O65" s="81">
        <v>0</v>
      </c>
      <c r="P65" s="81">
        <f t="shared" si="27"/>
        <v>0</v>
      </c>
      <c r="Q65" s="80">
        <f>IFERROR(VLOOKUP(C65,O.B.JUNE!$C$7:$K$448,7,0),0)</f>
        <v>0</v>
      </c>
      <c r="R65" s="80">
        <f>IFERROR(VLOOKUP(C65,O.B.JUNE!$C$7:$J$448,8,0),0)</f>
        <v>0</v>
      </c>
      <c r="S65" s="323">
        <f t="shared" si="17"/>
        <v>56</v>
      </c>
      <c r="T65" s="324">
        <v>0</v>
      </c>
      <c r="U65" s="324">
        <v>56</v>
      </c>
      <c r="V65" s="80"/>
      <c r="W65" s="324">
        <v>0</v>
      </c>
      <c r="X65" s="324"/>
      <c r="Y65" s="324">
        <v>0</v>
      </c>
      <c r="Z65" s="80">
        <v>0</v>
      </c>
      <c r="AA65" s="80">
        <f t="shared" si="9"/>
        <v>56</v>
      </c>
      <c r="AB65" s="323">
        <f t="shared" si="10"/>
        <v>0</v>
      </c>
      <c r="AC65" s="80">
        <f t="shared" si="11"/>
        <v>56</v>
      </c>
      <c r="AD65" s="80">
        <f t="shared" si="19"/>
        <v>56</v>
      </c>
      <c r="AE65" s="80"/>
      <c r="AF65" s="80"/>
      <c r="AG65" s="80"/>
      <c r="AH65" s="326">
        <f t="shared" si="13"/>
        <v>0</v>
      </c>
      <c r="AI65" s="326">
        <f t="shared" si="14"/>
        <v>0</v>
      </c>
      <c r="AJ65" s="326">
        <f t="shared" si="15"/>
        <v>0</v>
      </c>
      <c r="AK65" s="326">
        <f t="shared" si="16"/>
        <v>0</v>
      </c>
      <c r="AL65" s="326"/>
      <c r="AM65" s="326"/>
      <c r="AN65" s="326"/>
      <c r="AO65" s="326"/>
      <c r="AP65" s="326"/>
      <c r="AQ65" s="326"/>
      <c r="AR65" s="327"/>
      <c r="AS65" s="504" t="s">
        <v>658</v>
      </c>
      <c r="AT65" s="411"/>
      <c r="AU65" s="411"/>
    </row>
    <row r="66" spans="1:47" s="412" customFormat="1" ht="18.75" customHeight="1">
      <c r="A66" s="167">
        <v>54</v>
      </c>
      <c r="B66" s="79" t="str">
        <f>IFERROR(VLOOKUP(A66,O.B.JUNE!$A$7:$C$448,2,0),0)</f>
        <v>ANN TAYLOR</v>
      </c>
      <c r="C66" s="174">
        <f>IFERROR(VLOOKUP(A66,O.B.JUNE!$A$7:$C$448,3,0),0)</f>
        <v>454819</v>
      </c>
      <c r="D66" s="80">
        <f t="shared" si="5"/>
        <v>0</v>
      </c>
      <c r="E66" s="80">
        <f>IFERROR(VLOOKUP(C66,O.B.JUNE!$C$7:$D$448,2,0),0)</f>
        <v>0</v>
      </c>
      <c r="F66" s="80">
        <v>0</v>
      </c>
      <c r="G66" s="80">
        <f>IFERROR(VLOOKUP(C66,O.B.JUNE!$C$7:$E$448,3,0),0)</f>
        <v>121</v>
      </c>
      <c r="H66" s="80">
        <f t="shared" si="6"/>
        <v>0</v>
      </c>
      <c r="I66" s="80"/>
      <c r="J66" s="80">
        <f t="shared" si="7"/>
        <v>121</v>
      </c>
      <c r="K66" s="80">
        <v>0</v>
      </c>
      <c r="L66" s="80">
        <v>0</v>
      </c>
      <c r="M66" s="81">
        <f t="shared" si="8"/>
        <v>0</v>
      </c>
      <c r="N66" s="81">
        <v>0</v>
      </c>
      <c r="O66" s="81">
        <v>0</v>
      </c>
      <c r="P66" s="81">
        <f t="shared" si="1"/>
        <v>0</v>
      </c>
      <c r="Q66" s="80">
        <f>IFERROR(VLOOKUP(C66,O.B.JUNE!$C$7:$K$448,7,0),0)</f>
        <v>0</v>
      </c>
      <c r="R66" s="80">
        <f>IFERROR(VLOOKUP(C66,O.B.JUNE!$C$7:$J$448,8,0),0)</f>
        <v>0</v>
      </c>
      <c r="S66" s="323">
        <f t="shared" si="17"/>
        <v>121</v>
      </c>
      <c r="T66" s="324">
        <v>0</v>
      </c>
      <c r="U66" s="324">
        <v>121</v>
      </c>
      <c r="V66" s="80"/>
      <c r="W66" s="324">
        <v>0</v>
      </c>
      <c r="X66" s="324"/>
      <c r="Y66" s="324">
        <v>0</v>
      </c>
      <c r="Z66" s="80">
        <v>0</v>
      </c>
      <c r="AA66" s="80">
        <f t="shared" si="9"/>
        <v>121</v>
      </c>
      <c r="AB66" s="323">
        <f t="shared" si="10"/>
        <v>0</v>
      </c>
      <c r="AC66" s="80">
        <f t="shared" si="11"/>
        <v>121</v>
      </c>
      <c r="AD66" s="80">
        <f t="shared" si="19"/>
        <v>121</v>
      </c>
      <c r="AE66" s="80"/>
      <c r="AF66" s="80"/>
      <c r="AG66" s="80"/>
      <c r="AH66" s="326">
        <f t="shared" si="13"/>
        <v>0</v>
      </c>
      <c r="AI66" s="326">
        <f t="shared" si="14"/>
        <v>0</v>
      </c>
      <c r="AJ66" s="326">
        <f t="shared" si="15"/>
        <v>0</v>
      </c>
      <c r="AK66" s="326">
        <f t="shared" si="16"/>
        <v>0</v>
      </c>
      <c r="AL66" s="326"/>
      <c r="AM66" s="326"/>
      <c r="AN66" s="326"/>
      <c r="AO66" s="326"/>
      <c r="AP66" s="326"/>
      <c r="AQ66" s="326"/>
      <c r="AR66" s="327"/>
      <c r="AS66" s="504" t="s">
        <v>658</v>
      </c>
      <c r="AT66" s="411"/>
      <c r="AU66" s="411"/>
    </row>
    <row r="67" spans="1:47" s="412" customFormat="1" ht="18.75" customHeight="1">
      <c r="A67" s="167">
        <v>55</v>
      </c>
      <c r="B67" s="79" t="str">
        <f>IFERROR(VLOOKUP(A67,O.B.JUNE!$A$7:$C$448,2,0),0)</f>
        <v>ANN TAYLOR</v>
      </c>
      <c r="C67" s="174">
        <f>IFERROR(VLOOKUP(A67,O.B.JUNE!$A$7:$C$448,3,0),0)</f>
        <v>457050</v>
      </c>
      <c r="D67" s="80">
        <f t="shared" si="5"/>
        <v>0</v>
      </c>
      <c r="E67" s="80">
        <f>IFERROR(VLOOKUP(C67,O.B.JUNE!$C$7:$D$448,2,0),0)</f>
        <v>0</v>
      </c>
      <c r="F67" s="80">
        <v>0</v>
      </c>
      <c r="G67" s="80">
        <f>IFERROR(VLOOKUP(C67,O.B.JUNE!$C$7:$E$448,3,0),0)</f>
        <v>262</v>
      </c>
      <c r="H67" s="80">
        <f t="shared" si="6"/>
        <v>0</v>
      </c>
      <c r="I67" s="80"/>
      <c r="J67" s="80">
        <f t="shared" si="7"/>
        <v>0</v>
      </c>
      <c r="K67" s="80">
        <v>0</v>
      </c>
      <c r="L67" s="80">
        <v>0</v>
      </c>
      <c r="M67" s="81">
        <f t="shared" si="8"/>
        <v>262</v>
      </c>
      <c r="N67" s="81">
        <v>0</v>
      </c>
      <c r="O67" s="81">
        <v>0</v>
      </c>
      <c r="P67" s="81">
        <f t="shared" si="1"/>
        <v>262</v>
      </c>
      <c r="Q67" s="80">
        <f>IFERROR(VLOOKUP(C67,O.B.JUNE!$C$7:$K$448,7,0),0)</f>
        <v>0</v>
      </c>
      <c r="R67" s="80">
        <f>IFERROR(VLOOKUP(C67,O.B.JUNE!$C$7:$J$448,8,0),0)</f>
        <v>0</v>
      </c>
      <c r="S67" s="323">
        <f t="shared" si="17"/>
        <v>0</v>
      </c>
      <c r="T67" s="324">
        <v>0</v>
      </c>
      <c r="U67" s="324"/>
      <c r="V67" s="80"/>
      <c r="W67" s="324">
        <v>0</v>
      </c>
      <c r="X67" s="324"/>
      <c r="Y67" s="324">
        <v>0</v>
      </c>
      <c r="Z67" s="80">
        <v>0</v>
      </c>
      <c r="AA67" s="80">
        <f t="shared" si="9"/>
        <v>0</v>
      </c>
      <c r="AB67" s="323">
        <f t="shared" si="10"/>
        <v>0</v>
      </c>
      <c r="AC67" s="80">
        <f t="shared" si="11"/>
        <v>0</v>
      </c>
      <c r="AD67" s="80">
        <f t="shared" si="19"/>
        <v>0</v>
      </c>
      <c r="AE67" s="80"/>
      <c r="AF67" s="80"/>
      <c r="AG67" s="80"/>
      <c r="AH67" s="326">
        <f t="shared" si="13"/>
        <v>0</v>
      </c>
      <c r="AI67" s="326">
        <f t="shared" si="14"/>
        <v>0</v>
      </c>
      <c r="AJ67" s="326">
        <f t="shared" si="15"/>
        <v>0</v>
      </c>
      <c r="AK67" s="326">
        <f t="shared" si="16"/>
        <v>0</v>
      </c>
      <c r="AL67" s="326"/>
      <c r="AM67" s="326"/>
      <c r="AN67" s="326"/>
      <c r="AO67" s="326"/>
      <c r="AP67" s="326"/>
      <c r="AQ67" s="326"/>
      <c r="AR67" s="327"/>
      <c r="AS67" s="504" t="s">
        <v>658</v>
      </c>
      <c r="AT67" s="411"/>
      <c r="AU67" s="411"/>
    </row>
    <row r="68" spans="1:47" s="412" customFormat="1" ht="18.75" customHeight="1">
      <c r="A68" s="167">
        <v>56</v>
      </c>
      <c r="B68" s="79" t="str">
        <f>IFERROR(VLOOKUP(A68,O.B.JUNE!$A$7:$C$448,2,0),0)</f>
        <v>INC</v>
      </c>
      <c r="C68" s="174">
        <f>IFERROR(VLOOKUP(A68,O.B.JUNE!$A$7:$C$448,3,0),0)</f>
        <v>100007750</v>
      </c>
      <c r="D68" s="80">
        <f t="shared" si="5"/>
        <v>0</v>
      </c>
      <c r="E68" s="80">
        <f>IFERROR(VLOOKUP(C68,O.B.JUNE!$C$7:$D$448,2,0),0)</f>
        <v>0</v>
      </c>
      <c r="F68" s="80">
        <v>0</v>
      </c>
      <c r="G68" s="80">
        <f>IFERROR(VLOOKUP(C68,O.B.JUNE!$C$7:$E$448,3,0),0)</f>
        <v>42</v>
      </c>
      <c r="H68" s="80">
        <f t="shared" si="6"/>
        <v>0</v>
      </c>
      <c r="I68" s="80"/>
      <c r="J68" s="80">
        <f t="shared" si="7"/>
        <v>42</v>
      </c>
      <c r="K68" s="80">
        <v>0</v>
      </c>
      <c r="L68" s="80">
        <v>0</v>
      </c>
      <c r="M68" s="81">
        <f t="shared" si="8"/>
        <v>0</v>
      </c>
      <c r="N68" s="81">
        <v>0</v>
      </c>
      <c r="O68" s="81">
        <v>0</v>
      </c>
      <c r="P68" s="81">
        <f t="shared" si="1"/>
        <v>0</v>
      </c>
      <c r="Q68" s="80">
        <f>IFERROR(VLOOKUP(C68,O.B.JUNE!$C$7:$K$448,7,0),0)</f>
        <v>0</v>
      </c>
      <c r="R68" s="80">
        <f>IFERROR(VLOOKUP(C68,O.B.JUNE!$C$7:$J$448,8,0),0)</f>
        <v>0</v>
      </c>
      <c r="S68" s="323">
        <f t="shared" si="17"/>
        <v>42</v>
      </c>
      <c r="T68" s="324">
        <v>0</v>
      </c>
      <c r="U68" s="324">
        <v>42</v>
      </c>
      <c r="V68" s="80"/>
      <c r="W68" s="324">
        <v>0</v>
      </c>
      <c r="X68" s="324"/>
      <c r="Y68" s="324">
        <v>0</v>
      </c>
      <c r="Z68" s="80">
        <v>0</v>
      </c>
      <c r="AA68" s="80">
        <f t="shared" si="9"/>
        <v>42</v>
      </c>
      <c r="AB68" s="323">
        <f t="shared" si="10"/>
        <v>0</v>
      </c>
      <c r="AC68" s="80">
        <f t="shared" si="11"/>
        <v>42</v>
      </c>
      <c r="AD68" s="80">
        <f t="shared" si="19"/>
        <v>42</v>
      </c>
      <c r="AE68" s="80"/>
      <c r="AF68" s="80"/>
      <c r="AG68" s="80"/>
      <c r="AH68" s="326">
        <f t="shared" si="13"/>
        <v>0</v>
      </c>
      <c r="AI68" s="326">
        <f t="shared" si="14"/>
        <v>0</v>
      </c>
      <c r="AJ68" s="326">
        <f t="shared" si="15"/>
        <v>0</v>
      </c>
      <c r="AK68" s="326">
        <f t="shared" si="16"/>
        <v>0</v>
      </c>
      <c r="AL68" s="326"/>
      <c r="AM68" s="326"/>
      <c r="AN68" s="326"/>
      <c r="AO68" s="326"/>
      <c r="AP68" s="326"/>
      <c r="AQ68" s="326"/>
      <c r="AR68" s="327">
        <f>VLOOKUP(C68,'[1]DA HET SAN XUAT'!$D$8:$AJ$419,33,0)</f>
        <v>0</v>
      </c>
      <c r="AS68" s="504" t="s">
        <v>658</v>
      </c>
      <c r="AT68" s="411"/>
      <c r="AU68" s="411"/>
    </row>
    <row r="69" spans="1:47" s="412" customFormat="1" ht="18.75" customHeight="1">
      <c r="A69" s="167">
        <v>57</v>
      </c>
      <c r="B69" s="79" t="str">
        <f>IFERROR(VLOOKUP(A69,O.B.JUNE!$A$7:$C$448,2,0),0)</f>
        <v>INC</v>
      </c>
      <c r="C69" s="174">
        <f>IFERROR(VLOOKUP(A69,O.B.JUNE!$A$7:$C$448,3,0),0)</f>
        <v>100008168</v>
      </c>
      <c r="D69" s="80">
        <f t="shared" si="5"/>
        <v>0</v>
      </c>
      <c r="E69" s="80">
        <f>IFERROR(VLOOKUP(C69,O.B.JUNE!$C$7:$D$448,2,0),0)</f>
        <v>0</v>
      </c>
      <c r="F69" s="80">
        <v>0</v>
      </c>
      <c r="G69" s="80">
        <f>IFERROR(VLOOKUP(C69,O.B.JUNE!$C$7:$E$448,3,0),0)</f>
        <v>94</v>
      </c>
      <c r="H69" s="80">
        <f t="shared" si="6"/>
        <v>0</v>
      </c>
      <c r="I69" s="80"/>
      <c r="J69" s="80">
        <f t="shared" si="7"/>
        <v>94</v>
      </c>
      <c r="K69" s="80">
        <v>0</v>
      </c>
      <c r="L69" s="80">
        <v>0</v>
      </c>
      <c r="M69" s="81">
        <f t="shared" si="8"/>
        <v>0</v>
      </c>
      <c r="N69" s="81">
        <v>0</v>
      </c>
      <c r="O69" s="81">
        <v>0</v>
      </c>
      <c r="P69" s="81">
        <f t="shared" si="1"/>
        <v>0</v>
      </c>
      <c r="Q69" s="80">
        <f>IFERROR(VLOOKUP(C69,O.B.JUNE!$C$7:$K$448,7,0),0)</f>
        <v>0</v>
      </c>
      <c r="R69" s="80">
        <f>IFERROR(VLOOKUP(C69,O.B.JUNE!$C$7:$J$448,8,0),0)</f>
        <v>0</v>
      </c>
      <c r="S69" s="323">
        <f t="shared" si="17"/>
        <v>94</v>
      </c>
      <c r="T69" s="324">
        <v>0</v>
      </c>
      <c r="U69" s="324">
        <v>94</v>
      </c>
      <c r="V69" s="80"/>
      <c r="W69" s="324">
        <v>0</v>
      </c>
      <c r="X69" s="324"/>
      <c r="Y69" s="324">
        <v>0</v>
      </c>
      <c r="Z69" s="80">
        <v>0</v>
      </c>
      <c r="AA69" s="80">
        <f t="shared" si="9"/>
        <v>94</v>
      </c>
      <c r="AB69" s="323">
        <f t="shared" si="10"/>
        <v>0</v>
      </c>
      <c r="AC69" s="80">
        <f t="shared" si="11"/>
        <v>94</v>
      </c>
      <c r="AD69" s="80">
        <f t="shared" si="19"/>
        <v>94</v>
      </c>
      <c r="AE69" s="80"/>
      <c r="AF69" s="80"/>
      <c r="AG69" s="80"/>
      <c r="AH69" s="326">
        <f t="shared" si="13"/>
        <v>0</v>
      </c>
      <c r="AI69" s="326">
        <f t="shared" si="14"/>
        <v>0</v>
      </c>
      <c r="AJ69" s="326">
        <f t="shared" si="15"/>
        <v>0</v>
      </c>
      <c r="AK69" s="326">
        <f t="shared" si="16"/>
        <v>0</v>
      </c>
      <c r="AL69" s="326"/>
      <c r="AM69" s="326"/>
      <c r="AN69" s="326"/>
      <c r="AO69" s="326"/>
      <c r="AP69" s="326"/>
      <c r="AQ69" s="326"/>
      <c r="AR69" s="327"/>
      <c r="AS69" s="504" t="s">
        <v>658</v>
      </c>
      <c r="AT69" s="411"/>
      <c r="AU69" s="411"/>
    </row>
    <row r="70" spans="1:47" s="412" customFormat="1" ht="18.75" customHeight="1">
      <c r="A70" s="167">
        <v>58</v>
      </c>
      <c r="B70" s="79" t="str">
        <f>IFERROR(VLOOKUP(A70,O.B.JUNE!$A$7:$C$448,2,0),0)</f>
        <v>INC</v>
      </c>
      <c r="C70" s="174" t="str">
        <f>IFERROR(VLOOKUP(A70,O.B.JUNE!$A$7:$C$448,3,0),0)</f>
        <v>10010195(7D324)</v>
      </c>
      <c r="D70" s="80">
        <f t="shared" si="5"/>
        <v>0</v>
      </c>
      <c r="E70" s="80">
        <f>IFERROR(VLOOKUP(C70,O.B.JUNE!$C$7:$D$448,2,0),0)</f>
        <v>0</v>
      </c>
      <c r="F70" s="80">
        <v>0</v>
      </c>
      <c r="G70" s="80">
        <f>IFERROR(VLOOKUP(C70,O.B.JUNE!$C$7:$E$448,3,0),0)</f>
        <v>48</v>
      </c>
      <c r="H70" s="80">
        <f t="shared" si="6"/>
        <v>0</v>
      </c>
      <c r="I70" s="80"/>
      <c r="J70" s="80">
        <f t="shared" si="7"/>
        <v>48</v>
      </c>
      <c r="K70" s="80">
        <v>0</v>
      </c>
      <c r="L70" s="80">
        <v>0</v>
      </c>
      <c r="M70" s="81">
        <f t="shared" si="8"/>
        <v>0</v>
      </c>
      <c r="N70" s="81">
        <v>0</v>
      </c>
      <c r="O70" s="81">
        <v>0</v>
      </c>
      <c r="P70" s="81">
        <f t="shared" si="1"/>
        <v>0</v>
      </c>
      <c r="Q70" s="80">
        <f>IFERROR(VLOOKUP(C70,O.B.JUNE!$C$7:$K$448,7,0),0)</f>
        <v>0</v>
      </c>
      <c r="R70" s="80">
        <f>IFERROR(VLOOKUP(C70,O.B.JUNE!$C$7:$J$448,8,0),0)</f>
        <v>0</v>
      </c>
      <c r="S70" s="323">
        <f t="shared" si="17"/>
        <v>48</v>
      </c>
      <c r="T70" s="324">
        <v>0</v>
      </c>
      <c r="U70" s="324">
        <v>48</v>
      </c>
      <c r="V70" s="80"/>
      <c r="W70" s="324">
        <v>0</v>
      </c>
      <c r="X70" s="324"/>
      <c r="Y70" s="324">
        <v>0</v>
      </c>
      <c r="Z70" s="80">
        <v>0</v>
      </c>
      <c r="AA70" s="80">
        <f t="shared" si="9"/>
        <v>48</v>
      </c>
      <c r="AB70" s="323">
        <f t="shared" si="10"/>
        <v>0</v>
      </c>
      <c r="AC70" s="80">
        <f t="shared" si="11"/>
        <v>48</v>
      </c>
      <c r="AD70" s="80">
        <f t="shared" si="19"/>
        <v>48</v>
      </c>
      <c r="AE70" s="80"/>
      <c r="AF70" s="80"/>
      <c r="AG70" s="80"/>
      <c r="AH70" s="326">
        <f t="shared" si="13"/>
        <v>0</v>
      </c>
      <c r="AI70" s="326">
        <f t="shared" si="14"/>
        <v>0</v>
      </c>
      <c r="AJ70" s="326">
        <f t="shared" si="15"/>
        <v>0</v>
      </c>
      <c r="AK70" s="326">
        <f t="shared" si="16"/>
        <v>0</v>
      </c>
      <c r="AL70" s="326"/>
      <c r="AM70" s="326"/>
      <c r="AN70" s="326"/>
      <c r="AO70" s="326"/>
      <c r="AP70" s="326"/>
      <c r="AQ70" s="326"/>
      <c r="AR70" s="327"/>
      <c r="AS70" s="504" t="s">
        <v>658</v>
      </c>
      <c r="AT70" s="411"/>
      <c r="AU70" s="411"/>
    </row>
    <row r="71" spans="1:47" s="412" customFormat="1" ht="18.75" customHeight="1">
      <c r="A71" s="167">
        <v>59</v>
      </c>
      <c r="B71" s="79" t="str">
        <f>IFERROR(VLOOKUP(A71,O.B.JUNE!$A$7:$C$448,2,0),0)</f>
        <v>INC</v>
      </c>
      <c r="C71" s="174" t="str">
        <f>IFERROR(VLOOKUP(A71,O.B.JUNE!$A$7:$C$448,3,0),0)</f>
        <v>6D398</v>
      </c>
      <c r="D71" s="80">
        <f t="shared" si="5"/>
        <v>10072</v>
      </c>
      <c r="E71" s="80">
        <f>IFERROR(VLOOKUP(C71,O.B.JUNE!$C$7:$D$448,2,0),0)</f>
        <v>11576</v>
      </c>
      <c r="F71" s="80">
        <f>VLOOKUP(C71,'CUTTING ON JUNE'!$A$4:$D$316,3,0)</f>
        <v>21648</v>
      </c>
      <c r="G71" s="80">
        <f>IFERROR(VLOOKUP(C71,O.B.JUNE!$C$7:$E$448,3,0),0)</f>
        <v>3546</v>
      </c>
      <c r="H71" s="80">
        <f t="shared" si="6"/>
        <v>10072</v>
      </c>
      <c r="I71" s="80"/>
      <c r="J71" s="80">
        <f t="shared" si="7"/>
        <v>10137</v>
      </c>
      <c r="K71" s="80">
        <v>0</v>
      </c>
      <c r="L71" s="80">
        <v>0</v>
      </c>
      <c r="M71" s="81">
        <f t="shared" si="8"/>
        <v>3481</v>
      </c>
      <c r="N71" s="81">
        <v>930</v>
      </c>
      <c r="O71" s="81">
        <v>1829</v>
      </c>
      <c r="P71" s="81">
        <f t="shared" si="1"/>
        <v>722</v>
      </c>
      <c r="Q71" s="80">
        <f>IFERROR(VLOOKUP(C71,O.B.JUNE!$C$7:$K$448,7,0),0)</f>
        <v>5150</v>
      </c>
      <c r="R71" s="80">
        <f>IFERROR(VLOOKUP(C71,O.B.JUNE!$C$7:$J$448,8,0),0)</f>
        <v>0</v>
      </c>
      <c r="S71" s="323">
        <f t="shared" si="17"/>
        <v>15287</v>
      </c>
      <c r="T71" s="324">
        <v>10137</v>
      </c>
      <c r="U71" s="324"/>
      <c r="V71" s="80"/>
      <c r="W71" s="324">
        <v>9000</v>
      </c>
      <c r="X71" s="324"/>
      <c r="Y71" s="324">
        <v>0</v>
      </c>
      <c r="Z71" s="80">
        <v>123</v>
      </c>
      <c r="AA71" s="80">
        <f t="shared" si="9"/>
        <v>10137</v>
      </c>
      <c r="AB71" s="323">
        <f t="shared" si="10"/>
        <v>6164</v>
      </c>
      <c r="AC71" s="80">
        <f t="shared" si="11"/>
        <v>123</v>
      </c>
      <c r="AD71" s="80">
        <f t="shared" si="19"/>
        <v>6287</v>
      </c>
      <c r="AE71" s="80"/>
      <c r="AF71" s="80"/>
      <c r="AG71" s="80"/>
      <c r="AH71" s="326">
        <f t="shared" si="13"/>
        <v>0</v>
      </c>
      <c r="AI71" s="326">
        <f t="shared" si="14"/>
        <v>0</v>
      </c>
      <c r="AJ71" s="326">
        <f t="shared" si="15"/>
        <v>0</v>
      </c>
      <c r="AK71" s="326">
        <f t="shared" si="16"/>
        <v>0</v>
      </c>
      <c r="AL71" s="326"/>
      <c r="AM71" s="326"/>
      <c r="AN71" s="326"/>
      <c r="AO71" s="326"/>
      <c r="AP71" s="326"/>
      <c r="AQ71" s="326"/>
      <c r="AR71" s="327"/>
      <c r="AS71" s="209"/>
      <c r="AT71" s="411"/>
      <c r="AU71" s="411"/>
    </row>
    <row r="72" spans="1:47" s="412" customFormat="1" ht="18.75" customHeight="1">
      <c r="A72" s="167">
        <v>60</v>
      </c>
      <c r="B72" s="79" t="str">
        <f>IFERROR(VLOOKUP(A72,O.B.JUNE!$A$7:$C$448,2,0),0)</f>
        <v>INC</v>
      </c>
      <c r="C72" s="174" t="str">
        <f>IFERROR(VLOOKUP(A72,O.B.JUNE!$A$7:$C$448,3,0),0)</f>
        <v>7D320(100010192)</v>
      </c>
      <c r="D72" s="80">
        <f t="shared" si="5"/>
        <v>0</v>
      </c>
      <c r="E72" s="80">
        <f>IFERROR(VLOOKUP(C72,O.B.JUNE!$C$7:$D$448,2,0),0)</f>
        <v>0</v>
      </c>
      <c r="F72" s="80">
        <v>0</v>
      </c>
      <c r="G72" s="80">
        <f>IFERROR(VLOOKUP(C72,O.B.JUNE!$C$7:$E$448,3,0),0)</f>
        <v>73</v>
      </c>
      <c r="H72" s="80">
        <f t="shared" si="6"/>
        <v>0</v>
      </c>
      <c r="I72" s="80"/>
      <c r="J72" s="80">
        <f t="shared" si="7"/>
        <v>73</v>
      </c>
      <c r="K72" s="80">
        <v>0</v>
      </c>
      <c r="L72" s="80">
        <v>0</v>
      </c>
      <c r="M72" s="81">
        <f t="shared" si="8"/>
        <v>0</v>
      </c>
      <c r="N72" s="81">
        <v>0</v>
      </c>
      <c r="O72" s="81">
        <v>0</v>
      </c>
      <c r="P72" s="81">
        <f t="shared" si="1"/>
        <v>0</v>
      </c>
      <c r="Q72" s="80">
        <f>IFERROR(VLOOKUP(C72,O.B.JUNE!$C$7:$K$448,7,0),0)</f>
        <v>0</v>
      </c>
      <c r="R72" s="80">
        <f>IFERROR(VLOOKUP(C72,O.B.JUNE!$C$7:$J$448,8,0),0)</f>
        <v>0</v>
      </c>
      <c r="S72" s="323">
        <f t="shared" si="17"/>
        <v>73</v>
      </c>
      <c r="T72" s="324">
        <v>0</v>
      </c>
      <c r="U72" s="324">
        <v>73</v>
      </c>
      <c r="V72" s="80"/>
      <c r="W72" s="324">
        <v>0</v>
      </c>
      <c r="X72" s="324"/>
      <c r="Y72" s="324">
        <v>0</v>
      </c>
      <c r="Z72" s="80">
        <v>0</v>
      </c>
      <c r="AA72" s="80">
        <f t="shared" si="9"/>
        <v>73</v>
      </c>
      <c r="AB72" s="323">
        <f t="shared" si="10"/>
        <v>0</v>
      </c>
      <c r="AC72" s="80">
        <f t="shared" si="11"/>
        <v>73</v>
      </c>
      <c r="AD72" s="80">
        <f t="shared" si="19"/>
        <v>73</v>
      </c>
      <c r="AE72" s="80"/>
      <c r="AF72" s="80"/>
      <c r="AG72" s="80"/>
      <c r="AH72" s="326">
        <f t="shared" si="13"/>
        <v>0</v>
      </c>
      <c r="AI72" s="326">
        <f t="shared" si="14"/>
        <v>0</v>
      </c>
      <c r="AJ72" s="326">
        <f t="shared" si="15"/>
        <v>0</v>
      </c>
      <c r="AK72" s="326">
        <f t="shared" si="16"/>
        <v>0</v>
      </c>
      <c r="AL72" s="326"/>
      <c r="AM72" s="326"/>
      <c r="AN72" s="326"/>
      <c r="AO72" s="326"/>
      <c r="AP72" s="326"/>
      <c r="AQ72" s="326"/>
      <c r="AR72" s="327"/>
      <c r="AS72" s="504" t="s">
        <v>658</v>
      </c>
      <c r="AT72" s="411"/>
      <c r="AU72" s="411"/>
    </row>
    <row r="73" spans="1:47" s="412" customFormat="1" ht="18.75" customHeight="1">
      <c r="A73" s="167">
        <v>61</v>
      </c>
      <c r="B73" s="79" t="str">
        <f>IFERROR(VLOOKUP(A73,O.B.JUNE!$A$7:$C$448,2,0),0)</f>
        <v>INC</v>
      </c>
      <c r="C73" s="174" t="str">
        <f>IFERROR(VLOOKUP(A73,O.B.JUNE!$A$7:$C$448,3,0),0)</f>
        <v>7D534(100010660)</v>
      </c>
      <c r="D73" s="80">
        <f t="shared" si="5"/>
        <v>0</v>
      </c>
      <c r="E73" s="80">
        <f>IFERROR(VLOOKUP(C73,O.B.JUNE!$C$7:$D$448,2,0),0)</f>
        <v>0</v>
      </c>
      <c r="F73" s="80">
        <v>0</v>
      </c>
      <c r="G73" s="80">
        <f>IFERROR(VLOOKUP(C73,O.B.JUNE!$C$7:$E$448,3,0),0)</f>
        <v>27</v>
      </c>
      <c r="H73" s="80">
        <f t="shared" si="6"/>
        <v>0</v>
      </c>
      <c r="I73" s="80"/>
      <c r="J73" s="80">
        <f t="shared" si="7"/>
        <v>27</v>
      </c>
      <c r="K73" s="80">
        <v>0</v>
      </c>
      <c r="L73" s="80">
        <v>0</v>
      </c>
      <c r="M73" s="81">
        <f t="shared" si="8"/>
        <v>0</v>
      </c>
      <c r="N73" s="81">
        <v>0</v>
      </c>
      <c r="O73" s="81">
        <v>0</v>
      </c>
      <c r="P73" s="81">
        <f t="shared" si="1"/>
        <v>0</v>
      </c>
      <c r="Q73" s="80">
        <f>IFERROR(VLOOKUP(C73,O.B.JUNE!$C$7:$K$448,7,0),0)</f>
        <v>0</v>
      </c>
      <c r="R73" s="80">
        <f>IFERROR(VLOOKUP(C73,O.B.JUNE!$C$7:$J$448,8,0),0)</f>
        <v>0</v>
      </c>
      <c r="S73" s="323">
        <f t="shared" si="17"/>
        <v>27</v>
      </c>
      <c r="T73" s="324">
        <v>0</v>
      </c>
      <c r="U73" s="324">
        <v>27</v>
      </c>
      <c r="V73" s="80"/>
      <c r="W73" s="324">
        <v>0</v>
      </c>
      <c r="X73" s="324"/>
      <c r="Y73" s="324">
        <v>0</v>
      </c>
      <c r="Z73" s="80">
        <v>0</v>
      </c>
      <c r="AA73" s="80">
        <f t="shared" si="9"/>
        <v>27</v>
      </c>
      <c r="AB73" s="323">
        <f t="shared" si="10"/>
        <v>0</v>
      </c>
      <c r="AC73" s="80">
        <f t="shared" si="11"/>
        <v>27</v>
      </c>
      <c r="AD73" s="80">
        <f t="shared" si="19"/>
        <v>27</v>
      </c>
      <c r="AE73" s="80"/>
      <c r="AF73" s="80"/>
      <c r="AG73" s="80"/>
      <c r="AH73" s="326">
        <f t="shared" si="13"/>
        <v>0</v>
      </c>
      <c r="AI73" s="326">
        <f t="shared" si="14"/>
        <v>0</v>
      </c>
      <c r="AJ73" s="326">
        <f t="shared" si="15"/>
        <v>0</v>
      </c>
      <c r="AK73" s="326">
        <f t="shared" si="16"/>
        <v>0</v>
      </c>
      <c r="AL73" s="326"/>
      <c r="AM73" s="326"/>
      <c r="AN73" s="326"/>
      <c r="AO73" s="326"/>
      <c r="AP73" s="326"/>
      <c r="AQ73" s="326"/>
      <c r="AR73" s="327"/>
      <c r="AS73" s="504" t="s">
        <v>658</v>
      </c>
      <c r="AT73" s="411"/>
      <c r="AU73" s="411"/>
    </row>
    <row r="74" spans="1:47" s="412" customFormat="1" ht="18.75" customHeight="1">
      <c r="A74" s="167">
        <v>62</v>
      </c>
      <c r="B74" s="79" t="str">
        <f>IFERROR(VLOOKUP(A74,O.B.JUNE!$A$7:$C$448,2,0),0)</f>
        <v>INC</v>
      </c>
      <c r="C74" s="174" t="str">
        <f>IFERROR(VLOOKUP(A74,O.B.JUNE!$A$7:$C$448,3,0),0)</f>
        <v>7D650(100010275)</v>
      </c>
      <c r="D74" s="80">
        <f t="shared" si="5"/>
        <v>0</v>
      </c>
      <c r="E74" s="80">
        <f>IFERROR(VLOOKUP(C74,O.B.JUNE!$C$7:$D$448,2,0),0)</f>
        <v>0</v>
      </c>
      <c r="F74" s="80">
        <v>0</v>
      </c>
      <c r="G74" s="80">
        <f>IFERROR(VLOOKUP(C74,O.B.JUNE!$C$7:$E$448,3,0),0)</f>
        <v>112</v>
      </c>
      <c r="H74" s="80">
        <f t="shared" si="6"/>
        <v>0</v>
      </c>
      <c r="I74" s="80"/>
      <c r="J74" s="80">
        <f t="shared" si="7"/>
        <v>112</v>
      </c>
      <c r="K74" s="80">
        <v>0</v>
      </c>
      <c r="L74" s="80">
        <v>0</v>
      </c>
      <c r="M74" s="81">
        <f t="shared" si="8"/>
        <v>0</v>
      </c>
      <c r="N74" s="81">
        <v>0</v>
      </c>
      <c r="O74" s="81">
        <v>0</v>
      </c>
      <c r="P74" s="81">
        <f t="shared" si="1"/>
        <v>0</v>
      </c>
      <c r="Q74" s="80">
        <f>IFERROR(VLOOKUP(C74,O.B.JUNE!$C$7:$K$448,7,0),0)</f>
        <v>0</v>
      </c>
      <c r="R74" s="80">
        <f>IFERROR(VLOOKUP(C74,O.B.JUNE!$C$7:$J$448,8,0),0)</f>
        <v>0</v>
      </c>
      <c r="S74" s="323">
        <f t="shared" si="17"/>
        <v>112</v>
      </c>
      <c r="T74" s="324">
        <v>0</v>
      </c>
      <c r="U74" s="324">
        <v>112</v>
      </c>
      <c r="V74" s="80"/>
      <c r="W74" s="324">
        <v>0</v>
      </c>
      <c r="X74" s="324"/>
      <c r="Y74" s="324">
        <v>0</v>
      </c>
      <c r="Z74" s="80">
        <v>0</v>
      </c>
      <c r="AA74" s="80">
        <f t="shared" si="9"/>
        <v>112</v>
      </c>
      <c r="AB74" s="323">
        <f t="shared" si="10"/>
        <v>0</v>
      </c>
      <c r="AC74" s="80">
        <f t="shared" si="11"/>
        <v>112</v>
      </c>
      <c r="AD74" s="80">
        <f t="shared" si="19"/>
        <v>112</v>
      </c>
      <c r="AE74" s="80"/>
      <c r="AF74" s="80"/>
      <c r="AG74" s="80"/>
      <c r="AH74" s="326">
        <f t="shared" si="13"/>
        <v>0</v>
      </c>
      <c r="AI74" s="326">
        <f t="shared" si="14"/>
        <v>0</v>
      </c>
      <c r="AJ74" s="326">
        <f t="shared" si="15"/>
        <v>0</v>
      </c>
      <c r="AK74" s="326">
        <f t="shared" si="16"/>
        <v>0</v>
      </c>
      <c r="AL74" s="326"/>
      <c r="AM74" s="326"/>
      <c r="AN74" s="326"/>
      <c r="AO74" s="326"/>
      <c r="AP74" s="326"/>
      <c r="AQ74" s="326"/>
      <c r="AR74" s="327"/>
      <c r="AS74" s="504" t="s">
        <v>658</v>
      </c>
      <c r="AT74" s="411"/>
      <c r="AU74" s="411"/>
    </row>
    <row r="75" spans="1:47" s="412" customFormat="1" ht="18.75" customHeight="1">
      <c r="A75" s="167">
        <v>63</v>
      </c>
      <c r="B75" s="79" t="str">
        <f>IFERROR(VLOOKUP(A75,O.B.JUNE!$A$7:$C$448,2,0),0)</f>
        <v>INC</v>
      </c>
      <c r="C75" s="174" t="str">
        <f>IFERROR(VLOOKUP(A75,O.B.JUNE!$A$7:$C$448,3,0),0)</f>
        <v>7D664(100007920)</v>
      </c>
      <c r="D75" s="80">
        <f t="shared" si="5"/>
        <v>0</v>
      </c>
      <c r="E75" s="80">
        <f>IFERROR(VLOOKUP(C75,O.B.JUNE!$C$7:$D$448,2,0),0)</f>
        <v>0</v>
      </c>
      <c r="F75" s="80">
        <v>0</v>
      </c>
      <c r="G75" s="80">
        <f>IFERROR(VLOOKUP(C75,O.B.JUNE!$C$7:$E$448,3,0),0)</f>
        <v>46</v>
      </c>
      <c r="H75" s="80">
        <f t="shared" si="6"/>
        <v>0</v>
      </c>
      <c r="I75" s="80"/>
      <c r="J75" s="80">
        <f t="shared" si="7"/>
        <v>46</v>
      </c>
      <c r="K75" s="80">
        <v>0</v>
      </c>
      <c r="L75" s="80">
        <v>0</v>
      </c>
      <c r="M75" s="81">
        <f t="shared" si="8"/>
        <v>0</v>
      </c>
      <c r="N75" s="81">
        <v>0</v>
      </c>
      <c r="O75" s="81">
        <v>0</v>
      </c>
      <c r="P75" s="81">
        <f t="shared" si="1"/>
        <v>0</v>
      </c>
      <c r="Q75" s="80">
        <f>IFERROR(VLOOKUP(C75,O.B.JUNE!$C$7:$K$448,7,0),0)</f>
        <v>0</v>
      </c>
      <c r="R75" s="80">
        <f>IFERROR(VLOOKUP(C75,O.B.JUNE!$C$7:$J$448,8,0),0)</f>
        <v>0</v>
      </c>
      <c r="S75" s="323">
        <f t="shared" si="17"/>
        <v>46</v>
      </c>
      <c r="T75" s="324">
        <v>0</v>
      </c>
      <c r="U75" s="324">
        <v>46</v>
      </c>
      <c r="V75" s="80"/>
      <c r="W75" s="324">
        <v>0</v>
      </c>
      <c r="X75" s="324"/>
      <c r="Y75" s="324">
        <v>0</v>
      </c>
      <c r="Z75" s="80">
        <v>0</v>
      </c>
      <c r="AA75" s="80">
        <f t="shared" si="9"/>
        <v>46</v>
      </c>
      <c r="AB75" s="323">
        <f t="shared" si="10"/>
        <v>0</v>
      </c>
      <c r="AC75" s="80">
        <f t="shared" si="11"/>
        <v>46</v>
      </c>
      <c r="AD75" s="80">
        <f t="shared" si="19"/>
        <v>46</v>
      </c>
      <c r="AE75" s="80"/>
      <c r="AF75" s="80"/>
      <c r="AG75" s="80"/>
      <c r="AH75" s="326">
        <f t="shared" si="13"/>
        <v>0</v>
      </c>
      <c r="AI75" s="326">
        <f t="shared" si="14"/>
        <v>0</v>
      </c>
      <c r="AJ75" s="326">
        <f t="shared" si="15"/>
        <v>0</v>
      </c>
      <c r="AK75" s="326">
        <f t="shared" si="16"/>
        <v>0</v>
      </c>
      <c r="AL75" s="326"/>
      <c r="AM75" s="326"/>
      <c r="AN75" s="326"/>
      <c r="AO75" s="326"/>
      <c r="AP75" s="326"/>
      <c r="AQ75" s="326"/>
      <c r="AR75" s="327"/>
      <c r="AS75" s="504" t="s">
        <v>658</v>
      </c>
      <c r="AT75" s="411"/>
      <c r="AU75" s="411"/>
    </row>
    <row r="76" spans="1:47" s="412" customFormat="1" ht="18.75" customHeight="1">
      <c r="A76" s="167">
        <v>64</v>
      </c>
      <c r="B76" s="79" t="str">
        <f>IFERROR(VLOOKUP(A76,O.B.JUNE!$A$7:$C$448,2,0),0)</f>
        <v>INC</v>
      </c>
      <c r="C76" s="174" t="str">
        <f>IFERROR(VLOOKUP(A76,O.B.JUNE!$A$7:$C$448,3,0),0)</f>
        <v>7D670(10007909)</v>
      </c>
      <c r="D76" s="80">
        <f t="shared" si="5"/>
        <v>0</v>
      </c>
      <c r="E76" s="80">
        <f>IFERROR(VLOOKUP(C76,O.B.JUNE!$C$7:$D$448,2,0),0)</f>
        <v>0</v>
      </c>
      <c r="F76" s="80">
        <v>0</v>
      </c>
      <c r="G76" s="80">
        <f>IFERROR(VLOOKUP(C76,O.B.JUNE!$C$7:$E$448,3,0),0)</f>
        <v>356</v>
      </c>
      <c r="H76" s="80">
        <f t="shared" si="6"/>
        <v>0</v>
      </c>
      <c r="I76" s="80"/>
      <c r="J76" s="80">
        <f t="shared" si="7"/>
        <v>356</v>
      </c>
      <c r="K76" s="80">
        <v>0</v>
      </c>
      <c r="L76" s="80">
        <v>0</v>
      </c>
      <c r="M76" s="81">
        <f t="shared" si="8"/>
        <v>0</v>
      </c>
      <c r="N76" s="81">
        <v>0</v>
      </c>
      <c r="O76" s="81">
        <v>0</v>
      </c>
      <c r="P76" s="81">
        <f t="shared" si="1"/>
        <v>0</v>
      </c>
      <c r="Q76" s="80">
        <f>IFERROR(VLOOKUP(C76,O.B.JUNE!$C$7:$K$448,7,0),0)</f>
        <v>0</v>
      </c>
      <c r="R76" s="80">
        <f>IFERROR(VLOOKUP(C76,O.B.JUNE!$C$7:$J$448,8,0),0)</f>
        <v>0</v>
      </c>
      <c r="S76" s="323">
        <f t="shared" si="17"/>
        <v>356</v>
      </c>
      <c r="T76" s="324">
        <v>0</v>
      </c>
      <c r="U76" s="324">
        <v>356</v>
      </c>
      <c r="V76" s="80"/>
      <c r="W76" s="324">
        <v>0</v>
      </c>
      <c r="X76" s="324"/>
      <c r="Y76" s="324">
        <v>0</v>
      </c>
      <c r="Z76" s="80">
        <v>0</v>
      </c>
      <c r="AA76" s="80">
        <f t="shared" si="9"/>
        <v>356</v>
      </c>
      <c r="AB76" s="323">
        <f t="shared" si="10"/>
        <v>0</v>
      </c>
      <c r="AC76" s="80">
        <f t="shared" si="11"/>
        <v>356</v>
      </c>
      <c r="AD76" s="80">
        <f t="shared" si="19"/>
        <v>356</v>
      </c>
      <c r="AE76" s="80"/>
      <c r="AF76" s="80"/>
      <c r="AG76" s="80"/>
      <c r="AH76" s="326">
        <f t="shared" si="13"/>
        <v>0</v>
      </c>
      <c r="AI76" s="326">
        <f t="shared" si="14"/>
        <v>0</v>
      </c>
      <c r="AJ76" s="326">
        <f t="shared" si="15"/>
        <v>0</v>
      </c>
      <c r="AK76" s="326">
        <f t="shared" si="16"/>
        <v>0</v>
      </c>
      <c r="AL76" s="326"/>
      <c r="AM76" s="326"/>
      <c r="AN76" s="326"/>
      <c r="AO76" s="326"/>
      <c r="AP76" s="326"/>
      <c r="AQ76" s="326"/>
      <c r="AR76" s="327"/>
      <c r="AS76" s="504" t="s">
        <v>658</v>
      </c>
      <c r="AT76" s="411"/>
      <c r="AU76" s="411"/>
    </row>
    <row r="77" spans="1:47" s="412" customFormat="1" ht="18.75" customHeight="1">
      <c r="A77" s="167">
        <v>65</v>
      </c>
      <c r="B77" s="79" t="str">
        <f>IFERROR(VLOOKUP(A77,O.B.JUNE!$A$7:$C$448,2,0),0)</f>
        <v>ALFANI</v>
      </c>
      <c r="C77" s="174">
        <f>IFERROR(VLOOKUP(A77,O.B.JUNE!$A$7:$C$448,3,0),0)</f>
        <v>100003487</v>
      </c>
      <c r="D77" s="80">
        <f t="shared" si="5"/>
        <v>0</v>
      </c>
      <c r="E77" s="80">
        <f>IFERROR(VLOOKUP(C77,O.B.JUNE!$C$7:$D$448,2,0),0)</f>
        <v>0</v>
      </c>
      <c r="F77" s="80">
        <v>0</v>
      </c>
      <c r="G77" s="80">
        <f>IFERROR(VLOOKUP(C77,O.B.JUNE!$C$7:$E$448,3,0),0)</f>
        <v>87</v>
      </c>
      <c r="H77" s="80">
        <f t="shared" si="6"/>
        <v>0</v>
      </c>
      <c r="I77" s="80"/>
      <c r="J77" s="80">
        <f t="shared" si="7"/>
        <v>0</v>
      </c>
      <c r="K77" s="80">
        <v>0</v>
      </c>
      <c r="L77" s="80">
        <v>0</v>
      </c>
      <c r="M77" s="81">
        <f t="shared" si="8"/>
        <v>87</v>
      </c>
      <c r="N77" s="81">
        <v>0</v>
      </c>
      <c r="O77" s="81">
        <v>0</v>
      </c>
      <c r="P77" s="81">
        <f t="shared" ref="P77:P139" si="28">+M77-N77-O77</f>
        <v>87</v>
      </c>
      <c r="Q77" s="80">
        <f>IFERROR(VLOOKUP(C77,O.B.JUNE!$C$7:$K$448,7,0),0)</f>
        <v>0</v>
      </c>
      <c r="R77" s="80">
        <f>IFERROR(VLOOKUP(C77,O.B.JUNE!$C$7:$J$448,8,0),0)</f>
        <v>0</v>
      </c>
      <c r="S77" s="323">
        <f t="shared" si="17"/>
        <v>0</v>
      </c>
      <c r="T77" s="324">
        <v>0</v>
      </c>
      <c r="U77" s="324"/>
      <c r="V77" s="80"/>
      <c r="W77" s="324">
        <v>0</v>
      </c>
      <c r="X77" s="324"/>
      <c r="Y77" s="324">
        <v>0</v>
      </c>
      <c r="Z77" s="80">
        <v>0</v>
      </c>
      <c r="AA77" s="80">
        <f t="shared" si="9"/>
        <v>0</v>
      </c>
      <c r="AB77" s="323">
        <f t="shared" si="10"/>
        <v>0</v>
      </c>
      <c r="AC77" s="80">
        <f t="shared" si="11"/>
        <v>0</v>
      </c>
      <c r="AD77" s="80">
        <f t="shared" si="19"/>
        <v>0</v>
      </c>
      <c r="AE77" s="80"/>
      <c r="AF77" s="80"/>
      <c r="AG77" s="80"/>
      <c r="AH77" s="326">
        <f t="shared" si="13"/>
        <v>0</v>
      </c>
      <c r="AI77" s="326">
        <f t="shared" si="14"/>
        <v>0</v>
      </c>
      <c r="AJ77" s="326">
        <f t="shared" si="15"/>
        <v>0</v>
      </c>
      <c r="AK77" s="326">
        <f t="shared" si="16"/>
        <v>0</v>
      </c>
      <c r="AL77" s="326"/>
      <c r="AM77" s="326"/>
      <c r="AN77" s="326"/>
      <c r="AO77" s="326"/>
      <c r="AP77" s="326"/>
      <c r="AQ77" s="326"/>
      <c r="AR77" s="327"/>
      <c r="AS77" s="209"/>
      <c r="AT77" s="411"/>
      <c r="AU77" s="411"/>
    </row>
    <row r="78" spans="1:47" s="412" customFormat="1" ht="18.75" customHeight="1">
      <c r="A78" s="167">
        <v>66</v>
      </c>
      <c r="B78" s="79" t="str">
        <f>IFERROR(VLOOKUP(A78,O.B.JUNE!$A$7:$C$448,2,0),0)</f>
        <v>ALFANI</v>
      </c>
      <c r="C78" s="174">
        <f>IFERROR(VLOOKUP(A78,O.B.JUNE!$A$7:$C$448,3,0),0)</f>
        <v>100003506</v>
      </c>
      <c r="D78" s="80">
        <f t="shared" ref="D78:D140" si="29">F78-E78</f>
        <v>3080</v>
      </c>
      <c r="E78" s="80">
        <f>IFERROR(VLOOKUP(C78,O.B.JUNE!$C$7:$D$448,2,0),0)</f>
        <v>0</v>
      </c>
      <c r="F78" s="80">
        <f>VLOOKUP(C78,'CUTTING ON JUNE'!$A$4:$D$316,3,0)</f>
        <v>3080</v>
      </c>
      <c r="G78" s="80">
        <f>IFERROR(VLOOKUP(C78,O.B.JUNE!$C$7:$E$448,3,0),0)</f>
        <v>59</v>
      </c>
      <c r="H78" s="80">
        <f t="shared" ref="H78:H137" si="30">IF(F78="","",F78-E78)</f>
        <v>3080</v>
      </c>
      <c r="I78" s="80"/>
      <c r="J78" s="80">
        <f t="shared" ref="J78:J140" si="31">IF(S78="",0,S78-Q78-V78-R78)</f>
        <v>2765</v>
      </c>
      <c r="K78" s="80">
        <v>0</v>
      </c>
      <c r="L78" s="80">
        <v>0</v>
      </c>
      <c r="M78" s="81">
        <f t="shared" ref="M78:M140" si="32">ROUND(IF(ISERROR(F78-S78-K78-L78-R78),0,(F78-S78-K78-L78+Q78+R78+G78-E78)),0)</f>
        <v>374</v>
      </c>
      <c r="N78" s="81">
        <v>0</v>
      </c>
      <c r="O78" s="81">
        <v>141</v>
      </c>
      <c r="P78" s="81">
        <f t="shared" si="28"/>
        <v>233</v>
      </c>
      <c r="Q78" s="80">
        <f>IFERROR(VLOOKUP(C78,O.B.JUNE!$C$7:$K$448,7,0),0)</f>
        <v>0</v>
      </c>
      <c r="R78" s="80">
        <f>IFERROR(VLOOKUP(C78,O.B.JUNE!$C$7:$J$448,8,0),0)</f>
        <v>0</v>
      </c>
      <c r="S78" s="323">
        <f t="shared" ref="S78:S140" si="33">Q78+T78+U78+R78</f>
        <v>2765</v>
      </c>
      <c r="T78" s="324">
        <v>2765</v>
      </c>
      <c r="U78" s="324"/>
      <c r="V78" s="80"/>
      <c r="W78" s="324">
        <v>0</v>
      </c>
      <c r="X78" s="324"/>
      <c r="Y78" s="324">
        <v>0</v>
      </c>
      <c r="Z78" s="80">
        <v>0</v>
      </c>
      <c r="AA78" s="80">
        <f t="shared" ref="AA78:AA140" si="34">V78+U78+T78</f>
        <v>2765</v>
      </c>
      <c r="AB78" s="323">
        <f t="shared" ref="AB78:AB140" si="35">ROUND(Q78+T78+V78-X78-W78-Y78-Z78,0)</f>
        <v>2765</v>
      </c>
      <c r="AC78" s="80">
        <f t="shared" ref="AC78:AC141" si="36">+R78+U78+Z78-X78</f>
        <v>0</v>
      </c>
      <c r="AD78" s="80">
        <f t="shared" si="19"/>
        <v>2765</v>
      </c>
      <c r="AE78" s="80"/>
      <c r="AF78" s="80"/>
      <c r="AG78" s="80"/>
      <c r="AH78" s="326">
        <f t="shared" ref="AH78:AH140" si="37">G78+H78-J78-L78-M78</f>
        <v>0</v>
      </c>
      <c r="AI78" s="326">
        <f t="shared" ref="AI78:AI140" si="38">Q78+T78+U78-S78+R78</f>
        <v>0</v>
      </c>
      <c r="AJ78" s="326">
        <f t="shared" ref="AJ78:AJ140" si="39">M78-N78-O78-P78</f>
        <v>0</v>
      </c>
      <c r="AK78" s="326">
        <f t="shared" ref="AK78:AK140" si="40">M78-N78-O78-P78</f>
        <v>0</v>
      </c>
      <c r="AL78" s="326"/>
      <c r="AM78" s="326"/>
      <c r="AN78" s="326"/>
      <c r="AO78" s="326"/>
      <c r="AP78" s="326"/>
      <c r="AQ78" s="326"/>
      <c r="AR78" s="327"/>
      <c r="AS78" s="209"/>
      <c r="AT78" s="411"/>
      <c r="AU78" s="411"/>
    </row>
    <row r="79" spans="1:47" s="412" customFormat="1" ht="18.75" customHeight="1">
      <c r="A79" s="167">
        <v>67</v>
      </c>
      <c r="B79" s="79" t="str">
        <f>IFERROR(VLOOKUP(A79,O.B.JUNE!$A$7:$C$448,2,0),0)</f>
        <v>ALFANI</v>
      </c>
      <c r="C79" s="174">
        <f>IFERROR(VLOOKUP(A79,O.B.JUNE!$A$7:$C$448,3,0),0)</f>
        <v>100003522</v>
      </c>
      <c r="D79" s="80">
        <f t="shared" si="29"/>
        <v>0</v>
      </c>
      <c r="E79" s="80">
        <f>IFERROR(VLOOKUP(C79,O.B.JUNE!$C$7:$D$448,2,0),0)</f>
        <v>0</v>
      </c>
      <c r="F79" s="80">
        <v>0</v>
      </c>
      <c r="G79" s="80">
        <f>IFERROR(VLOOKUP(C79,O.B.JUNE!$C$7:$E$448,3,0),0)</f>
        <v>113</v>
      </c>
      <c r="H79" s="80">
        <f t="shared" si="30"/>
        <v>0</v>
      </c>
      <c r="I79" s="80"/>
      <c r="J79" s="80">
        <f t="shared" si="31"/>
        <v>0</v>
      </c>
      <c r="K79" s="80">
        <v>0</v>
      </c>
      <c r="L79" s="80">
        <v>0</v>
      </c>
      <c r="M79" s="81">
        <f t="shared" si="32"/>
        <v>113</v>
      </c>
      <c r="N79" s="81">
        <v>0</v>
      </c>
      <c r="O79" s="81">
        <v>0</v>
      </c>
      <c r="P79" s="81">
        <f t="shared" si="28"/>
        <v>113</v>
      </c>
      <c r="Q79" s="80">
        <f>IFERROR(VLOOKUP(C79,O.B.JUNE!$C$7:$K$448,7,0),0)</f>
        <v>0</v>
      </c>
      <c r="R79" s="80">
        <f>IFERROR(VLOOKUP(C79,O.B.JUNE!$C$7:$J$448,8,0),0)</f>
        <v>0</v>
      </c>
      <c r="S79" s="323">
        <f t="shared" si="33"/>
        <v>0</v>
      </c>
      <c r="T79" s="324">
        <v>0</v>
      </c>
      <c r="U79" s="324"/>
      <c r="V79" s="80"/>
      <c r="W79" s="324">
        <v>0</v>
      </c>
      <c r="X79" s="324"/>
      <c r="Y79" s="324">
        <v>0</v>
      </c>
      <c r="Z79" s="80">
        <v>0</v>
      </c>
      <c r="AA79" s="80">
        <f t="shared" si="34"/>
        <v>0</v>
      </c>
      <c r="AB79" s="323">
        <f t="shared" si="35"/>
        <v>0</v>
      </c>
      <c r="AC79" s="80">
        <f t="shared" si="36"/>
        <v>0</v>
      </c>
      <c r="AD79" s="80">
        <f t="shared" si="19"/>
        <v>0</v>
      </c>
      <c r="AE79" s="80"/>
      <c r="AF79" s="80"/>
      <c r="AG79" s="80"/>
      <c r="AH79" s="326">
        <f t="shared" si="37"/>
        <v>0</v>
      </c>
      <c r="AI79" s="326">
        <f t="shared" si="38"/>
        <v>0</v>
      </c>
      <c r="AJ79" s="326">
        <f t="shared" si="39"/>
        <v>0</v>
      </c>
      <c r="AK79" s="326">
        <f t="shared" si="40"/>
        <v>0</v>
      </c>
      <c r="AL79" s="326"/>
      <c r="AM79" s="326"/>
      <c r="AN79" s="326"/>
      <c r="AO79" s="326"/>
      <c r="AP79" s="326"/>
      <c r="AQ79" s="326"/>
      <c r="AR79" s="327"/>
      <c r="AS79" s="209"/>
      <c r="AT79" s="411"/>
      <c r="AU79" s="411"/>
    </row>
    <row r="80" spans="1:47" s="412" customFormat="1" ht="18.75" customHeight="1">
      <c r="A80" s="167">
        <v>68</v>
      </c>
      <c r="B80" s="79" t="str">
        <f>IFERROR(VLOOKUP(A80,O.B.JUNE!$A$7:$C$448,2,0),0)</f>
        <v>ALFANI</v>
      </c>
      <c r="C80" s="174">
        <f>IFERROR(VLOOKUP(A80,O.B.JUNE!$A$7:$C$448,3,0),0)</f>
        <v>100003523</v>
      </c>
      <c r="D80" s="80">
        <f t="shared" si="29"/>
        <v>0</v>
      </c>
      <c r="E80" s="80">
        <f>IFERROR(VLOOKUP(C80,O.B.JUNE!$C$7:$D$448,2,0),0)</f>
        <v>0</v>
      </c>
      <c r="F80" s="80">
        <v>0</v>
      </c>
      <c r="G80" s="80">
        <f>IFERROR(VLOOKUP(C80,O.B.JUNE!$C$7:$E$448,3,0),0)</f>
        <v>113</v>
      </c>
      <c r="H80" s="80">
        <f t="shared" si="30"/>
        <v>0</v>
      </c>
      <c r="I80" s="80"/>
      <c r="J80" s="80">
        <f t="shared" si="31"/>
        <v>0</v>
      </c>
      <c r="K80" s="80">
        <v>0</v>
      </c>
      <c r="L80" s="80">
        <v>0</v>
      </c>
      <c r="M80" s="81">
        <f t="shared" si="32"/>
        <v>113</v>
      </c>
      <c r="N80" s="81">
        <v>0</v>
      </c>
      <c r="O80" s="81">
        <v>0</v>
      </c>
      <c r="P80" s="81">
        <f t="shared" si="28"/>
        <v>113</v>
      </c>
      <c r="Q80" s="80">
        <f>IFERROR(VLOOKUP(C80,O.B.JUNE!$C$7:$K$448,7,0),0)</f>
        <v>0</v>
      </c>
      <c r="R80" s="80">
        <f>IFERROR(VLOOKUP(C80,O.B.JUNE!$C$7:$J$448,8,0),0)</f>
        <v>0</v>
      </c>
      <c r="S80" s="323">
        <f t="shared" si="33"/>
        <v>0</v>
      </c>
      <c r="T80" s="324">
        <v>0</v>
      </c>
      <c r="U80" s="324"/>
      <c r="V80" s="80"/>
      <c r="W80" s="324">
        <v>0</v>
      </c>
      <c r="X80" s="324"/>
      <c r="Y80" s="324">
        <v>0</v>
      </c>
      <c r="Z80" s="80">
        <v>0</v>
      </c>
      <c r="AA80" s="80">
        <f t="shared" si="34"/>
        <v>0</v>
      </c>
      <c r="AB80" s="323">
        <f t="shared" si="35"/>
        <v>0</v>
      </c>
      <c r="AC80" s="80">
        <f t="shared" si="36"/>
        <v>0</v>
      </c>
      <c r="AD80" s="80">
        <f t="shared" si="19"/>
        <v>0</v>
      </c>
      <c r="AE80" s="80"/>
      <c r="AF80" s="80"/>
      <c r="AG80" s="80"/>
      <c r="AH80" s="326">
        <f t="shared" si="37"/>
        <v>0</v>
      </c>
      <c r="AI80" s="326">
        <f t="shared" si="38"/>
        <v>0</v>
      </c>
      <c r="AJ80" s="326">
        <f t="shared" si="39"/>
        <v>0</v>
      </c>
      <c r="AK80" s="326">
        <f t="shared" si="40"/>
        <v>0</v>
      </c>
      <c r="AL80" s="326"/>
      <c r="AM80" s="326"/>
      <c r="AN80" s="326"/>
      <c r="AO80" s="326"/>
      <c r="AP80" s="326"/>
      <c r="AQ80" s="326"/>
      <c r="AR80" s="327"/>
      <c r="AS80" s="209"/>
      <c r="AT80" s="411"/>
      <c r="AU80" s="411"/>
    </row>
    <row r="81" spans="1:47" s="412" customFormat="1" ht="18.75" customHeight="1">
      <c r="A81" s="167">
        <v>69</v>
      </c>
      <c r="B81" s="79" t="str">
        <f>IFERROR(VLOOKUP(A81,O.B.JUNE!$A$7:$C$448,2,0),0)</f>
        <v>ALFANI</v>
      </c>
      <c r="C81" s="174">
        <f>IFERROR(VLOOKUP(A81,O.B.JUNE!$A$7:$C$448,3,0),0)</f>
        <v>100003547</v>
      </c>
      <c r="D81" s="80">
        <f t="shared" si="29"/>
        <v>0</v>
      </c>
      <c r="E81" s="80">
        <f>IFERROR(VLOOKUP(C81,O.B.JUNE!$C$7:$D$448,2,0),0)</f>
        <v>0</v>
      </c>
      <c r="F81" s="80">
        <v>0</v>
      </c>
      <c r="G81" s="80">
        <f>IFERROR(VLOOKUP(C81,O.B.JUNE!$C$7:$E$448,3,0),0)</f>
        <v>324</v>
      </c>
      <c r="H81" s="80">
        <f t="shared" si="30"/>
        <v>0</v>
      </c>
      <c r="I81" s="80"/>
      <c r="J81" s="80">
        <f t="shared" si="31"/>
        <v>0</v>
      </c>
      <c r="K81" s="80">
        <v>0</v>
      </c>
      <c r="L81" s="80">
        <v>0</v>
      </c>
      <c r="M81" s="81">
        <f t="shared" si="32"/>
        <v>324</v>
      </c>
      <c r="N81" s="81">
        <v>0</v>
      </c>
      <c r="O81" s="81">
        <v>0</v>
      </c>
      <c r="P81" s="81">
        <f t="shared" si="28"/>
        <v>324</v>
      </c>
      <c r="Q81" s="80">
        <f>IFERROR(VLOOKUP(C81,O.B.JUNE!$C$7:$K$448,7,0),0)</f>
        <v>0</v>
      </c>
      <c r="R81" s="80">
        <f>IFERROR(VLOOKUP(C81,O.B.JUNE!$C$7:$J$448,8,0),0)</f>
        <v>0</v>
      </c>
      <c r="S81" s="323">
        <f t="shared" si="33"/>
        <v>0</v>
      </c>
      <c r="T81" s="324">
        <v>0</v>
      </c>
      <c r="U81" s="324"/>
      <c r="V81" s="80"/>
      <c r="W81" s="324">
        <v>0</v>
      </c>
      <c r="X81" s="324"/>
      <c r="Y81" s="324">
        <v>0</v>
      </c>
      <c r="Z81" s="80">
        <v>0</v>
      </c>
      <c r="AA81" s="80">
        <f t="shared" si="34"/>
        <v>0</v>
      </c>
      <c r="AB81" s="323">
        <f t="shared" si="35"/>
        <v>0</v>
      </c>
      <c r="AC81" s="80">
        <f t="shared" si="36"/>
        <v>0</v>
      </c>
      <c r="AD81" s="80">
        <f t="shared" ref="AD81:AD143" si="41">AB81+AC81</f>
        <v>0</v>
      </c>
      <c r="AE81" s="80"/>
      <c r="AF81" s="80"/>
      <c r="AG81" s="80"/>
      <c r="AH81" s="326">
        <f t="shared" si="37"/>
        <v>0</v>
      </c>
      <c r="AI81" s="326">
        <f t="shared" si="38"/>
        <v>0</v>
      </c>
      <c r="AJ81" s="326">
        <f t="shared" si="39"/>
        <v>0</v>
      </c>
      <c r="AK81" s="326">
        <f t="shared" si="40"/>
        <v>0</v>
      </c>
      <c r="AL81" s="326"/>
      <c r="AM81" s="326"/>
      <c r="AN81" s="326"/>
      <c r="AO81" s="326"/>
      <c r="AP81" s="326"/>
      <c r="AQ81" s="326"/>
      <c r="AR81" s="327"/>
      <c r="AS81" s="209"/>
      <c r="AT81" s="411"/>
      <c r="AU81" s="411"/>
    </row>
    <row r="82" spans="1:47" s="412" customFormat="1" ht="18.75" customHeight="1">
      <c r="A82" s="167">
        <v>70</v>
      </c>
      <c r="B82" s="79" t="str">
        <f>IFERROR(VLOOKUP(A82,O.B.JUNE!$A$7:$C$448,2,0),0)</f>
        <v>ALFANI</v>
      </c>
      <c r="C82" s="174">
        <f>IFERROR(VLOOKUP(A82,O.B.JUNE!$A$7:$C$448,3,0),0)</f>
        <v>100003559</v>
      </c>
      <c r="D82" s="80">
        <f t="shared" si="29"/>
        <v>0</v>
      </c>
      <c r="E82" s="80">
        <f>IFERROR(VLOOKUP(C82,O.B.JUNE!$C$7:$D$448,2,0),0)</f>
        <v>0</v>
      </c>
      <c r="F82" s="80">
        <v>0</v>
      </c>
      <c r="G82" s="80">
        <f>IFERROR(VLOOKUP(C82,O.B.JUNE!$C$7:$E$448,3,0),0)</f>
        <v>81</v>
      </c>
      <c r="H82" s="80">
        <f t="shared" si="30"/>
        <v>0</v>
      </c>
      <c r="I82" s="80"/>
      <c r="J82" s="80">
        <f t="shared" si="31"/>
        <v>0</v>
      </c>
      <c r="K82" s="80">
        <v>0</v>
      </c>
      <c r="L82" s="80">
        <v>0</v>
      </c>
      <c r="M82" s="81">
        <f t="shared" si="32"/>
        <v>81</v>
      </c>
      <c r="N82" s="81">
        <v>0</v>
      </c>
      <c r="O82" s="81">
        <v>0</v>
      </c>
      <c r="P82" s="81">
        <f t="shared" si="28"/>
        <v>81</v>
      </c>
      <c r="Q82" s="80">
        <f>IFERROR(VLOOKUP(C82,O.B.JUNE!$C$7:$K$448,7,0),0)</f>
        <v>0</v>
      </c>
      <c r="R82" s="80">
        <f>IFERROR(VLOOKUP(C82,O.B.JUNE!$C$7:$J$448,8,0),0)</f>
        <v>0</v>
      </c>
      <c r="S82" s="323">
        <f t="shared" si="33"/>
        <v>0</v>
      </c>
      <c r="T82" s="324">
        <v>0</v>
      </c>
      <c r="U82" s="324"/>
      <c r="V82" s="80"/>
      <c r="W82" s="324">
        <v>0</v>
      </c>
      <c r="X82" s="324"/>
      <c r="Y82" s="324">
        <v>0</v>
      </c>
      <c r="Z82" s="80">
        <v>0</v>
      </c>
      <c r="AA82" s="80">
        <f t="shared" si="34"/>
        <v>0</v>
      </c>
      <c r="AB82" s="323">
        <f t="shared" si="35"/>
        <v>0</v>
      </c>
      <c r="AC82" s="80">
        <f t="shared" si="36"/>
        <v>0</v>
      </c>
      <c r="AD82" s="80">
        <f t="shared" si="41"/>
        <v>0</v>
      </c>
      <c r="AE82" s="80"/>
      <c r="AF82" s="80"/>
      <c r="AG82" s="80"/>
      <c r="AH82" s="326">
        <f t="shared" si="37"/>
        <v>0</v>
      </c>
      <c r="AI82" s="326">
        <f t="shared" si="38"/>
        <v>0</v>
      </c>
      <c r="AJ82" s="326">
        <f t="shared" si="39"/>
        <v>0</v>
      </c>
      <c r="AK82" s="326">
        <f t="shared" si="40"/>
        <v>0</v>
      </c>
      <c r="AL82" s="326"/>
      <c r="AM82" s="326"/>
      <c r="AN82" s="326"/>
      <c r="AO82" s="326"/>
      <c r="AP82" s="326"/>
      <c r="AQ82" s="326"/>
      <c r="AR82" s="327"/>
      <c r="AS82" s="209"/>
      <c r="AT82" s="411"/>
      <c r="AU82" s="411"/>
    </row>
    <row r="83" spans="1:47" s="412" customFormat="1" ht="18.75" customHeight="1">
      <c r="A83" s="167">
        <v>71</v>
      </c>
      <c r="B83" s="79" t="str">
        <f>IFERROR(VLOOKUP(A83,O.B.JUNE!$A$7:$C$448,2,0),0)</f>
        <v>ALFANI</v>
      </c>
      <c r="C83" s="174">
        <f>IFERROR(VLOOKUP(A83,O.B.JUNE!$A$7:$C$448,3,0),0)</f>
        <v>100003582</v>
      </c>
      <c r="D83" s="80">
        <f t="shared" si="29"/>
        <v>0</v>
      </c>
      <c r="E83" s="80">
        <f>IFERROR(VLOOKUP(C83,O.B.JUNE!$C$7:$D$448,2,0),0)</f>
        <v>0</v>
      </c>
      <c r="F83" s="80">
        <v>0</v>
      </c>
      <c r="G83" s="80">
        <f>IFERROR(VLOOKUP(C83,O.B.JUNE!$C$7:$E$448,3,0),0)</f>
        <v>109</v>
      </c>
      <c r="H83" s="80">
        <f t="shared" si="30"/>
        <v>0</v>
      </c>
      <c r="I83" s="80"/>
      <c r="J83" s="80">
        <f t="shared" si="31"/>
        <v>0</v>
      </c>
      <c r="K83" s="80">
        <v>0</v>
      </c>
      <c r="L83" s="80">
        <v>0</v>
      </c>
      <c r="M83" s="81">
        <f t="shared" si="32"/>
        <v>109</v>
      </c>
      <c r="N83" s="81">
        <v>0</v>
      </c>
      <c r="O83" s="81">
        <v>0</v>
      </c>
      <c r="P83" s="81">
        <f t="shared" si="28"/>
        <v>109</v>
      </c>
      <c r="Q83" s="80">
        <f>IFERROR(VLOOKUP(C83,O.B.JUNE!$C$7:$K$448,7,0),0)</f>
        <v>0</v>
      </c>
      <c r="R83" s="80">
        <f>IFERROR(VLOOKUP(C83,O.B.JUNE!$C$7:$J$448,8,0),0)</f>
        <v>0</v>
      </c>
      <c r="S83" s="323">
        <f t="shared" si="33"/>
        <v>0</v>
      </c>
      <c r="T83" s="324">
        <v>0</v>
      </c>
      <c r="U83" s="324"/>
      <c r="V83" s="80"/>
      <c r="W83" s="324">
        <v>0</v>
      </c>
      <c r="X83" s="324"/>
      <c r="Y83" s="324">
        <v>0</v>
      </c>
      <c r="Z83" s="80">
        <v>0</v>
      </c>
      <c r="AA83" s="80">
        <f t="shared" si="34"/>
        <v>0</v>
      </c>
      <c r="AB83" s="323">
        <f t="shared" si="35"/>
        <v>0</v>
      </c>
      <c r="AC83" s="80">
        <f t="shared" si="36"/>
        <v>0</v>
      </c>
      <c r="AD83" s="80">
        <f t="shared" si="41"/>
        <v>0</v>
      </c>
      <c r="AE83" s="80"/>
      <c r="AF83" s="80"/>
      <c r="AG83" s="80"/>
      <c r="AH83" s="326">
        <f t="shared" si="37"/>
        <v>0</v>
      </c>
      <c r="AI83" s="326">
        <f t="shared" si="38"/>
        <v>0</v>
      </c>
      <c r="AJ83" s="326">
        <f t="shared" si="39"/>
        <v>0</v>
      </c>
      <c r="AK83" s="326">
        <f t="shared" si="40"/>
        <v>0</v>
      </c>
      <c r="AL83" s="326"/>
      <c r="AM83" s="326"/>
      <c r="AN83" s="326"/>
      <c r="AO83" s="326"/>
      <c r="AP83" s="326"/>
      <c r="AQ83" s="326"/>
      <c r="AR83" s="327"/>
      <c r="AS83" s="209"/>
      <c r="AT83" s="411"/>
      <c r="AU83" s="411"/>
    </row>
    <row r="84" spans="1:47" s="412" customFormat="1" ht="18.75" customHeight="1">
      <c r="A84" s="167">
        <v>72</v>
      </c>
      <c r="B84" s="79" t="str">
        <f>IFERROR(VLOOKUP(A84,O.B.JUNE!$A$7:$C$448,2,0),0)</f>
        <v>ALFANI</v>
      </c>
      <c r="C84" s="174">
        <f>IFERROR(VLOOKUP(A84,O.B.JUNE!$A$7:$C$448,3,0),0)</f>
        <v>100003585</v>
      </c>
      <c r="D84" s="80">
        <f t="shared" si="29"/>
        <v>0</v>
      </c>
      <c r="E84" s="80">
        <f>IFERROR(VLOOKUP(C84,O.B.JUNE!$C$7:$D$448,2,0),0)</f>
        <v>0</v>
      </c>
      <c r="F84" s="80">
        <v>0</v>
      </c>
      <c r="G84" s="80">
        <f>IFERROR(VLOOKUP(C84,O.B.JUNE!$C$7:$E$448,3,0),0)</f>
        <v>51</v>
      </c>
      <c r="H84" s="80">
        <f t="shared" si="30"/>
        <v>0</v>
      </c>
      <c r="I84" s="80"/>
      <c r="J84" s="80">
        <f t="shared" si="31"/>
        <v>0</v>
      </c>
      <c r="K84" s="80">
        <v>0</v>
      </c>
      <c r="L84" s="80">
        <v>0</v>
      </c>
      <c r="M84" s="81">
        <f t="shared" si="32"/>
        <v>51</v>
      </c>
      <c r="N84" s="81">
        <v>0</v>
      </c>
      <c r="O84" s="81">
        <v>0</v>
      </c>
      <c r="P84" s="81">
        <f t="shared" si="28"/>
        <v>51</v>
      </c>
      <c r="Q84" s="80">
        <f>IFERROR(VLOOKUP(C84,O.B.JUNE!$C$7:$K$448,7,0),0)</f>
        <v>0</v>
      </c>
      <c r="R84" s="80">
        <f>IFERROR(VLOOKUP(C84,O.B.JUNE!$C$7:$J$448,8,0),0)</f>
        <v>0</v>
      </c>
      <c r="S84" s="323">
        <f t="shared" si="33"/>
        <v>0</v>
      </c>
      <c r="T84" s="324">
        <v>0</v>
      </c>
      <c r="U84" s="324"/>
      <c r="V84" s="80"/>
      <c r="W84" s="324">
        <v>0</v>
      </c>
      <c r="X84" s="324"/>
      <c r="Y84" s="324">
        <v>0</v>
      </c>
      <c r="Z84" s="80">
        <v>0</v>
      </c>
      <c r="AA84" s="80">
        <f t="shared" si="34"/>
        <v>0</v>
      </c>
      <c r="AB84" s="323">
        <f t="shared" si="35"/>
        <v>0</v>
      </c>
      <c r="AC84" s="80">
        <f t="shared" si="36"/>
        <v>0</v>
      </c>
      <c r="AD84" s="80">
        <f t="shared" si="41"/>
        <v>0</v>
      </c>
      <c r="AE84" s="80"/>
      <c r="AF84" s="80"/>
      <c r="AG84" s="80"/>
      <c r="AH84" s="326">
        <f t="shared" si="37"/>
        <v>0</v>
      </c>
      <c r="AI84" s="326">
        <f t="shared" si="38"/>
        <v>0</v>
      </c>
      <c r="AJ84" s="326">
        <f t="shared" si="39"/>
        <v>0</v>
      </c>
      <c r="AK84" s="326">
        <f t="shared" si="40"/>
        <v>0</v>
      </c>
      <c r="AL84" s="326"/>
      <c r="AM84" s="326"/>
      <c r="AN84" s="326"/>
      <c r="AO84" s="326"/>
      <c r="AP84" s="326"/>
      <c r="AQ84" s="326"/>
      <c r="AR84" s="327">
        <f>VLOOKUP(C84,'[1]DA HET SAN XUAT'!$D$8:$AJ$419,33,0)</f>
        <v>0</v>
      </c>
      <c r="AS84" s="209"/>
      <c r="AT84" s="411"/>
      <c r="AU84" s="411"/>
    </row>
    <row r="85" spans="1:47" s="412" customFormat="1" ht="18.75" customHeight="1">
      <c r="A85" s="167">
        <v>73</v>
      </c>
      <c r="B85" s="79" t="str">
        <f>IFERROR(VLOOKUP(A85,O.B.JUNE!$A$7:$C$448,2,0),0)</f>
        <v>ALFANI</v>
      </c>
      <c r="C85" s="174">
        <f>IFERROR(VLOOKUP(A85,O.B.JUNE!$A$7:$C$448,3,0),0)</f>
        <v>100003592</v>
      </c>
      <c r="D85" s="80">
        <f t="shared" si="29"/>
        <v>0</v>
      </c>
      <c r="E85" s="80">
        <f>IFERROR(VLOOKUP(C85,O.B.JUNE!$C$7:$D$448,2,0),0)</f>
        <v>0</v>
      </c>
      <c r="F85" s="80">
        <v>0</v>
      </c>
      <c r="G85" s="80">
        <f>IFERROR(VLOOKUP(C85,O.B.JUNE!$C$7:$E$448,3,0),0)</f>
        <v>85</v>
      </c>
      <c r="H85" s="80">
        <f t="shared" si="30"/>
        <v>0</v>
      </c>
      <c r="I85" s="80"/>
      <c r="J85" s="80">
        <f t="shared" si="31"/>
        <v>0</v>
      </c>
      <c r="K85" s="80">
        <v>0</v>
      </c>
      <c r="L85" s="80">
        <v>0</v>
      </c>
      <c r="M85" s="81">
        <f t="shared" si="32"/>
        <v>85</v>
      </c>
      <c r="N85" s="81">
        <v>0</v>
      </c>
      <c r="O85" s="81">
        <v>0</v>
      </c>
      <c r="P85" s="81">
        <f t="shared" si="28"/>
        <v>85</v>
      </c>
      <c r="Q85" s="80">
        <f>IFERROR(VLOOKUP(C85,O.B.JUNE!$C$7:$K$448,7,0),0)</f>
        <v>0</v>
      </c>
      <c r="R85" s="80">
        <f>IFERROR(VLOOKUP(C85,O.B.JUNE!$C$7:$J$448,8,0),0)</f>
        <v>0</v>
      </c>
      <c r="S85" s="323">
        <f t="shared" si="33"/>
        <v>0</v>
      </c>
      <c r="T85" s="324">
        <v>0</v>
      </c>
      <c r="U85" s="324"/>
      <c r="V85" s="80"/>
      <c r="W85" s="324">
        <v>0</v>
      </c>
      <c r="X85" s="324"/>
      <c r="Y85" s="324">
        <v>0</v>
      </c>
      <c r="Z85" s="80">
        <v>0</v>
      </c>
      <c r="AA85" s="80">
        <f t="shared" si="34"/>
        <v>0</v>
      </c>
      <c r="AB85" s="323">
        <f t="shared" si="35"/>
        <v>0</v>
      </c>
      <c r="AC85" s="80">
        <f t="shared" si="36"/>
        <v>0</v>
      </c>
      <c r="AD85" s="80">
        <f t="shared" si="41"/>
        <v>0</v>
      </c>
      <c r="AE85" s="80"/>
      <c r="AF85" s="80"/>
      <c r="AG85" s="80"/>
      <c r="AH85" s="326">
        <f t="shared" si="37"/>
        <v>0</v>
      </c>
      <c r="AI85" s="326">
        <f t="shared" si="38"/>
        <v>0</v>
      </c>
      <c r="AJ85" s="326">
        <f t="shared" si="39"/>
        <v>0</v>
      </c>
      <c r="AK85" s="326">
        <f t="shared" si="40"/>
        <v>0</v>
      </c>
      <c r="AL85" s="326"/>
      <c r="AM85" s="326"/>
      <c r="AN85" s="326"/>
      <c r="AO85" s="326"/>
      <c r="AP85" s="326"/>
      <c r="AQ85" s="326"/>
      <c r="AR85" s="327"/>
      <c r="AS85" s="209"/>
      <c r="AT85" s="411"/>
      <c r="AU85" s="411"/>
    </row>
    <row r="86" spans="1:47" s="412" customFormat="1" ht="18.75" customHeight="1">
      <c r="A86" s="167">
        <v>74</v>
      </c>
      <c r="B86" s="79" t="str">
        <f>IFERROR(VLOOKUP(A86,O.B.JUNE!$A$7:$C$448,2,0),0)</f>
        <v>ALFANI</v>
      </c>
      <c r="C86" s="174">
        <f>IFERROR(VLOOKUP(A86,O.B.JUNE!$A$7:$C$448,3,0),0)</f>
        <v>100004432</v>
      </c>
      <c r="D86" s="80">
        <f t="shared" si="29"/>
        <v>0</v>
      </c>
      <c r="E86" s="80">
        <f>IFERROR(VLOOKUP(C86,O.B.JUNE!$C$7:$D$448,2,0),0)</f>
        <v>0</v>
      </c>
      <c r="F86" s="80">
        <v>0</v>
      </c>
      <c r="G86" s="80">
        <f>IFERROR(VLOOKUP(C86,O.B.JUNE!$C$7:$E$448,3,0),0)</f>
        <v>24</v>
      </c>
      <c r="H86" s="80">
        <f t="shared" si="30"/>
        <v>0</v>
      </c>
      <c r="I86" s="80"/>
      <c r="J86" s="80">
        <f t="shared" si="31"/>
        <v>0</v>
      </c>
      <c r="K86" s="80">
        <v>0</v>
      </c>
      <c r="L86" s="80">
        <v>0</v>
      </c>
      <c r="M86" s="81">
        <f t="shared" si="32"/>
        <v>24</v>
      </c>
      <c r="N86" s="81">
        <v>0</v>
      </c>
      <c r="O86" s="81">
        <v>0</v>
      </c>
      <c r="P86" s="81">
        <f t="shared" si="28"/>
        <v>24</v>
      </c>
      <c r="Q86" s="80">
        <f>IFERROR(VLOOKUP(C86,O.B.JUNE!$C$7:$K$448,7,0),0)</f>
        <v>0</v>
      </c>
      <c r="R86" s="80">
        <f>IFERROR(VLOOKUP(C86,O.B.JUNE!$C$7:$J$448,8,0),0)</f>
        <v>0</v>
      </c>
      <c r="S86" s="323">
        <f t="shared" si="33"/>
        <v>0</v>
      </c>
      <c r="T86" s="324">
        <v>0</v>
      </c>
      <c r="U86" s="324"/>
      <c r="V86" s="80"/>
      <c r="W86" s="324">
        <v>0</v>
      </c>
      <c r="X86" s="324"/>
      <c r="Y86" s="324">
        <v>0</v>
      </c>
      <c r="Z86" s="80">
        <v>0</v>
      </c>
      <c r="AA86" s="80">
        <f t="shared" si="34"/>
        <v>0</v>
      </c>
      <c r="AB86" s="323">
        <f t="shared" si="35"/>
        <v>0</v>
      </c>
      <c r="AC86" s="80">
        <f t="shared" si="36"/>
        <v>0</v>
      </c>
      <c r="AD86" s="80">
        <f t="shared" si="41"/>
        <v>0</v>
      </c>
      <c r="AE86" s="80"/>
      <c r="AF86" s="80"/>
      <c r="AG86" s="80"/>
      <c r="AH86" s="326">
        <f t="shared" si="37"/>
        <v>0</v>
      </c>
      <c r="AI86" s="326">
        <f t="shared" si="38"/>
        <v>0</v>
      </c>
      <c r="AJ86" s="326">
        <f t="shared" si="39"/>
        <v>0</v>
      </c>
      <c r="AK86" s="326">
        <f t="shared" si="40"/>
        <v>0</v>
      </c>
      <c r="AL86" s="326"/>
      <c r="AM86" s="326"/>
      <c r="AN86" s="326"/>
      <c r="AO86" s="326"/>
      <c r="AP86" s="326"/>
      <c r="AQ86" s="326"/>
      <c r="AR86" s="327"/>
      <c r="AS86" s="209"/>
      <c r="AT86" s="411"/>
      <c r="AU86" s="411"/>
    </row>
    <row r="87" spans="1:47" s="412" customFormat="1" ht="18.75" customHeight="1">
      <c r="A87" s="167">
        <v>75</v>
      </c>
      <c r="B87" s="79" t="str">
        <f>IFERROR(VLOOKUP(A87,O.B.JUNE!$A$7:$C$448,2,0),0)</f>
        <v>ALFANI</v>
      </c>
      <c r="C87" s="174">
        <f>IFERROR(VLOOKUP(A87,O.B.JUNE!$A$7:$C$448,3,0),0)</f>
        <v>100008196</v>
      </c>
      <c r="D87" s="80">
        <f t="shared" si="29"/>
        <v>0</v>
      </c>
      <c r="E87" s="80">
        <f>IFERROR(VLOOKUP(C87,O.B.JUNE!$C$7:$D$448,2,0),0)</f>
        <v>0</v>
      </c>
      <c r="F87" s="80">
        <v>0</v>
      </c>
      <c r="G87" s="80">
        <f>IFERROR(VLOOKUP(C87,O.B.JUNE!$C$7:$E$448,3,0),0)</f>
        <v>337</v>
      </c>
      <c r="H87" s="80">
        <f t="shared" si="30"/>
        <v>0</v>
      </c>
      <c r="I87" s="80"/>
      <c r="J87" s="80">
        <f t="shared" si="31"/>
        <v>0</v>
      </c>
      <c r="K87" s="80">
        <v>0</v>
      </c>
      <c r="L87" s="80">
        <v>0</v>
      </c>
      <c r="M87" s="81">
        <f t="shared" si="32"/>
        <v>337</v>
      </c>
      <c r="N87" s="81">
        <v>0</v>
      </c>
      <c r="O87" s="81">
        <v>0</v>
      </c>
      <c r="P87" s="81">
        <f t="shared" si="28"/>
        <v>337</v>
      </c>
      <c r="Q87" s="80">
        <f>IFERROR(VLOOKUP(C87,O.B.JUNE!$C$7:$K$448,7,0),0)</f>
        <v>0</v>
      </c>
      <c r="R87" s="80">
        <f>IFERROR(VLOOKUP(C87,O.B.JUNE!$C$7:$J$448,8,0),0)</f>
        <v>0</v>
      </c>
      <c r="S87" s="323">
        <f t="shared" si="33"/>
        <v>0</v>
      </c>
      <c r="T87" s="324">
        <v>0</v>
      </c>
      <c r="U87" s="324"/>
      <c r="V87" s="80"/>
      <c r="W87" s="324">
        <v>0</v>
      </c>
      <c r="X87" s="324"/>
      <c r="Y87" s="324">
        <v>0</v>
      </c>
      <c r="Z87" s="80">
        <v>0</v>
      </c>
      <c r="AA87" s="80">
        <f t="shared" si="34"/>
        <v>0</v>
      </c>
      <c r="AB87" s="323">
        <f t="shared" si="35"/>
        <v>0</v>
      </c>
      <c r="AC87" s="80">
        <f t="shared" si="36"/>
        <v>0</v>
      </c>
      <c r="AD87" s="80">
        <f t="shared" si="41"/>
        <v>0</v>
      </c>
      <c r="AE87" s="80"/>
      <c r="AF87" s="80"/>
      <c r="AG87" s="80"/>
      <c r="AH87" s="326">
        <f t="shared" si="37"/>
        <v>0</v>
      </c>
      <c r="AI87" s="326">
        <f t="shared" si="38"/>
        <v>0</v>
      </c>
      <c r="AJ87" s="326">
        <f t="shared" si="39"/>
        <v>0</v>
      </c>
      <c r="AK87" s="326">
        <f t="shared" si="40"/>
        <v>0</v>
      </c>
      <c r="AL87" s="326"/>
      <c r="AM87" s="326"/>
      <c r="AN87" s="326"/>
      <c r="AO87" s="326"/>
      <c r="AP87" s="326"/>
      <c r="AQ87" s="326"/>
      <c r="AR87" s="327">
        <f>VLOOKUP(C87,'[1]DA HET SAN XUAT'!$D$8:$AJ$419,33,0)</f>
        <v>0</v>
      </c>
      <c r="AS87" s="209"/>
      <c r="AT87" s="411"/>
      <c r="AU87" s="411"/>
    </row>
    <row r="88" spans="1:47" s="412" customFormat="1" ht="18.75" customHeight="1">
      <c r="A88" s="167">
        <v>76</v>
      </c>
      <c r="B88" s="79" t="str">
        <f>IFERROR(VLOOKUP(A88,O.B.JUNE!$A$7:$C$448,2,0),0)</f>
        <v>ALFANI</v>
      </c>
      <c r="C88" s="174">
        <f>IFERROR(VLOOKUP(A88,O.B.JUNE!$A$7:$C$448,3,0),0)</f>
        <v>100008212</v>
      </c>
      <c r="D88" s="80">
        <f t="shared" si="29"/>
        <v>0</v>
      </c>
      <c r="E88" s="80">
        <f>IFERROR(VLOOKUP(C88,O.B.JUNE!$C$7:$D$448,2,0),0)</f>
        <v>0</v>
      </c>
      <c r="F88" s="80">
        <v>0</v>
      </c>
      <c r="G88" s="80">
        <f>IFERROR(VLOOKUP(C88,O.B.JUNE!$C$7:$E$448,3,0),0)</f>
        <v>85</v>
      </c>
      <c r="H88" s="80">
        <f t="shared" si="30"/>
        <v>0</v>
      </c>
      <c r="I88" s="80"/>
      <c r="J88" s="80">
        <f t="shared" si="31"/>
        <v>0</v>
      </c>
      <c r="K88" s="80">
        <v>0</v>
      </c>
      <c r="L88" s="80">
        <v>0</v>
      </c>
      <c r="M88" s="81">
        <f t="shared" si="32"/>
        <v>85</v>
      </c>
      <c r="N88" s="81">
        <v>0</v>
      </c>
      <c r="O88" s="81">
        <v>0</v>
      </c>
      <c r="P88" s="81">
        <f t="shared" si="28"/>
        <v>85</v>
      </c>
      <c r="Q88" s="80">
        <f>IFERROR(VLOOKUP(C88,O.B.JUNE!$C$7:$K$448,7,0),0)</f>
        <v>0</v>
      </c>
      <c r="R88" s="80">
        <f>IFERROR(VLOOKUP(C88,O.B.JUNE!$C$7:$J$448,8,0),0)</f>
        <v>0</v>
      </c>
      <c r="S88" s="323">
        <f t="shared" si="33"/>
        <v>0</v>
      </c>
      <c r="T88" s="324">
        <v>0</v>
      </c>
      <c r="U88" s="324"/>
      <c r="V88" s="80"/>
      <c r="W88" s="324">
        <v>0</v>
      </c>
      <c r="X88" s="324"/>
      <c r="Y88" s="324">
        <v>0</v>
      </c>
      <c r="Z88" s="80">
        <v>0</v>
      </c>
      <c r="AA88" s="80">
        <f t="shared" si="34"/>
        <v>0</v>
      </c>
      <c r="AB88" s="323">
        <f t="shared" si="35"/>
        <v>0</v>
      </c>
      <c r="AC88" s="80">
        <f t="shared" si="36"/>
        <v>0</v>
      </c>
      <c r="AD88" s="80">
        <f t="shared" si="41"/>
        <v>0</v>
      </c>
      <c r="AE88" s="80"/>
      <c r="AF88" s="80"/>
      <c r="AG88" s="80"/>
      <c r="AH88" s="326">
        <f t="shared" si="37"/>
        <v>0</v>
      </c>
      <c r="AI88" s="326">
        <f t="shared" si="38"/>
        <v>0</v>
      </c>
      <c r="AJ88" s="326">
        <f t="shared" si="39"/>
        <v>0</v>
      </c>
      <c r="AK88" s="326">
        <f t="shared" si="40"/>
        <v>0</v>
      </c>
      <c r="AL88" s="326"/>
      <c r="AM88" s="326"/>
      <c r="AN88" s="326"/>
      <c r="AO88" s="326"/>
      <c r="AP88" s="326"/>
      <c r="AQ88" s="326"/>
      <c r="AR88" s="327"/>
      <c r="AS88" s="209"/>
      <c r="AT88" s="411"/>
      <c r="AU88" s="411"/>
    </row>
    <row r="89" spans="1:47" s="412" customFormat="1" ht="18.75" customHeight="1">
      <c r="A89" s="167">
        <v>77</v>
      </c>
      <c r="B89" s="79" t="str">
        <f>IFERROR(VLOOKUP(A89,O.B.JUNE!$A$7:$C$448,2,0),0)</f>
        <v>ALFANI</v>
      </c>
      <c r="C89" s="174">
        <f>IFERROR(VLOOKUP(A89,O.B.JUNE!$A$7:$C$448,3,0),0)</f>
        <v>100008214</v>
      </c>
      <c r="D89" s="80">
        <f t="shared" si="29"/>
        <v>0</v>
      </c>
      <c r="E89" s="80">
        <f>IFERROR(VLOOKUP(C89,O.B.JUNE!$C$7:$D$448,2,0),0)</f>
        <v>0</v>
      </c>
      <c r="F89" s="80">
        <v>0</v>
      </c>
      <c r="G89" s="80">
        <f>IFERROR(VLOOKUP(C89,O.B.JUNE!$C$7:$E$448,3,0),0)</f>
        <v>23</v>
      </c>
      <c r="H89" s="80">
        <f t="shared" si="30"/>
        <v>0</v>
      </c>
      <c r="I89" s="80"/>
      <c r="J89" s="80">
        <f t="shared" si="31"/>
        <v>0</v>
      </c>
      <c r="K89" s="80">
        <v>0</v>
      </c>
      <c r="L89" s="80">
        <v>0</v>
      </c>
      <c r="M89" s="81">
        <f t="shared" si="32"/>
        <v>23</v>
      </c>
      <c r="N89" s="81">
        <v>0</v>
      </c>
      <c r="O89" s="81">
        <v>0</v>
      </c>
      <c r="P89" s="81">
        <f t="shared" si="28"/>
        <v>23</v>
      </c>
      <c r="Q89" s="80">
        <f>IFERROR(VLOOKUP(C89,O.B.JUNE!$C$7:$K$448,7,0),0)</f>
        <v>0</v>
      </c>
      <c r="R89" s="80">
        <f>IFERROR(VLOOKUP(C89,O.B.JUNE!$C$7:$J$448,8,0),0)</f>
        <v>0</v>
      </c>
      <c r="S89" s="323">
        <f t="shared" si="33"/>
        <v>0</v>
      </c>
      <c r="T89" s="324">
        <v>0</v>
      </c>
      <c r="U89" s="324"/>
      <c r="V89" s="80"/>
      <c r="W89" s="324">
        <v>0</v>
      </c>
      <c r="X89" s="324"/>
      <c r="Y89" s="324">
        <v>0</v>
      </c>
      <c r="Z89" s="80">
        <v>0</v>
      </c>
      <c r="AA89" s="80">
        <f t="shared" si="34"/>
        <v>0</v>
      </c>
      <c r="AB89" s="323">
        <f t="shared" si="35"/>
        <v>0</v>
      </c>
      <c r="AC89" s="80">
        <f t="shared" si="36"/>
        <v>0</v>
      </c>
      <c r="AD89" s="80">
        <f t="shared" si="41"/>
        <v>0</v>
      </c>
      <c r="AE89" s="80"/>
      <c r="AF89" s="80"/>
      <c r="AG89" s="80"/>
      <c r="AH89" s="326">
        <f t="shared" si="37"/>
        <v>0</v>
      </c>
      <c r="AI89" s="326">
        <f t="shared" si="38"/>
        <v>0</v>
      </c>
      <c r="AJ89" s="326">
        <f t="shared" si="39"/>
        <v>0</v>
      </c>
      <c r="AK89" s="326">
        <f t="shared" si="40"/>
        <v>0</v>
      </c>
      <c r="AL89" s="326"/>
      <c r="AM89" s="326"/>
      <c r="AN89" s="326"/>
      <c r="AO89" s="326"/>
      <c r="AP89" s="326"/>
      <c r="AQ89" s="326"/>
      <c r="AR89" s="327"/>
      <c r="AS89" s="209"/>
      <c r="AT89" s="411"/>
      <c r="AU89" s="411"/>
    </row>
    <row r="90" spans="1:47" s="412" customFormat="1" ht="18.75" customHeight="1">
      <c r="A90" s="167">
        <v>78</v>
      </c>
      <c r="B90" s="79" t="str">
        <f>IFERROR(VLOOKUP(A90,O.B.JUNE!$A$7:$C$448,2,0),0)</f>
        <v>ALFANI</v>
      </c>
      <c r="C90" s="174">
        <f>IFERROR(VLOOKUP(A90,O.B.JUNE!$A$7:$C$448,3,0),0)</f>
        <v>100008216</v>
      </c>
      <c r="D90" s="80">
        <f t="shared" si="29"/>
        <v>0</v>
      </c>
      <c r="E90" s="80">
        <f>IFERROR(VLOOKUP(C90,O.B.JUNE!$C$7:$D$448,2,0),0)</f>
        <v>0</v>
      </c>
      <c r="F90" s="80">
        <v>0</v>
      </c>
      <c r="G90" s="80">
        <f>IFERROR(VLOOKUP(C90,O.B.JUNE!$C$7:$E$448,3,0),0)</f>
        <v>102</v>
      </c>
      <c r="H90" s="80">
        <f t="shared" si="30"/>
        <v>0</v>
      </c>
      <c r="I90" s="80"/>
      <c r="J90" s="80">
        <f t="shared" si="31"/>
        <v>0</v>
      </c>
      <c r="K90" s="80">
        <v>0</v>
      </c>
      <c r="L90" s="80">
        <v>0</v>
      </c>
      <c r="M90" s="81">
        <f t="shared" si="32"/>
        <v>102</v>
      </c>
      <c r="N90" s="81">
        <v>0</v>
      </c>
      <c r="O90" s="81">
        <v>0</v>
      </c>
      <c r="P90" s="81">
        <f t="shared" si="28"/>
        <v>102</v>
      </c>
      <c r="Q90" s="80">
        <f>IFERROR(VLOOKUP(C90,O.B.JUNE!$C$7:$K$448,7,0),0)</f>
        <v>0</v>
      </c>
      <c r="R90" s="80">
        <f>IFERROR(VLOOKUP(C90,O.B.JUNE!$C$7:$J$448,8,0),0)</f>
        <v>0</v>
      </c>
      <c r="S90" s="323">
        <f t="shared" si="33"/>
        <v>0</v>
      </c>
      <c r="T90" s="324">
        <v>0</v>
      </c>
      <c r="U90" s="324"/>
      <c r="V90" s="80"/>
      <c r="W90" s="324">
        <v>0</v>
      </c>
      <c r="X90" s="324"/>
      <c r="Y90" s="324">
        <v>0</v>
      </c>
      <c r="Z90" s="80">
        <v>0</v>
      </c>
      <c r="AA90" s="80">
        <f t="shared" si="34"/>
        <v>0</v>
      </c>
      <c r="AB90" s="323">
        <f t="shared" si="35"/>
        <v>0</v>
      </c>
      <c r="AC90" s="80">
        <f t="shared" si="36"/>
        <v>0</v>
      </c>
      <c r="AD90" s="80">
        <f t="shared" si="41"/>
        <v>0</v>
      </c>
      <c r="AE90" s="80"/>
      <c r="AF90" s="80"/>
      <c r="AG90" s="80"/>
      <c r="AH90" s="326">
        <f t="shared" si="37"/>
        <v>0</v>
      </c>
      <c r="AI90" s="326">
        <f t="shared" si="38"/>
        <v>0</v>
      </c>
      <c r="AJ90" s="326">
        <f t="shared" si="39"/>
        <v>0</v>
      </c>
      <c r="AK90" s="326">
        <f t="shared" si="40"/>
        <v>0</v>
      </c>
      <c r="AL90" s="326"/>
      <c r="AM90" s="326"/>
      <c r="AN90" s="326"/>
      <c r="AO90" s="326"/>
      <c r="AP90" s="326"/>
      <c r="AQ90" s="326"/>
      <c r="AR90" s="327"/>
      <c r="AS90" s="209"/>
      <c r="AT90" s="411"/>
      <c r="AU90" s="411"/>
    </row>
    <row r="91" spans="1:47" s="412" customFormat="1" ht="18.75" customHeight="1">
      <c r="A91" s="167">
        <v>79</v>
      </c>
      <c r="B91" s="79" t="str">
        <f>IFERROR(VLOOKUP(A91,O.B.JUNE!$A$7:$C$448,2,0),0)</f>
        <v>ALFANI</v>
      </c>
      <c r="C91" s="174">
        <f>IFERROR(VLOOKUP(A91,O.B.JUNE!$A$7:$C$448,3,0),0)</f>
        <v>100009597</v>
      </c>
      <c r="D91" s="80">
        <f t="shared" si="29"/>
        <v>0</v>
      </c>
      <c r="E91" s="80">
        <f>IFERROR(VLOOKUP(C91,O.B.JUNE!$C$7:$D$448,2,0),0)</f>
        <v>17282</v>
      </c>
      <c r="F91" s="80">
        <f>VLOOKUP(C91,'CUTTING ON JUNE'!$A$4:$D$316,3,0)</f>
        <v>17282</v>
      </c>
      <c r="G91" s="80">
        <f>IFERROR(VLOOKUP(C91,O.B.JUNE!$C$7:$E$448,3,0),0)</f>
        <v>552</v>
      </c>
      <c r="H91" s="80">
        <f t="shared" si="30"/>
        <v>0</v>
      </c>
      <c r="I91" s="80"/>
      <c r="J91" s="80">
        <f t="shared" si="31"/>
        <v>0</v>
      </c>
      <c r="K91" s="80">
        <v>0</v>
      </c>
      <c r="L91" s="80">
        <v>0</v>
      </c>
      <c r="M91" s="81">
        <f t="shared" si="32"/>
        <v>552</v>
      </c>
      <c r="N91" s="81">
        <v>0</v>
      </c>
      <c r="O91" s="81">
        <v>0</v>
      </c>
      <c r="P91" s="81">
        <f t="shared" si="28"/>
        <v>552</v>
      </c>
      <c r="Q91" s="80">
        <f>IFERROR(VLOOKUP(C91,O.B.JUNE!$C$7:$K$448,7,0),0)</f>
        <v>0</v>
      </c>
      <c r="R91" s="80">
        <f>IFERROR(VLOOKUP(C91,O.B.JUNE!$C$7:$J$448,8,0),0)</f>
        <v>0</v>
      </c>
      <c r="S91" s="323">
        <f t="shared" si="33"/>
        <v>0</v>
      </c>
      <c r="T91" s="324">
        <v>0</v>
      </c>
      <c r="U91" s="324"/>
      <c r="V91" s="80"/>
      <c r="W91" s="324">
        <v>0</v>
      </c>
      <c r="X91" s="324"/>
      <c r="Y91" s="324">
        <v>0</v>
      </c>
      <c r="Z91" s="80">
        <v>0</v>
      </c>
      <c r="AA91" s="80">
        <f t="shared" si="34"/>
        <v>0</v>
      </c>
      <c r="AB91" s="323">
        <f t="shared" si="35"/>
        <v>0</v>
      </c>
      <c r="AC91" s="80">
        <f t="shared" si="36"/>
        <v>0</v>
      </c>
      <c r="AD91" s="80">
        <f t="shared" si="41"/>
        <v>0</v>
      </c>
      <c r="AE91" s="80"/>
      <c r="AF91" s="80"/>
      <c r="AG91" s="80"/>
      <c r="AH91" s="326">
        <f t="shared" si="37"/>
        <v>0</v>
      </c>
      <c r="AI91" s="326">
        <f t="shared" si="38"/>
        <v>0</v>
      </c>
      <c r="AJ91" s="326">
        <f t="shared" si="39"/>
        <v>0</v>
      </c>
      <c r="AK91" s="326">
        <f t="shared" si="40"/>
        <v>0</v>
      </c>
      <c r="AL91" s="326"/>
      <c r="AM91" s="326"/>
      <c r="AN91" s="326"/>
      <c r="AO91" s="326"/>
      <c r="AP91" s="326"/>
      <c r="AQ91" s="326"/>
      <c r="AR91" s="327"/>
      <c r="AS91" s="209"/>
      <c r="AT91" s="411"/>
      <c r="AU91" s="411"/>
    </row>
    <row r="92" spans="1:47" s="412" customFormat="1" ht="18.75" customHeight="1">
      <c r="A92" s="167">
        <v>80</v>
      </c>
      <c r="B92" s="79" t="str">
        <f>IFERROR(VLOOKUP(A92,O.B.JUNE!$A$7:$C$448,2,0),0)</f>
        <v>ALFANI</v>
      </c>
      <c r="C92" s="174">
        <f>IFERROR(VLOOKUP(A92,O.B.JUNE!$A$7:$C$448,3,0),0)</f>
        <v>74401</v>
      </c>
      <c r="D92" s="80">
        <f t="shared" si="29"/>
        <v>5</v>
      </c>
      <c r="E92" s="80">
        <f>IFERROR(VLOOKUP(C92,O.B.JUNE!$C$7:$D$448,2,0),0)</f>
        <v>11001</v>
      </c>
      <c r="F92" s="80">
        <f>VLOOKUP(C92,'CUTTING ON JUNE'!$A$4:$D$316,3,0)</f>
        <v>11006</v>
      </c>
      <c r="G92" s="80">
        <f>IFERROR(VLOOKUP(C92,O.B.JUNE!$C$7:$E$448,3,0),0)</f>
        <v>4111</v>
      </c>
      <c r="H92" s="80">
        <f t="shared" si="30"/>
        <v>5</v>
      </c>
      <c r="I92" s="80"/>
      <c r="J92" s="80">
        <f t="shared" si="31"/>
        <v>4001</v>
      </c>
      <c r="K92" s="80">
        <v>0</v>
      </c>
      <c r="L92" s="80">
        <v>0</v>
      </c>
      <c r="M92" s="81">
        <f t="shared" si="32"/>
        <v>115</v>
      </c>
      <c r="N92" s="81">
        <v>0</v>
      </c>
      <c r="O92" s="81">
        <v>1</v>
      </c>
      <c r="P92" s="81">
        <f t="shared" si="28"/>
        <v>114</v>
      </c>
      <c r="Q92" s="80">
        <f>IFERROR(VLOOKUP(C92,O.B.JUNE!$C$7:$K$448,7,0),0)</f>
        <v>6890</v>
      </c>
      <c r="R92" s="80">
        <f>IFERROR(VLOOKUP(C92,O.B.JUNE!$C$7:$J$448,8,0),0)</f>
        <v>0</v>
      </c>
      <c r="S92" s="323">
        <f t="shared" si="33"/>
        <v>10891</v>
      </c>
      <c r="T92" s="324">
        <v>4001</v>
      </c>
      <c r="U92" s="324"/>
      <c r="V92" s="80"/>
      <c r="W92" s="324">
        <v>10748</v>
      </c>
      <c r="X92" s="324"/>
      <c r="Y92" s="324">
        <v>7</v>
      </c>
      <c r="Z92" s="80">
        <v>136</v>
      </c>
      <c r="AA92" s="80">
        <f t="shared" si="34"/>
        <v>4001</v>
      </c>
      <c r="AB92" s="323">
        <f t="shared" si="35"/>
        <v>0</v>
      </c>
      <c r="AC92" s="80">
        <f t="shared" si="36"/>
        <v>136</v>
      </c>
      <c r="AD92" s="80">
        <f t="shared" si="41"/>
        <v>136</v>
      </c>
      <c r="AE92" s="80"/>
      <c r="AF92" s="80"/>
      <c r="AG92" s="80"/>
      <c r="AH92" s="326">
        <f t="shared" si="37"/>
        <v>0</v>
      </c>
      <c r="AI92" s="326">
        <f t="shared" si="38"/>
        <v>0</v>
      </c>
      <c r="AJ92" s="326">
        <f t="shared" si="39"/>
        <v>0</v>
      </c>
      <c r="AK92" s="326">
        <f t="shared" si="40"/>
        <v>0</v>
      </c>
      <c r="AL92" s="326"/>
      <c r="AM92" s="326"/>
      <c r="AN92" s="326"/>
      <c r="AO92" s="326"/>
      <c r="AP92" s="326"/>
      <c r="AQ92" s="326"/>
      <c r="AR92" s="327">
        <f>VLOOKUP(C92,'[1]DA HET SAN XUAT'!$D$8:$AJ$419,33,0)</f>
        <v>0</v>
      </c>
      <c r="AS92" s="209"/>
      <c r="AT92" s="411"/>
      <c r="AU92" s="411"/>
    </row>
    <row r="93" spans="1:47" s="412" customFormat="1" ht="18.75" customHeight="1">
      <c r="A93" s="167">
        <v>81</v>
      </c>
      <c r="B93" s="79" t="str">
        <f>IFERROR(VLOOKUP(A93,O.B.JUNE!$A$7:$C$448,2,0),0)</f>
        <v>ALFANI</v>
      </c>
      <c r="C93" s="174" t="str">
        <f>IFERROR(VLOOKUP(A93,O.B.JUNE!$A$7:$C$448,3,0),0)</f>
        <v>7X733</v>
      </c>
      <c r="D93" s="80">
        <f t="shared" si="29"/>
        <v>0</v>
      </c>
      <c r="E93" s="80">
        <f>IFERROR(VLOOKUP(C93,O.B.JUNE!$C$7:$D$448,2,0),0)</f>
        <v>0</v>
      </c>
      <c r="F93" s="80">
        <v>0</v>
      </c>
      <c r="G93" s="80">
        <f>IFERROR(VLOOKUP(C93,O.B.JUNE!$C$7:$E$448,3,0),0)</f>
        <v>65</v>
      </c>
      <c r="H93" s="80">
        <f t="shared" si="30"/>
        <v>0</v>
      </c>
      <c r="I93" s="80"/>
      <c r="J93" s="80">
        <f t="shared" si="31"/>
        <v>65</v>
      </c>
      <c r="K93" s="80">
        <v>0</v>
      </c>
      <c r="L93" s="80">
        <v>0</v>
      </c>
      <c r="M93" s="81">
        <f t="shared" si="32"/>
        <v>0</v>
      </c>
      <c r="N93" s="81">
        <v>0</v>
      </c>
      <c r="O93" s="81">
        <v>0</v>
      </c>
      <c r="P93" s="81">
        <f t="shared" si="28"/>
        <v>0</v>
      </c>
      <c r="Q93" s="80">
        <f>IFERROR(VLOOKUP(C93,O.B.JUNE!$C$7:$K$448,7,0),0)</f>
        <v>0</v>
      </c>
      <c r="R93" s="80">
        <f>IFERROR(VLOOKUP(C93,O.B.JUNE!$C$7:$J$448,8,0),0)</f>
        <v>0</v>
      </c>
      <c r="S93" s="323">
        <f t="shared" si="33"/>
        <v>65</v>
      </c>
      <c r="T93" s="324">
        <v>0</v>
      </c>
      <c r="U93" s="324">
        <v>65</v>
      </c>
      <c r="V93" s="80"/>
      <c r="W93" s="324">
        <v>0</v>
      </c>
      <c r="X93" s="324"/>
      <c r="Y93" s="324">
        <v>0</v>
      </c>
      <c r="Z93" s="80">
        <v>0</v>
      </c>
      <c r="AA93" s="80">
        <f t="shared" si="34"/>
        <v>65</v>
      </c>
      <c r="AB93" s="323">
        <f t="shared" si="35"/>
        <v>0</v>
      </c>
      <c r="AC93" s="80">
        <f t="shared" si="36"/>
        <v>65</v>
      </c>
      <c r="AD93" s="80">
        <f t="shared" si="41"/>
        <v>65</v>
      </c>
      <c r="AE93" s="80"/>
      <c r="AF93" s="80"/>
      <c r="AG93" s="80"/>
      <c r="AH93" s="326">
        <f t="shared" si="37"/>
        <v>0</v>
      </c>
      <c r="AI93" s="326">
        <f t="shared" si="38"/>
        <v>0</v>
      </c>
      <c r="AJ93" s="326">
        <f t="shared" si="39"/>
        <v>0</v>
      </c>
      <c r="AK93" s="326">
        <f t="shared" si="40"/>
        <v>0</v>
      </c>
      <c r="AL93" s="326"/>
      <c r="AM93" s="326"/>
      <c r="AN93" s="326"/>
      <c r="AO93" s="326"/>
      <c r="AP93" s="326"/>
      <c r="AQ93" s="326"/>
      <c r="AR93" s="327"/>
      <c r="AS93" s="504" t="s">
        <v>658</v>
      </c>
      <c r="AT93" s="411"/>
      <c r="AU93" s="411"/>
    </row>
    <row r="94" spans="1:47" s="412" customFormat="1" ht="18.75" customHeight="1">
      <c r="A94" s="167">
        <v>82</v>
      </c>
      <c r="B94" s="79" t="str">
        <f>IFERROR(VLOOKUP(A94,O.B.JUNE!$A$7:$C$448,2,0),0)</f>
        <v>ANN TAYLOR</v>
      </c>
      <c r="C94" s="174" t="str">
        <f>IFERROR(VLOOKUP(A94,O.B.JUNE!$A$7:$C$448,3,0),0)</f>
        <v>452172(456261)</v>
      </c>
      <c r="D94" s="80">
        <f t="shared" si="29"/>
        <v>0</v>
      </c>
      <c r="E94" s="80">
        <f>IFERROR(VLOOKUP(C94,O.B.JUNE!$C$7:$D$448,2,0),0)</f>
        <v>0</v>
      </c>
      <c r="F94" s="80">
        <v>0</v>
      </c>
      <c r="G94" s="80">
        <f>IFERROR(VLOOKUP(C94,O.B.JUNE!$C$7:$E$448,3,0),0)</f>
        <v>329</v>
      </c>
      <c r="H94" s="80">
        <f t="shared" si="30"/>
        <v>0</v>
      </c>
      <c r="I94" s="80"/>
      <c r="J94" s="80">
        <f t="shared" si="31"/>
        <v>329</v>
      </c>
      <c r="K94" s="80">
        <v>0</v>
      </c>
      <c r="L94" s="80">
        <v>0</v>
      </c>
      <c r="M94" s="81">
        <f t="shared" si="32"/>
        <v>0</v>
      </c>
      <c r="N94" s="81">
        <v>0</v>
      </c>
      <c r="O94" s="81">
        <v>0</v>
      </c>
      <c r="P94" s="81">
        <f t="shared" si="28"/>
        <v>0</v>
      </c>
      <c r="Q94" s="80">
        <f>IFERROR(VLOOKUP(C94,O.B.JUNE!$C$7:$K$448,7,0),0)</f>
        <v>0</v>
      </c>
      <c r="R94" s="80">
        <f>IFERROR(VLOOKUP(C94,O.B.JUNE!$C$7:$J$448,8,0),0)</f>
        <v>0</v>
      </c>
      <c r="S94" s="323">
        <f t="shared" si="33"/>
        <v>329</v>
      </c>
      <c r="T94" s="324">
        <v>0</v>
      </c>
      <c r="U94" s="324">
        <v>329</v>
      </c>
      <c r="V94" s="80"/>
      <c r="W94" s="324">
        <v>0</v>
      </c>
      <c r="X94" s="324"/>
      <c r="Y94" s="324">
        <v>0</v>
      </c>
      <c r="Z94" s="80">
        <v>0</v>
      </c>
      <c r="AA94" s="80">
        <f t="shared" si="34"/>
        <v>329</v>
      </c>
      <c r="AB94" s="323">
        <f t="shared" si="35"/>
        <v>0</v>
      </c>
      <c r="AC94" s="80">
        <f t="shared" si="36"/>
        <v>329</v>
      </c>
      <c r="AD94" s="80">
        <f t="shared" si="41"/>
        <v>329</v>
      </c>
      <c r="AE94" s="80"/>
      <c r="AF94" s="80"/>
      <c r="AG94" s="80"/>
      <c r="AH94" s="326">
        <f t="shared" si="37"/>
        <v>0</v>
      </c>
      <c r="AI94" s="326">
        <f t="shared" si="38"/>
        <v>0</v>
      </c>
      <c r="AJ94" s="326">
        <f t="shared" si="39"/>
        <v>0</v>
      </c>
      <c r="AK94" s="326">
        <f t="shared" si="40"/>
        <v>0</v>
      </c>
      <c r="AL94" s="326"/>
      <c r="AM94" s="326"/>
      <c r="AN94" s="326"/>
      <c r="AO94" s="326"/>
      <c r="AP94" s="326"/>
      <c r="AQ94" s="326"/>
      <c r="AR94" s="327"/>
      <c r="AS94" s="504" t="s">
        <v>658</v>
      </c>
      <c r="AT94" s="411"/>
      <c r="AU94" s="411"/>
    </row>
    <row r="95" spans="1:47" s="412" customFormat="1" ht="18.75" customHeight="1">
      <c r="A95" s="167">
        <v>83</v>
      </c>
      <c r="B95" s="79" t="str">
        <f>IFERROR(VLOOKUP(A95,O.B.JUNE!$A$7:$C$448,2,0),0)</f>
        <v>ANN TAYLOR</v>
      </c>
      <c r="C95" s="174" t="str">
        <f>IFERROR(VLOOKUP(A95,O.B.JUNE!$A$7:$C$448,3,0),0)</f>
        <v>453516(456278)</v>
      </c>
      <c r="D95" s="80">
        <f t="shared" si="29"/>
        <v>0</v>
      </c>
      <c r="E95" s="80">
        <f>IFERROR(VLOOKUP(C95,O.B.JUNE!$C$7:$D$448,2,0),0)</f>
        <v>0</v>
      </c>
      <c r="F95" s="80">
        <v>0</v>
      </c>
      <c r="G95" s="80">
        <f>IFERROR(VLOOKUP(C95,O.B.JUNE!$C$7:$E$448,3,0),0)</f>
        <v>440</v>
      </c>
      <c r="H95" s="80">
        <f t="shared" si="30"/>
        <v>0</v>
      </c>
      <c r="I95" s="80"/>
      <c r="J95" s="80">
        <f t="shared" si="31"/>
        <v>440</v>
      </c>
      <c r="K95" s="80">
        <v>0</v>
      </c>
      <c r="L95" s="80">
        <v>0</v>
      </c>
      <c r="M95" s="81">
        <f t="shared" si="32"/>
        <v>0</v>
      </c>
      <c r="N95" s="81">
        <v>0</v>
      </c>
      <c r="O95" s="81">
        <v>0</v>
      </c>
      <c r="P95" s="81">
        <f t="shared" si="28"/>
        <v>0</v>
      </c>
      <c r="Q95" s="80">
        <f>IFERROR(VLOOKUP(C95,O.B.JUNE!$C$7:$K$448,7,0),0)</f>
        <v>0</v>
      </c>
      <c r="R95" s="80">
        <f>IFERROR(VLOOKUP(C95,O.B.JUNE!$C$7:$J$448,8,0),0)</f>
        <v>0</v>
      </c>
      <c r="S95" s="323">
        <f t="shared" si="33"/>
        <v>440</v>
      </c>
      <c r="T95" s="324">
        <v>0</v>
      </c>
      <c r="U95" s="324">
        <v>440</v>
      </c>
      <c r="V95" s="80"/>
      <c r="W95" s="324">
        <v>0</v>
      </c>
      <c r="X95" s="324"/>
      <c r="Y95" s="324">
        <v>0</v>
      </c>
      <c r="Z95" s="80">
        <v>0</v>
      </c>
      <c r="AA95" s="80">
        <f t="shared" si="34"/>
        <v>440</v>
      </c>
      <c r="AB95" s="323">
        <f t="shared" si="35"/>
        <v>0</v>
      </c>
      <c r="AC95" s="80">
        <f t="shared" si="36"/>
        <v>440</v>
      </c>
      <c r="AD95" s="80">
        <f t="shared" si="41"/>
        <v>440</v>
      </c>
      <c r="AE95" s="80"/>
      <c r="AF95" s="80"/>
      <c r="AG95" s="80"/>
      <c r="AH95" s="326">
        <f t="shared" si="37"/>
        <v>0</v>
      </c>
      <c r="AI95" s="326">
        <f t="shared" si="38"/>
        <v>0</v>
      </c>
      <c r="AJ95" s="326">
        <f t="shared" si="39"/>
        <v>0</v>
      </c>
      <c r="AK95" s="326">
        <f t="shared" si="40"/>
        <v>0</v>
      </c>
      <c r="AL95" s="326"/>
      <c r="AM95" s="326"/>
      <c r="AN95" s="326"/>
      <c r="AO95" s="326"/>
      <c r="AP95" s="326"/>
      <c r="AQ95" s="326"/>
      <c r="AR95" s="327"/>
      <c r="AS95" s="504" t="s">
        <v>658</v>
      </c>
      <c r="AT95" s="411"/>
      <c r="AU95" s="411"/>
    </row>
    <row r="96" spans="1:47" s="412" customFormat="1" ht="18.75" customHeight="1">
      <c r="A96" s="167">
        <v>84</v>
      </c>
      <c r="B96" s="79" t="str">
        <f>IFERROR(VLOOKUP(A96,O.B.JUNE!$A$7:$C$448,2,0),0)</f>
        <v>ANN TAYLOR</v>
      </c>
      <c r="C96" s="174">
        <f>IFERROR(VLOOKUP(A96,O.B.JUNE!$A$7:$C$448,3,0),0)</f>
        <v>453609</v>
      </c>
      <c r="D96" s="80">
        <f t="shared" si="29"/>
        <v>0</v>
      </c>
      <c r="E96" s="80">
        <f>IFERROR(VLOOKUP(C96,O.B.JUNE!$C$7:$D$448,2,0),0)</f>
        <v>0</v>
      </c>
      <c r="F96" s="80">
        <v>0</v>
      </c>
      <c r="G96" s="80">
        <f>IFERROR(VLOOKUP(C96,O.B.JUNE!$C$7:$E$448,3,0),0)</f>
        <v>121</v>
      </c>
      <c r="H96" s="80">
        <f t="shared" si="30"/>
        <v>0</v>
      </c>
      <c r="I96" s="80"/>
      <c r="J96" s="80">
        <f t="shared" si="31"/>
        <v>121</v>
      </c>
      <c r="K96" s="80">
        <v>0</v>
      </c>
      <c r="L96" s="80">
        <v>0</v>
      </c>
      <c r="M96" s="81">
        <f t="shared" si="32"/>
        <v>0</v>
      </c>
      <c r="N96" s="81">
        <v>0</v>
      </c>
      <c r="O96" s="81">
        <v>0</v>
      </c>
      <c r="P96" s="81">
        <f t="shared" si="28"/>
        <v>0</v>
      </c>
      <c r="Q96" s="80">
        <f>IFERROR(VLOOKUP(C96,O.B.JUNE!$C$7:$K$448,7,0),0)</f>
        <v>0</v>
      </c>
      <c r="R96" s="80">
        <f>IFERROR(VLOOKUP(C96,O.B.JUNE!$C$7:$J$448,8,0),0)</f>
        <v>0</v>
      </c>
      <c r="S96" s="323">
        <f t="shared" si="33"/>
        <v>121</v>
      </c>
      <c r="T96" s="324">
        <v>0</v>
      </c>
      <c r="U96" s="324">
        <v>121</v>
      </c>
      <c r="V96" s="80"/>
      <c r="W96" s="324">
        <v>0</v>
      </c>
      <c r="X96" s="324"/>
      <c r="Y96" s="324">
        <v>0</v>
      </c>
      <c r="Z96" s="80">
        <v>0</v>
      </c>
      <c r="AA96" s="80">
        <f t="shared" si="34"/>
        <v>121</v>
      </c>
      <c r="AB96" s="323">
        <f t="shared" si="35"/>
        <v>0</v>
      </c>
      <c r="AC96" s="80">
        <f t="shared" si="36"/>
        <v>121</v>
      </c>
      <c r="AD96" s="80">
        <f t="shared" si="41"/>
        <v>121</v>
      </c>
      <c r="AE96" s="80"/>
      <c r="AF96" s="80"/>
      <c r="AG96" s="80"/>
      <c r="AH96" s="326">
        <f t="shared" si="37"/>
        <v>0</v>
      </c>
      <c r="AI96" s="326">
        <f t="shared" si="38"/>
        <v>0</v>
      </c>
      <c r="AJ96" s="326">
        <f t="shared" si="39"/>
        <v>0</v>
      </c>
      <c r="AK96" s="326">
        <f t="shared" si="40"/>
        <v>0</v>
      </c>
      <c r="AL96" s="326"/>
      <c r="AM96" s="326"/>
      <c r="AN96" s="326"/>
      <c r="AO96" s="326"/>
      <c r="AP96" s="326"/>
      <c r="AQ96" s="326"/>
      <c r="AR96" s="327"/>
      <c r="AS96" s="504" t="s">
        <v>658</v>
      </c>
      <c r="AT96" s="411"/>
      <c r="AU96" s="411"/>
    </row>
    <row r="97" spans="1:47" s="412" customFormat="1" ht="18.75" customHeight="1">
      <c r="A97" s="167">
        <v>85</v>
      </c>
      <c r="B97" s="79" t="str">
        <f>IFERROR(VLOOKUP(A97,O.B.JUNE!$A$7:$C$448,2,0),0)</f>
        <v>ANN TAYLOR</v>
      </c>
      <c r="C97" s="174">
        <f>IFERROR(VLOOKUP(A97,O.B.JUNE!$A$7:$C$448,3,0),0)</f>
        <v>455129</v>
      </c>
      <c r="D97" s="80">
        <f t="shared" si="29"/>
        <v>0</v>
      </c>
      <c r="E97" s="80">
        <f>IFERROR(VLOOKUP(C97,O.B.JUNE!$C$7:$D$448,2,0),0)</f>
        <v>0</v>
      </c>
      <c r="F97" s="80">
        <v>0</v>
      </c>
      <c r="G97" s="80">
        <f>IFERROR(VLOOKUP(C97,O.B.JUNE!$C$7:$E$448,3,0),0)</f>
        <v>97</v>
      </c>
      <c r="H97" s="80">
        <f t="shared" si="30"/>
        <v>0</v>
      </c>
      <c r="I97" s="80"/>
      <c r="J97" s="80">
        <f t="shared" si="31"/>
        <v>97</v>
      </c>
      <c r="K97" s="80">
        <v>0</v>
      </c>
      <c r="L97" s="80">
        <v>0</v>
      </c>
      <c r="M97" s="81">
        <f t="shared" si="32"/>
        <v>0</v>
      </c>
      <c r="N97" s="81">
        <v>0</v>
      </c>
      <c r="O97" s="81">
        <v>0</v>
      </c>
      <c r="P97" s="81">
        <f t="shared" si="28"/>
        <v>0</v>
      </c>
      <c r="Q97" s="80">
        <f>IFERROR(VLOOKUP(C97,O.B.JUNE!$C$7:$K$448,7,0),0)</f>
        <v>0</v>
      </c>
      <c r="R97" s="80">
        <f>IFERROR(VLOOKUP(C97,O.B.JUNE!$C$7:$J$448,8,0),0)</f>
        <v>0</v>
      </c>
      <c r="S97" s="323">
        <f t="shared" si="33"/>
        <v>97</v>
      </c>
      <c r="T97" s="324">
        <v>0</v>
      </c>
      <c r="U97" s="324">
        <v>97</v>
      </c>
      <c r="V97" s="80"/>
      <c r="W97" s="324">
        <v>0</v>
      </c>
      <c r="X97" s="324"/>
      <c r="Y97" s="324">
        <v>0</v>
      </c>
      <c r="Z97" s="80">
        <v>0</v>
      </c>
      <c r="AA97" s="80">
        <f t="shared" si="34"/>
        <v>97</v>
      </c>
      <c r="AB97" s="323">
        <f t="shared" si="35"/>
        <v>0</v>
      </c>
      <c r="AC97" s="80">
        <f t="shared" si="36"/>
        <v>97</v>
      </c>
      <c r="AD97" s="80">
        <f t="shared" si="41"/>
        <v>97</v>
      </c>
      <c r="AE97" s="80"/>
      <c r="AF97" s="80"/>
      <c r="AG97" s="80"/>
      <c r="AH97" s="326">
        <f t="shared" si="37"/>
        <v>0</v>
      </c>
      <c r="AI97" s="326">
        <f t="shared" si="38"/>
        <v>0</v>
      </c>
      <c r="AJ97" s="326">
        <f t="shared" si="39"/>
        <v>0</v>
      </c>
      <c r="AK97" s="326">
        <f t="shared" si="40"/>
        <v>0</v>
      </c>
      <c r="AL97" s="326"/>
      <c r="AM97" s="326"/>
      <c r="AN97" s="326"/>
      <c r="AO97" s="326"/>
      <c r="AP97" s="326"/>
      <c r="AQ97" s="326"/>
      <c r="AR97" s="327"/>
      <c r="AS97" s="504" t="s">
        <v>658</v>
      </c>
      <c r="AT97" s="411"/>
      <c r="AU97" s="411"/>
    </row>
    <row r="98" spans="1:47" s="412" customFormat="1" ht="18.75" customHeight="1">
      <c r="A98" s="167">
        <v>86</v>
      </c>
      <c r="B98" s="79" t="str">
        <f>IFERROR(VLOOKUP(A98,O.B.JUNE!$A$7:$C$448,2,0),0)</f>
        <v>ANN TAYLOR</v>
      </c>
      <c r="C98" s="174">
        <f>IFERROR(VLOOKUP(A98,O.B.JUNE!$A$7:$C$448,3,0),0)</f>
        <v>455571</v>
      </c>
      <c r="D98" s="80">
        <f t="shared" si="29"/>
        <v>0</v>
      </c>
      <c r="E98" s="80">
        <f>IFERROR(VLOOKUP(C98,O.B.JUNE!$C$7:$D$448,2,0),0)</f>
        <v>0</v>
      </c>
      <c r="F98" s="80">
        <v>0</v>
      </c>
      <c r="G98" s="80">
        <f>IFERROR(VLOOKUP(C98,O.B.JUNE!$C$7:$E$448,3,0),0)</f>
        <v>491</v>
      </c>
      <c r="H98" s="80">
        <f t="shared" si="30"/>
        <v>0</v>
      </c>
      <c r="I98" s="80"/>
      <c r="J98" s="80">
        <f t="shared" si="31"/>
        <v>491</v>
      </c>
      <c r="K98" s="80">
        <v>0</v>
      </c>
      <c r="L98" s="80">
        <v>0</v>
      </c>
      <c r="M98" s="81">
        <f t="shared" si="32"/>
        <v>0</v>
      </c>
      <c r="N98" s="81">
        <v>0</v>
      </c>
      <c r="O98" s="81">
        <v>0</v>
      </c>
      <c r="P98" s="81">
        <f t="shared" si="28"/>
        <v>0</v>
      </c>
      <c r="Q98" s="80">
        <f>IFERROR(VLOOKUP(C98,O.B.JUNE!$C$7:$K$448,7,0),0)</f>
        <v>0</v>
      </c>
      <c r="R98" s="80">
        <f>IFERROR(VLOOKUP(C98,O.B.JUNE!$C$7:$J$448,8,0),0)</f>
        <v>13</v>
      </c>
      <c r="S98" s="323">
        <f t="shared" si="33"/>
        <v>504</v>
      </c>
      <c r="T98" s="324">
        <v>0</v>
      </c>
      <c r="U98" s="324">
        <v>491</v>
      </c>
      <c r="V98" s="80"/>
      <c r="W98" s="324">
        <v>0</v>
      </c>
      <c r="X98" s="324"/>
      <c r="Y98" s="324">
        <v>0</v>
      </c>
      <c r="Z98" s="80">
        <v>0</v>
      </c>
      <c r="AA98" s="80">
        <f t="shared" si="34"/>
        <v>491</v>
      </c>
      <c r="AB98" s="323">
        <f t="shared" si="35"/>
        <v>0</v>
      </c>
      <c r="AC98" s="80">
        <f t="shared" si="36"/>
        <v>504</v>
      </c>
      <c r="AD98" s="80">
        <f t="shared" si="41"/>
        <v>504</v>
      </c>
      <c r="AE98" s="80"/>
      <c r="AF98" s="80"/>
      <c r="AG98" s="80"/>
      <c r="AH98" s="326">
        <f t="shared" si="37"/>
        <v>0</v>
      </c>
      <c r="AI98" s="326">
        <f t="shared" si="38"/>
        <v>0</v>
      </c>
      <c r="AJ98" s="326">
        <f t="shared" si="39"/>
        <v>0</v>
      </c>
      <c r="AK98" s="326">
        <f t="shared" si="40"/>
        <v>0</v>
      </c>
      <c r="AL98" s="326"/>
      <c r="AM98" s="326"/>
      <c r="AN98" s="326"/>
      <c r="AO98" s="326"/>
      <c r="AP98" s="326"/>
      <c r="AQ98" s="326"/>
      <c r="AR98" s="327">
        <f>VLOOKUP(C98,'[1]DA HET SAN XUAT'!$D$8:$AJ$419,33,0)</f>
        <v>0</v>
      </c>
      <c r="AS98" s="504" t="s">
        <v>658</v>
      </c>
      <c r="AT98" s="411"/>
      <c r="AU98" s="411"/>
    </row>
    <row r="99" spans="1:47" s="412" customFormat="1" ht="18.75" customHeight="1">
      <c r="A99" s="167">
        <v>87</v>
      </c>
      <c r="B99" s="79" t="str">
        <f>IFERROR(VLOOKUP(A99,O.B.JUNE!$A$7:$C$448,2,0),0)</f>
        <v>ANN TAYLOR</v>
      </c>
      <c r="C99" s="174" t="str">
        <f>IFERROR(VLOOKUP(A99,O.B.JUNE!$A$7:$C$448,3,0),0)</f>
        <v>456532(456692)</v>
      </c>
      <c r="D99" s="80">
        <f t="shared" si="29"/>
        <v>0</v>
      </c>
      <c r="E99" s="80">
        <f>IFERROR(VLOOKUP(C99,O.B.JUNE!$C$7:$D$448,2,0),0)</f>
        <v>0</v>
      </c>
      <c r="F99" s="80">
        <v>0</v>
      </c>
      <c r="G99" s="80">
        <f>IFERROR(VLOOKUP(C99,O.B.JUNE!$C$7:$E$448,3,0),0)</f>
        <v>143</v>
      </c>
      <c r="H99" s="80">
        <f t="shared" si="30"/>
        <v>0</v>
      </c>
      <c r="I99" s="80"/>
      <c r="J99" s="80">
        <f t="shared" si="31"/>
        <v>143</v>
      </c>
      <c r="K99" s="80">
        <v>0</v>
      </c>
      <c r="L99" s="80">
        <v>0</v>
      </c>
      <c r="M99" s="81">
        <f t="shared" si="32"/>
        <v>0</v>
      </c>
      <c r="N99" s="81">
        <v>0</v>
      </c>
      <c r="O99" s="81">
        <v>0</v>
      </c>
      <c r="P99" s="81">
        <f t="shared" si="28"/>
        <v>0</v>
      </c>
      <c r="Q99" s="80">
        <f>IFERROR(VLOOKUP(C99,O.B.JUNE!$C$7:$K$448,7,0),0)</f>
        <v>0</v>
      </c>
      <c r="R99" s="80">
        <f>IFERROR(VLOOKUP(C99,O.B.JUNE!$C$7:$J$448,8,0),0)</f>
        <v>200</v>
      </c>
      <c r="S99" s="323">
        <f t="shared" si="33"/>
        <v>343</v>
      </c>
      <c r="T99" s="324">
        <v>0</v>
      </c>
      <c r="U99" s="324">
        <v>143</v>
      </c>
      <c r="V99" s="80"/>
      <c r="W99" s="324">
        <v>0</v>
      </c>
      <c r="X99" s="324"/>
      <c r="Y99" s="324">
        <v>0</v>
      </c>
      <c r="Z99" s="80">
        <v>0</v>
      </c>
      <c r="AA99" s="80">
        <f t="shared" si="34"/>
        <v>143</v>
      </c>
      <c r="AB99" s="323">
        <f t="shared" si="35"/>
        <v>0</v>
      </c>
      <c r="AC99" s="80">
        <f t="shared" si="36"/>
        <v>343</v>
      </c>
      <c r="AD99" s="80">
        <f t="shared" si="41"/>
        <v>343</v>
      </c>
      <c r="AE99" s="80"/>
      <c r="AF99" s="80"/>
      <c r="AG99" s="80"/>
      <c r="AH99" s="326">
        <f t="shared" si="37"/>
        <v>0</v>
      </c>
      <c r="AI99" s="326">
        <f t="shared" si="38"/>
        <v>0</v>
      </c>
      <c r="AJ99" s="326">
        <f t="shared" si="39"/>
        <v>0</v>
      </c>
      <c r="AK99" s="326">
        <f t="shared" si="40"/>
        <v>0</v>
      </c>
      <c r="AL99" s="326"/>
      <c r="AM99" s="326"/>
      <c r="AN99" s="326"/>
      <c r="AO99" s="326"/>
      <c r="AP99" s="326"/>
      <c r="AQ99" s="326"/>
      <c r="AR99" s="327"/>
      <c r="AS99" s="504" t="s">
        <v>658</v>
      </c>
      <c r="AT99" s="411"/>
      <c r="AU99" s="411"/>
    </row>
    <row r="100" spans="1:47" s="412" customFormat="1" ht="18.75" customHeight="1">
      <c r="A100" s="167">
        <v>88</v>
      </c>
      <c r="B100" s="79" t="str">
        <f>IFERROR(VLOOKUP(A100,O.B.JUNE!$A$7:$C$448,2,0),0)</f>
        <v>BUFFALO</v>
      </c>
      <c r="C100" s="174" t="str">
        <f>IFERROR(VLOOKUP(A100,O.B.JUNE!$A$7:$C$448,3,0),0)</f>
        <v>KCL0026</v>
      </c>
      <c r="D100" s="80">
        <f t="shared" si="29"/>
        <v>0</v>
      </c>
      <c r="E100" s="80">
        <f>IFERROR(VLOOKUP(C100,O.B.JUNE!$C$7:$D$448,2,0),0)</f>
        <v>0</v>
      </c>
      <c r="F100" s="80">
        <v>0</v>
      </c>
      <c r="G100" s="80">
        <f>IFERROR(VLOOKUP(C100,O.B.JUNE!$C$7:$E$448,3,0),0)</f>
        <v>36</v>
      </c>
      <c r="H100" s="80">
        <f t="shared" si="30"/>
        <v>0</v>
      </c>
      <c r="I100" s="80"/>
      <c r="J100" s="80">
        <f t="shared" si="31"/>
        <v>36</v>
      </c>
      <c r="K100" s="80">
        <v>0</v>
      </c>
      <c r="L100" s="80">
        <v>0</v>
      </c>
      <c r="M100" s="81">
        <f t="shared" si="32"/>
        <v>0</v>
      </c>
      <c r="N100" s="81">
        <v>0</v>
      </c>
      <c r="O100" s="81">
        <v>0</v>
      </c>
      <c r="P100" s="81">
        <f t="shared" si="28"/>
        <v>0</v>
      </c>
      <c r="Q100" s="80">
        <f>IFERROR(VLOOKUP(C100,O.B.JUNE!$C$7:$K$448,7,0),0)</f>
        <v>0</v>
      </c>
      <c r="R100" s="80">
        <f>IFERROR(VLOOKUP(C100,O.B.JUNE!$C$7:$J$448,8,0),0)</f>
        <v>0</v>
      </c>
      <c r="S100" s="323">
        <f t="shared" si="33"/>
        <v>36</v>
      </c>
      <c r="T100" s="324">
        <v>0</v>
      </c>
      <c r="U100" s="324">
        <v>36</v>
      </c>
      <c r="V100" s="80"/>
      <c r="W100" s="324">
        <v>0</v>
      </c>
      <c r="X100" s="324"/>
      <c r="Y100" s="324">
        <v>0</v>
      </c>
      <c r="Z100" s="80">
        <v>0</v>
      </c>
      <c r="AA100" s="80">
        <f t="shared" si="34"/>
        <v>36</v>
      </c>
      <c r="AB100" s="323">
        <f t="shared" si="35"/>
        <v>0</v>
      </c>
      <c r="AC100" s="80">
        <f t="shared" si="36"/>
        <v>36</v>
      </c>
      <c r="AD100" s="80">
        <f t="shared" si="41"/>
        <v>36</v>
      </c>
      <c r="AE100" s="80"/>
      <c r="AF100" s="80"/>
      <c r="AG100" s="80"/>
      <c r="AH100" s="326">
        <f t="shared" si="37"/>
        <v>0</v>
      </c>
      <c r="AI100" s="326">
        <f t="shared" si="38"/>
        <v>0</v>
      </c>
      <c r="AJ100" s="326">
        <f t="shared" si="39"/>
        <v>0</v>
      </c>
      <c r="AK100" s="326">
        <f t="shared" si="40"/>
        <v>0</v>
      </c>
      <c r="AL100" s="326"/>
      <c r="AM100" s="326"/>
      <c r="AN100" s="326"/>
      <c r="AO100" s="326"/>
      <c r="AP100" s="326"/>
      <c r="AQ100" s="326"/>
      <c r="AR100" s="327"/>
      <c r="AS100" s="504" t="s">
        <v>658</v>
      </c>
      <c r="AT100" s="411"/>
      <c r="AU100" s="411"/>
    </row>
    <row r="101" spans="1:47" s="412" customFormat="1" ht="18.75" customHeight="1">
      <c r="A101" s="167">
        <v>89</v>
      </c>
      <c r="B101" s="79" t="str">
        <f>IFERROR(VLOOKUP(A101,O.B.JUNE!$A$7:$C$448,2,0),0)</f>
        <v>INC</v>
      </c>
      <c r="C101" s="174">
        <f>IFERROR(VLOOKUP(A101,O.B.JUNE!$A$7:$C$448,3,0),0)</f>
        <v>100007764</v>
      </c>
      <c r="D101" s="80">
        <f t="shared" si="29"/>
        <v>0</v>
      </c>
      <c r="E101" s="80">
        <f>IFERROR(VLOOKUP(C101,O.B.JUNE!$C$7:$D$448,2,0),0)</f>
        <v>57594</v>
      </c>
      <c r="F101" s="80">
        <f>VLOOKUP(C101,'CUTTING ON JUNE'!$A$4:$D$316,3,0)</f>
        <v>57594</v>
      </c>
      <c r="G101" s="80">
        <f>IFERROR(VLOOKUP(C101,O.B.JUNE!$C$7:$E$448,3,0),0)</f>
        <v>1283</v>
      </c>
      <c r="H101" s="80">
        <f t="shared" si="30"/>
        <v>0</v>
      </c>
      <c r="I101" s="80"/>
      <c r="J101" s="80">
        <f t="shared" si="31"/>
        <v>0</v>
      </c>
      <c r="K101" s="80">
        <v>0</v>
      </c>
      <c r="L101" s="80">
        <v>0</v>
      </c>
      <c r="M101" s="81">
        <f t="shared" si="32"/>
        <v>1283</v>
      </c>
      <c r="N101" s="81">
        <v>0</v>
      </c>
      <c r="O101" s="81">
        <v>32</v>
      </c>
      <c r="P101" s="81">
        <f t="shared" si="28"/>
        <v>1251</v>
      </c>
      <c r="Q101" s="80">
        <f>IFERROR(VLOOKUP(C101,O.B.JUNE!$C$7:$K$448,7,0),0)</f>
        <v>0</v>
      </c>
      <c r="R101" s="80">
        <f>IFERROR(VLOOKUP(C101,O.B.JUNE!$C$7:$J$448,8,0),0)</f>
        <v>0</v>
      </c>
      <c r="S101" s="323">
        <f t="shared" si="33"/>
        <v>0</v>
      </c>
      <c r="T101" s="324">
        <v>0</v>
      </c>
      <c r="U101" s="324"/>
      <c r="V101" s="80"/>
      <c r="W101" s="324">
        <v>0</v>
      </c>
      <c r="X101" s="324"/>
      <c r="Y101" s="324">
        <v>0</v>
      </c>
      <c r="Z101" s="80">
        <v>0</v>
      </c>
      <c r="AA101" s="80">
        <f t="shared" si="34"/>
        <v>0</v>
      </c>
      <c r="AB101" s="323">
        <f t="shared" si="35"/>
        <v>0</v>
      </c>
      <c r="AC101" s="80">
        <f t="shared" si="36"/>
        <v>0</v>
      </c>
      <c r="AD101" s="80">
        <f t="shared" si="41"/>
        <v>0</v>
      </c>
      <c r="AE101" s="80"/>
      <c r="AF101" s="80"/>
      <c r="AG101" s="80"/>
      <c r="AH101" s="326">
        <f t="shared" si="37"/>
        <v>0</v>
      </c>
      <c r="AI101" s="326">
        <f t="shared" si="38"/>
        <v>0</v>
      </c>
      <c r="AJ101" s="326">
        <f t="shared" si="39"/>
        <v>0</v>
      </c>
      <c r="AK101" s="326">
        <f t="shared" si="40"/>
        <v>0</v>
      </c>
      <c r="AL101" s="326"/>
      <c r="AM101" s="326"/>
      <c r="AN101" s="326"/>
      <c r="AO101" s="326"/>
      <c r="AP101" s="326"/>
      <c r="AQ101" s="326"/>
      <c r="AR101" s="327"/>
      <c r="AS101" s="209"/>
      <c r="AT101" s="411"/>
      <c r="AU101" s="411"/>
    </row>
    <row r="102" spans="1:47" s="412" customFormat="1" ht="18.75" customHeight="1">
      <c r="A102" s="167">
        <v>90</v>
      </c>
      <c r="B102" s="79" t="str">
        <f>IFERROR(VLOOKUP(A102,O.B.JUNE!$A$7:$C$448,2,0),0)</f>
        <v>INC</v>
      </c>
      <c r="C102" s="174">
        <f>IFERROR(VLOOKUP(A102,O.B.JUNE!$A$7:$C$448,3,0),0)</f>
        <v>100007863</v>
      </c>
      <c r="D102" s="80">
        <f t="shared" si="29"/>
        <v>0</v>
      </c>
      <c r="E102" s="80">
        <f>IFERROR(VLOOKUP(C102,O.B.JUNE!$C$7:$D$448,2,0),0)</f>
        <v>0</v>
      </c>
      <c r="F102" s="80">
        <v>0</v>
      </c>
      <c r="G102" s="80">
        <f>IFERROR(VLOOKUP(C102,O.B.JUNE!$C$7:$E$448,3,0),0)</f>
        <v>43</v>
      </c>
      <c r="H102" s="80">
        <f t="shared" si="30"/>
        <v>0</v>
      </c>
      <c r="I102" s="80"/>
      <c r="J102" s="80">
        <f t="shared" si="31"/>
        <v>43</v>
      </c>
      <c r="K102" s="80">
        <v>0</v>
      </c>
      <c r="L102" s="80">
        <v>0</v>
      </c>
      <c r="M102" s="81">
        <f t="shared" si="32"/>
        <v>0</v>
      </c>
      <c r="N102" s="81">
        <v>0</v>
      </c>
      <c r="O102" s="81">
        <v>0</v>
      </c>
      <c r="P102" s="81">
        <f t="shared" si="28"/>
        <v>0</v>
      </c>
      <c r="Q102" s="80">
        <f>IFERROR(VLOOKUP(C102,O.B.JUNE!$C$7:$K$448,7,0),0)</f>
        <v>0</v>
      </c>
      <c r="R102" s="80">
        <f>IFERROR(VLOOKUP(C102,O.B.JUNE!$C$7:$J$448,8,0),0)</f>
        <v>0</v>
      </c>
      <c r="S102" s="323">
        <f t="shared" si="33"/>
        <v>43</v>
      </c>
      <c r="T102" s="324">
        <v>0</v>
      </c>
      <c r="U102" s="324">
        <v>43</v>
      </c>
      <c r="V102" s="80"/>
      <c r="W102" s="324">
        <v>0</v>
      </c>
      <c r="X102" s="324"/>
      <c r="Y102" s="324">
        <v>0</v>
      </c>
      <c r="Z102" s="80">
        <v>0</v>
      </c>
      <c r="AA102" s="80">
        <f t="shared" si="34"/>
        <v>43</v>
      </c>
      <c r="AB102" s="323">
        <f t="shared" si="35"/>
        <v>0</v>
      </c>
      <c r="AC102" s="80">
        <f t="shared" si="36"/>
        <v>43</v>
      </c>
      <c r="AD102" s="80">
        <f t="shared" si="41"/>
        <v>43</v>
      </c>
      <c r="AE102" s="80"/>
      <c r="AF102" s="80"/>
      <c r="AG102" s="80"/>
      <c r="AH102" s="326">
        <f t="shared" si="37"/>
        <v>0</v>
      </c>
      <c r="AI102" s="326">
        <f t="shared" si="38"/>
        <v>0</v>
      </c>
      <c r="AJ102" s="326">
        <f t="shared" si="39"/>
        <v>0</v>
      </c>
      <c r="AK102" s="326">
        <f t="shared" si="40"/>
        <v>0</v>
      </c>
      <c r="AL102" s="326"/>
      <c r="AM102" s="326"/>
      <c r="AN102" s="326"/>
      <c r="AO102" s="326"/>
      <c r="AP102" s="326"/>
      <c r="AQ102" s="326"/>
      <c r="AR102" s="327"/>
      <c r="AS102" s="504" t="s">
        <v>658</v>
      </c>
      <c r="AT102" s="411"/>
      <c r="AU102" s="411"/>
    </row>
    <row r="103" spans="1:47" s="412" customFormat="1" ht="18.75" customHeight="1">
      <c r="A103" s="167">
        <v>91</v>
      </c>
      <c r="B103" s="79" t="str">
        <f>IFERROR(VLOOKUP(A103,O.B.JUNE!$A$7:$C$448,2,0),0)</f>
        <v>INC</v>
      </c>
      <c r="C103" s="174">
        <f>IFERROR(VLOOKUP(A103,O.B.JUNE!$A$7:$C$448,3,0),0)</f>
        <v>100009688</v>
      </c>
      <c r="D103" s="80">
        <f t="shared" si="29"/>
        <v>0</v>
      </c>
      <c r="E103" s="80">
        <f>IFERROR(VLOOKUP(C103,O.B.JUNE!$C$7:$D$448,2,0),0)</f>
        <v>0</v>
      </c>
      <c r="F103" s="80">
        <v>0</v>
      </c>
      <c r="G103" s="80">
        <f>IFERROR(VLOOKUP(C103,O.B.JUNE!$C$7:$E$448,3,0),0)</f>
        <v>48</v>
      </c>
      <c r="H103" s="80">
        <f t="shared" si="30"/>
        <v>0</v>
      </c>
      <c r="I103" s="80"/>
      <c r="J103" s="80">
        <f t="shared" si="31"/>
        <v>48</v>
      </c>
      <c r="K103" s="80">
        <v>0</v>
      </c>
      <c r="L103" s="80">
        <v>0</v>
      </c>
      <c r="M103" s="81">
        <f t="shared" si="32"/>
        <v>0</v>
      </c>
      <c r="N103" s="81">
        <v>0</v>
      </c>
      <c r="O103" s="81">
        <v>0</v>
      </c>
      <c r="P103" s="81">
        <f t="shared" si="28"/>
        <v>0</v>
      </c>
      <c r="Q103" s="80">
        <f>IFERROR(VLOOKUP(C103,O.B.JUNE!$C$7:$K$448,7,0),0)</f>
        <v>0</v>
      </c>
      <c r="R103" s="80">
        <f>IFERROR(VLOOKUP(C103,O.B.JUNE!$C$7:$J$448,8,0),0)</f>
        <v>0</v>
      </c>
      <c r="S103" s="323">
        <f t="shared" si="33"/>
        <v>48</v>
      </c>
      <c r="T103" s="324">
        <v>0</v>
      </c>
      <c r="U103" s="324">
        <v>48</v>
      </c>
      <c r="V103" s="80"/>
      <c r="W103" s="324">
        <v>0</v>
      </c>
      <c r="X103" s="324"/>
      <c r="Y103" s="324">
        <v>0</v>
      </c>
      <c r="Z103" s="80">
        <v>0</v>
      </c>
      <c r="AA103" s="80">
        <f t="shared" si="34"/>
        <v>48</v>
      </c>
      <c r="AB103" s="323">
        <f t="shared" si="35"/>
        <v>0</v>
      </c>
      <c r="AC103" s="80">
        <f t="shared" si="36"/>
        <v>48</v>
      </c>
      <c r="AD103" s="80">
        <f t="shared" si="41"/>
        <v>48</v>
      </c>
      <c r="AE103" s="80"/>
      <c r="AF103" s="80"/>
      <c r="AG103" s="80"/>
      <c r="AH103" s="326">
        <f t="shared" si="37"/>
        <v>0</v>
      </c>
      <c r="AI103" s="326">
        <f t="shared" si="38"/>
        <v>0</v>
      </c>
      <c r="AJ103" s="326">
        <f t="shared" si="39"/>
        <v>0</v>
      </c>
      <c r="AK103" s="326">
        <f t="shared" si="40"/>
        <v>0</v>
      </c>
      <c r="AL103" s="326"/>
      <c r="AM103" s="326"/>
      <c r="AN103" s="326"/>
      <c r="AO103" s="326"/>
      <c r="AP103" s="326"/>
      <c r="AQ103" s="326"/>
      <c r="AR103" s="327"/>
      <c r="AS103" s="504" t="s">
        <v>658</v>
      </c>
      <c r="AT103" s="411"/>
      <c r="AU103" s="411"/>
    </row>
    <row r="104" spans="1:47" s="412" customFormat="1" ht="18.75" customHeight="1">
      <c r="A104" s="167">
        <v>92</v>
      </c>
      <c r="B104" s="79" t="str">
        <f>IFERROR(VLOOKUP(A104,O.B.JUNE!$A$7:$C$448,2,0),0)</f>
        <v>INC</v>
      </c>
      <c r="C104" s="174">
        <f>IFERROR(VLOOKUP(A104,O.B.JUNE!$A$7:$C$448,3,0),0)</f>
        <v>100012436</v>
      </c>
      <c r="D104" s="80">
        <f t="shared" si="29"/>
        <v>0</v>
      </c>
      <c r="E104" s="80">
        <f>IFERROR(VLOOKUP(C104,O.B.JUNE!$C$7:$D$448,2,0),0)</f>
        <v>0</v>
      </c>
      <c r="F104" s="80">
        <v>0</v>
      </c>
      <c r="G104" s="80">
        <f>IFERROR(VLOOKUP(C104,O.B.JUNE!$C$7:$E$448,3,0),0)</f>
        <v>88</v>
      </c>
      <c r="H104" s="80">
        <f t="shared" si="30"/>
        <v>0</v>
      </c>
      <c r="I104" s="80"/>
      <c r="J104" s="80">
        <f t="shared" si="31"/>
        <v>88</v>
      </c>
      <c r="K104" s="80">
        <v>0</v>
      </c>
      <c r="L104" s="80">
        <v>0</v>
      </c>
      <c r="M104" s="81">
        <f t="shared" si="32"/>
        <v>0</v>
      </c>
      <c r="N104" s="81">
        <v>0</v>
      </c>
      <c r="O104" s="81">
        <v>0</v>
      </c>
      <c r="P104" s="81">
        <f t="shared" si="28"/>
        <v>0</v>
      </c>
      <c r="Q104" s="80">
        <f>IFERROR(VLOOKUP(C104,O.B.JUNE!$C$7:$K$448,7,0),0)</f>
        <v>0</v>
      </c>
      <c r="R104" s="80">
        <f>IFERROR(VLOOKUP(C104,O.B.JUNE!$C$7:$J$448,8,0),0)</f>
        <v>0</v>
      </c>
      <c r="S104" s="323">
        <f t="shared" si="33"/>
        <v>88</v>
      </c>
      <c r="T104" s="324">
        <v>0</v>
      </c>
      <c r="U104" s="324">
        <v>88</v>
      </c>
      <c r="V104" s="80"/>
      <c r="W104" s="324">
        <v>0</v>
      </c>
      <c r="X104" s="324"/>
      <c r="Y104" s="324">
        <v>0</v>
      </c>
      <c r="Z104" s="80">
        <v>0</v>
      </c>
      <c r="AA104" s="80">
        <f t="shared" si="34"/>
        <v>88</v>
      </c>
      <c r="AB104" s="323">
        <f t="shared" si="35"/>
        <v>0</v>
      </c>
      <c r="AC104" s="80">
        <f t="shared" si="36"/>
        <v>88</v>
      </c>
      <c r="AD104" s="80">
        <f t="shared" si="41"/>
        <v>88</v>
      </c>
      <c r="AE104" s="80"/>
      <c r="AF104" s="80"/>
      <c r="AG104" s="80"/>
      <c r="AH104" s="326">
        <f t="shared" si="37"/>
        <v>0</v>
      </c>
      <c r="AI104" s="326">
        <f t="shared" si="38"/>
        <v>0</v>
      </c>
      <c r="AJ104" s="326">
        <f t="shared" si="39"/>
        <v>0</v>
      </c>
      <c r="AK104" s="326">
        <f t="shared" si="40"/>
        <v>0</v>
      </c>
      <c r="AL104" s="326"/>
      <c r="AM104" s="326"/>
      <c r="AN104" s="326"/>
      <c r="AO104" s="326"/>
      <c r="AP104" s="326"/>
      <c r="AQ104" s="326"/>
      <c r="AR104" s="327"/>
      <c r="AS104" s="504" t="s">
        <v>658</v>
      </c>
      <c r="AT104" s="411"/>
      <c r="AU104" s="411"/>
    </row>
    <row r="105" spans="1:47" s="412" customFormat="1" ht="18.75" customHeight="1">
      <c r="A105" s="167">
        <v>93</v>
      </c>
      <c r="B105" s="79" t="str">
        <f>IFERROR(VLOOKUP(A105,O.B.JUNE!$A$7:$C$448,2,0),0)</f>
        <v>INC</v>
      </c>
      <c r="C105" s="174">
        <f>IFERROR(VLOOKUP(A105,O.B.JUNE!$A$7:$C$448,3,0),0)</f>
        <v>100012476</v>
      </c>
      <c r="D105" s="80">
        <f t="shared" si="29"/>
        <v>0</v>
      </c>
      <c r="E105" s="80">
        <f>IFERROR(VLOOKUP(C105,O.B.JUNE!$C$7:$D$448,2,0),0)</f>
        <v>0</v>
      </c>
      <c r="F105" s="80">
        <v>0</v>
      </c>
      <c r="G105" s="80">
        <f>IFERROR(VLOOKUP(C105,O.B.JUNE!$C$7:$E$448,3,0),0)</f>
        <v>168</v>
      </c>
      <c r="H105" s="80">
        <f t="shared" si="30"/>
        <v>0</v>
      </c>
      <c r="I105" s="80"/>
      <c r="J105" s="80">
        <f t="shared" si="31"/>
        <v>168</v>
      </c>
      <c r="K105" s="80">
        <v>0</v>
      </c>
      <c r="L105" s="80">
        <v>0</v>
      </c>
      <c r="M105" s="81">
        <f t="shared" si="32"/>
        <v>0</v>
      </c>
      <c r="N105" s="81">
        <v>0</v>
      </c>
      <c r="O105" s="81">
        <v>0</v>
      </c>
      <c r="P105" s="81">
        <f t="shared" si="28"/>
        <v>0</v>
      </c>
      <c r="Q105" s="80">
        <f>IFERROR(VLOOKUP(C105,O.B.JUNE!$C$7:$K$448,7,0),0)</f>
        <v>0</v>
      </c>
      <c r="R105" s="80">
        <f>IFERROR(VLOOKUP(C105,O.B.JUNE!$C$7:$J$448,8,0),0)</f>
        <v>0</v>
      </c>
      <c r="S105" s="323">
        <f t="shared" si="33"/>
        <v>168</v>
      </c>
      <c r="T105" s="324">
        <v>0</v>
      </c>
      <c r="U105" s="324">
        <v>168</v>
      </c>
      <c r="V105" s="80"/>
      <c r="W105" s="324">
        <v>0</v>
      </c>
      <c r="X105" s="324"/>
      <c r="Y105" s="324">
        <v>0</v>
      </c>
      <c r="Z105" s="80">
        <v>0</v>
      </c>
      <c r="AA105" s="80">
        <f t="shared" si="34"/>
        <v>168</v>
      </c>
      <c r="AB105" s="323">
        <f t="shared" si="35"/>
        <v>0</v>
      </c>
      <c r="AC105" s="80">
        <f t="shared" si="36"/>
        <v>168</v>
      </c>
      <c r="AD105" s="80">
        <f t="shared" si="41"/>
        <v>168</v>
      </c>
      <c r="AE105" s="80"/>
      <c r="AF105" s="80"/>
      <c r="AG105" s="80"/>
      <c r="AH105" s="326">
        <f t="shared" si="37"/>
        <v>0</v>
      </c>
      <c r="AI105" s="326">
        <f t="shared" si="38"/>
        <v>0</v>
      </c>
      <c r="AJ105" s="326">
        <f t="shared" si="39"/>
        <v>0</v>
      </c>
      <c r="AK105" s="326">
        <f t="shared" si="40"/>
        <v>0</v>
      </c>
      <c r="AL105" s="326"/>
      <c r="AM105" s="326"/>
      <c r="AN105" s="326"/>
      <c r="AO105" s="326"/>
      <c r="AP105" s="326"/>
      <c r="AQ105" s="326"/>
      <c r="AR105" s="327"/>
      <c r="AS105" s="504" t="s">
        <v>658</v>
      </c>
      <c r="AT105" s="411"/>
      <c r="AU105" s="411"/>
    </row>
    <row r="106" spans="1:47" s="412" customFormat="1" ht="18.75" customHeight="1">
      <c r="A106" s="167">
        <v>94</v>
      </c>
      <c r="B106" s="79" t="str">
        <f>IFERROR(VLOOKUP(A106,O.B.JUNE!$A$7:$C$448,2,0),0)</f>
        <v>INC</v>
      </c>
      <c r="C106" s="174">
        <f>IFERROR(VLOOKUP(A106,O.B.JUNE!$A$7:$C$448,3,0),0)</f>
        <v>100013564</v>
      </c>
      <c r="D106" s="80">
        <f t="shared" si="29"/>
        <v>0</v>
      </c>
      <c r="E106" s="80">
        <f>IFERROR(VLOOKUP(C106,O.B.JUNE!$C$7:$D$448,2,0),0)</f>
        <v>0</v>
      </c>
      <c r="F106" s="80">
        <v>0</v>
      </c>
      <c r="G106" s="80">
        <f>IFERROR(VLOOKUP(C106,O.B.JUNE!$C$7:$E$448,3,0),0)</f>
        <v>198</v>
      </c>
      <c r="H106" s="80">
        <f t="shared" si="30"/>
        <v>0</v>
      </c>
      <c r="I106" s="80"/>
      <c r="J106" s="80">
        <f t="shared" si="31"/>
        <v>198</v>
      </c>
      <c r="K106" s="80">
        <v>0</v>
      </c>
      <c r="L106" s="80">
        <v>0</v>
      </c>
      <c r="M106" s="81">
        <f t="shared" si="32"/>
        <v>0</v>
      </c>
      <c r="N106" s="81">
        <v>0</v>
      </c>
      <c r="O106" s="81">
        <v>0</v>
      </c>
      <c r="P106" s="81">
        <f t="shared" si="28"/>
        <v>0</v>
      </c>
      <c r="Q106" s="80">
        <f>IFERROR(VLOOKUP(C106,O.B.JUNE!$C$7:$K$448,7,0),0)</f>
        <v>0</v>
      </c>
      <c r="R106" s="80">
        <f>IFERROR(VLOOKUP(C106,O.B.JUNE!$C$7:$J$448,8,0),0)</f>
        <v>0</v>
      </c>
      <c r="S106" s="323">
        <f t="shared" si="33"/>
        <v>198</v>
      </c>
      <c r="T106" s="324">
        <v>0</v>
      </c>
      <c r="U106" s="324">
        <v>198</v>
      </c>
      <c r="V106" s="80"/>
      <c r="W106" s="324">
        <v>0</v>
      </c>
      <c r="X106" s="324"/>
      <c r="Y106" s="324">
        <v>0</v>
      </c>
      <c r="Z106" s="80">
        <v>0</v>
      </c>
      <c r="AA106" s="80">
        <f t="shared" si="34"/>
        <v>198</v>
      </c>
      <c r="AB106" s="323">
        <f t="shared" si="35"/>
        <v>0</v>
      </c>
      <c r="AC106" s="80">
        <f t="shared" si="36"/>
        <v>198</v>
      </c>
      <c r="AD106" s="80">
        <f t="shared" si="41"/>
        <v>198</v>
      </c>
      <c r="AE106" s="80"/>
      <c r="AF106" s="80"/>
      <c r="AG106" s="80"/>
      <c r="AH106" s="326">
        <f t="shared" si="37"/>
        <v>0</v>
      </c>
      <c r="AI106" s="326">
        <f t="shared" si="38"/>
        <v>0</v>
      </c>
      <c r="AJ106" s="326">
        <f t="shared" si="39"/>
        <v>0</v>
      </c>
      <c r="AK106" s="326">
        <f t="shared" si="40"/>
        <v>0</v>
      </c>
      <c r="AL106" s="326"/>
      <c r="AM106" s="326"/>
      <c r="AN106" s="326"/>
      <c r="AO106" s="326"/>
      <c r="AP106" s="326"/>
      <c r="AQ106" s="326"/>
      <c r="AR106" s="327"/>
      <c r="AS106" s="504" t="s">
        <v>658</v>
      </c>
      <c r="AT106" s="411"/>
      <c r="AU106" s="411"/>
    </row>
    <row r="107" spans="1:47" s="412" customFormat="1" ht="18.75" customHeight="1">
      <c r="A107" s="167">
        <v>95</v>
      </c>
      <c r="B107" s="79" t="str">
        <f>IFERROR(VLOOKUP(A107,O.B.JUNE!$A$7:$C$448,2,0),0)</f>
        <v>J JILL</v>
      </c>
      <c r="C107" s="174" t="str">
        <f>IFERROR(VLOOKUP(A107,O.B.JUNE!$A$7:$C$448,3,0),0)</f>
        <v>KDR112751</v>
      </c>
      <c r="D107" s="80">
        <f t="shared" si="29"/>
        <v>0</v>
      </c>
      <c r="E107" s="80">
        <f>IFERROR(VLOOKUP(C107,O.B.JUNE!$C$7:$D$448,2,0),0)</f>
        <v>0</v>
      </c>
      <c r="F107" s="80">
        <v>0</v>
      </c>
      <c r="G107" s="80">
        <f>IFERROR(VLOOKUP(C107,O.B.JUNE!$C$7:$E$448,3,0),0)</f>
        <v>104</v>
      </c>
      <c r="H107" s="80">
        <f t="shared" si="30"/>
        <v>0</v>
      </c>
      <c r="I107" s="80"/>
      <c r="J107" s="80">
        <f t="shared" si="31"/>
        <v>104</v>
      </c>
      <c r="K107" s="80">
        <v>0</v>
      </c>
      <c r="L107" s="80">
        <v>0</v>
      </c>
      <c r="M107" s="81">
        <f t="shared" si="32"/>
        <v>0</v>
      </c>
      <c r="N107" s="81">
        <v>0</v>
      </c>
      <c r="O107" s="81">
        <v>0</v>
      </c>
      <c r="P107" s="81">
        <f t="shared" si="28"/>
        <v>0</v>
      </c>
      <c r="Q107" s="80">
        <f>IFERROR(VLOOKUP(C107,O.B.JUNE!$C$7:$K$448,7,0),0)</f>
        <v>0</v>
      </c>
      <c r="R107" s="80">
        <f>IFERROR(VLOOKUP(C107,O.B.JUNE!$C$7:$J$448,8,0),0)</f>
        <v>0</v>
      </c>
      <c r="S107" s="323">
        <f t="shared" si="33"/>
        <v>104</v>
      </c>
      <c r="T107" s="324">
        <v>0</v>
      </c>
      <c r="U107" s="324">
        <v>104</v>
      </c>
      <c r="V107" s="80"/>
      <c r="W107" s="324">
        <v>0</v>
      </c>
      <c r="X107" s="324"/>
      <c r="Y107" s="324">
        <v>0</v>
      </c>
      <c r="Z107" s="80">
        <v>0</v>
      </c>
      <c r="AA107" s="80">
        <f t="shared" si="34"/>
        <v>104</v>
      </c>
      <c r="AB107" s="323">
        <f t="shared" si="35"/>
        <v>0</v>
      </c>
      <c r="AC107" s="80">
        <f t="shared" si="36"/>
        <v>104</v>
      </c>
      <c r="AD107" s="80">
        <f t="shared" si="41"/>
        <v>104</v>
      </c>
      <c r="AE107" s="80"/>
      <c r="AF107" s="80"/>
      <c r="AG107" s="80"/>
      <c r="AH107" s="326">
        <f t="shared" si="37"/>
        <v>0</v>
      </c>
      <c r="AI107" s="326">
        <f t="shared" si="38"/>
        <v>0</v>
      </c>
      <c r="AJ107" s="326">
        <f t="shared" si="39"/>
        <v>0</v>
      </c>
      <c r="AK107" s="326">
        <f t="shared" si="40"/>
        <v>0</v>
      </c>
      <c r="AL107" s="326"/>
      <c r="AM107" s="326"/>
      <c r="AN107" s="326"/>
      <c r="AO107" s="326"/>
      <c r="AP107" s="326"/>
      <c r="AQ107" s="326"/>
      <c r="AR107" s="327"/>
      <c r="AS107" s="504" t="s">
        <v>658</v>
      </c>
      <c r="AT107" s="411"/>
      <c r="AU107" s="411"/>
    </row>
    <row r="108" spans="1:47" s="412" customFormat="1" ht="18.75" customHeight="1">
      <c r="A108" s="167">
        <v>96</v>
      </c>
      <c r="B108" s="79" t="str">
        <f>IFERROR(VLOOKUP(A108,O.B.JUNE!$A$7:$C$448,2,0),0)</f>
        <v>J JILL</v>
      </c>
      <c r="C108" s="174" t="str">
        <f>IFERROR(VLOOKUP(A108,O.B.JUNE!$A$7:$C$448,3,0),0)</f>
        <v>KJT112641</v>
      </c>
      <c r="D108" s="80">
        <f t="shared" si="29"/>
        <v>0</v>
      </c>
      <c r="E108" s="80">
        <f>IFERROR(VLOOKUP(C108,O.B.JUNE!$C$7:$D$448,2,0),0)</f>
        <v>0</v>
      </c>
      <c r="F108" s="80">
        <v>0</v>
      </c>
      <c r="G108" s="80">
        <f>IFERROR(VLOOKUP(C108,O.B.JUNE!$C$7:$E$448,3,0),0)</f>
        <v>278</v>
      </c>
      <c r="H108" s="80">
        <f t="shared" si="30"/>
        <v>0</v>
      </c>
      <c r="I108" s="80"/>
      <c r="J108" s="80">
        <f t="shared" si="31"/>
        <v>278</v>
      </c>
      <c r="K108" s="80">
        <v>0</v>
      </c>
      <c r="L108" s="80">
        <v>0</v>
      </c>
      <c r="M108" s="81">
        <f t="shared" si="32"/>
        <v>0</v>
      </c>
      <c r="N108" s="81">
        <v>0</v>
      </c>
      <c r="O108" s="81">
        <v>0</v>
      </c>
      <c r="P108" s="81">
        <f t="shared" si="28"/>
        <v>0</v>
      </c>
      <c r="Q108" s="80">
        <f>IFERROR(VLOOKUP(C108,O.B.JUNE!$C$7:$K$448,7,0),0)</f>
        <v>0</v>
      </c>
      <c r="R108" s="80">
        <f>IFERROR(VLOOKUP(C108,O.B.JUNE!$C$7:$J$448,8,0),0)</f>
        <v>0</v>
      </c>
      <c r="S108" s="323">
        <f t="shared" si="33"/>
        <v>278</v>
      </c>
      <c r="T108" s="324">
        <v>0</v>
      </c>
      <c r="U108" s="324">
        <v>278</v>
      </c>
      <c r="V108" s="80"/>
      <c r="W108" s="324">
        <v>0</v>
      </c>
      <c r="X108" s="324"/>
      <c r="Y108" s="324">
        <v>0</v>
      </c>
      <c r="Z108" s="80">
        <v>0</v>
      </c>
      <c r="AA108" s="80">
        <f t="shared" si="34"/>
        <v>278</v>
      </c>
      <c r="AB108" s="323">
        <f t="shared" si="35"/>
        <v>0</v>
      </c>
      <c r="AC108" s="80">
        <f t="shared" si="36"/>
        <v>278</v>
      </c>
      <c r="AD108" s="80">
        <f t="shared" si="41"/>
        <v>278</v>
      </c>
      <c r="AE108" s="80"/>
      <c r="AF108" s="80"/>
      <c r="AG108" s="80"/>
      <c r="AH108" s="326">
        <f t="shared" si="37"/>
        <v>0</v>
      </c>
      <c r="AI108" s="326">
        <f t="shared" si="38"/>
        <v>0</v>
      </c>
      <c r="AJ108" s="326">
        <f t="shared" si="39"/>
        <v>0</v>
      </c>
      <c r="AK108" s="326">
        <f t="shared" si="40"/>
        <v>0</v>
      </c>
      <c r="AL108" s="326"/>
      <c r="AM108" s="326"/>
      <c r="AN108" s="326"/>
      <c r="AO108" s="326"/>
      <c r="AP108" s="326"/>
      <c r="AQ108" s="326"/>
      <c r="AR108" s="327">
        <f>VLOOKUP(C108,'[1]DA HET SAN XUAT'!$D$8:$AJ$419,33,0)</f>
        <v>0</v>
      </c>
      <c r="AS108" s="504" t="s">
        <v>658</v>
      </c>
      <c r="AT108" s="411"/>
      <c r="AU108" s="411"/>
    </row>
    <row r="109" spans="1:47" s="412" customFormat="1" ht="18.75" customHeight="1">
      <c r="A109" s="167">
        <v>97</v>
      </c>
      <c r="B109" s="79" t="str">
        <f>IFERROR(VLOOKUP(A109,O.B.JUNE!$A$7:$C$448,2,0),0)</f>
        <v>J JILL</v>
      </c>
      <c r="C109" s="174" t="str">
        <f>IFERROR(VLOOKUP(A109,O.B.JUNE!$A$7:$C$448,3,0),0)</f>
        <v>KJT113771</v>
      </c>
      <c r="D109" s="80">
        <f t="shared" si="29"/>
        <v>0</v>
      </c>
      <c r="E109" s="80">
        <f>IFERROR(VLOOKUP(C109,O.B.JUNE!$C$7:$D$448,2,0),0)</f>
        <v>0</v>
      </c>
      <c r="F109" s="80">
        <v>0</v>
      </c>
      <c r="G109" s="80">
        <f>IFERROR(VLOOKUP(C109,O.B.JUNE!$C$7:$E$448,3,0),0)</f>
        <v>115</v>
      </c>
      <c r="H109" s="80">
        <f t="shared" si="30"/>
        <v>0</v>
      </c>
      <c r="I109" s="80"/>
      <c r="J109" s="80">
        <f t="shared" si="31"/>
        <v>115</v>
      </c>
      <c r="K109" s="80">
        <v>0</v>
      </c>
      <c r="L109" s="80">
        <v>0</v>
      </c>
      <c r="M109" s="81">
        <f t="shared" si="32"/>
        <v>0</v>
      </c>
      <c r="N109" s="81">
        <v>0</v>
      </c>
      <c r="O109" s="81">
        <v>0</v>
      </c>
      <c r="P109" s="81">
        <f t="shared" si="28"/>
        <v>0</v>
      </c>
      <c r="Q109" s="80">
        <f>IFERROR(VLOOKUP(C109,O.B.JUNE!$C$7:$K$448,7,0),0)</f>
        <v>0</v>
      </c>
      <c r="R109" s="80">
        <f>IFERROR(VLOOKUP(C109,O.B.JUNE!$C$7:$J$448,8,0),0)</f>
        <v>0</v>
      </c>
      <c r="S109" s="323">
        <f t="shared" si="33"/>
        <v>115</v>
      </c>
      <c r="T109" s="324">
        <v>0</v>
      </c>
      <c r="U109" s="324">
        <v>115</v>
      </c>
      <c r="V109" s="80"/>
      <c r="W109" s="324">
        <v>0</v>
      </c>
      <c r="X109" s="324"/>
      <c r="Y109" s="324">
        <v>0</v>
      </c>
      <c r="Z109" s="80">
        <v>0</v>
      </c>
      <c r="AA109" s="80">
        <f t="shared" si="34"/>
        <v>115</v>
      </c>
      <c r="AB109" s="323">
        <f t="shared" si="35"/>
        <v>0</v>
      </c>
      <c r="AC109" s="80">
        <f t="shared" si="36"/>
        <v>115</v>
      </c>
      <c r="AD109" s="80">
        <f t="shared" si="41"/>
        <v>115</v>
      </c>
      <c r="AE109" s="80"/>
      <c r="AF109" s="80"/>
      <c r="AG109" s="80"/>
      <c r="AH109" s="326">
        <f t="shared" si="37"/>
        <v>0</v>
      </c>
      <c r="AI109" s="326">
        <f t="shared" si="38"/>
        <v>0</v>
      </c>
      <c r="AJ109" s="326">
        <f t="shared" si="39"/>
        <v>0</v>
      </c>
      <c r="AK109" s="326">
        <f t="shared" si="40"/>
        <v>0</v>
      </c>
      <c r="AL109" s="326"/>
      <c r="AM109" s="326"/>
      <c r="AN109" s="326"/>
      <c r="AO109" s="326"/>
      <c r="AP109" s="326"/>
      <c r="AQ109" s="326"/>
      <c r="AR109" s="327"/>
      <c r="AS109" s="504" t="s">
        <v>658</v>
      </c>
      <c r="AT109" s="411"/>
      <c r="AU109" s="411"/>
    </row>
    <row r="110" spans="1:47" s="412" customFormat="1" ht="18.75" customHeight="1">
      <c r="A110" s="167">
        <v>98</v>
      </c>
      <c r="B110" s="79" t="str">
        <f>IFERROR(VLOOKUP(A110,O.B.JUNE!$A$7:$C$448,2,0),0)</f>
        <v>J JILL</v>
      </c>
      <c r="C110" s="174" t="str">
        <f>IFERROR(VLOOKUP(A110,O.B.JUNE!$A$7:$C$448,3,0),0)</f>
        <v>KPT128561</v>
      </c>
      <c r="D110" s="80">
        <f t="shared" si="29"/>
        <v>1036</v>
      </c>
      <c r="E110" s="80">
        <f>IFERROR(VLOOKUP(C110,O.B.JUNE!$C$7:$D$448,2,0),0)</f>
        <v>136100</v>
      </c>
      <c r="F110" s="80">
        <f>VLOOKUP(C110,'CUTTING ON JUNE'!$A$4:$D$316,3,0)</f>
        <v>137136</v>
      </c>
      <c r="G110" s="80">
        <f>IFERROR(VLOOKUP(C110,O.B.JUNE!$C$7:$E$448,3,0),0)</f>
        <v>10739</v>
      </c>
      <c r="H110" s="80">
        <f t="shared" si="30"/>
        <v>1036</v>
      </c>
      <c r="I110" s="80"/>
      <c r="J110" s="80">
        <f t="shared" si="31"/>
        <v>6802</v>
      </c>
      <c r="K110" s="80">
        <v>0</v>
      </c>
      <c r="L110" s="80">
        <v>0</v>
      </c>
      <c r="M110" s="81">
        <f t="shared" si="32"/>
        <v>4973</v>
      </c>
      <c r="N110" s="81">
        <v>654</v>
      </c>
      <c r="O110" s="81">
        <v>947</v>
      </c>
      <c r="P110" s="81">
        <f t="shared" si="28"/>
        <v>3372</v>
      </c>
      <c r="Q110" s="80">
        <f>IFERROR(VLOOKUP(C110,O.B.JUNE!$C$7:$K$448,7,0),0)</f>
        <v>1331</v>
      </c>
      <c r="R110" s="80">
        <f>IFERROR(VLOOKUP(C110,O.B.JUNE!$C$7:$J$448,8,0),0)</f>
        <v>55</v>
      </c>
      <c r="S110" s="323">
        <f t="shared" si="33"/>
        <v>8188</v>
      </c>
      <c r="T110" s="324">
        <v>6802</v>
      </c>
      <c r="U110" s="324"/>
      <c r="V110" s="80"/>
      <c r="W110" s="324">
        <v>7637</v>
      </c>
      <c r="X110" s="324"/>
      <c r="Y110" s="324">
        <v>17</v>
      </c>
      <c r="Z110" s="80">
        <v>479</v>
      </c>
      <c r="AA110" s="80">
        <f t="shared" si="34"/>
        <v>6802</v>
      </c>
      <c r="AB110" s="323">
        <f t="shared" si="35"/>
        <v>0</v>
      </c>
      <c r="AC110" s="80">
        <f t="shared" si="36"/>
        <v>534</v>
      </c>
      <c r="AD110" s="80">
        <f t="shared" si="41"/>
        <v>534</v>
      </c>
      <c r="AE110" s="80"/>
      <c r="AF110" s="80"/>
      <c r="AG110" s="80"/>
      <c r="AH110" s="326">
        <f t="shared" si="37"/>
        <v>0</v>
      </c>
      <c r="AI110" s="326">
        <f t="shared" si="38"/>
        <v>0</v>
      </c>
      <c r="AJ110" s="326">
        <f t="shared" si="39"/>
        <v>0</v>
      </c>
      <c r="AK110" s="326">
        <f t="shared" si="40"/>
        <v>0</v>
      </c>
      <c r="AL110" s="326"/>
      <c r="AM110" s="326"/>
      <c r="AN110" s="326"/>
      <c r="AO110" s="326"/>
      <c r="AP110" s="326"/>
      <c r="AQ110" s="326"/>
      <c r="AR110" s="327">
        <f>VLOOKUP(C110,'[1]DA HET SAN XUAT'!$D$8:$AJ$419,33,0)</f>
        <v>0</v>
      </c>
      <c r="AS110" s="209"/>
      <c r="AT110" s="411"/>
      <c r="AU110" s="411"/>
    </row>
    <row r="111" spans="1:47" s="412" customFormat="1" ht="18.75" customHeight="1">
      <c r="A111" s="167">
        <v>99</v>
      </c>
      <c r="B111" s="79" t="str">
        <f>IFERROR(VLOOKUP(A111,O.B.JUNE!$A$7:$C$448,2,0),0)</f>
        <v>J JILL</v>
      </c>
      <c r="C111" s="174" t="str">
        <f>IFERROR(VLOOKUP(A111,O.B.JUNE!$A$7:$C$448,3,0),0)</f>
        <v>KTP101721</v>
      </c>
      <c r="D111" s="80">
        <f t="shared" si="29"/>
        <v>0</v>
      </c>
      <c r="E111" s="80">
        <f>IFERROR(VLOOKUP(C111,O.B.JUNE!$C$7:$D$448,2,0),0)</f>
        <v>0</v>
      </c>
      <c r="F111" s="80">
        <v>0</v>
      </c>
      <c r="G111" s="80">
        <f>IFERROR(VLOOKUP(C111,O.B.JUNE!$C$7:$E$448,3,0),0)</f>
        <v>440</v>
      </c>
      <c r="H111" s="80">
        <f t="shared" si="30"/>
        <v>0</v>
      </c>
      <c r="I111" s="80"/>
      <c r="J111" s="80">
        <f t="shared" si="31"/>
        <v>440</v>
      </c>
      <c r="K111" s="80">
        <v>0</v>
      </c>
      <c r="L111" s="80">
        <v>0</v>
      </c>
      <c r="M111" s="81">
        <f t="shared" si="32"/>
        <v>0</v>
      </c>
      <c r="N111" s="81">
        <v>0</v>
      </c>
      <c r="O111" s="81">
        <v>0</v>
      </c>
      <c r="P111" s="81">
        <f t="shared" si="28"/>
        <v>0</v>
      </c>
      <c r="Q111" s="80">
        <f>IFERROR(VLOOKUP(C111,O.B.JUNE!$C$7:$K$448,7,0),0)</f>
        <v>0</v>
      </c>
      <c r="R111" s="80">
        <f>IFERROR(VLOOKUP(C111,O.B.JUNE!$C$7:$J$448,8,0),0)</f>
        <v>0</v>
      </c>
      <c r="S111" s="323">
        <f t="shared" si="33"/>
        <v>440</v>
      </c>
      <c r="T111" s="324">
        <v>0</v>
      </c>
      <c r="U111" s="324">
        <v>440</v>
      </c>
      <c r="V111" s="80"/>
      <c r="W111" s="324">
        <v>0</v>
      </c>
      <c r="X111" s="324"/>
      <c r="Y111" s="324">
        <v>0</v>
      </c>
      <c r="Z111" s="80">
        <v>0</v>
      </c>
      <c r="AA111" s="80">
        <f t="shared" si="34"/>
        <v>440</v>
      </c>
      <c r="AB111" s="323">
        <f t="shared" si="35"/>
        <v>0</v>
      </c>
      <c r="AC111" s="80">
        <f t="shared" si="36"/>
        <v>440</v>
      </c>
      <c r="AD111" s="80">
        <f t="shared" si="41"/>
        <v>440</v>
      </c>
      <c r="AE111" s="80"/>
      <c r="AF111" s="80"/>
      <c r="AG111" s="80"/>
      <c r="AH111" s="326">
        <f t="shared" si="37"/>
        <v>0</v>
      </c>
      <c r="AI111" s="326">
        <f t="shared" si="38"/>
        <v>0</v>
      </c>
      <c r="AJ111" s="326">
        <f t="shared" si="39"/>
        <v>0</v>
      </c>
      <c r="AK111" s="326">
        <f t="shared" si="40"/>
        <v>0</v>
      </c>
      <c r="AL111" s="326"/>
      <c r="AM111" s="326"/>
      <c r="AN111" s="326"/>
      <c r="AO111" s="326"/>
      <c r="AP111" s="326"/>
      <c r="AQ111" s="326"/>
      <c r="AR111" s="327">
        <f>VLOOKUP(C111,'[1]DA HET SAN XUAT'!$D$8:$AJ$419,33,0)</f>
        <v>0</v>
      </c>
      <c r="AS111" s="504" t="s">
        <v>658</v>
      </c>
      <c r="AT111" s="411"/>
      <c r="AU111" s="411"/>
    </row>
    <row r="112" spans="1:47" s="412" customFormat="1" ht="18.75" customHeight="1">
      <c r="A112" s="167">
        <v>100</v>
      </c>
      <c r="B112" s="79" t="str">
        <f>IFERROR(VLOOKUP(A112,O.B.JUNE!$A$7:$C$448,2,0),0)</f>
        <v>J JILL</v>
      </c>
      <c r="C112" s="174" t="str">
        <f>IFERROR(VLOOKUP(A112,O.B.JUNE!$A$7:$C$448,3,0),0)</f>
        <v>KTP109571</v>
      </c>
      <c r="D112" s="80">
        <f t="shared" si="29"/>
        <v>0</v>
      </c>
      <c r="E112" s="80">
        <f>IFERROR(VLOOKUP(C112,O.B.JUNE!$C$7:$D$448,2,0),0)</f>
        <v>0</v>
      </c>
      <c r="F112" s="80">
        <v>0</v>
      </c>
      <c r="G112" s="80">
        <f>IFERROR(VLOOKUP(C112,O.B.JUNE!$C$7:$E$448,3,0),0)</f>
        <v>79</v>
      </c>
      <c r="H112" s="80">
        <f t="shared" si="30"/>
        <v>0</v>
      </c>
      <c r="I112" s="80"/>
      <c r="J112" s="80">
        <f t="shared" si="31"/>
        <v>79</v>
      </c>
      <c r="K112" s="80">
        <v>0</v>
      </c>
      <c r="L112" s="80">
        <v>0</v>
      </c>
      <c r="M112" s="81">
        <f t="shared" si="32"/>
        <v>0</v>
      </c>
      <c r="N112" s="81">
        <v>0</v>
      </c>
      <c r="O112" s="81">
        <v>0</v>
      </c>
      <c r="P112" s="81">
        <f t="shared" si="28"/>
        <v>0</v>
      </c>
      <c r="Q112" s="80">
        <f>IFERROR(VLOOKUP(C112,O.B.JUNE!$C$7:$K$448,7,0),0)</f>
        <v>0</v>
      </c>
      <c r="R112" s="80">
        <f>IFERROR(VLOOKUP(C112,O.B.JUNE!$C$7:$J$448,8,0),0)</f>
        <v>0</v>
      </c>
      <c r="S112" s="323">
        <f t="shared" si="33"/>
        <v>79</v>
      </c>
      <c r="T112" s="324">
        <v>0</v>
      </c>
      <c r="U112" s="324">
        <v>79</v>
      </c>
      <c r="V112" s="80"/>
      <c r="W112" s="324">
        <v>0</v>
      </c>
      <c r="X112" s="324"/>
      <c r="Y112" s="324">
        <v>0</v>
      </c>
      <c r="Z112" s="80">
        <v>0</v>
      </c>
      <c r="AA112" s="80">
        <f t="shared" si="34"/>
        <v>79</v>
      </c>
      <c r="AB112" s="323">
        <f t="shared" si="35"/>
        <v>0</v>
      </c>
      <c r="AC112" s="80">
        <f t="shared" si="36"/>
        <v>79</v>
      </c>
      <c r="AD112" s="80">
        <f t="shared" si="41"/>
        <v>79</v>
      </c>
      <c r="AE112" s="80"/>
      <c r="AF112" s="80"/>
      <c r="AG112" s="80"/>
      <c r="AH112" s="326">
        <f t="shared" si="37"/>
        <v>0</v>
      </c>
      <c r="AI112" s="326">
        <f t="shared" si="38"/>
        <v>0</v>
      </c>
      <c r="AJ112" s="326">
        <f t="shared" si="39"/>
        <v>0</v>
      </c>
      <c r="AK112" s="326">
        <f t="shared" si="40"/>
        <v>0</v>
      </c>
      <c r="AL112" s="326"/>
      <c r="AM112" s="326"/>
      <c r="AN112" s="326"/>
      <c r="AO112" s="326"/>
      <c r="AP112" s="326"/>
      <c r="AQ112" s="326"/>
      <c r="AR112" s="327">
        <f>VLOOKUP(C112,'[1]DA HET SAN XUAT'!$D$8:$AJ$419,33,0)</f>
        <v>0</v>
      </c>
      <c r="AS112" s="504" t="s">
        <v>658</v>
      </c>
      <c r="AT112" s="411"/>
      <c r="AU112" s="411"/>
    </row>
    <row r="113" spans="1:47" s="412" customFormat="1" ht="18.75" customHeight="1">
      <c r="A113" s="167">
        <v>101</v>
      </c>
      <c r="B113" s="79" t="str">
        <f>IFERROR(VLOOKUP(A113,O.B.JUNE!$A$7:$C$448,2,0),0)</f>
        <v>J JILL</v>
      </c>
      <c r="C113" s="174" t="str">
        <f>IFERROR(VLOOKUP(A113,O.B.JUNE!$A$7:$C$448,3,0),0)</f>
        <v>KTP109581</v>
      </c>
      <c r="D113" s="80">
        <f t="shared" si="29"/>
        <v>0</v>
      </c>
      <c r="E113" s="80">
        <f>IFERROR(VLOOKUP(C113,O.B.JUNE!$C$7:$D$448,2,0),0)</f>
        <v>0</v>
      </c>
      <c r="F113" s="80">
        <v>0</v>
      </c>
      <c r="G113" s="80">
        <f>IFERROR(VLOOKUP(C113,O.B.JUNE!$C$7:$E$448,3,0),0)</f>
        <v>434</v>
      </c>
      <c r="H113" s="80">
        <f t="shared" si="30"/>
        <v>0</v>
      </c>
      <c r="I113" s="80"/>
      <c r="J113" s="80">
        <f t="shared" si="31"/>
        <v>434</v>
      </c>
      <c r="K113" s="80">
        <v>0</v>
      </c>
      <c r="L113" s="80">
        <v>0</v>
      </c>
      <c r="M113" s="81">
        <f t="shared" si="32"/>
        <v>0</v>
      </c>
      <c r="N113" s="81">
        <v>0</v>
      </c>
      <c r="O113" s="81">
        <v>0</v>
      </c>
      <c r="P113" s="81">
        <f t="shared" si="28"/>
        <v>0</v>
      </c>
      <c r="Q113" s="80">
        <f>IFERROR(VLOOKUP(C113,O.B.JUNE!$C$7:$K$448,7,0),0)</f>
        <v>0</v>
      </c>
      <c r="R113" s="80">
        <f>IFERROR(VLOOKUP(C113,O.B.JUNE!$C$7:$J$448,8,0),0)</f>
        <v>0</v>
      </c>
      <c r="S113" s="323">
        <f t="shared" si="33"/>
        <v>434</v>
      </c>
      <c r="T113" s="324">
        <v>0</v>
      </c>
      <c r="U113" s="324">
        <v>434</v>
      </c>
      <c r="V113" s="80"/>
      <c r="W113" s="324">
        <v>0</v>
      </c>
      <c r="X113" s="324"/>
      <c r="Y113" s="324">
        <v>0</v>
      </c>
      <c r="Z113" s="80">
        <v>0</v>
      </c>
      <c r="AA113" s="80">
        <f t="shared" si="34"/>
        <v>434</v>
      </c>
      <c r="AB113" s="323">
        <f t="shared" si="35"/>
        <v>0</v>
      </c>
      <c r="AC113" s="80">
        <f t="shared" si="36"/>
        <v>434</v>
      </c>
      <c r="AD113" s="80">
        <f t="shared" si="41"/>
        <v>434</v>
      </c>
      <c r="AE113" s="80"/>
      <c r="AF113" s="80"/>
      <c r="AG113" s="80"/>
      <c r="AH113" s="326">
        <f t="shared" si="37"/>
        <v>0</v>
      </c>
      <c r="AI113" s="326">
        <f t="shared" si="38"/>
        <v>0</v>
      </c>
      <c r="AJ113" s="326">
        <f t="shared" si="39"/>
        <v>0</v>
      </c>
      <c r="AK113" s="326">
        <f t="shared" si="40"/>
        <v>0</v>
      </c>
      <c r="AL113" s="326"/>
      <c r="AM113" s="326"/>
      <c r="AN113" s="326"/>
      <c r="AO113" s="326"/>
      <c r="AP113" s="326"/>
      <c r="AQ113" s="326"/>
      <c r="AR113" s="327">
        <f>VLOOKUP(C113,'[1]DA HET SAN XUAT'!$D$8:$AJ$419,33,0)</f>
        <v>0</v>
      </c>
      <c r="AS113" s="504" t="s">
        <v>658</v>
      </c>
      <c r="AT113" s="411"/>
      <c r="AU113" s="411"/>
    </row>
    <row r="114" spans="1:47" s="412" customFormat="1" ht="18.75" customHeight="1">
      <c r="A114" s="167">
        <v>102</v>
      </c>
      <c r="B114" s="79" t="str">
        <f>IFERROR(VLOOKUP(A114,O.B.JUNE!$A$7:$C$448,2,0),0)</f>
        <v>J JILL</v>
      </c>
      <c r="C114" s="174" t="str">
        <f>IFERROR(VLOOKUP(A114,O.B.JUNE!$A$7:$C$448,3,0),0)</f>
        <v>KTP112701</v>
      </c>
      <c r="D114" s="80">
        <f t="shared" si="29"/>
        <v>0</v>
      </c>
      <c r="E114" s="80">
        <f>IFERROR(VLOOKUP(C114,O.B.JUNE!$C$7:$D$448,2,0),0)</f>
        <v>0</v>
      </c>
      <c r="F114" s="80">
        <v>0</v>
      </c>
      <c r="G114" s="80">
        <f>IFERROR(VLOOKUP(C114,O.B.JUNE!$C$7:$E$448,3,0),0)</f>
        <v>727</v>
      </c>
      <c r="H114" s="80">
        <f t="shared" si="30"/>
        <v>0</v>
      </c>
      <c r="I114" s="80"/>
      <c r="J114" s="80">
        <f t="shared" si="31"/>
        <v>727</v>
      </c>
      <c r="K114" s="80">
        <v>0</v>
      </c>
      <c r="L114" s="80">
        <v>0</v>
      </c>
      <c r="M114" s="81">
        <f t="shared" si="32"/>
        <v>0</v>
      </c>
      <c r="N114" s="81">
        <v>0</v>
      </c>
      <c r="O114" s="81">
        <v>0</v>
      </c>
      <c r="P114" s="81">
        <f t="shared" si="28"/>
        <v>0</v>
      </c>
      <c r="Q114" s="80">
        <f>IFERROR(VLOOKUP(C114,O.B.JUNE!$C$7:$K$448,7,0),0)</f>
        <v>0</v>
      </c>
      <c r="R114" s="80">
        <f>IFERROR(VLOOKUP(C114,O.B.JUNE!$C$7:$J$448,8,0),0)</f>
        <v>0</v>
      </c>
      <c r="S114" s="323">
        <f t="shared" si="33"/>
        <v>727</v>
      </c>
      <c r="T114" s="324">
        <v>0</v>
      </c>
      <c r="U114" s="324">
        <v>727</v>
      </c>
      <c r="V114" s="80"/>
      <c r="W114" s="324">
        <v>0</v>
      </c>
      <c r="X114" s="324"/>
      <c r="Y114" s="324">
        <v>0</v>
      </c>
      <c r="Z114" s="80">
        <v>0</v>
      </c>
      <c r="AA114" s="80">
        <f t="shared" si="34"/>
        <v>727</v>
      </c>
      <c r="AB114" s="323">
        <f t="shared" si="35"/>
        <v>0</v>
      </c>
      <c r="AC114" s="80">
        <f t="shared" si="36"/>
        <v>727</v>
      </c>
      <c r="AD114" s="80">
        <f t="shared" si="41"/>
        <v>727</v>
      </c>
      <c r="AE114" s="80"/>
      <c r="AF114" s="80"/>
      <c r="AG114" s="80"/>
      <c r="AH114" s="326">
        <f t="shared" si="37"/>
        <v>0</v>
      </c>
      <c r="AI114" s="326">
        <f t="shared" si="38"/>
        <v>0</v>
      </c>
      <c r="AJ114" s="326">
        <f t="shared" si="39"/>
        <v>0</v>
      </c>
      <c r="AK114" s="326">
        <f t="shared" si="40"/>
        <v>0</v>
      </c>
      <c r="AL114" s="326"/>
      <c r="AM114" s="326"/>
      <c r="AN114" s="326"/>
      <c r="AO114" s="326"/>
      <c r="AP114" s="326"/>
      <c r="AQ114" s="326"/>
      <c r="AR114" s="327"/>
      <c r="AS114" s="504" t="s">
        <v>658</v>
      </c>
      <c r="AT114" s="411"/>
      <c r="AU114" s="411"/>
    </row>
    <row r="115" spans="1:47" s="412" customFormat="1" ht="18.75" customHeight="1">
      <c r="A115" s="167">
        <v>103</v>
      </c>
      <c r="B115" s="79" t="str">
        <f>IFERROR(VLOOKUP(A115,O.B.JUNE!$A$7:$C$448,2,0),0)</f>
        <v>JONES NY</v>
      </c>
      <c r="C115" s="174" t="str">
        <f>IFERROR(VLOOKUP(A115,O.B.JUNE!$A$7:$C$448,3,0),0)</f>
        <v>JMML9R1668</v>
      </c>
      <c r="D115" s="80">
        <f t="shared" si="29"/>
        <v>0</v>
      </c>
      <c r="E115" s="80">
        <f>IFERROR(VLOOKUP(C115,O.B.JUNE!$C$7:$D$448,2,0),0)</f>
        <v>0</v>
      </c>
      <c r="F115" s="80">
        <v>0</v>
      </c>
      <c r="G115" s="80">
        <f>IFERROR(VLOOKUP(C115,O.B.JUNE!$C$7:$E$448,3,0),0)</f>
        <v>614</v>
      </c>
      <c r="H115" s="80">
        <f t="shared" si="30"/>
        <v>0</v>
      </c>
      <c r="I115" s="80"/>
      <c r="J115" s="80">
        <f t="shared" si="31"/>
        <v>614</v>
      </c>
      <c r="K115" s="80">
        <v>0</v>
      </c>
      <c r="L115" s="80">
        <v>0</v>
      </c>
      <c r="M115" s="81">
        <f t="shared" si="32"/>
        <v>0</v>
      </c>
      <c r="N115" s="81">
        <v>0</v>
      </c>
      <c r="O115" s="81">
        <v>0</v>
      </c>
      <c r="P115" s="81">
        <f t="shared" si="28"/>
        <v>0</v>
      </c>
      <c r="Q115" s="80">
        <f>IFERROR(VLOOKUP(C115,O.B.JUNE!$C$7:$K$448,7,0),0)</f>
        <v>0</v>
      </c>
      <c r="R115" s="80">
        <f>IFERROR(VLOOKUP(C115,O.B.JUNE!$C$7:$J$448,8,0),0)</f>
        <v>0</v>
      </c>
      <c r="S115" s="323">
        <f t="shared" si="33"/>
        <v>614</v>
      </c>
      <c r="T115" s="324">
        <v>0</v>
      </c>
      <c r="U115" s="324">
        <v>614</v>
      </c>
      <c r="V115" s="80"/>
      <c r="W115" s="324">
        <v>0</v>
      </c>
      <c r="X115" s="324"/>
      <c r="Y115" s="324">
        <v>0</v>
      </c>
      <c r="Z115" s="80">
        <v>0</v>
      </c>
      <c r="AA115" s="80">
        <f t="shared" si="34"/>
        <v>614</v>
      </c>
      <c r="AB115" s="323">
        <f t="shared" si="35"/>
        <v>0</v>
      </c>
      <c r="AC115" s="80">
        <f t="shared" si="36"/>
        <v>614</v>
      </c>
      <c r="AD115" s="80">
        <f t="shared" si="41"/>
        <v>614</v>
      </c>
      <c r="AE115" s="80"/>
      <c r="AF115" s="80"/>
      <c r="AG115" s="80"/>
      <c r="AH115" s="326">
        <f t="shared" si="37"/>
        <v>0</v>
      </c>
      <c r="AI115" s="326">
        <f t="shared" si="38"/>
        <v>0</v>
      </c>
      <c r="AJ115" s="326">
        <f t="shared" si="39"/>
        <v>0</v>
      </c>
      <c r="AK115" s="326">
        <f t="shared" si="40"/>
        <v>0</v>
      </c>
      <c r="AL115" s="326"/>
      <c r="AM115" s="326"/>
      <c r="AN115" s="326"/>
      <c r="AO115" s="326"/>
      <c r="AP115" s="326"/>
      <c r="AQ115" s="326"/>
      <c r="AR115" s="327">
        <f>VLOOKUP(C115,'[1]DA HET SAN XUAT'!$D$8:$AJ$419,33,0)</f>
        <v>0</v>
      </c>
      <c r="AS115" s="504" t="s">
        <v>658</v>
      </c>
      <c r="AT115" s="411"/>
      <c r="AU115" s="411"/>
    </row>
    <row r="116" spans="1:47" s="412" customFormat="1" ht="18.75" customHeight="1">
      <c r="A116" s="167">
        <v>104</v>
      </c>
      <c r="B116" s="79" t="str">
        <f>IFERROR(VLOOKUP(A116,O.B.JUNE!$A$7:$C$448,2,0),0)</f>
        <v>JONES NY</v>
      </c>
      <c r="C116" s="174" t="str">
        <f>IFERROR(VLOOKUP(A116,O.B.JUNE!$A$7:$C$448,3,0),0)</f>
        <v>JPMR8KT003</v>
      </c>
      <c r="D116" s="80">
        <f t="shared" si="29"/>
        <v>0</v>
      </c>
      <c r="E116" s="80">
        <f>IFERROR(VLOOKUP(C116,O.B.JUNE!$C$7:$D$448,2,0),0)</f>
        <v>0</v>
      </c>
      <c r="F116" s="80">
        <v>0</v>
      </c>
      <c r="G116" s="80">
        <f>IFERROR(VLOOKUP(C116,O.B.JUNE!$C$7:$E$448,3,0),0)</f>
        <v>58</v>
      </c>
      <c r="H116" s="80">
        <f t="shared" si="30"/>
        <v>0</v>
      </c>
      <c r="I116" s="80"/>
      <c r="J116" s="80">
        <f t="shared" si="31"/>
        <v>58</v>
      </c>
      <c r="K116" s="80">
        <v>0</v>
      </c>
      <c r="L116" s="80">
        <v>0</v>
      </c>
      <c r="M116" s="81">
        <f t="shared" si="32"/>
        <v>0</v>
      </c>
      <c r="N116" s="81">
        <v>0</v>
      </c>
      <c r="O116" s="81">
        <v>0</v>
      </c>
      <c r="P116" s="81">
        <f t="shared" si="28"/>
        <v>0</v>
      </c>
      <c r="Q116" s="80">
        <f>IFERROR(VLOOKUP(C116,O.B.JUNE!$C$7:$K$448,7,0),0)</f>
        <v>0</v>
      </c>
      <c r="R116" s="80">
        <f>IFERROR(VLOOKUP(C116,O.B.JUNE!$C$7:$J$448,8,0),0)</f>
        <v>0</v>
      </c>
      <c r="S116" s="323">
        <f t="shared" si="33"/>
        <v>58</v>
      </c>
      <c r="T116" s="324">
        <v>0</v>
      </c>
      <c r="U116" s="324">
        <v>58</v>
      </c>
      <c r="V116" s="80"/>
      <c r="W116" s="324">
        <v>0</v>
      </c>
      <c r="X116" s="324"/>
      <c r="Y116" s="324">
        <v>0</v>
      </c>
      <c r="Z116" s="80">
        <v>0</v>
      </c>
      <c r="AA116" s="80">
        <f t="shared" si="34"/>
        <v>58</v>
      </c>
      <c r="AB116" s="323">
        <f t="shared" si="35"/>
        <v>0</v>
      </c>
      <c r="AC116" s="80">
        <f t="shared" si="36"/>
        <v>58</v>
      </c>
      <c r="AD116" s="80">
        <f t="shared" si="41"/>
        <v>58</v>
      </c>
      <c r="AE116" s="80"/>
      <c r="AF116" s="80"/>
      <c r="AG116" s="80"/>
      <c r="AH116" s="326">
        <f t="shared" si="37"/>
        <v>0</v>
      </c>
      <c r="AI116" s="326">
        <f t="shared" si="38"/>
        <v>0</v>
      </c>
      <c r="AJ116" s="326">
        <f t="shared" si="39"/>
        <v>0</v>
      </c>
      <c r="AK116" s="326">
        <f t="shared" si="40"/>
        <v>0</v>
      </c>
      <c r="AL116" s="326"/>
      <c r="AM116" s="326"/>
      <c r="AN116" s="326"/>
      <c r="AO116" s="326"/>
      <c r="AP116" s="326"/>
      <c r="AQ116" s="326"/>
      <c r="AR116" s="327">
        <f>VLOOKUP(C116,'[1]DA HET SAN XUAT'!$D$8:$AJ$419,33,0)</f>
        <v>0</v>
      </c>
      <c r="AS116" s="504" t="s">
        <v>658</v>
      </c>
      <c r="AT116" s="411"/>
      <c r="AU116" s="411"/>
    </row>
    <row r="117" spans="1:47" s="412" customFormat="1" ht="18.75" customHeight="1">
      <c r="A117" s="167">
        <v>105</v>
      </c>
      <c r="B117" s="79" t="str">
        <f>IFERROR(VLOOKUP(A117,O.B.JUNE!$A$7:$C$448,2,0),0)</f>
        <v>NORDSTROM</v>
      </c>
      <c r="C117" s="174" t="str">
        <f>IFERROR(VLOOKUP(A117,O.B.JUNE!$A$7:$C$448,3,0),0)</f>
        <v>RK381915MI</v>
      </c>
      <c r="D117" s="80">
        <f t="shared" si="29"/>
        <v>0</v>
      </c>
      <c r="E117" s="80">
        <f>IFERROR(VLOOKUP(C117,O.B.JUNE!$C$7:$D$448,2,0),0)</f>
        <v>0</v>
      </c>
      <c r="F117" s="80">
        <v>0</v>
      </c>
      <c r="G117" s="80">
        <f>IFERROR(VLOOKUP(C117,O.B.JUNE!$C$7:$E$448,3,0),0)</f>
        <v>6</v>
      </c>
      <c r="H117" s="80">
        <f t="shared" si="30"/>
        <v>0</v>
      </c>
      <c r="I117" s="80"/>
      <c r="J117" s="80">
        <f t="shared" si="31"/>
        <v>6</v>
      </c>
      <c r="K117" s="80">
        <v>0</v>
      </c>
      <c r="L117" s="80">
        <v>0</v>
      </c>
      <c r="M117" s="81">
        <f t="shared" si="32"/>
        <v>0</v>
      </c>
      <c r="N117" s="81">
        <v>0</v>
      </c>
      <c r="O117" s="81">
        <v>0</v>
      </c>
      <c r="P117" s="81">
        <f t="shared" si="28"/>
        <v>0</v>
      </c>
      <c r="Q117" s="80">
        <f>IFERROR(VLOOKUP(C117,O.B.JUNE!$C$7:$K$448,7,0),0)</f>
        <v>0</v>
      </c>
      <c r="R117" s="80">
        <f>IFERROR(VLOOKUP(C117,O.B.JUNE!$C$7:$J$448,8,0),0)</f>
        <v>0</v>
      </c>
      <c r="S117" s="323">
        <f t="shared" si="33"/>
        <v>6</v>
      </c>
      <c r="T117" s="324">
        <v>0</v>
      </c>
      <c r="U117" s="324">
        <v>6</v>
      </c>
      <c r="V117" s="80"/>
      <c r="W117" s="324">
        <v>0</v>
      </c>
      <c r="X117" s="324"/>
      <c r="Y117" s="324">
        <v>0</v>
      </c>
      <c r="Z117" s="80">
        <v>0</v>
      </c>
      <c r="AA117" s="80">
        <f t="shared" si="34"/>
        <v>6</v>
      </c>
      <c r="AB117" s="323">
        <f t="shared" si="35"/>
        <v>0</v>
      </c>
      <c r="AC117" s="80">
        <f t="shared" si="36"/>
        <v>6</v>
      </c>
      <c r="AD117" s="80">
        <f t="shared" si="41"/>
        <v>6</v>
      </c>
      <c r="AE117" s="80"/>
      <c r="AF117" s="80"/>
      <c r="AG117" s="80"/>
      <c r="AH117" s="326">
        <f t="shared" si="37"/>
        <v>0</v>
      </c>
      <c r="AI117" s="326">
        <f t="shared" si="38"/>
        <v>0</v>
      </c>
      <c r="AJ117" s="326">
        <f t="shared" si="39"/>
        <v>0</v>
      </c>
      <c r="AK117" s="326">
        <f t="shared" si="40"/>
        <v>0</v>
      </c>
      <c r="AL117" s="326"/>
      <c r="AM117" s="326"/>
      <c r="AN117" s="326"/>
      <c r="AO117" s="326"/>
      <c r="AP117" s="326"/>
      <c r="AQ117" s="326"/>
      <c r="AR117" s="327"/>
      <c r="AS117" s="504" t="s">
        <v>658</v>
      </c>
      <c r="AT117" s="411"/>
      <c r="AU117" s="411"/>
    </row>
    <row r="118" spans="1:47" s="412" customFormat="1" ht="18.75" customHeight="1">
      <c r="A118" s="167">
        <v>106</v>
      </c>
      <c r="B118" s="79" t="str">
        <f>IFERROR(VLOOKUP(A118,O.B.JUNE!$A$7:$C$448,2,0),0)</f>
        <v>NORDSTROM</v>
      </c>
      <c r="C118" s="174" t="str">
        <f>IFERROR(VLOOKUP(A118,O.B.JUNE!$A$7:$C$448,3,0),0)</f>
        <v>BP381321MI</v>
      </c>
      <c r="D118" s="80">
        <f t="shared" si="29"/>
        <v>0</v>
      </c>
      <c r="E118" s="80">
        <f>IFERROR(VLOOKUP(C118,O.B.JUNE!$C$7:$D$448,2,0),0)</f>
        <v>0</v>
      </c>
      <c r="F118" s="80">
        <v>0</v>
      </c>
      <c r="G118" s="80">
        <f>IFERROR(VLOOKUP(C118,O.B.JUNE!$C$7:$E$448,3,0),0)</f>
        <v>144</v>
      </c>
      <c r="H118" s="80">
        <f t="shared" si="30"/>
        <v>0</v>
      </c>
      <c r="I118" s="80"/>
      <c r="J118" s="80">
        <f t="shared" si="31"/>
        <v>144</v>
      </c>
      <c r="K118" s="80">
        <v>0</v>
      </c>
      <c r="L118" s="80">
        <v>0</v>
      </c>
      <c r="M118" s="81">
        <f t="shared" si="32"/>
        <v>0</v>
      </c>
      <c r="N118" s="81">
        <v>0</v>
      </c>
      <c r="O118" s="81">
        <v>0</v>
      </c>
      <c r="P118" s="81">
        <f t="shared" si="28"/>
        <v>0</v>
      </c>
      <c r="Q118" s="80">
        <f>IFERROR(VLOOKUP(C118,O.B.JUNE!$C$7:$K$448,7,0),0)</f>
        <v>0</v>
      </c>
      <c r="R118" s="80">
        <f>IFERROR(VLOOKUP(C118,O.B.JUNE!$C$7:$J$448,8,0),0)</f>
        <v>0</v>
      </c>
      <c r="S118" s="323">
        <f t="shared" si="33"/>
        <v>144</v>
      </c>
      <c r="T118" s="324">
        <v>0</v>
      </c>
      <c r="U118" s="324">
        <v>144</v>
      </c>
      <c r="V118" s="80"/>
      <c r="W118" s="324">
        <v>0</v>
      </c>
      <c r="X118" s="324"/>
      <c r="Y118" s="324">
        <v>0</v>
      </c>
      <c r="Z118" s="80">
        <v>0</v>
      </c>
      <c r="AA118" s="80">
        <f t="shared" si="34"/>
        <v>144</v>
      </c>
      <c r="AB118" s="323">
        <f t="shared" si="35"/>
        <v>0</v>
      </c>
      <c r="AC118" s="80">
        <f t="shared" si="36"/>
        <v>144</v>
      </c>
      <c r="AD118" s="80">
        <f t="shared" si="41"/>
        <v>144</v>
      </c>
      <c r="AE118" s="80"/>
      <c r="AF118" s="80"/>
      <c r="AG118" s="80"/>
      <c r="AH118" s="326">
        <f t="shared" si="37"/>
        <v>0</v>
      </c>
      <c r="AI118" s="326">
        <f t="shared" si="38"/>
        <v>0</v>
      </c>
      <c r="AJ118" s="326">
        <f t="shared" si="39"/>
        <v>0</v>
      </c>
      <c r="AK118" s="326">
        <f t="shared" si="40"/>
        <v>0</v>
      </c>
      <c r="AL118" s="326"/>
      <c r="AM118" s="326"/>
      <c r="AN118" s="326"/>
      <c r="AO118" s="326"/>
      <c r="AP118" s="326"/>
      <c r="AQ118" s="326"/>
      <c r="AR118" s="327"/>
      <c r="AS118" s="504" t="s">
        <v>658</v>
      </c>
      <c r="AT118" s="411"/>
      <c r="AU118" s="411"/>
    </row>
    <row r="119" spans="1:47" s="412" customFormat="1" ht="18.75" customHeight="1">
      <c r="A119" s="167">
        <v>107</v>
      </c>
      <c r="B119" s="79" t="str">
        <f>IFERROR(VLOOKUP(A119,O.B.JUNE!$A$7:$C$448,2,0),0)</f>
        <v>NORDSTROM</v>
      </c>
      <c r="C119" s="174" t="str">
        <f>IFERROR(VLOOKUP(A119,O.B.JUNE!$A$7:$C$448,3,0),0)</f>
        <v>HA372336MI</v>
      </c>
      <c r="D119" s="80">
        <f t="shared" si="29"/>
        <v>0</v>
      </c>
      <c r="E119" s="80">
        <f>IFERROR(VLOOKUP(C119,O.B.JUNE!$C$7:$D$448,2,0),0)</f>
        <v>0</v>
      </c>
      <c r="F119" s="80">
        <v>0</v>
      </c>
      <c r="G119" s="80">
        <f>IFERROR(VLOOKUP(C119,O.B.JUNE!$C$7:$E$448,3,0),0)</f>
        <v>252</v>
      </c>
      <c r="H119" s="80">
        <f t="shared" si="30"/>
        <v>0</v>
      </c>
      <c r="I119" s="80"/>
      <c r="J119" s="80">
        <f t="shared" si="31"/>
        <v>252</v>
      </c>
      <c r="K119" s="80">
        <v>0</v>
      </c>
      <c r="L119" s="80">
        <v>0</v>
      </c>
      <c r="M119" s="81">
        <f t="shared" si="32"/>
        <v>0</v>
      </c>
      <c r="N119" s="81">
        <v>0</v>
      </c>
      <c r="O119" s="81">
        <v>0</v>
      </c>
      <c r="P119" s="81">
        <f t="shared" si="28"/>
        <v>0</v>
      </c>
      <c r="Q119" s="80">
        <f>IFERROR(VLOOKUP(C119,O.B.JUNE!$C$7:$K$448,7,0),0)</f>
        <v>0</v>
      </c>
      <c r="R119" s="80">
        <f>IFERROR(VLOOKUP(C119,O.B.JUNE!$C$7:$J$448,8,0),0)</f>
        <v>0</v>
      </c>
      <c r="S119" s="323">
        <f t="shared" si="33"/>
        <v>252</v>
      </c>
      <c r="T119" s="324">
        <v>0</v>
      </c>
      <c r="U119" s="324">
        <v>252</v>
      </c>
      <c r="V119" s="80"/>
      <c r="W119" s="324">
        <v>0</v>
      </c>
      <c r="X119" s="324"/>
      <c r="Y119" s="324">
        <v>0</v>
      </c>
      <c r="Z119" s="80">
        <v>0</v>
      </c>
      <c r="AA119" s="80">
        <f t="shared" si="34"/>
        <v>252</v>
      </c>
      <c r="AB119" s="323">
        <f t="shared" si="35"/>
        <v>0</v>
      </c>
      <c r="AC119" s="80">
        <f t="shared" si="36"/>
        <v>252</v>
      </c>
      <c r="AD119" s="80">
        <f t="shared" si="41"/>
        <v>252</v>
      </c>
      <c r="AE119" s="80"/>
      <c r="AF119" s="80"/>
      <c r="AG119" s="80"/>
      <c r="AH119" s="326">
        <f t="shared" si="37"/>
        <v>0</v>
      </c>
      <c r="AI119" s="326">
        <f t="shared" si="38"/>
        <v>0</v>
      </c>
      <c r="AJ119" s="326">
        <f t="shared" si="39"/>
        <v>0</v>
      </c>
      <c r="AK119" s="326">
        <f t="shared" si="40"/>
        <v>0</v>
      </c>
      <c r="AL119" s="326"/>
      <c r="AM119" s="326"/>
      <c r="AN119" s="326"/>
      <c r="AO119" s="326"/>
      <c r="AP119" s="326"/>
      <c r="AQ119" s="326"/>
      <c r="AR119" s="327">
        <f>VLOOKUP(C119,'[1]DA HET SAN XUAT'!$D$8:$AJ$419,33,0)</f>
        <v>0</v>
      </c>
      <c r="AS119" s="504" t="s">
        <v>658</v>
      </c>
      <c r="AT119" s="411"/>
      <c r="AU119" s="411"/>
    </row>
    <row r="120" spans="1:47" s="412" customFormat="1" ht="18.75" customHeight="1">
      <c r="A120" s="167">
        <v>108</v>
      </c>
      <c r="B120" s="79" t="str">
        <f>IFERROR(VLOOKUP(A120,O.B.JUNE!$A$7:$C$448,2,0),0)</f>
        <v>NORDSTROM</v>
      </c>
      <c r="C120" s="174" t="str">
        <f>IFERROR(VLOOKUP(A120,O.B.JUNE!$A$7:$C$448,3,0),0)</f>
        <v>RK381125MI</v>
      </c>
      <c r="D120" s="80">
        <f t="shared" si="29"/>
        <v>0</v>
      </c>
      <c r="E120" s="80">
        <f>IFERROR(VLOOKUP(C120,O.B.JUNE!$C$7:$D$448,2,0),0)</f>
        <v>0</v>
      </c>
      <c r="F120" s="80">
        <v>0</v>
      </c>
      <c r="G120" s="80">
        <f>IFERROR(VLOOKUP(C120,O.B.JUNE!$C$7:$E$448,3,0),0)</f>
        <v>70</v>
      </c>
      <c r="H120" s="80">
        <f t="shared" si="30"/>
        <v>0</v>
      </c>
      <c r="I120" s="80"/>
      <c r="J120" s="80">
        <f t="shared" si="31"/>
        <v>70</v>
      </c>
      <c r="K120" s="80">
        <v>0</v>
      </c>
      <c r="L120" s="80">
        <v>0</v>
      </c>
      <c r="M120" s="81">
        <f t="shared" si="32"/>
        <v>0</v>
      </c>
      <c r="N120" s="81">
        <v>0</v>
      </c>
      <c r="O120" s="81">
        <v>0</v>
      </c>
      <c r="P120" s="81">
        <f t="shared" si="28"/>
        <v>0</v>
      </c>
      <c r="Q120" s="80">
        <f>IFERROR(VLOOKUP(C120,O.B.JUNE!$C$7:$K$448,7,0),0)</f>
        <v>0</v>
      </c>
      <c r="R120" s="80">
        <f>IFERROR(VLOOKUP(C120,O.B.JUNE!$C$7:$J$448,8,0),0)</f>
        <v>0</v>
      </c>
      <c r="S120" s="323">
        <f t="shared" si="33"/>
        <v>70</v>
      </c>
      <c r="T120" s="324">
        <v>0</v>
      </c>
      <c r="U120" s="324">
        <v>70</v>
      </c>
      <c r="V120" s="80"/>
      <c r="W120" s="324">
        <v>0</v>
      </c>
      <c r="X120" s="324"/>
      <c r="Y120" s="324">
        <v>0</v>
      </c>
      <c r="Z120" s="80">
        <v>0</v>
      </c>
      <c r="AA120" s="80">
        <f t="shared" si="34"/>
        <v>70</v>
      </c>
      <c r="AB120" s="323">
        <f t="shared" si="35"/>
        <v>0</v>
      </c>
      <c r="AC120" s="80">
        <f t="shared" si="36"/>
        <v>70</v>
      </c>
      <c r="AD120" s="80">
        <f t="shared" si="41"/>
        <v>70</v>
      </c>
      <c r="AE120" s="80"/>
      <c r="AF120" s="80"/>
      <c r="AG120" s="80"/>
      <c r="AH120" s="326">
        <f t="shared" si="37"/>
        <v>0</v>
      </c>
      <c r="AI120" s="326">
        <f t="shared" si="38"/>
        <v>0</v>
      </c>
      <c r="AJ120" s="326">
        <f t="shared" si="39"/>
        <v>0</v>
      </c>
      <c r="AK120" s="326">
        <f t="shared" si="40"/>
        <v>0</v>
      </c>
      <c r="AL120" s="326"/>
      <c r="AM120" s="326"/>
      <c r="AN120" s="326"/>
      <c r="AO120" s="326"/>
      <c r="AP120" s="326"/>
      <c r="AQ120" s="326"/>
      <c r="AR120" s="327">
        <f>VLOOKUP(C120,'[1]DA HET SAN XUAT'!$D$8:$AJ$419,33,0)</f>
        <v>0</v>
      </c>
      <c r="AS120" s="504" t="s">
        <v>658</v>
      </c>
      <c r="AT120" s="411"/>
      <c r="AU120" s="411"/>
    </row>
    <row r="121" spans="1:47" s="412" customFormat="1" ht="18.75" customHeight="1">
      <c r="A121" s="167">
        <v>109</v>
      </c>
      <c r="B121" s="79" t="str">
        <f>IFERROR(VLOOKUP(A121,O.B.JUNE!$A$7:$C$448,2,0),0)</f>
        <v>ANN TAYLOR</v>
      </c>
      <c r="C121" s="174">
        <f>IFERROR(VLOOKUP(A121,O.B.JUNE!$A$7:$C$448,3,0),0)</f>
        <v>444136</v>
      </c>
      <c r="D121" s="80">
        <f t="shared" si="29"/>
        <v>0</v>
      </c>
      <c r="E121" s="80">
        <f>IFERROR(VLOOKUP(C121,O.B.JUNE!$C$7:$D$448,2,0),0)</f>
        <v>0</v>
      </c>
      <c r="F121" s="80">
        <v>0</v>
      </c>
      <c r="G121" s="80">
        <f>IFERROR(VLOOKUP(C121,O.B.JUNE!$C$7:$E$448,3,0),0)</f>
        <v>957</v>
      </c>
      <c r="H121" s="80">
        <f t="shared" si="30"/>
        <v>0</v>
      </c>
      <c r="I121" s="80"/>
      <c r="J121" s="80">
        <f t="shared" si="31"/>
        <v>957</v>
      </c>
      <c r="K121" s="80">
        <v>0</v>
      </c>
      <c r="L121" s="80">
        <v>0</v>
      </c>
      <c r="M121" s="81">
        <f t="shared" si="32"/>
        <v>0</v>
      </c>
      <c r="N121" s="81">
        <v>0</v>
      </c>
      <c r="O121" s="81">
        <v>0</v>
      </c>
      <c r="P121" s="81">
        <f t="shared" si="28"/>
        <v>0</v>
      </c>
      <c r="Q121" s="80">
        <f>IFERROR(VLOOKUP(C121,O.B.JUNE!$C$7:$K$448,7,0),0)</f>
        <v>0</v>
      </c>
      <c r="R121" s="80">
        <f>IFERROR(VLOOKUP(C121,O.B.JUNE!$C$7:$J$448,8,0),0)</f>
        <v>133</v>
      </c>
      <c r="S121" s="323">
        <f t="shared" si="33"/>
        <v>1090</v>
      </c>
      <c r="T121" s="324">
        <v>0</v>
      </c>
      <c r="U121" s="324">
        <v>957</v>
      </c>
      <c r="V121" s="80"/>
      <c r="W121" s="324">
        <v>0</v>
      </c>
      <c r="X121" s="324"/>
      <c r="Y121" s="324">
        <v>0</v>
      </c>
      <c r="Z121" s="80">
        <v>0</v>
      </c>
      <c r="AA121" s="80">
        <f t="shared" si="34"/>
        <v>957</v>
      </c>
      <c r="AB121" s="323">
        <f t="shared" si="35"/>
        <v>0</v>
      </c>
      <c r="AC121" s="80">
        <f t="shared" si="36"/>
        <v>1090</v>
      </c>
      <c r="AD121" s="80">
        <f t="shared" si="41"/>
        <v>1090</v>
      </c>
      <c r="AE121" s="80"/>
      <c r="AF121" s="80"/>
      <c r="AG121" s="80"/>
      <c r="AH121" s="326">
        <f t="shared" si="37"/>
        <v>0</v>
      </c>
      <c r="AI121" s="326">
        <f t="shared" si="38"/>
        <v>0</v>
      </c>
      <c r="AJ121" s="326">
        <f t="shared" si="39"/>
        <v>0</v>
      </c>
      <c r="AK121" s="326">
        <f t="shared" si="40"/>
        <v>0</v>
      </c>
      <c r="AL121" s="326"/>
      <c r="AM121" s="326"/>
      <c r="AN121" s="326"/>
      <c r="AO121" s="326"/>
      <c r="AP121" s="326"/>
      <c r="AQ121" s="326"/>
      <c r="AR121" s="327">
        <f>VLOOKUP(C121,'[1]DA HET SAN XUAT'!$D$8:$AJ$419,33,0)</f>
        <v>0</v>
      </c>
      <c r="AS121" s="504" t="s">
        <v>658</v>
      </c>
      <c r="AT121" s="411"/>
      <c r="AU121" s="411"/>
    </row>
    <row r="122" spans="1:47" s="412" customFormat="1" ht="18.75" customHeight="1">
      <c r="A122" s="167">
        <v>110</v>
      </c>
      <c r="B122" s="79" t="str">
        <f>IFERROR(VLOOKUP(A122,O.B.JUNE!$A$7:$C$448,2,0),0)</f>
        <v>NAMYANG</v>
      </c>
      <c r="C122" s="174" t="str">
        <f>IFERROR(VLOOKUP(A122,O.B.JUNE!$A$7:$C$448,3,0),0)</f>
        <v>258G827</v>
      </c>
      <c r="D122" s="80">
        <f t="shared" si="29"/>
        <v>0</v>
      </c>
      <c r="E122" s="80">
        <f>IFERROR(VLOOKUP(C122,O.B.JUNE!$C$7:$D$448,2,0),0)</f>
        <v>0</v>
      </c>
      <c r="F122" s="80">
        <v>0</v>
      </c>
      <c r="G122" s="80">
        <f>IFERROR(VLOOKUP(C122,O.B.JUNE!$C$7:$E$448,3,0),0)</f>
        <v>397</v>
      </c>
      <c r="H122" s="80">
        <f t="shared" si="30"/>
        <v>0</v>
      </c>
      <c r="I122" s="80"/>
      <c r="J122" s="80">
        <f t="shared" si="31"/>
        <v>397</v>
      </c>
      <c r="K122" s="80">
        <v>0</v>
      </c>
      <c r="L122" s="80">
        <v>0</v>
      </c>
      <c r="M122" s="81">
        <f t="shared" si="32"/>
        <v>0</v>
      </c>
      <c r="N122" s="81">
        <v>0</v>
      </c>
      <c r="O122" s="81">
        <v>0</v>
      </c>
      <c r="P122" s="81">
        <f t="shared" si="28"/>
        <v>0</v>
      </c>
      <c r="Q122" s="80">
        <f>IFERROR(VLOOKUP(C122,O.B.JUNE!$C$7:$K$448,7,0),0)</f>
        <v>0</v>
      </c>
      <c r="R122" s="80">
        <f>IFERROR(VLOOKUP(C122,O.B.JUNE!$C$7:$J$448,8,0),0)</f>
        <v>0</v>
      </c>
      <c r="S122" s="323">
        <f t="shared" si="33"/>
        <v>397</v>
      </c>
      <c r="T122" s="324">
        <v>0</v>
      </c>
      <c r="U122" s="324">
        <v>397</v>
      </c>
      <c r="V122" s="80"/>
      <c r="W122" s="324">
        <v>0</v>
      </c>
      <c r="X122" s="324"/>
      <c r="Y122" s="324">
        <v>0</v>
      </c>
      <c r="Z122" s="80">
        <v>0</v>
      </c>
      <c r="AA122" s="80">
        <f t="shared" si="34"/>
        <v>397</v>
      </c>
      <c r="AB122" s="323">
        <f t="shared" si="35"/>
        <v>0</v>
      </c>
      <c r="AC122" s="80">
        <f t="shared" si="36"/>
        <v>397</v>
      </c>
      <c r="AD122" s="80">
        <f t="shared" si="41"/>
        <v>397</v>
      </c>
      <c r="AE122" s="80"/>
      <c r="AF122" s="80"/>
      <c r="AG122" s="80"/>
      <c r="AH122" s="326">
        <f t="shared" si="37"/>
        <v>0</v>
      </c>
      <c r="AI122" s="326">
        <f t="shared" si="38"/>
        <v>0</v>
      </c>
      <c r="AJ122" s="326">
        <f t="shared" si="39"/>
        <v>0</v>
      </c>
      <c r="AK122" s="326">
        <f t="shared" si="40"/>
        <v>0</v>
      </c>
      <c r="AL122" s="326"/>
      <c r="AM122" s="326"/>
      <c r="AN122" s="326"/>
      <c r="AO122" s="326"/>
      <c r="AP122" s="326"/>
      <c r="AQ122" s="326"/>
      <c r="AR122" s="327"/>
      <c r="AS122" s="504" t="s">
        <v>658</v>
      </c>
      <c r="AT122" s="411"/>
      <c r="AU122" s="411"/>
    </row>
    <row r="123" spans="1:47" s="412" customFormat="1" ht="18.75" customHeight="1">
      <c r="A123" s="167">
        <v>111</v>
      </c>
      <c r="B123" s="79" t="str">
        <f>IFERROR(VLOOKUP(A123,O.B.JUNE!$A$7:$C$448,2,0),0)</f>
        <v>TALBOTS</v>
      </c>
      <c r="C123" s="174">
        <f>IFERROR(VLOOKUP(A123,O.B.JUNE!$A$7:$C$448,3,0),0)</f>
        <v>174034833</v>
      </c>
      <c r="D123" s="80">
        <f t="shared" si="29"/>
        <v>0</v>
      </c>
      <c r="E123" s="80">
        <f>IFERROR(VLOOKUP(C123,O.B.JUNE!$C$7:$D$448,2,0),0)</f>
        <v>0</v>
      </c>
      <c r="F123" s="80">
        <v>0</v>
      </c>
      <c r="G123" s="80">
        <f>IFERROR(VLOOKUP(C123,O.B.JUNE!$C$7:$E$448,3,0),0)</f>
        <v>303</v>
      </c>
      <c r="H123" s="80">
        <f t="shared" si="30"/>
        <v>0</v>
      </c>
      <c r="I123" s="80"/>
      <c r="J123" s="80">
        <f t="shared" si="31"/>
        <v>303</v>
      </c>
      <c r="K123" s="80">
        <v>0</v>
      </c>
      <c r="L123" s="80">
        <v>0</v>
      </c>
      <c r="M123" s="81">
        <f t="shared" si="32"/>
        <v>0</v>
      </c>
      <c r="N123" s="81">
        <v>0</v>
      </c>
      <c r="O123" s="81">
        <v>0</v>
      </c>
      <c r="P123" s="81">
        <f t="shared" si="28"/>
        <v>0</v>
      </c>
      <c r="Q123" s="80">
        <f>IFERROR(VLOOKUP(C123,O.B.JUNE!$C$7:$K$448,7,0),0)</f>
        <v>0</v>
      </c>
      <c r="R123" s="80">
        <f>IFERROR(VLOOKUP(C123,O.B.JUNE!$C$7:$J$448,8,0),0)</f>
        <v>0</v>
      </c>
      <c r="S123" s="323">
        <f t="shared" si="33"/>
        <v>303</v>
      </c>
      <c r="T123" s="324">
        <v>0</v>
      </c>
      <c r="U123" s="324">
        <v>303</v>
      </c>
      <c r="V123" s="80"/>
      <c r="W123" s="324">
        <v>0</v>
      </c>
      <c r="X123" s="324"/>
      <c r="Y123" s="324">
        <v>0</v>
      </c>
      <c r="Z123" s="80">
        <v>0</v>
      </c>
      <c r="AA123" s="80">
        <f t="shared" si="34"/>
        <v>303</v>
      </c>
      <c r="AB123" s="323">
        <f t="shared" si="35"/>
        <v>0</v>
      </c>
      <c r="AC123" s="80">
        <f t="shared" si="36"/>
        <v>303</v>
      </c>
      <c r="AD123" s="80">
        <f t="shared" si="41"/>
        <v>303</v>
      </c>
      <c r="AE123" s="80"/>
      <c r="AF123" s="80"/>
      <c r="AG123" s="80"/>
      <c r="AH123" s="326">
        <f t="shared" si="37"/>
        <v>0</v>
      </c>
      <c r="AI123" s="326">
        <f t="shared" si="38"/>
        <v>0</v>
      </c>
      <c r="AJ123" s="326">
        <f t="shared" si="39"/>
        <v>0</v>
      </c>
      <c r="AK123" s="326">
        <f t="shared" si="40"/>
        <v>0</v>
      </c>
      <c r="AL123" s="326"/>
      <c r="AM123" s="326"/>
      <c r="AN123" s="326"/>
      <c r="AO123" s="326"/>
      <c r="AP123" s="326"/>
      <c r="AQ123" s="326"/>
      <c r="AR123" s="327">
        <f>VLOOKUP(C123,'[1]DA HET SAN XUAT'!$D$8:$AJ$419,33,0)</f>
        <v>0</v>
      </c>
      <c r="AS123" s="504" t="s">
        <v>658</v>
      </c>
      <c r="AT123" s="411"/>
      <c r="AU123" s="411"/>
    </row>
    <row r="124" spans="1:47" s="412" customFormat="1" ht="18.75" customHeight="1">
      <c r="A124" s="167">
        <v>112</v>
      </c>
      <c r="B124" s="79" t="str">
        <f>IFERROR(VLOOKUP(A124,O.B.JUNE!$A$7:$C$448,2,0),0)</f>
        <v>TALBOTS</v>
      </c>
      <c r="C124" s="174">
        <f>IFERROR(VLOOKUP(A124,O.B.JUNE!$A$7:$C$448,3,0),0)</f>
        <v>174034834</v>
      </c>
      <c r="D124" s="80">
        <f t="shared" si="29"/>
        <v>0</v>
      </c>
      <c r="E124" s="80">
        <f>IFERROR(VLOOKUP(C124,O.B.JUNE!$C$7:$D$448,2,0),0)</f>
        <v>0</v>
      </c>
      <c r="F124" s="80">
        <v>0</v>
      </c>
      <c r="G124" s="80">
        <f>IFERROR(VLOOKUP(C124,O.B.JUNE!$C$7:$E$448,3,0),0)</f>
        <v>255</v>
      </c>
      <c r="H124" s="80">
        <f t="shared" si="30"/>
        <v>0</v>
      </c>
      <c r="I124" s="80"/>
      <c r="J124" s="80">
        <f t="shared" si="31"/>
        <v>255</v>
      </c>
      <c r="K124" s="80">
        <v>0</v>
      </c>
      <c r="L124" s="80">
        <v>0</v>
      </c>
      <c r="M124" s="81">
        <f t="shared" si="32"/>
        <v>0</v>
      </c>
      <c r="N124" s="81">
        <v>0</v>
      </c>
      <c r="O124" s="81">
        <v>0</v>
      </c>
      <c r="P124" s="81">
        <f t="shared" si="28"/>
        <v>0</v>
      </c>
      <c r="Q124" s="80">
        <f>IFERROR(VLOOKUP(C124,O.B.JUNE!$C$7:$K$448,7,0),0)</f>
        <v>0</v>
      </c>
      <c r="R124" s="80">
        <f>IFERROR(VLOOKUP(C124,O.B.JUNE!$C$7:$J$448,8,0),0)</f>
        <v>0</v>
      </c>
      <c r="S124" s="323">
        <f t="shared" si="33"/>
        <v>255</v>
      </c>
      <c r="T124" s="324">
        <v>0</v>
      </c>
      <c r="U124" s="324">
        <v>255</v>
      </c>
      <c r="V124" s="80"/>
      <c r="W124" s="324">
        <v>0</v>
      </c>
      <c r="X124" s="324"/>
      <c r="Y124" s="324">
        <v>0</v>
      </c>
      <c r="Z124" s="80">
        <v>0</v>
      </c>
      <c r="AA124" s="80">
        <f t="shared" si="34"/>
        <v>255</v>
      </c>
      <c r="AB124" s="323">
        <f t="shared" si="35"/>
        <v>0</v>
      </c>
      <c r="AC124" s="80">
        <f t="shared" si="36"/>
        <v>255</v>
      </c>
      <c r="AD124" s="80">
        <f t="shared" si="41"/>
        <v>255</v>
      </c>
      <c r="AE124" s="80"/>
      <c r="AF124" s="80"/>
      <c r="AG124" s="80"/>
      <c r="AH124" s="326">
        <f t="shared" si="37"/>
        <v>0</v>
      </c>
      <c r="AI124" s="326">
        <f t="shared" si="38"/>
        <v>0</v>
      </c>
      <c r="AJ124" s="326">
        <f t="shared" si="39"/>
        <v>0</v>
      </c>
      <c r="AK124" s="326">
        <f t="shared" si="40"/>
        <v>0</v>
      </c>
      <c r="AL124" s="326"/>
      <c r="AM124" s="326"/>
      <c r="AN124" s="326"/>
      <c r="AO124" s="326"/>
      <c r="AP124" s="326"/>
      <c r="AQ124" s="326"/>
      <c r="AR124" s="327">
        <f>VLOOKUP(C124,'[1]DA HET SAN XUAT'!$D$8:$AJ$419,33,0)</f>
        <v>0</v>
      </c>
      <c r="AS124" s="504" t="s">
        <v>658</v>
      </c>
      <c r="AT124" s="411"/>
      <c r="AU124" s="411"/>
    </row>
    <row r="125" spans="1:47" s="412" customFormat="1" ht="18.75" customHeight="1">
      <c r="A125" s="167">
        <v>113</v>
      </c>
      <c r="B125" s="79" t="str">
        <f>IFERROR(VLOOKUP(A125,O.B.JUNE!$A$7:$C$448,2,0),0)</f>
        <v>TALBOTS</v>
      </c>
      <c r="C125" s="174">
        <f>IFERROR(VLOOKUP(A125,O.B.JUNE!$A$7:$C$448,3,0),0)</f>
        <v>174034840</v>
      </c>
      <c r="D125" s="80">
        <f t="shared" si="29"/>
        <v>0</v>
      </c>
      <c r="E125" s="80">
        <f>IFERROR(VLOOKUP(C125,O.B.JUNE!$C$7:$D$448,2,0),0)</f>
        <v>0</v>
      </c>
      <c r="F125" s="80">
        <v>0</v>
      </c>
      <c r="G125" s="80">
        <f>IFERROR(VLOOKUP(C125,O.B.JUNE!$C$7:$E$448,3,0),0)</f>
        <v>391</v>
      </c>
      <c r="H125" s="80">
        <f t="shared" si="30"/>
        <v>0</v>
      </c>
      <c r="I125" s="80"/>
      <c r="J125" s="80">
        <f t="shared" si="31"/>
        <v>391</v>
      </c>
      <c r="K125" s="80">
        <v>0</v>
      </c>
      <c r="L125" s="80">
        <v>0</v>
      </c>
      <c r="M125" s="81">
        <f t="shared" si="32"/>
        <v>0</v>
      </c>
      <c r="N125" s="81">
        <v>0</v>
      </c>
      <c r="O125" s="81">
        <v>0</v>
      </c>
      <c r="P125" s="81">
        <f t="shared" si="28"/>
        <v>0</v>
      </c>
      <c r="Q125" s="80">
        <f>IFERROR(VLOOKUP(C125,O.B.JUNE!$C$7:$K$448,7,0),0)</f>
        <v>0</v>
      </c>
      <c r="R125" s="80">
        <f>IFERROR(VLOOKUP(C125,O.B.JUNE!$C$7:$J$448,8,0),0)</f>
        <v>0</v>
      </c>
      <c r="S125" s="323">
        <f t="shared" si="33"/>
        <v>391</v>
      </c>
      <c r="T125" s="324">
        <v>0</v>
      </c>
      <c r="U125" s="324">
        <v>391</v>
      </c>
      <c r="V125" s="80"/>
      <c r="W125" s="324">
        <v>0</v>
      </c>
      <c r="X125" s="324"/>
      <c r="Y125" s="324">
        <v>0</v>
      </c>
      <c r="Z125" s="80">
        <v>0</v>
      </c>
      <c r="AA125" s="80">
        <f t="shared" si="34"/>
        <v>391</v>
      </c>
      <c r="AB125" s="323">
        <f t="shared" si="35"/>
        <v>0</v>
      </c>
      <c r="AC125" s="80">
        <f t="shared" si="36"/>
        <v>391</v>
      </c>
      <c r="AD125" s="80">
        <f t="shared" si="41"/>
        <v>391</v>
      </c>
      <c r="AE125" s="80"/>
      <c r="AF125" s="80"/>
      <c r="AG125" s="80"/>
      <c r="AH125" s="326">
        <f t="shared" si="37"/>
        <v>0</v>
      </c>
      <c r="AI125" s="326">
        <f t="shared" si="38"/>
        <v>0</v>
      </c>
      <c r="AJ125" s="326">
        <f t="shared" si="39"/>
        <v>0</v>
      </c>
      <c r="AK125" s="326">
        <f t="shared" si="40"/>
        <v>0</v>
      </c>
      <c r="AL125" s="326"/>
      <c r="AM125" s="326"/>
      <c r="AN125" s="326"/>
      <c r="AO125" s="326"/>
      <c r="AP125" s="326"/>
      <c r="AQ125" s="326"/>
      <c r="AR125" s="327">
        <f>VLOOKUP(C125,'[1]DA HET SAN XUAT'!$D$8:$AJ$419,33,0)</f>
        <v>0</v>
      </c>
      <c r="AS125" s="504" t="s">
        <v>658</v>
      </c>
      <c r="AT125" s="411"/>
      <c r="AU125" s="411"/>
    </row>
    <row r="126" spans="1:47" s="412" customFormat="1" ht="18.75" customHeight="1">
      <c r="A126" s="167">
        <v>114</v>
      </c>
      <c r="B126" s="79" t="str">
        <f>IFERROR(VLOOKUP(A126,O.B.JUNE!$A$7:$C$448,2,0),0)</f>
        <v>TALBOTS</v>
      </c>
      <c r="C126" s="174">
        <f>IFERROR(VLOOKUP(A126,O.B.JUNE!$A$7:$C$448,3,0),0)</f>
        <v>174034863</v>
      </c>
      <c r="D126" s="80">
        <f t="shared" si="29"/>
        <v>0</v>
      </c>
      <c r="E126" s="80">
        <f>IFERROR(VLOOKUP(C126,O.B.JUNE!$C$7:$D$448,2,0),0)</f>
        <v>0</v>
      </c>
      <c r="F126" s="80">
        <v>0</v>
      </c>
      <c r="G126" s="80">
        <f>IFERROR(VLOOKUP(C126,O.B.JUNE!$C$7:$E$448,3,0),0)</f>
        <v>139</v>
      </c>
      <c r="H126" s="80">
        <f t="shared" si="30"/>
        <v>0</v>
      </c>
      <c r="I126" s="80"/>
      <c r="J126" s="80">
        <f t="shared" si="31"/>
        <v>139</v>
      </c>
      <c r="K126" s="80">
        <v>0</v>
      </c>
      <c r="L126" s="80">
        <v>0</v>
      </c>
      <c r="M126" s="81">
        <f t="shared" si="32"/>
        <v>0</v>
      </c>
      <c r="N126" s="81">
        <v>0</v>
      </c>
      <c r="O126" s="81">
        <v>0</v>
      </c>
      <c r="P126" s="81">
        <f t="shared" si="28"/>
        <v>0</v>
      </c>
      <c r="Q126" s="80">
        <f>IFERROR(VLOOKUP(C126,O.B.JUNE!$C$7:$K$448,7,0),0)</f>
        <v>0</v>
      </c>
      <c r="R126" s="80">
        <f>IFERROR(VLOOKUP(C126,O.B.JUNE!$C$7:$J$448,8,0),0)</f>
        <v>0</v>
      </c>
      <c r="S126" s="323">
        <f t="shared" si="33"/>
        <v>139</v>
      </c>
      <c r="T126" s="324">
        <v>0</v>
      </c>
      <c r="U126" s="324">
        <v>139</v>
      </c>
      <c r="V126" s="80"/>
      <c r="W126" s="324">
        <v>0</v>
      </c>
      <c r="X126" s="324"/>
      <c r="Y126" s="324">
        <v>0</v>
      </c>
      <c r="Z126" s="80">
        <v>0</v>
      </c>
      <c r="AA126" s="80">
        <f t="shared" si="34"/>
        <v>139</v>
      </c>
      <c r="AB126" s="323">
        <f t="shared" si="35"/>
        <v>0</v>
      </c>
      <c r="AC126" s="80">
        <f t="shared" si="36"/>
        <v>139</v>
      </c>
      <c r="AD126" s="80">
        <f t="shared" si="41"/>
        <v>139</v>
      </c>
      <c r="AE126" s="80"/>
      <c r="AF126" s="80"/>
      <c r="AG126" s="80"/>
      <c r="AH126" s="326">
        <f t="shared" si="37"/>
        <v>0</v>
      </c>
      <c r="AI126" s="326">
        <f t="shared" si="38"/>
        <v>0</v>
      </c>
      <c r="AJ126" s="326">
        <f t="shared" si="39"/>
        <v>0</v>
      </c>
      <c r="AK126" s="326">
        <f t="shared" si="40"/>
        <v>0</v>
      </c>
      <c r="AL126" s="326"/>
      <c r="AM126" s="326"/>
      <c r="AN126" s="326"/>
      <c r="AO126" s="326"/>
      <c r="AP126" s="326"/>
      <c r="AQ126" s="326"/>
      <c r="AR126" s="327"/>
      <c r="AS126" s="504" t="s">
        <v>658</v>
      </c>
      <c r="AT126" s="411"/>
      <c r="AU126" s="411"/>
    </row>
    <row r="127" spans="1:47" s="412" customFormat="1" ht="18.75" customHeight="1">
      <c r="A127" s="167">
        <v>115</v>
      </c>
      <c r="B127" s="79" t="str">
        <f>IFERROR(VLOOKUP(A127,O.B.JUNE!$A$7:$C$448,2,0),0)</f>
        <v>TALBOTS</v>
      </c>
      <c r="C127" s="174">
        <f>IFERROR(VLOOKUP(A127,O.B.JUNE!$A$7:$C$448,3,0),0)</f>
        <v>181013004</v>
      </c>
      <c r="D127" s="80">
        <f t="shared" si="29"/>
        <v>0</v>
      </c>
      <c r="E127" s="80">
        <f>IFERROR(VLOOKUP(C127,O.B.JUNE!$C$7:$D$448,2,0),0)</f>
        <v>0</v>
      </c>
      <c r="F127" s="80">
        <v>0</v>
      </c>
      <c r="G127" s="80">
        <f>IFERROR(VLOOKUP(C127,O.B.JUNE!$C$7:$E$448,3,0),0)</f>
        <v>1236</v>
      </c>
      <c r="H127" s="80">
        <f t="shared" si="30"/>
        <v>0</v>
      </c>
      <c r="I127" s="80"/>
      <c r="J127" s="80">
        <f t="shared" si="31"/>
        <v>0</v>
      </c>
      <c r="K127" s="80">
        <v>0</v>
      </c>
      <c r="L127" s="80">
        <v>0</v>
      </c>
      <c r="M127" s="81">
        <f t="shared" si="32"/>
        <v>1236</v>
      </c>
      <c r="N127" s="81">
        <v>0</v>
      </c>
      <c r="O127" s="81">
        <v>0</v>
      </c>
      <c r="P127" s="81">
        <f t="shared" si="28"/>
        <v>1236</v>
      </c>
      <c r="Q127" s="80">
        <f>IFERROR(VLOOKUP(C127,O.B.JUNE!$C$7:$K$448,7,0),0)</f>
        <v>0</v>
      </c>
      <c r="R127" s="80">
        <f>IFERROR(VLOOKUP(C127,O.B.JUNE!$C$7:$J$448,8,0),0)</f>
        <v>0</v>
      </c>
      <c r="S127" s="323">
        <f t="shared" si="33"/>
        <v>0</v>
      </c>
      <c r="T127" s="324">
        <v>0</v>
      </c>
      <c r="U127" s="324"/>
      <c r="V127" s="80"/>
      <c r="W127" s="324">
        <v>0</v>
      </c>
      <c r="X127" s="324"/>
      <c r="Y127" s="324">
        <v>0</v>
      </c>
      <c r="Z127" s="80">
        <v>0</v>
      </c>
      <c r="AA127" s="80">
        <f t="shared" si="34"/>
        <v>0</v>
      </c>
      <c r="AB127" s="323">
        <f t="shared" si="35"/>
        <v>0</v>
      </c>
      <c r="AC127" s="80">
        <f t="shared" si="36"/>
        <v>0</v>
      </c>
      <c r="AD127" s="80">
        <f t="shared" si="41"/>
        <v>0</v>
      </c>
      <c r="AE127" s="80"/>
      <c r="AF127" s="80"/>
      <c r="AG127" s="80"/>
      <c r="AH127" s="326">
        <f t="shared" si="37"/>
        <v>0</v>
      </c>
      <c r="AI127" s="326">
        <f t="shared" si="38"/>
        <v>0</v>
      </c>
      <c r="AJ127" s="326">
        <f t="shared" si="39"/>
        <v>0</v>
      </c>
      <c r="AK127" s="326">
        <f t="shared" si="40"/>
        <v>0</v>
      </c>
      <c r="AL127" s="326"/>
      <c r="AM127" s="326"/>
      <c r="AN127" s="326"/>
      <c r="AO127" s="326"/>
      <c r="AP127" s="326"/>
      <c r="AQ127" s="326"/>
      <c r="AR127" s="327">
        <f>VLOOKUP(C127,'[1]DA HET SAN XUAT'!$D$8:$AJ$419,33,0)</f>
        <v>0</v>
      </c>
      <c r="AS127" s="504" t="s">
        <v>658</v>
      </c>
      <c r="AT127" s="411"/>
      <c r="AU127" s="411"/>
    </row>
    <row r="128" spans="1:47" s="412" customFormat="1" ht="18.75" customHeight="1">
      <c r="A128" s="167">
        <v>116</v>
      </c>
      <c r="B128" s="79" t="str">
        <f>IFERROR(VLOOKUP(A128,O.B.JUNE!$A$7:$C$448,2,0),0)</f>
        <v>ALFANI</v>
      </c>
      <c r="C128" s="174">
        <f>IFERROR(VLOOKUP(A128,O.B.JUNE!$A$7:$C$448,3,0),0)</f>
        <v>100003498</v>
      </c>
      <c r="D128" s="80">
        <f t="shared" si="29"/>
        <v>0</v>
      </c>
      <c r="E128" s="80">
        <f>IFERROR(VLOOKUP(C128,O.B.JUNE!$C$7:$D$448,2,0),0)</f>
        <v>0</v>
      </c>
      <c r="F128" s="80">
        <v>0</v>
      </c>
      <c r="G128" s="80">
        <f>IFERROR(VLOOKUP(C128,O.B.JUNE!$C$7:$E$448,3,0),0)</f>
        <v>344</v>
      </c>
      <c r="H128" s="80">
        <f t="shared" si="30"/>
        <v>0</v>
      </c>
      <c r="I128" s="80"/>
      <c r="J128" s="80">
        <f t="shared" si="31"/>
        <v>0</v>
      </c>
      <c r="K128" s="80">
        <v>0</v>
      </c>
      <c r="L128" s="80">
        <v>0</v>
      </c>
      <c r="M128" s="81">
        <f t="shared" si="32"/>
        <v>344</v>
      </c>
      <c r="N128" s="81">
        <v>0</v>
      </c>
      <c r="O128" s="81">
        <v>0</v>
      </c>
      <c r="P128" s="81">
        <f t="shared" si="28"/>
        <v>344</v>
      </c>
      <c r="Q128" s="80">
        <f>IFERROR(VLOOKUP(C128,O.B.JUNE!$C$7:$K$448,7,0),0)</f>
        <v>0</v>
      </c>
      <c r="R128" s="80">
        <f>IFERROR(VLOOKUP(C128,O.B.JUNE!$C$7:$J$448,8,0),0)</f>
        <v>0</v>
      </c>
      <c r="S128" s="323">
        <f t="shared" si="33"/>
        <v>0</v>
      </c>
      <c r="T128" s="324">
        <v>0</v>
      </c>
      <c r="U128" s="324"/>
      <c r="V128" s="80"/>
      <c r="W128" s="324">
        <v>0</v>
      </c>
      <c r="X128" s="324"/>
      <c r="Y128" s="324">
        <v>0</v>
      </c>
      <c r="Z128" s="80">
        <v>0</v>
      </c>
      <c r="AA128" s="80">
        <f t="shared" si="34"/>
        <v>0</v>
      </c>
      <c r="AB128" s="323">
        <f t="shared" si="35"/>
        <v>0</v>
      </c>
      <c r="AC128" s="80">
        <f t="shared" si="36"/>
        <v>0</v>
      </c>
      <c r="AD128" s="80">
        <f t="shared" si="41"/>
        <v>0</v>
      </c>
      <c r="AE128" s="80"/>
      <c r="AF128" s="80"/>
      <c r="AG128" s="80"/>
      <c r="AH128" s="326">
        <f t="shared" si="37"/>
        <v>0</v>
      </c>
      <c r="AI128" s="326">
        <f t="shared" si="38"/>
        <v>0</v>
      </c>
      <c r="AJ128" s="326">
        <f t="shared" si="39"/>
        <v>0</v>
      </c>
      <c r="AK128" s="326">
        <f t="shared" si="40"/>
        <v>0</v>
      </c>
      <c r="AL128" s="326"/>
      <c r="AM128" s="326"/>
      <c r="AN128" s="326"/>
      <c r="AO128" s="326"/>
      <c r="AP128" s="326"/>
      <c r="AQ128" s="326"/>
      <c r="AR128" s="327"/>
      <c r="AS128" s="209"/>
      <c r="AT128" s="411"/>
      <c r="AU128" s="411"/>
    </row>
    <row r="129" spans="1:47" s="412" customFormat="1" ht="18.75" customHeight="1">
      <c r="A129" s="167">
        <v>117</v>
      </c>
      <c r="B129" s="79" t="str">
        <f>IFERROR(VLOOKUP(A129,O.B.JUNE!$A$7:$C$448,2,0),0)</f>
        <v>ALFANI</v>
      </c>
      <c r="C129" s="174">
        <f>IFERROR(VLOOKUP(A129,O.B.JUNE!$A$7:$C$448,3,0),0)</f>
        <v>100003560</v>
      </c>
      <c r="D129" s="80">
        <f t="shared" si="29"/>
        <v>0</v>
      </c>
      <c r="E129" s="80">
        <f>IFERROR(VLOOKUP(C129,O.B.JUNE!$C$7:$D$448,2,0),0)</f>
        <v>0</v>
      </c>
      <c r="F129" s="80">
        <v>0</v>
      </c>
      <c r="G129" s="80">
        <f>IFERROR(VLOOKUP(C129,O.B.JUNE!$C$7:$E$448,3,0),0)</f>
        <v>66</v>
      </c>
      <c r="H129" s="80">
        <f t="shared" si="30"/>
        <v>0</v>
      </c>
      <c r="I129" s="80"/>
      <c r="J129" s="80">
        <f t="shared" si="31"/>
        <v>0</v>
      </c>
      <c r="K129" s="80">
        <v>0</v>
      </c>
      <c r="L129" s="80">
        <v>0</v>
      </c>
      <c r="M129" s="81">
        <f t="shared" si="32"/>
        <v>66</v>
      </c>
      <c r="N129" s="81">
        <v>0</v>
      </c>
      <c r="O129" s="81">
        <v>0</v>
      </c>
      <c r="P129" s="81">
        <f t="shared" si="28"/>
        <v>66</v>
      </c>
      <c r="Q129" s="80">
        <f>IFERROR(VLOOKUP(C129,O.B.JUNE!$C$7:$K$448,7,0),0)</f>
        <v>0</v>
      </c>
      <c r="R129" s="80">
        <f>IFERROR(VLOOKUP(C129,O.B.JUNE!$C$7:$J$448,8,0),0)</f>
        <v>0</v>
      </c>
      <c r="S129" s="323">
        <f t="shared" si="33"/>
        <v>0</v>
      </c>
      <c r="T129" s="324">
        <v>0</v>
      </c>
      <c r="U129" s="324"/>
      <c r="V129" s="80"/>
      <c r="W129" s="324">
        <v>0</v>
      </c>
      <c r="X129" s="324"/>
      <c r="Y129" s="324">
        <v>0</v>
      </c>
      <c r="Z129" s="80">
        <v>0</v>
      </c>
      <c r="AA129" s="80">
        <f t="shared" si="34"/>
        <v>0</v>
      </c>
      <c r="AB129" s="323">
        <f t="shared" si="35"/>
        <v>0</v>
      </c>
      <c r="AC129" s="80">
        <f t="shared" si="36"/>
        <v>0</v>
      </c>
      <c r="AD129" s="80">
        <f t="shared" si="41"/>
        <v>0</v>
      </c>
      <c r="AE129" s="80"/>
      <c r="AF129" s="80"/>
      <c r="AG129" s="80"/>
      <c r="AH129" s="326">
        <f t="shared" si="37"/>
        <v>0</v>
      </c>
      <c r="AI129" s="326">
        <f t="shared" si="38"/>
        <v>0</v>
      </c>
      <c r="AJ129" s="326">
        <f t="shared" si="39"/>
        <v>0</v>
      </c>
      <c r="AK129" s="326">
        <f t="shared" si="40"/>
        <v>0</v>
      </c>
      <c r="AL129" s="326"/>
      <c r="AM129" s="326"/>
      <c r="AN129" s="326"/>
      <c r="AO129" s="326"/>
      <c r="AP129" s="326"/>
      <c r="AQ129" s="326"/>
      <c r="AR129" s="327"/>
      <c r="AS129" s="209"/>
      <c r="AT129" s="411"/>
      <c r="AU129" s="411"/>
    </row>
    <row r="130" spans="1:47" s="413" customFormat="1" ht="18.75" customHeight="1">
      <c r="A130" s="167">
        <v>118</v>
      </c>
      <c r="B130" s="79" t="str">
        <f>IFERROR(VLOOKUP(A130,O.B.JUNE!$A$7:$C$448,2,0),0)</f>
        <v>ALFANI</v>
      </c>
      <c r="C130" s="174">
        <f>IFERROR(VLOOKUP(A130,O.B.JUNE!$A$7:$C$448,3,0),0)</f>
        <v>100003581</v>
      </c>
      <c r="D130" s="80">
        <f t="shared" si="29"/>
        <v>0</v>
      </c>
      <c r="E130" s="80">
        <f>IFERROR(VLOOKUP(C130,O.B.JUNE!$C$7:$D$448,2,0),0)</f>
        <v>0</v>
      </c>
      <c r="F130" s="80">
        <v>0</v>
      </c>
      <c r="G130" s="80">
        <f>IFERROR(VLOOKUP(C130,O.B.JUNE!$C$7:$E$448,3,0),0)</f>
        <v>223</v>
      </c>
      <c r="H130" s="80">
        <f t="shared" si="30"/>
        <v>0</v>
      </c>
      <c r="I130" s="80"/>
      <c r="J130" s="80">
        <f t="shared" si="31"/>
        <v>0</v>
      </c>
      <c r="K130" s="80">
        <v>0</v>
      </c>
      <c r="L130" s="80">
        <v>0</v>
      </c>
      <c r="M130" s="81">
        <f t="shared" si="32"/>
        <v>223</v>
      </c>
      <c r="N130" s="81">
        <v>0</v>
      </c>
      <c r="O130" s="81">
        <v>0</v>
      </c>
      <c r="P130" s="81">
        <f t="shared" si="28"/>
        <v>223</v>
      </c>
      <c r="Q130" s="80">
        <f>IFERROR(VLOOKUP(C130,O.B.JUNE!$C$7:$K$448,7,0),0)</f>
        <v>0</v>
      </c>
      <c r="R130" s="80">
        <f>IFERROR(VLOOKUP(C130,O.B.JUNE!$C$7:$J$448,8,0),0)</f>
        <v>0</v>
      </c>
      <c r="S130" s="323">
        <f t="shared" si="33"/>
        <v>0</v>
      </c>
      <c r="T130" s="324">
        <v>0</v>
      </c>
      <c r="U130" s="324"/>
      <c r="V130" s="80"/>
      <c r="W130" s="324">
        <v>0</v>
      </c>
      <c r="X130" s="324"/>
      <c r="Y130" s="324">
        <v>0</v>
      </c>
      <c r="Z130" s="80">
        <v>0</v>
      </c>
      <c r="AA130" s="80">
        <f t="shared" si="34"/>
        <v>0</v>
      </c>
      <c r="AB130" s="323">
        <f t="shared" si="35"/>
        <v>0</v>
      </c>
      <c r="AC130" s="80">
        <f t="shared" si="36"/>
        <v>0</v>
      </c>
      <c r="AD130" s="80">
        <f t="shared" si="41"/>
        <v>0</v>
      </c>
      <c r="AE130" s="80"/>
      <c r="AF130" s="80"/>
      <c r="AG130" s="80"/>
      <c r="AH130" s="326">
        <f t="shared" si="37"/>
        <v>0</v>
      </c>
      <c r="AI130" s="326">
        <f t="shared" si="38"/>
        <v>0</v>
      </c>
      <c r="AJ130" s="326">
        <f t="shared" si="39"/>
        <v>0</v>
      </c>
      <c r="AK130" s="326">
        <f t="shared" si="40"/>
        <v>0</v>
      </c>
      <c r="AL130" s="326"/>
      <c r="AM130" s="326"/>
      <c r="AN130" s="326"/>
      <c r="AO130" s="326"/>
      <c r="AP130" s="326"/>
      <c r="AQ130" s="326"/>
      <c r="AR130" s="327"/>
      <c r="AS130" s="209"/>
      <c r="AT130" s="411"/>
      <c r="AU130" s="411"/>
    </row>
    <row r="131" spans="1:47" s="413" customFormat="1" ht="18.75" customHeight="1">
      <c r="A131" s="167">
        <v>119</v>
      </c>
      <c r="B131" s="79" t="str">
        <f>IFERROR(VLOOKUP(A131,O.B.JUNE!$A$7:$C$448,2,0),0)</f>
        <v>ALFANI</v>
      </c>
      <c r="C131" s="174">
        <f>IFERROR(VLOOKUP(A131,O.B.JUNE!$A$7:$C$448,3,0),0)</f>
        <v>100003599</v>
      </c>
      <c r="D131" s="80">
        <f t="shared" si="29"/>
        <v>4614</v>
      </c>
      <c r="E131" s="80">
        <f>IFERROR(VLOOKUP(C131,O.B.JUNE!$C$7:$D$448,2,0),0)</f>
        <v>0</v>
      </c>
      <c r="F131" s="80">
        <f>VLOOKUP(C131,'CUTTING ON JUNE'!$A$4:$D$316,3,0)</f>
        <v>4614</v>
      </c>
      <c r="G131" s="80">
        <f>IFERROR(VLOOKUP(C131,O.B.JUNE!$C$7:$E$448,3,0),0)</f>
        <v>92</v>
      </c>
      <c r="H131" s="80">
        <f t="shared" si="30"/>
        <v>4614</v>
      </c>
      <c r="I131" s="80"/>
      <c r="J131" s="80">
        <f t="shared" si="31"/>
        <v>4602</v>
      </c>
      <c r="K131" s="80">
        <v>0</v>
      </c>
      <c r="L131" s="80">
        <v>0</v>
      </c>
      <c r="M131" s="81">
        <f t="shared" si="32"/>
        <v>104</v>
      </c>
      <c r="N131" s="81">
        <v>0</v>
      </c>
      <c r="O131" s="81">
        <v>74</v>
      </c>
      <c r="P131" s="81">
        <f t="shared" si="28"/>
        <v>30</v>
      </c>
      <c r="Q131" s="80">
        <f>IFERROR(VLOOKUP(C131,O.B.JUNE!$C$7:$K$448,7,0),0)</f>
        <v>0</v>
      </c>
      <c r="R131" s="80">
        <f>IFERROR(VLOOKUP(C131,O.B.JUNE!$C$7:$J$448,8,0),0)</f>
        <v>0</v>
      </c>
      <c r="S131" s="323">
        <f t="shared" si="33"/>
        <v>4602</v>
      </c>
      <c r="T131" s="324">
        <v>4602</v>
      </c>
      <c r="U131" s="324"/>
      <c r="V131" s="80"/>
      <c r="W131" s="324">
        <v>0</v>
      </c>
      <c r="X131" s="324"/>
      <c r="Y131" s="324">
        <v>0</v>
      </c>
      <c r="Z131" s="80">
        <v>0</v>
      </c>
      <c r="AA131" s="80">
        <f t="shared" si="34"/>
        <v>4602</v>
      </c>
      <c r="AB131" s="323">
        <f t="shared" si="35"/>
        <v>4602</v>
      </c>
      <c r="AC131" s="80">
        <f t="shared" si="36"/>
        <v>0</v>
      </c>
      <c r="AD131" s="80">
        <f t="shared" si="41"/>
        <v>4602</v>
      </c>
      <c r="AE131" s="80"/>
      <c r="AF131" s="80"/>
      <c r="AG131" s="80"/>
      <c r="AH131" s="326">
        <f t="shared" si="37"/>
        <v>0</v>
      </c>
      <c r="AI131" s="326">
        <f t="shared" si="38"/>
        <v>0</v>
      </c>
      <c r="AJ131" s="326">
        <f t="shared" si="39"/>
        <v>0</v>
      </c>
      <c r="AK131" s="326">
        <f t="shared" si="40"/>
        <v>0</v>
      </c>
      <c r="AL131" s="326"/>
      <c r="AM131" s="326"/>
      <c r="AN131" s="326"/>
      <c r="AO131" s="326"/>
      <c r="AP131" s="326"/>
      <c r="AQ131" s="326"/>
      <c r="AR131" s="327"/>
      <c r="AS131" s="209"/>
      <c r="AT131" s="411"/>
      <c r="AU131" s="411"/>
    </row>
    <row r="132" spans="1:47" s="413" customFormat="1" ht="18.75" customHeight="1">
      <c r="A132" s="167">
        <v>120</v>
      </c>
      <c r="B132" s="79" t="str">
        <f>IFERROR(VLOOKUP(A132,O.B.JUNE!$A$7:$C$448,2,0),0)</f>
        <v>ALFANI</v>
      </c>
      <c r="C132" s="174">
        <f>IFERROR(VLOOKUP(A132,O.B.JUNE!$A$7:$C$448,3,0),0)</f>
        <v>100016414</v>
      </c>
      <c r="D132" s="80">
        <f t="shared" si="29"/>
        <v>0</v>
      </c>
      <c r="E132" s="80">
        <f>IFERROR(VLOOKUP(C132,O.B.JUNE!$C$7:$D$448,2,0),0)</f>
        <v>0</v>
      </c>
      <c r="F132" s="80">
        <v>0</v>
      </c>
      <c r="G132" s="80">
        <f>IFERROR(VLOOKUP(C132,O.B.JUNE!$C$7:$E$448,3,0),0)</f>
        <v>41</v>
      </c>
      <c r="H132" s="80">
        <f t="shared" si="30"/>
        <v>0</v>
      </c>
      <c r="I132" s="80"/>
      <c r="J132" s="80">
        <f t="shared" si="31"/>
        <v>0</v>
      </c>
      <c r="K132" s="80">
        <v>0</v>
      </c>
      <c r="L132" s="80">
        <v>0</v>
      </c>
      <c r="M132" s="81">
        <f t="shared" si="32"/>
        <v>41</v>
      </c>
      <c r="N132" s="81">
        <v>0</v>
      </c>
      <c r="O132" s="81">
        <v>0</v>
      </c>
      <c r="P132" s="81">
        <f t="shared" si="28"/>
        <v>41</v>
      </c>
      <c r="Q132" s="80">
        <f>IFERROR(VLOOKUP(C132,O.B.JUNE!$C$7:$K$448,7,0),0)</f>
        <v>0</v>
      </c>
      <c r="R132" s="80">
        <f>IFERROR(VLOOKUP(C132,O.B.JUNE!$C$7:$J$448,8,0),0)</f>
        <v>0</v>
      </c>
      <c r="S132" s="323">
        <f t="shared" si="33"/>
        <v>0</v>
      </c>
      <c r="T132" s="324">
        <v>0</v>
      </c>
      <c r="U132" s="324"/>
      <c r="V132" s="80"/>
      <c r="W132" s="324">
        <v>0</v>
      </c>
      <c r="X132" s="324"/>
      <c r="Y132" s="324">
        <v>0</v>
      </c>
      <c r="Z132" s="80">
        <v>0</v>
      </c>
      <c r="AA132" s="80">
        <f t="shared" si="34"/>
        <v>0</v>
      </c>
      <c r="AB132" s="323">
        <f t="shared" si="35"/>
        <v>0</v>
      </c>
      <c r="AC132" s="80">
        <f t="shared" si="36"/>
        <v>0</v>
      </c>
      <c r="AD132" s="80">
        <f t="shared" si="41"/>
        <v>0</v>
      </c>
      <c r="AE132" s="80"/>
      <c r="AF132" s="80"/>
      <c r="AG132" s="80"/>
      <c r="AH132" s="326">
        <f t="shared" si="37"/>
        <v>0</v>
      </c>
      <c r="AI132" s="326">
        <f t="shared" si="38"/>
        <v>0</v>
      </c>
      <c r="AJ132" s="326">
        <f t="shared" si="39"/>
        <v>0</v>
      </c>
      <c r="AK132" s="326">
        <f t="shared" si="40"/>
        <v>0</v>
      </c>
      <c r="AL132" s="326"/>
      <c r="AM132" s="326"/>
      <c r="AN132" s="326"/>
      <c r="AO132" s="326"/>
      <c r="AP132" s="326"/>
      <c r="AQ132" s="326"/>
      <c r="AR132" s="327"/>
      <c r="AS132" s="209"/>
      <c r="AT132" s="411"/>
      <c r="AU132" s="411"/>
    </row>
    <row r="133" spans="1:47" s="413" customFormat="1" ht="18.75" customHeight="1">
      <c r="A133" s="167">
        <v>121</v>
      </c>
      <c r="B133" s="79" t="str">
        <f>IFERROR(VLOOKUP(A133,O.B.JUNE!$A$7:$C$448,2,0),0)</f>
        <v>ALFANI</v>
      </c>
      <c r="C133" s="174">
        <f>IFERROR(VLOOKUP(A133,O.B.JUNE!$A$7:$C$448,3,0),0)</f>
        <v>69216</v>
      </c>
      <c r="D133" s="80">
        <f t="shared" si="29"/>
        <v>0</v>
      </c>
      <c r="E133" s="80">
        <f>IFERROR(VLOOKUP(C133,O.B.JUNE!$C$7:$D$448,2,0),0)</f>
        <v>160</v>
      </c>
      <c r="F133" s="80">
        <f>VLOOKUP(C133,'CUTTING ON JUNE'!$A$4:$D$316,3,0)</f>
        <v>160</v>
      </c>
      <c r="G133" s="80">
        <f>IFERROR(VLOOKUP(C133,O.B.JUNE!$C$7:$E$448,3,0),0)</f>
        <v>302</v>
      </c>
      <c r="H133" s="80">
        <f t="shared" si="30"/>
        <v>0</v>
      </c>
      <c r="I133" s="80"/>
      <c r="J133" s="80">
        <f t="shared" si="31"/>
        <v>302</v>
      </c>
      <c r="K133" s="80">
        <v>0</v>
      </c>
      <c r="L133" s="80">
        <v>0</v>
      </c>
      <c r="M133" s="81">
        <f t="shared" si="32"/>
        <v>0</v>
      </c>
      <c r="N133" s="81">
        <v>0</v>
      </c>
      <c r="O133" s="81">
        <v>0</v>
      </c>
      <c r="P133" s="81">
        <f t="shared" si="28"/>
        <v>0</v>
      </c>
      <c r="Q133" s="80">
        <f>IFERROR(VLOOKUP(C133,O.B.JUNE!$C$7:$K$448,7,0),0)</f>
        <v>0</v>
      </c>
      <c r="R133" s="80">
        <f>IFERROR(VLOOKUP(C133,O.B.JUNE!$C$7:$J$448,8,0),0)</f>
        <v>0</v>
      </c>
      <c r="S133" s="323">
        <f t="shared" si="33"/>
        <v>302</v>
      </c>
      <c r="T133" s="324">
        <v>0</v>
      </c>
      <c r="U133" s="324">
        <v>302</v>
      </c>
      <c r="V133" s="80"/>
      <c r="W133" s="324">
        <v>0</v>
      </c>
      <c r="X133" s="324"/>
      <c r="Y133" s="324">
        <v>0</v>
      </c>
      <c r="Z133" s="80">
        <v>0</v>
      </c>
      <c r="AA133" s="80">
        <f t="shared" si="34"/>
        <v>302</v>
      </c>
      <c r="AB133" s="323">
        <f t="shared" si="35"/>
        <v>0</v>
      </c>
      <c r="AC133" s="80">
        <f t="shared" si="36"/>
        <v>302</v>
      </c>
      <c r="AD133" s="80">
        <f t="shared" si="41"/>
        <v>302</v>
      </c>
      <c r="AE133" s="80"/>
      <c r="AF133" s="80"/>
      <c r="AG133" s="80"/>
      <c r="AH133" s="326">
        <f t="shared" si="37"/>
        <v>0</v>
      </c>
      <c r="AI133" s="326">
        <f t="shared" si="38"/>
        <v>0</v>
      </c>
      <c r="AJ133" s="326">
        <f t="shared" si="39"/>
        <v>0</v>
      </c>
      <c r="AK133" s="326">
        <f t="shared" si="40"/>
        <v>0</v>
      </c>
      <c r="AL133" s="326"/>
      <c r="AM133" s="326"/>
      <c r="AN133" s="326"/>
      <c r="AO133" s="326"/>
      <c r="AP133" s="326"/>
      <c r="AQ133" s="326"/>
      <c r="AR133" s="327"/>
      <c r="AS133" s="504" t="s">
        <v>658</v>
      </c>
      <c r="AT133" s="411"/>
      <c r="AU133" s="411"/>
    </row>
    <row r="134" spans="1:47" s="413" customFormat="1" ht="18.75" customHeight="1">
      <c r="A134" s="167">
        <v>123</v>
      </c>
      <c r="B134" s="79" t="str">
        <f>IFERROR(VLOOKUP(A134,O.B.JUNE!$A$7:$C$448,2,0),0)</f>
        <v>ANN TAYLOR</v>
      </c>
      <c r="C134" s="174">
        <f>IFERROR(VLOOKUP(A134,O.B.JUNE!$A$7:$C$448,3,0),0)</f>
        <v>451230</v>
      </c>
      <c r="D134" s="80">
        <f t="shared" si="29"/>
        <v>0</v>
      </c>
      <c r="E134" s="80">
        <f>IFERROR(VLOOKUP(C134,O.B.JUNE!$C$7:$D$448,2,0),0)</f>
        <v>0</v>
      </c>
      <c r="F134" s="80">
        <v>0</v>
      </c>
      <c r="G134" s="80">
        <f>IFERROR(VLOOKUP(C134,O.B.JUNE!$C$7:$E$448,3,0),0)</f>
        <v>866</v>
      </c>
      <c r="H134" s="80">
        <f t="shared" si="30"/>
        <v>0</v>
      </c>
      <c r="I134" s="80"/>
      <c r="J134" s="80">
        <f t="shared" si="31"/>
        <v>866</v>
      </c>
      <c r="K134" s="80">
        <v>0</v>
      </c>
      <c r="L134" s="80">
        <v>0</v>
      </c>
      <c r="M134" s="81">
        <f t="shared" si="32"/>
        <v>0</v>
      </c>
      <c r="N134" s="81">
        <v>0</v>
      </c>
      <c r="O134" s="81">
        <v>0</v>
      </c>
      <c r="P134" s="81">
        <f t="shared" si="28"/>
        <v>0</v>
      </c>
      <c r="Q134" s="80">
        <f>IFERROR(VLOOKUP(C134,O.B.JUNE!$C$7:$K$448,7,0),0)</f>
        <v>0</v>
      </c>
      <c r="R134" s="80">
        <f>IFERROR(VLOOKUP(C134,O.B.JUNE!$C$7:$J$448,8,0),0)</f>
        <v>0</v>
      </c>
      <c r="S134" s="323">
        <f t="shared" si="33"/>
        <v>866</v>
      </c>
      <c r="T134" s="324">
        <v>0</v>
      </c>
      <c r="U134" s="324">
        <v>866</v>
      </c>
      <c r="V134" s="80"/>
      <c r="W134" s="324">
        <v>0</v>
      </c>
      <c r="X134" s="324"/>
      <c r="Y134" s="324">
        <v>0</v>
      </c>
      <c r="Z134" s="80">
        <v>0</v>
      </c>
      <c r="AA134" s="80">
        <f t="shared" si="34"/>
        <v>866</v>
      </c>
      <c r="AB134" s="323">
        <f t="shared" si="35"/>
        <v>0</v>
      </c>
      <c r="AC134" s="80">
        <f t="shared" si="36"/>
        <v>866</v>
      </c>
      <c r="AD134" s="80">
        <f t="shared" si="41"/>
        <v>866</v>
      </c>
      <c r="AE134" s="80"/>
      <c r="AF134" s="80"/>
      <c r="AG134" s="80"/>
      <c r="AH134" s="326">
        <f t="shared" si="37"/>
        <v>0</v>
      </c>
      <c r="AI134" s="326">
        <f t="shared" si="38"/>
        <v>0</v>
      </c>
      <c r="AJ134" s="326">
        <f t="shared" si="39"/>
        <v>0</v>
      </c>
      <c r="AK134" s="326">
        <f t="shared" si="40"/>
        <v>0</v>
      </c>
      <c r="AL134" s="326"/>
      <c r="AM134" s="326"/>
      <c r="AN134" s="326"/>
      <c r="AO134" s="326"/>
      <c r="AP134" s="326"/>
      <c r="AQ134" s="326"/>
      <c r="AR134" s="327"/>
      <c r="AS134" s="504" t="s">
        <v>658</v>
      </c>
      <c r="AT134" s="411"/>
      <c r="AU134" s="411"/>
    </row>
    <row r="135" spans="1:47" s="413" customFormat="1" ht="18.75" customHeight="1">
      <c r="A135" s="167">
        <v>124</v>
      </c>
      <c r="B135" s="79" t="str">
        <f>IFERROR(VLOOKUP(A135,O.B.JUNE!$A$7:$C$448,2,0),0)</f>
        <v>ANN TAYLOR</v>
      </c>
      <c r="C135" s="174">
        <f>IFERROR(VLOOKUP(A135,O.B.JUNE!$A$7:$C$448,3,0),0)</f>
        <v>451311</v>
      </c>
      <c r="D135" s="80">
        <f t="shared" si="29"/>
        <v>0</v>
      </c>
      <c r="E135" s="80">
        <f>IFERROR(VLOOKUP(C135,O.B.JUNE!$C$7:$D$448,2,0),0)</f>
        <v>0</v>
      </c>
      <c r="F135" s="80">
        <v>0</v>
      </c>
      <c r="G135" s="80">
        <f>IFERROR(VLOOKUP(C135,O.B.JUNE!$C$7:$E$448,3,0),0)</f>
        <v>292</v>
      </c>
      <c r="H135" s="80">
        <f t="shared" si="30"/>
        <v>0</v>
      </c>
      <c r="I135" s="80"/>
      <c r="J135" s="80">
        <f t="shared" si="31"/>
        <v>292</v>
      </c>
      <c r="K135" s="80">
        <v>0</v>
      </c>
      <c r="L135" s="80">
        <v>0</v>
      </c>
      <c r="M135" s="81">
        <f t="shared" si="32"/>
        <v>0</v>
      </c>
      <c r="N135" s="81">
        <v>0</v>
      </c>
      <c r="O135" s="81">
        <v>0</v>
      </c>
      <c r="P135" s="81">
        <f t="shared" si="28"/>
        <v>0</v>
      </c>
      <c r="Q135" s="80">
        <f>IFERROR(VLOOKUP(C135,O.B.JUNE!$C$7:$K$448,7,0),0)</f>
        <v>0</v>
      </c>
      <c r="R135" s="80">
        <f>IFERROR(VLOOKUP(C135,O.B.JUNE!$C$7:$J$448,8,0),0)</f>
        <v>0</v>
      </c>
      <c r="S135" s="323">
        <f t="shared" si="33"/>
        <v>292</v>
      </c>
      <c r="T135" s="324">
        <v>0</v>
      </c>
      <c r="U135" s="324">
        <v>292</v>
      </c>
      <c r="V135" s="80"/>
      <c r="W135" s="324">
        <v>0</v>
      </c>
      <c r="X135" s="324"/>
      <c r="Y135" s="324">
        <v>0</v>
      </c>
      <c r="Z135" s="80">
        <v>0</v>
      </c>
      <c r="AA135" s="80">
        <f t="shared" si="34"/>
        <v>292</v>
      </c>
      <c r="AB135" s="323">
        <f t="shared" si="35"/>
        <v>0</v>
      </c>
      <c r="AC135" s="80">
        <f t="shared" si="36"/>
        <v>292</v>
      </c>
      <c r="AD135" s="80">
        <f t="shared" si="41"/>
        <v>292</v>
      </c>
      <c r="AE135" s="80"/>
      <c r="AF135" s="80"/>
      <c r="AG135" s="80"/>
      <c r="AH135" s="326">
        <f t="shared" si="37"/>
        <v>0</v>
      </c>
      <c r="AI135" s="326">
        <f t="shared" si="38"/>
        <v>0</v>
      </c>
      <c r="AJ135" s="326">
        <f t="shared" si="39"/>
        <v>0</v>
      </c>
      <c r="AK135" s="326">
        <f t="shared" si="40"/>
        <v>0</v>
      </c>
      <c r="AL135" s="326"/>
      <c r="AM135" s="326"/>
      <c r="AN135" s="326"/>
      <c r="AO135" s="326"/>
      <c r="AP135" s="326"/>
      <c r="AQ135" s="326"/>
      <c r="AR135" s="327">
        <f>VLOOKUP(C135,'[1]DA HET SAN XUAT'!$D$8:$AJ$419,33,0)</f>
        <v>0</v>
      </c>
      <c r="AS135" s="504" t="s">
        <v>658</v>
      </c>
      <c r="AT135" s="411"/>
      <c r="AU135" s="411"/>
    </row>
    <row r="136" spans="1:47" s="413" customFormat="1" ht="18.75" customHeight="1">
      <c r="A136" s="167">
        <v>125</v>
      </c>
      <c r="B136" s="79" t="str">
        <f>IFERROR(VLOOKUP(A136,O.B.JUNE!$A$7:$C$448,2,0),0)</f>
        <v>ANN TAYLOR</v>
      </c>
      <c r="C136" s="174">
        <f>IFERROR(VLOOKUP(A136,O.B.JUNE!$A$7:$C$448,3,0),0)</f>
        <v>451365</v>
      </c>
      <c r="D136" s="80">
        <f t="shared" si="29"/>
        <v>0</v>
      </c>
      <c r="E136" s="80">
        <f>IFERROR(VLOOKUP(C136,O.B.JUNE!$C$7:$D$448,2,0),0)</f>
        <v>0</v>
      </c>
      <c r="F136" s="80">
        <v>0</v>
      </c>
      <c r="G136" s="80">
        <f>IFERROR(VLOOKUP(C136,O.B.JUNE!$C$7:$E$448,3,0),0)</f>
        <v>386</v>
      </c>
      <c r="H136" s="80">
        <f t="shared" si="30"/>
        <v>0</v>
      </c>
      <c r="I136" s="80"/>
      <c r="J136" s="80">
        <f t="shared" si="31"/>
        <v>386</v>
      </c>
      <c r="K136" s="80">
        <v>0</v>
      </c>
      <c r="L136" s="80">
        <v>0</v>
      </c>
      <c r="M136" s="81">
        <f t="shared" si="32"/>
        <v>0</v>
      </c>
      <c r="N136" s="81">
        <v>0</v>
      </c>
      <c r="O136" s="81">
        <v>0</v>
      </c>
      <c r="P136" s="81">
        <f t="shared" si="28"/>
        <v>0</v>
      </c>
      <c r="Q136" s="80">
        <f>IFERROR(VLOOKUP(C136,O.B.JUNE!$C$7:$K$448,7,0),0)</f>
        <v>0</v>
      </c>
      <c r="R136" s="80">
        <f>IFERROR(VLOOKUP(C136,O.B.JUNE!$C$7:$J$448,8,0),0)</f>
        <v>0</v>
      </c>
      <c r="S136" s="323">
        <f t="shared" si="33"/>
        <v>386</v>
      </c>
      <c r="T136" s="324">
        <v>0</v>
      </c>
      <c r="U136" s="324">
        <v>386</v>
      </c>
      <c r="V136" s="80"/>
      <c r="W136" s="324">
        <v>0</v>
      </c>
      <c r="X136" s="324"/>
      <c r="Y136" s="324">
        <v>0</v>
      </c>
      <c r="Z136" s="80">
        <v>0</v>
      </c>
      <c r="AA136" s="80">
        <f t="shared" si="34"/>
        <v>386</v>
      </c>
      <c r="AB136" s="323">
        <f t="shared" si="35"/>
        <v>0</v>
      </c>
      <c r="AC136" s="80">
        <f t="shared" si="36"/>
        <v>386</v>
      </c>
      <c r="AD136" s="80">
        <f t="shared" si="41"/>
        <v>386</v>
      </c>
      <c r="AE136" s="80"/>
      <c r="AF136" s="80"/>
      <c r="AG136" s="80"/>
      <c r="AH136" s="326">
        <f t="shared" si="37"/>
        <v>0</v>
      </c>
      <c r="AI136" s="326">
        <f t="shared" si="38"/>
        <v>0</v>
      </c>
      <c r="AJ136" s="326">
        <f t="shared" si="39"/>
        <v>0</v>
      </c>
      <c r="AK136" s="326">
        <f t="shared" si="40"/>
        <v>0</v>
      </c>
      <c r="AL136" s="326"/>
      <c r="AM136" s="326"/>
      <c r="AN136" s="326"/>
      <c r="AO136" s="326"/>
      <c r="AP136" s="326"/>
      <c r="AQ136" s="326"/>
      <c r="AR136" s="327">
        <f>VLOOKUP(C136,'[1]DA HET SAN XUAT'!$D$8:$AJ$419,33,0)</f>
        <v>0</v>
      </c>
      <c r="AS136" s="504" t="s">
        <v>658</v>
      </c>
      <c r="AT136" s="411"/>
      <c r="AU136" s="411"/>
    </row>
    <row r="137" spans="1:47" s="413" customFormat="1" ht="18.75" customHeight="1">
      <c r="A137" s="167">
        <v>126</v>
      </c>
      <c r="B137" s="79" t="str">
        <f>IFERROR(VLOOKUP(A137,O.B.JUNE!$A$7:$C$448,2,0),0)</f>
        <v>ANN TAYLOR</v>
      </c>
      <c r="C137" s="174">
        <f>IFERROR(VLOOKUP(A137,O.B.JUNE!$A$7:$C$448,3,0),0)</f>
        <v>453089</v>
      </c>
      <c r="D137" s="80">
        <f t="shared" si="29"/>
        <v>0</v>
      </c>
      <c r="E137" s="80">
        <f>IFERROR(VLOOKUP(C137,O.B.JUNE!$C$7:$D$448,2,0),0)</f>
        <v>0</v>
      </c>
      <c r="F137" s="80">
        <v>0</v>
      </c>
      <c r="G137" s="80">
        <f>IFERROR(VLOOKUP(C137,O.B.JUNE!$C$7:$E$448,3,0),0)</f>
        <v>323</v>
      </c>
      <c r="H137" s="80">
        <f t="shared" si="30"/>
        <v>0</v>
      </c>
      <c r="I137" s="80"/>
      <c r="J137" s="80">
        <f t="shared" si="31"/>
        <v>323</v>
      </c>
      <c r="K137" s="80">
        <v>0</v>
      </c>
      <c r="L137" s="80">
        <v>0</v>
      </c>
      <c r="M137" s="81">
        <f t="shared" si="32"/>
        <v>0</v>
      </c>
      <c r="N137" s="81">
        <v>0</v>
      </c>
      <c r="O137" s="81">
        <v>0</v>
      </c>
      <c r="P137" s="81">
        <f t="shared" si="28"/>
        <v>0</v>
      </c>
      <c r="Q137" s="80">
        <f>IFERROR(VLOOKUP(C137,O.B.JUNE!$C$7:$K$448,7,0),0)</f>
        <v>0</v>
      </c>
      <c r="R137" s="80">
        <f>IFERROR(VLOOKUP(C137,O.B.JUNE!$C$7:$J$448,8,0),0)</f>
        <v>0</v>
      </c>
      <c r="S137" s="323">
        <f t="shared" si="33"/>
        <v>323</v>
      </c>
      <c r="T137" s="324">
        <v>0</v>
      </c>
      <c r="U137" s="324">
        <v>323</v>
      </c>
      <c r="V137" s="80"/>
      <c r="W137" s="324">
        <v>0</v>
      </c>
      <c r="X137" s="324"/>
      <c r="Y137" s="324">
        <v>0</v>
      </c>
      <c r="Z137" s="80">
        <v>0</v>
      </c>
      <c r="AA137" s="80">
        <f t="shared" si="34"/>
        <v>323</v>
      </c>
      <c r="AB137" s="323">
        <f t="shared" si="35"/>
        <v>0</v>
      </c>
      <c r="AC137" s="80">
        <f t="shared" si="36"/>
        <v>323</v>
      </c>
      <c r="AD137" s="80">
        <f t="shared" si="41"/>
        <v>323</v>
      </c>
      <c r="AE137" s="80"/>
      <c r="AF137" s="80"/>
      <c r="AG137" s="80"/>
      <c r="AH137" s="326">
        <f t="shared" si="37"/>
        <v>0</v>
      </c>
      <c r="AI137" s="326">
        <f t="shared" si="38"/>
        <v>0</v>
      </c>
      <c r="AJ137" s="326">
        <f t="shared" si="39"/>
        <v>0</v>
      </c>
      <c r="AK137" s="326">
        <f t="shared" si="40"/>
        <v>0</v>
      </c>
      <c r="AL137" s="326"/>
      <c r="AM137" s="326"/>
      <c r="AN137" s="326"/>
      <c r="AO137" s="326"/>
      <c r="AP137" s="326"/>
      <c r="AQ137" s="326"/>
      <c r="AR137" s="327"/>
      <c r="AS137" s="504" t="s">
        <v>658</v>
      </c>
      <c r="AT137" s="411"/>
      <c r="AU137" s="411"/>
    </row>
    <row r="138" spans="1:47" s="413" customFormat="1" ht="18.75" customHeight="1">
      <c r="A138" s="167">
        <v>127</v>
      </c>
      <c r="B138" s="79" t="str">
        <f>IFERROR(VLOOKUP(A138,O.B.JUNE!$A$7:$C$448,2,0),0)</f>
        <v>ANN TAYLOR</v>
      </c>
      <c r="C138" s="174" t="str">
        <f>IFERROR(VLOOKUP(A138,O.B.JUNE!$A$7:$C$448,3,0),0)</f>
        <v>453289(456581)</v>
      </c>
      <c r="D138" s="80">
        <f t="shared" si="29"/>
        <v>0</v>
      </c>
      <c r="E138" s="80">
        <f>IFERROR(VLOOKUP(C138,O.B.JUNE!$C$7:$D$448,2,0),0)</f>
        <v>0</v>
      </c>
      <c r="F138" s="80">
        <v>0</v>
      </c>
      <c r="G138" s="80">
        <f>IFERROR(VLOOKUP(C138,O.B.JUNE!$C$7:$E$448,3,0),0)</f>
        <v>1964</v>
      </c>
      <c r="H138" s="80">
        <f t="shared" ref="H138:H201" si="42">IF(F138="","",F138-E138)</f>
        <v>0</v>
      </c>
      <c r="I138" s="80"/>
      <c r="J138" s="80">
        <f t="shared" si="31"/>
        <v>151</v>
      </c>
      <c r="K138" s="80">
        <v>0</v>
      </c>
      <c r="L138" s="80">
        <v>0</v>
      </c>
      <c r="M138" s="81">
        <f t="shared" si="32"/>
        <v>1813</v>
      </c>
      <c r="N138" s="81">
        <v>0</v>
      </c>
      <c r="O138" s="81">
        <v>0</v>
      </c>
      <c r="P138" s="81">
        <f t="shared" si="28"/>
        <v>1813</v>
      </c>
      <c r="Q138" s="80">
        <f>IFERROR(VLOOKUP(C138,O.B.JUNE!$C$7:$K$448,7,0),0)</f>
        <v>0</v>
      </c>
      <c r="R138" s="80">
        <f>IFERROR(VLOOKUP(C138,O.B.JUNE!$C$7:$J$448,8,0),0)</f>
        <v>0</v>
      </c>
      <c r="S138" s="323">
        <f t="shared" si="33"/>
        <v>151</v>
      </c>
      <c r="T138" s="324">
        <v>0</v>
      </c>
      <c r="U138" s="324">
        <v>151</v>
      </c>
      <c r="V138" s="80"/>
      <c r="W138" s="324">
        <v>0</v>
      </c>
      <c r="X138" s="324"/>
      <c r="Y138" s="324">
        <v>0</v>
      </c>
      <c r="Z138" s="80">
        <v>0</v>
      </c>
      <c r="AA138" s="80">
        <f t="shared" si="34"/>
        <v>151</v>
      </c>
      <c r="AB138" s="323">
        <f t="shared" si="35"/>
        <v>0</v>
      </c>
      <c r="AC138" s="80">
        <f t="shared" si="36"/>
        <v>151</v>
      </c>
      <c r="AD138" s="80">
        <f t="shared" si="41"/>
        <v>151</v>
      </c>
      <c r="AE138" s="80"/>
      <c r="AF138" s="80"/>
      <c r="AG138" s="80"/>
      <c r="AH138" s="326">
        <f t="shared" si="37"/>
        <v>0</v>
      </c>
      <c r="AI138" s="326">
        <f t="shared" si="38"/>
        <v>0</v>
      </c>
      <c r="AJ138" s="326">
        <f t="shared" si="39"/>
        <v>0</v>
      </c>
      <c r="AK138" s="326">
        <f t="shared" si="40"/>
        <v>0</v>
      </c>
      <c r="AL138" s="326"/>
      <c r="AM138" s="326"/>
      <c r="AN138" s="326"/>
      <c r="AO138" s="326"/>
      <c r="AP138" s="326"/>
      <c r="AQ138" s="326"/>
      <c r="AR138" s="327"/>
      <c r="AS138" s="504" t="s">
        <v>658</v>
      </c>
      <c r="AT138" s="411"/>
      <c r="AU138" s="411"/>
    </row>
    <row r="139" spans="1:47" s="413" customFormat="1" ht="18.75" customHeight="1">
      <c r="A139" s="167">
        <v>128</v>
      </c>
      <c r="B139" s="79" t="str">
        <f>IFERROR(VLOOKUP(A139,O.B.JUNE!$A$7:$C$448,2,0),0)</f>
        <v>ANN TAYLOR</v>
      </c>
      <c r="C139" s="174">
        <f>IFERROR(VLOOKUP(A139,O.B.JUNE!$A$7:$C$448,3,0),0)</f>
        <v>453590</v>
      </c>
      <c r="D139" s="80">
        <f t="shared" si="29"/>
        <v>0</v>
      </c>
      <c r="E139" s="80">
        <f>IFERROR(VLOOKUP(C139,O.B.JUNE!$C$7:$D$448,2,0),0)</f>
        <v>0</v>
      </c>
      <c r="F139" s="80">
        <v>0</v>
      </c>
      <c r="G139" s="80">
        <f>IFERROR(VLOOKUP(C139,O.B.JUNE!$C$7:$E$448,3,0),0)</f>
        <v>463</v>
      </c>
      <c r="H139" s="80">
        <f t="shared" si="42"/>
        <v>0</v>
      </c>
      <c r="I139" s="80"/>
      <c r="J139" s="80">
        <f t="shared" si="31"/>
        <v>463</v>
      </c>
      <c r="K139" s="80">
        <v>0</v>
      </c>
      <c r="L139" s="80">
        <v>0</v>
      </c>
      <c r="M139" s="81">
        <f t="shared" si="32"/>
        <v>0</v>
      </c>
      <c r="N139" s="81">
        <v>0</v>
      </c>
      <c r="O139" s="81">
        <v>0</v>
      </c>
      <c r="P139" s="81">
        <f t="shared" si="28"/>
        <v>0</v>
      </c>
      <c r="Q139" s="80">
        <f>IFERROR(VLOOKUP(C139,O.B.JUNE!$C$7:$K$448,7,0),0)</f>
        <v>0</v>
      </c>
      <c r="R139" s="80">
        <f>IFERROR(VLOOKUP(C139,O.B.JUNE!$C$7:$J$448,8,0),0)</f>
        <v>0</v>
      </c>
      <c r="S139" s="323">
        <f t="shared" si="33"/>
        <v>463</v>
      </c>
      <c r="T139" s="324">
        <v>0</v>
      </c>
      <c r="U139" s="324">
        <v>463</v>
      </c>
      <c r="V139" s="80"/>
      <c r="W139" s="324">
        <v>0</v>
      </c>
      <c r="X139" s="324"/>
      <c r="Y139" s="324">
        <v>0</v>
      </c>
      <c r="Z139" s="80">
        <v>0</v>
      </c>
      <c r="AA139" s="80">
        <f t="shared" si="34"/>
        <v>463</v>
      </c>
      <c r="AB139" s="323">
        <f t="shared" si="35"/>
        <v>0</v>
      </c>
      <c r="AC139" s="80">
        <f t="shared" si="36"/>
        <v>463</v>
      </c>
      <c r="AD139" s="80">
        <f t="shared" si="41"/>
        <v>463</v>
      </c>
      <c r="AE139" s="80"/>
      <c r="AF139" s="80"/>
      <c r="AG139" s="80"/>
      <c r="AH139" s="326">
        <f t="shared" si="37"/>
        <v>0</v>
      </c>
      <c r="AI139" s="326">
        <f t="shared" si="38"/>
        <v>0</v>
      </c>
      <c r="AJ139" s="326">
        <f t="shared" si="39"/>
        <v>0</v>
      </c>
      <c r="AK139" s="326">
        <f t="shared" si="40"/>
        <v>0</v>
      </c>
      <c r="AL139" s="326"/>
      <c r="AM139" s="326"/>
      <c r="AN139" s="326"/>
      <c r="AO139" s="326"/>
      <c r="AP139" s="326"/>
      <c r="AQ139" s="326"/>
      <c r="AR139" s="327">
        <f>VLOOKUP(C139,'[1]DA HET SAN XUAT'!$D$8:$AJ$419,33,0)</f>
        <v>0</v>
      </c>
      <c r="AS139" s="504" t="s">
        <v>658</v>
      </c>
      <c r="AT139" s="411"/>
      <c r="AU139" s="411"/>
    </row>
    <row r="140" spans="1:47" s="413" customFormat="1" ht="18.75" customHeight="1">
      <c r="A140" s="167">
        <v>129</v>
      </c>
      <c r="B140" s="79" t="str">
        <f>IFERROR(VLOOKUP(A140,O.B.JUNE!$A$7:$C$448,2,0),0)</f>
        <v>ANN TAYLOR</v>
      </c>
      <c r="C140" s="174" t="str">
        <f>IFERROR(VLOOKUP(A140,O.B.JUNE!$A$7:$C$448,3,0),0)</f>
        <v>453595(456582)</v>
      </c>
      <c r="D140" s="80">
        <f t="shared" si="29"/>
        <v>0</v>
      </c>
      <c r="E140" s="80">
        <f>IFERROR(VLOOKUP(C140,O.B.JUNE!$C$7:$D$448,2,0),0)</f>
        <v>0</v>
      </c>
      <c r="F140" s="80">
        <v>0</v>
      </c>
      <c r="G140" s="80">
        <f>IFERROR(VLOOKUP(C140,O.B.JUNE!$C$7:$E$448,3,0),0)</f>
        <v>1052</v>
      </c>
      <c r="H140" s="80">
        <f t="shared" si="42"/>
        <v>0</v>
      </c>
      <c r="I140" s="80"/>
      <c r="J140" s="80">
        <f t="shared" si="31"/>
        <v>1052</v>
      </c>
      <c r="K140" s="80">
        <v>0</v>
      </c>
      <c r="L140" s="80">
        <v>0</v>
      </c>
      <c r="M140" s="81">
        <f t="shared" si="32"/>
        <v>0</v>
      </c>
      <c r="N140" s="81">
        <v>0</v>
      </c>
      <c r="O140" s="81">
        <v>0</v>
      </c>
      <c r="P140" s="81">
        <f t="shared" ref="P140:P193" si="43">+M140-N140-O140</f>
        <v>0</v>
      </c>
      <c r="Q140" s="80">
        <f>IFERROR(VLOOKUP(C140,O.B.JUNE!$C$7:$K$448,7,0),0)</f>
        <v>0</v>
      </c>
      <c r="R140" s="80">
        <f>IFERROR(VLOOKUP(C140,O.B.JUNE!$C$7:$J$448,8,0),0)</f>
        <v>64</v>
      </c>
      <c r="S140" s="323">
        <f t="shared" si="33"/>
        <v>1116</v>
      </c>
      <c r="T140" s="324">
        <v>0</v>
      </c>
      <c r="U140" s="324">
        <v>1052</v>
      </c>
      <c r="V140" s="80"/>
      <c r="W140" s="324">
        <v>0</v>
      </c>
      <c r="X140" s="324"/>
      <c r="Y140" s="324">
        <v>0</v>
      </c>
      <c r="Z140" s="80">
        <v>0</v>
      </c>
      <c r="AA140" s="80">
        <f t="shared" si="34"/>
        <v>1052</v>
      </c>
      <c r="AB140" s="323">
        <f t="shared" si="35"/>
        <v>0</v>
      </c>
      <c r="AC140" s="80">
        <f t="shared" si="36"/>
        <v>1116</v>
      </c>
      <c r="AD140" s="80">
        <f t="shared" si="41"/>
        <v>1116</v>
      </c>
      <c r="AE140" s="80"/>
      <c r="AF140" s="80"/>
      <c r="AG140" s="80"/>
      <c r="AH140" s="326">
        <f t="shared" si="37"/>
        <v>0</v>
      </c>
      <c r="AI140" s="326">
        <f t="shared" si="38"/>
        <v>0</v>
      </c>
      <c r="AJ140" s="326">
        <f t="shared" si="39"/>
        <v>0</v>
      </c>
      <c r="AK140" s="326">
        <f t="shared" si="40"/>
        <v>0</v>
      </c>
      <c r="AL140" s="326"/>
      <c r="AM140" s="326"/>
      <c r="AN140" s="326"/>
      <c r="AO140" s="326"/>
      <c r="AP140" s="326"/>
      <c r="AQ140" s="326"/>
      <c r="AR140" s="327"/>
      <c r="AS140" s="504" t="s">
        <v>658</v>
      </c>
      <c r="AT140" s="411"/>
      <c r="AU140" s="411"/>
    </row>
    <row r="141" spans="1:47" s="413" customFormat="1" ht="18.75" customHeight="1">
      <c r="A141" s="167">
        <v>130</v>
      </c>
      <c r="B141" s="79" t="str">
        <f>IFERROR(VLOOKUP(A141,O.B.JUNE!$A$7:$C$448,2,0),0)</f>
        <v>ANN TAYLOR</v>
      </c>
      <c r="C141" s="174" t="str">
        <f>IFERROR(VLOOKUP(A141,O.B.JUNE!$A$7:$C$448,3,0),0)</f>
        <v>456729(456854)</v>
      </c>
      <c r="D141" s="80">
        <f t="shared" ref="D141:D204" si="44">F141-E141</f>
        <v>0</v>
      </c>
      <c r="E141" s="80">
        <f>IFERROR(VLOOKUP(C141,O.B.JUNE!$C$7:$D$448,2,0),0)</f>
        <v>0</v>
      </c>
      <c r="F141" s="80">
        <v>0</v>
      </c>
      <c r="G141" s="80">
        <f>IFERROR(VLOOKUP(C141,O.B.JUNE!$C$7:$E$448,3,0),0)</f>
        <v>410</v>
      </c>
      <c r="H141" s="80">
        <f t="shared" si="42"/>
        <v>0</v>
      </c>
      <c r="I141" s="80"/>
      <c r="J141" s="80">
        <f t="shared" ref="J141:J204" si="45">IF(S141="",0,S141-Q141-V141-R141)</f>
        <v>410</v>
      </c>
      <c r="K141" s="80">
        <v>0</v>
      </c>
      <c r="L141" s="80">
        <v>0</v>
      </c>
      <c r="M141" s="81">
        <f t="shared" ref="M141:M204" si="46">ROUND(IF(ISERROR(F141-S141-K141-L141-R141),0,(F141-S141-K141-L141+Q141+R141+G141-E141)),0)</f>
        <v>0</v>
      </c>
      <c r="N141" s="81">
        <v>0</v>
      </c>
      <c r="O141" s="81">
        <v>0</v>
      </c>
      <c r="P141" s="81">
        <f t="shared" si="43"/>
        <v>0</v>
      </c>
      <c r="Q141" s="80">
        <f>IFERROR(VLOOKUP(C141,O.B.JUNE!$C$7:$K$448,7,0),0)</f>
        <v>0</v>
      </c>
      <c r="R141" s="80">
        <f>IFERROR(VLOOKUP(C141,O.B.JUNE!$C$7:$J$448,8,0),0)</f>
        <v>359</v>
      </c>
      <c r="S141" s="323">
        <f t="shared" ref="S141:S204" si="47">Q141+T141+U141+R141</f>
        <v>769</v>
      </c>
      <c r="T141" s="324">
        <v>0</v>
      </c>
      <c r="U141" s="324">
        <v>410</v>
      </c>
      <c r="V141" s="80"/>
      <c r="W141" s="324">
        <v>0</v>
      </c>
      <c r="X141" s="324"/>
      <c r="Y141" s="324">
        <v>0</v>
      </c>
      <c r="Z141" s="80">
        <v>0</v>
      </c>
      <c r="AA141" s="80">
        <f t="shared" ref="AA141:AA204" si="48">V141+U141+T141</f>
        <v>410</v>
      </c>
      <c r="AB141" s="323">
        <f t="shared" ref="AB141:AB204" si="49">ROUND(Q141+T141+V141-X141-W141-Y141-Z141,0)</f>
        <v>0</v>
      </c>
      <c r="AC141" s="80">
        <f t="shared" si="36"/>
        <v>769</v>
      </c>
      <c r="AD141" s="80">
        <f t="shared" si="41"/>
        <v>769</v>
      </c>
      <c r="AE141" s="80"/>
      <c r="AF141" s="80"/>
      <c r="AG141" s="80"/>
      <c r="AH141" s="326">
        <f t="shared" ref="AH141:AH204" si="50">G141+H141-J141-L141-M141</f>
        <v>0</v>
      </c>
      <c r="AI141" s="326">
        <f t="shared" ref="AI141:AI204" si="51">Q141+T141+U141-S141+R141</f>
        <v>0</v>
      </c>
      <c r="AJ141" s="326">
        <f t="shared" ref="AJ141:AJ204" si="52">M141-N141-O141-P141</f>
        <v>0</v>
      </c>
      <c r="AK141" s="326">
        <f t="shared" ref="AK141:AK204" si="53">M141-N141-O141-P141</f>
        <v>0</v>
      </c>
      <c r="AL141" s="326"/>
      <c r="AM141" s="326"/>
      <c r="AN141" s="326"/>
      <c r="AO141" s="326"/>
      <c r="AP141" s="326"/>
      <c r="AQ141" s="326"/>
      <c r="AR141" s="327"/>
      <c r="AS141" s="504" t="s">
        <v>658</v>
      </c>
      <c r="AT141" s="411"/>
      <c r="AU141" s="411"/>
    </row>
    <row r="142" spans="1:47" s="413" customFormat="1" ht="18.75" customHeight="1">
      <c r="A142" s="167">
        <v>131</v>
      </c>
      <c r="B142" s="79" t="str">
        <f>IFERROR(VLOOKUP(A142,O.B.JUNE!$A$7:$C$448,2,0),0)</f>
        <v>ANN TAYLOR</v>
      </c>
      <c r="C142" s="174">
        <f>IFERROR(VLOOKUP(A142,O.B.JUNE!$A$7:$C$448,3,0),0)</f>
        <v>457839</v>
      </c>
      <c r="D142" s="80">
        <f t="shared" si="44"/>
        <v>0</v>
      </c>
      <c r="E142" s="80">
        <f>IFERROR(VLOOKUP(C142,O.B.JUNE!$C$7:$D$448,2,0),0)</f>
        <v>0</v>
      </c>
      <c r="F142" s="80">
        <v>0</v>
      </c>
      <c r="G142" s="80">
        <f>IFERROR(VLOOKUP(C142,O.B.JUNE!$C$7:$E$448,3,0),0)</f>
        <v>279</v>
      </c>
      <c r="H142" s="80">
        <f t="shared" si="42"/>
        <v>0</v>
      </c>
      <c r="I142" s="80"/>
      <c r="J142" s="80">
        <f t="shared" si="45"/>
        <v>0</v>
      </c>
      <c r="K142" s="80">
        <v>0</v>
      </c>
      <c r="L142" s="80">
        <v>0</v>
      </c>
      <c r="M142" s="81">
        <f t="shared" si="46"/>
        <v>279</v>
      </c>
      <c r="N142" s="81">
        <v>0</v>
      </c>
      <c r="O142" s="81">
        <v>0</v>
      </c>
      <c r="P142" s="81">
        <f t="shared" si="43"/>
        <v>279</v>
      </c>
      <c r="Q142" s="80">
        <f>IFERROR(VLOOKUP(C142,O.B.JUNE!$C$7:$K$448,7,0),0)</f>
        <v>0</v>
      </c>
      <c r="R142" s="80">
        <f>IFERROR(VLOOKUP(C142,O.B.JUNE!$C$7:$J$448,8,0),0)</f>
        <v>0</v>
      </c>
      <c r="S142" s="323">
        <f t="shared" si="47"/>
        <v>0</v>
      </c>
      <c r="T142" s="324">
        <v>0</v>
      </c>
      <c r="U142" s="324"/>
      <c r="V142" s="80"/>
      <c r="W142" s="324">
        <v>0</v>
      </c>
      <c r="X142" s="324"/>
      <c r="Y142" s="324">
        <v>0</v>
      </c>
      <c r="Z142" s="80">
        <v>0</v>
      </c>
      <c r="AA142" s="80">
        <f t="shared" si="48"/>
        <v>0</v>
      </c>
      <c r="AB142" s="323">
        <f t="shared" si="49"/>
        <v>0</v>
      </c>
      <c r="AC142" s="80">
        <f t="shared" ref="AC142:AC205" si="54">+R142+U142+Z142-X142</f>
        <v>0</v>
      </c>
      <c r="AD142" s="80">
        <f t="shared" si="41"/>
        <v>0</v>
      </c>
      <c r="AE142" s="80"/>
      <c r="AF142" s="80"/>
      <c r="AG142" s="80"/>
      <c r="AH142" s="326">
        <f t="shared" si="50"/>
        <v>0</v>
      </c>
      <c r="AI142" s="326">
        <f t="shared" si="51"/>
        <v>0</v>
      </c>
      <c r="AJ142" s="326">
        <f t="shared" si="52"/>
        <v>0</v>
      </c>
      <c r="AK142" s="326">
        <f t="shared" si="53"/>
        <v>0</v>
      </c>
      <c r="AL142" s="326"/>
      <c r="AM142" s="326"/>
      <c r="AN142" s="326"/>
      <c r="AO142" s="326"/>
      <c r="AP142" s="326"/>
      <c r="AQ142" s="326"/>
      <c r="AR142" s="327"/>
      <c r="AS142" s="504" t="s">
        <v>658</v>
      </c>
      <c r="AT142" s="411"/>
      <c r="AU142" s="411"/>
    </row>
    <row r="143" spans="1:47" s="413" customFormat="1" ht="18.75" customHeight="1">
      <c r="A143" s="167">
        <v>132</v>
      </c>
      <c r="B143" s="79" t="str">
        <f>IFERROR(VLOOKUP(A143,O.B.JUNE!$A$7:$C$448,2,0),0)</f>
        <v>ANN TAYLOR</v>
      </c>
      <c r="C143" s="174">
        <f>IFERROR(VLOOKUP(A143,O.B.JUNE!$A$7:$C$448,3,0),0)</f>
        <v>457840</v>
      </c>
      <c r="D143" s="80">
        <f t="shared" si="44"/>
        <v>0</v>
      </c>
      <c r="E143" s="80">
        <f>IFERROR(VLOOKUP(C143,O.B.JUNE!$C$7:$D$448,2,0),0)</f>
        <v>0</v>
      </c>
      <c r="F143" s="80">
        <v>0</v>
      </c>
      <c r="G143" s="80">
        <f>IFERROR(VLOOKUP(C143,O.B.JUNE!$C$7:$E$448,3,0),0)</f>
        <v>845</v>
      </c>
      <c r="H143" s="80">
        <f t="shared" si="42"/>
        <v>0</v>
      </c>
      <c r="I143" s="80"/>
      <c r="J143" s="80">
        <f t="shared" si="45"/>
        <v>0</v>
      </c>
      <c r="K143" s="80">
        <v>0</v>
      </c>
      <c r="L143" s="80">
        <v>0</v>
      </c>
      <c r="M143" s="81">
        <f t="shared" si="46"/>
        <v>845</v>
      </c>
      <c r="N143" s="81">
        <v>0</v>
      </c>
      <c r="O143" s="81">
        <v>0</v>
      </c>
      <c r="P143" s="81">
        <f t="shared" si="43"/>
        <v>845</v>
      </c>
      <c r="Q143" s="80">
        <f>IFERROR(VLOOKUP(C143,O.B.JUNE!$C$7:$K$448,7,0),0)</f>
        <v>0</v>
      </c>
      <c r="R143" s="80">
        <f>IFERROR(VLOOKUP(C143,O.B.JUNE!$C$7:$J$448,8,0),0)</f>
        <v>0</v>
      </c>
      <c r="S143" s="323">
        <f t="shared" si="47"/>
        <v>0</v>
      </c>
      <c r="T143" s="324">
        <v>0</v>
      </c>
      <c r="U143" s="324"/>
      <c r="V143" s="80"/>
      <c r="W143" s="324">
        <v>0</v>
      </c>
      <c r="X143" s="324"/>
      <c r="Y143" s="324">
        <v>0</v>
      </c>
      <c r="Z143" s="80">
        <v>0</v>
      </c>
      <c r="AA143" s="80">
        <f t="shared" si="48"/>
        <v>0</v>
      </c>
      <c r="AB143" s="323">
        <f t="shared" si="49"/>
        <v>0</v>
      </c>
      <c r="AC143" s="80">
        <f t="shared" si="54"/>
        <v>0</v>
      </c>
      <c r="AD143" s="80">
        <f t="shared" si="41"/>
        <v>0</v>
      </c>
      <c r="AE143" s="80"/>
      <c r="AF143" s="80"/>
      <c r="AG143" s="80"/>
      <c r="AH143" s="326">
        <f t="shared" si="50"/>
        <v>0</v>
      </c>
      <c r="AI143" s="326">
        <f t="shared" si="51"/>
        <v>0</v>
      </c>
      <c r="AJ143" s="326">
        <f t="shared" si="52"/>
        <v>0</v>
      </c>
      <c r="AK143" s="326">
        <f t="shared" si="53"/>
        <v>0</v>
      </c>
      <c r="AL143" s="326"/>
      <c r="AM143" s="326"/>
      <c r="AN143" s="326"/>
      <c r="AO143" s="326"/>
      <c r="AP143" s="326"/>
      <c r="AQ143" s="326"/>
      <c r="AR143" s="327"/>
      <c r="AS143" s="504" t="s">
        <v>658</v>
      </c>
      <c r="AT143" s="411"/>
      <c r="AU143" s="411"/>
    </row>
    <row r="144" spans="1:47" s="413" customFormat="1" ht="18.75" customHeight="1">
      <c r="A144" s="167">
        <v>133</v>
      </c>
      <c r="B144" s="79" t="str">
        <f>IFERROR(VLOOKUP(A144,O.B.JUNE!$A$7:$C$448,2,0),0)</f>
        <v>ANN TAYLOR</v>
      </c>
      <c r="C144" s="174">
        <f>IFERROR(VLOOKUP(A144,O.B.JUNE!$A$7:$C$448,3,0),0)</f>
        <v>457841</v>
      </c>
      <c r="D144" s="80">
        <f t="shared" si="44"/>
        <v>0</v>
      </c>
      <c r="E144" s="80">
        <f>IFERROR(VLOOKUP(C144,O.B.JUNE!$C$7:$D$448,2,0),0)</f>
        <v>0</v>
      </c>
      <c r="F144" s="80">
        <v>0</v>
      </c>
      <c r="G144" s="80">
        <f>IFERROR(VLOOKUP(C144,O.B.JUNE!$C$7:$E$448,3,0),0)</f>
        <v>73</v>
      </c>
      <c r="H144" s="80">
        <f t="shared" si="42"/>
        <v>0</v>
      </c>
      <c r="I144" s="80"/>
      <c r="J144" s="80">
        <f t="shared" si="45"/>
        <v>0</v>
      </c>
      <c r="K144" s="80">
        <v>0</v>
      </c>
      <c r="L144" s="80">
        <v>0</v>
      </c>
      <c r="M144" s="81">
        <f t="shared" si="46"/>
        <v>73</v>
      </c>
      <c r="N144" s="81">
        <v>0</v>
      </c>
      <c r="O144" s="81">
        <v>0</v>
      </c>
      <c r="P144" s="81">
        <f t="shared" si="43"/>
        <v>73</v>
      </c>
      <c r="Q144" s="80">
        <f>IFERROR(VLOOKUP(C144,O.B.JUNE!$C$7:$K$448,7,0),0)</f>
        <v>0</v>
      </c>
      <c r="R144" s="80">
        <f>IFERROR(VLOOKUP(C144,O.B.JUNE!$C$7:$J$448,8,0),0)</f>
        <v>0</v>
      </c>
      <c r="S144" s="323">
        <f t="shared" si="47"/>
        <v>0</v>
      </c>
      <c r="T144" s="324">
        <v>0</v>
      </c>
      <c r="U144" s="324"/>
      <c r="V144" s="80"/>
      <c r="W144" s="324">
        <v>0</v>
      </c>
      <c r="X144" s="324"/>
      <c r="Y144" s="324">
        <v>0</v>
      </c>
      <c r="Z144" s="80">
        <v>0</v>
      </c>
      <c r="AA144" s="80">
        <f t="shared" si="48"/>
        <v>0</v>
      </c>
      <c r="AB144" s="323">
        <f t="shared" si="49"/>
        <v>0</v>
      </c>
      <c r="AC144" s="80">
        <f t="shared" si="54"/>
        <v>0</v>
      </c>
      <c r="AD144" s="80">
        <f t="shared" ref="AD144:AD207" si="55">AB144+AC144</f>
        <v>0</v>
      </c>
      <c r="AE144" s="80"/>
      <c r="AF144" s="80"/>
      <c r="AG144" s="80"/>
      <c r="AH144" s="326">
        <f t="shared" si="50"/>
        <v>0</v>
      </c>
      <c r="AI144" s="326">
        <f t="shared" si="51"/>
        <v>0</v>
      </c>
      <c r="AJ144" s="326">
        <f t="shared" si="52"/>
        <v>0</v>
      </c>
      <c r="AK144" s="326">
        <f t="shared" si="53"/>
        <v>0</v>
      </c>
      <c r="AL144" s="326"/>
      <c r="AM144" s="326"/>
      <c r="AN144" s="326"/>
      <c r="AO144" s="326"/>
      <c r="AP144" s="326"/>
      <c r="AQ144" s="326"/>
      <c r="AR144" s="327"/>
      <c r="AS144" s="504" t="s">
        <v>658</v>
      </c>
      <c r="AT144" s="411"/>
      <c r="AU144" s="411"/>
    </row>
    <row r="145" spans="1:47" s="413" customFormat="1" ht="18.75" customHeight="1">
      <c r="A145" s="167">
        <v>134</v>
      </c>
      <c r="B145" s="79" t="str">
        <f>IFERROR(VLOOKUP(A145,O.B.JUNE!$A$7:$C$448,2,0),0)</f>
        <v>ANN TAYLOR</v>
      </c>
      <c r="C145" s="174">
        <f>IFERROR(VLOOKUP(A145,O.B.JUNE!$A$7:$C$448,3,0),0)</f>
        <v>457842</v>
      </c>
      <c r="D145" s="80">
        <f t="shared" si="44"/>
        <v>0</v>
      </c>
      <c r="E145" s="80">
        <f>IFERROR(VLOOKUP(C145,O.B.JUNE!$C$7:$D$448,2,0),0)</f>
        <v>0</v>
      </c>
      <c r="F145" s="80">
        <v>0</v>
      </c>
      <c r="G145" s="80">
        <f>IFERROR(VLOOKUP(C145,O.B.JUNE!$C$7:$E$448,3,0),0)</f>
        <v>374</v>
      </c>
      <c r="H145" s="80">
        <f t="shared" si="42"/>
        <v>0</v>
      </c>
      <c r="I145" s="80"/>
      <c r="J145" s="80">
        <f t="shared" si="45"/>
        <v>0</v>
      </c>
      <c r="K145" s="80">
        <v>0</v>
      </c>
      <c r="L145" s="80">
        <v>0</v>
      </c>
      <c r="M145" s="81">
        <f t="shared" si="46"/>
        <v>374</v>
      </c>
      <c r="N145" s="81">
        <v>0</v>
      </c>
      <c r="O145" s="81">
        <v>0</v>
      </c>
      <c r="P145" s="81">
        <f t="shared" si="43"/>
        <v>374</v>
      </c>
      <c r="Q145" s="80">
        <f>IFERROR(VLOOKUP(C145,O.B.JUNE!$C$7:$K$448,7,0),0)</f>
        <v>0</v>
      </c>
      <c r="R145" s="80">
        <f>IFERROR(VLOOKUP(C145,O.B.JUNE!$C$7:$J$448,8,0),0)</f>
        <v>0</v>
      </c>
      <c r="S145" s="323">
        <f t="shared" si="47"/>
        <v>0</v>
      </c>
      <c r="T145" s="324">
        <v>0</v>
      </c>
      <c r="U145" s="324"/>
      <c r="V145" s="80"/>
      <c r="W145" s="324">
        <v>0</v>
      </c>
      <c r="X145" s="324"/>
      <c r="Y145" s="324">
        <v>0</v>
      </c>
      <c r="Z145" s="80">
        <v>0</v>
      </c>
      <c r="AA145" s="80">
        <f t="shared" si="48"/>
        <v>0</v>
      </c>
      <c r="AB145" s="323">
        <f t="shared" si="49"/>
        <v>0</v>
      </c>
      <c r="AC145" s="80">
        <f t="shared" si="54"/>
        <v>0</v>
      </c>
      <c r="AD145" s="80">
        <f t="shared" si="55"/>
        <v>0</v>
      </c>
      <c r="AE145" s="80"/>
      <c r="AF145" s="80"/>
      <c r="AG145" s="80"/>
      <c r="AH145" s="326">
        <f t="shared" si="50"/>
        <v>0</v>
      </c>
      <c r="AI145" s="326">
        <f t="shared" si="51"/>
        <v>0</v>
      </c>
      <c r="AJ145" s="326">
        <f t="shared" si="52"/>
        <v>0</v>
      </c>
      <c r="AK145" s="326">
        <f t="shared" si="53"/>
        <v>0</v>
      </c>
      <c r="AL145" s="326"/>
      <c r="AM145" s="326"/>
      <c r="AN145" s="326"/>
      <c r="AO145" s="326"/>
      <c r="AP145" s="326"/>
      <c r="AQ145" s="326"/>
      <c r="AR145" s="327"/>
      <c r="AS145" s="504" t="s">
        <v>658</v>
      </c>
      <c r="AT145" s="411"/>
      <c r="AU145" s="411"/>
    </row>
    <row r="146" spans="1:47" s="413" customFormat="1" ht="18.75" customHeight="1">
      <c r="A146" s="167">
        <v>135</v>
      </c>
      <c r="B146" s="79" t="str">
        <f>IFERROR(VLOOKUP(A146,O.B.JUNE!$A$7:$C$448,2,0),0)</f>
        <v>ANN TAYLOR</v>
      </c>
      <c r="C146" s="174" t="str">
        <f>IFERROR(VLOOKUP(A146,O.B.JUNE!$A$7:$C$448,3,0),0)</f>
        <v>458244(458839)</v>
      </c>
      <c r="D146" s="80">
        <f t="shared" si="44"/>
        <v>0</v>
      </c>
      <c r="E146" s="80">
        <f>IFERROR(VLOOKUP(C146,O.B.JUNE!$C$7:$D$448,2,0),0)</f>
        <v>0</v>
      </c>
      <c r="F146" s="80">
        <v>0</v>
      </c>
      <c r="G146" s="80">
        <f>IFERROR(VLOOKUP(C146,O.B.JUNE!$C$7:$E$448,3,0),0)</f>
        <v>570</v>
      </c>
      <c r="H146" s="80">
        <f t="shared" si="42"/>
        <v>0</v>
      </c>
      <c r="I146" s="80"/>
      <c r="J146" s="80">
        <f t="shared" si="45"/>
        <v>0</v>
      </c>
      <c r="K146" s="80">
        <v>0</v>
      </c>
      <c r="L146" s="80">
        <v>0</v>
      </c>
      <c r="M146" s="81">
        <f t="shared" si="46"/>
        <v>570</v>
      </c>
      <c r="N146" s="81">
        <v>0</v>
      </c>
      <c r="O146" s="81">
        <v>0</v>
      </c>
      <c r="P146" s="81">
        <f t="shared" si="43"/>
        <v>570</v>
      </c>
      <c r="Q146" s="80">
        <f>IFERROR(VLOOKUP(C146,O.B.JUNE!$C$7:$K$448,7,0),0)</f>
        <v>0</v>
      </c>
      <c r="R146" s="80">
        <f>IFERROR(VLOOKUP(C146,O.B.JUNE!$C$7:$J$448,8,0),0)</f>
        <v>0</v>
      </c>
      <c r="S146" s="323">
        <f t="shared" si="47"/>
        <v>0</v>
      </c>
      <c r="T146" s="324">
        <v>0</v>
      </c>
      <c r="U146" s="324"/>
      <c r="V146" s="80"/>
      <c r="W146" s="324">
        <v>0</v>
      </c>
      <c r="X146" s="324"/>
      <c r="Y146" s="324">
        <v>0</v>
      </c>
      <c r="Z146" s="80">
        <v>0</v>
      </c>
      <c r="AA146" s="80">
        <f t="shared" si="48"/>
        <v>0</v>
      </c>
      <c r="AB146" s="323">
        <f t="shared" si="49"/>
        <v>0</v>
      </c>
      <c r="AC146" s="80">
        <f t="shared" si="54"/>
        <v>0</v>
      </c>
      <c r="AD146" s="80">
        <f t="shared" si="55"/>
        <v>0</v>
      </c>
      <c r="AE146" s="80"/>
      <c r="AF146" s="80"/>
      <c r="AG146" s="80"/>
      <c r="AH146" s="326">
        <f t="shared" si="50"/>
        <v>0</v>
      </c>
      <c r="AI146" s="326">
        <f t="shared" si="51"/>
        <v>0</v>
      </c>
      <c r="AJ146" s="326">
        <f t="shared" si="52"/>
        <v>0</v>
      </c>
      <c r="AK146" s="326">
        <f t="shared" si="53"/>
        <v>0</v>
      </c>
      <c r="AL146" s="326"/>
      <c r="AM146" s="326"/>
      <c r="AN146" s="326"/>
      <c r="AO146" s="326"/>
      <c r="AP146" s="326"/>
      <c r="AQ146" s="326"/>
      <c r="AR146" s="327"/>
      <c r="AS146" s="504" t="s">
        <v>658</v>
      </c>
      <c r="AT146" s="411"/>
      <c r="AU146" s="411"/>
    </row>
    <row r="147" spans="1:47" s="413" customFormat="1" ht="18.75" customHeight="1">
      <c r="A147" s="167">
        <v>136</v>
      </c>
      <c r="B147" s="79" t="str">
        <f>IFERROR(VLOOKUP(A147,O.B.JUNE!$A$7:$C$448,2,0),0)</f>
        <v>ANN TAYLOR</v>
      </c>
      <c r="C147" s="174">
        <f>IFERROR(VLOOKUP(A147,O.B.JUNE!$A$7:$C$448,3,0),0)</f>
        <v>458624</v>
      </c>
      <c r="D147" s="80">
        <f t="shared" si="44"/>
        <v>0</v>
      </c>
      <c r="E147" s="80">
        <f>IFERROR(VLOOKUP(C147,O.B.JUNE!$C$7:$D$448,2,0),0)</f>
        <v>0</v>
      </c>
      <c r="F147" s="80">
        <v>0</v>
      </c>
      <c r="G147" s="80">
        <f>IFERROR(VLOOKUP(C147,O.B.JUNE!$C$7:$E$448,3,0),0)</f>
        <v>298</v>
      </c>
      <c r="H147" s="80">
        <f t="shared" si="42"/>
        <v>0</v>
      </c>
      <c r="I147" s="80"/>
      <c r="J147" s="80">
        <f t="shared" si="45"/>
        <v>0</v>
      </c>
      <c r="K147" s="80">
        <v>0</v>
      </c>
      <c r="L147" s="80">
        <v>0</v>
      </c>
      <c r="M147" s="81">
        <f t="shared" si="46"/>
        <v>298</v>
      </c>
      <c r="N147" s="81">
        <v>0</v>
      </c>
      <c r="O147" s="81">
        <v>0</v>
      </c>
      <c r="P147" s="81">
        <f t="shared" si="43"/>
        <v>298</v>
      </c>
      <c r="Q147" s="80">
        <f>IFERROR(VLOOKUP(C147,O.B.JUNE!$C$7:$K$448,7,0),0)</f>
        <v>0</v>
      </c>
      <c r="R147" s="80">
        <f>IFERROR(VLOOKUP(C147,O.B.JUNE!$C$7:$J$448,8,0),0)</f>
        <v>0</v>
      </c>
      <c r="S147" s="323">
        <f t="shared" si="47"/>
        <v>0</v>
      </c>
      <c r="T147" s="324">
        <v>0</v>
      </c>
      <c r="U147" s="324"/>
      <c r="V147" s="80"/>
      <c r="W147" s="324">
        <v>0</v>
      </c>
      <c r="X147" s="324"/>
      <c r="Y147" s="324">
        <v>0</v>
      </c>
      <c r="Z147" s="80">
        <v>0</v>
      </c>
      <c r="AA147" s="80">
        <f t="shared" si="48"/>
        <v>0</v>
      </c>
      <c r="AB147" s="323">
        <f t="shared" si="49"/>
        <v>0</v>
      </c>
      <c r="AC147" s="80">
        <f t="shared" si="54"/>
        <v>0</v>
      </c>
      <c r="AD147" s="80">
        <f t="shared" si="55"/>
        <v>0</v>
      </c>
      <c r="AE147" s="80"/>
      <c r="AF147" s="80"/>
      <c r="AG147" s="80"/>
      <c r="AH147" s="326">
        <f t="shared" si="50"/>
        <v>0</v>
      </c>
      <c r="AI147" s="326">
        <f t="shared" si="51"/>
        <v>0</v>
      </c>
      <c r="AJ147" s="326">
        <f t="shared" si="52"/>
        <v>0</v>
      </c>
      <c r="AK147" s="326">
        <f t="shared" si="53"/>
        <v>0</v>
      </c>
      <c r="AL147" s="326"/>
      <c r="AM147" s="326"/>
      <c r="AN147" s="326"/>
      <c r="AO147" s="326"/>
      <c r="AP147" s="326"/>
      <c r="AQ147" s="326"/>
      <c r="AR147" s="327"/>
      <c r="AS147" s="504" t="s">
        <v>658</v>
      </c>
      <c r="AT147" s="411"/>
      <c r="AU147" s="411"/>
    </row>
    <row r="148" spans="1:47" s="413" customFormat="1" ht="18.75" customHeight="1">
      <c r="A148" s="167">
        <v>137</v>
      </c>
      <c r="B148" s="79" t="str">
        <f>IFERROR(VLOOKUP(A148,O.B.JUNE!$A$7:$C$448,2,0),0)</f>
        <v>ANN TAYLOR</v>
      </c>
      <c r="C148" s="174">
        <f>IFERROR(VLOOKUP(A148,O.B.JUNE!$A$7:$C$448,3,0),0)</f>
        <v>458626</v>
      </c>
      <c r="D148" s="80">
        <f t="shared" si="44"/>
        <v>0</v>
      </c>
      <c r="E148" s="80">
        <f>IFERROR(VLOOKUP(C148,O.B.JUNE!$C$7:$D$448,2,0),0)</f>
        <v>0</v>
      </c>
      <c r="F148" s="80">
        <v>0</v>
      </c>
      <c r="G148" s="80">
        <f>IFERROR(VLOOKUP(C148,O.B.JUNE!$C$7:$E$448,3,0),0)</f>
        <v>165</v>
      </c>
      <c r="H148" s="80">
        <f t="shared" si="42"/>
        <v>0</v>
      </c>
      <c r="I148" s="80"/>
      <c r="J148" s="80">
        <f t="shared" si="45"/>
        <v>0</v>
      </c>
      <c r="K148" s="80">
        <v>0</v>
      </c>
      <c r="L148" s="80">
        <v>0</v>
      </c>
      <c r="M148" s="81">
        <f t="shared" si="46"/>
        <v>165</v>
      </c>
      <c r="N148" s="81">
        <v>0</v>
      </c>
      <c r="O148" s="81">
        <v>0</v>
      </c>
      <c r="P148" s="81">
        <f t="shared" si="43"/>
        <v>165</v>
      </c>
      <c r="Q148" s="80">
        <f>IFERROR(VLOOKUP(C148,O.B.JUNE!$C$7:$K$448,7,0),0)</f>
        <v>0</v>
      </c>
      <c r="R148" s="80">
        <f>IFERROR(VLOOKUP(C148,O.B.JUNE!$C$7:$J$448,8,0),0)</f>
        <v>0</v>
      </c>
      <c r="S148" s="323">
        <f t="shared" si="47"/>
        <v>0</v>
      </c>
      <c r="T148" s="324">
        <v>0</v>
      </c>
      <c r="U148" s="324"/>
      <c r="V148" s="80"/>
      <c r="W148" s="324">
        <v>0</v>
      </c>
      <c r="X148" s="324"/>
      <c r="Y148" s="324">
        <v>0</v>
      </c>
      <c r="Z148" s="80">
        <v>0</v>
      </c>
      <c r="AA148" s="80">
        <f t="shared" si="48"/>
        <v>0</v>
      </c>
      <c r="AB148" s="323">
        <f t="shared" si="49"/>
        <v>0</v>
      </c>
      <c r="AC148" s="80">
        <f t="shared" si="54"/>
        <v>0</v>
      </c>
      <c r="AD148" s="80">
        <f t="shared" si="55"/>
        <v>0</v>
      </c>
      <c r="AE148" s="80"/>
      <c r="AF148" s="80"/>
      <c r="AG148" s="80"/>
      <c r="AH148" s="326">
        <f t="shared" si="50"/>
        <v>0</v>
      </c>
      <c r="AI148" s="326">
        <f t="shared" si="51"/>
        <v>0</v>
      </c>
      <c r="AJ148" s="326">
        <f t="shared" si="52"/>
        <v>0</v>
      </c>
      <c r="AK148" s="326">
        <f t="shared" si="53"/>
        <v>0</v>
      </c>
      <c r="AL148" s="326"/>
      <c r="AM148" s="326"/>
      <c r="AN148" s="326"/>
      <c r="AO148" s="326"/>
      <c r="AP148" s="326"/>
      <c r="AQ148" s="326"/>
      <c r="AR148" s="327"/>
      <c r="AS148" s="504" t="s">
        <v>658</v>
      </c>
      <c r="AT148" s="411"/>
      <c r="AU148" s="411"/>
    </row>
    <row r="149" spans="1:47" s="413" customFormat="1" ht="18.75" customHeight="1">
      <c r="A149" s="167">
        <v>138</v>
      </c>
      <c r="B149" s="79" t="str">
        <f>IFERROR(VLOOKUP(A149,O.B.JUNE!$A$7:$C$448,2,0),0)</f>
        <v>ANN TAYLOR</v>
      </c>
      <c r="C149" s="174">
        <f>IFERROR(VLOOKUP(A149,O.B.JUNE!$A$7:$C$448,3,0),0)</f>
        <v>459044</v>
      </c>
      <c r="D149" s="80">
        <f t="shared" si="44"/>
        <v>0</v>
      </c>
      <c r="E149" s="80">
        <f>IFERROR(VLOOKUP(C149,O.B.JUNE!$C$7:$D$448,2,0),0)</f>
        <v>0</v>
      </c>
      <c r="F149" s="80">
        <v>0</v>
      </c>
      <c r="G149" s="80">
        <f>IFERROR(VLOOKUP(C149,O.B.JUNE!$C$7:$E$448,3,0),0)</f>
        <v>109</v>
      </c>
      <c r="H149" s="80">
        <f t="shared" si="42"/>
        <v>0</v>
      </c>
      <c r="I149" s="80"/>
      <c r="J149" s="80">
        <f t="shared" si="45"/>
        <v>0</v>
      </c>
      <c r="K149" s="80">
        <v>0</v>
      </c>
      <c r="L149" s="80">
        <v>0</v>
      </c>
      <c r="M149" s="81">
        <f t="shared" si="46"/>
        <v>109</v>
      </c>
      <c r="N149" s="81">
        <v>0</v>
      </c>
      <c r="O149" s="81">
        <v>0</v>
      </c>
      <c r="P149" s="81">
        <f t="shared" si="43"/>
        <v>109</v>
      </c>
      <c r="Q149" s="80">
        <f>IFERROR(VLOOKUP(C149,O.B.JUNE!$C$7:$K$448,7,0),0)</f>
        <v>0</v>
      </c>
      <c r="R149" s="80">
        <f>IFERROR(VLOOKUP(C149,O.B.JUNE!$C$7:$J$448,8,0),0)</f>
        <v>0</v>
      </c>
      <c r="S149" s="323">
        <f t="shared" si="47"/>
        <v>0</v>
      </c>
      <c r="T149" s="324">
        <v>0</v>
      </c>
      <c r="U149" s="324"/>
      <c r="V149" s="80"/>
      <c r="W149" s="324">
        <v>0</v>
      </c>
      <c r="X149" s="324"/>
      <c r="Y149" s="324">
        <v>0</v>
      </c>
      <c r="Z149" s="80">
        <v>0</v>
      </c>
      <c r="AA149" s="80">
        <f t="shared" si="48"/>
        <v>0</v>
      </c>
      <c r="AB149" s="323">
        <f t="shared" si="49"/>
        <v>0</v>
      </c>
      <c r="AC149" s="80">
        <f t="shared" si="54"/>
        <v>0</v>
      </c>
      <c r="AD149" s="80">
        <f t="shared" si="55"/>
        <v>0</v>
      </c>
      <c r="AE149" s="80"/>
      <c r="AF149" s="80"/>
      <c r="AG149" s="80"/>
      <c r="AH149" s="326">
        <f t="shared" si="50"/>
        <v>0</v>
      </c>
      <c r="AI149" s="326">
        <f t="shared" si="51"/>
        <v>0</v>
      </c>
      <c r="AJ149" s="326">
        <f t="shared" si="52"/>
        <v>0</v>
      </c>
      <c r="AK149" s="326">
        <f t="shared" si="53"/>
        <v>0</v>
      </c>
      <c r="AL149" s="326"/>
      <c r="AM149" s="326"/>
      <c r="AN149" s="326"/>
      <c r="AO149" s="326"/>
      <c r="AP149" s="326"/>
      <c r="AQ149" s="326"/>
      <c r="AR149" s="327"/>
      <c r="AS149" s="504" t="s">
        <v>658</v>
      </c>
      <c r="AT149" s="411"/>
      <c r="AU149" s="411"/>
    </row>
    <row r="150" spans="1:47" s="413" customFormat="1" ht="18.75" customHeight="1">
      <c r="A150" s="167">
        <v>139</v>
      </c>
      <c r="B150" s="79" t="str">
        <f>IFERROR(VLOOKUP(A150,O.B.JUNE!$A$7:$C$448,2,0),0)</f>
        <v>ANN TAYLOR</v>
      </c>
      <c r="C150" s="174">
        <f>IFERROR(VLOOKUP(A150,O.B.JUNE!$A$7:$C$448,3,0),0)</f>
        <v>459046</v>
      </c>
      <c r="D150" s="80">
        <f t="shared" si="44"/>
        <v>0</v>
      </c>
      <c r="E150" s="80">
        <f>IFERROR(VLOOKUP(C150,O.B.JUNE!$C$7:$D$448,2,0),0)</f>
        <v>0</v>
      </c>
      <c r="F150" s="80">
        <v>0</v>
      </c>
      <c r="G150" s="80">
        <f>IFERROR(VLOOKUP(C150,O.B.JUNE!$C$7:$E$448,3,0),0)</f>
        <v>126</v>
      </c>
      <c r="H150" s="80">
        <f t="shared" si="42"/>
        <v>0</v>
      </c>
      <c r="I150" s="80"/>
      <c r="J150" s="80">
        <f t="shared" si="45"/>
        <v>0</v>
      </c>
      <c r="K150" s="80">
        <v>0</v>
      </c>
      <c r="L150" s="80">
        <v>0</v>
      </c>
      <c r="M150" s="81">
        <f t="shared" si="46"/>
        <v>126</v>
      </c>
      <c r="N150" s="81">
        <v>0</v>
      </c>
      <c r="O150" s="81">
        <v>0</v>
      </c>
      <c r="P150" s="81">
        <f t="shared" si="43"/>
        <v>126</v>
      </c>
      <c r="Q150" s="80">
        <f>IFERROR(VLOOKUP(C150,O.B.JUNE!$C$7:$K$448,7,0),0)</f>
        <v>0</v>
      </c>
      <c r="R150" s="80">
        <f>IFERROR(VLOOKUP(C150,O.B.JUNE!$C$7:$J$448,8,0),0)</f>
        <v>0</v>
      </c>
      <c r="S150" s="323">
        <f t="shared" si="47"/>
        <v>0</v>
      </c>
      <c r="T150" s="324">
        <v>0</v>
      </c>
      <c r="U150" s="324"/>
      <c r="V150" s="80"/>
      <c r="W150" s="324">
        <v>0</v>
      </c>
      <c r="X150" s="324"/>
      <c r="Y150" s="324">
        <v>0</v>
      </c>
      <c r="Z150" s="80">
        <v>0</v>
      </c>
      <c r="AA150" s="80">
        <f t="shared" si="48"/>
        <v>0</v>
      </c>
      <c r="AB150" s="323">
        <f t="shared" si="49"/>
        <v>0</v>
      </c>
      <c r="AC150" s="80">
        <f t="shared" si="54"/>
        <v>0</v>
      </c>
      <c r="AD150" s="80">
        <f t="shared" si="55"/>
        <v>0</v>
      </c>
      <c r="AE150" s="80"/>
      <c r="AF150" s="80"/>
      <c r="AG150" s="80"/>
      <c r="AH150" s="326">
        <f t="shared" si="50"/>
        <v>0</v>
      </c>
      <c r="AI150" s="326">
        <f t="shared" si="51"/>
        <v>0</v>
      </c>
      <c r="AJ150" s="326">
        <f t="shared" si="52"/>
        <v>0</v>
      </c>
      <c r="AK150" s="326">
        <f t="shared" si="53"/>
        <v>0</v>
      </c>
      <c r="AL150" s="326"/>
      <c r="AM150" s="326"/>
      <c r="AN150" s="326"/>
      <c r="AO150" s="326"/>
      <c r="AP150" s="326"/>
      <c r="AQ150" s="326"/>
      <c r="AR150" s="327"/>
      <c r="AS150" s="504" t="s">
        <v>658</v>
      </c>
      <c r="AT150" s="411"/>
      <c r="AU150" s="411"/>
    </row>
    <row r="151" spans="1:47" s="413" customFormat="1" ht="18.75" customHeight="1">
      <c r="A151" s="167">
        <v>140</v>
      </c>
      <c r="B151" s="79" t="str">
        <f>IFERROR(VLOOKUP(A151,O.B.JUNE!$A$7:$C$448,2,0),0)</f>
        <v>ANN TAYLOR</v>
      </c>
      <c r="C151" s="174">
        <f>IFERROR(VLOOKUP(A151,O.B.JUNE!$A$7:$C$448,3,0),0)</f>
        <v>459199</v>
      </c>
      <c r="D151" s="80">
        <f t="shared" si="44"/>
        <v>0</v>
      </c>
      <c r="E151" s="80">
        <f>IFERROR(VLOOKUP(C151,O.B.JUNE!$C$7:$D$448,2,0),0)</f>
        <v>0</v>
      </c>
      <c r="F151" s="80">
        <v>0</v>
      </c>
      <c r="G151" s="80">
        <f>IFERROR(VLOOKUP(C151,O.B.JUNE!$C$7:$E$448,3,0),0)</f>
        <v>130</v>
      </c>
      <c r="H151" s="80">
        <f t="shared" si="42"/>
        <v>0</v>
      </c>
      <c r="I151" s="80"/>
      <c r="J151" s="80">
        <f t="shared" si="45"/>
        <v>0</v>
      </c>
      <c r="K151" s="80">
        <v>0</v>
      </c>
      <c r="L151" s="80">
        <v>0</v>
      </c>
      <c r="M151" s="81">
        <f t="shared" si="46"/>
        <v>130</v>
      </c>
      <c r="N151" s="81">
        <v>0</v>
      </c>
      <c r="O151" s="81">
        <v>0</v>
      </c>
      <c r="P151" s="81">
        <f t="shared" si="43"/>
        <v>130</v>
      </c>
      <c r="Q151" s="80">
        <f>IFERROR(VLOOKUP(C151,O.B.JUNE!$C$7:$K$448,7,0),0)</f>
        <v>0</v>
      </c>
      <c r="R151" s="80">
        <f>IFERROR(VLOOKUP(C151,O.B.JUNE!$C$7:$J$448,8,0),0)</f>
        <v>0</v>
      </c>
      <c r="S151" s="323">
        <f t="shared" si="47"/>
        <v>0</v>
      </c>
      <c r="T151" s="324">
        <v>0</v>
      </c>
      <c r="U151" s="324"/>
      <c r="V151" s="80"/>
      <c r="W151" s="324">
        <v>0</v>
      </c>
      <c r="X151" s="324"/>
      <c r="Y151" s="324">
        <v>0</v>
      </c>
      <c r="Z151" s="80">
        <v>0</v>
      </c>
      <c r="AA151" s="80">
        <f t="shared" si="48"/>
        <v>0</v>
      </c>
      <c r="AB151" s="323">
        <f t="shared" si="49"/>
        <v>0</v>
      </c>
      <c r="AC151" s="80">
        <f t="shared" si="54"/>
        <v>0</v>
      </c>
      <c r="AD151" s="80">
        <f t="shared" si="55"/>
        <v>0</v>
      </c>
      <c r="AE151" s="80"/>
      <c r="AF151" s="80"/>
      <c r="AG151" s="80"/>
      <c r="AH151" s="326">
        <f t="shared" si="50"/>
        <v>0</v>
      </c>
      <c r="AI151" s="326">
        <f t="shared" si="51"/>
        <v>0</v>
      </c>
      <c r="AJ151" s="326">
        <f t="shared" si="52"/>
        <v>0</v>
      </c>
      <c r="AK151" s="326">
        <f t="shared" si="53"/>
        <v>0</v>
      </c>
      <c r="AL151" s="326"/>
      <c r="AM151" s="326"/>
      <c r="AN151" s="326"/>
      <c r="AO151" s="326"/>
      <c r="AP151" s="326"/>
      <c r="AQ151" s="326"/>
      <c r="AR151" s="327">
        <f>VLOOKUP(C151,'[1]DA HET SAN XUAT'!$D$8:$AJ$419,33,0)</f>
        <v>0</v>
      </c>
      <c r="AS151" s="504" t="s">
        <v>658</v>
      </c>
      <c r="AT151" s="411"/>
      <c r="AU151" s="411"/>
    </row>
    <row r="152" spans="1:47" s="413" customFormat="1" ht="18.75" customHeight="1">
      <c r="A152" s="167">
        <v>141</v>
      </c>
      <c r="B152" s="79" t="str">
        <f>IFERROR(VLOOKUP(A152,O.B.JUNE!$A$7:$C$448,2,0),0)</f>
        <v>ANN TAYLOR</v>
      </c>
      <c r="C152" s="174">
        <f>IFERROR(VLOOKUP(A152,O.B.JUNE!$A$7:$C$448,3,0),0)</f>
        <v>459200</v>
      </c>
      <c r="D152" s="80">
        <f t="shared" si="44"/>
        <v>0</v>
      </c>
      <c r="E152" s="80">
        <f>IFERROR(VLOOKUP(C152,O.B.JUNE!$C$7:$D$448,2,0),0)</f>
        <v>0</v>
      </c>
      <c r="F152" s="80">
        <v>0</v>
      </c>
      <c r="G152" s="80">
        <f>IFERROR(VLOOKUP(C152,O.B.JUNE!$C$7:$E$448,3,0),0)</f>
        <v>91</v>
      </c>
      <c r="H152" s="80">
        <f t="shared" si="42"/>
        <v>0</v>
      </c>
      <c r="I152" s="80"/>
      <c r="J152" s="80">
        <f t="shared" si="45"/>
        <v>0</v>
      </c>
      <c r="K152" s="80">
        <v>0</v>
      </c>
      <c r="L152" s="80">
        <v>0</v>
      </c>
      <c r="M152" s="81">
        <f t="shared" si="46"/>
        <v>91</v>
      </c>
      <c r="N152" s="81">
        <v>0</v>
      </c>
      <c r="O152" s="81">
        <v>0</v>
      </c>
      <c r="P152" s="81">
        <f t="shared" si="43"/>
        <v>91</v>
      </c>
      <c r="Q152" s="80">
        <f>IFERROR(VLOOKUP(C152,O.B.JUNE!$C$7:$K$448,7,0),0)</f>
        <v>0</v>
      </c>
      <c r="R152" s="80">
        <f>IFERROR(VLOOKUP(C152,O.B.JUNE!$C$7:$J$448,8,0),0)</f>
        <v>0</v>
      </c>
      <c r="S152" s="323">
        <f t="shared" si="47"/>
        <v>0</v>
      </c>
      <c r="T152" s="324">
        <v>0</v>
      </c>
      <c r="U152" s="324"/>
      <c r="V152" s="80"/>
      <c r="W152" s="324">
        <v>0</v>
      </c>
      <c r="X152" s="324"/>
      <c r="Y152" s="324">
        <v>0</v>
      </c>
      <c r="Z152" s="80">
        <v>0</v>
      </c>
      <c r="AA152" s="80">
        <f t="shared" si="48"/>
        <v>0</v>
      </c>
      <c r="AB152" s="323">
        <f t="shared" si="49"/>
        <v>0</v>
      </c>
      <c r="AC152" s="80">
        <f t="shared" si="54"/>
        <v>0</v>
      </c>
      <c r="AD152" s="80">
        <f t="shared" si="55"/>
        <v>0</v>
      </c>
      <c r="AE152" s="80"/>
      <c r="AF152" s="80"/>
      <c r="AG152" s="80"/>
      <c r="AH152" s="326">
        <f t="shared" si="50"/>
        <v>0</v>
      </c>
      <c r="AI152" s="326">
        <f t="shared" si="51"/>
        <v>0</v>
      </c>
      <c r="AJ152" s="326">
        <f t="shared" si="52"/>
        <v>0</v>
      </c>
      <c r="AK152" s="326">
        <f t="shared" si="53"/>
        <v>0</v>
      </c>
      <c r="AL152" s="326"/>
      <c r="AM152" s="326"/>
      <c r="AN152" s="326"/>
      <c r="AO152" s="326"/>
      <c r="AP152" s="326"/>
      <c r="AQ152" s="326"/>
      <c r="AR152" s="327">
        <f>VLOOKUP(C152,'[1]DA HET SAN XUAT'!$D$8:$AJ$419,33,0)</f>
        <v>0</v>
      </c>
      <c r="AS152" s="504" t="s">
        <v>658</v>
      </c>
      <c r="AT152" s="411"/>
      <c r="AU152" s="411"/>
    </row>
    <row r="153" spans="1:47" s="390" customFormat="1" ht="18.75" customHeight="1">
      <c r="A153" s="167">
        <v>142</v>
      </c>
      <c r="B153" s="79" t="str">
        <f>IFERROR(VLOOKUP(A153,O.B.JUNE!$A$7:$C$448,2,0),0)</f>
        <v>ANN TAYLOR</v>
      </c>
      <c r="C153" s="174">
        <f>IFERROR(VLOOKUP(A153,O.B.JUNE!$A$7:$C$448,3,0),0)</f>
        <v>459648</v>
      </c>
      <c r="D153" s="80">
        <f t="shared" si="44"/>
        <v>0</v>
      </c>
      <c r="E153" s="80">
        <f>IFERROR(VLOOKUP(C153,O.B.JUNE!$C$7:$D$448,2,0),0)</f>
        <v>0</v>
      </c>
      <c r="F153" s="80">
        <v>0</v>
      </c>
      <c r="G153" s="80">
        <f>IFERROR(VLOOKUP(C153,O.B.JUNE!$C$7:$E$448,3,0),0)</f>
        <v>111</v>
      </c>
      <c r="H153" s="80">
        <f t="shared" si="42"/>
        <v>0</v>
      </c>
      <c r="I153" s="80"/>
      <c r="J153" s="80">
        <f t="shared" si="45"/>
        <v>0</v>
      </c>
      <c r="K153" s="80">
        <v>0</v>
      </c>
      <c r="L153" s="80">
        <v>0</v>
      </c>
      <c r="M153" s="81">
        <f t="shared" si="46"/>
        <v>111</v>
      </c>
      <c r="N153" s="81">
        <v>0</v>
      </c>
      <c r="O153" s="81">
        <v>0</v>
      </c>
      <c r="P153" s="81">
        <f t="shared" si="43"/>
        <v>111</v>
      </c>
      <c r="Q153" s="80">
        <f>IFERROR(VLOOKUP(C153,O.B.JUNE!$C$7:$K$448,7,0),0)</f>
        <v>0</v>
      </c>
      <c r="R153" s="80">
        <f>IFERROR(VLOOKUP(C153,O.B.JUNE!$C$7:$J$448,8,0),0)</f>
        <v>0</v>
      </c>
      <c r="S153" s="323">
        <f t="shared" si="47"/>
        <v>0</v>
      </c>
      <c r="T153" s="324">
        <v>0</v>
      </c>
      <c r="U153" s="324"/>
      <c r="V153" s="80"/>
      <c r="W153" s="324">
        <v>0</v>
      </c>
      <c r="X153" s="324"/>
      <c r="Y153" s="324">
        <v>0</v>
      </c>
      <c r="Z153" s="80">
        <v>0</v>
      </c>
      <c r="AA153" s="80">
        <f t="shared" si="48"/>
        <v>0</v>
      </c>
      <c r="AB153" s="323">
        <f t="shared" si="49"/>
        <v>0</v>
      </c>
      <c r="AC153" s="80">
        <f t="shared" si="54"/>
        <v>0</v>
      </c>
      <c r="AD153" s="80">
        <f t="shared" si="55"/>
        <v>0</v>
      </c>
      <c r="AE153" s="80"/>
      <c r="AF153" s="80"/>
      <c r="AG153" s="80"/>
      <c r="AH153" s="326">
        <f t="shared" si="50"/>
        <v>0</v>
      </c>
      <c r="AI153" s="326">
        <f t="shared" si="51"/>
        <v>0</v>
      </c>
      <c r="AJ153" s="326">
        <f t="shared" si="52"/>
        <v>0</v>
      </c>
      <c r="AK153" s="326">
        <f t="shared" si="53"/>
        <v>0</v>
      </c>
      <c r="AL153" s="326"/>
      <c r="AM153" s="326"/>
      <c r="AN153" s="326"/>
      <c r="AO153" s="326"/>
      <c r="AP153" s="326"/>
      <c r="AQ153" s="326"/>
      <c r="AR153" s="327"/>
      <c r="AS153" s="504" t="s">
        <v>658</v>
      </c>
      <c r="AT153" s="411"/>
      <c r="AU153" s="411"/>
    </row>
    <row r="154" spans="1:47" s="390" customFormat="1" ht="18.75" customHeight="1">
      <c r="A154" s="167">
        <v>143</v>
      </c>
      <c r="B154" s="79" t="str">
        <f>IFERROR(VLOOKUP(A154,O.B.JUNE!$A$7:$C$448,2,0),0)</f>
        <v>ANN TAYLOR</v>
      </c>
      <c r="C154" s="174">
        <f>IFERROR(VLOOKUP(A154,O.B.JUNE!$A$7:$C$448,3,0),0)</f>
        <v>459700</v>
      </c>
      <c r="D154" s="80">
        <f t="shared" si="44"/>
        <v>0</v>
      </c>
      <c r="E154" s="80">
        <f>IFERROR(VLOOKUP(C154,O.B.JUNE!$C$7:$D$448,2,0),0)</f>
        <v>0</v>
      </c>
      <c r="F154" s="80">
        <v>0</v>
      </c>
      <c r="G154" s="80">
        <f>IFERROR(VLOOKUP(C154,O.B.JUNE!$C$7:$E$448,3,0),0)</f>
        <v>78</v>
      </c>
      <c r="H154" s="80">
        <f t="shared" si="42"/>
        <v>0</v>
      </c>
      <c r="I154" s="80"/>
      <c r="J154" s="80">
        <f t="shared" si="45"/>
        <v>0</v>
      </c>
      <c r="K154" s="80">
        <v>0</v>
      </c>
      <c r="L154" s="80">
        <v>0</v>
      </c>
      <c r="M154" s="81">
        <f t="shared" si="46"/>
        <v>78</v>
      </c>
      <c r="N154" s="81">
        <v>0</v>
      </c>
      <c r="O154" s="81">
        <v>0</v>
      </c>
      <c r="P154" s="81">
        <f t="shared" si="43"/>
        <v>78</v>
      </c>
      <c r="Q154" s="80">
        <f>IFERROR(VLOOKUP(C154,O.B.JUNE!$C$7:$K$448,7,0),0)</f>
        <v>0</v>
      </c>
      <c r="R154" s="80">
        <f>IFERROR(VLOOKUP(C154,O.B.JUNE!$C$7:$J$448,8,0),0)</f>
        <v>0</v>
      </c>
      <c r="S154" s="323">
        <f t="shared" si="47"/>
        <v>0</v>
      </c>
      <c r="T154" s="324">
        <v>0</v>
      </c>
      <c r="U154" s="324"/>
      <c r="V154" s="80"/>
      <c r="W154" s="324">
        <v>0</v>
      </c>
      <c r="X154" s="324"/>
      <c r="Y154" s="324">
        <v>0</v>
      </c>
      <c r="Z154" s="80">
        <v>0</v>
      </c>
      <c r="AA154" s="80">
        <f t="shared" si="48"/>
        <v>0</v>
      </c>
      <c r="AB154" s="323">
        <f t="shared" si="49"/>
        <v>0</v>
      </c>
      <c r="AC154" s="80">
        <f t="shared" si="54"/>
        <v>0</v>
      </c>
      <c r="AD154" s="80">
        <f t="shared" si="55"/>
        <v>0</v>
      </c>
      <c r="AE154" s="80"/>
      <c r="AF154" s="80"/>
      <c r="AG154" s="80"/>
      <c r="AH154" s="326">
        <f t="shared" si="50"/>
        <v>0</v>
      </c>
      <c r="AI154" s="326">
        <f t="shared" si="51"/>
        <v>0</v>
      </c>
      <c r="AJ154" s="326">
        <f t="shared" si="52"/>
        <v>0</v>
      </c>
      <c r="AK154" s="326">
        <f t="shared" si="53"/>
        <v>0</v>
      </c>
      <c r="AL154" s="326"/>
      <c r="AM154" s="326"/>
      <c r="AN154" s="326"/>
      <c r="AO154" s="326"/>
      <c r="AP154" s="326"/>
      <c r="AQ154" s="326"/>
      <c r="AR154" s="327"/>
      <c r="AS154" s="504" t="s">
        <v>658</v>
      </c>
      <c r="AT154" s="411"/>
      <c r="AU154" s="411"/>
    </row>
    <row r="155" spans="1:47" s="390" customFormat="1" ht="18.75" customHeight="1">
      <c r="A155" s="167">
        <v>144</v>
      </c>
      <c r="B155" s="79" t="str">
        <f>IFERROR(VLOOKUP(A155,O.B.JUNE!$A$7:$C$448,2,0),0)</f>
        <v>ANN TAYLOR</v>
      </c>
      <c r="C155" s="174">
        <f>IFERROR(VLOOKUP(A155,O.B.JUNE!$A$7:$C$448,3,0),0)</f>
        <v>459701</v>
      </c>
      <c r="D155" s="80">
        <f t="shared" si="44"/>
        <v>0</v>
      </c>
      <c r="E155" s="80">
        <f>IFERROR(VLOOKUP(C155,O.B.JUNE!$C$7:$D$448,2,0),0)</f>
        <v>0</v>
      </c>
      <c r="F155" s="80">
        <v>0</v>
      </c>
      <c r="G155" s="80">
        <f>IFERROR(VLOOKUP(C155,O.B.JUNE!$C$7:$E$448,3,0),0)</f>
        <v>133</v>
      </c>
      <c r="H155" s="80">
        <f t="shared" si="42"/>
        <v>0</v>
      </c>
      <c r="I155" s="80"/>
      <c r="J155" s="80">
        <f t="shared" si="45"/>
        <v>0</v>
      </c>
      <c r="K155" s="80">
        <v>0</v>
      </c>
      <c r="L155" s="80">
        <v>0</v>
      </c>
      <c r="M155" s="81">
        <f t="shared" si="46"/>
        <v>133</v>
      </c>
      <c r="N155" s="81">
        <v>0</v>
      </c>
      <c r="O155" s="81">
        <v>0</v>
      </c>
      <c r="P155" s="81">
        <f t="shared" si="43"/>
        <v>133</v>
      </c>
      <c r="Q155" s="80">
        <f>IFERROR(VLOOKUP(C155,O.B.JUNE!$C$7:$K$448,7,0),0)</f>
        <v>0</v>
      </c>
      <c r="R155" s="80">
        <f>IFERROR(VLOOKUP(C155,O.B.JUNE!$C$7:$J$448,8,0),0)</f>
        <v>0</v>
      </c>
      <c r="S155" s="323">
        <f t="shared" si="47"/>
        <v>0</v>
      </c>
      <c r="T155" s="324">
        <v>0</v>
      </c>
      <c r="U155" s="324"/>
      <c r="V155" s="80"/>
      <c r="W155" s="324">
        <v>0</v>
      </c>
      <c r="X155" s="324"/>
      <c r="Y155" s="324">
        <v>0</v>
      </c>
      <c r="Z155" s="80">
        <v>0</v>
      </c>
      <c r="AA155" s="80">
        <f t="shared" si="48"/>
        <v>0</v>
      </c>
      <c r="AB155" s="323">
        <f t="shared" si="49"/>
        <v>0</v>
      </c>
      <c r="AC155" s="80">
        <f t="shared" si="54"/>
        <v>0</v>
      </c>
      <c r="AD155" s="80">
        <f t="shared" si="55"/>
        <v>0</v>
      </c>
      <c r="AE155" s="80"/>
      <c r="AF155" s="80"/>
      <c r="AG155" s="80"/>
      <c r="AH155" s="326">
        <f t="shared" si="50"/>
        <v>0</v>
      </c>
      <c r="AI155" s="326">
        <f t="shared" si="51"/>
        <v>0</v>
      </c>
      <c r="AJ155" s="326">
        <f t="shared" si="52"/>
        <v>0</v>
      </c>
      <c r="AK155" s="326">
        <f t="shared" si="53"/>
        <v>0</v>
      </c>
      <c r="AL155" s="326"/>
      <c r="AM155" s="326"/>
      <c r="AN155" s="326"/>
      <c r="AO155" s="326"/>
      <c r="AP155" s="326"/>
      <c r="AQ155" s="326"/>
      <c r="AR155" s="327"/>
      <c r="AS155" s="504" t="s">
        <v>658</v>
      </c>
      <c r="AT155" s="411"/>
      <c r="AU155" s="411"/>
    </row>
    <row r="156" spans="1:47" s="390" customFormat="1" ht="18.75" customHeight="1">
      <c r="A156" s="167">
        <v>145</v>
      </c>
      <c r="B156" s="79" t="str">
        <f>IFERROR(VLOOKUP(A156,O.B.JUNE!$A$7:$C$448,2,0),0)</f>
        <v>ANN TAYLOR</v>
      </c>
      <c r="C156" s="174">
        <f>IFERROR(VLOOKUP(A156,O.B.JUNE!$A$7:$C$448,3,0),0)</f>
        <v>459702</v>
      </c>
      <c r="D156" s="80">
        <f t="shared" si="44"/>
        <v>0</v>
      </c>
      <c r="E156" s="80">
        <f>IFERROR(VLOOKUP(C156,O.B.JUNE!$C$7:$D$448,2,0),0)</f>
        <v>0</v>
      </c>
      <c r="F156" s="80">
        <v>0</v>
      </c>
      <c r="G156" s="80">
        <f>IFERROR(VLOOKUP(C156,O.B.JUNE!$C$7:$E$448,3,0),0)</f>
        <v>42</v>
      </c>
      <c r="H156" s="80">
        <f t="shared" si="42"/>
        <v>0</v>
      </c>
      <c r="I156" s="80"/>
      <c r="J156" s="80">
        <f t="shared" si="45"/>
        <v>0</v>
      </c>
      <c r="K156" s="80">
        <v>0</v>
      </c>
      <c r="L156" s="80">
        <v>0</v>
      </c>
      <c r="M156" s="81">
        <f t="shared" si="46"/>
        <v>42</v>
      </c>
      <c r="N156" s="81">
        <v>0</v>
      </c>
      <c r="O156" s="81">
        <v>0</v>
      </c>
      <c r="P156" s="81">
        <f t="shared" si="43"/>
        <v>42</v>
      </c>
      <c r="Q156" s="80">
        <f>IFERROR(VLOOKUP(C156,O.B.JUNE!$C$7:$K$448,7,0),0)</f>
        <v>0</v>
      </c>
      <c r="R156" s="80">
        <f>IFERROR(VLOOKUP(C156,O.B.JUNE!$C$7:$J$448,8,0),0)</f>
        <v>0</v>
      </c>
      <c r="S156" s="323">
        <f t="shared" si="47"/>
        <v>0</v>
      </c>
      <c r="T156" s="324">
        <v>0</v>
      </c>
      <c r="U156" s="324"/>
      <c r="V156" s="80"/>
      <c r="W156" s="324">
        <v>0</v>
      </c>
      <c r="X156" s="324"/>
      <c r="Y156" s="324">
        <v>0</v>
      </c>
      <c r="Z156" s="80">
        <v>0</v>
      </c>
      <c r="AA156" s="80">
        <f t="shared" si="48"/>
        <v>0</v>
      </c>
      <c r="AB156" s="323">
        <f t="shared" si="49"/>
        <v>0</v>
      </c>
      <c r="AC156" s="80">
        <f t="shared" si="54"/>
        <v>0</v>
      </c>
      <c r="AD156" s="80">
        <f t="shared" si="55"/>
        <v>0</v>
      </c>
      <c r="AE156" s="80"/>
      <c r="AF156" s="80"/>
      <c r="AG156" s="80"/>
      <c r="AH156" s="326">
        <f t="shared" si="50"/>
        <v>0</v>
      </c>
      <c r="AI156" s="326">
        <f t="shared" si="51"/>
        <v>0</v>
      </c>
      <c r="AJ156" s="326">
        <f t="shared" si="52"/>
        <v>0</v>
      </c>
      <c r="AK156" s="326">
        <f t="shared" si="53"/>
        <v>0</v>
      </c>
      <c r="AL156" s="326"/>
      <c r="AM156" s="326"/>
      <c r="AN156" s="326"/>
      <c r="AO156" s="326"/>
      <c r="AP156" s="326"/>
      <c r="AQ156" s="326"/>
      <c r="AR156" s="327"/>
      <c r="AS156" s="504" t="s">
        <v>658</v>
      </c>
      <c r="AT156" s="411"/>
      <c r="AU156" s="411"/>
    </row>
    <row r="157" spans="1:47" s="390" customFormat="1" ht="18.75" customHeight="1">
      <c r="A157" s="167">
        <v>146</v>
      </c>
      <c r="B157" s="79" t="str">
        <f>IFERROR(VLOOKUP(A157,O.B.JUNE!$A$7:$C$448,2,0),0)</f>
        <v>ANN TAYLOR</v>
      </c>
      <c r="C157" s="174">
        <f>IFERROR(VLOOKUP(A157,O.B.JUNE!$A$7:$C$448,3,0),0)</f>
        <v>459703</v>
      </c>
      <c r="D157" s="80">
        <f t="shared" si="44"/>
        <v>0</v>
      </c>
      <c r="E157" s="80">
        <f>IFERROR(VLOOKUP(C157,O.B.JUNE!$C$7:$D$448,2,0),0)</f>
        <v>0</v>
      </c>
      <c r="F157" s="80">
        <v>0</v>
      </c>
      <c r="G157" s="80">
        <f>IFERROR(VLOOKUP(C157,O.B.JUNE!$C$7:$E$448,3,0),0)</f>
        <v>45</v>
      </c>
      <c r="H157" s="80">
        <f t="shared" si="42"/>
        <v>0</v>
      </c>
      <c r="I157" s="80"/>
      <c r="J157" s="80">
        <f t="shared" si="45"/>
        <v>0</v>
      </c>
      <c r="K157" s="80">
        <v>0</v>
      </c>
      <c r="L157" s="80">
        <v>0</v>
      </c>
      <c r="M157" s="81">
        <f t="shared" si="46"/>
        <v>45</v>
      </c>
      <c r="N157" s="81">
        <v>0</v>
      </c>
      <c r="O157" s="81">
        <v>0</v>
      </c>
      <c r="P157" s="81">
        <f t="shared" si="43"/>
        <v>45</v>
      </c>
      <c r="Q157" s="80">
        <f>IFERROR(VLOOKUP(C157,O.B.JUNE!$C$7:$K$448,7,0),0)</f>
        <v>0</v>
      </c>
      <c r="R157" s="80">
        <f>IFERROR(VLOOKUP(C157,O.B.JUNE!$C$7:$J$448,8,0),0)</f>
        <v>0</v>
      </c>
      <c r="S157" s="323">
        <f t="shared" si="47"/>
        <v>0</v>
      </c>
      <c r="T157" s="324">
        <v>0</v>
      </c>
      <c r="U157" s="324"/>
      <c r="V157" s="80"/>
      <c r="W157" s="324">
        <v>0</v>
      </c>
      <c r="X157" s="324"/>
      <c r="Y157" s="324">
        <v>0</v>
      </c>
      <c r="Z157" s="80">
        <v>0</v>
      </c>
      <c r="AA157" s="80">
        <f t="shared" si="48"/>
        <v>0</v>
      </c>
      <c r="AB157" s="323">
        <f t="shared" si="49"/>
        <v>0</v>
      </c>
      <c r="AC157" s="80">
        <f t="shared" si="54"/>
        <v>0</v>
      </c>
      <c r="AD157" s="80">
        <f t="shared" si="55"/>
        <v>0</v>
      </c>
      <c r="AE157" s="80"/>
      <c r="AF157" s="80"/>
      <c r="AG157" s="80"/>
      <c r="AH157" s="326">
        <f t="shared" si="50"/>
        <v>0</v>
      </c>
      <c r="AI157" s="326">
        <f t="shared" si="51"/>
        <v>0</v>
      </c>
      <c r="AJ157" s="326">
        <f t="shared" si="52"/>
        <v>0</v>
      </c>
      <c r="AK157" s="326">
        <f t="shared" si="53"/>
        <v>0</v>
      </c>
      <c r="AL157" s="326"/>
      <c r="AM157" s="326"/>
      <c r="AN157" s="326"/>
      <c r="AO157" s="326"/>
      <c r="AP157" s="326"/>
      <c r="AQ157" s="326"/>
      <c r="AR157" s="327"/>
      <c r="AS157" s="504" t="s">
        <v>658</v>
      </c>
      <c r="AT157" s="411"/>
      <c r="AU157" s="411"/>
    </row>
    <row r="158" spans="1:47" s="390" customFormat="1" ht="18.75" customHeight="1">
      <c r="A158" s="167">
        <v>147</v>
      </c>
      <c r="B158" s="79" t="str">
        <f>IFERROR(VLOOKUP(A158,O.B.JUNE!$A$7:$C$448,2,0),0)</f>
        <v>ANN TAYLOR</v>
      </c>
      <c r="C158" s="174">
        <f>IFERROR(VLOOKUP(A158,O.B.JUNE!$A$7:$C$448,3,0),0)</f>
        <v>459704</v>
      </c>
      <c r="D158" s="80">
        <f t="shared" si="44"/>
        <v>0</v>
      </c>
      <c r="E158" s="80">
        <f>IFERROR(VLOOKUP(C158,O.B.JUNE!$C$7:$D$448,2,0),0)</f>
        <v>0</v>
      </c>
      <c r="F158" s="80">
        <v>0</v>
      </c>
      <c r="G158" s="80">
        <f>IFERROR(VLOOKUP(C158,O.B.JUNE!$C$7:$E$448,3,0),0)</f>
        <v>48</v>
      </c>
      <c r="H158" s="80">
        <f t="shared" si="42"/>
        <v>0</v>
      </c>
      <c r="I158" s="80"/>
      <c r="J158" s="80">
        <f t="shared" si="45"/>
        <v>0</v>
      </c>
      <c r="K158" s="80">
        <v>0</v>
      </c>
      <c r="L158" s="80">
        <v>0</v>
      </c>
      <c r="M158" s="81">
        <f t="shared" si="46"/>
        <v>48</v>
      </c>
      <c r="N158" s="81">
        <v>0</v>
      </c>
      <c r="O158" s="81">
        <v>0</v>
      </c>
      <c r="P158" s="81">
        <f t="shared" si="43"/>
        <v>48</v>
      </c>
      <c r="Q158" s="80">
        <f>IFERROR(VLOOKUP(C158,O.B.JUNE!$C$7:$K$448,7,0),0)</f>
        <v>0</v>
      </c>
      <c r="R158" s="80">
        <f>IFERROR(VLOOKUP(C158,O.B.JUNE!$C$7:$J$448,8,0),0)</f>
        <v>0</v>
      </c>
      <c r="S158" s="323">
        <f t="shared" si="47"/>
        <v>0</v>
      </c>
      <c r="T158" s="324">
        <v>0</v>
      </c>
      <c r="U158" s="324"/>
      <c r="V158" s="80"/>
      <c r="W158" s="324">
        <v>0</v>
      </c>
      <c r="X158" s="324"/>
      <c r="Y158" s="324">
        <v>0</v>
      </c>
      <c r="Z158" s="80">
        <v>0</v>
      </c>
      <c r="AA158" s="80">
        <f t="shared" si="48"/>
        <v>0</v>
      </c>
      <c r="AB158" s="323">
        <f t="shared" si="49"/>
        <v>0</v>
      </c>
      <c r="AC158" s="80">
        <f t="shared" si="54"/>
        <v>0</v>
      </c>
      <c r="AD158" s="80">
        <f t="shared" si="55"/>
        <v>0</v>
      </c>
      <c r="AE158" s="80"/>
      <c r="AF158" s="80"/>
      <c r="AG158" s="80"/>
      <c r="AH158" s="326">
        <f t="shared" si="50"/>
        <v>0</v>
      </c>
      <c r="AI158" s="326">
        <f t="shared" si="51"/>
        <v>0</v>
      </c>
      <c r="AJ158" s="326">
        <f t="shared" si="52"/>
        <v>0</v>
      </c>
      <c r="AK158" s="326">
        <f t="shared" si="53"/>
        <v>0</v>
      </c>
      <c r="AL158" s="326"/>
      <c r="AM158" s="326"/>
      <c r="AN158" s="326"/>
      <c r="AO158" s="326"/>
      <c r="AP158" s="326"/>
      <c r="AQ158" s="326"/>
      <c r="AR158" s="327"/>
      <c r="AS158" s="504" t="s">
        <v>658</v>
      </c>
      <c r="AT158" s="411"/>
      <c r="AU158" s="411"/>
    </row>
    <row r="159" spans="1:47" s="390" customFormat="1" ht="18.75" customHeight="1">
      <c r="A159" s="167">
        <v>148</v>
      </c>
      <c r="B159" s="79" t="str">
        <f>IFERROR(VLOOKUP(A159,O.B.JUNE!$A$7:$C$448,2,0),0)</f>
        <v>ANN TAYLOR</v>
      </c>
      <c r="C159" s="174">
        <f>IFERROR(VLOOKUP(A159,O.B.JUNE!$A$7:$C$448,3,0),0)</f>
        <v>459715</v>
      </c>
      <c r="D159" s="80">
        <f t="shared" si="44"/>
        <v>0</v>
      </c>
      <c r="E159" s="80">
        <f>IFERROR(VLOOKUP(C159,O.B.JUNE!$C$7:$D$448,2,0),0)</f>
        <v>0</v>
      </c>
      <c r="F159" s="80">
        <v>0</v>
      </c>
      <c r="G159" s="80">
        <f>IFERROR(VLOOKUP(C159,O.B.JUNE!$C$7:$E$448,3,0),0)</f>
        <v>31</v>
      </c>
      <c r="H159" s="80">
        <f t="shared" si="42"/>
        <v>0</v>
      </c>
      <c r="I159" s="80"/>
      <c r="J159" s="80">
        <f t="shared" si="45"/>
        <v>0</v>
      </c>
      <c r="K159" s="80">
        <v>0</v>
      </c>
      <c r="L159" s="80">
        <v>0</v>
      </c>
      <c r="M159" s="81">
        <f t="shared" si="46"/>
        <v>31</v>
      </c>
      <c r="N159" s="81">
        <v>0</v>
      </c>
      <c r="O159" s="81">
        <v>0</v>
      </c>
      <c r="P159" s="81">
        <f t="shared" si="43"/>
        <v>31</v>
      </c>
      <c r="Q159" s="80">
        <f>IFERROR(VLOOKUP(C159,O.B.JUNE!$C$7:$K$448,7,0),0)</f>
        <v>0</v>
      </c>
      <c r="R159" s="80">
        <f>IFERROR(VLOOKUP(C159,O.B.JUNE!$C$7:$J$448,8,0),0)</f>
        <v>0</v>
      </c>
      <c r="S159" s="323">
        <f t="shared" si="47"/>
        <v>0</v>
      </c>
      <c r="T159" s="324">
        <v>0</v>
      </c>
      <c r="U159" s="324"/>
      <c r="V159" s="80"/>
      <c r="W159" s="324">
        <v>0</v>
      </c>
      <c r="X159" s="324"/>
      <c r="Y159" s="324">
        <v>0</v>
      </c>
      <c r="Z159" s="80">
        <v>0</v>
      </c>
      <c r="AA159" s="80">
        <f t="shared" si="48"/>
        <v>0</v>
      </c>
      <c r="AB159" s="323">
        <f t="shared" si="49"/>
        <v>0</v>
      </c>
      <c r="AC159" s="80">
        <f t="shared" si="54"/>
        <v>0</v>
      </c>
      <c r="AD159" s="80">
        <f t="shared" si="55"/>
        <v>0</v>
      </c>
      <c r="AE159" s="80"/>
      <c r="AF159" s="80"/>
      <c r="AG159" s="80"/>
      <c r="AH159" s="326">
        <f t="shared" si="50"/>
        <v>0</v>
      </c>
      <c r="AI159" s="326">
        <f t="shared" si="51"/>
        <v>0</v>
      </c>
      <c r="AJ159" s="326">
        <f t="shared" si="52"/>
        <v>0</v>
      </c>
      <c r="AK159" s="326">
        <f t="shared" si="53"/>
        <v>0</v>
      </c>
      <c r="AL159" s="326"/>
      <c r="AM159" s="326"/>
      <c r="AN159" s="326"/>
      <c r="AO159" s="326"/>
      <c r="AP159" s="326"/>
      <c r="AQ159" s="326"/>
      <c r="AR159" s="327"/>
      <c r="AS159" s="504" t="s">
        <v>658</v>
      </c>
      <c r="AT159" s="411"/>
      <c r="AU159" s="411"/>
    </row>
    <row r="160" spans="1:47" s="390" customFormat="1" ht="18.75" customHeight="1">
      <c r="A160" s="167">
        <v>149</v>
      </c>
      <c r="B160" s="79" t="str">
        <f>IFERROR(VLOOKUP(A160,O.B.JUNE!$A$7:$C$448,2,0),0)</f>
        <v>ANN TAYLOR</v>
      </c>
      <c r="C160" s="174">
        <f>IFERROR(VLOOKUP(A160,O.B.JUNE!$A$7:$C$448,3,0),0)</f>
        <v>460424</v>
      </c>
      <c r="D160" s="80">
        <f t="shared" si="44"/>
        <v>0</v>
      </c>
      <c r="E160" s="80">
        <f>IFERROR(VLOOKUP(C160,O.B.JUNE!$C$7:$D$448,2,0),0)</f>
        <v>0</v>
      </c>
      <c r="F160" s="80">
        <v>0</v>
      </c>
      <c r="G160" s="80">
        <f>IFERROR(VLOOKUP(C160,O.B.JUNE!$C$7:$E$448,3,0),0)</f>
        <v>208</v>
      </c>
      <c r="H160" s="80">
        <f t="shared" si="42"/>
        <v>0</v>
      </c>
      <c r="I160" s="80"/>
      <c r="J160" s="80">
        <f t="shared" si="45"/>
        <v>0</v>
      </c>
      <c r="K160" s="80">
        <v>0</v>
      </c>
      <c r="L160" s="80">
        <v>0</v>
      </c>
      <c r="M160" s="81">
        <f t="shared" si="46"/>
        <v>208</v>
      </c>
      <c r="N160" s="81">
        <v>0</v>
      </c>
      <c r="O160" s="81">
        <v>0</v>
      </c>
      <c r="P160" s="81">
        <f t="shared" si="43"/>
        <v>208</v>
      </c>
      <c r="Q160" s="80">
        <f>IFERROR(VLOOKUP(C160,O.B.JUNE!$C$7:$K$448,7,0),0)</f>
        <v>0</v>
      </c>
      <c r="R160" s="80">
        <f>IFERROR(VLOOKUP(C160,O.B.JUNE!$C$7:$J$448,8,0),0)</f>
        <v>0</v>
      </c>
      <c r="S160" s="323">
        <f t="shared" si="47"/>
        <v>0</v>
      </c>
      <c r="T160" s="324">
        <v>0</v>
      </c>
      <c r="U160" s="324"/>
      <c r="V160" s="80"/>
      <c r="W160" s="324">
        <v>0</v>
      </c>
      <c r="X160" s="324"/>
      <c r="Y160" s="324">
        <v>0</v>
      </c>
      <c r="Z160" s="80">
        <v>0</v>
      </c>
      <c r="AA160" s="80">
        <f t="shared" si="48"/>
        <v>0</v>
      </c>
      <c r="AB160" s="323">
        <f t="shared" si="49"/>
        <v>0</v>
      </c>
      <c r="AC160" s="80">
        <f t="shared" si="54"/>
        <v>0</v>
      </c>
      <c r="AD160" s="80">
        <f t="shared" si="55"/>
        <v>0</v>
      </c>
      <c r="AE160" s="80"/>
      <c r="AF160" s="80"/>
      <c r="AG160" s="80"/>
      <c r="AH160" s="326">
        <f t="shared" si="50"/>
        <v>0</v>
      </c>
      <c r="AI160" s="326">
        <f t="shared" si="51"/>
        <v>0</v>
      </c>
      <c r="AJ160" s="326">
        <f t="shared" si="52"/>
        <v>0</v>
      </c>
      <c r="AK160" s="326">
        <f t="shared" si="53"/>
        <v>0</v>
      </c>
      <c r="AL160" s="326"/>
      <c r="AM160" s="326"/>
      <c r="AN160" s="326"/>
      <c r="AO160" s="326"/>
      <c r="AP160" s="326"/>
      <c r="AQ160" s="326"/>
      <c r="AR160" s="327">
        <f>VLOOKUP(C160,'[1]DA HET SAN XUAT'!$D$8:$AJ$419,33,0)</f>
        <v>0</v>
      </c>
      <c r="AS160" s="504" t="s">
        <v>658</v>
      </c>
      <c r="AT160" s="411"/>
      <c r="AU160" s="411"/>
    </row>
    <row r="161" spans="1:47" s="390" customFormat="1" ht="18.75" customHeight="1">
      <c r="A161" s="167">
        <v>150</v>
      </c>
      <c r="B161" s="79" t="str">
        <f>IFERROR(VLOOKUP(A161,O.B.JUNE!$A$7:$C$448,2,0),0)</f>
        <v>ANN TAYLOR</v>
      </c>
      <c r="C161" s="174">
        <f>IFERROR(VLOOKUP(A161,O.B.JUNE!$A$7:$C$448,3,0),0)</f>
        <v>460886</v>
      </c>
      <c r="D161" s="80">
        <f t="shared" si="44"/>
        <v>0</v>
      </c>
      <c r="E161" s="80">
        <f>IFERROR(VLOOKUP(C161,O.B.JUNE!$C$7:$D$448,2,0),0)</f>
        <v>0</v>
      </c>
      <c r="F161" s="80">
        <v>0</v>
      </c>
      <c r="G161" s="80">
        <f>IFERROR(VLOOKUP(C161,O.B.JUNE!$C$7:$E$448,3,0),0)</f>
        <v>30</v>
      </c>
      <c r="H161" s="80">
        <f t="shared" si="42"/>
        <v>0</v>
      </c>
      <c r="I161" s="80"/>
      <c r="J161" s="80">
        <f t="shared" si="45"/>
        <v>0</v>
      </c>
      <c r="K161" s="80">
        <v>0</v>
      </c>
      <c r="L161" s="80">
        <v>0</v>
      </c>
      <c r="M161" s="81">
        <f t="shared" si="46"/>
        <v>30</v>
      </c>
      <c r="N161" s="81">
        <v>0</v>
      </c>
      <c r="O161" s="81">
        <v>0</v>
      </c>
      <c r="P161" s="81">
        <f t="shared" si="43"/>
        <v>30</v>
      </c>
      <c r="Q161" s="80">
        <f>IFERROR(VLOOKUP(C161,O.B.JUNE!$C$7:$K$448,7,0),0)</f>
        <v>0</v>
      </c>
      <c r="R161" s="80">
        <f>IFERROR(VLOOKUP(C161,O.B.JUNE!$C$7:$J$448,8,0),0)</f>
        <v>0</v>
      </c>
      <c r="S161" s="323">
        <f t="shared" si="47"/>
        <v>0</v>
      </c>
      <c r="T161" s="324">
        <v>0</v>
      </c>
      <c r="U161" s="324"/>
      <c r="V161" s="80"/>
      <c r="W161" s="324">
        <v>0</v>
      </c>
      <c r="X161" s="324"/>
      <c r="Y161" s="324">
        <v>0</v>
      </c>
      <c r="Z161" s="80">
        <v>0</v>
      </c>
      <c r="AA161" s="80">
        <f t="shared" si="48"/>
        <v>0</v>
      </c>
      <c r="AB161" s="323">
        <f t="shared" si="49"/>
        <v>0</v>
      </c>
      <c r="AC161" s="80">
        <f t="shared" si="54"/>
        <v>0</v>
      </c>
      <c r="AD161" s="80">
        <f t="shared" si="55"/>
        <v>0</v>
      </c>
      <c r="AE161" s="80"/>
      <c r="AF161" s="80"/>
      <c r="AG161" s="80"/>
      <c r="AH161" s="326">
        <f t="shared" si="50"/>
        <v>0</v>
      </c>
      <c r="AI161" s="326">
        <f t="shared" si="51"/>
        <v>0</v>
      </c>
      <c r="AJ161" s="326">
        <f t="shared" si="52"/>
        <v>0</v>
      </c>
      <c r="AK161" s="326">
        <f t="shared" si="53"/>
        <v>0</v>
      </c>
      <c r="AL161" s="326"/>
      <c r="AM161" s="326"/>
      <c r="AN161" s="326"/>
      <c r="AO161" s="326"/>
      <c r="AP161" s="326"/>
      <c r="AQ161" s="326"/>
      <c r="AR161" s="327"/>
      <c r="AS161" s="504" t="s">
        <v>658</v>
      </c>
      <c r="AT161" s="411"/>
      <c r="AU161" s="411"/>
    </row>
    <row r="162" spans="1:47" s="390" customFormat="1" ht="18.75" customHeight="1">
      <c r="A162" s="167">
        <v>151</v>
      </c>
      <c r="B162" s="79" t="str">
        <f>IFERROR(VLOOKUP(A162,O.B.JUNE!$A$7:$C$448,2,0),0)</f>
        <v>INC</v>
      </c>
      <c r="C162" s="174">
        <f>IFERROR(VLOOKUP(A162,O.B.JUNE!$A$7:$C$448,3,0),0)</f>
        <v>100014612</v>
      </c>
      <c r="D162" s="80">
        <f t="shared" si="44"/>
        <v>0</v>
      </c>
      <c r="E162" s="80">
        <f>IFERROR(VLOOKUP(C162,O.B.JUNE!$C$7:$D$448,2,0),0)</f>
        <v>0</v>
      </c>
      <c r="F162" s="80">
        <v>0</v>
      </c>
      <c r="G162" s="80">
        <f>IFERROR(VLOOKUP(C162,O.B.JUNE!$C$7:$E$448,3,0),0)</f>
        <v>223</v>
      </c>
      <c r="H162" s="80">
        <f t="shared" si="42"/>
        <v>0</v>
      </c>
      <c r="I162" s="80"/>
      <c r="J162" s="80">
        <f t="shared" si="45"/>
        <v>223</v>
      </c>
      <c r="K162" s="80">
        <v>0</v>
      </c>
      <c r="L162" s="80">
        <v>0</v>
      </c>
      <c r="M162" s="81">
        <f t="shared" si="46"/>
        <v>0</v>
      </c>
      <c r="N162" s="81">
        <v>0</v>
      </c>
      <c r="O162" s="81">
        <v>0</v>
      </c>
      <c r="P162" s="81">
        <f t="shared" si="43"/>
        <v>0</v>
      </c>
      <c r="Q162" s="80">
        <f>IFERROR(VLOOKUP(C162,O.B.JUNE!$C$7:$K$448,7,0),0)</f>
        <v>0</v>
      </c>
      <c r="R162" s="80">
        <f>IFERROR(VLOOKUP(C162,O.B.JUNE!$C$7:$J$448,8,0),0)</f>
        <v>0</v>
      </c>
      <c r="S162" s="323">
        <f t="shared" si="47"/>
        <v>223</v>
      </c>
      <c r="T162" s="324">
        <v>0</v>
      </c>
      <c r="U162" s="324">
        <v>223</v>
      </c>
      <c r="V162" s="80"/>
      <c r="W162" s="324">
        <v>0</v>
      </c>
      <c r="X162" s="324"/>
      <c r="Y162" s="324">
        <v>0</v>
      </c>
      <c r="Z162" s="80">
        <v>0</v>
      </c>
      <c r="AA162" s="80">
        <f t="shared" si="48"/>
        <v>223</v>
      </c>
      <c r="AB162" s="323">
        <f t="shared" si="49"/>
        <v>0</v>
      </c>
      <c r="AC162" s="80">
        <f t="shared" si="54"/>
        <v>223</v>
      </c>
      <c r="AD162" s="80">
        <f t="shared" si="55"/>
        <v>223</v>
      </c>
      <c r="AE162" s="80"/>
      <c r="AF162" s="80"/>
      <c r="AG162" s="80"/>
      <c r="AH162" s="326">
        <f t="shared" si="50"/>
        <v>0</v>
      </c>
      <c r="AI162" s="326">
        <f t="shared" si="51"/>
        <v>0</v>
      </c>
      <c r="AJ162" s="326">
        <f t="shared" si="52"/>
        <v>0</v>
      </c>
      <c r="AK162" s="326">
        <f t="shared" si="53"/>
        <v>0</v>
      </c>
      <c r="AL162" s="326"/>
      <c r="AM162" s="326"/>
      <c r="AN162" s="326"/>
      <c r="AO162" s="326"/>
      <c r="AP162" s="326"/>
      <c r="AQ162" s="326"/>
      <c r="AR162" s="327"/>
      <c r="AS162" s="504" t="s">
        <v>658</v>
      </c>
      <c r="AT162" s="411"/>
      <c r="AU162" s="411"/>
    </row>
    <row r="163" spans="1:47" s="390" customFormat="1" ht="18.75" customHeight="1">
      <c r="A163" s="167">
        <v>152</v>
      </c>
      <c r="B163" s="79" t="str">
        <f>IFERROR(VLOOKUP(A163,O.B.JUNE!$A$7:$C$448,2,0),0)</f>
        <v>INC</v>
      </c>
      <c r="C163" s="174">
        <f>IFERROR(VLOOKUP(A163,O.B.JUNE!$A$7:$C$448,3,0),0)</f>
        <v>100014882</v>
      </c>
      <c r="D163" s="80">
        <f t="shared" si="44"/>
        <v>0</v>
      </c>
      <c r="E163" s="80">
        <f>IFERROR(VLOOKUP(C163,O.B.JUNE!$C$7:$D$448,2,0),0)</f>
        <v>0</v>
      </c>
      <c r="F163" s="80">
        <v>0</v>
      </c>
      <c r="G163" s="80">
        <f>IFERROR(VLOOKUP(C163,O.B.JUNE!$C$7:$E$448,3,0),0)</f>
        <v>25</v>
      </c>
      <c r="H163" s="80">
        <f t="shared" si="42"/>
        <v>0</v>
      </c>
      <c r="I163" s="80"/>
      <c r="J163" s="80">
        <f t="shared" si="45"/>
        <v>25</v>
      </c>
      <c r="K163" s="80">
        <v>0</v>
      </c>
      <c r="L163" s="80">
        <v>0</v>
      </c>
      <c r="M163" s="81">
        <f t="shared" si="46"/>
        <v>0</v>
      </c>
      <c r="N163" s="81">
        <v>0</v>
      </c>
      <c r="O163" s="81">
        <v>0</v>
      </c>
      <c r="P163" s="81">
        <f t="shared" si="43"/>
        <v>0</v>
      </c>
      <c r="Q163" s="80">
        <f>IFERROR(VLOOKUP(C163,O.B.JUNE!$C$7:$K$448,7,0),0)</f>
        <v>0</v>
      </c>
      <c r="R163" s="80">
        <f>IFERROR(VLOOKUP(C163,O.B.JUNE!$C$7:$J$448,8,0),0)</f>
        <v>0</v>
      </c>
      <c r="S163" s="323">
        <f t="shared" si="47"/>
        <v>25</v>
      </c>
      <c r="T163" s="324">
        <v>0</v>
      </c>
      <c r="U163" s="324">
        <v>25</v>
      </c>
      <c r="V163" s="80"/>
      <c r="W163" s="324">
        <v>0</v>
      </c>
      <c r="X163" s="324"/>
      <c r="Y163" s="324">
        <v>0</v>
      </c>
      <c r="Z163" s="80">
        <v>0</v>
      </c>
      <c r="AA163" s="80">
        <f t="shared" si="48"/>
        <v>25</v>
      </c>
      <c r="AB163" s="323">
        <f t="shared" si="49"/>
        <v>0</v>
      </c>
      <c r="AC163" s="80">
        <f t="shared" si="54"/>
        <v>25</v>
      </c>
      <c r="AD163" s="80">
        <f t="shared" si="55"/>
        <v>25</v>
      </c>
      <c r="AE163" s="80"/>
      <c r="AF163" s="80"/>
      <c r="AG163" s="80"/>
      <c r="AH163" s="326">
        <f t="shared" si="50"/>
        <v>0</v>
      </c>
      <c r="AI163" s="326">
        <f t="shared" si="51"/>
        <v>0</v>
      </c>
      <c r="AJ163" s="326">
        <f t="shared" si="52"/>
        <v>0</v>
      </c>
      <c r="AK163" s="326">
        <f t="shared" si="53"/>
        <v>0</v>
      </c>
      <c r="AL163" s="326"/>
      <c r="AM163" s="326"/>
      <c r="AN163" s="326"/>
      <c r="AO163" s="326"/>
      <c r="AP163" s="326"/>
      <c r="AQ163" s="326"/>
      <c r="AR163" s="327"/>
      <c r="AS163" s="504" t="s">
        <v>658</v>
      </c>
      <c r="AT163" s="411"/>
      <c r="AU163" s="411"/>
    </row>
    <row r="164" spans="1:47" s="390" customFormat="1" ht="18.75" customHeight="1">
      <c r="A164" s="167">
        <v>153</v>
      </c>
      <c r="B164" s="79" t="str">
        <f>IFERROR(VLOOKUP(A164,O.B.JUNE!$A$7:$C$448,2,0),0)</f>
        <v>NORDSTROM</v>
      </c>
      <c r="C164" s="174" t="str">
        <f>IFERROR(VLOOKUP(A164,O.B.JUNE!$A$7:$C$448,3,0),0)</f>
        <v>CN380880MI</v>
      </c>
      <c r="D164" s="80">
        <f t="shared" si="44"/>
        <v>0</v>
      </c>
      <c r="E164" s="80">
        <f>IFERROR(VLOOKUP(C164,O.B.JUNE!$C$7:$D$448,2,0),0)</f>
        <v>0</v>
      </c>
      <c r="F164" s="80">
        <v>0</v>
      </c>
      <c r="G164" s="80">
        <f>IFERROR(VLOOKUP(C164,O.B.JUNE!$C$7:$E$448,3,0),0)</f>
        <v>362</v>
      </c>
      <c r="H164" s="80">
        <f t="shared" si="42"/>
        <v>0</v>
      </c>
      <c r="I164" s="80"/>
      <c r="J164" s="80">
        <f t="shared" si="45"/>
        <v>362</v>
      </c>
      <c r="K164" s="80">
        <v>0</v>
      </c>
      <c r="L164" s="80">
        <v>0</v>
      </c>
      <c r="M164" s="81">
        <f t="shared" si="46"/>
        <v>0</v>
      </c>
      <c r="N164" s="81">
        <v>0</v>
      </c>
      <c r="O164" s="81">
        <v>0</v>
      </c>
      <c r="P164" s="81">
        <f t="shared" si="43"/>
        <v>0</v>
      </c>
      <c r="Q164" s="80">
        <f>IFERROR(VLOOKUP(C164,O.B.JUNE!$C$7:$K$448,7,0),0)</f>
        <v>0</v>
      </c>
      <c r="R164" s="80">
        <f>IFERROR(VLOOKUP(C164,O.B.JUNE!$C$7:$J$448,8,0),0)</f>
        <v>0</v>
      </c>
      <c r="S164" s="323">
        <f t="shared" si="47"/>
        <v>362</v>
      </c>
      <c r="T164" s="324">
        <v>0</v>
      </c>
      <c r="U164" s="324">
        <v>362</v>
      </c>
      <c r="V164" s="80"/>
      <c r="W164" s="324">
        <v>0</v>
      </c>
      <c r="X164" s="324"/>
      <c r="Y164" s="324">
        <v>0</v>
      </c>
      <c r="Z164" s="80">
        <v>0</v>
      </c>
      <c r="AA164" s="80">
        <f t="shared" si="48"/>
        <v>362</v>
      </c>
      <c r="AB164" s="323">
        <f t="shared" si="49"/>
        <v>0</v>
      </c>
      <c r="AC164" s="80">
        <f t="shared" si="54"/>
        <v>362</v>
      </c>
      <c r="AD164" s="80">
        <f t="shared" si="55"/>
        <v>362</v>
      </c>
      <c r="AE164" s="80"/>
      <c r="AF164" s="80"/>
      <c r="AG164" s="80"/>
      <c r="AH164" s="326">
        <f t="shared" si="50"/>
        <v>0</v>
      </c>
      <c r="AI164" s="326">
        <f t="shared" si="51"/>
        <v>0</v>
      </c>
      <c r="AJ164" s="326">
        <f t="shared" si="52"/>
        <v>0</v>
      </c>
      <c r="AK164" s="326">
        <f t="shared" si="53"/>
        <v>0</v>
      </c>
      <c r="AL164" s="326"/>
      <c r="AM164" s="326"/>
      <c r="AN164" s="326"/>
      <c r="AO164" s="326"/>
      <c r="AP164" s="326"/>
      <c r="AQ164" s="326"/>
      <c r="AR164" s="327"/>
      <c r="AS164" s="504" t="s">
        <v>658</v>
      </c>
      <c r="AT164" s="411"/>
      <c r="AU164" s="411"/>
    </row>
    <row r="165" spans="1:47" s="390" customFormat="1" ht="18.75" customHeight="1">
      <c r="A165" s="167">
        <v>154</v>
      </c>
      <c r="B165" s="79" t="str">
        <f>IFERROR(VLOOKUP(A165,O.B.JUNE!$A$7:$C$448,2,0),0)</f>
        <v>NORDSTROM</v>
      </c>
      <c r="C165" s="174" t="str">
        <f>IFERROR(VLOOKUP(A165,O.B.JUNE!$A$7:$C$448,3,0),0)</f>
        <v>RK381912MI</v>
      </c>
      <c r="D165" s="80">
        <f t="shared" si="44"/>
        <v>0</v>
      </c>
      <c r="E165" s="80">
        <f>IFERROR(VLOOKUP(C165,O.B.JUNE!$C$7:$D$448,2,0),0)</f>
        <v>0</v>
      </c>
      <c r="F165" s="80">
        <v>0</v>
      </c>
      <c r="G165" s="80">
        <f>IFERROR(VLOOKUP(C165,O.B.JUNE!$C$7:$E$448,3,0),0)</f>
        <v>213</v>
      </c>
      <c r="H165" s="80">
        <f t="shared" si="42"/>
        <v>0</v>
      </c>
      <c r="I165" s="80"/>
      <c r="J165" s="80">
        <f t="shared" si="45"/>
        <v>213</v>
      </c>
      <c r="K165" s="80">
        <v>0</v>
      </c>
      <c r="L165" s="80">
        <v>0</v>
      </c>
      <c r="M165" s="81">
        <f t="shared" si="46"/>
        <v>0</v>
      </c>
      <c r="N165" s="81">
        <v>0</v>
      </c>
      <c r="O165" s="81">
        <v>0</v>
      </c>
      <c r="P165" s="81">
        <f t="shared" ref="P165:P174" si="56">+M165-N165-O165</f>
        <v>0</v>
      </c>
      <c r="Q165" s="80">
        <f>IFERROR(VLOOKUP(C165,O.B.JUNE!$C$7:$K$448,7,0),0)</f>
        <v>0</v>
      </c>
      <c r="R165" s="80">
        <f>IFERROR(VLOOKUP(C165,O.B.JUNE!$C$7:$J$448,8,0),0)</f>
        <v>0</v>
      </c>
      <c r="S165" s="323">
        <f t="shared" si="47"/>
        <v>213</v>
      </c>
      <c r="T165" s="324">
        <v>0</v>
      </c>
      <c r="U165" s="324">
        <v>213</v>
      </c>
      <c r="V165" s="80"/>
      <c r="W165" s="324">
        <v>0</v>
      </c>
      <c r="X165" s="324"/>
      <c r="Y165" s="324">
        <v>0</v>
      </c>
      <c r="Z165" s="80">
        <v>0</v>
      </c>
      <c r="AA165" s="80">
        <f t="shared" si="48"/>
        <v>213</v>
      </c>
      <c r="AB165" s="323">
        <f t="shared" si="49"/>
        <v>0</v>
      </c>
      <c r="AC165" s="80">
        <f t="shared" si="54"/>
        <v>213</v>
      </c>
      <c r="AD165" s="80">
        <f t="shared" si="55"/>
        <v>213</v>
      </c>
      <c r="AE165" s="80"/>
      <c r="AF165" s="80"/>
      <c r="AG165" s="80"/>
      <c r="AH165" s="326">
        <f t="shared" si="50"/>
        <v>0</v>
      </c>
      <c r="AI165" s="326">
        <f t="shared" si="51"/>
        <v>0</v>
      </c>
      <c r="AJ165" s="326">
        <f t="shared" si="52"/>
        <v>0</v>
      </c>
      <c r="AK165" s="326">
        <f t="shared" si="53"/>
        <v>0</v>
      </c>
      <c r="AL165" s="326"/>
      <c r="AM165" s="326"/>
      <c r="AN165" s="326"/>
      <c r="AO165" s="326"/>
      <c r="AP165" s="326"/>
      <c r="AQ165" s="326"/>
      <c r="AR165" s="327"/>
      <c r="AS165" s="504" t="s">
        <v>658</v>
      </c>
      <c r="AT165" s="411"/>
      <c r="AU165" s="411"/>
    </row>
    <row r="166" spans="1:47" s="390" customFormat="1" ht="18.75" customHeight="1">
      <c r="A166" s="167">
        <v>155</v>
      </c>
      <c r="B166" s="79" t="str">
        <f>IFERROR(VLOOKUP(A166,O.B.JUNE!$A$7:$C$448,2,0),0)</f>
        <v>ALFANI</v>
      </c>
      <c r="C166" s="174">
        <f>IFERROR(VLOOKUP(A166,O.B.JUNE!$A$7:$C$448,3,0),0)</f>
        <v>100008562</v>
      </c>
      <c r="D166" s="80">
        <f t="shared" si="44"/>
        <v>0</v>
      </c>
      <c r="E166" s="80">
        <f>IFERROR(VLOOKUP(C166,O.B.JUNE!$C$7:$D$448,2,0),0)</f>
        <v>0</v>
      </c>
      <c r="F166" s="80">
        <v>0</v>
      </c>
      <c r="G166" s="80">
        <f>IFERROR(VLOOKUP(C166,O.B.JUNE!$C$7:$E$448,3,0),0)</f>
        <v>55</v>
      </c>
      <c r="H166" s="80">
        <f t="shared" si="42"/>
        <v>0</v>
      </c>
      <c r="I166" s="80"/>
      <c r="J166" s="80">
        <f t="shared" si="45"/>
        <v>0</v>
      </c>
      <c r="K166" s="80">
        <v>0</v>
      </c>
      <c r="L166" s="80">
        <v>0</v>
      </c>
      <c r="M166" s="81">
        <f t="shared" si="46"/>
        <v>55</v>
      </c>
      <c r="N166" s="81">
        <v>0</v>
      </c>
      <c r="O166" s="81">
        <v>0</v>
      </c>
      <c r="P166" s="81">
        <f t="shared" si="56"/>
        <v>55</v>
      </c>
      <c r="Q166" s="80">
        <f>IFERROR(VLOOKUP(C166,O.B.JUNE!$C$7:$K$448,7,0),0)</f>
        <v>0</v>
      </c>
      <c r="R166" s="80">
        <f>IFERROR(VLOOKUP(C166,O.B.JUNE!$C$7:$J$448,8,0),0)</f>
        <v>0</v>
      </c>
      <c r="S166" s="323">
        <f t="shared" si="47"/>
        <v>0</v>
      </c>
      <c r="T166" s="324">
        <v>0</v>
      </c>
      <c r="U166" s="324"/>
      <c r="V166" s="80"/>
      <c r="W166" s="324">
        <v>0</v>
      </c>
      <c r="X166" s="324"/>
      <c r="Y166" s="324">
        <v>0</v>
      </c>
      <c r="Z166" s="80">
        <v>0</v>
      </c>
      <c r="AA166" s="80">
        <f t="shared" si="48"/>
        <v>0</v>
      </c>
      <c r="AB166" s="323">
        <f t="shared" si="49"/>
        <v>0</v>
      </c>
      <c r="AC166" s="80">
        <f t="shared" si="54"/>
        <v>0</v>
      </c>
      <c r="AD166" s="80">
        <f t="shared" si="55"/>
        <v>0</v>
      </c>
      <c r="AE166" s="80"/>
      <c r="AF166" s="80"/>
      <c r="AG166" s="80"/>
      <c r="AH166" s="326">
        <f t="shared" si="50"/>
        <v>0</v>
      </c>
      <c r="AI166" s="326">
        <f t="shared" si="51"/>
        <v>0</v>
      </c>
      <c r="AJ166" s="326">
        <f t="shared" si="52"/>
        <v>0</v>
      </c>
      <c r="AK166" s="326">
        <f t="shared" si="53"/>
        <v>0</v>
      </c>
      <c r="AL166" s="326"/>
      <c r="AM166" s="326"/>
      <c r="AN166" s="326"/>
      <c r="AO166" s="326"/>
      <c r="AP166" s="326"/>
      <c r="AQ166" s="326"/>
      <c r="AR166" s="327"/>
      <c r="AS166" s="209"/>
      <c r="AT166" s="411"/>
      <c r="AU166" s="411"/>
    </row>
    <row r="167" spans="1:47" s="390" customFormat="1" ht="18.75" customHeight="1">
      <c r="A167" s="167">
        <v>156</v>
      </c>
      <c r="B167" s="79" t="str">
        <f>IFERROR(VLOOKUP(A167,O.B.JUNE!$A$7:$C$448,2,0),0)</f>
        <v>ALFANI</v>
      </c>
      <c r="C167" s="174">
        <f>IFERROR(VLOOKUP(A167,O.B.JUNE!$A$7:$C$448,3,0),0)</f>
        <v>100008572</v>
      </c>
      <c r="D167" s="80">
        <f t="shared" si="44"/>
        <v>0</v>
      </c>
      <c r="E167" s="80">
        <f>IFERROR(VLOOKUP(C167,O.B.JUNE!$C$7:$D$448,2,0),0)</f>
        <v>0</v>
      </c>
      <c r="F167" s="80">
        <v>0</v>
      </c>
      <c r="G167" s="80">
        <f>IFERROR(VLOOKUP(C167,O.B.JUNE!$C$7:$E$448,3,0),0)</f>
        <v>126</v>
      </c>
      <c r="H167" s="80">
        <f t="shared" si="42"/>
        <v>0</v>
      </c>
      <c r="I167" s="80"/>
      <c r="J167" s="80">
        <f t="shared" si="45"/>
        <v>0</v>
      </c>
      <c r="K167" s="80">
        <v>0</v>
      </c>
      <c r="L167" s="80">
        <v>0</v>
      </c>
      <c r="M167" s="81">
        <f t="shared" si="46"/>
        <v>126</v>
      </c>
      <c r="N167" s="81">
        <v>0</v>
      </c>
      <c r="O167" s="81">
        <v>0</v>
      </c>
      <c r="P167" s="81">
        <f t="shared" si="56"/>
        <v>126</v>
      </c>
      <c r="Q167" s="80">
        <f>IFERROR(VLOOKUP(C167,O.B.JUNE!$C$7:$K$448,7,0),0)</f>
        <v>0</v>
      </c>
      <c r="R167" s="80">
        <f>IFERROR(VLOOKUP(C167,O.B.JUNE!$C$7:$J$448,8,0),0)</f>
        <v>0</v>
      </c>
      <c r="S167" s="323">
        <f t="shared" si="47"/>
        <v>0</v>
      </c>
      <c r="T167" s="324">
        <v>0</v>
      </c>
      <c r="U167" s="324"/>
      <c r="V167" s="80"/>
      <c r="W167" s="324">
        <v>0</v>
      </c>
      <c r="X167" s="324"/>
      <c r="Y167" s="324">
        <v>0</v>
      </c>
      <c r="Z167" s="80">
        <v>0</v>
      </c>
      <c r="AA167" s="80">
        <f t="shared" si="48"/>
        <v>0</v>
      </c>
      <c r="AB167" s="323">
        <f t="shared" si="49"/>
        <v>0</v>
      </c>
      <c r="AC167" s="80">
        <f t="shared" si="54"/>
        <v>0</v>
      </c>
      <c r="AD167" s="80">
        <f t="shared" si="55"/>
        <v>0</v>
      </c>
      <c r="AE167" s="80"/>
      <c r="AF167" s="80"/>
      <c r="AG167" s="80"/>
      <c r="AH167" s="326">
        <f t="shared" si="50"/>
        <v>0</v>
      </c>
      <c r="AI167" s="326">
        <f t="shared" si="51"/>
        <v>0</v>
      </c>
      <c r="AJ167" s="326">
        <f t="shared" si="52"/>
        <v>0</v>
      </c>
      <c r="AK167" s="326">
        <f t="shared" si="53"/>
        <v>0</v>
      </c>
      <c r="AL167" s="326"/>
      <c r="AM167" s="326"/>
      <c r="AN167" s="326"/>
      <c r="AO167" s="326"/>
      <c r="AP167" s="326"/>
      <c r="AQ167" s="326"/>
      <c r="AR167" s="327"/>
      <c r="AS167" s="209"/>
      <c r="AT167" s="411"/>
      <c r="AU167" s="411"/>
    </row>
    <row r="168" spans="1:47" s="390" customFormat="1" ht="18.75" customHeight="1">
      <c r="A168" s="167">
        <v>157</v>
      </c>
      <c r="B168" s="79" t="str">
        <f>IFERROR(VLOOKUP(A168,O.B.JUNE!$A$7:$C$448,2,0),0)</f>
        <v>ALFANI</v>
      </c>
      <c r="C168" s="174">
        <f>IFERROR(VLOOKUP(A168,O.B.JUNE!$A$7:$C$448,3,0),0)</f>
        <v>100008587</v>
      </c>
      <c r="D168" s="80">
        <f t="shared" si="44"/>
        <v>0</v>
      </c>
      <c r="E168" s="80">
        <f>IFERROR(VLOOKUP(C168,O.B.JUNE!$C$7:$D$448,2,0),0)</f>
        <v>0</v>
      </c>
      <c r="F168" s="80">
        <v>0</v>
      </c>
      <c r="G168" s="80">
        <f>IFERROR(VLOOKUP(C168,O.B.JUNE!$C$7:$E$448,3,0),0)</f>
        <v>113</v>
      </c>
      <c r="H168" s="80">
        <f t="shared" si="42"/>
        <v>0</v>
      </c>
      <c r="I168" s="80"/>
      <c r="J168" s="80">
        <f t="shared" si="45"/>
        <v>0</v>
      </c>
      <c r="K168" s="80">
        <v>0</v>
      </c>
      <c r="L168" s="80">
        <v>0</v>
      </c>
      <c r="M168" s="81">
        <f t="shared" si="46"/>
        <v>113</v>
      </c>
      <c r="N168" s="81">
        <v>0</v>
      </c>
      <c r="O168" s="81">
        <v>0</v>
      </c>
      <c r="P168" s="81">
        <f t="shared" si="56"/>
        <v>113</v>
      </c>
      <c r="Q168" s="80">
        <f>IFERROR(VLOOKUP(C168,O.B.JUNE!$C$7:$K$448,7,0),0)</f>
        <v>0</v>
      </c>
      <c r="R168" s="80">
        <f>IFERROR(VLOOKUP(C168,O.B.JUNE!$C$7:$J$448,8,0),0)</f>
        <v>0</v>
      </c>
      <c r="S168" s="323">
        <f t="shared" si="47"/>
        <v>0</v>
      </c>
      <c r="T168" s="324">
        <v>0</v>
      </c>
      <c r="U168" s="324"/>
      <c r="V168" s="80"/>
      <c r="W168" s="324">
        <v>0</v>
      </c>
      <c r="X168" s="324"/>
      <c r="Y168" s="324">
        <v>0</v>
      </c>
      <c r="Z168" s="80">
        <v>0</v>
      </c>
      <c r="AA168" s="80">
        <f t="shared" si="48"/>
        <v>0</v>
      </c>
      <c r="AB168" s="323">
        <f t="shared" si="49"/>
        <v>0</v>
      </c>
      <c r="AC168" s="80">
        <f t="shared" si="54"/>
        <v>0</v>
      </c>
      <c r="AD168" s="80">
        <f t="shared" si="55"/>
        <v>0</v>
      </c>
      <c r="AE168" s="80"/>
      <c r="AF168" s="80"/>
      <c r="AG168" s="80"/>
      <c r="AH168" s="326">
        <f t="shared" si="50"/>
        <v>0</v>
      </c>
      <c r="AI168" s="326">
        <f t="shared" si="51"/>
        <v>0</v>
      </c>
      <c r="AJ168" s="326">
        <f t="shared" si="52"/>
        <v>0</v>
      </c>
      <c r="AK168" s="326">
        <f t="shared" si="53"/>
        <v>0</v>
      </c>
      <c r="AL168" s="326"/>
      <c r="AM168" s="326"/>
      <c r="AN168" s="326"/>
      <c r="AO168" s="326"/>
      <c r="AP168" s="326"/>
      <c r="AQ168" s="326"/>
      <c r="AR168" s="327"/>
      <c r="AS168" s="209"/>
      <c r="AT168" s="411"/>
      <c r="AU168" s="411"/>
    </row>
    <row r="169" spans="1:47" s="390" customFormat="1" ht="18.75" customHeight="1">
      <c r="A169" s="167">
        <v>158</v>
      </c>
      <c r="B169" s="79" t="str">
        <f>IFERROR(VLOOKUP(A169,O.B.JUNE!$A$7:$C$448,2,0),0)</f>
        <v>ALFANI</v>
      </c>
      <c r="C169" s="174">
        <f>IFERROR(VLOOKUP(A169,O.B.JUNE!$A$7:$C$448,3,0),0)</f>
        <v>100008588</v>
      </c>
      <c r="D169" s="80">
        <f t="shared" si="44"/>
        <v>0</v>
      </c>
      <c r="E169" s="80">
        <f>IFERROR(VLOOKUP(C169,O.B.JUNE!$C$7:$D$448,2,0),0)</f>
        <v>0</v>
      </c>
      <c r="F169" s="80">
        <v>0</v>
      </c>
      <c r="G169" s="80">
        <f>IFERROR(VLOOKUP(C169,O.B.JUNE!$C$7:$E$448,3,0),0)</f>
        <v>51</v>
      </c>
      <c r="H169" s="80">
        <f t="shared" si="42"/>
        <v>0</v>
      </c>
      <c r="I169" s="80"/>
      <c r="J169" s="80">
        <f t="shared" si="45"/>
        <v>0</v>
      </c>
      <c r="K169" s="80">
        <v>0</v>
      </c>
      <c r="L169" s="80">
        <v>0</v>
      </c>
      <c r="M169" s="81">
        <f t="shared" si="46"/>
        <v>51</v>
      </c>
      <c r="N169" s="81">
        <v>0</v>
      </c>
      <c r="O169" s="81">
        <v>0</v>
      </c>
      <c r="P169" s="81">
        <f t="shared" si="56"/>
        <v>51</v>
      </c>
      <c r="Q169" s="80">
        <f>IFERROR(VLOOKUP(C169,O.B.JUNE!$C$7:$K$448,7,0),0)</f>
        <v>0</v>
      </c>
      <c r="R169" s="80">
        <f>IFERROR(VLOOKUP(C169,O.B.JUNE!$C$7:$J$448,8,0),0)</f>
        <v>0</v>
      </c>
      <c r="S169" s="323">
        <f t="shared" si="47"/>
        <v>0</v>
      </c>
      <c r="T169" s="324">
        <v>0</v>
      </c>
      <c r="U169" s="324"/>
      <c r="V169" s="80"/>
      <c r="W169" s="324">
        <v>0</v>
      </c>
      <c r="X169" s="324"/>
      <c r="Y169" s="324">
        <v>0</v>
      </c>
      <c r="Z169" s="80">
        <v>0</v>
      </c>
      <c r="AA169" s="80">
        <f t="shared" si="48"/>
        <v>0</v>
      </c>
      <c r="AB169" s="323">
        <f t="shared" si="49"/>
        <v>0</v>
      </c>
      <c r="AC169" s="80">
        <f t="shared" si="54"/>
        <v>0</v>
      </c>
      <c r="AD169" s="80">
        <f t="shared" si="55"/>
        <v>0</v>
      </c>
      <c r="AE169" s="80"/>
      <c r="AF169" s="80"/>
      <c r="AG169" s="80"/>
      <c r="AH169" s="326">
        <f t="shared" si="50"/>
        <v>0</v>
      </c>
      <c r="AI169" s="326">
        <f t="shared" si="51"/>
        <v>0</v>
      </c>
      <c r="AJ169" s="326">
        <f t="shared" si="52"/>
        <v>0</v>
      </c>
      <c r="AK169" s="326">
        <f t="shared" si="53"/>
        <v>0</v>
      </c>
      <c r="AL169" s="326"/>
      <c r="AM169" s="326"/>
      <c r="AN169" s="326"/>
      <c r="AO169" s="326"/>
      <c r="AP169" s="326"/>
      <c r="AQ169" s="326"/>
      <c r="AR169" s="327"/>
      <c r="AS169" s="209"/>
      <c r="AT169" s="411"/>
      <c r="AU169" s="411"/>
    </row>
    <row r="170" spans="1:47" s="390" customFormat="1" ht="18.75" customHeight="1">
      <c r="A170" s="167">
        <v>159</v>
      </c>
      <c r="B170" s="79" t="str">
        <f>IFERROR(VLOOKUP(A170,O.B.JUNE!$A$7:$C$448,2,0),0)</f>
        <v>ALFANI</v>
      </c>
      <c r="C170" s="174">
        <f>IFERROR(VLOOKUP(A170,O.B.JUNE!$A$7:$C$448,3,0),0)</f>
        <v>100008624</v>
      </c>
      <c r="D170" s="80">
        <f t="shared" si="44"/>
        <v>0</v>
      </c>
      <c r="E170" s="80">
        <f>IFERROR(VLOOKUP(C170,O.B.JUNE!$C$7:$D$448,2,0),0)</f>
        <v>0</v>
      </c>
      <c r="F170" s="80">
        <v>0</v>
      </c>
      <c r="G170" s="80">
        <f>IFERROR(VLOOKUP(C170,O.B.JUNE!$C$7:$E$448,3,0),0)</f>
        <v>143</v>
      </c>
      <c r="H170" s="80">
        <f t="shared" si="42"/>
        <v>0</v>
      </c>
      <c r="I170" s="80"/>
      <c r="J170" s="80">
        <f t="shared" si="45"/>
        <v>0</v>
      </c>
      <c r="K170" s="80">
        <v>0</v>
      </c>
      <c r="L170" s="80">
        <v>0</v>
      </c>
      <c r="M170" s="81">
        <f t="shared" si="46"/>
        <v>143</v>
      </c>
      <c r="N170" s="81">
        <v>0</v>
      </c>
      <c r="O170" s="81">
        <v>0</v>
      </c>
      <c r="P170" s="81">
        <f t="shared" si="56"/>
        <v>143</v>
      </c>
      <c r="Q170" s="80">
        <f>IFERROR(VLOOKUP(C170,O.B.JUNE!$C$7:$K$448,7,0),0)</f>
        <v>0</v>
      </c>
      <c r="R170" s="80">
        <f>IFERROR(VLOOKUP(C170,O.B.JUNE!$C$7:$J$448,8,0),0)</f>
        <v>0</v>
      </c>
      <c r="S170" s="323">
        <f t="shared" si="47"/>
        <v>0</v>
      </c>
      <c r="T170" s="324">
        <v>0</v>
      </c>
      <c r="U170" s="324"/>
      <c r="V170" s="80"/>
      <c r="W170" s="324">
        <v>0</v>
      </c>
      <c r="X170" s="324"/>
      <c r="Y170" s="324">
        <v>0</v>
      </c>
      <c r="Z170" s="80">
        <v>0</v>
      </c>
      <c r="AA170" s="80">
        <f t="shared" si="48"/>
        <v>0</v>
      </c>
      <c r="AB170" s="323">
        <f t="shared" si="49"/>
        <v>0</v>
      </c>
      <c r="AC170" s="80">
        <f t="shared" si="54"/>
        <v>0</v>
      </c>
      <c r="AD170" s="80">
        <f t="shared" si="55"/>
        <v>0</v>
      </c>
      <c r="AE170" s="80"/>
      <c r="AF170" s="80"/>
      <c r="AG170" s="80"/>
      <c r="AH170" s="326">
        <f t="shared" si="50"/>
        <v>0</v>
      </c>
      <c r="AI170" s="326">
        <f t="shared" si="51"/>
        <v>0</v>
      </c>
      <c r="AJ170" s="326">
        <f t="shared" si="52"/>
        <v>0</v>
      </c>
      <c r="AK170" s="326">
        <f t="shared" si="53"/>
        <v>0</v>
      </c>
      <c r="AL170" s="326"/>
      <c r="AM170" s="326"/>
      <c r="AN170" s="326"/>
      <c r="AO170" s="326"/>
      <c r="AP170" s="326"/>
      <c r="AQ170" s="326"/>
      <c r="AR170" s="327"/>
      <c r="AS170" s="209"/>
      <c r="AT170" s="411"/>
      <c r="AU170" s="411"/>
    </row>
    <row r="171" spans="1:47" s="390" customFormat="1" ht="18.75" customHeight="1">
      <c r="A171" s="167">
        <v>160</v>
      </c>
      <c r="B171" s="79" t="str">
        <f>IFERROR(VLOOKUP(A171,O.B.JUNE!$A$7:$C$448,2,0),0)</f>
        <v>ALFANI</v>
      </c>
      <c r="C171" s="174">
        <f>IFERROR(VLOOKUP(A171,O.B.JUNE!$A$7:$C$448,3,0),0)</f>
        <v>100008652</v>
      </c>
      <c r="D171" s="80">
        <f t="shared" si="44"/>
        <v>0</v>
      </c>
      <c r="E171" s="80">
        <f>IFERROR(VLOOKUP(C171,O.B.JUNE!$C$7:$D$448,2,0),0)</f>
        <v>0</v>
      </c>
      <c r="F171" s="80">
        <v>0</v>
      </c>
      <c r="G171" s="80">
        <f>IFERROR(VLOOKUP(C171,O.B.JUNE!$C$7:$E$448,3,0),0)</f>
        <v>122</v>
      </c>
      <c r="H171" s="80">
        <f t="shared" si="42"/>
        <v>0</v>
      </c>
      <c r="I171" s="80"/>
      <c r="J171" s="80">
        <f t="shared" si="45"/>
        <v>0</v>
      </c>
      <c r="K171" s="80">
        <v>0</v>
      </c>
      <c r="L171" s="80">
        <v>0</v>
      </c>
      <c r="M171" s="81">
        <f t="shared" si="46"/>
        <v>122</v>
      </c>
      <c r="N171" s="81">
        <v>0</v>
      </c>
      <c r="O171" s="81">
        <v>0</v>
      </c>
      <c r="P171" s="81">
        <f t="shared" si="56"/>
        <v>122</v>
      </c>
      <c r="Q171" s="80">
        <f>IFERROR(VLOOKUP(C171,O.B.JUNE!$C$7:$K$448,7,0),0)</f>
        <v>0</v>
      </c>
      <c r="R171" s="80">
        <f>IFERROR(VLOOKUP(C171,O.B.JUNE!$C$7:$J$448,8,0),0)</f>
        <v>0</v>
      </c>
      <c r="S171" s="323">
        <f t="shared" si="47"/>
        <v>0</v>
      </c>
      <c r="T171" s="324">
        <v>0</v>
      </c>
      <c r="U171" s="324"/>
      <c r="V171" s="80"/>
      <c r="W171" s="324">
        <v>0</v>
      </c>
      <c r="X171" s="324"/>
      <c r="Y171" s="324">
        <v>0</v>
      </c>
      <c r="Z171" s="80">
        <v>0</v>
      </c>
      <c r="AA171" s="80">
        <f t="shared" si="48"/>
        <v>0</v>
      </c>
      <c r="AB171" s="323">
        <f t="shared" si="49"/>
        <v>0</v>
      </c>
      <c r="AC171" s="80">
        <f t="shared" si="54"/>
        <v>0</v>
      </c>
      <c r="AD171" s="80">
        <f t="shared" si="55"/>
        <v>0</v>
      </c>
      <c r="AE171" s="80"/>
      <c r="AF171" s="80"/>
      <c r="AG171" s="80"/>
      <c r="AH171" s="326">
        <f t="shared" si="50"/>
        <v>0</v>
      </c>
      <c r="AI171" s="326">
        <f t="shared" si="51"/>
        <v>0</v>
      </c>
      <c r="AJ171" s="326">
        <f t="shared" si="52"/>
        <v>0</v>
      </c>
      <c r="AK171" s="326">
        <f t="shared" si="53"/>
        <v>0</v>
      </c>
      <c r="AL171" s="326"/>
      <c r="AM171" s="326"/>
      <c r="AN171" s="326"/>
      <c r="AO171" s="326"/>
      <c r="AP171" s="326"/>
      <c r="AQ171" s="326"/>
      <c r="AR171" s="327"/>
      <c r="AS171" s="209"/>
      <c r="AT171" s="411"/>
      <c r="AU171" s="411"/>
    </row>
    <row r="172" spans="1:47" s="390" customFormat="1" ht="18.75" customHeight="1">
      <c r="A172" s="167">
        <v>161</v>
      </c>
      <c r="B172" s="79" t="str">
        <f>IFERROR(VLOOKUP(A172,O.B.JUNE!$A$7:$C$448,2,0),0)</f>
        <v>ALFANI</v>
      </c>
      <c r="C172" s="174">
        <f>IFERROR(VLOOKUP(A172,O.B.JUNE!$A$7:$C$448,3,0),0)</f>
        <v>100008653</v>
      </c>
      <c r="D172" s="80">
        <f t="shared" si="44"/>
        <v>0</v>
      </c>
      <c r="E172" s="80">
        <f>IFERROR(VLOOKUP(C172,O.B.JUNE!$C$7:$D$448,2,0),0)</f>
        <v>0</v>
      </c>
      <c r="F172" s="80">
        <v>0</v>
      </c>
      <c r="G172" s="80">
        <f>IFERROR(VLOOKUP(C172,O.B.JUNE!$C$7:$E$448,3,0),0)</f>
        <v>69</v>
      </c>
      <c r="H172" s="80">
        <f t="shared" si="42"/>
        <v>0</v>
      </c>
      <c r="I172" s="80"/>
      <c r="J172" s="80">
        <f t="shared" si="45"/>
        <v>0</v>
      </c>
      <c r="K172" s="80">
        <v>0</v>
      </c>
      <c r="L172" s="80">
        <v>0</v>
      </c>
      <c r="M172" s="81">
        <f t="shared" si="46"/>
        <v>69</v>
      </c>
      <c r="N172" s="81">
        <v>0</v>
      </c>
      <c r="O172" s="81">
        <v>0</v>
      </c>
      <c r="P172" s="81">
        <f t="shared" si="56"/>
        <v>69</v>
      </c>
      <c r="Q172" s="80">
        <f>IFERROR(VLOOKUP(C172,O.B.JUNE!$C$7:$K$448,7,0),0)</f>
        <v>0</v>
      </c>
      <c r="R172" s="80">
        <f>IFERROR(VLOOKUP(C172,O.B.JUNE!$C$7:$J$448,8,0),0)</f>
        <v>0</v>
      </c>
      <c r="S172" s="323">
        <f t="shared" si="47"/>
        <v>0</v>
      </c>
      <c r="T172" s="324">
        <v>0</v>
      </c>
      <c r="U172" s="324"/>
      <c r="V172" s="80"/>
      <c r="W172" s="324">
        <v>0</v>
      </c>
      <c r="X172" s="324"/>
      <c r="Y172" s="324">
        <v>0</v>
      </c>
      <c r="Z172" s="80">
        <v>0</v>
      </c>
      <c r="AA172" s="80">
        <f t="shared" si="48"/>
        <v>0</v>
      </c>
      <c r="AB172" s="323">
        <f t="shared" si="49"/>
        <v>0</v>
      </c>
      <c r="AC172" s="80">
        <f t="shared" si="54"/>
        <v>0</v>
      </c>
      <c r="AD172" s="80">
        <f t="shared" si="55"/>
        <v>0</v>
      </c>
      <c r="AE172" s="80"/>
      <c r="AF172" s="80"/>
      <c r="AG172" s="80"/>
      <c r="AH172" s="326">
        <f t="shared" si="50"/>
        <v>0</v>
      </c>
      <c r="AI172" s="326">
        <f t="shared" si="51"/>
        <v>0</v>
      </c>
      <c r="AJ172" s="326">
        <f t="shared" si="52"/>
        <v>0</v>
      </c>
      <c r="AK172" s="326">
        <f t="shared" si="53"/>
        <v>0</v>
      </c>
      <c r="AL172" s="326"/>
      <c r="AM172" s="326"/>
      <c r="AN172" s="326"/>
      <c r="AO172" s="326"/>
      <c r="AP172" s="326"/>
      <c r="AQ172" s="326"/>
      <c r="AR172" s="327"/>
      <c r="AS172" s="209"/>
      <c r="AT172" s="411"/>
      <c r="AU172" s="411"/>
    </row>
    <row r="173" spans="1:47" s="390" customFormat="1" ht="18.75" customHeight="1">
      <c r="A173" s="167">
        <v>162</v>
      </c>
      <c r="B173" s="79" t="str">
        <f>IFERROR(VLOOKUP(A173,O.B.JUNE!$A$7:$C$448,2,0),0)</f>
        <v>ALFANI</v>
      </c>
      <c r="C173" s="174">
        <f>IFERROR(VLOOKUP(A173,O.B.JUNE!$A$7:$C$448,3,0),0)</f>
        <v>100008702</v>
      </c>
      <c r="D173" s="80">
        <f t="shared" si="44"/>
        <v>0</v>
      </c>
      <c r="E173" s="80">
        <f>IFERROR(VLOOKUP(C173,O.B.JUNE!$C$7:$D$448,2,0),0)</f>
        <v>0</v>
      </c>
      <c r="F173" s="80">
        <v>0</v>
      </c>
      <c r="G173" s="80">
        <f>IFERROR(VLOOKUP(C173,O.B.JUNE!$C$7:$E$448,3,0),0)</f>
        <v>59</v>
      </c>
      <c r="H173" s="80">
        <f t="shared" si="42"/>
        <v>0</v>
      </c>
      <c r="I173" s="80"/>
      <c r="J173" s="80">
        <f t="shared" si="45"/>
        <v>0</v>
      </c>
      <c r="K173" s="80">
        <v>0</v>
      </c>
      <c r="L173" s="80">
        <v>0</v>
      </c>
      <c r="M173" s="81">
        <f t="shared" si="46"/>
        <v>59</v>
      </c>
      <c r="N173" s="81">
        <v>0</v>
      </c>
      <c r="O173" s="81">
        <v>0</v>
      </c>
      <c r="P173" s="81">
        <f t="shared" si="56"/>
        <v>59</v>
      </c>
      <c r="Q173" s="80">
        <f>IFERROR(VLOOKUP(C173,O.B.JUNE!$C$7:$K$448,7,0),0)</f>
        <v>0</v>
      </c>
      <c r="R173" s="80">
        <f>IFERROR(VLOOKUP(C173,O.B.JUNE!$C$7:$J$448,8,0),0)</f>
        <v>0</v>
      </c>
      <c r="S173" s="323">
        <f t="shared" si="47"/>
        <v>0</v>
      </c>
      <c r="T173" s="324">
        <v>0</v>
      </c>
      <c r="U173" s="324"/>
      <c r="V173" s="80"/>
      <c r="W173" s="324">
        <v>0</v>
      </c>
      <c r="X173" s="324"/>
      <c r="Y173" s="324">
        <v>0</v>
      </c>
      <c r="Z173" s="80">
        <v>0</v>
      </c>
      <c r="AA173" s="80">
        <f t="shared" si="48"/>
        <v>0</v>
      </c>
      <c r="AB173" s="323">
        <f t="shared" si="49"/>
        <v>0</v>
      </c>
      <c r="AC173" s="80">
        <f t="shared" si="54"/>
        <v>0</v>
      </c>
      <c r="AD173" s="80">
        <f t="shared" si="55"/>
        <v>0</v>
      </c>
      <c r="AE173" s="80"/>
      <c r="AF173" s="80"/>
      <c r="AG173" s="80"/>
      <c r="AH173" s="326">
        <f t="shared" si="50"/>
        <v>0</v>
      </c>
      <c r="AI173" s="326">
        <f t="shared" si="51"/>
        <v>0</v>
      </c>
      <c r="AJ173" s="326">
        <f t="shared" si="52"/>
        <v>0</v>
      </c>
      <c r="AK173" s="326">
        <f t="shared" si="53"/>
        <v>0</v>
      </c>
      <c r="AL173" s="326"/>
      <c r="AM173" s="326"/>
      <c r="AN173" s="326"/>
      <c r="AO173" s="326"/>
      <c r="AP173" s="326"/>
      <c r="AQ173" s="326"/>
      <c r="AR173" s="327"/>
      <c r="AS173" s="209"/>
      <c r="AT173" s="411"/>
      <c r="AU173" s="411"/>
    </row>
    <row r="174" spans="1:47" s="390" customFormat="1" ht="18.75" customHeight="1">
      <c r="A174" s="167">
        <v>163</v>
      </c>
      <c r="B174" s="79" t="str">
        <f>IFERROR(VLOOKUP(A174,O.B.JUNE!$A$7:$C$448,2,0),0)</f>
        <v>ALFANI</v>
      </c>
      <c r="C174" s="174">
        <f>IFERROR(VLOOKUP(A174,O.B.JUNE!$A$7:$C$448,3,0),0)</f>
        <v>100008703</v>
      </c>
      <c r="D174" s="80">
        <f t="shared" si="44"/>
        <v>0</v>
      </c>
      <c r="E174" s="80">
        <f>IFERROR(VLOOKUP(C174,O.B.JUNE!$C$7:$D$448,2,0),0)</f>
        <v>0</v>
      </c>
      <c r="F174" s="80">
        <v>0</v>
      </c>
      <c r="G174" s="80">
        <f>IFERROR(VLOOKUP(C174,O.B.JUNE!$C$7:$E$448,3,0),0)</f>
        <v>78</v>
      </c>
      <c r="H174" s="80">
        <f t="shared" si="42"/>
        <v>0</v>
      </c>
      <c r="I174" s="80"/>
      <c r="J174" s="80">
        <f t="shared" si="45"/>
        <v>0</v>
      </c>
      <c r="K174" s="80">
        <v>0</v>
      </c>
      <c r="L174" s="80">
        <v>0</v>
      </c>
      <c r="M174" s="81">
        <f t="shared" si="46"/>
        <v>78</v>
      </c>
      <c r="N174" s="81">
        <v>0</v>
      </c>
      <c r="O174" s="81">
        <v>0</v>
      </c>
      <c r="P174" s="81">
        <f t="shared" si="56"/>
        <v>78</v>
      </c>
      <c r="Q174" s="80">
        <f>IFERROR(VLOOKUP(C174,O.B.JUNE!$C$7:$K$448,7,0),0)</f>
        <v>0</v>
      </c>
      <c r="R174" s="80">
        <f>IFERROR(VLOOKUP(C174,O.B.JUNE!$C$7:$J$448,8,0),0)</f>
        <v>0</v>
      </c>
      <c r="S174" s="323">
        <f t="shared" si="47"/>
        <v>0</v>
      </c>
      <c r="T174" s="324">
        <v>0</v>
      </c>
      <c r="U174" s="324"/>
      <c r="V174" s="80"/>
      <c r="W174" s="324">
        <v>0</v>
      </c>
      <c r="X174" s="324"/>
      <c r="Y174" s="324">
        <v>0</v>
      </c>
      <c r="Z174" s="80">
        <v>0</v>
      </c>
      <c r="AA174" s="80">
        <f t="shared" si="48"/>
        <v>0</v>
      </c>
      <c r="AB174" s="323">
        <f t="shared" si="49"/>
        <v>0</v>
      </c>
      <c r="AC174" s="80">
        <f t="shared" si="54"/>
        <v>0</v>
      </c>
      <c r="AD174" s="80">
        <f t="shared" si="55"/>
        <v>0</v>
      </c>
      <c r="AE174" s="80"/>
      <c r="AF174" s="80"/>
      <c r="AG174" s="80"/>
      <c r="AH174" s="326">
        <f t="shared" si="50"/>
        <v>0</v>
      </c>
      <c r="AI174" s="326">
        <f t="shared" si="51"/>
        <v>0</v>
      </c>
      <c r="AJ174" s="326">
        <f t="shared" si="52"/>
        <v>0</v>
      </c>
      <c r="AK174" s="326">
        <f t="shared" si="53"/>
        <v>0</v>
      </c>
      <c r="AL174" s="326"/>
      <c r="AM174" s="326"/>
      <c r="AN174" s="326"/>
      <c r="AO174" s="326"/>
      <c r="AP174" s="326"/>
      <c r="AQ174" s="326"/>
      <c r="AR174" s="327"/>
      <c r="AS174" s="209"/>
      <c r="AT174" s="411"/>
      <c r="AU174" s="411"/>
    </row>
    <row r="175" spans="1:47" s="390" customFormat="1" ht="18.75" customHeight="1">
      <c r="A175" s="167">
        <v>164</v>
      </c>
      <c r="B175" s="79" t="str">
        <f>IFERROR(VLOOKUP(A175,O.B.JUNE!$A$7:$C$448,2,0),0)</f>
        <v>ALFANI</v>
      </c>
      <c r="C175" s="174">
        <f>IFERROR(VLOOKUP(A175,O.B.JUNE!$A$7:$C$448,3,0),0)</f>
        <v>100008704</v>
      </c>
      <c r="D175" s="80">
        <f t="shared" si="44"/>
        <v>0</v>
      </c>
      <c r="E175" s="80">
        <f>IFERROR(VLOOKUP(C175,O.B.JUNE!$C$7:$D$448,2,0),0)</f>
        <v>8432</v>
      </c>
      <c r="F175" s="80">
        <f>VLOOKUP(C175,'CUTTING ON JUNE'!$A$4:$D$316,3,0)</f>
        <v>8432</v>
      </c>
      <c r="G175" s="80">
        <f>IFERROR(VLOOKUP(C175,O.B.JUNE!$C$7:$E$448,3,0),0)</f>
        <v>102</v>
      </c>
      <c r="H175" s="80">
        <f t="shared" si="42"/>
        <v>0</v>
      </c>
      <c r="I175" s="80"/>
      <c r="J175" s="80">
        <f t="shared" si="45"/>
        <v>0</v>
      </c>
      <c r="K175" s="80">
        <v>0</v>
      </c>
      <c r="L175" s="80">
        <v>0</v>
      </c>
      <c r="M175" s="81">
        <f t="shared" si="46"/>
        <v>102</v>
      </c>
      <c r="N175" s="81">
        <v>0</v>
      </c>
      <c r="O175" s="81">
        <v>0</v>
      </c>
      <c r="P175" s="81">
        <f t="shared" si="43"/>
        <v>102</v>
      </c>
      <c r="Q175" s="80">
        <f>IFERROR(VLOOKUP(C175,O.B.JUNE!$C$7:$K$448,7,0),0)</f>
        <v>0</v>
      </c>
      <c r="R175" s="80">
        <f>IFERROR(VLOOKUP(C175,O.B.JUNE!$C$7:$J$448,8,0),0)</f>
        <v>0</v>
      </c>
      <c r="S175" s="323">
        <f t="shared" si="47"/>
        <v>0</v>
      </c>
      <c r="T175" s="324">
        <v>0</v>
      </c>
      <c r="U175" s="324"/>
      <c r="V175" s="80"/>
      <c r="W175" s="324">
        <v>0</v>
      </c>
      <c r="X175" s="324"/>
      <c r="Y175" s="324">
        <v>0</v>
      </c>
      <c r="Z175" s="80">
        <v>0</v>
      </c>
      <c r="AA175" s="80">
        <f t="shared" si="48"/>
        <v>0</v>
      </c>
      <c r="AB175" s="323">
        <f t="shared" si="49"/>
        <v>0</v>
      </c>
      <c r="AC175" s="80">
        <f t="shared" si="54"/>
        <v>0</v>
      </c>
      <c r="AD175" s="80">
        <f t="shared" si="55"/>
        <v>0</v>
      </c>
      <c r="AE175" s="80"/>
      <c r="AF175" s="80"/>
      <c r="AG175" s="80"/>
      <c r="AH175" s="326">
        <f t="shared" si="50"/>
        <v>0</v>
      </c>
      <c r="AI175" s="326">
        <f t="shared" si="51"/>
        <v>0</v>
      </c>
      <c r="AJ175" s="326">
        <f t="shared" si="52"/>
        <v>0</v>
      </c>
      <c r="AK175" s="326">
        <f t="shared" si="53"/>
        <v>0</v>
      </c>
      <c r="AL175" s="326"/>
      <c r="AM175" s="326"/>
      <c r="AN175" s="326"/>
      <c r="AO175" s="326"/>
      <c r="AP175" s="326"/>
      <c r="AQ175" s="326"/>
      <c r="AR175" s="327"/>
      <c r="AS175" s="209"/>
      <c r="AT175" s="411"/>
      <c r="AU175" s="411"/>
    </row>
    <row r="176" spans="1:47" s="390" customFormat="1" ht="18.75" customHeight="1">
      <c r="A176" s="167">
        <v>165</v>
      </c>
      <c r="B176" s="79" t="str">
        <f>IFERROR(VLOOKUP(A176,O.B.JUNE!$A$7:$C$448,2,0),0)</f>
        <v>ALFANI</v>
      </c>
      <c r="C176" s="174">
        <f>IFERROR(VLOOKUP(A176,O.B.JUNE!$A$7:$C$448,3,0),0)</f>
        <v>100008706</v>
      </c>
      <c r="D176" s="80">
        <f t="shared" si="44"/>
        <v>0</v>
      </c>
      <c r="E176" s="80">
        <f>IFERROR(VLOOKUP(C176,O.B.JUNE!$C$7:$D$448,2,0),0)</f>
        <v>0</v>
      </c>
      <c r="F176" s="80">
        <v>0</v>
      </c>
      <c r="G176" s="80">
        <f>IFERROR(VLOOKUP(C176,O.B.JUNE!$C$7:$E$448,3,0),0)</f>
        <v>220</v>
      </c>
      <c r="H176" s="80">
        <f t="shared" si="42"/>
        <v>0</v>
      </c>
      <c r="I176" s="80"/>
      <c r="J176" s="80">
        <f t="shared" si="45"/>
        <v>0</v>
      </c>
      <c r="K176" s="80">
        <v>0</v>
      </c>
      <c r="L176" s="80">
        <v>0</v>
      </c>
      <c r="M176" s="81">
        <f t="shared" si="46"/>
        <v>220</v>
      </c>
      <c r="N176" s="81">
        <v>0</v>
      </c>
      <c r="O176" s="81">
        <v>0</v>
      </c>
      <c r="P176" s="81">
        <f t="shared" ref="P176:P178" si="57">+M176-N176-O176</f>
        <v>220</v>
      </c>
      <c r="Q176" s="80">
        <f>IFERROR(VLOOKUP(C176,O.B.JUNE!$C$7:$K$448,7,0),0)</f>
        <v>0</v>
      </c>
      <c r="R176" s="80">
        <f>IFERROR(VLOOKUP(C176,O.B.JUNE!$C$7:$J$448,8,0),0)</f>
        <v>0</v>
      </c>
      <c r="S176" s="323">
        <f t="shared" si="47"/>
        <v>0</v>
      </c>
      <c r="T176" s="324">
        <v>0</v>
      </c>
      <c r="U176" s="324"/>
      <c r="V176" s="80"/>
      <c r="W176" s="324">
        <v>0</v>
      </c>
      <c r="X176" s="324"/>
      <c r="Y176" s="324">
        <v>0</v>
      </c>
      <c r="Z176" s="80">
        <v>0</v>
      </c>
      <c r="AA176" s="80">
        <f t="shared" si="48"/>
        <v>0</v>
      </c>
      <c r="AB176" s="323">
        <f t="shared" si="49"/>
        <v>0</v>
      </c>
      <c r="AC176" s="80">
        <f t="shared" si="54"/>
        <v>0</v>
      </c>
      <c r="AD176" s="80">
        <f t="shared" si="55"/>
        <v>0</v>
      </c>
      <c r="AE176" s="80"/>
      <c r="AF176" s="80"/>
      <c r="AG176" s="80"/>
      <c r="AH176" s="326">
        <f t="shared" si="50"/>
        <v>0</v>
      </c>
      <c r="AI176" s="326">
        <f t="shared" si="51"/>
        <v>0</v>
      </c>
      <c r="AJ176" s="326">
        <f t="shared" si="52"/>
        <v>0</v>
      </c>
      <c r="AK176" s="326">
        <f t="shared" si="53"/>
        <v>0</v>
      </c>
      <c r="AL176" s="326"/>
      <c r="AM176" s="326"/>
      <c r="AN176" s="326"/>
      <c r="AO176" s="326"/>
      <c r="AP176" s="326"/>
      <c r="AQ176" s="326"/>
      <c r="AR176" s="327"/>
      <c r="AS176" s="209"/>
      <c r="AT176" s="411"/>
      <c r="AU176" s="411"/>
    </row>
    <row r="177" spans="1:47" s="390" customFormat="1" ht="18.75" customHeight="1">
      <c r="A177" s="167">
        <v>166</v>
      </c>
      <c r="B177" s="79" t="str">
        <f>IFERROR(VLOOKUP(A177,O.B.JUNE!$A$7:$C$448,2,0),0)</f>
        <v>ALFANI</v>
      </c>
      <c r="C177" s="174">
        <f>IFERROR(VLOOKUP(A177,O.B.JUNE!$A$7:$C$448,3,0),0)</f>
        <v>100008707</v>
      </c>
      <c r="D177" s="80">
        <f t="shared" si="44"/>
        <v>0</v>
      </c>
      <c r="E177" s="80">
        <f>IFERROR(VLOOKUP(C177,O.B.JUNE!$C$7:$D$448,2,0),0)</f>
        <v>0</v>
      </c>
      <c r="F177" s="80">
        <v>0</v>
      </c>
      <c r="G177" s="80">
        <f>IFERROR(VLOOKUP(C177,O.B.JUNE!$C$7:$E$448,3,0),0)</f>
        <v>275</v>
      </c>
      <c r="H177" s="80">
        <f t="shared" si="42"/>
        <v>0</v>
      </c>
      <c r="I177" s="80"/>
      <c r="J177" s="80">
        <f t="shared" si="45"/>
        <v>0</v>
      </c>
      <c r="K177" s="80">
        <v>0</v>
      </c>
      <c r="L177" s="80">
        <v>0</v>
      </c>
      <c r="M177" s="81">
        <f t="shared" si="46"/>
        <v>275</v>
      </c>
      <c r="N177" s="81">
        <v>0</v>
      </c>
      <c r="O177" s="81">
        <v>183</v>
      </c>
      <c r="P177" s="81">
        <f t="shared" si="57"/>
        <v>92</v>
      </c>
      <c r="Q177" s="80">
        <f>IFERROR(VLOOKUP(C177,O.B.JUNE!$C$7:$K$448,7,0),0)</f>
        <v>0</v>
      </c>
      <c r="R177" s="80">
        <f>IFERROR(VLOOKUP(C177,O.B.JUNE!$C$7:$J$448,8,0),0)</f>
        <v>0</v>
      </c>
      <c r="S177" s="323">
        <f t="shared" si="47"/>
        <v>0</v>
      </c>
      <c r="T177" s="324">
        <v>0</v>
      </c>
      <c r="U177" s="324"/>
      <c r="V177" s="80"/>
      <c r="W177" s="324">
        <v>0</v>
      </c>
      <c r="X177" s="324"/>
      <c r="Y177" s="324">
        <v>0</v>
      </c>
      <c r="Z177" s="80">
        <v>0</v>
      </c>
      <c r="AA177" s="80">
        <f t="shared" si="48"/>
        <v>0</v>
      </c>
      <c r="AB177" s="323">
        <f t="shared" si="49"/>
        <v>0</v>
      </c>
      <c r="AC177" s="80">
        <f t="shared" si="54"/>
        <v>0</v>
      </c>
      <c r="AD177" s="80">
        <f t="shared" si="55"/>
        <v>0</v>
      </c>
      <c r="AE177" s="80"/>
      <c r="AF177" s="80"/>
      <c r="AG177" s="80"/>
      <c r="AH177" s="326">
        <f t="shared" si="50"/>
        <v>0</v>
      </c>
      <c r="AI177" s="326">
        <f t="shared" si="51"/>
        <v>0</v>
      </c>
      <c r="AJ177" s="326">
        <f t="shared" si="52"/>
        <v>0</v>
      </c>
      <c r="AK177" s="326">
        <f t="shared" si="53"/>
        <v>0</v>
      </c>
      <c r="AL177" s="326"/>
      <c r="AM177" s="326"/>
      <c r="AN177" s="326"/>
      <c r="AO177" s="326"/>
      <c r="AP177" s="326"/>
      <c r="AQ177" s="326"/>
      <c r="AR177" s="327"/>
      <c r="AS177" s="209"/>
      <c r="AT177" s="411"/>
      <c r="AU177" s="411"/>
    </row>
    <row r="178" spans="1:47" s="390" customFormat="1" ht="18.75" customHeight="1">
      <c r="A178" s="167">
        <v>167</v>
      </c>
      <c r="B178" s="79" t="str">
        <f>IFERROR(VLOOKUP(A178,O.B.JUNE!$A$7:$C$448,2,0),0)</f>
        <v>ALFANI</v>
      </c>
      <c r="C178" s="174">
        <f>IFERROR(VLOOKUP(A178,O.B.JUNE!$A$7:$C$448,3,0),0)</f>
        <v>100008708</v>
      </c>
      <c r="D178" s="80">
        <f t="shared" si="44"/>
        <v>0</v>
      </c>
      <c r="E178" s="80">
        <f>IFERROR(VLOOKUP(C178,O.B.JUNE!$C$7:$D$448,2,0),0)</f>
        <v>0</v>
      </c>
      <c r="F178" s="80">
        <v>0</v>
      </c>
      <c r="G178" s="80">
        <f>IFERROR(VLOOKUP(C178,O.B.JUNE!$C$7:$E$448,3,0),0)</f>
        <v>97</v>
      </c>
      <c r="H178" s="80">
        <f t="shared" si="42"/>
        <v>0</v>
      </c>
      <c r="I178" s="80"/>
      <c r="J178" s="80">
        <f t="shared" si="45"/>
        <v>0</v>
      </c>
      <c r="K178" s="80">
        <v>0</v>
      </c>
      <c r="L178" s="80">
        <v>0</v>
      </c>
      <c r="M178" s="81">
        <f t="shared" si="46"/>
        <v>97</v>
      </c>
      <c r="N178" s="81">
        <v>0</v>
      </c>
      <c r="O178" s="81">
        <v>0</v>
      </c>
      <c r="P178" s="81">
        <f t="shared" si="57"/>
        <v>97</v>
      </c>
      <c r="Q178" s="80">
        <f>IFERROR(VLOOKUP(C178,O.B.JUNE!$C$7:$K$448,7,0),0)</f>
        <v>0</v>
      </c>
      <c r="R178" s="80">
        <f>IFERROR(VLOOKUP(C178,O.B.JUNE!$C$7:$J$448,8,0),0)</f>
        <v>0</v>
      </c>
      <c r="S178" s="323">
        <f t="shared" si="47"/>
        <v>0</v>
      </c>
      <c r="T178" s="324">
        <v>0</v>
      </c>
      <c r="U178" s="324"/>
      <c r="V178" s="80"/>
      <c r="W178" s="324">
        <v>0</v>
      </c>
      <c r="X178" s="324"/>
      <c r="Y178" s="324">
        <v>0</v>
      </c>
      <c r="Z178" s="80">
        <v>0</v>
      </c>
      <c r="AA178" s="80">
        <f t="shared" si="48"/>
        <v>0</v>
      </c>
      <c r="AB178" s="323">
        <f t="shared" si="49"/>
        <v>0</v>
      </c>
      <c r="AC178" s="80">
        <f t="shared" si="54"/>
        <v>0</v>
      </c>
      <c r="AD178" s="80">
        <f t="shared" si="55"/>
        <v>0</v>
      </c>
      <c r="AE178" s="80"/>
      <c r="AF178" s="80"/>
      <c r="AG178" s="80"/>
      <c r="AH178" s="326">
        <f t="shared" si="50"/>
        <v>0</v>
      </c>
      <c r="AI178" s="326">
        <f t="shared" si="51"/>
        <v>0</v>
      </c>
      <c r="AJ178" s="326">
        <f t="shared" si="52"/>
        <v>0</v>
      </c>
      <c r="AK178" s="326">
        <f t="shared" si="53"/>
        <v>0</v>
      </c>
      <c r="AL178" s="326"/>
      <c r="AM178" s="326"/>
      <c r="AN178" s="326"/>
      <c r="AO178" s="326"/>
      <c r="AP178" s="326"/>
      <c r="AQ178" s="326"/>
      <c r="AR178" s="327"/>
      <c r="AS178" s="209"/>
      <c r="AT178" s="411"/>
      <c r="AU178" s="411"/>
    </row>
    <row r="179" spans="1:47" s="390" customFormat="1" ht="18.75" customHeight="1">
      <c r="A179" s="167">
        <v>168</v>
      </c>
      <c r="B179" s="79" t="str">
        <f>IFERROR(VLOOKUP(A179,O.B.JUNE!$A$7:$C$448,2,0),0)</f>
        <v>ALFANI</v>
      </c>
      <c r="C179" s="174">
        <f>IFERROR(VLOOKUP(A179,O.B.JUNE!$A$7:$C$448,3,0),0)</f>
        <v>100008709</v>
      </c>
      <c r="D179" s="80">
        <f t="shared" si="44"/>
        <v>4892</v>
      </c>
      <c r="E179" s="80">
        <f>IFERROR(VLOOKUP(C179,O.B.JUNE!$C$7:$D$448,2,0),0)</f>
        <v>0</v>
      </c>
      <c r="F179" s="80">
        <f>VLOOKUP(C179,'CUTTING ON JUNE'!$A$4:$D$316,3,0)</f>
        <v>4892</v>
      </c>
      <c r="G179" s="80">
        <f>IFERROR(VLOOKUP(C179,O.B.JUNE!$C$7:$E$448,3,0),0)</f>
        <v>221</v>
      </c>
      <c r="H179" s="80">
        <f t="shared" si="42"/>
        <v>4892</v>
      </c>
      <c r="I179" s="80"/>
      <c r="J179" s="80">
        <f t="shared" si="45"/>
        <v>0</v>
      </c>
      <c r="K179" s="80">
        <v>0</v>
      </c>
      <c r="L179" s="80">
        <v>0</v>
      </c>
      <c r="M179" s="81">
        <f t="shared" si="46"/>
        <v>5113</v>
      </c>
      <c r="N179" s="81">
        <v>0</v>
      </c>
      <c r="O179" s="81">
        <v>653</v>
      </c>
      <c r="P179" s="81">
        <f t="shared" si="43"/>
        <v>4460</v>
      </c>
      <c r="Q179" s="80">
        <f>IFERROR(VLOOKUP(C179,O.B.JUNE!$C$7:$K$448,7,0),0)</f>
        <v>0</v>
      </c>
      <c r="R179" s="80">
        <f>IFERROR(VLOOKUP(C179,O.B.JUNE!$C$7:$J$448,8,0),0)</f>
        <v>0</v>
      </c>
      <c r="S179" s="323">
        <f t="shared" si="47"/>
        <v>0</v>
      </c>
      <c r="T179" s="324">
        <v>0</v>
      </c>
      <c r="U179" s="324"/>
      <c r="V179" s="80"/>
      <c r="W179" s="324">
        <v>0</v>
      </c>
      <c r="X179" s="324"/>
      <c r="Y179" s="324">
        <v>0</v>
      </c>
      <c r="Z179" s="80">
        <v>0</v>
      </c>
      <c r="AA179" s="80">
        <f t="shared" si="48"/>
        <v>0</v>
      </c>
      <c r="AB179" s="323">
        <f t="shared" si="49"/>
        <v>0</v>
      </c>
      <c r="AC179" s="80">
        <f t="shared" si="54"/>
        <v>0</v>
      </c>
      <c r="AD179" s="80">
        <f t="shared" si="55"/>
        <v>0</v>
      </c>
      <c r="AE179" s="80"/>
      <c r="AF179" s="80"/>
      <c r="AG179" s="80"/>
      <c r="AH179" s="326">
        <f t="shared" si="50"/>
        <v>0</v>
      </c>
      <c r="AI179" s="326">
        <f t="shared" si="51"/>
        <v>0</v>
      </c>
      <c r="AJ179" s="326">
        <f t="shared" si="52"/>
        <v>0</v>
      </c>
      <c r="AK179" s="326">
        <f t="shared" si="53"/>
        <v>0</v>
      </c>
      <c r="AL179" s="326"/>
      <c r="AM179" s="326"/>
      <c r="AN179" s="326"/>
      <c r="AO179" s="326"/>
      <c r="AP179" s="326"/>
      <c r="AQ179" s="326"/>
      <c r="AR179" s="327">
        <f>VLOOKUP(C179,'[1]DA HET SAN XUAT'!$D$8:$AJ$419,33,0)</f>
        <v>0</v>
      </c>
      <c r="AS179" s="209"/>
      <c r="AT179" s="411"/>
      <c r="AU179" s="411"/>
    </row>
    <row r="180" spans="1:47" s="390" customFormat="1" ht="18.75" customHeight="1">
      <c r="A180" s="167">
        <v>169</v>
      </c>
      <c r="B180" s="79" t="str">
        <f>IFERROR(VLOOKUP(A180,O.B.JUNE!$A$7:$C$448,2,0),0)</f>
        <v>ALFANI</v>
      </c>
      <c r="C180" s="174">
        <f>IFERROR(VLOOKUP(A180,O.B.JUNE!$A$7:$C$448,3,0),0)</f>
        <v>100008714</v>
      </c>
      <c r="D180" s="80">
        <f t="shared" si="44"/>
        <v>0</v>
      </c>
      <c r="E180" s="80">
        <f>IFERROR(VLOOKUP(C180,O.B.JUNE!$C$7:$D$448,2,0),0)</f>
        <v>0</v>
      </c>
      <c r="F180" s="80">
        <v>0</v>
      </c>
      <c r="G180" s="80">
        <f>IFERROR(VLOOKUP(C180,O.B.JUNE!$C$7:$E$448,3,0),0)</f>
        <v>611</v>
      </c>
      <c r="H180" s="80">
        <f t="shared" si="42"/>
        <v>0</v>
      </c>
      <c r="I180" s="80"/>
      <c r="J180" s="80">
        <f t="shared" si="45"/>
        <v>0</v>
      </c>
      <c r="K180" s="80">
        <v>0</v>
      </c>
      <c r="L180" s="80">
        <v>0</v>
      </c>
      <c r="M180" s="81">
        <f t="shared" si="46"/>
        <v>611</v>
      </c>
      <c r="N180" s="81">
        <v>0</v>
      </c>
      <c r="O180" s="81">
        <v>100</v>
      </c>
      <c r="P180" s="81">
        <f t="shared" ref="P180:P183" si="58">+M180-N180-O180</f>
        <v>511</v>
      </c>
      <c r="Q180" s="80">
        <f>IFERROR(VLOOKUP(C180,O.B.JUNE!$C$7:$K$448,7,0),0)</f>
        <v>0</v>
      </c>
      <c r="R180" s="80">
        <f>IFERROR(VLOOKUP(C180,O.B.JUNE!$C$7:$J$448,8,0),0)</f>
        <v>0</v>
      </c>
      <c r="S180" s="323">
        <f t="shared" si="47"/>
        <v>0</v>
      </c>
      <c r="T180" s="324">
        <v>0</v>
      </c>
      <c r="U180" s="324"/>
      <c r="V180" s="80"/>
      <c r="W180" s="324">
        <v>0</v>
      </c>
      <c r="X180" s="324"/>
      <c r="Y180" s="324">
        <v>0</v>
      </c>
      <c r="Z180" s="80">
        <v>0</v>
      </c>
      <c r="AA180" s="80">
        <f t="shared" si="48"/>
        <v>0</v>
      </c>
      <c r="AB180" s="323">
        <f t="shared" si="49"/>
        <v>0</v>
      </c>
      <c r="AC180" s="80">
        <f t="shared" si="54"/>
        <v>0</v>
      </c>
      <c r="AD180" s="80">
        <f t="shared" si="55"/>
        <v>0</v>
      </c>
      <c r="AE180" s="80"/>
      <c r="AF180" s="80"/>
      <c r="AG180" s="80"/>
      <c r="AH180" s="326">
        <f t="shared" si="50"/>
        <v>0</v>
      </c>
      <c r="AI180" s="326">
        <f t="shared" si="51"/>
        <v>0</v>
      </c>
      <c r="AJ180" s="326">
        <f t="shared" si="52"/>
        <v>0</v>
      </c>
      <c r="AK180" s="326">
        <f t="shared" si="53"/>
        <v>0</v>
      </c>
      <c r="AL180" s="326"/>
      <c r="AM180" s="326"/>
      <c r="AN180" s="326"/>
      <c r="AO180" s="326"/>
      <c r="AP180" s="326"/>
      <c r="AQ180" s="326"/>
      <c r="AR180" s="327"/>
      <c r="AS180" s="209"/>
      <c r="AT180" s="411"/>
      <c r="AU180" s="411"/>
    </row>
    <row r="181" spans="1:47" s="390" customFormat="1" ht="18.75" customHeight="1">
      <c r="A181" s="167">
        <v>170</v>
      </c>
      <c r="B181" s="79" t="str">
        <f>IFERROR(VLOOKUP(A181,O.B.JUNE!$A$7:$C$448,2,0),0)</f>
        <v>ALFANI</v>
      </c>
      <c r="C181" s="174">
        <f>IFERROR(VLOOKUP(A181,O.B.JUNE!$A$7:$C$448,3,0),0)</f>
        <v>100008716</v>
      </c>
      <c r="D181" s="80">
        <f t="shared" si="44"/>
        <v>0</v>
      </c>
      <c r="E181" s="80">
        <f>IFERROR(VLOOKUP(C181,O.B.JUNE!$C$7:$D$448,2,0),0)</f>
        <v>0</v>
      </c>
      <c r="F181" s="80">
        <v>0</v>
      </c>
      <c r="G181" s="80">
        <f>IFERROR(VLOOKUP(C181,O.B.JUNE!$C$7:$E$448,3,0),0)</f>
        <v>78</v>
      </c>
      <c r="H181" s="80">
        <f t="shared" si="42"/>
        <v>0</v>
      </c>
      <c r="I181" s="80"/>
      <c r="J181" s="80">
        <f t="shared" si="45"/>
        <v>0</v>
      </c>
      <c r="K181" s="80">
        <v>0</v>
      </c>
      <c r="L181" s="80">
        <v>0</v>
      </c>
      <c r="M181" s="81">
        <f t="shared" si="46"/>
        <v>78</v>
      </c>
      <c r="N181" s="81">
        <v>0</v>
      </c>
      <c r="O181" s="81">
        <v>23</v>
      </c>
      <c r="P181" s="81">
        <f t="shared" si="58"/>
        <v>55</v>
      </c>
      <c r="Q181" s="80">
        <f>IFERROR(VLOOKUP(C181,O.B.JUNE!$C$7:$K$448,7,0),0)</f>
        <v>0</v>
      </c>
      <c r="R181" s="80">
        <f>IFERROR(VLOOKUP(C181,O.B.JUNE!$C$7:$J$448,8,0),0)</f>
        <v>0</v>
      </c>
      <c r="S181" s="323">
        <f t="shared" si="47"/>
        <v>0</v>
      </c>
      <c r="T181" s="324">
        <v>0</v>
      </c>
      <c r="U181" s="324"/>
      <c r="V181" s="80"/>
      <c r="W181" s="324">
        <v>0</v>
      </c>
      <c r="X181" s="324"/>
      <c r="Y181" s="324">
        <v>0</v>
      </c>
      <c r="Z181" s="80">
        <v>0</v>
      </c>
      <c r="AA181" s="80">
        <f t="shared" si="48"/>
        <v>0</v>
      </c>
      <c r="AB181" s="323">
        <f t="shared" si="49"/>
        <v>0</v>
      </c>
      <c r="AC181" s="80">
        <f t="shared" si="54"/>
        <v>0</v>
      </c>
      <c r="AD181" s="80">
        <f t="shared" si="55"/>
        <v>0</v>
      </c>
      <c r="AE181" s="80"/>
      <c r="AF181" s="80"/>
      <c r="AG181" s="80"/>
      <c r="AH181" s="326">
        <f t="shared" si="50"/>
        <v>0</v>
      </c>
      <c r="AI181" s="326">
        <f t="shared" si="51"/>
        <v>0</v>
      </c>
      <c r="AJ181" s="326">
        <f t="shared" si="52"/>
        <v>0</v>
      </c>
      <c r="AK181" s="326">
        <f t="shared" si="53"/>
        <v>0</v>
      </c>
      <c r="AL181" s="326"/>
      <c r="AM181" s="326"/>
      <c r="AN181" s="326"/>
      <c r="AO181" s="326"/>
      <c r="AP181" s="326"/>
      <c r="AQ181" s="326"/>
      <c r="AR181" s="327"/>
      <c r="AS181" s="209"/>
      <c r="AT181" s="411"/>
      <c r="AU181" s="411"/>
    </row>
    <row r="182" spans="1:47" s="390" customFormat="1" ht="18.75" customHeight="1">
      <c r="A182" s="167">
        <v>171</v>
      </c>
      <c r="B182" s="79" t="str">
        <f>IFERROR(VLOOKUP(A182,O.B.JUNE!$A$7:$C$448,2,0),0)</f>
        <v>ALFANI</v>
      </c>
      <c r="C182" s="174">
        <f>IFERROR(VLOOKUP(A182,O.B.JUNE!$A$7:$C$448,3,0),0)</f>
        <v>100008730</v>
      </c>
      <c r="D182" s="80">
        <f t="shared" si="44"/>
        <v>0</v>
      </c>
      <c r="E182" s="80">
        <f>IFERROR(VLOOKUP(C182,O.B.JUNE!$C$7:$D$448,2,0),0)</f>
        <v>0</v>
      </c>
      <c r="F182" s="80">
        <v>0</v>
      </c>
      <c r="G182" s="80">
        <f>IFERROR(VLOOKUP(C182,O.B.JUNE!$C$7:$E$448,3,0),0)</f>
        <v>130</v>
      </c>
      <c r="H182" s="80">
        <f t="shared" si="42"/>
        <v>0</v>
      </c>
      <c r="I182" s="80"/>
      <c r="J182" s="80">
        <f t="shared" si="45"/>
        <v>0</v>
      </c>
      <c r="K182" s="80">
        <v>0</v>
      </c>
      <c r="L182" s="80">
        <v>0</v>
      </c>
      <c r="M182" s="81">
        <f t="shared" si="46"/>
        <v>130</v>
      </c>
      <c r="N182" s="81">
        <v>0</v>
      </c>
      <c r="O182" s="81">
        <v>0</v>
      </c>
      <c r="P182" s="81">
        <f t="shared" si="58"/>
        <v>130</v>
      </c>
      <c r="Q182" s="80">
        <f>IFERROR(VLOOKUP(C182,O.B.JUNE!$C$7:$K$448,7,0),0)</f>
        <v>0</v>
      </c>
      <c r="R182" s="80">
        <f>IFERROR(VLOOKUP(C182,O.B.JUNE!$C$7:$J$448,8,0),0)</f>
        <v>0</v>
      </c>
      <c r="S182" s="323">
        <f t="shared" si="47"/>
        <v>0</v>
      </c>
      <c r="T182" s="324">
        <v>0</v>
      </c>
      <c r="U182" s="324"/>
      <c r="V182" s="80"/>
      <c r="W182" s="324">
        <v>0</v>
      </c>
      <c r="X182" s="324"/>
      <c r="Y182" s="324">
        <v>0</v>
      </c>
      <c r="Z182" s="80">
        <v>0</v>
      </c>
      <c r="AA182" s="80">
        <f t="shared" si="48"/>
        <v>0</v>
      </c>
      <c r="AB182" s="323">
        <f t="shared" si="49"/>
        <v>0</v>
      </c>
      <c r="AC182" s="80">
        <f t="shared" si="54"/>
        <v>0</v>
      </c>
      <c r="AD182" s="80">
        <f t="shared" si="55"/>
        <v>0</v>
      </c>
      <c r="AE182" s="80"/>
      <c r="AF182" s="80"/>
      <c r="AG182" s="80"/>
      <c r="AH182" s="326">
        <f t="shared" si="50"/>
        <v>0</v>
      </c>
      <c r="AI182" s="326">
        <f t="shared" si="51"/>
        <v>0</v>
      </c>
      <c r="AJ182" s="326">
        <f t="shared" si="52"/>
        <v>0</v>
      </c>
      <c r="AK182" s="326">
        <f t="shared" si="53"/>
        <v>0</v>
      </c>
      <c r="AL182" s="326"/>
      <c r="AM182" s="326"/>
      <c r="AN182" s="326"/>
      <c r="AO182" s="326"/>
      <c r="AP182" s="326"/>
      <c r="AQ182" s="326"/>
      <c r="AR182" s="327">
        <f>VLOOKUP(C182,'[1]DA HET SAN XUAT'!$D$8:$AJ$419,33,0)</f>
        <v>0</v>
      </c>
      <c r="AS182" s="209"/>
      <c r="AT182" s="411"/>
      <c r="AU182" s="411"/>
    </row>
    <row r="183" spans="1:47" s="390" customFormat="1" ht="18.75" customHeight="1">
      <c r="A183" s="167">
        <v>172</v>
      </c>
      <c r="B183" s="79" t="str">
        <f>IFERROR(VLOOKUP(A183,O.B.JUNE!$A$7:$C$448,2,0),0)</f>
        <v>ALFANI</v>
      </c>
      <c r="C183" s="174">
        <f>IFERROR(VLOOKUP(A183,O.B.JUNE!$A$7:$C$448,3,0),0)</f>
        <v>100008747</v>
      </c>
      <c r="D183" s="80">
        <f t="shared" si="44"/>
        <v>0</v>
      </c>
      <c r="E183" s="80">
        <f>IFERROR(VLOOKUP(C183,O.B.JUNE!$C$7:$D$448,2,0),0)</f>
        <v>0</v>
      </c>
      <c r="F183" s="80">
        <v>0</v>
      </c>
      <c r="G183" s="80">
        <f>IFERROR(VLOOKUP(C183,O.B.JUNE!$C$7:$E$448,3,0),0)</f>
        <v>683</v>
      </c>
      <c r="H183" s="80">
        <f t="shared" si="42"/>
        <v>0</v>
      </c>
      <c r="I183" s="80"/>
      <c r="J183" s="80">
        <f t="shared" si="45"/>
        <v>0</v>
      </c>
      <c r="K183" s="80">
        <v>0</v>
      </c>
      <c r="L183" s="80">
        <v>0</v>
      </c>
      <c r="M183" s="81">
        <f t="shared" si="46"/>
        <v>683</v>
      </c>
      <c r="N183" s="81">
        <v>0</v>
      </c>
      <c r="O183" s="81">
        <v>0</v>
      </c>
      <c r="P183" s="81">
        <f t="shared" si="58"/>
        <v>683</v>
      </c>
      <c r="Q183" s="80">
        <f>IFERROR(VLOOKUP(C183,O.B.JUNE!$C$7:$K$448,7,0),0)</f>
        <v>0</v>
      </c>
      <c r="R183" s="80">
        <f>IFERROR(VLOOKUP(C183,O.B.JUNE!$C$7:$J$448,8,0),0)</f>
        <v>0</v>
      </c>
      <c r="S183" s="323">
        <f t="shared" si="47"/>
        <v>0</v>
      </c>
      <c r="T183" s="324">
        <v>0</v>
      </c>
      <c r="U183" s="324"/>
      <c r="V183" s="80"/>
      <c r="W183" s="324">
        <v>0</v>
      </c>
      <c r="X183" s="324"/>
      <c r="Y183" s="324">
        <v>0</v>
      </c>
      <c r="Z183" s="80">
        <v>0</v>
      </c>
      <c r="AA183" s="80">
        <f t="shared" si="48"/>
        <v>0</v>
      </c>
      <c r="AB183" s="323">
        <f t="shared" si="49"/>
        <v>0</v>
      </c>
      <c r="AC183" s="80">
        <f t="shared" si="54"/>
        <v>0</v>
      </c>
      <c r="AD183" s="80">
        <f t="shared" si="55"/>
        <v>0</v>
      </c>
      <c r="AE183" s="80"/>
      <c r="AF183" s="80"/>
      <c r="AG183" s="80"/>
      <c r="AH183" s="326">
        <f t="shared" si="50"/>
        <v>0</v>
      </c>
      <c r="AI183" s="326">
        <f t="shared" si="51"/>
        <v>0</v>
      </c>
      <c r="AJ183" s="326">
        <f t="shared" si="52"/>
        <v>0</v>
      </c>
      <c r="AK183" s="326">
        <f t="shared" si="53"/>
        <v>0</v>
      </c>
      <c r="AL183" s="326"/>
      <c r="AM183" s="326"/>
      <c r="AN183" s="326"/>
      <c r="AO183" s="326"/>
      <c r="AP183" s="326"/>
      <c r="AQ183" s="326"/>
      <c r="AR183" s="327"/>
      <c r="AS183" s="209"/>
      <c r="AT183" s="411"/>
      <c r="AU183" s="411"/>
    </row>
    <row r="184" spans="1:47" s="390" customFormat="1" ht="18.75" customHeight="1">
      <c r="A184" s="167">
        <v>173</v>
      </c>
      <c r="B184" s="79" t="str">
        <f>IFERROR(VLOOKUP(A184,O.B.JUNE!$A$7:$C$448,2,0),0)</f>
        <v>ALFANI</v>
      </c>
      <c r="C184" s="174">
        <f>IFERROR(VLOOKUP(A184,O.B.JUNE!$A$7:$C$448,3,0),0)</f>
        <v>100008749</v>
      </c>
      <c r="D184" s="80">
        <f t="shared" si="44"/>
        <v>5640</v>
      </c>
      <c r="E184" s="80">
        <f>IFERROR(VLOOKUP(C184,O.B.JUNE!$C$7:$D$448,2,0),0)</f>
        <v>0</v>
      </c>
      <c r="F184" s="80">
        <f>VLOOKUP(C184,'CUTTING ON JUNE'!$A$4:$D$316,3,0)</f>
        <v>5640</v>
      </c>
      <c r="G184" s="80">
        <f>IFERROR(VLOOKUP(C184,O.B.JUNE!$C$7:$E$448,3,0),0)</f>
        <v>201</v>
      </c>
      <c r="H184" s="80">
        <f t="shared" si="42"/>
        <v>5640</v>
      </c>
      <c r="I184" s="80"/>
      <c r="J184" s="80">
        <f t="shared" si="45"/>
        <v>0</v>
      </c>
      <c r="K184" s="80">
        <v>0</v>
      </c>
      <c r="L184" s="80">
        <v>0</v>
      </c>
      <c r="M184" s="81">
        <f t="shared" si="46"/>
        <v>5841</v>
      </c>
      <c r="N184" s="81">
        <v>0</v>
      </c>
      <c r="O184" s="81">
        <v>166</v>
      </c>
      <c r="P184" s="81">
        <f t="shared" si="43"/>
        <v>5675</v>
      </c>
      <c r="Q184" s="80">
        <f>IFERROR(VLOOKUP(C184,O.B.JUNE!$C$7:$K$448,7,0),0)</f>
        <v>0</v>
      </c>
      <c r="R184" s="80">
        <f>IFERROR(VLOOKUP(C184,O.B.JUNE!$C$7:$J$448,8,0),0)</f>
        <v>0</v>
      </c>
      <c r="S184" s="323">
        <f t="shared" si="47"/>
        <v>0</v>
      </c>
      <c r="T184" s="324">
        <v>0</v>
      </c>
      <c r="U184" s="324"/>
      <c r="V184" s="80"/>
      <c r="W184" s="324">
        <v>0</v>
      </c>
      <c r="X184" s="324"/>
      <c r="Y184" s="324">
        <v>0</v>
      </c>
      <c r="Z184" s="80">
        <v>0</v>
      </c>
      <c r="AA184" s="80">
        <f t="shared" si="48"/>
        <v>0</v>
      </c>
      <c r="AB184" s="323">
        <f t="shared" si="49"/>
        <v>0</v>
      </c>
      <c r="AC184" s="80">
        <f t="shared" si="54"/>
        <v>0</v>
      </c>
      <c r="AD184" s="80">
        <f t="shared" si="55"/>
        <v>0</v>
      </c>
      <c r="AE184" s="80"/>
      <c r="AF184" s="80"/>
      <c r="AG184" s="80"/>
      <c r="AH184" s="326">
        <f t="shared" si="50"/>
        <v>0</v>
      </c>
      <c r="AI184" s="326">
        <f t="shared" si="51"/>
        <v>0</v>
      </c>
      <c r="AJ184" s="326">
        <f t="shared" si="52"/>
        <v>0</v>
      </c>
      <c r="AK184" s="326">
        <f t="shared" si="53"/>
        <v>0</v>
      </c>
      <c r="AL184" s="326"/>
      <c r="AM184" s="326"/>
      <c r="AN184" s="326"/>
      <c r="AO184" s="326"/>
      <c r="AP184" s="326"/>
      <c r="AQ184" s="326"/>
      <c r="AR184" s="327">
        <f>VLOOKUP(C184,'[1]DA HET SAN XUAT'!$D$8:$AJ$419,33,0)</f>
        <v>0</v>
      </c>
      <c r="AS184" s="209"/>
      <c r="AT184" s="411"/>
      <c r="AU184" s="411"/>
    </row>
    <row r="185" spans="1:47" s="390" customFormat="1" ht="18.75" customHeight="1">
      <c r="A185" s="167">
        <v>174</v>
      </c>
      <c r="B185" s="79" t="str">
        <f>IFERROR(VLOOKUP(A185,O.B.JUNE!$A$7:$C$448,2,0),0)</f>
        <v>ALFANI</v>
      </c>
      <c r="C185" s="174">
        <f>IFERROR(VLOOKUP(A185,O.B.JUNE!$A$7:$C$448,3,0),0)</f>
        <v>100008773</v>
      </c>
      <c r="D185" s="80">
        <f t="shared" si="44"/>
        <v>0</v>
      </c>
      <c r="E185" s="80">
        <f>IFERROR(VLOOKUP(C185,O.B.JUNE!$C$7:$D$448,2,0),0)</f>
        <v>0</v>
      </c>
      <c r="F185" s="80">
        <v>0</v>
      </c>
      <c r="G185" s="80">
        <f>IFERROR(VLOOKUP(C185,O.B.JUNE!$C$7:$E$448,3,0),0)</f>
        <v>70</v>
      </c>
      <c r="H185" s="80">
        <f t="shared" si="42"/>
        <v>0</v>
      </c>
      <c r="I185" s="80"/>
      <c r="J185" s="80">
        <f t="shared" si="45"/>
        <v>0</v>
      </c>
      <c r="K185" s="80">
        <v>0</v>
      </c>
      <c r="L185" s="80">
        <v>0</v>
      </c>
      <c r="M185" s="81">
        <f t="shared" si="46"/>
        <v>70</v>
      </c>
      <c r="N185" s="81">
        <v>0</v>
      </c>
      <c r="O185" s="81">
        <v>0</v>
      </c>
      <c r="P185" s="81">
        <f t="shared" ref="P185" si="59">+M185-N185-O185</f>
        <v>70</v>
      </c>
      <c r="Q185" s="80">
        <f>IFERROR(VLOOKUP(C185,O.B.JUNE!$C$7:$K$448,7,0),0)</f>
        <v>0</v>
      </c>
      <c r="R185" s="80">
        <f>IFERROR(VLOOKUP(C185,O.B.JUNE!$C$7:$J$448,8,0),0)</f>
        <v>0</v>
      </c>
      <c r="S185" s="323">
        <f t="shared" si="47"/>
        <v>0</v>
      </c>
      <c r="T185" s="324">
        <v>0</v>
      </c>
      <c r="U185" s="324"/>
      <c r="V185" s="80"/>
      <c r="W185" s="324">
        <v>0</v>
      </c>
      <c r="X185" s="324"/>
      <c r="Y185" s="324">
        <v>0</v>
      </c>
      <c r="Z185" s="80">
        <v>0</v>
      </c>
      <c r="AA185" s="80">
        <f t="shared" si="48"/>
        <v>0</v>
      </c>
      <c r="AB185" s="323">
        <f t="shared" si="49"/>
        <v>0</v>
      </c>
      <c r="AC185" s="80">
        <f t="shared" si="54"/>
        <v>0</v>
      </c>
      <c r="AD185" s="80">
        <f t="shared" si="55"/>
        <v>0</v>
      </c>
      <c r="AE185" s="80"/>
      <c r="AF185" s="80"/>
      <c r="AG185" s="80"/>
      <c r="AH185" s="326">
        <f t="shared" si="50"/>
        <v>0</v>
      </c>
      <c r="AI185" s="326">
        <f t="shared" si="51"/>
        <v>0</v>
      </c>
      <c r="AJ185" s="326">
        <f t="shared" si="52"/>
        <v>0</v>
      </c>
      <c r="AK185" s="326">
        <f t="shared" si="53"/>
        <v>0</v>
      </c>
      <c r="AL185" s="326"/>
      <c r="AM185" s="326"/>
      <c r="AN185" s="326"/>
      <c r="AO185" s="326"/>
      <c r="AP185" s="326"/>
      <c r="AQ185" s="326"/>
      <c r="AR185" s="327"/>
      <c r="AS185" s="209"/>
      <c r="AT185" s="411"/>
      <c r="AU185" s="411"/>
    </row>
    <row r="186" spans="1:47" s="390" customFormat="1" ht="18.75" customHeight="1">
      <c r="A186" s="167">
        <v>175</v>
      </c>
      <c r="B186" s="79" t="str">
        <f>IFERROR(VLOOKUP(A186,O.B.JUNE!$A$7:$C$448,2,0),0)</f>
        <v>ALFANI</v>
      </c>
      <c r="C186" s="174">
        <f>IFERROR(VLOOKUP(A186,O.B.JUNE!$A$7:$C$448,3,0),0)</f>
        <v>100009618</v>
      </c>
      <c r="D186" s="80">
        <f t="shared" si="44"/>
        <v>1578</v>
      </c>
      <c r="E186" s="80">
        <f>IFERROR(VLOOKUP(C186,O.B.JUNE!$C$7:$D$448,2,0),0)</f>
        <v>0</v>
      </c>
      <c r="F186" s="80">
        <f>VLOOKUP(C186,'CUTTING ON JUNE'!$A$4:$D$316,3,0)</f>
        <v>1578</v>
      </c>
      <c r="G186" s="80">
        <f>IFERROR(VLOOKUP(C186,O.B.JUNE!$C$7:$E$448,3,0),0)</f>
        <v>66</v>
      </c>
      <c r="H186" s="80">
        <f t="shared" si="42"/>
        <v>1578</v>
      </c>
      <c r="I186" s="80"/>
      <c r="J186" s="80">
        <f t="shared" si="45"/>
        <v>1455</v>
      </c>
      <c r="K186" s="80">
        <v>0</v>
      </c>
      <c r="L186" s="80">
        <v>0</v>
      </c>
      <c r="M186" s="81">
        <f t="shared" si="46"/>
        <v>189</v>
      </c>
      <c r="N186" s="81">
        <v>0</v>
      </c>
      <c r="O186" s="81">
        <v>45</v>
      </c>
      <c r="P186" s="81">
        <f t="shared" si="43"/>
        <v>144</v>
      </c>
      <c r="Q186" s="80">
        <f>IFERROR(VLOOKUP(C186,O.B.JUNE!$C$7:$K$448,7,0),0)</f>
        <v>0</v>
      </c>
      <c r="R186" s="80">
        <f>IFERROR(VLOOKUP(C186,O.B.JUNE!$C$7:$J$448,8,0),0)</f>
        <v>0</v>
      </c>
      <c r="S186" s="323">
        <f t="shared" si="47"/>
        <v>1455</v>
      </c>
      <c r="T186" s="324">
        <v>1455</v>
      </c>
      <c r="U186" s="324"/>
      <c r="V186" s="80"/>
      <c r="W186" s="324">
        <v>0</v>
      </c>
      <c r="X186" s="324"/>
      <c r="Y186" s="324">
        <v>0</v>
      </c>
      <c r="Z186" s="80">
        <v>0</v>
      </c>
      <c r="AA186" s="80">
        <f t="shared" si="48"/>
        <v>1455</v>
      </c>
      <c r="AB186" s="323">
        <f t="shared" si="49"/>
        <v>1455</v>
      </c>
      <c r="AC186" s="80">
        <f t="shared" si="54"/>
        <v>0</v>
      </c>
      <c r="AD186" s="80">
        <f t="shared" si="55"/>
        <v>1455</v>
      </c>
      <c r="AE186" s="80"/>
      <c r="AF186" s="80"/>
      <c r="AG186" s="80"/>
      <c r="AH186" s="326">
        <f t="shared" si="50"/>
        <v>0</v>
      </c>
      <c r="AI186" s="326">
        <f t="shared" si="51"/>
        <v>0</v>
      </c>
      <c r="AJ186" s="326">
        <f t="shared" si="52"/>
        <v>0</v>
      </c>
      <c r="AK186" s="326">
        <f t="shared" si="53"/>
        <v>0</v>
      </c>
      <c r="AL186" s="326"/>
      <c r="AM186" s="326"/>
      <c r="AN186" s="326"/>
      <c r="AO186" s="326"/>
      <c r="AP186" s="326"/>
      <c r="AQ186" s="326"/>
      <c r="AR186" s="327"/>
      <c r="AS186" s="209"/>
      <c r="AT186" s="411"/>
      <c r="AU186" s="411"/>
    </row>
    <row r="187" spans="1:47" s="390" customFormat="1" ht="18.75" customHeight="1">
      <c r="A187" s="167">
        <v>176</v>
      </c>
      <c r="B187" s="79" t="str">
        <f>IFERROR(VLOOKUP(A187,O.B.JUNE!$A$7:$C$448,2,0),0)</f>
        <v>ALFANI</v>
      </c>
      <c r="C187" s="174">
        <f>IFERROR(VLOOKUP(A187,O.B.JUNE!$A$7:$C$448,3,0),0)</f>
        <v>100011932</v>
      </c>
      <c r="D187" s="80">
        <f t="shared" si="44"/>
        <v>0</v>
      </c>
      <c r="E187" s="80">
        <f>IFERROR(VLOOKUP(C187,O.B.JUNE!$C$7:$D$448,2,0),0)</f>
        <v>0</v>
      </c>
      <c r="F187" s="80">
        <v>0</v>
      </c>
      <c r="G187" s="80">
        <f>IFERROR(VLOOKUP(C187,O.B.JUNE!$C$7:$E$448,3,0),0)</f>
        <v>11</v>
      </c>
      <c r="H187" s="80">
        <f t="shared" si="42"/>
        <v>0</v>
      </c>
      <c r="I187" s="80"/>
      <c r="J187" s="80">
        <f t="shared" si="45"/>
        <v>0</v>
      </c>
      <c r="K187" s="80">
        <v>0</v>
      </c>
      <c r="L187" s="80">
        <v>0</v>
      </c>
      <c r="M187" s="81">
        <f t="shared" si="46"/>
        <v>11</v>
      </c>
      <c r="N187" s="81">
        <v>0</v>
      </c>
      <c r="O187" s="81">
        <v>0</v>
      </c>
      <c r="P187" s="81">
        <f t="shared" ref="P187:P189" si="60">+M187-N187-O187</f>
        <v>11</v>
      </c>
      <c r="Q187" s="80">
        <f>IFERROR(VLOOKUP(C187,O.B.JUNE!$C$7:$K$448,7,0),0)</f>
        <v>0</v>
      </c>
      <c r="R187" s="80">
        <f>IFERROR(VLOOKUP(C187,O.B.JUNE!$C$7:$J$448,8,0),0)</f>
        <v>0</v>
      </c>
      <c r="S187" s="323">
        <f t="shared" si="47"/>
        <v>0</v>
      </c>
      <c r="T187" s="324">
        <v>0</v>
      </c>
      <c r="U187" s="324"/>
      <c r="V187" s="80"/>
      <c r="W187" s="324">
        <v>0</v>
      </c>
      <c r="X187" s="324"/>
      <c r="Y187" s="324">
        <v>0</v>
      </c>
      <c r="Z187" s="80">
        <v>0</v>
      </c>
      <c r="AA187" s="80">
        <f t="shared" si="48"/>
        <v>0</v>
      </c>
      <c r="AB187" s="323">
        <f t="shared" si="49"/>
        <v>0</v>
      </c>
      <c r="AC187" s="80">
        <f t="shared" si="54"/>
        <v>0</v>
      </c>
      <c r="AD187" s="80">
        <f t="shared" si="55"/>
        <v>0</v>
      </c>
      <c r="AE187" s="80"/>
      <c r="AF187" s="80"/>
      <c r="AG187" s="80"/>
      <c r="AH187" s="326">
        <f t="shared" si="50"/>
        <v>0</v>
      </c>
      <c r="AI187" s="326">
        <f t="shared" si="51"/>
        <v>0</v>
      </c>
      <c r="AJ187" s="326">
        <f t="shared" si="52"/>
        <v>0</v>
      </c>
      <c r="AK187" s="326">
        <f t="shared" si="53"/>
        <v>0</v>
      </c>
      <c r="AL187" s="326"/>
      <c r="AM187" s="326"/>
      <c r="AN187" s="326"/>
      <c r="AO187" s="326"/>
      <c r="AP187" s="326"/>
      <c r="AQ187" s="326"/>
      <c r="AR187" s="327"/>
      <c r="AS187" s="209"/>
      <c r="AT187" s="411"/>
      <c r="AU187" s="411"/>
    </row>
    <row r="188" spans="1:47" s="390" customFormat="1" ht="18.75" customHeight="1">
      <c r="A188" s="167">
        <v>177</v>
      </c>
      <c r="B188" s="79" t="str">
        <f>IFERROR(VLOOKUP(A188,O.B.JUNE!$A$7:$C$448,2,0),0)</f>
        <v>ALFANI</v>
      </c>
      <c r="C188" s="174">
        <f>IFERROR(VLOOKUP(A188,O.B.JUNE!$A$7:$C$448,3,0),0)</f>
        <v>100011935</v>
      </c>
      <c r="D188" s="80">
        <f t="shared" si="44"/>
        <v>0</v>
      </c>
      <c r="E188" s="80">
        <f>IFERROR(VLOOKUP(C188,O.B.JUNE!$C$7:$D$448,2,0),0)</f>
        <v>0</v>
      </c>
      <c r="F188" s="80">
        <v>0</v>
      </c>
      <c r="G188" s="80">
        <f>IFERROR(VLOOKUP(C188,O.B.JUNE!$C$7:$E$448,3,0),0)</f>
        <v>85</v>
      </c>
      <c r="H188" s="80">
        <f t="shared" si="42"/>
        <v>0</v>
      </c>
      <c r="I188" s="80"/>
      <c r="J188" s="80">
        <f t="shared" si="45"/>
        <v>0</v>
      </c>
      <c r="K188" s="80">
        <v>0</v>
      </c>
      <c r="L188" s="80">
        <v>0</v>
      </c>
      <c r="M188" s="81">
        <f t="shared" si="46"/>
        <v>85</v>
      </c>
      <c r="N188" s="81">
        <v>0</v>
      </c>
      <c r="O188" s="81">
        <v>0</v>
      </c>
      <c r="P188" s="81">
        <f t="shared" si="60"/>
        <v>85</v>
      </c>
      <c r="Q188" s="80">
        <f>IFERROR(VLOOKUP(C188,O.B.JUNE!$C$7:$K$448,7,0),0)</f>
        <v>0</v>
      </c>
      <c r="R188" s="80">
        <f>IFERROR(VLOOKUP(C188,O.B.JUNE!$C$7:$J$448,8,0),0)</f>
        <v>0</v>
      </c>
      <c r="S188" s="323">
        <f t="shared" si="47"/>
        <v>0</v>
      </c>
      <c r="T188" s="324">
        <v>0</v>
      </c>
      <c r="U188" s="324"/>
      <c r="V188" s="80"/>
      <c r="W188" s="324">
        <v>0</v>
      </c>
      <c r="X188" s="324"/>
      <c r="Y188" s="324">
        <v>0</v>
      </c>
      <c r="Z188" s="80">
        <v>0</v>
      </c>
      <c r="AA188" s="80">
        <f t="shared" si="48"/>
        <v>0</v>
      </c>
      <c r="AB188" s="323">
        <f t="shared" si="49"/>
        <v>0</v>
      </c>
      <c r="AC188" s="80">
        <f t="shared" si="54"/>
        <v>0</v>
      </c>
      <c r="AD188" s="80">
        <f t="shared" si="55"/>
        <v>0</v>
      </c>
      <c r="AE188" s="80"/>
      <c r="AF188" s="80"/>
      <c r="AG188" s="80"/>
      <c r="AH188" s="326">
        <f t="shared" si="50"/>
        <v>0</v>
      </c>
      <c r="AI188" s="326">
        <f t="shared" si="51"/>
        <v>0</v>
      </c>
      <c r="AJ188" s="326">
        <f t="shared" si="52"/>
        <v>0</v>
      </c>
      <c r="AK188" s="326">
        <f t="shared" si="53"/>
        <v>0</v>
      </c>
      <c r="AL188" s="326"/>
      <c r="AM188" s="326"/>
      <c r="AN188" s="326"/>
      <c r="AO188" s="326"/>
      <c r="AP188" s="326"/>
      <c r="AQ188" s="326"/>
      <c r="AR188" s="327"/>
      <c r="AS188" s="209"/>
      <c r="AT188" s="411"/>
      <c r="AU188" s="411"/>
    </row>
    <row r="189" spans="1:47" s="390" customFormat="1" ht="18.75" customHeight="1">
      <c r="A189" s="167">
        <v>178</v>
      </c>
      <c r="B189" s="79" t="str">
        <f>IFERROR(VLOOKUP(A189,O.B.JUNE!$A$7:$C$448,2,0),0)</f>
        <v>ALFANI</v>
      </c>
      <c r="C189" s="174">
        <f>IFERROR(VLOOKUP(A189,O.B.JUNE!$A$7:$C$448,3,0),0)</f>
        <v>100013594</v>
      </c>
      <c r="D189" s="80">
        <f t="shared" si="44"/>
        <v>0</v>
      </c>
      <c r="E189" s="80">
        <f>IFERROR(VLOOKUP(C189,O.B.JUNE!$C$7:$D$448,2,0),0)</f>
        <v>0</v>
      </c>
      <c r="F189" s="80">
        <v>0</v>
      </c>
      <c r="G189" s="80">
        <f>IFERROR(VLOOKUP(C189,O.B.JUNE!$C$7:$E$448,3,0),0)</f>
        <v>45</v>
      </c>
      <c r="H189" s="80">
        <f t="shared" si="42"/>
        <v>0</v>
      </c>
      <c r="I189" s="80"/>
      <c r="J189" s="80">
        <f t="shared" si="45"/>
        <v>0</v>
      </c>
      <c r="K189" s="80">
        <v>0</v>
      </c>
      <c r="L189" s="80">
        <v>0</v>
      </c>
      <c r="M189" s="81">
        <f t="shared" si="46"/>
        <v>45</v>
      </c>
      <c r="N189" s="81">
        <v>0</v>
      </c>
      <c r="O189" s="81">
        <v>0</v>
      </c>
      <c r="P189" s="81">
        <f t="shared" si="60"/>
        <v>45</v>
      </c>
      <c r="Q189" s="80">
        <f>IFERROR(VLOOKUP(C189,O.B.JUNE!$C$7:$K$448,7,0),0)</f>
        <v>0</v>
      </c>
      <c r="R189" s="80">
        <f>IFERROR(VLOOKUP(C189,O.B.JUNE!$C$7:$J$448,8,0),0)</f>
        <v>0</v>
      </c>
      <c r="S189" s="323">
        <f t="shared" si="47"/>
        <v>0</v>
      </c>
      <c r="T189" s="324">
        <v>0</v>
      </c>
      <c r="U189" s="324"/>
      <c r="V189" s="80"/>
      <c r="W189" s="324">
        <v>0</v>
      </c>
      <c r="X189" s="324"/>
      <c r="Y189" s="324">
        <v>0</v>
      </c>
      <c r="Z189" s="80">
        <v>0</v>
      </c>
      <c r="AA189" s="80">
        <f t="shared" si="48"/>
        <v>0</v>
      </c>
      <c r="AB189" s="323">
        <f t="shared" si="49"/>
        <v>0</v>
      </c>
      <c r="AC189" s="80">
        <f t="shared" si="54"/>
        <v>0</v>
      </c>
      <c r="AD189" s="80">
        <f t="shared" si="55"/>
        <v>0</v>
      </c>
      <c r="AE189" s="80"/>
      <c r="AF189" s="80"/>
      <c r="AG189" s="80"/>
      <c r="AH189" s="326">
        <f t="shared" si="50"/>
        <v>0</v>
      </c>
      <c r="AI189" s="326">
        <f t="shared" si="51"/>
        <v>0</v>
      </c>
      <c r="AJ189" s="326">
        <f t="shared" si="52"/>
        <v>0</v>
      </c>
      <c r="AK189" s="326">
        <f t="shared" si="53"/>
        <v>0</v>
      </c>
      <c r="AL189" s="326"/>
      <c r="AM189" s="326"/>
      <c r="AN189" s="326"/>
      <c r="AO189" s="326"/>
      <c r="AP189" s="326"/>
      <c r="AQ189" s="326"/>
      <c r="AR189" s="327"/>
      <c r="AS189" s="209"/>
      <c r="AT189" s="411"/>
      <c r="AU189" s="411"/>
    </row>
    <row r="190" spans="1:47" s="499" customFormat="1" ht="18.75" customHeight="1">
      <c r="A190" s="490">
        <v>179</v>
      </c>
      <c r="B190" s="491" t="str">
        <f>IFERROR(VLOOKUP(A190,O.B.JUNE!$A$7:$C$448,2,0),0)</f>
        <v>ALFANI</v>
      </c>
      <c r="C190" s="174">
        <f>IFERROR(VLOOKUP(A190,O.B.JUNE!$A$7:$C$448,3,0),0)</f>
        <v>100016320</v>
      </c>
      <c r="D190" s="492">
        <f t="shared" si="44"/>
        <v>0</v>
      </c>
      <c r="E190" s="492">
        <f>IFERROR(VLOOKUP(C190,O.B.JUNE!$C$7:$D$448,2,0),0)</f>
        <v>11804</v>
      </c>
      <c r="F190" s="492">
        <f>VLOOKUP(C190,'CUTTING ON JUNE'!$A$4:$D$316,3,0)</f>
        <v>11804</v>
      </c>
      <c r="G190" s="492">
        <f>IFERROR(VLOOKUP(C190,O.B.JUNE!$C$7:$E$448,3,0),0)</f>
        <v>606</v>
      </c>
      <c r="H190" s="492">
        <f t="shared" si="42"/>
        <v>0</v>
      </c>
      <c r="I190" s="492"/>
      <c r="J190" s="492">
        <f t="shared" si="45"/>
        <v>0</v>
      </c>
      <c r="K190" s="492">
        <v>0</v>
      </c>
      <c r="L190" s="492">
        <v>0</v>
      </c>
      <c r="M190" s="493">
        <f t="shared" si="46"/>
        <v>606</v>
      </c>
      <c r="N190" s="493">
        <v>0</v>
      </c>
      <c r="O190" s="493">
        <v>281</v>
      </c>
      <c r="P190" s="493">
        <f t="shared" si="43"/>
        <v>325</v>
      </c>
      <c r="Q190" s="492">
        <f>IFERROR(VLOOKUP(C190,O.B.JUNE!$C$7:$K$448,7,0),0)</f>
        <v>11506</v>
      </c>
      <c r="R190" s="492">
        <f>IFERROR(VLOOKUP(C190,O.B.JUNE!$C$7:$J$448,8,0),0)</f>
        <v>0</v>
      </c>
      <c r="S190" s="494">
        <f t="shared" si="47"/>
        <v>11506</v>
      </c>
      <c r="T190" s="495">
        <v>0</v>
      </c>
      <c r="U190" s="324"/>
      <c r="V190" s="492"/>
      <c r="W190" s="495">
        <v>11291</v>
      </c>
      <c r="X190" s="495"/>
      <c r="Y190" s="495">
        <v>0</v>
      </c>
      <c r="Z190" s="492">
        <v>5</v>
      </c>
      <c r="AA190" s="492">
        <f t="shared" si="48"/>
        <v>0</v>
      </c>
      <c r="AB190" s="323">
        <f t="shared" si="49"/>
        <v>210</v>
      </c>
      <c r="AC190" s="80">
        <f t="shared" si="54"/>
        <v>5</v>
      </c>
      <c r="AD190" s="492">
        <f t="shared" si="55"/>
        <v>215</v>
      </c>
      <c r="AE190" s="492"/>
      <c r="AF190" s="492"/>
      <c r="AG190" s="492"/>
      <c r="AH190" s="496">
        <f t="shared" si="50"/>
        <v>0</v>
      </c>
      <c r="AI190" s="496">
        <f t="shared" si="51"/>
        <v>0</v>
      </c>
      <c r="AJ190" s="496">
        <f t="shared" si="52"/>
        <v>0</v>
      </c>
      <c r="AK190" s="496">
        <f t="shared" si="53"/>
        <v>0</v>
      </c>
      <c r="AL190" s="326"/>
      <c r="AM190" s="326"/>
      <c r="AN190" s="496"/>
      <c r="AO190" s="326"/>
      <c r="AP190" s="326"/>
      <c r="AQ190" s="496"/>
      <c r="AR190" s="327"/>
      <c r="AS190" s="497"/>
      <c r="AT190" s="498"/>
      <c r="AU190" s="498"/>
    </row>
    <row r="191" spans="1:47" s="390" customFormat="1" ht="18.75" customHeight="1">
      <c r="A191" s="167">
        <v>180</v>
      </c>
      <c r="B191" s="79" t="str">
        <f>IFERROR(VLOOKUP(A191,O.B.JUNE!$A$7:$C$448,2,0),0)</f>
        <v>ALFANI</v>
      </c>
      <c r="C191" s="174">
        <f>IFERROR(VLOOKUP(A191,O.B.JUNE!$A$7:$C$448,3,0),0)</f>
        <v>100016323</v>
      </c>
      <c r="D191" s="80">
        <f t="shared" si="44"/>
        <v>0</v>
      </c>
      <c r="E191" s="80">
        <f>IFERROR(VLOOKUP(C191,O.B.JUNE!$C$7:$D$448,2,0),0)</f>
        <v>0</v>
      </c>
      <c r="F191" s="80">
        <v>0</v>
      </c>
      <c r="G191" s="80">
        <f>IFERROR(VLOOKUP(C191,O.B.JUNE!$C$7:$E$448,3,0),0)</f>
        <v>5</v>
      </c>
      <c r="H191" s="80">
        <f t="shared" si="42"/>
        <v>0</v>
      </c>
      <c r="I191" s="80"/>
      <c r="J191" s="80">
        <f t="shared" si="45"/>
        <v>0</v>
      </c>
      <c r="K191" s="80">
        <v>0</v>
      </c>
      <c r="L191" s="80">
        <v>0</v>
      </c>
      <c r="M191" s="81">
        <f t="shared" si="46"/>
        <v>5</v>
      </c>
      <c r="N191" s="81">
        <v>0</v>
      </c>
      <c r="O191" s="81">
        <v>0</v>
      </c>
      <c r="P191" s="81">
        <f t="shared" ref="P191:P192" si="61">+M191-N191-O191</f>
        <v>5</v>
      </c>
      <c r="Q191" s="80">
        <f>IFERROR(VLOOKUP(C191,O.B.JUNE!$C$7:$K$448,7,0),0)</f>
        <v>0</v>
      </c>
      <c r="R191" s="80">
        <f>IFERROR(VLOOKUP(C191,O.B.JUNE!$C$7:$J$448,8,0),0)</f>
        <v>0</v>
      </c>
      <c r="S191" s="323">
        <f t="shared" si="47"/>
        <v>0</v>
      </c>
      <c r="T191" s="324">
        <v>0</v>
      </c>
      <c r="U191" s="324"/>
      <c r="V191" s="80"/>
      <c r="W191" s="324">
        <v>0</v>
      </c>
      <c r="X191" s="324"/>
      <c r="Y191" s="324">
        <v>0</v>
      </c>
      <c r="Z191" s="80">
        <v>0</v>
      </c>
      <c r="AA191" s="80">
        <f t="shared" si="48"/>
        <v>0</v>
      </c>
      <c r="AB191" s="323">
        <f t="shared" si="49"/>
        <v>0</v>
      </c>
      <c r="AC191" s="80">
        <f t="shared" si="54"/>
        <v>0</v>
      </c>
      <c r="AD191" s="80">
        <f t="shared" si="55"/>
        <v>0</v>
      </c>
      <c r="AE191" s="80"/>
      <c r="AF191" s="80"/>
      <c r="AG191" s="80"/>
      <c r="AH191" s="326">
        <f t="shared" si="50"/>
        <v>0</v>
      </c>
      <c r="AI191" s="326">
        <f t="shared" si="51"/>
        <v>0</v>
      </c>
      <c r="AJ191" s="326">
        <f t="shared" si="52"/>
        <v>0</v>
      </c>
      <c r="AK191" s="326">
        <f t="shared" si="53"/>
        <v>0</v>
      </c>
      <c r="AL191" s="326"/>
      <c r="AM191" s="326"/>
      <c r="AN191" s="326"/>
      <c r="AO191" s="326"/>
      <c r="AP191" s="326"/>
      <c r="AQ191" s="326"/>
      <c r="AR191" s="327"/>
      <c r="AS191" s="209"/>
      <c r="AT191" s="411"/>
      <c r="AU191" s="411"/>
    </row>
    <row r="192" spans="1:47" s="390" customFormat="1" ht="18.75" customHeight="1">
      <c r="A192" s="167">
        <v>181</v>
      </c>
      <c r="B192" s="79" t="str">
        <f>IFERROR(VLOOKUP(A192,O.B.JUNE!$A$7:$C$448,2,0),0)</f>
        <v>ALFANI</v>
      </c>
      <c r="C192" s="174">
        <f>IFERROR(VLOOKUP(A192,O.B.JUNE!$A$7:$C$448,3,0),0)</f>
        <v>100016362</v>
      </c>
      <c r="D192" s="80">
        <f t="shared" si="44"/>
        <v>0</v>
      </c>
      <c r="E192" s="80">
        <f>IFERROR(VLOOKUP(C192,O.B.JUNE!$C$7:$D$448,2,0),0)</f>
        <v>0</v>
      </c>
      <c r="F192" s="80">
        <v>0</v>
      </c>
      <c r="G192" s="80">
        <f>IFERROR(VLOOKUP(C192,O.B.JUNE!$C$7:$E$448,3,0),0)</f>
        <v>110</v>
      </c>
      <c r="H192" s="80">
        <f t="shared" si="42"/>
        <v>0</v>
      </c>
      <c r="I192" s="80"/>
      <c r="J192" s="80">
        <f t="shared" si="45"/>
        <v>0</v>
      </c>
      <c r="K192" s="80">
        <v>0</v>
      </c>
      <c r="L192" s="80">
        <v>0</v>
      </c>
      <c r="M192" s="81">
        <f t="shared" si="46"/>
        <v>110</v>
      </c>
      <c r="N192" s="81">
        <v>0</v>
      </c>
      <c r="O192" s="81">
        <v>0</v>
      </c>
      <c r="P192" s="81">
        <f t="shared" si="61"/>
        <v>110</v>
      </c>
      <c r="Q192" s="80">
        <f>IFERROR(VLOOKUP(C192,O.B.JUNE!$C$7:$K$448,7,0),0)</f>
        <v>0</v>
      </c>
      <c r="R192" s="80">
        <f>IFERROR(VLOOKUP(C192,O.B.JUNE!$C$7:$J$448,8,0),0)</f>
        <v>0</v>
      </c>
      <c r="S192" s="323">
        <f t="shared" si="47"/>
        <v>0</v>
      </c>
      <c r="T192" s="324">
        <v>0</v>
      </c>
      <c r="U192" s="324"/>
      <c r="V192" s="80"/>
      <c r="W192" s="324">
        <v>0</v>
      </c>
      <c r="X192" s="324"/>
      <c r="Y192" s="324">
        <v>0</v>
      </c>
      <c r="Z192" s="80">
        <v>0</v>
      </c>
      <c r="AA192" s="80">
        <f t="shared" si="48"/>
        <v>0</v>
      </c>
      <c r="AB192" s="323">
        <f t="shared" si="49"/>
        <v>0</v>
      </c>
      <c r="AC192" s="80">
        <f t="shared" si="54"/>
        <v>0</v>
      </c>
      <c r="AD192" s="80">
        <f t="shared" si="55"/>
        <v>0</v>
      </c>
      <c r="AE192" s="80"/>
      <c r="AF192" s="80"/>
      <c r="AG192" s="80"/>
      <c r="AH192" s="326">
        <f t="shared" si="50"/>
        <v>0</v>
      </c>
      <c r="AI192" s="326">
        <f t="shared" si="51"/>
        <v>0</v>
      </c>
      <c r="AJ192" s="326">
        <f t="shared" si="52"/>
        <v>0</v>
      </c>
      <c r="AK192" s="326">
        <f t="shared" si="53"/>
        <v>0</v>
      </c>
      <c r="AL192" s="326"/>
      <c r="AM192" s="326"/>
      <c r="AN192" s="326"/>
      <c r="AO192" s="326"/>
      <c r="AP192" s="326"/>
      <c r="AQ192" s="326"/>
      <c r="AR192" s="327"/>
      <c r="AS192" s="209"/>
      <c r="AT192" s="411"/>
      <c r="AU192" s="411"/>
    </row>
    <row r="193" spans="1:47" s="390" customFormat="1" ht="18.75" customHeight="1">
      <c r="A193" s="167">
        <v>182</v>
      </c>
      <c r="B193" s="79" t="str">
        <f>IFERROR(VLOOKUP(A193,O.B.JUNE!$A$7:$C$448,2,0),0)</f>
        <v>ALFANI</v>
      </c>
      <c r="C193" s="174">
        <f>IFERROR(VLOOKUP(A193,O.B.JUNE!$A$7:$C$448,3,0),0)</f>
        <v>100017250</v>
      </c>
      <c r="D193" s="80">
        <f t="shared" si="44"/>
        <v>1043</v>
      </c>
      <c r="E193" s="80">
        <f>IFERROR(VLOOKUP(C193,O.B.JUNE!$C$7:$D$448,2,0),0)</f>
        <v>0</v>
      </c>
      <c r="F193" s="80">
        <f>VLOOKUP(C193,'CUTTING ON JUNE'!$A$4:$D$316,3,0)</f>
        <v>1043</v>
      </c>
      <c r="G193" s="80">
        <f>IFERROR(VLOOKUP(C193,O.B.JUNE!$C$7:$E$448,3,0),0)</f>
        <v>12</v>
      </c>
      <c r="H193" s="80">
        <f t="shared" si="42"/>
        <v>1043</v>
      </c>
      <c r="I193" s="80"/>
      <c r="J193" s="80">
        <f t="shared" si="45"/>
        <v>0</v>
      </c>
      <c r="K193" s="80">
        <v>0</v>
      </c>
      <c r="L193" s="80">
        <v>0</v>
      </c>
      <c r="M193" s="81">
        <f t="shared" si="46"/>
        <v>1055</v>
      </c>
      <c r="N193" s="81">
        <v>0</v>
      </c>
      <c r="O193" s="81">
        <v>990</v>
      </c>
      <c r="P193" s="81">
        <f t="shared" si="43"/>
        <v>65</v>
      </c>
      <c r="Q193" s="80">
        <f>IFERROR(VLOOKUP(C193,O.B.JUNE!$C$7:$K$448,7,0),0)</f>
        <v>0</v>
      </c>
      <c r="R193" s="80">
        <f>IFERROR(VLOOKUP(C193,O.B.JUNE!$C$7:$J$448,8,0),0)</f>
        <v>0</v>
      </c>
      <c r="S193" s="323">
        <f t="shared" si="47"/>
        <v>0</v>
      </c>
      <c r="T193" s="324">
        <v>0</v>
      </c>
      <c r="U193" s="324"/>
      <c r="V193" s="80"/>
      <c r="W193" s="324">
        <v>0</v>
      </c>
      <c r="X193" s="324"/>
      <c r="Y193" s="324">
        <v>0</v>
      </c>
      <c r="Z193" s="80">
        <v>0</v>
      </c>
      <c r="AA193" s="80">
        <f t="shared" si="48"/>
        <v>0</v>
      </c>
      <c r="AB193" s="323">
        <f t="shared" si="49"/>
        <v>0</v>
      </c>
      <c r="AC193" s="80">
        <f t="shared" si="54"/>
        <v>0</v>
      </c>
      <c r="AD193" s="80">
        <f t="shared" si="55"/>
        <v>0</v>
      </c>
      <c r="AE193" s="80"/>
      <c r="AF193" s="80"/>
      <c r="AG193" s="80"/>
      <c r="AH193" s="326">
        <f t="shared" si="50"/>
        <v>0</v>
      </c>
      <c r="AI193" s="326">
        <f t="shared" si="51"/>
        <v>0</v>
      </c>
      <c r="AJ193" s="326">
        <f t="shared" si="52"/>
        <v>0</v>
      </c>
      <c r="AK193" s="326">
        <f t="shared" si="53"/>
        <v>0</v>
      </c>
      <c r="AL193" s="326"/>
      <c r="AM193" s="326"/>
      <c r="AN193" s="326"/>
      <c r="AO193" s="326"/>
      <c r="AP193" s="326"/>
      <c r="AQ193" s="326"/>
      <c r="AR193" s="327">
        <f>VLOOKUP(C193,'[1]DA HET SAN XUAT'!$D$8:$AJ$419,33,0)</f>
        <v>0</v>
      </c>
      <c r="AS193" s="209"/>
      <c r="AT193" s="411"/>
      <c r="AU193" s="411"/>
    </row>
    <row r="194" spans="1:47" s="390" customFormat="1" ht="18.75" customHeight="1">
      <c r="A194" s="167">
        <v>183</v>
      </c>
      <c r="B194" s="79" t="str">
        <f>IFERROR(VLOOKUP(A194,O.B.JUNE!$A$7:$C$448,2,0),0)</f>
        <v>ALFANI</v>
      </c>
      <c r="C194" s="174">
        <f>IFERROR(VLOOKUP(A194,O.B.JUNE!$A$7:$C$448,3,0),0)</f>
        <v>100017251</v>
      </c>
      <c r="D194" s="80">
        <f t="shared" si="44"/>
        <v>0</v>
      </c>
      <c r="E194" s="80">
        <f>IFERROR(VLOOKUP(C194,O.B.JUNE!$C$7:$D$448,2,0),0)</f>
        <v>0</v>
      </c>
      <c r="F194" s="80">
        <v>0</v>
      </c>
      <c r="G194" s="80">
        <f>IFERROR(VLOOKUP(C194,O.B.JUNE!$C$7:$E$448,3,0),0)</f>
        <v>8</v>
      </c>
      <c r="H194" s="80">
        <f t="shared" si="42"/>
        <v>0</v>
      </c>
      <c r="I194" s="80"/>
      <c r="J194" s="80">
        <f t="shared" si="45"/>
        <v>0</v>
      </c>
      <c r="K194" s="80">
        <v>0</v>
      </c>
      <c r="L194" s="80">
        <v>0</v>
      </c>
      <c r="M194" s="81">
        <f t="shared" si="46"/>
        <v>8</v>
      </c>
      <c r="N194" s="81">
        <v>0</v>
      </c>
      <c r="O194" s="81">
        <v>0</v>
      </c>
      <c r="P194" s="81">
        <f t="shared" ref="P194:P209" si="62">+M194-N194-O194</f>
        <v>8</v>
      </c>
      <c r="Q194" s="80">
        <f>IFERROR(VLOOKUP(C194,O.B.JUNE!$C$7:$K$448,7,0),0)</f>
        <v>0</v>
      </c>
      <c r="R194" s="80">
        <f>IFERROR(VLOOKUP(C194,O.B.JUNE!$C$7:$J$448,8,0),0)</f>
        <v>0</v>
      </c>
      <c r="S194" s="323">
        <f t="shared" si="47"/>
        <v>0</v>
      </c>
      <c r="T194" s="324">
        <v>0</v>
      </c>
      <c r="U194" s="324"/>
      <c r="V194" s="80"/>
      <c r="W194" s="324">
        <v>0</v>
      </c>
      <c r="X194" s="324"/>
      <c r="Y194" s="324">
        <v>0</v>
      </c>
      <c r="Z194" s="80">
        <v>0</v>
      </c>
      <c r="AA194" s="80">
        <f t="shared" si="48"/>
        <v>0</v>
      </c>
      <c r="AB194" s="323">
        <f t="shared" si="49"/>
        <v>0</v>
      </c>
      <c r="AC194" s="80">
        <f t="shared" si="54"/>
        <v>0</v>
      </c>
      <c r="AD194" s="80">
        <f t="shared" si="55"/>
        <v>0</v>
      </c>
      <c r="AE194" s="80"/>
      <c r="AF194" s="80"/>
      <c r="AG194" s="80"/>
      <c r="AH194" s="326">
        <f t="shared" si="50"/>
        <v>0</v>
      </c>
      <c r="AI194" s="326">
        <f t="shared" si="51"/>
        <v>0</v>
      </c>
      <c r="AJ194" s="326">
        <f t="shared" si="52"/>
        <v>0</v>
      </c>
      <c r="AK194" s="326">
        <f t="shared" si="53"/>
        <v>0</v>
      </c>
      <c r="AL194" s="326"/>
      <c r="AM194" s="326"/>
      <c r="AN194" s="326"/>
      <c r="AO194" s="326"/>
      <c r="AP194" s="326"/>
      <c r="AQ194" s="326"/>
      <c r="AR194" s="327"/>
      <c r="AS194" s="209"/>
      <c r="AT194" s="411"/>
      <c r="AU194" s="411"/>
    </row>
    <row r="195" spans="1:47" s="390" customFormat="1" ht="18.75" customHeight="1">
      <c r="A195" s="167">
        <v>184</v>
      </c>
      <c r="B195" s="79" t="str">
        <f>IFERROR(VLOOKUP(A195,O.B.JUNE!$A$7:$C$448,2,0),0)</f>
        <v>ALFANI</v>
      </c>
      <c r="C195" s="174">
        <f>IFERROR(VLOOKUP(A195,O.B.JUNE!$A$7:$C$448,3,0),0)</f>
        <v>100017339</v>
      </c>
      <c r="D195" s="80">
        <f t="shared" si="44"/>
        <v>0</v>
      </c>
      <c r="E195" s="80">
        <f>IFERROR(VLOOKUP(C195,O.B.JUNE!$C$7:$D$448,2,0),0)</f>
        <v>0</v>
      </c>
      <c r="F195" s="80">
        <v>0</v>
      </c>
      <c r="G195" s="80">
        <f>IFERROR(VLOOKUP(C195,O.B.JUNE!$C$7:$E$448,3,0),0)</f>
        <v>84</v>
      </c>
      <c r="H195" s="80">
        <f t="shared" si="42"/>
        <v>0</v>
      </c>
      <c r="I195" s="80"/>
      <c r="J195" s="80">
        <f t="shared" si="45"/>
        <v>0</v>
      </c>
      <c r="K195" s="80">
        <v>0</v>
      </c>
      <c r="L195" s="80">
        <v>0</v>
      </c>
      <c r="M195" s="81">
        <f t="shared" si="46"/>
        <v>84</v>
      </c>
      <c r="N195" s="81">
        <v>0</v>
      </c>
      <c r="O195" s="81">
        <v>4</v>
      </c>
      <c r="P195" s="81">
        <f t="shared" si="62"/>
        <v>80</v>
      </c>
      <c r="Q195" s="80">
        <f>IFERROR(VLOOKUP(C195,O.B.JUNE!$C$7:$K$448,7,0),0)</f>
        <v>0</v>
      </c>
      <c r="R195" s="80">
        <f>IFERROR(VLOOKUP(C195,O.B.JUNE!$C$7:$J$448,8,0),0)</f>
        <v>0</v>
      </c>
      <c r="S195" s="323">
        <f t="shared" si="47"/>
        <v>0</v>
      </c>
      <c r="T195" s="324">
        <v>0</v>
      </c>
      <c r="U195" s="324"/>
      <c r="V195" s="80"/>
      <c r="W195" s="324">
        <v>0</v>
      </c>
      <c r="X195" s="324"/>
      <c r="Y195" s="324">
        <v>0</v>
      </c>
      <c r="Z195" s="80">
        <v>0</v>
      </c>
      <c r="AA195" s="80">
        <f t="shared" si="48"/>
        <v>0</v>
      </c>
      <c r="AB195" s="323">
        <f t="shared" si="49"/>
        <v>0</v>
      </c>
      <c r="AC195" s="80">
        <f t="shared" si="54"/>
        <v>0</v>
      </c>
      <c r="AD195" s="80">
        <f t="shared" si="55"/>
        <v>0</v>
      </c>
      <c r="AE195" s="80"/>
      <c r="AF195" s="80"/>
      <c r="AG195" s="80"/>
      <c r="AH195" s="326">
        <f t="shared" si="50"/>
        <v>0</v>
      </c>
      <c r="AI195" s="326">
        <f t="shared" si="51"/>
        <v>0</v>
      </c>
      <c r="AJ195" s="326">
        <f t="shared" si="52"/>
        <v>0</v>
      </c>
      <c r="AK195" s="326">
        <f t="shared" si="53"/>
        <v>0</v>
      </c>
      <c r="AL195" s="326"/>
      <c r="AM195" s="326"/>
      <c r="AN195" s="326"/>
      <c r="AO195" s="326"/>
      <c r="AP195" s="326"/>
      <c r="AQ195" s="326"/>
      <c r="AR195" s="327"/>
      <c r="AS195" s="209"/>
      <c r="AT195" s="411"/>
      <c r="AU195" s="411"/>
    </row>
    <row r="196" spans="1:47" s="390" customFormat="1" ht="18.75" customHeight="1">
      <c r="A196" s="167">
        <v>185</v>
      </c>
      <c r="B196" s="79" t="str">
        <f>IFERROR(VLOOKUP(A196,O.B.JUNE!$A$7:$C$448,2,0),0)</f>
        <v>ALFANI</v>
      </c>
      <c r="C196" s="174">
        <f>IFERROR(VLOOKUP(A196,O.B.JUNE!$A$7:$C$448,3,0),0)</f>
        <v>100018342</v>
      </c>
      <c r="D196" s="80">
        <f t="shared" si="44"/>
        <v>0</v>
      </c>
      <c r="E196" s="80">
        <f>IFERROR(VLOOKUP(C196,O.B.JUNE!$C$7:$D$448,2,0),0)</f>
        <v>0</v>
      </c>
      <c r="F196" s="80">
        <v>0</v>
      </c>
      <c r="G196" s="80">
        <f>IFERROR(VLOOKUP(C196,O.B.JUNE!$C$7:$E$448,3,0),0)</f>
        <v>108</v>
      </c>
      <c r="H196" s="80">
        <f t="shared" si="42"/>
        <v>0</v>
      </c>
      <c r="I196" s="80"/>
      <c r="J196" s="80">
        <f t="shared" si="45"/>
        <v>0</v>
      </c>
      <c r="K196" s="80">
        <v>0</v>
      </c>
      <c r="L196" s="80">
        <v>0</v>
      </c>
      <c r="M196" s="81">
        <f t="shared" si="46"/>
        <v>108</v>
      </c>
      <c r="N196" s="81">
        <v>0</v>
      </c>
      <c r="O196" s="81">
        <v>0</v>
      </c>
      <c r="P196" s="81">
        <f t="shared" si="62"/>
        <v>108</v>
      </c>
      <c r="Q196" s="80">
        <f>IFERROR(VLOOKUP(C196,O.B.JUNE!$C$7:$K$448,7,0),0)</f>
        <v>0</v>
      </c>
      <c r="R196" s="80">
        <f>IFERROR(VLOOKUP(C196,O.B.JUNE!$C$7:$J$448,8,0),0)</f>
        <v>0</v>
      </c>
      <c r="S196" s="323">
        <f t="shared" si="47"/>
        <v>0</v>
      </c>
      <c r="T196" s="324">
        <v>0</v>
      </c>
      <c r="U196" s="324"/>
      <c r="V196" s="80"/>
      <c r="W196" s="324">
        <v>0</v>
      </c>
      <c r="X196" s="324"/>
      <c r="Y196" s="324">
        <v>0</v>
      </c>
      <c r="Z196" s="80">
        <v>0</v>
      </c>
      <c r="AA196" s="80">
        <f t="shared" si="48"/>
        <v>0</v>
      </c>
      <c r="AB196" s="323">
        <f t="shared" si="49"/>
        <v>0</v>
      </c>
      <c r="AC196" s="80">
        <f t="shared" si="54"/>
        <v>0</v>
      </c>
      <c r="AD196" s="80">
        <f t="shared" si="55"/>
        <v>0</v>
      </c>
      <c r="AE196" s="80"/>
      <c r="AF196" s="80"/>
      <c r="AG196" s="80"/>
      <c r="AH196" s="326">
        <f t="shared" si="50"/>
        <v>0</v>
      </c>
      <c r="AI196" s="326">
        <f t="shared" si="51"/>
        <v>0</v>
      </c>
      <c r="AJ196" s="326">
        <f t="shared" si="52"/>
        <v>0</v>
      </c>
      <c r="AK196" s="326">
        <f t="shared" si="53"/>
        <v>0</v>
      </c>
      <c r="AL196" s="326"/>
      <c r="AM196" s="326"/>
      <c r="AN196" s="326"/>
      <c r="AO196" s="326"/>
      <c r="AP196" s="326"/>
      <c r="AQ196" s="326"/>
      <c r="AR196" s="327">
        <f>VLOOKUP(C196,'[1]DA HET SAN XUAT'!$D$8:$AJ$419,33,0)</f>
        <v>0</v>
      </c>
      <c r="AS196" s="209"/>
      <c r="AT196" s="411"/>
      <c r="AU196" s="411"/>
    </row>
    <row r="197" spans="1:47" s="390" customFormat="1" ht="18.75" customHeight="1">
      <c r="A197" s="167">
        <v>186</v>
      </c>
      <c r="B197" s="79" t="str">
        <f>IFERROR(VLOOKUP(A197,O.B.JUNE!$A$7:$C$448,2,0),0)</f>
        <v>STOCK</v>
      </c>
      <c r="C197" s="174" t="str">
        <f>IFERROR(VLOOKUP(A197,O.B.JUNE!$A$7:$C$448,3,0),0)</f>
        <v>S-69717</v>
      </c>
      <c r="D197" s="80">
        <f t="shared" si="44"/>
        <v>0</v>
      </c>
      <c r="E197" s="80">
        <f>IFERROR(VLOOKUP(C197,O.B.JUNE!$C$7:$D$448,2,0),0)</f>
        <v>5784</v>
      </c>
      <c r="F197" s="80">
        <f>VLOOKUP(C197,'CUTTING ON JUNE'!$A$4:$D$316,3,0)</f>
        <v>5784</v>
      </c>
      <c r="G197" s="80">
        <f>IFERROR(VLOOKUP(C197,O.B.JUNE!$C$7:$E$448,3,0),0)</f>
        <v>5784</v>
      </c>
      <c r="H197" s="80">
        <f t="shared" si="42"/>
        <v>0</v>
      </c>
      <c r="I197" s="80"/>
      <c r="J197" s="80">
        <f t="shared" si="45"/>
        <v>5784</v>
      </c>
      <c r="K197" s="80">
        <v>0</v>
      </c>
      <c r="L197" s="80">
        <v>0</v>
      </c>
      <c r="M197" s="81">
        <f t="shared" si="46"/>
        <v>0</v>
      </c>
      <c r="N197" s="81">
        <v>0</v>
      </c>
      <c r="O197" s="81">
        <v>0</v>
      </c>
      <c r="P197" s="81">
        <f t="shared" si="62"/>
        <v>0</v>
      </c>
      <c r="Q197" s="80">
        <f>IFERROR(VLOOKUP(C197,O.B.JUNE!$C$7:$K$448,7,0),0)</f>
        <v>0</v>
      </c>
      <c r="R197" s="80">
        <f>IFERROR(VLOOKUP(C197,O.B.JUNE!$C$7:$J$448,8,0),0)</f>
        <v>0</v>
      </c>
      <c r="S197" s="323">
        <f t="shared" si="47"/>
        <v>5784</v>
      </c>
      <c r="T197" s="324">
        <v>0</v>
      </c>
      <c r="U197" s="324">
        <v>5784</v>
      </c>
      <c r="V197" s="80"/>
      <c r="W197" s="324">
        <v>0</v>
      </c>
      <c r="X197" s="324"/>
      <c r="Y197" s="324">
        <v>0</v>
      </c>
      <c r="Z197" s="80">
        <v>0</v>
      </c>
      <c r="AA197" s="80">
        <f t="shared" si="48"/>
        <v>5784</v>
      </c>
      <c r="AB197" s="323">
        <f t="shared" si="49"/>
        <v>0</v>
      </c>
      <c r="AC197" s="80">
        <f t="shared" si="54"/>
        <v>5784</v>
      </c>
      <c r="AD197" s="80">
        <f t="shared" si="55"/>
        <v>5784</v>
      </c>
      <c r="AE197" s="80"/>
      <c r="AF197" s="80"/>
      <c r="AG197" s="80"/>
      <c r="AH197" s="326">
        <f t="shared" si="50"/>
        <v>0</v>
      </c>
      <c r="AI197" s="326">
        <f t="shared" si="51"/>
        <v>0</v>
      </c>
      <c r="AJ197" s="326">
        <f t="shared" si="52"/>
        <v>0</v>
      </c>
      <c r="AK197" s="326">
        <f t="shared" si="53"/>
        <v>0</v>
      </c>
      <c r="AL197" s="326"/>
      <c r="AM197" s="326"/>
      <c r="AN197" s="326"/>
      <c r="AO197" s="326"/>
      <c r="AP197" s="326"/>
      <c r="AQ197" s="326"/>
      <c r="AR197" s="327"/>
      <c r="AS197" s="504" t="s">
        <v>658</v>
      </c>
      <c r="AT197" s="411"/>
      <c r="AU197" s="411"/>
    </row>
    <row r="198" spans="1:47" s="390" customFormat="1" ht="18.75" customHeight="1">
      <c r="A198" s="167">
        <v>187</v>
      </c>
      <c r="B198" s="79" t="str">
        <f>IFERROR(VLOOKUP(A198,O.B.JUNE!$A$7:$C$448,2,0),0)</f>
        <v>ANN TAYLOR</v>
      </c>
      <c r="C198" s="174">
        <f>IFERROR(VLOOKUP(A198,O.B.JUNE!$A$7:$C$448,3,0),0)</f>
        <v>453088</v>
      </c>
      <c r="D198" s="80">
        <f t="shared" si="44"/>
        <v>0</v>
      </c>
      <c r="E198" s="80">
        <f>IFERROR(VLOOKUP(C198,O.B.JUNE!$C$7:$D$448,2,0),0)</f>
        <v>0</v>
      </c>
      <c r="F198" s="80">
        <v>0</v>
      </c>
      <c r="G198" s="80">
        <f>IFERROR(VLOOKUP(C198,O.B.JUNE!$C$7:$E$448,3,0),0)</f>
        <v>745</v>
      </c>
      <c r="H198" s="80">
        <f t="shared" si="42"/>
        <v>0</v>
      </c>
      <c r="I198" s="80"/>
      <c r="J198" s="80">
        <f t="shared" si="45"/>
        <v>745</v>
      </c>
      <c r="K198" s="80">
        <v>0</v>
      </c>
      <c r="L198" s="80">
        <v>0</v>
      </c>
      <c r="M198" s="81">
        <f t="shared" si="46"/>
        <v>0</v>
      </c>
      <c r="N198" s="81">
        <v>0</v>
      </c>
      <c r="O198" s="81">
        <v>0</v>
      </c>
      <c r="P198" s="81">
        <f t="shared" si="62"/>
        <v>0</v>
      </c>
      <c r="Q198" s="80">
        <f>IFERROR(VLOOKUP(C198,O.B.JUNE!$C$7:$K$448,7,0),0)</f>
        <v>0</v>
      </c>
      <c r="R198" s="80">
        <f>IFERROR(VLOOKUP(C198,O.B.JUNE!$C$7:$J$448,8,0),0)</f>
        <v>0</v>
      </c>
      <c r="S198" s="323">
        <f t="shared" si="47"/>
        <v>745</v>
      </c>
      <c r="T198" s="324">
        <v>0</v>
      </c>
      <c r="U198" s="324">
        <v>745</v>
      </c>
      <c r="V198" s="80"/>
      <c r="W198" s="324">
        <v>0</v>
      </c>
      <c r="X198" s="324"/>
      <c r="Y198" s="324">
        <v>0</v>
      </c>
      <c r="Z198" s="80">
        <v>0</v>
      </c>
      <c r="AA198" s="80">
        <f t="shared" si="48"/>
        <v>745</v>
      </c>
      <c r="AB198" s="323">
        <f t="shared" si="49"/>
        <v>0</v>
      </c>
      <c r="AC198" s="80">
        <f t="shared" si="54"/>
        <v>745</v>
      </c>
      <c r="AD198" s="80">
        <f t="shared" si="55"/>
        <v>745</v>
      </c>
      <c r="AE198" s="80"/>
      <c r="AF198" s="80"/>
      <c r="AG198" s="80"/>
      <c r="AH198" s="326">
        <f t="shared" si="50"/>
        <v>0</v>
      </c>
      <c r="AI198" s="326">
        <f t="shared" si="51"/>
        <v>0</v>
      </c>
      <c r="AJ198" s="326">
        <f t="shared" si="52"/>
        <v>0</v>
      </c>
      <c r="AK198" s="326">
        <f t="shared" si="53"/>
        <v>0</v>
      </c>
      <c r="AL198" s="326"/>
      <c r="AM198" s="326"/>
      <c r="AN198" s="326"/>
      <c r="AO198" s="326"/>
      <c r="AP198" s="326"/>
      <c r="AQ198" s="326"/>
      <c r="AR198" s="327">
        <f>VLOOKUP(C198,'[1]DA HET SAN XUAT'!$D$8:$AJ$419,33,0)</f>
        <v>0</v>
      </c>
      <c r="AS198" s="504" t="s">
        <v>658</v>
      </c>
      <c r="AT198" s="411"/>
      <c r="AU198" s="411"/>
    </row>
    <row r="199" spans="1:47" s="390" customFormat="1" ht="18.75" customHeight="1">
      <c r="A199" s="167">
        <v>188</v>
      </c>
      <c r="B199" s="79" t="str">
        <f>IFERROR(VLOOKUP(A199,O.B.JUNE!$A$7:$C$448,2,0),0)</f>
        <v>ANN TAYLOR</v>
      </c>
      <c r="C199" s="174">
        <f>IFERROR(VLOOKUP(A199,O.B.JUNE!$A$7:$C$448,3,0),0)</f>
        <v>453616</v>
      </c>
      <c r="D199" s="80">
        <f t="shared" si="44"/>
        <v>0</v>
      </c>
      <c r="E199" s="80">
        <f>IFERROR(VLOOKUP(C199,O.B.JUNE!$C$7:$D$448,2,0),0)</f>
        <v>0</v>
      </c>
      <c r="F199" s="80">
        <v>0</v>
      </c>
      <c r="G199" s="80">
        <f>IFERROR(VLOOKUP(C199,O.B.JUNE!$C$7:$E$448,3,0),0)</f>
        <v>312</v>
      </c>
      <c r="H199" s="80">
        <f t="shared" si="42"/>
        <v>0</v>
      </c>
      <c r="I199" s="80"/>
      <c r="J199" s="80">
        <f t="shared" si="45"/>
        <v>312</v>
      </c>
      <c r="K199" s="80">
        <v>0</v>
      </c>
      <c r="L199" s="80">
        <v>0</v>
      </c>
      <c r="M199" s="81">
        <f t="shared" si="46"/>
        <v>0</v>
      </c>
      <c r="N199" s="81">
        <v>0</v>
      </c>
      <c r="O199" s="81">
        <v>0</v>
      </c>
      <c r="P199" s="81">
        <f t="shared" si="62"/>
        <v>0</v>
      </c>
      <c r="Q199" s="80">
        <f>IFERROR(VLOOKUP(C199,O.B.JUNE!$C$7:$K$448,7,0),0)</f>
        <v>0</v>
      </c>
      <c r="R199" s="80">
        <f>IFERROR(VLOOKUP(C199,O.B.JUNE!$C$7:$J$448,8,0),0)</f>
        <v>0</v>
      </c>
      <c r="S199" s="323">
        <f t="shared" si="47"/>
        <v>312</v>
      </c>
      <c r="T199" s="324">
        <v>0</v>
      </c>
      <c r="U199" s="324">
        <v>312</v>
      </c>
      <c r="V199" s="80"/>
      <c r="W199" s="324">
        <v>0</v>
      </c>
      <c r="X199" s="324"/>
      <c r="Y199" s="324">
        <v>0</v>
      </c>
      <c r="Z199" s="80">
        <v>0</v>
      </c>
      <c r="AA199" s="80">
        <f t="shared" si="48"/>
        <v>312</v>
      </c>
      <c r="AB199" s="323">
        <f t="shared" si="49"/>
        <v>0</v>
      </c>
      <c r="AC199" s="80">
        <f t="shared" si="54"/>
        <v>312</v>
      </c>
      <c r="AD199" s="80">
        <f t="shared" si="55"/>
        <v>312</v>
      </c>
      <c r="AE199" s="80"/>
      <c r="AF199" s="80"/>
      <c r="AG199" s="80"/>
      <c r="AH199" s="326">
        <f t="shared" si="50"/>
        <v>0</v>
      </c>
      <c r="AI199" s="326">
        <f t="shared" si="51"/>
        <v>0</v>
      </c>
      <c r="AJ199" s="326">
        <f t="shared" si="52"/>
        <v>0</v>
      </c>
      <c r="AK199" s="326">
        <f t="shared" si="53"/>
        <v>0</v>
      </c>
      <c r="AL199" s="326"/>
      <c r="AM199" s="326"/>
      <c r="AN199" s="326"/>
      <c r="AO199" s="326"/>
      <c r="AP199" s="326"/>
      <c r="AQ199" s="326"/>
      <c r="AR199" s="327">
        <f>VLOOKUP(C199,'[1]DA HET SAN XUAT'!$D$8:$AJ$419,33,0)</f>
        <v>0</v>
      </c>
      <c r="AS199" s="504" t="s">
        <v>658</v>
      </c>
      <c r="AT199" s="411"/>
      <c r="AU199" s="411"/>
    </row>
    <row r="200" spans="1:47" s="390" customFormat="1" ht="18.75" customHeight="1">
      <c r="A200" s="167">
        <v>189</v>
      </c>
      <c r="B200" s="79" t="str">
        <f>IFERROR(VLOOKUP(A200,O.B.JUNE!$A$7:$C$448,2,0),0)</f>
        <v>ANN TAYLOR</v>
      </c>
      <c r="C200" s="174">
        <f>IFERROR(VLOOKUP(A200,O.B.JUNE!$A$7:$C$448,3,0),0)</f>
        <v>453707</v>
      </c>
      <c r="D200" s="80">
        <f t="shared" si="44"/>
        <v>0</v>
      </c>
      <c r="E200" s="80">
        <f>IFERROR(VLOOKUP(C200,O.B.JUNE!$C$7:$D$448,2,0),0)</f>
        <v>0</v>
      </c>
      <c r="F200" s="80">
        <v>0</v>
      </c>
      <c r="G200" s="80">
        <f>IFERROR(VLOOKUP(C200,O.B.JUNE!$C$7:$E$448,3,0),0)</f>
        <v>343</v>
      </c>
      <c r="H200" s="80">
        <f t="shared" si="42"/>
        <v>0</v>
      </c>
      <c r="I200" s="80"/>
      <c r="J200" s="80">
        <f t="shared" si="45"/>
        <v>343</v>
      </c>
      <c r="K200" s="80">
        <v>0</v>
      </c>
      <c r="L200" s="80">
        <v>0</v>
      </c>
      <c r="M200" s="81">
        <f t="shared" si="46"/>
        <v>0</v>
      </c>
      <c r="N200" s="81">
        <v>0</v>
      </c>
      <c r="O200" s="81">
        <v>0</v>
      </c>
      <c r="P200" s="81">
        <f t="shared" si="62"/>
        <v>0</v>
      </c>
      <c r="Q200" s="80">
        <f>IFERROR(VLOOKUP(C200,O.B.JUNE!$C$7:$K$448,7,0),0)</f>
        <v>0</v>
      </c>
      <c r="R200" s="80">
        <f>IFERROR(VLOOKUP(C200,O.B.JUNE!$C$7:$J$448,8,0),0)</f>
        <v>0</v>
      </c>
      <c r="S200" s="323">
        <f t="shared" si="47"/>
        <v>343</v>
      </c>
      <c r="T200" s="324">
        <v>0</v>
      </c>
      <c r="U200" s="324">
        <v>343</v>
      </c>
      <c r="V200" s="80"/>
      <c r="W200" s="324">
        <v>0</v>
      </c>
      <c r="X200" s="324"/>
      <c r="Y200" s="324">
        <v>0</v>
      </c>
      <c r="Z200" s="80">
        <v>0</v>
      </c>
      <c r="AA200" s="80">
        <f t="shared" si="48"/>
        <v>343</v>
      </c>
      <c r="AB200" s="323">
        <f t="shared" si="49"/>
        <v>0</v>
      </c>
      <c r="AC200" s="80">
        <f t="shared" si="54"/>
        <v>343</v>
      </c>
      <c r="AD200" s="80">
        <f t="shared" si="55"/>
        <v>343</v>
      </c>
      <c r="AE200" s="80"/>
      <c r="AF200" s="80"/>
      <c r="AG200" s="80"/>
      <c r="AH200" s="326">
        <f t="shared" si="50"/>
        <v>0</v>
      </c>
      <c r="AI200" s="326">
        <f t="shared" si="51"/>
        <v>0</v>
      </c>
      <c r="AJ200" s="326">
        <f t="shared" si="52"/>
        <v>0</v>
      </c>
      <c r="AK200" s="326">
        <f t="shared" si="53"/>
        <v>0</v>
      </c>
      <c r="AL200" s="326"/>
      <c r="AM200" s="326"/>
      <c r="AN200" s="326"/>
      <c r="AO200" s="326"/>
      <c r="AP200" s="326"/>
      <c r="AQ200" s="326"/>
      <c r="AR200" s="327">
        <f>VLOOKUP(C200,'[1]DA HET SAN XUAT'!$D$8:$AJ$419,33,0)</f>
        <v>0</v>
      </c>
      <c r="AS200" s="504" t="s">
        <v>658</v>
      </c>
      <c r="AT200" s="411"/>
      <c r="AU200" s="411"/>
    </row>
    <row r="201" spans="1:47" s="390" customFormat="1" ht="18.75" customHeight="1">
      <c r="A201" s="167">
        <v>190</v>
      </c>
      <c r="B201" s="79" t="str">
        <f>IFERROR(VLOOKUP(A201,O.B.JUNE!$A$7:$C$448,2,0),0)</f>
        <v>ANN TAYLOR</v>
      </c>
      <c r="C201" s="174">
        <f>IFERROR(VLOOKUP(A201,O.B.JUNE!$A$7:$C$448,3,0),0)</f>
        <v>454208</v>
      </c>
      <c r="D201" s="80">
        <f t="shared" si="44"/>
        <v>0</v>
      </c>
      <c r="E201" s="80">
        <f>IFERROR(VLOOKUP(C201,O.B.JUNE!$C$7:$D$448,2,0),0)</f>
        <v>0</v>
      </c>
      <c r="F201" s="80">
        <v>0</v>
      </c>
      <c r="G201" s="80">
        <f>IFERROR(VLOOKUP(C201,O.B.JUNE!$C$7:$E$448,3,0),0)</f>
        <v>3056</v>
      </c>
      <c r="H201" s="80">
        <f t="shared" si="42"/>
        <v>0</v>
      </c>
      <c r="I201" s="80"/>
      <c r="J201" s="80">
        <f t="shared" si="45"/>
        <v>3056</v>
      </c>
      <c r="K201" s="80">
        <v>0</v>
      </c>
      <c r="L201" s="80">
        <v>0</v>
      </c>
      <c r="M201" s="81">
        <f t="shared" si="46"/>
        <v>0</v>
      </c>
      <c r="N201" s="81">
        <v>0</v>
      </c>
      <c r="O201" s="81">
        <v>0</v>
      </c>
      <c r="P201" s="81">
        <f t="shared" si="62"/>
        <v>0</v>
      </c>
      <c r="Q201" s="80">
        <f>IFERROR(VLOOKUP(C201,O.B.JUNE!$C$7:$K$448,7,0),0)</f>
        <v>0</v>
      </c>
      <c r="R201" s="80">
        <f>IFERROR(VLOOKUP(C201,O.B.JUNE!$C$7:$J$448,8,0),0)</f>
        <v>0</v>
      </c>
      <c r="S201" s="323">
        <f t="shared" si="47"/>
        <v>3056</v>
      </c>
      <c r="T201" s="324">
        <v>0</v>
      </c>
      <c r="U201" s="324">
        <v>3056</v>
      </c>
      <c r="V201" s="80"/>
      <c r="W201" s="324">
        <v>0</v>
      </c>
      <c r="X201" s="324"/>
      <c r="Y201" s="324">
        <v>0</v>
      </c>
      <c r="Z201" s="80">
        <v>0</v>
      </c>
      <c r="AA201" s="80">
        <f t="shared" si="48"/>
        <v>3056</v>
      </c>
      <c r="AB201" s="323">
        <f t="shared" si="49"/>
        <v>0</v>
      </c>
      <c r="AC201" s="80">
        <f t="shared" si="54"/>
        <v>3056</v>
      </c>
      <c r="AD201" s="80">
        <f t="shared" si="55"/>
        <v>3056</v>
      </c>
      <c r="AE201" s="80"/>
      <c r="AF201" s="80"/>
      <c r="AG201" s="80"/>
      <c r="AH201" s="326">
        <f t="shared" si="50"/>
        <v>0</v>
      </c>
      <c r="AI201" s="326">
        <f t="shared" si="51"/>
        <v>0</v>
      </c>
      <c r="AJ201" s="326">
        <f t="shared" si="52"/>
        <v>0</v>
      </c>
      <c r="AK201" s="326">
        <f t="shared" si="53"/>
        <v>0</v>
      </c>
      <c r="AL201" s="326"/>
      <c r="AM201" s="326"/>
      <c r="AN201" s="326"/>
      <c r="AO201" s="326"/>
      <c r="AP201" s="326"/>
      <c r="AQ201" s="326"/>
      <c r="AR201" s="327">
        <f>VLOOKUP(C201,'[1]DA HET SAN XUAT'!$D$8:$AJ$419,33,0)</f>
        <v>0</v>
      </c>
      <c r="AS201" s="504" t="s">
        <v>658</v>
      </c>
      <c r="AT201" s="411"/>
      <c r="AU201" s="411"/>
    </row>
    <row r="202" spans="1:47" s="390" customFormat="1" ht="18.75" customHeight="1">
      <c r="A202" s="167">
        <v>191</v>
      </c>
      <c r="B202" s="79" t="str">
        <f>IFERROR(VLOOKUP(A202,O.B.JUNE!$A$7:$C$448,2,0),0)</f>
        <v>ANN TAYLOR</v>
      </c>
      <c r="C202" s="174">
        <f>IFERROR(VLOOKUP(A202,O.B.JUNE!$A$7:$C$448,3,0),0)</f>
        <v>455769</v>
      </c>
      <c r="D202" s="80">
        <f t="shared" si="44"/>
        <v>0</v>
      </c>
      <c r="E202" s="80">
        <f>IFERROR(VLOOKUP(C202,O.B.JUNE!$C$7:$D$448,2,0),0)</f>
        <v>0</v>
      </c>
      <c r="F202" s="80">
        <v>0</v>
      </c>
      <c r="G202" s="80">
        <f>IFERROR(VLOOKUP(C202,O.B.JUNE!$C$7:$E$448,3,0),0)</f>
        <v>114</v>
      </c>
      <c r="H202" s="80">
        <f t="shared" ref="H202:H265" si="63">IF(F202="","",F202-E202)</f>
        <v>0</v>
      </c>
      <c r="I202" s="80"/>
      <c r="J202" s="80">
        <f t="shared" si="45"/>
        <v>114</v>
      </c>
      <c r="K202" s="80">
        <v>0</v>
      </c>
      <c r="L202" s="80">
        <v>0</v>
      </c>
      <c r="M202" s="81">
        <f t="shared" si="46"/>
        <v>0</v>
      </c>
      <c r="N202" s="81">
        <v>0</v>
      </c>
      <c r="O202" s="81">
        <v>0</v>
      </c>
      <c r="P202" s="81">
        <f t="shared" si="62"/>
        <v>0</v>
      </c>
      <c r="Q202" s="80">
        <f>IFERROR(VLOOKUP(C202,O.B.JUNE!$C$7:$K$448,7,0),0)</f>
        <v>0</v>
      </c>
      <c r="R202" s="80">
        <f>IFERROR(VLOOKUP(C202,O.B.JUNE!$C$7:$J$448,8,0),0)</f>
        <v>0</v>
      </c>
      <c r="S202" s="323">
        <f t="shared" si="47"/>
        <v>114</v>
      </c>
      <c r="T202" s="324">
        <v>0</v>
      </c>
      <c r="U202" s="324">
        <v>114</v>
      </c>
      <c r="V202" s="80"/>
      <c r="W202" s="324">
        <v>0</v>
      </c>
      <c r="X202" s="324"/>
      <c r="Y202" s="324">
        <v>0</v>
      </c>
      <c r="Z202" s="80">
        <v>0</v>
      </c>
      <c r="AA202" s="80">
        <f t="shared" si="48"/>
        <v>114</v>
      </c>
      <c r="AB202" s="323">
        <f t="shared" si="49"/>
        <v>0</v>
      </c>
      <c r="AC202" s="80">
        <f t="shared" si="54"/>
        <v>114</v>
      </c>
      <c r="AD202" s="80">
        <f t="shared" si="55"/>
        <v>114</v>
      </c>
      <c r="AE202" s="80"/>
      <c r="AF202" s="80"/>
      <c r="AG202" s="80"/>
      <c r="AH202" s="326">
        <f t="shared" si="50"/>
        <v>0</v>
      </c>
      <c r="AI202" s="326">
        <f t="shared" si="51"/>
        <v>0</v>
      </c>
      <c r="AJ202" s="326">
        <f t="shared" si="52"/>
        <v>0</v>
      </c>
      <c r="AK202" s="326">
        <f t="shared" si="53"/>
        <v>0</v>
      </c>
      <c r="AL202" s="326"/>
      <c r="AM202" s="326"/>
      <c r="AN202" s="326"/>
      <c r="AO202" s="326"/>
      <c r="AP202" s="326"/>
      <c r="AQ202" s="326"/>
      <c r="AR202" s="327">
        <f>VLOOKUP(C202,'[1]DA HET SAN XUAT'!$D$8:$AJ$419,33,0)</f>
        <v>0</v>
      </c>
      <c r="AS202" s="504" t="s">
        <v>658</v>
      </c>
      <c r="AT202" s="411"/>
      <c r="AU202" s="411"/>
    </row>
    <row r="203" spans="1:47" s="390" customFormat="1" ht="18.75" customHeight="1">
      <c r="A203" s="167">
        <v>192</v>
      </c>
      <c r="B203" s="79" t="str">
        <f>IFERROR(VLOOKUP(A203,O.B.JUNE!$A$7:$C$448,2,0),0)</f>
        <v>ANN TAYLOR</v>
      </c>
      <c r="C203" s="174">
        <f>IFERROR(VLOOKUP(A203,O.B.JUNE!$A$7:$C$448,3,0),0)</f>
        <v>455770</v>
      </c>
      <c r="D203" s="80">
        <f t="shared" si="44"/>
        <v>0</v>
      </c>
      <c r="E203" s="80">
        <f>IFERROR(VLOOKUP(C203,O.B.JUNE!$C$7:$D$448,2,0),0)</f>
        <v>0</v>
      </c>
      <c r="F203" s="80">
        <v>0</v>
      </c>
      <c r="G203" s="80">
        <f>IFERROR(VLOOKUP(C203,O.B.JUNE!$C$7:$E$448,3,0),0)</f>
        <v>201</v>
      </c>
      <c r="H203" s="80">
        <f t="shared" si="63"/>
        <v>0</v>
      </c>
      <c r="I203" s="80"/>
      <c r="J203" s="80">
        <f t="shared" si="45"/>
        <v>201</v>
      </c>
      <c r="K203" s="80">
        <v>0</v>
      </c>
      <c r="L203" s="80">
        <v>0</v>
      </c>
      <c r="M203" s="81">
        <f t="shared" si="46"/>
        <v>0</v>
      </c>
      <c r="N203" s="81">
        <v>0</v>
      </c>
      <c r="O203" s="81">
        <v>0</v>
      </c>
      <c r="P203" s="81">
        <f t="shared" si="62"/>
        <v>0</v>
      </c>
      <c r="Q203" s="80">
        <f>IFERROR(VLOOKUP(C203,O.B.JUNE!$C$7:$K$448,7,0),0)</f>
        <v>0</v>
      </c>
      <c r="R203" s="80">
        <f>IFERROR(VLOOKUP(C203,O.B.JUNE!$C$7:$J$448,8,0),0)</f>
        <v>0</v>
      </c>
      <c r="S203" s="323">
        <f t="shared" si="47"/>
        <v>201</v>
      </c>
      <c r="T203" s="324">
        <v>0</v>
      </c>
      <c r="U203" s="324">
        <v>201</v>
      </c>
      <c r="V203" s="80"/>
      <c r="W203" s="324">
        <v>0</v>
      </c>
      <c r="X203" s="324"/>
      <c r="Y203" s="324">
        <v>0</v>
      </c>
      <c r="Z203" s="80">
        <v>0</v>
      </c>
      <c r="AA203" s="80">
        <f t="shared" si="48"/>
        <v>201</v>
      </c>
      <c r="AB203" s="323">
        <f t="shared" si="49"/>
        <v>0</v>
      </c>
      <c r="AC203" s="80">
        <f t="shared" si="54"/>
        <v>201</v>
      </c>
      <c r="AD203" s="80">
        <f t="shared" si="55"/>
        <v>201</v>
      </c>
      <c r="AE203" s="80"/>
      <c r="AF203" s="80"/>
      <c r="AG203" s="80"/>
      <c r="AH203" s="326">
        <f t="shared" si="50"/>
        <v>0</v>
      </c>
      <c r="AI203" s="326">
        <f t="shared" si="51"/>
        <v>0</v>
      </c>
      <c r="AJ203" s="326">
        <f t="shared" si="52"/>
        <v>0</v>
      </c>
      <c r="AK203" s="326">
        <f t="shared" si="53"/>
        <v>0</v>
      </c>
      <c r="AL203" s="326"/>
      <c r="AM203" s="326"/>
      <c r="AN203" s="326"/>
      <c r="AO203" s="326"/>
      <c r="AP203" s="326"/>
      <c r="AQ203" s="326"/>
      <c r="AR203" s="327">
        <f>VLOOKUP(C203,'[1]DA HET SAN XUAT'!$D$8:$AJ$419,33,0)</f>
        <v>0</v>
      </c>
      <c r="AS203" s="504" t="s">
        <v>658</v>
      </c>
      <c r="AT203" s="411"/>
      <c r="AU203" s="411"/>
    </row>
    <row r="204" spans="1:47" s="390" customFormat="1" ht="18.75" customHeight="1">
      <c r="A204" s="167">
        <v>193</v>
      </c>
      <c r="B204" s="79" t="str">
        <f>IFERROR(VLOOKUP(A204,O.B.JUNE!$A$7:$C$448,2,0),0)</f>
        <v>ANN TAYLOR</v>
      </c>
      <c r="C204" s="174">
        <f>IFERROR(VLOOKUP(A204,O.B.JUNE!$A$7:$C$448,3,0),0)</f>
        <v>456858</v>
      </c>
      <c r="D204" s="80">
        <f t="shared" si="44"/>
        <v>0</v>
      </c>
      <c r="E204" s="80">
        <f>IFERROR(VLOOKUP(C204,O.B.JUNE!$C$7:$D$448,2,0),0)</f>
        <v>0</v>
      </c>
      <c r="F204" s="80">
        <v>0</v>
      </c>
      <c r="G204" s="80">
        <f>IFERROR(VLOOKUP(C204,O.B.JUNE!$C$7:$E$448,3,0),0)</f>
        <v>450</v>
      </c>
      <c r="H204" s="80">
        <f t="shared" si="63"/>
        <v>0</v>
      </c>
      <c r="I204" s="80"/>
      <c r="J204" s="80">
        <f t="shared" si="45"/>
        <v>0</v>
      </c>
      <c r="K204" s="80">
        <v>0</v>
      </c>
      <c r="L204" s="80">
        <v>0</v>
      </c>
      <c r="M204" s="81">
        <f t="shared" si="46"/>
        <v>450</v>
      </c>
      <c r="N204" s="81">
        <v>0</v>
      </c>
      <c r="O204" s="81">
        <v>0</v>
      </c>
      <c r="P204" s="81">
        <f t="shared" si="62"/>
        <v>450</v>
      </c>
      <c r="Q204" s="80">
        <f>IFERROR(VLOOKUP(C204,O.B.JUNE!$C$7:$K$448,7,0),0)</f>
        <v>0</v>
      </c>
      <c r="R204" s="80">
        <f>IFERROR(VLOOKUP(C204,O.B.JUNE!$C$7:$J$448,8,0),0)</f>
        <v>0</v>
      </c>
      <c r="S204" s="323">
        <f t="shared" si="47"/>
        <v>0</v>
      </c>
      <c r="T204" s="324">
        <v>0</v>
      </c>
      <c r="U204" s="324"/>
      <c r="V204" s="80"/>
      <c r="W204" s="324">
        <v>0</v>
      </c>
      <c r="X204" s="324"/>
      <c r="Y204" s="324">
        <v>0</v>
      </c>
      <c r="Z204" s="80">
        <v>0</v>
      </c>
      <c r="AA204" s="80">
        <f t="shared" si="48"/>
        <v>0</v>
      </c>
      <c r="AB204" s="323">
        <f t="shared" si="49"/>
        <v>0</v>
      </c>
      <c r="AC204" s="80">
        <f t="shared" si="54"/>
        <v>0</v>
      </c>
      <c r="AD204" s="80">
        <f t="shared" si="55"/>
        <v>0</v>
      </c>
      <c r="AE204" s="80"/>
      <c r="AF204" s="80"/>
      <c r="AG204" s="80"/>
      <c r="AH204" s="326">
        <f t="shared" si="50"/>
        <v>0</v>
      </c>
      <c r="AI204" s="326">
        <f t="shared" si="51"/>
        <v>0</v>
      </c>
      <c r="AJ204" s="326">
        <f t="shared" si="52"/>
        <v>0</v>
      </c>
      <c r="AK204" s="326">
        <f t="shared" si="53"/>
        <v>0</v>
      </c>
      <c r="AL204" s="326"/>
      <c r="AM204" s="326"/>
      <c r="AN204" s="326"/>
      <c r="AO204" s="326"/>
      <c r="AP204" s="326"/>
      <c r="AQ204" s="326"/>
      <c r="AR204" s="327">
        <f>VLOOKUP(C204,'[1]DA HET SAN XUAT'!$D$8:$AJ$419,33,0)</f>
        <v>0</v>
      </c>
      <c r="AS204" s="504" t="s">
        <v>658</v>
      </c>
      <c r="AT204" s="411"/>
      <c r="AU204" s="411"/>
    </row>
    <row r="205" spans="1:47" s="390" customFormat="1" ht="18.75" customHeight="1">
      <c r="A205" s="167">
        <v>194</v>
      </c>
      <c r="B205" s="79" t="str">
        <f>IFERROR(VLOOKUP(A205,O.B.JUNE!$A$7:$C$448,2,0),0)</f>
        <v>ANN TAYLOR</v>
      </c>
      <c r="C205" s="174">
        <f>IFERROR(VLOOKUP(A205,O.B.JUNE!$A$7:$C$448,3,0),0)</f>
        <v>465443</v>
      </c>
      <c r="D205" s="80">
        <f t="shared" ref="D205:D268" si="64">F205-E205</f>
        <v>0</v>
      </c>
      <c r="E205" s="80">
        <f>IFERROR(VLOOKUP(C205,O.B.JUNE!$C$7:$D$448,2,0),0)</f>
        <v>0</v>
      </c>
      <c r="F205" s="80">
        <v>0</v>
      </c>
      <c r="G205" s="80">
        <f>IFERROR(VLOOKUP(C205,O.B.JUNE!$C$7:$E$448,3,0),0)</f>
        <v>42</v>
      </c>
      <c r="H205" s="80">
        <f t="shared" si="63"/>
        <v>0</v>
      </c>
      <c r="I205" s="80"/>
      <c r="J205" s="80">
        <f t="shared" ref="J205:J268" si="65">IF(S205="",0,S205-Q205-V205-R205)</f>
        <v>0</v>
      </c>
      <c r="K205" s="80">
        <v>0</v>
      </c>
      <c r="L205" s="80">
        <v>0</v>
      </c>
      <c r="M205" s="81">
        <f t="shared" ref="M205:M268" si="66">ROUND(IF(ISERROR(F205-S205-K205-L205-R205),0,(F205-S205-K205-L205+Q205+R205+G205-E205)),0)</f>
        <v>42</v>
      </c>
      <c r="N205" s="81">
        <v>0</v>
      </c>
      <c r="O205" s="81">
        <v>0</v>
      </c>
      <c r="P205" s="81">
        <f t="shared" si="62"/>
        <v>42</v>
      </c>
      <c r="Q205" s="80">
        <f>IFERROR(VLOOKUP(C205,O.B.JUNE!$C$7:$K$448,7,0),0)</f>
        <v>0</v>
      </c>
      <c r="R205" s="80">
        <f>IFERROR(VLOOKUP(C205,O.B.JUNE!$C$7:$J$448,8,0),0)</f>
        <v>0</v>
      </c>
      <c r="S205" s="323">
        <f t="shared" ref="S205:S268" si="67">Q205+T205+U205+R205</f>
        <v>0</v>
      </c>
      <c r="T205" s="324">
        <v>0</v>
      </c>
      <c r="U205" s="324"/>
      <c r="V205" s="80"/>
      <c r="W205" s="324">
        <v>0</v>
      </c>
      <c r="X205" s="324"/>
      <c r="Y205" s="324">
        <v>0</v>
      </c>
      <c r="Z205" s="80">
        <v>0</v>
      </c>
      <c r="AA205" s="80">
        <f t="shared" ref="AA205:AA268" si="68">V205+U205+T205</f>
        <v>0</v>
      </c>
      <c r="AB205" s="323">
        <f t="shared" ref="AB205:AB268" si="69">ROUND(Q205+T205+V205-X205-W205-Y205-Z205,0)</f>
        <v>0</v>
      </c>
      <c r="AC205" s="80">
        <f t="shared" si="54"/>
        <v>0</v>
      </c>
      <c r="AD205" s="80">
        <f t="shared" si="55"/>
        <v>0</v>
      </c>
      <c r="AE205" s="80"/>
      <c r="AF205" s="80"/>
      <c r="AG205" s="80"/>
      <c r="AH205" s="326">
        <f t="shared" ref="AH205:AH268" si="70">G205+H205-J205-L205-M205</f>
        <v>0</v>
      </c>
      <c r="AI205" s="326">
        <f t="shared" ref="AI205:AI268" si="71">Q205+T205+U205-S205+R205</f>
        <v>0</v>
      </c>
      <c r="AJ205" s="326">
        <f t="shared" ref="AJ205:AJ268" si="72">M205-N205-O205-P205</f>
        <v>0</v>
      </c>
      <c r="AK205" s="326">
        <f t="shared" ref="AK205:AK268" si="73">M205-N205-O205-P205</f>
        <v>0</v>
      </c>
      <c r="AL205" s="326"/>
      <c r="AM205" s="326"/>
      <c r="AN205" s="326"/>
      <c r="AO205" s="326"/>
      <c r="AP205" s="326"/>
      <c r="AQ205" s="326"/>
      <c r="AR205" s="327"/>
      <c r="AS205" s="504" t="s">
        <v>658</v>
      </c>
      <c r="AT205" s="411"/>
      <c r="AU205" s="411"/>
    </row>
    <row r="206" spans="1:47" s="390" customFormat="1" ht="18.75" customHeight="1">
      <c r="A206" s="167">
        <v>195</v>
      </c>
      <c r="B206" s="79" t="str">
        <f>IFERROR(VLOOKUP(A206,O.B.JUNE!$A$7:$C$448,2,0),0)</f>
        <v>ANN TAYLOR</v>
      </c>
      <c r="C206" s="174">
        <f>IFERROR(VLOOKUP(A206,O.B.JUNE!$A$7:$C$448,3,0),0)</f>
        <v>465452</v>
      </c>
      <c r="D206" s="80">
        <f t="shared" si="64"/>
        <v>0</v>
      </c>
      <c r="E206" s="80">
        <f>IFERROR(VLOOKUP(C206,O.B.JUNE!$C$7:$D$448,2,0),0)</f>
        <v>0</v>
      </c>
      <c r="F206" s="80">
        <v>0</v>
      </c>
      <c r="G206" s="80">
        <f>IFERROR(VLOOKUP(C206,O.B.JUNE!$C$7:$E$448,3,0),0)</f>
        <v>62</v>
      </c>
      <c r="H206" s="80">
        <f t="shared" si="63"/>
        <v>0</v>
      </c>
      <c r="I206" s="80"/>
      <c r="J206" s="80">
        <f t="shared" si="65"/>
        <v>0</v>
      </c>
      <c r="K206" s="80">
        <v>0</v>
      </c>
      <c r="L206" s="80">
        <v>0</v>
      </c>
      <c r="M206" s="81">
        <f t="shared" si="66"/>
        <v>62</v>
      </c>
      <c r="N206" s="81">
        <v>0</v>
      </c>
      <c r="O206" s="81">
        <v>0</v>
      </c>
      <c r="P206" s="81">
        <f t="shared" si="62"/>
        <v>62</v>
      </c>
      <c r="Q206" s="80">
        <f>IFERROR(VLOOKUP(C206,O.B.JUNE!$C$7:$K$448,7,0),0)</f>
        <v>0</v>
      </c>
      <c r="R206" s="80">
        <f>IFERROR(VLOOKUP(C206,O.B.JUNE!$C$7:$J$448,8,0),0)</f>
        <v>0</v>
      </c>
      <c r="S206" s="323">
        <f t="shared" si="67"/>
        <v>0</v>
      </c>
      <c r="T206" s="324">
        <v>0</v>
      </c>
      <c r="U206" s="324"/>
      <c r="V206" s="80"/>
      <c r="W206" s="324">
        <v>0</v>
      </c>
      <c r="X206" s="324"/>
      <c r="Y206" s="324">
        <v>0</v>
      </c>
      <c r="Z206" s="80">
        <v>0</v>
      </c>
      <c r="AA206" s="80">
        <f t="shared" si="68"/>
        <v>0</v>
      </c>
      <c r="AB206" s="323">
        <f t="shared" si="69"/>
        <v>0</v>
      </c>
      <c r="AC206" s="80">
        <f t="shared" ref="AC206:AC269" si="74">+R206+U206+Z206-X206</f>
        <v>0</v>
      </c>
      <c r="AD206" s="80">
        <f t="shared" si="55"/>
        <v>0</v>
      </c>
      <c r="AE206" s="80"/>
      <c r="AF206" s="80"/>
      <c r="AG206" s="80"/>
      <c r="AH206" s="326">
        <f t="shared" si="70"/>
        <v>0</v>
      </c>
      <c r="AI206" s="326">
        <f t="shared" si="71"/>
        <v>0</v>
      </c>
      <c r="AJ206" s="326">
        <f t="shared" si="72"/>
        <v>0</v>
      </c>
      <c r="AK206" s="326">
        <f t="shared" si="73"/>
        <v>0</v>
      </c>
      <c r="AL206" s="326"/>
      <c r="AM206" s="326"/>
      <c r="AN206" s="326"/>
      <c r="AO206" s="326"/>
      <c r="AP206" s="326"/>
      <c r="AQ206" s="326"/>
      <c r="AR206" s="327"/>
      <c r="AS206" s="504" t="s">
        <v>658</v>
      </c>
      <c r="AT206" s="411"/>
      <c r="AU206" s="411"/>
    </row>
    <row r="207" spans="1:47" s="390" customFormat="1" ht="19.5" customHeight="1">
      <c r="A207" s="167">
        <v>196</v>
      </c>
      <c r="B207" s="79" t="str">
        <f>IFERROR(VLOOKUP(A207,O.B.JUNE!$A$7:$C$448,2,0),0)</f>
        <v>ANN TAYLOR</v>
      </c>
      <c r="C207" s="174">
        <f>IFERROR(VLOOKUP(A207,O.B.JUNE!$A$7:$C$448,3,0),0)</f>
        <v>465456</v>
      </c>
      <c r="D207" s="80">
        <f t="shared" si="64"/>
        <v>0</v>
      </c>
      <c r="E207" s="80">
        <f>IFERROR(VLOOKUP(C207,O.B.JUNE!$C$7:$D$448,2,0),0)</f>
        <v>0</v>
      </c>
      <c r="F207" s="80">
        <v>0</v>
      </c>
      <c r="G207" s="80">
        <f>IFERROR(VLOOKUP(C207,O.B.JUNE!$C$7:$E$448,3,0),0)</f>
        <v>20</v>
      </c>
      <c r="H207" s="80">
        <f t="shared" si="63"/>
        <v>0</v>
      </c>
      <c r="I207" s="80"/>
      <c r="J207" s="80">
        <f t="shared" si="65"/>
        <v>0</v>
      </c>
      <c r="K207" s="80">
        <v>0</v>
      </c>
      <c r="L207" s="80">
        <v>0</v>
      </c>
      <c r="M207" s="81">
        <f t="shared" si="66"/>
        <v>20</v>
      </c>
      <c r="N207" s="81">
        <v>0</v>
      </c>
      <c r="O207" s="81">
        <v>0</v>
      </c>
      <c r="P207" s="81">
        <f t="shared" si="62"/>
        <v>20</v>
      </c>
      <c r="Q207" s="80">
        <f>IFERROR(VLOOKUP(C207,O.B.JUNE!$C$7:$K$448,7,0),0)</f>
        <v>0</v>
      </c>
      <c r="R207" s="80">
        <f>IFERROR(VLOOKUP(C207,O.B.JUNE!$C$7:$J$448,8,0),0)</f>
        <v>0</v>
      </c>
      <c r="S207" s="323">
        <f t="shared" si="67"/>
        <v>0</v>
      </c>
      <c r="T207" s="324">
        <v>0</v>
      </c>
      <c r="U207" s="324"/>
      <c r="V207" s="80"/>
      <c r="W207" s="324">
        <v>0</v>
      </c>
      <c r="X207" s="324"/>
      <c r="Y207" s="324">
        <v>0</v>
      </c>
      <c r="Z207" s="80">
        <v>0</v>
      </c>
      <c r="AA207" s="80">
        <f t="shared" si="68"/>
        <v>0</v>
      </c>
      <c r="AB207" s="323">
        <f t="shared" si="69"/>
        <v>0</v>
      </c>
      <c r="AC207" s="80">
        <f t="shared" si="74"/>
        <v>0</v>
      </c>
      <c r="AD207" s="80">
        <f t="shared" si="55"/>
        <v>0</v>
      </c>
      <c r="AE207" s="80"/>
      <c r="AF207" s="80"/>
      <c r="AG207" s="80"/>
      <c r="AH207" s="326">
        <f t="shared" si="70"/>
        <v>0</v>
      </c>
      <c r="AI207" s="326">
        <f t="shared" si="71"/>
        <v>0</v>
      </c>
      <c r="AJ207" s="326">
        <f t="shared" si="72"/>
        <v>0</v>
      </c>
      <c r="AK207" s="326">
        <f t="shared" si="73"/>
        <v>0</v>
      </c>
      <c r="AL207" s="326"/>
      <c r="AM207" s="326"/>
      <c r="AN207" s="326"/>
      <c r="AO207" s="326"/>
      <c r="AP207" s="326"/>
      <c r="AQ207" s="326"/>
      <c r="AR207" s="327"/>
      <c r="AS207" s="504" t="s">
        <v>658</v>
      </c>
      <c r="AT207" s="411"/>
      <c r="AU207" s="411"/>
    </row>
    <row r="208" spans="1:47" s="390" customFormat="1" ht="18.75" customHeight="1">
      <c r="A208" s="167">
        <v>197</v>
      </c>
      <c r="B208" s="79" t="str">
        <f>IFERROR(VLOOKUP(A208,O.B.JUNE!$A$7:$C$448,2,0),0)</f>
        <v>INC</v>
      </c>
      <c r="C208" s="174">
        <f>IFERROR(VLOOKUP(A208,O.B.JUNE!$A$7:$C$448,3,0),0)</f>
        <v>100003058</v>
      </c>
      <c r="D208" s="80">
        <f t="shared" si="64"/>
        <v>0</v>
      </c>
      <c r="E208" s="80">
        <f>IFERROR(VLOOKUP(C208,O.B.JUNE!$C$7:$D$448,2,0),0)</f>
        <v>0</v>
      </c>
      <c r="F208" s="80">
        <v>0</v>
      </c>
      <c r="G208" s="80">
        <f>IFERROR(VLOOKUP(C208,O.B.JUNE!$C$7:$E$448,3,0),0)</f>
        <v>28</v>
      </c>
      <c r="H208" s="80">
        <f t="shared" si="63"/>
        <v>0</v>
      </c>
      <c r="I208" s="80"/>
      <c r="J208" s="80">
        <f t="shared" si="65"/>
        <v>28</v>
      </c>
      <c r="K208" s="80">
        <v>0</v>
      </c>
      <c r="L208" s="80">
        <v>0</v>
      </c>
      <c r="M208" s="81">
        <f t="shared" si="66"/>
        <v>0</v>
      </c>
      <c r="N208" s="81">
        <v>0</v>
      </c>
      <c r="O208" s="81">
        <v>0</v>
      </c>
      <c r="P208" s="81">
        <f t="shared" si="62"/>
        <v>0</v>
      </c>
      <c r="Q208" s="80">
        <f>IFERROR(VLOOKUP(C208,O.B.JUNE!$C$7:$K$448,7,0),0)</f>
        <v>0</v>
      </c>
      <c r="R208" s="80">
        <f>IFERROR(VLOOKUP(C208,O.B.JUNE!$C$7:$J$448,8,0),0)</f>
        <v>0</v>
      </c>
      <c r="S208" s="323">
        <f t="shared" si="67"/>
        <v>28</v>
      </c>
      <c r="T208" s="324">
        <v>0</v>
      </c>
      <c r="U208" s="324">
        <v>28</v>
      </c>
      <c r="V208" s="80"/>
      <c r="W208" s="324">
        <v>0</v>
      </c>
      <c r="X208" s="324"/>
      <c r="Y208" s="324">
        <v>0</v>
      </c>
      <c r="Z208" s="80">
        <v>0</v>
      </c>
      <c r="AA208" s="80">
        <f t="shared" si="68"/>
        <v>28</v>
      </c>
      <c r="AB208" s="323">
        <f t="shared" si="69"/>
        <v>0</v>
      </c>
      <c r="AC208" s="80">
        <f t="shared" si="74"/>
        <v>28</v>
      </c>
      <c r="AD208" s="80">
        <f t="shared" ref="AD208:AD271" si="75">AB208+AC208</f>
        <v>28</v>
      </c>
      <c r="AE208" s="80"/>
      <c r="AF208" s="80"/>
      <c r="AG208" s="80"/>
      <c r="AH208" s="326">
        <f t="shared" si="70"/>
        <v>0</v>
      </c>
      <c r="AI208" s="326">
        <f t="shared" si="71"/>
        <v>0</v>
      </c>
      <c r="AJ208" s="326">
        <f t="shared" si="72"/>
        <v>0</v>
      </c>
      <c r="AK208" s="326">
        <f t="shared" si="73"/>
        <v>0</v>
      </c>
      <c r="AL208" s="326"/>
      <c r="AM208" s="326"/>
      <c r="AN208" s="326"/>
      <c r="AO208" s="326"/>
      <c r="AP208" s="326"/>
      <c r="AQ208" s="326"/>
      <c r="AR208" s="327"/>
      <c r="AS208" s="504" t="s">
        <v>658</v>
      </c>
      <c r="AT208" s="411"/>
      <c r="AU208" s="411"/>
    </row>
    <row r="209" spans="1:47" s="390" customFormat="1" ht="18.75" customHeight="1">
      <c r="A209" s="167">
        <v>198</v>
      </c>
      <c r="B209" s="79" t="str">
        <f>IFERROR(VLOOKUP(A209,O.B.JUNE!$A$7:$C$448,2,0),0)</f>
        <v>INC</v>
      </c>
      <c r="C209" s="174">
        <f>IFERROR(VLOOKUP(A209,O.B.JUNE!$A$7:$C$448,3,0),0)</f>
        <v>100014739</v>
      </c>
      <c r="D209" s="80">
        <f t="shared" si="64"/>
        <v>0</v>
      </c>
      <c r="E209" s="80">
        <f>IFERROR(VLOOKUP(C209,O.B.JUNE!$C$7:$D$448,2,0),0)</f>
        <v>0</v>
      </c>
      <c r="F209" s="80">
        <v>0</v>
      </c>
      <c r="G209" s="80">
        <f>IFERROR(VLOOKUP(C209,O.B.JUNE!$C$7:$E$448,3,0),0)</f>
        <v>397</v>
      </c>
      <c r="H209" s="80">
        <f t="shared" si="63"/>
        <v>0</v>
      </c>
      <c r="I209" s="80"/>
      <c r="J209" s="80">
        <f t="shared" si="65"/>
        <v>397</v>
      </c>
      <c r="K209" s="80">
        <v>0</v>
      </c>
      <c r="L209" s="80">
        <v>0</v>
      </c>
      <c r="M209" s="81">
        <f t="shared" si="66"/>
        <v>0</v>
      </c>
      <c r="N209" s="81">
        <v>0</v>
      </c>
      <c r="O209" s="81">
        <v>0</v>
      </c>
      <c r="P209" s="81">
        <f t="shared" si="62"/>
        <v>0</v>
      </c>
      <c r="Q209" s="80">
        <f>IFERROR(VLOOKUP(C209,O.B.JUNE!$C$7:$K$448,7,0),0)</f>
        <v>0</v>
      </c>
      <c r="R209" s="80">
        <f>IFERROR(VLOOKUP(C209,O.B.JUNE!$C$7:$J$448,8,0),0)</f>
        <v>0</v>
      </c>
      <c r="S209" s="323">
        <f t="shared" si="67"/>
        <v>397</v>
      </c>
      <c r="T209" s="324">
        <v>0</v>
      </c>
      <c r="U209" s="324">
        <v>397</v>
      </c>
      <c r="V209" s="80"/>
      <c r="W209" s="324">
        <v>0</v>
      </c>
      <c r="X209" s="324"/>
      <c r="Y209" s="324">
        <v>0</v>
      </c>
      <c r="Z209" s="80">
        <v>0</v>
      </c>
      <c r="AA209" s="80">
        <f t="shared" si="68"/>
        <v>397</v>
      </c>
      <c r="AB209" s="323">
        <f t="shared" si="69"/>
        <v>0</v>
      </c>
      <c r="AC209" s="80">
        <f t="shared" si="74"/>
        <v>397</v>
      </c>
      <c r="AD209" s="80">
        <f t="shared" si="75"/>
        <v>397</v>
      </c>
      <c r="AE209" s="80"/>
      <c r="AF209" s="80"/>
      <c r="AG209" s="80"/>
      <c r="AH209" s="326">
        <f t="shared" si="70"/>
        <v>0</v>
      </c>
      <c r="AI209" s="326">
        <f t="shared" si="71"/>
        <v>0</v>
      </c>
      <c r="AJ209" s="326">
        <f t="shared" si="72"/>
        <v>0</v>
      </c>
      <c r="AK209" s="326">
        <f t="shared" si="73"/>
        <v>0</v>
      </c>
      <c r="AL209" s="326"/>
      <c r="AM209" s="326"/>
      <c r="AN209" s="326"/>
      <c r="AO209" s="326"/>
      <c r="AP209" s="326"/>
      <c r="AQ209" s="326"/>
      <c r="AR209" s="327"/>
      <c r="AS209" s="504" t="s">
        <v>658</v>
      </c>
      <c r="AT209" s="411"/>
      <c r="AU209" s="411"/>
    </row>
    <row r="210" spans="1:47" s="390" customFormat="1" ht="18.75" customHeight="1">
      <c r="A210" s="167">
        <v>199</v>
      </c>
      <c r="B210" s="79" t="str">
        <f>IFERROR(VLOOKUP(A210,O.B.JUNE!$A$7:$C$448,2,0),0)</f>
        <v>J JILL</v>
      </c>
      <c r="C210" s="174" t="str">
        <f>IFERROR(VLOOKUP(A210,O.B.JUNE!$A$7:$C$448,3,0),0)</f>
        <v>KPT128571</v>
      </c>
      <c r="D210" s="80">
        <f t="shared" si="64"/>
        <v>0</v>
      </c>
      <c r="E210" s="80">
        <f>IFERROR(VLOOKUP(C210,O.B.JUNE!$C$7:$D$448,2,0),0)</f>
        <v>18913</v>
      </c>
      <c r="F210" s="80">
        <f>VLOOKUP(C210,'CUTTING ON JUNE'!$A$4:$D$316,3,0)</f>
        <v>18913</v>
      </c>
      <c r="G210" s="80">
        <f>IFERROR(VLOOKUP(C210,O.B.JUNE!$C$7:$E$448,3,0),0)</f>
        <v>1253</v>
      </c>
      <c r="H210" s="80">
        <f t="shared" si="63"/>
        <v>0</v>
      </c>
      <c r="I210" s="80"/>
      <c r="J210" s="80">
        <f t="shared" si="65"/>
        <v>0</v>
      </c>
      <c r="K210" s="80">
        <v>0</v>
      </c>
      <c r="L210" s="80">
        <v>0</v>
      </c>
      <c r="M210" s="81">
        <f t="shared" si="66"/>
        <v>1253</v>
      </c>
      <c r="N210" s="81">
        <v>531</v>
      </c>
      <c r="O210" s="81">
        <v>0</v>
      </c>
      <c r="P210" s="81">
        <f t="shared" ref="P210:P267" si="76">+M210-N210-O210</f>
        <v>722</v>
      </c>
      <c r="Q210" s="80">
        <f>IFERROR(VLOOKUP(C210,O.B.JUNE!$C$7:$K$448,7,0),0)</f>
        <v>0</v>
      </c>
      <c r="R210" s="80">
        <f>IFERROR(VLOOKUP(C210,O.B.JUNE!$C$7:$J$448,8,0),0)</f>
        <v>229</v>
      </c>
      <c r="S210" s="323">
        <f t="shared" si="67"/>
        <v>229</v>
      </c>
      <c r="T210" s="324">
        <v>0</v>
      </c>
      <c r="U210" s="324"/>
      <c r="V210" s="80"/>
      <c r="W210" s="324">
        <v>0</v>
      </c>
      <c r="X210" s="324"/>
      <c r="Y210" s="324">
        <v>0</v>
      </c>
      <c r="Z210" s="80">
        <v>0</v>
      </c>
      <c r="AA210" s="80">
        <f t="shared" si="68"/>
        <v>0</v>
      </c>
      <c r="AB210" s="323">
        <f t="shared" si="69"/>
        <v>0</v>
      </c>
      <c r="AC210" s="80">
        <f t="shared" si="74"/>
        <v>229</v>
      </c>
      <c r="AD210" s="80">
        <f t="shared" si="75"/>
        <v>229</v>
      </c>
      <c r="AE210" s="80"/>
      <c r="AF210" s="80"/>
      <c r="AG210" s="80"/>
      <c r="AH210" s="326">
        <f t="shared" si="70"/>
        <v>0</v>
      </c>
      <c r="AI210" s="326">
        <f t="shared" si="71"/>
        <v>0</v>
      </c>
      <c r="AJ210" s="326">
        <f t="shared" si="72"/>
        <v>0</v>
      </c>
      <c r="AK210" s="326">
        <f t="shared" si="73"/>
        <v>0</v>
      </c>
      <c r="AL210" s="326"/>
      <c r="AM210" s="326"/>
      <c r="AN210" s="326"/>
      <c r="AO210" s="326"/>
      <c r="AP210" s="326"/>
      <c r="AQ210" s="326"/>
      <c r="AR210" s="327">
        <f>VLOOKUP(C210,'[1]DA HET SAN XUAT'!$D$8:$AJ$419,33,0)</f>
        <v>0</v>
      </c>
      <c r="AS210" s="209"/>
      <c r="AT210" s="411"/>
      <c r="AU210" s="411"/>
    </row>
    <row r="211" spans="1:47" s="390" customFormat="1" ht="18.75" customHeight="1">
      <c r="A211" s="167">
        <v>200</v>
      </c>
      <c r="B211" s="79" t="str">
        <f>IFERROR(VLOOKUP(A211,O.B.JUNE!$A$7:$C$448,2,0),0)</f>
        <v>J JILL</v>
      </c>
      <c r="C211" s="174" t="str">
        <f>IFERROR(VLOOKUP(A211,O.B.JUNE!$A$7:$C$448,3,0),0)</f>
        <v>KPT128581</v>
      </c>
      <c r="D211" s="80">
        <f t="shared" si="64"/>
        <v>0</v>
      </c>
      <c r="E211" s="80">
        <f>IFERROR(VLOOKUP(C211,O.B.JUNE!$C$7:$D$448,2,0),0)</f>
        <v>5208</v>
      </c>
      <c r="F211" s="80">
        <f>VLOOKUP(C211,'CUTTING ON JUNE'!$A$4:$D$316,3,0)</f>
        <v>5208</v>
      </c>
      <c r="G211" s="80">
        <f>IFERROR(VLOOKUP(C211,O.B.JUNE!$C$7:$E$448,3,0),0)</f>
        <v>216</v>
      </c>
      <c r="H211" s="80">
        <f t="shared" si="63"/>
        <v>0</v>
      </c>
      <c r="I211" s="80"/>
      <c r="J211" s="80">
        <f t="shared" si="65"/>
        <v>0</v>
      </c>
      <c r="K211" s="80">
        <v>0</v>
      </c>
      <c r="L211" s="80">
        <v>0</v>
      </c>
      <c r="M211" s="81">
        <f t="shared" si="66"/>
        <v>216</v>
      </c>
      <c r="N211" s="81">
        <v>9</v>
      </c>
      <c r="O211" s="81">
        <v>57</v>
      </c>
      <c r="P211" s="81">
        <f t="shared" si="76"/>
        <v>150</v>
      </c>
      <c r="Q211" s="80">
        <f>IFERROR(VLOOKUP(C211,O.B.JUNE!$C$7:$K$448,7,0),0)</f>
        <v>0</v>
      </c>
      <c r="R211" s="80">
        <f>IFERROR(VLOOKUP(C211,O.B.JUNE!$C$7:$J$448,8,0),0)</f>
        <v>63</v>
      </c>
      <c r="S211" s="323">
        <f t="shared" si="67"/>
        <v>63</v>
      </c>
      <c r="T211" s="324">
        <v>0</v>
      </c>
      <c r="U211" s="324"/>
      <c r="V211" s="80"/>
      <c r="W211" s="324">
        <v>0</v>
      </c>
      <c r="X211" s="324"/>
      <c r="Y211" s="324">
        <v>0</v>
      </c>
      <c r="Z211" s="80">
        <v>0</v>
      </c>
      <c r="AA211" s="80">
        <f t="shared" si="68"/>
        <v>0</v>
      </c>
      <c r="AB211" s="323">
        <f t="shared" si="69"/>
        <v>0</v>
      </c>
      <c r="AC211" s="80">
        <f t="shared" si="74"/>
        <v>63</v>
      </c>
      <c r="AD211" s="80">
        <f t="shared" si="75"/>
        <v>63</v>
      </c>
      <c r="AE211" s="80"/>
      <c r="AF211" s="80"/>
      <c r="AG211" s="80"/>
      <c r="AH211" s="326">
        <f t="shared" si="70"/>
        <v>0</v>
      </c>
      <c r="AI211" s="326">
        <f t="shared" si="71"/>
        <v>0</v>
      </c>
      <c r="AJ211" s="326">
        <f t="shared" si="72"/>
        <v>0</v>
      </c>
      <c r="AK211" s="326">
        <f t="shared" si="73"/>
        <v>0</v>
      </c>
      <c r="AL211" s="326"/>
      <c r="AM211" s="326"/>
      <c r="AN211" s="326"/>
      <c r="AO211" s="326"/>
      <c r="AP211" s="326"/>
      <c r="AQ211" s="326"/>
      <c r="AR211" s="327">
        <f>VLOOKUP(C211,'[1]DA HET SAN XUAT'!$D$8:$AJ$419,33,0)</f>
        <v>0</v>
      </c>
      <c r="AS211" s="209"/>
      <c r="AT211" s="411"/>
      <c r="AU211" s="411"/>
    </row>
    <row r="212" spans="1:47" s="390" customFormat="1" ht="18.75" customHeight="1">
      <c r="A212" s="167">
        <v>201</v>
      </c>
      <c r="B212" s="79" t="str">
        <f>IFERROR(VLOOKUP(A212,O.B.JUNE!$A$7:$C$448,2,0),0)</f>
        <v>J JILL</v>
      </c>
      <c r="C212" s="174" t="str">
        <f>IFERROR(VLOOKUP(A212,O.B.JUNE!$A$7:$C$448,3,0),0)</f>
        <v>KTP115221</v>
      </c>
      <c r="D212" s="80">
        <f t="shared" si="64"/>
        <v>0</v>
      </c>
      <c r="E212" s="80">
        <f>IFERROR(VLOOKUP(C212,O.B.JUNE!$C$7:$D$448,2,0),0)</f>
        <v>0</v>
      </c>
      <c r="F212" s="80">
        <v>0</v>
      </c>
      <c r="G212" s="80">
        <f>IFERROR(VLOOKUP(C212,O.B.JUNE!$C$7:$E$448,3,0),0)</f>
        <v>899</v>
      </c>
      <c r="H212" s="80">
        <f t="shared" si="63"/>
        <v>0</v>
      </c>
      <c r="I212" s="80"/>
      <c r="J212" s="80">
        <f t="shared" si="65"/>
        <v>899</v>
      </c>
      <c r="K212" s="80">
        <v>0</v>
      </c>
      <c r="L212" s="80">
        <v>0</v>
      </c>
      <c r="M212" s="81">
        <f t="shared" si="66"/>
        <v>0</v>
      </c>
      <c r="N212" s="81">
        <v>0</v>
      </c>
      <c r="O212" s="81">
        <v>0</v>
      </c>
      <c r="P212" s="81">
        <f t="shared" si="76"/>
        <v>0</v>
      </c>
      <c r="Q212" s="80">
        <f>IFERROR(VLOOKUP(C212,O.B.JUNE!$C$7:$K$448,7,0),0)</f>
        <v>0</v>
      </c>
      <c r="R212" s="80">
        <f>IFERROR(VLOOKUP(C212,O.B.JUNE!$C$7:$J$448,8,0),0)</f>
        <v>0</v>
      </c>
      <c r="S212" s="323">
        <f t="shared" si="67"/>
        <v>899</v>
      </c>
      <c r="T212" s="324">
        <v>0</v>
      </c>
      <c r="U212" s="324">
        <v>899</v>
      </c>
      <c r="V212" s="80"/>
      <c r="W212" s="324">
        <v>0</v>
      </c>
      <c r="X212" s="324"/>
      <c r="Y212" s="324">
        <v>0</v>
      </c>
      <c r="Z212" s="80">
        <v>0</v>
      </c>
      <c r="AA212" s="80">
        <f t="shared" si="68"/>
        <v>899</v>
      </c>
      <c r="AB212" s="323">
        <f t="shared" si="69"/>
        <v>0</v>
      </c>
      <c r="AC212" s="80">
        <f t="shared" si="74"/>
        <v>899</v>
      </c>
      <c r="AD212" s="80">
        <f t="shared" si="75"/>
        <v>899</v>
      </c>
      <c r="AE212" s="80"/>
      <c r="AF212" s="80"/>
      <c r="AG212" s="80"/>
      <c r="AH212" s="326">
        <f t="shared" si="70"/>
        <v>0</v>
      </c>
      <c r="AI212" s="326">
        <f t="shared" si="71"/>
        <v>0</v>
      </c>
      <c r="AJ212" s="326">
        <f t="shared" si="72"/>
        <v>0</v>
      </c>
      <c r="AK212" s="326">
        <f t="shared" si="73"/>
        <v>0</v>
      </c>
      <c r="AL212" s="326"/>
      <c r="AM212" s="326"/>
      <c r="AN212" s="326"/>
      <c r="AO212" s="326"/>
      <c r="AP212" s="326"/>
      <c r="AQ212" s="326"/>
      <c r="AR212" s="327">
        <f>VLOOKUP(C212,'[1]DA HET SAN XUAT'!$D$8:$AJ$419,33,0)</f>
        <v>0</v>
      </c>
      <c r="AS212" s="504" t="s">
        <v>658</v>
      </c>
      <c r="AT212" s="411"/>
      <c r="AU212" s="411"/>
    </row>
    <row r="213" spans="1:47" s="390" customFormat="1" ht="18.75" customHeight="1">
      <c r="A213" s="167">
        <v>202</v>
      </c>
      <c r="B213" s="79" t="str">
        <f>IFERROR(VLOOKUP(A213,O.B.JUNE!$A$7:$C$448,2,0),0)</f>
        <v>TALBOTS</v>
      </c>
      <c r="C213" s="174">
        <f>IFERROR(VLOOKUP(A213,O.B.JUNE!$A$7:$C$448,3,0),0)</f>
        <v>181034126</v>
      </c>
      <c r="D213" s="80">
        <f t="shared" si="64"/>
        <v>0</v>
      </c>
      <c r="E213" s="80">
        <f>IFERROR(VLOOKUP(C213,O.B.JUNE!$C$7:$D$448,2,0),0)</f>
        <v>0</v>
      </c>
      <c r="F213" s="80">
        <v>0</v>
      </c>
      <c r="G213" s="80">
        <f>IFERROR(VLOOKUP(C213,O.B.JUNE!$C$7:$E$448,3,0),0)</f>
        <v>36</v>
      </c>
      <c r="H213" s="80">
        <f t="shared" si="63"/>
        <v>0</v>
      </c>
      <c r="I213" s="80"/>
      <c r="J213" s="80">
        <f t="shared" si="65"/>
        <v>36</v>
      </c>
      <c r="K213" s="80">
        <v>0</v>
      </c>
      <c r="L213" s="80">
        <v>0</v>
      </c>
      <c r="M213" s="81">
        <f t="shared" si="66"/>
        <v>0</v>
      </c>
      <c r="N213" s="81">
        <v>0</v>
      </c>
      <c r="O213" s="81">
        <v>0</v>
      </c>
      <c r="P213" s="81">
        <f t="shared" si="76"/>
        <v>0</v>
      </c>
      <c r="Q213" s="80">
        <f>IFERROR(VLOOKUP(C213,O.B.JUNE!$C$7:$K$448,7,0),0)</f>
        <v>0</v>
      </c>
      <c r="R213" s="80">
        <f>IFERROR(VLOOKUP(C213,O.B.JUNE!$C$7:$J$448,8,0),0)</f>
        <v>0</v>
      </c>
      <c r="S213" s="323">
        <f t="shared" si="67"/>
        <v>36</v>
      </c>
      <c r="T213" s="324">
        <v>0</v>
      </c>
      <c r="U213" s="324">
        <v>36</v>
      </c>
      <c r="V213" s="80"/>
      <c r="W213" s="324">
        <v>0</v>
      </c>
      <c r="X213" s="324"/>
      <c r="Y213" s="324">
        <v>0</v>
      </c>
      <c r="Z213" s="80">
        <v>0</v>
      </c>
      <c r="AA213" s="80">
        <f t="shared" si="68"/>
        <v>36</v>
      </c>
      <c r="AB213" s="323">
        <f t="shared" si="69"/>
        <v>0</v>
      </c>
      <c r="AC213" s="80">
        <f t="shared" si="74"/>
        <v>36</v>
      </c>
      <c r="AD213" s="80">
        <f t="shared" si="75"/>
        <v>36</v>
      </c>
      <c r="AE213" s="80"/>
      <c r="AF213" s="80"/>
      <c r="AG213" s="80"/>
      <c r="AH213" s="326">
        <f t="shared" si="70"/>
        <v>0</v>
      </c>
      <c r="AI213" s="326">
        <f t="shared" si="71"/>
        <v>0</v>
      </c>
      <c r="AJ213" s="326">
        <f t="shared" si="72"/>
        <v>0</v>
      </c>
      <c r="AK213" s="326">
        <f t="shared" si="73"/>
        <v>0</v>
      </c>
      <c r="AL213" s="326"/>
      <c r="AM213" s="326"/>
      <c r="AN213" s="326"/>
      <c r="AO213" s="326"/>
      <c r="AP213" s="326"/>
      <c r="AQ213" s="326"/>
      <c r="AR213" s="327"/>
      <c r="AS213" s="504" t="s">
        <v>658</v>
      </c>
      <c r="AT213" s="411"/>
      <c r="AU213" s="411"/>
    </row>
    <row r="214" spans="1:47" s="390" customFormat="1" ht="18.75" customHeight="1">
      <c r="A214" s="167">
        <v>203</v>
      </c>
      <c r="B214" s="79" t="str">
        <f>IFERROR(VLOOKUP(A214,O.B.JUNE!$A$7:$C$448,2,0),0)</f>
        <v>TALBOTS</v>
      </c>
      <c r="C214" s="174">
        <f>IFERROR(VLOOKUP(A214,O.B.JUNE!$A$7:$C$448,3,0),0)</f>
        <v>181034892</v>
      </c>
      <c r="D214" s="80">
        <f t="shared" si="64"/>
        <v>0</v>
      </c>
      <c r="E214" s="80">
        <f>IFERROR(VLOOKUP(C214,O.B.JUNE!$C$7:$D$448,2,0),0)</f>
        <v>0</v>
      </c>
      <c r="F214" s="80">
        <v>0</v>
      </c>
      <c r="G214" s="80">
        <f>IFERROR(VLOOKUP(C214,O.B.JUNE!$C$7:$E$448,3,0),0)</f>
        <v>68</v>
      </c>
      <c r="H214" s="80">
        <f t="shared" si="63"/>
        <v>0</v>
      </c>
      <c r="I214" s="80"/>
      <c r="J214" s="80">
        <f t="shared" si="65"/>
        <v>68</v>
      </c>
      <c r="K214" s="80">
        <v>0</v>
      </c>
      <c r="L214" s="80">
        <v>0</v>
      </c>
      <c r="M214" s="81">
        <f t="shared" si="66"/>
        <v>0</v>
      </c>
      <c r="N214" s="81">
        <v>0</v>
      </c>
      <c r="O214" s="81">
        <v>0</v>
      </c>
      <c r="P214" s="81">
        <f t="shared" si="76"/>
        <v>0</v>
      </c>
      <c r="Q214" s="80">
        <f>IFERROR(VLOOKUP(C214,O.B.JUNE!$C$7:$K$448,7,0),0)</f>
        <v>0</v>
      </c>
      <c r="R214" s="80">
        <f>IFERROR(VLOOKUP(C214,O.B.JUNE!$C$7:$J$448,8,0),0)</f>
        <v>0</v>
      </c>
      <c r="S214" s="323">
        <f t="shared" si="67"/>
        <v>68</v>
      </c>
      <c r="T214" s="324">
        <v>0</v>
      </c>
      <c r="U214" s="324">
        <v>68</v>
      </c>
      <c r="V214" s="80"/>
      <c r="W214" s="324">
        <v>0</v>
      </c>
      <c r="X214" s="324"/>
      <c r="Y214" s="324">
        <v>0</v>
      </c>
      <c r="Z214" s="80">
        <v>0</v>
      </c>
      <c r="AA214" s="80">
        <f t="shared" si="68"/>
        <v>68</v>
      </c>
      <c r="AB214" s="323">
        <f t="shared" si="69"/>
        <v>0</v>
      </c>
      <c r="AC214" s="80">
        <f t="shared" si="74"/>
        <v>68</v>
      </c>
      <c r="AD214" s="80">
        <f t="shared" si="75"/>
        <v>68</v>
      </c>
      <c r="AE214" s="80"/>
      <c r="AF214" s="80"/>
      <c r="AG214" s="80"/>
      <c r="AH214" s="326">
        <f t="shared" si="70"/>
        <v>0</v>
      </c>
      <c r="AI214" s="326">
        <f t="shared" si="71"/>
        <v>0</v>
      </c>
      <c r="AJ214" s="326">
        <f t="shared" si="72"/>
        <v>0</v>
      </c>
      <c r="AK214" s="326">
        <f t="shared" si="73"/>
        <v>0</v>
      </c>
      <c r="AL214" s="326"/>
      <c r="AM214" s="326"/>
      <c r="AN214" s="326"/>
      <c r="AO214" s="326"/>
      <c r="AP214" s="326"/>
      <c r="AQ214" s="326"/>
      <c r="AR214" s="327"/>
      <c r="AS214" s="504" t="s">
        <v>658</v>
      </c>
      <c r="AT214" s="411"/>
      <c r="AU214" s="411"/>
    </row>
    <row r="215" spans="1:47" s="390" customFormat="1" ht="18.75" customHeight="1">
      <c r="A215" s="167">
        <v>204</v>
      </c>
      <c r="B215" s="79" t="str">
        <f>IFERROR(VLOOKUP(A215,O.B.JUNE!$A$7:$C$448,2,0),0)</f>
        <v>ANN TAYLOR</v>
      </c>
      <c r="C215" s="174">
        <f>IFERROR(VLOOKUP(A215,O.B.JUNE!$A$7:$C$448,3,0),0)</f>
        <v>466852</v>
      </c>
      <c r="D215" s="80">
        <f t="shared" si="64"/>
        <v>0</v>
      </c>
      <c r="E215" s="80">
        <f>IFERROR(VLOOKUP(C215,O.B.JUNE!$C$7:$D$448,2,0),0)</f>
        <v>9244</v>
      </c>
      <c r="F215" s="80">
        <f>VLOOKUP(C215,'CUTTING ON JUNE'!$A$4:$D$316,3,0)</f>
        <v>9244</v>
      </c>
      <c r="G215" s="80">
        <f>IFERROR(VLOOKUP(C215,O.B.JUNE!$C$7:$E$448,3,0),0)</f>
        <v>418</v>
      </c>
      <c r="H215" s="80">
        <f t="shared" si="63"/>
        <v>0</v>
      </c>
      <c r="I215" s="80"/>
      <c r="J215" s="80">
        <f t="shared" si="65"/>
        <v>0</v>
      </c>
      <c r="K215" s="80">
        <v>0</v>
      </c>
      <c r="L215" s="80">
        <v>0</v>
      </c>
      <c r="M215" s="81">
        <f t="shared" si="66"/>
        <v>418</v>
      </c>
      <c r="N215" s="81">
        <v>1</v>
      </c>
      <c r="O215" s="81">
        <v>193</v>
      </c>
      <c r="P215" s="81">
        <f t="shared" si="76"/>
        <v>224</v>
      </c>
      <c r="Q215" s="80">
        <f>IFERROR(VLOOKUP(C215,O.B.JUNE!$C$7:$K$448,7,0),0)</f>
        <v>0</v>
      </c>
      <c r="R215" s="80">
        <f>IFERROR(VLOOKUP(C215,O.B.JUNE!$C$7:$J$448,8,0),0)</f>
        <v>0</v>
      </c>
      <c r="S215" s="323">
        <f t="shared" si="67"/>
        <v>0</v>
      </c>
      <c r="T215" s="324">
        <v>0</v>
      </c>
      <c r="U215" s="324"/>
      <c r="V215" s="80"/>
      <c r="W215" s="324">
        <v>0</v>
      </c>
      <c r="X215" s="324"/>
      <c r="Y215" s="324">
        <v>0</v>
      </c>
      <c r="Z215" s="80">
        <v>0</v>
      </c>
      <c r="AA215" s="80">
        <f t="shared" si="68"/>
        <v>0</v>
      </c>
      <c r="AB215" s="323">
        <f t="shared" si="69"/>
        <v>0</v>
      </c>
      <c r="AC215" s="80">
        <f t="shared" si="74"/>
        <v>0</v>
      </c>
      <c r="AD215" s="80">
        <f t="shared" si="75"/>
        <v>0</v>
      </c>
      <c r="AE215" s="80"/>
      <c r="AF215" s="80"/>
      <c r="AG215" s="80"/>
      <c r="AH215" s="326">
        <f t="shared" si="70"/>
        <v>0</v>
      </c>
      <c r="AI215" s="326">
        <f t="shared" si="71"/>
        <v>0</v>
      </c>
      <c r="AJ215" s="326">
        <f t="shared" si="72"/>
        <v>0</v>
      </c>
      <c r="AK215" s="326">
        <f t="shared" si="73"/>
        <v>0</v>
      </c>
      <c r="AL215" s="326"/>
      <c r="AM215" s="326"/>
      <c r="AN215" s="326"/>
      <c r="AO215" s="326"/>
      <c r="AP215" s="326"/>
      <c r="AQ215" s="326"/>
      <c r="AR215" s="327">
        <f>VLOOKUP(C215,'[1]DA HET SAN XUAT'!$D$8:$AJ$419,33,0)</f>
        <v>0</v>
      </c>
      <c r="AS215" s="209"/>
      <c r="AT215" s="411"/>
      <c r="AU215" s="411"/>
    </row>
    <row r="216" spans="1:47" s="390" customFormat="1" ht="18.75" customHeight="1">
      <c r="A216" s="167">
        <v>205</v>
      </c>
      <c r="B216" s="79" t="str">
        <f>IFERROR(VLOOKUP(A216,O.B.JUNE!$A$7:$C$448,2,0),0)</f>
        <v>NORDSTROM</v>
      </c>
      <c r="C216" s="174" t="str">
        <f>IFERROR(VLOOKUP(A216,O.B.JUNE!$A$7:$C$448,3,0),0)</f>
        <v>BP381295MI</v>
      </c>
      <c r="D216" s="80">
        <f t="shared" si="64"/>
        <v>0</v>
      </c>
      <c r="E216" s="80">
        <f>IFERROR(VLOOKUP(C216,O.B.JUNE!$C$7:$D$448,2,0),0)</f>
        <v>0</v>
      </c>
      <c r="F216" s="80">
        <v>0</v>
      </c>
      <c r="G216" s="80">
        <f>IFERROR(VLOOKUP(C216,O.B.JUNE!$C$7:$E$448,3,0),0)</f>
        <v>70</v>
      </c>
      <c r="H216" s="80">
        <f t="shared" si="63"/>
        <v>0</v>
      </c>
      <c r="I216" s="80"/>
      <c r="J216" s="80">
        <f t="shared" si="65"/>
        <v>70</v>
      </c>
      <c r="K216" s="80">
        <v>0</v>
      </c>
      <c r="L216" s="80">
        <v>0</v>
      </c>
      <c r="M216" s="81">
        <f t="shared" si="66"/>
        <v>0</v>
      </c>
      <c r="N216" s="81">
        <v>0</v>
      </c>
      <c r="O216" s="81">
        <v>0</v>
      </c>
      <c r="P216" s="81">
        <f t="shared" si="76"/>
        <v>0</v>
      </c>
      <c r="Q216" s="80">
        <f>IFERROR(VLOOKUP(C216,O.B.JUNE!$C$7:$K$448,7,0),0)</f>
        <v>0</v>
      </c>
      <c r="R216" s="80">
        <f>IFERROR(VLOOKUP(C216,O.B.JUNE!$C$7:$J$448,8,0),0)</f>
        <v>0</v>
      </c>
      <c r="S216" s="323">
        <f t="shared" si="67"/>
        <v>70</v>
      </c>
      <c r="T216" s="324">
        <v>0</v>
      </c>
      <c r="U216" s="324">
        <v>70</v>
      </c>
      <c r="V216" s="80"/>
      <c r="W216" s="324">
        <v>0</v>
      </c>
      <c r="X216" s="324"/>
      <c r="Y216" s="324">
        <v>0</v>
      </c>
      <c r="Z216" s="80">
        <v>0</v>
      </c>
      <c r="AA216" s="80">
        <f t="shared" si="68"/>
        <v>70</v>
      </c>
      <c r="AB216" s="323">
        <f t="shared" si="69"/>
        <v>0</v>
      </c>
      <c r="AC216" s="80">
        <f t="shared" si="74"/>
        <v>70</v>
      </c>
      <c r="AD216" s="80">
        <f t="shared" si="75"/>
        <v>70</v>
      </c>
      <c r="AE216" s="80"/>
      <c r="AF216" s="80"/>
      <c r="AG216" s="80"/>
      <c r="AH216" s="326">
        <f t="shared" si="70"/>
        <v>0</v>
      </c>
      <c r="AI216" s="326">
        <f t="shared" si="71"/>
        <v>0</v>
      </c>
      <c r="AJ216" s="326">
        <f t="shared" si="72"/>
        <v>0</v>
      </c>
      <c r="AK216" s="326">
        <f t="shared" si="73"/>
        <v>0</v>
      </c>
      <c r="AL216" s="326"/>
      <c r="AM216" s="326"/>
      <c r="AN216" s="326"/>
      <c r="AO216" s="326"/>
      <c r="AP216" s="326"/>
      <c r="AQ216" s="326"/>
      <c r="AR216" s="327">
        <f>VLOOKUP(C216,'[1]DA HET SAN XUAT'!$D$8:$AJ$419,33,0)</f>
        <v>0</v>
      </c>
      <c r="AS216" s="504" t="s">
        <v>658</v>
      </c>
      <c r="AT216" s="411"/>
      <c r="AU216" s="411"/>
    </row>
    <row r="217" spans="1:47" s="390" customFormat="1" ht="18.75" customHeight="1">
      <c r="A217" s="167">
        <v>206</v>
      </c>
      <c r="B217" s="79" t="str">
        <f>IFERROR(VLOOKUP(A217,O.B.JUNE!$A$7:$C$448,2,0),0)</f>
        <v>ALFANI</v>
      </c>
      <c r="C217" s="174">
        <f>IFERROR(VLOOKUP(A217,O.B.JUNE!$A$7:$C$448,3,0),0)</f>
        <v>100008598</v>
      </c>
      <c r="D217" s="80">
        <f t="shared" si="64"/>
        <v>0</v>
      </c>
      <c r="E217" s="80">
        <f>IFERROR(VLOOKUP(C217,O.B.JUNE!$C$7:$D$448,2,0),0)</f>
        <v>4348</v>
      </c>
      <c r="F217" s="80">
        <f>VLOOKUP(C217,'CUTTING ON JUNE'!$A$4:$D$316,3,0)</f>
        <v>4348</v>
      </c>
      <c r="G217" s="80">
        <f>IFERROR(VLOOKUP(C217,O.B.JUNE!$C$7:$E$448,3,0),0)</f>
        <v>91</v>
      </c>
      <c r="H217" s="80">
        <f t="shared" si="63"/>
        <v>0</v>
      </c>
      <c r="I217" s="80"/>
      <c r="J217" s="80">
        <f t="shared" si="65"/>
        <v>0</v>
      </c>
      <c r="K217" s="80">
        <v>0</v>
      </c>
      <c r="L217" s="80">
        <v>0</v>
      </c>
      <c r="M217" s="81">
        <f t="shared" si="66"/>
        <v>91</v>
      </c>
      <c r="N217" s="81">
        <v>0</v>
      </c>
      <c r="O217" s="81">
        <v>0</v>
      </c>
      <c r="P217" s="81">
        <f t="shared" si="76"/>
        <v>91</v>
      </c>
      <c r="Q217" s="80">
        <f>IFERROR(VLOOKUP(C217,O.B.JUNE!$C$7:$K$448,7,0),0)</f>
        <v>0</v>
      </c>
      <c r="R217" s="80">
        <f>IFERROR(VLOOKUP(C217,O.B.JUNE!$C$7:$J$448,8,0),0)</f>
        <v>0</v>
      </c>
      <c r="S217" s="323">
        <f t="shared" si="67"/>
        <v>0</v>
      </c>
      <c r="T217" s="324">
        <v>0</v>
      </c>
      <c r="U217" s="324"/>
      <c r="V217" s="80"/>
      <c r="W217" s="324">
        <v>0</v>
      </c>
      <c r="X217" s="324"/>
      <c r="Y217" s="324">
        <v>0</v>
      </c>
      <c r="Z217" s="80">
        <v>0</v>
      </c>
      <c r="AA217" s="80">
        <f t="shared" si="68"/>
        <v>0</v>
      </c>
      <c r="AB217" s="323">
        <f t="shared" si="69"/>
        <v>0</v>
      </c>
      <c r="AC217" s="80">
        <f t="shared" si="74"/>
        <v>0</v>
      </c>
      <c r="AD217" s="80">
        <f t="shared" si="75"/>
        <v>0</v>
      </c>
      <c r="AE217" s="80"/>
      <c r="AF217" s="80"/>
      <c r="AG217" s="80"/>
      <c r="AH217" s="326">
        <f t="shared" si="70"/>
        <v>0</v>
      </c>
      <c r="AI217" s="326">
        <f t="shared" si="71"/>
        <v>0</v>
      </c>
      <c r="AJ217" s="326">
        <f t="shared" si="72"/>
        <v>0</v>
      </c>
      <c r="AK217" s="326">
        <f t="shared" si="73"/>
        <v>0</v>
      </c>
      <c r="AL217" s="326"/>
      <c r="AM217" s="326"/>
      <c r="AN217" s="326"/>
      <c r="AO217" s="326"/>
      <c r="AP217" s="326"/>
      <c r="AQ217" s="326"/>
      <c r="AR217" s="327">
        <f>VLOOKUP(C217,'[1]DA HET SAN XUAT'!$D$8:$AJ$419,33,0)</f>
        <v>0</v>
      </c>
      <c r="AS217" s="209"/>
      <c r="AT217" s="411"/>
      <c r="AU217" s="411"/>
    </row>
    <row r="218" spans="1:47" s="390" customFormat="1" ht="18.75" customHeight="1">
      <c r="A218" s="167">
        <v>207</v>
      </c>
      <c r="B218" s="79" t="str">
        <f>IFERROR(VLOOKUP(A218,O.B.JUNE!$A$7:$C$448,2,0),0)</f>
        <v>ALFANI</v>
      </c>
      <c r="C218" s="174">
        <f>IFERROR(VLOOKUP(A218,O.B.JUNE!$A$7:$C$448,3,0),0)</f>
        <v>100008604</v>
      </c>
      <c r="D218" s="80">
        <f t="shared" si="64"/>
        <v>0</v>
      </c>
      <c r="E218" s="80">
        <f>IFERROR(VLOOKUP(C218,O.B.JUNE!$C$7:$D$448,2,0),0)</f>
        <v>0</v>
      </c>
      <c r="F218" s="80">
        <v>0</v>
      </c>
      <c r="G218" s="80">
        <f>IFERROR(VLOOKUP(C218,O.B.JUNE!$C$7:$E$448,3,0),0)</f>
        <v>154</v>
      </c>
      <c r="H218" s="80">
        <f t="shared" si="63"/>
        <v>0</v>
      </c>
      <c r="I218" s="80"/>
      <c r="J218" s="80">
        <f t="shared" si="65"/>
        <v>0</v>
      </c>
      <c r="K218" s="80">
        <v>0</v>
      </c>
      <c r="L218" s="80">
        <v>0</v>
      </c>
      <c r="M218" s="81">
        <f t="shared" si="66"/>
        <v>154</v>
      </c>
      <c r="N218" s="81">
        <v>0</v>
      </c>
      <c r="O218" s="81">
        <v>21</v>
      </c>
      <c r="P218" s="81">
        <f t="shared" si="76"/>
        <v>133</v>
      </c>
      <c r="Q218" s="80">
        <f>IFERROR(VLOOKUP(C218,O.B.JUNE!$C$7:$K$448,7,0),0)</f>
        <v>0</v>
      </c>
      <c r="R218" s="80">
        <f>IFERROR(VLOOKUP(C218,O.B.JUNE!$C$7:$J$448,8,0),0)</f>
        <v>0</v>
      </c>
      <c r="S218" s="323">
        <f t="shared" si="67"/>
        <v>0</v>
      </c>
      <c r="T218" s="324">
        <v>0</v>
      </c>
      <c r="U218" s="324"/>
      <c r="V218" s="80"/>
      <c r="W218" s="324">
        <v>0</v>
      </c>
      <c r="X218" s="324"/>
      <c r="Y218" s="324">
        <v>0</v>
      </c>
      <c r="Z218" s="80">
        <v>0</v>
      </c>
      <c r="AA218" s="80">
        <f t="shared" si="68"/>
        <v>0</v>
      </c>
      <c r="AB218" s="323">
        <f t="shared" si="69"/>
        <v>0</v>
      </c>
      <c r="AC218" s="80">
        <f t="shared" si="74"/>
        <v>0</v>
      </c>
      <c r="AD218" s="80">
        <f t="shared" si="75"/>
        <v>0</v>
      </c>
      <c r="AE218" s="80"/>
      <c r="AF218" s="80"/>
      <c r="AG218" s="80"/>
      <c r="AH218" s="326">
        <f t="shared" si="70"/>
        <v>0</v>
      </c>
      <c r="AI218" s="326">
        <f t="shared" si="71"/>
        <v>0</v>
      </c>
      <c r="AJ218" s="326">
        <f t="shared" si="72"/>
        <v>0</v>
      </c>
      <c r="AK218" s="326">
        <f t="shared" si="73"/>
        <v>0</v>
      </c>
      <c r="AL218" s="326"/>
      <c r="AM218" s="326"/>
      <c r="AN218" s="326"/>
      <c r="AO218" s="326"/>
      <c r="AP218" s="326"/>
      <c r="AQ218" s="326"/>
      <c r="AR218" s="327"/>
      <c r="AS218" s="209"/>
      <c r="AT218" s="411"/>
      <c r="AU218" s="411"/>
    </row>
    <row r="219" spans="1:47" s="390" customFormat="1" ht="18.75" customHeight="1">
      <c r="A219" s="167">
        <v>208</v>
      </c>
      <c r="B219" s="79" t="str">
        <f>IFERROR(VLOOKUP(A219,O.B.JUNE!$A$7:$C$448,2,0),0)</f>
        <v>ALFANI</v>
      </c>
      <c r="C219" s="174">
        <f>IFERROR(VLOOKUP(A219,O.B.JUNE!$A$7:$C$448,3,0),0)</f>
        <v>100008605</v>
      </c>
      <c r="D219" s="80">
        <f t="shared" si="64"/>
        <v>0</v>
      </c>
      <c r="E219" s="80">
        <f>IFERROR(VLOOKUP(C219,O.B.JUNE!$C$7:$D$448,2,0),0)</f>
        <v>6330</v>
      </c>
      <c r="F219" s="80">
        <f>VLOOKUP(C219,'CUTTING ON JUNE'!$A$4:$D$316,3,0)</f>
        <v>6330</v>
      </c>
      <c r="G219" s="80">
        <f>IFERROR(VLOOKUP(C219,O.B.JUNE!$C$7:$E$448,3,0),0)</f>
        <v>222</v>
      </c>
      <c r="H219" s="80">
        <f t="shared" si="63"/>
        <v>0</v>
      </c>
      <c r="I219" s="80"/>
      <c r="J219" s="80">
        <f t="shared" si="65"/>
        <v>0</v>
      </c>
      <c r="K219" s="80">
        <v>0</v>
      </c>
      <c r="L219" s="80">
        <v>0</v>
      </c>
      <c r="M219" s="81">
        <f t="shared" si="66"/>
        <v>222</v>
      </c>
      <c r="N219" s="81">
        <v>0</v>
      </c>
      <c r="O219" s="81">
        <v>0</v>
      </c>
      <c r="P219" s="81">
        <f t="shared" si="76"/>
        <v>222</v>
      </c>
      <c r="Q219" s="80">
        <f>IFERROR(VLOOKUP(C219,O.B.JUNE!$C$7:$K$448,7,0),0)</f>
        <v>0</v>
      </c>
      <c r="R219" s="80">
        <f>IFERROR(VLOOKUP(C219,O.B.JUNE!$C$7:$J$448,8,0),0)</f>
        <v>0</v>
      </c>
      <c r="S219" s="323">
        <f t="shared" si="67"/>
        <v>0</v>
      </c>
      <c r="T219" s="324">
        <v>0</v>
      </c>
      <c r="U219" s="324"/>
      <c r="V219" s="80"/>
      <c r="W219" s="324">
        <v>0</v>
      </c>
      <c r="X219" s="324"/>
      <c r="Y219" s="324">
        <v>0</v>
      </c>
      <c r="Z219" s="80">
        <v>0</v>
      </c>
      <c r="AA219" s="80">
        <f t="shared" si="68"/>
        <v>0</v>
      </c>
      <c r="AB219" s="323">
        <f t="shared" si="69"/>
        <v>0</v>
      </c>
      <c r="AC219" s="80">
        <f t="shared" si="74"/>
        <v>0</v>
      </c>
      <c r="AD219" s="80">
        <f t="shared" si="75"/>
        <v>0</v>
      </c>
      <c r="AE219" s="80"/>
      <c r="AF219" s="80"/>
      <c r="AG219" s="80"/>
      <c r="AH219" s="326">
        <f t="shared" si="70"/>
        <v>0</v>
      </c>
      <c r="AI219" s="326">
        <f t="shared" si="71"/>
        <v>0</v>
      </c>
      <c r="AJ219" s="326">
        <f t="shared" si="72"/>
        <v>0</v>
      </c>
      <c r="AK219" s="326">
        <f t="shared" si="73"/>
        <v>0</v>
      </c>
      <c r="AL219" s="326"/>
      <c r="AM219" s="326"/>
      <c r="AN219" s="326"/>
      <c r="AO219" s="326"/>
      <c r="AP219" s="326"/>
      <c r="AQ219" s="326"/>
      <c r="AR219" s="327"/>
      <c r="AS219" s="209"/>
      <c r="AT219" s="411"/>
      <c r="AU219" s="411"/>
    </row>
    <row r="220" spans="1:47" s="390" customFormat="1" ht="18.75" customHeight="1">
      <c r="A220" s="167">
        <v>209</v>
      </c>
      <c r="B220" s="79" t="str">
        <f>IFERROR(VLOOKUP(A220,O.B.JUNE!$A$7:$C$448,2,0),0)</f>
        <v>ALFANI</v>
      </c>
      <c r="C220" s="174">
        <f>IFERROR(VLOOKUP(A220,O.B.JUNE!$A$7:$C$448,3,0),0)</f>
        <v>100008607</v>
      </c>
      <c r="D220" s="80">
        <f t="shared" si="64"/>
        <v>0</v>
      </c>
      <c r="E220" s="80">
        <f>IFERROR(VLOOKUP(C220,O.B.JUNE!$C$7:$D$448,2,0),0)</f>
        <v>0</v>
      </c>
      <c r="F220" s="80">
        <v>0</v>
      </c>
      <c r="G220" s="80">
        <f>IFERROR(VLOOKUP(C220,O.B.JUNE!$C$7:$E$448,3,0),0)</f>
        <v>146</v>
      </c>
      <c r="H220" s="80">
        <f t="shared" si="63"/>
        <v>0</v>
      </c>
      <c r="I220" s="80"/>
      <c r="J220" s="80">
        <f t="shared" si="65"/>
        <v>0</v>
      </c>
      <c r="K220" s="80">
        <v>0</v>
      </c>
      <c r="L220" s="80">
        <v>0</v>
      </c>
      <c r="M220" s="81">
        <f t="shared" si="66"/>
        <v>146</v>
      </c>
      <c r="N220" s="81">
        <v>0</v>
      </c>
      <c r="O220" s="81">
        <v>0</v>
      </c>
      <c r="P220" s="81">
        <f t="shared" si="76"/>
        <v>146</v>
      </c>
      <c r="Q220" s="80">
        <f>IFERROR(VLOOKUP(C220,O.B.JUNE!$C$7:$K$448,7,0),0)</f>
        <v>0</v>
      </c>
      <c r="R220" s="80">
        <f>IFERROR(VLOOKUP(C220,O.B.JUNE!$C$7:$J$448,8,0),0)</f>
        <v>0</v>
      </c>
      <c r="S220" s="323">
        <f t="shared" si="67"/>
        <v>0</v>
      </c>
      <c r="T220" s="324">
        <v>0</v>
      </c>
      <c r="U220" s="324"/>
      <c r="V220" s="80"/>
      <c r="W220" s="324">
        <v>0</v>
      </c>
      <c r="X220" s="324"/>
      <c r="Y220" s="324">
        <v>0</v>
      </c>
      <c r="Z220" s="80">
        <v>0</v>
      </c>
      <c r="AA220" s="80">
        <f t="shared" si="68"/>
        <v>0</v>
      </c>
      <c r="AB220" s="323">
        <f t="shared" si="69"/>
        <v>0</v>
      </c>
      <c r="AC220" s="80">
        <f t="shared" si="74"/>
        <v>0</v>
      </c>
      <c r="AD220" s="80">
        <f t="shared" si="75"/>
        <v>0</v>
      </c>
      <c r="AE220" s="80"/>
      <c r="AF220" s="80"/>
      <c r="AG220" s="80"/>
      <c r="AH220" s="326">
        <f t="shared" si="70"/>
        <v>0</v>
      </c>
      <c r="AI220" s="326">
        <f t="shared" si="71"/>
        <v>0</v>
      </c>
      <c r="AJ220" s="326">
        <f t="shared" si="72"/>
        <v>0</v>
      </c>
      <c r="AK220" s="326">
        <f t="shared" si="73"/>
        <v>0</v>
      </c>
      <c r="AL220" s="326"/>
      <c r="AM220" s="326"/>
      <c r="AN220" s="326"/>
      <c r="AO220" s="326"/>
      <c r="AP220" s="326"/>
      <c r="AQ220" s="326"/>
      <c r="AR220" s="327"/>
      <c r="AS220" s="209"/>
      <c r="AT220" s="411"/>
      <c r="AU220" s="411"/>
    </row>
    <row r="221" spans="1:47" s="390" customFormat="1" ht="18.75" customHeight="1">
      <c r="A221" s="167">
        <v>210</v>
      </c>
      <c r="B221" s="79" t="str">
        <f>IFERROR(VLOOKUP(A221,O.B.JUNE!$A$7:$C$448,2,0),0)</f>
        <v>ALFANI</v>
      </c>
      <c r="C221" s="174">
        <f>IFERROR(VLOOKUP(A221,O.B.JUNE!$A$7:$C$448,3,0),0)</f>
        <v>100008660</v>
      </c>
      <c r="D221" s="80">
        <f t="shared" si="64"/>
        <v>0</v>
      </c>
      <c r="E221" s="80">
        <f>IFERROR(VLOOKUP(C221,O.B.JUNE!$C$7:$D$448,2,0),0)</f>
        <v>4774</v>
      </c>
      <c r="F221" s="80">
        <f>VLOOKUP(C221,'CUTTING ON JUNE'!$A$4:$D$316,3,0)</f>
        <v>4774</v>
      </c>
      <c r="G221" s="80">
        <f>IFERROR(VLOOKUP(C221,O.B.JUNE!$C$7:$E$448,3,0),0)</f>
        <v>195</v>
      </c>
      <c r="H221" s="80">
        <f t="shared" si="63"/>
        <v>0</v>
      </c>
      <c r="I221" s="80"/>
      <c r="J221" s="80">
        <f t="shared" si="65"/>
        <v>0</v>
      </c>
      <c r="K221" s="80">
        <v>0</v>
      </c>
      <c r="L221" s="80">
        <v>0</v>
      </c>
      <c r="M221" s="81">
        <f t="shared" si="66"/>
        <v>195</v>
      </c>
      <c r="N221" s="81">
        <v>0</v>
      </c>
      <c r="O221" s="81">
        <v>0</v>
      </c>
      <c r="P221" s="81">
        <f t="shared" si="76"/>
        <v>195</v>
      </c>
      <c r="Q221" s="80">
        <f>IFERROR(VLOOKUP(C221,O.B.JUNE!$C$7:$K$448,7,0),0)</f>
        <v>0</v>
      </c>
      <c r="R221" s="80">
        <f>IFERROR(VLOOKUP(C221,O.B.JUNE!$C$7:$J$448,8,0),0)</f>
        <v>0</v>
      </c>
      <c r="S221" s="323">
        <f t="shared" si="67"/>
        <v>0</v>
      </c>
      <c r="T221" s="324">
        <v>0</v>
      </c>
      <c r="U221" s="324"/>
      <c r="V221" s="80"/>
      <c r="W221" s="324">
        <v>0</v>
      </c>
      <c r="X221" s="324"/>
      <c r="Y221" s="324">
        <v>0</v>
      </c>
      <c r="Z221" s="80">
        <v>0</v>
      </c>
      <c r="AA221" s="80">
        <f t="shared" si="68"/>
        <v>0</v>
      </c>
      <c r="AB221" s="323">
        <f t="shared" si="69"/>
        <v>0</v>
      </c>
      <c r="AC221" s="80">
        <f t="shared" si="74"/>
        <v>0</v>
      </c>
      <c r="AD221" s="80">
        <f t="shared" si="75"/>
        <v>0</v>
      </c>
      <c r="AE221" s="80"/>
      <c r="AF221" s="80"/>
      <c r="AG221" s="80"/>
      <c r="AH221" s="326">
        <f t="shared" si="70"/>
        <v>0</v>
      </c>
      <c r="AI221" s="326">
        <f t="shared" si="71"/>
        <v>0</v>
      </c>
      <c r="AJ221" s="326">
        <f t="shared" si="72"/>
        <v>0</v>
      </c>
      <c r="AK221" s="326">
        <f t="shared" si="73"/>
        <v>0</v>
      </c>
      <c r="AL221" s="326"/>
      <c r="AM221" s="326"/>
      <c r="AN221" s="326"/>
      <c r="AO221" s="326"/>
      <c r="AP221" s="326"/>
      <c r="AQ221" s="326"/>
      <c r="AR221" s="327">
        <f>VLOOKUP(C221,'[1]DA HET SAN XUAT'!$D$8:$AJ$419,33,0)</f>
        <v>0</v>
      </c>
      <c r="AS221" s="209"/>
      <c r="AT221" s="411"/>
      <c r="AU221" s="411"/>
    </row>
    <row r="222" spans="1:47" s="390" customFormat="1" ht="18.75" customHeight="1">
      <c r="A222" s="167">
        <v>211</v>
      </c>
      <c r="B222" s="79" t="str">
        <f>IFERROR(VLOOKUP(A222,O.B.JUNE!$A$7:$C$448,2,0),0)</f>
        <v>ALFANI</v>
      </c>
      <c r="C222" s="174">
        <f>IFERROR(VLOOKUP(A222,O.B.JUNE!$A$7:$C$448,3,0),0)</f>
        <v>100008746</v>
      </c>
      <c r="D222" s="80">
        <f t="shared" si="64"/>
        <v>0</v>
      </c>
      <c r="E222" s="80">
        <f>IFERROR(VLOOKUP(C222,O.B.JUNE!$C$7:$D$448,2,0),0)</f>
        <v>773</v>
      </c>
      <c r="F222" s="80">
        <f>VLOOKUP(C222,'CUTTING ON JUNE'!$A$4:$D$316,3,0)</f>
        <v>773</v>
      </c>
      <c r="G222" s="80">
        <f>IFERROR(VLOOKUP(C222,O.B.JUNE!$C$7:$E$448,3,0),0)</f>
        <v>25</v>
      </c>
      <c r="H222" s="80">
        <f t="shared" si="63"/>
        <v>0</v>
      </c>
      <c r="I222" s="80"/>
      <c r="J222" s="80">
        <f t="shared" si="65"/>
        <v>0</v>
      </c>
      <c r="K222" s="80">
        <v>0</v>
      </c>
      <c r="L222" s="80">
        <v>0</v>
      </c>
      <c r="M222" s="81">
        <f t="shared" si="66"/>
        <v>25</v>
      </c>
      <c r="N222" s="81">
        <v>0</v>
      </c>
      <c r="O222" s="81">
        <v>0</v>
      </c>
      <c r="P222" s="81">
        <f t="shared" si="76"/>
        <v>25</v>
      </c>
      <c r="Q222" s="80">
        <f>IFERROR(VLOOKUP(C222,O.B.JUNE!$C$7:$K$448,7,0),0)</f>
        <v>0</v>
      </c>
      <c r="R222" s="80">
        <f>IFERROR(VLOOKUP(C222,O.B.JUNE!$C$7:$J$448,8,0),0)</f>
        <v>0</v>
      </c>
      <c r="S222" s="323">
        <f t="shared" si="67"/>
        <v>0</v>
      </c>
      <c r="T222" s="324">
        <v>0</v>
      </c>
      <c r="U222" s="324"/>
      <c r="V222" s="80"/>
      <c r="W222" s="324">
        <v>0</v>
      </c>
      <c r="X222" s="324"/>
      <c r="Y222" s="324">
        <v>0</v>
      </c>
      <c r="Z222" s="80">
        <v>0</v>
      </c>
      <c r="AA222" s="80">
        <f t="shared" si="68"/>
        <v>0</v>
      </c>
      <c r="AB222" s="323">
        <f t="shared" si="69"/>
        <v>0</v>
      </c>
      <c r="AC222" s="80">
        <f t="shared" si="74"/>
        <v>0</v>
      </c>
      <c r="AD222" s="80">
        <f t="shared" si="75"/>
        <v>0</v>
      </c>
      <c r="AE222" s="80"/>
      <c r="AF222" s="80"/>
      <c r="AG222" s="80"/>
      <c r="AH222" s="326">
        <f t="shared" si="70"/>
        <v>0</v>
      </c>
      <c r="AI222" s="326">
        <f t="shared" si="71"/>
        <v>0</v>
      </c>
      <c r="AJ222" s="326">
        <f t="shared" si="72"/>
        <v>0</v>
      </c>
      <c r="AK222" s="326">
        <f t="shared" si="73"/>
        <v>0</v>
      </c>
      <c r="AL222" s="326"/>
      <c r="AM222" s="326"/>
      <c r="AN222" s="326"/>
      <c r="AO222" s="326"/>
      <c r="AP222" s="326"/>
      <c r="AQ222" s="326"/>
      <c r="AR222" s="327"/>
      <c r="AS222" s="209"/>
      <c r="AT222" s="411"/>
      <c r="AU222" s="411"/>
    </row>
    <row r="223" spans="1:47" s="390" customFormat="1" ht="18.75" customHeight="1">
      <c r="A223" s="167">
        <v>212</v>
      </c>
      <c r="B223" s="79" t="str">
        <f>IFERROR(VLOOKUP(A223,O.B.JUNE!$A$7:$C$448,2,0),0)</f>
        <v>ALFANI</v>
      </c>
      <c r="C223" s="174">
        <f>IFERROR(VLOOKUP(A223,O.B.JUNE!$A$7:$C$448,3,0),0)</f>
        <v>100009162</v>
      </c>
      <c r="D223" s="80">
        <f t="shared" si="64"/>
        <v>0</v>
      </c>
      <c r="E223" s="80">
        <f>IFERROR(VLOOKUP(C223,O.B.JUNE!$C$7:$D$448,2,0),0)</f>
        <v>0</v>
      </c>
      <c r="F223" s="80">
        <v>0</v>
      </c>
      <c r="G223" s="80">
        <f>IFERROR(VLOOKUP(C223,O.B.JUNE!$C$7:$E$448,3,0),0)</f>
        <v>86</v>
      </c>
      <c r="H223" s="80">
        <f t="shared" si="63"/>
        <v>0</v>
      </c>
      <c r="I223" s="80"/>
      <c r="J223" s="80">
        <f t="shared" si="65"/>
        <v>0</v>
      </c>
      <c r="K223" s="80">
        <v>0</v>
      </c>
      <c r="L223" s="80">
        <v>0</v>
      </c>
      <c r="M223" s="81">
        <f t="shared" si="66"/>
        <v>86</v>
      </c>
      <c r="N223" s="81">
        <v>0</v>
      </c>
      <c r="O223" s="81">
        <v>0</v>
      </c>
      <c r="P223" s="81">
        <f t="shared" si="76"/>
        <v>86</v>
      </c>
      <c r="Q223" s="80">
        <f>IFERROR(VLOOKUP(C223,O.B.JUNE!$C$7:$K$448,7,0),0)</f>
        <v>0</v>
      </c>
      <c r="R223" s="80">
        <f>IFERROR(VLOOKUP(C223,O.B.JUNE!$C$7:$J$448,8,0),0)</f>
        <v>0</v>
      </c>
      <c r="S223" s="323">
        <f t="shared" si="67"/>
        <v>0</v>
      </c>
      <c r="T223" s="324">
        <v>0</v>
      </c>
      <c r="U223" s="324"/>
      <c r="V223" s="80"/>
      <c r="W223" s="324">
        <v>0</v>
      </c>
      <c r="X223" s="324"/>
      <c r="Y223" s="324">
        <v>0</v>
      </c>
      <c r="Z223" s="80">
        <v>0</v>
      </c>
      <c r="AA223" s="80">
        <f t="shared" si="68"/>
        <v>0</v>
      </c>
      <c r="AB223" s="323">
        <f t="shared" si="69"/>
        <v>0</v>
      </c>
      <c r="AC223" s="80">
        <f t="shared" si="74"/>
        <v>0</v>
      </c>
      <c r="AD223" s="80">
        <f t="shared" si="75"/>
        <v>0</v>
      </c>
      <c r="AE223" s="80"/>
      <c r="AF223" s="80"/>
      <c r="AG223" s="80"/>
      <c r="AH223" s="326">
        <f t="shared" si="70"/>
        <v>0</v>
      </c>
      <c r="AI223" s="326">
        <f t="shared" si="71"/>
        <v>0</v>
      </c>
      <c r="AJ223" s="326">
        <f t="shared" si="72"/>
        <v>0</v>
      </c>
      <c r="AK223" s="326">
        <f t="shared" si="73"/>
        <v>0</v>
      </c>
      <c r="AL223" s="326"/>
      <c r="AM223" s="326"/>
      <c r="AN223" s="326"/>
      <c r="AO223" s="326"/>
      <c r="AP223" s="326"/>
      <c r="AQ223" s="326"/>
      <c r="AR223" s="327">
        <f>VLOOKUP(C223,'[1]DA HET SAN XUAT'!$D$8:$AJ$419,33,0)</f>
        <v>0</v>
      </c>
      <c r="AS223" s="209"/>
      <c r="AT223" s="411"/>
      <c r="AU223" s="411"/>
    </row>
    <row r="224" spans="1:47" s="390" customFormat="1" ht="18.75" customHeight="1">
      <c r="A224" s="167">
        <v>213</v>
      </c>
      <c r="B224" s="79" t="str">
        <f>IFERROR(VLOOKUP(A224,O.B.JUNE!$A$7:$C$448,2,0),0)</f>
        <v>ALFANI</v>
      </c>
      <c r="C224" s="174">
        <f>IFERROR(VLOOKUP(A224,O.B.JUNE!$A$7:$C$448,3,0),0)</f>
        <v>100009622</v>
      </c>
      <c r="D224" s="80">
        <f t="shared" si="64"/>
        <v>0</v>
      </c>
      <c r="E224" s="80">
        <f>IFERROR(VLOOKUP(C224,O.B.JUNE!$C$7:$D$448,2,0),0)</f>
        <v>2284</v>
      </c>
      <c r="F224" s="80">
        <f>VLOOKUP(C224,'CUTTING ON JUNE'!$A$4:$D$316,3,0)</f>
        <v>2284</v>
      </c>
      <c r="G224" s="80">
        <f>IFERROR(VLOOKUP(C224,O.B.JUNE!$C$7:$E$448,3,0),0)</f>
        <v>425</v>
      </c>
      <c r="H224" s="80">
        <f t="shared" si="63"/>
        <v>0</v>
      </c>
      <c r="I224" s="80"/>
      <c r="J224" s="80">
        <f t="shared" si="65"/>
        <v>0</v>
      </c>
      <c r="K224" s="80">
        <v>0</v>
      </c>
      <c r="L224" s="80">
        <v>0</v>
      </c>
      <c r="M224" s="81">
        <f t="shared" si="66"/>
        <v>425</v>
      </c>
      <c r="N224" s="81">
        <v>0</v>
      </c>
      <c r="O224" s="81">
        <v>189</v>
      </c>
      <c r="P224" s="81">
        <f t="shared" si="76"/>
        <v>236</v>
      </c>
      <c r="Q224" s="80">
        <f>IFERROR(VLOOKUP(C224,O.B.JUNE!$C$7:$K$448,7,0),0)</f>
        <v>0</v>
      </c>
      <c r="R224" s="80">
        <f>IFERROR(VLOOKUP(C224,O.B.JUNE!$C$7:$J$448,8,0),0)</f>
        <v>0</v>
      </c>
      <c r="S224" s="323">
        <f t="shared" si="67"/>
        <v>0</v>
      </c>
      <c r="T224" s="324">
        <v>0</v>
      </c>
      <c r="U224" s="324"/>
      <c r="V224" s="80"/>
      <c r="W224" s="324">
        <v>0</v>
      </c>
      <c r="X224" s="324"/>
      <c r="Y224" s="324">
        <v>0</v>
      </c>
      <c r="Z224" s="80">
        <v>0</v>
      </c>
      <c r="AA224" s="80">
        <f t="shared" si="68"/>
        <v>0</v>
      </c>
      <c r="AB224" s="323">
        <f t="shared" si="69"/>
        <v>0</v>
      </c>
      <c r="AC224" s="80">
        <f t="shared" si="74"/>
        <v>0</v>
      </c>
      <c r="AD224" s="80">
        <f t="shared" si="75"/>
        <v>0</v>
      </c>
      <c r="AE224" s="80"/>
      <c r="AF224" s="80"/>
      <c r="AG224" s="80"/>
      <c r="AH224" s="326">
        <f t="shared" si="70"/>
        <v>0</v>
      </c>
      <c r="AI224" s="326">
        <f t="shared" si="71"/>
        <v>0</v>
      </c>
      <c r="AJ224" s="326">
        <f t="shared" si="72"/>
        <v>0</v>
      </c>
      <c r="AK224" s="326">
        <f t="shared" si="73"/>
        <v>0</v>
      </c>
      <c r="AL224" s="326"/>
      <c r="AM224" s="326"/>
      <c r="AN224" s="326"/>
      <c r="AO224" s="326"/>
      <c r="AP224" s="326"/>
      <c r="AQ224" s="326"/>
      <c r="AR224" s="327"/>
      <c r="AS224" s="209"/>
      <c r="AT224" s="411"/>
      <c r="AU224" s="411"/>
    </row>
    <row r="225" spans="1:47" s="390" customFormat="1" ht="18.75" customHeight="1">
      <c r="A225" s="167">
        <v>214</v>
      </c>
      <c r="B225" s="79" t="str">
        <f>IFERROR(VLOOKUP(A225,O.B.JUNE!$A$7:$C$448,2,0),0)</f>
        <v>ALFANI</v>
      </c>
      <c r="C225" s="174">
        <f>IFERROR(VLOOKUP(A225,O.B.JUNE!$A$7:$C$448,3,0),0)</f>
        <v>100015352</v>
      </c>
      <c r="D225" s="80">
        <f t="shared" si="64"/>
        <v>0</v>
      </c>
      <c r="E225" s="80">
        <f>IFERROR(VLOOKUP(C225,O.B.JUNE!$C$7:$D$448,2,0),0)</f>
        <v>9258</v>
      </c>
      <c r="F225" s="80">
        <f>VLOOKUP(C225,'CUTTING ON JUNE'!$A$4:$D$316,3,0)</f>
        <v>9258</v>
      </c>
      <c r="G225" s="80">
        <f>IFERROR(VLOOKUP(C225,O.B.JUNE!$C$7:$E$448,3,0),0)</f>
        <v>261</v>
      </c>
      <c r="H225" s="80">
        <f t="shared" si="63"/>
        <v>0</v>
      </c>
      <c r="I225" s="80"/>
      <c r="J225" s="80">
        <f t="shared" si="65"/>
        <v>0</v>
      </c>
      <c r="K225" s="80">
        <v>0</v>
      </c>
      <c r="L225" s="80">
        <v>0</v>
      </c>
      <c r="M225" s="81">
        <f t="shared" si="66"/>
        <v>261</v>
      </c>
      <c r="N225" s="81">
        <v>0</v>
      </c>
      <c r="O225" s="81">
        <v>163</v>
      </c>
      <c r="P225" s="81">
        <f t="shared" si="76"/>
        <v>98</v>
      </c>
      <c r="Q225" s="80">
        <f>IFERROR(VLOOKUP(C225,O.B.JUNE!$C$7:$K$448,7,0),0)</f>
        <v>0</v>
      </c>
      <c r="R225" s="80">
        <f>IFERROR(VLOOKUP(C225,O.B.JUNE!$C$7:$J$448,8,0),0)</f>
        <v>0</v>
      </c>
      <c r="S225" s="323">
        <f t="shared" si="67"/>
        <v>0</v>
      </c>
      <c r="T225" s="324">
        <v>0</v>
      </c>
      <c r="U225" s="324"/>
      <c r="V225" s="80"/>
      <c r="W225" s="324">
        <v>0</v>
      </c>
      <c r="X225" s="324"/>
      <c r="Y225" s="324">
        <v>0</v>
      </c>
      <c r="Z225" s="80">
        <v>0</v>
      </c>
      <c r="AA225" s="80">
        <f t="shared" si="68"/>
        <v>0</v>
      </c>
      <c r="AB225" s="323">
        <f t="shared" si="69"/>
        <v>0</v>
      </c>
      <c r="AC225" s="80">
        <f t="shared" si="74"/>
        <v>0</v>
      </c>
      <c r="AD225" s="80">
        <f t="shared" si="75"/>
        <v>0</v>
      </c>
      <c r="AE225" s="80"/>
      <c r="AF225" s="80"/>
      <c r="AG225" s="80"/>
      <c r="AH225" s="326">
        <f t="shared" si="70"/>
        <v>0</v>
      </c>
      <c r="AI225" s="326">
        <f t="shared" si="71"/>
        <v>0</v>
      </c>
      <c r="AJ225" s="326">
        <f t="shared" si="72"/>
        <v>0</v>
      </c>
      <c r="AK225" s="326">
        <f t="shared" si="73"/>
        <v>0</v>
      </c>
      <c r="AL225" s="326"/>
      <c r="AM225" s="326"/>
      <c r="AN225" s="326"/>
      <c r="AO225" s="326"/>
      <c r="AP225" s="326"/>
      <c r="AQ225" s="326"/>
      <c r="AR225" s="327"/>
      <c r="AS225" s="209"/>
      <c r="AT225" s="411"/>
      <c r="AU225" s="411"/>
    </row>
    <row r="226" spans="1:47" s="390" customFormat="1" ht="18.75" customHeight="1">
      <c r="A226" s="167">
        <v>215</v>
      </c>
      <c r="B226" s="79" t="str">
        <f>IFERROR(VLOOKUP(A226,O.B.JUNE!$A$7:$C$448,2,0),0)</f>
        <v>ALFANI</v>
      </c>
      <c r="C226" s="174">
        <f>IFERROR(VLOOKUP(A226,O.B.JUNE!$A$7:$C$448,3,0),0)</f>
        <v>100015355</v>
      </c>
      <c r="D226" s="80">
        <f t="shared" si="64"/>
        <v>0</v>
      </c>
      <c r="E226" s="80">
        <f>IFERROR(VLOOKUP(C226,O.B.JUNE!$C$7:$D$448,2,0),0)</f>
        <v>4812</v>
      </c>
      <c r="F226" s="80">
        <f>VLOOKUP(C226,'CUTTING ON JUNE'!$A$4:$D$316,3,0)</f>
        <v>4812</v>
      </c>
      <c r="G226" s="80">
        <f>IFERROR(VLOOKUP(C226,O.B.JUNE!$C$7:$E$448,3,0),0)</f>
        <v>344</v>
      </c>
      <c r="H226" s="80">
        <f t="shared" si="63"/>
        <v>0</v>
      </c>
      <c r="I226" s="80"/>
      <c r="J226" s="80">
        <f t="shared" si="65"/>
        <v>0</v>
      </c>
      <c r="K226" s="80">
        <v>0</v>
      </c>
      <c r="L226" s="80">
        <v>0</v>
      </c>
      <c r="M226" s="81">
        <f t="shared" si="66"/>
        <v>344</v>
      </c>
      <c r="N226" s="81">
        <v>0</v>
      </c>
      <c r="O226" s="81">
        <v>104</v>
      </c>
      <c r="P226" s="81">
        <f t="shared" si="76"/>
        <v>240</v>
      </c>
      <c r="Q226" s="80">
        <f>IFERROR(VLOOKUP(C226,O.B.JUNE!$C$7:$K$448,7,0),0)</f>
        <v>0</v>
      </c>
      <c r="R226" s="80">
        <f>IFERROR(VLOOKUP(C226,O.B.JUNE!$C$7:$J$448,8,0),0)</f>
        <v>0</v>
      </c>
      <c r="S226" s="323">
        <f t="shared" si="67"/>
        <v>0</v>
      </c>
      <c r="T226" s="324">
        <v>0</v>
      </c>
      <c r="U226" s="324"/>
      <c r="V226" s="80"/>
      <c r="W226" s="324">
        <v>0</v>
      </c>
      <c r="X226" s="324"/>
      <c r="Y226" s="324">
        <v>0</v>
      </c>
      <c r="Z226" s="80">
        <v>0</v>
      </c>
      <c r="AA226" s="80">
        <f t="shared" si="68"/>
        <v>0</v>
      </c>
      <c r="AB226" s="323">
        <f t="shared" si="69"/>
        <v>0</v>
      </c>
      <c r="AC226" s="80">
        <f t="shared" si="74"/>
        <v>0</v>
      </c>
      <c r="AD226" s="80">
        <f t="shared" si="75"/>
        <v>0</v>
      </c>
      <c r="AE226" s="80"/>
      <c r="AF226" s="80"/>
      <c r="AG226" s="80"/>
      <c r="AH226" s="326">
        <f t="shared" si="70"/>
        <v>0</v>
      </c>
      <c r="AI226" s="326">
        <f t="shared" si="71"/>
        <v>0</v>
      </c>
      <c r="AJ226" s="326">
        <f t="shared" si="72"/>
        <v>0</v>
      </c>
      <c r="AK226" s="326">
        <f t="shared" si="73"/>
        <v>0</v>
      </c>
      <c r="AL226" s="326"/>
      <c r="AM226" s="326"/>
      <c r="AN226" s="326"/>
      <c r="AO226" s="326"/>
      <c r="AP226" s="326"/>
      <c r="AQ226" s="326"/>
      <c r="AR226" s="327"/>
      <c r="AS226" s="209"/>
      <c r="AT226" s="411"/>
      <c r="AU226" s="411"/>
    </row>
    <row r="227" spans="1:47" s="390" customFormat="1" ht="18.75" customHeight="1">
      <c r="A227" s="167">
        <v>216</v>
      </c>
      <c r="B227" s="79" t="str">
        <f>IFERROR(VLOOKUP(A227,O.B.JUNE!$A$7:$C$448,2,0),0)</f>
        <v>ALFANI</v>
      </c>
      <c r="C227" s="174">
        <f>IFERROR(VLOOKUP(A227,O.B.JUNE!$A$7:$C$448,3,0),0)</f>
        <v>100015669</v>
      </c>
      <c r="D227" s="80">
        <f t="shared" si="64"/>
        <v>6295</v>
      </c>
      <c r="E227" s="80">
        <f>IFERROR(VLOOKUP(C227,O.B.JUNE!$C$7:$D$448,2,0),0)</f>
        <v>1170</v>
      </c>
      <c r="F227" s="80">
        <f>VLOOKUP(C227,'CUTTING ON JUNE'!$A$4:$D$316,3,0)</f>
        <v>7465</v>
      </c>
      <c r="G227" s="80">
        <f>IFERROR(VLOOKUP(C227,O.B.JUNE!$C$7:$E$448,3,0),0)</f>
        <v>14</v>
      </c>
      <c r="H227" s="80">
        <f t="shared" si="63"/>
        <v>6295</v>
      </c>
      <c r="I227" s="80"/>
      <c r="J227" s="80">
        <f t="shared" si="65"/>
        <v>0</v>
      </c>
      <c r="K227" s="80">
        <v>0</v>
      </c>
      <c r="L227" s="80">
        <v>0</v>
      </c>
      <c r="M227" s="81">
        <f>ROUND(IF(ISERROR(F227-S227-K227-L227-R227),0,(F227-S227-K227-L227+Q227+R227+G227-E227)),0)</f>
        <v>6309</v>
      </c>
      <c r="N227" s="81">
        <v>0</v>
      </c>
      <c r="O227" s="81">
        <v>0</v>
      </c>
      <c r="P227" s="81">
        <f t="shared" si="76"/>
        <v>6309</v>
      </c>
      <c r="Q227" s="80">
        <f>IFERROR(VLOOKUP(C227,O.B.JUNE!$C$7:$K$448,7,0),0)</f>
        <v>0</v>
      </c>
      <c r="R227" s="80">
        <f>IFERROR(VLOOKUP(C227,O.B.JUNE!$C$7:$J$448,8,0),0)</f>
        <v>0</v>
      </c>
      <c r="S227" s="323">
        <f t="shared" si="67"/>
        <v>0</v>
      </c>
      <c r="T227" s="324">
        <v>0</v>
      </c>
      <c r="U227" s="324"/>
      <c r="V227" s="80"/>
      <c r="W227" s="324">
        <v>0</v>
      </c>
      <c r="X227" s="324"/>
      <c r="Y227" s="324">
        <v>0</v>
      </c>
      <c r="Z227" s="80">
        <v>0</v>
      </c>
      <c r="AA227" s="80">
        <f t="shared" si="68"/>
        <v>0</v>
      </c>
      <c r="AB227" s="323">
        <f t="shared" si="69"/>
        <v>0</v>
      </c>
      <c r="AC227" s="80">
        <f t="shared" si="74"/>
        <v>0</v>
      </c>
      <c r="AD227" s="80">
        <f t="shared" si="75"/>
        <v>0</v>
      </c>
      <c r="AE227" s="80"/>
      <c r="AF227" s="80"/>
      <c r="AG227" s="80"/>
      <c r="AH227" s="326">
        <f t="shared" si="70"/>
        <v>0</v>
      </c>
      <c r="AI227" s="326">
        <f t="shared" si="71"/>
        <v>0</v>
      </c>
      <c r="AJ227" s="326">
        <f t="shared" si="72"/>
        <v>0</v>
      </c>
      <c r="AK227" s="326">
        <f t="shared" si="73"/>
        <v>0</v>
      </c>
      <c r="AL227" s="326"/>
      <c r="AM227" s="326"/>
      <c r="AN227" s="326"/>
      <c r="AO227" s="326"/>
      <c r="AP227" s="326"/>
      <c r="AQ227" s="326"/>
      <c r="AR227" s="327">
        <f>VLOOKUP(C227,'[1]DA HET SAN XUAT'!$D$8:$AJ$419,33,0)</f>
        <v>0</v>
      </c>
      <c r="AS227" s="209"/>
      <c r="AT227" s="411"/>
      <c r="AU227" s="411"/>
    </row>
    <row r="228" spans="1:47" s="390" customFormat="1" ht="18.75" customHeight="1">
      <c r="A228" s="167">
        <v>217</v>
      </c>
      <c r="B228" s="79" t="str">
        <f>IFERROR(VLOOKUP(A228,O.B.JUNE!$A$7:$C$448,2,0),0)</f>
        <v>ALFANI</v>
      </c>
      <c r="C228" s="174">
        <f>IFERROR(VLOOKUP(A228,O.B.JUNE!$A$7:$C$448,3,0),0)</f>
        <v>100018310</v>
      </c>
      <c r="D228" s="80">
        <f t="shared" si="64"/>
        <v>0</v>
      </c>
      <c r="E228" s="80">
        <f>IFERROR(VLOOKUP(C228,O.B.JUNE!$C$7:$D$448,2,0),0)</f>
        <v>7710</v>
      </c>
      <c r="F228" s="80">
        <f>VLOOKUP(C228,'CUTTING ON JUNE'!$A$4:$D$316,3,0)</f>
        <v>7710</v>
      </c>
      <c r="G228" s="80">
        <f>IFERROR(VLOOKUP(C228,O.B.JUNE!$C$7:$E$448,3,0),0)</f>
        <v>195</v>
      </c>
      <c r="H228" s="80">
        <f t="shared" si="63"/>
        <v>0</v>
      </c>
      <c r="I228" s="80"/>
      <c r="J228" s="80">
        <f t="shared" si="65"/>
        <v>0</v>
      </c>
      <c r="K228" s="80">
        <v>0</v>
      </c>
      <c r="L228" s="80">
        <v>0</v>
      </c>
      <c r="M228" s="81">
        <f t="shared" si="66"/>
        <v>195</v>
      </c>
      <c r="N228" s="81">
        <v>0</v>
      </c>
      <c r="O228" s="81">
        <v>97</v>
      </c>
      <c r="P228" s="81">
        <f t="shared" si="76"/>
        <v>98</v>
      </c>
      <c r="Q228" s="80">
        <f>IFERROR(VLOOKUP(C228,O.B.JUNE!$C$7:$K$448,7,0),0)</f>
        <v>0</v>
      </c>
      <c r="R228" s="80">
        <f>IFERROR(VLOOKUP(C228,O.B.JUNE!$C$7:$J$448,8,0),0)</f>
        <v>0</v>
      </c>
      <c r="S228" s="323">
        <f t="shared" si="67"/>
        <v>0</v>
      </c>
      <c r="T228" s="324">
        <v>0</v>
      </c>
      <c r="U228" s="324"/>
      <c r="V228" s="80"/>
      <c r="W228" s="324">
        <v>0</v>
      </c>
      <c r="X228" s="324"/>
      <c r="Y228" s="324">
        <v>0</v>
      </c>
      <c r="Z228" s="80">
        <v>0</v>
      </c>
      <c r="AA228" s="80">
        <f t="shared" si="68"/>
        <v>0</v>
      </c>
      <c r="AB228" s="323">
        <f t="shared" si="69"/>
        <v>0</v>
      </c>
      <c r="AC228" s="80">
        <f t="shared" si="74"/>
        <v>0</v>
      </c>
      <c r="AD228" s="80">
        <f t="shared" si="75"/>
        <v>0</v>
      </c>
      <c r="AE228" s="80"/>
      <c r="AF228" s="80"/>
      <c r="AG228" s="80"/>
      <c r="AH228" s="326">
        <f t="shared" si="70"/>
        <v>0</v>
      </c>
      <c r="AI228" s="326">
        <f t="shared" si="71"/>
        <v>0</v>
      </c>
      <c r="AJ228" s="326">
        <f t="shared" si="72"/>
        <v>0</v>
      </c>
      <c r="AK228" s="326">
        <f t="shared" si="73"/>
        <v>0</v>
      </c>
      <c r="AL228" s="326"/>
      <c r="AM228" s="326"/>
      <c r="AN228" s="326"/>
      <c r="AO228" s="326"/>
      <c r="AP228" s="326"/>
      <c r="AQ228" s="326"/>
      <c r="AR228" s="327"/>
      <c r="AS228" s="209"/>
      <c r="AT228" s="411"/>
      <c r="AU228" s="411"/>
    </row>
    <row r="229" spans="1:47" s="390" customFormat="1" ht="18.75" customHeight="1">
      <c r="A229" s="167">
        <v>218</v>
      </c>
      <c r="B229" s="79" t="str">
        <f>IFERROR(VLOOKUP(A229,O.B.JUNE!$A$7:$C$448,2,0),0)</f>
        <v>ALFANI</v>
      </c>
      <c r="C229" s="174">
        <f>IFERROR(VLOOKUP(A229,O.B.JUNE!$A$7:$C$448,3,0),0)</f>
        <v>100021064</v>
      </c>
      <c r="D229" s="80">
        <f t="shared" si="64"/>
        <v>0</v>
      </c>
      <c r="E229" s="80">
        <f>IFERROR(VLOOKUP(C229,O.B.JUNE!$C$7:$D$448,2,0),0)</f>
        <v>3723</v>
      </c>
      <c r="F229" s="80">
        <f>VLOOKUP(C229,'CUTTING ON JUNE'!$A$4:$D$316,3,0)</f>
        <v>3723</v>
      </c>
      <c r="G229" s="80">
        <f>IFERROR(VLOOKUP(C229,O.B.JUNE!$C$7:$E$448,3,0),0)</f>
        <v>160</v>
      </c>
      <c r="H229" s="80">
        <f t="shared" si="63"/>
        <v>0</v>
      </c>
      <c r="I229" s="80"/>
      <c r="J229" s="80">
        <f t="shared" si="65"/>
        <v>0</v>
      </c>
      <c r="K229" s="80">
        <v>0</v>
      </c>
      <c r="L229" s="80">
        <v>0</v>
      </c>
      <c r="M229" s="81">
        <f t="shared" si="66"/>
        <v>160</v>
      </c>
      <c r="N229" s="81">
        <v>0</v>
      </c>
      <c r="O229" s="81">
        <v>80</v>
      </c>
      <c r="P229" s="81">
        <f t="shared" si="76"/>
        <v>80</v>
      </c>
      <c r="Q229" s="80">
        <f>IFERROR(VLOOKUP(C229,O.B.JUNE!$C$7:$K$448,7,0),0)</f>
        <v>0</v>
      </c>
      <c r="R229" s="80">
        <f>IFERROR(VLOOKUP(C229,O.B.JUNE!$C$7:$J$448,8,0),0)</f>
        <v>0</v>
      </c>
      <c r="S229" s="323">
        <f t="shared" si="67"/>
        <v>0</v>
      </c>
      <c r="T229" s="324">
        <v>0</v>
      </c>
      <c r="U229" s="324"/>
      <c r="V229" s="80"/>
      <c r="W229" s="324">
        <v>0</v>
      </c>
      <c r="X229" s="324"/>
      <c r="Y229" s="324">
        <v>0</v>
      </c>
      <c r="Z229" s="80">
        <v>0</v>
      </c>
      <c r="AA229" s="80">
        <f t="shared" si="68"/>
        <v>0</v>
      </c>
      <c r="AB229" s="323">
        <f t="shared" si="69"/>
        <v>0</v>
      </c>
      <c r="AC229" s="80">
        <f t="shared" si="74"/>
        <v>0</v>
      </c>
      <c r="AD229" s="80">
        <f t="shared" si="75"/>
        <v>0</v>
      </c>
      <c r="AE229" s="80"/>
      <c r="AF229" s="80"/>
      <c r="AG229" s="80"/>
      <c r="AH229" s="326">
        <f t="shared" si="70"/>
        <v>0</v>
      </c>
      <c r="AI229" s="326">
        <f t="shared" si="71"/>
        <v>0</v>
      </c>
      <c r="AJ229" s="326">
        <f t="shared" si="72"/>
        <v>0</v>
      </c>
      <c r="AK229" s="326">
        <f t="shared" si="73"/>
        <v>0</v>
      </c>
      <c r="AL229" s="326"/>
      <c r="AM229" s="326"/>
      <c r="AN229" s="326"/>
      <c r="AO229" s="326"/>
      <c r="AP229" s="326"/>
      <c r="AQ229" s="326"/>
      <c r="AR229" s="327"/>
      <c r="AS229" s="209"/>
      <c r="AT229" s="411"/>
      <c r="AU229" s="411"/>
    </row>
    <row r="230" spans="1:47" s="390" customFormat="1" ht="18.75" customHeight="1">
      <c r="A230" s="167">
        <v>219</v>
      </c>
      <c r="B230" s="79" t="str">
        <f>IFERROR(VLOOKUP(A230,O.B.JUNE!$A$7:$C$448,2,0),0)</f>
        <v>ALFANI</v>
      </c>
      <c r="C230" s="174">
        <f>IFERROR(VLOOKUP(A230,O.B.JUNE!$A$7:$C$448,3,0),0)</f>
        <v>73301</v>
      </c>
      <c r="D230" s="80">
        <f t="shared" si="64"/>
        <v>3765</v>
      </c>
      <c r="E230" s="80">
        <f>IFERROR(VLOOKUP(C230,O.B.JUNE!$C$7:$D$448,2,0),0)</f>
        <v>17543</v>
      </c>
      <c r="F230" s="80">
        <f>VLOOKUP(C230,'CUTTING ON JUNE'!$A$4:$D$316,3,0)</f>
        <v>21308</v>
      </c>
      <c r="G230" s="80">
        <f>IFERROR(VLOOKUP(C230,O.B.JUNE!$C$7:$E$448,3,0),0)</f>
        <v>471</v>
      </c>
      <c r="H230" s="80">
        <f t="shared" si="63"/>
        <v>3765</v>
      </c>
      <c r="I230" s="80"/>
      <c r="J230" s="80">
        <f t="shared" si="65"/>
        <v>3600</v>
      </c>
      <c r="K230" s="80">
        <v>0</v>
      </c>
      <c r="L230" s="80">
        <v>0</v>
      </c>
      <c r="M230" s="81">
        <f t="shared" si="66"/>
        <v>636</v>
      </c>
      <c r="N230" s="81">
        <v>0</v>
      </c>
      <c r="O230" s="81">
        <v>54</v>
      </c>
      <c r="P230" s="81">
        <f t="shared" si="76"/>
        <v>582</v>
      </c>
      <c r="Q230" s="80">
        <f>IFERROR(VLOOKUP(C230,O.B.JUNE!$C$7:$K$448,7,0),0)</f>
        <v>0</v>
      </c>
      <c r="R230" s="80">
        <f>IFERROR(VLOOKUP(C230,O.B.JUNE!$C$7:$J$448,8,0),0)</f>
        <v>286</v>
      </c>
      <c r="S230" s="323">
        <f t="shared" si="67"/>
        <v>3886</v>
      </c>
      <c r="T230" s="324">
        <v>3600</v>
      </c>
      <c r="U230" s="324"/>
      <c r="V230" s="80"/>
      <c r="W230" s="324">
        <v>3600</v>
      </c>
      <c r="X230" s="324"/>
      <c r="Y230" s="324">
        <v>0</v>
      </c>
      <c r="Z230" s="80">
        <v>0</v>
      </c>
      <c r="AA230" s="80">
        <f t="shared" si="68"/>
        <v>3600</v>
      </c>
      <c r="AB230" s="323">
        <f t="shared" si="69"/>
        <v>0</v>
      </c>
      <c r="AC230" s="80">
        <f t="shared" si="74"/>
        <v>286</v>
      </c>
      <c r="AD230" s="80">
        <f t="shared" si="75"/>
        <v>286</v>
      </c>
      <c r="AE230" s="80"/>
      <c r="AF230" s="80"/>
      <c r="AG230" s="80"/>
      <c r="AH230" s="326">
        <f t="shared" si="70"/>
        <v>0</v>
      </c>
      <c r="AI230" s="326">
        <f t="shared" si="71"/>
        <v>0</v>
      </c>
      <c r="AJ230" s="326">
        <f t="shared" si="72"/>
        <v>0</v>
      </c>
      <c r="AK230" s="326">
        <f t="shared" si="73"/>
        <v>0</v>
      </c>
      <c r="AL230" s="326"/>
      <c r="AM230" s="326"/>
      <c r="AN230" s="326"/>
      <c r="AO230" s="326"/>
      <c r="AP230" s="326"/>
      <c r="AQ230" s="326"/>
      <c r="AR230" s="327">
        <f>VLOOKUP(C230,'[1]DA HET SAN XUAT'!$D$8:$AJ$419,33,0)</f>
        <v>0</v>
      </c>
      <c r="AS230" s="209"/>
      <c r="AT230" s="411"/>
      <c r="AU230" s="411"/>
    </row>
    <row r="231" spans="1:47" s="390" customFormat="1" ht="18.75" customHeight="1">
      <c r="A231" s="167">
        <v>220</v>
      </c>
      <c r="B231" s="79" t="str">
        <f>IFERROR(VLOOKUP(A231,O.B.JUNE!$A$7:$C$448,2,0),0)</f>
        <v>ALFANI</v>
      </c>
      <c r="C231" s="174">
        <f>IFERROR(VLOOKUP(A231,O.B.JUNE!$A$7:$C$448,3,0),0)</f>
        <v>74902</v>
      </c>
      <c r="D231" s="80">
        <f t="shared" si="64"/>
        <v>0</v>
      </c>
      <c r="E231" s="80">
        <f>IFERROR(VLOOKUP(C231,O.B.JUNE!$C$7:$D$448,2,0),0)</f>
        <v>11031</v>
      </c>
      <c r="F231" s="80">
        <f>VLOOKUP(C231,'CUTTING ON JUNE'!$A$4:$D$316,3,0)</f>
        <v>11031</v>
      </c>
      <c r="G231" s="80">
        <f>IFERROR(VLOOKUP(C231,O.B.JUNE!$C$7:$E$448,3,0),0)</f>
        <v>1535</v>
      </c>
      <c r="H231" s="80">
        <f t="shared" si="63"/>
        <v>0</v>
      </c>
      <c r="I231" s="80"/>
      <c r="J231" s="80">
        <f t="shared" si="65"/>
        <v>0</v>
      </c>
      <c r="K231" s="80">
        <v>0</v>
      </c>
      <c r="L231" s="80">
        <v>0</v>
      </c>
      <c r="M231" s="81">
        <f t="shared" si="66"/>
        <v>1535</v>
      </c>
      <c r="N231" s="329">
        <v>47</v>
      </c>
      <c r="O231" s="329">
        <v>337</v>
      </c>
      <c r="P231" s="81">
        <f t="shared" si="76"/>
        <v>1151</v>
      </c>
      <c r="Q231" s="80">
        <f>IFERROR(VLOOKUP(C231,O.B.JUNE!$C$7:$K$448,7,0),0)</f>
        <v>0</v>
      </c>
      <c r="R231" s="80">
        <f>IFERROR(VLOOKUP(C231,O.B.JUNE!$C$7:$J$448,8,0),0)</f>
        <v>50</v>
      </c>
      <c r="S231" s="323">
        <f t="shared" si="67"/>
        <v>50</v>
      </c>
      <c r="T231" s="324">
        <v>0</v>
      </c>
      <c r="U231" s="324"/>
      <c r="V231" s="80"/>
      <c r="W231" s="324">
        <v>0</v>
      </c>
      <c r="X231" s="324"/>
      <c r="Y231" s="324">
        <v>0</v>
      </c>
      <c r="Z231" s="80">
        <v>0</v>
      </c>
      <c r="AA231" s="80">
        <f t="shared" si="68"/>
        <v>0</v>
      </c>
      <c r="AB231" s="323">
        <f t="shared" si="69"/>
        <v>0</v>
      </c>
      <c r="AC231" s="80">
        <f t="shared" si="74"/>
        <v>50</v>
      </c>
      <c r="AD231" s="80">
        <f t="shared" si="75"/>
        <v>50</v>
      </c>
      <c r="AE231" s="80"/>
      <c r="AF231" s="80"/>
      <c r="AG231" s="80"/>
      <c r="AH231" s="326">
        <f t="shared" si="70"/>
        <v>0</v>
      </c>
      <c r="AI231" s="326">
        <f t="shared" si="71"/>
        <v>0</v>
      </c>
      <c r="AJ231" s="326">
        <f t="shared" si="72"/>
        <v>0</v>
      </c>
      <c r="AK231" s="326">
        <f t="shared" si="73"/>
        <v>0</v>
      </c>
      <c r="AL231" s="326"/>
      <c r="AM231" s="326"/>
      <c r="AN231" s="326"/>
      <c r="AO231" s="326"/>
      <c r="AP231" s="326"/>
      <c r="AQ231" s="326"/>
      <c r="AR231" s="327">
        <f>VLOOKUP(C231,'[1]DA HET SAN XUAT'!$D$8:$AJ$419,33,0)</f>
        <v>0</v>
      </c>
      <c r="AS231" s="504" t="s">
        <v>658</v>
      </c>
      <c r="AT231" s="411"/>
      <c r="AU231" s="411"/>
    </row>
    <row r="232" spans="1:47" s="390" customFormat="1" ht="18.75" customHeight="1">
      <c r="A232" s="167">
        <v>221</v>
      </c>
      <c r="B232" s="79" t="str">
        <f>IFERROR(VLOOKUP(A232,O.B.JUNE!$A$7:$C$448,2,0),0)</f>
        <v>ALFANI</v>
      </c>
      <c r="C232" s="174">
        <f>IFERROR(VLOOKUP(A232,O.B.JUNE!$A$7:$C$448,3,0),0)</f>
        <v>75303</v>
      </c>
      <c r="D232" s="80">
        <f t="shared" si="64"/>
        <v>0</v>
      </c>
      <c r="E232" s="80">
        <f>IFERROR(VLOOKUP(C232,O.B.JUNE!$C$7:$D$448,2,0),0)</f>
        <v>9025</v>
      </c>
      <c r="F232" s="80">
        <f>VLOOKUP(C232,'CUTTING ON JUNE'!$A$4:$D$316,3,0)</f>
        <v>9025</v>
      </c>
      <c r="G232" s="80">
        <f>IFERROR(VLOOKUP(C232,O.B.JUNE!$C$7:$E$448,3,0),0)</f>
        <v>459</v>
      </c>
      <c r="H232" s="80">
        <f t="shared" si="63"/>
        <v>0</v>
      </c>
      <c r="I232" s="80"/>
      <c r="J232" s="80">
        <f t="shared" si="65"/>
        <v>0</v>
      </c>
      <c r="K232" s="80">
        <v>0</v>
      </c>
      <c r="L232" s="80">
        <v>0</v>
      </c>
      <c r="M232" s="81">
        <f t="shared" si="66"/>
        <v>459</v>
      </c>
      <c r="N232" s="329">
        <v>1</v>
      </c>
      <c r="O232" s="329">
        <v>313</v>
      </c>
      <c r="P232" s="81">
        <f t="shared" si="76"/>
        <v>145</v>
      </c>
      <c r="Q232" s="80">
        <f>IFERROR(VLOOKUP(C232,O.B.JUNE!$C$7:$K$448,7,0),0)</f>
        <v>0</v>
      </c>
      <c r="R232" s="80">
        <f>IFERROR(VLOOKUP(C232,O.B.JUNE!$C$7:$J$448,8,0),0)</f>
        <v>0</v>
      </c>
      <c r="S232" s="323">
        <f t="shared" si="67"/>
        <v>0</v>
      </c>
      <c r="T232" s="324">
        <v>0</v>
      </c>
      <c r="U232" s="324"/>
      <c r="V232" s="80"/>
      <c r="W232" s="324">
        <v>0</v>
      </c>
      <c r="X232" s="324"/>
      <c r="Y232" s="324">
        <v>0</v>
      </c>
      <c r="Z232" s="80">
        <v>0</v>
      </c>
      <c r="AA232" s="80">
        <f t="shared" si="68"/>
        <v>0</v>
      </c>
      <c r="AB232" s="323">
        <f t="shared" si="69"/>
        <v>0</v>
      </c>
      <c r="AC232" s="80">
        <f t="shared" si="74"/>
        <v>0</v>
      </c>
      <c r="AD232" s="80">
        <f t="shared" si="75"/>
        <v>0</v>
      </c>
      <c r="AE232" s="80"/>
      <c r="AF232" s="80"/>
      <c r="AG232" s="80"/>
      <c r="AH232" s="326">
        <f t="shared" si="70"/>
        <v>0</v>
      </c>
      <c r="AI232" s="326">
        <f t="shared" si="71"/>
        <v>0</v>
      </c>
      <c r="AJ232" s="326">
        <f t="shared" si="72"/>
        <v>0</v>
      </c>
      <c r="AK232" s="326">
        <f t="shared" si="73"/>
        <v>0</v>
      </c>
      <c r="AL232" s="326"/>
      <c r="AM232" s="326"/>
      <c r="AN232" s="326"/>
      <c r="AO232" s="326"/>
      <c r="AP232" s="326"/>
      <c r="AQ232" s="326"/>
      <c r="AR232" s="327"/>
      <c r="AS232" s="504" t="s">
        <v>658</v>
      </c>
      <c r="AT232" s="411"/>
      <c r="AU232" s="411"/>
    </row>
    <row r="233" spans="1:47" s="390" customFormat="1" ht="18.75" customHeight="1">
      <c r="A233" s="167">
        <v>222</v>
      </c>
      <c r="B233" s="79" t="str">
        <f>IFERROR(VLOOKUP(A233,O.B.JUNE!$A$7:$C$448,2,0),0)</f>
        <v>ALFANI</v>
      </c>
      <c r="C233" s="174">
        <f>IFERROR(VLOOKUP(A233,O.B.JUNE!$A$7:$C$448,3,0),0)</f>
        <v>7999</v>
      </c>
      <c r="D233" s="80">
        <f t="shared" si="64"/>
        <v>0</v>
      </c>
      <c r="E233" s="80">
        <f>IFERROR(VLOOKUP(C233,O.B.JUNE!$C$7:$D$448,2,0),0)</f>
        <v>0</v>
      </c>
      <c r="F233" s="80">
        <v>0</v>
      </c>
      <c r="G233" s="80">
        <f>IFERROR(VLOOKUP(C233,O.B.JUNE!$C$7:$E$448,3,0),0)</f>
        <v>142</v>
      </c>
      <c r="H233" s="80">
        <f t="shared" si="63"/>
        <v>0</v>
      </c>
      <c r="I233" s="80"/>
      <c r="J233" s="80">
        <f t="shared" si="65"/>
        <v>142</v>
      </c>
      <c r="K233" s="80">
        <v>0</v>
      </c>
      <c r="L233" s="80">
        <v>0</v>
      </c>
      <c r="M233" s="81">
        <f t="shared" si="66"/>
        <v>0</v>
      </c>
      <c r="N233" s="81">
        <v>0</v>
      </c>
      <c r="O233" s="81">
        <v>0</v>
      </c>
      <c r="P233" s="81">
        <f t="shared" si="76"/>
        <v>0</v>
      </c>
      <c r="Q233" s="80">
        <f>IFERROR(VLOOKUP(C233,O.B.JUNE!$C$7:$K$448,7,0),0)</f>
        <v>0</v>
      </c>
      <c r="R233" s="80">
        <f>IFERROR(VLOOKUP(C233,O.B.JUNE!$C$7:$J$448,8,0),0)</f>
        <v>0</v>
      </c>
      <c r="S233" s="323">
        <f t="shared" si="67"/>
        <v>142</v>
      </c>
      <c r="T233" s="324">
        <v>0</v>
      </c>
      <c r="U233" s="324">
        <v>142</v>
      </c>
      <c r="V233" s="80"/>
      <c r="W233" s="324">
        <v>0</v>
      </c>
      <c r="X233" s="324"/>
      <c r="Y233" s="324">
        <v>0</v>
      </c>
      <c r="Z233" s="80">
        <v>0</v>
      </c>
      <c r="AA233" s="80">
        <f t="shared" si="68"/>
        <v>142</v>
      </c>
      <c r="AB233" s="323">
        <f t="shared" si="69"/>
        <v>0</v>
      </c>
      <c r="AC233" s="80">
        <f t="shared" si="74"/>
        <v>142</v>
      </c>
      <c r="AD233" s="80">
        <f t="shared" si="75"/>
        <v>142</v>
      </c>
      <c r="AE233" s="80"/>
      <c r="AF233" s="80"/>
      <c r="AG233" s="80"/>
      <c r="AH233" s="326">
        <f t="shared" si="70"/>
        <v>0</v>
      </c>
      <c r="AI233" s="326">
        <f t="shared" si="71"/>
        <v>0</v>
      </c>
      <c r="AJ233" s="326">
        <f t="shared" si="72"/>
        <v>0</v>
      </c>
      <c r="AK233" s="326">
        <f t="shared" si="73"/>
        <v>0</v>
      </c>
      <c r="AL233" s="326"/>
      <c r="AM233" s="326"/>
      <c r="AN233" s="326"/>
      <c r="AO233" s="326"/>
      <c r="AP233" s="326"/>
      <c r="AQ233" s="326"/>
      <c r="AR233" s="327"/>
      <c r="AS233" s="504" t="s">
        <v>658</v>
      </c>
      <c r="AT233" s="411"/>
      <c r="AU233" s="411"/>
    </row>
    <row r="234" spans="1:47" s="390" customFormat="1" ht="18.75" customHeight="1">
      <c r="A234" s="167">
        <v>223</v>
      </c>
      <c r="B234" s="79" t="str">
        <f>IFERROR(VLOOKUP(A234,O.B.JUNE!$A$7:$C$448,2,0),0)</f>
        <v>ANN TAYLOR</v>
      </c>
      <c r="C234" s="174">
        <f>IFERROR(VLOOKUP(A234,O.B.JUNE!$A$7:$C$448,3,0),0)</f>
        <v>460895</v>
      </c>
      <c r="D234" s="80">
        <f t="shared" si="64"/>
        <v>0</v>
      </c>
      <c r="E234" s="80">
        <f>IFERROR(VLOOKUP(C234,O.B.JUNE!$C$7:$D$448,2,0),0)</f>
        <v>0</v>
      </c>
      <c r="F234" s="80">
        <v>0</v>
      </c>
      <c r="G234" s="80">
        <f>IFERROR(VLOOKUP(C234,O.B.JUNE!$C$7:$E$448,3,0),0)</f>
        <v>20</v>
      </c>
      <c r="H234" s="80">
        <f t="shared" si="63"/>
        <v>0</v>
      </c>
      <c r="I234" s="80"/>
      <c r="J234" s="80">
        <f t="shared" si="65"/>
        <v>20</v>
      </c>
      <c r="K234" s="80">
        <v>0</v>
      </c>
      <c r="L234" s="80">
        <v>0</v>
      </c>
      <c r="M234" s="81">
        <f t="shared" si="66"/>
        <v>0</v>
      </c>
      <c r="N234" s="81">
        <v>0</v>
      </c>
      <c r="O234" s="81">
        <v>0</v>
      </c>
      <c r="P234" s="81">
        <f t="shared" si="76"/>
        <v>0</v>
      </c>
      <c r="Q234" s="80">
        <f>IFERROR(VLOOKUP(C234,O.B.JUNE!$C$7:$K$448,7,0),0)</f>
        <v>0</v>
      </c>
      <c r="R234" s="80">
        <f>IFERROR(VLOOKUP(C234,O.B.JUNE!$C$7:$J$448,8,0),0)</f>
        <v>0</v>
      </c>
      <c r="S234" s="323">
        <f t="shared" si="67"/>
        <v>20</v>
      </c>
      <c r="T234" s="324">
        <v>0</v>
      </c>
      <c r="U234" s="324">
        <v>20</v>
      </c>
      <c r="V234" s="80"/>
      <c r="W234" s="324">
        <v>0</v>
      </c>
      <c r="X234" s="324"/>
      <c r="Y234" s="324">
        <v>0</v>
      </c>
      <c r="Z234" s="80">
        <v>0</v>
      </c>
      <c r="AA234" s="80">
        <f t="shared" si="68"/>
        <v>20</v>
      </c>
      <c r="AB234" s="323">
        <f t="shared" si="69"/>
        <v>0</v>
      </c>
      <c r="AC234" s="80">
        <f t="shared" si="74"/>
        <v>20</v>
      </c>
      <c r="AD234" s="80">
        <f t="shared" si="75"/>
        <v>20</v>
      </c>
      <c r="AE234" s="80"/>
      <c r="AF234" s="80"/>
      <c r="AG234" s="80"/>
      <c r="AH234" s="326">
        <f t="shared" si="70"/>
        <v>0</v>
      </c>
      <c r="AI234" s="326">
        <f t="shared" si="71"/>
        <v>0</v>
      </c>
      <c r="AJ234" s="326">
        <f t="shared" si="72"/>
        <v>0</v>
      </c>
      <c r="AK234" s="326">
        <f t="shared" si="73"/>
        <v>0</v>
      </c>
      <c r="AL234" s="326"/>
      <c r="AM234" s="326"/>
      <c r="AN234" s="326"/>
      <c r="AO234" s="326"/>
      <c r="AP234" s="326"/>
      <c r="AQ234" s="326"/>
      <c r="AR234" s="327">
        <f>VLOOKUP(C234,'[1]DA HET SAN XUAT'!$D$8:$AJ$419,33,0)</f>
        <v>0</v>
      </c>
      <c r="AS234" s="504" t="s">
        <v>658</v>
      </c>
      <c r="AT234" s="411"/>
      <c r="AU234" s="411"/>
    </row>
    <row r="235" spans="1:47" s="390" customFormat="1" ht="18.75" customHeight="1">
      <c r="A235" s="167">
        <v>224</v>
      </c>
      <c r="B235" s="79" t="str">
        <f>IFERROR(VLOOKUP(A235,O.B.JUNE!$A$7:$C$448,2,0),0)</f>
        <v>ANN TAYLOR</v>
      </c>
      <c r="C235" s="174">
        <f>IFERROR(VLOOKUP(A235,O.B.JUNE!$A$7:$C$448,3,0),0)</f>
        <v>452546</v>
      </c>
      <c r="D235" s="80">
        <f t="shared" si="64"/>
        <v>0</v>
      </c>
      <c r="E235" s="80">
        <f>IFERROR(VLOOKUP(C235,O.B.JUNE!$C$7:$D$448,2,0),0)</f>
        <v>0</v>
      </c>
      <c r="F235" s="80">
        <v>0</v>
      </c>
      <c r="G235" s="80">
        <f>IFERROR(VLOOKUP(C235,O.B.JUNE!$C$7:$E$448,3,0),0)</f>
        <v>569</v>
      </c>
      <c r="H235" s="80">
        <f t="shared" si="63"/>
        <v>0</v>
      </c>
      <c r="I235" s="80"/>
      <c r="J235" s="80">
        <f t="shared" si="65"/>
        <v>569</v>
      </c>
      <c r="K235" s="80">
        <v>0</v>
      </c>
      <c r="L235" s="80">
        <v>0</v>
      </c>
      <c r="M235" s="81">
        <f t="shared" si="66"/>
        <v>0</v>
      </c>
      <c r="N235" s="81">
        <v>0</v>
      </c>
      <c r="O235" s="81">
        <v>0</v>
      </c>
      <c r="P235" s="81">
        <f t="shared" si="76"/>
        <v>0</v>
      </c>
      <c r="Q235" s="80">
        <f>IFERROR(VLOOKUP(C235,O.B.JUNE!$C$7:$K$448,7,0),0)</f>
        <v>0</v>
      </c>
      <c r="R235" s="80">
        <f>IFERROR(VLOOKUP(C235,O.B.JUNE!$C$7:$J$448,8,0),0)</f>
        <v>0</v>
      </c>
      <c r="S235" s="323">
        <f t="shared" si="67"/>
        <v>569</v>
      </c>
      <c r="T235" s="324">
        <v>0</v>
      </c>
      <c r="U235" s="324">
        <v>569</v>
      </c>
      <c r="V235" s="80"/>
      <c r="W235" s="324">
        <v>0</v>
      </c>
      <c r="X235" s="324"/>
      <c r="Y235" s="324">
        <v>0</v>
      </c>
      <c r="Z235" s="80">
        <v>0</v>
      </c>
      <c r="AA235" s="80">
        <f t="shared" si="68"/>
        <v>569</v>
      </c>
      <c r="AB235" s="323">
        <f t="shared" si="69"/>
        <v>0</v>
      </c>
      <c r="AC235" s="80">
        <f t="shared" si="74"/>
        <v>569</v>
      </c>
      <c r="AD235" s="80">
        <f t="shared" si="75"/>
        <v>569</v>
      </c>
      <c r="AE235" s="80"/>
      <c r="AF235" s="80"/>
      <c r="AG235" s="80"/>
      <c r="AH235" s="326">
        <f t="shared" si="70"/>
        <v>0</v>
      </c>
      <c r="AI235" s="326">
        <f t="shared" si="71"/>
        <v>0</v>
      </c>
      <c r="AJ235" s="326">
        <f t="shared" si="72"/>
        <v>0</v>
      </c>
      <c r="AK235" s="326">
        <f t="shared" si="73"/>
        <v>0</v>
      </c>
      <c r="AL235" s="326"/>
      <c r="AM235" s="326"/>
      <c r="AN235" s="326"/>
      <c r="AO235" s="326"/>
      <c r="AP235" s="326"/>
      <c r="AQ235" s="326"/>
      <c r="AR235" s="327">
        <f>VLOOKUP(C235,'[1]DA HET SAN XUAT'!$D$8:$AJ$419,33,0)</f>
        <v>0</v>
      </c>
      <c r="AS235" s="504" t="s">
        <v>658</v>
      </c>
      <c r="AT235" s="411"/>
      <c r="AU235" s="411"/>
    </row>
    <row r="236" spans="1:47" s="390" customFormat="1" ht="18.75" customHeight="1">
      <c r="A236" s="167">
        <v>225</v>
      </c>
      <c r="B236" s="79" t="str">
        <f>IFERROR(VLOOKUP(A236,O.B.JUNE!$A$7:$C$448,2,0),0)</f>
        <v>ANN TAYLOR</v>
      </c>
      <c r="C236" s="174">
        <f>IFERROR(VLOOKUP(A236,O.B.JUNE!$A$7:$C$448,3,0),0)</f>
        <v>457802</v>
      </c>
      <c r="D236" s="80">
        <f t="shared" si="64"/>
        <v>0</v>
      </c>
      <c r="E236" s="80">
        <f>IFERROR(VLOOKUP(C236,O.B.JUNE!$C$7:$D$448,2,0),0)</f>
        <v>32384</v>
      </c>
      <c r="F236" s="80">
        <f>VLOOKUP(C236,'CUTTING ON JUNE'!$A$4:$D$316,3,0)</f>
        <v>32384</v>
      </c>
      <c r="G236" s="80">
        <f>IFERROR(VLOOKUP(C236,O.B.JUNE!$C$7:$E$448,3,0),0)</f>
        <v>1698</v>
      </c>
      <c r="H236" s="80">
        <f t="shared" si="63"/>
        <v>0</v>
      </c>
      <c r="I236" s="80"/>
      <c r="J236" s="80">
        <f t="shared" si="65"/>
        <v>0</v>
      </c>
      <c r="K236" s="80">
        <v>0</v>
      </c>
      <c r="L236" s="80">
        <v>0</v>
      </c>
      <c r="M236" s="81">
        <f t="shared" si="66"/>
        <v>1698</v>
      </c>
      <c r="N236" s="81">
        <v>65</v>
      </c>
      <c r="O236" s="81">
        <v>658</v>
      </c>
      <c r="P236" s="81">
        <f t="shared" si="76"/>
        <v>975</v>
      </c>
      <c r="Q236" s="80">
        <f>IFERROR(VLOOKUP(C236,O.B.JUNE!$C$7:$K$448,7,0),0)</f>
        <v>0</v>
      </c>
      <c r="R236" s="80">
        <f>IFERROR(VLOOKUP(C236,O.B.JUNE!$C$7:$J$448,8,0),0)</f>
        <v>0</v>
      </c>
      <c r="S236" s="323">
        <f t="shared" si="67"/>
        <v>0</v>
      </c>
      <c r="T236" s="324">
        <v>0</v>
      </c>
      <c r="U236" s="324"/>
      <c r="V236" s="80"/>
      <c r="W236" s="324">
        <v>0</v>
      </c>
      <c r="X236" s="324"/>
      <c r="Y236" s="324">
        <v>0</v>
      </c>
      <c r="Z236" s="80">
        <v>0</v>
      </c>
      <c r="AA236" s="80">
        <f t="shared" si="68"/>
        <v>0</v>
      </c>
      <c r="AB236" s="323">
        <f t="shared" si="69"/>
        <v>0</v>
      </c>
      <c r="AC236" s="80">
        <f t="shared" si="74"/>
        <v>0</v>
      </c>
      <c r="AD236" s="80">
        <f t="shared" si="75"/>
        <v>0</v>
      </c>
      <c r="AE236" s="80"/>
      <c r="AF236" s="80"/>
      <c r="AG236" s="80"/>
      <c r="AH236" s="326">
        <f t="shared" si="70"/>
        <v>0</v>
      </c>
      <c r="AI236" s="326">
        <f t="shared" si="71"/>
        <v>0</v>
      </c>
      <c r="AJ236" s="326">
        <f t="shared" si="72"/>
        <v>0</v>
      </c>
      <c r="AK236" s="326">
        <f t="shared" si="73"/>
        <v>0</v>
      </c>
      <c r="AL236" s="326"/>
      <c r="AM236" s="326"/>
      <c r="AN236" s="326"/>
      <c r="AO236" s="326"/>
      <c r="AP236" s="326"/>
      <c r="AQ236" s="326"/>
      <c r="AR236" s="327">
        <f>VLOOKUP(C236,'[1]DA HET SAN XUAT'!$D$8:$AJ$419,33,0)</f>
        <v>0</v>
      </c>
      <c r="AS236" s="209"/>
      <c r="AT236" s="411"/>
      <c r="AU236" s="411"/>
    </row>
    <row r="237" spans="1:47" s="390" customFormat="1" ht="18.75" customHeight="1">
      <c r="A237" s="167">
        <v>226</v>
      </c>
      <c r="B237" s="79" t="str">
        <f>IFERROR(VLOOKUP(A237,O.B.JUNE!$A$7:$C$448,2,0),0)</f>
        <v>ANN TAYLOR</v>
      </c>
      <c r="C237" s="174">
        <f>IFERROR(VLOOKUP(A237,O.B.JUNE!$A$7:$C$448,3,0),0)</f>
        <v>457814</v>
      </c>
      <c r="D237" s="80">
        <f t="shared" si="64"/>
        <v>0</v>
      </c>
      <c r="E237" s="80">
        <f>IFERROR(VLOOKUP(C237,O.B.JUNE!$C$7:$D$448,2,0),0)</f>
        <v>0</v>
      </c>
      <c r="F237" s="80">
        <v>0</v>
      </c>
      <c r="G237" s="80">
        <f>IFERROR(VLOOKUP(C237,O.B.JUNE!$C$7:$E$448,3,0),0)</f>
        <v>355</v>
      </c>
      <c r="H237" s="80">
        <f t="shared" si="63"/>
        <v>0</v>
      </c>
      <c r="I237" s="80"/>
      <c r="J237" s="80">
        <f t="shared" si="65"/>
        <v>0</v>
      </c>
      <c r="K237" s="80">
        <v>0</v>
      </c>
      <c r="L237" s="80">
        <v>0</v>
      </c>
      <c r="M237" s="81">
        <f t="shared" si="66"/>
        <v>355</v>
      </c>
      <c r="N237" s="81">
        <v>0</v>
      </c>
      <c r="O237" s="81">
        <v>209</v>
      </c>
      <c r="P237" s="81">
        <f t="shared" si="76"/>
        <v>146</v>
      </c>
      <c r="Q237" s="80">
        <f>IFERROR(VLOOKUP(C237,O.B.JUNE!$C$7:$K$448,7,0),0)</f>
        <v>0</v>
      </c>
      <c r="R237" s="80">
        <f>IFERROR(VLOOKUP(C237,O.B.JUNE!$C$7:$J$448,8,0),0)</f>
        <v>0</v>
      </c>
      <c r="S237" s="323">
        <f t="shared" si="67"/>
        <v>0</v>
      </c>
      <c r="T237" s="324">
        <v>0</v>
      </c>
      <c r="U237" s="324"/>
      <c r="V237" s="80"/>
      <c r="W237" s="324">
        <v>0</v>
      </c>
      <c r="X237" s="324"/>
      <c r="Y237" s="324">
        <v>0</v>
      </c>
      <c r="Z237" s="80">
        <v>0</v>
      </c>
      <c r="AA237" s="80">
        <f t="shared" si="68"/>
        <v>0</v>
      </c>
      <c r="AB237" s="323">
        <f t="shared" si="69"/>
        <v>0</v>
      </c>
      <c r="AC237" s="80">
        <f t="shared" si="74"/>
        <v>0</v>
      </c>
      <c r="AD237" s="80">
        <f t="shared" si="75"/>
        <v>0</v>
      </c>
      <c r="AE237" s="80"/>
      <c r="AF237" s="80"/>
      <c r="AG237" s="80"/>
      <c r="AH237" s="326">
        <f t="shared" si="70"/>
        <v>0</v>
      </c>
      <c r="AI237" s="326">
        <f t="shared" si="71"/>
        <v>0</v>
      </c>
      <c r="AJ237" s="326">
        <f t="shared" si="72"/>
        <v>0</v>
      </c>
      <c r="AK237" s="326">
        <f t="shared" si="73"/>
        <v>0</v>
      </c>
      <c r="AL237" s="326"/>
      <c r="AM237" s="326"/>
      <c r="AN237" s="326"/>
      <c r="AO237" s="326"/>
      <c r="AP237" s="326"/>
      <c r="AQ237" s="326"/>
      <c r="AR237" s="327">
        <f>VLOOKUP(C237,'[1]DA HET SAN XUAT'!$D$8:$AJ$419,33,0)</f>
        <v>0</v>
      </c>
      <c r="AS237" s="504" t="s">
        <v>658</v>
      </c>
      <c r="AT237" s="411"/>
      <c r="AU237" s="411"/>
    </row>
    <row r="238" spans="1:47" s="390" customFormat="1" ht="18.75" customHeight="1">
      <c r="A238" s="167">
        <v>227</v>
      </c>
      <c r="B238" s="79" t="str">
        <f>IFERROR(VLOOKUP(A238,O.B.JUNE!$A$7:$C$448,2,0),0)</f>
        <v>ANN TAYLOR</v>
      </c>
      <c r="C238" s="174">
        <f>IFERROR(VLOOKUP(A238,O.B.JUNE!$A$7:$C$448,3,0),0)</f>
        <v>457815</v>
      </c>
      <c r="D238" s="80">
        <f t="shared" si="64"/>
        <v>0</v>
      </c>
      <c r="E238" s="80">
        <f>IFERROR(VLOOKUP(C238,O.B.JUNE!$C$7:$D$448,2,0),0)</f>
        <v>3519</v>
      </c>
      <c r="F238" s="80">
        <f>VLOOKUP(C238,'CUTTING ON JUNE'!$A$4:$D$316,3,0)</f>
        <v>3519</v>
      </c>
      <c r="G238" s="80">
        <f>IFERROR(VLOOKUP(C238,O.B.JUNE!$C$7:$E$448,3,0),0)</f>
        <v>209</v>
      </c>
      <c r="H238" s="80">
        <f t="shared" si="63"/>
        <v>0</v>
      </c>
      <c r="I238" s="80"/>
      <c r="J238" s="80">
        <f t="shared" si="65"/>
        <v>0</v>
      </c>
      <c r="K238" s="80">
        <v>0</v>
      </c>
      <c r="L238" s="80">
        <v>0</v>
      </c>
      <c r="M238" s="81">
        <f t="shared" si="66"/>
        <v>209</v>
      </c>
      <c r="N238" s="81">
        <v>140</v>
      </c>
      <c r="O238" s="81">
        <v>52</v>
      </c>
      <c r="P238" s="81">
        <f t="shared" si="76"/>
        <v>17</v>
      </c>
      <c r="Q238" s="80">
        <f>IFERROR(VLOOKUP(C238,O.B.JUNE!$C$7:$K$448,7,0),0)</f>
        <v>0</v>
      </c>
      <c r="R238" s="80">
        <f>IFERROR(VLOOKUP(C238,O.B.JUNE!$C$7:$J$448,8,0),0)</f>
        <v>0</v>
      </c>
      <c r="S238" s="323">
        <f t="shared" si="67"/>
        <v>0</v>
      </c>
      <c r="T238" s="324">
        <v>0</v>
      </c>
      <c r="U238" s="324"/>
      <c r="V238" s="80"/>
      <c r="W238" s="324">
        <v>0</v>
      </c>
      <c r="X238" s="324"/>
      <c r="Y238" s="324">
        <v>0</v>
      </c>
      <c r="Z238" s="80">
        <v>0</v>
      </c>
      <c r="AA238" s="80">
        <f t="shared" si="68"/>
        <v>0</v>
      </c>
      <c r="AB238" s="323">
        <f t="shared" si="69"/>
        <v>0</v>
      </c>
      <c r="AC238" s="80">
        <f t="shared" si="74"/>
        <v>0</v>
      </c>
      <c r="AD238" s="80">
        <f t="shared" si="75"/>
        <v>0</v>
      </c>
      <c r="AE238" s="80"/>
      <c r="AF238" s="80"/>
      <c r="AG238" s="80"/>
      <c r="AH238" s="326">
        <f t="shared" si="70"/>
        <v>0</v>
      </c>
      <c r="AI238" s="326">
        <f t="shared" si="71"/>
        <v>0</v>
      </c>
      <c r="AJ238" s="326">
        <f t="shared" si="72"/>
        <v>0</v>
      </c>
      <c r="AK238" s="326">
        <f t="shared" si="73"/>
        <v>0</v>
      </c>
      <c r="AL238" s="326"/>
      <c r="AM238" s="326"/>
      <c r="AN238" s="326"/>
      <c r="AO238" s="326"/>
      <c r="AP238" s="326"/>
      <c r="AQ238" s="326"/>
      <c r="AR238" s="327"/>
      <c r="AS238" s="209"/>
      <c r="AT238" s="411"/>
      <c r="AU238" s="411"/>
    </row>
    <row r="239" spans="1:47" s="390" customFormat="1" ht="18.75" customHeight="1">
      <c r="A239" s="167">
        <v>228</v>
      </c>
      <c r="B239" s="79" t="str">
        <f>IFERROR(VLOOKUP(A239,O.B.JUNE!$A$7:$C$448,2,0),0)</f>
        <v>ANN TAYLOR</v>
      </c>
      <c r="C239" s="174">
        <f>IFERROR(VLOOKUP(A239,O.B.JUNE!$A$7:$C$448,3,0),0)</f>
        <v>459065</v>
      </c>
      <c r="D239" s="80">
        <f t="shared" si="64"/>
        <v>0</v>
      </c>
      <c r="E239" s="80">
        <f>IFERROR(VLOOKUP(C239,O.B.JUNE!$C$7:$D$448,2,0),0)</f>
        <v>0</v>
      </c>
      <c r="F239" s="80">
        <v>0</v>
      </c>
      <c r="G239" s="80">
        <f>IFERROR(VLOOKUP(C239,O.B.JUNE!$C$7:$E$448,3,0),0)</f>
        <v>153</v>
      </c>
      <c r="H239" s="80">
        <f t="shared" si="63"/>
        <v>0</v>
      </c>
      <c r="I239" s="80"/>
      <c r="J239" s="80">
        <f t="shared" si="65"/>
        <v>0</v>
      </c>
      <c r="K239" s="80">
        <v>0</v>
      </c>
      <c r="L239" s="80">
        <v>0</v>
      </c>
      <c r="M239" s="81">
        <f t="shared" si="66"/>
        <v>153</v>
      </c>
      <c r="N239" s="81">
        <v>0</v>
      </c>
      <c r="O239" s="81">
        <v>123</v>
      </c>
      <c r="P239" s="81">
        <f t="shared" si="76"/>
        <v>30</v>
      </c>
      <c r="Q239" s="80">
        <f>IFERROR(VLOOKUP(C239,O.B.JUNE!$C$7:$K$448,7,0),0)</f>
        <v>0</v>
      </c>
      <c r="R239" s="80">
        <f>IFERROR(VLOOKUP(C239,O.B.JUNE!$C$7:$J$448,8,0),0)</f>
        <v>0</v>
      </c>
      <c r="S239" s="323">
        <f t="shared" si="67"/>
        <v>0</v>
      </c>
      <c r="T239" s="324">
        <v>0</v>
      </c>
      <c r="U239" s="324"/>
      <c r="V239" s="80"/>
      <c r="W239" s="324">
        <v>0</v>
      </c>
      <c r="X239" s="324"/>
      <c r="Y239" s="324">
        <v>0</v>
      </c>
      <c r="Z239" s="80">
        <v>0</v>
      </c>
      <c r="AA239" s="80">
        <f t="shared" si="68"/>
        <v>0</v>
      </c>
      <c r="AB239" s="323">
        <f t="shared" si="69"/>
        <v>0</v>
      </c>
      <c r="AC239" s="80">
        <f t="shared" si="74"/>
        <v>0</v>
      </c>
      <c r="AD239" s="80">
        <f t="shared" si="75"/>
        <v>0</v>
      </c>
      <c r="AE239" s="80"/>
      <c r="AF239" s="80"/>
      <c r="AG239" s="80"/>
      <c r="AH239" s="326">
        <f t="shared" si="70"/>
        <v>0</v>
      </c>
      <c r="AI239" s="326">
        <f t="shared" si="71"/>
        <v>0</v>
      </c>
      <c r="AJ239" s="326">
        <f t="shared" si="72"/>
        <v>0</v>
      </c>
      <c r="AK239" s="326">
        <f t="shared" si="73"/>
        <v>0</v>
      </c>
      <c r="AL239" s="326"/>
      <c r="AM239" s="326"/>
      <c r="AN239" s="326"/>
      <c r="AO239" s="326"/>
      <c r="AP239" s="326"/>
      <c r="AQ239" s="326"/>
      <c r="AR239" s="327">
        <f>VLOOKUP(C239,'[1]DA HET SAN XUAT'!$D$8:$AJ$419,33,0)</f>
        <v>0</v>
      </c>
      <c r="AS239" s="504" t="s">
        <v>658</v>
      </c>
      <c r="AT239" s="411"/>
      <c r="AU239" s="411"/>
    </row>
    <row r="240" spans="1:47" s="390" customFormat="1" ht="18.75" customHeight="1">
      <c r="A240" s="167">
        <v>229</v>
      </c>
      <c r="B240" s="79" t="str">
        <f>IFERROR(VLOOKUP(A240,O.B.JUNE!$A$7:$C$448,2,0),0)</f>
        <v>ANN TAYLOR</v>
      </c>
      <c r="C240" s="174">
        <f>IFERROR(VLOOKUP(A240,O.B.JUNE!$A$7:$C$448,3,0),0)</f>
        <v>460586</v>
      </c>
      <c r="D240" s="80">
        <f t="shared" si="64"/>
        <v>0</v>
      </c>
      <c r="E240" s="80">
        <f>IFERROR(VLOOKUP(C240,O.B.JUNE!$C$7:$D$448,2,0),0)</f>
        <v>0</v>
      </c>
      <c r="F240" s="80">
        <v>0</v>
      </c>
      <c r="G240" s="80">
        <f>IFERROR(VLOOKUP(C240,O.B.JUNE!$C$7:$E$448,3,0),0)</f>
        <v>516</v>
      </c>
      <c r="H240" s="80">
        <f t="shared" si="63"/>
        <v>0</v>
      </c>
      <c r="I240" s="80"/>
      <c r="J240" s="80">
        <f t="shared" si="65"/>
        <v>0</v>
      </c>
      <c r="K240" s="80">
        <v>0</v>
      </c>
      <c r="L240" s="80">
        <v>0</v>
      </c>
      <c r="M240" s="81">
        <f t="shared" si="66"/>
        <v>516</v>
      </c>
      <c r="N240" s="81">
        <v>116</v>
      </c>
      <c r="O240" s="81">
        <v>176</v>
      </c>
      <c r="P240" s="81">
        <f t="shared" si="76"/>
        <v>224</v>
      </c>
      <c r="Q240" s="80">
        <f>IFERROR(VLOOKUP(C240,O.B.JUNE!$C$7:$K$448,7,0),0)</f>
        <v>0</v>
      </c>
      <c r="R240" s="80">
        <f>IFERROR(VLOOKUP(C240,O.B.JUNE!$C$7:$J$448,8,0),0)</f>
        <v>0</v>
      </c>
      <c r="S240" s="323">
        <f t="shared" si="67"/>
        <v>0</v>
      </c>
      <c r="T240" s="324">
        <v>0</v>
      </c>
      <c r="U240" s="324"/>
      <c r="V240" s="80"/>
      <c r="W240" s="324">
        <v>0</v>
      </c>
      <c r="X240" s="324"/>
      <c r="Y240" s="324">
        <v>0</v>
      </c>
      <c r="Z240" s="80">
        <v>0</v>
      </c>
      <c r="AA240" s="80">
        <f t="shared" si="68"/>
        <v>0</v>
      </c>
      <c r="AB240" s="323">
        <f t="shared" si="69"/>
        <v>0</v>
      </c>
      <c r="AC240" s="80">
        <f t="shared" si="74"/>
        <v>0</v>
      </c>
      <c r="AD240" s="80">
        <f t="shared" si="75"/>
        <v>0</v>
      </c>
      <c r="AE240" s="80"/>
      <c r="AF240" s="80"/>
      <c r="AG240" s="80"/>
      <c r="AH240" s="326">
        <f t="shared" si="70"/>
        <v>0</v>
      </c>
      <c r="AI240" s="326">
        <f t="shared" si="71"/>
        <v>0</v>
      </c>
      <c r="AJ240" s="326">
        <f t="shared" si="72"/>
        <v>0</v>
      </c>
      <c r="AK240" s="326">
        <f t="shared" si="73"/>
        <v>0</v>
      </c>
      <c r="AL240" s="326"/>
      <c r="AM240" s="326"/>
      <c r="AN240" s="326"/>
      <c r="AO240" s="326"/>
      <c r="AP240" s="326"/>
      <c r="AQ240" s="326"/>
      <c r="AR240" s="327">
        <f>VLOOKUP(C240,'[1]DA HET SAN XUAT'!$D$8:$AJ$419,33,0)</f>
        <v>0</v>
      </c>
      <c r="AS240" s="504" t="s">
        <v>658</v>
      </c>
      <c r="AT240" s="411"/>
      <c r="AU240" s="411"/>
    </row>
    <row r="241" spans="1:47" s="390" customFormat="1" ht="18.75" customHeight="1">
      <c r="A241" s="167">
        <v>230</v>
      </c>
      <c r="B241" s="79" t="str">
        <f>IFERROR(VLOOKUP(A241,O.B.JUNE!$A$7:$C$448,2,0),0)</f>
        <v>ANN TAYLOR</v>
      </c>
      <c r="C241" s="174">
        <f>IFERROR(VLOOKUP(A241,O.B.JUNE!$A$7:$C$448,3,0),0)</f>
        <v>460588</v>
      </c>
      <c r="D241" s="80">
        <f t="shared" si="64"/>
        <v>0</v>
      </c>
      <c r="E241" s="80">
        <f>IFERROR(VLOOKUP(C241,O.B.JUNE!$C$7:$D$448,2,0),0)</f>
        <v>6820</v>
      </c>
      <c r="F241" s="80">
        <f>VLOOKUP(C241,'CUTTING ON JUNE'!$A$4:$D$316,3,0)</f>
        <v>6820</v>
      </c>
      <c r="G241" s="80">
        <f>IFERROR(VLOOKUP(C241,O.B.JUNE!$C$7:$E$448,3,0),0)</f>
        <v>407</v>
      </c>
      <c r="H241" s="80">
        <f t="shared" si="63"/>
        <v>0</v>
      </c>
      <c r="I241" s="80"/>
      <c r="J241" s="80">
        <f t="shared" si="65"/>
        <v>0</v>
      </c>
      <c r="K241" s="80">
        <v>0</v>
      </c>
      <c r="L241" s="80">
        <v>0</v>
      </c>
      <c r="M241" s="81">
        <f t="shared" si="66"/>
        <v>407</v>
      </c>
      <c r="N241" s="81">
        <v>0</v>
      </c>
      <c r="O241" s="81">
        <v>198</v>
      </c>
      <c r="P241" s="81">
        <f t="shared" si="76"/>
        <v>209</v>
      </c>
      <c r="Q241" s="80">
        <f>IFERROR(VLOOKUP(C241,O.B.JUNE!$C$7:$K$448,7,0),0)</f>
        <v>0</v>
      </c>
      <c r="R241" s="80">
        <f>IFERROR(VLOOKUP(C241,O.B.JUNE!$C$7:$J$448,8,0),0)</f>
        <v>0</v>
      </c>
      <c r="S241" s="323">
        <f t="shared" si="67"/>
        <v>0</v>
      </c>
      <c r="T241" s="324">
        <v>0</v>
      </c>
      <c r="U241" s="324"/>
      <c r="V241" s="80"/>
      <c r="W241" s="324">
        <v>0</v>
      </c>
      <c r="X241" s="324"/>
      <c r="Y241" s="324">
        <v>0</v>
      </c>
      <c r="Z241" s="80">
        <v>0</v>
      </c>
      <c r="AA241" s="80">
        <f t="shared" si="68"/>
        <v>0</v>
      </c>
      <c r="AB241" s="323">
        <f t="shared" si="69"/>
        <v>0</v>
      </c>
      <c r="AC241" s="80">
        <f t="shared" si="74"/>
        <v>0</v>
      </c>
      <c r="AD241" s="80">
        <f t="shared" si="75"/>
        <v>0</v>
      </c>
      <c r="AE241" s="80"/>
      <c r="AF241" s="80"/>
      <c r="AG241" s="80"/>
      <c r="AH241" s="326">
        <f t="shared" si="70"/>
        <v>0</v>
      </c>
      <c r="AI241" s="326">
        <f t="shared" si="71"/>
        <v>0</v>
      </c>
      <c r="AJ241" s="326">
        <f t="shared" si="72"/>
        <v>0</v>
      </c>
      <c r="AK241" s="326">
        <f t="shared" si="73"/>
        <v>0</v>
      </c>
      <c r="AL241" s="326"/>
      <c r="AM241" s="326"/>
      <c r="AN241" s="326"/>
      <c r="AO241" s="326"/>
      <c r="AP241" s="326"/>
      <c r="AQ241" s="326"/>
      <c r="AR241" s="327">
        <f>VLOOKUP(C241,'[1]DA HET SAN XUAT'!$D$8:$AJ$419,33,0)</f>
        <v>0</v>
      </c>
      <c r="AS241" s="209"/>
      <c r="AT241" s="411"/>
      <c r="AU241" s="411"/>
    </row>
    <row r="242" spans="1:47" s="390" customFormat="1" ht="18.75" customHeight="1">
      <c r="A242" s="167">
        <v>231</v>
      </c>
      <c r="B242" s="79" t="str">
        <f>IFERROR(VLOOKUP(A242,O.B.JUNE!$A$7:$C$448,2,0),0)</f>
        <v>ANN TAYLOR</v>
      </c>
      <c r="C242" s="174">
        <f>IFERROR(VLOOKUP(A242,O.B.JUNE!$A$7:$C$448,3,0),0)</f>
        <v>460591</v>
      </c>
      <c r="D242" s="80">
        <f t="shared" si="64"/>
        <v>0</v>
      </c>
      <c r="E242" s="80">
        <f>IFERROR(VLOOKUP(C242,O.B.JUNE!$C$7:$D$448,2,0),0)</f>
        <v>7440</v>
      </c>
      <c r="F242" s="80">
        <f>VLOOKUP(C242,'CUTTING ON JUNE'!$A$4:$D$316,3,0)</f>
        <v>7440</v>
      </c>
      <c r="G242" s="80">
        <f>IFERROR(VLOOKUP(C242,O.B.JUNE!$C$7:$E$448,3,0),0)</f>
        <v>304</v>
      </c>
      <c r="H242" s="80">
        <f t="shared" si="63"/>
        <v>0</v>
      </c>
      <c r="I242" s="80"/>
      <c r="J242" s="80">
        <f t="shared" si="65"/>
        <v>0</v>
      </c>
      <c r="K242" s="80">
        <v>0</v>
      </c>
      <c r="L242" s="80">
        <v>0</v>
      </c>
      <c r="M242" s="81">
        <f t="shared" si="66"/>
        <v>304</v>
      </c>
      <c r="N242" s="81">
        <v>0</v>
      </c>
      <c r="O242" s="81">
        <v>111</v>
      </c>
      <c r="P242" s="81">
        <f t="shared" si="76"/>
        <v>193</v>
      </c>
      <c r="Q242" s="80">
        <f>IFERROR(VLOOKUP(C242,O.B.JUNE!$C$7:$K$448,7,0),0)</f>
        <v>0</v>
      </c>
      <c r="R242" s="80">
        <f>IFERROR(VLOOKUP(C242,O.B.JUNE!$C$7:$J$448,8,0),0)</f>
        <v>0</v>
      </c>
      <c r="S242" s="323">
        <f t="shared" si="67"/>
        <v>0</v>
      </c>
      <c r="T242" s="324">
        <v>0</v>
      </c>
      <c r="U242" s="324"/>
      <c r="V242" s="80"/>
      <c r="W242" s="324">
        <v>0</v>
      </c>
      <c r="X242" s="324"/>
      <c r="Y242" s="324">
        <v>0</v>
      </c>
      <c r="Z242" s="80">
        <v>0</v>
      </c>
      <c r="AA242" s="80">
        <f t="shared" si="68"/>
        <v>0</v>
      </c>
      <c r="AB242" s="323">
        <f t="shared" si="69"/>
        <v>0</v>
      </c>
      <c r="AC242" s="80">
        <f t="shared" si="74"/>
        <v>0</v>
      </c>
      <c r="AD242" s="80">
        <f t="shared" si="75"/>
        <v>0</v>
      </c>
      <c r="AE242" s="80"/>
      <c r="AF242" s="80"/>
      <c r="AG242" s="80"/>
      <c r="AH242" s="326">
        <f t="shared" si="70"/>
        <v>0</v>
      </c>
      <c r="AI242" s="326">
        <f t="shared" si="71"/>
        <v>0</v>
      </c>
      <c r="AJ242" s="326">
        <f t="shared" si="72"/>
        <v>0</v>
      </c>
      <c r="AK242" s="326">
        <f t="shared" si="73"/>
        <v>0</v>
      </c>
      <c r="AL242" s="326"/>
      <c r="AM242" s="326"/>
      <c r="AN242" s="326"/>
      <c r="AO242" s="326"/>
      <c r="AP242" s="326"/>
      <c r="AQ242" s="326"/>
      <c r="AR242" s="327">
        <f>VLOOKUP(C242,'[1]DA HET SAN XUAT'!$D$8:$AJ$419,33,0)</f>
        <v>0</v>
      </c>
      <c r="AS242" s="209"/>
      <c r="AT242" s="411"/>
      <c r="AU242" s="411"/>
    </row>
    <row r="243" spans="1:47" s="390" customFormat="1" ht="18.75" customHeight="1">
      <c r="A243" s="167">
        <v>232</v>
      </c>
      <c r="B243" s="79" t="str">
        <f>IFERROR(VLOOKUP(A243,O.B.JUNE!$A$7:$C$448,2,0),0)</f>
        <v>ANN TAYLOR</v>
      </c>
      <c r="C243" s="174">
        <f>IFERROR(VLOOKUP(A243,O.B.JUNE!$A$7:$C$448,3,0),0)</f>
        <v>460727</v>
      </c>
      <c r="D243" s="80">
        <f t="shared" si="64"/>
        <v>0</v>
      </c>
      <c r="E243" s="80">
        <f>IFERROR(VLOOKUP(C243,O.B.JUNE!$C$7:$D$448,2,0),0)</f>
        <v>0</v>
      </c>
      <c r="F243" s="80">
        <v>0</v>
      </c>
      <c r="G243" s="80">
        <f>IFERROR(VLOOKUP(C243,O.B.JUNE!$C$7:$E$448,3,0),0)</f>
        <v>98</v>
      </c>
      <c r="H243" s="80">
        <f t="shared" si="63"/>
        <v>0</v>
      </c>
      <c r="I243" s="80"/>
      <c r="J243" s="80">
        <f t="shared" si="65"/>
        <v>0</v>
      </c>
      <c r="K243" s="80">
        <v>0</v>
      </c>
      <c r="L243" s="80">
        <v>0</v>
      </c>
      <c r="M243" s="81">
        <f t="shared" si="66"/>
        <v>98</v>
      </c>
      <c r="N243" s="81">
        <v>30</v>
      </c>
      <c r="O243" s="81">
        <v>15</v>
      </c>
      <c r="P243" s="81">
        <f t="shared" si="76"/>
        <v>53</v>
      </c>
      <c r="Q243" s="80">
        <f>IFERROR(VLOOKUP(C243,O.B.JUNE!$C$7:$K$448,7,0),0)</f>
        <v>0</v>
      </c>
      <c r="R243" s="80">
        <f>IFERROR(VLOOKUP(C243,O.B.JUNE!$C$7:$J$448,8,0),0)</f>
        <v>0</v>
      </c>
      <c r="S243" s="323">
        <f t="shared" si="67"/>
        <v>0</v>
      </c>
      <c r="T243" s="324">
        <v>0</v>
      </c>
      <c r="U243" s="324"/>
      <c r="V243" s="80"/>
      <c r="W243" s="324">
        <v>0</v>
      </c>
      <c r="X243" s="324"/>
      <c r="Y243" s="324">
        <v>0</v>
      </c>
      <c r="Z243" s="80">
        <v>0</v>
      </c>
      <c r="AA243" s="80">
        <f t="shared" si="68"/>
        <v>0</v>
      </c>
      <c r="AB243" s="323">
        <f t="shared" si="69"/>
        <v>0</v>
      </c>
      <c r="AC243" s="80">
        <f t="shared" si="74"/>
        <v>0</v>
      </c>
      <c r="AD243" s="80">
        <f t="shared" si="75"/>
        <v>0</v>
      </c>
      <c r="AE243" s="80"/>
      <c r="AF243" s="80"/>
      <c r="AG243" s="80"/>
      <c r="AH243" s="326">
        <f t="shared" si="70"/>
        <v>0</v>
      </c>
      <c r="AI243" s="326">
        <f t="shared" si="71"/>
        <v>0</v>
      </c>
      <c r="AJ243" s="326">
        <f t="shared" si="72"/>
        <v>0</v>
      </c>
      <c r="AK243" s="326">
        <f t="shared" si="73"/>
        <v>0</v>
      </c>
      <c r="AL243" s="326"/>
      <c r="AM243" s="326"/>
      <c r="AN243" s="326"/>
      <c r="AO243" s="326"/>
      <c r="AP243" s="326"/>
      <c r="AQ243" s="326"/>
      <c r="AR243" s="327">
        <f>VLOOKUP(C243,'[1]DA HET SAN XUAT'!$D$8:$AJ$419,33,0)</f>
        <v>0</v>
      </c>
      <c r="AS243" s="504" t="s">
        <v>658</v>
      </c>
      <c r="AT243" s="411"/>
      <c r="AU243" s="411"/>
    </row>
    <row r="244" spans="1:47" s="390" customFormat="1" ht="18.75" customHeight="1">
      <c r="A244" s="167">
        <v>233</v>
      </c>
      <c r="B244" s="79" t="str">
        <f>IFERROR(VLOOKUP(A244,O.B.JUNE!$A$7:$C$448,2,0),0)</f>
        <v>ANN TAYLOR</v>
      </c>
      <c r="C244" s="174">
        <f>IFERROR(VLOOKUP(A244,O.B.JUNE!$A$7:$C$448,3,0),0)</f>
        <v>461609</v>
      </c>
      <c r="D244" s="80">
        <f t="shared" si="64"/>
        <v>0</v>
      </c>
      <c r="E244" s="80">
        <f>IFERROR(VLOOKUP(C244,O.B.JUNE!$C$7:$D$448,2,0),0)</f>
        <v>18336</v>
      </c>
      <c r="F244" s="80">
        <f>VLOOKUP(C244,'CUTTING ON JUNE'!$A$4:$D$316,3,0)</f>
        <v>18336</v>
      </c>
      <c r="G244" s="80">
        <f>IFERROR(VLOOKUP(C244,O.B.JUNE!$C$7:$E$448,3,0),0)</f>
        <v>490</v>
      </c>
      <c r="H244" s="80">
        <f t="shared" si="63"/>
        <v>0</v>
      </c>
      <c r="I244" s="80"/>
      <c r="J244" s="80">
        <f t="shared" si="65"/>
        <v>0</v>
      </c>
      <c r="K244" s="80">
        <v>0</v>
      </c>
      <c r="L244" s="80">
        <v>0</v>
      </c>
      <c r="M244" s="81">
        <f t="shared" si="66"/>
        <v>490</v>
      </c>
      <c r="N244" s="81">
        <v>62</v>
      </c>
      <c r="O244" s="81">
        <v>141</v>
      </c>
      <c r="P244" s="81">
        <f t="shared" si="76"/>
        <v>287</v>
      </c>
      <c r="Q244" s="80">
        <f>IFERROR(VLOOKUP(C244,O.B.JUNE!$C$7:$K$448,7,0),0)</f>
        <v>0</v>
      </c>
      <c r="R244" s="80">
        <f>IFERROR(VLOOKUP(C244,O.B.JUNE!$C$7:$J$448,8,0),0)</f>
        <v>0</v>
      </c>
      <c r="S244" s="323">
        <f t="shared" si="67"/>
        <v>0</v>
      </c>
      <c r="T244" s="324">
        <v>0</v>
      </c>
      <c r="U244" s="324"/>
      <c r="V244" s="80"/>
      <c r="W244" s="324">
        <v>0</v>
      </c>
      <c r="X244" s="324"/>
      <c r="Y244" s="324">
        <v>0</v>
      </c>
      <c r="Z244" s="80">
        <v>0</v>
      </c>
      <c r="AA244" s="80">
        <f t="shared" si="68"/>
        <v>0</v>
      </c>
      <c r="AB244" s="323">
        <f t="shared" si="69"/>
        <v>0</v>
      </c>
      <c r="AC244" s="80">
        <f t="shared" si="74"/>
        <v>0</v>
      </c>
      <c r="AD244" s="80">
        <f t="shared" si="75"/>
        <v>0</v>
      </c>
      <c r="AE244" s="80"/>
      <c r="AF244" s="80"/>
      <c r="AG244" s="80"/>
      <c r="AH244" s="326">
        <f t="shared" si="70"/>
        <v>0</v>
      </c>
      <c r="AI244" s="326">
        <f t="shared" si="71"/>
        <v>0</v>
      </c>
      <c r="AJ244" s="326">
        <f t="shared" si="72"/>
        <v>0</v>
      </c>
      <c r="AK244" s="326">
        <f t="shared" si="73"/>
        <v>0</v>
      </c>
      <c r="AL244" s="326"/>
      <c r="AM244" s="326"/>
      <c r="AN244" s="326"/>
      <c r="AO244" s="326"/>
      <c r="AP244" s="326"/>
      <c r="AQ244" s="326"/>
      <c r="AR244" s="327">
        <f>VLOOKUP(C244,'[1]DA HET SAN XUAT'!$D$8:$AJ$419,33,0)</f>
        <v>0</v>
      </c>
      <c r="AS244" s="209"/>
      <c r="AT244" s="411"/>
      <c r="AU244" s="411"/>
    </row>
    <row r="245" spans="1:47" s="390" customFormat="1" ht="18.75" customHeight="1">
      <c r="A245" s="167">
        <v>234</v>
      </c>
      <c r="B245" s="79" t="str">
        <f>IFERROR(VLOOKUP(A245,O.B.JUNE!$A$7:$C$448,2,0),0)</f>
        <v>ANN TAYLOR</v>
      </c>
      <c r="C245" s="174">
        <f>IFERROR(VLOOKUP(A245,O.B.JUNE!$A$7:$C$448,3,0),0)</f>
        <v>464818</v>
      </c>
      <c r="D245" s="80">
        <f t="shared" si="64"/>
        <v>0</v>
      </c>
      <c r="E245" s="80">
        <f>IFERROR(VLOOKUP(C245,O.B.JUNE!$C$7:$D$448,2,0),0)</f>
        <v>16492</v>
      </c>
      <c r="F245" s="80">
        <f>VLOOKUP(C245,'CUTTING ON JUNE'!$A$4:$D$316,3,0)</f>
        <v>16492</v>
      </c>
      <c r="G245" s="80">
        <f>IFERROR(VLOOKUP(C245,O.B.JUNE!$C$7:$E$448,3,0),0)</f>
        <v>1375</v>
      </c>
      <c r="H245" s="80">
        <f t="shared" si="63"/>
        <v>0</v>
      </c>
      <c r="I245" s="80"/>
      <c r="J245" s="80">
        <f t="shared" si="65"/>
        <v>0</v>
      </c>
      <c r="K245" s="80">
        <v>0</v>
      </c>
      <c r="L245" s="80">
        <v>0</v>
      </c>
      <c r="M245" s="81">
        <f t="shared" si="66"/>
        <v>1375</v>
      </c>
      <c r="N245" s="81">
        <v>0</v>
      </c>
      <c r="O245" s="81">
        <v>662</v>
      </c>
      <c r="P245" s="81">
        <f t="shared" si="76"/>
        <v>713</v>
      </c>
      <c r="Q245" s="80">
        <f>IFERROR(VLOOKUP(C245,O.B.JUNE!$C$7:$K$448,7,0),0)</f>
        <v>0</v>
      </c>
      <c r="R245" s="80">
        <f>IFERROR(VLOOKUP(C245,O.B.JUNE!$C$7:$J$448,8,0),0)</f>
        <v>0</v>
      </c>
      <c r="S245" s="323">
        <f t="shared" si="67"/>
        <v>0</v>
      </c>
      <c r="T245" s="324">
        <v>0</v>
      </c>
      <c r="U245" s="324"/>
      <c r="V245" s="80"/>
      <c r="W245" s="324">
        <v>0</v>
      </c>
      <c r="X245" s="324"/>
      <c r="Y245" s="324">
        <v>0</v>
      </c>
      <c r="Z245" s="80">
        <v>0</v>
      </c>
      <c r="AA245" s="80">
        <f t="shared" si="68"/>
        <v>0</v>
      </c>
      <c r="AB245" s="323">
        <f t="shared" si="69"/>
        <v>0</v>
      </c>
      <c r="AC245" s="80">
        <f t="shared" si="74"/>
        <v>0</v>
      </c>
      <c r="AD245" s="80">
        <f t="shared" si="75"/>
        <v>0</v>
      </c>
      <c r="AE245" s="80"/>
      <c r="AF245" s="80"/>
      <c r="AG245" s="80"/>
      <c r="AH245" s="326">
        <f t="shared" si="70"/>
        <v>0</v>
      </c>
      <c r="AI245" s="326">
        <f t="shared" si="71"/>
        <v>0</v>
      </c>
      <c r="AJ245" s="326">
        <f t="shared" si="72"/>
        <v>0</v>
      </c>
      <c r="AK245" s="326">
        <f t="shared" si="73"/>
        <v>0</v>
      </c>
      <c r="AL245" s="326"/>
      <c r="AM245" s="326"/>
      <c r="AN245" s="326"/>
      <c r="AO245" s="326"/>
      <c r="AP245" s="326"/>
      <c r="AQ245" s="326"/>
      <c r="AR245" s="327">
        <f>VLOOKUP(C245,'[1]DA HET SAN XUAT'!$D$8:$AJ$419,33,0)</f>
        <v>0</v>
      </c>
      <c r="AS245" s="209"/>
      <c r="AT245" s="411"/>
      <c r="AU245" s="411"/>
    </row>
    <row r="246" spans="1:47" s="390" customFormat="1" ht="18.75" customHeight="1">
      <c r="A246" s="167">
        <v>235</v>
      </c>
      <c r="B246" s="79" t="str">
        <f>IFERROR(VLOOKUP(A246,O.B.JUNE!$A$7:$C$448,2,0),0)</f>
        <v>ANN TAYLOR</v>
      </c>
      <c r="C246" s="174">
        <f>IFERROR(VLOOKUP(A246,O.B.JUNE!$A$7:$C$448,3,0),0)</f>
        <v>465184</v>
      </c>
      <c r="D246" s="80">
        <f t="shared" si="64"/>
        <v>0</v>
      </c>
      <c r="E246" s="80">
        <f>IFERROR(VLOOKUP(C246,O.B.JUNE!$C$7:$D$448,2,0),0)</f>
        <v>10251</v>
      </c>
      <c r="F246" s="80">
        <f>VLOOKUP(C246,'CUTTING ON JUNE'!$A$4:$D$316,3,0)</f>
        <v>10251</v>
      </c>
      <c r="G246" s="80">
        <f>IFERROR(VLOOKUP(C246,O.B.JUNE!$C$7:$E$448,3,0),0)</f>
        <v>76</v>
      </c>
      <c r="H246" s="80">
        <f t="shared" si="63"/>
        <v>0</v>
      </c>
      <c r="I246" s="80"/>
      <c r="J246" s="80">
        <f t="shared" si="65"/>
        <v>0</v>
      </c>
      <c r="K246" s="80">
        <v>0</v>
      </c>
      <c r="L246" s="80">
        <v>0</v>
      </c>
      <c r="M246" s="81">
        <f t="shared" si="66"/>
        <v>76</v>
      </c>
      <c r="N246" s="81">
        <v>0</v>
      </c>
      <c r="O246" s="81">
        <v>16</v>
      </c>
      <c r="P246" s="81">
        <f t="shared" si="76"/>
        <v>60</v>
      </c>
      <c r="Q246" s="80">
        <f>IFERROR(VLOOKUP(C246,O.B.JUNE!$C$7:$K$448,7,0),0)</f>
        <v>0</v>
      </c>
      <c r="R246" s="80">
        <f>IFERROR(VLOOKUP(C246,O.B.JUNE!$C$7:$J$448,8,0),0)</f>
        <v>0</v>
      </c>
      <c r="S246" s="323">
        <f t="shared" si="67"/>
        <v>0</v>
      </c>
      <c r="T246" s="324">
        <v>0</v>
      </c>
      <c r="U246" s="324"/>
      <c r="V246" s="80"/>
      <c r="W246" s="324">
        <v>0</v>
      </c>
      <c r="X246" s="324"/>
      <c r="Y246" s="324">
        <v>0</v>
      </c>
      <c r="Z246" s="80">
        <v>0</v>
      </c>
      <c r="AA246" s="80">
        <f t="shared" si="68"/>
        <v>0</v>
      </c>
      <c r="AB246" s="323">
        <f t="shared" si="69"/>
        <v>0</v>
      </c>
      <c r="AC246" s="80">
        <f t="shared" si="74"/>
        <v>0</v>
      </c>
      <c r="AD246" s="80">
        <f t="shared" si="75"/>
        <v>0</v>
      </c>
      <c r="AE246" s="80"/>
      <c r="AF246" s="80"/>
      <c r="AG246" s="80"/>
      <c r="AH246" s="326">
        <f t="shared" si="70"/>
        <v>0</v>
      </c>
      <c r="AI246" s="326">
        <f t="shared" si="71"/>
        <v>0</v>
      </c>
      <c r="AJ246" s="326">
        <f t="shared" si="72"/>
        <v>0</v>
      </c>
      <c r="AK246" s="326">
        <f t="shared" si="73"/>
        <v>0</v>
      </c>
      <c r="AL246" s="326"/>
      <c r="AM246" s="326"/>
      <c r="AN246" s="326"/>
      <c r="AO246" s="326"/>
      <c r="AP246" s="326"/>
      <c r="AQ246" s="326"/>
      <c r="AR246" s="327">
        <f>VLOOKUP(C246,'[1]DA HET SAN XUAT'!$D$8:$AJ$419,33,0)</f>
        <v>0</v>
      </c>
      <c r="AS246" s="209"/>
      <c r="AT246" s="411"/>
      <c r="AU246" s="411"/>
    </row>
    <row r="247" spans="1:47" s="390" customFormat="1" ht="18.75" customHeight="1">
      <c r="A247" s="167">
        <v>236</v>
      </c>
      <c r="B247" s="79" t="str">
        <f>IFERROR(VLOOKUP(A247,O.B.JUNE!$A$7:$C$448,2,0),0)</f>
        <v>ANN TAYLOR</v>
      </c>
      <c r="C247" s="174">
        <f>IFERROR(VLOOKUP(A247,O.B.JUNE!$A$7:$C$448,3,0),0)</f>
        <v>465409</v>
      </c>
      <c r="D247" s="80">
        <f t="shared" si="64"/>
        <v>0</v>
      </c>
      <c r="E247" s="80">
        <f>IFERROR(VLOOKUP(C247,O.B.JUNE!$C$7:$D$448,2,0),0)</f>
        <v>14872</v>
      </c>
      <c r="F247" s="80">
        <f>VLOOKUP(C247,'CUTTING ON JUNE'!$A$4:$D$316,3,0)</f>
        <v>14872</v>
      </c>
      <c r="G247" s="80">
        <f>IFERROR(VLOOKUP(C247,O.B.JUNE!$C$7:$E$448,3,0),0)</f>
        <v>1041</v>
      </c>
      <c r="H247" s="80">
        <f t="shared" si="63"/>
        <v>0</v>
      </c>
      <c r="I247" s="80"/>
      <c r="J247" s="80">
        <f t="shared" si="65"/>
        <v>0</v>
      </c>
      <c r="K247" s="80">
        <v>0</v>
      </c>
      <c r="L247" s="80">
        <v>0</v>
      </c>
      <c r="M247" s="81">
        <f t="shared" si="66"/>
        <v>1041</v>
      </c>
      <c r="N247" s="81">
        <v>2</v>
      </c>
      <c r="O247" s="81">
        <v>14</v>
      </c>
      <c r="P247" s="81">
        <f t="shared" si="76"/>
        <v>1025</v>
      </c>
      <c r="Q247" s="80">
        <f>IFERROR(VLOOKUP(C247,O.B.JUNE!$C$7:$K$448,7,0),0)</f>
        <v>0</v>
      </c>
      <c r="R247" s="80">
        <f>IFERROR(VLOOKUP(C247,O.B.JUNE!$C$7:$J$448,8,0),0)</f>
        <v>0</v>
      </c>
      <c r="S247" s="323">
        <f t="shared" si="67"/>
        <v>0</v>
      </c>
      <c r="T247" s="324">
        <v>0</v>
      </c>
      <c r="U247" s="324"/>
      <c r="V247" s="80"/>
      <c r="W247" s="324">
        <v>0</v>
      </c>
      <c r="X247" s="324"/>
      <c r="Y247" s="324">
        <v>0</v>
      </c>
      <c r="Z247" s="80">
        <v>0</v>
      </c>
      <c r="AA247" s="80">
        <f t="shared" si="68"/>
        <v>0</v>
      </c>
      <c r="AB247" s="323">
        <f t="shared" si="69"/>
        <v>0</v>
      </c>
      <c r="AC247" s="80">
        <f t="shared" si="74"/>
        <v>0</v>
      </c>
      <c r="AD247" s="80">
        <f t="shared" si="75"/>
        <v>0</v>
      </c>
      <c r="AE247" s="80"/>
      <c r="AF247" s="80"/>
      <c r="AG247" s="80"/>
      <c r="AH247" s="326">
        <f t="shared" si="70"/>
        <v>0</v>
      </c>
      <c r="AI247" s="326">
        <f t="shared" si="71"/>
        <v>0</v>
      </c>
      <c r="AJ247" s="326">
        <f t="shared" si="72"/>
        <v>0</v>
      </c>
      <c r="AK247" s="326">
        <f t="shared" si="73"/>
        <v>0</v>
      </c>
      <c r="AL247" s="326"/>
      <c r="AM247" s="326"/>
      <c r="AN247" s="326"/>
      <c r="AO247" s="326"/>
      <c r="AP247" s="326"/>
      <c r="AQ247" s="326"/>
      <c r="AR247" s="327">
        <f>VLOOKUP(C247,'[1]DA HET SAN XUAT'!$D$8:$AJ$419,33,0)</f>
        <v>0</v>
      </c>
      <c r="AS247" s="209"/>
      <c r="AT247" s="411"/>
      <c r="AU247" s="411"/>
    </row>
    <row r="248" spans="1:47" s="390" customFormat="1" ht="18.75" customHeight="1">
      <c r="A248" s="167">
        <v>237</v>
      </c>
      <c r="B248" s="79" t="str">
        <f>IFERROR(VLOOKUP(A248,O.B.JUNE!$A$7:$C$448,2,0),0)</f>
        <v>CHARTER CLUB</v>
      </c>
      <c r="C248" s="174">
        <f>IFERROR(VLOOKUP(A248,O.B.JUNE!$A$7:$C$448,3,0),0)</f>
        <v>100010055</v>
      </c>
      <c r="D248" s="80">
        <f t="shared" si="64"/>
        <v>0</v>
      </c>
      <c r="E248" s="80">
        <f>IFERROR(VLOOKUP(C248,O.B.JUNE!$C$7:$D$448,2,0),0)</f>
        <v>2729</v>
      </c>
      <c r="F248" s="80">
        <f>VLOOKUP(C248,'CUTTING ON JUNE'!$A$4:$D$316,3,0)</f>
        <v>2729</v>
      </c>
      <c r="G248" s="80">
        <f>IFERROR(VLOOKUP(C248,O.B.JUNE!$C$7:$E$448,3,0),0)</f>
        <v>24</v>
      </c>
      <c r="H248" s="80">
        <f t="shared" si="63"/>
        <v>0</v>
      </c>
      <c r="I248" s="80"/>
      <c r="J248" s="80">
        <f t="shared" si="65"/>
        <v>0</v>
      </c>
      <c r="K248" s="80">
        <v>0</v>
      </c>
      <c r="L248" s="80">
        <v>0</v>
      </c>
      <c r="M248" s="81">
        <f t="shared" si="66"/>
        <v>24</v>
      </c>
      <c r="N248" s="81">
        <v>0</v>
      </c>
      <c r="O248" s="81">
        <v>17</v>
      </c>
      <c r="P248" s="81">
        <f t="shared" si="76"/>
        <v>7</v>
      </c>
      <c r="Q248" s="80">
        <f>IFERROR(VLOOKUP(C248,O.B.JUNE!$C$7:$K$448,7,0),0)</f>
        <v>0</v>
      </c>
      <c r="R248" s="80">
        <f>IFERROR(VLOOKUP(C248,O.B.JUNE!$C$7:$J$448,8,0),0)</f>
        <v>0</v>
      </c>
      <c r="S248" s="323">
        <f t="shared" si="67"/>
        <v>0</v>
      </c>
      <c r="T248" s="324">
        <v>0</v>
      </c>
      <c r="U248" s="324"/>
      <c r="V248" s="80"/>
      <c r="W248" s="324">
        <v>0</v>
      </c>
      <c r="X248" s="324"/>
      <c r="Y248" s="324">
        <v>0</v>
      </c>
      <c r="Z248" s="80">
        <v>0</v>
      </c>
      <c r="AA248" s="80">
        <f t="shared" si="68"/>
        <v>0</v>
      </c>
      <c r="AB248" s="323">
        <f t="shared" si="69"/>
        <v>0</v>
      </c>
      <c r="AC248" s="80">
        <f t="shared" si="74"/>
        <v>0</v>
      </c>
      <c r="AD248" s="80">
        <f t="shared" si="75"/>
        <v>0</v>
      </c>
      <c r="AE248" s="80"/>
      <c r="AF248" s="80"/>
      <c r="AG248" s="80"/>
      <c r="AH248" s="326">
        <f t="shared" si="70"/>
        <v>0</v>
      </c>
      <c r="AI248" s="326">
        <f t="shared" si="71"/>
        <v>0</v>
      </c>
      <c r="AJ248" s="326">
        <f t="shared" si="72"/>
        <v>0</v>
      </c>
      <c r="AK248" s="326">
        <f t="shared" si="73"/>
        <v>0</v>
      </c>
      <c r="AL248" s="326"/>
      <c r="AM248" s="326"/>
      <c r="AN248" s="326"/>
      <c r="AO248" s="326"/>
      <c r="AP248" s="326"/>
      <c r="AQ248" s="326"/>
      <c r="AR248" s="327"/>
      <c r="AS248" s="209"/>
      <c r="AT248" s="411"/>
      <c r="AU248" s="411"/>
    </row>
    <row r="249" spans="1:47" s="390" customFormat="1" ht="18.75" customHeight="1">
      <c r="A249" s="167">
        <v>238</v>
      </c>
      <c r="B249" s="79" t="str">
        <f>IFERROR(VLOOKUP(A249,O.B.JUNE!$A$7:$C$448,2,0),0)</f>
        <v>CHARTER CLUB</v>
      </c>
      <c r="C249" s="174">
        <f>IFERROR(VLOOKUP(A249,O.B.JUNE!$A$7:$C$448,3,0),0)</f>
        <v>100013421</v>
      </c>
      <c r="D249" s="80">
        <f t="shared" si="64"/>
        <v>0</v>
      </c>
      <c r="E249" s="80">
        <f>IFERROR(VLOOKUP(C249,O.B.JUNE!$C$7:$D$448,2,0),0)</f>
        <v>19570</v>
      </c>
      <c r="F249" s="80">
        <f>VLOOKUP(C249,'CUTTING ON JUNE'!$A$4:$D$316,3,0)</f>
        <v>19570</v>
      </c>
      <c r="G249" s="80">
        <f>IFERROR(VLOOKUP(C249,O.B.JUNE!$C$7:$E$448,3,0),0)</f>
        <v>702</v>
      </c>
      <c r="H249" s="80">
        <f t="shared" si="63"/>
        <v>0</v>
      </c>
      <c r="I249" s="80"/>
      <c r="J249" s="80">
        <f t="shared" si="65"/>
        <v>0</v>
      </c>
      <c r="K249" s="80">
        <v>0</v>
      </c>
      <c r="L249" s="80">
        <v>0</v>
      </c>
      <c r="M249" s="81">
        <f t="shared" si="66"/>
        <v>702</v>
      </c>
      <c r="N249" s="81">
        <v>0</v>
      </c>
      <c r="O249" s="81">
        <v>364</v>
      </c>
      <c r="P249" s="81">
        <f t="shared" si="76"/>
        <v>338</v>
      </c>
      <c r="Q249" s="80">
        <f>IFERROR(VLOOKUP(C249,O.B.JUNE!$C$7:$K$448,7,0),0)</f>
        <v>0</v>
      </c>
      <c r="R249" s="80">
        <f>IFERROR(VLOOKUP(C249,O.B.JUNE!$C$7:$J$448,8,0),0)</f>
        <v>0</v>
      </c>
      <c r="S249" s="323">
        <f t="shared" si="67"/>
        <v>0</v>
      </c>
      <c r="T249" s="324">
        <v>0</v>
      </c>
      <c r="U249" s="324"/>
      <c r="V249" s="80"/>
      <c r="W249" s="324">
        <v>0</v>
      </c>
      <c r="X249" s="324"/>
      <c r="Y249" s="324">
        <v>0</v>
      </c>
      <c r="Z249" s="80">
        <v>0</v>
      </c>
      <c r="AA249" s="80">
        <f t="shared" si="68"/>
        <v>0</v>
      </c>
      <c r="AB249" s="323">
        <f t="shared" si="69"/>
        <v>0</v>
      </c>
      <c r="AC249" s="80">
        <f t="shared" si="74"/>
        <v>0</v>
      </c>
      <c r="AD249" s="80">
        <f t="shared" si="75"/>
        <v>0</v>
      </c>
      <c r="AE249" s="80"/>
      <c r="AF249" s="80"/>
      <c r="AG249" s="80"/>
      <c r="AH249" s="326">
        <f t="shared" si="70"/>
        <v>0</v>
      </c>
      <c r="AI249" s="326">
        <f t="shared" si="71"/>
        <v>0</v>
      </c>
      <c r="AJ249" s="326">
        <f t="shared" si="72"/>
        <v>0</v>
      </c>
      <c r="AK249" s="326">
        <f t="shared" si="73"/>
        <v>0</v>
      </c>
      <c r="AL249" s="326"/>
      <c r="AM249" s="326"/>
      <c r="AN249" s="326"/>
      <c r="AO249" s="326"/>
      <c r="AP249" s="326"/>
      <c r="AQ249" s="326"/>
      <c r="AR249" s="327"/>
      <c r="AS249" s="209"/>
      <c r="AT249" s="411"/>
      <c r="AU249" s="411"/>
    </row>
    <row r="250" spans="1:47" s="390" customFormat="1" ht="18.75" customHeight="1">
      <c r="A250" s="167">
        <v>239</v>
      </c>
      <c r="B250" s="79" t="str">
        <f>IFERROR(VLOOKUP(A250,O.B.JUNE!$A$7:$C$448,2,0),0)</f>
        <v>INC</v>
      </c>
      <c r="C250" s="174">
        <f>IFERROR(VLOOKUP(A250,O.B.JUNE!$A$7:$C$448,3,0),0)</f>
        <v>100006969</v>
      </c>
      <c r="D250" s="80">
        <f t="shared" si="64"/>
        <v>0</v>
      </c>
      <c r="E250" s="80">
        <f>IFERROR(VLOOKUP(C250,O.B.JUNE!$C$7:$D$448,2,0),0)</f>
        <v>3293</v>
      </c>
      <c r="F250" s="80">
        <f>VLOOKUP(C250,'CUTTING ON JUNE'!$A$4:$D$316,3,0)</f>
        <v>3293</v>
      </c>
      <c r="G250" s="80">
        <f>IFERROR(VLOOKUP(C250,O.B.JUNE!$C$7:$E$448,3,0),0)</f>
        <v>160</v>
      </c>
      <c r="H250" s="80">
        <f t="shared" si="63"/>
        <v>0</v>
      </c>
      <c r="I250" s="80"/>
      <c r="J250" s="80">
        <f t="shared" si="65"/>
        <v>0</v>
      </c>
      <c r="K250" s="80">
        <v>0</v>
      </c>
      <c r="L250" s="80">
        <v>0</v>
      </c>
      <c r="M250" s="81">
        <f t="shared" si="66"/>
        <v>160</v>
      </c>
      <c r="N250" s="81">
        <v>30</v>
      </c>
      <c r="O250" s="81">
        <v>73</v>
      </c>
      <c r="P250" s="81">
        <f t="shared" si="76"/>
        <v>57</v>
      </c>
      <c r="Q250" s="80">
        <f>IFERROR(VLOOKUP(C250,O.B.JUNE!$C$7:$K$448,7,0),0)</f>
        <v>0</v>
      </c>
      <c r="R250" s="80">
        <f>IFERROR(VLOOKUP(C250,O.B.JUNE!$C$7:$J$448,8,0),0)</f>
        <v>0</v>
      </c>
      <c r="S250" s="323">
        <f t="shared" si="67"/>
        <v>0</v>
      </c>
      <c r="T250" s="324">
        <v>0</v>
      </c>
      <c r="U250" s="324"/>
      <c r="V250" s="80"/>
      <c r="W250" s="324">
        <v>0</v>
      </c>
      <c r="X250" s="324"/>
      <c r="Y250" s="324">
        <v>0</v>
      </c>
      <c r="Z250" s="80">
        <v>0</v>
      </c>
      <c r="AA250" s="80">
        <f t="shared" si="68"/>
        <v>0</v>
      </c>
      <c r="AB250" s="323">
        <f t="shared" si="69"/>
        <v>0</v>
      </c>
      <c r="AC250" s="80">
        <f t="shared" si="74"/>
        <v>0</v>
      </c>
      <c r="AD250" s="80">
        <f t="shared" si="75"/>
        <v>0</v>
      </c>
      <c r="AE250" s="80"/>
      <c r="AF250" s="80"/>
      <c r="AG250" s="80"/>
      <c r="AH250" s="326">
        <f t="shared" si="70"/>
        <v>0</v>
      </c>
      <c r="AI250" s="326">
        <f t="shared" si="71"/>
        <v>0</v>
      </c>
      <c r="AJ250" s="326">
        <f t="shared" si="72"/>
        <v>0</v>
      </c>
      <c r="AK250" s="326">
        <f t="shared" si="73"/>
        <v>0</v>
      </c>
      <c r="AL250" s="326"/>
      <c r="AM250" s="326"/>
      <c r="AN250" s="326"/>
      <c r="AO250" s="326"/>
      <c r="AP250" s="326"/>
      <c r="AQ250" s="326"/>
      <c r="AR250" s="327"/>
      <c r="AS250" s="209"/>
      <c r="AT250" s="411"/>
      <c r="AU250" s="411"/>
    </row>
    <row r="251" spans="1:47" s="390" customFormat="1" ht="18.75" customHeight="1">
      <c r="A251" s="167">
        <v>240</v>
      </c>
      <c r="B251" s="79" t="str">
        <f>IFERROR(VLOOKUP(A251,O.B.JUNE!$A$7:$C$448,2,0),0)</f>
        <v>INC</v>
      </c>
      <c r="C251" s="174">
        <f>IFERROR(VLOOKUP(A251,O.B.JUNE!$A$7:$C$448,3,0),0)</f>
        <v>100020548</v>
      </c>
      <c r="D251" s="80">
        <f t="shared" si="64"/>
        <v>0</v>
      </c>
      <c r="E251" s="80">
        <f>IFERROR(VLOOKUP(C251,O.B.JUNE!$C$7:$D$448,2,0),0)</f>
        <v>6352</v>
      </c>
      <c r="F251" s="80">
        <f>VLOOKUP(C251,'CUTTING ON JUNE'!$A$4:$D$316,3,0)</f>
        <v>6352</v>
      </c>
      <c r="G251" s="80">
        <f>IFERROR(VLOOKUP(C251,O.B.JUNE!$C$7:$E$448,3,0),0)</f>
        <v>850</v>
      </c>
      <c r="H251" s="80">
        <f t="shared" si="63"/>
        <v>0</v>
      </c>
      <c r="I251" s="80"/>
      <c r="J251" s="80">
        <f t="shared" si="65"/>
        <v>0</v>
      </c>
      <c r="K251" s="80">
        <v>0</v>
      </c>
      <c r="L251" s="80">
        <v>0</v>
      </c>
      <c r="M251" s="81">
        <f t="shared" si="66"/>
        <v>850</v>
      </c>
      <c r="N251" s="81">
        <v>0</v>
      </c>
      <c r="O251" s="81">
        <v>436</v>
      </c>
      <c r="P251" s="81">
        <f t="shared" si="76"/>
        <v>414</v>
      </c>
      <c r="Q251" s="80">
        <f>IFERROR(VLOOKUP(C251,O.B.JUNE!$C$7:$K$448,7,0),0)</f>
        <v>0</v>
      </c>
      <c r="R251" s="80">
        <f>IFERROR(VLOOKUP(C251,O.B.JUNE!$C$7:$J$448,8,0),0)</f>
        <v>0</v>
      </c>
      <c r="S251" s="323">
        <f t="shared" si="67"/>
        <v>0</v>
      </c>
      <c r="T251" s="324">
        <v>0</v>
      </c>
      <c r="U251" s="324"/>
      <c r="V251" s="80"/>
      <c r="W251" s="324">
        <v>0</v>
      </c>
      <c r="X251" s="324"/>
      <c r="Y251" s="324">
        <v>0</v>
      </c>
      <c r="Z251" s="80">
        <v>0</v>
      </c>
      <c r="AA251" s="80">
        <f t="shared" si="68"/>
        <v>0</v>
      </c>
      <c r="AB251" s="323">
        <f t="shared" si="69"/>
        <v>0</v>
      </c>
      <c r="AC251" s="80">
        <f t="shared" si="74"/>
        <v>0</v>
      </c>
      <c r="AD251" s="80">
        <f t="shared" si="75"/>
        <v>0</v>
      </c>
      <c r="AE251" s="80"/>
      <c r="AF251" s="80"/>
      <c r="AG251" s="80"/>
      <c r="AH251" s="326">
        <f t="shared" si="70"/>
        <v>0</v>
      </c>
      <c r="AI251" s="326">
        <f t="shared" si="71"/>
        <v>0</v>
      </c>
      <c r="AJ251" s="326">
        <f t="shared" si="72"/>
        <v>0</v>
      </c>
      <c r="AK251" s="326">
        <f t="shared" si="73"/>
        <v>0</v>
      </c>
      <c r="AL251" s="326"/>
      <c r="AM251" s="326"/>
      <c r="AN251" s="326"/>
      <c r="AO251" s="326"/>
      <c r="AP251" s="326"/>
      <c r="AQ251" s="326"/>
      <c r="AR251" s="327"/>
      <c r="AS251" s="209"/>
      <c r="AT251" s="411"/>
      <c r="AU251" s="411"/>
    </row>
    <row r="252" spans="1:47" s="390" customFormat="1" ht="18.75" customHeight="1">
      <c r="A252" s="167">
        <v>241</v>
      </c>
      <c r="B252" s="79" t="str">
        <f>IFERROR(VLOOKUP(A252,O.B.JUNE!$A$7:$C$448,2,0),0)</f>
        <v>INC</v>
      </c>
      <c r="C252" s="174">
        <f>IFERROR(VLOOKUP(A252,O.B.JUNE!$A$7:$C$448,3,0),0)</f>
        <v>77511</v>
      </c>
      <c r="D252" s="80">
        <f t="shared" si="64"/>
        <v>0</v>
      </c>
      <c r="E252" s="80">
        <f>IFERROR(VLOOKUP(C252,O.B.JUNE!$C$7:$D$448,2,0),0)</f>
        <v>10287</v>
      </c>
      <c r="F252" s="80">
        <f>VLOOKUP(C252,'CUTTING ON JUNE'!$A$4:$D$316,3,0)</f>
        <v>10287</v>
      </c>
      <c r="G252" s="80">
        <f>IFERROR(VLOOKUP(C252,O.B.JUNE!$C$7:$E$448,3,0),0)</f>
        <v>89</v>
      </c>
      <c r="H252" s="80">
        <f t="shared" si="63"/>
        <v>0</v>
      </c>
      <c r="I252" s="80"/>
      <c r="J252" s="80">
        <f t="shared" si="65"/>
        <v>89</v>
      </c>
      <c r="K252" s="80">
        <v>0</v>
      </c>
      <c r="L252" s="80">
        <v>0</v>
      </c>
      <c r="M252" s="81">
        <f t="shared" si="66"/>
        <v>0</v>
      </c>
      <c r="N252" s="81">
        <v>0</v>
      </c>
      <c r="O252" s="81">
        <v>0</v>
      </c>
      <c r="P252" s="81">
        <f t="shared" si="76"/>
        <v>0</v>
      </c>
      <c r="Q252" s="80">
        <f>IFERROR(VLOOKUP(C252,O.B.JUNE!$C$7:$K$448,7,0),0)</f>
        <v>0</v>
      </c>
      <c r="R252" s="80">
        <f>IFERROR(VLOOKUP(C252,O.B.JUNE!$C$7:$J$448,8,0),0)</f>
        <v>0</v>
      </c>
      <c r="S252" s="323">
        <f t="shared" si="67"/>
        <v>89</v>
      </c>
      <c r="T252" s="324">
        <v>0</v>
      </c>
      <c r="U252" s="324">
        <v>89</v>
      </c>
      <c r="V252" s="80"/>
      <c r="W252" s="324">
        <v>0</v>
      </c>
      <c r="X252" s="324"/>
      <c r="Y252" s="324">
        <v>0</v>
      </c>
      <c r="Z252" s="80">
        <v>0</v>
      </c>
      <c r="AA252" s="80">
        <f t="shared" si="68"/>
        <v>89</v>
      </c>
      <c r="AB252" s="323">
        <f t="shared" si="69"/>
        <v>0</v>
      </c>
      <c r="AC252" s="80">
        <f t="shared" si="74"/>
        <v>89</v>
      </c>
      <c r="AD252" s="80">
        <f t="shared" si="75"/>
        <v>89</v>
      </c>
      <c r="AE252" s="80"/>
      <c r="AF252" s="80"/>
      <c r="AG252" s="80"/>
      <c r="AH252" s="326">
        <f t="shared" si="70"/>
        <v>0</v>
      </c>
      <c r="AI252" s="326">
        <f t="shared" si="71"/>
        <v>0</v>
      </c>
      <c r="AJ252" s="326">
        <f t="shared" si="72"/>
        <v>0</v>
      </c>
      <c r="AK252" s="326">
        <f t="shared" si="73"/>
        <v>0</v>
      </c>
      <c r="AL252" s="326"/>
      <c r="AM252" s="326"/>
      <c r="AN252" s="326"/>
      <c r="AO252" s="326"/>
      <c r="AP252" s="326"/>
      <c r="AQ252" s="326"/>
      <c r="AR252" s="327"/>
      <c r="AS252" s="504" t="s">
        <v>658</v>
      </c>
      <c r="AT252" s="411"/>
      <c r="AU252" s="411"/>
    </row>
    <row r="253" spans="1:47" s="390" customFormat="1" ht="18.75" customHeight="1">
      <c r="A253" s="167">
        <v>242</v>
      </c>
      <c r="B253" s="79" t="str">
        <f>IFERROR(VLOOKUP(A253,O.B.JUNE!$A$7:$C$448,2,0),0)</f>
        <v>J JILL</v>
      </c>
      <c r="C253" s="174" t="str">
        <f>IFERROR(VLOOKUP(A253,O.B.JUNE!$A$7:$C$448,3,0),0)</f>
        <v>KTP118131</v>
      </c>
      <c r="D253" s="80">
        <f t="shared" si="64"/>
        <v>0</v>
      </c>
      <c r="E253" s="80">
        <f>IFERROR(VLOOKUP(C253,O.B.JUNE!$C$7:$D$448,2,0),0)</f>
        <v>13099</v>
      </c>
      <c r="F253" s="80">
        <f>VLOOKUP(C253,'CUTTING ON JUNE'!$A$4:$D$316,3,0)</f>
        <v>13099</v>
      </c>
      <c r="G253" s="80">
        <f>IFERROR(VLOOKUP(C253,O.B.JUNE!$C$7:$E$448,3,0),0)</f>
        <v>619</v>
      </c>
      <c r="H253" s="80">
        <f t="shared" si="63"/>
        <v>0</v>
      </c>
      <c r="I253" s="80"/>
      <c r="J253" s="80">
        <f t="shared" si="65"/>
        <v>0</v>
      </c>
      <c r="K253" s="80">
        <v>0</v>
      </c>
      <c r="L253" s="80">
        <v>0</v>
      </c>
      <c r="M253" s="81">
        <f t="shared" si="66"/>
        <v>619</v>
      </c>
      <c r="N253" s="81">
        <v>0</v>
      </c>
      <c r="O253" s="81">
        <v>0</v>
      </c>
      <c r="P253" s="81">
        <f t="shared" si="76"/>
        <v>619</v>
      </c>
      <c r="Q253" s="80">
        <f>IFERROR(VLOOKUP(C253,O.B.JUNE!$C$7:$K$448,7,0),0)</f>
        <v>0</v>
      </c>
      <c r="R253" s="80">
        <f>IFERROR(VLOOKUP(C253,O.B.JUNE!$C$7:$J$448,8,0),0)</f>
        <v>0</v>
      </c>
      <c r="S253" s="323">
        <f t="shared" si="67"/>
        <v>0</v>
      </c>
      <c r="T253" s="324">
        <v>0</v>
      </c>
      <c r="U253" s="324"/>
      <c r="V253" s="80"/>
      <c r="W253" s="324">
        <v>0</v>
      </c>
      <c r="X253" s="324"/>
      <c r="Y253" s="324">
        <v>0</v>
      </c>
      <c r="Z253" s="80">
        <v>0</v>
      </c>
      <c r="AA253" s="80">
        <f t="shared" si="68"/>
        <v>0</v>
      </c>
      <c r="AB253" s="323">
        <f t="shared" si="69"/>
        <v>0</v>
      </c>
      <c r="AC253" s="80">
        <f t="shared" si="74"/>
        <v>0</v>
      </c>
      <c r="AD253" s="80">
        <f t="shared" si="75"/>
        <v>0</v>
      </c>
      <c r="AE253" s="80"/>
      <c r="AF253" s="80"/>
      <c r="AG253" s="80"/>
      <c r="AH253" s="326">
        <f t="shared" si="70"/>
        <v>0</v>
      </c>
      <c r="AI253" s="326">
        <f t="shared" si="71"/>
        <v>0</v>
      </c>
      <c r="AJ253" s="326">
        <f t="shared" si="72"/>
        <v>0</v>
      </c>
      <c r="AK253" s="326">
        <f t="shared" si="73"/>
        <v>0</v>
      </c>
      <c r="AL253" s="326"/>
      <c r="AM253" s="326"/>
      <c r="AN253" s="326"/>
      <c r="AO253" s="326"/>
      <c r="AP253" s="326"/>
      <c r="AQ253" s="326"/>
      <c r="AR253" s="327">
        <f>VLOOKUP(C253,'[1]DA HET SAN XUAT'!$D$8:$AJ$419,33,0)</f>
        <v>0</v>
      </c>
      <c r="AS253" s="209"/>
      <c r="AT253" s="411"/>
      <c r="AU253" s="411"/>
    </row>
    <row r="254" spans="1:47" s="390" customFormat="1" ht="18.75" customHeight="1">
      <c r="A254" s="167">
        <v>243</v>
      </c>
      <c r="B254" s="79" t="str">
        <f>IFERROR(VLOOKUP(A254,O.B.JUNE!$A$7:$C$448,2,0),0)</f>
        <v>J JILL</v>
      </c>
      <c r="C254" s="174" t="str">
        <f>IFERROR(VLOOKUP(A254,O.B.JUNE!$A$7:$C$448,3,0),0)</f>
        <v>KTP121661</v>
      </c>
      <c r="D254" s="80">
        <f t="shared" si="64"/>
        <v>0</v>
      </c>
      <c r="E254" s="80">
        <f>IFERROR(VLOOKUP(C254,O.B.JUNE!$C$7:$D$448,2,0),0)</f>
        <v>13517</v>
      </c>
      <c r="F254" s="80">
        <f>VLOOKUP(C254,'CUTTING ON JUNE'!$A$4:$D$316,3,0)</f>
        <v>13517</v>
      </c>
      <c r="G254" s="80">
        <f>IFERROR(VLOOKUP(C254,O.B.JUNE!$C$7:$E$448,3,0),0)</f>
        <v>278</v>
      </c>
      <c r="H254" s="80">
        <f t="shared" si="63"/>
        <v>0</v>
      </c>
      <c r="I254" s="80"/>
      <c r="J254" s="80">
        <f t="shared" si="65"/>
        <v>0</v>
      </c>
      <c r="K254" s="80">
        <v>0</v>
      </c>
      <c r="L254" s="80">
        <v>0</v>
      </c>
      <c r="M254" s="81">
        <f t="shared" si="66"/>
        <v>278</v>
      </c>
      <c r="N254" s="81">
        <v>0</v>
      </c>
      <c r="O254" s="81">
        <v>47</v>
      </c>
      <c r="P254" s="81">
        <f t="shared" si="76"/>
        <v>231</v>
      </c>
      <c r="Q254" s="80">
        <f>IFERROR(VLOOKUP(C254,O.B.JUNE!$C$7:$K$448,7,0),0)</f>
        <v>0</v>
      </c>
      <c r="R254" s="80">
        <f>IFERROR(VLOOKUP(C254,O.B.JUNE!$C$7:$J$448,8,0),0)</f>
        <v>0</v>
      </c>
      <c r="S254" s="323">
        <f t="shared" si="67"/>
        <v>0</v>
      </c>
      <c r="T254" s="324">
        <v>0</v>
      </c>
      <c r="U254" s="324"/>
      <c r="V254" s="80"/>
      <c r="W254" s="324">
        <v>0</v>
      </c>
      <c r="X254" s="324"/>
      <c r="Y254" s="324">
        <v>0</v>
      </c>
      <c r="Z254" s="80">
        <v>0</v>
      </c>
      <c r="AA254" s="80">
        <f t="shared" si="68"/>
        <v>0</v>
      </c>
      <c r="AB254" s="323">
        <f t="shared" si="69"/>
        <v>0</v>
      </c>
      <c r="AC254" s="80">
        <f t="shared" si="74"/>
        <v>0</v>
      </c>
      <c r="AD254" s="80">
        <f t="shared" si="75"/>
        <v>0</v>
      </c>
      <c r="AE254" s="80"/>
      <c r="AF254" s="80"/>
      <c r="AG254" s="80"/>
      <c r="AH254" s="326">
        <f t="shared" si="70"/>
        <v>0</v>
      </c>
      <c r="AI254" s="326">
        <f t="shared" si="71"/>
        <v>0</v>
      </c>
      <c r="AJ254" s="326">
        <f t="shared" si="72"/>
        <v>0</v>
      </c>
      <c r="AK254" s="326">
        <f t="shared" si="73"/>
        <v>0</v>
      </c>
      <c r="AL254" s="326"/>
      <c r="AM254" s="326"/>
      <c r="AN254" s="326"/>
      <c r="AO254" s="326"/>
      <c r="AP254" s="326"/>
      <c r="AQ254" s="326"/>
      <c r="AR254" s="327">
        <f>VLOOKUP(C254,'[1]DA HET SAN XUAT'!$D$8:$AJ$419,33,0)</f>
        <v>0</v>
      </c>
      <c r="AS254" s="209"/>
      <c r="AT254" s="411"/>
      <c r="AU254" s="411"/>
    </row>
    <row r="255" spans="1:47" s="390" customFormat="1" ht="18.75" customHeight="1">
      <c r="A255" s="167">
        <v>244</v>
      </c>
      <c r="B255" s="79" t="str">
        <f>IFERROR(VLOOKUP(A255,O.B.JUNE!$A$7:$C$448,2,0),0)</f>
        <v>ALFANI</v>
      </c>
      <c r="C255" s="174">
        <f>IFERROR(VLOOKUP(A255,O.B.JUNE!$A$7:$C$448,3,0),0)</f>
        <v>100015354</v>
      </c>
      <c r="D255" s="80">
        <f t="shared" si="64"/>
        <v>0</v>
      </c>
      <c r="E255" s="80">
        <f>IFERROR(VLOOKUP(C255,O.B.JUNE!$C$7:$D$448,2,0),0)</f>
        <v>9786</v>
      </c>
      <c r="F255" s="80">
        <f>VLOOKUP(C255,'CUTTING ON JUNE'!$A$4:$D$316,3,0)</f>
        <v>9786</v>
      </c>
      <c r="G255" s="80">
        <f>IFERROR(VLOOKUP(C255,O.B.JUNE!$C$7:$E$448,3,0),0)</f>
        <v>207</v>
      </c>
      <c r="H255" s="80">
        <f t="shared" si="63"/>
        <v>0</v>
      </c>
      <c r="I255" s="80"/>
      <c r="J255" s="80">
        <f t="shared" si="65"/>
        <v>0</v>
      </c>
      <c r="K255" s="80">
        <v>0</v>
      </c>
      <c r="L255" s="80">
        <v>0</v>
      </c>
      <c r="M255" s="81">
        <f t="shared" si="66"/>
        <v>207</v>
      </c>
      <c r="N255" s="81">
        <v>0</v>
      </c>
      <c r="O255" s="81">
        <v>8</v>
      </c>
      <c r="P255" s="81">
        <f t="shared" si="76"/>
        <v>199</v>
      </c>
      <c r="Q255" s="80">
        <f>IFERROR(VLOOKUP(C255,O.B.JUNE!$C$7:$K$448,7,0),0)</f>
        <v>0</v>
      </c>
      <c r="R255" s="80">
        <f>IFERROR(VLOOKUP(C255,O.B.JUNE!$C$7:$J$448,8,0),0)</f>
        <v>0</v>
      </c>
      <c r="S255" s="323">
        <f t="shared" si="67"/>
        <v>0</v>
      </c>
      <c r="T255" s="324">
        <v>0</v>
      </c>
      <c r="U255" s="324"/>
      <c r="V255" s="80"/>
      <c r="W255" s="324">
        <v>0</v>
      </c>
      <c r="X255" s="324"/>
      <c r="Y255" s="324">
        <v>0</v>
      </c>
      <c r="Z255" s="80">
        <v>0</v>
      </c>
      <c r="AA255" s="80">
        <f t="shared" si="68"/>
        <v>0</v>
      </c>
      <c r="AB255" s="323">
        <f t="shared" si="69"/>
        <v>0</v>
      </c>
      <c r="AC255" s="80">
        <f t="shared" si="74"/>
        <v>0</v>
      </c>
      <c r="AD255" s="80">
        <f t="shared" si="75"/>
        <v>0</v>
      </c>
      <c r="AE255" s="80"/>
      <c r="AF255" s="80"/>
      <c r="AG255" s="80"/>
      <c r="AH255" s="326">
        <f t="shared" si="70"/>
        <v>0</v>
      </c>
      <c r="AI255" s="326">
        <f t="shared" si="71"/>
        <v>0</v>
      </c>
      <c r="AJ255" s="326">
        <f t="shared" si="72"/>
        <v>0</v>
      </c>
      <c r="AK255" s="326">
        <f t="shared" si="73"/>
        <v>0</v>
      </c>
      <c r="AL255" s="326"/>
      <c r="AM255" s="326"/>
      <c r="AN255" s="326"/>
      <c r="AO255" s="326"/>
      <c r="AP255" s="326"/>
      <c r="AQ255" s="326"/>
      <c r="AR255" s="327"/>
      <c r="AS255" s="209"/>
      <c r="AT255" s="411"/>
      <c r="AU255" s="411"/>
    </row>
    <row r="256" spans="1:47" s="390" customFormat="1" ht="18.75" customHeight="1">
      <c r="A256" s="167">
        <v>245</v>
      </c>
      <c r="B256" s="79" t="str">
        <f>IFERROR(VLOOKUP(A256,O.B.JUNE!$A$7:$C$448,2,0),0)</f>
        <v>ANN TAYLOR</v>
      </c>
      <c r="C256" s="174">
        <f>IFERROR(VLOOKUP(A256,O.B.JUNE!$A$7:$C$448,3,0),0)</f>
        <v>468248</v>
      </c>
      <c r="D256" s="80">
        <f t="shared" si="64"/>
        <v>0</v>
      </c>
      <c r="E256" s="80">
        <f>IFERROR(VLOOKUP(C256,O.B.JUNE!$C$7:$D$448,2,0),0)</f>
        <v>10996</v>
      </c>
      <c r="F256" s="80">
        <f>VLOOKUP(C256,'CUTTING ON JUNE'!$A$4:$D$316,3,0)</f>
        <v>10996</v>
      </c>
      <c r="G256" s="80">
        <f>IFERROR(VLOOKUP(C256,O.B.JUNE!$C$7:$E$448,3,0),0)</f>
        <v>823</v>
      </c>
      <c r="H256" s="80">
        <f t="shared" si="63"/>
        <v>0</v>
      </c>
      <c r="I256" s="80"/>
      <c r="J256" s="80">
        <f t="shared" si="65"/>
        <v>0</v>
      </c>
      <c r="K256" s="80">
        <v>0</v>
      </c>
      <c r="L256" s="80">
        <v>0</v>
      </c>
      <c r="M256" s="81">
        <f t="shared" si="66"/>
        <v>823</v>
      </c>
      <c r="N256" s="81">
        <v>0</v>
      </c>
      <c r="O256" s="81">
        <v>745</v>
      </c>
      <c r="P256" s="81">
        <f t="shared" si="76"/>
        <v>78</v>
      </c>
      <c r="Q256" s="80">
        <f>IFERROR(VLOOKUP(C256,O.B.JUNE!$C$7:$K$448,7,0),0)</f>
        <v>0</v>
      </c>
      <c r="R256" s="80">
        <f>IFERROR(VLOOKUP(C256,O.B.JUNE!$C$7:$J$448,8,0),0)</f>
        <v>0</v>
      </c>
      <c r="S256" s="323">
        <f t="shared" si="67"/>
        <v>0</v>
      </c>
      <c r="T256" s="324">
        <v>0</v>
      </c>
      <c r="U256" s="324"/>
      <c r="V256" s="80"/>
      <c r="W256" s="324">
        <v>0</v>
      </c>
      <c r="X256" s="324"/>
      <c r="Y256" s="324">
        <v>0</v>
      </c>
      <c r="Z256" s="80">
        <v>0</v>
      </c>
      <c r="AA256" s="80">
        <f t="shared" si="68"/>
        <v>0</v>
      </c>
      <c r="AB256" s="323">
        <f t="shared" si="69"/>
        <v>0</v>
      </c>
      <c r="AC256" s="80">
        <f t="shared" si="74"/>
        <v>0</v>
      </c>
      <c r="AD256" s="80">
        <f t="shared" si="75"/>
        <v>0</v>
      </c>
      <c r="AE256" s="80"/>
      <c r="AF256" s="80"/>
      <c r="AG256" s="80"/>
      <c r="AH256" s="326">
        <f t="shared" si="70"/>
        <v>0</v>
      </c>
      <c r="AI256" s="326">
        <f t="shared" si="71"/>
        <v>0</v>
      </c>
      <c r="AJ256" s="326">
        <f t="shared" si="72"/>
        <v>0</v>
      </c>
      <c r="AK256" s="326">
        <f t="shared" si="73"/>
        <v>0</v>
      </c>
      <c r="AL256" s="326"/>
      <c r="AM256" s="326"/>
      <c r="AN256" s="326"/>
      <c r="AO256" s="326"/>
      <c r="AP256" s="326"/>
      <c r="AQ256" s="326"/>
      <c r="AR256" s="327">
        <f>VLOOKUP(C256,'[1]DA HET SAN XUAT'!$D$8:$AJ$419,33,0)</f>
        <v>0</v>
      </c>
      <c r="AS256" s="209"/>
      <c r="AT256" s="411"/>
      <c r="AU256" s="411"/>
    </row>
    <row r="257" spans="1:47" s="390" customFormat="1" ht="18.75" customHeight="1">
      <c r="A257" s="167">
        <v>246</v>
      </c>
      <c r="B257" s="79" t="str">
        <f>IFERROR(VLOOKUP(A257,O.B.JUNE!$A$7:$C$448,2,0),0)</f>
        <v>ALFANI</v>
      </c>
      <c r="C257" s="174">
        <f>IFERROR(VLOOKUP(A257,O.B.JUNE!$A$7:$C$448,3,0),0)</f>
        <v>100008608</v>
      </c>
      <c r="D257" s="80">
        <f t="shared" si="64"/>
        <v>0</v>
      </c>
      <c r="E257" s="80">
        <f>IFERROR(VLOOKUP(C257,O.B.JUNE!$C$7:$D$448,2,0),0)</f>
        <v>0</v>
      </c>
      <c r="F257" s="80">
        <v>0</v>
      </c>
      <c r="G257" s="80">
        <f>IFERROR(VLOOKUP(C257,O.B.JUNE!$C$7:$E$448,3,0),0)</f>
        <v>77</v>
      </c>
      <c r="H257" s="80">
        <f t="shared" si="63"/>
        <v>0</v>
      </c>
      <c r="I257" s="80"/>
      <c r="J257" s="80">
        <f t="shared" si="65"/>
        <v>0</v>
      </c>
      <c r="K257" s="80">
        <v>0</v>
      </c>
      <c r="L257" s="80">
        <v>0</v>
      </c>
      <c r="M257" s="81">
        <f t="shared" si="66"/>
        <v>77</v>
      </c>
      <c r="N257" s="81">
        <v>0</v>
      </c>
      <c r="O257" s="81">
        <v>48</v>
      </c>
      <c r="P257" s="81">
        <f t="shared" si="76"/>
        <v>29</v>
      </c>
      <c r="Q257" s="80">
        <f>IFERROR(VLOOKUP(C257,O.B.JUNE!$C$7:$K$448,7,0),0)</f>
        <v>0</v>
      </c>
      <c r="R257" s="80">
        <f>IFERROR(VLOOKUP(C257,O.B.JUNE!$C$7:$J$448,8,0),0)</f>
        <v>0</v>
      </c>
      <c r="S257" s="323">
        <f t="shared" si="67"/>
        <v>0</v>
      </c>
      <c r="T257" s="324">
        <v>0</v>
      </c>
      <c r="U257" s="324"/>
      <c r="V257" s="80"/>
      <c r="W257" s="324">
        <v>0</v>
      </c>
      <c r="X257" s="324"/>
      <c r="Y257" s="324">
        <v>0</v>
      </c>
      <c r="Z257" s="80">
        <v>0</v>
      </c>
      <c r="AA257" s="80">
        <f t="shared" si="68"/>
        <v>0</v>
      </c>
      <c r="AB257" s="323">
        <f t="shared" si="69"/>
        <v>0</v>
      </c>
      <c r="AC257" s="80">
        <f t="shared" si="74"/>
        <v>0</v>
      </c>
      <c r="AD257" s="80">
        <f t="shared" si="75"/>
        <v>0</v>
      </c>
      <c r="AE257" s="80"/>
      <c r="AF257" s="80"/>
      <c r="AG257" s="80"/>
      <c r="AH257" s="326">
        <f t="shared" si="70"/>
        <v>0</v>
      </c>
      <c r="AI257" s="326">
        <f t="shared" si="71"/>
        <v>0</v>
      </c>
      <c r="AJ257" s="326">
        <f t="shared" si="72"/>
        <v>0</v>
      </c>
      <c r="AK257" s="326">
        <f t="shared" si="73"/>
        <v>0</v>
      </c>
      <c r="AL257" s="326"/>
      <c r="AM257" s="326"/>
      <c r="AN257" s="326"/>
      <c r="AO257" s="326"/>
      <c r="AP257" s="326"/>
      <c r="AQ257" s="326"/>
      <c r="AR257" s="327"/>
      <c r="AS257" s="209"/>
      <c r="AT257" s="411"/>
      <c r="AU257" s="411"/>
    </row>
    <row r="258" spans="1:47" s="390" customFormat="1" ht="18.75" customHeight="1">
      <c r="A258" s="167">
        <v>247</v>
      </c>
      <c r="B258" s="79" t="str">
        <f>IFERROR(VLOOKUP(A258,O.B.JUNE!$A$7:$C$448,2,0),0)</f>
        <v>CHARTER CLUB</v>
      </c>
      <c r="C258" s="174">
        <f>IFERROR(VLOOKUP(A258,O.B.JUNE!$A$7:$C$448,3,0),0)</f>
        <v>16661</v>
      </c>
      <c r="D258" s="80">
        <f t="shared" si="64"/>
        <v>0</v>
      </c>
      <c r="E258" s="80">
        <f>IFERROR(VLOOKUP(C258,O.B.JUNE!$C$7:$D$448,2,0),0)</f>
        <v>2736</v>
      </c>
      <c r="F258" s="80">
        <f>VLOOKUP(C258,'CUTTING ON JUNE'!$A$4:$D$316,3,0)</f>
        <v>2736</v>
      </c>
      <c r="G258" s="80">
        <f>IFERROR(VLOOKUP(C258,O.B.JUNE!$C$7:$E$448,3,0),0)</f>
        <v>46</v>
      </c>
      <c r="H258" s="80">
        <f t="shared" si="63"/>
        <v>0</v>
      </c>
      <c r="I258" s="80"/>
      <c r="J258" s="80">
        <f t="shared" si="65"/>
        <v>0</v>
      </c>
      <c r="K258" s="80">
        <v>0</v>
      </c>
      <c r="L258" s="80">
        <v>0</v>
      </c>
      <c r="M258" s="81">
        <f t="shared" si="66"/>
        <v>46</v>
      </c>
      <c r="N258" s="81">
        <v>0</v>
      </c>
      <c r="O258" s="81">
        <v>40</v>
      </c>
      <c r="P258" s="81">
        <f t="shared" si="76"/>
        <v>6</v>
      </c>
      <c r="Q258" s="80">
        <f>IFERROR(VLOOKUP(C258,O.B.JUNE!$C$7:$K$448,7,0),0)</f>
        <v>0</v>
      </c>
      <c r="R258" s="80">
        <f>IFERROR(VLOOKUP(C258,O.B.JUNE!$C$7:$J$448,8,0),0)</f>
        <v>0</v>
      </c>
      <c r="S258" s="323">
        <f t="shared" si="67"/>
        <v>0</v>
      </c>
      <c r="T258" s="324">
        <v>0</v>
      </c>
      <c r="U258" s="324"/>
      <c r="V258" s="80"/>
      <c r="W258" s="324">
        <v>0</v>
      </c>
      <c r="X258" s="324"/>
      <c r="Y258" s="324">
        <v>0</v>
      </c>
      <c r="Z258" s="80">
        <v>0</v>
      </c>
      <c r="AA258" s="80">
        <f t="shared" si="68"/>
        <v>0</v>
      </c>
      <c r="AB258" s="323">
        <f t="shared" si="69"/>
        <v>0</v>
      </c>
      <c r="AC258" s="80">
        <f t="shared" si="74"/>
        <v>0</v>
      </c>
      <c r="AD258" s="80">
        <f t="shared" si="75"/>
        <v>0</v>
      </c>
      <c r="AE258" s="80"/>
      <c r="AF258" s="80"/>
      <c r="AG258" s="80"/>
      <c r="AH258" s="326">
        <f t="shared" si="70"/>
        <v>0</v>
      </c>
      <c r="AI258" s="326">
        <f t="shared" si="71"/>
        <v>0</v>
      </c>
      <c r="AJ258" s="326">
        <f t="shared" si="72"/>
        <v>0</v>
      </c>
      <c r="AK258" s="326">
        <f t="shared" si="73"/>
        <v>0</v>
      </c>
      <c r="AL258" s="326"/>
      <c r="AM258" s="326"/>
      <c r="AN258" s="326"/>
      <c r="AO258" s="326"/>
      <c r="AP258" s="326"/>
      <c r="AQ258" s="326"/>
      <c r="AR258" s="327"/>
      <c r="AS258" s="209"/>
      <c r="AT258" s="411"/>
      <c r="AU258" s="411"/>
    </row>
    <row r="259" spans="1:47" s="390" customFormat="1" ht="18.75" customHeight="1">
      <c r="A259" s="167">
        <v>248</v>
      </c>
      <c r="B259" s="79" t="str">
        <f>IFERROR(VLOOKUP(A259,O.B.JUNE!$A$7:$C$448,2,0),0)</f>
        <v>ALFANI</v>
      </c>
      <c r="C259" s="174">
        <f>IFERROR(VLOOKUP(A259,O.B.JUNE!$A$7:$C$448,3,0),0)</f>
        <v>75740</v>
      </c>
      <c r="D259" s="80">
        <f t="shared" si="64"/>
        <v>0</v>
      </c>
      <c r="E259" s="80">
        <f>IFERROR(VLOOKUP(C259,O.B.JUNE!$C$7:$D$448,2,0),0)</f>
        <v>995</v>
      </c>
      <c r="F259" s="80">
        <f>VLOOKUP(C259,'CUTTING ON JUNE'!$A$4:$D$316,3,0)</f>
        <v>995</v>
      </c>
      <c r="G259" s="80">
        <f>IFERROR(VLOOKUP(C259,O.B.JUNE!$C$7:$E$448,3,0),0)</f>
        <v>12</v>
      </c>
      <c r="H259" s="80">
        <f t="shared" si="63"/>
        <v>0</v>
      </c>
      <c r="I259" s="80"/>
      <c r="J259" s="80">
        <f t="shared" si="65"/>
        <v>12</v>
      </c>
      <c r="K259" s="80">
        <v>0</v>
      </c>
      <c r="L259" s="80">
        <v>0</v>
      </c>
      <c r="M259" s="81">
        <f t="shared" si="66"/>
        <v>0</v>
      </c>
      <c r="N259" s="81">
        <v>0</v>
      </c>
      <c r="O259" s="81">
        <v>0</v>
      </c>
      <c r="P259" s="81">
        <f t="shared" si="76"/>
        <v>0</v>
      </c>
      <c r="Q259" s="80">
        <f>IFERROR(VLOOKUP(C259,O.B.JUNE!$C$7:$K$448,7,0),0)</f>
        <v>0</v>
      </c>
      <c r="R259" s="80">
        <f>IFERROR(VLOOKUP(C259,O.B.JUNE!$C$7:$J$448,8,0),0)</f>
        <v>0</v>
      </c>
      <c r="S259" s="323">
        <f t="shared" si="67"/>
        <v>12</v>
      </c>
      <c r="T259" s="324">
        <v>0</v>
      </c>
      <c r="U259" s="324">
        <v>12</v>
      </c>
      <c r="V259" s="80"/>
      <c r="W259" s="324">
        <v>0</v>
      </c>
      <c r="X259" s="324"/>
      <c r="Y259" s="324">
        <v>0</v>
      </c>
      <c r="Z259" s="80">
        <v>0</v>
      </c>
      <c r="AA259" s="80">
        <f t="shared" si="68"/>
        <v>12</v>
      </c>
      <c r="AB259" s="323">
        <f t="shared" si="69"/>
        <v>0</v>
      </c>
      <c r="AC259" s="80">
        <f t="shared" si="74"/>
        <v>12</v>
      </c>
      <c r="AD259" s="80">
        <f t="shared" si="75"/>
        <v>12</v>
      </c>
      <c r="AE259" s="80"/>
      <c r="AF259" s="80"/>
      <c r="AG259" s="80"/>
      <c r="AH259" s="326">
        <f t="shared" si="70"/>
        <v>0</v>
      </c>
      <c r="AI259" s="326">
        <f t="shared" si="71"/>
        <v>0</v>
      </c>
      <c r="AJ259" s="326">
        <f t="shared" si="72"/>
        <v>0</v>
      </c>
      <c r="AK259" s="326">
        <f t="shared" si="73"/>
        <v>0</v>
      </c>
      <c r="AL259" s="326"/>
      <c r="AM259" s="326"/>
      <c r="AN259" s="326"/>
      <c r="AO259" s="326"/>
      <c r="AP259" s="326"/>
      <c r="AQ259" s="326"/>
      <c r="AR259" s="327"/>
      <c r="AS259" s="504" t="s">
        <v>658</v>
      </c>
      <c r="AT259" s="411"/>
      <c r="AU259" s="411"/>
    </row>
    <row r="260" spans="1:47" s="390" customFormat="1" ht="18.75" customHeight="1">
      <c r="A260" s="167">
        <v>249</v>
      </c>
      <c r="B260" s="79" t="str">
        <f>IFERROR(VLOOKUP(A260,O.B.JUNE!$A$7:$C$448,2,0),0)</f>
        <v>ALFANI</v>
      </c>
      <c r="C260" s="174">
        <f>IFERROR(VLOOKUP(A260,O.B.JUNE!$A$7:$C$448,3,0),0)</f>
        <v>76733</v>
      </c>
      <c r="D260" s="80">
        <f t="shared" si="64"/>
        <v>0</v>
      </c>
      <c r="E260" s="80">
        <f>IFERROR(VLOOKUP(C260,O.B.JUNE!$C$7:$D$448,2,0),0)</f>
        <v>1514</v>
      </c>
      <c r="F260" s="80">
        <f>VLOOKUP(C260,'CUTTING ON JUNE'!$A$4:$D$316,3,0)</f>
        <v>1514</v>
      </c>
      <c r="G260" s="80">
        <f>IFERROR(VLOOKUP(C260,O.B.JUNE!$C$7:$E$448,3,0),0)</f>
        <v>150</v>
      </c>
      <c r="H260" s="80">
        <f t="shared" si="63"/>
        <v>0</v>
      </c>
      <c r="I260" s="80"/>
      <c r="J260" s="80">
        <f t="shared" si="65"/>
        <v>150</v>
      </c>
      <c r="K260" s="80">
        <v>0</v>
      </c>
      <c r="L260" s="80">
        <v>0</v>
      </c>
      <c r="M260" s="81">
        <f t="shared" si="66"/>
        <v>0</v>
      </c>
      <c r="N260" s="81">
        <v>0</v>
      </c>
      <c r="O260" s="81">
        <v>0</v>
      </c>
      <c r="P260" s="81">
        <f t="shared" si="76"/>
        <v>0</v>
      </c>
      <c r="Q260" s="80">
        <f>IFERROR(VLOOKUP(C260,O.B.JUNE!$C$7:$K$448,7,0),0)</f>
        <v>0</v>
      </c>
      <c r="R260" s="80">
        <f>IFERROR(VLOOKUP(C260,O.B.JUNE!$C$7:$J$448,8,0),0)</f>
        <v>0</v>
      </c>
      <c r="S260" s="323">
        <f t="shared" si="67"/>
        <v>150</v>
      </c>
      <c r="T260" s="324">
        <v>0</v>
      </c>
      <c r="U260" s="324">
        <v>150</v>
      </c>
      <c r="V260" s="80"/>
      <c r="W260" s="324">
        <v>0</v>
      </c>
      <c r="X260" s="324"/>
      <c r="Y260" s="324">
        <v>0</v>
      </c>
      <c r="Z260" s="80">
        <v>0</v>
      </c>
      <c r="AA260" s="80">
        <f t="shared" si="68"/>
        <v>150</v>
      </c>
      <c r="AB260" s="323">
        <f t="shared" si="69"/>
        <v>0</v>
      </c>
      <c r="AC260" s="80">
        <f t="shared" si="74"/>
        <v>150</v>
      </c>
      <c r="AD260" s="80">
        <f t="shared" si="75"/>
        <v>150</v>
      </c>
      <c r="AE260" s="80"/>
      <c r="AF260" s="80"/>
      <c r="AG260" s="80"/>
      <c r="AH260" s="326">
        <f t="shared" si="70"/>
        <v>0</v>
      </c>
      <c r="AI260" s="326">
        <f t="shared" si="71"/>
        <v>0</v>
      </c>
      <c r="AJ260" s="326">
        <f t="shared" si="72"/>
        <v>0</v>
      </c>
      <c r="AK260" s="326">
        <f t="shared" si="73"/>
        <v>0</v>
      </c>
      <c r="AL260" s="326"/>
      <c r="AM260" s="326"/>
      <c r="AN260" s="326"/>
      <c r="AO260" s="326"/>
      <c r="AP260" s="326"/>
      <c r="AQ260" s="326"/>
      <c r="AR260" s="327"/>
      <c r="AS260" s="504" t="s">
        <v>658</v>
      </c>
      <c r="AT260" s="411"/>
      <c r="AU260" s="411"/>
    </row>
    <row r="261" spans="1:47" s="390" customFormat="1" ht="18.75" customHeight="1">
      <c r="A261" s="167">
        <v>250</v>
      </c>
      <c r="B261" s="79" t="str">
        <f>IFERROR(VLOOKUP(A261,O.B.JUNE!$A$7:$C$448,2,0),0)</f>
        <v>ANN TAYLOR</v>
      </c>
      <c r="C261" s="174">
        <f>IFERROR(VLOOKUP(A261,O.B.JUNE!$A$7:$C$448,3,0),0)</f>
        <v>467914</v>
      </c>
      <c r="D261" s="80">
        <f t="shared" si="64"/>
        <v>0</v>
      </c>
      <c r="E261" s="80">
        <f>IFERROR(VLOOKUP(C261,O.B.JUNE!$C$7:$D$448,2,0),0)</f>
        <v>5976</v>
      </c>
      <c r="F261" s="80">
        <f>VLOOKUP(C261,'CUTTING ON JUNE'!$A$4:$D$316,3,0)</f>
        <v>5976</v>
      </c>
      <c r="G261" s="80">
        <f>IFERROR(VLOOKUP(C261,O.B.JUNE!$C$7:$E$448,3,0),0)</f>
        <v>175</v>
      </c>
      <c r="H261" s="80">
        <f t="shared" si="63"/>
        <v>0</v>
      </c>
      <c r="I261" s="80"/>
      <c r="J261" s="80">
        <f t="shared" si="65"/>
        <v>0</v>
      </c>
      <c r="K261" s="80">
        <v>0</v>
      </c>
      <c r="L261" s="80">
        <v>0</v>
      </c>
      <c r="M261" s="81">
        <f t="shared" si="66"/>
        <v>175</v>
      </c>
      <c r="N261" s="81">
        <v>0</v>
      </c>
      <c r="O261" s="81">
        <v>83</v>
      </c>
      <c r="P261" s="81">
        <f t="shared" si="76"/>
        <v>92</v>
      </c>
      <c r="Q261" s="80">
        <f>IFERROR(VLOOKUP(C261,O.B.JUNE!$C$7:$K$448,7,0),0)</f>
        <v>0</v>
      </c>
      <c r="R261" s="80">
        <f>IFERROR(VLOOKUP(C261,O.B.JUNE!$C$7:$J$448,8,0),0)</f>
        <v>0</v>
      </c>
      <c r="S261" s="323">
        <f t="shared" si="67"/>
        <v>0</v>
      </c>
      <c r="T261" s="324">
        <v>0</v>
      </c>
      <c r="U261" s="324"/>
      <c r="V261" s="80"/>
      <c r="W261" s="324">
        <v>0</v>
      </c>
      <c r="X261" s="324"/>
      <c r="Y261" s="324">
        <v>0</v>
      </c>
      <c r="Z261" s="80">
        <v>0</v>
      </c>
      <c r="AA261" s="80">
        <f t="shared" si="68"/>
        <v>0</v>
      </c>
      <c r="AB261" s="323">
        <f t="shared" si="69"/>
        <v>0</v>
      </c>
      <c r="AC261" s="80">
        <f t="shared" si="74"/>
        <v>0</v>
      </c>
      <c r="AD261" s="80">
        <f t="shared" si="75"/>
        <v>0</v>
      </c>
      <c r="AE261" s="80"/>
      <c r="AF261" s="80"/>
      <c r="AG261" s="80"/>
      <c r="AH261" s="326">
        <f t="shared" si="70"/>
        <v>0</v>
      </c>
      <c r="AI261" s="326">
        <f t="shared" si="71"/>
        <v>0</v>
      </c>
      <c r="AJ261" s="326">
        <f t="shared" si="72"/>
        <v>0</v>
      </c>
      <c r="AK261" s="326">
        <f t="shared" si="73"/>
        <v>0</v>
      </c>
      <c r="AL261" s="326"/>
      <c r="AM261" s="326"/>
      <c r="AN261" s="326"/>
      <c r="AO261" s="326"/>
      <c r="AP261" s="326"/>
      <c r="AQ261" s="326"/>
      <c r="AR261" s="327">
        <f>VLOOKUP(C261,'[1]DA HET SAN XUAT'!$D$8:$AJ$419,33,0)</f>
        <v>0</v>
      </c>
      <c r="AS261" s="209"/>
      <c r="AT261" s="411"/>
      <c r="AU261" s="411"/>
    </row>
    <row r="262" spans="1:47" s="390" customFormat="1" ht="18.75" customHeight="1">
      <c r="A262" s="167">
        <v>251</v>
      </c>
      <c r="B262" s="79" t="str">
        <f>IFERROR(VLOOKUP(A262,O.B.JUNE!$A$7:$C$448,2,0),0)</f>
        <v>ANN TAYLOR</v>
      </c>
      <c r="C262" s="174">
        <f>IFERROR(VLOOKUP(A262,O.B.JUNE!$A$7:$C$448,3,0),0)</f>
        <v>468229</v>
      </c>
      <c r="D262" s="80">
        <f t="shared" si="64"/>
        <v>0</v>
      </c>
      <c r="E262" s="80">
        <f>IFERROR(VLOOKUP(C262,O.B.JUNE!$C$7:$D$448,2,0),0)</f>
        <v>20315</v>
      </c>
      <c r="F262" s="80">
        <f>VLOOKUP(C262,'CUTTING ON JUNE'!$A$4:$D$316,3,0)</f>
        <v>20315</v>
      </c>
      <c r="G262" s="80">
        <f>IFERROR(VLOOKUP(C262,O.B.JUNE!$C$7:$E$448,3,0),0)</f>
        <v>1131</v>
      </c>
      <c r="H262" s="80">
        <f t="shared" si="63"/>
        <v>0</v>
      </c>
      <c r="I262" s="80"/>
      <c r="J262" s="80">
        <f t="shared" si="65"/>
        <v>0</v>
      </c>
      <c r="K262" s="80">
        <v>0</v>
      </c>
      <c r="L262" s="80">
        <v>0</v>
      </c>
      <c r="M262" s="81">
        <f t="shared" si="66"/>
        <v>1131</v>
      </c>
      <c r="N262" s="81">
        <v>29</v>
      </c>
      <c r="O262" s="81">
        <v>521</v>
      </c>
      <c r="P262" s="81">
        <f t="shared" si="76"/>
        <v>581</v>
      </c>
      <c r="Q262" s="80">
        <f>IFERROR(VLOOKUP(C262,O.B.JUNE!$C$7:$K$448,7,0),0)</f>
        <v>0</v>
      </c>
      <c r="R262" s="80">
        <f>IFERROR(VLOOKUP(C262,O.B.JUNE!$C$7:$J$448,8,0),0)</f>
        <v>0</v>
      </c>
      <c r="S262" s="323">
        <f t="shared" si="67"/>
        <v>0</v>
      </c>
      <c r="T262" s="324">
        <v>0</v>
      </c>
      <c r="U262" s="324"/>
      <c r="V262" s="80"/>
      <c r="W262" s="324">
        <v>0</v>
      </c>
      <c r="X262" s="324"/>
      <c r="Y262" s="324">
        <v>0</v>
      </c>
      <c r="Z262" s="80">
        <v>0</v>
      </c>
      <c r="AA262" s="80">
        <f t="shared" si="68"/>
        <v>0</v>
      </c>
      <c r="AB262" s="323">
        <f t="shared" si="69"/>
        <v>0</v>
      </c>
      <c r="AC262" s="80">
        <f t="shared" si="74"/>
        <v>0</v>
      </c>
      <c r="AD262" s="80">
        <f t="shared" si="75"/>
        <v>0</v>
      </c>
      <c r="AE262" s="80"/>
      <c r="AF262" s="80"/>
      <c r="AG262" s="80"/>
      <c r="AH262" s="326">
        <f t="shared" si="70"/>
        <v>0</v>
      </c>
      <c r="AI262" s="326">
        <f t="shared" si="71"/>
        <v>0</v>
      </c>
      <c r="AJ262" s="326">
        <f t="shared" si="72"/>
        <v>0</v>
      </c>
      <c r="AK262" s="326">
        <f t="shared" si="73"/>
        <v>0</v>
      </c>
      <c r="AL262" s="326"/>
      <c r="AM262" s="326"/>
      <c r="AN262" s="326"/>
      <c r="AO262" s="326"/>
      <c r="AP262" s="326"/>
      <c r="AQ262" s="326"/>
      <c r="AR262" s="327">
        <f>VLOOKUP(C262,'[1]DA HET SAN XUAT'!$D$8:$AJ$419,33,0)</f>
        <v>0</v>
      </c>
      <c r="AS262" s="209"/>
      <c r="AT262" s="411"/>
      <c r="AU262" s="411"/>
    </row>
    <row r="263" spans="1:47" s="390" customFormat="1" ht="18.75" customHeight="1">
      <c r="A263" s="167">
        <v>252</v>
      </c>
      <c r="B263" s="79" t="str">
        <f>IFERROR(VLOOKUP(A263,O.B.JUNE!$A$7:$C$448,2,0),0)</f>
        <v>ANN TAYLOR</v>
      </c>
      <c r="C263" s="174">
        <f>IFERROR(VLOOKUP(A263,O.B.JUNE!$A$7:$C$448,3,0),0)</f>
        <v>468230</v>
      </c>
      <c r="D263" s="80">
        <f t="shared" si="64"/>
        <v>0</v>
      </c>
      <c r="E263" s="80">
        <f>IFERROR(VLOOKUP(C263,O.B.JUNE!$C$7:$D$448,2,0),0)</f>
        <v>13350</v>
      </c>
      <c r="F263" s="80">
        <f>VLOOKUP(C263,'CUTTING ON JUNE'!$A$4:$D$316,3,0)</f>
        <v>13350</v>
      </c>
      <c r="G263" s="80">
        <f>IFERROR(VLOOKUP(C263,O.B.JUNE!$C$7:$E$448,3,0),0)</f>
        <v>676</v>
      </c>
      <c r="H263" s="80">
        <f t="shared" si="63"/>
        <v>0</v>
      </c>
      <c r="I263" s="80"/>
      <c r="J263" s="80">
        <f t="shared" si="65"/>
        <v>0</v>
      </c>
      <c r="K263" s="80">
        <v>0</v>
      </c>
      <c r="L263" s="80">
        <v>0</v>
      </c>
      <c r="M263" s="81">
        <f t="shared" si="66"/>
        <v>676</v>
      </c>
      <c r="N263" s="81">
        <v>0</v>
      </c>
      <c r="O263" s="81">
        <v>208</v>
      </c>
      <c r="P263" s="81">
        <f t="shared" si="76"/>
        <v>468</v>
      </c>
      <c r="Q263" s="80">
        <f>IFERROR(VLOOKUP(C263,O.B.JUNE!$C$7:$K$448,7,0),0)</f>
        <v>0</v>
      </c>
      <c r="R263" s="80">
        <f>IFERROR(VLOOKUP(C263,O.B.JUNE!$C$7:$J$448,8,0),0)</f>
        <v>0</v>
      </c>
      <c r="S263" s="323">
        <f t="shared" si="67"/>
        <v>0</v>
      </c>
      <c r="T263" s="324">
        <v>0</v>
      </c>
      <c r="U263" s="324"/>
      <c r="V263" s="80"/>
      <c r="W263" s="324">
        <v>0</v>
      </c>
      <c r="X263" s="324"/>
      <c r="Y263" s="324">
        <v>0</v>
      </c>
      <c r="Z263" s="80">
        <v>0</v>
      </c>
      <c r="AA263" s="80">
        <f t="shared" si="68"/>
        <v>0</v>
      </c>
      <c r="AB263" s="323">
        <f t="shared" si="69"/>
        <v>0</v>
      </c>
      <c r="AC263" s="80">
        <f t="shared" si="74"/>
        <v>0</v>
      </c>
      <c r="AD263" s="80">
        <f t="shared" si="75"/>
        <v>0</v>
      </c>
      <c r="AE263" s="80"/>
      <c r="AF263" s="80"/>
      <c r="AG263" s="80"/>
      <c r="AH263" s="326">
        <f t="shared" si="70"/>
        <v>0</v>
      </c>
      <c r="AI263" s="326">
        <f t="shared" si="71"/>
        <v>0</v>
      </c>
      <c r="AJ263" s="326">
        <f t="shared" si="72"/>
        <v>0</v>
      </c>
      <c r="AK263" s="326">
        <f t="shared" si="73"/>
        <v>0</v>
      </c>
      <c r="AL263" s="326"/>
      <c r="AM263" s="326"/>
      <c r="AN263" s="326"/>
      <c r="AO263" s="326"/>
      <c r="AP263" s="326"/>
      <c r="AQ263" s="326"/>
      <c r="AR263" s="327">
        <f>VLOOKUP(C263,'[1]DA HET SAN XUAT'!$D$8:$AJ$419,33,0)</f>
        <v>0</v>
      </c>
      <c r="AS263" s="209"/>
      <c r="AT263" s="411"/>
      <c r="AU263" s="411"/>
    </row>
    <row r="264" spans="1:47" s="390" customFormat="1" ht="18.75" customHeight="1">
      <c r="A264" s="167">
        <v>253</v>
      </c>
      <c r="B264" s="79" t="str">
        <f>IFERROR(VLOOKUP(A264,O.B.JUNE!$A$7:$C$448,2,0),0)</f>
        <v>ANN TAYLOR</v>
      </c>
      <c r="C264" s="174">
        <f>IFERROR(VLOOKUP(A264,O.B.JUNE!$A$7:$C$448,3,0),0)</f>
        <v>468249</v>
      </c>
      <c r="D264" s="80">
        <f t="shared" si="64"/>
        <v>0</v>
      </c>
      <c r="E264" s="80">
        <f>IFERROR(VLOOKUP(C264,O.B.JUNE!$C$7:$D$448,2,0),0)</f>
        <v>12864</v>
      </c>
      <c r="F264" s="80">
        <f>VLOOKUP(C264,'CUTTING ON JUNE'!$A$4:$D$316,3,0)</f>
        <v>12864</v>
      </c>
      <c r="G264" s="80">
        <f>IFERROR(VLOOKUP(C264,O.B.JUNE!$C$7:$E$448,3,0),0)</f>
        <v>452</v>
      </c>
      <c r="H264" s="80">
        <f t="shared" si="63"/>
        <v>0</v>
      </c>
      <c r="I264" s="80"/>
      <c r="J264" s="80">
        <f t="shared" si="65"/>
        <v>0</v>
      </c>
      <c r="K264" s="80">
        <v>0</v>
      </c>
      <c r="L264" s="80">
        <v>0</v>
      </c>
      <c r="M264" s="81">
        <f t="shared" si="66"/>
        <v>452</v>
      </c>
      <c r="N264" s="81">
        <v>0</v>
      </c>
      <c r="O264" s="81">
        <v>299</v>
      </c>
      <c r="P264" s="81">
        <f t="shared" si="76"/>
        <v>153</v>
      </c>
      <c r="Q264" s="80">
        <f>IFERROR(VLOOKUP(C264,O.B.JUNE!$C$7:$K$448,7,0),0)</f>
        <v>0</v>
      </c>
      <c r="R264" s="80">
        <f>IFERROR(VLOOKUP(C264,O.B.JUNE!$C$7:$J$448,8,0),0)</f>
        <v>0</v>
      </c>
      <c r="S264" s="323">
        <f t="shared" si="67"/>
        <v>0</v>
      </c>
      <c r="T264" s="324">
        <v>0</v>
      </c>
      <c r="U264" s="324"/>
      <c r="V264" s="80"/>
      <c r="W264" s="324">
        <v>0</v>
      </c>
      <c r="X264" s="324"/>
      <c r="Y264" s="324">
        <v>0</v>
      </c>
      <c r="Z264" s="80">
        <v>0</v>
      </c>
      <c r="AA264" s="80">
        <f t="shared" si="68"/>
        <v>0</v>
      </c>
      <c r="AB264" s="323">
        <f t="shared" si="69"/>
        <v>0</v>
      </c>
      <c r="AC264" s="80">
        <f t="shared" si="74"/>
        <v>0</v>
      </c>
      <c r="AD264" s="80">
        <f t="shared" si="75"/>
        <v>0</v>
      </c>
      <c r="AE264" s="80"/>
      <c r="AF264" s="80"/>
      <c r="AG264" s="80"/>
      <c r="AH264" s="326">
        <f t="shared" si="70"/>
        <v>0</v>
      </c>
      <c r="AI264" s="326">
        <f t="shared" si="71"/>
        <v>0</v>
      </c>
      <c r="AJ264" s="326">
        <f t="shared" si="72"/>
        <v>0</v>
      </c>
      <c r="AK264" s="326">
        <f t="shared" si="73"/>
        <v>0</v>
      </c>
      <c r="AL264" s="326"/>
      <c r="AM264" s="326"/>
      <c r="AN264" s="326"/>
      <c r="AO264" s="326"/>
      <c r="AP264" s="326"/>
      <c r="AQ264" s="326"/>
      <c r="AR264" s="327">
        <f>VLOOKUP(C264,'[1]DA HET SAN XUAT'!$D$8:$AJ$419,33,0)</f>
        <v>0</v>
      </c>
      <c r="AS264" s="209"/>
      <c r="AT264" s="411"/>
      <c r="AU264" s="411"/>
    </row>
    <row r="265" spans="1:47" s="390" customFormat="1" ht="18.75" customHeight="1">
      <c r="A265" s="167">
        <v>254</v>
      </c>
      <c r="B265" s="79" t="str">
        <f>IFERROR(VLOOKUP(A265,O.B.JUNE!$A$7:$C$448,2,0),0)</f>
        <v>ALFANI</v>
      </c>
      <c r="C265" s="174">
        <f>IFERROR(VLOOKUP(A265,O.B.JUNE!$A$7:$C$448,3,0),0)</f>
        <v>100013593</v>
      </c>
      <c r="D265" s="80">
        <f t="shared" si="64"/>
        <v>0</v>
      </c>
      <c r="E265" s="80">
        <f>IFERROR(VLOOKUP(C265,O.B.JUNE!$C$7:$D$448,2,0),0)</f>
        <v>1062</v>
      </c>
      <c r="F265" s="80">
        <f>VLOOKUP(C265,'CUTTING ON JUNE'!$A$4:$D$316,3,0)</f>
        <v>1062</v>
      </c>
      <c r="G265" s="80">
        <f>IFERROR(VLOOKUP(C265,O.B.JUNE!$C$7:$E$448,3,0),0)</f>
        <v>141</v>
      </c>
      <c r="H265" s="80">
        <f t="shared" si="63"/>
        <v>0</v>
      </c>
      <c r="I265" s="80"/>
      <c r="J265" s="80">
        <f t="shared" si="65"/>
        <v>0</v>
      </c>
      <c r="K265" s="80">
        <v>0</v>
      </c>
      <c r="L265" s="80">
        <v>0</v>
      </c>
      <c r="M265" s="81">
        <f t="shared" si="66"/>
        <v>141</v>
      </c>
      <c r="N265" s="81">
        <v>0</v>
      </c>
      <c r="O265" s="81">
        <v>18</v>
      </c>
      <c r="P265" s="81">
        <f t="shared" si="76"/>
        <v>123</v>
      </c>
      <c r="Q265" s="80">
        <f>IFERROR(VLOOKUP(C265,O.B.JUNE!$C$7:$K$448,7,0),0)</f>
        <v>0</v>
      </c>
      <c r="R265" s="80">
        <f>IFERROR(VLOOKUP(C265,O.B.JUNE!$C$7:$J$448,8,0),0)</f>
        <v>0</v>
      </c>
      <c r="S265" s="323">
        <f t="shared" si="67"/>
        <v>0</v>
      </c>
      <c r="T265" s="324">
        <v>0</v>
      </c>
      <c r="U265" s="324"/>
      <c r="V265" s="80"/>
      <c r="W265" s="324">
        <v>0</v>
      </c>
      <c r="X265" s="324"/>
      <c r="Y265" s="324">
        <v>0</v>
      </c>
      <c r="Z265" s="80">
        <v>0</v>
      </c>
      <c r="AA265" s="80">
        <f t="shared" si="68"/>
        <v>0</v>
      </c>
      <c r="AB265" s="323">
        <f t="shared" si="69"/>
        <v>0</v>
      </c>
      <c r="AC265" s="80">
        <f t="shared" si="74"/>
        <v>0</v>
      </c>
      <c r="AD265" s="80">
        <f t="shared" si="75"/>
        <v>0</v>
      </c>
      <c r="AE265" s="80"/>
      <c r="AF265" s="80"/>
      <c r="AG265" s="80"/>
      <c r="AH265" s="326">
        <f t="shared" si="70"/>
        <v>0</v>
      </c>
      <c r="AI265" s="326">
        <f t="shared" si="71"/>
        <v>0</v>
      </c>
      <c r="AJ265" s="326">
        <f t="shared" si="72"/>
        <v>0</v>
      </c>
      <c r="AK265" s="326">
        <f t="shared" si="73"/>
        <v>0</v>
      </c>
      <c r="AL265" s="326"/>
      <c r="AM265" s="326"/>
      <c r="AN265" s="326"/>
      <c r="AO265" s="326"/>
      <c r="AP265" s="326"/>
      <c r="AQ265" s="326"/>
      <c r="AR265" s="327"/>
      <c r="AS265" s="209"/>
      <c r="AT265" s="411"/>
      <c r="AU265" s="411"/>
    </row>
    <row r="266" spans="1:47" s="390" customFormat="1" ht="18.75" customHeight="1">
      <c r="A266" s="167">
        <v>255</v>
      </c>
      <c r="B266" s="79" t="str">
        <f>IFERROR(VLOOKUP(A266,O.B.JUNE!$A$7:$C$448,2,0),0)</f>
        <v>ALFANI</v>
      </c>
      <c r="C266" s="174">
        <f>IFERROR(VLOOKUP(A266,O.B.JUNE!$A$7:$C$448,3,0),0)</f>
        <v>100014855</v>
      </c>
      <c r="D266" s="80">
        <f t="shared" si="64"/>
        <v>0</v>
      </c>
      <c r="E266" s="80">
        <f>IFERROR(VLOOKUP(C266,O.B.JUNE!$C$7:$D$448,2,0),0)</f>
        <v>2098</v>
      </c>
      <c r="F266" s="80">
        <f>VLOOKUP(C266,'CUTTING ON JUNE'!$A$4:$D$316,3,0)</f>
        <v>2098</v>
      </c>
      <c r="G266" s="80">
        <f>IFERROR(VLOOKUP(C266,O.B.JUNE!$C$7:$E$448,3,0),0)</f>
        <v>112</v>
      </c>
      <c r="H266" s="80">
        <f t="shared" ref="H266:H325" si="77">IF(F266="","",F266-E266)</f>
        <v>0</v>
      </c>
      <c r="I266" s="80"/>
      <c r="J266" s="80">
        <f t="shared" si="65"/>
        <v>0</v>
      </c>
      <c r="K266" s="80">
        <v>0</v>
      </c>
      <c r="L266" s="80">
        <v>0</v>
      </c>
      <c r="M266" s="81">
        <f t="shared" si="66"/>
        <v>112</v>
      </c>
      <c r="N266" s="81">
        <v>0</v>
      </c>
      <c r="O266" s="81">
        <v>37</v>
      </c>
      <c r="P266" s="81">
        <f t="shared" si="76"/>
        <v>75</v>
      </c>
      <c r="Q266" s="80">
        <f>IFERROR(VLOOKUP(C266,O.B.JUNE!$C$7:$K$448,7,0),0)</f>
        <v>0</v>
      </c>
      <c r="R266" s="80">
        <f>IFERROR(VLOOKUP(C266,O.B.JUNE!$C$7:$J$448,8,0),0)</f>
        <v>0</v>
      </c>
      <c r="S266" s="323">
        <f t="shared" si="67"/>
        <v>0</v>
      </c>
      <c r="T266" s="324">
        <v>0</v>
      </c>
      <c r="U266" s="324"/>
      <c r="V266" s="80"/>
      <c r="W266" s="324">
        <v>0</v>
      </c>
      <c r="X266" s="324"/>
      <c r="Y266" s="324">
        <v>0</v>
      </c>
      <c r="Z266" s="80">
        <v>0</v>
      </c>
      <c r="AA266" s="80">
        <f t="shared" si="68"/>
        <v>0</v>
      </c>
      <c r="AB266" s="323">
        <f t="shared" si="69"/>
        <v>0</v>
      </c>
      <c r="AC266" s="80">
        <f t="shared" si="74"/>
        <v>0</v>
      </c>
      <c r="AD266" s="80">
        <f t="shared" si="75"/>
        <v>0</v>
      </c>
      <c r="AE266" s="80"/>
      <c r="AF266" s="80"/>
      <c r="AG266" s="80"/>
      <c r="AH266" s="326">
        <f t="shared" si="70"/>
        <v>0</v>
      </c>
      <c r="AI266" s="326">
        <f t="shared" si="71"/>
        <v>0</v>
      </c>
      <c r="AJ266" s="326">
        <f t="shared" si="72"/>
        <v>0</v>
      </c>
      <c r="AK266" s="326">
        <f t="shared" si="73"/>
        <v>0</v>
      </c>
      <c r="AL266" s="326"/>
      <c r="AM266" s="326"/>
      <c r="AN266" s="326"/>
      <c r="AO266" s="326"/>
      <c r="AP266" s="326"/>
      <c r="AQ266" s="326"/>
      <c r="AR266" s="327"/>
      <c r="AS266" s="209"/>
      <c r="AT266" s="411"/>
      <c r="AU266" s="411"/>
    </row>
    <row r="267" spans="1:47" s="390" customFormat="1" ht="18.75" customHeight="1">
      <c r="A267" s="167">
        <v>256</v>
      </c>
      <c r="B267" s="79" t="str">
        <f>IFERROR(VLOOKUP(A267,O.B.JUNE!$A$7:$C$448,2,0),0)</f>
        <v>ALFANI</v>
      </c>
      <c r="C267" s="174">
        <f>IFERROR(VLOOKUP(A267,O.B.JUNE!$A$7:$C$448,3,0),0)</f>
        <v>100015130</v>
      </c>
      <c r="D267" s="80">
        <f t="shared" si="64"/>
        <v>0</v>
      </c>
      <c r="E267" s="80">
        <f>IFERROR(VLOOKUP(C267,O.B.JUNE!$C$7:$D$448,2,0),0)</f>
        <v>2720</v>
      </c>
      <c r="F267" s="80">
        <f>VLOOKUP(C267,'CUTTING ON JUNE'!$A$4:$D$316,3,0)</f>
        <v>2720</v>
      </c>
      <c r="G267" s="80">
        <f>IFERROR(VLOOKUP(C267,O.B.JUNE!$C$7:$E$448,3,0),0)</f>
        <v>193</v>
      </c>
      <c r="H267" s="80">
        <f t="shared" si="77"/>
        <v>0</v>
      </c>
      <c r="I267" s="80"/>
      <c r="J267" s="80">
        <f t="shared" si="65"/>
        <v>0</v>
      </c>
      <c r="K267" s="80">
        <v>0</v>
      </c>
      <c r="L267" s="80">
        <v>0</v>
      </c>
      <c r="M267" s="81">
        <f t="shared" si="66"/>
        <v>193</v>
      </c>
      <c r="N267" s="81">
        <v>0</v>
      </c>
      <c r="O267" s="81">
        <v>70</v>
      </c>
      <c r="P267" s="81">
        <f t="shared" si="76"/>
        <v>123</v>
      </c>
      <c r="Q267" s="80">
        <f>IFERROR(VLOOKUP(C267,O.B.JUNE!$C$7:$K$448,7,0),0)</f>
        <v>0</v>
      </c>
      <c r="R267" s="80">
        <f>IFERROR(VLOOKUP(C267,O.B.JUNE!$C$7:$J$448,8,0),0)</f>
        <v>0</v>
      </c>
      <c r="S267" s="323">
        <f t="shared" si="67"/>
        <v>0</v>
      </c>
      <c r="T267" s="324">
        <v>0</v>
      </c>
      <c r="U267" s="324"/>
      <c r="V267" s="80"/>
      <c r="W267" s="324">
        <v>0</v>
      </c>
      <c r="X267" s="324"/>
      <c r="Y267" s="324">
        <v>0</v>
      </c>
      <c r="Z267" s="80">
        <v>0</v>
      </c>
      <c r="AA267" s="80">
        <f t="shared" si="68"/>
        <v>0</v>
      </c>
      <c r="AB267" s="323">
        <f t="shared" si="69"/>
        <v>0</v>
      </c>
      <c r="AC267" s="80">
        <f t="shared" si="74"/>
        <v>0</v>
      </c>
      <c r="AD267" s="80">
        <f t="shared" si="75"/>
        <v>0</v>
      </c>
      <c r="AE267" s="80"/>
      <c r="AF267" s="80"/>
      <c r="AG267" s="80"/>
      <c r="AH267" s="326">
        <f t="shared" si="70"/>
        <v>0</v>
      </c>
      <c r="AI267" s="326">
        <f t="shared" si="71"/>
        <v>0</v>
      </c>
      <c r="AJ267" s="326">
        <f t="shared" si="72"/>
        <v>0</v>
      </c>
      <c r="AK267" s="326">
        <f t="shared" si="73"/>
        <v>0</v>
      </c>
      <c r="AL267" s="326"/>
      <c r="AM267" s="326"/>
      <c r="AN267" s="326"/>
      <c r="AO267" s="326"/>
      <c r="AP267" s="326"/>
      <c r="AQ267" s="326"/>
      <c r="AR267" s="327"/>
      <c r="AS267" s="209"/>
      <c r="AT267" s="411"/>
      <c r="AU267" s="411"/>
    </row>
    <row r="268" spans="1:47" s="390" customFormat="1" ht="18.75" customHeight="1">
      <c r="A268" s="167">
        <v>257</v>
      </c>
      <c r="B268" s="79" t="str">
        <f>IFERROR(VLOOKUP(A268,O.B.JUNE!$A$7:$C$448,2,0),0)</f>
        <v>ALFANI</v>
      </c>
      <c r="C268" s="174">
        <f>IFERROR(VLOOKUP(A268,O.B.JUNE!$A$7:$C$448,3,0),0)</f>
        <v>100015136</v>
      </c>
      <c r="D268" s="80">
        <f t="shared" si="64"/>
        <v>0</v>
      </c>
      <c r="E268" s="80">
        <f>IFERROR(VLOOKUP(C268,O.B.JUNE!$C$7:$D$448,2,0),0)</f>
        <v>5365</v>
      </c>
      <c r="F268" s="80">
        <f>VLOOKUP(C268,'CUTTING ON JUNE'!$A$4:$D$316,3,0)</f>
        <v>5365</v>
      </c>
      <c r="G268" s="80">
        <f>IFERROR(VLOOKUP(C268,O.B.JUNE!$C$7:$E$448,3,0),0)</f>
        <v>33</v>
      </c>
      <c r="H268" s="80">
        <f t="shared" si="77"/>
        <v>0</v>
      </c>
      <c r="I268" s="80"/>
      <c r="J268" s="80">
        <f t="shared" si="65"/>
        <v>0</v>
      </c>
      <c r="K268" s="80">
        <v>0</v>
      </c>
      <c r="L268" s="80">
        <v>0</v>
      </c>
      <c r="M268" s="81">
        <f t="shared" si="66"/>
        <v>33</v>
      </c>
      <c r="N268" s="81">
        <v>0</v>
      </c>
      <c r="O268" s="81">
        <v>0</v>
      </c>
      <c r="P268" s="81">
        <f t="shared" ref="P268:P275" si="78">+M268-N268-O268</f>
        <v>33</v>
      </c>
      <c r="Q268" s="80">
        <f>IFERROR(VLOOKUP(C268,O.B.JUNE!$C$7:$K$448,7,0),0)</f>
        <v>0</v>
      </c>
      <c r="R268" s="80">
        <f>IFERROR(VLOOKUP(C268,O.B.JUNE!$C$7:$J$448,8,0),0)</f>
        <v>0</v>
      </c>
      <c r="S268" s="323">
        <f t="shared" si="67"/>
        <v>0</v>
      </c>
      <c r="T268" s="324">
        <v>0</v>
      </c>
      <c r="U268" s="324"/>
      <c r="V268" s="80"/>
      <c r="W268" s="324">
        <v>0</v>
      </c>
      <c r="X268" s="324"/>
      <c r="Y268" s="324">
        <v>0</v>
      </c>
      <c r="Z268" s="80">
        <v>0</v>
      </c>
      <c r="AA268" s="80">
        <f t="shared" si="68"/>
        <v>0</v>
      </c>
      <c r="AB268" s="323">
        <f t="shared" si="69"/>
        <v>0</v>
      </c>
      <c r="AC268" s="80">
        <f t="shared" si="74"/>
        <v>0</v>
      </c>
      <c r="AD268" s="80">
        <f t="shared" si="75"/>
        <v>0</v>
      </c>
      <c r="AE268" s="80"/>
      <c r="AF268" s="80"/>
      <c r="AG268" s="80"/>
      <c r="AH268" s="326">
        <f t="shared" si="70"/>
        <v>0</v>
      </c>
      <c r="AI268" s="326">
        <f t="shared" si="71"/>
        <v>0</v>
      </c>
      <c r="AJ268" s="326">
        <f t="shared" si="72"/>
        <v>0</v>
      </c>
      <c r="AK268" s="326">
        <f t="shared" si="73"/>
        <v>0</v>
      </c>
      <c r="AL268" s="326"/>
      <c r="AM268" s="326"/>
      <c r="AN268" s="326"/>
      <c r="AO268" s="326"/>
      <c r="AP268" s="326"/>
      <c r="AQ268" s="326"/>
      <c r="AR268" s="327">
        <f>VLOOKUP(C268,'[1]DA HET SAN XUAT'!$D$8:$AJ$419,33,0)</f>
        <v>0</v>
      </c>
      <c r="AS268" s="209"/>
      <c r="AT268" s="411"/>
      <c r="AU268" s="411"/>
    </row>
    <row r="269" spans="1:47" s="390" customFormat="1" ht="18.75" customHeight="1">
      <c r="A269" s="167">
        <v>258</v>
      </c>
      <c r="B269" s="79" t="str">
        <f>IFERROR(VLOOKUP(A269,O.B.JUNE!$A$7:$C$448,2,0),0)</f>
        <v>ALFANI</v>
      </c>
      <c r="C269" s="174">
        <f>IFERROR(VLOOKUP(A269,O.B.JUNE!$A$7:$C$448,3,0),0)</f>
        <v>100015145</v>
      </c>
      <c r="D269" s="80">
        <f t="shared" ref="D269:D328" si="79">F269-E269</f>
        <v>0</v>
      </c>
      <c r="E269" s="80">
        <f>IFERROR(VLOOKUP(C269,O.B.JUNE!$C$7:$D$448,2,0),0)</f>
        <v>3576</v>
      </c>
      <c r="F269" s="80">
        <f>VLOOKUP(C269,'CUTTING ON JUNE'!$A$4:$D$316,3,0)</f>
        <v>3576</v>
      </c>
      <c r="G269" s="80">
        <f>IFERROR(VLOOKUP(C269,O.B.JUNE!$C$7:$E$448,3,0),0)</f>
        <v>70</v>
      </c>
      <c r="H269" s="80">
        <f t="shared" si="77"/>
        <v>0</v>
      </c>
      <c r="I269" s="80"/>
      <c r="J269" s="80">
        <f t="shared" ref="J269:J328" si="80">IF(S269="",0,S269-Q269-V269-R269)</f>
        <v>0</v>
      </c>
      <c r="K269" s="80">
        <v>0</v>
      </c>
      <c r="L269" s="80">
        <v>0</v>
      </c>
      <c r="M269" s="81">
        <f t="shared" ref="M269:M328" si="81">ROUND(IF(ISERROR(F269-S269-K269-L269-R269),0,(F269-S269-K269-L269+Q269+R269+G269-E269)),0)</f>
        <v>70</v>
      </c>
      <c r="N269" s="81">
        <v>0</v>
      </c>
      <c r="O269" s="81">
        <v>34</v>
      </c>
      <c r="P269" s="81">
        <f t="shared" si="78"/>
        <v>36</v>
      </c>
      <c r="Q269" s="80">
        <f>IFERROR(VLOOKUP(C269,O.B.JUNE!$C$7:$K$448,7,0),0)</f>
        <v>0</v>
      </c>
      <c r="R269" s="80">
        <f>IFERROR(VLOOKUP(C269,O.B.JUNE!$C$7:$J$448,8,0),0)</f>
        <v>0</v>
      </c>
      <c r="S269" s="323">
        <f t="shared" ref="S269:S328" si="82">Q269+T269+U269+R269</f>
        <v>0</v>
      </c>
      <c r="T269" s="324">
        <v>0</v>
      </c>
      <c r="U269" s="324"/>
      <c r="V269" s="80"/>
      <c r="W269" s="324">
        <v>0</v>
      </c>
      <c r="X269" s="324"/>
      <c r="Y269" s="324">
        <v>0</v>
      </c>
      <c r="Z269" s="80">
        <v>0</v>
      </c>
      <c r="AA269" s="80">
        <f t="shared" ref="AA269:AA328" si="83">V269+U269+T269</f>
        <v>0</v>
      </c>
      <c r="AB269" s="323">
        <f t="shared" ref="AB269:AB332" si="84">ROUND(Q269+T269+V269-X269-W269-Y269-Z269,0)</f>
        <v>0</v>
      </c>
      <c r="AC269" s="80">
        <f t="shared" si="74"/>
        <v>0</v>
      </c>
      <c r="AD269" s="80">
        <f t="shared" si="75"/>
        <v>0</v>
      </c>
      <c r="AE269" s="80"/>
      <c r="AF269" s="80"/>
      <c r="AG269" s="80"/>
      <c r="AH269" s="326">
        <f t="shared" ref="AH269:AH328" si="85">G269+H269-J269-L269-M269</f>
        <v>0</v>
      </c>
      <c r="AI269" s="326">
        <f t="shared" ref="AI269:AI328" si="86">Q269+T269+U269-S269+R269</f>
        <v>0</v>
      </c>
      <c r="AJ269" s="326">
        <f t="shared" ref="AJ269:AJ328" si="87">M269-N269-O269-P269</f>
        <v>0</v>
      </c>
      <c r="AK269" s="326">
        <f t="shared" ref="AK269:AK328" si="88">M269-N269-O269-P269</f>
        <v>0</v>
      </c>
      <c r="AL269" s="326"/>
      <c r="AM269" s="326"/>
      <c r="AN269" s="326"/>
      <c r="AO269" s="326"/>
      <c r="AP269" s="326"/>
      <c r="AQ269" s="326"/>
      <c r="AR269" s="327"/>
      <c r="AS269" s="209"/>
      <c r="AT269" s="411"/>
      <c r="AU269" s="411"/>
    </row>
    <row r="270" spans="1:47" s="390" customFormat="1" ht="18.75" customHeight="1">
      <c r="A270" s="167">
        <v>259</v>
      </c>
      <c r="B270" s="79" t="str">
        <f>IFERROR(VLOOKUP(A270,O.B.JUNE!$A$7:$C$448,2,0),0)</f>
        <v>ALFANI</v>
      </c>
      <c r="C270" s="174">
        <f>IFERROR(VLOOKUP(A270,O.B.JUNE!$A$7:$C$448,3,0),0)</f>
        <v>100015153</v>
      </c>
      <c r="D270" s="80">
        <f t="shared" si="79"/>
        <v>0</v>
      </c>
      <c r="E270" s="80">
        <f>IFERROR(VLOOKUP(C270,O.B.JUNE!$C$7:$D$448,2,0),0)</f>
        <v>10064</v>
      </c>
      <c r="F270" s="80">
        <f>VLOOKUP(C270,'CUTTING ON JUNE'!$A$4:$D$316,3,0)</f>
        <v>10064</v>
      </c>
      <c r="G270" s="80">
        <f>IFERROR(VLOOKUP(C270,O.B.JUNE!$C$7:$E$448,3,0),0)</f>
        <v>383</v>
      </c>
      <c r="H270" s="80">
        <f t="shared" si="77"/>
        <v>0</v>
      </c>
      <c r="I270" s="80"/>
      <c r="J270" s="80">
        <f t="shared" si="80"/>
        <v>0</v>
      </c>
      <c r="K270" s="80">
        <v>0</v>
      </c>
      <c r="L270" s="80">
        <v>0</v>
      </c>
      <c r="M270" s="81">
        <f t="shared" si="81"/>
        <v>383</v>
      </c>
      <c r="N270" s="81">
        <v>0</v>
      </c>
      <c r="O270" s="81">
        <v>347</v>
      </c>
      <c r="P270" s="81">
        <f t="shared" si="78"/>
        <v>36</v>
      </c>
      <c r="Q270" s="80">
        <f>IFERROR(VLOOKUP(C270,O.B.JUNE!$C$7:$K$448,7,0),0)</f>
        <v>0</v>
      </c>
      <c r="R270" s="80">
        <f>IFERROR(VLOOKUP(C270,O.B.JUNE!$C$7:$J$448,8,0),0)</f>
        <v>0</v>
      </c>
      <c r="S270" s="323">
        <f t="shared" si="82"/>
        <v>0</v>
      </c>
      <c r="T270" s="324">
        <v>0</v>
      </c>
      <c r="U270" s="324"/>
      <c r="V270" s="80"/>
      <c r="W270" s="324">
        <v>0</v>
      </c>
      <c r="X270" s="324"/>
      <c r="Y270" s="324">
        <v>0</v>
      </c>
      <c r="Z270" s="80">
        <v>0</v>
      </c>
      <c r="AA270" s="80">
        <f t="shared" si="83"/>
        <v>0</v>
      </c>
      <c r="AB270" s="323">
        <f t="shared" si="84"/>
        <v>0</v>
      </c>
      <c r="AC270" s="80">
        <f t="shared" ref="AC270:AC333" si="89">+R270+U270+Z270-X270</f>
        <v>0</v>
      </c>
      <c r="AD270" s="80">
        <f t="shared" si="75"/>
        <v>0</v>
      </c>
      <c r="AE270" s="80"/>
      <c r="AF270" s="80"/>
      <c r="AG270" s="80"/>
      <c r="AH270" s="326">
        <f t="shared" si="85"/>
        <v>0</v>
      </c>
      <c r="AI270" s="326">
        <f t="shared" si="86"/>
        <v>0</v>
      </c>
      <c r="AJ270" s="326">
        <f t="shared" si="87"/>
        <v>0</v>
      </c>
      <c r="AK270" s="326">
        <f t="shared" si="88"/>
        <v>0</v>
      </c>
      <c r="AL270" s="326"/>
      <c r="AM270" s="326"/>
      <c r="AN270" s="326"/>
      <c r="AO270" s="326"/>
      <c r="AP270" s="326"/>
      <c r="AQ270" s="326"/>
      <c r="AR270" s="327"/>
      <c r="AS270" s="209"/>
      <c r="AT270" s="411"/>
      <c r="AU270" s="411"/>
    </row>
    <row r="271" spans="1:47" s="390" customFormat="1" ht="18.75" customHeight="1">
      <c r="A271" s="167">
        <v>260</v>
      </c>
      <c r="B271" s="79" t="str">
        <f>IFERROR(VLOOKUP(A271,O.B.JUNE!$A$7:$C$448,2,0),0)</f>
        <v>ALFANI</v>
      </c>
      <c r="C271" s="174">
        <f>IFERROR(VLOOKUP(A271,O.B.JUNE!$A$7:$C$448,3,0),0)</f>
        <v>100015224</v>
      </c>
      <c r="D271" s="80">
        <f t="shared" si="79"/>
        <v>0</v>
      </c>
      <c r="E271" s="80">
        <f>IFERROR(VLOOKUP(C271,O.B.JUNE!$C$7:$D$448,2,0),0)</f>
        <v>8638</v>
      </c>
      <c r="F271" s="80">
        <f>VLOOKUP(C271,'CUTTING ON JUNE'!$A$4:$D$316,3,0)</f>
        <v>8638</v>
      </c>
      <c r="G271" s="80">
        <f>IFERROR(VLOOKUP(C271,O.B.JUNE!$C$7:$E$448,3,0),0)</f>
        <v>44</v>
      </c>
      <c r="H271" s="80">
        <f t="shared" si="77"/>
        <v>0</v>
      </c>
      <c r="I271" s="80"/>
      <c r="J271" s="80">
        <f t="shared" si="80"/>
        <v>0</v>
      </c>
      <c r="K271" s="80">
        <v>0</v>
      </c>
      <c r="L271" s="80">
        <v>0</v>
      </c>
      <c r="M271" s="81">
        <f t="shared" si="81"/>
        <v>44</v>
      </c>
      <c r="N271" s="81">
        <v>0</v>
      </c>
      <c r="O271" s="81">
        <v>0</v>
      </c>
      <c r="P271" s="81">
        <f t="shared" si="78"/>
        <v>44</v>
      </c>
      <c r="Q271" s="80">
        <f>IFERROR(VLOOKUP(C271,O.B.JUNE!$C$7:$K$448,7,0),0)</f>
        <v>0</v>
      </c>
      <c r="R271" s="80">
        <f>IFERROR(VLOOKUP(C271,O.B.JUNE!$C$7:$J$448,8,0),0)</f>
        <v>0</v>
      </c>
      <c r="S271" s="323">
        <f t="shared" si="82"/>
        <v>0</v>
      </c>
      <c r="T271" s="324">
        <v>0</v>
      </c>
      <c r="U271" s="324"/>
      <c r="V271" s="80"/>
      <c r="W271" s="324">
        <v>0</v>
      </c>
      <c r="X271" s="324"/>
      <c r="Y271" s="324">
        <v>0</v>
      </c>
      <c r="Z271" s="80">
        <v>0</v>
      </c>
      <c r="AA271" s="80">
        <f t="shared" si="83"/>
        <v>0</v>
      </c>
      <c r="AB271" s="323">
        <f t="shared" si="84"/>
        <v>0</v>
      </c>
      <c r="AC271" s="80">
        <f t="shared" si="89"/>
        <v>0</v>
      </c>
      <c r="AD271" s="80">
        <f t="shared" si="75"/>
        <v>0</v>
      </c>
      <c r="AE271" s="80"/>
      <c r="AF271" s="80"/>
      <c r="AG271" s="80"/>
      <c r="AH271" s="326">
        <f t="shared" si="85"/>
        <v>0</v>
      </c>
      <c r="AI271" s="326">
        <f t="shared" si="86"/>
        <v>0</v>
      </c>
      <c r="AJ271" s="326">
        <f t="shared" si="87"/>
        <v>0</v>
      </c>
      <c r="AK271" s="326">
        <f t="shared" si="88"/>
        <v>0</v>
      </c>
      <c r="AL271" s="326"/>
      <c r="AM271" s="326"/>
      <c r="AN271" s="326"/>
      <c r="AO271" s="326"/>
      <c r="AP271" s="326"/>
      <c r="AQ271" s="326"/>
      <c r="AR271" s="327"/>
      <c r="AS271" s="209"/>
      <c r="AT271" s="411"/>
      <c r="AU271" s="411"/>
    </row>
    <row r="272" spans="1:47" s="390" customFormat="1" ht="18.75" customHeight="1">
      <c r="A272" s="167">
        <v>261</v>
      </c>
      <c r="B272" s="79" t="str">
        <f>IFERROR(VLOOKUP(A272,O.B.JUNE!$A$7:$C$448,2,0),0)</f>
        <v>ALFANI</v>
      </c>
      <c r="C272" s="174">
        <f>IFERROR(VLOOKUP(A272,O.B.JUNE!$A$7:$C$448,3,0),0)</f>
        <v>100015225</v>
      </c>
      <c r="D272" s="80">
        <f t="shared" si="79"/>
        <v>0</v>
      </c>
      <c r="E272" s="80">
        <f>IFERROR(VLOOKUP(C272,O.B.JUNE!$C$7:$D$448,2,0),0)</f>
        <v>3687</v>
      </c>
      <c r="F272" s="80">
        <f>VLOOKUP(C272,'CUTTING ON JUNE'!$A$4:$D$316,3,0)</f>
        <v>3687</v>
      </c>
      <c r="G272" s="80">
        <f>IFERROR(VLOOKUP(C272,O.B.JUNE!$C$7:$E$448,3,0),0)</f>
        <v>56</v>
      </c>
      <c r="H272" s="80">
        <f t="shared" si="77"/>
        <v>0</v>
      </c>
      <c r="I272" s="80"/>
      <c r="J272" s="80">
        <f t="shared" si="80"/>
        <v>0</v>
      </c>
      <c r="K272" s="80">
        <v>0</v>
      </c>
      <c r="L272" s="80">
        <v>0</v>
      </c>
      <c r="M272" s="81">
        <f t="shared" si="81"/>
        <v>56</v>
      </c>
      <c r="N272" s="81">
        <v>4</v>
      </c>
      <c r="O272" s="81">
        <v>34</v>
      </c>
      <c r="P272" s="81">
        <f t="shared" si="78"/>
        <v>18</v>
      </c>
      <c r="Q272" s="80">
        <f>IFERROR(VLOOKUP(C272,O.B.JUNE!$C$7:$K$448,7,0),0)</f>
        <v>0</v>
      </c>
      <c r="R272" s="80">
        <f>IFERROR(VLOOKUP(C272,O.B.JUNE!$C$7:$J$448,8,0),0)</f>
        <v>0</v>
      </c>
      <c r="S272" s="323">
        <f t="shared" si="82"/>
        <v>0</v>
      </c>
      <c r="T272" s="324">
        <v>0</v>
      </c>
      <c r="U272" s="324"/>
      <c r="V272" s="80"/>
      <c r="W272" s="324">
        <v>0</v>
      </c>
      <c r="X272" s="324"/>
      <c r="Y272" s="324">
        <v>0</v>
      </c>
      <c r="Z272" s="80">
        <v>0</v>
      </c>
      <c r="AA272" s="80">
        <f t="shared" si="83"/>
        <v>0</v>
      </c>
      <c r="AB272" s="323">
        <f t="shared" si="84"/>
        <v>0</v>
      </c>
      <c r="AC272" s="80">
        <f t="shared" si="89"/>
        <v>0</v>
      </c>
      <c r="AD272" s="80">
        <f t="shared" ref="AD272:AD331" si="90">AB272+AC272</f>
        <v>0</v>
      </c>
      <c r="AE272" s="80"/>
      <c r="AF272" s="80"/>
      <c r="AG272" s="80"/>
      <c r="AH272" s="326">
        <f t="shared" si="85"/>
        <v>0</v>
      </c>
      <c r="AI272" s="326">
        <f t="shared" si="86"/>
        <v>0</v>
      </c>
      <c r="AJ272" s="326">
        <f t="shared" si="87"/>
        <v>0</v>
      </c>
      <c r="AK272" s="326">
        <f t="shared" si="88"/>
        <v>0</v>
      </c>
      <c r="AL272" s="326"/>
      <c r="AM272" s="326"/>
      <c r="AN272" s="326"/>
      <c r="AO272" s="326"/>
      <c r="AP272" s="326"/>
      <c r="AQ272" s="326"/>
      <c r="AR272" s="327"/>
      <c r="AS272" s="209"/>
      <c r="AT272" s="411"/>
      <c r="AU272" s="411"/>
    </row>
    <row r="273" spans="1:47" s="390" customFormat="1" ht="18.75" customHeight="1">
      <c r="A273" s="167">
        <v>262</v>
      </c>
      <c r="B273" s="79" t="str">
        <f>IFERROR(VLOOKUP(A273,O.B.JUNE!$A$7:$C$448,2,0),0)</f>
        <v>ALFANI</v>
      </c>
      <c r="C273" s="174">
        <f>IFERROR(VLOOKUP(A273,O.B.JUNE!$A$7:$C$448,3,0),0)</f>
        <v>100015357</v>
      </c>
      <c r="D273" s="80">
        <f t="shared" si="79"/>
        <v>0</v>
      </c>
      <c r="E273" s="80">
        <f>IFERROR(VLOOKUP(C273,O.B.JUNE!$C$7:$D$448,2,0),0)</f>
        <v>13183</v>
      </c>
      <c r="F273" s="80">
        <f>VLOOKUP(C273,'CUTTING ON JUNE'!$A$4:$D$316,3,0)</f>
        <v>13183</v>
      </c>
      <c r="G273" s="80">
        <f>IFERROR(VLOOKUP(C273,O.B.JUNE!$C$7:$E$448,3,0),0)</f>
        <v>44</v>
      </c>
      <c r="H273" s="80">
        <f t="shared" si="77"/>
        <v>0</v>
      </c>
      <c r="I273" s="80"/>
      <c r="J273" s="80">
        <f t="shared" si="80"/>
        <v>0</v>
      </c>
      <c r="K273" s="80">
        <v>0</v>
      </c>
      <c r="L273" s="80">
        <v>0</v>
      </c>
      <c r="M273" s="81">
        <f t="shared" si="81"/>
        <v>44</v>
      </c>
      <c r="N273" s="81">
        <v>0</v>
      </c>
      <c r="O273" s="81">
        <v>0</v>
      </c>
      <c r="P273" s="81">
        <f t="shared" si="78"/>
        <v>44</v>
      </c>
      <c r="Q273" s="80">
        <f>IFERROR(VLOOKUP(C273,O.B.JUNE!$C$7:$K$448,7,0),0)</f>
        <v>0</v>
      </c>
      <c r="R273" s="80">
        <f>IFERROR(VLOOKUP(C273,O.B.JUNE!$C$7:$J$448,8,0),0)</f>
        <v>0</v>
      </c>
      <c r="S273" s="323">
        <f t="shared" si="82"/>
        <v>0</v>
      </c>
      <c r="T273" s="324">
        <v>0</v>
      </c>
      <c r="U273" s="324"/>
      <c r="V273" s="80"/>
      <c r="W273" s="324">
        <v>0</v>
      </c>
      <c r="X273" s="324"/>
      <c r="Y273" s="324">
        <v>0</v>
      </c>
      <c r="Z273" s="80">
        <v>0</v>
      </c>
      <c r="AA273" s="80">
        <f t="shared" si="83"/>
        <v>0</v>
      </c>
      <c r="AB273" s="323">
        <f t="shared" si="84"/>
        <v>0</v>
      </c>
      <c r="AC273" s="80">
        <f t="shared" si="89"/>
        <v>0</v>
      </c>
      <c r="AD273" s="80">
        <f t="shared" si="90"/>
        <v>0</v>
      </c>
      <c r="AE273" s="80"/>
      <c r="AF273" s="80"/>
      <c r="AG273" s="80"/>
      <c r="AH273" s="326">
        <f t="shared" si="85"/>
        <v>0</v>
      </c>
      <c r="AI273" s="326">
        <f t="shared" si="86"/>
        <v>0</v>
      </c>
      <c r="AJ273" s="326">
        <f t="shared" si="87"/>
        <v>0</v>
      </c>
      <c r="AK273" s="326">
        <f t="shared" si="88"/>
        <v>0</v>
      </c>
      <c r="AL273" s="326"/>
      <c r="AM273" s="326"/>
      <c r="AN273" s="326"/>
      <c r="AO273" s="326"/>
      <c r="AP273" s="326"/>
      <c r="AQ273" s="326"/>
      <c r="AR273" s="327"/>
      <c r="AS273" s="209"/>
      <c r="AT273" s="411"/>
      <c r="AU273" s="411"/>
    </row>
    <row r="274" spans="1:47" s="390" customFormat="1" ht="18.75" customHeight="1">
      <c r="A274" s="167">
        <v>263</v>
      </c>
      <c r="B274" s="79" t="str">
        <f>IFERROR(VLOOKUP(A274,O.B.JUNE!$A$7:$C$448,2,0),0)</f>
        <v>ALFANI</v>
      </c>
      <c r="C274" s="174">
        <f>IFERROR(VLOOKUP(A274,O.B.JUNE!$A$7:$C$448,3,0),0)</f>
        <v>100022985</v>
      </c>
      <c r="D274" s="80">
        <f t="shared" si="79"/>
        <v>0</v>
      </c>
      <c r="E274" s="80">
        <f>IFERROR(VLOOKUP(C274,O.B.JUNE!$C$7:$D$448,2,0),0)</f>
        <v>4854</v>
      </c>
      <c r="F274" s="80">
        <f>VLOOKUP(C274,'CUTTING ON JUNE'!$A$4:$D$316,3,0)</f>
        <v>4854</v>
      </c>
      <c r="G274" s="80">
        <f>IFERROR(VLOOKUP(C274,O.B.JUNE!$C$7:$E$448,3,0),0)</f>
        <v>42</v>
      </c>
      <c r="H274" s="80">
        <f t="shared" si="77"/>
        <v>0</v>
      </c>
      <c r="I274" s="80"/>
      <c r="J274" s="80">
        <f t="shared" si="80"/>
        <v>0</v>
      </c>
      <c r="K274" s="80">
        <v>0</v>
      </c>
      <c r="L274" s="80">
        <v>0</v>
      </c>
      <c r="M274" s="81">
        <f t="shared" si="81"/>
        <v>42</v>
      </c>
      <c r="N274" s="81">
        <v>0</v>
      </c>
      <c r="O274" s="81">
        <v>0</v>
      </c>
      <c r="P274" s="81">
        <f t="shared" si="78"/>
        <v>42</v>
      </c>
      <c r="Q274" s="80">
        <f>IFERROR(VLOOKUP(C274,O.B.JUNE!$C$7:$K$448,7,0),0)</f>
        <v>0</v>
      </c>
      <c r="R274" s="80">
        <f>IFERROR(VLOOKUP(C274,O.B.JUNE!$C$7:$J$448,8,0),0)</f>
        <v>0</v>
      </c>
      <c r="S274" s="323">
        <f t="shared" si="82"/>
        <v>0</v>
      </c>
      <c r="T274" s="324">
        <v>0</v>
      </c>
      <c r="U274" s="324"/>
      <c r="V274" s="80"/>
      <c r="W274" s="324">
        <v>0</v>
      </c>
      <c r="X274" s="324"/>
      <c r="Y274" s="324">
        <v>0</v>
      </c>
      <c r="Z274" s="80">
        <v>0</v>
      </c>
      <c r="AA274" s="80">
        <f t="shared" si="83"/>
        <v>0</v>
      </c>
      <c r="AB274" s="323">
        <f t="shared" si="84"/>
        <v>0</v>
      </c>
      <c r="AC274" s="80">
        <f t="shared" si="89"/>
        <v>0</v>
      </c>
      <c r="AD274" s="80">
        <f t="shared" si="90"/>
        <v>0</v>
      </c>
      <c r="AE274" s="80"/>
      <c r="AF274" s="80"/>
      <c r="AG274" s="80"/>
      <c r="AH274" s="326">
        <f t="shared" si="85"/>
        <v>0</v>
      </c>
      <c r="AI274" s="326">
        <f t="shared" si="86"/>
        <v>0</v>
      </c>
      <c r="AJ274" s="326">
        <f t="shared" si="87"/>
        <v>0</v>
      </c>
      <c r="AK274" s="326">
        <f t="shared" si="88"/>
        <v>0</v>
      </c>
      <c r="AL274" s="326"/>
      <c r="AM274" s="326"/>
      <c r="AN274" s="326"/>
      <c r="AO274" s="326"/>
      <c r="AP274" s="326"/>
      <c r="AQ274" s="326"/>
      <c r="AR274" s="327"/>
      <c r="AS274" s="209"/>
      <c r="AT274" s="411"/>
      <c r="AU274" s="411"/>
    </row>
    <row r="275" spans="1:47" s="390" customFormat="1" ht="18.75" customHeight="1">
      <c r="A275" s="167">
        <v>264</v>
      </c>
      <c r="B275" s="79" t="str">
        <f>IFERROR(VLOOKUP(A275,O.B.JUNE!$A$7:$C$448,2,0),0)</f>
        <v>ALFANI</v>
      </c>
      <c r="C275" s="174">
        <f>IFERROR(VLOOKUP(A275,O.B.JUNE!$A$7:$C$448,3,0),0)</f>
        <v>100024114</v>
      </c>
      <c r="D275" s="80">
        <f t="shared" si="79"/>
        <v>0</v>
      </c>
      <c r="E275" s="80">
        <f>IFERROR(VLOOKUP(C275,O.B.JUNE!$C$7:$D$448,2,0),0)</f>
        <v>1521</v>
      </c>
      <c r="F275" s="80">
        <f>VLOOKUP(C275,'CUTTING ON JUNE'!$A$4:$D$316,3,0)</f>
        <v>1521</v>
      </c>
      <c r="G275" s="80">
        <f>IFERROR(VLOOKUP(C275,O.B.JUNE!$C$7:$E$448,3,0),0)</f>
        <v>26</v>
      </c>
      <c r="H275" s="80">
        <f>IF(F275="","",F275-E275)</f>
        <v>0</v>
      </c>
      <c r="I275" s="80"/>
      <c r="J275" s="80">
        <f t="shared" si="80"/>
        <v>0</v>
      </c>
      <c r="K275" s="80">
        <v>0</v>
      </c>
      <c r="L275" s="80">
        <v>0</v>
      </c>
      <c r="M275" s="81">
        <f t="shared" si="81"/>
        <v>26</v>
      </c>
      <c r="N275" s="81">
        <v>0</v>
      </c>
      <c r="O275" s="81">
        <v>0</v>
      </c>
      <c r="P275" s="81">
        <f t="shared" si="78"/>
        <v>26</v>
      </c>
      <c r="Q275" s="80">
        <f>IFERROR(VLOOKUP(C275,O.B.JUNE!$C$7:$K$448,7,0),0)</f>
        <v>0</v>
      </c>
      <c r="R275" s="80">
        <f>IFERROR(VLOOKUP(C275,O.B.JUNE!$C$7:$J$448,8,0),0)</f>
        <v>0</v>
      </c>
      <c r="S275" s="323">
        <f t="shared" si="82"/>
        <v>0</v>
      </c>
      <c r="T275" s="324">
        <v>0</v>
      </c>
      <c r="U275" s="324"/>
      <c r="V275" s="80"/>
      <c r="W275" s="324">
        <v>0</v>
      </c>
      <c r="X275" s="324"/>
      <c r="Y275" s="324">
        <v>0</v>
      </c>
      <c r="Z275" s="80">
        <v>0</v>
      </c>
      <c r="AA275" s="80">
        <f t="shared" si="83"/>
        <v>0</v>
      </c>
      <c r="AB275" s="323">
        <f t="shared" si="84"/>
        <v>0</v>
      </c>
      <c r="AC275" s="80">
        <f t="shared" si="89"/>
        <v>0</v>
      </c>
      <c r="AD275" s="80">
        <f t="shared" si="90"/>
        <v>0</v>
      </c>
      <c r="AE275" s="80"/>
      <c r="AF275" s="80"/>
      <c r="AG275" s="80"/>
      <c r="AH275" s="326">
        <f t="shared" si="85"/>
        <v>0</v>
      </c>
      <c r="AI275" s="326">
        <f t="shared" si="86"/>
        <v>0</v>
      </c>
      <c r="AJ275" s="326">
        <f t="shared" si="87"/>
        <v>0</v>
      </c>
      <c r="AK275" s="326">
        <f t="shared" si="88"/>
        <v>0</v>
      </c>
      <c r="AL275" s="326"/>
      <c r="AM275" s="326"/>
      <c r="AN275" s="326"/>
      <c r="AO275" s="326"/>
      <c r="AP275" s="326"/>
      <c r="AQ275" s="326"/>
      <c r="AR275" s="327"/>
      <c r="AS275" s="209"/>
      <c r="AT275" s="411"/>
      <c r="AU275" s="411"/>
    </row>
    <row r="276" spans="1:47" s="390" customFormat="1" ht="18.75" customHeight="1">
      <c r="A276" s="167">
        <v>266</v>
      </c>
      <c r="B276" s="79" t="str">
        <f>IFERROR(VLOOKUP(A276,O.B.JUNE!$A$7:$C$448,2,0),0)</f>
        <v>ALFANI</v>
      </c>
      <c r="C276" s="174">
        <f>IFERROR(VLOOKUP(A276,O.B.JUNE!$A$7:$C$448,3,0),0)</f>
        <v>100021859</v>
      </c>
      <c r="D276" s="80">
        <f t="shared" si="79"/>
        <v>0</v>
      </c>
      <c r="E276" s="80">
        <f>IFERROR(VLOOKUP(C276,O.B.JUNE!$C$7:$D$448,2,0),0)</f>
        <v>3297</v>
      </c>
      <c r="F276" s="80">
        <f>VLOOKUP(C276,'CUTTING ON JUNE'!$A$4:$D$316,3,0)</f>
        <v>3297</v>
      </c>
      <c r="G276" s="80">
        <f>IFERROR(VLOOKUP(C276,O.B.JUNE!$C$7:$E$448,3,0),0)</f>
        <v>174</v>
      </c>
      <c r="H276" s="80">
        <f t="shared" si="77"/>
        <v>0</v>
      </c>
      <c r="I276" s="80"/>
      <c r="J276" s="80">
        <f t="shared" si="80"/>
        <v>0</v>
      </c>
      <c r="K276" s="80">
        <v>0</v>
      </c>
      <c r="L276" s="80">
        <v>0</v>
      </c>
      <c r="M276" s="81">
        <f t="shared" si="81"/>
        <v>174</v>
      </c>
      <c r="N276" s="81">
        <v>0</v>
      </c>
      <c r="O276" s="81">
        <v>0</v>
      </c>
      <c r="P276" s="81">
        <f t="shared" ref="P276" si="91">+M276-N276-O276</f>
        <v>174</v>
      </c>
      <c r="Q276" s="80">
        <f>IFERROR(VLOOKUP(C276,O.B.JUNE!$C$7:$K$448,7,0),0)</f>
        <v>0</v>
      </c>
      <c r="R276" s="80">
        <f>IFERROR(VLOOKUP(C276,O.B.JUNE!$C$7:$J$448,8,0),0)</f>
        <v>0</v>
      </c>
      <c r="S276" s="323">
        <f t="shared" si="82"/>
        <v>0</v>
      </c>
      <c r="T276" s="324">
        <v>0</v>
      </c>
      <c r="U276" s="324"/>
      <c r="V276" s="80"/>
      <c r="W276" s="324">
        <v>0</v>
      </c>
      <c r="X276" s="324"/>
      <c r="Y276" s="324">
        <v>0</v>
      </c>
      <c r="Z276" s="80">
        <v>0</v>
      </c>
      <c r="AA276" s="80">
        <f t="shared" si="83"/>
        <v>0</v>
      </c>
      <c r="AB276" s="323">
        <f t="shared" si="84"/>
        <v>0</v>
      </c>
      <c r="AC276" s="80">
        <f t="shared" si="89"/>
        <v>0</v>
      </c>
      <c r="AD276" s="80">
        <f t="shared" si="90"/>
        <v>0</v>
      </c>
      <c r="AE276" s="80"/>
      <c r="AF276" s="80"/>
      <c r="AG276" s="80"/>
      <c r="AH276" s="326">
        <f t="shared" si="85"/>
        <v>0</v>
      </c>
      <c r="AI276" s="326">
        <f t="shared" si="86"/>
        <v>0</v>
      </c>
      <c r="AJ276" s="326">
        <f t="shared" si="87"/>
        <v>0</v>
      </c>
      <c r="AK276" s="326">
        <f t="shared" si="88"/>
        <v>0</v>
      </c>
      <c r="AL276" s="326"/>
      <c r="AM276" s="326"/>
      <c r="AN276" s="326"/>
      <c r="AO276" s="326"/>
      <c r="AP276" s="326"/>
      <c r="AQ276" s="326"/>
      <c r="AR276" s="327"/>
      <c r="AS276" s="209"/>
      <c r="AT276" s="411"/>
      <c r="AU276" s="411"/>
    </row>
    <row r="277" spans="1:47" s="390" customFormat="1" ht="18.75" customHeight="1">
      <c r="A277" s="167">
        <v>268</v>
      </c>
      <c r="B277" s="79" t="str">
        <f>IFERROR(VLOOKUP(A277,O.B.JUNE!$A$7:$C$448,2,0),0)</f>
        <v>TALBOTS</v>
      </c>
      <c r="C277" s="174">
        <f>IFERROR(VLOOKUP(A277,O.B.JUNE!$A$7:$C$448,3,0),0)</f>
        <v>182034355</v>
      </c>
      <c r="D277" s="80">
        <f t="shared" si="79"/>
        <v>0</v>
      </c>
      <c r="E277" s="80">
        <f>IFERROR(VLOOKUP(C277,O.B.JUNE!$C$7:$D$448,2,0),0)</f>
        <v>3182</v>
      </c>
      <c r="F277" s="80">
        <f>VLOOKUP(C277,'CUTTING ON JUNE'!$A$4:$D$316,3,0)</f>
        <v>3182</v>
      </c>
      <c r="G277" s="80">
        <f>IFERROR(VLOOKUP(C277,O.B.JUNE!$C$7:$E$448,3,0),0)</f>
        <v>83</v>
      </c>
      <c r="H277" s="80">
        <f t="shared" si="77"/>
        <v>0</v>
      </c>
      <c r="I277" s="80"/>
      <c r="J277" s="80">
        <f t="shared" si="80"/>
        <v>0</v>
      </c>
      <c r="K277" s="80">
        <v>0</v>
      </c>
      <c r="L277" s="80">
        <v>0</v>
      </c>
      <c r="M277" s="81">
        <f t="shared" si="81"/>
        <v>83</v>
      </c>
      <c r="N277" s="81">
        <v>0</v>
      </c>
      <c r="O277" s="81">
        <v>56</v>
      </c>
      <c r="P277" s="81">
        <f t="shared" ref="P277:P289" si="92">+M277-N277-O277</f>
        <v>27</v>
      </c>
      <c r="Q277" s="80">
        <f>IFERROR(VLOOKUP(C277,O.B.JUNE!$C$7:$K$448,7,0),0)</f>
        <v>0</v>
      </c>
      <c r="R277" s="80">
        <f>IFERROR(VLOOKUP(C277,O.B.JUNE!$C$7:$J$448,8,0),0)</f>
        <v>0</v>
      </c>
      <c r="S277" s="323">
        <f t="shared" si="82"/>
        <v>0</v>
      </c>
      <c r="T277" s="324">
        <v>0</v>
      </c>
      <c r="U277" s="324"/>
      <c r="V277" s="80"/>
      <c r="W277" s="324">
        <v>0</v>
      </c>
      <c r="X277" s="324"/>
      <c r="Y277" s="324">
        <v>0</v>
      </c>
      <c r="Z277" s="80">
        <v>0</v>
      </c>
      <c r="AA277" s="80">
        <f t="shared" si="83"/>
        <v>0</v>
      </c>
      <c r="AB277" s="323">
        <f t="shared" si="84"/>
        <v>0</v>
      </c>
      <c r="AC277" s="80">
        <f t="shared" si="89"/>
        <v>0</v>
      </c>
      <c r="AD277" s="80">
        <f t="shared" si="90"/>
        <v>0</v>
      </c>
      <c r="AE277" s="80"/>
      <c r="AF277" s="80"/>
      <c r="AG277" s="80"/>
      <c r="AH277" s="326">
        <f t="shared" si="85"/>
        <v>0</v>
      </c>
      <c r="AI277" s="326">
        <f t="shared" si="86"/>
        <v>0</v>
      </c>
      <c r="AJ277" s="326">
        <f t="shared" si="87"/>
        <v>0</v>
      </c>
      <c r="AK277" s="326">
        <f t="shared" si="88"/>
        <v>0</v>
      </c>
      <c r="AL277" s="326"/>
      <c r="AM277" s="326"/>
      <c r="AN277" s="326"/>
      <c r="AO277" s="326"/>
      <c r="AP277" s="326"/>
      <c r="AQ277" s="326"/>
      <c r="AR277" s="327"/>
      <c r="AS277" s="209"/>
      <c r="AT277" s="411"/>
      <c r="AU277" s="411"/>
    </row>
    <row r="278" spans="1:47" s="390" customFormat="1" ht="18.75" customHeight="1">
      <c r="A278" s="167">
        <v>269</v>
      </c>
      <c r="B278" s="79" t="str">
        <f>IFERROR(VLOOKUP(A278,O.B.JUNE!$A$7:$C$448,2,0),0)</f>
        <v>TALBOTS</v>
      </c>
      <c r="C278" s="174">
        <f>IFERROR(VLOOKUP(A278,O.B.JUNE!$A$7:$C$448,3,0),0)</f>
        <v>182034365</v>
      </c>
      <c r="D278" s="80">
        <f t="shared" si="79"/>
        <v>0</v>
      </c>
      <c r="E278" s="80">
        <f>IFERROR(VLOOKUP(C278,O.B.JUNE!$C$7:$D$448,2,0),0)</f>
        <v>11189</v>
      </c>
      <c r="F278" s="80">
        <f>VLOOKUP(C278,'CUTTING ON JUNE'!$A$4:$D$316,3,0)</f>
        <v>11189</v>
      </c>
      <c r="G278" s="80">
        <f>IFERROR(VLOOKUP(C278,O.B.JUNE!$C$7:$E$448,3,0),0)</f>
        <v>675</v>
      </c>
      <c r="H278" s="80">
        <f t="shared" si="77"/>
        <v>0</v>
      </c>
      <c r="I278" s="80"/>
      <c r="J278" s="80">
        <f t="shared" si="80"/>
        <v>0</v>
      </c>
      <c r="K278" s="80">
        <v>0</v>
      </c>
      <c r="L278" s="80">
        <v>0</v>
      </c>
      <c r="M278" s="81">
        <f t="shared" si="81"/>
        <v>675</v>
      </c>
      <c r="N278" s="81">
        <v>6</v>
      </c>
      <c r="O278" s="81">
        <v>195</v>
      </c>
      <c r="P278" s="81">
        <f t="shared" si="92"/>
        <v>474</v>
      </c>
      <c r="Q278" s="80">
        <f>IFERROR(VLOOKUP(C278,O.B.JUNE!$C$7:$K$448,7,0),0)</f>
        <v>0</v>
      </c>
      <c r="R278" s="80">
        <f>IFERROR(VLOOKUP(C278,O.B.JUNE!$C$7:$J$448,8,0),0)</f>
        <v>0</v>
      </c>
      <c r="S278" s="323">
        <f t="shared" si="82"/>
        <v>0</v>
      </c>
      <c r="T278" s="324">
        <v>0</v>
      </c>
      <c r="U278" s="324"/>
      <c r="V278" s="80"/>
      <c r="W278" s="324">
        <v>0</v>
      </c>
      <c r="X278" s="324"/>
      <c r="Y278" s="324">
        <v>0</v>
      </c>
      <c r="Z278" s="80">
        <v>0</v>
      </c>
      <c r="AA278" s="80">
        <f t="shared" si="83"/>
        <v>0</v>
      </c>
      <c r="AB278" s="323">
        <f t="shared" si="84"/>
        <v>0</v>
      </c>
      <c r="AC278" s="80">
        <f t="shared" si="89"/>
        <v>0</v>
      </c>
      <c r="AD278" s="80">
        <f t="shared" si="90"/>
        <v>0</v>
      </c>
      <c r="AE278" s="80"/>
      <c r="AF278" s="80"/>
      <c r="AG278" s="80"/>
      <c r="AH278" s="326">
        <f t="shared" si="85"/>
        <v>0</v>
      </c>
      <c r="AI278" s="326">
        <f t="shared" si="86"/>
        <v>0</v>
      </c>
      <c r="AJ278" s="326">
        <f t="shared" si="87"/>
        <v>0</v>
      </c>
      <c r="AK278" s="326">
        <f t="shared" si="88"/>
        <v>0</v>
      </c>
      <c r="AL278" s="326"/>
      <c r="AM278" s="326"/>
      <c r="AN278" s="326"/>
      <c r="AO278" s="326"/>
      <c r="AP278" s="326"/>
      <c r="AQ278" s="326"/>
      <c r="AR278" s="327"/>
      <c r="AS278" s="209"/>
      <c r="AT278" s="411"/>
      <c r="AU278" s="411"/>
    </row>
    <row r="279" spans="1:47" s="390" customFormat="1" ht="18.75" customHeight="1">
      <c r="A279" s="167">
        <v>270</v>
      </c>
      <c r="B279" s="79" t="str">
        <f>IFERROR(VLOOKUP(A279,O.B.JUNE!$A$7:$C$448,2,0),0)</f>
        <v>ANN TAYLOR</v>
      </c>
      <c r="C279" s="174">
        <f>IFERROR(VLOOKUP(A279,O.B.JUNE!$A$7:$C$448,3,0),0)</f>
        <v>463036</v>
      </c>
      <c r="D279" s="80">
        <f t="shared" si="79"/>
        <v>0</v>
      </c>
      <c r="E279" s="80">
        <f>IFERROR(VLOOKUP(C279,O.B.JUNE!$C$7:$D$448,2,0),0)</f>
        <v>3824</v>
      </c>
      <c r="F279" s="80">
        <f>VLOOKUP(C279,'CUTTING ON JUNE'!$A$4:$D$316,3,0)</f>
        <v>3824</v>
      </c>
      <c r="G279" s="80">
        <f>IFERROR(VLOOKUP(C279,O.B.JUNE!$C$7:$E$448,3,0),0)</f>
        <v>430</v>
      </c>
      <c r="H279" s="80">
        <f t="shared" si="77"/>
        <v>0</v>
      </c>
      <c r="I279" s="80"/>
      <c r="J279" s="80">
        <f t="shared" si="80"/>
        <v>0</v>
      </c>
      <c r="K279" s="80">
        <v>0</v>
      </c>
      <c r="L279" s="80">
        <v>0</v>
      </c>
      <c r="M279" s="81">
        <f t="shared" si="81"/>
        <v>430</v>
      </c>
      <c r="N279" s="81">
        <v>31</v>
      </c>
      <c r="O279" s="81">
        <v>172</v>
      </c>
      <c r="P279" s="81">
        <f t="shared" si="92"/>
        <v>227</v>
      </c>
      <c r="Q279" s="80">
        <f>IFERROR(VLOOKUP(C279,O.B.JUNE!$C$7:$K$448,7,0),0)</f>
        <v>0</v>
      </c>
      <c r="R279" s="80">
        <f>IFERROR(VLOOKUP(C279,O.B.JUNE!$C$7:$J$448,8,0),0)</f>
        <v>0</v>
      </c>
      <c r="S279" s="323">
        <f t="shared" si="82"/>
        <v>0</v>
      </c>
      <c r="T279" s="324">
        <v>0</v>
      </c>
      <c r="U279" s="324"/>
      <c r="V279" s="80"/>
      <c r="W279" s="324">
        <v>0</v>
      </c>
      <c r="X279" s="324"/>
      <c r="Y279" s="324">
        <v>0</v>
      </c>
      <c r="Z279" s="80">
        <v>0</v>
      </c>
      <c r="AA279" s="80">
        <f t="shared" si="83"/>
        <v>0</v>
      </c>
      <c r="AB279" s="323">
        <f t="shared" si="84"/>
        <v>0</v>
      </c>
      <c r="AC279" s="80">
        <f t="shared" si="89"/>
        <v>0</v>
      </c>
      <c r="AD279" s="80">
        <f t="shared" si="90"/>
        <v>0</v>
      </c>
      <c r="AE279" s="80"/>
      <c r="AF279" s="80"/>
      <c r="AG279" s="80"/>
      <c r="AH279" s="326">
        <f t="shared" si="85"/>
        <v>0</v>
      </c>
      <c r="AI279" s="326">
        <f t="shared" si="86"/>
        <v>0</v>
      </c>
      <c r="AJ279" s="326">
        <f t="shared" si="87"/>
        <v>0</v>
      </c>
      <c r="AK279" s="326">
        <f t="shared" si="88"/>
        <v>0</v>
      </c>
      <c r="AL279" s="326"/>
      <c r="AM279" s="326"/>
      <c r="AN279" s="326"/>
      <c r="AO279" s="326"/>
      <c r="AP279" s="326"/>
      <c r="AQ279" s="326"/>
      <c r="AR279" s="327">
        <f>VLOOKUP(C279,'[1]DA HET SAN XUAT'!$D$8:$AJ$419,33,0)</f>
        <v>0</v>
      </c>
      <c r="AS279" s="209"/>
      <c r="AT279" s="411"/>
      <c r="AU279" s="411"/>
    </row>
    <row r="280" spans="1:47" s="390" customFormat="1" ht="18.75" customHeight="1">
      <c r="A280" s="167">
        <v>271</v>
      </c>
      <c r="B280" s="79" t="str">
        <f>IFERROR(VLOOKUP(A280,O.B.JUNE!$A$7:$C$448,2,0),0)</f>
        <v>ANN TAYLOR</v>
      </c>
      <c r="C280" s="174">
        <f>IFERROR(VLOOKUP(A280,O.B.JUNE!$A$7:$C$448,3,0),0)</f>
        <v>468543</v>
      </c>
      <c r="D280" s="80">
        <f t="shared" si="79"/>
        <v>0</v>
      </c>
      <c r="E280" s="80">
        <f>IFERROR(VLOOKUP(C280,O.B.JUNE!$C$7:$D$448,2,0),0)</f>
        <v>9520</v>
      </c>
      <c r="F280" s="80">
        <f>VLOOKUP(C280,'CUTTING ON JUNE'!$A$4:$D$316,3,0)</f>
        <v>9520</v>
      </c>
      <c r="G280" s="80">
        <f>IFERROR(VLOOKUP(C280,O.B.JUNE!$C$7:$E$448,3,0),0)</f>
        <v>839</v>
      </c>
      <c r="H280" s="80">
        <f t="shared" si="77"/>
        <v>0</v>
      </c>
      <c r="I280" s="80"/>
      <c r="J280" s="80">
        <f t="shared" si="80"/>
        <v>0</v>
      </c>
      <c r="K280" s="80">
        <v>0</v>
      </c>
      <c r="L280" s="80">
        <v>0</v>
      </c>
      <c r="M280" s="81">
        <f t="shared" si="81"/>
        <v>839</v>
      </c>
      <c r="N280" s="81">
        <v>120</v>
      </c>
      <c r="O280" s="81">
        <v>503</v>
      </c>
      <c r="P280" s="81">
        <f t="shared" si="92"/>
        <v>216</v>
      </c>
      <c r="Q280" s="80">
        <f>IFERROR(VLOOKUP(C280,O.B.JUNE!$C$7:$K$448,7,0),0)</f>
        <v>0</v>
      </c>
      <c r="R280" s="80">
        <f>IFERROR(VLOOKUP(C280,O.B.JUNE!$C$7:$J$448,8,0),0)</f>
        <v>0</v>
      </c>
      <c r="S280" s="323">
        <f t="shared" si="82"/>
        <v>0</v>
      </c>
      <c r="T280" s="324">
        <v>0</v>
      </c>
      <c r="U280" s="324"/>
      <c r="V280" s="80"/>
      <c r="W280" s="324">
        <v>0</v>
      </c>
      <c r="X280" s="324"/>
      <c r="Y280" s="324">
        <v>0</v>
      </c>
      <c r="Z280" s="80">
        <v>0</v>
      </c>
      <c r="AA280" s="80">
        <f t="shared" si="83"/>
        <v>0</v>
      </c>
      <c r="AB280" s="323">
        <f t="shared" si="84"/>
        <v>0</v>
      </c>
      <c r="AC280" s="80">
        <f t="shared" si="89"/>
        <v>0</v>
      </c>
      <c r="AD280" s="80">
        <f t="shared" si="90"/>
        <v>0</v>
      </c>
      <c r="AE280" s="80"/>
      <c r="AF280" s="80"/>
      <c r="AG280" s="80"/>
      <c r="AH280" s="326">
        <f t="shared" si="85"/>
        <v>0</v>
      </c>
      <c r="AI280" s="326">
        <f t="shared" si="86"/>
        <v>0</v>
      </c>
      <c r="AJ280" s="326">
        <f t="shared" si="87"/>
        <v>0</v>
      </c>
      <c r="AK280" s="326">
        <f t="shared" si="88"/>
        <v>0</v>
      </c>
      <c r="AL280" s="326"/>
      <c r="AM280" s="326"/>
      <c r="AN280" s="326"/>
      <c r="AO280" s="326"/>
      <c r="AP280" s="326"/>
      <c r="AQ280" s="326"/>
      <c r="AR280" s="327">
        <f>VLOOKUP(C280,'[1]DA HET SAN XUAT'!$D$8:$AJ$419,33,0)</f>
        <v>0</v>
      </c>
      <c r="AS280" s="209"/>
      <c r="AT280" s="411"/>
      <c r="AU280" s="411"/>
    </row>
    <row r="281" spans="1:47" s="390" customFormat="1" ht="18.75" customHeight="1">
      <c r="A281" s="167">
        <v>272</v>
      </c>
      <c r="B281" s="79" t="str">
        <f>IFERROR(VLOOKUP(A281,O.B.JUNE!$A$7:$C$448,2,0),0)</f>
        <v>ALFANI</v>
      </c>
      <c r="C281" s="174">
        <f>IFERROR(VLOOKUP(A281,O.B.JUNE!$A$7:$C$448,3,0),0)</f>
        <v>73206</v>
      </c>
      <c r="D281" s="80">
        <f t="shared" si="79"/>
        <v>0</v>
      </c>
      <c r="E281" s="80">
        <f>IFERROR(VLOOKUP(C281,O.B.JUNE!$C$7:$D$448,2,0),0)</f>
        <v>696</v>
      </c>
      <c r="F281" s="80">
        <f>VLOOKUP(C281,'CUTTING ON JUNE'!$A$4:$D$316,3,0)</f>
        <v>696</v>
      </c>
      <c r="G281" s="80">
        <f>IFERROR(VLOOKUP(C281,O.B.JUNE!$C$7:$E$448,3,0),0)</f>
        <v>34</v>
      </c>
      <c r="H281" s="80">
        <f t="shared" si="77"/>
        <v>0</v>
      </c>
      <c r="I281" s="80"/>
      <c r="J281" s="80">
        <f t="shared" si="80"/>
        <v>34</v>
      </c>
      <c r="K281" s="80">
        <v>0</v>
      </c>
      <c r="L281" s="80">
        <v>0</v>
      </c>
      <c r="M281" s="81">
        <f t="shared" si="81"/>
        <v>0</v>
      </c>
      <c r="N281" s="81">
        <v>0</v>
      </c>
      <c r="O281" s="81">
        <v>0</v>
      </c>
      <c r="P281" s="81">
        <f t="shared" si="92"/>
        <v>0</v>
      </c>
      <c r="Q281" s="80">
        <f>IFERROR(VLOOKUP(C281,O.B.JUNE!$C$7:$K$448,7,0),0)</f>
        <v>0</v>
      </c>
      <c r="R281" s="80">
        <f>IFERROR(VLOOKUP(C281,O.B.JUNE!$C$7:$J$448,8,0),0)</f>
        <v>0</v>
      </c>
      <c r="S281" s="323">
        <f t="shared" si="82"/>
        <v>34</v>
      </c>
      <c r="T281" s="324">
        <v>0</v>
      </c>
      <c r="U281" s="324">
        <v>34</v>
      </c>
      <c r="V281" s="80"/>
      <c r="W281" s="324">
        <v>0</v>
      </c>
      <c r="X281" s="324"/>
      <c r="Y281" s="324">
        <v>0</v>
      </c>
      <c r="Z281" s="80">
        <v>0</v>
      </c>
      <c r="AA281" s="80">
        <f t="shared" si="83"/>
        <v>34</v>
      </c>
      <c r="AB281" s="323">
        <f t="shared" si="84"/>
        <v>0</v>
      </c>
      <c r="AC281" s="80">
        <f t="shared" si="89"/>
        <v>34</v>
      </c>
      <c r="AD281" s="80">
        <f t="shared" si="90"/>
        <v>34</v>
      </c>
      <c r="AE281" s="80"/>
      <c r="AF281" s="80"/>
      <c r="AG281" s="80"/>
      <c r="AH281" s="326">
        <f t="shared" si="85"/>
        <v>0</v>
      </c>
      <c r="AI281" s="326">
        <f t="shared" si="86"/>
        <v>0</v>
      </c>
      <c r="AJ281" s="326">
        <f t="shared" si="87"/>
        <v>0</v>
      </c>
      <c r="AK281" s="326">
        <f t="shared" si="88"/>
        <v>0</v>
      </c>
      <c r="AL281" s="326"/>
      <c r="AM281" s="326"/>
      <c r="AN281" s="326"/>
      <c r="AO281" s="326"/>
      <c r="AP281" s="326"/>
      <c r="AQ281" s="326"/>
      <c r="AR281" s="327"/>
      <c r="AS281" s="504" t="s">
        <v>658</v>
      </c>
      <c r="AT281" s="411"/>
      <c r="AU281" s="411"/>
    </row>
    <row r="282" spans="1:47" s="390" customFormat="1" ht="18.75" customHeight="1">
      <c r="A282" s="167">
        <v>273</v>
      </c>
      <c r="B282" s="79" t="str">
        <f>IFERROR(VLOOKUP(A282,O.B.JUNE!$A$7:$C$448,2,0),0)</f>
        <v>ALFANI</v>
      </c>
      <c r="C282" s="174">
        <f>IFERROR(VLOOKUP(A282,O.B.JUNE!$A$7:$C$448,3,0),0)</f>
        <v>76203</v>
      </c>
      <c r="D282" s="80">
        <f t="shared" si="79"/>
        <v>0</v>
      </c>
      <c r="E282" s="80">
        <f>IFERROR(VLOOKUP(C282,O.B.JUNE!$C$7:$D$448,2,0),0)</f>
        <v>615</v>
      </c>
      <c r="F282" s="80">
        <f>VLOOKUP(C282,'CUTTING ON JUNE'!$A$4:$D$316,3,0)</f>
        <v>615</v>
      </c>
      <c r="G282" s="80">
        <f>IFERROR(VLOOKUP(C282,O.B.JUNE!$C$7:$E$448,3,0),0)</f>
        <v>22</v>
      </c>
      <c r="H282" s="80">
        <f t="shared" si="77"/>
        <v>0</v>
      </c>
      <c r="I282" s="80"/>
      <c r="J282" s="80">
        <f t="shared" si="80"/>
        <v>0</v>
      </c>
      <c r="K282" s="80">
        <v>0</v>
      </c>
      <c r="L282" s="80">
        <v>0</v>
      </c>
      <c r="M282" s="81">
        <f t="shared" si="81"/>
        <v>22</v>
      </c>
      <c r="N282" s="81">
        <v>0</v>
      </c>
      <c r="O282" s="81">
        <v>10</v>
      </c>
      <c r="P282" s="81">
        <f t="shared" si="92"/>
        <v>12</v>
      </c>
      <c r="Q282" s="80">
        <f>IFERROR(VLOOKUP(C282,O.B.JUNE!$C$7:$K$448,7,0),0)</f>
        <v>0</v>
      </c>
      <c r="R282" s="80">
        <f>IFERROR(VLOOKUP(C282,O.B.JUNE!$C$7:$J$448,8,0),0)</f>
        <v>0</v>
      </c>
      <c r="S282" s="323">
        <f t="shared" si="82"/>
        <v>0</v>
      </c>
      <c r="T282" s="324">
        <v>0</v>
      </c>
      <c r="U282" s="324"/>
      <c r="V282" s="80"/>
      <c r="W282" s="324">
        <v>0</v>
      </c>
      <c r="X282" s="324"/>
      <c r="Y282" s="324">
        <v>0</v>
      </c>
      <c r="Z282" s="80">
        <v>0</v>
      </c>
      <c r="AA282" s="80">
        <f t="shared" si="83"/>
        <v>0</v>
      </c>
      <c r="AB282" s="323">
        <f t="shared" si="84"/>
        <v>0</v>
      </c>
      <c r="AC282" s="80">
        <f t="shared" si="89"/>
        <v>0</v>
      </c>
      <c r="AD282" s="80">
        <f t="shared" si="90"/>
        <v>0</v>
      </c>
      <c r="AE282" s="80"/>
      <c r="AF282" s="80"/>
      <c r="AG282" s="80"/>
      <c r="AH282" s="326">
        <f t="shared" si="85"/>
        <v>0</v>
      </c>
      <c r="AI282" s="326">
        <f t="shared" si="86"/>
        <v>0</v>
      </c>
      <c r="AJ282" s="326">
        <f t="shared" si="87"/>
        <v>0</v>
      </c>
      <c r="AK282" s="326">
        <f t="shared" si="88"/>
        <v>0</v>
      </c>
      <c r="AL282" s="326"/>
      <c r="AM282" s="326"/>
      <c r="AN282" s="326"/>
      <c r="AO282" s="326"/>
      <c r="AP282" s="326"/>
      <c r="AQ282" s="326"/>
      <c r="AR282" s="327"/>
      <c r="AS282" s="209"/>
      <c r="AT282" s="411"/>
      <c r="AU282" s="411"/>
    </row>
    <row r="283" spans="1:47" s="390" customFormat="1" ht="18.75" customHeight="1">
      <c r="A283" s="167">
        <v>274</v>
      </c>
      <c r="B283" s="79" t="str">
        <f>IFERROR(VLOOKUP(A283,O.B.JUNE!$A$7:$C$448,2,0),0)</f>
        <v>ANN TAYLOR</v>
      </c>
      <c r="C283" s="174">
        <f>IFERROR(VLOOKUP(A283,O.B.JUNE!$A$7:$C$448,3,0),0)</f>
        <v>457309</v>
      </c>
      <c r="D283" s="80">
        <f t="shared" si="79"/>
        <v>0</v>
      </c>
      <c r="E283" s="80">
        <f>IFERROR(VLOOKUP(C283,O.B.JUNE!$C$7:$D$448,2,0),0)</f>
        <v>36158</v>
      </c>
      <c r="F283" s="80">
        <f>VLOOKUP(C283,'CUTTING ON JUNE'!$A$4:$D$316,3,0)</f>
        <v>36158</v>
      </c>
      <c r="G283" s="80">
        <f>IFERROR(VLOOKUP(C283,O.B.JUNE!$C$7:$E$448,3,0),0)</f>
        <v>9206</v>
      </c>
      <c r="H283" s="80">
        <f t="shared" si="77"/>
        <v>0</v>
      </c>
      <c r="I283" s="80"/>
      <c r="J283" s="80">
        <f t="shared" si="80"/>
        <v>0</v>
      </c>
      <c r="K283" s="80">
        <v>0</v>
      </c>
      <c r="L283" s="80">
        <v>0</v>
      </c>
      <c r="M283" s="81">
        <f t="shared" si="81"/>
        <v>9206</v>
      </c>
      <c r="N283" s="81">
        <v>0</v>
      </c>
      <c r="O283" s="81">
        <v>5210</v>
      </c>
      <c r="P283" s="81">
        <f t="shared" si="92"/>
        <v>3996</v>
      </c>
      <c r="Q283" s="80">
        <f>IFERROR(VLOOKUP(C283,O.B.JUNE!$C$7:$K$448,7,0),0)</f>
        <v>0</v>
      </c>
      <c r="R283" s="80">
        <f>IFERROR(VLOOKUP(C283,O.B.JUNE!$C$7:$J$448,8,0),0)</f>
        <v>0</v>
      </c>
      <c r="S283" s="323">
        <f t="shared" si="82"/>
        <v>0</v>
      </c>
      <c r="T283" s="324">
        <v>0</v>
      </c>
      <c r="U283" s="324"/>
      <c r="V283" s="80"/>
      <c r="W283" s="324">
        <v>0</v>
      </c>
      <c r="X283" s="324"/>
      <c r="Y283" s="324">
        <v>0</v>
      </c>
      <c r="Z283" s="80">
        <v>0</v>
      </c>
      <c r="AA283" s="80">
        <f t="shared" si="83"/>
        <v>0</v>
      </c>
      <c r="AB283" s="323">
        <f t="shared" si="84"/>
        <v>0</v>
      </c>
      <c r="AC283" s="80">
        <f t="shared" si="89"/>
        <v>0</v>
      </c>
      <c r="AD283" s="80">
        <f t="shared" si="90"/>
        <v>0</v>
      </c>
      <c r="AE283" s="80"/>
      <c r="AF283" s="80"/>
      <c r="AG283" s="80"/>
      <c r="AH283" s="326">
        <f t="shared" si="85"/>
        <v>0</v>
      </c>
      <c r="AI283" s="326">
        <f t="shared" si="86"/>
        <v>0</v>
      </c>
      <c r="AJ283" s="326">
        <f t="shared" si="87"/>
        <v>0</v>
      </c>
      <c r="AK283" s="326">
        <f t="shared" si="88"/>
        <v>0</v>
      </c>
      <c r="AL283" s="326"/>
      <c r="AM283" s="326"/>
      <c r="AN283" s="326"/>
      <c r="AO283" s="326"/>
      <c r="AP283" s="326"/>
      <c r="AQ283" s="326"/>
      <c r="AR283" s="327">
        <f>VLOOKUP(C283,'[1]DA HET SAN XUAT'!$D$8:$AJ$419,33,0)</f>
        <v>0</v>
      </c>
      <c r="AS283" s="209"/>
      <c r="AT283" s="411"/>
      <c r="AU283" s="411"/>
    </row>
    <row r="284" spans="1:47" s="390" customFormat="1" ht="18.75" customHeight="1">
      <c r="A284" s="167">
        <v>275</v>
      </c>
      <c r="B284" s="79" t="str">
        <f>IFERROR(VLOOKUP(A284,O.B.JUNE!$A$7:$C$448,2,0),0)</f>
        <v>ANN TAYLOR</v>
      </c>
      <c r="C284" s="174">
        <f>IFERROR(VLOOKUP(A284,O.B.JUNE!$A$7:$C$448,3,0),0)</f>
        <v>462511</v>
      </c>
      <c r="D284" s="80">
        <f t="shared" si="79"/>
        <v>0</v>
      </c>
      <c r="E284" s="80">
        <f>IFERROR(VLOOKUP(C284,O.B.JUNE!$C$7:$D$448,2,0),0)</f>
        <v>14294</v>
      </c>
      <c r="F284" s="80">
        <f>VLOOKUP(C284,'CUTTING ON JUNE'!$A$4:$D$316,3,0)</f>
        <v>14294</v>
      </c>
      <c r="G284" s="80">
        <f>IFERROR(VLOOKUP(C284,O.B.JUNE!$C$7:$E$448,3,0),0)</f>
        <v>1052</v>
      </c>
      <c r="H284" s="80">
        <f t="shared" si="77"/>
        <v>0</v>
      </c>
      <c r="I284" s="80"/>
      <c r="J284" s="80">
        <f t="shared" si="80"/>
        <v>0</v>
      </c>
      <c r="K284" s="80">
        <v>0</v>
      </c>
      <c r="L284" s="80">
        <v>0</v>
      </c>
      <c r="M284" s="81">
        <f t="shared" si="81"/>
        <v>1052</v>
      </c>
      <c r="N284" s="81">
        <v>312</v>
      </c>
      <c r="O284" s="81">
        <v>434</v>
      </c>
      <c r="P284" s="81">
        <f t="shared" si="92"/>
        <v>306</v>
      </c>
      <c r="Q284" s="80">
        <f>IFERROR(VLOOKUP(C284,O.B.JUNE!$C$7:$K$448,7,0),0)</f>
        <v>0</v>
      </c>
      <c r="R284" s="80">
        <f>IFERROR(VLOOKUP(C284,O.B.JUNE!$C$7:$J$448,8,0),0)</f>
        <v>0</v>
      </c>
      <c r="S284" s="323">
        <f t="shared" si="82"/>
        <v>0</v>
      </c>
      <c r="T284" s="324">
        <v>0</v>
      </c>
      <c r="U284" s="324"/>
      <c r="V284" s="80"/>
      <c r="W284" s="324">
        <v>0</v>
      </c>
      <c r="X284" s="324"/>
      <c r="Y284" s="324">
        <v>0</v>
      </c>
      <c r="Z284" s="80">
        <v>0</v>
      </c>
      <c r="AA284" s="80">
        <f t="shared" si="83"/>
        <v>0</v>
      </c>
      <c r="AB284" s="323">
        <f t="shared" si="84"/>
        <v>0</v>
      </c>
      <c r="AC284" s="80">
        <f t="shared" si="89"/>
        <v>0</v>
      </c>
      <c r="AD284" s="80">
        <f t="shared" si="90"/>
        <v>0</v>
      </c>
      <c r="AE284" s="80"/>
      <c r="AF284" s="80"/>
      <c r="AG284" s="80"/>
      <c r="AH284" s="326">
        <f t="shared" si="85"/>
        <v>0</v>
      </c>
      <c r="AI284" s="326">
        <f t="shared" si="86"/>
        <v>0</v>
      </c>
      <c r="AJ284" s="326">
        <f t="shared" si="87"/>
        <v>0</v>
      </c>
      <c r="AK284" s="326">
        <f t="shared" si="88"/>
        <v>0</v>
      </c>
      <c r="AL284" s="326"/>
      <c r="AM284" s="326"/>
      <c r="AN284" s="326"/>
      <c r="AO284" s="326"/>
      <c r="AP284" s="326"/>
      <c r="AQ284" s="326"/>
      <c r="AR284" s="327"/>
      <c r="AS284" s="209"/>
      <c r="AT284" s="411"/>
      <c r="AU284" s="411"/>
    </row>
    <row r="285" spans="1:47" s="390" customFormat="1" ht="18.75" customHeight="1">
      <c r="A285" s="167">
        <v>276</v>
      </c>
      <c r="B285" s="79" t="str">
        <f>IFERROR(VLOOKUP(A285,O.B.JUNE!$A$7:$C$448,2,0),0)</f>
        <v>ANN TAYLOR</v>
      </c>
      <c r="C285" s="174">
        <f>IFERROR(VLOOKUP(A285,O.B.JUNE!$A$7:$C$448,3,0),0)</f>
        <v>462516</v>
      </c>
      <c r="D285" s="80">
        <f t="shared" si="79"/>
        <v>0</v>
      </c>
      <c r="E285" s="80">
        <f>IFERROR(VLOOKUP(C285,O.B.JUNE!$C$7:$D$448,2,0),0)</f>
        <v>33496</v>
      </c>
      <c r="F285" s="80">
        <f>VLOOKUP(C285,'CUTTING ON JUNE'!$A$4:$D$316,3,0)</f>
        <v>33496</v>
      </c>
      <c r="G285" s="80">
        <f>IFERROR(VLOOKUP(C285,O.B.JUNE!$C$7:$E$448,3,0),0)</f>
        <v>1058</v>
      </c>
      <c r="H285" s="80">
        <f t="shared" si="77"/>
        <v>0</v>
      </c>
      <c r="I285" s="80"/>
      <c r="J285" s="80">
        <f t="shared" si="80"/>
        <v>2</v>
      </c>
      <c r="K285" s="80">
        <v>0</v>
      </c>
      <c r="L285" s="80">
        <v>0</v>
      </c>
      <c r="M285" s="81">
        <f t="shared" si="81"/>
        <v>1056</v>
      </c>
      <c r="N285" s="81">
        <v>0</v>
      </c>
      <c r="O285" s="81">
        <v>415</v>
      </c>
      <c r="P285" s="81">
        <f t="shared" si="92"/>
        <v>641</v>
      </c>
      <c r="Q285" s="80">
        <f>IFERROR(VLOOKUP(C285,O.B.JUNE!$C$7:$K$448,7,0),0)</f>
        <v>0</v>
      </c>
      <c r="R285" s="80">
        <f>IFERROR(VLOOKUP(C285,O.B.JUNE!$C$7:$J$448,8,0),0)</f>
        <v>771</v>
      </c>
      <c r="S285" s="323">
        <f t="shared" si="82"/>
        <v>773</v>
      </c>
      <c r="T285" s="324">
        <v>2</v>
      </c>
      <c r="U285" s="324"/>
      <c r="V285" s="80"/>
      <c r="W285" s="324">
        <v>0</v>
      </c>
      <c r="X285" s="324"/>
      <c r="Y285" s="324">
        <v>2</v>
      </c>
      <c r="Z285" s="80">
        <v>0</v>
      </c>
      <c r="AA285" s="80">
        <f t="shared" si="83"/>
        <v>2</v>
      </c>
      <c r="AB285" s="323">
        <f t="shared" si="84"/>
        <v>0</v>
      </c>
      <c r="AC285" s="80">
        <f t="shared" si="89"/>
        <v>771</v>
      </c>
      <c r="AD285" s="80">
        <f t="shared" si="90"/>
        <v>771</v>
      </c>
      <c r="AE285" s="80"/>
      <c r="AF285" s="80"/>
      <c r="AG285" s="80"/>
      <c r="AH285" s="326">
        <f t="shared" si="85"/>
        <v>0</v>
      </c>
      <c r="AI285" s="326">
        <f t="shared" si="86"/>
        <v>0</v>
      </c>
      <c r="AJ285" s="326">
        <f t="shared" si="87"/>
        <v>0</v>
      </c>
      <c r="AK285" s="326">
        <f t="shared" si="88"/>
        <v>0</v>
      </c>
      <c r="AL285" s="326"/>
      <c r="AM285" s="326"/>
      <c r="AN285" s="326"/>
      <c r="AO285" s="326"/>
      <c r="AP285" s="326"/>
      <c r="AQ285" s="326"/>
      <c r="AR285" s="327"/>
      <c r="AS285" s="209"/>
      <c r="AT285" s="411"/>
      <c r="AU285" s="411"/>
    </row>
    <row r="286" spans="1:47" s="390" customFormat="1" ht="18.75" customHeight="1">
      <c r="A286" s="167">
        <v>277</v>
      </c>
      <c r="B286" s="79" t="str">
        <f>IFERROR(VLOOKUP(A286,O.B.JUNE!$A$7:$C$448,2,0),0)</f>
        <v>ANN TAYLOR</v>
      </c>
      <c r="C286" s="174">
        <f>IFERROR(VLOOKUP(A286,O.B.JUNE!$A$7:$C$448,3,0),0)</f>
        <v>464101</v>
      </c>
      <c r="D286" s="80">
        <f t="shared" si="79"/>
        <v>0</v>
      </c>
      <c r="E286" s="80">
        <f>IFERROR(VLOOKUP(C286,O.B.JUNE!$C$7:$D$448,2,0),0)</f>
        <v>14069</v>
      </c>
      <c r="F286" s="80">
        <f>VLOOKUP(C286,'CUTTING ON JUNE'!$A$4:$D$316,3,0)</f>
        <v>14069</v>
      </c>
      <c r="G286" s="80">
        <f>IFERROR(VLOOKUP(C286,O.B.JUNE!$C$7:$E$448,3,0),0)</f>
        <v>1167</v>
      </c>
      <c r="H286" s="80">
        <f t="shared" si="77"/>
        <v>0</v>
      </c>
      <c r="I286" s="80"/>
      <c r="J286" s="80">
        <f t="shared" si="80"/>
        <v>0</v>
      </c>
      <c r="K286" s="80">
        <v>0</v>
      </c>
      <c r="L286" s="80">
        <v>0</v>
      </c>
      <c r="M286" s="81">
        <f t="shared" si="81"/>
        <v>1167</v>
      </c>
      <c r="N286" s="81">
        <v>87</v>
      </c>
      <c r="O286" s="81">
        <v>320</v>
      </c>
      <c r="P286" s="81">
        <f t="shared" si="92"/>
        <v>760</v>
      </c>
      <c r="Q286" s="80">
        <f>IFERROR(VLOOKUP(C286,O.B.JUNE!$C$7:$K$448,7,0),0)</f>
        <v>0</v>
      </c>
      <c r="R286" s="80">
        <f>IFERROR(VLOOKUP(C286,O.B.JUNE!$C$7:$J$448,8,0),0)</f>
        <v>147</v>
      </c>
      <c r="S286" s="323">
        <f t="shared" si="82"/>
        <v>147</v>
      </c>
      <c r="T286" s="324">
        <v>0</v>
      </c>
      <c r="U286" s="324"/>
      <c r="V286" s="80"/>
      <c r="W286" s="324">
        <v>0</v>
      </c>
      <c r="X286" s="324"/>
      <c r="Y286" s="324">
        <v>0</v>
      </c>
      <c r="Z286" s="80">
        <v>0</v>
      </c>
      <c r="AA286" s="80">
        <f t="shared" si="83"/>
        <v>0</v>
      </c>
      <c r="AB286" s="323">
        <f t="shared" si="84"/>
        <v>0</v>
      </c>
      <c r="AC286" s="80">
        <f t="shared" si="89"/>
        <v>147</v>
      </c>
      <c r="AD286" s="80">
        <f t="shared" si="90"/>
        <v>147</v>
      </c>
      <c r="AE286" s="80"/>
      <c r="AF286" s="80"/>
      <c r="AG286" s="80"/>
      <c r="AH286" s="326">
        <f t="shared" si="85"/>
        <v>0</v>
      </c>
      <c r="AI286" s="326">
        <f t="shared" si="86"/>
        <v>0</v>
      </c>
      <c r="AJ286" s="326">
        <f t="shared" si="87"/>
        <v>0</v>
      </c>
      <c r="AK286" s="326">
        <f t="shared" si="88"/>
        <v>0</v>
      </c>
      <c r="AL286" s="326"/>
      <c r="AM286" s="326"/>
      <c r="AN286" s="326"/>
      <c r="AO286" s="326"/>
      <c r="AP286" s="326"/>
      <c r="AQ286" s="326"/>
      <c r="AR286" s="327"/>
      <c r="AS286" s="209"/>
      <c r="AT286" s="411"/>
      <c r="AU286" s="411"/>
    </row>
    <row r="287" spans="1:47" s="390" customFormat="1" ht="18.75" customHeight="1">
      <c r="A287" s="167">
        <v>278</v>
      </c>
      <c r="B287" s="79" t="str">
        <f>IFERROR(VLOOKUP(A287,O.B.JUNE!$A$7:$C$448,2,0),0)</f>
        <v>ANN TAYLOR</v>
      </c>
      <c r="C287" s="174">
        <f>IFERROR(VLOOKUP(A287,O.B.JUNE!$A$7:$C$448,3,0),0)</f>
        <v>469135</v>
      </c>
      <c r="D287" s="80">
        <f t="shared" si="79"/>
        <v>0</v>
      </c>
      <c r="E287" s="80">
        <f>IFERROR(VLOOKUP(C287,O.B.JUNE!$C$7:$D$448,2,0),0)</f>
        <v>4767</v>
      </c>
      <c r="F287" s="80">
        <f>VLOOKUP(C287,'CUTTING ON JUNE'!$A$4:$D$316,3,0)</f>
        <v>4767</v>
      </c>
      <c r="G287" s="80">
        <f>IFERROR(VLOOKUP(C287,O.B.JUNE!$C$7:$E$448,3,0),0)</f>
        <v>303</v>
      </c>
      <c r="H287" s="80">
        <f t="shared" si="77"/>
        <v>0</v>
      </c>
      <c r="I287" s="80"/>
      <c r="J287" s="80">
        <f t="shared" si="80"/>
        <v>0</v>
      </c>
      <c r="K287" s="80">
        <v>0</v>
      </c>
      <c r="L287" s="80">
        <v>0</v>
      </c>
      <c r="M287" s="81">
        <f t="shared" si="81"/>
        <v>303</v>
      </c>
      <c r="N287" s="81">
        <v>0</v>
      </c>
      <c r="O287" s="81">
        <v>189</v>
      </c>
      <c r="P287" s="81">
        <v>114</v>
      </c>
      <c r="Q287" s="80">
        <f>IFERROR(VLOOKUP(C287,O.B.JUNE!$C$7:$K$448,7,0),0)</f>
        <v>0</v>
      </c>
      <c r="R287" s="80">
        <f>IFERROR(VLOOKUP(C287,O.B.JUNE!$C$7:$J$448,8,0),0)</f>
        <v>0</v>
      </c>
      <c r="S287" s="323">
        <f t="shared" si="82"/>
        <v>0</v>
      </c>
      <c r="T287" s="324">
        <v>0</v>
      </c>
      <c r="U287" s="324"/>
      <c r="V287" s="80"/>
      <c r="W287" s="324">
        <v>0</v>
      </c>
      <c r="X287" s="324"/>
      <c r="Y287" s="324">
        <v>0</v>
      </c>
      <c r="Z287" s="80">
        <v>0</v>
      </c>
      <c r="AA287" s="80">
        <f t="shared" si="83"/>
        <v>0</v>
      </c>
      <c r="AB287" s="323">
        <f t="shared" si="84"/>
        <v>0</v>
      </c>
      <c r="AC287" s="80">
        <f t="shared" si="89"/>
        <v>0</v>
      </c>
      <c r="AD287" s="80">
        <f t="shared" si="90"/>
        <v>0</v>
      </c>
      <c r="AE287" s="80"/>
      <c r="AF287" s="80"/>
      <c r="AG287" s="80"/>
      <c r="AH287" s="326">
        <f t="shared" si="85"/>
        <v>0</v>
      </c>
      <c r="AI287" s="326">
        <f t="shared" si="86"/>
        <v>0</v>
      </c>
      <c r="AJ287" s="326">
        <f t="shared" si="87"/>
        <v>0</v>
      </c>
      <c r="AK287" s="326">
        <f t="shared" si="88"/>
        <v>0</v>
      </c>
      <c r="AL287" s="326"/>
      <c r="AM287" s="326"/>
      <c r="AN287" s="326"/>
      <c r="AO287" s="326"/>
      <c r="AP287" s="326"/>
      <c r="AQ287" s="326"/>
      <c r="AR287" s="327"/>
      <c r="AS287" s="209"/>
      <c r="AT287" s="411"/>
      <c r="AU287" s="411"/>
    </row>
    <row r="288" spans="1:47" s="390" customFormat="1" ht="18.75" customHeight="1">
      <c r="A288" s="167">
        <v>279</v>
      </c>
      <c r="B288" s="79" t="str">
        <f>IFERROR(VLOOKUP(A288,O.B.JUNE!$A$7:$C$448,2,0),0)</f>
        <v>ANN TAYLOR</v>
      </c>
      <c r="C288" s="174">
        <f>IFERROR(VLOOKUP(A288,O.B.JUNE!$A$7:$C$448,3,0),0)</f>
        <v>469615</v>
      </c>
      <c r="D288" s="80">
        <f t="shared" si="79"/>
        <v>0</v>
      </c>
      <c r="E288" s="80">
        <f>IFERROR(VLOOKUP(C288,O.B.JUNE!$C$7:$D$448,2,0),0)</f>
        <v>13917</v>
      </c>
      <c r="F288" s="80">
        <f>VLOOKUP(C288,'CUTTING ON JUNE'!$A$4:$D$316,3,0)</f>
        <v>13917</v>
      </c>
      <c r="G288" s="80">
        <f>IFERROR(VLOOKUP(C288,O.B.JUNE!$C$7:$E$448,3,0),0)</f>
        <v>497</v>
      </c>
      <c r="H288" s="80">
        <f t="shared" si="77"/>
        <v>0</v>
      </c>
      <c r="I288" s="80"/>
      <c r="J288" s="80">
        <f t="shared" si="80"/>
        <v>0</v>
      </c>
      <c r="K288" s="80">
        <v>0</v>
      </c>
      <c r="L288" s="80">
        <v>0</v>
      </c>
      <c r="M288" s="81">
        <f t="shared" si="81"/>
        <v>497</v>
      </c>
      <c r="N288" s="81">
        <v>0</v>
      </c>
      <c r="O288" s="81">
        <v>44</v>
      </c>
      <c r="P288" s="81">
        <v>453</v>
      </c>
      <c r="Q288" s="80">
        <f>IFERROR(VLOOKUP(C288,O.B.JUNE!$C$7:$K$448,7,0),0)</f>
        <v>0</v>
      </c>
      <c r="R288" s="80">
        <f>IFERROR(VLOOKUP(C288,O.B.JUNE!$C$7:$J$448,8,0),0)</f>
        <v>0</v>
      </c>
      <c r="S288" s="323">
        <f t="shared" si="82"/>
        <v>0</v>
      </c>
      <c r="T288" s="324">
        <v>0</v>
      </c>
      <c r="U288" s="324"/>
      <c r="V288" s="80"/>
      <c r="W288" s="324">
        <v>0</v>
      </c>
      <c r="X288" s="324"/>
      <c r="Y288" s="324">
        <v>0</v>
      </c>
      <c r="Z288" s="80">
        <v>0</v>
      </c>
      <c r="AA288" s="80">
        <f t="shared" si="83"/>
        <v>0</v>
      </c>
      <c r="AB288" s="323">
        <f t="shared" si="84"/>
        <v>0</v>
      </c>
      <c r="AC288" s="80">
        <f t="shared" si="89"/>
        <v>0</v>
      </c>
      <c r="AD288" s="80">
        <f t="shared" si="90"/>
        <v>0</v>
      </c>
      <c r="AE288" s="80"/>
      <c r="AF288" s="80"/>
      <c r="AG288" s="80"/>
      <c r="AH288" s="326">
        <f t="shared" si="85"/>
        <v>0</v>
      </c>
      <c r="AI288" s="326">
        <f t="shared" si="86"/>
        <v>0</v>
      </c>
      <c r="AJ288" s="326">
        <f t="shared" si="87"/>
        <v>0</v>
      </c>
      <c r="AK288" s="326">
        <f t="shared" si="88"/>
        <v>0</v>
      </c>
      <c r="AL288" s="326"/>
      <c r="AM288" s="326"/>
      <c r="AN288" s="326"/>
      <c r="AO288" s="326"/>
      <c r="AP288" s="326"/>
      <c r="AQ288" s="326"/>
      <c r="AR288" s="327"/>
      <c r="AS288" s="209"/>
      <c r="AT288" s="411"/>
      <c r="AU288" s="411"/>
    </row>
    <row r="289" spans="1:47" s="390" customFormat="1" ht="18.75" customHeight="1">
      <c r="A289" s="167">
        <v>280</v>
      </c>
      <c r="B289" s="79" t="str">
        <f>IFERROR(VLOOKUP(A289,O.B.JUNE!$A$7:$C$448,2,0),0)</f>
        <v>ANN TAYLOR</v>
      </c>
      <c r="C289" s="174">
        <f>IFERROR(VLOOKUP(A289,O.B.JUNE!$A$7:$C$448,3,0),0)</f>
        <v>471355</v>
      </c>
      <c r="D289" s="80">
        <f t="shared" si="79"/>
        <v>0</v>
      </c>
      <c r="E289" s="80">
        <f>IFERROR(VLOOKUP(C289,O.B.JUNE!$C$7:$D$448,2,0),0)</f>
        <v>11358</v>
      </c>
      <c r="F289" s="80">
        <f>VLOOKUP(C289,'CUTTING ON JUNE'!$A$4:$D$316,3,0)</f>
        <v>11358</v>
      </c>
      <c r="G289" s="80">
        <f>IFERROR(VLOOKUP(C289,O.B.JUNE!$C$7:$E$448,3,0),0)</f>
        <v>340</v>
      </c>
      <c r="H289" s="80">
        <f t="shared" si="77"/>
        <v>0</v>
      </c>
      <c r="I289" s="80"/>
      <c r="J289" s="80">
        <f t="shared" si="80"/>
        <v>0</v>
      </c>
      <c r="K289" s="80">
        <v>0</v>
      </c>
      <c r="L289" s="80">
        <v>0</v>
      </c>
      <c r="M289" s="81">
        <f t="shared" si="81"/>
        <v>340</v>
      </c>
      <c r="N289" s="81">
        <v>0</v>
      </c>
      <c r="O289" s="81">
        <v>0</v>
      </c>
      <c r="P289" s="81">
        <f t="shared" si="92"/>
        <v>340</v>
      </c>
      <c r="Q289" s="80">
        <f>IFERROR(VLOOKUP(C289,O.B.JUNE!$C$7:$K$448,7,0),0)</f>
        <v>0</v>
      </c>
      <c r="R289" s="80">
        <f>IFERROR(VLOOKUP(C289,O.B.JUNE!$C$7:$J$448,8,0),0)</f>
        <v>0</v>
      </c>
      <c r="S289" s="323">
        <f t="shared" si="82"/>
        <v>0</v>
      </c>
      <c r="T289" s="324">
        <v>0</v>
      </c>
      <c r="U289" s="324"/>
      <c r="V289" s="80"/>
      <c r="W289" s="324">
        <v>0</v>
      </c>
      <c r="X289" s="324"/>
      <c r="Y289" s="324">
        <v>0</v>
      </c>
      <c r="Z289" s="80">
        <v>0</v>
      </c>
      <c r="AA289" s="80">
        <f t="shared" si="83"/>
        <v>0</v>
      </c>
      <c r="AB289" s="323">
        <f t="shared" si="84"/>
        <v>0</v>
      </c>
      <c r="AC289" s="80">
        <f t="shared" si="89"/>
        <v>0</v>
      </c>
      <c r="AD289" s="80">
        <f t="shared" si="90"/>
        <v>0</v>
      </c>
      <c r="AE289" s="80"/>
      <c r="AF289" s="80"/>
      <c r="AG289" s="80"/>
      <c r="AH289" s="326">
        <f t="shared" si="85"/>
        <v>0</v>
      </c>
      <c r="AI289" s="326">
        <f t="shared" si="86"/>
        <v>0</v>
      </c>
      <c r="AJ289" s="326">
        <f t="shared" si="87"/>
        <v>0</v>
      </c>
      <c r="AK289" s="326">
        <f t="shared" si="88"/>
        <v>0</v>
      </c>
      <c r="AL289" s="326"/>
      <c r="AM289" s="326"/>
      <c r="AN289" s="326"/>
      <c r="AO289" s="326"/>
      <c r="AP289" s="326"/>
      <c r="AQ289" s="326"/>
      <c r="AR289" s="327"/>
      <c r="AS289" s="209"/>
      <c r="AT289" s="411"/>
      <c r="AU289" s="411"/>
    </row>
    <row r="290" spans="1:47" s="390" customFormat="1" ht="18.75" customHeight="1">
      <c r="A290" s="167">
        <v>283</v>
      </c>
      <c r="B290" s="79" t="str">
        <f>IFERROR(VLOOKUP(A290,O.B.JUNE!$A$7:$C$448,2,0),0)</f>
        <v>ALFANI</v>
      </c>
      <c r="C290" s="174">
        <f>IFERROR(VLOOKUP(A290,O.B.JUNE!$A$7:$C$448,3,0),0)</f>
        <v>100014860</v>
      </c>
      <c r="D290" s="80">
        <f t="shared" si="79"/>
        <v>0</v>
      </c>
      <c r="E290" s="80">
        <f>IFERROR(VLOOKUP(C290,O.B.JUNE!$C$7:$D$448,2,0),0)</f>
        <v>2024</v>
      </c>
      <c r="F290" s="80">
        <f>VLOOKUP(C290,'CUTTING ON JUNE'!$A$4:$D$316,3,0)</f>
        <v>2024</v>
      </c>
      <c r="G290" s="80">
        <f>IFERROR(VLOOKUP(C290,O.B.JUNE!$C$7:$E$448,3,0),0)</f>
        <v>21</v>
      </c>
      <c r="H290" s="80">
        <f t="shared" si="77"/>
        <v>0</v>
      </c>
      <c r="I290" s="80"/>
      <c r="J290" s="80">
        <f t="shared" si="80"/>
        <v>0</v>
      </c>
      <c r="K290" s="80">
        <v>0</v>
      </c>
      <c r="L290" s="80">
        <v>0</v>
      </c>
      <c r="M290" s="81">
        <f t="shared" si="81"/>
        <v>21</v>
      </c>
      <c r="N290" s="81">
        <v>0</v>
      </c>
      <c r="O290" s="81">
        <v>0</v>
      </c>
      <c r="P290" s="81">
        <f t="shared" ref="P290:P332" si="93">+M290-N290-O290</f>
        <v>21</v>
      </c>
      <c r="Q290" s="80">
        <f>IFERROR(VLOOKUP(C290,O.B.JUNE!$C$7:$K$448,7,0),0)</f>
        <v>0</v>
      </c>
      <c r="R290" s="80">
        <f>IFERROR(VLOOKUP(C290,O.B.JUNE!$C$7:$J$448,8,0),0)</f>
        <v>0</v>
      </c>
      <c r="S290" s="323">
        <f t="shared" si="82"/>
        <v>0</v>
      </c>
      <c r="T290" s="324">
        <v>0</v>
      </c>
      <c r="U290" s="324"/>
      <c r="V290" s="80"/>
      <c r="W290" s="324">
        <v>0</v>
      </c>
      <c r="X290" s="324"/>
      <c r="Y290" s="324">
        <v>0</v>
      </c>
      <c r="Z290" s="80">
        <v>0</v>
      </c>
      <c r="AA290" s="80">
        <f t="shared" si="83"/>
        <v>0</v>
      </c>
      <c r="AB290" s="323">
        <f t="shared" si="84"/>
        <v>0</v>
      </c>
      <c r="AC290" s="80">
        <f t="shared" si="89"/>
        <v>0</v>
      </c>
      <c r="AD290" s="80">
        <f t="shared" si="90"/>
        <v>0</v>
      </c>
      <c r="AE290" s="80"/>
      <c r="AF290" s="80"/>
      <c r="AG290" s="80"/>
      <c r="AH290" s="326">
        <f t="shared" si="85"/>
        <v>0</v>
      </c>
      <c r="AI290" s="326">
        <f t="shared" si="86"/>
        <v>0</v>
      </c>
      <c r="AJ290" s="326">
        <f t="shared" si="87"/>
        <v>0</v>
      </c>
      <c r="AK290" s="326">
        <f t="shared" si="88"/>
        <v>0</v>
      </c>
      <c r="AL290" s="326"/>
      <c r="AM290" s="326"/>
      <c r="AN290" s="326"/>
      <c r="AO290" s="326"/>
      <c r="AP290" s="326"/>
      <c r="AQ290" s="326"/>
      <c r="AR290" s="327"/>
      <c r="AS290" s="209"/>
      <c r="AT290" s="411"/>
      <c r="AU290" s="411"/>
    </row>
    <row r="291" spans="1:47" s="390" customFormat="1" ht="18.75" customHeight="1">
      <c r="A291" s="167">
        <v>284</v>
      </c>
      <c r="B291" s="79" t="str">
        <f>IFERROR(VLOOKUP(A291,O.B.JUNE!$A$7:$C$448,2,0),0)</f>
        <v>ALFANI</v>
      </c>
      <c r="C291" s="174">
        <f>IFERROR(VLOOKUP(A291,O.B.JUNE!$A$7:$C$448,3,0),0)</f>
        <v>100014861</v>
      </c>
      <c r="D291" s="80">
        <f t="shared" si="79"/>
        <v>0</v>
      </c>
      <c r="E291" s="80">
        <f>IFERROR(VLOOKUP(C291,O.B.JUNE!$C$7:$D$448,2,0),0)</f>
        <v>3242</v>
      </c>
      <c r="F291" s="80">
        <f>VLOOKUP(C291,'CUTTING ON JUNE'!$A$4:$D$316,3,0)</f>
        <v>3242</v>
      </c>
      <c r="G291" s="80">
        <f>IFERROR(VLOOKUP(C291,O.B.JUNE!$C$7:$E$448,3,0),0)</f>
        <v>6</v>
      </c>
      <c r="H291" s="80">
        <f t="shared" si="77"/>
        <v>0</v>
      </c>
      <c r="I291" s="80"/>
      <c r="J291" s="80">
        <f t="shared" si="80"/>
        <v>0</v>
      </c>
      <c r="K291" s="80">
        <v>0</v>
      </c>
      <c r="L291" s="80">
        <v>0</v>
      </c>
      <c r="M291" s="81">
        <f t="shared" si="81"/>
        <v>6</v>
      </c>
      <c r="N291" s="81">
        <v>0</v>
      </c>
      <c r="O291" s="81">
        <v>0</v>
      </c>
      <c r="P291" s="81">
        <f t="shared" si="93"/>
        <v>6</v>
      </c>
      <c r="Q291" s="80">
        <f>IFERROR(VLOOKUP(C291,O.B.JUNE!$C$7:$K$448,7,0),0)</f>
        <v>0</v>
      </c>
      <c r="R291" s="80">
        <f>IFERROR(VLOOKUP(C291,O.B.JUNE!$C$7:$J$448,8,0),0)</f>
        <v>0</v>
      </c>
      <c r="S291" s="323">
        <f t="shared" si="82"/>
        <v>0</v>
      </c>
      <c r="T291" s="324">
        <v>0</v>
      </c>
      <c r="U291" s="324"/>
      <c r="V291" s="80"/>
      <c r="W291" s="324">
        <v>0</v>
      </c>
      <c r="X291" s="324"/>
      <c r="Y291" s="324">
        <v>0</v>
      </c>
      <c r="Z291" s="80">
        <v>0</v>
      </c>
      <c r="AA291" s="80">
        <f t="shared" si="83"/>
        <v>0</v>
      </c>
      <c r="AB291" s="323">
        <f t="shared" si="84"/>
        <v>0</v>
      </c>
      <c r="AC291" s="80">
        <f t="shared" si="89"/>
        <v>0</v>
      </c>
      <c r="AD291" s="80">
        <f t="shared" si="90"/>
        <v>0</v>
      </c>
      <c r="AE291" s="80"/>
      <c r="AF291" s="80"/>
      <c r="AG291" s="80"/>
      <c r="AH291" s="326">
        <f t="shared" si="85"/>
        <v>0</v>
      </c>
      <c r="AI291" s="326">
        <f t="shared" si="86"/>
        <v>0</v>
      </c>
      <c r="AJ291" s="326">
        <f t="shared" si="87"/>
        <v>0</v>
      </c>
      <c r="AK291" s="326">
        <f t="shared" si="88"/>
        <v>0</v>
      </c>
      <c r="AL291" s="326"/>
      <c r="AM291" s="326"/>
      <c r="AN291" s="326"/>
      <c r="AO291" s="326"/>
      <c r="AP291" s="326"/>
      <c r="AQ291" s="326"/>
      <c r="AR291" s="327"/>
      <c r="AS291" s="209"/>
      <c r="AT291" s="411"/>
      <c r="AU291" s="411"/>
    </row>
    <row r="292" spans="1:47" s="390" customFormat="1" ht="18.75" customHeight="1">
      <c r="A292" s="167">
        <v>285</v>
      </c>
      <c r="B292" s="79" t="str">
        <f>IFERROR(VLOOKUP(A292,O.B.JUNE!$A$7:$C$448,2,0),0)</f>
        <v>ALFANI</v>
      </c>
      <c r="C292" s="174">
        <f>IFERROR(VLOOKUP(A292,O.B.JUNE!$A$7:$C$448,3,0),0)</f>
        <v>100014862</v>
      </c>
      <c r="D292" s="80">
        <f t="shared" si="79"/>
        <v>0</v>
      </c>
      <c r="E292" s="80">
        <f>IFERROR(VLOOKUP(C292,O.B.JUNE!$C$7:$D$448,2,0),0)</f>
        <v>4822</v>
      </c>
      <c r="F292" s="80">
        <f>VLOOKUP(C292,'CUTTING ON JUNE'!$A$4:$D$316,3,0)</f>
        <v>4822</v>
      </c>
      <c r="G292" s="80">
        <f>IFERROR(VLOOKUP(C292,O.B.JUNE!$C$7:$E$448,3,0),0)</f>
        <v>54</v>
      </c>
      <c r="H292" s="80">
        <f t="shared" si="77"/>
        <v>0</v>
      </c>
      <c r="I292" s="80"/>
      <c r="J292" s="80">
        <f t="shared" si="80"/>
        <v>0</v>
      </c>
      <c r="K292" s="80">
        <v>0</v>
      </c>
      <c r="L292" s="80">
        <v>0</v>
      </c>
      <c r="M292" s="81">
        <f t="shared" si="81"/>
        <v>54</v>
      </c>
      <c r="N292" s="81">
        <v>0</v>
      </c>
      <c r="O292" s="81">
        <v>0</v>
      </c>
      <c r="P292" s="81">
        <f t="shared" si="93"/>
        <v>54</v>
      </c>
      <c r="Q292" s="80">
        <f>IFERROR(VLOOKUP(C292,O.B.JUNE!$C$7:$K$448,7,0),0)</f>
        <v>0</v>
      </c>
      <c r="R292" s="80">
        <f>IFERROR(VLOOKUP(C292,O.B.JUNE!$C$7:$J$448,8,0),0)</f>
        <v>0</v>
      </c>
      <c r="S292" s="323">
        <f t="shared" si="82"/>
        <v>0</v>
      </c>
      <c r="T292" s="324">
        <v>0</v>
      </c>
      <c r="U292" s="324"/>
      <c r="V292" s="80"/>
      <c r="W292" s="324">
        <v>0</v>
      </c>
      <c r="X292" s="324"/>
      <c r="Y292" s="324">
        <v>0</v>
      </c>
      <c r="Z292" s="80">
        <v>0</v>
      </c>
      <c r="AA292" s="80">
        <f t="shared" si="83"/>
        <v>0</v>
      </c>
      <c r="AB292" s="323">
        <f t="shared" si="84"/>
        <v>0</v>
      </c>
      <c r="AC292" s="80">
        <f t="shared" si="89"/>
        <v>0</v>
      </c>
      <c r="AD292" s="80">
        <f t="shared" si="90"/>
        <v>0</v>
      </c>
      <c r="AE292" s="80"/>
      <c r="AF292" s="80"/>
      <c r="AG292" s="80"/>
      <c r="AH292" s="326">
        <f t="shared" si="85"/>
        <v>0</v>
      </c>
      <c r="AI292" s="326">
        <f t="shared" si="86"/>
        <v>0</v>
      </c>
      <c r="AJ292" s="326">
        <f t="shared" si="87"/>
        <v>0</v>
      </c>
      <c r="AK292" s="326">
        <f t="shared" si="88"/>
        <v>0</v>
      </c>
      <c r="AL292" s="326"/>
      <c r="AM292" s="326"/>
      <c r="AN292" s="326"/>
      <c r="AO292" s="326"/>
      <c r="AP292" s="326"/>
      <c r="AQ292" s="326"/>
      <c r="AR292" s="327">
        <f>VLOOKUP(C292,'[1]DA HET SAN XUAT'!$D$8:$AJ$419,33,0)</f>
        <v>0</v>
      </c>
      <c r="AS292" s="209"/>
      <c r="AT292" s="411"/>
      <c r="AU292" s="411"/>
    </row>
    <row r="293" spans="1:47" s="390" customFormat="1" ht="18.75" customHeight="1">
      <c r="A293" s="167">
        <v>286</v>
      </c>
      <c r="B293" s="79" t="str">
        <f>IFERROR(VLOOKUP(A293,O.B.JUNE!$A$7:$C$448,2,0),0)</f>
        <v>ALFANI</v>
      </c>
      <c r="C293" s="174">
        <f>IFERROR(VLOOKUP(A293,O.B.JUNE!$A$7:$C$448,3,0),0)</f>
        <v>100014863</v>
      </c>
      <c r="D293" s="80">
        <f t="shared" si="79"/>
        <v>0</v>
      </c>
      <c r="E293" s="80">
        <f>IFERROR(VLOOKUP(C293,O.B.JUNE!$C$7:$D$448,2,0),0)</f>
        <v>9776</v>
      </c>
      <c r="F293" s="80">
        <f>VLOOKUP(C293,'CUTTING ON JUNE'!$A$4:$D$316,3,0)</f>
        <v>9776</v>
      </c>
      <c r="G293" s="80">
        <f>IFERROR(VLOOKUP(C293,O.B.JUNE!$C$7:$E$448,3,0),0)</f>
        <v>1656</v>
      </c>
      <c r="H293" s="80">
        <f t="shared" si="77"/>
        <v>0</v>
      </c>
      <c r="I293" s="80"/>
      <c r="J293" s="80">
        <f t="shared" si="80"/>
        <v>0</v>
      </c>
      <c r="K293" s="80">
        <v>0</v>
      </c>
      <c r="L293" s="80">
        <v>0</v>
      </c>
      <c r="M293" s="81">
        <f t="shared" si="81"/>
        <v>1656</v>
      </c>
      <c r="N293" s="81">
        <v>0</v>
      </c>
      <c r="O293" s="81">
        <v>360</v>
      </c>
      <c r="P293" s="81">
        <v>1296</v>
      </c>
      <c r="Q293" s="80">
        <f>IFERROR(VLOOKUP(C293,O.B.JUNE!$C$7:$K$448,7,0),0)</f>
        <v>0</v>
      </c>
      <c r="R293" s="80">
        <f>IFERROR(VLOOKUP(C293,O.B.JUNE!$C$7:$J$448,8,0),0)</f>
        <v>0</v>
      </c>
      <c r="S293" s="323">
        <f t="shared" si="82"/>
        <v>0</v>
      </c>
      <c r="T293" s="324">
        <v>0</v>
      </c>
      <c r="U293" s="324"/>
      <c r="V293" s="80"/>
      <c r="W293" s="324">
        <v>0</v>
      </c>
      <c r="X293" s="324"/>
      <c r="Y293" s="324">
        <v>0</v>
      </c>
      <c r="Z293" s="80">
        <v>0</v>
      </c>
      <c r="AA293" s="80">
        <f t="shared" si="83"/>
        <v>0</v>
      </c>
      <c r="AB293" s="323">
        <f t="shared" si="84"/>
        <v>0</v>
      </c>
      <c r="AC293" s="80">
        <f t="shared" si="89"/>
        <v>0</v>
      </c>
      <c r="AD293" s="80">
        <f t="shared" si="90"/>
        <v>0</v>
      </c>
      <c r="AE293" s="80"/>
      <c r="AF293" s="80"/>
      <c r="AG293" s="80"/>
      <c r="AH293" s="326">
        <f t="shared" si="85"/>
        <v>0</v>
      </c>
      <c r="AI293" s="326">
        <f t="shared" si="86"/>
        <v>0</v>
      </c>
      <c r="AJ293" s="326">
        <f t="shared" si="87"/>
        <v>0</v>
      </c>
      <c r="AK293" s="326">
        <f t="shared" si="88"/>
        <v>0</v>
      </c>
      <c r="AL293" s="326"/>
      <c r="AM293" s="326"/>
      <c r="AN293" s="326"/>
      <c r="AO293" s="326"/>
      <c r="AP293" s="326"/>
      <c r="AQ293" s="326"/>
      <c r="AR293" s="327"/>
      <c r="AS293" s="209"/>
      <c r="AT293" s="411"/>
      <c r="AU293" s="411"/>
    </row>
    <row r="294" spans="1:47" s="390" customFormat="1" ht="18.75" customHeight="1">
      <c r="A294" s="167">
        <v>287</v>
      </c>
      <c r="B294" s="79" t="str">
        <f>IFERROR(VLOOKUP(A294,O.B.JUNE!$A$7:$C$448,2,0),0)</f>
        <v>ALFANI</v>
      </c>
      <c r="C294" s="174">
        <f>IFERROR(VLOOKUP(A294,O.B.JUNE!$A$7:$C$448,3,0),0)</f>
        <v>100014864</v>
      </c>
      <c r="D294" s="80">
        <f t="shared" si="79"/>
        <v>0</v>
      </c>
      <c r="E294" s="80">
        <f>IFERROR(VLOOKUP(C294,O.B.JUNE!$C$7:$D$448,2,0),0)</f>
        <v>6671</v>
      </c>
      <c r="F294" s="80">
        <f>VLOOKUP(C294,'CUTTING ON JUNE'!$A$4:$D$316,3,0)</f>
        <v>6671</v>
      </c>
      <c r="G294" s="80">
        <f>IFERROR(VLOOKUP(C294,O.B.JUNE!$C$7:$E$448,3,0),0)</f>
        <v>44</v>
      </c>
      <c r="H294" s="80">
        <f t="shared" si="77"/>
        <v>0</v>
      </c>
      <c r="I294" s="80"/>
      <c r="J294" s="80">
        <f t="shared" si="80"/>
        <v>0</v>
      </c>
      <c r="K294" s="80">
        <v>0</v>
      </c>
      <c r="L294" s="80">
        <v>0</v>
      </c>
      <c r="M294" s="81">
        <f t="shared" si="81"/>
        <v>44</v>
      </c>
      <c r="N294" s="81">
        <v>0</v>
      </c>
      <c r="O294" s="81">
        <v>0</v>
      </c>
      <c r="P294" s="81">
        <v>44</v>
      </c>
      <c r="Q294" s="80">
        <f>IFERROR(VLOOKUP(C294,O.B.JUNE!$C$7:$K$448,7,0),0)</f>
        <v>0</v>
      </c>
      <c r="R294" s="80">
        <f>IFERROR(VLOOKUP(C294,O.B.JUNE!$C$7:$J$448,8,0),0)</f>
        <v>0</v>
      </c>
      <c r="S294" s="323">
        <f t="shared" si="82"/>
        <v>0</v>
      </c>
      <c r="T294" s="324">
        <v>0</v>
      </c>
      <c r="U294" s="324"/>
      <c r="V294" s="80"/>
      <c r="W294" s="324">
        <v>0</v>
      </c>
      <c r="X294" s="324"/>
      <c r="Y294" s="324">
        <v>0</v>
      </c>
      <c r="Z294" s="80">
        <v>0</v>
      </c>
      <c r="AA294" s="80">
        <f t="shared" si="83"/>
        <v>0</v>
      </c>
      <c r="AB294" s="323">
        <f t="shared" si="84"/>
        <v>0</v>
      </c>
      <c r="AC294" s="80">
        <f t="shared" si="89"/>
        <v>0</v>
      </c>
      <c r="AD294" s="80">
        <f t="shared" si="90"/>
        <v>0</v>
      </c>
      <c r="AE294" s="80"/>
      <c r="AF294" s="80"/>
      <c r="AG294" s="80"/>
      <c r="AH294" s="326">
        <f t="shared" si="85"/>
        <v>0</v>
      </c>
      <c r="AI294" s="326">
        <f t="shared" si="86"/>
        <v>0</v>
      </c>
      <c r="AJ294" s="326">
        <f t="shared" si="87"/>
        <v>0</v>
      </c>
      <c r="AK294" s="326">
        <f t="shared" si="88"/>
        <v>0</v>
      </c>
      <c r="AL294" s="326"/>
      <c r="AM294" s="326"/>
      <c r="AN294" s="326"/>
      <c r="AO294" s="326"/>
      <c r="AP294" s="326"/>
      <c r="AQ294" s="326"/>
      <c r="AR294" s="327">
        <f>VLOOKUP(C294,'[1]DA HET SAN XUAT'!$D$8:$AJ$419,33,0)</f>
        <v>0</v>
      </c>
      <c r="AS294" s="209"/>
      <c r="AT294" s="411"/>
      <c r="AU294" s="411"/>
    </row>
    <row r="295" spans="1:47" s="390" customFormat="1" ht="18.75" customHeight="1">
      <c r="A295" s="167">
        <v>288</v>
      </c>
      <c r="B295" s="79" t="str">
        <f>IFERROR(VLOOKUP(A295,O.B.JUNE!$A$7:$C$448,2,0),0)</f>
        <v>ALFANI</v>
      </c>
      <c r="C295" s="174">
        <f>IFERROR(VLOOKUP(A295,O.B.JUNE!$A$7:$C$448,3,0),0)</f>
        <v>100014869</v>
      </c>
      <c r="D295" s="80">
        <f t="shared" si="79"/>
        <v>0</v>
      </c>
      <c r="E295" s="80">
        <f>IFERROR(VLOOKUP(C295,O.B.JUNE!$C$7:$D$448,2,0),0)</f>
        <v>2665</v>
      </c>
      <c r="F295" s="80">
        <f>VLOOKUP(C295,'CUTTING ON JUNE'!$A$4:$D$316,3,0)</f>
        <v>2665</v>
      </c>
      <c r="G295" s="80">
        <f>IFERROR(VLOOKUP(C295,O.B.JUNE!$C$7:$E$448,3,0),0)</f>
        <v>42</v>
      </c>
      <c r="H295" s="80">
        <f t="shared" si="77"/>
        <v>0</v>
      </c>
      <c r="I295" s="80"/>
      <c r="J295" s="80">
        <f t="shared" si="80"/>
        <v>0</v>
      </c>
      <c r="K295" s="80">
        <v>0</v>
      </c>
      <c r="L295" s="80">
        <v>0</v>
      </c>
      <c r="M295" s="81">
        <f t="shared" si="81"/>
        <v>42</v>
      </c>
      <c r="N295" s="81">
        <v>0</v>
      </c>
      <c r="O295" s="81">
        <v>24</v>
      </c>
      <c r="P295" s="81">
        <v>18</v>
      </c>
      <c r="Q295" s="80">
        <f>IFERROR(VLOOKUP(C295,O.B.JUNE!$C$7:$K$448,7,0),0)</f>
        <v>0</v>
      </c>
      <c r="R295" s="80">
        <f>IFERROR(VLOOKUP(C295,O.B.JUNE!$C$7:$J$448,8,0),0)</f>
        <v>0</v>
      </c>
      <c r="S295" s="323">
        <f t="shared" si="82"/>
        <v>0</v>
      </c>
      <c r="T295" s="324">
        <v>0</v>
      </c>
      <c r="U295" s="324"/>
      <c r="V295" s="80"/>
      <c r="W295" s="324">
        <v>0</v>
      </c>
      <c r="X295" s="324"/>
      <c r="Y295" s="324">
        <v>0</v>
      </c>
      <c r="Z295" s="80">
        <v>0</v>
      </c>
      <c r="AA295" s="80">
        <f t="shared" si="83"/>
        <v>0</v>
      </c>
      <c r="AB295" s="323">
        <f t="shared" si="84"/>
        <v>0</v>
      </c>
      <c r="AC295" s="80">
        <f t="shared" si="89"/>
        <v>0</v>
      </c>
      <c r="AD295" s="80">
        <f t="shared" si="90"/>
        <v>0</v>
      </c>
      <c r="AE295" s="80"/>
      <c r="AF295" s="80"/>
      <c r="AG295" s="80"/>
      <c r="AH295" s="326">
        <f t="shared" si="85"/>
        <v>0</v>
      </c>
      <c r="AI295" s="326">
        <f t="shared" si="86"/>
        <v>0</v>
      </c>
      <c r="AJ295" s="326">
        <f t="shared" si="87"/>
        <v>0</v>
      </c>
      <c r="AK295" s="326">
        <f t="shared" si="88"/>
        <v>0</v>
      </c>
      <c r="AL295" s="326"/>
      <c r="AM295" s="326"/>
      <c r="AN295" s="326"/>
      <c r="AO295" s="326"/>
      <c r="AP295" s="326"/>
      <c r="AQ295" s="326"/>
      <c r="AR295" s="327"/>
      <c r="AS295" s="209"/>
      <c r="AT295" s="411"/>
      <c r="AU295" s="411"/>
    </row>
    <row r="296" spans="1:47" s="390" customFormat="1" ht="18.75" customHeight="1">
      <c r="A296" s="167">
        <v>289</v>
      </c>
      <c r="B296" s="79" t="str">
        <f>IFERROR(VLOOKUP(A296,O.B.JUNE!$A$7:$C$448,2,0),0)</f>
        <v>ALFANI</v>
      </c>
      <c r="C296" s="174">
        <f>IFERROR(VLOOKUP(A296,O.B.JUNE!$A$7:$C$448,3,0),0)</f>
        <v>100015148</v>
      </c>
      <c r="D296" s="80">
        <f t="shared" si="79"/>
        <v>0</v>
      </c>
      <c r="E296" s="80">
        <f>IFERROR(VLOOKUP(C296,O.B.JUNE!$C$7:$D$448,2,0),0)</f>
        <v>6006</v>
      </c>
      <c r="F296" s="80">
        <f>VLOOKUP(C296,'CUTTING ON JUNE'!$A$4:$D$316,3,0)</f>
        <v>6006</v>
      </c>
      <c r="G296" s="80">
        <f>IFERROR(VLOOKUP(C296,O.B.JUNE!$C$7:$E$448,3,0),0)</f>
        <v>53</v>
      </c>
      <c r="H296" s="80">
        <f t="shared" si="77"/>
        <v>0</v>
      </c>
      <c r="I296" s="80"/>
      <c r="J296" s="80">
        <f t="shared" si="80"/>
        <v>0</v>
      </c>
      <c r="K296" s="80">
        <v>0</v>
      </c>
      <c r="L296" s="80">
        <v>0</v>
      </c>
      <c r="M296" s="81">
        <f t="shared" si="81"/>
        <v>53</v>
      </c>
      <c r="N296" s="81">
        <v>0</v>
      </c>
      <c r="O296" s="81">
        <v>0</v>
      </c>
      <c r="P296" s="81">
        <f t="shared" si="93"/>
        <v>53</v>
      </c>
      <c r="Q296" s="80">
        <f>IFERROR(VLOOKUP(C296,O.B.JUNE!$C$7:$K$448,7,0),0)</f>
        <v>0</v>
      </c>
      <c r="R296" s="80">
        <f>IFERROR(VLOOKUP(C296,O.B.JUNE!$C$7:$J$448,8,0),0)</f>
        <v>0</v>
      </c>
      <c r="S296" s="323">
        <f t="shared" si="82"/>
        <v>0</v>
      </c>
      <c r="T296" s="324">
        <v>0</v>
      </c>
      <c r="U296" s="324"/>
      <c r="V296" s="80"/>
      <c r="W296" s="324">
        <v>0</v>
      </c>
      <c r="X296" s="324"/>
      <c r="Y296" s="324">
        <v>0</v>
      </c>
      <c r="Z296" s="80">
        <v>0</v>
      </c>
      <c r="AA296" s="80">
        <f t="shared" si="83"/>
        <v>0</v>
      </c>
      <c r="AB296" s="323">
        <f t="shared" si="84"/>
        <v>0</v>
      </c>
      <c r="AC296" s="80">
        <f t="shared" si="89"/>
        <v>0</v>
      </c>
      <c r="AD296" s="80">
        <f t="shared" si="90"/>
        <v>0</v>
      </c>
      <c r="AE296" s="80"/>
      <c r="AF296" s="80"/>
      <c r="AG296" s="80"/>
      <c r="AH296" s="326">
        <f t="shared" si="85"/>
        <v>0</v>
      </c>
      <c r="AI296" s="326">
        <f t="shared" si="86"/>
        <v>0</v>
      </c>
      <c r="AJ296" s="326">
        <f t="shared" si="87"/>
        <v>0</v>
      </c>
      <c r="AK296" s="326">
        <f t="shared" si="88"/>
        <v>0</v>
      </c>
      <c r="AL296" s="326"/>
      <c r="AM296" s="326"/>
      <c r="AN296" s="326"/>
      <c r="AO296" s="326"/>
      <c r="AP296" s="326"/>
      <c r="AQ296" s="326"/>
      <c r="AR296" s="327">
        <f>VLOOKUP(C296,'[1]DA HET SAN XUAT'!$D$8:$AJ$419,33,0)</f>
        <v>0</v>
      </c>
      <c r="AS296" s="209"/>
      <c r="AT296" s="411"/>
      <c r="AU296" s="411"/>
    </row>
    <row r="297" spans="1:47" s="390" customFormat="1" ht="18.75" customHeight="1">
      <c r="A297" s="167">
        <v>290</v>
      </c>
      <c r="B297" s="79" t="str">
        <f>IFERROR(VLOOKUP(A297,O.B.JUNE!$A$7:$C$448,2,0),0)</f>
        <v>ALFANI</v>
      </c>
      <c r="C297" s="174">
        <f>IFERROR(VLOOKUP(A297,O.B.JUNE!$A$7:$C$448,3,0),0)</f>
        <v>100015173</v>
      </c>
      <c r="D297" s="80">
        <f t="shared" si="79"/>
        <v>0</v>
      </c>
      <c r="E297" s="80">
        <f>IFERROR(VLOOKUP(C297,O.B.JUNE!$C$7:$D$448,2,0),0)</f>
        <v>1988</v>
      </c>
      <c r="F297" s="80">
        <f>VLOOKUP(C297,'CUTTING ON JUNE'!$A$4:$D$316,3,0)</f>
        <v>1988</v>
      </c>
      <c r="G297" s="80">
        <f>IFERROR(VLOOKUP(C297,O.B.JUNE!$C$7:$E$448,3,0),0)</f>
        <v>18</v>
      </c>
      <c r="H297" s="80">
        <f t="shared" si="77"/>
        <v>0</v>
      </c>
      <c r="I297" s="80"/>
      <c r="J297" s="80">
        <f t="shared" si="80"/>
        <v>0</v>
      </c>
      <c r="K297" s="80">
        <v>0</v>
      </c>
      <c r="L297" s="80">
        <v>0</v>
      </c>
      <c r="M297" s="81">
        <f t="shared" si="81"/>
        <v>18</v>
      </c>
      <c r="N297" s="81">
        <v>0</v>
      </c>
      <c r="O297" s="81">
        <v>0</v>
      </c>
      <c r="P297" s="81">
        <f t="shared" si="93"/>
        <v>18</v>
      </c>
      <c r="Q297" s="80">
        <f>IFERROR(VLOOKUP(C297,O.B.JUNE!$C$7:$K$448,7,0),0)</f>
        <v>0</v>
      </c>
      <c r="R297" s="80">
        <f>IFERROR(VLOOKUP(C297,O.B.JUNE!$C$7:$J$448,8,0),0)</f>
        <v>0</v>
      </c>
      <c r="S297" s="323">
        <f t="shared" si="82"/>
        <v>0</v>
      </c>
      <c r="T297" s="324">
        <v>0</v>
      </c>
      <c r="U297" s="324"/>
      <c r="V297" s="80"/>
      <c r="W297" s="324">
        <v>0</v>
      </c>
      <c r="X297" s="324"/>
      <c r="Y297" s="324">
        <v>0</v>
      </c>
      <c r="Z297" s="80">
        <v>0</v>
      </c>
      <c r="AA297" s="80">
        <f t="shared" si="83"/>
        <v>0</v>
      </c>
      <c r="AB297" s="323">
        <f t="shared" si="84"/>
        <v>0</v>
      </c>
      <c r="AC297" s="80">
        <f t="shared" si="89"/>
        <v>0</v>
      </c>
      <c r="AD297" s="80">
        <f t="shared" si="90"/>
        <v>0</v>
      </c>
      <c r="AE297" s="80"/>
      <c r="AF297" s="80"/>
      <c r="AG297" s="80"/>
      <c r="AH297" s="326">
        <f t="shared" si="85"/>
        <v>0</v>
      </c>
      <c r="AI297" s="326">
        <f t="shared" si="86"/>
        <v>0</v>
      </c>
      <c r="AJ297" s="326">
        <f t="shared" si="87"/>
        <v>0</v>
      </c>
      <c r="AK297" s="326">
        <f t="shared" si="88"/>
        <v>0</v>
      </c>
      <c r="AL297" s="326"/>
      <c r="AM297" s="326"/>
      <c r="AN297" s="326"/>
      <c r="AO297" s="326"/>
      <c r="AP297" s="326"/>
      <c r="AQ297" s="326"/>
      <c r="AR297" s="327">
        <f>VLOOKUP(C297,'[1]DA HET SAN XUAT'!$D$8:$AJ$419,33,0)</f>
        <v>0</v>
      </c>
      <c r="AS297" s="209"/>
      <c r="AT297" s="411"/>
      <c r="AU297" s="411"/>
    </row>
    <row r="298" spans="1:47" s="390" customFormat="1" ht="18.75" customHeight="1">
      <c r="A298" s="167">
        <v>291</v>
      </c>
      <c r="B298" s="79" t="str">
        <f>IFERROR(VLOOKUP(A298,O.B.JUNE!$A$7:$C$448,2,0),0)</f>
        <v>ALFANI</v>
      </c>
      <c r="C298" s="174">
        <f>IFERROR(VLOOKUP(A298,O.B.JUNE!$A$7:$C$448,3,0),0)</f>
        <v>100015180</v>
      </c>
      <c r="D298" s="80">
        <f t="shared" si="79"/>
        <v>0</v>
      </c>
      <c r="E298" s="80">
        <f>IFERROR(VLOOKUP(C298,O.B.JUNE!$C$7:$D$448,2,0),0)</f>
        <v>1294</v>
      </c>
      <c r="F298" s="80">
        <f>VLOOKUP(C298,'CUTTING ON JUNE'!$A$4:$D$316,3,0)</f>
        <v>1294</v>
      </c>
      <c r="G298" s="80">
        <f>IFERROR(VLOOKUP(C298,O.B.JUNE!$C$7:$E$448,3,0),0)</f>
        <v>25</v>
      </c>
      <c r="H298" s="80">
        <f t="shared" si="77"/>
        <v>0</v>
      </c>
      <c r="I298" s="80"/>
      <c r="J298" s="80">
        <f t="shared" si="80"/>
        <v>0</v>
      </c>
      <c r="K298" s="80">
        <v>0</v>
      </c>
      <c r="L298" s="80">
        <v>0</v>
      </c>
      <c r="M298" s="81">
        <f t="shared" si="81"/>
        <v>25</v>
      </c>
      <c r="N298" s="81">
        <v>0</v>
      </c>
      <c r="O298" s="81">
        <v>9</v>
      </c>
      <c r="P298" s="81">
        <v>16</v>
      </c>
      <c r="Q298" s="80">
        <f>IFERROR(VLOOKUP(C298,O.B.JUNE!$C$7:$K$448,7,0),0)</f>
        <v>0</v>
      </c>
      <c r="R298" s="80">
        <f>IFERROR(VLOOKUP(C298,O.B.JUNE!$C$7:$J$448,8,0),0)</f>
        <v>0</v>
      </c>
      <c r="S298" s="323">
        <f t="shared" si="82"/>
        <v>0</v>
      </c>
      <c r="T298" s="324">
        <v>0</v>
      </c>
      <c r="U298" s="324"/>
      <c r="V298" s="80"/>
      <c r="W298" s="324">
        <v>0</v>
      </c>
      <c r="X298" s="324"/>
      <c r="Y298" s="324">
        <v>0</v>
      </c>
      <c r="Z298" s="80">
        <v>0</v>
      </c>
      <c r="AA298" s="80">
        <f t="shared" si="83"/>
        <v>0</v>
      </c>
      <c r="AB298" s="323">
        <f t="shared" si="84"/>
        <v>0</v>
      </c>
      <c r="AC298" s="80">
        <f t="shared" si="89"/>
        <v>0</v>
      </c>
      <c r="AD298" s="80">
        <f t="shared" si="90"/>
        <v>0</v>
      </c>
      <c r="AE298" s="80"/>
      <c r="AF298" s="80"/>
      <c r="AG298" s="80"/>
      <c r="AH298" s="326">
        <f t="shared" si="85"/>
        <v>0</v>
      </c>
      <c r="AI298" s="326">
        <f t="shared" si="86"/>
        <v>0</v>
      </c>
      <c r="AJ298" s="326">
        <f t="shared" si="87"/>
        <v>0</v>
      </c>
      <c r="AK298" s="326">
        <f t="shared" si="88"/>
        <v>0</v>
      </c>
      <c r="AL298" s="326"/>
      <c r="AM298" s="326"/>
      <c r="AN298" s="326"/>
      <c r="AO298" s="326"/>
      <c r="AP298" s="326"/>
      <c r="AQ298" s="326"/>
      <c r="AR298" s="327"/>
      <c r="AS298" s="209"/>
      <c r="AT298" s="411"/>
      <c r="AU298" s="411"/>
    </row>
    <row r="299" spans="1:47" s="390" customFormat="1" ht="18.75" customHeight="1">
      <c r="A299" s="167">
        <v>292</v>
      </c>
      <c r="B299" s="79" t="str">
        <f>IFERROR(VLOOKUP(A299,O.B.JUNE!$A$7:$C$448,2,0),0)</f>
        <v>ALFANI</v>
      </c>
      <c r="C299" s="174">
        <f>IFERROR(VLOOKUP(A299,O.B.JUNE!$A$7:$C$448,3,0),0)</f>
        <v>100015249</v>
      </c>
      <c r="D299" s="80">
        <f t="shared" si="79"/>
        <v>0</v>
      </c>
      <c r="E299" s="80">
        <f>IFERROR(VLOOKUP(C299,O.B.JUNE!$C$7:$D$448,2,0),0)</f>
        <v>10009</v>
      </c>
      <c r="F299" s="80">
        <f>VLOOKUP(C299,'CUTTING ON JUNE'!$A$4:$D$316,3,0)</f>
        <v>10009</v>
      </c>
      <c r="G299" s="80">
        <f>IFERROR(VLOOKUP(C299,O.B.JUNE!$C$7:$E$448,3,0),0)</f>
        <v>62</v>
      </c>
      <c r="H299" s="80">
        <f t="shared" si="77"/>
        <v>0</v>
      </c>
      <c r="I299" s="80"/>
      <c r="J299" s="80">
        <f t="shared" si="80"/>
        <v>0</v>
      </c>
      <c r="K299" s="80">
        <v>0</v>
      </c>
      <c r="L299" s="80">
        <v>0</v>
      </c>
      <c r="M299" s="81">
        <f t="shared" si="81"/>
        <v>62</v>
      </c>
      <c r="N299" s="81">
        <v>0</v>
      </c>
      <c r="O299" s="81">
        <v>22</v>
      </c>
      <c r="P299" s="81">
        <v>40</v>
      </c>
      <c r="Q299" s="80">
        <f>IFERROR(VLOOKUP(C299,O.B.JUNE!$C$7:$K$448,7,0),0)</f>
        <v>0</v>
      </c>
      <c r="R299" s="80">
        <f>IFERROR(VLOOKUP(C299,O.B.JUNE!$C$7:$J$448,8,0),0)</f>
        <v>0</v>
      </c>
      <c r="S299" s="323">
        <f t="shared" si="82"/>
        <v>0</v>
      </c>
      <c r="T299" s="324">
        <v>0</v>
      </c>
      <c r="U299" s="324"/>
      <c r="V299" s="80"/>
      <c r="W299" s="324">
        <v>0</v>
      </c>
      <c r="X299" s="324"/>
      <c r="Y299" s="324">
        <v>0</v>
      </c>
      <c r="Z299" s="80">
        <v>0</v>
      </c>
      <c r="AA299" s="80">
        <f t="shared" si="83"/>
        <v>0</v>
      </c>
      <c r="AB299" s="323">
        <f t="shared" si="84"/>
        <v>0</v>
      </c>
      <c r="AC299" s="80">
        <f t="shared" si="89"/>
        <v>0</v>
      </c>
      <c r="AD299" s="80">
        <f t="shared" si="90"/>
        <v>0</v>
      </c>
      <c r="AE299" s="80"/>
      <c r="AF299" s="80"/>
      <c r="AG299" s="80"/>
      <c r="AH299" s="326">
        <f t="shared" si="85"/>
        <v>0</v>
      </c>
      <c r="AI299" s="326">
        <f t="shared" si="86"/>
        <v>0</v>
      </c>
      <c r="AJ299" s="326">
        <f t="shared" si="87"/>
        <v>0</v>
      </c>
      <c r="AK299" s="326">
        <f t="shared" si="88"/>
        <v>0</v>
      </c>
      <c r="AL299" s="326"/>
      <c r="AM299" s="326"/>
      <c r="AN299" s="326"/>
      <c r="AO299" s="326"/>
      <c r="AP299" s="326"/>
      <c r="AQ299" s="326"/>
      <c r="AR299" s="327"/>
      <c r="AS299" s="209"/>
      <c r="AT299" s="411"/>
      <c r="AU299" s="411"/>
    </row>
    <row r="300" spans="1:47" s="390" customFormat="1" ht="18.75" customHeight="1">
      <c r="A300" s="167">
        <v>293</v>
      </c>
      <c r="B300" s="79" t="str">
        <f>IFERROR(VLOOKUP(A300,O.B.JUNE!$A$7:$C$448,2,0),0)</f>
        <v>ALFANI</v>
      </c>
      <c r="C300" s="174">
        <f>IFERROR(VLOOKUP(A300,O.B.JUNE!$A$7:$C$448,3,0),0)</f>
        <v>100015301</v>
      </c>
      <c r="D300" s="80">
        <f t="shared" si="79"/>
        <v>0</v>
      </c>
      <c r="E300" s="80">
        <f>IFERROR(VLOOKUP(C300,O.B.JUNE!$C$7:$D$448,2,0),0)</f>
        <v>13343</v>
      </c>
      <c r="F300" s="80">
        <f>VLOOKUP(C300,'CUTTING ON JUNE'!$A$4:$D$316,3,0)</f>
        <v>13343</v>
      </c>
      <c r="G300" s="80">
        <f>IFERROR(VLOOKUP(C300,O.B.JUNE!$C$7:$E$448,3,0),0)</f>
        <v>443</v>
      </c>
      <c r="H300" s="80">
        <f t="shared" si="77"/>
        <v>0</v>
      </c>
      <c r="I300" s="80"/>
      <c r="J300" s="80">
        <f t="shared" si="80"/>
        <v>0</v>
      </c>
      <c r="K300" s="80">
        <v>0</v>
      </c>
      <c r="L300" s="80">
        <v>0</v>
      </c>
      <c r="M300" s="81">
        <f t="shared" si="81"/>
        <v>443</v>
      </c>
      <c r="N300" s="81">
        <v>0</v>
      </c>
      <c r="O300" s="81">
        <v>0</v>
      </c>
      <c r="P300" s="81">
        <f t="shared" si="93"/>
        <v>443</v>
      </c>
      <c r="Q300" s="80">
        <f>IFERROR(VLOOKUP(C300,O.B.JUNE!$C$7:$K$448,7,0),0)</f>
        <v>0</v>
      </c>
      <c r="R300" s="80">
        <f>IFERROR(VLOOKUP(C300,O.B.JUNE!$C$7:$J$448,8,0),0)</f>
        <v>0</v>
      </c>
      <c r="S300" s="323">
        <f t="shared" si="82"/>
        <v>0</v>
      </c>
      <c r="T300" s="324">
        <v>0</v>
      </c>
      <c r="U300" s="324"/>
      <c r="V300" s="80"/>
      <c r="W300" s="324">
        <v>0</v>
      </c>
      <c r="X300" s="324"/>
      <c r="Y300" s="324">
        <v>0</v>
      </c>
      <c r="Z300" s="80">
        <v>0</v>
      </c>
      <c r="AA300" s="80">
        <f t="shared" si="83"/>
        <v>0</v>
      </c>
      <c r="AB300" s="323">
        <f t="shared" si="84"/>
        <v>0</v>
      </c>
      <c r="AC300" s="80">
        <f t="shared" si="89"/>
        <v>0</v>
      </c>
      <c r="AD300" s="80">
        <f t="shared" si="90"/>
        <v>0</v>
      </c>
      <c r="AE300" s="80"/>
      <c r="AF300" s="80"/>
      <c r="AG300" s="80"/>
      <c r="AH300" s="326">
        <f t="shared" si="85"/>
        <v>0</v>
      </c>
      <c r="AI300" s="326">
        <f t="shared" si="86"/>
        <v>0</v>
      </c>
      <c r="AJ300" s="326">
        <f t="shared" si="87"/>
        <v>0</v>
      </c>
      <c r="AK300" s="326">
        <f t="shared" si="88"/>
        <v>0</v>
      </c>
      <c r="AL300" s="326"/>
      <c r="AM300" s="326"/>
      <c r="AN300" s="326"/>
      <c r="AO300" s="326"/>
      <c r="AP300" s="326"/>
      <c r="AQ300" s="326"/>
      <c r="AR300" s="327"/>
      <c r="AS300" s="209"/>
      <c r="AT300" s="411"/>
      <c r="AU300" s="411"/>
    </row>
    <row r="301" spans="1:47" s="390" customFormat="1" ht="18.75" customHeight="1">
      <c r="A301" s="167">
        <v>294</v>
      </c>
      <c r="B301" s="79" t="str">
        <f>IFERROR(VLOOKUP(A301,O.B.JUNE!$A$7:$C$448,2,0),0)</f>
        <v>ALFANI</v>
      </c>
      <c r="C301" s="174">
        <f>IFERROR(VLOOKUP(A301,O.B.JUNE!$A$7:$C$448,3,0),0)</f>
        <v>100015303</v>
      </c>
      <c r="D301" s="80">
        <f t="shared" si="79"/>
        <v>0</v>
      </c>
      <c r="E301" s="80">
        <f>IFERROR(VLOOKUP(C301,O.B.JUNE!$C$7:$D$448,2,0),0)</f>
        <v>13289</v>
      </c>
      <c r="F301" s="80">
        <f>VLOOKUP(C301,'CUTTING ON JUNE'!$A$4:$D$316,3,0)</f>
        <v>13289</v>
      </c>
      <c r="G301" s="80">
        <f>IFERROR(VLOOKUP(C301,O.B.JUNE!$C$7:$E$448,3,0),0)</f>
        <v>189</v>
      </c>
      <c r="H301" s="80">
        <f t="shared" si="77"/>
        <v>0</v>
      </c>
      <c r="I301" s="80"/>
      <c r="J301" s="80">
        <f t="shared" si="80"/>
        <v>0</v>
      </c>
      <c r="K301" s="80">
        <v>0</v>
      </c>
      <c r="L301" s="80">
        <v>0</v>
      </c>
      <c r="M301" s="81">
        <f t="shared" si="81"/>
        <v>189</v>
      </c>
      <c r="N301" s="81">
        <v>0</v>
      </c>
      <c r="O301" s="81">
        <v>0</v>
      </c>
      <c r="P301" s="81">
        <f t="shared" si="93"/>
        <v>189</v>
      </c>
      <c r="Q301" s="80">
        <f>IFERROR(VLOOKUP(C301,O.B.JUNE!$C$7:$K$448,7,0),0)</f>
        <v>0</v>
      </c>
      <c r="R301" s="80">
        <f>IFERROR(VLOOKUP(C301,O.B.JUNE!$C$7:$J$448,8,0),0)</f>
        <v>0</v>
      </c>
      <c r="S301" s="323">
        <f t="shared" si="82"/>
        <v>0</v>
      </c>
      <c r="T301" s="324">
        <v>0</v>
      </c>
      <c r="U301" s="324"/>
      <c r="V301" s="80"/>
      <c r="W301" s="324">
        <v>0</v>
      </c>
      <c r="X301" s="324"/>
      <c r="Y301" s="324">
        <v>0</v>
      </c>
      <c r="Z301" s="80">
        <v>0</v>
      </c>
      <c r="AA301" s="80">
        <f t="shared" si="83"/>
        <v>0</v>
      </c>
      <c r="AB301" s="323">
        <f t="shared" si="84"/>
        <v>0</v>
      </c>
      <c r="AC301" s="80">
        <f t="shared" si="89"/>
        <v>0</v>
      </c>
      <c r="AD301" s="80">
        <f t="shared" si="90"/>
        <v>0</v>
      </c>
      <c r="AE301" s="80"/>
      <c r="AF301" s="80"/>
      <c r="AG301" s="80"/>
      <c r="AH301" s="326">
        <f t="shared" si="85"/>
        <v>0</v>
      </c>
      <c r="AI301" s="326">
        <f t="shared" si="86"/>
        <v>0</v>
      </c>
      <c r="AJ301" s="326">
        <f t="shared" si="87"/>
        <v>0</v>
      </c>
      <c r="AK301" s="326">
        <f t="shared" si="88"/>
        <v>0</v>
      </c>
      <c r="AL301" s="326"/>
      <c r="AM301" s="326"/>
      <c r="AN301" s="326"/>
      <c r="AO301" s="326"/>
      <c r="AP301" s="326"/>
      <c r="AQ301" s="326"/>
      <c r="AR301" s="327"/>
      <c r="AS301" s="209"/>
      <c r="AT301" s="411"/>
      <c r="AU301" s="411"/>
    </row>
    <row r="302" spans="1:47" s="390" customFormat="1" ht="18.75" customHeight="1">
      <c r="A302" s="167">
        <v>295</v>
      </c>
      <c r="B302" s="79" t="str">
        <f>IFERROR(VLOOKUP(A302,O.B.JUNE!$A$7:$C$448,2,0),0)</f>
        <v>ALFANI</v>
      </c>
      <c r="C302" s="174">
        <f>IFERROR(VLOOKUP(A302,O.B.JUNE!$A$7:$C$448,3,0),0)</f>
        <v>100015304</v>
      </c>
      <c r="D302" s="80">
        <f t="shared" si="79"/>
        <v>0</v>
      </c>
      <c r="E302" s="80">
        <f>IFERROR(VLOOKUP(C302,O.B.JUNE!$C$7:$D$448,2,0),0)</f>
        <v>6756</v>
      </c>
      <c r="F302" s="80">
        <f>VLOOKUP(C302,'CUTTING ON JUNE'!$A$4:$D$316,3,0)</f>
        <v>6756</v>
      </c>
      <c r="G302" s="80">
        <f>IFERROR(VLOOKUP(C302,O.B.JUNE!$C$7:$E$448,3,0),0)</f>
        <v>120</v>
      </c>
      <c r="H302" s="80">
        <f t="shared" si="77"/>
        <v>0</v>
      </c>
      <c r="I302" s="80"/>
      <c r="J302" s="80">
        <f t="shared" si="80"/>
        <v>0</v>
      </c>
      <c r="K302" s="80">
        <v>0</v>
      </c>
      <c r="L302" s="80">
        <v>0</v>
      </c>
      <c r="M302" s="81">
        <f t="shared" si="81"/>
        <v>120</v>
      </c>
      <c r="N302" s="81">
        <v>17</v>
      </c>
      <c r="O302" s="81">
        <v>80</v>
      </c>
      <c r="P302" s="81">
        <f t="shared" si="93"/>
        <v>23</v>
      </c>
      <c r="Q302" s="80">
        <f>IFERROR(VLOOKUP(C302,O.B.JUNE!$C$7:$K$448,7,0),0)</f>
        <v>0</v>
      </c>
      <c r="R302" s="80">
        <f>IFERROR(VLOOKUP(C302,O.B.JUNE!$C$7:$J$448,8,0),0)</f>
        <v>0</v>
      </c>
      <c r="S302" s="323">
        <f t="shared" si="82"/>
        <v>0</v>
      </c>
      <c r="T302" s="324">
        <v>0</v>
      </c>
      <c r="U302" s="324"/>
      <c r="V302" s="80"/>
      <c r="W302" s="324">
        <v>0</v>
      </c>
      <c r="X302" s="324"/>
      <c r="Y302" s="324">
        <v>0</v>
      </c>
      <c r="Z302" s="80">
        <v>0</v>
      </c>
      <c r="AA302" s="80">
        <f t="shared" si="83"/>
        <v>0</v>
      </c>
      <c r="AB302" s="323">
        <f t="shared" si="84"/>
        <v>0</v>
      </c>
      <c r="AC302" s="80">
        <f t="shared" si="89"/>
        <v>0</v>
      </c>
      <c r="AD302" s="80">
        <f t="shared" si="90"/>
        <v>0</v>
      </c>
      <c r="AE302" s="80"/>
      <c r="AF302" s="80"/>
      <c r="AG302" s="80"/>
      <c r="AH302" s="326">
        <f t="shared" si="85"/>
        <v>0</v>
      </c>
      <c r="AI302" s="326">
        <f t="shared" si="86"/>
        <v>0</v>
      </c>
      <c r="AJ302" s="326">
        <f t="shared" si="87"/>
        <v>0</v>
      </c>
      <c r="AK302" s="326">
        <f t="shared" si="88"/>
        <v>0</v>
      </c>
      <c r="AL302" s="326"/>
      <c r="AM302" s="326"/>
      <c r="AN302" s="326"/>
      <c r="AO302" s="326"/>
      <c r="AP302" s="326"/>
      <c r="AQ302" s="326"/>
      <c r="AR302" s="327"/>
      <c r="AS302" s="209"/>
      <c r="AT302" s="411"/>
      <c r="AU302" s="411"/>
    </row>
    <row r="303" spans="1:47" s="390" customFormat="1" ht="18.75" customHeight="1">
      <c r="A303" s="167">
        <v>296</v>
      </c>
      <c r="B303" s="79" t="str">
        <f>IFERROR(VLOOKUP(A303,O.B.JUNE!$A$7:$C$448,2,0),0)</f>
        <v>ALFANI</v>
      </c>
      <c r="C303" s="174">
        <f>IFERROR(VLOOKUP(A303,O.B.JUNE!$A$7:$C$448,3,0),0)</f>
        <v>100015356</v>
      </c>
      <c r="D303" s="80">
        <f t="shared" si="79"/>
        <v>0</v>
      </c>
      <c r="E303" s="80">
        <f>IFERROR(VLOOKUP(C303,O.B.JUNE!$C$7:$D$448,2,0),0)</f>
        <v>3285</v>
      </c>
      <c r="F303" s="80">
        <f>VLOOKUP(C303,'CUTTING ON JUNE'!$A$4:$D$316,3,0)</f>
        <v>3285</v>
      </c>
      <c r="G303" s="80">
        <f>IFERROR(VLOOKUP(C303,O.B.JUNE!$C$7:$E$448,3,0),0)</f>
        <v>53</v>
      </c>
      <c r="H303" s="80">
        <f t="shared" si="77"/>
        <v>0</v>
      </c>
      <c r="I303" s="80"/>
      <c r="J303" s="80">
        <f t="shared" si="80"/>
        <v>0</v>
      </c>
      <c r="K303" s="80">
        <v>0</v>
      </c>
      <c r="L303" s="80">
        <v>0</v>
      </c>
      <c r="M303" s="81">
        <f t="shared" si="81"/>
        <v>53</v>
      </c>
      <c r="N303" s="81">
        <v>0</v>
      </c>
      <c r="O303" s="81">
        <v>37</v>
      </c>
      <c r="P303" s="81">
        <f t="shared" si="93"/>
        <v>16</v>
      </c>
      <c r="Q303" s="80">
        <f>IFERROR(VLOOKUP(C303,O.B.JUNE!$C$7:$K$448,7,0),0)</f>
        <v>0</v>
      </c>
      <c r="R303" s="80">
        <f>IFERROR(VLOOKUP(C303,O.B.JUNE!$C$7:$J$448,8,0),0)</f>
        <v>0</v>
      </c>
      <c r="S303" s="323">
        <f t="shared" si="82"/>
        <v>0</v>
      </c>
      <c r="T303" s="324">
        <v>0</v>
      </c>
      <c r="U303" s="324"/>
      <c r="V303" s="80"/>
      <c r="W303" s="324">
        <v>0</v>
      </c>
      <c r="X303" s="324"/>
      <c r="Y303" s="324">
        <v>0</v>
      </c>
      <c r="Z303" s="80">
        <v>0</v>
      </c>
      <c r="AA303" s="80">
        <f t="shared" si="83"/>
        <v>0</v>
      </c>
      <c r="AB303" s="323">
        <f t="shared" si="84"/>
        <v>0</v>
      </c>
      <c r="AC303" s="80">
        <f t="shared" si="89"/>
        <v>0</v>
      </c>
      <c r="AD303" s="80">
        <f t="shared" si="90"/>
        <v>0</v>
      </c>
      <c r="AE303" s="80"/>
      <c r="AF303" s="80"/>
      <c r="AG303" s="80"/>
      <c r="AH303" s="326">
        <f t="shared" si="85"/>
        <v>0</v>
      </c>
      <c r="AI303" s="326">
        <f t="shared" si="86"/>
        <v>0</v>
      </c>
      <c r="AJ303" s="326">
        <f t="shared" si="87"/>
        <v>0</v>
      </c>
      <c r="AK303" s="326">
        <f t="shared" si="88"/>
        <v>0</v>
      </c>
      <c r="AL303" s="326"/>
      <c r="AM303" s="326"/>
      <c r="AN303" s="326"/>
      <c r="AO303" s="326"/>
      <c r="AP303" s="326"/>
      <c r="AQ303" s="326"/>
      <c r="AR303" s="327"/>
      <c r="AS303" s="209"/>
      <c r="AT303" s="411"/>
      <c r="AU303" s="411"/>
    </row>
    <row r="304" spans="1:47" s="390" customFormat="1" ht="18.75" customHeight="1">
      <c r="A304" s="167">
        <v>297</v>
      </c>
      <c r="B304" s="79" t="str">
        <f>IFERROR(VLOOKUP(A304,O.B.JUNE!$A$7:$C$448,2,0),0)</f>
        <v>ALFANI</v>
      </c>
      <c r="C304" s="174">
        <f>IFERROR(VLOOKUP(A304,O.B.JUNE!$A$7:$C$448,3,0),0)</f>
        <v>100015404</v>
      </c>
      <c r="D304" s="80">
        <f t="shared" si="79"/>
        <v>0</v>
      </c>
      <c r="E304" s="80">
        <f>IFERROR(VLOOKUP(C304,O.B.JUNE!$C$7:$D$448,2,0),0)</f>
        <v>3422</v>
      </c>
      <c r="F304" s="80">
        <f>VLOOKUP(C304,'CUTTING ON JUNE'!$A$4:$D$316,3,0)</f>
        <v>3422</v>
      </c>
      <c r="G304" s="80">
        <f>IFERROR(VLOOKUP(C304,O.B.JUNE!$C$7:$E$448,3,0),0)</f>
        <v>166</v>
      </c>
      <c r="H304" s="80">
        <f t="shared" si="77"/>
        <v>0</v>
      </c>
      <c r="I304" s="80"/>
      <c r="J304" s="80">
        <f t="shared" si="80"/>
        <v>0</v>
      </c>
      <c r="K304" s="80">
        <v>0</v>
      </c>
      <c r="L304" s="80">
        <v>0</v>
      </c>
      <c r="M304" s="81">
        <f t="shared" si="81"/>
        <v>166</v>
      </c>
      <c r="N304" s="81">
        <v>0</v>
      </c>
      <c r="O304" s="81">
        <v>105</v>
      </c>
      <c r="P304" s="81">
        <f t="shared" si="93"/>
        <v>61</v>
      </c>
      <c r="Q304" s="80">
        <f>IFERROR(VLOOKUP(C304,O.B.JUNE!$C$7:$K$448,7,0),0)</f>
        <v>0</v>
      </c>
      <c r="R304" s="80">
        <f>IFERROR(VLOOKUP(C304,O.B.JUNE!$C$7:$J$448,8,0),0)</f>
        <v>0</v>
      </c>
      <c r="S304" s="323">
        <f t="shared" si="82"/>
        <v>0</v>
      </c>
      <c r="T304" s="324">
        <v>0</v>
      </c>
      <c r="U304" s="324"/>
      <c r="V304" s="80"/>
      <c r="W304" s="324">
        <v>0</v>
      </c>
      <c r="X304" s="324"/>
      <c r="Y304" s="324">
        <v>0</v>
      </c>
      <c r="Z304" s="80">
        <v>0</v>
      </c>
      <c r="AA304" s="80">
        <f t="shared" si="83"/>
        <v>0</v>
      </c>
      <c r="AB304" s="323">
        <f t="shared" si="84"/>
        <v>0</v>
      </c>
      <c r="AC304" s="80">
        <f t="shared" si="89"/>
        <v>0</v>
      </c>
      <c r="AD304" s="80">
        <f t="shared" si="90"/>
        <v>0</v>
      </c>
      <c r="AE304" s="80"/>
      <c r="AF304" s="80"/>
      <c r="AG304" s="80"/>
      <c r="AH304" s="326">
        <f t="shared" si="85"/>
        <v>0</v>
      </c>
      <c r="AI304" s="326">
        <f t="shared" si="86"/>
        <v>0</v>
      </c>
      <c r="AJ304" s="326">
        <f t="shared" si="87"/>
        <v>0</v>
      </c>
      <c r="AK304" s="326">
        <f t="shared" si="88"/>
        <v>0</v>
      </c>
      <c r="AL304" s="326"/>
      <c r="AM304" s="326"/>
      <c r="AN304" s="326"/>
      <c r="AO304" s="326"/>
      <c r="AP304" s="326"/>
      <c r="AQ304" s="326"/>
      <c r="AR304" s="327">
        <f>VLOOKUP(C304,'[1]DA HET SAN XUAT'!$D$8:$AJ$419,33,0)</f>
        <v>0</v>
      </c>
      <c r="AS304" s="209"/>
      <c r="AT304" s="411"/>
      <c r="AU304" s="411"/>
    </row>
    <row r="305" spans="1:47" s="390" customFormat="1" ht="18.75" customHeight="1">
      <c r="A305" s="167">
        <v>298</v>
      </c>
      <c r="B305" s="79" t="str">
        <f>IFERROR(VLOOKUP(A305,O.B.JUNE!$A$7:$C$448,2,0),0)</f>
        <v>ALFANI</v>
      </c>
      <c r="C305" s="174">
        <f>IFERROR(VLOOKUP(A305,O.B.JUNE!$A$7:$C$448,3,0),0)</f>
        <v>100015437</v>
      </c>
      <c r="D305" s="80">
        <f t="shared" si="79"/>
        <v>0</v>
      </c>
      <c r="E305" s="80">
        <f>IFERROR(VLOOKUP(C305,O.B.JUNE!$C$7:$D$448,2,0),0)</f>
        <v>1736</v>
      </c>
      <c r="F305" s="80">
        <f>VLOOKUP(C305,'CUTTING ON JUNE'!$A$4:$D$316,3,0)</f>
        <v>1736</v>
      </c>
      <c r="G305" s="80">
        <f>IFERROR(VLOOKUP(C305,O.B.JUNE!$C$7:$E$448,3,0),0)</f>
        <v>37</v>
      </c>
      <c r="H305" s="80">
        <f t="shared" si="77"/>
        <v>0</v>
      </c>
      <c r="I305" s="80"/>
      <c r="J305" s="80">
        <f t="shared" si="80"/>
        <v>0</v>
      </c>
      <c r="K305" s="80">
        <v>0</v>
      </c>
      <c r="L305" s="80">
        <v>0</v>
      </c>
      <c r="M305" s="81">
        <f t="shared" si="81"/>
        <v>37</v>
      </c>
      <c r="N305" s="81">
        <v>24</v>
      </c>
      <c r="O305" s="81">
        <v>0</v>
      </c>
      <c r="P305" s="81">
        <f t="shared" si="93"/>
        <v>13</v>
      </c>
      <c r="Q305" s="80">
        <f>IFERROR(VLOOKUP(C305,O.B.JUNE!$C$7:$K$448,7,0),0)</f>
        <v>0</v>
      </c>
      <c r="R305" s="80">
        <f>IFERROR(VLOOKUP(C305,O.B.JUNE!$C$7:$J$448,8,0),0)</f>
        <v>0</v>
      </c>
      <c r="S305" s="323">
        <f t="shared" si="82"/>
        <v>0</v>
      </c>
      <c r="T305" s="324">
        <v>0</v>
      </c>
      <c r="U305" s="324"/>
      <c r="V305" s="80"/>
      <c r="W305" s="324">
        <v>0</v>
      </c>
      <c r="X305" s="324"/>
      <c r="Y305" s="324">
        <v>0</v>
      </c>
      <c r="Z305" s="80">
        <v>0</v>
      </c>
      <c r="AA305" s="80">
        <f t="shared" si="83"/>
        <v>0</v>
      </c>
      <c r="AB305" s="323">
        <f t="shared" si="84"/>
        <v>0</v>
      </c>
      <c r="AC305" s="80">
        <f t="shared" si="89"/>
        <v>0</v>
      </c>
      <c r="AD305" s="80">
        <f t="shared" si="90"/>
        <v>0</v>
      </c>
      <c r="AE305" s="80"/>
      <c r="AF305" s="80"/>
      <c r="AG305" s="80"/>
      <c r="AH305" s="326">
        <f t="shared" si="85"/>
        <v>0</v>
      </c>
      <c r="AI305" s="326">
        <f t="shared" si="86"/>
        <v>0</v>
      </c>
      <c r="AJ305" s="326">
        <f t="shared" si="87"/>
        <v>0</v>
      </c>
      <c r="AK305" s="326">
        <f t="shared" si="88"/>
        <v>0</v>
      </c>
      <c r="AL305" s="326"/>
      <c r="AM305" s="326"/>
      <c r="AN305" s="326"/>
      <c r="AO305" s="326"/>
      <c r="AP305" s="326"/>
      <c r="AQ305" s="326"/>
      <c r="AR305" s="327"/>
      <c r="AS305" s="209"/>
      <c r="AT305" s="411"/>
      <c r="AU305" s="411"/>
    </row>
    <row r="306" spans="1:47" s="390" customFormat="1" ht="18.75" customHeight="1">
      <c r="A306" s="167">
        <v>299</v>
      </c>
      <c r="B306" s="79" t="str">
        <f>IFERROR(VLOOKUP(A306,O.B.JUNE!$A$7:$C$448,2,0),0)</f>
        <v>ALFANI</v>
      </c>
      <c r="C306" s="174">
        <f>IFERROR(VLOOKUP(A306,O.B.JUNE!$A$7:$C$448,3,0),0)</f>
        <v>100016367</v>
      </c>
      <c r="D306" s="80">
        <f t="shared" si="79"/>
        <v>0</v>
      </c>
      <c r="E306" s="80">
        <f>IFERROR(VLOOKUP(C306,O.B.JUNE!$C$7:$D$448,2,0),0)</f>
        <v>7470</v>
      </c>
      <c r="F306" s="80">
        <f>VLOOKUP(C306,'CUTTING ON JUNE'!$A$4:$D$316,3,0)</f>
        <v>7470</v>
      </c>
      <c r="G306" s="80">
        <f>IFERROR(VLOOKUP(C306,O.B.JUNE!$C$7:$E$448,3,0),0)</f>
        <v>142</v>
      </c>
      <c r="H306" s="80">
        <f t="shared" si="77"/>
        <v>0</v>
      </c>
      <c r="I306" s="80"/>
      <c r="J306" s="80">
        <f t="shared" si="80"/>
        <v>0</v>
      </c>
      <c r="K306" s="80">
        <v>0</v>
      </c>
      <c r="L306" s="80">
        <v>0</v>
      </c>
      <c r="M306" s="81">
        <f t="shared" si="81"/>
        <v>142</v>
      </c>
      <c r="N306" s="81">
        <v>0</v>
      </c>
      <c r="O306" s="81">
        <v>29</v>
      </c>
      <c r="P306" s="81">
        <f t="shared" si="93"/>
        <v>113</v>
      </c>
      <c r="Q306" s="80">
        <f>IFERROR(VLOOKUP(C306,O.B.JUNE!$C$7:$K$448,7,0),0)</f>
        <v>0</v>
      </c>
      <c r="R306" s="80">
        <f>IFERROR(VLOOKUP(C306,O.B.JUNE!$C$7:$J$448,8,0),0)</f>
        <v>0</v>
      </c>
      <c r="S306" s="323">
        <f t="shared" si="82"/>
        <v>0</v>
      </c>
      <c r="T306" s="324">
        <v>0</v>
      </c>
      <c r="U306" s="324"/>
      <c r="V306" s="80"/>
      <c r="W306" s="324">
        <v>0</v>
      </c>
      <c r="X306" s="324"/>
      <c r="Y306" s="324">
        <v>0</v>
      </c>
      <c r="Z306" s="80">
        <v>0</v>
      </c>
      <c r="AA306" s="80">
        <f t="shared" si="83"/>
        <v>0</v>
      </c>
      <c r="AB306" s="323">
        <f t="shared" si="84"/>
        <v>0</v>
      </c>
      <c r="AC306" s="80">
        <f t="shared" si="89"/>
        <v>0</v>
      </c>
      <c r="AD306" s="80">
        <f t="shared" si="90"/>
        <v>0</v>
      </c>
      <c r="AE306" s="80"/>
      <c r="AF306" s="80"/>
      <c r="AG306" s="80"/>
      <c r="AH306" s="326">
        <f t="shared" si="85"/>
        <v>0</v>
      </c>
      <c r="AI306" s="326">
        <f t="shared" si="86"/>
        <v>0</v>
      </c>
      <c r="AJ306" s="326">
        <f t="shared" si="87"/>
        <v>0</v>
      </c>
      <c r="AK306" s="326">
        <f t="shared" si="88"/>
        <v>0</v>
      </c>
      <c r="AL306" s="326"/>
      <c r="AM306" s="326"/>
      <c r="AN306" s="326"/>
      <c r="AO306" s="326"/>
      <c r="AP306" s="326"/>
      <c r="AQ306" s="326"/>
      <c r="AR306" s="327"/>
      <c r="AS306" s="209"/>
      <c r="AT306" s="411"/>
      <c r="AU306" s="411"/>
    </row>
    <row r="307" spans="1:47" s="390" customFormat="1" ht="18.75" customHeight="1">
      <c r="A307" s="167">
        <v>300</v>
      </c>
      <c r="B307" s="79" t="str">
        <f>IFERROR(VLOOKUP(A307,O.B.JUNE!$A$7:$C$448,2,0),0)</f>
        <v>CHARTER CLUB</v>
      </c>
      <c r="C307" s="174">
        <f>IFERROR(VLOOKUP(A307,O.B.JUNE!$A$7:$C$448,3,0),0)</f>
        <v>100016575</v>
      </c>
      <c r="D307" s="80">
        <f t="shared" si="79"/>
        <v>0</v>
      </c>
      <c r="E307" s="80">
        <f>IFERROR(VLOOKUP(C307,O.B.JUNE!$C$7:$D$448,2,0),0)</f>
        <v>1057</v>
      </c>
      <c r="F307" s="80">
        <f>VLOOKUP(C307,'CUTTING ON JUNE'!$A$4:$D$316,3,0)</f>
        <v>1057</v>
      </c>
      <c r="G307" s="80">
        <f>IFERROR(VLOOKUP(C307,O.B.JUNE!$C$7:$E$448,3,0),0)</f>
        <v>119</v>
      </c>
      <c r="H307" s="80">
        <f t="shared" si="77"/>
        <v>0</v>
      </c>
      <c r="I307" s="80"/>
      <c r="J307" s="80">
        <f t="shared" si="80"/>
        <v>0</v>
      </c>
      <c r="K307" s="80">
        <v>0</v>
      </c>
      <c r="L307" s="80">
        <v>0</v>
      </c>
      <c r="M307" s="81">
        <f t="shared" si="81"/>
        <v>119</v>
      </c>
      <c r="N307" s="81">
        <v>0</v>
      </c>
      <c r="O307" s="81">
        <v>6</v>
      </c>
      <c r="P307" s="81">
        <f t="shared" si="93"/>
        <v>113</v>
      </c>
      <c r="Q307" s="80">
        <f>IFERROR(VLOOKUP(C307,O.B.JUNE!$C$7:$K$448,7,0),0)</f>
        <v>0</v>
      </c>
      <c r="R307" s="80">
        <f>IFERROR(VLOOKUP(C307,O.B.JUNE!$C$7:$J$448,8,0),0)</f>
        <v>0</v>
      </c>
      <c r="S307" s="323">
        <f t="shared" si="82"/>
        <v>0</v>
      </c>
      <c r="T307" s="324">
        <v>0</v>
      </c>
      <c r="U307" s="324"/>
      <c r="V307" s="80"/>
      <c r="W307" s="324">
        <v>0</v>
      </c>
      <c r="X307" s="324"/>
      <c r="Y307" s="324">
        <v>0</v>
      </c>
      <c r="Z307" s="80">
        <v>0</v>
      </c>
      <c r="AA307" s="80">
        <f t="shared" si="83"/>
        <v>0</v>
      </c>
      <c r="AB307" s="323">
        <f t="shared" si="84"/>
        <v>0</v>
      </c>
      <c r="AC307" s="80">
        <f t="shared" si="89"/>
        <v>0</v>
      </c>
      <c r="AD307" s="80">
        <f t="shared" si="90"/>
        <v>0</v>
      </c>
      <c r="AE307" s="80"/>
      <c r="AF307" s="80"/>
      <c r="AG307" s="80"/>
      <c r="AH307" s="326">
        <f t="shared" si="85"/>
        <v>0</v>
      </c>
      <c r="AI307" s="326">
        <f t="shared" si="86"/>
        <v>0</v>
      </c>
      <c r="AJ307" s="326">
        <f t="shared" si="87"/>
        <v>0</v>
      </c>
      <c r="AK307" s="326">
        <f t="shared" si="88"/>
        <v>0</v>
      </c>
      <c r="AL307" s="326"/>
      <c r="AM307" s="326"/>
      <c r="AN307" s="326"/>
      <c r="AO307" s="326"/>
      <c r="AP307" s="326"/>
      <c r="AQ307" s="326"/>
      <c r="AR307" s="327"/>
      <c r="AS307" s="209"/>
      <c r="AT307" s="411"/>
      <c r="AU307" s="411"/>
    </row>
    <row r="308" spans="1:47" s="390" customFormat="1" ht="18.75" customHeight="1">
      <c r="A308" s="167">
        <v>301</v>
      </c>
      <c r="B308" s="79" t="str">
        <f>IFERROR(VLOOKUP(A308,O.B.JUNE!$A$7:$C$448,2,0),0)</f>
        <v>ALFANI</v>
      </c>
      <c r="C308" s="174">
        <f>IFERROR(VLOOKUP(A308,O.B.JUNE!$A$7:$C$448,3,0),0)</f>
        <v>100019839</v>
      </c>
      <c r="D308" s="80">
        <f t="shared" si="79"/>
        <v>0</v>
      </c>
      <c r="E308" s="80">
        <f>IFERROR(VLOOKUP(C308,O.B.JUNE!$C$7:$D$448,2,0),0)</f>
        <v>2214</v>
      </c>
      <c r="F308" s="80">
        <f>VLOOKUP(C308,'CUTTING ON JUNE'!$A$4:$D$316,3,0)</f>
        <v>2214</v>
      </c>
      <c r="G308" s="80">
        <f>IFERROR(VLOOKUP(C308,O.B.JUNE!$C$7:$E$448,3,0),0)</f>
        <v>303</v>
      </c>
      <c r="H308" s="80">
        <f t="shared" si="77"/>
        <v>0</v>
      </c>
      <c r="I308" s="80"/>
      <c r="J308" s="80">
        <f t="shared" si="80"/>
        <v>0</v>
      </c>
      <c r="K308" s="80">
        <v>0</v>
      </c>
      <c r="L308" s="80">
        <v>0</v>
      </c>
      <c r="M308" s="81">
        <f t="shared" si="81"/>
        <v>303</v>
      </c>
      <c r="N308" s="81">
        <v>0</v>
      </c>
      <c r="O308" s="81">
        <v>114</v>
      </c>
      <c r="P308" s="81">
        <f t="shared" si="93"/>
        <v>189</v>
      </c>
      <c r="Q308" s="80">
        <f>IFERROR(VLOOKUP(C308,O.B.JUNE!$C$7:$K$448,7,0),0)</f>
        <v>0</v>
      </c>
      <c r="R308" s="80">
        <f>IFERROR(VLOOKUP(C308,O.B.JUNE!$C$7:$J$448,8,0),0)</f>
        <v>0</v>
      </c>
      <c r="S308" s="323">
        <f t="shared" si="82"/>
        <v>0</v>
      </c>
      <c r="T308" s="324">
        <v>0</v>
      </c>
      <c r="U308" s="324"/>
      <c r="V308" s="80"/>
      <c r="W308" s="324">
        <v>0</v>
      </c>
      <c r="X308" s="324"/>
      <c r="Y308" s="324">
        <v>0</v>
      </c>
      <c r="Z308" s="80">
        <v>0</v>
      </c>
      <c r="AA308" s="80">
        <f t="shared" si="83"/>
        <v>0</v>
      </c>
      <c r="AB308" s="323">
        <f t="shared" si="84"/>
        <v>0</v>
      </c>
      <c r="AC308" s="80">
        <f t="shared" si="89"/>
        <v>0</v>
      </c>
      <c r="AD308" s="80">
        <f t="shared" si="90"/>
        <v>0</v>
      </c>
      <c r="AE308" s="80"/>
      <c r="AF308" s="80"/>
      <c r="AG308" s="80"/>
      <c r="AH308" s="326">
        <f t="shared" si="85"/>
        <v>0</v>
      </c>
      <c r="AI308" s="326">
        <f t="shared" si="86"/>
        <v>0</v>
      </c>
      <c r="AJ308" s="326">
        <f t="shared" si="87"/>
        <v>0</v>
      </c>
      <c r="AK308" s="326">
        <f t="shared" si="88"/>
        <v>0</v>
      </c>
      <c r="AL308" s="326"/>
      <c r="AM308" s="326"/>
      <c r="AN308" s="326"/>
      <c r="AO308" s="326"/>
      <c r="AP308" s="326"/>
      <c r="AQ308" s="326"/>
      <c r="AR308" s="327"/>
      <c r="AS308" s="209"/>
      <c r="AT308" s="411"/>
      <c r="AU308" s="411"/>
    </row>
    <row r="309" spans="1:47" s="390" customFormat="1" ht="18.75" customHeight="1">
      <c r="A309" s="167">
        <v>302</v>
      </c>
      <c r="B309" s="79" t="str">
        <f>IFERROR(VLOOKUP(A309,O.B.JUNE!$A$7:$C$448,2,0),0)</f>
        <v>CHARTER CLUB</v>
      </c>
      <c r="C309" s="174">
        <f>IFERROR(VLOOKUP(A309,O.B.JUNE!$A$7:$C$448,3,0),0)</f>
        <v>100021862</v>
      </c>
      <c r="D309" s="80">
        <f t="shared" si="79"/>
        <v>0</v>
      </c>
      <c r="E309" s="80">
        <f>IFERROR(VLOOKUP(C309,O.B.JUNE!$C$7:$D$448,2,0),0)</f>
        <v>798</v>
      </c>
      <c r="F309" s="80">
        <f>VLOOKUP(C309,'CUTTING ON JUNE'!$A$4:$D$316,3,0)</f>
        <v>798</v>
      </c>
      <c r="G309" s="80">
        <f>IFERROR(VLOOKUP(C309,O.B.JUNE!$C$7:$E$448,3,0),0)</f>
        <v>7</v>
      </c>
      <c r="H309" s="80">
        <f t="shared" si="77"/>
        <v>0</v>
      </c>
      <c r="I309" s="80"/>
      <c r="J309" s="80">
        <f t="shared" si="80"/>
        <v>0</v>
      </c>
      <c r="K309" s="80">
        <v>0</v>
      </c>
      <c r="L309" s="80">
        <v>0</v>
      </c>
      <c r="M309" s="81">
        <f t="shared" si="81"/>
        <v>7</v>
      </c>
      <c r="N309" s="81">
        <v>0</v>
      </c>
      <c r="O309" s="81">
        <v>0</v>
      </c>
      <c r="P309" s="81">
        <f t="shared" si="93"/>
        <v>7</v>
      </c>
      <c r="Q309" s="80">
        <f>IFERROR(VLOOKUP(C309,O.B.JUNE!$C$7:$K$448,7,0),0)</f>
        <v>0</v>
      </c>
      <c r="R309" s="80">
        <f>IFERROR(VLOOKUP(C309,O.B.JUNE!$C$7:$J$448,8,0),0)</f>
        <v>0</v>
      </c>
      <c r="S309" s="323">
        <f t="shared" si="82"/>
        <v>0</v>
      </c>
      <c r="T309" s="324">
        <v>0</v>
      </c>
      <c r="U309" s="324"/>
      <c r="V309" s="80"/>
      <c r="W309" s="324">
        <v>0</v>
      </c>
      <c r="X309" s="324"/>
      <c r="Y309" s="324">
        <v>0</v>
      </c>
      <c r="Z309" s="80">
        <v>0</v>
      </c>
      <c r="AA309" s="80">
        <f t="shared" si="83"/>
        <v>0</v>
      </c>
      <c r="AB309" s="323">
        <f t="shared" si="84"/>
        <v>0</v>
      </c>
      <c r="AC309" s="80">
        <f t="shared" si="89"/>
        <v>0</v>
      </c>
      <c r="AD309" s="80">
        <f t="shared" si="90"/>
        <v>0</v>
      </c>
      <c r="AE309" s="80"/>
      <c r="AF309" s="80"/>
      <c r="AG309" s="80"/>
      <c r="AH309" s="326">
        <f t="shared" si="85"/>
        <v>0</v>
      </c>
      <c r="AI309" s="326">
        <f t="shared" si="86"/>
        <v>0</v>
      </c>
      <c r="AJ309" s="326">
        <f t="shared" si="87"/>
        <v>0</v>
      </c>
      <c r="AK309" s="326">
        <f t="shared" si="88"/>
        <v>0</v>
      </c>
      <c r="AL309" s="326"/>
      <c r="AM309" s="326"/>
      <c r="AN309" s="326"/>
      <c r="AO309" s="326"/>
      <c r="AP309" s="326"/>
      <c r="AQ309" s="326"/>
      <c r="AR309" s="327"/>
      <c r="AS309" s="209"/>
      <c r="AT309" s="411"/>
      <c r="AU309" s="411"/>
    </row>
    <row r="310" spans="1:47" s="390" customFormat="1" ht="18.75" customHeight="1">
      <c r="A310" s="167">
        <v>303</v>
      </c>
      <c r="B310" s="79" t="str">
        <f>IFERROR(VLOOKUP(A310,O.B.JUNE!$A$7:$C$448,2,0),0)</f>
        <v>ALFANI</v>
      </c>
      <c r="C310" s="174">
        <f>IFERROR(VLOOKUP(A310,O.B.JUNE!$A$7:$C$448,3,0),0)</f>
        <v>100025244</v>
      </c>
      <c r="D310" s="80">
        <f t="shared" si="79"/>
        <v>0</v>
      </c>
      <c r="E310" s="80">
        <f>IFERROR(VLOOKUP(C310,O.B.JUNE!$C$7:$D$448,2,0),0)</f>
        <v>627</v>
      </c>
      <c r="F310" s="80">
        <f>VLOOKUP(C310,'CUTTING ON JUNE'!$A$4:$D$316,3,0)</f>
        <v>627</v>
      </c>
      <c r="G310" s="80">
        <f>IFERROR(VLOOKUP(C310,O.B.JUNE!$C$7:$E$448,3,0),0)</f>
        <v>12</v>
      </c>
      <c r="H310" s="80">
        <f t="shared" si="77"/>
        <v>0</v>
      </c>
      <c r="I310" s="80"/>
      <c r="J310" s="80">
        <f t="shared" si="80"/>
        <v>0</v>
      </c>
      <c r="K310" s="80">
        <v>0</v>
      </c>
      <c r="L310" s="80">
        <v>0</v>
      </c>
      <c r="M310" s="81">
        <f t="shared" si="81"/>
        <v>12</v>
      </c>
      <c r="N310" s="81">
        <v>0</v>
      </c>
      <c r="O310" s="81">
        <v>0</v>
      </c>
      <c r="P310" s="81">
        <f t="shared" si="93"/>
        <v>12</v>
      </c>
      <c r="Q310" s="80">
        <f>IFERROR(VLOOKUP(C310,O.B.JUNE!$C$7:$K$448,7,0),0)</f>
        <v>0</v>
      </c>
      <c r="R310" s="80">
        <f>IFERROR(VLOOKUP(C310,O.B.JUNE!$C$7:$J$448,8,0),0)</f>
        <v>0</v>
      </c>
      <c r="S310" s="323">
        <f t="shared" si="82"/>
        <v>0</v>
      </c>
      <c r="T310" s="324">
        <v>0</v>
      </c>
      <c r="U310" s="324"/>
      <c r="V310" s="80"/>
      <c r="W310" s="324">
        <v>0</v>
      </c>
      <c r="X310" s="324"/>
      <c r="Y310" s="324">
        <v>0</v>
      </c>
      <c r="Z310" s="80">
        <v>0</v>
      </c>
      <c r="AA310" s="80">
        <f t="shared" si="83"/>
        <v>0</v>
      </c>
      <c r="AB310" s="323">
        <f t="shared" si="84"/>
        <v>0</v>
      </c>
      <c r="AC310" s="80">
        <f t="shared" si="89"/>
        <v>0</v>
      </c>
      <c r="AD310" s="80">
        <f t="shared" si="90"/>
        <v>0</v>
      </c>
      <c r="AE310" s="80"/>
      <c r="AF310" s="80"/>
      <c r="AG310" s="80"/>
      <c r="AH310" s="326">
        <f t="shared" si="85"/>
        <v>0</v>
      </c>
      <c r="AI310" s="326">
        <f t="shared" si="86"/>
        <v>0</v>
      </c>
      <c r="AJ310" s="326">
        <f t="shared" si="87"/>
        <v>0</v>
      </c>
      <c r="AK310" s="326">
        <f t="shared" si="88"/>
        <v>0</v>
      </c>
      <c r="AL310" s="326"/>
      <c r="AM310" s="326"/>
      <c r="AN310" s="326"/>
      <c r="AO310" s="326"/>
      <c r="AP310" s="326"/>
      <c r="AQ310" s="326"/>
      <c r="AR310" s="327"/>
      <c r="AS310" s="209"/>
      <c r="AT310" s="411"/>
      <c r="AU310" s="411"/>
    </row>
    <row r="311" spans="1:47" s="390" customFormat="1" ht="18.75" customHeight="1">
      <c r="A311" s="167">
        <v>304</v>
      </c>
      <c r="B311" s="79" t="str">
        <f>IFERROR(VLOOKUP(A311,O.B.JUNE!$A$7:$C$448,2,0),0)</f>
        <v>ALFANI</v>
      </c>
      <c r="C311" s="174">
        <f>IFERROR(VLOOKUP(A311,O.B.JUNE!$A$7:$C$448,3,0),0)</f>
        <v>100025245</v>
      </c>
      <c r="D311" s="80">
        <f t="shared" si="79"/>
        <v>0</v>
      </c>
      <c r="E311" s="80">
        <f>IFERROR(VLOOKUP(C311,O.B.JUNE!$C$7:$D$448,2,0),0)</f>
        <v>596</v>
      </c>
      <c r="F311" s="80">
        <f>VLOOKUP(C311,'CUTTING ON JUNE'!$A$4:$D$316,3,0)</f>
        <v>596</v>
      </c>
      <c r="G311" s="80">
        <f>IFERROR(VLOOKUP(C311,O.B.JUNE!$C$7:$E$448,3,0),0)</f>
        <v>38</v>
      </c>
      <c r="H311" s="80">
        <f t="shared" si="77"/>
        <v>0</v>
      </c>
      <c r="I311" s="80"/>
      <c r="J311" s="80">
        <f t="shared" si="80"/>
        <v>0</v>
      </c>
      <c r="K311" s="80">
        <v>0</v>
      </c>
      <c r="L311" s="80">
        <v>0</v>
      </c>
      <c r="M311" s="81">
        <f t="shared" si="81"/>
        <v>38</v>
      </c>
      <c r="N311" s="81">
        <v>22</v>
      </c>
      <c r="O311" s="81">
        <v>5</v>
      </c>
      <c r="P311" s="81">
        <f t="shared" si="93"/>
        <v>11</v>
      </c>
      <c r="Q311" s="80">
        <f>IFERROR(VLOOKUP(C311,O.B.JUNE!$C$7:$K$448,7,0),0)</f>
        <v>0</v>
      </c>
      <c r="R311" s="80">
        <f>IFERROR(VLOOKUP(C311,O.B.JUNE!$C$7:$J$448,8,0),0)</f>
        <v>0</v>
      </c>
      <c r="S311" s="323">
        <f t="shared" si="82"/>
        <v>0</v>
      </c>
      <c r="T311" s="324">
        <v>0</v>
      </c>
      <c r="U311" s="324"/>
      <c r="V311" s="80"/>
      <c r="W311" s="324">
        <v>0</v>
      </c>
      <c r="X311" s="324"/>
      <c r="Y311" s="324">
        <v>0</v>
      </c>
      <c r="Z311" s="80">
        <v>0</v>
      </c>
      <c r="AA311" s="80">
        <f t="shared" si="83"/>
        <v>0</v>
      </c>
      <c r="AB311" s="323">
        <f t="shared" si="84"/>
        <v>0</v>
      </c>
      <c r="AC311" s="80">
        <f t="shared" si="89"/>
        <v>0</v>
      </c>
      <c r="AD311" s="80">
        <f t="shared" si="90"/>
        <v>0</v>
      </c>
      <c r="AE311" s="80"/>
      <c r="AF311" s="80"/>
      <c r="AG311" s="80"/>
      <c r="AH311" s="326">
        <f t="shared" si="85"/>
        <v>0</v>
      </c>
      <c r="AI311" s="326">
        <f t="shared" si="86"/>
        <v>0</v>
      </c>
      <c r="AJ311" s="326">
        <f t="shared" si="87"/>
        <v>0</v>
      </c>
      <c r="AK311" s="326">
        <f t="shared" si="88"/>
        <v>0</v>
      </c>
      <c r="AL311" s="326"/>
      <c r="AM311" s="326"/>
      <c r="AN311" s="326"/>
      <c r="AO311" s="326"/>
      <c r="AP311" s="326"/>
      <c r="AQ311" s="326"/>
      <c r="AR311" s="327"/>
      <c r="AS311" s="209"/>
      <c r="AT311" s="411"/>
      <c r="AU311" s="411"/>
    </row>
    <row r="312" spans="1:47" s="390" customFormat="1" ht="18.75" customHeight="1">
      <c r="A312" s="167">
        <v>305</v>
      </c>
      <c r="B312" s="79" t="str">
        <f>IFERROR(VLOOKUP(A312,O.B.JUNE!$A$7:$C$448,2,0),0)</f>
        <v>TALBOTS</v>
      </c>
      <c r="C312" s="174">
        <f>IFERROR(VLOOKUP(A312,O.B.JUNE!$A$7:$C$448,3,0),0)</f>
        <v>182013373</v>
      </c>
      <c r="D312" s="80">
        <f t="shared" si="79"/>
        <v>0</v>
      </c>
      <c r="E312" s="80">
        <f>IFERROR(VLOOKUP(C312,O.B.JUNE!$C$7:$D$448,2,0),0)</f>
        <v>10358</v>
      </c>
      <c r="F312" s="80">
        <f>VLOOKUP(C312,'CUTTING ON JUNE'!$A$4:$D$316,3,0)</f>
        <v>10358</v>
      </c>
      <c r="G312" s="80">
        <f>IFERROR(VLOOKUP(C312,O.B.JUNE!$C$7:$E$448,3,0),0)</f>
        <v>591</v>
      </c>
      <c r="H312" s="80">
        <f t="shared" si="77"/>
        <v>0</v>
      </c>
      <c r="I312" s="80"/>
      <c r="J312" s="80">
        <f t="shared" si="80"/>
        <v>0</v>
      </c>
      <c r="K312" s="80">
        <v>0</v>
      </c>
      <c r="L312" s="80">
        <v>0</v>
      </c>
      <c r="M312" s="81">
        <f t="shared" si="81"/>
        <v>591</v>
      </c>
      <c r="N312" s="81">
        <v>0</v>
      </c>
      <c r="O312" s="81">
        <v>318</v>
      </c>
      <c r="P312" s="81">
        <f t="shared" si="93"/>
        <v>273</v>
      </c>
      <c r="Q312" s="80">
        <f>IFERROR(VLOOKUP(C312,O.B.JUNE!$C$7:$K$448,7,0),0)</f>
        <v>0</v>
      </c>
      <c r="R312" s="80">
        <f>IFERROR(VLOOKUP(C312,O.B.JUNE!$C$7:$J$448,8,0),0)</f>
        <v>0</v>
      </c>
      <c r="S312" s="323">
        <f t="shared" si="82"/>
        <v>0</v>
      </c>
      <c r="T312" s="324">
        <v>0</v>
      </c>
      <c r="U312" s="324"/>
      <c r="V312" s="80"/>
      <c r="W312" s="324">
        <v>0</v>
      </c>
      <c r="X312" s="324"/>
      <c r="Y312" s="324">
        <v>0</v>
      </c>
      <c r="Z312" s="80">
        <v>0</v>
      </c>
      <c r="AA312" s="80">
        <f t="shared" si="83"/>
        <v>0</v>
      </c>
      <c r="AB312" s="323">
        <f t="shared" si="84"/>
        <v>0</v>
      </c>
      <c r="AC312" s="80">
        <f t="shared" si="89"/>
        <v>0</v>
      </c>
      <c r="AD312" s="80">
        <f t="shared" si="90"/>
        <v>0</v>
      </c>
      <c r="AE312" s="80"/>
      <c r="AF312" s="80"/>
      <c r="AG312" s="80"/>
      <c r="AH312" s="326">
        <f t="shared" si="85"/>
        <v>0</v>
      </c>
      <c r="AI312" s="326">
        <f t="shared" si="86"/>
        <v>0</v>
      </c>
      <c r="AJ312" s="326">
        <f t="shared" si="87"/>
        <v>0</v>
      </c>
      <c r="AK312" s="326">
        <f t="shared" si="88"/>
        <v>0</v>
      </c>
      <c r="AL312" s="326"/>
      <c r="AM312" s="326"/>
      <c r="AN312" s="326"/>
      <c r="AO312" s="326"/>
      <c r="AP312" s="326"/>
      <c r="AQ312" s="326"/>
      <c r="AR312" s="327">
        <f>VLOOKUP(C312,'[1]DA HET SAN XUAT'!$D$8:$AJ$419,33,0)</f>
        <v>0</v>
      </c>
      <c r="AS312" s="209"/>
      <c r="AT312" s="411"/>
      <c r="AU312" s="411"/>
    </row>
    <row r="313" spans="1:47" s="390" customFormat="1" ht="18.75" customHeight="1">
      <c r="A313" s="167">
        <v>306</v>
      </c>
      <c r="B313" s="79" t="str">
        <f>IFERROR(VLOOKUP(A313,O.B.JUNE!$A$7:$C$448,2,0),0)</f>
        <v>TALBOTS</v>
      </c>
      <c r="C313" s="174">
        <f>IFERROR(VLOOKUP(A313,O.B.JUNE!$A$7:$C$448,3,0),0)</f>
        <v>182013374</v>
      </c>
      <c r="D313" s="80">
        <f t="shared" si="79"/>
        <v>0</v>
      </c>
      <c r="E313" s="80">
        <f>IFERROR(VLOOKUP(C313,O.B.JUNE!$C$7:$D$448,2,0),0)</f>
        <v>7929</v>
      </c>
      <c r="F313" s="80">
        <f>VLOOKUP(C313,'CUTTING ON JUNE'!$A$4:$D$316,3,0)</f>
        <v>7929</v>
      </c>
      <c r="G313" s="80">
        <f>IFERROR(VLOOKUP(C313,O.B.JUNE!$C$7:$E$448,3,0),0)</f>
        <v>406</v>
      </c>
      <c r="H313" s="80">
        <f t="shared" si="77"/>
        <v>0</v>
      </c>
      <c r="I313" s="80"/>
      <c r="J313" s="80">
        <f t="shared" si="80"/>
        <v>0</v>
      </c>
      <c r="K313" s="80">
        <v>0</v>
      </c>
      <c r="L313" s="80">
        <v>0</v>
      </c>
      <c r="M313" s="81">
        <f t="shared" si="81"/>
        <v>406</v>
      </c>
      <c r="N313" s="81">
        <v>0</v>
      </c>
      <c r="O313" s="81">
        <v>70</v>
      </c>
      <c r="P313" s="81">
        <f t="shared" si="93"/>
        <v>336</v>
      </c>
      <c r="Q313" s="80">
        <f>IFERROR(VLOOKUP(C313,O.B.JUNE!$C$7:$K$448,7,0),0)</f>
        <v>0</v>
      </c>
      <c r="R313" s="80">
        <f>IFERROR(VLOOKUP(C313,O.B.JUNE!$C$7:$J$448,8,0),0)</f>
        <v>0</v>
      </c>
      <c r="S313" s="323">
        <f t="shared" si="82"/>
        <v>0</v>
      </c>
      <c r="T313" s="324">
        <v>0</v>
      </c>
      <c r="U313" s="324"/>
      <c r="V313" s="80"/>
      <c r="W313" s="324">
        <v>0</v>
      </c>
      <c r="X313" s="324"/>
      <c r="Y313" s="324">
        <v>0</v>
      </c>
      <c r="Z313" s="80">
        <v>0</v>
      </c>
      <c r="AA313" s="80">
        <f t="shared" si="83"/>
        <v>0</v>
      </c>
      <c r="AB313" s="323">
        <f t="shared" si="84"/>
        <v>0</v>
      </c>
      <c r="AC313" s="80">
        <f t="shared" si="89"/>
        <v>0</v>
      </c>
      <c r="AD313" s="80">
        <f t="shared" si="90"/>
        <v>0</v>
      </c>
      <c r="AE313" s="80"/>
      <c r="AF313" s="80"/>
      <c r="AG313" s="80"/>
      <c r="AH313" s="326">
        <f t="shared" si="85"/>
        <v>0</v>
      </c>
      <c r="AI313" s="326">
        <f t="shared" si="86"/>
        <v>0</v>
      </c>
      <c r="AJ313" s="326">
        <f t="shared" si="87"/>
        <v>0</v>
      </c>
      <c r="AK313" s="326">
        <f t="shared" si="88"/>
        <v>0</v>
      </c>
      <c r="AL313" s="326"/>
      <c r="AM313" s="326"/>
      <c r="AN313" s="326"/>
      <c r="AO313" s="326"/>
      <c r="AP313" s="326"/>
      <c r="AQ313" s="326"/>
      <c r="AR313" s="327">
        <f>VLOOKUP(C313,'[1]DA HET SAN XUAT'!$D$8:$AJ$419,33,0)</f>
        <v>0</v>
      </c>
      <c r="AS313" s="209"/>
      <c r="AT313" s="411"/>
      <c r="AU313" s="411"/>
    </row>
    <row r="314" spans="1:47" s="390" customFormat="1" ht="18.75" customHeight="1">
      <c r="A314" s="167">
        <v>307</v>
      </c>
      <c r="B314" s="79" t="str">
        <f>IFERROR(VLOOKUP(A314,O.B.JUNE!$A$7:$C$448,2,0),0)</f>
        <v>TALBOTS</v>
      </c>
      <c r="C314" s="174">
        <f>IFERROR(VLOOKUP(A314,O.B.JUNE!$A$7:$C$448,3,0),0)</f>
        <v>182034338</v>
      </c>
      <c r="D314" s="80">
        <f t="shared" si="79"/>
        <v>0</v>
      </c>
      <c r="E314" s="80">
        <f>IFERROR(VLOOKUP(C314,O.B.JUNE!$C$7:$D$448,2,0),0)</f>
        <v>1608</v>
      </c>
      <c r="F314" s="80">
        <f>VLOOKUP(C314,'CUTTING ON JUNE'!$A$4:$D$316,3,0)</f>
        <v>1608</v>
      </c>
      <c r="G314" s="80">
        <f>IFERROR(VLOOKUP(C314,O.B.JUNE!$C$7:$E$448,3,0),0)</f>
        <v>71</v>
      </c>
      <c r="H314" s="80">
        <f t="shared" si="77"/>
        <v>0</v>
      </c>
      <c r="I314" s="80"/>
      <c r="J314" s="80">
        <f t="shared" si="80"/>
        <v>0</v>
      </c>
      <c r="K314" s="80">
        <v>0</v>
      </c>
      <c r="L314" s="80">
        <v>0</v>
      </c>
      <c r="M314" s="81">
        <f t="shared" si="81"/>
        <v>71</v>
      </c>
      <c r="N314" s="81">
        <v>0</v>
      </c>
      <c r="O314" s="81">
        <v>61</v>
      </c>
      <c r="P314" s="81">
        <f t="shared" si="93"/>
        <v>10</v>
      </c>
      <c r="Q314" s="80">
        <f>IFERROR(VLOOKUP(C314,O.B.JUNE!$C$7:$K$448,7,0),0)</f>
        <v>0</v>
      </c>
      <c r="R314" s="80">
        <f>IFERROR(VLOOKUP(C314,O.B.JUNE!$C$7:$J$448,8,0),0)</f>
        <v>0</v>
      </c>
      <c r="S314" s="323">
        <f t="shared" si="82"/>
        <v>0</v>
      </c>
      <c r="T314" s="324">
        <v>0</v>
      </c>
      <c r="U314" s="324"/>
      <c r="V314" s="80"/>
      <c r="W314" s="324">
        <v>0</v>
      </c>
      <c r="X314" s="324"/>
      <c r="Y314" s="324">
        <v>0</v>
      </c>
      <c r="Z314" s="80">
        <v>0</v>
      </c>
      <c r="AA314" s="80">
        <f t="shared" si="83"/>
        <v>0</v>
      </c>
      <c r="AB314" s="323">
        <f t="shared" si="84"/>
        <v>0</v>
      </c>
      <c r="AC314" s="80">
        <f t="shared" si="89"/>
        <v>0</v>
      </c>
      <c r="AD314" s="80">
        <f t="shared" si="90"/>
        <v>0</v>
      </c>
      <c r="AE314" s="80"/>
      <c r="AF314" s="80"/>
      <c r="AG314" s="80"/>
      <c r="AH314" s="326">
        <f t="shared" si="85"/>
        <v>0</v>
      </c>
      <c r="AI314" s="326">
        <f t="shared" si="86"/>
        <v>0</v>
      </c>
      <c r="AJ314" s="326">
        <f t="shared" si="87"/>
        <v>0</v>
      </c>
      <c r="AK314" s="326">
        <f t="shared" si="88"/>
        <v>0</v>
      </c>
      <c r="AL314" s="326"/>
      <c r="AM314" s="326"/>
      <c r="AN314" s="326"/>
      <c r="AO314" s="326"/>
      <c r="AP314" s="326"/>
      <c r="AQ314" s="326"/>
      <c r="AR314" s="327">
        <f>VLOOKUP(C314,'[1]DA HET SAN XUAT'!$D$8:$AJ$419,33,0)</f>
        <v>0</v>
      </c>
      <c r="AS314" s="209"/>
      <c r="AT314" s="411"/>
      <c r="AU314" s="411"/>
    </row>
    <row r="315" spans="1:47" s="390" customFormat="1" ht="18.75" customHeight="1">
      <c r="A315" s="167">
        <v>308</v>
      </c>
      <c r="B315" s="79" t="str">
        <f>IFERROR(VLOOKUP(A315,O.B.JUNE!$A$7:$C$448,2,0),0)</f>
        <v>ALFANI</v>
      </c>
      <c r="C315" s="174">
        <f>IFERROR(VLOOKUP(A315,O.B.JUNE!$A$7:$C$448,3,0),0)</f>
        <v>100015358</v>
      </c>
      <c r="D315" s="80">
        <f t="shared" si="79"/>
        <v>0</v>
      </c>
      <c r="E315" s="80">
        <f>IFERROR(VLOOKUP(C315,O.B.JUNE!$C$7:$D$448,2,0),0)</f>
        <v>5087</v>
      </c>
      <c r="F315" s="80">
        <f>VLOOKUP(C315,'CUTTING ON JUNE'!$A$4:$D$316,3,0)</f>
        <v>5087</v>
      </c>
      <c r="G315" s="80">
        <f>IFERROR(VLOOKUP(C315,O.B.JUNE!$C$7:$E$448,3,0),0)</f>
        <v>62</v>
      </c>
      <c r="H315" s="80">
        <f t="shared" si="77"/>
        <v>0</v>
      </c>
      <c r="I315" s="80"/>
      <c r="J315" s="80">
        <f t="shared" si="80"/>
        <v>0</v>
      </c>
      <c r="K315" s="80">
        <v>0</v>
      </c>
      <c r="L315" s="80">
        <v>0</v>
      </c>
      <c r="M315" s="81">
        <f t="shared" si="81"/>
        <v>62</v>
      </c>
      <c r="N315" s="81">
        <v>0</v>
      </c>
      <c r="O315" s="81">
        <v>26</v>
      </c>
      <c r="P315" s="81">
        <f t="shared" si="93"/>
        <v>36</v>
      </c>
      <c r="Q315" s="80">
        <f>IFERROR(VLOOKUP(C315,O.B.JUNE!$C$7:$K$448,7,0),0)</f>
        <v>0</v>
      </c>
      <c r="R315" s="80">
        <f>IFERROR(VLOOKUP(C315,O.B.JUNE!$C$7:$J$448,8,0),0)</f>
        <v>0</v>
      </c>
      <c r="S315" s="323">
        <f t="shared" si="82"/>
        <v>0</v>
      </c>
      <c r="T315" s="324">
        <v>0</v>
      </c>
      <c r="U315" s="324"/>
      <c r="V315" s="80"/>
      <c r="W315" s="324">
        <v>0</v>
      </c>
      <c r="X315" s="324"/>
      <c r="Y315" s="324">
        <v>0</v>
      </c>
      <c r="Z315" s="80">
        <v>0</v>
      </c>
      <c r="AA315" s="80">
        <f t="shared" si="83"/>
        <v>0</v>
      </c>
      <c r="AB315" s="323">
        <f t="shared" si="84"/>
        <v>0</v>
      </c>
      <c r="AC315" s="80">
        <f t="shared" si="89"/>
        <v>0</v>
      </c>
      <c r="AD315" s="80">
        <f t="shared" si="90"/>
        <v>0</v>
      </c>
      <c r="AE315" s="80"/>
      <c r="AF315" s="80"/>
      <c r="AG315" s="80"/>
      <c r="AH315" s="326">
        <f t="shared" si="85"/>
        <v>0</v>
      </c>
      <c r="AI315" s="326">
        <f t="shared" si="86"/>
        <v>0</v>
      </c>
      <c r="AJ315" s="326">
        <f t="shared" si="87"/>
        <v>0</v>
      </c>
      <c r="AK315" s="326">
        <f t="shared" si="88"/>
        <v>0</v>
      </c>
      <c r="AL315" s="326"/>
      <c r="AM315" s="326"/>
      <c r="AN315" s="326"/>
      <c r="AO315" s="326"/>
      <c r="AP315" s="326"/>
      <c r="AQ315" s="326"/>
      <c r="AR315" s="327"/>
      <c r="AS315" s="209"/>
      <c r="AT315" s="411"/>
      <c r="AU315" s="411"/>
    </row>
    <row r="316" spans="1:47" s="390" customFormat="1" ht="18.75" customHeight="1">
      <c r="A316" s="167">
        <v>309</v>
      </c>
      <c r="B316" s="79" t="str">
        <f>IFERROR(VLOOKUP(A316,O.B.JUNE!$A$7:$C$448,2,0),0)</f>
        <v>ALFANI</v>
      </c>
      <c r="C316" s="174">
        <f>IFERROR(VLOOKUP(A316,O.B.JUNE!$A$7:$C$448,3,0),0)</f>
        <v>100022090</v>
      </c>
      <c r="D316" s="80">
        <f t="shared" si="79"/>
        <v>0</v>
      </c>
      <c r="E316" s="80">
        <f>IFERROR(VLOOKUP(C316,O.B.JUNE!$C$7:$D$448,2,0),0)</f>
        <v>6032</v>
      </c>
      <c r="F316" s="80">
        <f>VLOOKUP(C316,'CUTTING ON JUNE'!$A$4:$D$316,3,0)</f>
        <v>6032</v>
      </c>
      <c r="G316" s="80">
        <f>IFERROR(VLOOKUP(C316,O.B.JUNE!$C$7:$E$448,3,0),0)</f>
        <v>335</v>
      </c>
      <c r="H316" s="80">
        <f t="shared" si="77"/>
        <v>0</v>
      </c>
      <c r="I316" s="80"/>
      <c r="J316" s="80">
        <f t="shared" si="80"/>
        <v>0</v>
      </c>
      <c r="K316" s="80">
        <v>0</v>
      </c>
      <c r="L316" s="80">
        <v>0</v>
      </c>
      <c r="M316" s="81">
        <f t="shared" si="81"/>
        <v>335</v>
      </c>
      <c r="N316" s="81">
        <v>0</v>
      </c>
      <c r="O316" s="81">
        <v>0</v>
      </c>
      <c r="P316" s="81">
        <f t="shared" si="93"/>
        <v>335</v>
      </c>
      <c r="Q316" s="80">
        <f>IFERROR(VLOOKUP(C316,O.B.JUNE!$C$7:$K$448,7,0),0)</f>
        <v>0</v>
      </c>
      <c r="R316" s="80">
        <f>IFERROR(VLOOKUP(C316,O.B.JUNE!$C$7:$J$448,8,0),0)</f>
        <v>0</v>
      </c>
      <c r="S316" s="323">
        <f t="shared" si="82"/>
        <v>0</v>
      </c>
      <c r="T316" s="324">
        <v>0</v>
      </c>
      <c r="U316" s="324"/>
      <c r="V316" s="80"/>
      <c r="W316" s="324">
        <v>0</v>
      </c>
      <c r="X316" s="324"/>
      <c r="Y316" s="324">
        <v>0</v>
      </c>
      <c r="Z316" s="80">
        <v>0</v>
      </c>
      <c r="AA316" s="80">
        <f t="shared" si="83"/>
        <v>0</v>
      </c>
      <c r="AB316" s="323">
        <f t="shared" si="84"/>
        <v>0</v>
      </c>
      <c r="AC316" s="80">
        <f t="shared" si="89"/>
        <v>0</v>
      </c>
      <c r="AD316" s="80">
        <f t="shared" si="90"/>
        <v>0</v>
      </c>
      <c r="AE316" s="80"/>
      <c r="AF316" s="80"/>
      <c r="AG316" s="80"/>
      <c r="AH316" s="326">
        <f t="shared" si="85"/>
        <v>0</v>
      </c>
      <c r="AI316" s="326">
        <f t="shared" si="86"/>
        <v>0</v>
      </c>
      <c r="AJ316" s="326">
        <f t="shared" si="87"/>
        <v>0</v>
      </c>
      <c r="AK316" s="326">
        <f t="shared" si="88"/>
        <v>0</v>
      </c>
      <c r="AL316" s="326"/>
      <c r="AM316" s="326"/>
      <c r="AN316" s="326"/>
      <c r="AO316" s="326"/>
      <c r="AP316" s="326"/>
      <c r="AQ316" s="326"/>
      <c r="AR316" s="327"/>
      <c r="AS316" s="209"/>
      <c r="AT316" s="411"/>
      <c r="AU316" s="411"/>
    </row>
    <row r="317" spans="1:47" s="390" customFormat="1" ht="18.75" customHeight="1">
      <c r="A317" s="167">
        <v>310</v>
      </c>
      <c r="B317" s="79" t="str">
        <f>IFERROR(VLOOKUP(A317,O.B.JUNE!$A$7:$C$448,2,0),0)</f>
        <v>TALBOTS</v>
      </c>
      <c r="C317" s="174">
        <f>IFERROR(VLOOKUP(A317,O.B.JUNE!$A$7:$C$448,3,0),0)</f>
        <v>182034820</v>
      </c>
      <c r="D317" s="80">
        <f t="shared" si="79"/>
        <v>0</v>
      </c>
      <c r="E317" s="80">
        <f>IFERROR(VLOOKUP(C317,O.B.JUNE!$C$7:$D$448,2,0),0)</f>
        <v>11437</v>
      </c>
      <c r="F317" s="80">
        <f>VLOOKUP(C317,'CUTTING ON JUNE'!$A$4:$D$316,3,0)</f>
        <v>11437</v>
      </c>
      <c r="G317" s="80">
        <f>IFERROR(VLOOKUP(C317,O.B.JUNE!$C$7:$E$448,3,0),0)</f>
        <v>876</v>
      </c>
      <c r="H317" s="80">
        <f t="shared" si="77"/>
        <v>0</v>
      </c>
      <c r="I317" s="80"/>
      <c r="J317" s="80">
        <f t="shared" si="80"/>
        <v>0</v>
      </c>
      <c r="K317" s="80">
        <v>0</v>
      </c>
      <c r="L317" s="80">
        <v>0</v>
      </c>
      <c r="M317" s="81">
        <f t="shared" si="81"/>
        <v>876</v>
      </c>
      <c r="N317" s="81">
        <v>0</v>
      </c>
      <c r="O317" s="81">
        <v>367</v>
      </c>
      <c r="P317" s="81">
        <f t="shared" si="93"/>
        <v>509</v>
      </c>
      <c r="Q317" s="80">
        <f>IFERROR(VLOOKUP(C317,O.B.JUNE!$C$7:$K$448,7,0),0)</f>
        <v>0</v>
      </c>
      <c r="R317" s="80">
        <f>IFERROR(VLOOKUP(C317,O.B.JUNE!$C$7:$J$448,8,0),0)</f>
        <v>234</v>
      </c>
      <c r="S317" s="323">
        <f t="shared" si="82"/>
        <v>234</v>
      </c>
      <c r="T317" s="324">
        <v>0</v>
      </c>
      <c r="U317" s="324"/>
      <c r="V317" s="80"/>
      <c r="W317" s="324">
        <v>0</v>
      </c>
      <c r="X317" s="324"/>
      <c r="Y317" s="324">
        <v>0</v>
      </c>
      <c r="Z317" s="80">
        <v>0</v>
      </c>
      <c r="AA317" s="80">
        <f t="shared" si="83"/>
        <v>0</v>
      </c>
      <c r="AB317" s="323">
        <f t="shared" si="84"/>
        <v>0</v>
      </c>
      <c r="AC317" s="80">
        <f t="shared" si="89"/>
        <v>234</v>
      </c>
      <c r="AD317" s="80">
        <f t="shared" si="90"/>
        <v>234</v>
      </c>
      <c r="AE317" s="80"/>
      <c r="AF317" s="80"/>
      <c r="AG317" s="80"/>
      <c r="AH317" s="326">
        <f t="shared" si="85"/>
        <v>0</v>
      </c>
      <c r="AI317" s="326">
        <f t="shared" si="86"/>
        <v>0</v>
      </c>
      <c r="AJ317" s="326">
        <f t="shared" si="87"/>
        <v>0</v>
      </c>
      <c r="AK317" s="326">
        <f t="shared" si="88"/>
        <v>0</v>
      </c>
      <c r="AL317" s="326"/>
      <c r="AM317" s="326"/>
      <c r="AN317" s="326"/>
      <c r="AO317" s="326"/>
      <c r="AP317" s="326"/>
      <c r="AQ317" s="326"/>
      <c r="AR317" s="327"/>
      <c r="AS317" s="209"/>
      <c r="AT317" s="411"/>
      <c r="AU317" s="411"/>
    </row>
    <row r="318" spans="1:47" s="390" customFormat="1" ht="18.75" customHeight="1">
      <c r="A318" s="167">
        <v>311</v>
      </c>
      <c r="B318" s="79" t="str">
        <f>IFERROR(VLOOKUP(A318,O.B.JUNE!$A$7:$C$448,2,0),0)</f>
        <v>ANN TAYLOR</v>
      </c>
      <c r="C318" s="174">
        <f>IFERROR(VLOOKUP(A318,O.B.JUNE!$A$7:$C$448,3,0),0)</f>
        <v>457223</v>
      </c>
      <c r="D318" s="80">
        <f t="shared" si="79"/>
        <v>0</v>
      </c>
      <c r="E318" s="80">
        <f>IFERROR(VLOOKUP(C318,O.B.JUNE!$C$7:$D$448,2,0),0)</f>
        <v>10595</v>
      </c>
      <c r="F318" s="80">
        <f>VLOOKUP(C318,'CUTTING ON JUNE'!$A$4:$D$316,3,0)</f>
        <v>10595</v>
      </c>
      <c r="G318" s="80">
        <f>IFERROR(VLOOKUP(C318,O.B.JUNE!$C$7:$E$448,3,0),0)</f>
        <v>314</v>
      </c>
      <c r="H318" s="80">
        <f t="shared" si="77"/>
        <v>0</v>
      </c>
      <c r="I318" s="80"/>
      <c r="J318" s="80">
        <f t="shared" si="80"/>
        <v>0</v>
      </c>
      <c r="K318" s="80">
        <v>0</v>
      </c>
      <c r="L318" s="80">
        <v>0</v>
      </c>
      <c r="M318" s="81">
        <f t="shared" si="81"/>
        <v>314</v>
      </c>
      <c r="N318" s="81">
        <v>0</v>
      </c>
      <c r="O318" s="81">
        <v>212</v>
      </c>
      <c r="P318" s="81">
        <f t="shared" si="93"/>
        <v>102</v>
      </c>
      <c r="Q318" s="80">
        <f>IFERROR(VLOOKUP(C318,O.B.JUNE!$C$7:$K$448,7,0),0)</f>
        <v>0</v>
      </c>
      <c r="R318" s="80">
        <f>IFERROR(VLOOKUP(C318,O.B.JUNE!$C$7:$J$448,8,0),0)</f>
        <v>0</v>
      </c>
      <c r="S318" s="323">
        <f t="shared" si="82"/>
        <v>0</v>
      </c>
      <c r="T318" s="324">
        <v>0</v>
      </c>
      <c r="U318" s="324"/>
      <c r="V318" s="80"/>
      <c r="W318" s="324">
        <v>0</v>
      </c>
      <c r="X318" s="324"/>
      <c r="Y318" s="324">
        <v>0</v>
      </c>
      <c r="Z318" s="80">
        <v>0</v>
      </c>
      <c r="AA318" s="80">
        <f t="shared" si="83"/>
        <v>0</v>
      </c>
      <c r="AB318" s="323">
        <f t="shared" si="84"/>
        <v>0</v>
      </c>
      <c r="AC318" s="80">
        <f t="shared" si="89"/>
        <v>0</v>
      </c>
      <c r="AD318" s="80">
        <f t="shared" si="90"/>
        <v>0</v>
      </c>
      <c r="AE318" s="80"/>
      <c r="AF318" s="80"/>
      <c r="AG318" s="80"/>
      <c r="AH318" s="326">
        <f t="shared" si="85"/>
        <v>0</v>
      </c>
      <c r="AI318" s="326">
        <f t="shared" si="86"/>
        <v>0</v>
      </c>
      <c r="AJ318" s="326">
        <f t="shared" si="87"/>
        <v>0</v>
      </c>
      <c r="AK318" s="326">
        <f t="shared" si="88"/>
        <v>0</v>
      </c>
      <c r="AL318" s="326"/>
      <c r="AM318" s="326"/>
      <c r="AN318" s="326"/>
      <c r="AO318" s="326"/>
      <c r="AP318" s="326"/>
      <c r="AQ318" s="326"/>
      <c r="AR318" s="327"/>
      <c r="AS318" s="209"/>
      <c r="AT318" s="411"/>
      <c r="AU318" s="411"/>
    </row>
    <row r="319" spans="1:47" s="390" customFormat="1" ht="18.75" customHeight="1">
      <c r="A319" s="167">
        <v>312</v>
      </c>
      <c r="B319" s="79" t="str">
        <f>IFERROR(VLOOKUP(A319,O.B.JUNE!$A$7:$C$448,2,0),0)</f>
        <v>ANN TAYLOR</v>
      </c>
      <c r="C319" s="174">
        <f>IFERROR(VLOOKUP(A319,O.B.JUNE!$A$7:$C$448,3,0),0)</f>
        <v>461186</v>
      </c>
      <c r="D319" s="80">
        <f t="shared" si="79"/>
        <v>0</v>
      </c>
      <c r="E319" s="80">
        <f>IFERROR(VLOOKUP(C319,O.B.JUNE!$C$7:$D$448,2,0),0)</f>
        <v>4721</v>
      </c>
      <c r="F319" s="80">
        <f>VLOOKUP(C319,'CUTTING ON JUNE'!$A$4:$D$316,3,0)</f>
        <v>4721</v>
      </c>
      <c r="G319" s="80">
        <f>IFERROR(VLOOKUP(C319,O.B.JUNE!$C$7:$E$448,3,0),0)</f>
        <v>227</v>
      </c>
      <c r="H319" s="80">
        <f t="shared" si="77"/>
        <v>0</v>
      </c>
      <c r="I319" s="80"/>
      <c r="J319" s="80">
        <f t="shared" si="80"/>
        <v>0</v>
      </c>
      <c r="K319" s="80">
        <v>0</v>
      </c>
      <c r="L319" s="80">
        <v>0</v>
      </c>
      <c r="M319" s="81">
        <f t="shared" si="81"/>
        <v>227</v>
      </c>
      <c r="N319" s="81">
        <v>0</v>
      </c>
      <c r="O319" s="81">
        <v>142</v>
      </c>
      <c r="P319" s="81">
        <f t="shared" si="93"/>
        <v>85</v>
      </c>
      <c r="Q319" s="80">
        <f>IFERROR(VLOOKUP(C319,O.B.JUNE!$C$7:$K$448,7,0),0)</f>
        <v>0</v>
      </c>
      <c r="R319" s="80">
        <f>IFERROR(VLOOKUP(C319,O.B.JUNE!$C$7:$J$448,8,0),0)</f>
        <v>0</v>
      </c>
      <c r="S319" s="323">
        <f t="shared" si="82"/>
        <v>0</v>
      </c>
      <c r="T319" s="324">
        <v>0</v>
      </c>
      <c r="U319" s="324"/>
      <c r="V319" s="80"/>
      <c r="W319" s="324">
        <v>0</v>
      </c>
      <c r="X319" s="324"/>
      <c r="Y319" s="324">
        <v>0</v>
      </c>
      <c r="Z319" s="80">
        <v>0</v>
      </c>
      <c r="AA319" s="80">
        <f t="shared" si="83"/>
        <v>0</v>
      </c>
      <c r="AB319" s="323">
        <f t="shared" si="84"/>
        <v>0</v>
      </c>
      <c r="AC319" s="80">
        <f t="shared" si="89"/>
        <v>0</v>
      </c>
      <c r="AD319" s="80">
        <f t="shared" si="90"/>
        <v>0</v>
      </c>
      <c r="AE319" s="80"/>
      <c r="AF319" s="80"/>
      <c r="AG319" s="80"/>
      <c r="AH319" s="326">
        <f t="shared" si="85"/>
        <v>0</v>
      </c>
      <c r="AI319" s="326">
        <f t="shared" si="86"/>
        <v>0</v>
      </c>
      <c r="AJ319" s="326">
        <f t="shared" si="87"/>
        <v>0</v>
      </c>
      <c r="AK319" s="326">
        <f t="shared" si="88"/>
        <v>0</v>
      </c>
      <c r="AL319" s="326"/>
      <c r="AM319" s="326"/>
      <c r="AN319" s="326"/>
      <c r="AO319" s="326"/>
      <c r="AP319" s="326"/>
      <c r="AQ319" s="326"/>
      <c r="AR319" s="327">
        <f>VLOOKUP(C319,'[1]DA HET SAN XUAT'!$D$8:$AJ$419,33,0)</f>
        <v>0</v>
      </c>
      <c r="AS319" s="209"/>
      <c r="AT319" s="411"/>
      <c r="AU319" s="411"/>
    </row>
    <row r="320" spans="1:47" s="390" customFormat="1" ht="18.75" customHeight="1">
      <c r="A320" s="167">
        <v>313</v>
      </c>
      <c r="B320" s="79" t="str">
        <f>IFERROR(VLOOKUP(A320,O.B.JUNE!$A$7:$C$448,2,0),0)</f>
        <v>ANN TAYLOR</v>
      </c>
      <c r="C320" s="174">
        <f>IFERROR(VLOOKUP(A320,O.B.JUNE!$A$7:$C$448,3,0),0)</f>
        <v>461795</v>
      </c>
      <c r="D320" s="80">
        <f t="shared" si="79"/>
        <v>0</v>
      </c>
      <c r="E320" s="80">
        <f>IFERROR(VLOOKUP(C320,O.B.JUNE!$C$7:$D$448,2,0),0)</f>
        <v>12770</v>
      </c>
      <c r="F320" s="80">
        <f>VLOOKUP(C320,'CUTTING ON JUNE'!$A$4:$D$316,3,0)</f>
        <v>12770</v>
      </c>
      <c r="G320" s="80">
        <f>IFERROR(VLOOKUP(C320,O.B.JUNE!$C$7:$E$448,3,0),0)</f>
        <v>735</v>
      </c>
      <c r="H320" s="80">
        <f t="shared" si="77"/>
        <v>0</v>
      </c>
      <c r="I320" s="80"/>
      <c r="J320" s="80">
        <f t="shared" si="80"/>
        <v>0</v>
      </c>
      <c r="K320" s="80">
        <v>0</v>
      </c>
      <c r="L320" s="80">
        <v>0</v>
      </c>
      <c r="M320" s="81">
        <f t="shared" si="81"/>
        <v>735</v>
      </c>
      <c r="N320" s="81">
        <v>0</v>
      </c>
      <c r="O320" s="81">
        <v>314</v>
      </c>
      <c r="P320" s="81">
        <f t="shared" si="93"/>
        <v>421</v>
      </c>
      <c r="Q320" s="80">
        <f>IFERROR(VLOOKUP(C320,O.B.JUNE!$C$7:$K$448,7,0),0)</f>
        <v>0</v>
      </c>
      <c r="R320" s="80">
        <f>IFERROR(VLOOKUP(C320,O.B.JUNE!$C$7:$J$448,8,0),0)</f>
        <v>0</v>
      </c>
      <c r="S320" s="323">
        <f t="shared" si="82"/>
        <v>0</v>
      </c>
      <c r="T320" s="324">
        <v>0</v>
      </c>
      <c r="U320" s="324"/>
      <c r="V320" s="80"/>
      <c r="W320" s="324">
        <v>0</v>
      </c>
      <c r="X320" s="324"/>
      <c r="Y320" s="324">
        <v>0</v>
      </c>
      <c r="Z320" s="80">
        <v>0</v>
      </c>
      <c r="AA320" s="80">
        <f t="shared" si="83"/>
        <v>0</v>
      </c>
      <c r="AB320" s="323">
        <f t="shared" si="84"/>
        <v>0</v>
      </c>
      <c r="AC320" s="80">
        <f t="shared" si="89"/>
        <v>0</v>
      </c>
      <c r="AD320" s="80">
        <f t="shared" si="90"/>
        <v>0</v>
      </c>
      <c r="AE320" s="80"/>
      <c r="AF320" s="80"/>
      <c r="AG320" s="80"/>
      <c r="AH320" s="326">
        <f t="shared" si="85"/>
        <v>0</v>
      </c>
      <c r="AI320" s="326">
        <f t="shared" si="86"/>
        <v>0</v>
      </c>
      <c r="AJ320" s="326">
        <f t="shared" si="87"/>
        <v>0</v>
      </c>
      <c r="AK320" s="326">
        <f t="shared" si="88"/>
        <v>0</v>
      </c>
      <c r="AL320" s="326"/>
      <c r="AM320" s="326"/>
      <c r="AN320" s="326"/>
      <c r="AO320" s="326"/>
      <c r="AP320" s="326"/>
      <c r="AQ320" s="326"/>
      <c r="AR320" s="327"/>
      <c r="AS320" s="209"/>
      <c r="AT320" s="411"/>
      <c r="AU320" s="411"/>
    </row>
    <row r="321" spans="1:47" s="390" customFormat="1" ht="18.75" customHeight="1">
      <c r="A321" s="167">
        <v>314</v>
      </c>
      <c r="B321" s="79" t="str">
        <f>IFERROR(VLOOKUP(A321,O.B.JUNE!$A$7:$C$448,2,0),0)</f>
        <v>ANN TAYLOR</v>
      </c>
      <c r="C321" s="174">
        <f>IFERROR(VLOOKUP(A321,O.B.JUNE!$A$7:$C$448,3,0),0)</f>
        <v>463022</v>
      </c>
      <c r="D321" s="80">
        <f t="shared" si="79"/>
        <v>0</v>
      </c>
      <c r="E321" s="80">
        <f>IFERROR(VLOOKUP(C321,O.B.JUNE!$C$7:$D$448,2,0),0)</f>
        <v>3150</v>
      </c>
      <c r="F321" s="80">
        <f>VLOOKUP(C321,'CUTTING ON JUNE'!$A$4:$D$316,3,0)</f>
        <v>3150</v>
      </c>
      <c r="G321" s="80">
        <f>IFERROR(VLOOKUP(C321,O.B.JUNE!$C$7:$E$448,3,0),0)</f>
        <v>124</v>
      </c>
      <c r="H321" s="80">
        <f t="shared" si="77"/>
        <v>0</v>
      </c>
      <c r="I321" s="80"/>
      <c r="J321" s="80">
        <f t="shared" si="80"/>
        <v>0</v>
      </c>
      <c r="K321" s="80">
        <v>0</v>
      </c>
      <c r="L321" s="80">
        <v>0</v>
      </c>
      <c r="M321" s="81">
        <f t="shared" si="81"/>
        <v>124</v>
      </c>
      <c r="N321" s="81">
        <v>0</v>
      </c>
      <c r="O321" s="81">
        <v>81</v>
      </c>
      <c r="P321" s="81">
        <f t="shared" si="93"/>
        <v>43</v>
      </c>
      <c r="Q321" s="80">
        <f>IFERROR(VLOOKUP(C321,O.B.JUNE!$C$7:$K$448,7,0),0)</f>
        <v>0</v>
      </c>
      <c r="R321" s="80">
        <f>IFERROR(VLOOKUP(C321,O.B.JUNE!$C$7:$J$448,8,0),0)</f>
        <v>0</v>
      </c>
      <c r="S321" s="323">
        <f t="shared" si="82"/>
        <v>0</v>
      </c>
      <c r="T321" s="324">
        <v>0</v>
      </c>
      <c r="U321" s="324"/>
      <c r="V321" s="80"/>
      <c r="W321" s="324">
        <v>0</v>
      </c>
      <c r="X321" s="324"/>
      <c r="Y321" s="324">
        <v>0</v>
      </c>
      <c r="Z321" s="80">
        <v>0</v>
      </c>
      <c r="AA321" s="80">
        <f t="shared" si="83"/>
        <v>0</v>
      </c>
      <c r="AB321" s="323">
        <f t="shared" si="84"/>
        <v>0</v>
      </c>
      <c r="AC321" s="80">
        <f t="shared" si="89"/>
        <v>0</v>
      </c>
      <c r="AD321" s="80">
        <f t="shared" si="90"/>
        <v>0</v>
      </c>
      <c r="AE321" s="80"/>
      <c r="AF321" s="80"/>
      <c r="AG321" s="80"/>
      <c r="AH321" s="326">
        <f t="shared" si="85"/>
        <v>0</v>
      </c>
      <c r="AI321" s="326">
        <f t="shared" si="86"/>
        <v>0</v>
      </c>
      <c r="AJ321" s="326">
        <f t="shared" si="87"/>
        <v>0</v>
      </c>
      <c r="AK321" s="326">
        <f t="shared" si="88"/>
        <v>0</v>
      </c>
      <c r="AL321" s="326"/>
      <c r="AM321" s="326"/>
      <c r="AN321" s="326"/>
      <c r="AO321" s="326"/>
      <c r="AP321" s="326"/>
      <c r="AQ321" s="326"/>
      <c r="AR321" s="327">
        <f>VLOOKUP(C321,'[1]DA HET SAN XUAT'!$D$8:$AJ$419,33,0)</f>
        <v>0</v>
      </c>
      <c r="AS321" s="209"/>
      <c r="AT321" s="411"/>
      <c r="AU321" s="411"/>
    </row>
    <row r="322" spans="1:47" s="390" customFormat="1" ht="18.75" customHeight="1">
      <c r="A322" s="167">
        <v>315</v>
      </c>
      <c r="B322" s="79" t="str">
        <f>IFERROR(VLOOKUP(A322,O.B.JUNE!$A$7:$C$448,2,0),0)</f>
        <v>ANN TAYLOR</v>
      </c>
      <c r="C322" s="174">
        <f>IFERROR(VLOOKUP(A322,O.B.JUNE!$A$7:$C$448,3,0),0)</f>
        <v>463024</v>
      </c>
      <c r="D322" s="80">
        <f t="shared" si="79"/>
        <v>0</v>
      </c>
      <c r="E322" s="80">
        <f>IFERROR(VLOOKUP(C322,O.B.JUNE!$C$7:$D$448,2,0),0)</f>
        <v>6277</v>
      </c>
      <c r="F322" s="80">
        <f>VLOOKUP(C322,'CUTTING ON JUNE'!$A$4:$D$316,3,0)</f>
        <v>6277</v>
      </c>
      <c r="G322" s="80">
        <f>IFERROR(VLOOKUP(C322,O.B.JUNE!$C$7:$E$448,3,0),0)</f>
        <v>183</v>
      </c>
      <c r="H322" s="80">
        <f>IF(F322="","",F322-E322)</f>
        <v>0</v>
      </c>
      <c r="I322" s="80"/>
      <c r="J322" s="80">
        <f t="shared" si="80"/>
        <v>0</v>
      </c>
      <c r="K322" s="80">
        <v>0</v>
      </c>
      <c r="L322" s="80">
        <v>0</v>
      </c>
      <c r="M322" s="81">
        <f t="shared" si="81"/>
        <v>183</v>
      </c>
      <c r="N322" s="81">
        <v>0</v>
      </c>
      <c r="O322" s="81">
        <v>72</v>
      </c>
      <c r="P322" s="81">
        <f t="shared" si="93"/>
        <v>111</v>
      </c>
      <c r="Q322" s="80">
        <f>IFERROR(VLOOKUP(C322,O.B.JUNE!$C$7:$K$448,7,0),0)</f>
        <v>0</v>
      </c>
      <c r="R322" s="80">
        <f>IFERROR(VLOOKUP(C322,O.B.JUNE!$C$7:$J$448,8,0),0)</f>
        <v>0</v>
      </c>
      <c r="S322" s="323">
        <f t="shared" si="82"/>
        <v>0</v>
      </c>
      <c r="T322" s="324">
        <v>0</v>
      </c>
      <c r="U322" s="324"/>
      <c r="V322" s="80"/>
      <c r="W322" s="324">
        <v>0</v>
      </c>
      <c r="X322" s="324"/>
      <c r="Y322" s="324">
        <v>0</v>
      </c>
      <c r="Z322" s="80">
        <v>0</v>
      </c>
      <c r="AA322" s="80">
        <f t="shared" si="83"/>
        <v>0</v>
      </c>
      <c r="AB322" s="323">
        <f t="shared" si="84"/>
        <v>0</v>
      </c>
      <c r="AC322" s="80">
        <f t="shared" si="89"/>
        <v>0</v>
      </c>
      <c r="AD322" s="80">
        <f t="shared" si="90"/>
        <v>0</v>
      </c>
      <c r="AE322" s="80"/>
      <c r="AF322" s="80"/>
      <c r="AG322" s="80"/>
      <c r="AH322" s="326">
        <f t="shared" si="85"/>
        <v>0</v>
      </c>
      <c r="AI322" s="326">
        <f t="shared" si="86"/>
        <v>0</v>
      </c>
      <c r="AJ322" s="326">
        <f t="shared" si="87"/>
        <v>0</v>
      </c>
      <c r="AK322" s="326">
        <f t="shared" si="88"/>
        <v>0</v>
      </c>
      <c r="AL322" s="326"/>
      <c r="AM322" s="326"/>
      <c r="AN322" s="326"/>
      <c r="AO322" s="326"/>
      <c r="AP322" s="326"/>
      <c r="AQ322" s="326"/>
      <c r="AR322" s="327"/>
      <c r="AS322" s="209"/>
      <c r="AT322" s="411"/>
      <c r="AU322" s="411"/>
    </row>
    <row r="323" spans="1:47" s="390" customFormat="1" ht="18.75" customHeight="1">
      <c r="A323" s="167">
        <v>316</v>
      </c>
      <c r="B323" s="79" t="str">
        <f>IFERROR(VLOOKUP(A323,O.B.JUNE!$A$7:$C$448,2,0),0)</f>
        <v>ANN TAYLOR</v>
      </c>
      <c r="C323" s="174">
        <f>IFERROR(VLOOKUP(A323,O.B.JUNE!$A$7:$C$448,3,0),0)</f>
        <v>463029</v>
      </c>
      <c r="D323" s="80">
        <f t="shared" si="79"/>
        <v>0</v>
      </c>
      <c r="E323" s="80">
        <f>IFERROR(VLOOKUP(C323,O.B.JUNE!$C$7:$D$448,2,0),0)</f>
        <v>6421</v>
      </c>
      <c r="F323" s="80">
        <f>VLOOKUP(C323,'CUTTING ON JUNE'!$A$4:$D$316,3,0)</f>
        <v>6421</v>
      </c>
      <c r="G323" s="80">
        <f>IFERROR(VLOOKUP(C323,O.B.JUNE!$C$7:$E$448,3,0),0)</f>
        <v>87</v>
      </c>
      <c r="H323" s="80">
        <f t="shared" si="77"/>
        <v>0</v>
      </c>
      <c r="I323" s="80"/>
      <c r="J323" s="80">
        <f t="shared" si="80"/>
        <v>0</v>
      </c>
      <c r="K323" s="80">
        <v>0</v>
      </c>
      <c r="L323" s="80">
        <v>0</v>
      </c>
      <c r="M323" s="81">
        <f t="shared" si="81"/>
        <v>87</v>
      </c>
      <c r="N323" s="81">
        <v>0</v>
      </c>
      <c r="O323" s="81">
        <v>23</v>
      </c>
      <c r="P323" s="81">
        <f t="shared" si="93"/>
        <v>64</v>
      </c>
      <c r="Q323" s="80">
        <f>IFERROR(VLOOKUP(C323,O.B.JUNE!$C$7:$K$448,7,0),0)</f>
        <v>0</v>
      </c>
      <c r="R323" s="80">
        <f>IFERROR(VLOOKUP(C323,O.B.JUNE!$C$7:$J$448,8,0),0)</f>
        <v>0</v>
      </c>
      <c r="S323" s="323">
        <f t="shared" si="82"/>
        <v>0</v>
      </c>
      <c r="T323" s="324">
        <v>0</v>
      </c>
      <c r="U323" s="324"/>
      <c r="V323" s="80"/>
      <c r="W323" s="324">
        <v>0</v>
      </c>
      <c r="X323" s="324"/>
      <c r="Y323" s="324">
        <v>0</v>
      </c>
      <c r="Z323" s="80">
        <v>0</v>
      </c>
      <c r="AA323" s="80">
        <f t="shared" si="83"/>
        <v>0</v>
      </c>
      <c r="AB323" s="323">
        <f t="shared" si="84"/>
        <v>0</v>
      </c>
      <c r="AC323" s="80">
        <f t="shared" si="89"/>
        <v>0</v>
      </c>
      <c r="AD323" s="80">
        <f t="shared" si="90"/>
        <v>0</v>
      </c>
      <c r="AE323" s="80"/>
      <c r="AF323" s="80"/>
      <c r="AG323" s="80"/>
      <c r="AH323" s="326">
        <f t="shared" si="85"/>
        <v>0</v>
      </c>
      <c r="AI323" s="326">
        <f t="shared" si="86"/>
        <v>0</v>
      </c>
      <c r="AJ323" s="326">
        <f t="shared" si="87"/>
        <v>0</v>
      </c>
      <c r="AK323" s="326">
        <f t="shared" si="88"/>
        <v>0</v>
      </c>
      <c r="AL323" s="326"/>
      <c r="AM323" s="326"/>
      <c r="AN323" s="326"/>
      <c r="AO323" s="326"/>
      <c r="AP323" s="326"/>
      <c r="AQ323" s="326"/>
      <c r="AR323" s="327">
        <f>VLOOKUP(C323,'[1]DA HET SAN XUAT'!$D$8:$AJ$419,33,0)</f>
        <v>0</v>
      </c>
      <c r="AS323" s="209"/>
      <c r="AT323" s="411"/>
      <c r="AU323" s="411"/>
    </row>
    <row r="324" spans="1:47" s="390" customFormat="1" ht="18.75" customHeight="1">
      <c r="A324" s="167">
        <v>317</v>
      </c>
      <c r="B324" s="79" t="str">
        <f>IFERROR(VLOOKUP(A324,O.B.JUNE!$A$7:$C$448,2,0),0)</f>
        <v>ANN TAYLOR</v>
      </c>
      <c r="C324" s="174">
        <f>IFERROR(VLOOKUP(A324,O.B.JUNE!$A$7:$C$448,3,0),0)</f>
        <v>463030</v>
      </c>
      <c r="D324" s="80">
        <f t="shared" si="79"/>
        <v>0</v>
      </c>
      <c r="E324" s="80">
        <f>IFERROR(VLOOKUP(C324,O.B.JUNE!$C$7:$D$448,2,0),0)</f>
        <v>3719</v>
      </c>
      <c r="F324" s="80">
        <f>VLOOKUP(C324,'CUTTING ON JUNE'!$A$4:$D$316,3,0)</f>
        <v>3719</v>
      </c>
      <c r="G324" s="80">
        <f>IFERROR(VLOOKUP(C324,O.B.JUNE!$C$7:$E$448,3,0),0)</f>
        <v>164</v>
      </c>
      <c r="H324" s="80">
        <f t="shared" si="77"/>
        <v>0</v>
      </c>
      <c r="I324" s="80"/>
      <c r="J324" s="80">
        <f t="shared" si="80"/>
        <v>0</v>
      </c>
      <c r="K324" s="80">
        <v>0</v>
      </c>
      <c r="L324" s="80">
        <v>0</v>
      </c>
      <c r="M324" s="81">
        <f t="shared" si="81"/>
        <v>164</v>
      </c>
      <c r="N324" s="81">
        <v>0</v>
      </c>
      <c r="O324" s="81">
        <v>101</v>
      </c>
      <c r="P324" s="81">
        <f t="shared" si="93"/>
        <v>63</v>
      </c>
      <c r="Q324" s="80">
        <f>IFERROR(VLOOKUP(C324,O.B.JUNE!$C$7:$K$448,7,0),0)</f>
        <v>0</v>
      </c>
      <c r="R324" s="80">
        <f>IFERROR(VLOOKUP(C324,O.B.JUNE!$C$7:$J$448,8,0),0)</f>
        <v>0</v>
      </c>
      <c r="S324" s="323">
        <f t="shared" si="82"/>
        <v>0</v>
      </c>
      <c r="T324" s="324">
        <v>0</v>
      </c>
      <c r="U324" s="324"/>
      <c r="V324" s="80"/>
      <c r="W324" s="324">
        <v>0</v>
      </c>
      <c r="X324" s="324"/>
      <c r="Y324" s="324">
        <v>0</v>
      </c>
      <c r="Z324" s="80">
        <v>0</v>
      </c>
      <c r="AA324" s="80">
        <f t="shared" si="83"/>
        <v>0</v>
      </c>
      <c r="AB324" s="323">
        <f t="shared" si="84"/>
        <v>0</v>
      </c>
      <c r="AC324" s="80">
        <f t="shared" si="89"/>
        <v>0</v>
      </c>
      <c r="AD324" s="80">
        <f t="shared" si="90"/>
        <v>0</v>
      </c>
      <c r="AE324" s="80"/>
      <c r="AF324" s="80"/>
      <c r="AG324" s="80"/>
      <c r="AH324" s="326">
        <f t="shared" si="85"/>
        <v>0</v>
      </c>
      <c r="AI324" s="326">
        <f t="shared" si="86"/>
        <v>0</v>
      </c>
      <c r="AJ324" s="326">
        <f t="shared" si="87"/>
        <v>0</v>
      </c>
      <c r="AK324" s="326">
        <f t="shared" si="88"/>
        <v>0</v>
      </c>
      <c r="AL324" s="326"/>
      <c r="AM324" s="326"/>
      <c r="AN324" s="326"/>
      <c r="AO324" s="326"/>
      <c r="AP324" s="326"/>
      <c r="AQ324" s="326"/>
      <c r="AR324" s="327">
        <f>VLOOKUP(C324,'[1]DA HET SAN XUAT'!$D$8:$AJ$419,33,0)</f>
        <v>0</v>
      </c>
      <c r="AS324" s="209"/>
      <c r="AT324" s="411"/>
      <c r="AU324" s="411"/>
    </row>
    <row r="325" spans="1:47" s="390" customFormat="1" ht="18.75" customHeight="1">
      <c r="A325" s="167">
        <v>318</v>
      </c>
      <c r="B325" s="79" t="str">
        <f>IFERROR(VLOOKUP(A325,O.B.JUNE!$A$7:$C$448,2,0),0)</f>
        <v>ANN TAYLOR</v>
      </c>
      <c r="C325" s="174">
        <f>IFERROR(VLOOKUP(A325,O.B.JUNE!$A$7:$C$448,3,0),0)</f>
        <v>466459</v>
      </c>
      <c r="D325" s="80">
        <f t="shared" si="79"/>
        <v>0</v>
      </c>
      <c r="E325" s="80">
        <f>IFERROR(VLOOKUP(C325,O.B.JUNE!$C$7:$D$448,2,0),0)</f>
        <v>2985</v>
      </c>
      <c r="F325" s="80">
        <f>VLOOKUP(C325,'CUTTING ON JUNE'!$A$4:$D$316,3,0)</f>
        <v>2985</v>
      </c>
      <c r="G325" s="80">
        <f>IFERROR(VLOOKUP(C325,O.B.JUNE!$C$7:$E$448,3,0),0)</f>
        <v>259</v>
      </c>
      <c r="H325" s="80">
        <f t="shared" si="77"/>
        <v>0</v>
      </c>
      <c r="I325" s="80"/>
      <c r="J325" s="80">
        <f t="shared" si="80"/>
        <v>0</v>
      </c>
      <c r="K325" s="80">
        <v>0</v>
      </c>
      <c r="L325" s="80">
        <v>0</v>
      </c>
      <c r="M325" s="81">
        <f t="shared" si="81"/>
        <v>259</v>
      </c>
      <c r="N325" s="81">
        <v>0</v>
      </c>
      <c r="O325" s="81">
        <v>13</v>
      </c>
      <c r="P325" s="81">
        <f t="shared" si="93"/>
        <v>246</v>
      </c>
      <c r="Q325" s="80">
        <f>IFERROR(VLOOKUP(C325,O.B.JUNE!$C$7:$K$448,7,0),0)</f>
        <v>0</v>
      </c>
      <c r="R325" s="80">
        <f>IFERROR(VLOOKUP(C325,O.B.JUNE!$C$7:$J$448,8,0),0)</f>
        <v>0</v>
      </c>
      <c r="S325" s="323">
        <f t="shared" si="82"/>
        <v>0</v>
      </c>
      <c r="T325" s="324">
        <v>0</v>
      </c>
      <c r="U325" s="324"/>
      <c r="V325" s="80"/>
      <c r="W325" s="324">
        <v>0</v>
      </c>
      <c r="X325" s="324"/>
      <c r="Y325" s="324">
        <v>0</v>
      </c>
      <c r="Z325" s="80">
        <v>0</v>
      </c>
      <c r="AA325" s="80">
        <f t="shared" si="83"/>
        <v>0</v>
      </c>
      <c r="AB325" s="323">
        <f t="shared" si="84"/>
        <v>0</v>
      </c>
      <c r="AC325" s="80">
        <f t="shared" si="89"/>
        <v>0</v>
      </c>
      <c r="AD325" s="80">
        <f t="shared" si="90"/>
        <v>0</v>
      </c>
      <c r="AE325" s="80"/>
      <c r="AF325" s="80"/>
      <c r="AG325" s="80"/>
      <c r="AH325" s="326">
        <f t="shared" si="85"/>
        <v>0</v>
      </c>
      <c r="AI325" s="326">
        <f t="shared" si="86"/>
        <v>0</v>
      </c>
      <c r="AJ325" s="326">
        <f t="shared" si="87"/>
        <v>0</v>
      </c>
      <c r="AK325" s="326">
        <f t="shared" si="88"/>
        <v>0</v>
      </c>
      <c r="AL325" s="326"/>
      <c r="AM325" s="326"/>
      <c r="AN325" s="326"/>
      <c r="AO325" s="326"/>
      <c r="AP325" s="326"/>
      <c r="AQ325" s="326"/>
      <c r="AR325" s="327"/>
      <c r="AS325" s="209"/>
      <c r="AT325" s="411"/>
      <c r="AU325" s="411"/>
    </row>
    <row r="326" spans="1:47" s="390" customFormat="1" ht="18.75" customHeight="1">
      <c r="A326" s="167">
        <v>319</v>
      </c>
      <c r="B326" s="79" t="str">
        <f>IFERROR(VLOOKUP(A326,O.B.JUNE!$A$7:$C$448,2,0),0)</f>
        <v>ANN TAYLOR</v>
      </c>
      <c r="C326" s="174">
        <f>IFERROR(VLOOKUP(A326,O.B.JUNE!$A$7:$C$448,3,0),0)</f>
        <v>467476</v>
      </c>
      <c r="D326" s="80">
        <f t="shared" si="79"/>
        <v>0</v>
      </c>
      <c r="E326" s="80">
        <f>IFERROR(VLOOKUP(C326,O.B.JUNE!$C$7:$D$448,2,0),0)</f>
        <v>19251</v>
      </c>
      <c r="F326" s="80">
        <f>VLOOKUP(C326,'CUTTING ON JUNE'!$A$4:$D$316,3,0)</f>
        <v>19251</v>
      </c>
      <c r="G326" s="80">
        <f>IFERROR(VLOOKUP(C326,O.B.JUNE!$C$7:$E$448,3,0),0)</f>
        <v>1054</v>
      </c>
      <c r="H326" s="80">
        <f t="shared" ref="H326:H387" si="94">IF(F326="","",F326-E326)</f>
        <v>0</v>
      </c>
      <c r="I326" s="80"/>
      <c r="J326" s="80">
        <f t="shared" si="80"/>
        <v>0</v>
      </c>
      <c r="K326" s="80">
        <v>0</v>
      </c>
      <c r="L326" s="80">
        <v>0</v>
      </c>
      <c r="M326" s="81">
        <f t="shared" si="81"/>
        <v>1054</v>
      </c>
      <c r="N326" s="81">
        <v>0</v>
      </c>
      <c r="O326" s="81">
        <v>512</v>
      </c>
      <c r="P326" s="81">
        <f t="shared" si="93"/>
        <v>542</v>
      </c>
      <c r="Q326" s="80">
        <f>IFERROR(VLOOKUP(C326,O.B.JUNE!$C$7:$K$448,7,0),0)</f>
        <v>0</v>
      </c>
      <c r="R326" s="80">
        <f>IFERROR(VLOOKUP(C326,O.B.JUNE!$C$7:$J$448,8,0),0)</f>
        <v>0</v>
      </c>
      <c r="S326" s="323">
        <f t="shared" si="82"/>
        <v>0</v>
      </c>
      <c r="T326" s="324">
        <v>0</v>
      </c>
      <c r="U326" s="324"/>
      <c r="V326" s="80"/>
      <c r="W326" s="324">
        <v>0</v>
      </c>
      <c r="X326" s="324"/>
      <c r="Y326" s="324">
        <v>0</v>
      </c>
      <c r="Z326" s="80">
        <v>0</v>
      </c>
      <c r="AA326" s="80">
        <f t="shared" si="83"/>
        <v>0</v>
      </c>
      <c r="AB326" s="323">
        <f t="shared" si="84"/>
        <v>0</v>
      </c>
      <c r="AC326" s="80">
        <f t="shared" si="89"/>
        <v>0</v>
      </c>
      <c r="AD326" s="80">
        <f t="shared" si="90"/>
        <v>0</v>
      </c>
      <c r="AE326" s="80"/>
      <c r="AF326" s="80"/>
      <c r="AG326" s="80"/>
      <c r="AH326" s="326">
        <f t="shared" si="85"/>
        <v>0</v>
      </c>
      <c r="AI326" s="326">
        <f t="shared" si="86"/>
        <v>0</v>
      </c>
      <c r="AJ326" s="326">
        <f t="shared" si="87"/>
        <v>0</v>
      </c>
      <c r="AK326" s="326">
        <f t="shared" si="88"/>
        <v>0</v>
      </c>
      <c r="AL326" s="326"/>
      <c r="AM326" s="326"/>
      <c r="AN326" s="326"/>
      <c r="AO326" s="326"/>
      <c r="AP326" s="326"/>
      <c r="AQ326" s="326"/>
      <c r="AR326" s="327"/>
      <c r="AS326" s="209"/>
      <c r="AT326" s="411"/>
      <c r="AU326" s="411"/>
    </row>
    <row r="327" spans="1:47" s="390" customFormat="1" ht="18.75" customHeight="1">
      <c r="A327" s="167">
        <v>320</v>
      </c>
      <c r="B327" s="79" t="str">
        <f>IFERROR(VLOOKUP(A327,O.B.JUNE!$A$7:$C$448,2,0),0)</f>
        <v>ANN TAYLOR</v>
      </c>
      <c r="C327" s="174">
        <f>IFERROR(VLOOKUP(A327,O.B.JUNE!$A$7:$C$448,3,0),0)</f>
        <v>468585</v>
      </c>
      <c r="D327" s="80">
        <f t="shared" si="79"/>
        <v>0</v>
      </c>
      <c r="E327" s="80">
        <f>IFERROR(VLOOKUP(C327,O.B.JUNE!$C$7:$D$448,2,0),0)</f>
        <v>14189</v>
      </c>
      <c r="F327" s="80">
        <f>VLOOKUP(C327,'CUTTING ON JUNE'!$A$4:$D$316,3,0)</f>
        <v>14189</v>
      </c>
      <c r="G327" s="80">
        <f>IFERROR(VLOOKUP(C327,O.B.JUNE!$C$7:$E$448,3,0),0)</f>
        <v>1931</v>
      </c>
      <c r="H327" s="80">
        <f t="shared" si="94"/>
        <v>0</v>
      </c>
      <c r="I327" s="80"/>
      <c r="J327" s="80">
        <f t="shared" si="80"/>
        <v>0</v>
      </c>
      <c r="K327" s="80">
        <v>0</v>
      </c>
      <c r="L327" s="80">
        <v>0</v>
      </c>
      <c r="M327" s="81">
        <f t="shared" si="81"/>
        <v>1931</v>
      </c>
      <c r="N327" s="81">
        <v>0</v>
      </c>
      <c r="O327" s="81">
        <v>640</v>
      </c>
      <c r="P327" s="81">
        <f t="shared" si="93"/>
        <v>1291</v>
      </c>
      <c r="Q327" s="80">
        <f>IFERROR(VLOOKUP(C327,O.B.JUNE!$C$7:$K$448,7,0),0)</f>
        <v>0</v>
      </c>
      <c r="R327" s="80">
        <f>IFERROR(VLOOKUP(C327,O.B.JUNE!$C$7:$J$448,8,0),0)</f>
        <v>0</v>
      </c>
      <c r="S327" s="323">
        <f t="shared" si="82"/>
        <v>0</v>
      </c>
      <c r="T327" s="324">
        <v>0</v>
      </c>
      <c r="U327" s="324"/>
      <c r="V327" s="80"/>
      <c r="W327" s="324">
        <v>0</v>
      </c>
      <c r="X327" s="324"/>
      <c r="Y327" s="324">
        <v>0</v>
      </c>
      <c r="Z327" s="80">
        <v>0</v>
      </c>
      <c r="AA327" s="80">
        <f t="shared" si="83"/>
        <v>0</v>
      </c>
      <c r="AB327" s="323">
        <f t="shared" si="84"/>
        <v>0</v>
      </c>
      <c r="AC327" s="80">
        <f t="shared" si="89"/>
        <v>0</v>
      </c>
      <c r="AD327" s="80">
        <f t="shared" si="90"/>
        <v>0</v>
      </c>
      <c r="AE327" s="80"/>
      <c r="AF327" s="80"/>
      <c r="AG327" s="80"/>
      <c r="AH327" s="326">
        <f t="shared" si="85"/>
        <v>0</v>
      </c>
      <c r="AI327" s="326">
        <f t="shared" si="86"/>
        <v>0</v>
      </c>
      <c r="AJ327" s="326">
        <f t="shared" si="87"/>
        <v>0</v>
      </c>
      <c r="AK327" s="326">
        <f t="shared" si="88"/>
        <v>0</v>
      </c>
      <c r="AL327" s="326"/>
      <c r="AM327" s="326"/>
      <c r="AN327" s="326"/>
      <c r="AO327" s="326"/>
      <c r="AP327" s="326"/>
      <c r="AQ327" s="326"/>
      <c r="AR327" s="327">
        <f>VLOOKUP(C327,'[1]DA HET SAN XUAT'!$D$8:$AJ$419,33,0)</f>
        <v>0</v>
      </c>
      <c r="AS327" s="209"/>
      <c r="AT327" s="411"/>
      <c r="AU327" s="411"/>
    </row>
    <row r="328" spans="1:47" s="390" customFormat="1" ht="18.75" customHeight="1">
      <c r="A328" s="167">
        <v>321</v>
      </c>
      <c r="B328" s="79" t="str">
        <f>IFERROR(VLOOKUP(A328,O.B.JUNE!$A$7:$C$448,2,0),0)</f>
        <v>ANN TAYLOR</v>
      </c>
      <c r="C328" s="174">
        <f>IFERROR(VLOOKUP(A328,O.B.JUNE!$A$7:$C$448,3,0),0)</f>
        <v>471857</v>
      </c>
      <c r="D328" s="80">
        <f t="shared" si="79"/>
        <v>0</v>
      </c>
      <c r="E328" s="80">
        <f>IFERROR(VLOOKUP(C328,O.B.JUNE!$C$7:$D$448,2,0),0)</f>
        <v>4690</v>
      </c>
      <c r="F328" s="80">
        <f>VLOOKUP(C328,'CUTTING ON JUNE'!$A$4:$D$316,3,0)</f>
        <v>4690</v>
      </c>
      <c r="G328" s="80">
        <f>IFERROR(VLOOKUP(C328,O.B.JUNE!$C$7:$E$448,3,0),0)</f>
        <v>87</v>
      </c>
      <c r="H328" s="80">
        <f t="shared" si="94"/>
        <v>0</v>
      </c>
      <c r="I328" s="80"/>
      <c r="J328" s="80">
        <f t="shared" si="80"/>
        <v>1</v>
      </c>
      <c r="K328" s="80">
        <v>0</v>
      </c>
      <c r="L328" s="80">
        <v>0</v>
      </c>
      <c r="M328" s="81">
        <f t="shared" si="81"/>
        <v>86</v>
      </c>
      <c r="N328" s="81">
        <v>0</v>
      </c>
      <c r="O328" s="81">
        <v>33</v>
      </c>
      <c r="P328" s="81">
        <f t="shared" si="93"/>
        <v>53</v>
      </c>
      <c r="Q328" s="80">
        <f>IFERROR(VLOOKUP(C328,O.B.JUNE!$C$7:$K$448,7,0),0)</f>
        <v>0</v>
      </c>
      <c r="R328" s="80">
        <f>IFERROR(VLOOKUP(C328,O.B.JUNE!$C$7:$J$448,8,0),0)</f>
        <v>29</v>
      </c>
      <c r="S328" s="323">
        <f t="shared" si="82"/>
        <v>30</v>
      </c>
      <c r="T328" s="324">
        <v>1</v>
      </c>
      <c r="U328" s="324"/>
      <c r="V328" s="80"/>
      <c r="W328" s="324">
        <v>0</v>
      </c>
      <c r="X328" s="324"/>
      <c r="Y328" s="324">
        <v>1</v>
      </c>
      <c r="Z328" s="80">
        <v>0</v>
      </c>
      <c r="AA328" s="80">
        <f t="shared" si="83"/>
        <v>1</v>
      </c>
      <c r="AB328" s="323">
        <f>ROUND(Q328+T328+V328-X328-W328-Y328-Z328,0)</f>
        <v>0</v>
      </c>
      <c r="AC328" s="80">
        <f t="shared" si="89"/>
        <v>29</v>
      </c>
      <c r="AD328" s="80">
        <f t="shared" si="90"/>
        <v>29</v>
      </c>
      <c r="AE328" s="80"/>
      <c r="AF328" s="80"/>
      <c r="AG328" s="80"/>
      <c r="AH328" s="326">
        <f t="shared" si="85"/>
        <v>0</v>
      </c>
      <c r="AI328" s="326">
        <f t="shared" si="86"/>
        <v>0</v>
      </c>
      <c r="AJ328" s="326">
        <f t="shared" si="87"/>
        <v>0</v>
      </c>
      <c r="AK328" s="326">
        <f t="shared" si="88"/>
        <v>0</v>
      </c>
      <c r="AL328" s="326"/>
      <c r="AM328" s="326"/>
      <c r="AN328" s="326"/>
      <c r="AO328" s="326"/>
      <c r="AP328" s="326"/>
      <c r="AQ328" s="326"/>
      <c r="AR328" s="327">
        <f>VLOOKUP(C328,'[1]DA HET SAN XUAT'!$D$8:$AJ$419,33,0)</f>
        <v>0</v>
      </c>
      <c r="AS328" s="209"/>
      <c r="AT328" s="411"/>
      <c r="AU328" s="411"/>
    </row>
    <row r="329" spans="1:47" s="390" customFormat="1" ht="18.75" customHeight="1">
      <c r="A329" s="167">
        <v>322</v>
      </c>
      <c r="B329" s="79" t="str">
        <f>IFERROR(VLOOKUP(A329,O.B.JUNE!$A$7:$C$448,2,0),0)</f>
        <v>J JILL</v>
      </c>
      <c r="C329" s="174" t="str">
        <f>IFERROR(VLOOKUP(A329,O.B.JUNE!$A$7:$C$448,3,0),0)</f>
        <v>KTP122131</v>
      </c>
      <c r="D329" s="80">
        <f t="shared" ref="D329:D389" si="95">F329-E329</f>
        <v>0</v>
      </c>
      <c r="E329" s="80">
        <f>IFERROR(VLOOKUP(C329,O.B.JUNE!$C$7:$D$448,2,0),0)</f>
        <v>12498</v>
      </c>
      <c r="F329" s="80">
        <f>VLOOKUP(C329,'CUTTING ON JUNE'!$A$4:$D$316,3,0)</f>
        <v>12498</v>
      </c>
      <c r="G329" s="80">
        <f>IFERROR(VLOOKUP(C329,O.B.JUNE!$C$7:$E$448,3,0),0)</f>
        <v>1264</v>
      </c>
      <c r="H329" s="80">
        <f t="shared" si="94"/>
        <v>0</v>
      </c>
      <c r="I329" s="80"/>
      <c r="J329" s="80">
        <f t="shared" ref="J329:J389" si="96">IF(S329="",0,S329-Q329-V329-R329)</f>
        <v>0</v>
      </c>
      <c r="K329" s="80">
        <v>0</v>
      </c>
      <c r="L329" s="80">
        <v>0</v>
      </c>
      <c r="M329" s="81">
        <f t="shared" ref="M329:M389" si="97">ROUND(IF(ISERROR(F329-S329-K329-L329-R329),0,(F329-S329-K329-L329+Q329+R329+G329-E329)),0)</f>
        <v>1264</v>
      </c>
      <c r="N329" s="81">
        <v>2</v>
      </c>
      <c r="O329" s="81">
        <v>309</v>
      </c>
      <c r="P329" s="81">
        <f t="shared" si="93"/>
        <v>953</v>
      </c>
      <c r="Q329" s="80">
        <f>IFERROR(VLOOKUP(C329,O.B.JUNE!$C$7:$K$448,7,0),0)</f>
        <v>0</v>
      </c>
      <c r="R329" s="80">
        <f>IFERROR(VLOOKUP(C329,O.B.JUNE!$C$7:$J$448,8,0),0)</f>
        <v>0</v>
      </c>
      <c r="S329" s="323">
        <f t="shared" ref="S329:S389" si="98">Q329+T329+U329+R329</f>
        <v>0</v>
      </c>
      <c r="T329" s="324">
        <v>0</v>
      </c>
      <c r="U329" s="324"/>
      <c r="V329" s="80"/>
      <c r="W329" s="324">
        <v>0</v>
      </c>
      <c r="X329" s="324"/>
      <c r="Y329" s="324">
        <v>0</v>
      </c>
      <c r="Z329" s="80">
        <v>0</v>
      </c>
      <c r="AA329" s="80">
        <f t="shared" ref="AA329:AA389" si="99">V329+U329+T329</f>
        <v>0</v>
      </c>
      <c r="AB329" s="323">
        <f t="shared" si="84"/>
        <v>0</v>
      </c>
      <c r="AC329" s="80">
        <f t="shared" si="89"/>
        <v>0</v>
      </c>
      <c r="AD329" s="80">
        <f t="shared" si="90"/>
        <v>0</v>
      </c>
      <c r="AE329" s="80"/>
      <c r="AF329" s="80"/>
      <c r="AG329" s="80"/>
      <c r="AH329" s="326">
        <f t="shared" ref="AH329:AH389" si="100">G329+H329-J329-L329-M329</f>
        <v>0</v>
      </c>
      <c r="AI329" s="326">
        <f t="shared" ref="AI329:AI389" si="101">Q329+T329+U329-S329+R329</f>
        <v>0</v>
      </c>
      <c r="AJ329" s="326">
        <f t="shared" ref="AJ329:AJ389" si="102">M329-N329-O329-P329</f>
        <v>0</v>
      </c>
      <c r="AK329" s="326">
        <f t="shared" ref="AK329:AK389" si="103">M329-N329-O329-P329</f>
        <v>0</v>
      </c>
      <c r="AL329" s="326"/>
      <c r="AM329" s="326"/>
      <c r="AN329" s="326"/>
      <c r="AO329" s="326"/>
      <c r="AP329" s="326"/>
      <c r="AQ329" s="326"/>
      <c r="AR329" s="327">
        <f>VLOOKUP(C329,'[1]DA HET SAN XUAT'!$D$8:$AJ$419,33,0)</f>
        <v>0</v>
      </c>
      <c r="AS329" s="209"/>
      <c r="AT329" s="411"/>
      <c r="AU329" s="411"/>
    </row>
    <row r="330" spans="1:47" s="390" customFormat="1" ht="18.75" customHeight="1">
      <c r="A330" s="167">
        <v>323</v>
      </c>
      <c r="B330" s="79" t="str">
        <f>IFERROR(VLOOKUP(A330,O.B.JUNE!$A$7:$C$448,2,0),0)</f>
        <v>J JILL</v>
      </c>
      <c r="C330" s="174" t="str">
        <f>IFERROR(VLOOKUP(A330,O.B.JUNE!$A$7:$C$448,3,0),0)</f>
        <v>KTP124011</v>
      </c>
      <c r="D330" s="80">
        <f t="shared" si="95"/>
        <v>0</v>
      </c>
      <c r="E330" s="80">
        <f>IFERROR(VLOOKUP(C330,O.B.JUNE!$C$7:$D$448,2,0),0)</f>
        <v>15421</v>
      </c>
      <c r="F330" s="80">
        <f>VLOOKUP(C330,'CUTTING ON JUNE'!$A$4:$D$316,3,0)</f>
        <v>15421</v>
      </c>
      <c r="G330" s="80">
        <f>IFERROR(VLOOKUP(C330,O.B.JUNE!$C$7:$E$448,3,0),0)</f>
        <v>1081</v>
      </c>
      <c r="H330" s="80">
        <f t="shared" si="94"/>
        <v>0</v>
      </c>
      <c r="I330" s="80"/>
      <c r="J330" s="80">
        <f t="shared" si="96"/>
        <v>0</v>
      </c>
      <c r="K330" s="80">
        <v>0</v>
      </c>
      <c r="L330" s="80">
        <v>0</v>
      </c>
      <c r="M330" s="81">
        <f t="shared" si="97"/>
        <v>1081</v>
      </c>
      <c r="N330" s="81">
        <v>0</v>
      </c>
      <c r="O330" s="81">
        <v>349</v>
      </c>
      <c r="P330" s="81">
        <f t="shared" si="93"/>
        <v>732</v>
      </c>
      <c r="Q330" s="80">
        <f>IFERROR(VLOOKUP(C330,O.B.JUNE!$C$7:$K$448,7,0),0)</f>
        <v>0</v>
      </c>
      <c r="R330" s="80">
        <f>IFERROR(VLOOKUP(C330,O.B.JUNE!$C$7:$J$448,8,0),0)</f>
        <v>0</v>
      </c>
      <c r="S330" s="323">
        <f t="shared" si="98"/>
        <v>0</v>
      </c>
      <c r="T330" s="324">
        <v>0</v>
      </c>
      <c r="U330" s="324"/>
      <c r="V330" s="80"/>
      <c r="W330" s="324">
        <v>0</v>
      </c>
      <c r="X330" s="324"/>
      <c r="Y330" s="324">
        <v>0</v>
      </c>
      <c r="Z330" s="80">
        <v>0</v>
      </c>
      <c r="AA330" s="80">
        <f t="shared" si="99"/>
        <v>0</v>
      </c>
      <c r="AB330" s="323">
        <f t="shared" si="84"/>
        <v>0</v>
      </c>
      <c r="AC330" s="80">
        <f t="shared" si="89"/>
        <v>0</v>
      </c>
      <c r="AD330" s="80">
        <f t="shared" si="90"/>
        <v>0</v>
      </c>
      <c r="AE330" s="80"/>
      <c r="AF330" s="80"/>
      <c r="AG330" s="80"/>
      <c r="AH330" s="326">
        <f t="shared" si="100"/>
        <v>0</v>
      </c>
      <c r="AI330" s="326">
        <f t="shared" si="101"/>
        <v>0</v>
      </c>
      <c r="AJ330" s="326">
        <f t="shared" si="102"/>
        <v>0</v>
      </c>
      <c r="AK330" s="326">
        <f t="shared" si="103"/>
        <v>0</v>
      </c>
      <c r="AL330" s="326"/>
      <c r="AM330" s="326"/>
      <c r="AN330" s="326"/>
      <c r="AO330" s="326"/>
      <c r="AP330" s="326"/>
      <c r="AQ330" s="326"/>
      <c r="AR330" s="327"/>
      <c r="AS330" s="209"/>
      <c r="AT330" s="411"/>
      <c r="AU330" s="411"/>
    </row>
    <row r="331" spans="1:47" s="390" customFormat="1" ht="18.75" customHeight="1">
      <c r="A331" s="167">
        <v>324</v>
      </c>
      <c r="B331" s="79" t="str">
        <f>IFERROR(VLOOKUP(A331,O.B.JUNE!$A$7:$C$448,2,0),0)</f>
        <v>J JILL</v>
      </c>
      <c r="C331" s="174" t="str">
        <f>IFERROR(VLOOKUP(A331,O.B.JUNE!$A$7:$C$448,3,0),0)</f>
        <v>KTP124021</v>
      </c>
      <c r="D331" s="80">
        <f t="shared" si="95"/>
        <v>0</v>
      </c>
      <c r="E331" s="80">
        <f>IFERROR(VLOOKUP(C331,O.B.JUNE!$C$7:$D$448,2,0),0)</f>
        <v>7167</v>
      </c>
      <c r="F331" s="80">
        <f>VLOOKUP(C331,'CUTTING ON JUNE'!$A$4:$D$316,3,0)</f>
        <v>7167</v>
      </c>
      <c r="G331" s="80">
        <f>IFERROR(VLOOKUP(C331,O.B.JUNE!$C$7:$E$448,3,0),0)</f>
        <v>427</v>
      </c>
      <c r="H331" s="80">
        <f t="shared" si="94"/>
        <v>0</v>
      </c>
      <c r="I331" s="80"/>
      <c r="J331" s="80">
        <f t="shared" si="96"/>
        <v>0</v>
      </c>
      <c r="K331" s="80">
        <v>0</v>
      </c>
      <c r="L331" s="80">
        <v>0</v>
      </c>
      <c r="M331" s="81">
        <f t="shared" si="97"/>
        <v>427</v>
      </c>
      <c r="N331" s="81">
        <v>53</v>
      </c>
      <c r="O331" s="81">
        <v>0</v>
      </c>
      <c r="P331" s="81">
        <f t="shared" si="93"/>
        <v>374</v>
      </c>
      <c r="Q331" s="80">
        <f>IFERROR(VLOOKUP(C331,O.B.JUNE!$C$7:$K$448,7,0),0)</f>
        <v>0</v>
      </c>
      <c r="R331" s="80">
        <f>IFERROR(VLOOKUP(C331,O.B.JUNE!$C$7:$J$448,8,0),0)</f>
        <v>0</v>
      </c>
      <c r="S331" s="323">
        <f t="shared" si="98"/>
        <v>0</v>
      </c>
      <c r="T331" s="324">
        <v>0</v>
      </c>
      <c r="U331" s="324"/>
      <c r="V331" s="80"/>
      <c r="W331" s="324">
        <v>0</v>
      </c>
      <c r="X331" s="324"/>
      <c r="Y331" s="324">
        <v>0</v>
      </c>
      <c r="Z331" s="80">
        <v>0</v>
      </c>
      <c r="AA331" s="80">
        <f t="shared" si="99"/>
        <v>0</v>
      </c>
      <c r="AB331" s="323">
        <f t="shared" si="84"/>
        <v>0</v>
      </c>
      <c r="AC331" s="80">
        <f t="shared" si="89"/>
        <v>0</v>
      </c>
      <c r="AD331" s="80">
        <f t="shared" si="90"/>
        <v>0</v>
      </c>
      <c r="AE331" s="80"/>
      <c r="AF331" s="80"/>
      <c r="AG331" s="80"/>
      <c r="AH331" s="326">
        <f t="shared" si="100"/>
        <v>0</v>
      </c>
      <c r="AI331" s="326">
        <f t="shared" si="101"/>
        <v>0</v>
      </c>
      <c r="AJ331" s="326">
        <f t="shared" si="102"/>
        <v>0</v>
      </c>
      <c r="AK331" s="326">
        <f t="shared" si="103"/>
        <v>0</v>
      </c>
      <c r="AL331" s="326"/>
      <c r="AM331" s="326"/>
      <c r="AN331" s="326"/>
      <c r="AO331" s="326"/>
      <c r="AP331" s="326"/>
      <c r="AQ331" s="326"/>
      <c r="AR331" s="327"/>
      <c r="AS331" s="209"/>
      <c r="AT331" s="411"/>
      <c r="AU331" s="411"/>
    </row>
    <row r="332" spans="1:47" s="390" customFormat="1" ht="18.75" customHeight="1">
      <c r="A332" s="167">
        <v>325</v>
      </c>
      <c r="B332" s="79" t="str">
        <f>IFERROR(VLOOKUP(A332,O.B.JUNE!$A$7:$C$448,2,0),0)</f>
        <v>INC</v>
      </c>
      <c r="C332" s="174">
        <f>IFERROR(VLOOKUP(A332,O.B.JUNE!$A$7:$C$448,3,0),0)</f>
        <v>100023338</v>
      </c>
      <c r="D332" s="80">
        <f t="shared" si="95"/>
        <v>0</v>
      </c>
      <c r="E332" s="80">
        <f>IFERROR(VLOOKUP(C332,O.B.JUNE!$C$7:$D$448,2,0),0)</f>
        <v>6730</v>
      </c>
      <c r="F332" s="80">
        <f>VLOOKUP(C332,'CUTTING ON JUNE'!$A$4:$D$316,3,0)</f>
        <v>6730</v>
      </c>
      <c r="G332" s="80">
        <f>IFERROR(VLOOKUP(C332,O.B.JUNE!$C$7:$E$448,3,0),0)</f>
        <v>243</v>
      </c>
      <c r="H332" s="80">
        <f t="shared" si="94"/>
        <v>0</v>
      </c>
      <c r="I332" s="80"/>
      <c r="J332" s="80">
        <f t="shared" si="96"/>
        <v>0</v>
      </c>
      <c r="K332" s="80">
        <v>0</v>
      </c>
      <c r="L332" s="80">
        <v>0</v>
      </c>
      <c r="M332" s="81">
        <f t="shared" si="97"/>
        <v>243</v>
      </c>
      <c r="N332" s="81">
        <v>0</v>
      </c>
      <c r="O332" s="81">
        <v>144</v>
      </c>
      <c r="P332" s="81">
        <f t="shared" si="93"/>
        <v>99</v>
      </c>
      <c r="Q332" s="80">
        <f>IFERROR(VLOOKUP(C332,O.B.JUNE!$C$7:$K$448,7,0),0)</f>
        <v>0</v>
      </c>
      <c r="R332" s="80">
        <f>IFERROR(VLOOKUP(C332,O.B.JUNE!$C$7:$J$448,8,0),0)</f>
        <v>0</v>
      </c>
      <c r="S332" s="323">
        <f t="shared" si="98"/>
        <v>0</v>
      </c>
      <c r="T332" s="324">
        <v>0</v>
      </c>
      <c r="U332" s="324"/>
      <c r="V332" s="80"/>
      <c r="W332" s="324">
        <v>0</v>
      </c>
      <c r="X332" s="324"/>
      <c r="Y332" s="324">
        <v>0</v>
      </c>
      <c r="Z332" s="80">
        <v>0</v>
      </c>
      <c r="AA332" s="80">
        <f t="shared" si="99"/>
        <v>0</v>
      </c>
      <c r="AB332" s="323">
        <f t="shared" si="84"/>
        <v>0</v>
      </c>
      <c r="AC332" s="80">
        <f t="shared" si="89"/>
        <v>0</v>
      </c>
      <c r="AD332" s="80">
        <f t="shared" ref="AD332:AD391" si="104">AB332+AC332</f>
        <v>0</v>
      </c>
      <c r="AE332" s="80"/>
      <c r="AF332" s="80"/>
      <c r="AG332" s="80"/>
      <c r="AH332" s="326">
        <f t="shared" si="100"/>
        <v>0</v>
      </c>
      <c r="AI332" s="326">
        <f t="shared" si="101"/>
        <v>0</v>
      </c>
      <c r="AJ332" s="326">
        <f t="shared" si="102"/>
        <v>0</v>
      </c>
      <c r="AK332" s="326">
        <f t="shared" si="103"/>
        <v>0</v>
      </c>
      <c r="AL332" s="326"/>
      <c r="AM332" s="326"/>
      <c r="AN332" s="326"/>
      <c r="AO332" s="326"/>
      <c r="AP332" s="326"/>
      <c r="AQ332" s="326"/>
      <c r="AR332" s="327"/>
      <c r="AS332" s="209"/>
      <c r="AT332" s="411"/>
      <c r="AU332" s="411"/>
    </row>
    <row r="333" spans="1:47" s="390" customFormat="1" ht="18.75" customHeight="1">
      <c r="A333" s="167">
        <v>327</v>
      </c>
      <c r="B333" s="79" t="str">
        <f>IFERROR(VLOOKUP(A333,O.B.JUNE!$A$7:$C$448,2,0),0)</f>
        <v>CHARTER CLUB</v>
      </c>
      <c r="C333" s="174">
        <f>IFERROR(VLOOKUP(A333,O.B.JUNE!$A$7:$C$448,3,0),0)</f>
        <v>100025351</v>
      </c>
      <c r="D333" s="80">
        <f t="shared" si="95"/>
        <v>0</v>
      </c>
      <c r="E333" s="80">
        <f>IFERROR(VLOOKUP(C333,O.B.JUNE!$C$7:$D$448,2,0),0)</f>
        <v>1125</v>
      </c>
      <c r="F333" s="80">
        <f>VLOOKUP(C333,'CUTTING ON JUNE'!$A$4:$D$316,3,0)</f>
        <v>1125</v>
      </c>
      <c r="G333" s="80">
        <f>IFERROR(VLOOKUP(C333,O.B.JUNE!$C$7:$E$448,3,0),0)</f>
        <v>24</v>
      </c>
      <c r="H333" s="80">
        <f t="shared" si="94"/>
        <v>0</v>
      </c>
      <c r="I333" s="80"/>
      <c r="J333" s="80">
        <f t="shared" si="96"/>
        <v>0</v>
      </c>
      <c r="K333" s="80">
        <v>0</v>
      </c>
      <c r="L333" s="80">
        <v>0</v>
      </c>
      <c r="M333" s="81">
        <f t="shared" si="97"/>
        <v>24</v>
      </c>
      <c r="N333" s="81">
        <v>0</v>
      </c>
      <c r="O333" s="81">
        <v>24</v>
      </c>
      <c r="P333" s="81">
        <f t="shared" ref="P333:P389" si="105">+M333-N333-O333</f>
        <v>0</v>
      </c>
      <c r="Q333" s="80">
        <f>IFERROR(VLOOKUP(C333,O.B.JUNE!$C$7:$K$448,7,0),0)</f>
        <v>0</v>
      </c>
      <c r="R333" s="80">
        <f>IFERROR(VLOOKUP(C333,O.B.JUNE!$C$7:$J$448,8,0),0)</f>
        <v>0</v>
      </c>
      <c r="S333" s="323">
        <f t="shared" si="98"/>
        <v>0</v>
      </c>
      <c r="T333" s="324">
        <v>0</v>
      </c>
      <c r="U333" s="324"/>
      <c r="V333" s="80"/>
      <c r="W333" s="324">
        <v>0</v>
      </c>
      <c r="X333" s="324"/>
      <c r="Y333" s="324">
        <v>0</v>
      </c>
      <c r="Z333" s="80">
        <v>0</v>
      </c>
      <c r="AA333" s="80">
        <f t="shared" si="99"/>
        <v>0</v>
      </c>
      <c r="AB333" s="323">
        <f t="shared" ref="AB333:AB396" si="106">ROUND(Q333+T333+V333-X333-W333-Y333-Z333,0)</f>
        <v>0</v>
      </c>
      <c r="AC333" s="80">
        <f t="shared" si="89"/>
        <v>0</v>
      </c>
      <c r="AD333" s="80">
        <f t="shared" si="104"/>
        <v>0</v>
      </c>
      <c r="AE333" s="80"/>
      <c r="AF333" s="80"/>
      <c r="AG333" s="80"/>
      <c r="AH333" s="326">
        <f t="shared" si="100"/>
        <v>0</v>
      </c>
      <c r="AI333" s="326">
        <f t="shared" si="101"/>
        <v>0</v>
      </c>
      <c r="AJ333" s="326">
        <f t="shared" si="102"/>
        <v>0</v>
      </c>
      <c r="AK333" s="326">
        <f t="shared" si="103"/>
        <v>0</v>
      </c>
      <c r="AL333" s="326"/>
      <c r="AM333" s="326"/>
      <c r="AN333" s="326"/>
      <c r="AO333" s="326"/>
      <c r="AP333" s="326"/>
      <c r="AQ333" s="326"/>
      <c r="AR333" s="327"/>
      <c r="AS333" s="209"/>
      <c r="AT333" s="411"/>
      <c r="AU333" s="411"/>
    </row>
    <row r="334" spans="1:47" s="390" customFormat="1" ht="18.75" customHeight="1">
      <c r="A334" s="167">
        <v>328</v>
      </c>
      <c r="B334" s="79" t="str">
        <f>IFERROR(VLOOKUP(A334,O.B.JUNE!$A$7:$C$448,2,0),0)</f>
        <v>TALBOTS</v>
      </c>
      <c r="C334" s="174">
        <f>IFERROR(VLOOKUP(A334,O.B.JUNE!$A$7:$C$448,3,0),0)</f>
        <v>182034821</v>
      </c>
      <c r="D334" s="80">
        <f t="shared" si="95"/>
        <v>0</v>
      </c>
      <c r="E334" s="80">
        <f>IFERROR(VLOOKUP(C334,O.B.JUNE!$C$7:$D$448,2,0),0)</f>
        <v>11876</v>
      </c>
      <c r="F334" s="80">
        <f>VLOOKUP(C334,'CUTTING ON JUNE'!$A$4:$D$316,3,0)</f>
        <v>11876</v>
      </c>
      <c r="G334" s="80">
        <f>IFERROR(VLOOKUP(C334,O.B.JUNE!$C$7:$E$448,3,0),0)</f>
        <v>256</v>
      </c>
      <c r="H334" s="80">
        <f t="shared" si="94"/>
        <v>0</v>
      </c>
      <c r="I334" s="80"/>
      <c r="J334" s="80">
        <f t="shared" si="96"/>
        <v>0</v>
      </c>
      <c r="K334" s="80">
        <v>0</v>
      </c>
      <c r="L334" s="80">
        <v>0</v>
      </c>
      <c r="M334" s="81">
        <f t="shared" si="97"/>
        <v>256</v>
      </c>
      <c r="N334" s="81">
        <v>41</v>
      </c>
      <c r="O334" s="81">
        <v>215</v>
      </c>
      <c r="P334" s="81">
        <f t="shared" si="105"/>
        <v>0</v>
      </c>
      <c r="Q334" s="80">
        <f>IFERROR(VLOOKUP(C334,O.B.JUNE!$C$7:$K$448,7,0),0)</f>
        <v>0</v>
      </c>
      <c r="R334" s="80">
        <f>IFERROR(VLOOKUP(C334,O.B.JUNE!$C$7:$J$448,8,0),0)</f>
        <v>173</v>
      </c>
      <c r="S334" s="323">
        <f t="shared" si="98"/>
        <v>173</v>
      </c>
      <c r="T334" s="324">
        <v>0</v>
      </c>
      <c r="U334" s="324"/>
      <c r="V334" s="80"/>
      <c r="W334" s="324">
        <v>0</v>
      </c>
      <c r="X334" s="324"/>
      <c r="Y334" s="324">
        <v>0</v>
      </c>
      <c r="Z334" s="80">
        <v>0</v>
      </c>
      <c r="AA334" s="80">
        <f t="shared" si="99"/>
        <v>0</v>
      </c>
      <c r="AB334" s="323">
        <f t="shared" si="106"/>
        <v>0</v>
      </c>
      <c r="AC334" s="80">
        <f t="shared" ref="AC334:AC397" si="107">+R334+U334+Z334-X334</f>
        <v>173</v>
      </c>
      <c r="AD334" s="80">
        <f t="shared" si="104"/>
        <v>173</v>
      </c>
      <c r="AE334" s="80"/>
      <c r="AF334" s="80"/>
      <c r="AG334" s="80"/>
      <c r="AH334" s="326">
        <f t="shared" si="100"/>
        <v>0</v>
      </c>
      <c r="AI334" s="326">
        <f t="shared" si="101"/>
        <v>0</v>
      </c>
      <c r="AJ334" s="326">
        <f t="shared" si="102"/>
        <v>0</v>
      </c>
      <c r="AK334" s="326">
        <f t="shared" si="103"/>
        <v>0</v>
      </c>
      <c r="AL334" s="326"/>
      <c r="AM334" s="326"/>
      <c r="AN334" s="326"/>
      <c r="AO334" s="326"/>
      <c r="AP334" s="326"/>
      <c r="AQ334" s="326"/>
      <c r="AR334" s="327"/>
      <c r="AS334" s="209"/>
      <c r="AT334" s="411"/>
      <c r="AU334" s="411"/>
    </row>
    <row r="335" spans="1:47" s="390" customFormat="1" ht="18.75" customHeight="1">
      <c r="A335" s="167">
        <v>329</v>
      </c>
      <c r="B335" s="79" t="str">
        <f>IFERROR(VLOOKUP(A335,O.B.JUNE!$A$7:$C$448,2,0),0)</f>
        <v>TALBOTS</v>
      </c>
      <c r="C335" s="174">
        <f>IFERROR(VLOOKUP(A335,O.B.JUNE!$A$7:$C$448,3,0),0)</f>
        <v>182034836</v>
      </c>
      <c r="D335" s="80">
        <f t="shared" si="95"/>
        <v>0</v>
      </c>
      <c r="E335" s="80">
        <f>IFERROR(VLOOKUP(C335,O.B.JUNE!$C$7:$D$448,2,0),0)</f>
        <v>3006</v>
      </c>
      <c r="F335" s="80">
        <f>VLOOKUP(C335,'CUTTING ON JUNE'!$A$4:$D$316,3,0)</f>
        <v>3006</v>
      </c>
      <c r="G335" s="80">
        <f>IFERROR(VLOOKUP(C335,O.B.JUNE!$C$7:$E$448,3,0),0)</f>
        <v>354</v>
      </c>
      <c r="H335" s="80">
        <f t="shared" si="94"/>
        <v>0</v>
      </c>
      <c r="I335" s="80"/>
      <c r="J335" s="80">
        <f t="shared" si="96"/>
        <v>0</v>
      </c>
      <c r="K335" s="80">
        <v>0</v>
      </c>
      <c r="L335" s="80">
        <v>0</v>
      </c>
      <c r="M335" s="81">
        <f t="shared" si="97"/>
        <v>354</v>
      </c>
      <c r="N335" s="81">
        <v>0</v>
      </c>
      <c r="O335" s="81">
        <v>299</v>
      </c>
      <c r="P335" s="81">
        <f t="shared" si="105"/>
        <v>55</v>
      </c>
      <c r="Q335" s="80">
        <f>IFERROR(VLOOKUP(C335,O.B.JUNE!$C$7:$K$448,7,0),0)</f>
        <v>0</v>
      </c>
      <c r="R335" s="80">
        <f>IFERROR(VLOOKUP(C335,O.B.JUNE!$C$7:$J$448,8,0),0)</f>
        <v>0</v>
      </c>
      <c r="S335" s="323">
        <f t="shared" si="98"/>
        <v>0</v>
      </c>
      <c r="T335" s="324">
        <v>0</v>
      </c>
      <c r="U335" s="324"/>
      <c r="V335" s="80"/>
      <c r="W335" s="324">
        <v>0</v>
      </c>
      <c r="X335" s="324"/>
      <c r="Y335" s="324">
        <v>0</v>
      </c>
      <c r="Z335" s="80">
        <v>0</v>
      </c>
      <c r="AA335" s="80">
        <f t="shared" si="99"/>
        <v>0</v>
      </c>
      <c r="AB335" s="323">
        <f t="shared" si="106"/>
        <v>0</v>
      </c>
      <c r="AC335" s="80">
        <f t="shared" si="107"/>
        <v>0</v>
      </c>
      <c r="AD335" s="80">
        <f t="shared" si="104"/>
        <v>0</v>
      </c>
      <c r="AE335" s="80"/>
      <c r="AF335" s="80"/>
      <c r="AG335" s="80"/>
      <c r="AH335" s="326">
        <f t="shared" si="100"/>
        <v>0</v>
      </c>
      <c r="AI335" s="326">
        <f t="shared" si="101"/>
        <v>0</v>
      </c>
      <c r="AJ335" s="326">
        <f t="shared" si="102"/>
        <v>0</v>
      </c>
      <c r="AK335" s="326">
        <f t="shared" si="103"/>
        <v>0</v>
      </c>
      <c r="AL335" s="326"/>
      <c r="AM335" s="326"/>
      <c r="AN335" s="326"/>
      <c r="AO335" s="326"/>
      <c r="AP335" s="326"/>
      <c r="AQ335" s="326"/>
      <c r="AR335" s="327"/>
      <c r="AS335" s="209"/>
      <c r="AT335" s="411"/>
      <c r="AU335" s="411"/>
    </row>
    <row r="336" spans="1:47" s="390" customFormat="1" ht="18.75" customHeight="1">
      <c r="A336" s="167">
        <v>330</v>
      </c>
      <c r="B336" s="79" t="str">
        <f>IFERROR(VLOOKUP(A336,O.B.JUNE!$A$7:$C$448,2,0),0)</f>
        <v>TALBOTS</v>
      </c>
      <c r="C336" s="174">
        <f>IFERROR(VLOOKUP(A336,O.B.JUNE!$A$7:$C$448,3,0),0)</f>
        <v>182034837</v>
      </c>
      <c r="D336" s="80">
        <f t="shared" si="95"/>
        <v>0</v>
      </c>
      <c r="E336" s="80">
        <f>IFERROR(VLOOKUP(C336,O.B.JUNE!$C$7:$D$448,2,0),0)</f>
        <v>810</v>
      </c>
      <c r="F336" s="80">
        <f>VLOOKUP(C336,'CUTTING ON JUNE'!$A$4:$D$316,3,0)</f>
        <v>810</v>
      </c>
      <c r="G336" s="80">
        <f>IFERROR(VLOOKUP(C336,O.B.JUNE!$C$7:$E$448,3,0),0)</f>
        <v>47</v>
      </c>
      <c r="H336" s="80">
        <f t="shared" si="94"/>
        <v>0</v>
      </c>
      <c r="I336" s="80"/>
      <c r="J336" s="80">
        <f t="shared" si="96"/>
        <v>0</v>
      </c>
      <c r="K336" s="80">
        <v>0</v>
      </c>
      <c r="L336" s="80">
        <v>0</v>
      </c>
      <c r="M336" s="81">
        <f t="shared" si="97"/>
        <v>47</v>
      </c>
      <c r="N336" s="81">
        <v>1</v>
      </c>
      <c r="O336" s="81">
        <v>9</v>
      </c>
      <c r="P336" s="81">
        <f t="shared" si="105"/>
        <v>37</v>
      </c>
      <c r="Q336" s="80">
        <f>IFERROR(VLOOKUP(C336,O.B.JUNE!$C$7:$K$448,7,0),0)</f>
        <v>0</v>
      </c>
      <c r="R336" s="80">
        <f>IFERROR(VLOOKUP(C336,O.B.JUNE!$C$7:$J$448,8,0),0)</f>
        <v>0</v>
      </c>
      <c r="S336" s="323">
        <f t="shared" si="98"/>
        <v>0</v>
      </c>
      <c r="T336" s="324">
        <v>0</v>
      </c>
      <c r="U336" s="324"/>
      <c r="V336" s="80"/>
      <c r="W336" s="324">
        <v>0</v>
      </c>
      <c r="X336" s="324"/>
      <c r="Y336" s="324">
        <v>0</v>
      </c>
      <c r="Z336" s="80">
        <v>0</v>
      </c>
      <c r="AA336" s="80">
        <f t="shared" si="99"/>
        <v>0</v>
      </c>
      <c r="AB336" s="323">
        <f t="shared" si="106"/>
        <v>0</v>
      </c>
      <c r="AC336" s="80">
        <f t="shared" si="107"/>
        <v>0</v>
      </c>
      <c r="AD336" s="80">
        <f t="shared" si="104"/>
        <v>0</v>
      </c>
      <c r="AE336" s="80"/>
      <c r="AF336" s="80"/>
      <c r="AG336" s="80"/>
      <c r="AH336" s="326">
        <f t="shared" si="100"/>
        <v>0</v>
      </c>
      <c r="AI336" s="326">
        <f t="shared" si="101"/>
        <v>0</v>
      </c>
      <c r="AJ336" s="326">
        <f t="shared" si="102"/>
        <v>0</v>
      </c>
      <c r="AK336" s="326">
        <f t="shared" si="103"/>
        <v>0</v>
      </c>
      <c r="AL336" s="326"/>
      <c r="AM336" s="326"/>
      <c r="AN336" s="326"/>
      <c r="AO336" s="326"/>
      <c r="AP336" s="326"/>
      <c r="AQ336" s="326"/>
      <c r="AR336" s="327"/>
      <c r="AS336" s="209"/>
      <c r="AT336" s="411"/>
      <c r="AU336" s="411"/>
    </row>
    <row r="337" spans="1:47" s="390" customFormat="1" ht="18.75" customHeight="1">
      <c r="A337" s="167">
        <v>331</v>
      </c>
      <c r="B337" s="79" t="str">
        <f>IFERROR(VLOOKUP(A337,O.B.JUNE!$A$7:$C$448,2,0),0)</f>
        <v>J JILL</v>
      </c>
      <c r="C337" s="174" t="str">
        <f>IFERROR(VLOOKUP(A337,O.B.JUNE!$A$7:$C$448,3,0),0)</f>
        <v>KPT122931</v>
      </c>
      <c r="D337" s="80">
        <f t="shared" si="95"/>
        <v>618</v>
      </c>
      <c r="E337" s="80">
        <f>IFERROR(VLOOKUP(C337,O.B.JUNE!$C$7:$D$448,2,0),0)</f>
        <v>11564</v>
      </c>
      <c r="F337" s="80">
        <f>VLOOKUP(C337,'CUTTING ON JUNE'!$A$4:$D$316,3,0)</f>
        <v>12182</v>
      </c>
      <c r="G337" s="80">
        <f>IFERROR(VLOOKUP(C337,O.B.JUNE!$C$7:$E$448,3,0),0)</f>
        <v>391</v>
      </c>
      <c r="H337" s="80">
        <f t="shared" si="94"/>
        <v>618</v>
      </c>
      <c r="I337" s="80"/>
      <c r="J337" s="80">
        <f t="shared" si="96"/>
        <v>87</v>
      </c>
      <c r="K337" s="80">
        <v>0</v>
      </c>
      <c r="L337" s="80">
        <v>0</v>
      </c>
      <c r="M337" s="81">
        <f t="shared" si="97"/>
        <v>922</v>
      </c>
      <c r="N337" s="81">
        <v>0</v>
      </c>
      <c r="O337" s="81">
        <v>600</v>
      </c>
      <c r="P337" s="81">
        <f t="shared" si="105"/>
        <v>322</v>
      </c>
      <c r="Q337" s="80">
        <f>IFERROR(VLOOKUP(C337,O.B.JUNE!$C$7:$K$448,7,0),0)</f>
        <v>2490</v>
      </c>
      <c r="R337" s="80">
        <f>IFERROR(VLOOKUP(C337,O.B.JUNE!$C$7:$J$448,8,0),0)</f>
        <v>0</v>
      </c>
      <c r="S337" s="323">
        <f t="shared" si="98"/>
        <v>2577</v>
      </c>
      <c r="T337" s="324">
        <v>87</v>
      </c>
      <c r="U337" s="324"/>
      <c r="V337" s="80"/>
      <c r="W337" s="324">
        <v>2568</v>
      </c>
      <c r="X337" s="324"/>
      <c r="Y337" s="324">
        <v>9</v>
      </c>
      <c r="Z337" s="80">
        <v>0</v>
      </c>
      <c r="AA337" s="80">
        <f t="shared" si="99"/>
        <v>87</v>
      </c>
      <c r="AB337" s="323">
        <f t="shared" si="106"/>
        <v>0</v>
      </c>
      <c r="AC337" s="80">
        <f t="shared" si="107"/>
        <v>0</v>
      </c>
      <c r="AD337" s="80">
        <f t="shared" si="104"/>
        <v>0</v>
      </c>
      <c r="AE337" s="80"/>
      <c r="AF337" s="80"/>
      <c r="AG337" s="80"/>
      <c r="AH337" s="326">
        <f t="shared" si="100"/>
        <v>0</v>
      </c>
      <c r="AI337" s="326">
        <f t="shared" si="101"/>
        <v>0</v>
      </c>
      <c r="AJ337" s="326">
        <f t="shared" si="102"/>
        <v>0</v>
      </c>
      <c r="AK337" s="326">
        <f t="shared" si="103"/>
        <v>0</v>
      </c>
      <c r="AL337" s="326"/>
      <c r="AM337" s="326"/>
      <c r="AN337" s="326"/>
      <c r="AO337" s="326"/>
      <c r="AP337" s="326"/>
      <c r="AQ337" s="326"/>
      <c r="AR337" s="327">
        <f>VLOOKUP(C337,'[1]DA HET SAN XUAT'!$D$8:$AJ$419,33,0)</f>
        <v>0</v>
      </c>
      <c r="AS337" s="209"/>
      <c r="AT337" s="411"/>
      <c r="AU337" s="411"/>
    </row>
    <row r="338" spans="1:47" s="390" customFormat="1" ht="18.75" customHeight="1">
      <c r="A338" s="167">
        <v>332</v>
      </c>
      <c r="B338" s="79" t="str">
        <f>IFERROR(VLOOKUP(A338,O.B.JUNE!$A$7:$C$448,2,0),0)</f>
        <v>ANN TAYLOR</v>
      </c>
      <c r="C338" s="174">
        <f>IFERROR(VLOOKUP(A338,O.B.JUNE!$A$7:$C$448,3,0),0)</f>
        <v>465318</v>
      </c>
      <c r="D338" s="80">
        <f t="shared" si="95"/>
        <v>0</v>
      </c>
      <c r="E338" s="80">
        <f>IFERROR(VLOOKUP(C338,O.B.JUNE!$C$7:$D$448,2,0),0)</f>
        <v>6582</v>
      </c>
      <c r="F338" s="80">
        <f>VLOOKUP(C338,'CUTTING ON JUNE'!$A$4:$D$316,3,0)</f>
        <v>6582</v>
      </c>
      <c r="G338" s="80">
        <f>IFERROR(VLOOKUP(C338,O.B.JUNE!$C$7:$E$448,3,0),0)</f>
        <v>397</v>
      </c>
      <c r="H338" s="80">
        <f t="shared" si="94"/>
        <v>0</v>
      </c>
      <c r="I338" s="80"/>
      <c r="J338" s="80">
        <f t="shared" si="96"/>
        <v>8</v>
      </c>
      <c r="K338" s="80">
        <v>0</v>
      </c>
      <c r="L338" s="80">
        <v>0</v>
      </c>
      <c r="M338" s="81">
        <f t="shared" si="97"/>
        <v>389</v>
      </c>
      <c r="N338" s="81">
        <v>0</v>
      </c>
      <c r="O338" s="81">
        <v>334</v>
      </c>
      <c r="P338" s="81">
        <f t="shared" si="105"/>
        <v>55</v>
      </c>
      <c r="Q338" s="80">
        <f>IFERROR(VLOOKUP(C338,O.B.JUNE!$C$7:$K$448,7,0),0)</f>
        <v>0</v>
      </c>
      <c r="R338" s="80">
        <f>IFERROR(VLOOKUP(C338,O.B.JUNE!$C$7:$J$448,8,0),0)</f>
        <v>115</v>
      </c>
      <c r="S338" s="323">
        <f t="shared" si="98"/>
        <v>123</v>
      </c>
      <c r="T338" s="324">
        <v>8</v>
      </c>
      <c r="U338" s="324"/>
      <c r="V338" s="80"/>
      <c r="W338" s="324">
        <v>0</v>
      </c>
      <c r="X338" s="324"/>
      <c r="Y338" s="324">
        <v>8</v>
      </c>
      <c r="Z338" s="80">
        <v>0</v>
      </c>
      <c r="AA338" s="80">
        <f t="shared" si="99"/>
        <v>8</v>
      </c>
      <c r="AB338" s="323">
        <f t="shared" si="106"/>
        <v>0</v>
      </c>
      <c r="AC338" s="80">
        <f t="shared" si="107"/>
        <v>115</v>
      </c>
      <c r="AD338" s="80">
        <f t="shared" si="104"/>
        <v>115</v>
      </c>
      <c r="AE338" s="80"/>
      <c r="AF338" s="80"/>
      <c r="AG338" s="80"/>
      <c r="AH338" s="326">
        <f t="shared" si="100"/>
        <v>0</v>
      </c>
      <c r="AI338" s="326">
        <f t="shared" si="101"/>
        <v>0</v>
      </c>
      <c r="AJ338" s="326">
        <f t="shared" si="102"/>
        <v>0</v>
      </c>
      <c r="AK338" s="326">
        <f t="shared" si="103"/>
        <v>0</v>
      </c>
      <c r="AL338" s="326"/>
      <c r="AM338" s="326"/>
      <c r="AN338" s="326"/>
      <c r="AO338" s="326"/>
      <c r="AP338" s="326"/>
      <c r="AQ338" s="326"/>
      <c r="AR338" s="327"/>
      <c r="AS338" s="209"/>
      <c r="AT338" s="411"/>
      <c r="AU338" s="411"/>
    </row>
    <row r="339" spans="1:47" s="390" customFormat="1" ht="18.75" customHeight="1">
      <c r="A339" s="167">
        <v>333</v>
      </c>
      <c r="B339" s="79" t="str">
        <f>IFERROR(VLOOKUP(A339,O.B.JUNE!$A$7:$C$448,2,0),0)</f>
        <v>ANN TAYLOR</v>
      </c>
      <c r="C339" s="174">
        <f>IFERROR(VLOOKUP(A339,O.B.JUNE!$A$7:$C$448,3,0),0)</f>
        <v>465985</v>
      </c>
      <c r="D339" s="80">
        <f t="shared" si="95"/>
        <v>0</v>
      </c>
      <c r="E339" s="80">
        <f>IFERROR(VLOOKUP(C339,O.B.JUNE!$C$7:$D$448,2,0),0)</f>
        <v>9760</v>
      </c>
      <c r="F339" s="80">
        <f>VLOOKUP(C339,'CUTTING ON JUNE'!$A$4:$D$316,3,0)</f>
        <v>9760</v>
      </c>
      <c r="G339" s="80">
        <f>IFERROR(VLOOKUP(C339,O.B.JUNE!$C$7:$E$448,3,0),0)</f>
        <v>793</v>
      </c>
      <c r="H339" s="80">
        <f t="shared" si="94"/>
        <v>0</v>
      </c>
      <c r="I339" s="80"/>
      <c r="J339" s="80">
        <f t="shared" si="96"/>
        <v>8</v>
      </c>
      <c r="K339" s="80">
        <v>0</v>
      </c>
      <c r="L339" s="80">
        <v>0</v>
      </c>
      <c r="M339" s="81">
        <f t="shared" si="97"/>
        <v>785</v>
      </c>
      <c r="N339" s="81">
        <v>68</v>
      </c>
      <c r="O339" s="81">
        <v>651</v>
      </c>
      <c r="P339" s="81">
        <f t="shared" si="105"/>
        <v>66</v>
      </c>
      <c r="Q339" s="80">
        <f>IFERROR(VLOOKUP(C339,O.B.JUNE!$C$7:$K$448,7,0),0)</f>
        <v>0</v>
      </c>
      <c r="R339" s="80">
        <f>IFERROR(VLOOKUP(C339,O.B.JUNE!$C$7:$J$448,8,0),0)</f>
        <v>123</v>
      </c>
      <c r="S339" s="323">
        <f t="shared" si="98"/>
        <v>131</v>
      </c>
      <c r="T339" s="324">
        <v>8</v>
      </c>
      <c r="U339" s="324"/>
      <c r="V339" s="80"/>
      <c r="W339" s="324">
        <v>0</v>
      </c>
      <c r="X339" s="324"/>
      <c r="Y339" s="324">
        <v>8</v>
      </c>
      <c r="Z339" s="80">
        <v>0</v>
      </c>
      <c r="AA339" s="80">
        <f t="shared" si="99"/>
        <v>8</v>
      </c>
      <c r="AB339" s="323">
        <f t="shared" si="106"/>
        <v>0</v>
      </c>
      <c r="AC339" s="80">
        <f t="shared" si="107"/>
        <v>123</v>
      </c>
      <c r="AD339" s="80">
        <f t="shared" si="104"/>
        <v>123</v>
      </c>
      <c r="AE339" s="80"/>
      <c r="AF339" s="80"/>
      <c r="AG339" s="80"/>
      <c r="AH339" s="326">
        <f t="shared" si="100"/>
        <v>0</v>
      </c>
      <c r="AI339" s="326">
        <f t="shared" si="101"/>
        <v>0</v>
      </c>
      <c r="AJ339" s="326">
        <f t="shared" si="102"/>
        <v>0</v>
      </c>
      <c r="AK339" s="326">
        <f t="shared" si="103"/>
        <v>0</v>
      </c>
      <c r="AL339" s="326"/>
      <c r="AM339" s="326"/>
      <c r="AN339" s="326"/>
      <c r="AO339" s="326"/>
      <c r="AP339" s="326"/>
      <c r="AQ339" s="326"/>
      <c r="AR339" s="327">
        <f>VLOOKUP(C339,'[1]DA HET SAN XUAT'!$D$8:$AJ$419,33,0)</f>
        <v>0</v>
      </c>
      <c r="AS339" s="209"/>
      <c r="AT339" s="411"/>
      <c r="AU339" s="411"/>
    </row>
    <row r="340" spans="1:47" s="390" customFormat="1" ht="18.75" customHeight="1">
      <c r="A340" s="167">
        <v>334</v>
      </c>
      <c r="B340" s="79" t="str">
        <f>IFERROR(VLOOKUP(A340,O.B.JUNE!$A$7:$C$448,2,0),0)</f>
        <v>ANN TAYLOR</v>
      </c>
      <c r="C340" s="174">
        <f>IFERROR(VLOOKUP(A340,O.B.JUNE!$A$7:$C$448,3,0),0)</f>
        <v>466092</v>
      </c>
      <c r="D340" s="80">
        <f t="shared" si="95"/>
        <v>0</v>
      </c>
      <c r="E340" s="80">
        <f>IFERROR(VLOOKUP(C340,O.B.JUNE!$C$7:$D$448,2,0),0)</f>
        <v>1691</v>
      </c>
      <c r="F340" s="80">
        <f>VLOOKUP(C340,'CUTTING ON JUNE'!$A$4:$D$316,3,0)</f>
        <v>1691</v>
      </c>
      <c r="G340" s="80">
        <f>IFERROR(VLOOKUP(C340,O.B.JUNE!$C$7:$E$448,3,0),0)</f>
        <v>203</v>
      </c>
      <c r="H340" s="80">
        <f t="shared" si="94"/>
        <v>0</v>
      </c>
      <c r="I340" s="80"/>
      <c r="J340" s="80">
        <f t="shared" si="96"/>
        <v>0</v>
      </c>
      <c r="K340" s="80">
        <v>0</v>
      </c>
      <c r="L340" s="80">
        <v>0</v>
      </c>
      <c r="M340" s="81">
        <f t="shared" si="97"/>
        <v>203</v>
      </c>
      <c r="N340" s="81">
        <v>0</v>
      </c>
      <c r="O340" s="81">
        <v>21</v>
      </c>
      <c r="P340" s="81">
        <f t="shared" si="105"/>
        <v>182</v>
      </c>
      <c r="Q340" s="80">
        <f>IFERROR(VLOOKUP(C340,O.B.JUNE!$C$7:$K$448,7,0),0)</f>
        <v>0</v>
      </c>
      <c r="R340" s="80">
        <f>IFERROR(VLOOKUP(C340,O.B.JUNE!$C$7:$J$448,8,0),0)</f>
        <v>0</v>
      </c>
      <c r="S340" s="323">
        <f t="shared" si="98"/>
        <v>0</v>
      </c>
      <c r="T340" s="324">
        <v>0</v>
      </c>
      <c r="U340" s="324"/>
      <c r="V340" s="80"/>
      <c r="W340" s="324">
        <v>0</v>
      </c>
      <c r="X340" s="324"/>
      <c r="Y340" s="324">
        <v>0</v>
      </c>
      <c r="Z340" s="80">
        <v>0</v>
      </c>
      <c r="AA340" s="80">
        <f t="shared" si="99"/>
        <v>0</v>
      </c>
      <c r="AB340" s="323">
        <f t="shared" si="106"/>
        <v>0</v>
      </c>
      <c r="AC340" s="80">
        <f t="shared" si="107"/>
        <v>0</v>
      </c>
      <c r="AD340" s="80">
        <f t="shared" si="104"/>
        <v>0</v>
      </c>
      <c r="AE340" s="80"/>
      <c r="AF340" s="80"/>
      <c r="AG340" s="80"/>
      <c r="AH340" s="326">
        <f t="shared" si="100"/>
        <v>0</v>
      </c>
      <c r="AI340" s="326">
        <f t="shared" si="101"/>
        <v>0</v>
      </c>
      <c r="AJ340" s="326">
        <f t="shared" si="102"/>
        <v>0</v>
      </c>
      <c r="AK340" s="326">
        <f t="shared" si="103"/>
        <v>0</v>
      </c>
      <c r="AL340" s="326"/>
      <c r="AM340" s="326"/>
      <c r="AN340" s="326"/>
      <c r="AO340" s="326"/>
      <c r="AP340" s="326"/>
      <c r="AQ340" s="326"/>
      <c r="AR340" s="327">
        <f>VLOOKUP(C340,'[1]DA HET SAN XUAT'!$D$8:$AJ$419,33,0)</f>
        <v>0</v>
      </c>
      <c r="AS340" s="209"/>
      <c r="AT340" s="411"/>
      <c r="AU340" s="411"/>
    </row>
    <row r="341" spans="1:47" s="390" customFormat="1" ht="18.75" customHeight="1">
      <c r="A341" s="167">
        <v>335</v>
      </c>
      <c r="B341" s="79" t="str">
        <f>IFERROR(VLOOKUP(A341,O.B.JUNE!$A$7:$C$448,2,0),0)</f>
        <v>ANN TAYLOR</v>
      </c>
      <c r="C341" s="174">
        <f>IFERROR(VLOOKUP(A341,O.B.JUNE!$A$7:$C$448,3,0),0)</f>
        <v>470322</v>
      </c>
      <c r="D341" s="80">
        <f t="shared" si="95"/>
        <v>0</v>
      </c>
      <c r="E341" s="80">
        <f>IFERROR(VLOOKUP(C341,O.B.JUNE!$C$7:$D$448,2,0),0)</f>
        <v>6479</v>
      </c>
      <c r="F341" s="80">
        <f>VLOOKUP(C341,'CUTTING ON JUNE'!$A$4:$D$316,3,0)</f>
        <v>6479</v>
      </c>
      <c r="G341" s="80">
        <f>IFERROR(VLOOKUP(C341,O.B.JUNE!$C$7:$E$448,3,0),0)</f>
        <v>311</v>
      </c>
      <c r="H341" s="80">
        <f t="shared" si="94"/>
        <v>0</v>
      </c>
      <c r="I341" s="80"/>
      <c r="J341" s="80">
        <f t="shared" si="96"/>
        <v>1</v>
      </c>
      <c r="K341" s="80">
        <v>0</v>
      </c>
      <c r="L341" s="80">
        <v>0</v>
      </c>
      <c r="M341" s="81">
        <f t="shared" si="97"/>
        <v>310</v>
      </c>
      <c r="N341" s="81">
        <v>0</v>
      </c>
      <c r="O341" s="81">
        <v>90</v>
      </c>
      <c r="P341" s="81">
        <f t="shared" si="105"/>
        <v>220</v>
      </c>
      <c r="Q341" s="80">
        <f>IFERROR(VLOOKUP(C341,O.B.JUNE!$C$7:$K$448,7,0),0)</f>
        <v>0</v>
      </c>
      <c r="R341" s="80">
        <f>IFERROR(VLOOKUP(C341,O.B.JUNE!$C$7:$J$448,8,0),0)</f>
        <v>0</v>
      </c>
      <c r="S341" s="323">
        <f t="shared" si="98"/>
        <v>1</v>
      </c>
      <c r="T341" s="324">
        <v>1</v>
      </c>
      <c r="U341" s="324"/>
      <c r="V341" s="80"/>
      <c r="W341" s="324">
        <v>0</v>
      </c>
      <c r="X341" s="324"/>
      <c r="Y341" s="324">
        <v>1</v>
      </c>
      <c r="Z341" s="80">
        <v>0</v>
      </c>
      <c r="AA341" s="80">
        <f t="shared" si="99"/>
        <v>1</v>
      </c>
      <c r="AB341" s="323">
        <f t="shared" si="106"/>
        <v>0</v>
      </c>
      <c r="AC341" s="80">
        <f t="shared" si="107"/>
        <v>0</v>
      </c>
      <c r="AD341" s="80">
        <f t="shared" si="104"/>
        <v>0</v>
      </c>
      <c r="AE341" s="80"/>
      <c r="AF341" s="80"/>
      <c r="AG341" s="80"/>
      <c r="AH341" s="326">
        <f t="shared" si="100"/>
        <v>0</v>
      </c>
      <c r="AI341" s="326">
        <f t="shared" si="101"/>
        <v>0</v>
      </c>
      <c r="AJ341" s="326">
        <f t="shared" si="102"/>
        <v>0</v>
      </c>
      <c r="AK341" s="326">
        <f t="shared" si="103"/>
        <v>0</v>
      </c>
      <c r="AL341" s="326"/>
      <c r="AM341" s="326"/>
      <c r="AN341" s="326"/>
      <c r="AO341" s="326"/>
      <c r="AP341" s="326"/>
      <c r="AQ341" s="326"/>
      <c r="AR341" s="327"/>
      <c r="AS341" s="209"/>
      <c r="AT341" s="411"/>
      <c r="AU341" s="411"/>
    </row>
    <row r="342" spans="1:47" s="390" customFormat="1" ht="18.75" customHeight="1">
      <c r="A342" s="167">
        <v>336</v>
      </c>
      <c r="B342" s="79" t="str">
        <f>IFERROR(VLOOKUP(A342,O.B.JUNE!$A$7:$C$448,2,0),0)</f>
        <v>ANN TAYLOR</v>
      </c>
      <c r="C342" s="174">
        <f>IFERROR(VLOOKUP(A342,O.B.JUNE!$A$7:$C$448,3,0),0)</f>
        <v>471823</v>
      </c>
      <c r="D342" s="80">
        <f t="shared" si="95"/>
        <v>0</v>
      </c>
      <c r="E342" s="80">
        <f>IFERROR(VLOOKUP(C342,O.B.JUNE!$C$7:$D$448,2,0),0)</f>
        <v>9254</v>
      </c>
      <c r="F342" s="80">
        <f>VLOOKUP(C342,'CUTTING ON JUNE'!$A$4:$D$316,3,0)</f>
        <v>9254</v>
      </c>
      <c r="G342" s="80">
        <f>IFERROR(VLOOKUP(C342,O.B.JUNE!$C$7:$E$448,3,0),0)</f>
        <v>1013</v>
      </c>
      <c r="H342" s="80">
        <f t="shared" si="94"/>
        <v>0</v>
      </c>
      <c r="I342" s="80"/>
      <c r="J342" s="80">
        <f t="shared" si="96"/>
        <v>0</v>
      </c>
      <c r="K342" s="80">
        <v>0</v>
      </c>
      <c r="L342" s="80">
        <v>0</v>
      </c>
      <c r="M342" s="81">
        <f t="shared" si="97"/>
        <v>1013</v>
      </c>
      <c r="N342" s="81">
        <v>0</v>
      </c>
      <c r="O342" s="81">
        <v>125</v>
      </c>
      <c r="P342" s="81">
        <f t="shared" si="105"/>
        <v>888</v>
      </c>
      <c r="Q342" s="80">
        <f>IFERROR(VLOOKUP(C342,O.B.JUNE!$C$7:$K$448,7,0),0)</f>
        <v>0</v>
      </c>
      <c r="R342" s="80">
        <f>IFERROR(VLOOKUP(C342,O.B.JUNE!$C$7:$J$448,8,0),0)</f>
        <v>100</v>
      </c>
      <c r="S342" s="323">
        <f>Q342+T342+U342+R342</f>
        <v>100</v>
      </c>
      <c r="T342" s="324">
        <v>0</v>
      </c>
      <c r="U342" s="324"/>
      <c r="V342" s="80"/>
      <c r="W342" s="324">
        <v>0</v>
      </c>
      <c r="X342" s="324"/>
      <c r="Y342" s="324">
        <v>0</v>
      </c>
      <c r="Z342" s="80">
        <v>0</v>
      </c>
      <c r="AA342" s="80">
        <f t="shared" si="99"/>
        <v>0</v>
      </c>
      <c r="AB342" s="323">
        <f t="shared" si="106"/>
        <v>0</v>
      </c>
      <c r="AC342" s="80">
        <f t="shared" si="107"/>
        <v>100</v>
      </c>
      <c r="AD342" s="80">
        <f t="shared" si="104"/>
        <v>100</v>
      </c>
      <c r="AE342" s="80"/>
      <c r="AF342" s="80"/>
      <c r="AG342" s="80"/>
      <c r="AH342" s="326">
        <f t="shared" si="100"/>
        <v>0</v>
      </c>
      <c r="AI342" s="326">
        <f t="shared" si="101"/>
        <v>0</v>
      </c>
      <c r="AJ342" s="326">
        <f t="shared" si="102"/>
        <v>0</v>
      </c>
      <c r="AK342" s="326">
        <f t="shared" si="103"/>
        <v>0</v>
      </c>
      <c r="AL342" s="326"/>
      <c r="AM342" s="326"/>
      <c r="AN342" s="326"/>
      <c r="AO342" s="326"/>
      <c r="AP342" s="326"/>
      <c r="AQ342" s="326"/>
      <c r="AR342" s="327"/>
      <c r="AS342" s="209"/>
      <c r="AT342" s="411"/>
      <c r="AU342" s="411"/>
    </row>
    <row r="343" spans="1:47" s="390" customFormat="1" ht="18.75" customHeight="1">
      <c r="A343" s="167">
        <v>337</v>
      </c>
      <c r="B343" s="79" t="str">
        <f>IFERROR(VLOOKUP(A343,O.B.JUNE!$A$7:$C$448,2,0),0)</f>
        <v>ANN TAYLOR</v>
      </c>
      <c r="C343" s="174">
        <f>IFERROR(VLOOKUP(A343,O.B.JUNE!$A$7:$C$448,3,0),0)</f>
        <v>471825</v>
      </c>
      <c r="D343" s="80">
        <f t="shared" si="95"/>
        <v>0</v>
      </c>
      <c r="E343" s="80">
        <f>IFERROR(VLOOKUP(C343,O.B.JUNE!$C$7:$D$448,2,0),0)</f>
        <v>965</v>
      </c>
      <c r="F343" s="80">
        <f>VLOOKUP(C343,'CUTTING ON JUNE'!$A$4:$D$316,3,0)</f>
        <v>965</v>
      </c>
      <c r="G343" s="80">
        <f>IFERROR(VLOOKUP(C343,O.B.JUNE!$C$7:$E$448,3,0),0)</f>
        <v>50</v>
      </c>
      <c r="H343" s="80">
        <f t="shared" si="94"/>
        <v>0</v>
      </c>
      <c r="I343" s="80"/>
      <c r="J343" s="80">
        <f t="shared" si="96"/>
        <v>11</v>
      </c>
      <c r="K343" s="80">
        <v>0</v>
      </c>
      <c r="L343" s="80">
        <v>0</v>
      </c>
      <c r="M343" s="81">
        <f t="shared" si="97"/>
        <v>39</v>
      </c>
      <c r="N343" s="81">
        <v>0</v>
      </c>
      <c r="O343" s="81">
        <v>39</v>
      </c>
      <c r="P343" s="81">
        <f t="shared" si="105"/>
        <v>0</v>
      </c>
      <c r="Q343" s="80">
        <f>IFERROR(VLOOKUP(C343,O.B.JUNE!$C$7:$K$448,7,0),0)</f>
        <v>0</v>
      </c>
      <c r="R343" s="80">
        <f>IFERROR(VLOOKUP(C343,O.B.JUNE!$C$7:$J$448,8,0),0)</f>
        <v>5</v>
      </c>
      <c r="S343" s="323">
        <f t="shared" si="98"/>
        <v>16</v>
      </c>
      <c r="T343" s="324">
        <v>11</v>
      </c>
      <c r="U343" s="324"/>
      <c r="V343" s="80"/>
      <c r="W343" s="324">
        <v>0</v>
      </c>
      <c r="X343" s="324"/>
      <c r="Y343" s="324">
        <v>11</v>
      </c>
      <c r="Z343" s="80">
        <v>0</v>
      </c>
      <c r="AA343" s="80">
        <f t="shared" si="99"/>
        <v>11</v>
      </c>
      <c r="AB343" s="323">
        <f t="shared" si="106"/>
        <v>0</v>
      </c>
      <c r="AC343" s="80">
        <f t="shared" si="107"/>
        <v>5</v>
      </c>
      <c r="AD343" s="80">
        <f t="shared" si="104"/>
        <v>5</v>
      </c>
      <c r="AE343" s="80"/>
      <c r="AF343" s="80"/>
      <c r="AG343" s="80"/>
      <c r="AH343" s="326">
        <f t="shared" si="100"/>
        <v>0</v>
      </c>
      <c r="AI343" s="326">
        <f t="shared" si="101"/>
        <v>0</v>
      </c>
      <c r="AJ343" s="326">
        <f t="shared" si="102"/>
        <v>0</v>
      </c>
      <c r="AK343" s="326">
        <f t="shared" si="103"/>
        <v>0</v>
      </c>
      <c r="AL343" s="326"/>
      <c r="AM343" s="326"/>
      <c r="AN343" s="326"/>
      <c r="AO343" s="326"/>
      <c r="AP343" s="326"/>
      <c r="AQ343" s="326"/>
      <c r="AR343" s="327"/>
      <c r="AS343" s="209"/>
      <c r="AT343" s="411"/>
      <c r="AU343" s="411"/>
    </row>
    <row r="344" spans="1:47" s="390" customFormat="1" ht="18.75" customHeight="1">
      <c r="A344" s="167">
        <v>338</v>
      </c>
      <c r="B344" s="79" t="str">
        <f>IFERROR(VLOOKUP(A344,O.B.JUNE!$A$7:$C$448,2,0),0)</f>
        <v>ANN TAYLOR</v>
      </c>
      <c r="C344" s="174">
        <f>IFERROR(VLOOKUP(A344,O.B.JUNE!$A$7:$C$448,3,0),0)</f>
        <v>472140</v>
      </c>
      <c r="D344" s="80">
        <f t="shared" si="95"/>
        <v>0</v>
      </c>
      <c r="E344" s="80">
        <f>IFERROR(VLOOKUP(C344,O.B.JUNE!$C$7:$D$448,2,0),0)</f>
        <v>1526</v>
      </c>
      <c r="F344" s="80">
        <f>VLOOKUP(C344,'CUTTING ON JUNE'!$A$4:$D$316,3,0)</f>
        <v>1526</v>
      </c>
      <c r="G344" s="80">
        <f>IFERROR(VLOOKUP(C344,O.B.JUNE!$C$7:$E$448,3,0),0)</f>
        <v>157</v>
      </c>
      <c r="H344" s="80">
        <f t="shared" si="94"/>
        <v>0</v>
      </c>
      <c r="I344" s="80"/>
      <c r="J344" s="80">
        <f t="shared" si="96"/>
        <v>0</v>
      </c>
      <c r="K344" s="80">
        <v>0</v>
      </c>
      <c r="L344" s="80">
        <v>0</v>
      </c>
      <c r="M344" s="81">
        <f t="shared" si="97"/>
        <v>157</v>
      </c>
      <c r="N344" s="81">
        <v>0</v>
      </c>
      <c r="O344" s="81">
        <v>78</v>
      </c>
      <c r="P344" s="81">
        <f t="shared" si="105"/>
        <v>79</v>
      </c>
      <c r="Q344" s="80">
        <f>IFERROR(VLOOKUP(C344,O.B.JUNE!$C$7:$K$448,7,0),0)</f>
        <v>0</v>
      </c>
      <c r="R344" s="80">
        <f>IFERROR(VLOOKUP(C344,O.B.JUNE!$C$7:$J$448,8,0),0)</f>
        <v>52</v>
      </c>
      <c r="S344" s="323">
        <f t="shared" si="98"/>
        <v>52</v>
      </c>
      <c r="T344" s="324">
        <v>0</v>
      </c>
      <c r="U344" s="324"/>
      <c r="V344" s="80"/>
      <c r="W344" s="324">
        <v>0</v>
      </c>
      <c r="X344" s="324"/>
      <c r="Y344" s="324">
        <v>0</v>
      </c>
      <c r="Z344" s="80">
        <v>0</v>
      </c>
      <c r="AA344" s="80">
        <f t="shared" si="99"/>
        <v>0</v>
      </c>
      <c r="AB344" s="323">
        <f t="shared" si="106"/>
        <v>0</v>
      </c>
      <c r="AC344" s="80">
        <f t="shared" si="107"/>
        <v>52</v>
      </c>
      <c r="AD344" s="80">
        <f t="shared" si="104"/>
        <v>52</v>
      </c>
      <c r="AE344" s="80"/>
      <c r="AF344" s="80"/>
      <c r="AG344" s="80"/>
      <c r="AH344" s="326">
        <f t="shared" si="100"/>
        <v>0</v>
      </c>
      <c r="AI344" s="326">
        <f t="shared" si="101"/>
        <v>0</v>
      </c>
      <c r="AJ344" s="326">
        <f t="shared" si="102"/>
        <v>0</v>
      </c>
      <c r="AK344" s="326">
        <f t="shared" si="103"/>
        <v>0</v>
      </c>
      <c r="AL344" s="326"/>
      <c r="AM344" s="326"/>
      <c r="AN344" s="326"/>
      <c r="AO344" s="326"/>
      <c r="AP344" s="326"/>
      <c r="AQ344" s="326"/>
      <c r="AR344" s="327"/>
      <c r="AS344" s="209"/>
      <c r="AT344" s="411"/>
      <c r="AU344" s="411"/>
    </row>
    <row r="345" spans="1:47" s="390" customFormat="1" ht="18.75" customHeight="1">
      <c r="A345" s="167">
        <v>339</v>
      </c>
      <c r="B345" s="79" t="str">
        <f>IFERROR(VLOOKUP(A345,O.B.JUNE!$A$7:$C$448,2,0),0)</f>
        <v>ANN TAYLOR</v>
      </c>
      <c r="C345" s="174">
        <f>IFERROR(VLOOKUP(A345,O.B.JUNE!$A$7:$C$448,3,0),0)</f>
        <v>472629</v>
      </c>
      <c r="D345" s="80">
        <f t="shared" si="95"/>
        <v>0</v>
      </c>
      <c r="E345" s="80">
        <f>IFERROR(VLOOKUP(C345,O.B.JUNE!$C$7:$D$448,2,0),0)</f>
        <v>5498</v>
      </c>
      <c r="F345" s="80">
        <f>VLOOKUP(C345,'CUTTING ON JUNE'!$A$4:$D$316,3,0)</f>
        <v>5498</v>
      </c>
      <c r="G345" s="80">
        <f>IFERROR(VLOOKUP(C345,O.B.JUNE!$C$7:$E$448,3,0),0)</f>
        <v>476</v>
      </c>
      <c r="H345" s="80">
        <f t="shared" si="94"/>
        <v>0</v>
      </c>
      <c r="I345" s="80"/>
      <c r="J345" s="80">
        <f t="shared" si="96"/>
        <v>0</v>
      </c>
      <c r="K345" s="80">
        <v>0</v>
      </c>
      <c r="L345" s="80">
        <v>0</v>
      </c>
      <c r="M345" s="81">
        <f t="shared" si="97"/>
        <v>476</v>
      </c>
      <c r="N345" s="81">
        <v>0</v>
      </c>
      <c r="O345" s="81">
        <v>0</v>
      </c>
      <c r="P345" s="81">
        <f t="shared" si="105"/>
        <v>476</v>
      </c>
      <c r="Q345" s="80">
        <f>IFERROR(VLOOKUP(C345,O.B.JUNE!$C$7:$K$448,7,0),0)</f>
        <v>0</v>
      </c>
      <c r="R345" s="80">
        <f>IFERROR(VLOOKUP(C345,O.B.JUNE!$C$7:$J$448,8,0),0)</f>
        <v>68</v>
      </c>
      <c r="S345" s="323">
        <f t="shared" si="98"/>
        <v>68</v>
      </c>
      <c r="T345" s="324">
        <v>0</v>
      </c>
      <c r="U345" s="324"/>
      <c r="V345" s="80"/>
      <c r="W345" s="324">
        <v>0</v>
      </c>
      <c r="X345" s="324"/>
      <c r="Y345" s="324">
        <v>0</v>
      </c>
      <c r="Z345" s="80">
        <v>0</v>
      </c>
      <c r="AA345" s="80">
        <f t="shared" si="99"/>
        <v>0</v>
      </c>
      <c r="AB345" s="323">
        <f t="shared" si="106"/>
        <v>0</v>
      </c>
      <c r="AC345" s="80">
        <f t="shared" si="107"/>
        <v>68</v>
      </c>
      <c r="AD345" s="80">
        <f t="shared" si="104"/>
        <v>68</v>
      </c>
      <c r="AE345" s="80"/>
      <c r="AF345" s="80"/>
      <c r="AG345" s="80"/>
      <c r="AH345" s="326">
        <f t="shared" si="100"/>
        <v>0</v>
      </c>
      <c r="AI345" s="326">
        <f t="shared" si="101"/>
        <v>0</v>
      </c>
      <c r="AJ345" s="326">
        <f t="shared" si="102"/>
        <v>0</v>
      </c>
      <c r="AK345" s="326">
        <f t="shared" si="103"/>
        <v>0</v>
      </c>
      <c r="AL345" s="326"/>
      <c r="AM345" s="326"/>
      <c r="AN345" s="326"/>
      <c r="AO345" s="326"/>
      <c r="AP345" s="326"/>
      <c r="AQ345" s="326"/>
      <c r="AR345" s="327"/>
      <c r="AS345" s="209"/>
      <c r="AT345" s="411"/>
      <c r="AU345" s="411"/>
    </row>
    <row r="346" spans="1:47" s="390" customFormat="1" ht="18.75" customHeight="1">
      <c r="A346" s="167">
        <v>340</v>
      </c>
      <c r="B346" s="79" t="str">
        <f>IFERROR(VLOOKUP(A346,O.B.JUNE!$A$7:$C$448,2,0),0)</f>
        <v>ALFANI</v>
      </c>
      <c r="C346" s="174">
        <f>IFERROR(VLOOKUP(A346,O.B.JUNE!$A$7:$C$448,3,0),0)</f>
        <v>100015200</v>
      </c>
      <c r="D346" s="80">
        <f t="shared" si="95"/>
        <v>0</v>
      </c>
      <c r="E346" s="80">
        <f>IFERROR(VLOOKUP(C346,O.B.JUNE!$C$7:$D$448,2,0),0)</f>
        <v>2891</v>
      </c>
      <c r="F346" s="80">
        <f>VLOOKUP(C346,'CUTTING ON JUNE'!$A$4:$D$316,3,0)</f>
        <v>2891</v>
      </c>
      <c r="G346" s="80">
        <f>IFERROR(VLOOKUP(C346,O.B.JUNE!$C$7:$E$448,3,0),0)</f>
        <v>249</v>
      </c>
      <c r="H346" s="80">
        <f t="shared" si="94"/>
        <v>0</v>
      </c>
      <c r="I346" s="80"/>
      <c r="J346" s="80">
        <f t="shared" si="96"/>
        <v>0</v>
      </c>
      <c r="K346" s="80">
        <v>0</v>
      </c>
      <c r="L346" s="80">
        <v>0</v>
      </c>
      <c r="M346" s="81">
        <f t="shared" si="97"/>
        <v>249</v>
      </c>
      <c r="N346" s="81">
        <v>0</v>
      </c>
      <c r="O346" s="81">
        <v>110</v>
      </c>
      <c r="P346" s="81">
        <f t="shared" si="105"/>
        <v>139</v>
      </c>
      <c r="Q346" s="80">
        <f>IFERROR(VLOOKUP(C346,O.B.JUNE!$C$7:$K$448,7,0),0)</f>
        <v>0</v>
      </c>
      <c r="R346" s="80">
        <f>IFERROR(VLOOKUP(C346,O.B.JUNE!$C$7:$J$448,8,0),0)</f>
        <v>33</v>
      </c>
      <c r="S346" s="323">
        <f t="shared" si="98"/>
        <v>33</v>
      </c>
      <c r="T346" s="324">
        <v>0</v>
      </c>
      <c r="U346" s="324"/>
      <c r="V346" s="80"/>
      <c r="W346" s="324">
        <v>0</v>
      </c>
      <c r="X346" s="324"/>
      <c r="Y346" s="324">
        <v>0</v>
      </c>
      <c r="Z346" s="80">
        <v>0</v>
      </c>
      <c r="AA346" s="80">
        <f t="shared" si="99"/>
        <v>0</v>
      </c>
      <c r="AB346" s="323">
        <f t="shared" si="106"/>
        <v>0</v>
      </c>
      <c r="AC346" s="80">
        <f t="shared" si="107"/>
        <v>33</v>
      </c>
      <c r="AD346" s="80">
        <f t="shared" si="104"/>
        <v>33</v>
      </c>
      <c r="AE346" s="80"/>
      <c r="AF346" s="80"/>
      <c r="AG346" s="80"/>
      <c r="AH346" s="326">
        <f t="shared" si="100"/>
        <v>0</v>
      </c>
      <c r="AI346" s="326">
        <f t="shared" si="101"/>
        <v>0</v>
      </c>
      <c r="AJ346" s="326">
        <f t="shared" si="102"/>
        <v>0</v>
      </c>
      <c r="AK346" s="326">
        <f t="shared" si="103"/>
        <v>0</v>
      </c>
      <c r="AL346" s="326"/>
      <c r="AM346" s="326"/>
      <c r="AN346" s="326"/>
      <c r="AO346" s="326"/>
      <c r="AP346" s="326"/>
      <c r="AQ346" s="326"/>
      <c r="AR346" s="327"/>
      <c r="AS346" s="209"/>
      <c r="AT346" s="411"/>
      <c r="AU346" s="411"/>
    </row>
    <row r="347" spans="1:47" s="390" customFormat="1" ht="18.75" customHeight="1">
      <c r="A347" s="167">
        <v>341</v>
      </c>
      <c r="B347" s="79" t="str">
        <f>IFERROR(VLOOKUP(A347,O.B.JUNE!$A$7:$C$448,2,0),0)</f>
        <v>ALFANI</v>
      </c>
      <c r="C347" s="174">
        <f>IFERROR(VLOOKUP(A347,O.B.JUNE!$A$7:$C$448,3,0),0)</f>
        <v>100015306</v>
      </c>
      <c r="D347" s="80">
        <f t="shared" si="95"/>
        <v>0</v>
      </c>
      <c r="E347" s="80">
        <f>IFERROR(VLOOKUP(C347,O.B.JUNE!$C$7:$D$448,2,0),0)</f>
        <v>2410</v>
      </c>
      <c r="F347" s="80">
        <f>VLOOKUP(C347,'CUTTING ON JUNE'!$A$4:$D$316,3,0)</f>
        <v>2410</v>
      </c>
      <c r="G347" s="80">
        <f>IFERROR(VLOOKUP(C347,O.B.JUNE!$C$7:$E$448,3,0),0)</f>
        <v>85</v>
      </c>
      <c r="H347" s="80">
        <f t="shared" si="94"/>
        <v>0</v>
      </c>
      <c r="I347" s="80"/>
      <c r="J347" s="80">
        <f t="shared" si="96"/>
        <v>0</v>
      </c>
      <c r="K347" s="80">
        <v>0</v>
      </c>
      <c r="L347" s="80">
        <v>0</v>
      </c>
      <c r="M347" s="81">
        <f t="shared" si="97"/>
        <v>85</v>
      </c>
      <c r="N347" s="81">
        <v>0</v>
      </c>
      <c r="O347" s="81">
        <v>0</v>
      </c>
      <c r="P347" s="81">
        <f t="shared" si="105"/>
        <v>85</v>
      </c>
      <c r="Q347" s="80">
        <f>IFERROR(VLOOKUP(C347,O.B.JUNE!$C$7:$K$448,7,0),0)</f>
        <v>0</v>
      </c>
      <c r="R347" s="80">
        <f>IFERROR(VLOOKUP(C347,O.B.JUNE!$C$7:$J$448,8,0),0)</f>
        <v>0</v>
      </c>
      <c r="S347" s="323">
        <f t="shared" si="98"/>
        <v>0</v>
      </c>
      <c r="T347" s="324">
        <v>0</v>
      </c>
      <c r="U347" s="324"/>
      <c r="V347" s="80"/>
      <c r="W347" s="324">
        <v>0</v>
      </c>
      <c r="X347" s="324"/>
      <c r="Y347" s="324">
        <v>0</v>
      </c>
      <c r="Z347" s="80">
        <v>0</v>
      </c>
      <c r="AA347" s="80">
        <f t="shared" si="99"/>
        <v>0</v>
      </c>
      <c r="AB347" s="323">
        <f t="shared" si="106"/>
        <v>0</v>
      </c>
      <c r="AC347" s="80">
        <f t="shared" si="107"/>
        <v>0</v>
      </c>
      <c r="AD347" s="80">
        <f t="shared" si="104"/>
        <v>0</v>
      </c>
      <c r="AE347" s="80"/>
      <c r="AF347" s="80"/>
      <c r="AG347" s="80"/>
      <c r="AH347" s="326">
        <f t="shared" si="100"/>
        <v>0</v>
      </c>
      <c r="AI347" s="326">
        <f t="shared" si="101"/>
        <v>0</v>
      </c>
      <c r="AJ347" s="326">
        <f t="shared" si="102"/>
        <v>0</v>
      </c>
      <c r="AK347" s="326">
        <f t="shared" si="103"/>
        <v>0</v>
      </c>
      <c r="AL347" s="326"/>
      <c r="AM347" s="326"/>
      <c r="AN347" s="326"/>
      <c r="AO347" s="326"/>
      <c r="AP347" s="326"/>
      <c r="AQ347" s="326"/>
      <c r="AR347" s="327"/>
      <c r="AS347" s="209"/>
      <c r="AT347" s="411"/>
      <c r="AU347" s="411"/>
    </row>
    <row r="348" spans="1:47" s="390" customFormat="1" ht="18.75" customHeight="1">
      <c r="A348" s="167">
        <v>342</v>
      </c>
      <c r="B348" s="79" t="str">
        <f>IFERROR(VLOOKUP(A348,O.B.JUNE!$A$7:$C$448,2,0),0)</f>
        <v>ALFANI</v>
      </c>
      <c r="C348" s="174">
        <f>IFERROR(VLOOKUP(A348,O.B.JUNE!$A$7:$C$448,3,0),0)</f>
        <v>100016101</v>
      </c>
      <c r="D348" s="80">
        <f t="shared" si="95"/>
        <v>0</v>
      </c>
      <c r="E348" s="80">
        <f>IFERROR(VLOOKUP(C348,O.B.JUNE!$C$7:$D$448,2,0),0)</f>
        <v>2509</v>
      </c>
      <c r="F348" s="80">
        <f>VLOOKUP(C348,'CUTTING ON JUNE'!$A$4:$D$316,3,0)</f>
        <v>2509</v>
      </c>
      <c r="G348" s="80">
        <f>IFERROR(VLOOKUP(C348,O.B.JUNE!$C$7:$E$448,3,0),0)</f>
        <v>301</v>
      </c>
      <c r="H348" s="80">
        <f t="shared" si="94"/>
        <v>0</v>
      </c>
      <c r="I348" s="80"/>
      <c r="J348" s="80">
        <f t="shared" si="96"/>
        <v>30</v>
      </c>
      <c r="K348" s="80">
        <v>0</v>
      </c>
      <c r="L348" s="80">
        <v>0</v>
      </c>
      <c r="M348" s="81">
        <f t="shared" si="97"/>
        <v>271</v>
      </c>
      <c r="N348" s="81">
        <v>0</v>
      </c>
      <c r="O348" s="81">
        <v>196</v>
      </c>
      <c r="P348" s="81">
        <f t="shared" si="105"/>
        <v>75</v>
      </c>
      <c r="Q348" s="80">
        <f>IFERROR(VLOOKUP(C348,O.B.JUNE!$C$7:$K$448,7,0),0)</f>
        <v>1395</v>
      </c>
      <c r="R348" s="80">
        <f>IFERROR(VLOOKUP(C348,O.B.JUNE!$C$7:$J$448,8,0),0)</f>
        <v>0</v>
      </c>
      <c r="S348" s="323">
        <f t="shared" si="98"/>
        <v>1425</v>
      </c>
      <c r="T348" s="324">
        <v>30</v>
      </c>
      <c r="U348" s="324"/>
      <c r="V348" s="80"/>
      <c r="W348" s="324">
        <v>1352</v>
      </c>
      <c r="X348" s="324"/>
      <c r="Y348" s="324">
        <v>5</v>
      </c>
      <c r="Z348" s="80">
        <v>68</v>
      </c>
      <c r="AA348" s="80">
        <f t="shared" si="99"/>
        <v>30</v>
      </c>
      <c r="AB348" s="323">
        <f t="shared" si="106"/>
        <v>0</v>
      </c>
      <c r="AC348" s="80">
        <f t="shared" si="107"/>
        <v>68</v>
      </c>
      <c r="AD348" s="80">
        <f t="shared" si="104"/>
        <v>68</v>
      </c>
      <c r="AE348" s="80"/>
      <c r="AF348" s="80"/>
      <c r="AG348" s="80"/>
      <c r="AH348" s="326">
        <f t="shared" si="100"/>
        <v>0</v>
      </c>
      <c r="AI348" s="326">
        <f t="shared" si="101"/>
        <v>0</v>
      </c>
      <c r="AJ348" s="326">
        <f t="shared" si="102"/>
        <v>0</v>
      </c>
      <c r="AK348" s="326">
        <f t="shared" si="103"/>
        <v>0</v>
      </c>
      <c r="AL348" s="326"/>
      <c r="AM348" s="326"/>
      <c r="AN348" s="326"/>
      <c r="AO348" s="326"/>
      <c r="AP348" s="326"/>
      <c r="AQ348" s="326"/>
      <c r="AR348" s="327"/>
      <c r="AS348" s="209"/>
      <c r="AT348" s="411"/>
      <c r="AU348" s="411"/>
    </row>
    <row r="349" spans="1:47" s="390" customFormat="1" ht="18.75" customHeight="1">
      <c r="A349" s="167">
        <v>343</v>
      </c>
      <c r="B349" s="79" t="str">
        <f>IFERROR(VLOOKUP(A349,O.B.JUNE!$A$7:$C$448,2,0),0)</f>
        <v>ALFANI</v>
      </c>
      <c r="C349" s="174">
        <f>IFERROR(VLOOKUP(A349,O.B.JUNE!$A$7:$C$448,3,0),0)</f>
        <v>100017974</v>
      </c>
      <c r="D349" s="80">
        <f t="shared" si="95"/>
        <v>0</v>
      </c>
      <c r="E349" s="80">
        <f>IFERROR(VLOOKUP(C349,O.B.JUNE!$C$7:$D$448,2,0),0)</f>
        <v>9562</v>
      </c>
      <c r="F349" s="80">
        <f>VLOOKUP(C349,'CUTTING ON JUNE'!$A$4:$D$316,3,0)</f>
        <v>9562</v>
      </c>
      <c r="G349" s="80">
        <f>IFERROR(VLOOKUP(C349,O.B.JUNE!$C$7:$E$448,3,0),0)</f>
        <v>301</v>
      </c>
      <c r="H349" s="80">
        <f t="shared" si="94"/>
        <v>0</v>
      </c>
      <c r="I349" s="80"/>
      <c r="J349" s="80">
        <f t="shared" si="96"/>
        <v>0</v>
      </c>
      <c r="K349" s="80">
        <v>0</v>
      </c>
      <c r="L349" s="80">
        <v>0</v>
      </c>
      <c r="M349" s="81">
        <f t="shared" si="97"/>
        <v>301</v>
      </c>
      <c r="N349" s="81">
        <v>63</v>
      </c>
      <c r="O349" s="81">
        <v>118</v>
      </c>
      <c r="P349" s="81">
        <f t="shared" si="105"/>
        <v>120</v>
      </c>
      <c r="Q349" s="80">
        <f>IFERROR(VLOOKUP(C349,O.B.JUNE!$C$7:$K$448,7,0),0)</f>
        <v>0</v>
      </c>
      <c r="R349" s="80">
        <f>IFERROR(VLOOKUP(C349,O.B.JUNE!$C$7:$J$448,8,0),0)</f>
        <v>58</v>
      </c>
      <c r="S349" s="323">
        <f t="shared" si="98"/>
        <v>58</v>
      </c>
      <c r="T349" s="324">
        <v>0</v>
      </c>
      <c r="U349" s="324"/>
      <c r="V349" s="80"/>
      <c r="W349" s="324">
        <v>0</v>
      </c>
      <c r="X349" s="324"/>
      <c r="Y349" s="324">
        <v>0</v>
      </c>
      <c r="Z349" s="80">
        <v>0</v>
      </c>
      <c r="AA349" s="80">
        <f t="shared" si="99"/>
        <v>0</v>
      </c>
      <c r="AB349" s="323">
        <f t="shared" si="106"/>
        <v>0</v>
      </c>
      <c r="AC349" s="80">
        <f t="shared" si="107"/>
        <v>58</v>
      </c>
      <c r="AD349" s="80">
        <f t="shared" si="104"/>
        <v>58</v>
      </c>
      <c r="AE349" s="80"/>
      <c r="AF349" s="80"/>
      <c r="AG349" s="80"/>
      <c r="AH349" s="326">
        <f t="shared" si="100"/>
        <v>0</v>
      </c>
      <c r="AI349" s="326">
        <f t="shared" si="101"/>
        <v>0</v>
      </c>
      <c r="AJ349" s="326">
        <f t="shared" si="102"/>
        <v>0</v>
      </c>
      <c r="AK349" s="326">
        <f t="shared" si="103"/>
        <v>0</v>
      </c>
      <c r="AL349" s="326"/>
      <c r="AM349" s="326"/>
      <c r="AN349" s="326"/>
      <c r="AO349" s="326"/>
      <c r="AP349" s="326"/>
      <c r="AQ349" s="326"/>
      <c r="AR349" s="327"/>
      <c r="AS349" s="209"/>
      <c r="AT349" s="411"/>
      <c r="AU349" s="411"/>
    </row>
    <row r="350" spans="1:47" s="390" customFormat="1" ht="18.75" customHeight="1">
      <c r="A350" s="167">
        <v>344</v>
      </c>
      <c r="B350" s="79" t="str">
        <f>IFERROR(VLOOKUP(A350,O.B.JUNE!$A$7:$C$448,2,0),0)</f>
        <v>ALFANI</v>
      </c>
      <c r="C350" s="174">
        <f>IFERROR(VLOOKUP(A350,O.B.JUNE!$A$7:$C$448,3,0),0)</f>
        <v>100018139</v>
      </c>
      <c r="D350" s="80">
        <f t="shared" si="95"/>
        <v>195</v>
      </c>
      <c r="E350" s="80">
        <f>IFERROR(VLOOKUP(C350,O.B.JUNE!$C$7:$D$448,2,0),0)</f>
        <v>8114</v>
      </c>
      <c r="F350" s="80">
        <f>VLOOKUP(C350,'CUTTING ON JUNE'!$A$4:$D$316,3,0)</f>
        <v>8309</v>
      </c>
      <c r="G350" s="80">
        <f>IFERROR(VLOOKUP(C350,O.B.JUNE!$C$7:$E$448,3,0),0)</f>
        <v>578</v>
      </c>
      <c r="H350" s="80">
        <f t="shared" si="94"/>
        <v>195</v>
      </c>
      <c r="I350" s="80"/>
      <c r="J350" s="80">
        <f t="shared" si="96"/>
        <v>429</v>
      </c>
      <c r="K350" s="80">
        <v>0</v>
      </c>
      <c r="L350" s="80">
        <v>0</v>
      </c>
      <c r="M350" s="81">
        <f t="shared" si="97"/>
        <v>344</v>
      </c>
      <c r="N350" s="81"/>
      <c r="O350" s="81">
        <v>222</v>
      </c>
      <c r="P350" s="81">
        <f t="shared" si="105"/>
        <v>122</v>
      </c>
      <c r="Q350" s="80">
        <f>IFERROR(VLOOKUP(C350,O.B.JUNE!$C$7:$K$448,7,0),0)</f>
        <v>7536</v>
      </c>
      <c r="R350" s="80">
        <f>IFERROR(VLOOKUP(C350,O.B.JUNE!$C$7:$J$448,8,0),0)</f>
        <v>0</v>
      </c>
      <c r="S350" s="323">
        <f t="shared" si="98"/>
        <v>7965</v>
      </c>
      <c r="T350" s="324">
        <v>429</v>
      </c>
      <c r="U350" s="324"/>
      <c r="V350" s="80"/>
      <c r="W350" s="324">
        <v>7871</v>
      </c>
      <c r="X350" s="324"/>
      <c r="Y350" s="324">
        <v>2</v>
      </c>
      <c r="Z350" s="80">
        <v>92</v>
      </c>
      <c r="AA350" s="80">
        <f t="shared" si="99"/>
        <v>429</v>
      </c>
      <c r="AB350" s="323">
        <f t="shared" si="106"/>
        <v>0</v>
      </c>
      <c r="AC350" s="80">
        <f t="shared" si="107"/>
        <v>92</v>
      </c>
      <c r="AD350" s="80">
        <f t="shared" si="104"/>
        <v>92</v>
      </c>
      <c r="AE350" s="80"/>
      <c r="AF350" s="80"/>
      <c r="AG350" s="80"/>
      <c r="AH350" s="326">
        <f t="shared" si="100"/>
        <v>0</v>
      </c>
      <c r="AI350" s="326">
        <f t="shared" si="101"/>
        <v>0</v>
      </c>
      <c r="AJ350" s="326">
        <f t="shared" si="102"/>
        <v>0</v>
      </c>
      <c r="AK350" s="326">
        <f t="shared" si="103"/>
        <v>0</v>
      </c>
      <c r="AL350" s="326"/>
      <c r="AM350" s="326"/>
      <c r="AN350" s="326"/>
      <c r="AO350" s="326"/>
      <c r="AP350" s="326"/>
      <c r="AQ350" s="326"/>
      <c r="AR350" s="327"/>
      <c r="AS350" s="209"/>
      <c r="AT350" s="411"/>
      <c r="AU350" s="411"/>
    </row>
    <row r="351" spans="1:47" s="390" customFormat="1" ht="18.75" customHeight="1">
      <c r="A351" s="167">
        <v>345</v>
      </c>
      <c r="B351" s="79" t="str">
        <f>IFERROR(VLOOKUP(A351,O.B.JUNE!$A$7:$C$448,2,0),0)</f>
        <v>ALFANI</v>
      </c>
      <c r="C351" s="174">
        <f>IFERROR(VLOOKUP(A351,O.B.JUNE!$A$7:$C$448,3,0),0)</f>
        <v>100018175</v>
      </c>
      <c r="D351" s="80">
        <f t="shared" si="95"/>
        <v>0</v>
      </c>
      <c r="E351" s="80">
        <f>IFERROR(VLOOKUP(C351,O.B.JUNE!$C$7:$D$448,2,0),0)</f>
        <v>13068</v>
      </c>
      <c r="F351" s="80">
        <f>VLOOKUP(C351,'CUTTING ON JUNE'!$A$4:$D$316,3,0)</f>
        <v>13068</v>
      </c>
      <c r="G351" s="80">
        <f>IFERROR(VLOOKUP(C351,O.B.JUNE!$C$7:$E$448,3,0),0)</f>
        <v>202</v>
      </c>
      <c r="H351" s="80">
        <f t="shared" si="94"/>
        <v>0</v>
      </c>
      <c r="I351" s="80"/>
      <c r="J351" s="80">
        <f t="shared" si="96"/>
        <v>0</v>
      </c>
      <c r="K351" s="80">
        <v>0</v>
      </c>
      <c r="L351" s="80">
        <v>0</v>
      </c>
      <c r="M351" s="81">
        <f t="shared" si="97"/>
        <v>202</v>
      </c>
      <c r="N351" s="81">
        <v>0</v>
      </c>
      <c r="O351" s="81">
        <v>50</v>
      </c>
      <c r="P351" s="81">
        <f t="shared" si="105"/>
        <v>152</v>
      </c>
      <c r="Q351" s="80">
        <f>IFERROR(VLOOKUP(C351,O.B.JUNE!$C$7:$K$448,7,0),0)</f>
        <v>0</v>
      </c>
      <c r="R351" s="80">
        <f>IFERROR(VLOOKUP(C351,O.B.JUNE!$C$7:$J$448,8,0),0)</f>
        <v>291</v>
      </c>
      <c r="S351" s="323">
        <f t="shared" si="98"/>
        <v>291</v>
      </c>
      <c r="T351" s="324">
        <v>0</v>
      </c>
      <c r="U351" s="324"/>
      <c r="V351" s="80"/>
      <c r="W351" s="324">
        <v>0</v>
      </c>
      <c r="X351" s="324"/>
      <c r="Y351" s="324">
        <v>0</v>
      </c>
      <c r="Z351" s="80">
        <v>0</v>
      </c>
      <c r="AA351" s="80">
        <f t="shared" si="99"/>
        <v>0</v>
      </c>
      <c r="AB351" s="323">
        <f t="shared" si="106"/>
        <v>0</v>
      </c>
      <c r="AC351" s="80">
        <f t="shared" si="107"/>
        <v>291</v>
      </c>
      <c r="AD351" s="80">
        <f t="shared" si="104"/>
        <v>291</v>
      </c>
      <c r="AE351" s="80"/>
      <c r="AF351" s="80"/>
      <c r="AG351" s="80"/>
      <c r="AH351" s="326">
        <f t="shared" si="100"/>
        <v>0</v>
      </c>
      <c r="AI351" s="326">
        <f t="shared" si="101"/>
        <v>0</v>
      </c>
      <c r="AJ351" s="326">
        <f t="shared" si="102"/>
        <v>0</v>
      </c>
      <c r="AK351" s="326">
        <f t="shared" si="103"/>
        <v>0</v>
      </c>
      <c r="AL351" s="326"/>
      <c r="AM351" s="326"/>
      <c r="AN351" s="326"/>
      <c r="AO351" s="326"/>
      <c r="AP351" s="326"/>
      <c r="AQ351" s="326"/>
      <c r="AR351" s="327"/>
      <c r="AS351" s="209"/>
      <c r="AT351" s="411"/>
      <c r="AU351" s="411"/>
    </row>
    <row r="352" spans="1:47" s="390" customFormat="1" ht="18.75" customHeight="1">
      <c r="A352" s="167">
        <v>346</v>
      </c>
      <c r="B352" s="79" t="str">
        <f>IFERROR(VLOOKUP(A352,O.B.JUNE!$A$7:$C$448,2,0),0)</f>
        <v>ALFANI</v>
      </c>
      <c r="C352" s="174">
        <f>IFERROR(VLOOKUP(A352,O.B.JUNE!$A$7:$C$448,3,0),0)</f>
        <v>100018176</v>
      </c>
      <c r="D352" s="80">
        <f t="shared" si="95"/>
        <v>4495</v>
      </c>
      <c r="E352" s="80">
        <f>IFERROR(VLOOKUP(C352,O.B.JUNE!$C$7:$D$448,2,0),0)</f>
        <v>6108</v>
      </c>
      <c r="F352" s="80">
        <f>VLOOKUP(C352,'CUTTING ON JUNE'!$A$4:$D$316,3,0)</f>
        <v>10603</v>
      </c>
      <c r="G352" s="80">
        <f>IFERROR(VLOOKUP(C352,O.B.JUNE!$C$7:$E$448,3,0),0)</f>
        <v>350</v>
      </c>
      <c r="H352" s="80">
        <f t="shared" si="94"/>
        <v>4495</v>
      </c>
      <c r="I352" s="80"/>
      <c r="J352" s="80">
        <f t="shared" si="96"/>
        <v>0</v>
      </c>
      <c r="K352" s="80">
        <v>0</v>
      </c>
      <c r="L352" s="80">
        <v>0</v>
      </c>
      <c r="M352" s="81">
        <f t="shared" si="97"/>
        <v>4845</v>
      </c>
      <c r="N352" s="81">
        <v>1505</v>
      </c>
      <c r="O352" s="81">
        <v>1624</v>
      </c>
      <c r="P352" s="81">
        <f t="shared" si="105"/>
        <v>1716</v>
      </c>
      <c r="Q352" s="80">
        <f>IFERROR(VLOOKUP(C352,O.B.JUNE!$C$7:$K$448,7,0),0)</f>
        <v>0</v>
      </c>
      <c r="R352" s="80">
        <f>IFERROR(VLOOKUP(C352,O.B.JUNE!$C$7:$J$448,8,0),0)</f>
        <v>0</v>
      </c>
      <c r="S352" s="323">
        <f t="shared" si="98"/>
        <v>0</v>
      </c>
      <c r="T352" s="324">
        <v>0</v>
      </c>
      <c r="U352" s="324"/>
      <c r="V352" s="80"/>
      <c r="W352" s="324">
        <v>0</v>
      </c>
      <c r="X352" s="324"/>
      <c r="Y352" s="324">
        <v>0</v>
      </c>
      <c r="Z352" s="80">
        <v>0</v>
      </c>
      <c r="AA352" s="80">
        <f t="shared" si="99"/>
        <v>0</v>
      </c>
      <c r="AB352" s="323">
        <f t="shared" si="106"/>
        <v>0</v>
      </c>
      <c r="AC352" s="80">
        <f t="shared" si="107"/>
        <v>0</v>
      </c>
      <c r="AD352" s="80">
        <f t="shared" si="104"/>
        <v>0</v>
      </c>
      <c r="AE352" s="80"/>
      <c r="AF352" s="80"/>
      <c r="AG352" s="80"/>
      <c r="AH352" s="326">
        <f t="shared" si="100"/>
        <v>0</v>
      </c>
      <c r="AI352" s="326">
        <f t="shared" si="101"/>
        <v>0</v>
      </c>
      <c r="AJ352" s="326">
        <f t="shared" si="102"/>
        <v>0</v>
      </c>
      <c r="AK352" s="326">
        <f t="shared" si="103"/>
        <v>0</v>
      </c>
      <c r="AL352" s="326"/>
      <c r="AM352" s="326"/>
      <c r="AN352" s="326"/>
      <c r="AO352" s="326"/>
      <c r="AP352" s="326"/>
      <c r="AQ352" s="326"/>
      <c r="AR352" s="327">
        <f>VLOOKUP(C352,'[1]DA HET SAN XUAT'!$D$8:$AJ$419,33,0)</f>
        <v>0</v>
      </c>
      <c r="AS352" s="209"/>
      <c r="AT352" s="411"/>
      <c r="AU352" s="411"/>
    </row>
    <row r="353" spans="1:47" s="390" customFormat="1" ht="18.75" customHeight="1">
      <c r="A353" s="167">
        <v>347</v>
      </c>
      <c r="B353" s="79" t="str">
        <f>IFERROR(VLOOKUP(A353,O.B.JUNE!$A$7:$C$448,2,0),0)</f>
        <v>ALFANI</v>
      </c>
      <c r="C353" s="174">
        <f>IFERROR(VLOOKUP(A353,O.B.JUNE!$A$7:$C$448,3,0),0)</f>
        <v>100018178</v>
      </c>
      <c r="D353" s="80">
        <f t="shared" si="95"/>
        <v>0</v>
      </c>
      <c r="E353" s="80">
        <f>IFERROR(VLOOKUP(C353,O.B.JUNE!$C$7:$D$448,2,0),0)</f>
        <v>997</v>
      </c>
      <c r="F353" s="80">
        <f>VLOOKUP(C353,'CUTTING ON JUNE'!$A$4:$D$316,3,0)</f>
        <v>997</v>
      </c>
      <c r="G353" s="80">
        <f>IFERROR(VLOOKUP(C353,O.B.JUNE!$C$7:$E$448,3,0),0)</f>
        <v>78</v>
      </c>
      <c r="H353" s="80">
        <f t="shared" si="94"/>
        <v>0</v>
      </c>
      <c r="I353" s="80"/>
      <c r="J353" s="80">
        <v>0</v>
      </c>
      <c r="K353" s="80">
        <v>0</v>
      </c>
      <c r="L353" s="80">
        <v>0</v>
      </c>
      <c r="M353" s="81">
        <f>ROUND(IF(ISERROR(F353-S353-K353-L353-R353),0,(F353-S353-K353-L353+Q353+R353+G353-E353)),0)</f>
        <v>78</v>
      </c>
      <c r="N353" s="81">
        <v>0</v>
      </c>
      <c r="O353" s="81">
        <v>72</v>
      </c>
      <c r="P353" s="81">
        <f t="shared" si="105"/>
        <v>6</v>
      </c>
      <c r="Q353" s="80">
        <f>IFERROR(VLOOKUP(C353,O.B.JUNE!$C$7:$K$448,7,0),0)</f>
        <v>0</v>
      </c>
      <c r="R353" s="80">
        <f>IFERROR(VLOOKUP(C353,O.B.JUNE!$C$7:$J$448,8,0),0)</f>
        <v>22</v>
      </c>
      <c r="S353" s="323">
        <f t="shared" si="98"/>
        <v>22</v>
      </c>
      <c r="T353" s="324">
        <v>0</v>
      </c>
      <c r="U353" s="324"/>
      <c r="V353" s="323"/>
      <c r="W353" s="324">
        <v>0</v>
      </c>
      <c r="X353" s="324"/>
      <c r="Y353" s="324">
        <v>0</v>
      </c>
      <c r="Z353" s="80">
        <v>0</v>
      </c>
      <c r="AA353" s="80">
        <f t="shared" si="99"/>
        <v>0</v>
      </c>
      <c r="AB353" s="323">
        <f t="shared" si="106"/>
        <v>0</v>
      </c>
      <c r="AC353" s="80">
        <f t="shared" si="107"/>
        <v>22</v>
      </c>
      <c r="AD353" s="80">
        <f t="shared" si="104"/>
        <v>22</v>
      </c>
      <c r="AE353" s="80"/>
      <c r="AF353" s="80"/>
      <c r="AG353" s="80"/>
      <c r="AH353" s="326">
        <f t="shared" si="100"/>
        <v>0</v>
      </c>
      <c r="AI353" s="326">
        <f t="shared" si="101"/>
        <v>0</v>
      </c>
      <c r="AJ353" s="326">
        <f t="shared" si="102"/>
        <v>0</v>
      </c>
      <c r="AK353" s="326">
        <f t="shared" si="103"/>
        <v>0</v>
      </c>
      <c r="AL353" s="326"/>
      <c r="AM353" s="326"/>
      <c r="AN353" s="326"/>
      <c r="AO353" s="326"/>
      <c r="AP353" s="326"/>
      <c r="AQ353" s="326"/>
      <c r="AR353" s="327"/>
      <c r="AS353" s="209"/>
      <c r="AT353" s="411"/>
      <c r="AU353" s="411"/>
    </row>
    <row r="354" spans="1:47" s="390" customFormat="1" ht="18.75" customHeight="1">
      <c r="A354" s="167">
        <v>348</v>
      </c>
      <c r="B354" s="79" t="str">
        <f>IFERROR(VLOOKUP(A354,O.B.JUNE!$A$7:$C$448,2,0),0)</f>
        <v>ALFANI</v>
      </c>
      <c r="C354" s="174">
        <f>IFERROR(VLOOKUP(A354,O.B.JUNE!$A$7:$C$448,3,0),0)</f>
        <v>100018179</v>
      </c>
      <c r="D354" s="80">
        <f t="shared" si="95"/>
        <v>0</v>
      </c>
      <c r="E354" s="80">
        <f>IFERROR(VLOOKUP(C354,O.B.JUNE!$C$7:$D$448,2,0),0)</f>
        <v>1784</v>
      </c>
      <c r="F354" s="80">
        <f>VLOOKUP(C354,'CUTTING ON JUNE'!$A$4:$D$316,3,0)</f>
        <v>1784</v>
      </c>
      <c r="G354" s="80">
        <f>IFERROR(VLOOKUP(C354,O.B.JUNE!$C$7:$E$448,3,0),0)</f>
        <v>57</v>
      </c>
      <c r="H354" s="80">
        <f t="shared" si="94"/>
        <v>0</v>
      </c>
      <c r="I354" s="80"/>
      <c r="J354" s="80">
        <v>0</v>
      </c>
      <c r="K354" s="80">
        <v>0</v>
      </c>
      <c r="L354" s="80">
        <v>0</v>
      </c>
      <c r="M354" s="81">
        <f t="shared" si="97"/>
        <v>57</v>
      </c>
      <c r="N354" s="81">
        <v>25</v>
      </c>
      <c r="O354" s="81">
        <v>32</v>
      </c>
      <c r="P354" s="81">
        <f t="shared" si="105"/>
        <v>0</v>
      </c>
      <c r="Q354" s="80">
        <f>IFERROR(VLOOKUP(C354,O.B.JUNE!$C$7:$K$448,7,0),0)</f>
        <v>0</v>
      </c>
      <c r="R354" s="80">
        <f>IFERROR(VLOOKUP(C354,O.B.JUNE!$C$7:$J$448,8,0),0)</f>
        <v>20</v>
      </c>
      <c r="S354" s="323">
        <f t="shared" si="98"/>
        <v>20</v>
      </c>
      <c r="T354" s="324">
        <v>0</v>
      </c>
      <c r="U354" s="324"/>
      <c r="V354" s="80"/>
      <c r="W354" s="324">
        <v>0</v>
      </c>
      <c r="X354" s="324"/>
      <c r="Y354" s="324">
        <v>0</v>
      </c>
      <c r="Z354" s="80">
        <v>0</v>
      </c>
      <c r="AA354" s="80">
        <f t="shared" si="99"/>
        <v>0</v>
      </c>
      <c r="AB354" s="323">
        <f t="shared" si="106"/>
        <v>0</v>
      </c>
      <c r="AC354" s="80">
        <f t="shared" si="107"/>
        <v>20</v>
      </c>
      <c r="AD354" s="80">
        <f t="shared" si="104"/>
        <v>20</v>
      </c>
      <c r="AE354" s="80"/>
      <c r="AF354" s="80"/>
      <c r="AG354" s="80"/>
      <c r="AH354" s="326">
        <f t="shared" si="100"/>
        <v>0</v>
      </c>
      <c r="AI354" s="326">
        <f t="shared" si="101"/>
        <v>0</v>
      </c>
      <c r="AJ354" s="326">
        <f t="shared" si="102"/>
        <v>0</v>
      </c>
      <c r="AK354" s="326">
        <f t="shared" si="103"/>
        <v>0</v>
      </c>
      <c r="AL354" s="326"/>
      <c r="AM354" s="326"/>
      <c r="AN354" s="326"/>
      <c r="AO354" s="326"/>
      <c r="AP354" s="326"/>
      <c r="AQ354" s="326"/>
      <c r="AR354" s="327"/>
      <c r="AS354" s="209"/>
      <c r="AT354" s="411"/>
      <c r="AU354" s="411"/>
    </row>
    <row r="355" spans="1:47" s="390" customFormat="1" ht="18.75" customHeight="1">
      <c r="A355" s="167">
        <v>349</v>
      </c>
      <c r="B355" s="79" t="str">
        <f>IFERROR(VLOOKUP(A355,O.B.JUNE!$A$7:$C$448,2,0),0)</f>
        <v>ALFANI</v>
      </c>
      <c r="C355" s="174">
        <f>IFERROR(VLOOKUP(A355,O.B.JUNE!$A$7:$C$448,3,0),0)</f>
        <v>100018235</v>
      </c>
      <c r="D355" s="80">
        <f t="shared" si="95"/>
        <v>0</v>
      </c>
      <c r="E355" s="80">
        <f>IFERROR(VLOOKUP(C355,O.B.JUNE!$C$7:$D$448,2,0),0)</f>
        <v>3845</v>
      </c>
      <c r="F355" s="80">
        <f>VLOOKUP(C355,'CUTTING ON JUNE'!$A$4:$D$316,3,0)</f>
        <v>3845</v>
      </c>
      <c r="G355" s="80">
        <f>IFERROR(VLOOKUP(C355,O.B.JUNE!$C$7:$E$448,3,0),0)</f>
        <v>260</v>
      </c>
      <c r="H355" s="80">
        <f t="shared" si="94"/>
        <v>0</v>
      </c>
      <c r="I355" s="80"/>
      <c r="J355" s="80">
        <f t="shared" si="96"/>
        <v>0</v>
      </c>
      <c r="K355" s="80">
        <v>0</v>
      </c>
      <c r="L355" s="80">
        <v>0</v>
      </c>
      <c r="M355" s="81">
        <f t="shared" si="97"/>
        <v>260</v>
      </c>
      <c r="N355" s="81">
        <v>38</v>
      </c>
      <c r="O355" s="81">
        <v>54</v>
      </c>
      <c r="P355" s="81">
        <f t="shared" si="105"/>
        <v>168</v>
      </c>
      <c r="Q355" s="80">
        <f>IFERROR(VLOOKUP(C355,O.B.JUNE!$C$7:$K$448,7,0),0)</f>
        <v>0</v>
      </c>
      <c r="R355" s="80">
        <f>IFERROR(VLOOKUP(C355,O.B.JUNE!$C$7:$J$448,8,0),0)</f>
        <v>67</v>
      </c>
      <c r="S355" s="323">
        <f t="shared" si="98"/>
        <v>67</v>
      </c>
      <c r="T355" s="324">
        <v>0</v>
      </c>
      <c r="U355" s="324"/>
      <c r="V355" s="80"/>
      <c r="W355" s="324">
        <v>0</v>
      </c>
      <c r="X355" s="324"/>
      <c r="Y355" s="324">
        <v>0</v>
      </c>
      <c r="Z355" s="80">
        <v>0</v>
      </c>
      <c r="AA355" s="80">
        <f t="shared" si="99"/>
        <v>0</v>
      </c>
      <c r="AB355" s="323">
        <f t="shared" si="106"/>
        <v>0</v>
      </c>
      <c r="AC355" s="80">
        <f t="shared" si="107"/>
        <v>67</v>
      </c>
      <c r="AD355" s="80">
        <f t="shared" si="104"/>
        <v>67</v>
      </c>
      <c r="AE355" s="80"/>
      <c r="AF355" s="80"/>
      <c r="AG355" s="80"/>
      <c r="AH355" s="326">
        <f t="shared" si="100"/>
        <v>0</v>
      </c>
      <c r="AI355" s="326">
        <f t="shared" si="101"/>
        <v>0</v>
      </c>
      <c r="AJ355" s="326">
        <f t="shared" si="102"/>
        <v>0</v>
      </c>
      <c r="AK355" s="326">
        <f t="shared" si="103"/>
        <v>0</v>
      </c>
      <c r="AL355" s="326"/>
      <c r="AM355" s="326"/>
      <c r="AN355" s="326"/>
      <c r="AO355" s="326"/>
      <c r="AP355" s="326"/>
      <c r="AQ355" s="326"/>
      <c r="AR355" s="327"/>
      <c r="AS355" s="209"/>
      <c r="AT355" s="411"/>
      <c r="AU355" s="411"/>
    </row>
    <row r="356" spans="1:47" s="390" customFormat="1" ht="18.75" customHeight="1">
      <c r="A356" s="167">
        <v>350</v>
      </c>
      <c r="B356" s="79" t="str">
        <f>IFERROR(VLOOKUP(A356,O.B.JUNE!$A$7:$C$448,2,0),0)</f>
        <v>ALFANI</v>
      </c>
      <c r="C356" s="174">
        <f>IFERROR(VLOOKUP(A356,O.B.JUNE!$A$7:$C$448,3,0),0)</f>
        <v>100018237</v>
      </c>
      <c r="D356" s="80">
        <f t="shared" si="95"/>
        <v>0</v>
      </c>
      <c r="E356" s="80">
        <f>IFERROR(VLOOKUP(C356,O.B.JUNE!$C$7:$D$448,2,0),0)</f>
        <v>5185</v>
      </c>
      <c r="F356" s="80">
        <f>VLOOKUP(C356,'CUTTING ON JUNE'!$A$4:$D$316,3,0)</f>
        <v>5185</v>
      </c>
      <c r="G356" s="80">
        <f>IFERROR(VLOOKUP(C356,O.B.JUNE!$C$7:$E$448,3,0),0)</f>
        <v>141</v>
      </c>
      <c r="H356" s="80">
        <f t="shared" si="94"/>
        <v>0</v>
      </c>
      <c r="I356" s="80"/>
      <c r="J356" s="80">
        <f t="shared" si="96"/>
        <v>0</v>
      </c>
      <c r="K356" s="80">
        <v>0</v>
      </c>
      <c r="L356" s="80">
        <v>0</v>
      </c>
      <c r="M356" s="81">
        <f t="shared" si="97"/>
        <v>141</v>
      </c>
      <c r="N356" s="81">
        <v>104</v>
      </c>
      <c r="O356" s="81">
        <v>37</v>
      </c>
      <c r="P356" s="81">
        <f t="shared" si="105"/>
        <v>0</v>
      </c>
      <c r="Q356" s="80">
        <f>IFERROR(VLOOKUP(C356,O.B.JUNE!$C$7:$K$448,7,0),0)</f>
        <v>0</v>
      </c>
      <c r="R356" s="80">
        <f>IFERROR(VLOOKUP(C356,O.B.JUNE!$C$7:$J$448,8,0),0)</f>
        <v>112</v>
      </c>
      <c r="S356" s="323">
        <f t="shared" si="98"/>
        <v>112</v>
      </c>
      <c r="T356" s="324">
        <v>0</v>
      </c>
      <c r="U356" s="324"/>
      <c r="V356" s="80"/>
      <c r="W356" s="324">
        <v>0</v>
      </c>
      <c r="X356" s="324"/>
      <c r="Y356" s="324">
        <v>0</v>
      </c>
      <c r="Z356" s="80">
        <v>0</v>
      </c>
      <c r="AA356" s="80">
        <f t="shared" si="99"/>
        <v>0</v>
      </c>
      <c r="AB356" s="323">
        <f t="shared" si="106"/>
        <v>0</v>
      </c>
      <c r="AC356" s="80">
        <f t="shared" si="107"/>
        <v>112</v>
      </c>
      <c r="AD356" s="80">
        <f t="shared" si="104"/>
        <v>112</v>
      </c>
      <c r="AE356" s="80"/>
      <c r="AF356" s="80"/>
      <c r="AG356" s="80"/>
      <c r="AH356" s="326">
        <f t="shared" si="100"/>
        <v>0</v>
      </c>
      <c r="AI356" s="326">
        <f t="shared" si="101"/>
        <v>0</v>
      </c>
      <c r="AJ356" s="326">
        <f t="shared" si="102"/>
        <v>0</v>
      </c>
      <c r="AK356" s="326">
        <f t="shared" si="103"/>
        <v>0</v>
      </c>
      <c r="AL356" s="326"/>
      <c r="AM356" s="326"/>
      <c r="AN356" s="326"/>
      <c r="AO356" s="326"/>
      <c r="AP356" s="326"/>
      <c r="AQ356" s="326"/>
      <c r="AR356" s="327"/>
      <c r="AS356" s="209"/>
      <c r="AT356" s="411"/>
      <c r="AU356" s="411"/>
    </row>
    <row r="357" spans="1:47" s="390" customFormat="1" ht="18.75" customHeight="1">
      <c r="A357" s="167">
        <v>351</v>
      </c>
      <c r="B357" s="79" t="str">
        <f>IFERROR(VLOOKUP(A357,O.B.JUNE!$A$7:$C$448,2,0),0)</f>
        <v>ALFANI</v>
      </c>
      <c r="C357" s="174">
        <f>IFERROR(VLOOKUP(A357,O.B.JUNE!$A$7:$C$448,3,0),0)</f>
        <v>100018239</v>
      </c>
      <c r="D357" s="80">
        <f t="shared" si="95"/>
        <v>0</v>
      </c>
      <c r="E357" s="80">
        <f>IFERROR(VLOOKUP(C357,O.B.JUNE!$C$7:$D$448,2,0),0)</f>
        <v>2790</v>
      </c>
      <c r="F357" s="80">
        <f>VLOOKUP(C357,'CUTTING ON JUNE'!$A$4:$D$316,3,0)</f>
        <v>2790</v>
      </c>
      <c r="G357" s="80">
        <f>IFERROR(VLOOKUP(C357,O.B.JUNE!$C$7:$E$448,3,0),0)</f>
        <v>65</v>
      </c>
      <c r="H357" s="80">
        <f t="shared" si="94"/>
        <v>0</v>
      </c>
      <c r="I357" s="80"/>
      <c r="J357" s="80">
        <f t="shared" si="96"/>
        <v>0</v>
      </c>
      <c r="K357" s="80">
        <v>0</v>
      </c>
      <c r="L357" s="80">
        <v>0</v>
      </c>
      <c r="M357" s="81">
        <f t="shared" si="97"/>
        <v>65</v>
      </c>
      <c r="N357" s="81">
        <v>17</v>
      </c>
      <c r="O357" s="81">
        <v>48</v>
      </c>
      <c r="P357" s="81">
        <f t="shared" si="105"/>
        <v>0</v>
      </c>
      <c r="Q357" s="80">
        <f>IFERROR(VLOOKUP(C357,O.B.JUNE!$C$7:$K$448,7,0),0)</f>
        <v>0</v>
      </c>
      <c r="R357" s="80">
        <f>IFERROR(VLOOKUP(C357,O.B.JUNE!$C$7:$J$448,8,0),0)</f>
        <v>62</v>
      </c>
      <c r="S357" s="323">
        <f t="shared" si="98"/>
        <v>62</v>
      </c>
      <c r="T357" s="324">
        <v>0</v>
      </c>
      <c r="U357" s="324"/>
      <c r="V357" s="80"/>
      <c r="W357" s="324">
        <v>0</v>
      </c>
      <c r="X357" s="324"/>
      <c r="Y357" s="324">
        <v>0</v>
      </c>
      <c r="Z357" s="80">
        <v>0</v>
      </c>
      <c r="AA357" s="80">
        <f t="shared" si="99"/>
        <v>0</v>
      </c>
      <c r="AB357" s="323">
        <f t="shared" si="106"/>
        <v>0</v>
      </c>
      <c r="AC357" s="80">
        <f t="shared" si="107"/>
        <v>62</v>
      </c>
      <c r="AD357" s="80">
        <f t="shared" si="104"/>
        <v>62</v>
      </c>
      <c r="AE357" s="80"/>
      <c r="AF357" s="80"/>
      <c r="AG357" s="80"/>
      <c r="AH357" s="326">
        <f t="shared" si="100"/>
        <v>0</v>
      </c>
      <c r="AI357" s="326">
        <f t="shared" si="101"/>
        <v>0</v>
      </c>
      <c r="AJ357" s="326">
        <f t="shared" si="102"/>
        <v>0</v>
      </c>
      <c r="AK357" s="326">
        <f t="shared" si="103"/>
        <v>0</v>
      </c>
      <c r="AL357" s="326"/>
      <c r="AM357" s="326"/>
      <c r="AN357" s="326"/>
      <c r="AO357" s="326"/>
      <c r="AP357" s="326"/>
      <c r="AQ357" s="326"/>
      <c r="AR357" s="327"/>
      <c r="AS357" s="209"/>
      <c r="AT357" s="411"/>
      <c r="AU357" s="411"/>
    </row>
    <row r="358" spans="1:47" s="390" customFormat="1" ht="18.75" customHeight="1">
      <c r="A358" s="167">
        <v>352</v>
      </c>
      <c r="B358" s="79" t="str">
        <f>IFERROR(VLOOKUP(A358,O.B.JUNE!$A$7:$C$448,2,0),0)</f>
        <v>ALFANI</v>
      </c>
      <c r="C358" s="174">
        <f>IFERROR(VLOOKUP(A358,O.B.JUNE!$A$7:$C$448,3,0),0)</f>
        <v>100018240</v>
      </c>
      <c r="D358" s="80">
        <f t="shared" si="95"/>
        <v>0</v>
      </c>
      <c r="E358" s="80">
        <f>IFERROR(VLOOKUP(C358,O.B.JUNE!$C$7:$D$448,2,0),0)</f>
        <v>6183</v>
      </c>
      <c r="F358" s="80">
        <f>VLOOKUP(C358,'CUTTING ON JUNE'!$A$4:$D$316,3,0)</f>
        <v>6183</v>
      </c>
      <c r="G358" s="80">
        <f>IFERROR(VLOOKUP(C358,O.B.JUNE!$C$7:$E$448,3,0),0)</f>
        <v>60</v>
      </c>
      <c r="H358" s="80">
        <f t="shared" si="94"/>
        <v>0</v>
      </c>
      <c r="I358" s="80"/>
      <c r="J358" s="80">
        <f t="shared" si="96"/>
        <v>0</v>
      </c>
      <c r="K358" s="80">
        <v>0</v>
      </c>
      <c r="L358" s="80">
        <v>0</v>
      </c>
      <c r="M358" s="81">
        <f t="shared" si="97"/>
        <v>60</v>
      </c>
      <c r="N358" s="81">
        <v>0</v>
      </c>
      <c r="O358" s="81">
        <v>44</v>
      </c>
      <c r="P358" s="81">
        <f t="shared" si="105"/>
        <v>16</v>
      </c>
      <c r="Q358" s="80">
        <f>IFERROR(VLOOKUP(C358,O.B.JUNE!$C$7:$K$448,7,0),0)</f>
        <v>0</v>
      </c>
      <c r="R358" s="80">
        <f>IFERROR(VLOOKUP(C358,O.B.JUNE!$C$7:$J$448,8,0),0)</f>
        <v>0</v>
      </c>
      <c r="S358" s="323">
        <f t="shared" si="98"/>
        <v>0</v>
      </c>
      <c r="T358" s="324">
        <v>0</v>
      </c>
      <c r="U358" s="324"/>
      <c r="V358" s="80"/>
      <c r="W358" s="324">
        <v>0</v>
      </c>
      <c r="X358" s="324"/>
      <c r="Y358" s="324">
        <v>0</v>
      </c>
      <c r="Z358" s="80">
        <v>0</v>
      </c>
      <c r="AA358" s="80">
        <f t="shared" si="99"/>
        <v>0</v>
      </c>
      <c r="AB358" s="323">
        <f t="shared" si="106"/>
        <v>0</v>
      </c>
      <c r="AC358" s="80">
        <f t="shared" si="107"/>
        <v>0</v>
      </c>
      <c r="AD358" s="80">
        <f t="shared" si="104"/>
        <v>0</v>
      </c>
      <c r="AE358" s="80"/>
      <c r="AF358" s="80"/>
      <c r="AG358" s="80"/>
      <c r="AH358" s="326">
        <f t="shared" si="100"/>
        <v>0</v>
      </c>
      <c r="AI358" s="326">
        <f t="shared" si="101"/>
        <v>0</v>
      </c>
      <c r="AJ358" s="326">
        <f t="shared" si="102"/>
        <v>0</v>
      </c>
      <c r="AK358" s="326">
        <f t="shared" si="103"/>
        <v>0</v>
      </c>
      <c r="AL358" s="326"/>
      <c r="AM358" s="326"/>
      <c r="AN358" s="326"/>
      <c r="AO358" s="326"/>
      <c r="AP358" s="326"/>
      <c r="AQ358" s="326"/>
      <c r="AR358" s="327">
        <f>VLOOKUP(C358,'[1]DA HET SAN XUAT'!$D$8:$AJ$419,33,0)</f>
        <v>0</v>
      </c>
      <c r="AS358" s="209"/>
      <c r="AT358" s="411"/>
      <c r="AU358" s="411"/>
    </row>
    <row r="359" spans="1:47" s="390" customFormat="1" ht="18.75" customHeight="1">
      <c r="A359" s="167">
        <v>353</v>
      </c>
      <c r="B359" s="79" t="str">
        <f>IFERROR(VLOOKUP(A359,O.B.JUNE!$A$7:$C$448,2,0),0)</f>
        <v>ALFANI</v>
      </c>
      <c r="C359" s="174">
        <f>IFERROR(VLOOKUP(A359,O.B.JUNE!$A$7:$C$448,3,0),0)</f>
        <v>100018242</v>
      </c>
      <c r="D359" s="80">
        <f t="shared" si="95"/>
        <v>0</v>
      </c>
      <c r="E359" s="80">
        <f>IFERROR(VLOOKUP(C359,O.B.JUNE!$C$7:$D$448,2,0),0)</f>
        <v>1841</v>
      </c>
      <c r="F359" s="80">
        <f>VLOOKUP(C359,'CUTTING ON JUNE'!$A$4:$D$316,3,0)</f>
        <v>1841</v>
      </c>
      <c r="G359" s="80">
        <f>IFERROR(VLOOKUP(C359,O.B.JUNE!$C$7:$E$448,3,0),0)</f>
        <v>46</v>
      </c>
      <c r="H359" s="80">
        <f t="shared" si="94"/>
        <v>0</v>
      </c>
      <c r="I359" s="80"/>
      <c r="J359" s="80">
        <f t="shared" si="96"/>
        <v>0</v>
      </c>
      <c r="K359" s="80">
        <v>0</v>
      </c>
      <c r="L359" s="80">
        <v>0</v>
      </c>
      <c r="M359" s="81">
        <f t="shared" si="97"/>
        <v>46</v>
      </c>
      <c r="N359" s="81">
        <v>0</v>
      </c>
      <c r="O359" s="81">
        <v>46</v>
      </c>
      <c r="P359" s="81">
        <f t="shared" si="105"/>
        <v>0</v>
      </c>
      <c r="Q359" s="80">
        <f>IFERROR(VLOOKUP(C359,O.B.JUNE!$C$7:$K$448,7,0),0)</f>
        <v>0</v>
      </c>
      <c r="R359" s="80">
        <f>IFERROR(VLOOKUP(C359,O.B.JUNE!$C$7:$J$448,8,0),0)</f>
        <v>31</v>
      </c>
      <c r="S359" s="323">
        <f t="shared" si="98"/>
        <v>31</v>
      </c>
      <c r="T359" s="324">
        <v>0</v>
      </c>
      <c r="U359" s="324"/>
      <c r="V359" s="80"/>
      <c r="W359" s="324">
        <v>0</v>
      </c>
      <c r="X359" s="324"/>
      <c r="Y359" s="324">
        <v>0</v>
      </c>
      <c r="Z359" s="80">
        <v>0</v>
      </c>
      <c r="AA359" s="80">
        <f t="shared" si="99"/>
        <v>0</v>
      </c>
      <c r="AB359" s="323">
        <f t="shared" si="106"/>
        <v>0</v>
      </c>
      <c r="AC359" s="80">
        <f t="shared" si="107"/>
        <v>31</v>
      </c>
      <c r="AD359" s="80">
        <f t="shared" si="104"/>
        <v>31</v>
      </c>
      <c r="AE359" s="80"/>
      <c r="AF359" s="80"/>
      <c r="AG359" s="80"/>
      <c r="AH359" s="326">
        <f t="shared" si="100"/>
        <v>0</v>
      </c>
      <c r="AI359" s="326">
        <f t="shared" si="101"/>
        <v>0</v>
      </c>
      <c r="AJ359" s="326">
        <f t="shared" si="102"/>
        <v>0</v>
      </c>
      <c r="AK359" s="326">
        <f t="shared" si="103"/>
        <v>0</v>
      </c>
      <c r="AL359" s="326"/>
      <c r="AM359" s="326"/>
      <c r="AN359" s="326"/>
      <c r="AO359" s="326"/>
      <c r="AP359" s="326"/>
      <c r="AQ359" s="326"/>
      <c r="AR359" s="327"/>
      <c r="AS359" s="209"/>
      <c r="AT359" s="411"/>
      <c r="AU359" s="411"/>
    </row>
    <row r="360" spans="1:47" s="390" customFormat="1" ht="18.75" customHeight="1">
      <c r="A360" s="167">
        <v>354</v>
      </c>
      <c r="B360" s="79" t="str">
        <f>IFERROR(VLOOKUP(A360,O.B.JUNE!$A$7:$C$448,2,0),0)</f>
        <v>ALFANI</v>
      </c>
      <c r="C360" s="174">
        <f>IFERROR(VLOOKUP(A360,O.B.JUNE!$A$7:$C$448,3,0),0)</f>
        <v>100019044</v>
      </c>
      <c r="D360" s="80">
        <f t="shared" si="95"/>
        <v>0</v>
      </c>
      <c r="E360" s="80">
        <f>IFERROR(VLOOKUP(C360,O.B.JUNE!$C$7:$D$448,2,0),0)</f>
        <v>12790</v>
      </c>
      <c r="F360" s="80">
        <f>VLOOKUP(C360,'CUTTING ON JUNE'!$A$4:$D$316,3,0)</f>
        <v>12790</v>
      </c>
      <c r="G360" s="80">
        <f>IFERROR(VLOOKUP(C360,O.B.JUNE!$C$7:$E$448,3,0),0)</f>
        <v>220</v>
      </c>
      <c r="H360" s="80">
        <f t="shared" si="94"/>
        <v>0</v>
      </c>
      <c r="I360" s="80"/>
      <c r="J360" s="80">
        <f t="shared" si="96"/>
        <v>0</v>
      </c>
      <c r="K360" s="80">
        <v>0</v>
      </c>
      <c r="L360" s="80">
        <v>0</v>
      </c>
      <c r="M360" s="81">
        <f t="shared" si="97"/>
        <v>220</v>
      </c>
      <c r="N360" s="81">
        <v>0</v>
      </c>
      <c r="O360" s="81">
        <v>110</v>
      </c>
      <c r="P360" s="81">
        <f t="shared" si="105"/>
        <v>110</v>
      </c>
      <c r="Q360" s="80">
        <f>IFERROR(VLOOKUP(C360,O.B.JUNE!$C$7:$K$448,7,0),0)</f>
        <v>0</v>
      </c>
      <c r="R360" s="80">
        <f>IFERROR(VLOOKUP(C360,O.B.JUNE!$C$7:$J$448,8,0),0)</f>
        <v>89</v>
      </c>
      <c r="S360" s="323">
        <f t="shared" si="98"/>
        <v>89</v>
      </c>
      <c r="T360" s="324">
        <v>0</v>
      </c>
      <c r="U360" s="324"/>
      <c r="V360" s="80"/>
      <c r="W360" s="324">
        <v>0</v>
      </c>
      <c r="X360" s="324"/>
      <c r="Y360" s="324">
        <v>0</v>
      </c>
      <c r="Z360" s="80">
        <v>0</v>
      </c>
      <c r="AA360" s="80">
        <f t="shared" si="99"/>
        <v>0</v>
      </c>
      <c r="AB360" s="323">
        <f t="shared" si="106"/>
        <v>0</v>
      </c>
      <c r="AC360" s="80">
        <f t="shared" si="107"/>
        <v>89</v>
      </c>
      <c r="AD360" s="80">
        <f t="shared" si="104"/>
        <v>89</v>
      </c>
      <c r="AE360" s="80"/>
      <c r="AF360" s="80"/>
      <c r="AG360" s="80"/>
      <c r="AH360" s="326">
        <f t="shared" si="100"/>
        <v>0</v>
      </c>
      <c r="AI360" s="326">
        <f t="shared" si="101"/>
        <v>0</v>
      </c>
      <c r="AJ360" s="326">
        <f t="shared" si="102"/>
        <v>0</v>
      </c>
      <c r="AK360" s="326">
        <f t="shared" si="103"/>
        <v>0</v>
      </c>
      <c r="AL360" s="326"/>
      <c r="AM360" s="326"/>
      <c r="AN360" s="326"/>
      <c r="AO360" s="326"/>
      <c r="AP360" s="326"/>
      <c r="AQ360" s="326"/>
      <c r="AR360" s="327"/>
      <c r="AS360" s="209"/>
      <c r="AT360" s="411"/>
      <c r="AU360" s="411"/>
    </row>
    <row r="361" spans="1:47" s="390" customFormat="1" ht="18.75" customHeight="1">
      <c r="A361" s="167">
        <v>355</v>
      </c>
      <c r="B361" s="79" t="str">
        <f>IFERROR(VLOOKUP(A361,O.B.JUNE!$A$7:$C$448,2,0),0)</f>
        <v>ALFANI</v>
      </c>
      <c r="C361" s="174">
        <f>IFERROR(VLOOKUP(A361,O.B.JUNE!$A$7:$C$448,3,0),0)</f>
        <v>100023527</v>
      </c>
      <c r="D361" s="80">
        <f t="shared" si="95"/>
        <v>0</v>
      </c>
      <c r="E361" s="80">
        <f>IFERROR(VLOOKUP(C361,O.B.JUNE!$C$7:$D$448,2,0),0)</f>
        <v>14681</v>
      </c>
      <c r="F361" s="80">
        <f>VLOOKUP(C361,'CUTTING ON JUNE'!$A$4:$D$316,3,0)</f>
        <v>14681</v>
      </c>
      <c r="G361" s="80">
        <f>IFERROR(VLOOKUP(C361,O.B.JUNE!$C$7:$E$448,3,0),0)</f>
        <v>634</v>
      </c>
      <c r="H361" s="80">
        <f t="shared" si="94"/>
        <v>0</v>
      </c>
      <c r="I361" s="80"/>
      <c r="J361" s="80">
        <f t="shared" si="96"/>
        <v>0</v>
      </c>
      <c r="K361" s="80">
        <v>0</v>
      </c>
      <c r="L361" s="80">
        <v>0</v>
      </c>
      <c r="M361" s="81">
        <f t="shared" si="97"/>
        <v>634</v>
      </c>
      <c r="N361" s="81">
        <v>11</v>
      </c>
      <c r="O361" s="81">
        <v>185</v>
      </c>
      <c r="P361" s="81">
        <f t="shared" si="105"/>
        <v>438</v>
      </c>
      <c r="Q361" s="80">
        <f>IFERROR(VLOOKUP(C361,O.B.JUNE!$C$7:$K$448,7,0),0)</f>
        <v>0</v>
      </c>
      <c r="R361" s="80">
        <f>IFERROR(VLOOKUP(C361,O.B.JUNE!$C$7:$J$448,8,0),0)</f>
        <v>32</v>
      </c>
      <c r="S361" s="323">
        <f t="shared" si="98"/>
        <v>32</v>
      </c>
      <c r="T361" s="324">
        <v>0</v>
      </c>
      <c r="U361" s="324"/>
      <c r="V361" s="80"/>
      <c r="W361" s="324">
        <v>0</v>
      </c>
      <c r="X361" s="324"/>
      <c r="Y361" s="324">
        <v>0</v>
      </c>
      <c r="Z361" s="80">
        <v>0</v>
      </c>
      <c r="AA361" s="80">
        <f t="shared" si="99"/>
        <v>0</v>
      </c>
      <c r="AB361" s="323">
        <f t="shared" si="106"/>
        <v>0</v>
      </c>
      <c r="AC361" s="80">
        <f t="shared" si="107"/>
        <v>32</v>
      </c>
      <c r="AD361" s="80">
        <f t="shared" si="104"/>
        <v>32</v>
      </c>
      <c r="AE361" s="80"/>
      <c r="AF361" s="80"/>
      <c r="AG361" s="80"/>
      <c r="AH361" s="326">
        <f t="shared" si="100"/>
        <v>0</v>
      </c>
      <c r="AI361" s="326">
        <f t="shared" si="101"/>
        <v>0</v>
      </c>
      <c r="AJ361" s="326">
        <f t="shared" si="102"/>
        <v>0</v>
      </c>
      <c r="AK361" s="326">
        <f t="shared" si="103"/>
        <v>0</v>
      </c>
      <c r="AL361" s="326"/>
      <c r="AM361" s="326"/>
      <c r="AN361" s="326"/>
      <c r="AO361" s="326"/>
      <c r="AP361" s="326"/>
      <c r="AQ361" s="326"/>
      <c r="AR361" s="327"/>
      <c r="AS361" s="209"/>
      <c r="AT361" s="411"/>
      <c r="AU361" s="411"/>
    </row>
    <row r="362" spans="1:47" s="390" customFormat="1" ht="18.75" customHeight="1">
      <c r="A362" s="167">
        <v>356</v>
      </c>
      <c r="B362" s="79" t="str">
        <f>IFERROR(VLOOKUP(A362,O.B.JUNE!$A$7:$C$448,2,0),0)</f>
        <v>ALFANI</v>
      </c>
      <c r="C362" s="174">
        <f>IFERROR(VLOOKUP(A362,O.B.JUNE!$A$7:$C$448,3,0),0)</f>
        <v>100024705</v>
      </c>
      <c r="D362" s="80">
        <f t="shared" si="95"/>
        <v>0</v>
      </c>
      <c r="E362" s="80">
        <f>IFERROR(VLOOKUP(C362,O.B.JUNE!$C$7:$D$448,2,0),0)</f>
        <v>4824</v>
      </c>
      <c r="F362" s="80">
        <f>VLOOKUP(C362,'CUTTING ON JUNE'!$A$4:$D$316,3,0)</f>
        <v>4824</v>
      </c>
      <c r="G362" s="80">
        <f>IFERROR(VLOOKUP(C362,O.B.JUNE!$C$7:$E$448,3,0),0)</f>
        <v>69</v>
      </c>
      <c r="H362" s="80">
        <f t="shared" si="94"/>
        <v>0</v>
      </c>
      <c r="I362" s="80"/>
      <c r="J362" s="80">
        <f t="shared" si="96"/>
        <v>0</v>
      </c>
      <c r="K362" s="80">
        <v>0</v>
      </c>
      <c r="L362" s="80">
        <v>0</v>
      </c>
      <c r="M362" s="81">
        <f t="shared" si="97"/>
        <v>69</v>
      </c>
      <c r="N362" s="81">
        <v>0</v>
      </c>
      <c r="O362" s="81">
        <v>23</v>
      </c>
      <c r="P362" s="81">
        <f t="shared" si="105"/>
        <v>46</v>
      </c>
      <c r="Q362" s="80">
        <f>IFERROR(VLOOKUP(C362,O.B.JUNE!$C$7:$K$448,7,0),0)</f>
        <v>0</v>
      </c>
      <c r="R362" s="80">
        <f>IFERROR(VLOOKUP(C362,O.B.JUNE!$C$7:$J$448,8,0),0)</f>
        <v>0</v>
      </c>
      <c r="S362" s="323">
        <f t="shared" si="98"/>
        <v>0</v>
      </c>
      <c r="T362" s="324">
        <v>0</v>
      </c>
      <c r="U362" s="324"/>
      <c r="V362" s="80"/>
      <c r="W362" s="324">
        <v>0</v>
      </c>
      <c r="X362" s="324"/>
      <c r="Y362" s="324">
        <v>0</v>
      </c>
      <c r="Z362" s="80">
        <v>0</v>
      </c>
      <c r="AA362" s="80">
        <f t="shared" si="99"/>
        <v>0</v>
      </c>
      <c r="AB362" s="323">
        <f t="shared" si="106"/>
        <v>0</v>
      </c>
      <c r="AC362" s="80">
        <f t="shared" si="107"/>
        <v>0</v>
      </c>
      <c r="AD362" s="80">
        <f t="shared" si="104"/>
        <v>0</v>
      </c>
      <c r="AE362" s="80"/>
      <c r="AF362" s="80"/>
      <c r="AG362" s="80"/>
      <c r="AH362" s="326">
        <f t="shared" si="100"/>
        <v>0</v>
      </c>
      <c r="AI362" s="326">
        <f t="shared" si="101"/>
        <v>0</v>
      </c>
      <c r="AJ362" s="326">
        <f t="shared" si="102"/>
        <v>0</v>
      </c>
      <c r="AK362" s="326">
        <f t="shared" si="103"/>
        <v>0</v>
      </c>
      <c r="AL362" s="326"/>
      <c r="AM362" s="326"/>
      <c r="AN362" s="326"/>
      <c r="AO362" s="326"/>
      <c r="AP362" s="326"/>
      <c r="AQ362" s="326"/>
      <c r="AR362" s="327"/>
      <c r="AS362" s="209"/>
      <c r="AT362" s="411"/>
      <c r="AU362" s="411"/>
    </row>
    <row r="363" spans="1:47" s="390" customFormat="1" ht="18.75" customHeight="1">
      <c r="A363" s="167">
        <v>357</v>
      </c>
      <c r="B363" s="79" t="str">
        <f>IFERROR(VLOOKUP(A363,O.B.JUNE!$A$7:$C$448,2,0),0)</f>
        <v>ALFANI</v>
      </c>
      <c r="C363" s="174">
        <f>IFERROR(VLOOKUP(A363,O.B.JUNE!$A$7:$C$448,3,0),0)</f>
        <v>100027400</v>
      </c>
      <c r="D363" s="80">
        <f t="shared" si="95"/>
        <v>0</v>
      </c>
      <c r="E363" s="80">
        <f>IFERROR(VLOOKUP(C363,O.B.JUNE!$C$7:$D$448,2,0),0)</f>
        <v>803</v>
      </c>
      <c r="F363" s="80">
        <f>VLOOKUP(C363,'CUTTING ON JUNE'!$A$4:$D$316,3,0)</f>
        <v>803</v>
      </c>
      <c r="G363" s="80">
        <f>IFERROR(VLOOKUP(C363,O.B.JUNE!$C$7:$E$448,3,0),0)</f>
        <v>27</v>
      </c>
      <c r="H363" s="80">
        <f t="shared" si="94"/>
        <v>0</v>
      </c>
      <c r="I363" s="80"/>
      <c r="J363" s="80">
        <f t="shared" si="96"/>
        <v>0</v>
      </c>
      <c r="K363" s="80">
        <v>0</v>
      </c>
      <c r="L363" s="80">
        <v>0</v>
      </c>
      <c r="M363" s="81">
        <f t="shared" si="97"/>
        <v>27</v>
      </c>
      <c r="N363" s="81">
        <v>1</v>
      </c>
      <c r="O363" s="81">
        <v>12</v>
      </c>
      <c r="P363" s="81">
        <f t="shared" si="105"/>
        <v>14</v>
      </c>
      <c r="Q363" s="80">
        <f>IFERROR(VLOOKUP(C363,O.B.JUNE!$C$7:$K$448,7,0),0)</f>
        <v>0</v>
      </c>
      <c r="R363" s="80">
        <f>IFERROR(VLOOKUP(C363,O.B.JUNE!$C$7:$J$448,8,0),0)</f>
        <v>0</v>
      </c>
      <c r="S363" s="323">
        <f t="shared" si="98"/>
        <v>0</v>
      </c>
      <c r="T363" s="324">
        <v>0</v>
      </c>
      <c r="U363" s="324"/>
      <c r="V363" s="80"/>
      <c r="W363" s="324">
        <v>0</v>
      </c>
      <c r="X363" s="324"/>
      <c r="Y363" s="324">
        <v>0</v>
      </c>
      <c r="Z363" s="80">
        <v>0</v>
      </c>
      <c r="AA363" s="80">
        <f t="shared" si="99"/>
        <v>0</v>
      </c>
      <c r="AB363" s="323">
        <f t="shared" si="106"/>
        <v>0</v>
      </c>
      <c r="AC363" s="80">
        <f t="shared" si="107"/>
        <v>0</v>
      </c>
      <c r="AD363" s="80">
        <f t="shared" si="104"/>
        <v>0</v>
      </c>
      <c r="AE363" s="80"/>
      <c r="AF363" s="80"/>
      <c r="AG363" s="80"/>
      <c r="AH363" s="326">
        <f t="shared" si="100"/>
        <v>0</v>
      </c>
      <c r="AI363" s="326">
        <f t="shared" si="101"/>
        <v>0</v>
      </c>
      <c r="AJ363" s="326">
        <f t="shared" si="102"/>
        <v>0</v>
      </c>
      <c r="AK363" s="326">
        <f t="shared" si="103"/>
        <v>0</v>
      </c>
      <c r="AL363" s="326"/>
      <c r="AM363" s="326"/>
      <c r="AN363" s="326"/>
      <c r="AO363" s="326"/>
      <c r="AP363" s="326"/>
      <c r="AQ363" s="326"/>
      <c r="AR363" s="327"/>
      <c r="AS363" s="209"/>
      <c r="AT363" s="411"/>
      <c r="AU363" s="411"/>
    </row>
    <row r="364" spans="1:47" s="390" customFormat="1" ht="18.75" customHeight="1">
      <c r="A364" s="167">
        <v>358</v>
      </c>
      <c r="B364" s="79" t="str">
        <f>IFERROR(VLOOKUP(A364,O.B.JUNE!$A$7:$C$448,2,0),0)</f>
        <v>ALFANI</v>
      </c>
      <c r="C364" s="174">
        <f>IFERROR(VLOOKUP(A364,O.B.JUNE!$A$7:$C$448,3,0),0)</f>
        <v>100027987</v>
      </c>
      <c r="D364" s="80">
        <f t="shared" si="95"/>
        <v>0</v>
      </c>
      <c r="E364" s="80">
        <f>IFERROR(VLOOKUP(C364,O.B.JUNE!$C$7:$D$448,2,0),0)</f>
        <v>5798</v>
      </c>
      <c r="F364" s="80">
        <f>VLOOKUP(C364,'CUTTING ON JUNE'!$A$4:$D$316,3,0)</f>
        <v>5798</v>
      </c>
      <c r="G364" s="80">
        <f>IFERROR(VLOOKUP(C364,O.B.JUNE!$C$7:$E$448,3,0),0)</f>
        <v>260</v>
      </c>
      <c r="H364" s="80">
        <f t="shared" si="94"/>
        <v>0</v>
      </c>
      <c r="I364" s="80"/>
      <c r="J364" s="80">
        <f t="shared" si="96"/>
        <v>0</v>
      </c>
      <c r="K364" s="80">
        <v>0</v>
      </c>
      <c r="L364" s="80">
        <v>0</v>
      </c>
      <c r="M364" s="81">
        <f t="shared" si="97"/>
        <v>260</v>
      </c>
      <c r="N364" s="81">
        <v>0</v>
      </c>
      <c r="O364" s="81">
        <v>38</v>
      </c>
      <c r="P364" s="81">
        <f t="shared" si="105"/>
        <v>222</v>
      </c>
      <c r="Q364" s="80">
        <f>IFERROR(VLOOKUP(C364,O.B.JUNE!$C$7:$K$448,7,0),0)</f>
        <v>0</v>
      </c>
      <c r="R364" s="80">
        <f>IFERROR(VLOOKUP(C364,O.B.JUNE!$C$7:$J$448,8,0),0)</f>
        <v>0</v>
      </c>
      <c r="S364" s="323">
        <f t="shared" si="98"/>
        <v>0</v>
      </c>
      <c r="T364" s="324">
        <v>0</v>
      </c>
      <c r="U364" s="324"/>
      <c r="V364" s="80"/>
      <c r="W364" s="324">
        <v>0</v>
      </c>
      <c r="X364" s="324"/>
      <c r="Y364" s="324">
        <v>0</v>
      </c>
      <c r="Z364" s="80">
        <v>0</v>
      </c>
      <c r="AA364" s="80">
        <f t="shared" si="99"/>
        <v>0</v>
      </c>
      <c r="AB364" s="323">
        <f t="shared" si="106"/>
        <v>0</v>
      </c>
      <c r="AC364" s="80">
        <f t="shared" si="107"/>
        <v>0</v>
      </c>
      <c r="AD364" s="80">
        <f t="shared" si="104"/>
        <v>0</v>
      </c>
      <c r="AE364" s="80"/>
      <c r="AF364" s="80"/>
      <c r="AG364" s="80"/>
      <c r="AH364" s="326">
        <f t="shared" si="100"/>
        <v>0</v>
      </c>
      <c r="AI364" s="326">
        <f t="shared" si="101"/>
        <v>0</v>
      </c>
      <c r="AJ364" s="326">
        <f t="shared" si="102"/>
        <v>0</v>
      </c>
      <c r="AK364" s="326">
        <f t="shared" si="103"/>
        <v>0</v>
      </c>
      <c r="AL364" s="326"/>
      <c r="AM364" s="326"/>
      <c r="AN364" s="326"/>
      <c r="AO364" s="326"/>
      <c r="AP364" s="326"/>
      <c r="AQ364" s="326"/>
      <c r="AR364" s="327"/>
      <c r="AS364" s="209"/>
      <c r="AT364" s="411"/>
      <c r="AU364" s="411"/>
    </row>
    <row r="365" spans="1:47" s="390" customFormat="1" ht="18.75" customHeight="1">
      <c r="A365" s="167">
        <v>359</v>
      </c>
      <c r="B365" s="79" t="str">
        <f>IFERROR(VLOOKUP(A365,O.B.JUNE!$A$7:$C$448,2,0),0)</f>
        <v>ALFANI</v>
      </c>
      <c r="C365" s="174">
        <f>IFERROR(VLOOKUP(A365,O.B.JUNE!$A$7:$C$448,3,0),0)</f>
        <v>100028764</v>
      </c>
      <c r="D365" s="80">
        <f t="shared" si="95"/>
        <v>281</v>
      </c>
      <c r="E365" s="80">
        <f>IFERROR(VLOOKUP(C365,O.B.JUNE!$C$7:$D$448,2,0),0)</f>
        <v>5048</v>
      </c>
      <c r="F365" s="80">
        <f>VLOOKUP(C365,'CUTTING ON JUNE'!$A$4:$D$316,3,0)</f>
        <v>5329</v>
      </c>
      <c r="G365" s="80">
        <f>IFERROR(VLOOKUP(C365,O.B.JUNE!$C$7:$E$448,3,0),0)</f>
        <v>360</v>
      </c>
      <c r="H365" s="80">
        <f t="shared" si="94"/>
        <v>281</v>
      </c>
      <c r="I365" s="80"/>
      <c r="J365" s="80">
        <f t="shared" si="96"/>
        <v>361</v>
      </c>
      <c r="K365" s="80">
        <v>0</v>
      </c>
      <c r="L365" s="80">
        <v>0</v>
      </c>
      <c r="M365" s="81">
        <f t="shared" si="97"/>
        <v>280</v>
      </c>
      <c r="N365" s="81"/>
      <c r="O365" s="81">
        <v>173</v>
      </c>
      <c r="P365" s="81">
        <f t="shared" si="105"/>
        <v>107</v>
      </c>
      <c r="Q365" s="80">
        <f>IFERROR(VLOOKUP(C365,O.B.JUNE!$C$7:$K$448,7,0),0)</f>
        <v>4688</v>
      </c>
      <c r="R365" s="80">
        <f>IFERROR(VLOOKUP(C365,O.B.JUNE!$C$7:$J$448,8,0),0)</f>
        <v>0</v>
      </c>
      <c r="S365" s="323">
        <f t="shared" si="98"/>
        <v>5049</v>
      </c>
      <c r="T365" s="324">
        <v>361</v>
      </c>
      <c r="U365" s="324"/>
      <c r="V365" s="80"/>
      <c r="W365" s="324">
        <v>5049</v>
      </c>
      <c r="X365" s="324"/>
      <c r="Y365" s="324">
        <v>0</v>
      </c>
      <c r="Z365" s="80">
        <v>0</v>
      </c>
      <c r="AA365" s="80">
        <f t="shared" si="99"/>
        <v>361</v>
      </c>
      <c r="AB365" s="323">
        <f t="shared" si="106"/>
        <v>0</v>
      </c>
      <c r="AC365" s="80">
        <f t="shared" si="107"/>
        <v>0</v>
      </c>
      <c r="AD365" s="80">
        <f t="shared" si="104"/>
        <v>0</v>
      </c>
      <c r="AE365" s="80"/>
      <c r="AF365" s="80"/>
      <c r="AG365" s="80"/>
      <c r="AH365" s="326">
        <f t="shared" si="100"/>
        <v>0</v>
      </c>
      <c r="AI365" s="326">
        <f t="shared" si="101"/>
        <v>0</v>
      </c>
      <c r="AJ365" s="326">
        <f t="shared" si="102"/>
        <v>0</v>
      </c>
      <c r="AK365" s="326">
        <f t="shared" si="103"/>
        <v>0</v>
      </c>
      <c r="AL365" s="326"/>
      <c r="AM365" s="326"/>
      <c r="AN365" s="326"/>
      <c r="AO365" s="326"/>
      <c r="AP365" s="326"/>
      <c r="AQ365" s="326"/>
      <c r="AR365" s="327"/>
      <c r="AS365" s="209"/>
      <c r="AT365" s="411"/>
      <c r="AU365" s="411"/>
    </row>
    <row r="366" spans="1:47" s="390" customFormat="1" ht="18.75" customHeight="1">
      <c r="A366" s="167">
        <v>360</v>
      </c>
      <c r="B366" s="79" t="str">
        <f>IFERROR(VLOOKUP(A366,O.B.JUNE!$A$7:$C$448,2,0),0)</f>
        <v>ALFANI</v>
      </c>
      <c r="C366" s="174">
        <f>IFERROR(VLOOKUP(A366,O.B.JUNE!$A$7:$C$448,3,0),0)</f>
        <v>100033322</v>
      </c>
      <c r="D366" s="80">
        <f t="shared" si="95"/>
        <v>0</v>
      </c>
      <c r="E366" s="80">
        <f>IFERROR(VLOOKUP(C366,O.B.JUNE!$C$7:$D$448,2,0),0)</f>
        <v>4396</v>
      </c>
      <c r="F366" s="80">
        <f>VLOOKUP(C366,'CUTTING ON JUNE'!$A$4:$D$316,3,0)</f>
        <v>4396</v>
      </c>
      <c r="G366" s="80">
        <f>IFERROR(VLOOKUP(C366,O.B.JUNE!$C$7:$E$448,3,0),0)</f>
        <v>63</v>
      </c>
      <c r="H366" s="80">
        <f t="shared" si="94"/>
        <v>0</v>
      </c>
      <c r="I366" s="80"/>
      <c r="J366" s="80">
        <f t="shared" si="96"/>
        <v>0</v>
      </c>
      <c r="K366" s="80">
        <v>0</v>
      </c>
      <c r="L366" s="80">
        <v>0</v>
      </c>
      <c r="M366" s="81">
        <f t="shared" si="97"/>
        <v>63</v>
      </c>
      <c r="N366" s="81">
        <v>0</v>
      </c>
      <c r="O366" s="81">
        <v>44</v>
      </c>
      <c r="P366" s="81">
        <f t="shared" si="105"/>
        <v>19</v>
      </c>
      <c r="Q366" s="80">
        <f>IFERROR(VLOOKUP(C366,O.B.JUNE!$C$7:$K$448,7,0),0)</f>
        <v>0</v>
      </c>
      <c r="R366" s="80">
        <f>IFERROR(VLOOKUP(C366,O.B.JUNE!$C$7:$J$448,8,0),0)</f>
        <v>16</v>
      </c>
      <c r="S366" s="323">
        <f t="shared" si="98"/>
        <v>16</v>
      </c>
      <c r="T366" s="324">
        <v>0</v>
      </c>
      <c r="U366" s="324"/>
      <c r="V366" s="80"/>
      <c r="W366" s="324">
        <v>0</v>
      </c>
      <c r="X366" s="324"/>
      <c r="Y366" s="324">
        <v>0</v>
      </c>
      <c r="Z366" s="80">
        <v>0</v>
      </c>
      <c r="AA366" s="80">
        <f t="shared" si="99"/>
        <v>0</v>
      </c>
      <c r="AB366" s="323">
        <f t="shared" si="106"/>
        <v>0</v>
      </c>
      <c r="AC366" s="80">
        <f t="shared" si="107"/>
        <v>16</v>
      </c>
      <c r="AD366" s="80">
        <f t="shared" si="104"/>
        <v>16</v>
      </c>
      <c r="AE366" s="80"/>
      <c r="AF366" s="80"/>
      <c r="AG366" s="80"/>
      <c r="AH366" s="326">
        <f t="shared" si="100"/>
        <v>0</v>
      </c>
      <c r="AI366" s="326">
        <f t="shared" si="101"/>
        <v>0</v>
      </c>
      <c r="AJ366" s="326">
        <f t="shared" si="102"/>
        <v>0</v>
      </c>
      <c r="AK366" s="326">
        <f t="shared" si="103"/>
        <v>0</v>
      </c>
      <c r="AL366" s="326"/>
      <c r="AM366" s="326"/>
      <c r="AN366" s="326"/>
      <c r="AO366" s="326"/>
      <c r="AP366" s="326"/>
      <c r="AQ366" s="326"/>
      <c r="AR366" s="327">
        <f>VLOOKUP(C366,'[1]DA HET SAN XUAT'!$D$8:$AJ$419,33,0)</f>
        <v>0</v>
      </c>
      <c r="AS366" s="209"/>
      <c r="AT366" s="411"/>
      <c r="AU366" s="411"/>
    </row>
    <row r="367" spans="1:47" s="390" customFormat="1" ht="18.75" customHeight="1">
      <c r="A367" s="167">
        <v>361</v>
      </c>
      <c r="B367" s="79" t="str">
        <f>IFERROR(VLOOKUP(A367,O.B.JUNE!$A$7:$C$448,2,0),0)</f>
        <v>INC</v>
      </c>
      <c r="C367" s="174">
        <f>IFERROR(VLOOKUP(A367,O.B.JUNE!$A$7:$C$448,3,0),0)</f>
        <v>100034173</v>
      </c>
      <c r="D367" s="80">
        <f t="shared" si="95"/>
        <v>0</v>
      </c>
      <c r="E367" s="80">
        <f>IFERROR(VLOOKUP(C367,O.B.JUNE!$C$7:$D$448,2,0),0)</f>
        <v>6878</v>
      </c>
      <c r="F367" s="80">
        <f>VLOOKUP(C367,'CUTTING ON JUNE'!$A$4:$D$316,3,0)</f>
        <v>6878</v>
      </c>
      <c r="G367" s="80">
        <f>IFERROR(VLOOKUP(C367,O.B.JUNE!$C$7:$E$448,3,0),0)</f>
        <v>195</v>
      </c>
      <c r="H367" s="80">
        <f t="shared" si="94"/>
        <v>0</v>
      </c>
      <c r="I367" s="80"/>
      <c r="J367" s="80">
        <f t="shared" si="96"/>
        <v>0</v>
      </c>
      <c r="K367" s="80">
        <v>0</v>
      </c>
      <c r="L367" s="80">
        <v>0</v>
      </c>
      <c r="M367" s="81">
        <f t="shared" si="97"/>
        <v>195</v>
      </c>
      <c r="N367" s="81">
        <v>49</v>
      </c>
      <c r="O367" s="81">
        <v>102</v>
      </c>
      <c r="P367" s="81">
        <f t="shared" si="105"/>
        <v>44</v>
      </c>
      <c r="Q367" s="80">
        <f>IFERROR(VLOOKUP(C367,O.B.JUNE!$C$7:$K$448,7,0),0)</f>
        <v>12</v>
      </c>
      <c r="R367" s="80">
        <f>IFERROR(VLOOKUP(C367,O.B.JUNE!$C$7:$J$448,8,0),0)</f>
        <v>0</v>
      </c>
      <c r="S367" s="323">
        <f t="shared" si="98"/>
        <v>12</v>
      </c>
      <c r="T367" s="324">
        <v>0</v>
      </c>
      <c r="U367" s="324"/>
      <c r="V367" s="80"/>
      <c r="W367" s="324">
        <v>12</v>
      </c>
      <c r="X367" s="324"/>
      <c r="Y367" s="324">
        <v>0</v>
      </c>
      <c r="Z367" s="80">
        <v>0</v>
      </c>
      <c r="AA367" s="80">
        <f t="shared" si="99"/>
        <v>0</v>
      </c>
      <c r="AB367" s="323">
        <f t="shared" si="106"/>
        <v>0</v>
      </c>
      <c r="AC367" s="80">
        <f t="shared" si="107"/>
        <v>0</v>
      </c>
      <c r="AD367" s="80">
        <f t="shared" si="104"/>
        <v>0</v>
      </c>
      <c r="AE367" s="80"/>
      <c r="AF367" s="80"/>
      <c r="AG367" s="80"/>
      <c r="AH367" s="326">
        <f t="shared" si="100"/>
        <v>0</v>
      </c>
      <c r="AI367" s="326">
        <f t="shared" si="101"/>
        <v>0</v>
      </c>
      <c r="AJ367" s="326">
        <f t="shared" si="102"/>
        <v>0</v>
      </c>
      <c r="AK367" s="326">
        <f t="shared" si="103"/>
        <v>0</v>
      </c>
      <c r="AL367" s="326"/>
      <c r="AM367" s="326"/>
      <c r="AN367" s="326"/>
      <c r="AO367" s="326"/>
      <c r="AP367" s="326"/>
      <c r="AQ367" s="326"/>
      <c r="AR367" s="327"/>
      <c r="AS367" s="209"/>
      <c r="AT367" s="411"/>
      <c r="AU367" s="411"/>
    </row>
    <row r="368" spans="1:47" s="390" customFormat="1" ht="18.75" customHeight="1">
      <c r="A368" s="167">
        <v>362</v>
      </c>
      <c r="B368" s="79" t="str">
        <f>IFERROR(VLOOKUP(A368,O.B.JUNE!$A$7:$C$448,2,0),0)</f>
        <v>TALBOTS</v>
      </c>
      <c r="C368" s="174">
        <f>IFERROR(VLOOKUP(A368,O.B.JUNE!$A$7:$C$448,3,0),0)</f>
        <v>182034833</v>
      </c>
      <c r="D368" s="80">
        <f t="shared" si="95"/>
        <v>0</v>
      </c>
      <c r="E368" s="80">
        <f>IFERROR(VLOOKUP(C368,O.B.JUNE!$C$7:$D$448,2,0),0)</f>
        <v>4590</v>
      </c>
      <c r="F368" s="80">
        <f>VLOOKUP(C368,'CUTTING ON JUNE'!$A$4:$D$316,3,0)</f>
        <v>4590</v>
      </c>
      <c r="G368" s="80">
        <f>IFERROR(VLOOKUP(C368,O.B.JUNE!$C$7:$E$448,3,0),0)</f>
        <v>133</v>
      </c>
      <c r="H368" s="80">
        <f t="shared" si="94"/>
        <v>0</v>
      </c>
      <c r="I368" s="80"/>
      <c r="J368" s="80">
        <f t="shared" si="96"/>
        <v>3</v>
      </c>
      <c r="K368" s="80">
        <v>0</v>
      </c>
      <c r="L368" s="80">
        <v>0</v>
      </c>
      <c r="M368" s="81">
        <f t="shared" si="97"/>
        <v>130</v>
      </c>
      <c r="N368" s="81"/>
      <c r="O368" s="81"/>
      <c r="P368" s="81">
        <f t="shared" si="105"/>
        <v>130</v>
      </c>
      <c r="Q368" s="80">
        <f>IFERROR(VLOOKUP(C368,O.B.JUNE!$C$7:$K$448,7,0),0)</f>
        <v>2845</v>
      </c>
      <c r="R368" s="80">
        <f>IFERROR(VLOOKUP(C368,O.B.JUNE!$C$7:$J$448,8,0),0)</f>
        <v>67</v>
      </c>
      <c r="S368" s="323">
        <f t="shared" si="98"/>
        <v>2915</v>
      </c>
      <c r="T368" s="324">
        <v>3</v>
      </c>
      <c r="U368" s="324"/>
      <c r="V368" s="80"/>
      <c r="W368" s="324">
        <v>2845</v>
      </c>
      <c r="X368" s="324"/>
      <c r="Y368" s="324">
        <v>3</v>
      </c>
      <c r="Z368" s="80">
        <v>0</v>
      </c>
      <c r="AA368" s="80">
        <f t="shared" si="99"/>
        <v>3</v>
      </c>
      <c r="AB368" s="323">
        <f t="shared" si="106"/>
        <v>0</v>
      </c>
      <c r="AC368" s="80">
        <f t="shared" si="107"/>
        <v>67</v>
      </c>
      <c r="AD368" s="80">
        <f t="shared" si="104"/>
        <v>67</v>
      </c>
      <c r="AE368" s="80"/>
      <c r="AF368" s="80"/>
      <c r="AG368" s="80"/>
      <c r="AH368" s="326">
        <f t="shared" si="100"/>
        <v>0</v>
      </c>
      <c r="AI368" s="326">
        <f t="shared" si="101"/>
        <v>0</v>
      </c>
      <c r="AJ368" s="326">
        <f t="shared" si="102"/>
        <v>0</v>
      </c>
      <c r="AK368" s="326">
        <f t="shared" si="103"/>
        <v>0</v>
      </c>
      <c r="AL368" s="326"/>
      <c r="AM368" s="326"/>
      <c r="AN368" s="326"/>
      <c r="AO368" s="326"/>
      <c r="AP368" s="326"/>
      <c r="AQ368" s="326"/>
      <c r="AR368" s="327"/>
      <c r="AS368" s="209"/>
      <c r="AT368" s="411"/>
      <c r="AU368" s="411"/>
    </row>
    <row r="369" spans="1:47" s="390" customFormat="1" ht="18.75" customHeight="1">
      <c r="A369" s="167">
        <v>363</v>
      </c>
      <c r="B369" s="79" t="str">
        <f>IFERROR(VLOOKUP(A369,O.B.JUNE!$A$7:$C$448,2,0),0)</f>
        <v>ANN TAYLOR</v>
      </c>
      <c r="C369" s="174">
        <f>IFERROR(VLOOKUP(A369,O.B.JUNE!$A$7:$C$448,3,0),0)</f>
        <v>464035</v>
      </c>
      <c r="D369" s="80">
        <f t="shared" si="95"/>
        <v>0</v>
      </c>
      <c r="E369" s="80">
        <f>IFERROR(VLOOKUP(C369,O.B.JUNE!$C$7:$D$448,2,0),0)</f>
        <v>19907</v>
      </c>
      <c r="F369" s="80">
        <f>VLOOKUP(C369,'CUTTING ON JUNE'!$A$4:$D$316,3,0)</f>
        <v>19907</v>
      </c>
      <c r="G369" s="80">
        <f>IFERROR(VLOOKUP(C369,O.B.JUNE!$C$7:$E$448,3,0),0)</f>
        <v>387</v>
      </c>
      <c r="H369" s="80">
        <f t="shared" si="94"/>
        <v>0</v>
      </c>
      <c r="I369" s="80"/>
      <c r="J369" s="80">
        <f t="shared" si="96"/>
        <v>20</v>
      </c>
      <c r="K369" s="80">
        <v>0</v>
      </c>
      <c r="L369" s="80">
        <v>0</v>
      </c>
      <c r="M369" s="81">
        <f t="shared" si="97"/>
        <v>367</v>
      </c>
      <c r="N369" s="81"/>
      <c r="O369" s="81">
        <v>241</v>
      </c>
      <c r="P369" s="81">
        <f t="shared" si="105"/>
        <v>126</v>
      </c>
      <c r="Q369" s="80">
        <f>IFERROR(VLOOKUP(C369,O.B.JUNE!$C$7:$K$448,7,0),0)</f>
        <v>0</v>
      </c>
      <c r="R369" s="80">
        <f>IFERROR(VLOOKUP(C369,O.B.JUNE!$C$7:$J$448,8,0),0)</f>
        <v>519</v>
      </c>
      <c r="S369" s="323">
        <f t="shared" si="98"/>
        <v>539</v>
      </c>
      <c r="T369" s="324">
        <v>20</v>
      </c>
      <c r="U369" s="324"/>
      <c r="V369" s="80"/>
      <c r="W369" s="324">
        <v>0</v>
      </c>
      <c r="X369" s="324"/>
      <c r="Y369" s="324">
        <v>20</v>
      </c>
      <c r="Z369" s="80">
        <v>0</v>
      </c>
      <c r="AA369" s="80">
        <f t="shared" si="99"/>
        <v>20</v>
      </c>
      <c r="AB369" s="323">
        <f t="shared" si="106"/>
        <v>0</v>
      </c>
      <c r="AC369" s="80">
        <f t="shared" si="107"/>
        <v>519</v>
      </c>
      <c r="AD369" s="80">
        <f t="shared" si="104"/>
        <v>519</v>
      </c>
      <c r="AE369" s="80"/>
      <c r="AF369" s="80"/>
      <c r="AG369" s="80"/>
      <c r="AH369" s="326">
        <f t="shared" si="100"/>
        <v>0</v>
      </c>
      <c r="AI369" s="326">
        <f t="shared" si="101"/>
        <v>0</v>
      </c>
      <c r="AJ369" s="326">
        <f t="shared" si="102"/>
        <v>0</v>
      </c>
      <c r="AK369" s="326">
        <f t="shared" si="103"/>
        <v>0</v>
      </c>
      <c r="AL369" s="326"/>
      <c r="AM369" s="326"/>
      <c r="AN369" s="326"/>
      <c r="AO369" s="326"/>
      <c r="AP369" s="326"/>
      <c r="AQ369" s="326"/>
      <c r="AR369" s="327"/>
      <c r="AS369" s="209"/>
      <c r="AT369" s="411"/>
      <c r="AU369" s="411"/>
    </row>
    <row r="370" spans="1:47" s="390" customFormat="1" ht="18.75" customHeight="1">
      <c r="A370" s="167">
        <v>364</v>
      </c>
      <c r="B370" s="79" t="str">
        <f>IFERROR(VLOOKUP(A370,O.B.JUNE!$A$7:$C$448,2,0),0)</f>
        <v>ANN TAYLOR</v>
      </c>
      <c r="C370" s="174">
        <f>IFERROR(VLOOKUP(A370,O.B.JUNE!$A$7:$C$448,3,0),0)</f>
        <v>464354</v>
      </c>
      <c r="D370" s="80">
        <f t="shared" si="95"/>
        <v>0</v>
      </c>
      <c r="E370" s="80">
        <f>IFERROR(VLOOKUP(C370,O.B.JUNE!$C$7:$D$448,2,0),0)</f>
        <v>24806</v>
      </c>
      <c r="F370" s="80">
        <f>VLOOKUP(C370,'CUTTING ON JUNE'!$A$4:$D$316,3,0)</f>
        <v>24806</v>
      </c>
      <c r="G370" s="80">
        <f>IFERROR(VLOOKUP(C370,O.B.JUNE!$C$7:$E$448,3,0),0)</f>
        <v>3702</v>
      </c>
      <c r="H370" s="80">
        <f t="shared" si="94"/>
        <v>0</v>
      </c>
      <c r="I370" s="80"/>
      <c r="J370" s="80">
        <f t="shared" si="96"/>
        <v>0</v>
      </c>
      <c r="K370" s="80">
        <v>0</v>
      </c>
      <c r="L370" s="80">
        <v>0</v>
      </c>
      <c r="M370" s="81">
        <f t="shared" si="97"/>
        <v>3702</v>
      </c>
      <c r="N370" s="81">
        <v>1</v>
      </c>
      <c r="O370" s="81">
        <v>636</v>
      </c>
      <c r="P370" s="81">
        <f t="shared" si="105"/>
        <v>3065</v>
      </c>
      <c r="Q370" s="80">
        <f>IFERROR(VLOOKUP(C370,O.B.JUNE!$C$7:$K$448,7,0),0)</f>
        <v>0</v>
      </c>
      <c r="R370" s="80">
        <f>IFERROR(VLOOKUP(C370,O.B.JUNE!$C$7:$J$448,8,0),0)</f>
        <v>197</v>
      </c>
      <c r="S370" s="323">
        <f t="shared" si="98"/>
        <v>197</v>
      </c>
      <c r="T370" s="324">
        <v>0</v>
      </c>
      <c r="U370" s="324"/>
      <c r="V370" s="80"/>
      <c r="W370" s="324">
        <v>0</v>
      </c>
      <c r="X370" s="324"/>
      <c r="Y370" s="324">
        <v>0</v>
      </c>
      <c r="Z370" s="80">
        <v>0</v>
      </c>
      <c r="AA370" s="80">
        <f t="shared" si="99"/>
        <v>0</v>
      </c>
      <c r="AB370" s="323">
        <f t="shared" si="106"/>
        <v>0</v>
      </c>
      <c r="AC370" s="80">
        <f t="shared" si="107"/>
        <v>197</v>
      </c>
      <c r="AD370" s="80">
        <f t="shared" si="104"/>
        <v>197</v>
      </c>
      <c r="AE370" s="80"/>
      <c r="AF370" s="80"/>
      <c r="AG370" s="80"/>
      <c r="AH370" s="326">
        <f t="shared" si="100"/>
        <v>0</v>
      </c>
      <c r="AI370" s="326">
        <f t="shared" si="101"/>
        <v>0</v>
      </c>
      <c r="AJ370" s="326">
        <f t="shared" si="102"/>
        <v>0</v>
      </c>
      <c r="AK370" s="326">
        <f t="shared" si="103"/>
        <v>0</v>
      </c>
      <c r="AL370" s="326"/>
      <c r="AM370" s="326"/>
      <c r="AN370" s="326"/>
      <c r="AO370" s="326"/>
      <c r="AP370" s="326"/>
      <c r="AQ370" s="326"/>
      <c r="AR370" s="327"/>
      <c r="AS370" s="209"/>
      <c r="AT370" s="411"/>
      <c r="AU370" s="411"/>
    </row>
    <row r="371" spans="1:47" s="390" customFormat="1" ht="18.75" customHeight="1">
      <c r="A371" s="167">
        <v>365</v>
      </c>
      <c r="B371" s="79" t="str">
        <f>IFERROR(VLOOKUP(A371,O.B.JUNE!$A$7:$C$448,2,0),0)</f>
        <v>ANN TAYLOR</v>
      </c>
      <c r="C371" s="174">
        <f>IFERROR(VLOOKUP(A371,O.B.JUNE!$A$7:$C$448,3,0),0)</f>
        <v>469491</v>
      </c>
      <c r="D371" s="80">
        <f t="shared" si="95"/>
        <v>0</v>
      </c>
      <c r="E371" s="80">
        <f>IFERROR(VLOOKUP(C371,O.B.JUNE!$C$7:$D$448,2,0),0)</f>
        <v>8893</v>
      </c>
      <c r="F371" s="80">
        <f>VLOOKUP(C371,'CUTTING ON JUNE'!$A$4:$D$316,3,0)</f>
        <v>8893</v>
      </c>
      <c r="G371" s="80">
        <f>IFERROR(VLOOKUP(C371,O.B.JUNE!$C$7:$E$448,3,0),0)</f>
        <v>519</v>
      </c>
      <c r="H371" s="80">
        <f t="shared" si="94"/>
        <v>0</v>
      </c>
      <c r="I371" s="80"/>
      <c r="J371" s="80">
        <f t="shared" si="96"/>
        <v>0</v>
      </c>
      <c r="K371" s="80">
        <v>0</v>
      </c>
      <c r="L371" s="80">
        <v>0</v>
      </c>
      <c r="M371" s="81">
        <f t="shared" si="97"/>
        <v>519</v>
      </c>
      <c r="N371" s="81">
        <v>0</v>
      </c>
      <c r="O371" s="81">
        <v>92</v>
      </c>
      <c r="P371" s="81">
        <f t="shared" si="105"/>
        <v>427</v>
      </c>
      <c r="Q371" s="80">
        <f>IFERROR(VLOOKUP(C371,O.B.JUNE!$C$7:$K$448,7,0),0)</f>
        <v>0</v>
      </c>
      <c r="R371" s="80">
        <f>IFERROR(VLOOKUP(C371,O.B.JUNE!$C$7:$J$448,8,0),0)</f>
        <v>91</v>
      </c>
      <c r="S371" s="323">
        <f t="shared" si="98"/>
        <v>91</v>
      </c>
      <c r="T371" s="324">
        <v>0</v>
      </c>
      <c r="U371" s="324"/>
      <c r="V371" s="80"/>
      <c r="W371" s="324">
        <v>0</v>
      </c>
      <c r="X371" s="324"/>
      <c r="Y371" s="324">
        <v>0</v>
      </c>
      <c r="Z371" s="80">
        <v>0</v>
      </c>
      <c r="AA371" s="80">
        <f t="shared" si="99"/>
        <v>0</v>
      </c>
      <c r="AB371" s="323">
        <f t="shared" si="106"/>
        <v>0</v>
      </c>
      <c r="AC371" s="80">
        <f t="shared" si="107"/>
        <v>91</v>
      </c>
      <c r="AD371" s="80">
        <f t="shared" si="104"/>
        <v>91</v>
      </c>
      <c r="AE371" s="80"/>
      <c r="AF371" s="80"/>
      <c r="AG371" s="80"/>
      <c r="AH371" s="326">
        <f t="shared" si="100"/>
        <v>0</v>
      </c>
      <c r="AI371" s="326">
        <f t="shared" si="101"/>
        <v>0</v>
      </c>
      <c r="AJ371" s="326">
        <f t="shared" si="102"/>
        <v>0</v>
      </c>
      <c r="AK371" s="326">
        <f t="shared" si="103"/>
        <v>0</v>
      </c>
      <c r="AL371" s="326"/>
      <c r="AM371" s="326"/>
      <c r="AN371" s="326"/>
      <c r="AO371" s="326"/>
      <c r="AP371" s="326"/>
      <c r="AQ371" s="326"/>
      <c r="AR371" s="327"/>
      <c r="AS371" s="209"/>
      <c r="AT371" s="411"/>
      <c r="AU371" s="411"/>
    </row>
    <row r="372" spans="1:47" s="390" customFormat="1" ht="18.75" customHeight="1">
      <c r="A372" s="167">
        <v>366</v>
      </c>
      <c r="B372" s="79" t="str">
        <f>IFERROR(VLOOKUP(A372,O.B.JUNE!$A$7:$C$448,2,0),0)</f>
        <v>ANN TAYLOR</v>
      </c>
      <c r="C372" s="174">
        <f>IFERROR(VLOOKUP(A372,O.B.JUNE!$A$7:$C$448,3,0),0)</f>
        <v>474304</v>
      </c>
      <c r="D372" s="80">
        <f t="shared" si="95"/>
        <v>0</v>
      </c>
      <c r="E372" s="80">
        <f>IFERROR(VLOOKUP(C372,O.B.JUNE!$C$7:$D$448,2,0),0)</f>
        <v>10293</v>
      </c>
      <c r="F372" s="80">
        <f>VLOOKUP(C372,'CUTTING ON JUNE'!$A$4:$D$316,3,0)</f>
        <v>10293</v>
      </c>
      <c r="G372" s="80">
        <f>IFERROR(VLOOKUP(C372,O.B.JUNE!$C$7:$E$448,3,0),0)</f>
        <v>367</v>
      </c>
      <c r="H372" s="80">
        <f t="shared" si="94"/>
        <v>0</v>
      </c>
      <c r="I372" s="80"/>
      <c r="J372" s="80">
        <f t="shared" si="96"/>
        <v>1</v>
      </c>
      <c r="K372" s="80">
        <v>0</v>
      </c>
      <c r="L372" s="80">
        <v>0</v>
      </c>
      <c r="M372" s="81">
        <f t="shared" si="97"/>
        <v>366</v>
      </c>
      <c r="N372" s="81">
        <v>0</v>
      </c>
      <c r="O372" s="81">
        <v>95</v>
      </c>
      <c r="P372" s="81">
        <f t="shared" si="105"/>
        <v>271</v>
      </c>
      <c r="Q372" s="80">
        <f>IFERROR(VLOOKUP(C372,O.B.JUNE!$C$7:$K$448,7,0),0)</f>
        <v>0</v>
      </c>
      <c r="R372" s="80">
        <f>IFERROR(VLOOKUP(C372,O.B.JUNE!$C$7:$J$448,8,0),0)</f>
        <v>179</v>
      </c>
      <c r="S372" s="323">
        <f t="shared" si="98"/>
        <v>180</v>
      </c>
      <c r="T372" s="324">
        <v>1</v>
      </c>
      <c r="U372" s="324"/>
      <c r="V372" s="80"/>
      <c r="W372" s="324">
        <v>0</v>
      </c>
      <c r="X372" s="324"/>
      <c r="Y372" s="324">
        <v>1</v>
      </c>
      <c r="Z372" s="80">
        <v>0</v>
      </c>
      <c r="AA372" s="80">
        <f t="shared" si="99"/>
        <v>1</v>
      </c>
      <c r="AB372" s="323">
        <f t="shared" si="106"/>
        <v>0</v>
      </c>
      <c r="AC372" s="80">
        <f t="shared" si="107"/>
        <v>179</v>
      </c>
      <c r="AD372" s="80">
        <f t="shared" si="104"/>
        <v>179</v>
      </c>
      <c r="AE372" s="80"/>
      <c r="AF372" s="80"/>
      <c r="AG372" s="80"/>
      <c r="AH372" s="326">
        <f t="shared" si="100"/>
        <v>0</v>
      </c>
      <c r="AI372" s="326">
        <f t="shared" si="101"/>
        <v>0</v>
      </c>
      <c r="AJ372" s="326">
        <f t="shared" si="102"/>
        <v>0</v>
      </c>
      <c r="AK372" s="326">
        <f t="shared" si="103"/>
        <v>0</v>
      </c>
      <c r="AL372" s="326"/>
      <c r="AM372" s="326"/>
      <c r="AN372" s="326"/>
      <c r="AO372" s="326"/>
      <c r="AP372" s="326"/>
      <c r="AQ372" s="326"/>
      <c r="AR372" s="327">
        <f>VLOOKUP(C372,'[1]DA HET SAN XUAT'!$D$8:$AJ$419,33,0)</f>
        <v>0</v>
      </c>
      <c r="AS372" s="209"/>
      <c r="AT372" s="411"/>
      <c r="AU372" s="411"/>
    </row>
    <row r="373" spans="1:47" s="390" customFormat="1" ht="18.75" customHeight="1">
      <c r="A373" s="167">
        <v>367</v>
      </c>
      <c r="B373" s="79" t="str">
        <f>IFERROR(VLOOKUP(A373,O.B.JUNE!$A$7:$C$448,2,0),0)</f>
        <v>ALFANI</v>
      </c>
      <c r="C373" s="174" t="str">
        <f>IFERROR(VLOOKUP(A373,O.B.JUNE!$A$7:$C$448,3,0),0)</f>
        <v>7X211</v>
      </c>
      <c r="D373" s="80">
        <f t="shared" si="95"/>
        <v>0</v>
      </c>
      <c r="E373" s="80">
        <f>IFERROR(VLOOKUP(C373,O.B.JUNE!$C$7:$D$448,2,0),0)</f>
        <v>363</v>
      </c>
      <c r="F373" s="80">
        <f>VLOOKUP(C373,'CUTTING ON JUNE'!$A$4:$D$316,3,0)</f>
        <v>363</v>
      </c>
      <c r="G373" s="80">
        <f>IFERROR(VLOOKUP(C373,O.B.JUNE!$C$7:$E$448,3,0),0)</f>
        <v>49</v>
      </c>
      <c r="H373" s="80">
        <f t="shared" si="94"/>
        <v>0</v>
      </c>
      <c r="I373" s="80"/>
      <c r="J373" s="80">
        <f t="shared" si="96"/>
        <v>49</v>
      </c>
      <c r="K373" s="80">
        <v>0</v>
      </c>
      <c r="L373" s="80">
        <v>0</v>
      </c>
      <c r="M373" s="81">
        <f t="shared" si="97"/>
        <v>0</v>
      </c>
      <c r="N373" s="81">
        <v>0</v>
      </c>
      <c r="O373" s="81">
        <v>0</v>
      </c>
      <c r="P373" s="81">
        <f t="shared" si="105"/>
        <v>0</v>
      </c>
      <c r="Q373" s="80">
        <f>IFERROR(VLOOKUP(C373,O.B.JUNE!$C$7:$K$448,7,0),0)</f>
        <v>0</v>
      </c>
      <c r="R373" s="80">
        <f>IFERROR(VLOOKUP(C373,O.B.JUNE!$C$7:$J$448,8,0),0)</f>
        <v>3</v>
      </c>
      <c r="S373" s="323">
        <f t="shared" si="98"/>
        <v>52</v>
      </c>
      <c r="T373" s="324">
        <v>0</v>
      </c>
      <c r="U373" s="324">
        <v>49</v>
      </c>
      <c r="V373" s="80"/>
      <c r="W373" s="324">
        <v>0</v>
      </c>
      <c r="X373" s="324"/>
      <c r="Y373" s="324">
        <v>0</v>
      </c>
      <c r="Z373" s="80">
        <v>0</v>
      </c>
      <c r="AA373" s="80">
        <f t="shared" si="99"/>
        <v>49</v>
      </c>
      <c r="AB373" s="323">
        <f t="shared" si="106"/>
        <v>0</v>
      </c>
      <c r="AC373" s="80">
        <f t="shared" si="107"/>
        <v>52</v>
      </c>
      <c r="AD373" s="80">
        <f t="shared" si="104"/>
        <v>52</v>
      </c>
      <c r="AE373" s="80"/>
      <c r="AF373" s="80"/>
      <c r="AG373" s="80"/>
      <c r="AH373" s="326">
        <f t="shared" si="100"/>
        <v>0</v>
      </c>
      <c r="AI373" s="326">
        <f t="shared" si="101"/>
        <v>0</v>
      </c>
      <c r="AJ373" s="326">
        <f t="shared" si="102"/>
        <v>0</v>
      </c>
      <c r="AK373" s="326">
        <f t="shared" si="103"/>
        <v>0</v>
      </c>
      <c r="AL373" s="326"/>
      <c r="AM373" s="326"/>
      <c r="AN373" s="326"/>
      <c r="AO373" s="326"/>
      <c r="AP373" s="326"/>
      <c r="AQ373" s="326"/>
      <c r="AR373" s="327">
        <f>VLOOKUP(C373,'[1]DA HET SAN XUAT'!$D$8:$AJ$419,33,0)</f>
        <v>0</v>
      </c>
      <c r="AS373" s="504" t="s">
        <v>658</v>
      </c>
      <c r="AT373" s="411"/>
      <c r="AU373" s="411"/>
    </row>
    <row r="374" spans="1:47" s="390" customFormat="1" ht="18.75" customHeight="1">
      <c r="A374" s="167">
        <v>368</v>
      </c>
      <c r="B374" s="79" t="str">
        <f>IFERROR(VLOOKUP(A374,O.B.JUNE!$A$7:$C$448,2,0),0)</f>
        <v>J JILL</v>
      </c>
      <c r="C374" s="174" t="str">
        <f>IFERROR(VLOOKUP(A374,O.B.JUNE!$A$7:$C$448,3,0),0)</f>
        <v>KPT116131</v>
      </c>
      <c r="D374" s="80">
        <f t="shared" si="95"/>
        <v>10486</v>
      </c>
      <c r="E374" s="80">
        <f>IFERROR(VLOOKUP(C374,O.B.JUNE!$C$7:$D$448,2,0),0)</f>
        <v>9659</v>
      </c>
      <c r="F374" s="80">
        <f>VLOOKUP(C374,'CUTTING ON JUNE'!$A$4:$D$316,3,0)</f>
        <v>20145</v>
      </c>
      <c r="G374" s="80">
        <f>IFERROR(VLOOKUP(C374,O.B.JUNE!$C$7:$E$448,3,0),0)</f>
        <v>361</v>
      </c>
      <c r="H374" s="80">
        <f t="shared" si="94"/>
        <v>10486</v>
      </c>
      <c r="I374" s="80"/>
      <c r="J374" s="80">
        <f t="shared" si="96"/>
        <v>10245</v>
      </c>
      <c r="K374" s="80">
        <v>0</v>
      </c>
      <c r="L374" s="80">
        <v>0</v>
      </c>
      <c r="M374" s="81">
        <f t="shared" si="97"/>
        <v>602</v>
      </c>
      <c r="N374" s="81">
        <v>125</v>
      </c>
      <c r="O374" s="81">
        <v>215</v>
      </c>
      <c r="P374" s="81">
        <f t="shared" si="105"/>
        <v>262</v>
      </c>
      <c r="Q374" s="80">
        <f>IFERROR(VLOOKUP(C374,O.B.JUNE!$C$7:$K$448,7,0),0)</f>
        <v>9273</v>
      </c>
      <c r="R374" s="80">
        <f>IFERROR(VLOOKUP(C374,O.B.JUNE!$C$7:$J$448,8,0),0)</f>
        <v>0</v>
      </c>
      <c r="S374" s="323">
        <f t="shared" si="98"/>
        <v>19518</v>
      </c>
      <c r="T374" s="324">
        <v>10245</v>
      </c>
      <c r="U374" s="324"/>
      <c r="V374" s="80"/>
      <c r="W374" s="324">
        <v>9329</v>
      </c>
      <c r="X374" s="324"/>
      <c r="Y374" s="324">
        <v>7</v>
      </c>
      <c r="Z374" s="80">
        <v>0</v>
      </c>
      <c r="AA374" s="80">
        <f t="shared" si="99"/>
        <v>10245</v>
      </c>
      <c r="AB374" s="323">
        <f t="shared" si="106"/>
        <v>10182</v>
      </c>
      <c r="AC374" s="80">
        <f t="shared" si="107"/>
        <v>0</v>
      </c>
      <c r="AD374" s="80">
        <f t="shared" si="104"/>
        <v>10182</v>
      </c>
      <c r="AE374" s="80"/>
      <c r="AF374" s="80"/>
      <c r="AG374" s="80"/>
      <c r="AH374" s="326">
        <f t="shared" si="100"/>
        <v>0</v>
      </c>
      <c r="AI374" s="326">
        <f t="shared" si="101"/>
        <v>0</v>
      </c>
      <c r="AJ374" s="326">
        <f t="shared" si="102"/>
        <v>0</v>
      </c>
      <c r="AK374" s="326">
        <f t="shared" si="103"/>
        <v>0</v>
      </c>
      <c r="AL374" s="326"/>
      <c r="AM374" s="326"/>
      <c r="AN374" s="326"/>
      <c r="AO374" s="326"/>
      <c r="AP374" s="326"/>
      <c r="AQ374" s="326"/>
      <c r="AR374" s="327"/>
      <c r="AS374" s="209"/>
      <c r="AT374" s="411"/>
      <c r="AU374" s="411"/>
    </row>
    <row r="375" spans="1:47" s="390" customFormat="1" ht="18.75" customHeight="1">
      <c r="A375" s="167">
        <v>369</v>
      </c>
      <c r="B375" s="79" t="str">
        <f>IFERROR(VLOOKUP(A375,O.B.JUNE!$A$7:$C$448,2,0),0)</f>
        <v>ALFANI</v>
      </c>
      <c r="C375" s="174">
        <f>IFERROR(VLOOKUP(A375,O.B.JUNE!$A$7:$C$448,3,0),0)</f>
        <v>100019047</v>
      </c>
      <c r="D375" s="80">
        <f t="shared" si="95"/>
        <v>0</v>
      </c>
      <c r="E375" s="80">
        <f>IFERROR(VLOOKUP(C375,O.B.JUNE!$C$7:$D$448,2,0),0)</f>
        <v>9642</v>
      </c>
      <c r="F375" s="80">
        <f>VLOOKUP(C375,'CUTTING ON JUNE'!$A$4:$D$316,3,0)</f>
        <v>9642</v>
      </c>
      <c r="G375" s="80">
        <f>IFERROR(VLOOKUP(C375,O.B.JUNE!$C$7:$E$448,3,0),0)</f>
        <v>9642</v>
      </c>
      <c r="H375" s="80">
        <f t="shared" si="94"/>
        <v>0</v>
      </c>
      <c r="I375" s="80"/>
      <c r="J375" s="80">
        <f t="shared" si="96"/>
        <v>9264</v>
      </c>
      <c r="K375" s="80">
        <v>0</v>
      </c>
      <c r="L375" s="80">
        <v>0</v>
      </c>
      <c r="M375" s="81">
        <f t="shared" si="97"/>
        <v>378</v>
      </c>
      <c r="N375" s="81"/>
      <c r="O375" s="81">
        <v>0</v>
      </c>
      <c r="P375" s="81">
        <f t="shared" si="105"/>
        <v>378</v>
      </c>
      <c r="Q375" s="80">
        <f>IFERROR(VLOOKUP(C375,O.B.JUNE!$C$7:$K$448,7,0),0)</f>
        <v>0</v>
      </c>
      <c r="R375" s="80">
        <f>IFERROR(VLOOKUP(C375,O.B.JUNE!$C$7:$J$448,8,0),0)</f>
        <v>0</v>
      </c>
      <c r="S375" s="323">
        <f t="shared" si="98"/>
        <v>9264</v>
      </c>
      <c r="T375" s="324">
        <v>9264</v>
      </c>
      <c r="U375" s="324"/>
      <c r="V375" s="80"/>
      <c r="W375" s="324">
        <v>9264</v>
      </c>
      <c r="X375" s="324"/>
      <c r="Y375" s="324">
        <v>0</v>
      </c>
      <c r="Z375" s="80">
        <v>0</v>
      </c>
      <c r="AA375" s="80">
        <f t="shared" si="99"/>
        <v>9264</v>
      </c>
      <c r="AB375" s="323">
        <f t="shared" si="106"/>
        <v>0</v>
      </c>
      <c r="AC375" s="80">
        <f t="shared" si="107"/>
        <v>0</v>
      </c>
      <c r="AD375" s="80">
        <f t="shared" si="104"/>
        <v>0</v>
      </c>
      <c r="AE375" s="80"/>
      <c r="AF375" s="80"/>
      <c r="AG375" s="80"/>
      <c r="AH375" s="326">
        <f t="shared" si="100"/>
        <v>0</v>
      </c>
      <c r="AI375" s="326">
        <f t="shared" si="101"/>
        <v>0</v>
      </c>
      <c r="AJ375" s="326">
        <f t="shared" si="102"/>
        <v>0</v>
      </c>
      <c r="AK375" s="326">
        <f t="shared" si="103"/>
        <v>0</v>
      </c>
      <c r="AL375" s="326"/>
      <c r="AM375" s="326"/>
      <c r="AN375" s="326"/>
      <c r="AO375" s="326"/>
      <c r="AP375" s="326"/>
      <c r="AQ375" s="326"/>
      <c r="AR375" s="327">
        <f>VLOOKUP(C375,'[1]DA HET SAN XUAT'!$D$8:$AJ$419,33,0)</f>
        <v>0</v>
      </c>
      <c r="AS375" s="209"/>
      <c r="AT375" s="411"/>
      <c r="AU375" s="411"/>
    </row>
    <row r="376" spans="1:47" s="390" customFormat="1" ht="18.75" customHeight="1">
      <c r="A376" s="167">
        <v>370</v>
      </c>
      <c r="B376" s="79" t="str">
        <f>IFERROR(VLOOKUP(A376,O.B.JUNE!$A$7:$C$448,2,0),0)</f>
        <v>ANN TAYLOR</v>
      </c>
      <c r="C376" s="174">
        <f>IFERROR(VLOOKUP(A376,O.B.JUNE!$A$7:$C$448,3,0),0)</f>
        <v>466798</v>
      </c>
      <c r="D376" s="80">
        <f t="shared" si="95"/>
        <v>0</v>
      </c>
      <c r="E376" s="80">
        <f>IFERROR(VLOOKUP(C376,O.B.JUNE!$C$7:$D$448,2,0),0)</f>
        <v>4778</v>
      </c>
      <c r="F376" s="80">
        <f>VLOOKUP(C376,'CUTTING ON JUNE'!$A$4:$D$316,3,0)</f>
        <v>4778</v>
      </c>
      <c r="G376" s="80">
        <f>IFERROR(VLOOKUP(C376,O.B.JUNE!$C$7:$E$448,3,0),0)</f>
        <v>548</v>
      </c>
      <c r="H376" s="80">
        <f t="shared" si="94"/>
        <v>0</v>
      </c>
      <c r="I376" s="80"/>
      <c r="J376" s="80">
        <f t="shared" si="96"/>
        <v>455</v>
      </c>
      <c r="K376" s="80">
        <v>0</v>
      </c>
      <c r="L376" s="80">
        <v>0</v>
      </c>
      <c r="M376" s="81">
        <f t="shared" si="97"/>
        <v>93</v>
      </c>
      <c r="N376" s="81"/>
      <c r="O376" s="81">
        <v>32</v>
      </c>
      <c r="P376" s="81">
        <f t="shared" si="105"/>
        <v>61</v>
      </c>
      <c r="Q376" s="80">
        <f>IFERROR(VLOOKUP(C376,O.B.JUNE!$C$7:$K$448,7,0),0)</f>
        <v>137</v>
      </c>
      <c r="R376" s="80">
        <f>IFERROR(VLOOKUP(C376,O.B.JUNE!$C$7:$J$448,8,0),0)</f>
        <v>0</v>
      </c>
      <c r="S376" s="323">
        <f t="shared" si="98"/>
        <v>592</v>
      </c>
      <c r="T376" s="324">
        <v>455</v>
      </c>
      <c r="U376" s="324"/>
      <c r="V376" s="80"/>
      <c r="W376" s="324">
        <v>579</v>
      </c>
      <c r="X376" s="324"/>
      <c r="Y376" s="324">
        <v>0</v>
      </c>
      <c r="Z376" s="80">
        <v>13</v>
      </c>
      <c r="AA376" s="80">
        <f t="shared" si="99"/>
        <v>455</v>
      </c>
      <c r="AB376" s="323">
        <f t="shared" si="106"/>
        <v>0</v>
      </c>
      <c r="AC376" s="80">
        <f t="shared" si="107"/>
        <v>13</v>
      </c>
      <c r="AD376" s="80">
        <f t="shared" si="104"/>
        <v>13</v>
      </c>
      <c r="AE376" s="80"/>
      <c r="AF376" s="80"/>
      <c r="AG376" s="80"/>
      <c r="AH376" s="326">
        <f t="shared" si="100"/>
        <v>0</v>
      </c>
      <c r="AI376" s="326">
        <f t="shared" si="101"/>
        <v>0</v>
      </c>
      <c r="AJ376" s="326">
        <f t="shared" si="102"/>
        <v>0</v>
      </c>
      <c r="AK376" s="326">
        <f t="shared" si="103"/>
        <v>0</v>
      </c>
      <c r="AL376" s="326"/>
      <c r="AM376" s="326"/>
      <c r="AN376" s="326"/>
      <c r="AO376" s="326"/>
      <c r="AP376" s="326"/>
      <c r="AQ376" s="326"/>
      <c r="AR376" s="327">
        <f>VLOOKUP(C376,'[1]DA HET SAN XUAT'!$D$8:$AJ$419,33,0)</f>
        <v>0</v>
      </c>
      <c r="AS376" s="209"/>
      <c r="AT376" s="411"/>
      <c r="AU376" s="411"/>
    </row>
    <row r="377" spans="1:47" s="390" customFormat="1" ht="18.75" customHeight="1">
      <c r="A377" s="167">
        <v>371</v>
      </c>
      <c r="B377" s="79" t="str">
        <f>IFERROR(VLOOKUP(A377,O.B.JUNE!$A$7:$C$448,2,0),0)</f>
        <v>ANN TAYLOR</v>
      </c>
      <c r="C377" s="174">
        <f>IFERROR(VLOOKUP(A377,O.B.JUNE!$A$7:$C$448,3,0),0)</f>
        <v>468921</v>
      </c>
      <c r="D377" s="80">
        <f t="shared" si="95"/>
        <v>0</v>
      </c>
      <c r="E377" s="80">
        <f>IFERROR(VLOOKUP(C377,O.B.JUNE!$C$7:$D$448,2,0),0)</f>
        <v>7087</v>
      </c>
      <c r="F377" s="80">
        <f>VLOOKUP(C377,'CUTTING ON JUNE'!$A$4:$D$316,3,0)</f>
        <v>7087</v>
      </c>
      <c r="G377" s="80">
        <f>IFERROR(VLOOKUP(C377,O.B.JUNE!$C$7:$E$448,3,0),0)</f>
        <v>409</v>
      </c>
      <c r="H377" s="80">
        <f t="shared" si="94"/>
        <v>0</v>
      </c>
      <c r="I377" s="80"/>
      <c r="J377" s="80">
        <f t="shared" si="96"/>
        <v>98</v>
      </c>
      <c r="K377" s="80">
        <v>0</v>
      </c>
      <c r="L377" s="80">
        <v>0</v>
      </c>
      <c r="M377" s="81">
        <f t="shared" si="97"/>
        <v>311</v>
      </c>
      <c r="N377" s="81">
        <v>0</v>
      </c>
      <c r="O377" s="81">
        <v>146</v>
      </c>
      <c r="P377" s="81">
        <f t="shared" si="105"/>
        <v>165</v>
      </c>
      <c r="Q377" s="80">
        <f>IFERROR(VLOOKUP(C377,O.B.JUNE!$C$7:$K$448,7,0),0)</f>
        <v>1428</v>
      </c>
      <c r="R377" s="80">
        <f>IFERROR(VLOOKUP(C377,O.B.JUNE!$C$7:$J$448,8,0),0)</f>
        <v>0</v>
      </c>
      <c r="S377" s="323">
        <f t="shared" si="98"/>
        <v>1526</v>
      </c>
      <c r="T377" s="324">
        <v>98</v>
      </c>
      <c r="U377" s="324"/>
      <c r="V377" s="80"/>
      <c r="W377" s="324">
        <v>1469</v>
      </c>
      <c r="X377" s="324"/>
      <c r="Y377" s="324">
        <v>11</v>
      </c>
      <c r="Z377" s="80">
        <v>46</v>
      </c>
      <c r="AA377" s="80">
        <f t="shared" si="99"/>
        <v>98</v>
      </c>
      <c r="AB377" s="323">
        <f t="shared" si="106"/>
        <v>0</v>
      </c>
      <c r="AC377" s="80">
        <f t="shared" si="107"/>
        <v>46</v>
      </c>
      <c r="AD377" s="80">
        <f t="shared" si="104"/>
        <v>46</v>
      </c>
      <c r="AE377" s="80"/>
      <c r="AF377" s="80"/>
      <c r="AG377" s="80"/>
      <c r="AH377" s="326">
        <f t="shared" si="100"/>
        <v>0</v>
      </c>
      <c r="AI377" s="326">
        <f t="shared" si="101"/>
        <v>0</v>
      </c>
      <c r="AJ377" s="326">
        <f t="shared" si="102"/>
        <v>0</v>
      </c>
      <c r="AK377" s="326">
        <f t="shared" si="103"/>
        <v>0</v>
      </c>
      <c r="AL377" s="326"/>
      <c r="AM377" s="326"/>
      <c r="AN377" s="326"/>
      <c r="AO377" s="326"/>
      <c r="AP377" s="326"/>
      <c r="AQ377" s="326"/>
      <c r="AR377" s="327"/>
      <c r="AS377" s="209"/>
      <c r="AT377" s="411"/>
      <c r="AU377" s="411"/>
    </row>
    <row r="378" spans="1:47" s="390" customFormat="1" ht="18.75" customHeight="1">
      <c r="A378" s="167">
        <v>372</v>
      </c>
      <c r="B378" s="79" t="str">
        <f>IFERROR(VLOOKUP(A378,O.B.JUNE!$A$7:$C$448,2,0),0)</f>
        <v>ANN TAYLOR</v>
      </c>
      <c r="C378" s="174">
        <f>IFERROR(VLOOKUP(A378,O.B.JUNE!$A$7:$C$448,3,0),0)</f>
        <v>469052</v>
      </c>
      <c r="D378" s="80">
        <f t="shared" si="95"/>
        <v>0</v>
      </c>
      <c r="E378" s="80">
        <f>IFERROR(VLOOKUP(C378,O.B.JUNE!$C$7:$D$448,2,0),0)</f>
        <v>11443</v>
      </c>
      <c r="F378" s="80">
        <f>VLOOKUP(C378,'CUTTING ON JUNE'!$A$4:$D$316,3,0)</f>
        <v>11443</v>
      </c>
      <c r="G378" s="80">
        <f>IFERROR(VLOOKUP(C378,O.B.JUNE!$C$7:$E$448,3,0),0)</f>
        <v>907</v>
      </c>
      <c r="H378" s="80">
        <f t="shared" si="94"/>
        <v>0</v>
      </c>
      <c r="I378" s="80"/>
      <c r="J378" s="80">
        <f t="shared" si="96"/>
        <v>11</v>
      </c>
      <c r="K378" s="80">
        <v>0</v>
      </c>
      <c r="L378" s="80">
        <v>0</v>
      </c>
      <c r="M378" s="81">
        <f t="shared" si="97"/>
        <v>896</v>
      </c>
      <c r="N378" s="81">
        <v>0</v>
      </c>
      <c r="O378" s="81">
        <v>452</v>
      </c>
      <c r="P378" s="81">
        <f t="shared" si="105"/>
        <v>444</v>
      </c>
      <c r="Q378" s="80">
        <f>IFERROR(VLOOKUP(C378,O.B.JUNE!$C$7:$K$448,7,0),0)</f>
        <v>615</v>
      </c>
      <c r="R378" s="80">
        <f>IFERROR(VLOOKUP(C378,O.B.JUNE!$C$7:$J$448,8,0),0)</f>
        <v>0</v>
      </c>
      <c r="S378" s="323">
        <f t="shared" si="98"/>
        <v>626</v>
      </c>
      <c r="T378" s="324">
        <v>11</v>
      </c>
      <c r="U378" s="324"/>
      <c r="V378" s="80"/>
      <c r="W378" s="324">
        <v>616</v>
      </c>
      <c r="X378" s="324"/>
      <c r="Y378" s="324">
        <v>10</v>
      </c>
      <c r="Z378" s="80">
        <v>0</v>
      </c>
      <c r="AA378" s="80">
        <f t="shared" si="99"/>
        <v>11</v>
      </c>
      <c r="AB378" s="323">
        <f t="shared" si="106"/>
        <v>0</v>
      </c>
      <c r="AC378" s="80">
        <f t="shared" si="107"/>
        <v>0</v>
      </c>
      <c r="AD378" s="80">
        <f t="shared" si="104"/>
        <v>0</v>
      </c>
      <c r="AE378" s="80"/>
      <c r="AF378" s="80"/>
      <c r="AG378" s="80"/>
      <c r="AH378" s="326">
        <f t="shared" si="100"/>
        <v>0</v>
      </c>
      <c r="AI378" s="326">
        <f t="shared" si="101"/>
        <v>0</v>
      </c>
      <c r="AJ378" s="326">
        <f t="shared" si="102"/>
        <v>0</v>
      </c>
      <c r="AK378" s="326">
        <f t="shared" si="103"/>
        <v>0</v>
      </c>
      <c r="AL378" s="326"/>
      <c r="AM378" s="326"/>
      <c r="AN378" s="326"/>
      <c r="AO378" s="326"/>
      <c r="AP378" s="326"/>
      <c r="AQ378" s="326"/>
      <c r="AR378" s="327">
        <f>VLOOKUP(C378,'[1]DA HET SAN XUAT'!$D$8:$AJ$419,33,0)</f>
        <v>0</v>
      </c>
      <c r="AS378" s="209"/>
      <c r="AT378" s="411"/>
      <c r="AU378" s="411"/>
    </row>
    <row r="379" spans="1:47" s="390" customFormat="1" ht="18.75" customHeight="1">
      <c r="A379" s="167">
        <v>373</v>
      </c>
      <c r="B379" s="79" t="str">
        <f>IFERROR(VLOOKUP(A379,O.B.JUNE!$A$7:$C$448,2,0),0)</f>
        <v>ANN TAYLOR</v>
      </c>
      <c r="C379" s="174">
        <f>IFERROR(VLOOKUP(A379,O.B.JUNE!$A$7:$C$448,3,0),0)</f>
        <v>469493</v>
      </c>
      <c r="D379" s="80">
        <f t="shared" si="95"/>
        <v>0</v>
      </c>
      <c r="E379" s="80">
        <f>IFERROR(VLOOKUP(C379,O.B.JUNE!$C$7:$D$448,2,0),0)</f>
        <v>4427</v>
      </c>
      <c r="F379" s="80">
        <f>VLOOKUP(C379,'CUTTING ON JUNE'!$A$4:$D$316,3,0)</f>
        <v>4427</v>
      </c>
      <c r="G379" s="80">
        <f>IFERROR(VLOOKUP(C379,O.B.JUNE!$C$7:$E$448,3,0),0)</f>
        <v>628</v>
      </c>
      <c r="H379" s="80">
        <f t="shared" si="94"/>
        <v>0</v>
      </c>
      <c r="I379" s="80"/>
      <c r="J379" s="80">
        <f t="shared" si="96"/>
        <v>392</v>
      </c>
      <c r="K379" s="80">
        <v>0</v>
      </c>
      <c r="L379" s="80">
        <v>0</v>
      </c>
      <c r="M379" s="81">
        <f t="shared" si="97"/>
        <v>236</v>
      </c>
      <c r="N379" s="81">
        <v>0</v>
      </c>
      <c r="O379" s="81">
        <v>31</v>
      </c>
      <c r="P379" s="81">
        <f t="shared" si="105"/>
        <v>205</v>
      </c>
      <c r="Q379" s="80">
        <f>IFERROR(VLOOKUP(C379,O.B.JUNE!$C$7:$K$448,7,0),0)</f>
        <v>229</v>
      </c>
      <c r="R379" s="80">
        <f>IFERROR(VLOOKUP(C379,O.B.JUNE!$C$7:$J$448,8,0),0)</f>
        <v>1</v>
      </c>
      <c r="S379" s="323">
        <f t="shared" si="98"/>
        <v>622</v>
      </c>
      <c r="T379" s="324">
        <v>392</v>
      </c>
      <c r="U379" s="324"/>
      <c r="V379" s="80"/>
      <c r="W379" s="324">
        <v>600</v>
      </c>
      <c r="X379" s="324"/>
      <c r="Y379" s="324">
        <v>6</v>
      </c>
      <c r="Z379" s="80">
        <v>15</v>
      </c>
      <c r="AA379" s="80">
        <f t="shared" si="99"/>
        <v>392</v>
      </c>
      <c r="AB379" s="323">
        <f t="shared" si="106"/>
        <v>0</v>
      </c>
      <c r="AC379" s="80">
        <f t="shared" si="107"/>
        <v>16</v>
      </c>
      <c r="AD379" s="80">
        <f t="shared" si="104"/>
        <v>16</v>
      </c>
      <c r="AE379" s="80"/>
      <c r="AF379" s="80"/>
      <c r="AG379" s="80"/>
      <c r="AH379" s="326">
        <f t="shared" si="100"/>
        <v>0</v>
      </c>
      <c r="AI379" s="326">
        <f t="shared" si="101"/>
        <v>0</v>
      </c>
      <c r="AJ379" s="326">
        <f t="shared" si="102"/>
        <v>0</v>
      </c>
      <c r="AK379" s="326">
        <f t="shared" si="103"/>
        <v>0</v>
      </c>
      <c r="AL379" s="326"/>
      <c r="AM379" s="326"/>
      <c r="AN379" s="326"/>
      <c r="AO379" s="326"/>
      <c r="AP379" s="326"/>
      <c r="AQ379" s="326"/>
      <c r="AR379" s="327">
        <f>VLOOKUP(C379,'[1]DA HET SAN XUAT'!$D$8:$AJ$419,33,0)</f>
        <v>0</v>
      </c>
      <c r="AS379" s="209"/>
      <c r="AT379" s="411"/>
      <c r="AU379" s="411"/>
    </row>
    <row r="380" spans="1:47" s="390" customFormat="1" ht="18.75" customHeight="1">
      <c r="A380" s="167">
        <v>374</v>
      </c>
      <c r="B380" s="79" t="str">
        <f>IFERROR(VLOOKUP(A380,O.B.JUNE!$A$7:$C$448,2,0),0)</f>
        <v>ANN TAYLOR</v>
      </c>
      <c r="C380" s="174">
        <f>IFERROR(VLOOKUP(A380,O.B.JUNE!$A$7:$C$448,3,0),0)</f>
        <v>470238</v>
      </c>
      <c r="D380" s="80">
        <f t="shared" si="95"/>
        <v>0</v>
      </c>
      <c r="E380" s="80">
        <f>IFERROR(VLOOKUP(C380,O.B.JUNE!$C$7:$D$448,2,0),0)</f>
        <v>5770</v>
      </c>
      <c r="F380" s="80">
        <f>VLOOKUP(C380,'CUTTING ON JUNE'!$A$4:$D$316,3,0)</f>
        <v>5770</v>
      </c>
      <c r="G380" s="80">
        <f>IFERROR(VLOOKUP(C380,O.B.JUNE!$C$7:$E$448,3,0),0)</f>
        <v>870</v>
      </c>
      <c r="H380" s="80">
        <f t="shared" si="94"/>
        <v>0</v>
      </c>
      <c r="I380" s="80"/>
      <c r="J380" s="80">
        <f t="shared" si="96"/>
        <v>12</v>
      </c>
      <c r="K380" s="80">
        <v>0</v>
      </c>
      <c r="L380" s="80">
        <v>0</v>
      </c>
      <c r="M380" s="81">
        <f t="shared" si="97"/>
        <v>858</v>
      </c>
      <c r="N380" s="81">
        <v>11</v>
      </c>
      <c r="O380" s="81">
        <v>793</v>
      </c>
      <c r="P380" s="81">
        <f t="shared" si="105"/>
        <v>54</v>
      </c>
      <c r="Q380" s="80">
        <f>IFERROR(VLOOKUP(C380,O.B.JUNE!$C$7:$K$448,7,0),0)</f>
        <v>300</v>
      </c>
      <c r="R380" s="80">
        <f>IFERROR(VLOOKUP(C380,O.B.JUNE!$C$7:$J$448,8,0),0)</f>
        <v>66</v>
      </c>
      <c r="S380" s="323">
        <f t="shared" si="98"/>
        <v>378</v>
      </c>
      <c r="T380" s="324">
        <v>12</v>
      </c>
      <c r="U380" s="324"/>
      <c r="V380" s="80"/>
      <c r="W380" s="324">
        <v>300</v>
      </c>
      <c r="X380" s="324"/>
      <c r="Y380" s="324">
        <v>12</v>
      </c>
      <c r="Z380" s="80">
        <v>0</v>
      </c>
      <c r="AA380" s="80">
        <f t="shared" si="99"/>
        <v>12</v>
      </c>
      <c r="AB380" s="323">
        <f t="shared" si="106"/>
        <v>0</v>
      </c>
      <c r="AC380" s="80">
        <f t="shared" si="107"/>
        <v>66</v>
      </c>
      <c r="AD380" s="80">
        <f t="shared" si="104"/>
        <v>66</v>
      </c>
      <c r="AE380" s="80"/>
      <c r="AF380" s="80"/>
      <c r="AG380" s="80"/>
      <c r="AH380" s="326">
        <f t="shared" si="100"/>
        <v>0</v>
      </c>
      <c r="AI380" s="326">
        <f t="shared" si="101"/>
        <v>0</v>
      </c>
      <c r="AJ380" s="326">
        <f t="shared" si="102"/>
        <v>0</v>
      </c>
      <c r="AK380" s="326">
        <f t="shared" si="103"/>
        <v>0</v>
      </c>
      <c r="AL380" s="326"/>
      <c r="AM380" s="326"/>
      <c r="AN380" s="326"/>
      <c r="AO380" s="326"/>
      <c r="AP380" s="326"/>
      <c r="AQ380" s="326"/>
      <c r="AR380" s="327"/>
      <c r="AS380" s="209"/>
      <c r="AT380" s="411"/>
      <c r="AU380" s="411"/>
    </row>
    <row r="381" spans="1:47" s="499" customFormat="1" ht="18.75" customHeight="1">
      <c r="A381" s="490">
        <v>375</v>
      </c>
      <c r="B381" s="491" t="str">
        <f>IFERROR(VLOOKUP(A381,O.B.JUNE!$A$7:$C$448,2,0),0)</f>
        <v>ANN TAYLOR</v>
      </c>
      <c r="C381" s="174">
        <f>IFERROR(VLOOKUP(A381,O.B.JUNE!$A$7:$C$448,3,0),0)</f>
        <v>470342</v>
      </c>
      <c r="D381" s="492">
        <f t="shared" si="95"/>
        <v>0</v>
      </c>
      <c r="E381" s="492">
        <f>IFERROR(VLOOKUP(C381,O.B.JUNE!$C$7:$D$448,2,0),0)</f>
        <v>14771</v>
      </c>
      <c r="F381" s="492">
        <f>VLOOKUP(C381,'CUTTING ON JUNE'!$A$4:$D$316,3,0)</f>
        <v>14771</v>
      </c>
      <c r="G381" s="492">
        <f>IFERROR(VLOOKUP(C381,O.B.JUNE!$C$7:$E$448,3,0),0)</f>
        <v>1426</v>
      </c>
      <c r="H381" s="492">
        <f t="shared" si="94"/>
        <v>0</v>
      </c>
      <c r="I381" s="492"/>
      <c r="J381" s="492">
        <f t="shared" si="96"/>
        <v>0</v>
      </c>
      <c r="K381" s="492">
        <v>0</v>
      </c>
      <c r="L381" s="492">
        <v>0</v>
      </c>
      <c r="M381" s="493">
        <f t="shared" si="97"/>
        <v>1426</v>
      </c>
      <c r="N381" s="493">
        <v>0</v>
      </c>
      <c r="O381" s="493">
        <v>138</v>
      </c>
      <c r="P381" s="493">
        <f t="shared" si="105"/>
        <v>1288</v>
      </c>
      <c r="Q381" s="492">
        <f>IFERROR(VLOOKUP(C381,O.B.JUNE!$C$7:$K$448,7,0),0)</f>
        <v>1124</v>
      </c>
      <c r="R381" s="492">
        <f>IFERROR(VLOOKUP(C381,O.B.JUNE!$C$7:$J$448,8,0),0)</f>
        <v>1</v>
      </c>
      <c r="S381" s="494">
        <f t="shared" si="98"/>
        <v>1125</v>
      </c>
      <c r="T381" s="495">
        <v>0</v>
      </c>
      <c r="U381" s="324"/>
      <c r="V381" s="492"/>
      <c r="W381" s="495">
        <v>732</v>
      </c>
      <c r="X381" s="495"/>
      <c r="Y381" s="495">
        <v>0</v>
      </c>
      <c r="Z381" s="492">
        <f>378+14</f>
        <v>392</v>
      </c>
      <c r="AA381" s="492">
        <f t="shared" si="99"/>
        <v>0</v>
      </c>
      <c r="AB381" s="323">
        <f t="shared" si="106"/>
        <v>0</v>
      </c>
      <c r="AC381" s="80">
        <f t="shared" si="107"/>
        <v>393</v>
      </c>
      <c r="AD381" s="492">
        <f t="shared" si="104"/>
        <v>393</v>
      </c>
      <c r="AE381" s="492"/>
      <c r="AF381" s="492"/>
      <c r="AG381" s="492"/>
      <c r="AH381" s="496">
        <f t="shared" si="100"/>
        <v>0</v>
      </c>
      <c r="AI381" s="496">
        <f t="shared" si="101"/>
        <v>0</v>
      </c>
      <c r="AJ381" s="496">
        <f t="shared" si="102"/>
        <v>0</v>
      </c>
      <c r="AK381" s="496">
        <f t="shared" si="103"/>
        <v>0</v>
      </c>
      <c r="AL381" s="326"/>
      <c r="AM381" s="326"/>
      <c r="AN381" s="496"/>
      <c r="AO381" s="326"/>
      <c r="AP381" s="326"/>
      <c r="AQ381" s="496"/>
      <c r="AR381" s="327"/>
      <c r="AS381" s="497"/>
      <c r="AT381" s="498"/>
      <c r="AU381" s="498"/>
    </row>
    <row r="382" spans="1:47" s="390" customFormat="1" ht="18.75" customHeight="1">
      <c r="A382" s="167">
        <v>376</v>
      </c>
      <c r="B382" s="79" t="str">
        <f>IFERROR(VLOOKUP(A382,O.B.JUNE!$A$7:$C$448,2,0),0)</f>
        <v>ANN TAYLOR</v>
      </c>
      <c r="C382" s="174">
        <f>IFERROR(VLOOKUP(A382,O.B.JUNE!$A$7:$C$448,3,0),0)</f>
        <v>474049</v>
      </c>
      <c r="D382" s="80">
        <f t="shared" si="95"/>
        <v>0</v>
      </c>
      <c r="E382" s="80">
        <f>IFERROR(VLOOKUP(C382,O.B.JUNE!$C$7:$D$448,2,0),0)</f>
        <v>11355</v>
      </c>
      <c r="F382" s="80">
        <f>VLOOKUP(C382,'CUTTING ON JUNE'!$A$4:$D$316,3,0)</f>
        <v>11355</v>
      </c>
      <c r="G382" s="80">
        <f>IFERROR(VLOOKUP(C382,O.B.JUNE!$C$7:$E$448,3,0),0)</f>
        <v>983</v>
      </c>
      <c r="H382" s="80">
        <f t="shared" si="94"/>
        <v>0</v>
      </c>
      <c r="I382" s="80"/>
      <c r="J382" s="80">
        <f t="shared" si="96"/>
        <v>0</v>
      </c>
      <c r="K382" s="80">
        <v>0</v>
      </c>
      <c r="L382" s="80">
        <v>0</v>
      </c>
      <c r="M382" s="81">
        <f t="shared" si="97"/>
        <v>983</v>
      </c>
      <c r="N382" s="81">
        <v>3</v>
      </c>
      <c r="O382" s="81">
        <v>73</v>
      </c>
      <c r="P382" s="81">
        <f t="shared" si="105"/>
        <v>907</v>
      </c>
      <c r="Q382" s="80">
        <f>IFERROR(VLOOKUP(C382,O.B.JUNE!$C$7:$K$448,7,0),0)</f>
        <v>0</v>
      </c>
      <c r="R382" s="80">
        <f>IFERROR(VLOOKUP(C382,O.B.JUNE!$C$7:$J$448,8,0),0)</f>
        <v>107</v>
      </c>
      <c r="S382" s="323">
        <f t="shared" si="98"/>
        <v>107</v>
      </c>
      <c r="T382" s="324">
        <v>0</v>
      </c>
      <c r="U382" s="324"/>
      <c r="V382" s="80"/>
      <c r="W382" s="324">
        <v>0</v>
      </c>
      <c r="X382" s="324"/>
      <c r="Y382" s="324">
        <v>0</v>
      </c>
      <c r="Z382" s="80">
        <v>0</v>
      </c>
      <c r="AA382" s="80">
        <f t="shared" si="99"/>
        <v>0</v>
      </c>
      <c r="AB382" s="323">
        <f t="shared" si="106"/>
        <v>0</v>
      </c>
      <c r="AC382" s="80">
        <f t="shared" si="107"/>
        <v>107</v>
      </c>
      <c r="AD382" s="80">
        <f t="shared" si="104"/>
        <v>107</v>
      </c>
      <c r="AE382" s="80"/>
      <c r="AF382" s="80"/>
      <c r="AG382" s="80"/>
      <c r="AH382" s="326">
        <f t="shared" si="100"/>
        <v>0</v>
      </c>
      <c r="AI382" s="326">
        <f t="shared" si="101"/>
        <v>0</v>
      </c>
      <c r="AJ382" s="326">
        <f t="shared" si="102"/>
        <v>0</v>
      </c>
      <c r="AK382" s="326">
        <f t="shared" si="103"/>
        <v>0</v>
      </c>
      <c r="AL382" s="326"/>
      <c r="AM382" s="326"/>
      <c r="AN382" s="326"/>
      <c r="AO382" s="326"/>
      <c r="AP382" s="326"/>
      <c r="AQ382" s="326"/>
      <c r="AR382" s="327"/>
      <c r="AS382" s="209"/>
      <c r="AT382" s="411"/>
      <c r="AU382" s="411"/>
    </row>
    <row r="383" spans="1:47" s="390" customFormat="1" ht="18.75" customHeight="1">
      <c r="A383" s="167">
        <v>377</v>
      </c>
      <c r="B383" s="79" t="str">
        <f>IFERROR(VLOOKUP(A383,O.B.JUNE!$A$7:$C$448,2,0),0)</f>
        <v>ANN TAYLOR</v>
      </c>
      <c r="C383" s="174">
        <f>IFERROR(VLOOKUP(A383,O.B.JUNE!$A$7:$C$448,3,0),0)</f>
        <v>474816</v>
      </c>
      <c r="D383" s="80">
        <f t="shared" si="95"/>
        <v>0</v>
      </c>
      <c r="E383" s="80">
        <f>IFERROR(VLOOKUP(C383,O.B.JUNE!$C$7:$D$448,2,0),0)</f>
        <v>8587</v>
      </c>
      <c r="F383" s="80">
        <f>VLOOKUP(C383,'CUTTING ON JUNE'!$A$4:$D$316,3,0)</f>
        <v>8587</v>
      </c>
      <c r="G383" s="80">
        <f>IFERROR(VLOOKUP(C383,O.B.JUNE!$C$7:$E$448,3,0),0)</f>
        <v>646</v>
      </c>
      <c r="H383" s="80">
        <f t="shared" si="94"/>
        <v>0</v>
      </c>
      <c r="I383" s="80"/>
      <c r="J383" s="80">
        <f t="shared" si="96"/>
        <v>190</v>
      </c>
      <c r="K383" s="80">
        <v>0</v>
      </c>
      <c r="L383" s="80">
        <v>0</v>
      </c>
      <c r="M383" s="81">
        <f t="shared" si="97"/>
        <v>456</v>
      </c>
      <c r="N383" s="81"/>
      <c r="O383" s="81">
        <v>150</v>
      </c>
      <c r="P383" s="81">
        <f t="shared" si="105"/>
        <v>306</v>
      </c>
      <c r="Q383" s="80">
        <f>IFERROR(VLOOKUP(C383,O.B.JUNE!$C$7:$K$448,7,0),0)</f>
        <v>890</v>
      </c>
      <c r="R383" s="80">
        <f>IFERROR(VLOOKUP(C383,O.B.JUNE!$C$7:$J$448,8,0),0)</f>
        <v>1</v>
      </c>
      <c r="S383" s="323">
        <f t="shared" si="98"/>
        <v>1081</v>
      </c>
      <c r="T383" s="324">
        <v>190</v>
      </c>
      <c r="U383" s="324"/>
      <c r="V383" s="80"/>
      <c r="W383" s="324">
        <v>1000</v>
      </c>
      <c r="X383" s="324"/>
      <c r="Y383" s="324">
        <v>12</v>
      </c>
      <c r="Z383" s="80">
        <v>68</v>
      </c>
      <c r="AA383" s="80">
        <f t="shared" si="99"/>
        <v>190</v>
      </c>
      <c r="AB383" s="323">
        <f t="shared" si="106"/>
        <v>0</v>
      </c>
      <c r="AC383" s="80">
        <f t="shared" si="107"/>
        <v>69</v>
      </c>
      <c r="AD383" s="80">
        <f t="shared" si="104"/>
        <v>69</v>
      </c>
      <c r="AE383" s="80"/>
      <c r="AF383" s="80"/>
      <c r="AG383" s="80"/>
      <c r="AH383" s="326">
        <f t="shared" si="100"/>
        <v>0</v>
      </c>
      <c r="AI383" s="326">
        <f t="shared" si="101"/>
        <v>0</v>
      </c>
      <c r="AJ383" s="326">
        <f t="shared" si="102"/>
        <v>0</v>
      </c>
      <c r="AK383" s="326">
        <f t="shared" si="103"/>
        <v>0</v>
      </c>
      <c r="AL383" s="326"/>
      <c r="AM383" s="326"/>
      <c r="AN383" s="326"/>
      <c r="AO383" s="326"/>
      <c r="AP383" s="326"/>
      <c r="AQ383" s="326"/>
      <c r="AR383" s="327">
        <f>VLOOKUP(C383,'[1]DA HET SAN XUAT'!$D$8:$AJ$419,33,0)</f>
        <v>0</v>
      </c>
      <c r="AS383" s="209"/>
      <c r="AT383" s="411"/>
      <c r="AU383" s="411"/>
    </row>
    <row r="384" spans="1:47" s="390" customFormat="1" ht="18.75" customHeight="1">
      <c r="A384" s="167">
        <v>378</v>
      </c>
      <c r="B384" s="79" t="str">
        <f>IFERROR(VLOOKUP(A384,O.B.JUNE!$A$7:$C$448,2,0),0)</f>
        <v>ANN TAYLOR</v>
      </c>
      <c r="C384" s="174">
        <f>IFERROR(VLOOKUP(A384,O.B.JUNE!$A$7:$C$448,3,0),0)</f>
        <v>471157</v>
      </c>
      <c r="D384" s="80">
        <f t="shared" si="95"/>
        <v>0</v>
      </c>
      <c r="E384" s="80">
        <f>IFERROR(VLOOKUP(C384,O.B.JUNE!$C$7:$D$448,2,0),0)</f>
        <v>3170</v>
      </c>
      <c r="F384" s="80">
        <f>VLOOKUP(C384,'CUTTING ON JUNE'!$A$4:$D$316,3,0)</f>
        <v>3170</v>
      </c>
      <c r="G384" s="80">
        <f>IFERROR(VLOOKUP(C384,O.B.JUNE!$C$7:$E$448,3,0),0)</f>
        <v>94</v>
      </c>
      <c r="H384" s="80">
        <f t="shared" si="94"/>
        <v>0</v>
      </c>
      <c r="I384" s="80"/>
      <c r="J384" s="80">
        <f t="shared" si="96"/>
        <v>0</v>
      </c>
      <c r="K384" s="80">
        <v>0</v>
      </c>
      <c r="L384" s="80">
        <v>0</v>
      </c>
      <c r="M384" s="81">
        <f t="shared" si="97"/>
        <v>94</v>
      </c>
      <c r="N384" s="81">
        <v>0</v>
      </c>
      <c r="O384" s="81">
        <v>35</v>
      </c>
      <c r="P384" s="81">
        <f t="shared" si="105"/>
        <v>59</v>
      </c>
      <c r="Q384" s="80">
        <f>IFERROR(VLOOKUP(C384,O.B.JUNE!$C$7:$K$448,7,0),0)</f>
        <v>0</v>
      </c>
      <c r="R384" s="80">
        <f>IFERROR(VLOOKUP(C384,O.B.JUNE!$C$7:$J$448,8,0),0)</f>
        <v>28</v>
      </c>
      <c r="S384" s="323">
        <f t="shared" si="98"/>
        <v>28</v>
      </c>
      <c r="T384" s="324">
        <v>0</v>
      </c>
      <c r="U384" s="324"/>
      <c r="V384" s="80"/>
      <c r="W384" s="324">
        <v>0</v>
      </c>
      <c r="X384" s="324"/>
      <c r="Y384" s="324">
        <v>0</v>
      </c>
      <c r="Z384" s="80">
        <v>0</v>
      </c>
      <c r="AA384" s="80">
        <f t="shared" si="99"/>
        <v>0</v>
      </c>
      <c r="AB384" s="323">
        <f t="shared" si="106"/>
        <v>0</v>
      </c>
      <c r="AC384" s="80">
        <f t="shared" si="107"/>
        <v>28</v>
      </c>
      <c r="AD384" s="80">
        <f t="shared" si="104"/>
        <v>28</v>
      </c>
      <c r="AE384" s="80"/>
      <c r="AF384" s="80"/>
      <c r="AG384" s="80"/>
      <c r="AH384" s="326">
        <f t="shared" si="100"/>
        <v>0</v>
      </c>
      <c r="AI384" s="326">
        <f t="shared" si="101"/>
        <v>0</v>
      </c>
      <c r="AJ384" s="326">
        <f t="shared" si="102"/>
        <v>0</v>
      </c>
      <c r="AK384" s="326">
        <f t="shared" si="103"/>
        <v>0</v>
      </c>
      <c r="AL384" s="326"/>
      <c r="AM384" s="326"/>
      <c r="AN384" s="326"/>
      <c r="AO384" s="326"/>
      <c r="AP384" s="326"/>
      <c r="AQ384" s="326"/>
      <c r="AR384" s="327">
        <f>VLOOKUP(C384,'[1]DA HET SAN XUAT'!$D$8:$AJ$419,33,0)</f>
        <v>0</v>
      </c>
      <c r="AS384" s="209"/>
      <c r="AT384" s="411"/>
      <c r="AU384" s="411"/>
    </row>
    <row r="385" spans="1:47" s="390" customFormat="1" ht="18.75" customHeight="1">
      <c r="A385" s="167">
        <v>379</v>
      </c>
      <c r="B385" s="79" t="str">
        <f>IFERROR(VLOOKUP(A385,O.B.JUNE!$A$7:$C$448,2,0),0)</f>
        <v>ANN TAYLOR</v>
      </c>
      <c r="C385" s="174">
        <f>IFERROR(VLOOKUP(A385,O.B.JUNE!$A$7:$C$448,3,0),0)</f>
        <v>482924</v>
      </c>
      <c r="D385" s="80">
        <f t="shared" si="95"/>
        <v>0</v>
      </c>
      <c r="E385" s="80">
        <f>IFERROR(VLOOKUP(C385,O.B.JUNE!$C$7:$D$448,2,0),0)</f>
        <v>1234</v>
      </c>
      <c r="F385" s="80">
        <f>VLOOKUP(C385,'CUTTING ON JUNE'!$A$4:$D$316,3,0)</f>
        <v>1234</v>
      </c>
      <c r="G385" s="80">
        <f>IFERROR(VLOOKUP(C385,O.B.JUNE!$C$7:$E$448,3,0),0)</f>
        <v>70</v>
      </c>
      <c r="H385" s="80">
        <f t="shared" si="94"/>
        <v>0</v>
      </c>
      <c r="I385" s="80"/>
      <c r="J385" s="80">
        <f t="shared" si="96"/>
        <v>8</v>
      </c>
      <c r="K385" s="80">
        <v>0</v>
      </c>
      <c r="L385" s="80">
        <v>0</v>
      </c>
      <c r="M385" s="81">
        <f t="shared" si="97"/>
        <v>62</v>
      </c>
      <c r="N385" s="81"/>
      <c r="O385" s="81">
        <v>11</v>
      </c>
      <c r="P385" s="81">
        <f t="shared" si="105"/>
        <v>51</v>
      </c>
      <c r="Q385" s="80">
        <f>IFERROR(VLOOKUP(C385,O.B.JUNE!$C$7:$K$448,7,0),0)</f>
        <v>0</v>
      </c>
      <c r="R385" s="80">
        <f>IFERROR(VLOOKUP(C385,O.B.JUNE!$C$7:$J$448,8,0),0)</f>
        <v>114</v>
      </c>
      <c r="S385" s="323">
        <f t="shared" si="98"/>
        <v>122</v>
      </c>
      <c r="T385" s="324">
        <v>8</v>
      </c>
      <c r="U385" s="324"/>
      <c r="V385" s="80"/>
      <c r="W385" s="324">
        <v>0</v>
      </c>
      <c r="X385" s="324"/>
      <c r="Y385" s="324">
        <v>8</v>
      </c>
      <c r="Z385" s="80">
        <v>0</v>
      </c>
      <c r="AA385" s="80">
        <f t="shared" si="99"/>
        <v>8</v>
      </c>
      <c r="AB385" s="323">
        <f t="shared" si="106"/>
        <v>0</v>
      </c>
      <c r="AC385" s="80">
        <f t="shared" si="107"/>
        <v>114</v>
      </c>
      <c r="AD385" s="80">
        <f t="shared" si="104"/>
        <v>114</v>
      </c>
      <c r="AE385" s="80"/>
      <c r="AF385" s="80"/>
      <c r="AG385" s="80"/>
      <c r="AH385" s="326">
        <f t="shared" si="100"/>
        <v>0</v>
      </c>
      <c r="AI385" s="326">
        <f t="shared" si="101"/>
        <v>0</v>
      </c>
      <c r="AJ385" s="326">
        <f t="shared" si="102"/>
        <v>0</v>
      </c>
      <c r="AK385" s="326">
        <f t="shared" si="103"/>
        <v>0</v>
      </c>
      <c r="AL385" s="326"/>
      <c r="AM385" s="326"/>
      <c r="AN385" s="326"/>
      <c r="AO385" s="326"/>
      <c r="AP385" s="326"/>
      <c r="AQ385" s="326"/>
      <c r="AR385" s="327"/>
      <c r="AS385" s="209"/>
      <c r="AT385" s="411"/>
      <c r="AU385" s="411"/>
    </row>
    <row r="386" spans="1:47" s="390" customFormat="1" ht="18.75" customHeight="1">
      <c r="A386" s="167">
        <v>380</v>
      </c>
      <c r="B386" s="79" t="str">
        <f>IFERROR(VLOOKUP(A386,O.B.JUNE!$A$7:$C$448,2,0),0)</f>
        <v>ANN TAYLOR</v>
      </c>
      <c r="C386" s="174">
        <f>IFERROR(VLOOKUP(A386,O.B.JUNE!$A$7:$C$448,3,0),0)</f>
        <v>466742</v>
      </c>
      <c r="D386" s="80">
        <f t="shared" si="95"/>
        <v>610</v>
      </c>
      <c r="E386" s="80">
        <f>IFERROR(VLOOKUP(C386,O.B.JUNE!$C$7:$D$448,2,0),0)</f>
        <v>19531</v>
      </c>
      <c r="F386" s="80">
        <f>VLOOKUP(C386,'CUTTING ON JUNE'!$A$4:$D$316,3,0)</f>
        <v>20141</v>
      </c>
      <c r="G386" s="80">
        <f>IFERROR(VLOOKUP(C386,O.B.JUNE!$C$7:$E$448,3,0),0)</f>
        <v>883</v>
      </c>
      <c r="H386" s="80">
        <f t="shared" si="94"/>
        <v>610</v>
      </c>
      <c r="I386" s="80"/>
      <c r="J386" s="80">
        <f t="shared" si="96"/>
        <v>571</v>
      </c>
      <c r="K386" s="80">
        <v>0</v>
      </c>
      <c r="L386" s="80">
        <v>0</v>
      </c>
      <c r="M386" s="81">
        <f t="shared" si="97"/>
        <v>922</v>
      </c>
      <c r="N386" s="81">
        <v>0</v>
      </c>
      <c r="O386" s="81">
        <v>474</v>
      </c>
      <c r="P386" s="81">
        <f t="shared" si="105"/>
        <v>448</v>
      </c>
      <c r="Q386" s="80">
        <f>IFERROR(VLOOKUP(C386,O.B.JUNE!$C$7:$K$448,7,0),0)</f>
        <v>17628</v>
      </c>
      <c r="R386" s="80">
        <f>IFERROR(VLOOKUP(C386,O.B.JUNE!$C$7:$J$448,8,0),0)</f>
        <v>0</v>
      </c>
      <c r="S386" s="323">
        <f t="shared" si="98"/>
        <v>18199</v>
      </c>
      <c r="T386" s="324">
        <v>571</v>
      </c>
      <c r="U386" s="324"/>
      <c r="V386" s="80"/>
      <c r="W386" s="324">
        <v>17958</v>
      </c>
      <c r="X386" s="324"/>
      <c r="Y386" s="324">
        <v>20</v>
      </c>
      <c r="Z386" s="80">
        <v>221</v>
      </c>
      <c r="AA386" s="80">
        <f t="shared" si="99"/>
        <v>571</v>
      </c>
      <c r="AB386" s="323">
        <f t="shared" si="106"/>
        <v>0</v>
      </c>
      <c r="AC386" s="80">
        <f t="shared" si="107"/>
        <v>221</v>
      </c>
      <c r="AD386" s="80">
        <f t="shared" si="104"/>
        <v>221</v>
      </c>
      <c r="AE386" s="80"/>
      <c r="AF386" s="80"/>
      <c r="AG386" s="80"/>
      <c r="AH386" s="326">
        <f t="shared" si="100"/>
        <v>0</v>
      </c>
      <c r="AI386" s="326">
        <f t="shared" si="101"/>
        <v>0</v>
      </c>
      <c r="AJ386" s="326">
        <f t="shared" si="102"/>
        <v>0</v>
      </c>
      <c r="AK386" s="326">
        <f t="shared" si="103"/>
        <v>0</v>
      </c>
      <c r="AL386" s="326"/>
      <c r="AM386" s="326"/>
      <c r="AN386" s="326"/>
      <c r="AO386" s="326"/>
      <c r="AP386" s="326"/>
      <c r="AQ386" s="326"/>
      <c r="AR386" s="327">
        <f>VLOOKUP(C386,'[1]DA HET SAN XUAT'!$D$8:$AJ$419,33,0)</f>
        <v>0</v>
      </c>
      <c r="AS386" s="209"/>
      <c r="AT386" s="411"/>
      <c r="AU386" s="411"/>
    </row>
    <row r="387" spans="1:47" s="390" customFormat="1" ht="18.75" customHeight="1">
      <c r="A387" s="167">
        <v>381</v>
      </c>
      <c r="B387" s="79" t="str">
        <f>IFERROR(VLOOKUP(A387,O.B.JUNE!$A$7:$C$448,2,0),0)</f>
        <v>ALFANI</v>
      </c>
      <c r="C387" s="174">
        <f>IFERROR(VLOOKUP(A387,O.B.JUNE!$A$7:$C$448,3,0),0)</f>
        <v>100018226</v>
      </c>
      <c r="D387" s="80">
        <f t="shared" si="95"/>
        <v>0</v>
      </c>
      <c r="E387" s="80">
        <f>IFERROR(VLOOKUP(C387,O.B.JUNE!$C$7:$D$448,2,0),0)</f>
        <v>2288</v>
      </c>
      <c r="F387" s="80">
        <f>VLOOKUP(C387,'CUTTING ON JUNE'!$A$4:$D$316,3,0)</f>
        <v>2288</v>
      </c>
      <c r="G387" s="80">
        <f>IFERROR(VLOOKUP(C387,O.B.JUNE!$C$7:$E$448,3,0),0)</f>
        <v>81</v>
      </c>
      <c r="H387" s="80">
        <f t="shared" si="94"/>
        <v>0</v>
      </c>
      <c r="I387" s="80"/>
      <c r="J387" s="80">
        <f t="shared" si="96"/>
        <v>2</v>
      </c>
      <c r="K387" s="80">
        <v>0</v>
      </c>
      <c r="L387" s="80">
        <v>0</v>
      </c>
      <c r="M387" s="81">
        <f t="shared" si="97"/>
        <v>79</v>
      </c>
      <c r="N387" s="81"/>
      <c r="O387" s="167">
        <v>20</v>
      </c>
      <c r="P387" s="81">
        <f t="shared" si="105"/>
        <v>59</v>
      </c>
      <c r="Q387" s="80">
        <f>IFERROR(VLOOKUP(C387,O.B.JUNE!$C$7:$K$448,7,0),0)</f>
        <v>0</v>
      </c>
      <c r="R387" s="80">
        <f>IFERROR(VLOOKUP(C387,O.B.JUNE!$C$7:$J$448,8,0),0)</f>
        <v>0</v>
      </c>
      <c r="S387" s="323">
        <f t="shared" si="98"/>
        <v>2</v>
      </c>
      <c r="T387" s="324">
        <v>2</v>
      </c>
      <c r="U387" s="324"/>
      <c r="V387" s="80"/>
      <c r="W387" s="324">
        <v>0</v>
      </c>
      <c r="X387" s="324"/>
      <c r="Y387" s="324">
        <v>2</v>
      </c>
      <c r="Z387" s="80">
        <v>0</v>
      </c>
      <c r="AA387" s="80">
        <f t="shared" si="99"/>
        <v>2</v>
      </c>
      <c r="AB387" s="323">
        <f t="shared" si="106"/>
        <v>0</v>
      </c>
      <c r="AC387" s="80">
        <f t="shared" si="107"/>
        <v>0</v>
      </c>
      <c r="AD387" s="80">
        <f t="shared" si="104"/>
        <v>0</v>
      </c>
      <c r="AE387" s="80"/>
      <c r="AF387" s="80"/>
      <c r="AG387" s="80"/>
      <c r="AH387" s="326">
        <f t="shared" si="100"/>
        <v>0</v>
      </c>
      <c r="AI387" s="326">
        <f t="shared" si="101"/>
        <v>0</v>
      </c>
      <c r="AJ387" s="326">
        <f t="shared" si="102"/>
        <v>0</v>
      </c>
      <c r="AK387" s="326">
        <f t="shared" si="103"/>
        <v>0</v>
      </c>
      <c r="AL387" s="326"/>
      <c r="AM387" s="326"/>
      <c r="AN387" s="326"/>
      <c r="AO387" s="326"/>
      <c r="AP387" s="326"/>
      <c r="AQ387" s="326"/>
      <c r="AR387" s="327"/>
      <c r="AS387" s="209"/>
      <c r="AT387" s="411"/>
      <c r="AU387" s="411"/>
    </row>
    <row r="388" spans="1:47" s="390" customFormat="1" ht="18.75" customHeight="1">
      <c r="A388" s="167">
        <v>382</v>
      </c>
      <c r="B388" s="79" t="str">
        <f>IFERROR(VLOOKUP(A388,O.B.JUNE!$A$7:$C$448,2,0),0)</f>
        <v>BAR III</v>
      </c>
      <c r="C388" s="174">
        <f>IFERROR(VLOOKUP(A388,O.B.JUNE!$A$7:$C$448,3,0),0)</f>
        <v>100034888</v>
      </c>
      <c r="D388" s="80">
        <f t="shared" si="95"/>
        <v>1466</v>
      </c>
      <c r="E388" s="80">
        <f>IFERROR(VLOOKUP(C388,O.B.JUNE!$C$7:$D$448,2,0),0)</f>
        <v>3184</v>
      </c>
      <c r="F388" s="80">
        <f>VLOOKUP(C388,'CUTTING ON JUNE'!$A$4:$D$316,3,0)</f>
        <v>4650</v>
      </c>
      <c r="G388" s="80">
        <f>IFERROR(VLOOKUP(C388,O.B.JUNE!$C$7:$E$448,3,0),0)</f>
        <v>63</v>
      </c>
      <c r="H388" s="80">
        <f t="shared" ref="H388:H391" si="108">IF(F388="","",F388-E388)</f>
        <v>1466</v>
      </c>
      <c r="I388" s="80"/>
      <c r="J388" s="80">
        <f t="shared" si="96"/>
        <v>123</v>
      </c>
      <c r="K388" s="80">
        <v>0</v>
      </c>
      <c r="L388" s="80">
        <v>0</v>
      </c>
      <c r="M388" s="81">
        <f t="shared" si="97"/>
        <v>1406</v>
      </c>
      <c r="N388" s="81"/>
      <c r="O388" s="81">
        <v>1107</v>
      </c>
      <c r="P388" s="81">
        <f t="shared" si="105"/>
        <v>299</v>
      </c>
      <c r="Q388" s="80">
        <f>IFERROR(VLOOKUP(C388,O.B.JUNE!$C$7:$K$448,7,0),0)</f>
        <v>73</v>
      </c>
      <c r="R388" s="80">
        <f>IFERROR(VLOOKUP(C388,O.B.JUNE!$C$7:$J$448,8,0),0)</f>
        <v>0</v>
      </c>
      <c r="S388" s="323">
        <f t="shared" si="98"/>
        <v>196</v>
      </c>
      <c r="T388" s="324">
        <v>123</v>
      </c>
      <c r="U388" s="324"/>
      <c r="V388" s="80"/>
      <c r="W388" s="324">
        <v>0</v>
      </c>
      <c r="X388" s="324"/>
      <c r="Y388" s="324">
        <v>18</v>
      </c>
      <c r="Z388" s="80">
        <v>9</v>
      </c>
      <c r="AA388" s="80">
        <f t="shared" si="99"/>
        <v>123</v>
      </c>
      <c r="AB388" s="323">
        <f t="shared" si="106"/>
        <v>169</v>
      </c>
      <c r="AC388" s="80">
        <f t="shared" si="107"/>
        <v>9</v>
      </c>
      <c r="AD388" s="80">
        <f t="shared" si="104"/>
        <v>178</v>
      </c>
      <c r="AE388" s="80"/>
      <c r="AF388" s="80"/>
      <c r="AG388" s="80"/>
      <c r="AH388" s="326">
        <f t="shared" si="100"/>
        <v>0</v>
      </c>
      <c r="AI388" s="326">
        <f t="shared" si="101"/>
        <v>0</v>
      </c>
      <c r="AJ388" s="326">
        <f t="shared" si="102"/>
        <v>0</v>
      </c>
      <c r="AK388" s="326">
        <f t="shared" si="103"/>
        <v>0</v>
      </c>
      <c r="AL388" s="326"/>
      <c r="AM388" s="326"/>
      <c r="AN388" s="326"/>
      <c r="AO388" s="326"/>
      <c r="AP388" s="326"/>
      <c r="AQ388" s="326"/>
      <c r="AR388" s="327"/>
      <c r="AS388" s="209"/>
      <c r="AT388" s="411"/>
      <c r="AU388" s="411"/>
    </row>
    <row r="389" spans="1:47" s="390" customFormat="1" ht="18.75" customHeight="1">
      <c r="A389" s="167">
        <v>383</v>
      </c>
      <c r="B389" s="79" t="str">
        <f>IFERROR(VLOOKUP(A389,O.B.JUNE!$A$7:$C$448,2,0),0)</f>
        <v>BAR III</v>
      </c>
      <c r="C389" s="174">
        <f>IFERROR(VLOOKUP(A389,O.B.JUNE!$A$7:$C$448,3,0),0)</f>
        <v>100035009</v>
      </c>
      <c r="D389" s="80">
        <f t="shared" si="95"/>
        <v>2546</v>
      </c>
      <c r="E389" s="80">
        <f>IFERROR(VLOOKUP(C389,O.B.JUNE!$C$7:$D$448,2,0),0)</f>
        <v>5365</v>
      </c>
      <c r="F389" s="80">
        <f>VLOOKUP(C389,'CUTTING ON JUNE'!$A$4:$D$316,3,0)</f>
        <v>7911</v>
      </c>
      <c r="G389" s="80">
        <f>IFERROR(VLOOKUP(C389,O.B.JUNE!$C$7:$E$448,3,0),0)</f>
        <v>1900</v>
      </c>
      <c r="H389" s="80">
        <f t="shared" si="108"/>
        <v>2546</v>
      </c>
      <c r="I389" s="80"/>
      <c r="J389" s="80">
        <f t="shared" si="96"/>
        <v>3975</v>
      </c>
      <c r="K389" s="80">
        <v>0</v>
      </c>
      <c r="L389" s="80">
        <v>0</v>
      </c>
      <c r="M389" s="81">
        <f t="shared" si="97"/>
        <v>471</v>
      </c>
      <c r="N389" s="81"/>
      <c r="O389" s="81">
        <v>193</v>
      </c>
      <c r="P389" s="81">
        <f t="shared" si="105"/>
        <v>278</v>
      </c>
      <c r="Q389" s="80">
        <f>IFERROR(VLOOKUP(C389,O.B.JUNE!$C$7:$K$448,7,0),0)</f>
        <v>5</v>
      </c>
      <c r="R389" s="80">
        <f>IFERROR(VLOOKUP(C389,O.B.JUNE!$C$7:$J$448,8,0),0)</f>
        <v>0</v>
      </c>
      <c r="S389" s="323">
        <f t="shared" si="98"/>
        <v>3980</v>
      </c>
      <c r="T389" s="324">
        <v>3975</v>
      </c>
      <c r="U389" s="324"/>
      <c r="V389" s="80"/>
      <c r="W389" s="324">
        <v>3917</v>
      </c>
      <c r="X389" s="324"/>
      <c r="Y389" s="324">
        <v>3</v>
      </c>
      <c r="Z389" s="80">
        <v>60</v>
      </c>
      <c r="AA389" s="80">
        <f t="shared" si="99"/>
        <v>3975</v>
      </c>
      <c r="AB389" s="323">
        <f t="shared" si="106"/>
        <v>0</v>
      </c>
      <c r="AC389" s="80">
        <f t="shared" si="107"/>
        <v>60</v>
      </c>
      <c r="AD389" s="80">
        <f t="shared" si="104"/>
        <v>60</v>
      </c>
      <c r="AE389" s="80"/>
      <c r="AF389" s="80"/>
      <c r="AG389" s="80"/>
      <c r="AH389" s="326">
        <f t="shared" si="100"/>
        <v>0</v>
      </c>
      <c r="AI389" s="326">
        <f t="shared" si="101"/>
        <v>0</v>
      </c>
      <c r="AJ389" s="326">
        <f t="shared" si="102"/>
        <v>0</v>
      </c>
      <c r="AK389" s="326">
        <f t="shared" si="103"/>
        <v>0</v>
      </c>
      <c r="AL389" s="326"/>
      <c r="AM389" s="326"/>
      <c r="AN389" s="326"/>
      <c r="AO389" s="326"/>
      <c r="AP389" s="326"/>
      <c r="AQ389" s="326"/>
      <c r="AR389" s="327">
        <f>VLOOKUP(C389,'[1]DA HET SAN XUAT'!$D$8:$AJ$419,33,0)</f>
        <v>0</v>
      </c>
      <c r="AS389" s="209"/>
      <c r="AT389" s="411"/>
      <c r="AU389" s="411"/>
    </row>
    <row r="390" spans="1:47" s="390" customFormat="1" ht="18.75" customHeight="1">
      <c r="A390" s="167">
        <v>387</v>
      </c>
      <c r="B390" s="79" t="str">
        <f>IFERROR(VLOOKUP(A390,O.B.JUNE!$A$7:$C$448,2,0),0)</f>
        <v>TALBOTS</v>
      </c>
      <c r="C390" s="174">
        <f>IFERROR(VLOOKUP(A390,O.B.JUNE!$A$7:$C$448,3,0),0)</f>
        <v>174034865</v>
      </c>
      <c r="D390" s="80">
        <f t="shared" ref="D390:D440" si="109">F390-E390</f>
        <v>0</v>
      </c>
      <c r="E390" s="80">
        <f>IFERROR(VLOOKUP(C390,O.B.JUNE!$C$7:$D$448,2,0),0)</f>
        <v>8809</v>
      </c>
      <c r="F390" s="80">
        <f>VLOOKUP(C390,'CUTTING ON JUNE'!$A$4:$D$316,3,0)</f>
        <v>8809</v>
      </c>
      <c r="G390" s="80">
        <f>IFERROR(VLOOKUP(C390,O.B.JUNE!$C$7:$E$448,3,0),0)</f>
        <v>507</v>
      </c>
      <c r="H390" s="80">
        <f t="shared" si="108"/>
        <v>0</v>
      </c>
      <c r="I390" s="80"/>
      <c r="J390" s="80">
        <f t="shared" ref="J390:J426" si="110">IF(S390="",0,S390-Q390-V390-R390)</f>
        <v>11</v>
      </c>
      <c r="K390" s="80">
        <v>0</v>
      </c>
      <c r="L390" s="80">
        <v>0</v>
      </c>
      <c r="M390" s="81">
        <f t="shared" ref="M390:M440" si="111">ROUND(IF(ISERROR(F390-S390-K390-L390-R390),0,(F390-S390-K390-L390+Q390+R390+G390-E390)),0)</f>
        <v>496</v>
      </c>
      <c r="N390" s="81">
        <v>0</v>
      </c>
      <c r="O390" s="81">
        <v>236</v>
      </c>
      <c r="P390" s="81">
        <f t="shared" ref="P390:P391" si="112">+M390-N390-O390</f>
        <v>260</v>
      </c>
      <c r="Q390" s="80">
        <f>IFERROR(VLOOKUP(C390,O.B.JUNE!$C$7:$K$448,7,0),0)</f>
        <v>0</v>
      </c>
      <c r="R390" s="80">
        <f>IFERROR(VLOOKUP(C390,O.B.JUNE!$C$7:$J$448,8,0),0)</f>
        <v>275</v>
      </c>
      <c r="S390" s="323">
        <f t="shared" ref="S390:S433" si="113">Q390+T390+U390+R390</f>
        <v>286</v>
      </c>
      <c r="T390" s="324">
        <v>11</v>
      </c>
      <c r="U390" s="324"/>
      <c r="V390" s="80"/>
      <c r="W390" s="324">
        <v>0</v>
      </c>
      <c r="X390" s="324"/>
      <c r="Y390" s="324">
        <v>11</v>
      </c>
      <c r="Z390" s="80">
        <v>0</v>
      </c>
      <c r="AA390" s="80">
        <f t="shared" ref="AA390:AA433" si="114">V390+U390+T390</f>
        <v>11</v>
      </c>
      <c r="AB390" s="323">
        <f t="shared" si="106"/>
        <v>0</v>
      </c>
      <c r="AC390" s="80">
        <f t="shared" si="107"/>
        <v>275</v>
      </c>
      <c r="AD390" s="80">
        <f t="shared" si="104"/>
        <v>275</v>
      </c>
      <c r="AE390" s="80"/>
      <c r="AF390" s="80"/>
      <c r="AG390" s="80"/>
      <c r="AH390" s="326">
        <f t="shared" ref="AH390:AH440" si="115">G390+H390-J390-L390-M390</f>
        <v>0</v>
      </c>
      <c r="AI390" s="326">
        <f t="shared" ref="AI390:AI440" si="116">Q390+T390+U390-S390+R390</f>
        <v>0</v>
      </c>
      <c r="AJ390" s="326">
        <f t="shared" ref="AJ390:AJ440" si="117">M390-N390-O390-P390</f>
        <v>0</v>
      </c>
      <c r="AK390" s="326">
        <f t="shared" ref="AK390:AK440" si="118">M390-N390-O390-P390</f>
        <v>0</v>
      </c>
      <c r="AL390" s="326"/>
      <c r="AM390" s="326"/>
      <c r="AN390" s="326"/>
      <c r="AO390" s="326"/>
      <c r="AP390" s="326"/>
      <c r="AQ390" s="326"/>
      <c r="AR390" s="327">
        <f>VLOOKUP(C390,'[1]DA HET SAN XUAT'!$D$8:$AJ$419,33,0)</f>
        <v>0</v>
      </c>
      <c r="AS390" s="209"/>
      <c r="AT390" s="411"/>
      <c r="AU390" s="411"/>
    </row>
    <row r="391" spans="1:47" s="499" customFormat="1" ht="18.75" customHeight="1">
      <c r="A391" s="490">
        <v>388</v>
      </c>
      <c r="B391" s="491" t="str">
        <f>IFERROR(VLOOKUP(A391,O.B.JUNE!$A$7:$C$448,2,0),0)</f>
        <v>TALBOTS</v>
      </c>
      <c r="C391" s="174">
        <f>IFERROR(VLOOKUP(A391,O.B.JUNE!$A$7:$C$448,3,0),0)</f>
        <v>183034522</v>
      </c>
      <c r="D391" s="492">
        <f t="shared" si="109"/>
        <v>0</v>
      </c>
      <c r="E391" s="492">
        <f>IFERROR(VLOOKUP(C391,O.B.JUNE!$C$7:$D$448,2,0),0)</f>
        <v>11909</v>
      </c>
      <c r="F391" s="492">
        <f>VLOOKUP(C391,'CUTTING ON JUNE'!$A$4:$D$316,3,0)</f>
        <v>11909</v>
      </c>
      <c r="G391" s="492">
        <f>IFERROR(VLOOKUP(C391,O.B.JUNE!$C$7:$E$448,3,0),0)</f>
        <v>1626</v>
      </c>
      <c r="H391" s="492">
        <f t="shared" si="108"/>
        <v>0</v>
      </c>
      <c r="I391" s="492"/>
      <c r="J391" s="492">
        <f t="shared" si="110"/>
        <v>0</v>
      </c>
      <c r="K391" s="492">
        <v>0</v>
      </c>
      <c r="L391" s="492">
        <v>0</v>
      </c>
      <c r="M391" s="493">
        <f t="shared" si="111"/>
        <v>1626</v>
      </c>
      <c r="N391" s="493">
        <v>0</v>
      </c>
      <c r="O391" s="493">
        <v>579</v>
      </c>
      <c r="P391" s="493">
        <f t="shared" si="112"/>
        <v>1047</v>
      </c>
      <c r="Q391" s="492">
        <f>IFERROR(VLOOKUP(C391,O.B.JUNE!$C$7:$K$448,7,0),0)</f>
        <v>5667</v>
      </c>
      <c r="R391" s="492">
        <f>IFERROR(VLOOKUP(C391,O.B.JUNE!$C$7:$J$448,8,0),0)</f>
        <v>0</v>
      </c>
      <c r="S391" s="494">
        <f t="shared" si="113"/>
        <v>5667</v>
      </c>
      <c r="T391" s="495">
        <v>0</v>
      </c>
      <c r="U391" s="324"/>
      <c r="V391" s="492"/>
      <c r="W391" s="495">
        <v>5330</v>
      </c>
      <c r="X391" s="495"/>
      <c r="Y391" s="495">
        <v>0</v>
      </c>
      <c r="Z391" s="492">
        <f>238+94+5</f>
        <v>337</v>
      </c>
      <c r="AA391" s="492">
        <f t="shared" si="114"/>
        <v>0</v>
      </c>
      <c r="AB391" s="323">
        <f t="shared" si="106"/>
        <v>0</v>
      </c>
      <c r="AC391" s="80">
        <f t="shared" si="107"/>
        <v>337</v>
      </c>
      <c r="AD391" s="492">
        <f t="shared" si="104"/>
        <v>337</v>
      </c>
      <c r="AE391" s="492"/>
      <c r="AF391" s="492"/>
      <c r="AG391" s="492"/>
      <c r="AH391" s="496">
        <f t="shared" si="115"/>
        <v>0</v>
      </c>
      <c r="AI391" s="496">
        <f t="shared" si="116"/>
        <v>0</v>
      </c>
      <c r="AJ391" s="496">
        <f t="shared" si="117"/>
        <v>0</v>
      </c>
      <c r="AK391" s="496">
        <f t="shared" si="118"/>
        <v>0</v>
      </c>
      <c r="AL391" s="326"/>
      <c r="AM391" s="326"/>
      <c r="AN391" s="496"/>
      <c r="AO391" s="326"/>
      <c r="AP391" s="326"/>
      <c r="AQ391" s="496"/>
      <c r="AR391" s="327"/>
      <c r="AS391" s="497"/>
      <c r="AT391" s="498"/>
      <c r="AU391" s="498"/>
    </row>
    <row r="392" spans="1:47" s="390" customFormat="1" ht="18.75" customHeight="1">
      <c r="A392" s="167">
        <v>400</v>
      </c>
      <c r="B392" s="79" t="str">
        <f>IFERROR(VLOOKUP(A392,O.B.JUNE!$A$7:$C$448,2,0),0)</f>
        <v>ANN TAYLOR</v>
      </c>
      <c r="C392" s="174">
        <f>IFERROR(VLOOKUP(A392,O.B.JUNE!$A$7:$C$448,3,0),0)</f>
        <v>464202</v>
      </c>
      <c r="D392" s="80">
        <f t="shared" si="109"/>
        <v>586</v>
      </c>
      <c r="E392" s="80">
        <f>IFERROR(VLOOKUP(C392,O.B.JUNE!$C$7:$D$448,2,0),0)</f>
        <v>2313</v>
      </c>
      <c r="F392" s="80">
        <f>VLOOKUP(C392,'CUTTING ON JUNE'!$A$4:$D$316,3,0)</f>
        <v>2899</v>
      </c>
      <c r="G392" s="80">
        <f>IFERROR(VLOOKUP(C392,O.B.JUNE!$C$7:$E$448,3,0),0)</f>
        <v>266</v>
      </c>
      <c r="H392" s="80">
        <f t="shared" ref="H392:H395" si="119">IF(F392="","",F392-E392)</f>
        <v>586</v>
      </c>
      <c r="I392" s="80"/>
      <c r="J392" s="80">
        <f t="shared" si="110"/>
        <v>612</v>
      </c>
      <c r="K392" s="80">
        <v>0</v>
      </c>
      <c r="L392" s="80">
        <v>0</v>
      </c>
      <c r="M392" s="81">
        <f t="shared" si="111"/>
        <v>240</v>
      </c>
      <c r="N392" s="81"/>
      <c r="O392" s="81">
        <v>31</v>
      </c>
      <c r="P392" s="81">
        <f t="shared" ref="P392:P404" si="120">+M392-N392-O392</f>
        <v>209</v>
      </c>
      <c r="Q392" s="80">
        <f>IFERROR(VLOOKUP(C392,O.B.JUNE!$C$7:$K$448,7,0),0)</f>
        <v>509</v>
      </c>
      <c r="R392" s="80">
        <f>IFERROR(VLOOKUP(C392,O.B.JUNE!$C$7:$J$448,8,0),0)</f>
        <v>0</v>
      </c>
      <c r="S392" s="323">
        <f t="shared" si="113"/>
        <v>1121</v>
      </c>
      <c r="T392" s="324">
        <v>612</v>
      </c>
      <c r="U392" s="324"/>
      <c r="V392" s="80"/>
      <c r="W392" s="324">
        <v>1090</v>
      </c>
      <c r="X392" s="324"/>
      <c r="Y392" s="324">
        <v>9</v>
      </c>
      <c r="Z392" s="80">
        <v>22</v>
      </c>
      <c r="AA392" s="80">
        <f t="shared" si="114"/>
        <v>612</v>
      </c>
      <c r="AB392" s="323">
        <f t="shared" si="106"/>
        <v>0</v>
      </c>
      <c r="AC392" s="80">
        <f t="shared" si="107"/>
        <v>22</v>
      </c>
      <c r="AD392" s="80">
        <f t="shared" ref="AD392:AD433" si="121">AB392+AC392</f>
        <v>22</v>
      </c>
      <c r="AE392" s="80"/>
      <c r="AF392" s="80"/>
      <c r="AG392" s="80"/>
      <c r="AH392" s="326">
        <f t="shared" si="115"/>
        <v>0</v>
      </c>
      <c r="AI392" s="326">
        <f t="shared" si="116"/>
        <v>0</v>
      </c>
      <c r="AJ392" s="326">
        <f t="shared" si="117"/>
        <v>0</v>
      </c>
      <c r="AK392" s="326">
        <f t="shared" si="118"/>
        <v>0</v>
      </c>
      <c r="AL392" s="326"/>
      <c r="AM392" s="326"/>
      <c r="AN392" s="326"/>
      <c r="AO392" s="326"/>
      <c r="AP392" s="326"/>
      <c r="AQ392" s="326"/>
      <c r="AR392" s="327">
        <f>VLOOKUP(C392,'[1]DA HET SAN XUAT'!$D$8:$AJ$419,33,0)</f>
        <v>0</v>
      </c>
      <c r="AS392" s="209"/>
      <c r="AT392" s="411"/>
      <c r="AU392" s="411"/>
    </row>
    <row r="393" spans="1:47" s="499" customFormat="1" ht="18.75" customHeight="1">
      <c r="A393" s="490">
        <v>401</v>
      </c>
      <c r="B393" s="491" t="str">
        <f>IFERROR(VLOOKUP(A393,O.B.JUNE!$A$7:$C$448,2,0),0)</f>
        <v>ANN TAYLOR</v>
      </c>
      <c r="C393" s="174">
        <f>IFERROR(VLOOKUP(A393,O.B.JUNE!$A$7:$C$448,3,0),0)</f>
        <v>464618</v>
      </c>
      <c r="D393" s="492">
        <f t="shared" si="109"/>
        <v>0</v>
      </c>
      <c r="E393" s="492">
        <f>IFERROR(VLOOKUP(C393,O.B.JUNE!$C$7:$D$448,2,0),0)</f>
        <v>6956</v>
      </c>
      <c r="F393" s="492">
        <f>VLOOKUP(C393,'CUTTING ON JUNE'!$A$4:$D$316,3,0)</f>
        <v>6956</v>
      </c>
      <c r="G393" s="492">
        <f>IFERROR(VLOOKUP(C393,O.B.JUNE!$C$7:$E$448,3,0),0)</f>
        <v>747</v>
      </c>
      <c r="H393" s="492">
        <f t="shared" si="119"/>
        <v>0</v>
      </c>
      <c r="I393" s="492"/>
      <c r="J393" s="492">
        <f t="shared" si="110"/>
        <v>0</v>
      </c>
      <c r="K393" s="492">
        <v>0</v>
      </c>
      <c r="L393" s="492">
        <v>0</v>
      </c>
      <c r="M393" s="493">
        <f t="shared" si="111"/>
        <v>747</v>
      </c>
      <c r="N393" s="493">
        <v>0</v>
      </c>
      <c r="O393" s="493">
        <v>127</v>
      </c>
      <c r="P393" s="493">
        <f t="shared" si="120"/>
        <v>620</v>
      </c>
      <c r="Q393" s="492">
        <f>IFERROR(VLOOKUP(C393,O.B.JUNE!$C$7:$K$448,7,0),0)</f>
        <v>109</v>
      </c>
      <c r="R393" s="492">
        <f>IFERROR(VLOOKUP(C393,O.B.JUNE!$C$7:$J$448,8,0),0)</f>
        <v>0</v>
      </c>
      <c r="S393" s="494">
        <f t="shared" si="113"/>
        <v>109</v>
      </c>
      <c r="T393" s="495">
        <v>0</v>
      </c>
      <c r="U393" s="324"/>
      <c r="V393" s="492"/>
      <c r="W393" s="495">
        <v>0</v>
      </c>
      <c r="X393" s="495"/>
      <c r="Y393" s="495">
        <v>0</v>
      </c>
      <c r="Z393" s="492">
        <f>103+6</f>
        <v>109</v>
      </c>
      <c r="AA393" s="492">
        <f t="shared" si="114"/>
        <v>0</v>
      </c>
      <c r="AB393" s="323">
        <f t="shared" si="106"/>
        <v>0</v>
      </c>
      <c r="AC393" s="80">
        <f t="shared" si="107"/>
        <v>109</v>
      </c>
      <c r="AD393" s="492">
        <f t="shared" si="121"/>
        <v>109</v>
      </c>
      <c r="AE393" s="492"/>
      <c r="AF393" s="492"/>
      <c r="AG393" s="492"/>
      <c r="AH393" s="496">
        <f t="shared" si="115"/>
        <v>0</v>
      </c>
      <c r="AI393" s="496">
        <f t="shared" si="116"/>
        <v>0</v>
      </c>
      <c r="AJ393" s="496">
        <f t="shared" si="117"/>
        <v>0</v>
      </c>
      <c r="AK393" s="496">
        <f t="shared" si="118"/>
        <v>0</v>
      </c>
      <c r="AL393" s="326"/>
      <c r="AM393" s="326"/>
      <c r="AN393" s="496"/>
      <c r="AO393" s="326"/>
      <c r="AP393" s="326"/>
      <c r="AQ393" s="496"/>
      <c r="AR393" s="327"/>
      <c r="AS393" s="497"/>
      <c r="AT393" s="498"/>
      <c r="AU393" s="498"/>
    </row>
    <row r="394" spans="1:47" s="390" customFormat="1" ht="18.75" customHeight="1">
      <c r="A394" s="167">
        <v>402</v>
      </c>
      <c r="B394" s="79" t="str">
        <f>IFERROR(VLOOKUP(A394,O.B.JUNE!$A$7:$C$448,2,0),0)</f>
        <v>ANN TAYLOR</v>
      </c>
      <c r="C394" s="174">
        <f>IFERROR(VLOOKUP(A394,O.B.JUNE!$A$7:$C$448,3,0),0)</f>
        <v>466748</v>
      </c>
      <c r="D394" s="80">
        <f t="shared" si="109"/>
        <v>0</v>
      </c>
      <c r="E394" s="80">
        <f>IFERROR(VLOOKUP(C394,O.B.JUNE!$C$7:$D$448,2,0),0)</f>
        <v>15532</v>
      </c>
      <c r="F394" s="80">
        <f>VLOOKUP(C394,'CUTTING ON JUNE'!$A$4:$D$316,3,0)</f>
        <v>15532</v>
      </c>
      <c r="G394" s="80">
        <f>IFERROR(VLOOKUP(C394,O.B.JUNE!$C$7:$E$448,3,0),0)</f>
        <v>1184</v>
      </c>
      <c r="H394" s="80">
        <f t="shared" si="119"/>
        <v>0</v>
      </c>
      <c r="I394" s="80"/>
      <c r="J394" s="80">
        <f t="shared" si="110"/>
        <v>424</v>
      </c>
      <c r="K394" s="80">
        <v>0</v>
      </c>
      <c r="L394" s="80">
        <v>0</v>
      </c>
      <c r="M394" s="81">
        <f t="shared" si="111"/>
        <v>760</v>
      </c>
      <c r="N394" s="81"/>
      <c r="O394" s="81">
        <v>492</v>
      </c>
      <c r="P394" s="81">
        <f t="shared" si="120"/>
        <v>268</v>
      </c>
      <c r="Q394" s="80">
        <f>IFERROR(VLOOKUP(C394,O.B.JUNE!$C$7:$K$448,7,0),0)</f>
        <v>748</v>
      </c>
      <c r="R394" s="80">
        <f>IFERROR(VLOOKUP(C394,O.B.JUNE!$C$7:$J$448,8,0),0)</f>
        <v>0</v>
      </c>
      <c r="S394" s="323">
        <f t="shared" si="113"/>
        <v>1172</v>
      </c>
      <c r="T394" s="324">
        <v>424</v>
      </c>
      <c r="U394" s="324"/>
      <c r="V394" s="80"/>
      <c r="W394" s="324">
        <v>748</v>
      </c>
      <c r="X394" s="324"/>
      <c r="Y394" s="324">
        <v>13</v>
      </c>
      <c r="Z394" s="80">
        <v>411</v>
      </c>
      <c r="AA394" s="80">
        <f t="shared" si="114"/>
        <v>424</v>
      </c>
      <c r="AB394" s="323">
        <f t="shared" si="106"/>
        <v>0</v>
      </c>
      <c r="AC394" s="80">
        <f t="shared" si="107"/>
        <v>411</v>
      </c>
      <c r="AD394" s="80">
        <f t="shared" si="121"/>
        <v>411</v>
      </c>
      <c r="AE394" s="80"/>
      <c r="AF394" s="80"/>
      <c r="AG394" s="80"/>
      <c r="AH394" s="326">
        <f t="shared" si="115"/>
        <v>0</v>
      </c>
      <c r="AI394" s="326">
        <f t="shared" si="116"/>
        <v>0</v>
      </c>
      <c r="AJ394" s="326">
        <f t="shared" si="117"/>
        <v>0</v>
      </c>
      <c r="AK394" s="326">
        <f t="shared" si="118"/>
        <v>0</v>
      </c>
      <c r="AL394" s="326"/>
      <c r="AM394" s="326"/>
      <c r="AN394" s="326"/>
      <c r="AO394" s="326"/>
      <c r="AP394" s="326"/>
      <c r="AQ394" s="326"/>
      <c r="AR394" s="327"/>
      <c r="AS394" s="209"/>
      <c r="AT394" s="411"/>
      <c r="AU394" s="411"/>
    </row>
    <row r="395" spans="1:47" s="390" customFormat="1" ht="18.75" customHeight="1">
      <c r="A395" s="167">
        <v>403</v>
      </c>
      <c r="B395" s="79" t="str">
        <f>IFERROR(VLOOKUP(A395,O.B.JUNE!$A$7:$C$448,2,0),0)</f>
        <v>ANN TAYLOR</v>
      </c>
      <c r="C395" s="174">
        <f>IFERROR(VLOOKUP(A395,O.B.JUNE!$A$7:$C$448,3,0),0)</f>
        <v>468918</v>
      </c>
      <c r="D395" s="80">
        <f t="shared" si="109"/>
        <v>0</v>
      </c>
      <c r="E395" s="80">
        <f>IFERROR(VLOOKUP(C395,O.B.JUNE!$C$7:$D$448,2,0),0)</f>
        <v>2329</v>
      </c>
      <c r="F395" s="80">
        <f>VLOOKUP(C395,'CUTTING ON JUNE'!$A$4:$D$316,3,0)</f>
        <v>2329</v>
      </c>
      <c r="G395" s="80">
        <f>IFERROR(VLOOKUP(C395,O.B.JUNE!$C$7:$E$448,3,0),0)</f>
        <v>99</v>
      </c>
      <c r="H395" s="80">
        <f t="shared" si="119"/>
        <v>0</v>
      </c>
      <c r="I395" s="80"/>
      <c r="J395" s="80">
        <f t="shared" si="110"/>
        <v>10</v>
      </c>
      <c r="K395" s="80">
        <v>0</v>
      </c>
      <c r="L395" s="80">
        <v>0</v>
      </c>
      <c r="M395" s="81">
        <f t="shared" si="111"/>
        <v>89</v>
      </c>
      <c r="N395" s="81">
        <v>0</v>
      </c>
      <c r="O395" s="81">
        <v>52</v>
      </c>
      <c r="P395" s="81">
        <f t="shared" si="120"/>
        <v>37</v>
      </c>
      <c r="Q395" s="80">
        <f>IFERROR(VLOOKUP(C395,O.B.JUNE!$C$7:$K$448,7,0),0)</f>
        <v>300</v>
      </c>
      <c r="R395" s="80">
        <f>IFERROR(VLOOKUP(C395,O.B.JUNE!$C$7:$J$448,8,0),0)</f>
        <v>30</v>
      </c>
      <c r="S395" s="323">
        <f t="shared" si="113"/>
        <v>340</v>
      </c>
      <c r="T395" s="324">
        <v>10</v>
      </c>
      <c r="U395" s="324"/>
      <c r="V395" s="80"/>
      <c r="W395" s="324">
        <v>300</v>
      </c>
      <c r="X395" s="324"/>
      <c r="Y395" s="324">
        <v>10</v>
      </c>
      <c r="Z395" s="80">
        <v>0</v>
      </c>
      <c r="AA395" s="80">
        <f t="shared" si="114"/>
        <v>10</v>
      </c>
      <c r="AB395" s="323">
        <f t="shared" si="106"/>
        <v>0</v>
      </c>
      <c r="AC395" s="80">
        <f t="shared" si="107"/>
        <v>30</v>
      </c>
      <c r="AD395" s="80">
        <f t="shared" si="121"/>
        <v>30</v>
      </c>
      <c r="AE395" s="80"/>
      <c r="AF395" s="80"/>
      <c r="AG395" s="80"/>
      <c r="AH395" s="326">
        <f t="shared" si="115"/>
        <v>0</v>
      </c>
      <c r="AI395" s="326">
        <f t="shared" si="116"/>
        <v>0</v>
      </c>
      <c r="AJ395" s="326">
        <f t="shared" si="117"/>
        <v>0</v>
      </c>
      <c r="AK395" s="326">
        <f t="shared" si="118"/>
        <v>0</v>
      </c>
      <c r="AL395" s="326"/>
      <c r="AM395" s="326"/>
      <c r="AN395" s="326"/>
      <c r="AO395" s="326"/>
      <c r="AP395" s="326"/>
      <c r="AQ395" s="326"/>
      <c r="AR395" s="327"/>
      <c r="AS395" s="209"/>
      <c r="AT395" s="411"/>
      <c r="AU395" s="411"/>
    </row>
    <row r="396" spans="1:47" s="390" customFormat="1" ht="18.75" customHeight="1">
      <c r="A396" s="167">
        <v>404</v>
      </c>
      <c r="B396" s="79" t="str">
        <f>IFERROR(VLOOKUP(A396,O.B.JUNE!$A$7:$C$448,2,0),0)</f>
        <v>ANN TAYLOR</v>
      </c>
      <c r="C396" s="174">
        <f>IFERROR(VLOOKUP(A396,O.B.JUNE!$A$7:$C$448,3,0),0)</f>
        <v>469040</v>
      </c>
      <c r="D396" s="80">
        <f t="shared" si="109"/>
        <v>380</v>
      </c>
      <c r="E396" s="80">
        <f>IFERROR(VLOOKUP(C396,O.B.JUNE!$C$7:$D$448,2,0),0)</f>
        <v>7927</v>
      </c>
      <c r="F396" s="80">
        <f>VLOOKUP(C396,'CUTTING ON JUNE'!$A$4:$D$316,3,0)</f>
        <v>8307</v>
      </c>
      <c r="G396" s="80">
        <f>IFERROR(VLOOKUP(C396,O.B.JUNE!$C$7:$E$448,3,0),0)</f>
        <v>3094</v>
      </c>
      <c r="H396" s="80">
        <f t="shared" ref="H396:H421" si="122">IF(F396="","",F396-E396)</f>
        <v>380</v>
      </c>
      <c r="I396" s="80"/>
      <c r="J396" s="80">
        <f t="shared" si="110"/>
        <v>2132</v>
      </c>
      <c r="K396" s="80">
        <v>0</v>
      </c>
      <c r="L396" s="80">
        <v>0</v>
      </c>
      <c r="M396" s="81">
        <f t="shared" si="111"/>
        <v>1342</v>
      </c>
      <c r="N396" s="81">
        <v>0</v>
      </c>
      <c r="O396" s="81">
        <v>379</v>
      </c>
      <c r="P396" s="81">
        <f t="shared" si="120"/>
        <v>963</v>
      </c>
      <c r="Q396" s="80">
        <f>IFERROR(VLOOKUP(C396,O.B.JUNE!$C$7:$K$448,7,0),0)</f>
        <v>4418</v>
      </c>
      <c r="R396" s="80">
        <f>IFERROR(VLOOKUP(C396,O.B.JUNE!$C$7:$J$448,8,0),0)</f>
        <v>0</v>
      </c>
      <c r="S396" s="323">
        <f t="shared" si="113"/>
        <v>6550</v>
      </c>
      <c r="T396" s="324">
        <v>2132</v>
      </c>
      <c r="U396" s="324"/>
      <c r="V396" s="80"/>
      <c r="W396" s="324">
        <v>6550</v>
      </c>
      <c r="X396" s="324"/>
      <c r="Y396" s="324">
        <v>0</v>
      </c>
      <c r="Z396" s="80">
        <v>0</v>
      </c>
      <c r="AA396" s="80">
        <f t="shared" si="114"/>
        <v>2132</v>
      </c>
      <c r="AB396" s="323">
        <f t="shared" si="106"/>
        <v>0</v>
      </c>
      <c r="AC396" s="80">
        <f t="shared" si="107"/>
        <v>0</v>
      </c>
      <c r="AD396" s="80">
        <f t="shared" si="121"/>
        <v>0</v>
      </c>
      <c r="AE396" s="80"/>
      <c r="AF396" s="80"/>
      <c r="AG396" s="80"/>
      <c r="AH396" s="326">
        <f t="shared" si="115"/>
        <v>0</v>
      </c>
      <c r="AI396" s="326">
        <f t="shared" si="116"/>
        <v>0</v>
      </c>
      <c r="AJ396" s="326">
        <f t="shared" si="117"/>
        <v>0</v>
      </c>
      <c r="AK396" s="326">
        <f t="shared" si="118"/>
        <v>0</v>
      </c>
      <c r="AL396" s="326"/>
      <c r="AM396" s="326"/>
      <c r="AN396" s="326"/>
      <c r="AO396" s="326"/>
      <c r="AP396" s="326"/>
      <c r="AQ396" s="326"/>
      <c r="AR396" s="327">
        <f>VLOOKUP(C396,'[1]DA HET SAN XUAT'!$D$8:$AJ$419,33,0)</f>
        <v>0</v>
      </c>
      <c r="AS396" s="209"/>
      <c r="AT396" s="411"/>
      <c r="AU396" s="411"/>
    </row>
    <row r="397" spans="1:47" s="390" customFormat="1" ht="18.75" customHeight="1">
      <c r="A397" s="167">
        <v>405</v>
      </c>
      <c r="B397" s="79" t="str">
        <f>IFERROR(VLOOKUP(A397,O.B.JUNE!$A$7:$C$448,2,0),0)</f>
        <v>ANN TAYLOR</v>
      </c>
      <c r="C397" s="174">
        <f>IFERROR(VLOOKUP(A397,O.B.JUNE!$A$7:$C$448,3,0),0)</f>
        <v>469041</v>
      </c>
      <c r="D397" s="80">
        <f t="shared" si="109"/>
        <v>356</v>
      </c>
      <c r="E397" s="80">
        <f>IFERROR(VLOOKUP(C397,O.B.JUNE!$C$7:$D$448,2,0),0)</f>
        <v>6892</v>
      </c>
      <c r="F397" s="80">
        <f>VLOOKUP(C397,'CUTTING ON JUNE'!$A$4:$D$316,3,0)</f>
        <v>7248</v>
      </c>
      <c r="G397" s="80">
        <f>IFERROR(VLOOKUP(C397,O.B.JUNE!$C$7:$E$448,3,0),0)</f>
        <v>283</v>
      </c>
      <c r="H397" s="80">
        <f t="shared" si="122"/>
        <v>356</v>
      </c>
      <c r="I397" s="80"/>
      <c r="J397" s="80">
        <f t="shared" si="110"/>
        <v>322</v>
      </c>
      <c r="K397" s="80">
        <v>0</v>
      </c>
      <c r="L397" s="80">
        <v>0</v>
      </c>
      <c r="M397" s="81">
        <f t="shared" si="111"/>
        <v>317</v>
      </c>
      <c r="N397" s="81">
        <v>0</v>
      </c>
      <c r="O397" s="81">
        <v>260</v>
      </c>
      <c r="P397" s="81">
        <f t="shared" si="120"/>
        <v>57</v>
      </c>
      <c r="Q397" s="80">
        <f>IFERROR(VLOOKUP(C397,O.B.JUNE!$C$7:$K$448,7,0),0)</f>
        <v>113</v>
      </c>
      <c r="R397" s="80">
        <f>IFERROR(VLOOKUP(C397,O.B.JUNE!$C$7:$J$448,8,0),0)</f>
        <v>4</v>
      </c>
      <c r="S397" s="323">
        <f t="shared" si="113"/>
        <v>439</v>
      </c>
      <c r="T397" s="324">
        <v>322</v>
      </c>
      <c r="U397" s="324"/>
      <c r="V397" s="80"/>
      <c r="W397" s="324">
        <v>403</v>
      </c>
      <c r="X397" s="324"/>
      <c r="Y397" s="324">
        <v>0</v>
      </c>
      <c r="Z397" s="80">
        <v>32</v>
      </c>
      <c r="AA397" s="80">
        <f t="shared" si="114"/>
        <v>322</v>
      </c>
      <c r="AB397" s="323">
        <f t="shared" ref="AB397:AB460" si="123">ROUND(Q397+T397+V397-X397-W397-Y397-Z397,0)</f>
        <v>0</v>
      </c>
      <c r="AC397" s="80">
        <f t="shared" si="107"/>
        <v>36</v>
      </c>
      <c r="AD397" s="80">
        <f t="shared" si="121"/>
        <v>36</v>
      </c>
      <c r="AE397" s="80"/>
      <c r="AF397" s="80"/>
      <c r="AG397" s="80"/>
      <c r="AH397" s="326">
        <f t="shared" si="115"/>
        <v>0</v>
      </c>
      <c r="AI397" s="326">
        <f t="shared" si="116"/>
        <v>0</v>
      </c>
      <c r="AJ397" s="326">
        <f t="shared" si="117"/>
        <v>0</v>
      </c>
      <c r="AK397" s="326">
        <f t="shared" si="118"/>
        <v>0</v>
      </c>
      <c r="AL397" s="326"/>
      <c r="AM397" s="326"/>
      <c r="AN397" s="326"/>
      <c r="AO397" s="326"/>
      <c r="AP397" s="326"/>
      <c r="AQ397" s="326"/>
      <c r="AR397" s="327">
        <f>VLOOKUP(C397,'[1]DA HET SAN XUAT'!$D$8:$AJ$419,33,0)</f>
        <v>0</v>
      </c>
      <c r="AS397" s="209"/>
      <c r="AT397" s="411"/>
      <c r="AU397" s="411"/>
    </row>
    <row r="398" spans="1:47" s="390" customFormat="1" ht="18.75" customHeight="1">
      <c r="A398" s="167">
        <v>406</v>
      </c>
      <c r="B398" s="79" t="str">
        <f>IFERROR(VLOOKUP(A398,O.B.JUNE!$A$7:$C$448,2,0),0)</f>
        <v>ANN TAYLOR</v>
      </c>
      <c r="C398" s="174">
        <f>IFERROR(VLOOKUP(A398,O.B.JUNE!$A$7:$C$448,3,0),0)</f>
        <v>469042</v>
      </c>
      <c r="D398" s="80">
        <f t="shared" si="109"/>
        <v>0</v>
      </c>
      <c r="E398" s="80">
        <f>IFERROR(VLOOKUP(C398,O.B.JUNE!$C$7:$D$448,2,0),0)</f>
        <v>6305</v>
      </c>
      <c r="F398" s="80">
        <f>VLOOKUP(C398,'CUTTING ON JUNE'!$A$4:$D$316,3,0)</f>
        <v>6305</v>
      </c>
      <c r="G398" s="80">
        <f>IFERROR(VLOOKUP(C398,O.B.JUNE!$C$7:$E$448,3,0),0)</f>
        <v>874</v>
      </c>
      <c r="H398" s="80">
        <f t="shared" si="122"/>
        <v>0</v>
      </c>
      <c r="I398" s="80"/>
      <c r="J398" s="80">
        <f t="shared" si="110"/>
        <v>410</v>
      </c>
      <c r="K398" s="80">
        <v>0</v>
      </c>
      <c r="L398" s="80">
        <v>0</v>
      </c>
      <c r="M398" s="81">
        <f t="shared" si="111"/>
        <v>464</v>
      </c>
      <c r="N398" s="81">
        <v>0</v>
      </c>
      <c r="O398" s="81">
        <v>227</v>
      </c>
      <c r="P398" s="81">
        <f t="shared" si="120"/>
        <v>237</v>
      </c>
      <c r="Q398" s="80">
        <f>IFERROR(VLOOKUP(C398,O.B.JUNE!$C$7:$K$448,7,0),0)</f>
        <v>5071</v>
      </c>
      <c r="R398" s="80">
        <f>IFERROR(VLOOKUP(C398,O.B.JUNE!$C$7:$J$448,8,0),0)</f>
        <v>0</v>
      </c>
      <c r="S398" s="323">
        <f t="shared" si="113"/>
        <v>5481</v>
      </c>
      <c r="T398" s="324">
        <v>410</v>
      </c>
      <c r="U398" s="324"/>
      <c r="V398" s="80"/>
      <c r="W398" s="324">
        <v>5394</v>
      </c>
      <c r="X398" s="324"/>
      <c r="Y398" s="324">
        <v>17</v>
      </c>
      <c r="Z398" s="80">
        <v>70</v>
      </c>
      <c r="AA398" s="80">
        <f t="shared" si="114"/>
        <v>410</v>
      </c>
      <c r="AB398" s="323">
        <f t="shared" si="123"/>
        <v>0</v>
      </c>
      <c r="AC398" s="80">
        <f t="shared" ref="AC398:AC461" si="124">+R398+U398+Z398-X398</f>
        <v>70</v>
      </c>
      <c r="AD398" s="80">
        <f t="shared" si="121"/>
        <v>70</v>
      </c>
      <c r="AE398" s="80"/>
      <c r="AF398" s="80"/>
      <c r="AG398" s="80"/>
      <c r="AH398" s="326">
        <f t="shared" si="115"/>
        <v>0</v>
      </c>
      <c r="AI398" s="326">
        <f t="shared" si="116"/>
        <v>0</v>
      </c>
      <c r="AJ398" s="326">
        <f t="shared" si="117"/>
        <v>0</v>
      </c>
      <c r="AK398" s="326">
        <f t="shared" si="118"/>
        <v>0</v>
      </c>
      <c r="AL398" s="326"/>
      <c r="AM398" s="326"/>
      <c r="AN398" s="326"/>
      <c r="AO398" s="326"/>
      <c r="AP398" s="326"/>
      <c r="AQ398" s="326"/>
      <c r="AR398" s="327">
        <f>VLOOKUP(C398,'[1]DA HET SAN XUAT'!$D$8:$AJ$419,33,0)</f>
        <v>0</v>
      </c>
      <c r="AS398" s="209"/>
      <c r="AT398" s="411"/>
      <c r="AU398" s="411"/>
    </row>
    <row r="399" spans="1:47" s="390" customFormat="1" ht="18.75" customHeight="1">
      <c r="A399" s="167">
        <v>407</v>
      </c>
      <c r="B399" s="79" t="str">
        <f>IFERROR(VLOOKUP(A399,O.B.JUNE!$A$7:$C$448,2,0),0)</f>
        <v>ANN TAYLOR</v>
      </c>
      <c r="C399" s="174">
        <f>IFERROR(VLOOKUP(A399,O.B.JUNE!$A$7:$C$448,3,0),0)</f>
        <v>470341</v>
      </c>
      <c r="D399" s="80">
        <f t="shared" si="109"/>
        <v>0</v>
      </c>
      <c r="E399" s="80">
        <f>IFERROR(VLOOKUP(C399,O.B.JUNE!$C$7:$D$448,2,0),0)</f>
        <v>8633</v>
      </c>
      <c r="F399" s="80">
        <f>VLOOKUP(C399,'CUTTING ON JUNE'!$A$4:$D$316,3,0)</f>
        <v>8633</v>
      </c>
      <c r="G399" s="80">
        <f>IFERROR(VLOOKUP(C399,O.B.JUNE!$C$7:$E$448,3,0),0)</f>
        <v>447</v>
      </c>
      <c r="H399" s="80">
        <f t="shared" si="122"/>
        <v>0</v>
      </c>
      <c r="I399" s="80"/>
      <c r="J399" s="80">
        <f t="shared" si="110"/>
        <v>289</v>
      </c>
      <c r="K399" s="80">
        <v>0</v>
      </c>
      <c r="L399" s="80">
        <v>0</v>
      </c>
      <c r="M399" s="81">
        <f t="shared" si="111"/>
        <v>158</v>
      </c>
      <c r="N399" s="81">
        <v>0</v>
      </c>
      <c r="O399" s="81">
        <v>123</v>
      </c>
      <c r="P399" s="81">
        <f t="shared" si="120"/>
        <v>35</v>
      </c>
      <c r="Q399" s="80">
        <f>IFERROR(VLOOKUP(C399,O.B.JUNE!$C$7:$K$448,7,0),0)</f>
        <v>334</v>
      </c>
      <c r="R399" s="80">
        <f>IFERROR(VLOOKUP(C399,O.B.JUNE!$C$7:$J$448,8,0),0)</f>
        <v>0</v>
      </c>
      <c r="S399" s="323">
        <f t="shared" si="113"/>
        <v>623</v>
      </c>
      <c r="T399" s="324">
        <v>289</v>
      </c>
      <c r="U399" s="324"/>
      <c r="V399" s="80"/>
      <c r="W399" s="324">
        <v>432</v>
      </c>
      <c r="X399" s="324"/>
      <c r="Y399" s="324">
        <v>6</v>
      </c>
      <c r="Z399" s="80">
        <v>185</v>
      </c>
      <c r="AA399" s="80">
        <f t="shared" si="114"/>
        <v>289</v>
      </c>
      <c r="AB399" s="323">
        <f t="shared" si="123"/>
        <v>0</v>
      </c>
      <c r="AC399" s="80">
        <f t="shared" si="124"/>
        <v>185</v>
      </c>
      <c r="AD399" s="80">
        <f t="shared" si="121"/>
        <v>185</v>
      </c>
      <c r="AE399" s="80"/>
      <c r="AF399" s="80"/>
      <c r="AG399" s="80"/>
      <c r="AH399" s="326">
        <f t="shared" si="115"/>
        <v>0</v>
      </c>
      <c r="AI399" s="326">
        <f t="shared" si="116"/>
        <v>0</v>
      </c>
      <c r="AJ399" s="326">
        <f t="shared" si="117"/>
        <v>0</v>
      </c>
      <c r="AK399" s="326">
        <f t="shared" si="118"/>
        <v>0</v>
      </c>
      <c r="AL399" s="326"/>
      <c r="AM399" s="326"/>
      <c r="AN399" s="326"/>
      <c r="AO399" s="326"/>
      <c r="AP399" s="326"/>
      <c r="AQ399" s="326"/>
      <c r="AR399" s="327"/>
      <c r="AS399" s="209"/>
      <c r="AT399" s="411"/>
      <c r="AU399" s="411"/>
    </row>
    <row r="400" spans="1:47" s="390" customFormat="1" ht="18.75" customHeight="1">
      <c r="A400" s="167">
        <v>408</v>
      </c>
      <c r="B400" s="79" t="str">
        <f>IFERROR(VLOOKUP(A400,O.B.JUNE!$A$7:$C$448,2,0),0)</f>
        <v>ANN TAYLOR</v>
      </c>
      <c r="C400" s="174">
        <f>IFERROR(VLOOKUP(A400,O.B.JUNE!$A$7:$C$448,3,0),0)</f>
        <v>471140</v>
      </c>
      <c r="D400" s="80">
        <f t="shared" si="109"/>
        <v>0</v>
      </c>
      <c r="E400" s="80">
        <f>IFERROR(VLOOKUP(C400,O.B.JUNE!$C$7:$D$448,2,0),0)</f>
        <v>11248</v>
      </c>
      <c r="F400" s="80">
        <f>VLOOKUP(C400,'CUTTING ON JUNE'!$A$4:$D$316,3,0)</f>
        <v>11248</v>
      </c>
      <c r="G400" s="80">
        <f>IFERROR(VLOOKUP(C400,O.B.JUNE!$C$7:$E$448,3,0),0)</f>
        <v>1591</v>
      </c>
      <c r="H400" s="80">
        <f t="shared" si="122"/>
        <v>0</v>
      </c>
      <c r="I400" s="80"/>
      <c r="J400" s="80">
        <f t="shared" si="110"/>
        <v>46</v>
      </c>
      <c r="K400" s="80">
        <v>0</v>
      </c>
      <c r="L400" s="80">
        <v>0</v>
      </c>
      <c r="M400" s="81">
        <f t="shared" si="111"/>
        <v>1545</v>
      </c>
      <c r="N400" s="81">
        <v>0</v>
      </c>
      <c r="O400" s="81">
        <v>123</v>
      </c>
      <c r="P400" s="81">
        <f t="shared" si="120"/>
        <v>1422</v>
      </c>
      <c r="Q400" s="80">
        <f>IFERROR(VLOOKUP(C400,O.B.JUNE!$C$7:$K$448,7,0),0)</f>
        <v>0</v>
      </c>
      <c r="R400" s="80">
        <f>IFERROR(VLOOKUP(C400,O.B.JUNE!$C$7:$J$448,8,0),0)</f>
        <v>154</v>
      </c>
      <c r="S400" s="323">
        <f t="shared" si="113"/>
        <v>200</v>
      </c>
      <c r="T400" s="324">
        <v>46</v>
      </c>
      <c r="U400" s="324"/>
      <c r="V400" s="80"/>
      <c r="W400" s="324">
        <v>0</v>
      </c>
      <c r="X400" s="324"/>
      <c r="Y400" s="324">
        <v>33</v>
      </c>
      <c r="Z400" s="80">
        <v>13</v>
      </c>
      <c r="AA400" s="80">
        <f t="shared" si="114"/>
        <v>46</v>
      </c>
      <c r="AB400" s="323">
        <f t="shared" si="123"/>
        <v>0</v>
      </c>
      <c r="AC400" s="80">
        <f t="shared" si="124"/>
        <v>167</v>
      </c>
      <c r="AD400" s="80">
        <f t="shared" si="121"/>
        <v>167</v>
      </c>
      <c r="AE400" s="80"/>
      <c r="AF400" s="80"/>
      <c r="AG400" s="80"/>
      <c r="AH400" s="326">
        <f t="shared" si="115"/>
        <v>0</v>
      </c>
      <c r="AI400" s="326">
        <f t="shared" si="116"/>
        <v>0</v>
      </c>
      <c r="AJ400" s="326">
        <f t="shared" si="117"/>
        <v>0</v>
      </c>
      <c r="AK400" s="326">
        <f t="shared" si="118"/>
        <v>0</v>
      </c>
      <c r="AL400" s="326"/>
      <c r="AM400" s="326"/>
      <c r="AN400" s="326"/>
      <c r="AO400" s="326"/>
      <c r="AP400" s="326"/>
      <c r="AQ400" s="326"/>
      <c r="AR400" s="327">
        <f>VLOOKUP(C400,'[1]DA HET SAN XUAT'!$D$8:$AJ$419,33,0)</f>
        <v>0</v>
      </c>
      <c r="AS400" s="209"/>
      <c r="AT400" s="411"/>
      <c r="AU400" s="411"/>
    </row>
    <row r="401" spans="1:47" s="390" customFormat="1" ht="18.75" customHeight="1">
      <c r="A401" s="167">
        <v>409</v>
      </c>
      <c r="B401" s="79" t="str">
        <f>IFERROR(VLOOKUP(A401,O.B.JUNE!$A$7:$C$448,2,0),0)</f>
        <v>ANN TAYLOR</v>
      </c>
      <c r="C401" s="174">
        <f>IFERROR(VLOOKUP(A401,O.B.JUNE!$A$7:$C$448,3,0),0)</f>
        <v>473551</v>
      </c>
      <c r="D401" s="80">
        <f t="shared" si="109"/>
        <v>0</v>
      </c>
      <c r="E401" s="80">
        <f>IFERROR(VLOOKUP(C401,O.B.JUNE!$C$7:$D$448,2,0),0)</f>
        <v>18038</v>
      </c>
      <c r="F401" s="80">
        <f>VLOOKUP(C401,'CUTTING ON JUNE'!$A$4:$D$316,3,0)</f>
        <v>18038</v>
      </c>
      <c r="G401" s="80">
        <f>IFERROR(VLOOKUP(C401,O.B.JUNE!$C$7:$E$448,3,0),0)</f>
        <v>889</v>
      </c>
      <c r="H401" s="80">
        <f t="shared" si="122"/>
        <v>0</v>
      </c>
      <c r="I401" s="80"/>
      <c r="J401" s="80">
        <f t="shared" si="110"/>
        <v>20</v>
      </c>
      <c r="K401" s="80">
        <v>0</v>
      </c>
      <c r="L401" s="80">
        <v>0</v>
      </c>
      <c r="M401" s="81">
        <f t="shared" si="111"/>
        <v>869</v>
      </c>
      <c r="N401" s="81">
        <v>0</v>
      </c>
      <c r="O401" s="81">
        <v>510</v>
      </c>
      <c r="P401" s="81">
        <f t="shared" si="120"/>
        <v>359</v>
      </c>
      <c r="Q401" s="80">
        <f>IFERROR(VLOOKUP(C401,O.B.JUNE!$C$7:$K$448,7,0),0)</f>
        <v>0</v>
      </c>
      <c r="R401" s="80">
        <f>IFERROR(VLOOKUP(C401,O.B.JUNE!$C$7:$J$448,8,0),0)</f>
        <v>381</v>
      </c>
      <c r="S401" s="323">
        <f t="shared" si="113"/>
        <v>401</v>
      </c>
      <c r="T401" s="324">
        <v>20</v>
      </c>
      <c r="U401" s="324"/>
      <c r="V401" s="80"/>
      <c r="W401" s="324">
        <v>0</v>
      </c>
      <c r="X401" s="324"/>
      <c r="Y401" s="324">
        <v>20</v>
      </c>
      <c r="Z401" s="80">
        <v>0</v>
      </c>
      <c r="AA401" s="80">
        <f t="shared" si="114"/>
        <v>20</v>
      </c>
      <c r="AB401" s="323">
        <f t="shared" si="123"/>
        <v>0</v>
      </c>
      <c r="AC401" s="80">
        <f t="shared" si="124"/>
        <v>381</v>
      </c>
      <c r="AD401" s="80">
        <f t="shared" si="121"/>
        <v>381</v>
      </c>
      <c r="AE401" s="80"/>
      <c r="AF401" s="80"/>
      <c r="AG401" s="80"/>
      <c r="AH401" s="326">
        <f t="shared" si="115"/>
        <v>0</v>
      </c>
      <c r="AI401" s="326">
        <f t="shared" si="116"/>
        <v>0</v>
      </c>
      <c r="AJ401" s="326">
        <f t="shared" si="117"/>
        <v>0</v>
      </c>
      <c r="AK401" s="326">
        <f t="shared" si="118"/>
        <v>0</v>
      </c>
      <c r="AL401" s="326"/>
      <c r="AM401" s="326"/>
      <c r="AN401" s="326"/>
      <c r="AO401" s="326"/>
      <c r="AP401" s="326"/>
      <c r="AQ401" s="326"/>
      <c r="AR401" s="327">
        <f>VLOOKUP(C401,'[1]DA HET SAN XUAT'!$D$8:$AJ$419,33,0)</f>
        <v>0</v>
      </c>
      <c r="AS401" s="209"/>
      <c r="AT401" s="411"/>
      <c r="AU401" s="411"/>
    </row>
    <row r="402" spans="1:47" s="499" customFormat="1" ht="18.75" customHeight="1">
      <c r="A402" s="490">
        <v>410</v>
      </c>
      <c r="B402" s="491" t="str">
        <f>IFERROR(VLOOKUP(A402,O.B.JUNE!$A$7:$C$448,2,0),0)</f>
        <v>ANN TAYLOR</v>
      </c>
      <c r="C402" s="174">
        <f>IFERROR(VLOOKUP(A402,O.B.JUNE!$A$7:$C$448,3,0),0)</f>
        <v>474753</v>
      </c>
      <c r="D402" s="492">
        <f t="shared" si="109"/>
        <v>0</v>
      </c>
      <c r="E402" s="492">
        <f>IFERROR(VLOOKUP(C402,O.B.JUNE!$C$7:$D$448,2,0),0)</f>
        <v>8504</v>
      </c>
      <c r="F402" s="492">
        <f>VLOOKUP(C402,'CUTTING ON JUNE'!$A$4:$D$316,3,0)</f>
        <v>8504</v>
      </c>
      <c r="G402" s="492">
        <f>IFERROR(VLOOKUP(C402,O.B.JUNE!$C$7:$E$448,3,0),0)</f>
        <v>294</v>
      </c>
      <c r="H402" s="492">
        <f t="shared" si="122"/>
        <v>0</v>
      </c>
      <c r="I402" s="492"/>
      <c r="J402" s="492">
        <f t="shared" si="110"/>
        <v>0</v>
      </c>
      <c r="K402" s="492">
        <v>0</v>
      </c>
      <c r="L402" s="492">
        <v>0</v>
      </c>
      <c r="M402" s="493">
        <f t="shared" si="111"/>
        <v>294</v>
      </c>
      <c r="N402" s="493">
        <v>4</v>
      </c>
      <c r="O402" s="493">
        <v>68</v>
      </c>
      <c r="P402" s="493">
        <f t="shared" si="120"/>
        <v>222</v>
      </c>
      <c r="Q402" s="492">
        <f>IFERROR(VLOOKUP(C402,O.B.JUNE!$C$7:$K$448,7,0),0)</f>
        <v>323</v>
      </c>
      <c r="R402" s="492">
        <f>IFERROR(VLOOKUP(C402,O.B.JUNE!$C$7:$J$448,8,0),0)</f>
        <v>0</v>
      </c>
      <c r="S402" s="494">
        <f t="shared" si="113"/>
        <v>323</v>
      </c>
      <c r="T402" s="495">
        <v>0</v>
      </c>
      <c r="U402" s="324"/>
      <c r="V402" s="492"/>
      <c r="W402" s="495">
        <v>63</v>
      </c>
      <c r="X402" s="495"/>
      <c r="Y402" s="495">
        <v>0</v>
      </c>
      <c r="Z402" s="492">
        <f>239+21</f>
        <v>260</v>
      </c>
      <c r="AA402" s="492">
        <f t="shared" si="114"/>
        <v>0</v>
      </c>
      <c r="AB402" s="323">
        <f t="shared" si="123"/>
        <v>0</v>
      </c>
      <c r="AC402" s="80">
        <f t="shared" si="124"/>
        <v>260</v>
      </c>
      <c r="AD402" s="492">
        <f t="shared" si="121"/>
        <v>260</v>
      </c>
      <c r="AE402" s="492"/>
      <c r="AF402" s="492"/>
      <c r="AG402" s="492"/>
      <c r="AH402" s="496">
        <f t="shared" si="115"/>
        <v>0</v>
      </c>
      <c r="AI402" s="496">
        <f t="shared" si="116"/>
        <v>0</v>
      </c>
      <c r="AJ402" s="496">
        <f t="shared" si="117"/>
        <v>0</v>
      </c>
      <c r="AK402" s="496">
        <f t="shared" si="118"/>
        <v>0</v>
      </c>
      <c r="AL402" s="326"/>
      <c r="AM402" s="326"/>
      <c r="AN402" s="496"/>
      <c r="AO402" s="326"/>
      <c r="AP402" s="326"/>
      <c r="AQ402" s="496"/>
      <c r="AR402" s="327"/>
      <c r="AS402" s="497"/>
      <c r="AT402" s="498"/>
      <c r="AU402" s="498"/>
    </row>
    <row r="403" spans="1:47" s="390" customFormat="1" ht="18.75" customHeight="1">
      <c r="A403" s="167">
        <v>411</v>
      </c>
      <c r="B403" s="79" t="str">
        <f>IFERROR(VLOOKUP(A403,O.B.JUNE!$A$7:$C$448,2,0),0)</f>
        <v>ANN TAYLOR</v>
      </c>
      <c r="C403" s="174">
        <f>IFERROR(VLOOKUP(A403,O.B.JUNE!$A$7:$C$448,3,0),0)</f>
        <v>474874</v>
      </c>
      <c r="D403" s="80">
        <f t="shared" si="109"/>
        <v>0</v>
      </c>
      <c r="E403" s="80">
        <f>IFERROR(VLOOKUP(C403,O.B.JUNE!$C$7:$D$448,2,0),0)</f>
        <v>9954</v>
      </c>
      <c r="F403" s="80">
        <f>VLOOKUP(C403,'CUTTING ON JUNE'!$A$4:$D$316,3,0)</f>
        <v>9954</v>
      </c>
      <c r="G403" s="80">
        <f>IFERROR(VLOOKUP(C403,O.B.JUNE!$C$7:$E$448,3,0),0)</f>
        <v>573</v>
      </c>
      <c r="H403" s="80">
        <f t="shared" si="122"/>
        <v>0</v>
      </c>
      <c r="I403" s="80"/>
      <c r="J403" s="80">
        <f t="shared" si="110"/>
        <v>6</v>
      </c>
      <c r="K403" s="80">
        <v>0</v>
      </c>
      <c r="L403" s="80">
        <v>0</v>
      </c>
      <c r="M403" s="81">
        <f t="shared" si="111"/>
        <v>567</v>
      </c>
      <c r="N403" s="81">
        <v>0</v>
      </c>
      <c r="O403" s="81">
        <v>267</v>
      </c>
      <c r="P403" s="81">
        <f t="shared" si="120"/>
        <v>300</v>
      </c>
      <c r="Q403" s="80">
        <f>IFERROR(VLOOKUP(C403,O.B.JUNE!$C$7:$K$448,7,0),0)</f>
        <v>0</v>
      </c>
      <c r="R403" s="80">
        <f>IFERROR(VLOOKUP(C403,O.B.JUNE!$C$7:$J$448,8,0),0)</f>
        <v>0</v>
      </c>
      <c r="S403" s="323">
        <f t="shared" si="113"/>
        <v>6</v>
      </c>
      <c r="T403" s="324">
        <v>6</v>
      </c>
      <c r="U403" s="324"/>
      <c r="V403" s="80"/>
      <c r="W403" s="324">
        <v>0</v>
      </c>
      <c r="X403" s="324"/>
      <c r="Y403" s="324">
        <v>6</v>
      </c>
      <c r="Z403" s="80">
        <v>0</v>
      </c>
      <c r="AA403" s="80">
        <f t="shared" si="114"/>
        <v>6</v>
      </c>
      <c r="AB403" s="323">
        <f t="shared" si="123"/>
        <v>0</v>
      </c>
      <c r="AC403" s="80">
        <f t="shared" si="124"/>
        <v>0</v>
      </c>
      <c r="AD403" s="80">
        <f t="shared" si="121"/>
        <v>0</v>
      </c>
      <c r="AE403" s="80"/>
      <c r="AF403" s="80"/>
      <c r="AG403" s="80"/>
      <c r="AH403" s="326">
        <f t="shared" si="115"/>
        <v>0</v>
      </c>
      <c r="AI403" s="326">
        <f t="shared" si="116"/>
        <v>0</v>
      </c>
      <c r="AJ403" s="326">
        <f t="shared" si="117"/>
        <v>0</v>
      </c>
      <c r="AK403" s="326">
        <f t="shared" si="118"/>
        <v>0</v>
      </c>
      <c r="AL403" s="326"/>
      <c r="AM403" s="326"/>
      <c r="AN403" s="326"/>
      <c r="AO403" s="326"/>
      <c r="AP403" s="326"/>
      <c r="AQ403" s="326"/>
      <c r="AR403" s="327"/>
      <c r="AS403" s="209"/>
      <c r="AT403" s="411"/>
      <c r="AU403" s="411"/>
    </row>
    <row r="404" spans="1:47" s="390" customFormat="1" ht="18.75" customHeight="1">
      <c r="A404" s="167">
        <v>412</v>
      </c>
      <c r="B404" s="79" t="str">
        <f>IFERROR(VLOOKUP(A404,O.B.JUNE!$A$7:$C$448,2,0),0)</f>
        <v>ANN TAYLOR</v>
      </c>
      <c r="C404" s="174">
        <f>IFERROR(VLOOKUP(A404,O.B.JUNE!$A$7:$C$448,3,0),0)</f>
        <v>475746</v>
      </c>
      <c r="D404" s="80">
        <f t="shared" si="109"/>
        <v>0</v>
      </c>
      <c r="E404" s="80">
        <f>IFERROR(VLOOKUP(C404,O.B.JUNE!$C$7:$D$448,2,0),0)</f>
        <v>4633</v>
      </c>
      <c r="F404" s="80">
        <f>VLOOKUP(C404,'CUTTING ON JUNE'!$A$4:$D$316,3,0)</f>
        <v>4633</v>
      </c>
      <c r="G404" s="80">
        <f>IFERROR(VLOOKUP(C404,O.B.JUNE!$C$7:$E$448,3,0),0)</f>
        <v>399</v>
      </c>
      <c r="H404" s="80">
        <f t="shared" si="122"/>
        <v>0</v>
      </c>
      <c r="I404" s="80"/>
      <c r="J404" s="80">
        <f t="shared" si="110"/>
        <v>9</v>
      </c>
      <c r="K404" s="80">
        <v>0</v>
      </c>
      <c r="L404" s="80">
        <v>0</v>
      </c>
      <c r="M404" s="81">
        <f t="shared" si="111"/>
        <v>390</v>
      </c>
      <c r="N404" s="81">
        <v>0</v>
      </c>
      <c r="O404" s="81">
        <v>281</v>
      </c>
      <c r="P404" s="81">
        <f t="shared" si="120"/>
        <v>109</v>
      </c>
      <c r="Q404" s="80">
        <f>IFERROR(VLOOKUP(C404,O.B.JUNE!$C$7:$K$448,7,0),0)</f>
        <v>0</v>
      </c>
      <c r="R404" s="80">
        <f>IFERROR(VLOOKUP(C404,O.B.JUNE!$C$7:$J$448,8,0),0)</f>
        <v>32</v>
      </c>
      <c r="S404" s="323">
        <f t="shared" si="113"/>
        <v>41</v>
      </c>
      <c r="T404" s="324">
        <v>9</v>
      </c>
      <c r="U404" s="324"/>
      <c r="V404" s="80"/>
      <c r="W404" s="324">
        <v>0</v>
      </c>
      <c r="X404" s="324"/>
      <c r="Y404" s="324">
        <v>9</v>
      </c>
      <c r="Z404" s="80">
        <v>0</v>
      </c>
      <c r="AA404" s="80">
        <f t="shared" si="114"/>
        <v>9</v>
      </c>
      <c r="AB404" s="323">
        <f t="shared" si="123"/>
        <v>0</v>
      </c>
      <c r="AC404" s="80">
        <f t="shared" si="124"/>
        <v>32</v>
      </c>
      <c r="AD404" s="80">
        <f t="shared" si="121"/>
        <v>32</v>
      </c>
      <c r="AE404" s="80"/>
      <c r="AF404" s="80"/>
      <c r="AG404" s="80"/>
      <c r="AH404" s="326">
        <f t="shared" si="115"/>
        <v>0</v>
      </c>
      <c r="AI404" s="326">
        <f t="shared" si="116"/>
        <v>0</v>
      </c>
      <c r="AJ404" s="326">
        <f t="shared" si="117"/>
        <v>0</v>
      </c>
      <c r="AK404" s="326">
        <f t="shared" si="118"/>
        <v>0</v>
      </c>
      <c r="AL404" s="326"/>
      <c r="AM404" s="326"/>
      <c r="AN404" s="326"/>
      <c r="AO404" s="326"/>
      <c r="AP404" s="326"/>
      <c r="AQ404" s="326"/>
      <c r="AR404" s="327">
        <f>VLOOKUP(C404,'[1]DA HET SAN XUAT'!$D$8:$AJ$419,33,0)</f>
        <v>0</v>
      </c>
      <c r="AS404" s="209"/>
      <c r="AT404" s="411"/>
      <c r="AU404" s="411"/>
    </row>
    <row r="405" spans="1:47" s="390" customFormat="1" ht="18.75" customHeight="1">
      <c r="A405" s="167">
        <v>414</v>
      </c>
      <c r="B405" s="79" t="str">
        <f>IFERROR(VLOOKUP(A405,O.B.JUNE!$A$7:$C$448,2,0),0)</f>
        <v>ANN TAYLOR</v>
      </c>
      <c r="C405" s="174">
        <f>IFERROR(VLOOKUP(A405,O.B.JUNE!$A$7:$C$448,3,0),0)</f>
        <v>472085</v>
      </c>
      <c r="D405" s="80">
        <f t="shared" si="109"/>
        <v>5215</v>
      </c>
      <c r="E405" s="80">
        <f>IFERROR(VLOOKUP(C405,O.B.JUNE!$C$7:$D$448,2,0),0)</f>
        <v>3859</v>
      </c>
      <c r="F405" s="80">
        <f>VLOOKUP(C405,'CUTTING ON JUNE'!$A$4:$D$316,3,0)</f>
        <v>9074</v>
      </c>
      <c r="G405" s="80">
        <f>IFERROR(VLOOKUP(C405,O.B.JUNE!$C$7:$E$448,3,0),0)</f>
        <v>3859</v>
      </c>
      <c r="H405" s="80">
        <f t="shared" si="122"/>
        <v>5215</v>
      </c>
      <c r="I405" s="80"/>
      <c r="J405" s="80">
        <f t="shared" si="110"/>
        <v>8044</v>
      </c>
      <c r="K405" s="80">
        <v>0</v>
      </c>
      <c r="L405" s="80">
        <v>0</v>
      </c>
      <c r="M405" s="81">
        <f t="shared" si="111"/>
        <v>1030</v>
      </c>
      <c r="N405" s="81">
        <v>0</v>
      </c>
      <c r="O405" s="81">
        <v>690</v>
      </c>
      <c r="P405" s="81">
        <f t="shared" ref="P405:P468" si="125">+M405-N405-O405</f>
        <v>340</v>
      </c>
      <c r="Q405" s="80">
        <f>IFERROR(VLOOKUP(C405,O.B.JUNE!$C$7:$K$448,7,0),0)</f>
        <v>0</v>
      </c>
      <c r="R405" s="80">
        <f>IFERROR(VLOOKUP(C405,O.B.JUNE!$C$7:$J$448,8,0),0)</f>
        <v>0</v>
      </c>
      <c r="S405" s="323">
        <f t="shared" si="113"/>
        <v>8044</v>
      </c>
      <c r="T405" s="324">
        <v>8044</v>
      </c>
      <c r="U405" s="324"/>
      <c r="V405" s="80"/>
      <c r="W405" s="324">
        <v>0</v>
      </c>
      <c r="X405" s="324"/>
      <c r="Y405" s="324">
        <v>0</v>
      </c>
      <c r="Z405" s="80">
        <v>0</v>
      </c>
      <c r="AA405" s="80">
        <f t="shared" si="114"/>
        <v>8044</v>
      </c>
      <c r="AB405" s="323">
        <f t="shared" si="123"/>
        <v>8044</v>
      </c>
      <c r="AC405" s="80">
        <f t="shared" si="124"/>
        <v>0</v>
      </c>
      <c r="AD405" s="80">
        <f t="shared" si="121"/>
        <v>8044</v>
      </c>
      <c r="AE405" s="80"/>
      <c r="AF405" s="80"/>
      <c r="AG405" s="80"/>
      <c r="AH405" s="326">
        <f t="shared" si="115"/>
        <v>0</v>
      </c>
      <c r="AI405" s="326">
        <f t="shared" si="116"/>
        <v>0</v>
      </c>
      <c r="AJ405" s="326">
        <f t="shared" si="117"/>
        <v>0</v>
      </c>
      <c r="AK405" s="326">
        <f t="shared" si="118"/>
        <v>0</v>
      </c>
      <c r="AL405" s="326"/>
      <c r="AM405" s="326"/>
      <c r="AN405" s="326"/>
      <c r="AO405" s="326"/>
      <c r="AP405" s="326"/>
      <c r="AQ405" s="326"/>
      <c r="AR405" s="327"/>
      <c r="AS405" s="209"/>
      <c r="AT405" s="411"/>
      <c r="AU405" s="411"/>
    </row>
    <row r="406" spans="1:47" s="390" customFormat="1" ht="18.75" customHeight="1">
      <c r="A406" s="167">
        <v>415</v>
      </c>
      <c r="B406" s="79" t="str">
        <f>IFERROR(VLOOKUP(A406,O.B.JUNE!$A$7:$C$448,2,0),0)</f>
        <v>ANN TAYLOR</v>
      </c>
      <c r="C406" s="174">
        <f>IFERROR(VLOOKUP(A406,O.B.JUNE!$A$7:$C$448,3,0),0)</f>
        <v>472371</v>
      </c>
      <c r="D406" s="80">
        <f t="shared" si="109"/>
        <v>5390</v>
      </c>
      <c r="E406" s="80">
        <f>IFERROR(VLOOKUP(C406,O.B.JUNE!$C$7:$D$448,2,0),0)</f>
        <v>1508</v>
      </c>
      <c r="F406" s="80">
        <f>VLOOKUP(C406,'CUTTING ON JUNE'!$A$4:$D$316,3,0)</f>
        <v>6898</v>
      </c>
      <c r="G406" s="80">
        <f>IFERROR(VLOOKUP(C406,O.B.JUNE!$C$7:$E$448,3,0),0)</f>
        <v>1508</v>
      </c>
      <c r="H406" s="80">
        <f t="shared" si="122"/>
        <v>5390</v>
      </c>
      <c r="I406" s="80"/>
      <c r="J406" s="80">
        <f t="shared" si="110"/>
        <v>6285</v>
      </c>
      <c r="K406" s="80">
        <v>0</v>
      </c>
      <c r="L406" s="80">
        <v>0</v>
      </c>
      <c r="M406" s="81">
        <f t="shared" si="111"/>
        <v>613</v>
      </c>
      <c r="N406" s="81">
        <v>0</v>
      </c>
      <c r="O406" s="81">
        <v>316</v>
      </c>
      <c r="P406" s="81">
        <f t="shared" si="125"/>
        <v>297</v>
      </c>
      <c r="Q406" s="80">
        <f>IFERROR(VLOOKUP(C406,O.B.JUNE!$C$7:$K$448,7,0),0)</f>
        <v>0</v>
      </c>
      <c r="R406" s="80">
        <f>IFERROR(VLOOKUP(C406,O.B.JUNE!$C$7:$J$448,8,0),0)</f>
        <v>0</v>
      </c>
      <c r="S406" s="323">
        <f t="shared" si="113"/>
        <v>6285</v>
      </c>
      <c r="T406" s="324">
        <v>6285</v>
      </c>
      <c r="U406" s="324"/>
      <c r="V406" s="80"/>
      <c r="W406" s="324">
        <v>6155</v>
      </c>
      <c r="X406" s="324"/>
      <c r="Y406" s="324">
        <v>23</v>
      </c>
      <c r="Z406" s="80">
        <v>107</v>
      </c>
      <c r="AA406" s="80">
        <f t="shared" si="114"/>
        <v>6285</v>
      </c>
      <c r="AB406" s="323">
        <f t="shared" si="123"/>
        <v>0</v>
      </c>
      <c r="AC406" s="80">
        <f t="shared" si="124"/>
        <v>107</v>
      </c>
      <c r="AD406" s="80">
        <f t="shared" si="121"/>
        <v>107</v>
      </c>
      <c r="AE406" s="80"/>
      <c r="AF406" s="80"/>
      <c r="AG406" s="80"/>
      <c r="AH406" s="326">
        <f t="shared" si="115"/>
        <v>0</v>
      </c>
      <c r="AI406" s="326">
        <f t="shared" si="116"/>
        <v>0</v>
      </c>
      <c r="AJ406" s="326">
        <f t="shared" si="117"/>
        <v>0</v>
      </c>
      <c r="AK406" s="326">
        <f t="shared" si="118"/>
        <v>0</v>
      </c>
      <c r="AL406" s="326"/>
      <c r="AM406" s="326"/>
      <c r="AN406" s="326"/>
      <c r="AO406" s="326"/>
      <c r="AP406" s="326"/>
      <c r="AQ406" s="326"/>
      <c r="AR406" s="327"/>
      <c r="AS406" s="209"/>
      <c r="AT406" s="411"/>
      <c r="AU406" s="411"/>
    </row>
    <row r="407" spans="1:47" s="390" customFormat="1" ht="18.75" customHeight="1">
      <c r="A407" s="167">
        <v>416</v>
      </c>
      <c r="B407" s="79" t="str">
        <f>IFERROR(VLOOKUP(A407,O.B.JUNE!$A$7:$C$448,2,0),0)</f>
        <v>ANN TAYLOR</v>
      </c>
      <c r="C407" s="174">
        <f>IFERROR(VLOOKUP(A407,O.B.JUNE!$A$7:$C$448,3,0),0)</f>
        <v>474932</v>
      </c>
      <c r="D407" s="80">
        <f t="shared" si="109"/>
        <v>17820</v>
      </c>
      <c r="E407" s="80">
        <f>IFERROR(VLOOKUP(C407,O.B.JUNE!$C$7:$D$448,2,0),0)</f>
        <v>9654</v>
      </c>
      <c r="F407" s="80">
        <f>VLOOKUP(C407,'CUTTING ON JUNE'!$A$4:$D$316,3,0)</f>
        <v>27474</v>
      </c>
      <c r="G407" s="80">
        <f>IFERROR(VLOOKUP(C407,O.B.JUNE!$C$7:$E$448,3,0),0)</f>
        <v>9654</v>
      </c>
      <c r="H407" s="80">
        <f t="shared" si="122"/>
        <v>17820</v>
      </c>
      <c r="I407" s="80"/>
      <c r="J407" s="80">
        <f t="shared" si="110"/>
        <v>25263</v>
      </c>
      <c r="K407" s="80">
        <v>0</v>
      </c>
      <c r="L407" s="80">
        <v>0</v>
      </c>
      <c r="M407" s="81">
        <f t="shared" si="111"/>
        <v>2211</v>
      </c>
      <c r="N407" s="81">
        <v>185</v>
      </c>
      <c r="O407" s="81">
        <v>978</v>
      </c>
      <c r="P407" s="81">
        <f t="shared" si="125"/>
        <v>1048</v>
      </c>
      <c r="Q407" s="80">
        <f>IFERROR(VLOOKUP(C407,O.B.JUNE!$C$7:$K$448,7,0),0)</f>
        <v>0</v>
      </c>
      <c r="R407" s="80">
        <f>IFERROR(VLOOKUP(C407,O.B.JUNE!$C$7:$J$448,8,0),0)</f>
        <v>0</v>
      </c>
      <c r="S407" s="323">
        <f t="shared" si="113"/>
        <v>25263</v>
      </c>
      <c r="T407" s="324">
        <v>25263</v>
      </c>
      <c r="U407" s="324"/>
      <c r="V407" s="80"/>
      <c r="W407" s="324">
        <v>22960</v>
      </c>
      <c r="X407" s="324"/>
      <c r="Y407" s="324">
        <v>7</v>
      </c>
      <c r="Z407" s="80">
        <v>0</v>
      </c>
      <c r="AA407" s="80">
        <f t="shared" si="114"/>
        <v>25263</v>
      </c>
      <c r="AB407" s="323">
        <f t="shared" si="123"/>
        <v>2296</v>
      </c>
      <c r="AC407" s="80">
        <f t="shared" si="124"/>
        <v>0</v>
      </c>
      <c r="AD407" s="80">
        <f t="shared" si="121"/>
        <v>2296</v>
      </c>
      <c r="AE407" s="80"/>
      <c r="AF407" s="80"/>
      <c r="AG407" s="80"/>
      <c r="AH407" s="326">
        <f t="shared" si="115"/>
        <v>0</v>
      </c>
      <c r="AI407" s="326">
        <f t="shared" si="116"/>
        <v>0</v>
      </c>
      <c r="AJ407" s="326">
        <f t="shared" si="117"/>
        <v>0</v>
      </c>
      <c r="AK407" s="326">
        <f t="shared" si="118"/>
        <v>0</v>
      </c>
      <c r="AL407" s="326"/>
      <c r="AM407" s="326"/>
      <c r="AN407" s="326"/>
      <c r="AO407" s="326"/>
      <c r="AP407" s="326"/>
      <c r="AQ407" s="326"/>
      <c r="AR407" s="327"/>
      <c r="AS407" s="209"/>
      <c r="AT407" s="411"/>
      <c r="AU407" s="411"/>
    </row>
    <row r="408" spans="1:47" s="390" customFormat="1" ht="18.75" customHeight="1">
      <c r="A408" s="167">
        <v>417</v>
      </c>
      <c r="B408" s="79" t="str">
        <f>IFERROR(VLOOKUP(A408,O.B.JUNE!$A$7:$C$448,2,0),0)</f>
        <v>ANN TAYLOR</v>
      </c>
      <c r="C408" s="174">
        <f>IFERROR(VLOOKUP(A408,O.B.JUNE!$A$7:$C$448,3,0),0)</f>
        <v>476091</v>
      </c>
      <c r="D408" s="80">
        <f t="shared" si="109"/>
        <v>8141</v>
      </c>
      <c r="E408" s="80">
        <f>IFERROR(VLOOKUP(C408,O.B.JUNE!$C$7:$D$448,2,0),0)</f>
        <v>594</v>
      </c>
      <c r="F408" s="80">
        <f>VLOOKUP(C408,'CUTTING ON JUNE'!$A$4:$D$316,3,0)</f>
        <v>8735</v>
      </c>
      <c r="G408" s="80">
        <f>IFERROR(VLOOKUP(C408,O.B.JUNE!$C$7:$E$448,3,0),0)</f>
        <v>594</v>
      </c>
      <c r="H408" s="80">
        <f t="shared" si="122"/>
        <v>8141</v>
      </c>
      <c r="I408" s="80"/>
      <c r="J408" s="80">
        <f t="shared" si="110"/>
        <v>7982</v>
      </c>
      <c r="K408" s="80">
        <v>0</v>
      </c>
      <c r="L408" s="80">
        <v>0</v>
      </c>
      <c r="M408" s="81">
        <f t="shared" si="111"/>
        <v>753</v>
      </c>
      <c r="N408" s="81">
        <v>0</v>
      </c>
      <c r="O408" s="81">
        <v>173</v>
      </c>
      <c r="P408" s="81">
        <f t="shared" si="125"/>
        <v>580</v>
      </c>
      <c r="Q408" s="80">
        <f>IFERROR(VLOOKUP(C408,O.B.JUNE!$C$7:$K$448,7,0),0)</f>
        <v>0</v>
      </c>
      <c r="R408" s="80">
        <f>IFERROR(VLOOKUP(C408,O.B.JUNE!$C$7:$J$448,8,0),0)</f>
        <v>0</v>
      </c>
      <c r="S408" s="323">
        <f t="shared" si="113"/>
        <v>7982</v>
      </c>
      <c r="T408" s="324">
        <v>7982</v>
      </c>
      <c r="U408" s="324"/>
      <c r="V408" s="80"/>
      <c r="W408" s="324">
        <v>7953</v>
      </c>
      <c r="X408" s="324"/>
      <c r="Y408" s="324">
        <v>29</v>
      </c>
      <c r="Z408" s="80">
        <v>0</v>
      </c>
      <c r="AA408" s="80">
        <f t="shared" si="114"/>
        <v>7982</v>
      </c>
      <c r="AB408" s="323">
        <f t="shared" si="123"/>
        <v>0</v>
      </c>
      <c r="AC408" s="80">
        <f t="shared" si="124"/>
        <v>0</v>
      </c>
      <c r="AD408" s="80">
        <f t="shared" si="121"/>
        <v>0</v>
      </c>
      <c r="AE408" s="80"/>
      <c r="AF408" s="80"/>
      <c r="AG408" s="80"/>
      <c r="AH408" s="326">
        <f t="shared" si="115"/>
        <v>0</v>
      </c>
      <c r="AI408" s="326">
        <f t="shared" si="116"/>
        <v>0</v>
      </c>
      <c r="AJ408" s="326">
        <f t="shared" si="117"/>
        <v>0</v>
      </c>
      <c r="AK408" s="326">
        <f t="shared" si="118"/>
        <v>0</v>
      </c>
      <c r="AL408" s="326"/>
      <c r="AM408" s="326"/>
      <c r="AN408" s="326"/>
      <c r="AO408" s="326"/>
      <c r="AP408" s="326"/>
      <c r="AQ408" s="326"/>
      <c r="AR408" s="327"/>
      <c r="AS408" s="209"/>
      <c r="AT408" s="411"/>
      <c r="AU408" s="411"/>
    </row>
    <row r="409" spans="1:47" s="390" customFormat="1" ht="18.75" customHeight="1">
      <c r="A409" s="167">
        <v>418</v>
      </c>
      <c r="B409" s="79" t="str">
        <f>IFERROR(VLOOKUP(A409,O.B.JUNE!$A$7:$C$448,2,0),0)</f>
        <v>ALFANI</v>
      </c>
      <c r="C409" s="174">
        <f>IFERROR(VLOOKUP(A409,O.B.JUNE!$A$7:$C$448,3,0),0)</f>
        <v>100018130</v>
      </c>
      <c r="D409" s="80">
        <f t="shared" si="109"/>
        <v>1590</v>
      </c>
      <c r="E409" s="80">
        <f>IFERROR(VLOOKUP(C409,O.B.JUNE!$C$7:$D$448,2,0),0)</f>
        <v>6437</v>
      </c>
      <c r="F409" s="80">
        <f>VLOOKUP(C409,'CUTTING ON JUNE'!$A$4:$D$316,3,0)</f>
        <v>8027</v>
      </c>
      <c r="G409" s="80">
        <f>IFERROR(VLOOKUP(C409,O.B.JUNE!$C$7:$E$448,3,0),0)</f>
        <v>6437</v>
      </c>
      <c r="H409" s="80">
        <f t="shared" si="122"/>
        <v>1590</v>
      </c>
      <c r="I409" s="80"/>
      <c r="J409" s="80">
        <f t="shared" si="110"/>
        <v>7946</v>
      </c>
      <c r="K409" s="80">
        <v>0</v>
      </c>
      <c r="L409" s="80">
        <v>0</v>
      </c>
      <c r="M409" s="81">
        <f t="shared" si="111"/>
        <v>81</v>
      </c>
      <c r="N409" s="81">
        <v>0</v>
      </c>
      <c r="O409" s="81">
        <v>0</v>
      </c>
      <c r="P409" s="81">
        <f t="shared" si="125"/>
        <v>81</v>
      </c>
      <c r="Q409" s="80">
        <f>IFERROR(VLOOKUP(C409,O.B.JUNE!$C$7:$K$448,7,0),0)</f>
        <v>0</v>
      </c>
      <c r="R409" s="80">
        <f>IFERROR(VLOOKUP(C409,O.B.JUNE!$C$7:$J$448,8,0),0)</f>
        <v>0</v>
      </c>
      <c r="S409" s="323">
        <f t="shared" si="113"/>
        <v>7946</v>
      </c>
      <c r="T409" s="324">
        <v>7946</v>
      </c>
      <c r="U409" s="324"/>
      <c r="V409" s="80"/>
      <c r="W409" s="324">
        <v>7855</v>
      </c>
      <c r="X409" s="324"/>
      <c r="Y409" s="324">
        <v>2</v>
      </c>
      <c r="Z409" s="80">
        <v>89</v>
      </c>
      <c r="AA409" s="80">
        <f t="shared" si="114"/>
        <v>7946</v>
      </c>
      <c r="AB409" s="323">
        <f t="shared" si="123"/>
        <v>0</v>
      </c>
      <c r="AC409" s="80">
        <f t="shared" si="124"/>
        <v>89</v>
      </c>
      <c r="AD409" s="80">
        <f t="shared" si="121"/>
        <v>89</v>
      </c>
      <c r="AE409" s="80"/>
      <c r="AF409" s="80"/>
      <c r="AG409" s="80"/>
      <c r="AH409" s="326">
        <f t="shared" si="115"/>
        <v>0</v>
      </c>
      <c r="AI409" s="326">
        <f t="shared" si="116"/>
        <v>0</v>
      </c>
      <c r="AJ409" s="326">
        <f t="shared" si="117"/>
        <v>0</v>
      </c>
      <c r="AK409" s="326">
        <f t="shared" si="118"/>
        <v>0</v>
      </c>
      <c r="AL409" s="326"/>
      <c r="AM409" s="326"/>
      <c r="AN409" s="326"/>
      <c r="AO409" s="326"/>
      <c r="AP409" s="326"/>
      <c r="AQ409" s="326"/>
      <c r="AR409" s="327">
        <f>VLOOKUP(C409,'[1]DA HET SAN XUAT'!$D$8:$AJ$419,33,0)</f>
        <v>0</v>
      </c>
      <c r="AS409" s="209"/>
      <c r="AT409" s="411"/>
      <c r="AU409" s="411"/>
    </row>
    <row r="410" spans="1:47" s="390" customFormat="1" ht="18.75" customHeight="1">
      <c r="A410" s="167">
        <v>419</v>
      </c>
      <c r="B410" s="79" t="str">
        <f>IFERROR(VLOOKUP(A410,O.B.JUNE!$A$7:$C$448,2,0),0)</f>
        <v>ALFANI</v>
      </c>
      <c r="C410" s="174">
        <f>IFERROR(VLOOKUP(A410,O.B.JUNE!$A$7:$C$448,3,0),0)</f>
        <v>100018197</v>
      </c>
      <c r="D410" s="80">
        <f t="shared" si="109"/>
        <v>0</v>
      </c>
      <c r="E410" s="80">
        <f>IFERROR(VLOOKUP(C410,O.B.JUNE!$C$7:$D$448,2,0),0)</f>
        <v>9784</v>
      </c>
      <c r="F410" s="80">
        <f>VLOOKUP(C410,'CUTTING ON JUNE'!$A$4:$D$316,3,0)</f>
        <v>9784</v>
      </c>
      <c r="G410" s="80">
        <f>IFERROR(VLOOKUP(C410,O.B.JUNE!$C$7:$E$448,3,0),0)</f>
        <v>9555</v>
      </c>
      <c r="H410" s="80">
        <f t="shared" si="122"/>
        <v>0</v>
      </c>
      <c r="I410" s="80"/>
      <c r="J410" s="80">
        <f t="shared" si="110"/>
        <v>0</v>
      </c>
      <c r="K410" s="80">
        <v>0</v>
      </c>
      <c r="L410" s="80">
        <v>0</v>
      </c>
      <c r="M410" s="81">
        <f t="shared" si="111"/>
        <v>9555</v>
      </c>
      <c r="N410" s="81">
        <v>0</v>
      </c>
      <c r="O410" s="81">
        <v>175</v>
      </c>
      <c r="P410" s="81">
        <f t="shared" si="125"/>
        <v>9380</v>
      </c>
      <c r="Q410" s="80">
        <f>IFERROR(VLOOKUP(C410,O.B.JUNE!$C$7:$K$448,7,0),0)</f>
        <v>0</v>
      </c>
      <c r="R410" s="80">
        <f>IFERROR(VLOOKUP(C410,O.B.JUNE!$C$7:$J$448,8,0),0)</f>
        <v>225</v>
      </c>
      <c r="S410" s="323">
        <f t="shared" si="113"/>
        <v>225</v>
      </c>
      <c r="T410" s="324">
        <v>0</v>
      </c>
      <c r="U410" s="324"/>
      <c r="V410" s="80"/>
      <c r="W410" s="324">
        <v>0</v>
      </c>
      <c r="X410" s="324"/>
      <c r="Y410" s="324">
        <v>0</v>
      </c>
      <c r="Z410" s="80">
        <v>0</v>
      </c>
      <c r="AA410" s="80">
        <f t="shared" si="114"/>
        <v>0</v>
      </c>
      <c r="AB410" s="323">
        <f t="shared" si="123"/>
        <v>0</v>
      </c>
      <c r="AC410" s="80">
        <f t="shared" si="124"/>
        <v>225</v>
      </c>
      <c r="AD410" s="80">
        <f t="shared" si="121"/>
        <v>225</v>
      </c>
      <c r="AE410" s="80"/>
      <c r="AF410" s="80"/>
      <c r="AG410" s="80"/>
      <c r="AH410" s="326">
        <f t="shared" si="115"/>
        <v>0</v>
      </c>
      <c r="AI410" s="326">
        <f t="shared" si="116"/>
        <v>0</v>
      </c>
      <c r="AJ410" s="326">
        <f t="shared" si="117"/>
        <v>0</v>
      </c>
      <c r="AK410" s="326">
        <f t="shared" si="118"/>
        <v>0</v>
      </c>
      <c r="AL410" s="326"/>
      <c r="AM410" s="326"/>
      <c r="AN410" s="326"/>
      <c r="AO410" s="326"/>
      <c r="AP410" s="326"/>
      <c r="AQ410" s="326"/>
      <c r="AR410" s="327"/>
      <c r="AS410" s="209"/>
      <c r="AT410" s="411"/>
      <c r="AU410" s="411"/>
    </row>
    <row r="411" spans="1:47" s="390" customFormat="1" ht="18.75" customHeight="1">
      <c r="A411" s="167">
        <v>420</v>
      </c>
      <c r="B411" s="79" t="str">
        <f>IFERROR(VLOOKUP(A411,O.B.JUNE!$A$7:$C$448,2,0),0)</f>
        <v>ALFANI</v>
      </c>
      <c r="C411" s="174">
        <f>IFERROR(VLOOKUP(A411,O.B.JUNE!$A$7:$C$448,3,0),0)</f>
        <v>100018200</v>
      </c>
      <c r="D411" s="80">
        <f t="shared" si="109"/>
        <v>0</v>
      </c>
      <c r="E411" s="80">
        <f>IFERROR(VLOOKUP(C411,O.B.JUNE!$C$7:$D$448,2,0),0)</f>
        <v>4180</v>
      </c>
      <c r="F411" s="80">
        <f>VLOOKUP(C411,'CUTTING ON JUNE'!$A$4:$D$316,3,0)</f>
        <v>4180</v>
      </c>
      <c r="G411" s="80">
        <f>IFERROR(VLOOKUP(C411,O.B.JUNE!$C$7:$E$448,3,0),0)</f>
        <v>1895</v>
      </c>
      <c r="H411" s="80">
        <f t="shared" si="122"/>
        <v>0</v>
      </c>
      <c r="I411" s="80"/>
      <c r="J411" s="80">
        <f t="shared" si="110"/>
        <v>1757</v>
      </c>
      <c r="K411" s="80">
        <v>0</v>
      </c>
      <c r="L411" s="80">
        <v>0</v>
      </c>
      <c r="M411" s="81">
        <f t="shared" si="111"/>
        <v>138</v>
      </c>
      <c r="N411" s="81">
        <v>0</v>
      </c>
      <c r="O411" s="81">
        <v>0</v>
      </c>
      <c r="P411" s="81">
        <f t="shared" si="125"/>
        <v>138</v>
      </c>
      <c r="Q411" s="80">
        <f>IFERROR(VLOOKUP(C411,O.B.JUNE!$C$7:$K$448,7,0),0)</f>
        <v>2285</v>
      </c>
      <c r="R411" s="80">
        <f>IFERROR(VLOOKUP(C411,O.B.JUNE!$C$7:$J$448,8,0),0)</f>
        <v>0</v>
      </c>
      <c r="S411" s="323">
        <f t="shared" si="113"/>
        <v>4042</v>
      </c>
      <c r="T411" s="324">
        <v>1757</v>
      </c>
      <c r="U411" s="324"/>
      <c r="V411" s="80"/>
      <c r="W411" s="324">
        <v>3966</v>
      </c>
      <c r="X411" s="324"/>
      <c r="Y411" s="324">
        <v>4</v>
      </c>
      <c r="Z411" s="80">
        <v>72</v>
      </c>
      <c r="AA411" s="80">
        <f t="shared" si="114"/>
        <v>1757</v>
      </c>
      <c r="AB411" s="323">
        <f t="shared" si="123"/>
        <v>0</v>
      </c>
      <c r="AC411" s="80">
        <f t="shared" si="124"/>
        <v>72</v>
      </c>
      <c r="AD411" s="80">
        <f t="shared" si="121"/>
        <v>72</v>
      </c>
      <c r="AE411" s="80"/>
      <c r="AF411" s="80"/>
      <c r="AG411" s="80"/>
      <c r="AH411" s="326">
        <f t="shared" si="115"/>
        <v>0</v>
      </c>
      <c r="AI411" s="326">
        <f t="shared" si="116"/>
        <v>0</v>
      </c>
      <c r="AJ411" s="326">
        <f t="shared" si="117"/>
        <v>0</v>
      </c>
      <c r="AK411" s="326">
        <f t="shared" si="118"/>
        <v>0</v>
      </c>
      <c r="AL411" s="326"/>
      <c r="AM411" s="326"/>
      <c r="AN411" s="326"/>
      <c r="AO411" s="326"/>
      <c r="AP411" s="326"/>
      <c r="AQ411" s="326"/>
      <c r="AR411" s="327"/>
      <c r="AS411" s="209"/>
      <c r="AT411" s="411"/>
      <c r="AU411" s="411"/>
    </row>
    <row r="412" spans="1:47" s="390" customFormat="1" ht="18.75" customHeight="1">
      <c r="A412" s="167">
        <v>421</v>
      </c>
      <c r="B412" s="79" t="str">
        <f>IFERROR(VLOOKUP(A412,O.B.JUNE!$A$7:$C$448,2,0),0)</f>
        <v>ALFANI</v>
      </c>
      <c r="C412" s="174">
        <f>IFERROR(VLOOKUP(A412,O.B.JUNE!$A$7:$C$448,3,0),0)</f>
        <v>100018207</v>
      </c>
      <c r="D412" s="80">
        <f t="shared" si="109"/>
        <v>3</v>
      </c>
      <c r="E412" s="80">
        <f>IFERROR(VLOOKUP(C412,O.B.JUNE!$C$7:$D$448,2,0),0)</f>
        <v>3321</v>
      </c>
      <c r="F412" s="80">
        <f>VLOOKUP(C412,'CUTTING ON JUNE'!$A$4:$D$316,3,0)</f>
        <v>3324</v>
      </c>
      <c r="G412" s="80">
        <f>IFERROR(VLOOKUP(C412,O.B.JUNE!$C$7:$E$448,3,0),0)</f>
        <v>3321</v>
      </c>
      <c r="H412" s="80">
        <f t="shared" si="122"/>
        <v>3</v>
      </c>
      <c r="I412" s="80"/>
      <c r="J412" s="80">
        <f t="shared" si="110"/>
        <v>3058</v>
      </c>
      <c r="K412" s="80">
        <v>0</v>
      </c>
      <c r="L412" s="80">
        <v>0</v>
      </c>
      <c r="M412" s="81">
        <f t="shared" si="111"/>
        <v>266</v>
      </c>
      <c r="N412" s="81">
        <v>152</v>
      </c>
      <c r="O412" s="81">
        <v>90</v>
      </c>
      <c r="P412" s="81">
        <f t="shared" si="125"/>
        <v>24</v>
      </c>
      <c r="Q412" s="80">
        <f>IFERROR(VLOOKUP(C412,O.B.JUNE!$C$7:$K$448,7,0),0)</f>
        <v>0</v>
      </c>
      <c r="R412" s="80">
        <f>IFERROR(VLOOKUP(C412,O.B.JUNE!$C$7:$J$448,8,0),0)</f>
        <v>0</v>
      </c>
      <c r="S412" s="323">
        <f t="shared" si="113"/>
        <v>3058</v>
      </c>
      <c r="T412" s="324">
        <v>3058</v>
      </c>
      <c r="U412" s="324"/>
      <c r="V412" s="80"/>
      <c r="W412" s="324">
        <v>3038</v>
      </c>
      <c r="X412" s="324"/>
      <c r="Y412" s="324">
        <v>0</v>
      </c>
      <c r="Z412" s="80">
        <v>20</v>
      </c>
      <c r="AA412" s="80">
        <f t="shared" si="114"/>
        <v>3058</v>
      </c>
      <c r="AB412" s="323">
        <f t="shared" si="123"/>
        <v>0</v>
      </c>
      <c r="AC412" s="80">
        <f t="shared" si="124"/>
        <v>20</v>
      </c>
      <c r="AD412" s="80">
        <f t="shared" si="121"/>
        <v>20</v>
      </c>
      <c r="AE412" s="80"/>
      <c r="AF412" s="80"/>
      <c r="AG412" s="80"/>
      <c r="AH412" s="326">
        <f t="shared" si="115"/>
        <v>0</v>
      </c>
      <c r="AI412" s="326">
        <f t="shared" si="116"/>
        <v>0</v>
      </c>
      <c r="AJ412" s="326">
        <f t="shared" si="117"/>
        <v>0</v>
      </c>
      <c r="AK412" s="326">
        <f t="shared" si="118"/>
        <v>0</v>
      </c>
      <c r="AL412" s="326"/>
      <c r="AM412" s="326"/>
      <c r="AN412" s="326"/>
      <c r="AO412" s="326"/>
      <c r="AP412" s="326"/>
      <c r="AQ412" s="326"/>
      <c r="AR412" s="327">
        <f>VLOOKUP(C412,'[1]DA HET SAN XUAT'!$D$8:$AJ$419,33,0)</f>
        <v>0</v>
      </c>
      <c r="AS412" s="209"/>
      <c r="AT412" s="411"/>
      <c r="AU412" s="411"/>
    </row>
    <row r="413" spans="1:47" s="499" customFormat="1" ht="18.75" customHeight="1">
      <c r="A413" s="490">
        <v>422</v>
      </c>
      <c r="B413" s="491" t="str">
        <f>IFERROR(VLOOKUP(A413,O.B.JUNE!$A$7:$C$448,2,0),0)</f>
        <v>ALFANI</v>
      </c>
      <c r="C413" s="174">
        <f>IFERROR(VLOOKUP(A413,O.B.JUNE!$A$7:$C$448,3,0),0)</f>
        <v>100018224</v>
      </c>
      <c r="D413" s="492">
        <f t="shared" si="109"/>
        <v>0</v>
      </c>
      <c r="E413" s="492">
        <f>IFERROR(VLOOKUP(C413,O.B.JUNE!$C$7:$D$448,2,0),0)</f>
        <v>2736</v>
      </c>
      <c r="F413" s="492">
        <f>VLOOKUP(C413,'CUTTING ON JUNE'!$A$4:$D$316,3,0)</f>
        <v>2736</v>
      </c>
      <c r="G413" s="492">
        <f>IFERROR(VLOOKUP(C413,O.B.JUNE!$C$7:$E$448,3,0),0)</f>
        <v>67</v>
      </c>
      <c r="H413" s="492">
        <f t="shared" si="122"/>
        <v>0</v>
      </c>
      <c r="I413" s="492"/>
      <c r="J413" s="492">
        <f t="shared" si="110"/>
        <v>0</v>
      </c>
      <c r="K413" s="492">
        <v>0</v>
      </c>
      <c r="L413" s="492">
        <v>0</v>
      </c>
      <c r="M413" s="493">
        <f t="shared" si="111"/>
        <v>67</v>
      </c>
      <c r="N413" s="493">
        <v>0</v>
      </c>
      <c r="O413" s="493">
        <v>67</v>
      </c>
      <c r="P413" s="493">
        <f t="shared" si="125"/>
        <v>0</v>
      </c>
      <c r="Q413" s="492">
        <f>IFERROR(VLOOKUP(C413,O.B.JUNE!$C$7:$K$448,7,0),0)</f>
        <v>2669</v>
      </c>
      <c r="R413" s="492">
        <f>IFERROR(VLOOKUP(C413,O.B.JUNE!$C$7:$J$448,8,0),0)</f>
        <v>0</v>
      </c>
      <c r="S413" s="494">
        <f t="shared" si="113"/>
        <v>2669</v>
      </c>
      <c r="T413" s="495">
        <v>0</v>
      </c>
      <c r="U413" s="324"/>
      <c r="V413" s="492"/>
      <c r="W413" s="495">
        <v>2643</v>
      </c>
      <c r="X413" s="495"/>
      <c r="Y413" s="495">
        <v>0</v>
      </c>
      <c r="Z413" s="492">
        <f>23+3</f>
        <v>26</v>
      </c>
      <c r="AA413" s="492">
        <f t="shared" si="114"/>
        <v>0</v>
      </c>
      <c r="AB413" s="323">
        <f t="shared" si="123"/>
        <v>0</v>
      </c>
      <c r="AC413" s="80">
        <f t="shared" si="124"/>
        <v>26</v>
      </c>
      <c r="AD413" s="492">
        <f t="shared" si="121"/>
        <v>26</v>
      </c>
      <c r="AE413" s="492"/>
      <c r="AF413" s="492"/>
      <c r="AG413" s="492"/>
      <c r="AH413" s="496">
        <f t="shared" si="115"/>
        <v>0</v>
      </c>
      <c r="AI413" s="496">
        <f t="shared" si="116"/>
        <v>0</v>
      </c>
      <c r="AJ413" s="496">
        <f t="shared" si="117"/>
        <v>0</v>
      </c>
      <c r="AK413" s="496">
        <f t="shared" si="118"/>
        <v>0</v>
      </c>
      <c r="AL413" s="326"/>
      <c r="AM413" s="326"/>
      <c r="AN413" s="496"/>
      <c r="AO413" s="326"/>
      <c r="AP413" s="326"/>
      <c r="AQ413" s="496"/>
      <c r="AR413" s="327"/>
      <c r="AS413" s="497"/>
      <c r="AT413" s="498"/>
      <c r="AU413" s="498"/>
    </row>
    <row r="414" spans="1:47" s="390" customFormat="1" ht="18.75" customHeight="1">
      <c r="A414" s="167">
        <v>423</v>
      </c>
      <c r="B414" s="79" t="str">
        <f>IFERROR(VLOOKUP(A414,O.B.JUNE!$A$7:$C$448,2,0),0)</f>
        <v>ALFANI</v>
      </c>
      <c r="C414" s="174">
        <f>IFERROR(VLOOKUP(A414,O.B.JUNE!$A$7:$C$448,3,0),0)</f>
        <v>100018229</v>
      </c>
      <c r="D414" s="80">
        <f t="shared" si="109"/>
        <v>59</v>
      </c>
      <c r="E414" s="80">
        <f>IFERROR(VLOOKUP(C414,O.B.JUNE!$C$7:$D$448,2,0),0)</f>
        <v>9739</v>
      </c>
      <c r="F414" s="80">
        <f>VLOOKUP(C414,'CUTTING ON JUNE'!$A$4:$D$316,3,0)</f>
        <v>9798</v>
      </c>
      <c r="G414" s="80">
        <f>IFERROR(VLOOKUP(C414,O.B.JUNE!$C$7:$E$448,3,0),0)</f>
        <v>1582</v>
      </c>
      <c r="H414" s="80">
        <f t="shared" si="122"/>
        <v>59</v>
      </c>
      <c r="I414" s="80"/>
      <c r="J414" s="80">
        <f t="shared" si="110"/>
        <v>1381</v>
      </c>
      <c r="K414" s="80">
        <v>0</v>
      </c>
      <c r="L414" s="80">
        <v>0</v>
      </c>
      <c r="M414" s="81">
        <f t="shared" si="111"/>
        <v>260</v>
      </c>
      <c r="N414" s="81">
        <v>0</v>
      </c>
      <c r="O414" s="81">
        <v>10</v>
      </c>
      <c r="P414" s="81">
        <f t="shared" si="125"/>
        <v>250</v>
      </c>
      <c r="Q414" s="80">
        <f>IFERROR(VLOOKUP(C414,O.B.JUNE!$C$7:$K$448,7,0),0)</f>
        <v>8157</v>
      </c>
      <c r="R414" s="80">
        <f>IFERROR(VLOOKUP(C414,O.B.JUNE!$C$7:$J$448,8,0),0)</f>
        <v>0</v>
      </c>
      <c r="S414" s="323">
        <f t="shared" si="113"/>
        <v>9538</v>
      </c>
      <c r="T414" s="324">
        <v>1381</v>
      </c>
      <c r="U414" s="324"/>
      <c r="V414" s="80"/>
      <c r="W414" s="324">
        <v>9428</v>
      </c>
      <c r="X414" s="324"/>
      <c r="Y414" s="324">
        <v>4</v>
      </c>
      <c r="Z414" s="80">
        <v>106</v>
      </c>
      <c r="AA414" s="80">
        <f t="shared" si="114"/>
        <v>1381</v>
      </c>
      <c r="AB414" s="323">
        <f t="shared" si="123"/>
        <v>0</v>
      </c>
      <c r="AC414" s="80">
        <f t="shared" si="124"/>
        <v>106</v>
      </c>
      <c r="AD414" s="80">
        <f t="shared" si="121"/>
        <v>106</v>
      </c>
      <c r="AE414" s="80"/>
      <c r="AF414" s="80"/>
      <c r="AG414" s="80"/>
      <c r="AH414" s="326">
        <f t="shared" si="115"/>
        <v>0</v>
      </c>
      <c r="AI414" s="326">
        <f t="shared" si="116"/>
        <v>0</v>
      </c>
      <c r="AJ414" s="326">
        <f t="shared" si="117"/>
        <v>0</v>
      </c>
      <c r="AK414" s="326">
        <f t="shared" si="118"/>
        <v>0</v>
      </c>
      <c r="AL414" s="326"/>
      <c r="AM414" s="326"/>
      <c r="AN414" s="326"/>
      <c r="AO414" s="326"/>
      <c r="AP414" s="326"/>
      <c r="AQ414" s="326"/>
      <c r="AR414" s="327"/>
      <c r="AS414" s="209"/>
      <c r="AT414" s="411"/>
      <c r="AU414" s="411"/>
    </row>
    <row r="415" spans="1:47" s="390" customFormat="1" ht="18.75" customHeight="1">
      <c r="A415" s="167">
        <v>424</v>
      </c>
      <c r="B415" s="79" t="str">
        <f>IFERROR(VLOOKUP(A415,O.B.JUNE!$A$7:$C$448,2,0),0)</f>
        <v>ALFANI</v>
      </c>
      <c r="C415" s="174">
        <f>IFERROR(VLOOKUP(A415,O.B.JUNE!$A$7:$C$448,3,0),0)</f>
        <v>100018250</v>
      </c>
      <c r="D415" s="80">
        <f t="shared" si="109"/>
        <v>0</v>
      </c>
      <c r="E415" s="80">
        <f>IFERROR(VLOOKUP(C415,O.B.JUNE!$C$7:$D$448,2,0),0)</f>
        <v>7995</v>
      </c>
      <c r="F415" s="80">
        <f>VLOOKUP(C415,'CUTTING ON JUNE'!$A$4:$D$316,3,0)</f>
        <v>7995</v>
      </c>
      <c r="G415" s="80">
        <f>IFERROR(VLOOKUP(C415,O.B.JUNE!$C$7:$E$448,3,0),0)</f>
        <v>830</v>
      </c>
      <c r="H415" s="80">
        <f t="shared" si="122"/>
        <v>0</v>
      </c>
      <c r="I415" s="80"/>
      <c r="J415" s="80">
        <f t="shared" si="110"/>
        <v>603</v>
      </c>
      <c r="K415" s="80">
        <v>0</v>
      </c>
      <c r="L415" s="80">
        <v>0</v>
      </c>
      <c r="M415" s="81">
        <f t="shared" si="111"/>
        <v>227</v>
      </c>
      <c r="N415" s="81">
        <v>0</v>
      </c>
      <c r="O415" s="81">
        <v>144</v>
      </c>
      <c r="P415" s="81">
        <f t="shared" si="125"/>
        <v>83</v>
      </c>
      <c r="Q415" s="80">
        <f>IFERROR(VLOOKUP(C415,O.B.JUNE!$C$7:$K$448,7,0),0)</f>
        <v>7165</v>
      </c>
      <c r="R415" s="80">
        <f>IFERROR(VLOOKUP(C415,O.B.JUNE!$C$7:$J$448,8,0),0)</f>
        <v>0</v>
      </c>
      <c r="S415" s="323">
        <f t="shared" si="113"/>
        <v>7768</v>
      </c>
      <c r="T415" s="324">
        <v>603</v>
      </c>
      <c r="U415" s="324"/>
      <c r="V415" s="80"/>
      <c r="W415" s="324">
        <v>7768</v>
      </c>
      <c r="X415" s="324"/>
      <c r="Y415" s="324">
        <v>0</v>
      </c>
      <c r="Z415" s="80">
        <v>0</v>
      </c>
      <c r="AA415" s="80">
        <f t="shared" si="114"/>
        <v>603</v>
      </c>
      <c r="AB415" s="323">
        <f t="shared" si="123"/>
        <v>0</v>
      </c>
      <c r="AC415" s="80">
        <f t="shared" si="124"/>
        <v>0</v>
      </c>
      <c r="AD415" s="80">
        <f t="shared" si="121"/>
        <v>0</v>
      </c>
      <c r="AE415" s="80"/>
      <c r="AF415" s="80"/>
      <c r="AG415" s="80"/>
      <c r="AH415" s="326">
        <f t="shared" si="115"/>
        <v>0</v>
      </c>
      <c r="AI415" s="326">
        <f t="shared" si="116"/>
        <v>0</v>
      </c>
      <c r="AJ415" s="326">
        <f t="shared" si="117"/>
        <v>0</v>
      </c>
      <c r="AK415" s="326">
        <f t="shared" si="118"/>
        <v>0</v>
      </c>
      <c r="AL415" s="326"/>
      <c r="AM415" s="326"/>
      <c r="AN415" s="326"/>
      <c r="AO415" s="326"/>
      <c r="AP415" s="326"/>
      <c r="AQ415" s="326"/>
      <c r="AR415" s="327">
        <f>VLOOKUP(C415,'[1]DA HET SAN XUAT'!$D$8:$AJ$419,33,0)</f>
        <v>0</v>
      </c>
      <c r="AS415" s="209"/>
      <c r="AT415" s="411"/>
      <c r="AU415" s="411"/>
    </row>
    <row r="416" spans="1:47" s="390" customFormat="1" ht="18.75" customHeight="1">
      <c r="A416" s="167">
        <v>425</v>
      </c>
      <c r="B416" s="79" t="str">
        <f>IFERROR(VLOOKUP(A416,O.B.JUNE!$A$7:$C$448,2,0),0)</f>
        <v>ALFANI</v>
      </c>
      <c r="C416" s="174">
        <f>IFERROR(VLOOKUP(A416,O.B.JUNE!$A$7:$C$448,3,0),0)</f>
        <v>100018251</v>
      </c>
      <c r="D416" s="80">
        <f t="shared" si="109"/>
        <v>229</v>
      </c>
      <c r="E416" s="80">
        <f>IFERROR(VLOOKUP(C416,O.B.JUNE!$C$7:$D$448,2,0),0)</f>
        <v>3460</v>
      </c>
      <c r="F416" s="80">
        <f>VLOOKUP(C416,'CUTTING ON JUNE'!$A$4:$D$316,3,0)</f>
        <v>3689</v>
      </c>
      <c r="G416" s="80">
        <f>IFERROR(VLOOKUP(C416,O.B.JUNE!$C$7:$E$448,3,0),0)</f>
        <v>294</v>
      </c>
      <c r="H416" s="80">
        <f t="shared" si="122"/>
        <v>229</v>
      </c>
      <c r="I416" s="80"/>
      <c r="J416" s="80">
        <f t="shared" si="110"/>
        <v>207</v>
      </c>
      <c r="K416" s="80">
        <v>0</v>
      </c>
      <c r="L416" s="80">
        <v>0</v>
      </c>
      <c r="M416" s="81">
        <f t="shared" si="111"/>
        <v>316</v>
      </c>
      <c r="N416" s="81">
        <v>0</v>
      </c>
      <c r="O416" s="81">
        <v>101</v>
      </c>
      <c r="P416" s="81">
        <f t="shared" si="125"/>
        <v>215</v>
      </c>
      <c r="Q416" s="80">
        <f>IFERROR(VLOOKUP(C416,O.B.JUNE!$C$7:$K$448,7,0),0)</f>
        <v>3166</v>
      </c>
      <c r="R416" s="80">
        <f>IFERROR(VLOOKUP(C416,O.B.JUNE!$C$7:$J$448,8,0),0)</f>
        <v>0</v>
      </c>
      <c r="S416" s="323">
        <f t="shared" si="113"/>
        <v>3373</v>
      </c>
      <c r="T416" s="324">
        <v>207</v>
      </c>
      <c r="U416" s="324"/>
      <c r="V416" s="80"/>
      <c r="W416" s="324">
        <v>3335</v>
      </c>
      <c r="X416" s="324"/>
      <c r="Y416" s="324">
        <v>0</v>
      </c>
      <c r="Z416" s="80">
        <v>38</v>
      </c>
      <c r="AA416" s="80">
        <f t="shared" si="114"/>
        <v>207</v>
      </c>
      <c r="AB416" s="323">
        <f t="shared" si="123"/>
        <v>0</v>
      </c>
      <c r="AC416" s="80">
        <f t="shared" si="124"/>
        <v>38</v>
      </c>
      <c r="AD416" s="80">
        <f t="shared" si="121"/>
        <v>38</v>
      </c>
      <c r="AE416" s="80"/>
      <c r="AF416" s="80"/>
      <c r="AG416" s="80"/>
      <c r="AH416" s="326">
        <f t="shared" si="115"/>
        <v>0</v>
      </c>
      <c r="AI416" s="326">
        <f t="shared" si="116"/>
        <v>0</v>
      </c>
      <c r="AJ416" s="326">
        <f t="shared" si="117"/>
        <v>0</v>
      </c>
      <c r="AK416" s="326">
        <f t="shared" si="118"/>
        <v>0</v>
      </c>
      <c r="AL416" s="326"/>
      <c r="AM416" s="326"/>
      <c r="AN416" s="326"/>
      <c r="AO416" s="326"/>
      <c r="AP416" s="326"/>
      <c r="AQ416" s="326"/>
      <c r="AR416" s="327"/>
      <c r="AS416" s="209"/>
      <c r="AT416" s="411"/>
      <c r="AU416" s="411"/>
    </row>
    <row r="417" spans="1:47" s="390" customFormat="1" ht="18.75" customHeight="1">
      <c r="A417" s="167">
        <v>426</v>
      </c>
      <c r="B417" s="79" t="str">
        <f>IFERROR(VLOOKUP(A417,O.B.JUNE!$A$7:$C$448,2,0),0)</f>
        <v>ALFANI</v>
      </c>
      <c r="C417" s="174">
        <f>IFERROR(VLOOKUP(A417,O.B.JUNE!$A$7:$C$448,3,0),0)</f>
        <v>100018252</v>
      </c>
      <c r="D417" s="80">
        <f t="shared" si="109"/>
        <v>0</v>
      </c>
      <c r="E417" s="80">
        <f>IFERROR(VLOOKUP(C417,O.B.JUNE!$C$7:$D$448,2,0),0)</f>
        <v>2441</v>
      </c>
      <c r="F417" s="80">
        <f>VLOOKUP(C417,'CUTTING ON JUNE'!$A$4:$D$316,3,0)</f>
        <v>2441</v>
      </c>
      <c r="G417" s="80">
        <f>IFERROR(VLOOKUP(C417,O.B.JUNE!$C$7:$E$448,3,0),0)</f>
        <v>93</v>
      </c>
      <c r="H417" s="80">
        <f t="shared" si="122"/>
        <v>0</v>
      </c>
      <c r="I417" s="80"/>
      <c r="J417" s="80">
        <f t="shared" si="110"/>
        <v>47</v>
      </c>
      <c r="K417" s="80">
        <v>0</v>
      </c>
      <c r="L417" s="80">
        <v>0</v>
      </c>
      <c r="M417" s="81">
        <f t="shared" si="111"/>
        <v>46</v>
      </c>
      <c r="N417" s="81">
        <v>0</v>
      </c>
      <c r="O417" s="81">
        <v>3</v>
      </c>
      <c r="P417" s="81">
        <f t="shared" si="125"/>
        <v>43</v>
      </c>
      <c r="Q417" s="80">
        <f>IFERROR(VLOOKUP(C417,O.B.JUNE!$C$7:$K$448,7,0),0)</f>
        <v>2346</v>
      </c>
      <c r="R417" s="80">
        <f>IFERROR(VLOOKUP(C417,O.B.JUNE!$C$7:$J$448,8,0),0)</f>
        <v>0</v>
      </c>
      <c r="S417" s="323">
        <f t="shared" si="113"/>
        <v>2393</v>
      </c>
      <c r="T417" s="324">
        <v>47</v>
      </c>
      <c r="U417" s="324"/>
      <c r="V417" s="80"/>
      <c r="W417" s="324">
        <v>2354</v>
      </c>
      <c r="X417" s="324"/>
      <c r="Y417" s="324">
        <v>2</v>
      </c>
      <c r="Z417" s="80">
        <v>37</v>
      </c>
      <c r="AA417" s="80">
        <f t="shared" si="114"/>
        <v>47</v>
      </c>
      <c r="AB417" s="323">
        <f t="shared" si="123"/>
        <v>0</v>
      </c>
      <c r="AC417" s="80">
        <f t="shared" si="124"/>
        <v>37</v>
      </c>
      <c r="AD417" s="80">
        <f t="shared" si="121"/>
        <v>37</v>
      </c>
      <c r="AE417" s="80"/>
      <c r="AF417" s="80"/>
      <c r="AG417" s="80"/>
      <c r="AH417" s="326">
        <f t="shared" si="115"/>
        <v>0</v>
      </c>
      <c r="AI417" s="326">
        <f t="shared" si="116"/>
        <v>0</v>
      </c>
      <c r="AJ417" s="326">
        <f t="shared" si="117"/>
        <v>0</v>
      </c>
      <c r="AK417" s="326">
        <f t="shared" si="118"/>
        <v>0</v>
      </c>
      <c r="AL417" s="326"/>
      <c r="AM417" s="326"/>
      <c r="AN417" s="326"/>
      <c r="AO417" s="326"/>
      <c r="AP417" s="326"/>
      <c r="AQ417" s="326"/>
      <c r="AR417" s="327"/>
      <c r="AS417" s="209"/>
      <c r="AT417" s="411"/>
      <c r="AU417" s="411"/>
    </row>
    <row r="418" spans="1:47" s="390" customFormat="1" ht="18.75" customHeight="1">
      <c r="A418" s="167">
        <v>427</v>
      </c>
      <c r="B418" s="79" t="str">
        <f>IFERROR(VLOOKUP(A418,O.B.JUNE!$A$7:$C$448,2,0),0)</f>
        <v>ALFANI</v>
      </c>
      <c r="C418" s="174">
        <f>IFERROR(VLOOKUP(A418,O.B.JUNE!$A$7:$C$448,3,0),0)</f>
        <v>100018257</v>
      </c>
      <c r="D418" s="80">
        <f t="shared" si="109"/>
        <v>226</v>
      </c>
      <c r="E418" s="80">
        <f>IFERROR(VLOOKUP(C418,O.B.JUNE!$C$7:$D$448,2,0),0)</f>
        <v>4305</v>
      </c>
      <c r="F418" s="80">
        <f>VLOOKUP(C418,'CUTTING ON JUNE'!$A$4:$D$316,3,0)</f>
        <v>4531</v>
      </c>
      <c r="G418" s="80">
        <f>IFERROR(VLOOKUP(C418,O.B.JUNE!$C$7:$E$448,3,0),0)</f>
        <v>2413</v>
      </c>
      <c r="H418" s="80">
        <f t="shared" si="122"/>
        <v>226</v>
      </c>
      <c r="I418" s="80"/>
      <c r="J418" s="80">
        <f t="shared" si="110"/>
        <v>2580</v>
      </c>
      <c r="K418" s="80">
        <v>0</v>
      </c>
      <c r="L418" s="80">
        <v>0</v>
      </c>
      <c r="M418" s="81">
        <f t="shared" si="111"/>
        <v>59</v>
      </c>
      <c r="N418" s="81">
        <v>0</v>
      </c>
      <c r="O418" s="81">
        <v>58</v>
      </c>
      <c r="P418" s="81">
        <f t="shared" si="125"/>
        <v>1</v>
      </c>
      <c r="Q418" s="80">
        <f>IFERROR(VLOOKUP(C418,O.B.JUNE!$C$7:$K$448,7,0),0)</f>
        <v>1892</v>
      </c>
      <c r="R418" s="80">
        <f>IFERROR(VLOOKUP(C418,O.B.JUNE!$C$7:$J$448,8,0),0)</f>
        <v>0</v>
      </c>
      <c r="S418" s="323">
        <f t="shared" si="113"/>
        <v>4472</v>
      </c>
      <c r="T418" s="324">
        <v>2580</v>
      </c>
      <c r="U418" s="324"/>
      <c r="V418" s="80"/>
      <c r="W418" s="324">
        <v>4416</v>
      </c>
      <c r="X418" s="324"/>
      <c r="Y418" s="324">
        <v>0</v>
      </c>
      <c r="Z418" s="80">
        <v>56</v>
      </c>
      <c r="AA418" s="80">
        <f t="shared" si="114"/>
        <v>2580</v>
      </c>
      <c r="AB418" s="323">
        <f t="shared" si="123"/>
        <v>0</v>
      </c>
      <c r="AC418" s="80">
        <f t="shared" si="124"/>
        <v>56</v>
      </c>
      <c r="AD418" s="80">
        <f t="shared" si="121"/>
        <v>56</v>
      </c>
      <c r="AE418" s="80"/>
      <c r="AF418" s="80"/>
      <c r="AG418" s="80"/>
      <c r="AH418" s="326">
        <f t="shared" si="115"/>
        <v>0</v>
      </c>
      <c r="AI418" s="326">
        <f t="shared" si="116"/>
        <v>0</v>
      </c>
      <c r="AJ418" s="326">
        <f t="shared" si="117"/>
        <v>0</v>
      </c>
      <c r="AK418" s="326">
        <f t="shared" si="118"/>
        <v>0</v>
      </c>
      <c r="AL418" s="326"/>
      <c r="AM418" s="326"/>
      <c r="AN418" s="326"/>
      <c r="AO418" s="326"/>
      <c r="AP418" s="326"/>
      <c r="AQ418" s="326"/>
      <c r="AR418" s="327">
        <f>VLOOKUP(C418,'[1]DA HET SAN XUAT'!$D$8:$AJ$419,33,0)</f>
        <v>0</v>
      </c>
      <c r="AS418" s="209"/>
      <c r="AT418" s="411"/>
      <c r="AU418" s="411"/>
    </row>
    <row r="419" spans="1:47" s="390" customFormat="1" ht="18.75" customHeight="1">
      <c r="A419" s="167">
        <v>428</v>
      </c>
      <c r="B419" s="79" t="str">
        <f>IFERROR(VLOOKUP(A419,O.B.JUNE!$A$7:$C$448,2,0),0)</f>
        <v>ALFANI</v>
      </c>
      <c r="C419" s="174">
        <f>IFERROR(VLOOKUP(A419,O.B.JUNE!$A$7:$C$448,3,0),0)</f>
        <v>100018258</v>
      </c>
      <c r="D419" s="80">
        <f t="shared" si="109"/>
        <v>0</v>
      </c>
      <c r="E419" s="80">
        <f>IFERROR(VLOOKUP(C419,O.B.JUNE!$C$7:$D$448,2,0),0)</f>
        <v>6525</v>
      </c>
      <c r="F419" s="80">
        <f>VLOOKUP(C419,'CUTTING ON JUNE'!$A$4:$D$316,3,0)</f>
        <v>6525</v>
      </c>
      <c r="G419" s="80">
        <f>IFERROR(VLOOKUP(C419,O.B.JUNE!$C$7:$E$448,3,0),0)</f>
        <v>671</v>
      </c>
      <c r="H419" s="80">
        <f t="shared" si="122"/>
        <v>0</v>
      </c>
      <c r="I419" s="80"/>
      <c r="J419" s="80">
        <f t="shared" si="110"/>
        <v>501</v>
      </c>
      <c r="K419" s="80">
        <v>0</v>
      </c>
      <c r="L419" s="80">
        <v>0</v>
      </c>
      <c r="M419" s="81">
        <f t="shared" si="111"/>
        <v>170</v>
      </c>
      <c r="N419" s="81">
        <v>0</v>
      </c>
      <c r="O419" s="81">
        <v>37</v>
      </c>
      <c r="P419" s="81">
        <f t="shared" si="125"/>
        <v>133</v>
      </c>
      <c r="Q419" s="80">
        <f>IFERROR(VLOOKUP(C419,O.B.JUNE!$C$7:$K$448,7,0),0)</f>
        <v>5854</v>
      </c>
      <c r="R419" s="80">
        <f>IFERROR(VLOOKUP(C419,O.B.JUNE!$C$7:$J$448,8,0),0)</f>
        <v>0</v>
      </c>
      <c r="S419" s="323">
        <f t="shared" si="113"/>
        <v>6355</v>
      </c>
      <c r="T419" s="324">
        <v>501</v>
      </c>
      <c r="U419" s="324"/>
      <c r="V419" s="80"/>
      <c r="W419" s="324">
        <v>6348</v>
      </c>
      <c r="X419" s="324"/>
      <c r="Y419" s="324">
        <v>1</v>
      </c>
      <c r="Z419" s="80">
        <v>6</v>
      </c>
      <c r="AA419" s="80">
        <f t="shared" si="114"/>
        <v>501</v>
      </c>
      <c r="AB419" s="323">
        <f t="shared" si="123"/>
        <v>0</v>
      </c>
      <c r="AC419" s="80">
        <f t="shared" si="124"/>
        <v>6</v>
      </c>
      <c r="AD419" s="80">
        <f t="shared" si="121"/>
        <v>6</v>
      </c>
      <c r="AE419" s="80"/>
      <c r="AF419" s="80"/>
      <c r="AG419" s="80"/>
      <c r="AH419" s="326">
        <f t="shared" si="115"/>
        <v>0</v>
      </c>
      <c r="AI419" s="326">
        <f t="shared" si="116"/>
        <v>0</v>
      </c>
      <c r="AJ419" s="326">
        <f t="shared" si="117"/>
        <v>0</v>
      </c>
      <c r="AK419" s="326">
        <f t="shared" si="118"/>
        <v>0</v>
      </c>
      <c r="AL419" s="326"/>
      <c r="AM419" s="326"/>
      <c r="AN419" s="326"/>
      <c r="AO419" s="326"/>
      <c r="AP419" s="326"/>
      <c r="AQ419" s="326"/>
      <c r="AR419" s="327">
        <f>VLOOKUP(C419,'[1]DA HET SAN XUAT'!$D$8:$AJ$419,33,0)</f>
        <v>0</v>
      </c>
      <c r="AS419" s="209"/>
      <c r="AT419" s="411"/>
      <c r="AU419" s="411"/>
    </row>
    <row r="420" spans="1:47" s="390" customFormat="1" ht="18.75" customHeight="1">
      <c r="A420" s="167">
        <v>429</v>
      </c>
      <c r="B420" s="79" t="str">
        <f>IFERROR(VLOOKUP(A420,O.B.JUNE!$A$7:$C$448,2,0),0)</f>
        <v>ALFANI</v>
      </c>
      <c r="C420" s="174">
        <f>IFERROR(VLOOKUP(A420,O.B.JUNE!$A$7:$C$448,3,0),0)</f>
        <v>100018259</v>
      </c>
      <c r="D420" s="80">
        <f t="shared" si="109"/>
        <v>0</v>
      </c>
      <c r="E420" s="80">
        <f>IFERROR(VLOOKUP(C420,O.B.JUNE!$C$7:$D$448,2,0),0)</f>
        <v>1281</v>
      </c>
      <c r="F420" s="80">
        <f>VLOOKUP(C420,'CUTTING ON JUNE'!$A$4:$D$316,3,0)</f>
        <v>1281</v>
      </c>
      <c r="G420" s="80">
        <f>IFERROR(VLOOKUP(C420,O.B.JUNE!$C$7:$E$448,3,0),0)</f>
        <v>26</v>
      </c>
      <c r="H420" s="80">
        <f t="shared" si="122"/>
        <v>0</v>
      </c>
      <c r="I420" s="80"/>
      <c r="J420" s="80">
        <f t="shared" si="110"/>
        <v>0</v>
      </c>
      <c r="K420" s="80">
        <v>0</v>
      </c>
      <c r="L420" s="80">
        <v>0</v>
      </c>
      <c r="M420" s="81">
        <f t="shared" si="111"/>
        <v>26</v>
      </c>
      <c r="N420" s="81">
        <v>0</v>
      </c>
      <c r="O420" s="81">
        <v>26</v>
      </c>
      <c r="P420" s="81">
        <f t="shared" si="125"/>
        <v>0</v>
      </c>
      <c r="Q420" s="80">
        <f>IFERROR(VLOOKUP(C420,O.B.JUNE!$C$7:$K$448,7,0),0)</f>
        <v>1255</v>
      </c>
      <c r="R420" s="80">
        <f>IFERROR(VLOOKUP(C420,O.B.JUNE!$C$7:$J$448,8,0),0)</f>
        <v>0</v>
      </c>
      <c r="S420" s="323">
        <f t="shared" si="113"/>
        <v>1255</v>
      </c>
      <c r="T420" s="324">
        <v>0</v>
      </c>
      <c r="U420" s="324"/>
      <c r="V420" s="80"/>
      <c r="W420" s="324">
        <v>1239</v>
      </c>
      <c r="X420" s="324"/>
      <c r="Y420" s="324">
        <v>0</v>
      </c>
      <c r="Z420" s="80">
        <v>16</v>
      </c>
      <c r="AA420" s="80">
        <f t="shared" si="114"/>
        <v>0</v>
      </c>
      <c r="AB420" s="323">
        <f t="shared" si="123"/>
        <v>0</v>
      </c>
      <c r="AC420" s="80">
        <f t="shared" si="124"/>
        <v>16</v>
      </c>
      <c r="AD420" s="80">
        <f t="shared" si="121"/>
        <v>16</v>
      </c>
      <c r="AE420" s="80"/>
      <c r="AF420" s="80"/>
      <c r="AG420" s="80"/>
      <c r="AH420" s="326">
        <f t="shared" si="115"/>
        <v>0</v>
      </c>
      <c r="AI420" s="326">
        <f t="shared" si="116"/>
        <v>0</v>
      </c>
      <c r="AJ420" s="326">
        <f t="shared" si="117"/>
        <v>0</v>
      </c>
      <c r="AK420" s="326">
        <f t="shared" si="118"/>
        <v>0</v>
      </c>
      <c r="AL420" s="326"/>
      <c r="AM420" s="326"/>
      <c r="AN420" s="326"/>
      <c r="AO420" s="326"/>
      <c r="AP420" s="326"/>
      <c r="AQ420" s="326"/>
      <c r="AR420" s="327"/>
      <c r="AS420" s="209"/>
      <c r="AT420" s="411"/>
      <c r="AU420" s="411"/>
    </row>
    <row r="421" spans="1:47" s="390" customFormat="1" ht="18.75" customHeight="1">
      <c r="A421" s="167">
        <v>430</v>
      </c>
      <c r="B421" s="79" t="str">
        <f>IFERROR(VLOOKUP(A421,O.B.JUNE!$A$7:$C$448,2,0),0)</f>
        <v>ALFANI</v>
      </c>
      <c r="C421" s="174">
        <f>IFERROR(VLOOKUP(A421,O.B.JUNE!$A$7:$C$448,3,0),0)</f>
        <v>100018260</v>
      </c>
      <c r="D421" s="80">
        <f t="shared" si="109"/>
        <v>0</v>
      </c>
      <c r="E421" s="80">
        <f>IFERROR(VLOOKUP(C421,O.B.JUNE!$C$7:$D$448,2,0),0)</f>
        <v>1352</v>
      </c>
      <c r="F421" s="80">
        <f>VLOOKUP(C421,'CUTTING ON JUNE'!$A$4:$D$316,3,0)</f>
        <v>1352</v>
      </c>
      <c r="G421" s="80">
        <f>IFERROR(VLOOKUP(C421,O.B.JUNE!$C$7:$E$448,3,0),0)</f>
        <v>1352</v>
      </c>
      <c r="H421" s="80">
        <f t="shared" si="122"/>
        <v>0</v>
      </c>
      <c r="I421" s="80"/>
      <c r="J421" s="80">
        <f t="shared" si="110"/>
        <v>1310</v>
      </c>
      <c r="K421" s="80">
        <v>0</v>
      </c>
      <c r="L421" s="80">
        <v>0</v>
      </c>
      <c r="M421" s="81">
        <f t="shared" si="111"/>
        <v>42</v>
      </c>
      <c r="N421" s="81"/>
      <c r="O421" s="81">
        <v>0</v>
      </c>
      <c r="P421" s="81">
        <v>42</v>
      </c>
      <c r="Q421" s="80">
        <f>IFERROR(VLOOKUP(C421,O.B.JUNE!$C$7:$K$448,7,0),0)</f>
        <v>0</v>
      </c>
      <c r="R421" s="80">
        <f>IFERROR(VLOOKUP(C421,O.B.JUNE!$C$7:$J$448,8,0),0)</f>
        <v>0</v>
      </c>
      <c r="S421" s="323">
        <f t="shared" si="113"/>
        <v>1310</v>
      </c>
      <c r="T421" s="324">
        <v>1310</v>
      </c>
      <c r="U421" s="324"/>
      <c r="V421" s="80"/>
      <c r="W421" s="324">
        <v>1293</v>
      </c>
      <c r="X421" s="324"/>
      <c r="Y421" s="324">
        <v>0</v>
      </c>
      <c r="Z421" s="80">
        <v>17</v>
      </c>
      <c r="AA421" s="80">
        <f t="shared" si="114"/>
        <v>1310</v>
      </c>
      <c r="AB421" s="323">
        <f t="shared" si="123"/>
        <v>0</v>
      </c>
      <c r="AC421" s="80">
        <f t="shared" si="124"/>
        <v>17</v>
      </c>
      <c r="AD421" s="80">
        <f t="shared" si="121"/>
        <v>17</v>
      </c>
      <c r="AE421" s="80"/>
      <c r="AF421" s="80"/>
      <c r="AG421" s="80"/>
      <c r="AH421" s="326">
        <f t="shared" si="115"/>
        <v>0</v>
      </c>
      <c r="AI421" s="326">
        <f t="shared" si="116"/>
        <v>0</v>
      </c>
      <c r="AJ421" s="326">
        <f t="shared" si="117"/>
        <v>0</v>
      </c>
      <c r="AK421" s="326">
        <f t="shared" si="118"/>
        <v>0</v>
      </c>
      <c r="AL421" s="326"/>
      <c r="AM421" s="326"/>
      <c r="AN421" s="326"/>
      <c r="AO421" s="326"/>
      <c r="AP421" s="326"/>
      <c r="AQ421" s="326"/>
      <c r="AR421" s="327">
        <f>VLOOKUP(C421,'[1]DA HET SAN XUAT'!$D$8:$AJ$419,33,0)</f>
        <v>0</v>
      </c>
      <c r="AS421" s="209"/>
      <c r="AT421" s="411"/>
      <c r="AU421" s="411"/>
    </row>
    <row r="422" spans="1:47" s="499" customFormat="1" ht="18.75" customHeight="1">
      <c r="A422" s="490">
        <v>431</v>
      </c>
      <c r="B422" s="491" t="str">
        <f>IFERROR(VLOOKUP(A422,O.B.JUNE!$A$7:$C$448,2,0),0)</f>
        <v>ALFANI</v>
      </c>
      <c r="C422" s="174">
        <f>IFERROR(VLOOKUP(A422,O.B.JUNE!$A$7:$C$448,3,0),0)</f>
        <v>100024706</v>
      </c>
      <c r="D422" s="492">
        <f t="shared" si="109"/>
        <v>0</v>
      </c>
      <c r="E422" s="492">
        <f>IFERROR(VLOOKUP(C422,O.B.JUNE!$C$7:$D$448,2,0),0)</f>
        <v>3685</v>
      </c>
      <c r="F422" s="492">
        <f>VLOOKUP(C422,'CUTTING ON JUNE'!$A$4:$D$316,3,0)</f>
        <v>3685</v>
      </c>
      <c r="G422" s="492">
        <f>IFERROR(VLOOKUP(C422,O.B.JUNE!$C$7:$E$448,3,0),0)</f>
        <v>228</v>
      </c>
      <c r="H422" s="492">
        <f t="shared" ref="H422:H423" si="126">IF(F422="","",F422-E422)</f>
        <v>0</v>
      </c>
      <c r="I422" s="492"/>
      <c r="J422" s="492">
        <f t="shared" si="110"/>
        <v>0</v>
      </c>
      <c r="K422" s="492">
        <v>0</v>
      </c>
      <c r="L422" s="492">
        <v>0</v>
      </c>
      <c r="M422" s="493">
        <f t="shared" si="111"/>
        <v>228</v>
      </c>
      <c r="N422" s="493">
        <v>0</v>
      </c>
      <c r="O422" s="493">
        <v>174</v>
      </c>
      <c r="P422" s="493">
        <f t="shared" si="125"/>
        <v>54</v>
      </c>
      <c r="Q422" s="492">
        <f>IFERROR(VLOOKUP(C422,O.B.JUNE!$C$7:$K$448,7,0),0)</f>
        <v>3457</v>
      </c>
      <c r="R422" s="492">
        <f>IFERROR(VLOOKUP(C422,O.B.JUNE!$C$7:$J$448,8,0),0)</f>
        <v>0</v>
      </c>
      <c r="S422" s="494">
        <f t="shared" si="113"/>
        <v>3457</v>
      </c>
      <c r="T422" s="495">
        <v>0</v>
      </c>
      <c r="U422" s="324"/>
      <c r="V422" s="492"/>
      <c r="W422" s="495">
        <v>3399</v>
      </c>
      <c r="X422" s="495"/>
      <c r="Y422" s="495">
        <v>0</v>
      </c>
      <c r="Z422" s="492">
        <f>53+5</f>
        <v>58</v>
      </c>
      <c r="AA422" s="492">
        <f t="shared" si="114"/>
        <v>0</v>
      </c>
      <c r="AB422" s="323">
        <f t="shared" si="123"/>
        <v>0</v>
      </c>
      <c r="AC422" s="80">
        <f t="shared" si="124"/>
        <v>58</v>
      </c>
      <c r="AD422" s="492">
        <f t="shared" si="121"/>
        <v>58</v>
      </c>
      <c r="AE422" s="492"/>
      <c r="AF422" s="492"/>
      <c r="AG422" s="492"/>
      <c r="AH422" s="496">
        <f t="shared" si="115"/>
        <v>0</v>
      </c>
      <c r="AI422" s="496">
        <f t="shared" si="116"/>
        <v>0</v>
      </c>
      <c r="AJ422" s="496">
        <f t="shared" si="117"/>
        <v>0</v>
      </c>
      <c r="AK422" s="496">
        <f t="shared" si="118"/>
        <v>0</v>
      </c>
      <c r="AL422" s="326"/>
      <c r="AM422" s="326"/>
      <c r="AN422" s="496"/>
      <c r="AO422" s="326"/>
      <c r="AP422" s="326"/>
      <c r="AQ422" s="496"/>
      <c r="AR422" s="327"/>
      <c r="AS422" s="497"/>
      <c r="AT422" s="498"/>
      <c r="AU422" s="498"/>
    </row>
    <row r="423" spans="1:47" s="390" customFormat="1" ht="18.75" customHeight="1">
      <c r="A423" s="167">
        <v>432</v>
      </c>
      <c r="B423" s="79" t="str">
        <f>IFERROR(VLOOKUP(A423,O.B.JUNE!$A$7:$C$448,2,0),0)</f>
        <v>ALFANI</v>
      </c>
      <c r="C423" s="174">
        <f>IFERROR(VLOOKUP(A423,O.B.JUNE!$A$7:$C$448,3,0),0)</f>
        <v>100027409</v>
      </c>
      <c r="D423" s="80">
        <f t="shared" si="109"/>
        <v>0</v>
      </c>
      <c r="E423" s="80">
        <f>IFERROR(VLOOKUP(C423,O.B.JUNE!$C$7:$D$448,2,0),0)</f>
        <v>4401</v>
      </c>
      <c r="F423" s="80">
        <f>VLOOKUP(C423,'CUTTING ON JUNE'!$A$4:$D$316,3,0)</f>
        <v>4401</v>
      </c>
      <c r="G423" s="80">
        <f>IFERROR(VLOOKUP(C423,O.B.JUNE!$C$7:$E$448,3,0),0)</f>
        <v>270</v>
      </c>
      <c r="H423" s="80">
        <f t="shared" si="126"/>
        <v>0</v>
      </c>
      <c r="I423" s="80"/>
      <c r="J423" s="80">
        <f t="shared" si="110"/>
        <v>65</v>
      </c>
      <c r="K423" s="80">
        <v>0</v>
      </c>
      <c r="L423" s="80">
        <v>0</v>
      </c>
      <c r="M423" s="81">
        <f t="shared" si="111"/>
        <v>205</v>
      </c>
      <c r="N423" s="81"/>
      <c r="O423" s="81">
        <v>152</v>
      </c>
      <c r="P423" s="81">
        <f t="shared" si="125"/>
        <v>53</v>
      </c>
      <c r="Q423" s="80">
        <f>IFERROR(VLOOKUP(C423,O.B.JUNE!$C$7:$K$448,7,0),0)</f>
        <v>4131</v>
      </c>
      <c r="R423" s="80">
        <f>IFERROR(VLOOKUP(C423,O.B.JUNE!$C$7:$J$448,8,0),0)</f>
        <v>0</v>
      </c>
      <c r="S423" s="323">
        <f t="shared" si="113"/>
        <v>4196</v>
      </c>
      <c r="T423" s="324">
        <v>65</v>
      </c>
      <c r="U423" s="324"/>
      <c r="V423" s="80"/>
      <c r="W423" s="324">
        <v>4127</v>
      </c>
      <c r="X423" s="324"/>
      <c r="Y423" s="324">
        <v>0</v>
      </c>
      <c r="Z423" s="80">
        <v>69</v>
      </c>
      <c r="AA423" s="80">
        <f t="shared" si="114"/>
        <v>65</v>
      </c>
      <c r="AB423" s="323">
        <f t="shared" si="123"/>
        <v>0</v>
      </c>
      <c r="AC423" s="80">
        <f t="shared" si="124"/>
        <v>69</v>
      </c>
      <c r="AD423" s="80">
        <f t="shared" si="121"/>
        <v>69</v>
      </c>
      <c r="AE423" s="80"/>
      <c r="AF423" s="80"/>
      <c r="AG423" s="80"/>
      <c r="AH423" s="326">
        <f t="shared" si="115"/>
        <v>0</v>
      </c>
      <c r="AI423" s="326">
        <f t="shared" si="116"/>
        <v>0</v>
      </c>
      <c r="AJ423" s="326">
        <f t="shared" si="117"/>
        <v>0</v>
      </c>
      <c r="AK423" s="326">
        <f t="shared" si="118"/>
        <v>0</v>
      </c>
      <c r="AL423" s="326"/>
      <c r="AM423" s="326"/>
      <c r="AN423" s="326"/>
      <c r="AO423" s="326"/>
      <c r="AP423" s="326"/>
      <c r="AQ423" s="326"/>
      <c r="AR423" s="327"/>
      <c r="AS423" s="209"/>
      <c r="AT423" s="411"/>
      <c r="AU423" s="411"/>
    </row>
    <row r="424" spans="1:47" s="390" customFormat="1" ht="18.75" customHeight="1">
      <c r="A424" s="167">
        <v>433</v>
      </c>
      <c r="B424" s="79" t="str">
        <f>IFERROR(VLOOKUP(A424,O.B.JUNE!$A$7:$C$448,2,0),0)</f>
        <v>BAR III</v>
      </c>
      <c r="C424" s="174">
        <f>IFERROR(VLOOKUP(A424,O.B.JUNE!$A$7:$C$448,3,0),0)</f>
        <v>100034267</v>
      </c>
      <c r="D424" s="80">
        <f t="shared" si="109"/>
        <v>456</v>
      </c>
      <c r="E424" s="80">
        <f>IFERROR(VLOOKUP(C424,O.B.JUNE!$C$7:$D$448,2,0),0)</f>
        <v>1749</v>
      </c>
      <c r="F424" s="80">
        <f>VLOOKUP(C424,'CUTTING ON JUNE'!$A$4:$D$316,3,0)</f>
        <v>2205</v>
      </c>
      <c r="G424" s="80">
        <f>IFERROR(VLOOKUP(C424,O.B.JUNE!$C$7:$E$448,3,0),0)</f>
        <v>1746</v>
      </c>
      <c r="H424" s="80">
        <f t="shared" ref="H424:H433" si="127">IF(F424="","",F424-E424)</f>
        <v>456</v>
      </c>
      <c r="I424" s="80"/>
      <c r="J424" s="80">
        <f t="shared" si="110"/>
        <v>2170</v>
      </c>
      <c r="K424" s="80">
        <v>0</v>
      </c>
      <c r="L424" s="80">
        <v>0</v>
      </c>
      <c r="M424" s="81">
        <f>ROUND(IF(ISERROR(F424-S424-K424-L424-R424),0,(F424-S424-K424-L424+Q424+R424+G424-E424)),0)</f>
        <v>32</v>
      </c>
      <c r="N424" s="81">
        <v>0</v>
      </c>
      <c r="O424" s="81">
        <v>26</v>
      </c>
      <c r="P424" s="81">
        <f t="shared" si="125"/>
        <v>6</v>
      </c>
      <c r="Q424" s="80">
        <f>IFERROR(VLOOKUP(C424,O.B.JUNE!$C$7:$K$448,7,0),0)</f>
        <v>0</v>
      </c>
      <c r="R424" s="80">
        <f>IFERROR(VLOOKUP(C424,O.B.JUNE!$C$7:$J$448,8,0),0)</f>
        <v>0</v>
      </c>
      <c r="S424" s="323">
        <f t="shared" si="113"/>
        <v>2170</v>
      </c>
      <c r="T424" s="324">
        <v>2170</v>
      </c>
      <c r="U424" s="324"/>
      <c r="V424" s="80"/>
      <c r="W424" s="324">
        <v>2160</v>
      </c>
      <c r="X424" s="324"/>
      <c r="Y424" s="324">
        <v>0</v>
      </c>
      <c r="Z424" s="80">
        <v>0</v>
      </c>
      <c r="AA424" s="80">
        <f t="shared" si="114"/>
        <v>2170</v>
      </c>
      <c r="AB424" s="323">
        <f t="shared" si="123"/>
        <v>10</v>
      </c>
      <c r="AC424" s="80">
        <f t="shared" si="124"/>
        <v>0</v>
      </c>
      <c r="AD424" s="80">
        <f t="shared" si="121"/>
        <v>10</v>
      </c>
      <c r="AE424" s="80"/>
      <c r="AF424" s="80"/>
      <c r="AG424" s="80"/>
      <c r="AH424" s="326">
        <f t="shared" si="115"/>
        <v>0</v>
      </c>
      <c r="AI424" s="326">
        <f t="shared" si="116"/>
        <v>0</v>
      </c>
      <c r="AJ424" s="326">
        <f t="shared" si="117"/>
        <v>0</v>
      </c>
      <c r="AK424" s="326">
        <f t="shared" si="118"/>
        <v>0</v>
      </c>
      <c r="AL424" s="326"/>
      <c r="AM424" s="326"/>
      <c r="AN424" s="326"/>
      <c r="AO424" s="326"/>
      <c r="AP424" s="326"/>
      <c r="AQ424" s="326"/>
      <c r="AR424" s="327"/>
      <c r="AS424" s="209"/>
      <c r="AT424" s="411"/>
      <c r="AU424" s="411"/>
    </row>
    <row r="425" spans="1:47" s="499" customFormat="1" ht="18.75" customHeight="1">
      <c r="A425" s="490">
        <v>434</v>
      </c>
      <c r="B425" s="491" t="str">
        <f>IFERROR(VLOOKUP(A425,O.B.JUNE!$A$7:$C$448,2,0),0)</f>
        <v>TALBOTS</v>
      </c>
      <c r="C425" s="174">
        <f>IFERROR(VLOOKUP(A425,O.B.JUNE!$A$7:$C$448,3,0),0)</f>
        <v>183034591</v>
      </c>
      <c r="D425" s="492">
        <f t="shared" si="109"/>
        <v>0</v>
      </c>
      <c r="E425" s="492">
        <f>IFERROR(VLOOKUP(C425,O.B.JUNE!$C$7:$D$448,2,0),0)</f>
        <v>4328</v>
      </c>
      <c r="F425" s="492">
        <f>VLOOKUP(C425,'CUTTING ON JUNE'!$A$4:$D$316,3,0)</f>
        <v>4328</v>
      </c>
      <c r="G425" s="492">
        <f>IFERROR(VLOOKUP(C425,O.B.JUNE!$C$7:$E$448,3,0),0)</f>
        <v>128</v>
      </c>
      <c r="H425" s="492">
        <f t="shared" si="127"/>
        <v>0</v>
      </c>
      <c r="I425" s="492"/>
      <c r="J425" s="492">
        <f t="shared" si="110"/>
        <v>0</v>
      </c>
      <c r="K425" s="492">
        <v>0</v>
      </c>
      <c r="L425" s="492">
        <v>0</v>
      </c>
      <c r="M425" s="493">
        <f>ROUND(IF(ISERROR(F425-S425-K425-L425-R425),0,(F425-S425-K425-L425+Q425+R425+G425-E425)),0)</f>
        <v>128</v>
      </c>
      <c r="N425" s="493">
        <v>0</v>
      </c>
      <c r="O425" s="493">
        <v>50</v>
      </c>
      <c r="P425" s="493">
        <f t="shared" si="125"/>
        <v>78</v>
      </c>
      <c r="Q425" s="492">
        <f>IFERROR(VLOOKUP(C425,O.B.JUNE!$C$7:$K$448,7,0),0)</f>
        <v>4188</v>
      </c>
      <c r="R425" s="492">
        <f>IFERROR(VLOOKUP(C425,O.B.JUNE!$C$7:$J$448,8,0),0)</f>
        <v>0</v>
      </c>
      <c r="S425" s="494">
        <f t="shared" si="113"/>
        <v>4188</v>
      </c>
      <c r="T425" s="495">
        <v>0</v>
      </c>
      <c r="U425" s="324"/>
      <c r="V425" s="492"/>
      <c r="W425" s="495">
        <v>4130</v>
      </c>
      <c r="X425" s="495"/>
      <c r="Y425" s="495">
        <v>0</v>
      </c>
      <c r="Z425" s="492">
        <f>54+4</f>
        <v>58</v>
      </c>
      <c r="AA425" s="492">
        <f t="shared" si="114"/>
        <v>0</v>
      </c>
      <c r="AB425" s="323">
        <f t="shared" si="123"/>
        <v>0</v>
      </c>
      <c r="AC425" s="80">
        <f t="shared" si="124"/>
        <v>58</v>
      </c>
      <c r="AD425" s="492">
        <f t="shared" si="121"/>
        <v>58</v>
      </c>
      <c r="AE425" s="492"/>
      <c r="AF425" s="492"/>
      <c r="AG425" s="492"/>
      <c r="AH425" s="496">
        <f t="shared" si="115"/>
        <v>0</v>
      </c>
      <c r="AI425" s="496">
        <f t="shared" si="116"/>
        <v>0</v>
      </c>
      <c r="AJ425" s="496">
        <f t="shared" si="117"/>
        <v>0</v>
      </c>
      <c r="AK425" s="496">
        <f t="shared" si="118"/>
        <v>0</v>
      </c>
      <c r="AL425" s="326"/>
      <c r="AM425" s="326"/>
      <c r="AN425" s="496"/>
      <c r="AO425" s="326"/>
      <c r="AP425" s="326"/>
      <c r="AQ425" s="496"/>
      <c r="AR425" s="327"/>
      <c r="AS425" s="497"/>
      <c r="AT425" s="498"/>
      <c r="AU425" s="498"/>
    </row>
    <row r="426" spans="1:47" s="390" customFormat="1" ht="18.75" customHeight="1">
      <c r="A426" s="167">
        <v>435</v>
      </c>
      <c r="B426" s="79" t="str">
        <f>IFERROR(VLOOKUP(A426,O.B.JUNE!$A$7:$C$448,2,0),0)</f>
        <v>ALFANI</v>
      </c>
      <c r="C426" s="174" t="str">
        <f>IFERROR(VLOOKUP(A426,O.B.JUNE!$A$7:$C$448,3,0),0)</f>
        <v xml:space="preserve">7X727 </v>
      </c>
      <c r="D426" s="80">
        <f t="shared" si="109"/>
        <v>5138</v>
      </c>
      <c r="E426" s="80">
        <f>IFERROR(VLOOKUP(C426,O.B.JUNE!$C$7:$D$448,2,0),0)</f>
        <v>7443</v>
      </c>
      <c r="F426" s="80">
        <f>VLOOKUP(C426,'CUTTING ON JUNE'!$A$4:$D$316,3,0)</f>
        <v>12581</v>
      </c>
      <c r="G426" s="80">
        <f>IFERROR(VLOOKUP(C426,O.B.JUNE!$C$7:$E$448,3,0),0)</f>
        <v>7443</v>
      </c>
      <c r="H426" s="80">
        <f t="shared" si="127"/>
        <v>5138</v>
      </c>
      <c r="I426" s="80"/>
      <c r="J426" s="80">
        <f t="shared" si="110"/>
        <v>0</v>
      </c>
      <c r="K426" s="80">
        <v>0</v>
      </c>
      <c r="L426" s="80">
        <v>0</v>
      </c>
      <c r="M426" s="81">
        <f>ROUND(IF(ISERROR(F426-S426-K426-L426-R426),0,(F426-S426-K426-L426+Q426+R426+G426-E426)),0)</f>
        <v>12581</v>
      </c>
      <c r="N426" s="81">
        <v>0</v>
      </c>
      <c r="O426" s="81">
        <v>0</v>
      </c>
      <c r="P426" s="81">
        <f t="shared" si="125"/>
        <v>12581</v>
      </c>
      <c r="Q426" s="80">
        <f>IFERROR(VLOOKUP(C426,O.B.JUNE!$C$7:$K$448,7,0),0)</f>
        <v>0</v>
      </c>
      <c r="R426" s="80">
        <f>IFERROR(VLOOKUP(C426,O.B.JUNE!$C$7:$J$448,8,0),0)</f>
        <v>0</v>
      </c>
      <c r="S426" s="323">
        <f t="shared" si="113"/>
        <v>0</v>
      </c>
      <c r="T426" s="324">
        <v>0</v>
      </c>
      <c r="U426" s="324"/>
      <c r="V426" s="80"/>
      <c r="W426" s="324">
        <v>0</v>
      </c>
      <c r="X426" s="324"/>
      <c r="Y426" s="324">
        <v>0</v>
      </c>
      <c r="Z426" s="80">
        <v>0</v>
      </c>
      <c r="AA426" s="80">
        <f t="shared" si="114"/>
        <v>0</v>
      </c>
      <c r="AB426" s="323">
        <f t="shared" si="123"/>
        <v>0</v>
      </c>
      <c r="AC426" s="80">
        <f t="shared" si="124"/>
        <v>0</v>
      </c>
      <c r="AD426" s="80">
        <f t="shared" si="121"/>
        <v>0</v>
      </c>
      <c r="AE426" s="80"/>
      <c r="AF426" s="80"/>
      <c r="AG426" s="80"/>
      <c r="AH426" s="326">
        <f t="shared" si="115"/>
        <v>0</v>
      </c>
      <c r="AI426" s="326">
        <f t="shared" si="116"/>
        <v>0</v>
      </c>
      <c r="AJ426" s="326">
        <f t="shared" si="117"/>
        <v>0</v>
      </c>
      <c r="AK426" s="326">
        <f t="shared" si="118"/>
        <v>0</v>
      </c>
      <c r="AL426" s="326"/>
      <c r="AM426" s="326"/>
      <c r="AN426" s="326"/>
      <c r="AO426" s="326"/>
      <c r="AP426" s="326"/>
      <c r="AQ426" s="326"/>
      <c r="AR426" s="327"/>
      <c r="AS426" s="209"/>
      <c r="AT426" s="411"/>
      <c r="AU426" s="411"/>
    </row>
    <row r="427" spans="1:47" s="390" customFormat="1" ht="18.75" customHeight="1">
      <c r="A427" s="167">
        <v>436</v>
      </c>
      <c r="B427" s="79" t="str">
        <f>IFERROR(VLOOKUP(A427,O.B.JUNE!$A$7:$C$448,2,0),0)</f>
        <v>EILEEN FISHER</v>
      </c>
      <c r="C427" s="174" t="str">
        <f>IFERROR(VLOOKUP(A427,O.B.JUNE!$A$7:$C$448,3,0),0)</f>
        <v>EESOQ-T4577</v>
      </c>
      <c r="D427" s="80">
        <f t="shared" si="109"/>
        <v>0</v>
      </c>
      <c r="E427" s="80">
        <f>IFERROR(VLOOKUP(C427,O.B.JUNE!$C$7:$D$448,2,0),0)</f>
        <v>1100</v>
      </c>
      <c r="F427" s="80">
        <f>VLOOKUP(C427,'CUTTING ON JUNE'!$A$4:$D$316,3,0)</f>
        <v>1100</v>
      </c>
      <c r="G427" s="80">
        <f>IFERROR(VLOOKUP(C427,O.B.JUNE!$C$7:$E$448,3,0),0)</f>
        <v>663</v>
      </c>
      <c r="H427" s="80">
        <f t="shared" si="127"/>
        <v>0</v>
      </c>
      <c r="I427" s="80"/>
      <c r="J427" s="80">
        <f t="shared" ref="J427:J488" si="128">IF(S427="",0,S427-Q427-V427-R427)</f>
        <v>573</v>
      </c>
      <c r="K427" s="80">
        <v>0</v>
      </c>
      <c r="L427" s="80">
        <v>0</v>
      </c>
      <c r="M427" s="81">
        <f t="shared" si="111"/>
        <v>90</v>
      </c>
      <c r="N427" s="81">
        <v>0</v>
      </c>
      <c r="O427" s="81">
        <v>51</v>
      </c>
      <c r="P427" s="81">
        <f t="shared" si="125"/>
        <v>39</v>
      </c>
      <c r="Q427" s="80">
        <f>IFERROR(VLOOKUP(C427,O.B.JUNE!$C$7:$K$448,7,0),0)</f>
        <v>437</v>
      </c>
      <c r="R427" s="80">
        <f>IFERROR(VLOOKUP(C427,O.B.JUNE!$C$7:$J$448,8,0),0)</f>
        <v>0</v>
      </c>
      <c r="S427" s="323">
        <f t="shared" si="113"/>
        <v>1010</v>
      </c>
      <c r="T427" s="324">
        <v>573</v>
      </c>
      <c r="U427" s="324"/>
      <c r="V427" s="80"/>
      <c r="W427" s="324">
        <v>1008</v>
      </c>
      <c r="X427" s="324"/>
      <c r="Y427" s="324">
        <v>2</v>
      </c>
      <c r="Z427" s="80">
        <v>0</v>
      </c>
      <c r="AA427" s="80">
        <f t="shared" si="114"/>
        <v>573</v>
      </c>
      <c r="AB427" s="323">
        <f t="shared" si="123"/>
        <v>0</v>
      </c>
      <c r="AC427" s="80">
        <f t="shared" si="124"/>
        <v>0</v>
      </c>
      <c r="AD427" s="80">
        <f t="shared" si="121"/>
        <v>0</v>
      </c>
      <c r="AE427" s="80"/>
      <c r="AF427" s="80"/>
      <c r="AG427" s="80"/>
      <c r="AH427" s="326">
        <f t="shared" si="115"/>
        <v>0</v>
      </c>
      <c r="AI427" s="326">
        <f t="shared" si="116"/>
        <v>0</v>
      </c>
      <c r="AJ427" s="326">
        <f t="shared" si="117"/>
        <v>0</v>
      </c>
      <c r="AK427" s="326">
        <f t="shared" si="118"/>
        <v>0</v>
      </c>
      <c r="AL427" s="326"/>
      <c r="AM427" s="326"/>
      <c r="AN427" s="326"/>
      <c r="AO427" s="326"/>
      <c r="AP427" s="326"/>
      <c r="AQ427" s="326"/>
      <c r="AR427" s="327"/>
      <c r="AS427" s="209"/>
      <c r="AT427" s="411"/>
      <c r="AU427" s="411"/>
    </row>
    <row r="428" spans="1:47" s="390" customFormat="1" ht="18.75" customHeight="1">
      <c r="A428" s="167">
        <v>437</v>
      </c>
      <c r="B428" s="79" t="str">
        <f>IFERROR(VLOOKUP(A428,O.B.JUNE!$A$7:$C$448,2,0),0)</f>
        <v>EILEEN FISHER</v>
      </c>
      <c r="C428" s="174" t="str">
        <f>IFERROR(VLOOKUP(A428,O.B.JUNE!$A$7:$C$448,3,0),0)</f>
        <v>F8SOQ-T4578M</v>
      </c>
      <c r="D428" s="80">
        <f t="shared" si="109"/>
        <v>0</v>
      </c>
      <c r="E428" s="80">
        <f>IFERROR(VLOOKUP(C428,O.B.JUNE!$C$7:$D$448,2,0),0)</f>
        <v>1306</v>
      </c>
      <c r="F428" s="80">
        <f>VLOOKUP(C428,'CUTTING ON JUNE'!$A$4:$D$316,3,0)</f>
        <v>1306</v>
      </c>
      <c r="G428" s="80">
        <f>IFERROR(VLOOKUP(C428,O.B.JUNE!$C$7:$E$448,3,0),0)</f>
        <v>135</v>
      </c>
      <c r="H428" s="80">
        <f t="shared" si="127"/>
        <v>0</v>
      </c>
      <c r="I428" s="80"/>
      <c r="J428" s="80">
        <f t="shared" si="128"/>
        <v>64</v>
      </c>
      <c r="K428" s="80">
        <v>0</v>
      </c>
      <c r="L428" s="80">
        <v>0</v>
      </c>
      <c r="M428" s="81">
        <f t="shared" si="111"/>
        <v>71</v>
      </c>
      <c r="N428" s="81">
        <v>0</v>
      </c>
      <c r="O428" s="81">
        <v>32</v>
      </c>
      <c r="P428" s="81">
        <f t="shared" si="125"/>
        <v>39</v>
      </c>
      <c r="Q428" s="80">
        <f>IFERROR(VLOOKUP(C428,O.B.JUNE!$C$7:$K$448,7,0),0)</f>
        <v>1171</v>
      </c>
      <c r="R428" s="80">
        <f>IFERROR(VLOOKUP(C428,O.B.JUNE!$C$7:$J$448,8,0),0)</f>
        <v>0</v>
      </c>
      <c r="S428" s="323">
        <f t="shared" si="113"/>
        <v>1235</v>
      </c>
      <c r="T428" s="324">
        <v>64</v>
      </c>
      <c r="U428" s="324"/>
      <c r="V428" s="80"/>
      <c r="W428" s="324">
        <v>1233</v>
      </c>
      <c r="X428" s="324"/>
      <c r="Y428" s="324">
        <v>2</v>
      </c>
      <c r="Z428" s="80">
        <v>0</v>
      </c>
      <c r="AA428" s="80">
        <f t="shared" si="114"/>
        <v>64</v>
      </c>
      <c r="AB428" s="323">
        <f t="shared" si="123"/>
        <v>0</v>
      </c>
      <c r="AC428" s="80">
        <f t="shared" si="124"/>
        <v>0</v>
      </c>
      <c r="AD428" s="80">
        <f t="shared" si="121"/>
        <v>0</v>
      </c>
      <c r="AE428" s="80"/>
      <c r="AF428" s="80"/>
      <c r="AG428" s="80"/>
      <c r="AH428" s="326">
        <f t="shared" si="115"/>
        <v>0</v>
      </c>
      <c r="AI428" s="326">
        <f t="shared" si="116"/>
        <v>0</v>
      </c>
      <c r="AJ428" s="326">
        <f t="shared" si="117"/>
        <v>0</v>
      </c>
      <c r="AK428" s="326">
        <f t="shared" si="118"/>
        <v>0</v>
      </c>
      <c r="AL428" s="326"/>
      <c r="AM428" s="326"/>
      <c r="AN428" s="326"/>
      <c r="AO428" s="326"/>
      <c r="AP428" s="326"/>
      <c r="AQ428" s="326"/>
      <c r="AR428" s="327"/>
      <c r="AS428" s="209"/>
      <c r="AT428" s="411"/>
      <c r="AU428" s="411"/>
    </row>
    <row r="429" spans="1:47" s="390" customFormat="1" ht="18.75" customHeight="1">
      <c r="A429" s="167">
        <v>438</v>
      </c>
      <c r="B429" s="79" t="str">
        <f>IFERROR(VLOOKUP(A429,O.B.JUNE!$A$7:$C$448,2,0),0)</f>
        <v>INC</v>
      </c>
      <c r="C429" s="174">
        <f>IFERROR(VLOOKUP(A429,O.B.JUNE!$A$7:$C$448,3,0),0)</f>
        <v>100034276</v>
      </c>
      <c r="D429" s="80">
        <f t="shared" si="109"/>
        <v>0</v>
      </c>
      <c r="E429" s="80">
        <f>IFERROR(VLOOKUP(C429,O.B.JUNE!$C$7:$D$448,2,0),0)</f>
        <v>5936</v>
      </c>
      <c r="F429" s="80">
        <f>VLOOKUP(C429,'CUTTING ON JUNE'!$A$4:$D$316,3,0)</f>
        <v>5936</v>
      </c>
      <c r="G429" s="80">
        <f>IFERROR(VLOOKUP(C429,O.B.JUNE!$C$7:$E$448,3,0),0)</f>
        <v>1635</v>
      </c>
      <c r="H429" s="80">
        <f t="shared" si="127"/>
        <v>0</v>
      </c>
      <c r="I429" s="80"/>
      <c r="J429" s="80">
        <f t="shared" si="128"/>
        <v>1532</v>
      </c>
      <c r="K429" s="80">
        <v>0</v>
      </c>
      <c r="L429" s="80">
        <v>0</v>
      </c>
      <c r="M429" s="81">
        <f t="shared" si="111"/>
        <v>103</v>
      </c>
      <c r="N429" s="81">
        <v>0</v>
      </c>
      <c r="O429" s="81">
        <v>56</v>
      </c>
      <c r="P429" s="81">
        <f t="shared" si="125"/>
        <v>47</v>
      </c>
      <c r="Q429" s="80">
        <f>IFERROR(VLOOKUP(C429,O.B.JUNE!$C$7:$K$448,7,0),0)</f>
        <v>4298</v>
      </c>
      <c r="R429" s="80">
        <f>IFERROR(VLOOKUP(C429,O.B.JUNE!$C$7:$J$448,8,0),0)</f>
        <v>0</v>
      </c>
      <c r="S429" s="323">
        <f t="shared" si="113"/>
        <v>5830</v>
      </c>
      <c r="T429" s="324">
        <v>1532</v>
      </c>
      <c r="U429" s="324"/>
      <c r="V429" s="80"/>
      <c r="W429" s="324">
        <v>5826</v>
      </c>
      <c r="X429" s="324"/>
      <c r="Y429" s="324">
        <v>4</v>
      </c>
      <c r="Z429" s="80">
        <v>0</v>
      </c>
      <c r="AA429" s="80">
        <f t="shared" si="114"/>
        <v>1532</v>
      </c>
      <c r="AB429" s="323">
        <f t="shared" si="123"/>
        <v>0</v>
      </c>
      <c r="AC429" s="80">
        <f t="shared" si="124"/>
        <v>0</v>
      </c>
      <c r="AD429" s="80">
        <f t="shared" si="121"/>
        <v>0</v>
      </c>
      <c r="AE429" s="80"/>
      <c r="AF429" s="80"/>
      <c r="AG429" s="80"/>
      <c r="AH429" s="326">
        <f t="shared" si="115"/>
        <v>0</v>
      </c>
      <c r="AI429" s="326">
        <f t="shared" si="116"/>
        <v>0</v>
      </c>
      <c r="AJ429" s="326">
        <f t="shared" si="117"/>
        <v>0</v>
      </c>
      <c r="AK429" s="326">
        <f t="shared" si="118"/>
        <v>0</v>
      </c>
      <c r="AL429" s="326"/>
      <c r="AM429" s="326"/>
      <c r="AN429" s="326"/>
      <c r="AO429" s="326"/>
      <c r="AP429" s="326"/>
      <c r="AQ429" s="326"/>
      <c r="AR429" s="327"/>
      <c r="AS429" s="209"/>
      <c r="AT429" s="411"/>
      <c r="AU429" s="411"/>
    </row>
    <row r="430" spans="1:47" s="390" customFormat="1" ht="18.75" customHeight="1">
      <c r="A430" s="167">
        <v>439</v>
      </c>
      <c r="B430" s="79" t="str">
        <f>IFERROR(VLOOKUP(A430,O.B.JUNE!$A$7:$C$448,2,0),0)</f>
        <v>TALBOTS</v>
      </c>
      <c r="C430" s="174">
        <f>IFERROR(VLOOKUP(A430,O.B.JUNE!$A$7:$C$448,3,0),0)</f>
        <v>183033602</v>
      </c>
      <c r="D430" s="80">
        <f t="shared" si="109"/>
        <v>26873</v>
      </c>
      <c r="E430" s="80">
        <f>IFERROR(VLOOKUP(C430,O.B.JUNE!$C$7:$D$448,2,0),0)</f>
        <v>12787</v>
      </c>
      <c r="F430" s="80">
        <f>VLOOKUP(C430,'CUTTING ON JUNE'!$A$4:$D$316,3,0)</f>
        <v>39660</v>
      </c>
      <c r="G430" s="80">
        <f>IFERROR(VLOOKUP(C430,O.B.JUNE!$C$7:$E$448,3,0),0)</f>
        <v>12415</v>
      </c>
      <c r="H430" s="80">
        <f t="shared" si="127"/>
        <v>26873</v>
      </c>
      <c r="I430" s="80"/>
      <c r="J430" s="80">
        <f t="shared" si="128"/>
        <v>34605</v>
      </c>
      <c r="K430" s="80">
        <v>0</v>
      </c>
      <c r="L430" s="80">
        <v>0</v>
      </c>
      <c r="M430" s="81">
        <f t="shared" si="111"/>
        <v>4683</v>
      </c>
      <c r="N430" s="81">
        <v>375</v>
      </c>
      <c r="O430" s="81">
        <v>1488</v>
      </c>
      <c r="P430" s="81">
        <f t="shared" si="125"/>
        <v>2820</v>
      </c>
      <c r="Q430" s="80">
        <f>IFERROR(VLOOKUP(C430,O.B.JUNE!$C$7:$K$448,7,0),0)</f>
        <v>368</v>
      </c>
      <c r="R430" s="80">
        <f>IFERROR(VLOOKUP(C430,O.B.JUNE!$C$7:$J$448,8,0),0)</f>
        <v>0</v>
      </c>
      <c r="S430" s="323">
        <f t="shared" si="113"/>
        <v>34973</v>
      </c>
      <c r="T430" s="324">
        <v>34605</v>
      </c>
      <c r="U430" s="324"/>
      <c r="V430" s="80"/>
      <c r="W430" s="324">
        <v>0</v>
      </c>
      <c r="X430" s="324"/>
      <c r="Y430" s="324">
        <v>0</v>
      </c>
      <c r="Z430" s="80">
        <v>0</v>
      </c>
      <c r="AA430" s="80">
        <f t="shared" si="114"/>
        <v>34605</v>
      </c>
      <c r="AB430" s="323">
        <f t="shared" si="123"/>
        <v>34973</v>
      </c>
      <c r="AC430" s="80">
        <f t="shared" si="124"/>
        <v>0</v>
      </c>
      <c r="AD430" s="80">
        <f t="shared" si="121"/>
        <v>34973</v>
      </c>
      <c r="AE430" s="80"/>
      <c r="AF430" s="80"/>
      <c r="AG430" s="80"/>
      <c r="AH430" s="326">
        <f t="shared" si="115"/>
        <v>0</v>
      </c>
      <c r="AI430" s="326">
        <f t="shared" si="116"/>
        <v>0</v>
      </c>
      <c r="AJ430" s="326">
        <f t="shared" si="117"/>
        <v>0</v>
      </c>
      <c r="AK430" s="326">
        <f t="shared" si="118"/>
        <v>0</v>
      </c>
      <c r="AL430" s="326"/>
      <c r="AM430" s="326"/>
      <c r="AN430" s="326"/>
      <c r="AO430" s="326"/>
      <c r="AP430" s="326"/>
      <c r="AQ430" s="326"/>
      <c r="AR430" s="327"/>
      <c r="AS430" s="209"/>
      <c r="AT430" s="411"/>
      <c r="AU430" s="411"/>
    </row>
    <row r="431" spans="1:47" s="390" customFormat="1" ht="18.75" customHeight="1">
      <c r="A431" s="167">
        <v>440</v>
      </c>
      <c r="B431" s="79" t="str">
        <f>IFERROR(VLOOKUP(A431,O.B.JUNE!$A$7:$C$448,2,0),0)</f>
        <v>TALBOTS</v>
      </c>
      <c r="C431" s="174">
        <f>IFERROR(VLOOKUP(A431,O.B.JUNE!$A$7:$C$448,3,0),0)</f>
        <v>183034592</v>
      </c>
      <c r="D431" s="80">
        <f t="shared" si="109"/>
        <v>80</v>
      </c>
      <c r="E431" s="80">
        <f>IFERROR(VLOOKUP(C431,O.B.JUNE!$C$7:$D$448,2,0),0)</f>
        <v>1733</v>
      </c>
      <c r="F431" s="80">
        <f>VLOOKUP(C431,'CUTTING ON JUNE'!$A$4:$D$316,3,0)</f>
        <v>1813</v>
      </c>
      <c r="G431" s="80">
        <f>IFERROR(VLOOKUP(C431,O.B.JUNE!$C$7:$E$448,3,0),0)</f>
        <v>1579</v>
      </c>
      <c r="H431" s="80">
        <f t="shared" si="127"/>
        <v>80</v>
      </c>
      <c r="I431" s="80"/>
      <c r="J431" s="80">
        <f t="shared" si="128"/>
        <v>1487</v>
      </c>
      <c r="K431" s="80">
        <v>0</v>
      </c>
      <c r="L431" s="80">
        <v>0</v>
      </c>
      <c r="M431" s="81">
        <f t="shared" si="111"/>
        <v>172</v>
      </c>
      <c r="N431" s="81">
        <v>0</v>
      </c>
      <c r="O431" s="81">
        <v>108</v>
      </c>
      <c r="P431" s="81">
        <f t="shared" si="125"/>
        <v>64</v>
      </c>
      <c r="Q431" s="80">
        <f>IFERROR(VLOOKUP(C431,O.B.JUNE!$C$7:$K$448,7,0),0)</f>
        <v>140</v>
      </c>
      <c r="R431" s="80">
        <f>IFERROR(VLOOKUP(C431,O.B.JUNE!$C$7:$J$448,8,0),0)</f>
        <v>0</v>
      </c>
      <c r="S431" s="323">
        <f t="shared" si="113"/>
        <v>1627</v>
      </c>
      <c r="T431" s="324">
        <v>1487</v>
      </c>
      <c r="U431" s="324"/>
      <c r="V431" s="80"/>
      <c r="W431" s="324">
        <v>1599</v>
      </c>
      <c r="X431" s="324"/>
      <c r="Y431" s="324">
        <v>4</v>
      </c>
      <c r="Z431" s="80">
        <v>24</v>
      </c>
      <c r="AA431" s="80">
        <f t="shared" si="114"/>
        <v>1487</v>
      </c>
      <c r="AB431" s="323">
        <f t="shared" si="123"/>
        <v>0</v>
      </c>
      <c r="AC431" s="80">
        <f t="shared" si="124"/>
        <v>24</v>
      </c>
      <c r="AD431" s="80">
        <f t="shared" si="121"/>
        <v>24</v>
      </c>
      <c r="AE431" s="80"/>
      <c r="AF431" s="80"/>
      <c r="AG431" s="80"/>
      <c r="AH431" s="326">
        <f t="shared" si="115"/>
        <v>0</v>
      </c>
      <c r="AI431" s="326">
        <f t="shared" si="116"/>
        <v>0</v>
      </c>
      <c r="AJ431" s="326">
        <f t="shared" si="117"/>
        <v>0</v>
      </c>
      <c r="AK431" s="326">
        <f t="shared" si="118"/>
        <v>0</v>
      </c>
      <c r="AL431" s="326"/>
      <c r="AM431" s="326"/>
      <c r="AN431" s="326"/>
      <c r="AO431" s="326"/>
      <c r="AP431" s="326"/>
      <c r="AQ431" s="326"/>
      <c r="AR431" s="327">
        <f>VLOOKUP(C431,'[1]DA HET SAN XUAT'!$D$8:$AJ$419,33,0)</f>
        <v>0</v>
      </c>
      <c r="AS431" s="209"/>
      <c r="AT431" s="411"/>
      <c r="AU431" s="411"/>
    </row>
    <row r="432" spans="1:47" s="390" customFormat="1" ht="18.75" customHeight="1">
      <c r="A432" s="167">
        <v>441</v>
      </c>
      <c r="B432" s="79" t="str">
        <f>IFERROR(VLOOKUP(A432,O.B.JUNE!$A$7:$C$448,2,0),0)</f>
        <v>ANN TAYLOR</v>
      </c>
      <c r="C432" s="174">
        <f>IFERROR(VLOOKUP(A432,O.B.JUNE!$A$7:$C$448,3,0),0)</f>
        <v>476154</v>
      </c>
      <c r="D432" s="80">
        <f t="shared" si="109"/>
        <v>3704</v>
      </c>
      <c r="E432" s="80">
        <f>IFERROR(VLOOKUP(C432,O.B.JUNE!$C$7:$D$448,2,0),0)</f>
        <v>6409</v>
      </c>
      <c r="F432" s="80">
        <f>VLOOKUP(C432,'CUTTING ON JUNE'!$A$4:$D$316,3,0)</f>
        <v>10113</v>
      </c>
      <c r="G432" s="80">
        <f>IFERROR(VLOOKUP(C432,O.B.JUNE!$C$7:$E$448,3,0),0)</f>
        <v>6409</v>
      </c>
      <c r="H432" s="80">
        <f t="shared" si="127"/>
        <v>3704</v>
      </c>
      <c r="I432" s="80"/>
      <c r="J432" s="80">
        <f t="shared" si="128"/>
        <v>9190</v>
      </c>
      <c r="K432" s="80">
        <v>0</v>
      </c>
      <c r="L432" s="80">
        <v>0</v>
      </c>
      <c r="M432" s="81">
        <f t="shared" si="111"/>
        <v>923</v>
      </c>
      <c r="N432" s="81">
        <v>0</v>
      </c>
      <c r="O432" s="81">
        <v>458</v>
      </c>
      <c r="P432" s="81">
        <f t="shared" si="125"/>
        <v>465</v>
      </c>
      <c r="Q432" s="80">
        <f>IFERROR(VLOOKUP(C432,O.B.JUNE!$C$7:$K$448,7,0),0)</f>
        <v>0</v>
      </c>
      <c r="R432" s="80">
        <f>IFERROR(VLOOKUP(C432,O.B.JUNE!$C$7:$J$448,8,0),0)</f>
        <v>0</v>
      </c>
      <c r="S432" s="323">
        <f t="shared" si="113"/>
        <v>9190</v>
      </c>
      <c r="T432" s="324">
        <v>9190</v>
      </c>
      <c r="U432" s="324"/>
      <c r="V432" s="80"/>
      <c r="W432" s="324">
        <v>9000</v>
      </c>
      <c r="X432" s="324"/>
      <c r="Y432" s="324">
        <v>20</v>
      </c>
      <c r="Z432" s="80">
        <v>170</v>
      </c>
      <c r="AA432" s="80">
        <f t="shared" si="114"/>
        <v>9190</v>
      </c>
      <c r="AB432" s="323">
        <f t="shared" si="123"/>
        <v>0</v>
      </c>
      <c r="AC432" s="80">
        <f t="shared" si="124"/>
        <v>170</v>
      </c>
      <c r="AD432" s="80">
        <f t="shared" si="121"/>
        <v>170</v>
      </c>
      <c r="AE432" s="80"/>
      <c r="AF432" s="80"/>
      <c r="AG432" s="80"/>
      <c r="AH432" s="326">
        <f t="shared" si="115"/>
        <v>0</v>
      </c>
      <c r="AI432" s="326">
        <f t="shared" si="116"/>
        <v>0</v>
      </c>
      <c r="AJ432" s="326">
        <f t="shared" si="117"/>
        <v>0</v>
      </c>
      <c r="AK432" s="326">
        <f t="shared" si="118"/>
        <v>0</v>
      </c>
      <c r="AL432" s="326"/>
      <c r="AM432" s="326"/>
      <c r="AN432" s="326"/>
      <c r="AO432" s="326"/>
      <c r="AP432" s="326"/>
      <c r="AQ432" s="326"/>
      <c r="AR432" s="327"/>
      <c r="AS432" s="209"/>
      <c r="AT432" s="411"/>
      <c r="AU432" s="411"/>
    </row>
    <row r="433" spans="1:47" s="390" customFormat="1" ht="18.75" customHeight="1">
      <c r="A433" s="167">
        <v>442</v>
      </c>
      <c r="B433" s="79" t="str">
        <f>IFERROR(VLOOKUP(A433,O.B.JUNE!$A$7:$C$448,2,0),0)</f>
        <v>ANN TAYLOR</v>
      </c>
      <c r="C433" s="174">
        <f>IFERROR(VLOOKUP(A433,O.B.JUNE!$A$7:$C$448,3,0),0)</f>
        <v>483830</v>
      </c>
      <c r="D433" s="80">
        <f t="shared" si="109"/>
        <v>32315</v>
      </c>
      <c r="E433" s="80">
        <f>IFERROR(VLOOKUP(C433,O.B.JUNE!$C$7:$D$448,2,0),0)</f>
        <v>13527</v>
      </c>
      <c r="F433" s="80">
        <f>VLOOKUP(C433,'CUTTING ON JUNE'!$A$4:$D$316,3,0)</f>
        <v>45842</v>
      </c>
      <c r="G433" s="80">
        <f>IFERROR(VLOOKUP(C433,O.B.JUNE!$C$7:$E$448,3,0),0)</f>
        <v>9427</v>
      </c>
      <c r="H433" s="80">
        <f t="shared" si="127"/>
        <v>32315</v>
      </c>
      <c r="I433" s="80"/>
      <c r="J433" s="80">
        <f t="shared" si="128"/>
        <v>35166</v>
      </c>
      <c r="K433" s="80">
        <v>0</v>
      </c>
      <c r="L433" s="80">
        <v>0</v>
      </c>
      <c r="M433" s="81">
        <f t="shared" si="111"/>
        <v>6576</v>
      </c>
      <c r="N433" s="81">
        <v>397</v>
      </c>
      <c r="O433" s="81">
        <v>1274</v>
      </c>
      <c r="P433" s="81">
        <f t="shared" si="125"/>
        <v>4905</v>
      </c>
      <c r="Q433" s="80">
        <f>IFERROR(VLOOKUP(C433,O.B.JUNE!$C$7:$K$448,7,0),0)</f>
        <v>4100</v>
      </c>
      <c r="R433" s="80">
        <f>IFERROR(VLOOKUP(C433,O.B.JUNE!$C$7:$J$448,8,0),0)</f>
        <v>0</v>
      </c>
      <c r="S433" s="323">
        <f t="shared" si="113"/>
        <v>39266</v>
      </c>
      <c r="T433" s="324">
        <v>35166</v>
      </c>
      <c r="U433" s="324"/>
      <c r="V433" s="80"/>
      <c r="W433" s="324">
        <v>29292</v>
      </c>
      <c r="X433" s="324"/>
      <c r="Y433" s="324">
        <v>74</v>
      </c>
      <c r="Z433" s="80">
        <v>0</v>
      </c>
      <c r="AA433" s="80">
        <f t="shared" si="114"/>
        <v>35166</v>
      </c>
      <c r="AB433" s="323">
        <f t="shared" si="123"/>
        <v>9900</v>
      </c>
      <c r="AC433" s="80">
        <f t="shared" si="124"/>
        <v>0</v>
      </c>
      <c r="AD433" s="80">
        <f t="shared" si="121"/>
        <v>9900</v>
      </c>
      <c r="AE433" s="80"/>
      <c r="AF433" s="80"/>
      <c r="AG433" s="80"/>
      <c r="AH433" s="326">
        <f t="shared" si="115"/>
        <v>0</v>
      </c>
      <c r="AI433" s="326">
        <f t="shared" si="116"/>
        <v>0</v>
      </c>
      <c r="AJ433" s="326">
        <f t="shared" si="117"/>
        <v>0</v>
      </c>
      <c r="AK433" s="326">
        <f t="shared" si="118"/>
        <v>0</v>
      </c>
      <c r="AL433" s="326"/>
      <c r="AM433" s="326"/>
      <c r="AN433" s="326"/>
      <c r="AO433" s="326"/>
      <c r="AP433" s="326"/>
      <c r="AQ433" s="326"/>
      <c r="AR433" s="327"/>
      <c r="AS433" s="209"/>
      <c r="AT433" s="411"/>
      <c r="AU433" s="411"/>
    </row>
    <row r="434" spans="1:47" s="390" customFormat="1" ht="18.75" customHeight="1">
      <c r="A434" s="167">
        <v>443</v>
      </c>
      <c r="B434" s="79" t="s">
        <v>161</v>
      </c>
      <c r="C434" s="509">
        <v>79718</v>
      </c>
      <c r="D434" s="80">
        <f t="shared" si="109"/>
        <v>5399</v>
      </c>
      <c r="E434" s="80"/>
      <c r="F434" s="80">
        <f>VLOOKUP(C434,'CUTTING ON JUNE'!$A$4:$D$316,3,0)</f>
        <v>5399</v>
      </c>
      <c r="G434" s="80">
        <f>IFERROR(VLOOKUP(C434,O.B.JUNE!$C$7:$E$448,3,0),0)</f>
        <v>0</v>
      </c>
      <c r="H434" s="80">
        <f t="shared" ref="H434:H488" si="129">IF(F434="","",F434-E434)</f>
        <v>5399</v>
      </c>
      <c r="I434" s="80"/>
      <c r="J434" s="80">
        <f t="shared" si="128"/>
        <v>3120</v>
      </c>
      <c r="K434" s="80">
        <v>0</v>
      </c>
      <c r="L434" s="80">
        <v>0</v>
      </c>
      <c r="M434" s="81">
        <f t="shared" si="111"/>
        <v>2279</v>
      </c>
      <c r="N434" s="81">
        <v>1</v>
      </c>
      <c r="O434" s="81">
        <v>1113</v>
      </c>
      <c r="P434" s="81">
        <f t="shared" si="125"/>
        <v>1165</v>
      </c>
      <c r="Q434" s="80">
        <f>IFERROR(VLOOKUP(C434,O.B.JUNE!$C$7:$K$448,7,0),0)</f>
        <v>0</v>
      </c>
      <c r="R434" s="80">
        <f>IFERROR(VLOOKUP(C434,O.B.JUNE!$C$7:$J$448,8,0),0)</f>
        <v>0</v>
      </c>
      <c r="S434" s="323">
        <f t="shared" ref="S434:S488" si="130">Q434+T434+U434+R434</f>
        <v>3120</v>
      </c>
      <c r="T434" s="324">
        <v>3120</v>
      </c>
      <c r="U434" s="324"/>
      <c r="V434" s="80"/>
      <c r="W434" s="324">
        <v>0</v>
      </c>
      <c r="X434" s="324"/>
      <c r="Y434" s="324">
        <v>0</v>
      </c>
      <c r="Z434" s="80">
        <v>0</v>
      </c>
      <c r="AA434" s="80">
        <f t="shared" ref="AA434:AA493" si="131">V434+U434+T434</f>
        <v>3120</v>
      </c>
      <c r="AB434" s="323">
        <f t="shared" si="123"/>
        <v>3120</v>
      </c>
      <c r="AC434" s="80">
        <f t="shared" si="124"/>
        <v>0</v>
      </c>
      <c r="AD434" s="80">
        <f t="shared" ref="AD434:AD488" si="132">AB434+AC434</f>
        <v>3120</v>
      </c>
      <c r="AE434" s="80"/>
      <c r="AF434" s="80"/>
      <c r="AG434" s="80"/>
      <c r="AH434" s="326">
        <f t="shared" si="115"/>
        <v>0</v>
      </c>
      <c r="AI434" s="326">
        <f t="shared" si="116"/>
        <v>0</v>
      </c>
      <c r="AJ434" s="326">
        <f t="shared" si="117"/>
        <v>0</v>
      </c>
      <c r="AK434" s="326">
        <f t="shared" si="118"/>
        <v>0</v>
      </c>
      <c r="AL434" s="326"/>
      <c r="AM434" s="326"/>
      <c r="AN434" s="326"/>
      <c r="AO434" s="326"/>
      <c r="AP434" s="326"/>
      <c r="AQ434" s="326"/>
      <c r="AR434" s="327"/>
      <c r="AS434" s="209"/>
      <c r="AT434" s="411"/>
      <c r="AU434" s="411"/>
    </row>
    <row r="435" spans="1:47" s="390" customFormat="1" ht="18.75" customHeight="1">
      <c r="A435" s="167">
        <v>444</v>
      </c>
      <c r="B435" s="79" t="s">
        <v>105</v>
      </c>
      <c r="C435" s="509">
        <v>470392</v>
      </c>
      <c r="D435" s="80">
        <f t="shared" si="109"/>
        <v>4122</v>
      </c>
      <c r="E435" s="80"/>
      <c r="F435" s="80">
        <f>VLOOKUP(C435,'CUTTING ON JUNE'!$A$4:$D$316,3,0)</f>
        <v>4122</v>
      </c>
      <c r="G435" s="80">
        <f>IFERROR(VLOOKUP(C435,O.B.JUNE!$C$7:$E$448,3,0),0)</f>
        <v>0</v>
      </c>
      <c r="H435" s="80">
        <f t="shared" si="129"/>
        <v>4122</v>
      </c>
      <c r="I435" s="80"/>
      <c r="J435" s="80">
        <f t="shared" si="128"/>
        <v>0</v>
      </c>
      <c r="K435" s="80">
        <v>0</v>
      </c>
      <c r="L435" s="80">
        <v>0</v>
      </c>
      <c r="M435" s="81">
        <f t="shared" si="111"/>
        <v>4122</v>
      </c>
      <c r="N435" s="81">
        <v>798</v>
      </c>
      <c r="O435" s="81">
        <v>2424</v>
      </c>
      <c r="P435" s="81">
        <f t="shared" si="125"/>
        <v>900</v>
      </c>
      <c r="Q435" s="80">
        <f>IFERROR(VLOOKUP(C435,O.B.JUNE!$C$7:$K$448,7,0),0)</f>
        <v>0</v>
      </c>
      <c r="R435" s="80">
        <f>IFERROR(VLOOKUP(C435,O.B.JUNE!$C$7:$J$448,8,0),0)</f>
        <v>0</v>
      </c>
      <c r="S435" s="323">
        <f t="shared" si="130"/>
        <v>0</v>
      </c>
      <c r="T435" s="324">
        <v>0</v>
      </c>
      <c r="U435" s="324"/>
      <c r="V435" s="80"/>
      <c r="W435" s="324">
        <v>0</v>
      </c>
      <c r="X435" s="324"/>
      <c r="Y435" s="324">
        <v>0</v>
      </c>
      <c r="Z435" s="80">
        <v>0</v>
      </c>
      <c r="AA435" s="80">
        <f t="shared" si="131"/>
        <v>0</v>
      </c>
      <c r="AB435" s="323">
        <f t="shared" si="123"/>
        <v>0</v>
      </c>
      <c r="AC435" s="80">
        <f t="shared" si="124"/>
        <v>0</v>
      </c>
      <c r="AD435" s="80">
        <f t="shared" si="132"/>
        <v>0</v>
      </c>
      <c r="AE435" s="80"/>
      <c r="AF435" s="80"/>
      <c r="AG435" s="80"/>
      <c r="AH435" s="326">
        <f t="shared" si="115"/>
        <v>0</v>
      </c>
      <c r="AI435" s="326">
        <f t="shared" si="116"/>
        <v>0</v>
      </c>
      <c r="AJ435" s="326">
        <f t="shared" si="117"/>
        <v>0</v>
      </c>
      <c r="AK435" s="326">
        <f t="shared" si="118"/>
        <v>0</v>
      </c>
      <c r="AL435" s="326"/>
      <c r="AM435" s="326"/>
      <c r="AN435" s="326"/>
      <c r="AO435" s="326"/>
      <c r="AP435" s="326"/>
      <c r="AQ435" s="326"/>
      <c r="AR435" s="327">
        <f>VLOOKUP(C435,'[1]DA HET SAN XUAT'!$D$8:$AJ$419,33,0)</f>
        <v>0</v>
      </c>
      <c r="AS435" s="209"/>
      <c r="AT435" s="411"/>
      <c r="AU435" s="411"/>
    </row>
    <row r="436" spans="1:47" s="390" customFormat="1" ht="18.75" customHeight="1">
      <c r="A436" s="167">
        <v>445</v>
      </c>
      <c r="B436" s="79" t="s">
        <v>105</v>
      </c>
      <c r="C436" s="509">
        <v>471300</v>
      </c>
      <c r="D436" s="80">
        <f t="shared" si="109"/>
        <v>1308</v>
      </c>
      <c r="E436" s="80"/>
      <c r="F436" s="80">
        <f>VLOOKUP(C436,'CUTTING ON JUNE'!$A$4:$D$316,3,0)</f>
        <v>1308</v>
      </c>
      <c r="G436" s="80">
        <f>IFERROR(VLOOKUP(C436,O.B.JUNE!$C$7:$E$448,3,0),0)</f>
        <v>0</v>
      </c>
      <c r="H436" s="80">
        <f t="shared" si="129"/>
        <v>1308</v>
      </c>
      <c r="I436" s="80"/>
      <c r="J436" s="80">
        <f t="shared" si="128"/>
        <v>1155</v>
      </c>
      <c r="K436" s="80">
        <v>0</v>
      </c>
      <c r="L436" s="80">
        <v>0</v>
      </c>
      <c r="M436" s="81">
        <f t="shared" si="111"/>
        <v>153</v>
      </c>
      <c r="N436" s="81"/>
      <c r="O436" s="81">
        <v>91</v>
      </c>
      <c r="P436" s="81">
        <f t="shared" si="125"/>
        <v>62</v>
      </c>
      <c r="Q436" s="80">
        <f>IFERROR(VLOOKUP(C436,O.B.JUNE!$C$7:$K$448,7,0),0)</f>
        <v>0</v>
      </c>
      <c r="R436" s="80">
        <f>IFERROR(VLOOKUP(C436,O.B.JUNE!$C$7:$J$448,8,0),0)</f>
        <v>0</v>
      </c>
      <c r="S436" s="323">
        <f t="shared" si="130"/>
        <v>1155</v>
      </c>
      <c r="T436" s="324">
        <v>1155</v>
      </c>
      <c r="U436" s="324"/>
      <c r="V436" s="80"/>
      <c r="W436" s="324">
        <v>1143</v>
      </c>
      <c r="X436" s="324"/>
      <c r="Y436" s="324">
        <v>12</v>
      </c>
      <c r="Z436" s="80">
        <v>0</v>
      </c>
      <c r="AA436" s="80">
        <f t="shared" si="131"/>
        <v>1155</v>
      </c>
      <c r="AB436" s="323">
        <f t="shared" si="123"/>
        <v>0</v>
      </c>
      <c r="AC436" s="80">
        <f t="shared" si="124"/>
        <v>0</v>
      </c>
      <c r="AD436" s="80">
        <f t="shared" si="132"/>
        <v>0</v>
      </c>
      <c r="AE436" s="80"/>
      <c r="AF436" s="80"/>
      <c r="AG436" s="80"/>
      <c r="AH436" s="326">
        <f t="shared" si="115"/>
        <v>0</v>
      </c>
      <c r="AI436" s="326">
        <f t="shared" si="116"/>
        <v>0</v>
      </c>
      <c r="AJ436" s="326">
        <f t="shared" si="117"/>
        <v>0</v>
      </c>
      <c r="AK436" s="326">
        <f t="shared" si="118"/>
        <v>0</v>
      </c>
      <c r="AL436" s="326"/>
      <c r="AM436" s="326"/>
      <c r="AN436" s="326"/>
      <c r="AO436" s="326"/>
      <c r="AP436" s="326"/>
      <c r="AQ436" s="326"/>
      <c r="AR436" s="327">
        <f>VLOOKUP(C436,'[1]DA HET SAN XUAT'!$D$8:$AJ$419,33,0)</f>
        <v>0</v>
      </c>
      <c r="AS436" s="209"/>
      <c r="AT436" s="411"/>
      <c r="AU436" s="411"/>
    </row>
    <row r="437" spans="1:47" s="390" customFormat="1" ht="18.75" customHeight="1">
      <c r="A437" s="167">
        <v>446</v>
      </c>
      <c r="B437" s="79" t="s">
        <v>105</v>
      </c>
      <c r="C437" s="509">
        <v>474934</v>
      </c>
      <c r="D437" s="80">
        <f t="shared" si="109"/>
        <v>8958</v>
      </c>
      <c r="E437" s="80"/>
      <c r="F437" s="80">
        <f>VLOOKUP(C437,'CUTTING ON JUNE'!$A$4:$D$316,3,0)</f>
        <v>8958</v>
      </c>
      <c r="G437" s="80">
        <f>IFERROR(VLOOKUP(C437,O.B.JUNE!$C$7:$E$448,3,0),0)</f>
        <v>0</v>
      </c>
      <c r="H437" s="80">
        <f t="shared" si="129"/>
        <v>8958</v>
      </c>
      <c r="I437" s="80"/>
      <c r="J437" s="80">
        <f t="shared" si="128"/>
        <v>1573</v>
      </c>
      <c r="K437" s="80">
        <v>0</v>
      </c>
      <c r="L437" s="80">
        <v>0</v>
      </c>
      <c r="M437" s="81">
        <f t="shared" si="111"/>
        <v>7385</v>
      </c>
      <c r="N437" s="81">
        <v>4217</v>
      </c>
      <c r="O437" s="81">
        <v>1055</v>
      </c>
      <c r="P437" s="81">
        <f t="shared" si="125"/>
        <v>2113</v>
      </c>
      <c r="Q437" s="80">
        <f>IFERROR(VLOOKUP(C437,O.B.JUNE!$C$7:$K$448,7,0),0)</f>
        <v>0</v>
      </c>
      <c r="R437" s="80">
        <f>IFERROR(VLOOKUP(C437,O.B.JUNE!$C$7:$J$448,8,0),0)</f>
        <v>0</v>
      </c>
      <c r="S437" s="323">
        <f t="shared" si="130"/>
        <v>1573</v>
      </c>
      <c r="T437" s="324">
        <v>1573</v>
      </c>
      <c r="U437" s="324"/>
      <c r="V437" s="80"/>
      <c r="W437" s="324">
        <v>1270</v>
      </c>
      <c r="X437" s="324"/>
      <c r="Y437" s="324">
        <v>0</v>
      </c>
      <c r="Z437" s="80">
        <v>0</v>
      </c>
      <c r="AA437" s="80">
        <f t="shared" si="131"/>
        <v>1573</v>
      </c>
      <c r="AB437" s="323">
        <f t="shared" si="123"/>
        <v>303</v>
      </c>
      <c r="AC437" s="80">
        <f t="shared" si="124"/>
        <v>0</v>
      </c>
      <c r="AD437" s="80">
        <f t="shared" si="132"/>
        <v>303</v>
      </c>
      <c r="AE437" s="80"/>
      <c r="AF437" s="80"/>
      <c r="AG437" s="80"/>
      <c r="AH437" s="326">
        <f t="shared" si="115"/>
        <v>0</v>
      </c>
      <c r="AI437" s="326">
        <f t="shared" si="116"/>
        <v>0</v>
      </c>
      <c r="AJ437" s="326">
        <f t="shared" si="117"/>
        <v>0</v>
      </c>
      <c r="AK437" s="326">
        <f t="shared" si="118"/>
        <v>0</v>
      </c>
      <c r="AL437" s="326"/>
      <c r="AM437" s="326"/>
      <c r="AN437" s="326"/>
      <c r="AO437" s="326"/>
      <c r="AP437" s="326"/>
      <c r="AQ437" s="326"/>
      <c r="AR437" s="327"/>
      <c r="AS437" s="209"/>
      <c r="AT437" s="411"/>
      <c r="AU437" s="411"/>
    </row>
    <row r="438" spans="1:47" s="390" customFormat="1" ht="18.75" customHeight="1">
      <c r="A438" s="167">
        <v>447</v>
      </c>
      <c r="B438" s="79" t="s">
        <v>105</v>
      </c>
      <c r="C438" s="509">
        <v>474935</v>
      </c>
      <c r="D438" s="80">
        <f t="shared" si="109"/>
        <v>11898</v>
      </c>
      <c r="E438" s="80"/>
      <c r="F438" s="80">
        <f>VLOOKUP(C438,'CUTTING ON JUNE'!$A$4:$D$316,3,0)</f>
        <v>11898</v>
      </c>
      <c r="G438" s="80">
        <f>IFERROR(VLOOKUP(C438,O.B.JUNE!$C$7:$E$448,3,0),0)</f>
        <v>0</v>
      </c>
      <c r="H438" s="80">
        <f t="shared" si="129"/>
        <v>11898</v>
      </c>
      <c r="I438" s="80"/>
      <c r="J438" s="80">
        <f t="shared" si="128"/>
        <v>10864</v>
      </c>
      <c r="K438" s="80">
        <v>0</v>
      </c>
      <c r="L438" s="80">
        <v>0</v>
      </c>
      <c r="M438" s="81">
        <f t="shared" si="111"/>
        <v>1034</v>
      </c>
      <c r="N438" s="81"/>
      <c r="O438" s="81">
        <v>308</v>
      </c>
      <c r="P438" s="81">
        <f t="shared" si="125"/>
        <v>726</v>
      </c>
      <c r="Q438" s="80">
        <f>IFERROR(VLOOKUP(C438,O.B.JUNE!$C$7:$K$448,7,0),0)</f>
        <v>0</v>
      </c>
      <c r="R438" s="80">
        <f>IFERROR(VLOOKUP(C438,O.B.JUNE!$C$7:$J$448,8,0),0)</f>
        <v>0</v>
      </c>
      <c r="S438" s="323">
        <f t="shared" si="130"/>
        <v>10864</v>
      </c>
      <c r="T438" s="324">
        <v>10864</v>
      </c>
      <c r="U438" s="324"/>
      <c r="V438" s="80"/>
      <c r="W438" s="324">
        <v>9600</v>
      </c>
      <c r="X438" s="324"/>
      <c r="Y438" s="324">
        <v>20</v>
      </c>
      <c r="Z438" s="80">
        <v>0</v>
      </c>
      <c r="AA438" s="80">
        <f t="shared" si="131"/>
        <v>10864</v>
      </c>
      <c r="AB438" s="323">
        <f t="shared" si="123"/>
        <v>1244</v>
      </c>
      <c r="AC438" s="80">
        <f t="shared" si="124"/>
        <v>0</v>
      </c>
      <c r="AD438" s="80">
        <f t="shared" si="132"/>
        <v>1244</v>
      </c>
      <c r="AE438" s="80"/>
      <c r="AF438" s="80"/>
      <c r="AG438" s="80"/>
      <c r="AH438" s="326">
        <f t="shared" si="115"/>
        <v>0</v>
      </c>
      <c r="AI438" s="326">
        <f t="shared" si="116"/>
        <v>0</v>
      </c>
      <c r="AJ438" s="326">
        <f t="shared" si="117"/>
        <v>0</v>
      </c>
      <c r="AK438" s="326">
        <f t="shared" si="118"/>
        <v>0</v>
      </c>
      <c r="AL438" s="326"/>
      <c r="AM438" s="326"/>
      <c r="AN438" s="326"/>
      <c r="AO438" s="326"/>
      <c r="AP438" s="326"/>
      <c r="AQ438" s="326"/>
      <c r="AR438" s="327"/>
      <c r="AS438" s="209"/>
      <c r="AT438" s="411"/>
      <c r="AU438" s="411"/>
    </row>
    <row r="439" spans="1:47" s="390" customFormat="1" ht="18.75" customHeight="1">
      <c r="A439" s="167">
        <v>448</v>
      </c>
      <c r="B439" s="79" t="s">
        <v>105</v>
      </c>
      <c r="C439" s="509">
        <v>474937</v>
      </c>
      <c r="D439" s="80">
        <f t="shared" si="109"/>
        <v>13094</v>
      </c>
      <c r="E439" s="80"/>
      <c r="F439" s="80">
        <f>VLOOKUP(C439,'CUTTING ON JUNE'!$A$4:$D$316,3,0)</f>
        <v>13094</v>
      </c>
      <c r="G439" s="80">
        <f>IFERROR(VLOOKUP(C439,O.B.JUNE!$C$7:$E$448,3,0),0)</f>
        <v>0</v>
      </c>
      <c r="H439" s="80">
        <f t="shared" si="129"/>
        <v>13094</v>
      </c>
      <c r="I439" s="80"/>
      <c r="J439" s="80">
        <f t="shared" si="128"/>
        <v>7124</v>
      </c>
      <c r="K439" s="80">
        <v>0</v>
      </c>
      <c r="L439" s="80">
        <v>0</v>
      </c>
      <c r="M439" s="81">
        <f t="shared" si="111"/>
        <v>5970</v>
      </c>
      <c r="N439" s="81"/>
      <c r="O439" s="81">
        <v>3992</v>
      </c>
      <c r="P439" s="81">
        <f t="shared" si="125"/>
        <v>1978</v>
      </c>
      <c r="Q439" s="80">
        <f>IFERROR(VLOOKUP(C439,O.B.JUNE!$C$7:$K$448,7,0),0)</f>
        <v>0</v>
      </c>
      <c r="R439" s="80">
        <f>IFERROR(VLOOKUP(C439,O.B.JUNE!$C$7:$J$448,8,0),0)</f>
        <v>0</v>
      </c>
      <c r="S439" s="323">
        <f t="shared" si="130"/>
        <v>7124</v>
      </c>
      <c r="T439" s="324">
        <v>7124</v>
      </c>
      <c r="U439" s="324"/>
      <c r="V439" s="80"/>
      <c r="W439" s="324">
        <v>0</v>
      </c>
      <c r="X439" s="324"/>
      <c r="Y439" s="324">
        <v>0</v>
      </c>
      <c r="Z439" s="80">
        <v>0</v>
      </c>
      <c r="AA439" s="80">
        <f t="shared" si="131"/>
        <v>7124</v>
      </c>
      <c r="AB439" s="323">
        <f t="shared" si="123"/>
        <v>7124</v>
      </c>
      <c r="AC439" s="80">
        <f t="shared" si="124"/>
        <v>0</v>
      </c>
      <c r="AD439" s="80">
        <f t="shared" si="132"/>
        <v>7124</v>
      </c>
      <c r="AE439" s="80"/>
      <c r="AF439" s="80"/>
      <c r="AG439" s="80"/>
      <c r="AH439" s="326">
        <f t="shared" si="115"/>
        <v>0</v>
      </c>
      <c r="AI439" s="326">
        <f t="shared" si="116"/>
        <v>0</v>
      </c>
      <c r="AJ439" s="326">
        <f t="shared" si="117"/>
        <v>0</v>
      </c>
      <c r="AK439" s="326">
        <f t="shared" si="118"/>
        <v>0</v>
      </c>
      <c r="AL439" s="326"/>
      <c r="AM439" s="326"/>
      <c r="AN439" s="326"/>
      <c r="AO439" s="326"/>
      <c r="AP439" s="326"/>
      <c r="AQ439" s="326"/>
      <c r="AR439" s="327"/>
      <c r="AS439" s="209"/>
      <c r="AT439" s="411"/>
      <c r="AU439" s="411"/>
    </row>
    <row r="440" spans="1:47" s="390" customFormat="1" ht="18.75" customHeight="1">
      <c r="A440" s="167">
        <v>449</v>
      </c>
      <c r="B440" s="79" t="s">
        <v>105</v>
      </c>
      <c r="C440" s="509">
        <v>476557</v>
      </c>
      <c r="D440" s="80">
        <f t="shared" si="109"/>
        <v>1400</v>
      </c>
      <c r="E440" s="80"/>
      <c r="F440" s="80">
        <f>VLOOKUP(C440,'CUTTING ON JUNE'!$A$4:$D$316,3,0)</f>
        <v>1400</v>
      </c>
      <c r="G440" s="80">
        <f>IFERROR(VLOOKUP(C440,O.B.JUNE!$C$7:$E$448,3,0),0)</f>
        <v>0</v>
      </c>
      <c r="H440" s="80">
        <f t="shared" si="129"/>
        <v>1400</v>
      </c>
      <c r="I440" s="80"/>
      <c r="J440" s="80">
        <f t="shared" si="128"/>
        <v>199</v>
      </c>
      <c r="K440" s="80">
        <v>0</v>
      </c>
      <c r="L440" s="80">
        <v>0</v>
      </c>
      <c r="M440" s="81">
        <f t="shared" si="111"/>
        <v>1201</v>
      </c>
      <c r="N440" s="81"/>
      <c r="O440" s="81">
        <v>31</v>
      </c>
      <c r="P440" s="81">
        <f t="shared" si="125"/>
        <v>1170</v>
      </c>
      <c r="Q440" s="80">
        <f>IFERROR(VLOOKUP(C440,O.B.JUNE!$C$7:$K$448,7,0),0)</f>
        <v>0</v>
      </c>
      <c r="R440" s="80">
        <f>IFERROR(VLOOKUP(C440,O.B.JUNE!$C$7:$J$448,8,0),0)</f>
        <v>0</v>
      </c>
      <c r="S440" s="323">
        <f t="shared" si="130"/>
        <v>199</v>
      </c>
      <c r="T440" s="324">
        <v>199</v>
      </c>
      <c r="U440" s="324"/>
      <c r="V440" s="80"/>
      <c r="W440" s="324">
        <v>0</v>
      </c>
      <c r="X440" s="324"/>
      <c r="Y440" s="324">
        <v>0</v>
      </c>
      <c r="Z440" s="80">
        <v>0</v>
      </c>
      <c r="AA440" s="80">
        <f t="shared" si="131"/>
        <v>199</v>
      </c>
      <c r="AB440" s="323">
        <f t="shared" si="123"/>
        <v>199</v>
      </c>
      <c r="AC440" s="80">
        <f t="shared" si="124"/>
        <v>0</v>
      </c>
      <c r="AD440" s="80">
        <f t="shared" si="132"/>
        <v>199</v>
      </c>
      <c r="AE440" s="80"/>
      <c r="AF440" s="80"/>
      <c r="AG440" s="80"/>
      <c r="AH440" s="326">
        <f t="shared" si="115"/>
        <v>0</v>
      </c>
      <c r="AI440" s="326">
        <f t="shared" si="116"/>
        <v>0</v>
      </c>
      <c r="AJ440" s="326">
        <f t="shared" si="117"/>
        <v>0</v>
      </c>
      <c r="AK440" s="326">
        <f t="shared" si="118"/>
        <v>0</v>
      </c>
      <c r="AL440" s="326"/>
      <c r="AM440" s="326"/>
      <c r="AN440" s="326"/>
      <c r="AO440" s="326"/>
      <c r="AP440" s="326"/>
      <c r="AQ440" s="326"/>
      <c r="AR440" s="327"/>
      <c r="AS440" s="209"/>
      <c r="AT440" s="411"/>
      <c r="AU440" s="411"/>
    </row>
    <row r="441" spans="1:47" s="390" customFormat="1" ht="18.75" customHeight="1">
      <c r="A441" s="167">
        <v>450</v>
      </c>
      <c r="B441" s="79" t="s">
        <v>161</v>
      </c>
      <c r="C441" s="509">
        <v>100018225</v>
      </c>
      <c r="D441" s="80">
        <f t="shared" ref="D441:D488" si="133">F441-E441</f>
        <v>1884</v>
      </c>
      <c r="E441" s="80"/>
      <c r="F441" s="80">
        <f>VLOOKUP(C441,'CUTTING ON JUNE'!$A$4:$D$316,3,0)</f>
        <v>1884</v>
      </c>
      <c r="G441" s="80">
        <f>IFERROR(VLOOKUP(C441,O.B.JUNE!$C$7:$E$448,3,0),0)</f>
        <v>0</v>
      </c>
      <c r="H441" s="80">
        <f t="shared" si="129"/>
        <v>1884</v>
      </c>
      <c r="I441" s="80"/>
      <c r="J441" s="80">
        <f t="shared" si="128"/>
        <v>255</v>
      </c>
      <c r="K441" s="80">
        <v>0</v>
      </c>
      <c r="L441" s="80">
        <v>0</v>
      </c>
      <c r="M441" s="81">
        <f t="shared" ref="M441:M493" si="134">ROUND(IF(ISERROR(F441-S441-K441-L441-R441),0,(F441-S441-K441-L441+Q441+R441+G441-E441)),0)</f>
        <v>1629</v>
      </c>
      <c r="N441" s="81">
        <v>46</v>
      </c>
      <c r="O441" s="81">
        <v>1354</v>
      </c>
      <c r="P441" s="81">
        <f t="shared" si="125"/>
        <v>229</v>
      </c>
      <c r="Q441" s="80">
        <f>IFERROR(VLOOKUP(C441,O.B.JUNE!$C$7:$K$448,7,0),0)</f>
        <v>0</v>
      </c>
      <c r="R441" s="80">
        <f>IFERROR(VLOOKUP(C441,O.B.JUNE!$C$7:$J$448,8,0),0)</f>
        <v>0</v>
      </c>
      <c r="S441" s="323">
        <f t="shared" si="130"/>
        <v>255</v>
      </c>
      <c r="T441" s="324">
        <v>255</v>
      </c>
      <c r="U441" s="324"/>
      <c r="V441" s="80"/>
      <c r="W441" s="324">
        <v>0</v>
      </c>
      <c r="X441" s="324"/>
      <c r="Y441" s="324">
        <v>0</v>
      </c>
      <c r="Z441" s="80">
        <v>0</v>
      </c>
      <c r="AA441" s="80">
        <f t="shared" si="131"/>
        <v>255</v>
      </c>
      <c r="AB441" s="323">
        <f t="shared" si="123"/>
        <v>255</v>
      </c>
      <c r="AC441" s="80">
        <f t="shared" si="124"/>
        <v>0</v>
      </c>
      <c r="AD441" s="80">
        <f t="shared" si="132"/>
        <v>255</v>
      </c>
      <c r="AE441" s="80"/>
      <c r="AF441" s="80"/>
      <c r="AG441" s="80"/>
      <c r="AH441" s="326">
        <f t="shared" ref="AH441:AH493" si="135">G441+H441-J441-L441-M441</f>
        <v>0</v>
      </c>
      <c r="AI441" s="326">
        <f t="shared" ref="AI441:AI493" si="136">Q441+T441+U441-S441+R441</f>
        <v>0</v>
      </c>
      <c r="AJ441" s="326">
        <f t="shared" ref="AJ441:AJ493" si="137">M441-N441-O441-P441</f>
        <v>0</v>
      </c>
      <c r="AK441" s="326">
        <f t="shared" ref="AK441:AK493" si="138">M441-N441-O441-P441</f>
        <v>0</v>
      </c>
      <c r="AL441" s="326"/>
      <c r="AM441" s="326"/>
      <c r="AN441" s="326"/>
      <c r="AO441" s="326"/>
      <c r="AP441" s="326"/>
      <c r="AQ441" s="326"/>
      <c r="AR441" s="327"/>
      <c r="AS441" s="209"/>
      <c r="AT441" s="411"/>
      <c r="AU441" s="411"/>
    </row>
    <row r="442" spans="1:47" s="390" customFormat="1" ht="18.75" customHeight="1">
      <c r="A442" s="167">
        <v>451</v>
      </c>
      <c r="B442" s="79" t="s">
        <v>161</v>
      </c>
      <c r="C442" s="509">
        <v>100018230</v>
      </c>
      <c r="D442" s="80">
        <f t="shared" si="133"/>
        <v>5184</v>
      </c>
      <c r="E442" s="80"/>
      <c r="F442" s="80">
        <f>VLOOKUP(C442,'CUTTING ON JUNE'!$A$4:$D$316,3,0)</f>
        <v>5184</v>
      </c>
      <c r="G442" s="80">
        <f>IFERROR(VLOOKUP(C442,O.B.JUNE!$C$7:$E$448,3,0),0)</f>
        <v>0</v>
      </c>
      <c r="H442" s="80">
        <f t="shared" si="129"/>
        <v>5184</v>
      </c>
      <c r="I442" s="80"/>
      <c r="J442" s="80">
        <f t="shared" si="128"/>
        <v>4881</v>
      </c>
      <c r="K442" s="80">
        <v>0</v>
      </c>
      <c r="L442" s="80">
        <v>0</v>
      </c>
      <c r="M442" s="81">
        <f t="shared" si="134"/>
        <v>303</v>
      </c>
      <c r="N442" s="81"/>
      <c r="O442" s="81"/>
      <c r="P442" s="81">
        <f t="shared" si="125"/>
        <v>303</v>
      </c>
      <c r="Q442" s="80">
        <f>IFERROR(VLOOKUP(C442,O.B.JUNE!$C$7:$K$448,7,0),0)</f>
        <v>0</v>
      </c>
      <c r="R442" s="80">
        <f>IFERROR(VLOOKUP(C442,O.B.JUNE!$C$7:$J$448,8,0),0)</f>
        <v>0</v>
      </c>
      <c r="S442" s="323">
        <f t="shared" si="130"/>
        <v>4881</v>
      </c>
      <c r="T442" s="324">
        <v>4881</v>
      </c>
      <c r="U442" s="324"/>
      <c r="V442" s="80"/>
      <c r="W442" s="324">
        <v>4797</v>
      </c>
      <c r="X442" s="324"/>
      <c r="Y442" s="324">
        <v>4</v>
      </c>
      <c r="Z442" s="80">
        <v>80</v>
      </c>
      <c r="AA442" s="80">
        <f t="shared" si="131"/>
        <v>4881</v>
      </c>
      <c r="AB442" s="323">
        <f t="shared" si="123"/>
        <v>0</v>
      </c>
      <c r="AC442" s="80">
        <f t="shared" si="124"/>
        <v>80</v>
      </c>
      <c r="AD442" s="80">
        <f t="shared" si="132"/>
        <v>80</v>
      </c>
      <c r="AE442" s="80"/>
      <c r="AF442" s="80"/>
      <c r="AG442" s="80"/>
      <c r="AH442" s="326">
        <f t="shared" si="135"/>
        <v>0</v>
      </c>
      <c r="AI442" s="326">
        <f t="shared" si="136"/>
        <v>0</v>
      </c>
      <c r="AJ442" s="326">
        <f t="shared" si="137"/>
        <v>0</v>
      </c>
      <c r="AK442" s="326">
        <f t="shared" si="138"/>
        <v>0</v>
      </c>
      <c r="AL442" s="326"/>
      <c r="AM442" s="326"/>
      <c r="AN442" s="326"/>
      <c r="AO442" s="326"/>
      <c r="AP442" s="326"/>
      <c r="AQ442" s="326"/>
      <c r="AR442" s="327"/>
      <c r="AS442" s="209"/>
      <c r="AT442" s="411"/>
      <c r="AU442" s="411"/>
    </row>
    <row r="443" spans="1:47" s="390" customFormat="1" ht="18.75" customHeight="1">
      <c r="A443" s="167">
        <v>452</v>
      </c>
      <c r="B443" s="79" t="s">
        <v>161</v>
      </c>
      <c r="C443" s="509">
        <v>100024454</v>
      </c>
      <c r="D443" s="80">
        <f t="shared" si="133"/>
        <v>1146</v>
      </c>
      <c r="E443" s="80"/>
      <c r="F443" s="80">
        <f>VLOOKUP(C443,'CUTTING ON JUNE'!$A$4:$D$316,3,0)</f>
        <v>1146</v>
      </c>
      <c r="G443" s="80">
        <f>IFERROR(VLOOKUP(C443,O.B.JUNE!$C$7:$E$448,3,0),0)</f>
        <v>0</v>
      </c>
      <c r="H443" s="80">
        <f t="shared" si="129"/>
        <v>1146</v>
      </c>
      <c r="I443" s="80"/>
      <c r="J443" s="80">
        <f t="shared" si="128"/>
        <v>1043</v>
      </c>
      <c r="K443" s="80">
        <v>0</v>
      </c>
      <c r="L443" s="80">
        <v>0</v>
      </c>
      <c r="M443" s="81">
        <f t="shared" si="134"/>
        <v>103</v>
      </c>
      <c r="N443" s="81"/>
      <c r="O443" s="81">
        <v>59</v>
      </c>
      <c r="P443" s="81">
        <f t="shared" si="125"/>
        <v>44</v>
      </c>
      <c r="Q443" s="80">
        <f>IFERROR(VLOOKUP(C443,O.B.JUNE!$C$7:$K$448,7,0),0)</f>
        <v>0</v>
      </c>
      <c r="R443" s="80">
        <f>IFERROR(VLOOKUP(C443,O.B.JUNE!$C$7:$J$448,8,0),0)</f>
        <v>0</v>
      </c>
      <c r="S443" s="323">
        <f t="shared" si="130"/>
        <v>1043</v>
      </c>
      <c r="T443" s="324">
        <v>1043</v>
      </c>
      <c r="U443" s="324"/>
      <c r="V443" s="80"/>
      <c r="W443" s="324">
        <v>0</v>
      </c>
      <c r="X443" s="324"/>
      <c r="Y443" s="324">
        <v>0</v>
      </c>
      <c r="Z443" s="80">
        <v>0</v>
      </c>
      <c r="AA443" s="80">
        <f t="shared" si="131"/>
        <v>1043</v>
      </c>
      <c r="AB443" s="323">
        <f t="shared" si="123"/>
        <v>1043</v>
      </c>
      <c r="AC443" s="80">
        <f t="shared" si="124"/>
        <v>0</v>
      </c>
      <c r="AD443" s="80">
        <f t="shared" si="132"/>
        <v>1043</v>
      </c>
      <c r="AE443" s="80"/>
      <c r="AF443" s="80"/>
      <c r="AG443" s="80"/>
      <c r="AH443" s="326">
        <f t="shared" si="135"/>
        <v>0</v>
      </c>
      <c r="AI443" s="326">
        <f t="shared" si="136"/>
        <v>0</v>
      </c>
      <c r="AJ443" s="326">
        <f t="shared" si="137"/>
        <v>0</v>
      </c>
      <c r="AK443" s="326">
        <f t="shared" si="138"/>
        <v>0</v>
      </c>
      <c r="AL443" s="326"/>
      <c r="AM443" s="326"/>
      <c r="AN443" s="326"/>
      <c r="AO443" s="326"/>
      <c r="AP443" s="326"/>
      <c r="AQ443" s="326"/>
      <c r="AR443" s="327"/>
      <c r="AS443" s="209"/>
      <c r="AT443" s="411"/>
      <c r="AU443" s="411"/>
    </row>
    <row r="444" spans="1:47" s="390" customFormat="1" ht="18.75" customHeight="1">
      <c r="A444" s="167">
        <v>453</v>
      </c>
      <c r="B444" s="79" t="s">
        <v>161</v>
      </c>
      <c r="C444" s="509">
        <v>100024455</v>
      </c>
      <c r="D444" s="80">
        <f t="shared" si="133"/>
        <v>1785</v>
      </c>
      <c r="E444" s="80"/>
      <c r="F444" s="80">
        <f>VLOOKUP(C444,'CUTTING ON JUNE'!$A$4:$D$316,3,0)</f>
        <v>1785</v>
      </c>
      <c r="G444" s="80">
        <f>IFERROR(VLOOKUP(C444,O.B.JUNE!$C$7:$E$448,3,0),0)</f>
        <v>0</v>
      </c>
      <c r="H444" s="80">
        <f t="shared" si="129"/>
        <v>1785</v>
      </c>
      <c r="I444" s="80"/>
      <c r="J444" s="80">
        <f t="shared" si="128"/>
        <v>402</v>
      </c>
      <c r="K444" s="80">
        <v>0</v>
      </c>
      <c r="L444" s="80">
        <v>0</v>
      </c>
      <c r="M444" s="81">
        <f t="shared" si="134"/>
        <v>1383</v>
      </c>
      <c r="N444" s="81"/>
      <c r="O444" s="81">
        <v>1023</v>
      </c>
      <c r="P444" s="81">
        <f t="shared" si="125"/>
        <v>360</v>
      </c>
      <c r="Q444" s="80">
        <f>IFERROR(VLOOKUP(C444,O.B.JUNE!$C$7:$K$448,7,0),0)</f>
        <v>0</v>
      </c>
      <c r="R444" s="80">
        <f>IFERROR(VLOOKUP(C444,O.B.JUNE!$C$7:$J$448,8,0),0)</f>
        <v>0</v>
      </c>
      <c r="S444" s="323">
        <f t="shared" si="130"/>
        <v>402</v>
      </c>
      <c r="T444" s="324">
        <v>402</v>
      </c>
      <c r="U444" s="324"/>
      <c r="V444" s="80"/>
      <c r="W444" s="324">
        <v>0</v>
      </c>
      <c r="X444" s="324"/>
      <c r="Y444" s="324">
        <v>0</v>
      </c>
      <c r="Z444" s="80">
        <v>0</v>
      </c>
      <c r="AA444" s="80">
        <f t="shared" si="131"/>
        <v>402</v>
      </c>
      <c r="AB444" s="323">
        <f t="shared" si="123"/>
        <v>402</v>
      </c>
      <c r="AC444" s="80">
        <f t="shared" si="124"/>
        <v>0</v>
      </c>
      <c r="AD444" s="80">
        <f t="shared" si="132"/>
        <v>402</v>
      </c>
      <c r="AE444" s="80"/>
      <c r="AF444" s="80"/>
      <c r="AG444" s="80"/>
      <c r="AH444" s="326">
        <f t="shared" si="135"/>
        <v>0</v>
      </c>
      <c r="AI444" s="326">
        <f t="shared" si="136"/>
        <v>0</v>
      </c>
      <c r="AJ444" s="326">
        <f t="shared" si="137"/>
        <v>0</v>
      </c>
      <c r="AK444" s="326">
        <f t="shared" si="138"/>
        <v>0</v>
      </c>
      <c r="AL444" s="326"/>
      <c r="AM444" s="326"/>
      <c r="AN444" s="326"/>
      <c r="AO444" s="326"/>
      <c r="AP444" s="326"/>
      <c r="AQ444" s="326"/>
      <c r="AR444" s="327"/>
      <c r="AS444" s="209"/>
      <c r="AT444" s="411"/>
      <c r="AU444" s="411"/>
    </row>
    <row r="445" spans="1:47" s="390" customFormat="1" ht="18.75" customHeight="1">
      <c r="A445" s="167">
        <v>454</v>
      </c>
      <c r="B445" s="79" t="s">
        <v>161</v>
      </c>
      <c r="C445" s="509">
        <v>100024464</v>
      </c>
      <c r="D445" s="80">
        <f t="shared" si="133"/>
        <v>3526</v>
      </c>
      <c r="E445" s="80"/>
      <c r="F445" s="80">
        <f>VLOOKUP(C445,'CUTTING ON JUNE'!$A$4:$D$316,3,0)</f>
        <v>3526</v>
      </c>
      <c r="G445" s="80">
        <f>IFERROR(VLOOKUP(C445,O.B.JUNE!$C$7:$E$448,3,0),0)</f>
        <v>0</v>
      </c>
      <c r="H445" s="80">
        <f t="shared" si="129"/>
        <v>3526</v>
      </c>
      <c r="I445" s="80"/>
      <c r="J445" s="80">
        <f t="shared" si="128"/>
        <v>2065</v>
      </c>
      <c r="K445" s="80">
        <v>0</v>
      </c>
      <c r="L445" s="80">
        <v>0</v>
      </c>
      <c r="M445" s="81">
        <f t="shared" si="134"/>
        <v>1461</v>
      </c>
      <c r="N445" s="81"/>
      <c r="O445" s="81">
        <v>82</v>
      </c>
      <c r="P445" s="81">
        <f t="shared" si="125"/>
        <v>1379</v>
      </c>
      <c r="Q445" s="80">
        <f>IFERROR(VLOOKUP(C445,O.B.JUNE!$C$7:$K$448,7,0),0)</f>
        <v>0</v>
      </c>
      <c r="R445" s="80">
        <f>IFERROR(VLOOKUP(C445,O.B.JUNE!$C$7:$J$448,8,0),0)</f>
        <v>0</v>
      </c>
      <c r="S445" s="323">
        <f t="shared" si="130"/>
        <v>2065</v>
      </c>
      <c r="T445" s="324">
        <v>2065</v>
      </c>
      <c r="U445" s="324"/>
      <c r="V445" s="80"/>
      <c r="W445" s="324">
        <v>0</v>
      </c>
      <c r="X445" s="324"/>
      <c r="Y445" s="324">
        <v>0</v>
      </c>
      <c r="Z445" s="80">
        <v>0</v>
      </c>
      <c r="AA445" s="80">
        <f t="shared" si="131"/>
        <v>2065</v>
      </c>
      <c r="AB445" s="323">
        <f t="shared" si="123"/>
        <v>2065</v>
      </c>
      <c r="AC445" s="80">
        <f t="shared" si="124"/>
        <v>0</v>
      </c>
      <c r="AD445" s="80">
        <f t="shared" si="132"/>
        <v>2065</v>
      </c>
      <c r="AE445" s="80"/>
      <c r="AF445" s="80"/>
      <c r="AG445" s="80"/>
      <c r="AH445" s="326">
        <f t="shared" si="135"/>
        <v>0</v>
      </c>
      <c r="AI445" s="326">
        <f t="shared" si="136"/>
        <v>0</v>
      </c>
      <c r="AJ445" s="326">
        <f t="shared" si="137"/>
        <v>0</v>
      </c>
      <c r="AK445" s="326">
        <f t="shared" si="138"/>
        <v>0</v>
      </c>
      <c r="AL445" s="326"/>
      <c r="AM445" s="326"/>
      <c r="AN445" s="326"/>
      <c r="AO445" s="326"/>
      <c r="AP445" s="326"/>
      <c r="AQ445" s="326"/>
      <c r="AR445" s="327"/>
      <c r="AS445" s="209"/>
      <c r="AT445" s="411"/>
      <c r="AU445" s="411"/>
    </row>
    <row r="446" spans="1:47" s="390" customFormat="1" ht="18.75" customHeight="1">
      <c r="A446" s="167">
        <v>455</v>
      </c>
      <c r="B446" s="79" t="s">
        <v>161</v>
      </c>
      <c r="C446" s="509">
        <v>100024758</v>
      </c>
      <c r="D446" s="80">
        <f t="shared" si="133"/>
        <v>7292</v>
      </c>
      <c r="E446" s="80"/>
      <c r="F446" s="80">
        <f>VLOOKUP(C446,'CUTTING ON JUNE'!$A$4:$D$316,3,0)</f>
        <v>7292</v>
      </c>
      <c r="G446" s="80">
        <f>IFERROR(VLOOKUP(C446,O.B.JUNE!$C$7:$E$448,3,0),0)</f>
        <v>0</v>
      </c>
      <c r="H446" s="80">
        <f t="shared" si="129"/>
        <v>7292</v>
      </c>
      <c r="I446" s="80"/>
      <c r="J446" s="80">
        <f t="shared" si="128"/>
        <v>0</v>
      </c>
      <c r="K446" s="80">
        <v>0</v>
      </c>
      <c r="L446" s="80">
        <v>0</v>
      </c>
      <c r="M446" s="81">
        <f t="shared" si="134"/>
        <v>7292</v>
      </c>
      <c r="N446" s="81">
        <v>5329</v>
      </c>
      <c r="O446" s="81">
        <v>216</v>
      </c>
      <c r="P446" s="81">
        <f t="shared" si="125"/>
        <v>1747</v>
      </c>
      <c r="Q446" s="80">
        <f>IFERROR(VLOOKUP(C446,O.B.JUNE!$C$7:$K$448,7,0),0)</f>
        <v>0</v>
      </c>
      <c r="R446" s="80">
        <f>IFERROR(VLOOKUP(C446,O.B.JUNE!$C$7:$J$448,8,0),0)</f>
        <v>0</v>
      </c>
      <c r="S446" s="323">
        <f t="shared" si="130"/>
        <v>0</v>
      </c>
      <c r="T446" s="324">
        <v>0</v>
      </c>
      <c r="U446" s="324"/>
      <c r="V446" s="80"/>
      <c r="W446" s="324">
        <v>0</v>
      </c>
      <c r="X446" s="324"/>
      <c r="Y446" s="324">
        <v>0</v>
      </c>
      <c r="Z446" s="80">
        <v>0</v>
      </c>
      <c r="AA446" s="80">
        <f t="shared" si="131"/>
        <v>0</v>
      </c>
      <c r="AB446" s="323">
        <f t="shared" si="123"/>
        <v>0</v>
      </c>
      <c r="AC446" s="80">
        <f t="shared" si="124"/>
        <v>0</v>
      </c>
      <c r="AD446" s="80">
        <f t="shared" si="132"/>
        <v>0</v>
      </c>
      <c r="AE446" s="80"/>
      <c r="AF446" s="80"/>
      <c r="AG446" s="80"/>
      <c r="AH446" s="326">
        <f t="shared" si="135"/>
        <v>0</v>
      </c>
      <c r="AI446" s="326">
        <f t="shared" si="136"/>
        <v>0</v>
      </c>
      <c r="AJ446" s="326">
        <f t="shared" si="137"/>
        <v>0</v>
      </c>
      <c r="AK446" s="326">
        <f t="shared" si="138"/>
        <v>0</v>
      </c>
      <c r="AL446" s="326"/>
      <c r="AM446" s="326"/>
      <c r="AN446" s="326"/>
      <c r="AO446" s="326"/>
      <c r="AP446" s="326"/>
      <c r="AQ446" s="326"/>
      <c r="AR446" s="327">
        <f>VLOOKUP(C446,'[1]DA HET SAN XUAT'!$D$8:$AJ$419,33,0)</f>
        <v>0</v>
      </c>
      <c r="AS446" s="209"/>
      <c r="AT446" s="411"/>
      <c r="AU446" s="411"/>
    </row>
    <row r="447" spans="1:47" s="390" customFormat="1" ht="18.75" customHeight="1">
      <c r="A447" s="167">
        <v>456</v>
      </c>
      <c r="B447" s="79" t="s">
        <v>161</v>
      </c>
      <c r="C447" s="509">
        <v>100024806</v>
      </c>
      <c r="D447" s="80">
        <f t="shared" si="133"/>
        <v>3272</v>
      </c>
      <c r="E447" s="80"/>
      <c r="F447" s="80">
        <f>VLOOKUP(C447,'CUTTING ON JUNE'!$A$4:$D$316,3,0)</f>
        <v>3272</v>
      </c>
      <c r="G447" s="80">
        <f>IFERROR(VLOOKUP(C447,O.B.JUNE!$C$7:$E$448,3,0),0)</f>
        <v>0</v>
      </c>
      <c r="H447" s="80">
        <f t="shared" si="129"/>
        <v>3272</v>
      </c>
      <c r="I447" s="80"/>
      <c r="J447" s="80">
        <f t="shared" si="128"/>
        <v>2630</v>
      </c>
      <c r="K447" s="80">
        <v>0</v>
      </c>
      <c r="L447" s="80">
        <v>0</v>
      </c>
      <c r="M447" s="81">
        <f t="shared" si="134"/>
        <v>642</v>
      </c>
      <c r="N447" s="81"/>
      <c r="O447" s="81"/>
      <c r="P447" s="81">
        <f t="shared" si="125"/>
        <v>642</v>
      </c>
      <c r="Q447" s="80">
        <f>IFERROR(VLOOKUP(C447,O.B.JUNE!$C$7:$K$448,7,0),0)</f>
        <v>0</v>
      </c>
      <c r="R447" s="80">
        <f>IFERROR(VLOOKUP(C447,O.B.JUNE!$C$7:$J$448,8,0),0)</f>
        <v>0</v>
      </c>
      <c r="S447" s="323">
        <f t="shared" si="130"/>
        <v>2630</v>
      </c>
      <c r="T447" s="324">
        <v>2630</v>
      </c>
      <c r="U447" s="324"/>
      <c r="V447" s="80"/>
      <c r="W447" s="324">
        <v>0</v>
      </c>
      <c r="X447" s="324"/>
      <c r="Y447" s="324">
        <v>0</v>
      </c>
      <c r="Z447" s="80">
        <v>0</v>
      </c>
      <c r="AA447" s="80">
        <f t="shared" si="131"/>
        <v>2630</v>
      </c>
      <c r="AB447" s="323">
        <f t="shared" si="123"/>
        <v>2630</v>
      </c>
      <c r="AC447" s="80">
        <f t="shared" si="124"/>
        <v>0</v>
      </c>
      <c r="AD447" s="80">
        <f t="shared" si="132"/>
        <v>2630</v>
      </c>
      <c r="AE447" s="80"/>
      <c r="AF447" s="80"/>
      <c r="AG447" s="80"/>
      <c r="AH447" s="326">
        <f t="shared" si="135"/>
        <v>0</v>
      </c>
      <c r="AI447" s="326">
        <f t="shared" si="136"/>
        <v>0</v>
      </c>
      <c r="AJ447" s="326">
        <f t="shared" si="137"/>
        <v>0</v>
      </c>
      <c r="AK447" s="326">
        <f t="shared" si="138"/>
        <v>0</v>
      </c>
      <c r="AL447" s="326"/>
      <c r="AM447" s="326"/>
      <c r="AN447" s="326"/>
      <c r="AO447" s="326"/>
      <c r="AP447" s="326"/>
      <c r="AQ447" s="326"/>
      <c r="AR447" s="327"/>
      <c r="AS447" s="209"/>
      <c r="AT447" s="411"/>
      <c r="AU447" s="411"/>
    </row>
    <row r="448" spans="1:47" s="390" customFormat="1" ht="18.75" customHeight="1">
      <c r="A448" s="167">
        <v>457</v>
      </c>
      <c r="B448" s="79" t="s">
        <v>161</v>
      </c>
      <c r="C448" s="509">
        <v>100024819</v>
      </c>
      <c r="D448" s="80">
        <f t="shared" si="133"/>
        <v>7046</v>
      </c>
      <c r="E448" s="80"/>
      <c r="F448" s="80">
        <f>VLOOKUP(C448,'CUTTING ON JUNE'!$A$4:$D$316,3,0)</f>
        <v>7046</v>
      </c>
      <c r="G448" s="80">
        <f>IFERROR(VLOOKUP(C448,O.B.JUNE!$C$7:$E$448,3,0),0)</f>
        <v>0</v>
      </c>
      <c r="H448" s="80">
        <f t="shared" si="129"/>
        <v>7046</v>
      </c>
      <c r="I448" s="80"/>
      <c r="J448" s="80">
        <f t="shared" si="128"/>
        <v>345</v>
      </c>
      <c r="K448" s="80">
        <v>0</v>
      </c>
      <c r="L448" s="80">
        <v>0</v>
      </c>
      <c r="M448" s="81">
        <f t="shared" si="134"/>
        <v>6701</v>
      </c>
      <c r="N448" s="81"/>
      <c r="O448" s="81">
        <v>4046</v>
      </c>
      <c r="P448" s="81">
        <f t="shared" si="125"/>
        <v>2655</v>
      </c>
      <c r="Q448" s="80">
        <f>IFERROR(VLOOKUP(C448,O.B.JUNE!$C$7:$K$448,7,0),0)</f>
        <v>0</v>
      </c>
      <c r="R448" s="80">
        <f>IFERROR(VLOOKUP(C448,O.B.JUNE!$C$7:$J$448,8,0),0)</f>
        <v>0</v>
      </c>
      <c r="S448" s="323">
        <f t="shared" si="130"/>
        <v>345</v>
      </c>
      <c r="T448" s="324">
        <v>345</v>
      </c>
      <c r="U448" s="324"/>
      <c r="V448" s="80"/>
      <c r="W448" s="324">
        <v>0</v>
      </c>
      <c r="X448" s="324"/>
      <c r="Y448" s="324">
        <v>0</v>
      </c>
      <c r="Z448" s="80">
        <v>0</v>
      </c>
      <c r="AA448" s="80">
        <f t="shared" si="131"/>
        <v>345</v>
      </c>
      <c r="AB448" s="323">
        <f t="shared" si="123"/>
        <v>345</v>
      </c>
      <c r="AC448" s="80">
        <f t="shared" si="124"/>
        <v>0</v>
      </c>
      <c r="AD448" s="80">
        <f t="shared" si="132"/>
        <v>345</v>
      </c>
      <c r="AE448" s="80"/>
      <c r="AF448" s="80"/>
      <c r="AG448" s="80"/>
      <c r="AH448" s="326">
        <f t="shared" si="135"/>
        <v>0</v>
      </c>
      <c r="AI448" s="326">
        <f t="shared" si="136"/>
        <v>0</v>
      </c>
      <c r="AJ448" s="326">
        <f t="shared" si="137"/>
        <v>0</v>
      </c>
      <c r="AK448" s="326">
        <f t="shared" si="138"/>
        <v>0</v>
      </c>
      <c r="AL448" s="326"/>
      <c r="AM448" s="326"/>
      <c r="AN448" s="326"/>
      <c r="AO448" s="326"/>
      <c r="AP448" s="326"/>
      <c r="AQ448" s="326"/>
      <c r="AR448" s="327"/>
      <c r="AS448" s="209"/>
      <c r="AT448" s="411"/>
      <c r="AU448" s="411"/>
    </row>
    <row r="449" spans="1:47" s="390" customFormat="1" ht="18.75" customHeight="1">
      <c r="A449" s="167">
        <v>458</v>
      </c>
      <c r="B449" s="79" t="s">
        <v>161</v>
      </c>
      <c r="C449" s="509">
        <v>100024820</v>
      </c>
      <c r="D449" s="80">
        <f t="shared" si="133"/>
        <v>9851</v>
      </c>
      <c r="E449" s="80"/>
      <c r="F449" s="80">
        <f>VLOOKUP(C449,'CUTTING ON JUNE'!$A$4:$D$316,3,0)</f>
        <v>9851</v>
      </c>
      <c r="G449" s="80">
        <f>IFERROR(VLOOKUP(C449,O.B.JUNE!$C$7:$E$448,3,0),0)</f>
        <v>0</v>
      </c>
      <c r="H449" s="80">
        <f t="shared" si="129"/>
        <v>9851</v>
      </c>
      <c r="I449" s="80"/>
      <c r="J449" s="80">
        <f t="shared" si="128"/>
        <v>8839</v>
      </c>
      <c r="K449" s="80">
        <v>0</v>
      </c>
      <c r="L449" s="80">
        <v>0</v>
      </c>
      <c r="M449" s="81">
        <f t="shared" si="134"/>
        <v>1012</v>
      </c>
      <c r="N449" s="81"/>
      <c r="O449" s="81"/>
      <c r="P449" s="81">
        <f t="shared" si="125"/>
        <v>1012</v>
      </c>
      <c r="Q449" s="80">
        <f>IFERROR(VLOOKUP(C449,O.B.JUNE!$C$7:$K$448,7,0),0)</f>
        <v>0</v>
      </c>
      <c r="R449" s="80">
        <f>IFERROR(VLOOKUP(C449,O.B.JUNE!$C$7:$J$448,8,0),0)</f>
        <v>0</v>
      </c>
      <c r="S449" s="323">
        <f t="shared" si="130"/>
        <v>8839</v>
      </c>
      <c r="T449" s="324">
        <v>8839</v>
      </c>
      <c r="U449" s="324"/>
      <c r="V449" s="80"/>
      <c r="W449" s="324">
        <v>0</v>
      </c>
      <c r="X449" s="324"/>
      <c r="Y449" s="324">
        <v>0</v>
      </c>
      <c r="Z449" s="80">
        <v>0</v>
      </c>
      <c r="AA449" s="80">
        <f t="shared" si="131"/>
        <v>8839</v>
      </c>
      <c r="AB449" s="323">
        <f t="shared" si="123"/>
        <v>8839</v>
      </c>
      <c r="AC449" s="80">
        <f t="shared" si="124"/>
        <v>0</v>
      </c>
      <c r="AD449" s="80">
        <f t="shared" si="132"/>
        <v>8839</v>
      </c>
      <c r="AE449" s="80"/>
      <c r="AF449" s="80"/>
      <c r="AG449" s="80"/>
      <c r="AH449" s="326">
        <f t="shared" si="135"/>
        <v>0</v>
      </c>
      <c r="AI449" s="326">
        <f t="shared" si="136"/>
        <v>0</v>
      </c>
      <c r="AJ449" s="326">
        <f t="shared" si="137"/>
        <v>0</v>
      </c>
      <c r="AK449" s="326">
        <f t="shared" si="138"/>
        <v>0</v>
      </c>
      <c r="AL449" s="326"/>
      <c r="AM449" s="326"/>
      <c r="AN449" s="326"/>
      <c r="AO449" s="326"/>
      <c r="AP449" s="326"/>
      <c r="AQ449" s="326"/>
      <c r="AR449" s="327"/>
      <c r="AS449" s="209"/>
      <c r="AT449" s="411"/>
      <c r="AU449" s="411"/>
    </row>
    <row r="450" spans="1:47" s="390" customFormat="1" ht="18.75" customHeight="1">
      <c r="A450" s="167">
        <v>459</v>
      </c>
      <c r="B450" s="79" t="s">
        <v>161</v>
      </c>
      <c r="C450" s="509">
        <v>100024824</v>
      </c>
      <c r="D450" s="80">
        <f t="shared" si="133"/>
        <v>1071</v>
      </c>
      <c r="E450" s="80"/>
      <c r="F450" s="80">
        <f>VLOOKUP(C450,'CUTTING ON JUNE'!$A$4:$D$316,3,0)</f>
        <v>1071</v>
      </c>
      <c r="G450" s="80">
        <f>IFERROR(VLOOKUP(C450,O.B.JUNE!$C$7:$E$448,3,0),0)</f>
        <v>0</v>
      </c>
      <c r="H450" s="80">
        <f t="shared" si="129"/>
        <v>1071</v>
      </c>
      <c r="I450" s="80"/>
      <c r="J450" s="80">
        <f t="shared" si="128"/>
        <v>1052</v>
      </c>
      <c r="K450" s="80">
        <v>0</v>
      </c>
      <c r="L450" s="80">
        <v>0</v>
      </c>
      <c r="M450" s="81">
        <f t="shared" si="134"/>
        <v>19</v>
      </c>
      <c r="N450" s="81"/>
      <c r="O450" s="81"/>
      <c r="P450" s="81">
        <f t="shared" si="125"/>
        <v>19</v>
      </c>
      <c r="Q450" s="80">
        <f>IFERROR(VLOOKUP(C450,O.B.JUNE!$C$7:$K$448,7,0),0)</f>
        <v>0</v>
      </c>
      <c r="R450" s="80">
        <f>IFERROR(VLOOKUP(C450,O.B.JUNE!$C$7:$J$448,8,0),0)</f>
        <v>0</v>
      </c>
      <c r="S450" s="323">
        <f t="shared" si="130"/>
        <v>1052</v>
      </c>
      <c r="T450" s="324">
        <v>1052</v>
      </c>
      <c r="U450" s="324"/>
      <c r="V450" s="80"/>
      <c r="W450" s="324">
        <v>0</v>
      </c>
      <c r="X450" s="324"/>
      <c r="Y450" s="324">
        <v>0</v>
      </c>
      <c r="Z450" s="80">
        <v>0</v>
      </c>
      <c r="AA450" s="80">
        <f t="shared" si="131"/>
        <v>1052</v>
      </c>
      <c r="AB450" s="323">
        <f t="shared" si="123"/>
        <v>1052</v>
      </c>
      <c r="AC450" s="80">
        <f t="shared" si="124"/>
        <v>0</v>
      </c>
      <c r="AD450" s="80">
        <f t="shared" si="132"/>
        <v>1052</v>
      </c>
      <c r="AE450" s="80"/>
      <c r="AF450" s="80"/>
      <c r="AG450" s="80"/>
      <c r="AH450" s="326">
        <f t="shared" si="135"/>
        <v>0</v>
      </c>
      <c r="AI450" s="326">
        <f t="shared" si="136"/>
        <v>0</v>
      </c>
      <c r="AJ450" s="326">
        <f t="shared" si="137"/>
        <v>0</v>
      </c>
      <c r="AK450" s="326">
        <f t="shared" si="138"/>
        <v>0</v>
      </c>
      <c r="AL450" s="326"/>
      <c r="AM450" s="326"/>
      <c r="AN450" s="326"/>
      <c r="AO450" s="326"/>
      <c r="AP450" s="326"/>
      <c r="AQ450" s="326"/>
      <c r="AR450" s="327"/>
      <c r="AS450" s="209"/>
      <c r="AT450" s="411"/>
      <c r="AU450" s="411"/>
    </row>
    <row r="451" spans="1:47" s="390" customFormat="1" ht="18.75" customHeight="1">
      <c r="A451" s="167">
        <v>460</v>
      </c>
      <c r="B451" s="79" t="s">
        <v>161</v>
      </c>
      <c r="C451" s="509">
        <v>100024853</v>
      </c>
      <c r="D451" s="80">
        <f t="shared" si="133"/>
        <v>7725</v>
      </c>
      <c r="E451" s="80"/>
      <c r="F451" s="80">
        <f>VLOOKUP(C451,'CUTTING ON JUNE'!$A$4:$D$316,3,0)</f>
        <v>7725</v>
      </c>
      <c r="G451" s="80">
        <f>IFERROR(VLOOKUP(C451,O.B.JUNE!$C$7:$E$448,3,0),0)</f>
        <v>0</v>
      </c>
      <c r="H451" s="80">
        <f t="shared" si="129"/>
        <v>7725</v>
      </c>
      <c r="I451" s="80"/>
      <c r="J451" s="80">
        <f t="shared" si="128"/>
        <v>6948</v>
      </c>
      <c r="K451" s="80">
        <v>0</v>
      </c>
      <c r="L451" s="80">
        <v>0</v>
      </c>
      <c r="M451" s="81">
        <f t="shared" si="134"/>
        <v>777</v>
      </c>
      <c r="N451" s="81">
        <v>8</v>
      </c>
      <c r="O451" s="81">
        <v>418</v>
      </c>
      <c r="P451" s="81">
        <f t="shared" si="125"/>
        <v>351</v>
      </c>
      <c r="Q451" s="80">
        <f>IFERROR(VLOOKUP(C451,O.B.JUNE!$C$7:$K$448,7,0),0)</f>
        <v>0</v>
      </c>
      <c r="R451" s="80">
        <f>IFERROR(VLOOKUP(C451,O.B.JUNE!$C$7:$J$448,8,0),0)</f>
        <v>0</v>
      </c>
      <c r="S451" s="323">
        <f t="shared" si="130"/>
        <v>6948</v>
      </c>
      <c r="T451" s="324">
        <v>6948</v>
      </c>
      <c r="U451" s="324"/>
      <c r="V451" s="80"/>
      <c r="W451" s="324">
        <v>0</v>
      </c>
      <c r="X451" s="324"/>
      <c r="Y451" s="324">
        <v>0</v>
      </c>
      <c r="Z451" s="80">
        <v>0</v>
      </c>
      <c r="AA451" s="80">
        <f t="shared" si="131"/>
        <v>6948</v>
      </c>
      <c r="AB451" s="323">
        <f t="shared" si="123"/>
        <v>6948</v>
      </c>
      <c r="AC451" s="80">
        <f t="shared" si="124"/>
        <v>0</v>
      </c>
      <c r="AD451" s="80">
        <f t="shared" si="132"/>
        <v>6948</v>
      </c>
      <c r="AE451" s="80"/>
      <c r="AF451" s="80"/>
      <c r="AG451" s="80"/>
      <c r="AH451" s="326">
        <f t="shared" si="135"/>
        <v>0</v>
      </c>
      <c r="AI451" s="326">
        <f t="shared" si="136"/>
        <v>0</v>
      </c>
      <c r="AJ451" s="326">
        <f t="shared" si="137"/>
        <v>0</v>
      </c>
      <c r="AK451" s="326">
        <f t="shared" si="138"/>
        <v>0</v>
      </c>
      <c r="AL451" s="326"/>
      <c r="AM451" s="326"/>
      <c r="AN451" s="326"/>
      <c r="AO451" s="326"/>
      <c r="AP451" s="326"/>
      <c r="AQ451" s="326"/>
      <c r="AR451" s="327"/>
      <c r="AS451" s="209"/>
      <c r="AT451" s="411"/>
      <c r="AU451" s="411"/>
    </row>
    <row r="452" spans="1:47" s="390" customFormat="1" ht="18.75" customHeight="1">
      <c r="A452" s="167">
        <v>461</v>
      </c>
      <c r="B452" s="79" t="s">
        <v>161</v>
      </c>
      <c r="C452" s="509">
        <v>100025038</v>
      </c>
      <c r="D452" s="80">
        <f t="shared" si="133"/>
        <v>991</v>
      </c>
      <c r="E452" s="80"/>
      <c r="F452" s="80">
        <f>VLOOKUP(C452,'CUTTING ON JUNE'!$A$4:$D$316,3,0)</f>
        <v>991</v>
      </c>
      <c r="G452" s="80">
        <f>IFERROR(VLOOKUP(C452,O.B.JUNE!$C$7:$E$448,3,0),0)</f>
        <v>0</v>
      </c>
      <c r="H452" s="80">
        <f t="shared" si="129"/>
        <v>991</v>
      </c>
      <c r="I452" s="80"/>
      <c r="J452" s="80">
        <f t="shared" si="128"/>
        <v>0</v>
      </c>
      <c r="K452" s="80">
        <v>0</v>
      </c>
      <c r="L452" s="80">
        <v>0</v>
      </c>
      <c r="M452" s="81">
        <f t="shared" si="134"/>
        <v>991</v>
      </c>
      <c r="N452" s="81"/>
      <c r="O452" s="81">
        <v>250</v>
      </c>
      <c r="P452" s="81">
        <f t="shared" si="125"/>
        <v>741</v>
      </c>
      <c r="Q452" s="80">
        <f>IFERROR(VLOOKUP(C452,O.B.JUNE!$C$7:$K$448,7,0),0)</f>
        <v>0</v>
      </c>
      <c r="R452" s="80">
        <f>IFERROR(VLOOKUP(C452,O.B.JUNE!$C$7:$J$448,8,0),0)</f>
        <v>0</v>
      </c>
      <c r="S452" s="323">
        <f t="shared" si="130"/>
        <v>0</v>
      </c>
      <c r="T452" s="324">
        <v>0</v>
      </c>
      <c r="U452" s="324"/>
      <c r="V452" s="80"/>
      <c r="W452" s="324">
        <v>0</v>
      </c>
      <c r="X452" s="324"/>
      <c r="Y452" s="324">
        <v>0</v>
      </c>
      <c r="Z452" s="80">
        <v>0</v>
      </c>
      <c r="AA452" s="80">
        <f t="shared" si="131"/>
        <v>0</v>
      </c>
      <c r="AB452" s="323">
        <f t="shared" si="123"/>
        <v>0</v>
      </c>
      <c r="AC452" s="80">
        <f t="shared" si="124"/>
        <v>0</v>
      </c>
      <c r="AD452" s="80">
        <f t="shared" si="132"/>
        <v>0</v>
      </c>
      <c r="AE452" s="80"/>
      <c r="AF452" s="80"/>
      <c r="AG452" s="80"/>
      <c r="AH452" s="326">
        <f t="shared" si="135"/>
        <v>0</v>
      </c>
      <c r="AI452" s="326">
        <f t="shared" si="136"/>
        <v>0</v>
      </c>
      <c r="AJ452" s="326">
        <f t="shared" si="137"/>
        <v>0</v>
      </c>
      <c r="AK452" s="326">
        <f t="shared" si="138"/>
        <v>0</v>
      </c>
      <c r="AL452" s="326"/>
      <c r="AM452" s="326"/>
      <c r="AN452" s="326"/>
      <c r="AO452" s="326"/>
      <c r="AP452" s="326"/>
      <c r="AQ452" s="326"/>
      <c r="AR452" s="327">
        <f>VLOOKUP(C452,'[1]DA HET SAN XUAT'!$D$8:$AJ$419,33,0)</f>
        <v>0</v>
      </c>
      <c r="AS452" s="209"/>
      <c r="AT452" s="411"/>
      <c r="AU452" s="411"/>
    </row>
    <row r="453" spans="1:47" s="390" customFormat="1" ht="18.75" customHeight="1">
      <c r="A453" s="167">
        <v>462</v>
      </c>
      <c r="B453" s="79" t="s">
        <v>161</v>
      </c>
      <c r="C453" s="509">
        <v>100025039</v>
      </c>
      <c r="D453" s="80">
        <f t="shared" si="133"/>
        <v>4714</v>
      </c>
      <c r="E453" s="80"/>
      <c r="F453" s="80">
        <f>VLOOKUP(C453,'CUTTING ON JUNE'!$A$4:$D$316,3,0)</f>
        <v>4714</v>
      </c>
      <c r="G453" s="80">
        <f>IFERROR(VLOOKUP(C453,O.B.JUNE!$C$7:$E$448,3,0),0)</f>
        <v>0</v>
      </c>
      <c r="H453" s="80">
        <f t="shared" si="129"/>
        <v>4714</v>
      </c>
      <c r="I453" s="80"/>
      <c r="J453" s="80">
        <f t="shared" si="128"/>
        <v>3687</v>
      </c>
      <c r="K453" s="80">
        <v>0</v>
      </c>
      <c r="L453" s="80">
        <v>0</v>
      </c>
      <c r="M453" s="81">
        <f t="shared" si="134"/>
        <v>1027</v>
      </c>
      <c r="N453" s="81">
        <v>2</v>
      </c>
      <c r="O453" s="81">
        <v>121</v>
      </c>
      <c r="P453" s="81">
        <f t="shared" si="125"/>
        <v>904</v>
      </c>
      <c r="Q453" s="80">
        <f>IFERROR(VLOOKUP(C453,O.B.JUNE!$C$7:$K$448,7,0),0)</f>
        <v>0</v>
      </c>
      <c r="R453" s="80">
        <f>IFERROR(VLOOKUP(C453,O.B.JUNE!$C$7:$J$448,8,0),0)</f>
        <v>0</v>
      </c>
      <c r="S453" s="323">
        <f t="shared" si="130"/>
        <v>3687</v>
      </c>
      <c r="T453" s="324">
        <v>3687</v>
      </c>
      <c r="U453" s="324"/>
      <c r="V453" s="80"/>
      <c r="W453" s="324">
        <v>0</v>
      </c>
      <c r="X453" s="324"/>
      <c r="Y453" s="324">
        <v>0</v>
      </c>
      <c r="Z453" s="80">
        <v>0</v>
      </c>
      <c r="AA453" s="80">
        <f t="shared" si="131"/>
        <v>3687</v>
      </c>
      <c r="AB453" s="323">
        <f t="shared" si="123"/>
        <v>3687</v>
      </c>
      <c r="AC453" s="80">
        <f t="shared" si="124"/>
        <v>0</v>
      </c>
      <c r="AD453" s="80">
        <f t="shared" si="132"/>
        <v>3687</v>
      </c>
      <c r="AE453" s="80"/>
      <c r="AF453" s="80"/>
      <c r="AG453" s="80"/>
      <c r="AH453" s="326">
        <f t="shared" si="135"/>
        <v>0</v>
      </c>
      <c r="AI453" s="326">
        <f t="shared" si="136"/>
        <v>0</v>
      </c>
      <c r="AJ453" s="326">
        <f t="shared" si="137"/>
        <v>0</v>
      </c>
      <c r="AK453" s="326">
        <f t="shared" si="138"/>
        <v>0</v>
      </c>
      <c r="AL453" s="326"/>
      <c r="AM453" s="326"/>
      <c r="AN453" s="326"/>
      <c r="AO453" s="326"/>
      <c r="AP453" s="326"/>
      <c r="AQ453" s="326"/>
      <c r="AR453" s="327"/>
      <c r="AS453" s="209"/>
      <c r="AT453" s="411"/>
      <c r="AU453" s="411"/>
    </row>
    <row r="454" spans="1:47" s="390" customFormat="1" ht="18.75" customHeight="1">
      <c r="A454" s="167">
        <v>463</v>
      </c>
      <c r="B454" s="79" t="s">
        <v>161</v>
      </c>
      <c r="C454" s="509">
        <v>100027487</v>
      </c>
      <c r="D454" s="80">
        <f t="shared" si="133"/>
        <v>1282</v>
      </c>
      <c r="E454" s="80"/>
      <c r="F454" s="80">
        <f>VLOOKUP(C454,'CUTTING ON JUNE'!$A$4:$D$316,3,0)</f>
        <v>1282</v>
      </c>
      <c r="G454" s="80">
        <f>IFERROR(VLOOKUP(C454,O.B.JUNE!$C$7:$E$448,3,0),0)</f>
        <v>0</v>
      </c>
      <c r="H454" s="80">
        <f t="shared" si="129"/>
        <v>1282</v>
      </c>
      <c r="I454" s="80"/>
      <c r="J454" s="80">
        <f t="shared" si="128"/>
        <v>1205</v>
      </c>
      <c r="K454" s="80">
        <v>0</v>
      </c>
      <c r="L454" s="80">
        <v>0</v>
      </c>
      <c r="M454" s="81">
        <f t="shared" si="134"/>
        <v>77</v>
      </c>
      <c r="N454" s="81"/>
      <c r="O454" s="81">
        <v>73</v>
      </c>
      <c r="P454" s="81">
        <f t="shared" si="125"/>
        <v>4</v>
      </c>
      <c r="Q454" s="80">
        <f>IFERROR(VLOOKUP(C454,O.B.JUNE!$C$7:$K$448,7,0),0)</f>
        <v>0</v>
      </c>
      <c r="R454" s="80">
        <f>IFERROR(VLOOKUP(C454,O.B.JUNE!$C$7:$J$448,8,0),0)</f>
        <v>0</v>
      </c>
      <c r="S454" s="323">
        <f t="shared" si="130"/>
        <v>1205</v>
      </c>
      <c r="T454" s="324">
        <v>1205</v>
      </c>
      <c r="U454" s="324"/>
      <c r="V454" s="80"/>
      <c r="W454" s="324">
        <v>1172</v>
      </c>
      <c r="X454" s="324"/>
      <c r="Y454" s="324">
        <v>0</v>
      </c>
      <c r="Z454" s="80">
        <v>33</v>
      </c>
      <c r="AA454" s="80">
        <f t="shared" si="131"/>
        <v>1205</v>
      </c>
      <c r="AB454" s="323">
        <f t="shared" si="123"/>
        <v>0</v>
      </c>
      <c r="AC454" s="80">
        <f t="shared" si="124"/>
        <v>33</v>
      </c>
      <c r="AD454" s="80">
        <f t="shared" si="132"/>
        <v>33</v>
      </c>
      <c r="AE454" s="80"/>
      <c r="AF454" s="80"/>
      <c r="AG454" s="80"/>
      <c r="AH454" s="326">
        <f t="shared" si="135"/>
        <v>0</v>
      </c>
      <c r="AI454" s="326">
        <f t="shared" si="136"/>
        <v>0</v>
      </c>
      <c r="AJ454" s="326">
        <f t="shared" si="137"/>
        <v>0</v>
      </c>
      <c r="AK454" s="326">
        <f t="shared" si="138"/>
        <v>0</v>
      </c>
      <c r="AL454" s="326"/>
      <c r="AM454" s="326"/>
      <c r="AN454" s="326"/>
      <c r="AO454" s="326"/>
      <c r="AP454" s="326"/>
      <c r="AQ454" s="326"/>
      <c r="AR454" s="327"/>
      <c r="AS454" s="209"/>
      <c r="AT454" s="411"/>
      <c r="AU454" s="411"/>
    </row>
    <row r="455" spans="1:47" s="390" customFormat="1" ht="18.75" customHeight="1">
      <c r="A455" s="167">
        <v>464</v>
      </c>
      <c r="B455" s="79" t="s">
        <v>161</v>
      </c>
      <c r="C455" s="509">
        <v>100033970</v>
      </c>
      <c r="D455" s="80">
        <f t="shared" si="133"/>
        <v>1465</v>
      </c>
      <c r="E455" s="80"/>
      <c r="F455" s="80">
        <f>VLOOKUP(C455,'CUTTING ON JUNE'!$A$4:$D$316,3,0)</f>
        <v>1465</v>
      </c>
      <c r="G455" s="80">
        <f>IFERROR(VLOOKUP(C455,O.B.JUNE!$C$7:$E$448,3,0),0)</f>
        <v>0</v>
      </c>
      <c r="H455" s="80">
        <f t="shared" si="129"/>
        <v>1465</v>
      </c>
      <c r="I455" s="80"/>
      <c r="J455" s="80">
        <f t="shared" si="128"/>
        <v>0</v>
      </c>
      <c r="K455" s="80">
        <v>0</v>
      </c>
      <c r="L455" s="80">
        <v>0</v>
      </c>
      <c r="M455" s="81">
        <f t="shared" si="134"/>
        <v>1465</v>
      </c>
      <c r="N455" s="81"/>
      <c r="O455" s="81">
        <v>665</v>
      </c>
      <c r="P455" s="81">
        <f t="shared" si="125"/>
        <v>800</v>
      </c>
      <c r="Q455" s="80">
        <f>IFERROR(VLOOKUP(C455,O.B.JUNE!$C$7:$K$448,7,0),0)</f>
        <v>0</v>
      </c>
      <c r="R455" s="80">
        <f>IFERROR(VLOOKUP(C455,O.B.JUNE!$C$7:$J$448,8,0),0)</f>
        <v>0</v>
      </c>
      <c r="S455" s="323">
        <f t="shared" si="130"/>
        <v>0</v>
      </c>
      <c r="T455" s="324">
        <v>0</v>
      </c>
      <c r="U455" s="324"/>
      <c r="V455" s="80"/>
      <c r="W455" s="324">
        <v>0</v>
      </c>
      <c r="X455" s="324"/>
      <c r="Y455" s="324">
        <v>0</v>
      </c>
      <c r="Z455" s="80">
        <v>0</v>
      </c>
      <c r="AA455" s="80">
        <f t="shared" si="131"/>
        <v>0</v>
      </c>
      <c r="AB455" s="323">
        <f t="shared" si="123"/>
        <v>0</v>
      </c>
      <c r="AC455" s="80">
        <f t="shared" si="124"/>
        <v>0</v>
      </c>
      <c r="AD455" s="80">
        <f t="shared" si="132"/>
        <v>0</v>
      </c>
      <c r="AE455" s="80"/>
      <c r="AF455" s="80"/>
      <c r="AG455" s="80"/>
      <c r="AH455" s="326">
        <f t="shared" si="135"/>
        <v>0</v>
      </c>
      <c r="AI455" s="326">
        <f t="shared" si="136"/>
        <v>0</v>
      </c>
      <c r="AJ455" s="326">
        <f t="shared" si="137"/>
        <v>0</v>
      </c>
      <c r="AK455" s="326">
        <f t="shared" si="138"/>
        <v>0</v>
      </c>
      <c r="AL455" s="326"/>
      <c r="AM455" s="326"/>
      <c r="AN455" s="326"/>
      <c r="AO455" s="326"/>
      <c r="AP455" s="326"/>
      <c r="AQ455" s="326"/>
      <c r="AR455" s="327">
        <f>VLOOKUP(C455,'[1]DA HET SAN XUAT'!$D$8:$AJ$419,33,0)</f>
        <v>0</v>
      </c>
      <c r="AS455" s="209"/>
      <c r="AT455" s="411"/>
      <c r="AU455" s="411"/>
    </row>
    <row r="456" spans="1:47" s="390" customFormat="1" ht="18.75" customHeight="1">
      <c r="A456" s="167">
        <v>465</v>
      </c>
      <c r="B456" s="79" t="s">
        <v>161</v>
      </c>
      <c r="C456" s="509">
        <v>100037213</v>
      </c>
      <c r="D456" s="80">
        <f t="shared" si="133"/>
        <v>2712</v>
      </c>
      <c r="E456" s="80"/>
      <c r="F456" s="80">
        <f>VLOOKUP(C456,'CUTTING ON JUNE'!$A$4:$D$316,3,0)</f>
        <v>2712</v>
      </c>
      <c r="G456" s="80">
        <f>IFERROR(VLOOKUP(C456,O.B.JUNE!$C$7:$E$448,3,0),0)</f>
        <v>0</v>
      </c>
      <c r="H456" s="80">
        <f t="shared" si="129"/>
        <v>2712</v>
      </c>
      <c r="I456" s="80"/>
      <c r="J456" s="80">
        <f t="shared" si="128"/>
        <v>1276</v>
      </c>
      <c r="K456" s="80">
        <v>0</v>
      </c>
      <c r="L456" s="80">
        <v>0</v>
      </c>
      <c r="M456" s="81">
        <f t="shared" si="134"/>
        <v>1436</v>
      </c>
      <c r="N456" s="81"/>
      <c r="O456" s="81">
        <v>586</v>
      </c>
      <c r="P456" s="81">
        <f t="shared" si="125"/>
        <v>850</v>
      </c>
      <c r="Q456" s="80">
        <f>IFERROR(VLOOKUP(C456,O.B.JUNE!$C$7:$K$448,7,0),0)</f>
        <v>0</v>
      </c>
      <c r="R456" s="80">
        <f>IFERROR(VLOOKUP(C456,O.B.JUNE!$C$7:$J$448,8,0),0)</f>
        <v>0</v>
      </c>
      <c r="S456" s="323">
        <f t="shared" si="130"/>
        <v>1276</v>
      </c>
      <c r="T456" s="324">
        <v>1276</v>
      </c>
      <c r="U456" s="324"/>
      <c r="V456" s="80"/>
      <c r="W456" s="324">
        <v>0</v>
      </c>
      <c r="X456" s="324"/>
      <c r="Y456" s="324">
        <v>0</v>
      </c>
      <c r="Z456" s="80">
        <v>0</v>
      </c>
      <c r="AA456" s="80">
        <f t="shared" si="131"/>
        <v>1276</v>
      </c>
      <c r="AB456" s="323">
        <f t="shared" si="123"/>
        <v>1276</v>
      </c>
      <c r="AC456" s="80">
        <f t="shared" si="124"/>
        <v>0</v>
      </c>
      <c r="AD456" s="80">
        <f t="shared" si="132"/>
        <v>1276</v>
      </c>
      <c r="AE456" s="80"/>
      <c r="AF456" s="80"/>
      <c r="AG456" s="80"/>
      <c r="AH456" s="326">
        <f t="shared" si="135"/>
        <v>0</v>
      </c>
      <c r="AI456" s="326">
        <f t="shared" si="136"/>
        <v>0</v>
      </c>
      <c r="AJ456" s="326">
        <f t="shared" si="137"/>
        <v>0</v>
      </c>
      <c r="AK456" s="326">
        <f t="shared" si="138"/>
        <v>0</v>
      </c>
      <c r="AL456" s="326"/>
      <c r="AM456" s="326"/>
      <c r="AN456" s="326"/>
      <c r="AO456" s="326"/>
      <c r="AP456" s="326"/>
      <c r="AQ456" s="326"/>
      <c r="AR456" s="327"/>
      <c r="AS456" s="209"/>
      <c r="AT456" s="411"/>
      <c r="AU456" s="411"/>
    </row>
    <row r="457" spans="1:47" s="390" customFormat="1" ht="18.75" customHeight="1">
      <c r="A457" s="167">
        <v>466</v>
      </c>
      <c r="B457" s="79" t="s">
        <v>161</v>
      </c>
      <c r="C457" s="509">
        <v>100037673</v>
      </c>
      <c r="D457" s="80">
        <f t="shared" si="133"/>
        <v>1772</v>
      </c>
      <c r="E457" s="80"/>
      <c r="F457" s="80">
        <f>VLOOKUP(C457,'CUTTING ON JUNE'!$A$4:$D$316,3,0)</f>
        <v>1772</v>
      </c>
      <c r="G457" s="80">
        <f>IFERROR(VLOOKUP(C457,O.B.JUNE!$C$7:$E$448,3,0),0)</f>
        <v>0</v>
      </c>
      <c r="H457" s="80">
        <f t="shared" si="129"/>
        <v>1772</v>
      </c>
      <c r="I457" s="80"/>
      <c r="J457" s="80">
        <f t="shared" si="128"/>
        <v>1698</v>
      </c>
      <c r="K457" s="80">
        <v>0</v>
      </c>
      <c r="L457" s="80">
        <v>0</v>
      </c>
      <c r="M457" s="81">
        <f t="shared" si="134"/>
        <v>74</v>
      </c>
      <c r="N457" s="81"/>
      <c r="O457" s="81">
        <v>41</v>
      </c>
      <c r="P457" s="81">
        <f t="shared" si="125"/>
        <v>33</v>
      </c>
      <c r="Q457" s="80">
        <f>IFERROR(VLOOKUP(C457,O.B.JUNE!$C$7:$K$448,7,0),0)</f>
        <v>0</v>
      </c>
      <c r="R457" s="80">
        <f>IFERROR(VLOOKUP(C457,O.B.JUNE!$C$7:$J$448,8,0),0)</f>
        <v>0</v>
      </c>
      <c r="S457" s="323">
        <f t="shared" si="130"/>
        <v>1698</v>
      </c>
      <c r="T457" s="324">
        <v>1698</v>
      </c>
      <c r="U457" s="324"/>
      <c r="V457" s="80"/>
      <c r="W457" s="324">
        <v>0</v>
      </c>
      <c r="X457" s="324"/>
      <c r="Y457" s="324">
        <v>0</v>
      </c>
      <c r="Z457" s="80">
        <v>0</v>
      </c>
      <c r="AA457" s="80">
        <f t="shared" si="131"/>
        <v>1698</v>
      </c>
      <c r="AB457" s="323">
        <f t="shared" si="123"/>
        <v>1698</v>
      </c>
      <c r="AC457" s="80">
        <f t="shared" si="124"/>
        <v>0</v>
      </c>
      <c r="AD457" s="80">
        <f t="shared" si="132"/>
        <v>1698</v>
      </c>
      <c r="AE457" s="80"/>
      <c r="AF457" s="80"/>
      <c r="AG457" s="80"/>
      <c r="AH457" s="326">
        <f t="shared" si="135"/>
        <v>0</v>
      </c>
      <c r="AI457" s="326">
        <f t="shared" si="136"/>
        <v>0</v>
      </c>
      <c r="AJ457" s="326">
        <f t="shared" si="137"/>
        <v>0</v>
      </c>
      <c r="AK457" s="326">
        <f t="shared" si="138"/>
        <v>0</v>
      </c>
      <c r="AL457" s="326"/>
      <c r="AM457" s="326"/>
      <c r="AN457" s="326"/>
      <c r="AO457" s="326"/>
      <c r="AP457" s="326"/>
      <c r="AQ457" s="326"/>
      <c r="AR457" s="327"/>
      <c r="AS457" s="209"/>
      <c r="AT457" s="411"/>
      <c r="AU457" s="411"/>
    </row>
    <row r="458" spans="1:47" s="390" customFormat="1" ht="18.75" customHeight="1">
      <c r="A458" s="167">
        <v>467</v>
      </c>
      <c r="B458" s="79" t="s">
        <v>161</v>
      </c>
      <c r="C458" s="509">
        <v>100038686</v>
      </c>
      <c r="D458" s="80">
        <f t="shared" si="133"/>
        <v>6084</v>
      </c>
      <c r="E458" s="80"/>
      <c r="F458" s="80">
        <f>VLOOKUP(C458,'CUTTING ON JUNE'!$A$4:$D$316,3,0)</f>
        <v>6084</v>
      </c>
      <c r="G458" s="80">
        <f>IFERROR(VLOOKUP(C458,O.B.JUNE!$C$7:$E$448,3,0),0)</f>
        <v>0</v>
      </c>
      <c r="H458" s="80">
        <f t="shared" si="129"/>
        <v>6084</v>
      </c>
      <c r="I458" s="80"/>
      <c r="J458" s="80">
        <f t="shared" si="128"/>
        <v>322</v>
      </c>
      <c r="K458" s="80">
        <v>0</v>
      </c>
      <c r="L458" s="80">
        <v>0</v>
      </c>
      <c r="M458" s="81">
        <f t="shared" si="134"/>
        <v>5762</v>
      </c>
      <c r="N458" s="81"/>
      <c r="O458" s="81">
        <v>4684</v>
      </c>
      <c r="P458" s="81">
        <f t="shared" si="125"/>
        <v>1078</v>
      </c>
      <c r="Q458" s="80">
        <f>IFERROR(VLOOKUP(C458,O.B.JUNE!$C$7:$K$448,7,0),0)</f>
        <v>0</v>
      </c>
      <c r="R458" s="80">
        <f>IFERROR(VLOOKUP(C458,O.B.JUNE!$C$7:$J$448,8,0),0)</f>
        <v>0</v>
      </c>
      <c r="S458" s="323">
        <f t="shared" si="130"/>
        <v>322</v>
      </c>
      <c r="T458" s="324">
        <v>322</v>
      </c>
      <c r="U458" s="324"/>
      <c r="V458" s="80"/>
      <c r="W458" s="324">
        <v>0</v>
      </c>
      <c r="X458" s="324"/>
      <c r="Y458" s="324">
        <v>0</v>
      </c>
      <c r="Z458" s="80">
        <v>0</v>
      </c>
      <c r="AA458" s="80">
        <f t="shared" si="131"/>
        <v>322</v>
      </c>
      <c r="AB458" s="323">
        <f t="shared" si="123"/>
        <v>322</v>
      </c>
      <c r="AC458" s="80">
        <f t="shared" si="124"/>
        <v>0</v>
      </c>
      <c r="AD458" s="80">
        <f t="shared" si="132"/>
        <v>322</v>
      </c>
      <c r="AE458" s="80"/>
      <c r="AF458" s="80"/>
      <c r="AG458" s="80"/>
      <c r="AH458" s="326">
        <f t="shared" si="135"/>
        <v>0</v>
      </c>
      <c r="AI458" s="326">
        <f t="shared" si="136"/>
        <v>0</v>
      </c>
      <c r="AJ458" s="326">
        <f t="shared" si="137"/>
        <v>0</v>
      </c>
      <c r="AK458" s="326">
        <f t="shared" si="138"/>
        <v>0</v>
      </c>
      <c r="AL458" s="326"/>
      <c r="AM458" s="326"/>
      <c r="AN458" s="326"/>
      <c r="AO458" s="326"/>
      <c r="AP458" s="326"/>
      <c r="AQ458" s="326"/>
      <c r="AR458" s="327"/>
      <c r="AS458" s="209"/>
      <c r="AT458" s="411"/>
      <c r="AU458" s="411"/>
    </row>
    <row r="459" spans="1:47" s="390" customFormat="1" ht="18.75" customHeight="1">
      <c r="A459" s="167">
        <v>468</v>
      </c>
      <c r="B459" s="79" t="s">
        <v>108</v>
      </c>
      <c r="C459" s="509">
        <v>183034540</v>
      </c>
      <c r="D459" s="80">
        <f t="shared" si="133"/>
        <v>1209</v>
      </c>
      <c r="E459" s="80"/>
      <c r="F459" s="80">
        <f>VLOOKUP(C459,'CUTTING ON JUNE'!$A$4:$D$316,3,0)</f>
        <v>1209</v>
      </c>
      <c r="G459" s="80">
        <f>IFERROR(VLOOKUP(C459,O.B.JUNE!$C$7:$E$448,3,0),0)</f>
        <v>0</v>
      </c>
      <c r="H459" s="80">
        <f t="shared" si="129"/>
        <v>1209</v>
      </c>
      <c r="I459" s="80"/>
      <c r="J459" s="80">
        <f t="shared" si="128"/>
        <v>1105</v>
      </c>
      <c r="K459" s="80">
        <v>0</v>
      </c>
      <c r="L459" s="80">
        <v>0</v>
      </c>
      <c r="M459" s="81">
        <f t="shared" si="134"/>
        <v>104</v>
      </c>
      <c r="N459" s="81"/>
      <c r="O459" s="81">
        <v>59</v>
      </c>
      <c r="P459" s="81">
        <f t="shared" si="125"/>
        <v>45</v>
      </c>
      <c r="Q459" s="80">
        <f>IFERROR(VLOOKUP(C459,O.B.JUNE!$C$7:$K$448,7,0),0)</f>
        <v>0</v>
      </c>
      <c r="R459" s="80">
        <f>IFERROR(VLOOKUP(C459,O.B.JUNE!$C$7:$J$448,8,0),0)</f>
        <v>0</v>
      </c>
      <c r="S459" s="323">
        <f t="shared" si="130"/>
        <v>1105</v>
      </c>
      <c r="T459" s="324">
        <v>1105</v>
      </c>
      <c r="U459" s="324"/>
      <c r="V459" s="80"/>
      <c r="W459" s="324">
        <v>800</v>
      </c>
      <c r="X459" s="324"/>
      <c r="Y459" s="324">
        <v>0</v>
      </c>
      <c r="Z459" s="80">
        <v>0</v>
      </c>
      <c r="AA459" s="80">
        <f t="shared" si="131"/>
        <v>1105</v>
      </c>
      <c r="AB459" s="323">
        <f t="shared" si="123"/>
        <v>305</v>
      </c>
      <c r="AC459" s="80">
        <f t="shared" si="124"/>
        <v>0</v>
      </c>
      <c r="AD459" s="80">
        <f t="shared" si="132"/>
        <v>305</v>
      </c>
      <c r="AE459" s="80"/>
      <c r="AF459" s="80"/>
      <c r="AG459" s="80"/>
      <c r="AH459" s="326">
        <f t="shared" si="135"/>
        <v>0</v>
      </c>
      <c r="AI459" s="326">
        <f t="shared" si="136"/>
        <v>0</v>
      </c>
      <c r="AJ459" s="326">
        <f t="shared" si="137"/>
        <v>0</v>
      </c>
      <c r="AK459" s="326">
        <f t="shared" si="138"/>
        <v>0</v>
      </c>
      <c r="AL459" s="326"/>
      <c r="AM459" s="326"/>
      <c r="AN459" s="326"/>
      <c r="AO459" s="326"/>
      <c r="AP459" s="326"/>
      <c r="AQ459" s="326"/>
      <c r="AR459" s="327"/>
      <c r="AS459" s="209"/>
      <c r="AT459" s="411"/>
      <c r="AU459" s="411"/>
    </row>
    <row r="460" spans="1:47" s="390" customFormat="1" ht="18.75" customHeight="1">
      <c r="A460" s="167">
        <v>469</v>
      </c>
      <c r="B460" s="79" t="s">
        <v>613</v>
      </c>
      <c r="C460" s="509">
        <v>100033058</v>
      </c>
      <c r="D460" s="80">
        <f t="shared" si="133"/>
        <v>1116</v>
      </c>
      <c r="E460" s="80"/>
      <c r="F460" s="80">
        <f>VLOOKUP(C460,'CUTTING ON JUNE'!$A$4:$D$316,3,0)</f>
        <v>1116</v>
      </c>
      <c r="G460" s="80">
        <f>IFERROR(VLOOKUP(C460,O.B.JUNE!$C$7:$E$448,3,0),0)</f>
        <v>0</v>
      </c>
      <c r="H460" s="80">
        <f t="shared" si="129"/>
        <v>1116</v>
      </c>
      <c r="I460" s="80"/>
      <c r="J460" s="80">
        <f t="shared" si="128"/>
        <v>1060</v>
      </c>
      <c r="K460" s="80">
        <v>0</v>
      </c>
      <c r="L460" s="80">
        <v>0</v>
      </c>
      <c r="M460" s="81">
        <f t="shared" si="134"/>
        <v>56</v>
      </c>
      <c r="N460" s="81"/>
      <c r="O460" s="81">
        <v>8</v>
      </c>
      <c r="P460" s="81">
        <f t="shared" si="125"/>
        <v>48</v>
      </c>
      <c r="Q460" s="80">
        <f>IFERROR(VLOOKUP(C460,O.B.JUNE!$C$7:$K$448,7,0),0)</f>
        <v>0</v>
      </c>
      <c r="R460" s="80">
        <f>IFERROR(VLOOKUP(C460,O.B.JUNE!$C$7:$J$448,8,0),0)</f>
        <v>0</v>
      </c>
      <c r="S460" s="323">
        <f t="shared" si="130"/>
        <v>1060</v>
      </c>
      <c r="T460" s="324">
        <v>1060</v>
      </c>
      <c r="U460" s="324"/>
      <c r="V460" s="80"/>
      <c r="W460" s="324">
        <v>1057</v>
      </c>
      <c r="X460" s="324"/>
      <c r="Y460" s="324">
        <v>3</v>
      </c>
      <c r="Z460" s="80">
        <v>0</v>
      </c>
      <c r="AA460" s="80">
        <f t="shared" si="131"/>
        <v>1060</v>
      </c>
      <c r="AB460" s="323">
        <f t="shared" si="123"/>
        <v>0</v>
      </c>
      <c r="AC460" s="80">
        <f t="shared" si="124"/>
        <v>0</v>
      </c>
      <c r="AD460" s="80">
        <f t="shared" si="132"/>
        <v>0</v>
      </c>
      <c r="AE460" s="80"/>
      <c r="AF460" s="80"/>
      <c r="AG460" s="80"/>
      <c r="AH460" s="326">
        <f t="shared" si="135"/>
        <v>0</v>
      </c>
      <c r="AI460" s="326">
        <f t="shared" si="136"/>
        <v>0</v>
      </c>
      <c r="AJ460" s="326">
        <f t="shared" si="137"/>
        <v>0</v>
      </c>
      <c r="AK460" s="326">
        <f t="shared" si="138"/>
        <v>0</v>
      </c>
      <c r="AL460" s="326"/>
      <c r="AM460" s="326"/>
      <c r="AN460" s="326"/>
      <c r="AO460" s="326"/>
      <c r="AP460" s="326"/>
      <c r="AQ460" s="326"/>
      <c r="AR460" s="327"/>
      <c r="AS460" s="209"/>
      <c r="AT460" s="411"/>
      <c r="AU460" s="411"/>
    </row>
    <row r="461" spans="1:47" s="390" customFormat="1" ht="18.75" customHeight="1">
      <c r="A461" s="167">
        <v>470</v>
      </c>
      <c r="B461" s="79" t="s">
        <v>101</v>
      </c>
      <c r="C461" s="509">
        <v>100033483</v>
      </c>
      <c r="D461" s="80">
        <f t="shared" si="133"/>
        <v>1488</v>
      </c>
      <c r="E461" s="80"/>
      <c r="F461" s="80">
        <f>VLOOKUP(C461,'CUTTING ON JUNE'!$A$4:$D$316,3,0)</f>
        <v>1488</v>
      </c>
      <c r="G461" s="80">
        <f>IFERROR(VLOOKUP(C461,O.B.JUNE!$C$7:$E$448,3,0),0)</f>
        <v>0</v>
      </c>
      <c r="H461" s="80">
        <f t="shared" si="129"/>
        <v>1488</v>
      </c>
      <c r="I461" s="80"/>
      <c r="J461" s="80">
        <f t="shared" si="128"/>
        <v>0</v>
      </c>
      <c r="K461" s="80">
        <v>0</v>
      </c>
      <c r="L461" s="80">
        <v>0</v>
      </c>
      <c r="M461" s="81">
        <f t="shared" si="134"/>
        <v>1488</v>
      </c>
      <c r="N461" s="81"/>
      <c r="O461" s="81"/>
      <c r="P461" s="81">
        <f t="shared" si="125"/>
        <v>1488</v>
      </c>
      <c r="Q461" s="80">
        <f>IFERROR(VLOOKUP(C461,O.B.JUNE!$C$7:$K$448,7,0),0)</f>
        <v>0</v>
      </c>
      <c r="R461" s="80">
        <f>IFERROR(VLOOKUP(C461,O.B.JUNE!$C$7:$J$448,8,0),0)</f>
        <v>0</v>
      </c>
      <c r="S461" s="323">
        <f t="shared" si="130"/>
        <v>0</v>
      </c>
      <c r="T461" s="324">
        <v>0</v>
      </c>
      <c r="U461" s="324"/>
      <c r="V461" s="80"/>
      <c r="W461" s="324">
        <v>0</v>
      </c>
      <c r="X461" s="324"/>
      <c r="Y461" s="324">
        <v>0</v>
      </c>
      <c r="Z461" s="80">
        <v>0</v>
      </c>
      <c r="AA461" s="80">
        <f t="shared" si="131"/>
        <v>0</v>
      </c>
      <c r="AB461" s="323">
        <f t="shared" ref="AB461:AB493" si="139">ROUND(Q461+T461+V461-X461-W461-Y461-Z461,0)</f>
        <v>0</v>
      </c>
      <c r="AC461" s="80">
        <f t="shared" si="124"/>
        <v>0</v>
      </c>
      <c r="AD461" s="80">
        <f t="shared" si="132"/>
        <v>0</v>
      </c>
      <c r="AE461" s="80"/>
      <c r="AF461" s="80"/>
      <c r="AG461" s="80"/>
      <c r="AH461" s="326">
        <f t="shared" si="135"/>
        <v>0</v>
      </c>
      <c r="AI461" s="326">
        <f t="shared" si="136"/>
        <v>0</v>
      </c>
      <c r="AJ461" s="326">
        <f t="shared" si="137"/>
        <v>0</v>
      </c>
      <c r="AK461" s="326">
        <f t="shared" si="138"/>
        <v>0</v>
      </c>
      <c r="AL461" s="326"/>
      <c r="AM461" s="326"/>
      <c r="AN461" s="326"/>
      <c r="AO461" s="326"/>
      <c r="AP461" s="326"/>
      <c r="AQ461" s="326"/>
      <c r="AR461" s="327">
        <f>VLOOKUP(C461,'[1]DA HET SAN XUAT'!$D$8:$AJ$419,33,0)</f>
        <v>0</v>
      </c>
      <c r="AS461" s="209"/>
      <c r="AT461" s="411"/>
      <c r="AU461" s="411"/>
    </row>
    <row r="462" spans="1:47" s="390" customFormat="1" ht="18.75" customHeight="1">
      <c r="A462" s="167">
        <v>471</v>
      </c>
      <c r="B462" s="79" t="s">
        <v>101</v>
      </c>
      <c r="C462" s="509">
        <v>100034352</v>
      </c>
      <c r="D462" s="80">
        <f t="shared" si="133"/>
        <v>6199</v>
      </c>
      <c r="E462" s="80"/>
      <c r="F462" s="80">
        <f>VLOOKUP(C462,'CUTTING ON JUNE'!$A$4:$D$316,3,0)</f>
        <v>6199</v>
      </c>
      <c r="G462" s="80">
        <f>IFERROR(VLOOKUP(C462,O.B.JUNE!$C$7:$E$448,3,0),0)</f>
        <v>0</v>
      </c>
      <c r="H462" s="80">
        <f t="shared" si="129"/>
        <v>6199</v>
      </c>
      <c r="I462" s="80"/>
      <c r="J462" s="80">
        <f t="shared" si="128"/>
        <v>5894</v>
      </c>
      <c r="K462" s="80">
        <v>0</v>
      </c>
      <c r="L462" s="80">
        <v>0</v>
      </c>
      <c r="M462" s="81">
        <f t="shared" si="134"/>
        <v>305</v>
      </c>
      <c r="N462" s="81">
        <v>129</v>
      </c>
      <c r="O462" s="81">
        <v>169</v>
      </c>
      <c r="P462" s="81">
        <f t="shared" si="125"/>
        <v>7</v>
      </c>
      <c r="Q462" s="80">
        <f>IFERROR(VLOOKUP(C462,O.B.JUNE!$C$7:$K$448,7,0),0)</f>
        <v>0</v>
      </c>
      <c r="R462" s="80">
        <f>IFERROR(VLOOKUP(C462,O.B.JUNE!$C$7:$J$448,8,0),0)</f>
        <v>0</v>
      </c>
      <c r="S462" s="323">
        <f t="shared" si="130"/>
        <v>5894</v>
      </c>
      <c r="T462" s="324">
        <v>5894</v>
      </c>
      <c r="U462" s="324"/>
      <c r="V462" s="80"/>
      <c r="W462" s="324">
        <v>5844</v>
      </c>
      <c r="X462" s="324"/>
      <c r="Y462" s="324">
        <v>3</v>
      </c>
      <c r="Z462" s="80">
        <v>47</v>
      </c>
      <c r="AA462" s="80">
        <f t="shared" si="131"/>
        <v>5894</v>
      </c>
      <c r="AB462" s="323">
        <f t="shared" si="139"/>
        <v>0</v>
      </c>
      <c r="AC462" s="80">
        <f t="shared" ref="AC462:AC493" si="140">+R462+U462+Z462-X462</f>
        <v>47</v>
      </c>
      <c r="AD462" s="80">
        <f t="shared" si="132"/>
        <v>47</v>
      </c>
      <c r="AE462" s="80"/>
      <c r="AF462" s="80"/>
      <c r="AG462" s="80"/>
      <c r="AH462" s="326">
        <f t="shared" si="135"/>
        <v>0</v>
      </c>
      <c r="AI462" s="326">
        <f t="shared" si="136"/>
        <v>0</v>
      </c>
      <c r="AJ462" s="326">
        <f t="shared" si="137"/>
        <v>0</v>
      </c>
      <c r="AK462" s="326">
        <f t="shared" si="138"/>
        <v>0</v>
      </c>
      <c r="AL462" s="326"/>
      <c r="AM462" s="326"/>
      <c r="AN462" s="326"/>
      <c r="AO462" s="326"/>
      <c r="AP462" s="326"/>
      <c r="AQ462" s="326"/>
      <c r="AR462" s="327">
        <f>VLOOKUP(C462,'[1]DA HET SAN XUAT'!$D$8:$AJ$419,33,0)</f>
        <v>0</v>
      </c>
      <c r="AS462" s="209"/>
      <c r="AT462" s="411"/>
      <c r="AU462" s="411"/>
    </row>
    <row r="463" spans="1:47" s="390" customFormat="1" ht="18.75" customHeight="1">
      <c r="A463" s="167">
        <v>472</v>
      </c>
      <c r="B463" s="79" t="s">
        <v>161</v>
      </c>
      <c r="C463" s="509">
        <v>100041571</v>
      </c>
      <c r="D463" s="80">
        <f t="shared" si="133"/>
        <v>911</v>
      </c>
      <c r="E463" s="80"/>
      <c r="F463" s="80">
        <f>VLOOKUP(C463,'CUTTING ON JUNE'!$A$4:$D$316,3,0)</f>
        <v>911</v>
      </c>
      <c r="G463" s="80">
        <f>IFERROR(VLOOKUP(C463,O.B.JUNE!$C$7:$E$448,3,0),0)</f>
        <v>0</v>
      </c>
      <c r="H463" s="80">
        <f t="shared" si="129"/>
        <v>911</v>
      </c>
      <c r="I463" s="80"/>
      <c r="J463" s="80">
        <f t="shared" si="128"/>
        <v>0</v>
      </c>
      <c r="K463" s="80">
        <v>0</v>
      </c>
      <c r="L463" s="80">
        <v>0</v>
      </c>
      <c r="M463" s="81">
        <f t="shared" si="134"/>
        <v>911</v>
      </c>
      <c r="N463" s="81"/>
      <c r="O463" s="81">
        <v>743</v>
      </c>
      <c r="P463" s="81">
        <f t="shared" si="125"/>
        <v>168</v>
      </c>
      <c r="Q463" s="80">
        <f>IFERROR(VLOOKUP(C463,O.B.JUNE!$C$7:$K$448,7,0),0)</f>
        <v>0</v>
      </c>
      <c r="R463" s="80">
        <f>IFERROR(VLOOKUP(C463,O.B.JUNE!$C$7:$J$448,8,0),0)</f>
        <v>0</v>
      </c>
      <c r="S463" s="323">
        <f t="shared" si="130"/>
        <v>0</v>
      </c>
      <c r="T463" s="324">
        <v>0</v>
      </c>
      <c r="U463" s="324"/>
      <c r="V463" s="80"/>
      <c r="W463" s="324">
        <v>0</v>
      </c>
      <c r="X463" s="324"/>
      <c r="Y463" s="324">
        <v>0</v>
      </c>
      <c r="Z463" s="80">
        <v>0</v>
      </c>
      <c r="AA463" s="80">
        <f t="shared" si="131"/>
        <v>0</v>
      </c>
      <c r="AB463" s="323">
        <f t="shared" si="139"/>
        <v>0</v>
      </c>
      <c r="AC463" s="80">
        <f t="shared" si="140"/>
        <v>0</v>
      </c>
      <c r="AD463" s="80">
        <f t="shared" si="132"/>
        <v>0</v>
      </c>
      <c r="AE463" s="80"/>
      <c r="AF463" s="80"/>
      <c r="AG463" s="80"/>
      <c r="AH463" s="326">
        <f t="shared" si="135"/>
        <v>0</v>
      </c>
      <c r="AI463" s="326">
        <f t="shared" si="136"/>
        <v>0</v>
      </c>
      <c r="AJ463" s="326">
        <f t="shared" si="137"/>
        <v>0</v>
      </c>
      <c r="AK463" s="326">
        <f t="shared" si="138"/>
        <v>0</v>
      </c>
      <c r="AL463" s="326"/>
      <c r="AM463" s="326"/>
      <c r="AN463" s="326"/>
      <c r="AO463" s="326"/>
      <c r="AP463" s="326"/>
      <c r="AQ463" s="326"/>
      <c r="AR463" s="327">
        <f>VLOOKUP(C463,'[1]DA HET SAN XUAT'!$D$8:$AJ$419,33,0)</f>
        <v>0</v>
      </c>
      <c r="AS463" s="209"/>
      <c r="AT463" s="411"/>
      <c r="AU463" s="411"/>
    </row>
    <row r="464" spans="1:47" s="390" customFormat="1" ht="18.75" customHeight="1">
      <c r="A464" s="167">
        <v>473</v>
      </c>
      <c r="B464" s="79" t="s">
        <v>108</v>
      </c>
      <c r="C464" s="509">
        <v>183013461</v>
      </c>
      <c r="D464" s="80">
        <f t="shared" si="133"/>
        <v>1637</v>
      </c>
      <c r="E464" s="80"/>
      <c r="F464" s="80">
        <f>VLOOKUP(C464,'CUTTING ON JUNE'!$A$4:$D$316,3,0)</f>
        <v>1637</v>
      </c>
      <c r="G464" s="80">
        <f>IFERROR(VLOOKUP(C464,O.B.JUNE!$C$7:$E$448,3,0),0)</f>
        <v>0</v>
      </c>
      <c r="H464" s="80">
        <f t="shared" si="129"/>
        <v>1637</v>
      </c>
      <c r="I464" s="80"/>
      <c r="J464" s="80">
        <f t="shared" si="128"/>
        <v>1252</v>
      </c>
      <c r="K464" s="80">
        <v>0</v>
      </c>
      <c r="L464" s="80">
        <v>0</v>
      </c>
      <c r="M464" s="81">
        <f t="shared" si="134"/>
        <v>385</v>
      </c>
      <c r="N464" s="81">
        <v>21</v>
      </c>
      <c r="O464" s="81">
        <v>14</v>
      </c>
      <c r="P464" s="81">
        <f t="shared" si="125"/>
        <v>350</v>
      </c>
      <c r="Q464" s="80">
        <f>IFERROR(VLOOKUP(C464,O.B.JUNE!$C$7:$K$448,7,0),0)</f>
        <v>0</v>
      </c>
      <c r="R464" s="80">
        <f>IFERROR(VLOOKUP(C464,O.B.JUNE!$C$7:$J$448,8,0),0)</f>
        <v>0</v>
      </c>
      <c r="S464" s="323">
        <f t="shared" si="130"/>
        <v>1252</v>
      </c>
      <c r="T464" s="324">
        <v>1252</v>
      </c>
      <c r="U464" s="324"/>
      <c r="V464" s="80"/>
      <c r="W464" s="324">
        <v>1115</v>
      </c>
      <c r="X464" s="324"/>
      <c r="Y464" s="324">
        <v>0</v>
      </c>
      <c r="Z464" s="80">
        <v>0</v>
      </c>
      <c r="AA464" s="80">
        <f t="shared" si="131"/>
        <v>1252</v>
      </c>
      <c r="AB464" s="323">
        <f t="shared" si="139"/>
        <v>137</v>
      </c>
      <c r="AC464" s="80">
        <f t="shared" si="140"/>
        <v>0</v>
      </c>
      <c r="AD464" s="80">
        <f t="shared" si="132"/>
        <v>137</v>
      </c>
      <c r="AE464" s="80"/>
      <c r="AF464" s="80"/>
      <c r="AG464" s="80"/>
      <c r="AH464" s="326">
        <f t="shared" si="135"/>
        <v>0</v>
      </c>
      <c r="AI464" s="326">
        <f t="shared" si="136"/>
        <v>0</v>
      </c>
      <c r="AJ464" s="326">
        <f t="shared" si="137"/>
        <v>0</v>
      </c>
      <c r="AK464" s="326">
        <f t="shared" si="138"/>
        <v>0</v>
      </c>
      <c r="AL464" s="326"/>
      <c r="AM464" s="326"/>
      <c r="AN464" s="326"/>
      <c r="AO464" s="326"/>
      <c r="AP464" s="326"/>
      <c r="AQ464" s="326"/>
      <c r="AR464" s="327"/>
      <c r="AS464" s="209"/>
      <c r="AT464" s="411"/>
      <c r="AU464" s="411"/>
    </row>
    <row r="465" spans="1:47" s="390" customFormat="1" ht="18.75" customHeight="1">
      <c r="A465" s="167">
        <v>474</v>
      </c>
      <c r="B465" s="79" t="s">
        <v>108</v>
      </c>
      <c r="C465" s="509">
        <v>183034538</v>
      </c>
      <c r="D465" s="80">
        <f t="shared" si="133"/>
        <v>11769</v>
      </c>
      <c r="E465" s="80"/>
      <c r="F465" s="80">
        <f>VLOOKUP(C465,'CUTTING ON JUNE'!$A$4:$D$316,3,0)</f>
        <v>11769</v>
      </c>
      <c r="G465" s="80">
        <f>IFERROR(VLOOKUP(C465,O.B.JUNE!$C$7:$E$448,3,0),0)</f>
        <v>0</v>
      </c>
      <c r="H465" s="80">
        <f t="shared" si="129"/>
        <v>11769</v>
      </c>
      <c r="I465" s="80"/>
      <c r="J465" s="80">
        <f t="shared" si="128"/>
        <v>7514</v>
      </c>
      <c r="K465" s="80">
        <v>0</v>
      </c>
      <c r="L465" s="80">
        <v>0</v>
      </c>
      <c r="M465" s="81">
        <f t="shared" si="134"/>
        <v>4255</v>
      </c>
      <c r="N465" s="81">
        <v>2090</v>
      </c>
      <c r="O465" s="81">
        <v>1205</v>
      </c>
      <c r="P465" s="81">
        <f t="shared" si="125"/>
        <v>960</v>
      </c>
      <c r="Q465" s="80">
        <f>IFERROR(VLOOKUP(C465,O.B.JUNE!$C$7:$K$448,7,0),0)</f>
        <v>0</v>
      </c>
      <c r="R465" s="80">
        <f>IFERROR(VLOOKUP(C465,O.B.JUNE!$C$7:$J$448,8,0),0)</f>
        <v>0</v>
      </c>
      <c r="S465" s="323">
        <f t="shared" si="130"/>
        <v>7514</v>
      </c>
      <c r="T465" s="324">
        <v>7514</v>
      </c>
      <c r="U465" s="324"/>
      <c r="V465" s="80"/>
      <c r="W465" s="324">
        <v>0</v>
      </c>
      <c r="X465" s="324"/>
      <c r="Y465" s="324">
        <v>0</v>
      </c>
      <c r="Z465" s="80">
        <v>0</v>
      </c>
      <c r="AA465" s="80">
        <f t="shared" si="131"/>
        <v>7514</v>
      </c>
      <c r="AB465" s="323">
        <f t="shared" si="139"/>
        <v>7514</v>
      </c>
      <c r="AC465" s="80">
        <f t="shared" si="140"/>
        <v>0</v>
      </c>
      <c r="AD465" s="80">
        <f t="shared" si="132"/>
        <v>7514</v>
      </c>
      <c r="AE465" s="80"/>
      <c r="AF465" s="80"/>
      <c r="AG465" s="80"/>
      <c r="AH465" s="326">
        <f t="shared" si="135"/>
        <v>0</v>
      </c>
      <c r="AI465" s="326">
        <f t="shared" si="136"/>
        <v>0</v>
      </c>
      <c r="AJ465" s="326">
        <f t="shared" si="137"/>
        <v>0</v>
      </c>
      <c r="AK465" s="326">
        <f t="shared" si="138"/>
        <v>0</v>
      </c>
      <c r="AL465" s="326"/>
      <c r="AM465" s="326"/>
      <c r="AN465" s="326"/>
      <c r="AO465" s="326"/>
      <c r="AP465" s="326"/>
      <c r="AQ465" s="326"/>
      <c r="AR465" s="327"/>
      <c r="AS465" s="209"/>
      <c r="AT465" s="411"/>
      <c r="AU465" s="411"/>
    </row>
    <row r="466" spans="1:47" s="390" customFormat="1" ht="18.75" customHeight="1">
      <c r="A466" s="167">
        <v>475</v>
      </c>
      <c r="B466" s="79" t="s">
        <v>105</v>
      </c>
      <c r="C466" s="509">
        <v>466315</v>
      </c>
      <c r="D466" s="80">
        <f t="shared" si="133"/>
        <v>5370</v>
      </c>
      <c r="E466" s="80"/>
      <c r="F466" s="80">
        <f>VLOOKUP(C466,'CUTTING ON JUNE'!$A$4:$D$316,3,0)</f>
        <v>5370</v>
      </c>
      <c r="G466" s="80">
        <f>IFERROR(VLOOKUP(C466,O.B.JUNE!$C$7:$E$448,3,0),0)</f>
        <v>0</v>
      </c>
      <c r="H466" s="80">
        <f t="shared" si="129"/>
        <v>5370</v>
      </c>
      <c r="I466" s="80"/>
      <c r="J466" s="80">
        <f t="shared" si="128"/>
        <v>5020</v>
      </c>
      <c r="K466" s="80">
        <v>0</v>
      </c>
      <c r="L466" s="80">
        <v>0</v>
      </c>
      <c r="M466" s="81">
        <f t="shared" si="134"/>
        <v>350</v>
      </c>
      <c r="N466" s="81"/>
      <c r="O466" s="81">
        <v>215</v>
      </c>
      <c r="P466" s="81">
        <f t="shared" si="125"/>
        <v>135</v>
      </c>
      <c r="Q466" s="80">
        <f>IFERROR(VLOOKUP(C466,O.B.JUNE!$C$7:$K$448,7,0),0)</f>
        <v>0</v>
      </c>
      <c r="R466" s="80">
        <f>IFERROR(VLOOKUP(C466,O.B.JUNE!$C$7:$J$448,8,0),0)</f>
        <v>0</v>
      </c>
      <c r="S466" s="323">
        <f t="shared" si="130"/>
        <v>5020</v>
      </c>
      <c r="T466" s="324">
        <v>5020</v>
      </c>
      <c r="U466" s="324"/>
      <c r="V466" s="80"/>
      <c r="W466" s="324">
        <v>1610</v>
      </c>
      <c r="X466" s="324"/>
      <c r="Y466" s="324">
        <v>2</v>
      </c>
      <c r="Z466" s="80">
        <v>0</v>
      </c>
      <c r="AA466" s="80">
        <f t="shared" si="131"/>
        <v>5020</v>
      </c>
      <c r="AB466" s="323">
        <f t="shared" si="139"/>
        <v>3408</v>
      </c>
      <c r="AC466" s="80">
        <f t="shared" si="140"/>
        <v>0</v>
      </c>
      <c r="AD466" s="80">
        <f t="shared" si="132"/>
        <v>3408</v>
      </c>
      <c r="AE466" s="80"/>
      <c r="AF466" s="80"/>
      <c r="AG466" s="80"/>
      <c r="AH466" s="326">
        <f t="shared" si="135"/>
        <v>0</v>
      </c>
      <c r="AI466" s="326">
        <f t="shared" si="136"/>
        <v>0</v>
      </c>
      <c r="AJ466" s="326">
        <f t="shared" si="137"/>
        <v>0</v>
      </c>
      <c r="AK466" s="326">
        <f t="shared" si="138"/>
        <v>0</v>
      </c>
      <c r="AL466" s="326"/>
      <c r="AM466" s="326"/>
      <c r="AN466" s="326"/>
      <c r="AO466" s="326"/>
      <c r="AP466" s="326"/>
      <c r="AQ466" s="326"/>
      <c r="AR466" s="327"/>
      <c r="AS466" s="209"/>
      <c r="AT466" s="411"/>
      <c r="AU466" s="411"/>
    </row>
    <row r="467" spans="1:47" s="390" customFormat="1" ht="18.75" customHeight="1">
      <c r="A467" s="167">
        <v>476</v>
      </c>
      <c r="B467" s="79" t="s">
        <v>105</v>
      </c>
      <c r="C467" s="509">
        <v>467791</v>
      </c>
      <c r="D467" s="80">
        <f t="shared" si="133"/>
        <v>8547</v>
      </c>
      <c r="E467" s="80"/>
      <c r="F467" s="80">
        <f>VLOOKUP(C467,'CUTTING ON JUNE'!$A$4:$D$316,3,0)</f>
        <v>8547</v>
      </c>
      <c r="G467" s="80">
        <f>IFERROR(VLOOKUP(C467,O.B.JUNE!$C$7:$E$448,3,0),0)</f>
        <v>0</v>
      </c>
      <c r="H467" s="80">
        <f t="shared" si="129"/>
        <v>8547</v>
      </c>
      <c r="I467" s="80"/>
      <c r="J467" s="80">
        <f t="shared" si="128"/>
        <v>2245</v>
      </c>
      <c r="K467" s="80">
        <v>0</v>
      </c>
      <c r="L467" s="80">
        <v>0</v>
      </c>
      <c r="M467" s="81">
        <f t="shared" si="134"/>
        <v>6302</v>
      </c>
      <c r="N467" s="81">
        <v>817</v>
      </c>
      <c r="O467" s="81">
        <v>2490</v>
      </c>
      <c r="P467" s="81">
        <f t="shared" si="125"/>
        <v>2995</v>
      </c>
      <c r="Q467" s="80">
        <f>IFERROR(VLOOKUP(C467,O.B.JUNE!$C$7:$K$448,7,0),0)</f>
        <v>0</v>
      </c>
      <c r="R467" s="80">
        <f>IFERROR(VLOOKUP(C467,O.B.JUNE!$C$7:$J$448,8,0),0)</f>
        <v>0</v>
      </c>
      <c r="S467" s="323">
        <f t="shared" si="130"/>
        <v>2245</v>
      </c>
      <c r="T467" s="324">
        <v>2245</v>
      </c>
      <c r="U467" s="324"/>
      <c r="V467" s="80"/>
      <c r="W467" s="324">
        <v>0</v>
      </c>
      <c r="X467" s="324"/>
      <c r="Y467" s="324">
        <v>0</v>
      </c>
      <c r="Z467" s="80">
        <v>0</v>
      </c>
      <c r="AA467" s="80">
        <f t="shared" si="131"/>
        <v>2245</v>
      </c>
      <c r="AB467" s="323">
        <f t="shared" si="139"/>
        <v>2245</v>
      </c>
      <c r="AC467" s="80">
        <f t="shared" si="140"/>
        <v>0</v>
      </c>
      <c r="AD467" s="80">
        <f t="shared" si="132"/>
        <v>2245</v>
      </c>
      <c r="AE467" s="80"/>
      <c r="AF467" s="80"/>
      <c r="AG467" s="80"/>
      <c r="AH467" s="326">
        <f t="shared" si="135"/>
        <v>0</v>
      </c>
      <c r="AI467" s="326">
        <f t="shared" si="136"/>
        <v>0</v>
      </c>
      <c r="AJ467" s="326">
        <f t="shared" si="137"/>
        <v>0</v>
      </c>
      <c r="AK467" s="326">
        <f t="shared" si="138"/>
        <v>0</v>
      </c>
      <c r="AL467" s="326"/>
      <c r="AM467" s="326"/>
      <c r="AN467" s="326"/>
      <c r="AO467" s="326"/>
      <c r="AP467" s="326"/>
      <c r="AQ467" s="326"/>
      <c r="AR467" s="327"/>
      <c r="AS467" s="209"/>
      <c r="AT467" s="411"/>
      <c r="AU467" s="411"/>
    </row>
    <row r="468" spans="1:47" s="390" customFormat="1" ht="18.75" customHeight="1">
      <c r="A468" s="167">
        <v>477</v>
      </c>
      <c r="B468" s="79" t="s">
        <v>105</v>
      </c>
      <c r="C468" s="509">
        <v>468564</v>
      </c>
      <c r="D468" s="80">
        <f t="shared" si="133"/>
        <v>2430</v>
      </c>
      <c r="E468" s="80"/>
      <c r="F468" s="80">
        <f>VLOOKUP(C468,'CUTTING ON JUNE'!$A$4:$D$316,3,0)</f>
        <v>2430</v>
      </c>
      <c r="G468" s="80">
        <f>IFERROR(VLOOKUP(C468,O.B.JUNE!$C$7:$E$448,3,0),0)</f>
        <v>0</v>
      </c>
      <c r="H468" s="80">
        <f t="shared" si="129"/>
        <v>2430</v>
      </c>
      <c r="I468" s="80"/>
      <c r="J468" s="80">
        <f t="shared" si="128"/>
        <v>0</v>
      </c>
      <c r="K468" s="80">
        <v>0</v>
      </c>
      <c r="L468" s="80">
        <v>0</v>
      </c>
      <c r="M468" s="81">
        <f t="shared" si="134"/>
        <v>2430</v>
      </c>
      <c r="N468" s="81">
        <v>1026</v>
      </c>
      <c r="O468" s="81">
        <v>247</v>
      </c>
      <c r="P468" s="81">
        <f t="shared" si="125"/>
        <v>1157</v>
      </c>
      <c r="Q468" s="80">
        <f>IFERROR(VLOOKUP(C468,O.B.JUNE!$C$7:$K$448,7,0),0)</f>
        <v>0</v>
      </c>
      <c r="R468" s="80">
        <f>IFERROR(VLOOKUP(C468,O.B.JUNE!$C$7:$J$448,8,0),0)</f>
        <v>0</v>
      </c>
      <c r="S468" s="323">
        <f t="shared" si="130"/>
        <v>0</v>
      </c>
      <c r="T468" s="324">
        <v>0</v>
      </c>
      <c r="U468" s="324"/>
      <c r="V468" s="80"/>
      <c r="W468" s="324">
        <v>0</v>
      </c>
      <c r="X468" s="324"/>
      <c r="Y468" s="324">
        <v>0</v>
      </c>
      <c r="Z468" s="80">
        <v>0</v>
      </c>
      <c r="AA468" s="80">
        <f t="shared" si="131"/>
        <v>0</v>
      </c>
      <c r="AB468" s="323">
        <f t="shared" si="139"/>
        <v>0</v>
      </c>
      <c r="AC468" s="80">
        <f t="shared" si="140"/>
        <v>0</v>
      </c>
      <c r="AD468" s="80">
        <f t="shared" si="132"/>
        <v>0</v>
      </c>
      <c r="AE468" s="80"/>
      <c r="AF468" s="80"/>
      <c r="AG468" s="80"/>
      <c r="AH468" s="326">
        <f t="shared" si="135"/>
        <v>0</v>
      </c>
      <c r="AI468" s="326">
        <f t="shared" si="136"/>
        <v>0</v>
      </c>
      <c r="AJ468" s="326">
        <f t="shared" si="137"/>
        <v>0</v>
      </c>
      <c r="AK468" s="326">
        <f t="shared" si="138"/>
        <v>0</v>
      </c>
      <c r="AL468" s="326"/>
      <c r="AM468" s="326"/>
      <c r="AN468" s="326"/>
      <c r="AO468" s="326"/>
      <c r="AP468" s="326"/>
      <c r="AQ468" s="326"/>
      <c r="AR468" s="327">
        <f>VLOOKUP(C468,'[1]DA HET SAN XUAT'!$D$8:$AJ$419,33,0)</f>
        <v>0</v>
      </c>
      <c r="AS468" s="209"/>
      <c r="AT468" s="411"/>
      <c r="AU468" s="411"/>
    </row>
    <row r="469" spans="1:47" s="390" customFormat="1" ht="18.75" customHeight="1">
      <c r="A469" s="167">
        <v>478</v>
      </c>
      <c r="B469" s="79" t="s">
        <v>105</v>
      </c>
      <c r="C469" s="509">
        <v>468568</v>
      </c>
      <c r="D469" s="80">
        <f t="shared" si="133"/>
        <v>4531</v>
      </c>
      <c r="E469" s="80"/>
      <c r="F469" s="80">
        <f>VLOOKUP(C469,'CUTTING ON JUNE'!$A$4:$D$316,3,0)</f>
        <v>4531</v>
      </c>
      <c r="G469" s="80">
        <f>IFERROR(VLOOKUP(C469,O.B.JUNE!$C$7:$E$448,3,0),0)</f>
        <v>0</v>
      </c>
      <c r="H469" s="80">
        <f t="shared" si="129"/>
        <v>4531</v>
      </c>
      <c r="I469" s="80"/>
      <c r="J469" s="80">
        <f t="shared" si="128"/>
        <v>0</v>
      </c>
      <c r="K469" s="80">
        <v>0</v>
      </c>
      <c r="L469" s="80">
        <v>0</v>
      </c>
      <c r="M469" s="81">
        <f t="shared" si="134"/>
        <v>4531</v>
      </c>
      <c r="N469" s="81">
        <v>4531</v>
      </c>
      <c r="O469" s="81"/>
      <c r="P469" s="81">
        <f t="shared" ref="P469:P488" si="141">+M469-N469-O469</f>
        <v>0</v>
      </c>
      <c r="Q469" s="80">
        <f>IFERROR(VLOOKUP(C469,O.B.JUNE!$C$7:$K$448,7,0),0)</f>
        <v>0</v>
      </c>
      <c r="R469" s="80">
        <f>IFERROR(VLOOKUP(C469,O.B.JUNE!$C$7:$J$448,8,0),0)</f>
        <v>0</v>
      </c>
      <c r="S469" s="323">
        <f t="shared" si="130"/>
        <v>0</v>
      </c>
      <c r="T469" s="324">
        <v>0</v>
      </c>
      <c r="U469" s="324"/>
      <c r="V469" s="80"/>
      <c r="W469" s="324">
        <v>0</v>
      </c>
      <c r="X469" s="324"/>
      <c r="Y469" s="324">
        <v>0</v>
      </c>
      <c r="Z469" s="80">
        <v>0</v>
      </c>
      <c r="AA469" s="80">
        <f t="shared" si="131"/>
        <v>0</v>
      </c>
      <c r="AB469" s="323">
        <f t="shared" si="139"/>
        <v>0</v>
      </c>
      <c r="AC469" s="80">
        <f t="shared" si="140"/>
        <v>0</v>
      </c>
      <c r="AD469" s="80">
        <f t="shared" si="132"/>
        <v>0</v>
      </c>
      <c r="AE469" s="80"/>
      <c r="AF469" s="80"/>
      <c r="AG469" s="80"/>
      <c r="AH469" s="326">
        <f t="shared" si="135"/>
        <v>0</v>
      </c>
      <c r="AI469" s="326">
        <f t="shared" si="136"/>
        <v>0</v>
      </c>
      <c r="AJ469" s="326">
        <f t="shared" si="137"/>
        <v>0</v>
      </c>
      <c r="AK469" s="326">
        <f t="shared" si="138"/>
        <v>0</v>
      </c>
      <c r="AL469" s="326"/>
      <c r="AM469" s="326"/>
      <c r="AN469" s="326"/>
      <c r="AO469" s="326"/>
      <c r="AP469" s="326"/>
      <c r="AQ469" s="326"/>
      <c r="AR469" s="327">
        <f>VLOOKUP(C469,'[1]DA HET SAN XUAT'!$D$8:$AJ$419,33,0)</f>
        <v>0</v>
      </c>
      <c r="AS469" s="209"/>
      <c r="AT469" s="411"/>
      <c r="AU469" s="411"/>
    </row>
    <row r="470" spans="1:47" s="390" customFormat="1" ht="18.75" customHeight="1">
      <c r="A470" s="167">
        <v>480</v>
      </c>
      <c r="B470" s="79" t="s">
        <v>105</v>
      </c>
      <c r="C470" s="509">
        <v>470390</v>
      </c>
      <c r="D470" s="80">
        <f t="shared" si="133"/>
        <v>3204</v>
      </c>
      <c r="E470" s="80"/>
      <c r="F470" s="80">
        <f>VLOOKUP(C470,'CUTTING ON JUNE'!$A$4:$D$316,3,0)</f>
        <v>3204</v>
      </c>
      <c r="G470" s="80">
        <f>IFERROR(VLOOKUP(C470,O.B.JUNE!$C$7:$E$448,3,0),0)</f>
        <v>0</v>
      </c>
      <c r="H470" s="80">
        <f t="shared" si="129"/>
        <v>3204</v>
      </c>
      <c r="I470" s="80"/>
      <c r="J470" s="80">
        <f t="shared" si="128"/>
        <v>351</v>
      </c>
      <c r="K470" s="80">
        <v>0</v>
      </c>
      <c r="L470" s="80">
        <v>0</v>
      </c>
      <c r="M470" s="81">
        <f t="shared" si="134"/>
        <v>2853</v>
      </c>
      <c r="N470" s="81"/>
      <c r="O470" s="81">
        <v>952</v>
      </c>
      <c r="P470" s="81">
        <f t="shared" si="141"/>
        <v>1901</v>
      </c>
      <c r="Q470" s="80">
        <f>IFERROR(VLOOKUP(C470,O.B.JUNE!$C$7:$K$448,7,0),0)</f>
        <v>0</v>
      </c>
      <c r="R470" s="80">
        <f>IFERROR(VLOOKUP(C470,O.B.JUNE!$C$7:$J$448,8,0),0)</f>
        <v>0</v>
      </c>
      <c r="S470" s="323">
        <f t="shared" si="130"/>
        <v>351</v>
      </c>
      <c r="T470" s="324">
        <v>351</v>
      </c>
      <c r="U470" s="324"/>
      <c r="V470" s="80"/>
      <c r="W470" s="324">
        <v>0</v>
      </c>
      <c r="X470" s="324"/>
      <c r="Y470" s="324">
        <v>0</v>
      </c>
      <c r="Z470" s="80">
        <v>0</v>
      </c>
      <c r="AA470" s="80">
        <f t="shared" si="131"/>
        <v>351</v>
      </c>
      <c r="AB470" s="323">
        <f t="shared" si="139"/>
        <v>351</v>
      </c>
      <c r="AC470" s="80">
        <f t="shared" si="140"/>
        <v>0</v>
      </c>
      <c r="AD470" s="80">
        <f t="shared" si="132"/>
        <v>351</v>
      </c>
      <c r="AE470" s="80"/>
      <c r="AF470" s="80"/>
      <c r="AG470" s="80"/>
      <c r="AH470" s="326">
        <f t="shared" si="135"/>
        <v>0</v>
      </c>
      <c r="AI470" s="326">
        <f t="shared" si="136"/>
        <v>0</v>
      </c>
      <c r="AJ470" s="326">
        <f t="shared" si="137"/>
        <v>0</v>
      </c>
      <c r="AK470" s="326">
        <f t="shared" si="138"/>
        <v>0</v>
      </c>
      <c r="AL470" s="326"/>
      <c r="AM470" s="326"/>
      <c r="AN470" s="326"/>
      <c r="AO470" s="326"/>
      <c r="AP470" s="326"/>
      <c r="AQ470" s="326"/>
      <c r="AR470" s="327"/>
      <c r="AS470" s="209"/>
      <c r="AT470" s="411"/>
      <c r="AU470" s="411"/>
    </row>
    <row r="471" spans="1:47" s="390" customFormat="1" ht="18.75" customHeight="1">
      <c r="A471" s="167">
        <v>481</v>
      </c>
      <c r="B471" s="79" t="s">
        <v>105</v>
      </c>
      <c r="C471" s="509">
        <v>471627</v>
      </c>
      <c r="D471" s="80">
        <f t="shared" si="133"/>
        <v>10325</v>
      </c>
      <c r="E471" s="80"/>
      <c r="F471" s="80">
        <f>VLOOKUP(C471,'CUTTING ON JUNE'!$A$4:$D$316,3,0)</f>
        <v>10325</v>
      </c>
      <c r="G471" s="80">
        <f>IFERROR(VLOOKUP(C471,O.B.JUNE!$C$7:$E$448,3,0),0)</f>
        <v>0</v>
      </c>
      <c r="H471" s="80">
        <f t="shared" si="129"/>
        <v>10325</v>
      </c>
      <c r="I471" s="80"/>
      <c r="J471" s="80">
        <f t="shared" si="128"/>
        <v>3065</v>
      </c>
      <c r="K471" s="80">
        <v>0</v>
      </c>
      <c r="L471" s="80">
        <v>0</v>
      </c>
      <c r="M471" s="81">
        <f t="shared" si="134"/>
        <v>7260</v>
      </c>
      <c r="N471" s="81">
        <v>1883</v>
      </c>
      <c r="O471" s="81">
        <v>2567</v>
      </c>
      <c r="P471" s="81">
        <f t="shared" si="141"/>
        <v>2810</v>
      </c>
      <c r="Q471" s="80">
        <f>IFERROR(VLOOKUP(C471,O.B.JUNE!$C$7:$K$448,7,0),0)</f>
        <v>0</v>
      </c>
      <c r="R471" s="80">
        <f>IFERROR(VLOOKUP(C471,O.B.JUNE!$C$7:$J$448,8,0),0)</f>
        <v>0</v>
      </c>
      <c r="S471" s="323">
        <f t="shared" si="130"/>
        <v>3065</v>
      </c>
      <c r="T471" s="324">
        <v>3065</v>
      </c>
      <c r="U471" s="324"/>
      <c r="V471" s="80"/>
      <c r="W471" s="324">
        <v>0</v>
      </c>
      <c r="X471" s="324"/>
      <c r="Y471" s="324">
        <v>0</v>
      </c>
      <c r="Z471" s="80">
        <v>0</v>
      </c>
      <c r="AA471" s="80">
        <f t="shared" si="131"/>
        <v>3065</v>
      </c>
      <c r="AB471" s="323">
        <f t="shared" si="139"/>
        <v>3065</v>
      </c>
      <c r="AC471" s="80">
        <f t="shared" si="140"/>
        <v>0</v>
      </c>
      <c r="AD471" s="80">
        <f t="shared" si="132"/>
        <v>3065</v>
      </c>
      <c r="AE471" s="80"/>
      <c r="AF471" s="80"/>
      <c r="AG471" s="80"/>
      <c r="AH471" s="326">
        <f t="shared" si="135"/>
        <v>0</v>
      </c>
      <c r="AI471" s="326">
        <f t="shared" si="136"/>
        <v>0</v>
      </c>
      <c r="AJ471" s="326">
        <f t="shared" si="137"/>
        <v>0</v>
      </c>
      <c r="AK471" s="326">
        <f t="shared" si="138"/>
        <v>0</v>
      </c>
      <c r="AL471" s="326"/>
      <c r="AM471" s="326"/>
      <c r="AN471" s="326"/>
      <c r="AO471" s="326"/>
      <c r="AP471" s="326"/>
      <c r="AQ471" s="326"/>
      <c r="AR471" s="327"/>
      <c r="AS471" s="209"/>
      <c r="AT471" s="411"/>
      <c r="AU471" s="411"/>
    </row>
    <row r="472" spans="1:47" s="390" customFormat="1" ht="18.75" customHeight="1">
      <c r="A472" s="167">
        <v>482</v>
      </c>
      <c r="B472" s="79" t="s">
        <v>105</v>
      </c>
      <c r="C472" s="509" t="s">
        <v>653</v>
      </c>
      <c r="D472" s="80">
        <f t="shared" si="133"/>
        <v>2914</v>
      </c>
      <c r="E472" s="80"/>
      <c r="F472" s="80">
        <f>VLOOKUP(C472,'CUTTING ON JUNE'!$A$4:$D$316,3,0)</f>
        <v>2914</v>
      </c>
      <c r="G472" s="80">
        <f>IFERROR(VLOOKUP(C472,O.B.JUNE!$C$7:$E$448,3,0),0)</f>
        <v>0</v>
      </c>
      <c r="H472" s="80">
        <f t="shared" si="129"/>
        <v>2914</v>
      </c>
      <c r="I472" s="80"/>
      <c r="J472" s="80">
        <f t="shared" si="128"/>
        <v>2704</v>
      </c>
      <c r="K472" s="80">
        <v>0</v>
      </c>
      <c r="L472" s="80">
        <v>0</v>
      </c>
      <c r="M472" s="81">
        <f t="shared" si="134"/>
        <v>210</v>
      </c>
      <c r="N472" s="81"/>
      <c r="O472" s="81">
        <v>127</v>
      </c>
      <c r="P472" s="81">
        <f t="shared" si="141"/>
        <v>83</v>
      </c>
      <c r="Q472" s="80">
        <f>IFERROR(VLOOKUP(C472,O.B.JUNE!$C$7:$K$448,7,0),0)</f>
        <v>0</v>
      </c>
      <c r="R472" s="80">
        <f>IFERROR(VLOOKUP(C472,O.B.JUNE!$C$7:$J$448,8,0),0)</f>
        <v>0</v>
      </c>
      <c r="S472" s="323">
        <f t="shared" si="130"/>
        <v>2704</v>
      </c>
      <c r="T472" s="324">
        <v>2704</v>
      </c>
      <c r="U472" s="324"/>
      <c r="V472" s="80"/>
      <c r="W472" s="324">
        <v>2627</v>
      </c>
      <c r="X472" s="324"/>
      <c r="Y472" s="324">
        <v>16</v>
      </c>
      <c r="Z472" s="80">
        <v>61</v>
      </c>
      <c r="AA472" s="80">
        <f t="shared" si="131"/>
        <v>2704</v>
      </c>
      <c r="AB472" s="323">
        <f t="shared" si="139"/>
        <v>0</v>
      </c>
      <c r="AC472" s="80">
        <f t="shared" si="140"/>
        <v>61</v>
      </c>
      <c r="AD472" s="80">
        <f t="shared" si="132"/>
        <v>61</v>
      </c>
      <c r="AE472" s="80"/>
      <c r="AF472" s="80"/>
      <c r="AG472" s="80"/>
      <c r="AH472" s="326">
        <f t="shared" si="135"/>
        <v>0</v>
      </c>
      <c r="AI472" s="326">
        <f t="shared" si="136"/>
        <v>0</v>
      </c>
      <c r="AJ472" s="326">
        <f t="shared" si="137"/>
        <v>0</v>
      </c>
      <c r="AK472" s="326">
        <f t="shared" si="138"/>
        <v>0</v>
      </c>
      <c r="AL472" s="326"/>
      <c r="AM472" s="326"/>
      <c r="AN472" s="326"/>
      <c r="AO472" s="326"/>
      <c r="AP472" s="326"/>
      <c r="AQ472" s="326"/>
      <c r="AR472" s="327"/>
      <c r="AS472" s="209"/>
      <c r="AT472" s="411"/>
      <c r="AU472" s="411"/>
    </row>
    <row r="473" spans="1:47" s="390" customFormat="1" ht="18.75" customHeight="1">
      <c r="A473" s="167">
        <v>483</v>
      </c>
      <c r="B473" s="79" t="s">
        <v>105</v>
      </c>
      <c r="C473" s="509">
        <v>473781</v>
      </c>
      <c r="D473" s="80">
        <f t="shared" si="133"/>
        <v>1300</v>
      </c>
      <c r="E473" s="80"/>
      <c r="F473" s="80">
        <f>VLOOKUP(C473,'CUTTING ON JUNE'!$A$4:$D$316,3,0)</f>
        <v>1300</v>
      </c>
      <c r="G473" s="80">
        <f>IFERROR(VLOOKUP(C473,O.B.JUNE!$C$7:$E$448,3,0),0)</f>
        <v>0</v>
      </c>
      <c r="H473" s="80">
        <f t="shared" si="129"/>
        <v>1300</v>
      </c>
      <c r="I473" s="80"/>
      <c r="J473" s="80">
        <f t="shared" si="128"/>
        <v>0</v>
      </c>
      <c r="K473" s="80">
        <v>0</v>
      </c>
      <c r="L473" s="80">
        <v>0</v>
      </c>
      <c r="M473" s="81">
        <f t="shared" si="134"/>
        <v>1300</v>
      </c>
      <c r="N473" s="81"/>
      <c r="O473" s="81">
        <v>1281</v>
      </c>
      <c r="P473" s="81">
        <f t="shared" si="141"/>
        <v>19</v>
      </c>
      <c r="Q473" s="80">
        <f>IFERROR(VLOOKUP(C473,O.B.JUNE!$C$7:$K$448,7,0),0)</f>
        <v>0</v>
      </c>
      <c r="R473" s="80">
        <f>IFERROR(VLOOKUP(C473,O.B.JUNE!$C$7:$J$448,8,0),0)</f>
        <v>0</v>
      </c>
      <c r="S473" s="323">
        <f t="shared" si="130"/>
        <v>0</v>
      </c>
      <c r="T473" s="324">
        <v>0</v>
      </c>
      <c r="U473" s="324"/>
      <c r="V473" s="80"/>
      <c r="W473" s="324">
        <v>0</v>
      </c>
      <c r="X473" s="324"/>
      <c r="Y473" s="324">
        <v>0</v>
      </c>
      <c r="Z473" s="80">
        <v>0</v>
      </c>
      <c r="AA473" s="80">
        <f t="shared" si="131"/>
        <v>0</v>
      </c>
      <c r="AB473" s="323">
        <f t="shared" si="139"/>
        <v>0</v>
      </c>
      <c r="AC473" s="80">
        <f t="shared" si="140"/>
        <v>0</v>
      </c>
      <c r="AD473" s="80">
        <f t="shared" si="132"/>
        <v>0</v>
      </c>
      <c r="AE473" s="80"/>
      <c r="AF473" s="80"/>
      <c r="AG473" s="80"/>
      <c r="AH473" s="326">
        <f t="shared" si="135"/>
        <v>0</v>
      </c>
      <c r="AI473" s="326">
        <f t="shared" si="136"/>
        <v>0</v>
      </c>
      <c r="AJ473" s="326">
        <f t="shared" si="137"/>
        <v>0</v>
      </c>
      <c r="AK473" s="326">
        <f t="shared" si="138"/>
        <v>0</v>
      </c>
      <c r="AL473" s="326"/>
      <c r="AM473" s="326"/>
      <c r="AN473" s="326"/>
      <c r="AO473" s="326"/>
      <c r="AP473" s="326"/>
      <c r="AQ473" s="326"/>
      <c r="AR473" s="327">
        <f>VLOOKUP(C473,'[1]DA HET SAN XUAT'!$D$8:$AJ$419,33,0)</f>
        <v>0</v>
      </c>
      <c r="AS473" s="209"/>
      <c r="AT473" s="411"/>
      <c r="AU473" s="411"/>
    </row>
    <row r="474" spans="1:47" s="390" customFormat="1" ht="18.75" customHeight="1">
      <c r="A474" s="167">
        <v>484</v>
      </c>
      <c r="B474" s="79" t="s">
        <v>105</v>
      </c>
      <c r="C474" s="509">
        <v>475813</v>
      </c>
      <c r="D474" s="80">
        <f t="shared" si="133"/>
        <v>11569</v>
      </c>
      <c r="E474" s="80"/>
      <c r="F474" s="80">
        <f>VLOOKUP(C474,'CUTTING ON JUNE'!$A$4:$D$316,3,0)</f>
        <v>11569</v>
      </c>
      <c r="G474" s="80">
        <f>IFERROR(VLOOKUP(C474,O.B.JUNE!$C$7:$E$448,3,0),0)</f>
        <v>0</v>
      </c>
      <c r="H474" s="80">
        <f t="shared" si="129"/>
        <v>11569</v>
      </c>
      <c r="I474" s="80"/>
      <c r="J474" s="80">
        <f t="shared" si="128"/>
        <v>8383</v>
      </c>
      <c r="K474" s="80">
        <v>0</v>
      </c>
      <c r="L474" s="80">
        <v>0</v>
      </c>
      <c r="M474" s="81">
        <f t="shared" si="134"/>
        <v>3186</v>
      </c>
      <c r="N474" s="81">
        <v>312</v>
      </c>
      <c r="O474" s="81">
        <v>2245</v>
      </c>
      <c r="P474" s="81">
        <f t="shared" si="141"/>
        <v>629</v>
      </c>
      <c r="Q474" s="80">
        <f>IFERROR(VLOOKUP(C474,O.B.JUNE!$C$7:$K$448,7,0),0)</f>
        <v>0</v>
      </c>
      <c r="R474" s="80">
        <f>IFERROR(VLOOKUP(C474,O.B.JUNE!$C$7:$J$448,8,0),0)</f>
        <v>0</v>
      </c>
      <c r="S474" s="323">
        <f t="shared" si="130"/>
        <v>8383</v>
      </c>
      <c r="T474" s="324">
        <v>8383</v>
      </c>
      <c r="U474" s="324"/>
      <c r="V474" s="80"/>
      <c r="W474" s="324">
        <v>5744</v>
      </c>
      <c r="X474" s="324"/>
      <c r="Y474" s="324">
        <v>0</v>
      </c>
      <c r="Z474" s="80">
        <v>0</v>
      </c>
      <c r="AA474" s="80">
        <f t="shared" si="131"/>
        <v>8383</v>
      </c>
      <c r="AB474" s="323">
        <f t="shared" si="139"/>
        <v>2639</v>
      </c>
      <c r="AC474" s="80">
        <f t="shared" si="140"/>
        <v>0</v>
      </c>
      <c r="AD474" s="80">
        <f t="shared" si="132"/>
        <v>2639</v>
      </c>
      <c r="AE474" s="80"/>
      <c r="AF474" s="80"/>
      <c r="AG474" s="80"/>
      <c r="AH474" s="326">
        <f t="shared" si="135"/>
        <v>0</v>
      </c>
      <c r="AI474" s="326">
        <f t="shared" si="136"/>
        <v>0</v>
      </c>
      <c r="AJ474" s="326">
        <f t="shared" si="137"/>
        <v>0</v>
      </c>
      <c r="AK474" s="326">
        <f t="shared" si="138"/>
        <v>0</v>
      </c>
      <c r="AL474" s="326"/>
      <c r="AM474" s="326"/>
      <c r="AN474" s="326"/>
      <c r="AO474" s="326"/>
      <c r="AP474" s="326"/>
      <c r="AQ474" s="326"/>
      <c r="AR474" s="327"/>
      <c r="AS474" s="209"/>
      <c r="AT474" s="411"/>
      <c r="AU474" s="411"/>
    </row>
    <row r="475" spans="1:47" s="390" customFormat="1" ht="18.75" customHeight="1">
      <c r="A475" s="167">
        <v>485</v>
      </c>
      <c r="B475" s="79" t="s">
        <v>105</v>
      </c>
      <c r="C475" s="509">
        <v>476148</v>
      </c>
      <c r="D475" s="80">
        <f t="shared" si="133"/>
        <v>10233</v>
      </c>
      <c r="E475" s="80"/>
      <c r="F475" s="80">
        <f>VLOOKUP(C475,'CUTTING ON JUNE'!$A$4:$D$316,3,0)</f>
        <v>10233</v>
      </c>
      <c r="G475" s="80">
        <f>IFERROR(VLOOKUP(C475,O.B.JUNE!$C$7:$E$448,3,0),0)</f>
        <v>0</v>
      </c>
      <c r="H475" s="80">
        <f t="shared" si="129"/>
        <v>10233</v>
      </c>
      <c r="I475" s="80"/>
      <c r="J475" s="80">
        <f t="shared" si="128"/>
        <v>9416</v>
      </c>
      <c r="K475" s="80">
        <v>0</v>
      </c>
      <c r="L475" s="80">
        <v>0</v>
      </c>
      <c r="M475" s="81">
        <f t="shared" si="134"/>
        <v>817</v>
      </c>
      <c r="N475" s="81"/>
      <c r="O475" s="81">
        <v>462</v>
      </c>
      <c r="P475" s="81">
        <f t="shared" si="141"/>
        <v>355</v>
      </c>
      <c r="Q475" s="80">
        <f>IFERROR(VLOOKUP(C475,O.B.JUNE!$C$7:$K$448,7,0),0)</f>
        <v>0</v>
      </c>
      <c r="R475" s="80">
        <f>IFERROR(VLOOKUP(C475,O.B.JUNE!$C$7:$J$448,8,0),0)</f>
        <v>0</v>
      </c>
      <c r="S475" s="323">
        <f t="shared" si="130"/>
        <v>9416</v>
      </c>
      <c r="T475" s="324">
        <v>9416</v>
      </c>
      <c r="U475" s="324"/>
      <c r="V475" s="80"/>
      <c r="W475" s="324">
        <v>7916</v>
      </c>
      <c r="X475" s="324"/>
      <c r="Y475" s="324">
        <v>0</v>
      </c>
      <c r="Z475" s="80">
        <v>0</v>
      </c>
      <c r="AA475" s="80">
        <f t="shared" si="131"/>
        <v>9416</v>
      </c>
      <c r="AB475" s="323">
        <f t="shared" si="139"/>
        <v>1500</v>
      </c>
      <c r="AC475" s="80">
        <f t="shared" si="140"/>
        <v>0</v>
      </c>
      <c r="AD475" s="80">
        <f t="shared" si="132"/>
        <v>1500</v>
      </c>
      <c r="AE475" s="80"/>
      <c r="AF475" s="80"/>
      <c r="AG475" s="80"/>
      <c r="AH475" s="326">
        <f t="shared" si="135"/>
        <v>0</v>
      </c>
      <c r="AI475" s="326">
        <f t="shared" si="136"/>
        <v>0</v>
      </c>
      <c r="AJ475" s="326">
        <f t="shared" si="137"/>
        <v>0</v>
      </c>
      <c r="AK475" s="326">
        <f t="shared" si="138"/>
        <v>0</v>
      </c>
      <c r="AL475" s="326"/>
      <c r="AM475" s="326"/>
      <c r="AN475" s="326"/>
      <c r="AO475" s="326"/>
      <c r="AP475" s="326"/>
      <c r="AQ475" s="326"/>
      <c r="AR475" s="327"/>
      <c r="AS475" s="209"/>
      <c r="AT475" s="411"/>
      <c r="AU475" s="411"/>
    </row>
    <row r="476" spans="1:47" s="390" customFormat="1" ht="18.75" customHeight="1">
      <c r="A476" s="167">
        <v>486</v>
      </c>
      <c r="B476" s="79" t="s">
        <v>105</v>
      </c>
      <c r="C476" s="509">
        <v>476239</v>
      </c>
      <c r="D476" s="80">
        <f t="shared" si="133"/>
        <v>3553</v>
      </c>
      <c r="E476" s="80"/>
      <c r="F476" s="80">
        <f>VLOOKUP(C476,'CUTTING ON JUNE'!$A$4:$D$316,3,0)</f>
        <v>3553</v>
      </c>
      <c r="G476" s="80">
        <f>IFERROR(VLOOKUP(C476,O.B.JUNE!$C$7:$E$448,3,0),0)</f>
        <v>0</v>
      </c>
      <c r="H476" s="80">
        <f t="shared" si="129"/>
        <v>3553</v>
      </c>
      <c r="I476" s="80"/>
      <c r="J476" s="80">
        <f t="shared" si="128"/>
        <v>2329</v>
      </c>
      <c r="K476" s="80">
        <v>0</v>
      </c>
      <c r="L476" s="80">
        <v>0</v>
      </c>
      <c r="M476" s="81">
        <f t="shared" si="134"/>
        <v>1224</v>
      </c>
      <c r="N476" s="81"/>
      <c r="O476" s="81">
        <v>176</v>
      </c>
      <c r="P476" s="81">
        <f t="shared" si="141"/>
        <v>1048</v>
      </c>
      <c r="Q476" s="80">
        <f>IFERROR(VLOOKUP(C476,O.B.JUNE!$C$7:$K$448,7,0),0)</f>
        <v>0</v>
      </c>
      <c r="R476" s="80">
        <f>IFERROR(VLOOKUP(C476,O.B.JUNE!$C$7:$J$448,8,0),0)</f>
        <v>0</v>
      </c>
      <c r="S476" s="323">
        <f t="shared" si="130"/>
        <v>2329</v>
      </c>
      <c r="T476" s="324">
        <v>2329</v>
      </c>
      <c r="U476" s="324"/>
      <c r="V476" s="80"/>
      <c r="W476" s="324">
        <v>0</v>
      </c>
      <c r="X476" s="324"/>
      <c r="Y476" s="324">
        <v>0</v>
      </c>
      <c r="Z476" s="80">
        <v>0</v>
      </c>
      <c r="AA476" s="80">
        <f t="shared" si="131"/>
        <v>2329</v>
      </c>
      <c r="AB476" s="323">
        <f t="shared" si="139"/>
        <v>2329</v>
      </c>
      <c r="AC476" s="80">
        <f t="shared" si="140"/>
        <v>0</v>
      </c>
      <c r="AD476" s="80">
        <f t="shared" si="132"/>
        <v>2329</v>
      </c>
      <c r="AE476" s="80"/>
      <c r="AF476" s="80"/>
      <c r="AG476" s="80"/>
      <c r="AH476" s="326">
        <f t="shared" si="135"/>
        <v>0</v>
      </c>
      <c r="AI476" s="326">
        <f t="shared" si="136"/>
        <v>0</v>
      </c>
      <c r="AJ476" s="326">
        <f t="shared" si="137"/>
        <v>0</v>
      </c>
      <c r="AK476" s="326">
        <f t="shared" si="138"/>
        <v>0</v>
      </c>
      <c r="AL476" s="326"/>
      <c r="AM476" s="326"/>
      <c r="AN476" s="326"/>
      <c r="AO476" s="326"/>
      <c r="AP476" s="326"/>
      <c r="AQ476" s="326"/>
      <c r="AR476" s="327"/>
      <c r="AS476" s="209"/>
      <c r="AT476" s="411"/>
      <c r="AU476" s="411"/>
    </row>
    <row r="477" spans="1:47" s="390" customFormat="1" ht="18.75" customHeight="1">
      <c r="A477" s="167">
        <v>487</v>
      </c>
      <c r="B477" s="79" t="s">
        <v>105</v>
      </c>
      <c r="C477" s="509">
        <v>476545</v>
      </c>
      <c r="D477" s="80">
        <f t="shared" si="133"/>
        <v>3534</v>
      </c>
      <c r="E477" s="80"/>
      <c r="F477" s="80">
        <f>VLOOKUP(C477,'CUTTING ON JUNE'!$A$4:$D$316,3,0)</f>
        <v>3534</v>
      </c>
      <c r="G477" s="80">
        <f>IFERROR(VLOOKUP(C477,O.B.JUNE!$C$7:$E$448,3,0),0)</f>
        <v>0</v>
      </c>
      <c r="H477" s="80">
        <f t="shared" si="129"/>
        <v>3534</v>
      </c>
      <c r="I477" s="80"/>
      <c r="J477" s="80">
        <f t="shared" si="128"/>
        <v>0</v>
      </c>
      <c r="K477" s="80">
        <v>0</v>
      </c>
      <c r="L477" s="80">
        <v>0</v>
      </c>
      <c r="M477" s="81">
        <f t="shared" si="134"/>
        <v>3534</v>
      </c>
      <c r="N477" s="81">
        <v>3534</v>
      </c>
      <c r="O477" s="81"/>
      <c r="P477" s="81">
        <f t="shared" si="141"/>
        <v>0</v>
      </c>
      <c r="Q477" s="80">
        <f>IFERROR(VLOOKUP(C477,O.B.JUNE!$C$7:$K$448,7,0),0)</f>
        <v>0</v>
      </c>
      <c r="R477" s="80">
        <f>IFERROR(VLOOKUP(C477,O.B.JUNE!$C$7:$J$448,8,0),0)</f>
        <v>0</v>
      </c>
      <c r="S477" s="323">
        <f t="shared" si="130"/>
        <v>0</v>
      </c>
      <c r="T477" s="324">
        <v>0</v>
      </c>
      <c r="U477" s="324"/>
      <c r="V477" s="80"/>
      <c r="W477" s="324">
        <v>0</v>
      </c>
      <c r="X477" s="324"/>
      <c r="Y477" s="324">
        <v>0</v>
      </c>
      <c r="Z477" s="80">
        <v>0</v>
      </c>
      <c r="AA477" s="80">
        <f t="shared" si="131"/>
        <v>0</v>
      </c>
      <c r="AB477" s="323">
        <f t="shared" si="139"/>
        <v>0</v>
      </c>
      <c r="AC477" s="80">
        <f t="shared" si="140"/>
        <v>0</v>
      </c>
      <c r="AD477" s="80">
        <f t="shared" si="132"/>
        <v>0</v>
      </c>
      <c r="AE477" s="80"/>
      <c r="AF477" s="80"/>
      <c r="AG477" s="80"/>
      <c r="AH477" s="326">
        <f t="shared" si="135"/>
        <v>0</v>
      </c>
      <c r="AI477" s="326">
        <f t="shared" si="136"/>
        <v>0</v>
      </c>
      <c r="AJ477" s="326">
        <f t="shared" si="137"/>
        <v>0</v>
      </c>
      <c r="AK477" s="326">
        <f t="shared" si="138"/>
        <v>0</v>
      </c>
      <c r="AL477" s="326"/>
      <c r="AM477" s="326"/>
      <c r="AN477" s="326"/>
      <c r="AO477" s="326"/>
      <c r="AP477" s="326"/>
      <c r="AQ477" s="326"/>
      <c r="AR477" s="327">
        <f>VLOOKUP(C477,'[1]DA HET SAN XUAT'!$D$8:$AJ$419,33,0)</f>
        <v>0</v>
      </c>
      <c r="AS477" s="209"/>
      <c r="AT477" s="411"/>
      <c r="AU477" s="411"/>
    </row>
    <row r="478" spans="1:47" s="390" customFormat="1" ht="18.75" customHeight="1">
      <c r="A478" s="167">
        <v>488</v>
      </c>
      <c r="B478" s="79" t="s">
        <v>105</v>
      </c>
      <c r="C478" s="509">
        <v>477891</v>
      </c>
      <c r="D478" s="80">
        <f t="shared" si="133"/>
        <v>502</v>
      </c>
      <c r="E478" s="80"/>
      <c r="F478" s="80">
        <f>VLOOKUP(C478,'CUTTING ON JUNE'!$A$4:$D$316,3,0)</f>
        <v>502</v>
      </c>
      <c r="G478" s="80">
        <f>IFERROR(VLOOKUP(C478,O.B.JUNE!$C$7:$E$448,3,0),0)</f>
        <v>0</v>
      </c>
      <c r="H478" s="80">
        <f t="shared" si="129"/>
        <v>502</v>
      </c>
      <c r="I478" s="80"/>
      <c r="J478" s="80">
        <f t="shared" si="128"/>
        <v>0</v>
      </c>
      <c r="K478" s="80">
        <v>0</v>
      </c>
      <c r="L478" s="80">
        <v>0</v>
      </c>
      <c r="M478" s="81">
        <f t="shared" si="134"/>
        <v>502</v>
      </c>
      <c r="N478" s="81">
        <v>379</v>
      </c>
      <c r="O478" s="81">
        <v>123</v>
      </c>
      <c r="P478" s="81">
        <f t="shared" si="141"/>
        <v>0</v>
      </c>
      <c r="Q478" s="80">
        <f>IFERROR(VLOOKUP(C478,O.B.JUNE!$C$7:$K$448,7,0),0)</f>
        <v>0</v>
      </c>
      <c r="R478" s="80">
        <f>IFERROR(VLOOKUP(C478,O.B.JUNE!$C$7:$J$448,8,0),0)</f>
        <v>0</v>
      </c>
      <c r="S478" s="323">
        <f t="shared" si="130"/>
        <v>0</v>
      </c>
      <c r="T478" s="324">
        <v>0</v>
      </c>
      <c r="U478" s="324"/>
      <c r="V478" s="80"/>
      <c r="W478" s="324">
        <v>0</v>
      </c>
      <c r="X478" s="324"/>
      <c r="Y478" s="324">
        <v>0</v>
      </c>
      <c r="Z478" s="80">
        <v>0</v>
      </c>
      <c r="AA478" s="80">
        <f t="shared" si="131"/>
        <v>0</v>
      </c>
      <c r="AB478" s="323">
        <f t="shared" si="139"/>
        <v>0</v>
      </c>
      <c r="AC478" s="80">
        <f t="shared" si="140"/>
        <v>0</v>
      </c>
      <c r="AD478" s="80">
        <f t="shared" si="132"/>
        <v>0</v>
      </c>
      <c r="AE478" s="80"/>
      <c r="AF478" s="80"/>
      <c r="AG478" s="80"/>
      <c r="AH478" s="326">
        <f t="shared" si="135"/>
        <v>0</v>
      </c>
      <c r="AI478" s="326">
        <f t="shared" si="136"/>
        <v>0</v>
      </c>
      <c r="AJ478" s="326">
        <f t="shared" si="137"/>
        <v>0</v>
      </c>
      <c r="AK478" s="326">
        <f t="shared" si="138"/>
        <v>0</v>
      </c>
      <c r="AL478" s="326"/>
      <c r="AM478" s="326"/>
      <c r="AN478" s="326"/>
      <c r="AO478" s="326"/>
      <c r="AP478" s="326"/>
      <c r="AQ478" s="326"/>
      <c r="AR478" s="327">
        <f>VLOOKUP(C478,'[1]DA HET SAN XUAT'!$D$8:$AJ$419,33,0)</f>
        <v>0</v>
      </c>
      <c r="AS478" s="209"/>
      <c r="AT478" s="411"/>
      <c r="AU478" s="411"/>
    </row>
    <row r="479" spans="1:47" s="390" customFormat="1" ht="18.75" customHeight="1">
      <c r="A479" s="167">
        <v>489</v>
      </c>
      <c r="B479" s="79" t="s">
        <v>161</v>
      </c>
      <c r="C479" s="509" t="s">
        <v>650</v>
      </c>
      <c r="D479" s="80">
        <f t="shared" si="133"/>
        <v>7198</v>
      </c>
      <c r="E479" s="80"/>
      <c r="F479" s="80">
        <f>VLOOKUP(C479,'CUTTING ON JUNE'!$A$4:$D$316,3,0)</f>
        <v>7198</v>
      </c>
      <c r="G479" s="80">
        <f>IFERROR(VLOOKUP(C479,O.B.JUNE!$C$7:$E$448,3,0),0)</f>
        <v>0</v>
      </c>
      <c r="H479" s="80">
        <f t="shared" si="129"/>
        <v>7198</v>
      </c>
      <c r="I479" s="80"/>
      <c r="J479" s="80">
        <f t="shared" si="128"/>
        <v>6817</v>
      </c>
      <c r="K479" s="80">
        <v>0</v>
      </c>
      <c r="L479" s="80">
        <v>0</v>
      </c>
      <c r="M479" s="81">
        <f t="shared" si="134"/>
        <v>381</v>
      </c>
      <c r="N479" s="81">
        <v>55</v>
      </c>
      <c r="O479" s="81">
        <v>160</v>
      </c>
      <c r="P479" s="81">
        <f t="shared" si="141"/>
        <v>166</v>
      </c>
      <c r="Q479" s="80">
        <f>IFERROR(VLOOKUP(C479,O.B.JUNE!$C$7:$K$448,7,0),0)</f>
        <v>0</v>
      </c>
      <c r="R479" s="80">
        <f>IFERROR(VLOOKUP(C479,O.B.JUNE!$C$7:$J$448,8,0),0)</f>
        <v>0</v>
      </c>
      <c r="S479" s="323">
        <f t="shared" si="130"/>
        <v>6817</v>
      </c>
      <c r="T479" s="324">
        <v>6817</v>
      </c>
      <c r="U479" s="324"/>
      <c r="V479" s="80"/>
      <c r="W479" s="324">
        <v>0</v>
      </c>
      <c r="X479" s="324"/>
      <c r="Y479" s="324">
        <v>0</v>
      </c>
      <c r="Z479" s="80">
        <v>0</v>
      </c>
      <c r="AA479" s="80">
        <f t="shared" si="131"/>
        <v>6817</v>
      </c>
      <c r="AB479" s="323">
        <f t="shared" si="139"/>
        <v>6817</v>
      </c>
      <c r="AC479" s="80">
        <f t="shared" si="140"/>
        <v>0</v>
      </c>
      <c r="AD479" s="80">
        <f t="shared" si="132"/>
        <v>6817</v>
      </c>
      <c r="AE479" s="80"/>
      <c r="AF479" s="80"/>
      <c r="AG479" s="80"/>
      <c r="AH479" s="326">
        <f t="shared" si="135"/>
        <v>0</v>
      </c>
      <c r="AI479" s="326">
        <f t="shared" si="136"/>
        <v>0</v>
      </c>
      <c r="AJ479" s="326">
        <f t="shared" si="137"/>
        <v>0</v>
      </c>
      <c r="AK479" s="326">
        <f t="shared" si="138"/>
        <v>0</v>
      </c>
      <c r="AL479" s="326"/>
      <c r="AM479" s="326"/>
      <c r="AN479" s="326"/>
      <c r="AO479" s="326"/>
      <c r="AP479" s="326"/>
      <c r="AQ479" s="326"/>
      <c r="AR479" s="327"/>
      <c r="AS479" s="209"/>
      <c r="AT479" s="411"/>
      <c r="AU479" s="411"/>
    </row>
    <row r="480" spans="1:47" s="390" customFormat="1" ht="18.75" customHeight="1">
      <c r="A480" s="167">
        <v>490</v>
      </c>
      <c r="B480" s="79" t="s">
        <v>161</v>
      </c>
      <c r="C480" s="509" t="s">
        <v>640</v>
      </c>
      <c r="D480" s="80">
        <f t="shared" si="133"/>
        <v>1576</v>
      </c>
      <c r="E480" s="80"/>
      <c r="F480" s="80">
        <f>VLOOKUP(C480,'CUTTING ON JUNE'!$A$4:$D$316,3,0)</f>
        <v>1576</v>
      </c>
      <c r="G480" s="80">
        <f>IFERROR(VLOOKUP(C480,O.B.JUNE!$C$7:$E$448,3,0),0)</f>
        <v>0</v>
      </c>
      <c r="H480" s="80">
        <f t="shared" si="129"/>
        <v>1576</v>
      </c>
      <c r="I480" s="80"/>
      <c r="J480" s="80">
        <f t="shared" si="128"/>
        <v>1331</v>
      </c>
      <c r="K480" s="80">
        <v>0</v>
      </c>
      <c r="L480" s="80">
        <v>0</v>
      </c>
      <c r="M480" s="81">
        <f t="shared" si="134"/>
        <v>245</v>
      </c>
      <c r="N480" s="81"/>
      <c r="O480" s="81"/>
      <c r="P480" s="81">
        <f t="shared" si="141"/>
        <v>245</v>
      </c>
      <c r="Q480" s="80">
        <f>IFERROR(VLOOKUP(C480,O.B.JUNE!$C$7:$K$448,7,0),0)</f>
        <v>0</v>
      </c>
      <c r="R480" s="80">
        <f>IFERROR(VLOOKUP(C480,O.B.JUNE!$C$7:$J$448,8,0),0)</f>
        <v>0</v>
      </c>
      <c r="S480" s="323">
        <f t="shared" si="130"/>
        <v>1331</v>
      </c>
      <c r="T480" s="324">
        <v>1331</v>
      </c>
      <c r="U480" s="324"/>
      <c r="V480" s="80"/>
      <c r="W480" s="324">
        <v>0</v>
      </c>
      <c r="X480" s="324"/>
      <c r="Y480" s="324">
        <v>0</v>
      </c>
      <c r="Z480" s="80">
        <v>0</v>
      </c>
      <c r="AA480" s="80">
        <f t="shared" si="131"/>
        <v>1331</v>
      </c>
      <c r="AB480" s="323">
        <f t="shared" si="139"/>
        <v>1331</v>
      </c>
      <c r="AC480" s="80">
        <f t="shared" si="140"/>
        <v>0</v>
      </c>
      <c r="AD480" s="80">
        <f t="shared" si="132"/>
        <v>1331</v>
      </c>
      <c r="AE480" s="80"/>
      <c r="AF480" s="80"/>
      <c r="AG480" s="80"/>
      <c r="AH480" s="326">
        <f t="shared" si="135"/>
        <v>0</v>
      </c>
      <c r="AI480" s="326">
        <f t="shared" si="136"/>
        <v>0</v>
      </c>
      <c r="AJ480" s="326">
        <f t="shared" si="137"/>
        <v>0</v>
      </c>
      <c r="AK480" s="326">
        <f t="shared" si="138"/>
        <v>0</v>
      </c>
      <c r="AL480" s="326"/>
      <c r="AM480" s="326"/>
      <c r="AN480" s="326"/>
      <c r="AO480" s="326"/>
      <c r="AP480" s="326"/>
      <c r="AQ480" s="326"/>
      <c r="AR480" s="327"/>
      <c r="AS480" s="209"/>
      <c r="AT480" s="411"/>
      <c r="AU480" s="411"/>
    </row>
    <row r="481" spans="1:47" s="390" customFormat="1" ht="18.75" customHeight="1">
      <c r="A481" s="167">
        <v>491</v>
      </c>
      <c r="B481" s="79" t="s">
        <v>613</v>
      </c>
      <c r="C481" s="509">
        <v>100035724</v>
      </c>
      <c r="D481" s="80">
        <f t="shared" si="133"/>
        <v>1992</v>
      </c>
      <c r="E481" s="80"/>
      <c r="F481" s="80">
        <f>VLOOKUP(C481,'CUTTING ON JUNE'!$A$4:$D$316,3,0)</f>
        <v>1992</v>
      </c>
      <c r="G481" s="80">
        <f>IFERROR(VLOOKUP(C481,O.B.JUNE!$C$7:$E$448,3,0),0)</f>
        <v>0</v>
      </c>
      <c r="H481" s="80">
        <f t="shared" si="129"/>
        <v>1992</v>
      </c>
      <c r="I481" s="80"/>
      <c r="J481" s="80">
        <f t="shared" si="128"/>
        <v>0</v>
      </c>
      <c r="K481" s="80">
        <v>0</v>
      </c>
      <c r="L481" s="80">
        <v>0</v>
      </c>
      <c r="M481" s="81">
        <f t="shared" si="134"/>
        <v>1992</v>
      </c>
      <c r="N481" s="81">
        <v>504</v>
      </c>
      <c r="O481" s="81">
        <v>88</v>
      </c>
      <c r="P481" s="81">
        <f t="shared" si="141"/>
        <v>1400</v>
      </c>
      <c r="Q481" s="80">
        <f>IFERROR(VLOOKUP(C481,O.B.JUNE!$C$7:$K$448,7,0),0)</f>
        <v>0</v>
      </c>
      <c r="R481" s="80">
        <f>IFERROR(VLOOKUP(C481,O.B.JUNE!$C$7:$J$448,8,0),0)</f>
        <v>0</v>
      </c>
      <c r="S481" s="323">
        <f t="shared" si="130"/>
        <v>0</v>
      </c>
      <c r="T481" s="324">
        <v>0</v>
      </c>
      <c r="U481" s="324"/>
      <c r="V481" s="80"/>
      <c r="W481" s="324">
        <v>0</v>
      </c>
      <c r="X481" s="324"/>
      <c r="Y481" s="324">
        <v>0</v>
      </c>
      <c r="Z481" s="80">
        <v>0</v>
      </c>
      <c r="AA481" s="80">
        <f t="shared" si="131"/>
        <v>0</v>
      </c>
      <c r="AB481" s="323">
        <f t="shared" si="139"/>
        <v>0</v>
      </c>
      <c r="AC481" s="80">
        <f t="shared" si="140"/>
        <v>0</v>
      </c>
      <c r="AD481" s="80">
        <f t="shared" si="132"/>
        <v>0</v>
      </c>
      <c r="AE481" s="80"/>
      <c r="AF481" s="80"/>
      <c r="AG481" s="80"/>
      <c r="AH481" s="326">
        <f t="shared" si="135"/>
        <v>0</v>
      </c>
      <c r="AI481" s="326">
        <f t="shared" si="136"/>
        <v>0</v>
      </c>
      <c r="AJ481" s="326">
        <f t="shared" si="137"/>
        <v>0</v>
      </c>
      <c r="AK481" s="326">
        <f t="shared" si="138"/>
        <v>0</v>
      </c>
      <c r="AL481" s="326"/>
      <c r="AM481" s="326"/>
      <c r="AN481" s="326"/>
      <c r="AO481" s="326"/>
      <c r="AP481" s="326"/>
      <c r="AQ481" s="326"/>
      <c r="AR481" s="327">
        <f>VLOOKUP(C481,'[1]DA HET SAN XUAT'!$D$8:$AJ$419,33,0)</f>
        <v>0</v>
      </c>
      <c r="AS481" s="209"/>
      <c r="AT481" s="411"/>
      <c r="AU481" s="411"/>
    </row>
    <row r="482" spans="1:47" s="390" customFormat="1" ht="18.75" customHeight="1">
      <c r="A482" s="167">
        <v>492</v>
      </c>
      <c r="B482" s="79" t="s">
        <v>615</v>
      </c>
      <c r="C482" s="509" t="s">
        <v>651</v>
      </c>
      <c r="D482" s="80">
        <f t="shared" si="133"/>
        <v>6598</v>
      </c>
      <c r="E482" s="80"/>
      <c r="F482" s="80">
        <f>VLOOKUP(C482,'CUTTING ON JUNE'!$A$4:$D$316,3,0)</f>
        <v>6598</v>
      </c>
      <c r="G482" s="80">
        <f>IFERROR(VLOOKUP(C482,O.B.JUNE!$C$7:$E$448,3,0),0)</f>
        <v>0</v>
      </c>
      <c r="H482" s="80">
        <f t="shared" si="129"/>
        <v>6598</v>
      </c>
      <c r="I482" s="80"/>
      <c r="J482" s="80">
        <f t="shared" si="128"/>
        <v>6318</v>
      </c>
      <c r="K482" s="80">
        <v>0</v>
      </c>
      <c r="L482" s="80">
        <v>0</v>
      </c>
      <c r="M482" s="81">
        <f t="shared" si="134"/>
        <v>280</v>
      </c>
      <c r="N482" s="81"/>
      <c r="O482" s="81">
        <v>61</v>
      </c>
      <c r="P482" s="81">
        <f t="shared" si="141"/>
        <v>219</v>
      </c>
      <c r="Q482" s="80">
        <f>IFERROR(VLOOKUP(C482,O.B.JUNE!$C$7:$K$448,7,0),0)</f>
        <v>0</v>
      </c>
      <c r="R482" s="80">
        <f>IFERROR(VLOOKUP(C482,O.B.JUNE!$C$7:$J$448,8,0),0)</f>
        <v>0</v>
      </c>
      <c r="S482" s="323">
        <f t="shared" si="130"/>
        <v>6318</v>
      </c>
      <c r="T482" s="324">
        <v>6318</v>
      </c>
      <c r="U482" s="324"/>
      <c r="V482" s="80"/>
      <c r="W482" s="324">
        <v>4972</v>
      </c>
      <c r="X482" s="324"/>
      <c r="Y482" s="324">
        <v>1</v>
      </c>
      <c r="Z482" s="80">
        <v>0</v>
      </c>
      <c r="AA482" s="80">
        <f t="shared" si="131"/>
        <v>6318</v>
      </c>
      <c r="AB482" s="323">
        <f t="shared" si="139"/>
        <v>1345</v>
      </c>
      <c r="AC482" s="80">
        <f t="shared" si="140"/>
        <v>0</v>
      </c>
      <c r="AD482" s="80">
        <f t="shared" si="132"/>
        <v>1345</v>
      </c>
      <c r="AE482" s="80"/>
      <c r="AF482" s="80"/>
      <c r="AG482" s="80"/>
      <c r="AH482" s="326">
        <f t="shared" si="135"/>
        <v>0</v>
      </c>
      <c r="AI482" s="326">
        <f t="shared" si="136"/>
        <v>0</v>
      </c>
      <c r="AJ482" s="326">
        <f t="shared" si="137"/>
        <v>0</v>
      </c>
      <c r="AK482" s="326">
        <f t="shared" si="138"/>
        <v>0</v>
      </c>
      <c r="AL482" s="326"/>
      <c r="AM482" s="326"/>
      <c r="AN482" s="326"/>
      <c r="AO482" s="326"/>
      <c r="AP482" s="326"/>
      <c r="AQ482" s="326"/>
      <c r="AR482" s="327"/>
      <c r="AS482" s="209"/>
      <c r="AT482" s="411"/>
      <c r="AU482" s="411"/>
    </row>
    <row r="483" spans="1:47" s="390" customFormat="1" ht="18.75" customHeight="1">
      <c r="A483" s="167">
        <v>493</v>
      </c>
      <c r="B483" s="79" t="s">
        <v>615</v>
      </c>
      <c r="C483" s="509" t="s">
        <v>652</v>
      </c>
      <c r="D483" s="80">
        <f t="shared" si="133"/>
        <v>1000</v>
      </c>
      <c r="E483" s="80"/>
      <c r="F483" s="80">
        <f>VLOOKUP(C483,'CUTTING ON JUNE'!$A$4:$D$316,3,0)</f>
        <v>1000</v>
      </c>
      <c r="G483" s="80">
        <f>IFERROR(VLOOKUP(C483,O.B.JUNE!$C$7:$E$448,3,0),0)</f>
        <v>0</v>
      </c>
      <c r="H483" s="80">
        <f t="shared" si="129"/>
        <v>1000</v>
      </c>
      <c r="I483" s="80"/>
      <c r="J483" s="80">
        <f t="shared" si="128"/>
        <v>825</v>
      </c>
      <c r="K483" s="80">
        <v>0</v>
      </c>
      <c r="L483" s="80">
        <v>0</v>
      </c>
      <c r="M483" s="81">
        <f t="shared" si="134"/>
        <v>175</v>
      </c>
      <c r="N483" s="81"/>
      <c r="O483" s="81">
        <v>39</v>
      </c>
      <c r="P483" s="81">
        <f t="shared" si="141"/>
        <v>136</v>
      </c>
      <c r="Q483" s="80">
        <f>IFERROR(VLOOKUP(C483,O.B.JUNE!$C$7:$K$448,7,0),0)</f>
        <v>0</v>
      </c>
      <c r="R483" s="80">
        <f>IFERROR(VLOOKUP(C483,O.B.JUNE!$C$7:$J$448,8,0),0)</f>
        <v>0</v>
      </c>
      <c r="S483" s="323">
        <f t="shared" si="130"/>
        <v>825</v>
      </c>
      <c r="T483" s="324">
        <v>825</v>
      </c>
      <c r="U483" s="324"/>
      <c r="V483" s="80"/>
      <c r="W483" s="324">
        <v>804</v>
      </c>
      <c r="X483" s="324"/>
      <c r="Y483" s="324">
        <v>21</v>
      </c>
      <c r="Z483" s="80">
        <v>0</v>
      </c>
      <c r="AA483" s="80">
        <f t="shared" si="131"/>
        <v>825</v>
      </c>
      <c r="AB483" s="323">
        <f t="shared" si="139"/>
        <v>0</v>
      </c>
      <c r="AC483" s="80">
        <f t="shared" si="140"/>
        <v>0</v>
      </c>
      <c r="AD483" s="80">
        <f t="shared" si="132"/>
        <v>0</v>
      </c>
      <c r="AE483" s="80"/>
      <c r="AF483" s="80"/>
      <c r="AG483" s="80"/>
      <c r="AH483" s="326">
        <f t="shared" si="135"/>
        <v>0</v>
      </c>
      <c r="AI483" s="326">
        <f t="shared" si="136"/>
        <v>0</v>
      </c>
      <c r="AJ483" s="326">
        <f t="shared" si="137"/>
        <v>0</v>
      </c>
      <c r="AK483" s="326">
        <f t="shared" si="138"/>
        <v>0</v>
      </c>
      <c r="AL483" s="326"/>
      <c r="AM483" s="326"/>
      <c r="AN483" s="326"/>
      <c r="AO483" s="326"/>
      <c r="AP483" s="326"/>
      <c r="AQ483" s="326"/>
      <c r="AR483" s="327"/>
      <c r="AS483" s="209"/>
      <c r="AT483" s="411"/>
      <c r="AU483" s="411"/>
    </row>
    <row r="484" spans="1:47" s="390" customFormat="1" ht="18.75" customHeight="1">
      <c r="A484" s="167">
        <v>494</v>
      </c>
      <c r="B484" s="79" t="s">
        <v>106</v>
      </c>
      <c r="C484" s="509" t="s">
        <v>641</v>
      </c>
      <c r="D484" s="80">
        <f t="shared" si="133"/>
        <v>5962</v>
      </c>
      <c r="E484" s="80"/>
      <c r="F484" s="80">
        <f>VLOOKUP(C484,'CUTTING ON JUNE'!$A$4:$D$316,3,0)</f>
        <v>5962</v>
      </c>
      <c r="G484" s="80">
        <f>IFERROR(VLOOKUP(C484,O.B.JUNE!$C$7:$E$448,3,0),0)</f>
        <v>0</v>
      </c>
      <c r="H484" s="80">
        <f t="shared" si="129"/>
        <v>5962</v>
      </c>
      <c r="I484" s="80"/>
      <c r="J484" s="80">
        <f t="shared" si="128"/>
        <v>2600</v>
      </c>
      <c r="K484" s="80">
        <v>0</v>
      </c>
      <c r="L484" s="80">
        <v>0</v>
      </c>
      <c r="M484" s="81">
        <f t="shared" si="134"/>
        <v>3362</v>
      </c>
      <c r="N484" s="81">
        <v>1290</v>
      </c>
      <c r="O484" s="81">
        <v>448</v>
      </c>
      <c r="P484" s="81">
        <f t="shared" si="141"/>
        <v>1624</v>
      </c>
      <c r="Q484" s="80">
        <f>IFERROR(VLOOKUP(C484,O.B.JUNE!$C$7:$K$448,7,0),0)</f>
        <v>0</v>
      </c>
      <c r="R484" s="80">
        <f>IFERROR(VLOOKUP(C484,O.B.JUNE!$C$7:$J$448,8,0),0)</f>
        <v>0</v>
      </c>
      <c r="S484" s="323">
        <f t="shared" si="130"/>
        <v>2600</v>
      </c>
      <c r="T484" s="324">
        <v>2600</v>
      </c>
      <c r="U484" s="324"/>
      <c r="V484" s="80"/>
      <c r="W484" s="324">
        <v>0</v>
      </c>
      <c r="X484" s="324"/>
      <c r="Y484" s="324">
        <v>0</v>
      </c>
      <c r="Z484" s="80">
        <v>0</v>
      </c>
      <c r="AA484" s="80">
        <f t="shared" si="131"/>
        <v>2600</v>
      </c>
      <c r="AB484" s="323">
        <f t="shared" si="139"/>
        <v>2600</v>
      </c>
      <c r="AC484" s="80">
        <f t="shared" si="140"/>
        <v>0</v>
      </c>
      <c r="AD484" s="80">
        <f t="shared" si="132"/>
        <v>2600</v>
      </c>
      <c r="AE484" s="80"/>
      <c r="AF484" s="80"/>
      <c r="AG484" s="80"/>
      <c r="AH484" s="326">
        <f t="shared" si="135"/>
        <v>0</v>
      </c>
      <c r="AI484" s="326">
        <f t="shared" si="136"/>
        <v>0</v>
      </c>
      <c r="AJ484" s="326">
        <f t="shared" si="137"/>
        <v>0</v>
      </c>
      <c r="AK484" s="326">
        <f t="shared" si="138"/>
        <v>0</v>
      </c>
      <c r="AL484" s="326"/>
      <c r="AM484" s="326"/>
      <c r="AN484" s="326"/>
      <c r="AO484" s="326"/>
      <c r="AP484" s="326"/>
      <c r="AQ484" s="326"/>
      <c r="AR484" s="327"/>
      <c r="AS484" s="209"/>
      <c r="AT484" s="411"/>
      <c r="AU484" s="411"/>
    </row>
    <row r="485" spans="1:47" s="390" customFormat="1" ht="18.75" customHeight="1">
      <c r="A485" s="167">
        <v>495</v>
      </c>
      <c r="B485" s="79" t="s">
        <v>106</v>
      </c>
      <c r="C485" s="509" t="s">
        <v>642</v>
      </c>
      <c r="D485" s="80">
        <f t="shared" si="133"/>
        <v>2676</v>
      </c>
      <c r="E485" s="80"/>
      <c r="F485" s="80">
        <f>VLOOKUP(C485,'CUTTING ON JUNE'!$A$4:$D$316,3,0)</f>
        <v>2676</v>
      </c>
      <c r="G485" s="80">
        <f>IFERROR(VLOOKUP(C485,O.B.JUNE!$C$7:$E$448,3,0),0)</f>
        <v>0</v>
      </c>
      <c r="H485" s="80">
        <f t="shared" si="129"/>
        <v>2676</v>
      </c>
      <c r="I485" s="80"/>
      <c r="J485" s="80">
        <f t="shared" si="128"/>
        <v>0</v>
      </c>
      <c r="K485" s="80">
        <v>0</v>
      </c>
      <c r="L485" s="80">
        <v>0</v>
      </c>
      <c r="M485" s="81">
        <f t="shared" si="134"/>
        <v>2676</v>
      </c>
      <c r="N485" s="81">
        <v>332</v>
      </c>
      <c r="O485" s="81">
        <v>2068</v>
      </c>
      <c r="P485" s="81">
        <f t="shared" si="141"/>
        <v>276</v>
      </c>
      <c r="Q485" s="80">
        <f>IFERROR(VLOOKUP(C485,O.B.JUNE!$C$7:$K$448,7,0),0)</f>
        <v>0</v>
      </c>
      <c r="R485" s="80">
        <f>IFERROR(VLOOKUP(C485,O.B.JUNE!$C$7:$J$448,8,0),0)</f>
        <v>0</v>
      </c>
      <c r="S485" s="323">
        <f t="shared" si="130"/>
        <v>0</v>
      </c>
      <c r="T485" s="324">
        <v>0</v>
      </c>
      <c r="U485" s="324"/>
      <c r="V485" s="80"/>
      <c r="W485" s="324">
        <v>0</v>
      </c>
      <c r="X485" s="324"/>
      <c r="Y485" s="324">
        <v>0</v>
      </c>
      <c r="Z485" s="80">
        <v>0</v>
      </c>
      <c r="AA485" s="80">
        <f t="shared" si="131"/>
        <v>0</v>
      </c>
      <c r="AB485" s="323">
        <f t="shared" si="139"/>
        <v>0</v>
      </c>
      <c r="AC485" s="80">
        <f t="shared" si="140"/>
        <v>0</v>
      </c>
      <c r="AD485" s="80">
        <f t="shared" si="132"/>
        <v>0</v>
      </c>
      <c r="AE485" s="80"/>
      <c r="AF485" s="80"/>
      <c r="AG485" s="80"/>
      <c r="AH485" s="326">
        <f t="shared" si="135"/>
        <v>0</v>
      </c>
      <c r="AI485" s="326">
        <f t="shared" si="136"/>
        <v>0</v>
      </c>
      <c r="AJ485" s="326">
        <f t="shared" si="137"/>
        <v>0</v>
      </c>
      <c r="AK485" s="326">
        <f t="shared" si="138"/>
        <v>0</v>
      </c>
      <c r="AL485" s="326"/>
      <c r="AM485" s="326"/>
      <c r="AN485" s="326"/>
      <c r="AO485" s="326"/>
      <c r="AP485" s="326"/>
      <c r="AQ485" s="326"/>
      <c r="AR485" s="327">
        <f>VLOOKUP(C485,'[1]DA HET SAN XUAT'!$D$8:$AJ$419,33,0)</f>
        <v>0</v>
      </c>
      <c r="AS485" s="209"/>
      <c r="AT485" s="411"/>
      <c r="AU485" s="411"/>
    </row>
    <row r="486" spans="1:47" s="390" customFormat="1" ht="18.75" customHeight="1">
      <c r="A486" s="167">
        <v>496</v>
      </c>
      <c r="B486" s="79" t="s">
        <v>106</v>
      </c>
      <c r="C486" s="509" t="s">
        <v>643</v>
      </c>
      <c r="D486" s="80">
        <f t="shared" si="133"/>
        <v>1489</v>
      </c>
      <c r="E486" s="80"/>
      <c r="F486" s="80">
        <f>VLOOKUP(C486,'CUTTING ON JUNE'!$A$4:$D$316,3,0)</f>
        <v>1489</v>
      </c>
      <c r="G486" s="80">
        <f>IFERROR(VLOOKUP(C486,O.B.JUNE!$C$7:$E$448,3,0),0)</f>
        <v>0</v>
      </c>
      <c r="H486" s="80">
        <f t="shared" si="129"/>
        <v>1489</v>
      </c>
      <c r="I486" s="80"/>
      <c r="J486" s="80">
        <f t="shared" si="128"/>
        <v>1379</v>
      </c>
      <c r="K486" s="80">
        <v>0</v>
      </c>
      <c r="L486" s="80">
        <v>0</v>
      </c>
      <c r="M486" s="81">
        <f t="shared" si="134"/>
        <v>110</v>
      </c>
      <c r="N486" s="81"/>
      <c r="O486" s="81">
        <v>25</v>
      </c>
      <c r="P486" s="81">
        <f t="shared" si="141"/>
        <v>85</v>
      </c>
      <c r="Q486" s="80">
        <f>IFERROR(VLOOKUP(C486,O.B.JUNE!$C$7:$K$448,7,0),0)</f>
        <v>0</v>
      </c>
      <c r="R486" s="80">
        <f>IFERROR(VLOOKUP(C486,O.B.JUNE!$C$7:$J$448,8,0),0)</f>
        <v>0</v>
      </c>
      <c r="S486" s="323">
        <f t="shared" si="130"/>
        <v>1379</v>
      </c>
      <c r="T486" s="324">
        <v>1379</v>
      </c>
      <c r="U486" s="324"/>
      <c r="V486" s="80"/>
      <c r="W486" s="324">
        <v>0</v>
      </c>
      <c r="X486" s="324"/>
      <c r="Y486" s="324">
        <v>0</v>
      </c>
      <c r="Z486" s="80">
        <v>0</v>
      </c>
      <c r="AA486" s="80">
        <f t="shared" si="131"/>
        <v>1379</v>
      </c>
      <c r="AB486" s="323">
        <f t="shared" si="139"/>
        <v>1379</v>
      </c>
      <c r="AC486" s="80">
        <f t="shared" si="140"/>
        <v>0</v>
      </c>
      <c r="AD486" s="80">
        <f t="shared" si="132"/>
        <v>1379</v>
      </c>
      <c r="AE486" s="80"/>
      <c r="AF486" s="80"/>
      <c r="AG486" s="80"/>
      <c r="AH486" s="326">
        <f t="shared" si="135"/>
        <v>0</v>
      </c>
      <c r="AI486" s="326">
        <f t="shared" si="136"/>
        <v>0</v>
      </c>
      <c r="AJ486" s="326">
        <f t="shared" si="137"/>
        <v>0</v>
      </c>
      <c r="AK486" s="326">
        <f t="shared" si="138"/>
        <v>0</v>
      </c>
      <c r="AL486" s="326"/>
      <c r="AM486" s="326"/>
      <c r="AN486" s="326"/>
      <c r="AO486" s="326"/>
      <c r="AP486" s="326"/>
      <c r="AQ486" s="326"/>
      <c r="AR486" s="327"/>
      <c r="AS486" s="209"/>
      <c r="AT486" s="411"/>
      <c r="AU486" s="411"/>
    </row>
    <row r="487" spans="1:47" s="390" customFormat="1" ht="18.75" customHeight="1">
      <c r="A487" s="167">
        <v>497</v>
      </c>
      <c r="B487" s="79" t="s">
        <v>106</v>
      </c>
      <c r="C487" s="509" t="s">
        <v>644</v>
      </c>
      <c r="D487" s="80">
        <f t="shared" si="133"/>
        <v>6385</v>
      </c>
      <c r="E487" s="80"/>
      <c r="F487" s="80">
        <f>VLOOKUP(C487,'CUTTING ON JUNE'!$A$4:$D$316,3,0)</f>
        <v>6385</v>
      </c>
      <c r="G487" s="80">
        <f>IFERROR(VLOOKUP(C487,O.B.JUNE!$C$7:$E$448,3,0),0)</f>
        <v>0</v>
      </c>
      <c r="H487" s="80">
        <f t="shared" si="129"/>
        <v>6385</v>
      </c>
      <c r="I487" s="80"/>
      <c r="J487" s="80">
        <f t="shared" si="128"/>
        <v>2793</v>
      </c>
      <c r="K487" s="80">
        <v>0</v>
      </c>
      <c r="L487" s="80">
        <v>0</v>
      </c>
      <c r="M487" s="81">
        <f>ROUND(IF(ISERROR(F487-S487-K487-L487-R487),0,(F487-S487-K487-L487+Q487+R487+G487-E487)),0)</f>
        <v>3592</v>
      </c>
      <c r="N487" s="81">
        <v>296</v>
      </c>
      <c r="O487" s="81">
        <v>1157</v>
      </c>
      <c r="P487" s="81">
        <f t="shared" si="141"/>
        <v>2139</v>
      </c>
      <c r="Q487" s="80">
        <f>IFERROR(VLOOKUP(C487,O.B.JUNE!$C$7:$K$448,7,0),0)</f>
        <v>0</v>
      </c>
      <c r="R487" s="80">
        <f>IFERROR(VLOOKUP(C487,O.B.JUNE!$C$7:$J$448,8,0),0)</f>
        <v>0</v>
      </c>
      <c r="S487" s="323">
        <f t="shared" si="130"/>
        <v>2793</v>
      </c>
      <c r="T487" s="324">
        <v>2793</v>
      </c>
      <c r="U487" s="324"/>
      <c r="V487" s="80"/>
      <c r="W487" s="324">
        <v>0</v>
      </c>
      <c r="X487" s="324"/>
      <c r="Y487" s="324">
        <v>0</v>
      </c>
      <c r="Z487" s="80">
        <v>0</v>
      </c>
      <c r="AA487" s="80">
        <f t="shared" si="131"/>
        <v>2793</v>
      </c>
      <c r="AB487" s="323">
        <f t="shared" si="139"/>
        <v>2793</v>
      </c>
      <c r="AC487" s="80">
        <f t="shared" si="140"/>
        <v>0</v>
      </c>
      <c r="AD487" s="80">
        <f t="shared" si="132"/>
        <v>2793</v>
      </c>
      <c r="AE487" s="80"/>
      <c r="AF487" s="80"/>
      <c r="AG487" s="80"/>
      <c r="AH487" s="326">
        <f t="shared" si="135"/>
        <v>0</v>
      </c>
      <c r="AI487" s="326">
        <f t="shared" si="136"/>
        <v>0</v>
      </c>
      <c r="AJ487" s="326">
        <f t="shared" si="137"/>
        <v>0</v>
      </c>
      <c r="AK487" s="326">
        <f t="shared" si="138"/>
        <v>0</v>
      </c>
      <c r="AL487" s="326"/>
      <c r="AM487" s="326"/>
      <c r="AN487" s="326"/>
      <c r="AO487" s="326"/>
      <c r="AP487" s="326"/>
      <c r="AQ487" s="326"/>
      <c r="AR487" s="327"/>
      <c r="AS487" s="209"/>
      <c r="AT487" s="411"/>
      <c r="AU487" s="411"/>
    </row>
    <row r="488" spans="1:47" s="390" customFormat="1" ht="18.75" customHeight="1">
      <c r="A488" s="167">
        <v>498</v>
      </c>
      <c r="B488" s="79" t="s">
        <v>106</v>
      </c>
      <c r="C488" s="509" t="s">
        <v>645</v>
      </c>
      <c r="D488" s="80">
        <f t="shared" si="133"/>
        <v>15654</v>
      </c>
      <c r="E488" s="80"/>
      <c r="F488" s="80">
        <f>VLOOKUP(C488,'CUTTING ON JUNE'!$A$4:$D$316,3,0)</f>
        <v>15654</v>
      </c>
      <c r="G488" s="80">
        <f>IFERROR(VLOOKUP(C488,O.B.JUNE!$C$7:$E$448,3,0),0)</f>
        <v>0</v>
      </c>
      <c r="H488" s="80">
        <f t="shared" si="129"/>
        <v>15654</v>
      </c>
      <c r="I488" s="80"/>
      <c r="J488" s="80">
        <f t="shared" si="128"/>
        <v>10468</v>
      </c>
      <c r="K488" s="80">
        <v>0</v>
      </c>
      <c r="L488" s="80">
        <v>0</v>
      </c>
      <c r="M488" s="81">
        <f t="shared" si="134"/>
        <v>5186</v>
      </c>
      <c r="N488" s="81">
        <v>1199</v>
      </c>
      <c r="O488" s="81">
        <v>2743</v>
      </c>
      <c r="P488" s="81">
        <f t="shared" si="141"/>
        <v>1244</v>
      </c>
      <c r="Q488" s="80">
        <f>IFERROR(VLOOKUP(C488,O.B.JUNE!$C$7:$K$448,7,0),0)</f>
        <v>0</v>
      </c>
      <c r="R488" s="80">
        <f>IFERROR(VLOOKUP(C488,O.B.JUNE!$C$7:$J$448,8,0),0)</f>
        <v>0</v>
      </c>
      <c r="S488" s="323">
        <f t="shared" si="130"/>
        <v>10468</v>
      </c>
      <c r="T488" s="324">
        <v>10468</v>
      </c>
      <c r="U488" s="324"/>
      <c r="V488" s="80"/>
      <c r="W488" s="324">
        <v>0</v>
      </c>
      <c r="X488" s="324"/>
      <c r="Y488" s="324">
        <v>0</v>
      </c>
      <c r="Z488" s="80">
        <v>0</v>
      </c>
      <c r="AA488" s="80">
        <f t="shared" si="131"/>
        <v>10468</v>
      </c>
      <c r="AB488" s="323">
        <f t="shared" si="139"/>
        <v>10468</v>
      </c>
      <c r="AC488" s="80">
        <f t="shared" si="140"/>
        <v>0</v>
      </c>
      <c r="AD488" s="80">
        <f t="shared" si="132"/>
        <v>10468</v>
      </c>
      <c r="AE488" s="80"/>
      <c r="AF488" s="80"/>
      <c r="AG488" s="80"/>
      <c r="AH488" s="326">
        <f t="shared" si="135"/>
        <v>0</v>
      </c>
      <c r="AI488" s="326">
        <f t="shared" si="136"/>
        <v>0</v>
      </c>
      <c r="AJ488" s="326">
        <f t="shared" si="137"/>
        <v>0</v>
      </c>
      <c r="AK488" s="326">
        <f t="shared" si="138"/>
        <v>0</v>
      </c>
      <c r="AL488" s="326"/>
      <c r="AM488" s="326"/>
      <c r="AN488" s="326"/>
      <c r="AO488" s="326"/>
      <c r="AP488" s="326"/>
      <c r="AQ488" s="326"/>
      <c r="AR488" s="327"/>
      <c r="AS488" s="209"/>
      <c r="AT488" s="411"/>
      <c r="AU488" s="411"/>
    </row>
    <row r="489" spans="1:47" s="390" customFormat="1" ht="18.75" customHeight="1">
      <c r="A489" s="167">
        <v>499</v>
      </c>
      <c r="B489" s="79" t="s">
        <v>107</v>
      </c>
      <c r="C489" s="509" t="s">
        <v>654</v>
      </c>
      <c r="D489" s="80">
        <v>0</v>
      </c>
      <c r="E489" s="80"/>
      <c r="F489" s="80">
        <v>0</v>
      </c>
      <c r="G489" s="80">
        <f>IFERROR(VLOOKUP(C489,O.B.JUNE!$C$7:$E$448,3,0),0)</f>
        <v>0</v>
      </c>
      <c r="H489" s="80">
        <f t="shared" ref="H489:H493" si="142">IF(F489="","",F489-E489)</f>
        <v>0</v>
      </c>
      <c r="I489" s="80">
        <v>2592</v>
      </c>
      <c r="J489" s="80">
        <v>0</v>
      </c>
      <c r="K489" s="80">
        <v>0</v>
      </c>
      <c r="L489" s="80">
        <v>0</v>
      </c>
      <c r="M489" s="81">
        <f t="shared" si="134"/>
        <v>0</v>
      </c>
      <c r="N489" s="81"/>
      <c r="O489" s="81"/>
      <c r="P489" s="81"/>
      <c r="Q489" s="80">
        <f>IFERROR(VLOOKUP(C489,O.B.JUNE!$C$7:$K$448,7,0),0)</f>
        <v>0</v>
      </c>
      <c r="R489" s="80">
        <f>IFERROR(VLOOKUP(C489,O.B.JUNE!$C$7:$J$448,8,0),0)</f>
        <v>0</v>
      </c>
      <c r="S489" s="323">
        <f t="shared" ref="S489:S493" si="143">Q489+T489+U489+R489</f>
        <v>0</v>
      </c>
      <c r="T489" s="324"/>
      <c r="U489" s="324"/>
      <c r="V489" s="80">
        <v>2592</v>
      </c>
      <c r="W489" s="80">
        <v>2592</v>
      </c>
      <c r="X489" s="324"/>
      <c r="Y489" s="324">
        <v>0</v>
      </c>
      <c r="Z489" s="80">
        <v>0</v>
      </c>
      <c r="AA489" s="80">
        <f t="shared" si="131"/>
        <v>2592</v>
      </c>
      <c r="AB489" s="323">
        <f t="shared" si="139"/>
        <v>0</v>
      </c>
      <c r="AC489" s="80">
        <f t="shared" si="140"/>
        <v>0</v>
      </c>
      <c r="AD489" s="80">
        <f t="shared" ref="AD489:AD493" si="144">AB489+AC489</f>
        <v>0</v>
      </c>
      <c r="AE489" s="80"/>
      <c r="AF489" s="80"/>
      <c r="AG489" s="80"/>
      <c r="AH489" s="326">
        <f>G489+H489-J489-L489-M489</f>
        <v>0</v>
      </c>
      <c r="AI489" s="326">
        <f t="shared" si="136"/>
        <v>0</v>
      </c>
      <c r="AJ489" s="326">
        <f t="shared" si="137"/>
        <v>0</v>
      </c>
      <c r="AK489" s="326">
        <f t="shared" si="138"/>
        <v>0</v>
      </c>
      <c r="AL489" s="326"/>
      <c r="AM489" s="326"/>
      <c r="AN489" s="326"/>
      <c r="AO489" s="326"/>
      <c r="AP489" s="326"/>
      <c r="AQ489" s="326"/>
      <c r="AR489" s="327"/>
      <c r="AS489" s="209"/>
      <c r="AU489" s="411"/>
    </row>
    <row r="490" spans="1:47" s="390" customFormat="1" ht="18.75" customHeight="1">
      <c r="A490" s="167">
        <v>500</v>
      </c>
      <c r="B490" s="79" t="s">
        <v>107</v>
      </c>
      <c r="C490" s="509" t="s">
        <v>655</v>
      </c>
      <c r="D490" s="80">
        <v>0</v>
      </c>
      <c r="E490" s="80"/>
      <c r="F490" s="80">
        <v>0</v>
      </c>
      <c r="G490" s="80">
        <f>IFERROR(VLOOKUP(C490,O.B.JUNE!$C$7:$E$448,3,0),0)</f>
        <v>0</v>
      </c>
      <c r="H490" s="80">
        <f t="shared" si="142"/>
        <v>0</v>
      </c>
      <c r="I490" s="80">
        <v>196</v>
      </c>
      <c r="J490" s="80">
        <v>0</v>
      </c>
      <c r="K490" s="80">
        <v>0</v>
      </c>
      <c r="L490" s="80">
        <v>0</v>
      </c>
      <c r="M490" s="81">
        <f t="shared" si="134"/>
        <v>0</v>
      </c>
      <c r="N490" s="81"/>
      <c r="O490" s="81"/>
      <c r="P490" s="81"/>
      <c r="Q490" s="80">
        <f>IFERROR(VLOOKUP(C490,O.B.JUNE!$C$7:$K$448,7,0),0)</f>
        <v>0</v>
      </c>
      <c r="R490" s="80">
        <f>IFERROR(VLOOKUP(C490,O.B.JUNE!$C$7:$J$448,8,0),0)</f>
        <v>0</v>
      </c>
      <c r="S490" s="323">
        <f t="shared" si="143"/>
        <v>0</v>
      </c>
      <c r="T490" s="324"/>
      <c r="U490" s="324"/>
      <c r="V490" s="80">
        <v>196</v>
      </c>
      <c r="W490" s="80">
        <v>196</v>
      </c>
      <c r="X490" s="324"/>
      <c r="Y490" s="324">
        <v>0</v>
      </c>
      <c r="Z490" s="80">
        <v>0</v>
      </c>
      <c r="AA490" s="80">
        <f t="shared" si="131"/>
        <v>196</v>
      </c>
      <c r="AB490" s="323">
        <f t="shared" si="139"/>
        <v>0</v>
      </c>
      <c r="AC490" s="80">
        <f t="shared" si="140"/>
        <v>0</v>
      </c>
      <c r="AD490" s="80">
        <f t="shared" si="144"/>
        <v>0</v>
      </c>
      <c r="AE490" s="80"/>
      <c r="AF490" s="80"/>
      <c r="AG490" s="80"/>
      <c r="AH490" s="326">
        <f t="shared" si="135"/>
        <v>0</v>
      </c>
      <c r="AI490" s="326">
        <f t="shared" si="136"/>
        <v>0</v>
      </c>
      <c r="AJ490" s="326">
        <f t="shared" si="137"/>
        <v>0</v>
      </c>
      <c r="AK490" s="326">
        <f t="shared" si="138"/>
        <v>0</v>
      </c>
      <c r="AL490" s="326"/>
      <c r="AM490" s="326"/>
      <c r="AN490" s="326"/>
      <c r="AO490" s="326"/>
      <c r="AP490" s="326"/>
      <c r="AQ490" s="326"/>
      <c r="AR490" s="327"/>
      <c r="AS490" s="209"/>
      <c r="AU490" s="411"/>
    </row>
    <row r="491" spans="1:47" s="390" customFormat="1" ht="18.75" customHeight="1">
      <c r="A491" s="167">
        <v>501</v>
      </c>
      <c r="B491" s="79" t="s">
        <v>107</v>
      </c>
      <c r="C491" s="509" t="s">
        <v>656</v>
      </c>
      <c r="D491" s="80">
        <v>0</v>
      </c>
      <c r="E491" s="80"/>
      <c r="F491" s="80">
        <v>0</v>
      </c>
      <c r="G491" s="80">
        <f>IFERROR(VLOOKUP(C491,O.B.JUNE!$C$7:$E$448,3,0),0)</f>
        <v>0</v>
      </c>
      <c r="H491" s="80">
        <f t="shared" si="142"/>
        <v>0</v>
      </c>
      <c r="I491" s="80">
        <v>3250</v>
      </c>
      <c r="J491" s="80">
        <v>0</v>
      </c>
      <c r="K491" s="80">
        <v>0</v>
      </c>
      <c r="L491" s="80">
        <v>0</v>
      </c>
      <c r="M491" s="81">
        <f t="shared" si="134"/>
        <v>0</v>
      </c>
      <c r="N491" s="81"/>
      <c r="O491" s="81"/>
      <c r="P491" s="81"/>
      <c r="Q491" s="80">
        <f>IFERROR(VLOOKUP(C491,O.B.JUNE!$C$7:$K$448,7,0),0)</f>
        <v>0</v>
      </c>
      <c r="R491" s="80">
        <f>IFERROR(VLOOKUP(C491,O.B.JUNE!$C$7:$J$448,8,0),0)</f>
        <v>0</v>
      </c>
      <c r="S491" s="323">
        <f t="shared" si="143"/>
        <v>0</v>
      </c>
      <c r="T491" s="324"/>
      <c r="U491" s="324"/>
      <c r="V491" s="80">
        <v>3250</v>
      </c>
      <c r="W491" s="80">
        <v>3250</v>
      </c>
      <c r="X491" s="324"/>
      <c r="Y491" s="324">
        <v>0</v>
      </c>
      <c r="Z491" s="80">
        <v>0</v>
      </c>
      <c r="AA491" s="80">
        <f t="shared" si="131"/>
        <v>3250</v>
      </c>
      <c r="AB491" s="323">
        <f t="shared" si="139"/>
        <v>0</v>
      </c>
      <c r="AC491" s="80">
        <f t="shared" si="140"/>
        <v>0</v>
      </c>
      <c r="AD491" s="80">
        <f t="shared" si="144"/>
        <v>0</v>
      </c>
      <c r="AE491" s="80"/>
      <c r="AF491" s="80"/>
      <c r="AG491" s="80"/>
      <c r="AH491" s="326">
        <f t="shared" si="135"/>
        <v>0</v>
      </c>
      <c r="AI491" s="326">
        <f t="shared" si="136"/>
        <v>0</v>
      </c>
      <c r="AJ491" s="326">
        <f t="shared" si="137"/>
        <v>0</v>
      </c>
      <c r="AK491" s="326">
        <f t="shared" si="138"/>
        <v>0</v>
      </c>
      <c r="AL491" s="326"/>
      <c r="AM491" s="326"/>
      <c r="AN491" s="326"/>
      <c r="AO491" s="326"/>
      <c r="AP491" s="326"/>
      <c r="AQ491" s="326"/>
      <c r="AR491" s="327"/>
      <c r="AS491" s="209"/>
      <c r="AU491" s="411"/>
    </row>
    <row r="492" spans="1:47" s="390" customFormat="1" ht="18.75" customHeight="1">
      <c r="A492" s="167">
        <v>502</v>
      </c>
      <c r="B492" s="79" t="s">
        <v>107</v>
      </c>
      <c r="C492" s="509" t="s">
        <v>268</v>
      </c>
      <c r="D492" s="80">
        <v>0</v>
      </c>
      <c r="E492" s="80"/>
      <c r="F492" s="80">
        <v>0</v>
      </c>
      <c r="G492" s="80">
        <f>IFERROR(VLOOKUP(C492,O.B.JUNE!$C$7:$E$448,3,0),0)</f>
        <v>0</v>
      </c>
      <c r="H492" s="80">
        <f t="shared" si="142"/>
        <v>0</v>
      </c>
      <c r="I492" s="80">
        <v>6933</v>
      </c>
      <c r="J492" s="80">
        <v>0</v>
      </c>
      <c r="K492" s="80">
        <v>0</v>
      </c>
      <c r="L492" s="80">
        <v>0</v>
      </c>
      <c r="M492" s="81">
        <f t="shared" si="134"/>
        <v>0</v>
      </c>
      <c r="N492" s="81"/>
      <c r="O492" s="81"/>
      <c r="P492" s="81"/>
      <c r="Q492" s="80">
        <f>IFERROR(VLOOKUP(C492,O.B.JUNE!$C$7:$K$448,7,0),0)</f>
        <v>0</v>
      </c>
      <c r="R492" s="80">
        <f>IFERROR(VLOOKUP(C492,O.B.JUNE!$C$7:$J$448,8,0),0)</f>
        <v>0</v>
      </c>
      <c r="S492" s="323">
        <f t="shared" si="143"/>
        <v>0</v>
      </c>
      <c r="T492" s="324"/>
      <c r="U492" s="324"/>
      <c r="V492" s="80">
        <v>6933</v>
      </c>
      <c r="W492" s="80">
        <v>6933</v>
      </c>
      <c r="X492" s="324"/>
      <c r="Y492" s="324">
        <v>0</v>
      </c>
      <c r="Z492" s="80">
        <v>0</v>
      </c>
      <c r="AA492" s="80">
        <f t="shared" si="131"/>
        <v>6933</v>
      </c>
      <c r="AB492" s="323">
        <f t="shared" si="139"/>
        <v>0</v>
      </c>
      <c r="AC492" s="80">
        <f t="shared" si="140"/>
        <v>0</v>
      </c>
      <c r="AD492" s="80">
        <f t="shared" si="144"/>
        <v>0</v>
      </c>
      <c r="AE492" s="80"/>
      <c r="AF492" s="80"/>
      <c r="AG492" s="80"/>
      <c r="AH492" s="326">
        <f t="shared" si="135"/>
        <v>0</v>
      </c>
      <c r="AI492" s="326">
        <f t="shared" si="136"/>
        <v>0</v>
      </c>
      <c r="AJ492" s="326">
        <f t="shared" si="137"/>
        <v>0</v>
      </c>
      <c r="AK492" s="326">
        <f t="shared" si="138"/>
        <v>0</v>
      </c>
      <c r="AL492" s="326"/>
      <c r="AM492" s="326"/>
      <c r="AN492" s="326"/>
      <c r="AO492" s="326"/>
      <c r="AP492" s="326"/>
      <c r="AQ492" s="326"/>
      <c r="AR492" s="327"/>
      <c r="AS492" s="209"/>
      <c r="AU492" s="411"/>
    </row>
    <row r="493" spans="1:47" s="390" customFormat="1" ht="18.75" customHeight="1">
      <c r="A493" s="167">
        <v>503</v>
      </c>
      <c r="B493" s="79" t="s">
        <v>657</v>
      </c>
      <c r="C493" s="509">
        <v>183034537</v>
      </c>
      <c r="D493" s="80">
        <v>0</v>
      </c>
      <c r="E493" s="80"/>
      <c r="F493" s="80">
        <v>0</v>
      </c>
      <c r="G493" s="80">
        <f>IFERROR(VLOOKUP(C493,O.B.JUNE!$C$7:$E$448,3,0),0)</f>
        <v>0</v>
      </c>
      <c r="H493" s="80">
        <f t="shared" si="142"/>
        <v>0</v>
      </c>
      <c r="I493" s="80">
        <v>17819</v>
      </c>
      <c r="J493" s="80">
        <v>0</v>
      </c>
      <c r="K493" s="80">
        <v>0</v>
      </c>
      <c r="L493" s="80">
        <v>0</v>
      </c>
      <c r="M493" s="81">
        <f t="shared" si="134"/>
        <v>0</v>
      </c>
      <c r="N493" s="81"/>
      <c r="O493" s="81"/>
      <c r="P493" s="81"/>
      <c r="Q493" s="80">
        <f>IFERROR(VLOOKUP(C493,O.B.JUNE!$C$7:$K$448,7,0),0)</f>
        <v>0</v>
      </c>
      <c r="R493" s="80">
        <f>IFERROR(VLOOKUP(C493,O.B.JUNE!$C$7:$J$448,8,0),0)</f>
        <v>0</v>
      </c>
      <c r="S493" s="323">
        <f t="shared" si="143"/>
        <v>0</v>
      </c>
      <c r="T493" s="324"/>
      <c r="U493" s="324"/>
      <c r="V493" s="80">
        <v>17819</v>
      </c>
      <c r="W493" s="80">
        <v>17819</v>
      </c>
      <c r="X493" s="324"/>
      <c r="Y493" s="324">
        <v>0</v>
      </c>
      <c r="Z493" s="80">
        <v>0</v>
      </c>
      <c r="AA493" s="80">
        <f t="shared" si="131"/>
        <v>17819</v>
      </c>
      <c r="AB493" s="323">
        <f t="shared" si="139"/>
        <v>0</v>
      </c>
      <c r="AC493" s="80">
        <f t="shared" si="140"/>
        <v>0</v>
      </c>
      <c r="AD493" s="80">
        <f t="shared" si="144"/>
        <v>0</v>
      </c>
      <c r="AE493" s="80"/>
      <c r="AF493" s="80"/>
      <c r="AG493" s="80"/>
      <c r="AH493" s="326">
        <f t="shared" si="135"/>
        <v>0</v>
      </c>
      <c r="AI493" s="326">
        <f t="shared" si="136"/>
        <v>0</v>
      </c>
      <c r="AJ493" s="326">
        <f t="shared" si="137"/>
        <v>0</v>
      </c>
      <c r="AK493" s="326">
        <f t="shared" si="138"/>
        <v>0</v>
      </c>
      <c r="AL493" s="326"/>
      <c r="AM493" s="326"/>
      <c r="AN493" s="326"/>
      <c r="AO493" s="326"/>
      <c r="AP493" s="326"/>
      <c r="AQ493" s="326"/>
      <c r="AR493" s="327"/>
      <c r="AS493" s="209"/>
      <c r="AU493" s="411"/>
    </row>
    <row r="494" spans="1:47" s="177" customFormat="1" ht="12.75">
      <c r="A494" s="199"/>
      <c r="B494" s="200"/>
      <c r="C494" s="353"/>
      <c r="D494" s="201">
        <f t="shared" ref="D494:AG494" si="145">SUBTOTAL(9,D13:D493)</f>
        <v>451937</v>
      </c>
      <c r="E494" s="201">
        <f t="shared" si="145"/>
        <v>2172048</v>
      </c>
      <c r="F494" s="201">
        <f t="shared" si="145"/>
        <v>2623985</v>
      </c>
      <c r="G494" s="201">
        <f t="shared" si="145"/>
        <v>290539</v>
      </c>
      <c r="H494" s="201">
        <f t="shared" si="145"/>
        <v>451937</v>
      </c>
      <c r="I494" s="201">
        <f t="shared" si="145"/>
        <v>30790</v>
      </c>
      <c r="J494" s="201">
        <f t="shared" si="145"/>
        <v>415376</v>
      </c>
      <c r="K494" s="201">
        <f t="shared" si="145"/>
        <v>0</v>
      </c>
      <c r="L494" s="201">
        <f t="shared" si="145"/>
        <v>0</v>
      </c>
      <c r="M494" s="201">
        <f t="shared" si="145"/>
        <v>327100</v>
      </c>
      <c r="N494" s="201">
        <f t="shared" si="145"/>
        <v>35663</v>
      </c>
      <c r="O494" s="201">
        <f t="shared" si="145"/>
        <v>90847</v>
      </c>
      <c r="P494" s="201">
        <f t="shared" si="145"/>
        <v>200590</v>
      </c>
      <c r="Q494" s="201">
        <f t="shared" si="145"/>
        <v>166221</v>
      </c>
      <c r="R494" s="201">
        <f t="shared" si="145"/>
        <v>6895</v>
      </c>
      <c r="S494" s="201">
        <f t="shared" si="145"/>
        <v>588492</v>
      </c>
      <c r="T494" s="201">
        <f t="shared" si="145"/>
        <v>384995</v>
      </c>
      <c r="U494" s="201">
        <f t="shared" si="145"/>
        <v>30381</v>
      </c>
      <c r="V494" s="201">
        <f t="shared" si="145"/>
        <v>30790</v>
      </c>
      <c r="W494" s="201">
        <f t="shared" si="145"/>
        <v>392031</v>
      </c>
      <c r="X494" s="201">
        <f t="shared" si="145"/>
        <v>0</v>
      </c>
      <c r="Y494" s="201">
        <f t="shared" si="145"/>
        <v>605</v>
      </c>
      <c r="Z494" s="201">
        <f t="shared" si="145"/>
        <v>4437</v>
      </c>
      <c r="AA494" s="201">
        <f t="shared" si="145"/>
        <v>446166</v>
      </c>
      <c r="AB494" s="201">
        <f t="shared" si="145"/>
        <v>184933</v>
      </c>
      <c r="AC494" s="201">
        <f t="shared" si="145"/>
        <v>41713</v>
      </c>
      <c r="AD494" s="201">
        <f t="shared" si="145"/>
        <v>226646</v>
      </c>
      <c r="AE494" s="201">
        <f t="shared" si="145"/>
        <v>0</v>
      </c>
      <c r="AF494" s="201">
        <f t="shared" si="145"/>
        <v>0</v>
      </c>
      <c r="AG494" s="201">
        <f t="shared" si="145"/>
        <v>0</v>
      </c>
      <c r="AH494" s="410">
        <f>G494+H494-J494-L494-M494</f>
        <v>0</v>
      </c>
      <c r="AI494" s="326">
        <f t="shared" ref="AI494" si="146">Q494+T494+U494-S494+R494</f>
        <v>0</v>
      </c>
      <c r="AJ494" s="410">
        <f>M494-N494-O494-P494</f>
        <v>0</v>
      </c>
      <c r="AK494" s="410">
        <f>M494-N494-O494-P494</f>
        <v>0</v>
      </c>
      <c r="AL494" s="326"/>
      <c r="AM494" s="326"/>
      <c r="AN494" s="176"/>
      <c r="AO494" s="326"/>
      <c r="AP494" s="176"/>
      <c r="AQ494" s="326"/>
      <c r="AR494" s="327"/>
      <c r="AS494" s="209"/>
    </row>
    <row r="495" spans="1:47" s="177" customFormat="1" ht="19.5" customHeight="1">
      <c r="A495" s="12"/>
      <c r="B495" s="163"/>
      <c r="C495" s="30"/>
      <c r="D495" s="202"/>
      <c r="E495" s="12"/>
      <c r="F495" s="202"/>
      <c r="G495" s="12"/>
      <c r="H495" s="12"/>
      <c r="I495" s="19"/>
      <c r="J495" s="11"/>
      <c r="K495" s="11"/>
      <c r="L495" s="11"/>
      <c r="M495" s="11"/>
      <c r="N495" s="11"/>
      <c r="O495" s="11"/>
      <c r="P495" s="203"/>
      <c r="Q495" s="204"/>
      <c r="R495" s="11"/>
      <c r="S495" s="11"/>
      <c r="T495" s="11"/>
      <c r="U495" s="11"/>
      <c r="V495" s="11"/>
      <c r="W495" s="12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P495" s="176"/>
      <c r="AQ495" s="326"/>
      <c r="AR495" s="327"/>
      <c r="AS495" s="327"/>
    </row>
    <row r="496" spans="1:47" s="177" customFormat="1" ht="19.5" customHeight="1">
      <c r="A496" s="12"/>
      <c r="B496" s="163"/>
      <c r="C496" s="30"/>
      <c r="D496" s="202"/>
      <c r="E496" s="12"/>
      <c r="F496" s="202"/>
      <c r="G496" s="12"/>
      <c r="H496" s="12"/>
      <c r="I496" s="19"/>
      <c r="J496" s="11"/>
      <c r="K496" s="11"/>
      <c r="L496" s="11"/>
      <c r="M496" s="11"/>
      <c r="N496" s="11"/>
      <c r="O496" s="11"/>
      <c r="P496" s="203"/>
      <c r="Q496" s="204"/>
      <c r="R496" s="11"/>
      <c r="S496" s="11"/>
      <c r="T496" s="11"/>
      <c r="U496" s="11"/>
      <c r="V496" s="11"/>
      <c r="W496" s="12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P496" s="176"/>
      <c r="AQ496" s="326"/>
      <c r="AR496" s="327"/>
      <c r="AS496" s="327"/>
    </row>
    <row r="497" spans="1:45" s="177" customFormat="1" ht="19.5" customHeight="1">
      <c r="A497" s="12"/>
      <c r="B497" s="163"/>
      <c r="C497" s="30"/>
      <c r="D497" s="202"/>
      <c r="E497" s="12"/>
      <c r="F497" s="202"/>
      <c r="G497" s="12"/>
      <c r="H497" s="12"/>
      <c r="I497" s="19"/>
      <c r="J497" s="11"/>
      <c r="K497" s="11"/>
      <c r="L497" s="11"/>
      <c r="M497" s="11"/>
      <c r="N497" s="11"/>
      <c r="O497" s="11"/>
      <c r="P497" s="203"/>
      <c r="Q497" s="204"/>
      <c r="R497" s="11"/>
      <c r="S497" s="11"/>
      <c r="T497" s="11"/>
      <c r="U497" s="11"/>
      <c r="V497" s="11"/>
      <c r="W497" s="12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P497" s="176"/>
      <c r="AQ497" s="326"/>
      <c r="AR497" s="327"/>
      <c r="AS497" s="327"/>
    </row>
    <row r="498" spans="1:45" s="177" customFormat="1" ht="19.5" customHeight="1">
      <c r="A498" s="12"/>
      <c r="B498" s="163"/>
      <c r="C498" s="30"/>
      <c r="D498" s="202"/>
      <c r="E498" s="12"/>
      <c r="F498" s="202"/>
      <c r="G498" s="12"/>
      <c r="H498" s="12"/>
      <c r="I498" s="19"/>
      <c r="J498" s="11"/>
      <c r="K498" s="11"/>
      <c r="L498" s="11"/>
      <c r="M498" s="11"/>
      <c r="N498" s="11"/>
      <c r="O498" s="11"/>
      <c r="P498" s="203"/>
      <c r="Q498" s="204"/>
      <c r="R498" s="11"/>
      <c r="S498" s="11"/>
      <c r="T498" s="11"/>
      <c r="U498" s="11"/>
      <c r="V498" s="11"/>
      <c r="W498" s="12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P498" s="176"/>
      <c r="AQ498" s="326"/>
      <c r="AR498" s="327"/>
      <c r="AS498" s="327"/>
    </row>
    <row r="499" spans="1:45" s="177" customFormat="1" ht="19.5" customHeight="1">
      <c r="A499" s="12"/>
      <c r="B499" s="163"/>
      <c r="C499" s="30"/>
      <c r="D499" s="202"/>
      <c r="E499" s="12"/>
      <c r="F499" s="202"/>
      <c r="G499" s="12"/>
      <c r="H499" s="12"/>
      <c r="I499" s="19"/>
      <c r="J499" s="11"/>
      <c r="K499" s="11"/>
      <c r="L499" s="11"/>
      <c r="M499" s="11"/>
      <c r="N499" s="11"/>
      <c r="O499" s="11"/>
      <c r="P499" s="203"/>
      <c r="Q499" s="204"/>
      <c r="R499" s="11"/>
      <c r="S499" s="11"/>
      <c r="T499" s="11"/>
      <c r="U499" s="11"/>
      <c r="V499" s="11"/>
      <c r="W499" s="12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P499" s="176"/>
      <c r="AQ499" s="326"/>
      <c r="AR499" s="327"/>
      <c r="AS499" s="327"/>
    </row>
    <row r="500" spans="1:45" s="177" customFormat="1" ht="19.5" customHeight="1">
      <c r="A500" s="12"/>
      <c r="B500" s="163"/>
      <c r="C500" s="30"/>
      <c r="D500" s="202"/>
      <c r="E500" s="12"/>
      <c r="F500" s="202"/>
      <c r="G500" s="12"/>
      <c r="H500" s="12"/>
      <c r="I500" s="19"/>
      <c r="J500" s="11"/>
      <c r="K500" s="11"/>
      <c r="L500" s="11"/>
      <c r="M500" s="11"/>
      <c r="N500" s="11"/>
      <c r="O500" s="11"/>
      <c r="P500" s="203"/>
      <c r="Q500" s="204"/>
      <c r="R500" s="11"/>
      <c r="S500" s="11"/>
      <c r="T500" s="11"/>
      <c r="U500" s="11"/>
      <c r="V500" s="11"/>
      <c r="W500" s="12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P500" s="176"/>
      <c r="AQ500" s="326"/>
      <c r="AR500" s="327"/>
      <c r="AS500" s="327"/>
    </row>
    <row r="501" spans="1:45" s="177" customFormat="1" ht="19.5" customHeight="1">
      <c r="A501" s="12"/>
      <c r="B501" s="163"/>
      <c r="C501" s="30"/>
      <c r="D501" s="202"/>
      <c r="E501" s="12"/>
      <c r="F501" s="202"/>
      <c r="G501" s="12"/>
      <c r="H501" s="12"/>
      <c r="I501" s="19"/>
      <c r="J501" s="11"/>
      <c r="K501" s="11"/>
      <c r="L501" s="11"/>
      <c r="M501" s="11"/>
      <c r="N501" s="11"/>
      <c r="O501" s="11"/>
      <c r="P501" s="203"/>
      <c r="Q501" s="204"/>
      <c r="R501" s="11"/>
      <c r="S501" s="11"/>
      <c r="T501" s="11"/>
      <c r="U501" s="11"/>
      <c r="V501" s="11"/>
      <c r="W501" s="12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P501" s="176"/>
      <c r="AQ501" s="326"/>
      <c r="AR501" s="327"/>
      <c r="AS501" s="327"/>
    </row>
    <row r="502" spans="1:45" s="177" customFormat="1" ht="19.5" customHeight="1">
      <c r="A502" s="12"/>
      <c r="B502" s="163"/>
      <c r="C502" s="30"/>
      <c r="D502" s="202"/>
      <c r="E502" s="12"/>
      <c r="F502" s="202"/>
      <c r="G502" s="12"/>
      <c r="H502" s="12"/>
      <c r="I502" s="19"/>
      <c r="J502" s="11"/>
      <c r="K502" s="11"/>
      <c r="L502" s="11"/>
      <c r="M502" s="11"/>
      <c r="N502" s="11"/>
      <c r="O502" s="11"/>
      <c r="P502" s="203"/>
      <c r="Q502" s="204"/>
      <c r="R502" s="11"/>
      <c r="S502" s="11"/>
      <c r="T502" s="11"/>
      <c r="U502" s="11"/>
      <c r="V502" s="11"/>
      <c r="W502" s="12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P502" s="176"/>
      <c r="AQ502" s="326"/>
      <c r="AR502" s="327"/>
      <c r="AS502" s="327"/>
    </row>
    <row r="503" spans="1:45" s="177" customFormat="1" ht="19.5" customHeight="1">
      <c r="A503" s="12"/>
      <c r="B503" s="163"/>
      <c r="C503" s="30"/>
      <c r="D503" s="202"/>
      <c r="E503" s="12"/>
      <c r="F503" s="202"/>
      <c r="G503" s="12"/>
      <c r="H503" s="12"/>
      <c r="I503" s="19"/>
      <c r="J503" s="11"/>
      <c r="K503" s="11"/>
      <c r="L503" s="11"/>
      <c r="M503" s="11"/>
      <c r="N503" s="11"/>
      <c r="O503" s="11"/>
      <c r="P503" s="203"/>
      <c r="Q503" s="204"/>
      <c r="R503" s="11"/>
      <c r="S503" s="11"/>
      <c r="T503" s="11"/>
      <c r="U503" s="11"/>
      <c r="V503" s="11"/>
      <c r="W503" s="12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P503" s="176"/>
      <c r="AQ503" s="326"/>
      <c r="AR503" s="327"/>
      <c r="AS503" s="327"/>
    </row>
    <row r="504" spans="1:45" s="177" customFormat="1" ht="19.5" customHeight="1">
      <c r="A504" s="12"/>
      <c r="B504" s="163"/>
      <c r="C504" s="30"/>
      <c r="D504" s="202"/>
      <c r="E504" s="12"/>
      <c r="F504" s="202"/>
      <c r="G504" s="12"/>
      <c r="H504" s="12"/>
      <c r="I504" s="19"/>
      <c r="J504" s="11"/>
      <c r="K504" s="11"/>
      <c r="L504" s="11"/>
      <c r="M504" s="11"/>
      <c r="N504" s="11"/>
      <c r="O504" s="11"/>
      <c r="P504" s="203"/>
      <c r="Q504" s="204"/>
      <c r="R504" s="11"/>
      <c r="S504" s="11"/>
      <c r="T504" s="11"/>
      <c r="U504" s="11"/>
      <c r="V504" s="11"/>
      <c r="W504" s="12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P504" s="176"/>
      <c r="AQ504" s="326"/>
      <c r="AR504" s="327"/>
      <c r="AS504" s="327"/>
    </row>
    <row r="505" spans="1:45" s="177" customFormat="1" ht="19.5" customHeight="1">
      <c r="A505" s="12"/>
      <c r="B505" s="163"/>
      <c r="C505" s="30"/>
      <c r="D505" s="202"/>
      <c r="E505" s="12"/>
      <c r="F505" s="202"/>
      <c r="G505" s="12"/>
      <c r="H505" s="12"/>
      <c r="I505" s="19"/>
      <c r="J505" s="11"/>
      <c r="K505" s="11"/>
      <c r="L505" s="11"/>
      <c r="M505" s="11"/>
      <c r="N505" s="11"/>
      <c r="O505" s="11"/>
      <c r="P505" s="203"/>
      <c r="Q505" s="204"/>
      <c r="R505" s="11"/>
      <c r="S505" s="11"/>
      <c r="T505" s="11"/>
      <c r="U505" s="11"/>
      <c r="V505" s="11"/>
      <c r="W505" s="12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P505" s="176"/>
      <c r="AQ505" s="326"/>
      <c r="AR505" s="327"/>
      <c r="AS505" s="327"/>
    </row>
    <row r="506" spans="1:45" s="177" customFormat="1" ht="19.5" customHeight="1">
      <c r="A506" s="12"/>
      <c r="B506" s="163"/>
      <c r="C506" s="30"/>
      <c r="D506" s="202"/>
      <c r="E506" s="12"/>
      <c r="F506" s="202"/>
      <c r="G506" s="12"/>
      <c r="H506" s="12"/>
      <c r="I506" s="19"/>
      <c r="J506" s="11"/>
      <c r="K506" s="11"/>
      <c r="L506" s="11"/>
      <c r="M506" s="11"/>
      <c r="N506" s="11"/>
      <c r="O506" s="11"/>
      <c r="P506" s="203"/>
      <c r="Q506" s="204"/>
      <c r="R506" s="11"/>
      <c r="S506" s="11"/>
      <c r="T506" s="11"/>
      <c r="U506" s="11"/>
      <c r="V506" s="11"/>
      <c r="W506" s="12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P506" s="176"/>
      <c r="AQ506" s="326"/>
      <c r="AR506" s="327"/>
      <c r="AS506" s="327"/>
    </row>
    <row r="507" spans="1:45" s="177" customFormat="1" ht="19.5" customHeight="1">
      <c r="A507" s="12"/>
      <c r="B507" s="163"/>
      <c r="C507" s="30"/>
      <c r="D507" s="202"/>
      <c r="E507" s="12"/>
      <c r="F507" s="202"/>
      <c r="G507" s="12"/>
      <c r="H507" s="12"/>
      <c r="I507" s="19"/>
      <c r="J507" s="11"/>
      <c r="K507" s="11"/>
      <c r="L507" s="11"/>
      <c r="M507" s="11"/>
      <c r="N507" s="11"/>
      <c r="O507" s="11"/>
      <c r="P507" s="203"/>
      <c r="Q507" s="204"/>
      <c r="R507" s="11"/>
      <c r="S507" s="11"/>
      <c r="T507" s="11"/>
      <c r="U507" s="11"/>
      <c r="V507" s="11"/>
      <c r="W507" s="12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P507" s="176"/>
      <c r="AQ507" s="326"/>
      <c r="AR507" s="327"/>
      <c r="AS507" s="327"/>
    </row>
    <row r="508" spans="1:45" s="177" customFormat="1" ht="18.75">
      <c r="A508" s="12"/>
      <c r="B508" s="163"/>
      <c r="C508" s="30"/>
      <c r="D508" s="202"/>
      <c r="E508" s="12"/>
      <c r="F508" s="202"/>
      <c r="G508" s="12"/>
      <c r="H508" s="12"/>
      <c r="I508" s="19"/>
      <c r="J508" s="11"/>
      <c r="K508" s="11"/>
      <c r="L508" s="11"/>
      <c r="M508" s="11"/>
      <c r="N508" s="11"/>
      <c r="O508" s="11"/>
      <c r="P508" s="203"/>
      <c r="Q508" s="204"/>
      <c r="R508" s="11"/>
      <c r="S508" s="11"/>
      <c r="T508" s="11"/>
      <c r="U508" s="11"/>
      <c r="V508" s="11"/>
      <c r="W508" s="12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P508" s="176"/>
      <c r="AQ508" s="326"/>
      <c r="AR508" s="327"/>
      <c r="AS508" s="327"/>
    </row>
    <row r="509" spans="1:45" s="177" customFormat="1" ht="12.75">
      <c r="A509" s="11"/>
      <c r="B509" s="163"/>
      <c r="C509" s="205"/>
      <c r="D509" s="12"/>
      <c r="E509" s="463"/>
      <c r="F509" s="31"/>
      <c r="G509" s="32"/>
      <c r="H509" s="31"/>
      <c r="I509" s="33"/>
      <c r="J509" s="11"/>
      <c r="K509" s="11"/>
      <c r="L509" s="206"/>
      <c r="M509" s="12"/>
      <c r="N509" s="12"/>
      <c r="O509" s="13"/>
      <c r="P509" s="203"/>
      <c r="Q509" s="204"/>
      <c r="R509" s="11"/>
      <c r="S509" s="11"/>
      <c r="T509" s="11"/>
      <c r="U509" s="11"/>
      <c r="V509" s="11"/>
      <c r="W509" s="12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P509" s="176"/>
      <c r="AQ509" s="326"/>
      <c r="AR509" s="327"/>
      <c r="AS509" s="327"/>
    </row>
    <row r="510" spans="1:45" s="177" customFormat="1" ht="12.75">
      <c r="A510" s="11"/>
      <c r="B510" s="163"/>
      <c r="C510" s="205"/>
      <c r="D510" s="12"/>
      <c r="E510" s="463"/>
      <c r="F510" s="31"/>
      <c r="G510" s="11"/>
      <c r="H510" s="12"/>
      <c r="I510" s="34"/>
      <c r="J510" s="11"/>
      <c r="K510" s="11"/>
      <c r="L510" s="206"/>
      <c r="M510" s="12"/>
      <c r="N510" s="12"/>
      <c r="O510" s="13"/>
      <c r="P510" s="203"/>
      <c r="Q510" s="204"/>
      <c r="R510" s="11"/>
      <c r="S510" s="11"/>
      <c r="T510" s="11"/>
      <c r="U510" s="11"/>
      <c r="V510" s="11"/>
      <c r="W510" s="12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P510" s="176"/>
      <c r="AQ510" s="326"/>
      <c r="AR510" s="327"/>
      <c r="AS510" s="327"/>
    </row>
    <row r="511" spans="1:45" s="177" customFormat="1" ht="12.75">
      <c r="A511" s="11"/>
      <c r="B511" s="163"/>
      <c r="C511" s="205"/>
      <c r="D511" s="12"/>
      <c r="E511" s="463"/>
      <c r="F511" s="31"/>
      <c r="G511" s="32"/>
      <c r="H511" s="31"/>
      <c r="I511" s="33"/>
      <c r="J511" s="11"/>
      <c r="K511" s="11"/>
      <c r="L511" s="206"/>
      <c r="M511" s="12"/>
      <c r="N511" s="12"/>
      <c r="O511" s="13"/>
      <c r="P511" s="203"/>
      <c r="Q511" s="204"/>
      <c r="R511" s="11"/>
      <c r="S511" s="11"/>
      <c r="T511" s="11"/>
      <c r="U511" s="11"/>
      <c r="V511" s="11"/>
      <c r="W511" s="12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P511" s="176"/>
      <c r="AQ511" s="326"/>
      <c r="AR511" s="327"/>
      <c r="AS511" s="327"/>
    </row>
    <row r="512" spans="1:45" s="177" customFormat="1" ht="12.75">
      <c r="A512" s="11"/>
      <c r="B512" s="163"/>
      <c r="C512" s="205"/>
      <c r="D512" s="12"/>
      <c r="E512" s="463"/>
      <c r="F512" s="31"/>
      <c r="G512" s="32"/>
      <c r="H512" s="31"/>
      <c r="I512" s="33"/>
      <c r="J512" s="11"/>
      <c r="K512" s="11"/>
      <c r="L512" s="206"/>
      <c r="M512" s="12"/>
      <c r="N512" s="12"/>
      <c r="O512" s="13"/>
      <c r="P512" s="203"/>
      <c r="Q512" s="204"/>
      <c r="R512" s="11"/>
      <c r="S512" s="11"/>
      <c r="T512" s="11"/>
      <c r="U512" s="11"/>
      <c r="V512" s="11"/>
      <c r="W512" s="12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P512" s="176"/>
      <c r="AQ512" s="326"/>
      <c r="AR512" s="327"/>
      <c r="AS512" s="327"/>
    </row>
    <row r="513" spans="1:45" s="177" customFormat="1" ht="12.75">
      <c r="A513" s="11"/>
      <c r="B513" s="163"/>
      <c r="C513" s="205"/>
      <c r="D513" s="12"/>
      <c r="E513" s="463"/>
      <c r="F513" s="31"/>
      <c r="G513" s="32"/>
      <c r="H513" s="31"/>
      <c r="I513" s="33"/>
      <c r="J513" s="11"/>
      <c r="K513" s="11"/>
      <c r="L513" s="206"/>
      <c r="M513" s="12"/>
      <c r="N513" s="12"/>
      <c r="O513" s="13"/>
      <c r="P513" s="203"/>
      <c r="Q513" s="204"/>
      <c r="R513" s="11"/>
      <c r="S513" s="11"/>
      <c r="T513" s="11"/>
      <c r="U513" s="11"/>
      <c r="V513" s="11"/>
      <c r="W513" s="12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P513" s="176"/>
      <c r="AQ513" s="326"/>
      <c r="AR513" s="327"/>
      <c r="AS513" s="196"/>
    </row>
    <row r="514" spans="1:45" s="177" customFormat="1" ht="12.75">
      <c r="A514" s="11"/>
      <c r="B514" s="163"/>
      <c r="C514" s="205"/>
      <c r="D514" s="12"/>
      <c r="E514" s="463"/>
      <c r="F514" s="31"/>
      <c r="G514" s="32"/>
      <c r="H514" s="31"/>
      <c r="I514" s="33"/>
      <c r="J514" s="11"/>
      <c r="K514" s="11"/>
      <c r="L514" s="206"/>
      <c r="M514" s="12"/>
      <c r="N514" s="12"/>
      <c r="O514" s="13"/>
      <c r="P514" s="203"/>
      <c r="Q514" s="204"/>
      <c r="R514" s="11"/>
      <c r="S514" s="11"/>
      <c r="T514" s="11"/>
      <c r="U514" s="11"/>
      <c r="V514" s="11"/>
      <c r="W514" s="12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P514" s="176"/>
      <c r="AQ514" s="326"/>
      <c r="AR514" s="327"/>
      <c r="AS514" s="196"/>
    </row>
    <row r="515" spans="1:45" s="177" customFormat="1" ht="12.75">
      <c r="A515" s="11"/>
      <c r="B515" s="163"/>
      <c r="C515" s="205"/>
      <c r="D515" s="12"/>
      <c r="E515" s="463"/>
      <c r="F515" s="31"/>
      <c r="G515" s="32"/>
      <c r="H515" s="31"/>
      <c r="I515" s="33"/>
      <c r="J515" s="11"/>
      <c r="K515" s="11"/>
      <c r="L515" s="206"/>
      <c r="M515" s="12"/>
      <c r="N515" s="12"/>
      <c r="O515" s="13"/>
      <c r="P515" s="203"/>
      <c r="Q515" s="204"/>
      <c r="R515" s="11"/>
      <c r="S515" s="11"/>
      <c r="T515" s="11"/>
      <c r="U515" s="11"/>
      <c r="V515" s="11"/>
      <c r="W515" s="12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P515" s="176"/>
      <c r="AQ515" s="326"/>
      <c r="AR515" s="327"/>
      <c r="AS515" s="196"/>
    </row>
    <row r="516" spans="1:45" s="177" customFormat="1" ht="12.75">
      <c r="A516" s="11"/>
      <c r="B516" s="163"/>
      <c r="C516" s="205"/>
      <c r="D516" s="12"/>
      <c r="E516" s="463"/>
      <c r="F516" s="31"/>
      <c r="G516" s="32"/>
      <c r="H516" s="31"/>
      <c r="I516" s="33"/>
      <c r="J516" s="11"/>
      <c r="K516" s="11"/>
      <c r="L516" s="206"/>
      <c r="M516" s="12"/>
      <c r="N516" s="12"/>
      <c r="O516" s="13"/>
      <c r="P516" s="203"/>
      <c r="Q516" s="204"/>
      <c r="R516" s="11"/>
      <c r="S516" s="11"/>
      <c r="T516" s="11"/>
      <c r="U516" s="11"/>
      <c r="V516" s="11"/>
      <c r="W516" s="12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P516" s="176"/>
      <c r="AQ516" s="326"/>
      <c r="AR516" s="327"/>
      <c r="AS516" s="196"/>
    </row>
    <row r="517" spans="1:45" s="177" customFormat="1" ht="12.75">
      <c r="A517" s="11"/>
      <c r="B517" s="163"/>
      <c r="C517" s="205"/>
      <c r="D517" s="12"/>
      <c r="E517" s="464"/>
      <c r="F517" s="12"/>
      <c r="G517" s="11"/>
      <c r="H517" s="12"/>
      <c r="I517" s="34"/>
      <c r="J517" s="11"/>
      <c r="K517" s="11"/>
      <c r="L517" s="206"/>
      <c r="M517" s="12"/>
      <c r="N517" s="12"/>
      <c r="O517" s="13"/>
      <c r="P517" s="203"/>
      <c r="Q517" s="204"/>
      <c r="R517" s="11"/>
      <c r="S517" s="11"/>
      <c r="T517" s="11"/>
      <c r="U517" s="11"/>
      <c r="V517" s="11"/>
      <c r="W517" s="12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P517" s="176"/>
      <c r="AQ517" s="326"/>
      <c r="AR517" s="327"/>
      <c r="AS517" s="196"/>
    </row>
    <row r="518" spans="1:45" s="177" customFormat="1" ht="12.75">
      <c r="A518" s="11"/>
      <c r="B518" s="163"/>
      <c r="C518" s="205"/>
      <c r="D518" s="12"/>
      <c r="E518" s="12"/>
      <c r="F518" s="12"/>
      <c r="G518" s="11"/>
      <c r="H518" s="12"/>
      <c r="I518" s="19"/>
      <c r="J518" s="11"/>
      <c r="K518" s="11"/>
      <c r="L518" s="11"/>
      <c r="M518" s="12"/>
      <c r="N518" s="34"/>
      <c r="O518" s="13"/>
      <c r="P518" s="203"/>
      <c r="Q518" s="204"/>
      <c r="R518" s="11"/>
      <c r="S518" s="11"/>
      <c r="T518" s="11"/>
      <c r="U518" s="11"/>
      <c r="V518" s="11"/>
      <c r="W518" s="12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P518" s="176"/>
      <c r="AQ518" s="326"/>
      <c r="AR518" s="327"/>
      <c r="AS518" s="196"/>
    </row>
    <row r="519" spans="1:45" s="177" customFormat="1" ht="12.75">
      <c r="A519" s="11"/>
      <c r="B519" s="163"/>
      <c r="C519" s="205"/>
      <c r="D519" s="12"/>
      <c r="E519" s="12"/>
      <c r="F519" s="12"/>
      <c r="G519" s="11"/>
      <c r="H519" s="12"/>
      <c r="I519" s="19"/>
      <c r="J519" s="11"/>
      <c r="K519" s="11"/>
      <c r="L519" s="11"/>
      <c r="M519" s="12"/>
      <c r="N519" s="34"/>
      <c r="O519" s="13"/>
      <c r="P519" s="203"/>
      <c r="Q519" s="204"/>
      <c r="R519" s="11"/>
      <c r="S519" s="11"/>
      <c r="T519" s="11"/>
      <c r="U519" s="11"/>
      <c r="V519" s="11"/>
      <c r="W519" s="12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P519" s="176"/>
      <c r="AQ519" s="326"/>
      <c r="AR519" s="196"/>
      <c r="AS519" s="196"/>
    </row>
    <row r="520" spans="1:45" ht="12.75">
      <c r="AQ520" s="326"/>
    </row>
    <row r="521" spans="1:45" ht="12.75"/>
    <row r="522" spans="1:45" ht="12.75"/>
  </sheetData>
  <autoFilter ref="A12:AU493" xr:uid="{C961D74A-19E3-4064-98F5-254945E23152}"/>
  <sortState ref="A13:AJ174">
    <sortCondition ref="A13:A174"/>
  </sortState>
  <dataConsolidate/>
  <mergeCells count="29">
    <mergeCell ref="AG9:AG11"/>
    <mergeCell ref="T9:T11"/>
    <mergeCell ref="V9:V11"/>
    <mergeCell ref="W9:Z10"/>
    <mergeCell ref="R9:R11"/>
    <mergeCell ref="AA9:AA11"/>
    <mergeCell ref="AB9:AB11"/>
    <mergeCell ref="AC9:AC11"/>
    <mergeCell ref="AD9:AD11"/>
    <mergeCell ref="AE9:AE11"/>
    <mergeCell ref="AF9:AF11"/>
    <mergeCell ref="U9:U11"/>
    <mergeCell ref="S9:S11"/>
    <mergeCell ref="M9:M11"/>
    <mergeCell ref="N9:P10"/>
    <mergeCell ref="Q9:Q11"/>
    <mergeCell ref="D9:D11"/>
    <mergeCell ref="E9:E11"/>
    <mergeCell ref="F9:F11"/>
    <mergeCell ref="G9:G11"/>
    <mergeCell ref="H9:H11"/>
    <mergeCell ref="E7:F7"/>
    <mergeCell ref="G7:H7"/>
    <mergeCell ref="J7:K7"/>
    <mergeCell ref="A9:A11"/>
    <mergeCell ref="B9:B11"/>
    <mergeCell ref="C9:C11"/>
    <mergeCell ref="I9:I11"/>
    <mergeCell ref="J9:L10"/>
  </mergeCells>
  <phoneticPr fontId="242" type="noConversion"/>
  <conditionalFormatting sqref="B2:B8 B12 K3:M3 D1:M2 D4:M6 D3:H3 C1:C8 E12 H12 K12 N12 Q12:R12 V12 Y12 AA12 AD12 B509:O519 E495:E508 G495:O508 B495:C508 A494 AF13:AR13 AH10:AR11 AK8:AR8 AH9:AP9 AS495:AS512 AG12:AP12 AT13:XFD13 AA9:AG11 R9:R11 C10:T11 C9:W9 Q495:AP519 N1:AR7 B434:B493 AT14:AT488 AU14:AU493 AF14:AG493 AQ14:AQ520 S13:S493 AH14:AP494 AR14:AR519 W11:Z11 B13:C433">
    <cfRule type="cellIs" dxfId="119" priority="128" stopIfTrue="1" operator="lessThan">
      <formula>0</formula>
    </cfRule>
  </conditionalFormatting>
  <conditionalFormatting sqref="B9:B11">
    <cfRule type="cellIs" dxfId="118" priority="92" stopIfTrue="1" operator="lessThan">
      <formula>0</formula>
    </cfRule>
  </conditionalFormatting>
  <conditionalFormatting sqref="C355:C360">
    <cfRule type="cellIs" dxfId="117" priority="86" stopIfTrue="1" operator="lessThan">
      <formula>0</formula>
    </cfRule>
  </conditionalFormatting>
  <conditionalFormatting sqref="C18">
    <cfRule type="cellIs" dxfId="116" priority="68" stopIfTrue="1" operator="lessThan">
      <formula>0</formula>
    </cfRule>
  </conditionalFormatting>
  <conditionalFormatting sqref="C18">
    <cfRule type="duplicateValues" dxfId="115" priority="67"/>
  </conditionalFormatting>
  <conditionalFormatting sqref="C18">
    <cfRule type="duplicateValues" dxfId="114" priority="69"/>
  </conditionalFormatting>
  <conditionalFormatting sqref="C353">
    <cfRule type="cellIs" dxfId="113" priority="62" stopIfTrue="1" operator="lessThan">
      <formula>0</formula>
    </cfRule>
  </conditionalFormatting>
  <conditionalFormatting sqref="C353">
    <cfRule type="duplicateValues" dxfId="112" priority="61"/>
  </conditionalFormatting>
  <conditionalFormatting sqref="C353">
    <cfRule type="duplicateValues" dxfId="111" priority="63"/>
  </conditionalFormatting>
  <conditionalFormatting sqref="C19">
    <cfRule type="cellIs" dxfId="110" priority="59" stopIfTrue="1" operator="lessThan">
      <formula>0</formula>
    </cfRule>
  </conditionalFormatting>
  <conditionalFormatting sqref="C19">
    <cfRule type="duplicateValues" dxfId="109" priority="58"/>
  </conditionalFormatting>
  <conditionalFormatting sqref="C19">
    <cfRule type="duplicateValues" dxfId="108" priority="60"/>
  </conditionalFormatting>
  <conditionalFormatting sqref="C494:C1048576 C1:C433">
    <cfRule type="duplicateValues" dxfId="107" priority="49"/>
    <cfRule type="duplicateValues" dxfId="106" priority="50"/>
    <cfRule type="duplicateValues" dxfId="105" priority="589"/>
  </conditionalFormatting>
  <conditionalFormatting sqref="C494:C1048576 C1:C433">
    <cfRule type="duplicateValues" dxfId="104" priority="54"/>
    <cfRule type="duplicateValues" dxfId="103" priority="55"/>
  </conditionalFormatting>
  <conditionalFormatting sqref="C389">
    <cfRule type="duplicateValues" dxfId="102" priority="53"/>
  </conditionalFormatting>
  <conditionalFormatting sqref="C89">
    <cfRule type="duplicateValues" dxfId="101" priority="52"/>
  </conditionalFormatting>
  <conditionalFormatting sqref="C494:C519 C1:C433">
    <cfRule type="duplicateValues" dxfId="100" priority="1302"/>
  </conditionalFormatting>
  <conditionalFormatting sqref="C494:C1048576">
    <cfRule type="duplicateValues" dxfId="99" priority="42"/>
    <cfRule type="duplicateValues" dxfId="98" priority="43"/>
  </conditionalFormatting>
  <conditionalFormatting sqref="AQ72">
    <cfRule type="duplicateValues" dxfId="97" priority="5"/>
    <cfRule type="duplicateValues" dxfId="96" priority="6"/>
    <cfRule type="duplicateValues" dxfId="95" priority="9"/>
  </conditionalFormatting>
  <conditionalFormatting sqref="AQ72">
    <cfRule type="duplicateValues" dxfId="94" priority="7"/>
    <cfRule type="duplicateValues" dxfId="93" priority="8"/>
  </conditionalFormatting>
  <conditionalFormatting sqref="AQ72">
    <cfRule type="duplicateValues" dxfId="92" priority="10"/>
  </conditionalFormatting>
  <conditionalFormatting sqref="AQ72">
    <cfRule type="duplicateValues" dxfId="91" priority="3"/>
    <cfRule type="duplicateValues" dxfId="90" priority="4"/>
  </conditionalFormatting>
  <conditionalFormatting sqref="C434:C493">
    <cfRule type="duplicateValues" dxfId="89" priority="2649"/>
    <cfRule type="duplicateValues" dxfId="88" priority="2650"/>
  </conditionalFormatting>
  <conditionalFormatting sqref="C392:C433">
    <cfRule type="duplicateValues" dxfId="87" priority="2706"/>
  </conditionalFormatting>
  <dataValidations xWindow="1184" yWindow="259" count="1">
    <dataValidation allowBlank="1" showErrorMessage="1" promptTitle="Xuong II" prompt="Bao cao WIP, Xuong 4 xuat kho " sqref="AB13:AE493" xr:uid="{00000000-0002-0000-0100-000000000000}"/>
  </dataValidations>
  <pageMargins left="0" right="0" top="0" bottom="0" header="0.5" footer="0"/>
  <pageSetup paperSize="9" scale="50" fitToHeight="0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5E1A-6CB3-44AD-8169-A96D72C7E414}">
  <dimension ref="A1:AO47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27" sqref="H27"/>
    </sheetView>
  </sheetViews>
  <sheetFormatPr defaultColWidth="9.140625" defaultRowHeight="12.75"/>
  <cols>
    <col min="1" max="1" width="7.7109375" style="328" bestFit="1" customWidth="1"/>
    <col min="2" max="2" width="15.28515625" style="4" bestFit="1" customWidth="1"/>
    <col min="3" max="3" width="20.85546875" style="399" customWidth="1"/>
    <col min="4" max="4" width="12.42578125" style="457" customWidth="1"/>
    <col min="5" max="5" width="11.28515625" style="328" bestFit="1" customWidth="1"/>
    <col min="6" max="9" width="11.28515625" style="328" customWidth="1"/>
    <col min="10" max="10" width="10.28515625" style="328" bestFit="1" customWidth="1"/>
    <col min="11" max="11" width="11.28515625" style="328" bestFit="1" customWidth="1"/>
    <col min="12" max="12" width="11.28515625" style="328" customWidth="1"/>
    <col min="13" max="13" width="9.140625" style="4"/>
    <col min="14" max="14" width="16.85546875" style="399" customWidth="1"/>
    <col min="15" max="16" width="9.28515625" style="328" bestFit="1" customWidth="1"/>
    <col min="17" max="18" width="10.28515625" style="328" bestFit="1" customWidth="1"/>
    <col min="19" max="19" width="15" style="328" bestFit="1" customWidth="1"/>
    <col min="20" max="20" width="15" style="4" customWidth="1"/>
    <col min="21" max="21" width="13.28515625" style="4" customWidth="1"/>
    <col min="22" max="22" width="22" style="399" customWidth="1"/>
    <col min="23" max="23" width="10.28515625" style="328" bestFit="1" customWidth="1"/>
    <col min="24" max="24" width="11.28515625" style="328" bestFit="1" customWidth="1"/>
    <col min="25" max="25" width="15" style="328" bestFit="1" customWidth="1"/>
    <col min="26" max="26" width="9.140625" style="4"/>
    <col min="27" max="27" width="16.85546875" style="399" customWidth="1"/>
    <col min="28" max="29" width="10.28515625" style="328" bestFit="1" customWidth="1"/>
    <col min="30" max="31" width="10.28515625" style="328" customWidth="1"/>
    <col min="32" max="32" width="14.85546875" style="328" customWidth="1"/>
    <col min="33" max="33" width="15" style="328" bestFit="1" customWidth="1"/>
    <col min="34" max="34" width="9.140625" style="4"/>
    <col min="35" max="35" width="17.42578125" style="399" customWidth="1"/>
    <col min="36" max="37" width="9.28515625" style="328" bestFit="1" customWidth="1"/>
    <col min="38" max="40" width="10.28515625" style="328" bestFit="1" customWidth="1"/>
    <col min="41" max="41" width="15" style="328" bestFit="1" customWidth="1"/>
    <col min="42" max="16384" width="9.140625" style="207"/>
  </cols>
  <sheetData>
    <row r="1" spans="1:41">
      <c r="C1" s="398"/>
      <c r="D1" s="458"/>
      <c r="E1" s="329"/>
      <c r="F1" s="329"/>
      <c r="G1" s="329"/>
      <c r="H1" s="329"/>
      <c r="I1" s="329"/>
      <c r="J1" s="329"/>
      <c r="K1" s="329"/>
      <c r="L1" s="329"/>
    </row>
    <row r="2" spans="1:41">
      <c r="C2" s="398"/>
      <c r="D2" s="458"/>
      <c r="E2" s="329"/>
      <c r="F2" s="329"/>
      <c r="G2" s="329"/>
      <c r="H2" s="329"/>
      <c r="I2" s="329"/>
      <c r="J2" s="329"/>
      <c r="K2" s="329"/>
      <c r="L2" s="329"/>
    </row>
    <row r="3" spans="1:41" ht="24" customHeight="1">
      <c r="M3" s="5"/>
    </row>
    <row r="4" spans="1:41" ht="23.25" customHeight="1">
      <c r="D4" s="457">
        <f t="shared" ref="D4:K4" si="0">SUBTOTAL(9,D7:D447)</f>
        <v>2216793</v>
      </c>
      <c r="E4" s="328">
        <f t="shared" si="0"/>
        <v>290539</v>
      </c>
      <c r="F4" s="328">
        <f t="shared" si="0"/>
        <v>29157</v>
      </c>
      <c r="G4" s="328">
        <f t="shared" si="0"/>
        <v>77476</v>
      </c>
      <c r="H4" s="328">
        <f t="shared" si="0"/>
        <v>183152</v>
      </c>
      <c r="I4" s="328">
        <f t="shared" si="0"/>
        <v>166221</v>
      </c>
      <c r="J4" s="328">
        <f t="shared" si="0"/>
        <v>6895</v>
      </c>
      <c r="K4" s="328">
        <f t="shared" si="0"/>
        <v>173116</v>
      </c>
      <c r="L4" s="328">
        <f>SUBTOTAL(9,L7:L418)</f>
        <v>0</v>
      </c>
      <c r="M4" s="328"/>
      <c r="N4" s="449">
        <f>SUBTOTAL(9,N7:N351)</f>
        <v>19118965824</v>
      </c>
      <c r="O4" s="328">
        <f t="shared" ref="O4:T4" si="1">SUBTOTAL(9,O7:O447)</f>
        <v>29157</v>
      </c>
      <c r="P4" s="328">
        <f t="shared" si="1"/>
        <v>77476</v>
      </c>
      <c r="Q4" s="328">
        <f t="shared" si="1"/>
        <v>183906</v>
      </c>
      <c r="R4" s="328">
        <f t="shared" si="1"/>
        <v>290539</v>
      </c>
      <c r="S4" s="328">
        <f t="shared" si="1"/>
        <v>8125656666</v>
      </c>
      <c r="T4" s="328">
        <f t="shared" si="1"/>
        <v>473.73737004315569</v>
      </c>
      <c r="U4" s="328" t="e">
        <f>SUBTOTAL(9,U7:U351)</f>
        <v>#N/A</v>
      </c>
      <c r="V4" s="449"/>
      <c r="W4" s="328">
        <f>SUBTOTAL(9,W7:W447)</f>
        <v>173116</v>
      </c>
      <c r="X4" s="328">
        <f>SUBTOTAL(9,X7:X447)</f>
        <v>3971446.5589615949</v>
      </c>
      <c r="Y4" s="328">
        <f>SUBTOTAL(9,Y7:Y447)</f>
        <v>6043796522</v>
      </c>
      <c r="Z4" s="328">
        <f>SUBTOTAL(9,Z7:Z351)</f>
        <v>0</v>
      </c>
      <c r="AA4" s="449">
        <f>SUBTOTAL(9,AA7:AA351)</f>
        <v>19118965824</v>
      </c>
      <c r="AB4" s="328">
        <f t="shared" ref="AB4:AG4" si="2">SUBTOTAL(9,AB7:AB447)</f>
        <v>29157</v>
      </c>
      <c r="AC4" s="328">
        <f t="shared" si="2"/>
        <v>77476</v>
      </c>
      <c r="AD4" s="328">
        <f t="shared" si="2"/>
        <v>183906</v>
      </c>
      <c r="AE4" s="328">
        <f t="shared" si="2"/>
        <v>290539</v>
      </c>
      <c r="AF4" s="328">
        <f t="shared" si="2"/>
        <v>191701</v>
      </c>
      <c r="AG4" s="328">
        <f t="shared" si="2"/>
        <v>2982751877</v>
      </c>
      <c r="AH4" s="328">
        <f>SUBTOTAL(9,AH7:AH351)</f>
        <v>0</v>
      </c>
      <c r="AI4" s="449">
        <f>SUBTOTAL(9,AI7:AI351)</f>
        <v>19118965824</v>
      </c>
      <c r="AJ4" s="328">
        <f t="shared" ref="AJ4:AO4" si="3">SUBTOTAL(9,AJ7:AJ447)</f>
        <v>29157</v>
      </c>
      <c r="AK4" s="328">
        <f t="shared" si="3"/>
        <v>77476</v>
      </c>
      <c r="AL4" s="328">
        <f t="shared" si="3"/>
        <v>183906</v>
      </c>
      <c r="AM4" s="328">
        <f t="shared" si="3"/>
        <v>290539</v>
      </c>
      <c r="AN4" s="328">
        <f t="shared" si="3"/>
        <v>191701</v>
      </c>
      <c r="AO4" s="328">
        <f t="shared" si="3"/>
        <v>5142904789</v>
      </c>
    </row>
    <row r="5" spans="1:41" ht="20.25" customHeight="1">
      <c r="C5" s="539" t="s">
        <v>131</v>
      </c>
      <c r="D5" s="539"/>
      <c r="E5" s="539"/>
      <c r="F5" s="539"/>
      <c r="G5" s="539"/>
      <c r="H5" s="539"/>
      <c r="I5" s="539"/>
      <c r="J5" s="539"/>
      <c r="K5" s="539"/>
      <c r="L5" s="442"/>
      <c r="N5" s="539" t="s">
        <v>110</v>
      </c>
      <c r="O5" s="539"/>
      <c r="P5" s="539"/>
      <c r="Q5" s="539"/>
      <c r="R5" s="539"/>
      <c r="S5" s="539"/>
      <c r="T5" s="442"/>
      <c r="V5" s="539" t="s">
        <v>127</v>
      </c>
      <c r="W5" s="539"/>
      <c r="X5" s="539"/>
      <c r="Y5" s="539"/>
      <c r="AA5" s="539" t="s">
        <v>154</v>
      </c>
      <c r="AB5" s="539"/>
      <c r="AC5" s="539"/>
      <c r="AD5" s="539"/>
      <c r="AE5" s="539"/>
      <c r="AF5" s="539"/>
      <c r="AG5" s="539"/>
      <c r="AI5" s="539" t="s">
        <v>155</v>
      </c>
      <c r="AJ5" s="539"/>
      <c r="AK5" s="539"/>
      <c r="AL5" s="539"/>
      <c r="AM5" s="539"/>
      <c r="AN5" s="539"/>
      <c r="AO5" s="539"/>
    </row>
    <row r="6" spans="1:41" s="210" customFormat="1">
      <c r="A6" s="330"/>
      <c r="B6" s="2" t="s">
        <v>104</v>
      </c>
      <c r="C6" s="451" t="s">
        <v>103</v>
      </c>
      <c r="D6" s="459" t="s">
        <v>97</v>
      </c>
      <c r="E6" s="331" t="s">
        <v>153</v>
      </c>
      <c r="F6" s="331"/>
      <c r="G6" s="331"/>
      <c r="H6" s="331"/>
      <c r="I6" s="331" t="s">
        <v>158</v>
      </c>
      <c r="J6" s="331" t="s">
        <v>156</v>
      </c>
      <c r="K6" s="331" t="s">
        <v>159</v>
      </c>
      <c r="L6" s="331"/>
      <c r="M6" s="2"/>
      <c r="N6" s="450" t="s">
        <v>103</v>
      </c>
      <c r="O6" s="332">
        <v>0.2</v>
      </c>
      <c r="P6" s="331">
        <v>0.5</v>
      </c>
      <c r="Q6" s="331">
        <v>0.8</v>
      </c>
      <c r="R6" s="331" t="s">
        <v>0</v>
      </c>
      <c r="S6" s="331" t="s">
        <v>132</v>
      </c>
      <c r="T6" s="162" t="s">
        <v>168</v>
      </c>
      <c r="U6" s="2"/>
      <c r="V6" s="451" t="s">
        <v>103</v>
      </c>
      <c r="W6" s="331" t="s">
        <v>131</v>
      </c>
      <c r="X6" s="331" t="s">
        <v>130</v>
      </c>
      <c r="Y6" s="331" t="s">
        <v>132</v>
      </c>
      <c r="Z6" s="2"/>
      <c r="AA6" s="451" t="s">
        <v>103</v>
      </c>
      <c r="AB6" s="332">
        <v>0.2</v>
      </c>
      <c r="AC6" s="331">
        <v>0.5</v>
      </c>
      <c r="AD6" s="331">
        <v>0.8</v>
      </c>
      <c r="AE6" s="331" t="s">
        <v>0</v>
      </c>
      <c r="AF6" s="331" t="s">
        <v>160</v>
      </c>
      <c r="AG6" s="331" t="s">
        <v>132</v>
      </c>
      <c r="AH6" s="2"/>
      <c r="AI6" s="451" t="s">
        <v>103</v>
      </c>
      <c r="AJ6" s="332">
        <v>0.2</v>
      </c>
      <c r="AK6" s="331">
        <v>0.5</v>
      </c>
      <c r="AL6" s="331">
        <v>0.8</v>
      </c>
      <c r="AM6" s="331" t="s">
        <v>0</v>
      </c>
      <c r="AN6" s="331" t="s">
        <v>160</v>
      </c>
      <c r="AO6" s="331" t="s">
        <v>132</v>
      </c>
    </row>
    <row r="7" spans="1:41" s="211" customFormat="1" ht="15.75">
      <c r="A7" s="167">
        <v>1</v>
      </c>
      <c r="B7" s="79" t="s">
        <v>161</v>
      </c>
      <c r="C7" s="452">
        <v>69717</v>
      </c>
      <c r="D7" s="460">
        <v>12331</v>
      </c>
      <c r="E7" s="333">
        <v>3455</v>
      </c>
      <c r="F7" s="333">
        <v>906</v>
      </c>
      <c r="G7" s="333">
        <v>1305</v>
      </c>
      <c r="H7" s="333">
        <v>1244</v>
      </c>
      <c r="I7" s="333">
        <v>1878</v>
      </c>
      <c r="J7" s="333">
        <v>0</v>
      </c>
      <c r="K7" s="333">
        <v>1878</v>
      </c>
      <c r="L7" s="333"/>
      <c r="M7" s="165"/>
      <c r="N7" s="400">
        <v>69717</v>
      </c>
      <c r="O7" s="333">
        <v>906</v>
      </c>
      <c r="P7" s="333">
        <v>1305</v>
      </c>
      <c r="Q7" s="333">
        <v>1244</v>
      </c>
      <c r="R7" s="333">
        <v>3455</v>
      </c>
      <c r="S7" s="333">
        <v>39482599</v>
      </c>
      <c r="T7" s="334">
        <v>0.35</v>
      </c>
      <c r="U7" s="165">
        <f>VLOOKUP(N7,'[2]154'!$C$9:$T$554,18,0)</f>
        <v>7054</v>
      </c>
      <c r="V7" s="400">
        <v>69717</v>
      </c>
      <c r="W7" s="404">
        <v>1878</v>
      </c>
      <c r="X7" s="405">
        <v>13055.030351437699</v>
      </c>
      <c r="Y7" s="404">
        <v>24517347</v>
      </c>
      <c r="Z7" s="169"/>
      <c r="AA7" s="400">
        <v>69717</v>
      </c>
      <c r="AB7" s="333">
        <v>906</v>
      </c>
      <c r="AC7" s="333">
        <v>1305</v>
      </c>
      <c r="AD7" s="333">
        <v>1244</v>
      </c>
      <c r="AE7" s="333">
        <v>3455</v>
      </c>
      <c r="AF7" s="333">
        <v>1829</v>
      </c>
      <c r="AG7" s="333">
        <v>15027404</v>
      </c>
      <c r="AH7" s="169"/>
      <c r="AI7" s="400">
        <v>69717</v>
      </c>
      <c r="AJ7" s="333">
        <v>906</v>
      </c>
      <c r="AK7" s="333">
        <v>1305</v>
      </c>
      <c r="AL7" s="333">
        <v>1244</v>
      </c>
      <c r="AM7" s="333">
        <v>3455</v>
      </c>
      <c r="AN7" s="333">
        <v>1829</v>
      </c>
      <c r="AO7" s="333">
        <v>24455195</v>
      </c>
    </row>
    <row r="8" spans="1:41" s="211" customFormat="1" ht="15.75">
      <c r="A8" s="167">
        <v>2</v>
      </c>
      <c r="B8" s="79" t="s">
        <v>161</v>
      </c>
      <c r="C8" s="452">
        <v>73738</v>
      </c>
      <c r="D8" s="460">
        <v>0</v>
      </c>
      <c r="E8" s="333">
        <v>473</v>
      </c>
      <c r="F8" s="333">
        <v>0</v>
      </c>
      <c r="G8" s="333">
        <v>0</v>
      </c>
      <c r="H8" s="333">
        <v>473</v>
      </c>
      <c r="I8" s="333">
        <v>0</v>
      </c>
      <c r="J8" s="333">
        <v>0</v>
      </c>
      <c r="K8" s="333">
        <v>0</v>
      </c>
      <c r="L8" s="333"/>
      <c r="M8" s="165"/>
      <c r="N8" s="400">
        <v>73738</v>
      </c>
      <c r="O8" s="333">
        <v>0</v>
      </c>
      <c r="P8" s="333">
        <v>0</v>
      </c>
      <c r="Q8" s="333">
        <v>473</v>
      </c>
      <c r="R8" s="333">
        <v>473</v>
      </c>
      <c r="S8" s="333">
        <v>14152577</v>
      </c>
      <c r="T8" s="334">
        <v>1.8</v>
      </c>
      <c r="U8" s="165">
        <f>VLOOKUP(N8,'[2]154'!$C$9:$T$554,18,0)</f>
        <v>473</v>
      </c>
      <c r="V8" s="400">
        <v>73738</v>
      </c>
      <c r="W8" s="404">
        <v>0</v>
      </c>
      <c r="X8" s="405">
        <v>0</v>
      </c>
      <c r="Y8" s="404">
        <v>0</v>
      </c>
      <c r="Z8" s="169"/>
      <c r="AA8" s="400">
        <v>73738</v>
      </c>
      <c r="AB8" s="333">
        <v>0</v>
      </c>
      <c r="AC8" s="333">
        <v>0</v>
      </c>
      <c r="AD8" s="333">
        <v>473</v>
      </c>
      <c r="AE8" s="333">
        <v>473</v>
      </c>
      <c r="AF8" s="333">
        <v>378</v>
      </c>
      <c r="AG8" s="333">
        <v>5570974</v>
      </c>
      <c r="AH8" s="169"/>
      <c r="AI8" s="400">
        <v>73738</v>
      </c>
      <c r="AJ8" s="333">
        <v>0</v>
      </c>
      <c r="AK8" s="333">
        <v>0</v>
      </c>
      <c r="AL8" s="333">
        <v>473</v>
      </c>
      <c r="AM8" s="333">
        <v>473</v>
      </c>
      <c r="AN8" s="333">
        <v>378</v>
      </c>
      <c r="AO8" s="333">
        <v>8581603</v>
      </c>
    </row>
    <row r="9" spans="1:41" ht="15.75">
      <c r="A9" s="167">
        <v>3</v>
      </c>
      <c r="B9" s="79" t="s">
        <v>161</v>
      </c>
      <c r="C9" s="452">
        <v>73746</v>
      </c>
      <c r="D9" s="458">
        <v>0</v>
      </c>
      <c r="E9" s="329">
        <v>0</v>
      </c>
      <c r="F9" s="329">
        <v>0</v>
      </c>
      <c r="G9" s="329">
        <v>0</v>
      </c>
      <c r="H9" s="329">
        <v>0</v>
      </c>
      <c r="I9" s="329">
        <v>0</v>
      </c>
      <c r="J9" s="329">
        <v>11</v>
      </c>
      <c r="K9" s="333">
        <v>11</v>
      </c>
      <c r="L9" s="333"/>
      <c r="M9" s="165"/>
      <c r="N9" s="401">
        <v>73746</v>
      </c>
      <c r="O9" s="329">
        <v>0</v>
      </c>
      <c r="P9" s="329">
        <v>0</v>
      </c>
      <c r="Q9" s="329">
        <v>0</v>
      </c>
      <c r="R9" s="333">
        <v>0</v>
      </c>
      <c r="S9" s="333">
        <v>0</v>
      </c>
      <c r="T9" s="335">
        <v>2</v>
      </c>
      <c r="U9" s="165">
        <f>VLOOKUP(N9,'[2]154'!$C$9:$T$554,18,0)</f>
        <v>0</v>
      </c>
      <c r="V9" s="401">
        <v>73746</v>
      </c>
      <c r="W9" s="406">
        <v>11</v>
      </c>
      <c r="X9" s="405">
        <v>17426.909090909092</v>
      </c>
      <c r="Y9" s="406">
        <v>191696</v>
      </c>
      <c r="Z9" s="3"/>
      <c r="AA9" s="401">
        <v>73746</v>
      </c>
      <c r="AB9" s="329">
        <v>0</v>
      </c>
      <c r="AC9" s="329">
        <v>0</v>
      </c>
      <c r="AD9" s="329">
        <v>0</v>
      </c>
      <c r="AE9" s="329">
        <v>0</v>
      </c>
      <c r="AF9" s="329">
        <v>0</v>
      </c>
      <c r="AG9" s="329">
        <v>0</v>
      </c>
      <c r="AH9" s="3"/>
      <c r="AI9" s="401">
        <v>73746</v>
      </c>
      <c r="AJ9" s="329">
        <v>0</v>
      </c>
      <c r="AK9" s="329">
        <v>0</v>
      </c>
      <c r="AL9" s="329">
        <v>0</v>
      </c>
      <c r="AM9" s="329">
        <v>0</v>
      </c>
      <c r="AN9" s="329">
        <v>0</v>
      </c>
      <c r="AO9" s="329">
        <v>0</v>
      </c>
    </row>
    <row r="10" spans="1:41" s="211" customFormat="1" ht="15.75">
      <c r="A10" s="167">
        <v>4</v>
      </c>
      <c r="B10" s="79" t="s">
        <v>161</v>
      </c>
      <c r="C10" s="452">
        <v>74211</v>
      </c>
      <c r="D10" s="460">
        <v>3960</v>
      </c>
      <c r="E10" s="333">
        <v>37</v>
      </c>
      <c r="F10" s="333">
        <v>0</v>
      </c>
      <c r="G10" s="333">
        <v>0</v>
      </c>
      <c r="H10" s="333">
        <v>37</v>
      </c>
      <c r="I10" s="333">
        <v>0</v>
      </c>
      <c r="J10" s="333">
        <v>0</v>
      </c>
      <c r="K10" s="333">
        <v>0</v>
      </c>
      <c r="L10" s="333"/>
      <c r="M10" s="165"/>
      <c r="N10" s="397">
        <v>74211</v>
      </c>
      <c r="O10" s="333">
        <v>0</v>
      </c>
      <c r="P10" s="333">
        <v>0</v>
      </c>
      <c r="Q10" s="333">
        <v>37</v>
      </c>
      <c r="R10" s="333">
        <v>37</v>
      </c>
      <c r="S10" s="333">
        <v>650887</v>
      </c>
      <c r="T10" s="334">
        <v>0.35</v>
      </c>
      <c r="U10" s="165">
        <f>VLOOKUP(N10,'[2]154'!$C$9:$T$554,18,0)</f>
        <v>435</v>
      </c>
      <c r="V10" s="397">
        <v>74211</v>
      </c>
      <c r="W10" s="404">
        <v>0</v>
      </c>
      <c r="X10" s="405">
        <v>0</v>
      </c>
      <c r="Y10" s="404">
        <v>0</v>
      </c>
      <c r="Z10" s="169"/>
      <c r="AA10" s="397">
        <v>74211</v>
      </c>
      <c r="AB10" s="333">
        <v>0</v>
      </c>
      <c r="AC10" s="333">
        <v>0</v>
      </c>
      <c r="AD10" s="333">
        <v>37</v>
      </c>
      <c r="AE10" s="333">
        <v>37</v>
      </c>
      <c r="AF10" s="333">
        <v>30</v>
      </c>
      <c r="AG10" s="333">
        <v>263270</v>
      </c>
      <c r="AH10" s="169"/>
      <c r="AI10" s="397">
        <v>74211</v>
      </c>
      <c r="AJ10" s="333">
        <v>0</v>
      </c>
      <c r="AK10" s="333">
        <v>0</v>
      </c>
      <c r="AL10" s="333">
        <v>37</v>
      </c>
      <c r="AM10" s="333">
        <v>37</v>
      </c>
      <c r="AN10" s="333">
        <v>30</v>
      </c>
      <c r="AO10" s="333">
        <v>387617</v>
      </c>
    </row>
    <row r="11" spans="1:41" s="211" customFormat="1" ht="15.75">
      <c r="A11" s="167">
        <v>5</v>
      </c>
      <c r="B11" s="79" t="s">
        <v>161</v>
      </c>
      <c r="C11" s="452">
        <v>2072</v>
      </c>
      <c r="D11" s="460">
        <v>142225</v>
      </c>
      <c r="E11" s="333">
        <v>10378</v>
      </c>
      <c r="F11" s="328">
        <v>64</v>
      </c>
      <c r="G11" s="328">
        <v>861</v>
      </c>
      <c r="H11" s="328">
        <v>9453</v>
      </c>
      <c r="I11" s="333">
        <v>0</v>
      </c>
      <c r="J11" s="333">
        <v>142</v>
      </c>
      <c r="K11" s="333">
        <v>142</v>
      </c>
      <c r="L11" s="333"/>
      <c r="M11" s="208"/>
      <c r="N11" s="397">
        <v>2072</v>
      </c>
      <c r="O11" s="333">
        <v>64</v>
      </c>
      <c r="P11" s="333">
        <v>861</v>
      </c>
      <c r="Q11" s="333">
        <v>9453</v>
      </c>
      <c r="R11" s="333">
        <v>10378</v>
      </c>
      <c r="S11" s="328">
        <v>240276385</v>
      </c>
      <c r="T11" s="334">
        <v>1.26</v>
      </c>
      <c r="U11" s="165">
        <v>12327</v>
      </c>
      <c r="V11" s="397">
        <v>2072</v>
      </c>
      <c r="W11" s="404">
        <v>142</v>
      </c>
      <c r="X11" s="405">
        <v>23081.154929577464</v>
      </c>
      <c r="Y11" s="404">
        <v>3277524</v>
      </c>
      <c r="Z11" s="169"/>
      <c r="AA11" s="397">
        <v>2072</v>
      </c>
      <c r="AB11" s="328">
        <v>64</v>
      </c>
      <c r="AC11" s="328">
        <v>861</v>
      </c>
      <c r="AD11" s="328">
        <v>9453</v>
      </c>
      <c r="AE11" s="328">
        <v>10378</v>
      </c>
      <c r="AF11" s="328">
        <v>8006</v>
      </c>
      <c r="AG11" s="328">
        <v>83856048</v>
      </c>
      <c r="AH11" s="169"/>
      <c r="AI11" s="397">
        <v>2072</v>
      </c>
      <c r="AJ11" s="328">
        <v>64</v>
      </c>
      <c r="AK11" s="328">
        <v>861</v>
      </c>
      <c r="AL11" s="328">
        <v>9453</v>
      </c>
      <c r="AM11" s="328">
        <v>10378</v>
      </c>
      <c r="AN11" s="328">
        <v>8006</v>
      </c>
      <c r="AO11" s="328">
        <v>156420337</v>
      </c>
    </row>
    <row r="12" spans="1:41" s="211" customFormat="1" ht="15.75">
      <c r="A12" s="167">
        <v>6</v>
      </c>
      <c r="B12" s="79" t="s">
        <v>106</v>
      </c>
      <c r="C12" s="452" t="s">
        <v>186</v>
      </c>
      <c r="D12" s="460">
        <v>89849</v>
      </c>
      <c r="E12" s="333">
        <v>16696</v>
      </c>
      <c r="F12" s="333">
        <v>79</v>
      </c>
      <c r="G12" s="333">
        <v>129</v>
      </c>
      <c r="H12" s="333">
        <v>16488</v>
      </c>
      <c r="I12" s="333">
        <v>0</v>
      </c>
      <c r="J12" s="333">
        <v>0</v>
      </c>
      <c r="K12" s="333">
        <v>0</v>
      </c>
      <c r="L12" s="333"/>
      <c r="M12" s="165"/>
      <c r="N12" s="397" t="s">
        <v>186</v>
      </c>
      <c r="O12" s="333">
        <v>79</v>
      </c>
      <c r="P12" s="333">
        <v>129</v>
      </c>
      <c r="Q12" s="333">
        <v>16488</v>
      </c>
      <c r="R12" s="333">
        <v>16696</v>
      </c>
      <c r="S12" s="333">
        <v>406026305</v>
      </c>
      <c r="T12" s="334">
        <v>0.35</v>
      </c>
      <c r="U12" s="165">
        <f>VLOOKUP(N12,'[2]154'!$C$9:$T$554,18,0)</f>
        <v>16696</v>
      </c>
      <c r="V12" s="397" t="s">
        <v>186</v>
      </c>
      <c r="W12" s="404">
        <v>0</v>
      </c>
      <c r="X12" s="405">
        <v>0</v>
      </c>
      <c r="Y12" s="404">
        <v>0</v>
      </c>
      <c r="Z12" s="169"/>
      <c r="AA12" s="397" t="s">
        <v>186</v>
      </c>
      <c r="AB12" s="333">
        <v>79</v>
      </c>
      <c r="AC12" s="333">
        <v>129</v>
      </c>
      <c r="AD12" s="333">
        <v>16488</v>
      </c>
      <c r="AE12" s="333">
        <v>16696</v>
      </c>
      <c r="AF12" s="333">
        <v>13271</v>
      </c>
      <c r="AG12" s="333">
        <v>177821244</v>
      </c>
      <c r="AH12" s="169"/>
      <c r="AI12" s="397" t="s">
        <v>186</v>
      </c>
      <c r="AJ12" s="333">
        <v>79</v>
      </c>
      <c r="AK12" s="333">
        <v>129</v>
      </c>
      <c r="AL12" s="333">
        <v>16488</v>
      </c>
      <c r="AM12" s="333">
        <v>16696</v>
      </c>
      <c r="AN12" s="333">
        <v>13271</v>
      </c>
      <c r="AO12" s="333">
        <v>228205061</v>
      </c>
    </row>
    <row r="13" spans="1:41" s="211" customFormat="1" ht="15.75">
      <c r="A13" s="167">
        <v>7</v>
      </c>
      <c r="B13" s="79" t="s">
        <v>106</v>
      </c>
      <c r="C13" s="452" t="s">
        <v>187</v>
      </c>
      <c r="D13" s="460">
        <v>45884</v>
      </c>
      <c r="E13" s="333">
        <v>2660</v>
      </c>
      <c r="F13" s="333">
        <v>230</v>
      </c>
      <c r="G13" s="333">
        <v>328</v>
      </c>
      <c r="H13" s="333">
        <v>2102</v>
      </c>
      <c r="I13" s="333">
        <v>5304</v>
      </c>
      <c r="J13" s="333">
        <v>58</v>
      </c>
      <c r="K13" s="333">
        <v>5362</v>
      </c>
      <c r="L13" s="333"/>
      <c r="M13" s="165"/>
      <c r="N13" s="397" t="s">
        <v>187</v>
      </c>
      <c r="O13" s="333">
        <v>230</v>
      </c>
      <c r="P13" s="333">
        <v>328</v>
      </c>
      <c r="Q13" s="333">
        <v>2102</v>
      </c>
      <c r="R13" s="333">
        <v>2660</v>
      </c>
      <c r="S13" s="333">
        <v>62345021</v>
      </c>
      <c r="T13" s="334">
        <v>1.55</v>
      </c>
      <c r="U13" s="165">
        <f>VLOOKUP(N13,'[2]154'!$C$9:$T$554,18,0)</f>
        <v>2601</v>
      </c>
      <c r="V13" s="397" t="s">
        <v>187</v>
      </c>
      <c r="W13" s="404">
        <v>5362</v>
      </c>
      <c r="X13" s="405">
        <v>30703.300261096607</v>
      </c>
      <c r="Y13" s="404">
        <v>164631096</v>
      </c>
      <c r="Z13" s="169"/>
      <c r="AA13" s="397" t="s">
        <v>187</v>
      </c>
      <c r="AB13" s="333">
        <v>230</v>
      </c>
      <c r="AC13" s="333">
        <v>328</v>
      </c>
      <c r="AD13" s="333">
        <v>2102</v>
      </c>
      <c r="AE13" s="333">
        <v>2660</v>
      </c>
      <c r="AF13" s="333">
        <v>1892</v>
      </c>
      <c r="AG13" s="333">
        <v>22123052</v>
      </c>
      <c r="AH13" s="169"/>
      <c r="AI13" s="397" t="s">
        <v>187</v>
      </c>
      <c r="AJ13" s="333">
        <v>230</v>
      </c>
      <c r="AK13" s="333">
        <v>328</v>
      </c>
      <c r="AL13" s="333">
        <v>2102</v>
      </c>
      <c r="AM13" s="333">
        <v>2660</v>
      </c>
      <c r="AN13" s="333">
        <v>1892</v>
      </c>
      <c r="AO13" s="333">
        <v>40221969</v>
      </c>
    </row>
    <row r="14" spans="1:41" s="211" customFormat="1" ht="15.75">
      <c r="A14" s="167">
        <v>8</v>
      </c>
      <c r="B14" s="79" t="s">
        <v>161</v>
      </c>
      <c r="C14" s="452">
        <v>7285</v>
      </c>
      <c r="D14" s="460">
        <v>0</v>
      </c>
      <c r="E14" s="333">
        <v>32</v>
      </c>
      <c r="F14" s="333">
        <v>0</v>
      </c>
      <c r="G14" s="333">
        <v>0</v>
      </c>
      <c r="H14" s="333">
        <v>32</v>
      </c>
      <c r="I14" s="333">
        <v>0</v>
      </c>
      <c r="J14" s="333">
        <v>0</v>
      </c>
      <c r="K14" s="333">
        <v>0</v>
      </c>
      <c r="L14" s="333"/>
      <c r="M14" s="165"/>
      <c r="N14" s="400">
        <v>7285</v>
      </c>
      <c r="O14" s="333">
        <v>0</v>
      </c>
      <c r="P14" s="333">
        <v>0</v>
      </c>
      <c r="Q14" s="333">
        <v>32</v>
      </c>
      <c r="R14" s="333">
        <v>32</v>
      </c>
      <c r="S14" s="333">
        <v>1355820</v>
      </c>
      <c r="T14" s="334">
        <v>0.35</v>
      </c>
      <c r="U14" s="165">
        <f>VLOOKUP(N14,'[2]154'!$C$9:$T$554,18,0)</f>
        <v>32</v>
      </c>
      <c r="V14" s="400">
        <v>7285</v>
      </c>
      <c r="W14" s="404">
        <v>0</v>
      </c>
      <c r="X14" s="405">
        <v>0</v>
      </c>
      <c r="Y14" s="404">
        <v>0</v>
      </c>
      <c r="Z14" s="169"/>
      <c r="AA14" s="400">
        <v>7285</v>
      </c>
      <c r="AB14" s="333">
        <v>0</v>
      </c>
      <c r="AC14" s="333">
        <v>0</v>
      </c>
      <c r="AD14" s="333">
        <v>32</v>
      </c>
      <c r="AE14" s="333">
        <v>32</v>
      </c>
      <c r="AF14" s="333">
        <v>26</v>
      </c>
      <c r="AG14" s="333">
        <v>569868</v>
      </c>
      <c r="AH14" s="169"/>
      <c r="AI14" s="400">
        <v>7285</v>
      </c>
      <c r="AJ14" s="333">
        <v>0</v>
      </c>
      <c r="AK14" s="333">
        <v>0</v>
      </c>
      <c r="AL14" s="333">
        <v>32</v>
      </c>
      <c r="AM14" s="333">
        <v>32</v>
      </c>
      <c r="AN14" s="333">
        <v>26</v>
      </c>
      <c r="AO14" s="333">
        <v>785952</v>
      </c>
    </row>
    <row r="15" spans="1:41" s="211" customFormat="1" ht="15.75">
      <c r="A15" s="167">
        <v>9</v>
      </c>
      <c r="B15" s="79" t="s">
        <v>161</v>
      </c>
      <c r="C15" s="452">
        <v>100004407</v>
      </c>
      <c r="D15" s="460">
        <v>14942</v>
      </c>
      <c r="E15" s="333">
        <v>305</v>
      </c>
      <c r="F15" s="333">
        <v>0</v>
      </c>
      <c r="G15" s="333">
        <v>116</v>
      </c>
      <c r="H15" s="333">
        <v>189</v>
      </c>
      <c r="I15" s="333">
        <v>0</v>
      </c>
      <c r="J15" s="333">
        <v>0</v>
      </c>
      <c r="K15" s="333">
        <v>0</v>
      </c>
      <c r="L15" s="333"/>
      <c r="M15" s="208"/>
      <c r="N15" s="400">
        <v>100004407</v>
      </c>
      <c r="O15" s="333">
        <v>0</v>
      </c>
      <c r="P15" s="333">
        <v>116</v>
      </c>
      <c r="Q15" s="333">
        <v>189</v>
      </c>
      <c r="R15" s="333">
        <v>305</v>
      </c>
      <c r="S15" s="333">
        <v>5269051</v>
      </c>
      <c r="T15" s="334">
        <v>0.36</v>
      </c>
      <c r="U15" s="165">
        <f>VLOOKUP(N15,'[2]154'!$C$9:$T$554,18,0)</f>
        <v>685</v>
      </c>
      <c r="V15" s="400">
        <v>100004407</v>
      </c>
      <c r="W15" s="404">
        <v>0</v>
      </c>
      <c r="X15" s="405">
        <v>0</v>
      </c>
      <c r="Y15" s="404">
        <v>0</v>
      </c>
      <c r="Z15" s="169"/>
      <c r="AA15" s="400">
        <v>100004407</v>
      </c>
      <c r="AB15" s="333">
        <v>0</v>
      </c>
      <c r="AC15" s="333">
        <v>116</v>
      </c>
      <c r="AD15" s="333">
        <v>189</v>
      </c>
      <c r="AE15" s="333">
        <v>305</v>
      </c>
      <c r="AF15" s="333">
        <v>209</v>
      </c>
      <c r="AG15" s="333">
        <v>1959476</v>
      </c>
      <c r="AH15" s="169"/>
      <c r="AI15" s="400">
        <v>100004407</v>
      </c>
      <c r="AJ15" s="333">
        <v>0</v>
      </c>
      <c r="AK15" s="333">
        <v>116</v>
      </c>
      <c r="AL15" s="333">
        <v>189</v>
      </c>
      <c r="AM15" s="333">
        <v>305</v>
      </c>
      <c r="AN15" s="333">
        <v>209</v>
      </c>
      <c r="AO15" s="333">
        <v>3309575</v>
      </c>
    </row>
    <row r="16" spans="1:41" s="211" customFormat="1" ht="15.75">
      <c r="A16" s="167">
        <v>10</v>
      </c>
      <c r="B16" s="79" t="s">
        <v>105</v>
      </c>
      <c r="C16" s="452">
        <v>446749</v>
      </c>
      <c r="D16" s="460">
        <v>0</v>
      </c>
      <c r="E16" s="333">
        <v>165</v>
      </c>
      <c r="F16" s="333">
        <v>0</v>
      </c>
      <c r="G16" s="333">
        <v>0</v>
      </c>
      <c r="H16" s="333">
        <v>165</v>
      </c>
      <c r="I16" s="333">
        <v>0</v>
      </c>
      <c r="J16" s="333">
        <v>0</v>
      </c>
      <c r="K16" s="333">
        <v>0</v>
      </c>
      <c r="L16" s="333"/>
      <c r="M16" s="165"/>
      <c r="N16" s="400">
        <v>446749</v>
      </c>
      <c r="O16" s="333">
        <v>0</v>
      </c>
      <c r="P16" s="333">
        <v>0</v>
      </c>
      <c r="Q16" s="333">
        <v>165</v>
      </c>
      <c r="R16" s="333">
        <v>165</v>
      </c>
      <c r="S16" s="333">
        <v>7256593</v>
      </c>
      <c r="T16" s="334">
        <v>2.65</v>
      </c>
      <c r="U16" s="165">
        <f>VLOOKUP(N16,'[2]154'!$C$9:$T$554,18,0)</f>
        <v>165</v>
      </c>
      <c r="V16" s="400">
        <v>446749</v>
      </c>
      <c r="W16" s="404">
        <v>0</v>
      </c>
      <c r="X16" s="405">
        <v>0</v>
      </c>
      <c r="Y16" s="404">
        <v>0</v>
      </c>
      <c r="Z16" s="169"/>
      <c r="AA16" s="400">
        <v>446749</v>
      </c>
      <c r="AB16" s="333">
        <v>0</v>
      </c>
      <c r="AC16" s="333">
        <v>0</v>
      </c>
      <c r="AD16" s="333">
        <v>165</v>
      </c>
      <c r="AE16" s="333">
        <v>165</v>
      </c>
      <c r="AF16" s="333">
        <v>132</v>
      </c>
      <c r="AG16" s="333">
        <v>2743703</v>
      </c>
      <c r="AH16" s="169"/>
      <c r="AI16" s="400">
        <v>446749</v>
      </c>
      <c r="AJ16" s="333">
        <v>0</v>
      </c>
      <c r="AK16" s="333">
        <v>0</v>
      </c>
      <c r="AL16" s="333">
        <v>165</v>
      </c>
      <c r="AM16" s="333">
        <v>165</v>
      </c>
      <c r="AN16" s="333">
        <v>132</v>
      </c>
      <c r="AO16" s="333">
        <v>4512890</v>
      </c>
    </row>
    <row r="17" spans="1:41" s="211" customFormat="1" ht="15.75">
      <c r="A17" s="167">
        <v>11</v>
      </c>
      <c r="B17" s="79" t="s">
        <v>105</v>
      </c>
      <c r="C17" s="452">
        <v>446053</v>
      </c>
      <c r="D17" s="460">
        <v>0</v>
      </c>
      <c r="E17" s="333">
        <v>63</v>
      </c>
      <c r="F17" s="333">
        <v>0</v>
      </c>
      <c r="G17" s="333">
        <v>0</v>
      </c>
      <c r="H17" s="333">
        <v>63</v>
      </c>
      <c r="I17" s="333">
        <v>0</v>
      </c>
      <c r="J17" s="333">
        <v>0</v>
      </c>
      <c r="K17" s="333">
        <v>0</v>
      </c>
      <c r="L17" s="333"/>
      <c r="M17" s="208"/>
      <c r="N17" s="400">
        <v>446053</v>
      </c>
      <c r="O17" s="333">
        <v>0</v>
      </c>
      <c r="P17" s="333">
        <v>0</v>
      </c>
      <c r="Q17" s="333">
        <v>63</v>
      </c>
      <c r="R17" s="333">
        <v>63</v>
      </c>
      <c r="S17" s="333">
        <v>1145629</v>
      </c>
      <c r="T17" s="334">
        <v>0.35</v>
      </c>
      <c r="U17" s="165">
        <f>VLOOKUP(N17,'[2]154'!$C$9:$T$554,18,0)</f>
        <v>63</v>
      </c>
      <c r="V17" s="400">
        <v>446053</v>
      </c>
      <c r="W17" s="404">
        <v>0</v>
      </c>
      <c r="X17" s="405">
        <v>0</v>
      </c>
      <c r="Y17" s="404">
        <v>0</v>
      </c>
      <c r="Z17" s="169"/>
      <c r="AA17" s="400">
        <v>446053</v>
      </c>
      <c r="AB17" s="333">
        <v>0</v>
      </c>
      <c r="AC17" s="333">
        <v>0</v>
      </c>
      <c r="AD17" s="333">
        <v>63</v>
      </c>
      <c r="AE17" s="333">
        <v>63</v>
      </c>
      <c r="AF17" s="333">
        <v>50</v>
      </c>
      <c r="AG17" s="333">
        <v>433160</v>
      </c>
      <c r="AH17" s="169"/>
      <c r="AI17" s="400">
        <v>446053</v>
      </c>
      <c r="AJ17" s="333">
        <v>0</v>
      </c>
      <c r="AK17" s="333">
        <v>0</v>
      </c>
      <c r="AL17" s="333">
        <v>63</v>
      </c>
      <c r="AM17" s="333">
        <v>63</v>
      </c>
      <c r="AN17" s="333">
        <v>50</v>
      </c>
      <c r="AO17" s="333">
        <v>712469</v>
      </c>
    </row>
    <row r="18" spans="1:41" s="211" customFormat="1" ht="15.75">
      <c r="A18" s="167">
        <v>12</v>
      </c>
      <c r="B18" s="79" t="s">
        <v>161</v>
      </c>
      <c r="C18" s="452">
        <v>100004405</v>
      </c>
      <c r="D18" s="460">
        <v>0</v>
      </c>
      <c r="E18" s="333">
        <v>79</v>
      </c>
      <c r="F18" s="333">
        <v>0</v>
      </c>
      <c r="G18" s="333">
        <v>0</v>
      </c>
      <c r="H18" s="333">
        <v>79</v>
      </c>
      <c r="I18" s="333">
        <v>0</v>
      </c>
      <c r="J18" s="333">
        <v>0</v>
      </c>
      <c r="K18" s="333">
        <v>0</v>
      </c>
      <c r="L18" s="333"/>
      <c r="M18" s="165"/>
      <c r="N18" s="400">
        <v>100004405</v>
      </c>
      <c r="O18" s="333">
        <v>0</v>
      </c>
      <c r="P18" s="333">
        <v>0</v>
      </c>
      <c r="Q18" s="333">
        <v>79</v>
      </c>
      <c r="R18" s="333">
        <v>79</v>
      </c>
      <c r="S18" s="333">
        <v>1370172</v>
      </c>
      <c r="T18" s="334">
        <v>0.36</v>
      </c>
      <c r="U18" s="165">
        <f>VLOOKUP(N18,'[2]154'!$C$9:$T$554,18,0)</f>
        <v>79</v>
      </c>
      <c r="V18" s="400">
        <v>100004405</v>
      </c>
      <c r="W18" s="404">
        <v>0</v>
      </c>
      <c r="X18" s="405">
        <v>0</v>
      </c>
      <c r="Y18" s="404">
        <v>0</v>
      </c>
      <c r="Z18" s="169"/>
      <c r="AA18" s="400">
        <v>100004405</v>
      </c>
      <c r="AB18" s="333">
        <v>0</v>
      </c>
      <c r="AC18" s="333">
        <v>0</v>
      </c>
      <c r="AD18" s="333">
        <v>79</v>
      </c>
      <c r="AE18" s="333">
        <v>79</v>
      </c>
      <c r="AF18" s="333">
        <v>63</v>
      </c>
      <c r="AG18" s="333">
        <v>525166</v>
      </c>
      <c r="AH18" s="169"/>
      <c r="AI18" s="400">
        <v>100004405</v>
      </c>
      <c r="AJ18" s="333">
        <v>0</v>
      </c>
      <c r="AK18" s="333">
        <v>0</v>
      </c>
      <c r="AL18" s="333">
        <v>79</v>
      </c>
      <c r="AM18" s="333">
        <v>79</v>
      </c>
      <c r="AN18" s="333">
        <v>63</v>
      </c>
      <c r="AO18" s="333">
        <v>845006</v>
      </c>
    </row>
    <row r="19" spans="1:41" s="211" customFormat="1" ht="15.75">
      <c r="A19" s="167">
        <v>13</v>
      </c>
      <c r="B19" s="79" t="s">
        <v>161</v>
      </c>
      <c r="C19" s="452">
        <v>100003246</v>
      </c>
      <c r="D19" s="460">
        <v>0</v>
      </c>
      <c r="E19" s="333">
        <v>377</v>
      </c>
      <c r="F19" s="333">
        <v>0</v>
      </c>
      <c r="G19" s="333">
        <v>0</v>
      </c>
      <c r="H19" s="333">
        <v>377</v>
      </c>
      <c r="I19" s="333">
        <v>0</v>
      </c>
      <c r="J19" s="333">
        <v>0</v>
      </c>
      <c r="K19" s="333">
        <v>0</v>
      </c>
      <c r="L19" s="333"/>
      <c r="M19" s="165"/>
      <c r="N19" s="400">
        <v>100003246</v>
      </c>
      <c r="O19" s="333">
        <v>0</v>
      </c>
      <c r="P19" s="333">
        <v>0</v>
      </c>
      <c r="Q19" s="333">
        <v>377</v>
      </c>
      <c r="R19" s="333">
        <v>377</v>
      </c>
      <c r="S19" s="333">
        <v>6456010</v>
      </c>
      <c r="T19" s="334">
        <v>0.36</v>
      </c>
      <c r="U19" s="165">
        <f>VLOOKUP(N19,'[2]154'!$C$9:$T$554,18,0)</f>
        <v>377</v>
      </c>
      <c r="V19" s="400">
        <v>100003246</v>
      </c>
      <c r="W19" s="404">
        <v>0</v>
      </c>
      <c r="X19" s="405">
        <v>0</v>
      </c>
      <c r="Y19" s="404">
        <v>0</v>
      </c>
      <c r="Z19" s="169"/>
      <c r="AA19" s="400">
        <v>100003246</v>
      </c>
      <c r="AB19" s="333">
        <v>0</v>
      </c>
      <c r="AC19" s="333">
        <v>0</v>
      </c>
      <c r="AD19" s="333">
        <v>377</v>
      </c>
      <c r="AE19" s="333">
        <v>377</v>
      </c>
      <c r="AF19" s="333">
        <v>302</v>
      </c>
      <c r="AG19" s="333">
        <v>2474021</v>
      </c>
      <c r="AH19" s="169"/>
      <c r="AI19" s="400">
        <v>100003246</v>
      </c>
      <c r="AJ19" s="333">
        <v>0</v>
      </c>
      <c r="AK19" s="333">
        <v>0</v>
      </c>
      <c r="AL19" s="333">
        <v>377</v>
      </c>
      <c r="AM19" s="333">
        <v>377</v>
      </c>
      <c r="AN19" s="333">
        <v>302</v>
      </c>
      <c r="AO19" s="333">
        <v>3981989</v>
      </c>
    </row>
    <row r="20" spans="1:41" s="211" customFormat="1" ht="15.75">
      <c r="A20" s="167">
        <v>14</v>
      </c>
      <c r="B20" s="79" t="s">
        <v>161</v>
      </c>
      <c r="C20" s="452">
        <v>100001802</v>
      </c>
      <c r="D20" s="460">
        <v>0</v>
      </c>
      <c r="E20" s="333">
        <v>103</v>
      </c>
      <c r="F20" s="333">
        <v>0</v>
      </c>
      <c r="G20" s="333">
        <v>0</v>
      </c>
      <c r="H20" s="333">
        <v>103</v>
      </c>
      <c r="I20" s="333">
        <v>0</v>
      </c>
      <c r="J20" s="333">
        <v>0</v>
      </c>
      <c r="K20" s="333">
        <v>0</v>
      </c>
      <c r="L20" s="333"/>
      <c r="M20" s="208"/>
      <c r="N20" s="400">
        <v>100001802</v>
      </c>
      <c r="O20" s="333">
        <v>0</v>
      </c>
      <c r="P20" s="333">
        <v>0</v>
      </c>
      <c r="Q20" s="333">
        <v>103</v>
      </c>
      <c r="R20" s="333">
        <v>103</v>
      </c>
      <c r="S20" s="333">
        <v>3319034</v>
      </c>
      <c r="T20" s="334">
        <v>0.35</v>
      </c>
      <c r="U20" s="165">
        <f>VLOOKUP(N20,'[2]154'!$C$9:$T$554,18,0)</f>
        <v>103</v>
      </c>
      <c r="V20" s="400">
        <v>100001802</v>
      </c>
      <c r="W20" s="404">
        <v>0</v>
      </c>
      <c r="X20" s="405">
        <v>0</v>
      </c>
      <c r="Y20" s="404">
        <v>0</v>
      </c>
      <c r="Z20" s="169"/>
      <c r="AA20" s="400">
        <v>100001802</v>
      </c>
      <c r="AB20" s="333">
        <v>0</v>
      </c>
      <c r="AC20" s="333">
        <v>0</v>
      </c>
      <c r="AD20" s="333">
        <v>103</v>
      </c>
      <c r="AE20" s="333">
        <v>103</v>
      </c>
      <c r="AF20" s="333">
        <v>82</v>
      </c>
      <c r="AG20" s="333">
        <v>1254920</v>
      </c>
      <c r="AH20" s="169"/>
      <c r="AI20" s="400">
        <v>100001802</v>
      </c>
      <c r="AJ20" s="333">
        <v>0</v>
      </c>
      <c r="AK20" s="333">
        <v>0</v>
      </c>
      <c r="AL20" s="333">
        <v>103</v>
      </c>
      <c r="AM20" s="333">
        <v>103</v>
      </c>
      <c r="AN20" s="333">
        <v>82</v>
      </c>
      <c r="AO20" s="333">
        <v>2064114</v>
      </c>
    </row>
    <row r="21" spans="1:41" s="211" customFormat="1" ht="15.75">
      <c r="A21" s="167">
        <v>15</v>
      </c>
      <c r="B21" s="79" t="s">
        <v>161</v>
      </c>
      <c r="C21" s="452">
        <v>68416</v>
      </c>
      <c r="D21" s="460">
        <v>2385</v>
      </c>
      <c r="E21" s="333">
        <v>872</v>
      </c>
      <c r="F21" s="333">
        <v>56</v>
      </c>
      <c r="G21" s="333">
        <v>361</v>
      </c>
      <c r="H21" s="333">
        <v>455</v>
      </c>
      <c r="I21" s="333">
        <v>197</v>
      </c>
      <c r="J21" s="333">
        <v>0</v>
      </c>
      <c r="K21" s="333">
        <v>197</v>
      </c>
      <c r="L21" s="333"/>
      <c r="M21" s="165"/>
      <c r="N21" s="400">
        <v>68416</v>
      </c>
      <c r="O21" s="333">
        <v>56</v>
      </c>
      <c r="P21" s="333">
        <v>361</v>
      </c>
      <c r="Q21" s="333">
        <v>455</v>
      </c>
      <c r="R21" s="333">
        <v>872</v>
      </c>
      <c r="S21" s="333">
        <v>12847544</v>
      </c>
      <c r="T21" s="334">
        <v>0.35</v>
      </c>
      <c r="U21" s="165">
        <f>VLOOKUP(N21,'[2]154'!$C$9:$T$554,18,0)</f>
        <v>279</v>
      </c>
      <c r="V21" s="400">
        <v>68416</v>
      </c>
      <c r="W21" s="404">
        <v>197</v>
      </c>
      <c r="X21" s="405">
        <v>18368.604060913705</v>
      </c>
      <c r="Y21" s="404">
        <v>3618615</v>
      </c>
      <c r="Z21" s="169"/>
      <c r="AA21" s="400">
        <v>68416</v>
      </c>
      <c r="AB21" s="333">
        <v>56</v>
      </c>
      <c r="AC21" s="333">
        <v>361</v>
      </c>
      <c r="AD21" s="333">
        <v>455</v>
      </c>
      <c r="AE21" s="333">
        <v>872</v>
      </c>
      <c r="AF21" s="333">
        <v>556</v>
      </c>
      <c r="AG21" s="333">
        <v>5097760</v>
      </c>
      <c r="AH21" s="169"/>
      <c r="AI21" s="400">
        <v>68416</v>
      </c>
      <c r="AJ21" s="333">
        <v>56</v>
      </c>
      <c r="AK21" s="333">
        <v>361</v>
      </c>
      <c r="AL21" s="333">
        <v>455</v>
      </c>
      <c r="AM21" s="333">
        <v>872</v>
      </c>
      <c r="AN21" s="333">
        <v>556</v>
      </c>
      <c r="AO21" s="333">
        <v>7749784</v>
      </c>
    </row>
    <row r="22" spans="1:41" ht="15.75">
      <c r="A22" s="167">
        <v>16</v>
      </c>
      <c r="B22" s="79" t="s">
        <v>161</v>
      </c>
      <c r="C22" s="452" t="s">
        <v>189</v>
      </c>
      <c r="D22" s="458">
        <v>0</v>
      </c>
      <c r="E22" s="329">
        <v>108</v>
      </c>
      <c r="F22" s="329">
        <v>0</v>
      </c>
      <c r="G22" s="329">
        <v>0</v>
      </c>
      <c r="H22" s="329">
        <v>108</v>
      </c>
      <c r="I22" s="329">
        <v>0</v>
      </c>
      <c r="J22" s="329">
        <v>0</v>
      </c>
      <c r="K22" s="333">
        <v>0</v>
      </c>
      <c r="L22" s="333"/>
      <c r="M22" s="208"/>
      <c r="N22" s="398" t="s">
        <v>189</v>
      </c>
      <c r="O22" s="329">
        <v>0</v>
      </c>
      <c r="P22" s="329">
        <v>0</v>
      </c>
      <c r="Q22" s="329">
        <v>108</v>
      </c>
      <c r="R22" s="333">
        <v>108</v>
      </c>
      <c r="S22" s="333">
        <v>3528069</v>
      </c>
      <c r="T22" s="335">
        <v>0.35</v>
      </c>
      <c r="U22" s="165">
        <f>VLOOKUP(N22,'[2]154'!$C$9:$T$554,18,0)</f>
        <v>108</v>
      </c>
      <c r="V22" s="398" t="s">
        <v>189</v>
      </c>
      <c r="W22" s="406">
        <v>0</v>
      </c>
      <c r="X22" s="405">
        <v>0</v>
      </c>
      <c r="Y22" s="406">
        <v>0</v>
      </c>
      <c r="Z22" s="3"/>
      <c r="AA22" s="398" t="s">
        <v>189</v>
      </c>
      <c r="AB22" s="329">
        <v>0</v>
      </c>
      <c r="AC22" s="329">
        <v>0</v>
      </c>
      <c r="AD22" s="329">
        <v>108</v>
      </c>
      <c r="AE22" s="329">
        <v>108</v>
      </c>
      <c r="AF22" s="329">
        <v>86</v>
      </c>
      <c r="AG22" s="329">
        <v>1477379</v>
      </c>
      <c r="AH22" s="3"/>
      <c r="AI22" s="398" t="s">
        <v>189</v>
      </c>
      <c r="AJ22" s="329">
        <v>0</v>
      </c>
      <c r="AK22" s="329">
        <v>0</v>
      </c>
      <c r="AL22" s="329">
        <v>108</v>
      </c>
      <c r="AM22" s="329">
        <v>108</v>
      </c>
      <c r="AN22" s="329">
        <v>86</v>
      </c>
      <c r="AO22" s="329">
        <v>2050690</v>
      </c>
    </row>
    <row r="23" spans="1:41" s="211" customFormat="1" ht="15.75">
      <c r="A23" s="167">
        <v>17</v>
      </c>
      <c r="B23" s="79" t="s">
        <v>161</v>
      </c>
      <c r="C23" s="452" t="s">
        <v>190</v>
      </c>
      <c r="D23" s="460">
        <v>7574</v>
      </c>
      <c r="E23" s="333">
        <v>187</v>
      </c>
      <c r="F23" s="333">
        <v>0</v>
      </c>
      <c r="G23" s="333">
        <v>0</v>
      </c>
      <c r="H23" s="333">
        <v>187</v>
      </c>
      <c r="I23" s="333">
        <v>0</v>
      </c>
      <c r="J23" s="333">
        <v>0</v>
      </c>
      <c r="K23" s="333">
        <v>0</v>
      </c>
      <c r="L23" s="333"/>
      <c r="M23" s="208"/>
      <c r="N23" s="397" t="s">
        <v>190</v>
      </c>
      <c r="O23" s="333">
        <v>0</v>
      </c>
      <c r="P23" s="333">
        <v>0</v>
      </c>
      <c r="Q23" s="333">
        <v>187</v>
      </c>
      <c r="R23" s="333">
        <v>187</v>
      </c>
      <c r="S23" s="333">
        <v>6487713</v>
      </c>
      <c r="T23" s="334">
        <v>0.35</v>
      </c>
      <c r="U23" s="165">
        <f>VLOOKUP(N23,'[2]154'!$C$9:$T$554,18,0)</f>
        <v>228</v>
      </c>
      <c r="V23" s="397" t="s">
        <v>190</v>
      </c>
      <c r="W23" s="404">
        <v>0</v>
      </c>
      <c r="X23" s="405">
        <v>0</v>
      </c>
      <c r="Y23" s="404">
        <v>0</v>
      </c>
      <c r="Z23" s="169"/>
      <c r="AA23" s="397" t="s">
        <v>190</v>
      </c>
      <c r="AB23" s="333">
        <v>0</v>
      </c>
      <c r="AC23" s="333">
        <v>0</v>
      </c>
      <c r="AD23" s="333">
        <v>187</v>
      </c>
      <c r="AE23" s="333">
        <v>187</v>
      </c>
      <c r="AF23" s="333">
        <v>150</v>
      </c>
      <c r="AG23" s="333">
        <v>2744030</v>
      </c>
      <c r="AH23" s="169"/>
      <c r="AI23" s="397" t="s">
        <v>190</v>
      </c>
      <c r="AJ23" s="333">
        <v>0</v>
      </c>
      <c r="AK23" s="333">
        <v>0</v>
      </c>
      <c r="AL23" s="333">
        <v>187</v>
      </c>
      <c r="AM23" s="333">
        <v>187</v>
      </c>
      <c r="AN23" s="333">
        <v>150</v>
      </c>
      <c r="AO23" s="333">
        <v>3743683</v>
      </c>
    </row>
    <row r="24" spans="1:41" s="211" customFormat="1" ht="15.75">
      <c r="A24" s="167">
        <v>18</v>
      </c>
      <c r="B24" s="79" t="s">
        <v>161</v>
      </c>
      <c r="C24" s="452" t="s">
        <v>191</v>
      </c>
      <c r="D24" s="460">
        <v>0</v>
      </c>
      <c r="E24" s="333">
        <v>144</v>
      </c>
      <c r="F24" s="333">
        <v>0</v>
      </c>
      <c r="G24" s="333">
        <v>22</v>
      </c>
      <c r="H24" s="333">
        <v>122</v>
      </c>
      <c r="I24" s="333">
        <v>0</v>
      </c>
      <c r="J24" s="333">
        <v>0</v>
      </c>
      <c r="K24" s="333">
        <v>0</v>
      </c>
      <c r="L24" s="333"/>
      <c r="M24" s="165"/>
      <c r="N24" s="397" t="s">
        <v>191</v>
      </c>
      <c r="O24" s="333">
        <v>0</v>
      </c>
      <c r="P24" s="333">
        <v>22</v>
      </c>
      <c r="Q24" s="333">
        <v>122</v>
      </c>
      <c r="R24" s="333">
        <v>144</v>
      </c>
      <c r="S24" s="333">
        <v>4304157</v>
      </c>
      <c r="T24" s="334">
        <v>0.35</v>
      </c>
      <c r="U24" s="165">
        <f>VLOOKUP(N24,'[2]154'!$C$9:$T$554,18,0)</f>
        <v>144</v>
      </c>
      <c r="V24" s="397" t="s">
        <v>191</v>
      </c>
      <c r="W24" s="404">
        <v>0</v>
      </c>
      <c r="X24" s="405">
        <v>0</v>
      </c>
      <c r="Y24" s="404">
        <v>0</v>
      </c>
      <c r="Z24" s="169"/>
      <c r="AA24" s="397" t="s">
        <v>191</v>
      </c>
      <c r="AB24" s="333">
        <v>0</v>
      </c>
      <c r="AC24" s="333">
        <v>22</v>
      </c>
      <c r="AD24" s="333">
        <v>122</v>
      </c>
      <c r="AE24" s="333">
        <v>144</v>
      </c>
      <c r="AF24" s="333">
        <v>109</v>
      </c>
      <c r="AG24" s="333">
        <v>1627393</v>
      </c>
      <c r="AH24" s="169"/>
      <c r="AI24" s="397" t="s">
        <v>191</v>
      </c>
      <c r="AJ24" s="333">
        <v>0</v>
      </c>
      <c r="AK24" s="333">
        <v>22</v>
      </c>
      <c r="AL24" s="333">
        <v>122</v>
      </c>
      <c r="AM24" s="333">
        <v>144</v>
      </c>
      <c r="AN24" s="333">
        <v>109</v>
      </c>
      <c r="AO24" s="333">
        <v>2676764</v>
      </c>
    </row>
    <row r="25" spans="1:41" ht="15.75">
      <c r="A25" s="167">
        <v>19</v>
      </c>
      <c r="B25" s="79" t="s">
        <v>161</v>
      </c>
      <c r="C25" s="452">
        <v>100004400</v>
      </c>
      <c r="D25" s="458">
        <v>0</v>
      </c>
      <c r="E25" s="329">
        <v>66</v>
      </c>
      <c r="F25" s="329">
        <v>0</v>
      </c>
      <c r="G25" s="329">
        <v>0</v>
      </c>
      <c r="H25" s="329">
        <v>66</v>
      </c>
      <c r="I25" s="329">
        <v>0</v>
      </c>
      <c r="J25" s="329">
        <v>0</v>
      </c>
      <c r="K25" s="333">
        <v>0</v>
      </c>
      <c r="L25" s="333"/>
      <c r="M25" s="208"/>
      <c r="N25" s="401">
        <v>100004400</v>
      </c>
      <c r="O25" s="329">
        <v>0</v>
      </c>
      <c r="P25" s="329">
        <v>0</v>
      </c>
      <c r="Q25" s="329">
        <v>66</v>
      </c>
      <c r="R25" s="333">
        <v>66</v>
      </c>
      <c r="S25" s="333">
        <v>4577653</v>
      </c>
      <c r="T25" s="335">
        <v>0.35</v>
      </c>
      <c r="U25" s="165">
        <f>VLOOKUP(N25,'[2]154'!$C$9:$T$554,18,0)</f>
        <v>66</v>
      </c>
      <c r="V25" s="401">
        <v>100004400</v>
      </c>
      <c r="W25" s="406">
        <v>0</v>
      </c>
      <c r="X25" s="405">
        <v>0</v>
      </c>
      <c r="Y25" s="406">
        <v>0</v>
      </c>
      <c r="Z25" s="3"/>
      <c r="AA25" s="401">
        <v>100004400</v>
      </c>
      <c r="AB25" s="329">
        <v>0</v>
      </c>
      <c r="AC25" s="329">
        <v>0</v>
      </c>
      <c r="AD25" s="329">
        <v>66</v>
      </c>
      <c r="AE25" s="329">
        <v>66</v>
      </c>
      <c r="AF25" s="329">
        <v>53</v>
      </c>
      <c r="AG25" s="329">
        <v>1905620</v>
      </c>
      <c r="AH25" s="3"/>
      <c r="AI25" s="401">
        <v>100004400</v>
      </c>
      <c r="AJ25" s="329">
        <v>0</v>
      </c>
      <c r="AK25" s="329">
        <v>0</v>
      </c>
      <c r="AL25" s="329">
        <v>66</v>
      </c>
      <c r="AM25" s="329">
        <v>66</v>
      </c>
      <c r="AN25" s="329">
        <v>53</v>
      </c>
      <c r="AO25" s="329">
        <v>2672033</v>
      </c>
    </row>
    <row r="26" spans="1:41" s="211" customFormat="1" ht="15.75">
      <c r="A26" s="167">
        <v>20</v>
      </c>
      <c r="B26" s="79" t="s">
        <v>161</v>
      </c>
      <c r="C26" s="452">
        <v>100008889</v>
      </c>
      <c r="D26" s="460">
        <v>0</v>
      </c>
      <c r="E26" s="333">
        <v>164</v>
      </c>
      <c r="F26" s="333">
        <v>0</v>
      </c>
      <c r="G26" s="333">
        <v>0</v>
      </c>
      <c r="H26" s="333">
        <v>164</v>
      </c>
      <c r="I26" s="333">
        <v>0</v>
      </c>
      <c r="J26" s="333">
        <v>0</v>
      </c>
      <c r="K26" s="333">
        <v>0</v>
      </c>
      <c r="L26" s="333"/>
      <c r="M26" s="165"/>
      <c r="N26" s="400">
        <v>100008889</v>
      </c>
      <c r="O26" s="333">
        <v>0</v>
      </c>
      <c r="P26" s="333">
        <v>0</v>
      </c>
      <c r="Q26" s="333">
        <v>164</v>
      </c>
      <c r="R26" s="333">
        <v>164</v>
      </c>
      <c r="S26" s="333">
        <v>5575665</v>
      </c>
      <c r="T26" s="334">
        <v>0.35</v>
      </c>
      <c r="U26" s="165">
        <f>VLOOKUP(N26,'[2]154'!$C$9:$T$554,18,0)</f>
        <v>164</v>
      </c>
      <c r="V26" s="400">
        <v>100008889</v>
      </c>
      <c r="W26" s="404">
        <v>0</v>
      </c>
      <c r="X26" s="405">
        <v>0</v>
      </c>
      <c r="Y26" s="404">
        <v>0</v>
      </c>
      <c r="Z26" s="169"/>
      <c r="AA26" s="400">
        <v>100008889</v>
      </c>
      <c r="AB26" s="333">
        <v>0</v>
      </c>
      <c r="AC26" s="333">
        <v>0</v>
      </c>
      <c r="AD26" s="333">
        <v>164</v>
      </c>
      <c r="AE26" s="333">
        <v>164</v>
      </c>
      <c r="AF26" s="333">
        <v>131</v>
      </c>
      <c r="AG26" s="333">
        <v>2334808</v>
      </c>
      <c r="AH26" s="169"/>
      <c r="AI26" s="400">
        <v>100008889</v>
      </c>
      <c r="AJ26" s="333">
        <v>0</v>
      </c>
      <c r="AK26" s="333">
        <v>0</v>
      </c>
      <c r="AL26" s="333">
        <v>164</v>
      </c>
      <c r="AM26" s="333">
        <v>164</v>
      </c>
      <c r="AN26" s="333">
        <v>131</v>
      </c>
      <c r="AO26" s="333">
        <v>3240857</v>
      </c>
    </row>
    <row r="27" spans="1:41" s="211" customFormat="1" ht="15.75">
      <c r="A27" s="167">
        <v>21</v>
      </c>
      <c r="B27" s="79" t="s">
        <v>161</v>
      </c>
      <c r="C27" s="452">
        <v>100010579</v>
      </c>
      <c r="D27" s="460">
        <v>13189</v>
      </c>
      <c r="E27" s="333">
        <v>1457</v>
      </c>
      <c r="F27" s="333">
        <v>0</v>
      </c>
      <c r="G27" s="333">
        <v>442</v>
      </c>
      <c r="H27" s="333">
        <v>1015</v>
      </c>
      <c r="I27" s="333">
        <v>8626</v>
      </c>
      <c r="J27" s="333">
        <v>15</v>
      </c>
      <c r="K27" s="333">
        <v>8641</v>
      </c>
      <c r="L27" s="333"/>
      <c r="M27" s="165"/>
      <c r="N27" s="400">
        <v>100010579</v>
      </c>
      <c r="O27" s="333">
        <v>0</v>
      </c>
      <c r="P27" s="333">
        <v>442</v>
      </c>
      <c r="Q27" s="333">
        <v>1015</v>
      </c>
      <c r="R27" s="333">
        <v>1457</v>
      </c>
      <c r="S27" s="333">
        <v>57160055</v>
      </c>
      <c r="T27" s="334">
        <v>1.98</v>
      </c>
      <c r="U27" s="165">
        <f>VLOOKUP(N27,'[2]154'!$C$9:$T$554,18,0)</f>
        <v>566</v>
      </c>
      <c r="V27" s="400">
        <v>100010579</v>
      </c>
      <c r="W27" s="404">
        <v>8641</v>
      </c>
      <c r="X27" s="405">
        <v>39227.542182617755</v>
      </c>
      <c r="Y27" s="404">
        <v>338965192</v>
      </c>
      <c r="Z27" s="169"/>
      <c r="AA27" s="400">
        <v>100010579</v>
      </c>
      <c r="AB27" s="333">
        <v>0</v>
      </c>
      <c r="AC27" s="333">
        <v>442</v>
      </c>
      <c r="AD27" s="333">
        <v>1015</v>
      </c>
      <c r="AE27" s="333">
        <v>1457</v>
      </c>
      <c r="AF27" s="333">
        <v>1033</v>
      </c>
      <c r="AG27" s="333">
        <v>19418002</v>
      </c>
      <c r="AH27" s="169"/>
      <c r="AI27" s="400">
        <v>100010579</v>
      </c>
      <c r="AJ27" s="333">
        <v>0</v>
      </c>
      <c r="AK27" s="333">
        <v>442</v>
      </c>
      <c r="AL27" s="333">
        <v>1015</v>
      </c>
      <c r="AM27" s="333">
        <v>1457</v>
      </c>
      <c r="AN27" s="333">
        <v>1033</v>
      </c>
      <c r="AO27" s="333">
        <v>37742053</v>
      </c>
    </row>
    <row r="28" spans="1:41" s="211" customFormat="1" ht="15.75">
      <c r="A28" s="167">
        <v>22</v>
      </c>
      <c r="B28" s="79" t="s">
        <v>108</v>
      </c>
      <c r="C28" s="452">
        <v>174034722</v>
      </c>
      <c r="D28" s="460">
        <v>0</v>
      </c>
      <c r="E28" s="333">
        <v>182</v>
      </c>
      <c r="F28" s="333">
        <v>0</v>
      </c>
      <c r="G28" s="333">
        <v>0</v>
      </c>
      <c r="H28" s="333">
        <v>182</v>
      </c>
      <c r="I28" s="333">
        <v>0</v>
      </c>
      <c r="J28" s="333">
        <v>0</v>
      </c>
      <c r="K28" s="333">
        <v>0</v>
      </c>
      <c r="L28" s="333"/>
      <c r="M28" s="165"/>
      <c r="N28" s="400">
        <v>174034722</v>
      </c>
      <c r="O28" s="333">
        <v>0</v>
      </c>
      <c r="P28" s="333">
        <v>0</v>
      </c>
      <c r="Q28" s="333">
        <v>182</v>
      </c>
      <c r="R28" s="333">
        <v>182</v>
      </c>
      <c r="S28" s="333">
        <v>10751887</v>
      </c>
      <c r="T28" s="334">
        <v>0.35</v>
      </c>
      <c r="U28" s="165">
        <f>VLOOKUP(N28,'[2]154'!$C$9:$T$554,18,0)</f>
        <v>182</v>
      </c>
      <c r="V28" s="400">
        <v>174034722</v>
      </c>
      <c r="W28" s="404">
        <v>0</v>
      </c>
      <c r="X28" s="405">
        <v>0</v>
      </c>
      <c r="Y28" s="404">
        <v>0</v>
      </c>
      <c r="Z28" s="169"/>
      <c r="AA28" s="400">
        <v>174034722</v>
      </c>
      <c r="AB28" s="333">
        <v>0</v>
      </c>
      <c r="AC28" s="333">
        <v>0</v>
      </c>
      <c r="AD28" s="333">
        <v>182</v>
      </c>
      <c r="AE28" s="333">
        <v>182</v>
      </c>
      <c r="AF28" s="333">
        <v>146</v>
      </c>
      <c r="AG28" s="333">
        <v>4500604</v>
      </c>
      <c r="AH28" s="169"/>
      <c r="AI28" s="400">
        <v>174034722</v>
      </c>
      <c r="AJ28" s="333">
        <v>0</v>
      </c>
      <c r="AK28" s="333">
        <v>0</v>
      </c>
      <c r="AL28" s="333">
        <v>182</v>
      </c>
      <c r="AM28" s="333">
        <v>182</v>
      </c>
      <c r="AN28" s="333">
        <v>146</v>
      </c>
      <c r="AO28" s="333">
        <v>6251283</v>
      </c>
    </row>
    <row r="29" spans="1:41" ht="15.75">
      <c r="A29" s="167">
        <v>23</v>
      </c>
      <c r="B29" s="79" t="s">
        <v>108</v>
      </c>
      <c r="C29" s="452">
        <v>174034719</v>
      </c>
      <c r="D29" s="458">
        <v>0</v>
      </c>
      <c r="E29" s="329">
        <v>129</v>
      </c>
      <c r="F29" s="329">
        <v>0</v>
      </c>
      <c r="G29" s="329">
        <v>0</v>
      </c>
      <c r="H29" s="329">
        <v>129</v>
      </c>
      <c r="I29" s="329">
        <v>0</v>
      </c>
      <c r="J29" s="329">
        <v>0</v>
      </c>
      <c r="K29" s="333">
        <v>0</v>
      </c>
      <c r="L29" s="333"/>
      <c r="M29" s="165"/>
      <c r="N29" s="401">
        <v>174034719</v>
      </c>
      <c r="O29" s="329">
        <v>0</v>
      </c>
      <c r="P29" s="329">
        <v>0</v>
      </c>
      <c r="Q29" s="329">
        <v>129</v>
      </c>
      <c r="R29" s="333">
        <v>129</v>
      </c>
      <c r="S29" s="333">
        <v>7264411</v>
      </c>
      <c r="T29" s="335">
        <v>0.35</v>
      </c>
      <c r="U29" s="165">
        <f>VLOOKUP(N29,'[2]154'!$C$9:$T$554,18,0)</f>
        <v>129</v>
      </c>
      <c r="V29" s="401">
        <v>174034719</v>
      </c>
      <c r="W29" s="406">
        <v>0</v>
      </c>
      <c r="X29" s="405">
        <v>0</v>
      </c>
      <c r="Y29" s="406">
        <v>0</v>
      </c>
      <c r="Z29" s="3"/>
      <c r="AA29" s="401">
        <v>174034719</v>
      </c>
      <c r="AB29" s="329">
        <v>0</v>
      </c>
      <c r="AC29" s="329">
        <v>0</v>
      </c>
      <c r="AD29" s="329">
        <v>129</v>
      </c>
      <c r="AE29" s="329">
        <v>129</v>
      </c>
      <c r="AF29" s="329">
        <v>103</v>
      </c>
      <c r="AG29" s="329">
        <v>2903453</v>
      </c>
      <c r="AH29" s="3"/>
      <c r="AI29" s="401">
        <v>174034719</v>
      </c>
      <c r="AJ29" s="329">
        <v>0</v>
      </c>
      <c r="AK29" s="329">
        <v>0</v>
      </c>
      <c r="AL29" s="329">
        <v>129</v>
      </c>
      <c r="AM29" s="329">
        <v>129</v>
      </c>
      <c r="AN29" s="329">
        <v>103</v>
      </c>
      <c r="AO29" s="329">
        <v>4360958</v>
      </c>
    </row>
    <row r="30" spans="1:41" s="211" customFormat="1" ht="15.75">
      <c r="A30" s="167">
        <v>24</v>
      </c>
      <c r="B30" s="79" t="s">
        <v>108</v>
      </c>
      <c r="C30" s="452">
        <v>174034721</v>
      </c>
      <c r="D30" s="460">
        <v>0</v>
      </c>
      <c r="E30" s="333">
        <v>109</v>
      </c>
      <c r="F30" s="333">
        <v>0</v>
      </c>
      <c r="G30" s="333">
        <v>0</v>
      </c>
      <c r="H30" s="333">
        <v>109</v>
      </c>
      <c r="I30" s="333">
        <v>0</v>
      </c>
      <c r="J30" s="333">
        <v>0</v>
      </c>
      <c r="K30" s="333">
        <v>0</v>
      </c>
      <c r="L30" s="333"/>
      <c r="M30" s="208"/>
      <c r="N30" s="400">
        <v>174034721</v>
      </c>
      <c r="O30" s="333">
        <v>0</v>
      </c>
      <c r="P30" s="333">
        <v>0</v>
      </c>
      <c r="Q30" s="333">
        <v>109</v>
      </c>
      <c r="R30" s="333">
        <v>109</v>
      </c>
      <c r="S30" s="333">
        <v>7454935</v>
      </c>
      <c r="T30" s="334">
        <v>0.35</v>
      </c>
      <c r="U30" s="165">
        <f>VLOOKUP(N30,'[2]154'!$C$9:$T$554,18,0)</f>
        <v>109</v>
      </c>
      <c r="V30" s="400">
        <v>174034721</v>
      </c>
      <c r="W30" s="404">
        <v>0</v>
      </c>
      <c r="X30" s="405">
        <v>0</v>
      </c>
      <c r="Y30" s="404">
        <v>0</v>
      </c>
      <c r="Z30" s="169"/>
      <c r="AA30" s="400">
        <v>174034721</v>
      </c>
      <c r="AB30" s="333">
        <v>0</v>
      </c>
      <c r="AC30" s="333">
        <v>0</v>
      </c>
      <c r="AD30" s="333">
        <v>109</v>
      </c>
      <c r="AE30" s="333">
        <v>109</v>
      </c>
      <c r="AF30" s="333">
        <v>87</v>
      </c>
      <c r="AG30" s="333">
        <v>2979602</v>
      </c>
      <c r="AH30" s="169"/>
      <c r="AI30" s="400">
        <v>174034721</v>
      </c>
      <c r="AJ30" s="333">
        <v>0</v>
      </c>
      <c r="AK30" s="333">
        <v>0</v>
      </c>
      <c r="AL30" s="333">
        <v>109</v>
      </c>
      <c r="AM30" s="333">
        <v>109</v>
      </c>
      <c r="AN30" s="333">
        <v>87</v>
      </c>
      <c r="AO30" s="333">
        <v>4475333</v>
      </c>
    </row>
    <row r="31" spans="1:41" s="211" customFormat="1" ht="15.75">
      <c r="A31" s="167">
        <v>25</v>
      </c>
      <c r="B31" s="79" t="s">
        <v>161</v>
      </c>
      <c r="C31" s="452">
        <v>100003226</v>
      </c>
      <c r="D31" s="460">
        <v>0</v>
      </c>
      <c r="E31" s="333">
        <v>101</v>
      </c>
      <c r="F31" s="333">
        <v>0</v>
      </c>
      <c r="G31" s="333">
        <v>0</v>
      </c>
      <c r="H31" s="333">
        <v>101</v>
      </c>
      <c r="I31" s="333">
        <v>0</v>
      </c>
      <c r="J31" s="333">
        <v>0</v>
      </c>
      <c r="K31" s="333">
        <v>0</v>
      </c>
      <c r="L31" s="333"/>
      <c r="M31" s="165"/>
      <c r="N31" s="400">
        <v>100003226</v>
      </c>
      <c r="O31" s="333">
        <v>0</v>
      </c>
      <c r="P31" s="333">
        <v>0</v>
      </c>
      <c r="Q31" s="333">
        <v>101</v>
      </c>
      <c r="R31" s="333">
        <v>101</v>
      </c>
      <c r="S31" s="333">
        <v>6659079</v>
      </c>
      <c r="T31" s="334">
        <v>0.35</v>
      </c>
      <c r="U31" s="165">
        <f>VLOOKUP(N31,'[2]154'!$C$9:$T$554,18,0)</f>
        <v>101</v>
      </c>
      <c r="V31" s="400">
        <v>100003226</v>
      </c>
      <c r="W31" s="404">
        <v>0</v>
      </c>
      <c r="X31" s="405">
        <v>0</v>
      </c>
      <c r="Y31" s="404">
        <v>0</v>
      </c>
      <c r="Z31" s="169"/>
      <c r="AA31" s="400">
        <v>100003226</v>
      </c>
      <c r="AB31" s="333">
        <v>0</v>
      </c>
      <c r="AC31" s="333">
        <v>0</v>
      </c>
      <c r="AD31" s="333">
        <v>101</v>
      </c>
      <c r="AE31" s="333">
        <v>101</v>
      </c>
      <c r="AF31" s="333">
        <v>81</v>
      </c>
      <c r="AG31" s="333">
        <v>2661513</v>
      </c>
      <c r="AH31" s="169"/>
      <c r="AI31" s="400">
        <v>100003226</v>
      </c>
      <c r="AJ31" s="333">
        <v>0</v>
      </c>
      <c r="AK31" s="333">
        <v>0</v>
      </c>
      <c r="AL31" s="333">
        <v>101</v>
      </c>
      <c r="AM31" s="333">
        <v>101</v>
      </c>
      <c r="AN31" s="333">
        <v>81</v>
      </c>
      <c r="AO31" s="333">
        <v>3997566</v>
      </c>
    </row>
    <row r="32" spans="1:41" ht="15.75">
      <c r="A32" s="167">
        <v>26</v>
      </c>
      <c r="B32" s="79" t="s">
        <v>108</v>
      </c>
      <c r="C32" s="452">
        <v>174034717</v>
      </c>
      <c r="D32" s="458">
        <v>0</v>
      </c>
      <c r="E32" s="329">
        <v>99</v>
      </c>
      <c r="F32" s="329">
        <v>0</v>
      </c>
      <c r="G32" s="329">
        <v>0</v>
      </c>
      <c r="H32" s="329">
        <v>99</v>
      </c>
      <c r="I32" s="329">
        <v>0</v>
      </c>
      <c r="J32" s="329">
        <v>0</v>
      </c>
      <c r="K32" s="333">
        <v>0</v>
      </c>
      <c r="L32" s="333"/>
      <c r="M32" s="165"/>
      <c r="N32" s="401">
        <v>174034717</v>
      </c>
      <c r="O32" s="329">
        <v>0</v>
      </c>
      <c r="P32" s="329">
        <v>0</v>
      </c>
      <c r="Q32" s="329">
        <v>99</v>
      </c>
      <c r="R32" s="333">
        <v>99</v>
      </c>
      <c r="S32" s="333">
        <v>7964501</v>
      </c>
      <c r="T32" s="335">
        <v>0.35</v>
      </c>
      <c r="U32" s="165">
        <f>VLOOKUP(N32,'[2]154'!$C$9:$T$554,18,0)</f>
        <v>99</v>
      </c>
      <c r="V32" s="401">
        <v>174034717</v>
      </c>
      <c r="W32" s="406">
        <v>0</v>
      </c>
      <c r="X32" s="405">
        <v>0</v>
      </c>
      <c r="Y32" s="406">
        <v>0</v>
      </c>
      <c r="Z32" s="3"/>
      <c r="AA32" s="401">
        <v>174034717</v>
      </c>
      <c r="AB32" s="329">
        <v>0</v>
      </c>
      <c r="AC32" s="329">
        <v>0</v>
      </c>
      <c r="AD32" s="329">
        <v>99</v>
      </c>
      <c r="AE32" s="329">
        <v>99</v>
      </c>
      <c r="AF32" s="329">
        <v>79</v>
      </c>
      <c r="AG32" s="329">
        <v>3183266</v>
      </c>
      <c r="AH32" s="3"/>
      <c r="AI32" s="401">
        <v>174034717</v>
      </c>
      <c r="AJ32" s="329">
        <v>0</v>
      </c>
      <c r="AK32" s="329">
        <v>0</v>
      </c>
      <c r="AL32" s="329">
        <v>99</v>
      </c>
      <c r="AM32" s="329">
        <v>99</v>
      </c>
      <c r="AN32" s="329">
        <v>79</v>
      </c>
      <c r="AO32" s="329">
        <v>4781235</v>
      </c>
    </row>
    <row r="33" spans="1:41" ht="15.75">
      <c r="A33" s="167">
        <v>27</v>
      </c>
      <c r="B33" s="79" t="s">
        <v>161</v>
      </c>
      <c r="C33" s="452" t="s">
        <v>165</v>
      </c>
      <c r="D33" s="458">
        <v>0</v>
      </c>
      <c r="E33" s="329">
        <v>179</v>
      </c>
      <c r="F33" s="329">
        <v>0</v>
      </c>
      <c r="G33" s="329">
        <v>0</v>
      </c>
      <c r="H33" s="329">
        <v>179</v>
      </c>
      <c r="I33" s="329">
        <v>0</v>
      </c>
      <c r="J33" s="329">
        <v>0</v>
      </c>
      <c r="K33" s="333">
        <v>0</v>
      </c>
      <c r="L33" s="333"/>
      <c r="M33" s="208"/>
      <c r="N33" s="398" t="s">
        <v>165</v>
      </c>
      <c r="O33" s="329">
        <v>0</v>
      </c>
      <c r="P33" s="329">
        <v>0</v>
      </c>
      <c r="Q33" s="329">
        <v>179</v>
      </c>
      <c r="R33" s="333">
        <v>179</v>
      </c>
      <c r="S33" s="333">
        <v>6187449</v>
      </c>
      <c r="T33" s="335">
        <v>2</v>
      </c>
      <c r="U33" s="165">
        <f>VLOOKUP(N33,'[2]154'!$C$9:$T$554,18,0)</f>
        <v>179</v>
      </c>
      <c r="V33" s="398" t="s">
        <v>165</v>
      </c>
      <c r="W33" s="406">
        <v>0</v>
      </c>
      <c r="X33" s="405">
        <v>0</v>
      </c>
      <c r="Y33" s="406">
        <v>0</v>
      </c>
      <c r="Z33" s="3"/>
      <c r="AA33" s="398" t="s">
        <v>165</v>
      </c>
      <c r="AB33" s="329">
        <v>0</v>
      </c>
      <c r="AC33" s="329">
        <v>0</v>
      </c>
      <c r="AD33" s="329">
        <v>179</v>
      </c>
      <c r="AE33" s="329">
        <v>179</v>
      </c>
      <c r="AF33" s="329">
        <v>143</v>
      </c>
      <c r="AG33" s="329">
        <v>2473011</v>
      </c>
      <c r="AH33" s="3"/>
      <c r="AI33" s="398" t="s">
        <v>165</v>
      </c>
      <c r="AJ33" s="329">
        <v>0</v>
      </c>
      <c r="AK33" s="329">
        <v>0</v>
      </c>
      <c r="AL33" s="329">
        <v>179</v>
      </c>
      <c r="AM33" s="329">
        <v>179</v>
      </c>
      <c r="AN33" s="329">
        <v>143</v>
      </c>
      <c r="AO33" s="329">
        <v>3714438</v>
      </c>
    </row>
    <row r="34" spans="1:41" s="211" customFormat="1" ht="15.75">
      <c r="A34" s="167">
        <v>28</v>
      </c>
      <c r="B34" s="79" t="s">
        <v>107</v>
      </c>
      <c r="C34" s="452" t="s">
        <v>166</v>
      </c>
      <c r="D34" s="460">
        <v>0</v>
      </c>
      <c r="E34" s="333">
        <v>71</v>
      </c>
      <c r="F34" s="333">
        <v>0</v>
      </c>
      <c r="G34" s="333">
        <v>0</v>
      </c>
      <c r="H34" s="333">
        <v>71</v>
      </c>
      <c r="I34" s="333">
        <v>0</v>
      </c>
      <c r="J34" s="333">
        <v>0</v>
      </c>
      <c r="K34" s="333">
        <v>0</v>
      </c>
      <c r="L34" s="333"/>
      <c r="M34" s="165"/>
      <c r="N34" s="397" t="s">
        <v>166</v>
      </c>
      <c r="O34" s="333">
        <v>0</v>
      </c>
      <c r="P34" s="333">
        <v>0</v>
      </c>
      <c r="Q34" s="333">
        <v>71</v>
      </c>
      <c r="R34" s="333">
        <v>71</v>
      </c>
      <c r="S34" s="333">
        <v>4747677</v>
      </c>
      <c r="T34" s="334">
        <v>0.35</v>
      </c>
      <c r="U34" s="165">
        <f>VLOOKUP(N34,'[2]154'!$C$9:$T$554,18,0)</f>
        <v>71</v>
      </c>
      <c r="V34" s="397" t="s">
        <v>166</v>
      </c>
      <c r="W34" s="404">
        <v>0</v>
      </c>
      <c r="X34" s="405">
        <v>0</v>
      </c>
      <c r="Y34" s="404">
        <v>0</v>
      </c>
      <c r="Z34" s="169"/>
      <c r="AA34" s="397" t="s">
        <v>166</v>
      </c>
      <c r="AB34" s="333">
        <v>0</v>
      </c>
      <c r="AC34" s="333">
        <v>0</v>
      </c>
      <c r="AD34" s="333">
        <v>71</v>
      </c>
      <c r="AE34" s="333">
        <v>71</v>
      </c>
      <c r="AF34" s="333">
        <v>57</v>
      </c>
      <c r="AG34" s="333">
        <v>1897560</v>
      </c>
      <c r="AH34" s="169"/>
      <c r="AI34" s="397" t="s">
        <v>166</v>
      </c>
      <c r="AJ34" s="333">
        <v>0</v>
      </c>
      <c r="AK34" s="333">
        <v>0</v>
      </c>
      <c r="AL34" s="333">
        <v>71</v>
      </c>
      <c r="AM34" s="333">
        <v>71</v>
      </c>
      <c r="AN34" s="333">
        <v>57</v>
      </c>
      <c r="AO34" s="333">
        <v>2850117</v>
      </c>
    </row>
    <row r="35" spans="1:41" ht="15.75">
      <c r="A35" s="167">
        <v>29</v>
      </c>
      <c r="B35" s="79" t="s">
        <v>105</v>
      </c>
      <c r="C35" s="452">
        <v>453280</v>
      </c>
      <c r="D35" s="458">
        <v>0</v>
      </c>
      <c r="E35" s="329">
        <v>196</v>
      </c>
      <c r="F35" s="329">
        <v>0</v>
      </c>
      <c r="G35" s="329">
        <v>0</v>
      </c>
      <c r="H35" s="329">
        <v>196</v>
      </c>
      <c r="I35" s="329">
        <v>0</v>
      </c>
      <c r="J35" s="329">
        <v>0</v>
      </c>
      <c r="K35" s="333">
        <v>0</v>
      </c>
      <c r="L35" s="333"/>
      <c r="M35" s="165"/>
      <c r="N35" s="401">
        <v>453280</v>
      </c>
      <c r="O35" s="329">
        <v>0</v>
      </c>
      <c r="P35" s="329">
        <v>0</v>
      </c>
      <c r="Q35" s="329">
        <v>196</v>
      </c>
      <c r="R35" s="333">
        <v>196</v>
      </c>
      <c r="S35" s="333">
        <v>6283721</v>
      </c>
      <c r="T35" s="335">
        <v>0.35</v>
      </c>
      <c r="U35" s="165">
        <f>VLOOKUP(N35,'[2]154'!$C$9:$T$554,18,0)</f>
        <v>196</v>
      </c>
      <c r="V35" s="401">
        <v>453280</v>
      </c>
      <c r="W35" s="406">
        <v>0</v>
      </c>
      <c r="X35" s="405">
        <v>0</v>
      </c>
      <c r="Y35" s="406">
        <v>0</v>
      </c>
      <c r="Z35" s="3"/>
      <c r="AA35" s="401">
        <v>453280</v>
      </c>
      <c r="AB35" s="329">
        <v>0</v>
      </c>
      <c r="AC35" s="329">
        <v>0</v>
      </c>
      <c r="AD35" s="329">
        <v>196</v>
      </c>
      <c r="AE35" s="329">
        <v>196</v>
      </c>
      <c r="AF35" s="329">
        <v>157</v>
      </c>
      <c r="AG35" s="329">
        <v>2511489</v>
      </c>
      <c r="AH35" s="3"/>
      <c r="AI35" s="401">
        <v>453280</v>
      </c>
      <c r="AJ35" s="329">
        <v>0</v>
      </c>
      <c r="AK35" s="329">
        <v>0</v>
      </c>
      <c r="AL35" s="329">
        <v>196</v>
      </c>
      <c r="AM35" s="329">
        <v>196</v>
      </c>
      <c r="AN35" s="329">
        <v>157</v>
      </c>
      <c r="AO35" s="329">
        <v>3772232</v>
      </c>
    </row>
    <row r="36" spans="1:41" ht="15.75">
      <c r="A36" s="167">
        <v>30</v>
      </c>
      <c r="B36" s="79" t="s">
        <v>161</v>
      </c>
      <c r="C36" s="452">
        <v>100003227</v>
      </c>
      <c r="D36" s="458">
        <v>10247</v>
      </c>
      <c r="E36" s="329">
        <v>378</v>
      </c>
      <c r="F36" s="329">
        <v>0</v>
      </c>
      <c r="G36" s="329">
        <v>0</v>
      </c>
      <c r="H36" s="329">
        <v>378</v>
      </c>
      <c r="I36" s="329">
        <v>0</v>
      </c>
      <c r="J36" s="329">
        <v>0</v>
      </c>
      <c r="K36" s="333">
        <v>0</v>
      </c>
      <c r="L36" s="333"/>
      <c r="M36" s="208"/>
      <c r="N36" s="401">
        <v>100003227</v>
      </c>
      <c r="O36" s="329">
        <v>0</v>
      </c>
      <c r="P36" s="329">
        <v>0</v>
      </c>
      <c r="Q36" s="329">
        <v>378</v>
      </c>
      <c r="R36" s="333">
        <v>378</v>
      </c>
      <c r="S36" s="333">
        <v>9502769</v>
      </c>
      <c r="T36" s="335">
        <v>0.36</v>
      </c>
      <c r="U36" s="165">
        <f>VLOOKUP(N36,'[2]154'!$C$9:$T$554,18,0)</f>
        <v>378</v>
      </c>
      <c r="V36" s="401">
        <v>100003227</v>
      </c>
      <c r="W36" s="406">
        <v>0</v>
      </c>
      <c r="X36" s="405">
        <v>0</v>
      </c>
      <c r="Y36" s="406">
        <v>0</v>
      </c>
      <c r="Z36" s="3"/>
      <c r="AA36" s="401">
        <v>100003227</v>
      </c>
      <c r="AB36" s="329">
        <v>0</v>
      </c>
      <c r="AC36" s="329">
        <v>0</v>
      </c>
      <c r="AD36" s="329">
        <v>378</v>
      </c>
      <c r="AE36" s="329">
        <v>378</v>
      </c>
      <c r="AF36" s="329">
        <v>302</v>
      </c>
      <c r="AG36" s="329">
        <v>4025106</v>
      </c>
      <c r="AH36" s="3"/>
      <c r="AI36" s="401">
        <v>100003227</v>
      </c>
      <c r="AJ36" s="329">
        <v>0</v>
      </c>
      <c r="AK36" s="329">
        <v>0</v>
      </c>
      <c r="AL36" s="329">
        <v>378</v>
      </c>
      <c r="AM36" s="329">
        <v>378</v>
      </c>
      <c r="AN36" s="329">
        <v>302</v>
      </c>
      <c r="AO36" s="329">
        <v>5477663</v>
      </c>
    </row>
    <row r="37" spans="1:41" ht="15.75">
      <c r="A37" s="167">
        <v>31</v>
      </c>
      <c r="B37" s="79" t="s">
        <v>161</v>
      </c>
      <c r="C37" s="452">
        <v>100003486</v>
      </c>
      <c r="D37" s="458">
        <v>0</v>
      </c>
      <c r="E37" s="329">
        <v>249</v>
      </c>
      <c r="F37" s="329"/>
      <c r="G37" s="329"/>
      <c r="H37" s="329">
        <v>249</v>
      </c>
      <c r="I37" s="329">
        <v>0</v>
      </c>
      <c r="J37" s="329">
        <v>0</v>
      </c>
      <c r="K37" s="333">
        <v>0</v>
      </c>
      <c r="L37" s="333"/>
      <c r="M37" s="165"/>
      <c r="N37" s="401">
        <v>100003486</v>
      </c>
      <c r="O37" s="329">
        <v>0</v>
      </c>
      <c r="P37" s="329">
        <v>0</v>
      </c>
      <c r="Q37" s="329">
        <v>249</v>
      </c>
      <c r="R37" s="333">
        <v>249</v>
      </c>
      <c r="S37" s="333">
        <v>7852672</v>
      </c>
      <c r="T37" s="335">
        <v>0.35</v>
      </c>
      <c r="U37" s="165">
        <f>VLOOKUP(N37,'[2]154'!$C$9:$T$554,18,0)</f>
        <v>249</v>
      </c>
      <c r="V37" s="401">
        <v>100003486</v>
      </c>
      <c r="W37" s="406">
        <v>0</v>
      </c>
      <c r="X37" s="405">
        <v>0</v>
      </c>
      <c r="Y37" s="406">
        <v>0</v>
      </c>
      <c r="Z37" s="3"/>
      <c r="AA37" s="401">
        <v>100003486</v>
      </c>
      <c r="AB37" s="329">
        <v>0</v>
      </c>
      <c r="AC37" s="329">
        <v>0</v>
      </c>
      <c r="AD37" s="329">
        <v>249</v>
      </c>
      <c r="AE37" s="329">
        <v>249</v>
      </c>
      <c r="AF37" s="329">
        <v>199</v>
      </c>
      <c r="AG37" s="329">
        <v>3229345</v>
      </c>
      <c r="AH37" s="3"/>
      <c r="AI37" s="401">
        <v>100003486</v>
      </c>
      <c r="AJ37" s="329">
        <v>0</v>
      </c>
      <c r="AK37" s="329">
        <v>0</v>
      </c>
      <c r="AL37" s="329">
        <v>249</v>
      </c>
      <c r="AM37" s="329">
        <v>249</v>
      </c>
      <c r="AN37" s="329">
        <v>199</v>
      </c>
      <c r="AO37" s="329">
        <v>4623327</v>
      </c>
    </row>
    <row r="38" spans="1:41" s="211" customFormat="1" ht="15.75">
      <c r="A38" s="167">
        <v>32</v>
      </c>
      <c r="B38" s="79" t="s">
        <v>161</v>
      </c>
      <c r="C38" s="452">
        <v>100003532</v>
      </c>
      <c r="D38" s="460">
        <v>0</v>
      </c>
      <c r="E38" s="333">
        <v>68</v>
      </c>
      <c r="F38" s="333">
        <v>0</v>
      </c>
      <c r="G38" s="333">
        <v>0</v>
      </c>
      <c r="H38" s="333">
        <v>68</v>
      </c>
      <c r="I38" s="333">
        <v>0</v>
      </c>
      <c r="J38" s="333">
        <v>0</v>
      </c>
      <c r="K38" s="333">
        <v>0</v>
      </c>
      <c r="L38" s="333"/>
      <c r="M38" s="165"/>
      <c r="N38" s="400">
        <v>100003532</v>
      </c>
      <c r="O38" s="333">
        <v>0</v>
      </c>
      <c r="P38" s="333">
        <v>0</v>
      </c>
      <c r="Q38" s="333">
        <v>68</v>
      </c>
      <c r="R38" s="333">
        <v>68</v>
      </c>
      <c r="S38" s="333">
        <v>1902233</v>
      </c>
      <c r="T38" s="334">
        <v>0.36</v>
      </c>
      <c r="U38" s="165">
        <f>VLOOKUP(N38,'[2]154'!$C$9:$T$554,18,0)</f>
        <v>68</v>
      </c>
      <c r="V38" s="400">
        <v>100003532</v>
      </c>
      <c r="W38" s="404">
        <v>0</v>
      </c>
      <c r="X38" s="405">
        <v>0</v>
      </c>
      <c r="Y38" s="404">
        <v>0</v>
      </c>
      <c r="Z38" s="169"/>
      <c r="AA38" s="400">
        <v>100003532</v>
      </c>
      <c r="AB38" s="333">
        <v>0</v>
      </c>
      <c r="AC38" s="333">
        <v>0</v>
      </c>
      <c r="AD38" s="333">
        <v>68</v>
      </c>
      <c r="AE38" s="333">
        <v>68</v>
      </c>
      <c r="AF38" s="333">
        <v>54</v>
      </c>
      <c r="AG38" s="333">
        <v>778886</v>
      </c>
      <c r="AH38" s="169"/>
      <c r="AI38" s="400">
        <v>100003532</v>
      </c>
      <c r="AJ38" s="333">
        <v>0</v>
      </c>
      <c r="AK38" s="333">
        <v>0</v>
      </c>
      <c r="AL38" s="333">
        <v>68</v>
      </c>
      <c r="AM38" s="333">
        <v>68</v>
      </c>
      <c r="AN38" s="333">
        <v>54</v>
      </c>
      <c r="AO38" s="333">
        <v>1123347</v>
      </c>
    </row>
    <row r="39" spans="1:41" s="211" customFormat="1" ht="15.75">
      <c r="A39" s="167">
        <v>33</v>
      </c>
      <c r="B39" s="79" t="s">
        <v>161</v>
      </c>
      <c r="C39" s="452">
        <v>100003576</v>
      </c>
      <c r="D39" s="460">
        <v>0</v>
      </c>
      <c r="E39" s="333">
        <v>96</v>
      </c>
      <c r="F39" s="333">
        <v>0</v>
      </c>
      <c r="G39" s="333">
        <v>0</v>
      </c>
      <c r="H39" s="333">
        <v>96</v>
      </c>
      <c r="I39" s="333">
        <v>0</v>
      </c>
      <c r="J39" s="333">
        <v>0</v>
      </c>
      <c r="K39" s="333">
        <v>0</v>
      </c>
      <c r="L39" s="333"/>
      <c r="M39" s="208"/>
      <c r="N39" s="400">
        <v>100003576</v>
      </c>
      <c r="O39" s="333">
        <v>0</v>
      </c>
      <c r="P39" s="333">
        <v>0</v>
      </c>
      <c r="Q39" s="333">
        <v>96</v>
      </c>
      <c r="R39" s="333">
        <v>96</v>
      </c>
      <c r="S39" s="333">
        <v>1662915</v>
      </c>
      <c r="T39" s="334">
        <v>0.36</v>
      </c>
      <c r="U39" s="165">
        <f>VLOOKUP(N39,'[2]154'!$C$9:$T$554,18,0)</f>
        <v>96</v>
      </c>
      <c r="V39" s="400">
        <v>100003576</v>
      </c>
      <c r="W39" s="404">
        <v>0</v>
      </c>
      <c r="X39" s="405">
        <v>0</v>
      </c>
      <c r="Y39" s="404">
        <v>0</v>
      </c>
      <c r="Z39" s="169"/>
      <c r="AA39" s="400">
        <v>100003576</v>
      </c>
      <c r="AB39" s="333">
        <v>0</v>
      </c>
      <c r="AC39" s="333">
        <v>0</v>
      </c>
      <c r="AD39" s="333">
        <v>96</v>
      </c>
      <c r="AE39" s="333">
        <v>96</v>
      </c>
      <c r="AF39" s="333">
        <v>77</v>
      </c>
      <c r="AG39" s="333">
        <v>703516</v>
      </c>
      <c r="AH39" s="169"/>
      <c r="AI39" s="400">
        <v>100003576</v>
      </c>
      <c r="AJ39" s="333">
        <v>0</v>
      </c>
      <c r="AK39" s="333">
        <v>0</v>
      </c>
      <c r="AL39" s="333">
        <v>96</v>
      </c>
      <c r="AM39" s="333">
        <v>96</v>
      </c>
      <c r="AN39" s="333">
        <v>77</v>
      </c>
      <c r="AO39" s="333">
        <v>959399</v>
      </c>
    </row>
    <row r="40" spans="1:41" s="211" customFormat="1" ht="15.75">
      <c r="A40" s="167">
        <v>34</v>
      </c>
      <c r="B40" s="79" t="s">
        <v>161</v>
      </c>
      <c r="C40" s="452">
        <v>100004422</v>
      </c>
      <c r="D40" s="460">
        <v>0</v>
      </c>
      <c r="E40" s="333">
        <v>63</v>
      </c>
      <c r="F40" s="333">
        <v>0</v>
      </c>
      <c r="G40" s="333">
        <v>0</v>
      </c>
      <c r="H40" s="333">
        <v>63</v>
      </c>
      <c r="I40" s="333">
        <v>0</v>
      </c>
      <c r="J40" s="333">
        <v>0</v>
      </c>
      <c r="K40" s="333">
        <v>0</v>
      </c>
      <c r="L40" s="333"/>
      <c r="M40" s="165"/>
      <c r="N40" s="400">
        <v>100004422</v>
      </c>
      <c r="O40" s="333">
        <v>0</v>
      </c>
      <c r="P40" s="333">
        <v>0</v>
      </c>
      <c r="Q40" s="333">
        <v>63</v>
      </c>
      <c r="R40" s="333">
        <v>63</v>
      </c>
      <c r="S40" s="333">
        <v>1166158</v>
      </c>
      <c r="T40" s="334">
        <v>1.1000000000000001</v>
      </c>
      <c r="U40" s="165">
        <f>VLOOKUP(N40,'[2]154'!$C$9:$T$554,18,0)</f>
        <v>63</v>
      </c>
      <c r="V40" s="400">
        <v>100004422</v>
      </c>
      <c r="W40" s="404">
        <v>0</v>
      </c>
      <c r="X40" s="405">
        <v>0</v>
      </c>
      <c r="Y40" s="404">
        <v>0</v>
      </c>
      <c r="Z40" s="169"/>
      <c r="AA40" s="400">
        <v>100004422</v>
      </c>
      <c r="AB40" s="333">
        <v>0</v>
      </c>
      <c r="AC40" s="333">
        <v>0</v>
      </c>
      <c r="AD40" s="333">
        <v>63</v>
      </c>
      <c r="AE40" s="333">
        <v>63</v>
      </c>
      <c r="AF40" s="333">
        <v>50</v>
      </c>
      <c r="AG40" s="333">
        <v>493357</v>
      </c>
      <c r="AH40" s="169"/>
      <c r="AI40" s="400">
        <v>100004422</v>
      </c>
      <c r="AJ40" s="333">
        <v>0</v>
      </c>
      <c r="AK40" s="333">
        <v>0</v>
      </c>
      <c r="AL40" s="333">
        <v>63</v>
      </c>
      <c r="AM40" s="333">
        <v>63</v>
      </c>
      <c r="AN40" s="333">
        <v>50</v>
      </c>
      <c r="AO40" s="333">
        <v>672801</v>
      </c>
    </row>
    <row r="41" spans="1:41" ht="15.75">
      <c r="A41" s="167">
        <v>35</v>
      </c>
      <c r="B41" s="79" t="s">
        <v>161</v>
      </c>
      <c r="C41" s="452">
        <v>100004424</v>
      </c>
      <c r="D41" s="458">
        <v>0</v>
      </c>
      <c r="E41" s="329">
        <v>81</v>
      </c>
      <c r="F41" s="329">
        <v>0</v>
      </c>
      <c r="G41" s="329">
        <v>0</v>
      </c>
      <c r="H41" s="329">
        <v>81</v>
      </c>
      <c r="I41" s="329">
        <v>0</v>
      </c>
      <c r="J41" s="329">
        <v>0</v>
      </c>
      <c r="K41" s="333">
        <v>0</v>
      </c>
      <c r="L41" s="333"/>
      <c r="M41" s="165"/>
      <c r="N41" s="401">
        <v>100004424</v>
      </c>
      <c r="O41" s="329">
        <v>0</v>
      </c>
      <c r="P41" s="329">
        <v>0</v>
      </c>
      <c r="Q41" s="329">
        <v>81</v>
      </c>
      <c r="R41" s="333">
        <v>81</v>
      </c>
      <c r="S41" s="333">
        <v>1516005</v>
      </c>
      <c r="T41" s="335">
        <v>0.35</v>
      </c>
      <c r="U41" s="165">
        <f>VLOOKUP(N41,'[2]154'!$C$9:$T$554,18,0)</f>
        <v>81</v>
      </c>
      <c r="V41" s="401">
        <v>100004424</v>
      </c>
      <c r="W41" s="406">
        <v>0</v>
      </c>
      <c r="X41" s="405">
        <v>0</v>
      </c>
      <c r="Y41" s="406">
        <v>0</v>
      </c>
      <c r="Z41" s="3"/>
      <c r="AA41" s="401">
        <v>100004424</v>
      </c>
      <c r="AB41" s="329">
        <v>0</v>
      </c>
      <c r="AC41" s="329">
        <v>0</v>
      </c>
      <c r="AD41" s="329">
        <v>81</v>
      </c>
      <c r="AE41" s="329">
        <v>81</v>
      </c>
      <c r="AF41" s="329">
        <v>65</v>
      </c>
      <c r="AG41" s="329">
        <v>641364</v>
      </c>
      <c r="AH41" s="3"/>
      <c r="AI41" s="401">
        <v>100004424</v>
      </c>
      <c r="AJ41" s="329">
        <v>0</v>
      </c>
      <c r="AK41" s="329">
        <v>0</v>
      </c>
      <c r="AL41" s="329">
        <v>81</v>
      </c>
      <c r="AM41" s="329">
        <v>81</v>
      </c>
      <c r="AN41" s="329">
        <v>65</v>
      </c>
      <c r="AO41" s="329">
        <v>874641</v>
      </c>
    </row>
    <row r="42" spans="1:41" ht="15.75">
      <c r="A42" s="167">
        <v>36</v>
      </c>
      <c r="B42" s="79" t="s">
        <v>161</v>
      </c>
      <c r="C42" s="452">
        <v>100005621</v>
      </c>
      <c r="D42" s="458">
        <v>0</v>
      </c>
      <c r="E42" s="329">
        <v>56</v>
      </c>
      <c r="F42" s="329">
        <v>0</v>
      </c>
      <c r="G42" s="329">
        <v>0</v>
      </c>
      <c r="H42" s="329">
        <v>56</v>
      </c>
      <c r="I42" s="329">
        <v>0</v>
      </c>
      <c r="J42" s="329">
        <v>0</v>
      </c>
      <c r="K42" s="333">
        <v>0</v>
      </c>
      <c r="L42" s="333"/>
      <c r="M42" s="208"/>
      <c r="N42" s="401">
        <v>100005621</v>
      </c>
      <c r="O42" s="329">
        <v>0</v>
      </c>
      <c r="P42" s="329">
        <v>0</v>
      </c>
      <c r="Q42" s="329">
        <v>56</v>
      </c>
      <c r="R42" s="333">
        <v>56</v>
      </c>
      <c r="S42" s="333">
        <v>3816515</v>
      </c>
      <c r="T42" s="335">
        <v>0.35</v>
      </c>
      <c r="U42" s="165">
        <f>VLOOKUP(N42,'[2]154'!$C$9:$T$554,18,0)</f>
        <v>56</v>
      </c>
      <c r="V42" s="401">
        <v>100005621</v>
      </c>
      <c r="W42" s="406">
        <v>0</v>
      </c>
      <c r="X42" s="405">
        <v>0</v>
      </c>
      <c r="Y42" s="406">
        <v>0</v>
      </c>
      <c r="Z42" s="3"/>
      <c r="AA42" s="401">
        <v>100005621</v>
      </c>
      <c r="AB42" s="329">
        <v>0</v>
      </c>
      <c r="AC42" s="329">
        <v>0</v>
      </c>
      <c r="AD42" s="329">
        <v>56</v>
      </c>
      <c r="AE42" s="329">
        <v>56</v>
      </c>
      <c r="AF42" s="329">
        <v>45</v>
      </c>
      <c r="AG42" s="329">
        <v>1614622</v>
      </c>
      <c r="AH42" s="3"/>
      <c r="AI42" s="401">
        <v>100005621</v>
      </c>
      <c r="AJ42" s="329">
        <v>0</v>
      </c>
      <c r="AK42" s="329">
        <v>0</v>
      </c>
      <c r="AL42" s="329">
        <v>56</v>
      </c>
      <c r="AM42" s="329">
        <v>56</v>
      </c>
      <c r="AN42" s="329">
        <v>45</v>
      </c>
      <c r="AO42" s="329">
        <v>2201893</v>
      </c>
    </row>
    <row r="43" spans="1:41" ht="15.75">
      <c r="A43" s="167">
        <v>37</v>
      </c>
      <c r="B43" s="79" t="s">
        <v>161</v>
      </c>
      <c r="C43" s="452">
        <v>100005705</v>
      </c>
      <c r="D43" s="458">
        <v>5880</v>
      </c>
      <c r="E43" s="329">
        <v>352</v>
      </c>
      <c r="F43" s="329">
        <v>0</v>
      </c>
      <c r="G43" s="329">
        <v>69</v>
      </c>
      <c r="H43" s="329">
        <v>283</v>
      </c>
      <c r="I43" s="329">
        <v>0</v>
      </c>
      <c r="J43" s="329">
        <v>3</v>
      </c>
      <c r="K43" s="333">
        <v>3</v>
      </c>
      <c r="L43" s="333"/>
      <c r="M43" s="165"/>
      <c r="N43" s="401">
        <v>100005705</v>
      </c>
      <c r="O43" s="329">
        <v>0</v>
      </c>
      <c r="P43" s="329">
        <v>69</v>
      </c>
      <c r="Q43" s="329">
        <v>283</v>
      </c>
      <c r="R43" s="333">
        <v>352</v>
      </c>
      <c r="S43" s="333">
        <v>11455178</v>
      </c>
      <c r="T43" s="335">
        <v>2.77</v>
      </c>
      <c r="U43" s="165">
        <f>VLOOKUP(N43,'[2]154'!$C$9:$T$554,18,0)</f>
        <v>1081</v>
      </c>
      <c r="V43" s="401">
        <v>100005705</v>
      </c>
      <c r="W43" s="406">
        <v>3</v>
      </c>
      <c r="X43" s="405">
        <v>42329.333333333336</v>
      </c>
      <c r="Y43" s="406">
        <v>126988</v>
      </c>
      <c r="Z43" s="3"/>
      <c r="AA43" s="401">
        <v>100005705</v>
      </c>
      <c r="AB43" s="329">
        <v>0</v>
      </c>
      <c r="AC43" s="329">
        <v>69</v>
      </c>
      <c r="AD43" s="329">
        <v>283</v>
      </c>
      <c r="AE43" s="329">
        <v>352</v>
      </c>
      <c r="AF43" s="329">
        <v>261</v>
      </c>
      <c r="AG43" s="329">
        <v>4115074</v>
      </c>
      <c r="AH43" s="3"/>
      <c r="AI43" s="401">
        <v>100005705</v>
      </c>
      <c r="AJ43" s="329">
        <v>0</v>
      </c>
      <c r="AK43" s="329">
        <v>69</v>
      </c>
      <c r="AL43" s="329">
        <v>283</v>
      </c>
      <c r="AM43" s="329">
        <v>352</v>
      </c>
      <c r="AN43" s="329">
        <v>261</v>
      </c>
      <c r="AO43" s="329">
        <v>7340104</v>
      </c>
    </row>
    <row r="44" spans="1:41" s="211" customFormat="1" ht="15.75">
      <c r="A44" s="167">
        <v>38</v>
      </c>
      <c r="B44" s="79" t="s">
        <v>161</v>
      </c>
      <c r="C44" s="452">
        <v>100005710</v>
      </c>
      <c r="D44" s="460">
        <v>0</v>
      </c>
      <c r="E44" s="333">
        <v>109</v>
      </c>
      <c r="F44" s="333">
        <v>0</v>
      </c>
      <c r="G44" s="333">
        <v>69</v>
      </c>
      <c r="H44" s="333">
        <v>40</v>
      </c>
      <c r="I44" s="333">
        <v>0</v>
      </c>
      <c r="J44" s="333">
        <v>0</v>
      </c>
      <c r="K44" s="333">
        <v>0</v>
      </c>
      <c r="L44" s="333"/>
      <c r="M44" s="165"/>
      <c r="N44" s="400">
        <v>100005710</v>
      </c>
      <c r="O44" s="333">
        <v>0</v>
      </c>
      <c r="P44" s="333">
        <v>69</v>
      </c>
      <c r="Q44" s="333">
        <v>40</v>
      </c>
      <c r="R44" s="333">
        <v>109</v>
      </c>
      <c r="S44" s="333">
        <v>4993030</v>
      </c>
      <c r="T44" s="334">
        <v>0.36</v>
      </c>
      <c r="U44" s="165">
        <f>VLOOKUP(N44,'[2]154'!$C$9:$T$554,18,0)</f>
        <v>132</v>
      </c>
      <c r="V44" s="400">
        <v>100005710</v>
      </c>
      <c r="W44" s="404">
        <v>0</v>
      </c>
      <c r="X44" s="405">
        <v>0</v>
      </c>
      <c r="Y44" s="404">
        <v>0</v>
      </c>
      <c r="Z44" s="169"/>
      <c r="AA44" s="400">
        <v>100005710</v>
      </c>
      <c r="AB44" s="333">
        <v>0</v>
      </c>
      <c r="AC44" s="333">
        <v>69</v>
      </c>
      <c r="AD44" s="333">
        <v>40</v>
      </c>
      <c r="AE44" s="333">
        <v>109</v>
      </c>
      <c r="AF44" s="333">
        <v>67</v>
      </c>
      <c r="AG44" s="333">
        <v>2112361</v>
      </c>
      <c r="AH44" s="169"/>
      <c r="AI44" s="400">
        <v>100005710</v>
      </c>
      <c r="AJ44" s="333">
        <v>0</v>
      </c>
      <c r="AK44" s="333">
        <v>69</v>
      </c>
      <c r="AL44" s="333">
        <v>40</v>
      </c>
      <c r="AM44" s="333">
        <v>109</v>
      </c>
      <c r="AN44" s="333">
        <v>67</v>
      </c>
      <c r="AO44" s="333">
        <v>2880669</v>
      </c>
    </row>
    <row r="45" spans="1:41" ht="15.75">
      <c r="A45" s="167">
        <v>39</v>
      </c>
      <c r="B45" s="79" t="s">
        <v>161</v>
      </c>
      <c r="C45" s="452">
        <v>100008197</v>
      </c>
      <c r="D45" s="458">
        <v>9784</v>
      </c>
      <c r="E45" s="329">
        <v>461</v>
      </c>
      <c r="F45" s="329">
        <v>0</v>
      </c>
      <c r="G45" s="329">
        <v>0</v>
      </c>
      <c r="H45" s="329">
        <v>461</v>
      </c>
      <c r="I45" s="329">
        <v>0</v>
      </c>
      <c r="J45" s="329">
        <v>0</v>
      </c>
      <c r="K45" s="333">
        <v>0</v>
      </c>
      <c r="L45" s="333"/>
      <c r="M45" s="165"/>
      <c r="N45" s="401">
        <v>100008197</v>
      </c>
      <c r="O45" s="329">
        <v>0</v>
      </c>
      <c r="P45" s="329">
        <v>0</v>
      </c>
      <c r="Q45" s="329">
        <v>461</v>
      </c>
      <c r="R45" s="333">
        <v>461</v>
      </c>
      <c r="S45" s="333">
        <v>11662004</v>
      </c>
      <c r="T45" s="335">
        <v>0.35</v>
      </c>
      <c r="U45" s="165">
        <f>VLOOKUP(N45,'[2]154'!$C$9:$T$554,18,0)</f>
        <v>461</v>
      </c>
      <c r="V45" s="401">
        <v>100008197</v>
      </c>
      <c r="W45" s="406">
        <v>0</v>
      </c>
      <c r="X45" s="405">
        <v>0</v>
      </c>
      <c r="Y45" s="406">
        <v>0</v>
      </c>
      <c r="Z45" s="3"/>
      <c r="AA45" s="401">
        <v>100008197</v>
      </c>
      <c r="AB45" s="329">
        <v>0</v>
      </c>
      <c r="AC45" s="329">
        <v>0</v>
      </c>
      <c r="AD45" s="329">
        <v>461</v>
      </c>
      <c r="AE45" s="329">
        <v>461</v>
      </c>
      <c r="AF45" s="329">
        <v>369</v>
      </c>
      <c r="AG45" s="329">
        <v>4170768</v>
      </c>
      <c r="AH45" s="3"/>
      <c r="AI45" s="401">
        <v>100008197</v>
      </c>
      <c r="AJ45" s="329">
        <v>0</v>
      </c>
      <c r="AK45" s="329">
        <v>0</v>
      </c>
      <c r="AL45" s="329">
        <v>461</v>
      </c>
      <c r="AM45" s="329">
        <v>461</v>
      </c>
      <c r="AN45" s="329">
        <v>369</v>
      </c>
      <c r="AO45" s="329">
        <v>7491236</v>
      </c>
    </row>
    <row r="46" spans="1:41" s="211" customFormat="1" ht="15.75">
      <c r="A46" s="167">
        <v>40</v>
      </c>
      <c r="B46" s="79" t="s">
        <v>161</v>
      </c>
      <c r="C46" s="452">
        <v>100008887</v>
      </c>
      <c r="D46" s="460">
        <v>0</v>
      </c>
      <c r="E46" s="333">
        <v>200</v>
      </c>
      <c r="F46" s="333">
        <v>0</v>
      </c>
      <c r="G46" s="333">
        <v>0</v>
      </c>
      <c r="H46" s="333">
        <v>200</v>
      </c>
      <c r="I46" s="333">
        <v>0</v>
      </c>
      <c r="J46" s="333">
        <v>0</v>
      </c>
      <c r="K46" s="333">
        <v>0</v>
      </c>
      <c r="L46" s="333"/>
      <c r="M46" s="208"/>
      <c r="N46" s="400">
        <v>100008887</v>
      </c>
      <c r="O46" s="333">
        <v>0</v>
      </c>
      <c r="P46" s="333">
        <v>0</v>
      </c>
      <c r="Q46" s="333">
        <v>200</v>
      </c>
      <c r="R46" s="333">
        <v>200</v>
      </c>
      <c r="S46" s="333">
        <v>9159637</v>
      </c>
      <c r="T46" s="334">
        <v>0.35</v>
      </c>
      <c r="U46" s="165">
        <f>VLOOKUP(N46,'[2]154'!$C$9:$T$554,18,0)</f>
        <v>200</v>
      </c>
      <c r="V46" s="400">
        <v>100008887</v>
      </c>
      <c r="W46" s="404">
        <v>0</v>
      </c>
      <c r="X46" s="405">
        <v>0</v>
      </c>
      <c r="Y46" s="404">
        <v>0</v>
      </c>
      <c r="Z46" s="169"/>
      <c r="AA46" s="400">
        <v>100008887</v>
      </c>
      <c r="AB46" s="333">
        <v>0</v>
      </c>
      <c r="AC46" s="333">
        <v>0</v>
      </c>
      <c r="AD46" s="333">
        <v>200</v>
      </c>
      <c r="AE46" s="333">
        <v>200</v>
      </c>
      <c r="AF46" s="333">
        <v>160</v>
      </c>
      <c r="AG46" s="333">
        <v>3875093</v>
      </c>
      <c r="AH46" s="169"/>
      <c r="AI46" s="400">
        <v>100008887</v>
      </c>
      <c r="AJ46" s="333">
        <v>0</v>
      </c>
      <c r="AK46" s="333">
        <v>0</v>
      </c>
      <c r="AL46" s="333">
        <v>200</v>
      </c>
      <c r="AM46" s="333">
        <v>200</v>
      </c>
      <c r="AN46" s="333">
        <v>160</v>
      </c>
      <c r="AO46" s="333">
        <v>5284544</v>
      </c>
    </row>
    <row r="47" spans="1:41" s="211" customFormat="1" ht="15.75">
      <c r="A47" s="167">
        <v>41</v>
      </c>
      <c r="B47" s="79" t="s">
        <v>161</v>
      </c>
      <c r="C47" s="452">
        <v>100010879</v>
      </c>
      <c r="D47" s="460">
        <v>0</v>
      </c>
      <c r="E47" s="333">
        <v>250</v>
      </c>
      <c r="F47" s="333">
        <v>0</v>
      </c>
      <c r="G47" s="333">
        <v>0</v>
      </c>
      <c r="H47" s="333">
        <v>250</v>
      </c>
      <c r="I47" s="333">
        <v>0</v>
      </c>
      <c r="J47" s="333">
        <v>0</v>
      </c>
      <c r="K47" s="333">
        <v>0</v>
      </c>
      <c r="L47" s="333"/>
      <c r="M47" s="165"/>
      <c r="N47" s="400">
        <v>100010879</v>
      </c>
      <c r="O47" s="333">
        <v>0</v>
      </c>
      <c r="P47" s="333">
        <v>0</v>
      </c>
      <c r="Q47" s="333">
        <v>250</v>
      </c>
      <c r="R47" s="333">
        <v>250</v>
      </c>
      <c r="S47" s="333">
        <v>9396639</v>
      </c>
      <c r="T47" s="334">
        <v>2.2000000000000002</v>
      </c>
      <c r="U47" s="165">
        <f>VLOOKUP(N47,'[2]154'!$C$9:$T$554,18,0)</f>
        <v>250</v>
      </c>
      <c r="V47" s="400">
        <v>100010879</v>
      </c>
      <c r="W47" s="404">
        <v>0</v>
      </c>
      <c r="X47" s="405">
        <v>0</v>
      </c>
      <c r="Y47" s="404">
        <v>0</v>
      </c>
      <c r="Z47" s="169"/>
      <c r="AA47" s="400">
        <v>100010879</v>
      </c>
      <c r="AB47" s="333">
        <v>0</v>
      </c>
      <c r="AC47" s="333">
        <v>0</v>
      </c>
      <c r="AD47" s="333">
        <v>250</v>
      </c>
      <c r="AE47" s="333">
        <v>250</v>
      </c>
      <c r="AF47" s="333">
        <v>200</v>
      </c>
      <c r="AG47" s="333">
        <v>3841830</v>
      </c>
      <c r="AH47" s="169"/>
      <c r="AI47" s="400">
        <v>100010879</v>
      </c>
      <c r="AJ47" s="333">
        <v>0</v>
      </c>
      <c r="AK47" s="333">
        <v>0</v>
      </c>
      <c r="AL47" s="333">
        <v>250</v>
      </c>
      <c r="AM47" s="333">
        <v>250</v>
      </c>
      <c r="AN47" s="333">
        <v>200</v>
      </c>
      <c r="AO47" s="333">
        <v>5554809</v>
      </c>
    </row>
    <row r="48" spans="1:41" ht="15.75">
      <c r="A48" s="167">
        <v>42</v>
      </c>
      <c r="B48" s="79" t="s">
        <v>161</v>
      </c>
      <c r="C48" s="452">
        <v>100010914</v>
      </c>
      <c r="D48" s="458">
        <v>0</v>
      </c>
      <c r="E48" s="329">
        <v>55</v>
      </c>
      <c r="F48" s="329">
        <v>0</v>
      </c>
      <c r="G48" s="329">
        <v>0</v>
      </c>
      <c r="H48" s="329">
        <v>55</v>
      </c>
      <c r="I48" s="329">
        <v>0</v>
      </c>
      <c r="J48" s="329">
        <v>0</v>
      </c>
      <c r="K48" s="333">
        <v>0</v>
      </c>
      <c r="L48" s="333"/>
      <c r="M48" s="165"/>
      <c r="N48" s="401">
        <v>100010914</v>
      </c>
      <c r="O48" s="329">
        <v>0</v>
      </c>
      <c r="P48" s="329">
        <v>0</v>
      </c>
      <c r="Q48" s="329">
        <v>55</v>
      </c>
      <c r="R48" s="333">
        <v>55</v>
      </c>
      <c r="S48" s="333">
        <v>2056699</v>
      </c>
      <c r="T48" s="335">
        <v>0.35</v>
      </c>
      <c r="U48" s="165">
        <f>VLOOKUP(N48,'[2]154'!$C$9:$T$554,18,0)</f>
        <v>55</v>
      </c>
      <c r="V48" s="401">
        <v>100010914</v>
      </c>
      <c r="W48" s="406">
        <v>0</v>
      </c>
      <c r="X48" s="405">
        <v>0</v>
      </c>
      <c r="Y48" s="406">
        <v>0</v>
      </c>
      <c r="Z48" s="3"/>
      <c r="AA48" s="401">
        <v>100010914</v>
      </c>
      <c r="AB48" s="329">
        <v>0</v>
      </c>
      <c r="AC48" s="329">
        <v>0</v>
      </c>
      <c r="AD48" s="329">
        <v>55</v>
      </c>
      <c r="AE48" s="329">
        <v>55</v>
      </c>
      <c r="AF48" s="329">
        <v>44</v>
      </c>
      <c r="AG48" s="329">
        <v>861665</v>
      </c>
      <c r="AH48" s="3"/>
      <c r="AI48" s="401">
        <v>100010914</v>
      </c>
      <c r="AJ48" s="329">
        <v>0</v>
      </c>
      <c r="AK48" s="329">
        <v>0</v>
      </c>
      <c r="AL48" s="329">
        <v>55</v>
      </c>
      <c r="AM48" s="329">
        <v>55</v>
      </c>
      <c r="AN48" s="329">
        <v>44</v>
      </c>
      <c r="AO48" s="329">
        <v>1195034</v>
      </c>
    </row>
    <row r="49" spans="1:41" ht="15.75">
      <c r="A49" s="167">
        <v>43</v>
      </c>
      <c r="B49" s="79" t="s">
        <v>161</v>
      </c>
      <c r="C49" s="452">
        <v>100011006</v>
      </c>
      <c r="D49" s="458">
        <v>0</v>
      </c>
      <c r="E49" s="329">
        <v>94</v>
      </c>
      <c r="F49" s="329">
        <v>0</v>
      </c>
      <c r="G49" s="329">
        <v>0</v>
      </c>
      <c r="H49" s="329">
        <v>94</v>
      </c>
      <c r="I49" s="329">
        <v>0</v>
      </c>
      <c r="J49" s="329">
        <v>0</v>
      </c>
      <c r="K49" s="333">
        <v>0</v>
      </c>
      <c r="L49" s="333"/>
      <c r="M49" s="208"/>
      <c r="N49" s="401">
        <v>100011006</v>
      </c>
      <c r="O49" s="329">
        <v>0</v>
      </c>
      <c r="P49" s="329">
        <v>0</v>
      </c>
      <c r="Q49" s="329">
        <v>94</v>
      </c>
      <c r="R49" s="333">
        <v>94</v>
      </c>
      <c r="S49" s="333">
        <v>2553320</v>
      </c>
      <c r="T49" s="335">
        <v>0.35</v>
      </c>
      <c r="U49" s="165">
        <f>VLOOKUP(N49,'[2]154'!$C$9:$T$554,18,0)</f>
        <v>94</v>
      </c>
      <c r="V49" s="401">
        <v>100011006</v>
      </c>
      <c r="W49" s="406">
        <v>0</v>
      </c>
      <c r="X49" s="405">
        <v>0</v>
      </c>
      <c r="Y49" s="406">
        <v>0</v>
      </c>
      <c r="Z49" s="3"/>
      <c r="AA49" s="401">
        <v>100011006</v>
      </c>
      <c r="AB49" s="329">
        <v>0</v>
      </c>
      <c r="AC49" s="329">
        <v>0</v>
      </c>
      <c r="AD49" s="329">
        <v>94</v>
      </c>
      <c r="AE49" s="329">
        <v>94</v>
      </c>
      <c r="AF49" s="329">
        <v>75</v>
      </c>
      <c r="AG49" s="329">
        <v>1080212</v>
      </c>
      <c r="AH49" s="3"/>
      <c r="AI49" s="401">
        <v>100011006</v>
      </c>
      <c r="AJ49" s="329">
        <v>0</v>
      </c>
      <c r="AK49" s="329">
        <v>0</v>
      </c>
      <c r="AL49" s="329">
        <v>94</v>
      </c>
      <c r="AM49" s="329">
        <v>94</v>
      </c>
      <c r="AN49" s="329">
        <v>75</v>
      </c>
      <c r="AO49" s="329">
        <v>1473108</v>
      </c>
    </row>
    <row r="50" spans="1:41" s="211" customFormat="1" ht="15.75">
      <c r="A50" s="167">
        <v>44</v>
      </c>
      <c r="B50" s="79" t="s">
        <v>161</v>
      </c>
      <c r="C50" s="452">
        <v>100011101</v>
      </c>
      <c r="D50" s="460">
        <v>0</v>
      </c>
      <c r="E50" s="333">
        <v>21</v>
      </c>
      <c r="F50" s="333">
        <v>0</v>
      </c>
      <c r="G50" s="333">
        <v>0</v>
      </c>
      <c r="H50" s="333">
        <v>21</v>
      </c>
      <c r="I50" s="333">
        <v>0</v>
      </c>
      <c r="J50" s="333">
        <v>0</v>
      </c>
      <c r="K50" s="333">
        <v>0</v>
      </c>
      <c r="L50" s="333"/>
      <c r="M50" s="165"/>
      <c r="N50" s="400">
        <v>100011101</v>
      </c>
      <c r="O50" s="333">
        <v>0</v>
      </c>
      <c r="P50" s="333">
        <v>0</v>
      </c>
      <c r="Q50" s="333">
        <v>21</v>
      </c>
      <c r="R50" s="333">
        <v>21</v>
      </c>
      <c r="S50" s="333">
        <v>391481</v>
      </c>
      <c r="T50" s="334">
        <v>0.35</v>
      </c>
      <c r="U50" s="165">
        <f>VLOOKUP(N50,'[2]154'!$C$9:$T$554,18,0)</f>
        <v>21</v>
      </c>
      <c r="V50" s="400">
        <v>100011101</v>
      </c>
      <c r="W50" s="404">
        <v>0</v>
      </c>
      <c r="X50" s="405">
        <v>0</v>
      </c>
      <c r="Y50" s="404">
        <v>0</v>
      </c>
      <c r="Z50" s="169"/>
      <c r="AA50" s="400">
        <v>100011101</v>
      </c>
      <c r="AB50" s="333">
        <v>0</v>
      </c>
      <c r="AC50" s="333">
        <v>0</v>
      </c>
      <c r="AD50" s="333">
        <v>21</v>
      </c>
      <c r="AE50" s="333">
        <v>21</v>
      </c>
      <c r="AF50" s="333">
        <v>17</v>
      </c>
      <c r="AG50" s="333">
        <v>165621</v>
      </c>
      <c r="AH50" s="169"/>
      <c r="AI50" s="400">
        <v>100011101</v>
      </c>
      <c r="AJ50" s="333">
        <v>0</v>
      </c>
      <c r="AK50" s="333">
        <v>0</v>
      </c>
      <c r="AL50" s="333">
        <v>21</v>
      </c>
      <c r="AM50" s="333">
        <v>21</v>
      </c>
      <c r="AN50" s="333">
        <v>17</v>
      </c>
      <c r="AO50" s="333">
        <v>225860</v>
      </c>
    </row>
    <row r="51" spans="1:41" ht="15.75">
      <c r="A51" s="167">
        <v>45</v>
      </c>
      <c r="B51" s="79" t="s">
        <v>161</v>
      </c>
      <c r="C51" s="452">
        <v>100011102</v>
      </c>
      <c r="D51" s="458">
        <v>0</v>
      </c>
      <c r="E51" s="329">
        <v>31</v>
      </c>
      <c r="F51" s="329">
        <v>0</v>
      </c>
      <c r="G51" s="329">
        <v>0</v>
      </c>
      <c r="H51" s="329">
        <v>31</v>
      </c>
      <c r="I51" s="329">
        <v>0</v>
      </c>
      <c r="J51" s="329">
        <v>0</v>
      </c>
      <c r="K51" s="333">
        <v>0</v>
      </c>
      <c r="L51" s="333"/>
      <c r="M51" s="165"/>
      <c r="N51" s="401">
        <v>100011102</v>
      </c>
      <c r="O51" s="329">
        <v>0</v>
      </c>
      <c r="P51" s="329">
        <v>0</v>
      </c>
      <c r="Q51" s="329">
        <v>31</v>
      </c>
      <c r="R51" s="333">
        <v>31</v>
      </c>
      <c r="S51" s="333">
        <v>578563</v>
      </c>
      <c r="T51" s="335">
        <v>0.35</v>
      </c>
      <c r="U51" s="165">
        <f>VLOOKUP(N51,'[2]154'!$C$9:$T$554,18,0)</f>
        <v>31</v>
      </c>
      <c r="V51" s="401">
        <v>100011102</v>
      </c>
      <c r="W51" s="406">
        <v>0</v>
      </c>
      <c r="X51" s="405">
        <v>0</v>
      </c>
      <c r="Y51" s="406">
        <v>0</v>
      </c>
      <c r="Z51" s="3"/>
      <c r="AA51" s="401">
        <v>100011102</v>
      </c>
      <c r="AB51" s="329">
        <v>0</v>
      </c>
      <c r="AC51" s="329">
        <v>0</v>
      </c>
      <c r="AD51" s="329">
        <v>31</v>
      </c>
      <c r="AE51" s="329">
        <v>31</v>
      </c>
      <c r="AF51" s="329">
        <v>25</v>
      </c>
      <c r="AG51" s="329">
        <v>244768</v>
      </c>
      <c r="AH51" s="3"/>
      <c r="AI51" s="401">
        <v>100011102</v>
      </c>
      <c r="AJ51" s="329">
        <v>0</v>
      </c>
      <c r="AK51" s="329">
        <v>0</v>
      </c>
      <c r="AL51" s="329">
        <v>31</v>
      </c>
      <c r="AM51" s="329">
        <v>31</v>
      </c>
      <c r="AN51" s="329">
        <v>25</v>
      </c>
      <c r="AO51" s="329">
        <v>333795</v>
      </c>
    </row>
    <row r="52" spans="1:41" s="211" customFormat="1" ht="15.75">
      <c r="A52" s="167">
        <v>46</v>
      </c>
      <c r="B52" s="79" t="s">
        <v>161</v>
      </c>
      <c r="C52" s="452">
        <v>2335</v>
      </c>
      <c r="D52" s="460">
        <v>23823</v>
      </c>
      <c r="E52" s="333">
        <v>1273</v>
      </c>
      <c r="F52" s="333">
        <v>0</v>
      </c>
      <c r="G52" s="333">
        <v>328</v>
      </c>
      <c r="H52" s="333">
        <v>945</v>
      </c>
      <c r="I52" s="333">
        <v>0</v>
      </c>
      <c r="J52" s="333">
        <v>89</v>
      </c>
      <c r="K52" s="333">
        <v>89</v>
      </c>
      <c r="L52" s="333"/>
      <c r="M52" s="208"/>
      <c r="N52" s="400">
        <v>2335</v>
      </c>
      <c r="O52" s="333">
        <v>0</v>
      </c>
      <c r="P52" s="333">
        <v>328</v>
      </c>
      <c r="Q52" s="333">
        <v>945</v>
      </c>
      <c r="R52" s="333">
        <v>1273</v>
      </c>
      <c r="S52" s="333">
        <v>26702291</v>
      </c>
      <c r="T52" s="334">
        <v>1.23</v>
      </c>
      <c r="U52" s="165">
        <f>VLOOKUP(N52,'[2]154'!$C$9:$T$554,18,0)</f>
        <v>1055</v>
      </c>
      <c r="V52" s="400">
        <v>2335</v>
      </c>
      <c r="W52" s="404">
        <v>89</v>
      </c>
      <c r="X52" s="405">
        <v>20975.876404494382</v>
      </c>
      <c r="Y52" s="404">
        <v>1866853</v>
      </c>
      <c r="Z52" s="169"/>
      <c r="AA52" s="400">
        <v>2335</v>
      </c>
      <c r="AB52" s="333">
        <v>0</v>
      </c>
      <c r="AC52" s="333">
        <v>328</v>
      </c>
      <c r="AD52" s="333">
        <v>945</v>
      </c>
      <c r="AE52" s="333">
        <v>1273</v>
      </c>
      <c r="AF52" s="333">
        <v>920</v>
      </c>
      <c r="AG52" s="333">
        <v>9497959</v>
      </c>
      <c r="AH52" s="169"/>
      <c r="AI52" s="400">
        <v>2335</v>
      </c>
      <c r="AJ52" s="333">
        <v>0</v>
      </c>
      <c r="AK52" s="333">
        <v>328</v>
      </c>
      <c r="AL52" s="333">
        <v>945</v>
      </c>
      <c r="AM52" s="333">
        <v>1273</v>
      </c>
      <c r="AN52" s="333">
        <v>920</v>
      </c>
      <c r="AO52" s="333">
        <v>17204332</v>
      </c>
    </row>
    <row r="53" spans="1:41" ht="15.75">
      <c r="A53" s="167">
        <v>47</v>
      </c>
      <c r="B53" s="79" t="s">
        <v>161</v>
      </c>
      <c r="C53" s="452">
        <v>7220</v>
      </c>
      <c r="D53" s="458">
        <v>5987</v>
      </c>
      <c r="E53" s="329">
        <v>1361</v>
      </c>
      <c r="F53" s="329">
        <v>0</v>
      </c>
      <c r="G53" s="329">
        <v>1281</v>
      </c>
      <c r="H53" s="329">
        <v>80</v>
      </c>
      <c r="I53" s="329">
        <v>0</v>
      </c>
      <c r="J53" s="329">
        <v>0</v>
      </c>
      <c r="K53" s="333">
        <v>0</v>
      </c>
      <c r="L53" s="333"/>
      <c r="M53" s="165"/>
      <c r="N53" s="401">
        <v>7220</v>
      </c>
      <c r="O53" s="329">
        <v>0</v>
      </c>
      <c r="P53" s="329">
        <v>1281</v>
      </c>
      <c r="Q53" s="329">
        <v>80</v>
      </c>
      <c r="R53" s="333">
        <v>1361</v>
      </c>
      <c r="S53" s="333">
        <v>15991557</v>
      </c>
      <c r="T53" s="335">
        <v>0.36</v>
      </c>
      <c r="U53" s="165">
        <f>VLOOKUP(N53,'[2]154'!$C$9:$T$554,18,0)</f>
        <v>398</v>
      </c>
      <c r="V53" s="401">
        <v>7220</v>
      </c>
      <c r="W53" s="406">
        <v>0</v>
      </c>
      <c r="X53" s="405">
        <v>0</v>
      </c>
      <c r="Y53" s="406">
        <v>0</v>
      </c>
      <c r="Z53" s="3"/>
      <c r="AA53" s="401">
        <v>7220</v>
      </c>
      <c r="AB53" s="329">
        <v>0</v>
      </c>
      <c r="AC53" s="329">
        <v>1281</v>
      </c>
      <c r="AD53" s="329">
        <v>80</v>
      </c>
      <c r="AE53" s="329">
        <v>1361</v>
      </c>
      <c r="AF53" s="329">
        <v>705</v>
      </c>
      <c r="AG53" s="329">
        <v>6279854</v>
      </c>
      <c r="AH53" s="3"/>
      <c r="AI53" s="401">
        <v>7220</v>
      </c>
      <c r="AJ53" s="329">
        <v>0</v>
      </c>
      <c r="AK53" s="329">
        <v>1281</v>
      </c>
      <c r="AL53" s="329">
        <v>80</v>
      </c>
      <c r="AM53" s="329">
        <v>1361</v>
      </c>
      <c r="AN53" s="329">
        <v>705</v>
      </c>
      <c r="AO53" s="329">
        <v>9711703</v>
      </c>
    </row>
    <row r="54" spans="1:41" ht="15.75">
      <c r="A54" s="167">
        <v>48</v>
      </c>
      <c r="B54" s="79" t="s">
        <v>161</v>
      </c>
      <c r="C54" s="452" t="s">
        <v>193</v>
      </c>
      <c r="D54" s="458">
        <v>0</v>
      </c>
      <c r="E54" s="329">
        <v>72</v>
      </c>
      <c r="F54" s="329">
        <v>0</v>
      </c>
      <c r="G54" s="329">
        <v>0</v>
      </c>
      <c r="H54" s="329">
        <v>72</v>
      </c>
      <c r="I54" s="329">
        <v>0</v>
      </c>
      <c r="J54" s="329">
        <v>0</v>
      </c>
      <c r="K54" s="333">
        <v>0</v>
      </c>
      <c r="L54" s="333"/>
      <c r="M54" s="165"/>
      <c r="N54" s="398" t="s">
        <v>193</v>
      </c>
      <c r="O54" s="329">
        <v>0</v>
      </c>
      <c r="P54" s="329">
        <v>0</v>
      </c>
      <c r="Q54" s="329">
        <v>72</v>
      </c>
      <c r="R54" s="333">
        <v>72</v>
      </c>
      <c r="S54" s="333">
        <v>4673111</v>
      </c>
      <c r="T54" s="335">
        <v>0.36</v>
      </c>
      <c r="U54" s="165">
        <f>VLOOKUP(N54,'[2]154'!$C$9:$T$554,18,0)</f>
        <v>72</v>
      </c>
      <c r="V54" s="398" t="s">
        <v>193</v>
      </c>
      <c r="W54" s="406">
        <v>0</v>
      </c>
      <c r="X54" s="405">
        <v>0</v>
      </c>
      <c r="Y54" s="406">
        <v>0</v>
      </c>
      <c r="Z54" s="3"/>
      <c r="AA54" s="398" t="s">
        <v>193</v>
      </c>
      <c r="AB54" s="329">
        <v>0</v>
      </c>
      <c r="AC54" s="329">
        <v>0</v>
      </c>
      <c r="AD54" s="329">
        <v>72</v>
      </c>
      <c r="AE54" s="329">
        <v>72</v>
      </c>
      <c r="AF54" s="329">
        <v>58</v>
      </c>
      <c r="AG54" s="329">
        <v>1977015</v>
      </c>
      <c r="AH54" s="3"/>
      <c r="AI54" s="398" t="s">
        <v>193</v>
      </c>
      <c r="AJ54" s="329">
        <v>0</v>
      </c>
      <c r="AK54" s="329">
        <v>0</v>
      </c>
      <c r="AL54" s="329">
        <v>72</v>
      </c>
      <c r="AM54" s="329">
        <v>72</v>
      </c>
      <c r="AN54" s="329">
        <v>58</v>
      </c>
      <c r="AO54" s="329">
        <v>2696096</v>
      </c>
    </row>
    <row r="55" spans="1:41" s="211" customFormat="1" ht="15.75">
      <c r="A55" s="167">
        <v>49</v>
      </c>
      <c r="B55" s="79" t="s">
        <v>161</v>
      </c>
      <c r="C55" s="452" t="s">
        <v>194</v>
      </c>
      <c r="D55" s="460">
        <v>0</v>
      </c>
      <c r="E55" s="333">
        <v>180</v>
      </c>
      <c r="F55" s="333">
        <v>0</v>
      </c>
      <c r="G55" s="333">
        <v>0</v>
      </c>
      <c r="H55" s="333">
        <v>180</v>
      </c>
      <c r="I55" s="333">
        <v>0</v>
      </c>
      <c r="J55" s="333">
        <v>0</v>
      </c>
      <c r="K55" s="333">
        <v>0</v>
      </c>
      <c r="L55" s="333"/>
      <c r="M55" s="208"/>
      <c r="N55" s="397" t="s">
        <v>194</v>
      </c>
      <c r="O55" s="333">
        <v>0</v>
      </c>
      <c r="P55" s="333">
        <v>0</v>
      </c>
      <c r="Q55" s="333">
        <v>180</v>
      </c>
      <c r="R55" s="333">
        <v>180</v>
      </c>
      <c r="S55" s="333">
        <v>5941256</v>
      </c>
      <c r="T55" s="334">
        <v>0.36</v>
      </c>
      <c r="U55" s="165">
        <f>VLOOKUP(N55,'[2]154'!$C$9:$T$554,18,0)</f>
        <v>180</v>
      </c>
      <c r="V55" s="397" t="s">
        <v>194</v>
      </c>
      <c r="W55" s="404">
        <v>0</v>
      </c>
      <c r="X55" s="405">
        <v>0</v>
      </c>
      <c r="Y55" s="404">
        <v>0</v>
      </c>
      <c r="Z55" s="169"/>
      <c r="AA55" s="397" t="s">
        <v>194</v>
      </c>
      <c r="AB55" s="333">
        <v>0</v>
      </c>
      <c r="AC55" s="333">
        <v>0</v>
      </c>
      <c r="AD55" s="333">
        <v>180</v>
      </c>
      <c r="AE55" s="333">
        <v>180</v>
      </c>
      <c r="AF55" s="333">
        <v>144</v>
      </c>
      <c r="AG55" s="333">
        <v>2513519</v>
      </c>
      <c r="AH55" s="169"/>
      <c r="AI55" s="397" t="s">
        <v>194</v>
      </c>
      <c r="AJ55" s="333">
        <v>0</v>
      </c>
      <c r="AK55" s="333">
        <v>0</v>
      </c>
      <c r="AL55" s="333">
        <v>180</v>
      </c>
      <c r="AM55" s="333">
        <v>180</v>
      </c>
      <c r="AN55" s="333">
        <v>144</v>
      </c>
      <c r="AO55" s="333">
        <v>3427737</v>
      </c>
    </row>
    <row r="56" spans="1:41" ht="15.75">
      <c r="A56" s="167">
        <v>50</v>
      </c>
      <c r="B56" s="79" t="s">
        <v>161</v>
      </c>
      <c r="C56" s="452" t="s">
        <v>195</v>
      </c>
      <c r="D56" s="458">
        <v>0</v>
      </c>
      <c r="E56" s="329">
        <v>387</v>
      </c>
      <c r="F56" s="329">
        <v>0</v>
      </c>
      <c r="G56" s="329">
        <v>0</v>
      </c>
      <c r="H56" s="329">
        <v>387</v>
      </c>
      <c r="I56" s="329">
        <v>0</v>
      </c>
      <c r="J56" s="329">
        <v>0</v>
      </c>
      <c r="K56" s="333">
        <v>0</v>
      </c>
      <c r="L56" s="333"/>
      <c r="M56" s="165"/>
      <c r="N56" s="398" t="s">
        <v>195</v>
      </c>
      <c r="O56" s="329">
        <v>0</v>
      </c>
      <c r="P56" s="329">
        <v>0</v>
      </c>
      <c r="Q56" s="329">
        <v>387</v>
      </c>
      <c r="R56" s="333">
        <v>387</v>
      </c>
      <c r="S56" s="333">
        <v>24943442</v>
      </c>
      <c r="T56" s="335">
        <v>0.36</v>
      </c>
      <c r="U56" s="165">
        <f>VLOOKUP(N56,'[2]154'!$C$9:$T$554,18,0)</f>
        <v>387</v>
      </c>
      <c r="V56" s="398" t="s">
        <v>195</v>
      </c>
      <c r="W56" s="406">
        <v>0</v>
      </c>
      <c r="X56" s="405">
        <v>0</v>
      </c>
      <c r="Y56" s="406">
        <v>0</v>
      </c>
      <c r="Z56" s="3"/>
      <c r="AA56" s="398" t="s">
        <v>195</v>
      </c>
      <c r="AB56" s="329">
        <v>0</v>
      </c>
      <c r="AC56" s="329">
        <v>0</v>
      </c>
      <c r="AD56" s="329">
        <v>387</v>
      </c>
      <c r="AE56" s="329">
        <v>387</v>
      </c>
      <c r="AF56" s="329">
        <v>310</v>
      </c>
      <c r="AG56" s="329">
        <v>10552620</v>
      </c>
      <c r="AH56" s="3"/>
      <c r="AI56" s="398" t="s">
        <v>195</v>
      </c>
      <c r="AJ56" s="329">
        <v>0</v>
      </c>
      <c r="AK56" s="329">
        <v>0</v>
      </c>
      <c r="AL56" s="329">
        <v>387</v>
      </c>
      <c r="AM56" s="329">
        <v>387</v>
      </c>
      <c r="AN56" s="329">
        <v>310</v>
      </c>
      <c r="AO56" s="329">
        <v>14390822</v>
      </c>
    </row>
    <row r="57" spans="1:41" s="211" customFormat="1" ht="15.75">
      <c r="A57" s="167">
        <v>51</v>
      </c>
      <c r="B57" s="79" t="s">
        <v>161</v>
      </c>
      <c r="C57" s="452" t="s">
        <v>197</v>
      </c>
      <c r="D57" s="460">
        <v>0</v>
      </c>
      <c r="E57" s="333">
        <v>92</v>
      </c>
      <c r="F57" s="333">
        <v>0</v>
      </c>
      <c r="G57" s="333">
        <v>0</v>
      </c>
      <c r="H57" s="333">
        <v>92</v>
      </c>
      <c r="I57" s="333">
        <v>0</v>
      </c>
      <c r="J57" s="333">
        <v>0</v>
      </c>
      <c r="K57" s="333">
        <v>0</v>
      </c>
      <c r="L57" s="333"/>
      <c r="M57" s="208"/>
      <c r="N57" s="397" t="s">
        <v>197</v>
      </c>
      <c r="O57" s="333">
        <v>0</v>
      </c>
      <c r="P57" s="333">
        <v>0</v>
      </c>
      <c r="Q57" s="333">
        <v>92</v>
      </c>
      <c r="R57" s="333">
        <v>92</v>
      </c>
      <c r="S57" s="333">
        <v>2824221</v>
      </c>
      <c r="T57" s="334">
        <v>0.35</v>
      </c>
      <c r="U57" s="165">
        <f>VLOOKUP(N57,'[2]154'!$C$9:$T$554,18,0)</f>
        <v>92</v>
      </c>
      <c r="V57" s="397" t="s">
        <v>197</v>
      </c>
      <c r="W57" s="404">
        <v>0</v>
      </c>
      <c r="X57" s="405">
        <v>0</v>
      </c>
      <c r="Y57" s="404">
        <v>0</v>
      </c>
      <c r="Z57" s="169"/>
      <c r="AA57" s="397" t="s">
        <v>197</v>
      </c>
      <c r="AB57" s="333">
        <v>0</v>
      </c>
      <c r="AC57" s="333">
        <v>0</v>
      </c>
      <c r="AD57" s="333">
        <v>92</v>
      </c>
      <c r="AE57" s="333">
        <v>92</v>
      </c>
      <c r="AF57" s="333">
        <v>74</v>
      </c>
      <c r="AG57" s="333">
        <v>1194820</v>
      </c>
      <c r="AH57" s="169"/>
      <c r="AI57" s="397" t="s">
        <v>197</v>
      </c>
      <c r="AJ57" s="333">
        <v>0</v>
      </c>
      <c r="AK57" s="333">
        <v>0</v>
      </c>
      <c r="AL57" s="333">
        <v>92</v>
      </c>
      <c r="AM57" s="333">
        <v>92</v>
      </c>
      <c r="AN57" s="333">
        <v>74</v>
      </c>
      <c r="AO57" s="333">
        <v>1629401</v>
      </c>
    </row>
    <row r="58" spans="1:41" s="211" customFormat="1" ht="15.75">
      <c r="A58" s="167">
        <v>52</v>
      </c>
      <c r="B58" s="79" t="s">
        <v>161</v>
      </c>
      <c r="C58" s="452" t="s">
        <v>198</v>
      </c>
      <c r="D58" s="460">
        <v>0</v>
      </c>
      <c r="E58" s="333">
        <v>100</v>
      </c>
      <c r="F58" s="333">
        <v>0</v>
      </c>
      <c r="G58" s="333">
        <v>0</v>
      </c>
      <c r="H58" s="333">
        <v>100</v>
      </c>
      <c r="I58" s="333">
        <v>0</v>
      </c>
      <c r="J58" s="333">
        <v>0</v>
      </c>
      <c r="K58" s="333">
        <v>0</v>
      </c>
      <c r="L58" s="333"/>
      <c r="M58" s="165"/>
      <c r="N58" s="397" t="s">
        <v>198</v>
      </c>
      <c r="O58" s="333">
        <v>0</v>
      </c>
      <c r="P58" s="333">
        <v>0</v>
      </c>
      <c r="Q58" s="333">
        <v>100</v>
      </c>
      <c r="R58" s="333">
        <v>100</v>
      </c>
      <c r="S58" s="333">
        <v>6262863</v>
      </c>
      <c r="T58" s="334">
        <v>0.35</v>
      </c>
      <c r="U58" s="165">
        <f>VLOOKUP(N58,'[2]154'!$C$9:$T$554,18,0)</f>
        <v>119</v>
      </c>
      <c r="V58" s="397" t="s">
        <v>198</v>
      </c>
      <c r="W58" s="404">
        <v>0</v>
      </c>
      <c r="X58" s="405">
        <v>0</v>
      </c>
      <c r="Y58" s="404">
        <v>0</v>
      </c>
      <c r="Z58" s="169"/>
      <c r="AA58" s="397" t="s">
        <v>198</v>
      </c>
      <c r="AB58" s="333">
        <v>0</v>
      </c>
      <c r="AC58" s="333">
        <v>0</v>
      </c>
      <c r="AD58" s="333">
        <v>100</v>
      </c>
      <c r="AE58" s="333">
        <v>100</v>
      </c>
      <c r="AF58" s="333">
        <v>80</v>
      </c>
      <c r="AG58" s="333">
        <v>2649579</v>
      </c>
      <c r="AH58" s="169"/>
      <c r="AI58" s="397" t="s">
        <v>198</v>
      </c>
      <c r="AJ58" s="333">
        <v>0</v>
      </c>
      <c r="AK58" s="333">
        <v>0</v>
      </c>
      <c r="AL58" s="333">
        <v>100</v>
      </c>
      <c r="AM58" s="333">
        <v>100</v>
      </c>
      <c r="AN58" s="333">
        <v>80</v>
      </c>
      <c r="AO58" s="333">
        <v>3613284</v>
      </c>
    </row>
    <row r="59" spans="1:41" s="211" customFormat="1" ht="15.75">
      <c r="A59" s="167">
        <v>53</v>
      </c>
      <c r="B59" s="79" t="s">
        <v>105</v>
      </c>
      <c r="C59" s="452">
        <v>448556</v>
      </c>
      <c r="D59" s="460">
        <v>0</v>
      </c>
      <c r="E59" s="333">
        <v>56</v>
      </c>
      <c r="F59" s="333">
        <v>0</v>
      </c>
      <c r="G59" s="333">
        <v>0</v>
      </c>
      <c r="H59" s="333">
        <v>56</v>
      </c>
      <c r="I59" s="333">
        <v>0</v>
      </c>
      <c r="J59" s="333">
        <v>0</v>
      </c>
      <c r="K59" s="333">
        <v>0</v>
      </c>
      <c r="L59" s="333"/>
      <c r="M59" s="165"/>
      <c r="N59" s="400">
        <v>448556</v>
      </c>
      <c r="O59" s="333">
        <v>0</v>
      </c>
      <c r="P59" s="333">
        <v>0</v>
      </c>
      <c r="Q59" s="333">
        <v>56</v>
      </c>
      <c r="R59" s="333">
        <v>56</v>
      </c>
      <c r="S59" s="333">
        <v>2537504</v>
      </c>
      <c r="T59" s="334">
        <v>0.36</v>
      </c>
      <c r="U59" s="165">
        <f>VLOOKUP(N59,'[2]154'!$C$9:$T$554,18,0)</f>
        <v>56</v>
      </c>
      <c r="V59" s="400">
        <v>448556</v>
      </c>
      <c r="W59" s="404">
        <v>0</v>
      </c>
      <c r="X59" s="405">
        <v>0</v>
      </c>
      <c r="Y59" s="404">
        <v>0</v>
      </c>
      <c r="Z59" s="169"/>
      <c r="AA59" s="400">
        <v>448556</v>
      </c>
      <c r="AB59" s="333">
        <v>0</v>
      </c>
      <c r="AC59" s="333">
        <v>0</v>
      </c>
      <c r="AD59" s="333">
        <v>56</v>
      </c>
      <c r="AE59" s="333">
        <v>56</v>
      </c>
      <c r="AF59" s="333">
        <v>45</v>
      </c>
      <c r="AG59" s="333">
        <v>1073521</v>
      </c>
      <c r="AH59" s="169"/>
      <c r="AI59" s="400">
        <v>448556</v>
      </c>
      <c r="AJ59" s="333">
        <v>0</v>
      </c>
      <c r="AK59" s="333">
        <v>0</v>
      </c>
      <c r="AL59" s="333">
        <v>56</v>
      </c>
      <c r="AM59" s="333">
        <v>56</v>
      </c>
      <c r="AN59" s="333">
        <v>45</v>
      </c>
      <c r="AO59" s="333">
        <v>1463983</v>
      </c>
    </row>
    <row r="60" spans="1:41" s="211" customFormat="1" ht="15.75">
      <c r="A60" s="167">
        <v>54</v>
      </c>
      <c r="B60" s="79" t="s">
        <v>105</v>
      </c>
      <c r="C60" s="452">
        <v>454819</v>
      </c>
      <c r="D60" s="460">
        <v>0</v>
      </c>
      <c r="E60" s="333">
        <v>121</v>
      </c>
      <c r="F60" s="333">
        <v>0</v>
      </c>
      <c r="G60" s="333">
        <v>0</v>
      </c>
      <c r="H60" s="333">
        <v>121</v>
      </c>
      <c r="I60" s="333">
        <v>0</v>
      </c>
      <c r="J60" s="333">
        <v>0</v>
      </c>
      <c r="K60" s="333">
        <v>0</v>
      </c>
      <c r="L60" s="333"/>
      <c r="M60" s="208"/>
      <c r="N60" s="400">
        <v>454819</v>
      </c>
      <c r="O60" s="333">
        <v>0</v>
      </c>
      <c r="P60" s="333">
        <v>0</v>
      </c>
      <c r="Q60" s="333">
        <v>121</v>
      </c>
      <c r="R60" s="333">
        <v>121</v>
      </c>
      <c r="S60" s="333">
        <v>6463245</v>
      </c>
      <c r="T60" s="334">
        <v>0.36</v>
      </c>
      <c r="U60" s="165">
        <f>VLOOKUP(N60,'[2]154'!$C$9:$T$554,18,0)</f>
        <v>121</v>
      </c>
      <c r="V60" s="400">
        <v>454819</v>
      </c>
      <c r="W60" s="404">
        <v>0</v>
      </c>
      <c r="X60" s="405">
        <v>0</v>
      </c>
      <c r="Y60" s="404">
        <v>0</v>
      </c>
      <c r="Z60" s="169"/>
      <c r="AA60" s="400">
        <v>454819</v>
      </c>
      <c r="AB60" s="333">
        <v>0</v>
      </c>
      <c r="AC60" s="333">
        <v>0</v>
      </c>
      <c r="AD60" s="333">
        <v>121</v>
      </c>
      <c r="AE60" s="333">
        <v>121</v>
      </c>
      <c r="AF60" s="333">
        <v>97</v>
      </c>
      <c r="AG60" s="333">
        <v>2734353</v>
      </c>
      <c r="AH60" s="169"/>
      <c r="AI60" s="400">
        <v>454819</v>
      </c>
      <c r="AJ60" s="333">
        <v>0</v>
      </c>
      <c r="AK60" s="333">
        <v>0</v>
      </c>
      <c r="AL60" s="333">
        <v>121</v>
      </c>
      <c r="AM60" s="333">
        <v>121</v>
      </c>
      <c r="AN60" s="333">
        <v>97</v>
      </c>
      <c r="AO60" s="333">
        <v>3728892</v>
      </c>
    </row>
    <row r="61" spans="1:41" ht="15.75">
      <c r="A61" s="167">
        <v>55</v>
      </c>
      <c r="B61" s="79" t="s">
        <v>105</v>
      </c>
      <c r="C61" s="452">
        <v>457050</v>
      </c>
      <c r="D61" s="458">
        <v>0</v>
      </c>
      <c r="E61" s="329">
        <v>262</v>
      </c>
      <c r="F61" s="329">
        <v>0</v>
      </c>
      <c r="G61" s="329">
        <v>0</v>
      </c>
      <c r="H61" s="329">
        <v>262</v>
      </c>
      <c r="I61" s="329">
        <v>0</v>
      </c>
      <c r="J61" s="329">
        <v>0</v>
      </c>
      <c r="K61" s="333">
        <v>0</v>
      </c>
      <c r="L61" s="333"/>
      <c r="M61" s="165"/>
      <c r="N61" s="398">
        <v>457050</v>
      </c>
      <c r="O61" s="329">
        <v>0</v>
      </c>
      <c r="P61" s="329">
        <v>0</v>
      </c>
      <c r="Q61" s="329">
        <v>262</v>
      </c>
      <c r="R61" s="333">
        <v>262</v>
      </c>
      <c r="S61" s="333">
        <v>10445514</v>
      </c>
      <c r="T61" s="335">
        <v>0.35</v>
      </c>
      <c r="U61" s="165">
        <f>VLOOKUP(N61,'[2]154'!$C$9:$T$554,18,0)</f>
        <v>262</v>
      </c>
      <c r="V61" s="398">
        <v>457050</v>
      </c>
      <c r="W61" s="406">
        <v>0</v>
      </c>
      <c r="X61" s="405">
        <v>0</v>
      </c>
      <c r="Y61" s="406">
        <v>0</v>
      </c>
      <c r="Z61" s="3"/>
      <c r="AA61" s="398">
        <v>457050</v>
      </c>
      <c r="AB61" s="329">
        <v>0</v>
      </c>
      <c r="AC61" s="329">
        <v>0</v>
      </c>
      <c r="AD61" s="329">
        <v>262</v>
      </c>
      <c r="AE61" s="329">
        <v>262</v>
      </c>
      <c r="AF61" s="329">
        <v>210</v>
      </c>
      <c r="AG61" s="329">
        <v>4419099</v>
      </c>
      <c r="AH61" s="3"/>
      <c r="AI61" s="398">
        <v>457050</v>
      </c>
      <c r="AJ61" s="329">
        <v>0</v>
      </c>
      <c r="AK61" s="329">
        <v>0</v>
      </c>
      <c r="AL61" s="329">
        <v>262</v>
      </c>
      <c r="AM61" s="329">
        <v>262</v>
      </c>
      <c r="AN61" s="329">
        <v>210</v>
      </c>
      <c r="AO61" s="329">
        <v>6026415</v>
      </c>
    </row>
    <row r="62" spans="1:41" ht="15.75">
      <c r="A62" s="167">
        <v>56</v>
      </c>
      <c r="B62" s="79" t="s">
        <v>101</v>
      </c>
      <c r="C62" s="452">
        <v>100007750</v>
      </c>
      <c r="D62" s="458">
        <v>0</v>
      </c>
      <c r="E62" s="329">
        <v>42</v>
      </c>
      <c r="F62" s="329">
        <v>0</v>
      </c>
      <c r="G62" s="329">
        <v>0</v>
      </c>
      <c r="H62" s="329">
        <v>42</v>
      </c>
      <c r="I62" s="329">
        <v>0</v>
      </c>
      <c r="J62" s="329">
        <v>0</v>
      </c>
      <c r="K62" s="333">
        <v>0</v>
      </c>
      <c r="L62" s="333"/>
      <c r="M62" s="165"/>
      <c r="N62" s="401">
        <v>100007750</v>
      </c>
      <c r="O62" s="329">
        <v>0</v>
      </c>
      <c r="P62" s="329">
        <v>0</v>
      </c>
      <c r="Q62" s="329">
        <v>42</v>
      </c>
      <c r="R62" s="333">
        <v>42</v>
      </c>
      <c r="S62" s="333">
        <v>2136732</v>
      </c>
      <c r="T62" s="335">
        <v>3</v>
      </c>
      <c r="U62" s="165">
        <f>VLOOKUP(N62,'[2]154'!$C$9:$T$554,18,0)</f>
        <v>42</v>
      </c>
      <c r="V62" s="401">
        <v>100007750</v>
      </c>
      <c r="W62" s="406">
        <v>0</v>
      </c>
      <c r="X62" s="405">
        <v>0</v>
      </c>
      <c r="Y62" s="406">
        <v>0</v>
      </c>
      <c r="Z62" s="3"/>
      <c r="AA62" s="401">
        <v>100007750</v>
      </c>
      <c r="AB62" s="329">
        <v>0</v>
      </c>
      <c r="AC62" s="329">
        <v>0</v>
      </c>
      <c r="AD62" s="329">
        <v>42</v>
      </c>
      <c r="AE62" s="329">
        <v>42</v>
      </c>
      <c r="AF62" s="329">
        <v>34</v>
      </c>
      <c r="AG62" s="329">
        <v>903970</v>
      </c>
      <c r="AH62" s="3"/>
      <c r="AI62" s="401">
        <v>100007750</v>
      </c>
      <c r="AJ62" s="329">
        <v>0</v>
      </c>
      <c r="AK62" s="329">
        <v>0</v>
      </c>
      <c r="AL62" s="329">
        <v>42</v>
      </c>
      <c r="AM62" s="329">
        <v>42</v>
      </c>
      <c r="AN62" s="329">
        <v>34</v>
      </c>
      <c r="AO62" s="329">
        <v>1232762</v>
      </c>
    </row>
    <row r="63" spans="1:41" ht="15.75">
      <c r="A63" s="167">
        <v>57</v>
      </c>
      <c r="B63" s="79" t="s">
        <v>101</v>
      </c>
      <c r="C63" s="452">
        <v>100008168</v>
      </c>
      <c r="D63" s="458">
        <v>0</v>
      </c>
      <c r="E63" s="329">
        <v>94</v>
      </c>
      <c r="F63" s="329">
        <v>0</v>
      </c>
      <c r="G63" s="329">
        <v>0</v>
      </c>
      <c r="H63" s="329">
        <v>94</v>
      </c>
      <c r="I63" s="329">
        <v>0</v>
      </c>
      <c r="J63" s="329">
        <v>0</v>
      </c>
      <c r="K63" s="333">
        <v>0</v>
      </c>
      <c r="L63" s="333"/>
      <c r="M63" s="208"/>
      <c r="N63" s="401">
        <v>100008168</v>
      </c>
      <c r="O63" s="329">
        <v>0</v>
      </c>
      <c r="P63" s="329">
        <v>0</v>
      </c>
      <c r="Q63" s="329">
        <v>94</v>
      </c>
      <c r="R63" s="333">
        <v>94</v>
      </c>
      <c r="S63" s="333">
        <v>5088688</v>
      </c>
      <c r="T63" s="335">
        <v>3.2</v>
      </c>
      <c r="U63" s="165">
        <f>VLOOKUP(N63,'[2]154'!$C$9:$T$554,18,0)</f>
        <v>94</v>
      </c>
      <c r="V63" s="401">
        <v>100008168</v>
      </c>
      <c r="W63" s="406">
        <v>0</v>
      </c>
      <c r="X63" s="405">
        <v>0</v>
      </c>
      <c r="Y63" s="406">
        <v>0</v>
      </c>
      <c r="Z63" s="3"/>
      <c r="AA63" s="401">
        <v>100008168</v>
      </c>
      <c r="AB63" s="329">
        <v>0</v>
      </c>
      <c r="AC63" s="329">
        <v>0</v>
      </c>
      <c r="AD63" s="329">
        <v>94</v>
      </c>
      <c r="AE63" s="329">
        <v>94</v>
      </c>
      <c r="AF63" s="329">
        <v>75</v>
      </c>
      <c r="AG63" s="329">
        <v>2152830</v>
      </c>
      <c r="AH63" s="3"/>
      <c r="AI63" s="401">
        <v>100008168</v>
      </c>
      <c r="AJ63" s="329">
        <v>0</v>
      </c>
      <c r="AK63" s="329">
        <v>0</v>
      </c>
      <c r="AL63" s="329">
        <v>94</v>
      </c>
      <c r="AM63" s="329">
        <v>94</v>
      </c>
      <c r="AN63" s="329">
        <v>75</v>
      </c>
      <c r="AO63" s="329">
        <v>2935858</v>
      </c>
    </row>
    <row r="64" spans="1:41" s="211" customFormat="1" ht="15.75">
      <c r="A64" s="167">
        <v>58</v>
      </c>
      <c r="B64" s="79" t="s">
        <v>101</v>
      </c>
      <c r="C64" s="452" t="s">
        <v>200</v>
      </c>
      <c r="D64" s="460">
        <v>0</v>
      </c>
      <c r="E64" s="333">
        <v>48</v>
      </c>
      <c r="F64" s="333">
        <v>0</v>
      </c>
      <c r="G64" s="333">
        <v>0</v>
      </c>
      <c r="H64" s="333">
        <v>48</v>
      </c>
      <c r="I64" s="333">
        <v>0</v>
      </c>
      <c r="J64" s="333">
        <v>0</v>
      </c>
      <c r="K64" s="333">
        <v>0</v>
      </c>
      <c r="L64" s="333"/>
      <c r="M64" s="165"/>
      <c r="N64" s="397" t="s">
        <v>200</v>
      </c>
      <c r="O64" s="333">
        <v>0</v>
      </c>
      <c r="P64" s="333">
        <v>0</v>
      </c>
      <c r="Q64" s="333">
        <v>48</v>
      </c>
      <c r="R64" s="333">
        <v>48</v>
      </c>
      <c r="S64" s="333">
        <v>3383977</v>
      </c>
      <c r="T64" s="334">
        <v>4.2</v>
      </c>
      <c r="U64" s="165">
        <f>VLOOKUP(N64,'[2]154'!$C$9:$T$554,18,0)</f>
        <v>48</v>
      </c>
      <c r="V64" s="397" t="s">
        <v>200</v>
      </c>
      <c r="W64" s="404">
        <v>0</v>
      </c>
      <c r="X64" s="405">
        <v>0</v>
      </c>
      <c r="Y64" s="404">
        <v>0</v>
      </c>
      <c r="Z64" s="169"/>
      <c r="AA64" s="397" t="s">
        <v>200</v>
      </c>
      <c r="AB64" s="333">
        <v>0</v>
      </c>
      <c r="AC64" s="333">
        <v>0</v>
      </c>
      <c r="AD64" s="333">
        <v>48</v>
      </c>
      <c r="AE64" s="333">
        <v>48</v>
      </c>
      <c r="AF64" s="333">
        <v>38</v>
      </c>
      <c r="AG64" s="333">
        <v>1431632</v>
      </c>
      <c r="AH64" s="169"/>
      <c r="AI64" s="397" t="s">
        <v>200</v>
      </c>
      <c r="AJ64" s="333">
        <v>0</v>
      </c>
      <c r="AK64" s="333">
        <v>0</v>
      </c>
      <c r="AL64" s="333">
        <v>48</v>
      </c>
      <c r="AM64" s="333">
        <v>48</v>
      </c>
      <c r="AN64" s="333">
        <v>38</v>
      </c>
      <c r="AO64" s="333">
        <v>1952345</v>
      </c>
    </row>
    <row r="65" spans="1:41" s="211" customFormat="1" ht="15.75">
      <c r="A65" s="167">
        <v>59</v>
      </c>
      <c r="B65" s="79" t="s">
        <v>101</v>
      </c>
      <c r="C65" s="452" t="s">
        <v>169</v>
      </c>
      <c r="D65" s="460">
        <v>11576</v>
      </c>
      <c r="E65" s="333">
        <v>3546</v>
      </c>
      <c r="F65" s="333">
        <v>1789</v>
      </c>
      <c r="G65" s="333">
        <v>941</v>
      </c>
      <c r="H65" s="333">
        <v>816</v>
      </c>
      <c r="I65" s="333">
        <v>5150</v>
      </c>
      <c r="J65" s="333">
        <v>0</v>
      </c>
      <c r="K65" s="333">
        <v>5150</v>
      </c>
      <c r="L65" s="333"/>
      <c r="M65" s="165"/>
      <c r="N65" s="397" t="s">
        <v>169</v>
      </c>
      <c r="O65" s="333">
        <v>1789</v>
      </c>
      <c r="P65" s="333">
        <v>941</v>
      </c>
      <c r="Q65" s="333">
        <v>816</v>
      </c>
      <c r="R65" s="333">
        <v>3546</v>
      </c>
      <c r="S65" s="333">
        <v>187177376</v>
      </c>
      <c r="T65" s="334">
        <v>3.18</v>
      </c>
      <c r="U65" s="165">
        <f>VLOOKUP(N65,'[2]154'!$C$9:$T$554,18,0)</f>
        <v>4385</v>
      </c>
      <c r="V65" s="397" t="s">
        <v>169</v>
      </c>
      <c r="W65" s="404">
        <v>5150</v>
      </c>
      <c r="X65" s="405">
        <v>53002.679805825246</v>
      </c>
      <c r="Y65" s="404">
        <v>272963801</v>
      </c>
      <c r="Z65" s="169"/>
      <c r="AA65" s="397" t="s">
        <v>169</v>
      </c>
      <c r="AB65" s="333">
        <v>1789</v>
      </c>
      <c r="AC65" s="333">
        <v>941</v>
      </c>
      <c r="AD65" s="333">
        <v>816</v>
      </c>
      <c r="AE65" s="333">
        <v>3546</v>
      </c>
      <c r="AF65" s="333">
        <v>1481</v>
      </c>
      <c r="AG65" s="333">
        <v>64448719</v>
      </c>
      <c r="AH65" s="169"/>
      <c r="AI65" s="397" t="s">
        <v>169</v>
      </c>
      <c r="AJ65" s="333">
        <v>1789</v>
      </c>
      <c r="AK65" s="333">
        <v>941</v>
      </c>
      <c r="AL65" s="333">
        <v>816</v>
      </c>
      <c r="AM65" s="333">
        <v>3546</v>
      </c>
      <c r="AN65" s="333">
        <v>1481</v>
      </c>
      <c r="AO65" s="333">
        <v>122728657</v>
      </c>
    </row>
    <row r="66" spans="1:41" ht="15.75">
      <c r="A66" s="167">
        <v>60</v>
      </c>
      <c r="B66" s="79" t="s">
        <v>101</v>
      </c>
      <c r="C66" s="452" t="s">
        <v>201</v>
      </c>
      <c r="D66" s="458">
        <v>0</v>
      </c>
      <c r="E66" s="329">
        <v>73</v>
      </c>
      <c r="F66" s="329">
        <v>0</v>
      </c>
      <c r="G66" s="329">
        <v>0</v>
      </c>
      <c r="H66" s="329">
        <v>73</v>
      </c>
      <c r="I66" s="329">
        <v>0</v>
      </c>
      <c r="J66" s="329">
        <v>0</v>
      </c>
      <c r="K66" s="333">
        <v>0</v>
      </c>
      <c r="L66" s="333"/>
      <c r="M66" s="208"/>
      <c r="N66" s="398" t="s">
        <v>201</v>
      </c>
      <c r="O66" s="329">
        <v>0</v>
      </c>
      <c r="P66" s="329">
        <v>0</v>
      </c>
      <c r="Q66" s="329">
        <v>73</v>
      </c>
      <c r="R66" s="333">
        <v>73</v>
      </c>
      <c r="S66" s="333">
        <v>3566322</v>
      </c>
      <c r="T66" s="335">
        <v>0.35</v>
      </c>
      <c r="U66" s="165">
        <f>VLOOKUP(N66,'[2]154'!$C$9:$T$554,18,0)</f>
        <v>73</v>
      </c>
      <c r="V66" s="398" t="s">
        <v>201</v>
      </c>
      <c r="W66" s="406">
        <v>0</v>
      </c>
      <c r="X66" s="405">
        <v>0</v>
      </c>
      <c r="Y66" s="406">
        <v>0</v>
      </c>
      <c r="Z66" s="3"/>
      <c r="AA66" s="398" t="s">
        <v>201</v>
      </c>
      <c r="AB66" s="329">
        <v>0</v>
      </c>
      <c r="AC66" s="329">
        <v>0</v>
      </c>
      <c r="AD66" s="329">
        <v>73</v>
      </c>
      <c r="AE66" s="329">
        <v>73</v>
      </c>
      <c r="AF66" s="329">
        <v>58</v>
      </c>
      <c r="AG66" s="329">
        <v>1508775</v>
      </c>
      <c r="AH66" s="3"/>
      <c r="AI66" s="398" t="s">
        <v>201</v>
      </c>
      <c r="AJ66" s="329">
        <v>0</v>
      </c>
      <c r="AK66" s="329">
        <v>0</v>
      </c>
      <c r="AL66" s="329">
        <v>73</v>
      </c>
      <c r="AM66" s="329">
        <v>73</v>
      </c>
      <c r="AN66" s="329">
        <v>58</v>
      </c>
      <c r="AO66" s="329">
        <v>2057547</v>
      </c>
    </row>
    <row r="67" spans="1:41" s="211" customFormat="1" ht="15.75">
      <c r="A67" s="167">
        <v>61</v>
      </c>
      <c r="B67" s="79" t="s">
        <v>101</v>
      </c>
      <c r="C67" s="452" t="s">
        <v>202</v>
      </c>
      <c r="D67" s="460">
        <v>0</v>
      </c>
      <c r="E67" s="333">
        <v>27</v>
      </c>
      <c r="F67" s="333">
        <v>0</v>
      </c>
      <c r="G67" s="333">
        <v>0</v>
      </c>
      <c r="H67" s="333">
        <v>27</v>
      </c>
      <c r="I67" s="333">
        <v>0</v>
      </c>
      <c r="J67" s="333">
        <v>0</v>
      </c>
      <c r="K67" s="333">
        <v>0</v>
      </c>
      <c r="L67" s="333"/>
      <c r="M67" s="165"/>
      <c r="N67" s="397" t="s">
        <v>202</v>
      </c>
      <c r="O67" s="333">
        <v>0</v>
      </c>
      <c r="P67" s="333">
        <v>0</v>
      </c>
      <c r="Q67" s="333">
        <v>27</v>
      </c>
      <c r="R67" s="333">
        <v>27</v>
      </c>
      <c r="S67" s="333">
        <v>1865852</v>
      </c>
      <c r="T67" s="334">
        <v>0.36</v>
      </c>
      <c r="U67" s="165">
        <f>VLOOKUP(N67,'[2]154'!$C$9:$T$554,18,0)</f>
        <v>27</v>
      </c>
      <c r="V67" s="397" t="s">
        <v>202</v>
      </c>
      <c r="W67" s="404">
        <v>0</v>
      </c>
      <c r="X67" s="405">
        <v>0</v>
      </c>
      <c r="Y67" s="404">
        <v>0</v>
      </c>
      <c r="Z67" s="169"/>
      <c r="AA67" s="397" t="s">
        <v>202</v>
      </c>
      <c r="AB67" s="333">
        <v>0</v>
      </c>
      <c r="AC67" s="333">
        <v>0</v>
      </c>
      <c r="AD67" s="333">
        <v>27</v>
      </c>
      <c r="AE67" s="333">
        <v>27</v>
      </c>
      <c r="AF67" s="333">
        <v>22</v>
      </c>
      <c r="AG67" s="333">
        <v>789371</v>
      </c>
      <c r="AH67" s="169"/>
      <c r="AI67" s="397" t="s">
        <v>202</v>
      </c>
      <c r="AJ67" s="333">
        <v>0</v>
      </c>
      <c r="AK67" s="333">
        <v>0</v>
      </c>
      <c r="AL67" s="333">
        <v>27</v>
      </c>
      <c r="AM67" s="333">
        <v>27</v>
      </c>
      <c r="AN67" s="333">
        <v>22</v>
      </c>
      <c r="AO67" s="333">
        <v>1076481</v>
      </c>
    </row>
    <row r="68" spans="1:41" s="211" customFormat="1" ht="15.75">
      <c r="A68" s="167">
        <v>62</v>
      </c>
      <c r="B68" s="79" t="s">
        <v>101</v>
      </c>
      <c r="C68" s="452" t="s">
        <v>611</v>
      </c>
      <c r="D68" s="460">
        <v>0</v>
      </c>
      <c r="E68" s="333">
        <v>112</v>
      </c>
      <c r="F68" s="333">
        <v>0</v>
      </c>
      <c r="G68" s="333">
        <v>0</v>
      </c>
      <c r="H68" s="333">
        <v>112</v>
      </c>
      <c r="I68" s="333">
        <v>0</v>
      </c>
      <c r="J68" s="333">
        <v>0</v>
      </c>
      <c r="K68" s="333">
        <v>0</v>
      </c>
      <c r="L68" s="333"/>
      <c r="M68" s="208"/>
      <c r="N68" s="397" t="s">
        <v>611</v>
      </c>
      <c r="O68" s="333">
        <v>0</v>
      </c>
      <c r="P68" s="333">
        <v>0</v>
      </c>
      <c r="Q68" s="333">
        <v>112</v>
      </c>
      <c r="R68" s="333">
        <v>112</v>
      </c>
      <c r="S68" s="333">
        <v>4579819</v>
      </c>
      <c r="T68" s="334">
        <v>0.36</v>
      </c>
      <c r="U68" s="165">
        <f>VLOOKUP(N68,'[2]154'!$C$9:$T$554,18,0)</f>
        <v>112</v>
      </c>
      <c r="V68" s="397" t="s">
        <v>611</v>
      </c>
      <c r="W68" s="404">
        <v>0</v>
      </c>
      <c r="X68" s="405">
        <v>0</v>
      </c>
      <c r="Y68" s="404">
        <v>0</v>
      </c>
      <c r="Z68" s="169"/>
      <c r="AA68" s="397" t="s">
        <v>611</v>
      </c>
      <c r="AB68" s="333">
        <v>0</v>
      </c>
      <c r="AC68" s="333">
        <v>0</v>
      </c>
      <c r="AD68" s="333">
        <v>112</v>
      </c>
      <c r="AE68" s="333">
        <v>112</v>
      </c>
      <c r="AF68" s="333">
        <v>90</v>
      </c>
      <c r="AG68" s="333">
        <v>1937547</v>
      </c>
      <c r="AH68" s="169"/>
      <c r="AI68" s="397" t="s">
        <v>611</v>
      </c>
      <c r="AJ68" s="333">
        <v>0</v>
      </c>
      <c r="AK68" s="333">
        <v>0</v>
      </c>
      <c r="AL68" s="333">
        <v>112</v>
      </c>
      <c r="AM68" s="333">
        <v>112</v>
      </c>
      <c r="AN68" s="333">
        <v>90</v>
      </c>
      <c r="AO68" s="333">
        <v>2642272</v>
      </c>
    </row>
    <row r="69" spans="1:41" s="211" customFormat="1" ht="15.75">
      <c r="A69" s="167">
        <v>63</v>
      </c>
      <c r="B69" s="79" t="s">
        <v>101</v>
      </c>
      <c r="C69" s="452" t="s">
        <v>205</v>
      </c>
      <c r="D69" s="460">
        <v>0</v>
      </c>
      <c r="E69" s="333">
        <v>46</v>
      </c>
      <c r="F69" s="333">
        <v>0</v>
      </c>
      <c r="G69" s="333">
        <v>0</v>
      </c>
      <c r="H69" s="333">
        <v>46</v>
      </c>
      <c r="I69" s="333">
        <v>0</v>
      </c>
      <c r="J69" s="333">
        <v>0</v>
      </c>
      <c r="K69" s="333">
        <v>0</v>
      </c>
      <c r="L69" s="333"/>
      <c r="M69" s="165"/>
      <c r="N69" s="397" t="s">
        <v>205</v>
      </c>
      <c r="O69" s="333">
        <v>0</v>
      </c>
      <c r="P69" s="333">
        <v>0</v>
      </c>
      <c r="Q69" s="333">
        <v>46</v>
      </c>
      <c r="R69" s="333">
        <v>46</v>
      </c>
      <c r="S69" s="333">
        <v>1882814</v>
      </c>
      <c r="T69" s="334">
        <v>0.36</v>
      </c>
      <c r="U69" s="165">
        <f>VLOOKUP(N69,'[2]154'!$C$9:$T$554,18,0)</f>
        <v>46</v>
      </c>
      <c r="V69" s="397" t="s">
        <v>205</v>
      </c>
      <c r="W69" s="404">
        <v>0</v>
      </c>
      <c r="X69" s="405">
        <v>0</v>
      </c>
      <c r="Y69" s="404">
        <v>0</v>
      </c>
      <c r="Z69" s="169"/>
      <c r="AA69" s="397" t="s">
        <v>205</v>
      </c>
      <c r="AB69" s="333">
        <v>0</v>
      </c>
      <c r="AC69" s="333">
        <v>0</v>
      </c>
      <c r="AD69" s="333">
        <v>46</v>
      </c>
      <c r="AE69" s="333">
        <v>46</v>
      </c>
      <c r="AF69" s="333">
        <v>37</v>
      </c>
      <c r="AG69" s="333">
        <v>796547</v>
      </c>
      <c r="AH69" s="169"/>
      <c r="AI69" s="397" t="s">
        <v>205</v>
      </c>
      <c r="AJ69" s="333">
        <v>0</v>
      </c>
      <c r="AK69" s="333">
        <v>0</v>
      </c>
      <c r="AL69" s="333">
        <v>46</v>
      </c>
      <c r="AM69" s="333">
        <v>46</v>
      </c>
      <c r="AN69" s="333">
        <v>37</v>
      </c>
      <c r="AO69" s="333">
        <v>1086267</v>
      </c>
    </row>
    <row r="70" spans="1:41" s="211" customFormat="1" ht="15.75">
      <c r="A70" s="167">
        <v>64</v>
      </c>
      <c r="B70" s="79" t="s">
        <v>101</v>
      </c>
      <c r="C70" s="452" t="s">
        <v>612</v>
      </c>
      <c r="D70" s="460">
        <v>0</v>
      </c>
      <c r="E70" s="333">
        <v>356</v>
      </c>
      <c r="F70" s="333">
        <v>0</v>
      </c>
      <c r="G70" s="333">
        <v>0</v>
      </c>
      <c r="H70" s="333">
        <v>356</v>
      </c>
      <c r="I70" s="333">
        <v>0</v>
      </c>
      <c r="J70" s="333">
        <v>0</v>
      </c>
      <c r="K70" s="333">
        <v>0</v>
      </c>
      <c r="L70" s="333"/>
      <c r="M70" s="165"/>
      <c r="N70" s="397" t="s">
        <v>612</v>
      </c>
      <c r="O70" s="333">
        <v>0</v>
      </c>
      <c r="P70" s="333">
        <v>0</v>
      </c>
      <c r="Q70" s="333">
        <v>356</v>
      </c>
      <c r="R70" s="333">
        <v>356</v>
      </c>
      <c r="S70" s="333">
        <v>12085633</v>
      </c>
      <c r="T70" s="334">
        <v>1.8</v>
      </c>
      <c r="U70" s="165">
        <f>VLOOKUP(N70,'[2]154'!$C$9:$T$554,18,0)</f>
        <v>356</v>
      </c>
      <c r="V70" s="397" t="s">
        <v>612</v>
      </c>
      <c r="W70" s="404">
        <v>0</v>
      </c>
      <c r="X70" s="405">
        <v>0</v>
      </c>
      <c r="Y70" s="404">
        <v>0</v>
      </c>
      <c r="Z70" s="169"/>
      <c r="AA70" s="397" t="s">
        <v>612</v>
      </c>
      <c r="AB70" s="333">
        <v>0</v>
      </c>
      <c r="AC70" s="333">
        <v>0</v>
      </c>
      <c r="AD70" s="333">
        <v>356</v>
      </c>
      <c r="AE70" s="333">
        <v>356</v>
      </c>
      <c r="AF70" s="333">
        <v>285</v>
      </c>
      <c r="AG70" s="333">
        <v>5112971</v>
      </c>
      <c r="AH70" s="169"/>
      <c r="AI70" s="397" t="s">
        <v>612</v>
      </c>
      <c r="AJ70" s="333">
        <v>0</v>
      </c>
      <c r="AK70" s="333">
        <v>0</v>
      </c>
      <c r="AL70" s="333">
        <v>356</v>
      </c>
      <c r="AM70" s="333">
        <v>356</v>
      </c>
      <c r="AN70" s="333">
        <v>285</v>
      </c>
      <c r="AO70" s="333">
        <v>6972662</v>
      </c>
    </row>
    <row r="71" spans="1:41" s="211" customFormat="1" ht="15.75">
      <c r="A71" s="167">
        <v>65</v>
      </c>
      <c r="B71" s="79" t="s">
        <v>161</v>
      </c>
      <c r="C71" s="452">
        <v>100003487</v>
      </c>
      <c r="D71" s="460">
        <v>0</v>
      </c>
      <c r="E71" s="333">
        <v>87</v>
      </c>
      <c r="F71" s="333">
        <v>0</v>
      </c>
      <c r="G71" s="333">
        <v>0</v>
      </c>
      <c r="H71" s="333">
        <v>87</v>
      </c>
      <c r="I71" s="333">
        <v>0</v>
      </c>
      <c r="J71" s="333">
        <v>0</v>
      </c>
      <c r="K71" s="333">
        <v>0</v>
      </c>
      <c r="L71" s="333"/>
      <c r="M71" s="165"/>
      <c r="N71" s="400">
        <v>100003487</v>
      </c>
      <c r="O71" s="333">
        <v>0</v>
      </c>
      <c r="P71" s="333">
        <v>0</v>
      </c>
      <c r="Q71" s="333">
        <v>87</v>
      </c>
      <c r="R71" s="333">
        <v>87</v>
      </c>
      <c r="S71" s="333">
        <v>2768884</v>
      </c>
      <c r="T71" s="334">
        <v>1.85</v>
      </c>
      <c r="U71" s="165">
        <f>VLOOKUP(N71,'[2]154'!$C$9:$T$554,18,0)</f>
        <v>87</v>
      </c>
      <c r="V71" s="400">
        <v>100003487</v>
      </c>
      <c r="W71" s="404">
        <v>0</v>
      </c>
      <c r="X71" s="405">
        <v>0</v>
      </c>
      <c r="Y71" s="404">
        <v>0</v>
      </c>
      <c r="Z71" s="169"/>
      <c r="AA71" s="400">
        <v>100003487</v>
      </c>
      <c r="AB71" s="333">
        <v>0</v>
      </c>
      <c r="AC71" s="333">
        <v>0</v>
      </c>
      <c r="AD71" s="333">
        <v>87</v>
      </c>
      <c r="AE71" s="333">
        <v>87</v>
      </c>
      <c r="AF71" s="333">
        <v>70</v>
      </c>
      <c r="AG71" s="333">
        <v>1125603</v>
      </c>
      <c r="AH71" s="169"/>
      <c r="AI71" s="400">
        <v>100003487</v>
      </c>
      <c r="AJ71" s="333">
        <v>0</v>
      </c>
      <c r="AK71" s="333">
        <v>0</v>
      </c>
      <c r="AL71" s="333">
        <v>87</v>
      </c>
      <c r="AM71" s="333">
        <v>87</v>
      </c>
      <c r="AN71" s="333">
        <v>70</v>
      </c>
      <c r="AO71" s="333">
        <v>1643281</v>
      </c>
    </row>
    <row r="72" spans="1:41" s="211" customFormat="1" ht="15.75">
      <c r="A72" s="167">
        <v>66</v>
      </c>
      <c r="B72" s="79" t="s">
        <v>161</v>
      </c>
      <c r="C72" s="452">
        <v>100003506</v>
      </c>
      <c r="D72" s="460">
        <v>0</v>
      </c>
      <c r="E72" s="333">
        <v>59</v>
      </c>
      <c r="F72" s="333">
        <v>0</v>
      </c>
      <c r="G72" s="333">
        <v>0</v>
      </c>
      <c r="H72" s="333">
        <v>59</v>
      </c>
      <c r="I72" s="333">
        <v>0</v>
      </c>
      <c r="J72" s="333">
        <v>0</v>
      </c>
      <c r="K72" s="333">
        <v>0</v>
      </c>
      <c r="L72" s="333"/>
      <c r="M72" s="165"/>
      <c r="N72" s="400">
        <v>100003506</v>
      </c>
      <c r="O72" s="333">
        <v>0</v>
      </c>
      <c r="P72" s="333">
        <v>0</v>
      </c>
      <c r="Q72" s="333">
        <v>59</v>
      </c>
      <c r="R72" s="333">
        <v>59</v>
      </c>
      <c r="S72" s="333">
        <v>1891086</v>
      </c>
      <c r="T72" s="334">
        <v>0.35</v>
      </c>
      <c r="U72" s="165">
        <f>VLOOKUP(N72,'[2]154'!$C$9:$T$554,18,0)</f>
        <v>59</v>
      </c>
      <c r="V72" s="400">
        <v>100003506</v>
      </c>
      <c r="W72" s="404">
        <v>0</v>
      </c>
      <c r="X72" s="405">
        <v>0</v>
      </c>
      <c r="Y72" s="404">
        <v>0</v>
      </c>
      <c r="Z72" s="169"/>
      <c r="AA72" s="400">
        <v>100003506</v>
      </c>
      <c r="AB72" s="333">
        <v>0</v>
      </c>
      <c r="AC72" s="333">
        <v>0</v>
      </c>
      <c r="AD72" s="333">
        <v>59</v>
      </c>
      <c r="AE72" s="333">
        <v>59</v>
      </c>
      <c r="AF72" s="333">
        <v>47</v>
      </c>
      <c r="AG72" s="333">
        <v>768762</v>
      </c>
      <c r="AH72" s="169"/>
      <c r="AI72" s="400">
        <v>100003506</v>
      </c>
      <c r="AJ72" s="333">
        <v>0</v>
      </c>
      <c r="AK72" s="333">
        <v>0</v>
      </c>
      <c r="AL72" s="333">
        <v>59</v>
      </c>
      <c r="AM72" s="333">
        <v>59</v>
      </c>
      <c r="AN72" s="333">
        <v>47</v>
      </c>
      <c r="AO72" s="333">
        <v>1122324</v>
      </c>
    </row>
    <row r="73" spans="1:41" s="211" customFormat="1" ht="15.75">
      <c r="A73" s="167">
        <v>67</v>
      </c>
      <c r="B73" s="79" t="s">
        <v>161</v>
      </c>
      <c r="C73" s="452">
        <v>100003522</v>
      </c>
      <c r="D73" s="460">
        <v>0</v>
      </c>
      <c r="E73" s="333">
        <v>113</v>
      </c>
      <c r="F73" s="333">
        <v>0</v>
      </c>
      <c r="G73" s="333">
        <v>0</v>
      </c>
      <c r="H73" s="333">
        <v>113</v>
      </c>
      <c r="I73" s="333">
        <v>0</v>
      </c>
      <c r="J73" s="333">
        <v>0</v>
      </c>
      <c r="K73" s="333">
        <v>0</v>
      </c>
      <c r="L73" s="333"/>
      <c r="M73" s="208"/>
      <c r="N73" s="400">
        <v>100003522</v>
      </c>
      <c r="O73" s="333">
        <v>0</v>
      </c>
      <c r="P73" s="333">
        <v>0</v>
      </c>
      <c r="Q73" s="333">
        <v>113</v>
      </c>
      <c r="R73" s="333">
        <v>113</v>
      </c>
      <c r="S73" s="333">
        <v>2116754</v>
      </c>
      <c r="T73" s="334">
        <v>1.1000000000000001</v>
      </c>
      <c r="U73" s="165">
        <f>VLOOKUP(N73,'[2]154'!$C$9:$T$554,18,0)</f>
        <v>113</v>
      </c>
      <c r="V73" s="400">
        <v>100003522</v>
      </c>
      <c r="W73" s="404">
        <v>0</v>
      </c>
      <c r="X73" s="405">
        <v>0</v>
      </c>
      <c r="Y73" s="404">
        <v>0</v>
      </c>
      <c r="Z73" s="169"/>
      <c r="AA73" s="400">
        <v>100003522</v>
      </c>
      <c r="AB73" s="333">
        <v>0</v>
      </c>
      <c r="AC73" s="333">
        <v>0</v>
      </c>
      <c r="AD73" s="333">
        <v>113</v>
      </c>
      <c r="AE73" s="333">
        <v>113</v>
      </c>
      <c r="AF73" s="333">
        <v>90</v>
      </c>
      <c r="AG73" s="333">
        <v>860500</v>
      </c>
      <c r="AH73" s="169"/>
      <c r="AI73" s="400">
        <v>100003522</v>
      </c>
      <c r="AJ73" s="333">
        <v>0</v>
      </c>
      <c r="AK73" s="333">
        <v>0</v>
      </c>
      <c r="AL73" s="333">
        <v>113</v>
      </c>
      <c r="AM73" s="333">
        <v>113</v>
      </c>
      <c r="AN73" s="333">
        <v>90</v>
      </c>
      <c r="AO73" s="333">
        <v>1256254</v>
      </c>
    </row>
    <row r="74" spans="1:41" s="211" customFormat="1" ht="15.75">
      <c r="A74" s="167">
        <v>68</v>
      </c>
      <c r="B74" s="79" t="s">
        <v>161</v>
      </c>
      <c r="C74" s="452">
        <v>100003523</v>
      </c>
      <c r="D74" s="460">
        <v>0</v>
      </c>
      <c r="E74" s="333">
        <v>113</v>
      </c>
      <c r="F74" s="333">
        <v>0</v>
      </c>
      <c r="G74" s="333">
        <v>0</v>
      </c>
      <c r="H74" s="333">
        <v>113</v>
      </c>
      <c r="I74" s="333">
        <v>0</v>
      </c>
      <c r="J74" s="333">
        <v>0</v>
      </c>
      <c r="K74" s="333">
        <v>0</v>
      </c>
      <c r="L74" s="333"/>
      <c r="M74" s="165"/>
      <c r="N74" s="400">
        <v>100003523</v>
      </c>
      <c r="O74" s="333">
        <v>0</v>
      </c>
      <c r="P74" s="333">
        <v>0</v>
      </c>
      <c r="Q74" s="333">
        <v>113</v>
      </c>
      <c r="R74" s="333">
        <v>113</v>
      </c>
      <c r="S74" s="333">
        <v>2116754</v>
      </c>
      <c r="T74" s="334">
        <v>0.35</v>
      </c>
      <c r="U74" s="165">
        <f>VLOOKUP(N74,'[2]154'!$C$9:$T$554,18,0)</f>
        <v>113</v>
      </c>
      <c r="V74" s="400">
        <v>100003523</v>
      </c>
      <c r="W74" s="404">
        <v>0</v>
      </c>
      <c r="X74" s="405">
        <v>0</v>
      </c>
      <c r="Y74" s="404">
        <v>0</v>
      </c>
      <c r="Z74" s="169"/>
      <c r="AA74" s="400">
        <v>100003523</v>
      </c>
      <c r="AB74" s="333">
        <v>0</v>
      </c>
      <c r="AC74" s="333">
        <v>0</v>
      </c>
      <c r="AD74" s="333">
        <v>113</v>
      </c>
      <c r="AE74" s="333">
        <v>113</v>
      </c>
      <c r="AF74" s="333">
        <v>90</v>
      </c>
      <c r="AG74" s="333">
        <v>860500</v>
      </c>
      <c r="AH74" s="169"/>
      <c r="AI74" s="400">
        <v>100003523</v>
      </c>
      <c r="AJ74" s="333">
        <v>0</v>
      </c>
      <c r="AK74" s="333">
        <v>0</v>
      </c>
      <c r="AL74" s="333">
        <v>113</v>
      </c>
      <c r="AM74" s="333">
        <v>113</v>
      </c>
      <c r="AN74" s="333">
        <v>90</v>
      </c>
      <c r="AO74" s="333">
        <v>1256254</v>
      </c>
    </row>
    <row r="75" spans="1:41" ht="15.75">
      <c r="A75" s="167">
        <v>69</v>
      </c>
      <c r="B75" s="79" t="s">
        <v>161</v>
      </c>
      <c r="C75" s="452">
        <v>100003547</v>
      </c>
      <c r="D75" s="458">
        <v>0</v>
      </c>
      <c r="E75" s="329">
        <v>324</v>
      </c>
      <c r="F75" s="329">
        <v>0</v>
      </c>
      <c r="G75" s="329">
        <v>0</v>
      </c>
      <c r="H75" s="329">
        <v>324</v>
      </c>
      <c r="I75" s="329">
        <v>0</v>
      </c>
      <c r="J75" s="329">
        <v>0</v>
      </c>
      <c r="K75" s="333">
        <v>0</v>
      </c>
      <c r="L75" s="333"/>
      <c r="M75" s="165"/>
      <c r="N75" s="401">
        <v>100003547</v>
      </c>
      <c r="O75" s="329">
        <v>0</v>
      </c>
      <c r="P75" s="329">
        <v>0</v>
      </c>
      <c r="Q75" s="329">
        <v>324</v>
      </c>
      <c r="R75" s="333">
        <v>324</v>
      </c>
      <c r="S75" s="333">
        <v>12736868</v>
      </c>
      <c r="T75" s="335">
        <v>0.35</v>
      </c>
      <c r="U75" s="165">
        <f>VLOOKUP(N75,'[2]154'!$C$9:$T$554,18,0)</f>
        <v>324</v>
      </c>
      <c r="V75" s="401">
        <v>100003547</v>
      </c>
      <c r="W75" s="406">
        <v>0</v>
      </c>
      <c r="X75" s="405">
        <v>0</v>
      </c>
      <c r="Y75" s="406">
        <v>0</v>
      </c>
      <c r="Z75" s="3"/>
      <c r="AA75" s="401">
        <v>100003547</v>
      </c>
      <c r="AB75" s="329">
        <v>0</v>
      </c>
      <c r="AC75" s="329">
        <v>0</v>
      </c>
      <c r="AD75" s="329">
        <v>324</v>
      </c>
      <c r="AE75" s="329">
        <v>324</v>
      </c>
      <c r="AF75" s="329">
        <v>259</v>
      </c>
      <c r="AG75" s="329">
        <v>5177775</v>
      </c>
      <c r="AH75" s="3"/>
      <c r="AI75" s="401">
        <v>100003547</v>
      </c>
      <c r="AJ75" s="329">
        <v>0</v>
      </c>
      <c r="AK75" s="329">
        <v>0</v>
      </c>
      <c r="AL75" s="329">
        <v>324</v>
      </c>
      <c r="AM75" s="329">
        <v>324</v>
      </c>
      <c r="AN75" s="329">
        <v>259</v>
      </c>
      <c r="AO75" s="329">
        <v>7559093</v>
      </c>
    </row>
    <row r="76" spans="1:41" ht="15.75">
      <c r="A76" s="167">
        <v>70</v>
      </c>
      <c r="B76" s="79" t="s">
        <v>161</v>
      </c>
      <c r="C76" s="452">
        <v>100003559</v>
      </c>
      <c r="D76" s="458">
        <v>0</v>
      </c>
      <c r="E76" s="329">
        <v>81</v>
      </c>
      <c r="F76" s="329">
        <v>0</v>
      </c>
      <c r="G76" s="329">
        <v>0</v>
      </c>
      <c r="H76" s="329">
        <v>81</v>
      </c>
      <c r="I76" s="329">
        <v>0</v>
      </c>
      <c r="J76" s="329">
        <v>0</v>
      </c>
      <c r="K76" s="333">
        <v>0</v>
      </c>
      <c r="L76" s="333"/>
      <c r="M76" s="208"/>
      <c r="N76" s="401">
        <v>100003559</v>
      </c>
      <c r="O76" s="329">
        <v>0</v>
      </c>
      <c r="P76" s="329">
        <v>0</v>
      </c>
      <c r="Q76" s="329">
        <v>81</v>
      </c>
      <c r="R76" s="333">
        <v>81</v>
      </c>
      <c r="S76" s="333">
        <v>1528766</v>
      </c>
      <c r="T76" s="335">
        <v>0.35</v>
      </c>
      <c r="U76" s="165">
        <f>VLOOKUP(N76,'[2]154'!$C$9:$T$554,18,0)</f>
        <v>81</v>
      </c>
      <c r="V76" s="401">
        <v>100003559</v>
      </c>
      <c r="W76" s="406">
        <v>0</v>
      </c>
      <c r="X76" s="405">
        <v>0</v>
      </c>
      <c r="Y76" s="406">
        <v>0</v>
      </c>
      <c r="Z76" s="3"/>
      <c r="AA76" s="401">
        <v>100003559</v>
      </c>
      <c r="AB76" s="329">
        <v>0</v>
      </c>
      <c r="AC76" s="329">
        <v>0</v>
      </c>
      <c r="AD76" s="329">
        <v>81</v>
      </c>
      <c r="AE76" s="329">
        <v>81</v>
      </c>
      <c r="AF76" s="329">
        <v>65</v>
      </c>
      <c r="AG76" s="329">
        <v>621472</v>
      </c>
      <c r="AH76" s="3"/>
      <c r="AI76" s="401">
        <v>100003559</v>
      </c>
      <c r="AJ76" s="329">
        <v>0</v>
      </c>
      <c r="AK76" s="329">
        <v>0</v>
      </c>
      <c r="AL76" s="329">
        <v>81</v>
      </c>
      <c r="AM76" s="329">
        <v>81</v>
      </c>
      <c r="AN76" s="329">
        <v>65</v>
      </c>
      <c r="AO76" s="329">
        <v>907294</v>
      </c>
    </row>
    <row r="77" spans="1:41" ht="15.75">
      <c r="A77" s="167">
        <v>71</v>
      </c>
      <c r="B77" s="79" t="s">
        <v>161</v>
      </c>
      <c r="C77" s="452">
        <v>100003582</v>
      </c>
      <c r="D77" s="458">
        <v>0</v>
      </c>
      <c r="E77" s="329">
        <v>109</v>
      </c>
      <c r="F77" s="329">
        <v>0</v>
      </c>
      <c r="G77" s="329">
        <v>0</v>
      </c>
      <c r="H77" s="329">
        <v>109</v>
      </c>
      <c r="I77" s="329">
        <v>0</v>
      </c>
      <c r="J77" s="329">
        <v>0</v>
      </c>
      <c r="K77" s="333">
        <v>0</v>
      </c>
      <c r="L77" s="333"/>
      <c r="M77" s="165"/>
      <c r="N77" s="401">
        <v>100003582</v>
      </c>
      <c r="O77" s="329">
        <v>0</v>
      </c>
      <c r="P77" s="329">
        <v>0</v>
      </c>
      <c r="Q77" s="329">
        <v>109</v>
      </c>
      <c r="R77" s="333">
        <v>109</v>
      </c>
      <c r="S77" s="333">
        <v>4129491</v>
      </c>
      <c r="T77" s="335">
        <v>0.36</v>
      </c>
      <c r="U77" s="165">
        <f>VLOOKUP(N77,'[2]154'!$C$9:$T$554,18,0)</f>
        <v>109</v>
      </c>
      <c r="V77" s="401">
        <v>100003582</v>
      </c>
      <c r="W77" s="406">
        <v>0</v>
      </c>
      <c r="X77" s="405">
        <v>0</v>
      </c>
      <c r="Y77" s="406">
        <v>0</v>
      </c>
      <c r="Z77" s="3"/>
      <c r="AA77" s="401">
        <v>100003582</v>
      </c>
      <c r="AB77" s="329">
        <v>0</v>
      </c>
      <c r="AC77" s="329">
        <v>0</v>
      </c>
      <c r="AD77" s="329">
        <v>109</v>
      </c>
      <c r="AE77" s="329">
        <v>109</v>
      </c>
      <c r="AF77" s="329">
        <v>87</v>
      </c>
      <c r="AG77" s="329">
        <v>1667903</v>
      </c>
      <c r="AH77" s="3"/>
      <c r="AI77" s="401">
        <v>100003582</v>
      </c>
      <c r="AJ77" s="329">
        <v>0</v>
      </c>
      <c r="AK77" s="329">
        <v>0</v>
      </c>
      <c r="AL77" s="329">
        <v>109</v>
      </c>
      <c r="AM77" s="329">
        <v>109</v>
      </c>
      <c r="AN77" s="329">
        <v>87</v>
      </c>
      <c r="AO77" s="329">
        <v>2461588</v>
      </c>
    </row>
    <row r="78" spans="1:41" s="211" customFormat="1" ht="15.75">
      <c r="A78" s="167">
        <v>72</v>
      </c>
      <c r="B78" s="79" t="s">
        <v>161</v>
      </c>
      <c r="C78" s="452">
        <v>100003585</v>
      </c>
      <c r="D78" s="460">
        <v>0</v>
      </c>
      <c r="E78" s="333">
        <v>51</v>
      </c>
      <c r="F78" s="333">
        <v>0</v>
      </c>
      <c r="G78" s="333">
        <v>0</v>
      </c>
      <c r="H78" s="333">
        <v>51</v>
      </c>
      <c r="I78" s="333">
        <v>0</v>
      </c>
      <c r="J78" s="333">
        <v>0</v>
      </c>
      <c r="K78" s="333">
        <v>0</v>
      </c>
      <c r="L78" s="333"/>
      <c r="M78" s="165"/>
      <c r="N78" s="400">
        <v>100003585</v>
      </c>
      <c r="O78" s="333">
        <v>0</v>
      </c>
      <c r="P78" s="333">
        <v>0</v>
      </c>
      <c r="Q78" s="333">
        <v>51</v>
      </c>
      <c r="R78" s="333">
        <v>51</v>
      </c>
      <c r="S78" s="333">
        <v>2241784</v>
      </c>
      <c r="T78" s="334">
        <v>0.36</v>
      </c>
      <c r="U78" s="165">
        <f>VLOOKUP(N78,'[2]154'!$C$9:$T$554,18,0)</f>
        <v>51</v>
      </c>
      <c r="V78" s="400">
        <v>100003585</v>
      </c>
      <c r="W78" s="404">
        <v>0</v>
      </c>
      <c r="X78" s="405">
        <v>0</v>
      </c>
      <c r="Y78" s="404">
        <v>0</v>
      </c>
      <c r="Z78" s="169"/>
      <c r="AA78" s="400">
        <v>100003585</v>
      </c>
      <c r="AB78" s="333">
        <v>0</v>
      </c>
      <c r="AC78" s="333">
        <v>0</v>
      </c>
      <c r="AD78" s="333">
        <v>51</v>
      </c>
      <c r="AE78" s="333">
        <v>51</v>
      </c>
      <c r="AF78" s="333">
        <v>41</v>
      </c>
      <c r="AG78" s="333">
        <v>892301</v>
      </c>
      <c r="AH78" s="169"/>
      <c r="AI78" s="400">
        <v>100003585</v>
      </c>
      <c r="AJ78" s="333">
        <v>0</v>
      </c>
      <c r="AK78" s="333">
        <v>0</v>
      </c>
      <c r="AL78" s="333">
        <v>51</v>
      </c>
      <c r="AM78" s="333">
        <v>51</v>
      </c>
      <c r="AN78" s="333">
        <v>41</v>
      </c>
      <c r="AO78" s="333">
        <v>1349483</v>
      </c>
    </row>
    <row r="79" spans="1:41" ht="15.75">
      <c r="A79" s="167">
        <v>73</v>
      </c>
      <c r="B79" s="79" t="s">
        <v>161</v>
      </c>
      <c r="C79" s="452">
        <v>100003592</v>
      </c>
      <c r="D79" s="458">
        <v>0</v>
      </c>
      <c r="E79" s="329">
        <v>85</v>
      </c>
      <c r="F79" s="329">
        <v>0</v>
      </c>
      <c r="G79" s="329">
        <v>0</v>
      </c>
      <c r="H79" s="329">
        <v>85</v>
      </c>
      <c r="I79" s="329">
        <v>0</v>
      </c>
      <c r="J79" s="329">
        <v>0</v>
      </c>
      <c r="K79" s="333">
        <v>0</v>
      </c>
      <c r="L79" s="333"/>
      <c r="M79" s="208"/>
      <c r="N79" s="401">
        <v>100003592</v>
      </c>
      <c r="O79" s="329">
        <v>0</v>
      </c>
      <c r="P79" s="329">
        <v>0</v>
      </c>
      <c r="Q79" s="329">
        <v>85</v>
      </c>
      <c r="R79" s="333">
        <v>85</v>
      </c>
      <c r="S79" s="333">
        <v>1478001</v>
      </c>
      <c r="T79" s="335">
        <v>0.35</v>
      </c>
      <c r="U79" s="165">
        <f>VLOOKUP(N79,'[2]154'!$C$9:$T$554,18,0)</f>
        <v>85</v>
      </c>
      <c r="V79" s="401">
        <v>100003592</v>
      </c>
      <c r="W79" s="406">
        <v>0</v>
      </c>
      <c r="X79" s="405">
        <v>0</v>
      </c>
      <c r="Y79" s="406">
        <v>0</v>
      </c>
      <c r="Z79" s="3"/>
      <c r="AA79" s="401">
        <v>100003592</v>
      </c>
      <c r="AB79" s="329">
        <v>0</v>
      </c>
      <c r="AC79" s="329">
        <v>0</v>
      </c>
      <c r="AD79" s="329">
        <v>85</v>
      </c>
      <c r="AE79" s="329">
        <v>85</v>
      </c>
      <c r="AF79" s="329">
        <v>68</v>
      </c>
      <c r="AG79" s="329">
        <v>600835</v>
      </c>
      <c r="AH79" s="3"/>
      <c r="AI79" s="401">
        <v>100003592</v>
      </c>
      <c r="AJ79" s="329">
        <v>0</v>
      </c>
      <c r="AK79" s="329">
        <v>0</v>
      </c>
      <c r="AL79" s="329">
        <v>85</v>
      </c>
      <c r="AM79" s="329">
        <v>85</v>
      </c>
      <c r="AN79" s="329">
        <v>68</v>
      </c>
      <c r="AO79" s="329">
        <v>877166</v>
      </c>
    </row>
    <row r="80" spans="1:41" ht="15.75">
      <c r="A80" s="167">
        <v>74</v>
      </c>
      <c r="B80" s="79" t="s">
        <v>161</v>
      </c>
      <c r="C80" s="452">
        <v>100004432</v>
      </c>
      <c r="D80" s="458">
        <v>0</v>
      </c>
      <c r="E80" s="329">
        <v>24</v>
      </c>
      <c r="F80" s="329">
        <v>0</v>
      </c>
      <c r="G80" s="329">
        <v>0</v>
      </c>
      <c r="H80" s="329">
        <v>24</v>
      </c>
      <c r="I80" s="329">
        <v>0</v>
      </c>
      <c r="J80" s="329">
        <v>0</v>
      </c>
      <c r="K80" s="333">
        <v>0</v>
      </c>
      <c r="L80" s="333"/>
      <c r="M80" s="165"/>
      <c r="N80" s="401">
        <v>100004432</v>
      </c>
      <c r="O80" s="329">
        <v>0</v>
      </c>
      <c r="P80" s="329">
        <v>0</v>
      </c>
      <c r="Q80" s="329">
        <v>24</v>
      </c>
      <c r="R80" s="333">
        <v>24</v>
      </c>
      <c r="S80" s="333">
        <v>1518931</v>
      </c>
      <c r="T80" s="335">
        <v>0.35</v>
      </c>
      <c r="U80" s="165">
        <f>VLOOKUP(N80,'[2]154'!$C$9:$T$554,18,0)</f>
        <v>24</v>
      </c>
      <c r="V80" s="401">
        <v>100004432</v>
      </c>
      <c r="W80" s="406">
        <v>0</v>
      </c>
      <c r="X80" s="405">
        <v>0</v>
      </c>
      <c r="Y80" s="406">
        <v>0</v>
      </c>
      <c r="Z80" s="3"/>
      <c r="AA80" s="401">
        <v>100004432</v>
      </c>
      <c r="AB80" s="329">
        <v>0</v>
      </c>
      <c r="AC80" s="329">
        <v>0</v>
      </c>
      <c r="AD80" s="329">
        <v>24</v>
      </c>
      <c r="AE80" s="329">
        <v>24</v>
      </c>
      <c r="AF80" s="329">
        <v>19</v>
      </c>
      <c r="AG80" s="329">
        <v>617474</v>
      </c>
      <c r="AH80" s="3"/>
      <c r="AI80" s="401">
        <v>100004432</v>
      </c>
      <c r="AJ80" s="329">
        <v>0</v>
      </c>
      <c r="AK80" s="329">
        <v>0</v>
      </c>
      <c r="AL80" s="329">
        <v>24</v>
      </c>
      <c r="AM80" s="329">
        <v>24</v>
      </c>
      <c r="AN80" s="329">
        <v>19</v>
      </c>
      <c r="AO80" s="329">
        <v>901457</v>
      </c>
    </row>
    <row r="81" spans="1:41" s="211" customFormat="1" ht="15.75">
      <c r="A81" s="167">
        <v>75</v>
      </c>
      <c r="B81" s="79" t="s">
        <v>161</v>
      </c>
      <c r="C81" s="452">
        <v>100008196</v>
      </c>
      <c r="D81" s="460">
        <v>0</v>
      </c>
      <c r="E81" s="333">
        <v>337</v>
      </c>
      <c r="F81" s="333">
        <v>0</v>
      </c>
      <c r="G81" s="333">
        <v>0</v>
      </c>
      <c r="H81" s="333">
        <v>337</v>
      </c>
      <c r="I81" s="333">
        <v>0</v>
      </c>
      <c r="J81" s="333">
        <v>0</v>
      </c>
      <c r="K81" s="333">
        <v>0</v>
      </c>
      <c r="L81" s="333"/>
      <c r="M81" s="165"/>
      <c r="N81" s="400">
        <v>100008196</v>
      </c>
      <c r="O81" s="333">
        <v>0</v>
      </c>
      <c r="P81" s="333">
        <v>0</v>
      </c>
      <c r="Q81" s="333">
        <v>337</v>
      </c>
      <c r="R81" s="333">
        <v>337</v>
      </c>
      <c r="S81" s="333">
        <v>11380717</v>
      </c>
      <c r="T81" s="334">
        <v>0.36</v>
      </c>
      <c r="U81" s="165">
        <f>VLOOKUP(N81,'[2]154'!$C$9:$T$554,18,0)</f>
        <v>337</v>
      </c>
      <c r="V81" s="400">
        <v>100008196</v>
      </c>
      <c r="W81" s="404">
        <v>0</v>
      </c>
      <c r="X81" s="405">
        <v>0</v>
      </c>
      <c r="Y81" s="404">
        <v>0</v>
      </c>
      <c r="Z81" s="169"/>
      <c r="AA81" s="400">
        <v>100008196</v>
      </c>
      <c r="AB81" s="333">
        <v>0</v>
      </c>
      <c r="AC81" s="333">
        <v>0</v>
      </c>
      <c r="AD81" s="333">
        <v>337</v>
      </c>
      <c r="AE81" s="333">
        <v>337</v>
      </c>
      <c r="AF81" s="333">
        <v>270</v>
      </c>
      <c r="AG81" s="333">
        <v>4506377</v>
      </c>
      <c r="AH81" s="169"/>
      <c r="AI81" s="400">
        <v>100008196</v>
      </c>
      <c r="AJ81" s="333">
        <v>0</v>
      </c>
      <c r="AK81" s="333">
        <v>0</v>
      </c>
      <c r="AL81" s="333">
        <v>337</v>
      </c>
      <c r="AM81" s="333">
        <v>337</v>
      </c>
      <c r="AN81" s="333">
        <v>270</v>
      </c>
      <c r="AO81" s="333">
        <v>6874340</v>
      </c>
    </row>
    <row r="82" spans="1:41" s="211" customFormat="1" ht="15.75">
      <c r="A82" s="167">
        <v>76</v>
      </c>
      <c r="B82" s="79" t="s">
        <v>161</v>
      </c>
      <c r="C82" s="452">
        <v>100008212</v>
      </c>
      <c r="D82" s="460">
        <v>0</v>
      </c>
      <c r="E82" s="333">
        <v>85</v>
      </c>
      <c r="F82" s="333">
        <v>0</v>
      </c>
      <c r="G82" s="333">
        <v>0</v>
      </c>
      <c r="H82" s="333">
        <v>85</v>
      </c>
      <c r="I82" s="333">
        <v>0</v>
      </c>
      <c r="J82" s="333">
        <v>0</v>
      </c>
      <c r="K82" s="333">
        <v>0</v>
      </c>
      <c r="L82" s="333"/>
      <c r="M82" s="208"/>
      <c r="N82" s="400">
        <v>100008212</v>
      </c>
      <c r="O82" s="333">
        <v>0</v>
      </c>
      <c r="P82" s="333">
        <v>0</v>
      </c>
      <c r="Q82" s="333">
        <v>85</v>
      </c>
      <c r="R82" s="333">
        <v>85</v>
      </c>
      <c r="S82" s="333">
        <v>2907863</v>
      </c>
      <c r="T82" s="334">
        <v>0.35</v>
      </c>
      <c r="U82" s="165">
        <f>VLOOKUP(N82,'[2]154'!$C$9:$T$554,18,0)</f>
        <v>85</v>
      </c>
      <c r="V82" s="400">
        <v>100008212</v>
      </c>
      <c r="W82" s="404">
        <v>0</v>
      </c>
      <c r="X82" s="405">
        <v>0</v>
      </c>
      <c r="Y82" s="404">
        <v>0</v>
      </c>
      <c r="Z82" s="169"/>
      <c r="AA82" s="400">
        <v>100008212</v>
      </c>
      <c r="AB82" s="333">
        <v>0</v>
      </c>
      <c r="AC82" s="333">
        <v>0</v>
      </c>
      <c r="AD82" s="333">
        <v>85</v>
      </c>
      <c r="AE82" s="333">
        <v>85</v>
      </c>
      <c r="AF82" s="333">
        <v>68</v>
      </c>
      <c r="AG82" s="333">
        <v>1182101</v>
      </c>
      <c r="AH82" s="169"/>
      <c r="AI82" s="400">
        <v>100008212</v>
      </c>
      <c r="AJ82" s="333">
        <v>0</v>
      </c>
      <c r="AK82" s="333">
        <v>0</v>
      </c>
      <c r="AL82" s="333">
        <v>85</v>
      </c>
      <c r="AM82" s="333">
        <v>85</v>
      </c>
      <c r="AN82" s="333">
        <v>68</v>
      </c>
      <c r="AO82" s="333">
        <v>1725762</v>
      </c>
    </row>
    <row r="83" spans="1:41" s="211" customFormat="1" ht="15.75">
      <c r="A83" s="167">
        <v>77</v>
      </c>
      <c r="B83" s="79" t="s">
        <v>161</v>
      </c>
      <c r="C83" s="452">
        <v>100008214</v>
      </c>
      <c r="D83" s="460">
        <v>0</v>
      </c>
      <c r="E83" s="333">
        <v>23</v>
      </c>
      <c r="F83" s="333">
        <v>0</v>
      </c>
      <c r="G83" s="333">
        <v>0</v>
      </c>
      <c r="H83" s="333">
        <v>23</v>
      </c>
      <c r="I83" s="333">
        <v>0</v>
      </c>
      <c r="J83" s="333">
        <v>0</v>
      </c>
      <c r="K83" s="333">
        <v>0</v>
      </c>
      <c r="L83" s="333"/>
      <c r="M83" s="165"/>
      <c r="N83" s="400">
        <v>100008214</v>
      </c>
      <c r="O83" s="333">
        <v>0</v>
      </c>
      <c r="P83" s="333">
        <v>0</v>
      </c>
      <c r="Q83" s="333">
        <v>23</v>
      </c>
      <c r="R83" s="333">
        <v>23</v>
      </c>
      <c r="S83" s="333">
        <v>676415</v>
      </c>
      <c r="T83" s="334">
        <v>0.36</v>
      </c>
      <c r="U83" s="165">
        <f>VLOOKUP(N83,'[2]154'!$C$9:$T$554,18,0)</f>
        <v>23</v>
      </c>
      <c r="V83" s="400">
        <v>100008214</v>
      </c>
      <c r="W83" s="404">
        <v>0</v>
      </c>
      <c r="X83" s="405">
        <v>0</v>
      </c>
      <c r="Y83" s="404">
        <v>0</v>
      </c>
      <c r="Z83" s="169"/>
      <c r="AA83" s="400">
        <v>100008214</v>
      </c>
      <c r="AB83" s="333">
        <v>0</v>
      </c>
      <c r="AC83" s="333">
        <v>0</v>
      </c>
      <c r="AD83" s="333">
        <v>23</v>
      </c>
      <c r="AE83" s="333">
        <v>23</v>
      </c>
      <c r="AF83" s="333">
        <v>18</v>
      </c>
      <c r="AG83" s="333">
        <v>268521</v>
      </c>
      <c r="AH83" s="169"/>
      <c r="AI83" s="400">
        <v>100008214</v>
      </c>
      <c r="AJ83" s="333">
        <v>0</v>
      </c>
      <c r="AK83" s="333">
        <v>0</v>
      </c>
      <c r="AL83" s="333">
        <v>23</v>
      </c>
      <c r="AM83" s="333">
        <v>23</v>
      </c>
      <c r="AN83" s="333">
        <v>18</v>
      </c>
      <c r="AO83" s="333">
        <v>407894</v>
      </c>
    </row>
    <row r="84" spans="1:41" s="211" customFormat="1" ht="15.75">
      <c r="A84" s="167">
        <v>78</v>
      </c>
      <c r="B84" s="79" t="s">
        <v>161</v>
      </c>
      <c r="C84" s="452">
        <v>100008216</v>
      </c>
      <c r="D84" s="460">
        <v>0</v>
      </c>
      <c r="E84" s="333">
        <v>102</v>
      </c>
      <c r="F84" s="333">
        <v>0</v>
      </c>
      <c r="G84" s="333">
        <v>0</v>
      </c>
      <c r="H84" s="333">
        <v>102</v>
      </c>
      <c r="I84" s="333">
        <v>0</v>
      </c>
      <c r="J84" s="333">
        <v>0</v>
      </c>
      <c r="K84" s="333">
        <v>0</v>
      </c>
      <c r="L84" s="333"/>
      <c r="M84" s="165"/>
      <c r="N84" s="400">
        <v>100008216</v>
      </c>
      <c r="O84" s="333">
        <v>0</v>
      </c>
      <c r="P84" s="333">
        <v>0</v>
      </c>
      <c r="Q84" s="333">
        <v>102</v>
      </c>
      <c r="R84" s="333">
        <v>102</v>
      </c>
      <c r="S84" s="333">
        <v>3488688</v>
      </c>
      <c r="T84" s="334">
        <v>0.35</v>
      </c>
      <c r="U84" s="165">
        <f>VLOOKUP(N84,'[2]154'!$C$9:$T$554,18,0)</f>
        <v>102</v>
      </c>
      <c r="V84" s="400">
        <v>100008216</v>
      </c>
      <c r="W84" s="404">
        <v>0</v>
      </c>
      <c r="X84" s="405">
        <v>0</v>
      </c>
      <c r="Y84" s="404">
        <v>0</v>
      </c>
      <c r="Z84" s="169"/>
      <c r="AA84" s="400">
        <v>100008216</v>
      </c>
      <c r="AB84" s="333">
        <v>0</v>
      </c>
      <c r="AC84" s="333">
        <v>0</v>
      </c>
      <c r="AD84" s="333">
        <v>102</v>
      </c>
      <c r="AE84" s="333">
        <v>102</v>
      </c>
      <c r="AF84" s="333">
        <v>82</v>
      </c>
      <c r="AG84" s="333">
        <v>1418217</v>
      </c>
      <c r="AH84" s="169"/>
      <c r="AI84" s="400">
        <v>100008216</v>
      </c>
      <c r="AJ84" s="333">
        <v>0</v>
      </c>
      <c r="AK84" s="333">
        <v>0</v>
      </c>
      <c r="AL84" s="333">
        <v>102</v>
      </c>
      <c r="AM84" s="333">
        <v>102</v>
      </c>
      <c r="AN84" s="333">
        <v>82</v>
      </c>
      <c r="AO84" s="333">
        <v>2070471</v>
      </c>
    </row>
    <row r="85" spans="1:41" s="211" customFormat="1" ht="15.75">
      <c r="A85" s="167">
        <v>79</v>
      </c>
      <c r="B85" s="79" t="s">
        <v>161</v>
      </c>
      <c r="C85" s="452">
        <v>100009597</v>
      </c>
      <c r="D85" s="460">
        <v>17282</v>
      </c>
      <c r="E85" s="333">
        <v>552</v>
      </c>
      <c r="F85" s="333">
        <v>0</v>
      </c>
      <c r="G85" s="333">
        <v>0</v>
      </c>
      <c r="H85" s="333">
        <v>552</v>
      </c>
      <c r="I85" s="333">
        <v>0</v>
      </c>
      <c r="J85" s="333">
        <v>0</v>
      </c>
      <c r="K85" s="333">
        <v>0</v>
      </c>
      <c r="L85" s="333"/>
      <c r="M85" s="208"/>
      <c r="N85" s="400">
        <v>100009597</v>
      </c>
      <c r="O85" s="333">
        <v>0</v>
      </c>
      <c r="P85" s="333">
        <v>0</v>
      </c>
      <c r="Q85" s="333">
        <v>552</v>
      </c>
      <c r="R85" s="333">
        <v>552</v>
      </c>
      <c r="S85" s="333">
        <v>25869890</v>
      </c>
      <c r="T85" s="334">
        <v>0.36</v>
      </c>
      <c r="U85" s="165">
        <f>VLOOKUP(N85,'[2]154'!$C$9:$T$554,18,0)</f>
        <v>595</v>
      </c>
      <c r="V85" s="400">
        <v>100009597</v>
      </c>
      <c r="W85" s="404">
        <v>0</v>
      </c>
      <c r="X85" s="405">
        <v>0</v>
      </c>
      <c r="Y85" s="404">
        <v>0</v>
      </c>
      <c r="Z85" s="169"/>
      <c r="AA85" s="400">
        <v>100009597</v>
      </c>
      <c r="AB85" s="333">
        <v>0</v>
      </c>
      <c r="AC85" s="333">
        <v>0</v>
      </c>
      <c r="AD85" s="333">
        <v>552</v>
      </c>
      <c r="AE85" s="333">
        <v>552</v>
      </c>
      <c r="AF85" s="333">
        <v>442</v>
      </c>
      <c r="AG85" s="333">
        <v>10439684</v>
      </c>
      <c r="AH85" s="169"/>
      <c r="AI85" s="400">
        <v>100009597</v>
      </c>
      <c r="AJ85" s="333">
        <v>0</v>
      </c>
      <c r="AK85" s="333">
        <v>0</v>
      </c>
      <c r="AL85" s="333">
        <v>552</v>
      </c>
      <c r="AM85" s="333">
        <v>552</v>
      </c>
      <c r="AN85" s="333">
        <v>442</v>
      </c>
      <c r="AO85" s="333">
        <v>15430206</v>
      </c>
    </row>
    <row r="86" spans="1:41" ht="15.75">
      <c r="A86" s="167">
        <v>80</v>
      </c>
      <c r="B86" s="79" t="s">
        <v>161</v>
      </c>
      <c r="C86" s="452">
        <v>74401</v>
      </c>
      <c r="D86" s="458">
        <v>11001</v>
      </c>
      <c r="E86" s="329">
        <v>4111</v>
      </c>
      <c r="F86" s="329">
        <v>0</v>
      </c>
      <c r="G86" s="329">
        <v>0</v>
      </c>
      <c r="H86" s="329">
        <v>4111</v>
      </c>
      <c r="I86" s="329">
        <v>6890</v>
      </c>
      <c r="J86" s="329">
        <v>0</v>
      </c>
      <c r="K86" s="333">
        <v>6890</v>
      </c>
      <c r="L86" s="333"/>
      <c r="M86" s="165"/>
      <c r="N86" s="401">
        <v>74401</v>
      </c>
      <c r="O86" s="329">
        <v>0</v>
      </c>
      <c r="P86" s="329">
        <v>0</v>
      </c>
      <c r="Q86" s="329">
        <v>4111</v>
      </c>
      <c r="R86" s="333">
        <v>4111</v>
      </c>
      <c r="S86" s="333">
        <v>28419278</v>
      </c>
      <c r="T86" s="335">
        <v>0.36</v>
      </c>
      <c r="U86" s="165">
        <f>VLOOKUP(N86,'[2]154'!$C$9:$T$554,18,0)</f>
        <v>0</v>
      </c>
      <c r="V86" s="401">
        <v>74401</v>
      </c>
      <c r="W86" s="406">
        <v>6890</v>
      </c>
      <c r="X86" s="405">
        <v>7750.1860667634255</v>
      </c>
      <c r="Y86" s="406">
        <v>53398782</v>
      </c>
      <c r="Z86" s="3"/>
      <c r="AA86" s="401">
        <v>74401</v>
      </c>
      <c r="AB86" s="329">
        <v>0</v>
      </c>
      <c r="AC86" s="329">
        <v>0</v>
      </c>
      <c r="AD86" s="329">
        <v>4111</v>
      </c>
      <c r="AE86" s="329">
        <v>4111</v>
      </c>
      <c r="AF86" s="329">
        <v>3289</v>
      </c>
      <c r="AG86" s="329">
        <v>9621461</v>
      </c>
      <c r="AH86" s="3"/>
      <c r="AI86" s="401">
        <v>74401</v>
      </c>
      <c r="AJ86" s="329">
        <v>0</v>
      </c>
      <c r="AK86" s="329">
        <v>0</v>
      </c>
      <c r="AL86" s="329">
        <v>4111</v>
      </c>
      <c r="AM86" s="329">
        <v>4111</v>
      </c>
      <c r="AN86" s="329">
        <v>3289</v>
      </c>
      <c r="AO86" s="329">
        <v>18797817</v>
      </c>
    </row>
    <row r="87" spans="1:41" s="211" customFormat="1" ht="15.75">
      <c r="A87" s="167">
        <v>81</v>
      </c>
      <c r="B87" s="79" t="s">
        <v>161</v>
      </c>
      <c r="C87" s="452" t="s">
        <v>208</v>
      </c>
      <c r="D87" s="460">
        <v>0</v>
      </c>
      <c r="E87" s="333">
        <v>65</v>
      </c>
      <c r="F87" s="333">
        <v>0</v>
      </c>
      <c r="G87" s="333">
        <v>0</v>
      </c>
      <c r="H87" s="333">
        <v>65</v>
      </c>
      <c r="I87" s="333">
        <v>0</v>
      </c>
      <c r="J87" s="333">
        <v>0</v>
      </c>
      <c r="K87" s="333">
        <v>0</v>
      </c>
      <c r="L87" s="333"/>
      <c r="M87" s="165"/>
      <c r="N87" s="397" t="s">
        <v>208</v>
      </c>
      <c r="O87" s="333">
        <v>0</v>
      </c>
      <c r="P87" s="333">
        <v>0</v>
      </c>
      <c r="Q87" s="333">
        <v>65</v>
      </c>
      <c r="R87" s="333">
        <v>65</v>
      </c>
      <c r="S87" s="333">
        <v>1586194</v>
      </c>
      <c r="T87" s="334">
        <v>0.35</v>
      </c>
      <c r="U87" s="165">
        <f>VLOOKUP(N87,'[2]154'!$C$9:$T$554,18,0)</f>
        <v>101</v>
      </c>
      <c r="V87" s="397" t="s">
        <v>208</v>
      </c>
      <c r="W87" s="404">
        <v>0</v>
      </c>
      <c r="X87" s="405">
        <v>0</v>
      </c>
      <c r="Y87" s="404">
        <v>0</v>
      </c>
      <c r="Z87" s="169"/>
      <c r="AA87" s="397" t="s">
        <v>208</v>
      </c>
      <c r="AB87" s="333">
        <v>0</v>
      </c>
      <c r="AC87" s="333">
        <v>0</v>
      </c>
      <c r="AD87" s="333">
        <v>65</v>
      </c>
      <c r="AE87" s="333">
        <v>65</v>
      </c>
      <c r="AF87" s="333">
        <v>52</v>
      </c>
      <c r="AG87" s="333">
        <v>666232</v>
      </c>
      <c r="AH87" s="169"/>
      <c r="AI87" s="397" t="s">
        <v>208</v>
      </c>
      <c r="AJ87" s="333">
        <v>0</v>
      </c>
      <c r="AK87" s="333">
        <v>0</v>
      </c>
      <c r="AL87" s="333">
        <v>65</v>
      </c>
      <c r="AM87" s="333">
        <v>65</v>
      </c>
      <c r="AN87" s="333">
        <v>52</v>
      </c>
      <c r="AO87" s="333">
        <v>919962</v>
      </c>
    </row>
    <row r="88" spans="1:41" s="211" customFormat="1" ht="15.75">
      <c r="A88" s="167">
        <v>82</v>
      </c>
      <c r="B88" s="79" t="s">
        <v>105</v>
      </c>
      <c r="C88" s="452" t="s">
        <v>209</v>
      </c>
      <c r="D88" s="460">
        <v>0</v>
      </c>
      <c r="E88" s="333">
        <v>329</v>
      </c>
      <c r="F88" s="333">
        <v>0</v>
      </c>
      <c r="G88" s="333">
        <v>0</v>
      </c>
      <c r="H88" s="333">
        <v>329</v>
      </c>
      <c r="I88" s="333">
        <v>0</v>
      </c>
      <c r="J88" s="333">
        <v>0</v>
      </c>
      <c r="K88" s="333">
        <v>0</v>
      </c>
      <c r="L88" s="333"/>
      <c r="M88" s="208"/>
      <c r="N88" s="397" t="s">
        <v>209</v>
      </c>
      <c r="O88" s="333">
        <v>0</v>
      </c>
      <c r="P88" s="333">
        <v>0</v>
      </c>
      <c r="Q88" s="333">
        <v>329</v>
      </c>
      <c r="R88" s="333">
        <v>329</v>
      </c>
      <c r="S88" s="333">
        <v>4483405</v>
      </c>
      <c r="T88" s="334">
        <v>2.15</v>
      </c>
      <c r="U88" s="165">
        <f>VLOOKUP(N88,'[2]154'!$C$9:$T$554,18,0)</f>
        <v>329</v>
      </c>
      <c r="V88" s="397" t="s">
        <v>209</v>
      </c>
      <c r="W88" s="404">
        <v>0</v>
      </c>
      <c r="X88" s="405">
        <v>0</v>
      </c>
      <c r="Y88" s="404">
        <v>0</v>
      </c>
      <c r="Z88" s="169"/>
      <c r="AA88" s="397" t="s">
        <v>209</v>
      </c>
      <c r="AB88" s="333">
        <v>0</v>
      </c>
      <c r="AC88" s="333">
        <v>0</v>
      </c>
      <c r="AD88" s="333">
        <v>329</v>
      </c>
      <c r="AE88" s="333">
        <v>329</v>
      </c>
      <c r="AF88" s="333">
        <v>263</v>
      </c>
      <c r="AG88" s="333">
        <v>1822588</v>
      </c>
      <c r="AH88" s="169"/>
      <c r="AI88" s="397" t="s">
        <v>209</v>
      </c>
      <c r="AJ88" s="333">
        <v>0</v>
      </c>
      <c r="AK88" s="333">
        <v>0</v>
      </c>
      <c r="AL88" s="333">
        <v>329</v>
      </c>
      <c r="AM88" s="333">
        <v>329</v>
      </c>
      <c r="AN88" s="333">
        <v>263</v>
      </c>
      <c r="AO88" s="333">
        <v>2660817</v>
      </c>
    </row>
    <row r="89" spans="1:41" s="211" customFormat="1" ht="15.75">
      <c r="A89" s="167">
        <v>83</v>
      </c>
      <c r="B89" s="79" t="s">
        <v>105</v>
      </c>
      <c r="C89" s="452" t="s">
        <v>210</v>
      </c>
      <c r="D89" s="460">
        <v>0</v>
      </c>
      <c r="E89" s="333">
        <v>440</v>
      </c>
      <c r="F89" s="333">
        <v>0</v>
      </c>
      <c r="G89" s="333">
        <v>0</v>
      </c>
      <c r="H89" s="333">
        <v>440</v>
      </c>
      <c r="I89" s="333">
        <v>0</v>
      </c>
      <c r="J89" s="333">
        <v>0</v>
      </c>
      <c r="K89" s="333">
        <v>0</v>
      </c>
      <c r="L89" s="333"/>
      <c r="M89" s="165"/>
      <c r="N89" s="397" t="s">
        <v>210</v>
      </c>
      <c r="O89" s="333">
        <v>0</v>
      </c>
      <c r="P89" s="333">
        <v>0</v>
      </c>
      <c r="Q89" s="333">
        <v>440</v>
      </c>
      <c r="R89" s="333">
        <v>440</v>
      </c>
      <c r="S89" s="333">
        <v>13185643</v>
      </c>
      <c r="T89" s="334">
        <v>1.75</v>
      </c>
      <c r="U89" s="165">
        <f>VLOOKUP(N89,'[2]154'!$C$9:$T$554,18,0)</f>
        <v>440</v>
      </c>
      <c r="V89" s="397" t="s">
        <v>210</v>
      </c>
      <c r="W89" s="404">
        <v>0</v>
      </c>
      <c r="X89" s="405">
        <v>0</v>
      </c>
      <c r="Y89" s="404">
        <v>0</v>
      </c>
      <c r="Z89" s="169"/>
      <c r="AA89" s="397" t="s">
        <v>210</v>
      </c>
      <c r="AB89" s="333">
        <v>0</v>
      </c>
      <c r="AC89" s="333">
        <v>0</v>
      </c>
      <c r="AD89" s="333">
        <v>440</v>
      </c>
      <c r="AE89" s="333">
        <v>440</v>
      </c>
      <c r="AF89" s="333">
        <v>352</v>
      </c>
      <c r="AG89" s="333">
        <v>5360211</v>
      </c>
      <c r="AH89" s="169"/>
      <c r="AI89" s="397" t="s">
        <v>210</v>
      </c>
      <c r="AJ89" s="333">
        <v>0</v>
      </c>
      <c r="AK89" s="333">
        <v>0</v>
      </c>
      <c r="AL89" s="333">
        <v>440</v>
      </c>
      <c r="AM89" s="333">
        <v>440</v>
      </c>
      <c r="AN89" s="333">
        <v>352</v>
      </c>
      <c r="AO89" s="333">
        <v>7825432</v>
      </c>
    </row>
    <row r="90" spans="1:41" s="211" customFormat="1" ht="15.75">
      <c r="A90" s="167">
        <v>84</v>
      </c>
      <c r="B90" s="79" t="s">
        <v>105</v>
      </c>
      <c r="C90" s="452">
        <v>453609</v>
      </c>
      <c r="D90" s="460">
        <v>0</v>
      </c>
      <c r="E90" s="333">
        <v>121</v>
      </c>
      <c r="F90" s="333">
        <v>0</v>
      </c>
      <c r="G90" s="333">
        <v>0</v>
      </c>
      <c r="H90" s="333">
        <v>121</v>
      </c>
      <c r="I90" s="333">
        <v>0</v>
      </c>
      <c r="J90" s="333">
        <v>0</v>
      </c>
      <c r="K90" s="333">
        <v>0</v>
      </c>
      <c r="L90" s="333"/>
      <c r="M90" s="165"/>
      <c r="N90" s="400">
        <v>453609</v>
      </c>
      <c r="O90" s="333">
        <v>0</v>
      </c>
      <c r="P90" s="333">
        <v>0</v>
      </c>
      <c r="Q90" s="333">
        <v>121</v>
      </c>
      <c r="R90" s="333">
        <v>121</v>
      </c>
      <c r="S90" s="333">
        <v>3636259</v>
      </c>
      <c r="T90" s="334">
        <v>1.75</v>
      </c>
      <c r="U90" s="165">
        <f>VLOOKUP(N90,'[2]154'!$C$9:$T$554,18,0)</f>
        <v>121</v>
      </c>
      <c r="V90" s="400">
        <v>453609</v>
      </c>
      <c r="W90" s="404">
        <v>0</v>
      </c>
      <c r="X90" s="405">
        <v>0</v>
      </c>
      <c r="Y90" s="404">
        <v>0</v>
      </c>
      <c r="Z90" s="169"/>
      <c r="AA90" s="400">
        <v>453609</v>
      </c>
      <c r="AB90" s="333">
        <v>0</v>
      </c>
      <c r="AC90" s="333">
        <v>0</v>
      </c>
      <c r="AD90" s="333">
        <v>121</v>
      </c>
      <c r="AE90" s="333">
        <v>121</v>
      </c>
      <c r="AF90" s="333">
        <v>97</v>
      </c>
      <c r="AG90" s="333">
        <v>1478207</v>
      </c>
      <c r="AH90" s="169"/>
      <c r="AI90" s="400">
        <v>453609</v>
      </c>
      <c r="AJ90" s="333">
        <v>0</v>
      </c>
      <c r="AK90" s="333">
        <v>0</v>
      </c>
      <c r="AL90" s="333">
        <v>121</v>
      </c>
      <c r="AM90" s="333">
        <v>121</v>
      </c>
      <c r="AN90" s="333">
        <v>97</v>
      </c>
      <c r="AO90" s="333">
        <v>2158052</v>
      </c>
    </row>
    <row r="91" spans="1:41" ht="15.75">
      <c r="A91" s="167">
        <v>85</v>
      </c>
      <c r="B91" s="79" t="s">
        <v>105</v>
      </c>
      <c r="C91" s="452">
        <v>455129</v>
      </c>
      <c r="D91" s="458">
        <v>0</v>
      </c>
      <c r="E91" s="329">
        <v>97</v>
      </c>
      <c r="F91" s="329">
        <v>0</v>
      </c>
      <c r="G91" s="329">
        <v>0</v>
      </c>
      <c r="H91" s="329">
        <v>97</v>
      </c>
      <c r="I91" s="329">
        <v>0</v>
      </c>
      <c r="J91" s="329">
        <v>0</v>
      </c>
      <c r="K91" s="333">
        <v>0</v>
      </c>
      <c r="L91" s="333"/>
      <c r="M91" s="208"/>
      <c r="N91" s="401">
        <v>455129</v>
      </c>
      <c r="O91" s="329">
        <v>0</v>
      </c>
      <c r="P91" s="329">
        <v>0</v>
      </c>
      <c r="Q91" s="329">
        <v>97</v>
      </c>
      <c r="R91" s="333">
        <v>97</v>
      </c>
      <c r="S91" s="333">
        <v>3567264</v>
      </c>
      <c r="T91" s="335">
        <v>0.35</v>
      </c>
      <c r="U91" s="165">
        <f>VLOOKUP(N91,'[2]154'!$C$9:$T$554,18,0)</f>
        <v>97</v>
      </c>
      <c r="V91" s="401">
        <v>455129</v>
      </c>
      <c r="W91" s="406">
        <v>0</v>
      </c>
      <c r="X91" s="405">
        <v>0</v>
      </c>
      <c r="Y91" s="406">
        <v>0</v>
      </c>
      <c r="Z91" s="3"/>
      <c r="AA91" s="401">
        <v>455129</v>
      </c>
      <c r="AB91" s="329">
        <v>0</v>
      </c>
      <c r="AC91" s="329">
        <v>0</v>
      </c>
      <c r="AD91" s="329">
        <v>97</v>
      </c>
      <c r="AE91" s="329">
        <v>97</v>
      </c>
      <c r="AF91" s="329">
        <v>78</v>
      </c>
      <c r="AG91" s="329">
        <v>1450160</v>
      </c>
      <c r="AH91" s="3"/>
      <c r="AI91" s="401">
        <v>455129</v>
      </c>
      <c r="AJ91" s="329">
        <v>0</v>
      </c>
      <c r="AK91" s="329">
        <v>0</v>
      </c>
      <c r="AL91" s="329">
        <v>97</v>
      </c>
      <c r="AM91" s="329">
        <v>97</v>
      </c>
      <c r="AN91" s="329">
        <v>78</v>
      </c>
      <c r="AO91" s="329">
        <v>2117104</v>
      </c>
    </row>
    <row r="92" spans="1:41" s="211" customFormat="1" ht="15.75">
      <c r="A92" s="167">
        <v>86</v>
      </c>
      <c r="B92" s="79" t="s">
        <v>105</v>
      </c>
      <c r="C92" s="452">
        <v>455571</v>
      </c>
      <c r="D92" s="460">
        <v>0</v>
      </c>
      <c r="E92" s="333">
        <v>491</v>
      </c>
      <c r="F92" s="333">
        <v>0</v>
      </c>
      <c r="G92" s="333">
        <v>0</v>
      </c>
      <c r="H92" s="333">
        <v>491</v>
      </c>
      <c r="I92" s="333">
        <v>0</v>
      </c>
      <c r="J92" s="333">
        <v>13</v>
      </c>
      <c r="K92" s="333">
        <v>13</v>
      </c>
      <c r="L92" s="333"/>
      <c r="M92" s="165"/>
      <c r="N92" s="400">
        <v>455571</v>
      </c>
      <c r="O92" s="333">
        <v>0</v>
      </c>
      <c r="P92" s="333">
        <v>0</v>
      </c>
      <c r="Q92" s="333">
        <v>491</v>
      </c>
      <c r="R92" s="333">
        <v>491</v>
      </c>
      <c r="S92" s="333">
        <v>17049015</v>
      </c>
      <c r="T92" s="334">
        <v>0.35</v>
      </c>
      <c r="U92" s="165">
        <f>VLOOKUP(N92,'[2]154'!$C$9:$T$554,18,0)</f>
        <v>491</v>
      </c>
      <c r="V92" s="400">
        <v>455571</v>
      </c>
      <c r="W92" s="404">
        <v>13</v>
      </c>
      <c r="X92" s="405">
        <v>42654.692307692305</v>
      </c>
      <c r="Y92" s="404">
        <v>554511</v>
      </c>
      <c r="Z92" s="169"/>
      <c r="AA92" s="400">
        <v>455571</v>
      </c>
      <c r="AB92" s="333">
        <v>0</v>
      </c>
      <c r="AC92" s="333">
        <v>0</v>
      </c>
      <c r="AD92" s="333">
        <v>491</v>
      </c>
      <c r="AE92" s="333">
        <v>491</v>
      </c>
      <c r="AF92" s="333">
        <v>393</v>
      </c>
      <c r="AG92" s="333">
        <v>6734967</v>
      </c>
      <c r="AH92" s="169"/>
      <c r="AI92" s="400">
        <v>455571</v>
      </c>
      <c r="AJ92" s="333">
        <v>0</v>
      </c>
      <c r="AK92" s="333">
        <v>0</v>
      </c>
      <c r="AL92" s="333">
        <v>491</v>
      </c>
      <c r="AM92" s="333">
        <v>491</v>
      </c>
      <c r="AN92" s="333">
        <v>393</v>
      </c>
      <c r="AO92" s="333">
        <v>10314048</v>
      </c>
    </row>
    <row r="93" spans="1:41" ht="15.75">
      <c r="A93" s="167">
        <v>87</v>
      </c>
      <c r="B93" s="79" t="s">
        <v>105</v>
      </c>
      <c r="C93" s="452" t="s">
        <v>211</v>
      </c>
      <c r="D93" s="458">
        <v>0</v>
      </c>
      <c r="E93" s="329">
        <v>143</v>
      </c>
      <c r="F93" s="329">
        <v>0</v>
      </c>
      <c r="G93" s="329">
        <v>0</v>
      </c>
      <c r="H93" s="329">
        <v>143</v>
      </c>
      <c r="I93" s="329">
        <v>0</v>
      </c>
      <c r="J93" s="329">
        <v>200</v>
      </c>
      <c r="K93" s="333">
        <v>200</v>
      </c>
      <c r="L93" s="333"/>
      <c r="M93" s="165"/>
      <c r="N93" s="398" t="s">
        <v>211</v>
      </c>
      <c r="O93" s="329">
        <v>0</v>
      </c>
      <c r="P93" s="329">
        <v>0</v>
      </c>
      <c r="Q93" s="329">
        <v>143</v>
      </c>
      <c r="R93" s="333">
        <v>143</v>
      </c>
      <c r="S93" s="333">
        <v>4266999</v>
      </c>
      <c r="T93" s="335">
        <v>1.75</v>
      </c>
      <c r="U93" s="165">
        <f>VLOOKUP(N93,'[2]154'!$C$9:$T$554,18,0)</f>
        <v>143</v>
      </c>
      <c r="V93" s="398" t="s">
        <v>211</v>
      </c>
      <c r="W93" s="406">
        <v>200</v>
      </c>
      <c r="X93" s="405">
        <v>37395.205000000002</v>
      </c>
      <c r="Y93" s="406">
        <v>7479041</v>
      </c>
      <c r="Z93" s="3"/>
      <c r="AA93" s="398" t="s">
        <v>211</v>
      </c>
      <c r="AB93" s="329">
        <v>0</v>
      </c>
      <c r="AC93" s="329">
        <v>0</v>
      </c>
      <c r="AD93" s="329">
        <v>143</v>
      </c>
      <c r="AE93" s="329">
        <v>143</v>
      </c>
      <c r="AF93" s="329">
        <v>114</v>
      </c>
      <c r="AG93" s="329">
        <v>1734615</v>
      </c>
      <c r="AH93" s="3"/>
      <c r="AI93" s="398" t="s">
        <v>211</v>
      </c>
      <c r="AJ93" s="329">
        <v>0</v>
      </c>
      <c r="AK93" s="329">
        <v>0</v>
      </c>
      <c r="AL93" s="329">
        <v>143</v>
      </c>
      <c r="AM93" s="329">
        <v>143</v>
      </c>
      <c r="AN93" s="329">
        <v>114</v>
      </c>
      <c r="AO93" s="329">
        <v>2532384</v>
      </c>
    </row>
    <row r="94" spans="1:41" ht="15.75">
      <c r="A94" s="167">
        <v>88</v>
      </c>
      <c r="B94" s="79" t="s">
        <v>170</v>
      </c>
      <c r="C94" s="452" t="s">
        <v>212</v>
      </c>
      <c r="D94" s="458">
        <v>0</v>
      </c>
      <c r="E94" s="329">
        <v>36</v>
      </c>
      <c r="F94" s="329">
        <v>0</v>
      </c>
      <c r="G94" s="329">
        <v>0</v>
      </c>
      <c r="H94" s="329">
        <v>36</v>
      </c>
      <c r="I94" s="329">
        <v>0</v>
      </c>
      <c r="J94" s="329">
        <v>0</v>
      </c>
      <c r="K94" s="333">
        <v>0</v>
      </c>
      <c r="L94" s="333"/>
      <c r="M94" s="208"/>
      <c r="N94" s="398" t="s">
        <v>212</v>
      </c>
      <c r="O94" s="329">
        <v>0</v>
      </c>
      <c r="P94" s="329">
        <v>0</v>
      </c>
      <c r="Q94" s="329">
        <v>36</v>
      </c>
      <c r="R94" s="333">
        <v>36</v>
      </c>
      <c r="S94" s="333">
        <v>558053</v>
      </c>
      <c r="T94" s="3">
        <v>0.9</v>
      </c>
      <c r="U94" s="165">
        <f>VLOOKUP(N94,'[2]154'!$C$9:$T$554,18,0)</f>
        <v>36</v>
      </c>
      <c r="V94" s="398" t="s">
        <v>212</v>
      </c>
      <c r="W94" s="406">
        <v>0</v>
      </c>
      <c r="X94" s="405">
        <v>0</v>
      </c>
      <c r="Y94" s="406">
        <v>0</v>
      </c>
      <c r="Z94" s="3"/>
      <c r="AA94" s="398" t="s">
        <v>212</v>
      </c>
      <c r="AB94" s="329">
        <v>0</v>
      </c>
      <c r="AC94" s="329">
        <v>0</v>
      </c>
      <c r="AD94" s="329">
        <v>36</v>
      </c>
      <c r="AE94" s="329">
        <v>36</v>
      </c>
      <c r="AF94" s="329">
        <v>29</v>
      </c>
      <c r="AG94" s="329">
        <v>226859</v>
      </c>
      <c r="AH94" s="3"/>
      <c r="AI94" s="398" t="s">
        <v>212</v>
      </c>
      <c r="AJ94" s="329">
        <v>0</v>
      </c>
      <c r="AK94" s="329">
        <v>0</v>
      </c>
      <c r="AL94" s="329">
        <v>36</v>
      </c>
      <c r="AM94" s="329">
        <v>36</v>
      </c>
      <c r="AN94" s="329">
        <v>29</v>
      </c>
      <c r="AO94" s="329">
        <v>331194</v>
      </c>
    </row>
    <row r="95" spans="1:41" s="211" customFormat="1" ht="15.75">
      <c r="A95" s="167">
        <v>89</v>
      </c>
      <c r="B95" s="79" t="s">
        <v>101</v>
      </c>
      <c r="C95" s="452">
        <v>100007764</v>
      </c>
      <c r="D95" s="460">
        <v>57594</v>
      </c>
      <c r="E95" s="333">
        <v>1283</v>
      </c>
      <c r="F95" s="333">
        <v>0</v>
      </c>
      <c r="G95" s="333">
        <v>32</v>
      </c>
      <c r="H95" s="333">
        <v>1251</v>
      </c>
      <c r="I95" s="333">
        <v>0</v>
      </c>
      <c r="J95" s="333">
        <v>0</v>
      </c>
      <c r="K95" s="333">
        <v>0</v>
      </c>
      <c r="L95" s="333"/>
      <c r="M95" s="165"/>
      <c r="N95" s="400">
        <v>100007764</v>
      </c>
      <c r="O95" s="333">
        <v>0</v>
      </c>
      <c r="P95" s="333">
        <v>32</v>
      </c>
      <c r="Q95" s="333">
        <v>1251</v>
      </c>
      <c r="R95" s="333">
        <v>1283</v>
      </c>
      <c r="S95" s="333">
        <v>60283573</v>
      </c>
      <c r="T95" s="169">
        <v>0.35</v>
      </c>
      <c r="U95" s="165">
        <f>VLOOKUP(N95,'[2]154'!$C$9:$T$554,18,0)</f>
        <v>1283</v>
      </c>
      <c r="V95" s="400">
        <v>100007764</v>
      </c>
      <c r="W95" s="408">
        <v>0</v>
      </c>
      <c r="X95" s="408">
        <v>0</v>
      </c>
      <c r="Y95" s="408">
        <v>0</v>
      </c>
      <c r="Z95" s="169"/>
      <c r="AA95" s="400">
        <v>100007764</v>
      </c>
      <c r="AB95" s="333">
        <v>0</v>
      </c>
      <c r="AC95" s="333">
        <v>32</v>
      </c>
      <c r="AD95" s="333">
        <v>1251</v>
      </c>
      <c r="AE95" s="333">
        <v>1283</v>
      </c>
      <c r="AF95" s="333">
        <v>1017</v>
      </c>
      <c r="AG95" s="333">
        <v>25313353</v>
      </c>
      <c r="AH95" s="169"/>
      <c r="AI95" s="400">
        <v>100007764</v>
      </c>
      <c r="AJ95" s="333">
        <v>0</v>
      </c>
      <c r="AK95" s="333">
        <v>32</v>
      </c>
      <c r="AL95" s="333">
        <v>1251</v>
      </c>
      <c r="AM95" s="333">
        <v>1283</v>
      </c>
      <c r="AN95" s="333">
        <v>1017</v>
      </c>
      <c r="AO95" s="333">
        <v>34970220</v>
      </c>
    </row>
    <row r="96" spans="1:41" s="211" customFormat="1" ht="15.75">
      <c r="A96" s="167">
        <v>90</v>
      </c>
      <c r="B96" s="79" t="s">
        <v>101</v>
      </c>
      <c r="C96" s="452">
        <v>100007863</v>
      </c>
      <c r="D96" s="460">
        <v>0</v>
      </c>
      <c r="E96" s="333">
        <v>43</v>
      </c>
      <c r="F96" s="333">
        <v>0</v>
      </c>
      <c r="G96" s="333">
        <v>0</v>
      </c>
      <c r="H96" s="333">
        <v>43</v>
      </c>
      <c r="I96" s="333">
        <v>0</v>
      </c>
      <c r="J96" s="333">
        <v>0</v>
      </c>
      <c r="K96" s="333">
        <v>0</v>
      </c>
      <c r="L96" s="333"/>
      <c r="M96" s="208"/>
      <c r="N96" s="400">
        <v>100007863</v>
      </c>
      <c r="O96" s="333">
        <v>0</v>
      </c>
      <c r="P96" s="333">
        <v>0</v>
      </c>
      <c r="Q96" s="333">
        <v>43</v>
      </c>
      <c r="R96" s="333">
        <v>43</v>
      </c>
      <c r="S96" s="333">
        <v>3634829</v>
      </c>
      <c r="T96" s="169">
        <v>7</v>
      </c>
      <c r="U96" s="165">
        <f>VLOOKUP(N96,'[2]154'!$C$9:$T$554,18,0)</f>
        <v>43</v>
      </c>
      <c r="V96" s="400">
        <v>100007863</v>
      </c>
      <c r="W96" s="404">
        <v>0</v>
      </c>
      <c r="X96" s="405">
        <v>0</v>
      </c>
      <c r="Y96" s="404">
        <v>0</v>
      </c>
      <c r="Z96" s="169"/>
      <c r="AA96" s="400">
        <v>100007863</v>
      </c>
      <c r="AB96" s="333">
        <v>0</v>
      </c>
      <c r="AC96" s="333">
        <v>0</v>
      </c>
      <c r="AD96" s="333">
        <v>43</v>
      </c>
      <c r="AE96" s="333">
        <v>43</v>
      </c>
      <c r="AF96" s="333">
        <v>34</v>
      </c>
      <c r="AG96" s="333">
        <v>1477626</v>
      </c>
      <c r="AH96" s="169"/>
      <c r="AI96" s="400">
        <v>100007863</v>
      </c>
      <c r="AJ96" s="333">
        <v>0</v>
      </c>
      <c r="AK96" s="333">
        <v>0</v>
      </c>
      <c r="AL96" s="333">
        <v>43</v>
      </c>
      <c r="AM96" s="333">
        <v>43</v>
      </c>
      <c r="AN96" s="333">
        <v>34</v>
      </c>
      <c r="AO96" s="333">
        <v>2157203</v>
      </c>
    </row>
    <row r="97" spans="1:41" s="211" customFormat="1" ht="15.75">
      <c r="A97" s="167">
        <v>91</v>
      </c>
      <c r="B97" s="79" t="s">
        <v>101</v>
      </c>
      <c r="C97" s="452">
        <v>100009688</v>
      </c>
      <c r="D97" s="460">
        <v>0</v>
      </c>
      <c r="E97" s="333">
        <v>48</v>
      </c>
      <c r="F97" s="333">
        <v>0</v>
      </c>
      <c r="G97" s="333">
        <v>0</v>
      </c>
      <c r="H97" s="333">
        <v>48</v>
      </c>
      <c r="I97" s="333">
        <v>0</v>
      </c>
      <c r="J97" s="333">
        <v>0</v>
      </c>
      <c r="K97" s="333">
        <v>0</v>
      </c>
      <c r="L97" s="333"/>
      <c r="M97" s="165"/>
      <c r="N97" s="400">
        <v>100009688</v>
      </c>
      <c r="O97" s="333">
        <v>0</v>
      </c>
      <c r="P97" s="333">
        <v>0</v>
      </c>
      <c r="Q97" s="333">
        <v>48</v>
      </c>
      <c r="R97" s="333">
        <v>48</v>
      </c>
      <c r="S97" s="333">
        <v>2599972</v>
      </c>
      <c r="T97" s="169">
        <v>0.36</v>
      </c>
      <c r="U97" s="165">
        <f>VLOOKUP(N97,'[2]154'!$C$9:$T$554,18,0)</f>
        <v>48</v>
      </c>
      <c r="V97" s="400">
        <v>100009688</v>
      </c>
      <c r="W97" s="404">
        <v>0</v>
      </c>
      <c r="X97" s="405">
        <v>0</v>
      </c>
      <c r="Y97" s="404">
        <v>0</v>
      </c>
      <c r="Z97" s="169"/>
      <c r="AA97" s="400">
        <v>100009688</v>
      </c>
      <c r="AB97" s="333">
        <v>0</v>
      </c>
      <c r="AC97" s="333">
        <v>0</v>
      </c>
      <c r="AD97" s="333">
        <v>48</v>
      </c>
      <c r="AE97" s="333">
        <v>48</v>
      </c>
      <c r="AF97" s="333">
        <v>38</v>
      </c>
      <c r="AG97" s="333">
        <v>1056937</v>
      </c>
      <c r="AH97" s="169"/>
      <c r="AI97" s="400">
        <v>100009688</v>
      </c>
      <c r="AJ97" s="333">
        <v>0</v>
      </c>
      <c r="AK97" s="333">
        <v>0</v>
      </c>
      <c r="AL97" s="333">
        <v>48</v>
      </c>
      <c r="AM97" s="333">
        <v>48</v>
      </c>
      <c r="AN97" s="333">
        <v>38</v>
      </c>
      <c r="AO97" s="333">
        <v>1543035</v>
      </c>
    </row>
    <row r="98" spans="1:41" ht="15.75">
      <c r="A98" s="167">
        <v>92</v>
      </c>
      <c r="B98" s="79" t="s">
        <v>101</v>
      </c>
      <c r="C98" s="452">
        <v>100012436</v>
      </c>
      <c r="D98" s="458">
        <v>0</v>
      </c>
      <c r="E98" s="329">
        <v>88</v>
      </c>
      <c r="F98" s="329">
        <v>0</v>
      </c>
      <c r="G98" s="329">
        <v>0</v>
      </c>
      <c r="H98" s="329">
        <v>88</v>
      </c>
      <c r="I98" s="329">
        <v>0</v>
      </c>
      <c r="J98" s="329">
        <v>0</v>
      </c>
      <c r="K98" s="333">
        <v>0</v>
      </c>
      <c r="L98" s="333"/>
      <c r="M98" s="165"/>
      <c r="N98" s="401">
        <v>100012436</v>
      </c>
      <c r="O98" s="329">
        <v>0</v>
      </c>
      <c r="P98" s="329">
        <v>0</v>
      </c>
      <c r="Q98" s="329">
        <v>88</v>
      </c>
      <c r="R98" s="333">
        <v>88</v>
      </c>
      <c r="S98" s="333">
        <v>4789422</v>
      </c>
      <c r="T98" s="3">
        <v>3.2</v>
      </c>
      <c r="U98" s="165">
        <f>VLOOKUP(N98,'[2]154'!$C$9:$T$554,18,0)</f>
        <v>88</v>
      </c>
      <c r="V98" s="401">
        <v>100012436</v>
      </c>
      <c r="W98" s="406">
        <v>0</v>
      </c>
      <c r="X98" s="405">
        <v>0</v>
      </c>
      <c r="Y98" s="406">
        <v>0</v>
      </c>
      <c r="Z98" s="3"/>
      <c r="AA98" s="401">
        <v>100012436</v>
      </c>
      <c r="AB98" s="329">
        <v>0</v>
      </c>
      <c r="AC98" s="329">
        <v>0</v>
      </c>
      <c r="AD98" s="329">
        <v>88</v>
      </c>
      <c r="AE98" s="329">
        <v>88</v>
      </c>
      <c r="AF98" s="329">
        <v>70</v>
      </c>
      <c r="AG98" s="329">
        <v>1946990</v>
      </c>
      <c r="AH98" s="3"/>
      <c r="AI98" s="401">
        <v>100012436</v>
      </c>
      <c r="AJ98" s="329">
        <v>0</v>
      </c>
      <c r="AK98" s="329">
        <v>0</v>
      </c>
      <c r="AL98" s="329">
        <v>88</v>
      </c>
      <c r="AM98" s="329">
        <v>88</v>
      </c>
      <c r="AN98" s="329">
        <v>70</v>
      </c>
      <c r="AO98" s="329">
        <v>2842432</v>
      </c>
    </row>
    <row r="99" spans="1:41" s="211" customFormat="1" ht="15.75">
      <c r="A99" s="167">
        <v>93</v>
      </c>
      <c r="B99" s="79" t="s">
        <v>101</v>
      </c>
      <c r="C99" s="452">
        <v>100012476</v>
      </c>
      <c r="D99" s="460">
        <v>0</v>
      </c>
      <c r="E99" s="333">
        <v>168</v>
      </c>
      <c r="F99" s="333">
        <v>0</v>
      </c>
      <c r="G99" s="333">
        <v>0</v>
      </c>
      <c r="H99" s="333">
        <v>168</v>
      </c>
      <c r="I99" s="333">
        <v>0</v>
      </c>
      <c r="J99" s="333">
        <v>0</v>
      </c>
      <c r="K99" s="333">
        <v>0</v>
      </c>
      <c r="L99" s="333"/>
      <c r="M99" s="208"/>
      <c r="N99" s="400">
        <v>100012476</v>
      </c>
      <c r="O99" s="333">
        <v>0</v>
      </c>
      <c r="P99" s="333">
        <v>0</v>
      </c>
      <c r="Q99" s="333">
        <v>168</v>
      </c>
      <c r="R99" s="333">
        <v>168</v>
      </c>
      <c r="S99" s="333">
        <v>9189286</v>
      </c>
      <c r="T99" s="169">
        <v>3.2</v>
      </c>
      <c r="U99" s="165">
        <f>VLOOKUP(N99,'[2]154'!$C$9:$T$554,18,0)</f>
        <v>168</v>
      </c>
      <c r="V99" s="400">
        <v>100012476</v>
      </c>
      <c r="W99" s="404">
        <v>0</v>
      </c>
      <c r="X99" s="405">
        <v>0</v>
      </c>
      <c r="Y99" s="404">
        <v>0</v>
      </c>
      <c r="Z99" s="169"/>
      <c r="AA99" s="400">
        <v>100012476</v>
      </c>
      <c r="AB99" s="333">
        <v>0</v>
      </c>
      <c r="AC99" s="333">
        <v>0</v>
      </c>
      <c r="AD99" s="333">
        <v>168</v>
      </c>
      <c r="AE99" s="333">
        <v>168</v>
      </c>
      <c r="AF99" s="333">
        <v>134</v>
      </c>
      <c r="AG99" s="333">
        <v>3735617</v>
      </c>
      <c r="AH99" s="169"/>
      <c r="AI99" s="400">
        <v>100012476</v>
      </c>
      <c r="AJ99" s="333">
        <v>0</v>
      </c>
      <c r="AK99" s="333">
        <v>0</v>
      </c>
      <c r="AL99" s="333">
        <v>168</v>
      </c>
      <c r="AM99" s="333">
        <v>168</v>
      </c>
      <c r="AN99" s="333">
        <v>134</v>
      </c>
      <c r="AO99" s="333">
        <v>5453669</v>
      </c>
    </row>
    <row r="100" spans="1:41" ht="15.75">
      <c r="A100" s="167">
        <v>94</v>
      </c>
      <c r="B100" s="79" t="s">
        <v>101</v>
      </c>
      <c r="C100" s="452">
        <v>100013564</v>
      </c>
      <c r="D100" s="458">
        <v>0</v>
      </c>
      <c r="E100" s="329">
        <v>198</v>
      </c>
      <c r="F100" s="329">
        <v>0</v>
      </c>
      <c r="G100" s="329">
        <v>0</v>
      </c>
      <c r="H100" s="329">
        <v>198</v>
      </c>
      <c r="I100" s="329">
        <v>0</v>
      </c>
      <c r="J100" s="329">
        <v>0</v>
      </c>
      <c r="K100" s="333">
        <v>0</v>
      </c>
      <c r="L100" s="333"/>
      <c r="M100" s="165"/>
      <c r="N100" s="401">
        <v>100013564</v>
      </c>
      <c r="O100" s="329">
        <v>0</v>
      </c>
      <c r="P100" s="329">
        <v>0</v>
      </c>
      <c r="Q100" s="329">
        <v>198</v>
      </c>
      <c r="R100" s="333">
        <v>198</v>
      </c>
      <c r="S100" s="333">
        <v>11486059</v>
      </c>
      <c r="T100" s="3">
        <v>0.36</v>
      </c>
      <c r="U100" s="165">
        <f>VLOOKUP(N100,'[2]154'!$C$9:$T$554,18,0)</f>
        <v>198</v>
      </c>
      <c r="V100" s="401">
        <v>100013564</v>
      </c>
      <c r="W100" s="406">
        <v>0</v>
      </c>
      <c r="X100" s="405">
        <v>0</v>
      </c>
      <c r="Y100" s="406">
        <v>0</v>
      </c>
      <c r="Z100" s="3"/>
      <c r="AA100" s="401">
        <v>100013564</v>
      </c>
      <c r="AB100" s="329">
        <v>0</v>
      </c>
      <c r="AC100" s="329">
        <v>0</v>
      </c>
      <c r="AD100" s="329">
        <v>198</v>
      </c>
      <c r="AE100" s="329">
        <v>198</v>
      </c>
      <c r="AF100" s="329">
        <v>158</v>
      </c>
      <c r="AG100" s="329">
        <v>4669298</v>
      </c>
      <c r="AH100" s="3"/>
      <c r="AI100" s="401">
        <v>100013564</v>
      </c>
      <c r="AJ100" s="329">
        <v>0</v>
      </c>
      <c r="AK100" s="329">
        <v>0</v>
      </c>
      <c r="AL100" s="329">
        <v>198</v>
      </c>
      <c r="AM100" s="329">
        <v>198</v>
      </c>
      <c r="AN100" s="329">
        <v>158</v>
      </c>
      <c r="AO100" s="329">
        <v>6816761</v>
      </c>
    </row>
    <row r="101" spans="1:41" s="211" customFormat="1" ht="15.75">
      <c r="A101" s="167">
        <v>95</v>
      </c>
      <c r="B101" s="79" t="s">
        <v>106</v>
      </c>
      <c r="C101" s="452" t="s">
        <v>213</v>
      </c>
      <c r="D101" s="460">
        <v>0</v>
      </c>
      <c r="E101" s="333">
        <v>104</v>
      </c>
      <c r="F101" s="333">
        <v>0</v>
      </c>
      <c r="G101" s="333">
        <v>0</v>
      </c>
      <c r="H101" s="333">
        <v>104</v>
      </c>
      <c r="I101" s="333">
        <v>0</v>
      </c>
      <c r="J101" s="333">
        <v>0</v>
      </c>
      <c r="K101" s="333">
        <v>0</v>
      </c>
      <c r="L101" s="333"/>
      <c r="M101" s="165"/>
      <c r="N101" s="397" t="s">
        <v>213</v>
      </c>
      <c r="O101" s="333">
        <v>0</v>
      </c>
      <c r="P101" s="333">
        <v>0</v>
      </c>
      <c r="Q101" s="333">
        <v>104</v>
      </c>
      <c r="R101" s="333">
        <v>104</v>
      </c>
      <c r="S101" s="333">
        <v>5501420</v>
      </c>
      <c r="T101" s="169">
        <v>0.36</v>
      </c>
      <c r="U101" s="165">
        <f>VLOOKUP(N101,'[2]154'!$C$9:$T$554,18,0)</f>
        <v>104</v>
      </c>
      <c r="V101" s="397" t="s">
        <v>213</v>
      </c>
      <c r="W101" s="404">
        <v>0</v>
      </c>
      <c r="X101" s="405">
        <v>0</v>
      </c>
      <c r="Y101" s="404">
        <v>0</v>
      </c>
      <c r="Z101" s="169"/>
      <c r="AA101" s="397" t="s">
        <v>213</v>
      </c>
      <c r="AB101" s="333">
        <v>0</v>
      </c>
      <c r="AC101" s="333">
        <v>0</v>
      </c>
      <c r="AD101" s="333">
        <v>104</v>
      </c>
      <c r="AE101" s="333">
        <v>104</v>
      </c>
      <c r="AF101" s="333">
        <v>83</v>
      </c>
      <c r="AG101" s="333">
        <v>2236430</v>
      </c>
      <c r="AH101" s="169"/>
      <c r="AI101" s="397" t="s">
        <v>213</v>
      </c>
      <c r="AJ101" s="333">
        <v>0</v>
      </c>
      <c r="AK101" s="333">
        <v>0</v>
      </c>
      <c r="AL101" s="333">
        <v>104</v>
      </c>
      <c r="AM101" s="333">
        <v>104</v>
      </c>
      <c r="AN101" s="333">
        <v>83</v>
      </c>
      <c r="AO101" s="333">
        <v>3264990</v>
      </c>
    </row>
    <row r="102" spans="1:41" s="211" customFormat="1" ht="15.75">
      <c r="A102" s="167">
        <v>96</v>
      </c>
      <c r="B102" s="79" t="s">
        <v>106</v>
      </c>
      <c r="C102" s="452" t="s">
        <v>214</v>
      </c>
      <c r="D102" s="460">
        <v>0</v>
      </c>
      <c r="E102" s="333">
        <v>278</v>
      </c>
      <c r="F102" s="333">
        <v>0</v>
      </c>
      <c r="G102" s="333">
        <v>0</v>
      </c>
      <c r="H102" s="333">
        <v>278</v>
      </c>
      <c r="I102" s="333">
        <v>0</v>
      </c>
      <c r="J102" s="333">
        <v>0</v>
      </c>
      <c r="K102" s="333">
        <v>0</v>
      </c>
      <c r="L102" s="333"/>
      <c r="M102" s="208"/>
      <c r="N102" s="397" t="s">
        <v>214</v>
      </c>
      <c r="O102" s="333">
        <v>0</v>
      </c>
      <c r="P102" s="333">
        <v>0</v>
      </c>
      <c r="Q102" s="333">
        <v>278</v>
      </c>
      <c r="R102" s="333">
        <v>278</v>
      </c>
      <c r="S102" s="333">
        <v>19246384</v>
      </c>
      <c r="T102" s="169">
        <v>0.35</v>
      </c>
      <c r="U102" s="165">
        <f>VLOOKUP(N102,'[2]154'!$C$9:$T$554,18,0)</f>
        <v>278</v>
      </c>
      <c r="V102" s="397" t="s">
        <v>214</v>
      </c>
      <c r="W102" s="404">
        <v>0</v>
      </c>
      <c r="X102" s="405">
        <v>0</v>
      </c>
      <c r="Y102" s="404">
        <v>0</v>
      </c>
      <c r="Z102" s="169"/>
      <c r="AA102" s="397" t="s">
        <v>214</v>
      </c>
      <c r="AB102" s="333">
        <v>0</v>
      </c>
      <c r="AC102" s="333">
        <v>0</v>
      </c>
      <c r="AD102" s="333">
        <v>278</v>
      </c>
      <c r="AE102" s="333">
        <v>278</v>
      </c>
      <c r="AF102" s="333">
        <v>222</v>
      </c>
      <c r="AG102" s="333">
        <v>7623342</v>
      </c>
      <c r="AH102" s="169"/>
      <c r="AI102" s="397" t="s">
        <v>214</v>
      </c>
      <c r="AJ102" s="333">
        <v>0</v>
      </c>
      <c r="AK102" s="333">
        <v>0</v>
      </c>
      <c r="AL102" s="333">
        <v>278</v>
      </c>
      <c r="AM102" s="333">
        <v>278</v>
      </c>
      <c r="AN102" s="333">
        <v>222</v>
      </c>
      <c r="AO102" s="333">
        <v>11623042</v>
      </c>
    </row>
    <row r="103" spans="1:41" ht="15.75">
      <c r="A103" s="167">
        <v>97</v>
      </c>
      <c r="B103" s="79" t="s">
        <v>106</v>
      </c>
      <c r="C103" s="452" t="s">
        <v>215</v>
      </c>
      <c r="D103" s="458">
        <v>0</v>
      </c>
      <c r="E103" s="329">
        <v>115</v>
      </c>
      <c r="F103" s="329">
        <v>0</v>
      </c>
      <c r="G103" s="329">
        <v>0</v>
      </c>
      <c r="H103" s="329">
        <v>115</v>
      </c>
      <c r="I103" s="329">
        <v>0</v>
      </c>
      <c r="J103" s="329">
        <v>0</v>
      </c>
      <c r="K103" s="333">
        <v>0</v>
      </c>
      <c r="L103" s="333"/>
      <c r="M103" s="165"/>
      <c r="N103" s="398" t="s">
        <v>215</v>
      </c>
      <c r="O103" s="329">
        <v>0</v>
      </c>
      <c r="P103" s="329">
        <v>0</v>
      </c>
      <c r="Q103" s="329">
        <v>115</v>
      </c>
      <c r="R103" s="333">
        <v>115</v>
      </c>
      <c r="S103" s="333">
        <v>9048587</v>
      </c>
      <c r="T103" s="3">
        <v>4.5999999999999996</v>
      </c>
      <c r="U103" s="165">
        <f>VLOOKUP(N103,'[2]154'!$C$9:$T$554,18,0)</f>
        <v>115</v>
      </c>
      <c r="V103" s="398" t="s">
        <v>215</v>
      </c>
      <c r="W103" s="406">
        <v>0</v>
      </c>
      <c r="X103" s="405">
        <v>0</v>
      </c>
      <c r="Y103" s="406">
        <v>0</v>
      </c>
      <c r="Z103" s="3"/>
      <c r="AA103" s="398" t="s">
        <v>215</v>
      </c>
      <c r="AB103" s="329">
        <v>0</v>
      </c>
      <c r="AC103" s="329">
        <v>0</v>
      </c>
      <c r="AD103" s="329">
        <v>115</v>
      </c>
      <c r="AE103" s="329">
        <v>115</v>
      </c>
      <c r="AF103" s="329">
        <v>92</v>
      </c>
      <c r="AG103" s="329">
        <v>3678420</v>
      </c>
      <c r="AH103" s="3"/>
      <c r="AI103" s="398" t="s">
        <v>215</v>
      </c>
      <c r="AJ103" s="329">
        <v>0</v>
      </c>
      <c r="AK103" s="329">
        <v>0</v>
      </c>
      <c r="AL103" s="329">
        <v>115</v>
      </c>
      <c r="AM103" s="329">
        <v>115</v>
      </c>
      <c r="AN103" s="329">
        <v>92</v>
      </c>
      <c r="AO103" s="329">
        <v>5370167</v>
      </c>
    </row>
    <row r="104" spans="1:41" s="211" customFormat="1" ht="15.75">
      <c r="A104" s="167">
        <v>98</v>
      </c>
      <c r="B104" s="79" t="s">
        <v>106</v>
      </c>
      <c r="C104" s="452" t="s">
        <v>216</v>
      </c>
      <c r="D104" s="460">
        <v>136100</v>
      </c>
      <c r="E104" s="333">
        <v>10739</v>
      </c>
      <c r="F104" s="333">
        <v>2919</v>
      </c>
      <c r="G104" s="333">
        <v>2829</v>
      </c>
      <c r="H104" s="333">
        <v>4991</v>
      </c>
      <c r="I104" s="333">
        <v>1331</v>
      </c>
      <c r="J104" s="333">
        <v>55</v>
      </c>
      <c r="K104" s="333">
        <v>1386</v>
      </c>
      <c r="L104" s="333"/>
      <c r="M104" s="165"/>
      <c r="N104" s="397" t="s">
        <v>216</v>
      </c>
      <c r="O104" s="333">
        <v>2919</v>
      </c>
      <c r="P104" s="333">
        <v>2829</v>
      </c>
      <c r="Q104" s="333">
        <v>4991</v>
      </c>
      <c r="R104" s="333">
        <v>10739</v>
      </c>
      <c r="S104" s="333">
        <v>213956562</v>
      </c>
      <c r="T104" s="169">
        <v>1.53</v>
      </c>
      <c r="U104" s="165">
        <f>VLOOKUP(N104,'[2]154'!$C$9:$T$554,18,0)</f>
        <v>5979</v>
      </c>
      <c r="V104" s="397" t="s">
        <v>216</v>
      </c>
      <c r="W104" s="404">
        <v>1386</v>
      </c>
      <c r="X104" s="405">
        <v>31150.169552669551</v>
      </c>
      <c r="Y104" s="404">
        <v>43174135</v>
      </c>
      <c r="Z104" s="169"/>
      <c r="AA104" s="397" t="s">
        <v>216</v>
      </c>
      <c r="AB104" s="333">
        <v>2919</v>
      </c>
      <c r="AC104" s="333">
        <v>2829</v>
      </c>
      <c r="AD104" s="333">
        <v>4991</v>
      </c>
      <c r="AE104" s="333">
        <v>10739</v>
      </c>
      <c r="AF104" s="333">
        <v>5991</v>
      </c>
      <c r="AG104" s="333">
        <v>74943778</v>
      </c>
      <c r="AH104" s="169"/>
      <c r="AI104" s="397" t="s">
        <v>216</v>
      </c>
      <c r="AJ104" s="333">
        <v>2919</v>
      </c>
      <c r="AK104" s="333">
        <v>2829</v>
      </c>
      <c r="AL104" s="333">
        <v>4991</v>
      </c>
      <c r="AM104" s="333">
        <v>10739</v>
      </c>
      <c r="AN104" s="333">
        <v>5991</v>
      </c>
      <c r="AO104" s="333">
        <v>139012784</v>
      </c>
    </row>
    <row r="105" spans="1:41" s="211" customFormat="1" ht="15.75">
      <c r="A105" s="167">
        <v>99</v>
      </c>
      <c r="B105" s="79" t="s">
        <v>106</v>
      </c>
      <c r="C105" s="452" t="s">
        <v>217</v>
      </c>
      <c r="D105" s="460">
        <v>0</v>
      </c>
      <c r="E105" s="333">
        <v>440</v>
      </c>
      <c r="F105" s="333">
        <v>0</v>
      </c>
      <c r="G105" s="333">
        <v>0</v>
      </c>
      <c r="H105" s="333">
        <v>440</v>
      </c>
      <c r="I105" s="333">
        <v>0</v>
      </c>
      <c r="J105" s="333">
        <v>0</v>
      </c>
      <c r="K105" s="333">
        <v>0</v>
      </c>
      <c r="L105" s="333"/>
      <c r="M105" s="208"/>
      <c r="N105" s="397" t="s">
        <v>217</v>
      </c>
      <c r="O105" s="333">
        <v>0</v>
      </c>
      <c r="P105" s="333">
        <v>0</v>
      </c>
      <c r="Q105" s="333">
        <v>440</v>
      </c>
      <c r="R105" s="333">
        <v>440</v>
      </c>
      <c r="S105" s="333">
        <v>21816366</v>
      </c>
      <c r="T105" s="169">
        <v>0.36</v>
      </c>
      <c r="U105" s="165">
        <f>VLOOKUP(N105,'[2]154'!$C$9:$T$554,18,0)</f>
        <v>440</v>
      </c>
      <c r="V105" s="397" t="s">
        <v>217</v>
      </c>
      <c r="W105" s="404">
        <v>0</v>
      </c>
      <c r="X105" s="405">
        <v>0</v>
      </c>
      <c r="Y105" s="404">
        <v>0</v>
      </c>
      <c r="Z105" s="169"/>
      <c r="AA105" s="397" t="s">
        <v>217</v>
      </c>
      <c r="AB105" s="333">
        <v>0</v>
      </c>
      <c r="AC105" s="333">
        <v>0</v>
      </c>
      <c r="AD105" s="333">
        <v>440</v>
      </c>
      <c r="AE105" s="333">
        <v>440</v>
      </c>
      <c r="AF105" s="333">
        <v>352</v>
      </c>
      <c r="AG105" s="333">
        <v>8868761</v>
      </c>
      <c r="AH105" s="169"/>
      <c r="AI105" s="397" t="s">
        <v>217</v>
      </c>
      <c r="AJ105" s="333">
        <v>0</v>
      </c>
      <c r="AK105" s="333">
        <v>0</v>
      </c>
      <c r="AL105" s="333">
        <v>440</v>
      </c>
      <c r="AM105" s="333">
        <v>440</v>
      </c>
      <c r="AN105" s="333">
        <v>352</v>
      </c>
      <c r="AO105" s="333">
        <v>12947605</v>
      </c>
    </row>
    <row r="106" spans="1:41" s="211" customFormat="1" ht="15.75">
      <c r="A106" s="167">
        <v>100</v>
      </c>
      <c r="B106" s="79" t="s">
        <v>106</v>
      </c>
      <c r="C106" s="452" t="s">
        <v>218</v>
      </c>
      <c r="D106" s="460">
        <v>0</v>
      </c>
      <c r="E106" s="333">
        <v>79</v>
      </c>
      <c r="F106" s="333">
        <v>0</v>
      </c>
      <c r="G106" s="333">
        <v>0</v>
      </c>
      <c r="H106" s="333">
        <v>79</v>
      </c>
      <c r="I106" s="333">
        <v>0</v>
      </c>
      <c r="J106" s="333">
        <v>0</v>
      </c>
      <c r="K106" s="333">
        <v>0</v>
      </c>
      <c r="L106" s="333"/>
      <c r="M106" s="165"/>
      <c r="N106" s="397" t="s">
        <v>218</v>
      </c>
      <c r="O106" s="333">
        <v>0</v>
      </c>
      <c r="P106" s="333">
        <v>0</v>
      </c>
      <c r="Q106" s="333">
        <v>79</v>
      </c>
      <c r="R106" s="333">
        <v>79</v>
      </c>
      <c r="S106" s="333">
        <v>3223237</v>
      </c>
      <c r="T106" s="169">
        <v>0.35</v>
      </c>
      <c r="U106" s="165">
        <f>VLOOKUP(N106,'[2]154'!$C$9:$T$554,18,0)</f>
        <v>79</v>
      </c>
      <c r="V106" s="397" t="s">
        <v>218</v>
      </c>
      <c r="W106" s="404">
        <v>0</v>
      </c>
      <c r="X106" s="405">
        <v>0</v>
      </c>
      <c r="Y106" s="404">
        <v>0</v>
      </c>
      <c r="Z106" s="169"/>
      <c r="AA106" s="397" t="s">
        <v>218</v>
      </c>
      <c r="AB106" s="333">
        <v>0</v>
      </c>
      <c r="AC106" s="333">
        <v>0</v>
      </c>
      <c r="AD106" s="333">
        <v>79</v>
      </c>
      <c r="AE106" s="333">
        <v>79</v>
      </c>
      <c r="AF106" s="333">
        <v>63</v>
      </c>
      <c r="AG106" s="333">
        <v>1310306</v>
      </c>
      <c r="AH106" s="169"/>
      <c r="AI106" s="397" t="s">
        <v>218</v>
      </c>
      <c r="AJ106" s="333">
        <v>0</v>
      </c>
      <c r="AK106" s="333">
        <v>0</v>
      </c>
      <c r="AL106" s="333">
        <v>79</v>
      </c>
      <c r="AM106" s="333">
        <v>79</v>
      </c>
      <c r="AN106" s="333">
        <v>63</v>
      </c>
      <c r="AO106" s="333">
        <v>1912931</v>
      </c>
    </row>
    <row r="107" spans="1:41" s="211" customFormat="1" ht="15.75">
      <c r="A107" s="167">
        <v>101</v>
      </c>
      <c r="B107" s="79" t="s">
        <v>106</v>
      </c>
      <c r="C107" s="452" t="s">
        <v>219</v>
      </c>
      <c r="D107" s="460">
        <v>0</v>
      </c>
      <c r="E107" s="333">
        <v>434</v>
      </c>
      <c r="F107" s="333">
        <v>0</v>
      </c>
      <c r="G107" s="333">
        <v>0</v>
      </c>
      <c r="H107" s="333">
        <v>434</v>
      </c>
      <c r="I107" s="333">
        <v>0</v>
      </c>
      <c r="J107" s="333">
        <v>0</v>
      </c>
      <c r="K107" s="333">
        <v>0</v>
      </c>
      <c r="L107" s="333"/>
      <c r="M107" s="165"/>
      <c r="N107" s="397" t="s">
        <v>219</v>
      </c>
      <c r="O107" s="333">
        <v>0</v>
      </c>
      <c r="P107" s="333">
        <v>0</v>
      </c>
      <c r="Q107" s="333">
        <v>434</v>
      </c>
      <c r="R107" s="333">
        <v>434</v>
      </c>
      <c r="S107" s="333">
        <v>23757521</v>
      </c>
      <c r="T107" s="169">
        <v>3.1</v>
      </c>
      <c r="U107" s="165">
        <f>VLOOKUP(N107,'[2]154'!$C$9:$T$554,18,0)</f>
        <v>434</v>
      </c>
      <c r="V107" s="397" t="s">
        <v>219</v>
      </c>
      <c r="W107" s="404">
        <v>0</v>
      </c>
      <c r="X107" s="405">
        <v>0</v>
      </c>
      <c r="Y107" s="404">
        <v>0</v>
      </c>
      <c r="Z107" s="169"/>
      <c r="AA107" s="397" t="s">
        <v>219</v>
      </c>
      <c r="AB107" s="333">
        <v>0</v>
      </c>
      <c r="AC107" s="333">
        <v>0</v>
      </c>
      <c r="AD107" s="333">
        <v>434</v>
      </c>
      <c r="AE107" s="333">
        <v>434</v>
      </c>
      <c r="AF107" s="333">
        <v>347</v>
      </c>
      <c r="AG107" s="333">
        <v>9772047</v>
      </c>
      <c r="AH107" s="169"/>
      <c r="AI107" s="397" t="s">
        <v>219</v>
      </c>
      <c r="AJ107" s="333">
        <v>0</v>
      </c>
      <c r="AK107" s="333">
        <v>0</v>
      </c>
      <c r="AL107" s="333">
        <v>434</v>
      </c>
      <c r="AM107" s="333">
        <v>434</v>
      </c>
      <c r="AN107" s="333">
        <v>347</v>
      </c>
      <c r="AO107" s="333">
        <v>13985474</v>
      </c>
    </row>
    <row r="108" spans="1:41" s="211" customFormat="1" ht="15.75">
      <c r="A108" s="167">
        <v>102</v>
      </c>
      <c r="B108" s="79" t="s">
        <v>106</v>
      </c>
      <c r="C108" s="452" t="s">
        <v>220</v>
      </c>
      <c r="D108" s="460">
        <v>0</v>
      </c>
      <c r="E108" s="333">
        <v>727</v>
      </c>
      <c r="F108" s="333">
        <v>0</v>
      </c>
      <c r="G108" s="333">
        <v>0</v>
      </c>
      <c r="H108" s="333">
        <v>727</v>
      </c>
      <c r="I108" s="333">
        <v>0</v>
      </c>
      <c r="J108" s="333">
        <v>0</v>
      </c>
      <c r="K108" s="333">
        <v>0</v>
      </c>
      <c r="L108" s="333"/>
      <c r="M108" s="208"/>
      <c r="N108" s="397" t="s">
        <v>220</v>
      </c>
      <c r="O108" s="333">
        <v>0</v>
      </c>
      <c r="P108" s="333">
        <v>0</v>
      </c>
      <c r="Q108" s="333">
        <v>727</v>
      </c>
      <c r="R108" s="333">
        <v>727</v>
      </c>
      <c r="S108" s="333">
        <v>31403390</v>
      </c>
      <c r="T108" s="169">
        <v>0.36</v>
      </c>
      <c r="U108" s="165">
        <f>VLOOKUP(N108,'[2]154'!$C$9:$T$554,18,0)</f>
        <v>727</v>
      </c>
      <c r="V108" s="397" t="s">
        <v>220</v>
      </c>
      <c r="W108" s="404">
        <v>0</v>
      </c>
      <c r="X108" s="405">
        <v>0</v>
      </c>
      <c r="Y108" s="404">
        <v>0</v>
      </c>
      <c r="Z108" s="169"/>
      <c r="AA108" s="397" t="s">
        <v>220</v>
      </c>
      <c r="AB108" s="333">
        <v>0</v>
      </c>
      <c r="AC108" s="333">
        <v>0</v>
      </c>
      <c r="AD108" s="333">
        <v>727</v>
      </c>
      <c r="AE108" s="333">
        <v>727</v>
      </c>
      <c r="AF108" s="333">
        <v>582</v>
      </c>
      <c r="AG108" s="333">
        <v>12680520</v>
      </c>
      <c r="AH108" s="169"/>
      <c r="AI108" s="397" t="s">
        <v>220</v>
      </c>
      <c r="AJ108" s="333">
        <v>0</v>
      </c>
      <c r="AK108" s="333">
        <v>0</v>
      </c>
      <c r="AL108" s="333">
        <v>727</v>
      </c>
      <c r="AM108" s="333">
        <v>727</v>
      </c>
      <c r="AN108" s="333">
        <v>582</v>
      </c>
      <c r="AO108" s="333">
        <v>18722870</v>
      </c>
    </row>
    <row r="109" spans="1:41" s="211" customFormat="1" ht="15.75">
      <c r="A109" s="167">
        <v>103</v>
      </c>
      <c r="B109" s="79" t="s">
        <v>171</v>
      </c>
      <c r="C109" s="452" t="s">
        <v>221</v>
      </c>
      <c r="D109" s="460">
        <v>0</v>
      </c>
      <c r="E109" s="333">
        <v>614</v>
      </c>
      <c r="F109" s="333">
        <v>0</v>
      </c>
      <c r="G109" s="333">
        <v>0</v>
      </c>
      <c r="H109" s="333">
        <v>614</v>
      </c>
      <c r="I109" s="333">
        <v>0</v>
      </c>
      <c r="J109" s="333">
        <v>0</v>
      </c>
      <c r="K109" s="333">
        <v>0</v>
      </c>
      <c r="L109" s="333"/>
      <c r="M109" s="165"/>
      <c r="N109" s="397" t="s">
        <v>221</v>
      </c>
      <c r="O109" s="333">
        <v>0</v>
      </c>
      <c r="P109" s="333">
        <v>0</v>
      </c>
      <c r="Q109" s="333">
        <v>614</v>
      </c>
      <c r="R109" s="333">
        <v>614</v>
      </c>
      <c r="S109" s="333">
        <v>10498242</v>
      </c>
      <c r="T109" s="169">
        <v>0.35</v>
      </c>
      <c r="U109" s="165">
        <f>VLOOKUP(N109,'[2]154'!$C$9:$T$554,18,0)</f>
        <v>614</v>
      </c>
      <c r="V109" s="397" t="s">
        <v>221</v>
      </c>
      <c r="W109" s="404">
        <v>0</v>
      </c>
      <c r="X109" s="405">
        <v>0</v>
      </c>
      <c r="Y109" s="404">
        <v>0</v>
      </c>
      <c r="Z109" s="169"/>
      <c r="AA109" s="397" t="s">
        <v>221</v>
      </c>
      <c r="AB109" s="333">
        <v>0</v>
      </c>
      <c r="AC109" s="333">
        <v>0</v>
      </c>
      <c r="AD109" s="333">
        <v>614</v>
      </c>
      <c r="AE109" s="333">
        <v>614</v>
      </c>
      <c r="AF109" s="333">
        <v>491</v>
      </c>
      <c r="AG109" s="333">
        <v>4267732</v>
      </c>
      <c r="AH109" s="169"/>
      <c r="AI109" s="397" t="s">
        <v>221</v>
      </c>
      <c r="AJ109" s="333">
        <v>0</v>
      </c>
      <c r="AK109" s="333">
        <v>0</v>
      </c>
      <c r="AL109" s="333">
        <v>614</v>
      </c>
      <c r="AM109" s="333">
        <v>614</v>
      </c>
      <c r="AN109" s="333">
        <v>491</v>
      </c>
      <c r="AO109" s="333">
        <v>6230510</v>
      </c>
    </row>
    <row r="110" spans="1:41" s="211" customFormat="1" ht="15.75">
      <c r="A110" s="167">
        <v>104</v>
      </c>
      <c r="B110" s="79" t="s">
        <v>171</v>
      </c>
      <c r="C110" s="452" t="s">
        <v>222</v>
      </c>
      <c r="D110" s="460">
        <v>0</v>
      </c>
      <c r="E110" s="333">
        <v>58</v>
      </c>
      <c r="F110" s="333">
        <v>0</v>
      </c>
      <c r="G110" s="333">
        <v>0</v>
      </c>
      <c r="H110" s="333">
        <v>58</v>
      </c>
      <c r="I110" s="333">
        <v>0</v>
      </c>
      <c r="J110" s="333">
        <v>0</v>
      </c>
      <c r="K110" s="333">
        <v>0</v>
      </c>
      <c r="L110" s="333"/>
      <c r="M110" s="165"/>
      <c r="N110" s="397" t="s">
        <v>222</v>
      </c>
      <c r="O110" s="333">
        <v>0</v>
      </c>
      <c r="P110" s="333">
        <v>0</v>
      </c>
      <c r="Q110" s="333">
        <v>58</v>
      </c>
      <c r="R110" s="333">
        <v>58</v>
      </c>
      <c r="S110" s="333">
        <v>307423</v>
      </c>
      <c r="T110" s="169">
        <v>0.35</v>
      </c>
      <c r="U110" s="165">
        <f>VLOOKUP(N110,'[2]154'!$C$9:$T$554,18,0)</f>
        <v>58</v>
      </c>
      <c r="V110" s="397" t="s">
        <v>222</v>
      </c>
      <c r="W110" s="404">
        <v>0</v>
      </c>
      <c r="X110" s="405">
        <v>0</v>
      </c>
      <c r="Y110" s="404">
        <v>0</v>
      </c>
      <c r="Z110" s="169"/>
      <c r="AA110" s="397" t="s">
        <v>222</v>
      </c>
      <c r="AB110" s="333">
        <v>0</v>
      </c>
      <c r="AC110" s="333">
        <v>0</v>
      </c>
      <c r="AD110" s="333">
        <v>58</v>
      </c>
      <c r="AE110" s="333">
        <v>58</v>
      </c>
      <c r="AF110" s="333">
        <v>46</v>
      </c>
      <c r="AG110" s="333">
        <v>124973</v>
      </c>
      <c r="AH110" s="169"/>
      <c r="AI110" s="397" t="s">
        <v>222</v>
      </c>
      <c r="AJ110" s="333">
        <v>0</v>
      </c>
      <c r="AK110" s="333">
        <v>0</v>
      </c>
      <c r="AL110" s="333">
        <v>58</v>
      </c>
      <c r="AM110" s="333">
        <v>58</v>
      </c>
      <c r="AN110" s="333">
        <v>46</v>
      </c>
      <c r="AO110" s="333">
        <v>182450</v>
      </c>
    </row>
    <row r="111" spans="1:41" s="211" customFormat="1" ht="15.75">
      <c r="A111" s="167">
        <v>105</v>
      </c>
      <c r="B111" s="79" t="s">
        <v>107</v>
      </c>
      <c r="C111" s="452" t="s">
        <v>599</v>
      </c>
      <c r="D111" s="460">
        <v>0</v>
      </c>
      <c r="E111" s="333">
        <v>6</v>
      </c>
      <c r="F111" s="333">
        <v>0</v>
      </c>
      <c r="G111" s="333">
        <v>0</v>
      </c>
      <c r="H111" s="333">
        <v>6</v>
      </c>
      <c r="I111" s="333">
        <v>0</v>
      </c>
      <c r="J111" s="333">
        <v>0</v>
      </c>
      <c r="K111" s="333">
        <v>0</v>
      </c>
      <c r="L111" s="333"/>
      <c r="M111" s="208"/>
      <c r="N111" s="397" t="s">
        <v>599</v>
      </c>
      <c r="O111" s="333">
        <v>0</v>
      </c>
      <c r="P111" s="333">
        <v>0</v>
      </c>
      <c r="Q111" s="333">
        <v>6</v>
      </c>
      <c r="R111" s="333">
        <v>6</v>
      </c>
      <c r="S111" s="333">
        <v>341572</v>
      </c>
      <c r="T111" s="169">
        <v>0.35</v>
      </c>
      <c r="U111" s="165">
        <f>VLOOKUP(N111,'[2]154'!$C$9:$T$554,18,0)</f>
        <v>15</v>
      </c>
      <c r="V111" s="397" t="s">
        <v>599</v>
      </c>
      <c r="W111" s="404">
        <v>0</v>
      </c>
      <c r="X111" s="405">
        <v>0</v>
      </c>
      <c r="Y111" s="404">
        <v>0</v>
      </c>
      <c r="Z111" s="169"/>
      <c r="AA111" s="397" t="s">
        <v>599</v>
      </c>
      <c r="AB111" s="333">
        <v>0</v>
      </c>
      <c r="AC111" s="333">
        <v>0</v>
      </c>
      <c r="AD111" s="333">
        <v>6</v>
      </c>
      <c r="AE111" s="333">
        <v>6</v>
      </c>
      <c r="AF111" s="333">
        <v>5</v>
      </c>
      <c r="AG111" s="333">
        <v>135402</v>
      </c>
      <c r="AH111" s="169"/>
      <c r="AI111" s="397" t="s">
        <v>599</v>
      </c>
      <c r="AJ111" s="333">
        <v>0</v>
      </c>
      <c r="AK111" s="333">
        <v>0</v>
      </c>
      <c r="AL111" s="333">
        <v>6</v>
      </c>
      <c r="AM111" s="333">
        <v>6</v>
      </c>
      <c r="AN111" s="333">
        <v>5</v>
      </c>
      <c r="AO111" s="333">
        <v>206170</v>
      </c>
    </row>
    <row r="112" spans="1:41" s="211" customFormat="1" ht="15.75">
      <c r="A112" s="167">
        <v>106</v>
      </c>
      <c r="B112" s="79" t="s">
        <v>107</v>
      </c>
      <c r="C112" s="452" t="s">
        <v>224</v>
      </c>
      <c r="D112" s="460">
        <v>0</v>
      </c>
      <c r="E112" s="333">
        <v>144</v>
      </c>
      <c r="F112" s="333">
        <v>0</v>
      </c>
      <c r="G112" s="333">
        <v>0</v>
      </c>
      <c r="H112" s="333">
        <v>144</v>
      </c>
      <c r="I112" s="333">
        <v>0</v>
      </c>
      <c r="J112" s="333">
        <v>0</v>
      </c>
      <c r="K112" s="333">
        <v>0</v>
      </c>
      <c r="L112" s="333"/>
      <c r="M112" s="165"/>
      <c r="N112" s="397" t="s">
        <v>224</v>
      </c>
      <c r="O112" s="333">
        <v>0</v>
      </c>
      <c r="P112" s="333">
        <v>0</v>
      </c>
      <c r="Q112" s="333">
        <v>144</v>
      </c>
      <c r="R112" s="333">
        <v>144</v>
      </c>
      <c r="S112" s="333">
        <v>4917256</v>
      </c>
      <c r="T112" s="169">
        <v>0.35</v>
      </c>
      <c r="U112" s="165">
        <f>VLOOKUP(N112,'[2]154'!$C$9:$T$554,18,0)</f>
        <v>144</v>
      </c>
      <c r="V112" s="397" t="s">
        <v>224</v>
      </c>
      <c r="W112" s="404">
        <v>0</v>
      </c>
      <c r="X112" s="405">
        <v>0</v>
      </c>
      <c r="Y112" s="404">
        <v>0</v>
      </c>
      <c r="Z112" s="169"/>
      <c r="AA112" s="397" t="s">
        <v>224</v>
      </c>
      <c r="AB112" s="333">
        <v>0</v>
      </c>
      <c r="AC112" s="333">
        <v>0</v>
      </c>
      <c r="AD112" s="333">
        <v>144</v>
      </c>
      <c r="AE112" s="333">
        <v>144</v>
      </c>
      <c r="AF112" s="333">
        <v>115</v>
      </c>
      <c r="AG112" s="333">
        <v>1998957</v>
      </c>
      <c r="AH112" s="169"/>
      <c r="AI112" s="397" t="s">
        <v>224</v>
      </c>
      <c r="AJ112" s="333">
        <v>0</v>
      </c>
      <c r="AK112" s="333">
        <v>0</v>
      </c>
      <c r="AL112" s="333">
        <v>144</v>
      </c>
      <c r="AM112" s="333">
        <v>144</v>
      </c>
      <c r="AN112" s="333">
        <v>115</v>
      </c>
      <c r="AO112" s="333">
        <v>2918299</v>
      </c>
    </row>
    <row r="113" spans="1:41" ht="15.75">
      <c r="A113" s="167">
        <v>107</v>
      </c>
      <c r="B113" s="79" t="s">
        <v>107</v>
      </c>
      <c r="C113" s="452" t="s">
        <v>225</v>
      </c>
      <c r="D113" s="458">
        <v>0</v>
      </c>
      <c r="E113" s="329">
        <v>252</v>
      </c>
      <c r="F113" s="329">
        <v>0</v>
      </c>
      <c r="G113" s="329">
        <v>0</v>
      </c>
      <c r="H113" s="329">
        <v>252</v>
      </c>
      <c r="I113" s="329">
        <v>0</v>
      </c>
      <c r="J113" s="329">
        <v>0</v>
      </c>
      <c r="K113" s="333">
        <v>0</v>
      </c>
      <c r="L113" s="333"/>
      <c r="M113" s="165"/>
      <c r="N113" s="398" t="s">
        <v>225</v>
      </c>
      <c r="O113" s="329">
        <v>0</v>
      </c>
      <c r="P113" s="329">
        <v>0</v>
      </c>
      <c r="Q113" s="329">
        <v>252</v>
      </c>
      <c r="R113" s="333">
        <v>252</v>
      </c>
      <c r="S113" s="333">
        <v>10149725</v>
      </c>
      <c r="T113" s="3">
        <v>0.36</v>
      </c>
      <c r="U113" s="165">
        <f>VLOOKUP(N113,'[2]154'!$C$9:$T$554,18,0)</f>
        <v>252</v>
      </c>
      <c r="V113" s="398" t="s">
        <v>225</v>
      </c>
      <c r="W113" s="406">
        <v>0</v>
      </c>
      <c r="X113" s="405">
        <v>0</v>
      </c>
      <c r="Y113" s="406">
        <v>0</v>
      </c>
      <c r="Z113" s="3"/>
      <c r="AA113" s="398" t="s">
        <v>225</v>
      </c>
      <c r="AB113" s="329">
        <v>0</v>
      </c>
      <c r="AC113" s="329">
        <v>0</v>
      </c>
      <c r="AD113" s="329">
        <v>252</v>
      </c>
      <c r="AE113" s="329">
        <v>252</v>
      </c>
      <c r="AF113" s="329">
        <v>202</v>
      </c>
      <c r="AG113" s="329">
        <v>4126053</v>
      </c>
      <c r="AH113" s="3"/>
      <c r="AI113" s="398" t="s">
        <v>225</v>
      </c>
      <c r="AJ113" s="329">
        <v>0</v>
      </c>
      <c r="AK113" s="329">
        <v>0</v>
      </c>
      <c r="AL113" s="329">
        <v>252</v>
      </c>
      <c r="AM113" s="329">
        <v>252</v>
      </c>
      <c r="AN113" s="329">
        <v>202</v>
      </c>
      <c r="AO113" s="329">
        <v>6023672</v>
      </c>
    </row>
    <row r="114" spans="1:41" s="211" customFormat="1" ht="15.75">
      <c r="A114" s="167">
        <v>108</v>
      </c>
      <c r="B114" s="79" t="s">
        <v>107</v>
      </c>
      <c r="C114" s="452" t="s">
        <v>226</v>
      </c>
      <c r="D114" s="460">
        <v>0</v>
      </c>
      <c r="E114" s="333">
        <v>70</v>
      </c>
      <c r="F114" s="333">
        <v>0</v>
      </c>
      <c r="G114" s="333">
        <v>0</v>
      </c>
      <c r="H114" s="333">
        <v>70</v>
      </c>
      <c r="I114" s="333">
        <v>0</v>
      </c>
      <c r="J114" s="333">
        <v>0</v>
      </c>
      <c r="K114" s="333">
        <v>0</v>
      </c>
      <c r="L114" s="333"/>
      <c r="M114" s="208"/>
      <c r="N114" s="397" t="s">
        <v>226</v>
      </c>
      <c r="O114" s="333">
        <v>0</v>
      </c>
      <c r="P114" s="333">
        <v>0</v>
      </c>
      <c r="Q114" s="333">
        <v>70</v>
      </c>
      <c r="R114" s="333">
        <v>70</v>
      </c>
      <c r="S114" s="333">
        <v>3891405</v>
      </c>
      <c r="T114" s="169">
        <v>0.35</v>
      </c>
      <c r="U114" s="165">
        <f>VLOOKUP(N114,'[2]154'!$C$9:$T$554,18,0)</f>
        <v>70</v>
      </c>
      <c r="V114" s="397" t="s">
        <v>226</v>
      </c>
      <c r="W114" s="404">
        <v>0</v>
      </c>
      <c r="X114" s="405">
        <v>0</v>
      </c>
      <c r="Y114" s="404">
        <v>0</v>
      </c>
      <c r="Z114" s="169"/>
      <c r="AA114" s="397" t="s">
        <v>226</v>
      </c>
      <c r="AB114" s="333">
        <v>0</v>
      </c>
      <c r="AC114" s="333">
        <v>0</v>
      </c>
      <c r="AD114" s="333">
        <v>70</v>
      </c>
      <c r="AE114" s="333">
        <v>70</v>
      </c>
      <c r="AF114" s="333">
        <v>56</v>
      </c>
      <c r="AG114" s="333">
        <v>1581929</v>
      </c>
      <c r="AH114" s="169"/>
      <c r="AI114" s="397" t="s">
        <v>226</v>
      </c>
      <c r="AJ114" s="333">
        <v>0</v>
      </c>
      <c r="AK114" s="333">
        <v>0</v>
      </c>
      <c r="AL114" s="333">
        <v>70</v>
      </c>
      <c r="AM114" s="333">
        <v>70</v>
      </c>
      <c r="AN114" s="333">
        <v>56</v>
      </c>
      <c r="AO114" s="333">
        <v>2309476</v>
      </c>
    </row>
    <row r="115" spans="1:41" s="211" customFormat="1" ht="15.75">
      <c r="A115" s="167">
        <v>109</v>
      </c>
      <c r="B115" s="79" t="s">
        <v>105</v>
      </c>
      <c r="C115" s="452">
        <v>444136</v>
      </c>
      <c r="D115" s="460">
        <v>0</v>
      </c>
      <c r="E115" s="333">
        <f>203+754</f>
        <v>957</v>
      </c>
      <c r="F115" s="333">
        <v>0</v>
      </c>
      <c r="G115" s="333">
        <v>0</v>
      </c>
      <c r="H115" s="333">
        <v>203</v>
      </c>
      <c r="I115" s="333">
        <v>0</v>
      </c>
      <c r="J115" s="333">
        <v>133</v>
      </c>
      <c r="K115" s="333">
        <v>133</v>
      </c>
      <c r="L115" s="333"/>
      <c r="M115" s="165"/>
      <c r="N115" s="397">
        <v>444136</v>
      </c>
      <c r="O115" s="333">
        <v>0</v>
      </c>
      <c r="P115" s="333">
        <v>0</v>
      </c>
      <c r="Q115" s="333">
        <v>957</v>
      </c>
      <c r="R115" s="333">
        <v>957</v>
      </c>
      <c r="S115" s="333">
        <v>8962349</v>
      </c>
      <c r="T115" s="169">
        <v>0.35</v>
      </c>
      <c r="U115" s="165">
        <f>VLOOKUP(N115,'[2]154'!$C$9:$T$554,18,0)</f>
        <v>1090</v>
      </c>
      <c r="V115" s="397">
        <v>444136</v>
      </c>
      <c r="W115" s="404">
        <v>133</v>
      </c>
      <c r="X115" s="405">
        <v>36001.172932330825</v>
      </c>
      <c r="Y115" s="404">
        <v>4788156</v>
      </c>
      <c r="Z115" s="169"/>
      <c r="AA115" s="397">
        <v>444136</v>
      </c>
      <c r="AB115" s="333">
        <v>0</v>
      </c>
      <c r="AC115" s="333">
        <v>0</v>
      </c>
      <c r="AD115" s="333">
        <v>957</v>
      </c>
      <c r="AE115" s="333">
        <v>957</v>
      </c>
      <c r="AF115" s="333">
        <v>765</v>
      </c>
      <c r="AG115" s="333">
        <v>3660257</v>
      </c>
      <c r="AH115" s="169"/>
      <c r="AI115" s="397">
        <v>444136</v>
      </c>
      <c r="AJ115" s="333">
        <v>0</v>
      </c>
      <c r="AK115" s="333">
        <v>0</v>
      </c>
      <c r="AL115" s="333">
        <v>957</v>
      </c>
      <c r="AM115" s="333">
        <v>957</v>
      </c>
      <c r="AN115" s="333">
        <v>765</v>
      </c>
      <c r="AO115" s="333">
        <v>5302092</v>
      </c>
    </row>
    <row r="116" spans="1:41" ht="15.75">
      <c r="A116" s="167">
        <v>110</v>
      </c>
      <c r="B116" s="79" t="s">
        <v>172</v>
      </c>
      <c r="C116" s="452" t="s">
        <v>228</v>
      </c>
      <c r="D116" s="458">
        <v>0</v>
      </c>
      <c r="E116" s="329">
        <v>397</v>
      </c>
      <c r="F116" s="329">
        <v>0</v>
      </c>
      <c r="G116" s="329">
        <v>0</v>
      </c>
      <c r="H116" s="329">
        <v>397</v>
      </c>
      <c r="I116" s="329">
        <v>0</v>
      </c>
      <c r="J116" s="329">
        <v>0</v>
      </c>
      <c r="K116" s="333">
        <v>0</v>
      </c>
      <c r="L116" s="333"/>
      <c r="M116" s="165"/>
      <c r="N116" s="398" t="s">
        <v>228</v>
      </c>
      <c r="O116" s="329">
        <v>0</v>
      </c>
      <c r="P116" s="329">
        <v>0</v>
      </c>
      <c r="Q116" s="329">
        <v>397</v>
      </c>
      <c r="R116" s="333">
        <v>397</v>
      </c>
      <c r="S116" s="333">
        <v>4242763</v>
      </c>
      <c r="T116" s="3">
        <v>0.6</v>
      </c>
      <c r="U116" s="165">
        <f>VLOOKUP(N116,'[2]154'!$C$9:$T$554,18,0)</f>
        <v>397</v>
      </c>
      <c r="V116" s="398" t="s">
        <v>228</v>
      </c>
      <c r="W116" s="406">
        <v>0</v>
      </c>
      <c r="X116" s="405">
        <v>0</v>
      </c>
      <c r="Y116" s="406">
        <v>0</v>
      </c>
      <c r="Z116" s="3"/>
      <c r="AA116" s="398" t="s">
        <v>228</v>
      </c>
      <c r="AB116" s="329">
        <v>0</v>
      </c>
      <c r="AC116" s="329">
        <v>0</v>
      </c>
      <c r="AD116" s="329">
        <v>397</v>
      </c>
      <c r="AE116" s="329">
        <v>397</v>
      </c>
      <c r="AF116" s="329">
        <v>318</v>
      </c>
      <c r="AG116" s="329">
        <v>1677199</v>
      </c>
      <c r="AH116" s="3"/>
      <c r="AI116" s="398" t="s">
        <v>228</v>
      </c>
      <c r="AJ116" s="329">
        <v>0</v>
      </c>
      <c r="AK116" s="329">
        <v>0</v>
      </c>
      <c r="AL116" s="329">
        <v>397</v>
      </c>
      <c r="AM116" s="329">
        <v>397</v>
      </c>
      <c r="AN116" s="329">
        <v>318</v>
      </c>
      <c r="AO116" s="329">
        <v>2565564</v>
      </c>
    </row>
    <row r="117" spans="1:41" ht="15.75">
      <c r="A117" s="167">
        <v>111</v>
      </c>
      <c r="B117" s="79" t="s">
        <v>108</v>
      </c>
      <c r="C117" s="452">
        <v>174034833</v>
      </c>
      <c r="D117" s="458">
        <v>0</v>
      </c>
      <c r="E117" s="329">
        <v>303</v>
      </c>
      <c r="F117" s="329">
        <v>0</v>
      </c>
      <c r="G117" s="329">
        <v>0</v>
      </c>
      <c r="H117" s="329">
        <v>303</v>
      </c>
      <c r="I117" s="329">
        <v>0</v>
      </c>
      <c r="J117" s="329">
        <v>0</v>
      </c>
      <c r="K117" s="333">
        <v>0</v>
      </c>
      <c r="L117" s="333"/>
      <c r="M117" s="208"/>
      <c r="N117" s="401">
        <v>174034833</v>
      </c>
      <c r="O117" s="329">
        <v>0</v>
      </c>
      <c r="P117" s="329">
        <v>0</v>
      </c>
      <c r="Q117" s="329">
        <v>303</v>
      </c>
      <c r="R117" s="333">
        <v>303</v>
      </c>
      <c r="S117" s="333">
        <v>17623045</v>
      </c>
      <c r="T117" s="3">
        <v>0.36</v>
      </c>
      <c r="U117" s="165">
        <f>VLOOKUP(N117,'[2]154'!$C$9:$T$554,18,0)</f>
        <v>303</v>
      </c>
      <c r="V117" s="401">
        <v>174034833</v>
      </c>
      <c r="W117" s="406">
        <v>0</v>
      </c>
      <c r="X117" s="405">
        <v>0</v>
      </c>
      <c r="Y117" s="406">
        <v>0</v>
      </c>
      <c r="Z117" s="3"/>
      <c r="AA117" s="401">
        <v>174034833</v>
      </c>
      <c r="AB117" s="329">
        <v>0</v>
      </c>
      <c r="AC117" s="329">
        <v>0</v>
      </c>
      <c r="AD117" s="329">
        <v>303</v>
      </c>
      <c r="AE117" s="329">
        <v>303</v>
      </c>
      <c r="AF117" s="329">
        <v>242</v>
      </c>
      <c r="AG117" s="329">
        <v>7359994</v>
      </c>
      <c r="AH117" s="3"/>
      <c r="AI117" s="401">
        <v>174034833</v>
      </c>
      <c r="AJ117" s="329">
        <v>0</v>
      </c>
      <c r="AK117" s="329">
        <v>0</v>
      </c>
      <c r="AL117" s="329">
        <v>303</v>
      </c>
      <c r="AM117" s="329">
        <v>303</v>
      </c>
      <c r="AN117" s="329">
        <v>242</v>
      </c>
      <c r="AO117" s="329">
        <v>10263051</v>
      </c>
    </row>
    <row r="118" spans="1:41" ht="15.75">
      <c r="A118" s="167">
        <v>112</v>
      </c>
      <c r="B118" s="79" t="s">
        <v>108</v>
      </c>
      <c r="C118" s="452">
        <v>174034834</v>
      </c>
      <c r="D118" s="458">
        <v>0</v>
      </c>
      <c r="E118" s="329">
        <v>255</v>
      </c>
      <c r="F118" s="329">
        <v>0</v>
      </c>
      <c r="G118" s="329">
        <v>0</v>
      </c>
      <c r="H118" s="329">
        <v>255</v>
      </c>
      <c r="I118" s="329">
        <v>0</v>
      </c>
      <c r="J118" s="329">
        <v>0</v>
      </c>
      <c r="K118" s="333">
        <v>0</v>
      </c>
      <c r="L118" s="333"/>
      <c r="M118" s="165"/>
      <c r="N118" s="401">
        <v>174034834</v>
      </c>
      <c r="O118" s="329">
        <v>0</v>
      </c>
      <c r="P118" s="329">
        <v>0</v>
      </c>
      <c r="Q118" s="329">
        <v>255</v>
      </c>
      <c r="R118" s="333">
        <v>255</v>
      </c>
      <c r="S118" s="333">
        <v>14187752</v>
      </c>
      <c r="T118" s="3">
        <v>0.35</v>
      </c>
      <c r="U118" s="165">
        <f>VLOOKUP(N118,'[2]154'!$C$9:$T$554,18,0)</f>
        <v>325</v>
      </c>
      <c r="V118" s="401">
        <v>174034834</v>
      </c>
      <c r="W118" s="406">
        <v>0</v>
      </c>
      <c r="X118" s="405">
        <v>0</v>
      </c>
      <c r="Y118" s="406">
        <v>0</v>
      </c>
      <c r="Z118" s="3"/>
      <c r="AA118" s="401">
        <v>174034834</v>
      </c>
      <c r="AB118" s="329">
        <v>0</v>
      </c>
      <c r="AC118" s="329">
        <v>0</v>
      </c>
      <c r="AD118" s="329">
        <v>255</v>
      </c>
      <c r="AE118" s="329">
        <v>255</v>
      </c>
      <c r="AF118" s="329">
        <v>204</v>
      </c>
      <c r="AG118" s="329">
        <v>5730427</v>
      </c>
      <c r="AH118" s="3"/>
      <c r="AI118" s="401">
        <v>174034834</v>
      </c>
      <c r="AJ118" s="329">
        <v>0</v>
      </c>
      <c r="AK118" s="329">
        <v>0</v>
      </c>
      <c r="AL118" s="329">
        <v>255</v>
      </c>
      <c r="AM118" s="329">
        <v>255</v>
      </c>
      <c r="AN118" s="329">
        <v>204</v>
      </c>
      <c r="AO118" s="329">
        <v>8457325</v>
      </c>
    </row>
    <row r="119" spans="1:41" s="211" customFormat="1" ht="15.75">
      <c r="A119" s="167">
        <v>113</v>
      </c>
      <c r="B119" s="79" t="s">
        <v>108</v>
      </c>
      <c r="C119" s="452">
        <v>174034840</v>
      </c>
      <c r="D119" s="460">
        <v>0</v>
      </c>
      <c r="E119" s="333">
        <v>391</v>
      </c>
      <c r="F119" s="333">
        <v>0</v>
      </c>
      <c r="G119" s="333">
        <v>0</v>
      </c>
      <c r="H119" s="333">
        <v>391</v>
      </c>
      <c r="I119" s="333">
        <v>0</v>
      </c>
      <c r="J119" s="333">
        <v>0</v>
      </c>
      <c r="K119" s="333">
        <v>0</v>
      </c>
      <c r="L119" s="333"/>
      <c r="M119" s="165"/>
      <c r="N119" s="400">
        <v>174034840</v>
      </c>
      <c r="O119" s="333">
        <v>0</v>
      </c>
      <c r="P119" s="333">
        <v>0</v>
      </c>
      <c r="Q119" s="333">
        <v>391</v>
      </c>
      <c r="R119" s="333">
        <v>391</v>
      </c>
      <c r="S119" s="333">
        <v>22858662</v>
      </c>
      <c r="T119" s="169">
        <v>0.36</v>
      </c>
      <c r="U119" s="165">
        <f>VLOOKUP(N119,'[2]154'!$C$9:$T$554,18,0)</f>
        <v>391</v>
      </c>
      <c r="V119" s="400">
        <v>174034840</v>
      </c>
      <c r="W119" s="404">
        <v>0</v>
      </c>
      <c r="X119" s="405">
        <v>0</v>
      </c>
      <c r="Y119" s="404">
        <v>0</v>
      </c>
      <c r="Z119" s="169"/>
      <c r="AA119" s="400">
        <v>174034840</v>
      </c>
      <c r="AB119" s="333">
        <v>0</v>
      </c>
      <c r="AC119" s="333">
        <v>0</v>
      </c>
      <c r="AD119" s="333">
        <v>391</v>
      </c>
      <c r="AE119" s="333">
        <v>391</v>
      </c>
      <c r="AF119" s="333">
        <v>313</v>
      </c>
      <c r="AG119" s="333">
        <v>9179776</v>
      </c>
      <c r="AH119" s="169"/>
      <c r="AI119" s="400">
        <v>174034840</v>
      </c>
      <c r="AJ119" s="333">
        <v>0</v>
      </c>
      <c r="AK119" s="333">
        <v>0</v>
      </c>
      <c r="AL119" s="333">
        <v>391</v>
      </c>
      <c r="AM119" s="333">
        <v>391</v>
      </c>
      <c r="AN119" s="333">
        <v>313</v>
      </c>
      <c r="AO119" s="333">
        <v>13678886</v>
      </c>
    </row>
    <row r="120" spans="1:41" s="211" customFormat="1" ht="15.75">
      <c r="A120" s="167">
        <v>114</v>
      </c>
      <c r="B120" s="79" t="s">
        <v>108</v>
      </c>
      <c r="C120" s="452">
        <v>174034863</v>
      </c>
      <c r="D120" s="460">
        <v>0</v>
      </c>
      <c r="E120" s="333">
        <v>139</v>
      </c>
      <c r="F120" s="333">
        <v>0</v>
      </c>
      <c r="G120" s="333">
        <v>0</v>
      </c>
      <c r="H120" s="333">
        <v>139</v>
      </c>
      <c r="I120" s="333">
        <v>0</v>
      </c>
      <c r="J120" s="333">
        <v>0</v>
      </c>
      <c r="K120" s="333">
        <v>0</v>
      </c>
      <c r="L120" s="333"/>
      <c r="M120" s="208"/>
      <c r="N120" s="400">
        <v>174034863</v>
      </c>
      <c r="O120" s="333">
        <v>0</v>
      </c>
      <c r="P120" s="333">
        <v>0</v>
      </c>
      <c r="Q120" s="333">
        <v>139</v>
      </c>
      <c r="R120" s="333">
        <v>139</v>
      </c>
      <c r="S120" s="333">
        <v>7814080</v>
      </c>
      <c r="T120" s="169">
        <v>0.35</v>
      </c>
      <c r="U120" s="165">
        <f>VLOOKUP(N120,'[2]154'!$C$9:$T$554,18,0)</f>
        <v>139</v>
      </c>
      <c r="V120" s="400">
        <v>174034863</v>
      </c>
      <c r="W120" s="404">
        <v>0</v>
      </c>
      <c r="X120" s="405">
        <v>0</v>
      </c>
      <c r="Y120" s="404">
        <v>0</v>
      </c>
      <c r="Z120" s="169"/>
      <c r="AA120" s="400">
        <v>174034863</v>
      </c>
      <c r="AB120" s="333">
        <v>0</v>
      </c>
      <c r="AC120" s="333">
        <v>0</v>
      </c>
      <c r="AD120" s="333">
        <v>139</v>
      </c>
      <c r="AE120" s="333">
        <v>139</v>
      </c>
      <c r="AF120" s="333">
        <v>111</v>
      </c>
      <c r="AG120" s="333">
        <v>3094394</v>
      </c>
      <c r="AH120" s="169"/>
      <c r="AI120" s="400">
        <v>174034863</v>
      </c>
      <c r="AJ120" s="333">
        <v>0</v>
      </c>
      <c r="AK120" s="333">
        <v>0</v>
      </c>
      <c r="AL120" s="333">
        <v>139</v>
      </c>
      <c r="AM120" s="333">
        <v>139</v>
      </c>
      <c r="AN120" s="333">
        <v>111</v>
      </c>
      <c r="AO120" s="333">
        <v>4719686</v>
      </c>
    </row>
    <row r="121" spans="1:41" s="420" customFormat="1" ht="15.75">
      <c r="A121" s="167">
        <v>115</v>
      </c>
      <c r="B121" s="79" t="s">
        <v>108</v>
      </c>
      <c r="C121" s="452">
        <v>181013004</v>
      </c>
      <c r="D121" s="461">
        <v>0</v>
      </c>
      <c r="E121" s="419">
        <v>1236</v>
      </c>
      <c r="F121" s="419">
        <v>0</v>
      </c>
      <c r="G121" s="419">
        <v>0</v>
      </c>
      <c r="H121" s="419">
        <v>1236</v>
      </c>
      <c r="I121" s="419">
        <v>0</v>
      </c>
      <c r="J121" s="419">
        <v>0</v>
      </c>
      <c r="K121" s="419">
        <v>0</v>
      </c>
      <c r="L121" s="419"/>
      <c r="M121" s="422"/>
      <c r="N121" s="421">
        <v>181013004</v>
      </c>
      <c r="O121" s="419">
        <v>0</v>
      </c>
      <c r="P121" s="419">
        <v>0</v>
      </c>
      <c r="Q121" s="419">
        <v>1236</v>
      </c>
      <c r="R121" s="419">
        <v>1236</v>
      </c>
      <c r="S121" s="419">
        <v>45249964</v>
      </c>
      <c r="T121" s="420">
        <v>0.35</v>
      </c>
      <c r="U121" s="165">
        <f>VLOOKUP(N121,'[2]154'!$C$9:$T$554,18,0)</f>
        <v>1236</v>
      </c>
      <c r="V121" s="421">
        <v>181013004</v>
      </c>
      <c r="W121" s="423">
        <v>0</v>
      </c>
      <c r="X121" s="424">
        <v>0</v>
      </c>
      <c r="Y121" s="423">
        <v>0</v>
      </c>
      <c r="AA121" s="421">
        <v>181013004</v>
      </c>
      <c r="AB121" s="419">
        <v>0</v>
      </c>
      <c r="AC121" s="419">
        <v>0</v>
      </c>
      <c r="AD121" s="429">
        <v>1236</v>
      </c>
      <c r="AE121" s="419">
        <v>1236</v>
      </c>
      <c r="AF121" s="419">
        <v>989</v>
      </c>
      <c r="AG121" s="419">
        <v>17898454</v>
      </c>
      <c r="AI121" s="421">
        <v>181013004</v>
      </c>
      <c r="AJ121" s="419">
        <v>0</v>
      </c>
      <c r="AK121" s="419">
        <v>0</v>
      </c>
      <c r="AL121" s="419">
        <v>1236</v>
      </c>
      <c r="AM121" s="419">
        <v>1236</v>
      </c>
      <c r="AN121" s="419">
        <v>989</v>
      </c>
      <c r="AO121" s="419">
        <v>27351510</v>
      </c>
    </row>
    <row r="122" spans="1:41" ht="15.75">
      <c r="A122" s="167">
        <v>116</v>
      </c>
      <c r="B122" s="79" t="s">
        <v>161</v>
      </c>
      <c r="C122" s="452">
        <v>100003498</v>
      </c>
      <c r="D122" s="458">
        <v>0</v>
      </c>
      <c r="E122" s="329">
        <v>344</v>
      </c>
      <c r="F122" s="329">
        <v>0</v>
      </c>
      <c r="G122" s="329">
        <v>0</v>
      </c>
      <c r="H122" s="329">
        <v>344</v>
      </c>
      <c r="I122" s="329">
        <v>0</v>
      </c>
      <c r="J122" s="329">
        <v>0</v>
      </c>
      <c r="K122" s="333">
        <v>0</v>
      </c>
      <c r="L122" s="333"/>
      <c r="M122" s="165"/>
      <c r="N122" s="401">
        <v>100003498</v>
      </c>
      <c r="O122" s="329">
        <v>0</v>
      </c>
      <c r="P122" s="329">
        <v>0</v>
      </c>
      <c r="Q122" s="329">
        <v>344</v>
      </c>
      <c r="R122" s="333">
        <v>344</v>
      </c>
      <c r="S122" s="333">
        <v>11341766</v>
      </c>
      <c r="T122" s="3">
        <v>1.85</v>
      </c>
      <c r="U122" s="165">
        <f>VLOOKUP(N122,'[2]154'!$C$9:$T$554,18,0)</f>
        <v>344</v>
      </c>
      <c r="V122" s="401">
        <v>100003498</v>
      </c>
      <c r="W122" s="406">
        <v>0</v>
      </c>
      <c r="X122" s="405">
        <v>0</v>
      </c>
      <c r="Y122" s="406">
        <v>0</v>
      </c>
      <c r="Z122" s="3"/>
      <c r="AA122" s="401">
        <v>100003498</v>
      </c>
      <c r="AB122" s="329">
        <v>0</v>
      </c>
      <c r="AC122" s="329">
        <v>0</v>
      </c>
      <c r="AD122" s="329">
        <v>344</v>
      </c>
      <c r="AE122" s="329">
        <v>344</v>
      </c>
      <c r="AF122" s="329">
        <v>275</v>
      </c>
      <c r="AG122" s="329">
        <v>4479428</v>
      </c>
      <c r="AH122" s="3"/>
      <c r="AI122" s="401">
        <v>100003498</v>
      </c>
      <c r="AJ122" s="329">
        <v>0</v>
      </c>
      <c r="AK122" s="329">
        <v>0</v>
      </c>
      <c r="AL122" s="329">
        <v>344</v>
      </c>
      <c r="AM122" s="329">
        <v>344</v>
      </c>
      <c r="AN122" s="329">
        <v>275</v>
      </c>
      <c r="AO122" s="329">
        <v>6862338</v>
      </c>
    </row>
    <row r="123" spans="1:41" s="211" customFormat="1" ht="15.75">
      <c r="A123" s="167">
        <v>117</v>
      </c>
      <c r="B123" s="79" t="s">
        <v>161</v>
      </c>
      <c r="C123" s="452">
        <v>100003560</v>
      </c>
      <c r="D123" s="460">
        <v>0</v>
      </c>
      <c r="E123" s="333">
        <v>66</v>
      </c>
      <c r="F123" s="333">
        <v>0</v>
      </c>
      <c r="G123" s="333">
        <v>0</v>
      </c>
      <c r="H123" s="333">
        <v>66</v>
      </c>
      <c r="I123" s="333">
        <v>0</v>
      </c>
      <c r="J123" s="333">
        <v>0</v>
      </c>
      <c r="K123" s="333">
        <v>0</v>
      </c>
      <c r="L123" s="333"/>
      <c r="M123" s="208"/>
      <c r="N123" s="400">
        <v>100003560</v>
      </c>
      <c r="O123" s="333">
        <v>0</v>
      </c>
      <c r="P123" s="333">
        <v>0</v>
      </c>
      <c r="Q123" s="333">
        <v>66</v>
      </c>
      <c r="R123" s="333">
        <v>66</v>
      </c>
      <c r="S123" s="333">
        <v>1298061</v>
      </c>
      <c r="T123" s="169">
        <v>1.1000000000000001</v>
      </c>
      <c r="U123" s="165">
        <f>VLOOKUP(N123,'[2]154'!$C$9:$T$554,18,0)</f>
        <v>66</v>
      </c>
      <c r="V123" s="400">
        <v>100003560</v>
      </c>
      <c r="W123" s="404">
        <v>0</v>
      </c>
      <c r="X123" s="405">
        <v>0</v>
      </c>
      <c r="Y123" s="404">
        <v>0</v>
      </c>
      <c r="Z123" s="169"/>
      <c r="AA123" s="400">
        <v>100003560</v>
      </c>
      <c r="AB123" s="333">
        <v>0</v>
      </c>
      <c r="AC123" s="333">
        <v>0</v>
      </c>
      <c r="AD123" s="333">
        <v>66</v>
      </c>
      <c r="AE123" s="333">
        <v>66</v>
      </c>
      <c r="AF123" s="333">
        <v>53</v>
      </c>
      <c r="AG123" s="333">
        <v>512669</v>
      </c>
      <c r="AH123" s="169"/>
      <c r="AI123" s="400">
        <v>100003560</v>
      </c>
      <c r="AJ123" s="333">
        <v>0</v>
      </c>
      <c r="AK123" s="333">
        <v>0</v>
      </c>
      <c r="AL123" s="333">
        <v>66</v>
      </c>
      <c r="AM123" s="333">
        <v>66</v>
      </c>
      <c r="AN123" s="333">
        <v>53</v>
      </c>
      <c r="AO123" s="333">
        <v>785392</v>
      </c>
    </row>
    <row r="124" spans="1:41" s="211" customFormat="1" ht="15.75">
      <c r="A124" s="167">
        <v>118</v>
      </c>
      <c r="B124" s="79" t="s">
        <v>161</v>
      </c>
      <c r="C124" s="452">
        <v>100003581</v>
      </c>
      <c r="D124" s="460">
        <v>0</v>
      </c>
      <c r="E124" s="333">
        <v>223</v>
      </c>
      <c r="F124" s="333">
        <v>0</v>
      </c>
      <c r="G124" s="333">
        <v>0</v>
      </c>
      <c r="H124" s="333">
        <v>223</v>
      </c>
      <c r="I124" s="333">
        <v>0</v>
      </c>
      <c r="J124" s="333">
        <v>0</v>
      </c>
      <c r="K124" s="333">
        <v>0</v>
      </c>
      <c r="L124" s="333"/>
      <c r="M124" s="165"/>
      <c r="N124" s="400">
        <v>100003581</v>
      </c>
      <c r="O124" s="333">
        <v>0</v>
      </c>
      <c r="P124" s="333">
        <v>0</v>
      </c>
      <c r="Q124" s="333">
        <v>223</v>
      </c>
      <c r="R124" s="333">
        <v>223</v>
      </c>
      <c r="S124" s="333">
        <v>7944218</v>
      </c>
      <c r="T124" s="169">
        <v>0.35</v>
      </c>
      <c r="U124" s="165">
        <f>VLOOKUP(N124,'[2]154'!$C$9:$T$554,18,0)</f>
        <v>223</v>
      </c>
      <c r="V124" s="400">
        <v>100003581</v>
      </c>
      <c r="W124" s="404">
        <v>0</v>
      </c>
      <c r="X124" s="405">
        <v>0</v>
      </c>
      <c r="Y124" s="404">
        <v>0</v>
      </c>
      <c r="Z124" s="169"/>
      <c r="AA124" s="400">
        <v>100003581</v>
      </c>
      <c r="AB124" s="333">
        <v>0</v>
      </c>
      <c r="AC124" s="333">
        <v>0</v>
      </c>
      <c r="AD124" s="333">
        <v>223</v>
      </c>
      <c r="AE124" s="333">
        <v>223</v>
      </c>
      <c r="AF124" s="333">
        <v>178</v>
      </c>
      <c r="AG124" s="333">
        <v>3137567</v>
      </c>
      <c r="AH124" s="169"/>
      <c r="AI124" s="400">
        <v>100003581</v>
      </c>
      <c r="AJ124" s="333">
        <v>0</v>
      </c>
      <c r="AK124" s="333">
        <v>0</v>
      </c>
      <c r="AL124" s="333">
        <v>223</v>
      </c>
      <c r="AM124" s="333">
        <v>223</v>
      </c>
      <c r="AN124" s="333">
        <v>178</v>
      </c>
      <c r="AO124" s="333">
        <v>4806651</v>
      </c>
    </row>
    <row r="125" spans="1:41" s="211" customFormat="1" ht="15.75">
      <c r="A125" s="167">
        <v>119</v>
      </c>
      <c r="B125" s="79" t="s">
        <v>161</v>
      </c>
      <c r="C125" s="452">
        <v>100003599</v>
      </c>
      <c r="D125" s="460">
        <v>0</v>
      </c>
      <c r="E125" s="333">
        <v>92</v>
      </c>
      <c r="F125" s="333">
        <v>0</v>
      </c>
      <c r="G125" s="333">
        <v>0</v>
      </c>
      <c r="H125" s="333">
        <v>92</v>
      </c>
      <c r="I125" s="333">
        <v>0</v>
      </c>
      <c r="J125" s="333">
        <v>0</v>
      </c>
      <c r="K125" s="333">
        <v>0</v>
      </c>
      <c r="L125" s="333"/>
      <c r="M125" s="165"/>
      <c r="N125" s="400">
        <v>100003599</v>
      </c>
      <c r="O125" s="333">
        <v>0</v>
      </c>
      <c r="P125" s="333">
        <v>0</v>
      </c>
      <c r="Q125" s="333">
        <v>92</v>
      </c>
      <c r="R125" s="333">
        <v>92</v>
      </c>
      <c r="S125" s="333">
        <v>2718579</v>
      </c>
      <c r="T125" s="169">
        <v>0.35</v>
      </c>
      <c r="U125" s="165">
        <f>VLOOKUP(N125,'[2]154'!$C$9:$T$554,18,0)</f>
        <v>92</v>
      </c>
      <c r="V125" s="400">
        <v>100003599</v>
      </c>
      <c r="W125" s="404">
        <v>0</v>
      </c>
      <c r="X125" s="405">
        <v>0</v>
      </c>
      <c r="Y125" s="404">
        <v>0</v>
      </c>
      <c r="Z125" s="169"/>
      <c r="AA125" s="400">
        <v>100003599</v>
      </c>
      <c r="AB125" s="333">
        <v>0</v>
      </c>
      <c r="AC125" s="333">
        <v>0</v>
      </c>
      <c r="AD125" s="333">
        <v>92</v>
      </c>
      <c r="AE125" s="333">
        <v>92</v>
      </c>
      <c r="AF125" s="333">
        <v>74</v>
      </c>
      <c r="AG125" s="333">
        <v>1073702</v>
      </c>
      <c r="AH125" s="169"/>
      <c r="AI125" s="400">
        <v>100003599</v>
      </c>
      <c r="AJ125" s="333">
        <v>0</v>
      </c>
      <c r="AK125" s="333">
        <v>0</v>
      </c>
      <c r="AL125" s="333">
        <v>92</v>
      </c>
      <c r="AM125" s="333">
        <v>92</v>
      </c>
      <c r="AN125" s="333">
        <v>74</v>
      </c>
      <c r="AO125" s="333">
        <v>1644877</v>
      </c>
    </row>
    <row r="126" spans="1:41" s="211" customFormat="1" ht="15.75">
      <c r="A126" s="167">
        <v>120</v>
      </c>
      <c r="B126" s="79" t="s">
        <v>161</v>
      </c>
      <c r="C126" s="452">
        <v>100016414</v>
      </c>
      <c r="D126" s="460">
        <v>0</v>
      </c>
      <c r="E126" s="333">
        <v>41</v>
      </c>
      <c r="F126" s="333">
        <v>0</v>
      </c>
      <c r="G126" s="333">
        <v>0</v>
      </c>
      <c r="H126" s="333">
        <v>41</v>
      </c>
      <c r="I126" s="333">
        <v>0</v>
      </c>
      <c r="J126" s="333">
        <v>0</v>
      </c>
      <c r="K126" s="333">
        <v>0</v>
      </c>
      <c r="L126" s="333"/>
      <c r="M126" s="208"/>
      <c r="N126" s="400">
        <v>100016414</v>
      </c>
      <c r="O126" s="333">
        <v>0</v>
      </c>
      <c r="P126" s="333">
        <v>0</v>
      </c>
      <c r="Q126" s="333">
        <v>41</v>
      </c>
      <c r="R126" s="333">
        <v>41</v>
      </c>
      <c r="S126" s="333">
        <v>1173693</v>
      </c>
      <c r="T126" s="169">
        <v>0.35</v>
      </c>
      <c r="U126" s="165">
        <f>VLOOKUP(N126,'[2]154'!$C$9:$T$554,18,0)</f>
        <v>70</v>
      </c>
      <c r="V126" s="400">
        <v>100016414</v>
      </c>
      <c r="W126" s="404">
        <v>0</v>
      </c>
      <c r="X126" s="405">
        <v>0</v>
      </c>
      <c r="Y126" s="404">
        <v>0</v>
      </c>
      <c r="Z126" s="169"/>
      <c r="AA126" s="400">
        <v>100016414</v>
      </c>
      <c r="AB126" s="333">
        <v>0</v>
      </c>
      <c r="AC126" s="333">
        <v>0</v>
      </c>
      <c r="AD126" s="333">
        <v>41</v>
      </c>
      <c r="AE126" s="333">
        <v>41</v>
      </c>
      <c r="AF126" s="333">
        <v>33</v>
      </c>
      <c r="AG126" s="333">
        <v>463550</v>
      </c>
      <c r="AH126" s="169"/>
      <c r="AI126" s="400">
        <v>100016414</v>
      </c>
      <c r="AJ126" s="333">
        <v>0</v>
      </c>
      <c r="AK126" s="333">
        <v>0</v>
      </c>
      <c r="AL126" s="333">
        <v>41</v>
      </c>
      <c r="AM126" s="333">
        <v>41</v>
      </c>
      <c r="AN126" s="333">
        <v>33</v>
      </c>
      <c r="AO126" s="333">
        <v>710143</v>
      </c>
    </row>
    <row r="127" spans="1:41" s="211" customFormat="1" ht="15.75">
      <c r="A127" s="167">
        <v>121</v>
      </c>
      <c r="B127" s="79" t="s">
        <v>161</v>
      </c>
      <c r="C127" s="452">
        <v>69216</v>
      </c>
      <c r="D127" s="460">
        <v>160</v>
      </c>
      <c r="E127" s="333">
        <v>302</v>
      </c>
      <c r="F127" s="333">
        <v>0</v>
      </c>
      <c r="G127" s="333">
        <v>0</v>
      </c>
      <c r="H127" s="333">
        <v>302</v>
      </c>
      <c r="I127" s="333">
        <v>0</v>
      </c>
      <c r="J127" s="333">
        <v>0</v>
      </c>
      <c r="K127" s="333">
        <v>0</v>
      </c>
      <c r="L127" s="333"/>
      <c r="M127" s="165"/>
      <c r="N127" s="400">
        <v>69216</v>
      </c>
      <c r="O127" s="333">
        <v>0</v>
      </c>
      <c r="P127" s="333">
        <v>0</v>
      </c>
      <c r="Q127" s="333">
        <v>302</v>
      </c>
      <c r="R127" s="333">
        <v>302</v>
      </c>
      <c r="S127" s="333">
        <v>3712444</v>
      </c>
      <c r="T127" s="169">
        <v>0.35</v>
      </c>
      <c r="U127" s="165">
        <f>VLOOKUP(N127,'[2]154'!$C$9:$T$554,18,0)</f>
        <v>371</v>
      </c>
      <c r="V127" s="400">
        <v>69216</v>
      </c>
      <c r="W127" s="404">
        <v>0</v>
      </c>
      <c r="X127" s="405">
        <v>0</v>
      </c>
      <c r="Y127" s="404">
        <v>0</v>
      </c>
      <c r="Z127" s="169"/>
      <c r="AA127" s="400">
        <v>69216</v>
      </c>
      <c r="AB127" s="333">
        <v>0</v>
      </c>
      <c r="AC127" s="333">
        <v>0</v>
      </c>
      <c r="AD127" s="333">
        <v>302</v>
      </c>
      <c r="AE127" s="333">
        <v>302</v>
      </c>
      <c r="AF127" s="333">
        <v>242</v>
      </c>
      <c r="AG127" s="333">
        <v>1510265</v>
      </c>
      <c r="AH127" s="169"/>
      <c r="AI127" s="400">
        <v>69216</v>
      </c>
      <c r="AJ127" s="333">
        <v>0</v>
      </c>
      <c r="AK127" s="333">
        <v>0</v>
      </c>
      <c r="AL127" s="333">
        <v>302</v>
      </c>
      <c r="AM127" s="333">
        <v>302</v>
      </c>
      <c r="AN127" s="333">
        <v>242</v>
      </c>
      <c r="AO127" s="333">
        <v>2202179</v>
      </c>
    </row>
    <row r="128" spans="1:41" s="211" customFormat="1" ht="15.75">
      <c r="A128" s="167">
        <v>123</v>
      </c>
      <c r="B128" s="79" t="s">
        <v>105</v>
      </c>
      <c r="C128" s="452">
        <v>451230</v>
      </c>
      <c r="D128" s="460">
        <v>0</v>
      </c>
      <c r="E128" s="333">
        <v>866</v>
      </c>
      <c r="F128" s="333">
        <v>0</v>
      </c>
      <c r="G128" s="333">
        <v>0</v>
      </c>
      <c r="H128" s="333">
        <v>866</v>
      </c>
      <c r="I128" s="333">
        <v>0</v>
      </c>
      <c r="J128" s="333">
        <v>0</v>
      </c>
      <c r="K128" s="333">
        <v>0</v>
      </c>
      <c r="L128" s="333"/>
      <c r="M128" s="208"/>
      <c r="N128" s="400">
        <v>451230</v>
      </c>
      <c r="O128" s="333">
        <v>0</v>
      </c>
      <c r="P128" s="333">
        <v>0</v>
      </c>
      <c r="Q128" s="333">
        <v>866</v>
      </c>
      <c r="R128" s="333">
        <v>866</v>
      </c>
      <c r="S128" s="333">
        <v>13850246</v>
      </c>
      <c r="T128" s="169">
        <v>0.35</v>
      </c>
      <c r="U128" s="165">
        <f>VLOOKUP(N128,'[2]154'!$C$9:$T$554,18,0)</f>
        <v>1085</v>
      </c>
      <c r="V128" s="400">
        <v>451230</v>
      </c>
      <c r="W128" s="404">
        <v>0</v>
      </c>
      <c r="X128" s="405">
        <v>0</v>
      </c>
      <c r="Y128" s="404">
        <v>0</v>
      </c>
      <c r="Z128" s="169"/>
      <c r="AA128" s="400">
        <v>451230</v>
      </c>
      <c r="AB128" s="333">
        <v>0</v>
      </c>
      <c r="AC128" s="333">
        <v>0</v>
      </c>
      <c r="AD128" s="333">
        <v>866</v>
      </c>
      <c r="AE128" s="333">
        <v>866</v>
      </c>
      <c r="AF128" s="333">
        <v>693</v>
      </c>
      <c r="AG128" s="333">
        <v>9820745</v>
      </c>
      <c r="AH128" s="169"/>
      <c r="AI128" s="400">
        <v>451230</v>
      </c>
      <c r="AJ128" s="333">
        <v>0</v>
      </c>
      <c r="AK128" s="333">
        <v>0</v>
      </c>
      <c r="AL128" s="333">
        <v>866</v>
      </c>
      <c r="AM128" s="333">
        <v>866</v>
      </c>
      <c r="AN128" s="333">
        <v>693</v>
      </c>
      <c r="AO128" s="333">
        <v>4029501</v>
      </c>
    </row>
    <row r="129" spans="1:41" s="211" customFormat="1" ht="15.75">
      <c r="A129" s="167">
        <v>124</v>
      </c>
      <c r="B129" s="79" t="s">
        <v>105</v>
      </c>
      <c r="C129" s="452">
        <v>451311</v>
      </c>
      <c r="D129" s="460">
        <v>0</v>
      </c>
      <c r="E129" s="333">
        <v>292</v>
      </c>
      <c r="F129" s="333">
        <v>0</v>
      </c>
      <c r="G129" s="333">
        <v>0</v>
      </c>
      <c r="H129" s="333">
        <v>292</v>
      </c>
      <c r="I129" s="333">
        <v>0</v>
      </c>
      <c r="J129" s="333">
        <v>0</v>
      </c>
      <c r="K129" s="333">
        <v>0</v>
      </c>
      <c r="L129" s="333"/>
      <c r="M129" s="165"/>
      <c r="N129" s="400">
        <v>451311</v>
      </c>
      <c r="O129" s="333">
        <v>0</v>
      </c>
      <c r="P129" s="333">
        <v>0</v>
      </c>
      <c r="Q129" s="333">
        <v>292</v>
      </c>
      <c r="R129" s="333">
        <v>292</v>
      </c>
      <c r="S129" s="333">
        <v>2597703</v>
      </c>
      <c r="T129" s="169">
        <v>0.35</v>
      </c>
      <c r="U129" s="165">
        <f>VLOOKUP(N129,'[2]154'!$C$9:$T$554,18,0)</f>
        <v>562</v>
      </c>
      <c r="V129" s="400">
        <v>451311</v>
      </c>
      <c r="W129" s="404">
        <v>0</v>
      </c>
      <c r="X129" s="405">
        <v>0</v>
      </c>
      <c r="Y129" s="404">
        <v>0</v>
      </c>
      <c r="Z129" s="169"/>
      <c r="AA129" s="400">
        <v>451311</v>
      </c>
      <c r="AB129" s="333">
        <v>0</v>
      </c>
      <c r="AC129" s="333">
        <v>0</v>
      </c>
      <c r="AD129" s="333">
        <v>292</v>
      </c>
      <c r="AE129" s="333">
        <v>292</v>
      </c>
      <c r="AF129" s="333">
        <v>234</v>
      </c>
      <c r="AG129" s="333">
        <v>1091696</v>
      </c>
      <c r="AH129" s="169"/>
      <c r="AI129" s="400">
        <v>451311</v>
      </c>
      <c r="AJ129" s="333">
        <v>0</v>
      </c>
      <c r="AK129" s="333">
        <v>0</v>
      </c>
      <c r="AL129" s="333">
        <v>292</v>
      </c>
      <c r="AM129" s="333">
        <v>292</v>
      </c>
      <c r="AN129" s="333">
        <v>234</v>
      </c>
      <c r="AO129" s="333">
        <v>1506007</v>
      </c>
    </row>
    <row r="130" spans="1:41" s="211" customFormat="1" ht="15.75">
      <c r="A130" s="167">
        <v>125</v>
      </c>
      <c r="B130" s="79" t="s">
        <v>105</v>
      </c>
      <c r="C130" s="452">
        <v>451365</v>
      </c>
      <c r="D130" s="460">
        <v>0</v>
      </c>
      <c r="E130" s="333">
        <v>386</v>
      </c>
      <c r="F130" s="333">
        <v>0</v>
      </c>
      <c r="G130" s="333">
        <v>0</v>
      </c>
      <c r="H130" s="333">
        <v>386</v>
      </c>
      <c r="I130" s="333">
        <v>0</v>
      </c>
      <c r="J130" s="333">
        <v>0</v>
      </c>
      <c r="K130" s="333">
        <v>0</v>
      </c>
      <c r="L130" s="333"/>
      <c r="M130" s="165"/>
      <c r="N130" s="400">
        <v>451365</v>
      </c>
      <c r="O130" s="333">
        <v>0</v>
      </c>
      <c r="P130" s="333">
        <v>0</v>
      </c>
      <c r="Q130" s="333">
        <v>386</v>
      </c>
      <c r="R130" s="333">
        <v>386</v>
      </c>
      <c r="S130" s="333">
        <v>3585743</v>
      </c>
      <c r="T130" s="169">
        <v>0.35</v>
      </c>
      <c r="U130" s="165">
        <f>VLOOKUP(N130,'[2]154'!$C$9:$T$554,18,0)</f>
        <v>563</v>
      </c>
      <c r="V130" s="400">
        <v>451365</v>
      </c>
      <c r="W130" s="404">
        <v>0</v>
      </c>
      <c r="X130" s="405">
        <v>0</v>
      </c>
      <c r="Y130" s="404">
        <v>0</v>
      </c>
      <c r="Z130" s="169"/>
      <c r="AA130" s="400">
        <v>451365</v>
      </c>
      <c r="AB130" s="333">
        <v>0</v>
      </c>
      <c r="AC130" s="333">
        <v>0</v>
      </c>
      <c r="AD130" s="333">
        <v>386</v>
      </c>
      <c r="AE130" s="333">
        <v>386</v>
      </c>
      <c r="AF130" s="333">
        <v>309</v>
      </c>
      <c r="AG130" s="333">
        <v>1470591</v>
      </c>
      <c r="AH130" s="169"/>
      <c r="AI130" s="400">
        <v>451365</v>
      </c>
      <c r="AJ130" s="333">
        <v>0</v>
      </c>
      <c r="AK130" s="333">
        <v>0</v>
      </c>
      <c r="AL130" s="333">
        <v>386</v>
      </c>
      <c r="AM130" s="333">
        <v>386</v>
      </c>
      <c r="AN130" s="333">
        <v>309</v>
      </c>
      <c r="AO130" s="333">
        <v>2115152</v>
      </c>
    </row>
    <row r="131" spans="1:41" s="211" customFormat="1" ht="15.75">
      <c r="A131" s="167">
        <v>126</v>
      </c>
      <c r="B131" s="79" t="s">
        <v>105</v>
      </c>
      <c r="C131" s="452">
        <v>453089</v>
      </c>
      <c r="D131" s="460">
        <v>0</v>
      </c>
      <c r="E131" s="333">
        <v>323</v>
      </c>
      <c r="F131" s="333">
        <v>0</v>
      </c>
      <c r="G131" s="333">
        <v>0</v>
      </c>
      <c r="H131" s="333">
        <v>323</v>
      </c>
      <c r="I131" s="333">
        <v>0</v>
      </c>
      <c r="J131" s="333">
        <v>0</v>
      </c>
      <c r="K131" s="333">
        <v>0</v>
      </c>
      <c r="L131" s="333"/>
      <c r="M131" s="208"/>
      <c r="N131" s="400">
        <v>453089</v>
      </c>
      <c r="O131" s="333">
        <v>0</v>
      </c>
      <c r="P131" s="333">
        <v>0</v>
      </c>
      <c r="Q131" s="333">
        <v>323</v>
      </c>
      <c r="R131" s="333">
        <v>323</v>
      </c>
      <c r="S131" s="333">
        <v>3265157</v>
      </c>
      <c r="T131" s="169">
        <v>1.45</v>
      </c>
      <c r="U131" s="165">
        <f>VLOOKUP(N131,'[2]154'!$C$9:$T$554,18,0)</f>
        <v>323</v>
      </c>
      <c r="V131" s="400">
        <v>453089</v>
      </c>
      <c r="W131" s="404">
        <v>0</v>
      </c>
      <c r="X131" s="405">
        <v>0</v>
      </c>
      <c r="Y131" s="404">
        <v>0</v>
      </c>
      <c r="Z131" s="169"/>
      <c r="AA131" s="400">
        <v>453089</v>
      </c>
      <c r="AB131" s="333">
        <v>0</v>
      </c>
      <c r="AC131" s="333">
        <v>0</v>
      </c>
      <c r="AD131" s="333">
        <v>323</v>
      </c>
      <c r="AE131" s="333">
        <v>323</v>
      </c>
      <c r="AF131" s="333">
        <v>258</v>
      </c>
      <c r="AG131" s="333">
        <v>1289573</v>
      </c>
      <c r="AH131" s="169"/>
      <c r="AI131" s="400">
        <v>453089</v>
      </c>
      <c r="AJ131" s="333">
        <v>0</v>
      </c>
      <c r="AK131" s="333">
        <v>0</v>
      </c>
      <c r="AL131" s="333">
        <v>323</v>
      </c>
      <c r="AM131" s="333">
        <v>323</v>
      </c>
      <c r="AN131" s="333">
        <v>258</v>
      </c>
      <c r="AO131" s="333">
        <v>1975584</v>
      </c>
    </row>
    <row r="132" spans="1:41" s="211" customFormat="1" ht="15.75">
      <c r="A132" s="167">
        <v>127</v>
      </c>
      <c r="B132" s="79" t="s">
        <v>105</v>
      </c>
      <c r="C132" s="452" t="s">
        <v>230</v>
      </c>
      <c r="D132" s="460">
        <v>0</v>
      </c>
      <c r="E132" s="333">
        <v>1964</v>
      </c>
      <c r="F132" s="333">
        <v>0</v>
      </c>
      <c r="G132" s="333">
        <v>0</v>
      </c>
      <c r="H132" s="333">
        <v>1964</v>
      </c>
      <c r="I132" s="333">
        <v>0</v>
      </c>
      <c r="J132" s="333">
        <v>0</v>
      </c>
      <c r="K132" s="333">
        <v>0</v>
      </c>
      <c r="L132" s="333"/>
      <c r="M132" s="165"/>
      <c r="N132" s="397" t="s">
        <v>230</v>
      </c>
      <c r="O132" s="333">
        <v>0</v>
      </c>
      <c r="P132" s="333">
        <v>0</v>
      </c>
      <c r="Q132" s="333">
        <v>1964</v>
      </c>
      <c r="R132" s="333">
        <v>1964</v>
      </c>
      <c r="S132" s="333">
        <v>45126959</v>
      </c>
      <c r="T132" s="169">
        <v>1.5</v>
      </c>
      <c r="U132" s="165">
        <f>VLOOKUP(N132,'[2]154'!$C$9:$T$554,18,0)</f>
        <v>1964</v>
      </c>
      <c r="V132" s="397" t="s">
        <v>230</v>
      </c>
      <c r="W132" s="404">
        <v>0</v>
      </c>
      <c r="X132" s="405">
        <v>0</v>
      </c>
      <c r="Y132" s="404">
        <v>0</v>
      </c>
      <c r="Z132" s="169"/>
      <c r="AA132" s="397" t="s">
        <v>230</v>
      </c>
      <c r="AB132" s="333">
        <v>0</v>
      </c>
      <c r="AC132" s="333">
        <v>0</v>
      </c>
      <c r="AD132" s="333">
        <v>1964</v>
      </c>
      <c r="AE132" s="333">
        <v>1964</v>
      </c>
      <c r="AF132" s="333">
        <v>1571</v>
      </c>
      <c r="AG132" s="333">
        <v>17822882</v>
      </c>
      <c r="AH132" s="169"/>
      <c r="AI132" s="397" t="s">
        <v>230</v>
      </c>
      <c r="AJ132" s="333">
        <v>0</v>
      </c>
      <c r="AK132" s="333">
        <v>0</v>
      </c>
      <c r="AL132" s="333">
        <v>1964</v>
      </c>
      <c r="AM132" s="333">
        <v>1964</v>
      </c>
      <c r="AN132" s="333">
        <v>1571</v>
      </c>
      <c r="AO132" s="333">
        <v>27304077</v>
      </c>
    </row>
    <row r="133" spans="1:41" s="211" customFormat="1" ht="15.75">
      <c r="A133" s="167">
        <v>128</v>
      </c>
      <c r="B133" s="79" t="s">
        <v>105</v>
      </c>
      <c r="C133" s="452">
        <v>453590</v>
      </c>
      <c r="D133" s="460">
        <v>0</v>
      </c>
      <c r="E133" s="333">
        <v>463</v>
      </c>
      <c r="F133" s="333">
        <v>0</v>
      </c>
      <c r="G133" s="333">
        <v>0</v>
      </c>
      <c r="H133" s="333">
        <v>463</v>
      </c>
      <c r="I133" s="333">
        <v>0</v>
      </c>
      <c r="J133" s="333">
        <v>0</v>
      </c>
      <c r="K133" s="333">
        <v>0</v>
      </c>
      <c r="L133" s="333"/>
      <c r="M133" s="165"/>
      <c r="N133" s="400">
        <v>453590</v>
      </c>
      <c r="O133" s="333">
        <v>0</v>
      </c>
      <c r="P133" s="333">
        <v>0</v>
      </c>
      <c r="Q133" s="333">
        <v>463</v>
      </c>
      <c r="R133" s="333">
        <v>463</v>
      </c>
      <c r="S133" s="333">
        <v>11951878</v>
      </c>
      <c r="T133" s="169">
        <v>0.36</v>
      </c>
      <c r="U133" s="165">
        <f>VLOOKUP(N133,'[2]154'!$C$9:$T$554,18,0)</f>
        <v>463</v>
      </c>
      <c r="V133" s="400">
        <v>453590</v>
      </c>
      <c r="W133" s="404">
        <v>0</v>
      </c>
      <c r="X133" s="405">
        <v>0</v>
      </c>
      <c r="Y133" s="404">
        <v>0</v>
      </c>
      <c r="Z133" s="169"/>
      <c r="AA133" s="400">
        <v>453590</v>
      </c>
      <c r="AB133" s="333">
        <v>0</v>
      </c>
      <c r="AC133" s="333">
        <v>0</v>
      </c>
      <c r="AD133" s="333">
        <v>463</v>
      </c>
      <c r="AE133" s="333">
        <v>463</v>
      </c>
      <c r="AF133" s="333">
        <v>370</v>
      </c>
      <c r="AG133" s="333">
        <v>4720391</v>
      </c>
      <c r="AH133" s="169"/>
      <c r="AI133" s="400">
        <v>453590</v>
      </c>
      <c r="AJ133" s="333">
        <v>0</v>
      </c>
      <c r="AK133" s="333">
        <v>0</v>
      </c>
      <c r="AL133" s="333">
        <v>463</v>
      </c>
      <c r="AM133" s="333">
        <v>463</v>
      </c>
      <c r="AN133" s="333">
        <v>370</v>
      </c>
      <c r="AO133" s="333">
        <v>7231487</v>
      </c>
    </row>
    <row r="134" spans="1:41" s="211" customFormat="1" ht="15.75">
      <c r="A134" s="167">
        <v>129</v>
      </c>
      <c r="B134" s="79" t="s">
        <v>105</v>
      </c>
      <c r="C134" s="452" t="s">
        <v>231</v>
      </c>
      <c r="D134" s="460">
        <v>0</v>
      </c>
      <c r="E134" s="333">
        <v>1052</v>
      </c>
      <c r="F134" s="333">
        <v>0</v>
      </c>
      <c r="G134" s="333">
        <v>0</v>
      </c>
      <c r="H134" s="333">
        <v>1052</v>
      </c>
      <c r="I134" s="333">
        <v>0</v>
      </c>
      <c r="J134" s="333">
        <v>64</v>
      </c>
      <c r="K134" s="333">
        <v>64</v>
      </c>
      <c r="L134" s="333"/>
      <c r="M134" s="208"/>
      <c r="N134" s="397" t="s">
        <v>231</v>
      </c>
      <c r="O134" s="333">
        <v>0</v>
      </c>
      <c r="P134" s="333">
        <v>0</v>
      </c>
      <c r="Q134" s="333">
        <v>1052</v>
      </c>
      <c r="R134" s="333">
        <v>1052</v>
      </c>
      <c r="S134" s="333">
        <v>26171150</v>
      </c>
      <c r="T134" s="169">
        <v>1.5</v>
      </c>
      <c r="U134" s="165">
        <f>VLOOKUP(N134,'[2]154'!$C$9:$T$554,18,0)</f>
        <v>1052</v>
      </c>
      <c r="V134" s="397" t="s">
        <v>231</v>
      </c>
      <c r="W134" s="404">
        <v>64</v>
      </c>
      <c r="X134" s="405">
        <v>33013.015625</v>
      </c>
      <c r="Y134" s="404">
        <v>2112833</v>
      </c>
      <c r="Z134" s="169"/>
      <c r="AA134" s="397" t="s">
        <v>231</v>
      </c>
      <c r="AB134" s="333">
        <v>0</v>
      </c>
      <c r="AC134" s="333">
        <v>0</v>
      </c>
      <c r="AD134" s="333">
        <v>1052</v>
      </c>
      <c r="AE134" s="333">
        <v>1052</v>
      </c>
      <c r="AF134" s="333">
        <v>842</v>
      </c>
      <c r="AG134" s="333">
        <v>6548150</v>
      </c>
      <c r="AH134" s="169"/>
      <c r="AI134" s="397" t="s">
        <v>231</v>
      </c>
      <c r="AJ134" s="333">
        <v>0</v>
      </c>
      <c r="AK134" s="333">
        <v>0</v>
      </c>
      <c r="AL134" s="333">
        <v>1052</v>
      </c>
      <c r="AM134" s="333">
        <v>1052</v>
      </c>
      <c r="AN134" s="333">
        <v>842</v>
      </c>
      <c r="AO134" s="333">
        <v>19623000</v>
      </c>
    </row>
    <row r="135" spans="1:41" s="211" customFormat="1" ht="15.75">
      <c r="A135" s="167">
        <v>130</v>
      </c>
      <c r="B135" s="79" t="s">
        <v>105</v>
      </c>
      <c r="C135" s="452" t="s">
        <v>232</v>
      </c>
      <c r="D135" s="460">
        <v>0</v>
      </c>
      <c r="E135" s="333">
        <v>410</v>
      </c>
      <c r="F135" s="333">
        <v>0</v>
      </c>
      <c r="G135" s="333">
        <v>0</v>
      </c>
      <c r="H135" s="333">
        <v>410</v>
      </c>
      <c r="I135" s="333">
        <v>0</v>
      </c>
      <c r="J135" s="333">
        <v>359</v>
      </c>
      <c r="K135" s="333">
        <v>359</v>
      </c>
      <c r="L135" s="333"/>
      <c r="M135" s="165"/>
      <c r="N135" s="397" t="s">
        <v>232</v>
      </c>
      <c r="O135" s="333">
        <v>0</v>
      </c>
      <c r="P135" s="333">
        <v>0</v>
      </c>
      <c r="Q135" s="333">
        <v>410</v>
      </c>
      <c r="R135" s="333">
        <v>410</v>
      </c>
      <c r="S135" s="333">
        <v>7034197</v>
      </c>
      <c r="T135" s="169">
        <v>1.85</v>
      </c>
      <c r="U135" s="165">
        <f>VLOOKUP(N135,'[2]154'!$C$9:$T$554,18,0)</f>
        <v>410</v>
      </c>
      <c r="V135" s="397" t="s">
        <v>232</v>
      </c>
      <c r="W135" s="404">
        <v>359</v>
      </c>
      <c r="X135" s="405">
        <v>41460.515320334263</v>
      </c>
      <c r="Y135" s="404">
        <v>14884325</v>
      </c>
      <c r="Z135" s="169"/>
      <c r="AA135" s="397" t="s">
        <v>232</v>
      </c>
      <c r="AB135" s="333">
        <v>0</v>
      </c>
      <c r="AC135" s="333">
        <v>0</v>
      </c>
      <c r="AD135" s="333">
        <v>410</v>
      </c>
      <c r="AE135" s="333">
        <v>410</v>
      </c>
      <c r="AF135" s="333">
        <v>328</v>
      </c>
      <c r="AG135" s="333">
        <v>2814056</v>
      </c>
      <c r="AH135" s="169"/>
      <c r="AI135" s="397" t="s">
        <v>232</v>
      </c>
      <c r="AJ135" s="333">
        <v>0</v>
      </c>
      <c r="AK135" s="333">
        <v>0</v>
      </c>
      <c r="AL135" s="333">
        <v>410</v>
      </c>
      <c r="AM135" s="333">
        <v>410</v>
      </c>
      <c r="AN135" s="333">
        <v>328</v>
      </c>
      <c r="AO135" s="333">
        <v>4220141</v>
      </c>
    </row>
    <row r="136" spans="1:41" s="211" customFormat="1" ht="15.75">
      <c r="A136" s="167">
        <v>131</v>
      </c>
      <c r="B136" s="79" t="s">
        <v>105</v>
      </c>
      <c r="C136" s="452">
        <v>457839</v>
      </c>
      <c r="D136" s="460">
        <v>0</v>
      </c>
      <c r="E136" s="333">
        <v>279</v>
      </c>
      <c r="F136" s="333">
        <v>0</v>
      </c>
      <c r="G136" s="333">
        <v>0</v>
      </c>
      <c r="H136" s="333">
        <v>279</v>
      </c>
      <c r="I136" s="333">
        <v>0</v>
      </c>
      <c r="J136" s="333">
        <v>0</v>
      </c>
      <c r="K136" s="333">
        <v>0</v>
      </c>
      <c r="L136" s="333"/>
      <c r="M136" s="165"/>
      <c r="N136" s="400">
        <v>457839</v>
      </c>
      <c r="O136" s="333">
        <v>0</v>
      </c>
      <c r="P136" s="333">
        <v>0</v>
      </c>
      <c r="Q136" s="333">
        <v>279</v>
      </c>
      <c r="R136" s="333">
        <v>279</v>
      </c>
      <c r="S136" s="333">
        <v>3668057</v>
      </c>
      <c r="T136" s="169">
        <v>0.35</v>
      </c>
      <c r="U136" s="165">
        <f>VLOOKUP(N136,'[2]154'!$C$9:$T$554,18,0)</f>
        <v>423</v>
      </c>
      <c r="V136" s="400">
        <v>457839</v>
      </c>
      <c r="W136" s="404">
        <v>0</v>
      </c>
      <c r="X136" s="405">
        <v>0</v>
      </c>
      <c r="Y136" s="404">
        <v>0</v>
      </c>
      <c r="Z136" s="169"/>
      <c r="AA136" s="400">
        <v>457839</v>
      </c>
      <c r="AB136" s="333">
        <v>0</v>
      </c>
      <c r="AC136" s="333">
        <v>0</v>
      </c>
      <c r="AD136" s="333">
        <v>279</v>
      </c>
      <c r="AE136" s="333">
        <v>279</v>
      </c>
      <c r="AF136" s="333">
        <v>223</v>
      </c>
      <c r="AG136" s="333">
        <v>1468370</v>
      </c>
      <c r="AH136" s="169"/>
      <c r="AI136" s="400">
        <v>457839</v>
      </c>
      <c r="AJ136" s="333">
        <v>0</v>
      </c>
      <c r="AK136" s="333">
        <v>0</v>
      </c>
      <c r="AL136" s="333">
        <v>279</v>
      </c>
      <c r="AM136" s="333">
        <v>279</v>
      </c>
      <c r="AN136" s="333">
        <v>223</v>
      </c>
      <c r="AO136" s="333">
        <v>2199687</v>
      </c>
    </row>
    <row r="137" spans="1:41" s="211" customFormat="1" ht="15.75">
      <c r="A137" s="167">
        <v>132</v>
      </c>
      <c r="B137" s="79" t="s">
        <v>105</v>
      </c>
      <c r="C137" s="452">
        <v>457840</v>
      </c>
      <c r="D137" s="460">
        <v>0</v>
      </c>
      <c r="E137" s="333">
        <v>845</v>
      </c>
      <c r="F137" s="333">
        <v>0</v>
      </c>
      <c r="G137" s="333">
        <v>0</v>
      </c>
      <c r="H137" s="333">
        <v>845</v>
      </c>
      <c r="I137" s="333">
        <v>0</v>
      </c>
      <c r="J137" s="333">
        <v>0</v>
      </c>
      <c r="K137" s="333">
        <v>0</v>
      </c>
      <c r="L137" s="333"/>
      <c r="M137" s="208"/>
      <c r="N137" s="400">
        <v>457840</v>
      </c>
      <c r="O137" s="333">
        <v>0</v>
      </c>
      <c r="P137" s="333">
        <v>0</v>
      </c>
      <c r="Q137" s="333">
        <v>845</v>
      </c>
      <c r="R137" s="333">
        <v>845</v>
      </c>
      <c r="S137" s="333">
        <v>10440356</v>
      </c>
      <c r="T137" s="169">
        <v>0.35</v>
      </c>
      <c r="U137" s="165">
        <f>VLOOKUP(N137,'[2]154'!$C$9:$T$554,18,0)</f>
        <v>845</v>
      </c>
      <c r="V137" s="400">
        <v>457840</v>
      </c>
      <c r="W137" s="404">
        <v>0</v>
      </c>
      <c r="X137" s="405">
        <v>0</v>
      </c>
      <c r="Y137" s="404">
        <v>0</v>
      </c>
      <c r="Z137" s="169"/>
      <c r="AA137" s="400">
        <v>457840</v>
      </c>
      <c r="AB137" s="333">
        <v>0</v>
      </c>
      <c r="AC137" s="333">
        <v>0</v>
      </c>
      <c r="AD137" s="333">
        <v>845</v>
      </c>
      <c r="AE137" s="333">
        <v>845</v>
      </c>
      <c r="AF137" s="333">
        <v>676</v>
      </c>
      <c r="AG137" s="333">
        <v>4187589</v>
      </c>
      <c r="AH137" s="169"/>
      <c r="AI137" s="400">
        <v>457840</v>
      </c>
      <c r="AJ137" s="333">
        <v>0</v>
      </c>
      <c r="AK137" s="333">
        <v>0</v>
      </c>
      <c r="AL137" s="333">
        <v>845</v>
      </c>
      <c r="AM137" s="333">
        <v>845</v>
      </c>
      <c r="AN137" s="333">
        <v>676</v>
      </c>
      <c r="AO137" s="333">
        <v>6252767</v>
      </c>
    </row>
    <row r="138" spans="1:41" s="211" customFormat="1" ht="15.75">
      <c r="A138" s="167">
        <v>133</v>
      </c>
      <c r="B138" s="79" t="s">
        <v>105</v>
      </c>
      <c r="C138" s="452">
        <v>457841</v>
      </c>
      <c r="D138" s="460">
        <v>0</v>
      </c>
      <c r="E138" s="333">
        <v>73</v>
      </c>
      <c r="F138" s="333">
        <v>0</v>
      </c>
      <c r="G138" s="333">
        <v>0</v>
      </c>
      <c r="H138" s="333">
        <v>73</v>
      </c>
      <c r="I138" s="333">
        <v>0</v>
      </c>
      <c r="J138" s="333">
        <v>0</v>
      </c>
      <c r="K138" s="333">
        <v>0</v>
      </c>
      <c r="L138" s="333"/>
      <c r="M138" s="165"/>
      <c r="N138" s="400">
        <v>457841</v>
      </c>
      <c r="O138" s="333">
        <v>0</v>
      </c>
      <c r="P138" s="333">
        <v>0</v>
      </c>
      <c r="Q138" s="333">
        <v>73</v>
      </c>
      <c r="R138" s="333">
        <v>73</v>
      </c>
      <c r="S138" s="333">
        <v>1755650</v>
      </c>
      <c r="T138" s="169">
        <v>0.35</v>
      </c>
      <c r="U138" s="165">
        <f>VLOOKUP(N138,'[2]154'!$C$9:$T$554,18,0)</f>
        <v>155</v>
      </c>
      <c r="V138" s="400">
        <v>457841</v>
      </c>
      <c r="W138" s="404">
        <v>0</v>
      </c>
      <c r="X138" s="405">
        <v>0</v>
      </c>
      <c r="Y138" s="404">
        <v>0</v>
      </c>
      <c r="Z138" s="169"/>
      <c r="AA138" s="400">
        <v>457841</v>
      </c>
      <c r="AB138" s="333">
        <v>0</v>
      </c>
      <c r="AC138" s="333">
        <v>0</v>
      </c>
      <c r="AD138" s="333">
        <v>73</v>
      </c>
      <c r="AE138" s="333">
        <v>73</v>
      </c>
      <c r="AF138" s="333">
        <v>58</v>
      </c>
      <c r="AG138" s="333">
        <v>693394</v>
      </c>
      <c r="AH138" s="169"/>
      <c r="AI138" s="400">
        <v>457841</v>
      </c>
      <c r="AJ138" s="333">
        <v>0</v>
      </c>
      <c r="AK138" s="333">
        <v>0</v>
      </c>
      <c r="AL138" s="333">
        <v>73</v>
      </c>
      <c r="AM138" s="333">
        <v>73</v>
      </c>
      <c r="AN138" s="333">
        <v>58</v>
      </c>
      <c r="AO138" s="333">
        <v>1062256</v>
      </c>
    </row>
    <row r="139" spans="1:41" s="211" customFormat="1" ht="15.75">
      <c r="A139" s="167">
        <v>134</v>
      </c>
      <c r="B139" s="79" t="s">
        <v>105</v>
      </c>
      <c r="C139" s="452">
        <v>457842</v>
      </c>
      <c r="D139" s="460">
        <v>0</v>
      </c>
      <c r="E139" s="333">
        <v>374</v>
      </c>
      <c r="F139" s="333">
        <v>0</v>
      </c>
      <c r="G139" s="333">
        <v>0</v>
      </c>
      <c r="H139" s="333">
        <v>374</v>
      </c>
      <c r="I139" s="333">
        <v>0</v>
      </c>
      <c r="J139" s="333">
        <v>0</v>
      </c>
      <c r="K139" s="333">
        <v>0</v>
      </c>
      <c r="L139" s="333"/>
      <c r="M139" s="165"/>
      <c r="N139" s="400">
        <v>457842</v>
      </c>
      <c r="O139" s="333">
        <v>0</v>
      </c>
      <c r="P139" s="333">
        <v>0</v>
      </c>
      <c r="Q139" s="333">
        <v>374</v>
      </c>
      <c r="R139" s="333">
        <v>374</v>
      </c>
      <c r="S139" s="333">
        <v>4838899</v>
      </c>
      <c r="T139" s="169">
        <v>0.36</v>
      </c>
      <c r="U139" s="165">
        <f>VLOOKUP(N139,'[2]154'!$C$9:$T$554,18,0)</f>
        <v>374</v>
      </c>
      <c r="V139" s="400">
        <v>457842</v>
      </c>
      <c r="W139" s="404">
        <v>0</v>
      </c>
      <c r="X139" s="405">
        <v>0</v>
      </c>
      <c r="Y139" s="404">
        <v>0</v>
      </c>
      <c r="Z139" s="169"/>
      <c r="AA139" s="400">
        <v>457842</v>
      </c>
      <c r="AB139" s="333">
        <v>0</v>
      </c>
      <c r="AC139" s="333">
        <v>0</v>
      </c>
      <c r="AD139" s="333">
        <v>374</v>
      </c>
      <c r="AE139" s="333">
        <v>374</v>
      </c>
      <c r="AF139" s="333">
        <v>299</v>
      </c>
      <c r="AG139" s="333">
        <v>1934417</v>
      </c>
      <c r="AH139" s="169"/>
      <c r="AI139" s="400">
        <v>457842</v>
      </c>
      <c r="AJ139" s="333">
        <v>0</v>
      </c>
      <c r="AK139" s="333">
        <v>0</v>
      </c>
      <c r="AL139" s="333">
        <v>374</v>
      </c>
      <c r="AM139" s="333">
        <v>374</v>
      </c>
      <c r="AN139" s="333">
        <v>299</v>
      </c>
      <c r="AO139" s="333">
        <v>2904482</v>
      </c>
    </row>
    <row r="140" spans="1:41" ht="15.75">
      <c r="A140" s="167">
        <v>135</v>
      </c>
      <c r="B140" s="79" t="s">
        <v>105</v>
      </c>
      <c r="C140" s="452" t="s">
        <v>233</v>
      </c>
      <c r="D140" s="458">
        <v>0</v>
      </c>
      <c r="E140" s="329">
        <v>570</v>
      </c>
      <c r="F140" s="329">
        <v>0</v>
      </c>
      <c r="G140" s="329">
        <v>0</v>
      </c>
      <c r="H140" s="329">
        <v>570</v>
      </c>
      <c r="I140" s="329">
        <v>0</v>
      </c>
      <c r="J140" s="329">
        <v>0</v>
      </c>
      <c r="K140" s="333">
        <v>0</v>
      </c>
      <c r="L140" s="333"/>
      <c r="M140" s="208"/>
      <c r="N140" s="398" t="s">
        <v>233</v>
      </c>
      <c r="O140" s="329">
        <v>0</v>
      </c>
      <c r="P140" s="329">
        <v>0</v>
      </c>
      <c r="Q140" s="329">
        <v>570</v>
      </c>
      <c r="R140" s="333">
        <v>570</v>
      </c>
      <c r="S140" s="333">
        <v>8075254</v>
      </c>
      <c r="T140" s="3">
        <v>3.15</v>
      </c>
      <c r="U140" s="165">
        <f>VLOOKUP(N140,'[2]154'!$C$9:$T$554,18,0)</f>
        <v>570</v>
      </c>
      <c r="V140" s="398" t="s">
        <v>233</v>
      </c>
      <c r="W140" s="406">
        <v>0</v>
      </c>
      <c r="X140" s="405">
        <v>0</v>
      </c>
      <c r="Y140" s="406">
        <v>0</v>
      </c>
      <c r="Z140" s="3"/>
      <c r="AA140" s="398" t="s">
        <v>233</v>
      </c>
      <c r="AB140" s="329">
        <v>0</v>
      </c>
      <c r="AC140" s="329">
        <v>0</v>
      </c>
      <c r="AD140" s="329">
        <v>570</v>
      </c>
      <c r="AE140" s="329">
        <v>570</v>
      </c>
      <c r="AF140" s="329">
        <v>456</v>
      </c>
      <c r="AG140" s="329">
        <v>3228585</v>
      </c>
      <c r="AH140" s="3"/>
      <c r="AI140" s="398" t="s">
        <v>233</v>
      </c>
      <c r="AJ140" s="329">
        <v>0</v>
      </c>
      <c r="AK140" s="329">
        <v>0</v>
      </c>
      <c r="AL140" s="329">
        <v>570</v>
      </c>
      <c r="AM140" s="329">
        <v>570</v>
      </c>
      <c r="AN140" s="329">
        <v>456</v>
      </c>
      <c r="AO140" s="329">
        <v>4846669</v>
      </c>
    </row>
    <row r="141" spans="1:41" ht="15.75">
      <c r="A141" s="167">
        <v>136</v>
      </c>
      <c r="B141" s="79" t="s">
        <v>105</v>
      </c>
      <c r="C141" s="452">
        <v>458624</v>
      </c>
      <c r="D141" s="458">
        <v>0</v>
      </c>
      <c r="E141" s="329">
        <v>298</v>
      </c>
      <c r="F141" s="329">
        <v>0</v>
      </c>
      <c r="G141" s="329">
        <v>0</v>
      </c>
      <c r="H141" s="329">
        <v>298</v>
      </c>
      <c r="I141" s="329">
        <v>0</v>
      </c>
      <c r="J141" s="329">
        <v>0</v>
      </c>
      <c r="K141" s="333">
        <v>0</v>
      </c>
      <c r="L141" s="333"/>
      <c r="M141" s="165"/>
      <c r="N141" s="401">
        <v>458624</v>
      </c>
      <c r="O141" s="329">
        <v>0</v>
      </c>
      <c r="P141" s="329">
        <v>0</v>
      </c>
      <c r="Q141" s="329">
        <v>298</v>
      </c>
      <c r="R141" s="333">
        <v>298</v>
      </c>
      <c r="S141" s="333">
        <v>7461530</v>
      </c>
      <c r="T141" s="3">
        <v>1.35</v>
      </c>
      <c r="U141" s="165">
        <f>VLOOKUP(N141,'[2]154'!$C$9:$T$554,18,0)</f>
        <v>298</v>
      </c>
      <c r="V141" s="401">
        <v>458624</v>
      </c>
      <c r="W141" s="406">
        <v>0</v>
      </c>
      <c r="X141" s="405">
        <v>0</v>
      </c>
      <c r="Y141" s="406">
        <v>0</v>
      </c>
      <c r="Z141" s="3"/>
      <c r="AA141" s="401">
        <v>458624</v>
      </c>
      <c r="AB141" s="329">
        <v>0</v>
      </c>
      <c r="AC141" s="329">
        <v>0</v>
      </c>
      <c r="AD141" s="329">
        <v>298</v>
      </c>
      <c r="AE141" s="329">
        <v>298</v>
      </c>
      <c r="AF141" s="329">
        <v>238</v>
      </c>
      <c r="AG141" s="329">
        <v>3098296</v>
      </c>
      <c r="AH141" s="3"/>
      <c r="AI141" s="401">
        <v>458624</v>
      </c>
      <c r="AJ141" s="329">
        <v>0</v>
      </c>
      <c r="AK141" s="329">
        <v>0</v>
      </c>
      <c r="AL141" s="329">
        <v>298</v>
      </c>
      <c r="AM141" s="329">
        <v>298</v>
      </c>
      <c r="AN141" s="329">
        <v>238</v>
      </c>
      <c r="AO141" s="329">
        <v>4363234</v>
      </c>
    </row>
    <row r="142" spans="1:41" ht="15.75">
      <c r="A142" s="167">
        <v>137</v>
      </c>
      <c r="B142" s="79" t="s">
        <v>105</v>
      </c>
      <c r="C142" s="452">
        <v>458626</v>
      </c>
      <c r="D142" s="458">
        <v>0</v>
      </c>
      <c r="E142" s="329">
        <v>165</v>
      </c>
      <c r="F142" s="329">
        <v>0</v>
      </c>
      <c r="G142" s="329">
        <v>0</v>
      </c>
      <c r="H142" s="329">
        <v>165</v>
      </c>
      <c r="I142" s="329">
        <v>0</v>
      </c>
      <c r="J142" s="329">
        <v>0</v>
      </c>
      <c r="K142" s="333">
        <v>0</v>
      </c>
      <c r="L142" s="333"/>
      <c r="M142" s="165"/>
      <c r="N142" s="401">
        <v>458626</v>
      </c>
      <c r="O142" s="329">
        <v>0</v>
      </c>
      <c r="P142" s="329">
        <v>0</v>
      </c>
      <c r="Q142" s="329">
        <v>165</v>
      </c>
      <c r="R142" s="333">
        <v>165</v>
      </c>
      <c r="S142" s="333">
        <v>2517855</v>
      </c>
      <c r="T142" s="3">
        <v>1.35</v>
      </c>
      <c r="U142" s="165">
        <f>VLOOKUP(N142,'[2]154'!$C$9:$T$554,18,0)</f>
        <v>165</v>
      </c>
      <c r="V142" s="401">
        <v>458626</v>
      </c>
      <c r="W142" s="406">
        <v>0</v>
      </c>
      <c r="X142" s="405">
        <v>0</v>
      </c>
      <c r="Y142" s="406">
        <v>0</v>
      </c>
      <c r="Z142" s="3"/>
      <c r="AA142" s="401">
        <v>458626</v>
      </c>
      <c r="AB142" s="329">
        <v>0</v>
      </c>
      <c r="AC142" s="329">
        <v>0</v>
      </c>
      <c r="AD142" s="329">
        <v>165</v>
      </c>
      <c r="AE142" s="329">
        <v>165</v>
      </c>
      <c r="AF142" s="329">
        <v>132</v>
      </c>
      <c r="AG142" s="329">
        <v>1050115</v>
      </c>
      <c r="AH142" s="3"/>
      <c r="AI142" s="401">
        <v>458626</v>
      </c>
      <c r="AJ142" s="329">
        <v>0</v>
      </c>
      <c r="AK142" s="329">
        <v>0</v>
      </c>
      <c r="AL142" s="329">
        <v>165</v>
      </c>
      <c r="AM142" s="329">
        <v>165</v>
      </c>
      <c r="AN142" s="329">
        <v>132</v>
      </c>
      <c r="AO142" s="329">
        <v>1467740</v>
      </c>
    </row>
    <row r="143" spans="1:41" ht="15.75">
      <c r="A143" s="167">
        <v>138</v>
      </c>
      <c r="B143" s="79" t="s">
        <v>105</v>
      </c>
      <c r="C143" s="452">
        <v>459044</v>
      </c>
      <c r="D143" s="458">
        <v>0</v>
      </c>
      <c r="E143" s="329">
        <v>109</v>
      </c>
      <c r="F143" s="329">
        <v>0</v>
      </c>
      <c r="G143" s="329">
        <v>0</v>
      </c>
      <c r="H143" s="329">
        <v>109</v>
      </c>
      <c r="I143" s="329">
        <v>0</v>
      </c>
      <c r="J143" s="329">
        <v>0</v>
      </c>
      <c r="K143" s="333">
        <v>0</v>
      </c>
      <c r="L143" s="333"/>
      <c r="M143" s="208"/>
      <c r="N143" s="401">
        <v>459044</v>
      </c>
      <c r="O143" s="329">
        <v>0</v>
      </c>
      <c r="P143" s="329">
        <v>0</v>
      </c>
      <c r="Q143" s="329">
        <v>109</v>
      </c>
      <c r="R143" s="333">
        <v>109</v>
      </c>
      <c r="S143" s="333">
        <v>1548700</v>
      </c>
      <c r="T143" s="3">
        <v>0.35</v>
      </c>
      <c r="U143" s="165">
        <f>VLOOKUP(N143,'[2]154'!$C$9:$T$554,18,0)</f>
        <v>109</v>
      </c>
      <c r="V143" s="401">
        <v>459044</v>
      </c>
      <c r="W143" s="406">
        <v>0</v>
      </c>
      <c r="X143" s="405">
        <v>0</v>
      </c>
      <c r="Y143" s="406">
        <v>0</v>
      </c>
      <c r="Z143" s="3"/>
      <c r="AA143" s="401">
        <v>459044</v>
      </c>
      <c r="AB143" s="329">
        <v>0</v>
      </c>
      <c r="AC143" s="329">
        <v>0</v>
      </c>
      <c r="AD143" s="329">
        <v>109</v>
      </c>
      <c r="AE143" s="329">
        <v>109</v>
      </c>
      <c r="AF143" s="329">
        <v>87</v>
      </c>
      <c r="AG143" s="329">
        <v>643496</v>
      </c>
      <c r="AH143" s="3"/>
      <c r="AI143" s="401">
        <v>459044</v>
      </c>
      <c r="AJ143" s="329">
        <v>0</v>
      </c>
      <c r="AK143" s="329">
        <v>0</v>
      </c>
      <c r="AL143" s="329">
        <v>109</v>
      </c>
      <c r="AM143" s="329">
        <v>109</v>
      </c>
      <c r="AN143" s="329">
        <v>87</v>
      </c>
      <c r="AO143" s="329">
        <v>905204</v>
      </c>
    </row>
    <row r="144" spans="1:41" ht="15.75">
      <c r="A144" s="167">
        <v>139</v>
      </c>
      <c r="B144" s="79" t="s">
        <v>105</v>
      </c>
      <c r="C144" s="452">
        <v>459046</v>
      </c>
      <c r="D144" s="458">
        <v>0</v>
      </c>
      <c r="E144" s="329">
        <v>126</v>
      </c>
      <c r="F144" s="329">
        <v>0</v>
      </c>
      <c r="G144" s="329">
        <v>0</v>
      </c>
      <c r="H144" s="329">
        <v>126</v>
      </c>
      <c r="I144" s="329">
        <v>0</v>
      </c>
      <c r="J144" s="329">
        <v>0</v>
      </c>
      <c r="K144" s="333">
        <v>0</v>
      </c>
      <c r="L144" s="333"/>
      <c r="M144" s="165"/>
      <c r="N144" s="401">
        <v>459046</v>
      </c>
      <c r="O144" s="329">
        <v>0</v>
      </c>
      <c r="P144" s="329">
        <v>0</v>
      </c>
      <c r="Q144" s="329">
        <v>126</v>
      </c>
      <c r="R144" s="333">
        <v>126</v>
      </c>
      <c r="S144" s="333">
        <v>1715979</v>
      </c>
      <c r="T144" s="3">
        <v>1.35</v>
      </c>
      <c r="U144" s="165">
        <f>VLOOKUP(N144,'[2]154'!$C$9:$T$554,18,0)</f>
        <v>126</v>
      </c>
      <c r="V144" s="401">
        <v>459046</v>
      </c>
      <c r="W144" s="406">
        <v>0</v>
      </c>
      <c r="X144" s="405">
        <v>0</v>
      </c>
      <c r="Y144" s="406">
        <v>0</v>
      </c>
      <c r="Z144" s="3"/>
      <c r="AA144" s="401">
        <v>459046</v>
      </c>
      <c r="AB144" s="329">
        <v>0</v>
      </c>
      <c r="AC144" s="329">
        <v>0</v>
      </c>
      <c r="AD144" s="329">
        <v>126</v>
      </c>
      <c r="AE144" s="329">
        <v>126</v>
      </c>
      <c r="AF144" s="329">
        <v>101</v>
      </c>
      <c r="AG144" s="329">
        <v>713081</v>
      </c>
      <c r="AH144" s="3"/>
      <c r="AI144" s="401">
        <v>459046</v>
      </c>
      <c r="AJ144" s="329">
        <v>0</v>
      </c>
      <c r="AK144" s="329">
        <v>0</v>
      </c>
      <c r="AL144" s="329">
        <v>126</v>
      </c>
      <c r="AM144" s="329">
        <v>126</v>
      </c>
      <c r="AN144" s="329">
        <v>101</v>
      </c>
      <c r="AO144" s="329">
        <v>1002898</v>
      </c>
    </row>
    <row r="145" spans="1:41" ht="15.75">
      <c r="A145" s="167">
        <v>140</v>
      </c>
      <c r="B145" s="79" t="s">
        <v>105</v>
      </c>
      <c r="C145" s="452">
        <v>459199</v>
      </c>
      <c r="D145" s="458">
        <v>0</v>
      </c>
      <c r="E145" s="329">
        <v>130</v>
      </c>
      <c r="F145" s="329">
        <v>0</v>
      </c>
      <c r="G145" s="329">
        <v>0</v>
      </c>
      <c r="H145" s="329">
        <v>130</v>
      </c>
      <c r="I145" s="329">
        <v>0</v>
      </c>
      <c r="J145" s="329">
        <v>0</v>
      </c>
      <c r="K145" s="333">
        <v>0</v>
      </c>
      <c r="L145" s="333"/>
      <c r="M145" s="165"/>
      <c r="N145" s="401">
        <v>459199</v>
      </c>
      <c r="O145" s="329">
        <v>0</v>
      </c>
      <c r="P145" s="329">
        <v>0</v>
      </c>
      <c r="Q145" s="329">
        <v>130</v>
      </c>
      <c r="R145" s="333">
        <v>130</v>
      </c>
      <c r="S145" s="333">
        <v>3345425</v>
      </c>
      <c r="T145" s="3">
        <v>0.35</v>
      </c>
      <c r="U145" s="165">
        <f>VLOOKUP(N145,'[2]154'!$C$9:$T$554,18,0)</f>
        <v>130</v>
      </c>
      <c r="V145" s="401">
        <v>459199</v>
      </c>
      <c r="W145" s="406">
        <v>0</v>
      </c>
      <c r="X145" s="405">
        <v>0</v>
      </c>
      <c r="Y145" s="406">
        <v>0</v>
      </c>
      <c r="Z145" s="3"/>
      <c r="AA145" s="401">
        <v>459199</v>
      </c>
      <c r="AB145" s="329">
        <v>0</v>
      </c>
      <c r="AC145" s="329">
        <v>0</v>
      </c>
      <c r="AD145" s="329">
        <v>130</v>
      </c>
      <c r="AE145" s="329">
        <v>130</v>
      </c>
      <c r="AF145" s="329">
        <v>104</v>
      </c>
      <c r="AG145" s="329">
        <v>1321275</v>
      </c>
      <c r="AH145" s="3"/>
      <c r="AI145" s="401">
        <v>459199</v>
      </c>
      <c r="AJ145" s="329">
        <v>0</v>
      </c>
      <c r="AK145" s="329">
        <v>0</v>
      </c>
      <c r="AL145" s="329">
        <v>130</v>
      </c>
      <c r="AM145" s="329">
        <v>130</v>
      </c>
      <c r="AN145" s="329">
        <v>104</v>
      </c>
      <c r="AO145" s="329">
        <v>2024150</v>
      </c>
    </row>
    <row r="146" spans="1:41" ht="15.75">
      <c r="A146" s="167">
        <v>141</v>
      </c>
      <c r="B146" s="79" t="s">
        <v>105</v>
      </c>
      <c r="C146" s="452">
        <v>459200</v>
      </c>
      <c r="D146" s="458">
        <v>0</v>
      </c>
      <c r="E146" s="329">
        <v>91</v>
      </c>
      <c r="F146" s="329">
        <v>0</v>
      </c>
      <c r="G146" s="329">
        <v>0</v>
      </c>
      <c r="H146" s="329">
        <v>91</v>
      </c>
      <c r="I146" s="329">
        <v>0</v>
      </c>
      <c r="J146" s="329">
        <v>0</v>
      </c>
      <c r="K146" s="333">
        <v>0</v>
      </c>
      <c r="L146" s="333"/>
      <c r="M146" s="208"/>
      <c r="N146" s="401">
        <v>459200</v>
      </c>
      <c r="O146" s="329">
        <v>0</v>
      </c>
      <c r="P146" s="329">
        <v>0</v>
      </c>
      <c r="Q146" s="329">
        <v>91</v>
      </c>
      <c r="R146" s="333">
        <v>91</v>
      </c>
      <c r="S146" s="333">
        <v>1273745</v>
      </c>
      <c r="T146" s="3">
        <v>0.35</v>
      </c>
      <c r="U146" s="165">
        <f>VLOOKUP(N146,'[2]154'!$C$9:$T$554,18,0)</f>
        <v>305</v>
      </c>
      <c r="V146" s="401">
        <v>459200</v>
      </c>
      <c r="W146" s="406">
        <v>0</v>
      </c>
      <c r="X146" s="405">
        <v>0</v>
      </c>
      <c r="Y146" s="406">
        <v>0</v>
      </c>
      <c r="Z146" s="3"/>
      <c r="AA146" s="401">
        <v>459200</v>
      </c>
      <c r="AB146" s="329">
        <v>0</v>
      </c>
      <c r="AC146" s="329">
        <v>0</v>
      </c>
      <c r="AD146" s="329">
        <v>91</v>
      </c>
      <c r="AE146" s="329">
        <v>91</v>
      </c>
      <c r="AF146" s="329">
        <v>73</v>
      </c>
      <c r="AG146" s="329">
        <v>509571</v>
      </c>
      <c r="AH146" s="3"/>
      <c r="AI146" s="401">
        <v>459200</v>
      </c>
      <c r="AJ146" s="329">
        <v>0</v>
      </c>
      <c r="AK146" s="329">
        <v>0</v>
      </c>
      <c r="AL146" s="329">
        <v>91</v>
      </c>
      <c r="AM146" s="329">
        <v>91</v>
      </c>
      <c r="AN146" s="329">
        <v>73</v>
      </c>
      <c r="AO146" s="329">
        <v>764174</v>
      </c>
    </row>
    <row r="147" spans="1:41" ht="15.75">
      <c r="A147" s="167">
        <v>142</v>
      </c>
      <c r="B147" s="79" t="s">
        <v>105</v>
      </c>
      <c r="C147" s="452">
        <v>459648</v>
      </c>
      <c r="D147" s="458">
        <v>0</v>
      </c>
      <c r="E147" s="329">
        <v>111</v>
      </c>
      <c r="F147" s="329">
        <v>0</v>
      </c>
      <c r="G147" s="329">
        <v>0</v>
      </c>
      <c r="H147" s="329">
        <v>111</v>
      </c>
      <c r="I147" s="329">
        <v>0</v>
      </c>
      <c r="J147" s="329">
        <v>0</v>
      </c>
      <c r="K147" s="333">
        <v>0</v>
      </c>
      <c r="L147" s="333"/>
      <c r="M147" s="165"/>
      <c r="N147" s="401">
        <v>459648</v>
      </c>
      <c r="O147" s="329">
        <v>0</v>
      </c>
      <c r="P147" s="329">
        <v>0</v>
      </c>
      <c r="Q147" s="329">
        <v>111</v>
      </c>
      <c r="R147" s="333">
        <v>111</v>
      </c>
      <c r="S147" s="333">
        <v>1694143</v>
      </c>
      <c r="T147" s="3">
        <v>1.35</v>
      </c>
      <c r="U147" s="165">
        <f>VLOOKUP(N147,'[2]154'!$C$9:$T$554,18,0)</f>
        <v>111</v>
      </c>
      <c r="V147" s="401">
        <v>459648</v>
      </c>
      <c r="W147" s="406">
        <v>0</v>
      </c>
      <c r="X147" s="405">
        <v>0</v>
      </c>
      <c r="Y147" s="406">
        <v>0</v>
      </c>
      <c r="Z147" s="3"/>
      <c r="AA147" s="401">
        <v>459648</v>
      </c>
      <c r="AB147" s="329">
        <v>0</v>
      </c>
      <c r="AC147" s="329">
        <v>0</v>
      </c>
      <c r="AD147" s="329">
        <v>111</v>
      </c>
      <c r="AE147" s="329">
        <v>111</v>
      </c>
      <c r="AF147" s="329">
        <v>89</v>
      </c>
      <c r="AG147" s="329">
        <v>704031</v>
      </c>
      <c r="AH147" s="3"/>
      <c r="AI147" s="401">
        <v>459648</v>
      </c>
      <c r="AJ147" s="329">
        <v>0</v>
      </c>
      <c r="AK147" s="329">
        <v>0</v>
      </c>
      <c r="AL147" s="329">
        <v>111</v>
      </c>
      <c r="AM147" s="329">
        <v>111</v>
      </c>
      <c r="AN147" s="329">
        <v>89</v>
      </c>
      <c r="AO147" s="329">
        <v>990112</v>
      </c>
    </row>
    <row r="148" spans="1:41" ht="15.75">
      <c r="A148" s="167">
        <v>143</v>
      </c>
      <c r="B148" s="79" t="s">
        <v>105</v>
      </c>
      <c r="C148" s="452">
        <v>459700</v>
      </c>
      <c r="D148" s="458">
        <v>0</v>
      </c>
      <c r="E148" s="329">
        <v>78</v>
      </c>
      <c r="F148" s="329">
        <v>0</v>
      </c>
      <c r="G148" s="329">
        <v>0</v>
      </c>
      <c r="H148" s="329">
        <v>78</v>
      </c>
      <c r="I148" s="329">
        <v>0</v>
      </c>
      <c r="J148" s="329">
        <v>0</v>
      </c>
      <c r="K148" s="333">
        <v>0</v>
      </c>
      <c r="L148" s="333"/>
      <c r="M148" s="165"/>
      <c r="N148" s="401">
        <v>459700</v>
      </c>
      <c r="O148" s="329">
        <v>0</v>
      </c>
      <c r="P148" s="329">
        <v>0</v>
      </c>
      <c r="Q148" s="329">
        <v>78</v>
      </c>
      <c r="R148" s="333">
        <v>78</v>
      </c>
      <c r="S148" s="333">
        <v>941054</v>
      </c>
      <c r="T148" s="3">
        <v>1.35</v>
      </c>
      <c r="U148" s="165">
        <f>VLOOKUP(N148,'[2]154'!$C$9:$T$554,18,0)</f>
        <v>78</v>
      </c>
      <c r="V148" s="401">
        <v>459700</v>
      </c>
      <c r="W148" s="406">
        <v>0</v>
      </c>
      <c r="X148" s="405">
        <v>0</v>
      </c>
      <c r="Y148" s="406">
        <v>0</v>
      </c>
      <c r="Z148" s="3"/>
      <c r="AA148" s="401">
        <v>459700</v>
      </c>
      <c r="AB148" s="329">
        <v>0</v>
      </c>
      <c r="AC148" s="329">
        <v>0</v>
      </c>
      <c r="AD148" s="329">
        <v>78</v>
      </c>
      <c r="AE148" s="329">
        <v>78</v>
      </c>
      <c r="AF148" s="329">
        <v>62</v>
      </c>
      <c r="AG148" s="329">
        <v>391007</v>
      </c>
      <c r="AH148" s="3"/>
      <c r="AI148" s="401">
        <v>459700</v>
      </c>
      <c r="AJ148" s="329">
        <v>0</v>
      </c>
      <c r="AK148" s="329">
        <v>0</v>
      </c>
      <c r="AL148" s="329">
        <v>78</v>
      </c>
      <c r="AM148" s="329">
        <v>78</v>
      </c>
      <c r="AN148" s="329">
        <v>62</v>
      </c>
      <c r="AO148" s="329">
        <v>550047</v>
      </c>
    </row>
    <row r="149" spans="1:41" ht="15.75">
      <c r="A149" s="167">
        <v>144</v>
      </c>
      <c r="B149" s="79" t="s">
        <v>105</v>
      </c>
      <c r="C149" s="452">
        <v>459701</v>
      </c>
      <c r="D149" s="458">
        <v>0</v>
      </c>
      <c r="E149" s="329">
        <v>133</v>
      </c>
      <c r="F149" s="329">
        <v>0</v>
      </c>
      <c r="G149" s="329">
        <v>0</v>
      </c>
      <c r="H149" s="329">
        <v>133</v>
      </c>
      <c r="I149" s="329">
        <v>0</v>
      </c>
      <c r="J149" s="329">
        <v>0</v>
      </c>
      <c r="K149" s="333">
        <v>0</v>
      </c>
      <c r="L149" s="333"/>
      <c r="M149" s="208"/>
      <c r="N149" s="401">
        <v>459701</v>
      </c>
      <c r="O149" s="329">
        <v>0</v>
      </c>
      <c r="P149" s="329">
        <v>0</v>
      </c>
      <c r="Q149" s="329">
        <v>133</v>
      </c>
      <c r="R149" s="333">
        <v>133</v>
      </c>
      <c r="S149" s="333">
        <v>820425</v>
      </c>
      <c r="T149" s="3">
        <v>1.35</v>
      </c>
      <c r="U149" s="165">
        <f>VLOOKUP(N149,'[2]154'!$C$9:$T$554,18,0)</f>
        <v>133</v>
      </c>
      <c r="V149" s="401">
        <v>459701</v>
      </c>
      <c r="W149" s="406">
        <v>0</v>
      </c>
      <c r="X149" s="405">
        <v>0</v>
      </c>
      <c r="Y149" s="406">
        <v>0</v>
      </c>
      <c r="Z149" s="3"/>
      <c r="AA149" s="401">
        <v>459701</v>
      </c>
      <c r="AB149" s="329">
        <v>0</v>
      </c>
      <c r="AC149" s="329">
        <v>0</v>
      </c>
      <c r="AD149" s="329">
        <v>133</v>
      </c>
      <c r="AE149" s="329">
        <v>133</v>
      </c>
      <c r="AF149" s="329">
        <v>106</v>
      </c>
      <c r="AG149" s="329">
        <v>328384</v>
      </c>
      <c r="AH149" s="3"/>
      <c r="AI149" s="401">
        <v>459701</v>
      </c>
      <c r="AJ149" s="329">
        <v>0</v>
      </c>
      <c r="AK149" s="329">
        <v>0</v>
      </c>
      <c r="AL149" s="329">
        <v>133</v>
      </c>
      <c r="AM149" s="329">
        <v>133</v>
      </c>
      <c r="AN149" s="329">
        <v>106</v>
      </c>
      <c r="AO149" s="329">
        <v>492041</v>
      </c>
    </row>
    <row r="150" spans="1:41" ht="15.75">
      <c r="A150" s="167">
        <v>145</v>
      </c>
      <c r="B150" s="79" t="s">
        <v>105</v>
      </c>
      <c r="C150" s="452">
        <v>459702</v>
      </c>
      <c r="D150" s="458">
        <v>0</v>
      </c>
      <c r="E150" s="329">
        <v>42</v>
      </c>
      <c r="F150" s="329">
        <v>0</v>
      </c>
      <c r="G150" s="329">
        <v>0</v>
      </c>
      <c r="H150" s="329">
        <v>42</v>
      </c>
      <c r="I150" s="329">
        <v>0</v>
      </c>
      <c r="J150" s="329">
        <v>0</v>
      </c>
      <c r="K150" s="333">
        <v>0</v>
      </c>
      <c r="L150" s="333"/>
      <c r="M150" s="165"/>
      <c r="N150" s="401">
        <v>459702</v>
      </c>
      <c r="O150" s="329">
        <v>0</v>
      </c>
      <c r="P150" s="329">
        <v>0</v>
      </c>
      <c r="Q150" s="329">
        <v>42</v>
      </c>
      <c r="R150" s="333">
        <v>42</v>
      </c>
      <c r="S150" s="333">
        <v>611554</v>
      </c>
      <c r="T150" s="3">
        <v>1.35</v>
      </c>
      <c r="U150" s="165">
        <f>VLOOKUP(N150,'[2]154'!$C$9:$T$554,18,0)</f>
        <v>42</v>
      </c>
      <c r="V150" s="401">
        <v>459702</v>
      </c>
      <c r="W150" s="406">
        <v>0</v>
      </c>
      <c r="X150" s="405">
        <v>0</v>
      </c>
      <c r="Y150" s="406">
        <v>0</v>
      </c>
      <c r="Z150" s="3"/>
      <c r="AA150" s="401">
        <v>459702</v>
      </c>
      <c r="AB150" s="329">
        <v>0</v>
      </c>
      <c r="AC150" s="329">
        <v>0</v>
      </c>
      <c r="AD150" s="329">
        <v>42</v>
      </c>
      <c r="AE150" s="329">
        <v>42</v>
      </c>
      <c r="AF150" s="329">
        <v>34</v>
      </c>
      <c r="AG150" s="329">
        <v>241533</v>
      </c>
      <c r="AH150" s="3"/>
      <c r="AI150" s="401">
        <v>459702</v>
      </c>
      <c r="AJ150" s="329">
        <v>0</v>
      </c>
      <c r="AK150" s="329">
        <v>0</v>
      </c>
      <c r="AL150" s="329">
        <v>42</v>
      </c>
      <c r="AM150" s="329">
        <v>42</v>
      </c>
      <c r="AN150" s="329">
        <v>34</v>
      </c>
      <c r="AO150" s="329">
        <v>370021</v>
      </c>
    </row>
    <row r="151" spans="1:41" ht="15.75">
      <c r="A151" s="167">
        <v>146</v>
      </c>
      <c r="B151" s="79" t="s">
        <v>105</v>
      </c>
      <c r="C151" s="452">
        <v>459703</v>
      </c>
      <c r="D151" s="458">
        <v>0</v>
      </c>
      <c r="E151" s="329">
        <v>45</v>
      </c>
      <c r="F151" s="329">
        <v>0</v>
      </c>
      <c r="G151" s="329">
        <v>0</v>
      </c>
      <c r="H151" s="329">
        <v>45</v>
      </c>
      <c r="I151" s="329">
        <v>0</v>
      </c>
      <c r="J151" s="329">
        <v>0</v>
      </c>
      <c r="K151" s="333">
        <v>0</v>
      </c>
      <c r="L151" s="333"/>
      <c r="M151" s="165"/>
      <c r="N151" s="401">
        <v>459703</v>
      </c>
      <c r="O151" s="329">
        <v>0</v>
      </c>
      <c r="P151" s="329">
        <v>0</v>
      </c>
      <c r="Q151" s="329">
        <v>45</v>
      </c>
      <c r="R151" s="333">
        <v>45</v>
      </c>
      <c r="S151" s="333">
        <v>1129941</v>
      </c>
      <c r="T151" s="3">
        <v>0.35</v>
      </c>
      <c r="U151" s="165">
        <f>VLOOKUP(N151,'[2]154'!$C$9:$T$554,18,0)</f>
        <v>45</v>
      </c>
      <c r="V151" s="401">
        <v>459703</v>
      </c>
      <c r="W151" s="406">
        <v>0</v>
      </c>
      <c r="X151" s="405">
        <v>0</v>
      </c>
      <c r="Y151" s="406">
        <v>0</v>
      </c>
      <c r="Z151" s="3"/>
      <c r="AA151" s="401">
        <v>459703</v>
      </c>
      <c r="AB151" s="329">
        <v>0</v>
      </c>
      <c r="AC151" s="329">
        <v>0</v>
      </c>
      <c r="AD151" s="329">
        <v>45</v>
      </c>
      <c r="AE151" s="329">
        <v>45</v>
      </c>
      <c r="AF151" s="329">
        <v>36</v>
      </c>
      <c r="AG151" s="329">
        <v>469808</v>
      </c>
      <c r="AH151" s="3"/>
      <c r="AI151" s="401">
        <v>459703</v>
      </c>
      <c r="AJ151" s="329">
        <v>0</v>
      </c>
      <c r="AK151" s="329">
        <v>0</v>
      </c>
      <c r="AL151" s="329">
        <v>45</v>
      </c>
      <c r="AM151" s="329">
        <v>45</v>
      </c>
      <c r="AN151" s="329">
        <v>36</v>
      </c>
      <c r="AO151" s="329">
        <v>660133</v>
      </c>
    </row>
    <row r="152" spans="1:41" ht="15.75">
      <c r="A152" s="167">
        <v>147</v>
      </c>
      <c r="B152" s="79" t="s">
        <v>105</v>
      </c>
      <c r="C152" s="452">
        <v>459704</v>
      </c>
      <c r="D152" s="458">
        <v>0</v>
      </c>
      <c r="E152" s="329">
        <v>48</v>
      </c>
      <c r="F152" s="329">
        <v>0</v>
      </c>
      <c r="G152" s="329">
        <v>0</v>
      </c>
      <c r="H152" s="329">
        <v>48</v>
      </c>
      <c r="I152" s="329">
        <v>0</v>
      </c>
      <c r="J152" s="329">
        <v>0</v>
      </c>
      <c r="K152" s="333">
        <v>0</v>
      </c>
      <c r="L152" s="333"/>
      <c r="M152" s="208"/>
      <c r="N152" s="401">
        <v>459704</v>
      </c>
      <c r="O152" s="329">
        <v>0</v>
      </c>
      <c r="P152" s="329">
        <v>0</v>
      </c>
      <c r="Q152" s="329">
        <v>48</v>
      </c>
      <c r="R152" s="333">
        <v>48</v>
      </c>
      <c r="S152" s="333">
        <v>1383783</v>
      </c>
      <c r="T152" s="3">
        <v>1.55</v>
      </c>
      <c r="U152" s="165">
        <f>VLOOKUP(N152,'[2]154'!$C$9:$T$554,18,0)</f>
        <v>48</v>
      </c>
      <c r="V152" s="401">
        <v>459704</v>
      </c>
      <c r="W152" s="406">
        <v>0</v>
      </c>
      <c r="X152" s="405">
        <v>0</v>
      </c>
      <c r="Y152" s="406">
        <v>0</v>
      </c>
      <c r="Z152" s="3"/>
      <c r="AA152" s="401">
        <v>459704</v>
      </c>
      <c r="AB152" s="329">
        <v>0</v>
      </c>
      <c r="AC152" s="329">
        <v>0</v>
      </c>
      <c r="AD152" s="329">
        <v>48</v>
      </c>
      <c r="AE152" s="329">
        <v>48</v>
      </c>
      <c r="AF152" s="329">
        <v>38</v>
      </c>
      <c r="AG152" s="329">
        <v>575330</v>
      </c>
      <c r="AH152" s="3"/>
      <c r="AI152" s="401">
        <v>459704</v>
      </c>
      <c r="AJ152" s="329">
        <v>0</v>
      </c>
      <c r="AK152" s="329">
        <v>0</v>
      </c>
      <c r="AL152" s="329">
        <v>48</v>
      </c>
      <c r="AM152" s="329">
        <v>48</v>
      </c>
      <c r="AN152" s="329">
        <v>38</v>
      </c>
      <c r="AO152" s="329">
        <v>808453</v>
      </c>
    </row>
    <row r="153" spans="1:41" ht="15.75">
      <c r="A153" s="167">
        <v>148</v>
      </c>
      <c r="B153" s="79" t="s">
        <v>105</v>
      </c>
      <c r="C153" s="452">
        <v>459715</v>
      </c>
      <c r="D153" s="458">
        <v>0</v>
      </c>
      <c r="E153" s="329">
        <v>31</v>
      </c>
      <c r="F153" s="329">
        <v>0</v>
      </c>
      <c r="G153" s="329">
        <v>0</v>
      </c>
      <c r="H153" s="329">
        <v>31</v>
      </c>
      <c r="I153" s="329">
        <v>0</v>
      </c>
      <c r="J153" s="329">
        <v>0</v>
      </c>
      <c r="K153" s="333">
        <v>0</v>
      </c>
      <c r="L153" s="333"/>
      <c r="M153" s="165"/>
      <c r="N153" s="401">
        <v>459715</v>
      </c>
      <c r="O153" s="329">
        <v>0</v>
      </c>
      <c r="P153" s="329">
        <v>0</v>
      </c>
      <c r="Q153" s="329">
        <v>31</v>
      </c>
      <c r="R153" s="333">
        <v>31</v>
      </c>
      <c r="S153" s="333">
        <v>425258</v>
      </c>
      <c r="T153" s="3">
        <v>1.35</v>
      </c>
      <c r="U153" s="165">
        <f>VLOOKUP(N153,'[2]154'!$C$9:$T$554,18,0)</f>
        <v>31</v>
      </c>
      <c r="V153" s="401">
        <v>459715</v>
      </c>
      <c r="W153" s="406">
        <v>0</v>
      </c>
      <c r="X153" s="405">
        <v>0</v>
      </c>
      <c r="Y153" s="406">
        <v>0</v>
      </c>
      <c r="Z153" s="3"/>
      <c r="AA153" s="401">
        <v>459715</v>
      </c>
      <c r="AB153" s="329">
        <v>0</v>
      </c>
      <c r="AC153" s="329">
        <v>0</v>
      </c>
      <c r="AD153" s="329">
        <v>31</v>
      </c>
      <c r="AE153" s="329">
        <v>31</v>
      </c>
      <c r="AF153" s="329">
        <v>25</v>
      </c>
      <c r="AG153" s="329">
        <v>176611</v>
      </c>
      <c r="AH153" s="3"/>
      <c r="AI153" s="401">
        <v>459715</v>
      </c>
      <c r="AJ153" s="329">
        <v>0</v>
      </c>
      <c r="AK153" s="329">
        <v>0</v>
      </c>
      <c r="AL153" s="329">
        <v>31</v>
      </c>
      <c r="AM153" s="329">
        <v>31</v>
      </c>
      <c r="AN153" s="329">
        <v>25</v>
      </c>
      <c r="AO153" s="329">
        <v>248647</v>
      </c>
    </row>
    <row r="154" spans="1:41" ht="15.75">
      <c r="A154" s="167">
        <v>149</v>
      </c>
      <c r="B154" s="79" t="s">
        <v>105</v>
      </c>
      <c r="C154" s="452">
        <v>460424</v>
      </c>
      <c r="D154" s="458">
        <v>0</v>
      </c>
      <c r="E154" s="329">
        <v>208</v>
      </c>
      <c r="F154" s="329">
        <v>0</v>
      </c>
      <c r="G154" s="329">
        <v>0</v>
      </c>
      <c r="H154" s="329">
        <v>208</v>
      </c>
      <c r="I154" s="329">
        <v>0</v>
      </c>
      <c r="J154" s="329">
        <v>0</v>
      </c>
      <c r="K154" s="333">
        <v>0</v>
      </c>
      <c r="L154" s="333"/>
      <c r="M154" s="165"/>
      <c r="N154" s="401">
        <v>460424</v>
      </c>
      <c r="O154" s="329">
        <v>0</v>
      </c>
      <c r="P154" s="329">
        <v>0</v>
      </c>
      <c r="Q154" s="329">
        <v>208</v>
      </c>
      <c r="R154" s="333">
        <v>208</v>
      </c>
      <c r="S154" s="333">
        <v>7946444</v>
      </c>
      <c r="T154" s="3">
        <v>0.36</v>
      </c>
      <c r="U154" s="165">
        <f>VLOOKUP(N154,'[2]154'!$C$9:$T$554,18,0)</f>
        <v>208</v>
      </c>
      <c r="V154" s="401">
        <v>460424</v>
      </c>
      <c r="W154" s="406">
        <v>0</v>
      </c>
      <c r="X154" s="405">
        <v>0</v>
      </c>
      <c r="Y154" s="406">
        <v>0</v>
      </c>
      <c r="Z154" s="3"/>
      <c r="AA154" s="401">
        <v>460424</v>
      </c>
      <c r="AB154" s="329">
        <v>0</v>
      </c>
      <c r="AC154" s="329">
        <v>0</v>
      </c>
      <c r="AD154" s="329">
        <v>208</v>
      </c>
      <c r="AE154" s="329">
        <v>208</v>
      </c>
      <c r="AF154" s="329">
        <v>166</v>
      </c>
      <c r="AG154" s="329">
        <v>3138446</v>
      </c>
      <c r="AH154" s="3"/>
      <c r="AI154" s="401">
        <v>460424</v>
      </c>
      <c r="AJ154" s="329">
        <v>0</v>
      </c>
      <c r="AK154" s="329">
        <v>0</v>
      </c>
      <c r="AL154" s="329">
        <v>208</v>
      </c>
      <c r="AM154" s="329">
        <v>208</v>
      </c>
      <c r="AN154" s="329">
        <v>166</v>
      </c>
      <c r="AO154" s="329">
        <v>4807998</v>
      </c>
    </row>
    <row r="155" spans="1:41" ht="15.75">
      <c r="A155" s="167">
        <v>150</v>
      </c>
      <c r="B155" s="79" t="s">
        <v>105</v>
      </c>
      <c r="C155" s="452">
        <v>460886</v>
      </c>
      <c r="D155" s="458">
        <v>0</v>
      </c>
      <c r="E155" s="329">
        <v>30</v>
      </c>
      <c r="F155" s="329">
        <v>0</v>
      </c>
      <c r="G155" s="329">
        <v>0</v>
      </c>
      <c r="H155" s="329">
        <v>30</v>
      </c>
      <c r="I155" s="329">
        <v>0</v>
      </c>
      <c r="J155" s="329">
        <v>0</v>
      </c>
      <c r="K155" s="333">
        <v>0</v>
      </c>
      <c r="L155" s="333"/>
      <c r="M155" s="208"/>
      <c r="N155" s="401">
        <v>460886</v>
      </c>
      <c r="O155" s="329">
        <v>0</v>
      </c>
      <c r="P155" s="329">
        <v>0</v>
      </c>
      <c r="Q155" s="329">
        <v>30</v>
      </c>
      <c r="R155" s="333">
        <v>30</v>
      </c>
      <c r="S155" s="333">
        <v>893771</v>
      </c>
      <c r="T155" s="3">
        <v>1.6</v>
      </c>
      <c r="U155" s="165">
        <f>VLOOKUP(N155,'[2]154'!$C$9:$T$554,18,0)</f>
        <v>30</v>
      </c>
      <c r="V155" s="401">
        <v>460886</v>
      </c>
      <c r="W155" s="406">
        <v>0</v>
      </c>
      <c r="X155" s="405">
        <v>0</v>
      </c>
      <c r="Y155" s="406">
        <v>0</v>
      </c>
      <c r="Z155" s="3"/>
      <c r="AA155" s="401">
        <v>460886</v>
      </c>
      <c r="AB155" s="329">
        <v>0</v>
      </c>
      <c r="AC155" s="329">
        <v>0</v>
      </c>
      <c r="AD155" s="329">
        <v>30</v>
      </c>
      <c r="AE155" s="329">
        <v>30</v>
      </c>
      <c r="AF155" s="329">
        <v>24</v>
      </c>
      <c r="AG155" s="329">
        <v>372074</v>
      </c>
      <c r="AH155" s="3"/>
      <c r="AI155" s="401">
        <v>460886</v>
      </c>
      <c r="AJ155" s="329">
        <v>0</v>
      </c>
      <c r="AK155" s="329">
        <v>0</v>
      </c>
      <c r="AL155" s="329">
        <v>30</v>
      </c>
      <c r="AM155" s="329">
        <v>30</v>
      </c>
      <c r="AN155" s="329">
        <v>24</v>
      </c>
      <c r="AO155" s="329">
        <v>521697</v>
      </c>
    </row>
    <row r="156" spans="1:41" ht="15.75">
      <c r="A156" s="167">
        <v>151</v>
      </c>
      <c r="B156" s="79" t="s">
        <v>101</v>
      </c>
      <c r="C156" s="452">
        <v>100014612</v>
      </c>
      <c r="D156" s="458">
        <v>0</v>
      </c>
      <c r="E156" s="329">
        <v>223</v>
      </c>
      <c r="F156" s="329">
        <v>0</v>
      </c>
      <c r="G156" s="329">
        <v>0</v>
      </c>
      <c r="H156" s="329">
        <v>223</v>
      </c>
      <c r="I156" s="329">
        <v>0</v>
      </c>
      <c r="J156" s="329">
        <v>0</v>
      </c>
      <c r="K156" s="333">
        <v>0</v>
      </c>
      <c r="L156" s="333"/>
      <c r="M156" s="165"/>
      <c r="N156" s="401">
        <v>100014612</v>
      </c>
      <c r="O156" s="329">
        <v>0</v>
      </c>
      <c r="P156" s="329">
        <v>0</v>
      </c>
      <c r="Q156" s="329">
        <v>223</v>
      </c>
      <c r="R156" s="333">
        <v>223</v>
      </c>
      <c r="S156" s="333">
        <v>4289412</v>
      </c>
      <c r="T156" s="3">
        <v>0.35</v>
      </c>
      <c r="U156" s="165">
        <f>VLOOKUP(N156,'[2]154'!$C$9:$T$554,18,0)</f>
        <v>223</v>
      </c>
      <c r="V156" s="401">
        <v>100014612</v>
      </c>
      <c r="W156" s="406">
        <v>0</v>
      </c>
      <c r="X156" s="405">
        <v>0</v>
      </c>
      <c r="Y156" s="406">
        <v>0</v>
      </c>
      <c r="Z156" s="3"/>
      <c r="AA156" s="401">
        <v>100014612</v>
      </c>
      <c r="AB156" s="329">
        <v>0</v>
      </c>
      <c r="AC156" s="329">
        <v>0</v>
      </c>
      <c r="AD156" s="329">
        <v>223</v>
      </c>
      <c r="AE156" s="329">
        <v>223</v>
      </c>
      <c r="AF156" s="329">
        <v>178</v>
      </c>
      <c r="AG156" s="329">
        <v>1765302</v>
      </c>
      <c r="AH156" s="3"/>
      <c r="AI156" s="401">
        <v>100014612</v>
      </c>
      <c r="AJ156" s="329">
        <v>0</v>
      </c>
      <c r="AK156" s="329">
        <v>0</v>
      </c>
      <c r="AL156" s="329">
        <v>223</v>
      </c>
      <c r="AM156" s="329">
        <v>223</v>
      </c>
      <c r="AN156" s="329">
        <v>178</v>
      </c>
      <c r="AO156" s="329">
        <v>2524110</v>
      </c>
    </row>
    <row r="157" spans="1:41" ht="15.75">
      <c r="A157" s="167">
        <v>152</v>
      </c>
      <c r="B157" s="79" t="s">
        <v>101</v>
      </c>
      <c r="C157" s="452">
        <v>100014882</v>
      </c>
      <c r="D157" s="458">
        <v>0</v>
      </c>
      <c r="E157" s="329">
        <v>25</v>
      </c>
      <c r="F157" s="329">
        <v>0</v>
      </c>
      <c r="G157" s="329">
        <v>0</v>
      </c>
      <c r="H157" s="329">
        <v>25</v>
      </c>
      <c r="I157" s="329">
        <v>0</v>
      </c>
      <c r="J157" s="329">
        <v>0</v>
      </c>
      <c r="K157" s="333">
        <v>0</v>
      </c>
      <c r="L157" s="333"/>
      <c r="M157" s="165"/>
      <c r="N157" s="401">
        <v>100014882</v>
      </c>
      <c r="O157" s="329">
        <v>0</v>
      </c>
      <c r="P157" s="329">
        <v>0</v>
      </c>
      <c r="Q157" s="329">
        <v>25</v>
      </c>
      <c r="R157" s="333">
        <v>25</v>
      </c>
      <c r="S157" s="333">
        <v>1647624</v>
      </c>
      <c r="T157" s="3">
        <v>0.35</v>
      </c>
      <c r="U157" s="165">
        <f>VLOOKUP(N157,'[2]154'!$C$9:$T$554,18,0)</f>
        <v>25</v>
      </c>
      <c r="V157" s="401">
        <v>100014882</v>
      </c>
      <c r="W157" s="406">
        <v>0</v>
      </c>
      <c r="X157" s="405">
        <v>0</v>
      </c>
      <c r="Y157" s="406">
        <v>0</v>
      </c>
      <c r="Z157" s="3"/>
      <c r="AA157" s="401">
        <v>100014882</v>
      </c>
      <c r="AB157" s="329">
        <v>0</v>
      </c>
      <c r="AC157" s="329">
        <v>0</v>
      </c>
      <c r="AD157" s="329">
        <v>25</v>
      </c>
      <c r="AE157" s="329">
        <v>25</v>
      </c>
      <c r="AF157" s="329">
        <v>20</v>
      </c>
      <c r="AG157" s="329">
        <v>650729</v>
      </c>
      <c r="AH157" s="3"/>
      <c r="AI157" s="401">
        <v>100014882</v>
      </c>
      <c r="AJ157" s="329">
        <v>0</v>
      </c>
      <c r="AK157" s="329">
        <v>0</v>
      </c>
      <c r="AL157" s="329">
        <v>25</v>
      </c>
      <c r="AM157" s="329">
        <v>25</v>
      </c>
      <c r="AN157" s="329">
        <v>20</v>
      </c>
      <c r="AO157" s="329">
        <v>996895</v>
      </c>
    </row>
    <row r="158" spans="1:41" ht="15.75">
      <c r="A158" s="167">
        <v>153</v>
      </c>
      <c r="B158" s="79" t="s">
        <v>107</v>
      </c>
      <c r="C158" s="452" t="s">
        <v>600</v>
      </c>
      <c r="D158" s="458">
        <v>0</v>
      </c>
      <c r="E158" s="329">
        <v>362</v>
      </c>
      <c r="F158" s="329">
        <v>0</v>
      </c>
      <c r="G158" s="329">
        <v>0</v>
      </c>
      <c r="H158" s="329">
        <v>362</v>
      </c>
      <c r="I158" s="329">
        <v>0</v>
      </c>
      <c r="J158" s="329">
        <v>0</v>
      </c>
      <c r="K158" s="333">
        <v>0</v>
      </c>
      <c r="L158" s="333"/>
      <c r="M158" s="208"/>
      <c r="N158" s="398" t="s">
        <v>600</v>
      </c>
      <c r="O158" s="329">
        <v>0</v>
      </c>
      <c r="P158" s="329">
        <v>0</v>
      </c>
      <c r="Q158" s="329">
        <v>362</v>
      </c>
      <c r="R158" s="333">
        <v>362</v>
      </c>
      <c r="S158" s="333">
        <v>4003608</v>
      </c>
      <c r="T158" s="3">
        <v>0.35</v>
      </c>
      <c r="U158" s="165">
        <f>VLOOKUP(N158,'[2]154'!$C$9:$T$554,18,0)</f>
        <v>362</v>
      </c>
      <c r="V158" s="398" t="s">
        <v>600</v>
      </c>
      <c r="W158" s="406">
        <v>0</v>
      </c>
      <c r="X158" s="405">
        <v>0</v>
      </c>
      <c r="Y158" s="406">
        <v>0</v>
      </c>
      <c r="Z158" s="3"/>
      <c r="AA158" s="398" t="s">
        <v>600</v>
      </c>
      <c r="AB158" s="329">
        <v>0</v>
      </c>
      <c r="AC158" s="329">
        <v>0</v>
      </c>
      <c r="AD158" s="329">
        <v>362</v>
      </c>
      <c r="AE158" s="329">
        <v>362</v>
      </c>
      <c r="AF158" s="329">
        <v>290</v>
      </c>
      <c r="AG158" s="329">
        <v>1581224</v>
      </c>
      <c r="AH158" s="3"/>
      <c r="AI158" s="398" t="s">
        <v>600</v>
      </c>
      <c r="AJ158" s="329">
        <v>0</v>
      </c>
      <c r="AK158" s="329">
        <v>0</v>
      </c>
      <c r="AL158" s="329">
        <v>362</v>
      </c>
      <c r="AM158" s="329">
        <v>362</v>
      </c>
      <c r="AN158" s="329">
        <v>290</v>
      </c>
      <c r="AO158" s="329">
        <v>2422384</v>
      </c>
    </row>
    <row r="159" spans="1:41" ht="15.75">
      <c r="A159" s="167">
        <v>154</v>
      </c>
      <c r="B159" s="79" t="s">
        <v>107</v>
      </c>
      <c r="C159" s="452" t="s">
        <v>235</v>
      </c>
      <c r="D159" s="458">
        <v>0</v>
      </c>
      <c r="E159" s="329">
        <v>213</v>
      </c>
      <c r="F159" s="329">
        <v>0</v>
      </c>
      <c r="G159" s="329">
        <v>0</v>
      </c>
      <c r="H159" s="329">
        <v>213</v>
      </c>
      <c r="I159" s="329">
        <v>0</v>
      </c>
      <c r="J159" s="329">
        <v>0</v>
      </c>
      <c r="K159" s="333">
        <v>0</v>
      </c>
      <c r="L159" s="333"/>
      <c r="M159" s="165"/>
      <c r="N159" s="398" t="s">
        <v>235</v>
      </c>
      <c r="O159" s="329">
        <v>0</v>
      </c>
      <c r="P159" s="329">
        <v>0</v>
      </c>
      <c r="Q159" s="329">
        <v>213</v>
      </c>
      <c r="R159" s="333">
        <v>213</v>
      </c>
      <c r="S159" s="333">
        <v>2119016</v>
      </c>
      <c r="T159" s="3">
        <v>0.35</v>
      </c>
      <c r="U159" s="165">
        <f>VLOOKUP(N159,'[2]154'!$C$9:$T$554,18,0)</f>
        <v>213</v>
      </c>
      <c r="V159" s="398" t="s">
        <v>235</v>
      </c>
      <c r="W159" s="406">
        <v>0</v>
      </c>
      <c r="X159" s="405">
        <v>0</v>
      </c>
      <c r="Y159" s="406">
        <v>0</v>
      </c>
      <c r="Z159" s="3"/>
      <c r="AA159" s="398" t="s">
        <v>235</v>
      </c>
      <c r="AB159" s="329">
        <v>0</v>
      </c>
      <c r="AC159" s="329">
        <v>0</v>
      </c>
      <c r="AD159" s="329">
        <v>213</v>
      </c>
      <c r="AE159" s="329">
        <v>213</v>
      </c>
      <c r="AF159" s="329">
        <v>170</v>
      </c>
      <c r="AG159" s="329">
        <v>887367</v>
      </c>
      <c r="AH159" s="3"/>
      <c r="AI159" s="398" t="s">
        <v>235</v>
      </c>
      <c r="AJ159" s="329">
        <v>0</v>
      </c>
      <c r="AK159" s="329">
        <v>0</v>
      </c>
      <c r="AL159" s="329">
        <v>213</v>
      </c>
      <c r="AM159" s="329">
        <v>213</v>
      </c>
      <c r="AN159" s="329">
        <v>170</v>
      </c>
      <c r="AO159" s="329">
        <v>1231649</v>
      </c>
    </row>
    <row r="160" spans="1:41" ht="15.75">
      <c r="A160" s="167">
        <v>155</v>
      </c>
      <c r="B160" s="79" t="s">
        <v>161</v>
      </c>
      <c r="C160" s="452">
        <v>100008562</v>
      </c>
      <c r="D160" s="458">
        <v>0</v>
      </c>
      <c r="E160" s="329">
        <v>55</v>
      </c>
      <c r="F160" s="329">
        <v>0</v>
      </c>
      <c r="G160" s="329">
        <v>0</v>
      </c>
      <c r="H160" s="329">
        <v>55</v>
      </c>
      <c r="I160" s="329">
        <v>0</v>
      </c>
      <c r="J160" s="329">
        <v>0</v>
      </c>
      <c r="K160" s="333">
        <v>0</v>
      </c>
      <c r="L160" s="333"/>
      <c r="M160" s="165"/>
      <c r="N160" s="401">
        <v>100008562</v>
      </c>
      <c r="O160" s="329">
        <v>0</v>
      </c>
      <c r="P160" s="329">
        <v>0</v>
      </c>
      <c r="Q160" s="329">
        <v>55</v>
      </c>
      <c r="R160" s="333">
        <v>55</v>
      </c>
      <c r="S160" s="333">
        <v>459501</v>
      </c>
      <c r="T160" s="3">
        <v>0.35</v>
      </c>
      <c r="U160" s="165">
        <f>VLOOKUP(N160,'[2]154'!$C$9:$T$554,18,0)</f>
        <v>65</v>
      </c>
      <c r="V160" s="401">
        <v>100008562</v>
      </c>
      <c r="W160" s="406">
        <v>0</v>
      </c>
      <c r="X160" s="405">
        <v>0</v>
      </c>
      <c r="Y160" s="406">
        <v>0</v>
      </c>
      <c r="Z160" s="3"/>
      <c r="AA160" s="401">
        <v>100008562</v>
      </c>
      <c r="AB160" s="329">
        <v>0</v>
      </c>
      <c r="AC160" s="329">
        <v>0</v>
      </c>
      <c r="AD160" s="329">
        <v>55</v>
      </c>
      <c r="AE160" s="329">
        <v>55</v>
      </c>
      <c r="AF160" s="329">
        <v>44</v>
      </c>
      <c r="AG160" s="329">
        <v>193134</v>
      </c>
      <c r="AH160" s="3"/>
      <c r="AI160" s="401">
        <v>100008562</v>
      </c>
      <c r="AJ160" s="329">
        <v>0</v>
      </c>
      <c r="AK160" s="329">
        <v>0</v>
      </c>
      <c r="AL160" s="329">
        <v>55</v>
      </c>
      <c r="AM160" s="329">
        <v>55</v>
      </c>
      <c r="AN160" s="329">
        <v>44</v>
      </c>
      <c r="AO160" s="329">
        <v>266367</v>
      </c>
    </row>
    <row r="161" spans="1:41" ht="15.75">
      <c r="A161" s="167">
        <v>156</v>
      </c>
      <c r="B161" s="79" t="s">
        <v>161</v>
      </c>
      <c r="C161" s="452">
        <v>100008572</v>
      </c>
      <c r="D161" s="458">
        <v>0</v>
      </c>
      <c r="E161" s="329">
        <v>126</v>
      </c>
      <c r="F161" s="329">
        <v>0</v>
      </c>
      <c r="G161" s="329">
        <v>0</v>
      </c>
      <c r="H161" s="329">
        <v>126</v>
      </c>
      <c r="I161" s="329">
        <v>0</v>
      </c>
      <c r="J161" s="329">
        <v>0</v>
      </c>
      <c r="K161" s="333">
        <v>0</v>
      </c>
      <c r="L161" s="333"/>
      <c r="M161" s="208"/>
      <c r="N161" s="401">
        <v>100008572</v>
      </c>
      <c r="O161" s="329">
        <v>0</v>
      </c>
      <c r="P161" s="329">
        <v>0</v>
      </c>
      <c r="Q161" s="329">
        <v>126</v>
      </c>
      <c r="R161" s="333">
        <v>126</v>
      </c>
      <c r="S161" s="333">
        <v>1228018</v>
      </c>
      <c r="T161" s="3">
        <v>0.36</v>
      </c>
      <c r="U161" s="165">
        <f>VLOOKUP(N161,'[2]154'!$C$9:$T$554,18,0)</f>
        <v>171</v>
      </c>
      <c r="V161" s="401">
        <v>100008572</v>
      </c>
      <c r="W161" s="406">
        <v>0</v>
      </c>
      <c r="X161" s="405">
        <v>0</v>
      </c>
      <c r="Y161" s="406">
        <v>0</v>
      </c>
      <c r="Z161" s="3"/>
      <c r="AA161" s="401">
        <v>100008572</v>
      </c>
      <c r="AB161" s="329">
        <v>0</v>
      </c>
      <c r="AC161" s="329">
        <v>0</v>
      </c>
      <c r="AD161" s="329">
        <v>126</v>
      </c>
      <c r="AE161" s="329">
        <v>126</v>
      </c>
      <c r="AF161" s="329">
        <v>101</v>
      </c>
      <c r="AG161" s="329">
        <v>516151</v>
      </c>
      <c r="AH161" s="3"/>
      <c r="AI161" s="401">
        <v>100008572</v>
      </c>
      <c r="AJ161" s="329">
        <v>0</v>
      </c>
      <c r="AK161" s="329">
        <v>0</v>
      </c>
      <c r="AL161" s="329">
        <v>126</v>
      </c>
      <c r="AM161" s="329">
        <v>126</v>
      </c>
      <c r="AN161" s="329">
        <v>101</v>
      </c>
      <c r="AO161" s="329">
        <v>711867</v>
      </c>
    </row>
    <row r="162" spans="1:41" ht="15.75">
      <c r="A162" s="167">
        <v>157</v>
      </c>
      <c r="B162" s="79" t="s">
        <v>161</v>
      </c>
      <c r="C162" s="452">
        <v>100008587</v>
      </c>
      <c r="D162" s="458">
        <v>0</v>
      </c>
      <c r="E162" s="329">
        <v>113</v>
      </c>
      <c r="F162" s="329">
        <v>0</v>
      </c>
      <c r="G162" s="329">
        <v>0</v>
      </c>
      <c r="H162" s="329">
        <v>113</v>
      </c>
      <c r="I162" s="329">
        <v>0</v>
      </c>
      <c r="J162" s="329">
        <v>0</v>
      </c>
      <c r="K162" s="333">
        <v>0</v>
      </c>
      <c r="L162" s="333"/>
      <c r="M162" s="165"/>
      <c r="N162" s="401">
        <v>100008587</v>
      </c>
      <c r="O162" s="329">
        <v>0</v>
      </c>
      <c r="P162" s="329">
        <v>0</v>
      </c>
      <c r="Q162" s="329">
        <v>113</v>
      </c>
      <c r="R162" s="333">
        <v>113</v>
      </c>
      <c r="S162" s="333">
        <v>2106654</v>
      </c>
      <c r="T162" s="3">
        <v>0.36</v>
      </c>
      <c r="U162" s="165">
        <f>VLOOKUP(N162,'[2]154'!$C$9:$T$554,18,0)</f>
        <v>121</v>
      </c>
      <c r="V162" s="401">
        <v>100008587</v>
      </c>
      <c r="W162" s="406">
        <v>0</v>
      </c>
      <c r="X162" s="405">
        <v>0</v>
      </c>
      <c r="Y162" s="406">
        <v>0</v>
      </c>
      <c r="Z162" s="3"/>
      <c r="AA162" s="401">
        <v>100008587</v>
      </c>
      <c r="AB162" s="329">
        <v>0</v>
      </c>
      <c r="AC162" s="329">
        <v>0</v>
      </c>
      <c r="AD162" s="329">
        <v>113</v>
      </c>
      <c r="AE162" s="329">
        <v>113</v>
      </c>
      <c r="AF162" s="329">
        <v>90</v>
      </c>
      <c r="AG162" s="329">
        <v>885453</v>
      </c>
      <c r="AH162" s="3"/>
      <c r="AI162" s="401">
        <v>100008587</v>
      </c>
      <c r="AJ162" s="329">
        <v>0</v>
      </c>
      <c r="AK162" s="329">
        <v>0</v>
      </c>
      <c r="AL162" s="329">
        <v>113</v>
      </c>
      <c r="AM162" s="329">
        <v>113</v>
      </c>
      <c r="AN162" s="329">
        <v>90</v>
      </c>
      <c r="AO162" s="329">
        <v>1221201</v>
      </c>
    </row>
    <row r="163" spans="1:41" ht="15.75">
      <c r="A163" s="167">
        <v>158</v>
      </c>
      <c r="B163" s="79" t="s">
        <v>161</v>
      </c>
      <c r="C163" s="452">
        <v>100008588</v>
      </c>
      <c r="D163" s="458">
        <v>0</v>
      </c>
      <c r="E163" s="329">
        <v>51</v>
      </c>
      <c r="F163" s="329">
        <v>0</v>
      </c>
      <c r="G163" s="329">
        <v>0</v>
      </c>
      <c r="H163" s="329">
        <v>51</v>
      </c>
      <c r="I163" s="329">
        <v>0</v>
      </c>
      <c r="J163" s="329">
        <v>0</v>
      </c>
      <c r="K163" s="333">
        <v>0</v>
      </c>
      <c r="L163" s="333"/>
      <c r="M163" s="165"/>
      <c r="N163" s="401">
        <v>100008588</v>
      </c>
      <c r="O163" s="329">
        <v>0</v>
      </c>
      <c r="P163" s="329">
        <v>0</v>
      </c>
      <c r="Q163" s="329">
        <v>51</v>
      </c>
      <c r="R163" s="333">
        <v>51</v>
      </c>
      <c r="S163" s="333">
        <v>450339</v>
      </c>
      <c r="T163" s="3">
        <v>0.35</v>
      </c>
      <c r="U163" s="165">
        <f>VLOOKUP(N163,'[2]154'!$C$9:$T$554,18,0)</f>
        <v>62</v>
      </c>
      <c r="V163" s="401">
        <v>100008588</v>
      </c>
      <c r="W163" s="406">
        <v>0</v>
      </c>
      <c r="X163" s="405">
        <v>0</v>
      </c>
      <c r="Y163" s="406">
        <v>0</v>
      </c>
      <c r="Z163" s="3"/>
      <c r="AA163" s="401">
        <v>100008588</v>
      </c>
      <c r="AB163" s="329">
        <v>0</v>
      </c>
      <c r="AC163" s="329">
        <v>0</v>
      </c>
      <c r="AD163" s="329">
        <v>51</v>
      </c>
      <c r="AE163" s="329">
        <v>51</v>
      </c>
      <c r="AF163" s="329">
        <v>41</v>
      </c>
      <c r="AG163" s="329">
        <v>189283</v>
      </c>
      <c r="AH163" s="3"/>
      <c r="AI163" s="401">
        <v>100008588</v>
      </c>
      <c r="AJ163" s="329">
        <v>0</v>
      </c>
      <c r="AK163" s="329">
        <v>0</v>
      </c>
      <c r="AL163" s="329">
        <v>51</v>
      </c>
      <c r="AM163" s="329">
        <v>51</v>
      </c>
      <c r="AN163" s="329">
        <v>41</v>
      </c>
      <c r="AO163" s="329">
        <v>261056</v>
      </c>
    </row>
    <row r="164" spans="1:41" ht="15.75">
      <c r="A164" s="167">
        <v>159</v>
      </c>
      <c r="B164" s="79" t="s">
        <v>161</v>
      </c>
      <c r="C164" s="452">
        <v>100008624</v>
      </c>
      <c r="D164" s="458">
        <v>0</v>
      </c>
      <c r="E164" s="329">
        <v>143</v>
      </c>
      <c r="F164" s="329">
        <v>0</v>
      </c>
      <c r="G164" s="329">
        <v>0</v>
      </c>
      <c r="H164" s="329">
        <v>143</v>
      </c>
      <c r="I164" s="329">
        <v>0</v>
      </c>
      <c r="J164" s="329">
        <v>0</v>
      </c>
      <c r="K164" s="333">
        <v>0</v>
      </c>
      <c r="L164" s="333"/>
      <c r="M164" s="208"/>
      <c r="N164" s="401">
        <v>100008624</v>
      </c>
      <c r="O164" s="329">
        <v>0</v>
      </c>
      <c r="P164" s="329">
        <v>0</v>
      </c>
      <c r="Q164" s="329">
        <v>143</v>
      </c>
      <c r="R164" s="333">
        <v>143</v>
      </c>
      <c r="S164" s="333">
        <v>4971540</v>
      </c>
      <c r="T164" s="3">
        <v>0.35</v>
      </c>
      <c r="U164" s="165">
        <f>VLOOKUP(N164,'[2]154'!$C$9:$T$554,18,0)</f>
        <v>397</v>
      </c>
      <c r="V164" s="401">
        <v>100008624</v>
      </c>
      <c r="W164" s="406">
        <v>0</v>
      </c>
      <c r="X164" s="405">
        <v>0</v>
      </c>
      <c r="Y164" s="406">
        <v>0</v>
      </c>
      <c r="Z164" s="3"/>
      <c r="AA164" s="401">
        <v>100008624</v>
      </c>
      <c r="AB164" s="329">
        <v>0</v>
      </c>
      <c r="AC164" s="329">
        <v>0</v>
      </c>
      <c r="AD164" s="329">
        <v>143</v>
      </c>
      <c r="AE164" s="329">
        <v>143</v>
      </c>
      <c r="AF164" s="329">
        <v>114</v>
      </c>
      <c r="AG164" s="329">
        <v>2089600</v>
      </c>
      <c r="AH164" s="3"/>
      <c r="AI164" s="401">
        <v>100008624</v>
      </c>
      <c r="AJ164" s="329">
        <v>0</v>
      </c>
      <c r="AK164" s="329">
        <v>0</v>
      </c>
      <c r="AL164" s="329">
        <v>143</v>
      </c>
      <c r="AM164" s="329">
        <v>143</v>
      </c>
      <c r="AN164" s="329">
        <v>114</v>
      </c>
      <c r="AO164" s="329">
        <v>2881940</v>
      </c>
    </row>
    <row r="165" spans="1:41" ht="15.75">
      <c r="A165" s="167">
        <v>160</v>
      </c>
      <c r="B165" s="79" t="s">
        <v>161</v>
      </c>
      <c r="C165" s="452">
        <v>100008652</v>
      </c>
      <c r="D165" s="458">
        <v>0</v>
      </c>
      <c r="E165" s="329">
        <v>122</v>
      </c>
      <c r="F165" s="329">
        <v>0</v>
      </c>
      <c r="G165" s="329">
        <v>0</v>
      </c>
      <c r="H165" s="329">
        <v>122</v>
      </c>
      <c r="I165" s="329">
        <v>0</v>
      </c>
      <c r="J165" s="329">
        <v>0</v>
      </c>
      <c r="K165" s="333">
        <v>0</v>
      </c>
      <c r="L165" s="333"/>
      <c r="M165" s="165"/>
      <c r="N165" s="401">
        <v>100008652</v>
      </c>
      <c r="O165" s="329">
        <v>0</v>
      </c>
      <c r="P165" s="329">
        <v>0</v>
      </c>
      <c r="Q165" s="329">
        <v>122</v>
      </c>
      <c r="R165" s="333">
        <v>122</v>
      </c>
      <c r="S165" s="333">
        <v>6836626</v>
      </c>
      <c r="T165" s="3">
        <v>0.35</v>
      </c>
      <c r="U165" s="165">
        <f>VLOOKUP(N165,'[2]154'!$C$9:$T$554,18,0)</f>
        <v>145</v>
      </c>
      <c r="V165" s="401">
        <v>100008652</v>
      </c>
      <c r="W165" s="406">
        <v>0</v>
      </c>
      <c r="X165" s="405">
        <v>0</v>
      </c>
      <c r="Y165" s="406">
        <v>0</v>
      </c>
      <c r="Z165" s="3"/>
      <c r="AA165" s="401">
        <v>100008652</v>
      </c>
      <c r="AB165" s="329">
        <v>0</v>
      </c>
      <c r="AC165" s="329">
        <v>0</v>
      </c>
      <c r="AD165" s="329">
        <v>122</v>
      </c>
      <c r="AE165" s="329">
        <v>122</v>
      </c>
      <c r="AF165" s="329">
        <v>98</v>
      </c>
      <c r="AG165" s="329">
        <v>2873519</v>
      </c>
      <c r="AH165" s="3"/>
      <c r="AI165" s="401">
        <v>100008652</v>
      </c>
      <c r="AJ165" s="329">
        <v>0</v>
      </c>
      <c r="AK165" s="329">
        <v>0</v>
      </c>
      <c r="AL165" s="329">
        <v>122</v>
      </c>
      <c r="AM165" s="329">
        <v>122</v>
      </c>
      <c r="AN165" s="329">
        <v>98</v>
      </c>
      <c r="AO165" s="329">
        <v>3963107</v>
      </c>
    </row>
    <row r="166" spans="1:41" ht="15.75">
      <c r="A166" s="167">
        <v>161</v>
      </c>
      <c r="B166" s="79" t="s">
        <v>161</v>
      </c>
      <c r="C166" s="452">
        <v>100008653</v>
      </c>
      <c r="D166" s="458">
        <v>0</v>
      </c>
      <c r="E166" s="329">
        <v>69</v>
      </c>
      <c r="F166" s="329">
        <v>0</v>
      </c>
      <c r="G166" s="329">
        <v>0</v>
      </c>
      <c r="H166" s="329">
        <v>69</v>
      </c>
      <c r="I166" s="329">
        <v>0</v>
      </c>
      <c r="J166" s="329">
        <v>0</v>
      </c>
      <c r="K166" s="333">
        <v>0</v>
      </c>
      <c r="L166" s="333"/>
      <c r="M166" s="165"/>
      <c r="N166" s="401">
        <v>100008653</v>
      </c>
      <c r="O166" s="329">
        <v>0</v>
      </c>
      <c r="P166" s="329">
        <v>0</v>
      </c>
      <c r="Q166" s="329">
        <v>69</v>
      </c>
      <c r="R166" s="333">
        <v>69</v>
      </c>
      <c r="S166" s="333">
        <v>1249892</v>
      </c>
      <c r="T166" s="3">
        <v>0.35</v>
      </c>
      <c r="U166" s="165">
        <f>VLOOKUP(N166,'[2]154'!$C$9:$T$554,18,0)</f>
        <v>195</v>
      </c>
      <c r="V166" s="401">
        <v>100008653</v>
      </c>
      <c r="W166" s="406">
        <v>0</v>
      </c>
      <c r="X166" s="405">
        <v>0</v>
      </c>
      <c r="Y166" s="406">
        <v>0</v>
      </c>
      <c r="Z166" s="3"/>
      <c r="AA166" s="401">
        <v>100008653</v>
      </c>
      <c r="AB166" s="329">
        <v>0</v>
      </c>
      <c r="AC166" s="329">
        <v>0</v>
      </c>
      <c r="AD166" s="329">
        <v>69</v>
      </c>
      <c r="AE166" s="329">
        <v>69</v>
      </c>
      <c r="AF166" s="329">
        <v>55</v>
      </c>
      <c r="AG166" s="329">
        <v>525345</v>
      </c>
      <c r="AH166" s="3"/>
      <c r="AI166" s="401">
        <v>100008653</v>
      </c>
      <c r="AJ166" s="329">
        <v>0</v>
      </c>
      <c r="AK166" s="329">
        <v>0</v>
      </c>
      <c r="AL166" s="329">
        <v>69</v>
      </c>
      <c r="AM166" s="329">
        <v>69</v>
      </c>
      <c r="AN166" s="329">
        <v>55</v>
      </c>
      <c r="AO166" s="329">
        <v>724547</v>
      </c>
    </row>
    <row r="167" spans="1:41" ht="15.75">
      <c r="A167" s="167">
        <v>162</v>
      </c>
      <c r="B167" s="79" t="s">
        <v>161</v>
      </c>
      <c r="C167" s="452">
        <v>100008702</v>
      </c>
      <c r="D167" s="458">
        <v>0</v>
      </c>
      <c r="E167" s="329">
        <v>59</v>
      </c>
      <c r="F167" s="329">
        <v>0</v>
      </c>
      <c r="G167" s="329">
        <v>0</v>
      </c>
      <c r="H167" s="329">
        <v>59</v>
      </c>
      <c r="I167" s="329">
        <v>0</v>
      </c>
      <c r="J167" s="329">
        <v>0</v>
      </c>
      <c r="K167" s="333">
        <v>0</v>
      </c>
      <c r="L167" s="333"/>
      <c r="M167" s="208"/>
      <c r="N167" s="401">
        <v>100008702</v>
      </c>
      <c r="O167" s="329">
        <v>0</v>
      </c>
      <c r="P167" s="329">
        <v>0</v>
      </c>
      <c r="Q167" s="329">
        <v>59</v>
      </c>
      <c r="R167" s="333">
        <v>59</v>
      </c>
      <c r="S167" s="333">
        <v>1009711</v>
      </c>
      <c r="T167" s="3">
        <v>0.35</v>
      </c>
      <c r="U167" s="165">
        <f>VLOOKUP(N167,'[2]154'!$C$9:$T$554,18,0)</f>
        <v>200</v>
      </c>
      <c r="V167" s="401">
        <v>100008702</v>
      </c>
      <c r="W167" s="406">
        <v>0</v>
      </c>
      <c r="X167" s="405">
        <v>0</v>
      </c>
      <c r="Y167" s="406">
        <v>0</v>
      </c>
      <c r="Z167" s="3"/>
      <c r="AA167" s="401">
        <v>100008702</v>
      </c>
      <c r="AB167" s="329">
        <v>0</v>
      </c>
      <c r="AC167" s="329">
        <v>0</v>
      </c>
      <c r="AD167" s="329">
        <v>59</v>
      </c>
      <c r="AE167" s="329">
        <v>59</v>
      </c>
      <c r="AF167" s="329">
        <v>47</v>
      </c>
      <c r="AG167" s="329">
        <v>424394</v>
      </c>
      <c r="AH167" s="3"/>
      <c r="AI167" s="401">
        <v>100008702</v>
      </c>
      <c r="AJ167" s="329">
        <v>0</v>
      </c>
      <c r="AK167" s="329">
        <v>0</v>
      </c>
      <c r="AL167" s="329">
        <v>59</v>
      </c>
      <c r="AM167" s="329">
        <v>59</v>
      </c>
      <c r="AN167" s="329">
        <v>47</v>
      </c>
      <c r="AO167" s="329">
        <v>585317</v>
      </c>
    </row>
    <row r="168" spans="1:41" ht="15.75">
      <c r="A168" s="167">
        <v>163</v>
      </c>
      <c r="B168" s="79" t="s">
        <v>161</v>
      </c>
      <c r="C168" s="452">
        <v>100008703</v>
      </c>
      <c r="D168" s="458">
        <v>0</v>
      </c>
      <c r="E168" s="329">
        <v>78</v>
      </c>
      <c r="F168" s="329">
        <v>0</v>
      </c>
      <c r="G168" s="329">
        <v>0</v>
      </c>
      <c r="H168" s="329">
        <v>78</v>
      </c>
      <c r="I168" s="329">
        <v>0</v>
      </c>
      <c r="J168" s="329">
        <v>0</v>
      </c>
      <c r="K168" s="333">
        <v>0</v>
      </c>
      <c r="L168" s="333"/>
      <c r="M168" s="165"/>
      <c r="N168" s="401">
        <v>100008703</v>
      </c>
      <c r="O168" s="329">
        <v>0</v>
      </c>
      <c r="P168" s="329">
        <v>0</v>
      </c>
      <c r="Q168" s="329">
        <v>78</v>
      </c>
      <c r="R168" s="333">
        <v>78</v>
      </c>
      <c r="S168" s="333">
        <v>1950919</v>
      </c>
      <c r="T168" s="3">
        <v>0.35</v>
      </c>
      <c r="U168" s="165">
        <f>VLOOKUP(N168,'[2]154'!$C$9:$T$554,18,0)</f>
        <v>78</v>
      </c>
      <c r="V168" s="401">
        <v>100008703</v>
      </c>
      <c r="W168" s="406">
        <v>0</v>
      </c>
      <c r="X168" s="405">
        <v>0</v>
      </c>
      <c r="Y168" s="406">
        <v>0</v>
      </c>
      <c r="Z168" s="3"/>
      <c r="AA168" s="401">
        <v>100008703</v>
      </c>
      <c r="AB168" s="329">
        <v>0</v>
      </c>
      <c r="AC168" s="329">
        <v>0</v>
      </c>
      <c r="AD168" s="329">
        <v>78</v>
      </c>
      <c r="AE168" s="329">
        <v>78</v>
      </c>
      <c r="AF168" s="329">
        <v>62</v>
      </c>
      <c r="AG168" s="329">
        <v>825890</v>
      </c>
      <c r="AH168" s="3"/>
      <c r="AI168" s="401">
        <v>100008703</v>
      </c>
      <c r="AJ168" s="329">
        <v>0</v>
      </c>
      <c r="AK168" s="329">
        <v>0</v>
      </c>
      <c r="AL168" s="329">
        <v>78</v>
      </c>
      <c r="AM168" s="329">
        <v>78</v>
      </c>
      <c r="AN168" s="329">
        <v>62</v>
      </c>
      <c r="AO168" s="329">
        <v>1125029</v>
      </c>
    </row>
    <row r="169" spans="1:41" ht="15.75">
      <c r="A169" s="167">
        <v>164</v>
      </c>
      <c r="B169" s="79" t="s">
        <v>161</v>
      </c>
      <c r="C169" s="452">
        <v>100008704</v>
      </c>
      <c r="D169" s="458">
        <v>8432</v>
      </c>
      <c r="E169" s="329">
        <v>102</v>
      </c>
      <c r="F169" s="329">
        <v>0</v>
      </c>
      <c r="G169" s="329">
        <v>0</v>
      </c>
      <c r="H169" s="329">
        <v>102</v>
      </c>
      <c r="I169" s="329">
        <v>0</v>
      </c>
      <c r="J169" s="329">
        <v>0</v>
      </c>
      <c r="K169" s="333">
        <v>0</v>
      </c>
      <c r="L169" s="333"/>
      <c r="M169" s="165"/>
      <c r="N169" s="401">
        <v>100008704</v>
      </c>
      <c r="O169" s="329">
        <v>0</v>
      </c>
      <c r="P169" s="329">
        <v>0</v>
      </c>
      <c r="Q169" s="329">
        <v>102</v>
      </c>
      <c r="R169" s="333">
        <v>102</v>
      </c>
      <c r="S169" s="333">
        <v>2663183</v>
      </c>
      <c r="T169" s="3">
        <v>2.2999999999999998</v>
      </c>
      <c r="U169" s="165">
        <f>VLOOKUP(N169,'[2]154'!$C$9:$T$554,18,0)</f>
        <v>102</v>
      </c>
      <c r="V169" s="401">
        <v>100008704</v>
      </c>
      <c r="W169" s="406">
        <v>0</v>
      </c>
      <c r="X169" s="405">
        <v>0</v>
      </c>
      <c r="Y169" s="406">
        <v>0</v>
      </c>
      <c r="Z169" s="3"/>
      <c r="AA169" s="401">
        <v>100008704</v>
      </c>
      <c r="AB169" s="329">
        <v>0</v>
      </c>
      <c r="AC169" s="329">
        <v>0</v>
      </c>
      <c r="AD169" s="329">
        <v>102</v>
      </c>
      <c r="AE169" s="329">
        <v>102</v>
      </c>
      <c r="AF169" s="329">
        <v>82</v>
      </c>
      <c r="AG169" s="329">
        <v>1126769</v>
      </c>
      <c r="AH169" s="3"/>
      <c r="AI169" s="401">
        <v>100008704</v>
      </c>
      <c r="AJ169" s="329">
        <v>0</v>
      </c>
      <c r="AK169" s="329">
        <v>0</v>
      </c>
      <c r="AL169" s="329">
        <v>102</v>
      </c>
      <c r="AM169" s="329">
        <v>102</v>
      </c>
      <c r="AN169" s="329">
        <v>82</v>
      </c>
      <c r="AO169" s="329">
        <v>1536414</v>
      </c>
    </row>
    <row r="170" spans="1:41" ht="15.75">
      <c r="A170" s="167">
        <v>165</v>
      </c>
      <c r="B170" s="79" t="s">
        <v>161</v>
      </c>
      <c r="C170" s="452">
        <v>100008706</v>
      </c>
      <c r="D170" s="458">
        <v>0</v>
      </c>
      <c r="E170" s="329">
        <v>220</v>
      </c>
      <c r="F170" s="329">
        <v>0</v>
      </c>
      <c r="G170" s="329">
        <v>0</v>
      </c>
      <c r="H170" s="329">
        <v>220</v>
      </c>
      <c r="I170" s="329">
        <v>0</v>
      </c>
      <c r="J170" s="329">
        <v>0</v>
      </c>
      <c r="K170" s="333">
        <v>0</v>
      </c>
      <c r="L170" s="333"/>
      <c r="M170" s="208"/>
      <c r="N170" s="401">
        <v>100008706</v>
      </c>
      <c r="O170" s="329">
        <v>0</v>
      </c>
      <c r="P170" s="329">
        <v>0</v>
      </c>
      <c r="Q170" s="329">
        <v>220</v>
      </c>
      <c r="R170" s="333">
        <v>220</v>
      </c>
      <c r="S170" s="333">
        <v>8878207</v>
      </c>
      <c r="T170" s="3">
        <v>0.35</v>
      </c>
      <c r="U170" s="165">
        <f>VLOOKUP(N170,'[2]154'!$C$9:$T$554,18,0)</f>
        <v>220</v>
      </c>
      <c r="V170" s="401">
        <v>100008706</v>
      </c>
      <c r="W170" s="406">
        <v>0</v>
      </c>
      <c r="X170" s="405">
        <v>0</v>
      </c>
      <c r="Y170" s="406">
        <v>0</v>
      </c>
      <c r="Z170" s="3"/>
      <c r="AA170" s="401">
        <v>100008706</v>
      </c>
      <c r="AB170" s="329">
        <v>0</v>
      </c>
      <c r="AC170" s="329">
        <v>0</v>
      </c>
      <c r="AD170" s="329">
        <v>220</v>
      </c>
      <c r="AE170" s="329">
        <v>220</v>
      </c>
      <c r="AF170" s="329">
        <v>176</v>
      </c>
      <c r="AG170" s="329">
        <v>3731621</v>
      </c>
      <c r="AH170" s="3"/>
      <c r="AI170" s="401">
        <v>100008706</v>
      </c>
      <c r="AJ170" s="329">
        <v>0</v>
      </c>
      <c r="AK170" s="329">
        <v>0</v>
      </c>
      <c r="AL170" s="329">
        <v>220</v>
      </c>
      <c r="AM170" s="329">
        <v>220</v>
      </c>
      <c r="AN170" s="329">
        <v>176</v>
      </c>
      <c r="AO170" s="329">
        <v>5146586</v>
      </c>
    </row>
    <row r="171" spans="1:41" ht="15.75">
      <c r="A171" s="167">
        <v>166</v>
      </c>
      <c r="B171" s="79" t="s">
        <v>161</v>
      </c>
      <c r="C171" s="452">
        <v>100008707</v>
      </c>
      <c r="D171" s="458">
        <v>0</v>
      </c>
      <c r="E171" s="329">
        <v>275</v>
      </c>
      <c r="F171" s="329">
        <v>0</v>
      </c>
      <c r="G171" s="329">
        <v>183</v>
      </c>
      <c r="H171" s="329">
        <v>92</v>
      </c>
      <c r="I171" s="329">
        <v>0</v>
      </c>
      <c r="J171" s="329">
        <v>0</v>
      </c>
      <c r="K171" s="333">
        <v>0</v>
      </c>
      <c r="L171" s="333"/>
      <c r="M171" s="165"/>
      <c r="N171" s="401">
        <v>100008707</v>
      </c>
      <c r="O171" s="329">
        <v>0</v>
      </c>
      <c r="P171" s="329">
        <v>183</v>
      </c>
      <c r="Q171" s="329">
        <v>92</v>
      </c>
      <c r="R171" s="333">
        <v>275</v>
      </c>
      <c r="S171" s="333">
        <v>9457889</v>
      </c>
      <c r="T171" s="3">
        <v>0.35</v>
      </c>
      <c r="U171" s="165">
        <f>VLOOKUP(N171,'[2]154'!$C$9:$T$554,18,0)</f>
        <v>275</v>
      </c>
      <c r="V171" s="401">
        <v>100008707</v>
      </c>
      <c r="W171" s="406">
        <v>0</v>
      </c>
      <c r="X171" s="405">
        <v>0</v>
      </c>
      <c r="Y171" s="406">
        <v>0</v>
      </c>
      <c r="Z171" s="3"/>
      <c r="AA171" s="401">
        <v>100008707</v>
      </c>
      <c r="AB171" s="329">
        <v>0</v>
      </c>
      <c r="AC171" s="329">
        <v>183</v>
      </c>
      <c r="AD171" s="329">
        <v>92</v>
      </c>
      <c r="AE171" s="329">
        <v>275</v>
      </c>
      <c r="AF171" s="329">
        <v>165</v>
      </c>
      <c r="AG171" s="329">
        <v>3997192</v>
      </c>
      <c r="AH171" s="3"/>
      <c r="AI171" s="401">
        <v>100008707</v>
      </c>
      <c r="AJ171" s="329">
        <v>0</v>
      </c>
      <c r="AK171" s="329">
        <v>183</v>
      </c>
      <c r="AL171" s="329">
        <v>92</v>
      </c>
      <c r="AM171" s="329">
        <v>275</v>
      </c>
      <c r="AN171" s="329">
        <v>165</v>
      </c>
      <c r="AO171" s="329">
        <v>5460697</v>
      </c>
    </row>
    <row r="172" spans="1:41" ht="15.75">
      <c r="A172" s="167">
        <v>167</v>
      </c>
      <c r="B172" s="79" t="s">
        <v>161</v>
      </c>
      <c r="C172" s="452">
        <v>100008708</v>
      </c>
      <c r="D172" s="458">
        <v>0</v>
      </c>
      <c r="E172" s="329">
        <v>97</v>
      </c>
      <c r="F172" s="329">
        <v>0</v>
      </c>
      <c r="G172" s="329"/>
      <c r="H172" s="329">
        <v>97</v>
      </c>
      <c r="I172" s="329">
        <v>0</v>
      </c>
      <c r="J172" s="329">
        <v>0</v>
      </c>
      <c r="K172" s="333">
        <v>0</v>
      </c>
      <c r="L172" s="333"/>
      <c r="M172" s="165"/>
      <c r="N172" s="401">
        <v>100008708</v>
      </c>
      <c r="O172" s="329">
        <v>0</v>
      </c>
      <c r="P172" s="329">
        <v>0</v>
      </c>
      <c r="Q172" s="329">
        <v>97</v>
      </c>
      <c r="R172" s="333">
        <v>97</v>
      </c>
      <c r="S172" s="333">
        <v>2444028</v>
      </c>
      <c r="T172" s="3">
        <v>1.8</v>
      </c>
      <c r="U172" s="165">
        <f>VLOOKUP(N172,'[2]154'!$C$9:$T$554,18,0)</f>
        <v>97</v>
      </c>
      <c r="V172" s="401">
        <v>100008708</v>
      </c>
      <c r="W172" s="406">
        <v>0</v>
      </c>
      <c r="X172" s="405">
        <v>0</v>
      </c>
      <c r="Y172" s="406">
        <v>0</v>
      </c>
      <c r="Z172" s="3"/>
      <c r="AA172" s="401">
        <v>100008708</v>
      </c>
      <c r="AB172" s="329">
        <v>0</v>
      </c>
      <c r="AC172" s="329">
        <v>0</v>
      </c>
      <c r="AD172" s="329">
        <v>97</v>
      </c>
      <c r="AE172" s="329">
        <v>97</v>
      </c>
      <c r="AF172" s="329">
        <v>78</v>
      </c>
      <c r="AG172" s="329">
        <v>1032703</v>
      </c>
      <c r="AH172" s="3"/>
      <c r="AI172" s="401">
        <v>100008708</v>
      </c>
      <c r="AJ172" s="329">
        <v>0</v>
      </c>
      <c r="AK172" s="329">
        <v>0</v>
      </c>
      <c r="AL172" s="329">
        <v>97</v>
      </c>
      <c r="AM172" s="329">
        <v>97</v>
      </c>
      <c r="AN172" s="329">
        <v>78</v>
      </c>
      <c r="AO172" s="329">
        <v>1411325</v>
      </c>
    </row>
    <row r="173" spans="1:41" ht="15.75">
      <c r="A173" s="167">
        <v>168</v>
      </c>
      <c r="B173" s="79" t="s">
        <v>161</v>
      </c>
      <c r="C173" s="452">
        <v>100008709</v>
      </c>
      <c r="D173" s="458">
        <v>0</v>
      </c>
      <c r="E173" s="329">
        <v>221</v>
      </c>
      <c r="F173" s="329">
        <v>0</v>
      </c>
      <c r="G173" s="329">
        <v>27</v>
      </c>
      <c r="H173" s="329">
        <v>194</v>
      </c>
      <c r="I173" s="329">
        <v>0</v>
      </c>
      <c r="J173" s="329">
        <v>0</v>
      </c>
      <c r="K173" s="333">
        <v>0</v>
      </c>
      <c r="L173" s="333"/>
      <c r="M173" s="208"/>
      <c r="N173" s="401">
        <v>100008709</v>
      </c>
      <c r="O173" s="329">
        <v>0</v>
      </c>
      <c r="P173" s="329">
        <v>27</v>
      </c>
      <c r="Q173" s="329">
        <v>194</v>
      </c>
      <c r="R173" s="333">
        <v>221</v>
      </c>
      <c r="S173" s="333">
        <v>7908789</v>
      </c>
      <c r="T173" s="3">
        <v>0.35</v>
      </c>
      <c r="U173" s="165">
        <f>VLOOKUP(N173,'[2]154'!$C$9:$T$554,18,0)</f>
        <v>221</v>
      </c>
      <c r="V173" s="401">
        <v>100008709</v>
      </c>
      <c r="W173" s="406">
        <v>0</v>
      </c>
      <c r="X173" s="405">
        <v>0</v>
      </c>
      <c r="Y173" s="406">
        <v>0</v>
      </c>
      <c r="Z173" s="3"/>
      <c r="AA173" s="401">
        <v>100008709</v>
      </c>
      <c r="AB173" s="329">
        <v>0</v>
      </c>
      <c r="AC173" s="329">
        <v>27</v>
      </c>
      <c r="AD173" s="329">
        <v>194</v>
      </c>
      <c r="AE173" s="329">
        <v>221</v>
      </c>
      <c r="AF173" s="329">
        <v>169</v>
      </c>
      <c r="AG173" s="329">
        <v>3343374</v>
      </c>
      <c r="AH173" s="3"/>
      <c r="AI173" s="401">
        <v>100008709</v>
      </c>
      <c r="AJ173" s="329">
        <v>0</v>
      </c>
      <c r="AK173" s="329">
        <v>27</v>
      </c>
      <c r="AL173" s="329">
        <v>194</v>
      </c>
      <c r="AM173" s="329">
        <v>221</v>
      </c>
      <c r="AN173" s="329">
        <v>169</v>
      </c>
      <c r="AO173" s="329">
        <v>4565415</v>
      </c>
    </row>
    <row r="174" spans="1:41" ht="15.75">
      <c r="A174" s="167">
        <v>169</v>
      </c>
      <c r="B174" s="79" t="s">
        <v>161</v>
      </c>
      <c r="C174" s="452">
        <v>100008714</v>
      </c>
      <c r="D174" s="458">
        <v>0</v>
      </c>
      <c r="E174" s="329">
        <v>611</v>
      </c>
      <c r="F174" s="329">
        <v>0</v>
      </c>
      <c r="G174" s="329">
        <v>100</v>
      </c>
      <c r="H174" s="329">
        <v>511</v>
      </c>
      <c r="I174" s="329">
        <v>0</v>
      </c>
      <c r="J174" s="329">
        <v>0</v>
      </c>
      <c r="K174" s="333">
        <v>0</v>
      </c>
      <c r="L174" s="333"/>
      <c r="M174" s="165"/>
      <c r="N174" s="401">
        <v>100008714</v>
      </c>
      <c r="O174" s="329">
        <v>0</v>
      </c>
      <c r="P174" s="329">
        <v>100</v>
      </c>
      <c r="Q174" s="329">
        <v>511</v>
      </c>
      <c r="R174" s="333">
        <v>611</v>
      </c>
      <c r="S174" s="333">
        <v>18955956</v>
      </c>
      <c r="T174" s="3">
        <v>0.35</v>
      </c>
      <c r="U174" s="165">
        <f>VLOOKUP(N174,'[2]154'!$C$9:$T$554,18,0)</f>
        <v>611</v>
      </c>
      <c r="V174" s="401">
        <v>100008714</v>
      </c>
      <c r="W174" s="406">
        <v>0</v>
      </c>
      <c r="X174" s="405">
        <v>0</v>
      </c>
      <c r="Y174" s="406">
        <v>0</v>
      </c>
      <c r="Z174" s="3"/>
      <c r="AA174" s="401">
        <v>100008714</v>
      </c>
      <c r="AB174" s="329">
        <v>0</v>
      </c>
      <c r="AC174" s="329">
        <v>100</v>
      </c>
      <c r="AD174" s="329">
        <v>511</v>
      </c>
      <c r="AE174" s="329">
        <v>611</v>
      </c>
      <c r="AF174" s="329">
        <v>459</v>
      </c>
      <c r="AG174" s="329">
        <v>8016922</v>
      </c>
      <c r="AH174" s="3"/>
      <c r="AI174" s="401">
        <v>100008714</v>
      </c>
      <c r="AJ174" s="329">
        <v>0</v>
      </c>
      <c r="AK174" s="329">
        <v>100</v>
      </c>
      <c r="AL174" s="329">
        <v>511</v>
      </c>
      <c r="AM174" s="329">
        <v>611</v>
      </c>
      <c r="AN174" s="329">
        <v>459</v>
      </c>
      <c r="AO174" s="329">
        <v>10939034</v>
      </c>
    </row>
    <row r="175" spans="1:41" ht="15.75">
      <c r="A175" s="167">
        <v>170</v>
      </c>
      <c r="B175" s="79" t="s">
        <v>161</v>
      </c>
      <c r="C175" s="452">
        <v>100008716</v>
      </c>
      <c r="D175" s="458">
        <v>0</v>
      </c>
      <c r="E175" s="329">
        <v>78</v>
      </c>
      <c r="F175" s="329">
        <v>0</v>
      </c>
      <c r="G175" s="329">
        <v>23</v>
      </c>
      <c r="H175" s="329">
        <v>55</v>
      </c>
      <c r="I175" s="329">
        <v>0</v>
      </c>
      <c r="J175" s="329">
        <v>0</v>
      </c>
      <c r="K175" s="333">
        <v>0</v>
      </c>
      <c r="L175" s="333"/>
      <c r="M175" s="165"/>
      <c r="N175" s="401">
        <v>100008716</v>
      </c>
      <c r="O175" s="329">
        <v>0</v>
      </c>
      <c r="P175" s="329">
        <v>23</v>
      </c>
      <c r="Q175" s="329">
        <v>55</v>
      </c>
      <c r="R175" s="333">
        <v>78</v>
      </c>
      <c r="S175" s="333">
        <v>1975025</v>
      </c>
      <c r="T175" s="3">
        <v>0.35</v>
      </c>
      <c r="U175" s="165">
        <f>VLOOKUP(N175,'[2]154'!$C$9:$T$554,18,0)</f>
        <v>78</v>
      </c>
      <c r="V175" s="401">
        <v>100008716</v>
      </c>
      <c r="W175" s="406">
        <v>0</v>
      </c>
      <c r="X175" s="405">
        <v>0</v>
      </c>
      <c r="Y175" s="406">
        <v>0</v>
      </c>
      <c r="Z175" s="3"/>
      <c r="AA175" s="401">
        <v>100008716</v>
      </c>
      <c r="AB175" s="329">
        <v>0</v>
      </c>
      <c r="AC175" s="329">
        <v>23</v>
      </c>
      <c r="AD175" s="329">
        <v>55</v>
      </c>
      <c r="AE175" s="329">
        <v>78</v>
      </c>
      <c r="AF175" s="329">
        <v>56</v>
      </c>
      <c r="AG175" s="329">
        <v>836309</v>
      </c>
      <c r="AH175" s="3"/>
      <c r="AI175" s="401">
        <v>100008716</v>
      </c>
      <c r="AJ175" s="329">
        <v>0</v>
      </c>
      <c r="AK175" s="329">
        <v>23</v>
      </c>
      <c r="AL175" s="329">
        <v>55</v>
      </c>
      <c r="AM175" s="329">
        <v>78</v>
      </c>
      <c r="AN175" s="329">
        <v>56</v>
      </c>
      <c r="AO175" s="329">
        <v>1138716</v>
      </c>
    </row>
    <row r="176" spans="1:41" ht="15.75">
      <c r="A176" s="167">
        <v>171</v>
      </c>
      <c r="B176" s="79" t="s">
        <v>161</v>
      </c>
      <c r="C176" s="452">
        <v>100008730</v>
      </c>
      <c r="D176" s="458">
        <v>0</v>
      </c>
      <c r="E176" s="329">
        <v>130</v>
      </c>
      <c r="F176" s="329">
        <v>0</v>
      </c>
      <c r="G176" s="329">
        <v>0</v>
      </c>
      <c r="H176" s="329">
        <v>130</v>
      </c>
      <c r="I176" s="329">
        <v>0</v>
      </c>
      <c r="J176" s="329">
        <v>0</v>
      </c>
      <c r="K176" s="333">
        <v>0</v>
      </c>
      <c r="L176" s="333"/>
      <c r="M176" s="208"/>
      <c r="N176" s="401">
        <v>100008730</v>
      </c>
      <c r="O176" s="329">
        <v>0</v>
      </c>
      <c r="P176" s="329">
        <v>0</v>
      </c>
      <c r="Q176" s="329">
        <v>130</v>
      </c>
      <c r="R176" s="333">
        <v>130</v>
      </c>
      <c r="S176" s="333">
        <v>2557948</v>
      </c>
      <c r="T176" s="3">
        <v>0.35</v>
      </c>
      <c r="U176" s="165">
        <f>VLOOKUP(N176,'[2]154'!$C$9:$T$554,18,0)</f>
        <v>130</v>
      </c>
      <c r="V176" s="401">
        <v>100008730</v>
      </c>
      <c r="W176" s="406">
        <v>0</v>
      </c>
      <c r="X176" s="405">
        <v>0</v>
      </c>
      <c r="Y176" s="406">
        <v>0</v>
      </c>
      <c r="Z176" s="3"/>
      <c r="AA176" s="401">
        <v>100008730</v>
      </c>
      <c r="AB176" s="329">
        <v>0</v>
      </c>
      <c r="AC176" s="329">
        <v>0</v>
      </c>
      <c r="AD176" s="329">
        <v>130</v>
      </c>
      <c r="AE176" s="329">
        <v>130</v>
      </c>
      <c r="AF176" s="329">
        <v>104</v>
      </c>
      <c r="AG176" s="329">
        <v>1075137</v>
      </c>
      <c r="AH176" s="3"/>
      <c r="AI176" s="401">
        <v>100008730</v>
      </c>
      <c r="AJ176" s="329">
        <v>0</v>
      </c>
      <c r="AK176" s="329">
        <v>0</v>
      </c>
      <c r="AL176" s="329">
        <v>130</v>
      </c>
      <c r="AM176" s="329">
        <v>130</v>
      </c>
      <c r="AN176" s="329">
        <v>104</v>
      </c>
      <c r="AO176" s="329">
        <v>1482811</v>
      </c>
    </row>
    <row r="177" spans="1:41" ht="15.75">
      <c r="A177" s="167">
        <v>172</v>
      </c>
      <c r="B177" s="79" t="s">
        <v>161</v>
      </c>
      <c r="C177" s="452">
        <v>100008747</v>
      </c>
      <c r="D177" s="458">
        <v>0</v>
      </c>
      <c r="E177" s="329">
        <v>683</v>
      </c>
      <c r="F177" s="329">
        <v>0</v>
      </c>
      <c r="G177" s="329">
        <v>0</v>
      </c>
      <c r="H177" s="329">
        <v>683</v>
      </c>
      <c r="I177" s="329">
        <v>0</v>
      </c>
      <c r="J177" s="329">
        <v>0</v>
      </c>
      <c r="K177" s="333">
        <v>0</v>
      </c>
      <c r="L177" s="333"/>
      <c r="M177" s="165"/>
      <c r="N177" s="401">
        <v>100008747</v>
      </c>
      <c r="O177" s="329">
        <v>0</v>
      </c>
      <c r="P177" s="329">
        <v>0</v>
      </c>
      <c r="Q177" s="329">
        <v>683</v>
      </c>
      <c r="R177" s="333">
        <v>683</v>
      </c>
      <c r="S177" s="333">
        <v>6902195</v>
      </c>
      <c r="T177" s="3">
        <v>0.35</v>
      </c>
      <c r="U177" s="165">
        <f>VLOOKUP(N177,'[2]154'!$C$9:$T$554,18,0)</f>
        <v>908</v>
      </c>
      <c r="V177" s="401">
        <v>100008747</v>
      </c>
      <c r="W177" s="406">
        <v>0</v>
      </c>
      <c r="X177" s="405">
        <v>0</v>
      </c>
      <c r="Y177" s="406">
        <v>0</v>
      </c>
      <c r="Z177" s="3"/>
      <c r="AA177" s="401">
        <v>100008747</v>
      </c>
      <c r="AB177" s="329">
        <v>0</v>
      </c>
      <c r="AC177" s="329">
        <v>0</v>
      </c>
      <c r="AD177" s="329">
        <v>683</v>
      </c>
      <c r="AE177" s="329">
        <v>683</v>
      </c>
      <c r="AF177" s="329">
        <v>546</v>
      </c>
      <c r="AG177" s="329">
        <v>2901079</v>
      </c>
      <c r="AH177" s="3"/>
      <c r="AI177" s="401">
        <v>100008747</v>
      </c>
      <c r="AJ177" s="329">
        <v>0</v>
      </c>
      <c r="AK177" s="329">
        <v>0</v>
      </c>
      <c r="AL177" s="329">
        <v>683</v>
      </c>
      <c r="AM177" s="329">
        <v>683</v>
      </c>
      <c r="AN177" s="329">
        <v>546</v>
      </c>
      <c r="AO177" s="329">
        <v>4001116</v>
      </c>
    </row>
    <row r="178" spans="1:41" ht="15.75">
      <c r="A178" s="167">
        <v>173</v>
      </c>
      <c r="B178" s="79" t="s">
        <v>161</v>
      </c>
      <c r="C178" s="452">
        <v>100008749</v>
      </c>
      <c r="D178" s="458">
        <v>0</v>
      </c>
      <c r="E178" s="329">
        <v>201</v>
      </c>
      <c r="F178" s="329">
        <v>0</v>
      </c>
      <c r="G178" s="329">
        <v>0</v>
      </c>
      <c r="H178" s="329">
        <v>201</v>
      </c>
      <c r="I178" s="329">
        <v>0</v>
      </c>
      <c r="J178" s="329">
        <v>0</v>
      </c>
      <c r="K178" s="333">
        <v>0</v>
      </c>
      <c r="L178" s="333"/>
      <c r="M178" s="165"/>
      <c r="N178" s="401">
        <v>100008749</v>
      </c>
      <c r="O178" s="329">
        <v>0</v>
      </c>
      <c r="P178" s="329">
        <v>0</v>
      </c>
      <c r="Q178" s="329">
        <v>201</v>
      </c>
      <c r="R178" s="333">
        <v>201</v>
      </c>
      <c r="S178" s="333">
        <v>8748020</v>
      </c>
      <c r="T178" s="3">
        <v>0.35</v>
      </c>
      <c r="U178" s="165">
        <f>VLOOKUP(N178,'[2]154'!$C$9:$T$554,18,0)</f>
        <v>417</v>
      </c>
      <c r="V178" s="401">
        <v>100008749</v>
      </c>
      <c r="W178" s="406">
        <v>0</v>
      </c>
      <c r="X178" s="405">
        <v>0</v>
      </c>
      <c r="Y178" s="406">
        <v>0</v>
      </c>
      <c r="Z178" s="3"/>
      <c r="AA178" s="401">
        <v>100008749</v>
      </c>
      <c r="AB178" s="329">
        <v>0</v>
      </c>
      <c r="AC178" s="329">
        <v>0</v>
      </c>
      <c r="AD178" s="329">
        <v>201</v>
      </c>
      <c r="AE178" s="329">
        <v>201</v>
      </c>
      <c r="AF178" s="329">
        <v>161</v>
      </c>
      <c r="AG178" s="329">
        <v>3705127</v>
      </c>
      <c r="AH178" s="3"/>
      <c r="AI178" s="401">
        <v>100008749</v>
      </c>
      <c r="AJ178" s="329">
        <v>0</v>
      </c>
      <c r="AK178" s="329">
        <v>0</v>
      </c>
      <c r="AL178" s="329">
        <v>201</v>
      </c>
      <c r="AM178" s="329">
        <v>201</v>
      </c>
      <c r="AN178" s="329">
        <v>161</v>
      </c>
      <c r="AO178" s="329">
        <v>5042893</v>
      </c>
    </row>
    <row r="179" spans="1:41" ht="15.75">
      <c r="A179" s="167">
        <v>174</v>
      </c>
      <c r="B179" s="79" t="s">
        <v>161</v>
      </c>
      <c r="C179" s="452">
        <v>100008773</v>
      </c>
      <c r="D179" s="458">
        <v>0</v>
      </c>
      <c r="E179" s="329">
        <v>70</v>
      </c>
      <c r="F179" s="329">
        <v>0</v>
      </c>
      <c r="G179" s="329">
        <v>0</v>
      </c>
      <c r="H179" s="329">
        <v>70</v>
      </c>
      <c r="I179" s="329">
        <v>0</v>
      </c>
      <c r="J179" s="329">
        <v>0</v>
      </c>
      <c r="K179" s="333">
        <v>0</v>
      </c>
      <c r="L179" s="333"/>
      <c r="M179" s="208"/>
      <c r="N179" s="401">
        <v>100008773</v>
      </c>
      <c r="O179" s="329">
        <v>0</v>
      </c>
      <c r="P179" s="329">
        <v>0</v>
      </c>
      <c r="Q179" s="329">
        <v>70</v>
      </c>
      <c r="R179" s="333">
        <v>70</v>
      </c>
      <c r="S179" s="333">
        <v>1889137</v>
      </c>
      <c r="T179" s="3">
        <v>0.35</v>
      </c>
      <c r="U179" s="165">
        <f>VLOOKUP(N179,'[2]154'!$C$9:$T$554,18,0)</f>
        <v>272</v>
      </c>
      <c r="V179" s="401">
        <v>100008773</v>
      </c>
      <c r="W179" s="406">
        <v>0</v>
      </c>
      <c r="X179" s="405">
        <v>0</v>
      </c>
      <c r="Y179" s="406">
        <v>0</v>
      </c>
      <c r="Z179" s="3"/>
      <c r="AA179" s="401">
        <v>100008773</v>
      </c>
      <c r="AB179" s="329">
        <v>0</v>
      </c>
      <c r="AC179" s="329">
        <v>0</v>
      </c>
      <c r="AD179" s="329">
        <v>70</v>
      </c>
      <c r="AE179" s="329">
        <v>70</v>
      </c>
      <c r="AF179" s="329">
        <v>56</v>
      </c>
      <c r="AG179" s="329">
        <v>797512</v>
      </c>
      <c r="AH179" s="3"/>
      <c r="AI179" s="401">
        <v>100008773</v>
      </c>
      <c r="AJ179" s="329">
        <v>0</v>
      </c>
      <c r="AK179" s="329">
        <v>0</v>
      </c>
      <c r="AL179" s="329">
        <v>70</v>
      </c>
      <c r="AM179" s="329">
        <v>70</v>
      </c>
      <c r="AN179" s="329">
        <v>56</v>
      </c>
      <c r="AO179" s="329">
        <v>1091625</v>
      </c>
    </row>
    <row r="180" spans="1:41" ht="15.75">
      <c r="A180" s="167">
        <v>175</v>
      </c>
      <c r="B180" s="79" t="s">
        <v>161</v>
      </c>
      <c r="C180" s="452">
        <v>100009618</v>
      </c>
      <c r="D180" s="458">
        <v>0</v>
      </c>
      <c r="E180" s="329">
        <v>66</v>
      </c>
      <c r="F180" s="329"/>
      <c r="G180" s="329"/>
      <c r="H180" s="329">
        <v>66</v>
      </c>
      <c r="I180" s="329">
        <v>0</v>
      </c>
      <c r="J180" s="329">
        <v>0</v>
      </c>
      <c r="K180" s="333">
        <v>0</v>
      </c>
      <c r="L180" s="333"/>
      <c r="M180" s="165"/>
      <c r="N180" s="401">
        <v>100009618</v>
      </c>
      <c r="O180" s="329">
        <v>0</v>
      </c>
      <c r="P180" s="329">
        <v>0</v>
      </c>
      <c r="Q180" s="329">
        <v>66</v>
      </c>
      <c r="R180" s="333">
        <v>66</v>
      </c>
      <c r="S180" s="333">
        <v>837140</v>
      </c>
      <c r="T180" s="3">
        <v>0.35</v>
      </c>
      <c r="U180" s="165">
        <f>VLOOKUP(N180,'[2]154'!$C$9:$T$554,18,0)</f>
        <v>87</v>
      </c>
      <c r="V180" s="401">
        <v>100009618</v>
      </c>
      <c r="W180" s="406">
        <v>0</v>
      </c>
      <c r="X180" s="405">
        <v>0</v>
      </c>
      <c r="Y180" s="406">
        <v>0</v>
      </c>
      <c r="Z180" s="3"/>
      <c r="AA180" s="401">
        <v>100009618</v>
      </c>
      <c r="AB180" s="329">
        <v>0</v>
      </c>
      <c r="AC180" s="329">
        <v>0</v>
      </c>
      <c r="AD180" s="329">
        <v>66</v>
      </c>
      <c r="AE180" s="329">
        <v>66</v>
      </c>
      <c r="AF180" s="329">
        <v>53</v>
      </c>
      <c r="AG180" s="329">
        <v>351860</v>
      </c>
      <c r="AH180" s="3"/>
      <c r="AI180" s="401">
        <v>100009618</v>
      </c>
      <c r="AJ180" s="329">
        <v>0</v>
      </c>
      <c r="AK180" s="329">
        <v>0</v>
      </c>
      <c r="AL180" s="329">
        <v>66</v>
      </c>
      <c r="AM180" s="329">
        <v>66</v>
      </c>
      <c r="AN180" s="329">
        <v>53</v>
      </c>
      <c r="AO180" s="329">
        <v>485280</v>
      </c>
    </row>
    <row r="181" spans="1:41" ht="15.75">
      <c r="A181" s="167">
        <v>176</v>
      </c>
      <c r="B181" s="79" t="s">
        <v>161</v>
      </c>
      <c r="C181" s="452">
        <v>100011932</v>
      </c>
      <c r="D181" s="458">
        <v>0</v>
      </c>
      <c r="E181" s="329">
        <v>11</v>
      </c>
      <c r="F181" s="329">
        <v>0</v>
      </c>
      <c r="G181" s="329">
        <v>0</v>
      </c>
      <c r="H181" s="329">
        <v>11</v>
      </c>
      <c r="I181" s="329">
        <v>0</v>
      </c>
      <c r="J181" s="329">
        <v>0</v>
      </c>
      <c r="K181" s="333">
        <v>0</v>
      </c>
      <c r="L181" s="333"/>
      <c r="M181" s="165"/>
      <c r="N181" s="401">
        <v>100011932</v>
      </c>
      <c r="O181" s="329">
        <v>0</v>
      </c>
      <c r="P181" s="329">
        <v>0</v>
      </c>
      <c r="Q181" s="329">
        <v>11</v>
      </c>
      <c r="R181" s="333">
        <v>11</v>
      </c>
      <c r="S181" s="333">
        <v>140479</v>
      </c>
      <c r="T181" s="3">
        <v>0.35</v>
      </c>
      <c r="U181" s="165">
        <f>VLOOKUP(N181,'[2]154'!$C$9:$T$554,18,0)</f>
        <v>15</v>
      </c>
      <c r="V181" s="401">
        <v>100011932</v>
      </c>
      <c r="W181" s="406">
        <v>0</v>
      </c>
      <c r="X181" s="405">
        <v>0</v>
      </c>
      <c r="Y181" s="406">
        <v>0</v>
      </c>
      <c r="Z181" s="3"/>
      <c r="AA181" s="401">
        <v>100011932</v>
      </c>
      <c r="AB181" s="329">
        <v>0</v>
      </c>
      <c r="AC181" s="329">
        <v>0</v>
      </c>
      <c r="AD181" s="329">
        <v>11</v>
      </c>
      <c r="AE181" s="329">
        <v>11</v>
      </c>
      <c r="AF181" s="329">
        <v>9</v>
      </c>
      <c r="AG181" s="329">
        <v>59045</v>
      </c>
      <c r="AH181" s="3"/>
      <c r="AI181" s="401">
        <v>100011932</v>
      </c>
      <c r="AJ181" s="329">
        <v>0</v>
      </c>
      <c r="AK181" s="329">
        <v>0</v>
      </c>
      <c r="AL181" s="329">
        <v>11</v>
      </c>
      <c r="AM181" s="329">
        <v>11</v>
      </c>
      <c r="AN181" s="329">
        <v>9</v>
      </c>
      <c r="AO181" s="329">
        <v>81434</v>
      </c>
    </row>
    <row r="182" spans="1:41" ht="15.75">
      <c r="A182" s="167">
        <v>177</v>
      </c>
      <c r="B182" s="79" t="s">
        <v>161</v>
      </c>
      <c r="C182" s="452">
        <v>100011935</v>
      </c>
      <c r="D182" s="458">
        <v>0</v>
      </c>
      <c r="E182" s="329">
        <v>85</v>
      </c>
      <c r="F182" s="329">
        <v>0</v>
      </c>
      <c r="G182" s="329">
        <v>0</v>
      </c>
      <c r="H182" s="329">
        <v>85</v>
      </c>
      <c r="I182" s="329">
        <v>0</v>
      </c>
      <c r="J182" s="329">
        <v>0</v>
      </c>
      <c r="K182" s="333">
        <v>0</v>
      </c>
      <c r="L182" s="333"/>
      <c r="M182" s="165"/>
      <c r="N182" s="401">
        <v>100011935</v>
      </c>
      <c r="O182" s="329">
        <v>0</v>
      </c>
      <c r="P182" s="329">
        <v>0</v>
      </c>
      <c r="Q182" s="329">
        <v>85</v>
      </c>
      <c r="R182" s="333">
        <v>85</v>
      </c>
      <c r="S182" s="333">
        <v>1181227</v>
      </c>
      <c r="T182" s="3">
        <v>0.35</v>
      </c>
      <c r="U182" s="165">
        <f>VLOOKUP(N182,'[2]154'!$C$9:$T$554,18,0)</f>
        <v>237</v>
      </c>
      <c r="V182" s="401">
        <v>100011935</v>
      </c>
      <c r="W182" s="406">
        <v>0</v>
      </c>
      <c r="X182" s="405">
        <v>0</v>
      </c>
      <c r="Y182" s="406">
        <v>0</v>
      </c>
      <c r="Z182" s="3"/>
      <c r="AA182" s="401">
        <v>100011935</v>
      </c>
      <c r="AB182" s="329">
        <v>0</v>
      </c>
      <c r="AC182" s="329">
        <v>0</v>
      </c>
      <c r="AD182" s="329">
        <v>85</v>
      </c>
      <c r="AE182" s="329">
        <v>85</v>
      </c>
      <c r="AF182" s="329">
        <v>68</v>
      </c>
      <c r="AG182" s="329">
        <v>529334</v>
      </c>
      <c r="AH182" s="3"/>
      <c r="AI182" s="401">
        <v>100011935</v>
      </c>
      <c r="AJ182" s="329">
        <v>0</v>
      </c>
      <c r="AK182" s="329">
        <v>0</v>
      </c>
      <c r="AL182" s="329">
        <v>85</v>
      </c>
      <c r="AM182" s="329">
        <v>85</v>
      </c>
      <c r="AN182" s="329">
        <v>68</v>
      </c>
      <c r="AO182" s="329">
        <v>651893</v>
      </c>
    </row>
    <row r="183" spans="1:41" ht="15.75">
      <c r="A183" s="167">
        <v>178</v>
      </c>
      <c r="B183" s="79" t="s">
        <v>161</v>
      </c>
      <c r="C183" s="452">
        <v>100013594</v>
      </c>
      <c r="D183" s="458">
        <v>0</v>
      </c>
      <c r="E183" s="329">
        <v>45</v>
      </c>
      <c r="F183" s="329">
        <v>0</v>
      </c>
      <c r="G183" s="329">
        <v>0</v>
      </c>
      <c r="H183" s="329">
        <v>45</v>
      </c>
      <c r="I183" s="329">
        <v>0</v>
      </c>
      <c r="J183" s="329">
        <v>0</v>
      </c>
      <c r="K183" s="333">
        <v>0</v>
      </c>
      <c r="L183" s="333"/>
      <c r="M183" s="165"/>
      <c r="N183" s="401">
        <v>100013594</v>
      </c>
      <c r="O183" s="329">
        <v>0</v>
      </c>
      <c r="P183" s="329">
        <v>0</v>
      </c>
      <c r="Q183" s="329">
        <v>45</v>
      </c>
      <c r="R183" s="333">
        <v>45</v>
      </c>
      <c r="S183" s="333">
        <v>797843</v>
      </c>
      <c r="T183" s="3">
        <v>0.35</v>
      </c>
      <c r="U183" s="165">
        <f>VLOOKUP(N183,'[2]154'!$C$9:$T$554,18,0)</f>
        <v>261</v>
      </c>
      <c r="V183" s="401">
        <v>100013594</v>
      </c>
      <c r="W183" s="406">
        <v>0</v>
      </c>
      <c r="X183" s="405">
        <v>0</v>
      </c>
      <c r="Y183" s="406">
        <v>0</v>
      </c>
      <c r="Z183" s="3"/>
      <c r="AA183" s="401">
        <v>100013594</v>
      </c>
      <c r="AB183" s="329">
        <v>0</v>
      </c>
      <c r="AC183" s="329">
        <v>0</v>
      </c>
      <c r="AD183" s="329">
        <v>45</v>
      </c>
      <c r="AE183" s="329">
        <v>45</v>
      </c>
      <c r="AF183" s="329">
        <v>36</v>
      </c>
      <c r="AG183" s="329">
        <v>335343</v>
      </c>
      <c r="AH183" s="3"/>
      <c r="AI183" s="401">
        <v>100013594</v>
      </c>
      <c r="AJ183" s="329">
        <v>0</v>
      </c>
      <c r="AK183" s="329">
        <v>0</v>
      </c>
      <c r="AL183" s="329">
        <v>45</v>
      </c>
      <c r="AM183" s="329">
        <v>45</v>
      </c>
      <c r="AN183" s="329">
        <v>36</v>
      </c>
      <c r="AO183" s="329">
        <v>462500</v>
      </c>
    </row>
    <row r="184" spans="1:41" ht="15.75">
      <c r="A184" s="167">
        <v>179</v>
      </c>
      <c r="B184" s="79" t="s">
        <v>161</v>
      </c>
      <c r="C184" s="452">
        <v>100016320</v>
      </c>
      <c r="D184" s="458">
        <v>11804</v>
      </c>
      <c r="E184" s="329">
        <v>606</v>
      </c>
      <c r="F184" s="329">
        <v>0</v>
      </c>
      <c r="G184" s="329">
        <v>281</v>
      </c>
      <c r="H184" s="329">
        <v>325</v>
      </c>
      <c r="I184" s="329">
        <v>11506</v>
      </c>
      <c r="J184" s="329">
        <v>0</v>
      </c>
      <c r="K184" s="333">
        <v>11506</v>
      </c>
      <c r="L184" s="333"/>
      <c r="M184" s="208"/>
      <c r="N184" s="401">
        <v>100016320</v>
      </c>
      <c r="O184" s="329">
        <v>0</v>
      </c>
      <c r="P184" s="329">
        <v>281</v>
      </c>
      <c r="Q184" s="329">
        <v>325</v>
      </c>
      <c r="R184" s="333">
        <v>606</v>
      </c>
      <c r="S184" s="333">
        <v>4461065</v>
      </c>
      <c r="T184" s="3">
        <v>0.35</v>
      </c>
      <c r="U184" s="165">
        <f>VLOOKUP(N184,'[2]154'!$C$9:$T$554,18,0)</f>
        <v>308</v>
      </c>
      <c r="V184" s="401">
        <v>100016320</v>
      </c>
      <c r="W184" s="406">
        <v>11506</v>
      </c>
      <c r="X184" s="405">
        <v>7699.2277072831566</v>
      </c>
      <c r="Y184" s="406">
        <v>88587314</v>
      </c>
      <c r="Z184" s="3"/>
      <c r="AA184" s="401">
        <v>100016320</v>
      </c>
      <c r="AB184" s="329">
        <v>0</v>
      </c>
      <c r="AC184" s="329">
        <v>281</v>
      </c>
      <c r="AD184" s="329">
        <v>325</v>
      </c>
      <c r="AE184" s="329">
        <v>606</v>
      </c>
      <c r="AF184" s="329">
        <v>401</v>
      </c>
      <c r="AG184" s="329">
        <v>1528557</v>
      </c>
      <c r="AH184" s="3"/>
      <c r="AI184" s="401">
        <v>100016320</v>
      </c>
      <c r="AJ184" s="329">
        <v>0</v>
      </c>
      <c r="AK184" s="329">
        <v>281</v>
      </c>
      <c r="AL184" s="329">
        <v>325</v>
      </c>
      <c r="AM184" s="329">
        <v>606</v>
      </c>
      <c r="AN184" s="329">
        <v>401</v>
      </c>
      <c r="AO184" s="329">
        <v>2932508</v>
      </c>
    </row>
    <row r="185" spans="1:41" ht="15.75">
      <c r="A185" s="167">
        <v>180</v>
      </c>
      <c r="B185" s="79" t="s">
        <v>161</v>
      </c>
      <c r="C185" s="452">
        <v>100016323</v>
      </c>
      <c r="D185" s="458">
        <v>0</v>
      </c>
      <c r="E185" s="329">
        <v>5</v>
      </c>
      <c r="F185" s="329">
        <v>0</v>
      </c>
      <c r="G185" s="329">
        <v>0</v>
      </c>
      <c r="H185" s="329">
        <v>5</v>
      </c>
      <c r="I185" s="329">
        <v>0</v>
      </c>
      <c r="J185" s="329">
        <v>0</v>
      </c>
      <c r="K185" s="333">
        <v>0</v>
      </c>
      <c r="L185" s="333"/>
      <c r="M185" s="165"/>
      <c r="N185" s="401">
        <v>100016323</v>
      </c>
      <c r="O185" s="329">
        <v>0</v>
      </c>
      <c r="P185" s="329">
        <v>0</v>
      </c>
      <c r="Q185" s="329">
        <v>5</v>
      </c>
      <c r="R185" s="333">
        <v>5</v>
      </c>
      <c r="S185" s="333">
        <v>143398</v>
      </c>
      <c r="T185" s="3">
        <v>0.35</v>
      </c>
      <c r="U185" s="165">
        <f>VLOOKUP(N185,'[2]154'!$C$9:$T$554,18,0)</f>
        <v>215</v>
      </c>
      <c r="V185" s="401">
        <v>100016323</v>
      </c>
      <c r="W185" s="406">
        <v>0</v>
      </c>
      <c r="X185" s="405">
        <v>0</v>
      </c>
      <c r="Y185" s="406">
        <v>0</v>
      </c>
      <c r="Z185" s="3"/>
      <c r="AA185" s="401">
        <v>100016323</v>
      </c>
      <c r="AB185" s="329">
        <v>0</v>
      </c>
      <c r="AC185" s="329">
        <v>0</v>
      </c>
      <c r="AD185" s="329">
        <v>5</v>
      </c>
      <c r="AE185" s="329">
        <v>5</v>
      </c>
      <c r="AF185" s="329">
        <v>4</v>
      </c>
      <c r="AG185" s="329">
        <v>60568</v>
      </c>
      <c r="AH185" s="3"/>
      <c r="AI185" s="401">
        <v>100016323</v>
      </c>
      <c r="AJ185" s="329">
        <v>0</v>
      </c>
      <c r="AK185" s="329">
        <v>0</v>
      </c>
      <c r="AL185" s="329">
        <v>5</v>
      </c>
      <c r="AM185" s="329">
        <v>5</v>
      </c>
      <c r="AN185" s="329">
        <v>4</v>
      </c>
      <c r="AO185" s="329">
        <v>82830</v>
      </c>
    </row>
    <row r="186" spans="1:41" ht="15.75">
      <c r="A186" s="167">
        <v>181</v>
      </c>
      <c r="B186" s="79" t="s">
        <v>161</v>
      </c>
      <c r="C186" s="452">
        <v>100016362</v>
      </c>
      <c r="D186" s="458">
        <v>0</v>
      </c>
      <c r="E186" s="329">
        <v>110</v>
      </c>
      <c r="F186" s="329">
        <v>0</v>
      </c>
      <c r="G186" s="329">
        <v>0</v>
      </c>
      <c r="H186" s="329">
        <v>110</v>
      </c>
      <c r="I186" s="329">
        <v>0</v>
      </c>
      <c r="J186" s="329">
        <v>0</v>
      </c>
      <c r="K186" s="333">
        <v>0</v>
      </c>
      <c r="L186" s="333"/>
      <c r="M186" s="165"/>
      <c r="N186" s="401">
        <v>100016362</v>
      </c>
      <c r="O186" s="329">
        <v>0</v>
      </c>
      <c r="P186" s="329">
        <v>0</v>
      </c>
      <c r="Q186" s="329">
        <v>110</v>
      </c>
      <c r="R186" s="333">
        <v>110</v>
      </c>
      <c r="S186" s="333">
        <v>1987113</v>
      </c>
      <c r="T186" s="3">
        <v>0.35</v>
      </c>
      <c r="U186" s="165">
        <f>VLOOKUP(N186,'[2]154'!$C$9:$T$554,18,0)</f>
        <v>348</v>
      </c>
      <c r="V186" s="401">
        <v>100016362</v>
      </c>
      <c r="W186" s="406">
        <v>0</v>
      </c>
      <c r="X186" s="405">
        <v>0</v>
      </c>
      <c r="Y186" s="406">
        <v>0</v>
      </c>
      <c r="Z186" s="3"/>
      <c r="AA186" s="401">
        <v>100016362</v>
      </c>
      <c r="AB186" s="329">
        <v>0</v>
      </c>
      <c r="AC186" s="329">
        <v>0</v>
      </c>
      <c r="AD186" s="329">
        <v>110</v>
      </c>
      <c r="AE186" s="329">
        <v>110</v>
      </c>
      <c r="AF186" s="329">
        <v>88</v>
      </c>
      <c r="AG186" s="329">
        <v>835208</v>
      </c>
      <c r="AH186" s="3"/>
      <c r="AI186" s="401">
        <v>100016362</v>
      </c>
      <c r="AJ186" s="329">
        <v>0</v>
      </c>
      <c r="AK186" s="329">
        <v>0</v>
      </c>
      <c r="AL186" s="329">
        <v>110</v>
      </c>
      <c r="AM186" s="329">
        <v>110</v>
      </c>
      <c r="AN186" s="329">
        <v>88</v>
      </c>
      <c r="AO186" s="329">
        <v>1151905</v>
      </c>
    </row>
    <row r="187" spans="1:41" ht="15.75">
      <c r="A187" s="167">
        <v>182</v>
      </c>
      <c r="B187" s="79" t="s">
        <v>161</v>
      </c>
      <c r="C187" s="452">
        <v>100017250</v>
      </c>
      <c r="D187" s="458">
        <v>0</v>
      </c>
      <c r="E187" s="329">
        <v>12</v>
      </c>
      <c r="F187" s="329">
        <v>0</v>
      </c>
      <c r="G187" s="329">
        <v>0</v>
      </c>
      <c r="H187" s="329">
        <v>12</v>
      </c>
      <c r="I187" s="329">
        <v>0</v>
      </c>
      <c r="J187" s="329">
        <v>0</v>
      </c>
      <c r="K187" s="333">
        <v>0</v>
      </c>
      <c r="L187" s="333"/>
      <c r="M187" s="208"/>
      <c r="N187" s="401">
        <v>100017250</v>
      </c>
      <c r="O187" s="329">
        <v>0</v>
      </c>
      <c r="P187" s="329">
        <v>0</v>
      </c>
      <c r="Q187" s="329">
        <v>12</v>
      </c>
      <c r="R187" s="333">
        <v>12</v>
      </c>
      <c r="S187" s="333">
        <v>677553</v>
      </c>
      <c r="T187" s="3">
        <v>0.36</v>
      </c>
      <c r="U187" s="165">
        <f>VLOOKUP(N187,'[2]154'!$C$9:$T$554,18,0)</f>
        <v>58</v>
      </c>
      <c r="V187" s="401">
        <v>100017250</v>
      </c>
      <c r="W187" s="406">
        <v>0</v>
      </c>
      <c r="X187" s="405">
        <v>0</v>
      </c>
      <c r="Y187" s="406">
        <v>0</v>
      </c>
      <c r="Z187" s="3"/>
      <c r="AA187" s="401">
        <v>100017250</v>
      </c>
      <c r="AB187" s="329">
        <v>0</v>
      </c>
      <c r="AC187" s="329">
        <v>0</v>
      </c>
      <c r="AD187" s="329">
        <v>12</v>
      </c>
      <c r="AE187" s="329">
        <v>12</v>
      </c>
      <c r="AF187" s="329">
        <v>10</v>
      </c>
      <c r="AG187" s="329">
        <v>286909</v>
      </c>
      <c r="AH187" s="3"/>
      <c r="AI187" s="401">
        <v>100017250</v>
      </c>
      <c r="AJ187" s="329">
        <v>0</v>
      </c>
      <c r="AK187" s="329">
        <v>0</v>
      </c>
      <c r="AL187" s="329">
        <v>12</v>
      </c>
      <c r="AM187" s="329">
        <v>12</v>
      </c>
      <c r="AN187" s="329">
        <v>10</v>
      </c>
      <c r="AO187" s="329">
        <v>390644</v>
      </c>
    </row>
    <row r="188" spans="1:41" ht="15.75">
      <c r="A188" s="167">
        <v>183</v>
      </c>
      <c r="B188" s="79" t="s">
        <v>161</v>
      </c>
      <c r="C188" s="452">
        <v>100017251</v>
      </c>
      <c r="D188" s="458">
        <v>0</v>
      </c>
      <c r="E188" s="329">
        <v>8</v>
      </c>
      <c r="F188" s="329">
        <v>0</v>
      </c>
      <c r="G188" s="329">
        <v>0</v>
      </c>
      <c r="H188" s="329">
        <v>8</v>
      </c>
      <c r="I188" s="329">
        <v>0</v>
      </c>
      <c r="J188" s="329">
        <v>0</v>
      </c>
      <c r="K188" s="333">
        <v>0</v>
      </c>
      <c r="L188" s="333"/>
      <c r="M188" s="165"/>
      <c r="N188" s="401">
        <v>100017251</v>
      </c>
      <c r="O188" s="329">
        <v>0</v>
      </c>
      <c r="P188" s="329">
        <v>0</v>
      </c>
      <c r="Q188" s="329">
        <v>8</v>
      </c>
      <c r="R188" s="333">
        <v>8</v>
      </c>
      <c r="S188" s="333">
        <v>260078</v>
      </c>
      <c r="T188" s="3">
        <v>0.35</v>
      </c>
      <c r="U188" s="165">
        <f>VLOOKUP(N188,'[2]154'!$C$9:$T$554,18,0)</f>
        <v>46</v>
      </c>
      <c r="V188" s="401">
        <v>100017251</v>
      </c>
      <c r="W188" s="406">
        <v>0</v>
      </c>
      <c r="X188" s="405">
        <v>0</v>
      </c>
      <c r="Y188" s="406">
        <v>0</v>
      </c>
      <c r="Z188" s="3"/>
      <c r="AA188" s="401">
        <v>100017251</v>
      </c>
      <c r="AB188" s="329">
        <v>0</v>
      </c>
      <c r="AC188" s="329">
        <v>0</v>
      </c>
      <c r="AD188" s="329">
        <v>8</v>
      </c>
      <c r="AE188" s="329">
        <v>8</v>
      </c>
      <c r="AF188" s="329">
        <v>6</v>
      </c>
      <c r="AG188" s="329">
        <v>109978</v>
      </c>
      <c r="AH188" s="3"/>
      <c r="AI188" s="401">
        <v>100017251</v>
      </c>
      <c r="AJ188" s="329">
        <v>0</v>
      </c>
      <c r="AK188" s="329">
        <v>0</v>
      </c>
      <c r="AL188" s="329">
        <v>8</v>
      </c>
      <c r="AM188" s="329">
        <v>8</v>
      </c>
      <c r="AN188" s="329">
        <v>6</v>
      </c>
      <c r="AO188" s="329">
        <v>150100</v>
      </c>
    </row>
    <row r="189" spans="1:41" ht="15.75">
      <c r="A189" s="167">
        <v>184</v>
      </c>
      <c r="B189" s="79" t="s">
        <v>161</v>
      </c>
      <c r="C189" s="452">
        <v>100017339</v>
      </c>
      <c r="D189" s="458">
        <v>0</v>
      </c>
      <c r="E189" s="329">
        <v>84</v>
      </c>
      <c r="F189" s="329">
        <v>0</v>
      </c>
      <c r="G189" s="329">
        <v>4</v>
      </c>
      <c r="H189" s="329">
        <v>80</v>
      </c>
      <c r="I189" s="329">
        <v>0</v>
      </c>
      <c r="J189" s="329">
        <v>0</v>
      </c>
      <c r="K189" s="333">
        <v>0</v>
      </c>
      <c r="L189" s="333"/>
      <c r="M189" s="208"/>
      <c r="N189" s="401">
        <v>100017339</v>
      </c>
      <c r="O189" s="329">
        <v>0</v>
      </c>
      <c r="P189" s="329">
        <v>4</v>
      </c>
      <c r="Q189" s="329">
        <v>80</v>
      </c>
      <c r="R189" s="333">
        <v>84</v>
      </c>
      <c r="S189" s="333">
        <v>1350471</v>
      </c>
      <c r="T189" s="3">
        <v>2.2999999999999998</v>
      </c>
      <c r="U189" s="165">
        <f>VLOOKUP(N189,'[2]154'!$C$9:$T$554,18,0)</f>
        <v>84</v>
      </c>
      <c r="V189" s="401">
        <v>100017339</v>
      </c>
      <c r="W189" s="406">
        <v>0</v>
      </c>
      <c r="X189" s="405">
        <v>0</v>
      </c>
      <c r="Y189" s="406">
        <v>0</v>
      </c>
      <c r="Z189" s="3"/>
      <c r="AA189" s="401">
        <v>100017339</v>
      </c>
      <c r="AB189" s="329">
        <v>0</v>
      </c>
      <c r="AC189" s="329">
        <v>4</v>
      </c>
      <c r="AD189" s="329">
        <v>80</v>
      </c>
      <c r="AE189" s="329">
        <v>84</v>
      </c>
      <c r="AF189" s="329">
        <v>66</v>
      </c>
      <c r="AG189" s="329">
        <v>567620</v>
      </c>
      <c r="AH189" s="3"/>
      <c r="AI189" s="401">
        <v>100017339</v>
      </c>
      <c r="AJ189" s="329">
        <v>0</v>
      </c>
      <c r="AK189" s="329">
        <v>4</v>
      </c>
      <c r="AL189" s="329">
        <v>80</v>
      </c>
      <c r="AM189" s="329">
        <v>84</v>
      </c>
      <c r="AN189" s="329">
        <v>66</v>
      </c>
      <c r="AO189" s="329">
        <v>782851</v>
      </c>
    </row>
    <row r="190" spans="1:41" ht="15.75">
      <c r="A190" s="167">
        <v>185</v>
      </c>
      <c r="B190" s="79" t="s">
        <v>161</v>
      </c>
      <c r="C190" s="452">
        <v>100018342</v>
      </c>
      <c r="D190" s="458">
        <v>0</v>
      </c>
      <c r="E190" s="329">
        <v>108</v>
      </c>
      <c r="F190" s="329">
        <v>0</v>
      </c>
      <c r="G190" s="329">
        <v>0</v>
      </c>
      <c r="H190" s="329">
        <v>108</v>
      </c>
      <c r="I190" s="329">
        <v>0</v>
      </c>
      <c r="J190" s="329">
        <v>0</v>
      </c>
      <c r="K190" s="333">
        <v>0</v>
      </c>
      <c r="L190" s="333"/>
      <c r="M190" s="165"/>
      <c r="N190" s="401">
        <v>100018342</v>
      </c>
      <c r="O190" s="329">
        <v>0</v>
      </c>
      <c r="P190" s="329">
        <v>0</v>
      </c>
      <c r="Q190" s="329">
        <v>108</v>
      </c>
      <c r="R190" s="333">
        <v>108</v>
      </c>
      <c r="S190" s="333">
        <v>1858742</v>
      </c>
      <c r="T190" s="3">
        <v>0.35</v>
      </c>
      <c r="U190" s="165">
        <f>VLOOKUP(N190,'[2]154'!$C$9:$T$554,18,0)</f>
        <v>108</v>
      </c>
      <c r="V190" s="401">
        <v>100018342</v>
      </c>
      <c r="W190" s="406">
        <v>0</v>
      </c>
      <c r="X190" s="405">
        <v>0</v>
      </c>
      <c r="Y190" s="406">
        <v>0</v>
      </c>
      <c r="Z190" s="3"/>
      <c r="AA190" s="401">
        <v>100018342</v>
      </c>
      <c r="AB190" s="329">
        <v>0</v>
      </c>
      <c r="AC190" s="329">
        <v>0</v>
      </c>
      <c r="AD190" s="329">
        <v>108</v>
      </c>
      <c r="AE190" s="329">
        <v>108</v>
      </c>
      <c r="AF190" s="329">
        <v>86</v>
      </c>
      <c r="AG190" s="329">
        <v>781252</v>
      </c>
      <c r="AH190" s="3"/>
      <c r="AI190" s="401">
        <v>100018342</v>
      </c>
      <c r="AJ190" s="329">
        <v>0</v>
      </c>
      <c r="AK190" s="329">
        <v>0</v>
      </c>
      <c r="AL190" s="329">
        <v>108</v>
      </c>
      <c r="AM190" s="329">
        <v>108</v>
      </c>
      <c r="AN190" s="329">
        <v>86</v>
      </c>
      <c r="AO190" s="329">
        <v>1077490</v>
      </c>
    </row>
    <row r="191" spans="1:41" ht="15.75">
      <c r="A191" s="167">
        <v>186</v>
      </c>
      <c r="B191" s="79" t="s">
        <v>179</v>
      </c>
      <c r="C191" s="452" t="s">
        <v>180</v>
      </c>
      <c r="D191" s="458">
        <v>5784</v>
      </c>
      <c r="E191" s="329">
        <v>5784</v>
      </c>
      <c r="F191" s="329">
        <v>0</v>
      </c>
      <c r="G191" s="329">
        <v>0</v>
      </c>
      <c r="H191" s="329">
        <v>5784</v>
      </c>
      <c r="I191" s="329">
        <v>0</v>
      </c>
      <c r="J191" s="329">
        <v>0</v>
      </c>
      <c r="K191" s="333">
        <v>0</v>
      </c>
      <c r="L191" s="333"/>
      <c r="M191" s="165"/>
      <c r="N191" s="398" t="s">
        <v>180</v>
      </c>
      <c r="O191" s="329">
        <v>0</v>
      </c>
      <c r="P191" s="329">
        <v>0</v>
      </c>
      <c r="Q191" s="329">
        <v>5784</v>
      </c>
      <c r="R191" s="333">
        <v>5784</v>
      </c>
      <c r="S191" s="333">
        <v>62454577</v>
      </c>
      <c r="T191" s="3">
        <v>1.2</v>
      </c>
      <c r="U191" s="165">
        <v>5784</v>
      </c>
      <c r="V191" s="398" t="s">
        <v>180</v>
      </c>
      <c r="W191" s="406">
        <v>0</v>
      </c>
      <c r="X191" s="405">
        <v>0</v>
      </c>
      <c r="Y191" s="406">
        <v>0</v>
      </c>
      <c r="Z191" s="3"/>
      <c r="AA191" s="398" t="s">
        <v>180</v>
      </c>
      <c r="AB191" s="329">
        <v>0</v>
      </c>
      <c r="AC191" s="329">
        <v>0</v>
      </c>
      <c r="AD191" s="329">
        <v>5784</v>
      </c>
      <c r="AE191" s="329">
        <v>5784</v>
      </c>
      <c r="AF191" s="329">
        <v>4627</v>
      </c>
      <c r="AG191" s="329">
        <v>26250436</v>
      </c>
      <c r="AH191" s="3"/>
      <c r="AI191" s="398" t="s">
        <v>180</v>
      </c>
      <c r="AJ191" s="329">
        <v>0</v>
      </c>
      <c r="AK191" s="329">
        <v>0</v>
      </c>
      <c r="AL191" s="329">
        <v>5784</v>
      </c>
      <c r="AM191" s="329">
        <v>5784</v>
      </c>
      <c r="AN191" s="329">
        <v>4627</v>
      </c>
      <c r="AO191" s="329">
        <v>36204141</v>
      </c>
    </row>
    <row r="192" spans="1:41" ht="15.75">
      <c r="A192" s="167">
        <v>187</v>
      </c>
      <c r="B192" s="79" t="s">
        <v>105</v>
      </c>
      <c r="C192" s="452">
        <v>453088</v>
      </c>
      <c r="D192" s="458">
        <v>0</v>
      </c>
      <c r="E192" s="329">
        <v>745</v>
      </c>
      <c r="F192" s="329">
        <v>0</v>
      </c>
      <c r="G192" s="329">
        <v>0</v>
      </c>
      <c r="H192" s="329">
        <v>745</v>
      </c>
      <c r="I192" s="329">
        <v>0</v>
      </c>
      <c r="J192" s="329">
        <v>0</v>
      </c>
      <c r="K192" s="333">
        <v>0</v>
      </c>
      <c r="L192" s="333"/>
      <c r="M192" s="208"/>
      <c r="N192" s="401">
        <v>453088</v>
      </c>
      <c r="O192" s="329">
        <v>0</v>
      </c>
      <c r="P192" s="329">
        <v>0</v>
      </c>
      <c r="Q192" s="329">
        <v>745</v>
      </c>
      <c r="R192" s="333">
        <v>745</v>
      </c>
      <c r="S192" s="333">
        <v>20287643</v>
      </c>
      <c r="T192" s="3">
        <v>0.35</v>
      </c>
      <c r="U192" s="165">
        <f>VLOOKUP(N192,'[2]154'!$C$9:$T$554,18,0)</f>
        <v>745</v>
      </c>
      <c r="V192" s="401">
        <v>453088</v>
      </c>
      <c r="W192" s="406">
        <v>0</v>
      </c>
      <c r="X192" s="405">
        <v>0</v>
      </c>
      <c r="Y192" s="406">
        <v>0</v>
      </c>
      <c r="Z192" s="3"/>
      <c r="AA192" s="401">
        <v>453088</v>
      </c>
      <c r="AB192" s="329">
        <v>0</v>
      </c>
      <c r="AC192" s="329">
        <v>0</v>
      </c>
      <c r="AD192" s="329">
        <v>745</v>
      </c>
      <c r="AE192" s="329">
        <v>745</v>
      </c>
      <c r="AF192" s="329">
        <v>596</v>
      </c>
      <c r="AG192" s="329">
        <v>8527149</v>
      </c>
      <c r="AH192" s="3"/>
      <c r="AI192" s="401">
        <v>453088</v>
      </c>
      <c r="AJ192" s="329">
        <v>0</v>
      </c>
      <c r="AK192" s="329">
        <v>0</v>
      </c>
      <c r="AL192" s="329">
        <v>745</v>
      </c>
      <c r="AM192" s="329">
        <v>745</v>
      </c>
      <c r="AN192" s="329">
        <v>596</v>
      </c>
      <c r="AO192" s="329">
        <v>11760494</v>
      </c>
    </row>
    <row r="193" spans="1:41" ht="15.75">
      <c r="A193" s="167">
        <v>188</v>
      </c>
      <c r="B193" s="79" t="s">
        <v>105</v>
      </c>
      <c r="C193" s="452">
        <v>453616</v>
      </c>
      <c r="D193" s="458">
        <v>0</v>
      </c>
      <c r="E193" s="329">
        <v>312</v>
      </c>
      <c r="F193" s="329">
        <v>0</v>
      </c>
      <c r="G193" s="329">
        <v>219</v>
      </c>
      <c r="H193" s="329">
        <v>93</v>
      </c>
      <c r="I193" s="329">
        <v>0</v>
      </c>
      <c r="J193" s="329">
        <v>0</v>
      </c>
      <c r="K193" s="333">
        <v>0</v>
      </c>
      <c r="L193" s="333"/>
      <c r="M193" s="165"/>
      <c r="N193" s="401">
        <v>453616</v>
      </c>
      <c r="O193" s="329">
        <v>0</v>
      </c>
      <c r="P193" s="329">
        <v>219</v>
      </c>
      <c r="Q193" s="329">
        <v>93</v>
      </c>
      <c r="R193" s="333">
        <v>312</v>
      </c>
      <c r="S193" s="333">
        <v>5822264</v>
      </c>
      <c r="T193" s="3">
        <v>0.35</v>
      </c>
      <c r="U193" s="165">
        <f>VLOOKUP(N193,'[2]154'!$C$9:$T$554,18,0)</f>
        <v>312</v>
      </c>
      <c r="V193" s="401">
        <v>453616</v>
      </c>
      <c r="W193" s="406">
        <v>0</v>
      </c>
      <c r="X193" s="405">
        <v>0</v>
      </c>
      <c r="Y193" s="406">
        <v>0</v>
      </c>
      <c r="Z193" s="3"/>
      <c r="AA193" s="401">
        <v>453616</v>
      </c>
      <c r="AB193" s="329">
        <v>0</v>
      </c>
      <c r="AC193" s="329">
        <v>219</v>
      </c>
      <c r="AD193" s="329">
        <v>93</v>
      </c>
      <c r="AE193" s="329">
        <v>312</v>
      </c>
      <c r="AF193" s="329">
        <v>184</v>
      </c>
      <c r="AG193" s="329">
        <v>2464372</v>
      </c>
      <c r="AH193" s="3"/>
      <c r="AI193" s="401">
        <v>453616</v>
      </c>
      <c r="AJ193" s="329">
        <v>0</v>
      </c>
      <c r="AK193" s="329">
        <v>219</v>
      </c>
      <c r="AL193" s="329">
        <v>93</v>
      </c>
      <c r="AM193" s="329">
        <v>312</v>
      </c>
      <c r="AN193" s="329">
        <v>184</v>
      </c>
      <c r="AO193" s="329">
        <v>3357892</v>
      </c>
    </row>
    <row r="194" spans="1:41" ht="15.75">
      <c r="A194" s="167">
        <v>189</v>
      </c>
      <c r="B194" s="79" t="s">
        <v>105</v>
      </c>
      <c r="C194" s="452">
        <v>453707</v>
      </c>
      <c r="D194" s="458">
        <v>0</v>
      </c>
      <c r="E194" s="329">
        <v>343</v>
      </c>
      <c r="F194" s="329">
        <v>0</v>
      </c>
      <c r="G194" s="329">
        <v>0</v>
      </c>
      <c r="H194" s="329">
        <v>343</v>
      </c>
      <c r="I194" s="329">
        <v>0</v>
      </c>
      <c r="J194" s="329">
        <v>0</v>
      </c>
      <c r="K194" s="333">
        <v>0</v>
      </c>
      <c r="L194" s="333"/>
      <c r="M194" s="165"/>
      <c r="N194" s="401">
        <v>453707</v>
      </c>
      <c r="O194" s="329">
        <v>0</v>
      </c>
      <c r="P194" s="329">
        <v>0</v>
      </c>
      <c r="Q194" s="329">
        <v>343</v>
      </c>
      <c r="R194" s="333">
        <v>343</v>
      </c>
      <c r="S194" s="333">
        <v>5340707</v>
      </c>
      <c r="T194" s="3">
        <v>0.35</v>
      </c>
      <c r="U194" s="165">
        <f>VLOOKUP(N194,'[2]154'!$C$9:$T$554,18,0)</f>
        <v>343</v>
      </c>
      <c r="V194" s="401">
        <v>453707</v>
      </c>
      <c r="W194" s="406">
        <v>0</v>
      </c>
      <c r="X194" s="405">
        <v>0</v>
      </c>
      <c r="Y194" s="406">
        <v>0</v>
      </c>
      <c r="Z194" s="3"/>
      <c r="AA194" s="401">
        <v>453707</v>
      </c>
      <c r="AB194" s="329">
        <v>0</v>
      </c>
      <c r="AC194" s="329">
        <v>0</v>
      </c>
      <c r="AD194" s="329">
        <v>343</v>
      </c>
      <c r="AE194" s="329">
        <v>343</v>
      </c>
      <c r="AF194" s="329">
        <v>274</v>
      </c>
      <c r="AG194" s="329">
        <v>2244766</v>
      </c>
      <c r="AH194" s="3"/>
      <c r="AI194" s="401">
        <v>453707</v>
      </c>
      <c r="AJ194" s="329">
        <v>0</v>
      </c>
      <c r="AK194" s="329">
        <v>0</v>
      </c>
      <c r="AL194" s="329">
        <v>343</v>
      </c>
      <c r="AM194" s="329">
        <v>343</v>
      </c>
      <c r="AN194" s="329">
        <v>274</v>
      </c>
      <c r="AO194" s="329">
        <v>3095941</v>
      </c>
    </row>
    <row r="195" spans="1:41" ht="15.75">
      <c r="A195" s="167">
        <v>190</v>
      </c>
      <c r="B195" s="79" t="s">
        <v>105</v>
      </c>
      <c r="C195" s="452">
        <v>454208</v>
      </c>
      <c r="D195" s="458">
        <v>0</v>
      </c>
      <c r="E195" s="329">
        <v>3056</v>
      </c>
      <c r="F195" s="329">
        <v>7</v>
      </c>
      <c r="G195" s="329">
        <v>1522</v>
      </c>
      <c r="H195" s="329">
        <v>1527</v>
      </c>
      <c r="I195" s="329">
        <v>0</v>
      </c>
      <c r="J195" s="329">
        <v>0</v>
      </c>
      <c r="K195" s="333">
        <v>0</v>
      </c>
      <c r="L195" s="333"/>
      <c r="M195" s="208"/>
      <c r="N195" s="401">
        <v>454208</v>
      </c>
      <c r="O195" s="329">
        <v>7</v>
      </c>
      <c r="P195" s="329">
        <v>1522</v>
      </c>
      <c r="Q195" s="329">
        <v>1527</v>
      </c>
      <c r="R195" s="333">
        <v>3056</v>
      </c>
      <c r="S195" s="333">
        <v>64492383</v>
      </c>
      <c r="T195" s="3">
        <v>0.35</v>
      </c>
      <c r="U195" s="165">
        <f>VLOOKUP(N195,'[2]154'!$C$9:$T$554,18,0)</f>
        <v>3056</v>
      </c>
      <c r="V195" s="401">
        <v>454208</v>
      </c>
      <c r="W195" s="406">
        <v>0</v>
      </c>
      <c r="X195" s="405">
        <v>0</v>
      </c>
      <c r="Y195" s="406">
        <v>0</v>
      </c>
      <c r="Z195" s="3"/>
      <c r="AA195" s="401">
        <v>454208</v>
      </c>
      <c r="AB195" s="329">
        <v>7</v>
      </c>
      <c r="AC195" s="329">
        <v>1522</v>
      </c>
      <c r="AD195" s="329">
        <v>1527</v>
      </c>
      <c r="AE195" s="329">
        <v>3056</v>
      </c>
      <c r="AF195" s="329">
        <v>1984</v>
      </c>
      <c r="AG195" s="329">
        <v>27265369</v>
      </c>
      <c r="AH195" s="3"/>
      <c r="AI195" s="401">
        <v>454208</v>
      </c>
      <c r="AJ195" s="329">
        <v>7</v>
      </c>
      <c r="AK195" s="329">
        <v>1522</v>
      </c>
      <c r="AL195" s="329">
        <v>1527</v>
      </c>
      <c r="AM195" s="329">
        <v>3056</v>
      </c>
      <c r="AN195" s="329">
        <v>1984</v>
      </c>
      <c r="AO195" s="329">
        <v>37227014</v>
      </c>
    </row>
    <row r="196" spans="1:41" ht="15.75">
      <c r="A196" s="167">
        <v>191</v>
      </c>
      <c r="B196" s="79" t="s">
        <v>105</v>
      </c>
      <c r="C196" s="452">
        <v>455769</v>
      </c>
      <c r="D196" s="458">
        <v>0</v>
      </c>
      <c r="E196" s="329">
        <v>114</v>
      </c>
      <c r="F196" s="329"/>
      <c r="G196" s="329">
        <v>48</v>
      </c>
      <c r="H196" s="329">
        <v>66</v>
      </c>
      <c r="I196" s="329">
        <v>0</v>
      </c>
      <c r="J196" s="329">
        <v>0</v>
      </c>
      <c r="K196" s="333">
        <v>0</v>
      </c>
      <c r="L196" s="333"/>
      <c r="M196" s="165"/>
      <c r="N196" s="401">
        <v>455769</v>
      </c>
      <c r="O196" s="329">
        <v>0</v>
      </c>
      <c r="P196" s="329">
        <v>48</v>
      </c>
      <c r="Q196" s="329">
        <v>66</v>
      </c>
      <c r="R196" s="333">
        <v>114</v>
      </c>
      <c r="S196" s="333">
        <v>2630480</v>
      </c>
      <c r="T196" s="3">
        <v>0.35</v>
      </c>
      <c r="U196" s="165">
        <f>VLOOKUP(N196,'[2]154'!$C$9:$T$554,18,0)</f>
        <v>114</v>
      </c>
      <c r="V196" s="401">
        <v>455769</v>
      </c>
      <c r="W196" s="406">
        <v>0</v>
      </c>
      <c r="X196" s="405">
        <v>0</v>
      </c>
      <c r="Y196" s="406">
        <v>0</v>
      </c>
      <c r="Z196" s="3"/>
      <c r="AA196" s="401">
        <v>455769</v>
      </c>
      <c r="AB196" s="329">
        <v>0</v>
      </c>
      <c r="AC196" s="329">
        <v>48</v>
      </c>
      <c r="AD196" s="329">
        <v>66</v>
      </c>
      <c r="AE196" s="329">
        <v>114</v>
      </c>
      <c r="AF196" s="329">
        <v>77</v>
      </c>
      <c r="AG196" s="329">
        <v>1109758</v>
      </c>
      <c r="AH196" s="3"/>
      <c r="AI196" s="401">
        <v>455769</v>
      </c>
      <c r="AJ196" s="329">
        <v>0</v>
      </c>
      <c r="AK196" s="329">
        <v>48</v>
      </c>
      <c r="AL196" s="329">
        <v>66</v>
      </c>
      <c r="AM196" s="329">
        <v>114</v>
      </c>
      <c r="AN196" s="329">
        <v>77</v>
      </c>
      <c r="AO196" s="329">
        <v>1520722</v>
      </c>
    </row>
    <row r="197" spans="1:41" ht="15.75">
      <c r="A197" s="167">
        <v>192</v>
      </c>
      <c r="B197" s="79" t="s">
        <v>105</v>
      </c>
      <c r="C197" s="452">
        <v>455770</v>
      </c>
      <c r="D197" s="458">
        <v>0</v>
      </c>
      <c r="E197" s="329">
        <v>201</v>
      </c>
      <c r="F197" s="329">
        <v>0</v>
      </c>
      <c r="G197" s="329">
        <v>92</v>
      </c>
      <c r="H197" s="329">
        <v>109</v>
      </c>
      <c r="I197" s="329">
        <v>0</v>
      </c>
      <c r="J197" s="329">
        <v>0</v>
      </c>
      <c r="K197" s="333">
        <v>0</v>
      </c>
      <c r="L197" s="333"/>
      <c r="M197" s="165"/>
      <c r="N197" s="401">
        <v>455770</v>
      </c>
      <c r="O197" s="329">
        <v>0</v>
      </c>
      <c r="P197" s="329">
        <v>92</v>
      </c>
      <c r="Q197" s="329">
        <v>109</v>
      </c>
      <c r="R197" s="333">
        <v>201</v>
      </c>
      <c r="S197" s="333">
        <v>4414203</v>
      </c>
      <c r="T197" s="3">
        <v>0.35</v>
      </c>
      <c r="U197" s="165">
        <f>VLOOKUP(N197,'[2]154'!$C$9:$T$554,18,0)</f>
        <v>201</v>
      </c>
      <c r="V197" s="401">
        <v>455770</v>
      </c>
      <c r="W197" s="406">
        <v>0</v>
      </c>
      <c r="X197" s="405">
        <v>0</v>
      </c>
      <c r="Y197" s="406">
        <v>0</v>
      </c>
      <c r="Z197" s="3"/>
      <c r="AA197" s="401">
        <v>455770</v>
      </c>
      <c r="AB197" s="329">
        <v>0</v>
      </c>
      <c r="AC197" s="329">
        <v>92</v>
      </c>
      <c r="AD197" s="329">
        <v>109</v>
      </c>
      <c r="AE197" s="329">
        <v>201</v>
      </c>
      <c r="AF197" s="329">
        <v>133</v>
      </c>
      <c r="AG197" s="329">
        <v>1864529</v>
      </c>
      <c r="AH197" s="3"/>
      <c r="AI197" s="401">
        <v>455770</v>
      </c>
      <c r="AJ197" s="329">
        <v>0</v>
      </c>
      <c r="AK197" s="329">
        <v>92</v>
      </c>
      <c r="AL197" s="329">
        <v>109</v>
      </c>
      <c r="AM197" s="329">
        <v>201</v>
      </c>
      <c r="AN197" s="329">
        <v>133</v>
      </c>
      <c r="AO197" s="329">
        <v>2549674</v>
      </c>
    </row>
    <row r="198" spans="1:41" ht="15.75">
      <c r="A198" s="167">
        <v>193</v>
      </c>
      <c r="B198" s="79" t="s">
        <v>105</v>
      </c>
      <c r="C198" s="452">
        <v>456858</v>
      </c>
      <c r="D198" s="458">
        <v>0</v>
      </c>
      <c r="E198" s="329">
        <v>450</v>
      </c>
      <c r="F198" s="329">
        <v>0</v>
      </c>
      <c r="G198" s="329">
        <v>0</v>
      </c>
      <c r="H198" s="329">
        <v>450</v>
      </c>
      <c r="I198" s="329">
        <v>0</v>
      </c>
      <c r="J198" s="329">
        <v>0</v>
      </c>
      <c r="K198" s="333">
        <v>0</v>
      </c>
      <c r="L198" s="333"/>
      <c r="M198" s="208"/>
      <c r="N198" s="401">
        <v>456858</v>
      </c>
      <c r="O198" s="329">
        <v>0</v>
      </c>
      <c r="P198" s="329">
        <v>0</v>
      </c>
      <c r="Q198" s="329">
        <v>450</v>
      </c>
      <c r="R198" s="333">
        <v>450</v>
      </c>
      <c r="S198" s="333">
        <v>6127140</v>
      </c>
      <c r="T198" s="3">
        <v>1.45</v>
      </c>
      <c r="U198" s="165">
        <f>VLOOKUP(N198,'[2]154'!$C$9:$T$554,18,0)</f>
        <v>450</v>
      </c>
      <c r="V198" s="401">
        <v>456858</v>
      </c>
      <c r="W198" s="406">
        <v>0</v>
      </c>
      <c r="X198" s="405">
        <v>0</v>
      </c>
      <c r="Y198" s="406">
        <v>0</v>
      </c>
      <c r="Z198" s="3"/>
      <c r="AA198" s="401">
        <v>456858</v>
      </c>
      <c r="AB198" s="329">
        <v>0</v>
      </c>
      <c r="AC198" s="329">
        <v>0</v>
      </c>
      <c r="AD198" s="329">
        <v>450</v>
      </c>
      <c r="AE198" s="329">
        <v>450</v>
      </c>
      <c r="AF198" s="329">
        <v>360</v>
      </c>
      <c r="AG198" s="329">
        <v>2575313</v>
      </c>
      <c r="AH198" s="3"/>
      <c r="AI198" s="401">
        <v>456858</v>
      </c>
      <c r="AJ198" s="329">
        <v>0</v>
      </c>
      <c r="AK198" s="329">
        <v>0</v>
      </c>
      <c r="AL198" s="329">
        <v>450</v>
      </c>
      <c r="AM198" s="329">
        <v>450</v>
      </c>
      <c r="AN198" s="329">
        <v>360</v>
      </c>
      <c r="AO198" s="329">
        <v>3551827</v>
      </c>
    </row>
    <row r="199" spans="1:41" ht="15.75">
      <c r="A199" s="167">
        <v>194</v>
      </c>
      <c r="B199" s="79" t="s">
        <v>105</v>
      </c>
      <c r="C199" s="452">
        <v>465443</v>
      </c>
      <c r="D199" s="458">
        <v>0</v>
      </c>
      <c r="E199" s="329">
        <v>42</v>
      </c>
      <c r="F199" s="329">
        <v>0</v>
      </c>
      <c r="G199" s="329">
        <v>0</v>
      </c>
      <c r="H199" s="329">
        <v>42</v>
      </c>
      <c r="I199" s="329">
        <v>0</v>
      </c>
      <c r="J199" s="329">
        <v>0</v>
      </c>
      <c r="K199" s="333">
        <v>0</v>
      </c>
      <c r="L199" s="333"/>
      <c r="M199" s="165"/>
      <c r="N199" s="401">
        <v>465443</v>
      </c>
      <c r="O199" s="329">
        <v>0</v>
      </c>
      <c r="P199" s="329">
        <v>0</v>
      </c>
      <c r="Q199" s="329">
        <v>42</v>
      </c>
      <c r="R199" s="333">
        <v>42</v>
      </c>
      <c r="S199" s="333">
        <v>1077532</v>
      </c>
      <c r="T199" s="3">
        <v>1.35</v>
      </c>
      <c r="U199" s="165">
        <f>VLOOKUP(N199,'[2]154'!$C$9:$T$554,18,0)</f>
        <v>42</v>
      </c>
      <c r="V199" s="401">
        <v>465443</v>
      </c>
      <c r="W199" s="406">
        <v>0</v>
      </c>
      <c r="X199" s="405">
        <v>0</v>
      </c>
      <c r="Y199" s="406">
        <v>0</v>
      </c>
      <c r="Z199" s="3"/>
      <c r="AA199" s="401">
        <v>465443</v>
      </c>
      <c r="AB199" s="329">
        <v>0</v>
      </c>
      <c r="AC199" s="329">
        <v>0</v>
      </c>
      <c r="AD199" s="329">
        <v>42</v>
      </c>
      <c r="AE199" s="329">
        <v>42</v>
      </c>
      <c r="AF199" s="329">
        <v>34</v>
      </c>
      <c r="AG199" s="329">
        <v>452900</v>
      </c>
      <c r="AH199" s="3"/>
      <c r="AI199" s="401">
        <v>465443</v>
      </c>
      <c r="AJ199" s="329">
        <v>0</v>
      </c>
      <c r="AK199" s="329">
        <v>0</v>
      </c>
      <c r="AL199" s="329">
        <v>42</v>
      </c>
      <c r="AM199" s="329">
        <v>42</v>
      </c>
      <c r="AN199" s="329">
        <v>34</v>
      </c>
      <c r="AO199" s="329">
        <v>624632</v>
      </c>
    </row>
    <row r="200" spans="1:41" ht="15.75">
      <c r="A200" s="167">
        <v>195</v>
      </c>
      <c r="B200" s="79" t="s">
        <v>105</v>
      </c>
      <c r="C200" s="452">
        <v>465452</v>
      </c>
      <c r="D200" s="458">
        <v>0</v>
      </c>
      <c r="E200" s="329">
        <v>62</v>
      </c>
      <c r="F200" s="329">
        <v>0</v>
      </c>
      <c r="G200" s="329">
        <v>0</v>
      </c>
      <c r="H200" s="329">
        <v>62</v>
      </c>
      <c r="I200" s="329">
        <v>0</v>
      </c>
      <c r="J200" s="329">
        <v>0</v>
      </c>
      <c r="K200" s="333">
        <v>0</v>
      </c>
      <c r="L200" s="333"/>
      <c r="M200" s="165"/>
      <c r="N200" s="401">
        <v>465452</v>
      </c>
      <c r="O200" s="329">
        <v>0</v>
      </c>
      <c r="P200" s="329">
        <v>0</v>
      </c>
      <c r="Q200" s="329">
        <v>62</v>
      </c>
      <c r="R200" s="333">
        <v>62</v>
      </c>
      <c r="S200" s="333">
        <v>855687</v>
      </c>
      <c r="T200" s="3">
        <v>1.35</v>
      </c>
      <c r="U200" s="165">
        <f>VLOOKUP(N200,'[2]154'!$C$9:$T$554,18,0)</f>
        <v>62</v>
      </c>
      <c r="V200" s="401">
        <v>465452</v>
      </c>
      <c r="W200" s="406">
        <v>0</v>
      </c>
      <c r="X200" s="405">
        <v>0</v>
      </c>
      <c r="Y200" s="406">
        <v>0</v>
      </c>
      <c r="Z200" s="3"/>
      <c r="AA200" s="401">
        <v>465452</v>
      </c>
      <c r="AB200" s="329">
        <v>0</v>
      </c>
      <c r="AC200" s="329">
        <v>0</v>
      </c>
      <c r="AD200" s="329">
        <v>62</v>
      </c>
      <c r="AE200" s="329">
        <v>62</v>
      </c>
      <c r="AF200" s="329">
        <v>50</v>
      </c>
      <c r="AG200" s="329">
        <v>359656</v>
      </c>
      <c r="AH200" s="3"/>
      <c r="AI200" s="401">
        <v>465452</v>
      </c>
      <c r="AJ200" s="329">
        <v>0</v>
      </c>
      <c r="AK200" s="329">
        <v>0</v>
      </c>
      <c r="AL200" s="329">
        <v>62</v>
      </c>
      <c r="AM200" s="329">
        <v>62</v>
      </c>
      <c r="AN200" s="329">
        <v>50</v>
      </c>
      <c r="AO200" s="329">
        <v>496031</v>
      </c>
    </row>
    <row r="201" spans="1:41" ht="15.75">
      <c r="A201" s="167">
        <v>196</v>
      </c>
      <c r="B201" s="79" t="s">
        <v>105</v>
      </c>
      <c r="C201" s="452">
        <v>465456</v>
      </c>
      <c r="D201" s="458">
        <v>0</v>
      </c>
      <c r="E201" s="329">
        <v>20</v>
      </c>
      <c r="F201" s="329">
        <v>0</v>
      </c>
      <c r="G201" s="329">
        <v>0</v>
      </c>
      <c r="H201" s="329">
        <v>20</v>
      </c>
      <c r="I201" s="329">
        <v>0</v>
      </c>
      <c r="J201" s="329">
        <v>0</v>
      </c>
      <c r="K201" s="333">
        <v>0</v>
      </c>
      <c r="L201" s="333"/>
      <c r="M201" s="208"/>
      <c r="N201" s="401">
        <v>465456</v>
      </c>
      <c r="O201" s="329">
        <v>0</v>
      </c>
      <c r="P201" s="329">
        <v>0</v>
      </c>
      <c r="Q201" s="329">
        <v>20</v>
      </c>
      <c r="R201" s="333">
        <v>20</v>
      </c>
      <c r="S201" s="333">
        <v>594716</v>
      </c>
      <c r="T201" s="3">
        <v>1.6</v>
      </c>
      <c r="U201" s="165">
        <f>VLOOKUP(N201,'[2]154'!$C$9:$T$554,18,0)</f>
        <v>20</v>
      </c>
      <c r="V201" s="401">
        <v>465456</v>
      </c>
      <c r="W201" s="406">
        <v>0</v>
      </c>
      <c r="X201" s="405">
        <v>0</v>
      </c>
      <c r="Y201" s="406">
        <v>0</v>
      </c>
      <c r="Z201" s="3"/>
      <c r="AA201" s="401">
        <v>465456</v>
      </c>
      <c r="AB201" s="329">
        <v>0</v>
      </c>
      <c r="AC201" s="329">
        <v>0</v>
      </c>
      <c r="AD201" s="329">
        <v>20</v>
      </c>
      <c r="AE201" s="329">
        <v>20</v>
      </c>
      <c r="AF201" s="329">
        <v>16</v>
      </c>
      <c r="AG201" s="329">
        <v>249967</v>
      </c>
      <c r="AH201" s="3"/>
      <c r="AI201" s="401">
        <v>465456</v>
      </c>
      <c r="AJ201" s="329">
        <v>0</v>
      </c>
      <c r="AK201" s="329">
        <v>0</v>
      </c>
      <c r="AL201" s="329">
        <v>20</v>
      </c>
      <c r="AM201" s="329">
        <v>20</v>
      </c>
      <c r="AN201" s="329">
        <v>16</v>
      </c>
      <c r="AO201" s="329">
        <v>344749</v>
      </c>
    </row>
    <row r="202" spans="1:41" ht="15.75">
      <c r="A202" s="167">
        <v>197</v>
      </c>
      <c r="B202" s="79" t="s">
        <v>101</v>
      </c>
      <c r="C202" s="452">
        <v>100003058</v>
      </c>
      <c r="D202" s="458">
        <v>0</v>
      </c>
      <c r="E202" s="329">
        <v>28</v>
      </c>
      <c r="F202" s="329">
        <v>0</v>
      </c>
      <c r="G202" s="329">
        <v>0</v>
      </c>
      <c r="H202" s="329">
        <v>28</v>
      </c>
      <c r="I202" s="329">
        <v>0</v>
      </c>
      <c r="J202" s="329">
        <v>0</v>
      </c>
      <c r="K202" s="333">
        <v>0</v>
      </c>
      <c r="L202" s="333"/>
      <c r="M202" s="165"/>
      <c r="N202" s="401">
        <v>100003058</v>
      </c>
      <c r="O202" s="329">
        <v>0</v>
      </c>
      <c r="P202" s="329">
        <v>0</v>
      </c>
      <c r="Q202" s="329">
        <v>28</v>
      </c>
      <c r="R202" s="333">
        <v>28</v>
      </c>
      <c r="S202" s="333">
        <v>525854</v>
      </c>
      <c r="T202" s="3">
        <v>0.36</v>
      </c>
      <c r="U202" s="165">
        <f>VLOOKUP(N202,'[2]154'!$C$9:$T$554,18,0)</f>
        <v>28</v>
      </c>
      <c r="V202" s="401">
        <v>100003058</v>
      </c>
      <c r="W202" s="406">
        <v>0</v>
      </c>
      <c r="X202" s="405">
        <v>0</v>
      </c>
      <c r="Y202" s="406">
        <v>0</v>
      </c>
      <c r="Z202" s="3"/>
      <c r="AA202" s="401">
        <v>100003058</v>
      </c>
      <c r="AB202" s="329">
        <v>0</v>
      </c>
      <c r="AC202" s="329">
        <v>0</v>
      </c>
      <c r="AD202" s="329">
        <v>28</v>
      </c>
      <c r="AE202" s="329">
        <v>28</v>
      </c>
      <c r="AF202" s="329">
        <v>22</v>
      </c>
      <c r="AG202" s="329">
        <v>221023</v>
      </c>
      <c r="AH202" s="3"/>
      <c r="AI202" s="401">
        <v>100003058</v>
      </c>
      <c r="AJ202" s="329">
        <v>0</v>
      </c>
      <c r="AK202" s="329">
        <v>0</v>
      </c>
      <c r="AL202" s="329">
        <v>28</v>
      </c>
      <c r="AM202" s="329">
        <v>28</v>
      </c>
      <c r="AN202" s="329">
        <v>22</v>
      </c>
      <c r="AO202" s="329">
        <v>304831</v>
      </c>
    </row>
    <row r="203" spans="1:41" ht="15.75">
      <c r="A203" s="167">
        <v>198</v>
      </c>
      <c r="B203" s="79" t="s">
        <v>101</v>
      </c>
      <c r="C203" s="452">
        <v>100014739</v>
      </c>
      <c r="D203" s="458">
        <v>0</v>
      </c>
      <c r="E203" s="329">
        <v>397</v>
      </c>
      <c r="F203" s="329">
        <v>0</v>
      </c>
      <c r="G203" s="329">
        <v>0</v>
      </c>
      <c r="H203" s="329">
        <v>397</v>
      </c>
      <c r="I203" s="329">
        <v>0</v>
      </c>
      <c r="J203" s="329">
        <v>0</v>
      </c>
      <c r="K203" s="333">
        <v>0</v>
      </c>
      <c r="L203" s="333"/>
      <c r="M203" s="165"/>
      <c r="N203" s="401">
        <v>100014739</v>
      </c>
      <c r="O203" s="329">
        <v>0</v>
      </c>
      <c r="P203" s="329">
        <v>0</v>
      </c>
      <c r="Q203" s="329">
        <v>397</v>
      </c>
      <c r="R203" s="333">
        <v>397</v>
      </c>
      <c r="S203" s="333">
        <v>8137741</v>
      </c>
      <c r="T203" s="3">
        <v>0.35155555555555551</v>
      </c>
      <c r="U203" s="165">
        <f>VLOOKUP(N203,'[2]154'!$C$9:$T$554,18,0)</f>
        <v>530</v>
      </c>
      <c r="V203" s="401">
        <v>100014739</v>
      </c>
      <c r="W203" s="406">
        <v>0</v>
      </c>
      <c r="X203" s="405">
        <v>0</v>
      </c>
      <c r="Y203" s="406">
        <v>0</v>
      </c>
      <c r="Z203" s="3"/>
      <c r="AA203" s="401">
        <v>100014739</v>
      </c>
      <c r="AB203" s="329">
        <v>0</v>
      </c>
      <c r="AC203" s="329">
        <v>0</v>
      </c>
      <c r="AD203" s="329">
        <v>397</v>
      </c>
      <c r="AE203" s="329">
        <v>397</v>
      </c>
      <c r="AF203" s="329">
        <v>318</v>
      </c>
      <c r="AG203" s="329">
        <v>3402897</v>
      </c>
      <c r="AH203" s="3"/>
      <c r="AI203" s="401">
        <v>100014739</v>
      </c>
      <c r="AJ203" s="329">
        <v>0</v>
      </c>
      <c r="AK203" s="329">
        <v>0</v>
      </c>
      <c r="AL203" s="329">
        <v>397</v>
      </c>
      <c r="AM203" s="329">
        <v>397</v>
      </c>
      <c r="AN203" s="329">
        <v>318</v>
      </c>
      <c r="AO203" s="329">
        <v>4734844</v>
      </c>
    </row>
    <row r="204" spans="1:41" ht="15.75">
      <c r="A204" s="167">
        <v>199</v>
      </c>
      <c r="B204" s="79" t="s">
        <v>106</v>
      </c>
      <c r="C204" s="452" t="s">
        <v>181</v>
      </c>
      <c r="D204" s="458">
        <v>18913</v>
      </c>
      <c r="E204" s="329">
        <v>1253</v>
      </c>
      <c r="F204" s="329">
        <v>627</v>
      </c>
      <c r="G204" s="329">
        <v>32</v>
      </c>
      <c r="H204" s="329">
        <v>594</v>
      </c>
      <c r="I204" s="329">
        <v>0</v>
      </c>
      <c r="J204" s="329">
        <v>229</v>
      </c>
      <c r="K204" s="333">
        <v>229</v>
      </c>
      <c r="L204" s="333"/>
      <c r="M204" s="208"/>
      <c r="N204" s="398" t="s">
        <v>181</v>
      </c>
      <c r="O204" s="329">
        <v>627</v>
      </c>
      <c r="P204" s="329">
        <v>32</v>
      </c>
      <c r="Q204" s="329">
        <v>594</v>
      </c>
      <c r="R204" s="333">
        <v>1253</v>
      </c>
      <c r="S204" s="333">
        <v>23550631</v>
      </c>
      <c r="T204" s="3">
        <v>1.36</v>
      </c>
      <c r="U204" s="165">
        <f>VLOOKUP(N204,'[2]154'!$C$9:$T$554,18,0)</f>
        <v>922</v>
      </c>
      <c r="V204" s="398" t="s">
        <v>181</v>
      </c>
      <c r="W204" s="406">
        <v>229</v>
      </c>
      <c r="X204" s="405">
        <v>26699.379912663757</v>
      </c>
      <c r="Y204" s="406">
        <v>6114158</v>
      </c>
      <c r="Z204" s="3"/>
      <c r="AA204" s="398" t="s">
        <v>181</v>
      </c>
      <c r="AB204" s="329">
        <v>627</v>
      </c>
      <c r="AC204" s="329">
        <v>32</v>
      </c>
      <c r="AD204" s="329">
        <v>594</v>
      </c>
      <c r="AE204" s="329">
        <v>1253</v>
      </c>
      <c r="AF204" s="329">
        <v>617</v>
      </c>
      <c r="AG204" s="329">
        <v>8639980</v>
      </c>
      <c r="AH204" s="3"/>
      <c r="AI204" s="398" t="s">
        <v>181</v>
      </c>
      <c r="AJ204" s="329">
        <v>627</v>
      </c>
      <c r="AK204" s="329">
        <v>32</v>
      </c>
      <c r="AL204" s="329">
        <v>594</v>
      </c>
      <c r="AM204" s="329">
        <v>1253</v>
      </c>
      <c r="AN204" s="329">
        <v>617</v>
      </c>
      <c r="AO204" s="329">
        <v>14910651</v>
      </c>
    </row>
    <row r="205" spans="1:41" ht="15.75">
      <c r="A205" s="167">
        <v>200</v>
      </c>
      <c r="B205" s="79" t="s">
        <v>106</v>
      </c>
      <c r="C205" s="452" t="s">
        <v>182</v>
      </c>
      <c r="D205" s="458">
        <v>5208</v>
      </c>
      <c r="E205" s="329">
        <v>216</v>
      </c>
      <c r="F205" s="329">
        <v>9</v>
      </c>
      <c r="G205" s="329">
        <v>57</v>
      </c>
      <c r="H205" s="329">
        <v>150</v>
      </c>
      <c r="I205" s="329">
        <v>0</v>
      </c>
      <c r="J205" s="329">
        <v>63</v>
      </c>
      <c r="K205" s="333">
        <v>63</v>
      </c>
      <c r="L205" s="333"/>
      <c r="M205" s="165"/>
      <c r="N205" s="398" t="s">
        <v>182</v>
      </c>
      <c r="O205" s="329">
        <v>9</v>
      </c>
      <c r="P205" s="329">
        <v>57</v>
      </c>
      <c r="Q205" s="329">
        <v>150</v>
      </c>
      <c r="R205" s="333">
        <v>216</v>
      </c>
      <c r="S205" s="333">
        <v>4213159</v>
      </c>
      <c r="T205" s="3">
        <v>1.53</v>
      </c>
      <c r="U205" s="165">
        <f>VLOOKUP(N205,'[2]154'!$C$9:$T$554,18,0)</f>
        <v>275</v>
      </c>
      <c r="V205" s="398" t="s">
        <v>182</v>
      </c>
      <c r="W205" s="406">
        <v>63</v>
      </c>
      <c r="X205" s="405">
        <v>33328.984126984127</v>
      </c>
      <c r="Y205" s="406">
        <v>2099726</v>
      </c>
      <c r="Z205" s="3"/>
      <c r="AA205" s="398" t="s">
        <v>182</v>
      </c>
      <c r="AB205" s="329">
        <v>9</v>
      </c>
      <c r="AC205" s="329">
        <v>57</v>
      </c>
      <c r="AD205" s="329">
        <v>150</v>
      </c>
      <c r="AE205" s="329">
        <v>216</v>
      </c>
      <c r="AF205" s="329">
        <v>150</v>
      </c>
      <c r="AG205" s="329">
        <v>1577437</v>
      </c>
      <c r="AH205" s="3"/>
      <c r="AI205" s="398" t="s">
        <v>182</v>
      </c>
      <c r="AJ205" s="329">
        <v>9</v>
      </c>
      <c r="AK205" s="329">
        <v>57</v>
      </c>
      <c r="AL205" s="329">
        <v>150</v>
      </c>
      <c r="AM205" s="329">
        <v>216</v>
      </c>
      <c r="AN205" s="329">
        <v>150</v>
      </c>
      <c r="AO205" s="329">
        <v>2635722</v>
      </c>
    </row>
    <row r="206" spans="1:41" ht="12" customHeight="1">
      <c r="A206" s="167">
        <v>201</v>
      </c>
      <c r="B206" s="79" t="s">
        <v>106</v>
      </c>
      <c r="C206" s="452" t="s">
        <v>183</v>
      </c>
      <c r="D206" s="458">
        <v>0</v>
      </c>
      <c r="E206" s="329">
        <v>899</v>
      </c>
      <c r="F206" s="329">
        <v>0</v>
      </c>
      <c r="G206" s="329">
        <v>0</v>
      </c>
      <c r="H206" s="329">
        <v>899</v>
      </c>
      <c r="I206" s="329">
        <v>0</v>
      </c>
      <c r="J206" s="329">
        <v>0</v>
      </c>
      <c r="K206" s="333">
        <v>0</v>
      </c>
      <c r="L206" s="333"/>
      <c r="M206" s="165"/>
      <c r="N206" s="398" t="s">
        <v>183</v>
      </c>
      <c r="O206" s="329">
        <v>0</v>
      </c>
      <c r="P206" s="329">
        <v>0</v>
      </c>
      <c r="Q206" s="329">
        <v>899</v>
      </c>
      <c r="R206" s="333">
        <v>899</v>
      </c>
      <c r="S206" s="333">
        <v>22536692</v>
      </c>
      <c r="T206" s="3">
        <v>0.35</v>
      </c>
      <c r="U206" s="165">
        <f>VLOOKUP(N206,'[2]154'!$C$9:$T$554,18,0)</f>
        <v>1684</v>
      </c>
      <c r="V206" s="398" t="s">
        <v>183</v>
      </c>
      <c r="W206" s="406">
        <v>0</v>
      </c>
      <c r="X206" s="405">
        <v>0</v>
      </c>
      <c r="Y206" s="406">
        <v>0</v>
      </c>
      <c r="Z206" s="3"/>
      <c r="AA206" s="398" t="s">
        <v>183</v>
      </c>
      <c r="AB206" s="329">
        <v>0</v>
      </c>
      <c r="AC206" s="329">
        <v>0</v>
      </c>
      <c r="AD206" s="329">
        <v>899</v>
      </c>
      <c r="AE206" s="329">
        <v>899</v>
      </c>
      <c r="AF206" s="329">
        <v>719</v>
      </c>
      <c r="AG206" s="329">
        <v>9472452</v>
      </c>
      <c r="AH206" s="3"/>
      <c r="AI206" s="398" t="s">
        <v>183</v>
      </c>
      <c r="AJ206" s="329">
        <v>0</v>
      </c>
      <c r="AK206" s="329">
        <v>0</v>
      </c>
      <c r="AL206" s="329">
        <v>899</v>
      </c>
      <c r="AM206" s="329">
        <v>899</v>
      </c>
      <c r="AN206" s="329">
        <v>719</v>
      </c>
      <c r="AO206" s="329">
        <v>13064240</v>
      </c>
    </row>
    <row r="207" spans="1:41" ht="15.75">
      <c r="A207" s="167">
        <v>202</v>
      </c>
      <c r="B207" s="79" t="s">
        <v>108</v>
      </c>
      <c r="C207" s="452">
        <v>181034126</v>
      </c>
      <c r="D207" s="458">
        <v>0</v>
      </c>
      <c r="E207" s="329">
        <v>36</v>
      </c>
      <c r="F207" s="329">
        <v>0</v>
      </c>
      <c r="G207" s="329">
        <v>0</v>
      </c>
      <c r="H207" s="329">
        <v>36</v>
      </c>
      <c r="I207" s="329">
        <v>0</v>
      </c>
      <c r="J207" s="329">
        <v>0</v>
      </c>
      <c r="K207" s="333">
        <v>0</v>
      </c>
      <c r="L207" s="333"/>
      <c r="M207" s="208"/>
      <c r="N207" s="401">
        <v>181034126</v>
      </c>
      <c r="O207" s="329">
        <v>0</v>
      </c>
      <c r="P207" s="329">
        <v>0</v>
      </c>
      <c r="Q207" s="329">
        <v>36</v>
      </c>
      <c r="R207" s="333">
        <v>36</v>
      </c>
      <c r="S207" s="333">
        <v>906992</v>
      </c>
      <c r="T207" s="3">
        <v>0.35</v>
      </c>
      <c r="U207" s="165">
        <f>VLOOKUP(N207,'[2]154'!$C$9:$T$554,18,0)</f>
        <v>53</v>
      </c>
      <c r="V207" s="401">
        <v>181034126</v>
      </c>
      <c r="W207" s="406">
        <v>0</v>
      </c>
      <c r="X207" s="405">
        <v>0</v>
      </c>
      <c r="Y207" s="406">
        <v>0</v>
      </c>
      <c r="Z207" s="3"/>
      <c r="AA207" s="401">
        <v>181034126</v>
      </c>
      <c r="AB207" s="329">
        <v>0</v>
      </c>
      <c r="AC207" s="329">
        <v>0</v>
      </c>
      <c r="AD207" s="329">
        <v>36</v>
      </c>
      <c r="AE207" s="329">
        <v>36</v>
      </c>
      <c r="AF207" s="329">
        <v>29</v>
      </c>
      <c r="AG207" s="329">
        <v>381220</v>
      </c>
      <c r="AH207" s="3"/>
      <c r="AI207" s="401">
        <v>181034126</v>
      </c>
      <c r="AJ207" s="329">
        <v>0</v>
      </c>
      <c r="AK207" s="329">
        <v>0</v>
      </c>
      <c r="AL207" s="329">
        <v>36</v>
      </c>
      <c r="AM207" s="329">
        <v>36</v>
      </c>
      <c r="AN207" s="329">
        <v>29</v>
      </c>
      <c r="AO207" s="329">
        <v>525772</v>
      </c>
    </row>
    <row r="208" spans="1:41" ht="15.75">
      <c r="A208" s="167">
        <v>203</v>
      </c>
      <c r="B208" s="79" t="s">
        <v>108</v>
      </c>
      <c r="C208" s="452">
        <v>181034892</v>
      </c>
      <c r="D208" s="458">
        <v>0</v>
      </c>
      <c r="E208" s="329">
        <v>68</v>
      </c>
      <c r="F208" s="329">
        <v>0</v>
      </c>
      <c r="G208" s="329">
        <v>46</v>
      </c>
      <c r="H208" s="329">
        <v>22</v>
      </c>
      <c r="I208" s="329">
        <v>0</v>
      </c>
      <c r="J208" s="329">
        <v>0</v>
      </c>
      <c r="K208" s="333">
        <v>0</v>
      </c>
      <c r="L208" s="333"/>
      <c r="M208" s="165"/>
      <c r="N208" s="401">
        <v>181034892</v>
      </c>
      <c r="O208" s="329">
        <v>0</v>
      </c>
      <c r="P208" s="329">
        <v>46</v>
      </c>
      <c r="Q208" s="329">
        <v>22</v>
      </c>
      <c r="R208" s="333">
        <v>68</v>
      </c>
      <c r="S208" s="333">
        <v>2785655</v>
      </c>
      <c r="T208" s="3">
        <v>0.35</v>
      </c>
      <c r="U208" s="165">
        <f>VLOOKUP(N208,'[2]154'!$C$9:$T$554,18,0)</f>
        <v>68</v>
      </c>
      <c r="V208" s="401">
        <v>181034892</v>
      </c>
      <c r="W208" s="406">
        <v>0</v>
      </c>
      <c r="X208" s="405">
        <v>0</v>
      </c>
      <c r="Y208" s="406">
        <v>0</v>
      </c>
      <c r="Z208" s="3"/>
      <c r="AA208" s="401">
        <v>181034892</v>
      </c>
      <c r="AB208" s="329">
        <v>0</v>
      </c>
      <c r="AC208" s="329">
        <v>46</v>
      </c>
      <c r="AD208" s="329">
        <v>22</v>
      </c>
      <c r="AE208" s="329">
        <v>68</v>
      </c>
      <c r="AF208" s="329">
        <v>41</v>
      </c>
      <c r="AG208" s="329">
        <v>1177928</v>
      </c>
      <c r="AH208" s="3"/>
      <c r="AI208" s="401">
        <v>181034892</v>
      </c>
      <c r="AJ208" s="329">
        <v>0</v>
      </c>
      <c r="AK208" s="329">
        <v>46</v>
      </c>
      <c r="AL208" s="329">
        <v>22</v>
      </c>
      <c r="AM208" s="329">
        <v>68</v>
      </c>
      <c r="AN208" s="329">
        <v>41</v>
      </c>
      <c r="AO208" s="329">
        <v>1607727</v>
      </c>
    </row>
    <row r="209" spans="1:41" ht="15.75">
      <c r="A209" s="167">
        <v>204</v>
      </c>
      <c r="B209" s="79" t="s">
        <v>105</v>
      </c>
      <c r="C209" s="452">
        <v>466852</v>
      </c>
      <c r="D209" s="458">
        <v>9244</v>
      </c>
      <c r="E209" s="329">
        <v>418</v>
      </c>
      <c r="F209" s="329">
        <v>0</v>
      </c>
      <c r="G209" s="329">
        <v>0</v>
      </c>
      <c r="H209" s="329">
        <v>418</v>
      </c>
      <c r="I209" s="329">
        <v>0</v>
      </c>
      <c r="J209" s="329">
        <v>0</v>
      </c>
      <c r="K209" s="333">
        <v>0</v>
      </c>
      <c r="L209" s="333"/>
      <c r="M209" s="165"/>
      <c r="N209" s="401">
        <v>466852</v>
      </c>
      <c r="O209" s="329">
        <v>0</v>
      </c>
      <c r="P209" s="329">
        <v>0</v>
      </c>
      <c r="Q209" s="329">
        <v>418</v>
      </c>
      <c r="R209" s="333">
        <v>418</v>
      </c>
      <c r="S209" s="333">
        <v>11762248</v>
      </c>
      <c r="T209" s="3">
        <v>0.36</v>
      </c>
      <c r="U209" s="165">
        <f>VLOOKUP(N209,'[2]154'!$C$9:$T$554,18,0)</f>
        <v>418</v>
      </c>
      <c r="V209" s="401">
        <v>466852</v>
      </c>
      <c r="W209" s="406">
        <v>0</v>
      </c>
      <c r="X209" s="405">
        <v>0</v>
      </c>
      <c r="Y209" s="406">
        <v>0</v>
      </c>
      <c r="Z209" s="3"/>
      <c r="AA209" s="401">
        <v>466852</v>
      </c>
      <c r="AB209" s="329">
        <v>0</v>
      </c>
      <c r="AC209" s="329">
        <v>0</v>
      </c>
      <c r="AD209" s="329">
        <v>418</v>
      </c>
      <c r="AE209" s="329">
        <v>418</v>
      </c>
      <c r="AF209" s="329">
        <v>334</v>
      </c>
      <c r="AG209" s="329">
        <v>4799827</v>
      </c>
      <c r="AH209" s="3"/>
      <c r="AI209" s="401">
        <v>466852</v>
      </c>
      <c r="AJ209" s="329">
        <v>0</v>
      </c>
      <c r="AK209" s="329">
        <v>0</v>
      </c>
      <c r="AL209" s="329">
        <v>418</v>
      </c>
      <c r="AM209" s="329">
        <v>418</v>
      </c>
      <c r="AN209" s="329">
        <v>334</v>
      </c>
      <c r="AO209" s="329">
        <v>6962421</v>
      </c>
    </row>
    <row r="210" spans="1:41" ht="15.75">
      <c r="A210" s="167">
        <v>205</v>
      </c>
      <c r="B210" s="79" t="s">
        <v>107</v>
      </c>
      <c r="C210" s="452" t="s">
        <v>184</v>
      </c>
      <c r="D210" s="458">
        <v>0</v>
      </c>
      <c r="E210" s="329">
        <v>70</v>
      </c>
      <c r="F210" s="329">
        <v>0</v>
      </c>
      <c r="G210" s="329">
        <v>0</v>
      </c>
      <c r="H210" s="329">
        <v>70</v>
      </c>
      <c r="I210" s="329">
        <v>0</v>
      </c>
      <c r="J210" s="329">
        <v>0</v>
      </c>
      <c r="K210" s="333">
        <v>0</v>
      </c>
      <c r="L210" s="333"/>
      <c r="M210" s="208"/>
      <c r="N210" s="398" t="s">
        <v>184</v>
      </c>
      <c r="O210" s="329">
        <v>0</v>
      </c>
      <c r="P210" s="329">
        <v>0</v>
      </c>
      <c r="Q210" s="329">
        <v>70</v>
      </c>
      <c r="R210" s="333">
        <v>70</v>
      </c>
      <c r="S210" s="333">
        <v>2875765</v>
      </c>
      <c r="T210" s="3">
        <v>0.35</v>
      </c>
      <c r="U210" s="165">
        <f>VLOOKUP(N210,'[2]154'!$C$9:$T$554,18,0)</f>
        <v>72</v>
      </c>
      <c r="V210" s="398" t="s">
        <v>184</v>
      </c>
      <c r="W210" s="406">
        <v>0</v>
      </c>
      <c r="X210" s="405">
        <v>0</v>
      </c>
      <c r="Y210" s="406">
        <v>0</v>
      </c>
      <c r="Z210" s="3"/>
      <c r="AA210" s="398" t="s">
        <v>184</v>
      </c>
      <c r="AB210" s="329">
        <v>0</v>
      </c>
      <c r="AC210" s="329">
        <v>0</v>
      </c>
      <c r="AD210" s="329">
        <v>70</v>
      </c>
      <c r="AE210" s="329">
        <v>70</v>
      </c>
      <c r="AF210" s="329">
        <v>56</v>
      </c>
      <c r="AG210" s="329">
        <v>1208720</v>
      </c>
      <c r="AH210" s="3"/>
      <c r="AI210" s="398" t="s">
        <v>184</v>
      </c>
      <c r="AJ210" s="329">
        <v>0</v>
      </c>
      <c r="AK210" s="329">
        <v>0</v>
      </c>
      <c r="AL210" s="329">
        <v>70</v>
      </c>
      <c r="AM210" s="329">
        <v>70</v>
      </c>
      <c r="AN210" s="329">
        <v>56</v>
      </c>
      <c r="AO210" s="329">
        <v>1667045</v>
      </c>
    </row>
    <row r="211" spans="1:41" ht="15.75">
      <c r="A211" s="167">
        <v>206</v>
      </c>
      <c r="B211" s="79" t="s">
        <v>161</v>
      </c>
      <c r="C211" s="452">
        <v>100008598</v>
      </c>
      <c r="D211" s="458">
        <v>4348</v>
      </c>
      <c r="E211" s="329">
        <v>91</v>
      </c>
      <c r="F211" s="329">
        <v>0</v>
      </c>
      <c r="G211" s="329">
        <v>0</v>
      </c>
      <c r="H211" s="329">
        <v>91</v>
      </c>
      <c r="I211" s="329">
        <v>0</v>
      </c>
      <c r="J211" s="329">
        <v>0</v>
      </c>
      <c r="K211" s="333">
        <v>0</v>
      </c>
      <c r="L211" s="333"/>
      <c r="M211" s="165"/>
      <c r="N211" s="401">
        <v>100008598</v>
      </c>
      <c r="O211" s="329">
        <v>0</v>
      </c>
      <c r="P211" s="329">
        <v>0</v>
      </c>
      <c r="Q211" s="329">
        <v>91</v>
      </c>
      <c r="R211" s="333">
        <v>91</v>
      </c>
      <c r="S211" s="333">
        <v>1787012</v>
      </c>
      <c r="T211" s="3">
        <v>0.35</v>
      </c>
      <c r="U211" s="165">
        <f>VLOOKUP(N211,'[2]154'!$C$9:$T$554,18,0)</f>
        <v>279</v>
      </c>
      <c r="V211" s="401">
        <v>100008598</v>
      </c>
      <c r="W211" s="406">
        <v>0</v>
      </c>
      <c r="X211" s="405">
        <v>0</v>
      </c>
      <c r="Y211" s="406">
        <v>0</v>
      </c>
      <c r="Z211" s="3"/>
      <c r="AA211" s="401">
        <v>100008598</v>
      </c>
      <c r="AB211" s="329">
        <v>0</v>
      </c>
      <c r="AC211" s="329">
        <v>0</v>
      </c>
      <c r="AD211" s="329">
        <v>91</v>
      </c>
      <c r="AE211" s="329">
        <v>91</v>
      </c>
      <c r="AF211" s="329">
        <v>73</v>
      </c>
      <c r="AG211" s="329">
        <v>742631</v>
      </c>
      <c r="AH211" s="3"/>
      <c r="AI211" s="401">
        <v>100008598</v>
      </c>
      <c r="AJ211" s="329">
        <v>0</v>
      </c>
      <c r="AK211" s="329">
        <v>0</v>
      </c>
      <c r="AL211" s="329">
        <v>91</v>
      </c>
      <c r="AM211" s="329">
        <v>91</v>
      </c>
      <c r="AN211" s="329">
        <v>73</v>
      </c>
      <c r="AO211" s="329">
        <v>1044381</v>
      </c>
    </row>
    <row r="212" spans="1:41" ht="15.75">
      <c r="A212" s="167">
        <v>207</v>
      </c>
      <c r="B212" s="79" t="s">
        <v>161</v>
      </c>
      <c r="C212" s="452">
        <v>100008604</v>
      </c>
      <c r="D212" s="458">
        <v>0</v>
      </c>
      <c r="E212" s="329">
        <v>154</v>
      </c>
      <c r="F212" s="329">
        <v>0</v>
      </c>
      <c r="G212" s="329">
        <v>21</v>
      </c>
      <c r="H212" s="329">
        <v>133</v>
      </c>
      <c r="I212" s="329">
        <v>0</v>
      </c>
      <c r="J212" s="329">
        <v>0</v>
      </c>
      <c r="K212" s="333">
        <v>0</v>
      </c>
      <c r="L212" s="333"/>
      <c r="M212" s="165"/>
      <c r="N212" s="401">
        <v>100008604</v>
      </c>
      <c r="O212" s="329">
        <v>0</v>
      </c>
      <c r="P212" s="329">
        <v>21</v>
      </c>
      <c r="Q212" s="329">
        <v>133</v>
      </c>
      <c r="R212" s="333">
        <v>154</v>
      </c>
      <c r="S212" s="333">
        <v>2503985</v>
      </c>
      <c r="T212" s="3">
        <v>0.35</v>
      </c>
      <c r="U212" s="165">
        <f>VLOOKUP(N212,'[2]154'!$C$9:$T$554,18,0)</f>
        <v>154</v>
      </c>
      <c r="V212" s="401">
        <v>100008604</v>
      </c>
      <c r="W212" s="406">
        <v>0</v>
      </c>
      <c r="X212" s="405">
        <v>0</v>
      </c>
      <c r="Y212" s="406">
        <v>0</v>
      </c>
      <c r="Z212" s="3"/>
      <c r="AA212" s="401">
        <v>100008604</v>
      </c>
      <c r="AB212" s="329">
        <v>0</v>
      </c>
      <c r="AC212" s="329">
        <v>21</v>
      </c>
      <c r="AD212" s="329">
        <v>133</v>
      </c>
      <c r="AE212" s="329">
        <v>154</v>
      </c>
      <c r="AF212" s="329">
        <v>117</v>
      </c>
      <c r="AG212" s="329">
        <v>1060628</v>
      </c>
      <c r="AH212" s="3"/>
      <c r="AI212" s="401">
        <v>100008604</v>
      </c>
      <c r="AJ212" s="329">
        <v>0</v>
      </c>
      <c r="AK212" s="329">
        <v>21</v>
      </c>
      <c r="AL212" s="329">
        <v>133</v>
      </c>
      <c r="AM212" s="329">
        <v>154</v>
      </c>
      <c r="AN212" s="329">
        <v>117</v>
      </c>
      <c r="AO212" s="329">
        <v>1443357</v>
      </c>
    </row>
    <row r="213" spans="1:41" ht="15.75">
      <c r="A213" s="167">
        <v>208</v>
      </c>
      <c r="B213" s="79" t="s">
        <v>161</v>
      </c>
      <c r="C213" s="452">
        <v>100008605</v>
      </c>
      <c r="D213" s="458">
        <v>6330</v>
      </c>
      <c r="E213" s="329">
        <v>222</v>
      </c>
      <c r="F213" s="329">
        <v>0</v>
      </c>
      <c r="G213" s="329">
        <v>0</v>
      </c>
      <c r="H213" s="329">
        <v>222</v>
      </c>
      <c r="I213" s="329">
        <v>0</v>
      </c>
      <c r="J213" s="329">
        <v>0</v>
      </c>
      <c r="K213" s="333">
        <v>0</v>
      </c>
      <c r="L213" s="333"/>
      <c r="M213" s="208"/>
      <c r="N213" s="401">
        <v>100008605</v>
      </c>
      <c r="O213" s="329">
        <v>0</v>
      </c>
      <c r="P213" s="329">
        <v>0</v>
      </c>
      <c r="Q213" s="329">
        <v>222</v>
      </c>
      <c r="R213" s="333">
        <v>222</v>
      </c>
      <c r="S213" s="333">
        <v>4040309</v>
      </c>
      <c r="T213" s="3">
        <v>0.35</v>
      </c>
      <c r="U213" s="165">
        <f>VLOOKUP(N213,'[2]154'!$C$9:$T$554,18,0)</f>
        <v>222</v>
      </c>
      <c r="V213" s="401">
        <v>100008605</v>
      </c>
      <c r="W213" s="406">
        <v>0</v>
      </c>
      <c r="X213" s="405">
        <v>0</v>
      </c>
      <c r="Y213" s="406">
        <v>0</v>
      </c>
      <c r="Z213" s="3"/>
      <c r="AA213" s="401">
        <v>100008605</v>
      </c>
      <c r="AB213" s="329">
        <v>0</v>
      </c>
      <c r="AC213" s="329">
        <v>0</v>
      </c>
      <c r="AD213" s="329">
        <v>222</v>
      </c>
      <c r="AE213" s="329">
        <v>222</v>
      </c>
      <c r="AF213" s="329">
        <v>178</v>
      </c>
      <c r="AG213" s="329">
        <v>1656935</v>
      </c>
      <c r="AH213" s="3"/>
      <c r="AI213" s="401">
        <v>100008605</v>
      </c>
      <c r="AJ213" s="329">
        <v>0</v>
      </c>
      <c r="AK213" s="329">
        <v>0</v>
      </c>
      <c r="AL213" s="329">
        <v>222</v>
      </c>
      <c r="AM213" s="329">
        <v>222</v>
      </c>
      <c r="AN213" s="329">
        <v>178</v>
      </c>
      <c r="AO213" s="329">
        <v>2383374</v>
      </c>
    </row>
    <row r="214" spans="1:41" ht="15.75">
      <c r="A214" s="167">
        <v>209</v>
      </c>
      <c r="B214" s="79" t="s">
        <v>161</v>
      </c>
      <c r="C214" s="452">
        <v>100008607</v>
      </c>
      <c r="D214" s="458">
        <v>0</v>
      </c>
      <c r="E214" s="329">
        <v>146</v>
      </c>
      <c r="F214" s="329">
        <v>0</v>
      </c>
      <c r="G214" s="329">
        <v>0</v>
      </c>
      <c r="H214" s="329">
        <v>146</v>
      </c>
      <c r="I214" s="329">
        <v>0</v>
      </c>
      <c r="J214" s="329">
        <v>0</v>
      </c>
      <c r="K214" s="333">
        <v>0</v>
      </c>
      <c r="L214" s="333"/>
      <c r="M214" s="165"/>
      <c r="N214" s="401">
        <v>100008607</v>
      </c>
      <c r="O214" s="329">
        <v>0</v>
      </c>
      <c r="P214" s="329">
        <v>0</v>
      </c>
      <c r="Q214" s="329">
        <v>146</v>
      </c>
      <c r="R214" s="333">
        <v>146</v>
      </c>
      <c r="S214" s="333">
        <v>4325066</v>
      </c>
      <c r="T214" s="3">
        <v>0.35</v>
      </c>
      <c r="U214" s="165">
        <f>VLOOKUP(N214,'[2]154'!$C$9:$T$554,18,0)</f>
        <v>146</v>
      </c>
      <c r="V214" s="401">
        <v>100008607</v>
      </c>
      <c r="W214" s="406">
        <v>0</v>
      </c>
      <c r="X214" s="405">
        <v>0</v>
      </c>
      <c r="Y214" s="406">
        <v>0</v>
      </c>
      <c r="Z214" s="3"/>
      <c r="AA214" s="401">
        <v>100008607</v>
      </c>
      <c r="AB214" s="329">
        <v>0</v>
      </c>
      <c r="AC214" s="329">
        <v>0</v>
      </c>
      <c r="AD214" s="329">
        <v>146</v>
      </c>
      <c r="AE214" s="329">
        <v>146</v>
      </c>
      <c r="AF214" s="329">
        <v>117</v>
      </c>
      <c r="AG214" s="329">
        <v>1831994</v>
      </c>
      <c r="AH214" s="3"/>
      <c r="AI214" s="401">
        <v>100008607</v>
      </c>
      <c r="AJ214" s="329">
        <v>0</v>
      </c>
      <c r="AK214" s="329">
        <v>0</v>
      </c>
      <c r="AL214" s="329">
        <v>146</v>
      </c>
      <c r="AM214" s="329">
        <v>146</v>
      </c>
      <c r="AN214" s="329">
        <v>117</v>
      </c>
      <c r="AO214" s="329">
        <v>2493072</v>
      </c>
    </row>
    <row r="215" spans="1:41" ht="15.75">
      <c r="A215" s="167">
        <v>210</v>
      </c>
      <c r="B215" s="79" t="s">
        <v>161</v>
      </c>
      <c r="C215" s="452">
        <v>100008660</v>
      </c>
      <c r="D215" s="458">
        <v>4774</v>
      </c>
      <c r="E215" s="329">
        <v>195</v>
      </c>
      <c r="F215" s="329">
        <v>0</v>
      </c>
      <c r="G215" s="329">
        <v>0</v>
      </c>
      <c r="H215" s="329">
        <v>195</v>
      </c>
      <c r="I215" s="329">
        <v>0</v>
      </c>
      <c r="J215" s="329">
        <v>0</v>
      </c>
      <c r="K215" s="333">
        <v>0</v>
      </c>
      <c r="L215" s="333"/>
      <c r="M215" s="165"/>
      <c r="N215" s="401">
        <v>100008660</v>
      </c>
      <c r="O215" s="329">
        <v>0</v>
      </c>
      <c r="P215" s="329">
        <v>0</v>
      </c>
      <c r="Q215" s="329">
        <v>195</v>
      </c>
      <c r="R215" s="333">
        <v>195</v>
      </c>
      <c r="S215" s="333">
        <v>6458222</v>
      </c>
      <c r="T215" s="3">
        <v>0.36</v>
      </c>
      <c r="U215" s="165">
        <f>VLOOKUP(N215,'[2]154'!$C$9:$T$554,18,0)</f>
        <v>320</v>
      </c>
      <c r="V215" s="401">
        <v>100008660</v>
      </c>
      <c r="W215" s="406">
        <v>0</v>
      </c>
      <c r="X215" s="405">
        <v>0</v>
      </c>
      <c r="Y215" s="406">
        <v>0</v>
      </c>
      <c r="Z215" s="3"/>
      <c r="AA215" s="401">
        <v>100008660</v>
      </c>
      <c r="AB215" s="329">
        <v>0</v>
      </c>
      <c r="AC215" s="329">
        <v>0</v>
      </c>
      <c r="AD215" s="329">
        <v>195</v>
      </c>
      <c r="AE215" s="329">
        <v>195</v>
      </c>
      <c r="AF215" s="329">
        <v>156</v>
      </c>
      <c r="AG215" s="329">
        <v>2735548</v>
      </c>
      <c r="AH215" s="3"/>
      <c r="AI215" s="401">
        <v>100008660</v>
      </c>
      <c r="AJ215" s="329">
        <v>0</v>
      </c>
      <c r="AK215" s="329">
        <v>0</v>
      </c>
      <c r="AL215" s="329">
        <v>195</v>
      </c>
      <c r="AM215" s="329">
        <v>195</v>
      </c>
      <c r="AN215" s="329">
        <v>156</v>
      </c>
      <c r="AO215" s="329">
        <v>3722674</v>
      </c>
    </row>
    <row r="216" spans="1:41" ht="15.75">
      <c r="A216" s="167">
        <v>211</v>
      </c>
      <c r="B216" s="79" t="s">
        <v>161</v>
      </c>
      <c r="C216" s="452">
        <v>100008746</v>
      </c>
      <c r="D216" s="458">
        <v>773</v>
      </c>
      <c r="E216" s="329">
        <v>25</v>
      </c>
      <c r="F216" s="329"/>
      <c r="G216" s="329"/>
      <c r="H216" s="329">
        <v>25</v>
      </c>
      <c r="I216" s="329">
        <v>0</v>
      </c>
      <c r="J216" s="329">
        <v>0</v>
      </c>
      <c r="K216" s="333">
        <v>0</v>
      </c>
      <c r="L216" s="333"/>
      <c r="M216" s="208"/>
      <c r="N216" s="401">
        <v>100008746</v>
      </c>
      <c r="O216" s="329">
        <v>0</v>
      </c>
      <c r="P216" s="329">
        <v>0</v>
      </c>
      <c r="Q216" s="329">
        <v>25</v>
      </c>
      <c r="R216" s="333">
        <v>25</v>
      </c>
      <c r="S216" s="333">
        <v>1478655</v>
      </c>
      <c r="T216" s="3">
        <v>0.35</v>
      </c>
      <c r="U216" s="165">
        <f>VLOOKUP(N216,'[2]154'!$C$9:$T$554,18,0)</f>
        <v>25</v>
      </c>
      <c r="V216" s="401">
        <v>100008746</v>
      </c>
      <c r="W216" s="406">
        <v>0</v>
      </c>
      <c r="X216" s="405">
        <v>0</v>
      </c>
      <c r="Y216" s="406">
        <v>0</v>
      </c>
      <c r="Z216" s="3"/>
      <c r="AA216" s="401">
        <v>100008746</v>
      </c>
      <c r="AB216" s="329">
        <v>0</v>
      </c>
      <c r="AC216" s="329">
        <v>0</v>
      </c>
      <c r="AD216" s="329">
        <v>25</v>
      </c>
      <c r="AE216" s="329">
        <v>25</v>
      </c>
      <c r="AF216" s="329">
        <v>20</v>
      </c>
      <c r="AG216" s="329">
        <v>626323</v>
      </c>
      <c r="AH216" s="3"/>
      <c r="AI216" s="401">
        <v>100008746</v>
      </c>
      <c r="AJ216" s="329">
        <v>0</v>
      </c>
      <c r="AK216" s="329">
        <v>0</v>
      </c>
      <c r="AL216" s="329">
        <v>25</v>
      </c>
      <c r="AM216" s="329">
        <v>25</v>
      </c>
      <c r="AN216" s="329">
        <v>20</v>
      </c>
      <c r="AO216" s="329">
        <v>852332</v>
      </c>
    </row>
    <row r="217" spans="1:41" ht="15.75">
      <c r="A217" s="167">
        <v>212</v>
      </c>
      <c r="B217" s="79" t="s">
        <v>161</v>
      </c>
      <c r="C217" s="452">
        <v>100009162</v>
      </c>
      <c r="D217" s="458">
        <v>0</v>
      </c>
      <c r="E217" s="329">
        <v>86</v>
      </c>
      <c r="F217" s="329">
        <v>0</v>
      </c>
      <c r="G217" s="329">
        <v>0</v>
      </c>
      <c r="H217" s="329">
        <v>86</v>
      </c>
      <c r="I217" s="329">
        <v>0</v>
      </c>
      <c r="J217" s="329">
        <v>0</v>
      </c>
      <c r="K217" s="333">
        <v>0</v>
      </c>
      <c r="L217" s="333"/>
      <c r="M217" s="165"/>
      <c r="N217" s="401">
        <v>100009162</v>
      </c>
      <c r="O217" s="329">
        <v>0</v>
      </c>
      <c r="P217" s="329">
        <v>0</v>
      </c>
      <c r="Q217" s="329">
        <v>86</v>
      </c>
      <c r="R217" s="333">
        <v>86</v>
      </c>
      <c r="S217" s="333">
        <v>2684926</v>
      </c>
      <c r="T217" s="3">
        <v>0.35</v>
      </c>
      <c r="U217" s="165">
        <f>VLOOKUP(N217,'[2]154'!$C$9:$T$554,18,0)</f>
        <v>86</v>
      </c>
      <c r="V217" s="401">
        <v>100009162</v>
      </c>
      <c r="W217" s="406">
        <v>0</v>
      </c>
      <c r="X217" s="405">
        <v>0</v>
      </c>
      <c r="Y217" s="406">
        <v>0</v>
      </c>
      <c r="Z217" s="3"/>
      <c r="AA217" s="401">
        <v>100009162</v>
      </c>
      <c r="AB217" s="329">
        <v>0</v>
      </c>
      <c r="AC217" s="329">
        <v>0</v>
      </c>
      <c r="AD217" s="329">
        <v>86</v>
      </c>
      <c r="AE217" s="329">
        <v>86</v>
      </c>
      <c r="AF217" s="329">
        <v>69</v>
      </c>
      <c r="AG217" s="329">
        <v>1137270</v>
      </c>
      <c r="AH217" s="3"/>
      <c r="AI217" s="401">
        <v>100009162</v>
      </c>
      <c r="AJ217" s="329">
        <v>0</v>
      </c>
      <c r="AK217" s="329">
        <v>0</v>
      </c>
      <c r="AL217" s="329">
        <v>86</v>
      </c>
      <c r="AM217" s="329">
        <v>86</v>
      </c>
      <c r="AN217" s="329">
        <v>69</v>
      </c>
      <c r="AO217" s="329">
        <v>1547656</v>
      </c>
    </row>
    <row r="218" spans="1:41" ht="15.75">
      <c r="A218" s="167">
        <v>213</v>
      </c>
      <c r="B218" s="79" t="s">
        <v>161</v>
      </c>
      <c r="C218" s="452">
        <v>100009622</v>
      </c>
      <c r="D218" s="458">
        <v>2284</v>
      </c>
      <c r="E218" s="329">
        <v>425</v>
      </c>
      <c r="F218" s="329">
        <v>0</v>
      </c>
      <c r="G218" s="329">
        <v>189</v>
      </c>
      <c r="H218" s="329">
        <v>236</v>
      </c>
      <c r="I218" s="329">
        <v>0</v>
      </c>
      <c r="J218" s="329">
        <v>0</v>
      </c>
      <c r="K218" s="333">
        <v>0</v>
      </c>
      <c r="L218" s="333"/>
      <c r="M218" s="165"/>
      <c r="N218" s="401">
        <v>100009622</v>
      </c>
      <c r="O218" s="329">
        <v>0</v>
      </c>
      <c r="P218" s="329">
        <v>189</v>
      </c>
      <c r="Q218" s="329">
        <v>236</v>
      </c>
      <c r="R218" s="333">
        <v>425</v>
      </c>
      <c r="S218" s="333">
        <v>27393417</v>
      </c>
      <c r="T218" s="3">
        <v>0.35</v>
      </c>
      <c r="U218" s="165">
        <f>VLOOKUP(N218,'[2]154'!$C$9:$T$554,18,0)</f>
        <v>734</v>
      </c>
      <c r="V218" s="401">
        <v>100009622</v>
      </c>
      <c r="W218" s="406">
        <v>0</v>
      </c>
      <c r="X218" s="405">
        <v>0</v>
      </c>
      <c r="Y218" s="406">
        <v>0</v>
      </c>
      <c r="Z218" s="3"/>
      <c r="AA218" s="401">
        <v>100009622</v>
      </c>
      <c r="AB218" s="329">
        <v>0</v>
      </c>
      <c r="AC218" s="329">
        <v>189</v>
      </c>
      <c r="AD218" s="329">
        <v>236</v>
      </c>
      <c r="AE218" s="329">
        <v>425</v>
      </c>
      <c r="AF218" s="329">
        <v>283</v>
      </c>
      <c r="AG218" s="329">
        <v>11198699</v>
      </c>
      <c r="AH218" s="3"/>
      <c r="AI218" s="401">
        <v>100009622</v>
      </c>
      <c r="AJ218" s="329">
        <v>0</v>
      </c>
      <c r="AK218" s="329">
        <v>189</v>
      </c>
      <c r="AL218" s="329">
        <v>236</v>
      </c>
      <c r="AM218" s="329">
        <v>425</v>
      </c>
      <c r="AN218" s="329">
        <v>283</v>
      </c>
      <c r="AO218" s="329">
        <v>16194718</v>
      </c>
    </row>
    <row r="219" spans="1:41" ht="15.75">
      <c r="A219" s="167">
        <v>214</v>
      </c>
      <c r="B219" s="79" t="s">
        <v>161</v>
      </c>
      <c r="C219" s="452">
        <v>100015352</v>
      </c>
      <c r="D219" s="458">
        <v>9258</v>
      </c>
      <c r="E219" s="329">
        <v>261</v>
      </c>
      <c r="F219" s="329">
        <v>0</v>
      </c>
      <c r="G219" s="329">
        <v>163</v>
      </c>
      <c r="H219" s="329">
        <v>98</v>
      </c>
      <c r="I219" s="329">
        <v>0</v>
      </c>
      <c r="J219" s="329">
        <v>0</v>
      </c>
      <c r="K219" s="333">
        <v>0</v>
      </c>
      <c r="L219" s="333"/>
      <c r="M219" s="208"/>
      <c r="N219" s="401">
        <v>100015352</v>
      </c>
      <c r="O219" s="329">
        <v>0</v>
      </c>
      <c r="P219" s="329">
        <v>163</v>
      </c>
      <c r="Q219" s="329">
        <v>98</v>
      </c>
      <c r="R219" s="333">
        <v>261</v>
      </c>
      <c r="S219" s="333">
        <v>9770715</v>
      </c>
      <c r="T219" s="3">
        <v>0.35</v>
      </c>
      <c r="U219" s="165">
        <f>VLOOKUP(N219,'[2]154'!$C$9:$T$554,18,0)</f>
        <v>261</v>
      </c>
      <c r="V219" s="401">
        <v>100015352</v>
      </c>
      <c r="W219" s="406">
        <v>0</v>
      </c>
      <c r="X219" s="405">
        <v>0</v>
      </c>
      <c r="Y219" s="406">
        <v>0</v>
      </c>
      <c r="Z219" s="3"/>
      <c r="AA219" s="401">
        <v>100015352</v>
      </c>
      <c r="AB219" s="329">
        <v>0</v>
      </c>
      <c r="AC219" s="329">
        <v>163</v>
      </c>
      <c r="AD219" s="329">
        <v>98</v>
      </c>
      <c r="AE219" s="329">
        <v>261</v>
      </c>
      <c r="AF219" s="329">
        <v>160</v>
      </c>
      <c r="AG219" s="329">
        <v>3808395</v>
      </c>
      <c r="AH219" s="3"/>
      <c r="AI219" s="401">
        <v>100015352</v>
      </c>
      <c r="AJ219" s="329">
        <v>0</v>
      </c>
      <c r="AK219" s="329">
        <v>163</v>
      </c>
      <c r="AL219" s="329">
        <v>98</v>
      </c>
      <c r="AM219" s="329">
        <v>261</v>
      </c>
      <c r="AN219" s="329">
        <v>160</v>
      </c>
      <c r="AO219" s="329">
        <v>5962320</v>
      </c>
    </row>
    <row r="220" spans="1:41" ht="15.75">
      <c r="A220" s="167">
        <v>215</v>
      </c>
      <c r="B220" s="79" t="s">
        <v>161</v>
      </c>
      <c r="C220" s="452">
        <v>100015355</v>
      </c>
      <c r="D220" s="458">
        <v>4812</v>
      </c>
      <c r="E220" s="329">
        <v>344</v>
      </c>
      <c r="F220" s="329">
        <v>0</v>
      </c>
      <c r="G220" s="329">
        <v>104</v>
      </c>
      <c r="H220" s="329">
        <v>240</v>
      </c>
      <c r="I220" s="329">
        <v>0</v>
      </c>
      <c r="J220" s="329">
        <v>0</v>
      </c>
      <c r="K220" s="333">
        <v>0</v>
      </c>
      <c r="L220" s="333"/>
      <c r="M220" s="165"/>
      <c r="N220" s="401">
        <v>100015355</v>
      </c>
      <c r="O220" s="329">
        <v>0</v>
      </c>
      <c r="P220" s="329">
        <v>104</v>
      </c>
      <c r="Q220" s="329">
        <v>240</v>
      </c>
      <c r="R220" s="333">
        <v>344</v>
      </c>
      <c r="S220" s="333">
        <v>11298499</v>
      </c>
      <c r="T220" s="3">
        <v>0.35</v>
      </c>
      <c r="U220" s="165">
        <f>VLOOKUP(N220,'[2]154'!$C$9:$T$554,18,0)</f>
        <v>344</v>
      </c>
      <c r="V220" s="401">
        <v>100015355</v>
      </c>
      <c r="W220" s="406">
        <v>0</v>
      </c>
      <c r="X220" s="405">
        <v>0</v>
      </c>
      <c r="Y220" s="406">
        <v>0</v>
      </c>
      <c r="Z220" s="3"/>
      <c r="AA220" s="401">
        <v>100015355</v>
      </c>
      <c r="AB220" s="329">
        <v>0</v>
      </c>
      <c r="AC220" s="329">
        <v>104</v>
      </c>
      <c r="AD220" s="329">
        <v>240</v>
      </c>
      <c r="AE220" s="329">
        <v>344</v>
      </c>
      <c r="AF220" s="329">
        <v>244</v>
      </c>
      <c r="AG220" s="329">
        <v>4571791</v>
      </c>
      <c r="AH220" s="3"/>
      <c r="AI220" s="401">
        <v>100015355</v>
      </c>
      <c r="AJ220" s="329">
        <v>0</v>
      </c>
      <c r="AK220" s="329">
        <v>104</v>
      </c>
      <c r="AL220" s="329">
        <v>240</v>
      </c>
      <c r="AM220" s="329">
        <v>344</v>
      </c>
      <c r="AN220" s="329">
        <v>244</v>
      </c>
      <c r="AO220" s="329">
        <v>6726708</v>
      </c>
    </row>
    <row r="221" spans="1:41" ht="15.75">
      <c r="A221" s="167">
        <v>216</v>
      </c>
      <c r="B221" s="79" t="s">
        <v>161</v>
      </c>
      <c r="C221" s="452">
        <v>100015669</v>
      </c>
      <c r="D221" s="458">
        <v>1170</v>
      </c>
      <c r="E221" s="329">
        <v>14</v>
      </c>
      <c r="F221" s="329">
        <v>0</v>
      </c>
      <c r="G221" s="329">
        <v>0</v>
      </c>
      <c r="H221" s="329">
        <v>14</v>
      </c>
      <c r="I221" s="329">
        <v>0</v>
      </c>
      <c r="J221" s="329">
        <v>0</v>
      </c>
      <c r="K221" s="333">
        <v>0</v>
      </c>
      <c r="L221" s="333"/>
      <c r="M221" s="165"/>
      <c r="N221" s="401">
        <v>100015669</v>
      </c>
      <c r="O221" s="329">
        <v>0</v>
      </c>
      <c r="P221" s="329">
        <v>0</v>
      </c>
      <c r="Q221" s="329">
        <v>14</v>
      </c>
      <c r="R221" s="333">
        <v>14</v>
      </c>
      <c r="S221" s="333">
        <v>338640</v>
      </c>
      <c r="T221" s="3">
        <v>0.36</v>
      </c>
      <c r="U221" s="165">
        <f>VLOOKUP(N221,'[2]154'!$C$9:$T$554,18,0)</f>
        <v>45</v>
      </c>
      <c r="V221" s="401">
        <v>100015669</v>
      </c>
      <c r="W221" s="406">
        <v>0</v>
      </c>
      <c r="X221" s="405">
        <v>0</v>
      </c>
      <c r="Y221" s="406">
        <v>0</v>
      </c>
      <c r="Z221" s="3"/>
      <c r="AA221" s="401">
        <v>100015669</v>
      </c>
      <c r="AB221" s="329">
        <v>0</v>
      </c>
      <c r="AC221" s="329">
        <v>0</v>
      </c>
      <c r="AD221" s="329">
        <v>14</v>
      </c>
      <c r="AE221" s="329">
        <v>14</v>
      </c>
      <c r="AF221" s="329">
        <v>11</v>
      </c>
      <c r="AG221" s="329">
        <v>143440</v>
      </c>
      <c r="AH221" s="3"/>
      <c r="AI221" s="401">
        <v>100015669</v>
      </c>
      <c r="AJ221" s="329">
        <v>0</v>
      </c>
      <c r="AK221" s="329">
        <v>0</v>
      </c>
      <c r="AL221" s="329">
        <v>14</v>
      </c>
      <c r="AM221" s="329">
        <v>14</v>
      </c>
      <c r="AN221" s="329">
        <v>11</v>
      </c>
      <c r="AO221" s="329">
        <v>195200</v>
      </c>
    </row>
    <row r="222" spans="1:41" ht="15.75">
      <c r="A222" s="167">
        <v>217</v>
      </c>
      <c r="B222" s="79" t="s">
        <v>161</v>
      </c>
      <c r="C222" s="452">
        <v>100018310</v>
      </c>
      <c r="D222" s="458">
        <v>7710</v>
      </c>
      <c r="E222" s="329">
        <v>195</v>
      </c>
      <c r="F222" s="329">
        <v>0</v>
      </c>
      <c r="G222" s="329">
        <v>97</v>
      </c>
      <c r="H222" s="329">
        <v>98</v>
      </c>
      <c r="I222" s="329">
        <v>0</v>
      </c>
      <c r="J222" s="329">
        <v>0</v>
      </c>
      <c r="K222" s="333">
        <v>0</v>
      </c>
      <c r="L222" s="333"/>
      <c r="M222" s="208"/>
      <c r="N222" s="401">
        <v>100018310</v>
      </c>
      <c r="O222" s="329">
        <v>0</v>
      </c>
      <c r="P222" s="329">
        <v>97</v>
      </c>
      <c r="Q222" s="329">
        <v>98</v>
      </c>
      <c r="R222" s="333">
        <v>195</v>
      </c>
      <c r="S222" s="333">
        <v>5265817</v>
      </c>
      <c r="T222" s="3">
        <v>0.35</v>
      </c>
      <c r="U222" s="165">
        <f>VLOOKUP(N222,'[2]154'!$C$9:$T$554,18,0)</f>
        <v>195</v>
      </c>
      <c r="V222" s="401">
        <v>100018310</v>
      </c>
      <c r="W222" s="406">
        <v>0</v>
      </c>
      <c r="X222" s="405">
        <v>0</v>
      </c>
      <c r="Y222" s="406">
        <v>0</v>
      </c>
      <c r="Z222" s="3"/>
      <c r="AA222" s="401">
        <v>100018310</v>
      </c>
      <c r="AB222" s="329">
        <v>0</v>
      </c>
      <c r="AC222" s="329">
        <v>97</v>
      </c>
      <c r="AD222" s="329">
        <v>98</v>
      </c>
      <c r="AE222" s="329">
        <v>195</v>
      </c>
      <c r="AF222" s="329">
        <v>127</v>
      </c>
      <c r="AG222" s="329">
        <v>2077414</v>
      </c>
      <c r="AH222" s="3"/>
      <c r="AI222" s="401">
        <v>100018310</v>
      </c>
      <c r="AJ222" s="329">
        <v>0</v>
      </c>
      <c r="AK222" s="329">
        <v>97</v>
      </c>
      <c r="AL222" s="329">
        <v>98</v>
      </c>
      <c r="AM222" s="329">
        <v>195</v>
      </c>
      <c r="AN222" s="329">
        <v>127</v>
      </c>
      <c r="AO222" s="329">
        <v>3188403</v>
      </c>
    </row>
    <row r="223" spans="1:41" ht="15.75">
      <c r="A223" s="167">
        <v>218</v>
      </c>
      <c r="B223" s="79" t="s">
        <v>161</v>
      </c>
      <c r="C223" s="452">
        <v>100021064</v>
      </c>
      <c r="D223" s="458">
        <v>3723</v>
      </c>
      <c r="E223" s="329">
        <v>160</v>
      </c>
      <c r="F223" s="329">
        <v>0</v>
      </c>
      <c r="G223" s="329">
        <v>80</v>
      </c>
      <c r="H223" s="329">
        <v>80</v>
      </c>
      <c r="I223" s="329">
        <v>0</v>
      </c>
      <c r="J223" s="329">
        <v>0</v>
      </c>
      <c r="K223" s="333">
        <v>0</v>
      </c>
      <c r="L223" s="333"/>
      <c r="M223" s="165"/>
      <c r="N223" s="401">
        <v>100021064</v>
      </c>
      <c r="O223" s="329">
        <v>0</v>
      </c>
      <c r="P223" s="329">
        <v>80</v>
      </c>
      <c r="Q223" s="329">
        <v>80</v>
      </c>
      <c r="R223" s="333">
        <v>160</v>
      </c>
      <c r="S223" s="333">
        <v>4096325</v>
      </c>
      <c r="T223" s="3">
        <v>0.35</v>
      </c>
      <c r="U223" s="165">
        <f>VLOOKUP(N223,'[2]154'!$C$9:$T$554,18,0)</f>
        <v>160</v>
      </c>
      <c r="V223" s="401">
        <v>100021064</v>
      </c>
      <c r="W223" s="406">
        <v>0</v>
      </c>
      <c r="X223" s="405">
        <v>0</v>
      </c>
      <c r="Y223" s="406">
        <v>0</v>
      </c>
      <c r="Z223" s="3"/>
      <c r="AA223" s="401">
        <v>100021064</v>
      </c>
      <c r="AB223" s="329">
        <v>0</v>
      </c>
      <c r="AC223" s="329">
        <v>80</v>
      </c>
      <c r="AD223" s="329">
        <v>80</v>
      </c>
      <c r="AE223" s="329">
        <v>160</v>
      </c>
      <c r="AF223" s="329">
        <v>104</v>
      </c>
      <c r="AG223" s="329">
        <v>1661402</v>
      </c>
      <c r="AH223" s="3"/>
      <c r="AI223" s="401">
        <v>100021064</v>
      </c>
      <c r="AJ223" s="329">
        <v>0</v>
      </c>
      <c r="AK223" s="329">
        <v>80</v>
      </c>
      <c r="AL223" s="329">
        <v>80</v>
      </c>
      <c r="AM223" s="329">
        <v>160</v>
      </c>
      <c r="AN223" s="329">
        <v>104</v>
      </c>
      <c r="AO223" s="329">
        <v>2434923</v>
      </c>
    </row>
    <row r="224" spans="1:41" ht="15.75">
      <c r="A224" s="167">
        <v>219</v>
      </c>
      <c r="B224" s="79" t="s">
        <v>161</v>
      </c>
      <c r="C224" s="452">
        <v>73301</v>
      </c>
      <c r="D224" s="458">
        <v>17543</v>
      </c>
      <c r="E224" s="329">
        <v>471</v>
      </c>
      <c r="F224" s="329">
        <v>0</v>
      </c>
      <c r="G224" s="329">
        <v>121</v>
      </c>
      <c r="H224" s="329">
        <v>350</v>
      </c>
      <c r="I224" s="329">
        <v>0</v>
      </c>
      <c r="J224" s="329">
        <v>286</v>
      </c>
      <c r="K224" s="333">
        <v>286</v>
      </c>
      <c r="L224" s="333"/>
      <c r="M224" s="165"/>
      <c r="N224" s="401">
        <v>73301</v>
      </c>
      <c r="O224" s="329">
        <v>0</v>
      </c>
      <c r="P224" s="329">
        <v>121</v>
      </c>
      <c r="Q224" s="329">
        <v>350</v>
      </c>
      <c r="R224" s="333">
        <v>471</v>
      </c>
      <c r="S224" s="333">
        <v>15092607</v>
      </c>
      <c r="T224" s="3">
        <v>1.96</v>
      </c>
      <c r="U224" s="165">
        <f>VLOOKUP(N224,'[2]154'!$C$9:$T$554,18,0)</f>
        <v>471</v>
      </c>
      <c r="V224" s="401">
        <v>73301</v>
      </c>
      <c r="W224" s="406">
        <v>286</v>
      </c>
      <c r="X224" s="405">
        <v>44979.167832167834</v>
      </c>
      <c r="Y224" s="406">
        <v>12864042</v>
      </c>
      <c r="Z224" s="3"/>
      <c r="AA224" s="401">
        <v>73301</v>
      </c>
      <c r="AB224" s="329">
        <v>0</v>
      </c>
      <c r="AC224" s="329">
        <v>121</v>
      </c>
      <c r="AD224" s="329">
        <v>350</v>
      </c>
      <c r="AE224" s="329">
        <v>471</v>
      </c>
      <c r="AF224" s="329">
        <v>341</v>
      </c>
      <c r="AG224" s="329">
        <v>5435806</v>
      </c>
      <c r="AH224" s="3"/>
      <c r="AI224" s="401">
        <v>73301</v>
      </c>
      <c r="AJ224" s="329">
        <v>0</v>
      </c>
      <c r="AK224" s="329">
        <v>121</v>
      </c>
      <c r="AL224" s="329">
        <v>350</v>
      </c>
      <c r="AM224" s="329">
        <v>471</v>
      </c>
      <c r="AN224" s="329">
        <v>341</v>
      </c>
      <c r="AO224" s="329">
        <v>9656801</v>
      </c>
    </row>
    <row r="225" spans="1:41" ht="15.75">
      <c r="A225" s="167">
        <v>220</v>
      </c>
      <c r="B225" s="79" t="s">
        <v>161</v>
      </c>
      <c r="C225" s="452">
        <v>74902</v>
      </c>
      <c r="D225" s="458">
        <v>11031</v>
      </c>
      <c r="E225" s="329">
        <v>1535</v>
      </c>
      <c r="F225" s="329">
        <v>47</v>
      </c>
      <c r="G225" s="329">
        <v>337</v>
      </c>
      <c r="H225" s="329">
        <v>1151</v>
      </c>
      <c r="I225" s="329">
        <v>0</v>
      </c>
      <c r="J225" s="329">
        <v>50</v>
      </c>
      <c r="K225" s="333">
        <v>50</v>
      </c>
      <c r="L225" s="333"/>
      <c r="M225" s="208"/>
      <c r="N225" s="401">
        <v>74902</v>
      </c>
      <c r="O225" s="329">
        <v>47</v>
      </c>
      <c r="P225" s="329">
        <v>337</v>
      </c>
      <c r="Q225" s="329">
        <v>1151</v>
      </c>
      <c r="R225" s="333">
        <v>1535</v>
      </c>
      <c r="S225" s="333">
        <v>43501557</v>
      </c>
      <c r="T225" s="3">
        <v>1.96</v>
      </c>
      <c r="U225" s="165">
        <f>VLOOKUP(N225,'[2]154'!$C$9:$T$554,18,0)</f>
        <v>1546</v>
      </c>
      <c r="V225" s="401">
        <v>74902</v>
      </c>
      <c r="W225" s="406">
        <v>50</v>
      </c>
      <c r="X225" s="405">
        <v>38971.42</v>
      </c>
      <c r="Y225" s="406">
        <v>1948571</v>
      </c>
      <c r="Z225" s="3"/>
      <c r="AA225" s="401">
        <v>74902</v>
      </c>
      <c r="AB225" s="329">
        <v>47</v>
      </c>
      <c r="AC225" s="329">
        <v>337</v>
      </c>
      <c r="AD225" s="329">
        <v>1151</v>
      </c>
      <c r="AE225" s="329">
        <v>1535</v>
      </c>
      <c r="AF225" s="329">
        <v>1099</v>
      </c>
      <c r="AG225" s="329">
        <v>17013916</v>
      </c>
      <c r="AH225" s="3"/>
      <c r="AI225" s="401">
        <v>74902</v>
      </c>
      <c r="AJ225" s="329">
        <v>47</v>
      </c>
      <c r="AK225" s="329">
        <v>337</v>
      </c>
      <c r="AL225" s="329">
        <v>1151</v>
      </c>
      <c r="AM225" s="329">
        <v>1535</v>
      </c>
      <c r="AN225" s="329">
        <v>1099</v>
      </c>
      <c r="AO225" s="329">
        <v>26487641</v>
      </c>
    </row>
    <row r="226" spans="1:41" ht="15.75">
      <c r="A226" s="167">
        <v>221</v>
      </c>
      <c r="B226" s="79" t="s">
        <v>161</v>
      </c>
      <c r="C226" s="452">
        <v>75303</v>
      </c>
      <c r="D226" s="458">
        <v>9025</v>
      </c>
      <c r="E226" s="329">
        <v>459</v>
      </c>
      <c r="F226" s="329">
        <v>5</v>
      </c>
      <c r="G226" s="329">
        <v>11</v>
      </c>
      <c r="H226" s="329">
        <v>443</v>
      </c>
      <c r="I226" s="329">
        <v>0</v>
      </c>
      <c r="J226" s="329">
        <v>0</v>
      </c>
      <c r="K226" s="333">
        <v>0</v>
      </c>
      <c r="L226" s="333"/>
      <c r="M226" s="165"/>
      <c r="N226" s="401">
        <v>75303</v>
      </c>
      <c r="O226" s="329">
        <v>5</v>
      </c>
      <c r="P226" s="329">
        <v>11</v>
      </c>
      <c r="Q226" s="329">
        <v>443</v>
      </c>
      <c r="R226" s="333">
        <v>459</v>
      </c>
      <c r="S226" s="333">
        <v>14125909</v>
      </c>
      <c r="T226" s="3">
        <v>0.35</v>
      </c>
      <c r="U226" s="165">
        <f>VLOOKUP(N226,'[2]154'!$C$9:$T$554,18,0)</f>
        <v>459</v>
      </c>
      <c r="V226" s="401">
        <v>75303</v>
      </c>
      <c r="W226" s="406">
        <v>0</v>
      </c>
      <c r="X226" s="405">
        <v>0</v>
      </c>
      <c r="Y226" s="406">
        <v>0</v>
      </c>
      <c r="Z226" s="3"/>
      <c r="AA226" s="401">
        <v>75303</v>
      </c>
      <c r="AB226" s="329">
        <v>5</v>
      </c>
      <c r="AC226" s="329">
        <v>11</v>
      </c>
      <c r="AD226" s="329">
        <v>443</v>
      </c>
      <c r="AE226" s="329">
        <v>459</v>
      </c>
      <c r="AF226" s="329">
        <v>361</v>
      </c>
      <c r="AG226" s="329">
        <v>5709739</v>
      </c>
      <c r="AH226" s="3"/>
      <c r="AI226" s="401">
        <v>75303</v>
      </c>
      <c r="AJ226" s="329">
        <v>5</v>
      </c>
      <c r="AK226" s="329">
        <v>11</v>
      </c>
      <c r="AL226" s="329">
        <v>443</v>
      </c>
      <c r="AM226" s="329">
        <v>459</v>
      </c>
      <c r="AN226" s="329">
        <v>361</v>
      </c>
      <c r="AO226" s="329">
        <v>8416170</v>
      </c>
    </row>
    <row r="227" spans="1:41" ht="15.75">
      <c r="A227" s="167">
        <v>222</v>
      </c>
      <c r="B227" s="79" t="s">
        <v>161</v>
      </c>
      <c r="C227" s="452">
        <v>7999</v>
      </c>
      <c r="D227" s="458">
        <v>0</v>
      </c>
      <c r="E227" s="329">
        <v>142</v>
      </c>
      <c r="F227" s="329">
        <v>0</v>
      </c>
      <c r="G227" s="329">
        <v>83</v>
      </c>
      <c r="H227" s="329">
        <v>59</v>
      </c>
      <c r="I227" s="329">
        <v>0</v>
      </c>
      <c r="J227" s="329">
        <v>0</v>
      </c>
      <c r="K227" s="333">
        <v>0</v>
      </c>
      <c r="L227" s="333"/>
      <c r="M227" s="165"/>
      <c r="N227" s="401">
        <v>7999</v>
      </c>
      <c r="O227" s="329">
        <v>0</v>
      </c>
      <c r="P227" s="329">
        <v>83</v>
      </c>
      <c r="Q227" s="329">
        <v>59</v>
      </c>
      <c r="R227" s="333">
        <v>142</v>
      </c>
      <c r="S227" s="333">
        <v>3463166</v>
      </c>
      <c r="T227" s="3">
        <v>0.36</v>
      </c>
      <c r="U227" s="165">
        <f>VLOOKUP(N227,'[2]154'!$C$9:$T$554,18,0)</f>
        <v>142</v>
      </c>
      <c r="V227" s="401">
        <v>7999</v>
      </c>
      <c r="W227" s="406">
        <v>0</v>
      </c>
      <c r="X227" s="405">
        <v>0</v>
      </c>
      <c r="Y227" s="406">
        <v>0</v>
      </c>
      <c r="Z227" s="3"/>
      <c r="AA227" s="401">
        <v>7999</v>
      </c>
      <c r="AB227" s="329">
        <v>0</v>
      </c>
      <c r="AC227" s="329">
        <v>83</v>
      </c>
      <c r="AD227" s="329">
        <v>59</v>
      </c>
      <c r="AE227" s="329">
        <v>142</v>
      </c>
      <c r="AF227" s="329">
        <v>89</v>
      </c>
      <c r="AG227" s="329">
        <v>1466914</v>
      </c>
      <c r="AH227" s="3"/>
      <c r="AI227" s="401">
        <v>7999</v>
      </c>
      <c r="AJ227" s="329">
        <v>0</v>
      </c>
      <c r="AK227" s="329">
        <v>83</v>
      </c>
      <c r="AL227" s="329">
        <v>59</v>
      </c>
      <c r="AM227" s="329">
        <v>142</v>
      </c>
      <c r="AN227" s="329">
        <v>89</v>
      </c>
      <c r="AO227" s="329">
        <v>1996252</v>
      </c>
    </row>
    <row r="228" spans="1:41" ht="15.75">
      <c r="A228" s="167">
        <v>223</v>
      </c>
      <c r="B228" s="79" t="s">
        <v>105</v>
      </c>
      <c r="C228" s="452">
        <v>460895</v>
      </c>
      <c r="D228" s="458">
        <v>0</v>
      </c>
      <c r="E228" s="329">
        <v>20</v>
      </c>
      <c r="F228" s="329">
        <v>0</v>
      </c>
      <c r="G228" s="329">
        <v>20</v>
      </c>
      <c r="H228" s="329">
        <v>0</v>
      </c>
      <c r="I228" s="329">
        <v>0</v>
      </c>
      <c r="J228" s="329">
        <v>0</v>
      </c>
      <c r="K228" s="333">
        <v>0</v>
      </c>
      <c r="L228" s="333"/>
      <c r="M228" s="208"/>
      <c r="N228" s="401">
        <v>460895</v>
      </c>
      <c r="O228" s="329">
        <v>0</v>
      </c>
      <c r="P228" s="329">
        <v>20</v>
      </c>
      <c r="Q228" s="329">
        <v>0</v>
      </c>
      <c r="R228" s="333">
        <v>20</v>
      </c>
      <c r="S228" s="333">
        <v>612863</v>
      </c>
      <c r="T228" s="3">
        <v>3.15</v>
      </c>
      <c r="U228" s="165">
        <f>VLOOKUP(N228,'[2]154'!$C$9:$T$554,18,0)</f>
        <v>20</v>
      </c>
      <c r="V228" s="401">
        <v>460895</v>
      </c>
      <c r="W228" s="406">
        <v>0</v>
      </c>
      <c r="X228" s="405">
        <v>0</v>
      </c>
      <c r="Y228" s="406">
        <v>0</v>
      </c>
      <c r="Z228" s="3"/>
      <c r="AA228" s="401">
        <v>460895</v>
      </c>
      <c r="AB228" s="329">
        <v>0</v>
      </c>
      <c r="AC228" s="329">
        <v>20</v>
      </c>
      <c r="AD228" s="329">
        <v>0</v>
      </c>
      <c r="AE228" s="329">
        <v>20</v>
      </c>
      <c r="AF228" s="329">
        <v>10</v>
      </c>
      <c r="AG228" s="329">
        <v>259594</v>
      </c>
      <c r="AH228" s="3"/>
      <c r="AI228" s="401">
        <v>460895</v>
      </c>
      <c r="AJ228" s="329">
        <v>0</v>
      </c>
      <c r="AK228" s="329">
        <v>20</v>
      </c>
      <c r="AL228" s="329">
        <v>0</v>
      </c>
      <c r="AM228" s="329">
        <v>20</v>
      </c>
      <c r="AN228" s="329">
        <v>10</v>
      </c>
      <c r="AO228" s="329">
        <v>353269</v>
      </c>
    </row>
    <row r="229" spans="1:41" ht="15.75">
      <c r="A229" s="167">
        <v>224</v>
      </c>
      <c r="B229" s="79" t="s">
        <v>105</v>
      </c>
      <c r="C229" s="452">
        <v>452546</v>
      </c>
      <c r="D229" s="458">
        <v>0</v>
      </c>
      <c r="E229" s="329">
        <v>569</v>
      </c>
      <c r="F229" s="329">
        <v>37</v>
      </c>
      <c r="G229" s="329">
        <v>306</v>
      </c>
      <c r="H229" s="329">
        <v>226</v>
      </c>
      <c r="I229" s="329">
        <v>0</v>
      </c>
      <c r="J229" s="329">
        <v>0</v>
      </c>
      <c r="K229" s="333">
        <v>0</v>
      </c>
      <c r="L229" s="333"/>
      <c r="M229" s="165"/>
      <c r="N229" s="401">
        <v>452546</v>
      </c>
      <c r="O229" s="329">
        <v>37</v>
      </c>
      <c r="P229" s="329">
        <v>306</v>
      </c>
      <c r="Q229" s="329">
        <v>226</v>
      </c>
      <c r="R229" s="333">
        <v>569</v>
      </c>
      <c r="S229" s="333">
        <v>20898650</v>
      </c>
      <c r="T229" s="3">
        <v>0.35</v>
      </c>
      <c r="U229" s="165">
        <f>VLOOKUP(N229,'[2]154'!$C$9:$T$554,18,0)</f>
        <v>569</v>
      </c>
      <c r="V229" s="401">
        <v>452546</v>
      </c>
      <c r="W229" s="406">
        <v>0</v>
      </c>
      <c r="X229" s="405">
        <v>0</v>
      </c>
      <c r="Y229" s="406">
        <v>0</v>
      </c>
      <c r="Z229" s="3"/>
      <c r="AA229" s="401">
        <v>452546</v>
      </c>
      <c r="AB229" s="329">
        <v>37</v>
      </c>
      <c r="AC229" s="329">
        <v>306</v>
      </c>
      <c r="AD229" s="329">
        <v>226</v>
      </c>
      <c r="AE229" s="329">
        <v>569</v>
      </c>
      <c r="AF229" s="329">
        <v>341</v>
      </c>
      <c r="AG229" s="329">
        <v>8852167</v>
      </c>
      <c r="AH229" s="3"/>
      <c r="AI229" s="401">
        <v>452546</v>
      </c>
      <c r="AJ229" s="329">
        <v>37</v>
      </c>
      <c r="AK229" s="329">
        <v>306</v>
      </c>
      <c r="AL229" s="329">
        <v>226</v>
      </c>
      <c r="AM229" s="329">
        <v>569</v>
      </c>
      <c r="AN229" s="329">
        <v>341</v>
      </c>
      <c r="AO229" s="329">
        <v>12046483</v>
      </c>
    </row>
    <row r="230" spans="1:41" ht="15.75">
      <c r="A230" s="167">
        <v>225</v>
      </c>
      <c r="B230" s="79" t="s">
        <v>105</v>
      </c>
      <c r="C230" s="452">
        <v>457802</v>
      </c>
      <c r="D230" s="458">
        <v>32384</v>
      </c>
      <c r="E230" s="329">
        <v>1698</v>
      </c>
      <c r="F230" s="329">
        <v>65</v>
      </c>
      <c r="G230" s="329">
        <v>658</v>
      </c>
      <c r="H230" s="329">
        <v>975</v>
      </c>
      <c r="I230" s="329">
        <v>0</v>
      </c>
      <c r="J230" s="329">
        <v>0</v>
      </c>
      <c r="K230" s="333">
        <v>0</v>
      </c>
      <c r="L230" s="333"/>
      <c r="M230" s="165"/>
      <c r="N230" s="401">
        <v>457802</v>
      </c>
      <c r="O230" s="329">
        <v>65</v>
      </c>
      <c r="P230" s="329">
        <v>658</v>
      </c>
      <c r="Q230" s="329">
        <v>975</v>
      </c>
      <c r="R230" s="333">
        <v>1698</v>
      </c>
      <c r="S230" s="333">
        <v>28379837</v>
      </c>
      <c r="T230" s="3">
        <v>0.35</v>
      </c>
      <c r="U230" s="165">
        <f>VLOOKUP(N230,'[2]154'!$C$9:$T$554,18,0)</f>
        <v>1698</v>
      </c>
      <c r="V230" s="401">
        <v>457802</v>
      </c>
      <c r="W230" s="406">
        <v>0</v>
      </c>
      <c r="X230" s="405">
        <v>0</v>
      </c>
      <c r="Y230" s="406">
        <v>0</v>
      </c>
      <c r="Z230" s="3"/>
      <c r="AA230" s="401">
        <v>457802</v>
      </c>
      <c r="AB230" s="329">
        <v>65</v>
      </c>
      <c r="AC230" s="329">
        <v>658</v>
      </c>
      <c r="AD230" s="329">
        <v>975</v>
      </c>
      <c r="AE230" s="329">
        <v>1698</v>
      </c>
      <c r="AF230" s="329">
        <v>1122</v>
      </c>
      <c r="AG230" s="329">
        <v>12021019</v>
      </c>
      <c r="AH230" s="3"/>
      <c r="AI230" s="401">
        <v>457802</v>
      </c>
      <c r="AJ230" s="329">
        <v>65</v>
      </c>
      <c r="AK230" s="329">
        <v>658</v>
      </c>
      <c r="AL230" s="329">
        <v>975</v>
      </c>
      <c r="AM230" s="329">
        <v>1698</v>
      </c>
      <c r="AN230" s="329">
        <v>1122</v>
      </c>
      <c r="AO230" s="329">
        <v>16358818</v>
      </c>
    </row>
    <row r="231" spans="1:41" ht="15.75">
      <c r="A231" s="167">
        <v>226</v>
      </c>
      <c r="B231" s="79" t="s">
        <v>105</v>
      </c>
      <c r="C231" s="452">
        <v>457814</v>
      </c>
      <c r="D231" s="458">
        <v>0</v>
      </c>
      <c r="E231" s="329">
        <v>355</v>
      </c>
      <c r="F231" s="329">
        <v>0</v>
      </c>
      <c r="G231" s="329">
        <v>209</v>
      </c>
      <c r="H231" s="329">
        <v>146</v>
      </c>
      <c r="I231" s="329">
        <v>0</v>
      </c>
      <c r="J231" s="329">
        <v>0</v>
      </c>
      <c r="K231" s="333">
        <v>0</v>
      </c>
      <c r="L231" s="333"/>
      <c r="M231" s="208"/>
      <c r="N231" s="401">
        <v>457814</v>
      </c>
      <c r="O231" s="329">
        <v>0</v>
      </c>
      <c r="P231" s="329">
        <v>209</v>
      </c>
      <c r="Q231" s="329">
        <v>146</v>
      </c>
      <c r="R231" s="333">
        <v>355</v>
      </c>
      <c r="S231" s="333">
        <v>8384558</v>
      </c>
      <c r="T231" s="3">
        <v>0.36</v>
      </c>
      <c r="U231" s="165">
        <f>VLOOKUP(N231,'[2]154'!$C$9:$T$554,18,0)</f>
        <v>355</v>
      </c>
      <c r="V231" s="401">
        <v>457814</v>
      </c>
      <c r="W231" s="406">
        <v>0</v>
      </c>
      <c r="X231" s="405">
        <v>0</v>
      </c>
      <c r="Y231" s="406">
        <v>0</v>
      </c>
      <c r="Z231" s="3"/>
      <c r="AA231" s="401">
        <v>457814</v>
      </c>
      <c r="AB231" s="329">
        <v>0</v>
      </c>
      <c r="AC231" s="329">
        <v>209</v>
      </c>
      <c r="AD231" s="329">
        <v>146</v>
      </c>
      <c r="AE231" s="329">
        <v>355</v>
      </c>
      <c r="AF231" s="329">
        <v>221</v>
      </c>
      <c r="AG231" s="329">
        <v>3551498</v>
      </c>
      <c r="AH231" s="3"/>
      <c r="AI231" s="401">
        <v>457814</v>
      </c>
      <c r="AJ231" s="329">
        <v>0</v>
      </c>
      <c r="AK231" s="329">
        <v>209</v>
      </c>
      <c r="AL231" s="329">
        <v>146</v>
      </c>
      <c r="AM231" s="329">
        <v>355</v>
      </c>
      <c r="AN231" s="329">
        <v>221</v>
      </c>
      <c r="AO231" s="329">
        <v>4833060</v>
      </c>
    </row>
    <row r="232" spans="1:41" ht="15.75">
      <c r="A232" s="167">
        <v>227</v>
      </c>
      <c r="B232" s="79" t="s">
        <v>105</v>
      </c>
      <c r="C232" s="452">
        <v>457815</v>
      </c>
      <c r="D232" s="458">
        <v>3519</v>
      </c>
      <c r="E232" s="329">
        <v>209</v>
      </c>
      <c r="F232" s="329">
        <v>140</v>
      </c>
      <c r="G232" s="329">
        <v>52</v>
      </c>
      <c r="H232" s="329">
        <v>17</v>
      </c>
      <c r="I232" s="329">
        <v>0</v>
      </c>
      <c r="J232" s="329">
        <v>0</v>
      </c>
      <c r="K232" s="333">
        <v>0</v>
      </c>
      <c r="L232" s="333"/>
      <c r="M232" s="165"/>
      <c r="N232" s="401">
        <v>457815</v>
      </c>
      <c r="O232" s="329">
        <v>140</v>
      </c>
      <c r="P232" s="329">
        <v>52</v>
      </c>
      <c r="Q232" s="329">
        <v>17</v>
      </c>
      <c r="R232" s="333">
        <v>209</v>
      </c>
      <c r="S232" s="333">
        <v>5781331</v>
      </c>
      <c r="T232" s="3">
        <v>0.35</v>
      </c>
      <c r="U232" s="165">
        <f>VLOOKUP(N232,'[2]154'!$C$9:$T$554,18,0)</f>
        <v>209</v>
      </c>
      <c r="V232" s="401">
        <v>457815</v>
      </c>
      <c r="W232" s="406">
        <v>0</v>
      </c>
      <c r="X232" s="405">
        <v>0</v>
      </c>
      <c r="Y232" s="406">
        <v>0</v>
      </c>
      <c r="Z232" s="3"/>
      <c r="AA232" s="401">
        <v>457815</v>
      </c>
      <c r="AB232" s="329">
        <v>140</v>
      </c>
      <c r="AC232" s="329">
        <v>52</v>
      </c>
      <c r="AD232" s="329">
        <v>17</v>
      </c>
      <c r="AE232" s="329">
        <v>209</v>
      </c>
      <c r="AF232" s="329">
        <v>68</v>
      </c>
      <c r="AG232" s="329">
        <v>2448833</v>
      </c>
      <c r="AH232" s="3"/>
      <c r="AI232" s="401">
        <v>457815</v>
      </c>
      <c r="AJ232" s="329">
        <v>140</v>
      </c>
      <c r="AK232" s="329">
        <v>52</v>
      </c>
      <c r="AL232" s="329">
        <v>17</v>
      </c>
      <c r="AM232" s="329">
        <v>209</v>
      </c>
      <c r="AN232" s="329">
        <v>68</v>
      </c>
      <c r="AO232" s="329">
        <v>3332498</v>
      </c>
    </row>
    <row r="233" spans="1:41" ht="15.75">
      <c r="A233" s="167">
        <v>228</v>
      </c>
      <c r="B233" s="79" t="s">
        <v>105</v>
      </c>
      <c r="C233" s="452">
        <v>459065</v>
      </c>
      <c r="D233" s="458">
        <v>0</v>
      </c>
      <c r="E233" s="329">
        <v>153</v>
      </c>
      <c r="F233" s="329">
        <v>0</v>
      </c>
      <c r="G233" s="329">
        <v>123</v>
      </c>
      <c r="H233" s="329">
        <v>30</v>
      </c>
      <c r="I233" s="329">
        <v>0</v>
      </c>
      <c r="J233" s="329">
        <v>0</v>
      </c>
      <c r="K233" s="333">
        <v>0</v>
      </c>
      <c r="L233" s="333"/>
      <c r="M233" s="165"/>
      <c r="N233" s="401">
        <v>459065</v>
      </c>
      <c r="O233" s="329">
        <v>0</v>
      </c>
      <c r="P233" s="329">
        <v>123</v>
      </c>
      <c r="Q233" s="329">
        <v>30</v>
      </c>
      <c r="R233" s="333">
        <v>153</v>
      </c>
      <c r="S233" s="333">
        <v>2677144</v>
      </c>
      <c r="T233" s="3">
        <v>0.35</v>
      </c>
      <c r="U233" s="165">
        <f>VLOOKUP(N233,'[2]154'!$C$9:$T$554,18,0)</f>
        <v>153</v>
      </c>
      <c r="V233" s="401">
        <v>459065</v>
      </c>
      <c r="W233" s="406">
        <v>0</v>
      </c>
      <c r="X233" s="405">
        <v>0</v>
      </c>
      <c r="Y233" s="406">
        <v>0</v>
      </c>
      <c r="Z233" s="3"/>
      <c r="AA233" s="401">
        <v>459065</v>
      </c>
      <c r="AB233" s="329">
        <v>0</v>
      </c>
      <c r="AC233" s="329">
        <v>123</v>
      </c>
      <c r="AD233" s="329">
        <v>30</v>
      </c>
      <c r="AE233" s="329">
        <v>153</v>
      </c>
      <c r="AF233" s="329">
        <v>86</v>
      </c>
      <c r="AG233" s="329">
        <v>1133974</v>
      </c>
      <c r="AH233" s="3"/>
      <c r="AI233" s="401">
        <v>459065</v>
      </c>
      <c r="AJ233" s="329">
        <v>0</v>
      </c>
      <c r="AK233" s="329">
        <v>123</v>
      </c>
      <c r="AL233" s="329">
        <v>30</v>
      </c>
      <c r="AM233" s="329">
        <v>153</v>
      </c>
      <c r="AN233" s="329">
        <v>86</v>
      </c>
      <c r="AO233" s="329">
        <v>1543170</v>
      </c>
    </row>
    <row r="234" spans="1:41" ht="15.75">
      <c r="A234" s="167">
        <v>229</v>
      </c>
      <c r="B234" s="79" t="s">
        <v>105</v>
      </c>
      <c r="C234" s="452">
        <v>460586</v>
      </c>
      <c r="D234" s="458">
        <v>0</v>
      </c>
      <c r="E234" s="329">
        <v>516</v>
      </c>
      <c r="F234" s="329">
        <v>116</v>
      </c>
      <c r="G234" s="329">
        <v>176</v>
      </c>
      <c r="H234" s="329">
        <v>224</v>
      </c>
      <c r="I234" s="329">
        <v>0</v>
      </c>
      <c r="J234" s="329">
        <v>0</v>
      </c>
      <c r="K234" s="333">
        <v>0</v>
      </c>
      <c r="L234" s="333"/>
      <c r="M234" s="208"/>
      <c r="N234" s="401">
        <v>460586</v>
      </c>
      <c r="O234" s="329">
        <v>116</v>
      </c>
      <c r="P234" s="329">
        <v>176</v>
      </c>
      <c r="Q234" s="329">
        <v>224</v>
      </c>
      <c r="R234" s="333">
        <v>516</v>
      </c>
      <c r="S234" s="333">
        <v>7662393</v>
      </c>
      <c r="T234" s="3">
        <v>0.36</v>
      </c>
      <c r="U234" s="165">
        <f>VLOOKUP(N234,'[2]154'!$C$9:$T$554,18,0)</f>
        <v>516</v>
      </c>
      <c r="V234" s="401">
        <v>460586</v>
      </c>
      <c r="W234" s="406">
        <v>0</v>
      </c>
      <c r="X234" s="405">
        <v>0</v>
      </c>
      <c r="Y234" s="406">
        <v>0</v>
      </c>
      <c r="Z234" s="3"/>
      <c r="AA234" s="401">
        <v>460586</v>
      </c>
      <c r="AB234" s="329">
        <v>116</v>
      </c>
      <c r="AC234" s="329">
        <v>176</v>
      </c>
      <c r="AD234" s="329">
        <v>224</v>
      </c>
      <c r="AE234" s="329">
        <v>516</v>
      </c>
      <c r="AF234" s="329">
        <v>290</v>
      </c>
      <c r="AG234" s="329">
        <v>3245606</v>
      </c>
      <c r="AH234" s="3"/>
      <c r="AI234" s="401">
        <v>460586</v>
      </c>
      <c r="AJ234" s="329">
        <v>116</v>
      </c>
      <c r="AK234" s="329">
        <v>176</v>
      </c>
      <c r="AL234" s="329">
        <v>224</v>
      </c>
      <c r="AM234" s="329">
        <v>516</v>
      </c>
      <c r="AN234" s="329">
        <v>290</v>
      </c>
      <c r="AO234" s="329">
        <v>4416787</v>
      </c>
    </row>
    <row r="235" spans="1:41" ht="15.75">
      <c r="A235" s="167">
        <v>230</v>
      </c>
      <c r="B235" s="79" t="s">
        <v>105</v>
      </c>
      <c r="C235" s="452">
        <v>460588</v>
      </c>
      <c r="D235" s="458">
        <v>6820</v>
      </c>
      <c r="E235" s="329">
        <v>407</v>
      </c>
      <c r="F235" s="329">
        <v>0</v>
      </c>
      <c r="G235" s="329">
        <v>198</v>
      </c>
      <c r="H235" s="329">
        <v>209</v>
      </c>
      <c r="I235" s="329">
        <v>0</v>
      </c>
      <c r="J235" s="329">
        <v>0</v>
      </c>
      <c r="K235" s="333">
        <v>0</v>
      </c>
      <c r="L235" s="333"/>
      <c r="M235" s="165"/>
      <c r="N235" s="401">
        <v>460588</v>
      </c>
      <c r="O235" s="329">
        <v>0</v>
      </c>
      <c r="P235" s="329">
        <v>198</v>
      </c>
      <c r="Q235" s="329">
        <v>209</v>
      </c>
      <c r="R235" s="329">
        <v>407</v>
      </c>
      <c r="S235" s="333">
        <v>6727881</v>
      </c>
      <c r="T235" s="3">
        <v>0.36</v>
      </c>
      <c r="U235" s="165">
        <f>VLOOKUP(N235,'[2]154'!$C$9:$T$554,18,0)</f>
        <v>407</v>
      </c>
      <c r="V235" s="401">
        <v>460588</v>
      </c>
      <c r="W235" s="406">
        <v>0</v>
      </c>
      <c r="X235" s="405">
        <v>0</v>
      </c>
      <c r="Y235" s="406">
        <v>0</v>
      </c>
      <c r="Z235" s="3"/>
      <c r="AA235" s="401">
        <v>460588</v>
      </c>
      <c r="AB235" s="329">
        <v>0</v>
      </c>
      <c r="AC235" s="329">
        <v>198</v>
      </c>
      <c r="AD235" s="329">
        <v>209</v>
      </c>
      <c r="AE235" s="329">
        <v>407</v>
      </c>
      <c r="AF235" s="329">
        <v>266</v>
      </c>
      <c r="AG235" s="329">
        <v>2849769</v>
      </c>
      <c r="AH235" s="3"/>
      <c r="AI235" s="401">
        <v>460588</v>
      </c>
      <c r="AJ235" s="329">
        <v>0</v>
      </c>
      <c r="AK235" s="329">
        <v>198</v>
      </c>
      <c r="AL235" s="329">
        <v>209</v>
      </c>
      <c r="AM235" s="329">
        <v>407</v>
      </c>
      <c r="AN235" s="329">
        <v>266</v>
      </c>
      <c r="AO235" s="329">
        <v>3878112</v>
      </c>
    </row>
    <row r="236" spans="1:41" ht="15.75">
      <c r="A236" s="167">
        <v>231</v>
      </c>
      <c r="B236" s="79" t="s">
        <v>105</v>
      </c>
      <c r="C236" s="452">
        <v>460591</v>
      </c>
      <c r="D236" s="458">
        <v>7440</v>
      </c>
      <c r="E236" s="329">
        <v>304</v>
      </c>
      <c r="F236" s="329">
        <v>0</v>
      </c>
      <c r="G236" s="329">
        <v>111</v>
      </c>
      <c r="H236" s="329">
        <v>193</v>
      </c>
      <c r="I236" s="329">
        <v>0</v>
      </c>
      <c r="J236" s="329">
        <v>0</v>
      </c>
      <c r="K236" s="333">
        <v>0</v>
      </c>
      <c r="L236" s="333"/>
      <c r="M236" s="165"/>
      <c r="N236" s="401">
        <v>460591</v>
      </c>
      <c r="O236" s="329">
        <v>0</v>
      </c>
      <c r="P236" s="329">
        <v>111</v>
      </c>
      <c r="Q236" s="329">
        <v>193</v>
      </c>
      <c r="R236" s="329">
        <v>304</v>
      </c>
      <c r="S236" s="333">
        <v>5311485</v>
      </c>
      <c r="T236" s="3">
        <v>0.36</v>
      </c>
      <c r="U236" s="165">
        <f>VLOOKUP(N236,'[2]154'!$C$9:$T$554,18,0)</f>
        <v>304</v>
      </c>
      <c r="V236" s="401">
        <v>460591</v>
      </c>
      <c r="W236" s="406">
        <v>0</v>
      </c>
      <c r="X236" s="405">
        <v>0</v>
      </c>
      <c r="Y236" s="406">
        <v>0</v>
      </c>
      <c r="Z236" s="3"/>
      <c r="AA236" s="401">
        <v>460591</v>
      </c>
      <c r="AB236" s="329">
        <v>0</v>
      </c>
      <c r="AC236" s="329">
        <v>111</v>
      </c>
      <c r="AD236" s="329">
        <v>193</v>
      </c>
      <c r="AE236" s="329">
        <v>304</v>
      </c>
      <c r="AF236" s="329">
        <v>210</v>
      </c>
      <c r="AG236" s="329">
        <v>2249818</v>
      </c>
      <c r="AH236" s="3"/>
      <c r="AI236" s="401">
        <v>460591</v>
      </c>
      <c r="AJ236" s="329">
        <v>0</v>
      </c>
      <c r="AK236" s="329">
        <v>111</v>
      </c>
      <c r="AL236" s="329">
        <v>193</v>
      </c>
      <c r="AM236" s="329">
        <v>304</v>
      </c>
      <c r="AN236" s="329">
        <v>210</v>
      </c>
      <c r="AO236" s="329">
        <v>3061667</v>
      </c>
    </row>
    <row r="237" spans="1:41" ht="15.75">
      <c r="A237" s="167">
        <v>232</v>
      </c>
      <c r="B237" s="79" t="s">
        <v>105</v>
      </c>
      <c r="C237" s="452">
        <v>460727</v>
      </c>
      <c r="D237" s="458">
        <v>0</v>
      </c>
      <c r="E237" s="329">
        <v>98</v>
      </c>
      <c r="F237" s="329">
        <v>30</v>
      </c>
      <c r="G237" s="329">
        <v>15</v>
      </c>
      <c r="H237" s="329">
        <v>53</v>
      </c>
      <c r="I237" s="329">
        <v>0</v>
      </c>
      <c r="J237" s="329">
        <v>0</v>
      </c>
      <c r="K237" s="333">
        <v>0</v>
      </c>
      <c r="L237" s="333"/>
      <c r="M237" s="208"/>
      <c r="N237" s="401">
        <v>460727</v>
      </c>
      <c r="O237" s="329">
        <v>30</v>
      </c>
      <c r="P237" s="329">
        <v>15</v>
      </c>
      <c r="Q237" s="329">
        <v>53</v>
      </c>
      <c r="R237" s="329">
        <v>98</v>
      </c>
      <c r="S237" s="333">
        <v>3432036</v>
      </c>
      <c r="T237" s="3">
        <v>3.15</v>
      </c>
      <c r="U237" s="165">
        <f>VLOOKUP(N237,'[2]154'!$C$9:$T$554,18,0)</f>
        <v>98</v>
      </c>
      <c r="V237" s="401">
        <v>460727</v>
      </c>
      <c r="W237" s="406">
        <v>0</v>
      </c>
      <c r="X237" s="405">
        <v>0</v>
      </c>
      <c r="Y237" s="406">
        <v>0</v>
      </c>
      <c r="Z237" s="3"/>
      <c r="AA237" s="401">
        <v>460727</v>
      </c>
      <c r="AB237" s="329">
        <v>30</v>
      </c>
      <c r="AC237" s="329">
        <v>15</v>
      </c>
      <c r="AD237" s="329">
        <v>53</v>
      </c>
      <c r="AE237" s="329">
        <v>98</v>
      </c>
      <c r="AF237" s="329">
        <v>56</v>
      </c>
      <c r="AG237" s="329">
        <v>1453728</v>
      </c>
      <c r="AH237" s="3"/>
      <c r="AI237" s="401">
        <v>460727</v>
      </c>
      <c r="AJ237" s="329">
        <v>30</v>
      </c>
      <c r="AK237" s="329">
        <v>15</v>
      </c>
      <c r="AL237" s="329">
        <v>53</v>
      </c>
      <c r="AM237" s="329">
        <v>98</v>
      </c>
      <c r="AN237" s="329">
        <v>56</v>
      </c>
      <c r="AO237" s="329">
        <v>1978308</v>
      </c>
    </row>
    <row r="238" spans="1:41" ht="15.75">
      <c r="A238" s="167">
        <v>233</v>
      </c>
      <c r="B238" s="79" t="s">
        <v>105</v>
      </c>
      <c r="C238" s="452">
        <v>461609</v>
      </c>
      <c r="D238" s="458">
        <v>18336</v>
      </c>
      <c r="E238" s="329">
        <v>490</v>
      </c>
      <c r="F238" s="329">
        <v>62</v>
      </c>
      <c r="G238" s="329">
        <v>141</v>
      </c>
      <c r="H238" s="329">
        <v>287</v>
      </c>
      <c r="I238" s="329">
        <v>0</v>
      </c>
      <c r="J238" s="329">
        <v>0</v>
      </c>
      <c r="K238" s="333">
        <v>0</v>
      </c>
      <c r="L238" s="333"/>
      <c r="M238" s="165"/>
      <c r="N238" s="401">
        <v>461609</v>
      </c>
      <c r="O238" s="329">
        <v>62</v>
      </c>
      <c r="P238" s="329">
        <v>141</v>
      </c>
      <c r="Q238" s="329">
        <v>287</v>
      </c>
      <c r="R238" s="329">
        <v>490</v>
      </c>
      <c r="S238" s="333">
        <v>9983092</v>
      </c>
      <c r="T238" s="3">
        <v>0.35</v>
      </c>
      <c r="U238" s="165">
        <f>VLOOKUP(N238,'[2]154'!$C$9:$T$554,18,0)</f>
        <v>490</v>
      </c>
      <c r="V238" s="401">
        <v>461609</v>
      </c>
      <c r="W238" s="406">
        <v>0</v>
      </c>
      <c r="X238" s="405">
        <v>0</v>
      </c>
      <c r="Y238" s="406">
        <v>0</v>
      </c>
      <c r="Z238" s="3"/>
      <c r="AA238" s="401">
        <v>461609</v>
      </c>
      <c r="AB238" s="329">
        <v>62</v>
      </c>
      <c r="AC238" s="329">
        <v>141</v>
      </c>
      <c r="AD238" s="329">
        <v>287</v>
      </c>
      <c r="AE238" s="329">
        <v>490</v>
      </c>
      <c r="AF238" s="329">
        <v>313</v>
      </c>
      <c r="AG238" s="329">
        <v>4228599</v>
      </c>
      <c r="AH238" s="3"/>
      <c r="AI238" s="401">
        <v>461609</v>
      </c>
      <c r="AJ238" s="329">
        <v>62</v>
      </c>
      <c r="AK238" s="329">
        <v>141</v>
      </c>
      <c r="AL238" s="329">
        <v>287</v>
      </c>
      <c r="AM238" s="329">
        <v>490</v>
      </c>
      <c r="AN238" s="329">
        <v>313</v>
      </c>
      <c r="AO238" s="329">
        <v>5754493</v>
      </c>
    </row>
    <row r="239" spans="1:41" ht="15.75">
      <c r="A239" s="167">
        <v>234</v>
      </c>
      <c r="B239" s="79" t="s">
        <v>105</v>
      </c>
      <c r="C239" s="452">
        <v>464818</v>
      </c>
      <c r="D239" s="458">
        <v>16492</v>
      </c>
      <c r="E239" s="329">
        <v>1375</v>
      </c>
      <c r="F239" s="329">
        <v>0</v>
      </c>
      <c r="G239" s="329">
        <v>662</v>
      </c>
      <c r="H239" s="329">
        <v>713</v>
      </c>
      <c r="I239" s="329">
        <v>0</v>
      </c>
      <c r="J239" s="329">
        <v>0</v>
      </c>
      <c r="K239" s="333">
        <v>0</v>
      </c>
      <c r="L239" s="333"/>
      <c r="M239" s="165"/>
      <c r="N239" s="401">
        <v>464818</v>
      </c>
      <c r="O239" s="329">
        <v>0</v>
      </c>
      <c r="P239" s="329">
        <v>662</v>
      </c>
      <c r="Q239" s="329">
        <v>713</v>
      </c>
      <c r="R239" s="329">
        <v>1375</v>
      </c>
      <c r="S239" s="333">
        <v>50592712</v>
      </c>
      <c r="T239" s="3">
        <v>0.35</v>
      </c>
      <c r="U239" s="165">
        <f>VLOOKUP(N239,'[2]154'!$C$9:$T$554,18,0)</f>
        <v>1375</v>
      </c>
      <c r="V239" s="401">
        <v>464818</v>
      </c>
      <c r="W239" s="406">
        <v>0</v>
      </c>
      <c r="X239" s="405">
        <v>0</v>
      </c>
      <c r="Y239" s="406">
        <v>0</v>
      </c>
      <c r="Z239" s="3"/>
      <c r="AA239" s="401">
        <v>464818</v>
      </c>
      <c r="AB239" s="329">
        <v>0</v>
      </c>
      <c r="AC239" s="329">
        <v>662</v>
      </c>
      <c r="AD239" s="329">
        <v>713</v>
      </c>
      <c r="AE239" s="329">
        <v>1375</v>
      </c>
      <c r="AF239" s="329">
        <v>901</v>
      </c>
      <c r="AG239" s="329">
        <v>20759556</v>
      </c>
      <c r="AH239" s="3"/>
      <c r="AI239" s="401">
        <v>464818</v>
      </c>
      <c r="AJ239" s="329">
        <v>0</v>
      </c>
      <c r="AK239" s="329">
        <v>662</v>
      </c>
      <c r="AL239" s="329">
        <v>713</v>
      </c>
      <c r="AM239" s="329">
        <v>1375</v>
      </c>
      <c r="AN239" s="329">
        <v>901</v>
      </c>
      <c r="AO239" s="329">
        <v>29833156</v>
      </c>
    </row>
    <row r="240" spans="1:41" ht="15.75">
      <c r="A240" s="167">
        <v>235</v>
      </c>
      <c r="B240" s="79" t="s">
        <v>105</v>
      </c>
      <c r="C240" s="452">
        <v>465184</v>
      </c>
      <c r="D240" s="458">
        <v>10251</v>
      </c>
      <c r="E240" s="329">
        <v>76</v>
      </c>
      <c r="F240" s="329">
        <v>0</v>
      </c>
      <c r="G240" s="329">
        <v>16</v>
      </c>
      <c r="H240" s="329">
        <v>60</v>
      </c>
      <c r="I240" s="329">
        <v>0</v>
      </c>
      <c r="J240" s="329">
        <v>0</v>
      </c>
      <c r="K240" s="333">
        <v>0</v>
      </c>
      <c r="L240" s="333"/>
      <c r="M240" s="208"/>
      <c r="N240" s="401">
        <v>465184</v>
      </c>
      <c r="O240" s="329">
        <v>0</v>
      </c>
      <c r="P240" s="329">
        <v>16</v>
      </c>
      <c r="Q240" s="329">
        <v>60</v>
      </c>
      <c r="R240" s="329">
        <v>76</v>
      </c>
      <c r="S240" s="333">
        <v>3231301</v>
      </c>
      <c r="T240" s="3">
        <v>0.35</v>
      </c>
      <c r="U240" s="165">
        <f>VLOOKUP(N240,'[2]154'!$C$9:$T$554,18,0)</f>
        <v>76</v>
      </c>
      <c r="V240" s="401">
        <v>465184</v>
      </c>
      <c r="W240" s="406">
        <v>0</v>
      </c>
      <c r="X240" s="405">
        <v>0</v>
      </c>
      <c r="Y240" s="406">
        <v>0</v>
      </c>
      <c r="Z240" s="3"/>
      <c r="AA240" s="401">
        <v>465184</v>
      </c>
      <c r="AB240" s="329">
        <v>0</v>
      </c>
      <c r="AC240" s="329">
        <v>16</v>
      </c>
      <c r="AD240" s="329">
        <v>60</v>
      </c>
      <c r="AE240" s="329">
        <v>76</v>
      </c>
      <c r="AF240" s="329">
        <v>56</v>
      </c>
      <c r="AG240" s="329">
        <v>1300961</v>
      </c>
      <c r="AH240" s="3"/>
      <c r="AI240" s="401">
        <v>465184</v>
      </c>
      <c r="AJ240" s="329">
        <v>0</v>
      </c>
      <c r="AK240" s="329">
        <v>16</v>
      </c>
      <c r="AL240" s="329">
        <v>60</v>
      </c>
      <c r="AM240" s="329">
        <v>76</v>
      </c>
      <c r="AN240" s="329">
        <v>56</v>
      </c>
      <c r="AO240" s="329">
        <v>1930340</v>
      </c>
    </row>
    <row r="241" spans="1:41" ht="15.75">
      <c r="A241" s="167">
        <v>236</v>
      </c>
      <c r="B241" s="79" t="s">
        <v>105</v>
      </c>
      <c r="C241" s="452">
        <v>465409</v>
      </c>
      <c r="D241" s="458">
        <v>14872</v>
      </c>
      <c r="E241" s="329">
        <v>1041</v>
      </c>
      <c r="F241" s="329">
        <v>2</v>
      </c>
      <c r="G241" s="329">
        <v>14</v>
      </c>
      <c r="H241" s="329">
        <v>1025</v>
      </c>
      <c r="I241" s="329">
        <v>0</v>
      </c>
      <c r="J241" s="329">
        <v>0</v>
      </c>
      <c r="K241" s="333">
        <v>0</v>
      </c>
      <c r="L241" s="333"/>
      <c r="M241" s="165"/>
      <c r="N241" s="401">
        <v>465409</v>
      </c>
      <c r="O241" s="329">
        <v>2</v>
      </c>
      <c r="P241" s="329">
        <v>14</v>
      </c>
      <c r="Q241" s="329">
        <v>1025</v>
      </c>
      <c r="R241" s="329">
        <v>1041</v>
      </c>
      <c r="S241" s="333">
        <v>42701368</v>
      </c>
      <c r="T241" s="3">
        <v>0.35</v>
      </c>
      <c r="U241" s="165">
        <f>VLOOKUP(N241,'[2]154'!$C$9:$T$554,18,0)</f>
        <v>1041</v>
      </c>
      <c r="V241" s="401">
        <v>465409</v>
      </c>
      <c r="W241" s="406">
        <v>0</v>
      </c>
      <c r="X241" s="405">
        <v>0</v>
      </c>
      <c r="Y241" s="406">
        <v>0</v>
      </c>
      <c r="Z241" s="3"/>
      <c r="AA241" s="401">
        <v>465409</v>
      </c>
      <c r="AB241" s="329">
        <v>2</v>
      </c>
      <c r="AC241" s="329">
        <v>14</v>
      </c>
      <c r="AD241" s="329">
        <v>1025</v>
      </c>
      <c r="AE241" s="329">
        <v>1041</v>
      </c>
      <c r="AF241" s="329">
        <v>827</v>
      </c>
      <c r="AG241" s="329">
        <v>18087276</v>
      </c>
      <c r="AH241" s="3"/>
      <c r="AI241" s="401">
        <v>465409</v>
      </c>
      <c r="AJ241" s="329">
        <v>2</v>
      </c>
      <c r="AK241" s="329">
        <v>14</v>
      </c>
      <c r="AL241" s="329">
        <v>1025</v>
      </c>
      <c r="AM241" s="329">
        <v>1041</v>
      </c>
      <c r="AN241" s="329">
        <v>827</v>
      </c>
      <c r="AO241" s="329">
        <v>24614092</v>
      </c>
    </row>
    <row r="242" spans="1:41" ht="15.75">
      <c r="A242" s="167">
        <v>237</v>
      </c>
      <c r="B242" s="79" t="s">
        <v>100</v>
      </c>
      <c r="C242" s="452">
        <v>100010055</v>
      </c>
      <c r="D242" s="458">
        <v>2729</v>
      </c>
      <c r="E242" s="329">
        <v>24</v>
      </c>
      <c r="F242" s="329">
        <v>0</v>
      </c>
      <c r="G242" s="329">
        <v>17</v>
      </c>
      <c r="H242" s="329">
        <v>7</v>
      </c>
      <c r="I242" s="329">
        <v>0</v>
      </c>
      <c r="J242" s="329">
        <v>0</v>
      </c>
      <c r="K242" s="333">
        <v>0</v>
      </c>
      <c r="L242" s="333"/>
      <c r="M242" s="165"/>
      <c r="N242" s="401">
        <v>100010055</v>
      </c>
      <c r="O242" s="329">
        <v>0</v>
      </c>
      <c r="P242" s="329">
        <v>17</v>
      </c>
      <c r="Q242" s="329">
        <v>7</v>
      </c>
      <c r="R242" s="329">
        <v>24</v>
      </c>
      <c r="S242" s="333">
        <v>2100704</v>
      </c>
      <c r="T242" s="3">
        <v>0.36</v>
      </c>
      <c r="U242" s="165">
        <f>VLOOKUP(N242,'[2]154'!$C$9:$T$554,18,0)</f>
        <v>76</v>
      </c>
      <c r="V242" s="401">
        <v>100010055</v>
      </c>
      <c r="W242" s="406">
        <v>0</v>
      </c>
      <c r="X242" s="405">
        <v>0</v>
      </c>
      <c r="Y242" s="406">
        <v>0</v>
      </c>
      <c r="Z242" s="3"/>
      <c r="AA242" s="401">
        <v>100010055</v>
      </c>
      <c r="AB242" s="329">
        <v>0</v>
      </c>
      <c r="AC242" s="329">
        <v>17</v>
      </c>
      <c r="AD242" s="329">
        <v>7</v>
      </c>
      <c r="AE242" s="329">
        <v>24</v>
      </c>
      <c r="AF242" s="329">
        <v>14</v>
      </c>
      <c r="AG242" s="329">
        <v>846047</v>
      </c>
      <c r="AH242" s="3"/>
      <c r="AI242" s="401">
        <v>100010055</v>
      </c>
      <c r="AJ242" s="329">
        <v>0</v>
      </c>
      <c r="AK242" s="329">
        <v>17</v>
      </c>
      <c r="AL242" s="329">
        <v>7</v>
      </c>
      <c r="AM242" s="329">
        <v>24</v>
      </c>
      <c r="AN242" s="329">
        <v>14</v>
      </c>
      <c r="AO242" s="329">
        <v>1254657</v>
      </c>
    </row>
    <row r="243" spans="1:41" ht="15.75">
      <c r="A243" s="167">
        <v>238</v>
      </c>
      <c r="B243" s="79" t="s">
        <v>100</v>
      </c>
      <c r="C243" s="452">
        <v>100013421</v>
      </c>
      <c r="D243" s="458">
        <v>19570</v>
      </c>
      <c r="E243" s="329">
        <v>702</v>
      </c>
      <c r="F243" s="329">
        <v>0</v>
      </c>
      <c r="G243" s="329">
        <v>364</v>
      </c>
      <c r="H243" s="329">
        <v>338</v>
      </c>
      <c r="I243" s="329">
        <v>0</v>
      </c>
      <c r="J243" s="329">
        <v>0</v>
      </c>
      <c r="K243" s="333">
        <v>0</v>
      </c>
      <c r="L243" s="333"/>
      <c r="M243" s="208"/>
      <c r="N243" s="401">
        <v>100013421</v>
      </c>
      <c r="O243" s="329">
        <v>0</v>
      </c>
      <c r="P243" s="329">
        <v>364</v>
      </c>
      <c r="Q243" s="329">
        <v>338</v>
      </c>
      <c r="R243" s="329">
        <v>702</v>
      </c>
      <c r="S243" s="333">
        <v>16919129</v>
      </c>
      <c r="T243" s="3">
        <v>0.35</v>
      </c>
      <c r="U243" s="165">
        <f>VLOOKUP(N243,'[2]154'!$C$9:$T$554,18,0)</f>
        <v>702</v>
      </c>
      <c r="V243" s="401">
        <v>100013421</v>
      </c>
      <c r="W243" s="406">
        <v>0</v>
      </c>
      <c r="X243" s="405">
        <v>0</v>
      </c>
      <c r="Y243" s="406">
        <v>0</v>
      </c>
      <c r="Z243" s="3"/>
      <c r="AA243" s="401">
        <v>100013421</v>
      </c>
      <c r="AB243" s="329">
        <v>0</v>
      </c>
      <c r="AC243" s="329">
        <v>364</v>
      </c>
      <c r="AD243" s="329">
        <v>338</v>
      </c>
      <c r="AE243" s="329">
        <v>702</v>
      </c>
      <c r="AF243" s="329">
        <v>452</v>
      </c>
      <c r="AG243" s="329">
        <v>7166537</v>
      </c>
      <c r="AH243" s="3"/>
      <c r="AI243" s="401">
        <v>100013421</v>
      </c>
      <c r="AJ243" s="329">
        <v>0</v>
      </c>
      <c r="AK243" s="329">
        <v>364</v>
      </c>
      <c r="AL243" s="329">
        <v>338</v>
      </c>
      <c r="AM243" s="329">
        <v>702</v>
      </c>
      <c r="AN243" s="329">
        <v>452</v>
      </c>
      <c r="AO243" s="329">
        <v>9752592</v>
      </c>
    </row>
    <row r="244" spans="1:41" ht="15.75">
      <c r="A244" s="167">
        <v>239</v>
      </c>
      <c r="B244" s="79" t="s">
        <v>101</v>
      </c>
      <c r="C244" s="452">
        <v>100006969</v>
      </c>
      <c r="D244" s="458">
        <v>3293</v>
      </c>
      <c r="E244" s="329">
        <v>160</v>
      </c>
      <c r="F244" s="329">
        <v>30</v>
      </c>
      <c r="G244" s="329">
        <v>73</v>
      </c>
      <c r="H244" s="329">
        <v>57</v>
      </c>
      <c r="I244" s="329">
        <v>0</v>
      </c>
      <c r="J244" s="329">
        <v>0</v>
      </c>
      <c r="K244" s="333">
        <v>0</v>
      </c>
      <c r="L244" s="333"/>
      <c r="M244" s="208"/>
      <c r="N244" s="401">
        <v>100006969</v>
      </c>
      <c r="O244" s="329">
        <v>30</v>
      </c>
      <c r="P244" s="329">
        <v>73</v>
      </c>
      <c r="Q244" s="329">
        <v>57</v>
      </c>
      <c r="R244" s="329">
        <v>160</v>
      </c>
      <c r="S244" s="333">
        <v>12266280</v>
      </c>
      <c r="T244" s="3">
        <v>0.35615384615384615</v>
      </c>
      <c r="U244" s="165">
        <f>VLOOKUP(N244,'[2]154'!$C$9:$T$554,18,0)</f>
        <v>160</v>
      </c>
      <c r="V244" s="401">
        <v>100006969</v>
      </c>
      <c r="W244" s="406">
        <v>0</v>
      </c>
      <c r="X244" s="405">
        <v>0</v>
      </c>
      <c r="Y244" s="406">
        <v>0</v>
      </c>
      <c r="Z244" s="3"/>
      <c r="AA244" s="401">
        <v>100006969</v>
      </c>
      <c r="AB244" s="329">
        <v>30</v>
      </c>
      <c r="AC244" s="329">
        <v>73</v>
      </c>
      <c r="AD244" s="329">
        <v>57</v>
      </c>
      <c r="AE244" s="329">
        <v>160</v>
      </c>
      <c r="AF244" s="329">
        <v>88</v>
      </c>
      <c r="AG244" s="329">
        <v>4979554</v>
      </c>
      <c r="AH244" s="3"/>
      <c r="AI244" s="401">
        <v>100006969</v>
      </c>
      <c r="AJ244" s="329">
        <v>30</v>
      </c>
      <c r="AK244" s="329">
        <v>73</v>
      </c>
      <c r="AL244" s="329">
        <v>57</v>
      </c>
      <c r="AM244" s="329">
        <v>160</v>
      </c>
      <c r="AN244" s="329">
        <v>88</v>
      </c>
      <c r="AO244" s="329">
        <v>7286726</v>
      </c>
    </row>
    <row r="245" spans="1:41" ht="15.75">
      <c r="A245" s="167">
        <v>240</v>
      </c>
      <c r="B245" s="79" t="s">
        <v>101</v>
      </c>
      <c r="C245" s="452">
        <v>100020548</v>
      </c>
      <c r="D245" s="458">
        <v>6352</v>
      </c>
      <c r="E245" s="329">
        <v>850</v>
      </c>
      <c r="F245" s="329">
        <v>0</v>
      </c>
      <c r="G245" s="329">
        <v>436</v>
      </c>
      <c r="H245" s="329">
        <v>414</v>
      </c>
      <c r="I245" s="329">
        <v>0</v>
      </c>
      <c r="J245" s="329">
        <v>0</v>
      </c>
      <c r="K245" s="333">
        <v>0</v>
      </c>
      <c r="L245" s="333"/>
      <c r="M245" s="165"/>
      <c r="N245" s="401">
        <v>100020548</v>
      </c>
      <c r="O245" s="329">
        <v>0</v>
      </c>
      <c r="P245" s="329">
        <v>436</v>
      </c>
      <c r="Q245" s="329">
        <v>414</v>
      </c>
      <c r="R245" s="329">
        <v>850</v>
      </c>
      <c r="S245" s="333">
        <v>27771477</v>
      </c>
      <c r="T245" s="3">
        <v>0.35</v>
      </c>
      <c r="U245" s="165">
        <f>VLOOKUP(N245,'[2]154'!$C$9:$T$554,18,0)</f>
        <v>850</v>
      </c>
      <c r="V245" s="401">
        <v>100020548</v>
      </c>
      <c r="W245" s="406">
        <v>0</v>
      </c>
      <c r="X245" s="405">
        <v>0</v>
      </c>
      <c r="Y245" s="406">
        <v>0</v>
      </c>
      <c r="Z245" s="3"/>
      <c r="AA245" s="401">
        <v>100020548</v>
      </c>
      <c r="AB245" s="329">
        <v>0</v>
      </c>
      <c r="AC245" s="329">
        <v>436</v>
      </c>
      <c r="AD245" s="329">
        <v>414</v>
      </c>
      <c r="AE245" s="329">
        <v>850</v>
      </c>
      <c r="AF245" s="329">
        <v>549</v>
      </c>
      <c r="AG245" s="329">
        <v>11763332</v>
      </c>
      <c r="AH245" s="3"/>
      <c r="AI245" s="401">
        <v>100020548</v>
      </c>
      <c r="AJ245" s="329">
        <v>0</v>
      </c>
      <c r="AK245" s="329">
        <v>436</v>
      </c>
      <c r="AL245" s="329">
        <v>414</v>
      </c>
      <c r="AM245" s="329">
        <v>850</v>
      </c>
      <c r="AN245" s="329">
        <v>549</v>
      </c>
      <c r="AO245" s="329">
        <v>16008145</v>
      </c>
    </row>
    <row r="246" spans="1:41" ht="15.75">
      <c r="A246" s="167">
        <v>241</v>
      </c>
      <c r="B246" s="79" t="s">
        <v>101</v>
      </c>
      <c r="C246" s="452">
        <v>77511</v>
      </c>
      <c r="D246" s="458">
        <v>10287</v>
      </c>
      <c r="E246" s="329">
        <v>89</v>
      </c>
      <c r="F246" s="329">
        <v>0</v>
      </c>
      <c r="G246" s="329">
        <v>0</v>
      </c>
      <c r="H246" s="329">
        <v>89</v>
      </c>
      <c r="I246" s="329">
        <v>0</v>
      </c>
      <c r="J246" s="329">
        <v>0</v>
      </c>
      <c r="K246" s="333">
        <v>0</v>
      </c>
      <c r="L246" s="333"/>
      <c r="M246" s="165"/>
      <c r="N246" s="401">
        <v>77511</v>
      </c>
      <c r="O246" s="329">
        <v>0</v>
      </c>
      <c r="P246" s="329">
        <v>0</v>
      </c>
      <c r="Q246" s="329">
        <v>89</v>
      </c>
      <c r="R246" s="329">
        <v>89</v>
      </c>
      <c r="S246" s="333">
        <v>6378281</v>
      </c>
      <c r="T246" s="3">
        <v>0.36</v>
      </c>
      <c r="U246" s="165">
        <f>VLOOKUP(N246,'[2]154'!$C$9:$T$554,18,0)</f>
        <v>365</v>
      </c>
      <c r="V246" s="401">
        <v>77511</v>
      </c>
      <c r="W246" s="406">
        <v>0</v>
      </c>
      <c r="X246" s="405">
        <v>0</v>
      </c>
      <c r="Y246" s="406">
        <v>0</v>
      </c>
      <c r="Z246" s="3"/>
      <c r="AA246" s="401">
        <v>77511</v>
      </c>
      <c r="AB246" s="329">
        <v>0</v>
      </c>
      <c r="AC246" s="329">
        <v>0</v>
      </c>
      <c r="AD246" s="329">
        <v>89</v>
      </c>
      <c r="AE246" s="329">
        <v>89</v>
      </c>
      <c r="AF246" s="329">
        <v>71</v>
      </c>
      <c r="AG246" s="329">
        <v>2584498</v>
      </c>
      <c r="AH246" s="3"/>
      <c r="AI246" s="401">
        <v>77511</v>
      </c>
      <c r="AJ246" s="329">
        <v>0</v>
      </c>
      <c r="AK246" s="329">
        <v>0</v>
      </c>
      <c r="AL246" s="329">
        <v>89</v>
      </c>
      <c r="AM246" s="329">
        <v>89</v>
      </c>
      <c r="AN246" s="329">
        <v>71</v>
      </c>
      <c r="AO246" s="329">
        <v>3793783</v>
      </c>
    </row>
    <row r="247" spans="1:41" ht="15.75">
      <c r="A247" s="167">
        <v>242</v>
      </c>
      <c r="B247" s="79" t="s">
        <v>106</v>
      </c>
      <c r="C247" s="452" t="s">
        <v>601</v>
      </c>
      <c r="D247" s="458">
        <v>13099</v>
      </c>
      <c r="E247" s="329">
        <v>619</v>
      </c>
      <c r="F247" s="329">
        <v>0</v>
      </c>
      <c r="G247" s="329">
        <v>0</v>
      </c>
      <c r="H247" s="329">
        <v>619</v>
      </c>
      <c r="I247" s="329">
        <v>0</v>
      </c>
      <c r="J247" s="329">
        <v>0</v>
      </c>
      <c r="K247" s="333">
        <v>0</v>
      </c>
      <c r="L247" s="333"/>
      <c r="M247" s="208"/>
      <c r="N247" s="398" t="s">
        <v>601</v>
      </c>
      <c r="O247" s="329">
        <v>0</v>
      </c>
      <c r="P247" s="329">
        <v>0</v>
      </c>
      <c r="Q247" s="329">
        <v>619</v>
      </c>
      <c r="R247" s="329">
        <v>619</v>
      </c>
      <c r="S247" s="333">
        <v>17217504</v>
      </c>
      <c r="T247" s="3">
        <v>0.35018604651162788</v>
      </c>
      <c r="U247" s="165">
        <f>VLOOKUP(N247,'[2]154'!$C$9:$T$554,18,0)</f>
        <v>1463</v>
      </c>
      <c r="V247" s="398" t="s">
        <v>601</v>
      </c>
      <c r="W247" s="406">
        <v>0</v>
      </c>
      <c r="X247" s="405">
        <v>0</v>
      </c>
      <c r="Y247" s="406">
        <v>0</v>
      </c>
      <c r="Z247" s="3"/>
      <c r="AA247" s="398" t="s">
        <v>601</v>
      </c>
      <c r="AB247" s="329">
        <v>0</v>
      </c>
      <c r="AC247" s="329">
        <v>0</v>
      </c>
      <c r="AD247" s="329">
        <v>619</v>
      </c>
      <c r="AE247" s="329">
        <v>619</v>
      </c>
      <c r="AF247" s="329">
        <v>495</v>
      </c>
      <c r="AG247" s="329">
        <v>7033122</v>
      </c>
      <c r="AH247" s="3"/>
      <c r="AI247" s="398" t="s">
        <v>601</v>
      </c>
      <c r="AJ247" s="329">
        <v>0</v>
      </c>
      <c r="AK247" s="329">
        <v>0</v>
      </c>
      <c r="AL247" s="329">
        <v>619</v>
      </c>
      <c r="AM247" s="329">
        <v>619</v>
      </c>
      <c r="AN247" s="329">
        <v>495</v>
      </c>
      <c r="AO247" s="329">
        <v>10184382</v>
      </c>
    </row>
    <row r="248" spans="1:41" ht="15.75">
      <c r="A248" s="167">
        <v>243</v>
      </c>
      <c r="B248" s="79" t="s">
        <v>106</v>
      </c>
      <c r="C248" s="452" t="s">
        <v>237</v>
      </c>
      <c r="D248" s="458">
        <v>13517</v>
      </c>
      <c r="E248" s="329">
        <v>278</v>
      </c>
      <c r="F248" s="329">
        <v>0</v>
      </c>
      <c r="G248" s="329">
        <v>47</v>
      </c>
      <c r="H248" s="329">
        <v>231</v>
      </c>
      <c r="I248" s="329">
        <v>0</v>
      </c>
      <c r="J248" s="329">
        <v>0</v>
      </c>
      <c r="K248" s="333">
        <v>0</v>
      </c>
      <c r="L248" s="333"/>
      <c r="M248" s="165"/>
      <c r="N248" s="398" t="s">
        <v>237</v>
      </c>
      <c r="O248" s="329">
        <v>0</v>
      </c>
      <c r="P248" s="329">
        <v>47</v>
      </c>
      <c r="Q248" s="329">
        <v>231</v>
      </c>
      <c r="R248" s="329">
        <v>278</v>
      </c>
      <c r="S248" s="333">
        <v>12679018</v>
      </c>
      <c r="T248" s="3">
        <v>2.4500000000000002</v>
      </c>
      <c r="U248" s="165">
        <f>VLOOKUP(N248,'[2]154'!$C$9:$T$554,18,0)</f>
        <v>278</v>
      </c>
      <c r="V248" s="398" t="s">
        <v>237</v>
      </c>
      <c r="W248" s="406">
        <v>0</v>
      </c>
      <c r="X248" s="405">
        <v>0</v>
      </c>
      <c r="Y248" s="406">
        <v>0</v>
      </c>
      <c r="Z248" s="3"/>
      <c r="AA248" s="398" t="s">
        <v>237</v>
      </c>
      <c r="AB248" s="329">
        <v>0</v>
      </c>
      <c r="AC248" s="329">
        <v>47</v>
      </c>
      <c r="AD248" s="329">
        <v>231</v>
      </c>
      <c r="AE248" s="329">
        <v>278</v>
      </c>
      <c r="AF248" s="329">
        <v>208</v>
      </c>
      <c r="AG248" s="329">
        <v>5144719</v>
      </c>
      <c r="AH248" s="3"/>
      <c r="AI248" s="398" t="s">
        <v>237</v>
      </c>
      <c r="AJ248" s="329">
        <v>0</v>
      </c>
      <c r="AK248" s="329">
        <v>47</v>
      </c>
      <c r="AL248" s="329">
        <v>231</v>
      </c>
      <c r="AM248" s="329">
        <v>278</v>
      </c>
      <c r="AN248" s="329">
        <v>208</v>
      </c>
      <c r="AO248" s="329">
        <v>7534299</v>
      </c>
    </row>
    <row r="249" spans="1:41" ht="15.75">
      <c r="A249" s="167">
        <v>244</v>
      </c>
      <c r="B249" s="79" t="s">
        <v>161</v>
      </c>
      <c r="C249" s="452">
        <v>100015354</v>
      </c>
      <c r="D249" s="458">
        <v>9786</v>
      </c>
      <c r="E249" s="329">
        <v>207</v>
      </c>
      <c r="F249" s="329">
        <v>0</v>
      </c>
      <c r="G249" s="329">
        <v>8</v>
      </c>
      <c r="H249" s="329">
        <v>199</v>
      </c>
      <c r="I249" s="329">
        <v>0</v>
      </c>
      <c r="J249" s="329">
        <v>0</v>
      </c>
      <c r="K249" s="333">
        <v>0</v>
      </c>
      <c r="L249" s="333"/>
      <c r="M249" s="165"/>
      <c r="N249" s="401">
        <v>100015354</v>
      </c>
      <c r="O249" s="329">
        <v>0</v>
      </c>
      <c r="P249" s="329">
        <v>8</v>
      </c>
      <c r="Q249" s="329">
        <v>199</v>
      </c>
      <c r="R249" s="329">
        <v>207</v>
      </c>
      <c r="S249" s="333">
        <v>6980249</v>
      </c>
      <c r="T249" s="3">
        <v>0.36</v>
      </c>
      <c r="U249" s="165">
        <f>VLOOKUP(N249,'[2]154'!$C$9:$T$554,18,0)</f>
        <v>207</v>
      </c>
      <c r="V249" s="401">
        <v>100015354</v>
      </c>
      <c r="W249" s="406">
        <v>0</v>
      </c>
      <c r="X249" s="405">
        <v>0</v>
      </c>
      <c r="Y249" s="406">
        <v>0</v>
      </c>
      <c r="Z249" s="3"/>
      <c r="AA249" s="401">
        <v>100015354</v>
      </c>
      <c r="AB249" s="329">
        <v>0</v>
      </c>
      <c r="AC249" s="329">
        <v>8</v>
      </c>
      <c r="AD249" s="329">
        <v>199</v>
      </c>
      <c r="AE249" s="329">
        <v>207</v>
      </c>
      <c r="AF249" s="329">
        <v>163</v>
      </c>
      <c r="AG249" s="329">
        <v>2830314</v>
      </c>
      <c r="AH249" s="3"/>
      <c r="AI249" s="401">
        <v>100015354</v>
      </c>
      <c r="AJ249" s="329">
        <v>0</v>
      </c>
      <c r="AK249" s="329">
        <v>8</v>
      </c>
      <c r="AL249" s="329">
        <v>199</v>
      </c>
      <c r="AM249" s="329">
        <v>207</v>
      </c>
      <c r="AN249" s="329">
        <v>163</v>
      </c>
      <c r="AO249" s="329">
        <v>4149935</v>
      </c>
    </row>
    <row r="250" spans="1:41" ht="15.75">
      <c r="A250" s="167">
        <v>245</v>
      </c>
      <c r="B250" s="79" t="s">
        <v>105</v>
      </c>
      <c r="C250" s="452">
        <v>468248</v>
      </c>
      <c r="D250" s="458">
        <v>10996</v>
      </c>
      <c r="E250" s="329">
        <v>823</v>
      </c>
      <c r="F250" s="329">
        <v>593</v>
      </c>
      <c r="G250" s="329">
        <v>116</v>
      </c>
      <c r="H250" s="329">
        <v>114</v>
      </c>
      <c r="I250" s="329">
        <v>0</v>
      </c>
      <c r="J250" s="329">
        <v>0</v>
      </c>
      <c r="K250" s="333">
        <v>0</v>
      </c>
      <c r="L250" s="333"/>
      <c r="M250" s="208"/>
      <c r="N250" s="401">
        <v>468248</v>
      </c>
      <c r="O250" s="329">
        <v>593</v>
      </c>
      <c r="P250" s="329">
        <v>116</v>
      </c>
      <c r="Q250" s="329">
        <v>114</v>
      </c>
      <c r="R250" s="329">
        <v>823</v>
      </c>
      <c r="S250" s="333">
        <v>11215791</v>
      </c>
      <c r="T250" s="3">
        <v>0.36</v>
      </c>
      <c r="U250" s="165">
        <f>VLOOKUP(N250,'[2]154'!$C$9:$T$554,18,0)</f>
        <v>823</v>
      </c>
      <c r="V250" s="401">
        <v>468248</v>
      </c>
      <c r="W250" s="406">
        <v>0</v>
      </c>
      <c r="X250" s="405">
        <v>0</v>
      </c>
      <c r="Y250" s="406">
        <v>0</v>
      </c>
      <c r="Z250" s="3"/>
      <c r="AA250" s="401">
        <v>468248</v>
      </c>
      <c r="AB250" s="329">
        <v>593</v>
      </c>
      <c r="AC250" s="329">
        <v>116</v>
      </c>
      <c r="AD250" s="329">
        <v>114</v>
      </c>
      <c r="AE250" s="329">
        <v>823</v>
      </c>
      <c r="AF250" s="329">
        <v>268</v>
      </c>
      <c r="AG250" s="329">
        <v>4519693</v>
      </c>
      <c r="AH250" s="3"/>
      <c r="AI250" s="401">
        <v>468248</v>
      </c>
      <c r="AJ250" s="329">
        <v>593</v>
      </c>
      <c r="AK250" s="329">
        <v>116</v>
      </c>
      <c r="AL250" s="329">
        <v>114</v>
      </c>
      <c r="AM250" s="329">
        <v>823</v>
      </c>
      <c r="AN250" s="329">
        <v>268</v>
      </c>
      <c r="AO250" s="329">
        <v>6696098</v>
      </c>
    </row>
    <row r="251" spans="1:41" ht="15.75">
      <c r="A251" s="167">
        <v>246</v>
      </c>
      <c r="B251" s="79" t="s">
        <v>161</v>
      </c>
      <c r="C251" s="452">
        <v>100008608</v>
      </c>
      <c r="D251" s="458">
        <v>0</v>
      </c>
      <c r="E251" s="329">
        <v>77</v>
      </c>
      <c r="F251" s="329">
        <v>0</v>
      </c>
      <c r="G251" s="329">
        <v>48</v>
      </c>
      <c r="H251" s="329">
        <v>29</v>
      </c>
      <c r="I251" s="329">
        <v>0</v>
      </c>
      <c r="J251" s="329">
        <v>0</v>
      </c>
      <c r="K251" s="333">
        <v>0</v>
      </c>
      <c r="L251" s="333"/>
      <c r="M251" s="165"/>
      <c r="N251" s="401">
        <v>100008608</v>
      </c>
      <c r="O251" s="329">
        <v>0</v>
      </c>
      <c r="P251" s="329">
        <v>48</v>
      </c>
      <c r="Q251" s="329">
        <v>29</v>
      </c>
      <c r="R251" s="329">
        <v>77</v>
      </c>
      <c r="S251" s="333">
        <v>1737419</v>
      </c>
      <c r="T251" s="3">
        <v>0.35</v>
      </c>
      <c r="U251" s="165">
        <f>VLOOKUP(N251,'[2]154'!$C$9:$T$554,18,0)</f>
        <v>77</v>
      </c>
      <c r="V251" s="401">
        <v>100008608</v>
      </c>
      <c r="W251" s="406">
        <v>0</v>
      </c>
      <c r="X251" s="405">
        <v>0</v>
      </c>
      <c r="Y251" s="406">
        <v>0</v>
      </c>
      <c r="Z251" s="3"/>
      <c r="AA251" s="401">
        <v>100008608</v>
      </c>
      <c r="AB251" s="329">
        <v>0</v>
      </c>
      <c r="AC251" s="329">
        <v>48</v>
      </c>
      <c r="AD251" s="329">
        <v>29</v>
      </c>
      <c r="AE251" s="329">
        <v>77</v>
      </c>
      <c r="AF251" s="329">
        <v>47</v>
      </c>
      <c r="AG251" s="329">
        <v>735929</v>
      </c>
      <c r="AH251" s="3"/>
      <c r="AI251" s="401">
        <v>100008608</v>
      </c>
      <c r="AJ251" s="329">
        <v>0</v>
      </c>
      <c r="AK251" s="329">
        <v>48</v>
      </c>
      <c r="AL251" s="329">
        <v>29</v>
      </c>
      <c r="AM251" s="329">
        <v>77</v>
      </c>
      <c r="AN251" s="329">
        <v>47</v>
      </c>
      <c r="AO251" s="329">
        <v>1001490</v>
      </c>
    </row>
    <row r="252" spans="1:41" ht="15.75">
      <c r="A252" s="167">
        <v>247</v>
      </c>
      <c r="B252" s="79" t="s">
        <v>100</v>
      </c>
      <c r="C252" s="452">
        <v>16661</v>
      </c>
      <c r="D252" s="458">
        <v>2736</v>
      </c>
      <c r="E252" s="329">
        <v>46</v>
      </c>
      <c r="F252" s="329">
        <v>0</v>
      </c>
      <c r="G252" s="329">
        <v>0</v>
      </c>
      <c r="H252" s="329">
        <v>46</v>
      </c>
      <c r="I252" s="329">
        <v>0</v>
      </c>
      <c r="J252" s="329">
        <v>0</v>
      </c>
      <c r="K252" s="333">
        <v>0</v>
      </c>
      <c r="L252" s="333"/>
      <c r="M252" s="165"/>
      <c r="N252" s="401">
        <v>16661</v>
      </c>
      <c r="O252" s="329">
        <v>0</v>
      </c>
      <c r="P252" s="329">
        <v>0</v>
      </c>
      <c r="Q252" s="329">
        <v>46</v>
      </c>
      <c r="R252" s="329">
        <v>46</v>
      </c>
      <c r="S252" s="333">
        <v>3610697</v>
      </c>
      <c r="T252" s="3">
        <v>0.35</v>
      </c>
      <c r="U252" s="165">
        <f>VLOOKUP(N252,'[2]154'!$C$9:$T$554,18,0)</f>
        <v>114</v>
      </c>
      <c r="V252" s="401">
        <v>16661</v>
      </c>
      <c r="W252" s="406">
        <v>0</v>
      </c>
      <c r="X252" s="405">
        <v>0</v>
      </c>
      <c r="Y252" s="406">
        <v>0</v>
      </c>
      <c r="Z252" s="3"/>
      <c r="AA252" s="401">
        <v>16661</v>
      </c>
      <c r="AB252" s="329">
        <v>0</v>
      </c>
      <c r="AC252" s="329">
        <v>0</v>
      </c>
      <c r="AD252" s="329">
        <v>46</v>
      </c>
      <c r="AE252" s="329">
        <v>46</v>
      </c>
      <c r="AF252" s="329">
        <v>37</v>
      </c>
      <c r="AG252" s="329">
        <v>1447934</v>
      </c>
      <c r="AH252" s="3"/>
      <c r="AI252" s="401">
        <v>16661</v>
      </c>
      <c r="AJ252" s="329">
        <v>0</v>
      </c>
      <c r="AK252" s="329">
        <v>0</v>
      </c>
      <c r="AL252" s="329">
        <v>46</v>
      </c>
      <c r="AM252" s="329">
        <v>46</v>
      </c>
      <c r="AN252" s="329">
        <v>37</v>
      </c>
      <c r="AO252" s="329">
        <v>2162763</v>
      </c>
    </row>
    <row r="253" spans="1:41" ht="15.75">
      <c r="A253" s="167">
        <v>248</v>
      </c>
      <c r="B253" s="79" t="s">
        <v>161</v>
      </c>
      <c r="C253" s="452">
        <v>75740</v>
      </c>
      <c r="D253" s="458">
        <v>995</v>
      </c>
      <c r="E253" s="329">
        <v>12</v>
      </c>
      <c r="F253" s="329">
        <v>0</v>
      </c>
      <c r="G253" s="329">
        <v>0</v>
      </c>
      <c r="H253" s="329">
        <v>12</v>
      </c>
      <c r="I253" s="329">
        <v>0</v>
      </c>
      <c r="J253" s="329">
        <v>0</v>
      </c>
      <c r="K253" s="333">
        <v>0</v>
      </c>
      <c r="L253" s="333"/>
      <c r="M253" s="208"/>
      <c r="N253" s="401">
        <v>75740</v>
      </c>
      <c r="O253" s="329">
        <v>0</v>
      </c>
      <c r="P253" s="329">
        <v>0</v>
      </c>
      <c r="Q253" s="329">
        <v>12</v>
      </c>
      <c r="R253" s="329">
        <v>12</v>
      </c>
      <c r="S253" s="333">
        <v>363178</v>
      </c>
      <c r="T253" s="3">
        <v>0.36</v>
      </c>
      <c r="U253" s="165">
        <f>VLOOKUP(N253,'[2]154'!$C$9:$T$554,18,0)</f>
        <v>63</v>
      </c>
      <c r="V253" s="401">
        <v>75740</v>
      </c>
      <c r="W253" s="406">
        <v>0</v>
      </c>
      <c r="X253" s="405">
        <v>0</v>
      </c>
      <c r="Y253" s="406">
        <v>0</v>
      </c>
      <c r="Z253" s="3"/>
      <c r="AA253" s="401">
        <v>75740</v>
      </c>
      <c r="AB253" s="329">
        <v>0</v>
      </c>
      <c r="AC253" s="329">
        <v>0</v>
      </c>
      <c r="AD253" s="329">
        <v>12</v>
      </c>
      <c r="AE253" s="329">
        <v>12</v>
      </c>
      <c r="AF253" s="329">
        <v>10</v>
      </c>
      <c r="AG253" s="329">
        <v>145915</v>
      </c>
      <c r="AH253" s="3"/>
      <c r="AI253" s="401">
        <v>75740</v>
      </c>
      <c r="AJ253" s="329">
        <v>0</v>
      </c>
      <c r="AK253" s="329">
        <v>0</v>
      </c>
      <c r="AL253" s="329">
        <v>12</v>
      </c>
      <c r="AM253" s="329">
        <v>12</v>
      </c>
      <c r="AN253" s="329">
        <v>10</v>
      </c>
      <c r="AO253" s="329">
        <v>217263</v>
      </c>
    </row>
    <row r="254" spans="1:41" ht="15.75">
      <c r="A254" s="167">
        <v>249</v>
      </c>
      <c r="B254" s="79" t="s">
        <v>161</v>
      </c>
      <c r="C254" s="452">
        <v>76733</v>
      </c>
      <c r="D254" s="458">
        <v>1514</v>
      </c>
      <c r="E254" s="329">
        <v>150</v>
      </c>
      <c r="F254" s="329">
        <v>0</v>
      </c>
      <c r="G254" s="329">
        <v>141</v>
      </c>
      <c r="H254" s="329">
        <v>9</v>
      </c>
      <c r="I254" s="329">
        <v>0</v>
      </c>
      <c r="J254" s="329">
        <v>0</v>
      </c>
      <c r="K254" s="333">
        <v>0</v>
      </c>
      <c r="L254" s="333"/>
      <c r="M254" s="165"/>
      <c r="N254" s="401">
        <v>76733</v>
      </c>
      <c r="O254" s="329">
        <v>0</v>
      </c>
      <c r="P254" s="329">
        <v>141</v>
      </c>
      <c r="Q254" s="329">
        <v>9</v>
      </c>
      <c r="R254" s="329">
        <v>150</v>
      </c>
      <c r="S254" s="333">
        <v>6988738</v>
      </c>
      <c r="T254" s="3">
        <v>0.36</v>
      </c>
      <c r="U254" s="165">
        <f>VLOOKUP(N254,'[2]154'!$C$9:$T$554,18,0)</f>
        <v>150</v>
      </c>
      <c r="V254" s="401">
        <v>76733</v>
      </c>
      <c r="W254" s="406">
        <v>0</v>
      </c>
      <c r="X254" s="405">
        <v>0</v>
      </c>
      <c r="Y254" s="406">
        <v>0</v>
      </c>
      <c r="Z254" s="3"/>
      <c r="AA254" s="401">
        <v>76733</v>
      </c>
      <c r="AB254" s="329">
        <v>0</v>
      </c>
      <c r="AC254" s="329">
        <v>141</v>
      </c>
      <c r="AD254" s="329">
        <v>9</v>
      </c>
      <c r="AE254" s="329">
        <v>150</v>
      </c>
      <c r="AF254" s="329">
        <v>78</v>
      </c>
      <c r="AG254" s="329">
        <v>2802570</v>
      </c>
      <c r="AH254" s="3"/>
      <c r="AI254" s="401">
        <v>76733</v>
      </c>
      <c r="AJ254" s="329">
        <v>0</v>
      </c>
      <c r="AK254" s="329">
        <v>141</v>
      </c>
      <c r="AL254" s="329">
        <v>9</v>
      </c>
      <c r="AM254" s="329">
        <v>150</v>
      </c>
      <c r="AN254" s="329">
        <v>78</v>
      </c>
      <c r="AO254" s="329">
        <v>4186168</v>
      </c>
    </row>
    <row r="255" spans="1:41" ht="15.75">
      <c r="A255" s="167">
        <v>250</v>
      </c>
      <c r="B255" s="79" t="s">
        <v>105</v>
      </c>
      <c r="C255" s="452">
        <v>467914</v>
      </c>
      <c r="D255" s="458">
        <v>5976</v>
      </c>
      <c r="E255" s="329">
        <v>175</v>
      </c>
      <c r="F255" s="329">
        <v>0</v>
      </c>
      <c r="G255" s="329">
        <v>83</v>
      </c>
      <c r="H255" s="329">
        <v>92</v>
      </c>
      <c r="I255" s="329">
        <v>0</v>
      </c>
      <c r="J255" s="329">
        <v>0</v>
      </c>
      <c r="K255" s="333">
        <v>0</v>
      </c>
      <c r="L255" s="333"/>
      <c r="M255" s="165"/>
      <c r="N255" s="401">
        <v>467914</v>
      </c>
      <c r="O255" s="329">
        <v>0</v>
      </c>
      <c r="P255" s="329">
        <v>83</v>
      </c>
      <c r="Q255" s="329">
        <v>92</v>
      </c>
      <c r="R255" s="329">
        <v>175</v>
      </c>
      <c r="S255" s="333">
        <v>8243087</v>
      </c>
      <c r="T255" s="3">
        <v>0.36</v>
      </c>
      <c r="U255" s="165">
        <f>VLOOKUP(N255,'[2]154'!$C$9:$T$554,18,0)</f>
        <v>175</v>
      </c>
      <c r="V255" s="401">
        <v>467914</v>
      </c>
      <c r="W255" s="406">
        <v>0</v>
      </c>
      <c r="X255" s="405">
        <v>0</v>
      </c>
      <c r="Y255" s="406">
        <v>0</v>
      </c>
      <c r="Z255" s="3"/>
      <c r="AA255" s="401">
        <v>467914</v>
      </c>
      <c r="AB255" s="329">
        <v>0</v>
      </c>
      <c r="AC255" s="329">
        <v>83</v>
      </c>
      <c r="AD255" s="329">
        <v>92</v>
      </c>
      <c r="AE255" s="329">
        <v>175</v>
      </c>
      <c r="AF255" s="329">
        <v>115</v>
      </c>
      <c r="AG255" s="329">
        <v>3310598</v>
      </c>
      <c r="AH255" s="3"/>
      <c r="AI255" s="401">
        <v>467914</v>
      </c>
      <c r="AJ255" s="329">
        <v>0</v>
      </c>
      <c r="AK255" s="329">
        <v>83</v>
      </c>
      <c r="AL255" s="329">
        <v>92</v>
      </c>
      <c r="AM255" s="329">
        <v>175</v>
      </c>
      <c r="AN255" s="329">
        <v>115</v>
      </c>
      <c r="AO255" s="329">
        <v>4932489</v>
      </c>
    </row>
    <row r="256" spans="1:41" ht="15.75">
      <c r="A256" s="167">
        <v>251</v>
      </c>
      <c r="B256" s="79" t="s">
        <v>105</v>
      </c>
      <c r="C256" s="452">
        <v>468229</v>
      </c>
      <c r="D256" s="458">
        <v>20315</v>
      </c>
      <c r="E256" s="329">
        <v>1131</v>
      </c>
      <c r="F256" s="329">
        <v>29</v>
      </c>
      <c r="G256" s="329">
        <v>521</v>
      </c>
      <c r="H256" s="329">
        <v>581</v>
      </c>
      <c r="I256" s="329">
        <v>0</v>
      </c>
      <c r="J256" s="329">
        <v>0</v>
      </c>
      <c r="K256" s="333">
        <v>0</v>
      </c>
      <c r="L256" s="333"/>
      <c r="M256" s="208"/>
      <c r="N256" s="401">
        <v>468229</v>
      </c>
      <c r="O256" s="329">
        <v>29</v>
      </c>
      <c r="P256" s="329">
        <v>521</v>
      </c>
      <c r="Q256" s="329">
        <v>581</v>
      </c>
      <c r="R256" s="329">
        <v>1131</v>
      </c>
      <c r="S256" s="333">
        <v>26016758</v>
      </c>
      <c r="T256" s="3">
        <v>0.35</v>
      </c>
      <c r="U256" s="165">
        <f>VLOOKUP(N256,'[2]154'!$C$9:$T$554,18,0)</f>
        <v>1131</v>
      </c>
      <c r="V256" s="401">
        <v>468229</v>
      </c>
      <c r="W256" s="406">
        <v>0</v>
      </c>
      <c r="X256" s="405">
        <v>0</v>
      </c>
      <c r="Y256" s="406">
        <v>0</v>
      </c>
      <c r="Z256" s="3"/>
      <c r="AA256" s="401">
        <v>468229</v>
      </c>
      <c r="AB256" s="329">
        <v>29</v>
      </c>
      <c r="AC256" s="329">
        <v>521</v>
      </c>
      <c r="AD256" s="329">
        <v>581</v>
      </c>
      <c r="AE256" s="329">
        <v>1131</v>
      </c>
      <c r="AF256" s="329">
        <v>731</v>
      </c>
      <c r="AG256" s="329">
        <v>10494670</v>
      </c>
      <c r="AH256" s="3"/>
      <c r="AI256" s="401">
        <v>468229</v>
      </c>
      <c r="AJ256" s="329">
        <v>29</v>
      </c>
      <c r="AK256" s="329">
        <v>521</v>
      </c>
      <c r="AL256" s="329">
        <v>581</v>
      </c>
      <c r="AM256" s="329">
        <v>1131</v>
      </c>
      <c r="AN256" s="329">
        <v>731</v>
      </c>
      <c r="AO256" s="329">
        <v>15522088</v>
      </c>
    </row>
    <row r="257" spans="1:41" ht="15.75">
      <c r="A257" s="167">
        <v>252</v>
      </c>
      <c r="B257" s="79" t="s">
        <v>105</v>
      </c>
      <c r="C257" s="452">
        <v>468230</v>
      </c>
      <c r="D257" s="458">
        <v>13350</v>
      </c>
      <c r="E257" s="329">
        <v>676</v>
      </c>
      <c r="F257" s="329">
        <v>0</v>
      </c>
      <c r="G257" s="329">
        <v>208</v>
      </c>
      <c r="H257" s="329">
        <v>468</v>
      </c>
      <c r="I257" s="329">
        <v>0</v>
      </c>
      <c r="J257" s="329">
        <v>0</v>
      </c>
      <c r="K257" s="333">
        <v>0</v>
      </c>
      <c r="L257" s="333"/>
      <c r="M257" s="165"/>
      <c r="N257" s="401">
        <v>468230</v>
      </c>
      <c r="O257" s="329">
        <v>0</v>
      </c>
      <c r="P257" s="329">
        <v>208</v>
      </c>
      <c r="Q257" s="329">
        <v>468</v>
      </c>
      <c r="R257" s="329">
        <v>676</v>
      </c>
      <c r="S257" s="333">
        <v>16362617</v>
      </c>
      <c r="T257" s="3">
        <v>1.65</v>
      </c>
      <c r="U257" s="165">
        <f>VLOOKUP(N257,'[2]154'!$C$9:$T$554,18,0)</f>
        <v>676</v>
      </c>
      <c r="V257" s="401">
        <v>468230</v>
      </c>
      <c r="W257" s="406">
        <v>0</v>
      </c>
      <c r="X257" s="405">
        <v>0</v>
      </c>
      <c r="Y257" s="406">
        <v>0</v>
      </c>
      <c r="Z257" s="3"/>
      <c r="AA257" s="401">
        <v>468230</v>
      </c>
      <c r="AB257" s="329">
        <v>0</v>
      </c>
      <c r="AC257" s="329">
        <v>208</v>
      </c>
      <c r="AD257" s="329">
        <v>468</v>
      </c>
      <c r="AE257" s="329">
        <v>676</v>
      </c>
      <c r="AF257" s="329">
        <v>478</v>
      </c>
      <c r="AG257" s="329">
        <v>6606730</v>
      </c>
      <c r="AH257" s="3"/>
      <c r="AI257" s="401">
        <v>468230</v>
      </c>
      <c r="AJ257" s="329">
        <v>0</v>
      </c>
      <c r="AK257" s="329">
        <v>208</v>
      </c>
      <c r="AL257" s="329">
        <v>468</v>
      </c>
      <c r="AM257" s="329">
        <v>676</v>
      </c>
      <c r="AN257" s="329">
        <v>478</v>
      </c>
      <c r="AO257" s="329">
        <v>9755887</v>
      </c>
    </row>
    <row r="258" spans="1:41" ht="15.75">
      <c r="A258" s="167">
        <v>253</v>
      </c>
      <c r="B258" s="79" t="s">
        <v>105</v>
      </c>
      <c r="C258" s="452">
        <v>468249</v>
      </c>
      <c r="D258" s="458">
        <v>12864</v>
      </c>
      <c r="E258" s="329">
        <v>452</v>
      </c>
      <c r="F258" s="329">
        <v>0</v>
      </c>
      <c r="G258" s="329">
        <v>299</v>
      </c>
      <c r="H258" s="329">
        <v>153</v>
      </c>
      <c r="I258" s="329">
        <v>0</v>
      </c>
      <c r="J258" s="329">
        <v>0</v>
      </c>
      <c r="K258" s="333">
        <v>0</v>
      </c>
      <c r="L258" s="333"/>
      <c r="M258" s="165"/>
      <c r="N258" s="401">
        <v>468249</v>
      </c>
      <c r="O258" s="329">
        <v>0</v>
      </c>
      <c r="P258" s="329">
        <v>299</v>
      </c>
      <c r="Q258" s="329">
        <v>153</v>
      </c>
      <c r="R258" s="329">
        <v>452</v>
      </c>
      <c r="S258" s="333">
        <v>9647855</v>
      </c>
      <c r="T258" s="3">
        <v>0.35</v>
      </c>
      <c r="U258" s="165">
        <f>VLOOKUP(N258,'[2]154'!$C$9:$T$554,18,0)</f>
        <v>452</v>
      </c>
      <c r="V258" s="401">
        <v>468249</v>
      </c>
      <c r="W258" s="406">
        <v>0</v>
      </c>
      <c r="X258" s="405">
        <v>0</v>
      </c>
      <c r="Y258" s="406">
        <v>0</v>
      </c>
      <c r="Z258" s="3"/>
      <c r="AA258" s="401">
        <v>468249</v>
      </c>
      <c r="AB258" s="329">
        <v>0</v>
      </c>
      <c r="AC258" s="329">
        <v>299</v>
      </c>
      <c r="AD258" s="329">
        <v>153</v>
      </c>
      <c r="AE258" s="329">
        <v>452</v>
      </c>
      <c r="AF258" s="329">
        <v>272</v>
      </c>
      <c r="AG258" s="329">
        <v>3886342</v>
      </c>
      <c r="AH258" s="3"/>
      <c r="AI258" s="401">
        <v>468249</v>
      </c>
      <c r="AJ258" s="329">
        <v>0</v>
      </c>
      <c r="AK258" s="329">
        <v>299</v>
      </c>
      <c r="AL258" s="329">
        <v>153</v>
      </c>
      <c r="AM258" s="329">
        <v>452</v>
      </c>
      <c r="AN258" s="329">
        <v>272</v>
      </c>
      <c r="AO258" s="329">
        <v>5761513</v>
      </c>
    </row>
    <row r="259" spans="1:41" ht="15.75">
      <c r="A259" s="167">
        <v>254</v>
      </c>
      <c r="B259" s="79" t="s">
        <v>161</v>
      </c>
      <c r="C259" s="452">
        <v>100013593</v>
      </c>
      <c r="D259" s="458">
        <v>1062</v>
      </c>
      <c r="E259" s="329">
        <v>141</v>
      </c>
      <c r="F259" s="329">
        <v>0</v>
      </c>
      <c r="G259" s="329">
        <v>67</v>
      </c>
      <c r="H259" s="329">
        <v>74</v>
      </c>
      <c r="I259" s="329">
        <v>0</v>
      </c>
      <c r="J259" s="329">
        <v>0</v>
      </c>
      <c r="K259" s="333">
        <v>0</v>
      </c>
      <c r="L259" s="333"/>
      <c r="M259" s="208"/>
      <c r="N259" s="401">
        <v>100013593</v>
      </c>
      <c r="O259" s="329">
        <v>0</v>
      </c>
      <c r="P259" s="329">
        <v>67</v>
      </c>
      <c r="Q259" s="329">
        <v>74</v>
      </c>
      <c r="R259" s="329">
        <v>141</v>
      </c>
      <c r="S259" s="333">
        <v>4128662</v>
      </c>
      <c r="T259" s="3">
        <v>0.36</v>
      </c>
      <c r="U259" s="165">
        <f>VLOOKUP(N259,'[2]154'!$C$9:$T$554,18,0)</f>
        <v>141</v>
      </c>
      <c r="V259" s="401">
        <v>100013593</v>
      </c>
      <c r="W259" s="406">
        <v>0</v>
      </c>
      <c r="X259" s="405">
        <v>0</v>
      </c>
      <c r="Y259" s="406">
        <v>0</v>
      </c>
      <c r="Z259" s="3"/>
      <c r="AA259" s="401">
        <v>100013593</v>
      </c>
      <c r="AB259" s="329">
        <v>0</v>
      </c>
      <c r="AC259" s="329">
        <v>67</v>
      </c>
      <c r="AD259" s="329">
        <v>74</v>
      </c>
      <c r="AE259" s="329">
        <v>141</v>
      </c>
      <c r="AF259" s="329">
        <v>93</v>
      </c>
      <c r="AG259" s="329">
        <v>1659331</v>
      </c>
      <c r="AH259" s="3"/>
      <c r="AI259" s="401">
        <v>100013593</v>
      </c>
      <c r="AJ259" s="329">
        <v>0</v>
      </c>
      <c r="AK259" s="329">
        <v>67</v>
      </c>
      <c r="AL259" s="329">
        <v>74</v>
      </c>
      <c r="AM259" s="329">
        <v>141</v>
      </c>
      <c r="AN259" s="329">
        <v>93</v>
      </c>
      <c r="AO259" s="329">
        <v>2469331</v>
      </c>
    </row>
    <row r="260" spans="1:41" ht="15.75">
      <c r="A260" s="167">
        <v>255</v>
      </c>
      <c r="B260" s="79" t="s">
        <v>161</v>
      </c>
      <c r="C260" s="452">
        <v>100014855</v>
      </c>
      <c r="D260" s="458">
        <v>2098</v>
      </c>
      <c r="E260" s="329">
        <v>112</v>
      </c>
      <c r="F260" s="329">
        <v>0</v>
      </c>
      <c r="G260" s="329">
        <v>37</v>
      </c>
      <c r="H260" s="329">
        <v>75</v>
      </c>
      <c r="I260" s="329">
        <v>0</v>
      </c>
      <c r="J260" s="329">
        <v>0</v>
      </c>
      <c r="K260" s="333">
        <v>0</v>
      </c>
      <c r="L260" s="333"/>
      <c r="M260" s="165"/>
      <c r="N260" s="401">
        <v>100014855</v>
      </c>
      <c r="O260" s="329">
        <v>0</v>
      </c>
      <c r="P260" s="329">
        <v>37</v>
      </c>
      <c r="Q260" s="329">
        <v>75</v>
      </c>
      <c r="R260" s="329">
        <v>112</v>
      </c>
      <c r="S260" s="333">
        <v>2247453</v>
      </c>
      <c r="T260" s="3">
        <v>0.35</v>
      </c>
      <c r="U260" s="165">
        <f>VLOOKUP(N260,'[2]154'!$C$9:$T$554,18,0)</f>
        <v>112</v>
      </c>
      <c r="V260" s="401">
        <v>100014855</v>
      </c>
      <c r="W260" s="406">
        <v>0</v>
      </c>
      <c r="X260" s="405">
        <v>0</v>
      </c>
      <c r="Y260" s="406">
        <v>0</v>
      </c>
      <c r="Z260" s="3"/>
      <c r="AA260" s="401">
        <v>100014855</v>
      </c>
      <c r="AB260" s="329">
        <v>0</v>
      </c>
      <c r="AC260" s="329">
        <v>37</v>
      </c>
      <c r="AD260" s="329">
        <v>75</v>
      </c>
      <c r="AE260" s="329">
        <v>112</v>
      </c>
      <c r="AF260" s="329">
        <v>79</v>
      </c>
      <c r="AG260" s="329">
        <v>903347</v>
      </c>
      <c r="AH260" s="3"/>
      <c r="AI260" s="401">
        <v>100014855</v>
      </c>
      <c r="AJ260" s="329">
        <v>0</v>
      </c>
      <c r="AK260" s="329">
        <v>37</v>
      </c>
      <c r="AL260" s="329">
        <v>75</v>
      </c>
      <c r="AM260" s="329">
        <v>112</v>
      </c>
      <c r="AN260" s="329">
        <v>79</v>
      </c>
      <c r="AO260" s="329">
        <v>1344106</v>
      </c>
    </row>
    <row r="261" spans="1:41" ht="15.75">
      <c r="A261" s="167">
        <v>256</v>
      </c>
      <c r="B261" s="79" t="s">
        <v>161</v>
      </c>
      <c r="C261" s="452">
        <v>100015130</v>
      </c>
      <c r="D261" s="458">
        <v>2720</v>
      </c>
      <c r="E261" s="329">
        <v>193</v>
      </c>
      <c r="F261" s="329">
        <v>0</v>
      </c>
      <c r="G261" s="329">
        <v>70</v>
      </c>
      <c r="H261" s="329">
        <v>123</v>
      </c>
      <c r="I261" s="329">
        <v>0</v>
      </c>
      <c r="J261" s="329">
        <v>0</v>
      </c>
      <c r="K261" s="333">
        <v>0</v>
      </c>
      <c r="L261" s="333"/>
      <c r="M261" s="165"/>
      <c r="N261" s="401">
        <v>100015130</v>
      </c>
      <c r="O261" s="329">
        <v>0</v>
      </c>
      <c r="P261" s="329">
        <v>70</v>
      </c>
      <c r="Q261" s="329">
        <v>123</v>
      </c>
      <c r="R261" s="329">
        <v>193</v>
      </c>
      <c r="S261" s="333">
        <v>6676063</v>
      </c>
      <c r="T261" s="3">
        <v>0.35</v>
      </c>
      <c r="U261" s="165">
        <f>VLOOKUP(N261,'[2]154'!$C$9:$T$554,18,0)</f>
        <v>193</v>
      </c>
      <c r="V261" s="401">
        <v>100015130</v>
      </c>
      <c r="W261" s="406">
        <v>0</v>
      </c>
      <c r="X261" s="405">
        <v>0</v>
      </c>
      <c r="Y261" s="406">
        <v>0</v>
      </c>
      <c r="Z261" s="3"/>
      <c r="AA261" s="401">
        <v>100015130</v>
      </c>
      <c r="AB261" s="329">
        <v>0</v>
      </c>
      <c r="AC261" s="329">
        <v>70</v>
      </c>
      <c r="AD261" s="329">
        <v>123</v>
      </c>
      <c r="AE261" s="329">
        <v>193</v>
      </c>
      <c r="AF261" s="329">
        <v>133</v>
      </c>
      <c r="AG261" s="329">
        <v>2690205</v>
      </c>
      <c r="AH261" s="3"/>
      <c r="AI261" s="401">
        <v>100015130</v>
      </c>
      <c r="AJ261" s="329">
        <v>0</v>
      </c>
      <c r="AK261" s="329">
        <v>70</v>
      </c>
      <c r="AL261" s="329">
        <v>123</v>
      </c>
      <c r="AM261" s="329">
        <v>193</v>
      </c>
      <c r="AN261" s="329">
        <v>133</v>
      </c>
      <c r="AO261" s="329">
        <v>3985858</v>
      </c>
    </row>
    <row r="262" spans="1:41" ht="15.75">
      <c r="A262" s="167">
        <v>257</v>
      </c>
      <c r="B262" s="79" t="s">
        <v>161</v>
      </c>
      <c r="C262" s="452">
        <v>100015136</v>
      </c>
      <c r="D262" s="458">
        <v>5365</v>
      </c>
      <c r="E262" s="329">
        <v>33</v>
      </c>
      <c r="F262" s="329">
        <v>0</v>
      </c>
      <c r="G262" s="329">
        <v>0</v>
      </c>
      <c r="H262" s="329">
        <v>33</v>
      </c>
      <c r="I262" s="329">
        <v>0</v>
      </c>
      <c r="J262" s="329">
        <v>0</v>
      </c>
      <c r="K262" s="333">
        <v>0</v>
      </c>
      <c r="L262" s="333"/>
      <c r="M262" s="208"/>
      <c r="N262" s="401">
        <v>100015136</v>
      </c>
      <c r="O262" s="329">
        <v>0</v>
      </c>
      <c r="P262" s="329">
        <v>0</v>
      </c>
      <c r="Q262" s="329">
        <v>33</v>
      </c>
      <c r="R262" s="329">
        <v>33</v>
      </c>
      <c r="S262" s="333">
        <v>1659296</v>
      </c>
      <c r="T262" s="3">
        <v>0.35</v>
      </c>
      <c r="U262" s="165">
        <f>VLOOKUP(N262,'[2]154'!$C$9:$T$554,18,0)</f>
        <v>96</v>
      </c>
      <c r="V262" s="401">
        <v>100015136</v>
      </c>
      <c r="W262" s="406">
        <v>0</v>
      </c>
      <c r="X262" s="405">
        <v>0</v>
      </c>
      <c r="Y262" s="406">
        <v>0</v>
      </c>
      <c r="Z262" s="3"/>
      <c r="AA262" s="401">
        <v>100015136</v>
      </c>
      <c r="AB262" s="329">
        <v>0</v>
      </c>
      <c r="AC262" s="329">
        <v>0</v>
      </c>
      <c r="AD262" s="329">
        <v>33</v>
      </c>
      <c r="AE262" s="329">
        <v>33</v>
      </c>
      <c r="AF262" s="329">
        <v>26</v>
      </c>
      <c r="AG262" s="329">
        <v>668497</v>
      </c>
      <c r="AH262" s="3"/>
      <c r="AI262" s="401">
        <v>100015136</v>
      </c>
      <c r="AJ262" s="329">
        <v>0</v>
      </c>
      <c r="AK262" s="329">
        <v>0</v>
      </c>
      <c r="AL262" s="329">
        <v>33</v>
      </c>
      <c r="AM262" s="329">
        <v>33</v>
      </c>
      <c r="AN262" s="329">
        <v>26</v>
      </c>
      <c r="AO262" s="329">
        <v>990799</v>
      </c>
    </row>
    <row r="263" spans="1:41" ht="15.75">
      <c r="A263" s="167">
        <v>258</v>
      </c>
      <c r="B263" s="79" t="s">
        <v>161</v>
      </c>
      <c r="C263" s="452">
        <v>100015145</v>
      </c>
      <c r="D263" s="458">
        <v>3576</v>
      </c>
      <c r="E263" s="329">
        <v>70</v>
      </c>
      <c r="F263" s="329">
        <v>0</v>
      </c>
      <c r="G263" s="329">
        <v>34</v>
      </c>
      <c r="H263" s="329">
        <v>36</v>
      </c>
      <c r="I263" s="329">
        <v>0</v>
      </c>
      <c r="J263" s="329">
        <v>0</v>
      </c>
      <c r="K263" s="333">
        <v>0</v>
      </c>
      <c r="L263" s="333"/>
      <c r="M263" s="165"/>
      <c r="N263" s="401">
        <v>100015145</v>
      </c>
      <c r="O263" s="329">
        <v>0</v>
      </c>
      <c r="P263" s="329">
        <v>34</v>
      </c>
      <c r="Q263" s="329">
        <v>36</v>
      </c>
      <c r="R263" s="329">
        <v>70</v>
      </c>
      <c r="S263" s="333">
        <v>2773314</v>
      </c>
      <c r="T263" s="3">
        <v>0.35</v>
      </c>
      <c r="U263" s="165">
        <f>VLOOKUP(N263,'[2]154'!$C$9:$T$554,18,0)</f>
        <v>145</v>
      </c>
      <c r="V263" s="401">
        <v>100015145</v>
      </c>
      <c r="W263" s="406">
        <v>0</v>
      </c>
      <c r="X263" s="405">
        <v>0</v>
      </c>
      <c r="Y263" s="406">
        <v>0</v>
      </c>
      <c r="Z263" s="3"/>
      <c r="AA263" s="401">
        <v>100015145</v>
      </c>
      <c r="AB263" s="329">
        <v>0</v>
      </c>
      <c r="AC263" s="329">
        <v>34</v>
      </c>
      <c r="AD263" s="329">
        <v>36</v>
      </c>
      <c r="AE263" s="329">
        <v>70</v>
      </c>
      <c r="AF263" s="329">
        <v>46</v>
      </c>
      <c r="AG263" s="329">
        <v>1114470</v>
      </c>
      <c r="AH263" s="3"/>
      <c r="AI263" s="401">
        <v>100015145</v>
      </c>
      <c r="AJ263" s="329">
        <v>0</v>
      </c>
      <c r="AK263" s="329">
        <v>34</v>
      </c>
      <c r="AL263" s="329">
        <v>36</v>
      </c>
      <c r="AM263" s="329">
        <v>70</v>
      </c>
      <c r="AN263" s="329">
        <v>46</v>
      </c>
      <c r="AO263" s="329">
        <v>1658844</v>
      </c>
    </row>
    <row r="264" spans="1:41" ht="15.75">
      <c r="A264" s="167">
        <v>259</v>
      </c>
      <c r="B264" s="79" t="s">
        <v>161</v>
      </c>
      <c r="C264" s="452">
        <v>100015153</v>
      </c>
      <c r="D264" s="458">
        <v>10064</v>
      </c>
      <c r="E264" s="329">
        <v>383</v>
      </c>
      <c r="F264" s="329">
        <v>0</v>
      </c>
      <c r="G264" s="329">
        <v>347</v>
      </c>
      <c r="H264" s="329">
        <v>36</v>
      </c>
      <c r="I264" s="329">
        <v>0</v>
      </c>
      <c r="J264" s="329">
        <v>0</v>
      </c>
      <c r="K264" s="333">
        <v>0</v>
      </c>
      <c r="L264" s="333"/>
      <c r="M264" s="165"/>
      <c r="N264" s="401">
        <v>100015153</v>
      </c>
      <c r="O264" s="329">
        <v>0</v>
      </c>
      <c r="P264" s="329">
        <v>347</v>
      </c>
      <c r="Q264" s="329">
        <v>36</v>
      </c>
      <c r="R264" s="329">
        <v>383</v>
      </c>
      <c r="S264" s="333">
        <v>8611845</v>
      </c>
      <c r="T264" s="3">
        <v>0.35</v>
      </c>
      <c r="U264" s="165">
        <f>VLOOKUP(N264,'[2]154'!$C$9:$T$554,18,0)</f>
        <v>405</v>
      </c>
      <c r="V264" s="401">
        <v>100015153</v>
      </c>
      <c r="W264" s="406">
        <v>0</v>
      </c>
      <c r="X264" s="405">
        <v>0</v>
      </c>
      <c r="Y264" s="406">
        <v>0</v>
      </c>
      <c r="Z264" s="3"/>
      <c r="AA264" s="401">
        <v>100015153</v>
      </c>
      <c r="AB264" s="329">
        <v>0</v>
      </c>
      <c r="AC264" s="329">
        <v>347</v>
      </c>
      <c r="AD264" s="329">
        <v>36</v>
      </c>
      <c r="AE264" s="329">
        <v>383</v>
      </c>
      <c r="AF264" s="329">
        <v>202</v>
      </c>
      <c r="AG264" s="329">
        <v>3477875</v>
      </c>
      <c r="AH264" s="3"/>
      <c r="AI264" s="401">
        <v>100015153</v>
      </c>
      <c r="AJ264" s="329">
        <v>0</v>
      </c>
      <c r="AK264" s="329">
        <v>347</v>
      </c>
      <c r="AL264" s="329">
        <v>36</v>
      </c>
      <c r="AM264" s="329">
        <v>383</v>
      </c>
      <c r="AN264" s="329">
        <v>202</v>
      </c>
      <c r="AO264" s="329">
        <v>5133970</v>
      </c>
    </row>
    <row r="265" spans="1:41" ht="15.75">
      <c r="A265" s="167">
        <v>260</v>
      </c>
      <c r="B265" s="79" t="s">
        <v>161</v>
      </c>
      <c r="C265" s="452">
        <v>100015224</v>
      </c>
      <c r="D265" s="458">
        <v>8638</v>
      </c>
      <c r="E265" s="329">
        <v>44</v>
      </c>
      <c r="F265" s="329"/>
      <c r="G265" s="329"/>
      <c r="H265" s="329">
        <v>44</v>
      </c>
      <c r="I265" s="329">
        <v>0</v>
      </c>
      <c r="J265" s="329">
        <v>0</v>
      </c>
      <c r="K265" s="333">
        <v>0</v>
      </c>
      <c r="L265" s="333"/>
      <c r="M265" s="208"/>
      <c r="N265" s="401">
        <v>100015224</v>
      </c>
      <c r="O265" s="329">
        <v>0</v>
      </c>
      <c r="P265" s="329">
        <v>0</v>
      </c>
      <c r="Q265" s="329">
        <v>44</v>
      </c>
      <c r="R265" s="329">
        <v>44</v>
      </c>
      <c r="S265" s="333">
        <v>1531154</v>
      </c>
      <c r="T265" s="3">
        <v>0.35</v>
      </c>
      <c r="U265" s="165">
        <f>VLOOKUP(N265,'[2]154'!$C$9:$T$554,18,0)</f>
        <v>184</v>
      </c>
      <c r="V265" s="401">
        <v>100015224</v>
      </c>
      <c r="W265" s="406">
        <v>0</v>
      </c>
      <c r="X265" s="405">
        <v>0</v>
      </c>
      <c r="Y265" s="406">
        <v>0</v>
      </c>
      <c r="Z265" s="3"/>
      <c r="AA265" s="401">
        <v>100015224</v>
      </c>
      <c r="AB265" s="329">
        <v>0</v>
      </c>
      <c r="AC265" s="329">
        <v>0</v>
      </c>
      <c r="AD265" s="329">
        <v>44</v>
      </c>
      <c r="AE265" s="329">
        <v>44</v>
      </c>
      <c r="AF265" s="329">
        <v>35</v>
      </c>
      <c r="AG265" s="329">
        <v>615689</v>
      </c>
      <c r="AH265" s="3"/>
      <c r="AI265" s="401">
        <v>100015224</v>
      </c>
      <c r="AJ265" s="329">
        <v>0</v>
      </c>
      <c r="AK265" s="329">
        <v>0</v>
      </c>
      <c r="AL265" s="329">
        <v>44</v>
      </c>
      <c r="AM265" s="329">
        <v>44</v>
      </c>
      <c r="AN265" s="329">
        <v>35</v>
      </c>
      <c r="AO265" s="329">
        <v>915465</v>
      </c>
    </row>
    <row r="266" spans="1:41" ht="15.75">
      <c r="A266" s="167">
        <v>261</v>
      </c>
      <c r="B266" s="79" t="s">
        <v>161</v>
      </c>
      <c r="C266" s="452">
        <v>100015225</v>
      </c>
      <c r="D266" s="458">
        <v>3687</v>
      </c>
      <c r="E266" s="329">
        <v>56</v>
      </c>
      <c r="F266" s="329">
        <v>4</v>
      </c>
      <c r="G266" s="329">
        <v>34</v>
      </c>
      <c r="H266" s="329">
        <v>18</v>
      </c>
      <c r="I266" s="329">
        <v>0</v>
      </c>
      <c r="J266" s="329">
        <v>0</v>
      </c>
      <c r="K266" s="333">
        <v>0</v>
      </c>
      <c r="L266" s="333"/>
      <c r="M266" s="165"/>
      <c r="N266" s="401">
        <v>100015225</v>
      </c>
      <c r="O266" s="329">
        <v>4</v>
      </c>
      <c r="P266" s="329">
        <v>34</v>
      </c>
      <c r="Q266" s="329">
        <v>18</v>
      </c>
      <c r="R266" s="329">
        <v>56</v>
      </c>
      <c r="S266" s="333">
        <v>2712864</v>
      </c>
      <c r="T266" s="3">
        <v>0.35</v>
      </c>
      <c r="U266" s="165">
        <f>VLOOKUP(N266,'[2]154'!$C$9:$T$554,18,0)</f>
        <v>200</v>
      </c>
      <c r="V266" s="401">
        <v>100015225</v>
      </c>
      <c r="W266" s="406">
        <v>0</v>
      </c>
      <c r="X266" s="405">
        <v>0</v>
      </c>
      <c r="Y266" s="406">
        <v>0</v>
      </c>
      <c r="Z266" s="3"/>
      <c r="AA266" s="401">
        <v>100015225</v>
      </c>
      <c r="AB266" s="329">
        <v>4</v>
      </c>
      <c r="AC266" s="329">
        <v>34</v>
      </c>
      <c r="AD266" s="329">
        <v>18</v>
      </c>
      <c r="AE266" s="329">
        <v>56</v>
      </c>
      <c r="AF266" s="329">
        <v>32</v>
      </c>
      <c r="AG266" s="329">
        <v>1087892</v>
      </c>
      <c r="AH266" s="3"/>
      <c r="AI266" s="401">
        <v>100015225</v>
      </c>
      <c r="AJ266" s="329">
        <v>4</v>
      </c>
      <c r="AK266" s="329">
        <v>34</v>
      </c>
      <c r="AL266" s="329">
        <v>18</v>
      </c>
      <c r="AM266" s="329">
        <v>56</v>
      </c>
      <c r="AN266" s="329">
        <v>32</v>
      </c>
      <c r="AO266" s="329">
        <v>1624972</v>
      </c>
    </row>
    <row r="267" spans="1:41" ht="15.75">
      <c r="A267" s="167">
        <v>262</v>
      </c>
      <c r="B267" s="79" t="s">
        <v>161</v>
      </c>
      <c r="C267" s="452">
        <v>100015357</v>
      </c>
      <c r="D267" s="458">
        <v>13183</v>
      </c>
      <c r="E267" s="329">
        <v>44</v>
      </c>
      <c r="F267" s="329">
        <v>0</v>
      </c>
      <c r="G267" s="329">
        <v>0</v>
      </c>
      <c r="H267" s="329">
        <v>44</v>
      </c>
      <c r="I267" s="329">
        <v>0</v>
      </c>
      <c r="J267" s="329">
        <v>0</v>
      </c>
      <c r="K267" s="333">
        <v>0</v>
      </c>
      <c r="L267" s="333"/>
      <c r="M267" s="165"/>
      <c r="N267" s="401">
        <v>100015357</v>
      </c>
      <c r="O267" s="329">
        <v>0</v>
      </c>
      <c r="P267" s="329">
        <v>0</v>
      </c>
      <c r="Q267" s="329">
        <v>44</v>
      </c>
      <c r="R267" s="329">
        <v>44</v>
      </c>
      <c r="S267" s="333">
        <v>870067</v>
      </c>
      <c r="T267" s="3">
        <v>0.35</v>
      </c>
      <c r="U267" s="165">
        <f>VLOOKUP(N267,'[2]154'!$C$9:$T$554,18,0)</f>
        <v>329</v>
      </c>
      <c r="V267" s="401">
        <v>100015357</v>
      </c>
      <c r="W267" s="406">
        <v>0</v>
      </c>
      <c r="X267" s="405">
        <v>0</v>
      </c>
      <c r="Y267" s="406">
        <v>0</v>
      </c>
      <c r="Z267" s="3"/>
      <c r="AA267" s="401">
        <v>100015357</v>
      </c>
      <c r="AB267" s="329">
        <v>0</v>
      </c>
      <c r="AC267" s="329">
        <v>0</v>
      </c>
      <c r="AD267" s="329">
        <v>44</v>
      </c>
      <c r="AE267" s="329">
        <v>44</v>
      </c>
      <c r="AF267" s="329">
        <v>35</v>
      </c>
      <c r="AG267" s="329">
        <v>349495</v>
      </c>
      <c r="AH267" s="3"/>
      <c r="AI267" s="401">
        <v>100015357</v>
      </c>
      <c r="AJ267" s="329">
        <v>0</v>
      </c>
      <c r="AK267" s="329">
        <v>0</v>
      </c>
      <c r="AL267" s="329">
        <v>44</v>
      </c>
      <c r="AM267" s="329">
        <v>44</v>
      </c>
      <c r="AN267" s="329">
        <v>35</v>
      </c>
      <c r="AO267" s="329">
        <v>520572</v>
      </c>
    </row>
    <row r="268" spans="1:41" ht="15.75">
      <c r="A268" s="167">
        <v>263</v>
      </c>
      <c r="B268" s="79" t="s">
        <v>161</v>
      </c>
      <c r="C268" s="452">
        <v>100022985</v>
      </c>
      <c r="D268" s="458">
        <v>4854</v>
      </c>
      <c r="E268" s="329">
        <v>42</v>
      </c>
      <c r="F268" s="329">
        <v>0</v>
      </c>
      <c r="G268" s="329">
        <v>0</v>
      </c>
      <c r="H268" s="329">
        <v>42</v>
      </c>
      <c r="I268" s="329">
        <v>0</v>
      </c>
      <c r="J268" s="329">
        <v>0</v>
      </c>
      <c r="K268" s="333">
        <v>0</v>
      </c>
      <c r="L268" s="333"/>
      <c r="M268" s="208"/>
      <c r="N268" s="401">
        <v>100022985</v>
      </c>
      <c r="O268" s="329">
        <v>0</v>
      </c>
      <c r="P268" s="329">
        <v>0</v>
      </c>
      <c r="Q268" s="329">
        <v>42</v>
      </c>
      <c r="R268" s="329">
        <v>42</v>
      </c>
      <c r="S268" s="333">
        <v>2213395</v>
      </c>
      <c r="T268" s="3">
        <v>0.35</v>
      </c>
      <c r="U268" s="165">
        <f>VLOOKUP(N268,'[2]154'!$C$9:$T$554,18,0)</f>
        <v>77</v>
      </c>
      <c r="V268" s="401">
        <v>100022985</v>
      </c>
      <c r="W268" s="406">
        <v>0</v>
      </c>
      <c r="X268" s="405">
        <v>0</v>
      </c>
      <c r="Y268" s="406">
        <v>0</v>
      </c>
      <c r="Z268" s="3"/>
      <c r="AA268" s="401">
        <v>100022985</v>
      </c>
      <c r="AB268" s="329">
        <v>0</v>
      </c>
      <c r="AC268" s="329">
        <v>0</v>
      </c>
      <c r="AD268" s="329">
        <v>42</v>
      </c>
      <c r="AE268" s="329">
        <v>42</v>
      </c>
      <c r="AF268" s="329">
        <v>34</v>
      </c>
      <c r="AG268" s="329">
        <v>890709</v>
      </c>
      <c r="AH268" s="3"/>
      <c r="AI268" s="401">
        <v>100022985</v>
      </c>
      <c r="AJ268" s="329">
        <v>0</v>
      </c>
      <c r="AK268" s="329">
        <v>0</v>
      </c>
      <c r="AL268" s="329">
        <v>42</v>
      </c>
      <c r="AM268" s="329">
        <v>42</v>
      </c>
      <c r="AN268" s="329">
        <v>34</v>
      </c>
      <c r="AO268" s="329">
        <v>1322686</v>
      </c>
    </row>
    <row r="269" spans="1:41" ht="15.75">
      <c r="A269" s="167">
        <v>264</v>
      </c>
      <c r="B269" s="79" t="s">
        <v>161</v>
      </c>
      <c r="C269" s="452">
        <v>100024114</v>
      </c>
      <c r="D269" s="458">
        <v>1521</v>
      </c>
      <c r="E269" s="329">
        <v>26</v>
      </c>
      <c r="F269" s="329">
        <v>0</v>
      </c>
      <c r="G269" s="329">
        <v>0</v>
      </c>
      <c r="H269" s="329">
        <v>26</v>
      </c>
      <c r="I269" s="329">
        <v>0</v>
      </c>
      <c r="J269" s="329">
        <v>0</v>
      </c>
      <c r="K269" s="333">
        <v>0</v>
      </c>
      <c r="L269" s="333"/>
      <c r="M269" s="165"/>
      <c r="N269" s="401">
        <v>100024114</v>
      </c>
      <c r="O269" s="329">
        <v>0</v>
      </c>
      <c r="P269" s="329">
        <v>0</v>
      </c>
      <c r="Q269" s="329">
        <v>26</v>
      </c>
      <c r="R269" s="329">
        <v>26</v>
      </c>
      <c r="S269" s="333">
        <v>1074721</v>
      </c>
      <c r="T269" s="3">
        <v>3.2</v>
      </c>
      <c r="U269" s="165">
        <f>VLOOKUP(N269,'[2]154'!$C$9:$T$554,18,0)</f>
        <v>26</v>
      </c>
      <c r="V269" s="401">
        <v>100024114</v>
      </c>
      <c r="W269" s="406">
        <v>0</v>
      </c>
      <c r="X269" s="405">
        <v>0</v>
      </c>
      <c r="Y269" s="406">
        <v>0</v>
      </c>
      <c r="Z269" s="3"/>
      <c r="AA269" s="401">
        <v>100024114</v>
      </c>
      <c r="AB269" s="329">
        <v>0</v>
      </c>
      <c r="AC269" s="329">
        <v>0</v>
      </c>
      <c r="AD269" s="329">
        <v>26</v>
      </c>
      <c r="AE269" s="329">
        <v>26</v>
      </c>
      <c r="AF269" s="329">
        <v>21</v>
      </c>
      <c r="AG269" s="329">
        <v>432458</v>
      </c>
      <c r="AH269" s="3"/>
      <c r="AI269" s="401">
        <v>100024114</v>
      </c>
      <c r="AJ269" s="329">
        <v>0</v>
      </c>
      <c r="AK269" s="329">
        <v>0</v>
      </c>
      <c r="AL269" s="329">
        <v>26</v>
      </c>
      <c r="AM269" s="329">
        <v>26</v>
      </c>
      <c r="AN269" s="329">
        <v>21</v>
      </c>
      <c r="AO269" s="329">
        <v>642263</v>
      </c>
    </row>
    <row r="270" spans="1:41" s="425" customFormat="1" ht="15.75">
      <c r="A270" s="167">
        <v>265</v>
      </c>
      <c r="B270" s="79" t="s">
        <v>161</v>
      </c>
      <c r="C270" s="452">
        <v>100015151</v>
      </c>
      <c r="D270" s="462">
        <v>11648</v>
      </c>
      <c r="E270" s="427">
        <v>0</v>
      </c>
      <c r="F270" s="427">
        <v>0</v>
      </c>
      <c r="G270" s="427">
        <v>0</v>
      </c>
      <c r="H270" s="427">
        <v>0</v>
      </c>
      <c r="I270" s="427">
        <v>0</v>
      </c>
      <c r="J270" s="427">
        <v>0</v>
      </c>
      <c r="K270" s="419">
        <v>0</v>
      </c>
      <c r="L270" s="419"/>
      <c r="M270" s="422"/>
      <c r="N270" s="426">
        <v>100015151</v>
      </c>
      <c r="O270" s="427">
        <v>0</v>
      </c>
      <c r="P270" s="427">
        <v>0</v>
      </c>
      <c r="Q270" s="427">
        <v>0</v>
      </c>
      <c r="R270" s="427">
        <v>0</v>
      </c>
      <c r="S270" s="419">
        <v>0</v>
      </c>
      <c r="T270" s="425">
        <v>0.35</v>
      </c>
      <c r="U270" s="165">
        <f>VLOOKUP(N270,'[2]154'!$C$9:$T$554,18,0)</f>
        <v>203</v>
      </c>
      <c r="V270" s="426">
        <v>100015151</v>
      </c>
      <c r="W270" s="428">
        <v>0</v>
      </c>
      <c r="X270" s="424">
        <v>0</v>
      </c>
      <c r="Y270" s="428">
        <v>0</v>
      </c>
      <c r="AA270" s="426">
        <v>100015151</v>
      </c>
      <c r="AB270" s="427">
        <v>0</v>
      </c>
      <c r="AC270" s="427">
        <v>0</v>
      </c>
      <c r="AD270" s="427">
        <v>0</v>
      </c>
      <c r="AE270" s="427">
        <v>0</v>
      </c>
      <c r="AF270" s="427">
        <v>0</v>
      </c>
      <c r="AG270" s="427">
        <v>0</v>
      </c>
      <c r="AI270" s="426">
        <v>100015151</v>
      </c>
      <c r="AJ270" s="427">
        <v>0</v>
      </c>
      <c r="AK270" s="427">
        <v>0</v>
      </c>
      <c r="AL270" s="427">
        <v>0</v>
      </c>
      <c r="AM270" s="427">
        <v>0</v>
      </c>
      <c r="AN270" s="427">
        <v>0</v>
      </c>
      <c r="AO270" s="427">
        <v>0</v>
      </c>
    </row>
    <row r="271" spans="1:41" ht="15.75">
      <c r="A271" s="167">
        <v>266</v>
      </c>
      <c r="B271" s="79" t="s">
        <v>161</v>
      </c>
      <c r="C271" s="452">
        <v>100021859</v>
      </c>
      <c r="D271" s="458">
        <v>3297</v>
      </c>
      <c r="E271" s="329">
        <v>174</v>
      </c>
      <c r="F271" s="329">
        <v>0</v>
      </c>
      <c r="G271" s="329">
        <v>0</v>
      </c>
      <c r="H271" s="329">
        <v>174</v>
      </c>
      <c r="I271" s="329">
        <v>0</v>
      </c>
      <c r="J271" s="329">
        <v>0</v>
      </c>
      <c r="K271" s="333">
        <v>0</v>
      </c>
      <c r="L271" s="333"/>
      <c r="M271" s="208"/>
      <c r="N271" s="401">
        <v>100021859</v>
      </c>
      <c r="O271" s="329">
        <v>0</v>
      </c>
      <c r="P271" s="329">
        <v>0</v>
      </c>
      <c r="Q271" s="329">
        <v>174</v>
      </c>
      <c r="R271" s="329">
        <v>174</v>
      </c>
      <c r="S271" s="333">
        <v>10334839</v>
      </c>
      <c r="T271" s="3">
        <v>0.35</v>
      </c>
      <c r="U271" s="165">
        <f>VLOOKUP(N271,'[2]154'!$C$9:$T$554,18,0)</f>
        <v>250</v>
      </c>
      <c r="V271" s="401">
        <v>100021859</v>
      </c>
      <c r="W271" s="406">
        <v>0</v>
      </c>
      <c r="X271" s="405">
        <v>0</v>
      </c>
      <c r="Y271" s="406">
        <v>0</v>
      </c>
      <c r="Z271" s="3"/>
      <c r="AA271" s="401">
        <v>100021859</v>
      </c>
      <c r="AB271" s="329">
        <v>0</v>
      </c>
      <c r="AC271" s="329">
        <v>0</v>
      </c>
      <c r="AD271" s="329">
        <v>174</v>
      </c>
      <c r="AE271" s="329">
        <v>174</v>
      </c>
      <c r="AF271" s="329">
        <v>139</v>
      </c>
      <c r="AG271" s="329">
        <v>4154367</v>
      </c>
      <c r="AH271" s="3"/>
      <c r="AI271" s="401">
        <v>100021859</v>
      </c>
      <c r="AJ271" s="329">
        <v>0</v>
      </c>
      <c r="AK271" s="329">
        <v>0</v>
      </c>
      <c r="AL271" s="329">
        <v>174</v>
      </c>
      <c r="AM271" s="329">
        <v>174</v>
      </c>
      <c r="AN271" s="329">
        <v>139</v>
      </c>
      <c r="AO271" s="329">
        <v>6180472</v>
      </c>
    </row>
    <row r="272" spans="1:41" s="425" customFormat="1" ht="15.75">
      <c r="A272" s="167">
        <v>267</v>
      </c>
      <c r="B272" s="79" t="s">
        <v>100</v>
      </c>
      <c r="C272" s="452">
        <v>100021861</v>
      </c>
      <c r="D272" s="462">
        <v>2155</v>
      </c>
      <c r="E272" s="427">
        <v>0</v>
      </c>
      <c r="F272" s="427">
        <v>0</v>
      </c>
      <c r="G272" s="427">
        <v>0</v>
      </c>
      <c r="H272" s="427">
        <v>0</v>
      </c>
      <c r="I272" s="427">
        <v>0</v>
      </c>
      <c r="J272" s="427">
        <v>0</v>
      </c>
      <c r="K272" s="419">
        <v>0</v>
      </c>
      <c r="L272" s="419"/>
      <c r="M272" s="422"/>
      <c r="N272" s="426">
        <v>100021861</v>
      </c>
      <c r="O272" s="427">
        <v>0</v>
      </c>
      <c r="P272" s="427">
        <v>0</v>
      </c>
      <c r="Q272" s="427">
        <v>0</v>
      </c>
      <c r="R272" s="427">
        <v>0</v>
      </c>
      <c r="S272" s="419">
        <v>0</v>
      </c>
      <c r="T272" s="425">
        <v>0.35</v>
      </c>
      <c r="U272" s="165">
        <f>VLOOKUP(N272,'[2]154'!$C$9:$T$554,18,0)</f>
        <v>97</v>
      </c>
      <c r="V272" s="426">
        <v>100021861</v>
      </c>
      <c r="W272" s="428">
        <v>0</v>
      </c>
      <c r="X272" s="424">
        <v>0</v>
      </c>
      <c r="Y272" s="428">
        <v>0</v>
      </c>
      <c r="AA272" s="426">
        <v>100021861</v>
      </c>
      <c r="AB272" s="427">
        <v>0</v>
      </c>
      <c r="AC272" s="427">
        <v>0</v>
      </c>
      <c r="AD272" s="427">
        <v>0</v>
      </c>
      <c r="AE272" s="427">
        <v>0</v>
      </c>
      <c r="AF272" s="427">
        <v>0</v>
      </c>
      <c r="AG272" s="427">
        <v>0</v>
      </c>
      <c r="AI272" s="426">
        <v>100021861</v>
      </c>
      <c r="AJ272" s="427">
        <v>0</v>
      </c>
      <c r="AK272" s="427">
        <v>0</v>
      </c>
      <c r="AL272" s="427">
        <v>0</v>
      </c>
      <c r="AM272" s="427">
        <v>0</v>
      </c>
      <c r="AN272" s="427">
        <v>0</v>
      </c>
      <c r="AO272" s="427">
        <v>0</v>
      </c>
    </row>
    <row r="273" spans="1:41" ht="15.75">
      <c r="A273" s="167">
        <v>268</v>
      </c>
      <c r="B273" s="79" t="s">
        <v>108</v>
      </c>
      <c r="C273" s="452">
        <v>182034355</v>
      </c>
      <c r="D273" s="458">
        <v>3182</v>
      </c>
      <c r="E273" s="329">
        <v>83</v>
      </c>
      <c r="F273" s="329">
        <v>0</v>
      </c>
      <c r="G273" s="329">
        <v>11</v>
      </c>
      <c r="H273" s="329">
        <v>72</v>
      </c>
      <c r="I273" s="329">
        <v>0</v>
      </c>
      <c r="J273" s="329">
        <v>0</v>
      </c>
      <c r="K273" s="333">
        <v>0</v>
      </c>
      <c r="L273" s="333"/>
      <c r="M273" s="165"/>
      <c r="N273" s="401">
        <v>182034355</v>
      </c>
      <c r="O273" s="329">
        <v>0</v>
      </c>
      <c r="P273" s="329">
        <v>11</v>
      </c>
      <c r="Q273" s="329">
        <v>72</v>
      </c>
      <c r="R273" s="329">
        <v>83</v>
      </c>
      <c r="S273" s="333">
        <v>3247563</v>
      </c>
      <c r="T273" s="3">
        <v>0.36</v>
      </c>
      <c r="U273" s="165">
        <f>VLOOKUP(N273,'[2]154'!$C$9:$T$554,18,0)</f>
        <v>87</v>
      </c>
      <c r="V273" s="401">
        <v>182034355</v>
      </c>
      <c r="W273" s="406">
        <v>0</v>
      </c>
      <c r="X273" s="405">
        <v>0</v>
      </c>
      <c r="Y273" s="406">
        <v>0</v>
      </c>
      <c r="Z273" s="3"/>
      <c r="AA273" s="401">
        <v>182034355</v>
      </c>
      <c r="AB273" s="329">
        <v>0</v>
      </c>
      <c r="AC273" s="329">
        <v>11</v>
      </c>
      <c r="AD273" s="329">
        <v>72</v>
      </c>
      <c r="AE273" s="329">
        <v>83</v>
      </c>
      <c r="AF273" s="329">
        <v>63</v>
      </c>
      <c r="AG273" s="329">
        <v>1302313</v>
      </c>
      <c r="AH273" s="3"/>
      <c r="AI273" s="401">
        <v>182034355</v>
      </c>
      <c r="AJ273" s="329">
        <v>0</v>
      </c>
      <c r="AK273" s="329">
        <v>11</v>
      </c>
      <c r="AL273" s="329">
        <v>72</v>
      </c>
      <c r="AM273" s="329">
        <v>83</v>
      </c>
      <c r="AN273" s="329">
        <v>63</v>
      </c>
      <c r="AO273" s="329">
        <v>1945250</v>
      </c>
    </row>
    <row r="274" spans="1:41" ht="15.75">
      <c r="A274" s="167">
        <v>269</v>
      </c>
      <c r="B274" s="79" t="s">
        <v>108</v>
      </c>
      <c r="C274" s="452">
        <v>182034365</v>
      </c>
      <c r="D274" s="458">
        <v>11189</v>
      </c>
      <c r="E274" s="329">
        <v>675</v>
      </c>
      <c r="F274" s="329">
        <v>9</v>
      </c>
      <c r="G274" s="329">
        <v>194</v>
      </c>
      <c r="H274" s="329">
        <v>472</v>
      </c>
      <c r="I274" s="329">
        <v>0</v>
      </c>
      <c r="J274" s="329">
        <v>0</v>
      </c>
      <c r="K274" s="333">
        <v>0</v>
      </c>
      <c r="L274" s="333"/>
      <c r="M274" s="208"/>
      <c r="N274" s="401">
        <v>182034365</v>
      </c>
      <c r="O274" s="329">
        <v>9</v>
      </c>
      <c r="P274" s="329">
        <v>194</v>
      </c>
      <c r="Q274" s="329">
        <v>472</v>
      </c>
      <c r="R274" s="329">
        <v>675</v>
      </c>
      <c r="S274" s="333">
        <v>36121756</v>
      </c>
      <c r="T274" s="3">
        <v>0.35</v>
      </c>
      <c r="U274" s="165">
        <f>VLOOKUP(N274,'[2]154'!$C$9:$T$554,18,0)</f>
        <v>676</v>
      </c>
      <c r="V274" s="401">
        <v>182034365</v>
      </c>
      <c r="W274" s="406">
        <v>0</v>
      </c>
      <c r="X274" s="405">
        <v>0</v>
      </c>
      <c r="Y274" s="406">
        <v>0</v>
      </c>
      <c r="Z274" s="3"/>
      <c r="AA274" s="401">
        <v>182034365</v>
      </c>
      <c r="AB274" s="329">
        <v>9</v>
      </c>
      <c r="AC274" s="329">
        <v>194</v>
      </c>
      <c r="AD274" s="329">
        <v>472</v>
      </c>
      <c r="AE274" s="329">
        <v>675</v>
      </c>
      <c r="AF274" s="329">
        <v>476</v>
      </c>
      <c r="AG274" s="329">
        <v>14575266</v>
      </c>
      <c r="AH274" s="3"/>
      <c r="AI274" s="401">
        <v>182034365</v>
      </c>
      <c r="AJ274" s="329">
        <v>9</v>
      </c>
      <c r="AK274" s="329">
        <v>194</v>
      </c>
      <c r="AL274" s="329">
        <v>472</v>
      </c>
      <c r="AM274" s="329">
        <v>675</v>
      </c>
      <c r="AN274" s="329">
        <v>476</v>
      </c>
      <c r="AO274" s="329">
        <v>21546490</v>
      </c>
    </row>
    <row r="275" spans="1:41" ht="15.75">
      <c r="A275" s="167">
        <v>270</v>
      </c>
      <c r="B275" s="79" t="s">
        <v>105</v>
      </c>
      <c r="C275" s="452">
        <v>463036</v>
      </c>
      <c r="D275" s="458">
        <v>3824</v>
      </c>
      <c r="E275" s="329">
        <v>430</v>
      </c>
      <c r="F275" s="329">
        <v>31</v>
      </c>
      <c r="G275" s="329">
        <v>172</v>
      </c>
      <c r="H275" s="329">
        <v>227</v>
      </c>
      <c r="I275" s="329">
        <v>0</v>
      </c>
      <c r="J275" s="329">
        <v>0</v>
      </c>
      <c r="K275" s="333">
        <v>0</v>
      </c>
      <c r="L275" s="333"/>
      <c r="M275" s="165"/>
      <c r="N275" s="401">
        <v>463036</v>
      </c>
      <c r="O275" s="329">
        <v>31</v>
      </c>
      <c r="P275" s="329">
        <v>172</v>
      </c>
      <c r="Q275" s="329">
        <v>227</v>
      </c>
      <c r="R275" s="329">
        <v>430</v>
      </c>
      <c r="S275" s="333">
        <v>11036541</v>
      </c>
      <c r="T275" s="3">
        <v>0.35</v>
      </c>
      <c r="U275" s="165">
        <f>VLOOKUP(N275,'[2]154'!$C$9:$T$554,18,0)</f>
        <v>430</v>
      </c>
      <c r="V275" s="401">
        <v>463036</v>
      </c>
      <c r="W275" s="406">
        <v>0</v>
      </c>
      <c r="X275" s="405">
        <v>0</v>
      </c>
      <c r="Y275" s="406">
        <v>0</v>
      </c>
      <c r="Z275" s="3"/>
      <c r="AA275" s="401">
        <v>463036</v>
      </c>
      <c r="AB275" s="329">
        <v>31</v>
      </c>
      <c r="AC275" s="329">
        <v>172</v>
      </c>
      <c r="AD275" s="329">
        <v>227</v>
      </c>
      <c r="AE275" s="329">
        <v>430</v>
      </c>
      <c r="AF275" s="329">
        <v>274</v>
      </c>
      <c r="AG275" s="329">
        <v>4451506</v>
      </c>
      <c r="AH275" s="3"/>
      <c r="AI275" s="401">
        <v>463036</v>
      </c>
      <c r="AJ275" s="329">
        <v>31</v>
      </c>
      <c r="AK275" s="329">
        <v>172</v>
      </c>
      <c r="AL275" s="329">
        <v>227</v>
      </c>
      <c r="AM275" s="329">
        <v>430</v>
      </c>
      <c r="AN275" s="329">
        <v>274</v>
      </c>
      <c r="AO275" s="329">
        <v>6585035</v>
      </c>
    </row>
    <row r="276" spans="1:41" ht="15.75">
      <c r="A276" s="167">
        <v>271</v>
      </c>
      <c r="B276" s="79" t="s">
        <v>105</v>
      </c>
      <c r="C276" s="452">
        <v>468543</v>
      </c>
      <c r="D276" s="458">
        <v>9520</v>
      </c>
      <c r="E276" s="329">
        <v>839</v>
      </c>
      <c r="F276" s="329">
        <v>120</v>
      </c>
      <c r="G276" s="329">
        <v>503</v>
      </c>
      <c r="H276" s="329">
        <v>216</v>
      </c>
      <c r="I276" s="329">
        <v>0</v>
      </c>
      <c r="J276" s="329">
        <v>0</v>
      </c>
      <c r="K276" s="333">
        <v>0</v>
      </c>
      <c r="L276" s="333"/>
      <c r="M276" s="165"/>
      <c r="N276" s="401">
        <v>468543</v>
      </c>
      <c r="O276" s="329">
        <v>120</v>
      </c>
      <c r="P276" s="329">
        <v>503</v>
      </c>
      <c r="Q276" s="329">
        <v>216</v>
      </c>
      <c r="R276" s="329">
        <v>839</v>
      </c>
      <c r="S276" s="333">
        <v>13862343</v>
      </c>
      <c r="T276" s="3">
        <v>0.35</v>
      </c>
      <c r="U276" s="165">
        <f>VLOOKUP(N276,'[2]154'!$C$9:$T$554,18,0)</f>
        <v>839</v>
      </c>
      <c r="V276" s="401">
        <v>468543</v>
      </c>
      <c r="W276" s="406">
        <v>0</v>
      </c>
      <c r="X276" s="405">
        <v>0</v>
      </c>
      <c r="Y276" s="406">
        <v>0</v>
      </c>
      <c r="Z276" s="3"/>
      <c r="AA276" s="401">
        <v>468543</v>
      </c>
      <c r="AB276" s="329">
        <v>120</v>
      </c>
      <c r="AC276" s="329">
        <v>503</v>
      </c>
      <c r="AD276" s="329">
        <v>216</v>
      </c>
      <c r="AE276" s="329">
        <v>839</v>
      </c>
      <c r="AF276" s="329">
        <v>448</v>
      </c>
      <c r="AG276" s="329">
        <v>5596377</v>
      </c>
      <c r="AH276" s="3"/>
      <c r="AI276" s="401">
        <v>468543</v>
      </c>
      <c r="AJ276" s="329">
        <v>120</v>
      </c>
      <c r="AK276" s="329">
        <v>503</v>
      </c>
      <c r="AL276" s="329">
        <v>216</v>
      </c>
      <c r="AM276" s="329">
        <v>839</v>
      </c>
      <c r="AN276" s="329">
        <v>448</v>
      </c>
      <c r="AO276" s="329">
        <v>8265966</v>
      </c>
    </row>
    <row r="277" spans="1:41" ht="15.75">
      <c r="A277" s="167">
        <v>272</v>
      </c>
      <c r="B277" s="79" t="s">
        <v>161</v>
      </c>
      <c r="C277" s="452">
        <v>73206</v>
      </c>
      <c r="D277" s="458">
        <v>696</v>
      </c>
      <c r="E277" s="329">
        <v>34</v>
      </c>
      <c r="F277" s="329">
        <v>0</v>
      </c>
      <c r="G277" s="329">
        <v>0</v>
      </c>
      <c r="H277" s="329">
        <v>34</v>
      </c>
      <c r="I277" s="329">
        <v>0</v>
      </c>
      <c r="J277" s="329">
        <v>0</v>
      </c>
      <c r="K277" s="333">
        <v>0</v>
      </c>
      <c r="L277" s="333"/>
      <c r="M277" s="208"/>
      <c r="N277" s="401">
        <v>73206</v>
      </c>
      <c r="O277" s="329">
        <v>0</v>
      </c>
      <c r="P277" s="329">
        <v>0</v>
      </c>
      <c r="Q277" s="329">
        <v>34</v>
      </c>
      <c r="R277" s="329">
        <v>34</v>
      </c>
      <c r="S277" s="333">
        <v>604347</v>
      </c>
      <c r="T277" s="3">
        <v>1.25</v>
      </c>
      <c r="U277" s="165">
        <f>VLOOKUP(N277,'[2]154'!$C$9:$T$554,18,0)</f>
        <v>34</v>
      </c>
      <c r="V277" s="401">
        <v>73206</v>
      </c>
      <c r="W277" s="406">
        <v>0</v>
      </c>
      <c r="X277" s="405">
        <v>0</v>
      </c>
      <c r="Y277" s="406">
        <v>0</v>
      </c>
      <c r="Z277" s="3"/>
      <c r="AA277" s="401">
        <v>73206</v>
      </c>
      <c r="AB277" s="329">
        <v>0</v>
      </c>
      <c r="AC277" s="329">
        <v>0</v>
      </c>
      <c r="AD277" s="329">
        <v>34</v>
      </c>
      <c r="AE277" s="329">
        <v>34</v>
      </c>
      <c r="AF277" s="329">
        <v>27</v>
      </c>
      <c r="AG277" s="329">
        <v>244269</v>
      </c>
      <c r="AH277" s="3"/>
      <c r="AI277" s="401">
        <v>73206</v>
      </c>
      <c r="AJ277" s="329">
        <v>0</v>
      </c>
      <c r="AK277" s="329">
        <v>0</v>
      </c>
      <c r="AL277" s="329">
        <v>34</v>
      </c>
      <c r="AM277" s="329">
        <v>34</v>
      </c>
      <c r="AN277" s="329">
        <v>27</v>
      </c>
      <c r="AO277" s="329">
        <v>360078</v>
      </c>
    </row>
    <row r="278" spans="1:41" ht="15.75">
      <c r="A278" s="167">
        <v>273</v>
      </c>
      <c r="B278" s="79" t="s">
        <v>161</v>
      </c>
      <c r="C278" s="452">
        <v>76203</v>
      </c>
      <c r="D278" s="458">
        <v>615</v>
      </c>
      <c r="E278" s="329">
        <v>22</v>
      </c>
      <c r="F278" s="329">
        <v>0</v>
      </c>
      <c r="G278" s="329">
        <v>0</v>
      </c>
      <c r="H278" s="329">
        <v>22</v>
      </c>
      <c r="I278" s="329">
        <v>0</v>
      </c>
      <c r="J278" s="329">
        <v>0</v>
      </c>
      <c r="K278" s="333">
        <v>0</v>
      </c>
      <c r="L278" s="333"/>
      <c r="M278" s="165"/>
      <c r="N278" s="401">
        <v>76203</v>
      </c>
      <c r="O278" s="329">
        <v>0</v>
      </c>
      <c r="P278" s="329">
        <v>0</v>
      </c>
      <c r="Q278" s="329">
        <v>22</v>
      </c>
      <c r="R278" s="329">
        <v>22</v>
      </c>
      <c r="S278" s="333">
        <v>398608</v>
      </c>
      <c r="T278" s="3">
        <v>0.35</v>
      </c>
      <c r="U278" s="165">
        <f>VLOOKUP(N278,'[2]154'!$C$9:$T$554,18,0)</f>
        <v>22</v>
      </c>
      <c r="V278" s="401">
        <v>76203</v>
      </c>
      <c r="W278" s="406">
        <v>0</v>
      </c>
      <c r="X278" s="405">
        <v>0</v>
      </c>
      <c r="Y278" s="406">
        <v>0</v>
      </c>
      <c r="Z278" s="3"/>
      <c r="AA278" s="401">
        <v>76203</v>
      </c>
      <c r="AB278" s="329">
        <v>0</v>
      </c>
      <c r="AC278" s="329">
        <v>0</v>
      </c>
      <c r="AD278" s="329">
        <v>22</v>
      </c>
      <c r="AE278" s="329">
        <v>22</v>
      </c>
      <c r="AF278" s="329">
        <v>18</v>
      </c>
      <c r="AG278" s="329">
        <v>161112</v>
      </c>
      <c r="AH278" s="3"/>
      <c r="AI278" s="401">
        <v>76203</v>
      </c>
      <c r="AJ278" s="329">
        <v>0</v>
      </c>
      <c r="AK278" s="329">
        <v>0</v>
      </c>
      <c r="AL278" s="329">
        <v>22</v>
      </c>
      <c r="AM278" s="329">
        <v>22</v>
      </c>
      <c r="AN278" s="329">
        <v>18</v>
      </c>
      <c r="AO278" s="329">
        <v>237496</v>
      </c>
    </row>
    <row r="279" spans="1:41" ht="15.75">
      <c r="A279" s="167">
        <v>274</v>
      </c>
      <c r="B279" s="79" t="s">
        <v>105</v>
      </c>
      <c r="C279" s="452">
        <v>457309</v>
      </c>
      <c r="D279" s="458">
        <v>36158</v>
      </c>
      <c r="E279" s="329">
        <v>9206</v>
      </c>
      <c r="F279" s="329">
        <v>0</v>
      </c>
      <c r="G279" s="329">
        <v>5210</v>
      </c>
      <c r="H279" s="329">
        <v>3996</v>
      </c>
      <c r="I279" s="329">
        <v>0</v>
      </c>
      <c r="J279" s="329">
        <v>0</v>
      </c>
      <c r="K279" s="333">
        <v>0</v>
      </c>
      <c r="L279" s="333"/>
      <c r="M279" s="165"/>
      <c r="N279" s="401">
        <v>457309</v>
      </c>
      <c r="O279" s="329">
        <v>0</v>
      </c>
      <c r="P279" s="329">
        <v>5210</v>
      </c>
      <c r="Q279" s="329">
        <v>3996</v>
      </c>
      <c r="R279" s="329">
        <v>9206</v>
      </c>
      <c r="S279" s="333">
        <v>199584803</v>
      </c>
      <c r="T279" s="3">
        <v>0.35</v>
      </c>
      <c r="U279" s="165">
        <f>VLOOKUP(N279,'[2]154'!$C$9:$T$554,18,0)</f>
        <v>9206</v>
      </c>
      <c r="V279" s="401">
        <v>457309</v>
      </c>
      <c r="W279" s="406">
        <v>0</v>
      </c>
      <c r="X279" s="405">
        <v>0</v>
      </c>
      <c r="Y279" s="406">
        <v>0</v>
      </c>
      <c r="Z279" s="3"/>
      <c r="AA279" s="401">
        <v>457309</v>
      </c>
      <c r="AB279" s="329">
        <v>0</v>
      </c>
      <c r="AC279" s="329">
        <v>5210</v>
      </c>
      <c r="AD279" s="329">
        <v>3996</v>
      </c>
      <c r="AE279" s="329">
        <v>9206</v>
      </c>
      <c r="AF279" s="329">
        <v>5802</v>
      </c>
      <c r="AG279" s="329">
        <v>76435851</v>
      </c>
      <c r="AH279" s="3"/>
      <c r="AI279" s="401">
        <v>457309</v>
      </c>
      <c r="AJ279" s="329">
        <v>0</v>
      </c>
      <c r="AK279" s="329">
        <v>5210</v>
      </c>
      <c r="AL279" s="329">
        <v>3996</v>
      </c>
      <c r="AM279" s="329">
        <v>9206</v>
      </c>
      <c r="AN279" s="329">
        <v>5802</v>
      </c>
      <c r="AO279" s="329">
        <v>123148952</v>
      </c>
    </row>
    <row r="280" spans="1:41" ht="15.75">
      <c r="A280" s="167">
        <v>275</v>
      </c>
      <c r="B280" s="79" t="s">
        <v>105</v>
      </c>
      <c r="C280" s="452">
        <v>462511</v>
      </c>
      <c r="D280" s="458">
        <v>14294</v>
      </c>
      <c r="E280" s="329">
        <v>1052</v>
      </c>
      <c r="F280" s="329">
        <v>312</v>
      </c>
      <c r="G280" s="329">
        <v>434</v>
      </c>
      <c r="H280" s="329">
        <v>306</v>
      </c>
      <c r="I280" s="329">
        <v>0</v>
      </c>
      <c r="J280" s="329">
        <v>0</v>
      </c>
      <c r="K280" s="333">
        <v>0</v>
      </c>
      <c r="L280" s="333"/>
      <c r="M280" s="208"/>
      <c r="N280" s="401">
        <v>462511</v>
      </c>
      <c r="O280" s="329">
        <v>312</v>
      </c>
      <c r="P280" s="329">
        <v>434</v>
      </c>
      <c r="Q280" s="329">
        <v>306</v>
      </c>
      <c r="R280" s="329">
        <v>1052</v>
      </c>
      <c r="S280" s="333">
        <v>18785567</v>
      </c>
      <c r="T280" s="3">
        <v>1.8</v>
      </c>
      <c r="U280" s="165">
        <f>VLOOKUP(N280,'[2]154'!$C$9:$T$554,18,0)</f>
        <v>1052</v>
      </c>
      <c r="V280" s="401">
        <v>462511</v>
      </c>
      <c r="W280" s="406">
        <v>0</v>
      </c>
      <c r="X280" s="405">
        <v>0</v>
      </c>
      <c r="Y280" s="406">
        <v>0</v>
      </c>
      <c r="Z280" s="3"/>
      <c r="AA280" s="401">
        <v>462511</v>
      </c>
      <c r="AB280" s="329">
        <v>312</v>
      </c>
      <c r="AC280" s="329">
        <v>434</v>
      </c>
      <c r="AD280" s="329">
        <v>306</v>
      </c>
      <c r="AE280" s="329">
        <v>1052</v>
      </c>
      <c r="AF280" s="329">
        <v>524</v>
      </c>
      <c r="AG280" s="329">
        <v>7476689</v>
      </c>
      <c r="AH280" s="3"/>
      <c r="AI280" s="401">
        <v>462511</v>
      </c>
      <c r="AJ280" s="329">
        <v>312</v>
      </c>
      <c r="AK280" s="329">
        <v>434</v>
      </c>
      <c r="AL280" s="329">
        <v>306</v>
      </c>
      <c r="AM280" s="329">
        <v>1052</v>
      </c>
      <c r="AN280" s="329">
        <v>524</v>
      </c>
      <c r="AO280" s="329">
        <v>11308878</v>
      </c>
    </row>
    <row r="281" spans="1:41" ht="15.75">
      <c r="A281" s="167">
        <v>276</v>
      </c>
      <c r="B281" s="79" t="s">
        <v>105</v>
      </c>
      <c r="C281" s="452">
        <v>462516</v>
      </c>
      <c r="D281" s="458">
        <v>33496</v>
      </c>
      <c r="E281" s="329">
        <v>1058</v>
      </c>
      <c r="F281" s="329">
        <v>0</v>
      </c>
      <c r="G281" s="329">
        <v>415</v>
      </c>
      <c r="H281" s="329">
        <v>643</v>
      </c>
      <c r="I281" s="329">
        <v>0</v>
      </c>
      <c r="J281" s="329">
        <v>771</v>
      </c>
      <c r="K281" s="333">
        <v>771</v>
      </c>
      <c r="L281" s="333"/>
      <c r="M281" s="165"/>
      <c r="N281" s="401">
        <v>462516</v>
      </c>
      <c r="O281" s="329">
        <v>0</v>
      </c>
      <c r="P281" s="329">
        <v>415</v>
      </c>
      <c r="Q281" s="329">
        <v>643</v>
      </c>
      <c r="R281" s="329">
        <v>1058</v>
      </c>
      <c r="S281" s="333">
        <v>26209206</v>
      </c>
      <c r="T281" s="3">
        <v>1.73</v>
      </c>
      <c r="U281" s="165">
        <f>VLOOKUP(N281,'[2]154'!$C$9:$T$554,18,0)</f>
        <v>1836</v>
      </c>
      <c r="V281" s="401">
        <v>462516</v>
      </c>
      <c r="W281" s="406">
        <v>771</v>
      </c>
      <c r="X281" s="405">
        <v>32524.520103761348</v>
      </c>
      <c r="Y281" s="406">
        <v>25076405</v>
      </c>
      <c r="Z281" s="3"/>
      <c r="AA281" s="401">
        <v>462516</v>
      </c>
      <c r="AB281" s="329">
        <v>0</v>
      </c>
      <c r="AC281" s="329">
        <v>415</v>
      </c>
      <c r="AD281" s="329">
        <v>643</v>
      </c>
      <c r="AE281" s="329">
        <v>1058</v>
      </c>
      <c r="AF281" s="329">
        <v>722</v>
      </c>
      <c r="AG281" s="329">
        <v>9738120</v>
      </c>
      <c r="AH281" s="3"/>
      <c r="AI281" s="401">
        <v>462516</v>
      </c>
      <c r="AJ281" s="329">
        <v>0</v>
      </c>
      <c r="AK281" s="329">
        <v>415</v>
      </c>
      <c r="AL281" s="329">
        <v>643</v>
      </c>
      <c r="AM281" s="329">
        <v>1058</v>
      </c>
      <c r="AN281" s="329">
        <v>722</v>
      </c>
      <c r="AO281" s="329">
        <v>16471086</v>
      </c>
    </row>
    <row r="282" spans="1:41" ht="15.75">
      <c r="A282" s="167">
        <v>277</v>
      </c>
      <c r="B282" s="79" t="s">
        <v>105</v>
      </c>
      <c r="C282" s="452">
        <v>464101</v>
      </c>
      <c r="D282" s="458">
        <v>14069</v>
      </c>
      <c r="E282" s="329">
        <v>1167</v>
      </c>
      <c r="F282" s="329">
        <v>87</v>
      </c>
      <c r="G282" s="329">
        <v>320</v>
      </c>
      <c r="H282" s="329">
        <v>760</v>
      </c>
      <c r="I282" s="329">
        <v>0</v>
      </c>
      <c r="J282" s="329">
        <v>147</v>
      </c>
      <c r="K282" s="333">
        <v>147</v>
      </c>
      <c r="L282" s="333"/>
      <c r="M282" s="165"/>
      <c r="N282" s="401">
        <v>464101</v>
      </c>
      <c r="O282" s="329">
        <v>87</v>
      </c>
      <c r="P282" s="329">
        <v>320</v>
      </c>
      <c r="Q282" s="329">
        <v>760</v>
      </c>
      <c r="R282" s="329">
        <v>1167</v>
      </c>
      <c r="S282" s="333">
        <v>29496608</v>
      </c>
      <c r="T282" s="3">
        <v>0.35</v>
      </c>
      <c r="U282" s="165">
        <f>VLOOKUP(N282,'[2]154'!$C$9:$T$554,18,0)</f>
        <v>1333</v>
      </c>
      <c r="V282" s="401">
        <v>464101</v>
      </c>
      <c r="W282" s="406">
        <v>147</v>
      </c>
      <c r="X282" s="405">
        <v>27048.78231292517</v>
      </c>
      <c r="Y282" s="406">
        <v>3976171</v>
      </c>
      <c r="Z282" s="3"/>
      <c r="AA282" s="401">
        <v>464101</v>
      </c>
      <c r="AB282" s="329">
        <v>87</v>
      </c>
      <c r="AC282" s="329">
        <v>320</v>
      </c>
      <c r="AD282" s="329">
        <v>760</v>
      </c>
      <c r="AE282" s="329">
        <v>1167</v>
      </c>
      <c r="AF282" s="329">
        <v>785</v>
      </c>
      <c r="AG282" s="329">
        <v>10685125</v>
      </c>
      <c r="AH282" s="3"/>
      <c r="AI282" s="401">
        <v>464101</v>
      </c>
      <c r="AJ282" s="329">
        <v>87</v>
      </c>
      <c r="AK282" s="329">
        <v>320</v>
      </c>
      <c r="AL282" s="329">
        <v>760</v>
      </c>
      <c r="AM282" s="329">
        <v>1167</v>
      </c>
      <c r="AN282" s="329">
        <v>785</v>
      </c>
      <c r="AO282" s="329">
        <v>18811483</v>
      </c>
    </row>
    <row r="283" spans="1:41" ht="15.75">
      <c r="A283" s="167">
        <v>278</v>
      </c>
      <c r="B283" s="79" t="s">
        <v>105</v>
      </c>
      <c r="C283" s="452">
        <v>469135</v>
      </c>
      <c r="D283" s="457">
        <v>4767</v>
      </c>
      <c r="E283" s="328">
        <v>303</v>
      </c>
      <c r="F283" s="328">
        <v>0</v>
      </c>
      <c r="G283" s="328">
        <v>189</v>
      </c>
      <c r="H283" s="328">
        <v>114</v>
      </c>
      <c r="I283" s="328">
        <v>0</v>
      </c>
      <c r="J283" s="328">
        <v>0</v>
      </c>
      <c r="K283" s="333">
        <v>0</v>
      </c>
      <c r="L283" s="333"/>
      <c r="N283" s="402">
        <v>469135</v>
      </c>
      <c r="O283" s="328">
        <v>0</v>
      </c>
      <c r="P283" s="328">
        <v>189</v>
      </c>
      <c r="Q283" s="328">
        <v>114</v>
      </c>
      <c r="R283" s="328">
        <v>303</v>
      </c>
      <c r="S283" s="333">
        <v>7932695</v>
      </c>
      <c r="T283" s="4">
        <v>0.35</v>
      </c>
      <c r="U283" s="165">
        <f>VLOOKUP(N283,'[2]154'!$C$9:$T$554,18,0)</f>
        <v>303</v>
      </c>
      <c r="V283" s="402">
        <v>469135</v>
      </c>
      <c r="W283" s="407">
        <v>0</v>
      </c>
      <c r="X283" s="405">
        <v>0</v>
      </c>
      <c r="Y283" s="407">
        <v>0</v>
      </c>
      <c r="AA283" s="402">
        <v>469135</v>
      </c>
      <c r="AB283" s="328">
        <v>0</v>
      </c>
      <c r="AC283" s="328">
        <v>189</v>
      </c>
      <c r="AD283" s="328">
        <v>114</v>
      </c>
      <c r="AE283" s="328">
        <v>303</v>
      </c>
      <c r="AF283" s="328">
        <v>186</v>
      </c>
      <c r="AG283" s="328">
        <v>2865668</v>
      </c>
      <c r="AI283" s="402">
        <v>469135</v>
      </c>
      <c r="AJ283" s="328">
        <v>0</v>
      </c>
      <c r="AK283" s="328">
        <v>189</v>
      </c>
      <c r="AL283" s="328">
        <v>114</v>
      </c>
      <c r="AM283" s="328">
        <v>303</v>
      </c>
      <c r="AN283" s="328">
        <v>186</v>
      </c>
      <c r="AO283" s="328">
        <v>5067027</v>
      </c>
    </row>
    <row r="284" spans="1:41" ht="15.75">
      <c r="A284" s="167">
        <v>279</v>
      </c>
      <c r="B284" s="79" t="s">
        <v>105</v>
      </c>
      <c r="C284" s="452">
        <v>469615</v>
      </c>
      <c r="D284" s="457">
        <v>13917</v>
      </c>
      <c r="E284" s="328">
        <v>497</v>
      </c>
      <c r="F284" s="328">
        <v>0</v>
      </c>
      <c r="G284" s="328">
        <v>44</v>
      </c>
      <c r="H284" s="328">
        <v>453</v>
      </c>
      <c r="I284" s="328">
        <v>0</v>
      </c>
      <c r="J284" s="328">
        <v>0</v>
      </c>
      <c r="K284" s="333">
        <v>0</v>
      </c>
      <c r="L284" s="333"/>
      <c r="N284" s="402">
        <v>469615</v>
      </c>
      <c r="O284" s="328">
        <v>0</v>
      </c>
      <c r="P284" s="328">
        <v>44</v>
      </c>
      <c r="Q284" s="328">
        <v>453</v>
      </c>
      <c r="R284" s="328">
        <v>497</v>
      </c>
      <c r="S284" s="333">
        <v>11064472</v>
      </c>
      <c r="T284" s="4">
        <v>0.35</v>
      </c>
      <c r="U284" s="165">
        <f>VLOOKUP(N284,'[2]154'!$C$9:$T$554,18,0)</f>
        <v>497</v>
      </c>
      <c r="V284" s="402">
        <v>469615</v>
      </c>
      <c r="W284" s="407">
        <v>0</v>
      </c>
      <c r="X284" s="405">
        <v>0</v>
      </c>
      <c r="Y284" s="407">
        <v>0</v>
      </c>
      <c r="AA284" s="402">
        <v>469615</v>
      </c>
      <c r="AB284" s="328">
        <v>0</v>
      </c>
      <c r="AC284" s="328">
        <v>44</v>
      </c>
      <c r="AD284" s="328">
        <v>453</v>
      </c>
      <c r="AE284" s="328">
        <v>497</v>
      </c>
      <c r="AF284" s="328">
        <v>384</v>
      </c>
      <c r="AG284" s="328">
        <v>4174205</v>
      </c>
      <c r="AI284" s="402">
        <v>469615</v>
      </c>
      <c r="AJ284" s="328">
        <v>0</v>
      </c>
      <c r="AK284" s="328">
        <v>44</v>
      </c>
      <c r="AL284" s="328">
        <v>453</v>
      </c>
      <c r="AM284" s="328">
        <v>497</v>
      </c>
      <c r="AN284" s="328">
        <v>384</v>
      </c>
      <c r="AO284" s="328">
        <v>6890267</v>
      </c>
    </row>
    <row r="285" spans="1:41" ht="15.75">
      <c r="A285" s="167">
        <v>280</v>
      </c>
      <c r="B285" s="79" t="s">
        <v>105</v>
      </c>
      <c r="C285" s="452">
        <v>471355</v>
      </c>
      <c r="D285" s="457">
        <v>11358</v>
      </c>
      <c r="E285" s="328">
        <v>340</v>
      </c>
      <c r="F285" s="328">
        <v>0</v>
      </c>
      <c r="G285" s="328">
        <v>0</v>
      </c>
      <c r="H285" s="328">
        <v>340</v>
      </c>
      <c r="I285" s="328">
        <v>0</v>
      </c>
      <c r="J285" s="328">
        <v>0</v>
      </c>
      <c r="K285" s="333">
        <v>0</v>
      </c>
      <c r="L285" s="333"/>
      <c r="N285" s="402">
        <v>471355</v>
      </c>
      <c r="O285" s="328">
        <v>0</v>
      </c>
      <c r="P285" s="328">
        <v>0</v>
      </c>
      <c r="Q285" s="328">
        <v>340</v>
      </c>
      <c r="R285" s="328">
        <v>340</v>
      </c>
      <c r="S285" s="333">
        <v>8105275</v>
      </c>
      <c r="T285" s="4">
        <v>0.35</v>
      </c>
      <c r="U285" s="165">
        <f>VLOOKUP(N285,'[2]154'!$C$9:$T$554,18,0)</f>
        <v>340</v>
      </c>
      <c r="V285" s="402">
        <v>471355</v>
      </c>
      <c r="W285" s="407">
        <v>0</v>
      </c>
      <c r="X285" s="405">
        <v>0</v>
      </c>
      <c r="Y285" s="407">
        <v>0</v>
      </c>
      <c r="AA285" s="402">
        <v>471355</v>
      </c>
      <c r="AB285" s="328">
        <v>0</v>
      </c>
      <c r="AC285" s="328">
        <v>0</v>
      </c>
      <c r="AD285" s="328">
        <v>340</v>
      </c>
      <c r="AE285" s="328">
        <v>340</v>
      </c>
      <c r="AF285" s="328">
        <v>272</v>
      </c>
      <c r="AG285" s="328">
        <v>3109642</v>
      </c>
      <c r="AI285" s="402">
        <v>471355</v>
      </c>
      <c r="AJ285" s="328">
        <v>0</v>
      </c>
      <c r="AK285" s="328">
        <v>0</v>
      </c>
      <c r="AL285" s="328">
        <v>340</v>
      </c>
      <c r="AM285" s="328">
        <v>340</v>
      </c>
      <c r="AN285" s="328">
        <v>272</v>
      </c>
      <c r="AO285" s="328">
        <v>4995633</v>
      </c>
    </row>
    <row r="286" spans="1:41" ht="15.75">
      <c r="A286" s="167">
        <v>281</v>
      </c>
      <c r="B286" s="79" t="s">
        <v>161</v>
      </c>
      <c r="C286" s="452">
        <v>100014854</v>
      </c>
      <c r="D286" s="457">
        <v>9463</v>
      </c>
      <c r="E286" s="328">
        <v>0</v>
      </c>
      <c r="F286" s="328">
        <v>0</v>
      </c>
      <c r="G286" s="328">
        <v>0</v>
      </c>
      <c r="H286" s="328">
        <v>0</v>
      </c>
      <c r="I286" s="328">
        <v>0</v>
      </c>
      <c r="J286" s="328">
        <v>0</v>
      </c>
      <c r="K286" s="333">
        <v>0</v>
      </c>
      <c r="L286" s="333"/>
      <c r="N286" s="402">
        <v>100014854</v>
      </c>
      <c r="O286" s="328">
        <v>0</v>
      </c>
      <c r="P286" s="328">
        <v>0</v>
      </c>
      <c r="Q286" s="328">
        <v>0</v>
      </c>
      <c r="R286" s="328">
        <v>0</v>
      </c>
      <c r="S286" s="333">
        <v>0</v>
      </c>
      <c r="T286" s="4">
        <v>0.35</v>
      </c>
      <c r="U286" s="165">
        <f>VLOOKUP(N286,'[2]154'!$C$9:$T$554,18,0)</f>
        <v>258</v>
      </c>
      <c r="V286" s="402">
        <v>100014854</v>
      </c>
      <c r="W286" s="407">
        <v>0</v>
      </c>
      <c r="X286" s="405">
        <v>0</v>
      </c>
      <c r="Y286" s="407">
        <v>0</v>
      </c>
      <c r="AA286" s="402">
        <v>100014854</v>
      </c>
      <c r="AB286" s="328">
        <v>0</v>
      </c>
      <c r="AC286" s="328">
        <v>0</v>
      </c>
      <c r="AD286" s="328">
        <v>0</v>
      </c>
      <c r="AE286" s="328">
        <v>0</v>
      </c>
      <c r="AF286" s="328">
        <v>0</v>
      </c>
      <c r="AG286" s="328">
        <v>0</v>
      </c>
      <c r="AI286" s="402">
        <v>100014854</v>
      </c>
      <c r="AJ286" s="328">
        <v>0</v>
      </c>
      <c r="AK286" s="328">
        <v>0</v>
      </c>
      <c r="AL286" s="328">
        <v>0</v>
      </c>
      <c r="AM286" s="328">
        <v>0</v>
      </c>
      <c r="AN286" s="328">
        <v>0</v>
      </c>
      <c r="AO286" s="328">
        <v>0</v>
      </c>
    </row>
    <row r="287" spans="1:41" ht="15.75">
      <c r="A287" s="167">
        <v>282</v>
      </c>
      <c r="B287" s="79" t="s">
        <v>161</v>
      </c>
      <c r="C287" s="452">
        <v>100014856</v>
      </c>
      <c r="D287" s="457">
        <v>6666</v>
      </c>
      <c r="E287" s="328">
        <v>0</v>
      </c>
      <c r="F287" s="328">
        <v>0</v>
      </c>
      <c r="G287" s="328">
        <v>0</v>
      </c>
      <c r="H287" s="328">
        <v>0</v>
      </c>
      <c r="I287" s="328">
        <v>0</v>
      </c>
      <c r="J287" s="328">
        <v>0</v>
      </c>
      <c r="K287" s="333">
        <v>0</v>
      </c>
      <c r="L287" s="333"/>
      <c r="N287" s="402">
        <v>100014856</v>
      </c>
      <c r="O287" s="328">
        <v>0</v>
      </c>
      <c r="P287" s="328">
        <v>0</v>
      </c>
      <c r="Q287" s="328">
        <v>0</v>
      </c>
      <c r="R287" s="328">
        <v>0</v>
      </c>
      <c r="S287" s="333">
        <v>0</v>
      </c>
      <c r="T287" s="4">
        <v>0.36</v>
      </c>
      <c r="U287" s="165">
        <f>VLOOKUP(N287,'[2]154'!$C$9:$T$554,18,0)</f>
        <v>110</v>
      </c>
      <c r="V287" s="402">
        <v>100014856</v>
      </c>
      <c r="W287" s="407">
        <v>0</v>
      </c>
      <c r="X287" s="405">
        <v>0</v>
      </c>
      <c r="Y287" s="407">
        <v>0</v>
      </c>
      <c r="AA287" s="402">
        <v>100014856</v>
      </c>
      <c r="AB287" s="328">
        <v>0</v>
      </c>
      <c r="AC287" s="328">
        <v>0</v>
      </c>
      <c r="AD287" s="328">
        <v>0</v>
      </c>
      <c r="AE287" s="328">
        <v>0</v>
      </c>
      <c r="AF287" s="328">
        <v>0</v>
      </c>
      <c r="AG287" s="328">
        <v>0</v>
      </c>
      <c r="AI287" s="402">
        <v>100014856</v>
      </c>
      <c r="AJ287" s="328">
        <v>0</v>
      </c>
      <c r="AK287" s="328">
        <v>0</v>
      </c>
      <c r="AL287" s="328">
        <v>0</v>
      </c>
      <c r="AM287" s="328">
        <v>0</v>
      </c>
      <c r="AN287" s="328">
        <v>0</v>
      </c>
      <c r="AO287" s="328">
        <v>0</v>
      </c>
    </row>
    <row r="288" spans="1:41" ht="15.75">
      <c r="A288" s="167">
        <v>283</v>
      </c>
      <c r="B288" s="79" t="s">
        <v>161</v>
      </c>
      <c r="C288" s="452">
        <v>100014860</v>
      </c>
      <c r="D288" s="457">
        <v>2024</v>
      </c>
      <c r="E288" s="328">
        <v>21</v>
      </c>
      <c r="F288" s="328">
        <v>0</v>
      </c>
      <c r="G288" s="328">
        <v>0</v>
      </c>
      <c r="H288" s="328">
        <v>21</v>
      </c>
      <c r="I288" s="328">
        <v>0</v>
      </c>
      <c r="J288" s="328">
        <v>0</v>
      </c>
      <c r="K288" s="333">
        <v>0</v>
      </c>
      <c r="L288" s="333"/>
      <c r="N288" s="402">
        <v>100014860</v>
      </c>
      <c r="O288" s="328">
        <v>0</v>
      </c>
      <c r="P288" s="328">
        <v>0</v>
      </c>
      <c r="Q288" s="328">
        <v>21</v>
      </c>
      <c r="R288" s="328">
        <v>21</v>
      </c>
      <c r="S288" s="333">
        <v>525389</v>
      </c>
      <c r="T288" s="4">
        <v>0.36</v>
      </c>
      <c r="U288" s="165">
        <f>VLOOKUP(N288,'[2]154'!$C$9:$T$554,18,0)</f>
        <v>51</v>
      </c>
      <c r="V288" s="402">
        <v>100014860</v>
      </c>
      <c r="W288" s="407">
        <v>0</v>
      </c>
      <c r="X288" s="405">
        <v>0</v>
      </c>
      <c r="Y288" s="407">
        <v>0</v>
      </c>
      <c r="AA288" s="402">
        <v>100014860</v>
      </c>
      <c r="AB288" s="328">
        <v>0</v>
      </c>
      <c r="AC288" s="328">
        <v>0</v>
      </c>
      <c r="AD288" s="328">
        <v>21</v>
      </c>
      <c r="AE288" s="328">
        <v>21</v>
      </c>
      <c r="AF288" s="328">
        <v>17</v>
      </c>
      <c r="AG288" s="328">
        <v>212355</v>
      </c>
      <c r="AI288" s="402">
        <v>100014860</v>
      </c>
      <c r="AJ288" s="328">
        <v>0</v>
      </c>
      <c r="AK288" s="328">
        <v>0</v>
      </c>
      <c r="AL288" s="328">
        <v>21</v>
      </c>
      <c r="AM288" s="328">
        <v>21</v>
      </c>
      <c r="AN288" s="328">
        <v>17</v>
      </c>
      <c r="AO288" s="328">
        <v>313034</v>
      </c>
    </row>
    <row r="289" spans="1:41" ht="15.75">
      <c r="A289" s="167">
        <v>284</v>
      </c>
      <c r="B289" s="79" t="s">
        <v>161</v>
      </c>
      <c r="C289" s="452">
        <v>100014861</v>
      </c>
      <c r="D289" s="457">
        <v>3242</v>
      </c>
      <c r="E289" s="328">
        <v>6</v>
      </c>
      <c r="F289" s="328">
        <v>0</v>
      </c>
      <c r="G289" s="328">
        <v>0</v>
      </c>
      <c r="H289" s="328">
        <v>6</v>
      </c>
      <c r="I289" s="328">
        <v>0</v>
      </c>
      <c r="J289" s="328">
        <v>0</v>
      </c>
      <c r="K289" s="333">
        <v>0</v>
      </c>
      <c r="L289" s="333"/>
      <c r="N289" s="402">
        <v>100014861</v>
      </c>
      <c r="O289" s="328">
        <v>0</v>
      </c>
      <c r="P289" s="328">
        <v>0</v>
      </c>
      <c r="Q289" s="328">
        <v>6</v>
      </c>
      <c r="R289" s="328">
        <v>6</v>
      </c>
      <c r="S289" s="333">
        <v>186723</v>
      </c>
      <c r="T289" s="4">
        <v>0.36</v>
      </c>
      <c r="U289" s="165">
        <f>VLOOKUP(N289,'[2]154'!$C$9:$T$554,18,0)</f>
        <v>41</v>
      </c>
      <c r="V289" s="402">
        <v>100014861</v>
      </c>
      <c r="W289" s="407">
        <v>0</v>
      </c>
      <c r="X289" s="405">
        <v>0</v>
      </c>
      <c r="Y289" s="407">
        <v>0</v>
      </c>
      <c r="AA289" s="402">
        <v>100014861</v>
      </c>
      <c r="AB289" s="328">
        <v>0</v>
      </c>
      <c r="AC289" s="328">
        <v>0</v>
      </c>
      <c r="AD289" s="328">
        <v>6</v>
      </c>
      <c r="AE289" s="328">
        <v>6</v>
      </c>
      <c r="AF289" s="328">
        <v>5</v>
      </c>
      <c r="AG289" s="328">
        <v>75471</v>
      </c>
      <c r="AI289" s="402">
        <v>100014861</v>
      </c>
      <c r="AJ289" s="328">
        <v>0</v>
      </c>
      <c r="AK289" s="328">
        <v>0</v>
      </c>
      <c r="AL289" s="328">
        <v>6</v>
      </c>
      <c r="AM289" s="328">
        <v>6</v>
      </c>
      <c r="AN289" s="328">
        <v>5</v>
      </c>
      <c r="AO289" s="328">
        <v>111252</v>
      </c>
    </row>
    <row r="290" spans="1:41" ht="15.75">
      <c r="A290" s="167">
        <v>285</v>
      </c>
      <c r="B290" s="79" t="s">
        <v>161</v>
      </c>
      <c r="C290" s="452">
        <v>100014862</v>
      </c>
      <c r="D290" s="457">
        <v>4822</v>
      </c>
      <c r="E290" s="328">
        <v>54</v>
      </c>
      <c r="F290" s="328">
        <v>0</v>
      </c>
      <c r="G290" s="328">
        <v>0</v>
      </c>
      <c r="H290" s="328">
        <v>54</v>
      </c>
      <c r="I290" s="328">
        <v>0</v>
      </c>
      <c r="J290" s="328">
        <v>0</v>
      </c>
      <c r="K290" s="333">
        <v>0</v>
      </c>
      <c r="L290" s="333"/>
      <c r="N290" s="402">
        <v>100014862</v>
      </c>
      <c r="O290" s="328">
        <v>0</v>
      </c>
      <c r="P290" s="328">
        <v>0</v>
      </c>
      <c r="Q290" s="328">
        <v>54</v>
      </c>
      <c r="R290" s="328">
        <v>54</v>
      </c>
      <c r="S290" s="333">
        <v>863335</v>
      </c>
      <c r="T290" s="4">
        <v>0.35</v>
      </c>
      <c r="U290" s="165">
        <f>VLOOKUP(N290,'[2]154'!$C$9:$T$554,18,0)</f>
        <v>298</v>
      </c>
      <c r="V290" s="402">
        <v>100014862</v>
      </c>
      <c r="W290" s="407">
        <v>0</v>
      </c>
      <c r="X290" s="405">
        <v>0</v>
      </c>
      <c r="Y290" s="407">
        <v>0</v>
      </c>
      <c r="AA290" s="402">
        <v>100014862</v>
      </c>
      <c r="AB290" s="328">
        <v>0</v>
      </c>
      <c r="AC290" s="328">
        <v>0</v>
      </c>
      <c r="AD290" s="328">
        <v>54</v>
      </c>
      <c r="AE290" s="328">
        <v>54</v>
      </c>
      <c r="AF290" s="328">
        <v>43</v>
      </c>
      <c r="AG290" s="328">
        <v>338896</v>
      </c>
      <c r="AI290" s="402">
        <v>100014862</v>
      </c>
      <c r="AJ290" s="328">
        <v>0</v>
      </c>
      <c r="AK290" s="328">
        <v>0</v>
      </c>
      <c r="AL290" s="328">
        <v>54</v>
      </c>
      <c r="AM290" s="328">
        <v>54</v>
      </c>
      <c r="AN290" s="328">
        <v>43</v>
      </c>
      <c r="AO290" s="328">
        <v>524439</v>
      </c>
    </row>
    <row r="291" spans="1:41" ht="15.75">
      <c r="A291" s="167">
        <v>286</v>
      </c>
      <c r="B291" s="79" t="s">
        <v>161</v>
      </c>
      <c r="C291" s="452">
        <v>100014863</v>
      </c>
      <c r="D291" s="457">
        <v>9776</v>
      </c>
      <c r="E291" s="328">
        <v>1656</v>
      </c>
      <c r="F291" s="328">
        <v>0</v>
      </c>
      <c r="G291" s="328">
        <v>360</v>
      </c>
      <c r="H291" s="328">
        <v>1296</v>
      </c>
      <c r="I291" s="328">
        <v>0</v>
      </c>
      <c r="J291" s="328">
        <v>0</v>
      </c>
      <c r="K291" s="333">
        <v>0</v>
      </c>
      <c r="L291" s="333"/>
      <c r="N291" s="402">
        <v>100014863</v>
      </c>
      <c r="O291" s="328">
        <v>0</v>
      </c>
      <c r="P291" s="328">
        <v>360</v>
      </c>
      <c r="Q291" s="328">
        <v>1296</v>
      </c>
      <c r="R291" s="328">
        <v>1656</v>
      </c>
      <c r="S291" s="333">
        <v>33504215</v>
      </c>
      <c r="T291" s="4">
        <v>0.35</v>
      </c>
      <c r="U291" s="165">
        <f>VLOOKUP(N291,'[2]154'!$C$9:$T$554,18,0)</f>
        <v>1656</v>
      </c>
      <c r="V291" s="402">
        <v>100014863</v>
      </c>
      <c r="W291" s="407">
        <v>0</v>
      </c>
      <c r="X291" s="405">
        <v>0</v>
      </c>
      <c r="Y291" s="407">
        <v>0</v>
      </c>
      <c r="AA291" s="402">
        <v>100014863</v>
      </c>
      <c r="AB291" s="328">
        <v>0</v>
      </c>
      <c r="AC291" s="328">
        <v>360</v>
      </c>
      <c r="AD291" s="328">
        <v>1296</v>
      </c>
      <c r="AE291" s="328">
        <v>1656</v>
      </c>
      <c r="AF291" s="328">
        <v>1217</v>
      </c>
      <c r="AG291" s="328">
        <v>11780529</v>
      </c>
      <c r="AI291" s="402">
        <v>100014863</v>
      </c>
      <c r="AJ291" s="328">
        <v>0</v>
      </c>
      <c r="AK291" s="328">
        <v>360</v>
      </c>
      <c r="AL291" s="328">
        <v>1296</v>
      </c>
      <c r="AM291" s="328">
        <v>1656</v>
      </c>
      <c r="AN291" s="328">
        <v>1217</v>
      </c>
      <c r="AO291" s="328">
        <v>21723686</v>
      </c>
    </row>
    <row r="292" spans="1:41" ht="15.75">
      <c r="A292" s="167">
        <v>287</v>
      </c>
      <c r="B292" s="79" t="s">
        <v>161</v>
      </c>
      <c r="C292" s="452">
        <v>100014864</v>
      </c>
      <c r="D292" s="457">
        <v>6671</v>
      </c>
      <c r="E292" s="328">
        <v>44</v>
      </c>
      <c r="F292" s="328">
        <v>0</v>
      </c>
      <c r="G292" s="328">
        <v>0</v>
      </c>
      <c r="H292" s="328">
        <v>44</v>
      </c>
      <c r="I292" s="328">
        <v>0</v>
      </c>
      <c r="J292" s="328">
        <v>0</v>
      </c>
      <c r="K292" s="333">
        <v>0</v>
      </c>
      <c r="L292" s="333"/>
      <c r="N292" s="402">
        <v>100014864</v>
      </c>
      <c r="O292" s="328">
        <v>0</v>
      </c>
      <c r="P292" s="328">
        <v>0</v>
      </c>
      <c r="Q292" s="328">
        <v>44</v>
      </c>
      <c r="R292" s="328">
        <v>44</v>
      </c>
      <c r="S292" s="333">
        <v>773092</v>
      </c>
      <c r="T292" s="4">
        <v>0.35</v>
      </c>
      <c r="U292" s="165">
        <f>VLOOKUP(N292,'[2]154'!$C$9:$T$554,18,0)</f>
        <v>145</v>
      </c>
      <c r="V292" s="402">
        <v>100014864</v>
      </c>
      <c r="W292" s="407">
        <v>0</v>
      </c>
      <c r="X292" s="405">
        <v>0</v>
      </c>
      <c r="Y292" s="407">
        <v>0</v>
      </c>
      <c r="AA292" s="402">
        <v>100014864</v>
      </c>
      <c r="AB292" s="328">
        <v>0</v>
      </c>
      <c r="AC292" s="328">
        <v>0</v>
      </c>
      <c r="AD292" s="328">
        <v>44</v>
      </c>
      <c r="AE292" s="328">
        <v>44</v>
      </c>
      <c r="AF292" s="328">
        <v>35</v>
      </c>
      <c r="AG292" s="328">
        <v>312473</v>
      </c>
      <c r="AI292" s="402">
        <v>100014864</v>
      </c>
      <c r="AJ292" s="328">
        <v>0</v>
      </c>
      <c r="AK292" s="328">
        <v>0</v>
      </c>
      <c r="AL292" s="328">
        <v>44</v>
      </c>
      <c r="AM292" s="328">
        <v>44</v>
      </c>
      <c r="AN292" s="328">
        <v>35</v>
      </c>
      <c r="AO292" s="328">
        <v>460619</v>
      </c>
    </row>
    <row r="293" spans="1:41" ht="15.75">
      <c r="A293" s="167">
        <v>288</v>
      </c>
      <c r="B293" s="79" t="s">
        <v>161</v>
      </c>
      <c r="C293" s="452">
        <v>100014869</v>
      </c>
      <c r="D293" s="457">
        <v>2665</v>
      </c>
      <c r="E293" s="328">
        <v>42</v>
      </c>
      <c r="F293" s="328">
        <v>0</v>
      </c>
      <c r="G293" s="328">
        <v>24</v>
      </c>
      <c r="H293" s="328">
        <v>18</v>
      </c>
      <c r="I293" s="328">
        <v>0</v>
      </c>
      <c r="J293" s="328">
        <v>0</v>
      </c>
      <c r="K293" s="333">
        <v>0</v>
      </c>
      <c r="L293" s="333"/>
      <c r="N293" s="402">
        <v>100014869</v>
      </c>
      <c r="O293" s="328">
        <v>0</v>
      </c>
      <c r="P293" s="328">
        <v>24</v>
      </c>
      <c r="Q293" s="328">
        <v>18</v>
      </c>
      <c r="R293" s="328">
        <v>42</v>
      </c>
      <c r="S293" s="333">
        <v>1138838</v>
      </c>
      <c r="T293" s="4">
        <v>1.96</v>
      </c>
      <c r="U293" s="165">
        <f>VLOOKUP(N293,'[2]154'!$C$9:$T$554,18,0)</f>
        <v>42</v>
      </c>
      <c r="V293" s="402">
        <v>100014869</v>
      </c>
      <c r="W293" s="407">
        <v>0</v>
      </c>
      <c r="X293" s="405">
        <v>0</v>
      </c>
      <c r="Y293" s="407">
        <v>0</v>
      </c>
      <c r="AA293" s="402">
        <v>100014869</v>
      </c>
      <c r="AB293" s="328">
        <v>0</v>
      </c>
      <c r="AC293" s="328">
        <v>24</v>
      </c>
      <c r="AD293" s="328">
        <v>18</v>
      </c>
      <c r="AE293" s="328">
        <v>42</v>
      </c>
      <c r="AF293" s="328">
        <v>26</v>
      </c>
      <c r="AG293" s="328">
        <v>460303</v>
      </c>
      <c r="AI293" s="402">
        <v>100014869</v>
      </c>
      <c r="AJ293" s="328">
        <v>0</v>
      </c>
      <c r="AK293" s="328">
        <v>24</v>
      </c>
      <c r="AL293" s="328">
        <v>18</v>
      </c>
      <c r="AM293" s="328">
        <v>42</v>
      </c>
      <c r="AN293" s="328">
        <v>26</v>
      </c>
      <c r="AO293" s="328">
        <v>678535</v>
      </c>
    </row>
    <row r="294" spans="1:41" ht="15.75">
      <c r="A294" s="167">
        <v>289</v>
      </c>
      <c r="B294" s="79" t="s">
        <v>161</v>
      </c>
      <c r="C294" s="452">
        <v>100015148</v>
      </c>
      <c r="D294" s="457">
        <v>6006</v>
      </c>
      <c r="E294" s="328">
        <v>53</v>
      </c>
      <c r="F294" s="328">
        <v>0</v>
      </c>
      <c r="G294" s="328">
        <v>0</v>
      </c>
      <c r="H294" s="328">
        <v>53</v>
      </c>
      <c r="I294" s="328">
        <v>0</v>
      </c>
      <c r="J294" s="328">
        <v>0</v>
      </c>
      <c r="K294" s="333">
        <v>0</v>
      </c>
      <c r="L294" s="333"/>
      <c r="N294" s="402">
        <v>100015148</v>
      </c>
      <c r="O294" s="328">
        <v>0</v>
      </c>
      <c r="P294" s="328">
        <v>0</v>
      </c>
      <c r="Q294" s="328">
        <v>53</v>
      </c>
      <c r="R294" s="328">
        <v>53</v>
      </c>
      <c r="S294" s="333">
        <v>1622177</v>
      </c>
      <c r="T294" s="4">
        <v>0.35</v>
      </c>
      <c r="U294" s="165">
        <f>VLOOKUP(N294,'[2]154'!$C$9:$T$554,18,0)</f>
        <v>214</v>
      </c>
      <c r="V294" s="402">
        <v>100015148</v>
      </c>
      <c r="W294" s="407">
        <v>0</v>
      </c>
      <c r="X294" s="405">
        <v>0</v>
      </c>
      <c r="Y294" s="407">
        <v>0</v>
      </c>
      <c r="AA294" s="402">
        <v>100015148</v>
      </c>
      <c r="AB294" s="328">
        <v>0</v>
      </c>
      <c r="AC294" s="328">
        <v>0</v>
      </c>
      <c r="AD294" s="328">
        <v>53</v>
      </c>
      <c r="AE294" s="328">
        <v>53</v>
      </c>
      <c r="AF294" s="328">
        <v>42</v>
      </c>
      <c r="AG294" s="328">
        <v>655662</v>
      </c>
      <c r="AI294" s="402">
        <v>100015148</v>
      </c>
      <c r="AJ294" s="328">
        <v>0</v>
      </c>
      <c r="AK294" s="328">
        <v>0</v>
      </c>
      <c r="AL294" s="328">
        <v>53</v>
      </c>
      <c r="AM294" s="328">
        <v>53</v>
      </c>
      <c r="AN294" s="328">
        <v>42</v>
      </c>
      <c r="AO294" s="328">
        <v>966515</v>
      </c>
    </row>
    <row r="295" spans="1:41" ht="15.75">
      <c r="A295" s="167">
        <v>290</v>
      </c>
      <c r="B295" s="79" t="s">
        <v>161</v>
      </c>
      <c r="C295" s="452">
        <v>100015173</v>
      </c>
      <c r="D295" s="457">
        <v>1988</v>
      </c>
      <c r="E295" s="328">
        <v>18</v>
      </c>
      <c r="F295" s="328">
        <v>0</v>
      </c>
      <c r="G295" s="328">
        <v>0</v>
      </c>
      <c r="H295" s="328">
        <v>18</v>
      </c>
      <c r="I295" s="328">
        <v>0</v>
      </c>
      <c r="J295" s="328">
        <v>0</v>
      </c>
      <c r="K295" s="333">
        <v>0</v>
      </c>
      <c r="L295" s="333"/>
      <c r="N295" s="402">
        <v>100015173</v>
      </c>
      <c r="O295" s="328">
        <v>0</v>
      </c>
      <c r="P295" s="328">
        <v>0</v>
      </c>
      <c r="Q295" s="328">
        <v>18</v>
      </c>
      <c r="R295" s="328">
        <v>18</v>
      </c>
      <c r="S295" s="333">
        <v>843868</v>
      </c>
      <c r="T295" s="4">
        <v>0.36</v>
      </c>
      <c r="U295" s="165">
        <f>VLOOKUP(N295,'[2]154'!$C$9:$T$554,18,0)</f>
        <v>137</v>
      </c>
      <c r="V295" s="402">
        <v>100015173</v>
      </c>
      <c r="W295" s="407">
        <v>0</v>
      </c>
      <c r="X295" s="405">
        <v>0</v>
      </c>
      <c r="Y295" s="407">
        <v>0</v>
      </c>
      <c r="AA295" s="402">
        <v>100015173</v>
      </c>
      <c r="AB295" s="328">
        <v>0</v>
      </c>
      <c r="AC295" s="328">
        <v>0</v>
      </c>
      <c r="AD295" s="328">
        <v>18</v>
      </c>
      <c r="AE295" s="328">
        <v>18</v>
      </c>
      <c r="AF295" s="328">
        <v>14</v>
      </c>
      <c r="AG295" s="328">
        <v>341080</v>
      </c>
      <c r="AI295" s="402">
        <v>100015173</v>
      </c>
      <c r="AJ295" s="328">
        <v>0</v>
      </c>
      <c r="AK295" s="328">
        <v>0</v>
      </c>
      <c r="AL295" s="328">
        <v>18</v>
      </c>
      <c r="AM295" s="328">
        <v>18</v>
      </c>
      <c r="AN295" s="328">
        <v>14</v>
      </c>
      <c r="AO295" s="328">
        <v>502788</v>
      </c>
    </row>
    <row r="296" spans="1:41" ht="15.75">
      <c r="A296" s="167">
        <v>291</v>
      </c>
      <c r="B296" s="79" t="s">
        <v>161</v>
      </c>
      <c r="C296" s="452">
        <v>100015180</v>
      </c>
      <c r="D296" s="457">
        <v>1294</v>
      </c>
      <c r="E296" s="328">
        <v>25</v>
      </c>
      <c r="F296" s="328">
        <v>0</v>
      </c>
      <c r="G296" s="328">
        <v>9</v>
      </c>
      <c r="H296" s="328">
        <v>16</v>
      </c>
      <c r="I296" s="328">
        <v>0</v>
      </c>
      <c r="J296" s="328">
        <v>0</v>
      </c>
      <c r="K296" s="333">
        <v>0</v>
      </c>
      <c r="L296" s="333"/>
      <c r="N296" s="402">
        <v>100015180</v>
      </c>
      <c r="O296" s="328">
        <v>0</v>
      </c>
      <c r="P296" s="328">
        <v>9</v>
      </c>
      <c r="Q296" s="328">
        <v>16</v>
      </c>
      <c r="R296" s="328">
        <v>25</v>
      </c>
      <c r="S296" s="333">
        <v>782666</v>
      </c>
      <c r="T296" s="4">
        <v>0.36</v>
      </c>
      <c r="U296" s="165">
        <f>VLOOKUP(N296,'[2]154'!$C$9:$T$554,18,0)</f>
        <v>25</v>
      </c>
      <c r="V296" s="402">
        <v>100015180</v>
      </c>
      <c r="W296" s="407">
        <v>0</v>
      </c>
      <c r="X296" s="405">
        <v>0</v>
      </c>
      <c r="Y296" s="407">
        <v>0</v>
      </c>
      <c r="AA296" s="402">
        <v>100015180</v>
      </c>
      <c r="AB296" s="328">
        <v>0</v>
      </c>
      <c r="AC296" s="328">
        <v>9</v>
      </c>
      <c r="AD296" s="328">
        <v>16</v>
      </c>
      <c r="AE296" s="328">
        <v>25</v>
      </c>
      <c r="AF296" s="328">
        <v>17</v>
      </c>
      <c r="AG296" s="328">
        <v>316343</v>
      </c>
      <c r="AI296" s="402">
        <v>100015180</v>
      </c>
      <c r="AJ296" s="328">
        <v>0</v>
      </c>
      <c r="AK296" s="328">
        <v>9</v>
      </c>
      <c r="AL296" s="328">
        <v>16</v>
      </c>
      <c r="AM296" s="328">
        <v>25</v>
      </c>
      <c r="AN296" s="328">
        <v>17</v>
      </c>
      <c r="AO296" s="328">
        <v>466323</v>
      </c>
    </row>
    <row r="297" spans="1:41" ht="15.75">
      <c r="A297" s="167">
        <v>292</v>
      </c>
      <c r="B297" s="79" t="s">
        <v>161</v>
      </c>
      <c r="C297" s="452">
        <v>100015249</v>
      </c>
      <c r="D297" s="457">
        <v>10009</v>
      </c>
      <c r="E297" s="328">
        <v>62</v>
      </c>
      <c r="F297" s="328">
        <v>0</v>
      </c>
      <c r="G297" s="328">
        <v>22</v>
      </c>
      <c r="H297" s="328">
        <v>40</v>
      </c>
      <c r="I297" s="328">
        <v>0</v>
      </c>
      <c r="J297" s="328">
        <v>0</v>
      </c>
      <c r="K297" s="333">
        <v>0</v>
      </c>
      <c r="L297" s="333"/>
      <c r="N297" s="402">
        <v>100015249</v>
      </c>
      <c r="O297" s="328">
        <v>0</v>
      </c>
      <c r="P297" s="328">
        <v>22</v>
      </c>
      <c r="Q297" s="328">
        <v>40</v>
      </c>
      <c r="R297" s="328">
        <v>62</v>
      </c>
      <c r="S297" s="333">
        <v>1638687</v>
      </c>
      <c r="T297" s="4">
        <v>1.93</v>
      </c>
      <c r="U297" s="165">
        <f>VLOOKUP(N297,'[2]154'!$C$9:$T$554,18,0)</f>
        <v>62</v>
      </c>
      <c r="V297" s="402">
        <v>100015249</v>
      </c>
      <c r="W297" s="407">
        <v>0</v>
      </c>
      <c r="X297" s="405">
        <v>0</v>
      </c>
      <c r="Y297" s="407">
        <v>0</v>
      </c>
      <c r="AA297" s="402">
        <v>100015249</v>
      </c>
      <c r="AB297" s="328">
        <v>0</v>
      </c>
      <c r="AC297" s="328">
        <v>22</v>
      </c>
      <c r="AD297" s="328">
        <v>40</v>
      </c>
      <c r="AE297" s="328">
        <v>62</v>
      </c>
      <c r="AF297" s="328">
        <v>43</v>
      </c>
      <c r="AG297" s="328">
        <v>621250</v>
      </c>
      <c r="AI297" s="402">
        <v>100015249</v>
      </c>
      <c r="AJ297" s="328">
        <v>0</v>
      </c>
      <c r="AK297" s="328">
        <v>22</v>
      </c>
      <c r="AL297" s="328">
        <v>40</v>
      </c>
      <c r="AM297" s="328">
        <v>62</v>
      </c>
      <c r="AN297" s="328">
        <v>43</v>
      </c>
      <c r="AO297" s="328">
        <v>1017437</v>
      </c>
    </row>
    <row r="298" spans="1:41" ht="15.75">
      <c r="A298" s="167">
        <v>293</v>
      </c>
      <c r="B298" s="79" t="s">
        <v>161</v>
      </c>
      <c r="C298" s="452">
        <v>100015301</v>
      </c>
      <c r="D298" s="457">
        <v>13343</v>
      </c>
      <c r="E298" s="328">
        <v>443</v>
      </c>
      <c r="F298" s="328">
        <v>0</v>
      </c>
      <c r="H298" s="328">
        <v>443</v>
      </c>
      <c r="I298" s="328">
        <v>0</v>
      </c>
      <c r="J298" s="328">
        <v>0</v>
      </c>
      <c r="K298" s="333">
        <v>0</v>
      </c>
      <c r="L298" s="333"/>
      <c r="N298" s="402">
        <v>100015301</v>
      </c>
      <c r="O298" s="328">
        <v>0</v>
      </c>
      <c r="P298" s="328">
        <v>0</v>
      </c>
      <c r="Q298" s="328">
        <v>443</v>
      </c>
      <c r="R298" s="328">
        <v>443</v>
      </c>
      <c r="S298" s="333">
        <v>15396538</v>
      </c>
      <c r="T298" s="4">
        <v>0.35</v>
      </c>
      <c r="U298" s="165">
        <f>VLOOKUP(N298,'[2]154'!$C$9:$T$554,18,0)</f>
        <v>751</v>
      </c>
      <c r="V298" s="402">
        <v>100015301</v>
      </c>
      <c r="W298" s="407">
        <v>0</v>
      </c>
      <c r="X298" s="405">
        <v>0</v>
      </c>
      <c r="Y298" s="407">
        <v>0</v>
      </c>
      <c r="AA298" s="402">
        <v>100015301</v>
      </c>
      <c r="AB298" s="328">
        <v>0</v>
      </c>
      <c r="AC298" s="328">
        <v>0</v>
      </c>
      <c r="AD298" s="328">
        <v>443</v>
      </c>
      <c r="AE298" s="328">
        <v>443</v>
      </c>
      <c r="AF298" s="328">
        <v>354</v>
      </c>
      <c r="AG298" s="328">
        <v>5976979</v>
      </c>
      <c r="AI298" s="402">
        <v>100015301</v>
      </c>
      <c r="AJ298" s="328">
        <v>0</v>
      </c>
      <c r="AK298" s="328">
        <v>0</v>
      </c>
      <c r="AL298" s="328">
        <v>443</v>
      </c>
      <c r="AM298" s="328">
        <v>443</v>
      </c>
      <c r="AN298" s="328">
        <v>354</v>
      </c>
      <c r="AO298" s="328">
        <v>9419559</v>
      </c>
    </row>
    <row r="299" spans="1:41" ht="15.75">
      <c r="A299" s="167">
        <v>294</v>
      </c>
      <c r="B299" s="79" t="s">
        <v>161</v>
      </c>
      <c r="C299" s="452">
        <v>100015303</v>
      </c>
      <c r="D299" s="457">
        <v>13289</v>
      </c>
      <c r="E299" s="328">
        <v>189</v>
      </c>
      <c r="F299" s="328">
        <v>0</v>
      </c>
      <c r="G299" s="328">
        <v>0</v>
      </c>
      <c r="H299" s="328">
        <v>189</v>
      </c>
      <c r="I299" s="328">
        <v>0</v>
      </c>
      <c r="J299" s="328">
        <v>0</v>
      </c>
      <c r="K299" s="333">
        <v>0</v>
      </c>
      <c r="L299" s="333"/>
      <c r="N299" s="402">
        <v>100015303</v>
      </c>
      <c r="O299" s="328">
        <v>0</v>
      </c>
      <c r="P299" s="328">
        <v>0</v>
      </c>
      <c r="Q299" s="328">
        <v>189</v>
      </c>
      <c r="R299" s="328">
        <v>189</v>
      </c>
      <c r="S299" s="333">
        <v>5442942</v>
      </c>
      <c r="T299" s="4">
        <v>0.35</v>
      </c>
      <c r="U299" s="165">
        <f>VLOOKUP(N299,'[2]154'!$C$9:$T$554,18,0)</f>
        <v>322</v>
      </c>
      <c r="V299" s="402">
        <v>100015303</v>
      </c>
      <c r="W299" s="407">
        <v>0</v>
      </c>
      <c r="X299" s="405">
        <v>0</v>
      </c>
      <c r="Y299" s="407">
        <v>0</v>
      </c>
      <c r="AA299" s="402">
        <v>100015303</v>
      </c>
      <c r="AB299" s="328">
        <v>0</v>
      </c>
      <c r="AC299" s="328">
        <v>0</v>
      </c>
      <c r="AD299" s="328">
        <v>189</v>
      </c>
      <c r="AE299" s="328">
        <v>189</v>
      </c>
      <c r="AF299" s="328">
        <v>151</v>
      </c>
      <c r="AG299" s="328">
        <v>1960968</v>
      </c>
      <c r="AI299" s="402">
        <v>100015303</v>
      </c>
      <c r="AJ299" s="328">
        <v>0</v>
      </c>
      <c r="AK299" s="328">
        <v>0</v>
      </c>
      <c r="AL299" s="328">
        <v>189</v>
      </c>
      <c r="AM299" s="328">
        <v>189</v>
      </c>
      <c r="AN299" s="328">
        <v>151</v>
      </c>
      <c r="AO299" s="328">
        <v>3481974</v>
      </c>
    </row>
    <row r="300" spans="1:41" ht="15.75">
      <c r="A300" s="167">
        <v>295</v>
      </c>
      <c r="B300" s="79" t="s">
        <v>161</v>
      </c>
      <c r="C300" s="452">
        <v>100015304</v>
      </c>
      <c r="D300" s="457">
        <v>6756</v>
      </c>
      <c r="E300" s="328">
        <v>120</v>
      </c>
      <c r="F300" s="328">
        <v>17</v>
      </c>
      <c r="G300" s="328">
        <v>80</v>
      </c>
      <c r="H300" s="328">
        <v>23</v>
      </c>
      <c r="I300" s="328">
        <v>0</v>
      </c>
      <c r="J300" s="328">
        <v>0</v>
      </c>
      <c r="K300" s="333">
        <v>0</v>
      </c>
      <c r="L300" s="333"/>
      <c r="N300" s="402">
        <v>100015304</v>
      </c>
      <c r="O300" s="328">
        <v>17</v>
      </c>
      <c r="P300" s="328">
        <v>80</v>
      </c>
      <c r="Q300" s="328">
        <v>23</v>
      </c>
      <c r="R300" s="328">
        <v>120</v>
      </c>
      <c r="S300" s="333">
        <v>2769641</v>
      </c>
      <c r="T300" s="4">
        <v>0.35</v>
      </c>
      <c r="U300" s="165">
        <f>VLOOKUP(N300,'[2]154'!$C$9:$T$554,18,0)</f>
        <v>120</v>
      </c>
      <c r="V300" s="402">
        <v>100015304</v>
      </c>
      <c r="W300" s="407">
        <v>0</v>
      </c>
      <c r="X300" s="405">
        <v>0</v>
      </c>
      <c r="Y300" s="407">
        <v>0</v>
      </c>
      <c r="AA300" s="402">
        <v>100015304</v>
      </c>
      <c r="AB300" s="328">
        <v>17</v>
      </c>
      <c r="AC300" s="328">
        <v>80</v>
      </c>
      <c r="AD300" s="328">
        <v>23</v>
      </c>
      <c r="AE300" s="328">
        <v>120</v>
      </c>
      <c r="AF300" s="328">
        <v>62</v>
      </c>
      <c r="AG300" s="328">
        <v>1119451</v>
      </c>
      <c r="AI300" s="402">
        <v>100015304</v>
      </c>
      <c r="AJ300" s="328">
        <v>17</v>
      </c>
      <c r="AK300" s="328">
        <v>80</v>
      </c>
      <c r="AL300" s="328">
        <v>23</v>
      </c>
      <c r="AM300" s="328">
        <v>120</v>
      </c>
      <c r="AN300" s="328">
        <v>62</v>
      </c>
      <c r="AO300" s="328">
        <v>1650190</v>
      </c>
    </row>
    <row r="301" spans="1:41" ht="15.75">
      <c r="A301" s="167">
        <v>296</v>
      </c>
      <c r="B301" s="79" t="s">
        <v>161</v>
      </c>
      <c r="C301" s="452">
        <v>100015356</v>
      </c>
      <c r="D301" s="457">
        <v>3285</v>
      </c>
      <c r="E301" s="328">
        <v>53</v>
      </c>
      <c r="F301" s="328">
        <v>0</v>
      </c>
      <c r="G301" s="328">
        <v>37</v>
      </c>
      <c r="H301" s="328">
        <v>16</v>
      </c>
      <c r="I301" s="328">
        <v>0</v>
      </c>
      <c r="J301" s="328">
        <v>0</v>
      </c>
      <c r="K301" s="333">
        <v>0</v>
      </c>
      <c r="L301" s="333"/>
      <c r="N301" s="402">
        <v>100015356</v>
      </c>
      <c r="O301" s="328">
        <v>0</v>
      </c>
      <c r="P301" s="328">
        <v>37</v>
      </c>
      <c r="Q301" s="328">
        <v>16</v>
      </c>
      <c r="R301" s="328">
        <v>53</v>
      </c>
      <c r="S301" s="333">
        <v>1252014</v>
      </c>
      <c r="T301" s="4">
        <v>0.35</v>
      </c>
      <c r="U301" s="165">
        <f>VLOOKUP(N301,'[2]154'!$C$9:$T$554,18,0)</f>
        <v>53</v>
      </c>
      <c r="V301" s="402">
        <v>100015356</v>
      </c>
      <c r="W301" s="407">
        <v>0</v>
      </c>
      <c r="X301" s="405">
        <v>0</v>
      </c>
      <c r="Y301" s="407">
        <v>0</v>
      </c>
      <c r="AA301" s="402">
        <v>100015356</v>
      </c>
      <c r="AB301" s="328">
        <v>0</v>
      </c>
      <c r="AC301" s="328">
        <v>37</v>
      </c>
      <c r="AD301" s="328">
        <v>16</v>
      </c>
      <c r="AE301" s="328">
        <v>53</v>
      </c>
      <c r="AF301" s="328">
        <v>31</v>
      </c>
      <c r="AG301" s="328">
        <v>474398</v>
      </c>
      <c r="AI301" s="402">
        <v>100015356</v>
      </c>
      <c r="AJ301" s="328">
        <v>0</v>
      </c>
      <c r="AK301" s="328">
        <v>37</v>
      </c>
      <c r="AL301" s="328">
        <v>16</v>
      </c>
      <c r="AM301" s="328">
        <v>53</v>
      </c>
      <c r="AN301" s="328">
        <v>31</v>
      </c>
      <c r="AO301" s="328">
        <v>777616</v>
      </c>
    </row>
    <row r="302" spans="1:41" ht="15.75">
      <c r="A302" s="167">
        <v>297</v>
      </c>
      <c r="B302" s="79" t="s">
        <v>161</v>
      </c>
      <c r="C302" s="452">
        <v>100015404</v>
      </c>
      <c r="D302" s="457">
        <v>3422</v>
      </c>
      <c r="E302" s="328">
        <v>166</v>
      </c>
      <c r="F302" s="328">
        <v>0</v>
      </c>
      <c r="G302" s="328">
        <v>105</v>
      </c>
      <c r="H302" s="328">
        <v>61</v>
      </c>
      <c r="I302" s="328">
        <v>0</v>
      </c>
      <c r="J302" s="328">
        <v>0</v>
      </c>
      <c r="K302" s="333">
        <v>0</v>
      </c>
      <c r="L302" s="333"/>
      <c r="N302" s="402">
        <v>100015404</v>
      </c>
      <c r="O302" s="328">
        <v>0</v>
      </c>
      <c r="P302" s="328">
        <v>105</v>
      </c>
      <c r="Q302" s="328">
        <v>61</v>
      </c>
      <c r="R302" s="328">
        <v>166</v>
      </c>
      <c r="S302" s="333">
        <v>4047198</v>
      </c>
      <c r="T302" s="4">
        <v>0.36</v>
      </c>
      <c r="U302" s="165">
        <f>VLOOKUP(N302,'[2]154'!$C$9:$T$554,18,0)</f>
        <v>166</v>
      </c>
      <c r="V302" s="402">
        <v>100015404</v>
      </c>
      <c r="W302" s="407">
        <v>0</v>
      </c>
      <c r="X302" s="405">
        <v>0</v>
      </c>
      <c r="Y302" s="407">
        <v>0</v>
      </c>
      <c r="AA302" s="402">
        <v>100015404</v>
      </c>
      <c r="AB302" s="328">
        <v>0</v>
      </c>
      <c r="AC302" s="328">
        <v>105</v>
      </c>
      <c r="AD302" s="328">
        <v>61</v>
      </c>
      <c r="AE302" s="328">
        <v>166</v>
      </c>
      <c r="AF302" s="328">
        <v>101</v>
      </c>
      <c r="AG302" s="328">
        <v>1493091</v>
      </c>
      <c r="AI302" s="402">
        <v>100015404</v>
      </c>
      <c r="AJ302" s="328">
        <v>0</v>
      </c>
      <c r="AK302" s="328">
        <v>105</v>
      </c>
      <c r="AL302" s="328">
        <v>61</v>
      </c>
      <c r="AM302" s="328">
        <v>166</v>
      </c>
      <c r="AN302" s="328">
        <v>101</v>
      </c>
      <c r="AO302" s="328">
        <v>2554107</v>
      </c>
    </row>
    <row r="303" spans="1:41" ht="15.75">
      <c r="A303" s="167">
        <v>298</v>
      </c>
      <c r="B303" s="79" t="s">
        <v>161</v>
      </c>
      <c r="C303" s="452">
        <v>100015437</v>
      </c>
      <c r="D303" s="457">
        <v>1736</v>
      </c>
      <c r="E303" s="328">
        <v>37</v>
      </c>
      <c r="F303" s="328">
        <v>24</v>
      </c>
      <c r="G303" s="328">
        <v>0</v>
      </c>
      <c r="H303" s="328">
        <v>13</v>
      </c>
      <c r="I303" s="328">
        <v>0</v>
      </c>
      <c r="J303" s="328">
        <v>0</v>
      </c>
      <c r="K303" s="333">
        <v>0</v>
      </c>
      <c r="L303" s="333"/>
      <c r="N303" s="402">
        <v>100015437</v>
      </c>
      <c r="O303" s="328">
        <v>24</v>
      </c>
      <c r="P303" s="328">
        <v>0</v>
      </c>
      <c r="Q303" s="328">
        <v>13</v>
      </c>
      <c r="R303" s="328">
        <v>37</v>
      </c>
      <c r="S303" s="333">
        <v>585953</v>
      </c>
      <c r="T303" s="4">
        <v>0.35</v>
      </c>
      <c r="U303" s="165">
        <f>VLOOKUP(N303,'[2]154'!$C$9:$T$554,18,0)</f>
        <v>37</v>
      </c>
      <c r="V303" s="402">
        <v>100015437</v>
      </c>
      <c r="W303" s="407">
        <v>0</v>
      </c>
      <c r="X303" s="405">
        <v>0</v>
      </c>
      <c r="Y303" s="407">
        <v>0</v>
      </c>
      <c r="AA303" s="402">
        <v>100015437</v>
      </c>
      <c r="AB303" s="328">
        <v>24</v>
      </c>
      <c r="AC303" s="328">
        <v>0</v>
      </c>
      <c r="AD303" s="328">
        <v>13</v>
      </c>
      <c r="AE303" s="328">
        <v>37</v>
      </c>
      <c r="AF303" s="328">
        <v>15</v>
      </c>
      <c r="AG303" s="328">
        <v>236834</v>
      </c>
      <c r="AI303" s="402">
        <v>100015437</v>
      </c>
      <c r="AJ303" s="328">
        <v>24</v>
      </c>
      <c r="AK303" s="328">
        <v>0</v>
      </c>
      <c r="AL303" s="328">
        <v>13</v>
      </c>
      <c r="AM303" s="328">
        <v>37</v>
      </c>
      <c r="AN303" s="328">
        <v>15</v>
      </c>
      <c r="AO303" s="328">
        <v>349119</v>
      </c>
    </row>
    <row r="304" spans="1:41" ht="15.75">
      <c r="A304" s="167">
        <v>299</v>
      </c>
      <c r="B304" s="79" t="s">
        <v>161</v>
      </c>
      <c r="C304" s="452">
        <v>100016367</v>
      </c>
      <c r="D304" s="457">
        <v>7470</v>
      </c>
      <c r="E304" s="328">
        <v>142</v>
      </c>
      <c r="F304" s="328">
        <v>0</v>
      </c>
      <c r="G304" s="328">
        <v>29</v>
      </c>
      <c r="H304" s="328">
        <v>113</v>
      </c>
      <c r="I304" s="328">
        <v>0</v>
      </c>
      <c r="J304" s="328">
        <v>0</v>
      </c>
      <c r="K304" s="333">
        <v>0</v>
      </c>
      <c r="L304" s="333"/>
      <c r="N304" s="402">
        <v>100016367</v>
      </c>
      <c r="O304" s="328">
        <v>0</v>
      </c>
      <c r="P304" s="328">
        <v>29</v>
      </c>
      <c r="Q304" s="328">
        <v>113</v>
      </c>
      <c r="R304" s="328">
        <v>142</v>
      </c>
      <c r="S304" s="333">
        <v>4637775</v>
      </c>
      <c r="T304" s="4">
        <v>0.35</v>
      </c>
      <c r="U304" s="165">
        <f>VLOOKUP(N304,'[2]154'!$C$9:$T$554,18,0)</f>
        <v>142</v>
      </c>
      <c r="V304" s="402">
        <v>100016367</v>
      </c>
      <c r="W304" s="407">
        <v>0</v>
      </c>
      <c r="X304" s="405">
        <v>0</v>
      </c>
      <c r="Y304" s="407">
        <v>0</v>
      </c>
      <c r="AA304" s="402">
        <v>100016367</v>
      </c>
      <c r="AB304" s="328">
        <v>0</v>
      </c>
      <c r="AC304" s="328">
        <v>29</v>
      </c>
      <c r="AD304" s="328">
        <v>113</v>
      </c>
      <c r="AE304" s="328">
        <v>142</v>
      </c>
      <c r="AF304" s="328">
        <v>105</v>
      </c>
      <c r="AG304" s="328">
        <v>1750871</v>
      </c>
      <c r="AI304" s="402">
        <v>100016367</v>
      </c>
      <c r="AJ304" s="328">
        <v>0</v>
      </c>
      <c r="AK304" s="328">
        <v>29</v>
      </c>
      <c r="AL304" s="328">
        <v>113</v>
      </c>
      <c r="AM304" s="328">
        <v>142</v>
      </c>
      <c r="AN304" s="328">
        <v>105</v>
      </c>
      <c r="AO304" s="328">
        <v>2886904</v>
      </c>
    </row>
    <row r="305" spans="1:41" ht="15.75">
      <c r="A305" s="167">
        <v>300</v>
      </c>
      <c r="B305" s="79" t="s">
        <v>100</v>
      </c>
      <c r="C305" s="452">
        <v>100016575</v>
      </c>
      <c r="D305" s="457">
        <v>1057</v>
      </c>
      <c r="E305" s="328">
        <v>119</v>
      </c>
      <c r="F305" s="328">
        <v>0</v>
      </c>
      <c r="G305" s="328">
        <v>6</v>
      </c>
      <c r="H305" s="328">
        <v>113</v>
      </c>
      <c r="I305" s="328">
        <v>0</v>
      </c>
      <c r="J305" s="328">
        <v>0</v>
      </c>
      <c r="K305" s="333">
        <v>0</v>
      </c>
      <c r="L305" s="333"/>
      <c r="N305" s="402">
        <v>100016575</v>
      </c>
      <c r="O305" s="328">
        <v>0</v>
      </c>
      <c r="P305" s="328">
        <v>6</v>
      </c>
      <c r="Q305" s="328">
        <v>113</v>
      </c>
      <c r="R305" s="328">
        <v>119</v>
      </c>
      <c r="S305" s="333">
        <v>7401960</v>
      </c>
      <c r="T305" s="4">
        <v>0.35</v>
      </c>
      <c r="U305" s="165">
        <f>VLOOKUP(N305,'[2]154'!$C$9:$T$554,18,0)</f>
        <v>119</v>
      </c>
      <c r="V305" s="402">
        <v>100016575</v>
      </c>
      <c r="W305" s="407">
        <v>0</v>
      </c>
      <c r="X305" s="405">
        <v>0</v>
      </c>
      <c r="Y305" s="407">
        <v>0</v>
      </c>
      <c r="AA305" s="402">
        <v>100016575</v>
      </c>
      <c r="AB305" s="328">
        <v>0</v>
      </c>
      <c r="AC305" s="328">
        <v>6</v>
      </c>
      <c r="AD305" s="328">
        <v>113</v>
      </c>
      <c r="AE305" s="328">
        <v>119</v>
      </c>
      <c r="AF305" s="328">
        <v>93</v>
      </c>
      <c r="AG305" s="328">
        <v>2881366</v>
      </c>
      <c r="AI305" s="402">
        <v>100016575</v>
      </c>
      <c r="AJ305" s="328">
        <v>0</v>
      </c>
      <c r="AK305" s="328">
        <v>6</v>
      </c>
      <c r="AL305" s="328">
        <v>113</v>
      </c>
      <c r="AM305" s="328">
        <v>119</v>
      </c>
      <c r="AN305" s="328">
        <v>93</v>
      </c>
      <c r="AO305" s="328">
        <v>4520594</v>
      </c>
    </row>
    <row r="306" spans="1:41" ht="15.75">
      <c r="A306" s="167">
        <v>301</v>
      </c>
      <c r="B306" s="79" t="s">
        <v>161</v>
      </c>
      <c r="C306" s="452">
        <v>100019839</v>
      </c>
      <c r="D306" s="457">
        <v>2214</v>
      </c>
      <c r="E306" s="328">
        <v>303</v>
      </c>
      <c r="F306" s="328">
        <v>0</v>
      </c>
      <c r="G306" s="328">
        <v>114</v>
      </c>
      <c r="H306" s="328">
        <v>189</v>
      </c>
      <c r="I306" s="328">
        <v>0</v>
      </c>
      <c r="J306" s="328">
        <v>0</v>
      </c>
      <c r="K306" s="333">
        <v>0</v>
      </c>
      <c r="L306" s="333"/>
      <c r="N306" s="402">
        <v>100019839</v>
      </c>
      <c r="O306" s="328">
        <v>0</v>
      </c>
      <c r="P306" s="328">
        <v>114</v>
      </c>
      <c r="Q306" s="328">
        <v>189</v>
      </c>
      <c r="R306" s="328">
        <v>303</v>
      </c>
      <c r="S306" s="333">
        <v>10392858</v>
      </c>
      <c r="T306" s="4">
        <v>0.35</v>
      </c>
      <c r="U306" s="165">
        <f>VLOOKUP(N306,'[2]154'!$C$9:$T$554,18,0)</f>
        <v>303</v>
      </c>
      <c r="V306" s="402">
        <v>100019839</v>
      </c>
      <c r="W306" s="407">
        <v>0</v>
      </c>
      <c r="X306" s="405">
        <v>0</v>
      </c>
      <c r="Y306" s="407">
        <v>0</v>
      </c>
      <c r="AA306" s="402">
        <v>100019839</v>
      </c>
      <c r="AB306" s="328">
        <v>0</v>
      </c>
      <c r="AC306" s="328">
        <v>114</v>
      </c>
      <c r="AD306" s="328">
        <v>189</v>
      </c>
      <c r="AE306" s="328">
        <v>303</v>
      </c>
      <c r="AF306" s="328">
        <v>208</v>
      </c>
      <c r="AG306" s="328">
        <v>3405494</v>
      </c>
      <c r="AI306" s="402">
        <v>100019839</v>
      </c>
      <c r="AJ306" s="328">
        <v>0</v>
      </c>
      <c r="AK306" s="328">
        <v>114</v>
      </c>
      <c r="AL306" s="328">
        <v>189</v>
      </c>
      <c r="AM306" s="328">
        <v>303</v>
      </c>
      <c r="AN306" s="328">
        <v>208</v>
      </c>
      <c r="AO306" s="328">
        <v>6987364</v>
      </c>
    </row>
    <row r="307" spans="1:41" ht="15.75">
      <c r="A307" s="167">
        <v>302</v>
      </c>
      <c r="B307" s="79" t="s">
        <v>100</v>
      </c>
      <c r="C307" s="452">
        <v>100021862</v>
      </c>
      <c r="D307" s="457">
        <v>798</v>
      </c>
      <c r="E307" s="328">
        <v>7</v>
      </c>
      <c r="F307" s="328">
        <v>0</v>
      </c>
      <c r="G307" s="328">
        <v>0</v>
      </c>
      <c r="H307" s="328">
        <v>7</v>
      </c>
      <c r="I307" s="328">
        <v>0</v>
      </c>
      <c r="J307" s="328">
        <v>0</v>
      </c>
      <c r="K307" s="333">
        <v>0</v>
      </c>
      <c r="L307" s="333"/>
      <c r="N307" s="402">
        <v>100021862</v>
      </c>
      <c r="O307" s="328">
        <v>0</v>
      </c>
      <c r="P307" s="328">
        <v>0</v>
      </c>
      <c r="Q307" s="328">
        <v>7</v>
      </c>
      <c r="R307" s="328">
        <v>7</v>
      </c>
      <c r="S307" s="333">
        <v>145461</v>
      </c>
      <c r="T307" s="4">
        <v>0.36</v>
      </c>
      <c r="U307" s="165">
        <f>VLOOKUP(N307,'[2]154'!$C$9:$T$554,18,0)</f>
        <v>7</v>
      </c>
      <c r="V307" s="402">
        <v>100021862</v>
      </c>
      <c r="W307" s="407">
        <v>0</v>
      </c>
      <c r="X307" s="405">
        <v>0</v>
      </c>
      <c r="Y307" s="407">
        <v>0</v>
      </c>
      <c r="AA307" s="402">
        <v>100021862</v>
      </c>
      <c r="AB307" s="328">
        <v>0</v>
      </c>
      <c r="AC307" s="328">
        <v>0</v>
      </c>
      <c r="AD307" s="328">
        <v>7</v>
      </c>
      <c r="AE307" s="328">
        <v>7</v>
      </c>
      <c r="AF307" s="328">
        <v>6</v>
      </c>
      <c r="AG307" s="328">
        <v>58794</v>
      </c>
      <c r="AI307" s="402">
        <v>100021862</v>
      </c>
      <c r="AJ307" s="328">
        <v>0</v>
      </c>
      <c r="AK307" s="328">
        <v>0</v>
      </c>
      <c r="AL307" s="328">
        <v>7</v>
      </c>
      <c r="AM307" s="328">
        <v>7</v>
      </c>
      <c r="AN307" s="328">
        <v>6</v>
      </c>
      <c r="AO307" s="328">
        <v>86667</v>
      </c>
    </row>
    <row r="308" spans="1:41" ht="15.75">
      <c r="A308" s="167">
        <v>303</v>
      </c>
      <c r="B308" s="79" t="s">
        <v>161</v>
      </c>
      <c r="C308" s="452">
        <v>100025244</v>
      </c>
      <c r="D308" s="457">
        <v>627</v>
      </c>
      <c r="E308" s="328">
        <v>12</v>
      </c>
      <c r="F308" s="328">
        <v>0</v>
      </c>
      <c r="G308" s="328">
        <v>0</v>
      </c>
      <c r="H308" s="328">
        <v>12</v>
      </c>
      <c r="I308" s="328">
        <v>0</v>
      </c>
      <c r="J308" s="328">
        <v>0</v>
      </c>
      <c r="K308" s="333">
        <v>0</v>
      </c>
      <c r="L308" s="333"/>
      <c r="N308" s="402">
        <v>100025244</v>
      </c>
      <c r="O308" s="328">
        <v>0</v>
      </c>
      <c r="P308" s="328">
        <v>0</v>
      </c>
      <c r="Q308" s="328">
        <v>12</v>
      </c>
      <c r="R308" s="328">
        <v>12</v>
      </c>
      <c r="S308" s="333">
        <v>386045</v>
      </c>
      <c r="T308" s="4">
        <v>0.36</v>
      </c>
      <c r="U308" s="165">
        <f>VLOOKUP(N308,'[2]154'!$C$9:$T$554,18,0)</f>
        <v>33</v>
      </c>
      <c r="V308" s="402">
        <v>100025244</v>
      </c>
      <c r="W308" s="407">
        <v>0</v>
      </c>
      <c r="X308" s="405">
        <v>0</v>
      </c>
      <c r="Y308" s="407">
        <v>0</v>
      </c>
      <c r="AA308" s="402">
        <v>100025244</v>
      </c>
      <c r="AB308" s="328">
        <v>0</v>
      </c>
      <c r="AC308" s="328">
        <v>0</v>
      </c>
      <c r="AD308" s="328">
        <v>12</v>
      </c>
      <c r="AE308" s="328">
        <v>12</v>
      </c>
      <c r="AF308" s="328">
        <v>10</v>
      </c>
      <c r="AG308" s="328">
        <v>110200</v>
      </c>
      <c r="AI308" s="402">
        <v>100025244</v>
      </c>
      <c r="AJ308" s="328">
        <v>0</v>
      </c>
      <c r="AK308" s="328">
        <v>0</v>
      </c>
      <c r="AL308" s="328">
        <v>12</v>
      </c>
      <c r="AM308" s="328">
        <v>12</v>
      </c>
      <c r="AN308" s="328">
        <v>10</v>
      </c>
      <c r="AO308" s="328">
        <v>275845</v>
      </c>
    </row>
    <row r="309" spans="1:41" ht="15.75">
      <c r="A309" s="167">
        <v>304</v>
      </c>
      <c r="B309" s="79" t="s">
        <v>161</v>
      </c>
      <c r="C309" s="452">
        <v>100025245</v>
      </c>
      <c r="D309" s="457">
        <v>596</v>
      </c>
      <c r="E309" s="328">
        <v>38</v>
      </c>
      <c r="F309" s="328">
        <v>22</v>
      </c>
      <c r="G309" s="328">
        <v>5</v>
      </c>
      <c r="H309" s="328">
        <v>11</v>
      </c>
      <c r="I309" s="328">
        <v>0</v>
      </c>
      <c r="J309" s="328">
        <v>0</v>
      </c>
      <c r="K309" s="333">
        <v>0</v>
      </c>
      <c r="L309" s="333"/>
      <c r="N309" s="402">
        <v>100025245</v>
      </c>
      <c r="O309" s="328">
        <v>22</v>
      </c>
      <c r="P309" s="328">
        <v>5</v>
      </c>
      <c r="Q309" s="328">
        <v>11</v>
      </c>
      <c r="R309" s="328">
        <v>38</v>
      </c>
      <c r="S309" s="333">
        <v>605884</v>
      </c>
      <c r="T309" s="4">
        <v>0.36</v>
      </c>
      <c r="U309" s="165">
        <f>VLOOKUP(N309,'[2]154'!$C$9:$T$554,18,0)</f>
        <v>38</v>
      </c>
      <c r="V309" s="402">
        <v>100025245</v>
      </c>
      <c r="W309" s="407">
        <v>0</v>
      </c>
      <c r="X309" s="405">
        <v>0</v>
      </c>
      <c r="Y309" s="407">
        <v>0</v>
      </c>
      <c r="AA309" s="402">
        <v>100025245</v>
      </c>
      <c r="AB309" s="328">
        <v>22</v>
      </c>
      <c r="AC309" s="328">
        <v>5</v>
      </c>
      <c r="AD309" s="328">
        <v>11</v>
      </c>
      <c r="AE309" s="328">
        <v>38</v>
      </c>
      <c r="AF309" s="328">
        <v>16</v>
      </c>
      <c r="AG309" s="328">
        <v>244890</v>
      </c>
      <c r="AI309" s="402">
        <v>100025245</v>
      </c>
      <c r="AJ309" s="328">
        <v>22</v>
      </c>
      <c r="AK309" s="328">
        <v>5</v>
      </c>
      <c r="AL309" s="328">
        <v>11</v>
      </c>
      <c r="AM309" s="328">
        <v>38</v>
      </c>
      <c r="AN309" s="328">
        <v>16</v>
      </c>
      <c r="AO309" s="328">
        <v>360994</v>
      </c>
    </row>
    <row r="310" spans="1:41" ht="15.75">
      <c r="A310" s="167">
        <v>305</v>
      </c>
      <c r="B310" s="79" t="s">
        <v>108</v>
      </c>
      <c r="C310" s="452">
        <v>182013373</v>
      </c>
      <c r="D310" s="457">
        <v>10358</v>
      </c>
      <c r="E310" s="328">
        <v>591</v>
      </c>
      <c r="F310" s="328">
        <v>0</v>
      </c>
      <c r="G310" s="328">
        <v>318</v>
      </c>
      <c r="H310" s="328">
        <v>273</v>
      </c>
      <c r="I310" s="328">
        <v>0</v>
      </c>
      <c r="J310" s="328">
        <v>0</v>
      </c>
      <c r="K310" s="333">
        <v>0</v>
      </c>
      <c r="L310" s="333"/>
      <c r="N310" s="402">
        <v>182013373</v>
      </c>
      <c r="O310" s="328">
        <v>0</v>
      </c>
      <c r="P310" s="328">
        <v>318</v>
      </c>
      <c r="Q310" s="328">
        <v>273</v>
      </c>
      <c r="R310" s="328">
        <v>591</v>
      </c>
      <c r="S310" s="333">
        <v>12490232</v>
      </c>
      <c r="T310" s="4">
        <v>1.26</v>
      </c>
      <c r="U310" s="165">
        <f>VLOOKUP(N310,'[2]154'!$C$9:$T$554,18,0)</f>
        <v>592</v>
      </c>
      <c r="V310" s="402">
        <v>182013373</v>
      </c>
      <c r="W310" s="407">
        <v>0</v>
      </c>
      <c r="X310" s="405">
        <v>0</v>
      </c>
      <c r="Y310" s="407">
        <v>0</v>
      </c>
      <c r="AA310" s="402">
        <v>182013373</v>
      </c>
      <c r="AB310" s="328">
        <v>0</v>
      </c>
      <c r="AC310" s="328">
        <v>318</v>
      </c>
      <c r="AD310" s="328">
        <v>273</v>
      </c>
      <c r="AE310" s="328">
        <v>591</v>
      </c>
      <c r="AF310" s="328">
        <v>377</v>
      </c>
      <c r="AG310" s="328">
        <v>3830236</v>
      </c>
      <c r="AI310" s="402">
        <v>182013373</v>
      </c>
      <c r="AJ310" s="328">
        <v>0</v>
      </c>
      <c r="AK310" s="328">
        <v>318</v>
      </c>
      <c r="AL310" s="328">
        <v>273</v>
      </c>
      <c r="AM310" s="328">
        <v>591</v>
      </c>
      <c r="AN310" s="328">
        <v>377</v>
      </c>
      <c r="AO310" s="328">
        <v>8659996</v>
      </c>
    </row>
    <row r="311" spans="1:41" ht="15.75">
      <c r="A311" s="167">
        <v>306</v>
      </c>
      <c r="B311" s="79" t="s">
        <v>108</v>
      </c>
      <c r="C311" s="452">
        <v>182013374</v>
      </c>
      <c r="D311" s="457">
        <v>7929</v>
      </c>
      <c r="E311" s="328">
        <v>406</v>
      </c>
      <c r="F311" s="328">
        <v>0</v>
      </c>
      <c r="G311" s="328">
        <v>69</v>
      </c>
      <c r="H311" s="328">
        <v>337</v>
      </c>
      <c r="I311" s="328">
        <v>0</v>
      </c>
      <c r="J311" s="328">
        <v>0</v>
      </c>
      <c r="K311" s="333">
        <v>0</v>
      </c>
      <c r="L311" s="333"/>
      <c r="N311" s="402">
        <v>182013374</v>
      </c>
      <c r="O311" s="328">
        <v>0</v>
      </c>
      <c r="P311" s="328">
        <v>69</v>
      </c>
      <c r="Q311" s="328">
        <v>337</v>
      </c>
      <c r="R311" s="328">
        <v>406</v>
      </c>
      <c r="S311" s="333">
        <v>7640432</v>
      </c>
      <c r="T311" s="4">
        <v>0.35</v>
      </c>
      <c r="U311" s="165">
        <f>VLOOKUP(N311,'[2]154'!$C$9:$T$554,18,0)</f>
        <v>407</v>
      </c>
      <c r="V311" s="402">
        <v>182013374</v>
      </c>
      <c r="W311" s="407">
        <v>0</v>
      </c>
      <c r="X311" s="405">
        <v>0</v>
      </c>
      <c r="Y311" s="407">
        <v>0</v>
      </c>
      <c r="AA311" s="402">
        <v>182013374</v>
      </c>
      <c r="AB311" s="328">
        <v>0</v>
      </c>
      <c r="AC311" s="328">
        <v>69</v>
      </c>
      <c r="AD311" s="328">
        <v>337</v>
      </c>
      <c r="AE311" s="328">
        <v>406</v>
      </c>
      <c r="AF311" s="328">
        <v>304</v>
      </c>
      <c r="AG311" s="328">
        <v>3088158</v>
      </c>
      <c r="AI311" s="402">
        <v>182013374</v>
      </c>
      <c r="AJ311" s="328">
        <v>0</v>
      </c>
      <c r="AK311" s="328">
        <v>69</v>
      </c>
      <c r="AL311" s="328">
        <v>337</v>
      </c>
      <c r="AM311" s="328">
        <v>406</v>
      </c>
      <c r="AN311" s="328">
        <v>304</v>
      </c>
      <c r="AO311" s="328">
        <v>4552274</v>
      </c>
    </row>
    <row r="312" spans="1:41" ht="15.75">
      <c r="A312" s="167">
        <v>307</v>
      </c>
      <c r="B312" s="79" t="s">
        <v>108</v>
      </c>
      <c r="C312" s="452">
        <v>182034338</v>
      </c>
      <c r="D312" s="457">
        <v>1608</v>
      </c>
      <c r="E312" s="328">
        <v>71</v>
      </c>
      <c r="F312" s="328">
        <v>0</v>
      </c>
      <c r="G312" s="328">
        <v>61</v>
      </c>
      <c r="H312" s="328">
        <v>10</v>
      </c>
      <c r="I312" s="328">
        <v>0</v>
      </c>
      <c r="J312" s="328">
        <v>0</v>
      </c>
      <c r="K312" s="333">
        <v>0</v>
      </c>
      <c r="L312" s="333"/>
      <c r="N312" s="402">
        <v>182034338</v>
      </c>
      <c r="O312" s="328">
        <v>0</v>
      </c>
      <c r="P312" s="328">
        <v>61</v>
      </c>
      <c r="Q312" s="328">
        <v>10</v>
      </c>
      <c r="R312" s="328">
        <v>71</v>
      </c>
      <c r="S312" s="333">
        <v>3992089</v>
      </c>
      <c r="T312" s="4">
        <v>0.35</v>
      </c>
      <c r="U312" s="165">
        <f>VLOOKUP(N312,'[2]154'!$C$9:$T$554,18,0)</f>
        <v>72</v>
      </c>
      <c r="V312" s="402">
        <v>182034338</v>
      </c>
      <c r="W312" s="407">
        <v>0</v>
      </c>
      <c r="X312" s="405">
        <v>0</v>
      </c>
      <c r="Y312" s="407">
        <v>0</v>
      </c>
      <c r="AA312" s="402">
        <v>182034338</v>
      </c>
      <c r="AB312" s="328">
        <v>0</v>
      </c>
      <c r="AC312" s="328">
        <v>61</v>
      </c>
      <c r="AD312" s="328">
        <v>10</v>
      </c>
      <c r="AE312" s="328">
        <v>71</v>
      </c>
      <c r="AF312" s="328">
        <v>39</v>
      </c>
      <c r="AG312" s="328">
        <v>1613548</v>
      </c>
      <c r="AI312" s="402">
        <v>182034338</v>
      </c>
      <c r="AJ312" s="328">
        <v>0</v>
      </c>
      <c r="AK312" s="328">
        <v>61</v>
      </c>
      <c r="AL312" s="328">
        <v>10</v>
      </c>
      <c r="AM312" s="328">
        <v>71</v>
      </c>
      <c r="AN312" s="328">
        <v>39</v>
      </c>
      <c r="AO312" s="328">
        <v>2378541</v>
      </c>
    </row>
    <row r="313" spans="1:41" ht="15.75">
      <c r="A313" s="167">
        <v>308</v>
      </c>
      <c r="B313" s="79" t="s">
        <v>161</v>
      </c>
      <c r="C313" s="452">
        <v>100015358</v>
      </c>
      <c r="D313" s="457">
        <v>5087</v>
      </c>
      <c r="E313" s="328">
        <v>62</v>
      </c>
      <c r="F313" s="328">
        <v>0</v>
      </c>
      <c r="G313" s="328">
        <v>26</v>
      </c>
      <c r="H313" s="328">
        <v>36</v>
      </c>
      <c r="I313" s="328">
        <v>0</v>
      </c>
      <c r="J313" s="328">
        <v>0</v>
      </c>
      <c r="K313" s="333">
        <v>0</v>
      </c>
      <c r="L313" s="333"/>
      <c r="N313" s="402">
        <v>100015358</v>
      </c>
      <c r="O313" s="328">
        <v>0</v>
      </c>
      <c r="P313" s="328">
        <v>26</v>
      </c>
      <c r="Q313" s="328">
        <v>36</v>
      </c>
      <c r="R313" s="328">
        <v>62</v>
      </c>
      <c r="S313" s="333">
        <v>1014936</v>
      </c>
      <c r="T313" s="4">
        <v>0.35</v>
      </c>
      <c r="U313" s="165">
        <f>VLOOKUP(N313,'[2]154'!$C$9:$T$554,18,0)</f>
        <v>62</v>
      </c>
      <c r="V313" s="402">
        <v>100015358</v>
      </c>
      <c r="W313" s="407">
        <v>0</v>
      </c>
      <c r="X313" s="405">
        <v>0</v>
      </c>
      <c r="Y313" s="407">
        <v>0</v>
      </c>
      <c r="AA313" s="402">
        <v>100015358</v>
      </c>
      <c r="AB313" s="328">
        <v>0</v>
      </c>
      <c r="AC313" s="328">
        <v>26</v>
      </c>
      <c r="AD313" s="328">
        <v>36</v>
      </c>
      <c r="AE313" s="328">
        <v>62</v>
      </c>
      <c r="AF313" s="328">
        <v>42</v>
      </c>
      <c r="AG313" s="328">
        <v>389753</v>
      </c>
      <c r="AI313" s="402">
        <v>100015358</v>
      </c>
      <c r="AJ313" s="328">
        <v>0</v>
      </c>
      <c r="AK313" s="328">
        <v>26</v>
      </c>
      <c r="AL313" s="328">
        <v>36</v>
      </c>
      <c r="AM313" s="328">
        <v>62</v>
      </c>
      <c r="AN313" s="328">
        <v>42</v>
      </c>
      <c r="AO313" s="328">
        <v>625183</v>
      </c>
    </row>
    <row r="314" spans="1:41" ht="15.75">
      <c r="A314" s="167">
        <v>309</v>
      </c>
      <c r="B314" s="79" t="s">
        <v>161</v>
      </c>
      <c r="C314" s="452">
        <v>100022090</v>
      </c>
      <c r="D314" s="457">
        <v>6032</v>
      </c>
      <c r="E314" s="328">
        <v>335</v>
      </c>
      <c r="F314" s="328">
        <v>0</v>
      </c>
      <c r="G314" s="328">
        <v>0</v>
      </c>
      <c r="H314" s="328">
        <v>335</v>
      </c>
      <c r="I314" s="328">
        <v>0</v>
      </c>
      <c r="J314" s="328">
        <v>0</v>
      </c>
      <c r="K314" s="333">
        <v>0</v>
      </c>
      <c r="L314" s="333"/>
      <c r="N314" s="402">
        <v>100022090</v>
      </c>
      <c r="O314" s="328">
        <v>0</v>
      </c>
      <c r="P314" s="328">
        <v>0</v>
      </c>
      <c r="Q314" s="328">
        <v>335</v>
      </c>
      <c r="R314" s="328">
        <v>335</v>
      </c>
      <c r="S314" s="333">
        <v>13397741</v>
      </c>
      <c r="T314" s="4">
        <v>0.36</v>
      </c>
      <c r="U314" s="165">
        <f>VLOOKUP(N314,'[2]154'!$C$9:$T$554,18,0)</f>
        <v>335</v>
      </c>
      <c r="V314" s="402">
        <v>100022090</v>
      </c>
      <c r="W314" s="407">
        <v>0</v>
      </c>
      <c r="X314" s="405">
        <v>0</v>
      </c>
      <c r="Y314" s="407">
        <v>0</v>
      </c>
      <c r="AA314" s="402">
        <v>100022090</v>
      </c>
      <c r="AB314" s="328">
        <v>0</v>
      </c>
      <c r="AC314" s="328">
        <v>0</v>
      </c>
      <c r="AD314" s="328">
        <v>335</v>
      </c>
      <c r="AE314" s="328">
        <v>335</v>
      </c>
      <c r="AF314" s="328">
        <v>268</v>
      </c>
      <c r="AG314" s="328">
        <v>4746125</v>
      </c>
      <c r="AI314" s="402">
        <v>100022090</v>
      </c>
      <c r="AJ314" s="328">
        <v>0</v>
      </c>
      <c r="AK314" s="328">
        <v>0</v>
      </c>
      <c r="AL314" s="328">
        <v>335</v>
      </c>
      <c r="AM314" s="328">
        <v>335</v>
      </c>
      <c r="AN314" s="328">
        <v>268</v>
      </c>
      <c r="AO314" s="328">
        <v>8651616</v>
      </c>
    </row>
    <row r="315" spans="1:41" ht="15.75">
      <c r="A315" s="167">
        <v>310</v>
      </c>
      <c r="B315" s="79" t="s">
        <v>108</v>
      </c>
      <c r="C315" s="452">
        <v>182034820</v>
      </c>
      <c r="D315" s="457">
        <v>11437</v>
      </c>
      <c r="E315" s="328">
        <v>876</v>
      </c>
      <c r="F315" s="328">
        <v>0</v>
      </c>
      <c r="G315" s="328">
        <v>367</v>
      </c>
      <c r="H315" s="328">
        <v>509</v>
      </c>
      <c r="I315" s="328">
        <v>0</v>
      </c>
      <c r="J315" s="328">
        <v>234</v>
      </c>
      <c r="K315" s="333">
        <v>234</v>
      </c>
      <c r="L315" s="333"/>
      <c r="N315" s="402">
        <v>182034820</v>
      </c>
      <c r="O315" s="328">
        <v>0</v>
      </c>
      <c r="P315" s="328">
        <v>367</v>
      </c>
      <c r="Q315" s="328">
        <v>509</v>
      </c>
      <c r="R315" s="328">
        <v>876</v>
      </c>
      <c r="S315" s="333">
        <v>32231430</v>
      </c>
      <c r="T315" s="4">
        <v>2.46</v>
      </c>
      <c r="U315" s="165">
        <f>VLOOKUP(N315,'[2]154'!$C$9:$T$554,18,0)</f>
        <v>1094</v>
      </c>
      <c r="V315" s="402">
        <v>182034820</v>
      </c>
      <c r="W315" s="407">
        <v>234</v>
      </c>
      <c r="X315" s="405">
        <v>47698.952991452992</v>
      </c>
      <c r="Y315" s="407">
        <v>11161555</v>
      </c>
      <c r="AA315" s="402">
        <v>182034820</v>
      </c>
      <c r="AB315" s="328">
        <v>0</v>
      </c>
      <c r="AC315" s="328">
        <v>367</v>
      </c>
      <c r="AD315" s="328">
        <v>509</v>
      </c>
      <c r="AE315" s="328">
        <v>876</v>
      </c>
      <c r="AF315" s="328">
        <v>591</v>
      </c>
      <c r="AG315" s="328">
        <v>11496578</v>
      </c>
      <c r="AI315" s="402">
        <v>182034820</v>
      </c>
      <c r="AJ315" s="328">
        <v>0</v>
      </c>
      <c r="AK315" s="328">
        <v>367</v>
      </c>
      <c r="AL315" s="328">
        <v>509</v>
      </c>
      <c r="AM315" s="328">
        <v>876</v>
      </c>
      <c r="AN315" s="328">
        <v>591</v>
      </c>
      <c r="AO315" s="328">
        <v>20734852</v>
      </c>
    </row>
    <row r="316" spans="1:41" ht="15.75">
      <c r="A316" s="167">
        <v>311</v>
      </c>
      <c r="B316" s="79" t="s">
        <v>105</v>
      </c>
      <c r="C316" s="452">
        <v>457223</v>
      </c>
      <c r="D316" s="457">
        <v>10595</v>
      </c>
      <c r="E316" s="328">
        <v>314</v>
      </c>
      <c r="F316" s="328">
        <v>0</v>
      </c>
      <c r="G316" s="328">
        <v>212</v>
      </c>
      <c r="H316" s="328">
        <v>102</v>
      </c>
      <c r="I316" s="328">
        <v>0</v>
      </c>
      <c r="J316" s="328">
        <v>0</v>
      </c>
      <c r="K316" s="333">
        <v>0</v>
      </c>
      <c r="L316" s="333"/>
      <c r="N316" s="402">
        <v>457223</v>
      </c>
      <c r="O316" s="328">
        <v>0</v>
      </c>
      <c r="P316" s="328">
        <v>212</v>
      </c>
      <c r="Q316" s="328">
        <v>102</v>
      </c>
      <c r="R316" s="328">
        <v>314</v>
      </c>
      <c r="S316" s="333">
        <v>6975303</v>
      </c>
      <c r="T316" s="4">
        <v>0.35</v>
      </c>
      <c r="U316" s="165">
        <f>VLOOKUP(N316,'[2]154'!$C$9:$T$554,18,0)</f>
        <v>314</v>
      </c>
      <c r="V316" s="402">
        <v>457223</v>
      </c>
      <c r="W316" s="407">
        <v>0</v>
      </c>
      <c r="X316" s="405">
        <v>0</v>
      </c>
      <c r="Y316" s="407">
        <v>0</v>
      </c>
      <c r="AA316" s="402">
        <v>457223</v>
      </c>
      <c r="AB316" s="328">
        <v>0</v>
      </c>
      <c r="AC316" s="328">
        <v>212</v>
      </c>
      <c r="AD316" s="328">
        <v>102</v>
      </c>
      <c r="AE316" s="328">
        <v>314</v>
      </c>
      <c r="AF316" s="328">
        <v>188</v>
      </c>
      <c r="AG316" s="328">
        <v>2819322</v>
      </c>
      <c r="AI316" s="402">
        <v>457223</v>
      </c>
      <c r="AJ316" s="328">
        <v>0</v>
      </c>
      <c r="AK316" s="328">
        <v>212</v>
      </c>
      <c r="AL316" s="328">
        <v>102</v>
      </c>
      <c r="AM316" s="328">
        <v>314</v>
      </c>
      <c r="AN316" s="328">
        <v>188</v>
      </c>
      <c r="AO316" s="328">
        <v>4155981</v>
      </c>
    </row>
    <row r="317" spans="1:41" ht="15.75">
      <c r="A317" s="167">
        <v>312</v>
      </c>
      <c r="B317" s="79" t="s">
        <v>105</v>
      </c>
      <c r="C317" s="452">
        <v>461186</v>
      </c>
      <c r="D317" s="457">
        <v>4721</v>
      </c>
      <c r="E317" s="328">
        <v>227</v>
      </c>
      <c r="F317" s="328">
        <v>0</v>
      </c>
      <c r="G317" s="328">
        <v>142</v>
      </c>
      <c r="H317" s="328">
        <v>85</v>
      </c>
      <c r="I317" s="328">
        <v>0</v>
      </c>
      <c r="J317" s="328">
        <v>0</v>
      </c>
      <c r="K317" s="333">
        <v>0</v>
      </c>
      <c r="L317" s="333"/>
      <c r="N317" s="402">
        <v>461186</v>
      </c>
      <c r="O317" s="328">
        <v>0</v>
      </c>
      <c r="P317" s="328">
        <v>142</v>
      </c>
      <c r="Q317" s="328">
        <v>85</v>
      </c>
      <c r="R317" s="328">
        <v>227</v>
      </c>
      <c r="S317" s="333">
        <v>11859942</v>
      </c>
      <c r="T317" s="4">
        <v>0.36</v>
      </c>
      <c r="U317" s="165">
        <f>VLOOKUP(N317,'[2]154'!$C$9:$T$554,18,0)</f>
        <v>227</v>
      </c>
      <c r="V317" s="402">
        <v>461186</v>
      </c>
      <c r="W317" s="407">
        <v>0</v>
      </c>
      <c r="X317" s="405">
        <v>0</v>
      </c>
      <c r="Y317" s="407">
        <v>0</v>
      </c>
      <c r="AA317" s="402">
        <v>461186</v>
      </c>
      <c r="AB317" s="328">
        <v>0</v>
      </c>
      <c r="AC317" s="328">
        <v>142</v>
      </c>
      <c r="AD317" s="328">
        <v>85</v>
      </c>
      <c r="AE317" s="328">
        <v>227</v>
      </c>
      <c r="AF317" s="328">
        <v>139</v>
      </c>
      <c r="AG317" s="328">
        <v>3527141</v>
      </c>
      <c r="AI317" s="402">
        <v>461186</v>
      </c>
      <c r="AJ317" s="328">
        <v>0</v>
      </c>
      <c r="AK317" s="328">
        <v>142</v>
      </c>
      <c r="AL317" s="328">
        <v>85</v>
      </c>
      <c r="AM317" s="328">
        <v>227</v>
      </c>
      <c r="AN317" s="328">
        <v>139</v>
      </c>
      <c r="AO317" s="328">
        <v>8332801</v>
      </c>
    </row>
    <row r="318" spans="1:41" ht="15.75">
      <c r="A318" s="167">
        <v>313</v>
      </c>
      <c r="B318" s="79" t="s">
        <v>105</v>
      </c>
      <c r="C318" s="452">
        <v>461795</v>
      </c>
      <c r="D318" s="457">
        <v>12770</v>
      </c>
      <c r="E318" s="328">
        <v>735</v>
      </c>
      <c r="F318" s="328">
        <v>0</v>
      </c>
      <c r="G318" s="328">
        <v>314</v>
      </c>
      <c r="H318" s="328">
        <v>421</v>
      </c>
      <c r="I318" s="328">
        <v>0</v>
      </c>
      <c r="J318" s="328">
        <v>0</v>
      </c>
      <c r="K318" s="333">
        <v>0</v>
      </c>
      <c r="L318" s="333"/>
      <c r="N318" s="402">
        <v>461795</v>
      </c>
      <c r="O318" s="328">
        <v>0</v>
      </c>
      <c r="P318" s="328">
        <v>314</v>
      </c>
      <c r="Q318" s="328">
        <v>421</v>
      </c>
      <c r="R318" s="328">
        <v>735</v>
      </c>
      <c r="S318" s="333">
        <v>18260129</v>
      </c>
      <c r="T318" s="4">
        <v>0.35</v>
      </c>
      <c r="U318" s="165">
        <f>VLOOKUP(N318,'[2]154'!$C$9:$T$554,18,0)</f>
        <v>735</v>
      </c>
      <c r="V318" s="402">
        <v>461795</v>
      </c>
      <c r="W318" s="407">
        <v>0</v>
      </c>
      <c r="X318" s="405">
        <v>0</v>
      </c>
      <c r="Y318" s="407">
        <v>0</v>
      </c>
      <c r="AA318" s="402">
        <v>461795</v>
      </c>
      <c r="AB318" s="328">
        <v>0</v>
      </c>
      <c r="AC318" s="328">
        <v>314</v>
      </c>
      <c r="AD318" s="328">
        <v>421</v>
      </c>
      <c r="AE318" s="328">
        <v>735</v>
      </c>
      <c r="AF318" s="328">
        <v>494</v>
      </c>
      <c r="AG318" s="328">
        <v>7380494</v>
      </c>
      <c r="AI318" s="402">
        <v>461795</v>
      </c>
      <c r="AJ318" s="328">
        <v>0</v>
      </c>
      <c r="AK318" s="328">
        <v>314</v>
      </c>
      <c r="AL318" s="328">
        <v>421</v>
      </c>
      <c r="AM318" s="328">
        <v>735</v>
      </c>
      <c r="AN318" s="328">
        <v>494</v>
      </c>
      <c r="AO318" s="328">
        <v>10879635</v>
      </c>
    </row>
    <row r="319" spans="1:41" ht="15.75">
      <c r="A319" s="167">
        <v>314</v>
      </c>
      <c r="B319" s="79" t="s">
        <v>105</v>
      </c>
      <c r="C319" s="452">
        <v>463022</v>
      </c>
      <c r="D319" s="457">
        <v>3150</v>
      </c>
      <c r="E319" s="328">
        <v>124</v>
      </c>
      <c r="F319" s="328">
        <v>0</v>
      </c>
      <c r="G319" s="328">
        <v>0</v>
      </c>
      <c r="H319" s="328">
        <v>124</v>
      </c>
      <c r="I319" s="328">
        <v>0</v>
      </c>
      <c r="J319" s="328">
        <v>0</v>
      </c>
      <c r="K319" s="333">
        <v>0</v>
      </c>
      <c r="L319" s="333"/>
      <c r="N319" s="402">
        <v>463022</v>
      </c>
      <c r="O319" s="328">
        <v>0</v>
      </c>
      <c r="P319" s="328">
        <v>0</v>
      </c>
      <c r="Q319" s="328">
        <v>124</v>
      </c>
      <c r="R319" s="328">
        <v>124</v>
      </c>
      <c r="S319" s="333">
        <v>4177841</v>
      </c>
      <c r="T319" s="4">
        <v>1.85</v>
      </c>
      <c r="U319" s="165">
        <f>VLOOKUP(N319,'[2]154'!$C$9:$T$554,18,0)</f>
        <v>124</v>
      </c>
      <c r="V319" s="402">
        <v>463022</v>
      </c>
      <c r="W319" s="407">
        <v>0</v>
      </c>
      <c r="X319" s="405">
        <v>0</v>
      </c>
      <c r="Y319" s="407">
        <v>0</v>
      </c>
      <c r="AA319" s="402">
        <v>463022</v>
      </c>
      <c r="AB319" s="328">
        <v>0</v>
      </c>
      <c r="AC319" s="328">
        <v>0</v>
      </c>
      <c r="AD319" s="328">
        <v>124</v>
      </c>
      <c r="AE319" s="328">
        <v>124</v>
      </c>
      <c r="AF319" s="328">
        <v>99</v>
      </c>
      <c r="AG319" s="328">
        <v>1475382</v>
      </c>
      <c r="AI319" s="402">
        <v>463022</v>
      </c>
      <c r="AJ319" s="328">
        <v>0</v>
      </c>
      <c r="AK319" s="328">
        <v>0</v>
      </c>
      <c r="AL319" s="328">
        <v>124</v>
      </c>
      <c r="AM319" s="328">
        <v>124</v>
      </c>
      <c r="AN319" s="328">
        <v>99</v>
      </c>
      <c r="AO319" s="328">
        <v>2702459</v>
      </c>
    </row>
    <row r="320" spans="1:41" ht="15.75">
      <c r="A320" s="167">
        <v>315</v>
      </c>
      <c r="B320" s="79" t="s">
        <v>105</v>
      </c>
      <c r="C320" s="452">
        <v>463024</v>
      </c>
      <c r="D320" s="457">
        <v>6277</v>
      </c>
      <c r="E320" s="328">
        <v>183</v>
      </c>
      <c r="F320" s="328">
        <v>0</v>
      </c>
      <c r="G320" s="328">
        <v>72</v>
      </c>
      <c r="H320" s="328">
        <v>111</v>
      </c>
      <c r="I320" s="328">
        <v>0</v>
      </c>
      <c r="J320" s="328">
        <v>0</v>
      </c>
      <c r="K320" s="333">
        <v>0</v>
      </c>
      <c r="L320" s="333"/>
      <c r="N320" s="402">
        <v>463024</v>
      </c>
      <c r="O320" s="328">
        <v>0</v>
      </c>
      <c r="P320" s="328">
        <v>72</v>
      </c>
      <c r="Q320" s="328">
        <v>111</v>
      </c>
      <c r="R320" s="328">
        <v>183</v>
      </c>
      <c r="S320" s="333">
        <v>5387590</v>
      </c>
      <c r="T320" s="4">
        <v>1.85</v>
      </c>
      <c r="U320" s="165">
        <f>VLOOKUP(N320,'[2]154'!$C$9:$T$554,18,0)</f>
        <v>183</v>
      </c>
      <c r="V320" s="402">
        <v>463024</v>
      </c>
      <c r="W320" s="407">
        <v>0</v>
      </c>
      <c r="X320" s="405">
        <v>0</v>
      </c>
      <c r="Y320" s="407">
        <v>0</v>
      </c>
      <c r="AA320" s="402">
        <v>463024</v>
      </c>
      <c r="AB320" s="328">
        <v>0</v>
      </c>
      <c r="AC320" s="328">
        <v>72</v>
      </c>
      <c r="AD320" s="328">
        <v>111</v>
      </c>
      <c r="AE320" s="328">
        <v>183</v>
      </c>
      <c r="AF320" s="328">
        <v>125</v>
      </c>
      <c r="AG320" s="328">
        <v>2700282</v>
      </c>
      <c r="AI320" s="402">
        <v>463024</v>
      </c>
      <c r="AJ320" s="328">
        <v>0</v>
      </c>
      <c r="AK320" s="328">
        <v>72</v>
      </c>
      <c r="AL320" s="328">
        <v>111</v>
      </c>
      <c r="AM320" s="328">
        <v>183</v>
      </c>
      <c r="AN320" s="328">
        <v>125</v>
      </c>
      <c r="AO320" s="328">
        <v>2687308</v>
      </c>
    </row>
    <row r="321" spans="1:41" ht="15.75">
      <c r="A321" s="167">
        <v>316</v>
      </c>
      <c r="B321" s="79" t="s">
        <v>105</v>
      </c>
      <c r="C321" s="452">
        <v>463029</v>
      </c>
      <c r="D321" s="457">
        <v>6421</v>
      </c>
      <c r="E321" s="328">
        <v>87</v>
      </c>
      <c r="F321" s="328">
        <v>0</v>
      </c>
      <c r="G321" s="328">
        <v>23</v>
      </c>
      <c r="H321" s="328">
        <v>64</v>
      </c>
      <c r="I321" s="328">
        <v>0</v>
      </c>
      <c r="J321" s="328">
        <v>0</v>
      </c>
      <c r="K321" s="333">
        <v>0</v>
      </c>
      <c r="L321" s="333"/>
      <c r="N321" s="402">
        <v>463029</v>
      </c>
      <c r="O321" s="328">
        <v>0</v>
      </c>
      <c r="P321" s="328">
        <v>23</v>
      </c>
      <c r="Q321" s="328">
        <v>64</v>
      </c>
      <c r="R321" s="328">
        <v>87</v>
      </c>
      <c r="S321" s="333">
        <v>2675709</v>
      </c>
      <c r="T321" s="4">
        <v>0.35</v>
      </c>
      <c r="U321" s="165">
        <f>VLOOKUP(N321,'[2]154'!$C$9:$T$554,18,0)</f>
        <v>87</v>
      </c>
      <c r="V321" s="402">
        <v>463029</v>
      </c>
      <c r="W321" s="407">
        <v>0</v>
      </c>
      <c r="X321" s="405">
        <v>0</v>
      </c>
      <c r="Y321" s="407">
        <v>0</v>
      </c>
      <c r="AA321" s="402">
        <v>463029</v>
      </c>
      <c r="AB321" s="328">
        <v>0</v>
      </c>
      <c r="AC321" s="328">
        <v>23</v>
      </c>
      <c r="AD321" s="328">
        <v>64</v>
      </c>
      <c r="AE321" s="328">
        <v>87</v>
      </c>
      <c r="AF321" s="328">
        <v>63</v>
      </c>
      <c r="AG321" s="328">
        <v>1291701</v>
      </c>
      <c r="AI321" s="402">
        <v>463029</v>
      </c>
      <c r="AJ321" s="328">
        <v>0</v>
      </c>
      <c r="AK321" s="328">
        <v>23</v>
      </c>
      <c r="AL321" s="328">
        <v>64</v>
      </c>
      <c r="AM321" s="328">
        <v>87</v>
      </c>
      <c r="AN321" s="328">
        <v>63</v>
      </c>
      <c r="AO321" s="328">
        <v>1384008</v>
      </c>
    </row>
    <row r="322" spans="1:41" ht="15.75">
      <c r="A322" s="167">
        <v>317</v>
      </c>
      <c r="B322" s="79" t="s">
        <v>105</v>
      </c>
      <c r="C322" s="452">
        <v>463030</v>
      </c>
      <c r="D322" s="457">
        <v>3719</v>
      </c>
      <c r="E322" s="328">
        <v>164</v>
      </c>
      <c r="F322" s="328">
        <v>0</v>
      </c>
      <c r="G322" s="328">
        <v>101</v>
      </c>
      <c r="H322" s="328">
        <v>63</v>
      </c>
      <c r="I322" s="328">
        <v>0</v>
      </c>
      <c r="J322" s="328">
        <v>0</v>
      </c>
      <c r="K322" s="333">
        <v>0</v>
      </c>
      <c r="L322" s="333"/>
      <c r="N322" s="402">
        <v>463030</v>
      </c>
      <c r="O322" s="328">
        <v>0</v>
      </c>
      <c r="P322" s="328">
        <v>101</v>
      </c>
      <c r="Q322" s="328">
        <v>63</v>
      </c>
      <c r="R322" s="328">
        <v>164</v>
      </c>
      <c r="S322" s="333">
        <v>4621470</v>
      </c>
      <c r="T322" s="4">
        <v>0.35</v>
      </c>
      <c r="U322" s="165">
        <f>VLOOKUP(N322,'[2]154'!$C$9:$T$554,18,0)</f>
        <v>164</v>
      </c>
      <c r="V322" s="402">
        <v>463030</v>
      </c>
      <c r="W322" s="407">
        <v>0</v>
      </c>
      <c r="X322" s="405">
        <v>0</v>
      </c>
      <c r="Y322" s="407">
        <v>0</v>
      </c>
      <c r="AA322" s="402">
        <v>463030</v>
      </c>
      <c r="AB322" s="328">
        <v>0</v>
      </c>
      <c r="AC322" s="328">
        <v>101</v>
      </c>
      <c r="AD322" s="328">
        <v>63</v>
      </c>
      <c r="AE322" s="328">
        <v>164</v>
      </c>
      <c r="AF322" s="328">
        <v>101</v>
      </c>
      <c r="AG322" s="328">
        <v>2402664</v>
      </c>
      <c r="AI322" s="402">
        <v>463030</v>
      </c>
      <c r="AJ322" s="328">
        <v>0</v>
      </c>
      <c r="AK322" s="328">
        <v>101</v>
      </c>
      <c r="AL322" s="328">
        <v>63</v>
      </c>
      <c r="AM322" s="328">
        <v>164</v>
      </c>
      <c r="AN322" s="328">
        <v>101</v>
      </c>
      <c r="AO322" s="328">
        <v>2218806</v>
      </c>
    </row>
    <row r="323" spans="1:41" ht="15.75">
      <c r="A323" s="167">
        <v>318</v>
      </c>
      <c r="B323" s="79" t="s">
        <v>105</v>
      </c>
      <c r="C323" s="452">
        <v>466459</v>
      </c>
      <c r="D323" s="457">
        <v>2985</v>
      </c>
      <c r="E323" s="328">
        <v>259</v>
      </c>
      <c r="F323" s="328">
        <v>0</v>
      </c>
      <c r="G323" s="328">
        <v>13</v>
      </c>
      <c r="H323" s="328">
        <v>246</v>
      </c>
      <c r="I323" s="328">
        <v>0</v>
      </c>
      <c r="J323" s="328">
        <v>0</v>
      </c>
      <c r="K323" s="333">
        <v>0</v>
      </c>
      <c r="L323" s="333"/>
      <c r="N323" s="402">
        <v>466459</v>
      </c>
      <c r="O323" s="328">
        <v>0</v>
      </c>
      <c r="P323" s="328">
        <v>13</v>
      </c>
      <c r="Q323" s="328">
        <v>246</v>
      </c>
      <c r="R323" s="328">
        <v>259</v>
      </c>
      <c r="S323" s="333">
        <v>12744489</v>
      </c>
      <c r="T323" s="4">
        <v>0.35</v>
      </c>
      <c r="U323" s="165">
        <f>VLOOKUP(N323,'[2]154'!$C$9:$T$554,18,0)</f>
        <v>259</v>
      </c>
      <c r="V323" s="402">
        <v>466459</v>
      </c>
      <c r="W323" s="407">
        <v>0</v>
      </c>
      <c r="X323" s="405">
        <v>0</v>
      </c>
      <c r="Y323" s="407">
        <v>0</v>
      </c>
      <c r="AA323" s="402">
        <v>466459</v>
      </c>
      <c r="AB323" s="328">
        <v>0</v>
      </c>
      <c r="AC323" s="328">
        <v>13</v>
      </c>
      <c r="AD323" s="328">
        <v>246</v>
      </c>
      <c r="AE323" s="328">
        <v>259</v>
      </c>
      <c r="AF323" s="328">
        <v>203</v>
      </c>
      <c r="AG323" s="328">
        <v>5151148</v>
      </c>
      <c r="AI323" s="402">
        <v>466459</v>
      </c>
      <c r="AJ323" s="328">
        <v>0</v>
      </c>
      <c r="AK323" s="328">
        <v>13</v>
      </c>
      <c r="AL323" s="328">
        <v>246</v>
      </c>
      <c r="AM323" s="328">
        <v>259</v>
      </c>
      <c r="AN323" s="328">
        <v>203</v>
      </c>
      <c r="AO323" s="328">
        <v>7593341</v>
      </c>
    </row>
    <row r="324" spans="1:41" ht="15.75">
      <c r="A324" s="167">
        <v>319</v>
      </c>
      <c r="B324" s="79" t="s">
        <v>105</v>
      </c>
      <c r="C324" s="452">
        <v>467476</v>
      </c>
      <c r="D324" s="457">
        <v>19251</v>
      </c>
      <c r="E324" s="328">
        <v>1054</v>
      </c>
      <c r="F324" s="328">
        <v>0</v>
      </c>
      <c r="G324" s="328">
        <v>512</v>
      </c>
      <c r="H324" s="328">
        <v>542</v>
      </c>
      <c r="I324" s="328">
        <v>0</v>
      </c>
      <c r="J324" s="328">
        <v>0</v>
      </c>
      <c r="K324" s="333">
        <v>0</v>
      </c>
      <c r="L324" s="333"/>
      <c r="N324" s="402">
        <v>467476</v>
      </c>
      <c r="O324" s="328">
        <v>0</v>
      </c>
      <c r="P324" s="328">
        <v>512</v>
      </c>
      <c r="Q324" s="328">
        <v>542</v>
      </c>
      <c r="R324" s="328">
        <v>1054</v>
      </c>
      <c r="S324" s="333">
        <v>23727739</v>
      </c>
      <c r="T324" s="4">
        <v>0.35</v>
      </c>
      <c r="U324" s="165">
        <f>VLOOKUP(N324,'[2]154'!$C$9:$T$554,18,0)</f>
        <v>1054</v>
      </c>
      <c r="V324" s="402">
        <v>467476</v>
      </c>
      <c r="W324" s="407">
        <v>0</v>
      </c>
      <c r="X324" s="405">
        <v>0</v>
      </c>
      <c r="Y324" s="407">
        <v>0</v>
      </c>
      <c r="AA324" s="402">
        <v>467476</v>
      </c>
      <c r="AB324" s="328">
        <v>0</v>
      </c>
      <c r="AC324" s="328">
        <v>512</v>
      </c>
      <c r="AD324" s="328">
        <v>542</v>
      </c>
      <c r="AE324" s="328">
        <v>1054</v>
      </c>
      <c r="AF324" s="328">
        <v>690</v>
      </c>
      <c r="AG324" s="328">
        <v>9016182</v>
      </c>
      <c r="AI324" s="402">
        <v>467476</v>
      </c>
      <c r="AJ324" s="328">
        <v>0</v>
      </c>
      <c r="AK324" s="328">
        <v>512</v>
      </c>
      <c r="AL324" s="328">
        <v>542</v>
      </c>
      <c r="AM324" s="328">
        <v>1054</v>
      </c>
      <c r="AN324" s="328">
        <v>690</v>
      </c>
      <c r="AO324" s="328">
        <v>14711557</v>
      </c>
    </row>
    <row r="325" spans="1:41" ht="15.75">
      <c r="A325" s="167">
        <v>320</v>
      </c>
      <c r="B325" s="79" t="s">
        <v>105</v>
      </c>
      <c r="C325" s="452">
        <v>468585</v>
      </c>
      <c r="D325" s="457">
        <v>14189</v>
      </c>
      <c r="E325" s="328">
        <v>1931</v>
      </c>
      <c r="F325" s="328">
        <v>0</v>
      </c>
      <c r="G325" s="328">
        <v>640</v>
      </c>
      <c r="H325" s="328">
        <v>1291</v>
      </c>
      <c r="I325" s="328">
        <v>0</v>
      </c>
      <c r="J325" s="328">
        <v>0</v>
      </c>
      <c r="K325" s="333">
        <v>0</v>
      </c>
      <c r="L325" s="333"/>
      <c r="N325" s="402">
        <v>468585</v>
      </c>
      <c r="O325" s="328">
        <v>0</v>
      </c>
      <c r="P325" s="328">
        <v>640</v>
      </c>
      <c r="Q325" s="328">
        <v>1291</v>
      </c>
      <c r="R325" s="328">
        <v>1931</v>
      </c>
      <c r="S325" s="333">
        <v>54029356</v>
      </c>
      <c r="T325" s="4">
        <v>0.35</v>
      </c>
      <c r="U325" s="165">
        <f>VLOOKUP(N325,'[2]154'!$C$9:$T$554,18,0)</f>
        <v>1931</v>
      </c>
      <c r="V325" s="402">
        <v>468585</v>
      </c>
      <c r="W325" s="407">
        <v>0</v>
      </c>
      <c r="X325" s="405">
        <v>0</v>
      </c>
      <c r="Y325" s="407">
        <v>0</v>
      </c>
      <c r="AA325" s="402">
        <v>468585</v>
      </c>
      <c r="AB325" s="328">
        <v>0</v>
      </c>
      <c r="AC325" s="328">
        <v>640</v>
      </c>
      <c r="AD325" s="328">
        <v>1291</v>
      </c>
      <c r="AE325" s="328">
        <v>1931</v>
      </c>
      <c r="AF325" s="328">
        <v>1353</v>
      </c>
      <c r="AG325" s="328">
        <v>21837926</v>
      </c>
      <c r="AI325" s="402">
        <v>468585</v>
      </c>
      <c r="AJ325" s="328">
        <v>0</v>
      </c>
      <c r="AK325" s="328">
        <v>640</v>
      </c>
      <c r="AL325" s="328">
        <v>1291</v>
      </c>
      <c r="AM325" s="328">
        <v>1931</v>
      </c>
      <c r="AN325" s="328">
        <v>1353</v>
      </c>
      <c r="AO325" s="328">
        <v>32191430</v>
      </c>
    </row>
    <row r="326" spans="1:41" ht="15.75">
      <c r="A326" s="167">
        <v>321</v>
      </c>
      <c r="B326" s="79" t="s">
        <v>105</v>
      </c>
      <c r="C326" s="452">
        <v>471857</v>
      </c>
      <c r="D326" s="457">
        <v>4690</v>
      </c>
      <c r="E326" s="328">
        <v>87</v>
      </c>
      <c r="F326" s="328">
        <v>0</v>
      </c>
      <c r="G326" s="328">
        <v>33</v>
      </c>
      <c r="H326" s="328">
        <v>54</v>
      </c>
      <c r="I326" s="328">
        <v>0</v>
      </c>
      <c r="J326" s="328">
        <v>29</v>
      </c>
      <c r="K326" s="333">
        <v>29</v>
      </c>
      <c r="L326" s="333"/>
      <c r="N326" s="402">
        <v>471857</v>
      </c>
      <c r="O326" s="328">
        <v>0</v>
      </c>
      <c r="P326" s="328">
        <v>33</v>
      </c>
      <c r="Q326" s="328">
        <v>54</v>
      </c>
      <c r="R326" s="328">
        <v>87</v>
      </c>
      <c r="S326" s="333">
        <v>2947134</v>
      </c>
      <c r="T326" s="4">
        <v>2.35</v>
      </c>
      <c r="U326" s="165">
        <f>VLOOKUP(N326,'[2]154'!$C$9:$T$554,18,0)</f>
        <v>128</v>
      </c>
      <c r="V326" s="402">
        <v>471857</v>
      </c>
      <c r="W326" s="407">
        <v>29</v>
      </c>
      <c r="X326" s="405">
        <v>33875.103448275862</v>
      </c>
      <c r="Y326" s="407">
        <v>982378</v>
      </c>
      <c r="AA326" s="402">
        <v>471857</v>
      </c>
      <c r="AB326" s="328">
        <v>0</v>
      </c>
      <c r="AC326" s="328">
        <v>33</v>
      </c>
      <c r="AD326" s="328">
        <v>54</v>
      </c>
      <c r="AE326" s="328">
        <v>87</v>
      </c>
      <c r="AF326" s="328">
        <v>60</v>
      </c>
      <c r="AG326" s="328">
        <v>1069003</v>
      </c>
      <c r="AI326" s="402">
        <v>471857</v>
      </c>
      <c r="AJ326" s="328">
        <v>0</v>
      </c>
      <c r="AK326" s="328">
        <v>33</v>
      </c>
      <c r="AL326" s="328">
        <v>54</v>
      </c>
      <c r="AM326" s="328">
        <v>87</v>
      </c>
      <c r="AN326" s="328">
        <v>60</v>
      </c>
      <c r="AO326" s="328">
        <v>1878131</v>
      </c>
    </row>
    <row r="327" spans="1:41" ht="15.75">
      <c r="A327" s="167">
        <v>322</v>
      </c>
      <c r="B327" s="79" t="s">
        <v>106</v>
      </c>
      <c r="C327" s="452" t="s">
        <v>283</v>
      </c>
      <c r="D327" s="457">
        <v>12498</v>
      </c>
      <c r="E327" s="328">
        <v>1264</v>
      </c>
      <c r="F327" s="328">
        <v>2</v>
      </c>
      <c r="G327" s="328">
        <v>309</v>
      </c>
      <c r="H327" s="328">
        <v>953</v>
      </c>
      <c r="I327" s="328">
        <v>0</v>
      </c>
      <c r="J327" s="328">
        <v>0</v>
      </c>
      <c r="K327" s="333">
        <v>0</v>
      </c>
      <c r="L327" s="333"/>
      <c r="N327" s="399" t="s">
        <v>283</v>
      </c>
      <c r="O327" s="328">
        <v>2</v>
      </c>
      <c r="P327" s="328">
        <v>309</v>
      </c>
      <c r="Q327" s="328">
        <v>953</v>
      </c>
      <c r="R327" s="328">
        <v>1264</v>
      </c>
      <c r="S327" s="328">
        <v>35089518</v>
      </c>
      <c r="T327" s="4">
        <v>0.35</v>
      </c>
      <c r="U327" s="165">
        <f>VLOOKUP(N327,'[2]154'!$C$9:$T$554,18,0)</f>
        <v>1264</v>
      </c>
      <c r="V327" s="399" t="s">
        <v>283</v>
      </c>
      <c r="W327" s="407">
        <v>0</v>
      </c>
      <c r="X327" s="405">
        <v>0</v>
      </c>
      <c r="Y327" s="407">
        <v>0</v>
      </c>
      <c r="AA327" s="399" t="s">
        <v>283</v>
      </c>
      <c r="AB327" s="328">
        <v>2</v>
      </c>
      <c r="AC327" s="328">
        <v>309</v>
      </c>
      <c r="AD327" s="328">
        <v>953</v>
      </c>
      <c r="AE327" s="328">
        <v>1264</v>
      </c>
      <c r="AF327" s="328">
        <v>917</v>
      </c>
      <c r="AG327" s="328">
        <v>14182703</v>
      </c>
      <c r="AI327" s="399" t="s">
        <v>283</v>
      </c>
      <c r="AJ327" s="328">
        <v>2</v>
      </c>
      <c r="AK327" s="328">
        <v>309</v>
      </c>
      <c r="AL327" s="328">
        <v>953</v>
      </c>
      <c r="AM327" s="328">
        <v>1264</v>
      </c>
      <c r="AN327" s="328">
        <v>917</v>
      </c>
      <c r="AO327" s="328">
        <v>20906815</v>
      </c>
    </row>
    <row r="328" spans="1:41" ht="15.75">
      <c r="A328" s="167">
        <v>323</v>
      </c>
      <c r="B328" s="79" t="s">
        <v>106</v>
      </c>
      <c r="C328" s="452" t="s">
        <v>284</v>
      </c>
      <c r="D328" s="457">
        <v>15421</v>
      </c>
      <c r="E328" s="328">
        <v>1081</v>
      </c>
      <c r="F328" s="328">
        <v>0</v>
      </c>
      <c r="G328" s="328">
        <v>349</v>
      </c>
      <c r="H328" s="328">
        <v>732</v>
      </c>
      <c r="I328" s="328">
        <v>0</v>
      </c>
      <c r="J328" s="328">
        <v>0</v>
      </c>
      <c r="K328" s="333">
        <v>0</v>
      </c>
      <c r="L328" s="333"/>
      <c r="N328" s="399" t="s">
        <v>284</v>
      </c>
      <c r="O328" s="328">
        <v>0</v>
      </c>
      <c r="P328" s="328">
        <v>349</v>
      </c>
      <c r="Q328" s="328">
        <v>732</v>
      </c>
      <c r="R328" s="328">
        <v>1081</v>
      </c>
      <c r="S328" s="328">
        <v>31224590</v>
      </c>
      <c r="T328" s="4">
        <v>2.0099999999999998</v>
      </c>
      <c r="U328" s="165">
        <f>VLOOKUP(N328,'[2]154'!$C$9:$T$554,18,0)</f>
        <v>1081</v>
      </c>
      <c r="V328" s="399" t="s">
        <v>284</v>
      </c>
      <c r="W328" s="407">
        <v>0</v>
      </c>
      <c r="X328" s="405">
        <v>0</v>
      </c>
      <c r="Y328" s="407">
        <v>0</v>
      </c>
      <c r="AA328" s="399" t="s">
        <v>284</v>
      </c>
      <c r="AB328" s="328">
        <v>0</v>
      </c>
      <c r="AC328" s="328">
        <v>349</v>
      </c>
      <c r="AD328" s="328">
        <v>732</v>
      </c>
      <c r="AE328" s="328">
        <v>1081</v>
      </c>
      <c r="AF328" s="328">
        <v>760</v>
      </c>
      <c r="AG328" s="328">
        <v>12620552</v>
      </c>
      <c r="AI328" s="399" t="s">
        <v>284</v>
      </c>
      <c r="AJ328" s="328">
        <v>0</v>
      </c>
      <c r="AK328" s="328">
        <v>349</v>
      </c>
      <c r="AL328" s="328">
        <v>732</v>
      </c>
      <c r="AM328" s="328">
        <v>1081</v>
      </c>
      <c r="AN328" s="328">
        <v>760</v>
      </c>
      <c r="AO328" s="328">
        <v>18604038</v>
      </c>
    </row>
    <row r="329" spans="1:41" ht="15.75">
      <c r="A329" s="167">
        <v>324</v>
      </c>
      <c r="B329" s="79" t="s">
        <v>106</v>
      </c>
      <c r="C329" s="452" t="s">
        <v>285</v>
      </c>
      <c r="D329" s="457">
        <v>7167</v>
      </c>
      <c r="E329" s="328">
        <v>427</v>
      </c>
      <c r="G329" s="328">
        <v>70</v>
      </c>
      <c r="H329" s="328">
        <v>357</v>
      </c>
      <c r="I329" s="328">
        <v>0</v>
      </c>
      <c r="J329" s="328">
        <v>0</v>
      </c>
      <c r="K329" s="333">
        <v>0</v>
      </c>
      <c r="L329" s="333"/>
      <c r="N329" s="399" t="s">
        <v>285</v>
      </c>
      <c r="O329" s="328">
        <v>0</v>
      </c>
      <c r="P329" s="328">
        <v>70</v>
      </c>
      <c r="Q329" s="328">
        <v>357</v>
      </c>
      <c r="R329" s="328">
        <v>427</v>
      </c>
      <c r="S329" s="328">
        <v>11588550</v>
      </c>
      <c r="T329" s="4">
        <v>0.35</v>
      </c>
      <c r="U329" s="165">
        <f>VLOOKUP(N329,'[2]154'!$C$9:$T$554,18,0)</f>
        <v>427</v>
      </c>
      <c r="V329" s="399" t="s">
        <v>285</v>
      </c>
      <c r="W329" s="407">
        <v>0</v>
      </c>
      <c r="X329" s="405">
        <v>0</v>
      </c>
      <c r="Y329" s="407">
        <v>0</v>
      </c>
      <c r="AA329" s="399" t="s">
        <v>285</v>
      </c>
      <c r="AB329" s="328">
        <v>0</v>
      </c>
      <c r="AC329" s="328">
        <v>70</v>
      </c>
      <c r="AD329" s="328">
        <v>357</v>
      </c>
      <c r="AE329" s="328">
        <v>427</v>
      </c>
      <c r="AF329" s="328">
        <v>321</v>
      </c>
      <c r="AG329" s="328">
        <v>4683933</v>
      </c>
      <c r="AI329" s="399" t="s">
        <v>285</v>
      </c>
      <c r="AJ329" s="328">
        <v>0</v>
      </c>
      <c r="AK329" s="328">
        <v>70</v>
      </c>
      <c r="AL329" s="328">
        <v>357</v>
      </c>
      <c r="AM329" s="328">
        <v>427</v>
      </c>
      <c r="AN329" s="328">
        <v>321</v>
      </c>
      <c r="AO329" s="328">
        <v>6904617</v>
      </c>
    </row>
    <row r="330" spans="1:41" ht="15.75">
      <c r="A330" s="167">
        <v>325</v>
      </c>
      <c r="B330" s="79" t="s">
        <v>101</v>
      </c>
      <c r="C330" s="452">
        <v>100023338</v>
      </c>
      <c r="D330" s="457">
        <v>6730</v>
      </c>
      <c r="E330" s="328">
        <v>243</v>
      </c>
      <c r="G330" s="328">
        <v>144</v>
      </c>
      <c r="H330" s="328">
        <v>99</v>
      </c>
      <c r="I330" s="328">
        <v>0</v>
      </c>
      <c r="J330" s="328">
        <v>0</v>
      </c>
      <c r="K330" s="333">
        <v>0</v>
      </c>
      <c r="L330" s="333"/>
      <c r="N330" s="402">
        <v>100023338</v>
      </c>
      <c r="O330" s="328">
        <v>0</v>
      </c>
      <c r="P330" s="328">
        <v>144</v>
      </c>
      <c r="Q330" s="328">
        <v>99</v>
      </c>
      <c r="R330" s="328">
        <v>243</v>
      </c>
      <c r="S330" s="328">
        <v>8255267</v>
      </c>
      <c r="T330" s="4">
        <v>0.36</v>
      </c>
      <c r="U330" s="165">
        <f>VLOOKUP(N330,'[2]154'!$C$9:$T$554,18,0)</f>
        <v>300</v>
      </c>
      <c r="V330" s="402">
        <v>100023338</v>
      </c>
      <c r="W330" s="407">
        <v>0</v>
      </c>
      <c r="X330" s="405">
        <v>0</v>
      </c>
      <c r="Y330" s="407">
        <v>0</v>
      </c>
      <c r="AA330" s="402">
        <v>100023338</v>
      </c>
      <c r="AB330" s="328">
        <v>0</v>
      </c>
      <c r="AC330" s="328">
        <v>144</v>
      </c>
      <c r="AD330" s="328">
        <v>99</v>
      </c>
      <c r="AE330" s="328">
        <v>243</v>
      </c>
      <c r="AF330" s="328">
        <v>151</v>
      </c>
      <c r="AG330" s="328">
        <v>3213996</v>
      </c>
      <c r="AI330" s="402">
        <v>100023338</v>
      </c>
      <c r="AJ330" s="328">
        <v>0</v>
      </c>
      <c r="AK330" s="328">
        <v>144</v>
      </c>
      <c r="AL330" s="328">
        <v>99</v>
      </c>
      <c r="AM330" s="328">
        <v>243</v>
      </c>
      <c r="AN330" s="328">
        <v>151</v>
      </c>
      <c r="AO330" s="328">
        <v>5041271</v>
      </c>
    </row>
    <row r="331" spans="1:41" ht="15.75">
      <c r="A331" s="167">
        <v>326</v>
      </c>
      <c r="B331" s="79" t="s">
        <v>161</v>
      </c>
      <c r="C331" s="452" t="s">
        <v>286</v>
      </c>
      <c r="D331" s="457">
        <v>9502</v>
      </c>
      <c r="E331" s="328">
        <v>0</v>
      </c>
      <c r="I331" s="328">
        <v>0</v>
      </c>
      <c r="J331" s="328">
        <v>0</v>
      </c>
      <c r="K331" s="333">
        <v>0</v>
      </c>
      <c r="L331" s="333"/>
      <c r="N331" s="399" t="s">
        <v>286</v>
      </c>
      <c r="O331" s="328">
        <v>0</v>
      </c>
      <c r="P331" s="328">
        <v>0</v>
      </c>
      <c r="Q331" s="328">
        <v>0</v>
      </c>
      <c r="R331" s="328">
        <v>0</v>
      </c>
      <c r="S331" s="328">
        <v>0</v>
      </c>
      <c r="T331" s="4">
        <v>1.26</v>
      </c>
      <c r="U331" s="165" t="e">
        <f>VLOOKUP(N331,'[2]154'!$C$9:$T$554,18,0)</f>
        <v>#N/A</v>
      </c>
      <c r="V331" s="399" t="s">
        <v>286</v>
      </c>
      <c r="W331" s="407">
        <v>0</v>
      </c>
      <c r="X331" s="405">
        <v>0</v>
      </c>
      <c r="Y331" s="407">
        <v>0</v>
      </c>
      <c r="AA331" s="399" t="s">
        <v>286</v>
      </c>
      <c r="AB331" s="328">
        <v>0</v>
      </c>
      <c r="AC331" s="328">
        <v>0</v>
      </c>
      <c r="AD331" s="328">
        <v>0</v>
      </c>
      <c r="AE331" s="328">
        <v>0</v>
      </c>
      <c r="AF331" s="328">
        <v>0</v>
      </c>
      <c r="AG331" s="328">
        <v>0</v>
      </c>
      <c r="AI331" s="399" t="s">
        <v>286</v>
      </c>
      <c r="AJ331" s="328">
        <v>0</v>
      </c>
      <c r="AK331" s="328">
        <v>0</v>
      </c>
      <c r="AL331" s="328">
        <v>0</v>
      </c>
      <c r="AM331" s="328">
        <v>0</v>
      </c>
      <c r="AN331" s="328">
        <v>0</v>
      </c>
      <c r="AO331" s="328">
        <v>0</v>
      </c>
    </row>
    <row r="332" spans="1:41" ht="15.75">
      <c r="A332" s="167">
        <v>327</v>
      </c>
      <c r="B332" s="79" t="s">
        <v>100</v>
      </c>
      <c r="C332" s="452">
        <v>100025351</v>
      </c>
      <c r="D332" s="457">
        <v>1125</v>
      </c>
      <c r="E332" s="328">
        <v>24</v>
      </c>
      <c r="F332" s="328">
        <v>0</v>
      </c>
      <c r="G332" s="328">
        <v>24</v>
      </c>
      <c r="H332" s="328">
        <v>0</v>
      </c>
      <c r="I332" s="328">
        <v>0</v>
      </c>
      <c r="J332" s="328">
        <v>0</v>
      </c>
      <c r="K332" s="333">
        <v>0</v>
      </c>
      <c r="L332" s="333"/>
      <c r="N332" s="402">
        <v>100025351</v>
      </c>
      <c r="O332" s="328">
        <v>0</v>
      </c>
      <c r="P332" s="328">
        <v>24</v>
      </c>
      <c r="Q332" s="328">
        <v>0</v>
      </c>
      <c r="R332" s="328">
        <v>24</v>
      </c>
      <c r="S332" s="328">
        <v>929024</v>
      </c>
      <c r="T332" s="4">
        <v>0.36</v>
      </c>
      <c r="U332" s="165">
        <f>VLOOKUP(N332,'[2]154'!$C$9:$T$554,18,0)</f>
        <v>24</v>
      </c>
      <c r="V332" s="402">
        <v>100025351</v>
      </c>
      <c r="W332" s="407">
        <v>0</v>
      </c>
      <c r="X332" s="405">
        <v>0</v>
      </c>
      <c r="Y332" s="407">
        <v>0</v>
      </c>
      <c r="AA332" s="402">
        <v>100025351</v>
      </c>
      <c r="AB332" s="328">
        <v>0</v>
      </c>
      <c r="AC332" s="328">
        <v>24</v>
      </c>
      <c r="AD332" s="328">
        <v>0</v>
      </c>
      <c r="AE332" s="328">
        <v>24</v>
      </c>
      <c r="AF332" s="328">
        <v>12</v>
      </c>
      <c r="AG332" s="328">
        <v>341700</v>
      </c>
      <c r="AI332" s="402">
        <v>100025351</v>
      </c>
      <c r="AJ332" s="328">
        <v>0</v>
      </c>
      <c r="AK332" s="328">
        <v>24</v>
      </c>
      <c r="AL332" s="328">
        <v>0</v>
      </c>
      <c r="AM332" s="328">
        <v>24</v>
      </c>
      <c r="AN332" s="328">
        <v>12</v>
      </c>
      <c r="AO332" s="328">
        <v>587324</v>
      </c>
    </row>
    <row r="333" spans="1:41" ht="15.75">
      <c r="A333" s="167">
        <v>328</v>
      </c>
      <c r="B333" s="79" t="s">
        <v>108</v>
      </c>
      <c r="C333" s="452">
        <v>182034821</v>
      </c>
      <c r="D333" s="457">
        <v>11876</v>
      </c>
      <c r="E333" s="328">
        <v>256</v>
      </c>
      <c r="F333" s="328">
        <v>41</v>
      </c>
      <c r="G333" s="328">
        <v>215</v>
      </c>
      <c r="H333" s="328">
        <v>0</v>
      </c>
      <c r="I333" s="328">
        <v>0</v>
      </c>
      <c r="J333" s="328">
        <v>173</v>
      </c>
      <c r="K333" s="333">
        <v>173</v>
      </c>
      <c r="L333" s="333"/>
      <c r="N333" s="402">
        <v>182034821</v>
      </c>
      <c r="O333" s="328">
        <v>41</v>
      </c>
      <c r="P333" s="328">
        <v>215</v>
      </c>
      <c r="Q333" s="328">
        <v>0</v>
      </c>
      <c r="R333" s="328">
        <v>256</v>
      </c>
      <c r="S333" s="328">
        <v>8703179</v>
      </c>
      <c r="T333" s="4">
        <v>3.46</v>
      </c>
      <c r="U333" s="165">
        <f>VLOOKUP(N333,'[2]154'!$C$9:$T$554,18,0)</f>
        <v>442</v>
      </c>
      <c r="V333" s="402">
        <v>182034821</v>
      </c>
      <c r="W333" s="407">
        <v>173</v>
      </c>
      <c r="X333" s="405">
        <v>66185.87861271677</v>
      </c>
      <c r="Y333" s="407">
        <v>11450157</v>
      </c>
      <c r="AA333" s="402">
        <v>182034821</v>
      </c>
      <c r="AB333" s="328">
        <v>41</v>
      </c>
      <c r="AC333" s="328">
        <v>215</v>
      </c>
      <c r="AD333" s="328">
        <v>0</v>
      </c>
      <c r="AE333" s="328">
        <v>256</v>
      </c>
      <c r="AF333" s="328">
        <v>116</v>
      </c>
      <c r="AG333" s="328">
        <v>3120328</v>
      </c>
      <c r="AI333" s="402">
        <v>182034821</v>
      </c>
      <c r="AJ333" s="328">
        <v>41</v>
      </c>
      <c r="AK333" s="328">
        <v>215</v>
      </c>
      <c r="AL333" s="328">
        <v>0</v>
      </c>
      <c r="AM333" s="328">
        <v>256</v>
      </c>
      <c r="AN333" s="328">
        <v>116</v>
      </c>
      <c r="AO333" s="328">
        <v>5582851</v>
      </c>
    </row>
    <row r="334" spans="1:41" ht="15.75">
      <c r="A334" s="167">
        <v>329</v>
      </c>
      <c r="B334" s="79" t="s">
        <v>108</v>
      </c>
      <c r="C334" s="452">
        <v>182034836</v>
      </c>
      <c r="D334" s="457">
        <v>3006</v>
      </c>
      <c r="E334" s="328">
        <v>354</v>
      </c>
      <c r="F334" s="328">
        <v>0</v>
      </c>
      <c r="G334" s="328">
        <v>299</v>
      </c>
      <c r="H334" s="328">
        <v>55</v>
      </c>
      <c r="I334" s="328">
        <v>0</v>
      </c>
      <c r="J334" s="328">
        <v>0</v>
      </c>
      <c r="K334" s="333">
        <v>0</v>
      </c>
      <c r="L334" s="333"/>
      <c r="N334" s="402">
        <v>182034836</v>
      </c>
      <c r="O334" s="328">
        <v>0</v>
      </c>
      <c r="P334" s="328">
        <v>299</v>
      </c>
      <c r="Q334" s="328">
        <v>55</v>
      </c>
      <c r="R334" s="328">
        <v>354</v>
      </c>
      <c r="S334" s="328">
        <v>15193482</v>
      </c>
      <c r="T334" s="4">
        <v>0.36</v>
      </c>
      <c r="U334" s="165">
        <f>VLOOKUP(N334,'[2]154'!$C$9:$T$554,18,0)</f>
        <v>355</v>
      </c>
      <c r="V334" s="402">
        <v>182034836</v>
      </c>
      <c r="W334" s="407">
        <v>0</v>
      </c>
      <c r="X334" s="405">
        <v>0</v>
      </c>
      <c r="Y334" s="407">
        <v>0</v>
      </c>
      <c r="AA334" s="402">
        <v>182034836</v>
      </c>
      <c r="AB334" s="328">
        <v>0</v>
      </c>
      <c r="AC334" s="328">
        <v>299</v>
      </c>
      <c r="AD334" s="328">
        <v>55</v>
      </c>
      <c r="AE334" s="328">
        <v>354</v>
      </c>
      <c r="AF334" s="328">
        <v>194</v>
      </c>
      <c r="AG334" s="328">
        <v>5461839</v>
      </c>
      <c r="AI334" s="402">
        <v>182034836</v>
      </c>
      <c r="AJ334" s="328">
        <v>0</v>
      </c>
      <c r="AK334" s="328">
        <v>299</v>
      </c>
      <c r="AL334" s="328">
        <v>55</v>
      </c>
      <c r="AM334" s="328">
        <v>354</v>
      </c>
      <c r="AN334" s="328">
        <v>194</v>
      </c>
      <c r="AO334" s="328">
        <v>9731643</v>
      </c>
    </row>
    <row r="335" spans="1:41" ht="15.75">
      <c r="A335" s="167">
        <v>330</v>
      </c>
      <c r="B335" s="79" t="s">
        <v>108</v>
      </c>
      <c r="C335" s="452">
        <v>182034837</v>
      </c>
      <c r="D335" s="457">
        <v>810</v>
      </c>
      <c r="E335" s="328">
        <v>47</v>
      </c>
      <c r="F335" s="328">
        <v>1</v>
      </c>
      <c r="G335" s="328">
        <v>9</v>
      </c>
      <c r="H335" s="328">
        <v>37</v>
      </c>
      <c r="I335" s="328">
        <v>0</v>
      </c>
      <c r="J335" s="328">
        <v>0</v>
      </c>
      <c r="K335" s="333">
        <v>0</v>
      </c>
      <c r="L335" s="333"/>
      <c r="N335" s="402">
        <v>182034837</v>
      </c>
      <c r="O335" s="328">
        <v>1</v>
      </c>
      <c r="P335" s="328">
        <v>9</v>
      </c>
      <c r="Q335" s="328">
        <v>37</v>
      </c>
      <c r="R335" s="328">
        <v>47</v>
      </c>
      <c r="S335" s="328">
        <v>2811713</v>
      </c>
      <c r="T335" s="4">
        <v>4.16</v>
      </c>
      <c r="U335" s="165">
        <f>VLOOKUP(N335,'[2]154'!$C$9:$T$554,18,0)</f>
        <v>47</v>
      </c>
      <c r="V335" s="402">
        <v>182034837</v>
      </c>
      <c r="W335" s="407">
        <v>0</v>
      </c>
      <c r="X335" s="405">
        <v>0</v>
      </c>
      <c r="Y335" s="407">
        <v>0</v>
      </c>
      <c r="AA335" s="402">
        <v>182034837</v>
      </c>
      <c r="AB335" s="328">
        <v>1</v>
      </c>
      <c r="AC335" s="328">
        <v>9</v>
      </c>
      <c r="AD335" s="328">
        <v>37</v>
      </c>
      <c r="AE335" s="328">
        <v>47</v>
      </c>
      <c r="AF335" s="328">
        <v>34</v>
      </c>
      <c r="AG335" s="328">
        <v>1070626</v>
      </c>
      <c r="AI335" s="402">
        <v>182034837</v>
      </c>
      <c r="AJ335" s="328">
        <v>1</v>
      </c>
      <c r="AK335" s="328">
        <v>9</v>
      </c>
      <c r="AL335" s="328">
        <v>37</v>
      </c>
      <c r="AM335" s="328">
        <v>47</v>
      </c>
      <c r="AN335" s="328">
        <v>34</v>
      </c>
      <c r="AO335" s="328">
        <v>1741087</v>
      </c>
    </row>
    <row r="336" spans="1:41" ht="15.75">
      <c r="A336" s="167">
        <v>331</v>
      </c>
      <c r="B336" s="79" t="s">
        <v>106</v>
      </c>
      <c r="C336" s="452" t="s">
        <v>293</v>
      </c>
      <c r="D336" s="457">
        <v>11564</v>
      </c>
      <c r="E336" s="328">
        <v>391</v>
      </c>
      <c r="F336" s="328">
        <v>0</v>
      </c>
      <c r="G336" s="328">
        <v>164</v>
      </c>
      <c r="H336" s="328">
        <v>227</v>
      </c>
      <c r="I336" s="328">
        <v>2490</v>
      </c>
      <c r="J336" s="328">
        <v>0</v>
      </c>
      <c r="K336" s="333">
        <v>2490</v>
      </c>
      <c r="L336" s="333"/>
      <c r="N336" s="399" t="s">
        <v>293</v>
      </c>
      <c r="O336" s="328">
        <v>0</v>
      </c>
      <c r="P336" s="328">
        <v>164</v>
      </c>
      <c r="Q336" s="328">
        <v>227</v>
      </c>
      <c r="R336" s="328">
        <v>391</v>
      </c>
      <c r="S336" s="328">
        <v>13483052</v>
      </c>
      <c r="T336" s="4">
        <v>2.67</v>
      </c>
      <c r="U336" s="165">
        <f>VLOOKUP(N336,'[2]154'!$C$9:$T$554,18,0)</f>
        <v>9975</v>
      </c>
      <c r="V336" s="399" t="s">
        <v>293</v>
      </c>
      <c r="W336" s="407">
        <v>2490</v>
      </c>
      <c r="X336" s="405">
        <v>36609.563052208832</v>
      </c>
      <c r="Y336" s="407">
        <v>91157812</v>
      </c>
      <c r="AA336" s="399" t="s">
        <v>293</v>
      </c>
      <c r="AB336" s="328">
        <v>0</v>
      </c>
      <c r="AC336" s="328">
        <v>164</v>
      </c>
      <c r="AD336" s="328">
        <v>227</v>
      </c>
      <c r="AE336" s="328">
        <v>391</v>
      </c>
      <c r="AF336" s="328">
        <v>264</v>
      </c>
      <c r="AG336" s="328">
        <v>4854648</v>
      </c>
      <c r="AI336" s="399" t="s">
        <v>293</v>
      </c>
      <c r="AJ336" s="328">
        <v>0</v>
      </c>
      <c r="AK336" s="328">
        <v>164</v>
      </c>
      <c r="AL336" s="328">
        <v>227</v>
      </c>
      <c r="AM336" s="328">
        <v>391</v>
      </c>
      <c r="AN336" s="328">
        <v>264</v>
      </c>
      <c r="AO336" s="328">
        <v>8628404</v>
      </c>
    </row>
    <row r="337" spans="1:41" ht="15.75">
      <c r="A337" s="167">
        <v>332</v>
      </c>
      <c r="B337" s="79" t="s">
        <v>105</v>
      </c>
      <c r="C337" s="452">
        <v>465318</v>
      </c>
      <c r="D337" s="457">
        <v>6582</v>
      </c>
      <c r="E337" s="328">
        <v>397</v>
      </c>
      <c r="G337" s="328">
        <v>334</v>
      </c>
      <c r="H337" s="328">
        <v>63</v>
      </c>
      <c r="I337" s="328">
        <v>0</v>
      </c>
      <c r="J337" s="328">
        <v>115</v>
      </c>
      <c r="K337" s="333">
        <v>115</v>
      </c>
      <c r="N337" s="402">
        <v>465318</v>
      </c>
      <c r="O337" s="328">
        <v>0</v>
      </c>
      <c r="P337" s="328">
        <v>334</v>
      </c>
      <c r="Q337" s="328">
        <v>63</v>
      </c>
      <c r="R337" s="328">
        <v>397</v>
      </c>
      <c r="S337" s="328">
        <v>8792938</v>
      </c>
      <c r="T337" s="4">
        <v>1.53</v>
      </c>
      <c r="U337" s="165">
        <f>VLOOKUP(N337,'[2]154'!$C$9:$T$554,18,0)</f>
        <v>5909</v>
      </c>
      <c r="V337" s="402">
        <v>465318</v>
      </c>
      <c r="W337" s="407">
        <v>115</v>
      </c>
      <c r="X337" s="405">
        <v>22866.91304347826</v>
      </c>
      <c r="Y337" s="407">
        <v>2629695</v>
      </c>
      <c r="AA337" s="402">
        <v>465318</v>
      </c>
      <c r="AB337" s="328">
        <v>0</v>
      </c>
      <c r="AC337" s="328">
        <v>334</v>
      </c>
      <c r="AD337" s="328">
        <v>63</v>
      </c>
      <c r="AE337" s="328">
        <v>397</v>
      </c>
      <c r="AF337" s="328">
        <v>217</v>
      </c>
      <c r="AG337" s="328">
        <v>3142752</v>
      </c>
      <c r="AI337" s="402">
        <v>465318</v>
      </c>
      <c r="AJ337" s="328">
        <v>0</v>
      </c>
      <c r="AK337" s="328">
        <v>334</v>
      </c>
      <c r="AL337" s="328">
        <v>63</v>
      </c>
      <c r="AM337" s="328">
        <v>397</v>
      </c>
      <c r="AN337" s="328">
        <v>217</v>
      </c>
      <c r="AO337" s="328">
        <v>5650186</v>
      </c>
    </row>
    <row r="338" spans="1:41" ht="15.75">
      <c r="A338" s="167">
        <v>333</v>
      </c>
      <c r="B338" s="79" t="s">
        <v>105</v>
      </c>
      <c r="C338" s="452">
        <v>465985</v>
      </c>
      <c r="D338" s="457">
        <v>9760</v>
      </c>
      <c r="E338" s="328">
        <v>793</v>
      </c>
      <c r="F338" s="328">
        <v>68</v>
      </c>
      <c r="G338" s="328">
        <v>651</v>
      </c>
      <c r="H338" s="328">
        <v>74</v>
      </c>
      <c r="I338" s="328">
        <v>0</v>
      </c>
      <c r="J338" s="328">
        <v>123</v>
      </c>
      <c r="K338" s="333">
        <v>123</v>
      </c>
      <c r="N338" s="402">
        <v>465985</v>
      </c>
      <c r="O338" s="328">
        <v>68</v>
      </c>
      <c r="P338" s="328">
        <v>651</v>
      </c>
      <c r="Q338" s="328">
        <v>74</v>
      </c>
      <c r="R338" s="328">
        <v>793</v>
      </c>
      <c r="S338" s="328">
        <v>48594900</v>
      </c>
      <c r="T338" s="4">
        <v>3.24</v>
      </c>
      <c r="U338" s="165">
        <f>VLOOKUP(N338,'[2]154'!$C$9:$T$554,18,0)</f>
        <v>5600</v>
      </c>
      <c r="V338" s="402">
        <v>465985</v>
      </c>
      <c r="W338" s="407">
        <v>123</v>
      </c>
      <c r="X338" s="405">
        <v>61100.097560975613</v>
      </c>
      <c r="Y338" s="407">
        <v>7515312</v>
      </c>
      <c r="AA338" s="402">
        <v>465985</v>
      </c>
      <c r="AB338" s="328">
        <v>68</v>
      </c>
      <c r="AC338" s="328">
        <v>651</v>
      </c>
      <c r="AD338" s="328">
        <v>74</v>
      </c>
      <c r="AE338" s="328">
        <v>793</v>
      </c>
      <c r="AF338" s="328">
        <v>398</v>
      </c>
      <c r="AG338" s="328">
        <v>16780139</v>
      </c>
      <c r="AI338" s="402">
        <v>465985</v>
      </c>
      <c r="AJ338" s="328">
        <v>68</v>
      </c>
      <c r="AK338" s="328">
        <v>651</v>
      </c>
      <c r="AL338" s="328">
        <v>74</v>
      </c>
      <c r="AM338" s="328">
        <v>793</v>
      </c>
      <c r="AN338" s="328">
        <v>398</v>
      </c>
      <c r="AO338" s="328">
        <v>31814761</v>
      </c>
    </row>
    <row r="339" spans="1:41" ht="15.75">
      <c r="A339" s="167">
        <v>334</v>
      </c>
      <c r="B339" s="79" t="s">
        <v>105</v>
      </c>
      <c r="C339" s="452">
        <v>466092</v>
      </c>
      <c r="D339" s="457">
        <v>1691</v>
      </c>
      <c r="E339" s="328">
        <v>203</v>
      </c>
      <c r="G339" s="328">
        <v>21</v>
      </c>
      <c r="H339" s="328">
        <v>182</v>
      </c>
      <c r="I339" s="328">
        <v>0</v>
      </c>
      <c r="J339" s="328">
        <v>0</v>
      </c>
      <c r="K339" s="333">
        <v>0</v>
      </c>
      <c r="N339" s="399">
        <v>466092</v>
      </c>
      <c r="O339" s="328">
        <v>0</v>
      </c>
      <c r="P339" s="328">
        <v>21</v>
      </c>
      <c r="Q339" s="328">
        <v>182</v>
      </c>
      <c r="R339" s="328">
        <v>203</v>
      </c>
      <c r="S339" s="328">
        <v>12836894</v>
      </c>
      <c r="T339" s="4">
        <v>4.1500000000000004</v>
      </c>
      <c r="U339" s="165">
        <f>VLOOKUP(N339,'[2]154'!$C$9:$T$554,18,0)</f>
        <v>203</v>
      </c>
      <c r="V339" s="399">
        <v>466092</v>
      </c>
      <c r="W339" s="407">
        <v>0</v>
      </c>
      <c r="X339" s="405">
        <v>0</v>
      </c>
      <c r="Y339" s="407">
        <v>0</v>
      </c>
      <c r="AA339" s="399">
        <v>466092</v>
      </c>
      <c r="AB339" s="328">
        <v>0</v>
      </c>
      <c r="AC339" s="328">
        <v>21</v>
      </c>
      <c r="AD339" s="328">
        <v>182</v>
      </c>
      <c r="AE339" s="328">
        <v>203</v>
      </c>
      <c r="AF339" s="328">
        <v>156</v>
      </c>
      <c r="AG339" s="328">
        <v>4588134</v>
      </c>
      <c r="AI339" s="399">
        <v>466092</v>
      </c>
      <c r="AJ339" s="328">
        <v>0</v>
      </c>
      <c r="AK339" s="328">
        <v>21</v>
      </c>
      <c r="AL339" s="328">
        <v>182</v>
      </c>
      <c r="AM339" s="328">
        <v>203</v>
      </c>
      <c r="AN339" s="328">
        <v>156</v>
      </c>
      <c r="AO339" s="328">
        <v>8248760</v>
      </c>
    </row>
    <row r="340" spans="1:41" ht="15.75">
      <c r="A340" s="167">
        <v>335</v>
      </c>
      <c r="B340" s="79" t="s">
        <v>105</v>
      </c>
      <c r="C340" s="452">
        <v>470322</v>
      </c>
      <c r="D340" s="457">
        <v>6479</v>
      </c>
      <c r="E340" s="328">
        <v>311</v>
      </c>
      <c r="G340" s="328">
        <v>90</v>
      </c>
      <c r="H340" s="328">
        <v>221</v>
      </c>
      <c r="I340" s="328">
        <v>0</v>
      </c>
      <c r="J340" s="328">
        <v>0</v>
      </c>
      <c r="K340" s="333">
        <v>0</v>
      </c>
      <c r="N340" s="399">
        <v>470322</v>
      </c>
      <c r="O340" s="328">
        <v>0</v>
      </c>
      <c r="P340" s="328">
        <v>90</v>
      </c>
      <c r="Q340" s="328">
        <v>221</v>
      </c>
      <c r="R340" s="328">
        <v>311</v>
      </c>
      <c r="S340" s="328">
        <v>8143516</v>
      </c>
      <c r="T340" s="4">
        <v>0.35</v>
      </c>
      <c r="U340" s="165">
        <f>VLOOKUP(N340,'[2]154'!$C$9:$T$554,18,0)</f>
        <v>311</v>
      </c>
      <c r="V340" s="399">
        <v>470322</v>
      </c>
      <c r="W340" s="407">
        <v>0</v>
      </c>
      <c r="X340" s="405">
        <v>0</v>
      </c>
      <c r="Y340" s="407">
        <v>0</v>
      </c>
      <c r="AA340" s="399">
        <v>470322</v>
      </c>
      <c r="AB340" s="328">
        <v>0</v>
      </c>
      <c r="AC340" s="328">
        <v>90</v>
      </c>
      <c r="AD340" s="328">
        <v>221</v>
      </c>
      <c r="AE340" s="328">
        <v>311</v>
      </c>
      <c r="AF340" s="328">
        <v>222</v>
      </c>
      <c r="AG340" s="328">
        <v>2910637</v>
      </c>
      <c r="AI340" s="399">
        <v>470322</v>
      </c>
      <c r="AJ340" s="328">
        <v>0</v>
      </c>
      <c r="AK340" s="328">
        <v>90</v>
      </c>
      <c r="AL340" s="328">
        <v>221</v>
      </c>
      <c r="AM340" s="328">
        <v>311</v>
      </c>
      <c r="AN340" s="328">
        <v>222</v>
      </c>
      <c r="AO340" s="328">
        <v>5232879</v>
      </c>
    </row>
    <row r="341" spans="1:41" ht="15.75">
      <c r="A341" s="167">
        <v>336</v>
      </c>
      <c r="B341" s="79" t="s">
        <v>105</v>
      </c>
      <c r="C341" s="452">
        <v>471823</v>
      </c>
      <c r="D341" s="457">
        <v>9254</v>
      </c>
      <c r="E341" s="328">
        <v>1013</v>
      </c>
      <c r="G341" s="328">
        <v>125</v>
      </c>
      <c r="H341" s="328">
        <v>888</v>
      </c>
      <c r="I341" s="328">
        <v>0</v>
      </c>
      <c r="J341" s="328">
        <v>100</v>
      </c>
      <c r="K341" s="333">
        <v>100</v>
      </c>
      <c r="N341" s="399">
        <v>471823</v>
      </c>
      <c r="O341" s="328">
        <v>0</v>
      </c>
      <c r="P341" s="328">
        <v>125</v>
      </c>
      <c r="Q341" s="328">
        <v>888</v>
      </c>
      <c r="R341" s="328">
        <v>1013</v>
      </c>
      <c r="S341" s="328">
        <v>41254426</v>
      </c>
      <c r="T341" s="4">
        <v>2</v>
      </c>
      <c r="U341" s="165">
        <f>VLOOKUP(N341,'[2]154'!$C$9:$T$554,18,0)</f>
        <v>5953</v>
      </c>
      <c r="V341" s="399">
        <v>471823</v>
      </c>
      <c r="W341" s="407">
        <v>100</v>
      </c>
      <c r="X341" s="405">
        <v>41184.35</v>
      </c>
      <c r="Y341" s="407">
        <v>4118435</v>
      </c>
      <c r="AA341" s="399">
        <v>471823</v>
      </c>
      <c r="AB341" s="328">
        <v>0</v>
      </c>
      <c r="AC341" s="328">
        <v>125</v>
      </c>
      <c r="AD341" s="328">
        <v>888</v>
      </c>
      <c r="AE341" s="328">
        <v>1013</v>
      </c>
      <c r="AF341" s="328">
        <v>773</v>
      </c>
      <c r="AG341" s="328">
        <v>14497278</v>
      </c>
      <c r="AI341" s="399">
        <v>471823</v>
      </c>
      <c r="AJ341" s="328">
        <v>0</v>
      </c>
      <c r="AK341" s="328">
        <v>125</v>
      </c>
      <c r="AL341" s="328">
        <v>888</v>
      </c>
      <c r="AM341" s="328">
        <v>1013</v>
      </c>
      <c r="AN341" s="328">
        <v>773</v>
      </c>
      <c r="AO341" s="328">
        <v>26757148</v>
      </c>
    </row>
    <row r="342" spans="1:41" ht="15.75">
      <c r="A342" s="167">
        <v>337</v>
      </c>
      <c r="B342" s="79" t="s">
        <v>105</v>
      </c>
      <c r="C342" s="452">
        <v>471825</v>
      </c>
      <c r="D342" s="457">
        <v>965</v>
      </c>
      <c r="E342" s="328">
        <v>50</v>
      </c>
      <c r="F342" s="328">
        <v>0</v>
      </c>
      <c r="G342" s="328">
        <v>50</v>
      </c>
      <c r="H342" s="328">
        <v>0</v>
      </c>
      <c r="I342" s="328">
        <v>0</v>
      </c>
      <c r="J342" s="328">
        <v>5</v>
      </c>
      <c r="K342" s="333">
        <v>5</v>
      </c>
      <c r="N342" s="399">
        <v>471825</v>
      </c>
      <c r="O342" s="328">
        <v>0</v>
      </c>
      <c r="P342" s="328">
        <v>50</v>
      </c>
      <c r="Q342" s="328">
        <v>0</v>
      </c>
      <c r="R342" s="328">
        <v>50</v>
      </c>
      <c r="S342" s="328">
        <v>1824574</v>
      </c>
      <c r="T342" s="4">
        <v>2.65</v>
      </c>
      <c r="U342" s="165">
        <f>VLOOKUP(N342,'[2]154'!$C$9:$T$554,18,0)</f>
        <v>109</v>
      </c>
      <c r="V342" s="399">
        <v>471825</v>
      </c>
      <c r="W342" s="407">
        <v>5</v>
      </c>
      <c r="X342" s="405">
        <v>57300.4</v>
      </c>
      <c r="Y342" s="407">
        <v>286502</v>
      </c>
      <c r="AA342" s="399">
        <v>471825</v>
      </c>
      <c r="AB342" s="328">
        <v>0</v>
      </c>
      <c r="AC342" s="328">
        <v>50</v>
      </c>
      <c r="AD342" s="328">
        <v>0</v>
      </c>
      <c r="AE342" s="328">
        <v>50</v>
      </c>
      <c r="AF342" s="328">
        <v>25</v>
      </c>
      <c r="AG342" s="328">
        <v>652135</v>
      </c>
      <c r="AI342" s="399">
        <v>471825</v>
      </c>
      <c r="AJ342" s="328">
        <v>0</v>
      </c>
      <c r="AK342" s="328">
        <v>50</v>
      </c>
      <c r="AL342" s="328">
        <v>0</v>
      </c>
      <c r="AM342" s="328">
        <v>50</v>
      </c>
      <c r="AN342" s="328">
        <v>25</v>
      </c>
      <c r="AO342" s="328">
        <v>1172439</v>
      </c>
    </row>
    <row r="343" spans="1:41" ht="15.75">
      <c r="A343" s="167">
        <v>338</v>
      </c>
      <c r="B343" s="79" t="s">
        <v>105</v>
      </c>
      <c r="C343" s="452">
        <v>472140</v>
      </c>
      <c r="D343" s="457">
        <v>1526</v>
      </c>
      <c r="E343" s="328">
        <v>157</v>
      </c>
      <c r="G343" s="328">
        <v>78</v>
      </c>
      <c r="H343" s="328">
        <v>79</v>
      </c>
      <c r="I343" s="328">
        <v>0</v>
      </c>
      <c r="J343" s="328">
        <v>52</v>
      </c>
      <c r="K343" s="333">
        <v>52</v>
      </c>
      <c r="N343" s="399">
        <v>472140</v>
      </c>
      <c r="O343" s="328">
        <v>0</v>
      </c>
      <c r="P343" s="328">
        <v>78</v>
      </c>
      <c r="Q343" s="328">
        <v>79</v>
      </c>
      <c r="R343" s="328">
        <v>157</v>
      </c>
      <c r="S343" s="328">
        <v>6486561</v>
      </c>
      <c r="T343" s="4">
        <v>3.15</v>
      </c>
      <c r="U343" s="165">
        <f>VLOOKUP(N343,'[2]154'!$C$9:$T$554,18,0)</f>
        <v>202</v>
      </c>
      <c r="V343" s="399">
        <v>472140</v>
      </c>
      <c r="W343" s="407">
        <v>52</v>
      </c>
      <c r="X343" s="405">
        <v>60079.403846153844</v>
      </c>
      <c r="Y343" s="407">
        <v>3124129</v>
      </c>
      <c r="AA343" s="399">
        <v>472140</v>
      </c>
      <c r="AB343" s="328">
        <v>0</v>
      </c>
      <c r="AC343" s="328">
        <v>78</v>
      </c>
      <c r="AD343" s="328">
        <v>79</v>
      </c>
      <c r="AE343" s="328">
        <v>157</v>
      </c>
      <c r="AF343" s="328">
        <v>102</v>
      </c>
      <c r="AG343" s="328">
        <v>2318412</v>
      </c>
      <c r="AI343" s="399">
        <v>472140</v>
      </c>
      <c r="AJ343" s="328">
        <v>0</v>
      </c>
      <c r="AK343" s="328">
        <v>78</v>
      </c>
      <c r="AL343" s="328">
        <v>79</v>
      </c>
      <c r="AM343" s="328">
        <v>157</v>
      </c>
      <c r="AN343" s="328">
        <v>102</v>
      </c>
      <c r="AO343" s="328">
        <v>4168149</v>
      </c>
    </row>
    <row r="344" spans="1:41" ht="15.75">
      <c r="A344" s="167">
        <v>339</v>
      </c>
      <c r="B344" s="79" t="s">
        <v>105</v>
      </c>
      <c r="C344" s="452">
        <v>472629</v>
      </c>
      <c r="D344" s="457">
        <v>5498</v>
      </c>
      <c r="E344" s="328">
        <v>476</v>
      </c>
      <c r="H344" s="328">
        <v>476</v>
      </c>
      <c r="I344" s="328">
        <v>0</v>
      </c>
      <c r="J344" s="328">
        <v>68</v>
      </c>
      <c r="K344" s="333">
        <v>68</v>
      </c>
      <c r="N344" s="399">
        <v>472629</v>
      </c>
      <c r="O344" s="328">
        <v>0</v>
      </c>
      <c r="P344" s="328">
        <v>0</v>
      </c>
      <c r="Q344" s="328">
        <v>476</v>
      </c>
      <c r="R344" s="328">
        <v>476</v>
      </c>
      <c r="S344" s="328">
        <v>11980453</v>
      </c>
      <c r="T344" s="4">
        <v>1.85</v>
      </c>
      <c r="U344" s="165">
        <f>VLOOKUP(N344,'[2]154'!$C$9:$T$554,18,0)</f>
        <v>548</v>
      </c>
      <c r="V344" s="399">
        <v>472629</v>
      </c>
      <c r="W344" s="407">
        <v>68</v>
      </c>
      <c r="X344" s="405">
        <v>25169.014705882353</v>
      </c>
      <c r="Y344" s="407">
        <v>1711493</v>
      </c>
      <c r="AA344" s="399">
        <v>472629</v>
      </c>
      <c r="AB344" s="328">
        <v>0</v>
      </c>
      <c r="AC344" s="328">
        <v>0</v>
      </c>
      <c r="AD344" s="328">
        <v>476</v>
      </c>
      <c r="AE344" s="328">
        <v>476</v>
      </c>
      <c r="AF344" s="328">
        <v>381</v>
      </c>
      <c r="AG344" s="328">
        <v>4282027</v>
      </c>
      <c r="AI344" s="399">
        <v>472629</v>
      </c>
      <c r="AJ344" s="328">
        <v>0</v>
      </c>
      <c r="AK344" s="328">
        <v>0</v>
      </c>
      <c r="AL344" s="328">
        <v>476</v>
      </c>
      <c r="AM344" s="328">
        <v>476</v>
      </c>
      <c r="AN344" s="328">
        <v>381</v>
      </c>
      <c r="AO344" s="328">
        <v>7698426</v>
      </c>
    </row>
    <row r="345" spans="1:41" ht="15.75">
      <c r="A345" s="167">
        <v>340</v>
      </c>
      <c r="B345" s="79" t="s">
        <v>161</v>
      </c>
      <c r="C345" s="452">
        <v>100015200</v>
      </c>
      <c r="D345" s="457">
        <v>2891</v>
      </c>
      <c r="E345" s="328">
        <v>249</v>
      </c>
      <c r="G345" s="328">
        <v>110</v>
      </c>
      <c r="H345" s="328">
        <v>139</v>
      </c>
      <c r="I345" s="328">
        <v>0</v>
      </c>
      <c r="J345" s="328">
        <v>33</v>
      </c>
      <c r="K345" s="333">
        <v>33</v>
      </c>
      <c r="N345" s="399">
        <v>100015200</v>
      </c>
      <c r="O345" s="328">
        <v>0</v>
      </c>
      <c r="P345" s="328">
        <v>110</v>
      </c>
      <c r="Q345" s="328">
        <v>139</v>
      </c>
      <c r="R345" s="328">
        <v>249</v>
      </c>
      <c r="S345" s="328">
        <v>14563756</v>
      </c>
      <c r="T345" s="4">
        <v>4.1100000000000003</v>
      </c>
      <c r="U345" s="165">
        <f>VLOOKUP(N345,'[2]154'!$C$9:$T$554,18,0)</f>
        <v>418</v>
      </c>
      <c r="V345" s="399">
        <v>100015200</v>
      </c>
      <c r="W345" s="407">
        <v>33</v>
      </c>
      <c r="X345" s="405">
        <v>79521.333333333328</v>
      </c>
      <c r="Y345" s="407">
        <v>2624204</v>
      </c>
      <c r="AA345" s="399">
        <v>100015200</v>
      </c>
      <c r="AB345" s="328">
        <v>0</v>
      </c>
      <c r="AC345" s="328">
        <v>110</v>
      </c>
      <c r="AD345" s="328">
        <v>139</v>
      </c>
      <c r="AE345" s="328">
        <v>249</v>
      </c>
      <c r="AF345" s="328">
        <v>166</v>
      </c>
      <c r="AG345" s="328">
        <v>5205345</v>
      </c>
      <c r="AI345" s="399">
        <v>100015200</v>
      </c>
      <c r="AJ345" s="328">
        <v>0</v>
      </c>
      <c r="AK345" s="328">
        <v>110</v>
      </c>
      <c r="AL345" s="328">
        <v>139</v>
      </c>
      <c r="AM345" s="328">
        <v>249</v>
      </c>
      <c r="AN345" s="328">
        <v>166</v>
      </c>
      <c r="AO345" s="328">
        <v>9358411</v>
      </c>
    </row>
    <row r="346" spans="1:41" ht="15.75">
      <c r="A346" s="167">
        <v>341</v>
      </c>
      <c r="B346" s="79" t="s">
        <v>161</v>
      </c>
      <c r="C346" s="452">
        <v>100015306</v>
      </c>
      <c r="D346" s="457">
        <v>2410</v>
      </c>
      <c r="E346" s="328">
        <v>85</v>
      </c>
      <c r="H346" s="328">
        <v>85</v>
      </c>
      <c r="I346" s="328">
        <v>0</v>
      </c>
      <c r="J346" s="328">
        <v>0</v>
      </c>
      <c r="K346" s="333">
        <v>0</v>
      </c>
      <c r="N346" s="399">
        <v>100015306</v>
      </c>
      <c r="O346" s="328">
        <v>0</v>
      </c>
      <c r="P346" s="328">
        <v>0</v>
      </c>
      <c r="Q346" s="328">
        <v>85</v>
      </c>
      <c r="R346" s="328">
        <v>85</v>
      </c>
      <c r="S346" s="328">
        <v>2213443</v>
      </c>
      <c r="T346" s="4">
        <v>0.35</v>
      </c>
      <c r="U346" s="165">
        <f>VLOOKUP(N346,'[2]154'!$C$9:$T$554,18,0)</f>
        <v>85</v>
      </c>
      <c r="V346" s="399">
        <v>100015306</v>
      </c>
      <c r="W346" s="407">
        <v>0</v>
      </c>
      <c r="X346" s="405">
        <v>0</v>
      </c>
      <c r="Y346" s="407">
        <v>0</v>
      </c>
      <c r="AA346" s="399">
        <v>100015306</v>
      </c>
      <c r="AB346" s="328">
        <v>0</v>
      </c>
      <c r="AC346" s="328">
        <v>0</v>
      </c>
      <c r="AD346" s="328">
        <v>85</v>
      </c>
      <c r="AE346" s="328">
        <v>85</v>
      </c>
      <c r="AF346" s="328">
        <v>68</v>
      </c>
      <c r="AG346" s="328">
        <v>791124</v>
      </c>
      <c r="AI346" s="399">
        <v>100015306</v>
      </c>
      <c r="AJ346" s="328">
        <v>0</v>
      </c>
      <c r="AK346" s="328">
        <v>0</v>
      </c>
      <c r="AL346" s="328">
        <v>85</v>
      </c>
      <c r="AM346" s="328">
        <v>85</v>
      </c>
      <c r="AN346" s="328">
        <v>68</v>
      </c>
      <c r="AO346" s="328">
        <v>1422319</v>
      </c>
    </row>
    <row r="347" spans="1:41" ht="15.75">
      <c r="A347" s="167">
        <v>342</v>
      </c>
      <c r="B347" s="79" t="s">
        <v>161</v>
      </c>
      <c r="C347" s="452">
        <v>100016101</v>
      </c>
      <c r="D347" s="457">
        <v>2509</v>
      </c>
      <c r="E347" s="328">
        <v>301</v>
      </c>
      <c r="G347" s="328">
        <v>196</v>
      </c>
      <c r="H347" s="328">
        <v>105</v>
      </c>
      <c r="I347" s="328">
        <v>1395</v>
      </c>
      <c r="J347" s="328">
        <v>0</v>
      </c>
      <c r="K347" s="333">
        <v>1395</v>
      </c>
      <c r="N347" s="399">
        <v>100016101</v>
      </c>
      <c r="O347" s="328">
        <v>0</v>
      </c>
      <c r="P347" s="328">
        <v>196</v>
      </c>
      <c r="Q347" s="328">
        <v>105</v>
      </c>
      <c r="R347" s="328">
        <v>301</v>
      </c>
      <c r="S347" s="328">
        <v>6866707</v>
      </c>
      <c r="T347" s="4">
        <v>2.06</v>
      </c>
      <c r="U347" s="165">
        <f>VLOOKUP(N347,'[2]154'!$C$9:$T$554,18,0)</f>
        <v>1342</v>
      </c>
      <c r="V347" s="399">
        <v>100016101</v>
      </c>
      <c r="W347" s="407">
        <v>1395</v>
      </c>
      <c r="X347" s="405">
        <v>27523.490322580645</v>
      </c>
      <c r="Y347" s="407">
        <v>38395269</v>
      </c>
      <c r="AA347" s="399">
        <v>100016101</v>
      </c>
      <c r="AB347" s="328">
        <v>0</v>
      </c>
      <c r="AC347" s="328">
        <v>196</v>
      </c>
      <c r="AD347" s="328">
        <v>105</v>
      </c>
      <c r="AE347" s="328">
        <v>301</v>
      </c>
      <c r="AF347" s="328">
        <v>182</v>
      </c>
      <c r="AG347" s="328">
        <v>2454283</v>
      </c>
      <c r="AI347" s="399">
        <v>100016101</v>
      </c>
      <c r="AJ347" s="328">
        <v>0</v>
      </c>
      <c r="AK347" s="328">
        <v>196</v>
      </c>
      <c r="AL347" s="328">
        <v>105</v>
      </c>
      <c r="AM347" s="328">
        <v>301</v>
      </c>
      <c r="AN347" s="328">
        <v>182</v>
      </c>
      <c r="AO347" s="328">
        <v>4412424</v>
      </c>
    </row>
    <row r="348" spans="1:41" ht="15.75">
      <c r="A348" s="167">
        <v>343</v>
      </c>
      <c r="B348" s="79" t="s">
        <v>161</v>
      </c>
      <c r="C348" s="452">
        <v>100017974</v>
      </c>
      <c r="D348" s="457">
        <v>9562</v>
      </c>
      <c r="E348" s="328">
        <v>301</v>
      </c>
      <c r="F348" s="328">
        <v>63</v>
      </c>
      <c r="G348" s="328">
        <v>118</v>
      </c>
      <c r="H348" s="328">
        <v>120</v>
      </c>
      <c r="I348" s="328">
        <v>0</v>
      </c>
      <c r="J348" s="328">
        <v>58</v>
      </c>
      <c r="K348" s="333">
        <v>58</v>
      </c>
      <c r="N348" s="399">
        <v>100017974</v>
      </c>
      <c r="O348" s="328">
        <v>63</v>
      </c>
      <c r="P348" s="328">
        <v>118</v>
      </c>
      <c r="Q348" s="328">
        <v>120</v>
      </c>
      <c r="R348" s="328">
        <v>301</v>
      </c>
      <c r="S348" s="328">
        <v>6898682</v>
      </c>
      <c r="T348" s="4">
        <v>1.93</v>
      </c>
      <c r="U348" s="165">
        <f>VLOOKUP(N348,'[2]154'!$C$9:$T$554,18,0)</f>
        <v>364</v>
      </c>
      <c r="V348" s="399">
        <v>100017974</v>
      </c>
      <c r="W348" s="407">
        <v>58</v>
      </c>
      <c r="X348" s="405">
        <v>27794.879310344826</v>
      </c>
      <c r="Y348" s="407">
        <v>1612103</v>
      </c>
      <c r="AA348" s="399">
        <v>100017974</v>
      </c>
      <c r="AB348" s="328">
        <v>63</v>
      </c>
      <c r="AC348" s="328">
        <v>118</v>
      </c>
      <c r="AD348" s="328">
        <v>120</v>
      </c>
      <c r="AE348" s="328">
        <v>301</v>
      </c>
      <c r="AF348" s="328">
        <v>168</v>
      </c>
      <c r="AG348" s="328">
        <v>2465711</v>
      </c>
      <c r="AI348" s="399">
        <v>100017974</v>
      </c>
      <c r="AJ348" s="328">
        <v>63</v>
      </c>
      <c r="AK348" s="328">
        <v>118</v>
      </c>
      <c r="AL348" s="328">
        <v>120</v>
      </c>
      <c r="AM348" s="328">
        <v>301</v>
      </c>
      <c r="AN348" s="328">
        <v>168</v>
      </c>
      <c r="AO348" s="328">
        <v>4432971</v>
      </c>
    </row>
    <row r="349" spans="1:41" ht="15.75">
      <c r="A349" s="167">
        <v>344</v>
      </c>
      <c r="B349" s="79" t="s">
        <v>161</v>
      </c>
      <c r="C349" s="452">
        <v>100018139</v>
      </c>
      <c r="D349" s="457">
        <v>8114</v>
      </c>
      <c r="E349" s="328">
        <v>578</v>
      </c>
      <c r="G349" s="328">
        <v>222</v>
      </c>
      <c r="H349" s="328">
        <v>356</v>
      </c>
      <c r="I349" s="328">
        <v>7536</v>
      </c>
      <c r="J349" s="328">
        <v>0</v>
      </c>
      <c r="K349" s="333">
        <v>7536</v>
      </c>
      <c r="N349" s="399">
        <v>100018139</v>
      </c>
      <c r="O349" s="328">
        <v>0</v>
      </c>
      <c r="P349" s="328">
        <v>222</v>
      </c>
      <c r="Q349" s="328">
        <v>356</v>
      </c>
      <c r="R349" s="328">
        <v>578</v>
      </c>
      <c r="S349" s="328">
        <v>18154570</v>
      </c>
      <c r="T349" s="4">
        <v>3.15</v>
      </c>
      <c r="U349" s="165">
        <f>VLOOKUP(N349,'[2]154'!$C$9:$T$554,18,0)</f>
        <v>6608</v>
      </c>
      <c r="V349" s="399">
        <v>100018139</v>
      </c>
      <c r="W349" s="407">
        <v>7536</v>
      </c>
      <c r="X349" s="405">
        <v>37614.368232484077</v>
      </c>
      <c r="Y349" s="407">
        <v>283461879</v>
      </c>
      <c r="AA349" s="399">
        <v>100018139</v>
      </c>
      <c r="AB349" s="328">
        <v>0</v>
      </c>
      <c r="AC349" s="328">
        <v>222</v>
      </c>
      <c r="AD349" s="328">
        <v>356</v>
      </c>
      <c r="AE349" s="328">
        <v>578</v>
      </c>
      <c r="AF349" s="328">
        <v>396</v>
      </c>
      <c r="AG349" s="328">
        <v>6488766</v>
      </c>
      <c r="AI349" s="399">
        <v>100018139</v>
      </c>
      <c r="AJ349" s="328">
        <v>0</v>
      </c>
      <c r="AK349" s="328">
        <v>222</v>
      </c>
      <c r="AL349" s="328">
        <v>356</v>
      </c>
      <c r="AM349" s="328">
        <v>578</v>
      </c>
      <c r="AN349" s="328">
        <v>396</v>
      </c>
      <c r="AO349" s="328">
        <v>11665804</v>
      </c>
    </row>
    <row r="350" spans="1:41" ht="15.75">
      <c r="A350" s="167">
        <v>345</v>
      </c>
      <c r="B350" s="79" t="s">
        <v>161</v>
      </c>
      <c r="C350" s="452">
        <v>100018175</v>
      </c>
      <c r="D350" s="457">
        <v>13068</v>
      </c>
      <c r="E350" s="328">
        <v>202</v>
      </c>
      <c r="G350" s="328">
        <v>50</v>
      </c>
      <c r="H350" s="328">
        <v>152</v>
      </c>
      <c r="I350" s="328">
        <v>0</v>
      </c>
      <c r="J350" s="328">
        <v>291</v>
      </c>
      <c r="K350" s="333">
        <v>291</v>
      </c>
      <c r="N350" s="399">
        <v>100018175</v>
      </c>
      <c r="O350" s="328">
        <v>0</v>
      </c>
      <c r="P350" s="328">
        <v>50</v>
      </c>
      <c r="Q350" s="328">
        <v>152</v>
      </c>
      <c r="R350" s="328">
        <v>202</v>
      </c>
      <c r="S350" s="328">
        <v>7436926</v>
      </c>
      <c r="T350" s="4">
        <v>1.84</v>
      </c>
      <c r="U350" s="165">
        <f>VLOOKUP(N350,'[2]154'!$C$9:$T$554,18,0)</f>
        <v>4863</v>
      </c>
      <c r="V350" s="399">
        <v>100018175</v>
      </c>
      <c r="W350" s="407">
        <v>291</v>
      </c>
      <c r="X350" s="405">
        <v>36788.621993127148</v>
      </c>
      <c r="Y350" s="407">
        <v>10705489</v>
      </c>
      <c r="AA350" s="399">
        <v>100018175</v>
      </c>
      <c r="AB350" s="328">
        <v>0</v>
      </c>
      <c r="AC350" s="328">
        <v>50</v>
      </c>
      <c r="AD350" s="328">
        <v>152</v>
      </c>
      <c r="AE350" s="328">
        <v>202</v>
      </c>
      <c r="AF350" s="328">
        <v>147</v>
      </c>
      <c r="AG350" s="328">
        <v>2600173</v>
      </c>
      <c r="AI350" s="399">
        <v>100018175</v>
      </c>
      <c r="AJ350" s="328">
        <v>0</v>
      </c>
      <c r="AK350" s="328">
        <v>50</v>
      </c>
      <c r="AL350" s="328">
        <v>152</v>
      </c>
      <c r="AM350" s="328">
        <v>202</v>
      </c>
      <c r="AN350" s="328">
        <v>147</v>
      </c>
      <c r="AO350" s="328">
        <v>4836753</v>
      </c>
    </row>
    <row r="351" spans="1:41" ht="15.75">
      <c r="A351" s="167">
        <v>346</v>
      </c>
      <c r="B351" s="79" t="s">
        <v>161</v>
      </c>
      <c r="C351" s="452">
        <v>100018176</v>
      </c>
      <c r="D351" s="457">
        <v>6108</v>
      </c>
      <c r="E351" s="328">
        <v>350</v>
      </c>
      <c r="G351" s="328">
        <v>308</v>
      </c>
      <c r="H351" s="328">
        <v>42</v>
      </c>
      <c r="I351" s="328">
        <v>0</v>
      </c>
      <c r="J351" s="328">
        <v>0</v>
      </c>
      <c r="K351" s="333">
        <v>0</v>
      </c>
      <c r="N351" s="399">
        <v>100018176</v>
      </c>
      <c r="O351" s="328">
        <v>0</v>
      </c>
      <c r="P351" s="328">
        <v>308</v>
      </c>
      <c r="Q351" s="328">
        <v>42</v>
      </c>
      <c r="R351" s="328">
        <v>350</v>
      </c>
      <c r="S351" s="328">
        <v>13112044</v>
      </c>
      <c r="T351" s="4">
        <v>2.76</v>
      </c>
      <c r="U351" s="165">
        <f>VLOOKUP(N351,'[2]154'!$C$9:$T$554,18,0)</f>
        <v>893</v>
      </c>
      <c r="V351" s="399">
        <v>100018176</v>
      </c>
      <c r="W351" s="407">
        <v>0</v>
      </c>
      <c r="X351" s="405">
        <v>0</v>
      </c>
      <c r="Y351" s="407">
        <v>0</v>
      </c>
      <c r="AA351" s="399">
        <v>100018176</v>
      </c>
      <c r="AB351" s="328">
        <v>0</v>
      </c>
      <c r="AC351" s="328">
        <v>308</v>
      </c>
      <c r="AD351" s="328">
        <v>42</v>
      </c>
      <c r="AE351" s="328">
        <v>350</v>
      </c>
      <c r="AF351" s="328">
        <v>188</v>
      </c>
      <c r="AG351" s="328">
        <v>4686477</v>
      </c>
      <c r="AI351" s="399">
        <v>100018176</v>
      </c>
      <c r="AJ351" s="328">
        <v>0</v>
      </c>
      <c r="AK351" s="328">
        <v>308</v>
      </c>
      <c r="AL351" s="328">
        <v>42</v>
      </c>
      <c r="AM351" s="328">
        <v>350</v>
      </c>
      <c r="AN351" s="328">
        <v>188</v>
      </c>
      <c r="AO351" s="328">
        <v>8425567</v>
      </c>
    </row>
    <row r="352" spans="1:41" ht="15.75">
      <c r="A352" s="167">
        <v>347</v>
      </c>
      <c r="B352" s="79" t="s">
        <v>161</v>
      </c>
      <c r="C352" s="452">
        <v>100018178</v>
      </c>
      <c r="D352" s="457">
        <v>997</v>
      </c>
      <c r="E352" s="328">
        <v>78</v>
      </c>
      <c r="G352" s="328">
        <v>72</v>
      </c>
      <c r="H352" s="328">
        <v>6</v>
      </c>
      <c r="I352" s="328">
        <v>0</v>
      </c>
      <c r="J352" s="328">
        <v>22</v>
      </c>
      <c r="K352" s="328">
        <v>22</v>
      </c>
      <c r="N352" s="399">
        <v>100018178</v>
      </c>
      <c r="O352" s="328">
        <v>0</v>
      </c>
      <c r="P352" s="328">
        <v>72</v>
      </c>
      <c r="Q352" s="328">
        <v>6</v>
      </c>
      <c r="R352" s="328">
        <v>78</v>
      </c>
      <c r="S352" s="328">
        <v>2051741</v>
      </c>
      <c r="T352" s="4">
        <v>2.2400000000000002</v>
      </c>
      <c r="U352" s="165">
        <f>VLOOKUP(N352,'[2]154'!$C$9:$T$554,18,0)</f>
        <v>103</v>
      </c>
      <c r="V352" s="399">
        <v>100018178</v>
      </c>
      <c r="W352" s="407">
        <v>22</v>
      </c>
      <c r="X352" s="405">
        <v>26304.363636363636</v>
      </c>
      <c r="Y352" s="407">
        <v>578696</v>
      </c>
      <c r="AA352" s="399">
        <v>100018178</v>
      </c>
      <c r="AB352" s="328">
        <v>0</v>
      </c>
      <c r="AC352" s="328">
        <v>72</v>
      </c>
      <c r="AD352" s="328">
        <v>6</v>
      </c>
      <c r="AE352" s="328">
        <v>78</v>
      </c>
      <c r="AF352" s="328">
        <v>41</v>
      </c>
      <c r="AG352" s="328">
        <v>733329</v>
      </c>
      <c r="AI352" s="399">
        <v>100018178</v>
      </c>
      <c r="AJ352" s="328">
        <v>0</v>
      </c>
      <c r="AK352" s="328">
        <v>72</v>
      </c>
      <c r="AL352" s="328">
        <v>6</v>
      </c>
      <c r="AM352" s="328">
        <v>78</v>
      </c>
      <c r="AN352" s="328">
        <v>41</v>
      </c>
      <c r="AO352" s="328">
        <v>1318412</v>
      </c>
    </row>
    <row r="353" spans="1:41" ht="15.75">
      <c r="A353" s="167">
        <v>348</v>
      </c>
      <c r="B353" s="79" t="s">
        <v>161</v>
      </c>
      <c r="C353" s="452">
        <v>100018179</v>
      </c>
      <c r="D353" s="457">
        <v>1784</v>
      </c>
      <c r="E353" s="328">
        <v>57</v>
      </c>
      <c r="F353" s="328">
        <v>25</v>
      </c>
      <c r="G353" s="328">
        <v>32</v>
      </c>
      <c r="I353" s="328">
        <v>0</v>
      </c>
      <c r="J353" s="328">
        <v>20</v>
      </c>
      <c r="K353" s="328">
        <v>20</v>
      </c>
      <c r="N353" s="399">
        <v>100018179</v>
      </c>
      <c r="O353" s="328">
        <v>25</v>
      </c>
      <c r="P353" s="328">
        <v>32</v>
      </c>
      <c r="Q353" s="328">
        <v>0</v>
      </c>
      <c r="R353" s="328">
        <v>57</v>
      </c>
      <c r="S353" s="328">
        <v>2947608</v>
      </c>
      <c r="T353" s="4">
        <v>3.26</v>
      </c>
      <c r="U353" s="165">
        <f>VLOOKUP(N353,'[2]154'!$C$9:$T$554,18,0)</f>
        <v>80</v>
      </c>
      <c r="V353" s="399">
        <v>100018179</v>
      </c>
      <c r="W353" s="407">
        <v>20</v>
      </c>
      <c r="X353" s="405">
        <v>51712.45</v>
      </c>
      <c r="Y353" s="407">
        <v>1034249</v>
      </c>
      <c r="AA353" s="399">
        <v>100018179</v>
      </c>
      <c r="AB353" s="328">
        <v>25</v>
      </c>
      <c r="AC353" s="328">
        <v>32</v>
      </c>
      <c r="AD353" s="328">
        <v>0</v>
      </c>
      <c r="AE353" s="328">
        <v>57</v>
      </c>
      <c r="AF353" s="328">
        <v>21</v>
      </c>
      <c r="AG353" s="328">
        <v>1053527</v>
      </c>
      <c r="AI353" s="399">
        <v>100018179</v>
      </c>
      <c r="AJ353" s="328">
        <v>25</v>
      </c>
      <c r="AK353" s="328">
        <v>32</v>
      </c>
      <c r="AL353" s="328">
        <v>0</v>
      </c>
      <c r="AM353" s="328">
        <v>57</v>
      </c>
      <c r="AN353" s="328">
        <v>21</v>
      </c>
      <c r="AO353" s="328">
        <v>1894081</v>
      </c>
    </row>
    <row r="354" spans="1:41" ht="15.75">
      <c r="A354" s="167">
        <v>349</v>
      </c>
      <c r="B354" s="79" t="s">
        <v>161</v>
      </c>
      <c r="C354" s="452">
        <v>100018235</v>
      </c>
      <c r="D354" s="457">
        <v>3845</v>
      </c>
      <c r="E354" s="328">
        <v>260</v>
      </c>
      <c r="F354" s="328">
        <v>38</v>
      </c>
      <c r="G354" s="328">
        <v>54</v>
      </c>
      <c r="H354" s="328">
        <v>168</v>
      </c>
      <c r="I354" s="328">
        <v>0</v>
      </c>
      <c r="J354" s="328">
        <v>67</v>
      </c>
      <c r="K354" s="328">
        <v>67</v>
      </c>
      <c r="N354" s="399">
        <v>100018235</v>
      </c>
      <c r="O354" s="328">
        <v>38</v>
      </c>
      <c r="P354" s="328">
        <v>54</v>
      </c>
      <c r="Q354" s="328">
        <v>168</v>
      </c>
      <c r="R354" s="328">
        <v>260</v>
      </c>
      <c r="S354" s="328">
        <v>4640787</v>
      </c>
      <c r="T354" s="4">
        <v>1.32</v>
      </c>
      <c r="U354" s="165">
        <f>VLOOKUP(N354,'[2]154'!$C$9:$T$554,18,0)</f>
        <v>327</v>
      </c>
      <c r="V354" s="399">
        <v>100018235</v>
      </c>
      <c r="W354" s="407">
        <v>67</v>
      </c>
      <c r="X354" s="405">
        <v>20240.208955223879</v>
      </c>
      <c r="Y354" s="407">
        <v>1356094</v>
      </c>
      <c r="AA354" s="399">
        <v>100018235</v>
      </c>
      <c r="AB354" s="328">
        <v>38</v>
      </c>
      <c r="AC354" s="328">
        <v>54</v>
      </c>
      <c r="AD354" s="328">
        <v>168</v>
      </c>
      <c r="AE354" s="328">
        <v>260</v>
      </c>
      <c r="AF354" s="328">
        <v>169</v>
      </c>
      <c r="AG354" s="328">
        <v>1658700</v>
      </c>
      <c r="AI354" s="399">
        <v>100018235</v>
      </c>
      <c r="AJ354" s="328">
        <v>38</v>
      </c>
      <c r="AK354" s="328">
        <v>54</v>
      </c>
      <c r="AL354" s="328">
        <v>168</v>
      </c>
      <c r="AM354" s="328">
        <v>260</v>
      </c>
      <c r="AN354" s="328">
        <v>169</v>
      </c>
      <c r="AO354" s="328">
        <v>2982087</v>
      </c>
    </row>
    <row r="355" spans="1:41" ht="15.75">
      <c r="A355" s="167">
        <v>350</v>
      </c>
      <c r="B355" s="79" t="s">
        <v>161</v>
      </c>
      <c r="C355" s="452">
        <v>100018237</v>
      </c>
      <c r="D355" s="457">
        <v>5185</v>
      </c>
      <c r="E355" s="328">
        <v>141</v>
      </c>
      <c r="F355" s="328">
        <v>104</v>
      </c>
      <c r="G355" s="328">
        <v>37</v>
      </c>
      <c r="I355" s="328">
        <v>0</v>
      </c>
      <c r="J355" s="328">
        <v>112</v>
      </c>
      <c r="K355" s="328">
        <v>112</v>
      </c>
      <c r="N355" s="399">
        <v>100018237</v>
      </c>
      <c r="O355" s="328">
        <v>104</v>
      </c>
      <c r="P355" s="328">
        <v>37</v>
      </c>
      <c r="Q355" s="328">
        <v>0</v>
      </c>
      <c r="R355" s="328">
        <v>141</v>
      </c>
      <c r="S355" s="328">
        <v>1881697</v>
      </c>
      <c r="T355" s="4">
        <v>1.29</v>
      </c>
      <c r="U355" s="165">
        <f>VLOOKUP(N355,'[2]154'!$C$9:$T$554,18,0)</f>
        <v>253</v>
      </c>
      <c r="V355" s="399">
        <v>100018237</v>
      </c>
      <c r="W355" s="407">
        <v>112</v>
      </c>
      <c r="X355" s="405">
        <v>13345.357142857143</v>
      </c>
      <c r="Y355" s="407">
        <v>1494680</v>
      </c>
      <c r="AA355" s="399">
        <v>100018237</v>
      </c>
      <c r="AB355" s="328">
        <v>104</v>
      </c>
      <c r="AC355" s="328">
        <v>37</v>
      </c>
      <c r="AD355" s="328">
        <v>0</v>
      </c>
      <c r="AE355" s="328">
        <v>141</v>
      </c>
      <c r="AF355" s="328">
        <v>39</v>
      </c>
      <c r="AG355" s="328">
        <v>672552</v>
      </c>
      <c r="AI355" s="399">
        <v>100018237</v>
      </c>
      <c r="AJ355" s="328">
        <v>104</v>
      </c>
      <c r="AK355" s="328">
        <v>37</v>
      </c>
      <c r="AL355" s="328">
        <v>0</v>
      </c>
      <c r="AM355" s="328">
        <v>141</v>
      </c>
      <c r="AN355" s="328">
        <v>39</v>
      </c>
      <c r="AO355" s="328">
        <v>1209145</v>
      </c>
    </row>
    <row r="356" spans="1:41" ht="15.75">
      <c r="A356" s="167">
        <v>351</v>
      </c>
      <c r="B356" s="79" t="s">
        <v>161</v>
      </c>
      <c r="C356" s="452">
        <v>100018239</v>
      </c>
      <c r="D356" s="457">
        <v>2790</v>
      </c>
      <c r="E356" s="328">
        <v>65</v>
      </c>
      <c r="F356" s="328">
        <v>17</v>
      </c>
      <c r="G356" s="328">
        <v>48</v>
      </c>
      <c r="I356" s="328">
        <v>0</v>
      </c>
      <c r="J356" s="328">
        <v>62</v>
      </c>
      <c r="K356" s="328">
        <v>62</v>
      </c>
      <c r="N356" s="399">
        <v>100018239</v>
      </c>
      <c r="O356" s="328">
        <v>17</v>
      </c>
      <c r="P356" s="328">
        <v>48</v>
      </c>
      <c r="Q356" s="328">
        <v>0</v>
      </c>
      <c r="R356" s="328">
        <v>65</v>
      </c>
      <c r="S356" s="328">
        <v>1253277</v>
      </c>
      <c r="T356" s="4">
        <v>1.96</v>
      </c>
      <c r="U356" s="165">
        <f>VLOOKUP(N356,'[2]154'!$C$9:$T$554,18,0)</f>
        <v>129</v>
      </c>
      <c r="V356" s="399">
        <v>100018239</v>
      </c>
      <c r="W356" s="407">
        <v>62</v>
      </c>
      <c r="X356" s="405">
        <v>19281.177419354837</v>
      </c>
      <c r="Y356" s="407">
        <v>1195433</v>
      </c>
      <c r="AA356" s="399">
        <v>100018239</v>
      </c>
      <c r="AB356" s="328">
        <v>17</v>
      </c>
      <c r="AC356" s="328">
        <v>48</v>
      </c>
      <c r="AD356" s="328">
        <v>0</v>
      </c>
      <c r="AE356" s="328">
        <v>65</v>
      </c>
      <c r="AF356" s="328">
        <v>27</v>
      </c>
      <c r="AG356" s="328">
        <v>447943</v>
      </c>
      <c r="AI356" s="399">
        <v>100018239</v>
      </c>
      <c r="AJ356" s="328">
        <v>17</v>
      </c>
      <c r="AK356" s="328">
        <v>48</v>
      </c>
      <c r="AL356" s="328">
        <v>0</v>
      </c>
      <c r="AM356" s="328">
        <v>65</v>
      </c>
      <c r="AN356" s="328">
        <v>27</v>
      </c>
      <c r="AO356" s="328">
        <v>805334</v>
      </c>
    </row>
    <row r="357" spans="1:41" ht="15.75">
      <c r="A357" s="167">
        <v>352</v>
      </c>
      <c r="B357" s="79" t="s">
        <v>161</v>
      </c>
      <c r="C357" s="452">
        <v>100018240</v>
      </c>
      <c r="D357" s="457">
        <v>6183</v>
      </c>
      <c r="E357" s="328">
        <v>60</v>
      </c>
      <c r="G357" s="328">
        <v>44</v>
      </c>
      <c r="H357" s="328">
        <v>16</v>
      </c>
      <c r="I357" s="328">
        <v>0</v>
      </c>
      <c r="J357" s="328">
        <v>0</v>
      </c>
      <c r="K357" s="328">
        <v>0</v>
      </c>
      <c r="N357" s="399">
        <v>100018240</v>
      </c>
      <c r="O357" s="328">
        <v>0</v>
      </c>
      <c r="P357" s="328">
        <v>44</v>
      </c>
      <c r="Q357" s="328">
        <v>16</v>
      </c>
      <c r="R357" s="328">
        <v>60</v>
      </c>
      <c r="S357" s="328">
        <v>1653588</v>
      </c>
      <c r="T357" s="4">
        <v>1.96</v>
      </c>
      <c r="U357" s="165">
        <f>VLOOKUP(N357,'[2]154'!$C$9:$T$554,18,0)</f>
        <v>361</v>
      </c>
      <c r="V357" s="399">
        <v>100018240</v>
      </c>
      <c r="W357" s="407">
        <v>0</v>
      </c>
      <c r="X357" s="405">
        <v>0</v>
      </c>
      <c r="Y357" s="407">
        <v>0</v>
      </c>
      <c r="AA357" s="399">
        <v>100018240</v>
      </c>
      <c r="AB357" s="328">
        <v>0</v>
      </c>
      <c r="AC357" s="328">
        <v>44</v>
      </c>
      <c r="AD357" s="328">
        <v>16</v>
      </c>
      <c r="AE357" s="328">
        <v>60</v>
      </c>
      <c r="AF357" s="328">
        <v>35</v>
      </c>
      <c r="AG357" s="328">
        <v>591022</v>
      </c>
      <c r="AI357" s="399">
        <v>100018240</v>
      </c>
      <c r="AJ357" s="328">
        <v>0</v>
      </c>
      <c r="AK357" s="328">
        <v>44</v>
      </c>
      <c r="AL357" s="328">
        <v>16</v>
      </c>
      <c r="AM357" s="328">
        <v>60</v>
      </c>
      <c r="AN357" s="328">
        <v>35</v>
      </c>
      <c r="AO357" s="328">
        <v>1062566</v>
      </c>
    </row>
    <row r="358" spans="1:41" ht="15.75">
      <c r="A358" s="167">
        <v>353</v>
      </c>
      <c r="B358" s="79" t="s">
        <v>161</v>
      </c>
      <c r="C358" s="452">
        <v>100018242</v>
      </c>
      <c r="D358" s="457">
        <v>1841</v>
      </c>
      <c r="E358" s="328">
        <v>46</v>
      </c>
      <c r="G358" s="328">
        <v>46</v>
      </c>
      <c r="I358" s="328">
        <v>0</v>
      </c>
      <c r="J358" s="328">
        <v>31</v>
      </c>
      <c r="K358" s="328">
        <v>31</v>
      </c>
      <c r="N358" s="399">
        <v>100018242</v>
      </c>
      <c r="O358" s="328">
        <v>0</v>
      </c>
      <c r="P358" s="328">
        <v>46</v>
      </c>
      <c r="Q358" s="328">
        <v>0</v>
      </c>
      <c r="R358" s="328">
        <v>46</v>
      </c>
      <c r="S358" s="328">
        <v>927385</v>
      </c>
      <c r="T358" s="4">
        <v>1.66</v>
      </c>
      <c r="U358" s="165">
        <f>VLOOKUP(N358,'[2]154'!$C$9:$T$554,18,0)</f>
        <v>80</v>
      </c>
      <c r="V358" s="399">
        <v>100018242</v>
      </c>
      <c r="W358" s="407">
        <v>31</v>
      </c>
      <c r="X358" s="405">
        <v>20160.483870967742</v>
      </c>
      <c r="Y358" s="407">
        <v>624975</v>
      </c>
      <c r="AA358" s="399">
        <v>100018242</v>
      </c>
      <c r="AB358" s="328">
        <v>0</v>
      </c>
      <c r="AC358" s="328">
        <v>46</v>
      </c>
      <c r="AD358" s="328">
        <v>0</v>
      </c>
      <c r="AE358" s="328">
        <v>46</v>
      </c>
      <c r="AF358" s="328">
        <v>23</v>
      </c>
      <c r="AG358" s="328">
        <v>331464</v>
      </c>
      <c r="AI358" s="399">
        <v>100018242</v>
      </c>
      <c r="AJ358" s="328">
        <v>0</v>
      </c>
      <c r="AK358" s="328">
        <v>46</v>
      </c>
      <c r="AL358" s="328">
        <v>0</v>
      </c>
      <c r="AM358" s="328">
        <v>46</v>
      </c>
      <c r="AN358" s="328">
        <v>23</v>
      </c>
      <c r="AO358" s="328">
        <v>595921</v>
      </c>
    </row>
    <row r="359" spans="1:41" ht="15.75">
      <c r="A359" s="167">
        <v>354</v>
      </c>
      <c r="B359" s="79" t="s">
        <v>161</v>
      </c>
      <c r="C359" s="452">
        <v>100019044</v>
      </c>
      <c r="D359" s="457">
        <v>12790</v>
      </c>
      <c r="E359" s="328">
        <v>220</v>
      </c>
      <c r="G359" s="328">
        <v>110</v>
      </c>
      <c r="H359" s="328">
        <v>110</v>
      </c>
      <c r="I359" s="328">
        <v>0</v>
      </c>
      <c r="J359" s="328">
        <v>89</v>
      </c>
      <c r="K359" s="328">
        <v>89</v>
      </c>
      <c r="N359" s="399">
        <v>100019044</v>
      </c>
      <c r="O359" s="328">
        <v>0</v>
      </c>
      <c r="P359" s="328">
        <v>110</v>
      </c>
      <c r="Q359" s="328">
        <v>110</v>
      </c>
      <c r="R359" s="328">
        <v>220</v>
      </c>
      <c r="S359" s="328">
        <v>6566009</v>
      </c>
      <c r="T359" s="4">
        <v>1.97</v>
      </c>
      <c r="U359" s="165">
        <f>VLOOKUP(N359,'[2]154'!$C$9:$T$554,18,0)</f>
        <v>996</v>
      </c>
      <c r="V359" s="399">
        <v>100019044</v>
      </c>
      <c r="W359" s="407">
        <v>89</v>
      </c>
      <c r="X359" s="405">
        <v>38414.089887640446</v>
      </c>
      <c r="Y359" s="407">
        <v>3418854</v>
      </c>
      <c r="AA359" s="399">
        <v>100019044</v>
      </c>
      <c r="AB359" s="328">
        <v>0</v>
      </c>
      <c r="AC359" s="328">
        <v>110</v>
      </c>
      <c r="AD359" s="328">
        <v>110</v>
      </c>
      <c r="AE359" s="328">
        <v>220</v>
      </c>
      <c r="AF359" s="328">
        <v>143</v>
      </c>
      <c r="AG359" s="328">
        <v>2346808</v>
      </c>
      <c r="AI359" s="399">
        <v>100019044</v>
      </c>
      <c r="AJ359" s="328">
        <v>0</v>
      </c>
      <c r="AK359" s="328">
        <v>110</v>
      </c>
      <c r="AL359" s="328">
        <v>110</v>
      </c>
      <c r="AM359" s="328">
        <v>220</v>
      </c>
      <c r="AN359" s="328">
        <v>143</v>
      </c>
      <c r="AO359" s="328">
        <v>4219201</v>
      </c>
    </row>
    <row r="360" spans="1:41" ht="15.75">
      <c r="A360" s="167">
        <v>355</v>
      </c>
      <c r="B360" s="79" t="s">
        <v>161</v>
      </c>
      <c r="C360" s="452">
        <v>100023527</v>
      </c>
      <c r="D360" s="457">
        <v>14681</v>
      </c>
      <c r="E360" s="328">
        <v>634</v>
      </c>
      <c r="F360" s="328">
        <v>11</v>
      </c>
      <c r="G360" s="328">
        <v>185</v>
      </c>
      <c r="H360" s="328">
        <v>438</v>
      </c>
      <c r="I360" s="328">
        <v>0</v>
      </c>
      <c r="J360" s="328">
        <v>32</v>
      </c>
      <c r="K360" s="328">
        <v>32</v>
      </c>
      <c r="N360" s="399">
        <v>100023527</v>
      </c>
      <c r="O360" s="328">
        <v>11</v>
      </c>
      <c r="P360" s="328">
        <v>185</v>
      </c>
      <c r="Q360" s="328">
        <v>438</v>
      </c>
      <c r="R360" s="328">
        <v>634</v>
      </c>
      <c r="S360" s="328">
        <v>11657862</v>
      </c>
      <c r="T360" s="4">
        <v>1.31</v>
      </c>
      <c r="U360" s="165">
        <f>VLOOKUP(N360,'[2]154'!$C$9:$T$554,18,0)</f>
        <v>671</v>
      </c>
      <c r="V360" s="399">
        <v>100023527</v>
      </c>
      <c r="W360" s="407">
        <v>32</v>
      </c>
      <c r="X360" s="405">
        <v>18387.78125</v>
      </c>
      <c r="Y360" s="407">
        <v>588409</v>
      </c>
      <c r="AA360" s="399">
        <v>100023527</v>
      </c>
      <c r="AB360" s="328">
        <v>11</v>
      </c>
      <c r="AC360" s="328">
        <v>185</v>
      </c>
      <c r="AD360" s="328">
        <v>438</v>
      </c>
      <c r="AE360" s="328">
        <v>634</v>
      </c>
      <c r="AF360" s="328">
        <v>445</v>
      </c>
      <c r="AG360" s="328">
        <v>4166726</v>
      </c>
      <c r="AI360" s="399">
        <v>100023527</v>
      </c>
      <c r="AJ360" s="328">
        <v>11</v>
      </c>
      <c r="AK360" s="328">
        <v>185</v>
      </c>
      <c r="AL360" s="328">
        <v>438</v>
      </c>
      <c r="AM360" s="328">
        <v>634</v>
      </c>
      <c r="AN360" s="328">
        <v>445</v>
      </c>
      <c r="AO360" s="328">
        <v>7491136</v>
      </c>
    </row>
    <row r="361" spans="1:41" ht="15.75">
      <c r="A361" s="167">
        <v>356</v>
      </c>
      <c r="B361" s="79" t="s">
        <v>161</v>
      </c>
      <c r="C361" s="452">
        <v>100024705</v>
      </c>
      <c r="D361" s="457">
        <v>4824</v>
      </c>
      <c r="E361" s="328">
        <v>69</v>
      </c>
      <c r="G361" s="328">
        <v>23</v>
      </c>
      <c r="H361" s="328">
        <v>46</v>
      </c>
      <c r="I361" s="328">
        <v>0</v>
      </c>
      <c r="J361" s="328">
        <v>0</v>
      </c>
      <c r="K361" s="328">
        <v>0</v>
      </c>
      <c r="N361" s="399">
        <v>100024705</v>
      </c>
      <c r="O361" s="328">
        <v>0</v>
      </c>
      <c r="P361" s="328">
        <v>23</v>
      </c>
      <c r="Q361" s="328">
        <v>46</v>
      </c>
      <c r="R361" s="328">
        <v>69</v>
      </c>
      <c r="S361" s="328">
        <v>1270992</v>
      </c>
      <c r="T361" s="4">
        <v>1.24</v>
      </c>
      <c r="U361" s="165">
        <f>VLOOKUP(N361,'[2]154'!$C$9:$T$554,18,0)</f>
        <v>2500</v>
      </c>
      <c r="V361" s="399">
        <v>100024705</v>
      </c>
      <c r="W361" s="407">
        <v>0</v>
      </c>
      <c r="X361" s="405">
        <v>0</v>
      </c>
      <c r="Y361" s="407">
        <v>0</v>
      </c>
      <c r="AA361" s="399">
        <v>100024705</v>
      </c>
      <c r="AB361" s="328">
        <v>0</v>
      </c>
      <c r="AC361" s="328">
        <v>23</v>
      </c>
      <c r="AD361" s="328">
        <v>46</v>
      </c>
      <c r="AE361" s="328">
        <v>69</v>
      </c>
      <c r="AF361" s="328">
        <v>48</v>
      </c>
      <c r="AG361" s="328">
        <v>454275</v>
      </c>
      <c r="AI361" s="399">
        <v>100024705</v>
      </c>
      <c r="AJ361" s="328">
        <v>0</v>
      </c>
      <c r="AK361" s="328">
        <v>23</v>
      </c>
      <c r="AL361" s="328">
        <v>46</v>
      </c>
      <c r="AM361" s="328">
        <v>69</v>
      </c>
      <c r="AN361" s="328">
        <v>48</v>
      </c>
      <c r="AO361" s="328">
        <v>816717</v>
      </c>
    </row>
    <row r="362" spans="1:41" ht="15.75">
      <c r="A362" s="167">
        <v>357</v>
      </c>
      <c r="B362" s="79" t="s">
        <v>161</v>
      </c>
      <c r="C362" s="452">
        <v>100027400</v>
      </c>
      <c r="D362" s="457">
        <v>803</v>
      </c>
      <c r="E362" s="328">
        <v>27</v>
      </c>
      <c r="F362" s="328">
        <v>1</v>
      </c>
      <c r="G362" s="328">
        <v>12</v>
      </c>
      <c r="H362" s="328">
        <v>14</v>
      </c>
      <c r="I362" s="328">
        <v>0</v>
      </c>
      <c r="J362" s="328">
        <v>0</v>
      </c>
      <c r="K362" s="328">
        <v>0</v>
      </c>
      <c r="N362" s="399">
        <v>100027400</v>
      </c>
      <c r="O362" s="328">
        <v>1</v>
      </c>
      <c r="P362" s="328">
        <v>12</v>
      </c>
      <c r="Q362" s="328">
        <v>14</v>
      </c>
      <c r="R362" s="328">
        <v>27</v>
      </c>
      <c r="S362" s="328">
        <v>667423</v>
      </c>
      <c r="T362" s="4">
        <v>1.98</v>
      </c>
      <c r="U362" s="165">
        <f>VLOOKUP(N362,'[2]154'!$C$9:$T$554,18,0)</f>
        <v>27</v>
      </c>
      <c r="V362" s="399">
        <v>100027400</v>
      </c>
      <c r="W362" s="407">
        <v>0</v>
      </c>
      <c r="X362" s="405">
        <v>0</v>
      </c>
      <c r="Y362" s="407">
        <v>0</v>
      </c>
      <c r="AA362" s="399">
        <v>100027400</v>
      </c>
      <c r="AB362" s="328">
        <v>1</v>
      </c>
      <c r="AC362" s="328">
        <v>12</v>
      </c>
      <c r="AD362" s="328">
        <v>14</v>
      </c>
      <c r="AE362" s="328">
        <v>27</v>
      </c>
      <c r="AF362" s="328">
        <v>17</v>
      </c>
      <c r="AG362" s="328">
        <v>238549</v>
      </c>
      <c r="AI362" s="399">
        <v>100027400</v>
      </c>
      <c r="AJ362" s="328">
        <v>1</v>
      </c>
      <c r="AK362" s="328">
        <v>12</v>
      </c>
      <c r="AL362" s="328">
        <v>14</v>
      </c>
      <c r="AM362" s="328">
        <v>27</v>
      </c>
      <c r="AN362" s="328">
        <v>17</v>
      </c>
      <c r="AO362" s="328">
        <v>428874</v>
      </c>
    </row>
    <row r="363" spans="1:41" ht="15.75">
      <c r="A363" s="167">
        <v>358</v>
      </c>
      <c r="B363" s="79" t="s">
        <v>161</v>
      </c>
      <c r="C363" s="452">
        <v>100027987</v>
      </c>
      <c r="D363" s="457">
        <v>5798</v>
      </c>
      <c r="E363" s="328">
        <v>260</v>
      </c>
      <c r="G363" s="328">
        <v>38</v>
      </c>
      <c r="H363" s="328">
        <v>222</v>
      </c>
      <c r="I363" s="328">
        <v>0</v>
      </c>
      <c r="J363" s="328">
        <v>0</v>
      </c>
      <c r="K363" s="328">
        <v>0</v>
      </c>
      <c r="N363" s="399">
        <v>100027987</v>
      </c>
      <c r="O363" s="328">
        <v>0</v>
      </c>
      <c r="P363" s="328">
        <v>38</v>
      </c>
      <c r="Q363" s="328">
        <v>222</v>
      </c>
      <c r="R363" s="328">
        <v>260</v>
      </c>
      <c r="S363" s="328">
        <v>7148330</v>
      </c>
      <c r="T363" s="4">
        <v>1.83</v>
      </c>
      <c r="U363" s="165">
        <f>VLOOKUP(N363,'[2]154'!$C$9:$T$554,18,0)</f>
        <v>260</v>
      </c>
      <c r="V363" s="399">
        <v>100027987</v>
      </c>
      <c r="W363" s="407">
        <v>0</v>
      </c>
      <c r="X363" s="405">
        <v>0</v>
      </c>
      <c r="Y363" s="407">
        <v>0</v>
      </c>
      <c r="AA363" s="399">
        <v>100027987</v>
      </c>
      <c r="AB363" s="328">
        <v>0</v>
      </c>
      <c r="AC363" s="328">
        <v>38</v>
      </c>
      <c r="AD363" s="328">
        <v>222</v>
      </c>
      <c r="AE363" s="328">
        <v>260</v>
      </c>
      <c r="AF363" s="328">
        <v>197</v>
      </c>
      <c r="AG363" s="328">
        <v>2554940</v>
      </c>
      <c r="AI363" s="399">
        <v>100027987</v>
      </c>
      <c r="AJ363" s="328">
        <v>0</v>
      </c>
      <c r="AK363" s="328">
        <v>38</v>
      </c>
      <c r="AL363" s="328">
        <v>222</v>
      </c>
      <c r="AM363" s="328">
        <v>260</v>
      </c>
      <c r="AN363" s="328">
        <v>197</v>
      </c>
      <c r="AO363" s="328">
        <v>4593390</v>
      </c>
    </row>
    <row r="364" spans="1:41" ht="15.75">
      <c r="A364" s="167">
        <v>359</v>
      </c>
      <c r="B364" s="79" t="s">
        <v>161</v>
      </c>
      <c r="C364" s="452">
        <v>100028764</v>
      </c>
      <c r="D364" s="457">
        <v>5048</v>
      </c>
      <c r="E364" s="328">
        <v>360</v>
      </c>
      <c r="G364" s="328">
        <v>105</v>
      </c>
      <c r="H364" s="328">
        <v>255</v>
      </c>
      <c r="I364" s="328">
        <v>4688</v>
      </c>
      <c r="J364" s="328">
        <v>0</v>
      </c>
      <c r="K364" s="328">
        <v>4688</v>
      </c>
      <c r="N364" s="399">
        <v>100028764</v>
      </c>
      <c r="O364" s="328">
        <v>0</v>
      </c>
      <c r="P364" s="328">
        <v>105</v>
      </c>
      <c r="Q364" s="328">
        <v>255</v>
      </c>
      <c r="R364" s="328">
        <v>360</v>
      </c>
      <c r="S364" s="328">
        <v>14400720</v>
      </c>
      <c r="T364" s="4">
        <v>2</v>
      </c>
      <c r="U364" s="165">
        <f>VLOOKUP(N364,'[2]154'!$C$9:$T$554,18,0)</f>
        <v>4520</v>
      </c>
      <c r="V364" s="399">
        <v>100028764</v>
      </c>
      <c r="W364" s="407">
        <v>4688</v>
      </c>
      <c r="X364" s="405">
        <v>39998.686646757676</v>
      </c>
      <c r="Y364" s="407">
        <v>187513843</v>
      </c>
      <c r="AA364" s="399">
        <v>100028764</v>
      </c>
      <c r="AB364" s="328">
        <v>0</v>
      </c>
      <c r="AC364" s="328">
        <v>105</v>
      </c>
      <c r="AD364" s="328">
        <v>255</v>
      </c>
      <c r="AE364" s="328">
        <v>360</v>
      </c>
      <c r="AF364" s="328">
        <v>257</v>
      </c>
      <c r="AG364" s="328">
        <v>4959449</v>
      </c>
      <c r="AI364" s="399">
        <v>100028764</v>
      </c>
      <c r="AJ364" s="328">
        <v>0</v>
      </c>
      <c r="AK364" s="328">
        <v>105</v>
      </c>
      <c r="AL364" s="328">
        <v>255</v>
      </c>
      <c r="AM364" s="328">
        <v>360</v>
      </c>
      <c r="AN364" s="328">
        <v>257</v>
      </c>
      <c r="AO364" s="328">
        <v>9441271</v>
      </c>
    </row>
    <row r="365" spans="1:41" ht="15.75">
      <c r="A365" s="167">
        <v>360</v>
      </c>
      <c r="B365" s="79" t="s">
        <v>161</v>
      </c>
      <c r="C365" s="452">
        <v>100033322</v>
      </c>
      <c r="D365" s="457">
        <v>4396</v>
      </c>
      <c r="E365" s="328">
        <v>63</v>
      </c>
      <c r="G365" s="328">
        <v>44</v>
      </c>
      <c r="H365" s="328">
        <v>19</v>
      </c>
      <c r="I365" s="328">
        <v>0</v>
      </c>
      <c r="J365" s="328">
        <v>16</v>
      </c>
      <c r="K365" s="328">
        <v>16</v>
      </c>
      <c r="N365" s="399">
        <v>100033322</v>
      </c>
      <c r="O365" s="328">
        <v>0</v>
      </c>
      <c r="P365" s="328">
        <v>44</v>
      </c>
      <c r="Q365" s="328">
        <v>19</v>
      </c>
      <c r="R365" s="328">
        <v>63</v>
      </c>
      <c r="S365" s="328">
        <v>1457590</v>
      </c>
      <c r="T365" s="4">
        <v>1.84</v>
      </c>
      <c r="U365" s="165">
        <f>VLOOKUP(N365,'[2]154'!$C$9:$T$554,18,0)</f>
        <v>82</v>
      </c>
      <c r="V365" s="399">
        <v>100033322</v>
      </c>
      <c r="W365" s="407">
        <v>16</v>
      </c>
      <c r="X365" s="405">
        <v>23136.3125</v>
      </c>
      <c r="Y365" s="407">
        <v>370181</v>
      </c>
      <c r="AA365" s="399">
        <v>100033322</v>
      </c>
      <c r="AB365" s="328">
        <v>0</v>
      </c>
      <c r="AC365" s="328">
        <v>44</v>
      </c>
      <c r="AD365" s="328">
        <v>19</v>
      </c>
      <c r="AE365" s="328">
        <v>63</v>
      </c>
      <c r="AF365" s="328">
        <v>37</v>
      </c>
      <c r="AG365" s="328">
        <v>520969</v>
      </c>
      <c r="AI365" s="399">
        <v>100033322</v>
      </c>
      <c r="AJ365" s="328">
        <v>0</v>
      </c>
      <c r="AK365" s="328">
        <v>44</v>
      </c>
      <c r="AL365" s="328">
        <v>19</v>
      </c>
      <c r="AM365" s="328">
        <v>63</v>
      </c>
      <c r="AN365" s="328">
        <v>37</v>
      </c>
      <c r="AO365" s="328">
        <v>936621</v>
      </c>
    </row>
    <row r="366" spans="1:41" ht="15.75">
      <c r="A366" s="167">
        <v>361</v>
      </c>
      <c r="B366" s="79" t="s">
        <v>101</v>
      </c>
      <c r="C366" s="452">
        <v>100034173</v>
      </c>
      <c r="D366" s="457">
        <v>6878</v>
      </c>
      <c r="E366" s="328">
        <v>195</v>
      </c>
      <c r="F366" s="328">
        <v>49</v>
      </c>
      <c r="G366" s="328">
        <v>102</v>
      </c>
      <c r="H366" s="328">
        <v>44</v>
      </c>
      <c r="I366" s="328">
        <v>12</v>
      </c>
      <c r="J366" s="328">
        <v>0</v>
      </c>
      <c r="K366" s="328">
        <v>12</v>
      </c>
      <c r="N366" s="399">
        <v>100034173</v>
      </c>
      <c r="O366" s="328">
        <v>49</v>
      </c>
      <c r="P366" s="328">
        <v>102</v>
      </c>
      <c r="Q366" s="328">
        <v>44</v>
      </c>
      <c r="R366" s="328">
        <v>195</v>
      </c>
      <c r="S366" s="328">
        <v>2949971</v>
      </c>
      <c r="T366" s="4">
        <v>2.19</v>
      </c>
      <c r="U366" s="165">
        <f>VLOOKUP(N366,'[2]154'!$C$9:$T$554,18,0)</f>
        <v>5421</v>
      </c>
      <c r="V366" s="399">
        <v>100034173</v>
      </c>
      <c r="W366" s="407">
        <v>12</v>
      </c>
      <c r="X366" s="405">
        <v>20251.25</v>
      </c>
      <c r="Y366" s="407">
        <v>243015</v>
      </c>
      <c r="AA366" s="399">
        <v>100034173</v>
      </c>
      <c r="AB366" s="328">
        <v>49</v>
      </c>
      <c r="AC366" s="328">
        <v>102</v>
      </c>
      <c r="AD366" s="328">
        <v>44</v>
      </c>
      <c r="AE366" s="328">
        <v>195</v>
      </c>
      <c r="AF366" s="328">
        <v>96</v>
      </c>
      <c r="AG366" s="328">
        <v>1054372</v>
      </c>
      <c r="AI366" s="399">
        <v>100034173</v>
      </c>
      <c r="AJ366" s="328">
        <v>49</v>
      </c>
      <c r="AK366" s="328">
        <v>102</v>
      </c>
      <c r="AL366" s="328">
        <v>44</v>
      </c>
      <c r="AM366" s="328">
        <v>195</v>
      </c>
      <c r="AN366" s="328">
        <v>96</v>
      </c>
      <c r="AO366" s="328">
        <v>1895599</v>
      </c>
    </row>
    <row r="367" spans="1:41" ht="15.75">
      <c r="A367" s="167">
        <v>362</v>
      </c>
      <c r="B367" s="79" t="s">
        <v>108</v>
      </c>
      <c r="C367" s="452">
        <v>182034833</v>
      </c>
      <c r="D367" s="457">
        <v>4590</v>
      </c>
      <c r="E367" s="328">
        <v>133</v>
      </c>
      <c r="G367" s="328">
        <v>133</v>
      </c>
      <c r="I367" s="328">
        <v>2845</v>
      </c>
      <c r="J367" s="328">
        <v>67</v>
      </c>
      <c r="K367" s="328">
        <v>2912</v>
      </c>
      <c r="N367" s="399">
        <v>182034833</v>
      </c>
      <c r="O367" s="328">
        <v>0</v>
      </c>
      <c r="P367" s="328">
        <v>133</v>
      </c>
      <c r="Q367" s="328">
        <v>0</v>
      </c>
      <c r="R367" s="328">
        <v>133</v>
      </c>
      <c r="S367" s="328">
        <v>11993571</v>
      </c>
      <c r="T367" s="4">
        <v>4.46</v>
      </c>
      <c r="U367" s="165">
        <f>VLOOKUP(N367,'[2]154'!$C$9:$T$554,18,0)</f>
        <v>51</v>
      </c>
      <c r="V367" s="399">
        <v>182034833</v>
      </c>
      <c r="W367" s="407">
        <v>2912</v>
      </c>
      <c r="X367" s="405">
        <v>89528.8801510989</v>
      </c>
      <c r="Y367" s="407">
        <v>260708099</v>
      </c>
      <c r="AA367" s="399">
        <v>182034833</v>
      </c>
      <c r="AB367" s="328">
        <v>0</v>
      </c>
      <c r="AC367" s="328">
        <v>133</v>
      </c>
      <c r="AD367" s="328">
        <v>0</v>
      </c>
      <c r="AE367" s="328">
        <v>133</v>
      </c>
      <c r="AF367" s="328">
        <v>67</v>
      </c>
      <c r="AG367" s="328">
        <v>4063584</v>
      </c>
      <c r="AI367" s="399">
        <v>182034833</v>
      </c>
      <c r="AJ367" s="328">
        <v>0</v>
      </c>
      <c r="AK367" s="328">
        <v>133</v>
      </c>
      <c r="AL367" s="328">
        <v>0</v>
      </c>
      <c r="AM367" s="328">
        <v>133</v>
      </c>
      <c r="AN367" s="328">
        <v>67</v>
      </c>
      <c r="AO367" s="328">
        <v>7929987</v>
      </c>
    </row>
    <row r="368" spans="1:41" ht="15.75">
      <c r="A368" s="167">
        <v>363</v>
      </c>
      <c r="B368" s="79" t="s">
        <v>105</v>
      </c>
      <c r="C368" s="452">
        <v>464035</v>
      </c>
      <c r="D368" s="457">
        <v>19907</v>
      </c>
      <c r="E368" s="328">
        <v>387</v>
      </c>
      <c r="G368" s="328">
        <v>241</v>
      </c>
      <c r="H368" s="328">
        <v>146</v>
      </c>
      <c r="I368" s="328">
        <v>0</v>
      </c>
      <c r="J368" s="328">
        <v>519</v>
      </c>
      <c r="K368" s="328">
        <v>519</v>
      </c>
      <c r="N368" s="399">
        <v>464035</v>
      </c>
      <c r="O368" s="328">
        <v>0</v>
      </c>
      <c r="P368" s="328">
        <v>241</v>
      </c>
      <c r="Q368" s="328">
        <v>146</v>
      </c>
      <c r="R368" s="328">
        <v>387</v>
      </c>
      <c r="S368" s="328">
        <v>17044139</v>
      </c>
      <c r="T368" s="4">
        <v>2.23</v>
      </c>
      <c r="U368" s="165">
        <f>VLOOKUP(N368,'[2]154'!$C$9:$T$554,18,0)</f>
        <v>6755</v>
      </c>
      <c r="V368" s="399">
        <v>464035</v>
      </c>
      <c r="W368" s="407">
        <v>519</v>
      </c>
      <c r="X368" s="405">
        <v>42711.169556840076</v>
      </c>
      <c r="Y368" s="407">
        <v>22167097</v>
      </c>
      <c r="AA368" s="399">
        <v>464035</v>
      </c>
      <c r="AB368" s="328">
        <v>0</v>
      </c>
      <c r="AC368" s="328">
        <v>241</v>
      </c>
      <c r="AD368" s="328">
        <v>146</v>
      </c>
      <c r="AE368" s="328">
        <v>387</v>
      </c>
      <c r="AF368" s="328">
        <v>237</v>
      </c>
      <c r="AG368" s="328">
        <v>5842220</v>
      </c>
      <c r="AI368" s="399">
        <v>464035</v>
      </c>
      <c r="AJ368" s="328">
        <v>0</v>
      </c>
      <c r="AK368" s="328">
        <v>241</v>
      </c>
      <c r="AL368" s="328">
        <v>146</v>
      </c>
      <c r="AM368" s="328">
        <v>387</v>
      </c>
      <c r="AN368" s="328">
        <v>237</v>
      </c>
      <c r="AO368" s="328">
        <v>11201919</v>
      </c>
    </row>
    <row r="369" spans="1:41" ht="15.75">
      <c r="A369" s="167">
        <v>364</v>
      </c>
      <c r="B369" s="79" t="s">
        <v>105</v>
      </c>
      <c r="C369" s="452">
        <v>464354</v>
      </c>
      <c r="D369" s="457">
        <v>24806</v>
      </c>
      <c r="E369" s="328">
        <v>3702</v>
      </c>
      <c r="F369" s="328">
        <v>1</v>
      </c>
      <c r="G369" s="328">
        <v>636</v>
      </c>
      <c r="H369" s="328">
        <v>3065</v>
      </c>
      <c r="I369" s="328">
        <v>0</v>
      </c>
      <c r="J369" s="328">
        <v>197</v>
      </c>
      <c r="K369" s="328">
        <v>197</v>
      </c>
      <c r="N369" s="399">
        <v>464354</v>
      </c>
      <c r="O369" s="328">
        <v>1</v>
      </c>
      <c r="P369" s="328">
        <v>636</v>
      </c>
      <c r="Q369" s="328">
        <v>3065</v>
      </c>
      <c r="R369" s="328">
        <v>3702</v>
      </c>
      <c r="S369" s="328">
        <v>106111847</v>
      </c>
      <c r="T369" s="4">
        <v>1.58</v>
      </c>
      <c r="U369" s="165">
        <f>VLOOKUP(N369,'[2]154'!$C$9:$T$554,18,0)</f>
        <v>8143</v>
      </c>
      <c r="V369" s="399">
        <v>464354</v>
      </c>
      <c r="W369" s="407">
        <v>197</v>
      </c>
      <c r="X369" s="405">
        <v>27824.329949238578</v>
      </c>
      <c r="Y369" s="407">
        <v>5481393</v>
      </c>
      <c r="AA369" s="399">
        <v>464354</v>
      </c>
      <c r="AB369" s="328">
        <v>1</v>
      </c>
      <c r="AC369" s="328">
        <v>636</v>
      </c>
      <c r="AD369" s="328">
        <v>3065</v>
      </c>
      <c r="AE369" s="328">
        <v>3702</v>
      </c>
      <c r="AF369" s="328">
        <v>2770</v>
      </c>
      <c r="AG369" s="328">
        <v>36577311</v>
      </c>
      <c r="AI369" s="399">
        <v>464354</v>
      </c>
      <c r="AJ369" s="328">
        <v>1</v>
      </c>
      <c r="AK369" s="328">
        <v>636</v>
      </c>
      <c r="AL369" s="328">
        <v>3065</v>
      </c>
      <c r="AM369" s="328">
        <v>3702</v>
      </c>
      <c r="AN369" s="328">
        <v>2770</v>
      </c>
      <c r="AO369" s="328">
        <v>69534536</v>
      </c>
    </row>
    <row r="370" spans="1:41" ht="15.75">
      <c r="A370" s="167">
        <v>365</v>
      </c>
      <c r="B370" s="79" t="s">
        <v>105</v>
      </c>
      <c r="C370" s="452">
        <v>469491</v>
      </c>
      <c r="D370" s="457">
        <v>8893</v>
      </c>
      <c r="E370" s="328">
        <v>519</v>
      </c>
      <c r="F370" s="328">
        <v>0</v>
      </c>
      <c r="G370" s="328">
        <v>92</v>
      </c>
      <c r="H370" s="328">
        <v>427</v>
      </c>
      <c r="I370" s="328">
        <v>0</v>
      </c>
      <c r="J370" s="328">
        <v>91</v>
      </c>
      <c r="K370" s="328">
        <v>91</v>
      </c>
      <c r="N370" s="399">
        <v>469491</v>
      </c>
      <c r="O370" s="328">
        <v>0</v>
      </c>
      <c r="P370" s="328">
        <v>92</v>
      </c>
      <c r="Q370" s="328">
        <v>427</v>
      </c>
      <c r="R370" s="328">
        <v>519</v>
      </c>
      <c r="S370" s="328">
        <v>13323747</v>
      </c>
      <c r="T370" s="4">
        <v>1.85</v>
      </c>
      <c r="U370" s="165">
        <f>VLOOKUP(N370,'[2]154'!$C$9:$T$554,18,0)</f>
        <v>633</v>
      </c>
      <c r="V370" s="399">
        <v>469491</v>
      </c>
      <c r="W370" s="407">
        <v>91</v>
      </c>
      <c r="X370" s="405">
        <v>25671.956043956045</v>
      </c>
      <c r="Y370" s="407">
        <v>2336148</v>
      </c>
      <c r="AA370" s="399">
        <v>469491</v>
      </c>
      <c r="AB370" s="328">
        <v>0</v>
      </c>
      <c r="AC370" s="328">
        <v>92</v>
      </c>
      <c r="AD370" s="328">
        <v>427</v>
      </c>
      <c r="AE370" s="328">
        <v>519</v>
      </c>
      <c r="AF370" s="328">
        <v>388</v>
      </c>
      <c r="AG370" s="328">
        <v>4762144</v>
      </c>
      <c r="AI370" s="399">
        <v>469491</v>
      </c>
      <c r="AJ370" s="328">
        <v>0</v>
      </c>
      <c r="AK370" s="328">
        <v>92</v>
      </c>
      <c r="AL370" s="328">
        <v>427</v>
      </c>
      <c r="AM370" s="328">
        <v>519</v>
      </c>
      <c r="AN370" s="328">
        <v>388</v>
      </c>
      <c r="AO370" s="328">
        <v>8561603</v>
      </c>
    </row>
    <row r="371" spans="1:41" ht="15.75">
      <c r="A371" s="167">
        <v>366</v>
      </c>
      <c r="B371" s="79" t="s">
        <v>105</v>
      </c>
      <c r="C371" s="452">
        <v>474304</v>
      </c>
      <c r="D371" s="457">
        <v>10293</v>
      </c>
      <c r="E371" s="328">
        <v>367</v>
      </c>
      <c r="G371" s="328">
        <v>95</v>
      </c>
      <c r="H371" s="328">
        <v>272</v>
      </c>
      <c r="I371" s="328">
        <v>0</v>
      </c>
      <c r="J371" s="328">
        <v>179</v>
      </c>
      <c r="K371" s="328">
        <v>179</v>
      </c>
      <c r="N371" s="399">
        <v>474304</v>
      </c>
      <c r="O371" s="328">
        <v>0</v>
      </c>
      <c r="P371" s="328">
        <v>95</v>
      </c>
      <c r="Q371" s="328">
        <v>272</v>
      </c>
      <c r="R371" s="328">
        <v>367</v>
      </c>
      <c r="S371" s="328">
        <v>8799039</v>
      </c>
      <c r="T371" s="4">
        <v>1.93</v>
      </c>
      <c r="U371" s="165">
        <f>VLOOKUP(N371,'[2]154'!$C$9:$T$554,18,0)</f>
        <v>1704</v>
      </c>
      <c r="V371" s="399">
        <v>474304</v>
      </c>
      <c r="W371" s="407">
        <v>179</v>
      </c>
      <c r="X371" s="405">
        <v>32410.798882681564</v>
      </c>
      <c r="Y371" s="407">
        <v>5801533</v>
      </c>
      <c r="AA371" s="399">
        <v>474304</v>
      </c>
      <c r="AB371" s="328">
        <v>0</v>
      </c>
      <c r="AC371" s="328">
        <v>95</v>
      </c>
      <c r="AD371" s="328">
        <v>272</v>
      </c>
      <c r="AE371" s="328">
        <v>367</v>
      </c>
      <c r="AF371" s="328">
        <v>265</v>
      </c>
      <c r="AG371" s="328">
        <v>3144933</v>
      </c>
      <c r="AI371" s="399">
        <v>474304</v>
      </c>
      <c r="AJ371" s="328">
        <v>0</v>
      </c>
      <c r="AK371" s="328">
        <v>95</v>
      </c>
      <c r="AL371" s="328">
        <v>272</v>
      </c>
      <c r="AM371" s="328">
        <v>367</v>
      </c>
      <c r="AN371" s="328">
        <v>265</v>
      </c>
      <c r="AO371" s="328">
        <v>5654106</v>
      </c>
    </row>
    <row r="372" spans="1:41" ht="15.75">
      <c r="A372" s="167">
        <v>367</v>
      </c>
      <c r="B372" s="79" t="s">
        <v>161</v>
      </c>
      <c r="C372" s="452" t="s">
        <v>577</v>
      </c>
      <c r="D372" s="457">
        <v>363</v>
      </c>
      <c r="E372" s="328">
        <v>49</v>
      </c>
      <c r="G372" s="328">
        <v>14</v>
      </c>
      <c r="H372" s="328">
        <v>35</v>
      </c>
      <c r="I372" s="328">
        <v>0</v>
      </c>
      <c r="J372" s="328">
        <v>3</v>
      </c>
      <c r="K372" s="328">
        <v>3</v>
      </c>
      <c r="N372" s="399" t="s">
        <v>577</v>
      </c>
      <c r="O372" s="328">
        <v>0</v>
      </c>
      <c r="P372" s="328">
        <v>14</v>
      </c>
      <c r="Q372" s="328">
        <v>35</v>
      </c>
      <c r="R372" s="328">
        <v>49</v>
      </c>
      <c r="S372" s="328">
        <v>968351</v>
      </c>
      <c r="T372" s="4">
        <v>1.34</v>
      </c>
      <c r="U372" s="165">
        <f>VLOOKUP(N372,'[2]154'!$C$9:$T$554,18,0)</f>
        <v>120</v>
      </c>
      <c r="V372" s="399" t="s">
        <v>577</v>
      </c>
      <c r="W372" s="407">
        <v>3</v>
      </c>
      <c r="X372" s="405">
        <v>24446</v>
      </c>
      <c r="Y372" s="407">
        <v>73338</v>
      </c>
      <c r="AA372" s="399" t="s">
        <v>577</v>
      </c>
      <c r="AB372" s="328">
        <v>0</v>
      </c>
      <c r="AC372" s="328">
        <v>14</v>
      </c>
      <c r="AD372" s="328">
        <v>35</v>
      </c>
      <c r="AE372" s="328">
        <v>49</v>
      </c>
      <c r="AF372" s="328">
        <v>35</v>
      </c>
      <c r="AG372" s="328">
        <v>346106</v>
      </c>
      <c r="AI372" s="399" t="s">
        <v>577</v>
      </c>
      <c r="AJ372" s="328">
        <v>0</v>
      </c>
      <c r="AK372" s="328">
        <v>14</v>
      </c>
      <c r="AL372" s="328">
        <v>35</v>
      </c>
      <c r="AM372" s="328">
        <v>49</v>
      </c>
      <c r="AN372" s="328">
        <v>35</v>
      </c>
      <c r="AO372" s="328">
        <v>622245</v>
      </c>
    </row>
    <row r="373" spans="1:41" ht="15.75">
      <c r="A373" s="167">
        <v>368</v>
      </c>
      <c r="B373" s="79" t="s">
        <v>106</v>
      </c>
      <c r="C373" s="452" t="s">
        <v>578</v>
      </c>
      <c r="D373" s="457">
        <v>9659</v>
      </c>
      <c r="E373" s="328">
        <v>361</v>
      </c>
      <c r="F373" s="328">
        <v>112</v>
      </c>
      <c r="G373" s="328">
        <v>105</v>
      </c>
      <c r="H373" s="328">
        <v>144</v>
      </c>
      <c r="I373" s="328">
        <v>9273</v>
      </c>
      <c r="J373" s="328">
        <v>0</v>
      </c>
      <c r="K373" s="328">
        <v>9273</v>
      </c>
      <c r="N373" s="399" t="s">
        <v>578</v>
      </c>
      <c r="O373" s="328">
        <v>112</v>
      </c>
      <c r="P373" s="328">
        <v>105</v>
      </c>
      <c r="Q373" s="328">
        <v>144</v>
      </c>
      <c r="R373" s="328">
        <v>361</v>
      </c>
      <c r="S373" s="328">
        <v>9215920</v>
      </c>
      <c r="T373" s="4">
        <v>1.3</v>
      </c>
      <c r="U373" s="165">
        <f>VLOOKUP(N373,'[2]154'!$C$9:$T$554,18,0)</f>
        <v>3956</v>
      </c>
      <c r="V373" s="399" t="s">
        <v>578</v>
      </c>
      <c r="W373" s="407">
        <v>9273</v>
      </c>
      <c r="X373" s="405">
        <v>25649.388978755527</v>
      </c>
      <c r="Y373" s="407">
        <v>237846784</v>
      </c>
      <c r="AA373" s="399" t="s">
        <v>578</v>
      </c>
      <c r="AB373" s="328">
        <v>112</v>
      </c>
      <c r="AC373" s="328">
        <v>105</v>
      </c>
      <c r="AD373" s="328">
        <v>144</v>
      </c>
      <c r="AE373" s="328">
        <v>361</v>
      </c>
      <c r="AF373" s="328">
        <v>190</v>
      </c>
      <c r="AG373" s="328">
        <v>3195106</v>
      </c>
      <c r="AI373" s="399" t="s">
        <v>578</v>
      </c>
      <c r="AJ373" s="328">
        <v>112</v>
      </c>
      <c r="AK373" s="328">
        <v>105</v>
      </c>
      <c r="AL373" s="328">
        <v>144</v>
      </c>
      <c r="AM373" s="328">
        <v>361</v>
      </c>
      <c r="AN373" s="328">
        <v>190</v>
      </c>
      <c r="AO373" s="328">
        <v>6020814</v>
      </c>
    </row>
    <row r="374" spans="1:41" ht="15.75">
      <c r="A374" s="167">
        <v>369</v>
      </c>
      <c r="B374" s="79" t="s">
        <v>161</v>
      </c>
      <c r="C374" s="452">
        <v>100019047</v>
      </c>
      <c r="D374" s="457">
        <v>9642</v>
      </c>
      <c r="E374" s="328">
        <v>9642</v>
      </c>
      <c r="H374" s="328">
        <v>9642</v>
      </c>
      <c r="I374" s="328">
        <v>0</v>
      </c>
      <c r="J374" s="328">
        <v>0</v>
      </c>
      <c r="K374" s="328">
        <v>0</v>
      </c>
      <c r="N374" s="399">
        <v>100019047</v>
      </c>
      <c r="O374" s="328">
        <v>0</v>
      </c>
      <c r="P374" s="328">
        <v>0</v>
      </c>
      <c r="Q374" s="328">
        <v>9642</v>
      </c>
      <c r="R374" s="328">
        <v>9642</v>
      </c>
      <c r="S374" s="328">
        <v>537831631</v>
      </c>
      <c r="T374" s="4">
        <v>3.4</v>
      </c>
      <c r="U374" s="165">
        <f>VLOOKUP(N374,'[2]154'!$C$9:$T$554,18,0)</f>
        <v>3684</v>
      </c>
      <c r="V374" s="399">
        <v>100019047</v>
      </c>
      <c r="W374" s="407">
        <v>0</v>
      </c>
      <c r="X374" s="405">
        <v>0</v>
      </c>
      <c r="Y374" s="407">
        <v>0</v>
      </c>
      <c r="AA374" s="399">
        <v>100019047</v>
      </c>
      <c r="AB374" s="328">
        <v>0</v>
      </c>
      <c r="AC374" s="328">
        <v>0</v>
      </c>
      <c r="AD374" s="328">
        <v>9642</v>
      </c>
      <c r="AE374" s="328">
        <v>9642</v>
      </c>
      <c r="AF374" s="328">
        <v>7714</v>
      </c>
      <c r="AG374" s="328">
        <v>184253353</v>
      </c>
      <c r="AI374" s="399">
        <v>100019047</v>
      </c>
      <c r="AJ374" s="328">
        <v>0</v>
      </c>
      <c r="AK374" s="328">
        <v>0</v>
      </c>
      <c r="AL374" s="328">
        <v>9642</v>
      </c>
      <c r="AM374" s="328">
        <v>9642</v>
      </c>
      <c r="AN374" s="328">
        <v>7714</v>
      </c>
      <c r="AO374" s="328">
        <v>353578278</v>
      </c>
    </row>
    <row r="375" spans="1:41" ht="15.75">
      <c r="A375" s="167">
        <v>370</v>
      </c>
      <c r="B375" s="79" t="s">
        <v>105</v>
      </c>
      <c r="C375" s="452">
        <v>466798</v>
      </c>
      <c r="D375" s="457">
        <v>4778</v>
      </c>
      <c r="E375" s="328">
        <v>548</v>
      </c>
      <c r="G375" s="328">
        <v>177</v>
      </c>
      <c r="H375" s="328">
        <v>371</v>
      </c>
      <c r="I375" s="328">
        <v>137</v>
      </c>
      <c r="J375" s="328">
        <v>0</v>
      </c>
      <c r="K375" s="328">
        <v>137</v>
      </c>
      <c r="N375" s="399">
        <v>466798</v>
      </c>
      <c r="O375" s="328">
        <v>0</v>
      </c>
      <c r="P375" s="328">
        <v>177</v>
      </c>
      <c r="Q375" s="328">
        <v>371</v>
      </c>
      <c r="R375" s="328">
        <v>548</v>
      </c>
      <c r="S375" s="328">
        <v>32832609</v>
      </c>
      <c r="T375" s="4">
        <v>3.02</v>
      </c>
      <c r="U375" s="165">
        <f>VLOOKUP(N375,'[2]154'!$C$9:$T$554,18,0)</f>
        <v>2350</v>
      </c>
      <c r="V375" s="399">
        <v>466798</v>
      </c>
      <c r="W375" s="407">
        <v>137</v>
      </c>
      <c r="X375" s="405">
        <v>59913.518248175184</v>
      </c>
      <c r="Y375" s="407">
        <v>8208152</v>
      </c>
      <c r="AA375" s="399">
        <v>466798</v>
      </c>
      <c r="AB375" s="328">
        <v>0</v>
      </c>
      <c r="AC375" s="328">
        <v>177</v>
      </c>
      <c r="AD375" s="328">
        <v>371</v>
      </c>
      <c r="AE375" s="328">
        <v>548</v>
      </c>
      <c r="AF375" s="328">
        <v>385</v>
      </c>
      <c r="AG375" s="328">
        <v>11183697</v>
      </c>
      <c r="AI375" s="399">
        <v>466798</v>
      </c>
      <c r="AJ375" s="328">
        <v>0</v>
      </c>
      <c r="AK375" s="328">
        <v>177</v>
      </c>
      <c r="AL375" s="328">
        <v>371</v>
      </c>
      <c r="AM375" s="328">
        <v>548</v>
      </c>
      <c r="AN375" s="328">
        <v>385</v>
      </c>
      <c r="AO375" s="328">
        <v>21648912</v>
      </c>
    </row>
    <row r="376" spans="1:41" ht="15.75">
      <c r="A376" s="167">
        <v>371</v>
      </c>
      <c r="B376" s="79" t="s">
        <v>105</v>
      </c>
      <c r="C376" s="452">
        <v>468921</v>
      </c>
      <c r="D376" s="457">
        <v>7087</v>
      </c>
      <c r="E376" s="328">
        <v>409</v>
      </c>
      <c r="G376" s="328">
        <v>146</v>
      </c>
      <c r="H376" s="328">
        <v>263</v>
      </c>
      <c r="I376" s="328">
        <v>1428</v>
      </c>
      <c r="J376" s="328">
        <v>0</v>
      </c>
      <c r="K376" s="328">
        <v>1428</v>
      </c>
      <c r="N376" s="399">
        <v>468921</v>
      </c>
      <c r="O376" s="328">
        <v>0</v>
      </c>
      <c r="P376" s="328">
        <v>146</v>
      </c>
      <c r="Q376" s="328">
        <v>263</v>
      </c>
      <c r="R376" s="328">
        <v>409</v>
      </c>
      <c r="S376" s="328">
        <v>26116586</v>
      </c>
      <c r="T376" s="4">
        <v>3.15</v>
      </c>
      <c r="U376" s="165">
        <f>VLOOKUP(N376,'[2]154'!$C$9:$T$554,18,0)</f>
        <v>708</v>
      </c>
      <c r="V376" s="399">
        <v>468921</v>
      </c>
      <c r="W376" s="407">
        <v>1428</v>
      </c>
      <c r="X376" s="405">
        <v>63854.731092436974</v>
      </c>
      <c r="Y376" s="407">
        <v>91184556</v>
      </c>
      <c r="AA376" s="399">
        <v>468921</v>
      </c>
      <c r="AB376" s="328">
        <v>0</v>
      </c>
      <c r="AC376" s="328">
        <v>146</v>
      </c>
      <c r="AD376" s="328">
        <v>263</v>
      </c>
      <c r="AE376" s="328">
        <v>409</v>
      </c>
      <c r="AF376" s="328">
        <v>283</v>
      </c>
      <c r="AG376" s="328">
        <v>8858993</v>
      </c>
      <c r="AI376" s="399">
        <v>468921</v>
      </c>
      <c r="AJ376" s="328">
        <v>0</v>
      </c>
      <c r="AK376" s="328">
        <v>146</v>
      </c>
      <c r="AL376" s="328">
        <v>263</v>
      </c>
      <c r="AM376" s="328">
        <v>409</v>
      </c>
      <c r="AN376" s="328">
        <v>283</v>
      </c>
      <c r="AO376" s="328">
        <v>17257593</v>
      </c>
    </row>
    <row r="377" spans="1:41" ht="15.75">
      <c r="A377" s="167">
        <v>372</v>
      </c>
      <c r="B377" s="79" t="s">
        <v>105</v>
      </c>
      <c r="C377" s="452">
        <v>469052</v>
      </c>
      <c r="D377" s="457">
        <v>11443</v>
      </c>
      <c r="E377" s="328">
        <v>907</v>
      </c>
      <c r="G377" s="328">
        <v>452</v>
      </c>
      <c r="H377" s="328">
        <v>455</v>
      </c>
      <c r="I377" s="328">
        <v>615</v>
      </c>
      <c r="J377" s="328">
        <v>0</v>
      </c>
      <c r="K377" s="328">
        <v>615</v>
      </c>
      <c r="N377" s="399">
        <v>469052</v>
      </c>
      <c r="O377" s="328">
        <v>0</v>
      </c>
      <c r="P377" s="328">
        <v>452</v>
      </c>
      <c r="Q377" s="328">
        <v>455</v>
      </c>
      <c r="R377" s="328">
        <v>907</v>
      </c>
      <c r="S377" s="328">
        <v>26172364</v>
      </c>
      <c r="T377" s="4">
        <v>1.4420512820512821</v>
      </c>
      <c r="U377" s="165">
        <f>VLOOKUP(N377,'[2]154'!$C$9:$T$554,18,0)</f>
        <v>2376</v>
      </c>
      <c r="V377" s="399">
        <v>469052</v>
      </c>
      <c r="W377" s="407">
        <v>615</v>
      </c>
      <c r="X377" s="405">
        <v>28855.967479674797</v>
      </c>
      <c r="Y377" s="407">
        <v>17746420</v>
      </c>
      <c r="AA377" s="399">
        <v>469052</v>
      </c>
      <c r="AB377" s="328">
        <v>0</v>
      </c>
      <c r="AC377" s="328">
        <v>452</v>
      </c>
      <c r="AD377" s="328">
        <v>455</v>
      </c>
      <c r="AE377" s="328">
        <v>907</v>
      </c>
      <c r="AF377" s="328">
        <v>590</v>
      </c>
      <c r="AG377" s="328">
        <v>8906042</v>
      </c>
      <c r="AI377" s="399">
        <v>469052</v>
      </c>
      <c r="AJ377" s="328">
        <v>0</v>
      </c>
      <c r="AK377" s="328">
        <v>452</v>
      </c>
      <c r="AL377" s="328">
        <v>455</v>
      </c>
      <c r="AM377" s="328">
        <v>907</v>
      </c>
      <c r="AN377" s="328">
        <v>590</v>
      </c>
      <c r="AO377" s="328">
        <v>17266322</v>
      </c>
    </row>
    <row r="378" spans="1:41" ht="15.75">
      <c r="A378" s="167">
        <v>373</v>
      </c>
      <c r="B378" s="79" t="s">
        <v>105</v>
      </c>
      <c r="C378" s="452">
        <v>469493</v>
      </c>
      <c r="D378" s="457">
        <v>4427</v>
      </c>
      <c r="E378" s="328">
        <v>628</v>
      </c>
      <c r="G378" s="328">
        <v>65</v>
      </c>
      <c r="H378" s="328">
        <v>563</v>
      </c>
      <c r="I378" s="328">
        <v>229</v>
      </c>
      <c r="J378" s="328">
        <v>1</v>
      </c>
      <c r="K378" s="328">
        <v>230</v>
      </c>
      <c r="N378" s="399">
        <v>469493</v>
      </c>
      <c r="O378" s="328">
        <v>0</v>
      </c>
      <c r="P378" s="328">
        <v>65</v>
      </c>
      <c r="Q378" s="328">
        <v>563</v>
      </c>
      <c r="R378" s="328">
        <v>628</v>
      </c>
      <c r="S378" s="328">
        <v>37838362</v>
      </c>
      <c r="T378" s="4">
        <v>3.02</v>
      </c>
      <c r="U378" s="165">
        <f>VLOOKUP(N378,'[2]154'!$C$9:$T$554,18,0)</f>
        <v>1092</v>
      </c>
      <c r="V378" s="399">
        <v>469493</v>
      </c>
      <c r="W378" s="407">
        <v>230</v>
      </c>
      <c r="X378" s="405">
        <v>60252.169565217395</v>
      </c>
      <c r="Y378" s="407">
        <v>13857999</v>
      </c>
      <c r="AA378" s="399">
        <v>469493</v>
      </c>
      <c r="AB378" s="328">
        <v>0</v>
      </c>
      <c r="AC378" s="328">
        <v>65</v>
      </c>
      <c r="AD378" s="328">
        <v>563</v>
      </c>
      <c r="AE378" s="328">
        <v>628</v>
      </c>
      <c r="AF378" s="328">
        <v>483</v>
      </c>
      <c r="AG378" s="328">
        <v>12844452</v>
      </c>
      <c r="AI378" s="399">
        <v>469493</v>
      </c>
      <c r="AJ378" s="328">
        <v>0</v>
      </c>
      <c r="AK378" s="328">
        <v>65</v>
      </c>
      <c r="AL378" s="328">
        <v>563</v>
      </c>
      <c r="AM378" s="328">
        <v>628</v>
      </c>
      <c r="AN378" s="328">
        <v>483</v>
      </c>
      <c r="AO378" s="328">
        <v>24993910</v>
      </c>
    </row>
    <row r="379" spans="1:41" ht="15.75">
      <c r="A379" s="167">
        <v>374</v>
      </c>
      <c r="B379" s="79" t="s">
        <v>105</v>
      </c>
      <c r="C379" s="452">
        <v>470238</v>
      </c>
      <c r="D379" s="457">
        <v>5770</v>
      </c>
      <c r="E379" s="328">
        <v>870</v>
      </c>
      <c r="F379" s="328">
        <v>11</v>
      </c>
      <c r="G379" s="328">
        <v>793</v>
      </c>
      <c r="H379" s="328">
        <v>66</v>
      </c>
      <c r="I379" s="328">
        <v>300</v>
      </c>
      <c r="J379" s="328">
        <v>66</v>
      </c>
      <c r="K379" s="328">
        <v>366</v>
      </c>
      <c r="N379" s="399">
        <v>470238</v>
      </c>
      <c r="O379" s="328">
        <v>11</v>
      </c>
      <c r="P379" s="328">
        <v>793</v>
      </c>
      <c r="Q379" s="328">
        <v>66</v>
      </c>
      <c r="R379" s="328">
        <v>870</v>
      </c>
      <c r="S379" s="328">
        <v>24508615</v>
      </c>
      <c r="T379" s="4">
        <v>1.53</v>
      </c>
      <c r="U379" s="165">
        <f>VLOOKUP(N379,'[2]154'!$C$9:$T$554,18,0)</f>
        <v>4982</v>
      </c>
      <c r="V379" s="399">
        <v>470238</v>
      </c>
      <c r="W379" s="407">
        <v>366</v>
      </c>
      <c r="X379" s="405">
        <v>28170.822404371585</v>
      </c>
      <c r="Y379" s="407">
        <v>10310521</v>
      </c>
      <c r="AA379" s="399">
        <v>470238</v>
      </c>
      <c r="AB379" s="328">
        <v>11</v>
      </c>
      <c r="AC379" s="328">
        <v>793</v>
      </c>
      <c r="AD379" s="328">
        <v>66</v>
      </c>
      <c r="AE379" s="328">
        <v>870</v>
      </c>
      <c r="AF379" s="328">
        <v>452</v>
      </c>
      <c r="AG379" s="328">
        <v>8491925</v>
      </c>
      <c r="AI379" s="399">
        <v>470238</v>
      </c>
      <c r="AJ379" s="328">
        <v>11</v>
      </c>
      <c r="AK379" s="328">
        <v>793</v>
      </c>
      <c r="AL379" s="328">
        <v>66</v>
      </c>
      <c r="AM379" s="328">
        <v>870</v>
      </c>
      <c r="AN379" s="328">
        <v>452</v>
      </c>
      <c r="AO379" s="328">
        <v>16016690</v>
      </c>
    </row>
    <row r="380" spans="1:41" ht="15.75">
      <c r="A380" s="167">
        <v>375</v>
      </c>
      <c r="B380" s="79" t="s">
        <v>105</v>
      </c>
      <c r="C380" s="452">
        <v>470342</v>
      </c>
      <c r="D380" s="457">
        <v>14771</v>
      </c>
      <c r="E380" s="328">
        <v>1426</v>
      </c>
      <c r="G380" s="328">
        <v>138</v>
      </c>
      <c r="H380" s="328">
        <v>1288</v>
      </c>
      <c r="I380" s="328">
        <v>1124</v>
      </c>
      <c r="J380" s="328">
        <v>1</v>
      </c>
      <c r="K380" s="328">
        <v>1125</v>
      </c>
      <c r="N380" s="399">
        <v>470342</v>
      </c>
      <c r="O380" s="328">
        <v>0</v>
      </c>
      <c r="P380" s="328">
        <v>138</v>
      </c>
      <c r="Q380" s="328">
        <v>1288</v>
      </c>
      <c r="R380" s="328">
        <v>1426</v>
      </c>
      <c r="S380" s="328">
        <v>42032871</v>
      </c>
      <c r="T380" s="4">
        <v>1.4674233128834355</v>
      </c>
      <c r="U380" s="165">
        <f>VLOOKUP(N380,'[2]154'!$C$9:$T$554,18,0)</f>
        <v>2398</v>
      </c>
      <c r="V380" s="399">
        <v>470342</v>
      </c>
      <c r="W380" s="407">
        <v>1125</v>
      </c>
      <c r="X380" s="405">
        <v>29476.066666666666</v>
      </c>
      <c r="Y380" s="407">
        <v>33160575</v>
      </c>
      <c r="AA380" s="399">
        <v>470342</v>
      </c>
      <c r="AB380" s="328">
        <v>0</v>
      </c>
      <c r="AC380" s="328">
        <v>138</v>
      </c>
      <c r="AD380" s="328">
        <v>1288</v>
      </c>
      <c r="AE380" s="328">
        <v>1426</v>
      </c>
      <c r="AF380" s="328">
        <v>1099</v>
      </c>
      <c r="AG380" s="328">
        <v>14293033</v>
      </c>
      <c r="AI380" s="399">
        <v>470342</v>
      </c>
      <c r="AJ380" s="328">
        <v>0</v>
      </c>
      <c r="AK380" s="328">
        <v>138</v>
      </c>
      <c r="AL380" s="328">
        <v>1288</v>
      </c>
      <c r="AM380" s="328">
        <v>1426</v>
      </c>
      <c r="AN380" s="328">
        <v>1099</v>
      </c>
      <c r="AO380" s="328">
        <v>27739838</v>
      </c>
    </row>
    <row r="381" spans="1:41" ht="15.75">
      <c r="A381" s="167">
        <v>376</v>
      </c>
      <c r="B381" s="79" t="s">
        <v>105</v>
      </c>
      <c r="C381" s="452">
        <v>474049</v>
      </c>
      <c r="D381" s="457">
        <v>11355</v>
      </c>
      <c r="E381" s="328">
        <v>983</v>
      </c>
      <c r="F381" s="328">
        <v>3</v>
      </c>
      <c r="G381" s="328">
        <v>73</v>
      </c>
      <c r="H381" s="328">
        <v>907</v>
      </c>
      <c r="I381" s="328">
        <v>0</v>
      </c>
      <c r="J381" s="328">
        <v>107</v>
      </c>
      <c r="K381" s="328">
        <v>107</v>
      </c>
      <c r="N381" s="399">
        <v>474049</v>
      </c>
      <c r="O381" s="328">
        <v>3</v>
      </c>
      <c r="P381" s="328">
        <v>73</v>
      </c>
      <c r="Q381" s="328">
        <v>907</v>
      </c>
      <c r="R381" s="328">
        <v>983</v>
      </c>
      <c r="S381" s="328">
        <v>43419193</v>
      </c>
      <c r="T381" s="4">
        <v>2.23</v>
      </c>
      <c r="U381" s="165">
        <f>VLOOKUP(N381,'[2]154'!$C$9:$T$554,18,0)</f>
        <v>7880</v>
      </c>
      <c r="V381" s="399">
        <v>474049</v>
      </c>
      <c r="W381" s="407">
        <v>107</v>
      </c>
      <c r="X381" s="405">
        <v>44169.93457943925</v>
      </c>
      <c r="Y381" s="407">
        <v>4726183</v>
      </c>
      <c r="AA381" s="399">
        <v>474049</v>
      </c>
      <c r="AB381" s="328">
        <v>3</v>
      </c>
      <c r="AC381" s="328">
        <v>73</v>
      </c>
      <c r="AD381" s="328">
        <v>907</v>
      </c>
      <c r="AE381" s="328">
        <v>983</v>
      </c>
      <c r="AF381" s="328">
        <v>763</v>
      </c>
      <c r="AG381" s="328">
        <v>14944866</v>
      </c>
      <c r="AI381" s="399">
        <v>474049</v>
      </c>
      <c r="AJ381" s="328">
        <v>3</v>
      </c>
      <c r="AK381" s="328">
        <v>73</v>
      </c>
      <c r="AL381" s="328">
        <v>907</v>
      </c>
      <c r="AM381" s="328">
        <v>983</v>
      </c>
      <c r="AN381" s="328">
        <v>763</v>
      </c>
      <c r="AO381" s="328">
        <v>28474327</v>
      </c>
    </row>
    <row r="382" spans="1:41" ht="15.75">
      <c r="A382" s="167">
        <v>377</v>
      </c>
      <c r="B382" s="79" t="s">
        <v>105</v>
      </c>
      <c r="C382" s="452">
        <v>474816</v>
      </c>
      <c r="D382" s="457">
        <v>8587</v>
      </c>
      <c r="E382" s="328">
        <v>646</v>
      </c>
      <c r="G382" s="328">
        <v>309</v>
      </c>
      <c r="H382" s="328">
        <v>337</v>
      </c>
      <c r="I382" s="328">
        <v>890</v>
      </c>
      <c r="J382" s="328">
        <v>1</v>
      </c>
      <c r="K382" s="328">
        <v>891</v>
      </c>
      <c r="N382" s="399">
        <v>474816</v>
      </c>
      <c r="O382" s="328">
        <v>0</v>
      </c>
      <c r="P382" s="328">
        <v>309</v>
      </c>
      <c r="Q382" s="328">
        <v>337</v>
      </c>
      <c r="R382" s="328">
        <v>646</v>
      </c>
      <c r="S382" s="328">
        <v>38010562</v>
      </c>
      <c r="T382" s="4">
        <v>3.02</v>
      </c>
      <c r="U382" s="165">
        <f>VLOOKUP(N382,'[2]154'!$C$9:$T$554,18,0)</f>
        <v>7832</v>
      </c>
      <c r="V382" s="399">
        <v>474816</v>
      </c>
      <c r="W382" s="407">
        <v>891</v>
      </c>
      <c r="X382" s="405">
        <v>58839.878787878784</v>
      </c>
      <c r="Y382" s="407">
        <v>52426332</v>
      </c>
      <c r="AA382" s="399">
        <v>474816</v>
      </c>
      <c r="AB382" s="328">
        <v>0</v>
      </c>
      <c r="AC382" s="328">
        <v>309</v>
      </c>
      <c r="AD382" s="328">
        <v>337</v>
      </c>
      <c r="AE382" s="328">
        <v>646</v>
      </c>
      <c r="AF382" s="328">
        <v>424</v>
      </c>
      <c r="AG382" s="328">
        <v>13232044</v>
      </c>
      <c r="AI382" s="399">
        <v>474816</v>
      </c>
      <c r="AJ382" s="328">
        <v>0</v>
      </c>
      <c r="AK382" s="328">
        <v>309</v>
      </c>
      <c r="AL382" s="328">
        <v>337</v>
      </c>
      <c r="AM382" s="328">
        <v>646</v>
      </c>
      <c r="AN382" s="328">
        <v>424</v>
      </c>
      <c r="AO382" s="328">
        <v>24778518</v>
      </c>
    </row>
    <row r="383" spans="1:41" ht="15.75">
      <c r="A383" s="167">
        <v>378</v>
      </c>
      <c r="B383" s="79" t="s">
        <v>105</v>
      </c>
      <c r="C383" s="452">
        <v>471157</v>
      </c>
      <c r="D383" s="457">
        <v>3170</v>
      </c>
      <c r="E383" s="328">
        <v>94</v>
      </c>
      <c r="G383" s="328">
        <v>35</v>
      </c>
      <c r="H383" s="328">
        <v>59</v>
      </c>
      <c r="I383" s="328">
        <v>0</v>
      </c>
      <c r="J383" s="328">
        <v>28</v>
      </c>
      <c r="K383" s="328">
        <v>28</v>
      </c>
      <c r="N383" s="399">
        <v>471157</v>
      </c>
      <c r="O383" s="328">
        <v>0</v>
      </c>
      <c r="P383" s="328">
        <v>35</v>
      </c>
      <c r="Q383" s="328">
        <v>59</v>
      </c>
      <c r="R383" s="328">
        <v>94</v>
      </c>
      <c r="S383" s="328">
        <v>5029222</v>
      </c>
      <c r="T383" s="4">
        <v>2.73</v>
      </c>
      <c r="U383" s="165">
        <f>VLOOKUP(N383,'[2]154'!$C$9:$T$554,18,0)</f>
        <v>2886</v>
      </c>
      <c r="V383" s="399">
        <v>471157</v>
      </c>
      <c r="W383" s="407">
        <v>28</v>
      </c>
      <c r="X383" s="405">
        <v>53502.357142857145</v>
      </c>
      <c r="Y383" s="407">
        <v>1498066</v>
      </c>
      <c r="AA383" s="399">
        <v>471157</v>
      </c>
      <c r="AB383" s="328">
        <v>0</v>
      </c>
      <c r="AC383" s="328">
        <v>35</v>
      </c>
      <c r="AD383" s="328">
        <v>59</v>
      </c>
      <c r="AE383" s="328">
        <v>94</v>
      </c>
      <c r="AF383" s="328">
        <v>65</v>
      </c>
      <c r="AG383" s="328">
        <v>1761065</v>
      </c>
      <c r="AI383" s="399">
        <v>471157</v>
      </c>
      <c r="AJ383" s="328">
        <v>0</v>
      </c>
      <c r="AK383" s="328">
        <v>35</v>
      </c>
      <c r="AL383" s="328">
        <v>59</v>
      </c>
      <c r="AM383" s="328">
        <v>94</v>
      </c>
      <c r="AN383" s="328">
        <v>65</v>
      </c>
      <c r="AO383" s="328">
        <v>3268157</v>
      </c>
    </row>
    <row r="384" spans="1:41" ht="15.75">
      <c r="A384" s="167">
        <v>379</v>
      </c>
      <c r="B384" s="79" t="s">
        <v>105</v>
      </c>
      <c r="C384" s="452">
        <v>482924</v>
      </c>
      <c r="D384" s="457">
        <v>1234</v>
      </c>
      <c r="E384" s="328">
        <v>70</v>
      </c>
      <c r="G384" s="328">
        <v>11</v>
      </c>
      <c r="H384" s="328">
        <v>59</v>
      </c>
      <c r="I384" s="328">
        <v>0</v>
      </c>
      <c r="J384" s="328">
        <v>114</v>
      </c>
      <c r="K384" s="328">
        <v>114</v>
      </c>
      <c r="N384" s="399">
        <v>482924</v>
      </c>
      <c r="O384" s="328">
        <v>0</v>
      </c>
      <c r="P384" s="328">
        <v>11</v>
      </c>
      <c r="Q384" s="328">
        <v>59</v>
      </c>
      <c r="R384" s="328">
        <v>70</v>
      </c>
      <c r="S384" s="328">
        <v>3767086</v>
      </c>
      <c r="T384" s="4">
        <v>2.65</v>
      </c>
      <c r="U384" s="165">
        <f>VLOOKUP(N384,'[2]154'!$C$9:$T$554,18,0)</f>
        <v>452</v>
      </c>
      <c r="V384" s="399">
        <v>482924</v>
      </c>
      <c r="W384" s="407">
        <v>114</v>
      </c>
      <c r="X384" s="405">
        <v>53815.508771929824</v>
      </c>
      <c r="Y384" s="407">
        <v>6134968</v>
      </c>
      <c r="AA384" s="399">
        <v>482924</v>
      </c>
      <c r="AB384" s="328">
        <v>0</v>
      </c>
      <c r="AC384" s="328">
        <v>11</v>
      </c>
      <c r="AD384" s="328">
        <v>59</v>
      </c>
      <c r="AE384" s="328">
        <v>70</v>
      </c>
      <c r="AF384" s="328">
        <v>53</v>
      </c>
      <c r="AG384" s="328">
        <v>1283796</v>
      </c>
      <c r="AI384" s="399">
        <v>482924</v>
      </c>
      <c r="AJ384" s="328">
        <v>0</v>
      </c>
      <c r="AK384" s="328">
        <v>11</v>
      </c>
      <c r="AL384" s="328">
        <v>59</v>
      </c>
      <c r="AM384" s="328">
        <v>70</v>
      </c>
      <c r="AN384" s="328">
        <v>53</v>
      </c>
      <c r="AO384" s="328">
        <v>2483290</v>
      </c>
    </row>
    <row r="385" spans="1:41" ht="15.75">
      <c r="A385" s="167">
        <v>380</v>
      </c>
      <c r="B385" s="79" t="s">
        <v>105</v>
      </c>
      <c r="C385" s="452">
        <v>466742</v>
      </c>
      <c r="D385" s="457">
        <v>19531</v>
      </c>
      <c r="E385" s="328">
        <v>883</v>
      </c>
      <c r="F385" s="328">
        <v>10</v>
      </c>
      <c r="G385" s="328">
        <v>444</v>
      </c>
      <c r="H385" s="328">
        <v>429</v>
      </c>
      <c r="I385" s="328">
        <v>17628</v>
      </c>
      <c r="J385" s="328">
        <v>0</v>
      </c>
      <c r="K385" s="328">
        <v>17628</v>
      </c>
      <c r="N385" s="399">
        <v>466742</v>
      </c>
      <c r="O385" s="328">
        <v>10</v>
      </c>
      <c r="P385" s="328">
        <v>444</v>
      </c>
      <c r="Q385" s="328">
        <v>429</v>
      </c>
      <c r="R385" s="328">
        <v>883</v>
      </c>
      <c r="S385" s="328">
        <v>26773262</v>
      </c>
      <c r="T385" s="4">
        <v>1.52</v>
      </c>
      <c r="U385" s="165">
        <f>VLOOKUP(N385,'[2]154'!$C$9:$T$554,18,0)</f>
        <v>7982</v>
      </c>
      <c r="V385" s="399">
        <v>466742</v>
      </c>
      <c r="W385" s="407">
        <v>17628</v>
      </c>
      <c r="X385" s="405">
        <v>30320.795155434535</v>
      </c>
      <c r="Y385" s="407">
        <v>534494977</v>
      </c>
      <c r="AA385" s="399">
        <v>466742</v>
      </c>
      <c r="AB385" s="328">
        <v>10</v>
      </c>
      <c r="AC385" s="328">
        <v>444</v>
      </c>
      <c r="AD385" s="328">
        <v>429</v>
      </c>
      <c r="AE385" s="328">
        <v>883</v>
      </c>
      <c r="AF385" s="328">
        <v>567</v>
      </c>
      <c r="AG385" s="328">
        <v>9174952</v>
      </c>
      <c r="AI385" s="399">
        <v>466742</v>
      </c>
      <c r="AJ385" s="328">
        <v>10</v>
      </c>
      <c r="AK385" s="328">
        <v>444</v>
      </c>
      <c r="AL385" s="328">
        <v>429</v>
      </c>
      <c r="AM385" s="328">
        <v>883</v>
      </c>
      <c r="AN385" s="328">
        <v>567</v>
      </c>
      <c r="AO385" s="328">
        <v>17598310</v>
      </c>
    </row>
    <row r="386" spans="1:41" ht="15.75">
      <c r="A386" s="167">
        <v>381</v>
      </c>
      <c r="B386" s="79" t="s">
        <v>161</v>
      </c>
      <c r="C386" s="452">
        <v>100018226</v>
      </c>
      <c r="D386" s="457">
        <v>2288</v>
      </c>
      <c r="E386" s="328">
        <v>81</v>
      </c>
      <c r="F386" s="328">
        <v>0</v>
      </c>
      <c r="G386" s="328">
        <v>20</v>
      </c>
      <c r="H386" s="328">
        <v>61</v>
      </c>
      <c r="I386" s="328">
        <v>0</v>
      </c>
      <c r="J386" s="328">
        <v>0</v>
      </c>
      <c r="K386" s="328">
        <v>0</v>
      </c>
      <c r="N386" s="399">
        <v>100018226</v>
      </c>
      <c r="O386" s="328">
        <v>0</v>
      </c>
      <c r="P386" s="328">
        <v>20</v>
      </c>
      <c r="Q386" s="328">
        <v>61</v>
      </c>
      <c r="R386" s="328">
        <v>81</v>
      </c>
      <c r="S386" s="328">
        <v>4548691</v>
      </c>
      <c r="T386" s="4">
        <v>2.74</v>
      </c>
      <c r="U386" s="165">
        <f>VLOOKUP(N386,'[2]154'!$C$9:$T$554,18,0)</f>
        <v>0</v>
      </c>
      <c r="V386" s="399">
        <v>100018226</v>
      </c>
      <c r="W386" s="407">
        <v>0</v>
      </c>
      <c r="X386" s="405">
        <v>0</v>
      </c>
      <c r="Y386" s="407">
        <v>0</v>
      </c>
      <c r="AA386" s="399">
        <v>100018226</v>
      </c>
      <c r="AB386" s="328">
        <v>0</v>
      </c>
      <c r="AC386" s="328">
        <v>20</v>
      </c>
      <c r="AD386" s="328">
        <v>61</v>
      </c>
      <c r="AE386" s="328">
        <v>81</v>
      </c>
      <c r="AF386" s="328">
        <v>59</v>
      </c>
      <c r="AG386" s="328">
        <v>1539978</v>
      </c>
      <c r="AI386" s="399">
        <v>100018226</v>
      </c>
      <c r="AJ386" s="328">
        <v>0</v>
      </c>
      <c r="AK386" s="328">
        <v>20</v>
      </c>
      <c r="AL386" s="328">
        <v>61</v>
      </c>
      <c r="AM386" s="328">
        <v>81</v>
      </c>
      <c r="AN386" s="328">
        <v>59</v>
      </c>
      <c r="AO386" s="328">
        <v>3008713</v>
      </c>
    </row>
    <row r="387" spans="1:41" ht="15.75">
      <c r="A387" s="167">
        <v>382</v>
      </c>
      <c r="B387" s="79" t="s">
        <v>613</v>
      </c>
      <c r="C387" s="452">
        <v>100034888</v>
      </c>
      <c r="D387" s="457">
        <v>3184</v>
      </c>
      <c r="E387" s="328">
        <v>63</v>
      </c>
      <c r="F387" s="328">
        <v>0</v>
      </c>
      <c r="G387" s="328">
        <v>53</v>
      </c>
      <c r="H387" s="328">
        <v>10</v>
      </c>
      <c r="I387" s="328">
        <v>73</v>
      </c>
      <c r="J387" s="328">
        <v>0</v>
      </c>
      <c r="K387" s="328">
        <v>73</v>
      </c>
      <c r="N387" s="399">
        <v>100034888</v>
      </c>
      <c r="O387" s="328">
        <v>0</v>
      </c>
      <c r="P387" s="328">
        <v>53</v>
      </c>
      <c r="Q387" s="328">
        <v>10</v>
      </c>
      <c r="R387" s="328">
        <v>63</v>
      </c>
      <c r="S387" s="328">
        <v>3178970</v>
      </c>
      <c r="T387" s="4">
        <v>2.46</v>
      </c>
      <c r="U387" s="165">
        <f>VLOOKUP(N387,'[2]154'!$C$9:$T$554,18,0)</f>
        <v>0</v>
      </c>
      <c r="V387" s="399">
        <v>100034888</v>
      </c>
      <c r="W387" s="407">
        <v>73</v>
      </c>
      <c r="X387" s="405">
        <v>50459.794520547948</v>
      </c>
      <c r="Y387" s="407">
        <v>3683565</v>
      </c>
      <c r="AA387" s="399">
        <v>100034888</v>
      </c>
      <c r="AB387" s="328">
        <v>0</v>
      </c>
      <c r="AC387" s="328">
        <v>53</v>
      </c>
      <c r="AD387" s="328">
        <v>10</v>
      </c>
      <c r="AE387" s="328">
        <v>63</v>
      </c>
      <c r="AF387" s="328">
        <v>35</v>
      </c>
      <c r="AG387" s="328">
        <v>1076253</v>
      </c>
      <c r="AI387" s="399">
        <v>100034888</v>
      </c>
      <c r="AJ387" s="328">
        <v>0</v>
      </c>
      <c r="AK387" s="328">
        <v>53</v>
      </c>
      <c r="AL387" s="328">
        <v>10</v>
      </c>
      <c r="AM387" s="328">
        <v>63</v>
      </c>
      <c r="AN387" s="328">
        <v>35</v>
      </c>
      <c r="AO387" s="328">
        <v>2102717</v>
      </c>
    </row>
    <row r="388" spans="1:41" ht="15.75">
      <c r="A388" s="167">
        <v>383</v>
      </c>
      <c r="B388" s="79" t="s">
        <v>613</v>
      </c>
      <c r="C388" s="452">
        <v>100035009</v>
      </c>
      <c r="D388" s="457">
        <v>5365</v>
      </c>
      <c r="E388" s="328">
        <v>1900</v>
      </c>
      <c r="F388" s="328">
        <v>796</v>
      </c>
      <c r="G388" s="328">
        <v>1075</v>
      </c>
      <c r="H388" s="328">
        <v>29</v>
      </c>
      <c r="I388" s="328">
        <v>5</v>
      </c>
      <c r="J388" s="328">
        <v>0</v>
      </c>
      <c r="K388" s="328">
        <v>5</v>
      </c>
      <c r="N388" s="399">
        <v>100035009</v>
      </c>
      <c r="O388" s="328">
        <v>796</v>
      </c>
      <c r="P388" s="328">
        <v>1075</v>
      </c>
      <c r="Q388" s="328">
        <v>29</v>
      </c>
      <c r="R388" s="328">
        <v>1900</v>
      </c>
      <c r="S388" s="328">
        <v>63488729</v>
      </c>
      <c r="T388" s="4">
        <v>2.0699999999999998</v>
      </c>
      <c r="U388" s="165">
        <f>VLOOKUP(N388,'[2]154'!$C$9:$T$554,18,0)</f>
        <v>0</v>
      </c>
      <c r="V388" s="399">
        <v>100035009</v>
      </c>
      <c r="W388" s="407">
        <v>5</v>
      </c>
      <c r="X388" s="405">
        <v>33414.400000000001</v>
      </c>
      <c r="Y388" s="407">
        <v>167072</v>
      </c>
      <c r="AA388" s="399">
        <v>100035009</v>
      </c>
      <c r="AB388" s="328">
        <v>796</v>
      </c>
      <c r="AC388" s="328">
        <v>1075</v>
      </c>
      <c r="AD388" s="328">
        <v>29</v>
      </c>
      <c r="AE388" s="328">
        <v>1900</v>
      </c>
      <c r="AF388" s="328">
        <v>720</v>
      </c>
      <c r="AG388" s="328">
        <v>21494364</v>
      </c>
      <c r="AI388" s="399">
        <v>100035009</v>
      </c>
      <c r="AJ388" s="328">
        <v>796</v>
      </c>
      <c r="AK388" s="328">
        <v>1075</v>
      </c>
      <c r="AL388" s="328">
        <v>29</v>
      </c>
      <c r="AM388" s="328">
        <v>1900</v>
      </c>
      <c r="AN388" s="328">
        <v>720</v>
      </c>
      <c r="AO388" s="328">
        <v>41994365</v>
      </c>
    </row>
    <row r="389" spans="1:41" ht="15.75">
      <c r="A389" s="167">
        <v>384</v>
      </c>
      <c r="B389" s="79" t="s">
        <v>108</v>
      </c>
      <c r="C389" s="452">
        <v>174034716</v>
      </c>
      <c r="D389" s="457">
        <v>1072</v>
      </c>
      <c r="E389" s="328">
        <v>0</v>
      </c>
      <c r="F389" s="328">
        <v>0</v>
      </c>
      <c r="G389" s="328">
        <v>0</v>
      </c>
      <c r="H389" s="328">
        <v>0</v>
      </c>
      <c r="I389" s="328">
        <v>0</v>
      </c>
      <c r="J389" s="328">
        <v>0</v>
      </c>
      <c r="K389" s="328">
        <v>0</v>
      </c>
      <c r="N389" s="399">
        <v>174034716</v>
      </c>
      <c r="O389" s="328">
        <v>0</v>
      </c>
      <c r="P389" s="328">
        <v>0</v>
      </c>
      <c r="Q389" s="328">
        <v>0</v>
      </c>
      <c r="R389" s="328">
        <v>0</v>
      </c>
      <c r="S389" s="328">
        <v>0</v>
      </c>
      <c r="T389" s="4">
        <v>0.36</v>
      </c>
      <c r="U389" s="165">
        <f>VLOOKUP(N389,'[2]154'!$C$9:$T$554,18,0)</f>
        <v>0</v>
      </c>
      <c r="V389" s="399">
        <v>174034716</v>
      </c>
      <c r="W389" s="407">
        <v>0</v>
      </c>
      <c r="X389" s="405">
        <v>0</v>
      </c>
      <c r="Y389" s="407">
        <v>0</v>
      </c>
      <c r="AA389" s="399">
        <v>174034716</v>
      </c>
      <c r="AB389" s="328">
        <v>0</v>
      </c>
      <c r="AC389" s="328">
        <v>0</v>
      </c>
      <c r="AD389" s="328">
        <v>0</v>
      </c>
      <c r="AE389" s="328">
        <v>0</v>
      </c>
      <c r="AF389" s="328">
        <v>0</v>
      </c>
      <c r="AG389" s="328">
        <v>0</v>
      </c>
      <c r="AI389" s="399">
        <v>174034716</v>
      </c>
      <c r="AJ389" s="328">
        <v>0</v>
      </c>
      <c r="AK389" s="328">
        <v>0</v>
      </c>
      <c r="AL389" s="328">
        <v>0</v>
      </c>
      <c r="AM389" s="328">
        <v>0</v>
      </c>
      <c r="AN389" s="328">
        <v>0</v>
      </c>
      <c r="AO389" s="328">
        <v>0</v>
      </c>
    </row>
    <row r="390" spans="1:41" ht="15.75">
      <c r="A390" s="167">
        <v>385</v>
      </c>
      <c r="B390" s="79" t="s">
        <v>108</v>
      </c>
      <c r="C390" s="452">
        <v>174034718</v>
      </c>
      <c r="D390" s="457">
        <v>123</v>
      </c>
      <c r="E390" s="328">
        <v>0</v>
      </c>
      <c r="F390" s="328">
        <v>0</v>
      </c>
      <c r="G390" s="328">
        <v>0</v>
      </c>
      <c r="H390" s="328">
        <v>0</v>
      </c>
      <c r="I390" s="328">
        <v>0</v>
      </c>
      <c r="J390" s="328">
        <v>0</v>
      </c>
      <c r="K390" s="328">
        <v>0</v>
      </c>
      <c r="N390" s="399">
        <v>174034718</v>
      </c>
      <c r="O390" s="328">
        <v>0</v>
      </c>
      <c r="P390" s="328">
        <v>0</v>
      </c>
      <c r="Q390" s="328">
        <v>0</v>
      </c>
      <c r="R390" s="328">
        <v>0</v>
      </c>
      <c r="S390" s="328">
        <v>0</v>
      </c>
      <c r="T390" s="4">
        <v>0.36</v>
      </c>
      <c r="U390" s="165">
        <f>VLOOKUP(N390,'[2]154'!$C$9:$T$554,18,0)</f>
        <v>0</v>
      </c>
      <c r="V390" s="399">
        <v>174034718</v>
      </c>
      <c r="W390" s="407">
        <v>0</v>
      </c>
      <c r="X390" s="405">
        <v>0</v>
      </c>
      <c r="Y390" s="407">
        <v>0</v>
      </c>
      <c r="AA390" s="399">
        <v>174034718</v>
      </c>
      <c r="AB390" s="328">
        <v>0</v>
      </c>
      <c r="AC390" s="328">
        <v>0</v>
      </c>
      <c r="AD390" s="328">
        <v>0</v>
      </c>
      <c r="AE390" s="328">
        <v>0</v>
      </c>
      <c r="AF390" s="328">
        <v>0</v>
      </c>
      <c r="AG390" s="328">
        <v>0</v>
      </c>
      <c r="AI390" s="399">
        <v>174034718</v>
      </c>
      <c r="AJ390" s="328">
        <v>0</v>
      </c>
      <c r="AK390" s="328">
        <v>0</v>
      </c>
      <c r="AL390" s="328">
        <v>0</v>
      </c>
      <c r="AM390" s="328">
        <v>0</v>
      </c>
      <c r="AN390" s="328">
        <v>0</v>
      </c>
      <c r="AO390" s="328">
        <v>0</v>
      </c>
    </row>
    <row r="391" spans="1:41" ht="15.75">
      <c r="A391" s="167">
        <v>386</v>
      </c>
      <c r="B391" s="79" t="s">
        <v>108</v>
      </c>
      <c r="C391" s="452">
        <v>174034720</v>
      </c>
      <c r="D391" s="457">
        <v>46</v>
      </c>
      <c r="E391" s="328">
        <v>0</v>
      </c>
      <c r="F391" s="328">
        <v>0</v>
      </c>
      <c r="G391" s="328">
        <v>0</v>
      </c>
      <c r="H391" s="328">
        <v>0</v>
      </c>
      <c r="I391" s="328">
        <v>0</v>
      </c>
      <c r="J391" s="328">
        <v>0</v>
      </c>
      <c r="K391" s="328">
        <v>0</v>
      </c>
      <c r="N391" s="399">
        <v>174034720</v>
      </c>
      <c r="O391" s="328">
        <v>0</v>
      </c>
      <c r="P391" s="328">
        <v>0</v>
      </c>
      <c r="Q391" s="328">
        <v>0</v>
      </c>
      <c r="R391" s="328">
        <v>0</v>
      </c>
      <c r="S391" s="328">
        <v>0</v>
      </c>
      <c r="T391" s="4">
        <v>0.35</v>
      </c>
      <c r="U391" s="165">
        <f>VLOOKUP(N391,'[2]154'!$C$9:$T$554,18,0)</f>
        <v>0</v>
      </c>
      <c r="V391" s="399">
        <v>174034720</v>
      </c>
      <c r="W391" s="407">
        <v>0</v>
      </c>
      <c r="X391" s="405">
        <v>0</v>
      </c>
      <c r="Y391" s="407">
        <v>0</v>
      </c>
      <c r="AA391" s="399">
        <v>174034720</v>
      </c>
      <c r="AB391" s="328">
        <v>0</v>
      </c>
      <c r="AC391" s="328">
        <v>0</v>
      </c>
      <c r="AD391" s="328">
        <v>0</v>
      </c>
      <c r="AE391" s="328">
        <v>0</v>
      </c>
      <c r="AF391" s="328">
        <v>0</v>
      </c>
      <c r="AG391" s="328">
        <v>0</v>
      </c>
      <c r="AI391" s="399">
        <v>174034720</v>
      </c>
      <c r="AJ391" s="328">
        <v>0</v>
      </c>
      <c r="AK391" s="328">
        <v>0</v>
      </c>
      <c r="AL391" s="328">
        <v>0</v>
      </c>
      <c r="AM391" s="328">
        <v>0</v>
      </c>
      <c r="AN391" s="328">
        <v>0</v>
      </c>
      <c r="AO391" s="328">
        <v>0</v>
      </c>
    </row>
    <row r="392" spans="1:41" ht="15.75">
      <c r="A392" s="167">
        <v>387</v>
      </c>
      <c r="B392" s="79" t="s">
        <v>108</v>
      </c>
      <c r="C392" s="452">
        <v>174034865</v>
      </c>
      <c r="D392" s="457">
        <v>8809</v>
      </c>
      <c r="E392" s="328">
        <v>507</v>
      </c>
      <c r="F392" s="328">
        <v>0</v>
      </c>
      <c r="G392" s="328">
        <v>236</v>
      </c>
      <c r="H392" s="328">
        <v>271</v>
      </c>
      <c r="I392" s="328">
        <v>0</v>
      </c>
      <c r="J392" s="328">
        <v>275</v>
      </c>
      <c r="K392" s="328">
        <v>275</v>
      </c>
      <c r="N392" s="399">
        <v>174034865</v>
      </c>
      <c r="O392" s="328">
        <v>0</v>
      </c>
      <c r="P392" s="328">
        <v>236</v>
      </c>
      <c r="Q392" s="328">
        <v>271</v>
      </c>
      <c r="R392" s="328">
        <v>507</v>
      </c>
      <c r="S392" s="328">
        <v>24277459</v>
      </c>
      <c r="T392" s="4">
        <v>2.36</v>
      </c>
      <c r="U392" s="165">
        <f>VLOOKUP(N392,'[2]154'!$C$9:$T$554,18,0)</f>
        <v>0</v>
      </c>
      <c r="V392" s="399">
        <v>174034865</v>
      </c>
      <c r="W392" s="407">
        <v>275</v>
      </c>
      <c r="X392" s="405">
        <v>47884.509090909094</v>
      </c>
      <c r="Y392" s="407">
        <v>13168240</v>
      </c>
      <c r="AA392" s="399">
        <v>174034865</v>
      </c>
      <c r="AB392" s="328">
        <v>0</v>
      </c>
      <c r="AC392" s="328">
        <v>236</v>
      </c>
      <c r="AD392" s="328">
        <v>271</v>
      </c>
      <c r="AE392" s="328">
        <v>507</v>
      </c>
      <c r="AF392" s="328">
        <v>335</v>
      </c>
      <c r="AG392" s="328">
        <v>8219231</v>
      </c>
      <c r="AI392" s="399">
        <v>174034865</v>
      </c>
      <c r="AJ392" s="328">
        <v>0</v>
      </c>
      <c r="AK392" s="328">
        <v>236</v>
      </c>
      <c r="AL392" s="328">
        <v>271</v>
      </c>
      <c r="AM392" s="328">
        <v>507</v>
      </c>
      <c r="AN392" s="328">
        <v>335</v>
      </c>
      <c r="AO392" s="328">
        <v>16058228</v>
      </c>
    </row>
    <row r="393" spans="1:41" ht="15.75">
      <c r="A393" s="167">
        <v>388</v>
      </c>
      <c r="B393" s="79" t="s">
        <v>108</v>
      </c>
      <c r="C393" s="452">
        <v>183034522</v>
      </c>
      <c r="D393" s="457">
        <v>11909</v>
      </c>
      <c r="E393" s="328">
        <v>1626</v>
      </c>
      <c r="F393" s="328">
        <v>0</v>
      </c>
      <c r="G393" s="328">
        <v>579</v>
      </c>
      <c r="H393" s="328">
        <v>1047</v>
      </c>
      <c r="I393" s="328">
        <v>5667</v>
      </c>
      <c r="J393" s="328">
        <v>0</v>
      </c>
      <c r="K393" s="328">
        <v>5667</v>
      </c>
      <c r="N393" s="399">
        <v>183034522</v>
      </c>
      <c r="O393" s="328">
        <v>0</v>
      </c>
      <c r="P393" s="328">
        <v>579</v>
      </c>
      <c r="Q393" s="328">
        <v>1047</v>
      </c>
      <c r="R393" s="328">
        <v>1626</v>
      </c>
      <c r="S393" s="333">
        <v>83175907</v>
      </c>
      <c r="T393" s="4">
        <v>2.58</v>
      </c>
      <c r="U393" s="165">
        <f>VLOOKUP(N393,'[2]154'!$C$9:$T$554,18,0)</f>
        <v>0</v>
      </c>
      <c r="V393" s="399">
        <v>183034522</v>
      </c>
      <c r="W393" s="328">
        <v>5667</v>
      </c>
      <c r="X393" s="405">
        <v>51153.691371095818</v>
      </c>
      <c r="Y393" s="404">
        <v>289887969</v>
      </c>
      <c r="AA393" s="399">
        <v>183034522</v>
      </c>
      <c r="AB393" s="328">
        <v>0</v>
      </c>
      <c r="AC393" s="328">
        <v>579</v>
      </c>
      <c r="AD393" s="328">
        <v>1047</v>
      </c>
      <c r="AE393" s="328">
        <v>1626</v>
      </c>
      <c r="AF393" s="328">
        <v>1127</v>
      </c>
      <c r="AG393" s="333">
        <v>28159537</v>
      </c>
      <c r="AI393" s="399">
        <v>183034522</v>
      </c>
      <c r="AJ393" s="328">
        <v>0</v>
      </c>
      <c r="AK393" s="328">
        <v>579</v>
      </c>
      <c r="AL393" s="328">
        <v>1047</v>
      </c>
      <c r="AM393" s="328">
        <v>1626</v>
      </c>
      <c r="AN393" s="328">
        <v>1127</v>
      </c>
      <c r="AO393" s="333">
        <v>55016370</v>
      </c>
    </row>
    <row r="394" spans="1:41">
      <c r="A394" s="167">
        <v>389</v>
      </c>
      <c r="B394" s="79" t="s">
        <v>105</v>
      </c>
      <c r="C394" s="452">
        <v>447636</v>
      </c>
      <c r="D394" s="457">
        <v>341</v>
      </c>
      <c r="E394" s="328">
        <v>0</v>
      </c>
      <c r="F394" s="328">
        <v>0</v>
      </c>
      <c r="G394" s="328">
        <v>0</v>
      </c>
      <c r="H394" s="328">
        <v>0</v>
      </c>
      <c r="I394" s="328">
        <v>0</v>
      </c>
      <c r="J394" s="328">
        <v>0</v>
      </c>
      <c r="K394" s="328">
        <v>0</v>
      </c>
      <c r="N394" s="399">
        <v>447636</v>
      </c>
      <c r="O394" s="328">
        <v>0</v>
      </c>
      <c r="P394" s="328">
        <v>0</v>
      </c>
      <c r="Q394" s="328">
        <v>0</v>
      </c>
      <c r="R394" s="328">
        <v>0</v>
      </c>
      <c r="S394" s="419">
        <v>0</v>
      </c>
      <c r="T394" s="4">
        <v>0.35</v>
      </c>
      <c r="U394" s="165">
        <f>VLOOKUP(N394,'[2]154'!$C$9:$T$554,18,0)</f>
        <v>0</v>
      </c>
      <c r="V394" s="399">
        <v>447636</v>
      </c>
      <c r="W394" s="328">
        <v>0</v>
      </c>
      <c r="X394" s="328">
        <v>0</v>
      </c>
      <c r="Y394" s="328">
        <v>0</v>
      </c>
      <c r="AA394" s="399">
        <v>447636</v>
      </c>
      <c r="AB394" s="328">
        <v>0</v>
      </c>
      <c r="AC394" s="328">
        <v>0</v>
      </c>
      <c r="AD394" s="328">
        <v>0</v>
      </c>
      <c r="AE394" s="328">
        <v>0</v>
      </c>
      <c r="AF394" s="328">
        <v>0</v>
      </c>
      <c r="AG394" s="419">
        <v>0</v>
      </c>
      <c r="AI394" s="399">
        <v>447636</v>
      </c>
      <c r="AJ394" s="328">
        <v>0</v>
      </c>
      <c r="AK394" s="328">
        <v>0</v>
      </c>
      <c r="AL394" s="328">
        <v>0</v>
      </c>
      <c r="AM394" s="328">
        <v>0</v>
      </c>
      <c r="AN394" s="328">
        <v>0</v>
      </c>
      <c r="AO394" s="419">
        <v>0</v>
      </c>
    </row>
    <row r="395" spans="1:41">
      <c r="A395" s="167">
        <v>390</v>
      </c>
      <c r="B395" s="79" t="s">
        <v>105</v>
      </c>
      <c r="C395" s="452">
        <v>448315</v>
      </c>
      <c r="D395" s="457">
        <v>53</v>
      </c>
      <c r="E395" s="328">
        <v>0</v>
      </c>
      <c r="F395" s="328">
        <v>0</v>
      </c>
      <c r="G395" s="328">
        <v>0</v>
      </c>
      <c r="H395" s="328">
        <v>0</v>
      </c>
      <c r="I395" s="328">
        <v>0</v>
      </c>
      <c r="J395" s="328">
        <v>0</v>
      </c>
      <c r="K395" s="328">
        <v>0</v>
      </c>
      <c r="N395" s="399">
        <v>448315</v>
      </c>
      <c r="O395" s="328">
        <v>0</v>
      </c>
      <c r="P395" s="328">
        <v>0</v>
      </c>
      <c r="Q395" s="328">
        <v>0</v>
      </c>
      <c r="R395" s="328">
        <v>0</v>
      </c>
      <c r="S395" s="419">
        <v>0</v>
      </c>
      <c r="T395" s="4">
        <v>0.35</v>
      </c>
      <c r="U395" s="165">
        <f>VLOOKUP(N395,'[2]154'!$C$9:$T$554,18,0)</f>
        <v>0</v>
      </c>
      <c r="V395" s="399">
        <v>448315</v>
      </c>
      <c r="W395" s="328">
        <v>0</v>
      </c>
      <c r="X395" s="328">
        <v>0</v>
      </c>
      <c r="Y395" s="328">
        <v>0</v>
      </c>
      <c r="AA395" s="399">
        <v>448315</v>
      </c>
      <c r="AB395" s="328">
        <v>0</v>
      </c>
      <c r="AC395" s="328">
        <v>0</v>
      </c>
      <c r="AD395" s="328">
        <v>0</v>
      </c>
      <c r="AE395" s="328">
        <v>0</v>
      </c>
      <c r="AF395" s="328">
        <v>0</v>
      </c>
      <c r="AG395" s="419">
        <v>0</v>
      </c>
      <c r="AI395" s="399">
        <v>448315</v>
      </c>
      <c r="AJ395" s="328">
        <v>0</v>
      </c>
      <c r="AK395" s="328">
        <v>0</v>
      </c>
      <c r="AL395" s="328">
        <v>0</v>
      </c>
      <c r="AM395" s="328">
        <v>0</v>
      </c>
      <c r="AN395" s="328">
        <v>0</v>
      </c>
      <c r="AO395" s="419">
        <v>0</v>
      </c>
    </row>
    <row r="396" spans="1:41">
      <c r="A396" s="167">
        <v>391</v>
      </c>
      <c r="B396" s="79" t="s">
        <v>105</v>
      </c>
      <c r="C396" s="452">
        <v>451823</v>
      </c>
      <c r="D396" s="457">
        <v>477</v>
      </c>
      <c r="E396" s="328">
        <v>0</v>
      </c>
      <c r="F396" s="328">
        <v>0</v>
      </c>
      <c r="G396" s="328">
        <v>0</v>
      </c>
      <c r="H396" s="328">
        <v>0</v>
      </c>
      <c r="I396" s="328">
        <v>0</v>
      </c>
      <c r="J396" s="328">
        <v>0</v>
      </c>
      <c r="K396" s="328">
        <v>0</v>
      </c>
      <c r="N396" s="399">
        <v>451823</v>
      </c>
      <c r="O396" s="328">
        <v>0</v>
      </c>
      <c r="P396" s="328">
        <v>0</v>
      </c>
      <c r="Q396" s="328">
        <v>0</v>
      </c>
      <c r="R396" s="328">
        <v>0</v>
      </c>
      <c r="S396" s="419">
        <v>0</v>
      </c>
      <c r="T396" s="4">
        <v>0.35</v>
      </c>
      <c r="U396" s="165">
        <f>VLOOKUP(N396,'[2]154'!$C$9:$T$554,18,0)</f>
        <v>0</v>
      </c>
      <c r="V396" s="399">
        <v>451823</v>
      </c>
      <c r="W396" s="328">
        <v>0</v>
      </c>
      <c r="X396" s="328">
        <v>0</v>
      </c>
      <c r="Y396" s="328">
        <v>0</v>
      </c>
      <c r="AA396" s="399">
        <v>451823</v>
      </c>
      <c r="AB396" s="328">
        <v>0</v>
      </c>
      <c r="AC396" s="328">
        <v>0</v>
      </c>
      <c r="AD396" s="328">
        <v>0</v>
      </c>
      <c r="AE396" s="328">
        <v>0</v>
      </c>
      <c r="AF396" s="328">
        <v>0</v>
      </c>
      <c r="AG396" s="419">
        <v>0</v>
      </c>
      <c r="AI396" s="399">
        <v>451823</v>
      </c>
      <c r="AJ396" s="328">
        <v>0</v>
      </c>
      <c r="AK396" s="328">
        <v>0</v>
      </c>
      <c r="AL396" s="328">
        <v>0</v>
      </c>
      <c r="AM396" s="328">
        <v>0</v>
      </c>
      <c r="AN396" s="328">
        <v>0</v>
      </c>
      <c r="AO396" s="419">
        <v>0</v>
      </c>
    </row>
    <row r="397" spans="1:41">
      <c r="A397" s="167">
        <v>392</v>
      </c>
      <c r="B397" s="79" t="s">
        <v>105</v>
      </c>
      <c r="C397" s="452">
        <v>452172</v>
      </c>
      <c r="D397" s="457">
        <v>67</v>
      </c>
      <c r="E397" s="328">
        <v>0</v>
      </c>
      <c r="F397" s="328">
        <v>0</v>
      </c>
      <c r="G397" s="328">
        <v>0</v>
      </c>
      <c r="H397" s="328">
        <v>0</v>
      </c>
      <c r="I397" s="328">
        <v>0</v>
      </c>
      <c r="J397" s="328">
        <v>0</v>
      </c>
      <c r="K397" s="328">
        <v>0</v>
      </c>
      <c r="N397" s="399">
        <v>452172</v>
      </c>
      <c r="O397" s="328">
        <v>0</v>
      </c>
      <c r="P397" s="328">
        <v>0</v>
      </c>
      <c r="Q397" s="328">
        <v>0</v>
      </c>
      <c r="R397" s="328">
        <v>0</v>
      </c>
      <c r="S397" s="419">
        <v>0</v>
      </c>
      <c r="T397" s="4">
        <v>0.35</v>
      </c>
      <c r="U397" s="165">
        <f>VLOOKUP(N397,'[2]154'!$C$9:$T$554,18,0)</f>
        <v>0</v>
      </c>
      <c r="V397" s="399">
        <v>452172</v>
      </c>
      <c r="W397" s="328">
        <v>0</v>
      </c>
      <c r="X397" s="328">
        <v>0</v>
      </c>
      <c r="Y397" s="328">
        <v>0</v>
      </c>
      <c r="AA397" s="399">
        <v>452172</v>
      </c>
      <c r="AB397" s="328">
        <v>0</v>
      </c>
      <c r="AC397" s="328">
        <v>0</v>
      </c>
      <c r="AD397" s="328">
        <v>0</v>
      </c>
      <c r="AE397" s="328">
        <v>0</v>
      </c>
      <c r="AF397" s="328">
        <v>0</v>
      </c>
      <c r="AG397" s="419">
        <v>0</v>
      </c>
      <c r="AI397" s="399">
        <v>452172</v>
      </c>
      <c r="AJ397" s="328">
        <v>0</v>
      </c>
      <c r="AK397" s="328">
        <v>0</v>
      </c>
      <c r="AL397" s="328">
        <v>0</v>
      </c>
      <c r="AM397" s="328">
        <v>0</v>
      </c>
      <c r="AN397" s="328">
        <v>0</v>
      </c>
      <c r="AO397" s="419">
        <v>0</v>
      </c>
    </row>
    <row r="398" spans="1:41">
      <c r="A398" s="167">
        <v>393</v>
      </c>
      <c r="B398" s="79" t="s">
        <v>105</v>
      </c>
      <c r="C398" s="452">
        <v>453289</v>
      </c>
      <c r="D398" s="457">
        <v>1416</v>
      </c>
      <c r="E398" s="328">
        <v>0</v>
      </c>
      <c r="F398" s="328">
        <v>0</v>
      </c>
      <c r="G398" s="328">
        <v>0</v>
      </c>
      <c r="H398" s="328">
        <v>0</v>
      </c>
      <c r="I398" s="328">
        <v>0</v>
      </c>
      <c r="J398" s="328">
        <v>0</v>
      </c>
      <c r="K398" s="328">
        <v>0</v>
      </c>
      <c r="N398" s="399">
        <v>453289</v>
      </c>
      <c r="O398" s="328">
        <v>0</v>
      </c>
      <c r="P398" s="328">
        <v>0</v>
      </c>
      <c r="Q398" s="328">
        <v>0</v>
      </c>
      <c r="R398" s="328">
        <v>0</v>
      </c>
      <c r="S398" s="419">
        <v>0</v>
      </c>
      <c r="T398" s="4">
        <v>0.35</v>
      </c>
      <c r="U398" s="165">
        <f>VLOOKUP(N398,'[2]154'!$C$9:$T$554,18,0)</f>
        <v>0</v>
      </c>
      <c r="V398" s="399">
        <v>453289</v>
      </c>
      <c r="W398" s="328">
        <v>0</v>
      </c>
      <c r="X398" s="328">
        <v>0</v>
      </c>
      <c r="Y398" s="328">
        <v>0</v>
      </c>
      <c r="AA398" s="399">
        <v>453289</v>
      </c>
      <c r="AB398" s="328">
        <v>0</v>
      </c>
      <c r="AC398" s="328">
        <v>0</v>
      </c>
      <c r="AD398" s="328">
        <v>0</v>
      </c>
      <c r="AE398" s="328">
        <v>0</v>
      </c>
      <c r="AF398" s="328">
        <v>0</v>
      </c>
      <c r="AG398" s="419">
        <v>0</v>
      </c>
      <c r="AI398" s="399">
        <v>453289</v>
      </c>
      <c r="AJ398" s="328">
        <v>0</v>
      </c>
      <c r="AK398" s="328">
        <v>0</v>
      </c>
      <c r="AL398" s="328">
        <v>0</v>
      </c>
      <c r="AM398" s="328">
        <v>0</v>
      </c>
      <c r="AN398" s="328">
        <v>0</v>
      </c>
      <c r="AO398" s="419">
        <v>0</v>
      </c>
    </row>
    <row r="399" spans="1:41">
      <c r="A399" s="167">
        <v>394</v>
      </c>
      <c r="B399" s="79" t="s">
        <v>105</v>
      </c>
      <c r="C399" s="452">
        <v>453516</v>
      </c>
      <c r="D399" s="457">
        <v>50</v>
      </c>
      <c r="E399" s="328">
        <v>0</v>
      </c>
      <c r="F399" s="328">
        <v>0</v>
      </c>
      <c r="G399" s="328">
        <v>0</v>
      </c>
      <c r="H399" s="328">
        <v>0</v>
      </c>
      <c r="I399" s="328">
        <v>0</v>
      </c>
      <c r="J399" s="328">
        <v>0</v>
      </c>
      <c r="K399" s="328">
        <v>0</v>
      </c>
      <c r="N399" s="399">
        <v>453516</v>
      </c>
      <c r="O399" s="328">
        <v>0</v>
      </c>
      <c r="P399" s="328">
        <v>0</v>
      </c>
      <c r="Q399" s="328">
        <v>0</v>
      </c>
      <c r="R399" s="328">
        <v>0</v>
      </c>
      <c r="S399" s="419">
        <v>0</v>
      </c>
      <c r="T399" s="4">
        <v>0.35</v>
      </c>
      <c r="U399" s="165">
        <f>VLOOKUP(N399,'[2]154'!$C$9:$T$554,18,0)</f>
        <v>0</v>
      </c>
      <c r="V399" s="399">
        <v>453516</v>
      </c>
      <c r="W399" s="328">
        <v>0</v>
      </c>
      <c r="X399" s="328">
        <v>0</v>
      </c>
      <c r="Y399" s="328">
        <v>0</v>
      </c>
      <c r="AA399" s="399">
        <v>453516</v>
      </c>
      <c r="AB399" s="328">
        <v>0</v>
      </c>
      <c r="AC399" s="328">
        <v>0</v>
      </c>
      <c r="AD399" s="328">
        <v>0</v>
      </c>
      <c r="AE399" s="328">
        <v>0</v>
      </c>
      <c r="AF399" s="328">
        <v>0</v>
      </c>
      <c r="AG399" s="419">
        <v>0</v>
      </c>
      <c r="AI399" s="399">
        <v>453516</v>
      </c>
      <c r="AJ399" s="328">
        <v>0</v>
      </c>
      <c r="AK399" s="328">
        <v>0</v>
      </c>
      <c r="AL399" s="328">
        <v>0</v>
      </c>
      <c r="AM399" s="328">
        <v>0</v>
      </c>
      <c r="AN399" s="328">
        <v>0</v>
      </c>
      <c r="AO399" s="419">
        <v>0</v>
      </c>
    </row>
    <row r="400" spans="1:41">
      <c r="A400" s="167">
        <v>395</v>
      </c>
      <c r="B400" s="79" t="s">
        <v>105</v>
      </c>
      <c r="C400" s="452">
        <v>453595</v>
      </c>
      <c r="D400" s="457">
        <v>770</v>
      </c>
      <c r="E400" s="328">
        <v>0</v>
      </c>
      <c r="F400" s="328">
        <v>0</v>
      </c>
      <c r="G400" s="328">
        <v>0</v>
      </c>
      <c r="H400" s="328">
        <v>0</v>
      </c>
      <c r="I400" s="328">
        <v>0</v>
      </c>
      <c r="J400" s="328">
        <v>0</v>
      </c>
      <c r="K400" s="328">
        <v>0</v>
      </c>
      <c r="N400" s="399">
        <v>453595</v>
      </c>
      <c r="O400" s="328">
        <v>0</v>
      </c>
      <c r="P400" s="328">
        <v>0</v>
      </c>
      <c r="Q400" s="328">
        <v>0</v>
      </c>
      <c r="R400" s="328">
        <v>0</v>
      </c>
      <c r="S400" s="333">
        <v>0</v>
      </c>
      <c r="T400" s="4">
        <v>0.35</v>
      </c>
      <c r="U400" s="165">
        <f>VLOOKUP(N400,'[2]154'!$C$9:$T$554,18,0)</f>
        <v>0</v>
      </c>
      <c r="V400" s="399">
        <v>453595</v>
      </c>
      <c r="W400" s="328">
        <v>0</v>
      </c>
      <c r="X400" s="328">
        <v>0</v>
      </c>
      <c r="Y400" s="328">
        <v>0</v>
      </c>
      <c r="AA400" s="399">
        <v>453595</v>
      </c>
      <c r="AB400" s="328">
        <v>0</v>
      </c>
      <c r="AC400" s="328">
        <v>0</v>
      </c>
      <c r="AD400" s="328">
        <v>0</v>
      </c>
      <c r="AE400" s="328">
        <v>0</v>
      </c>
      <c r="AF400" s="329">
        <v>0</v>
      </c>
      <c r="AG400" s="329">
        <v>0</v>
      </c>
      <c r="AI400" s="399">
        <v>453595</v>
      </c>
      <c r="AJ400" s="328">
        <v>0</v>
      </c>
      <c r="AK400" s="328">
        <v>0</v>
      </c>
      <c r="AL400" s="328">
        <v>0</v>
      </c>
      <c r="AM400" s="328">
        <v>0</v>
      </c>
      <c r="AN400" s="329">
        <v>0</v>
      </c>
      <c r="AO400" s="329">
        <v>0</v>
      </c>
    </row>
    <row r="401" spans="1:41" ht="15.75">
      <c r="A401" s="167">
        <v>396</v>
      </c>
      <c r="B401" s="79" t="s">
        <v>105</v>
      </c>
      <c r="C401" s="452">
        <v>454060</v>
      </c>
      <c r="D401" s="457">
        <v>155</v>
      </c>
      <c r="E401" s="328">
        <v>0</v>
      </c>
      <c r="F401" s="328">
        <v>0</v>
      </c>
      <c r="G401" s="328">
        <v>0</v>
      </c>
      <c r="H401" s="328">
        <v>0</v>
      </c>
      <c r="I401" s="328">
        <v>0</v>
      </c>
      <c r="J401" s="328">
        <v>0</v>
      </c>
      <c r="K401" s="328">
        <v>0</v>
      </c>
      <c r="N401" s="399">
        <v>454060</v>
      </c>
      <c r="O401" s="328">
        <v>0</v>
      </c>
      <c r="P401" s="328">
        <v>0</v>
      </c>
      <c r="Q401" s="328">
        <v>0</v>
      </c>
      <c r="R401" s="328">
        <v>0</v>
      </c>
      <c r="S401" s="328">
        <v>0</v>
      </c>
      <c r="T401" s="4">
        <v>0.35</v>
      </c>
      <c r="U401" s="165">
        <f>VLOOKUP(N401,'[2]154'!$C$9:$T$554,18,0)</f>
        <v>0</v>
      </c>
      <c r="V401" s="399">
        <v>454060</v>
      </c>
      <c r="W401" s="328">
        <v>0</v>
      </c>
      <c r="X401" s="405">
        <v>0</v>
      </c>
      <c r="Y401" s="328">
        <v>0</v>
      </c>
      <c r="AA401" s="399">
        <v>454060</v>
      </c>
      <c r="AB401" s="328">
        <v>0</v>
      </c>
      <c r="AC401" s="328">
        <v>0</v>
      </c>
      <c r="AD401" s="328">
        <v>0</v>
      </c>
      <c r="AE401" s="328">
        <v>0</v>
      </c>
      <c r="AF401" s="328">
        <v>0</v>
      </c>
      <c r="AG401" s="328">
        <v>0</v>
      </c>
      <c r="AI401" s="399">
        <v>454060</v>
      </c>
      <c r="AJ401" s="328">
        <v>0</v>
      </c>
      <c r="AK401" s="328">
        <v>0</v>
      </c>
      <c r="AL401" s="328">
        <v>0</v>
      </c>
      <c r="AM401" s="328">
        <v>0</v>
      </c>
      <c r="AN401" s="328">
        <v>0</v>
      </c>
      <c r="AO401" s="328">
        <v>0</v>
      </c>
    </row>
    <row r="402" spans="1:41">
      <c r="A402" s="167">
        <v>397</v>
      </c>
      <c r="B402" s="79" t="s">
        <v>105</v>
      </c>
      <c r="C402" s="452">
        <v>456261</v>
      </c>
      <c r="D402" s="457">
        <v>95</v>
      </c>
      <c r="E402" s="328">
        <v>0</v>
      </c>
      <c r="F402" s="328">
        <v>0</v>
      </c>
      <c r="G402" s="328">
        <v>0</v>
      </c>
      <c r="H402" s="328">
        <v>0</v>
      </c>
      <c r="I402" s="328">
        <v>0</v>
      </c>
      <c r="J402" s="328">
        <v>0</v>
      </c>
      <c r="K402" s="328">
        <v>0</v>
      </c>
      <c r="N402" s="399">
        <v>456261</v>
      </c>
      <c r="O402" s="328">
        <v>0</v>
      </c>
      <c r="P402" s="328">
        <v>0</v>
      </c>
      <c r="Q402" s="328">
        <v>0</v>
      </c>
      <c r="R402" s="328">
        <v>0</v>
      </c>
      <c r="S402" s="328">
        <v>0</v>
      </c>
      <c r="T402" s="4">
        <v>0.35</v>
      </c>
      <c r="U402" s="165">
        <f>VLOOKUP(N402,'[2]154'!$C$9:$T$554,18,0)</f>
        <v>0</v>
      </c>
      <c r="V402" s="399">
        <v>456261</v>
      </c>
      <c r="W402" s="328">
        <v>0</v>
      </c>
      <c r="X402" s="328">
        <v>0</v>
      </c>
      <c r="Y402" s="328">
        <v>0</v>
      </c>
      <c r="AA402" s="399">
        <v>456261</v>
      </c>
      <c r="AB402" s="328">
        <v>0</v>
      </c>
      <c r="AC402" s="328">
        <v>0</v>
      </c>
      <c r="AD402" s="328">
        <v>0</v>
      </c>
      <c r="AE402" s="328">
        <v>0</v>
      </c>
      <c r="AF402" s="328">
        <v>0</v>
      </c>
      <c r="AG402" s="328">
        <v>0</v>
      </c>
      <c r="AI402" s="399">
        <v>456261</v>
      </c>
      <c r="AJ402" s="328">
        <v>0</v>
      </c>
      <c r="AK402" s="328">
        <v>0</v>
      </c>
      <c r="AL402" s="328">
        <v>0</v>
      </c>
      <c r="AM402" s="328">
        <v>0</v>
      </c>
      <c r="AN402" s="328">
        <v>0</v>
      </c>
      <c r="AO402" s="328">
        <v>0</v>
      </c>
    </row>
    <row r="403" spans="1:41" ht="15.75">
      <c r="A403" s="167">
        <v>398</v>
      </c>
      <c r="B403" s="79" t="s">
        <v>105</v>
      </c>
      <c r="C403" s="452">
        <v>456532</v>
      </c>
      <c r="D403" s="457">
        <v>200</v>
      </c>
      <c r="E403" s="328">
        <v>0</v>
      </c>
      <c r="F403" s="328">
        <v>0</v>
      </c>
      <c r="G403" s="328">
        <v>0</v>
      </c>
      <c r="H403" s="328">
        <v>0</v>
      </c>
      <c r="I403" s="328">
        <v>0</v>
      </c>
      <c r="J403" s="328">
        <v>0</v>
      </c>
      <c r="K403" s="328">
        <v>0</v>
      </c>
      <c r="N403" s="399">
        <v>456532</v>
      </c>
      <c r="O403" s="328">
        <v>0</v>
      </c>
      <c r="P403" s="328">
        <v>0</v>
      </c>
      <c r="Q403" s="328">
        <v>0</v>
      </c>
      <c r="R403" s="328">
        <v>0</v>
      </c>
      <c r="S403" s="328">
        <v>0</v>
      </c>
      <c r="T403" s="4">
        <v>0.35</v>
      </c>
      <c r="U403" s="165">
        <f>VLOOKUP(N403,'[2]154'!$C$9:$T$554,18,0)</f>
        <v>0</v>
      </c>
      <c r="V403" s="399">
        <v>456532</v>
      </c>
      <c r="W403" s="328">
        <v>0</v>
      </c>
      <c r="X403" s="405">
        <v>0</v>
      </c>
      <c r="Y403" s="328">
        <v>0</v>
      </c>
      <c r="AA403" s="399">
        <v>456532</v>
      </c>
      <c r="AB403" s="328">
        <v>0</v>
      </c>
      <c r="AC403" s="328">
        <v>0</v>
      </c>
      <c r="AD403" s="328">
        <v>0</v>
      </c>
      <c r="AE403" s="328">
        <v>0</v>
      </c>
      <c r="AF403" s="328">
        <v>0</v>
      </c>
      <c r="AG403" s="328">
        <v>0</v>
      </c>
      <c r="AI403" s="399">
        <v>456532</v>
      </c>
      <c r="AJ403" s="328">
        <v>0</v>
      </c>
      <c r="AK403" s="328">
        <v>0</v>
      </c>
      <c r="AL403" s="328">
        <v>0</v>
      </c>
      <c r="AM403" s="328">
        <v>0</v>
      </c>
      <c r="AN403" s="328">
        <v>0</v>
      </c>
      <c r="AO403" s="328">
        <v>0</v>
      </c>
    </row>
    <row r="404" spans="1:41" ht="15.75">
      <c r="A404" s="167">
        <v>399</v>
      </c>
      <c r="B404" s="79" t="s">
        <v>105</v>
      </c>
      <c r="C404" s="452">
        <v>456729</v>
      </c>
      <c r="D404" s="457">
        <v>420</v>
      </c>
      <c r="E404" s="328">
        <v>0</v>
      </c>
      <c r="F404" s="328">
        <v>0</v>
      </c>
      <c r="G404" s="328">
        <v>0</v>
      </c>
      <c r="H404" s="328">
        <v>0</v>
      </c>
      <c r="I404" s="328">
        <v>0</v>
      </c>
      <c r="J404" s="328">
        <v>0</v>
      </c>
      <c r="K404" s="328">
        <v>0</v>
      </c>
      <c r="N404" s="399">
        <v>456729</v>
      </c>
      <c r="O404" s="328">
        <v>0</v>
      </c>
      <c r="P404" s="328">
        <v>0</v>
      </c>
      <c r="Q404" s="328">
        <v>0</v>
      </c>
      <c r="R404" s="328">
        <v>0</v>
      </c>
      <c r="S404" s="328">
        <v>0</v>
      </c>
      <c r="T404" s="4">
        <v>0.35</v>
      </c>
      <c r="U404" s="165">
        <f>VLOOKUP(N404,'[2]154'!$C$9:$T$554,18,0)</f>
        <v>0</v>
      </c>
      <c r="V404" s="399">
        <v>456729</v>
      </c>
      <c r="W404" s="328">
        <v>0</v>
      </c>
      <c r="X404" s="405">
        <v>0</v>
      </c>
      <c r="Y404" s="328">
        <v>0</v>
      </c>
      <c r="AA404" s="399">
        <v>456729</v>
      </c>
      <c r="AB404" s="328">
        <v>0</v>
      </c>
      <c r="AC404" s="328">
        <v>0</v>
      </c>
      <c r="AD404" s="328">
        <v>0</v>
      </c>
      <c r="AE404" s="328">
        <v>0</v>
      </c>
      <c r="AF404" s="328">
        <v>0</v>
      </c>
      <c r="AG404" s="328">
        <v>0</v>
      </c>
      <c r="AI404" s="399">
        <v>456729</v>
      </c>
      <c r="AJ404" s="328">
        <v>0</v>
      </c>
      <c r="AK404" s="328">
        <v>0</v>
      </c>
      <c r="AL404" s="328">
        <v>0</v>
      </c>
      <c r="AM404" s="328">
        <v>0</v>
      </c>
      <c r="AN404" s="328">
        <v>0</v>
      </c>
      <c r="AO404" s="328">
        <v>0</v>
      </c>
    </row>
    <row r="405" spans="1:41">
      <c r="A405" s="167">
        <v>400</v>
      </c>
      <c r="B405" s="79" t="s">
        <v>105</v>
      </c>
      <c r="C405" s="452">
        <v>464202</v>
      </c>
      <c r="D405" s="457">
        <v>2313</v>
      </c>
      <c r="E405" s="328">
        <v>266</v>
      </c>
      <c r="F405" s="328">
        <v>210</v>
      </c>
      <c r="G405" s="328">
        <v>56</v>
      </c>
      <c r="H405" s="328">
        <v>0</v>
      </c>
      <c r="I405" s="328">
        <v>509</v>
      </c>
      <c r="J405" s="328">
        <v>0</v>
      </c>
      <c r="K405" s="328">
        <v>509</v>
      </c>
      <c r="N405" s="399">
        <v>464202</v>
      </c>
      <c r="O405" s="328">
        <v>210</v>
      </c>
      <c r="P405" s="328">
        <v>56</v>
      </c>
      <c r="Q405" s="328">
        <v>0</v>
      </c>
      <c r="R405" s="328">
        <v>266</v>
      </c>
      <c r="S405" s="328">
        <v>18842799</v>
      </c>
      <c r="T405" s="4">
        <v>3.74</v>
      </c>
      <c r="U405" s="165">
        <f>VLOOKUP(N405,'[2]154'!$C$9:$T$554,18,0)</f>
        <v>0</v>
      </c>
      <c r="V405" s="399">
        <v>464202</v>
      </c>
      <c r="W405" s="328">
        <v>509</v>
      </c>
      <c r="X405" s="328">
        <v>70837.589390962676</v>
      </c>
      <c r="Y405" s="404">
        <v>36056333</v>
      </c>
      <c r="AA405" s="399">
        <v>464202</v>
      </c>
      <c r="AB405" s="328">
        <v>210</v>
      </c>
      <c r="AC405" s="328">
        <v>56</v>
      </c>
      <c r="AD405" s="328">
        <v>0</v>
      </c>
      <c r="AE405" s="328">
        <v>266</v>
      </c>
      <c r="AF405" s="328">
        <v>70</v>
      </c>
      <c r="AG405" s="328">
        <v>6379305</v>
      </c>
      <c r="AI405" s="399">
        <v>464202</v>
      </c>
      <c r="AJ405" s="328">
        <v>210</v>
      </c>
      <c r="AK405" s="328">
        <v>56</v>
      </c>
      <c r="AL405" s="328">
        <v>0</v>
      </c>
      <c r="AM405" s="328">
        <v>266</v>
      </c>
      <c r="AN405" s="328">
        <v>70</v>
      </c>
      <c r="AO405" s="328">
        <v>12463494</v>
      </c>
    </row>
    <row r="406" spans="1:41" ht="15.75">
      <c r="A406" s="167">
        <v>401</v>
      </c>
      <c r="B406" s="79" t="s">
        <v>105</v>
      </c>
      <c r="C406" s="452">
        <v>464618</v>
      </c>
      <c r="D406" s="457">
        <v>6956</v>
      </c>
      <c r="E406" s="328">
        <v>747</v>
      </c>
      <c r="F406" s="328">
        <v>0</v>
      </c>
      <c r="G406" s="328">
        <v>127</v>
      </c>
      <c r="H406" s="328">
        <v>620</v>
      </c>
      <c r="I406" s="328">
        <v>109</v>
      </c>
      <c r="J406" s="328">
        <v>0</v>
      </c>
      <c r="K406" s="328">
        <v>109</v>
      </c>
      <c r="N406" s="399">
        <v>464618</v>
      </c>
      <c r="O406" s="328">
        <v>0</v>
      </c>
      <c r="P406" s="328">
        <v>127</v>
      </c>
      <c r="Q406" s="328">
        <v>620</v>
      </c>
      <c r="R406" s="328">
        <v>747</v>
      </c>
      <c r="S406" s="328">
        <v>53703267</v>
      </c>
      <c r="T406" s="4">
        <v>3.57</v>
      </c>
      <c r="U406" s="165">
        <f>VLOOKUP(N406,'[2]154'!$C$9:$T$554,18,0)</f>
        <v>0</v>
      </c>
      <c r="V406" s="399">
        <v>464618</v>
      </c>
      <c r="W406" s="328">
        <v>109</v>
      </c>
      <c r="X406" s="405">
        <v>71891.926605504588</v>
      </c>
      <c r="Y406" s="404">
        <v>7836220</v>
      </c>
      <c r="AA406" s="399">
        <v>464618</v>
      </c>
      <c r="AB406" s="328">
        <v>0</v>
      </c>
      <c r="AC406" s="328">
        <v>127</v>
      </c>
      <c r="AD406" s="328">
        <v>620</v>
      </c>
      <c r="AE406" s="328">
        <v>747</v>
      </c>
      <c r="AF406" s="328">
        <v>560</v>
      </c>
      <c r="AG406" s="328">
        <v>18181457</v>
      </c>
      <c r="AI406" s="399">
        <v>464618</v>
      </c>
      <c r="AJ406" s="328">
        <v>0</v>
      </c>
      <c r="AK406" s="328">
        <v>127</v>
      </c>
      <c r="AL406" s="328">
        <v>620</v>
      </c>
      <c r="AM406" s="328">
        <v>747</v>
      </c>
      <c r="AN406" s="328">
        <v>560</v>
      </c>
      <c r="AO406" s="328">
        <v>35521810</v>
      </c>
    </row>
    <row r="407" spans="1:41" ht="15.75">
      <c r="A407" s="167">
        <v>402</v>
      </c>
      <c r="B407" s="79" t="s">
        <v>105</v>
      </c>
      <c r="C407" s="452">
        <v>466748</v>
      </c>
      <c r="D407" s="457">
        <v>15532</v>
      </c>
      <c r="E407" s="328">
        <v>1184</v>
      </c>
      <c r="F407" s="328">
        <v>0</v>
      </c>
      <c r="G407" s="328">
        <v>492</v>
      </c>
      <c r="H407" s="328">
        <v>692</v>
      </c>
      <c r="I407" s="328">
        <v>748</v>
      </c>
      <c r="J407" s="328">
        <v>0</v>
      </c>
      <c r="K407" s="328">
        <v>748</v>
      </c>
      <c r="N407" s="399">
        <v>466748</v>
      </c>
      <c r="O407" s="328">
        <v>0</v>
      </c>
      <c r="P407" s="328">
        <v>492</v>
      </c>
      <c r="Q407" s="328">
        <v>692</v>
      </c>
      <c r="R407" s="328">
        <v>1184</v>
      </c>
      <c r="S407" s="328">
        <v>35127230</v>
      </c>
      <c r="T407" s="4">
        <v>1.47</v>
      </c>
      <c r="U407" s="165">
        <f>VLOOKUP(N407,'[2]154'!$C$9:$T$554,18,0)</f>
        <v>0</v>
      </c>
      <c r="V407" s="399">
        <v>466748</v>
      </c>
      <c r="W407" s="404">
        <v>748</v>
      </c>
      <c r="X407" s="405">
        <v>29668.268716577539</v>
      </c>
      <c r="Y407" s="404">
        <v>22191865</v>
      </c>
      <c r="AA407" s="399">
        <v>466748</v>
      </c>
      <c r="AB407" s="328">
        <v>0</v>
      </c>
      <c r="AC407" s="328">
        <v>492</v>
      </c>
      <c r="AD407" s="328">
        <v>692</v>
      </c>
      <c r="AE407" s="328">
        <v>1184</v>
      </c>
      <c r="AF407" s="328">
        <v>800</v>
      </c>
      <c r="AG407" s="328">
        <v>11892465</v>
      </c>
      <c r="AI407" s="399">
        <v>466748</v>
      </c>
      <c r="AJ407" s="328">
        <v>0</v>
      </c>
      <c r="AK407" s="328">
        <v>492</v>
      </c>
      <c r="AL407" s="328">
        <v>692</v>
      </c>
      <c r="AM407" s="328">
        <v>1184</v>
      </c>
      <c r="AN407" s="328">
        <v>800</v>
      </c>
      <c r="AO407" s="328">
        <v>23234765</v>
      </c>
    </row>
    <row r="408" spans="1:41">
      <c r="A408" s="167">
        <v>403</v>
      </c>
      <c r="B408" s="79" t="s">
        <v>105</v>
      </c>
      <c r="C408" s="452">
        <v>468918</v>
      </c>
      <c r="D408" s="457">
        <v>2329</v>
      </c>
      <c r="E408" s="328">
        <v>99</v>
      </c>
      <c r="F408" s="328">
        <v>0</v>
      </c>
      <c r="G408" s="328">
        <v>52</v>
      </c>
      <c r="H408" s="328">
        <v>47</v>
      </c>
      <c r="I408" s="328">
        <v>300</v>
      </c>
      <c r="J408" s="328">
        <v>30</v>
      </c>
      <c r="K408" s="328">
        <v>330</v>
      </c>
      <c r="N408" s="399">
        <v>468918</v>
      </c>
      <c r="O408" s="328">
        <v>0</v>
      </c>
      <c r="P408" s="328">
        <v>52</v>
      </c>
      <c r="Q408" s="328">
        <v>47</v>
      </c>
      <c r="R408" s="328">
        <v>99</v>
      </c>
      <c r="S408" s="328">
        <v>6961858</v>
      </c>
      <c r="T408" s="4">
        <v>3.45</v>
      </c>
      <c r="U408" s="165">
        <f>VLOOKUP(N408,'[2]154'!$C$9:$T$554,18,0)</f>
        <v>0</v>
      </c>
      <c r="V408" s="399">
        <v>468918</v>
      </c>
      <c r="W408" s="328">
        <v>330</v>
      </c>
      <c r="X408" s="328">
        <v>70321.8</v>
      </c>
      <c r="Y408" s="404">
        <v>23206194</v>
      </c>
      <c r="AA408" s="399">
        <v>468918</v>
      </c>
      <c r="AB408" s="328">
        <v>0</v>
      </c>
      <c r="AC408" s="328">
        <v>52</v>
      </c>
      <c r="AD408" s="328">
        <v>47</v>
      </c>
      <c r="AE408" s="328">
        <v>99</v>
      </c>
      <c r="AF408" s="328">
        <v>64</v>
      </c>
      <c r="AG408" s="328">
        <v>2356965</v>
      </c>
      <c r="AI408" s="399">
        <v>468918</v>
      </c>
      <c r="AJ408" s="328">
        <v>0</v>
      </c>
      <c r="AK408" s="328">
        <v>52</v>
      </c>
      <c r="AL408" s="328">
        <v>47</v>
      </c>
      <c r="AM408" s="328">
        <v>99</v>
      </c>
      <c r="AN408" s="328">
        <v>64</v>
      </c>
      <c r="AO408" s="328">
        <v>4604893</v>
      </c>
    </row>
    <row r="409" spans="1:41">
      <c r="A409" s="167">
        <v>404</v>
      </c>
      <c r="B409" s="79" t="s">
        <v>105</v>
      </c>
      <c r="C409" s="452">
        <v>469040</v>
      </c>
      <c r="D409" s="457">
        <v>7927</v>
      </c>
      <c r="E409" s="328">
        <v>3094</v>
      </c>
      <c r="F409" s="328">
        <v>0</v>
      </c>
      <c r="G409" s="328">
        <v>379</v>
      </c>
      <c r="H409" s="328">
        <v>2715</v>
      </c>
      <c r="I409" s="328">
        <v>4418</v>
      </c>
      <c r="J409" s="328">
        <v>0</v>
      </c>
      <c r="K409" s="328">
        <v>4418</v>
      </c>
      <c r="N409" s="399">
        <v>469040</v>
      </c>
      <c r="O409" s="328">
        <v>0</v>
      </c>
      <c r="P409" s="328">
        <v>379</v>
      </c>
      <c r="Q409" s="328">
        <v>2715</v>
      </c>
      <c r="R409" s="328">
        <v>3094</v>
      </c>
      <c r="S409" s="328">
        <v>88334994</v>
      </c>
      <c r="T409" s="4">
        <v>1.52</v>
      </c>
      <c r="V409" s="399">
        <v>469040</v>
      </c>
      <c r="W409" s="328">
        <v>4418</v>
      </c>
      <c r="X409" s="328">
        <v>28550.418515165235</v>
      </c>
      <c r="Y409" s="328">
        <v>126135749</v>
      </c>
      <c r="AA409" s="399">
        <v>469040</v>
      </c>
      <c r="AB409" s="328">
        <v>0</v>
      </c>
      <c r="AC409" s="328">
        <v>379</v>
      </c>
      <c r="AD409" s="328">
        <v>2715</v>
      </c>
      <c r="AE409" s="328">
        <v>3094</v>
      </c>
      <c r="AF409" s="328">
        <v>2362</v>
      </c>
      <c r="AG409" s="328">
        <v>29906167</v>
      </c>
      <c r="AI409" s="399">
        <v>469040</v>
      </c>
      <c r="AJ409" s="328">
        <v>0</v>
      </c>
      <c r="AK409" s="328">
        <v>379</v>
      </c>
      <c r="AL409" s="328">
        <v>2715</v>
      </c>
      <c r="AM409" s="328">
        <v>3094</v>
      </c>
      <c r="AN409" s="328">
        <v>2362</v>
      </c>
      <c r="AO409" s="328">
        <v>58428827</v>
      </c>
    </row>
    <row r="410" spans="1:41">
      <c r="A410" s="167">
        <v>405</v>
      </c>
      <c r="B410" s="79" t="s">
        <v>105</v>
      </c>
      <c r="C410" s="452">
        <v>469041</v>
      </c>
      <c r="D410" s="457">
        <v>6892</v>
      </c>
      <c r="E410" s="328">
        <v>283</v>
      </c>
      <c r="F410" s="328">
        <v>55</v>
      </c>
      <c r="G410" s="328">
        <v>205</v>
      </c>
      <c r="H410" s="328">
        <v>23</v>
      </c>
      <c r="I410" s="328">
        <v>113</v>
      </c>
      <c r="J410" s="328">
        <v>4</v>
      </c>
      <c r="K410" s="328">
        <v>117</v>
      </c>
      <c r="N410" s="399">
        <v>469041</v>
      </c>
      <c r="O410" s="328">
        <v>55</v>
      </c>
      <c r="P410" s="328">
        <v>205</v>
      </c>
      <c r="Q410" s="328">
        <v>23</v>
      </c>
      <c r="R410" s="328">
        <v>283</v>
      </c>
      <c r="S410" s="328">
        <v>8708669</v>
      </c>
      <c r="T410" s="4">
        <v>1.52</v>
      </c>
      <c r="V410" s="399">
        <v>469041</v>
      </c>
      <c r="W410" s="328">
        <v>117</v>
      </c>
      <c r="X410" s="328">
        <v>30772.683760683762</v>
      </c>
      <c r="Y410" s="328">
        <v>3600404</v>
      </c>
      <c r="AA410" s="399">
        <v>469041</v>
      </c>
      <c r="AB410" s="328">
        <v>55</v>
      </c>
      <c r="AC410" s="328">
        <v>205</v>
      </c>
      <c r="AD410" s="328">
        <v>23</v>
      </c>
      <c r="AE410" s="328">
        <v>283</v>
      </c>
      <c r="AF410" s="328">
        <v>132</v>
      </c>
      <c r="AG410" s="328">
        <v>2948355</v>
      </c>
      <c r="AI410" s="399">
        <v>469041</v>
      </c>
      <c r="AJ410" s="328">
        <v>55</v>
      </c>
      <c r="AK410" s="328">
        <v>205</v>
      </c>
      <c r="AL410" s="328">
        <v>23</v>
      </c>
      <c r="AM410" s="328">
        <v>283</v>
      </c>
      <c r="AN410" s="328">
        <v>132</v>
      </c>
      <c r="AO410" s="328">
        <v>5760314</v>
      </c>
    </row>
    <row r="411" spans="1:41">
      <c r="A411" s="167">
        <v>406</v>
      </c>
      <c r="B411" s="79" t="s">
        <v>105</v>
      </c>
      <c r="C411" s="452">
        <v>469042</v>
      </c>
      <c r="D411" s="457">
        <v>6305</v>
      </c>
      <c r="E411" s="328">
        <v>874</v>
      </c>
      <c r="F411" s="328">
        <v>411</v>
      </c>
      <c r="G411" s="328">
        <v>150</v>
      </c>
      <c r="H411" s="328">
        <v>313</v>
      </c>
      <c r="I411" s="328">
        <v>5071</v>
      </c>
      <c r="J411" s="328">
        <v>0</v>
      </c>
      <c r="K411" s="328">
        <v>5071</v>
      </c>
      <c r="N411" s="399">
        <v>469042</v>
      </c>
      <c r="O411" s="328">
        <v>411</v>
      </c>
      <c r="P411" s="328">
        <v>150</v>
      </c>
      <c r="Q411" s="328">
        <v>313</v>
      </c>
      <c r="R411" s="328">
        <v>874</v>
      </c>
      <c r="S411" s="328">
        <v>25459822</v>
      </c>
      <c r="T411" s="4">
        <v>1.52</v>
      </c>
      <c r="V411" s="399">
        <v>469042</v>
      </c>
      <c r="W411" s="328">
        <v>5071</v>
      </c>
      <c r="X411" s="328">
        <v>29130.23052652337</v>
      </c>
      <c r="Y411" s="328">
        <v>147719399</v>
      </c>
      <c r="AA411" s="399">
        <v>469042</v>
      </c>
      <c r="AB411" s="328">
        <v>411</v>
      </c>
      <c r="AC411" s="328">
        <v>150</v>
      </c>
      <c r="AD411" s="328">
        <v>313</v>
      </c>
      <c r="AE411" s="328">
        <v>874</v>
      </c>
      <c r="AF411" s="328">
        <v>408</v>
      </c>
      <c r="AG411" s="328">
        <v>8619525</v>
      </c>
      <c r="AI411" s="399">
        <v>469042</v>
      </c>
      <c r="AJ411" s="328">
        <v>411</v>
      </c>
      <c r="AK411" s="328">
        <v>150</v>
      </c>
      <c r="AL411" s="328">
        <v>313</v>
      </c>
      <c r="AM411" s="328">
        <v>874</v>
      </c>
      <c r="AN411" s="328">
        <v>408</v>
      </c>
      <c r="AO411" s="328">
        <v>16840297</v>
      </c>
    </row>
    <row r="412" spans="1:41">
      <c r="A412" s="167">
        <v>407</v>
      </c>
      <c r="B412" s="79" t="s">
        <v>105</v>
      </c>
      <c r="C412" s="452">
        <v>470341</v>
      </c>
      <c r="D412" s="457">
        <v>8633</v>
      </c>
      <c r="E412" s="328">
        <v>447</v>
      </c>
      <c r="G412" s="328">
        <v>123</v>
      </c>
      <c r="H412" s="328">
        <v>324</v>
      </c>
      <c r="I412" s="328">
        <v>334</v>
      </c>
      <c r="J412" s="328">
        <v>0</v>
      </c>
      <c r="K412" s="328">
        <v>334</v>
      </c>
      <c r="N412" s="399">
        <v>470341</v>
      </c>
      <c r="O412" s="328">
        <v>0</v>
      </c>
      <c r="P412" s="328">
        <v>123</v>
      </c>
      <c r="Q412" s="328">
        <v>324</v>
      </c>
      <c r="R412" s="328">
        <v>447</v>
      </c>
      <c r="S412" s="328">
        <v>13399436</v>
      </c>
      <c r="T412" s="4">
        <v>1.47</v>
      </c>
      <c r="V412" s="399">
        <v>470341</v>
      </c>
      <c r="W412" s="328">
        <v>334</v>
      </c>
      <c r="X412" s="328">
        <v>29976.359281437126</v>
      </c>
      <c r="Y412" s="328">
        <v>10012104</v>
      </c>
      <c r="AA412" s="399">
        <v>470341</v>
      </c>
      <c r="AB412" s="328">
        <v>0</v>
      </c>
      <c r="AC412" s="328">
        <v>123</v>
      </c>
      <c r="AD412" s="328">
        <v>324</v>
      </c>
      <c r="AE412" s="328">
        <v>447</v>
      </c>
      <c r="AF412" s="328">
        <v>321</v>
      </c>
      <c r="AG412" s="328">
        <v>4536433</v>
      </c>
      <c r="AI412" s="399">
        <v>470341</v>
      </c>
      <c r="AJ412" s="328">
        <v>0</v>
      </c>
      <c r="AK412" s="328">
        <v>123</v>
      </c>
      <c r="AL412" s="328">
        <v>324</v>
      </c>
      <c r="AM412" s="328">
        <v>447</v>
      </c>
      <c r="AN412" s="328">
        <v>321</v>
      </c>
      <c r="AO412" s="328">
        <v>8863003</v>
      </c>
    </row>
    <row r="413" spans="1:41">
      <c r="A413" s="167">
        <v>408</v>
      </c>
      <c r="B413" s="79" t="s">
        <v>105</v>
      </c>
      <c r="C413" s="452">
        <v>471140</v>
      </c>
      <c r="D413" s="457">
        <v>11248</v>
      </c>
      <c r="E413" s="328">
        <v>1591</v>
      </c>
      <c r="F413" s="328">
        <v>0</v>
      </c>
      <c r="G413" s="328">
        <v>123</v>
      </c>
      <c r="H413" s="328">
        <v>1468</v>
      </c>
      <c r="I413" s="328">
        <v>0</v>
      </c>
      <c r="J413" s="328">
        <v>154</v>
      </c>
      <c r="K413" s="328">
        <v>154</v>
      </c>
      <c r="N413" s="399">
        <v>471140</v>
      </c>
      <c r="O413" s="328">
        <v>0</v>
      </c>
      <c r="P413" s="328">
        <v>123</v>
      </c>
      <c r="Q413" s="328">
        <v>1468</v>
      </c>
      <c r="R413" s="328">
        <v>1591</v>
      </c>
      <c r="S413" s="328">
        <v>58349941</v>
      </c>
      <c r="T413" s="4">
        <v>1.83</v>
      </c>
      <c r="V413" s="399">
        <v>471140</v>
      </c>
      <c r="W413" s="328">
        <v>154</v>
      </c>
      <c r="X413" s="328">
        <v>36675.006493506495</v>
      </c>
      <c r="Y413" s="328">
        <v>5647951</v>
      </c>
      <c r="AA413" s="399">
        <v>471140</v>
      </c>
      <c r="AB413" s="328">
        <v>0</v>
      </c>
      <c r="AC413" s="328">
        <v>123</v>
      </c>
      <c r="AD413" s="328">
        <v>1468</v>
      </c>
      <c r="AE413" s="328">
        <v>1591</v>
      </c>
      <c r="AF413" s="328">
        <v>1236</v>
      </c>
      <c r="AG413" s="328">
        <v>19754607</v>
      </c>
      <c r="AI413" s="399">
        <v>471140</v>
      </c>
      <c r="AJ413" s="328">
        <v>0</v>
      </c>
      <c r="AK413" s="328">
        <v>123</v>
      </c>
      <c r="AL413" s="328">
        <v>1468</v>
      </c>
      <c r="AM413" s="328">
        <v>1591</v>
      </c>
      <c r="AN413" s="328">
        <v>1236</v>
      </c>
      <c r="AO413" s="328">
        <v>38595334</v>
      </c>
    </row>
    <row r="414" spans="1:41">
      <c r="A414" s="167">
        <v>409</v>
      </c>
      <c r="B414" s="79" t="s">
        <v>105</v>
      </c>
      <c r="C414" s="452">
        <v>473551</v>
      </c>
      <c r="D414" s="457">
        <v>18038</v>
      </c>
      <c r="E414" s="328">
        <v>889</v>
      </c>
      <c r="G414" s="328">
        <v>510</v>
      </c>
      <c r="H414" s="328">
        <v>379</v>
      </c>
      <c r="I414" s="328">
        <v>0</v>
      </c>
      <c r="J414" s="328">
        <v>381</v>
      </c>
      <c r="K414" s="328">
        <v>381</v>
      </c>
      <c r="N414" s="399">
        <v>473551</v>
      </c>
      <c r="O414" s="328">
        <v>0</v>
      </c>
      <c r="P414" s="328">
        <v>510</v>
      </c>
      <c r="Q414" s="328">
        <v>379</v>
      </c>
      <c r="R414" s="328">
        <v>889</v>
      </c>
      <c r="S414" s="328">
        <v>40092053</v>
      </c>
      <c r="T414" s="4">
        <v>2.2200000000000002</v>
      </c>
      <c r="V414" s="399">
        <v>473551</v>
      </c>
      <c r="W414" s="328">
        <v>381</v>
      </c>
      <c r="X414" s="328">
        <v>45097.910761154853</v>
      </c>
      <c r="Y414" s="328">
        <v>17182304</v>
      </c>
      <c r="AA414" s="399">
        <v>473551</v>
      </c>
      <c r="AB414" s="328">
        <v>0</v>
      </c>
      <c r="AC414" s="328">
        <v>510</v>
      </c>
      <c r="AD414" s="328">
        <v>379</v>
      </c>
      <c r="AE414" s="328">
        <v>889</v>
      </c>
      <c r="AF414" s="328">
        <v>558</v>
      </c>
      <c r="AG414" s="328">
        <v>13573326</v>
      </c>
      <c r="AI414" s="399">
        <v>473551</v>
      </c>
      <c r="AJ414" s="328">
        <v>0</v>
      </c>
      <c r="AK414" s="328">
        <v>510</v>
      </c>
      <c r="AL414" s="328">
        <v>379</v>
      </c>
      <c r="AM414" s="328">
        <v>889</v>
      </c>
      <c r="AN414" s="328">
        <v>558</v>
      </c>
      <c r="AO414" s="328">
        <v>26518727</v>
      </c>
    </row>
    <row r="415" spans="1:41">
      <c r="A415" s="167">
        <v>410</v>
      </c>
      <c r="B415" s="79" t="s">
        <v>105</v>
      </c>
      <c r="C415" s="452">
        <v>474753</v>
      </c>
      <c r="D415" s="457">
        <v>8504</v>
      </c>
      <c r="E415" s="328">
        <v>294</v>
      </c>
      <c r="F415" s="328">
        <v>4</v>
      </c>
      <c r="G415" s="328">
        <v>68</v>
      </c>
      <c r="H415" s="328">
        <v>222</v>
      </c>
      <c r="I415" s="328">
        <v>323</v>
      </c>
      <c r="J415" s="328">
        <v>0</v>
      </c>
      <c r="K415" s="328">
        <v>323</v>
      </c>
      <c r="N415" s="399">
        <v>474753</v>
      </c>
      <c r="O415" s="328">
        <v>4</v>
      </c>
      <c r="P415" s="328">
        <v>68</v>
      </c>
      <c r="Q415" s="328">
        <v>222</v>
      </c>
      <c r="R415" s="328">
        <v>294</v>
      </c>
      <c r="S415" s="328">
        <v>11629033</v>
      </c>
      <c r="T415" s="4">
        <v>1.93</v>
      </c>
      <c r="V415" s="399">
        <v>474753</v>
      </c>
      <c r="W415" s="328">
        <v>323</v>
      </c>
      <c r="X415" s="328">
        <v>39554.532507739939</v>
      </c>
      <c r="Y415" s="328">
        <v>12776114</v>
      </c>
      <c r="AA415" s="399">
        <v>474753</v>
      </c>
      <c r="AB415" s="328">
        <v>4</v>
      </c>
      <c r="AC415" s="328">
        <v>68</v>
      </c>
      <c r="AD415" s="328">
        <v>222</v>
      </c>
      <c r="AE415" s="328">
        <v>294</v>
      </c>
      <c r="AF415" s="328">
        <v>212</v>
      </c>
      <c r="AG415" s="328">
        <v>3937056</v>
      </c>
      <c r="AI415" s="399">
        <v>474753</v>
      </c>
      <c r="AJ415" s="328">
        <v>4</v>
      </c>
      <c r="AK415" s="328">
        <v>68</v>
      </c>
      <c r="AL415" s="328">
        <v>222</v>
      </c>
      <c r="AM415" s="328">
        <v>294</v>
      </c>
      <c r="AN415" s="328">
        <v>212</v>
      </c>
      <c r="AO415" s="328">
        <v>7691977</v>
      </c>
    </row>
    <row r="416" spans="1:41">
      <c r="A416" s="167">
        <v>411</v>
      </c>
      <c r="B416" s="79" t="s">
        <v>105</v>
      </c>
      <c r="C416" s="452">
        <v>474874</v>
      </c>
      <c r="D416" s="457">
        <v>9954</v>
      </c>
      <c r="E416" s="328">
        <v>573</v>
      </c>
      <c r="F416" s="328">
        <v>0</v>
      </c>
      <c r="G416" s="328">
        <v>267</v>
      </c>
      <c r="H416" s="328">
        <v>306</v>
      </c>
      <c r="I416" s="328">
        <v>0</v>
      </c>
      <c r="J416" s="328">
        <v>0</v>
      </c>
      <c r="K416" s="328">
        <v>0</v>
      </c>
      <c r="N416" s="399">
        <v>474874</v>
      </c>
      <c r="O416" s="328">
        <v>0</v>
      </c>
      <c r="P416" s="328">
        <v>267</v>
      </c>
      <c r="Q416" s="328">
        <v>306</v>
      </c>
      <c r="R416" s="328">
        <v>573</v>
      </c>
      <c r="S416" s="328">
        <v>22437091</v>
      </c>
      <c r="T416" s="4">
        <v>1.93</v>
      </c>
      <c r="V416" s="399">
        <v>474874</v>
      </c>
      <c r="W416" s="328">
        <v>0</v>
      </c>
      <c r="X416" s="328">
        <v>0</v>
      </c>
      <c r="Y416" s="328">
        <v>0</v>
      </c>
      <c r="AA416" s="399">
        <v>474874</v>
      </c>
      <c r="AB416" s="328">
        <v>0</v>
      </c>
      <c r="AC416" s="328">
        <v>267</v>
      </c>
      <c r="AD416" s="328">
        <v>306</v>
      </c>
      <c r="AE416" s="328">
        <v>573</v>
      </c>
      <c r="AF416" s="328">
        <v>378</v>
      </c>
      <c r="AG416" s="328">
        <v>7596167</v>
      </c>
      <c r="AI416" s="399">
        <v>474874</v>
      </c>
      <c r="AJ416" s="328">
        <v>0</v>
      </c>
      <c r="AK416" s="328">
        <v>267</v>
      </c>
      <c r="AL416" s="328">
        <v>306</v>
      </c>
      <c r="AM416" s="328">
        <v>573</v>
      </c>
      <c r="AN416" s="328">
        <v>378</v>
      </c>
      <c r="AO416" s="328">
        <v>14840924</v>
      </c>
    </row>
    <row r="417" spans="1:41">
      <c r="A417" s="167">
        <v>412</v>
      </c>
      <c r="B417" s="79" t="s">
        <v>105</v>
      </c>
      <c r="C417" s="452">
        <v>475746</v>
      </c>
      <c r="D417" s="457">
        <v>4633</v>
      </c>
      <c r="E417" s="328">
        <v>399</v>
      </c>
      <c r="F417" s="328">
        <v>0</v>
      </c>
      <c r="G417" s="328">
        <v>281</v>
      </c>
      <c r="H417" s="328">
        <v>118</v>
      </c>
      <c r="I417" s="328">
        <v>0</v>
      </c>
      <c r="J417" s="328">
        <v>32</v>
      </c>
      <c r="K417" s="328">
        <v>32</v>
      </c>
      <c r="N417" s="399">
        <v>475746</v>
      </c>
      <c r="O417" s="328">
        <v>0</v>
      </c>
      <c r="P417" s="328">
        <v>281</v>
      </c>
      <c r="Q417" s="328">
        <v>118</v>
      </c>
      <c r="R417" s="328">
        <v>399</v>
      </c>
      <c r="S417" s="328">
        <v>17761218</v>
      </c>
      <c r="T417" s="4">
        <v>2.23</v>
      </c>
      <c r="V417" s="399">
        <v>475746</v>
      </c>
      <c r="W417" s="328">
        <v>32</v>
      </c>
      <c r="X417" s="328">
        <v>44514.28125</v>
      </c>
      <c r="Y417" s="328">
        <v>1424457</v>
      </c>
      <c r="AA417" s="399">
        <v>475746</v>
      </c>
      <c r="AB417" s="328">
        <v>0</v>
      </c>
      <c r="AC417" s="328">
        <v>281</v>
      </c>
      <c r="AD417" s="328">
        <v>118</v>
      </c>
      <c r="AE417" s="328">
        <v>399</v>
      </c>
      <c r="AF417" s="328">
        <v>235</v>
      </c>
      <c r="AG417" s="328">
        <v>6013132</v>
      </c>
      <c r="AI417" s="399">
        <v>475746</v>
      </c>
      <c r="AJ417" s="328">
        <v>0</v>
      </c>
      <c r="AK417" s="328">
        <v>281</v>
      </c>
      <c r="AL417" s="328">
        <v>118</v>
      </c>
      <c r="AM417" s="328">
        <v>399</v>
      </c>
      <c r="AN417" s="328">
        <v>235</v>
      </c>
      <c r="AO417" s="328">
        <v>11748086</v>
      </c>
    </row>
    <row r="418" spans="1:41">
      <c r="A418" s="167">
        <v>413</v>
      </c>
      <c r="B418" s="79" t="s">
        <v>105</v>
      </c>
      <c r="C418" s="452" t="s">
        <v>602</v>
      </c>
      <c r="D418" s="457">
        <v>26</v>
      </c>
      <c r="E418" s="328">
        <v>0</v>
      </c>
      <c r="F418" s="328">
        <v>0</v>
      </c>
      <c r="I418" s="328">
        <v>0</v>
      </c>
      <c r="J418" s="328">
        <v>0</v>
      </c>
      <c r="K418" s="328">
        <v>0</v>
      </c>
      <c r="N418" s="399" t="s">
        <v>602</v>
      </c>
      <c r="O418" s="328">
        <v>0</v>
      </c>
      <c r="P418" s="328">
        <v>0</v>
      </c>
      <c r="Q418" s="328">
        <v>0</v>
      </c>
      <c r="R418" s="328">
        <v>0</v>
      </c>
      <c r="S418" s="328">
        <v>0</v>
      </c>
      <c r="T418" s="4">
        <v>0.35</v>
      </c>
      <c r="V418" s="399" t="s">
        <v>602</v>
      </c>
      <c r="W418" s="328">
        <v>0</v>
      </c>
      <c r="X418" s="328">
        <v>0</v>
      </c>
      <c r="Y418" s="328">
        <v>0</v>
      </c>
      <c r="AA418" s="399" t="s">
        <v>602</v>
      </c>
      <c r="AB418" s="328">
        <v>0</v>
      </c>
      <c r="AC418" s="328">
        <v>0</v>
      </c>
      <c r="AD418" s="328">
        <v>0</v>
      </c>
      <c r="AE418" s="328">
        <v>0</v>
      </c>
      <c r="AF418" s="328">
        <v>0</v>
      </c>
      <c r="AG418" s="328">
        <v>0</v>
      </c>
      <c r="AI418" s="399" t="s">
        <v>602</v>
      </c>
      <c r="AJ418" s="328">
        <v>0</v>
      </c>
      <c r="AK418" s="328">
        <v>0</v>
      </c>
      <c r="AL418" s="328">
        <v>0</v>
      </c>
      <c r="AM418" s="328">
        <v>0</v>
      </c>
      <c r="AN418" s="328">
        <v>0</v>
      </c>
      <c r="AO418" s="328">
        <v>0</v>
      </c>
    </row>
    <row r="419" spans="1:41">
      <c r="A419" s="167">
        <v>414</v>
      </c>
      <c r="B419" s="79" t="s">
        <v>105</v>
      </c>
      <c r="C419" s="452">
        <v>472085</v>
      </c>
      <c r="D419" s="457">
        <v>3859</v>
      </c>
      <c r="E419" s="328">
        <v>3859</v>
      </c>
      <c r="F419" s="328">
        <v>1297</v>
      </c>
      <c r="G419" s="328">
        <v>1357</v>
      </c>
      <c r="H419" s="328">
        <v>1205</v>
      </c>
      <c r="I419" s="328">
        <v>0</v>
      </c>
      <c r="J419" s="328">
        <v>0</v>
      </c>
      <c r="K419" s="328">
        <v>0</v>
      </c>
      <c r="N419" s="399">
        <v>472085</v>
      </c>
      <c r="O419" s="328">
        <v>1297</v>
      </c>
      <c r="P419" s="328">
        <v>1357</v>
      </c>
      <c r="Q419" s="328">
        <v>1205</v>
      </c>
      <c r="R419" s="328">
        <v>3859</v>
      </c>
      <c r="S419" s="328">
        <v>161376881</v>
      </c>
      <c r="T419" s="4">
        <v>4.0999999999999996</v>
      </c>
      <c r="V419" s="399">
        <v>472085</v>
      </c>
      <c r="W419" s="328">
        <v>0</v>
      </c>
      <c r="X419" s="328">
        <v>0</v>
      </c>
      <c r="Y419" s="328">
        <v>0</v>
      </c>
      <c r="AA419" s="399">
        <v>472085</v>
      </c>
      <c r="AB419" s="328">
        <v>1297</v>
      </c>
      <c r="AC419" s="328">
        <v>1357</v>
      </c>
      <c r="AD419" s="328">
        <v>1205</v>
      </c>
      <c r="AE419" s="328">
        <v>3859</v>
      </c>
      <c r="AF419" s="328">
        <v>1902</v>
      </c>
      <c r="AG419" s="328">
        <v>54634791</v>
      </c>
      <c r="AI419" s="399">
        <v>472085</v>
      </c>
      <c r="AJ419" s="328">
        <v>1297</v>
      </c>
      <c r="AK419" s="328">
        <v>1357</v>
      </c>
      <c r="AL419" s="328">
        <v>1205</v>
      </c>
      <c r="AM419" s="328">
        <v>3859</v>
      </c>
      <c r="AN419" s="328">
        <v>1902</v>
      </c>
      <c r="AO419" s="328">
        <v>106742090</v>
      </c>
    </row>
    <row r="420" spans="1:41">
      <c r="A420" s="167">
        <v>415</v>
      </c>
      <c r="B420" s="79" t="s">
        <v>105</v>
      </c>
      <c r="C420" s="452">
        <v>472371</v>
      </c>
      <c r="D420" s="457">
        <v>1508</v>
      </c>
      <c r="E420" s="328">
        <v>1508</v>
      </c>
      <c r="F420" s="328">
        <v>390</v>
      </c>
      <c r="G420" s="328">
        <v>910</v>
      </c>
      <c r="H420" s="328">
        <v>208</v>
      </c>
      <c r="I420" s="328">
        <v>0</v>
      </c>
      <c r="J420" s="328">
        <v>0</v>
      </c>
      <c r="K420" s="328">
        <v>0</v>
      </c>
      <c r="N420" s="399">
        <v>472371</v>
      </c>
      <c r="O420" s="328">
        <v>390</v>
      </c>
      <c r="P420" s="328">
        <v>910</v>
      </c>
      <c r="Q420" s="328">
        <v>208</v>
      </c>
      <c r="R420" s="328">
        <v>1508</v>
      </c>
      <c r="S420" s="328">
        <v>49181644</v>
      </c>
      <c r="T420" s="4">
        <v>3.4</v>
      </c>
      <c r="V420" s="399">
        <v>472371</v>
      </c>
      <c r="W420" s="328">
        <v>0</v>
      </c>
      <c r="X420" s="328">
        <v>0</v>
      </c>
      <c r="Y420" s="328">
        <v>0</v>
      </c>
      <c r="AA420" s="399">
        <v>472371</v>
      </c>
      <c r="AB420" s="328">
        <v>390</v>
      </c>
      <c r="AC420" s="328">
        <v>910</v>
      </c>
      <c r="AD420" s="328">
        <v>208</v>
      </c>
      <c r="AE420" s="328">
        <v>1508</v>
      </c>
      <c r="AF420" s="328">
        <v>699</v>
      </c>
      <c r="AG420" s="328">
        <v>16650643</v>
      </c>
      <c r="AI420" s="399">
        <v>472371</v>
      </c>
      <c r="AJ420" s="328">
        <v>390</v>
      </c>
      <c r="AK420" s="328">
        <v>910</v>
      </c>
      <c r="AL420" s="328">
        <v>208</v>
      </c>
      <c r="AM420" s="328">
        <v>1508</v>
      </c>
      <c r="AN420" s="328">
        <v>699</v>
      </c>
      <c r="AO420" s="328">
        <v>32531001</v>
      </c>
    </row>
    <row r="421" spans="1:41">
      <c r="A421" s="167">
        <v>416</v>
      </c>
      <c r="B421" s="79" t="s">
        <v>105</v>
      </c>
      <c r="C421" s="452">
        <v>474932</v>
      </c>
      <c r="D421" s="457">
        <v>9654</v>
      </c>
      <c r="E421" s="328">
        <v>9654</v>
      </c>
      <c r="F421" s="328">
        <v>1278</v>
      </c>
      <c r="G421" s="328">
        <v>5596</v>
      </c>
      <c r="H421" s="328">
        <v>2780</v>
      </c>
      <c r="I421" s="328">
        <v>0</v>
      </c>
      <c r="J421" s="328">
        <v>0</v>
      </c>
      <c r="K421" s="328">
        <v>0</v>
      </c>
      <c r="N421" s="399">
        <v>474932</v>
      </c>
      <c r="O421" s="328">
        <v>1278</v>
      </c>
      <c r="P421" s="328">
        <v>5596</v>
      </c>
      <c r="Q421" s="328">
        <v>2780</v>
      </c>
      <c r="R421" s="328">
        <v>9654</v>
      </c>
      <c r="S421" s="328">
        <v>180218877</v>
      </c>
      <c r="T421" s="4">
        <v>1.65</v>
      </c>
      <c r="V421" s="399">
        <v>474932</v>
      </c>
      <c r="W421" s="328">
        <v>0</v>
      </c>
      <c r="X421" s="328">
        <v>0</v>
      </c>
      <c r="Y421" s="328">
        <v>0</v>
      </c>
      <c r="AA421" s="399">
        <v>474932</v>
      </c>
      <c r="AB421" s="328">
        <v>1278</v>
      </c>
      <c r="AC421" s="328">
        <v>5596</v>
      </c>
      <c r="AD421" s="328">
        <v>2780</v>
      </c>
      <c r="AE421" s="328">
        <v>9654</v>
      </c>
      <c r="AF421" s="328">
        <v>5278</v>
      </c>
      <c r="AG421" s="328">
        <v>61013824</v>
      </c>
      <c r="AI421" s="399">
        <v>474932</v>
      </c>
      <c r="AJ421" s="328">
        <v>1278</v>
      </c>
      <c r="AK421" s="328">
        <v>5596</v>
      </c>
      <c r="AL421" s="328">
        <v>2780</v>
      </c>
      <c r="AM421" s="328">
        <v>9654</v>
      </c>
      <c r="AN421" s="328">
        <v>5278</v>
      </c>
      <c r="AO421" s="328">
        <v>119205053</v>
      </c>
    </row>
    <row r="422" spans="1:41">
      <c r="A422" s="167">
        <v>417</v>
      </c>
      <c r="B422" s="79" t="s">
        <v>105</v>
      </c>
      <c r="C422" s="452">
        <v>476091</v>
      </c>
      <c r="D422" s="457">
        <v>594</v>
      </c>
      <c r="E422" s="328">
        <v>594</v>
      </c>
      <c r="F422" s="328">
        <v>0</v>
      </c>
      <c r="G422" s="328">
        <v>594</v>
      </c>
      <c r="I422" s="328">
        <v>0</v>
      </c>
      <c r="J422" s="328">
        <v>0</v>
      </c>
      <c r="K422" s="328">
        <v>0</v>
      </c>
      <c r="N422" s="399">
        <v>476091</v>
      </c>
      <c r="O422" s="328">
        <v>0</v>
      </c>
      <c r="P422" s="328">
        <v>594</v>
      </c>
      <c r="Q422" s="328">
        <v>0</v>
      </c>
      <c r="R422" s="328">
        <v>594</v>
      </c>
      <c r="S422" s="328">
        <v>10448460</v>
      </c>
      <c r="T422" s="4">
        <v>1.7</v>
      </c>
      <c r="V422" s="399">
        <v>476091</v>
      </c>
      <c r="W422" s="328">
        <v>0</v>
      </c>
      <c r="X422" s="328">
        <v>0</v>
      </c>
      <c r="Y422" s="328">
        <v>0</v>
      </c>
      <c r="AA422" s="399">
        <v>476091</v>
      </c>
      <c r="AB422" s="328">
        <v>0</v>
      </c>
      <c r="AC422" s="328">
        <v>594</v>
      </c>
      <c r="AD422" s="328">
        <v>0</v>
      </c>
      <c r="AE422" s="328">
        <v>594</v>
      </c>
      <c r="AF422" s="328">
        <v>297</v>
      </c>
      <c r="AG422" s="328">
        <v>3537368</v>
      </c>
      <c r="AI422" s="399">
        <v>476091</v>
      </c>
      <c r="AJ422" s="328">
        <v>0</v>
      </c>
      <c r="AK422" s="328">
        <v>594</v>
      </c>
      <c r="AL422" s="328">
        <v>0</v>
      </c>
      <c r="AM422" s="328">
        <v>594</v>
      </c>
      <c r="AN422" s="328">
        <v>297</v>
      </c>
      <c r="AO422" s="328">
        <v>6911092</v>
      </c>
    </row>
    <row r="423" spans="1:41">
      <c r="A423" s="167">
        <v>418</v>
      </c>
      <c r="B423" s="79" t="s">
        <v>161</v>
      </c>
      <c r="C423" s="452">
        <v>100018130</v>
      </c>
      <c r="D423" s="457">
        <v>6437</v>
      </c>
      <c r="E423" s="328">
        <v>6437</v>
      </c>
      <c r="F423" s="328">
        <v>2937</v>
      </c>
      <c r="G423" s="328">
        <v>3180</v>
      </c>
      <c r="H423" s="328">
        <v>320</v>
      </c>
      <c r="I423" s="328">
        <v>0</v>
      </c>
      <c r="J423" s="328">
        <v>0</v>
      </c>
      <c r="K423" s="328">
        <v>0</v>
      </c>
      <c r="N423" s="399">
        <v>100018130</v>
      </c>
      <c r="O423" s="328">
        <v>2937</v>
      </c>
      <c r="P423" s="328">
        <v>3180</v>
      </c>
      <c r="Q423" s="328">
        <v>320</v>
      </c>
      <c r="R423" s="328">
        <v>6437</v>
      </c>
      <c r="S423" s="328">
        <v>100697585</v>
      </c>
      <c r="T423" s="4">
        <v>2</v>
      </c>
      <c r="V423" s="399">
        <v>100018130</v>
      </c>
      <c r="W423" s="328">
        <v>0</v>
      </c>
      <c r="X423" s="328">
        <v>0</v>
      </c>
      <c r="Y423" s="328">
        <v>0</v>
      </c>
      <c r="AA423" s="399">
        <v>100018130</v>
      </c>
      <c r="AB423" s="328">
        <v>2937</v>
      </c>
      <c r="AC423" s="328">
        <v>3180</v>
      </c>
      <c r="AD423" s="328">
        <v>320</v>
      </c>
      <c r="AE423" s="328">
        <v>6437</v>
      </c>
      <c r="AF423" s="328">
        <v>2433</v>
      </c>
      <c r="AG423" s="328">
        <v>34091572</v>
      </c>
      <c r="AI423" s="399">
        <v>100018130</v>
      </c>
      <c r="AJ423" s="328">
        <v>2937</v>
      </c>
      <c r="AK423" s="328">
        <v>3180</v>
      </c>
      <c r="AL423" s="328">
        <v>320</v>
      </c>
      <c r="AM423" s="328">
        <v>6437</v>
      </c>
      <c r="AN423" s="328">
        <v>2433</v>
      </c>
      <c r="AO423" s="328">
        <v>66606013</v>
      </c>
    </row>
    <row r="424" spans="1:41">
      <c r="A424" s="167">
        <v>419</v>
      </c>
      <c r="B424" s="79" t="s">
        <v>161</v>
      </c>
      <c r="C424" s="452">
        <v>100018197</v>
      </c>
      <c r="D424" s="457">
        <v>9784</v>
      </c>
      <c r="E424" s="328">
        <v>9555</v>
      </c>
      <c r="G424" s="328">
        <v>175</v>
      </c>
      <c r="H424" s="328">
        <v>9380</v>
      </c>
      <c r="I424" s="328">
        <v>0</v>
      </c>
      <c r="J424" s="328">
        <v>225</v>
      </c>
      <c r="K424" s="328">
        <v>225</v>
      </c>
      <c r="N424" s="399">
        <v>100018197</v>
      </c>
      <c r="O424" s="328">
        <v>0</v>
      </c>
      <c r="P424" s="328">
        <v>175</v>
      </c>
      <c r="Q424" s="328">
        <v>9380</v>
      </c>
      <c r="R424" s="328">
        <v>9555</v>
      </c>
      <c r="S424" s="328">
        <v>252896876</v>
      </c>
      <c r="T424" s="4">
        <v>1.6</v>
      </c>
      <c r="V424" s="399">
        <v>100018197</v>
      </c>
      <c r="W424" s="328">
        <v>225</v>
      </c>
      <c r="X424" s="328">
        <v>26467.493333333332</v>
      </c>
      <c r="Y424" s="328">
        <v>5955186</v>
      </c>
      <c r="AA424" s="399">
        <v>100018197</v>
      </c>
      <c r="AB424" s="328">
        <v>0</v>
      </c>
      <c r="AC424" s="328">
        <v>175</v>
      </c>
      <c r="AD424" s="328">
        <v>9380</v>
      </c>
      <c r="AE424" s="328">
        <v>9555</v>
      </c>
      <c r="AF424" s="328">
        <v>7592</v>
      </c>
      <c r="AG424" s="328">
        <v>85619253</v>
      </c>
      <c r="AI424" s="399">
        <v>100018197</v>
      </c>
      <c r="AJ424" s="328">
        <v>0</v>
      </c>
      <c r="AK424" s="328">
        <v>175</v>
      </c>
      <c r="AL424" s="328">
        <v>9380</v>
      </c>
      <c r="AM424" s="328">
        <v>9555</v>
      </c>
      <c r="AN424" s="328">
        <v>7592</v>
      </c>
      <c r="AO424" s="328">
        <v>167277623</v>
      </c>
    </row>
    <row r="425" spans="1:41">
      <c r="A425" s="167">
        <v>420</v>
      </c>
      <c r="B425" s="79" t="s">
        <v>161</v>
      </c>
      <c r="C425" s="452">
        <v>100018200</v>
      </c>
      <c r="D425" s="457">
        <v>4180</v>
      </c>
      <c r="E425" s="328">
        <v>1895</v>
      </c>
      <c r="F425" s="328">
        <v>0</v>
      </c>
      <c r="G425" s="328">
        <v>1180</v>
      </c>
      <c r="H425" s="328">
        <v>715</v>
      </c>
      <c r="I425" s="328">
        <v>2285</v>
      </c>
      <c r="J425" s="328">
        <v>0</v>
      </c>
      <c r="K425" s="328">
        <v>2285</v>
      </c>
      <c r="N425" s="399">
        <v>100018200</v>
      </c>
      <c r="O425" s="328">
        <v>0</v>
      </c>
      <c r="P425" s="328">
        <v>1180</v>
      </c>
      <c r="Q425" s="328">
        <v>715</v>
      </c>
      <c r="R425" s="328">
        <v>1895</v>
      </c>
      <c r="S425" s="328">
        <v>64677193</v>
      </c>
      <c r="T425" s="4">
        <v>2</v>
      </c>
      <c r="V425" s="399">
        <v>100018200</v>
      </c>
      <c r="W425" s="328">
        <v>2285</v>
      </c>
      <c r="X425" s="328">
        <v>34130.444638949673</v>
      </c>
      <c r="Y425" s="328">
        <v>77988066</v>
      </c>
      <c r="AA425" s="399">
        <v>100018200</v>
      </c>
      <c r="AB425" s="328">
        <v>0</v>
      </c>
      <c r="AC425" s="328">
        <v>1180</v>
      </c>
      <c r="AD425" s="328">
        <v>715</v>
      </c>
      <c r="AE425" s="328">
        <v>1895</v>
      </c>
      <c r="AF425" s="328">
        <v>1162</v>
      </c>
      <c r="AG425" s="328">
        <v>21896723</v>
      </c>
      <c r="AI425" s="399">
        <v>100018200</v>
      </c>
      <c r="AJ425" s="328">
        <v>0</v>
      </c>
      <c r="AK425" s="328">
        <v>1180</v>
      </c>
      <c r="AL425" s="328">
        <v>715</v>
      </c>
      <c r="AM425" s="328">
        <v>1895</v>
      </c>
      <c r="AN425" s="328">
        <v>1162</v>
      </c>
      <c r="AO425" s="328">
        <v>42780470</v>
      </c>
    </row>
    <row r="426" spans="1:41">
      <c r="A426" s="167">
        <v>421</v>
      </c>
      <c r="B426" s="79" t="s">
        <v>161</v>
      </c>
      <c r="C426" s="452">
        <v>100018207</v>
      </c>
      <c r="D426" s="457">
        <v>3321</v>
      </c>
      <c r="E426" s="328">
        <v>3321</v>
      </c>
      <c r="F426" s="328">
        <v>2388</v>
      </c>
      <c r="G426" s="328">
        <v>933</v>
      </c>
      <c r="I426" s="328">
        <v>0</v>
      </c>
      <c r="J426" s="328">
        <v>0</v>
      </c>
      <c r="K426" s="328">
        <v>0</v>
      </c>
      <c r="N426" s="399">
        <v>100018207</v>
      </c>
      <c r="O426" s="328">
        <v>2388</v>
      </c>
      <c r="P426" s="328">
        <v>933</v>
      </c>
      <c r="Q426" s="328">
        <v>0</v>
      </c>
      <c r="R426" s="328">
        <v>3321</v>
      </c>
      <c r="S426" s="328">
        <v>58605746</v>
      </c>
      <c r="T426" s="4">
        <v>3</v>
      </c>
      <c r="V426" s="399">
        <v>100018207</v>
      </c>
      <c r="W426" s="328">
        <v>0</v>
      </c>
      <c r="X426" s="328">
        <v>0</v>
      </c>
      <c r="Y426" s="328">
        <v>0</v>
      </c>
      <c r="AA426" s="399">
        <v>100018207</v>
      </c>
      <c r="AB426" s="328">
        <v>2388</v>
      </c>
      <c r="AC426" s="328">
        <v>933</v>
      </c>
      <c r="AD426" s="328">
        <v>0</v>
      </c>
      <c r="AE426" s="328">
        <v>3321</v>
      </c>
      <c r="AF426" s="328">
        <v>944</v>
      </c>
      <c r="AG426" s="328">
        <v>19841211</v>
      </c>
      <c r="AI426" s="399">
        <v>100018207</v>
      </c>
      <c r="AJ426" s="328">
        <v>2388</v>
      </c>
      <c r="AK426" s="328">
        <v>933</v>
      </c>
      <c r="AL426" s="328">
        <v>0</v>
      </c>
      <c r="AM426" s="328">
        <v>3321</v>
      </c>
      <c r="AN426" s="328">
        <v>944</v>
      </c>
      <c r="AO426" s="328">
        <v>38764535</v>
      </c>
    </row>
    <row r="427" spans="1:41">
      <c r="A427" s="167">
        <v>422</v>
      </c>
      <c r="B427" s="79" t="s">
        <v>161</v>
      </c>
      <c r="C427" s="452">
        <v>100018224</v>
      </c>
      <c r="D427" s="457">
        <v>2736</v>
      </c>
      <c r="E427" s="328">
        <v>67</v>
      </c>
      <c r="F427" s="328">
        <v>0</v>
      </c>
      <c r="G427" s="328">
        <v>67</v>
      </c>
      <c r="I427" s="328">
        <v>2669</v>
      </c>
      <c r="J427" s="328">
        <v>0</v>
      </c>
      <c r="K427" s="328">
        <v>2669</v>
      </c>
      <c r="N427" s="399">
        <v>100018224</v>
      </c>
      <c r="O427" s="328">
        <v>0</v>
      </c>
      <c r="P427" s="328">
        <v>67</v>
      </c>
      <c r="Q427" s="328">
        <v>0</v>
      </c>
      <c r="R427" s="328">
        <v>67</v>
      </c>
      <c r="S427" s="328">
        <v>3287479</v>
      </c>
      <c r="T427" s="4">
        <v>2.4</v>
      </c>
      <c r="V427" s="399">
        <v>100018224</v>
      </c>
      <c r="W427" s="328">
        <v>2669</v>
      </c>
      <c r="X427" s="328">
        <v>49066.846009741479</v>
      </c>
      <c r="Y427" s="328">
        <v>130959412</v>
      </c>
      <c r="AA427" s="399">
        <v>100018224</v>
      </c>
      <c r="AB427" s="328">
        <v>0</v>
      </c>
      <c r="AC427" s="328">
        <v>67</v>
      </c>
      <c r="AD427" s="328">
        <v>0</v>
      </c>
      <c r="AE427" s="328">
        <v>67</v>
      </c>
      <c r="AF427" s="328">
        <v>34</v>
      </c>
      <c r="AG427" s="328">
        <v>1112989</v>
      </c>
      <c r="AI427" s="399">
        <v>100018224</v>
      </c>
      <c r="AJ427" s="328">
        <v>0</v>
      </c>
      <c r="AK427" s="328">
        <v>67</v>
      </c>
      <c r="AL427" s="328">
        <v>0</v>
      </c>
      <c r="AM427" s="328">
        <v>67</v>
      </c>
      <c r="AN427" s="328">
        <v>34</v>
      </c>
      <c r="AO427" s="328">
        <v>2174490</v>
      </c>
    </row>
    <row r="428" spans="1:41">
      <c r="A428" s="167">
        <v>423</v>
      </c>
      <c r="B428" s="79" t="s">
        <v>161</v>
      </c>
      <c r="C428" s="452">
        <v>100018229</v>
      </c>
      <c r="D428" s="457">
        <v>9739</v>
      </c>
      <c r="E428" s="328">
        <v>1582</v>
      </c>
      <c r="F428" s="328">
        <v>25</v>
      </c>
      <c r="G428" s="328">
        <v>1047</v>
      </c>
      <c r="H428" s="328">
        <v>510</v>
      </c>
      <c r="I428" s="328">
        <v>8157</v>
      </c>
      <c r="J428" s="328">
        <v>0</v>
      </c>
      <c r="K428" s="328">
        <v>8157</v>
      </c>
      <c r="N428" s="399">
        <v>100018229</v>
      </c>
      <c r="O428" s="328">
        <v>25</v>
      </c>
      <c r="P428" s="328">
        <v>1047</v>
      </c>
      <c r="Q428" s="328">
        <v>510</v>
      </c>
      <c r="R428" s="328">
        <v>1582</v>
      </c>
      <c r="S428" s="328">
        <v>79481739</v>
      </c>
      <c r="T428" s="4">
        <v>2.6</v>
      </c>
      <c r="V428" s="399">
        <v>100018229</v>
      </c>
      <c r="W428" s="328">
        <v>8157</v>
      </c>
      <c r="X428" s="328">
        <v>50241.301581463777</v>
      </c>
      <c r="Y428" s="328">
        <v>409818297</v>
      </c>
      <c r="AA428" s="399">
        <v>100018229</v>
      </c>
      <c r="AB428" s="328">
        <v>25</v>
      </c>
      <c r="AC428" s="328">
        <v>1047</v>
      </c>
      <c r="AD428" s="328">
        <v>510</v>
      </c>
      <c r="AE428" s="328">
        <v>1582</v>
      </c>
      <c r="AF428" s="328">
        <v>937</v>
      </c>
      <c r="AG428" s="328">
        <v>26908862</v>
      </c>
      <c r="AI428" s="399">
        <v>100018229</v>
      </c>
      <c r="AJ428" s="328">
        <v>25</v>
      </c>
      <c r="AK428" s="328">
        <v>1047</v>
      </c>
      <c r="AL428" s="328">
        <v>510</v>
      </c>
      <c r="AM428" s="328">
        <v>1582</v>
      </c>
      <c r="AN428" s="328">
        <v>937</v>
      </c>
      <c r="AO428" s="328">
        <v>52572877</v>
      </c>
    </row>
    <row r="429" spans="1:41">
      <c r="A429" s="167">
        <v>424</v>
      </c>
      <c r="B429" s="79" t="s">
        <v>161</v>
      </c>
      <c r="C429" s="452">
        <v>100018250</v>
      </c>
      <c r="D429" s="457">
        <v>7995</v>
      </c>
      <c r="E429" s="328">
        <v>830</v>
      </c>
      <c r="F429" s="328">
        <v>0</v>
      </c>
      <c r="G429" s="328">
        <v>467</v>
      </c>
      <c r="H429" s="328">
        <v>363</v>
      </c>
      <c r="I429" s="328">
        <v>7165</v>
      </c>
      <c r="J429" s="328">
        <v>0</v>
      </c>
      <c r="K429" s="328">
        <v>7165</v>
      </c>
      <c r="N429" s="399">
        <v>100018250</v>
      </c>
      <c r="O429" s="328">
        <v>0</v>
      </c>
      <c r="P429" s="328">
        <v>467</v>
      </c>
      <c r="Q429" s="328">
        <v>363</v>
      </c>
      <c r="R429" s="328">
        <v>830</v>
      </c>
      <c r="S429" s="328">
        <v>17344658</v>
      </c>
      <c r="T429" s="4">
        <v>1.05</v>
      </c>
      <c r="V429" s="399">
        <v>100018250</v>
      </c>
      <c r="W429" s="328">
        <v>7165</v>
      </c>
      <c r="X429" s="328">
        <v>20897.177948360084</v>
      </c>
      <c r="Y429" s="328">
        <v>149728280</v>
      </c>
      <c r="AA429" s="399">
        <v>100018250</v>
      </c>
      <c r="AB429" s="328">
        <v>0</v>
      </c>
      <c r="AC429" s="328">
        <v>467</v>
      </c>
      <c r="AD429" s="328">
        <v>363</v>
      </c>
      <c r="AE429" s="328">
        <v>830</v>
      </c>
      <c r="AF429" s="328">
        <v>524</v>
      </c>
      <c r="AG429" s="328">
        <v>5872104</v>
      </c>
      <c r="AI429" s="399">
        <v>100018250</v>
      </c>
      <c r="AJ429" s="328">
        <v>0</v>
      </c>
      <c r="AK429" s="328">
        <v>467</v>
      </c>
      <c r="AL429" s="328">
        <v>363</v>
      </c>
      <c r="AM429" s="328">
        <v>830</v>
      </c>
      <c r="AN429" s="328">
        <v>524</v>
      </c>
      <c r="AO429" s="328">
        <v>11472554</v>
      </c>
    </row>
    <row r="430" spans="1:41">
      <c r="A430" s="167">
        <v>425</v>
      </c>
      <c r="B430" s="79" t="s">
        <v>161</v>
      </c>
      <c r="C430" s="452">
        <v>100018251</v>
      </c>
      <c r="D430" s="457">
        <v>3460</v>
      </c>
      <c r="E430" s="328">
        <v>294</v>
      </c>
      <c r="F430" s="328">
        <v>0</v>
      </c>
      <c r="H430" s="328">
        <v>294</v>
      </c>
      <c r="I430" s="328">
        <v>3166</v>
      </c>
      <c r="J430" s="328">
        <v>0</v>
      </c>
      <c r="K430" s="328">
        <v>3166</v>
      </c>
      <c r="N430" s="399">
        <v>100018251</v>
      </c>
      <c r="O430" s="328">
        <v>0</v>
      </c>
      <c r="P430" s="328">
        <v>0</v>
      </c>
      <c r="Q430" s="328">
        <v>294</v>
      </c>
      <c r="R430" s="328">
        <v>294</v>
      </c>
      <c r="S430" s="328">
        <v>6279341</v>
      </c>
      <c r="T430" s="4">
        <v>1.05</v>
      </c>
      <c r="V430" s="399">
        <v>100018251</v>
      </c>
      <c r="W430" s="328">
        <v>3166</v>
      </c>
      <c r="X430" s="328">
        <v>21358.305116866708</v>
      </c>
      <c r="Y430" s="328">
        <v>67620394</v>
      </c>
      <c r="AA430" s="399">
        <v>100018251</v>
      </c>
      <c r="AB430" s="328">
        <v>0</v>
      </c>
      <c r="AC430" s="328">
        <v>0</v>
      </c>
      <c r="AD430" s="328">
        <v>294</v>
      </c>
      <c r="AE430" s="328">
        <v>294</v>
      </c>
      <c r="AF430" s="328">
        <v>235</v>
      </c>
      <c r="AG430" s="328">
        <v>2125896</v>
      </c>
      <c r="AI430" s="399">
        <v>100018251</v>
      </c>
      <c r="AJ430" s="328">
        <v>0</v>
      </c>
      <c r="AK430" s="328">
        <v>0</v>
      </c>
      <c r="AL430" s="328">
        <v>294</v>
      </c>
      <c r="AM430" s="328">
        <v>294</v>
      </c>
      <c r="AN430" s="328">
        <v>235</v>
      </c>
      <c r="AO430" s="328">
        <v>4153445</v>
      </c>
    </row>
    <row r="431" spans="1:41">
      <c r="A431" s="167">
        <v>426</v>
      </c>
      <c r="B431" s="79" t="s">
        <v>161</v>
      </c>
      <c r="C431" s="452">
        <v>100018252</v>
      </c>
      <c r="D431" s="457">
        <v>2441</v>
      </c>
      <c r="E431" s="328">
        <v>93</v>
      </c>
      <c r="G431" s="328">
        <v>3</v>
      </c>
      <c r="H431" s="328">
        <v>90</v>
      </c>
      <c r="I431" s="328">
        <v>2346</v>
      </c>
      <c r="J431" s="328">
        <v>0</v>
      </c>
      <c r="K431" s="328">
        <v>2346</v>
      </c>
      <c r="N431" s="399">
        <v>100018252</v>
      </c>
      <c r="O431" s="328">
        <v>0</v>
      </c>
      <c r="P431" s="328">
        <v>3</v>
      </c>
      <c r="Q431" s="328">
        <v>90</v>
      </c>
      <c r="R431" s="328">
        <v>93</v>
      </c>
      <c r="S431" s="328">
        <v>2005052</v>
      </c>
      <c r="T431" s="4">
        <v>1.05</v>
      </c>
      <c r="V431" s="399">
        <v>100018252</v>
      </c>
      <c r="W431" s="328">
        <v>2346</v>
      </c>
      <c r="X431" s="328">
        <v>21559.694799658995</v>
      </c>
      <c r="Y431" s="328">
        <v>50579044</v>
      </c>
      <c r="AA431" s="399">
        <v>100018252</v>
      </c>
      <c r="AB431" s="328">
        <v>0</v>
      </c>
      <c r="AC431" s="328">
        <v>3</v>
      </c>
      <c r="AD431" s="328">
        <v>90</v>
      </c>
      <c r="AE431" s="328">
        <v>93</v>
      </c>
      <c r="AF431" s="328">
        <v>74</v>
      </c>
      <c r="AG431" s="328">
        <v>678819</v>
      </c>
      <c r="AI431" s="399">
        <v>100018252</v>
      </c>
      <c r="AJ431" s="328">
        <v>0</v>
      </c>
      <c r="AK431" s="328">
        <v>3</v>
      </c>
      <c r="AL431" s="328">
        <v>90</v>
      </c>
      <c r="AM431" s="328">
        <v>93</v>
      </c>
      <c r="AN431" s="328">
        <v>74</v>
      </c>
      <c r="AO431" s="328">
        <v>1326233</v>
      </c>
    </row>
    <row r="432" spans="1:41">
      <c r="A432" s="167">
        <v>427</v>
      </c>
      <c r="B432" s="79" t="s">
        <v>161</v>
      </c>
      <c r="C432" s="452">
        <v>100018257</v>
      </c>
      <c r="D432" s="457">
        <v>4305</v>
      </c>
      <c r="E432" s="328">
        <v>2413</v>
      </c>
      <c r="F432" s="328">
        <v>0</v>
      </c>
      <c r="G432" s="328">
        <v>67</v>
      </c>
      <c r="H432" s="328">
        <v>2346</v>
      </c>
      <c r="I432" s="328">
        <v>1892</v>
      </c>
      <c r="J432" s="328">
        <v>0</v>
      </c>
      <c r="K432" s="328">
        <v>1892</v>
      </c>
      <c r="N432" s="399">
        <v>100018257</v>
      </c>
      <c r="O432" s="328">
        <v>0</v>
      </c>
      <c r="P432" s="328">
        <v>67</v>
      </c>
      <c r="Q432" s="328">
        <v>2346</v>
      </c>
      <c r="R432" s="328">
        <v>2413</v>
      </c>
      <c r="S432" s="328">
        <v>74970800</v>
      </c>
      <c r="T432" s="4">
        <v>1.7</v>
      </c>
      <c r="V432" s="399">
        <v>100018257</v>
      </c>
      <c r="W432" s="328">
        <v>1892</v>
      </c>
      <c r="X432" s="328">
        <v>31069.54069767442</v>
      </c>
      <c r="Y432" s="328">
        <v>58783571</v>
      </c>
      <c r="AA432" s="399">
        <v>100018257</v>
      </c>
      <c r="AB432" s="328">
        <v>0</v>
      </c>
      <c r="AC432" s="328">
        <v>67</v>
      </c>
      <c r="AD432" s="328">
        <v>2346</v>
      </c>
      <c r="AE432" s="328">
        <v>2413</v>
      </c>
      <c r="AF432" s="328">
        <v>1910</v>
      </c>
      <c r="AG432" s="328">
        <v>25381665</v>
      </c>
      <c r="AI432" s="399">
        <v>100018257</v>
      </c>
      <c r="AJ432" s="328">
        <v>0</v>
      </c>
      <c r="AK432" s="328">
        <v>67</v>
      </c>
      <c r="AL432" s="328">
        <v>2346</v>
      </c>
      <c r="AM432" s="328">
        <v>2413</v>
      </c>
      <c r="AN432" s="328">
        <v>1910</v>
      </c>
      <c r="AO432" s="328">
        <v>49589135</v>
      </c>
    </row>
    <row r="433" spans="1:41">
      <c r="A433" s="167">
        <v>428</v>
      </c>
      <c r="B433" s="79" t="s">
        <v>161</v>
      </c>
      <c r="C433" s="452">
        <v>100018258</v>
      </c>
      <c r="D433" s="457">
        <v>6525</v>
      </c>
      <c r="E433" s="328">
        <v>671</v>
      </c>
      <c r="F433" s="328">
        <v>0</v>
      </c>
      <c r="G433" s="328">
        <v>217</v>
      </c>
      <c r="H433" s="328">
        <v>454</v>
      </c>
      <c r="I433" s="328">
        <v>5854</v>
      </c>
      <c r="J433" s="328">
        <v>0</v>
      </c>
      <c r="K433" s="328">
        <v>5854</v>
      </c>
      <c r="N433" s="399">
        <v>100018258</v>
      </c>
      <c r="O433" s="328">
        <v>0</v>
      </c>
      <c r="P433" s="328">
        <v>217</v>
      </c>
      <c r="Q433" s="328">
        <v>454</v>
      </c>
      <c r="R433" s="328">
        <v>671</v>
      </c>
      <c r="S433" s="328">
        <v>22885851</v>
      </c>
      <c r="T433" s="4">
        <v>1.7</v>
      </c>
      <c r="V433" s="399">
        <v>100018258</v>
      </c>
      <c r="W433" s="328">
        <v>5854</v>
      </c>
      <c r="X433" s="328">
        <v>34107.080116159894</v>
      </c>
      <c r="Y433" s="328">
        <v>199662847</v>
      </c>
      <c r="AA433" s="399">
        <v>100018258</v>
      </c>
      <c r="AB433" s="328">
        <v>0</v>
      </c>
      <c r="AC433" s="328">
        <v>217</v>
      </c>
      <c r="AD433" s="328">
        <v>454</v>
      </c>
      <c r="AE433" s="328">
        <v>671</v>
      </c>
      <c r="AF433" s="328">
        <v>472</v>
      </c>
      <c r="AG433" s="328">
        <v>7748097</v>
      </c>
      <c r="AI433" s="399">
        <v>100018258</v>
      </c>
      <c r="AJ433" s="328">
        <v>0</v>
      </c>
      <c r="AK433" s="328">
        <v>217</v>
      </c>
      <c r="AL433" s="328">
        <v>454</v>
      </c>
      <c r="AM433" s="328">
        <v>671</v>
      </c>
      <c r="AN433" s="328">
        <v>472</v>
      </c>
      <c r="AO433" s="328">
        <v>15137754</v>
      </c>
    </row>
    <row r="434" spans="1:41">
      <c r="A434" s="167">
        <v>429</v>
      </c>
      <c r="B434" s="79" t="s">
        <v>161</v>
      </c>
      <c r="C434" s="452">
        <v>100018259</v>
      </c>
      <c r="D434" s="457">
        <v>1281</v>
      </c>
      <c r="E434" s="328">
        <v>26</v>
      </c>
      <c r="F434" s="328">
        <v>0</v>
      </c>
      <c r="G434" s="328">
        <v>26</v>
      </c>
      <c r="I434" s="328">
        <v>1255</v>
      </c>
      <c r="J434" s="328">
        <v>0</v>
      </c>
      <c r="K434" s="328">
        <v>1255</v>
      </c>
      <c r="N434" s="399">
        <v>100018259</v>
      </c>
      <c r="O434" s="328">
        <v>0</v>
      </c>
      <c r="P434" s="328">
        <v>26</v>
      </c>
      <c r="Q434" s="328">
        <v>0</v>
      </c>
      <c r="R434" s="328">
        <v>26</v>
      </c>
      <c r="S434" s="328">
        <v>905398</v>
      </c>
      <c r="T434" s="4">
        <v>1.7</v>
      </c>
      <c r="V434" s="399">
        <v>100018259</v>
      </c>
      <c r="W434" s="328">
        <v>1255</v>
      </c>
      <c r="X434" s="328">
        <v>34822.984860557772</v>
      </c>
      <c r="Y434" s="328">
        <v>43702846</v>
      </c>
      <c r="AA434" s="399">
        <v>100018259</v>
      </c>
      <c r="AB434" s="328">
        <v>0</v>
      </c>
      <c r="AC434" s="328">
        <v>26</v>
      </c>
      <c r="AD434" s="328">
        <v>0</v>
      </c>
      <c r="AE434" s="328">
        <v>26</v>
      </c>
      <c r="AF434" s="328">
        <v>13</v>
      </c>
      <c r="AG434" s="328">
        <v>306526</v>
      </c>
      <c r="AI434" s="399">
        <v>100018259</v>
      </c>
      <c r="AJ434" s="328">
        <v>0</v>
      </c>
      <c r="AK434" s="328">
        <v>26</v>
      </c>
      <c r="AL434" s="328">
        <v>0</v>
      </c>
      <c r="AM434" s="328">
        <v>26</v>
      </c>
      <c r="AN434" s="328">
        <v>13</v>
      </c>
      <c r="AO434" s="328">
        <v>598872</v>
      </c>
    </row>
    <row r="435" spans="1:41">
      <c r="A435" s="167">
        <v>430</v>
      </c>
      <c r="B435" s="79" t="s">
        <v>161</v>
      </c>
      <c r="C435" s="452">
        <v>100018260</v>
      </c>
      <c r="D435" s="457">
        <v>1352</v>
      </c>
      <c r="E435" s="328">
        <v>1352</v>
      </c>
      <c r="F435" s="328">
        <v>0</v>
      </c>
      <c r="G435" s="328">
        <v>992</v>
      </c>
      <c r="H435" s="328">
        <v>360</v>
      </c>
      <c r="I435" s="328">
        <v>0</v>
      </c>
      <c r="J435" s="328">
        <v>0</v>
      </c>
      <c r="K435" s="328">
        <v>0</v>
      </c>
      <c r="N435" s="399">
        <v>100018260</v>
      </c>
      <c r="O435" s="328">
        <v>0</v>
      </c>
      <c r="P435" s="328">
        <v>992</v>
      </c>
      <c r="Q435" s="328">
        <v>360</v>
      </c>
      <c r="R435" s="328">
        <v>1352</v>
      </c>
      <c r="S435" s="328">
        <v>29203541</v>
      </c>
      <c r="T435" s="4">
        <v>1.8</v>
      </c>
      <c r="V435" s="399">
        <v>100018260</v>
      </c>
      <c r="W435" s="328">
        <v>0</v>
      </c>
      <c r="X435" s="328">
        <v>0</v>
      </c>
      <c r="Y435" s="328">
        <v>0</v>
      </c>
      <c r="AA435" s="399">
        <v>100018260</v>
      </c>
      <c r="AB435" s="328">
        <v>0</v>
      </c>
      <c r="AC435" s="328">
        <v>992</v>
      </c>
      <c r="AD435" s="328">
        <v>360</v>
      </c>
      <c r="AE435" s="328">
        <v>1352</v>
      </c>
      <c r="AF435" s="328">
        <v>784</v>
      </c>
      <c r="AG435" s="328">
        <v>9886976</v>
      </c>
      <c r="AI435" s="399">
        <v>100018260</v>
      </c>
      <c r="AJ435" s="328">
        <v>0</v>
      </c>
      <c r="AK435" s="328">
        <v>992</v>
      </c>
      <c r="AL435" s="328">
        <v>360</v>
      </c>
      <c r="AM435" s="328">
        <v>1352</v>
      </c>
      <c r="AN435" s="328">
        <v>784</v>
      </c>
      <c r="AO435" s="328">
        <v>19316565</v>
      </c>
    </row>
    <row r="436" spans="1:41">
      <c r="A436" s="167">
        <v>431</v>
      </c>
      <c r="B436" s="79" t="s">
        <v>161</v>
      </c>
      <c r="C436" s="452">
        <v>100024706</v>
      </c>
      <c r="D436" s="457">
        <v>3685</v>
      </c>
      <c r="E436" s="328">
        <v>228</v>
      </c>
      <c r="F436" s="328">
        <v>0</v>
      </c>
      <c r="G436" s="328">
        <v>171</v>
      </c>
      <c r="H436" s="328">
        <v>57</v>
      </c>
      <c r="I436" s="328">
        <v>3457</v>
      </c>
      <c r="J436" s="328">
        <v>0</v>
      </c>
      <c r="K436" s="328">
        <v>3457</v>
      </c>
      <c r="N436" s="399">
        <v>100024706</v>
      </c>
      <c r="O436" s="328">
        <v>0</v>
      </c>
      <c r="P436" s="328">
        <v>171</v>
      </c>
      <c r="Q436" s="328">
        <v>57</v>
      </c>
      <c r="R436" s="328">
        <v>228</v>
      </c>
      <c r="S436" s="328">
        <v>4456239</v>
      </c>
      <c r="T436" s="4">
        <v>0.97</v>
      </c>
      <c r="V436" s="399">
        <v>100024706</v>
      </c>
      <c r="W436" s="328">
        <v>3457</v>
      </c>
      <c r="X436" s="328">
        <v>19544.907723459648</v>
      </c>
      <c r="Y436" s="328">
        <v>67566746</v>
      </c>
      <c r="AA436" s="399">
        <v>100024706</v>
      </c>
      <c r="AB436" s="328">
        <v>0</v>
      </c>
      <c r="AC436" s="328">
        <v>171</v>
      </c>
      <c r="AD436" s="328">
        <v>57</v>
      </c>
      <c r="AE436" s="328">
        <v>228</v>
      </c>
      <c r="AF436" s="328">
        <v>131</v>
      </c>
      <c r="AG436" s="328">
        <v>1508678</v>
      </c>
      <c r="AI436" s="399">
        <v>100024706</v>
      </c>
      <c r="AJ436" s="328">
        <v>0</v>
      </c>
      <c r="AK436" s="328">
        <v>171</v>
      </c>
      <c r="AL436" s="328">
        <v>57</v>
      </c>
      <c r="AM436" s="328">
        <v>228</v>
      </c>
      <c r="AN436" s="328">
        <v>131</v>
      </c>
      <c r="AO436" s="328">
        <v>2947561</v>
      </c>
    </row>
    <row r="437" spans="1:41">
      <c r="A437" s="167">
        <v>432</v>
      </c>
      <c r="B437" s="79" t="s">
        <v>161</v>
      </c>
      <c r="C437" s="452">
        <v>100027409</v>
      </c>
      <c r="D437" s="457">
        <v>4401</v>
      </c>
      <c r="E437" s="328">
        <v>270</v>
      </c>
      <c r="F437" s="328">
        <v>0</v>
      </c>
      <c r="G437" s="328">
        <v>173</v>
      </c>
      <c r="H437" s="328">
        <v>97</v>
      </c>
      <c r="I437" s="328">
        <v>4131</v>
      </c>
      <c r="J437" s="328">
        <v>0</v>
      </c>
      <c r="K437" s="328">
        <v>4131</v>
      </c>
      <c r="N437" s="399">
        <v>100027409</v>
      </c>
      <c r="O437" s="328">
        <v>0</v>
      </c>
      <c r="P437" s="328">
        <v>173</v>
      </c>
      <c r="Q437" s="328">
        <v>97</v>
      </c>
      <c r="R437" s="328">
        <v>270</v>
      </c>
      <c r="S437" s="328">
        <v>9269823</v>
      </c>
      <c r="T437" s="4">
        <v>1.7</v>
      </c>
      <c r="V437" s="399">
        <v>100027409</v>
      </c>
      <c r="W437" s="328">
        <v>4131</v>
      </c>
      <c r="X437" s="328">
        <v>34332.677317840717</v>
      </c>
      <c r="Y437" s="328">
        <v>141828290</v>
      </c>
      <c r="AA437" s="399">
        <v>100027409</v>
      </c>
      <c r="AB437" s="328">
        <v>0</v>
      </c>
      <c r="AC437" s="328">
        <v>173</v>
      </c>
      <c r="AD437" s="328">
        <v>97</v>
      </c>
      <c r="AE437" s="328">
        <v>270</v>
      </c>
      <c r="AF437" s="328">
        <v>164</v>
      </c>
      <c r="AG437" s="328">
        <v>3138336</v>
      </c>
      <c r="AI437" s="399">
        <v>100027409</v>
      </c>
      <c r="AJ437" s="328">
        <v>0</v>
      </c>
      <c r="AK437" s="328">
        <v>173</v>
      </c>
      <c r="AL437" s="328">
        <v>97</v>
      </c>
      <c r="AM437" s="328">
        <v>270</v>
      </c>
      <c r="AN437" s="328">
        <v>164</v>
      </c>
      <c r="AO437" s="328">
        <v>6131487</v>
      </c>
    </row>
    <row r="438" spans="1:41">
      <c r="A438" s="167">
        <v>433</v>
      </c>
      <c r="B438" s="79" t="s">
        <v>613</v>
      </c>
      <c r="C438" s="452">
        <v>100034267</v>
      </c>
      <c r="D438" s="457">
        <v>1749</v>
      </c>
      <c r="E438" s="328">
        <v>1746</v>
      </c>
      <c r="F438" s="328">
        <v>40</v>
      </c>
      <c r="G438" s="328">
        <v>1135</v>
      </c>
      <c r="H438" s="328">
        <v>571</v>
      </c>
      <c r="I438" s="328">
        <v>0</v>
      </c>
      <c r="J438" s="328">
        <v>0</v>
      </c>
      <c r="K438" s="328">
        <v>0</v>
      </c>
      <c r="N438" s="399">
        <v>100034267</v>
      </c>
      <c r="O438" s="328">
        <v>40</v>
      </c>
      <c r="P438" s="328">
        <v>1135</v>
      </c>
      <c r="Q438" s="328">
        <v>571</v>
      </c>
      <c r="R438" s="328">
        <v>1746</v>
      </c>
      <c r="S438" s="328">
        <v>59868691</v>
      </c>
      <c r="T438" s="4">
        <v>2.8</v>
      </c>
      <c r="V438" s="399">
        <v>100034267</v>
      </c>
      <c r="W438" s="328">
        <v>0</v>
      </c>
      <c r="X438" s="328">
        <v>0</v>
      </c>
      <c r="Y438" s="328">
        <v>0</v>
      </c>
      <c r="AA438" s="399">
        <v>100034267</v>
      </c>
      <c r="AB438" s="328">
        <v>40</v>
      </c>
      <c r="AC438" s="328">
        <v>1135</v>
      </c>
      <c r="AD438" s="328">
        <v>571</v>
      </c>
      <c r="AE438" s="328">
        <v>1746</v>
      </c>
      <c r="AF438" s="328">
        <v>1032</v>
      </c>
      <c r="AG438" s="328">
        <v>20268786</v>
      </c>
      <c r="AI438" s="399">
        <v>100034267</v>
      </c>
      <c r="AJ438" s="328">
        <v>40</v>
      </c>
      <c r="AK438" s="328">
        <v>1135</v>
      </c>
      <c r="AL438" s="328">
        <v>571</v>
      </c>
      <c r="AM438" s="328">
        <v>1746</v>
      </c>
      <c r="AN438" s="328">
        <v>1032</v>
      </c>
      <c r="AO438" s="328">
        <v>39599905</v>
      </c>
    </row>
    <row r="439" spans="1:41">
      <c r="A439" s="167">
        <v>434</v>
      </c>
      <c r="B439" s="79" t="s">
        <v>108</v>
      </c>
      <c r="C439" s="452">
        <v>183034591</v>
      </c>
      <c r="D439" s="457">
        <v>4328</v>
      </c>
      <c r="E439" s="328">
        <v>128</v>
      </c>
      <c r="F439" s="328">
        <v>0</v>
      </c>
      <c r="G439" s="328">
        <v>50</v>
      </c>
      <c r="H439" s="328">
        <v>78</v>
      </c>
      <c r="I439" s="328">
        <v>4188</v>
      </c>
      <c r="J439" s="328">
        <v>0</v>
      </c>
      <c r="K439" s="328">
        <v>4188</v>
      </c>
      <c r="N439" s="399">
        <v>183034591</v>
      </c>
      <c r="O439" s="328">
        <v>0</v>
      </c>
      <c r="P439" s="328">
        <v>50</v>
      </c>
      <c r="Q439" s="328">
        <v>78</v>
      </c>
      <c r="R439" s="328">
        <v>128</v>
      </c>
      <c r="S439" s="328">
        <v>13118772</v>
      </c>
      <c r="T439" s="4">
        <v>5</v>
      </c>
      <c r="V439" s="399">
        <v>183034591</v>
      </c>
      <c r="W439" s="328">
        <v>4188</v>
      </c>
      <c r="X439" s="328">
        <v>102490.39923591213</v>
      </c>
      <c r="Y439" s="328">
        <v>429229792</v>
      </c>
      <c r="AA439" s="399">
        <v>183034591</v>
      </c>
      <c r="AB439" s="328">
        <v>0</v>
      </c>
      <c r="AC439" s="328">
        <v>50</v>
      </c>
      <c r="AD439" s="328">
        <v>78</v>
      </c>
      <c r="AE439" s="328">
        <v>128</v>
      </c>
      <c r="AF439" s="328">
        <v>87</v>
      </c>
      <c r="AG439" s="328">
        <v>4441413</v>
      </c>
      <c r="AI439" s="399">
        <v>183034591</v>
      </c>
      <c r="AJ439" s="328">
        <v>0</v>
      </c>
      <c r="AK439" s="328">
        <v>50</v>
      </c>
      <c r="AL439" s="328">
        <v>78</v>
      </c>
      <c r="AM439" s="328">
        <v>128</v>
      </c>
      <c r="AN439" s="328">
        <v>87</v>
      </c>
      <c r="AO439" s="328">
        <v>8677359</v>
      </c>
    </row>
    <row r="440" spans="1:41">
      <c r="A440" s="167">
        <v>435</v>
      </c>
      <c r="B440" s="79" t="s">
        <v>161</v>
      </c>
      <c r="C440" s="452" t="s">
        <v>608</v>
      </c>
      <c r="D440" s="457">
        <v>7443</v>
      </c>
      <c r="E440" s="328">
        <v>7443</v>
      </c>
      <c r="F440" s="328">
        <v>0</v>
      </c>
      <c r="G440" s="328">
        <v>5443</v>
      </c>
      <c r="H440" s="328">
        <v>2000</v>
      </c>
      <c r="I440" s="328">
        <v>0</v>
      </c>
      <c r="J440" s="328">
        <v>0</v>
      </c>
      <c r="K440" s="328">
        <v>0</v>
      </c>
      <c r="N440" s="399" t="s">
        <v>608</v>
      </c>
      <c r="O440" s="328">
        <v>0</v>
      </c>
      <c r="P440" s="328">
        <v>5443</v>
      </c>
      <c r="Q440" s="328">
        <v>2000</v>
      </c>
      <c r="R440" s="328">
        <v>7443</v>
      </c>
      <c r="S440" s="328">
        <v>143103975</v>
      </c>
      <c r="T440" s="4">
        <v>1.6</v>
      </c>
      <c r="V440" s="399" t="s">
        <v>608</v>
      </c>
      <c r="W440" s="328">
        <v>0</v>
      </c>
      <c r="X440" s="328">
        <v>0</v>
      </c>
      <c r="Y440" s="328">
        <v>0</v>
      </c>
      <c r="AA440" s="399" t="s">
        <v>608</v>
      </c>
      <c r="AB440" s="328">
        <v>0</v>
      </c>
      <c r="AC440" s="328">
        <v>5443</v>
      </c>
      <c r="AD440" s="328">
        <v>2000</v>
      </c>
      <c r="AE440" s="328">
        <v>7443</v>
      </c>
      <c r="AF440" s="328">
        <v>4322</v>
      </c>
      <c r="AG440" s="328">
        <v>48448426</v>
      </c>
      <c r="AI440" s="399" t="s">
        <v>608</v>
      </c>
      <c r="AJ440" s="328">
        <v>0</v>
      </c>
      <c r="AK440" s="328">
        <v>5443</v>
      </c>
      <c r="AL440" s="328">
        <v>2000</v>
      </c>
      <c r="AM440" s="328">
        <v>7443</v>
      </c>
      <c r="AN440" s="328">
        <v>4322</v>
      </c>
      <c r="AO440" s="328">
        <v>94655549</v>
      </c>
    </row>
    <row r="441" spans="1:41">
      <c r="A441" s="167">
        <v>436</v>
      </c>
      <c r="B441" s="79" t="s">
        <v>615</v>
      </c>
      <c r="C441" s="452" t="s">
        <v>609</v>
      </c>
      <c r="D441" s="457">
        <v>1100</v>
      </c>
      <c r="E441" s="328">
        <v>663</v>
      </c>
      <c r="F441" s="328">
        <v>0</v>
      </c>
      <c r="G441" s="328">
        <v>51</v>
      </c>
      <c r="H441" s="328">
        <v>612</v>
      </c>
      <c r="I441" s="328">
        <v>437</v>
      </c>
      <c r="J441" s="328">
        <v>0</v>
      </c>
      <c r="K441" s="328">
        <v>437</v>
      </c>
      <c r="N441" s="399" t="s">
        <v>609</v>
      </c>
      <c r="O441" s="328">
        <v>0</v>
      </c>
      <c r="P441" s="328">
        <v>51</v>
      </c>
      <c r="Q441" s="328">
        <v>612</v>
      </c>
      <c r="R441" s="328">
        <v>663</v>
      </c>
      <c r="S441" s="328">
        <v>57589921</v>
      </c>
      <c r="T441" s="4">
        <v>4.8499999999999996</v>
      </c>
      <c r="V441" s="399" t="s">
        <v>609</v>
      </c>
      <c r="W441" s="328">
        <v>437</v>
      </c>
      <c r="X441" s="328">
        <v>86862.624713958809</v>
      </c>
      <c r="Y441" s="328">
        <v>37958967</v>
      </c>
      <c r="AA441" s="399" t="s">
        <v>609</v>
      </c>
      <c r="AB441" s="328">
        <v>0</v>
      </c>
      <c r="AC441" s="328">
        <v>51</v>
      </c>
      <c r="AD441" s="328">
        <v>612</v>
      </c>
      <c r="AE441" s="328">
        <v>663</v>
      </c>
      <c r="AF441" s="328">
        <v>515</v>
      </c>
      <c r="AG441" s="328">
        <v>19497299</v>
      </c>
      <c r="AI441" s="399" t="s">
        <v>609</v>
      </c>
      <c r="AJ441" s="328">
        <v>0</v>
      </c>
      <c r="AK441" s="328">
        <v>51</v>
      </c>
      <c r="AL441" s="328">
        <v>612</v>
      </c>
      <c r="AM441" s="328">
        <v>663</v>
      </c>
      <c r="AN441" s="328">
        <v>515</v>
      </c>
      <c r="AO441" s="328">
        <v>38092622</v>
      </c>
    </row>
    <row r="442" spans="1:41">
      <c r="A442" s="167">
        <v>437</v>
      </c>
      <c r="B442" s="79" t="s">
        <v>615</v>
      </c>
      <c r="C442" s="452" t="s">
        <v>610</v>
      </c>
      <c r="D442" s="457">
        <v>1306</v>
      </c>
      <c r="E442" s="328">
        <v>135</v>
      </c>
      <c r="F442" s="328">
        <v>0</v>
      </c>
      <c r="G442" s="328">
        <v>32</v>
      </c>
      <c r="H442" s="328">
        <v>103</v>
      </c>
      <c r="I442" s="328">
        <v>1171</v>
      </c>
      <c r="J442" s="328">
        <v>0</v>
      </c>
      <c r="K442" s="328">
        <v>1171</v>
      </c>
      <c r="N442" s="399" t="s">
        <v>610</v>
      </c>
      <c r="O442" s="328">
        <v>0</v>
      </c>
      <c r="P442" s="328">
        <v>32</v>
      </c>
      <c r="Q442" s="328">
        <v>103</v>
      </c>
      <c r="R442" s="328">
        <v>135</v>
      </c>
      <c r="S442" s="328">
        <v>13165607</v>
      </c>
      <c r="T442" s="4">
        <v>4.8499999999999996</v>
      </c>
      <c r="V442" s="399" t="s">
        <v>610</v>
      </c>
      <c r="W442" s="328">
        <v>1171</v>
      </c>
      <c r="X442" s="328">
        <v>97523.01878736123</v>
      </c>
      <c r="Y442" s="328">
        <v>114199455</v>
      </c>
      <c r="AA442" s="399" t="s">
        <v>610</v>
      </c>
      <c r="AB442" s="328">
        <v>0</v>
      </c>
      <c r="AC442" s="328">
        <v>32</v>
      </c>
      <c r="AD442" s="328">
        <v>103</v>
      </c>
      <c r="AE442" s="328">
        <v>135</v>
      </c>
      <c r="AF442" s="328">
        <v>98</v>
      </c>
      <c r="AG442" s="328">
        <v>4457269</v>
      </c>
      <c r="AI442" s="399" t="s">
        <v>610</v>
      </c>
      <c r="AJ442" s="328">
        <v>0</v>
      </c>
      <c r="AK442" s="328">
        <v>32</v>
      </c>
      <c r="AL442" s="328">
        <v>103</v>
      </c>
      <c r="AM442" s="328">
        <v>135</v>
      </c>
      <c r="AN442" s="328">
        <v>98</v>
      </c>
      <c r="AO442" s="328">
        <v>8708338</v>
      </c>
    </row>
    <row r="443" spans="1:41">
      <c r="A443" s="167">
        <v>438</v>
      </c>
      <c r="B443" s="79" t="s">
        <v>101</v>
      </c>
      <c r="C443" s="452">
        <v>100034276</v>
      </c>
      <c r="D443" s="457">
        <v>5936</v>
      </c>
      <c r="E443" s="328">
        <v>1635</v>
      </c>
      <c r="F443" s="328">
        <v>0</v>
      </c>
      <c r="G443" s="328">
        <v>1114</v>
      </c>
      <c r="H443" s="328">
        <v>521</v>
      </c>
      <c r="I443" s="328">
        <v>4298</v>
      </c>
      <c r="J443" s="328">
        <v>0</v>
      </c>
      <c r="K443" s="328">
        <v>4298</v>
      </c>
      <c r="N443" s="399">
        <v>100034276</v>
      </c>
      <c r="O443" s="328">
        <v>0</v>
      </c>
      <c r="P443" s="328">
        <v>1114</v>
      </c>
      <c r="Q443" s="328">
        <v>521</v>
      </c>
      <c r="R443" s="328">
        <v>1635</v>
      </c>
      <c r="S443" s="328">
        <v>64644523</v>
      </c>
      <c r="T443" s="4">
        <v>2.15</v>
      </c>
      <c r="V443" s="399">
        <v>100034276</v>
      </c>
      <c r="W443" s="328">
        <v>4298</v>
      </c>
      <c r="X443" s="328">
        <v>39537.934853420193</v>
      </c>
      <c r="Y443" s="328">
        <v>169934044</v>
      </c>
      <c r="AA443" s="399">
        <v>100034276</v>
      </c>
      <c r="AB443" s="328">
        <v>0</v>
      </c>
      <c r="AC443" s="328">
        <v>1114</v>
      </c>
      <c r="AD443" s="328">
        <v>521</v>
      </c>
      <c r="AE443" s="328">
        <v>1635</v>
      </c>
      <c r="AF443" s="328">
        <v>974</v>
      </c>
      <c r="AG443" s="328">
        <v>21885663</v>
      </c>
      <c r="AI443" s="399">
        <v>100034276</v>
      </c>
      <c r="AJ443" s="328">
        <v>0</v>
      </c>
      <c r="AK443" s="328">
        <v>1114</v>
      </c>
      <c r="AL443" s="328">
        <v>521</v>
      </c>
      <c r="AM443" s="328">
        <v>1635</v>
      </c>
      <c r="AN443" s="328">
        <v>974</v>
      </c>
      <c r="AO443" s="328">
        <v>42758860</v>
      </c>
    </row>
    <row r="444" spans="1:41">
      <c r="A444" s="167">
        <v>439</v>
      </c>
      <c r="B444" s="79" t="s">
        <v>108</v>
      </c>
      <c r="C444" s="452">
        <v>183033602</v>
      </c>
      <c r="D444" s="457">
        <v>12787</v>
      </c>
      <c r="E444" s="328">
        <v>12415</v>
      </c>
      <c r="F444" s="328">
        <v>8425</v>
      </c>
      <c r="G444" s="328">
        <v>2902</v>
      </c>
      <c r="H444" s="328">
        <v>1088</v>
      </c>
      <c r="I444" s="328">
        <v>368</v>
      </c>
      <c r="J444" s="328">
        <v>0</v>
      </c>
      <c r="K444" s="328">
        <v>368</v>
      </c>
      <c r="N444" s="399">
        <v>183033602</v>
      </c>
      <c r="O444" s="328">
        <v>8425</v>
      </c>
      <c r="P444" s="328">
        <v>2902</v>
      </c>
      <c r="Q444" s="328">
        <v>1088</v>
      </c>
      <c r="R444" s="328">
        <v>12415</v>
      </c>
      <c r="S444" s="328">
        <v>202315242</v>
      </c>
      <c r="T444" s="4">
        <v>2.2999999999999998</v>
      </c>
      <c r="V444" s="399">
        <v>183033602</v>
      </c>
      <c r="W444" s="328">
        <v>368</v>
      </c>
      <c r="X444" s="328">
        <v>16296.032608695652</v>
      </c>
      <c r="Y444" s="328">
        <v>5996940</v>
      </c>
      <c r="AA444" s="399">
        <v>183033602</v>
      </c>
      <c r="AB444" s="328">
        <v>8425</v>
      </c>
      <c r="AC444" s="328">
        <v>2902</v>
      </c>
      <c r="AD444" s="328">
        <v>1088</v>
      </c>
      <c r="AE444" s="328">
        <v>12415</v>
      </c>
      <c r="AF444" s="328">
        <v>4006</v>
      </c>
      <c r="AG444" s="328">
        <v>68494638</v>
      </c>
      <c r="AI444" s="399">
        <v>183033602</v>
      </c>
      <c r="AJ444" s="328">
        <v>8425</v>
      </c>
      <c r="AK444" s="328">
        <v>2902</v>
      </c>
      <c r="AL444" s="328">
        <v>1088</v>
      </c>
      <c r="AM444" s="328">
        <v>12415</v>
      </c>
      <c r="AN444" s="328">
        <v>4006</v>
      </c>
      <c r="AO444" s="328">
        <v>133820604</v>
      </c>
    </row>
    <row r="445" spans="1:41">
      <c r="A445" s="167">
        <v>440</v>
      </c>
      <c r="B445" s="79" t="s">
        <v>108</v>
      </c>
      <c r="C445" s="452">
        <v>183034592</v>
      </c>
      <c r="D445" s="457">
        <v>1733</v>
      </c>
      <c r="E445" s="328">
        <v>1579</v>
      </c>
      <c r="F445" s="328">
        <v>0</v>
      </c>
      <c r="G445" s="328">
        <v>292</v>
      </c>
      <c r="H445" s="328">
        <v>1287</v>
      </c>
      <c r="I445" s="328">
        <v>140</v>
      </c>
      <c r="J445" s="328">
        <v>0</v>
      </c>
      <c r="K445" s="328">
        <v>140</v>
      </c>
      <c r="N445" s="399">
        <v>183034592</v>
      </c>
      <c r="O445" s="328">
        <v>0</v>
      </c>
      <c r="P445" s="328">
        <v>292</v>
      </c>
      <c r="Q445" s="328">
        <v>1287</v>
      </c>
      <c r="R445" s="328">
        <v>1579</v>
      </c>
      <c r="S445" s="328">
        <v>137925589</v>
      </c>
      <c r="T445" s="4">
        <v>5.5</v>
      </c>
      <c r="V445" s="399">
        <v>183034592</v>
      </c>
      <c r="W445" s="328">
        <v>140</v>
      </c>
      <c r="X445" s="328">
        <v>87349.957142857136</v>
      </c>
      <c r="Y445" s="328">
        <v>12228994</v>
      </c>
      <c r="AA445" s="399">
        <v>183034592</v>
      </c>
      <c r="AB445" s="328">
        <v>0</v>
      </c>
      <c r="AC445" s="328">
        <v>292</v>
      </c>
      <c r="AD445" s="328">
        <v>1287</v>
      </c>
      <c r="AE445" s="328">
        <v>1579</v>
      </c>
      <c r="AF445" s="328">
        <v>1176</v>
      </c>
      <c r="AG445" s="328">
        <v>46695262</v>
      </c>
      <c r="AI445" s="399">
        <v>183034592</v>
      </c>
      <c r="AJ445" s="328">
        <v>0</v>
      </c>
      <c r="AK445" s="328">
        <v>292</v>
      </c>
      <c r="AL445" s="328">
        <v>1287</v>
      </c>
      <c r="AM445" s="328">
        <v>1579</v>
      </c>
      <c r="AN445" s="328">
        <v>1176</v>
      </c>
      <c r="AO445" s="328">
        <v>91230327</v>
      </c>
    </row>
    <row r="446" spans="1:41">
      <c r="A446" s="167">
        <v>441</v>
      </c>
      <c r="B446" s="79" t="s">
        <v>105</v>
      </c>
      <c r="C446" s="452">
        <v>476154</v>
      </c>
      <c r="D446" s="457">
        <v>6409</v>
      </c>
      <c r="E446" s="328">
        <v>6409</v>
      </c>
      <c r="F446" s="328">
        <v>0</v>
      </c>
      <c r="G446" s="328">
        <v>1293</v>
      </c>
      <c r="H446" s="328">
        <v>5116</v>
      </c>
      <c r="I446" s="328">
        <v>0</v>
      </c>
      <c r="J446" s="328">
        <v>0</v>
      </c>
      <c r="K446" s="328">
        <v>0</v>
      </c>
      <c r="N446" s="399">
        <v>476154</v>
      </c>
      <c r="O446" s="328">
        <v>0</v>
      </c>
      <c r="P446" s="328">
        <v>1293</v>
      </c>
      <c r="Q446" s="328">
        <v>5116</v>
      </c>
      <c r="R446" s="328">
        <v>6409</v>
      </c>
      <c r="S446" s="328">
        <v>186331920</v>
      </c>
      <c r="T446" s="4">
        <v>1.9</v>
      </c>
      <c r="V446" s="399">
        <v>476154</v>
      </c>
      <c r="W446" s="328">
        <v>0</v>
      </c>
      <c r="X446" s="328">
        <v>0</v>
      </c>
      <c r="Y446" s="328">
        <v>0</v>
      </c>
      <c r="AA446" s="399">
        <v>476154</v>
      </c>
      <c r="AB446" s="328">
        <v>0</v>
      </c>
      <c r="AC446" s="328">
        <v>1293</v>
      </c>
      <c r="AD446" s="328">
        <v>5116</v>
      </c>
      <c r="AE446" s="328">
        <v>6409</v>
      </c>
      <c r="AF446" s="328">
        <v>4739</v>
      </c>
      <c r="AG446" s="328">
        <v>63083420</v>
      </c>
      <c r="AI446" s="399">
        <v>476154</v>
      </c>
      <c r="AJ446" s="328">
        <v>0</v>
      </c>
      <c r="AK446" s="328">
        <v>1293</v>
      </c>
      <c r="AL446" s="328">
        <v>5116</v>
      </c>
      <c r="AM446" s="328">
        <v>6409</v>
      </c>
      <c r="AN446" s="328">
        <v>4739</v>
      </c>
      <c r="AO446" s="328">
        <v>123248500</v>
      </c>
    </row>
    <row r="447" spans="1:41">
      <c r="A447" s="167">
        <v>442</v>
      </c>
      <c r="B447" s="79" t="s">
        <v>105</v>
      </c>
      <c r="C447" s="452">
        <v>483830</v>
      </c>
      <c r="D447" s="457">
        <v>13527</v>
      </c>
      <c r="E447" s="328">
        <v>9427</v>
      </c>
      <c r="F447" s="328">
        <v>1876</v>
      </c>
      <c r="G447" s="328">
        <v>4576</v>
      </c>
      <c r="H447" s="328">
        <v>2975</v>
      </c>
      <c r="I447" s="328">
        <v>4100</v>
      </c>
      <c r="J447" s="328">
        <v>0</v>
      </c>
      <c r="K447" s="328">
        <v>4100</v>
      </c>
      <c r="N447" s="399">
        <v>483830</v>
      </c>
      <c r="O447" s="328">
        <v>1876</v>
      </c>
      <c r="P447" s="328">
        <v>4576</v>
      </c>
      <c r="Q447" s="328">
        <v>2975</v>
      </c>
      <c r="R447" s="328">
        <v>9427</v>
      </c>
      <c r="S447" s="328">
        <v>217566302</v>
      </c>
      <c r="T447" s="4">
        <v>1.65</v>
      </c>
      <c r="V447" s="399">
        <v>483830</v>
      </c>
      <c r="W447" s="328">
        <v>4100</v>
      </c>
      <c r="X447" s="328">
        <v>23079.060243902441</v>
      </c>
      <c r="Y447" s="328">
        <v>94624147</v>
      </c>
      <c r="AA447" s="399">
        <v>483830</v>
      </c>
      <c r="AB447" s="328">
        <v>1876</v>
      </c>
      <c r="AC447" s="328">
        <v>4576</v>
      </c>
      <c r="AD447" s="328">
        <v>2975</v>
      </c>
      <c r="AE447" s="328">
        <v>9427</v>
      </c>
      <c r="AF447" s="328">
        <v>5043</v>
      </c>
      <c r="AG447" s="328">
        <v>73657945</v>
      </c>
      <c r="AI447" s="399">
        <v>483830</v>
      </c>
      <c r="AJ447" s="328">
        <v>1876</v>
      </c>
      <c r="AK447" s="328">
        <v>4576</v>
      </c>
      <c r="AL447" s="328">
        <v>2975</v>
      </c>
      <c r="AM447" s="328">
        <v>9427</v>
      </c>
      <c r="AN447" s="328">
        <v>5043</v>
      </c>
      <c r="AO447" s="328">
        <v>143908357</v>
      </c>
    </row>
    <row r="474" spans="8:8">
      <c r="H474" s="328" t="s">
        <v>661</v>
      </c>
    </row>
  </sheetData>
  <autoFilter ref="A6:AO447" xr:uid="{00000000-0009-0000-0000-000003000000}"/>
  <mergeCells count="5">
    <mergeCell ref="C5:K5"/>
    <mergeCell ref="N5:S5"/>
    <mergeCell ref="V5:Y5"/>
    <mergeCell ref="AA5:AG5"/>
    <mergeCell ref="AI5:AO5"/>
  </mergeCells>
  <conditionalFormatting sqref="X7:X94 X96:X393 B7:C447">
    <cfRule type="cellIs" dxfId="86" priority="65" stopIfTrue="1" operator="lessThan">
      <formula>0</formula>
    </cfRule>
  </conditionalFormatting>
  <conditionalFormatting sqref="X403">
    <cfRule type="cellIs" dxfId="85" priority="64" stopIfTrue="1" operator="lessThan">
      <formula>0</formula>
    </cfRule>
  </conditionalFormatting>
  <conditionalFormatting sqref="W95:Y95">
    <cfRule type="cellIs" dxfId="84" priority="63" stopIfTrue="1" operator="lessThan">
      <formula>0</formula>
    </cfRule>
  </conditionalFormatting>
  <conditionalFormatting sqref="X401">
    <cfRule type="cellIs" dxfId="83" priority="62" stopIfTrue="1" operator="lessThan">
      <formula>0</formula>
    </cfRule>
  </conditionalFormatting>
  <conditionalFormatting sqref="X404">
    <cfRule type="cellIs" dxfId="82" priority="61" stopIfTrue="1" operator="lessThan">
      <formula>0</formula>
    </cfRule>
  </conditionalFormatting>
  <conditionalFormatting sqref="X406">
    <cfRule type="cellIs" dxfId="81" priority="60" stopIfTrue="1" operator="lessThan">
      <formula>0</formula>
    </cfRule>
  </conditionalFormatting>
  <conditionalFormatting sqref="X407">
    <cfRule type="cellIs" dxfId="80" priority="59" stopIfTrue="1" operator="lessThan">
      <formula>0</formula>
    </cfRule>
  </conditionalFormatting>
  <conditionalFormatting sqref="C332:C336">
    <cfRule type="cellIs" dxfId="79" priority="50" stopIfTrue="1" operator="lessThan">
      <formula>0</formula>
    </cfRule>
  </conditionalFormatting>
  <conditionalFormatting sqref="C11">
    <cfRule type="cellIs" dxfId="78" priority="48" stopIfTrue="1" operator="lessThan">
      <formula>0</formula>
    </cfRule>
  </conditionalFormatting>
  <conditionalFormatting sqref="C11">
    <cfRule type="duplicateValues" dxfId="77" priority="47"/>
  </conditionalFormatting>
  <conditionalFormatting sqref="C11">
    <cfRule type="duplicateValues" dxfId="76" priority="49"/>
  </conditionalFormatting>
  <conditionalFormatting sqref="C12">
    <cfRule type="cellIs" dxfId="75" priority="42" stopIfTrue="1" operator="lessThan">
      <formula>0</formula>
    </cfRule>
  </conditionalFormatting>
  <conditionalFormatting sqref="C12">
    <cfRule type="duplicateValues" dxfId="74" priority="41"/>
  </conditionalFormatting>
  <conditionalFormatting sqref="C12">
    <cfRule type="duplicateValues" dxfId="73" priority="43"/>
  </conditionalFormatting>
  <conditionalFormatting sqref="C376">
    <cfRule type="duplicateValues" dxfId="72" priority="53"/>
  </conditionalFormatting>
  <conditionalFormatting sqref="C365">
    <cfRule type="duplicateValues" dxfId="71" priority="38"/>
  </conditionalFormatting>
  <conditionalFormatting sqref="C66">
    <cfRule type="duplicateValues" dxfId="70" priority="37"/>
  </conditionalFormatting>
  <conditionalFormatting sqref="C377:C442">
    <cfRule type="duplicateValues" dxfId="69" priority="2280"/>
  </conditionalFormatting>
  <conditionalFormatting sqref="C443:C447">
    <cfRule type="duplicateValues" dxfId="68" priority="2554"/>
  </conditionalFormatting>
  <conditionalFormatting sqref="C443:C447">
    <cfRule type="duplicateValues" dxfId="67" priority="2555"/>
    <cfRule type="duplicateValues" dxfId="66" priority="2556"/>
  </conditionalFormatting>
  <conditionalFormatting sqref="C7:C442">
    <cfRule type="duplicateValues" dxfId="65" priority="2711"/>
    <cfRule type="duplicateValues" dxfId="64" priority="2712"/>
    <cfRule type="duplicateValues" dxfId="63" priority="2713"/>
  </conditionalFormatting>
  <conditionalFormatting sqref="C7:C442">
    <cfRule type="duplicateValues" dxfId="62" priority="2717"/>
    <cfRule type="duplicateValues" dxfId="61" priority="2718"/>
  </conditionalFormatting>
  <conditionalFormatting sqref="C7:C442">
    <cfRule type="duplicateValues" dxfId="60" priority="2721"/>
  </conditionalFormatting>
  <conditionalFormatting sqref="C7:C447">
    <cfRule type="duplicateValues" dxfId="59" priority="2723"/>
    <cfRule type="duplicateValues" dxfId="58" priority="2724"/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546B-739A-4F27-B8F2-313582455897}">
  <dimension ref="A2:G316"/>
  <sheetViews>
    <sheetView topLeftCell="A157" workbookViewId="0">
      <selection activeCell="H168" sqref="H168"/>
    </sheetView>
  </sheetViews>
  <sheetFormatPr defaultRowHeight="12.75"/>
  <cols>
    <col min="1" max="1" width="14.42578125" style="454" bestFit="1" customWidth="1"/>
    <col min="2" max="2" width="14.42578125" style="454" customWidth="1"/>
    <col min="3" max="3" width="17" style="456" customWidth="1"/>
    <col min="4" max="4" width="15.85546875" style="455" customWidth="1"/>
    <col min="5" max="5" width="16.140625" style="455" customWidth="1"/>
    <col min="6" max="6" width="15.28515625" style="453" customWidth="1"/>
    <col min="7" max="7" width="15.85546875" style="453" customWidth="1"/>
    <col min="8" max="16384" width="9.140625" style="453"/>
  </cols>
  <sheetData>
    <row r="2" spans="1:6">
      <c r="B2" s="456">
        <f>SUBTOTAL(9,B4:B316)</f>
        <v>2216793</v>
      </c>
      <c r="C2" s="456">
        <f>SUBTOTAL(9,C4:C317)</f>
        <v>2668730</v>
      </c>
      <c r="D2" s="456">
        <f>SUBTOTAL(9,D4:D316)</f>
        <v>451937</v>
      </c>
      <c r="E2" s="456">
        <f>SUBTOTAL(9,E4:E316)</f>
        <v>452384</v>
      </c>
      <c r="F2" s="453">
        <f>+E2-D2</f>
        <v>447</v>
      </c>
    </row>
    <row r="3" spans="1:6" s="473" customFormat="1">
      <c r="A3" s="469" t="s">
        <v>103</v>
      </c>
      <c r="B3" s="469" t="s">
        <v>647</v>
      </c>
      <c r="C3" s="470" t="s">
        <v>646</v>
      </c>
      <c r="D3" s="471" t="s">
        <v>634</v>
      </c>
      <c r="E3" s="471" t="s">
        <v>648</v>
      </c>
      <c r="F3" s="472" t="s">
        <v>649</v>
      </c>
    </row>
    <row r="4" spans="1:6">
      <c r="A4" s="468">
        <v>69717</v>
      </c>
      <c r="B4" s="466">
        <v>12331</v>
      </c>
      <c r="C4" s="466">
        <v>12331</v>
      </c>
      <c r="D4" s="467">
        <f>+C4-B4</f>
        <v>0</v>
      </c>
      <c r="E4" s="467">
        <v>0</v>
      </c>
      <c r="F4" s="467">
        <f>+E4-D4</f>
        <v>0</v>
      </c>
    </row>
    <row r="5" spans="1:6">
      <c r="A5" s="468">
        <v>74211</v>
      </c>
      <c r="B5" s="466">
        <v>3960</v>
      </c>
      <c r="C5" s="466">
        <v>3960</v>
      </c>
      <c r="D5" s="467">
        <f t="shared" ref="D5:D17" si="0">+C5-B5</f>
        <v>0</v>
      </c>
      <c r="E5" s="467">
        <v>0</v>
      </c>
      <c r="F5" s="467">
        <f t="shared" ref="F5:F68" si="1">+E5-D5</f>
        <v>0</v>
      </c>
    </row>
    <row r="6" spans="1:6">
      <c r="A6" s="468">
        <v>2072</v>
      </c>
      <c r="B6" s="466">
        <v>142225</v>
      </c>
      <c r="C6" s="466">
        <v>159688</v>
      </c>
      <c r="D6" s="467">
        <f t="shared" si="0"/>
        <v>17463</v>
      </c>
      <c r="E6" s="467">
        <v>17463</v>
      </c>
      <c r="F6" s="467">
        <f t="shared" si="1"/>
        <v>0</v>
      </c>
    </row>
    <row r="7" spans="1:6">
      <c r="A7" s="468" t="s">
        <v>186</v>
      </c>
      <c r="B7" s="466">
        <v>89849</v>
      </c>
      <c r="C7" s="466">
        <v>89849</v>
      </c>
      <c r="D7" s="467">
        <f t="shared" si="0"/>
        <v>0</v>
      </c>
      <c r="E7" s="467">
        <v>0</v>
      </c>
      <c r="F7" s="467">
        <f t="shared" si="1"/>
        <v>0</v>
      </c>
    </row>
    <row r="8" spans="1:6">
      <c r="A8" s="468" t="s">
        <v>187</v>
      </c>
      <c r="B8" s="466">
        <v>45884</v>
      </c>
      <c r="C8" s="466">
        <f>+B8+4453</f>
        <v>50337</v>
      </c>
      <c r="D8" s="467">
        <f t="shared" si="0"/>
        <v>4453</v>
      </c>
      <c r="E8" s="467">
        <v>4453</v>
      </c>
      <c r="F8" s="467">
        <f t="shared" si="1"/>
        <v>0</v>
      </c>
    </row>
    <row r="9" spans="1:6">
      <c r="A9" s="468">
        <v>100004407</v>
      </c>
      <c r="B9" s="466">
        <v>14942</v>
      </c>
      <c r="C9" s="466">
        <v>14942</v>
      </c>
      <c r="D9" s="467">
        <f t="shared" si="0"/>
        <v>0</v>
      </c>
      <c r="E9" s="467">
        <v>0</v>
      </c>
      <c r="F9" s="467">
        <f t="shared" si="1"/>
        <v>0</v>
      </c>
    </row>
    <row r="10" spans="1:6">
      <c r="A10" s="468">
        <v>68416</v>
      </c>
      <c r="B10" s="466">
        <v>2385</v>
      </c>
      <c r="C10" s="466">
        <f>+B10+32</f>
        <v>2417</v>
      </c>
      <c r="D10" s="467">
        <f t="shared" si="0"/>
        <v>32</v>
      </c>
      <c r="E10" s="467">
        <v>32</v>
      </c>
      <c r="F10" s="467">
        <f t="shared" si="1"/>
        <v>0</v>
      </c>
    </row>
    <row r="11" spans="1:6">
      <c r="A11" s="468" t="s">
        <v>190</v>
      </c>
      <c r="B11" s="466">
        <v>7574</v>
      </c>
      <c r="C11" s="466">
        <v>7574</v>
      </c>
      <c r="D11" s="467">
        <f t="shared" si="0"/>
        <v>0</v>
      </c>
      <c r="E11" s="467">
        <v>0</v>
      </c>
      <c r="F11" s="467">
        <f t="shared" si="1"/>
        <v>0</v>
      </c>
    </row>
    <row r="12" spans="1:6">
      <c r="A12" s="468">
        <v>100010579</v>
      </c>
      <c r="B12" s="466">
        <v>13189</v>
      </c>
      <c r="C12" s="466">
        <f>+B12+859</f>
        <v>14048</v>
      </c>
      <c r="D12" s="467">
        <f t="shared" si="0"/>
        <v>859</v>
      </c>
      <c r="E12" s="467">
        <v>859</v>
      </c>
      <c r="F12" s="467">
        <f t="shared" si="1"/>
        <v>0</v>
      </c>
    </row>
    <row r="13" spans="1:6">
      <c r="A13" s="468">
        <v>100003227</v>
      </c>
      <c r="B13" s="466">
        <v>10247</v>
      </c>
      <c r="C13" s="466">
        <v>10247</v>
      </c>
      <c r="D13" s="467">
        <f t="shared" si="0"/>
        <v>0</v>
      </c>
      <c r="E13" s="467">
        <v>0</v>
      </c>
      <c r="F13" s="467">
        <f t="shared" si="1"/>
        <v>0</v>
      </c>
    </row>
    <row r="14" spans="1:6">
      <c r="A14" s="468">
        <v>100005705</v>
      </c>
      <c r="B14" s="466">
        <v>5880</v>
      </c>
      <c r="C14" s="466">
        <v>5880</v>
      </c>
      <c r="D14" s="467">
        <f t="shared" si="0"/>
        <v>0</v>
      </c>
      <c r="E14" s="467">
        <v>0</v>
      </c>
      <c r="F14" s="467">
        <f t="shared" si="1"/>
        <v>0</v>
      </c>
    </row>
    <row r="15" spans="1:6">
      <c r="A15" s="468">
        <v>100008197</v>
      </c>
      <c r="B15" s="466">
        <v>9784</v>
      </c>
      <c r="C15" s="466">
        <v>9784</v>
      </c>
      <c r="D15" s="467">
        <f t="shared" si="0"/>
        <v>0</v>
      </c>
      <c r="E15" s="467">
        <v>0</v>
      </c>
      <c r="F15" s="467">
        <f t="shared" si="1"/>
        <v>0</v>
      </c>
    </row>
    <row r="16" spans="1:6">
      <c r="A16" s="468">
        <v>2335</v>
      </c>
      <c r="B16" s="466">
        <v>23823</v>
      </c>
      <c r="C16" s="466">
        <v>23823</v>
      </c>
      <c r="D16" s="467">
        <f t="shared" si="0"/>
        <v>0</v>
      </c>
      <c r="E16" s="467">
        <v>0</v>
      </c>
      <c r="F16" s="467">
        <f t="shared" si="1"/>
        <v>0</v>
      </c>
    </row>
    <row r="17" spans="1:6">
      <c r="A17" s="468">
        <v>7220</v>
      </c>
      <c r="B17" s="466">
        <v>5987</v>
      </c>
      <c r="C17" s="466">
        <v>5987</v>
      </c>
      <c r="D17" s="467">
        <f t="shared" si="0"/>
        <v>0</v>
      </c>
      <c r="E17" s="467">
        <v>0</v>
      </c>
      <c r="F17" s="467">
        <f t="shared" si="1"/>
        <v>0</v>
      </c>
    </row>
    <row r="18" spans="1:6">
      <c r="A18" s="468" t="s">
        <v>169</v>
      </c>
      <c r="B18" s="466">
        <v>11576</v>
      </c>
      <c r="C18" s="466">
        <f>21642+6</f>
        <v>21648</v>
      </c>
      <c r="D18" s="467">
        <f>+C18-B18</f>
        <v>10072</v>
      </c>
      <c r="E18" s="467">
        <v>10072</v>
      </c>
      <c r="F18" s="467">
        <f t="shared" si="1"/>
        <v>0</v>
      </c>
    </row>
    <row r="19" spans="1:6">
      <c r="A19" s="468">
        <v>100003506</v>
      </c>
      <c r="B19" s="466">
        <v>0</v>
      </c>
      <c r="C19" s="466">
        <v>3080</v>
      </c>
      <c r="D19" s="467">
        <f t="shared" ref="D19:D25" si="2">+C19-B19</f>
        <v>3080</v>
      </c>
      <c r="E19" s="467">
        <v>3080</v>
      </c>
      <c r="F19" s="467">
        <f t="shared" si="1"/>
        <v>0</v>
      </c>
    </row>
    <row r="20" spans="1:6">
      <c r="A20" s="468">
        <v>100009597</v>
      </c>
      <c r="B20" s="466">
        <v>17282</v>
      </c>
      <c r="C20" s="466">
        <v>17282</v>
      </c>
      <c r="D20" s="467">
        <f t="shared" si="2"/>
        <v>0</v>
      </c>
      <c r="E20" s="467">
        <v>0</v>
      </c>
      <c r="F20" s="467">
        <f t="shared" si="1"/>
        <v>0</v>
      </c>
    </row>
    <row r="21" spans="1:6">
      <c r="A21" s="468">
        <v>74401</v>
      </c>
      <c r="B21" s="466">
        <v>11001</v>
      </c>
      <c r="C21" s="466">
        <v>11006</v>
      </c>
      <c r="D21" s="467">
        <f t="shared" si="2"/>
        <v>5</v>
      </c>
      <c r="E21" s="467">
        <v>5</v>
      </c>
      <c r="F21" s="467">
        <f t="shared" si="1"/>
        <v>0</v>
      </c>
    </row>
    <row r="22" spans="1:6">
      <c r="A22" s="468">
        <v>100007764</v>
      </c>
      <c r="B22" s="466">
        <v>57594</v>
      </c>
      <c r="C22" s="466">
        <v>57594</v>
      </c>
      <c r="D22" s="467">
        <f t="shared" si="2"/>
        <v>0</v>
      </c>
      <c r="E22" s="467">
        <v>0</v>
      </c>
      <c r="F22" s="467">
        <f t="shared" si="1"/>
        <v>0</v>
      </c>
    </row>
    <row r="23" spans="1:6">
      <c r="A23" s="468" t="s">
        <v>216</v>
      </c>
      <c r="B23" s="466">
        <v>136100</v>
      </c>
      <c r="C23" s="466">
        <f>+B23+1036</f>
        <v>137136</v>
      </c>
      <c r="D23" s="467">
        <f t="shared" si="2"/>
        <v>1036</v>
      </c>
      <c r="E23" s="467">
        <v>1036</v>
      </c>
      <c r="F23" s="467">
        <f t="shared" si="1"/>
        <v>0</v>
      </c>
    </row>
    <row r="24" spans="1:6">
      <c r="A24" s="468">
        <v>100003599</v>
      </c>
      <c r="B24" s="466">
        <v>0</v>
      </c>
      <c r="C24" s="466">
        <v>4614</v>
      </c>
      <c r="D24" s="467">
        <f t="shared" si="2"/>
        <v>4614</v>
      </c>
      <c r="E24" s="467">
        <v>4614</v>
      </c>
      <c r="F24" s="467">
        <f t="shared" si="1"/>
        <v>0</v>
      </c>
    </row>
    <row r="25" spans="1:6">
      <c r="A25" s="468">
        <v>69216</v>
      </c>
      <c r="B25" s="466">
        <v>160</v>
      </c>
      <c r="C25" s="466">
        <v>160</v>
      </c>
      <c r="D25" s="467">
        <f t="shared" si="2"/>
        <v>0</v>
      </c>
      <c r="E25" s="467">
        <v>0</v>
      </c>
      <c r="F25" s="467">
        <f t="shared" si="1"/>
        <v>0</v>
      </c>
    </row>
    <row r="26" spans="1:6">
      <c r="A26" s="468">
        <v>100008704</v>
      </c>
      <c r="B26" s="466">
        <v>8432</v>
      </c>
      <c r="C26" s="466">
        <v>8432</v>
      </c>
      <c r="D26" s="467">
        <f t="shared" ref="D26:D32" si="3">+C26-B26</f>
        <v>0</v>
      </c>
      <c r="E26" s="467">
        <v>0</v>
      </c>
      <c r="F26" s="467">
        <f t="shared" si="1"/>
        <v>0</v>
      </c>
    </row>
    <row r="27" spans="1:6">
      <c r="A27" s="468">
        <v>100008709</v>
      </c>
      <c r="B27" s="466">
        <v>0</v>
      </c>
      <c r="C27" s="466">
        <v>4892</v>
      </c>
      <c r="D27" s="467">
        <f t="shared" si="3"/>
        <v>4892</v>
      </c>
      <c r="E27" s="467">
        <v>4892</v>
      </c>
      <c r="F27" s="467">
        <f t="shared" si="1"/>
        <v>0</v>
      </c>
    </row>
    <row r="28" spans="1:6">
      <c r="A28" s="468">
        <v>100008749</v>
      </c>
      <c r="B28" s="466">
        <v>0</v>
      </c>
      <c r="C28" s="466">
        <v>5640</v>
      </c>
      <c r="D28" s="467">
        <f t="shared" si="3"/>
        <v>5640</v>
      </c>
      <c r="E28" s="467">
        <v>5640</v>
      </c>
      <c r="F28" s="467">
        <f t="shared" si="1"/>
        <v>0</v>
      </c>
    </row>
    <row r="29" spans="1:6">
      <c r="A29" s="468">
        <v>100009618</v>
      </c>
      <c r="B29" s="466">
        <v>0</v>
      </c>
      <c r="C29" s="466">
        <v>1578</v>
      </c>
      <c r="D29" s="467">
        <f t="shared" si="3"/>
        <v>1578</v>
      </c>
      <c r="E29" s="467">
        <v>1578</v>
      </c>
      <c r="F29" s="467">
        <f t="shared" si="1"/>
        <v>0</v>
      </c>
    </row>
    <row r="30" spans="1:6">
      <c r="A30" s="468">
        <v>100016320</v>
      </c>
      <c r="B30" s="466">
        <v>11804</v>
      </c>
      <c r="C30" s="466">
        <v>11804</v>
      </c>
      <c r="D30" s="467">
        <f t="shared" si="3"/>
        <v>0</v>
      </c>
      <c r="E30" s="467">
        <v>0</v>
      </c>
      <c r="F30" s="467">
        <f t="shared" si="1"/>
        <v>0</v>
      </c>
    </row>
    <row r="31" spans="1:6">
      <c r="A31" s="468">
        <v>100017250</v>
      </c>
      <c r="B31" s="466">
        <v>0</v>
      </c>
      <c r="C31" s="466">
        <v>1043</v>
      </c>
      <c r="D31" s="467">
        <f t="shared" si="3"/>
        <v>1043</v>
      </c>
      <c r="E31" s="467">
        <v>1043</v>
      </c>
      <c r="F31" s="467">
        <f t="shared" si="1"/>
        <v>0</v>
      </c>
    </row>
    <row r="32" spans="1:6">
      <c r="A32" s="468" t="s">
        <v>180</v>
      </c>
      <c r="B32" s="466">
        <v>5784</v>
      </c>
      <c r="C32" s="466">
        <v>5784</v>
      </c>
      <c r="D32" s="467">
        <f t="shared" si="3"/>
        <v>0</v>
      </c>
      <c r="E32" s="467">
        <v>0</v>
      </c>
      <c r="F32" s="467">
        <f t="shared" si="1"/>
        <v>0</v>
      </c>
    </row>
    <row r="33" spans="1:6">
      <c r="A33" s="468" t="s">
        <v>181</v>
      </c>
      <c r="B33" s="466">
        <v>18913</v>
      </c>
      <c r="C33" s="466">
        <v>18913</v>
      </c>
      <c r="D33" s="467">
        <f t="shared" ref="D33:D76" si="4">+C33-B33</f>
        <v>0</v>
      </c>
      <c r="E33" s="467">
        <v>0</v>
      </c>
      <c r="F33" s="467">
        <f t="shared" si="1"/>
        <v>0</v>
      </c>
    </row>
    <row r="34" spans="1:6">
      <c r="A34" s="468" t="s">
        <v>182</v>
      </c>
      <c r="B34" s="466">
        <v>5208</v>
      </c>
      <c r="C34" s="466">
        <v>5208</v>
      </c>
      <c r="D34" s="467">
        <f t="shared" si="4"/>
        <v>0</v>
      </c>
      <c r="E34" s="467">
        <v>0</v>
      </c>
      <c r="F34" s="467">
        <f t="shared" si="1"/>
        <v>0</v>
      </c>
    </row>
    <row r="35" spans="1:6">
      <c r="A35" s="468">
        <v>466852</v>
      </c>
      <c r="B35" s="466">
        <v>9244</v>
      </c>
      <c r="C35" s="466">
        <v>9244</v>
      </c>
      <c r="D35" s="467">
        <f t="shared" si="4"/>
        <v>0</v>
      </c>
      <c r="E35" s="467">
        <v>0</v>
      </c>
      <c r="F35" s="467">
        <f t="shared" si="1"/>
        <v>0</v>
      </c>
    </row>
    <row r="36" spans="1:6">
      <c r="A36" s="468">
        <v>100008598</v>
      </c>
      <c r="B36" s="466">
        <v>4348</v>
      </c>
      <c r="C36" s="466">
        <v>4348</v>
      </c>
      <c r="D36" s="467">
        <f t="shared" si="4"/>
        <v>0</v>
      </c>
      <c r="E36" s="467">
        <v>0</v>
      </c>
      <c r="F36" s="467">
        <f t="shared" si="1"/>
        <v>0</v>
      </c>
    </row>
    <row r="37" spans="1:6">
      <c r="A37" s="468">
        <v>100008605</v>
      </c>
      <c r="B37" s="466">
        <v>6330</v>
      </c>
      <c r="C37" s="466">
        <v>6330</v>
      </c>
      <c r="D37" s="467">
        <f t="shared" si="4"/>
        <v>0</v>
      </c>
      <c r="E37" s="467">
        <v>0</v>
      </c>
      <c r="F37" s="467">
        <f t="shared" si="1"/>
        <v>0</v>
      </c>
    </row>
    <row r="38" spans="1:6">
      <c r="A38" s="468">
        <v>100008660</v>
      </c>
      <c r="B38" s="466">
        <v>4774</v>
      </c>
      <c r="C38" s="466">
        <v>4774</v>
      </c>
      <c r="D38" s="467">
        <f t="shared" si="4"/>
        <v>0</v>
      </c>
      <c r="E38" s="467">
        <v>0</v>
      </c>
      <c r="F38" s="467">
        <f t="shared" si="1"/>
        <v>0</v>
      </c>
    </row>
    <row r="39" spans="1:6">
      <c r="A39" s="468">
        <v>100008746</v>
      </c>
      <c r="B39" s="466">
        <v>773</v>
      </c>
      <c r="C39" s="466">
        <v>773</v>
      </c>
      <c r="D39" s="467">
        <f t="shared" si="4"/>
        <v>0</v>
      </c>
      <c r="E39" s="467">
        <v>0</v>
      </c>
      <c r="F39" s="467">
        <f t="shared" si="1"/>
        <v>0</v>
      </c>
    </row>
    <row r="40" spans="1:6">
      <c r="A40" s="468">
        <v>100009622</v>
      </c>
      <c r="B40" s="466">
        <v>2284</v>
      </c>
      <c r="C40" s="466">
        <v>2284</v>
      </c>
      <c r="D40" s="467">
        <f t="shared" si="4"/>
        <v>0</v>
      </c>
      <c r="E40" s="467">
        <v>0</v>
      </c>
      <c r="F40" s="467">
        <f t="shared" si="1"/>
        <v>0</v>
      </c>
    </row>
    <row r="41" spans="1:6">
      <c r="A41" s="468">
        <v>100015352</v>
      </c>
      <c r="B41" s="466">
        <v>9258</v>
      </c>
      <c r="C41" s="466">
        <v>9258</v>
      </c>
      <c r="D41" s="467">
        <f t="shared" si="4"/>
        <v>0</v>
      </c>
      <c r="E41" s="467">
        <v>0</v>
      </c>
      <c r="F41" s="467">
        <f t="shared" si="1"/>
        <v>0</v>
      </c>
    </row>
    <row r="42" spans="1:6">
      <c r="A42" s="468">
        <v>100015355</v>
      </c>
      <c r="B42" s="466">
        <v>4812</v>
      </c>
      <c r="C42" s="466">
        <v>4812</v>
      </c>
      <c r="D42" s="467">
        <f t="shared" si="4"/>
        <v>0</v>
      </c>
      <c r="E42" s="467">
        <v>0</v>
      </c>
      <c r="F42" s="467">
        <f t="shared" si="1"/>
        <v>0</v>
      </c>
    </row>
    <row r="43" spans="1:6">
      <c r="A43" s="468">
        <v>100015669</v>
      </c>
      <c r="B43" s="466">
        <v>1170</v>
      </c>
      <c r="C43" s="466">
        <f>+B43+6295</f>
        <v>7465</v>
      </c>
      <c r="D43" s="467">
        <f t="shared" si="4"/>
        <v>6295</v>
      </c>
      <c r="E43" s="467">
        <v>6295</v>
      </c>
      <c r="F43" s="467">
        <f t="shared" si="1"/>
        <v>0</v>
      </c>
    </row>
    <row r="44" spans="1:6">
      <c r="A44" s="468">
        <v>100018310</v>
      </c>
      <c r="B44" s="466">
        <v>7710</v>
      </c>
      <c r="C44" s="466">
        <v>7710</v>
      </c>
      <c r="D44" s="467">
        <f t="shared" si="4"/>
        <v>0</v>
      </c>
      <c r="E44" s="467">
        <v>0</v>
      </c>
      <c r="F44" s="467">
        <f t="shared" si="1"/>
        <v>0</v>
      </c>
    </row>
    <row r="45" spans="1:6">
      <c r="A45" s="468">
        <v>100021064</v>
      </c>
      <c r="B45" s="466">
        <v>3723</v>
      </c>
      <c r="C45" s="466">
        <v>3723</v>
      </c>
      <c r="D45" s="467">
        <f t="shared" si="4"/>
        <v>0</v>
      </c>
      <c r="E45" s="467">
        <v>0</v>
      </c>
      <c r="F45" s="467">
        <f t="shared" si="1"/>
        <v>0</v>
      </c>
    </row>
    <row r="46" spans="1:6">
      <c r="A46" s="468">
        <v>73301</v>
      </c>
      <c r="B46" s="466">
        <v>17543</v>
      </c>
      <c r="C46" s="466">
        <f>+B46+3765</f>
        <v>21308</v>
      </c>
      <c r="D46" s="467">
        <f t="shared" si="4"/>
        <v>3765</v>
      </c>
      <c r="E46" s="467">
        <v>3765</v>
      </c>
      <c r="F46" s="467">
        <f t="shared" si="1"/>
        <v>0</v>
      </c>
    </row>
    <row r="47" spans="1:6">
      <c r="A47" s="468">
        <v>74902</v>
      </c>
      <c r="B47" s="466">
        <v>11031</v>
      </c>
      <c r="C47" s="466">
        <v>11031</v>
      </c>
      <c r="D47" s="467">
        <f t="shared" si="4"/>
        <v>0</v>
      </c>
      <c r="E47" s="467">
        <v>0</v>
      </c>
      <c r="F47" s="467">
        <f t="shared" si="1"/>
        <v>0</v>
      </c>
    </row>
    <row r="48" spans="1:6">
      <c r="A48" s="468">
        <v>75303</v>
      </c>
      <c r="B48" s="466">
        <v>9025</v>
      </c>
      <c r="C48" s="466">
        <v>9025</v>
      </c>
      <c r="D48" s="467">
        <f t="shared" si="4"/>
        <v>0</v>
      </c>
      <c r="E48" s="467">
        <v>0</v>
      </c>
      <c r="F48" s="467">
        <f t="shared" si="1"/>
        <v>0</v>
      </c>
    </row>
    <row r="49" spans="1:6">
      <c r="A49" s="468">
        <v>457802</v>
      </c>
      <c r="B49" s="466">
        <v>32384</v>
      </c>
      <c r="C49" s="466">
        <v>32384</v>
      </c>
      <c r="D49" s="467">
        <f t="shared" si="4"/>
        <v>0</v>
      </c>
      <c r="E49" s="467">
        <v>0</v>
      </c>
      <c r="F49" s="467">
        <f t="shared" si="1"/>
        <v>0</v>
      </c>
    </row>
    <row r="50" spans="1:6">
      <c r="A50" s="468">
        <v>457815</v>
      </c>
      <c r="B50" s="466">
        <v>3519</v>
      </c>
      <c r="C50" s="466">
        <v>3519</v>
      </c>
      <c r="D50" s="467">
        <f t="shared" si="4"/>
        <v>0</v>
      </c>
      <c r="E50" s="467">
        <v>0</v>
      </c>
      <c r="F50" s="467">
        <f t="shared" si="1"/>
        <v>0</v>
      </c>
    </row>
    <row r="51" spans="1:6">
      <c r="A51" s="468">
        <v>460588</v>
      </c>
      <c r="B51" s="466">
        <v>6820</v>
      </c>
      <c r="C51" s="466">
        <v>6820</v>
      </c>
      <c r="D51" s="467">
        <f t="shared" si="4"/>
        <v>0</v>
      </c>
      <c r="E51" s="467">
        <v>0</v>
      </c>
      <c r="F51" s="467">
        <f t="shared" si="1"/>
        <v>0</v>
      </c>
    </row>
    <row r="52" spans="1:6">
      <c r="A52" s="468">
        <v>460591</v>
      </c>
      <c r="B52" s="466">
        <v>7440</v>
      </c>
      <c r="C52" s="466">
        <v>7440</v>
      </c>
      <c r="D52" s="467">
        <f t="shared" si="4"/>
        <v>0</v>
      </c>
      <c r="E52" s="467">
        <v>0</v>
      </c>
      <c r="F52" s="467">
        <f t="shared" si="1"/>
        <v>0</v>
      </c>
    </row>
    <row r="53" spans="1:6">
      <c r="A53" s="468">
        <v>461609</v>
      </c>
      <c r="B53" s="466">
        <v>18336</v>
      </c>
      <c r="C53" s="466">
        <v>18336</v>
      </c>
      <c r="D53" s="467">
        <f t="shared" si="4"/>
        <v>0</v>
      </c>
      <c r="E53" s="467">
        <v>0</v>
      </c>
      <c r="F53" s="467">
        <f t="shared" si="1"/>
        <v>0</v>
      </c>
    </row>
    <row r="54" spans="1:6">
      <c r="A54" s="468">
        <v>464818</v>
      </c>
      <c r="B54" s="466">
        <v>16492</v>
      </c>
      <c r="C54" s="466">
        <v>16492</v>
      </c>
      <c r="D54" s="467">
        <f t="shared" si="4"/>
        <v>0</v>
      </c>
      <c r="E54" s="467">
        <v>0</v>
      </c>
      <c r="F54" s="467">
        <f t="shared" si="1"/>
        <v>0</v>
      </c>
    </row>
    <row r="55" spans="1:6">
      <c r="A55" s="468">
        <v>465184</v>
      </c>
      <c r="B55" s="466">
        <v>10251</v>
      </c>
      <c r="C55" s="466">
        <v>10251</v>
      </c>
      <c r="D55" s="467">
        <f t="shared" si="4"/>
        <v>0</v>
      </c>
      <c r="E55" s="467">
        <v>0</v>
      </c>
      <c r="F55" s="467">
        <f t="shared" si="1"/>
        <v>0</v>
      </c>
    </row>
    <row r="56" spans="1:6">
      <c r="A56" s="468">
        <v>465409</v>
      </c>
      <c r="B56" s="466">
        <v>14872</v>
      </c>
      <c r="C56" s="466">
        <v>14872</v>
      </c>
      <c r="D56" s="467">
        <f t="shared" si="4"/>
        <v>0</v>
      </c>
      <c r="E56" s="467">
        <v>0</v>
      </c>
      <c r="F56" s="467">
        <f t="shared" si="1"/>
        <v>0</v>
      </c>
    </row>
    <row r="57" spans="1:6">
      <c r="A57" s="468">
        <v>100010055</v>
      </c>
      <c r="B57" s="466">
        <v>2729</v>
      </c>
      <c r="C57" s="466">
        <v>2729</v>
      </c>
      <c r="D57" s="467">
        <f t="shared" si="4"/>
        <v>0</v>
      </c>
      <c r="E57" s="467">
        <v>0</v>
      </c>
      <c r="F57" s="467">
        <f t="shared" si="1"/>
        <v>0</v>
      </c>
    </row>
    <row r="58" spans="1:6">
      <c r="A58" s="468">
        <v>100013421</v>
      </c>
      <c r="B58" s="466">
        <v>19570</v>
      </c>
      <c r="C58" s="466">
        <v>19570</v>
      </c>
      <c r="D58" s="467">
        <f t="shared" si="4"/>
        <v>0</v>
      </c>
      <c r="E58" s="467">
        <v>0</v>
      </c>
      <c r="F58" s="467">
        <f t="shared" si="1"/>
        <v>0</v>
      </c>
    </row>
    <row r="59" spans="1:6">
      <c r="A59" s="468">
        <v>100006969</v>
      </c>
      <c r="B59" s="466">
        <v>3293</v>
      </c>
      <c r="C59" s="466">
        <v>3293</v>
      </c>
      <c r="D59" s="467">
        <f t="shared" si="4"/>
        <v>0</v>
      </c>
      <c r="E59" s="467">
        <v>0</v>
      </c>
      <c r="F59" s="467">
        <f t="shared" si="1"/>
        <v>0</v>
      </c>
    </row>
    <row r="60" spans="1:6">
      <c r="A60" s="468">
        <v>100020548</v>
      </c>
      <c r="B60" s="466">
        <v>6352</v>
      </c>
      <c r="C60" s="466">
        <v>6352</v>
      </c>
      <c r="D60" s="467">
        <f t="shared" si="4"/>
        <v>0</v>
      </c>
      <c r="E60" s="467">
        <v>0</v>
      </c>
      <c r="F60" s="467">
        <f t="shared" si="1"/>
        <v>0</v>
      </c>
    </row>
    <row r="61" spans="1:6">
      <c r="A61" s="468">
        <v>77511</v>
      </c>
      <c r="B61" s="466">
        <v>10287</v>
      </c>
      <c r="C61" s="466">
        <v>10287</v>
      </c>
      <c r="D61" s="467">
        <f t="shared" si="4"/>
        <v>0</v>
      </c>
      <c r="E61" s="467">
        <v>0</v>
      </c>
      <c r="F61" s="467">
        <f t="shared" si="1"/>
        <v>0</v>
      </c>
    </row>
    <row r="62" spans="1:6">
      <c r="A62" s="468" t="s">
        <v>601</v>
      </c>
      <c r="B62" s="466">
        <v>13099</v>
      </c>
      <c r="C62" s="466">
        <v>13099</v>
      </c>
      <c r="D62" s="467">
        <f t="shared" si="4"/>
        <v>0</v>
      </c>
      <c r="E62" s="467">
        <v>0</v>
      </c>
      <c r="F62" s="467">
        <f t="shared" si="1"/>
        <v>0</v>
      </c>
    </row>
    <row r="63" spans="1:6">
      <c r="A63" s="468" t="s">
        <v>237</v>
      </c>
      <c r="B63" s="466">
        <v>13517</v>
      </c>
      <c r="C63" s="466">
        <v>13517</v>
      </c>
      <c r="D63" s="467">
        <f t="shared" si="4"/>
        <v>0</v>
      </c>
      <c r="E63" s="467">
        <v>0</v>
      </c>
      <c r="F63" s="467">
        <f t="shared" si="1"/>
        <v>0</v>
      </c>
    </row>
    <row r="64" spans="1:6">
      <c r="A64" s="468">
        <v>100015354</v>
      </c>
      <c r="B64" s="466">
        <v>9786</v>
      </c>
      <c r="C64" s="466">
        <v>9786</v>
      </c>
      <c r="D64" s="467">
        <f t="shared" si="4"/>
        <v>0</v>
      </c>
      <c r="E64" s="467">
        <v>0</v>
      </c>
      <c r="F64" s="467">
        <f t="shared" si="1"/>
        <v>0</v>
      </c>
    </row>
    <row r="65" spans="1:6">
      <c r="A65" s="468">
        <v>468248</v>
      </c>
      <c r="B65" s="466">
        <v>10996</v>
      </c>
      <c r="C65" s="466">
        <v>10996</v>
      </c>
      <c r="D65" s="467">
        <f t="shared" si="4"/>
        <v>0</v>
      </c>
      <c r="E65" s="467">
        <v>0</v>
      </c>
      <c r="F65" s="467">
        <f t="shared" si="1"/>
        <v>0</v>
      </c>
    </row>
    <row r="66" spans="1:6">
      <c r="A66" s="468">
        <v>16661</v>
      </c>
      <c r="B66" s="466">
        <v>2736</v>
      </c>
      <c r="C66" s="466">
        <v>2736</v>
      </c>
      <c r="D66" s="467">
        <f t="shared" si="4"/>
        <v>0</v>
      </c>
      <c r="E66" s="467">
        <v>0</v>
      </c>
      <c r="F66" s="467">
        <f t="shared" si="1"/>
        <v>0</v>
      </c>
    </row>
    <row r="67" spans="1:6">
      <c r="A67" s="468">
        <v>75740</v>
      </c>
      <c r="B67" s="466">
        <v>995</v>
      </c>
      <c r="C67" s="466">
        <v>995</v>
      </c>
      <c r="D67" s="467">
        <f t="shared" si="4"/>
        <v>0</v>
      </c>
      <c r="E67" s="467">
        <v>0</v>
      </c>
      <c r="F67" s="467">
        <f t="shared" si="1"/>
        <v>0</v>
      </c>
    </row>
    <row r="68" spans="1:6">
      <c r="A68" s="468">
        <v>76733</v>
      </c>
      <c r="B68" s="466">
        <v>1514</v>
      </c>
      <c r="C68" s="466">
        <v>1514</v>
      </c>
      <c r="D68" s="467">
        <f t="shared" si="4"/>
        <v>0</v>
      </c>
      <c r="E68" s="467">
        <v>0</v>
      </c>
      <c r="F68" s="467">
        <f t="shared" si="1"/>
        <v>0</v>
      </c>
    </row>
    <row r="69" spans="1:6">
      <c r="A69" s="468">
        <v>467914</v>
      </c>
      <c r="B69" s="466">
        <v>5976</v>
      </c>
      <c r="C69" s="466">
        <v>5976</v>
      </c>
      <c r="D69" s="467">
        <f t="shared" si="4"/>
        <v>0</v>
      </c>
      <c r="E69" s="467">
        <v>0</v>
      </c>
      <c r="F69" s="467">
        <f t="shared" ref="F69:F132" si="5">+E69-D69</f>
        <v>0</v>
      </c>
    </row>
    <row r="70" spans="1:6">
      <c r="A70" s="468">
        <v>468229</v>
      </c>
      <c r="B70" s="466">
        <v>20315</v>
      </c>
      <c r="C70" s="466">
        <v>20315</v>
      </c>
      <c r="D70" s="467">
        <f t="shared" si="4"/>
        <v>0</v>
      </c>
      <c r="E70" s="467">
        <v>0</v>
      </c>
      <c r="F70" s="467">
        <f t="shared" si="5"/>
        <v>0</v>
      </c>
    </row>
    <row r="71" spans="1:6">
      <c r="A71" s="468">
        <v>468230</v>
      </c>
      <c r="B71" s="466">
        <v>13350</v>
      </c>
      <c r="C71" s="466">
        <v>13350</v>
      </c>
      <c r="D71" s="467">
        <f t="shared" si="4"/>
        <v>0</v>
      </c>
      <c r="E71" s="467">
        <v>0</v>
      </c>
      <c r="F71" s="467">
        <f t="shared" si="5"/>
        <v>0</v>
      </c>
    </row>
    <row r="72" spans="1:6">
      <c r="A72" s="468">
        <v>468249</v>
      </c>
      <c r="B72" s="466">
        <v>12864</v>
      </c>
      <c r="C72" s="466">
        <v>12864</v>
      </c>
      <c r="D72" s="467">
        <f t="shared" si="4"/>
        <v>0</v>
      </c>
      <c r="E72" s="467">
        <v>0</v>
      </c>
      <c r="F72" s="467">
        <f t="shared" si="5"/>
        <v>0</v>
      </c>
    </row>
    <row r="73" spans="1:6">
      <c r="A73" s="468">
        <v>100013593</v>
      </c>
      <c r="B73" s="466">
        <v>1062</v>
      </c>
      <c r="C73" s="466">
        <v>1062</v>
      </c>
      <c r="D73" s="467">
        <f t="shared" si="4"/>
        <v>0</v>
      </c>
      <c r="E73" s="467">
        <v>0</v>
      </c>
      <c r="F73" s="467">
        <f t="shared" si="5"/>
        <v>0</v>
      </c>
    </row>
    <row r="74" spans="1:6">
      <c r="A74" s="468">
        <v>100014855</v>
      </c>
      <c r="B74" s="466">
        <v>2098</v>
      </c>
      <c r="C74" s="466">
        <v>2098</v>
      </c>
      <c r="D74" s="467">
        <f t="shared" si="4"/>
        <v>0</v>
      </c>
      <c r="E74" s="467">
        <v>0</v>
      </c>
      <c r="F74" s="467">
        <f t="shared" si="5"/>
        <v>0</v>
      </c>
    </row>
    <row r="75" spans="1:6">
      <c r="A75" s="468">
        <v>100015130</v>
      </c>
      <c r="B75" s="466">
        <v>2720</v>
      </c>
      <c r="C75" s="466">
        <v>2720</v>
      </c>
      <c r="D75" s="467">
        <f t="shared" si="4"/>
        <v>0</v>
      </c>
      <c r="E75" s="467">
        <v>0</v>
      </c>
      <c r="F75" s="467">
        <f t="shared" si="5"/>
        <v>0</v>
      </c>
    </row>
    <row r="76" spans="1:6">
      <c r="A76" s="468">
        <v>100015136</v>
      </c>
      <c r="B76" s="466">
        <v>5365</v>
      </c>
      <c r="C76" s="466">
        <v>5365</v>
      </c>
      <c r="D76" s="467">
        <f t="shared" si="4"/>
        <v>0</v>
      </c>
      <c r="E76" s="467">
        <v>0</v>
      </c>
      <c r="F76" s="467">
        <f t="shared" si="5"/>
        <v>0</v>
      </c>
    </row>
    <row r="77" spans="1:6">
      <c r="A77" s="468">
        <v>100015145</v>
      </c>
      <c r="B77" s="466">
        <v>3576</v>
      </c>
      <c r="C77" s="466">
        <v>3576</v>
      </c>
      <c r="D77" s="467">
        <f t="shared" ref="D77:D140" si="6">+C77-B77</f>
        <v>0</v>
      </c>
      <c r="E77" s="467">
        <v>0</v>
      </c>
      <c r="F77" s="467">
        <f t="shared" si="5"/>
        <v>0</v>
      </c>
    </row>
    <row r="78" spans="1:6">
      <c r="A78" s="468">
        <v>100015153</v>
      </c>
      <c r="B78" s="466">
        <v>10064</v>
      </c>
      <c r="C78" s="466">
        <v>10064</v>
      </c>
      <c r="D78" s="467">
        <f t="shared" si="6"/>
        <v>0</v>
      </c>
      <c r="E78" s="467">
        <v>0</v>
      </c>
      <c r="F78" s="467">
        <f t="shared" si="5"/>
        <v>0</v>
      </c>
    </row>
    <row r="79" spans="1:6">
      <c r="A79" s="468">
        <v>100015224</v>
      </c>
      <c r="B79" s="466">
        <v>8638</v>
      </c>
      <c r="C79" s="466">
        <v>8638</v>
      </c>
      <c r="D79" s="467">
        <f t="shared" si="6"/>
        <v>0</v>
      </c>
      <c r="E79" s="467">
        <v>0</v>
      </c>
      <c r="F79" s="467">
        <f t="shared" si="5"/>
        <v>0</v>
      </c>
    </row>
    <row r="80" spans="1:6">
      <c r="A80" s="468">
        <v>100015225</v>
      </c>
      <c r="B80" s="466">
        <v>3687</v>
      </c>
      <c r="C80" s="466">
        <v>3687</v>
      </c>
      <c r="D80" s="467">
        <f t="shared" si="6"/>
        <v>0</v>
      </c>
      <c r="E80" s="467">
        <v>0</v>
      </c>
      <c r="F80" s="467">
        <f t="shared" si="5"/>
        <v>0</v>
      </c>
    </row>
    <row r="81" spans="1:6">
      <c r="A81" s="468">
        <v>100015357</v>
      </c>
      <c r="B81" s="466">
        <v>13183</v>
      </c>
      <c r="C81" s="466">
        <v>13183</v>
      </c>
      <c r="D81" s="467">
        <f t="shared" si="6"/>
        <v>0</v>
      </c>
      <c r="E81" s="467">
        <v>0</v>
      </c>
      <c r="F81" s="467">
        <f t="shared" si="5"/>
        <v>0</v>
      </c>
    </row>
    <row r="82" spans="1:6">
      <c r="A82" s="468">
        <v>100022985</v>
      </c>
      <c r="B82" s="466">
        <v>4854</v>
      </c>
      <c r="C82" s="466">
        <v>4854</v>
      </c>
      <c r="D82" s="467">
        <f t="shared" si="6"/>
        <v>0</v>
      </c>
      <c r="E82" s="467">
        <v>0</v>
      </c>
      <c r="F82" s="467">
        <f t="shared" si="5"/>
        <v>0</v>
      </c>
    </row>
    <row r="83" spans="1:6">
      <c r="A83" s="468">
        <v>100024114</v>
      </c>
      <c r="B83" s="466">
        <v>1521</v>
      </c>
      <c r="C83" s="466">
        <v>1521</v>
      </c>
      <c r="D83" s="467">
        <f t="shared" si="6"/>
        <v>0</v>
      </c>
      <c r="E83" s="467">
        <v>0</v>
      </c>
      <c r="F83" s="467">
        <f t="shared" si="5"/>
        <v>0</v>
      </c>
    </row>
    <row r="84" spans="1:6">
      <c r="A84" s="468">
        <v>100015151</v>
      </c>
      <c r="B84" s="466">
        <v>11648</v>
      </c>
      <c r="C84" s="466">
        <v>11648</v>
      </c>
      <c r="D84" s="467">
        <f t="shared" si="6"/>
        <v>0</v>
      </c>
      <c r="E84" s="467">
        <v>0</v>
      </c>
      <c r="F84" s="467">
        <f t="shared" si="5"/>
        <v>0</v>
      </c>
    </row>
    <row r="85" spans="1:6">
      <c r="A85" s="468">
        <v>100021859</v>
      </c>
      <c r="B85" s="466">
        <v>3297</v>
      </c>
      <c r="C85" s="466">
        <v>3297</v>
      </c>
      <c r="D85" s="467">
        <f t="shared" si="6"/>
        <v>0</v>
      </c>
      <c r="E85" s="467">
        <v>0</v>
      </c>
      <c r="F85" s="467">
        <f t="shared" si="5"/>
        <v>0</v>
      </c>
    </row>
    <row r="86" spans="1:6">
      <c r="A86" s="468">
        <v>100021861</v>
      </c>
      <c r="B86" s="466">
        <v>2155</v>
      </c>
      <c r="C86" s="466">
        <v>2155</v>
      </c>
      <c r="D86" s="467">
        <f t="shared" si="6"/>
        <v>0</v>
      </c>
      <c r="E86" s="467">
        <v>0</v>
      </c>
      <c r="F86" s="467">
        <f t="shared" si="5"/>
        <v>0</v>
      </c>
    </row>
    <row r="87" spans="1:6">
      <c r="A87" s="468">
        <v>182034355</v>
      </c>
      <c r="B87" s="466">
        <v>3182</v>
      </c>
      <c r="C87" s="466">
        <v>3182</v>
      </c>
      <c r="D87" s="467">
        <f t="shared" si="6"/>
        <v>0</v>
      </c>
      <c r="E87" s="467">
        <v>0</v>
      </c>
      <c r="F87" s="467">
        <f t="shared" si="5"/>
        <v>0</v>
      </c>
    </row>
    <row r="88" spans="1:6">
      <c r="A88" s="468">
        <v>182034365</v>
      </c>
      <c r="B88" s="466">
        <v>11189</v>
      </c>
      <c r="C88" s="466">
        <v>11189</v>
      </c>
      <c r="D88" s="467">
        <f t="shared" si="6"/>
        <v>0</v>
      </c>
      <c r="E88" s="467">
        <v>0</v>
      </c>
      <c r="F88" s="467">
        <f t="shared" si="5"/>
        <v>0</v>
      </c>
    </row>
    <row r="89" spans="1:6">
      <c r="A89" s="468">
        <v>463036</v>
      </c>
      <c r="B89" s="466">
        <v>3824</v>
      </c>
      <c r="C89" s="466">
        <v>3824</v>
      </c>
      <c r="D89" s="467">
        <f t="shared" si="6"/>
        <v>0</v>
      </c>
      <c r="E89" s="467">
        <v>0</v>
      </c>
      <c r="F89" s="467">
        <f t="shared" si="5"/>
        <v>0</v>
      </c>
    </row>
    <row r="90" spans="1:6">
      <c r="A90" s="468">
        <v>468543</v>
      </c>
      <c r="B90" s="466">
        <v>9520</v>
      </c>
      <c r="C90" s="466">
        <v>9520</v>
      </c>
      <c r="D90" s="467">
        <f t="shared" si="6"/>
        <v>0</v>
      </c>
      <c r="E90" s="467">
        <v>0</v>
      </c>
      <c r="F90" s="467">
        <f t="shared" si="5"/>
        <v>0</v>
      </c>
    </row>
    <row r="91" spans="1:6">
      <c r="A91" s="468">
        <v>73206</v>
      </c>
      <c r="B91" s="466">
        <v>696</v>
      </c>
      <c r="C91" s="466">
        <v>696</v>
      </c>
      <c r="D91" s="467">
        <f t="shared" si="6"/>
        <v>0</v>
      </c>
      <c r="E91" s="467">
        <v>0</v>
      </c>
      <c r="F91" s="467">
        <f t="shared" si="5"/>
        <v>0</v>
      </c>
    </row>
    <row r="92" spans="1:6">
      <c r="A92" s="468">
        <v>76203</v>
      </c>
      <c r="B92" s="466">
        <v>615</v>
      </c>
      <c r="C92" s="466">
        <v>615</v>
      </c>
      <c r="D92" s="467">
        <f t="shared" si="6"/>
        <v>0</v>
      </c>
      <c r="E92" s="467">
        <v>0</v>
      </c>
      <c r="F92" s="467">
        <f t="shared" si="5"/>
        <v>0</v>
      </c>
    </row>
    <row r="93" spans="1:6">
      <c r="A93" s="468">
        <v>457309</v>
      </c>
      <c r="B93" s="466">
        <v>36158</v>
      </c>
      <c r="C93" s="466">
        <v>36158</v>
      </c>
      <c r="D93" s="467">
        <f t="shared" si="6"/>
        <v>0</v>
      </c>
      <c r="E93" s="467">
        <v>0</v>
      </c>
      <c r="F93" s="467">
        <f t="shared" si="5"/>
        <v>0</v>
      </c>
    </row>
    <row r="94" spans="1:6">
      <c r="A94" s="468">
        <v>462511</v>
      </c>
      <c r="B94" s="466">
        <v>14294</v>
      </c>
      <c r="C94" s="466">
        <v>14294</v>
      </c>
      <c r="D94" s="467">
        <f t="shared" si="6"/>
        <v>0</v>
      </c>
      <c r="E94" s="467">
        <v>0</v>
      </c>
      <c r="F94" s="467">
        <f t="shared" si="5"/>
        <v>0</v>
      </c>
    </row>
    <row r="95" spans="1:6">
      <c r="A95" s="468">
        <v>462516</v>
      </c>
      <c r="B95" s="466">
        <v>33496</v>
      </c>
      <c r="C95" s="466">
        <v>33496</v>
      </c>
      <c r="D95" s="467">
        <f t="shared" si="6"/>
        <v>0</v>
      </c>
      <c r="E95" s="467">
        <v>0</v>
      </c>
      <c r="F95" s="467">
        <f t="shared" si="5"/>
        <v>0</v>
      </c>
    </row>
    <row r="96" spans="1:6">
      <c r="A96" s="468">
        <v>464101</v>
      </c>
      <c r="B96" s="466">
        <v>14069</v>
      </c>
      <c r="C96" s="466">
        <v>14069</v>
      </c>
      <c r="D96" s="467">
        <f t="shared" si="6"/>
        <v>0</v>
      </c>
      <c r="E96" s="467">
        <v>0</v>
      </c>
      <c r="F96" s="467">
        <f t="shared" si="5"/>
        <v>0</v>
      </c>
    </row>
    <row r="97" spans="1:6">
      <c r="A97" s="468">
        <v>469135</v>
      </c>
      <c r="B97" s="466">
        <v>4767</v>
      </c>
      <c r="C97" s="466">
        <v>4767</v>
      </c>
      <c r="D97" s="467">
        <f t="shared" si="6"/>
        <v>0</v>
      </c>
      <c r="E97" s="467">
        <v>0</v>
      </c>
      <c r="F97" s="467">
        <f t="shared" si="5"/>
        <v>0</v>
      </c>
    </row>
    <row r="98" spans="1:6">
      <c r="A98" s="468">
        <v>469615</v>
      </c>
      <c r="B98" s="466">
        <v>13917</v>
      </c>
      <c r="C98" s="466">
        <v>13917</v>
      </c>
      <c r="D98" s="467">
        <f t="shared" si="6"/>
        <v>0</v>
      </c>
      <c r="E98" s="467">
        <v>0</v>
      </c>
      <c r="F98" s="467">
        <f t="shared" si="5"/>
        <v>0</v>
      </c>
    </row>
    <row r="99" spans="1:6">
      <c r="A99" s="468">
        <v>471355</v>
      </c>
      <c r="B99" s="466">
        <v>11358</v>
      </c>
      <c r="C99" s="466">
        <v>11358</v>
      </c>
      <c r="D99" s="467">
        <f t="shared" si="6"/>
        <v>0</v>
      </c>
      <c r="E99" s="467">
        <v>0</v>
      </c>
      <c r="F99" s="467">
        <f t="shared" si="5"/>
        <v>0</v>
      </c>
    </row>
    <row r="100" spans="1:6">
      <c r="A100" s="468">
        <v>100014854</v>
      </c>
      <c r="B100" s="466">
        <v>9463</v>
      </c>
      <c r="C100" s="466">
        <v>9463</v>
      </c>
      <c r="D100" s="467">
        <f t="shared" si="6"/>
        <v>0</v>
      </c>
      <c r="E100" s="467">
        <v>0</v>
      </c>
      <c r="F100" s="467">
        <f t="shared" si="5"/>
        <v>0</v>
      </c>
    </row>
    <row r="101" spans="1:6">
      <c r="A101" s="468">
        <v>100014856</v>
      </c>
      <c r="B101" s="466">
        <v>6666</v>
      </c>
      <c r="C101" s="466">
        <v>6666</v>
      </c>
      <c r="D101" s="467">
        <f t="shared" si="6"/>
        <v>0</v>
      </c>
      <c r="E101" s="467">
        <v>0</v>
      </c>
      <c r="F101" s="467">
        <f t="shared" si="5"/>
        <v>0</v>
      </c>
    </row>
    <row r="102" spans="1:6">
      <c r="A102" s="468">
        <v>100014860</v>
      </c>
      <c r="B102" s="466">
        <v>2024</v>
      </c>
      <c r="C102" s="466">
        <v>2024</v>
      </c>
      <c r="D102" s="467">
        <f t="shared" si="6"/>
        <v>0</v>
      </c>
      <c r="E102" s="467">
        <v>0</v>
      </c>
      <c r="F102" s="467">
        <f t="shared" si="5"/>
        <v>0</v>
      </c>
    </row>
    <row r="103" spans="1:6">
      <c r="A103" s="468">
        <v>100014861</v>
      </c>
      <c r="B103" s="466">
        <v>3242</v>
      </c>
      <c r="C103" s="466">
        <v>3242</v>
      </c>
      <c r="D103" s="467">
        <f t="shared" si="6"/>
        <v>0</v>
      </c>
      <c r="E103" s="467">
        <v>0</v>
      </c>
      <c r="F103" s="467">
        <f t="shared" si="5"/>
        <v>0</v>
      </c>
    </row>
    <row r="104" spans="1:6">
      <c r="A104" s="468">
        <v>100014862</v>
      </c>
      <c r="B104" s="466">
        <v>4822</v>
      </c>
      <c r="C104" s="466">
        <v>4822</v>
      </c>
      <c r="D104" s="467">
        <f t="shared" si="6"/>
        <v>0</v>
      </c>
      <c r="E104" s="467">
        <v>0</v>
      </c>
      <c r="F104" s="467">
        <f t="shared" si="5"/>
        <v>0</v>
      </c>
    </row>
    <row r="105" spans="1:6">
      <c r="A105" s="468">
        <v>100014863</v>
      </c>
      <c r="B105" s="466">
        <v>9776</v>
      </c>
      <c r="C105" s="466">
        <v>9776</v>
      </c>
      <c r="D105" s="467">
        <f t="shared" si="6"/>
        <v>0</v>
      </c>
      <c r="E105" s="467">
        <v>0</v>
      </c>
      <c r="F105" s="467">
        <f t="shared" si="5"/>
        <v>0</v>
      </c>
    </row>
    <row r="106" spans="1:6">
      <c r="A106" s="468">
        <v>100014864</v>
      </c>
      <c r="B106" s="466">
        <v>6671</v>
      </c>
      <c r="C106" s="466">
        <v>6671</v>
      </c>
      <c r="D106" s="467">
        <f t="shared" si="6"/>
        <v>0</v>
      </c>
      <c r="E106" s="467">
        <v>0</v>
      </c>
      <c r="F106" s="467">
        <f t="shared" si="5"/>
        <v>0</v>
      </c>
    </row>
    <row r="107" spans="1:6">
      <c r="A107" s="468">
        <v>100014869</v>
      </c>
      <c r="B107" s="466">
        <v>2665</v>
      </c>
      <c r="C107" s="466">
        <v>2665</v>
      </c>
      <c r="D107" s="467">
        <f t="shared" si="6"/>
        <v>0</v>
      </c>
      <c r="E107" s="467">
        <v>0</v>
      </c>
      <c r="F107" s="467">
        <f t="shared" si="5"/>
        <v>0</v>
      </c>
    </row>
    <row r="108" spans="1:6">
      <c r="A108" s="468">
        <v>100015148</v>
      </c>
      <c r="B108" s="466">
        <v>6006</v>
      </c>
      <c r="C108" s="466">
        <v>6006</v>
      </c>
      <c r="D108" s="467">
        <f t="shared" si="6"/>
        <v>0</v>
      </c>
      <c r="E108" s="467">
        <v>0</v>
      </c>
      <c r="F108" s="467">
        <f t="shared" si="5"/>
        <v>0</v>
      </c>
    </row>
    <row r="109" spans="1:6">
      <c r="A109" s="468">
        <v>100015173</v>
      </c>
      <c r="B109" s="466">
        <v>1988</v>
      </c>
      <c r="C109" s="466">
        <v>1988</v>
      </c>
      <c r="D109" s="467">
        <f t="shared" si="6"/>
        <v>0</v>
      </c>
      <c r="E109" s="467">
        <v>0</v>
      </c>
      <c r="F109" s="467">
        <f t="shared" si="5"/>
        <v>0</v>
      </c>
    </row>
    <row r="110" spans="1:6">
      <c r="A110" s="468">
        <v>100015180</v>
      </c>
      <c r="B110" s="466">
        <v>1294</v>
      </c>
      <c r="C110" s="466">
        <v>1294</v>
      </c>
      <c r="D110" s="467">
        <f t="shared" si="6"/>
        <v>0</v>
      </c>
      <c r="E110" s="467">
        <v>0</v>
      </c>
      <c r="F110" s="467">
        <f t="shared" si="5"/>
        <v>0</v>
      </c>
    </row>
    <row r="111" spans="1:6">
      <c r="A111" s="468">
        <v>100015249</v>
      </c>
      <c r="B111" s="466">
        <v>10009</v>
      </c>
      <c r="C111" s="466">
        <v>10009</v>
      </c>
      <c r="D111" s="467">
        <f t="shared" si="6"/>
        <v>0</v>
      </c>
      <c r="E111" s="467">
        <v>0</v>
      </c>
      <c r="F111" s="467">
        <f t="shared" si="5"/>
        <v>0</v>
      </c>
    </row>
    <row r="112" spans="1:6">
      <c r="A112" s="468">
        <v>100015301</v>
      </c>
      <c r="B112" s="466">
        <v>13343</v>
      </c>
      <c r="C112" s="466">
        <v>13343</v>
      </c>
      <c r="D112" s="467">
        <f t="shared" si="6"/>
        <v>0</v>
      </c>
      <c r="E112" s="467">
        <v>0</v>
      </c>
      <c r="F112" s="467">
        <f t="shared" si="5"/>
        <v>0</v>
      </c>
    </row>
    <row r="113" spans="1:6">
      <c r="A113" s="468">
        <v>100015303</v>
      </c>
      <c r="B113" s="466">
        <v>13289</v>
      </c>
      <c r="C113" s="466">
        <v>13289</v>
      </c>
      <c r="D113" s="467">
        <f t="shared" si="6"/>
        <v>0</v>
      </c>
      <c r="E113" s="467">
        <v>0</v>
      </c>
      <c r="F113" s="467">
        <f t="shared" si="5"/>
        <v>0</v>
      </c>
    </row>
    <row r="114" spans="1:6">
      <c r="A114" s="468">
        <v>100015304</v>
      </c>
      <c r="B114" s="466">
        <v>6756</v>
      </c>
      <c r="C114" s="466">
        <v>6756</v>
      </c>
      <c r="D114" s="467">
        <f t="shared" si="6"/>
        <v>0</v>
      </c>
      <c r="E114" s="467">
        <v>0</v>
      </c>
      <c r="F114" s="467">
        <f t="shared" si="5"/>
        <v>0</v>
      </c>
    </row>
    <row r="115" spans="1:6">
      <c r="A115" s="468">
        <v>100015356</v>
      </c>
      <c r="B115" s="466">
        <v>3285</v>
      </c>
      <c r="C115" s="466">
        <v>3285</v>
      </c>
      <c r="D115" s="467">
        <f t="shared" si="6"/>
        <v>0</v>
      </c>
      <c r="E115" s="467">
        <v>0</v>
      </c>
      <c r="F115" s="467">
        <f t="shared" si="5"/>
        <v>0</v>
      </c>
    </row>
    <row r="116" spans="1:6">
      <c r="A116" s="468">
        <v>100015404</v>
      </c>
      <c r="B116" s="466">
        <v>3422</v>
      </c>
      <c r="C116" s="466">
        <v>3422</v>
      </c>
      <c r="D116" s="467">
        <f t="shared" si="6"/>
        <v>0</v>
      </c>
      <c r="E116" s="467">
        <v>0</v>
      </c>
      <c r="F116" s="467">
        <f t="shared" si="5"/>
        <v>0</v>
      </c>
    </row>
    <row r="117" spans="1:6">
      <c r="A117" s="468">
        <v>100015437</v>
      </c>
      <c r="B117" s="466">
        <v>1736</v>
      </c>
      <c r="C117" s="466">
        <v>1736</v>
      </c>
      <c r="D117" s="467">
        <f t="shared" si="6"/>
        <v>0</v>
      </c>
      <c r="E117" s="467">
        <v>0</v>
      </c>
      <c r="F117" s="467">
        <f t="shared" si="5"/>
        <v>0</v>
      </c>
    </row>
    <row r="118" spans="1:6">
      <c r="A118" s="468">
        <v>100016367</v>
      </c>
      <c r="B118" s="466">
        <v>7470</v>
      </c>
      <c r="C118" s="466">
        <v>7470</v>
      </c>
      <c r="D118" s="467">
        <f t="shared" si="6"/>
        <v>0</v>
      </c>
      <c r="E118" s="467">
        <v>0</v>
      </c>
      <c r="F118" s="467">
        <f t="shared" si="5"/>
        <v>0</v>
      </c>
    </row>
    <row r="119" spans="1:6">
      <c r="A119" s="468">
        <v>100016575</v>
      </c>
      <c r="B119" s="466">
        <v>1057</v>
      </c>
      <c r="C119" s="466">
        <v>1057</v>
      </c>
      <c r="D119" s="467">
        <f t="shared" si="6"/>
        <v>0</v>
      </c>
      <c r="E119" s="467">
        <v>0</v>
      </c>
      <c r="F119" s="467">
        <f t="shared" si="5"/>
        <v>0</v>
      </c>
    </row>
    <row r="120" spans="1:6">
      <c r="A120" s="468">
        <v>100019839</v>
      </c>
      <c r="B120" s="466">
        <v>2214</v>
      </c>
      <c r="C120" s="466">
        <v>2214</v>
      </c>
      <c r="D120" s="467">
        <f t="shared" si="6"/>
        <v>0</v>
      </c>
      <c r="E120" s="467">
        <v>0</v>
      </c>
      <c r="F120" s="467">
        <f t="shared" si="5"/>
        <v>0</v>
      </c>
    </row>
    <row r="121" spans="1:6">
      <c r="A121" s="468">
        <v>100021862</v>
      </c>
      <c r="B121" s="466">
        <v>798</v>
      </c>
      <c r="C121" s="466">
        <v>798</v>
      </c>
      <c r="D121" s="467">
        <f t="shared" si="6"/>
        <v>0</v>
      </c>
      <c r="E121" s="467">
        <v>0</v>
      </c>
      <c r="F121" s="467">
        <f t="shared" si="5"/>
        <v>0</v>
      </c>
    </row>
    <row r="122" spans="1:6">
      <c r="A122" s="468">
        <v>100025244</v>
      </c>
      <c r="B122" s="466">
        <v>627</v>
      </c>
      <c r="C122" s="466">
        <v>627</v>
      </c>
      <c r="D122" s="467">
        <f t="shared" si="6"/>
        <v>0</v>
      </c>
      <c r="E122" s="467">
        <v>0</v>
      </c>
      <c r="F122" s="467">
        <f t="shared" si="5"/>
        <v>0</v>
      </c>
    </row>
    <row r="123" spans="1:6">
      <c r="A123" s="468">
        <v>100025245</v>
      </c>
      <c r="B123" s="466">
        <v>596</v>
      </c>
      <c r="C123" s="466">
        <v>596</v>
      </c>
      <c r="D123" s="467">
        <f t="shared" si="6"/>
        <v>0</v>
      </c>
      <c r="E123" s="467">
        <v>0</v>
      </c>
      <c r="F123" s="467">
        <f t="shared" si="5"/>
        <v>0</v>
      </c>
    </row>
    <row r="124" spans="1:6">
      <c r="A124" s="468">
        <v>182013373</v>
      </c>
      <c r="B124" s="466">
        <v>10358</v>
      </c>
      <c r="C124" s="466">
        <v>10358</v>
      </c>
      <c r="D124" s="467">
        <f t="shared" si="6"/>
        <v>0</v>
      </c>
      <c r="E124" s="467">
        <v>0</v>
      </c>
      <c r="F124" s="467">
        <f t="shared" si="5"/>
        <v>0</v>
      </c>
    </row>
    <row r="125" spans="1:6">
      <c r="A125" s="468">
        <v>182013374</v>
      </c>
      <c r="B125" s="466">
        <v>7929</v>
      </c>
      <c r="C125" s="466">
        <v>7929</v>
      </c>
      <c r="D125" s="467">
        <f t="shared" si="6"/>
        <v>0</v>
      </c>
      <c r="E125" s="467">
        <v>0</v>
      </c>
      <c r="F125" s="467">
        <f t="shared" si="5"/>
        <v>0</v>
      </c>
    </row>
    <row r="126" spans="1:6">
      <c r="A126" s="468">
        <v>182034338</v>
      </c>
      <c r="B126" s="466">
        <v>1608</v>
      </c>
      <c r="C126" s="466">
        <v>1608</v>
      </c>
      <c r="D126" s="467">
        <f t="shared" si="6"/>
        <v>0</v>
      </c>
      <c r="E126" s="467">
        <v>0</v>
      </c>
      <c r="F126" s="467">
        <f t="shared" si="5"/>
        <v>0</v>
      </c>
    </row>
    <row r="127" spans="1:6">
      <c r="A127" s="468">
        <v>100015358</v>
      </c>
      <c r="B127" s="466">
        <v>5087</v>
      </c>
      <c r="C127" s="466">
        <v>5087</v>
      </c>
      <c r="D127" s="467">
        <f t="shared" si="6"/>
        <v>0</v>
      </c>
      <c r="E127" s="467">
        <v>0</v>
      </c>
      <c r="F127" s="467">
        <f t="shared" si="5"/>
        <v>0</v>
      </c>
    </row>
    <row r="128" spans="1:6">
      <c r="A128" s="468">
        <v>100022090</v>
      </c>
      <c r="B128" s="466">
        <v>6032</v>
      </c>
      <c r="C128" s="466">
        <v>6032</v>
      </c>
      <c r="D128" s="467">
        <f t="shared" si="6"/>
        <v>0</v>
      </c>
      <c r="E128" s="467">
        <v>0</v>
      </c>
      <c r="F128" s="467">
        <f t="shared" si="5"/>
        <v>0</v>
      </c>
    </row>
    <row r="129" spans="1:6">
      <c r="A129" s="468">
        <v>182034820</v>
      </c>
      <c r="B129" s="466">
        <v>11437</v>
      </c>
      <c r="C129" s="466">
        <v>11437</v>
      </c>
      <c r="D129" s="467">
        <f t="shared" si="6"/>
        <v>0</v>
      </c>
      <c r="E129" s="467">
        <v>0</v>
      </c>
      <c r="F129" s="467">
        <f t="shared" si="5"/>
        <v>0</v>
      </c>
    </row>
    <row r="130" spans="1:6">
      <c r="A130" s="468">
        <v>457223</v>
      </c>
      <c r="B130" s="466">
        <v>10595</v>
      </c>
      <c r="C130" s="466">
        <v>10595</v>
      </c>
      <c r="D130" s="467">
        <f t="shared" si="6"/>
        <v>0</v>
      </c>
      <c r="E130" s="467">
        <v>0</v>
      </c>
      <c r="F130" s="467">
        <f t="shared" si="5"/>
        <v>0</v>
      </c>
    </row>
    <row r="131" spans="1:6">
      <c r="A131" s="468">
        <v>461186</v>
      </c>
      <c r="B131" s="466">
        <v>4721</v>
      </c>
      <c r="C131" s="466">
        <v>4721</v>
      </c>
      <c r="D131" s="467">
        <f t="shared" si="6"/>
        <v>0</v>
      </c>
      <c r="E131" s="467">
        <v>0</v>
      </c>
      <c r="F131" s="467">
        <f t="shared" si="5"/>
        <v>0</v>
      </c>
    </row>
    <row r="132" spans="1:6">
      <c r="A132" s="468">
        <v>461795</v>
      </c>
      <c r="B132" s="466">
        <v>12770</v>
      </c>
      <c r="C132" s="466">
        <v>12770</v>
      </c>
      <c r="D132" s="467">
        <f t="shared" si="6"/>
        <v>0</v>
      </c>
      <c r="E132" s="467">
        <v>0</v>
      </c>
      <c r="F132" s="467">
        <f t="shared" si="5"/>
        <v>0</v>
      </c>
    </row>
    <row r="133" spans="1:6">
      <c r="A133" s="468">
        <v>463022</v>
      </c>
      <c r="B133" s="466">
        <v>3150</v>
      </c>
      <c r="C133" s="466">
        <v>3150</v>
      </c>
      <c r="D133" s="467">
        <f t="shared" si="6"/>
        <v>0</v>
      </c>
      <c r="E133" s="467">
        <v>0</v>
      </c>
      <c r="F133" s="467">
        <f t="shared" ref="F133:F196" si="7">+E133-D133</f>
        <v>0</v>
      </c>
    </row>
    <row r="134" spans="1:6">
      <c r="A134" s="468">
        <v>463024</v>
      </c>
      <c r="B134" s="466">
        <v>6277</v>
      </c>
      <c r="C134" s="466">
        <v>6277</v>
      </c>
      <c r="D134" s="467">
        <f t="shared" si="6"/>
        <v>0</v>
      </c>
      <c r="E134" s="467">
        <v>0</v>
      </c>
      <c r="F134" s="467">
        <f t="shared" si="7"/>
        <v>0</v>
      </c>
    </row>
    <row r="135" spans="1:6">
      <c r="A135" s="468">
        <v>463029</v>
      </c>
      <c r="B135" s="466">
        <v>6421</v>
      </c>
      <c r="C135" s="466">
        <v>6421</v>
      </c>
      <c r="D135" s="467">
        <f t="shared" si="6"/>
        <v>0</v>
      </c>
      <c r="E135" s="467">
        <v>0</v>
      </c>
      <c r="F135" s="467">
        <f t="shared" si="7"/>
        <v>0</v>
      </c>
    </row>
    <row r="136" spans="1:6">
      <c r="A136" s="468">
        <v>463030</v>
      </c>
      <c r="B136" s="466">
        <v>3719</v>
      </c>
      <c r="C136" s="466">
        <v>3719</v>
      </c>
      <c r="D136" s="467">
        <f t="shared" si="6"/>
        <v>0</v>
      </c>
      <c r="E136" s="467">
        <v>0</v>
      </c>
      <c r="F136" s="467">
        <f t="shared" si="7"/>
        <v>0</v>
      </c>
    </row>
    <row r="137" spans="1:6">
      <c r="A137" s="468">
        <v>466459</v>
      </c>
      <c r="B137" s="466">
        <v>2985</v>
      </c>
      <c r="C137" s="466">
        <v>2985</v>
      </c>
      <c r="D137" s="467">
        <f t="shared" si="6"/>
        <v>0</v>
      </c>
      <c r="E137" s="467">
        <v>0</v>
      </c>
      <c r="F137" s="467">
        <f t="shared" si="7"/>
        <v>0</v>
      </c>
    </row>
    <row r="138" spans="1:6">
      <c r="A138" s="468">
        <v>467476</v>
      </c>
      <c r="B138" s="466">
        <v>19251</v>
      </c>
      <c r="C138" s="466">
        <v>19251</v>
      </c>
      <c r="D138" s="467">
        <f t="shared" si="6"/>
        <v>0</v>
      </c>
      <c r="E138" s="467">
        <v>0</v>
      </c>
      <c r="F138" s="467">
        <f t="shared" si="7"/>
        <v>0</v>
      </c>
    </row>
    <row r="139" spans="1:6">
      <c r="A139" s="468">
        <v>468585</v>
      </c>
      <c r="B139" s="466">
        <v>14189</v>
      </c>
      <c r="C139" s="466">
        <v>14189</v>
      </c>
      <c r="D139" s="467">
        <f t="shared" si="6"/>
        <v>0</v>
      </c>
      <c r="E139" s="467">
        <v>0</v>
      </c>
      <c r="F139" s="467">
        <f t="shared" si="7"/>
        <v>0</v>
      </c>
    </row>
    <row r="140" spans="1:6">
      <c r="A140" s="468">
        <v>471857</v>
      </c>
      <c r="B140" s="466">
        <v>4690</v>
      </c>
      <c r="C140" s="466">
        <v>4690</v>
      </c>
      <c r="D140" s="467">
        <f t="shared" si="6"/>
        <v>0</v>
      </c>
      <c r="E140" s="467">
        <v>0</v>
      </c>
      <c r="F140" s="467">
        <f t="shared" si="7"/>
        <v>0</v>
      </c>
    </row>
    <row r="141" spans="1:6">
      <c r="A141" s="468" t="s">
        <v>283</v>
      </c>
      <c r="B141" s="466">
        <v>12498</v>
      </c>
      <c r="C141" s="466">
        <v>12498</v>
      </c>
      <c r="D141" s="467">
        <f t="shared" ref="D141:D204" si="8">+C141-B141</f>
        <v>0</v>
      </c>
      <c r="E141" s="467">
        <v>0</v>
      </c>
      <c r="F141" s="467">
        <f t="shared" si="7"/>
        <v>0</v>
      </c>
    </row>
    <row r="142" spans="1:6">
      <c r="A142" s="468" t="s">
        <v>284</v>
      </c>
      <c r="B142" s="466">
        <v>15421</v>
      </c>
      <c r="C142" s="466">
        <v>15421</v>
      </c>
      <c r="D142" s="467">
        <f t="shared" si="8"/>
        <v>0</v>
      </c>
      <c r="E142" s="467">
        <v>0</v>
      </c>
      <c r="F142" s="467">
        <f t="shared" si="7"/>
        <v>0</v>
      </c>
    </row>
    <row r="143" spans="1:6">
      <c r="A143" s="468" t="s">
        <v>285</v>
      </c>
      <c r="B143" s="466">
        <v>7167</v>
      </c>
      <c r="C143" s="466">
        <v>7167</v>
      </c>
      <c r="D143" s="467">
        <f t="shared" si="8"/>
        <v>0</v>
      </c>
      <c r="E143" s="467">
        <v>0</v>
      </c>
      <c r="F143" s="467">
        <f t="shared" si="7"/>
        <v>0</v>
      </c>
    </row>
    <row r="144" spans="1:6">
      <c r="A144" s="468">
        <v>100023338</v>
      </c>
      <c r="B144" s="466">
        <v>6730</v>
      </c>
      <c r="C144" s="466">
        <v>6730</v>
      </c>
      <c r="D144" s="467">
        <f t="shared" si="8"/>
        <v>0</v>
      </c>
      <c r="E144" s="467">
        <v>0</v>
      </c>
      <c r="F144" s="467">
        <f t="shared" si="7"/>
        <v>0</v>
      </c>
    </row>
    <row r="145" spans="1:6">
      <c r="A145" s="468" t="s">
        <v>286</v>
      </c>
      <c r="B145" s="466">
        <v>9502</v>
      </c>
      <c r="C145" s="466">
        <v>9502</v>
      </c>
      <c r="D145" s="467">
        <f t="shared" si="8"/>
        <v>0</v>
      </c>
      <c r="E145" s="467">
        <v>0</v>
      </c>
      <c r="F145" s="467">
        <f t="shared" si="7"/>
        <v>0</v>
      </c>
    </row>
    <row r="146" spans="1:6">
      <c r="A146" s="468">
        <v>100025351</v>
      </c>
      <c r="B146" s="466">
        <v>1125</v>
      </c>
      <c r="C146" s="466">
        <v>1125</v>
      </c>
      <c r="D146" s="467">
        <f t="shared" si="8"/>
        <v>0</v>
      </c>
      <c r="E146" s="467">
        <v>0</v>
      </c>
      <c r="F146" s="467">
        <f t="shared" si="7"/>
        <v>0</v>
      </c>
    </row>
    <row r="147" spans="1:6">
      <c r="A147" s="468">
        <v>182034821</v>
      </c>
      <c r="B147" s="466">
        <v>11876</v>
      </c>
      <c r="C147" s="466">
        <v>11876</v>
      </c>
      <c r="D147" s="467">
        <f t="shared" si="8"/>
        <v>0</v>
      </c>
      <c r="E147" s="467">
        <v>0</v>
      </c>
      <c r="F147" s="467">
        <f t="shared" si="7"/>
        <v>0</v>
      </c>
    </row>
    <row r="148" spans="1:6">
      <c r="A148" s="468">
        <v>182034836</v>
      </c>
      <c r="B148" s="466">
        <v>3006</v>
      </c>
      <c r="C148" s="466">
        <v>3006</v>
      </c>
      <c r="D148" s="467">
        <f t="shared" si="8"/>
        <v>0</v>
      </c>
      <c r="E148" s="467">
        <v>0</v>
      </c>
      <c r="F148" s="467">
        <f t="shared" si="7"/>
        <v>0</v>
      </c>
    </row>
    <row r="149" spans="1:6">
      <c r="A149" s="468">
        <v>182034837</v>
      </c>
      <c r="B149" s="466">
        <v>810</v>
      </c>
      <c r="C149" s="466">
        <v>810</v>
      </c>
      <c r="D149" s="467">
        <f t="shared" si="8"/>
        <v>0</v>
      </c>
      <c r="E149" s="467">
        <v>0</v>
      </c>
      <c r="F149" s="467">
        <f t="shared" si="7"/>
        <v>0</v>
      </c>
    </row>
    <row r="150" spans="1:6">
      <c r="A150" s="468" t="s">
        <v>293</v>
      </c>
      <c r="B150" s="466">
        <v>11564</v>
      </c>
      <c r="C150" s="466">
        <v>12182</v>
      </c>
      <c r="D150" s="467">
        <f t="shared" si="8"/>
        <v>618</v>
      </c>
      <c r="E150" s="467">
        <v>618</v>
      </c>
      <c r="F150" s="467">
        <f t="shared" si="7"/>
        <v>0</v>
      </c>
    </row>
    <row r="151" spans="1:6">
      <c r="A151" s="468">
        <v>465318</v>
      </c>
      <c r="B151" s="466">
        <v>6582</v>
      </c>
      <c r="C151" s="466">
        <v>6582</v>
      </c>
      <c r="D151" s="467">
        <f t="shared" si="8"/>
        <v>0</v>
      </c>
      <c r="E151" s="467">
        <v>0</v>
      </c>
      <c r="F151" s="467">
        <f t="shared" si="7"/>
        <v>0</v>
      </c>
    </row>
    <row r="152" spans="1:6">
      <c r="A152" s="468">
        <v>465985</v>
      </c>
      <c r="B152" s="466">
        <v>9760</v>
      </c>
      <c r="C152" s="466">
        <v>9760</v>
      </c>
      <c r="D152" s="467">
        <f t="shared" si="8"/>
        <v>0</v>
      </c>
      <c r="E152" s="467">
        <v>0</v>
      </c>
      <c r="F152" s="467">
        <f t="shared" si="7"/>
        <v>0</v>
      </c>
    </row>
    <row r="153" spans="1:6">
      <c r="A153" s="468">
        <v>466092</v>
      </c>
      <c r="B153" s="466">
        <v>1691</v>
      </c>
      <c r="C153" s="466">
        <v>1691</v>
      </c>
      <c r="D153" s="467">
        <f t="shared" si="8"/>
        <v>0</v>
      </c>
      <c r="E153" s="467">
        <v>0</v>
      </c>
      <c r="F153" s="467">
        <f t="shared" si="7"/>
        <v>0</v>
      </c>
    </row>
    <row r="154" spans="1:6">
      <c r="A154" s="468">
        <v>470322</v>
      </c>
      <c r="B154" s="466">
        <v>6479</v>
      </c>
      <c r="C154" s="466">
        <v>6479</v>
      </c>
      <c r="D154" s="467">
        <f t="shared" si="8"/>
        <v>0</v>
      </c>
      <c r="E154" s="467">
        <v>0</v>
      </c>
      <c r="F154" s="467">
        <f t="shared" si="7"/>
        <v>0</v>
      </c>
    </row>
    <row r="155" spans="1:6">
      <c r="A155" s="468">
        <v>471823</v>
      </c>
      <c r="B155" s="466">
        <v>9254</v>
      </c>
      <c r="C155" s="466">
        <v>9254</v>
      </c>
      <c r="D155" s="467">
        <f t="shared" si="8"/>
        <v>0</v>
      </c>
      <c r="E155" s="467">
        <v>0</v>
      </c>
      <c r="F155" s="467">
        <f t="shared" si="7"/>
        <v>0</v>
      </c>
    </row>
    <row r="156" spans="1:6">
      <c r="A156" s="468">
        <v>471825</v>
      </c>
      <c r="B156" s="466">
        <v>965</v>
      </c>
      <c r="C156" s="466">
        <v>965</v>
      </c>
      <c r="D156" s="467">
        <f t="shared" si="8"/>
        <v>0</v>
      </c>
      <c r="E156" s="467">
        <v>0</v>
      </c>
      <c r="F156" s="467">
        <f t="shared" si="7"/>
        <v>0</v>
      </c>
    </row>
    <row r="157" spans="1:6">
      <c r="A157" s="468">
        <v>472140</v>
      </c>
      <c r="B157" s="466">
        <v>1526</v>
      </c>
      <c r="C157" s="466">
        <v>1526</v>
      </c>
      <c r="D157" s="467">
        <f t="shared" si="8"/>
        <v>0</v>
      </c>
      <c r="E157" s="467">
        <v>0</v>
      </c>
      <c r="F157" s="467">
        <f t="shared" si="7"/>
        <v>0</v>
      </c>
    </row>
    <row r="158" spans="1:6">
      <c r="A158" s="468">
        <v>472629</v>
      </c>
      <c r="B158" s="466">
        <v>5498</v>
      </c>
      <c r="C158" s="466">
        <v>5498</v>
      </c>
      <c r="D158" s="467">
        <f t="shared" si="8"/>
        <v>0</v>
      </c>
      <c r="E158" s="467">
        <v>0</v>
      </c>
      <c r="F158" s="467">
        <f t="shared" si="7"/>
        <v>0</v>
      </c>
    </row>
    <row r="159" spans="1:6">
      <c r="A159" s="468">
        <v>100015200</v>
      </c>
      <c r="B159" s="466">
        <v>2891</v>
      </c>
      <c r="C159" s="466">
        <v>2891</v>
      </c>
      <c r="D159" s="467">
        <f t="shared" si="8"/>
        <v>0</v>
      </c>
      <c r="E159" s="467">
        <v>0</v>
      </c>
      <c r="F159" s="467">
        <f t="shared" si="7"/>
        <v>0</v>
      </c>
    </row>
    <row r="160" spans="1:6">
      <c r="A160" s="468">
        <v>100015306</v>
      </c>
      <c r="B160" s="466">
        <v>2410</v>
      </c>
      <c r="C160" s="466">
        <v>2410</v>
      </c>
      <c r="D160" s="467">
        <f t="shared" si="8"/>
        <v>0</v>
      </c>
      <c r="E160" s="467">
        <v>0</v>
      </c>
      <c r="F160" s="467">
        <f t="shared" si="7"/>
        <v>0</v>
      </c>
    </row>
    <row r="161" spans="1:7">
      <c r="A161" s="468">
        <v>100016101</v>
      </c>
      <c r="B161" s="466">
        <v>2509</v>
      </c>
      <c r="C161" s="466">
        <v>2509</v>
      </c>
      <c r="D161" s="467">
        <f t="shared" si="8"/>
        <v>0</v>
      </c>
      <c r="E161" s="467">
        <v>0</v>
      </c>
      <c r="F161" s="467">
        <f t="shared" si="7"/>
        <v>0</v>
      </c>
    </row>
    <row r="162" spans="1:7">
      <c r="A162" s="468">
        <v>100017974</v>
      </c>
      <c r="B162" s="466">
        <v>9562</v>
      </c>
      <c r="C162" s="466">
        <v>9562</v>
      </c>
      <c r="D162" s="467">
        <f t="shared" si="8"/>
        <v>0</v>
      </c>
      <c r="E162" s="467">
        <v>0</v>
      </c>
      <c r="F162" s="467">
        <f t="shared" si="7"/>
        <v>0</v>
      </c>
    </row>
    <row r="163" spans="1:7">
      <c r="A163" s="468">
        <v>100018139</v>
      </c>
      <c r="B163" s="466">
        <v>8114</v>
      </c>
      <c r="C163" s="466">
        <v>8309</v>
      </c>
      <c r="D163" s="467">
        <f t="shared" si="8"/>
        <v>195</v>
      </c>
      <c r="E163" s="467">
        <v>195</v>
      </c>
      <c r="F163" s="467">
        <f t="shared" si="7"/>
        <v>0</v>
      </c>
    </row>
    <row r="164" spans="1:7">
      <c r="A164" s="468">
        <v>100018175</v>
      </c>
      <c r="B164" s="466">
        <v>13068</v>
      </c>
      <c r="C164" s="466">
        <v>13068</v>
      </c>
      <c r="D164" s="467">
        <f t="shared" si="8"/>
        <v>0</v>
      </c>
      <c r="E164" s="467">
        <v>0</v>
      </c>
      <c r="F164" s="467">
        <f t="shared" si="7"/>
        <v>0</v>
      </c>
    </row>
    <row r="165" spans="1:7">
      <c r="A165" s="510">
        <v>100018176</v>
      </c>
      <c r="B165" s="511">
        <v>6108</v>
      </c>
      <c r="C165" s="511">
        <v>10603</v>
      </c>
      <c r="D165" s="512">
        <f t="shared" si="8"/>
        <v>4495</v>
      </c>
      <c r="E165" s="512">
        <v>4495</v>
      </c>
      <c r="F165" s="512">
        <f t="shared" si="7"/>
        <v>0</v>
      </c>
      <c r="G165" s="453" t="s">
        <v>663</v>
      </c>
    </row>
    <row r="166" spans="1:7">
      <c r="A166" s="468">
        <v>100018178</v>
      </c>
      <c r="B166" s="466">
        <v>997</v>
      </c>
      <c r="C166" s="466">
        <v>997</v>
      </c>
      <c r="D166" s="467">
        <f t="shared" si="8"/>
        <v>0</v>
      </c>
      <c r="E166" s="467">
        <v>0</v>
      </c>
      <c r="F166" s="467">
        <f t="shared" si="7"/>
        <v>0</v>
      </c>
    </row>
    <row r="167" spans="1:7">
      <c r="A167" s="468">
        <v>100018179</v>
      </c>
      <c r="B167" s="466">
        <v>1784</v>
      </c>
      <c r="C167" s="466">
        <v>1784</v>
      </c>
      <c r="D167" s="467">
        <f t="shared" si="8"/>
        <v>0</v>
      </c>
      <c r="E167" s="467">
        <v>0</v>
      </c>
      <c r="F167" s="467">
        <f t="shared" si="7"/>
        <v>0</v>
      </c>
    </row>
    <row r="168" spans="1:7">
      <c r="A168" s="468">
        <v>100018235</v>
      </c>
      <c r="B168" s="466">
        <v>3845</v>
      </c>
      <c r="C168" s="466">
        <v>3845</v>
      </c>
      <c r="D168" s="467">
        <f t="shared" si="8"/>
        <v>0</v>
      </c>
      <c r="E168" s="467">
        <v>0</v>
      </c>
      <c r="F168" s="467">
        <f t="shared" si="7"/>
        <v>0</v>
      </c>
    </row>
    <row r="169" spans="1:7">
      <c r="A169" s="468">
        <v>100018237</v>
      </c>
      <c r="B169" s="466">
        <v>5185</v>
      </c>
      <c r="C169" s="466">
        <v>5185</v>
      </c>
      <c r="D169" s="467">
        <f t="shared" si="8"/>
        <v>0</v>
      </c>
      <c r="E169" s="467">
        <v>0</v>
      </c>
      <c r="F169" s="467">
        <f t="shared" si="7"/>
        <v>0</v>
      </c>
    </row>
    <row r="170" spans="1:7">
      <c r="A170" s="468">
        <v>100018239</v>
      </c>
      <c r="B170" s="466">
        <v>2790</v>
      </c>
      <c r="C170" s="466">
        <v>2790</v>
      </c>
      <c r="D170" s="467">
        <f t="shared" si="8"/>
        <v>0</v>
      </c>
      <c r="E170" s="467">
        <v>0</v>
      </c>
      <c r="F170" s="467">
        <f t="shared" si="7"/>
        <v>0</v>
      </c>
    </row>
    <row r="171" spans="1:7">
      <c r="A171" s="468">
        <v>100018240</v>
      </c>
      <c r="B171" s="466">
        <v>6183</v>
      </c>
      <c r="C171" s="466">
        <v>6183</v>
      </c>
      <c r="D171" s="467">
        <f t="shared" si="8"/>
        <v>0</v>
      </c>
      <c r="E171" s="467">
        <v>0</v>
      </c>
      <c r="F171" s="467">
        <f t="shared" si="7"/>
        <v>0</v>
      </c>
    </row>
    <row r="172" spans="1:7">
      <c r="A172" s="468">
        <v>100018242</v>
      </c>
      <c r="B172" s="466">
        <v>1841</v>
      </c>
      <c r="C172" s="466">
        <v>1841</v>
      </c>
      <c r="D172" s="467">
        <f t="shared" si="8"/>
        <v>0</v>
      </c>
      <c r="E172" s="467">
        <v>0</v>
      </c>
      <c r="F172" s="467">
        <f t="shared" si="7"/>
        <v>0</v>
      </c>
    </row>
    <row r="173" spans="1:7">
      <c r="A173" s="468">
        <v>100019044</v>
      </c>
      <c r="B173" s="466">
        <v>12790</v>
      </c>
      <c r="C173" s="466">
        <v>12790</v>
      </c>
      <c r="D173" s="467">
        <f t="shared" si="8"/>
        <v>0</v>
      </c>
      <c r="E173" s="467">
        <v>0</v>
      </c>
      <c r="F173" s="467">
        <f t="shared" si="7"/>
        <v>0</v>
      </c>
    </row>
    <row r="174" spans="1:7">
      <c r="A174" s="468">
        <v>100023527</v>
      </c>
      <c r="B174" s="466">
        <v>14681</v>
      </c>
      <c r="C174" s="466">
        <v>14681</v>
      </c>
      <c r="D174" s="467">
        <f t="shared" si="8"/>
        <v>0</v>
      </c>
      <c r="E174" s="467">
        <v>0</v>
      </c>
      <c r="F174" s="467">
        <f t="shared" si="7"/>
        <v>0</v>
      </c>
    </row>
    <row r="175" spans="1:7">
      <c r="A175" s="468">
        <v>100024705</v>
      </c>
      <c r="B175" s="466">
        <v>4824</v>
      </c>
      <c r="C175" s="466">
        <v>4824</v>
      </c>
      <c r="D175" s="467">
        <f t="shared" si="8"/>
        <v>0</v>
      </c>
      <c r="E175" s="467">
        <v>0</v>
      </c>
      <c r="F175" s="467">
        <f t="shared" si="7"/>
        <v>0</v>
      </c>
    </row>
    <row r="176" spans="1:7">
      <c r="A176" s="468">
        <v>100027400</v>
      </c>
      <c r="B176" s="466">
        <v>803</v>
      </c>
      <c r="C176" s="466">
        <v>803</v>
      </c>
      <c r="D176" s="467">
        <f t="shared" si="8"/>
        <v>0</v>
      </c>
      <c r="E176" s="467">
        <v>0</v>
      </c>
      <c r="F176" s="467">
        <f t="shared" si="7"/>
        <v>0</v>
      </c>
    </row>
    <row r="177" spans="1:7">
      <c r="A177" s="468">
        <v>100027987</v>
      </c>
      <c r="B177" s="466">
        <v>5798</v>
      </c>
      <c r="C177" s="466">
        <v>5798</v>
      </c>
      <c r="D177" s="467">
        <f t="shared" si="8"/>
        <v>0</v>
      </c>
      <c r="E177" s="467">
        <v>0</v>
      </c>
      <c r="F177" s="467">
        <f t="shared" si="7"/>
        <v>0</v>
      </c>
    </row>
    <row r="178" spans="1:7">
      <c r="A178" s="468">
        <v>100028764</v>
      </c>
      <c r="B178" s="466">
        <v>5048</v>
      </c>
      <c r="C178" s="466">
        <v>5329</v>
      </c>
      <c r="D178" s="467">
        <f t="shared" si="8"/>
        <v>281</v>
      </c>
      <c r="E178" s="467">
        <v>281</v>
      </c>
      <c r="F178" s="467">
        <f t="shared" si="7"/>
        <v>0</v>
      </c>
    </row>
    <row r="179" spans="1:7">
      <c r="A179" s="468">
        <v>100033322</v>
      </c>
      <c r="B179" s="466">
        <v>4396</v>
      </c>
      <c r="C179" s="466">
        <v>4396</v>
      </c>
      <c r="D179" s="467">
        <f t="shared" si="8"/>
        <v>0</v>
      </c>
      <c r="E179" s="467">
        <v>0</v>
      </c>
      <c r="F179" s="467">
        <f t="shared" si="7"/>
        <v>0</v>
      </c>
    </row>
    <row r="180" spans="1:7">
      <c r="A180" s="468">
        <v>100034173</v>
      </c>
      <c r="B180" s="466">
        <v>6878</v>
      </c>
      <c r="C180" s="466">
        <v>6878</v>
      </c>
      <c r="D180" s="467">
        <f t="shared" si="8"/>
        <v>0</v>
      </c>
      <c r="E180" s="467">
        <v>0</v>
      </c>
      <c r="F180" s="467">
        <f t="shared" si="7"/>
        <v>0</v>
      </c>
    </row>
    <row r="181" spans="1:7">
      <c r="A181" s="468">
        <v>182034833</v>
      </c>
      <c r="B181" s="466">
        <v>4590</v>
      </c>
      <c r="C181" s="466">
        <v>4590</v>
      </c>
      <c r="D181" s="467">
        <f t="shared" si="8"/>
        <v>0</v>
      </c>
      <c r="E181" s="467">
        <v>0</v>
      </c>
      <c r="F181" s="467">
        <f t="shared" si="7"/>
        <v>0</v>
      </c>
    </row>
    <row r="182" spans="1:7">
      <c r="A182" s="468">
        <v>464035</v>
      </c>
      <c r="B182" s="466">
        <v>19907</v>
      </c>
      <c r="C182" s="466">
        <v>19907</v>
      </c>
      <c r="D182" s="467">
        <f t="shared" si="8"/>
        <v>0</v>
      </c>
      <c r="E182" s="467">
        <v>0</v>
      </c>
      <c r="F182" s="467">
        <f t="shared" si="7"/>
        <v>0</v>
      </c>
    </row>
    <row r="183" spans="1:7">
      <c r="A183" s="468">
        <v>464354</v>
      </c>
      <c r="B183" s="466">
        <v>24806</v>
      </c>
      <c r="C183" s="466">
        <v>24806</v>
      </c>
      <c r="D183" s="467">
        <f t="shared" si="8"/>
        <v>0</v>
      </c>
      <c r="E183" s="467">
        <v>0</v>
      </c>
      <c r="F183" s="467">
        <f t="shared" si="7"/>
        <v>0</v>
      </c>
    </row>
    <row r="184" spans="1:7">
      <c r="A184" s="468">
        <v>469491</v>
      </c>
      <c r="B184" s="466">
        <v>8893</v>
      </c>
      <c r="C184" s="466">
        <v>8893</v>
      </c>
      <c r="D184" s="467">
        <f t="shared" si="8"/>
        <v>0</v>
      </c>
      <c r="E184" s="467">
        <v>0</v>
      </c>
      <c r="F184" s="467">
        <f t="shared" si="7"/>
        <v>0</v>
      </c>
    </row>
    <row r="185" spans="1:7">
      <c r="A185" s="468">
        <v>474304</v>
      </c>
      <c r="B185" s="466">
        <v>10293</v>
      </c>
      <c r="C185" s="466">
        <v>10293</v>
      </c>
      <c r="D185" s="467">
        <f t="shared" si="8"/>
        <v>0</v>
      </c>
      <c r="E185" s="467">
        <v>0</v>
      </c>
      <c r="F185" s="467">
        <f t="shared" si="7"/>
        <v>0</v>
      </c>
    </row>
    <row r="186" spans="1:7">
      <c r="A186" s="468" t="s">
        <v>577</v>
      </c>
      <c r="B186" s="466">
        <v>363</v>
      </c>
      <c r="C186" s="466">
        <v>363</v>
      </c>
      <c r="D186" s="467">
        <f t="shared" si="8"/>
        <v>0</v>
      </c>
      <c r="E186" s="467">
        <v>0</v>
      </c>
      <c r="F186" s="467">
        <f t="shared" si="7"/>
        <v>0</v>
      </c>
    </row>
    <row r="187" spans="1:7">
      <c r="A187" s="468" t="s">
        <v>578</v>
      </c>
      <c r="B187" s="466">
        <v>9659</v>
      </c>
      <c r="C187" s="466">
        <v>20145</v>
      </c>
      <c r="D187" s="467">
        <f t="shared" si="8"/>
        <v>10486</v>
      </c>
      <c r="E187" s="467">
        <v>10514</v>
      </c>
      <c r="F187" s="467">
        <f t="shared" si="7"/>
        <v>28</v>
      </c>
      <c r="G187" s="508" t="s">
        <v>662</v>
      </c>
    </row>
    <row r="188" spans="1:7">
      <c r="A188" s="468">
        <v>100019047</v>
      </c>
      <c r="B188" s="466">
        <v>9642</v>
      </c>
      <c r="C188" s="466">
        <v>9642</v>
      </c>
      <c r="D188" s="467">
        <f t="shared" si="8"/>
        <v>0</v>
      </c>
      <c r="E188" s="467">
        <v>0</v>
      </c>
      <c r="F188" s="467">
        <f t="shared" si="7"/>
        <v>0</v>
      </c>
    </row>
    <row r="189" spans="1:7">
      <c r="A189" s="468">
        <v>466798</v>
      </c>
      <c r="B189" s="466">
        <v>4778</v>
      </c>
      <c r="C189" s="466">
        <v>4778</v>
      </c>
      <c r="D189" s="467">
        <f t="shared" si="8"/>
        <v>0</v>
      </c>
      <c r="E189" s="467">
        <v>0</v>
      </c>
      <c r="F189" s="467">
        <f t="shared" si="7"/>
        <v>0</v>
      </c>
    </row>
    <row r="190" spans="1:7">
      <c r="A190" s="468">
        <v>468921</v>
      </c>
      <c r="B190" s="466">
        <v>7087</v>
      </c>
      <c r="C190" s="466">
        <v>7087</v>
      </c>
      <c r="D190" s="467">
        <f t="shared" si="8"/>
        <v>0</v>
      </c>
      <c r="E190" s="467">
        <v>0</v>
      </c>
      <c r="F190" s="467">
        <f t="shared" si="7"/>
        <v>0</v>
      </c>
    </row>
    <row r="191" spans="1:7">
      <c r="A191" s="468">
        <v>469052</v>
      </c>
      <c r="B191" s="466">
        <v>11443</v>
      </c>
      <c r="C191" s="466">
        <v>11443</v>
      </c>
      <c r="D191" s="467">
        <f t="shared" si="8"/>
        <v>0</v>
      </c>
      <c r="E191" s="467">
        <v>0</v>
      </c>
      <c r="F191" s="467">
        <f t="shared" si="7"/>
        <v>0</v>
      </c>
    </row>
    <row r="192" spans="1:7">
      <c r="A192" s="468">
        <v>469493</v>
      </c>
      <c r="B192" s="466">
        <v>4427</v>
      </c>
      <c r="C192" s="466">
        <v>4427</v>
      </c>
      <c r="D192" s="467">
        <f t="shared" si="8"/>
        <v>0</v>
      </c>
      <c r="E192" s="467">
        <v>0</v>
      </c>
      <c r="F192" s="467">
        <f t="shared" si="7"/>
        <v>0</v>
      </c>
    </row>
    <row r="193" spans="1:6">
      <c r="A193" s="468">
        <v>470238</v>
      </c>
      <c r="B193" s="466">
        <v>5770</v>
      </c>
      <c r="C193" s="466">
        <v>5770</v>
      </c>
      <c r="D193" s="467">
        <f t="shared" si="8"/>
        <v>0</v>
      </c>
      <c r="E193" s="467">
        <v>0</v>
      </c>
      <c r="F193" s="467">
        <f t="shared" si="7"/>
        <v>0</v>
      </c>
    </row>
    <row r="194" spans="1:6">
      <c r="A194" s="468">
        <v>470342</v>
      </c>
      <c r="B194" s="466">
        <v>14771</v>
      </c>
      <c r="C194" s="466">
        <v>14771</v>
      </c>
      <c r="D194" s="467">
        <f t="shared" si="8"/>
        <v>0</v>
      </c>
      <c r="E194" s="467">
        <v>0</v>
      </c>
      <c r="F194" s="467">
        <f t="shared" si="7"/>
        <v>0</v>
      </c>
    </row>
    <row r="195" spans="1:6">
      <c r="A195" s="468">
        <v>474049</v>
      </c>
      <c r="B195" s="466">
        <v>11355</v>
      </c>
      <c r="C195" s="466">
        <v>11355</v>
      </c>
      <c r="D195" s="467">
        <f t="shared" si="8"/>
        <v>0</v>
      </c>
      <c r="E195" s="467">
        <v>0</v>
      </c>
      <c r="F195" s="467">
        <f t="shared" si="7"/>
        <v>0</v>
      </c>
    </row>
    <row r="196" spans="1:6">
      <c r="A196" s="468">
        <v>474816</v>
      </c>
      <c r="B196" s="466">
        <v>8587</v>
      </c>
      <c r="C196" s="466">
        <v>8587</v>
      </c>
      <c r="D196" s="467">
        <f t="shared" si="8"/>
        <v>0</v>
      </c>
      <c r="E196" s="467">
        <v>0</v>
      </c>
      <c r="F196" s="467">
        <f t="shared" si="7"/>
        <v>0</v>
      </c>
    </row>
    <row r="197" spans="1:6">
      <c r="A197" s="468">
        <v>471157</v>
      </c>
      <c r="B197" s="466">
        <v>3170</v>
      </c>
      <c r="C197" s="466">
        <v>3170</v>
      </c>
      <c r="D197" s="467">
        <f t="shared" si="8"/>
        <v>0</v>
      </c>
      <c r="E197" s="467">
        <v>0</v>
      </c>
      <c r="F197" s="467">
        <f t="shared" ref="F197:F260" si="9">+E197-D197</f>
        <v>0</v>
      </c>
    </row>
    <row r="198" spans="1:6">
      <c r="A198" s="468">
        <v>482924</v>
      </c>
      <c r="B198" s="466">
        <v>1234</v>
      </c>
      <c r="C198" s="466">
        <v>1234</v>
      </c>
      <c r="D198" s="467">
        <f t="shared" si="8"/>
        <v>0</v>
      </c>
      <c r="E198" s="467">
        <v>0</v>
      </c>
      <c r="F198" s="467">
        <f t="shared" si="9"/>
        <v>0</v>
      </c>
    </row>
    <row r="199" spans="1:6">
      <c r="A199" s="468">
        <v>466742</v>
      </c>
      <c r="B199" s="466">
        <v>19531</v>
      </c>
      <c r="C199" s="466">
        <v>20141</v>
      </c>
      <c r="D199" s="467">
        <f t="shared" si="8"/>
        <v>610</v>
      </c>
      <c r="E199" s="467">
        <v>610</v>
      </c>
      <c r="F199" s="467">
        <f t="shared" si="9"/>
        <v>0</v>
      </c>
    </row>
    <row r="200" spans="1:6">
      <c r="A200" s="468">
        <v>100018226</v>
      </c>
      <c r="B200" s="466">
        <v>2288</v>
      </c>
      <c r="C200" s="466">
        <v>2288</v>
      </c>
      <c r="D200" s="467">
        <f t="shared" si="8"/>
        <v>0</v>
      </c>
      <c r="E200" s="467">
        <v>0</v>
      </c>
      <c r="F200" s="467">
        <f t="shared" si="9"/>
        <v>0</v>
      </c>
    </row>
    <row r="201" spans="1:6">
      <c r="A201" s="468">
        <v>100034888</v>
      </c>
      <c r="B201" s="466">
        <v>3184</v>
      </c>
      <c r="C201" s="466">
        <v>4650</v>
      </c>
      <c r="D201" s="467">
        <f t="shared" si="8"/>
        <v>1466</v>
      </c>
      <c r="E201" s="467">
        <v>1466</v>
      </c>
      <c r="F201" s="467">
        <f t="shared" si="9"/>
        <v>0</v>
      </c>
    </row>
    <row r="202" spans="1:6">
      <c r="A202" s="468">
        <v>100035009</v>
      </c>
      <c r="B202" s="466">
        <v>5365</v>
      </c>
      <c r="C202" s="466">
        <v>7911</v>
      </c>
      <c r="D202" s="467">
        <f t="shared" si="8"/>
        <v>2546</v>
      </c>
      <c r="E202" s="467">
        <v>2546</v>
      </c>
      <c r="F202" s="467">
        <f t="shared" si="9"/>
        <v>0</v>
      </c>
    </row>
    <row r="203" spans="1:6">
      <c r="A203" s="468">
        <v>174034716</v>
      </c>
      <c r="B203" s="466">
        <v>1072</v>
      </c>
      <c r="C203" s="466">
        <v>1072</v>
      </c>
      <c r="D203" s="467">
        <f t="shared" si="8"/>
        <v>0</v>
      </c>
      <c r="E203" s="467">
        <v>0</v>
      </c>
      <c r="F203" s="467">
        <f t="shared" si="9"/>
        <v>0</v>
      </c>
    </row>
    <row r="204" spans="1:6">
      <c r="A204" s="468">
        <v>174034718</v>
      </c>
      <c r="B204" s="466">
        <v>123</v>
      </c>
      <c r="C204" s="466">
        <v>123</v>
      </c>
      <c r="D204" s="467">
        <f t="shared" si="8"/>
        <v>0</v>
      </c>
      <c r="E204" s="467">
        <v>0</v>
      </c>
      <c r="F204" s="467">
        <f t="shared" si="9"/>
        <v>0</v>
      </c>
    </row>
    <row r="205" spans="1:6">
      <c r="A205" s="468">
        <v>174034720</v>
      </c>
      <c r="B205" s="466">
        <v>46</v>
      </c>
      <c r="C205" s="466">
        <v>46</v>
      </c>
      <c r="D205" s="467">
        <f t="shared" ref="D205:D268" si="10">+C205-B205</f>
        <v>0</v>
      </c>
      <c r="E205" s="467">
        <v>0</v>
      </c>
      <c r="F205" s="467">
        <f t="shared" si="9"/>
        <v>0</v>
      </c>
    </row>
    <row r="206" spans="1:6">
      <c r="A206" s="468">
        <v>174034865</v>
      </c>
      <c r="B206" s="466">
        <v>8809</v>
      </c>
      <c r="C206" s="466">
        <v>8809</v>
      </c>
      <c r="D206" s="467">
        <f t="shared" si="10"/>
        <v>0</v>
      </c>
      <c r="E206" s="467">
        <v>0</v>
      </c>
      <c r="F206" s="467">
        <f t="shared" si="9"/>
        <v>0</v>
      </c>
    </row>
    <row r="207" spans="1:6">
      <c r="A207" s="468">
        <v>183034522</v>
      </c>
      <c r="B207" s="466">
        <v>11909</v>
      </c>
      <c r="C207" s="466">
        <v>11909</v>
      </c>
      <c r="D207" s="467">
        <f t="shared" si="10"/>
        <v>0</v>
      </c>
      <c r="E207" s="467">
        <v>0</v>
      </c>
      <c r="F207" s="467">
        <f t="shared" si="9"/>
        <v>0</v>
      </c>
    </row>
    <row r="208" spans="1:6">
      <c r="A208" s="468">
        <v>447636</v>
      </c>
      <c r="B208" s="466">
        <v>341</v>
      </c>
      <c r="C208" s="466">
        <v>341</v>
      </c>
      <c r="D208" s="467">
        <f t="shared" si="10"/>
        <v>0</v>
      </c>
      <c r="E208" s="467">
        <v>0</v>
      </c>
      <c r="F208" s="467">
        <f t="shared" si="9"/>
        <v>0</v>
      </c>
    </row>
    <row r="209" spans="1:7">
      <c r="A209" s="468">
        <v>448315</v>
      </c>
      <c r="B209" s="466">
        <v>53</v>
      </c>
      <c r="C209" s="466">
        <v>53</v>
      </c>
      <c r="D209" s="467">
        <f t="shared" si="10"/>
        <v>0</v>
      </c>
      <c r="E209" s="467">
        <v>0</v>
      </c>
      <c r="F209" s="467">
        <f t="shared" si="9"/>
        <v>0</v>
      </c>
    </row>
    <row r="210" spans="1:7">
      <c r="A210" s="468">
        <v>451823</v>
      </c>
      <c r="B210" s="466">
        <v>477</v>
      </c>
      <c r="C210" s="466">
        <v>477</v>
      </c>
      <c r="D210" s="467">
        <f t="shared" si="10"/>
        <v>0</v>
      </c>
      <c r="E210" s="467">
        <v>0</v>
      </c>
      <c r="F210" s="467">
        <f t="shared" si="9"/>
        <v>0</v>
      </c>
    </row>
    <row r="211" spans="1:7">
      <c r="A211" s="468">
        <v>452172</v>
      </c>
      <c r="B211" s="466">
        <v>67</v>
      </c>
      <c r="C211" s="466">
        <v>67</v>
      </c>
      <c r="D211" s="467">
        <f t="shared" si="10"/>
        <v>0</v>
      </c>
      <c r="E211" s="467">
        <v>0</v>
      </c>
      <c r="F211" s="467">
        <f t="shared" si="9"/>
        <v>0</v>
      </c>
    </row>
    <row r="212" spans="1:7">
      <c r="A212" s="468">
        <v>453289</v>
      </c>
      <c r="B212" s="466">
        <v>1416</v>
      </c>
      <c r="C212" s="466">
        <v>1416</v>
      </c>
      <c r="D212" s="467">
        <f t="shared" si="10"/>
        <v>0</v>
      </c>
      <c r="E212" s="467">
        <v>0</v>
      </c>
      <c r="F212" s="467">
        <f t="shared" si="9"/>
        <v>0</v>
      </c>
    </row>
    <row r="213" spans="1:7">
      <c r="A213" s="468">
        <v>453516</v>
      </c>
      <c r="B213" s="466">
        <v>50</v>
      </c>
      <c r="C213" s="466">
        <v>50</v>
      </c>
      <c r="D213" s="467">
        <f t="shared" si="10"/>
        <v>0</v>
      </c>
      <c r="E213" s="467">
        <v>0</v>
      </c>
      <c r="F213" s="467">
        <f t="shared" si="9"/>
        <v>0</v>
      </c>
    </row>
    <row r="214" spans="1:7">
      <c r="A214" s="468">
        <v>453595</v>
      </c>
      <c r="B214" s="466">
        <v>770</v>
      </c>
      <c r="C214" s="466">
        <v>770</v>
      </c>
      <c r="D214" s="467">
        <f t="shared" si="10"/>
        <v>0</v>
      </c>
      <c r="E214" s="467">
        <v>0</v>
      </c>
      <c r="F214" s="467">
        <f t="shared" si="9"/>
        <v>0</v>
      </c>
    </row>
    <row r="215" spans="1:7">
      <c r="A215" s="468">
        <v>454060</v>
      </c>
      <c r="B215" s="466">
        <v>155</v>
      </c>
      <c r="C215" s="466">
        <v>155</v>
      </c>
      <c r="D215" s="467">
        <f t="shared" si="10"/>
        <v>0</v>
      </c>
      <c r="E215" s="467">
        <v>0</v>
      </c>
      <c r="F215" s="467">
        <f t="shared" si="9"/>
        <v>0</v>
      </c>
    </row>
    <row r="216" spans="1:7">
      <c r="A216" s="468">
        <v>456261</v>
      </c>
      <c r="B216" s="466">
        <v>95</v>
      </c>
      <c r="C216" s="466">
        <v>95</v>
      </c>
      <c r="D216" s="467">
        <f t="shared" si="10"/>
        <v>0</v>
      </c>
      <c r="E216" s="467">
        <v>0</v>
      </c>
      <c r="F216" s="467">
        <f t="shared" si="9"/>
        <v>0</v>
      </c>
    </row>
    <row r="217" spans="1:7">
      <c r="A217" s="468">
        <v>456532</v>
      </c>
      <c r="B217" s="466">
        <v>200</v>
      </c>
      <c r="C217" s="466">
        <v>200</v>
      </c>
      <c r="D217" s="467">
        <f t="shared" si="10"/>
        <v>0</v>
      </c>
      <c r="E217" s="467">
        <v>0</v>
      </c>
      <c r="F217" s="467">
        <f t="shared" si="9"/>
        <v>0</v>
      </c>
    </row>
    <row r="218" spans="1:7">
      <c r="A218" s="468">
        <v>456729</v>
      </c>
      <c r="B218" s="466">
        <v>420</v>
      </c>
      <c r="C218" s="466">
        <v>420</v>
      </c>
      <c r="D218" s="467">
        <f t="shared" si="10"/>
        <v>0</v>
      </c>
      <c r="E218" s="467">
        <v>0</v>
      </c>
      <c r="F218" s="467">
        <f t="shared" si="9"/>
        <v>0</v>
      </c>
    </row>
    <row r="219" spans="1:7">
      <c r="A219" s="468">
        <v>464202</v>
      </c>
      <c r="B219" s="466">
        <v>2313</v>
      </c>
      <c r="C219" s="466">
        <v>2899</v>
      </c>
      <c r="D219" s="467">
        <f t="shared" si="10"/>
        <v>586</v>
      </c>
      <c r="E219" s="467">
        <v>606</v>
      </c>
      <c r="F219" s="467">
        <f t="shared" si="9"/>
        <v>20</v>
      </c>
      <c r="G219" s="508" t="s">
        <v>662</v>
      </c>
    </row>
    <row r="220" spans="1:7">
      <c r="A220" s="468">
        <v>464618</v>
      </c>
      <c r="B220" s="466">
        <v>6956</v>
      </c>
      <c r="C220" s="466">
        <v>6956</v>
      </c>
      <c r="D220" s="467">
        <f t="shared" si="10"/>
        <v>0</v>
      </c>
      <c r="E220" s="467">
        <v>0</v>
      </c>
      <c r="F220" s="467">
        <f t="shared" si="9"/>
        <v>0</v>
      </c>
    </row>
    <row r="221" spans="1:7">
      <c r="A221" s="468">
        <v>466748</v>
      </c>
      <c r="B221" s="466">
        <v>15532</v>
      </c>
      <c r="C221" s="466">
        <v>15532</v>
      </c>
      <c r="D221" s="467">
        <f t="shared" si="10"/>
        <v>0</v>
      </c>
      <c r="E221" s="467">
        <v>0</v>
      </c>
      <c r="F221" s="467">
        <f t="shared" si="9"/>
        <v>0</v>
      </c>
    </row>
    <row r="222" spans="1:7">
      <c r="A222" s="468">
        <v>468918</v>
      </c>
      <c r="B222" s="466">
        <v>2329</v>
      </c>
      <c r="C222" s="466">
        <v>2329</v>
      </c>
      <c r="D222" s="467">
        <f t="shared" si="10"/>
        <v>0</v>
      </c>
      <c r="E222" s="467">
        <v>0</v>
      </c>
      <c r="F222" s="467">
        <f t="shared" si="9"/>
        <v>0</v>
      </c>
    </row>
    <row r="223" spans="1:7">
      <c r="A223" s="468">
        <v>469040</v>
      </c>
      <c r="B223" s="466">
        <v>7927</v>
      </c>
      <c r="C223" s="466">
        <v>8307</v>
      </c>
      <c r="D223" s="467">
        <f t="shared" si="10"/>
        <v>380</v>
      </c>
      <c r="E223" s="467">
        <v>380</v>
      </c>
      <c r="F223" s="467">
        <f t="shared" si="9"/>
        <v>0</v>
      </c>
    </row>
    <row r="224" spans="1:7">
      <c r="A224" s="468">
        <v>469041</v>
      </c>
      <c r="B224" s="466">
        <v>6892</v>
      </c>
      <c r="C224" s="466">
        <v>7248</v>
      </c>
      <c r="D224" s="467">
        <f t="shared" si="10"/>
        <v>356</v>
      </c>
      <c r="E224" s="467">
        <v>356</v>
      </c>
      <c r="F224" s="467">
        <f t="shared" si="9"/>
        <v>0</v>
      </c>
    </row>
    <row r="225" spans="1:7">
      <c r="A225" s="468">
        <v>469042</v>
      </c>
      <c r="B225" s="466">
        <v>6305</v>
      </c>
      <c r="C225" s="466">
        <v>6305</v>
      </c>
      <c r="D225" s="467">
        <f t="shared" si="10"/>
        <v>0</v>
      </c>
      <c r="E225" s="467">
        <v>0</v>
      </c>
      <c r="F225" s="467">
        <f t="shared" si="9"/>
        <v>0</v>
      </c>
    </row>
    <row r="226" spans="1:7">
      <c r="A226" s="468">
        <v>470341</v>
      </c>
      <c r="B226" s="466">
        <v>8633</v>
      </c>
      <c r="C226" s="466">
        <v>8633</v>
      </c>
      <c r="D226" s="467">
        <f t="shared" si="10"/>
        <v>0</v>
      </c>
      <c r="E226" s="467">
        <v>0</v>
      </c>
      <c r="F226" s="467">
        <f t="shared" si="9"/>
        <v>0</v>
      </c>
    </row>
    <row r="227" spans="1:7">
      <c r="A227" s="468">
        <v>471140</v>
      </c>
      <c r="B227" s="466">
        <v>11248</v>
      </c>
      <c r="C227" s="466">
        <v>11248</v>
      </c>
      <c r="D227" s="467">
        <f t="shared" si="10"/>
        <v>0</v>
      </c>
      <c r="E227" s="467">
        <v>0</v>
      </c>
      <c r="F227" s="467">
        <f t="shared" si="9"/>
        <v>0</v>
      </c>
    </row>
    <row r="228" spans="1:7">
      <c r="A228" s="468">
        <v>473551</v>
      </c>
      <c r="B228" s="466">
        <v>18038</v>
      </c>
      <c r="C228" s="466">
        <v>18038</v>
      </c>
      <c r="D228" s="467">
        <f t="shared" si="10"/>
        <v>0</v>
      </c>
      <c r="E228" s="467">
        <v>0</v>
      </c>
      <c r="F228" s="467">
        <f t="shared" si="9"/>
        <v>0</v>
      </c>
    </row>
    <row r="229" spans="1:7">
      <c r="A229" s="468">
        <v>474753</v>
      </c>
      <c r="B229" s="466">
        <v>8504</v>
      </c>
      <c r="C229" s="466">
        <v>8504</v>
      </c>
      <c r="D229" s="467">
        <f t="shared" si="10"/>
        <v>0</v>
      </c>
      <c r="E229" s="467">
        <v>0</v>
      </c>
      <c r="F229" s="467">
        <f t="shared" si="9"/>
        <v>0</v>
      </c>
    </row>
    <row r="230" spans="1:7">
      <c r="A230" s="468">
        <v>474874</v>
      </c>
      <c r="B230" s="466">
        <v>9954</v>
      </c>
      <c r="C230" s="466">
        <v>9954</v>
      </c>
      <c r="D230" s="467">
        <f t="shared" si="10"/>
        <v>0</v>
      </c>
      <c r="E230" s="467">
        <v>0</v>
      </c>
      <c r="F230" s="467">
        <f t="shared" si="9"/>
        <v>0</v>
      </c>
    </row>
    <row r="231" spans="1:7">
      <c r="A231" s="468">
        <v>475746</v>
      </c>
      <c r="B231" s="466">
        <v>4633</v>
      </c>
      <c r="C231" s="466">
        <v>4633</v>
      </c>
      <c r="D231" s="467">
        <f t="shared" si="10"/>
        <v>0</v>
      </c>
      <c r="E231" s="467">
        <v>0</v>
      </c>
      <c r="F231" s="467">
        <f t="shared" si="9"/>
        <v>0</v>
      </c>
    </row>
    <row r="232" spans="1:7">
      <c r="A232" s="468" t="s">
        <v>602</v>
      </c>
      <c r="B232" s="466">
        <v>26</v>
      </c>
      <c r="C232" s="466">
        <v>26</v>
      </c>
      <c r="D232" s="467">
        <f t="shared" si="10"/>
        <v>0</v>
      </c>
      <c r="E232" s="467">
        <v>0</v>
      </c>
      <c r="F232" s="467">
        <f t="shared" si="9"/>
        <v>0</v>
      </c>
    </row>
    <row r="233" spans="1:7">
      <c r="A233" s="468">
        <v>472085</v>
      </c>
      <c r="B233" s="466">
        <v>3859</v>
      </c>
      <c r="C233" s="466">
        <v>9074</v>
      </c>
      <c r="D233" s="467">
        <f t="shared" si="10"/>
        <v>5215</v>
      </c>
      <c r="E233" s="467">
        <v>5215</v>
      </c>
      <c r="F233" s="467">
        <f t="shared" si="9"/>
        <v>0</v>
      </c>
    </row>
    <row r="234" spans="1:7">
      <c r="A234" s="468">
        <v>472371</v>
      </c>
      <c r="B234" s="466">
        <v>1508</v>
      </c>
      <c r="C234" s="466">
        <v>6898</v>
      </c>
      <c r="D234" s="467">
        <f t="shared" si="10"/>
        <v>5390</v>
      </c>
      <c r="E234" s="467">
        <v>5390</v>
      </c>
      <c r="F234" s="467">
        <f t="shared" si="9"/>
        <v>0</v>
      </c>
    </row>
    <row r="235" spans="1:7">
      <c r="A235" s="468">
        <v>474932</v>
      </c>
      <c r="B235" s="466">
        <v>9654</v>
      </c>
      <c r="C235" s="466">
        <v>27474</v>
      </c>
      <c r="D235" s="467">
        <f t="shared" si="10"/>
        <v>17820</v>
      </c>
      <c r="E235" s="467">
        <v>17820</v>
      </c>
      <c r="F235" s="467">
        <f t="shared" si="9"/>
        <v>0</v>
      </c>
    </row>
    <row r="236" spans="1:7">
      <c r="A236" s="468">
        <v>476091</v>
      </c>
      <c r="B236" s="466">
        <v>594</v>
      </c>
      <c r="C236" s="466">
        <v>8735</v>
      </c>
      <c r="D236" s="467">
        <f t="shared" si="10"/>
        <v>8141</v>
      </c>
      <c r="E236" s="467">
        <v>8141</v>
      </c>
      <c r="F236" s="467">
        <f t="shared" si="9"/>
        <v>0</v>
      </c>
    </row>
    <row r="237" spans="1:7">
      <c r="A237" s="468">
        <v>100018130</v>
      </c>
      <c r="B237" s="466">
        <v>6437</v>
      </c>
      <c r="C237" s="466">
        <v>8027</v>
      </c>
      <c r="D237" s="467">
        <f>+C237-B237</f>
        <v>1590</v>
      </c>
      <c r="E237" s="467">
        <v>1589</v>
      </c>
      <c r="F237" s="467">
        <f t="shared" si="9"/>
        <v>-1</v>
      </c>
      <c r="G237" s="508" t="s">
        <v>662</v>
      </c>
    </row>
    <row r="238" spans="1:7">
      <c r="A238" s="468">
        <v>100018197</v>
      </c>
      <c r="B238" s="466">
        <v>9784</v>
      </c>
      <c r="C238" s="466">
        <v>9784</v>
      </c>
      <c r="D238" s="467">
        <f t="shared" si="10"/>
        <v>0</v>
      </c>
      <c r="E238" s="467">
        <v>0</v>
      </c>
      <c r="F238" s="467">
        <f t="shared" si="9"/>
        <v>0</v>
      </c>
    </row>
    <row r="239" spans="1:7">
      <c r="A239" s="468">
        <v>100018200</v>
      </c>
      <c r="B239" s="466">
        <v>4180</v>
      </c>
      <c r="C239" s="466">
        <v>4180</v>
      </c>
      <c r="D239" s="467">
        <f t="shared" si="10"/>
        <v>0</v>
      </c>
      <c r="E239" s="467">
        <v>0</v>
      </c>
      <c r="F239" s="467">
        <f t="shared" si="9"/>
        <v>0</v>
      </c>
    </row>
    <row r="240" spans="1:7">
      <c r="A240" s="468">
        <v>100018207</v>
      </c>
      <c r="B240" s="466">
        <v>3321</v>
      </c>
      <c r="C240" s="466">
        <v>3324</v>
      </c>
      <c r="D240" s="467">
        <f t="shared" si="10"/>
        <v>3</v>
      </c>
      <c r="E240" s="467">
        <v>3</v>
      </c>
      <c r="F240" s="467">
        <f t="shared" si="9"/>
        <v>0</v>
      </c>
    </row>
    <row r="241" spans="1:6">
      <c r="A241" s="468">
        <v>100018224</v>
      </c>
      <c r="B241" s="466">
        <v>2736</v>
      </c>
      <c r="C241" s="466">
        <v>2736</v>
      </c>
      <c r="D241" s="467">
        <f t="shared" si="10"/>
        <v>0</v>
      </c>
      <c r="E241" s="467">
        <v>0</v>
      </c>
      <c r="F241" s="467">
        <f t="shared" si="9"/>
        <v>0</v>
      </c>
    </row>
    <row r="242" spans="1:6">
      <c r="A242" s="468">
        <v>100018229</v>
      </c>
      <c r="B242" s="466">
        <v>9739</v>
      </c>
      <c r="C242" s="466">
        <v>9798</v>
      </c>
      <c r="D242" s="467">
        <f t="shared" si="10"/>
        <v>59</v>
      </c>
      <c r="E242" s="467">
        <v>59</v>
      </c>
      <c r="F242" s="467">
        <f t="shared" si="9"/>
        <v>0</v>
      </c>
    </row>
    <row r="243" spans="1:6">
      <c r="A243" s="468">
        <v>100018250</v>
      </c>
      <c r="B243" s="466">
        <v>7995</v>
      </c>
      <c r="C243" s="466">
        <v>7995</v>
      </c>
      <c r="D243" s="467">
        <f t="shared" si="10"/>
        <v>0</v>
      </c>
      <c r="E243" s="467">
        <v>0</v>
      </c>
      <c r="F243" s="467">
        <f t="shared" si="9"/>
        <v>0</v>
      </c>
    </row>
    <row r="244" spans="1:6">
      <c r="A244" s="468">
        <v>100018251</v>
      </c>
      <c r="B244" s="466">
        <v>3460</v>
      </c>
      <c r="C244" s="466">
        <v>3689</v>
      </c>
      <c r="D244" s="467">
        <f t="shared" si="10"/>
        <v>229</v>
      </c>
      <c r="E244" s="467">
        <v>229</v>
      </c>
      <c r="F244" s="467">
        <f t="shared" si="9"/>
        <v>0</v>
      </c>
    </row>
    <row r="245" spans="1:6">
      <c r="A245" s="468">
        <v>100018252</v>
      </c>
      <c r="B245" s="466">
        <v>2441</v>
      </c>
      <c r="C245" s="466">
        <v>2441</v>
      </c>
      <c r="D245" s="467">
        <f t="shared" si="10"/>
        <v>0</v>
      </c>
      <c r="E245" s="467">
        <v>0</v>
      </c>
      <c r="F245" s="467">
        <f t="shared" si="9"/>
        <v>0</v>
      </c>
    </row>
    <row r="246" spans="1:6">
      <c r="A246" s="468">
        <v>100018257</v>
      </c>
      <c r="B246" s="466">
        <v>4305</v>
      </c>
      <c r="C246" s="466">
        <v>4531</v>
      </c>
      <c r="D246" s="467">
        <f t="shared" si="10"/>
        <v>226</v>
      </c>
      <c r="E246" s="467">
        <v>226</v>
      </c>
      <c r="F246" s="467">
        <f t="shared" si="9"/>
        <v>0</v>
      </c>
    </row>
    <row r="247" spans="1:6">
      <c r="A247" s="468">
        <v>100018258</v>
      </c>
      <c r="B247" s="466">
        <v>6525</v>
      </c>
      <c r="C247" s="466">
        <v>6525</v>
      </c>
      <c r="D247" s="467">
        <f t="shared" si="10"/>
        <v>0</v>
      </c>
      <c r="E247" s="467">
        <v>0</v>
      </c>
      <c r="F247" s="467">
        <f t="shared" si="9"/>
        <v>0</v>
      </c>
    </row>
    <row r="248" spans="1:6">
      <c r="A248" s="468">
        <v>100018259</v>
      </c>
      <c r="B248" s="466">
        <v>1281</v>
      </c>
      <c r="C248" s="466">
        <v>1281</v>
      </c>
      <c r="D248" s="467">
        <f t="shared" si="10"/>
        <v>0</v>
      </c>
      <c r="E248" s="467">
        <v>0</v>
      </c>
      <c r="F248" s="467">
        <f t="shared" si="9"/>
        <v>0</v>
      </c>
    </row>
    <row r="249" spans="1:6">
      <c r="A249" s="468">
        <v>100018260</v>
      </c>
      <c r="B249" s="466">
        <v>1352</v>
      </c>
      <c r="C249" s="466">
        <v>1352</v>
      </c>
      <c r="D249" s="467">
        <f t="shared" si="10"/>
        <v>0</v>
      </c>
      <c r="E249" s="467">
        <v>0</v>
      </c>
      <c r="F249" s="467">
        <f t="shared" si="9"/>
        <v>0</v>
      </c>
    </row>
    <row r="250" spans="1:6">
      <c r="A250" s="468">
        <v>100024706</v>
      </c>
      <c r="B250" s="466">
        <v>3685</v>
      </c>
      <c r="C250" s="466">
        <v>3685</v>
      </c>
      <c r="D250" s="467">
        <f t="shared" si="10"/>
        <v>0</v>
      </c>
      <c r="E250" s="467">
        <v>0</v>
      </c>
      <c r="F250" s="467">
        <f t="shared" si="9"/>
        <v>0</v>
      </c>
    </row>
    <row r="251" spans="1:6">
      <c r="A251" s="468">
        <v>100027409</v>
      </c>
      <c r="B251" s="466">
        <v>4401</v>
      </c>
      <c r="C251" s="466">
        <v>4401</v>
      </c>
      <c r="D251" s="467">
        <f t="shared" si="10"/>
        <v>0</v>
      </c>
      <c r="E251" s="467">
        <v>0</v>
      </c>
      <c r="F251" s="467">
        <f t="shared" si="9"/>
        <v>0</v>
      </c>
    </row>
    <row r="252" spans="1:6">
      <c r="A252" s="468">
        <v>100034267</v>
      </c>
      <c r="B252" s="466">
        <v>1749</v>
      </c>
      <c r="C252" s="466">
        <v>2205</v>
      </c>
      <c r="D252" s="467">
        <f t="shared" si="10"/>
        <v>456</v>
      </c>
      <c r="E252" s="467">
        <v>456</v>
      </c>
      <c r="F252" s="467">
        <f t="shared" si="9"/>
        <v>0</v>
      </c>
    </row>
    <row r="253" spans="1:6">
      <c r="A253" s="468">
        <v>183034591</v>
      </c>
      <c r="B253" s="466">
        <v>4328</v>
      </c>
      <c r="C253" s="466">
        <v>4328</v>
      </c>
      <c r="D253" s="467">
        <f t="shared" si="10"/>
        <v>0</v>
      </c>
      <c r="E253" s="467">
        <v>0</v>
      </c>
      <c r="F253" s="467">
        <f t="shared" si="9"/>
        <v>0</v>
      </c>
    </row>
    <row r="254" spans="1:6">
      <c r="A254" s="468" t="s">
        <v>608</v>
      </c>
      <c r="B254" s="466">
        <v>7443</v>
      </c>
      <c r="C254" s="466">
        <v>12581</v>
      </c>
      <c r="D254" s="467">
        <f t="shared" si="10"/>
        <v>5138</v>
      </c>
      <c r="E254" s="467">
        <v>5138</v>
      </c>
      <c r="F254" s="467">
        <f t="shared" si="9"/>
        <v>0</v>
      </c>
    </row>
    <row r="255" spans="1:6">
      <c r="A255" s="468" t="s">
        <v>609</v>
      </c>
      <c r="B255" s="466">
        <v>1100</v>
      </c>
      <c r="C255" s="466">
        <v>1100</v>
      </c>
      <c r="D255" s="467">
        <f t="shared" si="10"/>
        <v>0</v>
      </c>
      <c r="E255" s="467">
        <v>0</v>
      </c>
      <c r="F255" s="467">
        <f t="shared" si="9"/>
        <v>0</v>
      </c>
    </row>
    <row r="256" spans="1:6">
      <c r="A256" s="468" t="s">
        <v>610</v>
      </c>
      <c r="B256" s="466">
        <v>1306</v>
      </c>
      <c r="C256" s="466">
        <v>1306</v>
      </c>
      <c r="D256" s="467">
        <f t="shared" si="10"/>
        <v>0</v>
      </c>
      <c r="E256" s="467">
        <v>0</v>
      </c>
      <c r="F256" s="467">
        <f t="shared" si="9"/>
        <v>0</v>
      </c>
    </row>
    <row r="257" spans="1:7">
      <c r="A257" s="468">
        <v>100034276</v>
      </c>
      <c r="B257" s="466">
        <v>5936</v>
      </c>
      <c r="C257" s="466">
        <v>5936</v>
      </c>
      <c r="D257" s="467">
        <f t="shared" si="10"/>
        <v>0</v>
      </c>
      <c r="E257" s="467">
        <v>0</v>
      </c>
      <c r="F257" s="467">
        <f t="shared" si="9"/>
        <v>0</v>
      </c>
    </row>
    <row r="258" spans="1:7">
      <c r="A258" s="468">
        <v>183033602</v>
      </c>
      <c r="B258" s="466">
        <v>12787</v>
      </c>
      <c r="C258" s="466">
        <v>39660</v>
      </c>
      <c r="D258" s="467">
        <f t="shared" si="10"/>
        <v>26873</v>
      </c>
      <c r="E258" s="467">
        <v>27273</v>
      </c>
      <c r="F258" s="467">
        <f t="shared" si="9"/>
        <v>400</v>
      </c>
      <c r="G258" s="508" t="s">
        <v>662</v>
      </c>
    </row>
    <row r="259" spans="1:7">
      <c r="A259" s="468">
        <v>183034592</v>
      </c>
      <c r="B259" s="466">
        <v>1733</v>
      </c>
      <c r="C259" s="466">
        <v>1813</v>
      </c>
      <c r="D259" s="467">
        <f t="shared" si="10"/>
        <v>80</v>
      </c>
      <c r="E259" s="467">
        <v>80</v>
      </c>
      <c r="F259" s="467">
        <f t="shared" si="9"/>
        <v>0</v>
      </c>
    </row>
    <row r="260" spans="1:7">
      <c r="A260" s="468">
        <v>476154</v>
      </c>
      <c r="B260" s="466">
        <v>6409</v>
      </c>
      <c r="C260" s="466">
        <v>10113</v>
      </c>
      <c r="D260" s="467">
        <f t="shared" si="10"/>
        <v>3704</v>
      </c>
      <c r="E260" s="467">
        <v>3704</v>
      </c>
      <c r="F260" s="467">
        <f t="shared" si="9"/>
        <v>0</v>
      </c>
    </row>
    <row r="261" spans="1:7">
      <c r="A261" s="468">
        <v>483830</v>
      </c>
      <c r="B261" s="466">
        <v>13527</v>
      </c>
      <c r="C261" s="466">
        <v>45842</v>
      </c>
      <c r="D261" s="467">
        <f t="shared" si="10"/>
        <v>32315</v>
      </c>
      <c r="E261" s="467">
        <v>32315</v>
      </c>
      <c r="F261" s="467">
        <f t="shared" ref="F261:F316" si="11">+E261-D261</f>
        <v>0</v>
      </c>
    </row>
    <row r="262" spans="1:7">
      <c r="A262" s="465">
        <v>79718</v>
      </c>
      <c r="B262" s="465"/>
      <c r="C262" s="466">
        <v>5399</v>
      </c>
      <c r="D262" s="467">
        <f t="shared" si="10"/>
        <v>5399</v>
      </c>
      <c r="E262" s="467">
        <v>5399</v>
      </c>
      <c r="F262" s="467">
        <f t="shared" si="11"/>
        <v>0</v>
      </c>
    </row>
    <row r="263" spans="1:7">
      <c r="A263" s="465">
        <v>470392</v>
      </c>
      <c r="B263" s="465"/>
      <c r="C263" s="466">
        <v>4122</v>
      </c>
      <c r="D263" s="467">
        <f t="shared" si="10"/>
        <v>4122</v>
      </c>
      <c r="E263" s="467">
        <v>4122</v>
      </c>
      <c r="F263" s="467">
        <f t="shared" si="11"/>
        <v>0</v>
      </c>
    </row>
    <row r="264" spans="1:7">
      <c r="A264" s="465">
        <v>471300</v>
      </c>
      <c r="B264" s="465"/>
      <c r="C264" s="466">
        <v>1308</v>
      </c>
      <c r="D264" s="467">
        <f t="shared" si="10"/>
        <v>1308</v>
      </c>
      <c r="E264" s="467">
        <v>1308</v>
      </c>
      <c r="F264" s="467">
        <f t="shared" si="11"/>
        <v>0</v>
      </c>
    </row>
    <row r="265" spans="1:7">
      <c r="A265" s="465">
        <v>474934</v>
      </c>
      <c r="B265" s="465"/>
      <c r="C265" s="466">
        <v>8958</v>
      </c>
      <c r="D265" s="467">
        <f t="shared" si="10"/>
        <v>8958</v>
      </c>
      <c r="E265" s="467">
        <v>8958</v>
      </c>
      <c r="F265" s="467">
        <f t="shared" si="11"/>
        <v>0</v>
      </c>
    </row>
    <row r="266" spans="1:7">
      <c r="A266" s="465">
        <v>474935</v>
      </c>
      <c r="B266" s="465"/>
      <c r="C266" s="466">
        <v>11898</v>
      </c>
      <c r="D266" s="467">
        <f t="shared" si="10"/>
        <v>11898</v>
      </c>
      <c r="E266" s="467">
        <v>11898</v>
      </c>
      <c r="F266" s="467">
        <f t="shared" si="11"/>
        <v>0</v>
      </c>
    </row>
    <row r="267" spans="1:7">
      <c r="A267" s="465">
        <v>474937</v>
      </c>
      <c r="B267" s="465"/>
      <c r="C267" s="466">
        <v>13094</v>
      </c>
      <c r="D267" s="467">
        <f t="shared" si="10"/>
        <v>13094</v>
      </c>
      <c r="E267" s="467">
        <v>13094</v>
      </c>
      <c r="F267" s="467">
        <f t="shared" si="11"/>
        <v>0</v>
      </c>
    </row>
    <row r="268" spans="1:7">
      <c r="A268" s="465">
        <v>476557</v>
      </c>
      <c r="B268" s="465"/>
      <c r="C268" s="466">
        <v>1400</v>
      </c>
      <c r="D268" s="467">
        <f t="shared" si="10"/>
        <v>1400</v>
      </c>
      <c r="E268" s="467">
        <v>1400</v>
      </c>
      <c r="F268" s="467">
        <f t="shared" si="11"/>
        <v>0</v>
      </c>
    </row>
    <row r="269" spans="1:7">
      <c r="A269" s="465">
        <v>100018225</v>
      </c>
      <c r="B269" s="465"/>
      <c r="C269" s="466">
        <v>1884</v>
      </c>
      <c r="D269" s="467">
        <f t="shared" ref="D269:D316" si="12">+C269-B269</f>
        <v>1884</v>
      </c>
      <c r="E269" s="467">
        <v>1884</v>
      </c>
      <c r="F269" s="467">
        <f t="shared" si="11"/>
        <v>0</v>
      </c>
    </row>
    <row r="270" spans="1:7">
      <c r="A270" s="465">
        <v>100018230</v>
      </c>
      <c r="B270" s="465"/>
      <c r="C270" s="466">
        <v>5184</v>
      </c>
      <c r="D270" s="467">
        <f t="shared" si="12"/>
        <v>5184</v>
      </c>
      <c r="E270" s="467">
        <v>5184</v>
      </c>
      <c r="F270" s="467">
        <f t="shared" si="11"/>
        <v>0</v>
      </c>
    </row>
    <row r="271" spans="1:7">
      <c r="A271" s="465">
        <v>100024454</v>
      </c>
      <c r="B271" s="465"/>
      <c r="C271" s="466">
        <v>1146</v>
      </c>
      <c r="D271" s="467">
        <f t="shared" si="12"/>
        <v>1146</v>
      </c>
      <c r="E271" s="467">
        <v>1146</v>
      </c>
      <c r="F271" s="467">
        <f t="shared" si="11"/>
        <v>0</v>
      </c>
    </row>
    <row r="272" spans="1:7">
      <c r="A272" s="465">
        <v>100024455</v>
      </c>
      <c r="B272" s="465"/>
      <c r="C272" s="466">
        <v>1785</v>
      </c>
      <c r="D272" s="467">
        <f t="shared" si="12"/>
        <v>1785</v>
      </c>
      <c r="E272" s="467">
        <v>1785</v>
      </c>
      <c r="F272" s="467">
        <f t="shared" si="11"/>
        <v>0</v>
      </c>
    </row>
    <row r="273" spans="1:6">
      <c r="A273" s="465">
        <v>100024464</v>
      </c>
      <c r="B273" s="465"/>
      <c r="C273" s="466">
        <v>3526</v>
      </c>
      <c r="D273" s="467">
        <f t="shared" si="12"/>
        <v>3526</v>
      </c>
      <c r="E273" s="467">
        <v>3526</v>
      </c>
      <c r="F273" s="467">
        <f t="shared" si="11"/>
        <v>0</v>
      </c>
    </row>
    <row r="274" spans="1:6">
      <c r="A274" s="465">
        <v>100024758</v>
      </c>
      <c r="B274" s="465"/>
      <c r="C274" s="466">
        <v>7292</v>
      </c>
      <c r="D274" s="467">
        <f t="shared" si="12"/>
        <v>7292</v>
      </c>
      <c r="E274" s="467">
        <v>7292</v>
      </c>
      <c r="F274" s="467">
        <f t="shared" si="11"/>
        <v>0</v>
      </c>
    </row>
    <row r="275" spans="1:6">
      <c r="A275" s="465">
        <v>100024806</v>
      </c>
      <c r="B275" s="465"/>
      <c r="C275" s="466">
        <v>3272</v>
      </c>
      <c r="D275" s="467">
        <f t="shared" si="12"/>
        <v>3272</v>
      </c>
      <c r="E275" s="467">
        <v>3272</v>
      </c>
      <c r="F275" s="467">
        <f t="shared" si="11"/>
        <v>0</v>
      </c>
    </row>
    <row r="276" spans="1:6">
      <c r="A276" s="465">
        <v>100024819</v>
      </c>
      <c r="B276" s="465"/>
      <c r="C276" s="466">
        <v>7046</v>
      </c>
      <c r="D276" s="467">
        <f t="shared" si="12"/>
        <v>7046</v>
      </c>
      <c r="E276" s="467">
        <v>7046</v>
      </c>
      <c r="F276" s="467">
        <f t="shared" si="11"/>
        <v>0</v>
      </c>
    </row>
    <row r="277" spans="1:6">
      <c r="A277" s="465">
        <v>100024820</v>
      </c>
      <c r="B277" s="465"/>
      <c r="C277" s="466">
        <v>9851</v>
      </c>
      <c r="D277" s="467">
        <f t="shared" si="12"/>
        <v>9851</v>
      </c>
      <c r="E277" s="467">
        <v>9851</v>
      </c>
      <c r="F277" s="467">
        <f t="shared" si="11"/>
        <v>0</v>
      </c>
    </row>
    <row r="278" spans="1:6">
      <c r="A278" s="465">
        <v>100024824</v>
      </c>
      <c r="B278" s="465"/>
      <c r="C278" s="466">
        <v>1071</v>
      </c>
      <c r="D278" s="467">
        <f t="shared" si="12"/>
        <v>1071</v>
      </c>
      <c r="E278" s="467">
        <v>1071</v>
      </c>
      <c r="F278" s="467">
        <f t="shared" si="11"/>
        <v>0</v>
      </c>
    </row>
    <row r="279" spans="1:6">
      <c r="A279" s="465">
        <v>100024853</v>
      </c>
      <c r="B279" s="465"/>
      <c r="C279" s="466">
        <v>7725</v>
      </c>
      <c r="D279" s="467">
        <f t="shared" si="12"/>
        <v>7725</v>
      </c>
      <c r="E279" s="467">
        <v>7725</v>
      </c>
      <c r="F279" s="467">
        <f t="shared" si="11"/>
        <v>0</v>
      </c>
    </row>
    <row r="280" spans="1:6">
      <c r="A280" s="465">
        <v>100025038</v>
      </c>
      <c r="B280" s="465"/>
      <c r="C280" s="466">
        <v>991</v>
      </c>
      <c r="D280" s="467">
        <f t="shared" si="12"/>
        <v>991</v>
      </c>
      <c r="E280" s="467">
        <v>991</v>
      </c>
      <c r="F280" s="467">
        <f t="shared" si="11"/>
        <v>0</v>
      </c>
    </row>
    <row r="281" spans="1:6">
      <c r="A281" s="465">
        <v>100025039</v>
      </c>
      <c r="B281" s="465"/>
      <c r="C281" s="466">
        <v>4714</v>
      </c>
      <c r="D281" s="467">
        <f t="shared" si="12"/>
        <v>4714</v>
      </c>
      <c r="E281" s="467">
        <v>4714</v>
      </c>
      <c r="F281" s="467">
        <f t="shared" si="11"/>
        <v>0</v>
      </c>
    </row>
    <row r="282" spans="1:6">
      <c r="A282" s="465">
        <v>100027487</v>
      </c>
      <c r="B282" s="465"/>
      <c r="C282" s="466">
        <v>1282</v>
      </c>
      <c r="D282" s="467">
        <f t="shared" si="12"/>
        <v>1282</v>
      </c>
      <c r="E282" s="467">
        <v>1282</v>
      </c>
      <c r="F282" s="467">
        <f t="shared" si="11"/>
        <v>0</v>
      </c>
    </row>
    <row r="283" spans="1:6">
      <c r="A283" s="465">
        <v>100033970</v>
      </c>
      <c r="B283" s="465"/>
      <c r="C283" s="466">
        <v>1465</v>
      </c>
      <c r="D283" s="467">
        <f t="shared" si="12"/>
        <v>1465</v>
      </c>
      <c r="E283" s="467">
        <v>1465</v>
      </c>
      <c r="F283" s="467">
        <f t="shared" si="11"/>
        <v>0</v>
      </c>
    </row>
    <row r="284" spans="1:6">
      <c r="A284" s="465">
        <v>100037213</v>
      </c>
      <c r="B284" s="465"/>
      <c r="C284" s="466">
        <v>2712</v>
      </c>
      <c r="D284" s="467">
        <f t="shared" si="12"/>
        <v>2712</v>
      </c>
      <c r="E284" s="467">
        <v>2712</v>
      </c>
      <c r="F284" s="467">
        <f t="shared" si="11"/>
        <v>0</v>
      </c>
    </row>
    <row r="285" spans="1:6">
      <c r="A285" s="465">
        <v>100037673</v>
      </c>
      <c r="B285" s="465"/>
      <c r="C285" s="466">
        <v>1772</v>
      </c>
      <c r="D285" s="467">
        <f t="shared" si="12"/>
        <v>1772</v>
      </c>
      <c r="E285" s="467">
        <v>1772</v>
      </c>
      <c r="F285" s="467">
        <f t="shared" si="11"/>
        <v>0</v>
      </c>
    </row>
    <row r="286" spans="1:6">
      <c r="A286" s="465">
        <v>100038686</v>
      </c>
      <c r="B286" s="465"/>
      <c r="C286" s="466">
        <v>6084</v>
      </c>
      <c r="D286" s="467">
        <f t="shared" si="12"/>
        <v>6084</v>
      </c>
      <c r="E286" s="467">
        <v>6084</v>
      </c>
      <c r="F286" s="467">
        <f t="shared" si="11"/>
        <v>0</v>
      </c>
    </row>
    <row r="287" spans="1:6">
      <c r="A287" s="465">
        <v>183034540</v>
      </c>
      <c r="B287" s="465"/>
      <c r="C287" s="466">
        <v>1209</v>
      </c>
      <c r="D287" s="467">
        <f t="shared" si="12"/>
        <v>1209</v>
      </c>
      <c r="E287" s="467">
        <v>1209</v>
      </c>
      <c r="F287" s="467">
        <f t="shared" si="11"/>
        <v>0</v>
      </c>
    </row>
    <row r="288" spans="1:6">
      <c r="A288" s="465">
        <v>100033058</v>
      </c>
      <c r="B288" s="465"/>
      <c r="C288" s="466">
        <v>1116</v>
      </c>
      <c r="D288" s="467">
        <f t="shared" si="12"/>
        <v>1116</v>
      </c>
      <c r="E288" s="467">
        <v>1116</v>
      </c>
      <c r="F288" s="467">
        <f t="shared" si="11"/>
        <v>0</v>
      </c>
    </row>
    <row r="289" spans="1:6">
      <c r="A289" s="465">
        <v>100033483</v>
      </c>
      <c r="B289" s="465"/>
      <c r="C289" s="466">
        <v>1488</v>
      </c>
      <c r="D289" s="467">
        <f t="shared" si="12"/>
        <v>1488</v>
      </c>
      <c r="E289" s="467">
        <v>1488</v>
      </c>
      <c r="F289" s="467">
        <f t="shared" si="11"/>
        <v>0</v>
      </c>
    </row>
    <row r="290" spans="1:6">
      <c r="A290" s="465">
        <v>100034352</v>
      </c>
      <c r="B290" s="465"/>
      <c r="C290" s="466">
        <v>6199</v>
      </c>
      <c r="D290" s="467">
        <f t="shared" si="12"/>
        <v>6199</v>
      </c>
      <c r="E290" s="467">
        <v>6199</v>
      </c>
      <c r="F290" s="467">
        <f t="shared" si="11"/>
        <v>0</v>
      </c>
    </row>
    <row r="291" spans="1:6">
      <c r="A291" s="465">
        <v>100041571</v>
      </c>
      <c r="B291" s="465"/>
      <c r="C291" s="466">
        <v>911</v>
      </c>
      <c r="D291" s="467">
        <f t="shared" si="12"/>
        <v>911</v>
      </c>
      <c r="E291" s="467">
        <v>911</v>
      </c>
      <c r="F291" s="467">
        <f t="shared" si="11"/>
        <v>0</v>
      </c>
    </row>
    <row r="292" spans="1:6">
      <c r="A292" s="465">
        <v>183013461</v>
      </c>
      <c r="B292" s="465"/>
      <c r="C292" s="466">
        <v>1637</v>
      </c>
      <c r="D292" s="467">
        <f t="shared" si="12"/>
        <v>1637</v>
      </c>
      <c r="E292" s="467">
        <v>1637</v>
      </c>
      <c r="F292" s="467">
        <f t="shared" si="11"/>
        <v>0</v>
      </c>
    </row>
    <row r="293" spans="1:6">
      <c r="A293" s="465">
        <v>183034538</v>
      </c>
      <c r="B293" s="465"/>
      <c r="C293" s="466">
        <v>11769</v>
      </c>
      <c r="D293" s="467">
        <f t="shared" si="12"/>
        <v>11769</v>
      </c>
      <c r="E293" s="467">
        <v>11769</v>
      </c>
      <c r="F293" s="467">
        <f t="shared" si="11"/>
        <v>0</v>
      </c>
    </row>
    <row r="294" spans="1:6">
      <c r="A294" s="465">
        <v>466315</v>
      </c>
      <c r="B294" s="465"/>
      <c r="C294" s="466">
        <v>5370</v>
      </c>
      <c r="D294" s="467">
        <v>5370</v>
      </c>
      <c r="E294" s="467">
        <v>5370</v>
      </c>
      <c r="F294" s="467">
        <v>0</v>
      </c>
    </row>
    <row r="295" spans="1:6">
      <c r="A295" s="465">
        <v>467791</v>
      </c>
      <c r="B295" s="465"/>
      <c r="C295" s="466">
        <v>8547</v>
      </c>
      <c r="D295" s="467">
        <f t="shared" si="12"/>
        <v>8547</v>
      </c>
      <c r="E295" s="467">
        <v>8547</v>
      </c>
      <c r="F295" s="467">
        <f t="shared" si="11"/>
        <v>0</v>
      </c>
    </row>
    <row r="296" spans="1:6">
      <c r="A296" s="465">
        <v>468564</v>
      </c>
      <c r="B296" s="465"/>
      <c r="C296" s="466">
        <v>2430</v>
      </c>
      <c r="D296" s="467">
        <f t="shared" si="12"/>
        <v>2430</v>
      </c>
      <c r="E296" s="467">
        <v>2430</v>
      </c>
      <c r="F296" s="467">
        <f t="shared" si="11"/>
        <v>0</v>
      </c>
    </row>
    <row r="297" spans="1:6">
      <c r="A297" s="465">
        <v>468568</v>
      </c>
      <c r="B297" s="465"/>
      <c r="C297" s="466">
        <v>4531</v>
      </c>
      <c r="D297" s="467">
        <f t="shared" si="12"/>
        <v>4531</v>
      </c>
      <c r="E297" s="467">
        <v>4531</v>
      </c>
      <c r="F297" s="467">
        <f t="shared" si="11"/>
        <v>0</v>
      </c>
    </row>
    <row r="298" spans="1:6">
      <c r="A298" s="465">
        <v>470390</v>
      </c>
      <c r="B298" s="465"/>
      <c r="C298" s="466">
        <v>3204</v>
      </c>
      <c r="D298" s="467">
        <f t="shared" si="12"/>
        <v>3204</v>
      </c>
      <c r="E298" s="467">
        <v>3204</v>
      </c>
      <c r="F298" s="467">
        <f t="shared" si="11"/>
        <v>0</v>
      </c>
    </row>
    <row r="299" spans="1:6">
      <c r="A299" s="465">
        <v>471627</v>
      </c>
      <c r="B299" s="465"/>
      <c r="C299" s="466">
        <v>10325</v>
      </c>
      <c r="D299" s="467">
        <f t="shared" si="12"/>
        <v>10325</v>
      </c>
      <c r="E299" s="467">
        <v>10325</v>
      </c>
      <c r="F299" s="467">
        <f t="shared" si="11"/>
        <v>0</v>
      </c>
    </row>
    <row r="300" spans="1:6">
      <c r="A300" s="465" t="s">
        <v>653</v>
      </c>
      <c r="B300" s="465"/>
      <c r="C300" s="466">
        <v>2914</v>
      </c>
      <c r="D300" s="467">
        <f t="shared" si="12"/>
        <v>2914</v>
      </c>
      <c r="E300" s="467">
        <v>2914</v>
      </c>
      <c r="F300" s="467">
        <f t="shared" si="11"/>
        <v>0</v>
      </c>
    </row>
    <row r="301" spans="1:6">
      <c r="A301" s="465">
        <v>473781</v>
      </c>
      <c r="B301" s="465"/>
      <c r="C301" s="466">
        <v>1300</v>
      </c>
      <c r="D301" s="467">
        <f t="shared" si="12"/>
        <v>1300</v>
      </c>
      <c r="E301" s="467">
        <v>1300</v>
      </c>
      <c r="F301" s="467">
        <f t="shared" si="11"/>
        <v>0</v>
      </c>
    </row>
    <row r="302" spans="1:6">
      <c r="A302" s="465">
        <v>475813</v>
      </c>
      <c r="B302" s="465"/>
      <c r="C302" s="466">
        <v>11569</v>
      </c>
      <c r="D302" s="467">
        <f t="shared" si="12"/>
        <v>11569</v>
      </c>
      <c r="E302" s="467">
        <v>11569</v>
      </c>
      <c r="F302" s="467">
        <f t="shared" si="11"/>
        <v>0</v>
      </c>
    </row>
    <row r="303" spans="1:6">
      <c r="A303" s="465">
        <v>476148</v>
      </c>
      <c r="B303" s="465"/>
      <c r="C303" s="466">
        <v>10233</v>
      </c>
      <c r="D303" s="467">
        <f t="shared" si="12"/>
        <v>10233</v>
      </c>
      <c r="E303" s="467">
        <v>10233</v>
      </c>
      <c r="F303" s="467">
        <f t="shared" si="11"/>
        <v>0</v>
      </c>
    </row>
    <row r="304" spans="1:6">
      <c r="A304" s="465">
        <v>476239</v>
      </c>
      <c r="B304" s="465"/>
      <c r="C304" s="466">
        <v>3553</v>
      </c>
      <c r="D304" s="467">
        <f t="shared" si="12"/>
        <v>3553</v>
      </c>
      <c r="E304" s="467">
        <v>3553</v>
      </c>
      <c r="F304" s="467">
        <f t="shared" si="11"/>
        <v>0</v>
      </c>
    </row>
    <row r="305" spans="1:6">
      <c r="A305" s="465">
        <v>476545</v>
      </c>
      <c r="B305" s="465"/>
      <c r="C305" s="466">
        <v>3534</v>
      </c>
      <c r="D305" s="467">
        <f t="shared" si="12"/>
        <v>3534</v>
      </c>
      <c r="E305" s="467">
        <v>3534</v>
      </c>
      <c r="F305" s="467">
        <f t="shared" si="11"/>
        <v>0</v>
      </c>
    </row>
    <row r="306" spans="1:6">
      <c r="A306" s="465">
        <v>477891</v>
      </c>
      <c r="B306" s="465"/>
      <c r="C306" s="466">
        <v>502</v>
      </c>
      <c r="D306" s="467">
        <f t="shared" si="12"/>
        <v>502</v>
      </c>
      <c r="E306" s="467">
        <v>502</v>
      </c>
      <c r="F306" s="467">
        <f t="shared" si="11"/>
        <v>0</v>
      </c>
    </row>
    <row r="307" spans="1:6">
      <c r="A307" s="465" t="s">
        <v>650</v>
      </c>
      <c r="B307" s="465"/>
      <c r="C307" s="466">
        <v>7198</v>
      </c>
      <c r="D307" s="467">
        <f t="shared" si="12"/>
        <v>7198</v>
      </c>
      <c r="E307" s="467">
        <v>7198</v>
      </c>
      <c r="F307" s="467">
        <f t="shared" si="11"/>
        <v>0</v>
      </c>
    </row>
    <row r="308" spans="1:6">
      <c r="A308" s="465" t="s">
        <v>640</v>
      </c>
      <c r="B308" s="465"/>
      <c r="C308" s="466">
        <v>1576</v>
      </c>
      <c r="D308" s="467">
        <f t="shared" si="12"/>
        <v>1576</v>
      </c>
      <c r="E308" s="467">
        <v>1576</v>
      </c>
      <c r="F308" s="467">
        <f t="shared" si="11"/>
        <v>0</v>
      </c>
    </row>
    <row r="309" spans="1:6">
      <c r="A309" s="465">
        <v>100035724</v>
      </c>
      <c r="B309" s="465"/>
      <c r="C309" s="466">
        <v>1992</v>
      </c>
      <c r="D309" s="467">
        <f t="shared" si="12"/>
        <v>1992</v>
      </c>
      <c r="E309" s="467">
        <v>1992</v>
      </c>
      <c r="F309" s="467">
        <f t="shared" si="11"/>
        <v>0</v>
      </c>
    </row>
    <row r="310" spans="1:6">
      <c r="A310" s="465" t="s">
        <v>651</v>
      </c>
      <c r="B310" s="465"/>
      <c r="C310" s="466">
        <v>6598</v>
      </c>
      <c r="D310" s="467">
        <f t="shared" si="12"/>
        <v>6598</v>
      </c>
      <c r="E310" s="467">
        <v>6598</v>
      </c>
      <c r="F310" s="467">
        <f t="shared" si="11"/>
        <v>0</v>
      </c>
    </row>
    <row r="311" spans="1:6">
      <c r="A311" s="465" t="s">
        <v>652</v>
      </c>
      <c r="B311" s="465"/>
      <c r="C311" s="466">
        <v>1000</v>
      </c>
      <c r="D311" s="467">
        <f t="shared" si="12"/>
        <v>1000</v>
      </c>
      <c r="E311" s="467">
        <v>1000</v>
      </c>
      <c r="F311" s="467">
        <f t="shared" si="11"/>
        <v>0</v>
      </c>
    </row>
    <row r="312" spans="1:6">
      <c r="A312" s="465" t="s">
        <v>641</v>
      </c>
      <c r="B312" s="465"/>
      <c r="C312" s="466">
        <v>5962</v>
      </c>
      <c r="D312" s="467">
        <f t="shared" si="12"/>
        <v>5962</v>
      </c>
      <c r="E312" s="467">
        <v>5962</v>
      </c>
      <c r="F312" s="467">
        <f t="shared" si="11"/>
        <v>0</v>
      </c>
    </row>
    <row r="313" spans="1:6">
      <c r="A313" s="465" t="s">
        <v>642</v>
      </c>
      <c r="B313" s="465"/>
      <c r="C313" s="466">
        <v>2676</v>
      </c>
      <c r="D313" s="467">
        <f t="shared" si="12"/>
        <v>2676</v>
      </c>
      <c r="E313" s="467">
        <v>2676</v>
      </c>
      <c r="F313" s="467">
        <f t="shared" si="11"/>
        <v>0</v>
      </c>
    </row>
    <row r="314" spans="1:6">
      <c r="A314" s="465" t="s">
        <v>643</v>
      </c>
      <c r="B314" s="465"/>
      <c r="C314" s="466">
        <v>1489</v>
      </c>
      <c r="D314" s="467">
        <f t="shared" si="12"/>
        <v>1489</v>
      </c>
      <c r="E314" s="467">
        <v>1489</v>
      </c>
      <c r="F314" s="467">
        <f t="shared" si="11"/>
        <v>0</v>
      </c>
    </row>
    <row r="315" spans="1:6">
      <c r="A315" s="465" t="s">
        <v>644</v>
      </c>
      <c r="B315" s="465"/>
      <c r="C315" s="466">
        <v>6385</v>
      </c>
      <c r="D315" s="467">
        <f t="shared" si="12"/>
        <v>6385</v>
      </c>
      <c r="E315" s="467">
        <v>6385</v>
      </c>
      <c r="F315" s="467">
        <f t="shared" si="11"/>
        <v>0</v>
      </c>
    </row>
    <row r="316" spans="1:6">
      <c r="A316" s="465" t="s">
        <v>645</v>
      </c>
      <c r="B316" s="465"/>
      <c r="C316" s="466">
        <v>15654</v>
      </c>
      <c r="D316" s="467">
        <f t="shared" si="12"/>
        <v>15654</v>
      </c>
      <c r="E316" s="467">
        <v>15654</v>
      </c>
      <c r="F316" s="467">
        <f t="shared" si="11"/>
        <v>0</v>
      </c>
    </row>
  </sheetData>
  <autoFilter ref="A3:G316" xr:uid="{4DAB4030-9D41-4866-9353-7A71FD1A3607}"/>
  <conditionalFormatting sqref="A1:A1048576">
    <cfRule type="duplicateValues" dxfId="57" priority="1"/>
    <cfRule type="duplicateValues" dxfId="56" priority="2593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XFD476"/>
  <sheetViews>
    <sheetView workbookViewId="0">
      <pane ySplit="5" topLeftCell="A6" activePane="bottomLeft" state="frozen"/>
      <selection activeCell="N30" sqref="N30"/>
      <selection pane="bottomLeft" activeCell="E397" sqref="E397"/>
    </sheetView>
  </sheetViews>
  <sheetFormatPr defaultColWidth="9.140625" defaultRowHeight="15"/>
  <cols>
    <col min="1" max="1" width="15.85546875" style="341" customWidth="1"/>
    <col min="2" max="2" width="15.5703125" style="339" customWidth="1"/>
    <col min="3" max="3" width="16.140625" style="339" customWidth="1"/>
    <col min="4" max="4" width="15.28515625" style="341" customWidth="1"/>
    <col min="5" max="5" width="17.85546875" style="443" customWidth="1"/>
    <col min="6" max="6" width="15.85546875" style="443" customWidth="1"/>
    <col min="7" max="16384" width="9.140625" style="341"/>
  </cols>
  <sheetData>
    <row r="1" spans="1:16384">
      <c r="A1" s="121" t="s">
        <v>99</v>
      </c>
      <c r="D1" s="340"/>
    </row>
    <row r="2" spans="1:16384">
      <c r="A2" s="121"/>
      <c r="D2" s="340"/>
    </row>
    <row r="3" spans="1:16384" ht="23.25">
      <c r="A3" s="540" t="s">
        <v>631</v>
      </c>
      <c r="B3" s="540"/>
      <c r="C3" s="540"/>
      <c r="D3" s="540"/>
      <c r="E3" s="540"/>
      <c r="F3" s="540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  <c r="AH3" s="339"/>
      <c r="AI3" s="339"/>
      <c r="AJ3" s="339"/>
      <c r="AK3" s="339"/>
      <c r="AL3" s="339"/>
      <c r="AM3" s="339"/>
      <c r="AN3" s="339"/>
      <c r="AO3" s="339"/>
      <c r="AP3" s="339"/>
      <c r="AQ3" s="339"/>
      <c r="AR3" s="339"/>
      <c r="AS3" s="339"/>
      <c r="AT3" s="339"/>
      <c r="AU3" s="339"/>
      <c r="AV3" s="339"/>
      <c r="AW3" s="339"/>
      <c r="AX3" s="339"/>
      <c r="AY3" s="339"/>
      <c r="AZ3" s="339"/>
      <c r="BA3" s="339"/>
      <c r="BB3" s="339"/>
      <c r="BC3" s="339"/>
      <c r="BD3" s="339"/>
      <c r="BE3" s="339"/>
      <c r="BF3" s="339"/>
      <c r="BG3" s="339"/>
      <c r="BH3" s="339"/>
      <c r="BI3" s="339"/>
      <c r="BJ3" s="339"/>
      <c r="BK3" s="339"/>
      <c r="BL3" s="339"/>
      <c r="BM3" s="339"/>
      <c r="BN3" s="339"/>
      <c r="BO3" s="339"/>
      <c r="BP3" s="339"/>
      <c r="BQ3" s="339"/>
      <c r="BR3" s="339"/>
      <c r="BS3" s="339"/>
      <c r="BT3" s="339"/>
      <c r="BU3" s="339"/>
      <c r="BV3" s="339"/>
      <c r="BW3" s="339"/>
      <c r="BX3" s="339"/>
      <c r="BY3" s="339"/>
      <c r="BZ3" s="339"/>
      <c r="CA3" s="339"/>
      <c r="CB3" s="339"/>
      <c r="CC3" s="339"/>
      <c r="CD3" s="339"/>
      <c r="CE3" s="339"/>
      <c r="CF3" s="339"/>
      <c r="CG3" s="339"/>
      <c r="CH3" s="339"/>
      <c r="CI3" s="339"/>
      <c r="CJ3" s="339"/>
      <c r="CK3" s="339"/>
      <c r="CL3" s="339"/>
      <c r="CM3" s="339"/>
      <c r="CN3" s="339"/>
      <c r="CO3" s="339"/>
      <c r="CP3" s="339"/>
      <c r="CQ3" s="339"/>
      <c r="CR3" s="339"/>
      <c r="CS3" s="339"/>
      <c r="CT3" s="339"/>
      <c r="CU3" s="339"/>
      <c r="CV3" s="339"/>
      <c r="CW3" s="339"/>
      <c r="CX3" s="339"/>
      <c r="CY3" s="339"/>
      <c r="CZ3" s="339"/>
      <c r="DA3" s="339"/>
      <c r="DB3" s="339"/>
      <c r="DC3" s="339"/>
      <c r="DD3" s="339"/>
      <c r="DE3" s="339"/>
      <c r="DF3" s="339"/>
      <c r="DG3" s="339"/>
      <c r="DH3" s="339"/>
      <c r="DI3" s="339"/>
      <c r="DJ3" s="339"/>
      <c r="DK3" s="339"/>
      <c r="DL3" s="339"/>
      <c r="DM3" s="339"/>
      <c r="DN3" s="339"/>
      <c r="DO3" s="339"/>
      <c r="DP3" s="339"/>
      <c r="DQ3" s="339"/>
      <c r="DR3" s="339"/>
      <c r="DS3" s="339"/>
      <c r="DT3" s="339"/>
      <c r="DU3" s="339"/>
      <c r="DV3" s="339"/>
      <c r="DW3" s="339"/>
      <c r="DX3" s="339"/>
      <c r="DY3" s="339"/>
      <c r="DZ3" s="339"/>
      <c r="EA3" s="339"/>
      <c r="EB3" s="339"/>
      <c r="EC3" s="339"/>
      <c r="ED3" s="339"/>
      <c r="EE3" s="339"/>
      <c r="EF3" s="339"/>
      <c r="EG3" s="339"/>
      <c r="EH3" s="339"/>
      <c r="EI3" s="339"/>
      <c r="EJ3" s="339"/>
      <c r="EK3" s="339"/>
      <c r="EL3" s="339"/>
      <c r="EM3" s="339"/>
      <c r="EN3" s="339"/>
      <c r="EO3" s="339"/>
      <c r="EP3" s="339"/>
      <c r="EQ3" s="339"/>
      <c r="ER3" s="339"/>
      <c r="ES3" s="339"/>
      <c r="ET3" s="339"/>
      <c r="EU3" s="339"/>
      <c r="EV3" s="339"/>
      <c r="EW3" s="339"/>
      <c r="EX3" s="339"/>
      <c r="EY3" s="339"/>
      <c r="EZ3" s="339"/>
      <c r="FA3" s="339"/>
      <c r="FB3" s="339"/>
      <c r="FC3" s="339"/>
      <c r="FD3" s="339"/>
      <c r="FE3" s="339"/>
      <c r="FF3" s="339"/>
      <c r="FG3" s="339"/>
      <c r="FH3" s="339"/>
      <c r="FI3" s="339"/>
      <c r="FJ3" s="339"/>
      <c r="FK3" s="339"/>
      <c r="FL3" s="339"/>
      <c r="FM3" s="339"/>
      <c r="FN3" s="339"/>
      <c r="FO3" s="339"/>
      <c r="FP3" s="339"/>
      <c r="FQ3" s="339"/>
      <c r="FR3" s="339"/>
      <c r="FS3" s="339"/>
      <c r="FT3" s="339"/>
      <c r="FU3" s="339"/>
      <c r="FV3" s="339"/>
      <c r="FW3" s="339"/>
      <c r="FX3" s="339"/>
      <c r="FY3" s="339"/>
      <c r="FZ3" s="339"/>
      <c r="GA3" s="339"/>
      <c r="GB3" s="339"/>
      <c r="GC3" s="339"/>
      <c r="GD3" s="339"/>
      <c r="GE3" s="339"/>
      <c r="GF3" s="339"/>
      <c r="GG3" s="339"/>
      <c r="GH3" s="339"/>
      <c r="GI3" s="339"/>
      <c r="GJ3" s="339"/>
      <c r="GK3" s="339"/>
      <c r="GL3" s="339"/>
      <c r="GM3" s="339"/>
      <c r="GN3" s="339"/>
      <c r="GO3" s="339"/>
      <c r="GP3" s="339"/>
      <c r="GQ3" s="339"/>
      <c r="GR3" s="339"/>
      <c r="GS3" s="339"/>
      <c r="GT3" s="339"/>
      <c r="GU3" s="339"/>
      <c r="GV3" s="339"/>
      <c r="GW3" s="339"/>
      <c r="GX3" s="339"/>
      <c r="GY3" s="339"/>
      <c r="GZ3" s="339"/>
      <c r="HA3" s="339"/>
      <c r="HB3" s="339"/>
      <c r="HC3" s="339"/>
      <c r="HD3" s="339"/>
      <c r="HE3" s="339"/>
      <c r="HF3" s="339"/>
      <c r="HG3" s="339"/>
      <c r="HH3" s="339"/>
      <c r="HI3" s="339"/>
      <c r="HJ3" s="339"/>
      <c r="HK3" s="339"/>
      <c r="HL3" s="339"/>
      <c r="HM3" s="339"/>
      <c r="HN3" s="339"/>
      <c r="HO3" s="339"/>
      <c r="HP3" s="339"/>
      <c r="HQ3" s="339"/>
      <c r="HR3" s="339"/>
      <c r="HS3" s="339"/>
      <c r="HT3" s="339"/>
      <c r="HU3" s="339"/>
      <c r="HV3" s="339"/>
      <c r="HW3" s="339"/>
      <c r="HX3" s="339"/>
      <c r="HY3" s="339"/>
      <c r="HZ3" s="339"/>
      <c r="IA3" s="339"/>
      <c r="IB3" s="339"/>
      <c r="IC3" s="339"/>
      <c r="ID3" s="339"/>
      <c r="IE3" s="339"/>
      <c r="IF3" s="339"/>
      <c r="IG3" s="339"/>
      <c r="IH3" s="339"/>
      <c r="II3" s="339"/>
      <c r="IJ3" s="339"/>
      <c r="IK3" s="339"/>
      <c r="IL3" s="339"/>
      <c r="IM3" s="339"/>
      <c r="IN3" s="339"/>
      <c r="IO3" s="339"/>
      <c r="IP3" s="339"/>
      <c r="IQ3" s="339"/>
      <c r="IR3" s="339"/>
      <c r="IS3" s="339"/>
      <c r="IT3" s="339"/>
      <c r="IU3" s="339"/>
      <c r="IV3" s="339"/>
      <c r="IW3" s="339"/>
      <c r="IX3" s="339"/>
      <c r="IY3" s="339"/>
      <c r="IZ3" s="339"/>
      <c r="JA3" s="339"/>
      <c r="JB3" s="339"/>
      <c r="JC3" s="339"/>
      <c r="JD3" s="339"/>
      <c r="JE3" s="339"/>
      <c r="JF3" s="339"/>
      <c r="JG3" s="339"/>
      <c r="JH3" s="339"/>
      <c r="JI3" s="339"/>
      <c r="JJ3" s="339"/>
      <c r="JK3" s="339"/>
      <c r="JL3" s="339"/>
      <c r="JM3" s="339"/>
      <c r="JN3" s="339"/>
      <c r="JO3" s="339"/>
      <c r="JP3" s="339"/>
      <c r="JQ3" s="339"/>
      <c r="JR3" s="339"/>
      <c r="JS3" s="339"/>
      <c r="JT3" s="339"/>
      <c r="JU3" s="339"/>
      <c r="JV3" s="339"/>
      <c r="JW3" s="339"/>
      <c r="JX3" s="339"/>
      <c r="JY3" s="339"/>
      <c r="JZ3" s="339"/>
      <c r="KA3" s="339"/>
      <c r="KB3" s="339"/>
      <c r="KC3" s="339"/>
      <c r="KD3" s="339"/>
      <c r="KE3" s="339"/>
      <c r="KF3" s="339"/>
      <c r="KG3" s="339"/>
      <c r="KH3" s="339"/>
      <c r="KI3" s="339"/>
      <c r="KJ3" s="339"/>
      <c r="KK3" s="339"/>
      <c r="KL3" s="339"/>
      <c r="KM3" s="339"/>
      <c r="KN3" s="339"/>
      <c r="KO3" s="339"/>
      <c r="KP3" s="339"/>
      <c r="KQ3" s="339"/>
      <c r="KR3" s="339"/>
      <c r="KS3" s="339"/>
      <c r="KT3" s="339"/>
      <c r="KU3" s="339"/>
      <c r="KV3" s="339"/>
      <c r="KW3" s="339"/>
      <c r="KX3" s="339"/>
      <c r="KY3" s="339"/>
      <c r="KZ3" s="339"/>
      <c r="LA3" s="339"/>
      <c r="LB3" s="339"/>
      <c r="LC3" s="339"/>
      <c r="LD3" s="339"/>
      <c r="LE3" s="339"/>
      <c r="LF3" s="339"/>
      <c r="LG3" s="339"/>
      <c r="LH3" s="339"/>
      <c r="LI3" s="339"/>
      <c r="LJ3" s="339"/>
      <c r="LK3" s="339"/>
      <c r="LL3" s="339"/>
      <c r="LM3" s="339"/>
      <c r="LN3" s="339"/>
      <c r="LO3" s="339"/>
      <c r="LP3" s="339"/>
      <c r="LQ3" s="339"/>
      <c r="LR3" s="339"/>
      <c r="LS3" s="339"/>
      <c r="LT3" s="339"/>
      <c r="LU3" s="339"/>
      <c r="LV3" s="339"/>
      <c r="LW3" s="339"/>
      <c r="LX3" s="339"/>
      <c r="LY3" s="339"/>
      <c r="LZ3" s="339"/>
      <c r="MA3" s="339"/>
      <c r="MB3" s="339"/>
      <c r="MC3" s="339"/>
      <c r="MD3" s="339"/>
      <c r="ME3" s="339"/>
      <c r="MF3" s="339"/>
      <c r="MG3" s="339"/>
      <c r="MH3" s="339"/>
      <c r="MI3" s="339"/>
      <c r="MJ3" s="339"/>
      <c r="MK3" s="339"/>
      <c r="ML3" s="339"/>
      <c r="MM3" s="339"/>
      <c r="MN3" s="339"/>
      <c r="MO3" s="339"/>
      <c r="MP3" s="339"/>
      <c r="MQ3" s="339"/>
      <c r="MR3" s="339"/>
      <c r="MS3" s="339"/>
      <c r="MT3" s="339"/>
      <c r="MU3" s="339"/>
      <c r="MV3" s="339"/>
      <c r="MW3" s="339"/>
      <c r="MX3" s="339"/>
      <c r="MY3" s="339"/>
      <c r="MZ3" s="339"/>
      <c r="NA3" s="339"/>
      <c r="NB3" s="339"/>
      <c r="NC3" s="339"/>
      <c r="ND3" s="339"/>
      <c r="NE3" s="339"/>
      <c r="NF3" s="339"/>
      <c r="NG3" s="339"/>
      <c r="NH3" s="339"/>
      <c r="NI3" s="339"/>
      <c r="NJ3" s="339"/>
      <c r="NK3" s="339"/>
      <c r="NL3" s="339"/>
      <c r="NM3" s="339"/>
      <c r="NN3" s="339"/>
      <c r="NO3" s="339"/>
      <c r="NP3" s="339"/>
      <c r="NQ3" s="339"/>
      <c r="NR3" s="339"/>
      <c r="NS3" s="339"/>
      <c r="NT3" s="339"/>
      <c r="NU3" s="339"/>
      <c r="NV3" s="339"/>
      <c r="NW3" s="339"/>
      <c r="NX3" s="339"/>
      <c r="NY3" s="339"/>
      <c r="NZ3" s="339"/>
      <c r="OA3" s="339"/>
      <c r="OB3" s="339"/>
      <c r="OC3" s="339"/>
      <c r="OD3" s="339"/>
      <c r="OE3" s="339"/>
      <c r="OF3" s="339"/>
      <c r="OG3" s="339"/>
      <c r="OH3" s="339"/>
      <c r="OI3" s="339"/>
      <c r="OJ3" s="339"/>
      <c r="OK3" s="339"/>
      <c r="OL3" s="339"/>
      <c r="OM3" s="339"/>
      <c r="ON3" s="339"/>
      <c r="OO3" s="339"/>
      <c r="OP3" s="339"/>
      <c r="OQ3" s="339"/>
      <c r="OR3" s="339"/>
      <c r="OS3" s="339"/>
      <c r="OT3" s="339"/>
      <c r="OU3" s="339"/>
      <c r="OV3" s="339"/>
      <c r="OW3" s="339"/>
      <c r="OX3" s="339"/>
      <c r="OY3" s="339"/>
      <c r="OZ3" s="339"/>
      <c r="PA3" s="339"/>
      <c r="PB3" s="339"/>
      <c r="PC3" s="339"/>
      <c r="PD3" s="339"/>
      <c r="PE3" s="339"/>
      <c r="PF3" s="339"/>
      <c r="PG3" s="339"/>
      <c r="PH3" s="339"/>
      <c r="PI3" s="339"/>
      <c r="PJ3" s="339"/>
      <c r="PK3" s="339"/>
      <c r="PL3" s="339"/>
      <c r="PM3" s="339"/>
      <c r="PN3" s="339"/>
      <c r="PO3" s="339"/>
      <c r="PP3" s="339"/>
      <c r="PQ3" s="339"/>
      <c r="PR3" s="339"/>
      <c r="PS3" s="339"/>
      <c r="PT3" s="339"/>
      <c r="PU3" s="339"/>
      <c r="PV3" s="339"/>
      <c r="PW3" s="339"/>
      <c r="PX3" s="339"/>
      <c r="PY3" s="339"/>
      <c r="PZ3" s="339"/>
      <c r="QA3" s="339"/>
      <c r="QB3" s="339"/>
      <c r="QC3" s="339"/>
      <c r="QD3" s="339"/>
      <c r="QE3" s="339"/>
      <c r="QF3" s="339"/>
      <c r="QG3" s="339"/>
      <c r="QH3" s="339"/>
      <c r="QI3" s="339"/>
      <c r="QJ3" s="339"/>
      <c r="QK3" s="339"/>
      <c r="QL3" s="339"/>
      <c r="QM3" s="339"/>
      <c r="QN3" s="339"/>
      <c r="QO3" s="339"/>
      <c r="QP3" s="339"/>
      <c r="QQ3" s="339"/>
      <c r="QR3" s="339"/>
      <c r="QS3" s="339"/>
      <c r="QT3" s="339"/>
      <c r="QU3" s="339"/>
      <c r="QV3" s="339"/>
      <c r="QW3" s="339"/>
      <c r="QX3" s="339"/>
      <c r="QY3" s="339"/>
      <c r="QZ3" s="339"/>
      <c r="RA3" s="339"/>
      <c r="RB3" s="339"/>
      <c r="RC3" s="339"/>
      <c r="RD3" s="339"/>
      <c r="RE3" s="339"/>
      <c r="RF3" s="339"/>
      <c r="RG3" s="339"/>
      <c r="RH3" s="339"/>
      <c r="RI3" s="339"/>
      <c r="RJ3" s="339"/>
      <c r="RK3" s="339"/>
      <c r="RL3" s="339"/>
      <c r="RM3" s="339"/>
      <c r="RN3" s="339"/>
      <c r="RO3" s="339"/>
      <c r="RP3" s="339"/>
      <c r="RQ3" s="339"/>
      <c r="RR3" s="339"/>
      <c r="RS3" s="339"/>
      <c r="RT3" s="339"/>
      <c r="RU3" s="339"/>
      <c r="RV3" s="339"/>
      <c r="RW3" s="339"/>
      <c r="RX3" s="339"/>
      <c r="RY3" s="339"/>
      <c r="RZ3" s="339"/>
      <c r="SA3" s="339"/>
      <c r="SB3" s="339"/>
      <c r="SC3" s="339"/>
      <c r="SD3" s="339"/>
      <c r="SE3" s="339"/>
      <c r="SF3" s="339"/>
      <c r="SG3" s="339"/>
      <c r="SH3" s="339"/>
      <c r="SI3" s="339"/>
      <c r="SJ3" s="339"/>
      <c r="SK3" s="339"/>
      <c r="SL3" s="339"/>
      <c r="SM3" s="339"/>
      <c r="SN3" s="339"/>
      <c r="SO3" s="339"/>
      <c r="SP3" s="339"/>
      <c r="SQ3" s="339"/>
      <c r="SR3" s="339"/>
      <c r="SS3" s="339"/>
      <c r="ST3" s="339"/>
      <c r="SU3" s="339"/>
      <c r="SV3" s="339"/>
      <c r="SW3" s="339"/>
      <c r="SX3" s="339"/>
      <c r="SY3" s="339"/>
      <c r="SZ3" s="339"/>
      <c r="TA3" s="339"/>
      <c r="TB3" s="339"/>
      <c r="TC3" s="339"/>
      <c r="TD3" s="339"/>
      <c r="TE3" s="339"/>
      <c r="TF3" s="339"/>
      <c r="TG3" s="339"/>
      <c r="TH3" s="339"/>
      <c r="TI3" s="339"/>
      <c r="TJ3" s="339"/>
      <c r="TK3" s="339"/>
      <c r="TL3" s="339"/>
      <c r="TM3" s="339"/>
      <c r="TN3" s="339"/>
      <c r="TO3" s="339"/>
      <c r="TP3" s="339"/>
      <c r="TQ3" s="339"/>
      <c r="TR3" s="339"/>
      <c r="TS3" s="339"/>
      <c r="TT3" s="339"/>
      <c r="TU3" s="339"/>
      <c r="TV3" s="339"/>
      <c r="TW3" s="339"/>
      <c r="TX3" s="339"/>
      <c r="TY3" s="339"/>
      <c r="TZ3" s="339"/>
      <c r="UA3" s="339"/>
      <c r="UB3" s="339"/>
      <c r="UC3" s="339"/>
      <c r="UD3" s="339"/>
      <c r="UE3" s="339"/>
      <c r="UF3" s="339"/>
      <c r="UG3" s="339"/>
      <c r="UH3" s="339"/>
      <c r="UI3" s="339"/>
      <c r="UJ3" s="339"/>
      <c r="UK3" s="339"/>
      <c r="UL3" s="339"/>
      <c r="UM3" s="339"/>
      <c r="UN3" s="339"/>
      <c r="UO3" s="339"/>
      <c r="UP3" s="339"/>
      <c r="UQ3" s="339"/>
      <c r="UR3" s="339"/>
      <c r="US3" s="339"/>
      <c r="UT3" s="339"/>
      <c r="UU3" s="339"/>
      <c r="UV3" s="339"/>
      <c r="UW3" s="339"/>
      <c r="UX3" s="339"/>
      <c r="UY3" s="339"/>
      <c r="UZ3" s="339"/>
      <c r="VA3" s="339"/>
      <c r="VB3" s="339"/>
      <c r="VC3" s="339"/>
      <c r="VD3" s="339"/>
      <c r="VE3" s="339"/>
      <c r="VF3" s="339"/>
      <c r="VG3" s="339"/>
      <c r="VH3" s="339"/>
      <c r="VI3" s="339"/>
      <c r="VJ3" s="339"/>
      <c r="VK3" s="339"/>
      <c r="VL3" s="339"/>
      <c r="VM3" s="339"/>
      <c r="VN3" s="339"/>
      <c r="VO3" s="339"/>
      <c r="VP3" s="339"/>
      <c r="VQ3" s="339"/>
      <c r="VR3" s="339"/>
      <c r="VS3" s="339"/>
      <c r="VT3" s="339"/>
      <c r="VU3" s="339"/>
      <c r="VV3" s="339"/>
      <c r="VW3" s="339"/>
      <c r="VX3" s="339"/>
      <c r="VY3" s="339"/>
      <c r="VZ3" s="339"/>
      <c r="WA3" s="339"/>
      <c r="WB3" s="339"/>
      <c r="WC3" s="339"/>
      <c r="WD3" s="339"/>
      <c r="WE3" s="339"/>
      <c r="WF3" s="339"/>
      <c r="WG3" s="339"/>
      <c r="WH3" s="339"/>
      <c r="WI3" s="339"/>
      <c r="WJ3" s="339"/>
      <c r="WK3" s="339"/>
      <c r="WL3" s="339"/>
      <c r="WM3" s="339"/>
      <c r="WN3" s="339"/>
      <c r="WO3" s="339"/>
      <c r="WP3" s="339"/>
      <c r="WQ3" s="339"/>
      <c r="WR3" s="339"/>
      <c r="WS3" s="339"/>
      <c r="WT3" s="339"/>
      <c r="WU3" s="339"/>
      <c r="WV3" s="339"/>
      <c r="WW3" s="339"/>
      <c r="WX3" s="339"/>
      <c r="WY3" s="339"/>
      <c r="WZ3" s="339"/>
      <c r="XA3" s="339"/>
      <c r="XB3" s="339"/>
      <c r="XC3" s="339"/>
      <c r="XD3" s="339"/>
      <c r="XE3" s="339"/>
      <c r="XF3" s="339"/>
      <c r="XG3" s="339"/>
      <c r="XH3" s="339"/>
      <c r="XI3" s="339"/>
      <c r="XJ3" s="339"/>
      <c r="XK3" s="339"/>
      <c r="XL3" s="339"/>
      <c r="XM3" s="339"/>
      <c r="XN3" s="339"/>
      <c r="XO3" s="339"/>
      <c r="XP3" s="339"/>
      <c r="XQ3" s="339"/>
      <c r="XR3" s="339"/>
      <c r="XS3" s="339"/>
      <c r="XT3" s="339"/>
      <c r="XU3" s="339"/>
      <c r="XV3" s="339"/>
      <c r="XW3" s="339"/>
      <c r="XX3" s="339"/>
      <c r="XY3" s="339"/>
      <c r="XZ3" s="339"/>
      <c r="YA3" s="339"/>
      <c r="YB3" s="339"/>
      <c r="YC3" s="339"/>
      <c r="YD3" s="339"/>
      <c r="YE3" s="339"/>
      <c r="YF3" s="339"/>
      <c r="YG3" s="339"/>
      <c r="YH3" s="339"/>
      <c r="YI3" s="339"/>
      <c r="YJ3" s="339"/>
      <c r="YK3" s="339"/>
      <c r="YL3" s="339"/>
      <c r="YM3" s="339"/>
      <c r="YN3" s="339"/>
      <c r="YO3" s="339"/>
      <c r="YP3" s="339"/>
      <c r="YQ3" s="339"/>
      <c r="YR3" s="339"/>
      <c r="YS3" s="339"/>
      <c r="YT3" s="339"/>
      <c r="YU3" s="339"/>
      <c r="YV3" s="339"/>
      <c r="YW3" s="339"/>
      <c r="YX3" s="339"/>
      <c r="YY3" s="339"/>
      <c r="YZ3" s="339"/>
      <c r="ZA3" s="339"/>
      <c r="ZB3" s="339"/>
      <c r="ZC3" s="339"/>
      <c r="ZD3" s="339"/>
      <c r="ZE3" s="339"/>
      <c r="ZF3" s="339"/>
      <c r="ZG3" s="339"/>
      <c r="ZH3" s="339"/>
      <c r="ZI3" s="339"/>
      <c r="ZJ3" s="339"/>
      <c r="ZK3" s="339"/>
      <c r="ZL3" s="339"/>
      <c r="ZM3" s="339"/>
      <c r="ZN3" s="339"/>
      <c r="ZO3" s="339"/>
      <c r="ZP3" s="339"/>
      <c r="ZQ3" s="339"/>
      <c r="ZR3" s="339"/>
      <c r="ZS3" s="339"/>
      <c r="ZT3" s="339"/>
      <c r="ZU3" s="339"/>
      <c r="ZV3" s="339"/>
      <c r="ZW3" s="339"/>
      <c r="ZX3" s="339"/>
      <c r="ZY3" s="339"/>
      <c r="ZZ3" s="339"/>
      <c r="AAA3" s="339"/>
      <c r="AAB3" s="339"/>
      <c r="AAC3" s="339"/>
      <c r="AAD3" s="339"/>
      <c r="AAE3" s="339"/>
      <c r="AAF3" s="339"/>
      <c r="AAG3" s="339"/>
      <c r="AAH3" s="339"/>
      <c r="AAI3" s="339"/>
      <c r="AAJ3" s="339"/>
      <c r="AAK3" s="339"/>
      <c r="AAL3" s="339"/>
      <c r="AAM3" s="339"/>
      <c r="AAN3" s="339"/>
      <c r="AAO3" s="339"/>
      <c r="AAP3" s="339"/>
      <c r="AAQ3" s="339"/>
      <c r="AAR3" s="339"/>
      <c r="AAS3" s="339"/>
      <c r="AAT3" s="339"/>
      <c r="AAU3" s="339"/>
      <c r="AAV3" s="339"/>
      <c r="AAW3" s="339"/>
      <c r="AAX3" s="339"/>
      <c r="AAY3" s="339"/>
      <c r="AAZ3" s="339"/>
      <c r="ABA3" s="339"/>
      <c r="ABB3" s="339"/>
      <c r="ABC3" s="339"/>
      <c r="ABD3" s="339"/>
      <c r="ABE3" s="339"/>
      <c r="ABF3" s="339"/>
      <c r="ABG3" s="339"/>
      <c r="ABH3" s="339"/>
      <c r="ABI3" s="339"/>
      <c r="ABJ3" s="339"/>
      <c r="ABK3" s="339"/>
      <c r="ABL3" s="339"/>
      <c r="ABM3" s="339"/>
      <c r="ABN3" s="339"/>
      <c r="ABO3" s="339"/>
      <c r="ABP3" s="339"/>
      <c r="ABQ3" s="339"/>
      <c r="ABR3" s="339"/>
      <c r="ABS3" s="339"/>
      <c r="ABT3" s="339"/>
      <c r="ABU3" s="339"/>
      <c r="ABV3" s="339"/>
      <c r="ABW3" s="339"/>
      <c r="ABX3" s="339"/>
      <c r="ABY3" s="339"/>
      <c r="ABZ3" s="339"/>
      <c r="ACA3" s="339"/>
      <c r="ACB3" s="339"/>
      <c r="ACC3" s="339"/>
      <c r="ACD3" s="339"/>
      <c r="ACE3" s="339"/>
      <c r="ACF3" s="339"/>
      <c r="ACG3" s="339"/>
      <c r="ACH3" s="339"/>
      <c r="ACI3" s="339"/>
      <c r="ACJ3" s="339"/>
      <c r="ACK3" s="339"/>
      <c r="ACL3" s="339"/>
      <c r="ACM3" s="339"/>
      <c r="ACN3" s="339"/>
      <c r="ACO3" s="339"/>
      <c r="ACP3" s="339"/>
      <c r="ACQ3" s="339"/>
      <c r="ACR3" s="339"/>
      <c r="ACS3" s="339"/>
      <c r="ACT3" s="339"/>
      <c r="ACU3" s="339"/>
      <c r="ACV3" s="339"/>
      <c r="ACW3" s="339"/>
      <c r="ACX3" s="339"/>
      <c r="ACY3" s="339"/>
      <c r="ACZ3" s="339"/>
      <c r="ADA3" s="339"/>
      <c r="ADB3" s="339"/>
      <c r="ADC3" s="339"/>
      <c r="ADD3" s="339"/>
      <c r="ADE3" s="339"/>
      <c r="ADF3" s="339"/>
      <c r="ADG3" s="339"/>
      <c r="ADH3" s="339"/>
      <c r="ADI3" s="339"/>
      <c r="ADJ3" s="339"/>
      <c r="ADK3" s="339"/>
      <c r="ADL3" s="339"/>
      <c r="ADM3" s="339"/>
      <c r="ADN3" s="339"/>
      <c r="ADO3" s="339"/>
      <c r="ADP3" s="339"/>
      <c r="ADQ3" s="339"/>
      <c r="ADR3" s="339"/>
      <c r="ADS3" s="339"/>
      <c r="ADT3" s="339"/>
      <c r="ADU3" s="339"/>
      <c r="ADV3" s="339"/>
      <c r="ADW3" s="339"/>
      <c r="ADX3" s="339"/>
      <c r="ADY3" s="339"/>
      <c r="ADZ3" s="339"/>
      <c r="AEA3" s="339"/>
      <c r="AEB3" s="339"/>
      <c r="AEC3" s="339"/>
      <c r="AED3" s="339"/>
      <c r="AEE3" s="339"/>
      <c r="AEF3" s="339"/>
      <c r="AEG3" s="339"/>
      <c r="AEH3" s="339"/>
      <c r="AEI3" s="339"/>
      <c r="AEJ3" s="339"/>
      <c r="AEK3" s="339"/>
      <c r="AEL3" s="339"/>
      <c r="AEM3" s="339"/>
      <c r="AEN3" s="339"/>
      <c r="AEO3" s="339"/>
      <c r="AEP3" s="339"/>
      <c r="AEQ3" s="339"/>
      <c r="AER3" s="339"/>
      <c r="AES3" s="339"/>
      <c r="AET3" s="339"/>
      <c r="AEU3" s="339"/>
      <c r="AEV3" s="339"/>
      <c r="AEW3" s="339"/>
      <c r="AEX3" s="339"/>
      <c r="AEY3" s="339"/>
      <c r="AEZ3" s="339"/>
      <c r="AFA3" s="339"/>
      <c r="AFB3" s="339"/>
      <c r="AFC3" s="339"/>
      <c r="AFD3" s="339"/>
      <c r="AFE3" s="339"/>
      <c r="AFF3" s="339"/>
      <c r="AFG3" s="339"/>
      <c r="AFH3" s="339"/>
      <c r="AFI3" s="339"/>
      <c r="AFJ3" s="339"/>
      <c r="AFK3" s="339"/>
      <c r="AFL3" s="339"/>
      <c r="AFM3" s="339"/>
      <c r="AFN3" s="339"/>
      <c r="AFO3" s="339"/>
      <c r="AFP3" s="339"/>
      <c r="AFQ3" s="339"/>
      <c r="AFR3" s="339"/>
      <c r="AFS3" s="339"/>
      <c r="AFT3" s="339"/>
      <c r="AFU3" s="339"/>
      <c r="AFV3" s="339"/>
      <c r="AFW3" s="339"/>
      <c r="AFX3" s="339"/>
      <c r="AFY3" s="339"/>
      <c r="AFZ3" s="339"/>
      <c r="AGA3" s="339"/>
      <c r="AGB3" s="339"/>
      <c r="AGC3" s="339"/>
      <c r="AGD3" s="339"/>
      <c r="AGE3" s="339"/>
      <c r="AGF3" s="339"/>
      <c r="AGG3" s="339"/>
      <c r="AGH3" s="339"/>
      <c r="AGI3" s="339"/>
      <c r="AGJ3" s="339"/>
      <c r="AGK3" s="339"/>
      <c r="AGL3" s="339"/>
      <c r="AGM3" s="339"/>
      <c r="AGN3" s="339"/>
      <c r="AGO3" s="339"/>
      <c r="AGP3" s="339"/>
      <c r="AGQ3" s="339"/>
      <c r="AGR3" s="339"/>
      <c r="AGS3" s="339"/>
      <c r="AGT3" s="339"/>
      <c r="AGU3" s="339"/>
      <c r="AGV3" s="339"/>
      <c r="AGW3" s="339"/>
      <c r="AGX3" s="339"/>
      <c r="AGY3" s="339"/>
      <c r="AGZ3" s="339"/>
      <c r="AHA3" s="339"/>
      <c r="AHB3" s="339"/>
      <c r="AHC3" s="339"/>
      <c r="AHD3" s="339"/>
      <c r="AHE3" s="339"/>
      <c r="AHF3" s="339"/>
      <c r="AHG3" s="339"/>
      <c r="AHH3" s="339"/>
      <c r="AHI3" s="339"/>
      <c r="AHJ3" s="339"/>
      <c r="AHK3" s="339"/>
      <c r="AHL3" s="339"/>
      <c r="AHM3" s="339"/>
      <c r="AHN3" s="339"/>
      <c r="AHO3" s="339"/>
      <c r="AHP3" s="339"/>
      <c r="AHQ3" s="339"/>
      <c r="AHR3" s="339"/>
      <c r="AHS3" s="339"/>
      <c r="AHT3" s="339"/>
      <c r="AHU3" s="339"/>
      <c r="AHV3" s="339"/>
      <c r="AHW3" s="339"/>
      <c r="AHX3" s="339"/>
      <c r="AHY3" s="339"/>
      <c r="AHZ3" s="339"/>
      <c r="AIA3" s="339"/>
      <c r="AIB3" s="339"/>
      <c r="AIC3" s="339"/>
      <c r="AID3" s="339"/>
      <c r="AIE3" s="339"/>
      <c r="AIF3" s="339"/>
      <c r="AIG3" s="339"/>
      <c r="AIH3" s="339"/>
      <c r="AII3" s="339"/>
      <c r="AIJ3" s="339"/>
      <c r="AIK3" s="339"/>
      <c r="AIL3" s="339"/>
      <c r="AIM3" s="339"/>
      <c r="AIN3" s="339"/>
      <c r="AIO3" s="339"/>
      <c r="AIP3" s="339"/>
      <c r="AIQ3" s="339"/>
      <c r="AIR3" s="339"/>
      <c r="AIS3" s="339"/>
      <c r="AIT3" s="339"/>
      <c r="AIU3" s="339"/>
      <c r="AIV3" s="339"/>
      <c r="AIW3" s="339"/>
      <c r="AIX3" s="339"/>
      <c r="AIY3" s="339"/>
      <c r="AIZ3" s="339"/>
      <c r="AJA3" s="339"/>
      <c r="AJB3" s="339"/>
      <c r="AJC3" s="339"/>
      <c r="AJD3" s="339"/>
      <c r="AJE3" s="339"/>
      <c r="AJF3" s="339"/>
      <c r="AJG3" s="339"/>
      <c r="AJH3" s="339"/>
      <c r="AJI3" s="339"/>
      <c r="AJJ3" s="339"/>
      <c r="AJK3" s="339"/>
      <c r="AJL3" s="339"/>
      <c r="AJM3" s="339"/>
      <c r="AJN3" s="339"/>
      <c r="AJO3" s="339"/>
      <c r="AJP3" s="339"/>
      <c r="AJQ3" s="339"/>
      <c r="AJR3" s="339"/>
      <c r="AJS3" s="339"/>
      <c r="AJT3" s="339"/>
      <c r="AJU3" s="339"/>
      <c r="AJV3" s="339"/>
      <c r="AJW3" s="339"/>
      <c r="AJX3" s="339"/>
      <c r="AJY3" s="339"/>
      <c r="AJZ3" s="339"/>
      <c r="AKA3" s="339"/>
      <c r="AKB3" s="339"/>
      <c r="AKC3" s="339"/>
      <c r="AKD3" s="339"/>
      <c r="AKE3" s="339"/>
      <c r="AKF3" s="339"/>
      <c r="AKG3" s="339"/>
      <c r="AKH3" s="339"/>
      <c r="AKI3" s="339"/>
      <c r="AKJ3" s="339"/>
      <c r="AKK3" s="339"/>
      <c r="AKL3" s="339"/>
      <c r="AKM3" s="339"/>
      <c r="AKN3" s="339"/>
      <c r="AKO3" s="339"/>
      <c r="AKP3" s="339"/>
      <c r="AKQ3" s="339"/>
      <c r="AKR3" s="339"/>
      <c r="AKS3" s="339"/>
      <c r="AKT3" s="339"/>
      <c r="AKU3" s="339"/>
      <c r="AKV3" s="339"/>
      <c r="AKW3" s="339"/>
      <c r="AKX3" s="339"/>
      <c r="AKY3" s="339"/>
      <c r="AKZ3" s="339"/>
      <c r="ALA3" s="339"/>
      <c r="ALB3" s="339"/>
      <c r="ALC3" s="339"/>
      <c r="ALD3" s="339"/>
      <c r="ALE3" s="339"/>
      <c r="ALF3" s="339"/>
      <c r="ALG3" s="339"/>
      <c r="ALH3" s="339"/>
      <c r="ALI3" s="339"/>
      <c r="ALJ3" s="339"/>
      <c r="ALK3" s="339"/>
      <c r="ALL3" s="339"/>
      <c r="ALM3" s="339"/>
      <c r="ALN3" s="339"/>
      <c r="ALO3" s="339"/>
      <c r="ALP3" s="339"/>
      <c r="ALQ3" s="339"/>
      <c r="ALR3" s="339"/>
      <c r="ALS3" s="339"/>
      <c r="ALT3" s="339"/>
      <c r="ALU3" s="339"/>
      <c r="ALV3" s="339"/>
      <c r="ALW3" s="339"/>
      <c r="ALX3" s="339"/>
      <c r="ALY3" s="339"/>
      <c r="ALZ3" s="339"/>
      <c r="AMA3" s="339"/>
      <c r="AMB3" s="339"/>
      <c r="AMC3" s="339"/>
      <c r="AMD3" s="339"/>
      <c r="AME3" s="339"/>
      <c r="AMF3" s="339"/>
      <c r="AMG3" s="339"/>
      <c r="AMH3" s="339"/>
      <c r="AMI3" s="339"/>
      <c r="AMJ3" s="339"/>
      <c r="AMK3" s="339"/>
      <c r="AML3" s="339"/>
      <c r="AMM3" s="339"/>
      <c r="AMN3" s="339"/>
      <c r="AMO3" s="339"/>
      <c r="AMP3" s="339"/>
      <c r="AMQ3" s="339"/>
      <c r="AMR3" s="339"/>
      <c r="AMS3" s="339"/>
      <c r="AMT3" s="339"/>
      <c r="AMU3" s="339"/>
      <c r="AMV3" s="339"/>
      <c r="AMW3" s="339"/>
      <c r="AMX3" s="339"/>
      <c r="AMY3" s="339"/>
      <c r="AMZ3" s="339"/>
      <c r="ANA3" s="339"/>
      <c r="ANB3" s="339"/>
      <c r="ANC3" s="339"/>
      <c r="AND3" s="339"/>
      <c r="ANE3" s="339"/>
      <c r="ANF3" s="339"/>
      <c r="ANG3" s="339"/>
      <c r="ANH3" s="339"/>
      <c r="ANI3" s="339"/>
      <c r="ANJ3" s="339"/>
      <c r="ANK3" s="339"/>
      <c r="ANL3" s="339"/>
      <c r="ANM3" s="339"/>
      <c r="ANN3" s="339"/>
      <c r="ANO3" s="339"/>
      <c r="ANP3" s="339"/>
      <c r="ANQ3" s="339"/>
      <c r="ANR3" s="339"/>
      <c r="ANS3" s="339"/>
      <c r="ANT3" s="339"/>
      <c r="ANU3" s="339"/>
      <c r="ANV3" s="339"/>
      <c r="ANW3" s="339"/>
      <c r="ANX3" s="339"/>
      <c r="ANY3" s="339"/>
      <c r="ANZ3" s="339"/>
      <c r="AOA3" s="339"/>
      <c r="AOB3" s="339"/>
      <c r="AOC3" s="339"/>
      <c r="AOD3" s="339"/>
      <c r="AOE3" s="339"/>
      <c r="AOF3" s="339"/>
      <c r="AOG3" s="339"/>
      <c r="AOH3" s="339"/>
      <c r="AOI3" s="339"/>
      <c r="AOJ3" s="339"/>
      <c r="AOK3" s="339"/>
      <c r="AOL3" s="339"/>
      <c r="AOM3" s="339"/>
      <c r="AON3" s="339"/>
      <c r="AOO3" s="339"/>
      <c r="AOP3" s="339"/>
      <c r="AOQ3" s="339"/>
      <c r="AOR3" s="339"/>
      <c r="AOS3" s="339"/>
      <c r="AOT3" s="339"/>
      <c r="AOU3" s="339"/>
      <c r="AOV3" s="339"/>
      <c r="AOW3" s="339"/>
      <c r="AOX3" s="339"/>
      <c r="AOY3" s="339"/>
      <c r="AOZ3" s="339"/>
      <c r="APA3" s="339"/>
      <c r="APB3" s="339"/>
      <c r="APC3" s="339"/>
      <c r="APD3" s="339"/>
      <c r="APE3" s="339"/>
      <c r="APF3" s="339"/>
      <c r="APG3" s="339"/>
      <c r="APH3" s="339"/>
      <c r="API3" s="339"/>
      <c r="APJ3" s="339"/>
      <c r="APK3" s="339"/>
      <c r="APL3" s="339"/>
      <c r="APM3" s="339"/>
      <c r="APN3" s="339"/>
      <c r="APO3" s="339"/>
      <c r="APP3" s="339"/>
      <c r="APQ3" s="339"/>
      <c r="APR3" s="339"/>
      <c r="APS3" s="339"/>
      <c r="APT3" s="339"/>
      <c r="APU3" s="339"/>
      <c r="APV3" s="339"/>
      <c r="APW3" s="339"/>
      <c r="APX3" s="339"/>
      <c r="APY3" s="339"/>
      <c r="APZ3" s="339"/>
      <c r="AQA3" s="339"/>
      <c r="AQB3" s="339"/>
      <c r="AQC3" s="339"/>
      <c r="AQD3" s="339"/>
      <c r="AQE3" s="339"/>
      <c r="AQF3" s="339"/>
      <c r="AQG3" s="339"/>
      <c r="AQH3" s="339"/>
      <c r="AQI3" s="339"/>
      <c r="AQJ3" s="339"/>
      <c r="AQK3" s="339"/>
      <c r="AQL3" s="339"/>
      <c r="AQM3" s="339"/>
      <c r="AQN3" s="339"/>
      <c r="AQO3" s="339"/>
      <c r="AQP3" s="339"/>
      <c r="AQQ3" s="339"/>
      <c r="AQR3" s="339"/>
      <c r="AQS3" s="339"/>
      <c r="AQT3" s="339"/>
      <c r="AQU3" s="339"/>
      <c r="AQV3" s="339"/>
      <c r="AQW3" s="339"/>
      <c r="AQX3" s="339"/>
      <c r="AQY3" s="339"/>
      <c r="AQZ3" s="339"/>
      <c r="ARA3" s="339"/>
      <c r="ARB3" s="339"/>
      <c r="ARC3" s="339"/>
      <c r="ARD3" s="339"/>
      <c r="ARE3" s="339"/>
      <c r="ARF3" s="339"/>
      <c r="ARG3" s="339"/>
      <c r="ARH3" s="339"/>
      <c r="ARI3" s="339"/>
      <c r="ARJ3" s="339"/>
      <c r="ARK3" s="339"/>
      <c r="ARL3" s="339"/>
      <c r="ARM3" s="339"/>
      <c r="ARN3" s="339"/>
      <c r="ARO3" s="339"/>
      <c r="ARP3" s="339"/>
      <c r="ARQ3" s="339"/>
      <c r="ARR3" s="339"/>
      <c r="ARS3" s="339"/>
      <c r="ART3" s="339"/>
      <c r="ARU3" s="339"/>
      <c r="ARV3" s="339"/>
      <c r="ARW3" s="339"/>
      <c r="ARX3" s="339"/>
      <c r="ARY3" s="339"/>
      <c r="ARZ3" s="339"/>
      <c r="ASA3" s="339"/>
      <c r="ASB3" s="339"/>
      <c r="ASC3" s="339"/>
      <c r="ASD3" s="339"/>
      <c r="ASE3" s="339"/>
      <c r="ASF3" s="339"/>
      <c r="ASG3" s="339"/>
      <c r="ASH3" s="339"/>
      <c r="ASI3" s="339"/>
      <c r="ASJ3" s="339"/>
      <c r="ASK3" s="339"/>
      <c r="ASL3" s="339"/>
      <c r="ASM3" s="339"/>
      <c r="ASN3" s="339"/>
      <c r="ASO3" s="339"/>
      <c r="ASP3" s="339"/>
      <c r="ASQ3" s="339"/>
      <c r="ASR3" s="339"/>
      <c r="ASS3" s="339"/>
      <c r="AST3" s="339"/>
      <c r="ASU3" s="339"/>
      <c r="ASV3" s="339"/>
      <c r="ASW3" s="339"/>
      <c r="ASX3" s="339"/>
      <c r="ASY3" s="339"/>
      <c r="ASZ3" s="339"/>
      <c r="ATA3" s="339"/>
      <c r="ATB3" s="339"/>
      <c r="ATC3" s="339"/>
      <c r="ATD3" s="339"/>
      <c r="ATE3" s="339"/>
      <c r="ATF3" s="339"/>
      <c r="ATG3" s="339"/>
      <c r="ATH3" s="339"/>
      <c r="ATI3" s="339"/>
      <c r="ATJ3" s="339"/>
      <c r="ATK3" s="339"/>
      <c r="ATL3" s="339"/>
      <c r="ATM3" s="339"/>
      <c r="ATN3" s="339"/>
      <c r="ATO3" s="339"/>
      <c r="ATP3" s="339"/>
      <c r="ATQ3" s="339"/>
      <c r="ATR3" s="339"/>
      <c r="ATS3" s="339"/>
      <c r="ATT3" s="339"/>
      <c r="ATU3" s="339"/>
      <c r="ATV3" s="339"/>
      <c r="ATW3" s="339"/>
      <c r="ATX3" s="339"/>
      <c r="ATY3" s="339"/>
      <c r="ATZ3" s="339"/>
      <c r="AUA3" s="339"/>
      <c r="AUB3" s="339"/>
      <c r="AUC3" s="339"/>
      <c r="AUD3" s="339"/>
      <c r="AUE3" s="339"/>
      <c r="AUF3" s="339"/>
      <c r="AUG3" s="339"/>
      <c r="AUH3" s="339"/>
      <c r="AUI3" s="339"/>
      <c r="AUJ3" s="339"/>
      <c r="AUK3" s="339"/>
      <c r="AUL3" s="339"/>
      <c r="AUM3" s="339"/>
      <c r="AUN3" s="339"/>
      <c r="AUO3" s="339"/>
      <c r="AUP3" s="339"/>
      <c r="AUQ3" s="339"/>
      <c r="AUR3" s="339"/>
      <c r="AUS3" s="339"/>
      <c r="AUT3" s="339"/>
      <c r="AUU3" s="339"/>
      <c r="AUV3" s="339"/>
      <c r="AUW3" s="339"/>
      <c r="AUX3" s="339"/>
      <c r="AUY3" s="339"/>
      <c r="AUZ3" s="339"/>
      <c r="AVA3" s="339"/>
      <c r="AVB3" s="339"/>
      <c r="AVC3" s="339"/>
      <c r="AVD3" s="339"/>
      <c r="AVE3" s="339"/>
      <c r="AVF3" s="339"/>
      <c r="AVG3" s="339"/>
      <c r="AVH3" s="339"/>
      <c r="AVI3" s="339"/>
      <c r="AVJ3" s="339"/>
      <c r="AVK3" s="339"/>
      <c r="AVL3" s="339"/>
      <c r="AVM3" s="339"/>
      <c r="AVN3" s="339"/>
      <c r="AVO3" s="339"/>
      <c r="AVP3" s="339"/>
      <c r="AVQ3" s="339"/>
      <c r="AVR3" s="339"/>
      <c r="AVS3" s="339"/>
      <c r="AVT3" s="339"/>
      <c r="AVU3" s="339"/>
      <c r="AVV3" s="339"/>
      <c r="AVW3" s="339"/>
      <c r="AVX3" s="339"/>
      <c r="AVY3" s="339"/>
      <c r="AVZ3" s="339"/>
      <c r="AWA3" s="339"/>
      <c r="AWB3" s="339"/>
      <c r="AWC3" s="339"/>
      <c r="AWD3" s="339"/>
      <c r="AWE3" s="339"/>
      <c r="AWF3" s="339"/>
      <c r="AWG3" s="339"/>
      <c r="AWH3" s="339"/>
      <c r="AWI3" s="339"/>
      <c r="AWJ3" s="339"/>
      <c r="AWK3" s="339"/>
      <c r="AWL3" s="339"/>
      <c r="AWM3" s="339"/>
      <c r="AWN3" s="339"/>
      <c r="AWO3" s="339"/>
      <c r="AWP3" s="339"/>
      <c r="AWQ3" s="339"/>
      <c r="AWR3" s="339"/>
      <c r="AWS3" s="339"/>
      <c r="AWT3" s="339"/>
      <c r="AWU3" s="339"/>
      <c r="AWV3" s="339"/>
      <c r="AWW3" s="339"/>
      <c r="AWX3" s="339"/>
      <c r="AWY3" s="339"/>
      <c r="AWZ3" s="339"/>
      <c r="AXA3" s="339"/>
      <c r="AXB3" s="339"/>
      <c r="AXC3" s="339"/>
      <c r="AXD3" s="339"/>
      <c r="AXE3" s="339"/>
      <c r="AXF3" s="339"/>
      <c r="AXG3" s="339"/>
      <c r="AXH3" s="339"/>
      <c r="AXI3" s="339"/>
      <c r="AXJ3" s="339"/>
      <c r="AXK3" s="339"/>
      <c r="AXL3" s="339"/>
      <c r="AXM3" s="339"/>
      <c r="AXN3" s="339"/>
      <c r="AXO3" s="339"/>
      <c r="AXP3" s="339"/>
      <c r="AXQ3" s="339"/>
      <c r="AXR3" s="339"/>
      <c r="AXS3" s="339"/>
      <c r="AXT3" s="339"/>
      <c r="AXU3" s="339"/>
      <c r="AXV3" s="339"/>
      <c r="AXW3" s="339"/>
      <c r="AXX3" s="339"/>
      <c r="AXY3" s="339"/>
      <c r="AXZ3" s="339"/>
      <c r="AYA3" s="339"/>
      <c r="AYB3" s="339"/>
      <c r="AYC3" s="339"/>
      <c r="AYD3" s="339"/>
      <c r="AYE3" s="339"/>
      <c r="AYF3" s="339"/>
      <c r="AYG3" s="339"/>
      <c r="AYH3" s="339"/>
      <c r="AYI3" s="339"/>
      <c r="AYJ3" s="339"/>
      <c r="AYK3" s="339"/>
      <c r="AYL3" s="339"/>
      <c r="AYM3" s="339"/>
      <c r="AYN3" s="339"/>
      <c r="AYO3" s="339"/>
      <c r="AYP3" s="339"/>
      <c r="AYQ3" s="339"/>
      <c r="AYR3" s="339"/>
      <c r="AYS3" s="339"/>
      <c r="AYT3" s="339"/>
      <c r="AYU3" s="339"/>
      <c r="AYV3" s="339"/>
      <c r="AYW3" s="339"/>
      <c r="AYX3" s="339"/>
      <c r="AYY3" s="339"/>
      <c r="AYZ3" s="339"/>
      <c r="AZA3" s="339"/>
      <c r="AZB3" s="339"/>
      <c r="AZC3" s="339"/>
      <c r="AZD3" s="339"/>
      <c r="AZE3" s="339"/>
      <c r="AZF3" s="339"/>
      <c r="AZG3" s="339"/>
      <c r="AZH3" s="339"/>
      <c r="AZI3" s="339"/>
      <c r="AZJ3" s="339"/>
      <c r="AZK3" s="339"/>
      <c r="AZL3" s="339"/>
      <c r="AZM3" s="339"/>
      <c r="AZN3" s="339"/>
      <c r="AZO3" s="339"/>
      <c r="AZP3" s="339"/>
      <c r="AZQ3" s="339"/>
      <c r="AZR3" s="339"/>
      <c r="AZS3" s="339"/>
      <c r="AZT3" s="339"/>
      <c r="AZU3" s="339"/>
      <c r="AZV3" s="339"/>
      <c r="AZW3" s="339"/>
      <c r="AZX3" s="339"/>
      <c r="AZY3" s="339"/>
      <c r="AZZ3" s="339"/>
      <c r="BAA3" s="339"/>
      <c r="BAB3" s="339"/>
      <c r="BAC3" s="339"/>
      <c r="BAD3" s="339"/>
      <c r="BAE3" s="339"/>
      <c r="BAF3" s="339"/>
      <c r="BAG3" s="339"/>
      <c r="BAH3" s="339"/>
      <c r="BAI3" s="339"/>
      <c r="BAJ3" s="339"/>
      <c r="BAK3" s="339"/>
      <c r="BAL3" s="339"/>
      <c r="BAM3" s="339"/>
      <c r="BAN3" s="339"/>
      <c r="BAO3" s="339"/>
      <c r="BAP3" s="339"/>
      <c r="BAQ3" s="339"/>
      <c r="BAR3" s="339"/>
      <c r="BAS3" s="339"/>
      <c r="BAT3" s="339"/>
      <c r="BAU3" s="339"/>
      <c r="BAV3" s="339"/>
      <c r="BAW3" s="339"/>
      <c r="BAX3" s="339"/>
      <c r="BAY3" s="339"/>
      <c r="BAZ3" s="339"/>
      <c r="BBA3" s="339"/>
      <c r="BBB3" s="339"/>
      <c r="BBC3" s="339"/>
      <c r="BBD3" s="339"/>
      <c r="BBE3" s="339"/>
      <c r="BBF3" s="339"/>
      <c r="BBG3" s="339"/>
      <c r="BBH3" s="339"/>
      <c r="BBI3" s="339"/>
      <c r="BBJ3" s="339"/>
      <c r="BBK3" s="339"/>
      <c r="BBL3" s="339"/>
      <c r="BBM3" s="339"/>
      <c r="BBN3" s="339"/>
      <c r="BBO3" s="339"/>
      <c r="BBP3" s="339"/>
      <c r="BBQ3" s="339"/>
      <c r="BBR3" s="339"/>
      <c r="BBS3" s="339"/>
      <c r="BBT3" s="339"/>
      <c r="BBU3" s="339"/>
      <c r="BBV3" s="339"/>
      <c r="BBW3" s="339"/>
      <c r="BBX3" s="339"/>
      <c r="BBY3" s="339"/>
      <c r="BBZ3" s="339"/>
      <c r="BCA3" s="339"/>
      <c r="BCB3" s="339"/>
      <c r="BCC3" s="339"/>
      <c r="BCD3" s="339"/>
      <c r="BCE3" s="339"/>
      <c r="BCF3" s="339"/>
      <c r="BCG3" s="339"/>
      <c r="BCH3" s="339"/>
      <c r="BCI3" s="339"/>
      <c r="BCJ3" s="339"/>
      <c r="BCK3" s="339"/>
      <c r="BCL3" s="339"/>
      <c r="BCM3" s="339"/>
      <c r="BCN3" s="339"/>
      <c r="BCO3" s="339"/>
      <c r="BCP3" s="339"/>
      <c r="BCQ3" s="339"/>
      <c r="BCR3" s="339"/>
      <c r="BCS3" s="339"/>
      <c r="BCT3" s="339"/>
      <c r="BCU3" s="339"/>
      <c r="BCV3" s="339"/>
      <c r="BCW3" s="339"/>
      <c r="BCX3" s="339"/>
      <c r="BCY3" s="339"/>
      <c r="BCZ3" s="339"/>
      <c r="BDA3" s="339"/>
      <c r="BDB3" s="339"/>
      <c r="BDC3" s="339"/>
      <c r="BDD3" s="339"/>
      <c r="BDE3" s="339"/>
      <c r="BDF3" s="339"/>
      <c r="BDG3" s="339"/>
      <c r="BDH3" s="339"/>
      <c r="BDI3" s="339"/>
      <c r="BDJ3" s="339"/>
      <c r="BDK3" s="339"/>
      <c r="BDL3" s="339"/>
      <c r="BDM3" s="339"/>
      <c r="BDN3" s="339"/>
      <c r="BDO3" s="339"/>
      <c r="BDP3" s="339"/>
      <c r="BDQ3" s="339"/>
      <c r="BDR3" s="339"/>
      <c r="BDS3" s="339"/>
      <c r="BDT3" s="339"/>
      <c r="BDU3" s="339"/>
      <c r="BDV3" s="339"/>
      <c r="BDW3" s="339"/>
      <c r="BDX3" s="339"/>
      <c r="BDY3" s="339"/>
      <c r="BDZ3" s="339"/>
      <c r="BEA3" s="339"/>
      <c r="BEB3" s="339"/>
      <c r="BEC3" s="339"/>
      <c r="BED3" s="339"/>
      <c r="BEE3" s="339"/>
      <c r="BEF3" s="339"/>
      <c r="BEG3" s="339"/>
      <c r="BEH3" s="339"/>
      <c r="BEI3" s="339"/>
      <c r="BEJ3" s="339"/>
      <c r="BEK3" s="339"/>
      <c r="BEL3" s="339"/>
      <c r="BEM3" s="339"/>
      <c r="BEN3" s="339"/>
      <c r="BEO3" s="339"/>
      <c r="BEP3" s="339"/>
      <c r="BEQ3" s="339"/>
      <c r="BER3" s="339"/>
      <c r="BES3" s="339"/>
      <c r="BET3" s="339"/>
      <c r="BEU3" s="339"/>
      <c r="BEV3" s="339"/>
      <c r="BEW3" s="339"/>
      <c r="BEX3" s="339"/>
      <c r="BEY3" s="339"/>
      <c r="BEZ3" s="339"/>
      <c r="BFA3" s="339"/>
      <c r="BFB3" s="339"/>
      <c r="BFC3" s="339"/>
      <c r="BFD3" s="339"/>
      <c r="BFE3" s="339"/>
      <c r="BFF3" s="339"/>
      <c r="BFG3" s="339"/>
      <c r="BFH3" s="339"/>
      <c r="BFI3" s="339"/>
      <c r="BFJ3" s="339"/>
      <c r="BFK3" s="339"/>
      <c r="BFL3" s="339"/>
      <c r="BFM3" s="339"/>
      <c r="BFN3" s="339"/>
      <c r="BFO3" s="339"/>
      <c r="BFP3" s="339"/>
      <c r="BFQ3" s="339"/>
      <c r="BFR3" s="339"/>
      <c r="BFS3" s="339"/>
      <c r="BFT3" s="339"/>
      <c r="BFU3" s="339"/>
      <c r="BFV3" s="339"/>
      <c r="BFW3" s="339"/>
      <c r="BFX3" s="339"/>
      <c r="BFY3" s="339"/>
      <c r="BFZ3" s="339"/>
      <c r="BGA3" s="339"/>
      <c r="BGB3" s="339"/>
      <c r="BGC3" s="339"/>
      <c r="BGD3" s="339"/>
      <c r="BGE3" s="339"/>
      <c r="BGF3" s="339"/>
      <c r="BGG3" s="339"/>
      <c r="BGH3" s="339"/>
      <c r="BGI3" s="339"/>
      <c r="BGJ3" s="339"/>
      <c r="BGK3" s="339"/>
      <c r="BGL3" s="339"/>
      <c r="BGM3" s="339"/>
      <c r="BGN3" s="339"/>
      <c r="BGO3" s="339"/>
      <c r="BGP3" s="339"/>
      <c r="BGQ3" s="339"/>
      <c r="BGR3" s="339"/>
      <c r="BGS3" s="339"/>
      <c r="BGT3" s="339"/>
      <c r="BGU3" s="339"/>
      <c r="BGV3" s="339"/>
      <c r="BGW3" s="339"/>
      <c r="BGX3" s="339"/>
      <c r="BGY3" s="339"/>
      <c r="BGZ3" s="339"/>
      <c r="BHA3" s="339"/>
      <c r="BHB3" s="339"/>
      <c r="BHC3" s="339"/>
      <c r="BHD3" s="339"/>
      <c r="BHE3" s="339"/>
      <c r="BHF3" s="339"/>
      <c r="BHG3" s="339"/>
      <c r="BHH3" s="339"/>
      <c r="BHI3" s="339"/>
      <c r="BHJ3" s="339"/>
      <c r="BHK3" s="339"/>
      <c r="BHL3" s="339"/>
      <c r="BHM3" s="339"/>
      <c r="BHN3" s="339"/>
      <c r="BHO3" s="339"/>
      <c r="BHP3" s="339"/>
      <c r="BHQ3" s="339"/>
      <c r="BHR3" s="339"/>
      <c r="BHS3" s="339"/>
      <c r="BHT3" s="339"/>
      <c r="BHU3" s="339"/>
      <c r="BHV3" s="339"/>
      <c r="BHW3" s="339"/>
      <c r="BHX3" s="339"/>
      <c r="BHY3" s="339"/>
      <c r="BHZ3" s="339"/>
      <c r="BIA3" s="339"/>
      <c r="BIB3" s="339"/>
      <c r="BIC3" s="339"/>
      <c r="BID3" s="339"/>
      <c r="BIE3" s="339"/>
      <c r="BIF3" s="339"/>
      <c r="BIG3" s="339"/>
      <c r="BIH3" s="339"/>
      <c r="BII3" s="339"/>
      <c r="BIJ3" s="339"/>
      <c r="BIK3" s="339"/>
      <c r="BIL3" s="339"/>
      <c r="BIM3" s="339"/>
      <c r="BIN3" s="339"/>
      <c r="BIO3" s="339"/>
      <c r="BIP3" s="339"/>
      <c r="BIQ3" s="339"/>
      <c r="BIR3" s="339"/>
      <c r="BIS3" s="339"/>
      <c r="BIT3" s="339"/>
      <c r="BIU3" s="339"/>
      <c r="BIV3" s="339"/>
      <c r="BIW3" s="339"/>
      <c r="BIX3" s="339"/>
      <c r="BIY3" s="339"/>
      <c r="BIZ3" s="339"/>
      <c r="BJA3" s="339"/>
      <c r="BJB3" s="339"/>
      <c r="BJC3" s="339"/>
      <c r="BJD3" s="339"/>
      <c r="BJE3" s="339"/>
      <c r="BJF3" s="339"/>
      <c r="BJG3" s="339"/>
      <c r="BJH3" s="339"/>
      <c r="BJI3" s="339"/>
      <c r="BJJ3" s="339"/>
      <c r="BJK3" s="339"/>
      <c r="BJL3" s="339"/>
      <c r="BJM3" s="339"/>
      <c r="BJN3" s="339"/>
      <c r="BJO3" s="339"/>
      <c r="BJP3" s="339"/>
      <c r="BJQ3" s="339"/>
      <c r="BJR3" s="339"/>
      <c r="BJS3" s="339"/>
      <c r="BJT3" s="339"/>
      <c r="BJU3" s="339"/>
      <c r="BJV3" s="339"/>
      <c r="BJW3" s="339"/>
      <c r="BJX3" s="339"/>
      <c r="BJY3" s="339"/>
      <c r="BJZ3" s="339"/>
      <c r="BKA3" s="339"/>
      <c r="BKB3" s="339"/>
      <c r="BKC3" s="339"/>
      <c r="BKD3" s="339"/>
      <c r="BKE3" s="339"/>
      <c r="BKF3" s="339"/>
      <c r="BKG3" s="339"/>
      <c r="BKH3" s="339"/>
      <c r="BKI3" s="339"/>
      <c r="BKJ3" s="339"/>
      <c r="BKK3" s="339"/>
      <c r="BKL3" s="339"/>
      <c r="BKM3" s="339"/>
      <c r="BKN3" s="339"/>
      <c r="BKO3" s="339"/>
      <c r="BKP3" s="339"/>
      <c r="BKQ3" s="339"/>
      <c r="BKR3" s="339"/>
      <c r="BKS3" s="339"/>
      <c r="BKT3" s="339"/>
      <c r="BKU3" s="339"/>
      <c r="BKV3" s="339"/>
      <c r="BKW3" s="339"/>
      <c r="BKX3" s="339"/>
      <c r="BKY3" s="339"/>
      <c r="BKZ3" s="339"/>
      <c r="BLA3" s="339"/>
      <c r="BLB3" s="339"/>
      <c r="BLC3" s="339"/>
      <c r="BLD3" s="339"/>
      <c r="BLE3" s="339"/>
      <c r="BLF3" s="339"/>
      <c r="BLG3" s="339"/>
      <c r="BLH3" s="339"/>
      <c r="BLI3" s="339"/>
      <c r="BLJ3" s="339"/>
      <c r="BLK3" s="339"/>
      <c r="BLL3" s="339"/>
      <c r="BLM3" s="339"/>
      <c r="BLN3" s="339"/>
      <c r="BLO3" s="339"/>
      <c r="BLP3" s="339"/>
      <c r="BLQ3" s="339"/>
      <c r="BLR3" s="339"/>
      <c r="BLS3" s="339"/>
      <c r="BLT3" s="339"/>
      <c r="BLU3" s="339"/>
      <c r="BLV3" s="339"/>
      <c r="BLW3" s="339"/>
      <c r="BLX3" s="339"/>
      <c r="BLY3" s="339"/>
      <c r="BLZ3" s="339"/>
      <c r="BMA3" s="339"/>
      <c r="BMB3" s="339"/>
      <c r="BMC3" s="339"/>
      <c r="BMD3" s="339"/>
      <c r="BME3" s="339"/>
      <c r="BMF3" s="339"/>
      <c r="BMG3" s="339"/>
      <c r="BMH3" s="339"/>
      <c r="BMI3" s="339"/>
      <c r="BMJ3" s="339"/>
      <c r="BMK3" s="339"/>
      <c r="BML3" s="339"/>
      <c r="BMM3" s="339"/>
      <c r="BMN3" s="339"/>
      <c r="BMO3" s="339"/>
      <c r="BMP3" s="339"/>
      <c r="BMQ3" s="339"/>
      <c r="BMR3" s="339"/>
      <c r="BMS3" s="339"/>
      <c r="BMT3" s="339"/>
      <c r="BMU3" s="339"/>
      <c r="BMV3" s="339"/>
      <c r="BMW3" s="339"/>
      <c r="BMX3" s="339"/>
      <c r="BMY3" s="339"/>
      <c r="BMZ3" s="339"/>
      <c r="BNA3" s="339"/>
      <c r="BNB3" s="339"/>
      <c r="BNC3" s="339"/>
      <c r="BND3" s="339"/>
      <c r="BNE3" s="339"/>
      <c r="BNF3" s="339"/>
      <c r="BNG3" s="339"/>
      <c r="BNH3" s="339"/>
      <c r="BNI3" s="339"/>
      <c r="BNJ3" s="339"/>
      <c r="BNK3" s="339"/>
      <c r="BNL3" s="339"/>
      <c r="BNM3" s="339"/>
      <c r="BNN3" s="339"/>
      <c r="BNO3" s="339"/>
      <c r="BNP3" s="339"/>
      <c r="BNQ3" s="339"/>
      <c r="BNR3" s="339"/>
      <c r="BNS3" s="339"/>
      <c r="BNT3" s="339"/>
      <c r="BNU3" s="339"/>
      <c r="BNV3" s="339"/>
      <c r="BNW3" s="339"/>
      <c r="BNX3" s="339"/>
      <c r="BNY3" s="339"/>
      <c r="BNZ3" s="339"/>
      <c r="BOA3" s="339"/>
      <c r="BOB3" s="339"/>
      <c r="BOC3" s="339"/>
      <c r="BOD3" s="339"/>
      <c r="BOE3" s="339"/>
      <c r="BOF3" s="339"/>
      <c r="BOG3" s="339"/>
      <c r="BOH3" s="339"/>
      <c r="BOI3" s="339"/>
      <c r="BOJ3" s="339"/>
      <c r="BOK3" s="339"/>
      <c r="BOL3" s="339"/>
      <c r="BOM3" s="339"/>
      <c r="BON3" s="339"/>
      <c r="BOO3" s="339"/>
      <c r="BOP3" s="339"/>
      <c r="BOQ3" s="339"/>
      <c r="BOR3" s="339"/>
      <c r="BOS3" s="339"/>
      <c r="BOT3" s="339"/>
      <c r="BOU3" s="339"/>
      <c r="BOV3" s="339"/>
      <c r="BOW3" s="339"/>
      <c r="BOX3" s="339"/>
      <c r="BOY3" s="339"/>
      <c r="BOZ3" s="339"/>
      <c r="BPA3" s="339"/>
      <c r="BPB3" s="339"/>
      <c r="BPC3" s="339"/>
      <c r="BPD3" s="339"/>
      <c r="BPE3" s="339"/>
      <c r="BPF3" s="339"/>
      <c r="BPG3" s="339"/>
      <c r="BPH3" s="339"/>
      <c r="BPI3" s="339"/>
      <c r="BPJ3" s="339"/>
      <c r="BPK3" s="339"/>
      <c r="BPL3" s="339"/>
      <c r="BPM3" s="339"/>
      <c r="BPN3" s="339"/>
      <c r="BPO3" s="339"/>
      <c r="BPP3" s="339"/>
      <c r="BPQ3" s="339"/>
      <c r="BPR3" s="339"/>
      <c r="BPS3" s="339"/>
      <c r="BPT3" s="339"/>
      <c r="BPU3" s="339"/>
      <c r="BPV3" s="339"/>
      <c r="BPW3" s="339"/>
      <c r="BPX3" s="339"/>
      <c r="BPY3" s="339"/>
      <c r="BPZ3" s="339"/>
      <c r="BQA3" s="339"/>
      <c r="BQB3" s="339"/>
      <c r="BQC3" s="339"/>
      <c r="BQD3" s="339"/>
      <c r="BQE3" s="339"/>
      <c r="BQF3" s="339"/>
      <c r="BQG3" s="339"/>
      <c r="BQH3" s="339"/>
      <c r="BQI3" s="339"/>
      <c r="BQJ3" s="339"/>
      <c r="BQK3" s="339"/>
      <c r="BQL3" s="339"/>
      <c r="BQM3" s="339"/>
      <c r="BQN3" s="339"/>
      <c r="BQO3" s="339"/>
      <c r="BQP3" s="339"/>
      <c r="BQQ3" s="339"/>
      <c r="BQR3" s="339"/>
      <c r="BQS3" s="339"/>
      <c r="BQT3" s="339"/>
      <c r="BQU3" s="339"/>
      <c r="BQV3" s="339"/>
      <c r="BQW3" s="339"/>
      <c r="BQX3" s="339"/>
      <c r="BQY3" s="339"/>
      <c r="BQZ3" s="339"/>
      <c r="BRA3" s="339"/>
      <c r="BRB3" s="339"/>
      <c r="BRC3" s="339"/>
      <c r="BRD3" s="339"/>
      <c r="BRE3" s="339"/>
      <c r="BRF3" s="339"/>
      <c r="BRG3" s="339"/>
      <c r="BRH3" s="339"/>
      <c r="BRI3" s="339"/>
      <c r="BRJ3" s="339"/>
      <c r="BRK3" s="339"/>
      <c r="BRL3" s="339"/>
      <c r="BRM3" s="339"/>
      <c r="BRN3" s="339"/>
      <c r="BRO3" s="339"/>
      <c r="BRP3" s="339"/>
      <c r="BRQ3" s="339"/>
      <c r="BRR3" s="339"/>
      <c r="BRS3" s="339"/>
      <c r="BRT3" s="339"/>
      <c r="BRU3" s="339"/>
      <c r="BRV3" s="339"/>
      <c r="BRW3" s="339"/>
      <c r="BRX3" s="339"/>
      <c r="BRY3" s="339"/>
      <c r="BRZ3" s="339"/>
      <c r="BSA3" s="339"/>
      <c r="BSB3" s="339"/>
      <c r="BSC3" s="339"/>
      <c r="BSD3" s="339"/>
      <c r="BSE3" s="339"/>
      <c r="BSF3" s="339"/>
      <c r="BSG3" s="339"/>
      <c r="BSH3" s="339"/>
      <c r="BSI3" s="339"/>
      <c r="BSJ3" s="339"/>
      <c r="BSK3" s="339"/>
      <c r="BSL3" s="339"/>
      <c r="BSM3" s="339"/>
      <c r="BSN3" s="339"/>
      <c r="BSO3" s="339"/>
      <c r="BSP3" s="339"/>
      <c r="BSQ3" s="339"/>
      <c r="BSR3" s="339"/>
      <c r="BSS3" s="339"/>
      <c r="BST3" s="339"/>
      <c r="BSU3" s="339"/>
      <c r="BSV3" s="339"/>
      <c r="BSW3" s="339"/>
      <c r="BSX3" s="339"/>
      <c r="BSY3" s="339"/>
      <c r="BSZ3" s="339"/>
      <c r="BTA3" s="339"/>
      <c r="BTB3" s="339"/>
      <c r="BTC3" s="339"/>
      <c r="BTD3" s="339"/>
      <c r="BTE3" s="339"/>
      <c r="BTF3" s="339"/>
      <c r="BTG3" s="339"/>
      <c r="BTH3" s="339"/>
      <c r="BTI3" s="339"/>
      <c r="BTJ3" s="339"/>
      <c r="BTK3" s="339"/>
      <c r="BTL3" s="339"/>
      <c r="BTM3" s="339"/>
      <c r="BTN3" s="339"/>
      <c r="BTO3" s="339"/>
      <c r="BTP3" s="339"/>
      <c r="BTQ3" s="339"/>
      <c r="BTR3" s="339"/>
      <c r="BTS3" s="339"/>
      <c r="BTT3" s="339"/>
      <c r="BTU3" s="339"/>
      <c r="BTV3" s="339"/>
      <c r="BTW3" s="339"/>
      <c r="BTX3" s="339"/>
      <c r="BTY3" s="339"/>
      <c r="BTZ3" s="339"/>
      <c r="BUA3" s="339"/>
      <c r="BUB3" s="339"/>
      <c r="BUC3" s="339"/>
      <c r="BUD3" s="339"/>
      <c r="BUE3" s="339"/>
      <c r="BUF3" s="339"/>
      <c r="BUG3" s="339"/>
      <c r="BUH3" s="339"/>
      <c r="BUI3" s="339"/>
      <c r="BUJ3" s="339"/>
      <c r="BUK3" s="339"/>
      <c r="BUL3" s="339"/>
      <c r="BUM3" s="339"/>
      <c r="BUN3" s="339"/>
      <c r="BUO3" s="339"/>
      <c r="BUP3" s="339"/>
      <c r="BUQ3" s="339"/>
      <c r="BUR3" s="339"/>
      <c r="BUS3" s="339"/>
      <c r="BUT3" s="339"/>
      <c r="BUU3" s="339"/>
      <c r="BUV3" s="339"/>
      <c r="BUW3" s="339"/>
      <c r="BUX3" s="339"/>
      <c r="BUY3" s="339"/>
      <c r="BUZ3" s="339"/>
      <c r="BVA3" s="339"/>
      <c r="BVB3" s="339"/>
      <c r="BVC3" s="339"/>
      <c r="BVD3" s="339"/>
      <c r="BVE3" s="339"/>
      <c r="BVF3" s="339"/>
      <c r="BVG3" s="339"/>
      <c r="BVH3" s="339"/>
      <c r="BVI3" s="339"/>
      <c r="BVJ3" s="339"/>
      <c r="BVK3" s="339"/>
      <c r="BVL3" s="339"/>
      <c r="BVM3" s="339"/>
      <c r="BVN3" s="339"/>
      <c r="BVO3" s="339"/>
      <c r="BVP3" s="339"/>
      <c r="BVQ3" s="339"/>
      <c r="BVR3" s="339"/>
      <c r="BVS3" s="339"/>
      <c r="BVT3" s="339"/>
      <c r="BVU3" s="339"/>
      <c r="BVV3" s="339"/>
      <c r="BVW3" s="339"/>
      <c r="BVX3" s="339"/>
      <c r="BVY3" s="339"/>
      <c r="BVZ3" s="339"/>
      <c r="BWA3" s="339"/>
      <c r="BWB3" s="339"/>
      <c r="BWC3" s="339"/>
      <c r="BWD3" s="339"/>
      <c r="BWE3" s="339"/>
      <c r="BWF3" s="339"/>
      <c r="BWG3" s="339"/>
      <c r="BWH3" s="339"/>
      <c r="BWI3" s="339"/>
      <c r="BWJ3" s="339"/>
      <c r="BWK3" s="339"/>
      <c r="BWL3" s="339"/>
      <c r="BWM3" s="339"/>
      <c r="BWN3" s="339"/>
      <c r="BWO3" s="339"/>
      <c r="BWP3" s="339"/>
      <c r="BWQ3" s="339"/>
      <c r="BWR3" s="339"/>
      <c r="BWS3" s="339"/>
      <c r="BWT3" s="339"/>
      <c r="BWU3" s="339"/>
      <c r="BWV3" s="339"/>
      <c r="BWW3" s="339"/>
      <c r="BWX3" s="339"/>
      <c r="BWY3" s="339"/>
      <c r="BWZ3" s="339"/>
      <c r="BXA3" s="339"/>
      <c r="BXB3" s="339"/>
      <c r="BXC3" s="339"/>
      <c r="BXD3" s="339"/>
      <c r="BXE3" s="339"/>
      <c r="BXF3" s="339"/>
      <c r="BXG3" s="339"/>
      <c r="BXH3" s="339"/>
      <c r="BXI3" s="339"/>
      <c r="BXJ3" s="339"/>
      <c r="BXK3" s="339"/>
      <c r="BXL3" s="339"/>
      <c r="BXM3" s="339"/>
      <c r="BXN3" s="339"/>
      <c r="BXO3" s="339"/>
      <c r="BXP3" s="339"/>
      <c r="BXQ3" s="339"/>
      <c r="BXR3" s="339"/>
      <c r="BXS3" s="339"/>
      <c r="BXT3" s="339"/>
      <c r="BXU3" s="339"/>
      <c r="BXV3" s="339"/>
      <c r="BXW3" s="339"/>
      <c r="BXX3" s="339"/>
      <c r="BXY3" s="339"/>
      <c r="BXZ3" s="339"/>
      <c r="BYA3" s="339"/>
      <c r="BYB3" s="339"/>
      <c r="BYC3" s="339"/>
      <c r="BYD3" s="339"/>
      <c r="BYE3" s="339"/>
      <c r="BYF3" s="339"/>
      <c r="BYG3" s="339"/>
      <c r="BYH3" s="339"/>
      <c r="BYI3" s="339"/>
      <c r="BYJ3" s="339"/>
      <c r="BYK3" s="339"/>
      <c r="BYL3" s="339"/>
      <c r="BYM3" s="339"/>
      <c r="BYN3" s="339"/>
      <c r="BYO3" s="339"/>
      <c r="BYP3" s="339"/>
      <c r="BYQ3" s="339"/>
      <c r="BYR3" s="339"/>
      <c r="BYS3" s="339"/>
      <c r="BYT3" s="339"/>
      <c r="BYU3" s="339"/>
      <c r="BYV3" s="339"/>
      <c r="BYW3" s="339"/>
      <c r="BYX3" s="339"/>
      <c r="BYY3" s="339"/>
      <c r="BYZ3" s="339"/>
      <c r="BZA3" s="339"/>
      <c r="BZB3" s="339"/>
      <c r="BZC3" s="339"/>
      <c r="BZD3" s="339"/>
      <c r="BZE3" s="339"/>
      <c r="BZF3" s="339"/>
      <c r="BZG3" s="339"/>
      <c r="BZH3" s="339"/>
      <c r="BZI3" s="339"/>
      <c r="BZJ3" s="339"/>
      <c r="BZK3" s="339"/>
      <c r="BZL3" s="339"/>
      <c r="BZM3" s="339"/>
      <c r="BZN3" s="339"/>
      <c r="BZO3" s="339"/>
      <c r="BZP3" s="339"/>
      <c r="BZQ3" s="339"/>
      <c r="BZR3" s="339"/>
      <c r="BZS3" s="339"/>
      <c r="BZT3" s="339"/>
      <c r="BZU3" s="339"/>
      <c r="BZV3" s="339"/>
      <c r="BZW3" s="339"/>
      <c r="BZX3" s="339"/>
      <c r="BZY3" s="339"/>
      <c r="BZZ3" s="339"/>
      <c r="CAA3" s="339"/>
      <c r="CAB3" s="339"/>
      <c r="CAC3" s="339"/>
      <c r="CAD3" s="339"/>
      <c r="CAE3" s="339"/>
      <c r="CAF3" s="339"/>
      <c r="CAG3" s="339"/>
      <c r="CAH3" s="339"/>
      <c r="CAI3" s="339"/>
      <c r="CAJ3" s="339"/>
      <c r="CAK3" s="339"/>
      <c r="CAL3" s="339"/>
      <c r="CAM3" s="339"/>
      <c r="CAN3" s="339"/>
      <c r="CAO3" s="339"/>
      <c r="CAP3" s="339"/>
      <c r="CAQ3" s="339"/>
      <c r="CAR3" s="339"/>
      <c r="CAS3" s="339"/>
      <c r="CAT3" s="339"/>
      <c r="CAU3" s="339"/>
      <c r="CAV3" s="339"/>
      <c r="CAW3" s="339"/>
      <c r="CAX3" s="339"/>
      <c r="CAY3" s="339"/>
      <c r="CAZ3" s="339"/>
      <c r="CBA3" s="339"/>
      <c r="CBB3" s="339"/>
      <c r="CBC3" s="339"/>
      <c r="CBD3" s="339"/>
      <c r="CBE3" s="339"/>
      <c r="CBF3" s="339"/>
      <c r="CBG3" s="339"/>
      <c r="CBH3" s="339"/>
      <c r="CBI3" s="339"/>
      <c r="CBJ3" s="339"/>
      <c r="CBK3" s="339"/>
      <c r="CBL3" s="339"/>
      <c r="CBM3" s="339"/>
      <c r="CBN3" s="339"/>
      <c r="CBO3" s="339"/>
      <c r="CBP3" s="339"/>
      <c r="CBQ3" s="339"/>
      <c r="CBR3" s="339"/>
      <c r="CBS3" s="339"/>
      <c r="CBT3" s="339"/>
      <c r="CBU3" s="339"/>
      <c r="CBV3" s="339"/>
      <c r="CBW3" s="339"/>
      <c r="CBX3" s="339"/>
      <c r="CBY3" s="339"/>
      <c r="CBZ3" s="339"/>
      <c r="CCA3" s="339"/>
      <c r="CCB3" s="339"/>
      <c r="CCC3" s="339"/>
      <c r="CCD3" s="339"/>
      <c r="CCE3" s="339"/>
      <c r="CCF3" s="339"/>
      <c r="CCG3" s="339"/>
      <c r="CCH3" s="339"/>
      <c r="CCI3" s="339"/>
      <c r="CCJ3" s="339"/>
      <c r="CCK3" s="339"/>
      <c r="CCL3" s="339"/>
      <c r="CCM3" s="339"/>
      <c r="CCN3" s="339"/>
      <c r="CCO3" s="339"/>
      <c r="CCP3" s="339"/>
      <c r="CCQ3" s="339"/>
      <c r="CCR3" s="339"/>
      <c r="CCS3" s="339"/>
      <c r="CCT3" s="339"/>
      <c r="CCU3" s="339"/>
      <c r="CCV3" s="339"/>
      <c r="CCW3" s="339"/>
      <c r="CCX3" s="339"/>
      <c r="CCY3" s="339"/>
      <c r="CCZ3" s="339"/>
      <c r="CDA3" s="339"/>
      <c r="CDB3" s="339"/>
      <c r="CDC3" s="339"/>
      <c r="CDD3" s="339"/>
      <c r="CDE3" s="339"/>
      <c r="CDF3" s="339"/>
      <c r="CDG3" s="339"/>
      <c r="CDH3" s="339"/>
      <c r="CDI3" s="339"/>
      <c r="CDJ3" s="339"/>
      <c r="CDK3" s="339"/>
      <c r="CDL3" s="339"/>
      <c r="CDM3" s="339"/>
      <c r="CDN3" s="339"/>
      <c r="CDO3" s="339"/>
      <c r="CDP3" s="339"/>
      <c r="CDQ3" s="339"/>
      <c r="CDR3" s="339"/>
      <c r="CDS3" s="339"/>
      <c r="CDT3" s="339"/>
      <c r="CDU3" s="339"/>
      <c r="CDV3" s="339"/>
      <c r="CDW3" s="339"/>
      <c r="CDX3" s="339"/>
      <c r="CDY3" s="339"/>
      <c r="CDZ3" s="339"/>
      <c r="CEA3" s="339"/>
      <c r="CEB3" s="339"/>
      <c r="CEC3" s="339"/>
      <c r="CED3" s="339"/>
      <c r="CEE3" s="339"/>
      <c r="CEF3" s="339"/>
      <c r="CEG3" s="339"/>
      <c r="CEH3" s="339"/>
      <c r="CEI3" s="339"/>
      <c r="CEJ3" s="339"/>
      <c r="CEK3" s="339"/>
      <c r="CEL3" s="339"/>
      <c r="CEM3" s="339"/>
      <c r="CEN3" s="339"/>
      <c r="CEO3" s="339"/>
      <c r="CEP3" s="339"/>
      <c r="CEQ3" s="339"/>
      <c r="CER3" s="339"/>
      <c r="CES3" s="339"/>
      <c r="CET3" s="339"/>
      <c r="CEU3" s="339"/>
      <c r="CEV3" s="339"/>
      <c r="CEW3" s="339"/>
      <c r="CEX3" s="339"/>
      <c r="CEY3" s="339"/>
      <c r="CEZ3" s="339"/>
      <c r="CFA3" s="339"/>
      <c r="CFB3" s="339"/>
      <c r="CFC3" s="339"/>
      <c r="CFD3" s="339"/>
      <c r="CFE3" s="339"/>
      <c r="CFF3" s="339"/>
      <c r="CFG3" s="339"/>
      <c r="CFH3" s="339"/>
      <c r="CFI3" s="339"/>
      <c r="CFJ3" s="339"/>
      <c r="CFK3" s="339"/>
      <c r="CFL3" s="339"/>
      <c r="CFM3" s="339"/>
      <c r="CFN3" s="339"/>
      <c r="CFO3" s="339"/>
      <c r="CFP3" s="339"/>
      <c r="CFQ3" s="339"/>
      <c r="CFR3" s="339"/>
      <c r="CFS3" s="339"/>
      <c r="CFT3" s="339"/>
      <c r="CFU3" s="339"/>
      <c r="CFV3" s="339"/>
      <c r="CFW3" s="339"/>
      <c r="CFX3" s="339"/>
      <c r="CFY3" s="339"/>
      <c r="CFZ3" s="339"/>
      <c r="CGA3" s="339"/>
      <c r="CGB3" s="339"/>
      <c r="CGC3" s="339"/>
      <c r="CGD3" s="339"/>
      <c r="CGE3" s="339"/>
      <c r="CGF3" s="339"/>
      <c r="CGG3" s="339"/>
      <c r="CGH3" s="339"/>
      <c r="CGI3" s="339"/>
      <c r="CGJ3" s="339"/>
      <c r="CGK3" s="339"/>
      <c r="CGL3" s="339"/>
      <c r="CGM3" s="339"/>
      <c r="CGN3" s="339"/>
      <c r="CGO3" s="339"/>
      <c r="CGP3" s="339"/>
      <c r="CGQ3" s="339"/>
      <c r="CGR3" s="339"/>
      <c r="CGS3" s="339"/>
      <c r="CGT3" s="339"/>
      <c r="CGU3" s="339"/>
      <c r="CGV3" s="339"/>
      <c r="CGW3" s="339"/>
      <c r="CGX3" s="339"/>
      <c r="CGY3" s="339"/>
      <c r="CGZ3" s="339"/>
      <c r="CHA3" s="339"/>
      <c r="CHB3" s="339"/>
      <c r="CHC3" s="339"/>
      <c r="CHD3" s="339"/>
      <c r="CHE3" s="339"/>
      <c r="CHF3" s="339"/>
      <c r="CHG3" s="339"/>
      <c r="CHH3" s="339"/>
      <c r="CHI3" s="339"/>
      <c r="CHJ3" s="339"/>
      <c r="CHK3" s="339"/>
      <c r="CHL3" s="339"/>
      <c r="CHM3" s="339"/>
      <c r="CHN3" s="339"/>
      <c r="CHO3" s="339"/>
      <c r="CHP3" s="339"/>
      <c r="CHQ3" s="339"/>
      <c r="CHR3" s="339"/>
      <c r="CHS3" s="339"/>
      <c r="CHT3" s="339"/>
      <c r="CHU3" s="339"/>
      <c r="CHV3" s="339"/>
      <c r="CHW3" s="339"/>
      <c r="CHX3" s="339"/>
      <c r="CHY3" s="339"/>
      <c r="CHZ3" s="339"/>
      <c r="CIA3" s="339"/>
      <c r="CIB3" s="339"/>
      <c r="CIC3" s="339"/>
      <c r="CID3" s="339"/>
      <c r="CIE3" s="339"/>
      <c r="CIF3" s="339"/>
      <c r="CIG3" s="339"/>
      <c r="CIH3" s="339"/>
      <c r="CII3" s="339"/>
      <c r="CIJ3" s="339"/>
      <c r="CIK3" s="339"/>
      <c r="CIL3" s="339"/>
      <c r="CIM3" s="339"/>
      <c r="CIN3" s="339"/>
      <c r="CIO3" s="339"/>
      <c r="CIP3" s="339"/>
      <c r="CIQ3" s="339"/>
      <c r="CIR3" s="339"/>
      <c r="CIS3" s="339"/>
      <c r="CIT3" s="339"/>
      <c r="CIU3" s="339"/>
      <c r="CIV3" s="339"/>
      <c r="CIW3" s="339"/>
      <c r="CIX3" s="339"/>
      <c r="CIY3" s="339"/>
      <c r="CIZ3" s="339"/>
      <c r="CJA3" s="339"/>
      <c r="CJB3" s="339"/>
      <c r="CJC3" s="339"/>
      <c r="CJD3" s="339"/>
      <c r="CJE3" s="339"/>
      <c r="CJF3" s="339"/>
      <c r="CJG3" s="339"/>
      <c r="CJH3" s="339"/>
      <c r="CJI3" s="339"/>
      <c r="CJJ3" s="339"/>
      <c r="CJK3" s="339"/>
      <c r="CJL3" s="339"/>
      <c r="CJM3" s="339"/>
      <c r="CJN3" s="339"/>
      <c r="CJO3" s="339"/>
      <c r="CJP3" s="339"/>
      <c r="CJQ3" s="339"/>
      <c r="CJR3" s="339"/>
      <c r="CJS3" s="339"/>
      <c r="CJT3" s="339"/>
      <c r="CJU3" s="339"/>
      <c r="CJV3" s="339"/>
      <c r="CJW3" s="339"/>
      <c r="CJX3" s="339"/>
      <c r="CJY3" s="339"/>
      <c r="CJZ3" s="339"/>
      <c r="CKA3" s="339"/>
      <c r="CKB3" s="339"/>
      <c r="CKC3" s="339"/>
      <c r="CKD3" s="339"/>
      <c r="CKE3" s="339"/>
      <c r="CKF3" s="339"/>
      <c r="CKG3" s="339"/>
      <c r="CKH3" s="339"/>
      <c r="CKI3" s="339"/>
      <c r="CKJ3" s="339"/>
      <c r="CKK3" s="339"/>
      <c r="CKL3" s="339"/>
      <c r="CKM3" s="339"/>
      <c r="CKN3" s="339"/>
      <c r="CKO3" s="339"/>
      <c r="CKP3" s="339"/>
      <c r="CKQ3" s="339"/>
      <c r="CKR3" s="339"/>
      <c r="CKS3" s="339"/>
      <c r="CKT3" s="339"/>
      <c r="CKU3" s="339"/>
      <c r="CKV3" s="339"/>
      <c r="CKW3" s="339"/>
      <c r="CKX3" s="339"/>
      <c r="CKY3" s="339"/>
      <c r="CKZ3" s="339"/>
      <c r="CLA3" s="339"/>
      <c r="CLB3" s="339"/>
      <c r="CLC3" s="339"/>
      <c r="CLD3" s="339"/>
      <c r="CLE3" s="339"/>
      <c r="CLF3" s="339"/>
      <c r="CLG3" s="339"/>
      <c r="CLH3" s="339"/>
      <c r="CLI3" s="339"/>
      <c r="CLJ3" s="339"/>
      <c r="CLK3" s="339"/>
      <c r="CLL3" s="339"/>
      <c r="CLM3" s="339"/>
      <c r="CLN3" s="339"/>
      <c r="CLO3" s="339"/>
      <c r="CLP3" s="339"/>
      <c r="CLQ3" s="339"/>
      <c r="CLR3" s="339"/>
      <c r="CLS3" s="339"/>
      <c r="CLT3" s="339"/>
      <c r="CLU3" s="339"/>
      <c r="CLV3" s="339"/>
      <c r="CLW3" s="339"/>
      <c r="CLX3" s="339"/>
      <c r="CLY3" s="339"/>
      <c r="CLZ3" s="339"/>
      <c r="CMA3" s="339"/>
      <c r="CMB3" s="339"/>
      <c r="CMC3" s="339"/>
      <c r="CMD3" s="339"/>
      <c r="CME3" s="339"/>
      <c r="CMF3" s="339"/>
      <c r="CMG3" s="339"/>
      <c r="CMH3" s="339"/>
      <c r="CMI3" s="339"/>
      <c r="CMJ3" s="339"/>
      <c r="CMK3" s="339"/>
      <c r="CML3" s="339"/>
      <c r="CMM3" s="339"/>
      <c r="CMN3" s="339"/>
      <c r="CMO3" s="339"/>
      <c r="CMP3" s="339"/>
      <c r="CMQ3" s="339"/>
      <c r="CMR3" s="339"/>
      <c r="CMS3" s="339"/>
      <c r="CMT3" s="339"/>
      <c r="CMU3" s="339"/>
      <c r="CMV3" s="339"/>
      <c r="CMW3" s="339"/>
      <c r="CMX3" s="339"/>
      <c r="CMY3" s="339"/>
      <c r="CMZ3" s="339"/>
      <c r="CNA3" s="339"/>
      <c r="CNB3" s="339"/>
      <c r="CNC3" s="339"/>
      <c r="CND3" s="339"/>
      <c r="CNE3" s="339"/>
      <c r="CNF3" s="339"/>
      <c r="CNG3" s="339"/>
      <c r="CNH3" s="339"/>
      <c r="CNI3" s="339"/>
      <c r="CNJ3" s="339"/>
      <c r="CNK3" s="339"/>
      <c r="CNL3" s="339"/>
      <c r="CNM3" s="339"/>
      <c r="CNN3" s="339"/>
      <c r="CNO3" s="339"/>
      <c r="CNP3" s="339"/>
      <c r="CNQ3" s="339"/>
      <c r="CNR3" s="339"/>
      <c r="CNS3" s="339"/>
      <c r="CNT3" s="339"/>
      <c r="CNU3" s="339"/>
      <c r="CNV3" s="339"/>
      <c r="CNW3" s="339"/>
      <c r="CNX3" s="339"/>
      <c r="CNY3" s="339"/>
      <c r="CNZ3" s="339"/>
      <c r="COA3" s="339"/>
      <c r="COB3" s="339"/>
      <c r="COC3" s="339"/>
      <c r="COD3" s="339"/>
      <c r="COE3" s="339"/>
      <c r="COF3" s="339"/>
      <c r="COG3" s="339"/>
      <c r="COH3" s="339"/>
      <c r="COI3" s="339"/>
      <c r="COJ3" s="339"/>
      <c r="COK3" s="339"/>
      <c r="COL3" s="339"/>
      <c r="COM3" s="339"/>
      <c r="CON3" s="339"/>
      <c r="COO3" s="339"/>
      <c r="COP3" s="339"/>
      <c r="COQ3" s="339"/>
      <c r="COR3" s="339"/>
      <c r="COS3" s="339"/>
      <c r="COT3" s="339"/>
      <c r="COU3" s="339"/>
      <c r="COV3" s="339"/>
      <c r="COW3" s="339"/>
      <c r="COX3" s="339"/>
      <c r="COY3" s="339"/>
      <c r="COZ3" s="339"/>
      <c r="CPA3" s="339"/>
      <c r="CPB3" s="339"/>
      <c r="CPC3" s="339"/>
      <c r="CPD3" s="339"/>
      <c r="CPE3" s="339"/>
      <c r="CPF3" s="339"/>
      <c r="CPG3" s="339"/>
      <c r="CPH3" s="339"/>
      <c r="CPI3" s="339"/>
      <c r="CPJ3" s="339"/>
      <c r="CPK3" s="339"/>
      <c r="CPL3" s="339"/>
      <c r="CPM3" s="339"/>
      <c r="CPN3" s="339"/>
      <c r="CPO3" s="339"/>
      <c r="CPP3" s="339"/>
      <c r="CPQ3" s="339"/>
      <c r="CPR3" s="339"/>
      <c r="CPS3" s="339"/>
      <c r="CPT3" s="339"/>
      <c r="CPU3" s="339"/>
      <c r="CPV3" s="339"/>
      <c r="CPW3" s="339"/>
      <c r="CPX3" s="339"/>
      <c r="CPY3" s="339"/>
      <c r="CPZ3" s="339"/>
      <c r="CQA3" s="339"/>
      <c r="CQB3" s="339"/>
      <c r="CQC3" s="339"/>
      <c r="CQD3" s="339"/>
      <c r="CQE3" s="339"/>
      <c r="CQF3" s="339"/>
      <c r="CQG3" s="339"/>
      <c r="CQH3" s="339"/>
      <c r="CQI3" s="339"/>
      <c r="CQJ3" s="339"/>
      <c r="CQK3" s="339"/>
      <c r="CQL3" s="339"/>
      <c r="CQM3" s="339"/>
      <c r="CQN3" s="339"/>
      <c r="CQO3" s="339"/>
      <c r="CQP3" s="339"/>
      <c r="CQQ3" s="339"/>
      <c r="CQR3" s="339"/>
      <c r="CQS3" s="339"/>
      <c r="CQT3" s="339"/>
      <c r="CQU3" s="339"/>
      <c r="CQV3" s="339"/>
      <c r="CQW3" s="339"/>
      <c r="CQX3" s="339"/>
      <c r="CQY3" s="339"/>
      <c r="CQZ3" s="339"/>
      <c r="CRA3" s="339"/>
      <c r="CRB3" s="339"/>
      <c r="CRC3" s="339"/>
      <c r="CRD3" s="339"/>
      <c r="CRE3" s="339"/>
      <c r="CRF3" s="339"/>
      <c r="CRG3" s="339"/>
      <c r="CRH3" s="339"/>
      <c r="CRI3" s="339"/>
      <c r="CRJ3" s="339"/>
      <c r="CRK3" s="339"/>
      <c r="CRL3" s="339"/>
      <c r="CRM3" s="339"/>
      <c r="CRN3" s="339"/>
      <c r="CRO3" s="339"/>
      <c r="CRP3" s="339"/>
      <c r="CRQ3" s="339"/>
      <c r="CRR3" s="339"/>
      <c r="CRS3" s="339"/>
      <c r="CRT3" s="339"/>
      <c r="CRU3" s="339"/>
      <c r="CRV3" s="339"/>
      <c r="CRW3" s="339"/>
      <c r="CRX3" s="339"/>
      <c r="CRY3" s="339"/>
      <c r="CRZ3" s="339"/>
      <c r="CSA3" s="339"/>
      <c r="CSB3" s="339"/>
      <c r="CSC3" s="339"/>
      <c r="CSD3" s="339"/>
      <c r="CSE3" s="339"/>
      <c r="CSF3" s="339"/>
      <c r="CSG3" s="339"/>
      <c r="CSH3" s="339"/>
      <c r="CSI3" s="339"/>
      <c r="CSJ3" s="339"/>
      <c r="CSK3" s="339"/>
      <c r="CSL3" s="339"/>
      <c r="CSM3" s="339"/>
      <c r="CSN3" s="339"/>
      <c r="CSO3" s="339"/>
      <c r="CSP3" s="339"/>
      <c r="CSQ3" s="339"/>
      <c r="CSR3" s="339"/>
      <c r="CSS3" s="339"/>
      <c r="CST3" s="339"/>
      <c r="CSU3" s="339"/>
      <c r="CSV3" s="339"/>
      <c r="CSW3" s="339"/>
      <c r="CSX3" s="339"/>
      <c r="CSY3" s="339"/>
      <c r="CSZ3" s="339"/>
      <c r="CTA3" s="339"/>
      <c r="CTB3" s="339"/>
      <c r="CTC3" s="339"/>
      <c r="CTD3" s="339"/>
      <c r="CTE3" s="339"/>
      <c r="CTF3" s="339"/>
      <c r="CTG3" s="339"/>
      <c r="CTH3" s="339"/>
      <c r="CTI3" s="339"/>
      <c r="CTJ3" s="339"/>
      <c r="CTK3" s="339"/>
      <c r="CTL3" s="339"/>
      <c r="CTM3" s="339"/>
      <c r="CTN3" s="339"/>
      <c r="CTO3" s="339"/>
      <c r="CTP3" s="339"/>
      <c r="CTQ3" s="339"/>
      <c r="CTR3" s="339"/>
      <c r="CTS3" s="339"/>
      <c r="CTT3" s="339"/>
      <c r="CTU3" s="339"/>
      <c r="CTV3" s="339"/>
      <c r="CTW3" s="339"/>
      <c r="CTX3" s="339"/>
      <c r="CTY3" s="339"/>
      <c r="CTZ3" s="339"/>
      <c r="CUA3" s="339"/>
      <c r="CUB3" s="339"/>
      <c r="CUC3" s="339"/>
      <c r="CUD3" s="339"/>
      <c r="CUE3" s="339"/>
      <c r="CUF3" s="339"/>
      <c r="CUG3" s="339"/>
      <c r="CUH3" s="339"/>
      <c r="CUI3" s="339"/>
      <c r="CUJ3" s="339"/>
      <c r="CUK3" s="339"/>
      <c r="CUL3" s="339"/>
      <c r="CUM3" s="339"/>
      <c r="CUN3" s="339"/>
      <c r="CUO3" s="339"/>
      <c r="CUP3" s="339"/>
      <c r="CUQ3" s="339"/>
      <c r="CUR3" s="339"/>
      <c r="CUS3" s="339"/>
      <c r="CUT3" s="339"/>
      <c r="CUU3" s="339"/>
      <c r="CUV3" s="339"/>
      <c r="CUW3" s="339"/>
      <c r="CUX3" s="339"/>
      <c r="CUY3" s="339"/>
      <c r="CUZ3" s="339"/>
      <c r="CVA3" s="339"/>
      <c r="CVB3" s="339"/>
      <c r="CVC3" s="339"/>
      <c r="CVD3" s="339"/>
      <c r="CVE3" s="339"/>
      <c r="CVF3" s="339"/>
      <c r="CVG3" s="339"/>
      <c r="CVH3" s="339"/>
      <c r="CVI3" s="339"/>
      <c r="CVJ3" s="339"/>
      <c r="CVK3" s="339"/>
      <c r="CVL3" s="339"/>
      <c r="CVM3" s="339"/>
      <c r="CVN3" s="339"/>
      <c r="CVO3" s="339"/>
      <c r="CVP3" s="339"/>
      <c r="CVQ3" s="339"/>
      <c r="CVR3" s="339"/>
      <c r="CVS3" s="339"/>
      <c r="CVT3" s="339"/>
      <c r="CVU3" s="339"/>
      <c r="CVV3" s="339"/>
      <c r="CVW3" s="339"/>
      <c r="CVX3" s="339"/>
      <c r="CVY3" s="339"/>
      <c r="CVZ3" s="339"/>
      <c r="CWA3" s="339"/>
      <c r="CWB3" s="339"/>
      <c r="CWC3" s="339"/>
      <c r="CWD3" s="339"/>
      <c r="CWE3" s="339"/>
      <c r="CWF3" s="339"/>
      <c r="CWG3" s="339"/>
      <c r="CWH3" s="339"/>
      <c r="CWI3" s="339"/>
      <c r="CWJ3" s="339"/>
      <c r="CWK3" s="339"/>
      <c r="CWL3" s="339"/>
      <c r="CWM3" s="339"/>
      <c r="CWN3" s="339"/>
      <c r="CWO3" s="339"/>
      <c r="CWP3" s="339"/>
      <c r="CWQ3" s="339"/>
      <c r="CWR3" s="339"/>
      <c r="CWS3" s="339"/>
      <c r="CWT3" s="339"/>
      <c r="CWU3" s="339"/>
      <c r="CWV3" s="339"/>
      <c r="CWW3" s="339"/>
      <c r="CWX3" s="339"/>
      <c r="CWY3" s="339"/>
      <c r="CWZ3" s="339"/>
      <c r="CXA3" s="339"/>
      <c r="CXB3" s="339"/>
      <c r="CXC3" s="339"/>
      <c r="CXD3" s="339"/>
      <c r="CXE3" s="339"/>
      <c r="CXF3" s="339"/>
      <c r="CXG3" s="339"/>
      <c r="CXH3" s="339"/>
      <c r="CXI3" s="339"/>
      <c r="CXJ3" s="339"/>
      <c r="CXK3" s="339"/>
      <c r="CXL3" s="339"/>
      <c r="CXM3" s="339"/>
      <c r="CXN3" s="339"/>
      <c r="CXO3" s="339"/>
      <c r="CXP3" s="339"/>
      <c r="CXQ3" s="339"/>
      <c r="CXR3" s="339"/>
      <c r="CXS3" s="339"/>
      <c r="CXT3" s="339"/>
      <c r="CXU3" s="339"/>
      <c r="CXV3" s="339"/>
      <c r="CXW3" s="339"/>
      <c r="CXX3" s="339"/>
      <c r="CXY3" s="339"/>
      <c r="CXZ3" s="339"/>
      <c r="CYA3" s="339"/>
      <c r="CYB3" s="339"/>
      <c r="CYC3" s="339"/>
      <c r="CYD3" s="339"/>
      <c r="CYE3" s="339"/>
      <c r="CYF3" s="339"/>
      <c r="CYG3" s="339"/>
      <c r="CYH3" s="339"/>
      <c r="CYI3" s="339"/>
      <c r="CYJ3" s="339"/>
      <c r="CYK3" s="339"/>
      <c r="CYL3" s="339"/>
      <c r="CYM3" s="339"/>
      <c r="CYN3" s="339"/>
      <c r="CYO3" s="339"/>
      <c r="CYP3" s="339"/>
      <c r="CYQ3" s="339"/>
      <c r="CYR3" s="339"/>
      <c r="CYS3" s="339"/>
      <c r="CYT3" s="339"/>
      <c r="CYU3" s="339"/>
      <c r="CYV3" s="339"/>
      <c r="CYW3" s="339"/>
      <c r="CYX3" s="339"/>
      <c r="CYY3" s="339"/>
      <c r="CYZ3" s="339"/>
      <c r="CZA3" s="339"/>
      <c r="CZB3" s="339"/>
      <c r="CZC3" s="339"/>
      <c r="CZD3" s="339"/>
      <c r="CZE3" s="339"/>
      <c r="CZF3" s="339"/>
      <c r="CZG3" s="339"/>
      <c r="CZH3" s="339"/>
      <c r="CZI3" s="339"/>
      <c r="CZJ3" s="339"/>
      <c r="CZK3" s="339"/>
      <c r="CZL3" s="339"/>
      <c r="CZM3" s="339"/>
      <c r="CZN3" s="339"/>
      <c r="CZO3" s="339"/>
      <c r="CZP3" s="339"/>
      <c r="CZQ3" s="339"/>
      <c r="CZR3" s="339"/>
      <c r="CZS3" s="339"/>
      <c r="CZT3" s="339"/>
      <c r="CZU3" s="339"/>
      <c r="CZV3" s="339"/>
      <c r="CZW3" s="339"/>
      <c r="CZX3" s="339"/>
      <c r="CZY3" s="339"/>
      <c r="CZZ3" s="339"/>
      <c r="DAA3" s="339"/>
      <c r="DAB3" s="339"/>
      <c r="DAC3" s="339"/>
      <c r="DAD3" s="339"/>
      <c r="DAE3" s="339"/>
      <c r="DAF3" s="339"/>
      <c r="DAG3" s="339"/>
      <c r="DAH3" s="339"/>
      <c r="DAI3" s="339"/>
      <c r="DAJ3" s="339"/>
      <c r="DAK3" s="339"/>
      <c r="DAL3" s="339"/>
      <c r="DAM3" s="339"/>
      <c r="DAN3" s="339"/>
      <c r="DAO3" s="339"/>
      <c r="DAP3" s="339"/>
      <c r="DAQ3" s="339"/>
      <c r="DAR3" s="339"/>
      <c r="DAS3" s="339"/>
      <c r="DAT3" s="339"/>
      <c r="DAU3" s="339"/>
      <c r="DAV3" s="339"/>
      <c r="DAW3" s="339"/>
      <c r="DAX3" s="339"/>
      <c r="DAY3" s="339"/>
      <c r="DAZ3" s="339"/>
      <c r="DBA3" s="339"/>
      <c r="DBB3" s="339"/>
      <c r="DBC3" s="339"/>
      <c r="DBD3" s="339"/>
      <c r="DBE3" s="339"/>
      <c r="DBF3" s="339"/>
      <c r="DBG3" s="339"/>
      <c r="DBH3" s="339"/>
      <c r="DBI3" s="339"/>
      <c r="DBJ3" s="339"/>
      <c r="DBK3" s="339"/>
      <c r="DBL3" s="339"/>
      <c r="DBM3" s="339"/>
      <c r="DBN3" s="339"/>
      <c r="DBO3" s="339"/>
      <c r="DBP3" s="339"/>
      <c r="DBQ3" s="339"/>
      <c r="DBR3" s="339"/>
      <c r="DBS3" s="339"/>
      <c r="DBT3" s="339"/>
      <c r="DBU3" s="339"/>
      <c r="DBV3" s="339"/>
      <c r="DBW3" s="339"/>
      <c r="DBX3" s="339"/>
      <c r="DBY3" s="339"/>
      <c r="DBZ3" s="339"/>
      <c r="DCA3" s="339"/>
      <c r="DCB3" s="339"/>
      <c r="DCC3" s="339"/>
      <c r="DCD3" s="339"/>
      <c r="DCE3" s="339"/>
      <c r="DCF3" s="339"/>
      <c r="DCG3" s="339"/>
      <c r="DCH3" s="339"/>
      <c r="DCI3" s="339"/>
      <c r="DCJ3" s="339"/>
      <c r="DCK3" s="339"/>
      <c r="DCL3" s="339"/>
      <c r="DCM3" s="339"/>
      <c r="DCN3" s="339"/>
      <c r="DCO3" s="339"/>
      <c r="DCP3" s="339"/>
      <c r="DCQ3" s="339"/>
      <c r="DCR3" s="339"/>
      <c r="DCS3" s="339"/>
      <c r="DCT3" s="339"/>
      <c r="DCU3" s="339"/>
      <c r="DCV3" s="339"/>
      <c r="DCW3" s="339"/>
      <c r="DCX3" s="339"/>
      <c r="DCY3" s="339"/>
      <c r="DCZ3" s="339"/>
      <c r="DDA3" s="339"/>
      <c r="DDB3" s="339"/>
      <c r="DDC3" s="339"/>
      <c r="DDD3" s="339"/>
      <c r="DDE3" s="339"/>
      <c r="DDF3" s="339"/>
      <c r="DDG3" s="339"/>
      <c r="DDH3" s="339"/>
      <c r="DDI3" s="339"/>
      <c r="DDJ3" s="339"/>
      <c r="DDK3" s="339"/>
      <c r="DDL3" s="339"/>
      <c r="DDM3" s="339"/>
      <c r="DDN3" s="339"/>
      <c r="DDO3" s="339"/>
      <c r="DDP3" s="339"/>
      <c r="DDQ3" s="339"/>
      <c r="DDR3" s="339"/>
      <c r="DDS3" s="339"/>
      <c r="DDT3" s="339"/>
      <c r="DDU3" s="339"/>
      <c r="DDV3" s="339"/>
      <c r="DDW3" s="339"/>
      <c r="DDX3" s="339"/>
      <c r="DDY3" s="339"/>
      <c r="DDZ3" s="339"/>
      <c r="DEA3" s="339"/>
      <c r="DEB3" s="339"/>
      <c r="DEC3" s="339"/>
      <c r="DED3" s="339"/>
      <c r="DEE3" s="339"/>
      <c r="DEF3" s="339"/>
      <c r="DEG3" s="339"/>
      <c r="DEH3" s="339"/>
      <c r="DEI3" s="339"/>
      <c r="DEJ3" s="339"/>
      <c r="DEK3" s="339"/>
      <c r="DEL3" s="339"/>
      <c r="DEM3" s="339"/>
      <c r="DEN3" s="339"/>
      <c r="DEO3" s="339"/>
      <c r="DEP3" s="339"/>
      <c r="DEQ3" s="339"/>
      <c r="DER3" s="339"/>
      <c r="DES3" s="339"/>
      <c r="DET3" s="339"/>
      <c r="DEU3" s="339"/>
      <c r="DEV3" s="339"/>
      <c r="DEW3" s="339"/>
      <c r="DEX3" s="339"/>
      <c r="DEY3" s="339"/>
      <c r="DEZ3" s="339"/>
      <c r="DFA3" s="339"/>
      <c r="DFB3" s="339"/>
      <c r="DFC3" s="339"/>
      <c r="DFD3" s="339"/>
      <c r="DFE3" s="339"/>
      <c r="DFF3" s="339"/>
      <c r="DFG3" s="339"/>
      <c r="DFH3" s="339"/>
      <c r="DFI3" s="339"/>
      <c r="DFJ3" s="339"/>
      <c r="DFK3" s="339"/>
      <c r="DFL3" s="339"/>
      <c r="DFM3" s="339"/>
      <c r="DFN3" s="339"/>
      <c r="DFO3" s="339"/>
      <c r="DFP3" s="339"/>
      <c r="DFQ3" s="339"/>
      <c r="DFR3" s="339"/>
      <c r="DFS3" s="339"/>
      <c r="DFT3" s="339"/>
      <c r="DFU3" s="339"/>
      <c r="DFV3" s="339"/>
      <c r="DFW3" s="339"/>
      <c r="DFX3" s="339"/>
      <c r="DFY3" s="339"/>
      <c r="DFZ3" s="339"/>
      <c r="DGA3" s="339"/>
      <c r="DGB3" s="339"/>
      <c r="DGC3" s="339"/>
      <c r="DGD3" s="339"/>
      <c r="DGE3" s="339"/>
      <c r="DGF3" s="339"/>
      <c r="DGG3" s="339"/>
      <c r="DGH3" s="339"/>
      <c r="DGI3" s="339"/>
      <c r="DGJ3" s="339"/>
      <c r="DGK3" s="339"/>
      <c r="DGL3" s="339"/>
      <c r="DGM3" s="339"/>
      <c r="DGN3" s="339"/>
      <c r="DGO3" s="339"/>
      <c r="DGP3" s="339"/>
      <c r="DGQ3" s="339"/>
      <c r="DGR3" s="339"/>
      <c r="DGS3" s="339"/>
      <c r="DGT3" s="339"/>
      <c r="DGU3" s="339"/>
      <c r="DGV3" s="339"/>
      <c r="DGW3" s="339"/>
      <c r="DGX3" s="339"/>
      <c r="DGY3" s="339"/>
      <c r="DGZ3" s="339"/>
      <c r="DHA3" s="339"/>
      <c r="DHB3" s="339"/>
      <c r="DHC3" s="339"/>
      <c r="DHD3" s="339"/>
      <c r="DHE3" s="339"/>
      <c r="DHF3" s="339"/>
      <c r="DHG3" s="339"/>
      <c r="DHH3" s="339"/>
      <c r="DHI3" s="339"/>
      <c r="DHJ3" s="339"/>
      <c r="DHK3" s="339"/>
      <c r="DHL3" s="339"/>
      <c r="DHM3" s="339"/>
      <c r="DHN3" s="339"/>
      <c r="DHO3" s="339"/>
      <c r="DHP3" s="339"/>
      <c r="DHQ3" s="339"/>
      <c r="DHR3" s="339"/>
      <c r="DHS3" s="339"/>
      <c r="DHT3" s="339"/>
      <c r="DHU3" s="339"/>
      <c r="DHV3" s="339"/>
      <c r="DHW3" s="339"/>
      <c r="DHX3" s="339"/>
      <c r="DHY3" s="339"/>
      <c r="DHZ3" s="339"/>
      <c r="DIA3" s="339"/>
      <c r="DIB3" s="339"/>
      <c r="DIC3" s="339"/>
      <c r="DID3" s="339"/>
      <c r="DIE3" s="339"/>
      <c r="DIF3" s="339"/>
      <c r="DIG3" s="339"/>
      <c r="DIH3" s="339"/>
      <c r="DII3" s="339"/>
      <c r="DIJ3" s="339"/>
      <c r="DIK3" s="339"/>
      <c r="DIL3" s="339"/>
      <c r="DIM3" s="339"/>
      <c r="DIN3" s="339"/>
      <c r="DIO3" s="339"/>
      <c r="DIP3" s="339"/>
      <c r="DIQ3" s="339"/>
      <c r="DIR3" s="339"/>
      <c r="DIS3" s="339"/>
      <c r="DIT3" s="339"/>
      <c r="DIU3" s="339"/>
      <c r="DIV3" s="339"/>
      <c r="DIW3" s="339"/>
      <c r="DIX3" s="339"/>
      <c r="DIY3" s="339"/>
      <c r="DIZ3" s="339"/>
      <c r="DJA3" s="339"/>
      <c r="DJB3" s="339"/>
      <c r="DJC3" s="339"/>
      <c r="DJD3" s="339"/>
      <c r="DJE3" s="339"/>
      <c r="DJF3" s="339"/>
      <c r="DJG3" s="339"/>
      <c r="DJH3" s="339"/>
      <c r="DJI3" s="339"/>
      <c r="DJJ3" s="339"/>
      <c r="DJK3" s="339"/>
      <c r="DJL3" s="339"/>
      <c r="DJM3" s="339"/>
      <c r="DJN3" s="339"/>
      <c r="DJO3" s="339"/>
      <c r="DJP3" s="339"/>
      <c r="DJQ3" s="339"/>
      <c r="DJR3" s="339"/>
      <c r="DJS3" s="339"/>
      <c r="DJT3" s="339"/>
      <c r="DJU3" s="339"/>
      <c r="DJV3" s="339"/>
      <c r="DJW3" s="339"/>
      <c r="DJX3" s="339"/>
      <c r="DJY3" s="339"/>
      <c r="DJZ3" s="339"/>
      <c r="DKA3" s="339"/>
      <c r="DKB3" s="339"/>
      <c r="DKC3" s="339"/>
      <c r="DKD3" s="339"/>
      <c r="DKE3" s="339"/>
      <c r="DKF3" s="339"/>
      <c r="DKG3" s="339"/>
      <c r="DKH3" s="339"/>
      <c r="DKI3" s="339"/>
      <c r="DKJ3" s="339"/>
      <c r="DKK3" s="339"/>
      <c r="DKL3" s="339"/>
      <c r="DKM3" s="339"/>
      <c r="DKN3" s="339"/>
      <c r="DKO3" s="339"/>
      <c r="DKP3" s="339"/>
      <c r="DKQ3" s="339"/>
      <c r="DKR3" s="339"/>
      <c r="DKS3" s="339"/>
      <c r="DKT3" s="339"/>
      <c r="DKU3" s="339"/>
      <c r="DKV3" s="339"/>
      <c r="DKW3" s="339"/>
      <c r="DKX3" s="339"/>
      <c r="DKY3" s="339"/>
      <c r="DKZ3" s="339"/>
      <c r="DLA3" s="339"/>
      <c r="DLB3" s="339"/>
      <c r="DLC3" s="339"/>
      <c r="DLD3" s="339"/>
      <c r="DLE3" s="339"/>
      <c r="DLF3" s="339"/>
      <c r="DLG3" s="339"/>
      <c r="DLH3" s="339"/>
      <c r="DLI3" s="339"/>
      <c r="DLJ3" s="339"/>
      <c r="DLK3" s="339"/>
      <c r="DLL3" s="339"/>
      <c r="DLM3" s="339"/>
      <c r="DLN3" s="339"/>
      <c r="DLO3" s="339"/>
      <c r="DLP3" s="339"/>
      <c r="DLQ3" s="339"/>
      <c r="DLR3" s="339"/>
      <c r="DLS3" s="339"/>
      <c r="DLT3" s="339"/>
      <c r="DLU3" s="339"/>
      <c r="DLV3" s="339"/>
      <c r="DLW3" s="339"/>
      <c r="DLX3" s="339"/>
      <c r="DLY3" s="339"/>
      <c r="DLZ3" s="339"/>
      <c r="DMA3" s="339"/>
      <c r="DMB3" s="339"/>
      <c r="DMC3" s="339"/>
      <c r="DMD3" s="339"/>
      <c r="DME3" s="339"/>
      <c r="DMF3" s="339"/>
      <c r="DMG3" s="339"/>
      <c r="DMH3" s="339"/>
      <c r="DMI3" s="339"/>
      <c r="DMJ3" s="339"/>
      <c r="DMK3" s="339"/>
      <c r="DML3" s="339"/>
      <c r="DMM3" s="339"/>
      <c r="DMN3" s="339"/>
      <c r="DMO3" s="339"/>
      <c r="DMP3" s="339"/>
      <c r="DMQ3" s="339"/>
      <c r="DMR3" s="339"/>
      <c r="DMS3" s="339"/>
      <c r="DMT3" s="339"/>
      <c r="DMU3" s="339"/>
      <c r="DMV3" s="339"/>
      <c r="DMW3" s="339"/>
      <c r="DMX3" s="339"/>
      <c r="DMY3" s="339"/>
      <c r="DMZ3" s="339"/>
      <c r="DNA3" s="339"/>
      <c r="DNB3" s="339"/>
      <c r="DNC3" s="339"/>
      <c r="DND3" s="339"/>
      <c r="DNE3" s="339"/>
      <c r="DNF3" s="339"/>
      <c r="DNG3" s="339"/>
      <c r="DNH3" s="339"/>
      <c r="DNI3" s="339"/>
      <c r="DNJ3" s="339"/>
      <c r="DNK3" s="339"/>
      <c r="DNL3" s="339"/>
      <c r="DNM3" s="339"/>
      <c r="DNN3" s="339"/>
      <c r="DNO3" s="339"/>
      <c r="DNP3" s="339"/>
      <c r="DNQ3" s="339"/>
      <c r="DNR3" s="339"/>
      <c r="DNS3" s="339"/>
      <c r="DNT3" s="339"/>
      <c r="DNU3" s="339"/>
      <c r="DNV3" s="339"/>
      <c r="DNW3" s="339"/>
      <c r="DNX3" s="339"/>
      <c r="DNY3" s="339"/>
      <c r="DNZ3" s="339"/>
      <c r="DOA3" s="339"/>
      <c r="DOB3" s="339"/>
      <c r="DOC3" s="339"/>
      <c r="DOD3" s="339"/>
      <c r="DOE3" s="339"/>
      <c r="DOF3" s="339"/>
      <c r="DOG3" s="339"/>
      <c r="DOH3" s="339"/>
      <c r="DOI3" s="339"/>
      <c r="DOJ3" s="339"/>
      <c r="DOK3" s="339"/>
      <c r="DOL3" s="339"/>
      <c r="DOM3" s="339"/>
      <c r="DON3" s="339"/>
      <c r="DOO3" s="339"/>
      <c r="DOP3" s="339"/>
      <c r="DOQ3" s="339"/>
      <c r="DOR3" s="339"/>
      <c r="DOS3" s="339"/>
      <c r="DOT3" s="339"/>
      <c r="DOU3" s="339"/>
      <c r="DOV3" s="339"/>
      <c r="DOW3" s="339"/>
      <c r="DOX3" s="339"/>
      <c r="DOY3" s="339"/>
      <c r="DOZ3" s="339"/>
      <c r="DPA3" s="339"/>
      <c r="DPB3" s="339"/>
      <c r="DPC3" s="339"/>
      <c r="DPD3" s="339"/>
      <c r="DPE3" s="339"/>
      <c r="DPF3" s="339"/>
      <c r="DPG3" s="339"/>
      <c r="DPH3" s="339"/>
      <c r="DPI3" s="339"/>
      <c r="DPJ3" s="339"/>
      <c r="DPK3" s="339"/>
      <c r="DPL3" s="339"/>
      <c r="DPM3" s="339"/>
      <c r="DPN3" s="339"/>
      <c r="DPO3" s="339"/>
      <c r="DPP3" s="339"/>
      <c r="DPQ3" s="339"/>
      <c r="DPR3" s="339"/>
      <c r="DPS3" s="339"/>
      <c r="DPT3" s="339"/>
      <c r="DPU3" s="339"/>
      <c r="DPV3" s="339"/>
      <c r="DPW3" s="339"/>
      <c r="DPX3" s="339"/>
      <c r="DPY3" s="339"/>
      <c r="DPZ3" s="339"/>
      <c r="DQA3" s="339"/>
      <c r="DQB3" s="339"/>
      <c r="DQC3" s="339"/>
      <c r="DQD3" s="339"/>
      <c r="DQE3" s="339"/>
      <c r="DQF3" s="339"/>
      <c r="DQG3" s="339"/>
      <c r="DQH3" s="339"/>
      <c r="DQI3" s="339"/>
      <c r="DQJ3" s="339"/>
      <c r="DQK3" s="339"/>
      <c r="DQL3" s="339"/>
      <c r="DQM3" s="339"/>
      <c r="DQN3" s="339"/>
      <c r="DQO3" s="339"/>
      <c r="DQP3" s="339"/>
      <c r="DQQ3" s="339"/>
      <c r="DQR3" s="339"/>
      <c r="DQS3" s="339"/>
      <c r="DQT3" s="339"/>
      <c r="DQU3" s="339"/>
      <c r="DQV3" s="339"/>
      <c r="DQW3" s="339"/>
      <c r="DQX3" s="339"/>
      <c r="DQY3" s="339"/>
      <c r="DQZ3" s="339"/>
      <c r="DRA3" s="339"/>
      <c r="DRB3" s="339"/>
      <c r="DRC3" s="339"/>
      <c r="DRD3" s="339"/>
      <c r="DRE3" s="339"/>
      <c r="DRF3" s="339"/>
      <c r="DRG3" s="339"/>
      <c r="DRH3" s="339"/>
      <c r="DRI3" s="339"/>
      <c r="DRJ3" s="339"/>
      <c r="DRK3" s="339"/>
      <c r="DRL3" s="339"/>
      <c r="DRM3" s="339"/>
      <c r="DRN3" s="339"/>
      <c r="DRO3" s="339"/>
      <c r="DRP3" s="339"/>
      <c r="DRQ3" s="339"/>
      <c r="DRR3" s="339"/>
      <c r="DRS3" s="339"/>
      <c r="DRT3" s="339"/>
      <c r="DRU3" s="339"/>
      <c r="DRV3" s="339"/>
      <c r="DRW3" s="339"/>
      <c r="DRX3" s="339"/>
      <c r="DRY3" s="339"/>
      <c r="DRZ3" s="339"/>
      <c r="DSA3" s="339"/>
      <c r="DSB3" s="339"/>
      <c r="DSC3" s="339"/>
      <c r="DSD3" s="339"/>
      <c r="DSE3" s="339"/>
      <c r="DSF3" s="339"/>
      <c r="DSG3" s="339"/>
      <c r="DSH3" s="339"/>
      <c r="DSI3" s="339"/>
      <c r="DSJ3" s="339"/>
      <c r="DSK3" s="339"/>
      <c r="DSL3" s="339"/>
      <c r="DSM3" s="339"/>
      <c r="DSN3" s="339"/>
      <c r="DSO3" s="339"/>
      <c r="DSP3" s="339"/>
      <c r="DSQ3" s="339"/>
      <c r="DSR3" s="339"/>
      <c r="DSS3" s="339"/>
      <c r="DST3" s="339"/>
      <c r="DSU3" s="339"/>
      <c r="DSV3" s="339"/>
      <c r="DSW3" s="339"/>
      <c r="DSX3" s="339"/>
      <c r="DSY3" s="339"/>
      <c r="DSZ3" s="339"/>
      <c r="DTA3" s="339"/>
      <c r="DTB3" s="339"/>
      <c r="DTC3" s="339"/>
      <c r="DTD3" s="339"/>
      <c r="DTE3" s="339"/>
      <c r="DTF3" s="339"/>
      <c r="DTG3" s="339"/>
      <c r="DTH3" s="339"/>
      <c r="DTI3" s="339"/>
      <c r="DTJ3" s="339"/>
      <c r="DTK3" s="339"/>
      <c r="DTL3" s="339"/>
      <c r="DTM3" s="339"/>
      <c r="DTN3" s="339"/>
      <c r="DTO3" s="339"/>
      <c r="DTP3" s="339"/>
      <c r="DTQ3" s="339"/>
      <c r="DTR3" s="339"/>
      <c r="DTS3" s="339"/>
      <c r="DTT3" s="339"/>
      <c r="DTU3" s="339"/>
      <c r="DTV3" s="339"/>
      <c r="DTW3" s="339"/>
      <c r="DTX3" s="339"/>
      <c r="DTY3" s="339"/>
      <c r="DTZ3" s="339"/>
      <c r="DUA3" s="339"/>
      <c r="DUB3" s="339"/>
      <c r="DUC3" s="339"/>
      <c r="DUD3" s="339"/>
      <c r="DUE3" s="339"/>
      <c r="DUF3" s="339"/>
      <c r="DUG3" s="339"/>
      <c r="DUH3" s="339"/>
      <c r="DUI3" s="339"/>
      <c r="DUJ3" s="339"/>
      <c r="DUK3" s="339"/>
      <c r="DUL3" s="339"/>
      <c r="DUM3" s="339"/>
      <c r="DUN3" s="339"/>
      <c r="DUO3" s="339"/>
      <c r="DUP3" s="339"/>
      <c r="DUQ3" s="339"/>
      <c r="DUR3" s="339"/>
      <c r="DUS3" s="339"/>
      <c r="DUT3" s="339"/>
      <c r="DUU3" s="339"/>
      <c r="DUV3" s="339"/>
      <c r="DUW3" s="339"/>
      <c r="DUX3" s="339"/>
      <c r="DUY3" s="339"/>
      <c r="DUZ3" s="339"/>
      <c r="DVA3" s="339"/>
      <c r="DVB3" s="339"/>
      <c r="DVC3" s="339"/>
      <c r="DVD3" s="339"/>
      <c r="DVE3" s="339"/>
      <c r="DVF3" s="339"/>
      <c r="DVG3" s="339"/>
      <c r="DVH3" s="339"/>
      <c r="DVI3" s="339"/>
      <c r="DVJ3" s="339"/>
      <c r="DVK3" s="339"/>
      <c r="DVL3" s="339"/>
      <c r="DVM3" s="339"/>
      <c r="DVN3" s="339"/>
      <c r="DVO3" s="339"/>
      <c r="DVP3" s="339"/>
      <c r="DVQ3" s="339"/>
      <c r="DVR3" s="339"/>
      <c r="DVS3" s="339"/>
      <c r="DVT3" s="339"/>
      <c r="DVU3" s="339"/>
      <c r="DVV3" s="339"/>
      <c r="DVW3" s="339"/>
      <c r="DVX3" s="339"/>
      <c r="DVY3" s="339"/>
      <c r="DVZ3" s="339"/>
      <c r="DWA3" s="339"/>
      <c r="DWB3" s="339"/>
      <c r="DWC3" s="339"/>
      <c r="DWD3" s="339"/>
      <c r="DWE3" s="339"/>
      <c r="DWF3" s="339"/>
      <c r="DWG3" s="339"/>
      <c r="DWH3" s="339"/>
      <c r="DWI3" s="339"/>
      <c r="DWJ3" s="339"/>
      <c r="DWK3" s="339"/>
      <c r="DWL3" s="339"/>
      <c r="DWM3" s="339"/>
      <c r="DWN3" s="339"/>
      <c r="DWO3" s="339"/>
      <c r="DWP3" s="339"/>
      <c r="DWQ3" s="339"/>
      <c r="DWR3" s="339"/>
      <c r="DWS3" s="339"/>
      <c r="DWT3" s="339"/>
      <c r="DWU3" s="339"/>
      <c r="DWV3" s="339"/>
      <c r="DWW3" s="339"/>
      <c r="DWX3" s="339"/>
      <c r="DWY3" s="339"/>
      <c r="DWZ3" s="339"/>
      <c r="DXA3" s="339"/>
      <c r="DXB3" s="339"/>
      <c r="DXC3" s="339"/>
      <c r="DXD3" s="339"/>
      <c r="DXE3" s="339"/>
      <c r="DXF3" s="339"/>
      <c r="DXG3" s="339"/>
      <c r="DXH3" s="339"/>
      <c r="DXI3" s="339"/>
      <c r="DXJ3" s="339"/>
      <c r="DXK3" s="339"/>
      <c r="DXL3" s="339"/>
      <c r="DXM3" s="339"/>
      <c r="DXN3" s="339"/>
      <c r="DXO3" s="339"/>
      <c r="DXP3" s="339"/>
      <c r="DXQ3" s="339"/>
      <c r="DXR3" s="339"/>
      <c r="DXS3" s="339"/>
      <c r="DXT3" s="339"/>
      <c r="DXU3" s="339"/>
      <c r="DXV3" s="339"/>
      <c r="DXW3" s="339"/>
      <c r="DXX3" s="339"/>
      <c r="DXY3" s="339"/>
      <c r="DXZ3" s="339"/>
      <c r="DYA3" s="339"/>
      <c r="DYB3" s="339"/>
      <c r="DYC3" s="339"/>
      <c r="DYD3" s="339"/>
      <c r="DYE3" s="339"/>
      <c r="DYF3" s="339"/>
      <c r="DYG3" s="339"/>
      <c r="DYH3" s="339"/>
      <c r="DYI3" s="339"/>
      <c r="DYJ3" s="339"/>
      <c r="DYK3" s="339"/>
      <c r="DYL3" s="339"/>
      <c r="DYM3" s="339"/>
      <c r="DYN3" s="339"/>
      <c r="DYO3" s="339"/>
      <c r="DYP3" s="339"/>
      <c r="DYQ3" s="339"/>
      <c r="DYR3" s="339"/>
      <c r="DYS3" s="339"/>
      <c r="DYT3" s="339"/>
      <c r="DYU3" s="339"/>
      <c r="DYV3" s="339"/>
      <c r="DYW3" s="339"/>
      <c r="DYX3" s="339"/>
      <c r="DYY3" s="339"/>
      <c r="DYZ3" s="339"/>
      <c r="DZA3" s="339"/>
      <c r="DZB3" s="339"/>
      <c r="DZC3" s="339"/>
      <c r="DZD3" s="339"/>
      <c r="DZE3" s="339"/>
      <c r="DZF3" s="339"/>
      <c r="DZG3" s="339"/>
      <c r="DZH3" s="339"/>
      <c r="DZI3" s="339"/>
      <c r="DZJ3" s="339"/>
      <c r="DZK3" s="339"/>
      <c r="DZL3" s="339"/>
      <c r="DZM3" s="339"/>
      <c r="DZN3" s="339"/>
      <c r="DZO3" s="339"/>
      <c r="DZP3" s="339"/>
      <c r="DZQ3" s="339"/>
      <c r="DZR3" s="339"/>
      <c r="DZS3" s="339"/>
      <c r="DZT3" s="339"/>
      <c r="DZU3" s="339"/>
      <c r="DZV3" s="339"/>
      <c r="DZW3" s="339"/>
      <c r="DZX3" s="339"/>
      <c r="DZY3" s="339"/>
      <c r="DZZ3" s="339"/>
      <c r="EAA3" s="339"/>
      <c r="EAB3" s="339"/>
      <c r="EAC3" s="339"/>
      <c r="EAD3" s="339"/>
      <c r="EAE3" s="339"/>
      <c r="EAF3" s="339"/>
      <c r="EAG3" s="339"/>
      <c r="EAH3" s="339"/>
      <c r="EAI3" s="339"/>
      <c r="EAJ3" s="339"/>
      <c r="EAK3" s="339"/>
      <c r="EAL3" s="339"/>
      <c r="EAM3" s="339"/>
      <c r="EAN3" s="339"/>
      <c r="EAO3" s="339"/>
      <c r="EAP3" s="339"/>
      <c r="EAQ3" s="339"/>
      <c r="EAR3" s="339"/>
      <c r="EAS3" s="339"/>
      <c r="EAT3" s="339"/>
      <c r="EAU3" s="339"/>
      <c r="EAV3" s="339"/>
      <c r="EAW3" s="339"/>
      <c r="EAX3" s="339"/>
      <c r="EAY3" s="339"/>
      <c r="EAZ3" s="339"/>
      <c r="EBA3" s="339"/>
      <c r="EBB3" s="339"/>
      <c r="EBC3" s="339"/>
      <c r="EBD3" s="339"/>
      <c r="EBE3" s="339"/>
      <c r="EBF3" s="339"/>
      <c r="EBG3" s="339"/>
      <c r="EBH3" s="339"/>
      <c r="EBI3" s="339"/>
      <c r="EBJ3" s="339"/>
      <c r="EBK3" s="339"/>
      <c r="EBL3" s="339"/>
      <c r="EBM3" s="339"/>
      <c r="EBN3" s="339"/>
      <c r="EBO3" s="339"/>
      <c r="EBP3" s="339"/>
      <c r="EBQ3" s="339"/>
      <c r="EBR3" s="339"/>
      <c r="EBS3" s="339"/>
      <c r="EBT3" s="339"/>
      <c r="EBU3" s="339"/>
      <c r="EBV3" s="339"/>
      <c r="EBW3" s="339"/>
      <c r="EBX3" s="339"/>
      <c r="EBY3" s="339"/>
      <c r="EBZ3" s="339"/>
      <c r="ECA3" s="339"/>
      <c r="ECB3" s="339"/>
      <c r="ECC3" s="339"/>
      <c r="ECD3" s="339"/>
      <c r="ECE3" s="339"/>
      <c r="ECF3" s="339"/>
      <c r="ECG3" s="339"/>
      <c r="ECH3" s="339"/>
      <c r="ECI3" s="339"/>
      <c r="ECJ3" s="339"/>
      <c r="ECK3" s="339"/>
      <c r="ECL3" s="339"/>
      <c r="ECM3" s="339"/>
      <c r="ECN3" s="339"/>
      <c r="ECO3" s="339"/>
      <c r="ECP3" s="339"/>
      <c r="ECQ3" s="339"/>
      <c r="ECR3" s="339"/>
      <c r="ECS3" s="339"/>
      <c r="ECT3" s="339"/>
      <c r="ECU3" s="339"/>
      <c r="ECV3" s="339"/>
      <c r="ECW3" s="339"/>
      <c r="ECX3" s="339"/>
      <c r="ECY3" s="339"/>
      <c r="ECZ3" s="339"/>
      <c r="EDA3" s="339"/>
      <c r="EDB3" s="339"/>
      <c r="EDC3" s="339"/>
      <c r="EDD3" s="339"/>
      <c r="EDE3" s="339"/>
      <c r="EDF3" s="339"/>
      <c r="EDG3" s="339"/>
      <c r="EDH3" s="339"/>
      <c r="EDI3" s="339"/>
      <c r="EDJ3" s="339"/>
      <c r="EDK3" s="339"/>
      <c r="EDL3" s="339"/>
      <c r="EDM3" s="339"/>
      <c r="EDN3" s="339"/>
      <c r="EDO3" s="339"/>
      <c r="EDP3" s="339"/>
      <c r="EDQ3" s="339"/>
      <c r="EDR3" s="339"/>
      <c r="EDS3" s="339"/>
      <c r="EDT3" s="339"/>
      <c r="EDU3" s="339"/>
      <c r="EDV3" s="339"/>
      <c r="EDW3" s="339"/>
      <c r="EDX3" s="339"/>
      <c r="EDY3" s="339"/>
      <c r="EDZ3" s="339"/>
      <c r="EEA3" s="339"/>
      <c r="EEB3" s="339"/>
      <c r="EEC3" s="339"/>
      <c r="EED3" s="339"/>
      <c r="EEE3" s="339"/>
      <c r="EEF3" s="339"/>
      <c r="EEG3" s="339"/>
      <c r="EEH3" s="339"/>
      <c r="EEI3" s="339"/>
      <c r="EEJ3" s="339"/>
      <c r="EEK3" s="339"/>
      <c r="EEL3" s="339"/>
      <c r="EEM3" s="339"/>
      <c r="EEN3" s="339"/>
      <c r="EEO3" s="339"/>
      <c r="EEP3" s="339"/>
      <c r="EEQ3" s="339"/>
      <c r="EER3" s="339"/>
      <c r="EES3" s="339"/>
      <c r="EET3" s="339"/>
      <c r="EEU3" s="339"/>
      <c r="EEV3" s="339"/>
      <c r="EEW3" s="339"/>
      <c r="EEX3" s="339"/>
      <c r="EEY3" s="339"/>
      <c r="EEZ3" s="339"/>
      <c r="EFA3" s="339"/>
      <c r="EFB3" s="339"/>
      <c r="EFC3" s="339"/>
      <c r="EFD3" s="339"/>
      <c r="EFE3" s="339"/>
      <c r="EFF3" s="339"/>
      <c r="EFG3" s="339"/>
      <c r="EFH3" s="339"/>
      <c r="EFI3" s="339"/>
      <c r="EFJ3" s="339"/>
      <c r="EFK3" s="339"/>
      <c r="EFL3" s="339"/>
      <c r="EFM3" s="339"/>
      <c r="EFN3" s="339"/>
      <c r="EFO3" s="339"/>
      <c r="EFP3" s="339"/>
      <c r="EFQ3" s="339"/>
      <c r="EFR3" s="339"/>
      <c r="EFS3" s="339"/>
      <c r="EFT3" s="339"/>
      <c r="EFU3" s="339"/>
      <c r="EFV3" s="339"/>
      <c r="EFW3" s="339"/>
      <c r="EFX3" s="339"/>
      <c r="EFY3" s="339"/>
      <c r="EFZ3" s="339"/>
      <c r="EGA3" s="339"/>
      <c r="EGB3" s="339"/>
      <c r="EGC3" s="339"/>
      <c r="EGD3" s="339"/>
      <c r="EGE3" s="339"/>
      <c r="EGF3" s="339"/>
      <c r="EGG3" s="339"/>
      <c r="EGH3" s="339"/>
      <c r="EGI3" s="339"/>
      <c r="EGJ3" s="339"/>
      <c r="EGK3" s="339"/>
      <c r="EGL3" s="339"/>
      <c r="EGM3" s="339"/>
      <c r="EGN3" s="339"/>
      <c r="EGO3" s="339"/>
      <c r="EGP3" s="339"/>
      <c r="EGQ3" s="339"/>
      <c r="EGR3" s="339"/>
      <c r="EGS3" s="339"/>
      <c r="EGT3" s="339"/>
      <c r="EGU3" s="339"/>
      <c r="EGV3" s="339"/>
      <c r="EGW3" s="339"/>
      <c r="EGX3" s="339"/>
      <c r="EGY3" s="339"/>
      <c r="EGZ3" s="339"/>
      <c r="EHA3" s="339"/>
      <c r="EHB3" s="339"/>
      <c r="EHC3" s="339"/>
      <c r="EHD3" s="339"/>
      <c r="EHE3" s="339"/>
      <c r="EHF3" s="339"/>
      <c r="EHG3" s="339"/>
      <c r="EHH3" s="339"/>
      <c r="EHI3" s="339"/>
      <c r="EHJ3" s="339"/>
      <c r="EHK3" s="339"/>
      <c r="EHL3" s="339"/>
      <c r="EHM3" s="339"/>
      <c r="EHN3" s="339"/>
      <c r="EHO3" s="339"/>
      <c r="EHP3" s="339"/>
      <c r="EHQ3" s="339"/>
      <c r="EHR3" s="339"/>
      <c r="EHS3" s="339"/>
      <c r="EHT3" s="339"/>
      <c r="EHU3" s="339"/>
      <c r="EHV3" s="339"/>
      <c r="EHW3" s="339"/>
      <c r="EHX3" s="339"/>
      <c r="EHY3" s="339"/>
      <c r="EHZ3" s="339"/>
      <c r="EIA3" s="339"/>
      <c r="EIB3" s="339"/>
      <c r="EIC3" s="339"/>
      <c r="EID3" s="339"/>
      <c r="EIE3" s="339"/>
      <c r="EIF3" s="339"/>
      <c r="EIG3" s="339"/>
      <c r="EIH3" s="339"/>
      <c r="EII3" s="339"/>
      <c r="EIJ3" s="339"/>
      <c r="EIK3" s="339"/>
      <c r="EIL3" s="339"/>
      <c r="EIM3" s="339"/>
      <c r="EIN3" s="339"/>
      <c r="EIO3" s="339"/>
      <c r="EIP3" s="339"/>
      <c r="EIQ3" s="339"/>
      <c r="EIR3" s="339"/>
      <c r="EIS3" s="339"/>
      <c r="EIT3" s="339"/>
      <c r="EIU3" s="339"/>
      <c r="EIV3" s="339"/>
      <c r="EIW3" s="339"/>
      <c r="EIX3" s="339"/>
      <c r="EIY3" s="339"/>
      <c r="EIZ3" s="339"/>
      <c r="EJA3" s="339"/>
      <c r="EJB3" s="339"/>
      <c r="EJC3" s="339"/>
      <c r="EJD3" s="339"/>
      <c r="EJE3" s="339"/>
      <c r="EJF3" s="339"/>
      <c r="EJG3" s="339"/>
      <c r="EJH3" s="339"/>
      <c r="EJI3" s="339"/>
      <c r="EJJ3" s="339"/>
      <c r="EJK3" s="339"/>
      <c r="EJL3" s="339"/>
      <c r="EJM3" s="339"/>
      <c r="EJN3" s="339"/>
      <c r="EJO3" s="339"/>
      <c r="EJP3" s="339"/>
      <c r="EJQ3" s="339"/>
      <c r="EJR3" s="339"/>
      <c r="EJS3" s="339"/>
      <c r="EJT3" s="339"/>
      <c r="EJU3" s="339"/>
      <c r="EJV3" s="339"/>
      <c r="EJW3" s="339"/>
      <c r="EJX3" s="339"/>
      <c r="EJY3" s="339"/>
      <c r="EJZ3" s="339"/>
      <c r="EKA3" s="339"/>
      <c r="EKB3" s="339"/>
      <c r="EKC3" s="339"/>
      <c r="EKD3" s="339"/>
      <c r="EKE3" s="339"/>
      <c r="EKF3" s="339"/>
      <c r="EKG3" s="339"/>
      <c r="EKH3" s="339"/>
      <c r="EKI3" s="339"/>
      <c r="EKJ3" s="339"/>
      <c r="EKK3" s="339"/>
      <c r="EKL3" s="339"/>
      <c r="EKM3" s="339"/>
      <c r="EKN3" s="339"/>
      <c r="EKO3" s="339"/>
      <c r="EKP3" s="339"/>
      <c r="EKQ3" s="339"/>
      <c r="EKR3" s="339"/>
      <c r="EKS3" s="339"/>
      <c r="EKT3" s="339"/>
      <c r="EKU3" s="339"/>
      <c r="EKV3" s="339"/>
      <c r="EKW3" s="339"/>
      <c r="EKX3" s="339"/>
      <c r="EKY3" s="339"/>
      <c r="EKZ3" s="339"/>
      <c r="ELA3" s="339"/>
      <c r="ELB3" s="339"/>
      <c r="ELC3" s="339"/>
      <c r="ELD3" s="339"/>
      <c r="ELE3" s="339"/>
      <c r="ELF3" s="339"/>
      <c r="ELG3" s="339"/>
      <c r="ELH3" s="339"/>
      <c r="ELI3" s="339"/>
      <c r="ELJ3" s="339"/>
      <c r="ELK3" s="339"/>
      <c r="ELL3" s="339"/>
      <c r="ELM3" s="339"/>
      <c r="ELN3" s="339"/>
      <c r="ELO3" s="339"/>
      <c r="ELP3" s="339"/>
      <c r="ELQ3" s="339"/>
      <c r="ELR3" s="339"/>
      <c r="ELS3" s="339"/>
      <c r="ELT3" s="339"/>
      <c r="ELU3" s="339"/>
      <c r="ELV3" s="339"/>
      <c r="ELW3" s="339"/>
      <c r="ELX3" s="339"/>
      <c r="ELY3" s="339"/>
      <c r="ELZ3" s="339"/>
      <c r="EMA3" s="339"/>
      <c r="EMB3" s="339"/>
      <c r="EMC3" s="339"/>
      <c r="EMD3" s="339"/>
      <c r="EME3" s="339"/>
      <c r="EMF3" s="339"/>
      <c r="EMG3" s="339"/>
      <c r="EMH3" s="339"/>
      <c r="EMI3" s="339"/>
      <c r="EMJ3" s="339"/>
      <c r="EMK3" s="339"/>
      <c r="EML3" s="339"/>
      <c r="EMM3" s="339"/>
      <c r="EMN3" s="339"/>
      <c r="EMO3" s="339"/>
      <c r="EMP3" s="339"/>
      <c r="EMQ3" s="339"/>
      <c r="EMR3" s="339"/>
      <c r="EMS3" s="339"/>
      <c r="EMT3" s="339"/>
      <c r="EMU3" s="339"/>
      <c r="EMV3" s="339"/>
      <c r="EMW3" s="339"/>
      <c r="EMX3" s="339"/>
      <c r="EMY3" s="339"/>
      <c r="EMZ3" s="339"/>
      <c r="ENA3" s="339"/>
      <c r="ENB3" s="339"/>
      <c r="ENC3" s="339"/>
      <c r="END3" s="339"/>
      <c r="ENE3" s="339"/>
      <c r="ENF3" s="339"/>
      <c r="ENG3" s="339"/>
      <c r="ENH3" s="339"/>
      <c r="ENI3" s="339"/>
      <c r="ENJ3" s="339"/>
      <c r="ENK3" s="339"/>
      <c r="ENL3" s="339"/>
      <c r="ENM3" s="339"/>
      <c r="ENN3" s="339"/>
      <c r="ENO3" s="339"/>
      <c r="ENP3" s="339"/>
      <c r="ENQ3" s="339"/>
      <c r="ENR3" s="339"/>
      <c r="ENS3" s="339"/>
      <c r="ENT3" s="339"/>
      <c r="ENU3" s="339"/>
      <c r="ENV3" s="339"/>
      <c r="ENW3" s="339"/>
      <c r="ENX3" s="339"/>
      <c r="ENY3" s="339"/>
      <c r="ENZ3" s="339"/>
      <c r="EOA3" s="339"/>
      <c r="EOB3" s="339"/>
      <c r="EOC3" s="339"/>
      <c r="EOD3" s="339"/>
      <c r="EOE3" s="339"/>
      <c r="EOF3" s="339"/>
      <c r="EOG3" s="339"/>
      <c r="EOH3" s="339"/>
      <c r="EOI3" s="339"/>
      <c r="EOJ3" s="339"/>
      <c r="EOK3" s="339"/>
      <c r="EOL3" s="339"/>
      <c r="EOM3" s="339"/>
      <c r="EON3" s="339"/>
      <c r="EOO3" s="339"/>
      <c r="EOP3" s="339"/>
      <c r="EOQ3" s="339"/>
      <c r="EOR3" s="339"/>
      <c r="EOS3" s="339"/>
      <c r="EOT3" s="339"/>
      <c r="EOU3" s="339"/>
      <c r="EOV3" s="339"/>
      <c r="EOW3" s="339"/>
      <c r="EOX3" s="339"/>
      <c r="EOY3" s="339"/>
      <c r="EOZ3" s="339"/>
      <c r="EPA3" s="339"/>
      <c r="EPB3" s="339"/>
      <c r="EPC3" s="339"/>
      <c r="EPD3" s="339"/>
      <c r="EPE3" s="339"/>
      <c r="EPF3" s="339"/>
      <c r="EPG3" s="339"/>
      <c r="EPH3" s="339"/>
      <c r="EPI3" s="339"/>
      <c r="EPJ3" s="339"/>
      <c r="EPK3" s="339"/>
      <c r="EPL3" s="339"/>
      <c r="EPM3" s="339"/>
      <c r="EPN3" s="339"/>
      <c r="EPO3" s="339"/>
      <c r="EPP3" s="339"/>
      <c r="EPQ3" s="339"/>
      <c r="EPR3" s="339"/>
      <c r="EPS3" s="339"/>
      <c r="EPT3" s="339"/>
      <c r="EPU3" s="339"/>
      <c r="EPV3" s="339"/>
      <c r="EPW3" s="339"/>
      <c r="EPX3" s="339"/>
      <c r="EPY3" s="339"/>
      <c r="EPZ3" s="339"/>
      <c r="EQA3" s="339"/>
      <c r="EQB3" s="339"/>
      <c r="EQC3" s="339"/>
      <c r="EQD3" s="339"/>
      <c r="EQE3" s="339"/>
      <c r="EQF3" s="339"/>
      <c r="EQG3" s="339"/>
      <c r="EQH3" s="339"/>
      <c r="EQI3" s="339"/>
      <c r="EQJ3" s="339"/>
      <c r="EQK3" s="339"/>
      <c r="EQL3" s="339"/>
      <c r="EQM3" s="339"/>
      <c r="EQN3" s="339"/>
      <c r="EQO3" s="339"/>
      <c r="EQP3" s="339"/>
      <c r="EQQ3" s="339"/>
      <c r="EQR3" s="339"/>
      <c r="EQS3" s="339"/>
      <c r="EQT3" s="339"/>
      <c r="EQU3" s="339"/>
      <c r="EQV3" s="339"/>
      <c r="EQW3" s="339"/>
      <c r="EQX3" s="339"/>
      <c r="EQY3" s="339"/>
      <c r="EQZ3" s="339"/>
      <c r="ERA3" s="339"/>
      <c r="ERB3" s="339"/>
      <c r="ERC3" s="339"/>
      <c r="ERD3" s="339"/>
      <c r="ERE3" s="339"/>
      <c r="ERF3" s="339"/>
      <c r="ERG3" s="339"/>
      <c r="ERH3" s="339"/>
      <c r="ERI3" s="339"/>
      <c r="ERJ3" s="339"/>
      <c r="ERK3" s="339"/>
      <c r="ERL3" s="339"/>
      <c r="ERM3" s="339"/>
      <c r="ERN3" s="339"/>
      <c r="ERO3" s="339"/>
      <c r="ERP3" s="339"/>
      <c r="ERQ3" s="339"/>
      <c r="ERR3" s="339"/>
      <c r="ERS3" s="339"/>
      <c r="ERT3" s="339"/>
      <c r="ERU3" s="339"/>
      <c r="ERV3" s="339"/>
      <c r="ERW3" s="339"/>
      <c r="ERX3" s="339"/>
      <c r="ERY3" s="339"/>
      <c r="ERZ3" s="339"/>
      <c r="ESA3" s="339"/>
      <c r="ESB3" s="339"/>
      <c r="ESC3" s="339"/>
      <c r="ESD3" s="339"/>
      <c r="ESE3" s="339"/>
      <c r="ESF3" s="339"/>
      <c r="ESG3" s="339"/>
      <c r="ESH3" s="339"/>
      <c r="ESI3" s="339"/>
      <c r="ESJ3" s="339"/>
      <c r="ESK3" s="339"/>
      <c r="ESL3" s="339"/>
      <c r="ESM3" s="339"/>
      <c r="ESN3" s="339"/>
      <c r="ESO3" s="339"/>
      <c r="ESP3" s="339"/>
      <c r="ESQ3" s="339"/>
      <c r="ESR3" s="339"/>
      <c r="ESS3" s="339"/>
      <c r="EST3" s="339"/>
      <c r="ESU3" s="339"/>
      <c r="ESV3" s="339"/>
      <c r="ESW3" s="339"/>
      <c r="ESX3" s="339"/>
      <c r="ESY3" s="339"/>
      <c r="ESZ3" s="339"/>
      <c r="ETA3" s="339"/>
      <c r="ETB3" s="339"/>
      <c r="ETC3" s="339"/>
      <c r="ETD3" s="339"/>
      <c r="ETE3" s="339"/>
      <c r="ETF3" s="339"/>
      <c r="ETG3" s="339"/>
      <c r="ETH3" s="339"/>
      <c r="ETI3" s="339"/>
      <c r="ETJ3" s="339"/>
      <c r="ETK3" s="339"/>
      <c r="ETL3" s="339"/>
      <c r="ETM3" s="339"/>
      <c r="ETN3" s="339"/>
      <c r="ETO3" s="339"/>
      <c r="ETP3" s="339"/>
      <c r="ETQ3" s="339"/>
      <c r="ETR3" s="339"/>
      <c r="ETS3" s="339"/>
      <c r="ETT3" s="339"/>
      <c r="ETU3" s="339"/>
      <c r="ETV3" s="339"/>
      <c r="ETW3" s="339"/>
      <c r="ETX3" s="339"/>
      <c r="ETY3" s="339"/>
      <c r="ETZ3" s="339"/>
      <c r="EUA3" s="339"/>
      <c r="EUB3" s="339"/>
      <c r="EUC3" s="339"/>
      <c r="EUD3" s="339"/>
      <c r="EUE3" s="339"/>
      <c r="EUF3" s="339"/>
      <c r="EUG3" s="339"/>
      <c r="EUH3" s="339"/>
      <c r="EUI3" s="339"/>
      <c r="EUJ3" s="339"/>
      <c r="EUK3" s="339"/>
      <c r="EUL3" s="339"/>
      <c r="EUM3" s="339"/>
      <c r="EUN3" s="339"/>
      <c r="EUO3" s="339"/>
      <c r="EUP3" s="339"/>
      <c r="EUQ3" s="339"/>
      <c r="EUR3" s="339"/>
      <c r="EUS3" s="339"/>
      <c r="EUT3" s="339"/>
      <c r="EUU3" s="339"/>
      <c r="EUV3" s="339"/>
      <c r="EUW3" s="339"/>
      <c r="EUX3" s="339"/>
      <c r="EUY3" s="339"/>
      <c r="EUZ3" s="339"/>
      <c r="EVA3" s="339"/>
      <c r="EVB3" s="339"/>
      <c r="EVC3" s="339"/>
      <c r="EVD3" s="339"/>
      <c r="EVE3" s="339"/>
      <c r="EVF3" s="339"/>
      <c r="EVG3" s="339"/>
      <c r="EVH3" s="339"/>
      <c r="EVI3" s="339"/>
      <c r="EVJ3" s="339"/>
      <c r="EVK3" s="339"/>
      <c r="EVL3" s="339"/>
      <c r="EVM3" s="339"/>
      <c r="EVN3" s="339"/>
      <c r="EVO3" s="339"/>
      <c r="EVP3" s="339"/>
      <c r="EVQ3" s="339"/>
      <c r="EVR3" s="339"/>
      <c r="EVS3" s="339"/>
      <c r="EVT3" s="339"/>
      <c r="EVU3" s="339"/>
      <c r="EVV3" s="339"/>
      <c r="EVW3" s="339"/>
      <c r="EVX3" s="339"/>
      <c r="EVY3" s="339"/>
      <c r="EVZ3" s="339"/>
      <c r="EWA3" s="339"/>
      <c r="EWB3" s="339"/>
      <c r="EWC3" s="339"/>
      <c r="EWD3" s="339"/>
      <c r="EWE3" s="339"/>
      <c r="EWF3" s="339"/>
      <c r="EWG3" s="339"/>
      <c r="EWH3" s="339"/>
      <c r="EWI3" s="339"/>
      <c r="EWJ3" s="339"/>
      <c r="EWK3" s="339"/>
      <c r="EWL3" s="339"/>
      <c r="EWM3" s="339"/>
      <c r="EWN3" s="339"/>
      <c r="EWO3" s="339"/>
      <c r="EWP3" s="339"/>
      <c r="EWQ3" s="339"/>
      <c r="EWR3" s="339"/>
      <c r="EWS3" s="339"/>
      <c r="EWT3" s="339"/>
      <c r="EWU3" s="339"/>
      <c r="EWV3" s="339"/>
      <c r="EWW3" s="339"/>
      <c r="EWX3" s="339"/>
      <c r="EWY3" s="339"/>
      <c r="EWZ3" s="339"/>
      <c r="EXA3" s="339"/>
      <c r="EXB3" s="339"/>
      <c r="EXC3" s="339"/>
      <c r="EXD3" s="339"/>
      <c r="EXE3" s="339"/>
      <c r="EXF3" s="339"/>
      <c r="EXG3" s="339"/>
      <c r="EXH3" s="339"/>
      <c r="EXI3" s="339"/>
      <c r="EXJ3" s="339"/>
      <c r="EXK3" s="339"/>
      <c r="EXL3" s="339"/>
      <c r="EXM3" s="339"/>
      <c r="EXN3" s="339"/>
      <c r="EXO3" s="339"/>
      <c r="EXP3" s="339"/>
      <c r="EXQ3" s="339"/>
      <c r="EXR3" s="339"/>
      <c r="EXS3" s="339"/>
      <c r="EXT3" s="339"/>
      <c r="EXU3" s="339"/>
      <c r="EXV3" s="339"/>
      <c r="EXW3" s="339"/>
      <c r="EXX3" s="339"/>
      <c r="EXY3" s="339"/>
      <c r="EXZ3" s="339"/>
      <c r="EYA3" s="339"/>
      <c r="EYB3" s="339"/>
      <c r="EYC3" s="339"/>
      <c r="EYD3" s="339"/>
      <c r="EYE3" s="339"/>
      <c r="EYF3" s="339"/>
      <c r="EYG3" s="339"/>
      <c r="EYH3" s="339"/>
      <c r="EYI3" s="339"/>
      <c r="EYJ3" s="339"/>
      <c r="EYK3" s="339"/>
      <c r="EYL3" s="339"/>
      <c r="EYM3" s="339"/>
      <c r="EYN3" s="339"/>
      <c r="EYO3" s="339"/>
      <c r="EYP3" s="339"/>
      <c r="EYQ3" s="339"/>
      <c r="EYR3" s="339"/>
      <c r="EYS3" s="339"/>
      <c r="EYT3" s="339"/>
      <c r="EYU3" s="339"/>
      <c r="EYV3" s="339"/>
      <c r="EYW3" s="339"/>
      <c r="EYX3" s="339"/>
      <c r="EYY3" s="339"/>
      <c r="EYZ3" s="339"/>
      <c r="EZA3" s="339"/>
      <c r="EZB3" s="339"/>
      <c r="EZC3" s="339"/>
      <c r="EZD3" s="339"/>
      <c r="EZE3" s="339"/>
      <c r="EZF3" s="339"/>
      <c r="EZG3" s="339"/>
      <c r="EZH3" s="339"/>
      <c r="EZI3" s="339"/>
      <c r="EZJ3" s="339"/>
      <c r="EZK3" s="339"/>
      <c r="EZL3" s="339"/>
      <c r="EZM3" s="339"/>
      <c r="EZN3" s="339"/>
      <c r="EZO3" s="339"/>
      <c r="EZP3" s="339"/>
      <c r="EZQ3" s="339"/>
      <c r="EZR3" s="339"/>
      <c r="EZS3" s="339"/>
      <c r="EZT3" s="339"/>
      <c r="EZU3" s="339"/>
      <c r="EZV3" s="339"/>
      <c r="EZW3" s="339"/>
      <c r="EZX3" s="339"/>
      <c r="EZY3" s="339"/>
      <c r="EZZ3" s="339"/>
      <c r="FAA3" s="339"/>
      <c r="FAB3" s="339"/>
      <c r="FAC3" s="339"/>
      <c r="FAD3" s="339"/>
      <c r="FAE3" s="339"/>
      <c r="FAF3" s="339"/>
      <c r="FAG3" s="339"/>
      <c r="FAH3" s="339"/>
      <c r="FAI3" s="339"/>
      <c r="FAJ3" s="339"/>
      <c r="FAK3" s="339"/>
      <c r="FAL3" s="339"/>
      <c r="FAM3" s="339"/>
      <c r="FAN3" s="339"/>
      <c r="FAO3" s="339"/>
      <c r="FAP3" s="339"/>
      <c r="FAQ3" s="339"/>
      <c r="FAR3" s="339"/>
      <c r="FAS3" s="339"/>
      <c r="FAT3" s="339"/>
      <c r="FAU3" s="339"/>
      <c r="FAV3" s="339"/>
      <c r="FAW3" s="339"/>
      <c r="FAX3" s="339"/>
      <c r="FAY3" s="339"/>
      <c r="FAZ3" s="339"/>
      <c r="FBA3" s="339"/>
      <c r="FBB3" s="339"/>
      <c r="FBC3" s="339"/>
      <c r="FBD3" s="339"/>
      <c r="FBE3" s="339"/>
      <c r="FBF3" s="339"/>
      <c r="FBG3" s="339"/>
      <c r="FBH3" s="339"/>
      <c r="FBI3" s="339"/>
      <c r="FBJ3" s="339"/>
      <c r="FBK3" s="339"/>
      <c r="FBL3" s="339"/>
      <c r="FBM3" s="339"/>
      <c r="FBN3" s="339"/>
      <c r="FBO3" s="339"/>
      <c r="FBP3" s="339"/>
      <c r="FBQ3" s="339"/>
      <c r="FBR3" s="339"/>
      <c r="FBS3" s="339"/>
      <c r="FBT3" s="339"/>
      <c r="FBU3" s="339"/>
      <c r="FBV3" s="339"/>
      <c r="FBW3" s="339"/>
      <c r="FBX3" s="339"/>
      <c r="FBY3" s="339"/>
      <c r="FBZ3" s="339"/>
      <c r="FCA3" s="339"/>
      <c r="FCB3" s="339"/>
      <c r="FCC3" s="339"/>
      <c r="FCD3" s="339"/>
      <c r="FCE3" s="339"/>
      <c r="FCF3" s="339"/>
      <c r="FCG3" s="339"/>
      <c r="FCH3" s="339"/>
      <c r="FCI3" s="339"/>
      <c r="FCJ3" s="339"/>
      <c r="FCK3" s="339"/>
      <c r="FCL3" s="339"/>
      <c r="FCM3" s="339"/>
      <c r="FCN3" s="339"/>
      <c r="FCO3" s="339"/>
      <c r="FCP3" s="339"/>
      <c r="FCQ3" s="339"/>
      <c r="FCR3" s="339"/>
      <c r="FCS3" s="339"/>
      <c r="FCT3" s="339"/>
      <c r="FCU3" s="339"/>
      <c r="FCV3" s="339"/>
      <c r="FCW3" s="339"/>
      <c r="FCX3" s="339"/>
      <c r="FCY3" s="339"/>
      <c r="FCZ3" s="339"/>
      <c r="FDA3" s="339"/>
      <c r="FDB3" s="339"/>
      <c r="FDC3" s="339"/>
      <c r="FDD3" s="339"/>
      <c r="FDE3" s="339"/>
      <c r="FDF3" s="339"/>
      <c r="FDG3" s="339"/>
      <c r="FDH3" s="339"/>
      <c r="FDI3" s="339"/>
      <c r="FDJ3" s="339"/>
      <c r="FDK3" s="339"/>
      <c r="FDL3" s="339"/>
      <c r="FDM3" s="339"/>
      <c r="FDN3" s="339"/>
      <c r="FDO3" s="339"/>
      <c r="FDP3" s="339"/>
      <c r="FDQ3" s="339"/>
      <c r="FDR3" s="339"/>
      <c r="FDS3" s="339"/>
      <c r="FDT3" s="339"/>
      <c r="FDU3" s="339"/>
      <c r="FDV3" s="339"/>
      <c r="FDW3" s="339"/>
      <c r="FDX3" s="339"/>
      <c r="FDY3" s="339"/>
      <c r="FDZ3" s="339"/>
      <c r="FEA3" s="339"/>
      <c r="FEB3" s="339"/>
      <c r="FEC3" s="339"/>
      <c r="FED3" s="339"/>
      <c r="FEE3" s="339"/>
      <c r="FEF3" s="339"/>
      <c r="FEG3" s="339"/>
      <c r="FEH3" s="339"/>
      <c r="FEI3" s="339"/>
      <c r="FEJ3" s="339"/>
      <c r="FEK3" s="339"/>
      <c r="FEL3" s="339"/>
      <c r="FEM3" s="339"/>
      <c r="FEN3" s="339"/>
      <c r="FEO3" s="339"/>
      <c r="FEP3" s="339"/>
      <c r="FEQ3" s="339"/>
      <c r="FER3" s="339"/>
      <c r="FES3" s="339"/>
      <c r="FET3" s="339"/>
      <c r="FEU3" s="339"/>
      <c r="FEV3" s="339"/>
      <c r="FEW3" s="339"/>
      <c r="FEX3" s="339"/>
      <c r="FEY3" s="339"/>
      <c r="FEZ3" s="339"/>
      <c r="FFA3" s="339"/>
      <c r="FFB3" s="339"/>
      <c r="FFC3" s="339"/>
      <c r="FFD3" s="339"/>
      <c r="FFE3" s="339"/>
      <c r="FFF3" s="339"/>
      <c r="FFG3" s="339"/>
      <c r="FFH3" s="339"/>
      <c r="FFI3" s="339"/>
      <c r="FFJ3" s="339"/>
      <c r="FFK3" s="339"/>
      <c r="FFL3" s="339"/>
      <c r="FFM3" s="339"/>
      <c r="FFN3" s="339"/>
      <c r="FFO3" s="339"/>
      <c r="FFP3" s="339"/>
      <c r="FFQ3" s="339"/>
      <c r="FFR3" s="339"/>
      <c r="FFS3" s="339"/>
      <c r="FFT3" s="339"/>
      <c r="FFU3" s="339"/>
      <c r="FFV3" s="339"/>
      <c r="FFW3" s="339"/>
      <c r="FFX3" s="339"/>
      <c r="FFY3" s="339"/>
      <c r="FFZ3" s="339"/>
      <c r="FGA3" s="339"/>
      <c r="FGB3" s="339"/>
      <c r="FGC3" s="339"/>
      <c r="FGD3" s="339"/>
      <c r="FGE3" s="339"/>
      <c r="FGF3" s="339"/>
      <c r="FGG3" s="339"/>
      <c r="FGH3" s="339"/>
      <c r="FGI3" s="339"/>
      <c r="FGJ3" s="339"/>
      <c r="FGK3" s="339"/>
      <c r="FGL3" s="339"/>
      <c r="FGM3" s="339"/>
      <c r="FGN3" s="339"/>
      <c r="FGO3" s="339"/>
      <c r="FGP3" s="339"/>
      <c r="FGQ3" s="339"/>
      <c r="FGR3" s="339"/>
      <c r="FGS3" s="339"/>
      <c r="FGT3" s="339"/>
      <c r="FGU3" s="339"/>
      <c r="FGV3" s="339"/>
      <c r="FGW3" s="339"/>
      <c r="FGX3" s="339"/>
      <c r="FGY3" s="339"/>
      <c r="FGZ3" s="339"/>
      <c r="FHA3" s="339"/>
      <c r="FHB3" s="339"/>
      <c r="FHC3" s="339"/>
      <c r="FHD3" s="339"/>
      <c r="FHE3" s="339"/>
      <c r="FHF3" s="339"/>
      <c r="FHG3" s="339"/>
      <c r="FHH3" s="339"/>
      <c r="FHI3" s="339"/>
      <c r="FHJ3" s="339"/>
      <c r="FHK3" s="339"/>
      <c r="FHL3" s="339"/>
      <c r="FHM3" s="339"/>
      <c r="FHN3" s="339"/>
      <c r="FHO3" s="339"/>
      <c r="FHP3" s="339"/>
      <c r="FHQ3" s="339"/>
      <c r="FHR3" s="339"/>
      <c r="FHS3" s="339"/>
      <c r="FHT3" s="339"/>
      <c r="FHU3" s="339"/>
      <c r="FHV3" s="339"/>
      <c r="FHW3" s="339"/>
      <c r="FHX3" s="339"/>
      <c r="FHY3" s="339"/>
      <c r="FHZ3" s="339"/>
      <c r="FIA3" s="339"/>
      <c r="FIB3" s="339"/>
      <c r="FIC3" s="339"/>
      <c r="FID3" s="339"/>
      <c r="FIE3" s="339"/>
      <c r="FIF3" s="339"/>
      <c r="FIG3" s="339"/>
      <c r="FIH3" s="339"/>
      <c r="FII3" s="339"/>
      <c r="FIJ3" s="339"/>
      <c r="FIK3" s="339"/>
      <c r="FIL3" s="339"/>
      <c r="FIM3" s="339"/>
      <c r="FIN3" s="339"/>
      <c r="FIO3" s="339"/>
      <c r="FIP3" s="339"/>
      <c r="FIQ3" s="339"/>
      <c r="FIR3" s="339"/>
      <c r="FIS3" s="339"/>
      <c r="FIT3" s="339"/>
      <c r="FIU3" s="339"/>
      <c r="FIV3" s="339"/>
      <c r="FIW3" s="339"/>
      <c r="FIX3" s="339"/>
      <c r="FIY3" s="339"/>
      <c r="FIZ3" s="339"/>
      <c r="FJA3" s="339"/>
      <c r="FJB3" s="339"/>
      <c r="FJC3" s="339"/>
      <c r="FJD3" s="339"/>
      <c r="FJE3" s="339"/>
      <c r="FJF3" s="339"/>
      <c r="FJG3" s="339"/>
      <c r="FJH3" s="339"/>
      <c r="FJI3" s="339"/>
      <c r="FJJ3" s="339"/>
      <c r="FJK3" s="339"/>
      <c r="FJL3" s="339"/>
      <c r="FJM3" s="339"/>
      <c r="FJN3" s="339"/>
      <c r="FJO3" s="339"/>
      <c r="FJP3" s="339"/>
      <c r="FJQ3" s="339"/>
      <c r="FJR3" s="339"/>
      <c r="FJS3" s="339"/>
      <c r="FJT3" s="339"/>
      <c r="FJU3" s="339"/>
      <c r="FJV3" s="339"/>
      <c r="FJW3" s="339"/>
      <c r="FJX3" s="339"/>
      <c r="FJY3" s="339"/>
      <c r="FJZ3" s="339"/>
      <c r="FKA3" s="339"/>
      <c r="FKB3" s="339"/>
      <c r="FKC3" s="339"/>
      <c r="FKD3" s="339"/>
      <c r="FKE3" s="339"/>
      <c r="FKF3" s="339"/>
      <c r="FKG3" s="339"/>
      <c r="FKH3" s="339"/>
      <c r="FKI3" s="339"/>
      <c r="FKJ3" s="339"/>
      <c r="FKK3" s="339"/>
      <c r="FKL3" s="339"/>
      <c r="FKM3" s="339"/>
      <c r="FKN3" s="339"/>
      <c r="FKO3" s="339"/>
      <c r="FKP3" s="339"/>
      <c r="FKQ3" s="339"/>
      <c r="FKR3" s="339"/>
      <c r="FKS3" s="339"/>
      <c r="FKT3" s="339"/>
      <c r="FKU3" s="339"/>
      <c r="FKV3" s="339"/>
      <c r="FKW3" s="339"/>
      <c r="FKX3" s="339"/>
      <c r="FKY3" s="339"/>
      <c r="FKZ3" s="339"/>
      <c r="FLA3" s="339"/>
      <c r="FLB3" s="339"/>
      <c r="FLC3" s="339"/>
      <c r="FLD3" s="339"/>
      <c r="FLE3" s="339"/>
      <c r="FLF3" s="339"/>
      <c r="FLG3" s="339"/>
      <c r="FLH3" s="339"/>
      <c r="FLI3" s="339"/>
      <c r="FLJ3" s="339"/>
      <c r="FLK3" s="339"/>
      <c r="FLL3" s="339"/>
      <c r="FLM3" s="339"/>
      <c r="FLN3" s="339"/>
      <c r="FLO3" s="339"/>
      <c r="FLP3" s="339"/>
      <c r="FLQ3" s="339"/>
      <c r="FLR3" s="339"/>
      <c r="FLS3" s="339"/>
      <c r="FLT3" s="339"/>
      <c r="FLU3" s="339"/>
      <c r="FLV3" s="339"/>
      <c r="FLW3" s="339"/>
      <c r="FLX3" s="339"/>
      <c r="FLY3" s="339"/>
      <c r="FLZ3" s="339"/>
      <c r="FMA3" s="339"/>
      <c r="FMB3" s="339"/>
      <c r="FMC3" s="339"/>
      <c r="FMD3" s="339"/>
      <c r="FME3" s="339"/>
      <c r="FMF3" s="339"/>
      <c r="FMG3" s="339"/>
      <c r="FMH3" s="339"/>
      <c r="FMI3" s="339"/>
      <c r="FMJ3" s="339"/>
      <c r="FMK3" s="339"/>
      <c r="FML3" s="339"/>
      <c r="FMM3" s="339"/>
      <c r="FMN3" s="339"/>
      <c r="FMO3" s="339"/>
      <c r="FMP3" s="339"/>
      <c r="FMQ3" s="339"/>
      <c r="FMR3" s="339"/>
      <c r="FMS3" s="339"/>
      <c r="FMT3" s="339"/>
      <c r="FMU3" s="339"/>
      <c r="FMV3" s="339"/>
      <c r="FMW3" s="339"/>
      <c r="FMX3" s="339"/>
      <c r="FMY3" s="339"/>
      <c r="FMZ3" s="339"/>
      <c r="FNA3" s="339"/>
      <c r="FNB3" s="339"/>
      <c r="FNC3" s="339"/>
      <c r="FND3" s="339"/>
      <c r="FNE3" s="339"/>
      <c r="FNF3" s="339"/>
      <c r="FNG3" s="339"/>
      <c r="FNH3" s="339"/>
      <c r="FNI3" s="339"/>
      <c r="FNJ3" s="339"/>
      <c r="FNK3" s="339"/>
      <c r="FNL3" s="339"/>
      <c r="FNM3" s="339"/>
      <c r="FNN3" s="339"/>
      <c r="FNO3" s="339"/>
      <c r="FNP3" s="339"/>
      <c r="FNQ3" s="339"/>
      <c r="FNR3" s="339"/>
      <c r="FNS3" s="339"/>
      <c r="FNT3" s="339"/>
      <c r="FNU3" s="339"/>
      <c r="FNV3" s="339"/>
      <c r="FNW3" s="339"/>
      <c r="FNX3" s="339"/>
      <c r="FNY3" s="339"/>
      <c r="FNZ3" s="339"/>
      <c r="FOA3" s="339"/>
      <c r="FOB3" s="339"/>
      <c r="FOC3" s="339"/>
      <c r="FOD3" s="339"/>
      <c r="FOE3" s="339"/>
      <c r="FOF3" s="339"/>
      <c r="FOG3" s="339"/>
      <c r="FOH3" s="339"/>
      <c r="FOI3" s="339"/>
      <c r="FOJ3" s="339"/>
      <c r="FOK3" s="339"/>
      <c r="FOL3" s="339"/>
      <c r="FOM3" s="339"/>
      <c r="FON3" s="339"/>
      <c r="FOO3" s="339"/>
      <c r="FOP3" s="339"/>
      <c r="FOQ3" s="339"/>
      <c r="FOR3" s="339"/>
      <c r="FOS3" s="339"/>
      <c r="FOT3" s="339"/>
      <c r="FOU3" s="339"/>
      <c r="FOV3" s="339"/>
      <c r="FOW3" s="339"/>
      <c r="FOX3" s="339"/>
      <c r="FOY3" s="339"/>
      <c r="FOZ3" s="339"/>
      <c r="FPA3" s="339"/>
      <c r="FPB3" s="339"/>
      <c r="FPC3" s="339"/>
      <c r="FPD3" s="339"/>
      <c r="FPE3" s="339"/>
      <c r="FPF3" s="339"/>
      <c r="FPG3" s="339"/>
      <c r="FPH3" s="339"/>
      <c r="FPI3" s="339"/>
      <c r="FPJ3" s="339"/>
      <c r="FPK3" s="339"/>
      <c r="FPL3" s="339"/>
      <c r="FPM3" s="339"/>
      <c r="FPN3" s="339"/>
      <c r="FPO3" s="339"/>
      <c r="FPP3" s="339"/>
      <c r="FPQ3" s="339"/>
      <c r="FPR3" s="339"/>
      <c r="FPS3" s="339"/>
      <c r="FPT3" s="339"/>
      <c r="FPU3" s="339"/>
      <c r="FPV3" s="339"/>
      <c r="FPW3" s="339"/>
      <c r="FPX3" s="339"/>
      <c r="FPY3" s="339"/>
      <c r="FPZ3" s="339"/>
      <c r="FQA3" s="339"/>
      <c r="FQB3" s="339"/>
      <c r="FQC3" s="339"/>
      <c r="FQD3" s="339"/>
      <c r="FQE3" s="339"/>
      <c r="FQF3" s="339"/>
      <c r="FQG3" s="339"/>
      <c r="FQH3" s="339"/>
      <c r="FQI3" s="339"/>
      <c r="FQJ3" s="339"/>
      <c r="FQK3" s="339"/>
      <c r="FQL3" s="339"/>
      <c r="FQM3" s="339"/>
      <c r="FQN3" s="339"/>
      <c r="FQO3" s="339"/>
      <c r="FQP3" s="339"/>
      <c r="FQQ3" s="339"/>
      <c r="FQR3" s="339"/>
      <c r="FQS3" s="339"/>
      <c r="FQT3" s="339"/>
      <c r="FQU3" s="339"/>
      <c r="FQV3" s="339"/>
      <c r="FQW3" s="339"/>
      <c r="FQX3" s="339"/>
      <c r="FQY3" s="339"/>
      <c r="FQZ3" s="339"/>
      <c r="FRA3" s="339"/>
      <c r="FRB3" s="339"/>
      <c r="FRC3" s="339"/>
      <c r="FRD3" s="339"/>
      <c r="FRE3" s="339"/>
      <c r="FRF3" s="339"/>
      <c r="FRG3" s="339"/>
      <c r="FRH3" s="339"/>
      <c r="FRI3" s="339"/>
      <c r="FRJ3" s="339"/>
      <c r="FRK3" s="339"/>
      <c r="FRL3" s="339"/>
      <c r="FRM3" s="339"/>
      <c r="FRN3" s="339"/>
      <c r="FRO3" s="339"/>
      <c r="FRP3" s="339"/>
      <c r="FRQ3" s="339"/>
      <c r="FRR3" s="339"/>
      <c r="FRS3" s="339"/>
      <c r="FRT3" s="339"/>
      <c r="FRU3" s="339"/>
      <c r="FRV3" s="339"/>
      <c r="FRW3" s="339"/>
      <c r="FRX3" s="339"/>
      <c r="FRY3" s="339"/>
      <c r="FRZ3" s="339"/>
      <c r="FSA3" s="339"/>
      <c r="FSB3" s="339"/>
      <c r="FSC3" s="339"/>
      <c r="FSD3" s="339"/>
      <c r="FSE3" s="339"/>
      <c r="FSF3" s="339"/>
      <c r="FSG3" s="339"/>
      <c r="FSH3" s="339"/>
      <c r="FSI3" s="339"/>
      <c r="FSJ3" s="339"/>
      <c r="FSK3" s="339"/>
      <c r="FSL3" s="339"/>
      <c r="FSM3" s="339"/>
      <c r="FSN3" s="339"/>
      <c r="FSO3" s="339"/>
      <c r="FSP3" s="339"/>
      <c r="FSQ3" s="339"/>
      <c r="FSR3" s="339"/>
      <c r="FSS3" s="339"/>
      <c r="FST3" s="339"/>
      <c r="FSU3" s="339"/>
      <c r="FSV3" s="339"/>
      <c r="FSW3" s="339"/>
      <c r="FSX3" s="339"/>
      <c r="FSY3" s="339"/>
      <c r="FSZ3" s="339"/>
      <c r="FTA3" s="339"/>
      <c r="FTB3" s="339"/>
      <c r="FTC3" s="339"/>
      <c r="FTD3" s="339"/>
      <c r="FTE3" s="339"/>
      <c r="FTF3" s="339"/>
      <c r="FTG3" s="339"/>
      <c r="FTH3" s="339"/>
      <c r="FTI3" s="339"/>
      <c r="FTJ3" s="339"/>
      <c r="FTK3" s="339"/>
      <c r="FTL3" s="339"/>
      <c r="FTM3" s="339"/>
      <c r="FTN3" s="339"/>
      <c r="FTO3" s="339"/>
      <c r="FTP3" s="339"/>
      <c r="FTQ3" s="339"/>
      <c r="FTR3" s="339"/>
      <c r="FTS3" s="339"/>
      <c r="FTT3" s="339"/>
      <c r="FTU3" s="339"/>
      <c r="FTV3" s="339"/>
      <c r="FTW3" s="339"/>
      <c r="FTX3" s="339"/>
      <c r="FTY3" s="339"/>
      <c r="FTZ3" s="339"/>
      <c r="FUA3" s="339"/>
      <c r="FUB3" s="339"/>
      <c r="FUC3" s="339"/>
      <c r="FUD3" s="339"/>
      <c r="FUE3" s="339"/>
      <c r="FUF3" s="339"/>
      <c r="FUG3" s="339"/>
      <c r="FUH3" s="339"/>
      <c r="FUI3" s="339"/>
      <c r="FUJ3" s="339"/>
      <c r="FUK3" s="339"/>
      <c r="FUL3" s="339"/>
      <c r="FUM3" s="339"/>
      <c r="FUN3" s="339"/>
      <c r="FUO3" s="339"/>
      <c r="FUP3" s="339"/>
      <c r="FUQ3" s="339"/>
      <c r="FUR3" s="339"/>
      <c r="FUS3" s="339"/>
      <c r="FUT3" s="339"/>
      <c r="FUU3" s="339"/>
      <c r="FUV3" s="339"/>
      <c r="FUW3" s="339"/>
      <c r="FUX3" s="339"/>
      <c r="FUY3" s="339"/>
      <c r="FUZ3" s="339"/>
      <c r="FVA3" s="339"/>
      <c r="FVB3" s="339"/>
      <c r="FVC3" s="339"/>
      <c r="FVD3" s="339"/>
      <c r="FVE3" s="339"/>
      <c r="FVF3" s="339"/>
      <c r="FVG3" s="339"/>
      <c r="FVH3" s="339"/>
      <c r="FVI3" s="339"/>
      <c r="FVJ3" s="339"/>
      <c r="FVK3" s="339"/>
      <c r="FVL3" s="339"/>
      <c r="FVM3" s="339"/>
      <c r="FVN3" s="339"/>
      <c r="FVO3" s="339"/>
      <c r="FVP3" s="339"/>
      <c r="FVQ3" s="339"/>
      <c r="FVR3" s="339"/>
      <c r="FVS3" s="339"/>
      <c r="FVT3" s="339"/>
      <c r="FVU3" s="339"/>
      <c r="FVV3" s="339"/>
      <c r="FVW3" s="339"/>
      <c r="FVX3" s="339"/>
      <c r="FVY3" s="339"/>
      <c r="FVZ3" s="339"/>
      <c r="FWA3" s="339"/>
      <c r="FWB3" s="339"/>
      <c r="FWC3" s="339"/>
      <c r="FWD3" s="339"/>
      <c r="FWE3" s="339"/>
      <c r="FWF3" s="339"/>
      <c r="FWG3" s="339"/>
      <c r="FWH3" s="339"/>
      <c r="FWI3" s="339"/>
      <c r="FWJ3" s="339"/>
      <c r="FWK3" s="339"/>
      <c r="FWL3" s="339"/>
      <c r="FWM3" s="339"/>
      <c r="FWN3" s="339"/>
      <c r="FWO3" s="339"/>
      <c r="FWP3" s="339"/>
      <c r="FWQ3" s="339"/>
      <c r="FWR3" s="339"/>
      <c r="FWS3" s="339"/>
      <c r="FWT3" s="339"/>
      <c r="FWU3" s="339"/>
      <c r="FWV3" s="339"/>
      <c r="FWW3" s="339"/>
      <c r="FWX3" s="339"/>
      <c r="FWY3" s="339"/>
      <c r="FWZ3" s="339"/>
      <c r="FXA3" s="339"/>
      <c r="FXB3" s="339"/>
      <c r="FXC3" s="339"/>
      <c r="FXD3" s="339"/>
      <c r="FXE3" s="339"/>
      <c r="FXF3" s="339"/>
      <c r="FXG3" s="339"/>
      <c r="FXH3" s="339"/>
      <c r="FXI3" s="339"/>
      <c r="FXJ3" s="339"/>
      <c r="FXK3" s="339"/>
      <c r="FXL3" s="339"/>
      <c r="FXM3" s="339"/>
      <c r="FXN3" s="339"/>
      <c r="FXO3" s="339"/>
      <c r="FXP3" s="339"/>
      <c r="FXQ3" s="339"/>
      <c r="FXR3" s="339"/>
      <c r="FXS3" s="339"/>
      <c r="FXT3" s="339"/>
      <c r="FXU3" s="339"/>
      <c r="FXV3" s="339"/>
      <c r="FXW3" s="339"/>
      <c r="FXX3" s="339"/>
      <c r="FXY3" s="339"/>
      <c r="FXZ3" s="339"/>
      <c r="FYA3" s="339"/>
      <c r="FYB3" s="339"/>
      <c r="FYC3" s="339"/>
      <c r="FYD3" s="339"/>
      <c r="FYE3" s="339"/>
      <c r="FYF3" s="339"/>
      <c r="FYG3" s="339"/>
      <c r="FYH3" s="339"/>
      <c r="FYI3" s="339"/>
      <c r="FYJ3" s="339"/>
      <c r="FYK3" s="339"/>
      <c r="FYL3" s="339"/>
      <c r="FYM3" s="339"/>
      <c r="FYN3" s="339"/>
      <c r="FYO3" s="339"/>
      <c r="FYP3" s="339"/>
      <c r="FYQ3" s="339"/>
      <c r="FYR3" s="339"/>
      <c r="FYS3" s="339"/>
      <c r="FYT3" s="339"/>
      <c r="FYU3" s="339"/>
      <c r="FYV3" s="339"/>
      <c r="FYW3" s="339"/>
      <c r="FYX3" s="339"/>
      <c r="FYY3" s="339"/>
      <c r="FYZ3" s="339"/>
      <c r="FZA3" s="339"/>
      <c r="FZB3" s="339"/>
      <c r="FZC3" s="339"/>
      <c r="FZD3" s="339"/>
      <c r="FZE3" s="339"/>
      <c r="FZF3" s="339"/>
      <c r="FZG3" s="339"/>
      <c r="FZH3" s="339"/>
      <c r="FZI3" s="339"/>
      <c r="FZJ3" s="339"/>
      <c r="FZK3" s="339"/>
      <c r="FZL3" s="339"/>
      <c r="FZM3" s="339"/>
      <c r="FZN3" s="339"/>
      <c r="FZO3" s="339"/>
      <c r="FZP3" s="339"/>
      <c r="FZQ3" s="339"/>
      <c r="FZR3" s="339"/>
      <c r="FZS3" s="339"/>
      <c r="FZT3" s="339"/>
      <c r="FZU3" s="339"/>
      <c r="FZV3" s="339"/>
      <c r="FZW3" s="339"/>
      <c r="FZX3" s="339"/>
      <c r="FZY3" s="339"/>
      <c r="FZZ3" s="339"/>
      <c r="GAA3" s="339"/>
      <c r="GAB3" s="339"/>
      <c r="GAC3" s="339"/>
      <c r="GAD3" s="339"/>
      <c r="GAE3" s="339"/>
      <c r="GAF3" s="339"/>
      <c r="GAG3" s="339"/>
      <c r="GAH3" s="339"/>
      <c r="GAI3" s="339"/>
      <c r="GAJ3" s="339"/>
      <c r="GAK3" s="339"/>
      <c r="GAL3" s="339"/>
      <c r="GAM3" s="339"/>
      <c r="GAN3" s="339"/>
      <c r="GAO3" s="339"/>
      <c r="GAP3" s="339"/>
      <c r="GAQ3" s="339"/>
      <c r="GAR3" s="339"/>
      <c r="GAS3" s="339"/>
      <c r="GAT3" s="339"/>
      <c r="GAU3" s="339"/>
      <c r="GAV3" s="339"/>
      <c r="GAW3" s="339"/>
      <c r="GAX3" s="339"/>
      <c r="GAY3" s="339"/>
      <c r="GAZ3" s="339"/>
      <c r="GBA3" s="339"/>
      <c r="GBB3" s="339"/>
      <c r="GBC3" s="339"/>
      <c r="GBD3" s="339"/>
      <c r="GBE3" s="339"/>
      <c r="GBF3" s="339"/>
      <c r="GBG3" s="339"/>
      <c r="GBH3" s="339"/>
      <c r="GBI3" s="339"/>
      <c r="GBJ3" s="339"/>
      <c r="GBK3" s="339"/>
      <c r="GBL3" s="339"/>
      <c r="GBM3" s="339"/>
      <c r="GBN3" s="339"/>
      <c r="GBO3" s="339"/>
      <c r="GBP3" s="339"/>
      <c r="GBQ3" s="339"/>
      <c r="GBR3" s="339"/>
      <c r="GBS3" s="339"/>
      <c r="GBT3" s="339"/>
      <c r="GBU3" s="339"/>
      <c r="GBV3" s="339"/>
      <c r="GBW3" s="339"/>
      <c r="GBX3" s="339"/>
      <c r="GBY3" s="339"/>
      <c r="GBZ3" s="339"/>
      <c r="GCA3" s="339"/>
      <c r="GCB3" s="339"/>
      <c r="GCC3" s="339"/>
      <c r="GCD3" s="339"/>
      <c r="GCE3" s="339"/>
      <c r="GCF3" s="339"/>
      <c r="GCG3" s="339"/>
      <c r="GCH3" s="339"/>
      <c r="GCI3" s="339"/>
      <c r="GCJ3" s="339"/>
      <c r="GCK3" s="339"/>
      <c r="GCL3" s="339"/>
      <c r="GCM3" s="339"/>
      <c r="GCN3" s="339"/>
      <c r="GCO3" s="339"/>
      <c r="GCP3" s="339"/>
      <c r="GCQ3" s="339"/>
      <c r="GCR3" s="339"/>
      <c r="GCS3" s="339"/>
      <c r="GCT3" s="339"/>
      <c r="GCU3" s="339"/>
      <c r="GCV3" s="339"/>
      <c r="GCW3" s="339"/>
      <c r="GCX3" s="339"/>
      <c r="GCY3" s="339"/>
      <c r="GCZ3" s="339"/>
      <c r="GDA3" s="339"/>
      <c r="GDB3" s="339"/>
      <c r="GDC3" s="339"/>
      <c r="GDD3" s="339"/>
      <c r="GDE3" s="339"/>
      <c r="GDF3" s="339"/>
      <c r="GDG3" s="339"/>
      <c r="GDH3" s="339"/>
      <c r="GDI3" s="339"/>
      <c r="GDJ3" s="339"/>
      <c r="GDK3" s="339"/>
      <c r="GDL3" s="339"/>
      <c r="GDM3" s="339"/>
      <c r="GDN3" s="339"/>
      <c r="GDO3" s="339"/>
      <c r="GDP3" s="339"/>
      <c r="GDQ3" s="339"/>
      <c r="GDR3" s="339"/>
      <c r="GDS3" s="339"/>
      <c r="GDT3" s="339"/>
      <c r="GDU3" s="339"/>
      <c r="GDV3" s="339"/>
      <c r="GDW3" s="339"/>
      <c r="GDX3" s="339"/>
      <c r="GDY3" s="339"/>
      <c r="GDZ3" s="339"/>
      <c r="GEA3" s="339"/>
      <c r="GEB3" s="339"/>
      <c r="GEC3" s="339"/>
      <c r="GED3" s="339"/>
      <c r="GEE3" s="339"/>
      <c r="GEF3" s="339"/>
      <c r="GEG3" s="339"/>
      <c r="GEH3" s="339"/>
      <c r="GEI3" s="339"/>
      <c r="GEJ3" s="339"/>
      <c r="GEK3" s="339"/>
      <c r="GEL3" s="339"/>
      <c r="GEM3" s="339"/>
      <c r="GEN3" s="339"/>
      <c r="GEO3" s="339"/>
      <c r="GEP3" s="339"/>
      <c r="GEQ3" s="339"/>
      <c r="GER3" s="339"/>
      <c r="GES3" s="339"/>
      <c r="GET3" s="339"/>
      <c r="GEU3" s="339"/>
      <c r="GEV3" s="339"/>
      <c r="GEW3" s="339"/>
      <c r="GEX3" s="339"/>
      <c r="GEY3" s="339"/>
      <c r="GEZ3" s="339"/>
      <c r="GFA3" s="339"/>
      <c r="GFB3" s="339"/>
      <c r="GFC3" s="339"/>
      <c r="GFD3" s="339"/>
      <c r="GFE3" s="339"/>
      <c r="GFF3" s="339"/>
      <c r="GFG3" s="339"/>
      <c r="GFH3" s="339"/>
      <c r="GFI3" s="339"/>
      <c r="GFJ3" s="339"/>
      <c r="GFK3" s="339"/>
      <c r="GFL3" s="339"/>
      <c r="GFM3" s="339"/>
      <c r="GFN3" s="339"/>
      <c r="GFO3" s="339"/>
      <c r="GFP3" s="339"/>
      <c r="GFQ3" s="339"/>
      <c r="GFR3" s="339"/>
      <c r="GFS3" s="339"/>
      <c r="GFT3" s="339"/>
      <c r="GFU3" s="339"/>
      <c r="GFV3" s="339"/>
      <c r="GFW3" s="339"/>
      <c r="GFX3" s="339"/>
      <c r="GFY3" s="339"/>
      <c r="GFZ3" s="339"/>
      <c r="GGA3" s="339"/>
      <c r="GGB3" s="339"/>
      <c r="GGC3" s="339"/>
      <c r="GGD3" s="339"/>
      <c r="GGE3" s="339"/>
      <c r="GGF3" s="339"/>
      <c r="GGG3" s="339"/>
      <c r="GGH3" s="339"/>
      <c r="GGI3" s="339"/>
      <c r="GGJ3" s="339"/>
      <c r="GGK3" s="339"/>
      <c r="GGL3" s="339"/>
      <c r="GGM3" s="339"/>
      <c r="GGN3" s="339"/>
      <c r="GGO3" s="339"/>
      <c r="GGP3" s="339"/>
      <c r="GGQ3" s="339"/>
      <c r="GGR3" s="339"/>
      <c r="GGS3" s="339"/>
      <c r="GGT3" s="339"/>
      <c r="GGU3" s="339"/>
      <c r="GGV3" s="339"/>
      <c r="GGW3" s="339"/>
      <c r="GGX3" s="339"/>
      <c r="GGY3" s="339"/>
      <c r="GGZ3" s="339"/>
      <c r="GHA3" s="339"/>
      <c r="GHB3" s="339"/>
      <c r="GHC3" s="339"/>
      <c r="GHD3" s="339"/>
      <c r="GHE3" s="339"/>
      <c r="GHF3" s="339"/>
      <c r="GHG3" s="339"/>
      <c r="GHH3" s="339"/>
      <c r="GHI3" s="339"/>
      <c r="GHJ3" s="339"/>
      <c r="GHK3" s="339"/>
      <c r="GHL3" s="339"/>
      <c r="GHM3" s="339"/>
      <c r="GHN3" s="339"/>
      <c r="GHO3" s="339"/>
      <c r="GHP3" s="339"/>
      <c r="GHQ3" s="339"/>
      <c r="GHR3" s="339"/>
      <c r="GHS3" s="339"/>
      <c r="GHT3" s="339"/>
      <c r="GHU3" s="339"/>
      <c r="GHV3" s="339"/>
      <c r="GHW3" s="339"/>
      <c r="GHX3" s="339"/>
      <c r="GHY3" s="339"/>
      <c r="GHZ3" s="339"/>
      <c r="GIA3" s="339"/>
      <c r="GIB3" s="339"/>
      <c r="GIC3" s="339"/>
      <c r="GID3" s="339"/>
      <c r="GIE3" s="339"/>
      <c r="GIF3" s="339"/>
      <c r="GIG3" s="339"/>
      <c r="GIH3" s="339"/>
      <c r="GII3" s="339"/>
      <c r="GIJ3" s="339"/>
      <c r="GIK3" s="339"/>
      <c r="GIL3" s="339"/>
      <c r="GIM3" s="339"/>
      <c r="GIN3" s="339"/>
      <c r="GIO3" s="339"/>
      <c r="GIP3" s="339"/>
      <c r="GIQ3" s="339"/>
      <c r="GIR3" s="339"/>
      <c r="GIS3" s="339"/>
      <c r="GIT3" s="339"/>
      <c r="GIU3" s="339"/>
      <c r="GIV3" s="339"/>
      <c r="GIW3" s="339"/>
      <c r="GIX3" s="339"/>
      <c r="GIY3" s="339"/>
      <c r="GIZ3" s="339"/>
      <c r="GJA3" s="339"/>
      <c r="GJB3" s="339"/>
      <c r="GJC3" s="339"/>
      <c r="GJD3" s="339"/>
      <c r="GJE3" s="339"/>
      <c r="GJF3" s="339"/>
      <c r="GJG3" s="339"/>
      <c r="GJH3" s="339"/>
      <c r="GJI3" s="339"/>
      <c r="GJJ3" s="339"/>
      <c r="GJK3" s="339"/>
      <c r="GJL3" s="339"/>
      <c r="GJM3" s="339"/>
      <c r="GJN3" s="339"/>
      <c r="GJO3" s="339"/>
      <c r="GJP3" s="339"/>
      <c r="GJQ3" s="339"/>
      <c r="GJR3" s="339"/>
      <c r="GJS3" s="339"/>
      <c r="GJT3" s="339"/>
      <c r="GJU3" s="339"/>
      <c r="GJV3" s="339"/>
      <c r="GJW3" s="339"/>
      <c r="GJX3" s="339"/>
      <c r="GJY3" s="339"/>
      <c r="GJZ3" s="339"/>
      <c r="GKA3" s="339"/>
      <c r="GKB3" s="339"/>
      <c r="GKC3" s="339"/>
      <c r="GKD3" s="339"/>
      <c r="GKE3" s="339"/>
      <c r="GKF3" s="339"/>
      <c r="GKG3" s="339"/>
      <c r="GKH3" s="339"/>
      <c r="GKI3" s="339"/>
      <c r="GKJ3" s="339"/>
      <c r="GKK3" s="339"/>
      <c r="GKL3" s="339"/>
      <c r="GKM3" s="339"/>
      <c r="GKN3" s="339"/>
      <c r="GKO3" s="339"/>
      <c r="GKP3" s="339"/>
      <c r="GKQ3" s="339"/>
      <c r="GKR3" s="339"/>
      <c r="GKS3" s="339"/>
      <c r="GKT3" s="339"/>
      <c r="GKU3" s="339"/>
      <c r="GKV3" s="339"/>
      <c r="GKW3" s="339"/>
      <c r="GKX3" s="339"/>
      <c r="GKY3" s="339"/>
      <c r="GKZ3" s="339"/>
      <c r="GLA3" s="339"/>
      <c r="GLB3" s="339"/>
      <c r="GLC3" s="339"/>
      <c r="GLD3" s="339"/>
      <c r="GLE3" s="339"/>
      <c r="GLF3" s="339"/>
      <c r="GLG3" s="339"/>
      <c r="GLH3" s="339"/>
      <c r="GLI3" s="339"/>
      <c r="GLJ3" s="339"/>
      <c r="GLK3" s="339"/>
      <c r="GLL3" s="339"/>
      <c r="GLM3" s="339"/>
      <c r="GLN3" s="339"/>
      <c r="GLO3" s="339"/>
      <c r="GLP3" s="339"/>
      <c r="GLQ3" s="339"/>
      <c r="GLR3" s="339"/>
      <c r="GLS3" s="339"/>
      <c r="GLT3" s="339"/>
      <c r="GLU3" s="339"/>
      <c r="GLV3" s="339"/>
      <c r="GLW3" s="339"/>
      <c r="GLX3" s="339"/>
      <c r="GLY3" s="339"/>
      <c r="GLZ3" s="339"/>
      <c r="GMA3" s="339"/>
      <c r="GMB3" s="339"/>
      <c r="GMC3" s="339"/>
      <c r="GMD3" s="339"/>
      <c r="GME3" s="339"/>
      <c r="GMF3" s="339"/>
      <c r="GMG3" s="339"/>
      <c r="GMH3" s="339"/>
      <c r="GMI3" s="339"/>
      <c r="GMJ3" s="339"/>
      <c r="GMK3" s="339"/>
      <c r="GML3" s="339"/>
      <c r="GMM3" s="339"/>
      <c r="GMN3" s="339"/>
      <c r="GMO3" s="339"/>
      <c r="GMP3" s="339"/>
      <c r="GMQ3" s="339"/>
      <c r="GMR3" s="339"/>
      <c r="GMS3" s="339"/>
      <c r="GMT3" s="339"/>
      <c r="GMU3" s="339"/>
      <c r="GMV3" s="339"/>
      <c r="GMW3" s="339"/>
      <c r="GMX3" s="339"/>
      <c r="GMY3" s="339"/>
      <c r="GMZ3" s="339"/>
      <c r="GNA3" s="339"/>
      <c r="GNB3" s="339"/>
      <c r="GNC3" s="339"/>
      <c r="GND3" s="339"/>
      <c r="GNE3" s="339"/>
      <c r="GNF3" s="339"/>
      <c r="GNG3" s="339"/>
      <c r="GNH3" s="339"/>
      <c r="GNI3" s="339"/>
      <c r="GNJ3" s="339"/>
      <c r="GNK3" s="339"/>
      <c r="GNL3" s="339"/>
      <c r="GNM3" s="339"/>
      <c r="GNN3" s="339"/>
      <c r="GNO3" s="339"/>
      <c r="GNP3" s="339"/>
      <c r="GNQ3" s="339"/>
      <c r="GNR3" s="339"/>
      <c r="GNS3" s="339"/>
      <c r="GNT3" s="339"/>
      <c r="GNU3" s="339"/>
      <c r="GNV3" s="339"/>
      <c r="GNW3" s="339"/>
      <c r="GNX3" s="339"/>
      <c r="GNY3" s="339"/>
      <c r="GNZ3" s="339"/>
      <c r="GOA3" s="339"/>
      <c r="GOB3" s="339"/>
      <c r="GOC3" s="339"/>
      <c r="GOD3" s="339"/>
      <c r="GOE3" s="339"/>
      <c r="GOF3" s="339"/>
      <c r="GOG3" s="339"/>
      <c r="GOH3" s="339"/>
      <c r="GOI3" s="339"/>
      <c r="GOJ3" s="339"/>
      <c r="GOK3" s="339"/>
      <c r="GOL3" s="339"/>
      <c r="GOM3" s="339"/>
      <c r="GON3" s="339"/>
      <c r="GOO3" s="339"/>
      <c r="GOP3" s="339"/>
      <c r="GOQ3" s="339"/>
      <c r="GOR3" s="339"/>
      <c r="GOS3" s="339"/>
      <c r="GOT3" s="339"/>
      <c r="GOU3" s="339"/>
      <c r="GOV3" s="339"/>
      <c r="GOW3" s="339"/>
      <c r="GOX3" s="339"/>
      <c r="GOY3" s="339"/>
      <c r="GOZ3" s="339"/>
      <c r="GPA3" s="339"/>
      <c r="GPB3" s="339"/>
      <c r="GPC3" s="339"/>
      <c r="GPD3" s="339"/>
      <c r="GPE3" s="339"/>
      <c r="GPF3" s="339"/>
      <c r="GPG3" s="339"/>
      <c r="GPH3" s="339"/>
      <c r="GPI3" s="339"/>
      <c r="GPJ3" s="339"/>
      <c r="GPK3" s="339"/>
      <c r="GPL3" s="339"/>
      <c r="GPM3" s="339"/>
      <c r="GPN3" s="339"/>
      <c r="GPO3" s="339"/>
      <c r="GPP3" s="339"/>
      <c r="GPQ3" s="339"/>
      <c r="GPR3" s="339"/>
      <c r="GPS3" s="339"/>
      <c r="GPT3" s="339"/>
      <c r="GPU3" s="339"/>
      <c r="GPV3" s="339"/>
      <c r="GPW3" s="339"/>
      <c r="GPX3" s="339"/>
      <c r="GPY3" s="339"/>
      <c r="GPZ3" s="339"/>
      <c r="GQA3" s="339"/>
      <c r="GQB3" s="339"/>
      <c r="GQC3" s="339"/>
      <c r="GQD3" s="339"/>
      <c r="GQE3" s="339"/>
      <c r="GQF3" s="339"/>
      <c r="GQG3" s="339"/>
      <c r="GQH3" s="339"/>
      <c r="GQI3" s="339"/>
      <c r="GQJ3" s="339"/>
      <c r="GQK3" s="339"/>
      <c r="GQL3" s="339"/>
      <c r="GQM3" s="339"/>
      <c r="GQN3" s="339"/>
      <c r="GQO3" s="339"/>
      <c r="GQP3" s="339"/>
      <c r="GQQ3" s="339"/>
      <c r="GQR3" s="339"/>
      <c r="GQS3" s="339"/>
      <c r="GQT3" s="339"/>
      <c r="GQU3" s="339"/>
      <c r="GQV3" s="339"/>
      <c r="GQW3" s="339"/>
      <c r="GQX3" s="339"/>
      <c r="GQY3" s="339"/>
      <c r="GQZ3" s="339"/>
      <c r="GRA3" s="339"/>
      <c r="GRB3" s="339"/>
      <c r="GRC3" s="339"/>
      <c r="GRD3" s="339"/>
      <c r="GRE3" s="339"/>
      <c r="GRF3" s="339"/>
      <c r="GRG3" s="339"/>
      <c r="GRH3" s="339"/>
      <c r="GRI3" s="339"/>
      <c r="GRJ3" s="339"/>
      <c r="GRK3" s="339"/>
      <c r="GRL3" s="339"/>
      <c r="GRM3" s="339"/>
      <c r="GRN3" s="339"/>
      <c r="GRO3" s="339"/>
      <c r="GRP3" s="339"/>
      <c r="GRQ3" s="339"/>
      <c r="GRR3" s="339"/>
      <c r="GRS3" s="339"/>
      <c r="GRT3" s="339"/>
      <c r="GRU3" s="339"/>
      <c r="GRV3" s="339"/>
      <c r="GRW3" s="339"/>
      <c r="GRX3" s="339"/>
      <c r="GRY3" s="339"/>
      <c r="GRZ3" s="339"/>
      <c r="GSA3" s="339"/>
      <c r="GSB3" s="339"/>
      <c r="GSC3" s="339"/>
      <c r="GSD3" s="339"/>
      <c r="GSE3" s="339"/>
      <c r="GSF3" s="339"/>
      <c r="GSG3" s="339"/>
      <c r="GSH3" s="339"/>
      <c r="GSI3" s="339"/>
      <c r="GSJ3" s="339"/>
      <c r="GSK3" s="339"/>
      <c r="GSL3" s="339"/>
      <c r="GSM3" s="339"/>
      <c r="GSN3" s="339"/>
      <c r="GSO3" s="339"/>
      <c r="GSP3" s="339"/>
      <c r="GSQ3" s="339"/>
      <c r="GSR3" s="339"/>
      <c r="GSS3" s="339"/>
      <c r="GST3" s="339"/>
      <c r="GSU3" s="339"/>
      <c r="GSV3" s="339"/>
      <c r="GSW3" s="339"/>
      <c r="GSX3" s="339"/>
      <c r="GSY3" s="339"/>
      <c r="GSZ3" s="339"/>
      <c r="GTA3" s="339"/>
      <c r="GTB3" s="339"/>
      <c r="GTC3" s="339"/>
      <c r="GTD3" s="339"/>
      <c r="GTE3" s="339"/>
      <c r="GTF3" s="339"/>
      <c r="GTG3" s="339"/>
      <c r="GTH3" s="339"/>
      <c r="GTI3" s="339"/>
      <c r="GTJ3" s="339"/>
      <c r="GTK3" s="339"/>
      <c r="GTL3" s="339"/>
      <c r="GTM3" s="339"/>
      <c r="GTN3" s="339"/>
      <c r="GTO3" s="339"/>
      <c r="GTP3" s="339"/>
      <c r="GTQ3" s="339"/>
      <c r="GTR3" s="339"/>
      <c r="GTS3" s="339"/>
      <c r="GTT3" s="339"/>
      <c r="GTU3" s="339"/>
      <c r="GTV3" s="339"/>
      <c r="GTW3" s="339"/>
      <c r="GTX3" s="339"/>
      <c r="GTY3" s="339"/>
      <c r="GTZ3" s="339"/>
      <c r="GUA3" s="339"/>
      <c r="GUB3" s="339"/>
      <c r="GUC3" s="339"/>
      <c r="GUD3" s="339"/>
      <c r="GUE3" s="339"/>
      <c r="GUF3" s="339"/>
      <c r="GUG3" s="339"/>
      <c r="GUH3" s="339"/>
      <c r="GUI3" s="339"/>
      <c r="GUJ3" s="339"/>
      <c r="GUK3" s="339"/>
      <c r="GUL3" s="339"/>
      <c r="GUM3" s="339"/>
      <c r="GUN3" s="339"/>
      <c r="GUO3" s="339"/>
      <c r="GUP3" s="339"/>
      <c r="GUQ3" s="339"/>
      <c r="GUR3" s="339"/>
      <c r="GUS3" s="339"/>
      <c r="GUT3" s="339"/>
      <c r="GUU3" s="339"/>
      <c r="GUV3" s="339"/>
      <c r="GUW3" s="339"/>
      <c r="GUX3" s="339"/>
      <c r="GUY3" s="339"/>
      <c r="GUZ3" s="339"/>
      <c r="GVA3" s="339"/>
      <c r="GVB3" s="339"/>
      <c r="GVC3" s="339"/>
      <c r="GVD3" s="339"/>
      <c r="GVE3" s="339"/>
      <c r="GVF3" s="339"/>
      <c r="GVG3" s="339"/>
      <c r="GVH3" s="339"/>
      <c r="GVI3" s="339"/>
      <c r="GVJ3" s="339"/>
      <c r="GVK3" s="339"/>
      <c r="GVL3" s="339"/>
      <c r="GVM3" s="339"/>
      <c r="GVN3" s="339"/>
      <c r="GVO3" s="339"/>
      <c r="GVP3" s="339"/>
      <c r="GVQ3" s="339"/>
      <c r="GVR3" s="339"/>
      <c r="GVS3" s="339"/>
      <c r="GVT3" s="339"/>
      <c r="GVU3" s="339"/>
      <c r="GVV3" s="339"/>
      <c r="GVW3" s="339"/>
      <c r="GVX3" s="339"/>
      <c r="GVY3" s="339"/>
      <c r="GVZ3" s="339"/>
      <c r="GWA3" s="339"/>
      <c r="GWB3" s="339"/>
      <c r="GWC3" s="339"/>
      <c r="GWD3" s="339"/>
      <c r="GWE3" s="339"/>
      <c r="GWF3" s="339"/>
      <c r="GWG3" s="339"/>
      <c r="GWH3" s="339"/>
      <c r="GWI3" s="339"/>
      <c r="GWJ3" s="339"/>
      <c r="GWK3" s="339"/>
      <c r="GWL3" s="339"/>
      <c r="GWM3" s="339"/>
      <c r="GWN3" s="339"/>
      <c r="GWO3" s="339"/>
      <c r="GWP3" s="339"/>
      <c r="GWQ3" s="339"/>
      <c r="GWR3" s="339"/>
      <c r="GWS3" s="339"/>
      <c r="GWT3" s="339"/>
      <c r="GWU3" s="339"/>
      <c r="GWV3" s="339"/>
      <c r="GWW3" s="339"/>
      <c r="GWX3" s="339"/>
      <c r="GWY3" s="339"/>
      <c r="GWZ3" s="339"/>
      <c r="GXA3" s="339"/>
      <c r="GXB3" s="339"/>
      <c r="GXC3" s="339"/>
      <c r="GXD3" s="339"/>
      <c r="GXE3" s="339"/>
      <c r="GXF3" s="339"/>
      <c r="GXG3" s="339"/>
      <c r="GXH3" s="339"/>
      <c r="GXI3" s="339"/>
      <c r="GXJ3" s="339"/>
      <c r="GXK3" s="339"/>
      <c r="GXL3" s="339"/>
      <c r="GXM3" s="339"/>
      <c r="GXN3" s="339"/>
      <c r="GXO3" s="339"/>
      <c r="GXP3" s="339"/>
      <c r="GXQ3" s="339"/>
      <c r="GXR3" s="339"/>
      <c r="GXS3" s="339"/>
      <c r="GXT3" s="339"/>
      <c r="GXU3" s="339"/>
      <c r="GXV3" s="339"/>
      <c r="GXW3" s="339"/>
      <c r="GXX3" s="339"/>
      <c r="GXY3" s="339"/>
      <c r="GXZ3" s="339"/>
      <c r="GYA3" s="339"/>
      <c r="GYB3" s="339"/>
      <c r="GYC3" s="339"/>
      <c r="GYD3" s="339"/>
      <c r="GYE3" s="339"/>
      <c r="GYF3" s="339"/>
      <c r="GYG3" s="339"/>
      <c r="GYH3" s="339"/>
      <c r="GYI3" s="339"/>
      <c r="GYJ3" s="339"/>
      <c r="GYK3" s="339"/>
      <c r="GYL3" s="339"/>
      <c r="GYM3" s="339"/>
      <c r="GYN3" s="339"/>
      <c r="GYO3" s="339"/>
      <c r="GYP3" s="339"/>
      <c r="GYQ3" s="339"/>
      <c r="GYR3" s="339"/>
      <c r="GYS3" s="339"/>
      <c r="GYT3" s="339"/>
      <c r="GYU3" s="339"/>
      <c r="GYV3" s="339"/>
      <c r="GYW3" s="339"/>
      <c r="GYX3" s="339"/>
      <c r="GYY3" s="339"/>
      <c r="GYZ3" s="339"/>
      <c r="GZA3" s="339"/>
      <c r="GZB3" s="339"/>
      <c r="GZC3" s="339"/>
      <c r="GZD3" s="339"/>
      <c r="GZE3" s="339"/>
      <c r="GZF3" s="339"/>
      <c r="GZG3" s="339"/>
      <c r="GZH3" s="339"/>
      <c r="GZI3" s="339"/>
      <c r="GZJ3" s="339"/>
      <c r="GZK3" s="339"/>
      <c r="GZL3" s="339"/>
      <c r="GZM3" s="339"/>
      <c r="GZN3" s="339"/>
      <c r="GZO3" s="339"/>
      <c r="GZP3" s="339"/>
      <c r="GZQ3" s="339"/>
      <c r="GZR3" s="339"/>
      <c r="GZS3" s="339"/>
      <c r="GZT3" s="339"/>
      <c r="GZU3" s="339"/>
      <c r="GZV3" s="339"/>
      <c r="GZW3" s="339"/>
      <c r="GZX3" s="339"/>
      <c r="GZY3" s="339"/>
      <c r="GZZ3" s="339"/>
      <c r="HAA3" s="339"/>
      <c r="HAB3" s="339"/>
      <c r="HAC3" s="339"/>
      <c r="HAD3" s="339"/>
      <c r="HAE3" s="339"/>
      <c r="HAF3" s="339"/>
      <c r="HAG3" s="339"/>
      <c r="HAH3" s="339"/>
      <c r="HAI3" s="339"/>
      <c r="HAJ3" s="339"/>
      <c r="HAK3" s="339"/>
      <c r="HAL3" s="339"/>
      <c r="HAM3" s="339"/>
      <c r="HAN3" s="339"/>
      <c r="HAO3" s="339"/>
      <c r="HAP3" s="339"/>
      <c r="HAQ3" s="339"/>
      <c r="HAR3" s="339"/>
      <c r="HAS3" s="339"/>
      <c r="HAT3" s="339"/>
      <c r="HAU3" s="339"/>
      <c r="HAV3" s="339"/>
      <c r="HAW3" s="339"/>
      <c r="HAX3" s="339"/>
      <c r="HAY3" s="339"/>
      <c r="HAZ3" s="339"/>
      <c r="HBA3" s="339"/>
      <c r="HBB3" s="339"/>
      <c r="HBC3" s="339"/>
      <c r="HBD3" s="339"/>
      <c r="HBE3" s="339"/>
      <c r="HBF3" s="339"/>
      <c r="HBG3" s="339"/>
      <c r="HBH3" s="339"/>
      <c r="HBI3" s="339"/>
      <c r="HBJ3" s="339"/>
      <c r="HBK3" s="339"/>
      <c r="HBL3" s="339"/>
      <c r="HBM3" s="339"/>
      <c r="HBN3" s="339"/>
      <c r="HBO3" s="339"/>
      <c r="HBP3" s="339"/>
      <c r="HBQ3" s="339"/>
      <c r="HBR3" s="339"/>
      <c r="HBS3" s="339"/>
      <c r="HBT3" s="339"/>
      <c r="HBU3" s="339"/>
      <c r="HBV3" s="339"/>
      <c r="HBW3" s="339"/>
      <c r="HBX3" s="339"/>
      <c r="HBY3" s="339"/>
      <c r="HBZ3" s="339"/>
      <c r="HCA3" s="339"/>
      <c r="HCB3" s="339"/>
      <c r="HCC3" s="339"/>
      <c r="HCD3" s="339"/>
      <c r="HCE3" s="339"/>
      <c r="HCF3" s="339"/>
      <c r="HCG3" s="339"/>
      <c r="HCH3" s="339"/>
      <c r="HCI3" s="339"/>
      <c r="HCJ3" s="339"/>
      <c r="HCK3" s="339"/>
      <c r="HCL3" s="339"/>
      <c r="HCM3" s="339"/>
      <c r="HCN3" s="339"/>
      <c r="HCO3" s="339"/>
      <c r="HCP3" s="339"/>
      <c r="HCQ3" s="339"/>
      <c r="HCR3" s="339"/>
      <c r="HCS3" s="339"/>
      <c r="HCT3" s="339"/>
      <c r="HCU3" s="339"/>
      <c r="HCV3" s="339"/>
      <c r="HCW3" s="339"/>
      <c r="HCX3" s="339"/>
      <c r="HCY3" s="339"/>
      <c r="HCZ3" s="339"/>
      <c r="HDA3" s="339"/>
      <c r="HDB3" s="339"/>
      <c r="HDC3" s="339"/>
      <c r="HDD3" s="339"/>
      <c r="HDE3" s="339"/>
      <c r="HDF3" s="339"/>
      <c r="HDG3" s="339"/>
      <c r="HDH3" s="339"/>
      <c r="HDI3" s="339"/>
      <c r="HDJ3" s="339"/>
      <c r="HDK3" s="339"/>
      <c r="HDL3" s="339"/>
      <c r="HDM3" s="339"/>
      <c r="HDN3" s="339"/>
      <c r="HDO3" s="339"/>
      <c r="HDP3" s="339"/>
      <c r="HDQ3" s="339"/>
      <c r="HDR3" s="339"/>
      <c r="HDS3" s="339"/>
      <c r="HDT3" s="339"/>
      <c r="HDU3" s="339"/>
      <c r="HDV3" s="339"/>
      <c r="HDW3" s="339"/>
      <c r="HDX3" s="339"/>
      <c r="HDY3" s="339"/>
      <c r="HDZ3" s="339"/>
      <c r="HEA3" s="339"/>
      <c r="HEB3" s="339"/>
      <c r="HEC3" s="339"/>
      <c r="HED3" s="339"/>
      <c r="HEE3" s="339"/>
      <c r="HEF3" s="339"/>
      <c r="HEG3" s="339"/>
      <c r="HEH3" s="339"/>
      <c r="HEI3" s="339"/>
      <c r="HEJ3" s="339"/>
      <c r="HEK3" s="339"/>
      <c r="HEL3" s="339"/>
      <c r="HEM3" s="339"/>
      <c r="HEN3" s="339"/>
      <c r="HEO3" s="339"/>
      <c r="HEP3" s="339"/>
      <c r="HEQ3" s="339"/>
      <c r="HER3" s="339"/>
      <c r="HES3" s="339"/>
      <c r="HET3" s="339"/>
      <c r="HEU3" s="339"/>
      <c r="HEV3" s="339"/>
      <c r="HEW3" s="339"/>
      <c r="HEX3" s="339"/>
      <c r="HEY3" s="339"/>
      <c r="HEZ3" s="339"/>
      <c r="HFA3" s="339"/>
      <c r="HFB3" s="339"/>
      <c r="HFC3" s="339"/>
      <c r="HFD3" s="339"/>
      <c r="HFE3" s="339"/>
      <c r="HFF3" s="339"/>
      <c r="HFG3" s="339"/>
      <c r="HFH3" s="339"/>
      <c r="HFI3" s="339"/>
      <c r="HFJ3" s="339"/>
      <c r="HFK3" s="339"/>
      <c r="HFL3" s="339"/>
      <c r="HFM3" s="339"/>
      <c r="HFN3" s="339"/>
      <c r="HFO3" s="339"/>
      <c r="HFP3" s="339"/>
      <c r="HFQ3" s="339"/>
      <c r="HFR3" s="339"/>
      <c r="HFS3" s="339"/>
      <c r="HFT3" s="339"/>
      <c r="HFU3" s="339"/>
      <c r="HFV3" s="339"/>
      <c r="HFW3" s="339"/>
      <c r="HFX3" s="339"/>
      <c r="HFY3" s="339"/>
      <c r="HFZ3" s="339"/>
      <c r="HGA3" s="339"/>
      <c r="HGB3" s="339"/>
      <c r="HGC3" s="339"/>
      <c r="HGD3" s="339"/>
      <c r="HGE3" s="339"/>
      <c r="HGF3" s="339"/>
      <c r="HGG3" s="339"/>
      <c r="HGH3" s="339"/>
      <c r="HGI3" s="339"/>
      <c r="HGJ3" s="339"/>
      <c r="HGK3" s="339"/>
      <c r="HGL3" s="339"/>
      <c r="HGM3" s="339"/>
      <c r="HGN3" s="339"/>
      <c r="HGO3" s="339"/>
      <c r="HGP3" s="339"/>
      <c r="HGQ3" s="339"/>
      <c r="HGR3" s="339"/>
      <c r="HGS3" s="339"/>
      <c r="HGT3" s="339"/>
      <c r="HGU3" s="339"/>
      <c r="HGV3" s="339"/>
      <c r="HGW3" s="339"/>
      <c r="HGX3" s="339"/>
      <c r="HGY3" s="339"/>
      <c r="HGZ3" s="339"/>
      <c r="HHA3" s="339"/>
      <c r="HHB3" s="339"/>
      <c r="HHC3" s="339"/>
      <c r="HHD3" s="339"/>
      <c r="HHE3" s="339"/>
      <c r="HHF3" s="339"/>
      <c r="HHG3" s="339"/>
      <c r="HHH3" s="339"/>
      <c r="HHI3" s="339"/>
      <c r="HHJ3" s="339"/>
      <c r="HHK3" s="339"/>
      <c r="HHL3" s="339"/>
      <c r="HHM3" s="339"/>
      <c r="HHN3" s="339"/>
      <c r="HHO3" s="339"/>
      <c r="HHP3" s="339"/>
      <c r="HHQ3" s="339"/>
      <c r="HHR3" s="339"/>
      <c r="HHS3" s="339"/>
      <c r="HHT3" s="339"/>
      <c r="HHU3" s="339"/>
      <c r="HHV3" s="339"/>
      <c r="HHW3" s="339"/>
      <c r="HHX3" s="339"/>
      <c r="HHY3" s="339"/>
      <c r="HHZ3" s="339"/>
      <c r="HIA3" s="339"/>
      <c r="HIB3" s="339"/>
      <c r="HIC3" s="339"/>
      <c r="HID3" s="339"/>
      <c r="HIE3" s="339"/>
      <c r="HIF3" s="339"/>
      <c r="HIG3" s="339"/>
      <c r="HIH3" s="339"/>
      <c r="HII3" s="339"/>
      <c r="HIJ3" s="339"/>
      <c r="HIK3" s="339"/>
      <c r="HIL3" s="339"/>
      <c r="HIM3" s="339"/>
      <c r="HIN3" s="339"/>
      <c r="HIO3" s="339"/>
      <c r="HIP3" s="339"/>
      <c r="HIQ3" s="339"/>
      <c r="HIR3" s="339"/>
      <c r="HIS3" s="339"/>
      <c r="HIT3" s="339"/>
      <c r="HIU3" s="339"/>
      <c r="HIV3" s="339"/>
      <c r="HIW3" s="339"/>
      <c r="HIX3" s="339"/>
      <c r="HIY3" s="339"/>
      <c r="HIZ3" s="339"/>
      <c r="HJA3" s="339"/>
      <c r="HJB3" s="339"/>
      <c r="HJC3" s="339"/>
      <c r="HJD3" s="339"/>
      <c r="HJE3" s="339"/>
      <c r="HJF3" s="339"/>
      <c r="HJG3" s="339"/>
      <c r="HJH3" s="339"/>
      <c r="HJI3" s="339"/>
      <c r="HJJ3" s="339"/>
      <c r="HJK3" s="339"/>
      <c r="HJL3" s="339"/>
      <c r="HJM3" s="339"/>
      <c r="HJN3" s="339"/>
      <c r="HJO3" s="339"/>
      <c r="HJP3" s="339"/>
      <c r="HJQ3" s="339"/>
      <c r="HJR3" s="339"/>
      <c r="HJS3" s="339"/>
      <c r="HJT3" s="339"/>
      <c r="HJU3" s="339"/>
      <c r="HJV3" s="339"/>
      <c r="HJW3" s="339"/>
      <c r="HJX3" s="339"/>
      <c r="HJY3" s="339"/>
      <c r="HJZ3" s="339"/>
      <c r="HKA3" s="339"/>
      <c r="HKB3" s="339"/>
      <c r="HKC3" s="339"/>
      <c r="HKD3" s="339"/>
      <c r="HKE3" s="339"/>
      <c r="HKF3" s="339"/>
      <c r="HKG3" s="339"/>
      <c r="HKH3" s="339"/>
      <c r="HKI3" s="339"/>
      <c r="HKJ3" s="339"/>
      <c r="HKK3" s="339"/>
      <c r="HKL3" s="339"/>
      <c r="HKM3" s="339"/>
      <c r="HKN3" s="339"/>
      <c r="HKO3" s="339"/>
      <c r="HKP3" s="339"/>
      <c r="HKQ3" s="339"/>
      <c r="HKR3" s="339"/>
      <c r="HKS3" s="339"/>
      <c r="HKT3" s="339"/>
      <c r="HKU3" s="339"/>
      <c r="HKV3" s="339"/>
      <c r="HKW3" s="339"/>
      <c r="HKX3" s="339"/>
      <c r="HKY3" s="339"/>
      <c r="HKZ3" s="339"/>
      <c r="HLA3" s="339"/>
      <c r="HLB3" s="339"/>
      <c r="HLC3" s="339"/>
      <c r="HLD3" s="339"/>
      <c r="HLE3" s="339"/>
      <c r="HLF3" s="339"/>
      <c r="HLG3" s="339"/>
      <c r="HLH3" s="339"/>
      <c r="HLI3" s="339"/>
      <c r="HLJ3" s="339"/>
      <c r="HLK3" s="339"/>
      <c r="HLL3" s="339"/>
      <c r="HLM3" s="339"/>
      <c r="HLN3" s="339"/>
      <c r="HLO3" s="339"/>
      <c r="HLP3" s="339"/>
      <c r="HLQ3" s="339"/>
      <c r="HLR3" s="339"/>
      <c r="HLS3" s="339"/>
      <c r="HLT3" s="339"/>
      <c r="HLU3" s="339"/>
      <c r="HLV3" s="339"/>
      <c r="HLW3" s="339"/>
      <c r="HLX3" s="339"/>
      <c r="HLY3" s="339"/>
      <c r="HLZ3" s="339"/>
      <c r="HMA3" s="339"/>
      <c r="HMB3" s="339"/>
      <c r="HMC3" s="339"/>
      <c r="HMD3" s="339"/>
      <c r="HME3" s="339"/>
      <c r="HMF3" s="339"/>
      <c r="HMG3" s="339"/>
      <c r="HMH3" s="339"/>
      <c r="HMI3" s="339"/>
      <c r="HMJ3" s="339"/>
      <c r="HMK3" s="339"/>
      <c r="HML3" s="339"/>
      <c r="HMM3" s="339"/>
      <c r="HMN3" s="339"/>
      <c r="HMO3" s="339"/>
      <c r="HMP3" s="339"/>
      <c r="HMQ3" s="339"/>
      <c r="HMR3" s="339"/>
      <c r="HMS3" s="339"/>
      <c r="HMT3" s="339"/>
      <c r="HMU3" s="339"/>
      <c r="HMV3" s="339"/>
      <c r="HMW3" s="339"/>
      <c r="HMX3" s="339"/>
      <c r="HMY3" s="339"/>
      <c r="HMZ3" s="339"/>
      <c r="HNA3" s="339"/>
      <c r="HNB3" s="339"/>
      <c r="HNC3" s="339"/>
      <c r="HND3" s="339"/>
      <c r="HNE3" s="339"/>
      <c r="HNF3" s="339"/>
      <c r="HNG3" s="339"/>
      <c r="HNH3" s="339"/>
      <c r="HNI3" s="339"/>
      <c r="HNJ3" s="339"/>
      <c r="HNK3" s="339"/>
      <c r="HNL3" s="339"/>
      <c r="HNM3" s="339"/>
      <c r="HNN3" s="339"/>
      <c r="HNO3" s="339"/>
      <c r="HNP3" s="339"/>
      <c r="HNQ3" s="339"/>
      <c r="HNR3" s="339"/>
      <c r="HNS3" s="339"/>
      <c r="HNT3" s="339"/>
      <c r="HNU3" s="339"/>
      <c r="HNV3" s="339"/>
      <c r="HNW3" s="339"/>
      <c r="HNX3" s="339"/>
      <c r="HNY3" s="339"/>
      <c r="HNZ3" s="339"/>
      <c r="HOA3" s="339"/>
      <c r="HOB3" s="339"/>
      <c r="HOC3" s="339"/>
      <c r="HOD3" s="339"/>
      <c r="HOE3" s="339"/>
      <c r="HOF3" s="339"/>
      <c r="HOG3" s="339"/>
      <c r="HOH3" s="339"/>
      <c r="HOI3" s="339"/>
      <c r="HOJ3" s="339"/>
      <c r="HOK3" s="339"/>
      <c r="HOL3" s="339"/>
      <c r="HOM3" s="339"/>
      <c r="HON3" s="339"/>
      <c r="HOO3" s="339"/>
      <c r="HOP3" s="339"/>
      <c r="HOQ3" s="339"/>
      <c r="HOR3" s="339"/>
      <c r="HOS3" s="339"/>
      <c r="HOT3" s="339"/>
      <c r="HOU3" s="339"/>
      <c r="HOV3" s="339"/>
      <c r="HOW3" s="339"/>
      <c r="HOX3" s="339"/>
      <c r="HOY3" s="339"/>
      <c r="HOZ3" s="339"/>
      <c r="HPA3" s="339"/>
      <c r="HPB3" s="339"/>
      <c r="HPC3" s="339"/>
      <c r="HPD3" s="339"/>
      <c r="HPE3" s="339"/>
      <c r="HPF3" s="339"/>
      <c r="HPG3" s="339"/>
      <c r="HPH3" s="339"/>
      <c r="HPI3" s="339"/>
      <c r="HPJ3" s="339"/>
      <c r="HPK3" s="339"/>
      <c r="HPL3" s="339"/>
      <c r="HPM3" s="339"/>
      <c r="HPN3" s="339"/>
      <c r="HPO3" s="339"/>
      <c r="HPP3" s="339"/>
      <c r="HPQ3" s="339"/>
      <c r="HPR3" s="339"/>
      <c r="HPS3" s="339"/>
      <c r="HPT3" s="339"/>
      <c r="HPU3" s="339"/>
      <c r="HPV3" s="339"/>
      <c r="HPW3" s="339"/>
      <c r="HPX3" s="339"/>
      <c r="HPY3" s="339"/>
      <c r="HPZ3" s="339"/>
      <c r="HQA3" s="339"/>
      <c r="HQB3" s="339"/>
      <c r="HQC3" s="339"/>
      <c r="HQD3" s="339"/>
      <c r="HQE3" s="339"/>
      <c r="HQF3" s="339"/>
      <c r="HQG3" s="339"/>
      <c r="HQH3" s="339"/>
      <c r="HQI3" s="339"/>
      <c r="HQJ3" s="339"/>
      <c r="HQK3" s="339"/>
      <c r="HQL3" s="339"/>
      <c r="HQM3" s="339"/>
      <c r="HQN3" s="339"/>
      <c r="HQO3" s="339"/>
      <c r="HQP3" s="339"/>
      <c r="HQQ3" s="339"/>
      <c r="HQR3" s="339"/>
      <c r="HQS3" s="339"/>
      <c r="HQT3" s="339"/>
      <c r="HQU3" s="339"/>
      <c r="HQV3" s="339"/>
      <c r="HQW3" s="339"/>
      <c r="HQX3" s="339"/>
      <c r="HQY3" s="339"/>
      <c r="HQZ3" s="339"/>
      <c r="HRA3" s="339"/>
      <c r="HRB3" s="339"/>
      <c r="HRC3" s="339"/>
      <c r="HRD3" s="339"/>
      <c r="HRE3" s="339"/>
      <c r="HRF3" s="339"/>
      <c r="HRG3" s="339"/>
      <c r="HRH3" s="339"/>
      <c r="HRI3" s="339"/>
      <c r="HRJ3" s="339"/>
      <c r="HRK3" s="339"/>
      <c r="HRL3" s="339"/>
      <c r="HRM3" s="339"/>
      <c r="HRN3" s="339"/>
      <c r="HRO3" s="339"/>
      <c r="HRP3" s="339"/>
      <c r="HRQ3" s="339"/>
      <c r="HRR3" s="339"/>
      <c r="HRS3" s="339"/>
      <c r="HRT3" s="339"/>
      <c r="HRU3" s="339"/>
      <c r="HRV3" s="339"/>
      <c r="HRW3" s="339"/>
      <c r="HRX3" s="339"/>
      <c r="HRY3" s="339"/>
      <c r="HRZ3" s="339"/>
      <c r="HSA3" s="339"/>
      <c r="HSB3" s="339"/>
      <c r="HSC3" s="339"/>
      <c r="HSD3" s="339"/>
      <c r="HSE3" s="339"/>
      <c r="HSF3" s="339"/>
      <c r="HSG3" s="339"/>
      <c r="HSH3" s="339"/>
      <c r="HSI3" s="339"/>
      <c r="HSJ3" s="339"/>
      <c r="HSK3" s="339"/>
      <c r="HSL3" s="339"/>
      <c r="HSM3" s="339"/>
      <c r="HSN3" s="339"/>
      <c r="HSO3" s="339"/>
      <c r="HSP3" s="339"/>
      <c r="HSQ3" s="339"/>
      <c r="HSR3" s="339"/>
      <c r="HSS3" s="339"/>
      <c r="HST3" s="339"/>
      <c r="HSU3" s="339"/>
      <c r="HSV3" s="339"/>
      <c r="HSW3" s="339"/>
      <c r="HSX3" s="339"/>
      <c r="HSY3" s="339"/>
      <c r="HSZ3" s="339"/>
      <c r="HTA3" s="339"/>
      <c r="HTB3" s="339"/>
      <c r="HTC3" s="339"/>
      <c r="HTD3" s="339"/>
      <c r="HTE3" s="339"/>
      <c r="HTF3" s="339"/>
      <c r="HTG3" s="339"/>
      <c r="HTH3" s="339"/>
      <c r="HTI3" s="339"/>
      <c r="HTJ3" s="339"/>
      <c r="HTK3" s="339"/>
      <c r="HTL3" s="339"/>
      <c r="HTM3" s="339"/>
      <c r="HTN3" s="339"/>
      <c r="HTO3" s="339"/>
      <c r="HTP3" s="339"/>
      <c r="HTQ3" s="339"/>
      <c r="HTR3" s="339"/>
      <c r="HTS3" s="339"/>
      <c r="HTT3" s="339"/>
      <c r="HTU3" s="339"/>
      <c r="HTV3" s="339"/>
      <c r="HTW3" s="339"/>
      <c r="HTX3" s="339"/>
      <c r="HTY3" s="339"/>
      <c r="HTZ3" s="339"/>
      <c r="HUA3" s="339"/>
      <c r="HUB3" s="339"/>
      <c r="HUC3" s="339"/>
      <c r="HUD3" s="339"/>
      <c r="HUE3" s="339"/>
      <c r="HUF3" s="339"/>
      <c r="HUG3" s="339"/>
      <c r="HUH3" s="339"/>
      <c r="HUI3" s="339"/>
      <c r="HUJ3" s="339"/>
      <c r="HUK3" s="339"/>
      <c r="HUL3" s="339"/>
      <c r="HUM3" s="339"/>
      <c r="HUN3" s="339"/>
      <c r="HUO3" s="339"/>
      <c r="HUP3" s="339"/>
      <c r="HUQ3" s="339"/>
      <c r="HUR3" s="339"/>
      <c r="HUS3" s="339"/>
      <c r="HUT3" s="339"/>
      <c r="HUU3" s="339"/>
      <c r="HUV3" s="339"/>
      <c r="HUW3" s="339"/>
      <c r="HUX3" s="339"/>
      <c r="HUY3" s="339"/>
      <c r="HUZ3" s="339"/>
      <c r="HVA3" s="339"/>
      <c r="HVB3" s="339"/>
      <c r="HVC3" s="339"/>
      <c r="HVD3" s="339"/>
      <c r="HVE3" s="339"/>
      <c r="HVF3" s="339"/>
      <c r="HVG3" s="339"/>
      <c r="HVH3" s="339"/>
      <c r="HVI3" s="339"/>
      <c r="HVJ3" s="339"/>
      <c r="HVK3" s="339"/>
      <c r="HVL3" s="339"/>
      <c r="HVM3" s="339"/>
      <c r="HVN3" s="339"/>
      <c r="HVO3" s="339"/>
      <c r="HVP3" s="339"/>
      <c r="HVQ3" s="339"/>
      <c r="HVR3" s="339"/>
      <c r="HVS3" s="339"/>
      <c r="HVT3" s="339"/>
      <c r="HVU3" s="339"/>
      <c r="HVV3" s="339"/>
      <c r="HVW3" s="339"/>
      <c r="HVX3" s="339"/>
      <c r="HVY3" s="339"/>
      <c r="HVZ3" s="339"/>
      <c r="HWA3" s="339"/>
      <c r="HWB3" s="339"/>
      <c r="HWC3" s="339"/>
      <c r="HWD3" s="339"/>
      <c r="HWE3" s="339"/>
      <c r="HWF3" s="339"/>
      <c r="HWG3" s="339"/>
      <c r="HWH3" s="339"/>
      <c r="HWI3" s="339"/>
      <c r="HWJ3" s="339"/>
      <c r="HWK3" s="339"/>
      <c r="HWL3" s="339"/>
      <c r="HWM3" s="339"/>
      <c r="HWN3" s="339"/>
      <c r="HWO3" s="339"/>
      <c r="HWP3" s="339"/>
      <c r="HWQ3" s="339"/>
      <c r="HWR3" s="339"/>
      <c r="HWS3" s="339"/>
      <c r="HWT3" s="339"/>
      <c r="HWU3" s="339"/>
      <c r="HWV3" s="339"/>
      <c r="HWW3" s="339"/>
      <c r="HWX3" s="339"/>
      <c r="HWY3" s="339"/>
      <c r="HWZ3" s="339"/>
      <c r="HXA3" s="339"/>
      <c r="HXB3" s="339"/>
      <c r="HXC3" s="339"/>
      <c r="HXD3" s="339"/>
      <c r="HXE3" s="339"/>
      <c r="HXF3" s="339"/>
      <c r="HXG3" s="339"/>
      <c r="HXH3" s="339"/>
      <c r="HXI3" s="339"/>
      <c r="HXJ3" s="339"/>
      <c r="HXK3" s="339"/>
      <c r="HXL3" s="339"/>
      <c r="HXM3" s="339"/>
      <c r="HXN3" s="339"/>
      <c r="HXO3" s="339"/>
      <c r="HXP3" s="339"/>
      <c r="HXQ3" s="339"/>
      <c r="HXR3" s="339"/>
      <c r="HXS3" s="339"/>
      <c r="HXT3" s="339"/>
      <c r="HXU3" s="339"/>
      <c r="HXV3" s="339"/>
      <c r="HXW3" s="339"/>
      <c r="HXX3" s="339"/>
      <c r="HXY3" s="339"/>
      <c r="HXZ3" s="339"/>
      <c r="HYA3" s="339"/>
      <c r="HYB3" s="339"/>
      <c r="HYC3" s="339"/>
      <c r="HYD3" s="339"/>
      <c r="HYE3" s="339"/>
      <c r="HYF3" s="339"/>
      <c r="HYG3" s="339"/>
      <c r="HYH3" s="339"/>
      <c r="HYI3" s="339"/>
      <c r="HYJ3" s="339"/>
      <c r="HYK3" s="339"/>
      <c r="HYL3" s="339"/>
      <c r="HYM3" s="339"/>
      <c r="HYN3" s="339"/>
      <c r="HYO3" s="339"/>
      <c r="HYP3" s="339"/>
      <c r="HYQ3" s="339"/>
      <c r="HYR3" s="339"/>
      <c r="HYS3" s="339"/>
      <c r="HYT3" s="339"/>
      <c r="HYU3" s="339"/>
      <c r="HYV3" s="339"/>
      <c r="HYW3" s="339"/>
      <c r="HYX3" s="339"/>
      <c r="HYY3" s="339"/>
      <c r="HYZ3" s="339"/>
      <c r="HZA3" s="339"/>
      <c r="HZB3" s="339"/>
      <c r="HZC3" s="339"/>
      <c r="HZD3" s="339"/>
      <c r="HZE3" s="339"/>
      <c r="HZF3" s="339"/>
      <c r="HZG3" s="339"/>
      <c r="HZH3" s="339"/>
      <c r="HZI3" s="339"/>
      <c r="HZJ3" s="339"/>
      <c r="HZK3" s="339"/>
      <c r="HZL3" s="339"/>
      <c r="HZM3" s="339"/>
      <c r="HZN3" s="339"/>
      <c r="HZO3" s="339"/>
      <c r="HZP3" s="339"/>
      <c r="HZQ3" s="339"/>
      <c r="HZR3" s="339"/>
      <c r="HZS3" s="339"/>
      <c r="HZT3" s="339"/>
      <c r="HZU3" s="339"/>
      <c r="HZV3" s="339"/>
      <c r="HZW3" s="339"/>
      <c r="HZX3" s="339"/>
      <c r="HZY3" s="339"/>
      <c r="HZZ3" s="339"/>
      <c r="IAA3" s="339"/>
      <c r="IAB3" s="339"/>
      <c r="IAC3" s="339"/>
      <c r="IAD3" s="339"/>
      <c r="IAE3" s="339"/>
      <c r="IAF3" s="339"/>
      <c r="IAG3" s="339"/>
      <c r="IAH3" s="339"/>
      <c r="IAI3" s="339"/>
      <c r="IAJ3" s="339"/>
      <c r="IAK3" s="339"/>
      <c r="IAL3" s="339"/>
      <c r="IAM3" s="339"/>
      <c r="IAN3" s="339"/>
      <c r="IAO3" s="339"/>
      <c r="IAP3" s="339"/>
      <c r="IAQ3" s="339"/>
      <c r="IAR3" s="339"/>
      <c r="IAS3" s="339"/>
      <c r="IAT3" s="339"/>
      <c r="IAU3" s="339"/>
      <c r="IAV3" s="339"/>
      <c r="IAW3" s="339"/>
      <c r="IAX3" s="339"/>
      <c r="IAY3" s="339"/>
      <c r="IAZ3" s="339"/>
      <c r="IBA3" s="339"/>
      <c r="IBB3" s="339"/>
      <c r="IBC3" s="339"/>
      <c r="IBD3" s="339"/>
      <c r="IBE3" s="339"/>
      <c r="IBF3" s="339"/>
      <c r="IBG3" s="339"/>
      <c r="IBH3" s="339"/>
      <c r="IBI3" s="339"/>
      <c r="IBJ3" s="339"/>
      <c r="IBK3" s="339"/>
      <c r="IBL3" s="339"/>
      <c r="IBM3" s="339"/>
      <c r="IBN3" s="339"/>
      <c r="IBO3" s="339"/>
      <c r="IBP3" s="339"/>
      <c r="IBQ3" s="339"/>
      <c r="IBR3" s="339"/>
      <c r="IBS3" s="339"/>
      <c r="IBT3" s="339"/>
      <c r="IBU3" s="339"/>
      <c r="IBV3" s="339"/>
      <c r="IBW3" s="339"/>
      <c r="IBX3" s="339"/>
      <c r="IBY3" s="339"/>
      <c r="IBZ3" s="339"/>
      <c r="ICA3" s="339"/>
      <c r="ICB3" s="339"/>
      <c r="ICC3" s="339"/>
      <c r="ICD3" s="339"/>
      <c r="ICE3" s="339"/>
      <c r="ICF3" s="339"/>
      <c r="ICG3" s="339"/>
      <c r="ICH3" s="339"/>
      <c r="ICI3" s="339"/>
      <c r="ICJ3" s="339"/>
      <c r="ICK3" s="339"/>
      <c r="ICL3" s="339"/>
      <c r="ICM3" s="339"/>
      <c r="ICN3" s="339"/>
      <c r="ICO3" s="339"/>
      <c r="ICP3" s="339"/>
      <c r="ICQ3" s="339"/>
      <c r="ICR3" s="339"/>
      <c r="ICS3" s="339"/>
      <c r="ICT3" s="339"/>
      <c r="ICU3" s="339"/>
      <c r="ICV3" s="339"/>
      <c r="ICW3" s="339"/>
      <c r="ICX3" s="339"/>
      <c r="ICY3" s="339"/>
      <c r="ICZ3" s="339"/>
      <c r="IDA3" s="339"/>
      <c r="IDB3" s="339"/>
      <c r="IDC3" s="339"/>
      <c r="IDD3" s="339"/>
      <c r="IDE3" s="339"/>
      <c r="IDF3" s="339"/>
      <c r="IDG3" s="339"/>
      <c r="IDH3" s="339"/>
      <c r="IDI3" s="339"/>
      <c r="IDJ3" s="339"/>
      <c r="IDK3" s="339"/>
      <c r="IDL3" s="339"/>
      <c r="IDM3" s="339"/>
      <c r="IDN3" s="339"/>
      <c r="IDO3" s="339"/>
      <c r="IDP3" s="339"/>
      <c r="IDQ3" s="339"/>
      <c r="IDR3" s="339"/>
      <c r="IDS3" s="339"/>
      <c r="IDT3" s="339"/>
      <c r="IDU3" s="339"/>
      <c r="IDV3" s="339"/>
      <c r="IDW3" s="339"/>
      <c r="IDX3" s="339"/>
      <c r="IDY3" s="339"/>
      <c r="IDZ3" s="339"/>
      <c r="IEA3" s="339"/>
      <c r="IEB3" s="339"/>
      <c r="IEC3" s="339"/>
      <c r="IED3" s="339"/>
      <c r="IEE3" s="339"/>
      <c r="IEF3" s="339"/>
      <c r="IEG3" s="339"/>
      <c r="IEH3" s="339"/>
      <c r="IEI3" s="339"/>
      <c r="IEJ3" s="339"/>
      <c r="IEK3" s="339"/>
      <c r="IEL3" s="339"/>
      <c r="IEM3" s="339"/>
      <c r="IEN3" s="339"/>
      <c r="IEO3" s="339"/>
      <c r="IEP3" s="339"/>
      <c r="IEQ3" s="339"/>
      <c r="IER3" s="339"/>
      <c r="IES3" s="339"/>
      <c r="IET3" s="339"/>
      <c r="IEU3" s="339"/>
      <c r="IEV3" s="339"/>
      <c r="IEW3" s="339"/>
      <c r="IEX3" s="339"/>
      <c r="IEY3" s="339"/>
      <c r="IEZ3" s="339"/>
      <c r="IFA3" s="339"/>
      <c r="IFB3" s="339"/>
      <c r="IFC3" s="339"/>
      <c r="IFD3" s="339"/>
      <c r="IFE3" s="339"/>
      <c r="IFF3" s="339"/>
      <c r="IFG3" s="339"/>
      <c r="IFH3" s="339"/>
      <c r="IFI3" s="339"/>
      <c r="IFJ3" s="339"/>
      <c r="IFK3" s="339"/>
      <c r="IFL3" s="339"/>
      <c r="IFM3" s="339"/>
      <c r="IFN3" s="339"/>
      <c r="IFO3" s="339"/>
      <c r="IFP3" s="339"/>
      <c r="IFQ3" s="339"/>
      <c r="IFR3" s="339"/>
      <c r="IFS3" s="339"/>
      <c r="IFT3" s="339"/>
      <c r="IFU3" s="339"/>
      <c r="IFV3" s="339"/>
      <c r="IFW3" s="339"/>
      <c r="IFX3" s="339"/>
      <c r="IFY3" s="339"/>
      <c r="IFZ3" s="339"/>
      <c r="IGA3" s="339"/>
      <c r="IGB3" s="339"/>
      <c r="IGC3" s="339"/>
      <c r="IGD3" s="339"/>
      <c r="IGE3" s="339"/>
      <c r="IGF3" s="339"/>
      <c r="IGG3" s="339"/>
      <c r="IGH3" s="339"/>
      <c r="IGI3" s="339"/>
      <c r="IGJ3" s="339"/>
      <c r="IGK3" s="339"/>
      <c r="IGL3" s="339"/>
      <c r="IGM3" s="339"/>
      <c r="IGN3" s="339"/>
      <c r="IGO3" s="339"/>
      <c r="IGP3" s="339"/>
      <c r="IGQ3" s="339"/>
      <c r="IGR3" s="339"/>
      <c r="IGS3" s="339"/>
      <c r="IGT3" s="339"/>
      <c r="IGU3" s="339"/>
      <c r="IGV3" s="339"/>
      <c r="IGW3" s="339"/>
      <c r="IGX3" s="339"/>
      <c r="IGY3" s="339"/>
      <c r="IGZ3" s="339"/>
      <c r="IHA3" s="339"/>
      <c r="IHB3" s="339"/>
      <c r="IHC3" s="339"/>
      <c r="IHD3" s="339"/>
      <c r="IHE3" s="339"/>
      <c r="IHF3" s="339"/>
      <c r="IHG3" s="339"/>
      <c r="IHH3" s="339"/>
      <c r="IHI3" s="339"/>
      <c r="IHJ3" s="339"/>
      <c r="IHK3" s="339"/>
      <c r="IHL3" s="339"/>
      <c r="IHM3" s="339"/>
      <c r="IHN3" s="339"/>
      <c r="IHO3" s="339"/>
      <c r="IHP3" s="339"/>
      <c r="IHQ3" s="339"/>
      <c r="IHR3" s="339"/>
      <c r="IHS3" s="339"/>
      <c r="IHT3" s="339"/>
      <c r="IHU3" s="339"/>
      <c r="IHV3" s="339"/>
      <c r="IHW3" s="339"/>
      <c r="IHX3" s="339"/>
      <c r="IHY3" s="339"/>
      <c r="IHZ3" s="339"/>
      <c r="IIA3" s="339"/>
      <c r="IIB3" s="339"/>
      <c r="IIC3" s="339"/>
      <c r="IID3" s="339"/>
      <c r="IIE3" s="339"/>
      <c r="IIF3" s="339"/>
      <c r="IIG3" s="339"/>
      <c r="IIH3" s="339"/>
      <c r="III3" s="339"/>
      <c r="IIJ3" s="339"/>
      <c r="IIK3" s="339"/>
      <c r="IIL3" s="339"/>
      <c r="IIM3" s="339"/>
      <c r="IIN3" s="339"/>
      <c r="IIO3" s="339"/>
      <c r="IIP3" s="339"/>
      <c r="IIQ3" s="339"/>
      <c r="IIR3" s="339"/>
      <c r="IIS3" s="339"/>
      <c r="IIT3" s="339"/>
      <c r="IIU3" s="339"/>
      <c r="IIV3" s="339"/>
      <c r="IIW3" s="339"/>
      <c r="IIX3" s="339"/>
      <c r="IIY3" s="339"/>
      <c r="IIZ3" s="339"/>
      <c r="IJA3" s="339"/>
      <c r="IJB3" s="339"/>
      <c r="IJC3" s="339"/>
      <c r="IJD3" s="339"/>
      <c r="IJE3" s="339"/>
      <c r="IJF3" s="339"/>
      <c r="IJG3" s="339"/>
      <c r="IJH3" s="339"/>
      <c r="IJI3" s="339"/>
      <c r="IJJ3" s="339"/>
      <c r="IJK3" s="339"/>
      <c r="IJL3" s="339"/>
      <c r="IJM3" s="339"/>
      <c r="IJN3" s="339"/>
      <c r="IJO3" s="339"/>
      <c r="IJP3" s="339"/>
      <c r="IJQ3" s="339"/>
      <c r="IJR3" s="339"/>
      <c r="IJS3" s="339"/>
      <c r="IJT3" s="339"/>
      <c r="IJU3" s="339"/>
      <c r="IJV3" s="339"/>
      <c r="IJW3" s="339"/>
      <c r="IJX3" s="339"/>
      <c r="IJY3" s="339"/>
      <c r="IJZ3" s="339"/>
      <c r="IKA3" s="339"/>
      <c r="IKB3" s="339"/>
      <c r="IKC3" s="339"/>
      <c r="IKD3" s="339"/>
      <c r="IKE3" s="339"/>
      <c r="IKF3" s="339"/>
      <c r="IKG3" s="339"/>
      <c r="IKH3" s="339"/>
      <c r="IKI3" s="339"/>
      <c r="IKJ3" s="339"/>
      <c r="IKK3" s="339"/>
      <c r="IKL3" s="339"/>
      <c r="IKM3" s="339"/>
      <c r="IKN3" s="339"/>
      <c r="IKO3" s="339"/>
      <c r="IKP3" s="339"/>
      <c r="IKQ3" s="339"/>
      <c r="IKR3" s="339"/>
      <c r="IKS3" s="339"/>
      <c r="IKT3" s="339"/>
      <c r="IKU3" s="339"/>
      <c r="IKV3" s="339"/>
      <c r="IKW3" s="339"/>
      <c r="IKX3" s="339"/>
      <c r="IKY3" s="339"/>
      <c r="IKZ3" s="339"/>
      <c r="ILA3" s="339"/>
      <c r="ILB3" s="339"/>
      <c r="ILC3" s="339"/>
      <c r="ILD3" s="339"/>
      <c r="ILE3" s="339"/>
      <c r="ILF3" s="339"/>
      <c r="ILG3" s="339"/>
      <c r="ILH3" s="339"/>
      <c r="ILI3" s="339"/>
      <c r="ILJ3" s="339"/>
      <c r="ILK3" s="339"/>
      <c r="ILL3" s="339"/>
      <c r="ILM3" s="339"/>
      <c r="ILN3" s="339"/>
      <c r="ILO3" s="339"/>
      <c r="ILP3" s="339"/>
      <c r="ILQ3" s="339"/>
      <c r="ILR3" s="339"/>
      <c r="ILS3" s="339"/>
      <c r="ILT3" s="339"/>
      <c r="ILU3" s="339"/>
      <c r="ILV3" s="339"/>
      <c r="ILW3" s="339"/>
      <c r="ILX3" s="339"/>
      <c r="ILY3" s="339"/>
      <c r="ILZ3" s="339"/>
      <c r="IMA3" s="339"/>
      <c r="IMB3" s="339"/>
      <c r="IMC3" s="339"/>
      <c r="IMD3" s="339"/>
      <c r="IME3" s="339"/>
      <c r="IMF3" s="339"/>
      <c r="IMG3" s="339"/>
      <c r="IMH3" s="339"/>
      <c r="IMI3" s="339"/>
      <c r="IMJ3" s="339"/>
      <c r="IMK3" s="339"/>
      <c r="IML3" s="339"/>
      <c r="IMM3" s="339"/>
      <c r="IMN3" s="339"/>
      <c r="IMO3" s="339"/>
      <c r="IMP3" s="339"/>
      <c r="IMQ3" s="339"/>
      <c r="IMR3" s="339"/>
      <c r="IMS3" s="339"/>
      <c r="IMT3" s="339"/>
      <c r="IMU3" s="339"/>
      <c r="IMV3" s="339"/>
      <c r="IMW3" s="339"/>
      <c r="IMX3" s="339"/>
      <c r="IMY3" s="339"/>
      <c r="IMZ3" s="339"/>
      <c r="INA3" s="339"/>
      <c r="INB3" s="339"/>
      <c r="INC3" s="339"/>
      <c r="IND3" s="339"/>
      <c r="INE3" s="339"/>
      <c r="INF3" s="339"/>
      <c r="ING3" s="339"/>
      <c r="INH3" s="339"/>
      <c r="INI3" s="339"/>
      <c r="INJ3" s="339"/>
      <c r="INK3" s="339"/>
      <c r="INL3" s="339"/>
      <c r="INM3" s="339"/>
      <c r="INN3" s="339"/>
      <c r="INO3" s="339"/>
      <c r="INP3" s="339"/>
      <c r="INQ3" s="339"/>
      <c r="INR3" s="339"/>
      <c r="INS3" s="339"/>
      <c r="INT3" s="339"/>
      <c r="INU3" s="339"/>
      <c r="INV3" s="339"/>
      <c r="INW3" s="339"/>
      <c r="INX3" s="339"/>
      <c r="INY3" s="339"/>
      <c r="INZ3" s="339"/>
      <c r="IOA3" s="339"/>
      <c r="IOB3" s="339"/>
      <c r="IOC3" s="339"/>
      <c r="IOD3" s="339"/>
      <c r="IOE3" s="339"/>
      <c r="IOF3" s="339"/>
      <c r="IOG3" s="339"/>
      <c r="IOH3" s="339"/>
      <c r="IOI3" s="339"/>
      <c r="IOJ3" s="339"/>
      <c r="IOK3" s="339"/>
      <c r="IOL3" s="339"/>
      <c r="IOM3" s="339"/>
      <c r="ION3" s="339"/>
      <c r="IOO3" s="339"/>
      <c r="IOP3" s="339"/>
      <c r="IOQ3" s="339"/>
      <c r="IOR3" s="339"/>
      <c r="IOS3" s="339"/>
      <c r="IOT3" s="339"/>
      <c r="IOU3" s="339"/>
      <c r="IOV3" s="339"/>
      <c r="IOW3" s="339"/>
      <c r="IOX3" s="339"/>
      <c r="IOY3" s="339"/>
      <c r="IOZ3" s="339"/>
      <c r="IPA3" s="339"/>
      <c r="IPB3" s="339"/>
      <c r="IPC3" s="339"/>
      <c r="IPD3" s="339"/>
      <c r="IPE3" s="339"/>
      <c r="IPF3" s="339"/>
      <c r="IPG3" s="339"/>
      <c r="IPH3" s="339"/>
      <c r="IPI3" s="339"/>
      <c r="IPJ3" s="339"/>
      <c r="IPK3" s="339"/>
      <c r="IPL3" s="339"/>
      <c r="IPM3" s="339"/>
      <c r="IPN3" s="339"/>
      <c r="IPO3" s="339"/>
      <c r="IPP3" s="339"/>
      <c r="IPQ3" s="339"/>
      <c r="IPR3" s="339"/>
      <c r="IPS3" s="339"/>
      <c r="IPT3" s="339"/>
      <c r="IPU3" s="339"/>
      <c r="IPV3" s="339"/>
      <c r="IPW3" s="339"/>
      <c r="IPX3" s="339"/>
      <c r="IPY3" s="339"/>
      <c r="IPZ3" s="339"/>
      <c r="IQA3" s="339"/>
      <c r="IQB3" s="339"/>
      <c r="IQC3" s="339"/>
      <c r="IQD3" s="339"/>
      <c r="IQE3" s="339"/>
      <c r="IQF3" s="339"/>
      <c r="IQG3" s="339"/>
      <c r="IQH3" s="339"/>
      <c r="IQI3" s="339"/>
      <c r="IQJ3" s="339"/>
      <c r="IQK3" s="339"/>
      <c r="IQL3" s="339"/>
      <c r="IQM3" s="339"/>
      <c r="IQN3" s="339"/>
      <c r="IQO3" s="339"/>
      <c r="IQP3" s="339"/>
      <c r="IQQ3" s="339"/>
      <c r="IQR3" s="339"/>
      <c r="IQS3" s="339"/>
      <c r="IQT3" s="339"/>
      <c r="IQU3" s="339"/>
      <c r="IQV3" s="339"/>
      <c r="IQW3" s="339"/>
      <c r="IQX3" s="339"/>
      <c r="IQY3" s="339"/>
      <c r="IQZ3" s="339"/>
      <c r="IRA3" s="339"/>
      <c r="IRB3" s="339"/>
      <c r="IRC3" s="339"/>
      <c r="IRD3" s="339"/>
      <c r="IRE3" s="339"/>
      <c r="IRF3" s="339"/>
      <c r="IRG3" s="339"/>
      <c r="IRH3" s="339"/>
      <c r="IRI3" s="339"/>
      <c r="IRJ3" s="339"/>
      <c r="IRK3" s="339"/>
      <c r="IRL3" s="339"/>
      <c r="IRM3" s="339"/>
      <c r="IRN3" s="339"/>
      <c r="IRO3" s="339"/>
      <c r="IRP3" s="339"/>
      <c r="IRQ3" s="339"/>
      <c r="IRR3" s="339"/>
      <c r="IRS3" s="339"/>
      <c r="IRT3" s="339"/>
      <c r="IRU3" s="339"/>
      <c r="IRV3" s="339"/>
      <c r="IRW3" s="339"/>
      <c r="IRX3" s="339"/>
      <c r="IRY3" s="339"/>
      <c r="IRZ3" s="339"/>
      <c r="ISA3" s="339"/>
      <c r="ISB3" s="339"/>
      <c r="ISC3" s="339"/>
      <c r="ISD3" s="339"/>
      <c r="ISE3" s="339"/>
      <c r="ISF3" s="339"/>
      <c r="ISG3" s="339"/>
      <c r="ISH3" s="339"/>
      <c r="ISI3" s="339"/>
      <c r="ISJ3" s="339"/>
      <c r="ISK3" s="339"/>
      <c r="ISL3" s="339"/>
      <c r="ISM3" s="339"/>
      <c r="ISN3" s="339"/>
      <c r="ISO3" s="339"/>
      <c r="ISP3" s="339"/>
      <c r="ISQ3" s="339"/>
      <c r="ISR3" s="339"/>
      <c r="ISS3" s="339"/>
      <c r="IST3" s="339"/>
      <c r="ISU3" s="339"/>
      <c r="ISV3" s="339"/>
      <c r="ISW3" s="339"/>
      <c r="ISX3" s="339"/>
      <c r="ISY3" s="339"/>
      <c r="ISZ3" s="339"/>
      <c r="ITA3" s="339"/>
      <c r="ITB3" s="339"/>
      <c r="ITC3" s="339"/>
      <c r="ITD3" s="339"/>
      <c r="ITE3" s="339"/>
      <c r="ITF3" s="339"/>
      <c r="ITG3" s="339"/>
      <c r="ITH3" s="339"/>
      <c r="ITI3" s="339"/>
      <c r="ITJ3" s="339"/>
      <c r="ITK3" s="339"/>
      <c r="ITL3" s="339"/>
      <c r="ITM3" s="339"/>
      <c r="ITN3" s="339"/>
      <c r="ITO3" s="339"/>
      <c r="ITP3" s="339"/>
      <c r="ITQ3" s="339"/>
      <c r="ITR3" s="339"/>
      <c r="ITS3" s="339"/>
      <c r="ITT3" s="339"/>
      <c r="ITU3" s="339"/>
      <c r="ITV3" s="339"/>
      <c r="ITW3" s="339"/>
      <c r="ITX3" s="339"/>
      <c r="ITY3" s="339"/>
      <c r="ITZ3" s="339"/>
      <c r="IUA3" s="339"/>
      <c r="IUB3" s="339"/>
      <c r="IUC3" s="339"/>
      <c r="IUD3" s="339"/>
      <c r="IUE3" s="339"/>
      <c r="IUF3" s="339"/>
      <c r="IUG3" s="339"/>
      <c r="IUH3" s="339"/>
      <c r="IUI3" s="339"/>
      <c r="IUJ3" s="339"/>
      <c r="IUK3" s="339"/>
      <c r="IUL3" s="339"/>
      <c r="IUM3" s="339"/>
      <c r="IUN3" s="339"/>
      <c r="IUO3" s="339"/>
      <c r="IUP3" s="339"/>
      <c r="IUQ3" s="339"/>
      <c r="IUR3" s="339"/>
      <c r="IUS3" s="339"/>
      <c r="IUT3" s="339"/>
      <c r="IUU3" s="339"/>
      <c r="IUV3" s="339"/>
      <c r="IUW3" s="339"/>
      <c r="IUX3" s="339"/>
      <c r="IUY3" s="339"/>
      <c r="IUZ3" s="339"/>
      <c r="IVA3" s="339"/>
      <c r="IVB3" s="339"/>
      <c r="IVC3" s="339"/>
      <c r="IVD3" s="339"/>
      <c r="IVE3" s="339"/>
      <c r="IVF3" s="339"/>
      <c r="IVG3" s="339"/>
      <c r="IVH3" s="339"/>
      <c r="IVI3" s="339"/>
      <c r="IVJ3" s="339"/>
      <c r="IVK3" s="339"/>
      <c r="IVL3" s="339"/>
      <c r="IVM3" s="339"/>
      <c r="IVN3" s="339"/>
      <c r="IVO3" s="339"/>
      <c r="IVP3" s="339"/>
      <c r="IVQ3" s="339"/>
      <c r="IVR3" s="339"/>
      <c r="IVS3" s="339"/>
      <c r="IVT3" s="339"/>
      <c r="IVU3" s="339"/>
      <c r="IVV3" s="339"/>
      <c r="IVW3" s="339"/>
      <c r="IVX3" s="339"/>
      <c r="IVY3" s="339"/>
      <c r="IVZ3" s="339"/>
      <c r="IWA3" s="339"/>
      <c r="IWB3" s="339"/>
      <c r="IWC3" s="339"/>
      <c r="IWD3" s="339"/>
      <c r="IWE3" s="339"/>
      <c r="IWF3" s="339"/>
      <c r="IWG3" s="339"/>
      <c r="IWH3" s="339"/>
      <c r="IWI3" s="339"/>
      <c r="IWJ3" s="339"/>
      <c r="IWK3" s="339"/>
      <c r="IWL3" s="339"/>
      <c r="IWM3" s="339"/>
      <c r="IWN3" s="339"/>
      <c r="IWO3" s="339"/>
      <c r="IWP3" s="339"/>
      <c r="IWQ3" s="339"/>
      <c r="IWR3" s="339"/>
      <c r="IWS3" s="339"/>
      <c r="IWT3" s="339"/>
      <c r="IWU3" s="339"/>
      <c r="IWV3" s="339"/>
      <c r="IWW3" s="339"/>
      <c r="IWX3" s="339"/>
      <c r="IWY3" s="339"/>
      <c r="IWZ3" s="339"/>
      <c r="IXA3" s="339"/>
      <c r="IXB3" s="339"/>
      <c r="IXC3" s="339"/>
      <c r="IXD3" s="339"/>
      <c r="IXE3" s="339"/>
      <c r="IXF3" s="339"/>
      <c r="IXG3" s="339"/>
      <c r="IXH3" s="339"/>
      <c r="IXI3" s="339"/>
      <c r="IXJ3" s="339"/>
      <c r="IXK3" s="339"/>
      <c r="IXL3" s="339"/>
      <c r="IXM3" s="339"/>
      <c r="IXN3" s="339"/>
      <c r="IXO3" s="339"/>
      <c r="IXP3" s="339"/>
      <c r="IXQ3" s="339"/>
      <c r="IXR3" s="339"/>
      <c r="IXS3" s="339"/>
      <c r="IXT3" s="339"/>
      <c r="IXU3" s="339"/>
      <c r="IXV3" s="339"/>
      <c r="IXW3" s="339"/>
      <c r="IXX3" s="339"/>
      <c r="IXY3" s="339"/>
      <c r="IXZ3" s="339"/>
      <c r="IYA3" s="339"/>
      <c r="IYB3" s="339"/>
      <c r="IYC3" s="339"/>
      <c r="IYD3" s="339"/>
      <c r="IYE3" s="339"/>
      <c r="IYF3" s="339"/>
      <c r="IYG3" s="339"/>
      <c r="IYH3" s="339"/>
      <c r="IYI3" s="339"/>
      <c r="IYJ3" s="339"/>
      <c r="IYK3" s="339"/>
      <c r="IYL3" s="339"/>
      <c r="IYM3" s="339"/>
      <c r="IYN3" s="339"/>
      <c r="IYO3" s="339"/>
      <c r="IYP3" s="339"/>
      <c r="IYQ3" s="339"/>
      <c r="IYR3" s="339"/>
      <c r="IYS3" s="339"/>
      <c r="IYT3" s="339"/>
      <c r="IYU3" s="339"/>
      <c r="IYV3" s="339"/>
      <c r="IYW3" s="339"/>
      <c r="IYX3" s="339"/>
      <c r="IYY3" s="339"/>
      <c r="IYZ3" s="339"/>
      <c r="IZA3" s="339"/>
      <c r="IZB3" s="339"/>
      <c r="IZC3" s="339"/>
      <c r="IZD3" s="339"/>
      <c r="IZE3" s="339"/>
      <c r="IZF3" s="339"/>
      <c r="IZG3" s="339"/>
      <c r="IZH3" s="339"/>
      <c r="IZI3" s="339"/>
      <c r="IZJ3" s="339"/>
      <c r="IZK3" s="339"/>
      <c r="IZL3" s="339"/>
      <c r="IZM3" s="339"/>
      <c r="IZN3" s="339"/>
      <c r="IZO3" s="339"/>
      <c r="IZP3" s="339"/>
      <c r="IZQ3" s="339"/>
      <c r="IZR3" s="339"/>
      <c r="IZS3" s="339"/>
      <c r="IZT3" s="339"/>
      <c r="IZU3" s="339"/>
      <c r="IZV3" s="339"/>
      <c r="IZW3" s="339"/>
      <c r="IZX3" s="339"/>
      <c r="IZY3" s="339"/>
      <c r="IZZ3" s="339"/>
      <c r="JAA3" s="339"/>
      <c r="JAB3" s="339"/>
      <c r="JAC3" s="339"/>
      <c r="JAD3" s="339"/>
      <c r="JAE3" s="339"/>
      <c r="JAF3" s="339"/>
      <c r="JAG3" s="339"/>
      <c r="JAH3" s="339"/>
      <c r="JAI3" s="339"/>
      <c r="JAJ3" s="339"/>
      <c r="JAK3" s="339"/>
      <c r="JAL3" s="339"/>
      <c r="JAM3" s="339"/>
      <c r="JAN3" s="339"/>
      <c r="JAO3" s="339"/>
      <c r="JAP3" s="339"/>
      <c r="JAQ3" s="339"/>
      <c r="JAR3" s="339"/>
      <c r="JAS3" s="339"/>
      <c r="JAT3" s="339"/>
      <c r="JAU3" s="339"/>
      <c r="JAV3" s="339"/>
      <c r="JAW3" s="339"/>
      <c r="JAX3" s="339"/>
      <c r="JAY3" s="339"/>
      <c r="JAZ3" s="339"/>
      <c r="JBA3" s="339"/>
      <c r="JBB3" s="339"/>
      <c r="JBC3" s="339"/>
      <c r="JBD3" s="339"/>
      <c r="JBE3" s="339"/>
      <c r="JBF3" s="339"/>
      <c r="JBG3" s="339"/>
      <c r="JBH3" s="339"/>
      <c r="JBI3" s="339"/>
      <c r="JBJ3" s="339"/>
      <c r="JBK3" s="339"/>
      <c r="JBL3" s="339"/>
      <c r="JBM3" s="339"/>
      <c r="JBN3" s="339"/>
      <c r="JBO3" s="339"/>
      <c r="JBP3" s="339"/>
      <c r="JBQ3" s="339"/>
      <c r="JBR3" s="339"/>
      <c r="JBS3" s="339"/>
      <c r="JBT3" s="339"/>
      <c r="JBU3" s="339"/>
      <c r="JBV3" s="339"/>
      <c r="JBW3" s="339"/>
      <c r="JBX3" s="339"/>
      <c r="JBY3" s="339"/>
      <c r="JBZ3" s="339"/>
      <c r="JCA3" s="339"/>
      <c r="JCB3" s="339"/>
      <c r="JCC3" s="339"/>
      <c r="JCD3" s="339"/>
      <c r="JCE3" s="339"/>
      <c r="JCF3" s="339"/>
      <c r="JCG3" s="339"/>
      <c r="JCH3" s="339"/>
      <c r="JCI3" s="339"/>
      <c r="JCJ3" s="339"/>
      <c r="JCK3" s="339"/>
      <c r="JCL3" s="339"/>
      <c r="JCM3" s="339"/>
      <c r="JCN3" s="339"/>
      <c r="JCO3" s="339"/>
      <c r="JCP3" s="339"/>
      <c r="JCQ3" s="339"/>
      <c r="JCR3" s="339"/>
      <c r="JCS3" s="339"/>
      <c r="JCT3" s="339"/>
      <c r="JCU3" s="339"/>
      <c r="JCV3" s="339"/>
      <c r="JCW3" s="339"/>
      <c r="JCX3" s="339"/>
      <c r="JCY3" s="339"/>
      <c r="JCZ3" s="339"/>
      <c r="JDA3" s="339"/>
      <c r="JDB3" s="339"/>
      <c r="JDC3" s="339"/>
      <c r="JDD3" s="339"/>
      <c r="JDE3" s="339"/>
      <c r="JDF3" s="339"/>
      <c r="JDG3" s="339"/>
      <c r="JDH3" s="339"/>
      <c r="JDI3" s="339"/>
      <c r="JDJ3" s="339"/>
      <c r="JDK3" s="339"/>
      <c r="JDL3" s="339"/>
      <c r="JDM3" s="339"/>
      <c r="JDN3" s="339"/>
      <c r="JDO3" s="339"/>
      <c r="JDP3" s="339"/>
      <c r="JDQ3" s="339"/>
      <c r="JDR3" s="339"/>
      <c r="JDS3" s="339"/>
      <c r="JDT3" s="339"/>
      <c r="JDU3" s="339"/>
      <c r="JDV3" s="339"/>
      <c r="JDW3" s="339"/>
      <c r="JDX3" s="339"/>
      <c r="JDY3" s="339"/>
      <c r="JDZ3" s="339"/>
      <c r="JEA3" s="339"/>
      <c r="JEB3" s="339"/>
      <c r="JEC3" s="339"/>
      <c r="JED3" s="339"/>
      <c r="JEE3" s="339"/>
      <c r="JEF3" s="339"/>
      <c r="JEG3" s="339"/>
      <c r="JEH3" s="339"/>
      <c r="JEI3" s="339"/>
      <c r="JEJ3" s="339"/>
      <c r="JEK3" s="339"/>
      <c r="JEL3" s="339"/>
      <c r="JEM3" s="339"/>
      <c r="JEN3" s="339"/>
      <c r="JEO3" s="339"/>
      <c r="JEP3" s="339"/>
      <c r="JEQ3" s="339"/>
      <c r="JER3" s="339"/>
      <c r="JES3" s="339"/>
      <c r="JET3" s="339"/>
      <c r="JEU3" s="339"/>
      <c r="JEV3" s="339"/>
      <c r="JEW3" s="339"/>
      <c r="JEX3" s="339"/>
      <c r="JEY3" s="339"/>
      <c r="JEZ3" s="339"/>
      <c r="JFA3" s="339"/>
      <c r="JFB3" s="339"/>
      <c r="JFC3" s="339"/>
      <c r="JFD3" s="339"/>
      <c r="JFE3" s="339"/>
      <c r="JFF3" s="339"/>
      <c r="JFG3" s="339"/>
      <c r="JFH3" s="339"/>
      <c r="JFI3" s="339"/>
      <c r="JFJ3" s="339"/>
      <c r="JFK3" s="339"/>
      <c r="JFL3" s="339"/>
      <c r="JFM3" s="339"/>
      <c r="JFN3" s="339"/>
      <c r="JFO3" s="339"/>
      <c r="JFP3" s="339"/>
      <c r="JFQ3" s="339"/>
      <c r="JFR3" s="339"/>
      <c r="JFS3" s="339"/>
      <c r="JFT3" s="339"/>
      <c r="JFU3" s="339"/>
      <c r="JFV3" s="339"/>
      <c r="JFW3" s="339"/>
      <c r="JFX3" s="339"/>
      <c r="JFY3" s="339"/>
      <c r="JFZ3" s="339"/>
      <c r="JGA3" s="339"/>
      <c r="JGB3" s="339"/>
      <c r="JGC3" s="339"/>
      <c r="JGD3" s="339"/>
      <c r="JGE3" s="339"/>
      <c r="JGF3" s="339"/>
      <c r="JGG3" s="339"/>
      <c r="JGH3" s="339"/>
      <c r="JGI3" s="339"/>
      <c r="JGJ3" s="339"/>
      <c r="JGK3" s="339"/>
      <c r="JGL3" s="339"/>
      <c r="JGM3" s="339"/>
      <c r="JGN3" s="339"/>
      <c r="JGO3" s="339"/>
      <c r="JGP3" s="339"/>
      <c r="JGQ3" s="339"/>
      <c r="JGR3" s="339"/>
      <c r="JGS3" s="339"/>
      <c r="JGT3" s="339"/>
      <c r="JGU3" s="339"/>
      <c r="JGV3" s="339"/>
      <c r="JGW3" s="339"/>
      <c r="JGX3" s="339"/>
      <c r="JGY3" s="339"/>
      <c r="JGZ3" s="339"/>
      <c r="JHA3" s="339"/>
      <c r="JHB3" s="339"/>
      <c r="JHC3" s="339"/>
      <c r="JHD3" s="339"/>
      <c r="JHE3" s="339"/>
      <c r="JHF3" s="339"/>
      <c r="JHG3" s="339"/>
      <c r="JHH3" s="339"/>
      <c r="JHI3" s="339"/>
      <c r="JHJ3" s="339"/>
      <c r="JHK3" s="339"/>
      <c r="JHL3" s="339"/>
      <c r="JHM3" s="339"/>
      <c r="JHN3" s="339"/>
      <c r="JHO3" s="339"/>
      <c r="JHP3" s="339"/>
      <c r="JHQ3" s="339"/>
      <c r="JHR3" s="339"/>
      <c r="JHS3" s="339"/>
      <c r="JHT3" s="339"/>
      <c r="JHU3" s="339"/>
      <c r="JHV3" s="339"/>
      <c r="JHW3" s="339"/>
      <c r="JHX3" s="339"/>
      <c r="JHY3" s="339"/>
      <c r="JHZ3" s="339"/>
      <c r="JIA3" s="339"/>
      <c r="JIB3" s="339"/>
      <c r="JIC3" s="339"/>
      <c r="JID3" s="339"/>
      <c r="JIE3" s="339"/>
      <c r="JIF3" s="339"/>
      <c r="JIG3" s="339"/>
      <c r="JIH3" s="339"/>
      <c r="JII3" s="339"/>
      <c r="JIJ3" s="339"/>
      <c r="JIK3" s="339"/>
      <c r="JIL3" s="339"/>
      <c r="JIM3" s="339"/>
      <c r="JIN3" s="339"/>
      <c r="JIO3" s="339"/>
      <c r="JIP3" s="339"/>
      <c r="JIQ3" s="339"/>
      <c r="JIR3" s="339"/>
      <c r="JIS3" s="339"/>
      <c r="JIT3" s="339"/>
      <c r="JIU3" s="339"/>
      <c r="JIV3" s="339"/>
      <c r="JIW3" s="339"/>
      <c r="JIX3" s="339"/>
      <c r="JIY3" s="339"/>
      <c r="JIZ3" s="339"/>
      <c r="JJA3" s="339"/>
      <c r="JJB3" s="339"/>
      <c r="JJC3" s="339"/>
      <c r="JJD3" s="339"/>
      <c r="JJE3" s="339"/>
      <c r="JJF3" s="339"/>
      <c r="JJG3" s="339"/>
      <c r="JJH3" s="339"/>
      <c r="JJI3" s="339"/>
      <c r="JJJ3" s="339"/>
      <c r="JJK3" s="339"/>
      <c r="JJL3" s="339"/>
      <c r="JJM3" s="339"/>
      <c r="JJN3" s="339"/>
      <c r="JJO3" s="339"/>
      <c r="JJP3" s="339"/>
      <c r="JJQ3" s="339"/>
      <c r="JJR3" s="339"/>
      <c r="JJS3" s="339"/>
      <c r="JJT3" s="339"/>
      <c r="JJU3" s="339"/>
      <c r="JJV3" s="339"/>
      <c r="JJW3" s="339"/>
      <c r="JJX3" s="339"/>
      <c r="JJY3" s="339"/>
      <c r="JJZ3" s="339"/>
      <c r="JKA3" s="339"/>
      <c r="JKB3" s="339"/>
      <c r="JKC3" s="339"/>
      <c r="JKD3" s="339"/>
      <c r="JKE3" s="339"/>
      <c r="JKF3" s="339"/>
      <c r="JKG3" s="339"/>
      <c r="JKH3" s="339"/>
      <c r="JKI3" s="339"/>
      <c r="JKJ3" s="339"/>
      <c r="JKK3" s="339"/>
      <c r="JKL3" s="339"/>
      <c r="JKM3" s="339"/>
      <c r="JKN3" s="339"/>
      <c r="JKO3" s="339"/>
      <c r="JKP3" s="339"/>
      <c r="JKQ3" s="339"/>
      <c r="JKR3" s="339"/>
      <c r="JKS3" s="339"/>
      <c r="JKT3" s="339"/>
      <c r="JKU3" s="339"/>
      <c r="JKV3" s="339"/>
      <c r="JKW3" s="339"/>
      <c r="JKX3" s="339"/>
      <c r="JKY3" s="339"/>
      <c r="JKZ3" s="339"/>
      <c r="JLA3" s="339"/>
      <c r="JLB3" s="339"/>
      <c r="JLC3" s="339"/>
      <c r="JLD3" s="339"/>
      <c r="JLE3" s="339"/>
      <c r="JLF3" s="339"/>
      <c r="JLG3" s="339"/>
      <c r="JLH3" s="339"/>
      <c r="JLI3" s="339"/>
      <c r="JLJ3" s="339"/>
      <c r="JLK3" s="339"/>
      <c r="JLL3" s="339"/>
      <c r="JLM3" s="339"/>
      <c r="JLN3" s="339"/>
      <c r="JLO3" s="339"/>
      <c r="JLP3" s="339"/>
      <c r="JLQ3" s="339"/>
      <c r="JLR3" s="339"/>
      <c r="JLS3" s="339"/>
      <c r="JLT3" s="339"/>
      <c r="JLU3" s="339"/>
      <c r="JLV3" s="339"/>
      <c r="JLW3" s="339"/>
      <c r="JLX3" s="339"/>
      <c r="JLY3" s="339"/>
      <c r="JLZ3" s="339"/>
      <c r="JMA3" s="339"/>
      <c r="JMB3" s="339"/>
      <c r="JMC3" s="339"/>
      <c r="JMD3" s="339"/>
      <c r="JME3" s="339"/>
      <c r="JMF3" s="339"/>
      <c r="JMG3" s="339"/>
      <c r="JMH3" s="339"/>
      <c r="JMI3" s="339"/>
      <c r="JMJ3" s="339"/>
      <c r="JMK3" s="339"/>
      <c r="JML3" s="339"/>
      <c r="JMM3" s="339"/>
      <c r="JMN3" s="339"/>
      <c r="JMO3" s="339"/>
      <c r="JMP3" s="339"/>
      <c r="JMQ3" s="339"/>
      <c r="JMR3" s="339"/>
      <c r="JMS3" s="339"/>
      <c r="JMT3" s="339"/>
      <c r="JMU3" s="339"/>
      <c r="JMV3" s="339"/>
      <c r="JMW3" s="339"/>
      <c r="JMX3" s="339"/>
      <c r="JMY3" s="339"/>
      <c r="JMZ3" s="339"/>
      <c r="JNA3" s="339"/>
      <c r="JNB3" s="339"/>
      <c r="JNC3" s="339"/>
      <c r="JND3" s="339"/>
      <c r="JNE3" s="339"/>
      <c r="JNF3" s="339"/>
      <c r="JNG3" s="339"/>
      <c r="JNH3" s="339"/>
      <c r="JNI3" s="339"/>
      <c r="JNJ3" s="339"/>
      <c r="JNK3" s="339"/>
      <c r="JNL3" s="339"/>
      <c r="JNM3" s="339"/>
      <c r="JNN3" s="339"/>
      <c r="JNO3" s="339"/>
      <c r="JNP3" s="339"/>
      <c r="JNQ3" s="339"/>
      <c r="JNR3" s="339"/>
      <c r="JNS3" s="339"/>
      <c r="JNT3" s="339"/>
      <c r="JNU3" s="339"/>
      <c r="JNV3" s="339"/>
      <c r="JNW3" s="339"/>
      <c r="JNX3" s="339"/>
      <c r="JNY3" s="339"/>
      <c r="JNZ3" s="339"/>
      <c r="JOA3" s="339"/>
      <c r="JOB3" s="339"/>
      <c r="JOC3" s="339"/>
      <c r="JOD3" s="339"/>
      <c r="JOE3" s="339"/>
      <c r="JOF3" s="339"/>
      <c r="JOG3" s="339"/>
      <c r="JOH3" s="339"/>
      <c r="JOI3" s="339"/>
      <c r="JOJ3" s="339"/>
      <c r="JOK3" s="339"/>
      <c r="JOL3" s="339"/>
      <c r="JOM3" s="339"/>
      <c r="JON3" s="339"/>
      <c r="JOO3" s="339"/>
      <c r="JOP3" s="339"/>
      <c r="JOQ3" s="339"/>
      <c r="JOR3" s="339"/>
      <c r="JOS3" s="339"/>
      <c r="JOT3" s="339"/>
      <c r="JOU3" s="339"/>
      <c r="JOV3" s="339"/>
      <c r="JOW3" s="339"/>
      <c r="JOX3" s="339"/>
      <c r="JOY3" s="339"/>
      <c r="JOZ3" s="339"/>
      <c r="JPA3" s="339"/>
      <c r="JPB3" s="339"/>
      <c r="JPC3" s="339"/>
      <c r="JPD3" s="339"/>
      <c r="JPE3" s="339"/>
      <c r="JPF3" s="339"/>
      <c r="JPG3" s="339"/>
      <c r="JPH3" s="339"/>
      <c r="JPI3" s="339"/>
      <c r="JPJ3" s="339"/>
      <c r="JPK3" s="339"/>
      <c r="JPL3" s="339"/>
      <c r="JPM3" s="339"/>
      <c r="JPN3" s="339"/>
      <c r="JPO3" s="339"/>
      <c r="JPP3" s="339"/>
      <c r="JPQ3" s="339"/>
      <c r="JPR3" s="339"/>
      <c r="JPS3" s="339"/>
      <c r="JPT3" s="339"/>
      <c r="JPU3" s="339"/>
      <c r="JPV3" s="339"/>
      <c r="JPW3" s="339"/>
      <c r="JPX3" s="339"/>
      <c r="JPY3" s="339"/>
      <c r="JPZ3" s="339"/>
      <c r="JQA3" s="339"/>
      <c r="JQB3" s="339"/>
      <c r="JQC3" s="339"/>
      <c r="JQD3" s="339"/>
      <c r="JQE3" s="339"/>
      <c r="JQF3" s="339"/>
      <c r="JQG3" s="339"/>
      <c r="JQH3" s="339"/>
      <c r="JQI3" s="339"/>
      <c r="JQJ3" s="339"/>
      <c r="JQK3" s="339"/>
      <c r="JQL3" s="339"/>
      <c r="JQM3" s="339"/>
      <c r="JQN3" s="339"/>
      <c r="JQO3" s="339"/>
      <c r="JQP3" s="339"/>
      <c r="JQQ3" s="339"/>
      <c r="JQR3" s="339"/>
      <c r="JQS3" s="339"/>
      <c r="JQT3" s="339"/>
      <c r="JQU3" s="339"/>
      <c r="JQV3" s="339"/>
      <c r="JQW3" s="339"/>
      <c r="JQX3" s="339"/>
      <c r="JQY3" s="339"/>
      <c r="JQZ3" s="339"/>
      <c r="JRA3" s="339"/>
      <c r="JRB3" s="339"/>
      <c r="JRC3" s="339"/>
      <c r="JRD3" s="339"/>
      <c r="JRE3" s="339"/>
      <c r="JRF3" s="339"/>
      <c r="JRG3" s="339"/>
      <c r="JRH3" s="339"/>
      <c r="JRI3" s="339"/>
      <c r="JRJ3" s="339"/>
      <c r="JRK3" s="339"/>
      <c r="JRL3" s="339"/>
      <c r="JRM3" s="339"/>
      <c r="JRN3" s="339"/>
      <c r="JRO3" s="339"/>
      <c r="JRP3" s="339"/>
      <c r="JRQ3" s="339"/>
      <c r="JRR3" s="339"/>
      <c r="JRS3" s="339"/>
      <c r="JRT3" s="339"/>
      <c r="JRU3" s="339"/>
      <c r="JRV3" s="339"/>
      <c r="JRW3" s="339"/>
      <c r="JRX3" s="339"/>
      <c r="JRY3" s="339"/>
      <c r="JRZ3" s="339"/>
      <c r="JSA3" s="339"/>
      <c r="JSB3" s="339"/>
      <c r="JSC3" s="339"/>
      <c r="JSD3" s="339"/>
      <c r="JSE3" s="339"/>
      <c r="JSF3" s="339"/>
      <c r="JSG3" s="339"/>
      <c r="JSH3" s="339"/>
      <c r="JSI3" s="339"/>
      <c r="JSJ3" s="339"/>
      <c r="JSK3" s="339"/>
      <c r="JSL3" s="339"/>
      <c r="JSM3" s="339"/>
      <c r="JSN3" s="339"/>
      <c r="JSO3" s="339"/>
      <c r="JSP3" s="339"/>
      <c r="JSQ3" s="339"/>
      <c r="JSR3" s="339"/>
      <c r="JSS3" s="339"/>
      <c r="JST3" s="339"/>
      <c r="JSU3" s="339"/>
      <c r="JSV3" s="339"/>
      <c r="JSW3" s="339"/>
      <c r="JSX3" s="339"/>
      <c r="JSY3" s="339"/>
      <c r="JSZ3" s="339"/>
      <c r="JTA3" s="339"/>
      <c r="JTB3" s="339"/>
      <c r="JTC3" s="339"/>
      <c r="JTD3" s="339"/>
      <c r="JTE3" s="339"/>
      <c r="JTF3" s="339"/>
      <c r="JTG3" s="339"/>
      <c r="JTH3" s="339"/>
      <c r="JTI3" s="339"/>
      <c r="JTJ3" s="339"/>
      <c r="JTK3" s="339"/>
      <c r="JTL3" s="339"/>
      <c r="JTM3" s="339"/>
      <c r="JTN3" s="339"/>
      <c r="JTO3" s="339"/>
      <c r="JTP3" s="339"/>
      <c r="JTQ3" s="339"/>
      <c r="JTR3" s="339"/>
      <c r="JTS3" s="339"/>
      <c r="JTT3" s="339"/>
      <c r="JTU3" s="339"/>
      <c r="JTV3" s="339"/>
      <c r="JTW3" s="339"/>
      <c r="JTX3" s="339"/>
      <c r="JTY3" s="339"/>
      <c r="JTZ3" s="339"/>
      <c r="JUA3" s="339"/>
      <c r="JUB3" s="339"/>
      <c r="JUC3" s="339"/>
      <c r="JUD3" s="339"/>
      <c r="JUE3" s="339"/>
      <c r="JUF3" s="339"/>
      <c r="JUG3" s="339"/>
      <c r="JUH3" s="339"/>
      <c r="JUI3" s="339"/>
      <c r="JUJ3" s="339"/>
      <c r="JUK3" s="339"/>
      <c r="JUL3" s="339"/>
      <c r="JUM3" s="339"/>
      <c r="JUN3" s="339"/>
      <c r="JUO3" s="339"/>
      <c r="JUP3" s="339"/>
      <c r="JUQ3" s="339"/>
      <c r="JUR3" s="339"/>
      <c r="JUS3" s="339"/>
      <c r="JUT3" s="339"/>
      <c r="JUU3" s="339"/>
      <c r="JUV3" s="339"/>
      <c r="JUW3" s="339"/>
      <c r="JUX3" s="339"/>
      <c r="JUY3" s="339"/>
      <c r="JUZ3" s="339"/>
      <c r="JVA3" s="339"/>
      <c r="JVB3" s="339"/>
      <c r="JVC3" s="339"/>
      <c r="JVD3" s="339"/>
      <c r="JVE3" s="339"/>
      <c r="JVF3" s="339"/>
      <c r="JVG3" s="339"/>
      <c r="JVH3" s="339"/>
      <c r="JVI3" s="339"/>
      <c r="JVJ3" s="339"/>
      <c r="JVK3" s="339"/>
      <c r="JVL3" s="339"/>
      <c r="JVM3" s="339"/>
      <c r="JVN3" s="339"/>
      <c r="JVO3" s="339"/>
      <c r="JVP3" s="339"/>
      <c r="JVQ3" s="339"/>
      <c r="JVR3" s="339"/>
      <c r="JVS3" s="339"/>
      <c r="JVT3" s="339"/>
      <c r="JVU3" s="339"/>
      <c r="JVV3" s="339"/>
      <c r="JVW3" s="339"/>
      <c r="JVX3" s="339"/>
      <c r="JVY3" s="339"/>
      <c r="JVZ3" s="339"/>
      <c r="JWA3" s="339"/>
      <c r="JWB3" s="339"/>
      <c r="JWC3" s="339"/>
      <c r="JWD3" s="339"/>
      <c r="JWE3" s="339"/>
      <c r="JWF3" s="339"/>
      <c r="JWG3" s="339"/>
      <c r="JWH3" s="339"/>
      <c r="JWI3" s="339"/>
      <c r="JWJ3" s="339"/>
      <c r="JWK3" s="339"/>
      <c r="JWL3" s="339"/>
      <c r="JWM3" s="339"/>
      <c r="JWN3" s="339"/>
      <c r="JWO3" s="339"/>
      <c r="JWP3" s="339"/>
      <c r="JWQ3" s="339"/>
      <c r="JWR3" s="339"/>
      <c r="JWS3" s="339"/>
      <c r="JWT3" s="339"/>
      <c r="JWU3" s="339"/>
      <c r="JWV3" s="339"/>
      <c r="JWW3" s="339"/>
      <c r="JWX3" s="339"/>
      <c r="JWY3" s="339"/>
      <c r="JWZ3" s="339"/>
      <c r="JXA3" s="339"/>
      <c r="JXB3" s="339"/>
      <c r="JXC3" s="339"/>
      <c r="JXD3" s="339"/>
      <c r="JXE3" s="339"/>
      <c r="JXF3" s="339"/>
      <c r="JXG3" s="339"/>
      <c r="JXH3" s="339"/>
      <c r="JXI3" s="339"/>
      <c r="JXJ3" s="339"/>
      <c r="JXK3" s="339"/>
      <c r="JXL3" s="339"/>
      <c r="JXM3" s="339"/>
      <c r="JXN3" s="339"/>
      <c r="JXO3" s="339"/>
      <c r="JXP3" s="339"/>
      <c r="JXQ3" s="339"/>
      <c r="JXR3" s="339"/>
      <c r="JXS3" s="339"/>
      <c r="JXT3" s="339"/>
      <c r="JXU3" s="339"/>
      <c r="JXV3" s="339"/>
      <c r="JXW3" s="339"/>
      <c r="JXX3" s="339"/>
      <c r="JXY3" s="339"/>
      <c r="JXZ3" s="339"/>
      <c r="JYA3" s="339"/>
      <c r="JYB3" s="339"/>
      <c r="JYC3" s="339"/>
      <c r="JYD3" s="339"/>
      <c r="JYE3" s="339"/>
      <c r="JYF3" s="339"/>
      <c r="JYG3" s="339"/>
      <c r="JYH3" s="339"/>
      <c r="JYI3" s="339"/>
      <c r="JYJ3" s="339"/>
      <c r="JYK3" s="339"/>
      <c r="JYL3" s="339"/>
      <c r="JYM3" s="339"/>
      <c r="JYN3" s="339"/>
      <c r="JYO3" s="339"/>
      <c r="JYP3" s="339"/>
      <c r="JYQ3" s="339"/>
      <c r="JYR3" s="339"/>
      <c r="JYS3" s="339"/>
      <c r="JYT3" s="339"/>
      <c r="JYU3" s="339"/>
      <c r="JYV3" s="339"/>
      <c r="JYW3" s="339"/>
      <c r="JYX3" s="339"/>
      <c r="JYY3" s="339"/>
      <c r="JYZ3" s="339"/>
      <c r="JZA3" s="339"/>
      <c r="JZB3" s="339"/>
      <c r="JZC3" s="339"/>
      <c r="JZD3" s="339"/>
      <c r="JZE3" s="339"/>
      <c r="JZF3" s="339"/>
      <c r="JZG3" s="339"/>
      <c r="JZH3" s="339"/>
      <c r="JZI3" s="339"/>
      <c r="JZJ3" s="339"/>
      <c r="JZK3" s="339"/>
      <c r="JZL3" s="339"/>
      <c r="JZM3" s="339"/>
      <c r="JZN3" s="339"/>
      <c r="JZO3" s="339"/>
      <c r="JZP3" s="339"/>
      <c r="JZQ3" s="339"/>
      <c r="JZR3" s="339"/>
      <c r="JZS3" s="339"/>
      <c r="JZT3" s="339"/>
      <c r="JZU3" s="339"/>
      <c r="JZV3" s="339"/>
      <c r="JZW3" s="339"/>
      <c r="JZX3" s="339"/>
      <c r="JZY3" s="339"/>
      <c r="JZZ3" s="339"/>
      <c r="KAA3" s="339"/>
      <c r="KAB3" s="339"/>
      <c r="KAC3" s="339"/>
      <c r="KAD3" s="339"/>
      <c r="KAE3" s="339"/>
      <c r="KAF3" s="339"/>
      <c r="KAG3" s="339"/>
      <c r="KAH3" s="339"/>
      <c r="KAI3" s="339"/>
      <c r="KAJ3" s="339"/>
      <c r="KAK3" s="339"/>
      <c r="KAL3" s="339"/>
      <c r="KAM3" s="339"/>
      <c r="KAN3" s="339"/>
      <c r="KAO3" s="339"/>
      <c r="KAP3" s="339"/>
      <c r="KAQ3" s="339"/>
      <c r="KAR3" s="339"/>
      <c r="KAS3" s="339"/>
      <c r="KAT3" s="339"/>
      <c r="KAU3" s="339"/>
      <c r="KAV3" s="339"/>
      <c r="KAW3" s="339"/>
      <c r="KAX3" s="339"/>
      <c r="KAY3" s="339"/>
      <c r="KAZ3" s="339"/>
      <c r="KBA3" s="339"/>
      <c r="KBB3" s="339"/>
      <c r="KBC3" s="339"/>
      <c r="KBD3" s="339"/>
      <c r="KBE3" s="339"/>
      <c r="KBF3" s="339"/>
      <c r="KBG3" s="339"/>
      <c r="KBH3" s="339"/>
      <c r="KBI3" s="339"/>
      <c r="KBJ3" s="339"/>
      <c r="KBK3" s="339"/>
      <c r="KBL3" s="339"/>
      <c r="KBM3" s="339"/>
      <c r="KBN3" s="339"/>
      <c r="KBO3" s="339"/>
      <c r="KBP3" s="339"/>
      <c r="KBQ3" s="339"/>
      <c r="KBR3" s="339"/>
      <c r="KBS3" s="339"/>
      <c r="KBT3" s="339"/>
      <c r="KBU3" s="339"/>
      <c r="KBV3" s="339"/>
      <c r="KBW3" s="339"/>
      <c r="KBX3" s="339"/>
      <c r="KBY3" s="339"/>
      <c r="KBZ3" s="339"/>
      <c r="KCA3" s="339"/>
      <c r="KCB3" s="339"/>
      <c r="KCC3" s="339"/>
      <c r="KCD3" s="339"/>
      <c r="KCE3" s="339"/>
      <c r="KCF3" s="339"/>
      <c r="KCG3" s="339"/>
      <c r="KCH3" s="339"/>
      <c r="KCI3" s="339"/>
      <c r="KCJ3" s="339"/>
      <c r="KCK3" s="339"/>
      <c r="KCL3" s="339"/>
      <c r="KCM3" s="339"/>
      <c r="KCN3" s="339"/>
      <c r="KCO3" s="339"/>
      <c r="KCP3" s="339"/>
      <c r="KCQ3" s="339"/>
      <c r="KCR3" s="339"/>
      <c r="KCS3" s="339"/>
      <c r="KCT3" s="339"/>
      <c r="KCU3" s="339"/>
      <c r="KCV3" s="339"/>
      <c r="KCW3" s="339"/>
      <c r="KCX3" s="339"/>
      <c r="KCY3" s="339"/>
      <c r="KCZ3" s="339"/>
      <c r="KDA3" s="339"/>
      <c r="KDB3" s="339"/>
      <c r="KDC3" s="339"/>
      <c r="KDD3" s="339"/>
      <c r="KDE3" s="339"/>
      <c r="KDF3" s="339"/>
      <c r="KDG3" s="339"/>
      <c r="KDH3" s="339"/>
      <c r="KDI3" s="339"/>
      <c r="KDJ3" s="339"/>
      <c r="KDK3" s="339"/>
      <c r="KDL3" s="339"/>
      <c r="KDM3" s="339"/>
      <c r="KDN3" s="339"/>
      <c r="KDO3" s="339"/>
      <c r="KDP3" s="339"/>
      <c r="KDQ3" s="339"/>
      <c r="KDR3" s="339"/>
      <c r="KDS3" s="339"/>
      <c r="KDT3" s="339"/>
      <c r="KDU3" s="339"/>
      <c r="KDV3" s="339"/>
      <c r="KDW3" s="339"/>
      <c r="KDX3" s="339"/>
      <c r="KDY3" s="339"/>
      <c r="KDZ3" s="339"/>
      <c r="KEA3" s="339"/>
      <c r="KEB3" s="339"/>
      <c r="KEC3" s="339"/>
      <c r="KED3" s="339"/>
      <c r="KEE3" s="339"/>
      <c r="KEF3" s="339"/>
      <c r="KEG3" s="339"/>
      <c r="KEH3" s="339"/>
      <c r="KEI3" s="339"/>
      <c r="KEJ3" s="339"/>
      <c r="KEK3" s="339"/>
      <c r="KEL3" s="339"/>
      <c r="KEM3" s="339"/>
      <c r="KEN3" s="339"/>
      <c r="KEO3" s="339"/>
      <c r="KEP3" s="339"/>
      <c r="KEQ3" s="339"/>
      <c r="KER3" s="339"/>
      <c r="KES3" s="339"/>
      <c r="KET3" s="339"/>
      <c r="KEU3" s="339"/>
      <c r="KEV3" s="339"/>
      <c r="KEW3" s="339"/>
      <c r="KEX3" s="339"/>
      <c r="KEY3" s="339"/>
      <c r="KEZ3" s="339"/>
      <c r="KFA3" s="339"/>
      <c r="KFB3" s="339"/>
      <c r="KFC3" s="339"/>
      <c r="KFD3" s="339"/>
      <c r="KFE3" s="339"/>
      <c r="KFF3" s="339"/>
      <c r="KFG3" s="339"/>
      <c r="KFH3" s="339"/>
      <c r="KFI3" s="339"/>
      <c r="KFJ3" s="339"/>
      <c r="KFK3" s="339"/>
      <c r="KFL3" s="339"/>
      <c r="KFM3" s="339"/>
      <c r="KFN3" s="339"/>
      <c r="KFO3" s="339"/>
      <c r="KFP3" s="339"/>
      <c r="KFQ3" s="339"/>
      <c r="KFR3" s="339"/>
      <c r="KFS3" s="339"/>
      <c r="KFT3" s="339"/>
      <c r="KFU3" s="339"/>
      <c r="KFV3" s="339"/>
      <c r="KFW3" s="339"/>
      <c r="KFX3" s="339"/>
      <c r="KFY3" s="339"/>
      <c r="KFZ3" s="339"/>
      <c r="KGA3" s="339"/>
      <c r="KGB3" s="339"/>
      <c r="KGC3" s="339"/>
      <c r="KGD3" s="339"/>
      <c r="KGE3" s="339"/>
      <c r="KGF3" s="339"/>
      <c r="KGG3" s="339"/>
      <c r="KGH3" s="339"/>
      <c r="KGI3" s="339"/>
      <c r="KGJ3" s="339"/>
      <c r="KGK3" s="339"/>
      <c r="KGL3" s="339"/>
      <c r="KGM3" s="339"/>
      <c r="KGN3" s="339"/>
      <c r="KGO3" s="339"/>
      <c r="KGP3" s="339"/>
      <c r="KGQ3" s="339"/>
      <c r="KGR3" s="339"/>
      <c r="KGS3" s="339"/>
      <c r="KGT3" s="339"/>
      <c r="KGU3" s="339"/>
      <c r="KGV3" s="339"/>
      <c r="KGW3" s="339"/>
      <c r="KGX3" s="339"/>
      <c r="KGY3" s="339"/>
      <c r="KGZ3" s="339"/>
      <c r="KHA3" s="339"/>
      <c r="KHB3" s="339"/>
      <c r="KHC3" s="339"/>
      <c r="KHD3" s="339"/>
      <c r="KHE3" s="339"/>
      <c r="KHF3" s="339"/>
      <c r="KHG3" s="339"/>
      <c r="KHH3" s="339"/>
      <c r="KHI3" s="339"/>
      <c r="KHJ3" s="339"/>
      <c r="KHK3" s="339"/>
      <c r="KHL3" s="339"/>
      <c r="KHM3" s="339"/>
      <c r="KHN3" s="339"/>
      <c r="KHO3" s="339"/>
      <c r="KHP3" s="339"/>
      <c r="KHQ3" s="339"/>
      <c r="KHR3" s="339"/>
      <c r="KHS3" s="339"/>
      <c r="KHT3" s="339"/>
      <c r="KHU3" s="339"/>
      <c r="KHV3" s="339"/>
      <c r="KHW3" s="339"/>
      <c r="KHX3" s="339"/>
      <c r="KHY3" s="339"/>
      <c r="KHZ3" s="339"/>
      <c r="KIA3" s="339"/>
      <c r="KIB3" s="339"/>
      <c r="KIC3" s="339"/>
      <c r="KID3" s="339"/>
      <c r="KIE3" s="339"/>
      <c r="KIF3" s="339"/>
      <c r="KIG3" s="339"/>
      <c r="KIH3" s="339"/>
      <c r="KII3" s="339"/>
      <c r="KIJ3" s="339"/>
      <c r="KIK3" s="339"/>
      <c r="KIL3" s="339"/>
      <c r="KIM3" s="339"/>
      <c r="KIN3" s="339"/>
      <c r="KIO3" s="339"/>
      <c r="KIP3" s="339"/>
      <c r="KIQ3" s="339"/>
      <c r="KIR3" s="339"/>
      <c r="KIS3" s="339"/>
      <c r="KIT3" s="339"/>
      <c r="KIU3" s="339"/>
      <c r="KIV3" s="339"/>
      <c r="KIW3" s="339"/>
      <c r="KIX3" s="339"/>
      <c r="KIY3" s="339"/>
      <c r="KIZ3" s="339"/>
      <c r="KJA3" s="339"/>
      <c r="KJB3" s="339"/>
      <c r="KJC3" s="339"/>
      <c r="KJD3" s="339"/>
      <c r="KJE3" s="339"/>
      <c r="KJF3" s="339"/>
      <c r="KJG3" s="339"/>
      <c r="KJH3" s="339"/>
      <c r="KJI3" s="339"/>
      <c r="KJJ3" s="339"/>
      <c r="KJK3" s="339"/>
      <c r="KJL3" s="339"/>
      <c r="KJM3" s="339"/>
      <c r="KJN3" s="339"/>
      <c r="KJO3" s="339"/>
      <c r="KJP3" s="339"/>
      <c r="KJQ3" s="339"/>
      <c r="KJR3" s="339"/>
      <c r="KJS3" s="339"/>
      <c r="KJT3" s="339"/>
      <c r="KJU3" s="339"/>
      <c r="KJV3" s="339"/>
      <c r="KJW3" s="339"/>
      <c r="KJX3" s="339"/>
      <c r="KJY3" s="339"/>
      <c r="KJZ3" s="339"/>
      <c r="KKA3" s="339"/>
      <c r="KKB3" s="339"/>
      <c r="KKC3" s="339"/>
      <c r="KKD3" s="339"/>
      <c r="KKE3" s="339"/>
      <c r="KKF3" s="339"/>
      <c r="KKG3" s="339"/>
      <c r="KKH3" s="339"/>
      <c r="KKI3" s="339"/>
      <c r="KKJ3" s="339"/>
      <c r="KKK3" s="339"/>
      <c r="KKL3" s="339"/>
      <c r="KKM3" s="339"/>
      <c r="KKN3" s="339"/>
      <c r="KKO3" s="339"/>
      <c r="KKP3" s="339"/>
      <c r="KKQ3" s="339"/>
      <c r="KKR3" s="339"/>
      <c r="KKS3" s="339"/>
      <c r="KKT3" s="339"/>
      <c r="KKU3" s="339"/>
      <c r="KKV3" s="339"/>
      <c r="KKW3" s="339"/>
      <c r="KKX3" s="339"/>
      <c r="KKY3" s="339"/>
      <c r="KKZ3" s="339"/>
      <c r="KLA3" s="339"/>
      <c r="KLB3" s="339"/>
      <c r="KLC3" s="339"/>
      <c r="KLD3" s="339"/>
      <c r="KLE3" s="339"/>
      <c r="KLF3" s="339"/>
      <c r="KLG3" s="339"/>
      <c r="KLH3" s="339"/>
      <c r="KLI3" s="339"/>
      <c r="KLJ3" s="339"/>
      <c r="KLK3" s="339"/>
      <c r="KLL3" s="339"/>
      <c r="KLM3" s="339"/>
      <c r="KLN3" s="339"/>
      <c r="KLO3" s="339"/>
      <c r="KLP3" s="339"/>
      <c r="KLQ3" s="339"/>
      <c r="KLR3" s="339"/>
      <c r="KLS3" s="339"/>
      <c r="KLT3" s="339"/>
      <c r="KLU3" s="339"/>
      <c r="KLV3" s="339"/>
      <c r="KLW3" s="339"/>
      <c r="KLX3" s="339"/>
      <c r="KLY3" s="339"/>
      <c r="KLZ3" s="339"/>
      <c r="KMA3" s="339"/>
      <c r="KMB3" s="339"/>
      <c r="KMC3" s="339"/>
      <c r="KMD3" s="339"/>
      <c r="KME3" s="339"/>
      <c r="KMF3" s="339"/>
      <c r="KMG3" s="339"/>
      <c r="KMH3" s="339"/>
      <c r="KMI3" s="339"/>
      <c r="KMJ3" s="339"/>
      <c r="KMK3" s="339"/>
      <c r="KML3" s="339"/>
      <c r="KMM3" s="339"/>
      <c r="KMN3" s="339"/>
      <c r="KMO3" s="339"/>
      <c r="KMP3" s="339"/>
      <c r="KMQ3" s="339"/>
      <c r="KMR3" s="339"/>
      <c r="KMS3" s="339"/>
      <c r="KMT3" s="339"/>
      <c r="KMU3" s="339"/>
      <c r="KMV3" s="339"/>
      <c r="KMW3" s="339"/>
      <c r="KMX3" s="339"/>
      <c r="KMY3" s="339"/>
      <c r="KMZ3" s="339"/>
      <c r="KNA3" s="339"/>
      <c r="KNB3" s="339"/>
      <c r="KNC3" s="339"/>
      <c r="KND3" s="339"/>
      <c r="KNE3" s="339"/>
      <c r="KNF3" s="339"/>
      <c r="KNG3" s="339"/>
      <c r="KNH3" s="339"/>
      <c r="KNI3" s="339"/>
      <c r="KNJ3" s="339"/>
      <c r="KNK3" s="339"/>
      <c r="KNL3" s="339"/>
      <c r="KNM3" s="339"/>
      <c r="KNN3" s="339"/>
      <c r="KNO3" s="339"/>
      <c r="KNP3" s="339"/>
      <c r="KNQ3" s="339"/>
      <c r="KNR3" s="339"/>
      <c r="KNS3" s="339"/>
      <c r="KNT3" s="339"/>
      <c r="KNU3" s="339"/>
      <c r="KNV3" s="339"/>
      <c r="KNW3" s="339"/>
      <c r="KNX3" s="339"/>
      <c r="KNY3" s="339"/>
      <c r="KNZ3" s="339"/>
      <c r="KOA3" s="339"/>
      <c r="KOB3" s="339"/>
      <c r="KOC3" s="339"/>
      <c r="KOD3" s="339"/>
      <c r="KOE3" s="339"/>
      <c r="KOF3" s="339"/>
      <c r="KOG3" s="339"/>
      <c r="KOH3" s="339"/>
      <c r="KOI3" s="339"/>
      <c r="KOJ3" s="339"/>
      <c r="KOK3" s="339"/>
      <c r="KOL3" s="339"/>
      <c r="KOM3" s="339"/>
      <c r="KON3" s="339"/>
      <c r="KOO3" s="339"/>
      <c r="KOP3" s="339"/>
      <c r="KOQ3" s="339"/>
      <c r="KOR3" s="339"/>
      <c r="KOS3" s="339"/>
      <c r="KOT3" s="339"/>
      <c r="KOU3" s="339"/>
      <c r="KOV3" s="339"/>
      <c r="KOW3" s="339"/>
      <c r="KOX3" s="339"/>
      <c r="KOY3" s="339"/>
      <c r="KOZ3" s="339"/>
      <c r="KPA3" s="339"/>
      <c r="KPB3" s="339"/>
      <c r="KPC3" s="339"/>
      <c r="KPD3" s="339"/>
      <c r="KPE3" s="339"/>
      <c r="KPF3" s="339"/>
      <c r="KPG3" s="339"/>
      <c r="KPH3" s="339"/>
      <c r="KPI3" s="339"/>
      <c r="KPJ3" s="339"/>
      <c r="KPK3" s="339"/>
      <c r="KPL3" s="339"/>
      <c r="KPM3" s="339"/>
      <c r="KPN3" s="339"/>
      <c r="KPO3" s="339"/>
      <c r="KPP3" s="339"/>
      <c r="KPQ3" s="339"/>
      <c r="KPR3" s="339"/>
      <c r="KPS3" s="339"/>
      <c r="KPT3" s="339"/>
      <c r="KPU3" s="339"/>
      <c r="KPV3" s="339"/>
      <c r="KPW3" s="339"/>
      <c r="KPX3" s="339"/>
      <c r="KPY3" s="339"/>
      <c r="KPZ3" s="339"/>
      <c r="KQA3" s="339"/>
      <c r="KQB3" s="339"/>
      <c r="KQC3" s="339"/>
      <c r="KQD3" s="339"/>
      <c r="KQE3" s="339"/>
      <c r="KQF3" s="339"/>
      <c r="KQG3" s="339"/>
      <c r="KQH3" s="339"/>
      <c r="KQI3" s="339"/>
      <c r="KQJ3" s="339"/>
      <c r="KQK3" s="339"/>
      <c r="KQL3" s="339"/>
      <c r="KQM3" s="339"/>
      <c r="KQN3" s="339"/>
      <c r="KQO3" s="339"/>
      <c r="KQP3" s="339"/>
      <c r="KQQ3" s="339"/>
      <c r="KQR3" s="339"/>
      <c r="KQS3" s="339"/>
      <c r="KQT3" s="339"/>
      <c r="KQU3" s="339"/>
      <c r="KQV3" s="339"/>
      <c r="KQW3" s="339"/>
      <c r="KQX3" s="339"/>
      <c r="KQY3" s="339"/>
      <c r="KQZ3" s="339"/>
      <c r="KRA3" s="339"/>
      <c r="KRB3" s="339"/>
      <c r="KRC3" s="339"/>
      <c r="KRD3" s="339"/>
      <c r="KRE3" s="339"/>
      <c r="KRF3" s="339"/>
      <c r="KRG3" s="339"/>
      <c r="KRH3" s="339"/>
      <c r="KRI3" s="339"/>
      <c r="KRJ3" s="339"/>
      <c r="KRK3" s="339"/>
      <c r="KRL3" s="339"/>
      <c r="KRM3" s="339"/>
      <c r="KRN3" s="339"/>
      <c r="KRO3" s="339"/>
      <c r="KRP3" s="339"/>
      <c r="KRQ3" s="339"/>
      <c r="KRR3" s="339"/>
      <c r="KRS3" s="339"/>
      <c r="KRT3" s="339"/>
      <c r="KRU3" s="339"/>
      <c r="KRV3" s="339"/>
      <c r="KRW3" s="339"/>
      <c r="KRX3" s="339"/>
      <c r="KRY3" s="339"/>
      <c r="KRZ3" s="339"/>
      <c r="KSA3" s="339"/>
      <c r="KSB3" s="339"/>
      <c r="KSC3" s="339"/>
      <c r="KSD3" s="339"/>
      <c r="KSE3" s="339"/>
      <c r="KSF3" s="339"/>
      <c r="KSG3" s="339"/>
      <c r="KSH3" s="339"/>
      <c r="KSI3" s="339"/>
      <c r="KSJ3" s="339"/>
      <c r="KSK3" s="339"/>
      <c r="KSL3" s="339"/>
      <c r="KSM3" s="339"/>
      <c r="KSN3" s="339"/>
      <c r="KSO3" s="339"/>
      <c r="KSP3" s="339"/>
      <c r="KSQ3" s="339"/>
      <c r="KSR3" s="339"/>
      <c r="KSS3" s="339"/>
      <c r="KST3" s="339"/>
      <c r="KSU3" s="339"/>
      <c r="KSV3" s="339"/>
      <c r="KSW3" s="339"/>
      <c r="KSX3" s="339"/>
      <c r="KSY3" s="339"/>
      <c r="KSZ3" s="339"/>
      <c r="KTA3" s="339"/>
      <c r="KTB3" s="339"/>
      <c r="KTC3" s="339"/>
      <c r="KTD3" s="339"/>
      <c r="KTE3" s="339"/>
      <c r="KTF3" s="339"/>
      <c r="KTG3" s="339"/>
      <c r="KTH3" s="339"/>
      <c r="KTI3" s="339"/>
      <c r="KTJ3" s="339"/>
      <c r="KTK3" s="339"/>
      <c r="KTL3" s="339"/>
      <c r="KTM3" s="339"/>
      <c r="KTN3" s="339"/>
      <c r="KTO3" s="339"/>
      <c r="KTP3" s="339"/>
      <c r="KTQ3" s="339"/>
      <c r="KTR3" s="339"/>
      <c r="KTS3" s="339"/>
      <c r="KTT3" s="339"/>
      <c r="KTU3" s="339"/>
      <c r="KTV3" s="339"/>
      <c r="KTW3" s="339"/>
      <c r="KTX3" s="339"/>
      <c r="KTY3" s="339"/>
      <c r="KTZ3" s="339"/>
      <c r="KUA3" s="339"/>
      <c r="KUB3" s="339"/>
      <c r="KUC3" s="339"/>
      <c r="KUD3" s="339"/>
      <c r="KUE3" s="339"/>
      <c r="KUF3" s="339"/>
      <c r="KUG3" s="339"/>
      <c r="KUH3" s="339"/>
      <c r="KUI3" s="339"/>
      <c r="KUJ3" s="339"/>
      <c r="KUK3" s="339"/>
      <c r="KUL3" s="339"/>
      <c r="KUM3" s="339"/>
      <c r="KUN3" s="339"/>
      <c r="KUO3" s="339"/>
      <c r="KUP3" s="339"/>
      <c r="KUQ3" s="339"/>
      <c r="KUR3" s="339"/>
      <c r="KUS3" s="339"/>
      <c r="KUT3" s="339"/>
      <c r="KUU3" s="339"/>
      <c r="KUV3" s="339"/>
      <c r="KUW3" s="339"/>
      <c r="KUX3" s="339"/>
      <c r="KUY3" s="339"/>
      <c r="KUZ3" s="339"/>
      <c r="KVA3" s="339"/>
      <c r="KVB3" s="339"/>
      <c r="KVC3" s="339"/>
      <c r="KVD3" s="339"/>
      <c r="KVE3" s="339"/>
      <c r="KVF3" s="339"/>
      <c r="KVG3" s="339"/>
      <c r="KVH3" s="339"/>
      <c r="KVI3" s="339"/>
      <c r="KVJ3" s="339"/>
      <c r="KVK3" s="339"/>
      <c r="KVL3" s="339"/>
      <c r="KVM3" s="339"/>
      <c r="KVN3" s="339"/>
      <c r="KVO3" s="339"/>
      <c r="KVP3" s="339"/>
      <c r="KVQ3" s="339"/>
      <c r="KVR3" s="339"/>
      <c r="KVS3" s="339"/>
      <c r="KVT3" s="339"/>
      <c r="KVU3" s="339"/>
      <c r="KVV3" s="339"/>
      <c r="KVW3" s="339"/>
      <c r="KVX3" s="339"/>
      <c r="KVY3" s="339"/>
      <c r="KVZ3" s="339"/>
      <c r="KWA3" s="339"/>
      <c r="KWB3" s="339"/>
      <c r="KWC3" s="339"/>
      <c r="KWD3" s="339"/>
      <c r="KWE3" s="339"/>
      <c r="KWF3" s="339"/>
      <c r="KWG3" s="339"/>
      <c r="KWH3" s="339"/>
      <c r="KWI3" s="339"/>
      <c r="KWJ3" s="339"/>
      <c r="KWK3" s="339"/>
      <c r="KWL3" s="339"/>
      <c r="KWM3" s="339"/>
      <c r="KWN3" s="339"/>
      <c r="KWO3" s="339"/>
      <c r="KWP3" s="339"/>
      <c r="KWQ3" s="339"/>
      <c r="KWR3" s="339"/>
      <c r="KWS3" s="339"/>
      <c r="KWT3" s="339"/>
      <c r="KWU3" s="339"/>
      <c r="KWV3" s="339"/>
      <c r="KWW3" s="339"/>
      <c r="KWX3" s="339"/>
      <c r="KWY3" s="339"/>
      <c r="KWZ3" s="339"/>
      <c r="KXA3" s="339"/>
      <c r="KXB3" s="339"/>
      <c r="KXC3" s="339"/>
      <c r="KXD3" s="339"/>
      <c r="KXE3" s="339"/>
      <c r="KXF3" s="339"/>
      <c r="KXG3" s="339"/>
      <c r="KXH3" s="339"/>
      <c r="KXI3" s="339"/>
      <c r="KXJ3" s="339"/>
      <c r="KXK3" s="339"/>
      <c r="KXL3" s="339"/>
      <c r="KXM3" s="339"/>
      <c r="KXN3" s="339"/>
      <c r="KXO3" s="339"/>
      <c r="KXP3" s="339"/>
      <c r="KXQ3" s="339"/>
      <c r="KXR3" s="339"/>
      <c r="KXS3" s="339"/>
      <c r="KXT3" s="339"/>
      <c r="KXU3" s="339"/>
      <c r="KXV3" s="339"/>
      <c r="KXW3" s="339"/>
      <c r="KXX3" s="339"/>
      <c r="KXY3" s="339"/>
      <c r="KXZ3" s="339"/>
      <c r="KYA3" s="339"/>
      <c r="KYB3" s="339"/>
      <c r="KYC3" s="339"/>
      <c r="KYD3" s="339"/>
      <c r="KYE3" s="339"/>
      <c r="KYF3" s="339"/>
      <c r="KYG3" s="339"/>
      <c r="KYH3" s="339"/>
      <c r="KYI3" s="339"/>
      <c r="KYJ3" s="339"/>
      <c r="KYK3" s="339"/>
      <c r="KYL3" s="339"/>
      <c r="KYM3" s="339"/>
      <c r="KYN3" s="339"/>
      <c r="KYO3" s="339"/>
      <c r="KYP3" s="339"/>
      <c r="KYQ3" s="339"/>
      <c r="KYR3" s="339"/>
      <c r="KYS3" s="339"/>
      <c r="KYT3" s="339"/>
      <c r="KYU3" s="339"/>
      <c r="KYV3" s="339"/>
      <c r="KYW3" s="339"/>
      <c r="KYX3" s="339"/>
      <c r="KYY3" s="339"/>
      <c r="KYZ3" s="339"/>
      <c r="KZA3" s="339"/>
      <c r="KZB3" s="339"/>
      <c r="KZC3" s="339"/>
      <c r="KZD3" s="339"/>
      <c r="KZE3" s="339"/>
      <c r="KZF3" s="339"/>
      <c r="KZG3" s="339"/>
      <c r="KZH3" s="339"/>
      <c r="KZI3" s="339"/>
      <c r="KZJ3" s="339"/>
      <c r="KZK3" s="339"/>
      <c r="KZL3" s="339"/>
      <c r="KZM3" s="339"/>
      <c r="KZN3" s="339"/>
      <c r="KZO3" s="339"/>
      <c r="KZP3" s="339"/>
      <c r="KZQ3" s="339"/>
      <c r="KZR3" s="339"/>
      <c r="KZS3" s="339"/>
      <c r="KZT3" s="339"/>
      <c r="KZU3" s="339"/>
      <c r="KZV3" s="339"/>
      <c r="KZW3" s="339"/>
      <c r="KZX3" s="339"/>
      <c r="KZY3" s="339"/>
      <c r="KZZ3" s="339"/>
      <c r="LAA3" s="339"/>
      <c r="LAB3" s="339"/>
      <c r="LAC3" s="339"/>
      <c r="LAD3" s="339"/>
      <c r="LAE3" s="339"/>
      <c r="LAF3" s="339"/>
      <c r="LAG3" s="339"/>
      <c r="LAH3" s="339"/>
      <c r="LAI3" s="339"/>
      <c r="LAJ3" s="339"/>
      <c r="LAK3" s="339"/>
      <c r="LAL3" s="339"/>
      <c r="LAM3" s="339"/>
      <c r="LAN3" s="339"/>
      <c r="LAO3" s="339"/>
      <c r="LAP3" s="339"/>
      <c r="LAQ3" s="339"/>
      <c r="LAR3" s="339"/>
      <c r="LAS3" s="339"/>
      <c r="LAT3" s="339"/>
      <c r="LAU3" s="339"/>
      <c r="LAV3" s="339"/>
      <c r="LAW3" s="339"/>
      <c r="LAX3" s="339"/>
      <c r="LAY3" s="339"/>
      <c r="LAZ3" s="339"/>
      <c r="LBA3" s="339"/>
      <c r="LBB3" s="339"/>
      <c r="LBC3" s="339"/>
      <c r="LBD3" s="339"/>
      <c r="LBE3" s="339"/>
      <c r="LBF3" s="339"/>
      <c r="LBG3" s="339"/>
      <c r="LBH3" s="339"/>
      <c r="LBI3" s="339"/>
      <c r="LBJ3" s="339"/>
      <c r="LBK3" s="339"/>
      <c r="LBL3" s="339"/>
      <c r="LBM3" s="339"/>
      <c r="LBN3" s="339"/>
      <c r="LBO3" s="339"/>
      <c r="LBP3" s="339"/>
      <c r="LBQ3" s="339"/>
      <c r="LBR3" s="339"/>
      <c r="LBS3" s="339"/>
      <c r="LBT3" s="339"/>
      <c r="LBU3" s="339"/>
      <c r="LBV3" s="339"/>
      <c r="LBW3" s="339"/>
      <c r="LBX3" s="339"/>
      <c r="LBY3" s="339"/>
      <c r="LBZ3" s="339"/>
      <c r="LCA3" s="339"/>
      <c r="LCB3" s="339"/>
      <c r="LCC3" s="339"/>
      <c r="LCD3" s="339"/>
      <c r="LCE3" s="339"/>
      <c r="LCF3" s="339"/>
      <c r="LCG3" s="339"/>
      <c r="LCH3" s="339"/>
      <c r="LCI3" s="339"/>
      <c r="LCJ3" s="339"/>
      <c r="LCK3" s="339"/>
      <c r="LCL3" s="339"/>
      <c r="LCM3" s="339"/>
      <c r="LCN3" s="339"/>
      <c r="LCO3" s="339"/>
      <c r="LCP3" s="339"/>
      <c r="LCQ3" s="339"/>
      <c r="LCR3" s="339"/>
      <c r="LCS3" s="339"/>
      <c r="LCT3" s="339"/>
      <c r="LCU3" s="339"/>
      <c r="LCV3" s="339"/>
      <c r="LCW3" s="339"/>
      <c r="LCX3" s="339"/>
      <c r="LCY3" s="339"/>
      <c r="LCZ3" s="339"/>
      <c r="LDA3" s="339"/>
      <c r="LDB3" s="339"/>
      <c r="LDC3" s="339"/>
      <c r="LDD3" s="339"/>
      <c r="LDE3" s="339"/>
      <c r="LDF3" s="339"/>
      <c r="LDG3" s="339"/>
      <c r="LDH3" s="339"/>
      <c r="LDI3" s="339"/>
      <c r="LDJ3" s="339"/>
      <c r="LDK3" s="339"/>
      <c r="LDL3" s="339"/>
      <c r="LDM3" s="339"/>
      <c r="LDN3" s="339"/>
      <c r="LDO3" s="339"/>
      <c r="LDP3" s="339"/>
      <c r="LDQ3" s="339"/>
      <c r="LDR3" s="339"/>
      <c r="LDS3" s="339"/>
      <c r="LDT3" s="339"/>
      <c r="LDU3" s="339"/>
      <c r="LDV3" s="339"/>
      <c r="LDW3" s="339"/>
      <c r="LDX3" s="339"/>
      <c r="LDY3" s="339"/>
      <c r="LDZ3" s="339"/>
      <c r="LEA3" s="339"/>
      <c r="LEB3" s="339"/>
      <c r="LEC3" s="339"/>
      <c r="LED3" s="339"/>
      <c r="LEE3" s="339"/>
      <c r="LEF3" s="339"/>
      <c r="LEG3" s="339"/>
      <c r="LEH3" s="339"/>
      <c r="LEI3" s="339"/>
      <c r="LEJ3" s="339"/>
      <c r="LEK3" s="339"/>
      <c r="LEL3" s="339"/>
      <c r="LEM3" s="339"/>
      <c r="LEN3" s="339"/>
      <c r="LEO3" s="339"/>
      <c r="LEP3" s="339"/>
      <c r="LEQ3" s="339"/>
      <c r="LER3" s="339"/>
      <c r="LES3" s="339"/>
      <c r="LET3" s="339"/>
      <c r="LEU3" s="339"/>
      <c r="LEV3" s="339"/>
      <c r="LEW3" s="339"/>
      <c r="LEX3" s="339"/>
      <c r="LEY3" s="339"/>
      <c r="LEZ3" s="339"/>
      <c r="LFA3" s="339"/>
      <c r="LFB3" s="339"/>
      <c r="LFC3" s="339"/>
      <c r="LFD3" s="339"/>
      <c r="LFE3" s="339"/>
      <c r="LFF3" s="339"/>
      <c r="LFG3" s="339"/>
      <c r="LFH3" s="339"/>
      <c r="LFI3" s="339"/>
      <c r="LFJ3" s="339"/>
      <c r="LFK3" s="339"/>
      <c r="LFL3" s="339"/>
      <c r="LFM3" s="339"/>
      <c r="LFN3" s="339"/>
      <c r="LFO3" s="339"/>
      <c r="LFP3" s="339"/>
      <c r="LFQ3" s="339"/>
      <c r="LFR3" s="339"/>
      <c r="LFS3" s="339"/>
      <c r="LFT3" s="339"/>
      <c r="LFU3" s="339"/>
      <c r="LFV3" s="339"/>
      <c r="LFW3" s="339"/>
      <c r="LFX3" s="339"/>
      <c r="LFY3" s="339"/>
      <c r="LFZ3" s="339"/>
      <c r="LGA3" s="339"/>
      <c r="LGB3" s="339"/>
      <c r="LGC3" s="339"/>
      <c r="LGD3" s="339"/>
      <c r="LGE3" s="339"/>
      <c r="LGF3" s="339"/>
      <c r="LGG3" s="339"/>
      <c r="LGH3" s="339"/>
      <c r="LGI3" s="339"/>
      <c r="LGJ3" s="339"/>
      <c r="LGK3" s="339"/>
      <c r="LGL3" s="339"/>
      <c r="LGM3" s="339"/>
      <c r="LGN3" s="339"/>
      <c r="LGO3" s="339"/>
      <c r="LGP3" s="339"/>
      <c r="LGQ3" s="339"/>
      <c r="LGR3" s="339"/>
      <c r="LGS3" s="339"/>
      <c r="LGT3" s="339"/>
      <c r="LGU3" s="339"/>
      <c r="LGV3" s="339"/>
      <c r="LGW3" s="339"/>
      <c r="LGX3" s="339"/>
      <c r="LGY3" s="339"/>
      <c r="LGZ3" s="339"/>
      <c r="LHA3" s="339"/>
      <c r="LHB3" s="339"/>
      <c r="LHC3" s="339"/>
      <c r="LHD3" s="339"/>
      <c r="LHE3" s="339"/>
      <c r="LHF3" s="339"/>
      <c r="LHG3" s="339"/>
      <c r="LHH3" s="339"/>
      <c r="LHI3" s="339"/>
      <c r="LHJ3" s="339"/>
      <c r="LHK3" s="339"/>
      <c r="LHL3" s="339"/>
      <c r="LHM3" s="339"/>
      <c r="LHN3" s="339"/>
      <c r="LHO3" s="339"/>
      <c r="LHP3" s="339"/>
      <c r="LHQ3" s="339"/>
      <c r="LHR3" s="339"/>
      <c r="LHS3" s="339"/>
      <c r="LHT3" s="339"/>
      <c r="LHU3" s="339"/>
      <c r="LHV3" s="339"/>
      <c r="LHW3" s="339"/>
      <c r="LHX3" s="339"/>
      <c r="LHY3" s="339"/>
      <c r="LHZ3" s="339"/>
      <c r="LIA3" s="339"/>
      <c r="LIB3" s="339"/>
      <c r="LIC3" s="339"/>
      <c r="LID3" s="339"/>
      <c r="LIE3" s="339"/>
      <c r="LIF3" s="339"/>
      <c r="LIG3" s="339"/>
      <c r="LIH3" s="339"/>
      <c r="LII3" s="339"/>
      <c r="LIJ3" s="339"/>
      <c r="LIK3" s="339"/>
      <c r="LIL3" s="339"/>
      <c r="LIM3" s="339"/>
      <c r="LIN3" s="339"/>
      <c r="LIO3" s="339"/>
      <c r="LIP3" s="339"/>
      <c r="LIQ3" s="339"/>
      <c r="LIR3" s="339"/>
      <c r="LIS3" s="339"/>
      <c r="LIT3" s="339"/>
      <c r="LIU3" s="339"/>
      <c r="LIV3" s="339"/>
      <c r="LIW3" s="339"/>
      <c r="LIX3" s="339"/>
      <c r="LIY3" s="339"/>
      <c r="LIZ3" s="339"/>
      <c r="LJA3" s="339"/>
      <c r="LJB3" s="339"/>
      <c r="LJC3" s="339"/>
      <c r="LJD3" s="339"/>
      <c r="LJE3" s="339"/>
      <c r="LJF3" s="339"/>
      <c r="LJG3" s="339"/>
      <c r="LJH3" s="339"/>
      <c r="LJI3" s="339"/>
      <c r="LJJ3" s="339"/>
      <c r="LJK3" s="339"/>
      <c r="LJL3" s="339"/>
      <c r="LJM3" s="339"/>
      <c r="LJN3" s="339"/>
      <c r="LJO3" s="339"/>
      <c r="LJP3" s="339"/>
      <c r="LJQ3" s="339"/>
      <c r="LJR3" s="339"/>
      <c r="LJS3" s="339"/>
      <c r="LJT3" s="339"/>
      <c r="LJU3" s="339"/>
      <c r="LJV3" s="339"/>
      <c r="LJW3" s="339"/>
      <c r="LJX3" s="339"/>
      <c r="LJY3" s="339"/>
      <c r="LJZ3" s="339"/>
      <c r="LKA3" s="339"/>
      <c r="LKB3" s="339"/>
      <c r="LKC3" s="339"/>
      <c r="LKD3" s="339"/>
      <c r="LKE3" s="339"/>
      <c r="LKF3" s="339"/>
      <c r="LKG3" s="339"/>
      <c r="LKH3" s="339"/>
      <c r="LKI3" s="339"/>
      <c r="LKJ3" s="339"/>
      <c r="LKK3" s="339"/>
      <c r="LKL3" s="339"/>
      <c r="LKM3" s="339"/>
      <c r="LKN3" s="339"/>
      <c r="LKO3" s="339"/>
      <c r="LKP3" s="339"/>
      <c r="LKQ3" s="339"/>
      <c r="LKR3" s="339"/>
      <c r="LKS3" s="339"/>
      <c r="LKT3" s="339"/>
      <c r="LKU3" s="339"/>
      <c r="LKV3" s="339"/>
      <c r="LKW3" s="339"/>
      <c r="LKX3" s="339"/>
      <c r="LKY3" s="339"/>
      <c r="LKZ3" s="339"/>
      <c r="LLA3" s="339"/>
      <c r="LLB3" s="339"/>
      <c r="LLC3" s="339"/>
      <c r="LLD3" s="339"/>
      <c r="LLE3" s="339"/>
      <c r="LLF3" s="339"/>
      <c r="LLG3" s="339"/>
      <c r="LLH3" s="339"/>
      <c r="LLI3" s="339"/>
      <c r="LLJ3" s="339"/>
      <c r="LLK3" s="339"/>
      <c r="LLL3" s="339"/>
      <c r="LLM3" s="339"/>
      <c r="LLN3" s="339"/>
      <c r="LLO3" s="339"/>
      <c r="LLP3" s="339"/>
      <c r="LLQ3" s="339"/>
      <c r="LLR3" s="339"/>
      <c r="LLS3" s="339"/>
      <c r="LLT3" s="339"/>
      <c r="LLU3" s="339"/>
      <c r="LLV3" s="339"/>
      <c r="LLW3" s="339"/>
      <c r="LLX3" s="339"/>
      <c r="LLY3" s="339"/>
      <c r="LLZ3" s="339"/>
      <c r="LMA3" s="339"/>
      <c r="LMB3" s="339"/>
      <c r="LMC3" s="339"/>
      <c r="LMD3" s="339"/>
      <c r="LME3" s="339"/>
      <c r="LMF3" s="339"/>
      <c r="LMG3" s="339"/>
      <c r="LMH3" s="339"/>
      <c r="LMI3" s="339"/>
      <c r="LMJ3" s="339"/>
      <c r="LMK3" s="339"/>
      <c r="LML3" s="339"/>
      <c r="LMM3" s="339"/>
      <c r="LMN3" s="339"/>
      <c r="LMO3" s="339"/>
      <c r="LMP3" s="339"/>
      <c r="LMQ3" s="339"/>
      <c r="LMR3" s="339"/>
      <c r="LMS3" s="339"/>
      <c r="LMT3" s="339"/>
      <c r="LMU3" s="339"/>
      <c r="LMV3" s="339"/>
      <c r="LMW3" s="339"/>
      <c r="LMX3" s="339"/>
      <c r="LMY3" s="339"/>
      <c r="LMZ3" s="339"/>
      <c r="LNA3" s="339"/>
      <c r="LNB3" s="339"/>
      <c r="LNC3" s="339"/>
      <c r="LND3" s="339"/>
      <c r="LNE3" s="339"/>
      <c r="LNF3" s="339"/>
      <c r="LNG3" s="339"/>
      <c r="LNH3" s="339"/>
      <c r="LNI3" s="339"/>
      <c r="LNJ3" s="339"/>
      <c r="LNK3" s="339"/>
      <c r="LNL3" s="339"/>
      <c r="LNM3" s="339"/>
      <c r="LNN3" s="339"/>
      <c r="LNO3" s="339"/>
      <c r="LNP3" s="339"/>
      <c r="LNQ3" s="339"/>
      <c r="LNR3" s="339"/>
      <c r="LNS3" s="339"/>
      <c r="LNT3" s="339"/>
      <c r="LNU3" s="339"/>
      <c r="LNV3" s="339"/>
      <c r="LNW3" s="339"/>
      <c r="LNX3" s="339"/>
      <c r="LNY3" s="339"/>
      <c r="LNZ3" s="339"/>
      <c r="LOA3" s="339"/>
      <c r="LOB3" s="339"/>
      <c r="LOC3" s="339"/>
      <c r="LOD3" s="339"/>
      <c r="LOE3" s="339"/>
      <c r="LOF3" s="339"/>
      <c r="LOG3" s="339"/>
      <c r="LOH3" s="339"/>
      <c r="LOI3" s="339"/>
      <c r="LOJ3" s="339"/>
      <c r="LOK3" s="339"/>
      <c r="LOL3" s="339"/>
      <c r="LOM3" s="339"/>
      <c r="LON3" s="339"/>
      <c r="LOO3" s="339"/>
      <c r="LOP3" s="339"/>
      <c r="LOQ3" s="339"/>
      <c r="LOR3" s="339"/>
      <c r="LOS3" s="339"/>
      <c r="LOT3" s="339"/>
      <c r="LOU3" s="339"/>
      <c r="LOV3" s="339"/>
      <c r="LOW3" s="339"/>
      <c r="LOX3" s="339"/>
      <c r="LOY3" s="339"/>
      <c r="LOZ3" s="339"/>
      <c r="LPA3" s="339"/>
      <c r="LPB3" s="339"/>
      <c r="LPC3" s="339"/>
      <c r="LPD3" s="339"/>
      <c r="LPE3" s="339"/>
      <c r="LPF3" s="339"/>
      <c r="LPG3" s="339"/>
      <c r="LPH3" s="339"/>
      <c r="LPI3" s="339"/>
      <c r="LPJ3" s="339"/>
      <c r="LPK3" s="339"/>
      <c r="LPL3" s="339"/>
      <c r="LPM3" s="339"/>
      <c r="LPN3" s="339"/>
      <c r="LPO3" s="339"/>
      <c r="LPP3" s="339"/>
      <c r="LPQ3" s="339"/>
      <c r="LPR3" s="339"/>
      <c r="LPS3" s="339"/>
      <c r="LPT3" s="339"/>
      <c r="LPU3" s="339"/>
      <c r="LPV3" s="339"/>
      <c r="LPW3" s="339"/>
      <c r="LPX3" s="339"/>
      <c r="LPY3" s="339"/>
      <c r="LPZ3" s="339"/>
      <c r="LQA3" s="339"/>
      <c r="LQB3" s="339"/>
      <c r="LQC3" s="339"/>
      <c r="LQD3" s="339"/>
      <c r="LQE3" s="339"/>
      <c r="LQF3" s="339"/>
      <c r="LQG3" s="339"/>
      <c r="LQH3" s="339"/>
      <c r="LQI3" s="339"/>
      <c r="LQJ3" s="339"/>
      <c r="LQK3" s="339"/>
      <c r="LQL3" s="339"/>
      <c r="LQM3" s="339"/>
      <c r="LQN3" s="339"/>
      <c r="LQO3" s="339"/>
      <c r="LQP3" s="339"/>
      <c r="LQQ3" s="339"/>
      <c r="LQR3" s="339"/>
      <c r="LQS3" s="339"/>
      <c r="LQT3" s="339"/>
      <c r="LQU3" s="339"/>
      <c r="LQV3" s="339"/>
      <c r="LQW3" s="339"/>
      <c r="LQX3" s="339"/>
      <c r="LQY3" s="339"/>
      <c r="LQZ3" s="339"/>
      <c r="LRA3" s="339"/>
      <c r="LRB3" s="339"/>
      <c r="LRC3" s="339"/>
      <c r="LRD3" s="339"/>
      <c r="LRE3" s="339"/>
      <c r="LRF3" s="339"/>
      <c r="LRG3" s="339"/>
      <c r="LRH3" s="339"/>
      <c r="LRI3" s="339"/>
      <c r="LRJ3" s="339"/>
      <c r="LRK3" s="339"/>
      <c r="LRL3" s="339"/>
      <c r="LRM3" s="339"/>
      <c r="LRN3" s="339"/>
      <c r="LRO3" s="339"/>
      <c r="LRP3" s="339"/>
      <c r="LRQ3" s="339"/>
      <c r="LRR3" s="339"/>
      <c r="LRS3" s="339"/>
      <c r="LRT3" s="339"/>
      <c r="LRU3" s="339"/>
      <c r="LRV3" s="339"/>
      <c r="LRW3" s="339"/>
      <c r="LRX3" s="339"/>
      <c r="LRY3" s="339"/>
      <c r="LRZ3" s="339"/>
      <c r="LSA3" s="339"/>
      <c r="LSB3" s="339"/>
      <c r="LSC3" s="339"/>
      <c r="LSD3" s="339"/>
      <c r="LSE3" s="339"/>
      <c r="LSF3" s="339"/>
      <c r="LSG3" s="339"/>
      <c r="LSH3" s="339"/>
      <c r="LSI3" s="339"/>
      <c r="LSJ3" s="339"/>
      <c r="LSK3" s="339"/>
      <c r="LSL3" s="339"/>
      <c r="LSM3" s="339"/>
      <c r="LSN3" s="339"/>
      <c r="LSO3" s="339"/>
      <c r="LSP3" s="339"/>
      <c r="LSQ3" s="339"/>
      <c r="LSR3" s="339"/>
      <c r="LSS3" s="339"/>
      <c r="LST3" s="339"/>
      <c r="LSU3" s="339"/>
      <c r="LSV3" s="339"/>
      <c r="LSW3" s="339"/>
      <c r="LSX3" s="339"/>
      <c r="LSY3" s="339"/>
      <c r="LSZ3" s="339"/>
      <c r="LTA3" s="339"/>
      <c r="LTB3" s="339"/>
      <c r="LTC3" s="339"/>
      <c r="LTD3" s="339"/>
      <c r="LTE3" s="339"/>
      <c r="LTF3" s="339"/>
      <c r="LTG3" s="339"/>
      <c r="LTH3" s="339"/>
      <c r="LTI3" s="339"/>
      <c r="LTJ3" s="339"/>
      <c r="LTK3" s="339"/>
      <c r="LTL3" s="339"/>
      <c r="LTM3" s="339"/>
      <c r="LTN3" s="339"/>
      <c r="LTO3" s="339"/>
      <c r="LTP3" s="339"/>
      <c r="LTQ3" s="339"/>
      <c r="LTR3" s="339"/>
      <c r="LTS3" s="339"/>
      <c r="LTT3" s="339"/>
      <c r="LTU3" s="339"/>
      <c r="LTV3" s="339"/>
      <c r="LTW3" s="339"/>
      <c r="LTX3" s="339"/>
      <c r="LTY3" s="339"/>
      <c r="LTZ3" s="339"/>
      <c r="LUA3" s="339"/>
      <c r="LUB3" s="339"/>
      <c r="LUC3" s="339"/>
      <c r="LUD3" s="339"/>
      <c r="LUE3" s="339"/>
      <c r="LUF3" s="339"/>
      <c r="LUG3" s="339"/>
      <c r="LUH3" s="339"/>
      <c r="LUI3" s="339"/>
      <c r="LUJ3" s="339"/>
      <c r="LUK3" s="339"/>
      <c r="LUL3" s="339"/>
      <c r="LUM3" s="339"/>
      <c r="LUN3" s="339"/>
      <c r="LUO3" s="339"/>
      <c r="LUP3" s="339"/>
      <c r="LUQ3" s="339"/>
      <c r="LUR3" s="339"/>
      <c r="LUS3" s="339"/>
      <c r="LUT3" s="339"/>
      <c r="LUU3" s="339"/>
      <c r="LUV3" s="339"/>
      <c r="LUW3" s="339"/>
      <c r="LUX3" s="339"/>
      <c r="LUY3" s="339"/>
      <c r="LUZ3" s="339"/>
      <c r="LVA3" s="339"/>
      <c r="LVB3" s="339"/>
      <c r="LVC3" s="339"/>
      <c r="LVD3" s="339"/>
      <c r="LVE3" s="339"/>
      <c r="LVF3" s="339"/>
      <c r="LVG3" s="339"/>
      <c r="LVH3" s="339"/>
      <c r="LVI3" s="339"/>
      <c r="LVJ3" s="339"/>
      <c r="LVK3" s="339"/>
      <c r="LVL3" s="339"/>
      <c r="LVM3" s="339"/>
      <c r="LVN3" s="339"/>
      <c r="LVO3" s="339"/>
      <c r="LVP3" s="339"/>
      <c r="LVQ3" s="339"/>
      <c r="LVR3" s="339"/>
      <c r="LVS3" s="339"/>
      <c r="LVT3" s="339"/>
      <c r="LVU3" s="339"/>
      <c r="LVV3" s="339"/>
      <c r="LVW3" s="339"/>
      <c r="LVX3" s="339"/>
      <c r="LVY3" s="339"/>
      <c r="LVZ3" s="339"/>
      <c r="LWA3" s="339"/>
      <c r="LWB3" s="339"/>
      <c r="LWC3" s="339"/>
      <c r="LWD3" s="339"/>
      <c r="LWE3" s="339"/>
      <c r="LWF3" s="339"/>
      <c r="LWG3" s="339"/>
      <c r="LWH3" s="339"/>
      <c r="LWI3" s="339"/>
      <c r="LWJ3" s="339"/>
      <c r="LWK3" s="339"/>
      <c r="LWL3" s="339"/>
      <c r="LWM3" s="339"/>
      <c r="LWN3" s="339"/>
      <c r="LWO3" s="339"/>
      <c r="LWP3" s="339"/>
      <c r="LWQ3" s="339"/>
      <c r="LWR3" s="339"/>
      <c r="LWS3" s="339"/>
      <c r="LWT3" s="339"/>
      <c r="LWU3" s="339"/>
      <c r="LWV3" s="339"/>
      <c r="LWW3" s="339"/>
      <c r="LWX3" s="339"/>
      <c r="LWY3" s="339"/>
      <c r="LWZ3" s="339"/>
      <c r="LXA3" s="339"/>
      <c r="LXB3" s="339"/>
      <c r="LXC3" s="339"/>
      <c r="LXD3" s="339"/>
      <c r="LXE3" s="339"/>
      <c r="LXF3" s="339"/>
      <c r="LXG3" s="339"/>
      <c r="LXH3" s="339"/>
      <c r="LXI3" s="339"/>
      <c r="LXJ3" s="339"/>
      <c r="LXK3" s="339"/>
      <c r="LXL3" s="339"/>
      <c r="LXM3" s="339"/>
      <c r="LXN3" s="339"/>
      <c r="LXO3" s="339"/>
      <c r="LXP3" s="339"/>
      <c r="LXQ3" s="339"/>
      <c r="LXR3" s="339"/>
      <c r="LXS3" s="339"/>
      <c r="LXT3" s="339"/>
      <c r="LXU3" s="339"/>
      <c r="LXV3" s="339"/>
      <c r="LXW3" s="339"/>
      <c r="LXX3" s="339"/>
      <c r="LXY3" s="339"/>
      <c r="LXZ3" s="339"/>
      <c r="LYA3" s="339"/>
      <c r="LYB3" s="339"/>
      <c r="LYC3" s="339"/>
      <c r="LYD3" s="339"/>
      <c r="LYE3" s="339"/>
      <c r="LYF3" s="339"/>
      <c r="LYG3" s="339"/>
      <c r="LYH3" s="339"/>
      <c r="LYI3" s="339"/>
      <c r="LYJ3" s="339"/>
      <c r="LYK3" s="339"/>
      <c r="LYL3" s="339"/>
      <c r="LYM3" s="339"/>
      <c r="LYN3" s="339"/>
      <c r="LYO3" s="339"/>
      <c r="LYP3" s="339"/>
      <c r="LYQ3" s="339"/>
      <c r="LYR3" s="339"/>
      <c r="LYS3" s="339"/>
      <c r="LYT3" s="339"/>
      <c r="LYU3" s="339"/>
      <c r="LYV3" s="339"/>
      <c r="LYW3" s="339"/>
      <c r="LYX3" s="339"/>
      <c r="LYY3" s="339"/>
      <c r="LYZ3" s="339"/>
      <c r="LZA3" s="339"/>
      <c r="LZB3" s="339"/>
      <c r="LZC3" s="339"/>
      <c r="LZD3" s="339"/>
      <c r="LZE3" s="339"/>
      <c r="LZF3" s="339"/>
      <c r="LZG3" s="339"/>
      <c r="LZH3" s="339"/>
      <c r="LZI3" s="339"/>
      <c r="LZJ3" s="339"/>
      <c r="LZK3" s="339"/>
      <c r="LZL3" s="339"/>
      <c r="LZM3" s="339"/>
      <c r="LZN3" s="339"/>
      <c r="LZO3" s="339"/>
      <c r="LZP3" s="339"/>
      <c r="LZQ3" s="339"/>
      <c r="LZR3" s="339"/>
      <c r="LZS3" s="339"/>
      <c r="LZT3" s="339"/>
      <c r="LZU3" s="339"/>
      <c r="LZV3" s="339"/>
      <c r="LZW3" s="339"/>
      <c r="LZX3" s="339"/>
      <c r="LZY3" s="339"/>
      <c r="LZZ3" s="339"/>
      <c r="MAA3" s="339"/>
      <c r="MAB3" s="339"/>
      <c r="MAC3" s="339"/>
      <c r="MAD3" s="339"/>
      <c r="MAE3" s="339"/>
      <c r="MAF3" s="339"/>
      <c r="MAG3" s="339"/>
      <c r="MAH3" s="339"/>
      <c r="MAI3" s="339"/>
      <c r="MAJ3" s="339"/>
      <c r="MAK3" s="339"/>
      <c r="MAL3" s="339"/>
      <c r="MAM3" s="339"/>
      <c r="MAN3" s="339"/>
      <c r="MAO3" s="339"/>
      <c r="MAP3" s="339"/>
      <c r="MAQ3" s="339"/>
      <c r="MAR3" s="339"/>
      <c r="MAS3" s="339"/>
      <c r="MAT3" s="339"/>
      <c r="MAU3" s="339"/>
      <c r="MAV3" s="339"/>
      <c r="MAW3" s="339"/>
      <c r="MAX3" s="339"/>
      <c r="MAY3" s="339"/>
      <c r="MAZ3" s="339"/>
      <c r="MBA3" s="339"/>
      <c r="MBB3" s="339"/>
      <c r="MBC3" s="339"/>
      <c r="MBD3" s="339"/>
      <c r="MBE3" s="339"/>
      <c r="MBF3" s="339"/>
      <c r="MBG3" s="339"/>
      <c r="MBH3" s="339"/>
      <c r="MBI3" s="339"/>
      <c r="MBJ3" s="339"/>
      <c r="MBK3" s="339"/>
      <c r="MBL3" s="339"/>
      <c r="MBM3" s="339"/>
      <c r="MBN3" s="339"/>
      <c r="MBO3" s="339"/>
      <c r="MBP3" s="339"/>
      <c r="MBQ3" s="339"/>
      <c r="MBR3" s="339"/>
      <c r="MBS3" s="339"/>
      <c r="MBT3" s="339"/>
      <c r="MBU3" s="339"/>
      <c r="MBV3" s="339"/>
      <c r="MBW3" s="339"/>
      <c r="MBX3" s="339"/>
      <c r="MBY3" s="339"/>
      <c r="MBZ3" s="339"/>
      <c r="MCA3" s="339"/>
      <c r="MCB3" s="339"/>
      <c r="MCC3" s="339"/>
      <c r="MCD3" s="339"/>
      <c r="MCE3" s="339"/>
      <c r="MCF3" s="339"/>
      <c r="MCG3" s="339"/>
      <c r="MCH3" s="339"/>
      <c r="MCI3" s="339"/>
      <c r="MCJ3" s="339"/>
      <c r="MCK3" s="339"/>
      <c r="MCL3" s="339"/>
      <c r="MCM3" s="339"/>
      <c r="MCN3" s="339"/>
      <c r="MCO3" s="339"/>
      <c r="MCP3" s="339"/>
      <c r="MCQ3" s="339"/>
      <c r="MCR3" s="339"/>
      <c r="MCS3" s="339"/>
      <c r="MCT3" s="339"/>
      <c r="MCU3" s="339"/>
      <c r="MCV3" s="339"/>
      <c r="MCW3" s="339"/>
      <c r="MCX3" s="339"/>
      <c r="MCY3" s="339"/>
      <c r="MCZ3" s="339"/>
      <c r="MDA3" s="339"/>
      <c r="MDB3" s="339"/>
      <c r="MDC3" s="339"/>
      <c r="MDD3" s="339"/>
      <c r="MDE3" s="339"/>
      <c r="MDF3" s="339"/>
      <c r="MDG3" s="339"/>
      <c r="MDH3" s="339"/>
      <c r="MDI3" s="339"/>
      <c r="MDJ3" s="339"/>
      <c r="MDK3" s="339"/>
      <c r="MDL3" s="339"/>
      <c r="MDM3" s="339"/>
      <c r="MDN3" s="339"/>
      <c r="MDO3" s="339"/>
      <c r="MDP3" s="339"/>
      <c r="MDQ3" s="339"/>
      <c r="MDR3" s="339"/>
      <c r="MDS3" s="339"/>
      <c r="MDT3" s="339"/>
      <c r="MDU3" s="339"/>
      <c r="MDV3" s="339"/>
      <c r="MDW3" s="339"/>
      <c r="MDX3" s="339"/>
      <c r="MDY3" s="339"/>
      <c r="MDZ3" s="339"/>
      <c r="MEA3" s="339"/>
      <c r="MEB3" s="339"/>
      <c r="MEC3" s="339"/>
      <c r="MED3" s="339"/>
      <c r="MEE3" s="339"/>
      <c r="MEF3" s="339"/>
      <c r="MEG3" s="339"/>
      <c r="MEH3" s="339"/>
      <c r="MEI3" s="339"/>
      <c r="MEJ3" s="339"/>
      <c r="MEK3" s="339"/>
      <c r="MEL3" s="339"/>
      <c r="MEM3" s="339"/>
      <c r="MEN3" s="339"/>
      <c r="MEO3" s="339"/>
      <c r="MEP3" s="339"/>
      <c r="MEQ3" s="339"/>
      <c r="MER3" s="339"/>
      <c r="MES3" s="339"/>
      <c r="MET3" s="339"/>
      <c r="MEU3" s="339"/>
      <c r="MEV3" s="339"/>
      <c r="MEW3" s="339"/>
      <c r="MEX3" s="339"/>
      <c r="MEY3" s="339"/>
      <c r="MEZ3" s="339"/>
      <c r="MFA3" s="339"/>
      <c r="MFB3" s="339"/>
      <c r="MFC3" s="339"/>
      <c r="MFD3" s="339"/>
      <c r="MFE3" s="339"/>
      <c r="MFF3" s="339"/>
      <c r="MFG3" s="339"/>
      <c r="MFH3" s="339"/>
      <c r="MFI3" s="339"/>
      <c r="MFJ3" s="339"/>
      <c r="MFK3" s="339"/>
      <c r="MFL3" s="339"/>
      <c r="MFM3" s="339"/>
      <c r="MFN3" s="339"/>
      <c r="MFO3" s="339"/>
      <c r="MFP3" s="339"/>
      <c r="MFQ3" s="339"/>
      <c r="MFR3" s="339"/>
      <c r="MFS3" s="339"/>
      <c r="MFT3" s="339"/>
      <c r="MFU3" s="339"/>
      <c r="MFV3" s="339"/>
      <c r="MFW3" s="339"/>
      <c r="MFX3" s="339"/>
      <c r="MFY3" s="339"/>
      <c r="MFZ3" s="339"/>
      <c r="MGA3" s="339"/>
      <c r="MGB3" s="339"/>
      <c r="MGC3" s="339"/>
      <c r="MGD3" s="339"/>
      <c r="MGE3" s="339"/>
      <c r="MGF3" s="339"/>
      <c r="MGG3" s="339"/>
      <c r="MGH3" s="339"/>
      <c r="MGI3" s="339"/>
      <c r="MGJ3" s="339"/>
      <c r="MGK3" s="339"/>
      <c r="MGL3" s="339"/>
      <c r="MGM3" s="339"/>
      <c r="MGN3" s="339"/>
      <c r="MGO3" s="339"/>
      <c r="MGP3" s="339"/>
      <c r="MGQ3" s="339"/>
      <c r="MGR3" s="339"/>
      <c r="MGS3" s="339"/>
      <c r="MGT3" s="339"/>
      <c r="MGU3" s="339"/>
      <c r="MGV3" s="339"/>
      <c r="MGW3" s="339"/>
      <c r="MGX3" s="339"/>
      <c r="MGY3" s="339"/>
      <c r="MGZ3" s="339"/>
      <c r="MHA3" s="339"/>
      <c r="MHB3" s="339"/>
      <c r="MHC3" s="339"/>
      <c r="MHD3" s="339"/>
      <c r="MHE3" s="339"/>
      <c r="MHF3" s="339"/>
      <c r="MHG3" s="339"/>
      <c r="MHH3" s="339"/>
      <c r="MHI3" s="339"/>
      <c r="MHJ3" s="339"/>
      <c r="MHK3" s="339"/>
      <c r="MHL3" s="339"/>
      <c r="MHM3" s="339"/>
      <c r="MHN3" s="339"/>
      <c r="MHO3" s="339"/>
      <c r="MHP3" s="339"/>
      <c r="MHQ3" s="339"/>
      <c r="MHR3" s="339"/>
      <c r="MHS3" s="339"/>
      <c r="MHT3" s="339"/>
      <c r="MHU3" s="339"/>
      <c r="MHV3" s="339"/>
      <c r="MHW3" s="339"/>
      <c r="MHX3" s="339"/>
      <c r="MHY3" s="339"/>
      <c r="MHZ3" s="339"/>
      <c r="MIA3" s="339"/>
      <c r="MIB3" s="339"/>
      <c r="MIC3" s="339"/>
      <c r="MID3" s="339"/>
      <c r="MIE3" s="339"/>
      <c r="MIF3" s="339"/>
      <c r="MIG3" s="339"/>
      <c r="MIH3" s="339"/>
      <c r="MII3" s="339"/>
      <c r="MIJ3" s="339"/>
      <c r="MIK3" s="339"/>
      <c r="MIL3" s="339"/>
      <c r="MIM3" s="339"/>
      <c r="MIN3" s="339"/>
      <c r="MIO3" s="339"/>
      <c r="MIP3" s="339"/>
      <c r="MIQ3" s="339"/>
      <c r="MIR3" s="339"/>
      <c r="MIS3" s="339"/>
      <c r="MIT3" s="339"/>
      <c r="MIU3" s="339"/>
      <c r="MIV3" s="339"/>
      <c r="MIW3" s="339"/>
      <c r="MIX3" s="339"/>
      <c r="MIY3" s="339"/>
      <c r="MIZ3" s="339"/>
      <c r="MJA3" s="339"/>
      <c r="MJB3" s="339"/>
      <c r="MJC3" s="339"/>
      <c r="MJD3" s="339"/>
      <c r="MJE3" s="339"/>
      <c r="MJF3" s="339"/>
      <c r="MJG3" s="339"/>
      <c r="MJH3" s="339"/>
      <c r="MJI3" s="339"/>
      <c r="MJJ3" s="339"/>
      <c r="MJK3" s="339"/>
      <c r="MJL3" s="339"/>
      <c r="MJM3" s="339"/>
      <c r="MJN3" s="339"/>
      <c r="MJO3" s="339"/>
      <c r="MJP3" s="339"/>
      <c r="MJQ3" s="339"/>
      <c r="MJR3" s="339"/>
      <c r="MJS3" s="339"/>
      <c r="MJT3" s="339"/>
      <c r="MJU3" s="339"/>
      <c r="MJV3" s="339"/>
      <c r="MJW3" s="339"/>
      <c r="MJX3" s="339"/>
      <c r="MJY3" s="339"/>
      <c r="MJZ3" s="339"/>
      <c r="MKA3" s="339"/>
      <c r="MKB3" s="339"/>
      <c r="MKC3" s="339"/>
      <c r="MKD3" s="339"/>
      <c r="MKE3" s="339"/>
      <c r="MKF3" s="339"/>
      <c r="MKG3" s="339"/>
      <c r="MKH3" s="339"/>
      <c r="MKI3" s="339"/>
      <c r="MKJ3" s="339"/>
      <c r="MKK3" s="339"/>
      <c r="MKL3" s="339"/>
      <c r="MKM3" s="339"/>
      <c r="MKN3" s="339"/>
      <c r="MKO3" s="339"/>
      <c r="MKP3" s="339"/>
      <c r="MKQ3" s="339"/>
      <c r="MKR3" s="339"/>
      <c r="MKS3" s="339"/>
      <c r="MKT3" s="339"/>
      <c r="MKU3" s="339"/>
      <c r="MKV3" s="339"/>
      <c r="MKW3" s="339"/>
      <c r="MKX3" s="339"/>
      <c r="MKY3" s="339"/>
      <c r="MKZ3" s="339"/>
      <c r="MLA3" s="339"/>
      <c r="MLB3" s="339"/>
      <c r="MLC3" s="339"/>
      <c r="MLD3" s="339"/>
      <c r="MLE3" s="339"/>
      <c r="MLF3" s="339"/>
      <c r="MLG3" s="339"/>
      <c r="MLH3" s="339"/>
      <c r="MLI3" s="339"/>
      <c r="MLJ3" s="339"/>
      <c r="MLK3" s="339"/>
      <c r="MLL3" s="339"/>
      <c r="MLM3" s="339"/>
      <c r="MLN3" s="339"/>
      <c r="MLO3" s="339"/>
      <c r="MLP3" s="339"/>
      <c r="MLQ3" s="339"/>
      <c r="MLR3" s="339"/>
      <c r="MLS3" s="339"/>
      <c r="MLT3" s="339"/>
      <c r="MLU3" s="339"/>
      <c r="MLV3" s="339"/>
      <c r="MLW3" s="339"/>
      <c r="MLX3" s="339"/>
      <c r="MLY3" s="339"/>
      <c r="MLZ3" s="339"/>
      <c r="MMA3" s="339"/>
      <c r="MMB3" s="339"/>
      <c r="MMC3" s="339"/>
      <c r="MMD3" s="339"/>
      <c r="MME3" s="339"/>
      <c r="MMF3" s="339"/>
      <c r="MMG3" s="339"/>
      <c r="MMH3" s="339"/>
      <c r="MMI3" s="339"/>
      <c r="MMJ3" s="339"/>
      <c r="MMK3" s="339"/>
      <c r="MML3" s="339"/>
      <c r="MMM3" s="339"/>
      <c r="MMN3" s="339"/>
      <c r="MMO3" s="339"/>
      <c r="MMP3" s="339"/>
      <c r="MMQ3" s="339"/>
      <c r="MMR3" s="339"/>
      <c r="MMS3" s="339"/>
      <c r="MMT3" s="339"/>
      <c r="MMU3" s="339"/>
      <c r="MMV3" s="339"/>
      <c r="MMW3" s="339"/>
      <c r="MMX3" s="339"/>
      <c r="MMY3" s="339"/>
      <c r="MMZ3" s="339"/>
      <c r="MNA3" s="339"/>
      <c r="MNB3" s="339"/>
      <c r="MNC3" s="339"/>
      <c r="MND3" s="339"/>
      <c r="MNE3" s="339"/>
      <c r="MNF3" s="339"/>
      <c r="MNG3" s="339"/>
      <c r="MNH3" s="339"/>
      <c r="MNI3" s="339"/>
      <c r="MNJ3" s="339"/>
      <c r="MNK3" s="339"/>
      <c r="MNL3" s="339"/>
      <c r="MNM3" s="339"/>
      <c r="MNN3" s="339"/>
      <c r="MNO3" s="339"/>
      <c r="MNP3" s="339"/>
      <c r="MNQ3" s="339"/>
      <c r="MNR3" s="339"/>
      <c r="MNS3" s="339"/>
      <c r="MNT3" s="339"/>
      <c r="MNU3" s="339"/>
      <c r="MNV3" s="339"/>
      <c r="MNW3" s="339"/>
      <c r="MNX3" s="339"/>
      <c r="MNY3" s="339"/>
      <c r="MNZ3" s="339"/>
      <c r="MOA3" s="339"/>
      <c r="MOB3" s="339"/>
      <c r="MOC3" s="339"/>
      <c r="MOD3" s="339"/>
      <c r="MOE3" s="339"/>
      <c r="MOF3" s="339"/>
      <c r="MOG3" s="339"/>
      <c r="MOH3" s="339"/>
      <c r="MOI3" s="339"/>
      <c r="MOJ3" s="339"/>
      <c r="MOK3" s="339"/>
      <c r="MOL3" s="339"/>
      <c r="MOM3" s="339"/>
      <c r="MON3" s="339"/>
      <c r="MOO3" s="339"/>
      <c r="MOP3" s="339"/>
      <c r="MOQ3" s="339"/>
      <c r="MOR3" s="339"/>
      <c r="MOS3" s="339"/>
      <c r="MOT3" s="339"/>
      <c r="MOU3" s="339"/>
      <c r="MOV3" s="339"/>
      <c r="MOW3" s="339"/>
      <c r="MOX3" s="339"/>
      <c r="MOY3" s="339"/>
      <c r="MOZ3" s="339"/>
      <c r="MPA3" s="339"/>
      <c r="MPB3" s="339"/>
      <c r="MPC3" s="339"/>
      <c r="MPD3" s="339"/>
      <c r="MPE3" s="339"/>
      <c r="MPF3" s="339"/>
      <c r="MPG3" s="339"/>
      <c r="MPH3" s="339"/>
      <c r="MPI3" s="339"/>
      <c r="MPJ3" s="339"/>
      <c r="MPK3" s="339"/>
      <c r="MPL3" s="339"/>
      <c r="MPM3" s="339"/>
      <c r="MPN3" s="339"/>
      <c r="MPO3" s="339"/>
      <c r="MPP3" s="339"/>
      <c r="MPQ3" s="339"/>
      <c r="MPR3" s="339"/>
      <c r="MPS3" s="339"/>
      <c r="MPT3" s="339"/>
      <c r="MPU3" s="339"/>
      <c r="MPV3" s="339"/>
      <c r="MPW3" s="339"/>
      <c r="MPX3" s="339"/>
      <c r="MPY3" s="339"/>
      <c r="MPZ3" s="339"/>
      <c r="MQA3" s="339"/>
      <c r="MQB3" s="339"/>
      <c r="MQC3" s="339"/>
      <c r="MQD3" s="339"/>
      <c r="MQE3" s="339"/>
      <c r="MQF3" s="339"/>
      <c r="MQG3" s="339"/>
      <c r="MQH3" s="339"/>
      <c r="MQI3" s="339"/>
      <c r="MQJ3" s="339"/>
      <c r="MQK3" s="339"/>
      <c r="MQL3" s="339"/>
      <c r="MQM3" s="339"/>
      <c r="MQN3" s="339"/>
      <c r="MQO3" s="339"/>
      <c r="MQP3" s="339"/>
      <c r="MQQ3" s="339"/>
      <c r="MQR3" s="339"/>
      <c r="MQS3" s="339"/>
      <c r="MQT3" s="339"/>
      <c r="MQU3" s="339"/>
      <c r="MQV3" s="339"/>
      <c r="MQW3" s="339"/>
      <c r="MQX3" s="339"/>
      <c r="MQY3" s="339"/>
      <c r="MQZ3" s="339"/>
      <c r="MRA3" s="339"/>
      <c r="MRB3" s="339"/>
      <c r="MRC3" s="339"/>
      <c r="MRD3" s="339"/>
      <c r="MRE3" s="339"/>
      <c r="MRF3" s="339"/>
      <c r="MRG3" s="339"/>
      <c r="MRH3" s="339"/>
      <c r="MRI3" s="339"/>
      <c r="MRJ3" s="339"/>
      <c r="MRK3" s="339"/>
      <c r="MRL3" s="339"/>
      <c r="MRM3" s="339"/>
      <c r="MRN3" s="339"/>
      <c r="MRO3" s="339"/>
      <c r="MRP3" s="339"/>
      <c r="MRQ3" s="339"/>
      <c r="MRR3" s="339"/>
      <c r="MRS3" s="339"/>
      <c r="MRT3" s="339"/>
      <c r="MRU3" s="339"/>
      <c r="MRV3" s="339"/>
      <c r="MRW3" s="339"/>
      <c r="MRX3" s="339"/>
      <c r="MRY3" s="339"/>
      <c r="MRZ3" s="339"/>
      <c r="MSA3" s="339"/>
      <c r="MSB3" s="339"/>
      <c r="MSC3" s="339"/>
      <c r="MSD3" s="339"/>
      <c r="MSE3" s="339"/>
      <c r="MSF3" s="339"/>
      <c r="MSG3" s="339"/>
      <c r="MSH3" s="339"/>
      <c r="MSI3" s="339"/>
      <c r="MSJ3" s="339"/>
      <c r="MSK3" s="339"/>
      <c r="MSL3" s="339"/>
      <c r="MSM3" s="339"/>
      <c r="MSN3" s="339"/>
      <c r="MSO3" s="339"/>
      <c r="MSP3" s="339"/>
      <c r="MSQ3" s="339"/>
      <c r="MSR3" s="339"/>
      <c r="MSS3" s="339"/>
      <c r="MST3" s="339"/>
      <c r="MSU3" s="339"/>
      <c r="MSV3" s="339"/>
      <c r="MSW3" s="339"/>
      <c r="MSX3" s="339"/>
      <c r="MSY3" s="339"/>
      <c r="MSZ3" s="339"/>
      <c r="MTA3" s="339"/>
      <c r="MTB3" s="339"/>
      <c r="MTC3" s="339"/>
      <c r="MTD3" s="339"/>
      <c r="MTE3" s="339"/>
      <c r="MTF3" s="339"/>
      <c r="MTG3" s="339"/>
      <c r="MTH3" s="339"/>
      <c r="MTI3" s="339"/>
      <c r="MTJ3" s="339"/>
      <c r="MTK3" s="339"/>
      <c r="MTL3" s="339"/>
      <c r="MTM3" s="339"/>
      <c r="MTN3" s="339"/>
      <c r="MTO3" s="339"/>
      <c r="MTP3" s="339"/>
      <c r="MTQ3" s="339"/>
      <c r="MTR3" s="339"/>
      <c r="MTS3" s="339"/>
      <c r="MTT3" s="339"/>
      <c r="MTU3" s="339"/>
      <c r="MTV3" s="339"/>
      <c r="MTW3" s="339"/>
      <c r="MTX3" s="339"/>
      <c r="MTY3" s="339"/>
      <c r="MTZ3" s="339"/>
      <c r="MUA3" s="339"/>
      <c r="MUB3" s="339"/>
      <c r="MUC3" s="339"/>
      <c r="MUD3" s="339"/>
      <c r="MUE3" s="339"/>
      <c r="MUF3" s="339"/>
      <c r="MUG3" s="339"/>
      <c r="MUH3" s="339"/>
      <c r="MUI3" s="339"/>
      <c r="MUJ3" s="339"/>
      <c r="MUK3" s="339"/>
      <c r="MUL3" s="339"/>
      <c r="MUM3" s="339"/>
      <c r="MUN3" s="339"/>
      <c r="MUO3" s="339"/>
      <c r="MUP3" s="339"/>
      <c r="MUQ3" s="339"/>
      <c r="MUR3" s="339"/>
      <c r="MUS3" s="339"/>
      <c r="MUT3" s="339"/>
      <c r="MUU3" s="339"/>
      <c r="MUV3" s="339"/>
      <c r="MUW3" s="339"/>
      <c r="MUX3" s="339"/>
      <c r="MUY3" s="339"/>
      <c r="MUZ3" s="339"/>
      <c r="MVA3" s="339"/>
      <c r="MVB3" s="339"/>
      <c r="MVC3" s="339"/>
      <c r="MVD3" s="339"/>
      <c r="MVE3" s="339"/>
      <c r="MVF3" s="339"/>
      <c r="MVG3" s="339"/>
      <c r="MVH3" s="339"/>
      <c r="MVI3" s="339"/>
      <c r="MVJ3" s="339"/>
      <c r="MVK3" s="339"/>
      <c r="MVL3" s="339"/>
      <c r="MVM3" s="339"/>
      <c r="MVN3" s="339"/>
      <c r="MVO3" s="339"/>
      <c r="MVP3" s="339"/>
      <c r="MVQ3" s="339"/>
      <c r="MVR3" s="339"/>
      <c r="MVS3" s="339"/>
      <c r="MVT3" s="339"/>
      <c r="MVU3" s="339"/>
      <c r="MVV3" s="339"/>
      <c r="MVW3" s="339"/>
      <c r="MVX3" s="339"/>
      <c r="MVY3" s="339"/>
      <c r="MVZ3" s="339"/>
      <c r="MWA3" s="339"/>
      <c r="MWB3" s="339"/>
      <c r="MWC3" s="339"/>
      <c r="MWD3" s="339"/>
      <c r="MWE3" s="339"/>
      <c r="MWF3" s="339"/>
      <c r="MWG3" s="339"/>
      <c r="MWH3" s="339"/>
      <c r="MWI3" s="339"/>
      <c r="MWJ3" s="339"/>
      <c r="MWK3" s="339"/>
      <c r="MWL3" s="339"/>
      <c r="MWM3" s="339"/>
      <c r="MWN3" s="339"/>
      <c r="MWO3" s="339"/>
      <c r="MWP3" s="339"/>
      <c r="MWQ3" s="339"/>
      <c r="MWR3" s="339"/>
      <c r="MWS3" s="339"/>
      <c r="MWT3" s="339"/>
      <c r="MWU3" s="339"/>
      <c r="MWV3" s="339"/>
      <c r="MWW3" s="339"/>
      <c r="MWX3" s="339"/>
      <c r="MWY3" s="339"/>
      <c r="MWZ3" s="339"/>
      <c r="MXA3" s="339"/>
      <c r="MXB3" s="339"/>
      <c r="MXC3" s="339"/>
      <c r="MXD3" s="339"/>
      <c r="MXE3" s="339"/>
      <c r="MXF3" s="339"/>
      <c r="MXG3" s="339"/>
      <c r="MXH3" s="339"/>
      <c r="MXI3" s="339"/>
      <c r="MXJ3" s="339"/>
      <c r="MXK3" s="339"/>
      <c r="MXL3" s="339"/>
      <c r="MXM3" s="339"/>
      <c r="MXN3" s="339"/>
      <c r="MXO3" s="339"/>
      <c r="MXP3" s="339"/>
      <c r="MXQ3" s="339"/>
      <c r="MXR3" s="339"/>
      <c r="MXS3" s="339"/>
      <c r="MXT3" s="339"/>
      <c r="MXU3" s="339"/>
      <c r="MXV3" s="339"/>
      <c r="MXW3" s="339"/>
      <c r="MXX3" s="339"/>
      <c r="MXY3" s="339"/>
      <c r="MXZ3" s="339"/>
      <c r="MYA3" s="339"/>
      <c r="MYB3" s="339"/>
      <c r="MYC3" s="339"/>
      <c r="MYD3" s="339"/>
      <c r="MYE3" s="339"/>
      <c r="MYF3" s="339"/>
      <c r="MYG3" s="339"/>
      <c r="MYH3" s="339"/>
      <c r="MYI3" s="339"/>
      <c r="MYJ3" s="339"/>
      <c r="MYK3" s="339"/>
      <c r="MYL3" s="339"/>
      <c r="MYM3" s="339"/>
      <c r="MYN3" s="339"/>
      <c r="MYO3" s="339"/>
      <c r="MYP3" s="339"/>
      <c r="MYQ3" s="339"/>
      <c r="MYR3" s="339"/>
      <c r="MYS3" s="339"/>
      <c r="MYT3" s="339"/>
      <c r="MYU3" s="339"/>
      <c r="MYV3" s="339"/>
      <c r="MYW3" s="339"/>
      <c r="MYX3" s="339"/>
      <c r="MYY3" s="339"/>
      <c r="MYZ3" s="339"/>
      <c r="MZA3" s="339"/>
      <c r="MZB3" s="339"/>
      <c r="MZC3" s="339"/>
      <c r="MZD3" s="339"/>
      <c r="MZE3" s="339"/>
      <c r="MZF3" s="339"/>
      <c r="MZG3" s="339"/>
      <c r="MZH3" s="339"/>
      <c r="MZI3" s="339"/>
      <c r="MZJ3" s="339"/>
      <c r="MZK3" s="339"/>
      <c r="MZL3" s="339"/>
      <c r="MZM3" s="339"/>
      <c r="MZN3" s="339"/>
      <c r="MZO3" s="339"/>
      <c r="MZP3" s="339"/>
      <c r="MZQ3" s="339"/>
      <c r="MZR3" s="339"/>
      <c r="MZS3" s="339"/>
      <c r="MZT3" s="339"/>
      <c r="MZU3" s="339"/>
      <c r="MZV3" s="339"/>
      <c r="MZW3" s="339"/>
      <c r="MZX3" s="339"/>
      <c r="MZY3" s="339"/>
      <c r="MZZ3" s="339"/>
      <c r="NAA3" s="339"/>
      <c r="NAB3" s="339"/>
      <c r="NAC3" s="339"/>
      <c r="NAD3" s="339"/>
      <c r="NAE3" s="339"/>
      <c r="NAF3" s="339"/>
      <c r="NAG3" s="339"/>
      <c r="NAH3" s="339"/>
      <c r="NAI3" s="339"/>
      <c r="NAJ3" s="339"/>
      <c r="NAK3" s="339"/>
      <c r="NAL3" s="339"/>
      <c r="NAM3" s="339"/>
      <c r="NAN3" s="339"/>
      <c r="NAO3" s="339"/>
      <c r="NAP3" s="339"/>
      <c r="NAQ3" s="339"/>
      <c r="NAR3" s="339"/>
      <c r="NAS3" s="339"/>
      <c r="NAT3" s="339"/>
      <c r="NAU3" s="339"/>
      <c r="NAV3" s="339"/>
      <c r="NAW3" s="339"/>
      <c r="NAX3" s="339"/>
      <c r="NAY3" s="339"/>
      <c r="NAZ3" s="339"/>
      <c r="NBA3" s="339"/>
      <c r="NBB3" s="339"/>
      <c r="NBC3" s="339"/>
      <c r="NBD3" s="339"/>
      <c r="NBE3" s="339"/>
      <c r="NBF3" s="339"/>
      <c r="NBG3" s="339"/>
      <c r="NBH3" s="339"/>
      <c r="NBI3" s="339"/>
      <c r="NBJ3" s="339"/>
      <c r="NBK3" s="339"/>
      <c r="NBL3" s="339"/>
      <c r="NBM3" s="339"/>
      <c r="NBN3" s="339"/>
      <c r="NBO3" s="339"/>
      <c r="NBP3" s="339"/>
      <c r="NBQ3" s="339"/>
      <c r="NBR3" s="339"/>
      <c r="NBS3" s="339"/>
      <c r="NBT3" s="339"/>
      <c r="NBU3" s="339"/>
      <c r="NBV3" s="339"/>
      <c r="NBW3" s="339"/>
      <c r="NBX3" s="339"/>
      <c r="NBY3" s="339"/>
      <c r="NBZ3" s="339"/>
      <c r="NCA3" s="339"/>
      <c r="NCB3" s="339"/>
      <c r="NCC3" s="339"/>
      <c r="NCD3" s="339"/>
      <c r="NCE3" s="339"/>
      <c r="NCF3" s="339"/>
      <c r="NCG3" s="339"/>
      <c r="NCH3" s="339"/>
      <c r="NCI3" s="339"/>
      <c r="NCJ3" s="339"/>
      <c r="NCK3" s="339"/>
      <c r="NCL3" s="339"/>
      <c r="NCM3" s="339"/>
      <c r="NCN3" s="339"/>
      <c r="NCO3" s="339"/>
      <c r="NCP3" s="339"/>
      <c r="NCQ3" s="339"/>
      <c r="NCR3" s="339"/>
      <c r="NCS3" s="339"/>
      <c r="NCT3" s="339"/>
      <c r="NCU3" s="339"/>
      <c r="NCV3" s="339"/>
      <c r="NCW3" s="339"/>
      <c r="NCX3" s="339"/>
      <c r="NCY3" s="339"/>
      <c r="NCZ3" s="339"/>
      <c r="NDA3" s="339"/>
      <c r="NDB3" s="339"/>
      <c r="NDC3" s="339"/>
      <c r="NDD3" s="339"/>
      <c r="NDE3" s="339"/>
      <c r="NDF3" s="339"/>
      <c r="NDG3" s="339"/>
      <c r="NDH3" s="339"/>
      <c r="NDI3" s="339"/>
      <c r="NDJ3" s="339"/>
      <c r="NDK3" s="339"/>
      <c r="NDL3" s="339"/>
      <c r="NDM3" s="339"/>
      <c r="NDN3" s="339"/>
      <c r="NDO3" s="339"/>
      <c r="NDP3" s="339"/>
      <c r="NDQ3" s="339"/>
      <c r="NDR3" s="339"/>
      <c r="NDS3" s="339"/>
      <c r="NDT3" s="339"/>
      <c r="NDU3" s="339"/>
      <c r="NDV3" s="339"/>
      <c r="NDW3" s="339"/>
      <c r="NDX3" s="339"/>
      <c r="NDY3" s="339"/>
      <c r="NDZ3" s="339"/>
      <c r="NEA3" s="339"/>
      <c r="NEB3" s="339"/>
      <c r="NEC3" s="339"/>
      <c r="NED3" s="339"/>
      <c r="NEE3" s="339"/>
      <c r="NEF3" s="339"/>
      <c r="NEG3" s="339"/>
      <c r="NEH3" s="339"/>
      <c r="NEI3" s="339"/>
      <c r="NEJ3" s="339"/>
      <c r="NEK3" s="339"/>
      <c r="NEL3" s="339"/>
      <c r="NEM3" s="339"/>
      <c r="NEN3" s="339"/>
      <c r="NEO3" s="339"/>
      <c r="NEP3" s="339"/>
      <c r="NEQ3" s="339"/>
      <c r="NER3" s="339"/>
      <c r="NES3" s="339"/>
      <c r="NET3" s="339"/>
      <c r="NEU3" s="339"/>
      <c r="NEV3" s="339"/>
      <c r="NEW3" s="339"/>
      <c r="NEX3" s="339"/>
      <c r="NEY3" s="339"/>
      <c r="NEZ3" s="339"/>
      <c r="NFA3" s="339"/>
      <c r="NFB3" s="339"/>
      <c r="NFC3" s="339"/>
      <c r="NFD3" s="339"/>
      <c r="NFE3" s="339"/>
      <c r="NFF3" s="339"/>
      <c r="NFG3" s="339"/>
      <c r="NFH3" s="339"/>
      <c r="NFI3" s="339"/>
      <c r="NFJ3" s="339"/>
      <c r="NFK3" s="339"/>
      <c r="NFL3" s="339"/>
      <c r="NFM3" s="339"/>
      <c r="NFN3" s="339"/>
      <c r="NFO3" s="339"/>
      <c r="NFP3" s="339"/>
      <c r="NFQ3" s="339"/>
      <c r="NFR3" s="339"/>
      <c r="NFS3" s="339"/>
      <c r="NFT3" s="339"/>
      <c r="NFU3" s="339"/>
      <c r="NFV3" s="339"/>
      <c r="NFW3" s="339"/>
      <c r="NFX3" s="339"/>
      <c r="NFY3" s="339"/>
      <c r="NFZ3" s="339"/>
      <c r="NGA3" s="339"/>
      <c r="NGB3" s="339"/>
      <c r="NGC3" s="339"/>
      <c r="NGD3" s="339"/>
      <c r="NGE3" s="339"/>
      <c r="NGF3" s="339"/>
      <c r="NGG3" s="339"/>
      <c r="NGH3" s="339"/>
      <c r="NGI3" s="339"/>
      <c r="NGJ3" s="339"/>
      <c r="NGK3" s="339"/>
      <c r="NGL3" s="339"/>
      <c r="NGM3" s="339"/>
      <c r="NGN3" s="339"/>
      <c r="NGO3" s="339"/>
      <c r="NGP3" s="339"/>
      <c r="NGQ3" s="339"/>
      <c r="NGR3" s="339"/>
      <c r="NGS3" s="339"/>
      <c r="NGT3" s="339"/>
      <c r="NGU3" s="339"/>
      <c r="NGV3" s="339"/>
      <c r="NGW3" s="339"/>
      <c r="NGX3" s="339"/>
      <c r="NGY3" s="339"/>
      <c r="NGZ3" s="339"/>
      <c r="NHA3" s="339"/>
      <c r="NHB3" s="339"/>
      <c r="NHC3" s="339"/>
      <c r="NHD3" s="339"/>
      <c r="NHE3" s="339"/>
      <c r="NHF3" s="339"/>
      <c r="NHG3" s="339"/>
      <c r="NHH3" s="339"/>
      <c r="NHI3" s="339"/>
      <c r="NHJ3" s="339"/>
      <c r="NHK3" s="339"/>
      <c r="NHL3" s="339"/>
      <c r="NHM3" s="339"/>
      <c r="NHN3" s="339"/>
      <c r="NHO3" s="339"/>
      <c r="NHP3" s="339"/>
      <c r="NHQ3" s="339"/>
      <c r="NHR3" s="339"/>
      <c r="NHS3" s="339"/>
      <c r="NHT3" s="339"/>
      <c r="NHU3" s="339"/>
      <c r="NHV3" s="339"/>
      <c r="NHW3" s="339"/>
      <c r="NHX3" s="339"/>
      <c r="NHY3" s="339"/>
      <c r="NHZ3" s="339"/>
      <c r="NIA3" s="339"/>
      <c r="NIB3" s="339"/>
      <c r="NIC3" s="339"/>
      <c r="NID3" s="339"/>
      <c r="NIE3" s="339"/>
      <c r="NIF3" s="339"/>
      <c r="NIG3" s="339"/>
      <c r="NIH3" s="339"/>
      <c r="NII3" s="339"/>
      <c r="NIJ3" s="339"/>
      <c r="NIK3" s="339"/>
      <c r="NIL3" s="339"/>
      <c r="NIM3" s="339"/>
      <c r="NIN3" s="339"/>
      <c r="NIO3" s="339"/>
      <c r="NIP3" s="339"/>
      <c r="NIQ3" s="339"/>
      <c r="NIR3" s="339"/>
      <c r="NIS3" s="339"/>
      <c r="NIT3" s="339"/>
      <c r="NIU3" s="339"/>
      <c r="NIV3" s="339"/>
      <c r="NIW3" s="339"/>
      <c r="NIX3" s="339"/>
      <c r="NIY3" s="339"/>
      <c r="NIZ3" s="339"/>
      <c r="NJA3" s="339"/>
      <c r="NJB3" s="339"/>
      <c r="NJC3" s="339"/>
      <c r="NJD3" s="339"/>
      <c r="NJE3" s="339"/>
      <c r="NJF3" s="339"/>
      <c r="NJG3" s="339"/>
      <c r="NJH3" s="339"/>
      <c r="NJI3" s="339"/>
      <c r="NJJ3" s="339"/>
      <c r="NJK3" s="339"/>
      <c r="NJL3" s="339"/>
      <c r="NJM3" s="339"/>
      <c r="NJN3" s="339"/>
      <c r="NJO3" s="339"/>
      <c r="NJP3" s="339"/>
      <c r="NJQ3" s="339"/>
      <c r="NJR3" s="339"/>
      <c r="NJS3" s="339"/>
      <c r="NJT3" s="339"/>
      <c r="NJU3" s="339"/>
      <c r="NJV3" s="339"/>
      <c r="NJW3" s="339"/>
      <c r="NJX3" s="339"/>
      <c r="NJY3" s="339"/>
      <c r="NJZ3" s="339"/>
      <c r="NKA3" s="339"/>
      <c r="NKB3" s="339"/>
      <c r="NKC3" s="339"/>
      <c r="NKD3" s="339"/>
      <c r="NKE3" s="339"/>
      <c r="NKF3" s="339"/>
      <c r="NKG3" s="339"/>
      <c r="NKH3" s="339"/>
      <c r="NKI3" s="339"/>
      <c r="NKJ3" s="339"/>
      <c r="NKK3" s="339"/>
      <c r="NKL3" s="339"/>
      <c r="NKM3" s="339"/>
      <c r="NKN3" s="339"/>
      <c r="NKO3" s="339"/>
      <c r="NKP3" s="339"/>
      <c r="NKQ3" s="339"/>
      <c r="NKR3" s="339"/>
      <c r="NKS3" s="339"/>
      <c r="NKT3" s="339"/>
      <c r="NKU3" s="339"/>
      <c r="NKV3" s="339"/>
      <c r="NKW3" s="339"/>
      <c r="NKX3" s="339"/>
      <c r="NKY3" s="339"/>
      <c r="NKZ3" s="339"/>
      <c r="NLA3" s="339"/>
      <c r="NLB3" s="339"/>
      <c r="NLC3" s="339"/>
      <c r="NLD3" s="339"/>
      <c r="NLE3" s="339"/>
      <c r="NLF3" s="339"/>
      <c r="NLG3" s="339"/>
      <c r="NLH3" s="339"/>
      <c r="NLI3" s="339"/>
      <c r="NLJ3" s="339"/>
      <c r="NLK3" s="339"/>
      <c r="NLL3" s="339"/>
      <c r="NLM3" s="339"/>
      <c r="NLN3" s="339"/>
      <c r="NLO3" s="339"/>
      <c r="NLP3" s="339"/>
      <c r="NLQ3" s="339"/>
      <c r="NLR3" s="339"/>
      <c r="NLS3" s="339"/>
      <c r="NLT3" s="339"/>
      <c r="NLU3" s="339"/>
      <c r="NLV3" s="339"/>
      <c r="NLW3" s="339"/>
      <c r="NLX3" s="339"/>
      <c r="NLY3" s="339"/>
      <c r="NLZ3" s="339"/>
      <c r="NMA3" s="339"/>
      <c r="NMB3" s="339"/>
      <c r="NMC3" s="339"/>
      <c r="NMD3" s="339"/>
      <c r="NME3" s="339"/>
      <c r="NMF3" s="339"/>
      <c r="NMG3" s="339"/>
      <c r="NMH3" s="339"/>
      <c r="NMI3" s="339"/>
      <c r="NMJ3" s="339"/>
      <c r="NMK3" s="339"/>
      <c r="NML3" s="339"/>
      <c r="NMM3" s="339"/>
      <c r="NMN3" s="339"/>
      <c r="NMO3" s="339"/>
      <c r="NMP3" s="339"/>
      <c r="NMQ3" s="339"/>
      <c r="NMR3" s="339"/>
      <c r="NMS3" s="339"/>
      <c r="NMT3" s="339"/>
      <c r="NMU3" s="339"/>
      <c r="NMV3" s="339"/>
      <c r="NMW3" s="339"/>
      <c r="NMX3" s="339"/>
      <c r="NMY3" s="339"/>
      <c r="NMZ3" s="339"/>
      <c r="NNA3" s="339"/>
      <c r="NNB3" s="339"/>
      <c r="NNC3" s="339"/>
      <c r="NND3" s="339"/>
      <c r="NNE3" s="339"/>
      <c r="NNF3" s="339"/>
      <c r="NNG3" s="339"/>
      <c r="NNH3" s="339"/>
      <c r="NNI3" s="339"/>
      <c r="NNJ3" s="339"/>
      <c r="NNK3" s="339"/>
      <c r="NNL3" s="339"/>
      <c r="NNM3" s="339"/>
      <c r="NNN3" s="339"/>
      <c r="NNO3" s="339"/>
      <c r="NNP3" s="339"/>
      <c r="NNQ3" s="339"/>
      <c r="NNR3" s="339"/>
      <c r="NNS3" s="339"/>
      <c r="NNT3" s="339"/>
      <c r="NNU3" s="339"/>
      <c r="NNV3" s="339"/>
      <c r="NNW3" s="339"/>
      <c r="NNX3" s="339"/>
      <c r="NNY3" s="339"/>
      <c r="NNZ3" s="339"/>
      <c r="NOA3" s="339"/>
      <c r="NOB3" s="339"/>
      <c r="NOC3" s="339"/>
      <c r="NOD3" s="339"/>
      <c r="NOE3" s="339"/>
      <c r="NOF3" s="339"/>
      <c r="NOG3" s="339"/>
      <c r="NOH3" s="339"/>
      <c r="NOI3" s="339"/>
      <c r="NOJ3" s="339"/>
      <c r="NOK3" s="339"/>
      <c r="NOL3" s="339"/>
      <c r="NOM3" s="339"/>
      <c r="NON3" s="339"/>
      <c r="NOO3" s="339"/>
      <c r="NOP3" s="339"/>
      <c r="NOQ3" s="339"/>
      <c r="NOR3" s="339"/>
      <c r="NOS3" s="339"/>
      <c r="NOT3" s="339"/>
      <c r="NOU3" s="339"/>
      <c r="NOV3" s="339"/>
      <c r="NOW3" s="339"/>
      <c r="NOX3" s="339"/>
      <c r="NOY3" s="339"/>
      <c r="NOZ3" s="339"/>
      <c r="NPA3" s="339"/>
      <c r="NPB3" s="339"/>
      <c r="NPC3" s="339"/>
      <c r="NPD3" s="339"/>
      <c r="NPE3" s="339"/>
      <c r="NPF3" s="339"/>
      <c r="NPG3" s="339"/>
      <c r="NPH3" s="339"/>
      <c r="NPI3" s="339"/>
      <c r="NPJ3" s="339"/>
      <c r="NPK3" s="339"/>
      <c r="NPL3" s="339"/>
      <c r="NPM3" s="339"/>
      <c r="NPN3" s="339"/>
      <c r="NPO3" s="339"/>
      <c r="NPP3" s="339"/>
      <c r="NPQ3" s="339"/>
      <c r="NPR3" s="339"/>
      <c r="NPS3" s="339"/>
      <c r="NPT3" s="339"/>
      <c r="NPU3" s="339"/>
      <c r="NPV3" s="339"/>
      <c r="NPW3" s="339"/>
      <c r="NPX3" s="339"/>
      <c r="NPY3" s="339"/>
      <c r="NPZ3" s="339"/>
      <c r="NQA3" s="339"/>
      <c r="NQB3" s="339"/>
      <c r="NQC3" s="339"/>
      <c r="NQD3" s="339"/>
      <c r="NQE3" s="339"/>
      <c r="NQF3" s="339"/>
      <c r="NQG3" s="339"/>
      <c r="NQH3" s="339"/>
      <c r="NQI3" s="339"/>
      <c r="NQJ3" s="339"/>
      <c r="NQK3" s="339"/>
      <c r="NQL3" s="339"/>
      <c r="NQM3" s="339"/>
      <c r="NQN3" s="339"/>
      <c r="NQO3" s="339"/>
      <c r="NQP3" s="339"/>
      <c r="NQQ3" s="339"/>
      <c r="NQR3" s="339"/>
      <c r="NQS3" s="339"/>
      <c r="NQT3" s="339"/>
      <c r="NQU3" s="339"/>
      <c r="NQV3" s="339"/>
      <c r="NQW3" s="339"/>
      <c r="NQX3" s="339"/>
      <c r="NQY3" s="339"/>
      <c r="NQZ3" s="339"/>
      <c r="NRA3" s="339"/>
      <c r="NRB3" s="339"/>
      <c r="NRC3" s="339"/>
      <c r="NRD3" s="339"/>
      <c r="NRE3" s="339"/>
      <c r="NRF3" s="339"/>
      <c r="NRG3" s="339"/>
      <c r="NRH3" s="339"/>
      <c r="NRI3" s="339"/>
      <c r="NRJ3" s="339"/>
      <c r="NRK3" s="339"/>
      <c r="NRL3" s="339"/>
      <c r="NRM3" s="339"/>
      <c r="NRN3" s="339"/>
      <c r="NRO3" s="339"/>
      <c r="NRP3" s="339"/>
      <c r="NRQ3" s="339"/>
      <c r="NRR3" s="339"/>
      <c r="NRS3" s="339"/>
      <c r="NRT3" s="339"/>
      <c r="NRU3" s="339"/>
      <c r="NRV3" s="339"/>
      <c r="NRW3" s="339"/>
      <c r="NRX3" s="339"/>
      <c r="NRY3" s="339"/>
      <c r="NRZ3" s="339"/>
      <c r="NSA3" s="339"/>
      <c r="NSB3" s="339"/>
      <c r="NSC3" s="339"/>
      <c r="NSD3" s="339"/>
      <c r="NSE3" s="339"/>
      <c r="NSF3" s="339"/>
      <c r="NSG3" s="339"/>
      <c r="NSH3" s="339"/>
      <c r="NSI3" s="339"/>
      <c r="NSJ3" s="339"/>
      <c r="NSK3" s="339"/>
      <c r="NSL3" s="339"/>
      <c r="NSM3" s="339"/>
      <c r="NSN3" s="339"/>
      <c r="NSO3" s="339"/>
      <c r="NSP3" s="339"/>
      <c r="NSQ3" s="339"/>
      <c r="NSR3" s="339"/>
      <c r="NSS3" s="339"/>
      <c r="NST3" s="339"/>
      <c r="NSU3" s="339"/>
      <c r="NSV3" s="339"/>
      <c r="NSW3" s="339"/>
      <c r="NSX3" s="339"/>
      <c r="NSY3" s="339"/>
      <c r="NSZ3" s="339"/>
      <c r="NTA3" s="339"/>
      <c r="NTB3" s="339"/>
      <c r="NTC3" s="339"/>
      <c r="NTD3" s="339"/>
      <c r="NTE3" s="339"/>
      <c r="NTF3" s="339"/>
      <c r="NTG3" s="339"/>
      <c r="NTH3" s="339"/>
      <c r="NTI3" s="339"/>
      <c r="NTJ3" s="339"/>
      <c r="NTK3" s="339"/>
      <c r="NTL3" s="339"/>
      <c r="NTM3" s="339"/>
      <c r="NTN3" s="339"/>
      <c r="NTO3" s="339"/>
      <c r="NTP3" s="339"/>
      <c r="NTQ3" s="339"/>
      <c r="NTR3" s="339"/>
      <c r="NTS3" s="339"/>
      <c r="NTT3" s="339"/>
      <c r="NTU3" s="339"/>
      <c r="NTV3" s="339"/>
      <c r="NTW3" s="339"/>
      <c r="NTX3" s="339"/>
      <c r="NTY3" s="339"/>
      <c r="NTZ3" s="339"/>
      <c r="NUA3" s="339"/>
      <c r="NUB3" s="339"/>
      <c r="NUC3" s="339"/>
      <c r="NUD3" s="339"/>
      <c r="NUE3" s="339"/>
      <c r="NUF3" s="339"/>
      <c r="NUG3" s="339"/>
      <c r="NUH3" s="339"/>
      <c r="NUI3" s="339"/>
      <c r="NUJ3" s="339"/>
      <c r="NUK3" s="339"/>
      <c r="NUL3" s="339"/>
      <c r="NUM3" s="339"/>
      <c r="NUN3" s="339"/>
      <c r="NUO3" s="339"/>
      <c r="NUP3" s="339"/>
      <c r="NUQ3" s="339"/>
      <c r="NUR3" s="339"/>
      <c r="NUS3" s="339"/>
      <c r="NUT3" s="339"/>
      <c r="NUU3" s="339"/>
      <c r="NUV3" s="339"/>
      <c r="NUW3" s="339"/>
      <c r="NUX3" s="339"/>
      <c r="NUY3" s="339"/>
      <c r="NUZ3" s="339"/>
      <c r="NVA3" s="339"/>
      <c r="NVB3" s="339"/>
      <c r="NVC3" s="339"/>
      <c r="NVD3" s="339"/>
      <c r="NVE3" s="339"/>
      <c r="NVF3" s="339"/>
      <c r="NVG3" s="339"/>
      <c r="NVH3" s="339"/>
      <c r="NVI3" s="339"/>
      <c r="NVJ3" s="339"/>
      <c r="NVK3" s="339"/>
      <c r="NVL3" s="339"/>
      <c r="NVM3" s="339"/>
      <c r="NVN3" s="339"/>
      <c r="NVO3" s="339"/>
      <c r="NVP3" s="339"/>
      <c r="NVQ3" s="339"/>
      <c r="NVR3" s="339"/>
      <c r="NVS3" s="339"/>
      <c r="NVT3" s="339"/>
      <c r="NVU3" s="339"/>
      <c r="NVV3" s="339"/>
      <c r="NVW3" s="339"/>
      <c r="NVX3" s="339"/>
      <c r="NVY3" s="339"/>
      <c r="NVZ3" s="339"/>
      <c r="NWA3" s="339"/>
      <c r="NWB3" s="339"/>
      <c r="NWC3" s="339"/>
      <c r="NWD3" s="339"/>
      <c r="NWE3" s="339"/>
      <c r="NWF3" s="339"/>
      <c r="NWG3" s="339"/>
      <c r="NWH3" s="339"/>
      <c r="NWI3" s="339"/>
      <c r="NWJ3" s="339"/>
      <c r="NWK3" s="339"/>
      <c r="NWL3" s="339"/>
      <c r="NWM3" s="339"/>
      <c r="NWN3" s="339"/>
      <c r="NWO3" s="339"/>
      <c r="NWP3" s="339"/>
      <c r="NWQ3" s="339"/>
      <c r="NWR3" s="339"/>
      <c r="NWS3" s="339"/>
      <c r="NWT3" s="339"/>
      <c r="NWU3" s="339"/>
      <c r="NWV3" s="339"/>
      <c r="NWW3" s="339"/>
      <c r="NWX3" s="339"/>
      <c r="NWY3" s="339"/>
      <c r="NWZ3" s="339"/>
      <c r="NXA3" s="339"/>
      <c r="NXB3" s="339"/>
      <c r="NXC3" s="339"/>
      <c r="NXD3" s="339"/>
      <c r="NXE3" s="339"/>
      <c r="NXF3" s="339"/>
      <c r="NXG3" s="339"/>
      <c r="NXH3" s="339"/>
      <c r="NXI3" s="339"/>
      <c r="NXJ3" s="339"/>
      <c r="NXK3" s="339"/>
      <c r="NXL3" s="339"/>
      <c r="NXM3" s="339"/>
      <c r="NXN3" s="339"/>
      <c r="NXO3" s="339"/>
      <c r="NXP3" s="339"/>
      <c r="NXQ3" s="339"/>
      <c r="NXR3" s="339"/>
      <c r="NXS3" s="339"/>
      <c r="NXT3" s="339"/>
      <c r="NXU3" s="339"/>
      <c r="NXV3" s="339"/>
      <c r="NXW3" s="339"/>
      <c r="NXX3" s="339"/>
      <c r="NXY3" s="339"/>
      <c r="NXZ3" s="339"/>
      <c r="NYA3" s="339"/>
      <c r="NYB3" s="339"/>
      <c r="NYC3" s="339"/>
      <c r="NYD3" s="339"/>
      <c r="NYE3" s="339"/>
      <c r="NYF3" s="339"/>
      <c r="NYG3" s="339"/>
      <c r="NYH3" s="339"/>
      <c r="NYI3" s="339"/>
      <c r="NYJ3" s="339"/>
      <c r="NYK3" s="339"/>
      <c r="NYL3" s="339"/>
      <c r="NYM3" s="339"/>
      <c r="NYN3" s="339"/>
      <c r="NYO3" s="339"/>
      <c r="NYP3" s="339"/>
      <c r="NYQ3" s="339"/>
      <c r="NYR3" s="339"/>
      <c r="NYS3" s="339"/>
      <c r="NYT3" s="339"/>
      <c r="NYU3" s="339"/>
      <c r="NYV3" s="339"/>
      <c r="NYW3" s="339"/>
      <c r="NYX3" s="339"/>
      <c r="NYY3" s="339"/>
      <c r="NYZ3" s="339"/>
      <c r="NZA3" s="339"/>
      <c r="NZB3" s="339"/>
      <c r="NZC3" s="339"/>
      <c r="NZD3" s="339"/>
      <c r="NZE3" s="339"/>
      <c r="NZF3" s="339"/>
      <c r="NZG3" s="339"/>
      <c r="NZH3" s="339"/>
      <c r="NZI3" s="339"/>
      <c r="NZJ3" s="339"/>
      <c r="NZK3" s="339"/>
      <c r="NZL3" s="339"/>
      <c r="NZM3" s="339"/>
      <c r="NZN3" s="339"/>
      <c r="NZO3" s="339"/>
      <c r="NZP3" s="339"/>
      <c r="NZQ3" s="339"/>
      <c r="NZR3" s="339"/>
      <c r="NZS3" s="339"/>
      <c r="NZT3" s="339"/>
      <c r="NZU3" s="339"/>
      <c r="NZV3" s="339"/>
      <c r="NZW3" s="339"/>
      <c r="NZX3" s="339"/>
      <c r="NZY3" s="339"/>
      <c r="NZZ3" s="339"/>
      <c r="OAA3" s="339"/>
      <c r="OAB3" s="339"/>
      <c r="OAC3" s="339"/>
      <c r="OAD3" s="339"/>
      <c r="OAE3" s="339"/>
      <c r="OAF3" s="339"/>
      <c r="OAG3" s="339"/>
      <c r="OAH3" s="339"/>
      <c r="OAI3" s="339"/>
      <c r="OAJ3" s="339"/>
      <c r="OAK3" s="339"/>
      <c r="OAL3" s="339"/>
      <c r="OAM3" s="339"/>
      <c r="OAN3" s="339"/>
      <c r="OAO3" s="339"/>
      <c r="OAP3" s="339"/>
      <c r="OAQ3" s="339"/>
      <c r="OAR3" s="339"/>
      <c r="OAS3" s="339"/>
      <c r="OAT3" s="339"/>
      <c r="OAU3" s="339"/>
      <c r="OAV3" s="339"/>
      <c r="OAW3" s="339"/>
      <c r="OAX3" s="339"/>
      <c r="OAY3" s="339"/>
      <c r="OAZ3" s="339"/>
      <c r="OBA3" s="339"/>
      <c r="OBB3" s="339"/>
      <c r="OBC3" s="339"/>
      <c r="OBD3" s="339"/>
      <c r="OBE3" s="339"/>
      <c r="OBF3" s="339"/>
      <c r="OBG3" s="339"/>
      <c r="OBH3" s="339"/>
      <c r="OBI3" s="339"/>
      <c r="OBJ3" s="339"/>
      <c r="OBK3" s="339"/>
      <c r="OBL3" s="339"/>
      <c r="OBM3" s="339"/>
      <c r="OBN3" s="339"/>
      <c r="OBO3" s="339"/>
      <c r="OBP3" s="339"/>
      <c r="OBQ3" s="339"/>
      <c r="OBR3" s="339"/>
      <c r="OBS3" s="339"/>
      <c r="OBT3" s="339"/>
      <c r="OBU3" s="339"/>
      <c r="OBV3" s="339"/>
      <c r="OBW3" s="339"/>
      <c r="OBX3" s="339"/>
      <c r="OBY3" s="339"/>
      <c r="OBZ3" s="339"/>
      <c r="OCA3" s="339"/>
      <c r="OCB3" s="339"/>
      <c r="OCC3" s="339"/>
      <c r="OCD3" s="339"/>
      <c r="OCE3" s="339"/>
      <c r="OCF3" s="339"/>
      <c r="OCG3" s="339"/>
      <c r="OCH3" s="339"/>
      <c r="OCI3" s="339"/>
      <c r="OCJ3" s="339"/>
      <c r="OCK3" s="339"/>
      <c r="OCL3" s="339"/>
      <c r="OCM3" s="339"/>
      <c r="OCN3" s="339"/>
      <c r="OCO3" s="339"/>
      <c r="OCP3" s="339"/>
      <c r="OCQ3" s="339"/>
      <c r="OCR3" s="339"/>
      <c r="OCS3" s="339"/>
      <c r="OCT3" s="339"/>
      <c r="OCU3" s="339"/>
      <c r="OCV3" s="339"/>
      <c r="OCW3" s="339"/>
      <c r="OCX3" s="339"/>
      <c r="OCY3" s="339"/>
      <c r="OCZ3" s="339"/>
      <c r="ODA3" s="339"/>
      <c r="ODB3" s="339"/>
      <c r="ODC3" s="339"/>
      <c r="ODD3" s="339"/>
      <c r="ODE3" s="339"/>
      <c r="ODF3" s="339"/>
      <c r="ODG3" s="339"/>
      <c r="ODH3" s="339"/>
      <c r="ODI3" s="339"/>
      <c r="ODJ3" s="339"/>
      <c r="ODK3" s="339"/>
      <c r="ODL3" s="339"/>
      <c r="ODM3" s="339"/>
      <c r="ODN3" s="339"/>
      <c r="ODO3" s="339"/>
      <c r="ODP3" s="339"/>
      <c r="ODQ3" s="339"/>
      <c r="ODR3" s="339"/>
      <c r="ODS3" s="339"/>
      <c r="ODT3" s="339"/>
      <c r="ODU3" s="339"/>
      <c r="ODV3" s="339"/>
      <c r="ODW3" s="339"/>
      <c r="ODX3" s="339"/>
      <c r="ODY3" s="339"/>
      <c r="ODZ3" s="339"/>
      <c r="OEA3" s="339"/>
      <c r="OEB3" s="339"/>
      <c r="OEC3" s="339"/>
      <c r="OED3" s="339"/>
      <c r="OEE3" s="339"/>
      <c r="OEF3" s="339"/>
      <c r="OEG3" s="339"/>
      <c r="OEH3" s="339"/>
      <c r="OEI3" s="339"/>
      <c r="OEJ3" s="339"/>
      <c r="OEK3" s="339"/>
      <c r="OEL3" s="339"/>
      <c r="OEM3" s="339"/>
      <c r="OEN3" s="339"/>
      <c r="OEO3" s="339"/>
      <c r="OEP3" s="339"/>
      <c r="OEQ3" s="339"/>
      <c r="OER3" s="339"/>
      <c r="OES3" s="339"/>
      <c r="OET3" s="339"/>
      <c r="OEU3" s="339"/>
      <c r="OEV3" s="339"/>
      <c r="OEW3" s="339"/>
      <c r="OEX3" s="339"/>
      <c r="OEY3" s="339"/>
      <c r="OEZ3" s="339"/>
      <c r="OFA3" s="339"/>
      <c r="OFB3" s="339"/>
      <c r="OFC3" s="339"/>
      <c r="OFD3" s="339"/>
      <c r="OFE3" s="339"/>
      <c r="OFF3" s="339"/>
      <c r="OFG3" s="339"/>
      <c r="OFH3" s="339"/>
      <c r="OFI3" s="339"/>
      <c r="OFJ3" s="339"/>
      <c r="OFK3" s="339"/>
      <c r="OFL3" s="339"/>
      <c r="OFM3" s="339"/>
      <c r="OFN3" s="339"/>
      <c r="OFO3" s="339"/>
      <c r="OFP3" s="339"/>
      <c r="OFQ3" s="339"/>
      <c r="OFR3" s="339"/>
      <c r="OFS3" s="339"/>
      <c r="OFT3" s="339"/>
      <c r="OFU3" s="339"/>
      <c r="OFV3" s="339"/>
      <c r="OFW3" s="339"/>
      <c r="OFX3" s="339"/>
      <c r="OFY3" s="339"/>
      <c r="OFZ3" s="339"/>
      <c r="OGA3" s="339"/>
      <c r="OGB3" s="339"/>
      <c r="OGC3" s="339"/>
      <c r="OGD3" s="339"/>
      <c r="OGE3" s="339"/>
      <c r="OGF3" s="339"/>
      <c r="OGG3" s="339"/>
      <c r="OGH3" s="339"/>
      <c r="OGI3" s="339"/>
      <c r="OGJ3" s="339"/>
      <c r="OGK3" s="339"/>
      <c r="OGL3" s="339"/>
      <c r="OGM3" s="339"/>
      <c r="OGN3" s="339"/>
      <c r="OGO3" s="339"/>
      <c r="OGP3" s="339"/>
      <c r="OGQ3" s="339"/>
      <c r="OGR3" s="339"/>
      <c r="OGS3" s="339"/>
      <c r="OGT3" s="339"/>
      <c r="OGU3" s="339"/>
      <c r="OGV3" s="339"/>
      <c r="OGW3" s="339"/>
      <c r="OGX3" s="339"/>
      <c r="OGY3" s="339"/>
      <c r="OGZ3" s="339"/>
      <c r="OHA3" s="339"/>
      <c r="OHB3" s="339"/>
      <c r="OHC3" s="339"/>
      <c r="OHD3" s="339"/>
      <c r="OHE3" s="339"/>
      <c r="OHF3" s="339"/>
      <c r="OHG3" s="339"/>
      <c r="OHH3" s="339"/>
      <c r="OHI3" s="339"/>
      <c r="OHJ3" s="339"/>
      <c r="OHK3" s="339"/>
      <c r="OHL3" s="339"/>
      <c r="OHM3" s="339"/>
      <c r="OHN3" s="339"/>
      <c r="OHO3" s="339"/>
      <c r="OHP3" s="339"/>
      <c r="OHQ3" s="339"/>
      <c r="OHR3" s="339"/>
      <c r="OHS3" s="339"/>
      <c r="OHT3" s="339"/>
      <c r="OHU3" s="339"/>
      <c r="OHV3" s="339"/>
      <c r="OHW3" s="339"/>
      <c r="OHX3" s="339"/>
      <c r="OHY3" s="339"/>
      <c r="OHZ3" s="339"/>
      <c r="OIA3" s="339"/>
      <c r="OIB3" s="339"/>
      <c r="OIC3" s="339"/>
      <c r="OID3" s="339"/>
      <c r="OIE3" s="339"/>
      <c r="OIF3" s="339"/>
      <c r="OIG3" s="339"/>
      <c r="OIH3" s="339"/>
      <c r="OII3" s="339"/>
      <c r="OIJ3" s="339"/>
      <c r="OIK3" s="339"/>
      <c r="OIL3" s="339"/>
      <c r="OIM3" s="339"/>
      <c r="OIN3" s="339"/>
      <c r="OIO3" s="339"/>
      <c r="OIP3" s="339"/>
      <c r="OIQ3" s="339"/>
      <c r="OIR3" s="339"/>
      <c r="OIS3" s="339"/>
      <c r="OIT3" s="339"/>
      <c r="OIU3" s="339"/>
      <c r="OIV3" s="339"/>
      <c r="OIW3" s="339"/>
      <c r="OIX3" s="339"/>
      <c r="OIY3" s="339"/>
      <c r="OIZ3" s="339"/>
      <c r="OJA3" s="339"/>
      <c r="OJB3" s="339"/>
      <c r="OJC3" s="339"/>
      <c r="OJD3" s="339"/>
      <c r="OJE3" s="339"/>
      <c r="OJF3" s="339"/>
      <c r="OJG3" s="339"/>
      <c r="OJH3" s="339"/>
      <c r="OJI3" s="339"/>
      <c r="OJJ3" s="339"/>
      <c r="OJK3" s="339"/>
      <c r="OJL3" s="339"/>
      <c r="OJM3" s="339"/>
      <c r="OJN3" s="339"/>
      <c r="OJO3" s="339"/>
      <c r="OJP3" s="339"/>
      <c r="OJQ3" s="339"/>
      <c r="OJR3" s="339"/>
      <c r="OJS3" s="339"/>
      <c r="OJT3" s="339"/>
      <c r="OJU3" s="339"/>
      <c r="OJV3" s="339"/>
      <c r="OJW3" s="339"/>
      <c r="OJX3" s="339"/>
      <c r="OJY3" s="339"/>
      <c r="OJZ3" s="339"/>
      <c r="OKA3" s="339"/>
      <c r="OKB3" s="339"/>
      <c r="OKC3" s="339"/>
      <c r="OKD3" s="339"/>
      <c r="OKE3" s="339"/>
      <c r="OKF3" s="339"/>
      <c r="OKG3" s="339"/>
      <c r="OKH3" s="339"/>
      <c r="OKI3" s="339"/>
      <c r="OKJ3" s="339"/>
      <c r="OKK3" s="339"/>
      <c r="OKL3" s="339"/>
      <c r="OKM3" s="339"/>
      <c r="OKN3" s="339"/>
      <c r="OKO3" s="339"/>
      <c r="OKP3" s="339"/>
      <c r="OKQ3" s="339"/>
      <c r="OKR3" s="339"/>
      <c r="OKS3" s="339"/>
      <c r="OKT3" s="339"/>
      <c r="OKU3" s="339"/>
      <c r="OKV3" s="339"/>
      <c r="OKW3" s="339"/>
      <c r="OKX3" s="339"/>
      <c r="OKY3" s="339"/>
      <c r="OKZ3" s="339"/>
      <c r="OLA3" s="339"/>
      <c r="OLB3" s="339"/>
      <c r="OLC3" s="339"/>
      <c r="OLD3" s="339"/>
      <c r="OLE3" s="339"/>
      <c r="OLF3" s="339"/>
      <c r="OLG3" s="339"/>
      <c r="OLH3" s="339"/>
      <c r="OLI3" s="339"/>
      <c r="OLJ3" s="339"/>
      <c r="OLK3" s="339"/>
      <c r="OLL3" s="339"/>
      <c r="OLM3" s="339"/>
      <c r="OLN3" s="339"/>
      <c r="OLO3" s="339"/>
      <c r="OLP3" s="339"/>
      <c r="OLQ3" s="339"/>
      <c r="OLR3" s="339"/>
      <c r="OLS3" s="339"/>
      <c r="OLT3" s="339"/>
      <c r="OLU3" s="339"/>
      <c r="OLV3" s="339"/>
      <c r="OLW3" s="339"/>
      <c r="OLX3" s="339"/>
      <c r="OLY3" s="339"/>
      <c r="OLZ3" s="339"/>
      <c r="OMA3" s="339"/>
      <c r="OMB3" s="339"/>
      <c r="OMC3" s="339"/>
      <c r="OMD3" s="339"/>
      <c r="OME3" s="339"/>
      <c r="OMF3" s="339"/>
      <c r="OMG3" s="339"/>
      <c r="OMH3" s="339"/>
      <c r="OMI3" s="339"/>
      <c r="OMJ3" s="339"/>
      <c r="OMK3" s="339"/>
      <c r="OML3" s="339"/>
      <c r="OMM3" s="339"/>
      <c r="OMN3" s="339"/>
      <c r="OMO3" s="339"/>
      <c r="OMP3" s="339"/>
      <c r="OMQ3" s="339"/>
      <c r="OMR3" s="339"/>
      <c r="OMS3" s="339"/>
      <c r="OMT3" s="339"/>
      <c r="OMU3" s="339"/>
      <c r="OMV3" s="339"/>
      <c r="OMW3" s="339"/>
      <c r="OMX3" s="339"/>
      <c r="OMY3" s="339"/>
      <c r="OMZ3" s="339"/>
      <c r="ONA3" s="339"/>
      <c r="ONB3" s="339"/>
      <c r="ONC3" s="339"/>
      <c r="OND3" s="339"/>
      <c r="ONE3" s="339"/>
      <c r="ONF3" s="339"/>
      <c r="ONG3" s="339"/>
      <c r="ONH3" s="339"/>
      <c r="ONI3" s="339"/>
      <c r="ONJ3" s="339"/>
      <c r="ONK3" s="339"/>
      <c r="ONL3" s="339"/>
      <c r="ONM3" s="339"/>
      <c r="ONN3" s="339"/>
      <c r="ONO3" s="339"/>
      <c r="ONP3" s="339"/>
      <c r="ONQ3" s="339"/>
      <c r="ONR3" s="339"/>
      <c r="ONS3" s="339"/>
      <c r="ONT3" s="339"/>
      <c r="ONU3" s="339"/>
      <c r="ONV3" s="339"/>
      <c r="ONW3" s="339"/>
      <c r="ONX3" s="339"/>
      <c r="ONY3" s="339"/>
      <c r="ONZ3" s="339"/>
      <c r="OOA3" s="339"/>
      <c r="OOB3" s="339"/>
      <c r="OOC3" s="339"/>
      <c r="OOD3" s="339"/>
      <c r="OOE3" s="339"/>
      <c r="OOF3" s="339"/>
      <c r="OOG3" s="339"/>
      <c r="OOH3" s="339"/>
      <c r="OOI3" s="339"/>
      <c r="OOJ3" s="339"/>
      <c r="OOK3" s="339"/>
      <c r="OOL3" s="339"/>
      <c r="OOM3" s="339"/>
      <c r="OON3" s="339"/>
      <c r="OOO3" s="339"/>
      <c r="OOP3" s="339"/>
      <c r="OOQ3" s="339"/>
      <c r="OOR3" s="339"/>
      <c r="OOS3" s="339"/>
      <c r="OOT3" s="339"/>
      <c r="OOU3" s="339"/>
      <c r="OOV3" s="339"/>
      <c r="OOW3" s="339"/>
      <c r="OOX3" s="339"/>
      <c r="OOY3" s="339"/>
      <c r="OOZ3" s="339"/>
      <c r="OPA3" s="339"/>
      <c r="OPB3" s="339"/>
      <c r="OPC3" s="339"/>
      <c r="OPD3" s="339"/>
      <c r="OPE3" s="339"/>
      <c r="OPF3" s="339"/>
      <c r="OPG3" s="339"/>
      <c r="OPH3" s="339"/>
      <c r="OPI3" s="339"/>
      <c r="OPJ3" s="339"/>
      <c r="OPK3" s="339"/>
      <c r="OPL3" s="339"/>
      <c r="OPM3" s="339"/>
      <c r="OPN3" s="339"/>
      <c r="OPO3" s="339"/>
      <c r="OPP3" s="339"/>
      <c r="OPQ3" s="339"/>
      <c r="OPR3" s="339"/>
      <c r="OPS3" s="339"/>
      <c r="OPT3" s="339"/>
      <c r="OPU3" s="339"/>
      <c r="OPV3" s="339"/>
      <c r="OPW3" s="339"/>
      <c r="OPX3" s="339"/>
      <c r="OPY3" s="339"/>
      <c r="OPZ3" s="339"/>
      <c r="OQA3" s="339"/>
      <c r="OQB3" s="339"/>
      <c r="OQC3" s="339"/>
      <c r="OQD3" s="339"/>
      <c r="OQE3" s="339"/>
      <c r="OQF3" s="339"/>
      <c r="OQG3" s="339"/>
      <c r="OQH3" s="339"/>
      <c r="OQI3" s="339"/>
      <c r="OQJ3" s="339"/>
      <c r="OQK3" s="339"/>
      <c r="OQL3" s="339"/>
      <c r="OQM3" s="339"/>
      <c r="OQN3" s="339"/>
      <c r="OQO3" s="339"/>
      <c r="OQP3" s="339"/>
      <c r="OQQ3" s="339"/>
      <c r="OQR3" s="339"/>
      <c r="OQS3" s="339"/>
      <c r="OQT3" s="339"/>
      <c r="OQU3" s="339"/>
      <c r="OQV3" s="339"/>
      <c r="OQW3" s="339"/>
      <c r="OQX3" s="339"/>
      <c r="OQY3" s="339"/>
      <c r="OQZ3" s="339"/>
      <c r="ORA3" s="339"/>
      <c r="ORB3" s="339"/>
      <c r="ORC3" s="339"/>
      <c r="ORD3" s="339"/>
      <c r="ORE3" s="339"/>
      <c r="ORF3" s="339"/>
      <c r="ORG3" s="339"/>
      <c r="ORH3" s="339"/>
      <c r="ORI3" s="339"/>
      <c r="ORJ3" s="339"/>
      <c r="ORK3" s="339"/>
      <c r="ORL3" s="339"/>
      <c r="ORM3" s="339"/>
      <c r="ORN3" s="339"/>
      <c r="ORO3" s="339"/>
      <c r="ORP3" s="339"/>
      <c r="ORQ3" s="339"/>
      <c r="ORR3" s="339"/>
      <c r="ORS3" s="339"/>
      <c r="ORT3" s="339"/>
      <c r="ORU3" s="339"/>
      <c r="ORV3" s="339"/>
      <c r="ORW3" s="339"/>
      <c r="ORX3" s="339"/>
      <c r="ORY3" s="339"/>
      <c r="ORZ3" s="339"/>
      <c r="OSA3" s="339"/>
      <c r="OSB3" s="339"/>
      <c r="OSC3" s="339"/>
      <c r="OSD3" s="339"/>
      <c r="OSE3" s="339"/>
      <c r="OSF3" s="339"/>
      <c r="OSG3" s="339"/>
      <c r="OSH3" s="339"/>
      <c r="OSI3" s="339"/>
      <c r="OSJ3" s="339"/>
      <c r="OSK3" s="339"/>
      <c r="OSL3" s="339"/>
      <c r="OSM3" s="339"/>
      <c r="OSN3" s="339"/>
      <c r="OSO3" s="339"/>
      <c r="OSP3" s="339"/>
      <c r="OSQ3" s="339"/>
      <c r="OSR3" s="339"/>
      <c r="OSS3" s="339"/>
      <c r="OST3" s="339"/>
      <c r="OSU3" s="339"/>
      <c r="OSV3" s="339"/>
      <c r="OSW3" s="339"/>
      <c r="OSX3" s="339"/>
      <c r="OSY3" s="339"/>
      <c r="OSZ3" s="339"/>
      <c r="OTA3" s="339"/>
      <c r="OTB3" s="339"/>
      <c r="OTC3" s="339"/>
      <c r="OTD3" s="339"/>
      <c r="OTE3" s="339"/>
      <c r="OTF3" s="339"/>
      <c r="OTG3" s="339"/>
      <c r="OTH3" s="339"/>
      <c r="OTI3" s="339"/>
      <c r="OTJ3" s="339"/>
      <c r="OTK3" s="339"/>
      <c r="OTL3" s="339"/>
      <c r="OTM3" s="339"/>
      <c r="OTN3" s="339"/>
      <c r="OTO3" s="339"/>
      <c r="OTP3" s="339"/>
      <c r="OTQ3" s="339"/>
      <c r="OTR3" s="339"/>
      <c r="OTS3" s="339"/>
      <c r="OTT3" s="339"/>
      <c r="OTU3" s="339"/>
      <c r="OTV3" s="339"/>
      <c r="OTW3" s="339"/>
      <c r="OTX3" s="339"/>
      <c r="OTY3" s="339"/>
      <c r="OTZ3" s="339"/>
      <c r="OUA3" s="339"/>
      <c r="OUB3" s="339"/>
      <c r="OUC3" s="339"/>
      <c r="OUD3" s="339"/>
      <c r="OUE3" s="339"/>
      <c r="OUF3" s="339"/>
      <c r="OUG3" s="339"/>
      <c r="OUH3" s="339"/>
      <c r="OUI3" s="339"/>
      <c r="OUJ3" s="339"/>
      <c r="OUK3" s="339"/>
      <c r="OUL3" s="339"/>
      <c r="OUM3" s="339"/>
      <c r="OUN3" s="339"/>
      <c r="OUO3" s="339"/>
      <c r="OUP3" s="339"/>
      <c r="OUQ3" s="339"/>
      <c r="OUR3" s="339"/>
      <c r="OUS3" s="339"/>
      <c r="OUT3" s="339"/>
      <c r="OUU3" s="339"/>
      <c r="OUV3" s="339"/>
      <c r="OUW3" s="339"/>
      <c r="OUX3" s="339"/>
      <c r="OUY3" s="339"/>
      <c r="OUZ3" s="339"/>
      <c r="OVA3" s="339"/>
      <c r="OVB3" s="339"/>
      <c r="OVC3" s="339"/>
      <c r="OVD3" s="339"/>
      <c r="OVE3" s="339"/>
      <c r="OVF3" s="339"/>
      <c r="OVG3" s="339"/>
      <c r="OVH3" s="339"/>
      <c r="OVI3" s="339"/>
      <c r="OVJ3" s="339"/>
      <c r="OVK3" s="339"/>
      <c r="OVL3" s="339"/>
      <c r="OVM3" s="339"/>
      <c r="OVN3" s="339"/>
      <c r="OVO3" s="339"/>
      <c r="OVP3" s="339"/>
      <c r="OVQ3" s="339"/>
      <c r="OVR3" s="339"/>
      <c r="OVS3" s="339"/>
      <c r="OVT3" s="339"/>
      <c r="OVU3" s="339"/>
      <c r="OVV3" s="339"/>
      <c r="OVW3" s="339"/>
      <c r="OVX3" s="339"/>
      <c r="OVY3" s="339"/>
      <c r="OVZ3" s="339"/>
      <c r="OWA3" s="339"/>
      <c r="OWB3" s="339"/>
      <c r="OWC3" s="339"/>
      <c r="OWD3" s="339"/>
      <c r="OWE3" s="339"/>
      <c r="OWF3" s="339"/>
      <c r="OWG3" s="339"/>
      <c r="OWH3" s="339"/>
      <c r="OWI3" s="339"/>
      <c r="OWJ3" s="339"/>
      <c r="OWK3" s="339"/>
      <c r="OWL3" s="339"/>
      <c r="OWM3" s="339"/>
      <c r="OWN3" s="339"/>
      <c r="OWO3" s="339"/>
      <c r="OWP3" s="339"/>
      <c r="OWQ3" s="339"/>
      <c r="OWR3" s="339"/>
      <c r="OWS3" s="339"/>
      <c r="OWT3" s="339"/>
      <c r="OWU3" s="339"/>
      <c r="OWV3" s="339"/>
      <c r="OWW3" s="339"/>
      <c r="OWX3" s="339"/>
      <c r="OWY3" s="339"/>
      <c r="OWZ3" s="339"/>
      <c r="OXA3" s="339"/>
      <c r="OXB3" s="339"/>
      <c r="OXC3" s="339"/>
      <c r="OXD3" s="339"/>
      <c r="OXE3" s="339"/>
      <c r="OXF3" s="339"/>
      <c r="OXG3" s="339"/>
      <c r="OXH3" s="339"/>
      <c r="OXI3" s="339"/>
      <c r="OXJ3" s="339"/>
      <c r="OXK3" s="339"/>
      <c r="OXL3" s="339"/>
      <c r="OXM3" s="339"/>
      <c r="OXN3" s="339"/>
      <c r="OXO3" s="339"/>
      <c r="OXP3" s="339"/>
      <c r="OXQ3" s="339"/>
      <c r="OXR3" s="339"/>
      <c r="OXS3" s="339"/>
      <c r="OXT3" s="339"/>
      <c r="OXU3" s="339"/>
      <c r="OXV3" s="339"/>
      <c r="OXW3" s="339"/>
      <c r="OXX3" s="339"/>
      <c r="OXY3" s="339"/>
      <c r="OXZ3" s="339"/>
      <c r="OYA3" s="339"/>
      <c r="OYB3" s="339"/>
      <c r="OYC3" s="339"/>
      <c r="OYD3" s="339"/>
      <c r="OYE3" s="339"/>
      <c r="OYF3" s="339"/>
      <c r="OYG3" s="339"/>
      <c r="OYH3" s="339"/>
      <c r="OYI3" s="339"/>
      <c r="OYJ3" s="339"/>
      <c r="OYK3" s="339"/>
      <c r="OYL3" s="339"/>
      <c r="OYM3" s="339"/>
      <c r="OYN3" s="339"/>
      <c r="OYO3" s="339"/>
      <c r="OYP3" s="339"/>
      <c r="OYQ3" s="339"/>
      <c r="OYR3" s="339"/>
      <c r="OYS3" s="339"/>
      <c r="OYT3" s="339"/>
      <c r="OYU3" s="339"/>
      <c r="OYV3" s="339"/>
      <c r="OYW3" s="339"/>
      <c r="OYX3" s="339"/>
      <c r="OYY3" s="339"/>
      <c r="OYZ3" s="339"/>
      <c r="OZA3" s="339"/>
      <c r="OZB3" s="339"/>
      <c r="OZC3" s="339"/>
      <c r="OZD3" s="339"/>
      <c r="OZE3" s="339"/>
      <c r="OZF3" s="339"/>
      <c r="OZG3" s="339"/>
      <c r="OZH3" s="339"/>
      <c r="OZI3" s="339"/>
      <c r="OZJ3" s="339"/>
      <c r="OZK3" s="339"/>
      <c r="OZL3" s="339"/>
      <c r="OZM3" s="339"/>
      <c r="OZN3" s="339"/>
      <c r="OZO3" s="339"/>
      <c r="OZP3" s="339"/>
      <c r="OZQ3" s="339"/>
      <c r="OZR3" s="339"/>
      <c r="OZS3" s="339"/>
      <c r="OZT3" s="339"/>
      <c r="OZU3" s="339"/>
      <c r="OZV3" s="339"/>
      <c r="OZW3" s="339"/>
      <c r="OZX3" s="339"/>
      <c r="OZY3" s="339"/>
      <c r="OZZ3" s="339"/>
      <c r="PAA3" s="339"/>
      <c r="PAB3" s="339"/>
      <c r="PAC3" s="339"/>
      <c r="PAD3" s="339"/>
      <c r="PAE3" s="339"/>
      <c r="PAF3" s="339"/>
      <c r="PAG3" s="339"/>
      <c r="PAH3" s="339"/>
      <c r="PAI3" s="339"/>
      <c r="PAJ3" s="339"/>
      <c r="PAK3" s="339"/>
      <c r="PAL3" s="339"/>
      <c r="PAM3" s="339"/>
      <c r="PAN3" s="339"/>
      <c r="PAO3" s="339"/>
      <c r="PAP3" s="339"/>
      <c r="PAQ3" s="339"/>
      <c r="PAR3" s="339"/>
      <c r="PAS3" s="339"/>
      <c r="PAT3" s="339"/>
      <c r="PAU3" s="339"/>
      <c r="PAV3" s="339"/>
      <c r="PAW3" s="339"/>
      <c r="PAX3" s="339"/>
      <c r="PAY3" s="339"/>
      <c r="PAZ3" s="339"/>
      <c r="PBA3" s="339"/>
      <c r="PBB3" s="339"/>
      <c r="PBC3" s="339"/>
      <c r="PBD3" s="339"/>
      <c r="PBE3" s="339"/>
      <c r="PBF3" s="339"/>
      <c r="PBG3" s="339"/>
      <c r="PBH3" s="339"/>
      <c r="PBI3" s="339"/>
      <c r="PBJ3" s="339"/>
      <c r="PBK3" s="339"/>
      <c r="PBL3" s="339"/>
      <c r="PBM3" s="339"/>
      <c r="PBN3" s="339"/>
      <c r="PBO3" s="339"/>
      <c r="PBP3" s="339"/>
      <c r="PBQ3" s="339"/>
      <c r="PBR3" s="339"/>
      <c r="PBS3" s="339"/>
      <c r="PBT3" s="339"/>
      <c r="PBU3" s="339"/>
      <c r="PBV3" s="339"/>
      <c r="PBW3" s="339"/>
      <c r="PBX3" s="339"/>
      <c r="PBY3" s="339"/>
      <c r="PBZ3" s="339"/>
      <c r="PCA3" s="339"/>
      <c r="PCB3" s="339"/>
      <c r="PCC3" s="339"/>
      <c r="PCD3" s="339"/>
      <c r="PCE3" s="339"/>
      <c r="PCF3" s="339"/>
      <c r="PCG3" s="339"/>
      <c r="PCH3" s="339"/>
      <c r="PCI3" s="339"/>
      <c r="PCJ3" s="339"/>
      <c r="PCK3" s="339"/>
      <c r="PCL3" s="339"/>
      <c r="PCM3" s="339"/>
      <c r="PCN3" s="339"/>
      <c r="PCO3" s="339"/>
      <c r="PCP3" s="339"/>
      <c r="PCQ3" s="339"/>
      <c r="PCR3" s="339"/>
      <c r="PCS3" s="339"/>
      <c r="PCT3" s="339"/>
      <c r="PCU3" s="339"/>
      <c r="PCV3" s="339"/>
      <c r="PCW3" s="339"/>
      <c r="PCX3" s="339"/>
      <c r="PCY3" s="339"/>
      <c r="PCZ3" s="339"/>
      <c r="PDA3" s="339"/>
      <c r="PDB3" s="339"/>
      <c r="PDC3" s="339"/>
      <c r="PDD3" s="339"/>
      <c r="PDE3" s="339"/>
      <c r="PDF3" s="339"/>
      <c r="PDG3" s="339"/>
      <c r="PDH3" s="339"/>
      <c r="PDI3" s="339"/>
      <c r="PDJ3" s="339"/>
      <c r="PDK3" s="339"/>
      <c r="PDL3" s="339"/>
      <c r="PDM3" s="339"/>
      <c r="PDN3" s="339"/>
      <c r="PDO3" s="339"/>
      <c r="PDP3" s="339"/>
      <c r="PDQ3" s="339"/>
      <c r="PDR3" s="339"/>
      <c r="PDS3" s="339"/>
      <c r="PDT3" s="339"/>
      <c r="PDU3" s="339"/>
      <c r="PDV3" s="339"/>
      <c r="PDW3" s="339"/>
      <c r="PDX3" s="339"/>
      <c r="PDY3" s="339"/>
      <c r="PDZ3" s="339"/>
      <c r="PEA3" s="339"/>
      <c r="PEB3" s="339"/>
      <c r="PEC3" s="339"/>
      <c r="PED3" s="339"/>
      <c r="PEE3" s="339"/>
      <c r="PEF3" s="339"/>
      <c r="PEG3" s="339"/>
      <c r="PEH3" s="339"/>
      <c r="PEI3" s="339"/>
      <c r="PEJ3" s="339"/>
      <c r="PEK3" s="339"/>
      <c r="PEL3" s="339"/>
      <c r="PEM3" s="339"/>
      <c r="PEN3" s="339"/>
      <c r="PEO3" s="339"/>
      <c r="PEP3" s="339"/>
      <c r="PEQ3" s="339"/>
      <c r="PER3" s="339"/>
      <c r="PES3" s="339"/>
      <c r="PET3" s="339"/>
      <c r="PEU3" s="339"/>
      <c r="PEV3" s="339"/>
      <c r="PEW3" s="339"/>
      <c r="PEX3" s="339"/>
      <c r="PEY3" s="339"/>
      <c r="PEZ3" s="339"/>
      <c r="PFA3" s="339"/>
      <c r="PFB3" s="339"/>
      <c r="PFC3" s="339"/>
      <c r="PFD3" s="339"/>
      <c r="PFE3" s="339"/>
      <c r="PFF3" s="339"/>
      <c r="PFG3" s="339"/>
      <c r="PFH3" s="339"/>
      <c r="PFI3" s="339"/>
      <c r="PFJ3" s="339"/>
      <c r="PFK3" s="339"/>
      <c r="PFL3" s="339"/>
      <c r="PFM3" s="339"/>
      <c r="PFN3" s="339"/>
      <c r="PFO3" s="339"/>
      <c r="PFP3" s="339"/>
      <c r="PFQ3" s="339"/>
      <c r="PFR3" s="339"/>
      <c r="PFS3" s="339"/>
      <c r="PFT3" s="339"/>
      <c r="PFU3" s="339"/>
      <c r="PFV3" s="339"/>
      <c r="PFW3" s="339"/>
      <c r="PFX3" s="339"/>
      <c r="PFY3" s="339"/>
      <c r="PFZ3" s="339"/>
      <c r="PGA3" s="339"/>
      <c r="PGB3" s="339"/>
      <c r="PGC3" s="339"/>
      <c r="PGD3" s="339"/>
      <c r="PGE3" s="339"/>
      <c r="PGF3" s="339"/>
      <c r="PGG3" s="339"/>
      <c r="PGH3" s="339"/>
      <c r="PGI3" s="339"/>
      <c r="PGJ3" s="339"/>
      <c r="PGK3" s="339"/>
      <c r="PGL3" s="339"/>
      <c r="PGM3" s="339"/>
      <c r="PGN3" s="339"/>
      <c r="PGO3" s="339"/>
      <c r="PGP3" s="339"/>
      <c r="PGQ3" s="339"/>
      <c r="PGR3" s="339"/>
      <c r="PGS3" s="339"/>
      <c r="PGT3" s="339"/>
      <c r="PGU3" s="339"/>
      <c r="PGV3" s="339"/>
      <c r="PGW3" s="339"/>
      <c r="PGX3" s="339"/>
      <c r="PGY3" s="339"/>
      <c r="PGZ3" s="339"/>
      <c r="PHA3" s="339"/>
      <c r="PHB3" s="339"/>
      <c r="PHC3" s="339"/>
      <c r="PHD3" s="339"/>
      <c r="PHE3" s="339"/>
      <c r="PHF3" s="339"/>
      <c r="PHG3" s="339"/>
      <c r="PHH3" s="339"/>
      <c r="PHI3" s="339"/>
      <c r="PHJ3" s="339"/>
      <c r="PHK3" s="339"/>
      <c r="PHL3" s="339"/>
      <c r="PHM3" s="339"/>
      <c r="PHN3" s="339"/>
      <c r="PHO3" s="339"/>
      <c r="PHP3" s="339"/>
      <c r="PHQ3" s="339"/>
      <c r="PHR3" s="339"/>
      <c r="PHS3" s="339"/>
      <c r="PHT3" s="339"/>
      <c r="PHU3" s="339"/>
      <c r="PHV3" s="339"/>
      <c r="PHW3" s="339"/>
      <c r="PHX3" s="339"/>
      <c r="PHY3" s="339"/>
      <c r="PHZ3" s="339"/>
      <c r="PIA3" s="339"/>
      <c r="PIB3" s="339"/>
      <c r="PIC3" s="339"/>
      <c r="PID3" s="339"/>
      <c r="PIE3" s="339"/>
      <c r="PIF3" s="339"/>
      <c r="PIG3" s="339"/>
      <c r="PIH3" s="339"/>
      <c r="PII3" s="339"/>
      <c r="PIJ3" s="339"/>
      <c r="PIK3" s="339"/>
      <c r="PIL3" s="339"/>
      <c r="PIM3" s="339"/>
      <c r="PIN3" s="339"/>
      <c r="PIO3" s="339"/>
      <c r="PIP3" s="339"/>
      <c r="PIQ3" s="339"/>
      <c r="PIR3" s="339"/>
      <c r="PIS3" s="339"/>
      <c r="PIT3" s="339"/>
      <c r="PIU3" s="339"/>
      <c r="PIV3" s="339"/>
      <c r="PIW3" s="339"/>
      <c r="PIX3" s="339"/>
      <c r="PIY3" s="339"/>
      <c r="PIZ3" s="339"/>
      <c r="PJA3" s="339"/>
      <c r="PJB3" s="339"/>
      <c r="PJC3" s="339"/>
      <c r="PJD3" s="339"/>
      <c r="PJE3" s="339"/>
      <c r="PJF3" s="339"/>
      <c r="PJG3" s="339"/>
      <c r="PJH3" s="339"/>
      <c r="PJI3" s="339"/>
      <c r="PJJ3" s="339"/>
      <c r="PJK3" s="339"/>
      <c r="PJL3" s="339"/>
      <c r="PJM3" s="339"/>
      <c r="PJN3" s="339"/>
      <c r="PJO3" s="339"/>
      <c r="PJP3" s="339"/>
      <c r="PJQ3" s="339"/>
      <c r="PJR3" s="339"/>
      <c r="PJS3" s="339"/>
      <c r="PJT3" s="339"/>
      <c r="PJU3" s="339"/>
      <c r="PJV3" s="339"/>
      <c r="PJW3" s="339"/>
      <c r="PJX3" s="339"/>
      <c r="PJY3" s="339"/>
      <c r="PJZ3" s="339"/>
      <c r="PKA3" s="339"/>
      <c r="PKB3" s="339"/>
      <c r="PKC3" s="339"/>
      <c r="PKD3" s="339"/>
      <c r="PKE3" s="339"/>
      <c r="PKF3" s="339"/>
      <c r="PKG3" s="339"/>
      <c r="PKH3" s="339"/>
      <c r="PKI3" s="339"/>
      <c r="PKJ3" s="339"/>
      <c r="PKK3" s="339"/>
      <c r="PKL3" s="339"/>
      <c r="PKM3" s="339"/>
      <c r="PKN3" s="339"/>
      <c r="PKO3" s="339"/>
      <c r="PKP3" s="339"/>
      <c r="PKQ3" s="339"/>
      <c r="PKR3" s="339"/>
      <c r="PKS3" s="339"/>
      <c r="PKT3" s="339"/>
      <c r="PKU3" s="339"/>
      <c r="PKV3" s="339"/>
      <c r="PKW3" s="339"/>
      <c r="PKX3" s="339"/>
      <c r="PKY3" s="339"/>
      <c r="PKZ3" s="339"/>
      <c r="PLA3" s="339"/>
      <c r="PLB3" s="339"/>
      <c r="PLC3" s="339"/>
      <c r="PLD3" s="339"/>
      <c r="PLE3" s="339"/>
      <c r="PLF3" s="339"/>
      <c r="PLG3" s="339"/>
      <c r="PLH3" s="339"/>
      <c r="PLI3" s="339"/>
      <c r="PLJ3" s="339"/>
      <c r="PLK3" s="339"/>
      <c r="PLL3" s="339"/>
      <c r="PLM3" s="339"/>
      <c r="PLN3" s="339"/>
      <c r="PLO3" s="339"/>
      <c r="PLP3" s="339"/>
      <c r="PLQ3" s="339"/>
      <c r="PLR3" s="339"/>
      <c r="PLS3" s="339"/>
      <c r="PLT3" s="339"/>
      <c r="PLU3" s="339"/>
      <c r="PLV3" s="339"/>
      <c r="PLW3" s="339"/>
      <c r="PLX3" s="339"/>
      <c r="PLY3" s="339"/>
      <c r="PLZ3" s="339"/>
      <c r="PMA3" s="339"/>
      <c r="PMB3" s="339"/>
      <c r="PMC3" s="339"/>
      <c r="PMD3" s="339"/>
      <c r="PME3" s="339"/>
      <c r="PMF3" s="339"/>
      <c r="PMG3" s="339"/>
      <c r="PMH3" s="339"/>
      <c r="PMI3" s="339"/>
      <c r="PMJ3" s="339"/>
      <c r="PMK3" s="339"/>
      <c r="PML3" s="339"/>
      <c r="PMM3" s="339"/>
      <c r="PMN3" s="339"/>
      <c r="PMO3" s="339"/>
      <c r="PMP3" s="339"/>
      <c r="PMQ3" s="339"/>
      <c r="PMR3" s="339"/>
      <c r="PMS3" s="339"/>
      <c r="PMT3" s="339"/>
      <c r="PMU3" s="339"/>
      <c r="PMV3" s="339"/>
      <c r="PMW3" s="339"/>
      <c r="PMX3" s="339"/>
      <c r="PMY3" s="339"/>
      <c r="PMZ3" s="339"/>
      <c r="PNA3" s="339"/>
      <c r="PNB3" s="339"/>
      <c r="PNC3" s="339"/>
      <c r="PND3" s="339"/>
      <c r="PNE3" s="339"/>
      <c r="PNF3" s="339"/>
      <c r="PNG3" s="339"/>
      <c r="PNH3" s="339"/>
      <c r="PNI3" s="339"/>
      <c r="PNJ3" s="339"/>
      <c r="PNK3" s="339"/>
      <c r="PNL3" s="339"/>
      <c r="PNM3" s="339"/>
      <c r="PNN3" s="339"/>
      <c r="PNO3" s="339"/>
      <c r="PNP3" s="339"/>
      <c r="PNQ3" s="339"/>
      <c r="PNR3" s="339"/>
      <c r="PNS3" s="339"/>
      <c r="PNT3" s="339"/>
      <c r="PNU3" s="339"/>
      <c r="PNV3" s="339"/>
      <c r="PNW3" s="339"/>
      <c r="PNX3" s="339"/>
      <c r="PNY3" s="339"/>
      <c r="PNZ3" s="339"/>
      <c r="POA3" s="339"/>
      <c r="POB3" s="339"/>
      <c r="POC3" s="339"/>
      <c r="POD3" s="339"/>
      <c r="POE3" s="339"/>
      <c r="POF3" s="339"/>
      <c r="POG3" s="339"/>
      <c r="POH3" s="339"/>
      <c r="POI3" s="339"/>
      <c r="POJ3" s="339"/>
      <c r="POK3" s="339"/>
      <c r="POL3" s="339"/>
      <c r="POM3" s="339"/>
      <c r="PON3" s="339"/>
      <c r="POO3" s="339"/>
      <c r="POP3" s="339"/>
      <c r="POQ3" s="339"/>
      <c r="POR3" s="339"/>
      <c r="POS3" s="339"/>
      <c r="POT3" s="339"/>
      <c r="POU3" s="339"/>
      <c r="POV3" s="339"/>
      <c r="POW3" s="339"/>
      <c r="POX3" s="339"/>
      <c r="POY3" s="339"/>
      <c r="POZ3" s="339"/>
      <c r="PPA3" s="339"/>
      <c r="PPB3" s="339"/>
      <c r="PPC3" s="339"/>
      <c r="PPD3" s="339"/>
      <c r="PPE3" s="339"/>
      <c r="PPF3" s="339"/>
      <c r="PPG3" s="339"/>
      <c r="PPH3" s="339"/>
      <c r="PPI3" s="339"/>
      <c r="PPJ3" s="339"/>
      <c r="PPK3" s="339"/>
      <c r="PPL3" s="339"/>
      <c r="PPM3" s="339"/>
      <c r="PPN3" s="339"/>
      <c r="PPO3" s="339"/>
      <c r="PPP3" s="339"/>
      <c r="PPQ3" s="339"/>
      <c r="PPR3" s="339"/>
      <c r="PPS3" s="339"/>
      <c r="PPT3" s="339"/>
      <c r="PPU3" s="339"/>
      <c r="PPV3" s="339"/>
      <c r="PPW3" s="339"/>
      <c r="PPX3" s="339"/>
      <c r="PPY3" s="339"/>
      <c r="PPZ3" s="339"/>
      <c r="PQA3" s="339"/>
      <c r="PQB3" s="339"/>
      <c r="PQC3" s="339"/>
      <c r="PQD3" s="339"/>
      <c r="PQE3" s="339"/>
      <c r="PQF3" s="339"/>
      <c r="PQG3" s="339"/>
      <c r="PQH3" s="339"/>
      <c r="PQI3" s="339"/>
      <c r="PQJ3" s="339"/>
      <c r="PQK3" s="339"/>
      <c r="PQL3" s="339"/>
      <c r="PQM3" s="339"/>
      <c r="PQN3" s="339"/>
      <c r="PQO3" s="339"/>
      <c r="PQP3" s="339"/>
      <c r="PQQ3" s="339"/>
      <c r="PQR3" s="339"/>
      <c r="PQS3" s="339"/>
      <c r="PQT3" s="339"/>
      <c r="PQU3" s="339"/>
      <c r="PQV3" s="339"/>
      <c r="PQW3" s="339"/>
      <c r="PQX3" s="339"/>
      <c r="PQY3" s="339"/>
      <c r="PQZ3" s="339"/>
      <c r="PRA3" s="339"/>
      <c r="PRB3" s="339"/>
      <c r="PRC3" s="339"/>
      <c r="PRD3" s="339"/>
      <c r="PRE3" s="339"/>
      <c r="PRF3" s="339"/>
      <c r="PRG3" s="339"/>
      <c r="PRH3" s="339"/>
      <c r="PRI3" s="339"/>
      <c r="PRJ3" s="339"/>
      <c r="PRK3" s="339"/>
      <c r="PRL3" s="339"/>
      <c r="PRM3" s="339"/>
      <c r="PRN3" s="339"/>
      <c r="PRO3" s="339"/>
      <c r="PRP3" s="339"/>
      <c r="PRQ3" s="339"/>
      <c r="PRR3" s="339"/>
      <c r="PRS3" s="339"/>
      <c r="PRT3" s="339"/>
      <c r="PRU3" s="339"/>
      <c r="PRV3" s="339"/>
      <c r="PRW3" s="339"/>
      <c r="PRX3" s="339"/>
      <c r="PRY3" s="339"/>
      <c r="PRZ3" s="339"/>
      <c r="PSA3" s="339"/>
      <c r="PSB3" s="339"/>
      <c r="PSC3" s="339"/>
      <c r="PSD3" s="339"/>
      <c r="PSE3" s="339"/>
      <c r="PSF3" s="339"/>
      <c r="PSG3" s="339"/>
      <c r="PSH3" s="339"/>
      <c r="PSI3" s="339"/>
      <c r="PSJ3" s="339"/>
      <c r="PSK3" s="339"/>
      <c r="PSL3" s="339"/>
      <c r="PSM3" s="339"/>
      <c r="PSN3" s="339"/>
      <c r="PSO3" s="339"/>
      <c r="PSP3" s="339"/>
      <c r="PSQ3" s="339"/>
      <c r="PSR3" s="339"/>
      <c r="PSS3" s="339"/>
      <c r="PST3" s="339"/>
      <c r="PSU3" s="339"/>
      <c r="PSV3" s="339"/>
      <c r="PSW3" s="339"/>
      <c r="PSX3" s="339"/>
      <c r="PSY3" s="339"/>
      <c r="PSZ3" s="339"/>
      <c r="PTA3" s="339"/>
      <c r="PTB3" s="339"/>
      <c r="PTC3" s="339"/>
      <c r="PTD3" s="339"/>
      <c r="PTE3" s="339"/>
      <c r="PTF3" s="339"/>
      <c r="PTG3" s="339"/>
      <c r="PTH3" s="339"/>
      <c r="PTI3" s="339"/>
      <c r="PTJ3" s="339"/>
      <c r="PTK3" s="339"/>
      <c r="PTL3" s="339"/>
      <c r="PTM3" s="339"/>
      <c r="PTN3" s="339"/>
      <c r="PTO3" s="339"/>
      <c r="PTP3" s="339"/>
      <c r="PTQ3" s="339"/>
      <c r="PTR3" s="339"/>
      <c r="PTS3" s="339"/>
      <c r="PTT3" s="339"/>
      <c r="PTU3" s="339"/>
      <c r="PTV3" s="339"/>
      <c r="PTW3" s="339"/>
      <c r="PTX3" s="339"/>
      <c r="PTY3" s="339"/>
      <c r="PTZ3" s="339"/>
      <c r="PUA3" s="339"/>
      <c r="PUB3" s="339"/>
      <c r="PUC3" s="339"/>
      <c r="PUD3" s="339"/>
      <c r="PUE3" s="339"/>
      <c r="PUF3" s="339"/>
      <c r="PUG3" s="339"/>
      <c r="PUH3" s="339"/>
      <c r="PUI3" s="339"/>
      <c r="PUJ3" s="339"/>
      <c r="PUK3" s="339"/>
      <c r="PUL3" s="339"/>
      <c r="PUM3" s="339"/>
      <c r="PUN3" s="339"/>
      <c r="PUO3" s="339"/>
      <c r="PUP3" s="339"/>
      <c r="PUQ3" s="339"/>
      <c r="PUR3" s="339"/>
      <c r="PUS3" s="339"/>
      <c r="PUT3" s="339"/>
      <c r="PUU3" s="339"/>
      <c r="PUV3" s="339"/>
      <c r="PUW3" s="339"/>
      <c r="PUX3" s="339"/>
      <c r="PUY3" s="339"/>
      <c r="PUZ3" s="339"/>
      <c r="PVA3" s="339"/>
      <c r="PVB3" s="339"/>
      <c r="PVC3" s="339"/>
      <c r="PVD3" s="339"/>
      <c r="PVE3" s="339"/>
      <c r="PVF3" s="339"/>
      <c r="PVG3" s="339"/>
      <c r="PVH3" s="339"/>
      <c r="PVI3" s="339"/>
      <c r="PVJ3" s="339"/>
      <c r="PVK3" s="339"/>
      <c r="PVL3" s="339"/>
      <c r="PVM3" s="339"/>
      <c r="PVN3" s="339"/>
      <c r="PVO3" s="339"/>
      <c r="PVP3" s="339"/>
      <c r="PVQ3" s="339"/>
      <c r="PVR3" s="339"/>
      <c r="PVS3" s="339"/>
      <c r="PVT3" s="339"/>
      <c r="PVU3" s="339"/>
      <c r="PVV3" s="339"/>
      <c r="PVW3" s="339"/>
      <c r="PVX3" s="339"/>
      <c r="PVY3" s="339"/>
      <c r="PVZ3" s="339"/>
      <c r="PWA3" s="339"/>
      <c r="PWB3" s="339"/>
      <c r="PWC3" s="339"/>
      <c r="PWD3" s="339"/>
      <c r="PWE3" s="339"/>
      <c r="PWF3" s="339"/>
      <c r="PWG3" s="339"/>
      <c r="PWH3" s="339"/>
      <c r="PWI3" s="339"/>
      <c r="PWJ3" s="339"/>
      <c r="PWK3" s="339"/>
      <c r="PWL3" s="339"/>
      <c r="PWM3" s="339"/>
      <c r="PWN3" s="339"/>
      <c r="PWO3" s="339"/>
      <c r="PWP3" s="339"/>
      <c r="PWQ3" s="339"/>
      <c r="PWR3" s="339"/>
      <c r="PWS3" s="339"/>
      <c r="PWT3" s="339"/>
      <c r="PWU3" s="339"/>
      <c r="PWV3" s="339"/>
      <c r="PWW3" s="339"/>
      <c r="PWX3" s="339"/>
      <c r="PWY3" s="339"/>
      <c r="PWZ3" s="339"/>
      <c r="PXA3" s="339"/>
      <c r="PXB3" s="339"/>
      <c r="PXC3" s="339"/>
      <c r="PXD3" s="339"/>
      <c r="PXE3" s="339"/>
      <c r="PXF3" s="339"/>
      <c r="PXG3" s="339"/>
      <c r="PXH3" s="339"/>
      <c r="PXI3" s="339"/>
      <c r="PXJ3" s="339"/>
      <c r="PXK3" s="339"/>
      <c r="PXL3" s="339"/>
      <c r="PXM3" s="339"/>
      <c r="PXN3" s="339"/>
      <c r="PXO3" s="339"/>
      <c r="PXP3" s="339"/>
      <c r="PXQ3" s="339"/>
      <c r="PXR3" s="339"/>
      <c r="PXS3" s="339"/>
      <c r="PXT3" s="339"/>
      <c r="PXU3" s="339"/>
      <c r="PXV3" s="339"/>
      <c r="PXW3" s="339"/>
      <c r="PXX3" s="339"/>
      <c r="PXY3" s="339"/>
      <c r="PXZ3" s="339"/>
      <c r="PYA3" s="339"/>
      <c r="PYB3" s="339"/>
      <c r="PYC3" s="339"/>
      <c r="PYD3" s="339"/>
      <c r="PYE3" s="339"/>
      <c r="PYF3" s="339"/>
      <c r="PYG3" s="339"/>
      <c r="PYH3" s="339"/>
      <c r="PYI3" s="339"/>
      <c r="PYJ3" s="339"/>
      <c r="PYK3" s="339"/>
      <c r="PYL3" s="339"/>
      <c r="PYM3" s="339"/>
      <c r="PYN3" s="339"/>
      <c r="PYO3" s="339"/>
      <c r="PYP3" s="339"/>
      <c r="PYQ3" s="339"/>
      <c r="PYR3" s="339"/>
      <c r="PYS3" s="339"/>
      <c r="PYT3" s="339"/>
      <c r="PYU3" s="339"/>
      <c r="PYV3" s="339"/>
      <c r="PYW3" s="339"/>
      <c r="PYX3" s="339"/>
      <c r="PYY3" s="339"/>
      <c r="PYZ3" s="339"/>
      <c r="PZA3" s="339"/>
      <c r="PZB3" s="339"/>
      <c r="PZC3" s="339"/>
      <c r="PZD3" s="339"/>
      <c r="PZE3" s="339"/>
      <c r="PZF3" s="339"/>
      <c r="PZG3" s="339"/>
      <c r="PZH3" s="339"/>
      <c r="PZI3" s="339"/>
      <c r="PZJ3" s="339"/>
      <c r="PZK3" s="339"/>
      <c r="PZL3" s="339"/>
      <c r="PZM3" s="339"/>
      <c r="PZN3" s="339"/>
      <c r="PZO3" s="339"/>
      <c r="PZP3" s="339"/>
      <c r="PZQ3" s="339"/>
      <c r="PZR3" s="339"/>
      <c r="PZS3" s="339"/>
      <c r="PZT3" s="339"/>
      <c r="PZU3" s="339"/>
      <c r="PZV3" s="339"/>
      <c r="PZW3" s="339"/>
      <c r="PZX3" s="339"/>
      <c r="PZY3" s="339"/>
      <c r="PZZ3" s="339"/>
      <c r="QAA3" s="339"/>
      <c r="QAB3" s="339"/>
      <c r="QAC3" s="339"/>
      <c r="QAD3" s="339"/>
      <c r="QAE3" s="339"/>
      <c r="QAF3" s="339"/>
      <c r="QAG3" s="339"/>
      <c r="QAH3" s="339"/>
      <c r="QAI3" s="339"/>
      <c r="QAJ3" s="339"/>
      <c r="QAK3" s="339"/>
      <c r="QAL3" s="339"/>
      <c r="QAM3" s="339"/>
      <c r="QAN3" s="339"/>
      <c r="QAO3" s="339"/>
      <c r="QAP3" s="339"/>
      <c r="QAQ3" s="339"/>
      <c r="QAR3" s="339"/>
      <c r="QAS3" s="339"/>
      <c r="QAT3" s="339"/>
      <c r="QAU3" s="339"/>
      <c r="QAV3" s="339"/>
      <c r="QAW3" s="339"/>
      <c r="QAX3" s="339"/>
      <c r="QAY3" s="339"/>
      <c r="QAZ3" s="339"/>
      <c r="QBA3" s="339"/>
      <c r="QBB3" s="339"/>
      <c r="QBC3" s="339"/>
      <c r="QBD3" s="339"/>
      <c r="QBE3" s="339"/>
      <c r="QBF3" s="339"/>
      <c r="QBG3" s="339"/>
      <c r="QBH3" s="339"/>
      <c r="QBI3" s="339"/>
      <c r="QBJ3" s="339"/>
      <c r="QBK3" s="339"/>
      <c r="QBL3" s="339"/>
      <c r="QBM3" s="339"/>
      <c r="QBN3" s="339"/>
      <c r="QBO3" s="339"/>
      <c r="QBP3" s="339"/>
      <c r="QBQ3" s="339"/>
      <c r="QBR3" s="339"/>
      <c r="QBS3" s="339"/>
      <c r="QBT3" s="339"/>
      <c r="QBU3" s="339"/>
      <c r="QBV3" s="339"/>
      <c r="QBW3" s="339"/>
      <c r="QBX3" s="339"/>
      <c r="QBY3" s="339"/>
      <c r="QBZ3" s="339"/>
      <c r="QCA3" s="339"/>
      <c r="QCB3" s="339"/>
      <c r="QCC3" s="339"/>
      <c r="QCD3" s="339"/>
      <c r="QCE3" s="339"/>
      <c r="QCF3" s="339"/>
      <c r="QCG3" s="339"/>
      <c r="QCH3" s="339"/>
      <c r="QCI3" s="339"/>
      <c r="QCJ3" s="339"/>
      <c r="QCK3" s="339"/>
      <c r="QCL3" s="339"/>
      <c r="QCM3" s="339"/>
      <c r="QCN3" s="339"/>
      <c r="QCO3" s="339"/>
      <c r="QCP3" s="339"/>
      <c r="QCQ3" s="339"/>
      <c r="QCR3" s="339"/>
      <c r="QCS3" s="339"/>
      <c r="QCT3" s="339"/>
      <c r="QCU3" s="339"/>
      <c r="QCV3" s="339"/>
      <c r="QCW3" s="339"/>
      <c r="QCX3" s="339"/>
      <c r="QCY3" s="339"/>
      <c r="QCZ3" s="339"/>
      <c r="QDA3" s="339"/>
      <c r="QDB3" s="339"/>
      <c r="QDC3" s="339"/>
      <c r="QDD3" s="339"/>
      <c r="QDE3" s="339"/>
      <c r="QDF3" s="339"/>
      <c r="QDG3" s="339"/>
      <c r="QDH3" s="339"/>
      <c r="QDI3" s="339"/>
      <c r="QDJ3" s="339"/>
      <c r="QDK3" s="339"/>
      <c r="QDL3" s="339"/>
      <c r="QDM3" s="339"/>
      <c r="QDN3" s="339"/>
      <c r="QDO3" s="339"/>
      <c r="QDP3" s="339"/>
      <c r="QDQ3" s="339"/>
      <c r="QDR3" s="339"/>
      <c r="QDS3" s="339"/>
      <c r="QDT3" s="339"/>
      <c r="QDU3" s="339"/>
      <c r="QDV3" s="339"/>
      <c r="QDW3" s="339"/>
      <c r="QDX3" s="339"/>
      <c r="QDY3" s="339"/>
      <c r="QDZ3" s="339"/>
      <c r="QEA3" s="339"/>
      <c r="QEB3" s="339"/>
      <c r="QEC3" s="339"/>
      <c r="QED3" s="339"/>
      <c r="QEE3" s="339"/>
      <c r="QEF3" s="339"/>
      <c r="QEG3" s="339"/>
      <c r="QEH3" s="339"/>
      <c r="QEI3" s="339"/>
      <c r="QEJ3" s="339"/>
      <c r="QEK3" s="339"/>
      <c r="QEL3" s="339"/>
      <c r="QEM3" s="339"/>
      <c r="QEN3" s="339"/>
      <c r="QEO3" s="339"/>
      <c r="QEP3" s="339"/>
      <c r="QEQ3" s="339"/>
      <c r="QER3" s="339"/>
      <c r="QES3" s="339"/>
      <c r="QET3" s="339"/>
      <c r="QEU3" s="339"/>
      <c r="QEV3" s="339"/>
      <c r="QEW3" s="339"/>
      <c r="QEX3" s="339"/>
      <c r="QEY3" s="339"/>
      <c r="QEZ3" s="339"/>
      <c r="QFA3" s="339"/>
      <c r="QFB3" s="339"/>
      <c r="QFC3" s="339"/>
      <c r="QFD3" s="339"/>
      <c r="QFE3" s="339"/>
      <c r="QFF3" s="339"/>
      <c r="QFG3" s="339"/>
      <c r="QFH3" s="339"/>
      <c r="QFI3" s="339"/>
      <c r="QFJ3" s="339"/>
      <c r="QFK3" s="339"/>
      <c r="QFL3" s="339"/>
      <c r="QFM3" s="339"/>
      <c r="QFN3" s="339"/>
      <c r="QFO3" s="339"/>
      <c r="QFP3" s="339"/>
      <c r="QFQ3" s="339"/>
      <c r="QFR3" s="339"/>
      <c r="QFS3" s="339"/>
      <c r="QFT3" s="339"/>
      <c r="QFU3" s="339"/>
      <c r="QFV3" s="339"/>
      <c r="QFW3" s="339"/>
      <c r="QFX3" s="339"/>
      <c r="QFY3" s="339"/>
      <c r="QFZ3" s="339"/>
      <c r="QGA3" s="339"/>
      <c r="QGB3" s="339"/>
      <c r="QGC3" s="339"/>
      <c r="QGD3" s="339"/>
      <c r="QGE3" s="339"/>
      <c r="QGF3" s="339"/>
      <c r="QGG3" s="339"/>
      <c r="QGH3" s="339"/>
      <c r="QGI3" s="339"/>
      <c r="QGJ3" s="339"/>
      <c r="QGK3" s="339"/>
      <c r="QGL3" s="339"/>
      <c r="QGM3" s="339"/>
      <c r="QGN3" s="339"/>
      <c r="QGO3" s="339"/>
      <c r="QGP3" s="339"/>
      <c r="QGQ3" s="339"/>
      <c r="QGR3" s="339"/>
      <c r="QGS3" s="339"/>
      <c r="QGT3" s="339"/>
      <c r="QGU3" s="339"/>
      <c r="QGV3" s="339"/>
      <c r="QGW3" s="339"/>
      <c r="QGX3" s="339"/>
      <c r="QGY3" s="339"/>
      <c r="QGZ3" s="339"/>
      <c r="QHA3" s="339"/>
      <c r="QHB3" s="339"/>
      <c r="QHC3" s="339"/>
      <c r="QHD3" s="339"/>
      <c r="QHE3" s="339"/>
      <c r="QHF3" s="339"/>
      <c r="QHG3" s="339"/>
      <c r="QHH3" s="339"/>
      <c r="QHI3" s="339"/>
      <c r="QHJ3" s="339"/>
      <c r="QHK3" s="339"/>
      <c r="QHL3" s="339"/>
      <c r="QHM3" s="339"/>
      <c r="QHN3" s="339"/>
      <c r="QHO3" s="339"/>
      <c r="QHP3" s="339"/>
      <c r="QHQ3" s="339"/>
      <c r="QHR3" s="339"/>
      <c r="QHS3" s="339"/>
      <c r="QHT3" s="339"/>
      <c r="QHU3" s="339"/>
      <c r="QHV3" s="339"/>
      <c r="QHW3" s="339"/>
      <c r="QHX3" s="339"/>
      <c r="QHY3" s="339"/>
      <c r="QHZ3" s="339"/>
      <c r="QIA3" s="339"/>
      <c r="QIB3" s="339"/>
      <c r="QIC3" s="339"/>
      <c r="QID3" s="339"/>
      <c r="QIE3" s="339"/>
      <c r="QIF3" s="339"/>
      <c r="QIG3" s="339"/>
      <c r="QIH3" s="339"/>
      <c r="QII3" s="339"/>
      <c r="QIJ3" s="339"/>
      <c r="QIK3" s="339"/>
      <c r="QIL3" s="339"/>
      <c r="QIM3" s="339"/>
      <c r="QIN3" s="339"/>
      <c r="QIO3" s="339"/>
      <c r="QIP3" s="339"/>
      <c r="QIQ3" s="339"/>
      <c r="QIR3" s="339"/>
      <c r="QIS3" s="339"/>
      <c r="QIT3" s="339"/>
      <c r="QIU3" s="339"/>
      <c r="QIV3" s="339"/>
      <c r="QIW3" s="339"/>
      <c r="QIX3" s="339"/>
      <c r="QIY3" s="339"/>
      <c r="QIZ3" s="339"/>
      <c r="QJA3" s="339"/>
      <c r="QJB3" s="339"/>
      <c r="QJC3" s="339"/>
      <c r="QJD3" s="339"/>
      <c r="QJE3" s="339"/>
      <c r="QJF3" s="339"/>
      <c r="QJG3" s="339"/>
      <c r="QJH3" s="339"/>
      <c r="QJI3" s="339"/>
      <c r="QJJ3" s="339"/>
      <c r="QJK3" s="339"/>
      <c r="QJL3" s="339"/>
      <c r="QJM3" s="339"/>
      <c r="QJN3" s="339"/>
      <c r="QJO3" s="339"/>
      <c r="QJP3" s="339"/>
      <c r="QJQ3" s="339"/>
      <c r="QJR3" s="339"/>
      <c r="QJS3" s="339"/>
      <c r="QJT3" s="339"/>
      <c r="QJU3" s="339"/>
      <c r="QJV3" s="339"/>
      <c r="QJW3" s="339"/>
      <c r="QJX3" s="339"/>
      <c r="QJY3" s="339"/>
      <c r="QJZ3" s="339"/>
      <c r="QKA3" s="339"/>
      <c r="QKB3" s="339"/>
      <c r="QKC3" s="339"/>
      <c r="QKD3" s="339"/>
      <c r="QKE3" s="339"/>
      <c r="QKF3" s="339"/>
      <c r="QKG3" s="339"/>
      <c r="QKH3" s="339"/>
      <c r="QKI3" s="339"/>
      <c r="QKJ3" s="339"/>
      <c r="QKK3" s="339"/>
      <c r="QKL3" s="339"/>
      <c r="QKM3" s="339"/>
      <c r="QKN3" s="339"/>
      <c r="QKO3" s="339"/>
      <c r="QKP3" s="339"/>
      <c r="QKQ3" s="339"/>
      <c r="QKR3" s="339"/>
      <c r="QKS3" s="339"/>
      <c r="QKT3" s="339"/>
      <c r="QKU3" s="339"/>
      <c r="QKV3" s="339"/>
      <c r="QKW3" s="339"/>
      <c r="QKX3" s="339"/>
      <c r="QKY3" s="339"/>
      <c r="QKZ3" s="339"/>
      <c r="QLA3" s="339"/>
      <c r="QLB3" s="339"/>
      <c r="QLC3" s="339"/>
      <c r="QLD3" s="339"/>
      <c r="QLE3" s="339"/>
      <c r="QLF3" s="339"/>
      <c r="QLG3" s="339"/>
      <c r="QLH3" s="339"/>
      <c r="QLI3" s="339"/>
      <c r="QLJ3" s="339"/>
      <c r="QLK3" s="339"/>
      <c r="QLL3" s="339"/>
      <c r="QLM3" s="339"/>
      <c r="QLN3" s="339"/>
      <c r="QLO3" s="339"/>
      <c r="QLP3" s="339"/>
      <c r="QLQ3" s="339"/>
      <c r="QLR3" s="339"/>
      <c r="QLS3" s="339"/>
      <c r="QLT3" s="339"/>
      <c r="QLU3" s="339"/>
      <c r="QLV3" s="339"/>
      <c r="QLW3" s="339"/>
      <c r="QLX3" s="339"/>
      <c r="QLY3" s="339"/>
      <c r="QLZ3" s="339"/>
      <c r="QMA3" s="339"/>
      <c r="QMB3" s="339"/>
      <c r="QMC3" s="339"/>
      <c r="QMD3" s="339"/>
      <c r="QME3" s="339"/>
      <c r="QMF3" s="339"/>
      <c r="QMG3" s="339"/>
      <c r="QMH3" s="339"/>
      <c r="QMI3" s="339"/>
      <c r="QMJ3" s="339"/>
      <c r="QMK3" s="339"/>
      <c r="QML3" s="339"/>
      <c r="QMM3" s="339"/>
      <c r="QMN3" s="339"/>
      <c r="QMO3" s="339"/>
      <c r="QMP3" s="339"/>
      <c r="QMQ3" s="339"/>
      <c r="QMR3" s="339"/>
      <c r="QMS3" s="339"/>
      <c r="QMT3" s="339"/>
      <c r="QMU3" s="339"/>
      <c r="QMV3" s="339"/>
      <c r="QMW3" s="339"/>
      <c r="QMX3" s="339"/>
      <c r="QMY3" s="339"/>
      <c r="QMZ3" s="339"/>
      <c r="QNA3" s="339"/>
      <c r="QNB3" s="339"/>
      <c r="QNC3" s="339"/>
      <c r="QND3" s="339"/>
      <c r="QNE3" s="339"/>
      <c r="QNF3" s="339"/>
      <c r="QNG3" s="339"/>
      <c r="QNH3" s="339"/>
      <c r="QNI3" s="339"/>
      <c r="QNJ3" s="339"/>
      <c r="QNK3" s="339"/>
      <c r="QNL3" s="339"/>
      <c r="QNM3" s="339"/>
      <c r="QNN3" s="339"/>
      <c r="QNO3" s="339"/>
      <c r="QNP3" s="339"/>
      <c r="QNQ3" s="339"/>
      <c r="QNR3" s="339"/>
      <c r="QNS3" s="339"/>
      <c r="QNT3" s="339"/>
      <c r="QNU3" s="339"/>
      <c r="QNV3" s="339"/>
      <c r="QNW3" s="339"/>
      <c r="QNX3" s="339"/>
      <c r="QNY3" s="339"/>
      <c r="QNZ3" s="339"/>
      <c r="QOA3" s="339"/>
      <c r="QOB3" s="339"/>
      <c r="QOC3" s="339"/>
      <c r="QOD3" s="339"/>
      <c r="QOE3" s="339"/>
      <c r="QOF3" s="339"/>
      <c r="QOG3" s="339"/>
      <c r="QOH3" s="339"/>
      <c r="QOI3" s="339"/>
      <c r="QOJ3" s="339"/>
      <c r="QOK3" s="339"/>
      <c r="QOL3" s="339"/>
      <c r="QOM3" s="339"/>
      <c r="QON3" s="339"/>
      <c r="QOO3" s="339"/>
      <c r="QOP3" s="339"/>
      <c r="QOQ3" s="339"/>
      <c r="QOR3" s="339"/>
      <c r="QOS3" s="339"/>
      <c r="QOT3" s="339"/>
      <c r="QOU3" s="339"/>
      <c r="QOV3" s="339"/>
      <c r="QOW3" s="339"/>
      <c r="QOX3" s="339"/>
      <c r="QOY3" s="339"/>
      <c r="QOZ3" s="339"/>
      <c r="QPA3" s="339"/>
      <c r="QPB3" s="339"/>
      <c r="QPC3" s="339"/>
      <c r="QPD3" s="339"/>
      <c r="QPE3" s="339"/>
      <c r="QPF3" s="339"/>
      <c r="QPG3" s="339"/>
      <c r="QPH3" s="339"/>
      <c r="QPI3" s="339"/>
      <c r="QPJ3" s="339"/>
      <c r="QPK3" s="339"/>
      <c r="QPL3" s="339"/>
      <c r="QPM3" s="339"/>
      <c r="QPN3" s="339"/>
      <c r="QPO3" s="339"/>
      <c r="QPP3" s="339"/>
      <c r="QPQ3" s="339"/>
      <c r="QPR3" s="339"/>
      <c r="QPS3" s="339"/>
      <c r="QPT3" s="339"/>
      <c r="QPU3" s="339"/>
      <c r="QPV3" s="339"/>
      <c r="QPW3" s="339"/>
      <c r="QPX3" s="339"/>
      <c r="QPY3" s="339"/>
      <c r="QPZ3" s="339"/>
      <c r="QQA3" s="339"/>
      <c r="QQB3" s="339"/>
      <c r="QQC3" s="339"/>
      <c r="QQD3" s="339"/>
      <c r="QQE3" s="339"/>
      <c r="QQF3" s="339"/>
      <c r="QQG3" s="339"/>
      <c r="QQH3" s="339"/>
      <c r="QQI3" s="339"/>
      <c r="QQJ3" s="339"/>
      <c r="QQK3" s="339"/>
      <c r="QQL3" s="339"/>
      <c r="QQM3" s="339"/>
      <c r="QQN3" s="339"/>
      <c r="QQO3" s="339"/>
      <c r="QQP3" s="339"/>
      <c r="QQQ3" s="339"/>
      <c r="QQR3" s="339"/>
      <c r="QQS3" s="339"/>
      <c r="QQT3" s="339"/>
      <c r="QQU3" s="339"/>
      <c r="QQV3" s="339"/>
      <c r="QQW3" s="339"/>
      <c r="QQX3" s="339"/>
      <c r="QQY3" s="339"/>
      <c r="QQZ3" s="339"/>
      <c r="QRA3" s="339"/>
      <c r="QRB3" s="339"/>
      <c r="QRC3" s="339"/>
      <c r="QRD3" s="339"/>
      <c r="QRE3" s="339"/>
      <c r="QRF3" s="339"/>
      <c r="QRG3" s="339"/>
      <c r="QRH3" s="339"/>
      <c r="QRI3" s="339"/>
      <c r="QRJ3" s="339"/>
      <c r="QRK3" s="339"/>
      <c r="QRL3" s="339"/>
      <c r="QRM3" s="339"/>
      <c r="QRN3" s="339"/>
      <c r="QRO3" s="339"/>
      <c r="QRP3" s="339"/>
      <c r="QRQ3" s="339"/>
      <c r="QRR3" s="339"/>
      <c r="QRS3" s="339"/>
      <c r="QRT3" s="339"/>
      <c r="QRU3" s="339"/>
      <c r="QRV3" s="339"/>
      <c r="QRW3" s="339"/>
      <c r="QRX3" s="339"/>
      <c r="QRY3" s="339"/>
      <c r="QRZ3" s="339"/>
      <c r="QSA3" s="339"/>
      <c r="QSB3" s="339"/>
      <c r="QSC3" s="339"/>
      <c r="QSD3" s="339"/>
      <c r="QSE3" s="339"/>
      <c r="QSF3" s="339"/>
      <c r="QSG3" s="339"/>
      <c r="QSH3" s="339"/>
      <c r="QSI3" s="339"/>
      <c r="QSJ3" s="339"/>
      <c r="QSK3" s="339"/>
      <c r="QSL3" s="339"/>
      <c r="QSM3" s="339"/>
      <c r="QSN3" s="339"/>
      <c r="QSO3" s="339"/>
      <c r="QSP3" s="339"/>
      <c r="QSQ3" s="339"/>
      <c r="QSR3" s="339"/>
      <c r="QSS3" s="339"/>
      <c r="QST3" s="339"/>
      <c r="QSU3" s="339"/>
      <c r="QSV3" s="339"/>
      <c r="QSW3" s="339"/>
      <c r="QSX3" s="339"/>
      <c r="QSY3" s="339"/>
      <c r="QSZ3" s="339"/>
      <c r="QTA3" s="339"/>
      <c r="QTB3" s="339"/>
      <c r="QTC3" s="339"/>
      <c r="QTD3" s="339"/>
      <c r="QTE3" s="339"/>
      <c r="QTF3" s="339"/>
      <c r="QTG3" s="339"/>
      <c r="QTH3" s="339"/>
      <c r="QTI3" s="339"/>
      <c r="QTJ3" s="339"/>
      <c r="QTK3" s="339"/>
      <c r="QTL3" s="339"/>
      <c r="QTM3" s="339"/>
      <c r="QTN3" s="339"/>
      <c r="QTO3" s="339"/>
      <c r="QTP3" s="339"/>
      <c r="QTQ3" s="339"/>
      <c r="QTR3" s="339"/>
      <c r="QTS3" s="339"/>
      <c r="QTT3" s="339"/>
      <c r="QTU3" s="339"/>
      <c r="QTV3" s="339"/>
      <c r="QTW3" s="339"/>
      <c r="QTX3" s="339"/>
      <c r="QTY3" s="339"/>
      <c r="QTZ3" s="339"/>
      <c r="QUA3" s="339"/>
      <c r="QUB3" s="339"/>
      <c r="QUC3" s="339"/>
      <c r="QUD3" s="339"/>
      <c r="QUE3" s="339"/>
      <c r="QUF3" s="339"/>
      <c r="QUG3" s="339"/>
      <c r="QUH3" s="339"/>
      <c r="QUI3" s="339"/>
      <c r="QUJ3" s="339"/>
      <c r="QUK3" s="339"/>
      <c r="QUL3" s="339"/>
      <c r="QUM3" s="339"/>
      <c r="QUN3" s="339"/>
      <c r="QUO3" s="339"/>
      <c r="QUP3" s="339"/>
      <c r="QUQ3" s="339"/>
      <c r="QUR3" s="339"/>
      <c r="QUS3" s="339"/>
      <c r="QUT3" s="339"/>
      <c r="QUU3" s="339"/>
      <c r="QUV3" s="339"/>
      <c r="QUW3" s="339"/>
      <c r="QUX3" s="339"/>
      <c r="QUY3" s="339"/>
      <c r="QUZ3" s="339"/>
      <c r="QVA3" s="339"/>
      <c r="QVB3" s="339"/>
      <c r="QVC3" s="339"/>
      <c r="QVD3" s="339"/>
      <c r="QVE3" s="339"/>
      <c r="QVF3" s="339"/>
      <c r="QVG3" s="339"/>
      <c r="QVH3" s="339"/>
      <c r="QVI3" s="339"/>
      <c r="QVJ3" s="339"/>
      <c r="QVK3" s="339"/>
      <c r="QVL3" s="339"/>
      <c r="QVM3" s="339"/>
      <c r="QVN3" s="339"/>
      <c r="QVO3" s="339"/>
      <c r="QVP3" s="339"/>
      <c r="QVQ3" s="339"/>
      <c r="QVR3" s="339"/>
      <c r="QVS3" s="339"/>
      <c r="QVT3" s="339"/>
      <c r="QVU3" s="339"/>
      <c r="QVV3" s="339"/>
      <c r="QVW3" s="339"/>
      <c r="QVX3" s="339"/>
      <c r="QVY3" s="339"/>
      <c r="QVZ3" s="339"/>
      <c r="QWA3" s="339"/>
      <c r="QWB3" s="339"/>
      <c r="QWC3" s="339"/>
      <c r="QWD3" s="339"/>
      <c r="QWE3" s="339"/>
      <c r="QWF3" s="339"/>
      <c r="QWG3" s="339"/>
      <c r="QWH3" s="339"/>
      <c r="QWI3" s="339"/>
      <c r="QWJ3" s="339"/>
      <c r="QWK3" s="339"/>
      <c r="QWL3" s="339"/>
      <c r="QWM3" s="339"/>
      <c r="QWN3" s="339"/>
      <c r="QWO3" s="339"/>
      <c r="QWP3" s="339"/>
      <c r="QWQ3" s="339"/>
      <c r="QWR3" s="339"/>
      <c r="QWS3" s="339"/>
      <c r="QWT3" s="339"/>
      <c r="QWU3" s="339"/>
      <c r="QWV3" s="339"/>
      <c r="QWW3" s="339"/>
      <c r="QWX3" s="339"/>
      <c r="QWY3" s="339"/>
      <c r="QWZ3" s="339"/>
      <c r="QXA3" s="339"/>
      <c r="QXB3" s="339"/>
      <c r="QXC3" s="339"/>
      <c r="QXD3" s="339"/>
      <c r="QXE3" s="339"/>
      <c r="QXF3" s="339"/>
      <c r="QXG3" s="339"/>
      <c r="QXH3" s="339"/>
      <c r="QXI3" s="339"/>
      <c r="QXJ3" s="339"/>
      <c r="QXK3" s="339"/>
      <c r="QXL3" s="339"/>
      <c r="QXM3" s="339"/>
      <c r="QXN3" s="339"/>
      <c r="QXO3" s="339"/>
      <c r="QXP3" s="339"/>
      <c r="QXQ3" s="339"/>
      <c r="QXR3" s="339"/>
      <c r="QXS3" s="339"/>
      <c r="QXT3" s="339"/>
      <c r="QXU3" s="339"/>
      <c r="QXV3" s="339"/>
      <c r="QXW3" s="339"/>
      <c r="QXX3" s="339"/>
      <c r="QXY3" s="339"/>
      <c r="QXZ3" s="339"/>
      <c r="QYA3" s="339"/>
      <c r="QYB3" s="339"/>
      <c r="QYC3" s="339"/>
      <c r="QYD3" s="339"/>
      <c r="QYE3" s="339"/>
      <c r="QYF3" s="339"/>
      <c r="QYG3" s="339"/>
      <c r="QYH3" s="339"/>
      <c r="QYI3" s="339"/>
      <c r="QYJ3" s="339"/>
      <c r="QYK3" s="339"/>
      <c r="QYL3" s="339"/>
      <c r="QYM3" s="339"/>
      <c r="QYN3" s="339"/>
      <c r="QYO3" s="339"/>
      <c r="QYP3" s="339"/>
      <c r="QYQ3" s="339"/>
      <c r="QYR3" s="339"/>
      <c r="QYS3" s="339"/>
      <c r="QYT3" s="339"/>
      <c r="QYU3" s="339"/>
      <c r="QYV3" s="339"/>
      <c r="QYW3" s="339"/>
      <c r="QYX3" s="339"/>
      <c r="QYY3" s="339"/>
      <c r="QYZ3" s="339"/>
      <c r="QZA3" s="339"/>
      <c r="QZB3" s="339"/>
      <c r="QZC3" s="339"/>
      <c r="QZD3" s="339"/>
      <c r="QZE3" s="339"/>
      <c r="QZF3" s="339"/>
      <c r="QZG3" s="339"/>
      <c r="QZH3" s="339"/>
      <c r="QZI3" s="339"/>
      <c r="QZJ3" s="339"/>
      <c r="QZK3" s="339"/>
      <c r="QZL3" s="339"/>
      <c r="QZM3" s="339"/>
      <c r="QZN3" s="339"/>
      <c r="QZO3" s="339"/>
      <c r="QZP3" s="339"/>
      <c r="QZQ3" s="339"/>
      <c r="QZR3" s="339"/>
      <c r="QZS3" s="339"/>
      <c r="QZT3" s="339"/>
      <c r="QZU3" s="339"/>
      <c r="QZV3" s="339"/>
      <c r="QZW3" s="339"/>
      <c r="QZX3" s="339"/>
      <c r="QZY3" s="339"/>
      <c r="QZZ3" s="339"/>
      <c r="RAA3" s="339"/>
      <c r="RAB3" s="339"/>
      <c r="RAC3" s="339"/>
      <c r="RAD3" s="339"/>
      <c r="RAE3" s="339"/>
      <c r="RAF3" s="339"/>
      <c r="RAG3" s="339"/>
      <c r="RAH3" s="339"/>
      <c r="RAI3" s="339"/>
      <c r="RAJ3" s="339"/>
      <c r="RAK3" s="339"/>
      <c r="RAL3" s="339"/>
      <c r="RAM3" s="339"/>
      <c r="RAN3" s="339"/>
      <c r="RAO3" s="339"/>
      <c r="RAP3" s="339"/>
      <c r="RAQ3" s="339"/>
      <c r="RAR3" s="339"/>
      <c r="RAS3" s="339"/>
      <c r="RAT3" s="339"/>
      <c r="RAU3" s="339"/>
      <c r="RAV3" s="339"/>
      <c r="RAW3" s="339"/>
      <c r="RAX3" s="339"/>
      <c r="RAY3" s="339"/>
      <c r="RAZ3" s="339"/>
      <c r="RBA3" s="339"/>
      <c r="RBB3" s="339"/>
      <c r="RBC3" s="339"/>
      <c r="RBD3" s="339"/>
      <c r="RBE3" s="339"/>
      <c r="RBF3" s="339"/>
      <c r="RBG3" s="339"/>
      <c r="RBH3" s="339"/>
      <c r="RBI3" s="339"/>
      <c r="RBJ3" s="339"/>
      <c r="RBK3" s="339"/>
      <c r="RBL3" s="339"/>
      <c r="RBM3" s="339"/>
      <c r="RBN3" s="339"/>
      <c r="RBO3" s="339"/>
      <c r="RBP3" s="339"/>
      <c r="RBQ3" s="339"/>
      <c r="RBR3" s="339"/>
      <c r="RBS3" s="339"/>
      <c r="RBT3" s="339"/>
      <c r="RBU3" s="339"/>
      <c r="RBV3" s="339"/>
      <c r="RBW3" s="339"/>
      <c r="RBX3" s="339"/>
      <c r="RBY3" s="339"/>
      <c r="RBZ3" s="339"/>
      <c r="RCA3" s="339"/>
      <c r="RCB3" s="339"/>
      <c r="RCC3" s="339"/>
      <c r="RCD3" s="339"/>
      <c r="RCE3" s="339"/>
      <c r="RCF3" s="339"/>
      <c r="RCG3" s="339"/>
      <c r="RCH3" s="339"/>
      <c r="RCI3" s="339"/>
      <c r="RCJ3" s="339"/>
      <c r="RCK3" s="339"/>
      <c r="RCL3" s="339"/>
      <c r="RCM3" s="339"/>
      <c r="RCN3" s="339"/>
      <c r="RCO3" s="339"/>
      <c r="RCP3" s="339"/>
      <c r="RCQ3" s="339"/>
      <c r="RCR3" s="339"/>
      <c r="RCS3" s="339"/>
      <c r="RCT3" s="339"/>
      <c r="RCU3" s="339"/>
      <c r="RCV3" s="339"/>
      <c r="RCW3" s="339"/>
      <c r="RCX3" s="339"/>
      <c r="RCY3" s="339"/>
      <c r="RCZ3" s="339"/>
      <c r="RDA3" s="339"/>
      <c r="RDB3" s="339"/>
      <c r="RDC3" s="339"/>
      <c r="RDD3" s="339"/>
      <c r="RDE3" s="339"/>
      <c r="RDF3" s="339"/>
      <c r="RDG3" s="339"/>
      <c r="RDH3" s="339"/>
      <c r="RDI3" s="339"/>
      <c r="RDJ3" s="339"/>
      <c r="RDK3" s="339"/>
      <c r="RDL3" s="339"/>
      <c r="RDM3" s="339"/>
      <c r="RDN3" s="339"/>
      <c r="RDO3" s="339"/>
      <c r="RDP3" s="339"/>
      <c r="RDQ3" s="339"/>
      <c r="RDR3" s="339"/>
      <c r="RDS3" s="339"/>
      <c r="RDT3" s="339"/>
      <c r="RDU3" s="339"/>
      <c r="RDV3" s="339"/>
      <c r="RDW3" s="339"/>
      <c r="RDX3" s="339"/>
      <c r="RDY3" s="339"/>
      <c r="RDZ3" s="339"/>
      <c r="REA3" s="339"/>
      <c r="REB3" s="339"/>
      <c r="REC3" s="339"/>
      <c r="RED3" s="339"/>
      <c r="REE3" s="339"/>
      <c r="REF3" s="339"/>
      <c r="REG3" s="339"/>
      <c r="REH3" s="339"/>
      <c r="REI3" s="339"/>
      <c r="REJ3" s="339"/>
      <c r="REK3" s="339"/>
      <c r="REL3" s="339"/>
      <c r="REM3" s="339"/>
      <c r="REN3" s="339"/>
      <c r="REO3" s="339"/>
      <c r="REP3" s="339"/>
      <c r="REQ3" s="339"/>
      <c r="RER3" s="339"/>
      <c r="RES3" s="339"/>
      <c r="RET3" s="339"/>
      <c r="REU3" s="339"/>
      <c r="REV3" s="339"/>
      <c r="REW3" s="339"/>
      <c r="REX3" s="339"/>
      <c r="REY3" s="339"/>
      <c r="REZ3" s="339"/>
      <c r="RFA3" s="339"/>
      <c r="RFB3" s="339"/>
      <c r="RFC3" s="339"/>
      <c r="RFD3" s="339"/>
      <c r="RFE3" s="339"/>
      <c r="RFF3" s="339"/>
      <c r="RFG3" s="339"/>
      <c r="RFH3" s="339"/>
      <c r="RFI3" s="339"/>
      <c r="RFJ3" s="339"/>
      <c r="RFK3" s="339"/>
      <c r="RFL3" s="339"/>
      <c r="RFM3" s="339"/>
      <c r="RFN3" s="339"/>
      <c r="RFO3" s="339"/>
      <c r="RFP3" s="339"/>
      <c r="RFQ3" s="339"/>
      <c r="RFR3" s="339"/>
      <c r="RFS3" s="339"/>
      <c r="RFT3" s="339"/>
      <c r="RFU3" s="339"/>
      <c r="RFV3" s="339"/>
      <c r="RFW3" s="339"/>
      <c r="RFX3" s="339"/>
      <c r="RFY3" s="339"/>
      <c r="RFZ3" s="339"/>
      <c r="RGA3" s="339"/>
      <c r="RGB3" s="339"/>
      <c r="RGC3" s="339"/>
      <c r="RGD3" s="339"/>
      <c r="RGE3" s="339"/>
      <c r="RGF3" s="339"/>
      <c r="RGG3" s="339"/>
      <c r="RGH3" s="339"/>
      <c r="RGI3" s="339"/>
      <c r="RGJ3" s="339"/>
      <c r="RGK3" s="339"/>
      <c r="RGL3" s="339"/>
      <c r="RGM3" s="339"/>
      <c r="RGN3" s="339"/>
      <c r="RGO3" s="339"/>
      <c r="RGP3" s="339"/>
      <c r="RGQ3" s="339"/>
      <c r="RGR3" s="339"/>
      <c r="RGS3" s="339"/>
      <c r="RGT3" s="339"/>
      <c r="RGU3" s="339"/>
      <c r="RGV3" s="339"/>
      <c r="RGW3" s="339"/>
      <c r="RGX3" s="339"/>
      <c r="RGY3" s="339"/>
      <c r="RGZ3" s="339"/>
      <c r="RHA3" s="339"/>
      <c r="RHB3" s="339"/>
      <c r="RHC3" s="339"/>
      <c r="RHD3" s="339"/>
      <c r="RHE3" s="339"/>
      <c r="RHF3" s="339"/>
      <c r="RHG3" s="339"/>
      <c r="RHH3" s="339"/>
      <c r="RHI3" s="339"/>
      <c r="RHJ3" s="339"/>
      <c r="RHK3" s="339"/>
      <c r="RHL3" s="339"/>
      <c r="RHM3" s="339"/>
      <c r="RHN3" s="339"/>
      <c r="RHO3" s="339"/>
      <c r="RHP3" s="339"/>
      <c r="RHQ3" s="339"/>
      <c r="RHR3" s="339"/>
      <c r="RHS3" s="339"/>
      <c r="RHT3" s="339"/>
      <c r="RHU3" s="339"/>
      <c r="RHV3" s="339"/>
      <c r="RHW3" s="339"/>
      <c r="RHX3" s="339"/>
      <c r="RHY3" s="339"/>
      <c r="RHZ3" s="339"/>
      <c r="RIA3" s="339"/>
      <c r="RIB3" s="339"/>
      <c r="RIC3" s="339"/>
      <c r="RID3" s="339"/>
      <c r="RIE3" s="339"/>
      <c r="RIF3" s="339"/>
      <c r="RIG3" s="339"/>
      <c r="RIH3" s="339"/>
      <c r="RII3" s="339"/>
      <c r="RIJ3" s="339"/>
      <c r="RIK3" s="339"/>
      <c r="RIL3" s="339"/>
      <c r="RIM3" s="339"/>
      <c r="RIN3" s="339"/>
      <c r="RIO3" s="339"/>
      <c r="RIP3" s="339"/>
      <c r="RIQ3" s="339"/>
      <c r="RIR3" s="339"/>
      <c r="RIS3" s="339"/>
      <c r="RIT3" s="339"/>
      <c r="RIU3" s="339"/>
      <c r="RIV3" s="339"/>
      <c r="RIW3" s="339"/>
      <c r="RIX3" s="339"/>
      <c r="RIY3" s="339"/>
      <c r="RIZ3" s="339"/>
      <c r="RJA3" s="339"/>
      <c r="RJB3" s="339"/>
      <c r="RJC3" s="339"/>
      <c r="RJD3" s="339"/>
      <c r="RJE3" s="339"/>
      <c r="RJF3" s="339"/>
      <c r="RJG3" s="339"/>
      <c r="RJH3" s="339"/>
      <c r="RJI3" s="339"/>
      <c r="RJJ3" s="339"/>
      <c r="RJK3" s="339"/>
      <c r="RJL3" s="339"/>
      <c r="RJM3" s="339"/>
      <c r="RJN3" s="339"/>
      <c r="RJO3" s="339"/>
      <c r="RJP3" s="339"/>
      <c r="RJQ3" s="339"/>
      <c r="RJR3" s="339"/>
      <c r="RJS3" s="339"/>
      <c r="RJT3" s="339"/>
      <c r="RJU3" s="339"/>
      <c r="RJV3" s="339"/>
      <c r="RJW3" s="339"/>
      <c r="RJX3" s="339"/>
      <c r="RJY3" s="339"/>
      <c r="RJZ3" s="339"/>
      <c r="RKA3" s="339"/>
      <c r="RKB3" s="339"/>
      <c r="RKC3" s="339"/>
      <c r="RKD3" s="339"/>
      <c r="RKE3" s="339"/>
      <c r="RKF3" s="339"/>
      <c r="RKG3" s="339"/>
      <c r="RKH3" s="339"/>
      <c r="RKI3" s="339"/>
      <c r="RKJ3" s="339"/>
      <c r="RKK3" s="339"/>
      <c r="RKL3" s="339"/>
      <c r="RKM3" s="339"/>
      <c r="RKN3" s="339"/>
      <c r="RKO3" s="339"/>
      <c r="RKP3" s="339"/>
      <c r="RKQ3" s="339"/>
      <c r="RKR3" s="339"/>
      <c r="RKS3" s="339"/>
      <c r="RKT3" s="339"/>
      <c r="RKU3" s="339"/>
      <c r="RKV3" s="339"/>
      <c r="RKW3" s="339"/>
      <c r="RKX3" s="339"/>
      <c r="RKY3" s="339"/>
      <c r="RKZ3" s="339"/>
      <c r="RLA3" s="339"/>
      <c r="RLB3" s="339"/>
      <c r="RLC3" s="339"/>
      <c r="RLD3" s="339"/>
      <c r="RLE3" s="339"/>
      <c r="RLF3" s="339"/>
      <c r="RLG3" s="339"/>
      <c r="RLH3" s="339"/>
      <c r="RLI3" s="339"/>
      <c r="RLJ3" s="339"/>
      <c r="RLK3" s="339"/>
      <c r="RLL3" s="339"/>
      <c r="RLM3" s="339"/>
      <c r="RLN3" s="339"/>
      <c r="RLO3" s="339"/>
      <c r="RLP3" s="339"/>
      <c r="RLQ3" s="339"/>
      <c r="RLR3" s="339"/>
      <c r="RLS3" s="339"/>
      <c r="RLT3" s="339"/>
      <c r="RLU3" s="339"/>
      <c r="RLV3" s="339"/>
      <c r="RLW3" s="339"/>
      <c r="RLX3" s="339"/>
      <c r="RLY3" s="339"/>
      <c r="RLZ3" s="339"/>
      <c r="RMA3" s="339"/>
      <c r="RMB3" s="339"/>
      <c r="RMC3" s="339"/>
      <c r="RMD3" s="339"/>
      <c r="RME3" s="339"/>
      <c r="RMF3" s="339"/>
      <c r="RMG3" s="339"/>
      <c r="RMH3" s="339"/>
      <c r="RMI3" s="339"/>
      <c r="RMJ3" s="339"/>
      <c r="RMK3" s="339"/>
      <c r="RML3" s="339"/>
      <c r="RMM3" s="339"/>
      <c r="RMN3" s="339"/>
      <c r="RMO3" s="339"/>
      <c r="RMP3" s="339"/>
      <c r="RMQ3" s="339"/>
      <c r="RMR3" s="339"/>
      <c r="RMS3" s="339"/>
      <c r="RMT3" s="339"/>
      <c r="RMU3" s="339"/>
      <c r="RMV3" s="339"/>
      <c r="RMW3" s="339"/>
      <c r="RMX3" s="339"/>
      <c r="RMY3" s="339"/>
      <c r="RMZ3" s="339"/>
      <c r="RNA3" s="339"/>
      <c r="RNB3" s="339"/>
      <c r="RNC3" s="339"/>
      <c r="RND3" s="339"/>
      <c r="RNE3" s="339"/>
      <c r="RNF3" s="339"/>
      <c r="RNG3" s="339"/>
      <c r="RNH3" s="339"/>
      <c r="RNI3" s="339"/>
      <c r="RNJ3" s="339"/>
      <c r="RNK3" s="339"/>
      <c r="RNL3" s="339"/>
      <c r="RNM3" s="339"/>
      <c r="RNN3" s="339"/>
      <c r="RNO3" s="339"/>
      <c r="RNP3" s="339"/>
      <c r="RNQ3" s="339"/>
      <c r="RNR3" s="339"/>
      <c r="RNS3" s="339"/>
      <c r="RNT3" s="339"/>
      <c r="RNU3" s="339"/>
      <c r="RNV3" s="339"/>
      <c r="RNW3" s="339"/>
      <c r="RNX3" s="339"/>
      <c r="RNY3" s="339"/>
      <c r="RNZ3" s="339"/>
      <c r="ROA3" s="339"/>
      <c r="ROB3" s="339"/>
      <c r="ROC3" s="339"/>
      <c r="ROD3" s="339"/>
      <c r="ROE3" s="339"/>
      <c r="ROF3" s="339"/>
      <c r="ROG3" s="339"/>
      <c r="ROH3" s="339"/>
      <c r="ROI3" s="339"/>
      <c r="ROJ3" s="339"/>
      <c r="ROK3" s="339"/>
      <c r="ROL3" s="339"/>
      <c r="ROM3" s="339"/>
      <c r="RON3" s="339"/>
      <c r="ROO3" s="339"/>
      <c r="ROP3" s="339"/>
      <c r="ROQ3" s="339"/>
      <c r="ROR3" s="339"/>
      <c r="ROS3" s="339"/>
      <c r="ROT3" s="339"/>
      <c r="ROU3" s="339"/>
      <c r="ROV3" s="339"/>
      <c r="ROW3" s="339"/>
      <c r="ROX3" s="339"/>
      <c r="ROY3" s="339"/>
      <c r="ROZ3" s="339"/>
      <c r="RPA3" s="339"/>
      <c r="RPB3" s="339"/>
      <c r="RPC3" s="339"/>
      <c r="RPD3" s="339"/>
      <c r="RPE3" s="339"/>
      <c r="RPF3" s="339"/>
      <c r="RPG3" s="339"/>
      <c r="RPH3" s="339"/>
      <c r="RPI3" s="339"/>
      <c r="RPJ3" s="339"/>
      <c r="RPK3" s="339"/>
      <c r="RPL3" s="339"/>
      <c r="RPM3" s="339"/>
      <c r="RPN3" s="339"/>
      <c r="RPO3" s="339"/>
      <c r="RPP3" s="339"/>
      <c r="RPQ3" s="339"/>
      <c r="RPR3" s="339"/>
      <c r="RPS3" s="339"/>
      <c r="RPT3" s="339"/>
      <c r="RPU3" s="339"/>
      <c r="RPV3" s="339"/>
      <c r="RPW3" s="339"/>
      <c r="RPX3" s="339"/>
      <c r="RPY3" s="339"/>
      <c r="RPZ3" s="339"/>
      <c r="RQA3" s="339"/>
      <c r="RQB3" s="339"/>
      <c r="RQC3" s="339"/>
      <c r="RQD3" s="339"/>
      <c r="RQE3" s="339"/>
      <c r="RQF3" s="339"/>
      <c r="RQG3" s="339"/>
      <c r="RQH3" s="339"/>
      <c r="RQI3" s="339"/>
      <c r="RQJ3" s="339"/>
      <c r="RQK3" s="339"/>
      <c r="RQL3" s="339"/>
      <c r="RQM3" s="339"/>
      <c r="RQN3" s="339"/>
      <c r="RQO3" s="339"/>
      <c r="RQP3" s="339"/>
      <c r="RQQ3" s="339"/>
      <c r="RQR3" s="339"/>
      <c r="RQS3" s="339"/>
      <c r="RQT3" s="339"/>
      <c r="RQU3" s="339"/>
      <c r="RQV3" s="339"/>
      <c r="RQW3" s="339"/>
      <c r="RQX3" s="339"/>
      <c r="RQY3" s="339"/>
      <c r="RQZ3" s="339"/>
      <c r="RRA3" s="339"/>
      <c r="RRB3" s="339"/>
      <c r="RRC3" s="339"/>
      <c r="RRD3" s="339"/>
      <c r="RRE3" s="339"/>
      <c r="RRF3" s="339"/>
      <c r="RRG3" s="339"/>
      <c r="RRH3" s="339"/>
      <c r="RRI3" s="339"/>
      <c r="RRJ3" s="339"/>
      <c r="RRK3" s="339"/>
      <c r="RRL3" s="339"/>
      <c r="RRM3" s="339"/>
      <c r="RRN3" s="339"/>
      <c r="RRO3" s="339"/>
      <c r="RRP3" s="339"/>
      <c r="RRQ3" s="339"/>
      <c r="RRR3" s="339"/>
      <c r="RRS3" s="339"/>
      <c r="RRT3" s="339"/>
      <c r="RRU3" s="339"/>
      <c r="RRV3" s="339"/>
      <c r="RRW3" s="339"/>
      <c r="RRX3" s="339"/>
      <c r="RRY3" s="339"/>
      <c r="RRZ3" s="339"/>
      <c r="RSA3" s="339"/>
      <c r="RSB3" s="339"/>
      <c r="RSC3" s="339"/>
      <c r="RSD3" s="339"/>
      <c r="RSE3" s="339"/>
      <c r="RSF3" s="339"/>
      <c r="RSG3" s="339"/>
      <c r="RSH3" s="339"/>
      <c r="RSI3" s="339"/>
      <c r="RSJ3" s="339"/>
      <c r="RSK3" s="339"/>
      <c r="RSL3" s="339"/>
      <c r="RSM3" s="339"/>
      <c r="RSN3" s="339"/>
      <c r="RSO3" s="339"/>
      <c r="RSP3" s="339"/>
      <c r="RSQ3" s="339"/>
      <c r="RSR3" s="339"/>
      <c r="RSS3" s="339"/>
      <c r="RST3" s="339"/>
      <c r="RSU3" s="339"/>
      <c r="RSV3" s="339"/>
      <c r="RSW3" s="339"/>
      <c r="RSX3" s="339"/>
      <c r="RSY3" s="339"/>
      <c r="RSZ3" s="339"/>
      <c r="RTA3" s="339"/>
      <c r="RTB3" s="339"/>
      <c r="RTC3" s="339"/>
      <c r="RTD3" s="339"/>
      <c r="RTE3" s="339"/>
      <c r="RTF3" s="339"/>
      <c r="RTG3" s="339"/>
      <c r="RTH3" s="339"/>
      <c r="RTI3" s="339"/>
      <c r="RTJ3" s="339"/>
      <c r="RTK3" s="339"/>
      <c r="RTL3" s="339"/>
      <c r="RTM3" s="339"/>
      <c r="RTN3" s="339"/>
      <c r="RTO3" s="339"/>
      <c r="RTP3" s="339"/>
      <c r="RTQ3" s="339"/>
      <c r="RTR3" s="339"/>
      <c r="RTS3" s="339"/>
      <c r="RTT3" s="339"/>
      <c r="RTU3" s="339"/>
      <c r="RTV3" s="339"/>
      <c r="RTW3" s="339"/>
      <c r="RTX3" s="339"/>
      <c r="RTY3" s="339"/>
      <c r="RTZ3" s="339"/>
      <c r="RUA3" s="339"/>
      <c r="RUB3" s="339"/>
      <c r="RUC3" s="339"/>
      <c r="RUD3" s="339"/>
      <c r="RUE3" s="339"/>
      <c r="RUF3" s="339"/>
      <c r="RUG3" s="339"/>
      <c r="RUH3" s="339"/>
      <c r="RUI3" s="339"/>
      <c r="RUJ3" s="339"/>
      <c r="RUK3" s="339"/>
      <c r="RUL3" s="339"/>
      <c r="RUM3" s="339"/>
      <c r="RUN3" s="339"/>
      <c r="RUO3" s="339"/>
      <c r="RUP3" s="339"/>
      <c r="RUQ3" s="339"/>
      <c r="RUR3" s="339"/>
      <c r="RUS3" s="339"/>
      <c r="RUT3" s="339"/>
      <c r="RUU3" s="339"/>
      <c r="RUV3" s="339"/>
      <c r="RUW3" s="339"/>
      <c r="RUX3" s="339"/>
      <c r="RUY3" s="339"/>
      <c r="RUZ3" s="339"/>
      <c r="RVA3" s="339"/>
      <c r="RVB3" s="339"/>
      <c r="RVC3" s="339"/>
      <c r="RVD3" s="339"/>
      <c r="RVE3" s="339"/>
      <c r="RVF3" s="339"/>
      <c r="RVG3" s="339"/>
      <c r="RVH3" s="339"/>
      <c r="RVI3" s="339"/>
      <c r="RVJ3" s="339"/>
      <c r="RVK3" s="339"/>
      <c r="RVL3" s="339"/>
      <c r="RVM3" s="339"/>
      <c r="RVN3" s="339"/>
      <c r="RVO3" s="339"/>
      <c r="RVP3" s="339"/>
      <c r="RVQ3" s="339"/>
      <c r="RVR3" s="339"/>
      <c r="RVS3" s="339"/>
      <c r="RVT3" s="339"/>
      <c r="RVU3" s="339"/>
      <c r="RVV3" s="339"/>
      <c r="RVW3" s="339"/>
      <c r="RVX3" s="339"/>
      <c r="RVY3" s="339"/>
      <c r="RVZ3" s="339"/>
      <c r="RWA3" s="339"/>
      <c r="RWB3" s="339"/>
      <c r="RWC3" s="339"/>
      <c r="RWD3" s="339"/>
      <c r="RWE3" s="339"/>
      <c r="RWF3" s="339"/>
      <c r="RWG3" s="339"/>
      <c r="RWH3" s="339"/>
      <c r="RWI3" s="339"/>
      <c r="RWJ3" s="339"/>
      <c r="RWK3" s="339"/>
      <c r="RWL3" s="339"/>
      <c r="RWM3" s="339"/>
      <c r="RWN3" s="339"/>
      <c r="RWO3" s="339"/>
      <c r="RWP3" s="339"/>
      <c r="RWQ3" s="339"/>
      <c r="RWR3" s="339"/>
      <c r="RWS3" s="339"/>
      <c r="RWT3" s="339"/>
      <c r="RWU3" s="339"/>
      <c r="RWV3" s="339"/>
      <c r="RWW3" s="339"/>
      <c r="RWX3" s="339"/>
      <c r="RWY3" s="339"/>
      <c r="RWZ3" s="339"/>
      <c r="RXA3" s="339"/>
      <c r="RXB3" s="339"/>
      <c r="RXC3" s="339"/>
      <c r="RXD3" s="339"/>
      <c r="RXE3" s="339"/>
      <c r="RXF3" s="339"/>
      <c r="RXG3" s="339"/>
      <c r="RXH3" s="339"/>
      <c r="RXI3" s="339"/>
      <c r="RXJ3" s="339"/>
      <c r="RXK3" s="339"/>
      <c r="RXL3" s="339"/>
      <c r="RXM3" s="339"/>
      <c r="RXN3" s="339"/>
      <c r="RXO3" s="339"/>
      <c r="RXP3" s="339"/>
      <c r="RXQ3" s="339"/>
      <c r="RXR3" s="339"/>
      <c r="RXS3" s="339"/>
      <c r="RXT3" s="339"/>
      <c r="RXU3" s="339"/>
      <c r="RXV3" s="339"/>
      <c r="RXW3" s="339"/>
      <c r="RXX3" s="339"/>
      <c r="RXY3" s="339"/>
      <c r="RXZ3" s="339"/>
      <c r="RYA3" s="339"/>
      <c r="RYB3" s="339"/>
      <c r="RYC3" s="339"/>
      <c r="RYD3" s="339"/>
      <c r="RYE3" s="339"/>
      <c r="RYF3" s="339"/>
      <c r="RYG3" s="339"/>
      <c r="RYH3" s="339"/>
      <c r="RYI3" s="339"/>
      <c r="RYJ3" s="339"/>
      <c r="RYK3" s="339"/>
      <c r="RYL3" s="339"/>
      <c r="RYM3" s="339"/>
      <c r="RYN3" s="339"/>
      <c r="RYO3" s="339"/>
      <c r="RYP3" s="339"/>
      <c r="RYQ3" s="339"/>
      <c r="RYR3" s="339"/>
      <c r="RYS3" s="339"/>
      <c r="RYT3" s="339"/>
      <c r="RYU3" s="339"/>
      <c r="RYV3" s="339"/>
      <c r="RYW3" s="339"/>
      <c r="RYX3" s="339"/>
      <c r="RYY3" s="339"/>
      <c r="RYZ3" s="339"/>
      <c r="RZA3" s="339"/>
      <c r="RZB3" s="339"/>
      <c r="RZC3" s="339"/>
      <c r="RZD3" s="339"/>
      <c r="RZE3" s="339"/>
      <c r="RZF3" s="339"/>
      <c r="RZG3" s="339"/>
      <c r="RZH3" s="339"/>
      <c r="RZI3" s="339"/>
      <c r="RZJ3" s="339"/>
      <c r="RZK3" s="339"/>
      <c r="RZL3" s="339"/>
      <c r="RZM3" s="339"/>
      <c r="RZN3" s="339"/>
      <c r="RZO3" s="339"/>
      <c r="RZP3" s="339"/>
      <c r="RZQ3" s="339"/>
      <c r="RZR3" s="339"/>
      <c r="RZS3" s="339"/>
      <c r="RZT3" s="339"/>
      <c r="RZU3" s="339"/>
      <c r="RZV3" s="339"/>
      <c r="RZW3" s="339"/>
      <c r="RZX3" s="339"/>
      <c r="RZY3" s="339"/>
      <c r="RZZ3" s="339"/>
      <c r="SAA3" s="339"/>
      <c r="SAB3" s="339"/>
      <c r="SAC3" s="339"/>
      <c r="SAD3" s="339"/>
      <c r="SAE3" s="339"/>
      <c r="SAF3" s="339"/>
      <c r="SAG3" s="339"/>
      <c r="SAH3" s="339"/>
      <c r="SAI3" s="339"/>
      <c r="SAJ3" s="339"/>
      <c r="SAK3" s="339"/>
      <c r="SAL3" s="339"/>
      <c r="SAM3" s="339"/>
      <c r="SAN3" s="339"/>
      <c r="SAO3" s="339"/>
      <c r="SAP3" s="339"/>
      <c r="SAQ3" s="339"/>
      <c r="SAR3" s="339"/>
      <c r="SAS3" s="339"/>
      <c r="SAT3" s="339"/>
      <c r="SAU3" s="339"/>
      <c r="SAV3" s="339"/>
      <c r="SAW3" s="339"/>
      <c r="SAX3" s="339"/>
      <c r="SAY3" s="339"/>
      <c r="SAZ3" s="339"/>
      <c r="SBA3" s="339"/>
      <c r="SBB3" s="339"/>
      <c r="SBC3" s="339"/>
      <c r="SBD3" s="339"/>
      <c r="SBE3" s="339"/>
      <c r="SBF3" s="339"/>
      <c r="SBG3" s="339"/>
      <c r="SBH3" s="339"/>
      <c r="SBI3" s="339"/>
      <c r="SBJ3" s="339"/>
      <c r="SBK3" s="339"/>
      <c r="SBL3" s="339"/>
      <c r="SBM3" s="339"/>
      <c r="SBN3" s="339"/>
      <c r="SBO3" s="339"/>
      <c r="SBP3" s="339"/>
      <c r="SBQ3" s="339"/>
      <c r="SBR3" s="339"/>
      <c r="SBS3" s="339"/>
      <c r="SBT3" s="339"/>
      <c r="SBU3" s="339"/>
      <c r="SBV3" s="339"/>
      <c r="SBW3" s="339"/>
      <c r="SBX3" s="339"/>
      <c r="SBY3" s="339"/>
      <c r="SBZ3" s="339"/>
      <c r="SCA3" s="339"/>
      <c r="SCB3" s="339"/>
      <c r="SCC3" s="339"/>
      <c r="SCD3" s="339"/>
      <c r="SCE3" s="339"/>
      <c r="SCF3" s="339"/>
      <c r="SCG3" s="339"/>
      <c r="SCH3" s="339"/>
      <c r="SCI3" s="339"/>
      <c r="SCJ3" s="339"/>
      <c r="SCK3" s="339"/>
      <c r="SCL3" s="339"/>
      <c r="SCM3" s="339"/>
      <c r="SCN3" s="339"/>
      <c r="SCO3" s="339"/>
      <c r="SCP3" s="339"/>
      <c r="SCQ3" s="339"/>
      <c r="SCR3" s="339"/>
      <c r="SCS3" s="339"/>
      <c r="SCT3" s="339"/>
      <c r="SCU3" s="339"/>
      <c r="SCV3" s="339"/>
      <c r="SCW3" s="339"/>
      <c r="SCX3" s="339"/>
      <c r="SCY3" s="339"/>
      <c r="SCZ3" s="339"/>
      <c r="SDA3" s="339"/>
      <c r="SDB3" s="339"/>
      <c r="SDC3" s="339"/>
      <c r="SDD3" s="339"/>
      <c r="SDE3" s="339"/>
      <c r="SDF3" s="339"/>
      <c r="SDG3" s="339"/>
      <c r="SDH3" s="339"/>
      <c r="SDI3" s="339"/>
      <c r="SDJ3" s="339"/>
      <c r="SDK3" s="339"/>
      <c r="SDL3" s="339"/>
      <c r="SDM3" s="339"/>
      <c r="SDN3" s="339"/>
      <c r="SDO3" s="339"/>
      <c r="SDP3" s="339"/>
      <c r="SDQ3" s="339"/>
      <c r="SDR3" s="339"/>
      <c r="SDS3" s="339"/>
      <c r="SDT3" s="339"/>
      <c r="SDU3" s="339"/>
      <c r="SDV3" s="339"/>
      <c r="SDW3" s="339"/>
      <c r="SDX3" s="339"/>
      <c r="SDY3" s="339"/>
      <c r="SDZ3" s="339"/>
      <c r="SEA3" s="339"/>
      <c r="SEB3" s="339"/>
      <c r="SEC3" s="339"/>
      <c r="SED3" s="339"/>
      <c r="SEE3" s="339"/>
      <c r="SEF3" s="339"/>
      <c r="SEG3" s="339"/>
      <c r="SEH3" s="339"/>
      <c r="SEI3" s="339"/>
      <c r="SEJ3" s="339"/>
      <c r="SEK3" s="339"/>
      <c r="SEL3" s="339"/>
      <c r="SEM3" s="339"/>
      <c r="SEN3" s="339"/>
      <c r="SEO3" s="339"/>
      <c r="SEP3" s="339"/>
      <c r="SEQ3" s="339"/>
      <c r="SER3" s="339"/>
      <c r="SES3" s="339"/>
      <c r="SET3" s="339"/>
      <c r="SEU3" s="339"/>
      <c r="SEV3" s="339"/>
      <c r="SEW3" s="339"/>
      <c r="SEX3" s="339"/>
      <c r="SEY3" s="339"/>
      <c r="SEZ3" s="339"/>
      <c r="SFA3" s="339"/>
      <c r="SFB3" s="339"/>
      <c r="SFC3" s="339"/>
      <c r="SFD3" s="339"/>
      <c r="SFE3" s="339"/>
      <c r="SFF3" s="339"/>
      <c r="SFG3" s="339"/>
      <c r="SFH3" s="339"/>
      <c r="SFI3" s="339"/>
      <c r="SFJ3" s="339"/>
      <c r="SFK3" s="339"/>
      <c r="SFL3" s="339"/>
      <c r="SFM3" s="339"/>
      <c r="SFN3" s="339"/>
      <c r="SFO3" s="339"/>
      <c r="SFP3" s="339"/>
      <c r="SFQ3" s="339"/>
      <c r="SFR3" s="339"/>
      <c r="SFS3" s="339"/>
      <c r="SFT3" s="339"/>
      <c r="SFU3" s="339"/>
      <c r="SFV3" s="339"/>
      <c r="SFW3" s="339"/>
      <c r="SFX3" s="339"/>
      <c r="SFY3" s="339"/>
      <c r="SFZ3" s="339"/>
      <c r="SGA3" s="339"/>
      <c r="SGB3" s="339"/>
      <c r="SGC3" s="339"/>
      <c r="SGD3" s="339"/>
      <c r="SGE3" s="339"/>
      <c r="SGF3" s="339"/>
      <c r="SGG3" s="339"/>
      <c r="SGH3" s="339"/>
      <c r="SGI3" s="339"/>
      <c r="SGJ3" s="339"/>
      <c r="SGK3" s="339"/>
      <c r="SGL3" s="339"/>
      <c r="SGM3" s="339"/>
      <c r="SGN3" s="339"/>
      <c r="SGO3" s="339"/>
      <c r="SGP3" s="339"/>
      <c r="SGQ3" s="339"/>
      <c r="SGR3" s="339"/>
      <c r="SGS3" s="339"/>
      <c r="SGT3" s="339"/>
      <c r="SGU3" s="339"/>
      <c r="SGV3" s="339"/>
      <c r="SGW3" s="339"/>
      <c r="SGX3" s="339"/>
      <c r="SGY3" s="339"/>
      <c r="SGZ3" s="339"/>
      <c r="SHA3" s="339"/>
      <c r="SHB3" s="339"/>
      <c r="SHC3" s="339"/>
      <c r="SHD3" s="339"/>
      <c r="SHE3" s="339"/>
      <c r="SHF3" s="339"/>
      <c r="SHG3" s="339"/>
      <c r="SHH3" s="339"/>
      <c r="SHI3" s="339"/>
      <c r="SHJ3" s="339"/>
      <c r="SHK3" s="339"/>
      <c r="SHL3" s="339"/>
      <c r="SHM3" s="339"/>
      <c r="SHN3" s="339"/>
      <c r="SHO3" s="339"/>
      <c r="SHP3" s="339"/>
      <c r="SHQ3" s="339"/>
      <c r="SHR3" s="339"/>
      <c r="SHS3" s="339"/>
      <c r="SHT3" s="339"/>
      <c r="SHU3" s="339"/>
      <c r="SHV3" s="339"/>
      <c r="SHW3" s="339"/>
      <c r="SHX3" s="339"/>
      <c r="SHY3" s="339"/>
      <c r="SHZ3" s="339"/>
      <c r="SIA3" s="339"/>
      <c r="SIB3" s="339"/>
      <c r="SIC3" s="339"/>
      <c r="SID3" s="339"/>
      <c r="SIE3" s="339"/>
      <c r="SIF3" s="339"/>
      <c r="SIG3" s="339"/>
      <c r="SIH3" s="339"/>
      <c r="SII3" s="339"/>
      <c r="SIJ3" s="339"/>
      <c r="SIK3" s="339"/>
      <c r="SIL3" s="339"/>
      <c r="SIM3" s="339"/>
      <c r="SIN3" s="339"/>
      <c r="SIO3" s="339"/>
      <c r="SIP3" s="339"/>
      <c r="SIQ3" s="339"/>
      <c r="SIR3" s="339"/>
      <c r="SIS3" s="339"/>
      <c r="SIT3" s="339"/>
      <c r="SIU3" s="339"/>
      <c r="SIV3" s="339"/>
      <c r="SIW3" s="339"/>
      <c r="SIX3" s="339"/>
      <c r="SIY3" s="339"/>
      <c r="SIZ3" s="339"/>
      <c r="SJA3" s="339"/>
      <c r="SJB3" s="339"/>
      <c r="SJC3" s="339"/>
      <c r="SJD3" s="339"/>
      <c r="SJE3" s="339"/>
      <c r="SJF3" s="339"/>
      <c r="SJG3" s="339"/>
      <c r="SJH3" s="339"/>
      <c r="SJI3" s="339"/>
      <c r="SJJ3" s="339"/>
      <c r="SJK3" s="339"/>
      <c r="SJL3" s="339"/>
      <c r="SJM3" s="339"/>
      <c r="SJN3" s="339"/>
      <c r="SJO3" s="339"/>
      <c r="SJP3" s="339"/>
      <c r="SJQ3" s="339"/>
      <c r="SJR3" s="339"/>
      <c r="SJS3" s="339"/>
      <c r="SJT3" s="339"/>
      <c r="SJU3" s="339"/>
      <c r="SJV3" s="339"/>
      <c r="SJW3" s="339"/>
      <c r="SJX3" s="339"/>
      <c r="SJY3" s="339"/>
      <c r="SJZ3" s="339"/>
      <c r="SKA3" s="339"/>
      <c r="SKB3" s="339"/>
      <c r="SKC3" s="339"/>
      <c r="SKD3" s="339"/>
      <c r="SKE3" s="339"/>
      <c r="SKF3" s="339"/>
      <c r="SKG3" s="339"/>
      <c r="SKH3" s="339"/>
      <c r="SKI3" s="339"/>
      <c r="SKJ3" s="339"/>
      <c r="SKK3" s="339"/>
      <c r="SKL3" s="339"/>
      <c r="SKM3" s="339"/>
      <c r="SKN3" s="339"/>
      <c r="SKO3" s="339"/>
      <c r="SKP3" s="339"/>
      <c r="SKQ3" s="339"/>
      <c r="SKR3" s="339"/>
      <c r="SKS3" s="339"/>
      <c r="SKT3" s="339"/>
      <c r="SKU3" s="339"/>
      <c r="SKV3" s="339"/>
      <c r="SKW3" s="339"/>
      <c r="SKX3" s="339"/>
      <c r="SKY3" s="339"/>
      <c r="SKZ3" s="339"/>
      <c r="SLA3" s="339"/>
      <c r="SLB3" s="339"/>
      <c r="SLC3" s="339"/>
      <c r="SLD3" s="339"/>
      <c r="SLE3" s="339"/>
      <c r="SLF3" s="339"/>
      <c r="SLG3" s="339"/>
      <c r="SLH3" s="339"/>
      <c r="SLI3" s="339"/>
      <c r="SLJ3" s="339"/>
      <c r="SLK3" s="339"/>
      <c r="SLL3" s="339"/>
      <c r="SLM3" s="339"/>
      <c r="SLN3" s="339"/>
      <c r="SLO3" s="339"/>
      <c r="SLP3" s="339"/>
      <c r="SLQ3" s="339"/>
      <c r="SLR3" s="339"/>
      <c r="SLS3" s="339"/>
      <c r="SLT3" s="339"/>
      <c r="SLU3" s="339"/>
      <c r="SLV3" s="339"/>
      <c r="SLW3" s="339"/>
      <c r="SLX3" s="339"/>
      <c r="SLY3" s="339"/>
      <c r="SLZ3" s="339"/>
      <c r="SMA3" s="339"/>
      <c r="SMB3" s="339"/>
      <c r="SMC3" s="339"/>
      <c r="SMD3" s="339"/>
      <c r="SME3" s="339"/>
      <c r="SMF3" s="339"/>
      <c r="SMG3" s="339"/>
      <c r="SMH3" s="339"/>
      <c r="SMI3" s="339"/>
      <c r="SMJ3" s="339"/>
      <c r="SMK3" s="339"/>
      <c r="SML3" s="339"/>
      <c r="SMM3" s="339"/>
      <c r="SMN3" s="339"/>
      <c r="SMO3" s="339"/>
      <c r="SMP3" s="339"/>
      <c r="SMQ3" s="339"/>
      <c r="SMR3" s="339"/>
      <c r="SMS3" s="339"/>
      <c r="SMT3" s="339"/>
      <c r="SMU3" s="339"/>
      <c r="SMV3" s="339"/>
      <c r="SMW3" s="339"/>
      <c r="SMX3" s="339"/>
      <c r="SMY3" s="339"/>
      <c r="SMZ3" s="339"/>
      <c r="SNA3" s="339"/>
      <c r="SNB3" s="339"/>
      <c r="SNC3" s="339"/>
      <c r="SND3" s="339"/>
      <c r="SNE3" s="339"/>
      <c r="SNF3" s="339"/>
      <c r="SNG3" s="339"/>
      <c r="SNH3" s="339"/>
      <c r="SNI3" s="339"/>
      <c r="SNJ3" s="339"/>
      <c r="SNK3" s="339"/>
      <c r="SNL3" s="339"/>
      <c r="SNM3" s="339"/>
      <c r="SNN3" s="339"/>
      <c r="SNO3" s="339"/>
      <c r="SNP3" s="339"/>
      <c r="SNQ3" s="339"/>
      <c r="SNR3" s="339"/>
      <c r="SNS3" s="339"/>
      <c r="SNT3" s="339"/>
      <c r="SNU3" s="339"/>
      <c r="SNV3" s="339"/>
      <c r="SNW3" s="339"/>
      <c r="SNX3" s="339"/>
      <c r="SNY3" s="339"/>
      <c r="SNZ3" s="339"/>
      <c r="SOA3" s="339"/>
      <c r="SOB3" s="339"/>
      <c r="SOC3" s="339"/>
      <c r="SOD3" s="339"/>
      <c r="SOE3" s="339"/>
      <c r="SOF3" s="339"/>
      <c r="SOG3" s="339"/>
      <c r="SOH3" s="339"/>
      <c r="SOI3" s="339"/>
      <c r="SOJ3" s="339"/>
      <c r="SOK3" s="339"/>
      <c r="SOL3" s="339"/>
      <c r="SOM3" s="339"/>
      <c r="SON3" s="339"/>
      <c r="SOO3" s="339"/>
      <c r="SOP3" s="339"/>
      <c r="SOQ3" s="339"/>
      <c r="SOR3" s="339"/>
      <c r="SOS3" s="339"/>
      <c r="SOT3" s="339"/>
      <c r="SOU3" s="339"/>
      <c r="SOV3" s="339"/>
      <c r="SOW3" s="339"/>
      <c r="SOX3" s="339"/>
      <c r="SOY3" s="339"/>
      <c r="SOZ3" s="339"/>
      <c r="SPA3" s="339"/>
      <c r="SPB3" s="339"/>
      <c r="SPC3" s="339"/>
      <c r="SPD3" s="339"/>
      <c r="SPE3" s="339"/>
      <c r="SPF3" s="339"/>
      <c r="SPG3" s="339"/>
      <c r="SPH3" s="339"/>
      <c r="SPI3" s="339"/>
      <c r="SPJ3" s="339"/>
      <c r="SPK3" s="339"/>
      <c r="SPL3" s="339"/>
      <c r="SPM3" s="339"/>
      <c r="SPN3" s="339"/>
      <c r="SPO3" s="339"/>
      <c r="SPP3" s="339"/>
      <c r="SPQ3" s="339"/>
      <c r="SPR3" s="339"/>
      <c r="SPS3" s="339"/>
      <c r="SPT3" s="339"/>
      <c r="SPU3" s="339"/>
      <c r="SPV3" s="339"/>
      <c r="SPW3" s="339"/>
      <c r="SPX3" s="339"/>
      <c r="SPY3" s="339"/>
      <c r="SPZ3" s="339"/>
      <c r="SQA3" s="339"/>
      <c r="SQB3" s="339"/>
      <c r="SQC3" s="339"/>
      <c r="SQD3" s="339"/>
      <c r="SQE3" s="339"/>
      <c r="SQF3" s="339"/>
      <c r="SQG3" s="339"/>
      <c r="SQH3" s="339"/>
      <c r="SQI3" s="339"/>
      <c r="SQJ3" s="339"/>
      <c r="SQK3" s="339"/>
      <c r="SQL3" s="339"/>
      <c r="SQM3" s="339"/>
      <c r="SQN3" s="339"/>
      <c r="SQO3" s="339"/>
      <c r="SQP3" s="339"/>
      <c r="SQQ3" s="339"/>
      <c r="SQR3" s="339"/>
      <c r="SQS3" s="339"/>
      <c r="SQT3" s="339"/>
      <c r="SQU3" s="339"/>
      <c r="SQV3" s="339"/>
      <c r="SQW3" s="339"/>
      <c r="SQX3" s="339"/>
      <c r="SQY3" s="339"/>
      <c r="SQZ3" s="339"/>
      <c r="SRA3" s="339"/>
      <c r="SRB3" s="339"/>
      <c r="SRC3" s="339"/>
      <c r="SRD3" s="339"/>
      <c r="SRE3" s="339"/>
      <c r="SRF3" s="339"/>
      <c r="SRG3" s="339"/>
      <c r="SRH3" s="339"/>
      <c r="SRI3" s="339"/>
      <c r="SRJ3" s="339"/>
      <c r="SRK3" s="339"/>
      <c r="SRL3" s="339"/>
      <c r="SRM3" s="339"/>
      <c r="SRN3" s="339"/>
      <c r="SRO3" s="339"/>
      <c r="SRP3" s="339"/>
      <c r="SRQ3" s="339"/>
      <c r="SRR3" s="339"/>
      <c r="SRS3" s="339"/>
      <c r="SRT3" s="339"/>
      <c r="SRU3" s="339"/>
      <c r="SRV3" s="339"/>
      <c r="SRW3" s="339"/>
      <c r="SRX3" s="339"/>
      <c r="SRY3" s="339"/>
      <c r="SRZ3" s="339"/>
      <c r="SSA3" s="339"/>
      <c r="SSB3" s="339"/>
      <c r="SSC3" s="339"/>
      <c r="SSD3" s="339"/>
      <c r="SSE3" s="339"/>
      <c r="SSF3" s="339"/>
      <c r="SSG3" s="339"/>
      <c r="SSH3" s="339"/>
      <c r="SSI3" s="339"/>
      <c r="SSJ3" s="339"/>
      <c r="SSK3" s="339"/>
      <c r="SSL3" s="339"/>
      <c r="SSM3" s="339"/>
      <c r="SSN3" s="339"/>
      <c r="SSO3" s="339"/>
      <c r="SSP3" s="339"/>
      <c r="SSQ3" s="339"/>
      <c r="SSR3" s="339"/>
      <c r="SSS3" s="339"/>
      <c r="SST3" s="339"/>
      <c r="SSU3" s="339"/>
      <c r="SSV3" s="339"/>
      <c r="SSW3" s="339"/>
      <c r="SSX3" s="339"/>
      <c r="SSY3" s="339"/>
      <c r="SSZ3" s="339"/>
      <c r="STA3" s="339"/>
      <c r="STB3" s="339"/>
      <c r="STC3" s="339"/>
      <c r="STD3" s="339"/>
      <c r="STE3" s="339"/>
      <c r="STF3" s="339"/>
      <c r="STG3" s="339"/>
      <c r="STH3" s="339"/>
      <c r="STI3" s="339"/>
      <c r="STJ3" s="339"/>
      <c r="STK3" s="339"/>
      <c r="STL3" s="339"/>
      <c r="STM3" s="339"/>
      <c r="STN3" s="339"/>
      <c r="STO3" s="339"/>
      <c r="STP3" s="339"/>
      <c r="STQ3" s="339"/>
      <c r="STR3" s="339"/>
      <c r="STS3" s="339"/>
      <c r="STT3" s="339"/>
      <c r="STU3" s="339"/>
      <c r="STV3" s="339"/>
      <c r="STW3" s="339"/>
      <c r="STX3" s="339"/>
      <c r="STY3" s="339"/>
      <c r="STZ3" s="339"/>
      <c r="SUA3" s="339"/>
      <c r="SUB3" s="339"/>
      <c r="SUC3" s="339"/>
      <c r="SUD3" s="339"/>
      <c r="SUE3" s="339"/>
      <c r="SUF3" s="339"/>
      <c r="SUG3" s="339"/>
      <c r="SUH3" s="339"/>
      <c r="SUI3" s="339"/>
      <c r="SUJ3" s="339"/>
      <c r="SUK3" s="339"/>
      <c r="SUL3" s="339"/>
      <c r="SUM3" s="339"/>
      <c r="SUN3" s="339"/>
      <c r="SUO3" s="339"/>
      <c r="SUP3" s="339"/>
      <c r="SUQ3" s="339"/>
      <c r="SUR3" s="339"/>
      <c r="SUS3" s="339"/>
      <c r="SUT3" s="339"/>
      <c r="SUU3" s="339"/>
      <c r="SUV3" s="339"/>
      <c r="SUW3" s="339"/>
      <c r="SUX3" s="339"/>
      <c r="SUY3" s="339"/>
      <c r="SUZ3" s="339"/>
      <c r="SVA3" s="339"/>
      <c r="SVB3" s="339"/>
      <c r="SVC3" s="339"/>
      <c r="SVD3" s="339"/>
      <c r="SVE3" s="339"/>
      <c r="SVF3" s="339"/>
      <c r="SVG3" s="339"/>
      <c r="SVH3" s="339"/>
      <c r="SVI3" s="339"/>
      <c r="SVJ3" s="339"/>
      <c r="SVK3" s="339"/>
      <c r="SVL3" s="339"/>
      <c r="SVM3" s="339"/>
      <c r="SVN3" s="339"/>
      <c r="SVO3" s="339"/>
      <c r="SVP3" s="339"/>
      <c r="SVQ3" s="339"/>
      <c r="SVR3" s="339"/>
      <c r="SVS3" s="339"/>
      <c r="SVT3" s="339"/>
      <c r="SVU3" s="339"/>
      <c r="SVV3" s="339"/>
      <c r="SVW3" s="339"/>
      <c r="SVX3" s="339"/>
      <c r="SVY3" s="339"/>
      <c r="SVZ3" s="339"/>
      <c r="SWA3" s="339"/>
      <c r="SWB3" s="339"/>
      <c r="SWC3" s="339"/>
      <c r="SWD3" s="339"/>
      <c r="SWE3" s="339"/>
      <c r="SWF3" s="339"/>
      <c r="SWG3" s="339"/>
      <c r="SWH3" s="339"/>
      <c r="SWI3" s="339"/>
      <c r="SWJ3" s="339"/>
      <c r="SWK3" s="339"/>
      <c r="SWL3" s="339"/>
      <c r="SWM3" s="339"/>
      <c r="SWN3" s="339"/>
      <c r="SWO3" s="339"/>
      <c r="SWP3" s="339"/>
      <c r="SWQ3" s="339"/>
      <c r="SWR3" s="339"/>
      <c r="SWS3" s="339"/>
      <c r="SWT3" s="339"/>
      <c r="SWU3" s="339"/>
      <c r="SWV3" s="339"/>
      <c r="SWW3" s="339"/>
      <c r="SWX3" s="339"/>
      <c r="SWY3" s="339"/>
      <c r="SWZ3" s="339"/>
      <c r="SXA3" s="339"/>
      <c r="SXB3" s="339"/>
      <c r="SXC3" s="339"/>
      <c r="SXD3" s="339"/>
      <c r="SXE3" s="339"/>
      <c r="SXF3" s="339"/>
      <c r="SXG3" s="339"/>
      <c r="SXH3" s="339"/>
      <c r="SXI3" s="339"/>
      <c r="SXJ3" s="339"/>
      <c r="SXK3" s="339"/>
      <c r="SXL3" s="339"/>
      <c r="SXM3" s="339"/>
      <c r="SXN3" s="339"/>
      <c r="SXO3" s="339"/>
      <c r="SXP3" s="339"/>
      <c r="SXQ3" s="339"/>
      <c r="SXR3" s="339"/>
      <c r="SXS3" s="339"/>
      <c r="SXT3" s="339"/>
      <c r="SXU3" s="339"/>
      <c r="SXV3" s="339"/>
      <c r="SXW3" s="339"/>
      <c r="SXX3" s="339"/>
      <c r="SXY3" s="339"/>
      <c r="SXZ3" s="339"/>
      <c r="SYA3" s="339"/>
      <c r="SYB3" s="339"/>
      <c r="SYC3" s="339"/>
      <c r="SYD3" s="339"/>
      <c r="SYE3" s="339"/>
      <c r="SYF3" s="339"/>
      <c r="SYG3" s="339"/>
      <c r="SYH3" s="339"/>
      <c r="SYI3" s="339"/>
      <c r="SYJ3" s="339"/>
      <c r="SYK3" s="339"/>
      <c r="SYL3" s="339"/>
      <c r="SYM3" s="339"/>
      <c r="SYN3" s="339"/>
      <c r="SYO3" s="339"/>
      <c r="SYP3" s="339"/>
      <c r="SYQ3" s="339"/>
      <c r="SYR3" s="339"/>
      <c r="SYS3" s="339"/>
      <c r="SYT3" s="339"/>
      <c r="SYU3" s="339"/>
      <c r="SYV3" s="339"/>
      <c r="SYW3" s="339"/>
      <c r="SYX3" s="339"/>
      <c r="SYY3" s="339"/>
      <c r="SYZ3" s="339"/>
      <c r="SZA3" s="339"/>
      <c r="SZB3" s="339"/>
      <c r="SZC3" s="339"/>
      <c r="SZD3" s="339"/>
      <c r="SZE3" s="339"/>
      <c r="SZF3" s="339"/>
      <c r="SZG3" s="339"/>
      <c r="SZH3" s="339"/>
      <c r="SZI3" s="339"/>
      <c r="SZJ3" s="339"/>
      <c r="SZK3" s="339"/>
      <c r="SZL3" s="339"/>
      <c r="SZM3" s="339"/>
      <c r="SZN3" s="339"/>
      <c r="SZO3" s="339"/>
      <c r="SZP3" s="339"/>
      <c r="SZQ3" s="339"/>
      <c r="SZR3" s="339"/>
      <c r="SZS3" s="339"/>
      <c r="SZT3" s="339"/>
      <c r="SZU3" s="339"/>
      <c r="SZV3" s="339"/>
      <c r="SZW3" s="339"/>
      <c r="SZX3" s="339"/>
      <c r="SZY3" s="339"/>
      <c r="SZZ3" s="339"/>
      <c r="TAA3" s="339"/>
      <c r="TAB3" s="339"/>
      <c r="TAC3" s="339"/>
      <c r="TAD3" s="339"/>
      <c r="TAE3" s="339"/>
      <c r="TAF3" s="339"/>
      <c r="TAG3" s="339"/>
      <c r="TAH3" s="339"/>
      <c r="TAI3" s="339"/>
      <c r="TAJ3" s="339"/>
      <c r="TAK3" s="339"/>
      <c r="TAL3" s="339"/>
      <c r="TAM3" s="339"/>
      <c r="TAN3" s="339"/>
      <c r="TAO3" s="339"/>
      <c r="TAP3" s="339"/>
      <c r="TAQ3" s="339"/>
      <c r="TAR3" s="339"/>
      <c r="TAS3" s="339"/>
      <c r="TAT3" s="339"/>
      <c r="TAU3" s="339"/>
      <c r="TAV3" s="339"/>
      <c r="TAW3" s="339"/>
      <c r="TAX3" s="339"/>
      <c r="TAY3" s="339"/>
      <c r="TAZ3" s="339"/>
      <c r="TBA3" s="339"/>
      <c r="TBB3" s="339"/>
      <c r="TBC3" s="339"/>
      <c r="TBD3" s="339"/>
      <c r="TBE3" s="339"/>
      <c r="TBF3" s="339"/>
      <c r="TBG3" s="339"/>
      <c r="TBH3" s="339"/>
      <c r="TBI3" s="339"/>
      <c r="TBJ3" s="339"/>
      <c r="TBK3" s="339"/>
      <c r="TBL3" s="339"/>
      <c r="TBM3" s="339"/>
      <c r="TBN3" s="339"/>
      <c r="TBO3" s="339"/>
      <c r="TBP3" s="339"/>
      <c r="TBQ3" s="339"/>
      <c r="TBR3" s="339"/>
      <c r="TBS3" s="339"/>
      <c r="TBT3" s="339"/>
      <c r="TBU3" s="339"/>
      <c r="TBV3" s="339"/>
      <c r="TBW3" s="339"/>
      <c r="TBX3" s="339"/>
      <c r="TBY3" s="339"/>
      <c r="TBZ3" s="339"/>
      <c r="TCA3" s="339"/>
      <c r="TCB3" s="339"/>
      <c r="TCC3" s="339"/>
      <c r="TCD3" s="339"/>
      <c r="TCE3" s="339"/>
      <c r="TCF3" s="339"/>
      <c r="TCG3" s="339"/>
      <c r="TCH3" s="339"/>
      <c r="TCI3" s="339"/>
      <c r="TCJ3" s="339"/>
      <c r="TCK3" s="339"/>
      <c r="TCL3" s="339"/>
      <c r="TCM3" s="339"/>
      <c r="TCN3" s="339"/>
      <c r="TCO3" s="339"/>
      <c r="TCP3" s="339"/>
      <c r="TCQ3" s="339"/>
      <c r="TCR3" s="339"/>
      <c r="TCS3" s="339"/>
      <c r="TCT3" s="339"/>
      <c r="TCU3" s="339"/>
      <c r="TCV3" s="339"/>
      <c r="TCW3" s="339"/>
      <c r="TCX3" s="339"/>
      <c r="TCY3" s="339"/>
      <c r="TCZ3" s="339"/>
      <c r="TDA3" s="339"/>
      <c r="TDB3" s="339"/>
      <c r="TDC3" s="339"/>
      <c r="TDD3" s="339"/>
      <c r="TDE3" s="339"/>
      <c r="TDF3" s="339"/>
      <c r="TDG3" s="339"/>
      <c r="TDH3" s="339"/>
      <c r="TDI3" s="339"/>
      <c r="TDJ3" s="339"/>
      <c r="TDK3" s="339"/>
      <c r="TDL3" s="339"/>
      <c r="TDM3" s="339"/>
      <c r="TDN3" s="339"/>
      <c r="TDO3" s="339"/>
      <c r="TDP3" s="339"/>
      <c r="TDQ3" s="339"/>
      <c r="TDR3" s="339"/>
      <c r="TDS3" s="339"/>
      <c r="TDT3" s="339"/>
      <c r="TDU3" s="339"/>
      <c r="TDV3" s="339"/>
      <c r="TDW3" s="339"/>
      <c r="TDX3" s="339"/>
      <c r="TDY3" s="339"/>
      <c r="TDZ3" s="339"/>
      <c r="TEA3" s="339"/>
      <c r="TEB3" s="339"/>
      <c r="TEC3" s="339"/>
      <c r="TED3" s="339"/>
      <c r="TEE3" s="339"/>
      <c r="TEF3" s="339"/>
      <c r="TEG3" s="339"/>
      <c r="TEH3" s="339"/>
      <c r="TEI3" s="339"/>
      <c r="TEJ3" s="339"/>
      <c r="TEK3" s="339"/>
      <c r="TEL3" s="339"/>
      <c r="TEM3" s="339"/>
      <c r="TEN3" s="339"/>
      <c r="TEO3" s="339"/>
      <c r="TEP3" s="339"/>
      <c r="TEQ3" s="339"/>
      <c r="TER3" s="339"/>
      <c r="TES3" s="339"/>
      <c r="TET3" s="339"/>
      <c r="TEU3" s="339"/>
      <c r="TEV3" s="339"/>
      <c r="TEW3" s="339"/>
      <c r="TEX3" s="339"/>
      <c r="TEY3" s="339"/>
      <c r="TEZ3" s="339"/>
      <c r="TFA3" s="339"/>
      <c r="TFB3" s="339"/>
      <c r="TFC3" s="339"/>
      <c r="TFD3" s="339"/>
      <c r="TFE3" s="339"/>
      <c r="TFF3" s="339"/>
      <c r="TFG3" s="339"/>
      <c r="TFH3" s="339"/>
      <c r="TFI3" s="339"/>
      <c r="TFJ3" s="339"/>
      <c r="TFK3" s="339"/>
      <c r="TFL3" s="339"/>
      <c r="TFM3" s="339"/>
      <c r="TFN3" s="339"/>
      <c r="TFO3" s="339"/>
      <c r="TFP3" s="339"/>
      <c r="TFQ3" s="339"/>
      <c r="TFR3" s="339"/>
      <c r="TFS3" s="339"/>
      <c r="TFT3" s="339"/>
      <c r="TFU3" s="339"/>
      <c r="TFV3" s="339"/>
      <c r="TFW3" s="339"/>
      <c r="TFX3" s="339"/>
      <c r="TFY3" s="339"/>
      <c r="TFZ3" s="339"/>
      <c r="TGA3" s="339"/>
      <c r="TGB3" s="339"/>
      <c r="TGC3" s="339"/>
      <c r="TGD3" s="339"/>
      <c r="TGE3" s="339"/>
      <c r="TGF3" s="339"/>
      <c r="TGG3" s="339"/>
      <c r="TGH3" s="339"/>
      <c r="TGI3" s="339"/>
      <c r="TGJ3" s="339"/>
      <c r="TGK3" s="339"/>
      <c r="TGL3" s="339"/>
      <c r="TGM3" s="339"/>
      <c r="TGN3" s="339"/>
      <c r="TGO3" s="339"/>
      <c r="TGP3" s="339"/>
      <c r="TGQ3" s="339"/>
      <c r="TGR3" s="339"/>
      <c r="TGS3" s="339"/>
      <c r="TGT3" s="339"/>
      <c r="TGU3" s="339"/>
      <c r="TGV3" s="339"/>
      <c r="TGW3" s="339"/>
      <c r="TGX3" s="339"/>
      <c r="TGY3" s="339"/>
      <c r="TGZ3" s="339"/>
      <c r="THA3" s="339"/>
      <c r="THB3" s="339"/>
      <c r="THC3" s="339"/>
      <c r="THD3" s="339"/>
      <c r="THE3" s="339"/>
      <c r="THF3" s="339"/>
      <c r="THG3" s="339"/>
      <c r="THH3" s="339"/>
      <c r="THI3" s="339"/>
      <c r="THJ3" s="339"/>
      <c r="THK3" s="339"/>
      <c r="THL3" s="339"/>
      <c r="THM3" s="339"/>
      <c r="THN3" s="339"/>
      <c r="THO3" s="339"/>
      <c r="THP3" s="339"/>
      <c r="THQ3" s="339"/>
      <c r="THR3" s="339"/>
      <c r="THS3" s="339"/>
      <c r="THT3" s="339"/>
      <c r="THU3" s="339"/>
      <c r="THV3" s="339"/>
      <c r="THW3" s="339"/>
      <c r="THX3" s="339"/>
      <c r="THY3" s="339"/>
      <c r="THZ3" s="339"/>
      <c r="TIA3" s="339"/>
      <c r="TIB3" s="339"/>
      <c r="TIC3" s="339"/>
      <c r="TID3" s="339"/>
      <c r="TIE3" s="339"/>
      <c r="TIF3" s="339"/>
      <c r="TIG3" s="339"/>
      <c r="TIH3" s="339"/>
      <c r="TII3" s="339"/>
      <c r="TIJ3" s="339"/>
      <c r="TIK3" s="339"/>
      <c r="TIL3" s="339"/>
      <c r="TIM3" s="339"/>
      <c r="TIN3" s="339"/>
      <c r="TIO3" s="339"/>
      <c r="TIP3" s="339"/>
      <c r="TIQ3" s="339"/>
      <c r="TIR3" s="339"/>
      <c r="TIS3" s="339"/>
      <c r="TIT3" s="339"/>
      <c r="TIU3" s="339"/>
      <c r="TIV3" s="339"/>
      <c r="TIW3" s="339"/>
      <c r="TIX3" s="339"/>
      <c r="TIY3" s="339"/>
      <c r="TIZ3" s="339"/>
      <c r="TJA3" s="339"/>
      <c r="TJB3" s="339"/>
      <c r="TJC3" s="339"/>
      <c r="TJD3" s="339"/>
      <c r="TJE3" s="339"/>
      <c r="TJF3" s="339"/>
      <c r="TJG3" s="339"/>
      <c r="TJH3" s="339"/>
      <c r="TJI3" s="339"/>
      <c r="TJJ3" s="339"/>
      <c r="TJK3" s="339"/>
      <c r="TJL3" s="339"/>
      <c r="TJM3" s="339"/>
      <c r="TJN3" s="339"/>
      <c r="TJO3" s="339"/>
      <c r="TJP3" s="339"/>
      <c r="TJQ3" s="339"/>
      <c r="TJR3" s="339"/>
      <c r="TJS3" s="339"/>
      <c r="TJT3" s="339"/>
      <c r="TJU3" s="339"/>
      <c r="TJV3" s="339"/>
      <c r="TJW3" s="339"/>
      <c r="TJX3" s="339"/>
      <c r="TJY3" s="339"/>
      <c r="TJZ3" s="339"/>
      <c r="TKA3" s="339"/>
      <c r="TKB3" s="339"/>
      <c r="TKC3" s="339"/>
      <c r="TKD3" s="339"/>
      <c r="TKE3" s="339"/>
      <c r="TKF3" s="339"/>
      <c r="TKG3" s="339"/>
      <c r="TKH3" s="339"/>
      <c r="TKI3" s="339"/>
      <c r="TKJ3" s="339"/>
      <c r="TKK3" s="339"/>
      <c r="TKL3" s="339"/>
      <c r="TKM3" s="339"/>
      <c r="TKN3" s="339"/>
      <c r="TKO3" s="339"/>
      <c r="TKP3" s="339"/>
      <c r="TKQ3" s="339"/>
      <c r="TKR3" s="339"/>
      <c r="TKS3" s="339"/>
      <c r="TKT3" s="339"/>
      <c r="TKU3" s="339"/>
      <c r="TKV3" s="339"/>
      <c r="TKW3" s="339"/>
      <c r="TKX3" s="339"/>
      <c r="TKY3" s="339"/>
      <c r="TKZ3" s="339"/>
      <c r="TLA3" s="339"/>
      <c r="TLB3" s="339"/>
      <c r="TLC3" s="339"/>
      <c r="TLD3" s="339"/>
      <c r="TLE3" s="339"/>
      <c r="TLF3" s="339"/>
      <c r="TLG3" s="339"/>
      <c r="TLH3" s="339"/>
      <c r="TLI3" s="339"/>
      <c r="TLJ3" s="339"/>
      <c r="TLK3" s="339"/>
      <c r="TLL3" s="339"/>
      <c r="TLM3" s="339"/>
      <c r="TLN3" s="339"/>
      <c r="TLO3" s="339"/>
      <c r="TLP3" s="339"/>
      <c r="TLQ3" s="339"/>
      <c r="TLR3" s="339"/>
      <c r="TLS3" s="339"/>
      <c r="TLT3" s="339"/>
      <c r="TLU3" s="339"/>
      <c r="TLV3" s="339"/>
      <c r="TLW3" s="339"/>
      <c r="TLX3" s="339"/>
      <c r="TLY3" s="339"/>
      <c r="TLZ3" s="339"/>
      <c r="TMA3" s="339"/>
      <c r="TMB3" s="339"/>
      <c r="TMC3" s="339"/>
      <c r="TMD3" s="339"/>
      <c r="TME3" s="339"/>
      <c r="TMF3" s="339"/>
      <c r="TMG3" s="339"/>
      <c r="TMH3" s="339"/>
      <c r="TMI3" s="339"/>
      <c r="TMJ3" s="339"/>
      <c r="TMK3" s="339"/>
      <c r="TML3" s="339"/>
      <c r="TMM3" s="339"/>
      <c r="TMN3" s="339"/>
      <c r="TMO3" s="339"/>
      <c r="TMP3" s="339"/>
      <c r="TMQ3" s="339"/>
      <c r="TMR3" s="339"/>
      <c r="TMS3" s="339"/>
      <c r="TMT3" s="339"/>
      <c r="TMU3" s="339"/>
      <c r="TMV3" s="339"/>
      <c r="TMW3" s="339"/>
      <c r="TMX3" s="339"/>
      <c r="TMY3" s="339"/>
      <c r="TMZ3" s="339"/>
      <c r="TNA3" s="339"/>
      <c r="TNB3" s="339"/>
      <c r="TNC3" s="339"/>
      <c r="TND3" s="339"/>
      <c r="TNE3" s="339"/>
      <c r="TNF3" s="339"/>
      <c r="TNG3" s="339"/>
      <c r="TNH3" s="339"/>
      <c r="TNI3" s="339"/>
      <c r="TNJ3" s="339"/>
      <c r="TNK3" s="339"/>
      <c r="TNL3" s="339"/>
      <c r="TNM3" s="339"/>
      <c r="TNN3" s="339"/>
      <c r="TNO3" s="339"/>
      <c r="TNP3" s="339"/>
      <c r="TNQ3" s="339"/>
      <c r="TNR3" s="339"/>
      <c r="TNS3" s="339"/>
      <c r="TNT3" s="339"/>
      <c r="TNU3" s="339"/>
      <c r="TNV3" s="339"/>
      <c r="TNW3" s="339"/>
      <c r="TNX3" s="339"/>
      <c r="TNY3" s="339"/>
      <c r="TNZ3" s="339"/>
      <c r="TOA3" s="339"/>
      <c r="TOB3" s="339"/>
      <c r="TOC3" s="339"/>
      <c r="TOD3" s="339"/>
      <c r="TOE3" s="339"/>
      <c r="TOF3" s="339"/>
      <c r="TOG3" s="339"/>
      <c r="TOH3" s="339"/>
      <c r="TOI3" s="339"/>
      <c r="TOJ3" s="339"/>
      <c r="TOK3" s="339"/>
      <c r="TOL3" s="339"/>
      <c r="TOM3" s="339"/>
      <c r="TON3" s="339"/>
      <c r="TOO3" s="339"/>
      <c r="TOP3" s="339"/>
      <c r="TOQ3" s="339"/>
      <c r="TOR3" s="339"/>
      <c r="TOS3" s="339"/>
      <c r="TOT3" s="339"/>
      <c r="TOU3" s="339"/>
      <c r="TOV3" s="339"/>
      <c r="TOW3" s="339"/>
      <c r="TOX3" s="339"/>
      <c r="TOY3" s="339"/>
      <c r="TOZ3" s="339"/>
      <c r="TPA3" s="339"/>
      <c r="TPB3" s="339"/>
      <c r="TPC3" s="339"/>
      <c r="TPD3" s="339"/>
      <c r="TPE3" s="339"/>
      <c r="TPF3" s="339"/>
      <c r="TPG3" s="339"/>
      <c r="TPH3" s="339"/>
      <c r="TPI3" s="339"/>
      <c r="TPJ3" s="339"/>
      <c r="TPK3" s="339"/>
      <c r="TPL3" s="339"/>
      <c r="TPM3" s="339"/>
      <c r="TPN3" s="339"/>
      <c r="TPO3" s="339"/>
      <c r="TPP3" s="339"/>
      <c r="TPQ3" s="339"/>
      <c r="TPR3" s="339"/>
      <c r="TPS3" s="339"/>
      <c r="TPT3" s="339"/>
      <c r="TPU3" s="339"/>
      <c r="TPV3" s="339"/>
      <c r="TPW3" s="339"/>
      <c r="TPX3" s="339"/>
      <c r="TPY3" s="339"/>
      <c r="TPZ3" s="339"/>
      <c r="TQA3" s="339"/>
      <c r="TQB3" s="339"/>
      <c r="TQC3" s="339"/>
      <c r="TQD3" s="339"/>
      <c r="TQE3" s="339"/>
      <c r="TQF3" s="339"/>
      <c r="TQG3" s="339"/>
      <c r="TQH3" s="339"/>
      <c r="TQI3" s="339"/>
      <c r="TQJ3" s="339"/>
      <c r="TQK3" s="339"/>
      <c r="TQL3" s="339"/>
      <c r="TQM3" s="339"/>
      <c r="TQN3" s="339"/>
      <c r="TQO3" s="339"/>
      <c r="TQP3" s="339"/>
      <c r="TQQ3" s="339"/>
      <c r="TQR3" s="339"/>
      <c r="TQS3" s="339"/>
      <c r="TQT3" s="339"/>
      <c r="TQU3" s="339"/>
      <c r="TQV3" s="339"/>
      <c r="TQW3" s="339"/>
      <c r="TQX3" s="339"/>
      <c r="TQY3" s="339"/>
      <c r="TQZ3" s="339"/>
      <c r="TRA3" s="339"/>
      <c r="TRB3" s="339"/>
      <c r="TRC3" s="339"/>
      <c r="TRD3" s="339"/>
      <c r="TRE3" s="339"/>
      <c r="TRF3" s="339"/>
      <c r="TRG3" s="339"/>
      <c r="TRH3" s="339"/>
      <c r="TRI3" s="339"/>
      <c r="TRJ3" s="339"/>
      <c r="TRK3" s="339"/>
      <c r="TRL3" s="339"/>
      <c r="TRM3" s="339"/>
      <c r="TRN3" s="339"/>
      <c r="TRO3" s="339"/>
      <c r="TRP3" s="339"/>
      <c r="TRQ3" s="339"/>
      <c r="TRR3" s="339"/>
      <c r="TRS3" s="339"/>
      <c r="TRT3" s="339"/>
      <c r="TRU3" s="339"/>
      <c r="TRV3" s="339"/>
      <c r="TRW3" s="339"/>
      <c r="TRX3" s="339"/>
      <c r="TRY3" s="339"/>
      <c r="TRZ3" s="339"/>
      <c r="TSA3" s="339"/>
      <c r="TSB3" s="339"/>
      <c r="TSC3" s="339"/>
      <c r="TSD3" s="339"/>
      <c r="TSE3" s="339"/>
      <c r="TSF3" s="339"/>
      <c r="TSG3" s="339"/>
      <c r="TSH3" s="339"/>
      <c r="TSI3" s="339"/>
      <c r="TSJ3" s="339"/>
      <c r="TSK3" s="339"/>
      <c r="TSL3" s="339"/>
      <c r="TSM3" s="339"/>
      <c r="TSN3" s="339"/>
      <c r="TSO3" s="339"/>
      <c r="TSP3" s="339"/>
      <c r="TSQ3" s="339"/>
      <c r="TSR3" s="339"/>
      <c r="TSS3" s="339"/>
      <c r="TST3" s="339"/>
      <c r="TSU3" s="339"/>
      <c r="TSV3" s="339"/>
      <c r="TSW3" s="339"/>
      <c r="TSX3" s="339"/>
      <c r="TSY3" s="339"/>
      <c r="TSZ3" s="339"/>
      <c r="TTA3" s="339"/>
      <c r="TTB3" s="339"/>
      <c r="TTC3" s="339"/>
      <c r="TTD3" s="339"/>
      <c r="TTE3" s="339"/>
      <c r="TTF3" s="339"/>
      <c r="TTG3" s="339"/>
      <c r="TTH3" s="339"/>
      <c r="TTI3" s="339"/>
      <c r="TTJ3" s="339"/>
      <c r="TTK3" s="339"/>
      <c r="TTL3" s="339"/>
      <c r="TTM3" s="339"/>
      <c r="TTN3" s="339"/>
      <c r="TTO3" s="339"/>
      <c r="TTP3" s="339"/>
      <c r="TTQ3" s="339"/>
      <c r="TTR3" s="339"/>
      <c r="TTS3" s="339"/>
      <c r="TTT3" s="339"/>
      <c r="TTU3" s="339"/>
      <c r="TTV3" s="339"/>
      <c r="TTW3" s="339"/>
      <c r="TTX3" s="339"/>
      <c r="TTY3" s="339"/>
      <c r="TTZ3" s="339"/>
      <c r="TUA3" s="339"/>
      <c r="TUB3" s="339"/>
      <c r="TUC3" s="339"/>
      <c r="TUD3" s="339"/>
      <c r="TUE3" s="339"/>
      <c r="TUF3" s="339"/>
      <c r="TUG3" s="339"/>
      <c r="TUH3" s="339"/>
      <c r="TUI3" s="339"/>
      <c r="TUJ3" s="339"/>
      <c r="TUK3" s="339"/>
      <c r="TUL3" s="339"/>
      <c r="TUM3" s="339"/>
      <c r="TUN3" s="339"/>
      <c r="TUO3" s="339"/>
      <c r="TUP3" s="339"/>
      <c r="TUQ3" s="339"/>
      <c r="TUR3" s="339"/>
      <c r="TUS3" s="339"/>
      <c r="TUT3" s="339"/>
      <c r="TUU3" s="339"/>
      <c r="TUV3" s="339"/>
      <c r="TUW3" s="339"/>
      <c r="TUX3" s="339"/>
      <c r="TUY3" s="339"/>
      <c r="TUZ3" s="339"/>
      <c r="TVA3" s="339"/>
      <c r="TVB3" s="339"/>
      <c r="TVC3" s="339"/>
      <c r="TVD3" s="339"/>
      <c r="TVE3" s="339"/>
      <c r="TVF3" s="339"/>
      <c r="TVG3" s="339"/>
      <c r="TVH3" s="339"/>
      <c r="TVI3" s="339"/>
      <c r="TVJ3" s="339"/>
      <c r="TVK3" s="339"/>
      <c r="TVL3" s="339"/>
      <c r="TVM3" s="339"/>
      <c r="TVN3" s="339"/>
      <c r="TVO3" s="339"/>
      <c r="TVP3" s="339"/>
      <c r="TVQ3" s="339"/>
      <c r="TVR3" s="339"/>
      <c r="TVS3" s="339"/>
      <c r="TVT3" s="339"/>
      <c r="TVU3" s="339"/>
      <c r="TVV3" s="339"/>
      <c r="TVW3" s="339"/>
      <c r="TVX3" s="339"/>
      <c r="TVY3" s="339"/>
      <c r="TVZ3" s="339"/>
      <c r="TWA3" s="339"/>
      <c r="TWB3" s="339"/>
      <c r="TWC3" s="339"/>
      <c r="TWD3" s="339"/>
      <c r="TWE3" s="339"/>
      <c r="TWF3" s="339"/>
      <c r="TWG3" s="339"/>
      <c r="TWH3" s="339"/>
      <c r="TWI3" s="339"/>
      <c r="TWJ3" s="339"/>
      <c r="TWK3" s="339"/>
      <c r="TWL3" s="339"/>
      <c r="TWM3" s="339"/>
      <c r="TWN3" s="339"/>
      <c r="TWO3" s="339"/>
      <c r="TWP3" s="339"/>
      <c r="TWQ3" s="339"/>
      <c r="TWR3" s="339"/>
      <c r="TWS3" s="339"/>
      <c r="TWT3" s="339"/>
      <c r="TWU3" s="339"/>
      <c r="TWV3" s="339"/>
      <c r="TWW3" s="339"/>
      <c r="TWX3" s="339"/>
      <c r="TWY3" s="339"/>
      <c r="TWZ3" s="339"/>
      <c r="TXA3" s="339"/>
      <c r="TXB3" s="339"/>
      <c r="TXC3" s="339"/>
      <c r="TXD3" s="339"/>
      <c r="TXE3" s="339"/>
      <c r="TXF3" s="339"/>
      <c r="TXG3" s="339"/>
      <c r="TXH3" s="339"/>
      <c r="TXI3" s="339"/>
      <c r="TXJ3" s="339"/>
      <c r="TXK3" s="339"/>
      <c r="TXL3" s="339"/>
      <c r="TXM3" s="339"/>
      <c r="TXN3" s="339"/>
      <c r="TXO3" s="339"/>
      <c r="TXP3" s="339"/>
      <c r="TXQ3" s="339"/>
      <c r="TXR3" s="339"/>
      <c r="TXS3" s="339"/>
      <c r="TXT3" s="339"/>
      <c r="TXU3" s="339"/>
      <c r="TXV3" s="339"/>
      <c r="TXW3" s="339"/>
      <c r="TXX3" s="339"/>
      <c r="TXY3" s="339"/>
      <c r="TXZ3" s="339"/>
      <c r="TYA3" s="339"/>
      <c r="TYB3" s="339"/>
      <c r="TYC3" s="339"/>
      <c r="TYD3" s="339"/>
      <c r="TYE3" s="339"/>
      <c r="TYF3" s="339"/>
      <c r="TYG3" s="339"/>
      <c r="TYH3" s="339"/>
      <c r="TYI3" s="339"/>
      <c r="TYJ3" s="339"/>
      <c r="TYK3" s="339"/>
      <c r="TYL3" s="339"/>
      <c r="TYM3" s="339"/>
      <c r="TYN3" s="339"/>
      <c r="TYO3" s="339"/>
      <c r="TYP3" s="339"/>
      <c r="TYQ3" s="339"/>
      <c r="TYR3" s="339"/>
      <c r="TYS3" s="339"/>
      <c r="TYT3" s="339"/>
      <c r="TYU3" s="339"/>
      <c r="TYV3" s="339"/>
      <c r="TYW3" s="339"/>
      <c r="TYX3" s="339"/>
      <c r="TYY3" s="339"/>
      <c r="TYZ3" s="339"/>
      <c r="TZA3" s="339"/>
      <c r="TZB3" s="339"/>
      <c r="TZC3" s="339"/>
      <c r="TZD3" s="339"/>
      <c r="TZE3" s="339"/>
      <c r="TZF3" s="339"/>
      <c r="TZG3" s="339"/>
      <c r="TZH3" s="339"/>
      <c r="TZI3" s="339"/>
      <c r="TZJ3" s="339"/>
      <c r="TZK3" s="339"/>
      <c r="TZL3" s="339"/>
      <c r="TZM3" s="339"/>
      <c r="TZN3" s="339"/>
      <c r="TZO3" s="339"/>
      <c r="TZP3" s="339"/>
      <c r="TZQ3" s="339"/>
      <c r="TZR3" s="339"/>
      <c r="TZS3" s="339"/>
      <c r="TZT3" s="339"/>
      <c r="TZU3" s="339"/>
      <c r="TZV3" s="339"/>
      <c r="TZW3" s="339"/>
      <c r="TZX3" s="339"/>
      <c r="TZY3" s="339"/>
      <c r="TZZ3" s="339"/>
      <c r="UAA3" s="339"/>
      <c r="UAB3" s="339"/>
      <c r="UAC3" s="339"/>
      <c r="UAD3" s="339"/>
      <c r="UAE3" s="339"/>
      <c r="UAF3" s="339"/>
      <c r="UAG3" s="339"/>
      <c r="UAH3" s="339"/>
      <c r="UAI3" s="339"/>
      <c r="UAJ3" s="339"/>
      <c r="UAK3" s="339"/>
      <c r="UAL3" s="339"/>
      <c r="UAM3" s="339"/>
      <c r="UAN3" s="339"/>
      <c r="UAO3" s="339"/>
      <c r="UAP3" s="339"/>
      <c r="UAQ3" s="339"/>
      <c r="UAR3" s="339"/>
      <c r="UAS3" s="339"/>
      <c r="UAT3" s="339"/>
      <c r="UAU3" s="339"/>
      <c r="UAV3" s="339"/>
      <c r="UAW3" s="339"/>
      <c r="UAX3" s="339"/>
      <c r="UAY3" s="339"/>
      <c r="UAZ3" s="339"/>
      <c r="UBA3" s="339"/>
      <c r="UBB3" s="339"/>
      <c r="UBC3" s="339"/>
      <c r="UBD3" s="339"/>
      <c r="UBE3" s="339"/>
      <c r="UBF3" s="339"/>
      <c r="UBG3" s="339"/>
      <c r="UBH3" s="339"/>
      <c r="UBI3" s="339"/>
      <c r="UBJ3" s="339"/>
      <c r="UBK3" s="339"/>
      <c r="UBL3" s="339"/>
      <c r="UBM3" s="339"/>
      <c r="UBN3" s="339"/>
      <c r="UBO3" s="339"/>
      <c r="UBP3" s="339"/>
      <c r="UBQ3" s="339"/>
      <c r="UBR3" s="339"/>
      <c r="UBS3" s="339"/>
      <c r="UBT3" s="339"/>
      <c r="UBU3" s="339"/>
      <c r="UBV3" s="339"/>
      <c r="UBW3" s="339"/>
      <c r="UBX3" s="339"/>
      <c r="UBY3" s="339"/>
      <c r="UBZ3" s="339"/>
      <c r="UCA3" s="339"/>
      <c r="UCB3" s="339"/>
      <c r="UCC3" s="339"/>
      <c r="UCD3" s="339"/>
      <c r="UCE3" s="339"/>
      <c r="UCF3" s="339"/>
      <c r="UCG3" s="339"/>
      <c r="UCH3" s="339"/>
      <c r="UCI3" s="339"/>
      <c r="UCJ3" s="339"/>
      <c r="UCK3" s="339"/>
      <c r="UCL3" s="339"/>
      <c r="UCM3" s="339"/>
      <c r="UCN3" s="339"/>
      <c r="UCO3" s="339"/>
      <c r="UCP3" s="339"/>
      <c r="UCQ3" s="339"/>
      <c r="UCR3" s="339"/>
      <c r="UCS3" s="339"/>
      <c r="UCT3" s="339"/>
      <c r="UCU3" s="339"/>
      <c r="UCV3" s="339"/>
      <c r="UCW3" s="339"/>
      <c r="UCX3" s="339"/>
      <c r="UCY3" s="339"/>
      <c r="UCZ3" s="339"/>
      <c r="UDA3" s="339"/>
      <c r="UDB3" s="339"/>
      <c r="UDC3" s="339"/>
      <c r="UDD3" s="339"/>
      <c r="UDE3" s="339"/>
      <c r="UDF3" s="339"/>
      <c r="UDG3" s="339"/>
      <c r="UDH3" s="339"/>
      <c r="UDI3" s="339"/>
      <c r="UDJ3" s="339"/>
      <c r="UDK3" s="339"/>
      <c r="UDL3" s="339"/>
      <c r="UDM3" s="339"/>
      <c r="UDN3" s="339"/>
      <c r="UDO3" s="339"/>
      <c r="UDP3" s="339"/>
      <c r="UDQ3" s="339"/>
      <c r="UDR3" s="339"/>
      <c r="UDS3" s="339"/>
      <c r="UDT3" s="339"/>
      <c r="UDU3" s="339"/>
      <c r="UDV3" s="339"/>
      <c r="UDW3" s="339"/>
      <c r="UDX3" s="339"/>
      <c r="UDY3" s="339"/>
      <c r="UDZ3" s="339"/>
      <c r="UEA3" s="339"/>
      <c r="UEB3" s="339"/>
      <c r="UEC3" s="339"/>
      <c r="UED3" s="339"/>
      <c r="UEE3" s="339"/>
      <c r="UEF3" s="339"/>
      <c r="UEG3" s="339"/>
      <c r="UEH3" s="339"/>
      <c r="UEI3" s="339"/>
      <c r="UEJ3" s="339"/>
      <c r="UEK3" s="339"/>
      <c r="UEL3" s="339"/>
      <c r="UEM3" s="339"/>
      <c r="UEN3" s="339"/>
      <c r="UEO3" s="339"/>
      <c r="UEP3" s="339"/>
      <c r="UEQ3" s="339"/>
      <c r="UER3" s="339"/>
      <c r="UES3" s="339"/>
      <c r="UET3" s="339"/>
      <c r="UEU3" s="339"/>
      <c r="UEV3" s="339"/>
      <c r="UEW3" s="339"/>
      <c r="UEX3" s="339"/>
      <c r="UEY3" s="339"/>
      <c r="UEZ3" s="339"/>
      <c r="UFA3" s="339"/>
      <c r="UFB3" s="339"/>
      <c r="UFC3" s="339"/>
      <c r="UFD3" s="339"/>
      <c r="UFE3" s="339"/>
      <c r="UFF3" s="339"/>
      <c r="UFG3" s="339"/>
      <c r="UFH3" s="339"/>
      <c r="UFI3" s="339"/>
      <c r="UFJ3" s="339"/>
      <c r="UFK3" s="339"/>
      <c r="UFL3" s="339"/>
      <c r="UFM3" s="339"/>
      <c r="UFN3" s="339"/>
      <c r="UFO3" s="339"/>
      <c r="UFP3" s="339"/>
      <c r="UFQ3" s="339"/>
      <c r="UFR3" s="339"/>
      <c r="UFS3" s="339"/>
      <c r="UFT3" s="339"/>
      <c r="UFU3" s="339"/>
      <c r="UFV3" s="339"/>
      <c r="UFW3" s="339"/>
      <c r="UFX3" s="339"/>
      <c r="UFY3" s="339"/>
      <c r="UFZ3" s="339"/>
      <c r="UGA3" s="339"/>
      <c r="UGB3" s="339"/>
      <c r="UGC3" s="339"/>
      <c r="UGD3" s="339"/>
      <c r="UGE3" s="339"/>
      <c r="UGF3" s="339"/>
      <c r="UGG3" s="339"/>
      <c r="UGH3" s="339"/>
      <c r="UGI3" s="339"/>
      <c r="UGJ3" s="339"/>
      <c r="UGK3" s="339"/>
      <c r="UGL3" s="339"/>
      <c r="UGM3" s="339"/>
      <c r="UGN3" s="339"/>
      <c r="UGO3" s="339"/>
      <c r="UGP3" s="339"/>
      <c r="UGQ3" s="339"/>
      <c r="UGR3" s="339"/>
      <c r="UGS3" s="339"/>
      <c r="UGT3" s="339"/>
      <c r="UGU3" s="339"/>
      <c r="UGV3" s="339"/>
      <c r="UGW3" s="339"/>
      <c r="UGX3" s="339"/>
      <c r="UGY3" s="339"/>
      <c r="UGZ3" s="339"/>
      <c r="UHA3" s="339"/>
      <c r="UHB3" s="339"/>
      <c r="UHC3" s="339"/>
      <c r="UHD3" s="339"/>
      <c r="UHE3" s="339"/>
      <c r="UHF3" s="339"/>
      <c r="UHG3" s="339"/>
      <c r="UHH3" s="339"/>
      <c r="UHI3" s="339"/>
      <c r="UHJ3" s="339"/>
      <c r="UHK3" s="339"/>
      <c r="UHL3" s="339"/>
      <c r="UHM3" s="339"/>
      <c r="UHN3" s="339"/>
      <c r="UHO3" s="339"/>
      <c r="UHP3" s="339"/>
      <c r="UHQ3" s="339"/>
      <c r="UHR3" s="339"/>
      <c r="UHS3" s="339"/>
      <c r="UHT3" s="339"/>
      <c r="UHU3" s="339"/>
      <c r="UHV3" s="339"/>
      <c r="UHW3" s="339"/>
      <c r="UHX3" s="339"/>
      <c r="UHY3" s="339"/>
      <c r="UHZ3" s="339"/>
      <c r="UIA3" s="339"/>
      <c r="UIB3" s="339"/>
      <c r="UIC3" s="339"/>
      <c r="UID3" s="339"/>
      <c r="UIE3" s="339"/>
      <c r="UIF3" s="339"/>
      <c r="UIG3" s="339"/>
      <c r="UIH3" s="339"/>
      <c r="UII3" s="339"/>
      <c r="UIJ3" s="339"/>
      <c r="UIK3" s="339"/>
      <c r="UIL3" s="339"/>
      <c r="UIM3" s="339"/>
      <c r="UIN3" s="339"/>
      <c r="UIO3" s="339"/>
      <c r="UIP3" s="339"/>
      <c r="UIQ3" s="339"/>
      <c r="UIR3" s="339"/>
      <c r="UIS3" s="339"/>
      <c r="UIT3" s="339"/>
      <c r="UIU3" s="339"/>
      <c r="UIV3" s="339"/>
      <c r="UIW3" s="339"/>
      <c r="UIX3" s="339"/>
      <c r="UIY3" s="339"/>
      <c r="UIZ3" s="339"/>
      <c r="UJA3" s="339"/>
      <c r="UJB3" s="339"/>
      <c r="UJC3" s="339"/>
      <c r="UJD3" s="339"/>
      <c r="UJE3" s="339"/>
      <c r="UJF3" s="339"/>
      <c r="UJG3" s="339"/>
      <c r="UJH3" s="339"/>
      <c r="UJI3" s="339"/>
      <c r="UJJ3" s="339"/>
      <c r="UJK3" s="339"/>
      <c r="UJL3" s="339"/>
      <c r="UJM3" s="339"/>
      <c r="UJN3" s="339"/>
      <c r="UJO3" s="339"/>
      <c r="UJP3" s="339"/>
      <c r="UJQ3" s="339"/>
      <c r="UJR3" s="339"/>
      <c r="UJS3" s="339"/>
      <c r="UJT3" s="339"/>
      <c r="UJU3" s="339"/>
      <c r="UJV3" s="339"/>
      <c r="UJW3" s="339"/>
      <c r="UJX3" s="339"/>
      <c r="UJY3" s="339"/>
      <c r="UJZ3" s="339"/>
      <c r="UKA3" s="339"/>
      <c r="UKB3" s="339"/>
      <c r="UKC3" s="339"/>
      <c r="UKD3" s="339"/>
      <c r="UKE3" s="339"/>
      <c r="UKF3" s="339"/>
      <c r="UKG3" s="339"/>
      <c r="UKH3" s="339"/>
      <c r="UKI3" s="339"/>
      <c r="UKJ3" s="339"/>
      <c r="UKK3" s="339"/>
      <c r="UKL3" s="339"/>
      <c r="UKM3" s="339"/>
      <c r="UKN3" s="339"/>
      <c r="UKO3" s="339"/>
      <c r="UKP3" s="339"/>
      <c r="UKQ3" s="339"/>
      <c r="UKR3" s="339"/>
      <c r="UKS3" s="339"/>
      <c r="UKT3" s="339"/>
      <c r="UKU3" s="339"/>
      <c r="UKV3" s="339"/>
      <c r="UKW3" s="339"/>
      <c r="UKX3" s="339"/>
      <c r="UKY3" s="339"/>
      <c r="UKZ3" s="339"/>
      <c r="ULA3" s="339"/>
      <c r="ULB3" s="339"/>
      <c r="ULC3" s="339"/>
      <c r="ULD3" s="339"/>
      <c r="ULE3" s="339"/>
      <c r="ULF3" s="339"/>
      <c r="ULG3" s="339"/>
      <c r="ULH3" s="339"/>
      <c r="ULI3" s="339"/>
      <c r="ULJ3" s="339"/>
      <c r="ULK3" s="339"/>
      <c r="ULL3" s="339"/>
      <c r="ULM3" s="339"/>
      <c r="ULN3" s="339"/>
      <c r="ULO3" s="339"/>
      <c r="ULP3" s="339"/>
      <c r="ULQ3" s="339"/>
      <c r="ULR3" s="339"/>
      <c r="ULS3" s="339"/>
      <c r="ULT3" s="339"/>
      <c r="ULU3" s="339"/>
      <c r="ULV3" s="339"/>
      <c r="ULW3" s="339"/>
      <c r="ULX3" s="339"/>
      <c r="ULY3" s="339"/>
      <c r="ULZ3" s="339"/>
      <c r="UMA3" s="339"/>
      <c r="UMB3" s="339"/>
      <c r="UMC3" s="339"/>
      <c r="UMD3" s="339"/>
      <c r="UME3" s="339"/>
      <c r="UMF3" s="339"/>
      <c r="UMG3" s="339"/>
      <c r="UMH3" s="339"/>
      <c r="UMI3" s="339"/>
      <c r="UMJ3" s="339"/>
      <c r="UMK3" s="339"/>
      <c r="UML3" s="339"/>
      <c r="UMM3" s="339"/>
      <c r="UMN3" s="339"/>
      <c r="UMO3" s="339"/>
      <c r="UMP3" s="339"/>
      <c r="UMQ3" s="339"/>
      <c r="UMR3" s="339"/>
      <c r="UMS3" s="339"/>
      <c r="UMT3" s="339"/>
      <c r="UMU3" s="339"/>
      <c r="UMV3" s="339"/>
      <c r="UMW3" s="339"/>
      <c r="UMX3" s="339"/>
      <c r="UMY3" s="339"/>
      <c r="UMZ3" s="339"/>
      <c r="UNA3" s="339"/>
      <c r="UNB3" s="339"/>
      <c r="UNC3" s="339"/>
      <c r="UND3" s="339"/>
      <c r="UNE3" s="339"/>
      <c r="UNF3" s="339"/>
      <c r="UNG3" s="339"/>
      <c r="UNH3" s="339"/>
      <c r="UNI3" s="339"/>
      <c r="UNJ3" s="339"/>
      <c r="UNK3" s="339"/>
      <c r="UNL3" s="339"/>
      <c r="UNM3" s="339"/>
      <c r="UNN3" s="339"/>
      <c r="UNO3" s="339"/>
      <c r="UNP3" s="339"/>
      <c r="UNQ3" s="339"/>
      <c r="UNR3" s="339"/>
      <c r="UNS3" s="339"/>
      <c r="UNT3" s="339"/>
      <c r="UNU3" s="339"/>
      <c r="UNV3" s="339"/>
      <c r="UNW3" s="339"/>
      <c r="UNX3" s="339"/>
      <c r="UNY3" s="339"/>
      <c r="UNZ3" s="339"/>
      <c r="UOA3" s="339"/>
      <c r="UOB3" s="339"/>
      <c r="UOC3" s="339"/>
      <c r="UOD3" s="339"/>
      <c r="UOE3" s="339"/>
      <c r="UOF3" s="339"/>
      <c r="UOG3" s="339"/>
      <c r="UOH3" s="339"/>
      <c r="UOI3" s="339"/>
      <c r="UOJ3" s="339"/>
      <c r="UOK3" s="339"/>
      <c r="UOL3" s="339"/>
      <c r="UOM3" s="339"/>
      <c r="UON3" s="339"/>
      <c r="UOO3" s="339"/>
      <c r="UOP3" s="339"/>
      <c r="UOQ3" s="339"/>
      <c r="UOR3" s="339"/>
      <c r="UOS3" s="339"/>
      <c r="UOT3" s="339"/>
      <c r="UOU3" s="339"/>
      <c r="UOV3" s="339"/>
      <c r="UOW3" s="339"/>
      <c r="UOX3" s="339"/>
      <c r="UOY3" s="339"/>
      <c r="UOZ3" s="339"/>
      <c r="UPA3" s="339"/>
      <c r="UPB3" s="339"/>
      <c r="UPC3" s="339"/>
      <c r="UPD3" s="339"/>
      <c r="UPE3" s="339"/>
      <c r="UPF3" s="339"/>
      <c r="UPG3" s="339"/>
      <c r="UPH3" s="339"/>
      <c r="UPI3" s="339"/>
      <c r="UPJ3" s="339"/>
      <c r="UPK3" s="339"/>
      <c r="UPL3" s="339"/>
      <c r="UPM3" s="339"/>
      <c r="UPN3" s="339"/>
      <c r="UPO3" s="339"/>
      <c r="UPP3" s="339"/>
      <c r="UPQ3" s="339"/>
      <c r="UPR3" s="339"/>
      <c r="UPS3" s="339"/>
      <c r="UPT3" s="339"/>
      <c r="UPU3" s="339"/>
      <c r="UPV3" s="339"/>
      <c r="UPW3" s="339"/>
      <c r="UPX3" s="339"/>
      <c r="UPY3" s="339"/>
      <c r="UPZ3" s="339"/>
      <c r="UQA3" s="339"/>
      <c r="UQB3" s="339"/>
      <c r="UQC3" s="339"/>
      <c r="UQD3" s="339"/>
      <c r="UQE3" s="339"/>
      <c r="UQF3" s="339"/>
      <c r="UQG3" s="339"/>
      <c r="UQH3" s="339"/>
      <c r="UQI3" s="339"/>
      <c r="UQJ3" s="339"/>
      <c r="UQK3" s="339"/>
      <c r="UQL3" s="339"/>
      <c r="UQM3" s="339"/>
      <c r="UQN3" s="339"/>
      <c r="UQO3" s="339"/>
      <c r="UQP3" s="339"/>
      <c r="UQQ3" s="339"/>
      <c r="UQR3" s="339"/>
      <c r="UQS3" s="339"/>
      <c r="UQT3" s="339"/>
      <c r="UQU3" s="339"/>
      <c r="UQV3" s="339"/>
      <c r="UQW3" s="339"/>
      <c r="UQX3" s="339"/>
      <c r="UQY3" s="339"/>
      <c r="UQZ3" s="339"/>
      <c r="URA3" s="339"/>
      <c r="URB3" s="339"/>
      <c r="URC3" s="339"/>
      <c r="URD3" s="339"/>
      <c r="URE3" s="339"/>
      <c r="URF3" s="339"/>
      <c r="URG3" s="339"/>
      <c r="URH3" s="339"/>
      <c r="URI3" s="339"/>
      <c r="URJ3" s="339"/>
      <c r="URK3" s="339"/>
      <c r="URL3" s="339"/>
      <c r="URM3" s="339"/>
      <c r="URN3" s="339"/>
      <c r="URO3" s="339"/>
      <c r="URP3" s="339"/>
      <c r="URQ3" s="339"/>
      <c r="URR3" s="339"/>
      <c r="URS3" s="339"/>
      <c r="URT3" s="339"/>
      <c r="URU3" s="339"/>
      <c r="URV3" s="339"/>
      <c r="URW3" s="339"/>
      <c r="URX3" s="339"/>
      <c r="URY3" s="339"/>
      <c r="URZ3" s="339"/>
      <c r="USA3" s="339"/>
      <c r="USB3" s="339"/>
      <c r="USC3" s="339"/>
      <c r="USD3" s="339"/>
      <c r="USE3" s="339"/>
      <c r="USF3" s="339"/>
      <c r="USG3" s="339"/>
      <c r="USH3" s="339"/>
      <c r="USI3" s="339"/>
      <c r="USJ3" s="339"/>
      <c r="USK3" s="339"/>
      <c r="USL3" s="339"/>
      <c r="USM3" s="339"/>
      <c r="USN3" s="339"/>
      <c r="USO3" s="339"/>
      <c r="USP3" s="339"/>
      <c r="USQ3" s="339"/>
      <c r="USR3" s="339"/>
      <c r="USS3" s="339"/>
      <c r="UST3" s="339"/>
      <c r="USU3" s="339"/>
      <c r="USV3" s="339"/>
      <c r="USW3" s="339"/>
      <c r="USX3" s="339"/>
      <c r="USY3" s="339"/>
      <c r="USZ3" s="339"/>
      <c r="UTA3" s="339"/>
      <c r="UTB3" s="339"/>
      <c r="UTC3" s="339"/>
      <c r="UTD3" s="339"/>
      <c r="UTE3" s="339"/>
      <c r="UTF3" s="339"/>
      <c r="UTG3" s="339"/>
      <c r="UTH3" s="339"/>
      <c r="UTI3" s="339"/>
      <c r="UTJ3" s="339"/>
      <c r="UTK3" s="339"/>
      <c r="UTL3" s="339"/>
      <c r="UTM3" s="339"/>
      <c r="UTN3" s="339"/>
      <c r="UTO3" s="339"/>
      <c r="UTP3" s="339"/>
      <c r="UTQ3" s="339"/>
      <c r="UTR3" s="339"/>
      <c r="UTS3" s="339"/>
      <c r="UTT3" s="339"/>
      <c r="UTU3" s="339"/>
      <c r="UTV3" s="339"/>
      <c r="UTW3" s="339"/>
      <c r="UTX3" s="339"/>
      <c r="UTY3" s="339"/>
      <c r="UTZ3" s="339"/>
      <c r="UUA3" s="339"/>
      <c r="UUB3" s="339"/>
      <c r="UUC3" s="339"/>
      <c r="UUD3" s="339"/>
      <c r="UUE3" s="339"/>
      <c r="UUF3" s="339"/>
      <c r="UUG3" s="339"/>
      <c r="UUH3" s="339"/>
      <c r="UUI3" s="339"/>
      <c r="UUJ3" s="339"/>
      <c r="UUK3" s="339"/>
      <c r="UUL3" s="339"/>
      <c r="UUM3" s="339"/>
      <c r="UUN3" s="339"/>
      <c r="UUO3" s="339"/>
      <c r="UUP3" s="339"/>
      <c r="UUQ3" s="339"/>
      <c r="UUR3" s="339"/>
      <c r="UUS3" s="339"/>
      <c r="UUT3" s="339"/>
      <c r="UUU3" s="339"/>
      <c r="UUV3" s="339"/>
      <c r="UUW3" s="339"/>
      <c r="UUX3" s="339"/>
      <c r="UUY3" s="339"/>
      <c r="UUZ3" s="339"/>
      <c r="UVA3" s="339"/>
      <c r="UVB3" s="339"/>
      <c r="UVC3" s="339"/>
      <c r="UVD3" s="339"/>
      <c r="UVE3" s="339"/>
      <c r="UVF3" s="339"/>
      <c r="UVG3" s="339"/>
      <c r="UVH3" s="339"/>
      <c r="UVI3" s="339"/>
      <c r="UVJ3" s="339"/>
      <c r="UVK3" s="339"/>
      <c r="UVL3" s="339"/>
      <c r="UVM3" s="339"/>
      <c r="UVN3" s="339"/>
      <c r="UVO3" s="339"/>
      <c r="UVP3" s="339"/>
      <c r="UVQ3" s="339"/>
      <c r="UVR3" s="339"/>
      <c r="UVS3" s="339"/>
      <c r="UVT3" s="339"/>
      <c r="UVU3" s="339"/>
      <c r="UVV3" s="339"/>
      <c r="UVW3" s="339"/>
      <c r="UVX3" s="339"/>
      <c r="UVY3" s="339"/>
      <c r="UVZ3" s="339"/>
      <c r="UWA3" s="339"/>
      <c r="UWB3" s="339"/>
      <c r="UWC3" s="339"/>
      <c r="UWD3" s="339"/>
      <c r="UWE3" s="339"/>
      <c r="UWF3" s="339"/>
      <c r="UWG3" s="339"/>
      <c r="UWH3" s="339"/>
      <c r="UWI3" s="339"/>
      <c r="UWJ3" s="339"/>
      <c r="UWK3" s="339"/>
      <c r="UWL3" s="339"/>
      <c r="UWM3" s="339"/>
      <c r="UWN3" s="339"/>
      <c r="UWO3" s="339"/>
      <c r="UWP3" s="339"/>
      <c r="UWQ3" s="339"/>
      <c r="UWR3" s="339"/>
      <c r="UWS3" s="339"/>
      <c r="UWT3" s="339"/>
      <c r="UWU3" s="339"/>
      <c r="UWV3" s="339"/>
      <c r="UWW3" s="339"/>
      <c r="UWX3" s="339"/>
      <c r="UWY3" s="339"/>
      <c r="UWZ3" s="339"/>
      <c r="UXA3" s="339"/>
      <c r="UXB3" s="339"/>
      <c r="UXC3" s="339"/>
      <c r="UXD3" s="339"/>
      <c r="UXE3" s="339"/>
      <c r="UXF3" s="339"/>
      <c r="UXG3" s="339"/>
      <c r="UXH3" s="339"/>
      <c r="UXI3" s="339"/>
      <c r="UXJ3" s="339"/>
      <c r="UXK3" s="339"/>
      <c r="UXL3" s="339"/>
      <c r="UXM3" s="339"/>
      <c r="UXN3" s="339"/>
      <c r="UXO3" s="339"/>
      <c r="UXP3" s="339"/>
      <c r="UXQ3" s="339"/>
      <c r="UXR3" s="339"/>
      <c r="UXS3" s="339"/>
      <c r="UXT3" s="339"/>
      <c r="UXU3" s="339"/>
      <c r="UXV3" s="339"/>
      <c r="UXW3" s="339"/>
      <c r="UXX3" s="339"/>
      <c r="UXY3" s="339"/>
      <c r="UXZ3" s="339"/>
      <c r="UYA3" s="339"/>
      <c r="UYB3" s="339"/>
      <c r="UYC3" s="339"/>
      <c r="UYD3" s="339"/>
      <c r="UYE3" s="339"/>
      <c r="UYF3" s="339"/>
      <c r="UYG3" s="339"/>
      <c r="UYH3" s="339"/>
      <c r="UYI3" s="339"/>
      <c r="UYJ3" s="339"/>
      <c r="UYK3" s="339"/>
      <c r="UYL3" s="339"/>
      <c r="UYM3" s="339"/>
      <c r="UYN3" s="339"/>
      <c r="UYO3" s="339"/>
      <c r="UYP3" s="339"/>
      <c r="UYQ3" s="339"/>
      <c r="UYR3" s="339"/>
      <c r="UYS3" s="339"/>
      <c r="UYT3" s="339"/>
      <c r="UYU3" s="339"/>
      <c r="UYV3" s="339"/>
      <c r="UYW3" s="339"/>
      <c r="UYX3" s="339"/>
      <c r="UYY3" s="339"/>
      <c r="UYZ3" s="339"/>
      <c r="UZA3" s="339"/>
      <c r="UZB3" s="339"/>
      <c r="UZC3" s="339"/>
      <c r="UZD3" s="339"/>
      <c r="UZE3" s="339"/>
      <c r="UZF3" s="339"/>
      <c r="UZG3" s="339"/>
      <c r="UZH3" s="339"/>
      <c r="UZI3" s="339"/>
      <c r="UZJ3" s="339"/>
      <c r="UZK3" s="339"/>
      <c r="UZL3" s="339"/>
      <c r="UZM3" s="339"/>
      <c r="UZN3" s="339"/>
      <c r="UZO3" s="339"/>
      <c r="UZP3" s="339"/>
      <c r="UZQ3" s="339"/>
      <c r="UZR3" s="339"/>
      <c r="UZS3" s="339"/>
      <c r="UZT3" s="339"/>
      <c r="UZU3" s="339"/>
      <c r="UZV3" s="339"/>
      <c r="UZW3" s="339"/>
      <c r="UZX3" s="339"/>
      <c r="UZY3" s="339"/>
      <c r="UZZ3" s="339"/>
      <c r="VAA3" s="339"/>
      <c r="VAB3" s="339"/>
      <c r="VAC3" s="339"/>
      <c r="VAD3" s="339"/>
      <c r="VAE3" s="339"/>
      <c r="VAF3" s="339"/>
      <c r="VAG3" s="339"/>
      <c r="VAH3" s="339"/>
      <c r="VAI3" s="339"/>
      <c r="VAJ3" s="339"/>
      <c r="VAK3" s="339"/>
      <c r="VAL3" s="339"/>
      <c r="VAM3" s="339"/>
      <c r="VAN3" s="339"/>
      <c r="VAO3" s="339"/>
      <c r="VAP3" s="339"/>
      <c r="VAQ3" s="339"/>
      <c r="VAR3" s="339"/>
      <c r="VAS3" s="339"/>
      <c r="VAT3" s="339"/>
      <c r="VAU3" s="339"/>
      <c r="VAV3" s="339"/>
      <c r="VAW3" s="339"/>
      <c r="VAX3" s="339"/>
      <c r="VAY3" s="339"/>
      <c r="VAZ3" s="339"/>
      <c r="VBA3" s="339"/>
      <c r="VBB3" s="339"/>
      <c r="VBC3" s="339"/>
      <c r="VBD3" s="339"/>
      <c r="VBE3" s="339"/>
      <c r="VBF3" s="339"/>
      <c r="VBG3" s="339"/>
      <c r="VBH3" s="339"/>
      <c r="VBI3" s="339"/>
      <c r="VBJ3" s="339"/>
      <c r="VBK3" s="339"/>
      <c r="VBL3" s="339"/>
      <c r="VBM3" s="339"/>
      <c r="VBN3" s="339"/>
      <c r="VBO3" s="339"/>
      <c r="VBP3" s="339"/>
      <c r="VBQ3" s="339"/>
      <c r="VBR3" s="339"/>
      <c r="VBS3" s="339"/>
      <c r="VBT3" s="339"/>
      <c r="VBU3" s="339"/>
      <c r="VBV3" s="339"/>
      <c r="VBW3" s="339"/>
      <c r="VBX3" s="339"/>
      <c r="VBY3" s="339"/>
      <c r="VBZ3" s="339"/>
      <c r="VCA3" s="339"/>
      <c r="VCB3" s="339"/>
      <c r="VCC3" s="339"/>
      <c r="VCD3" s="339"/>
      <c r="VCE3" s="339"/>
      <c r="VCF3" s="339"/>
      <c r="VCG3" s="339"/>
      <c r="VCH3" s="339"/>
      <c r="VCI3" s="339"/>
      <c r="VCJ3" s="339"/>
      <c r="VCK3" s="339"/>
      <c r="VCL3" s="339"/>
      <c r="VCM3" s="339"/>
      <c r="VCN3" s="339"/>
      <c r="VCO3" s="339"/>
      <c r="VCP3" s="339"/>
      <c r="VCQ3" s="339"/>
      <c r="VCR3" s="339"/>
      <c r="VCS3" s="339"/>
      <c r="VCT3" s="339"/>
      <c r="VCU3" s="339"/>
      <c r="VCV3" s="339"/>
      <c r="VCW3" s="339"/>
      <c r="VCX3" s="339"/>
      <c r="VCY3" s="339"/>
      <c r="VCZ3" s="339"/>
      <c r="VDA3" s="339"/>
      <c r="VDB3" s="339"/>
      <c r="VDC3" s="339"/>
      <c r="VDD3" s="339"/>
      <c r="VDE3" s="339"/>
      <c r="VDF3" s="339"/>
      <c r="VDG3" s="339"/>
      <c r="VDH3" s="339"/>
      <c r="VDI3" s="339"/>
      <c r="VDJ3" s="339"/>
      <c r="VDK3" s="339"/>
      <c r="VDL3" s="339"/>
      <c r="VDM3" s="339"/>
      <c r="VDN3" s="339"/>
      <c r="VDO3" s="339"/>
      <c r="VDP3" s="339"/>
      <c r="VDQ3" s="339"/>
      <c r="VDR3" s="339"/>
      <c r="VDS3" s="339"/>
      <c r="VDT3" s="339"/>
      <c r="VDU3" s="339"/>
      <c r="VDV3" s="339"/>
      <c r="VDW3" s="339"/>
      <c r="VDX3" s="339"/>
      <c r="VDY3" s="339"/>
      <c r="VDZ3" s="339"/>
      <c r="VEA3" s="339"/>
      <c r="VEB3" s="339"/>
      <c r="VEC3" s="339"/>
      <c r="VED3" s="339"/>
      <c r="VEE3" s="339"/>
      <c r="VEF3" s="339"/>
      <c r="VEG3" s="339"/>
      <c r="VEH3" s="339"/>
      <c r="VEI3" s="339"/>
      <c r="VEJ3" s="339"/>
      <c r="VEK3" s="339"/>
      <c r="VEL3" s="339"/>
      <c r="VEM3" s="339"/>
      <c r="VEN3" s="339"/>
      <c r="VEO3" s="339"/>
      <c r="VEP3" s="339"/>
      <c r="VEQ3" s="339"/>
      <c r="VER3" s="339"/>
      <c r="VES3" s="339"/>
      <c r="VET3" s="339"/>
      <c r="VEU3" s="339"/>
      <c r="VEV3" s="339"/>
      <c r="VEW3" s="339"/>
      <c r="VEX3" s="339"/>
      <c r="VEY3" s="339"/>
      <c r="VEZ3" s="339"/>
      <c r="VFA3" s="339"/>
      <c r="VFB3" s="339"/>
      <c r="VFC3" s="339"/>
      <c r="VFD3" s="339"/>
      <c r="VFE3" s="339"/>
      <c r="VFF3" s="339"/>
      <c r="VFG3" s="339"/>
      <c r="VFH3" s="339"/>
      <c r="VFI3" s="339"/>
      <c r="VFJ3" s="339"/>
      <c r="VFK3" s="339"/>
      <c r="VFL3" s="339"/>
      <c r="VFM3" s="339"/>
      <c r="VFN3" s="339"/>
      <c r="VFO3" s="339"/>
      <c r="VFP3" s="339"/>
      <c r="VFQ3" s="339"/>
      <c r="VFR3" s="339"/>
      <c r="VFS3" s="339"/>
      <c r="VFT3" s="339"/>
      <c r="VFU3" s="339"/>
      <c r="VFV3" s="339"/>
      <c r="VFW3" s="339"/>
      <c r="VFX3" s="339"/>
      <c r="VFY3" s="339"/>
      <c r="VFZ3" s="339"/>
      <c r="VGA3" s="339"/>
      <c r="VGB3" s="339"/>
      <c r="VGC3" s="339"/>
      <c r="VGD3" s="339"/>
      <c r="VGE3" s="339"/>
      <c r="VGF3" s="339"/>
      <c r="VGG3" s="339"/>
      <c r="VGH3" s="339"/>
      <c r="VGI3" s="339"/>
      <c r="VGJ3" s="339"/>
      <c r="VGK3" s="339"/>
      <c r="VGL3" s="339"/>
      <c r="VGM3" s="339"/>
      <c r="VGN3" s="339"/>
      <c r="VGO3" s="339"/>
      <c r="VGP3" s="339"/>
      <c r="VGQ3" s="339"/>
      <c r="VGR3" s="339"/>
      <c r="VGS3" s="339"/>
      <c r="VGT3" s="339"/>
      <c r="VGU3" s="339"/>
      <c r="VGV3" s="339"/>
      <c r="VGW3" s="339"/>
      <c r="VGX3" s="339"/>
      <c r="VGY3" s="339"/>
      <c r="VGZ3" s="339"/>
      <c r="VHA3" s="339"/>
      <c r="VHB3" s="339"/>
      <c r="VHC3" s="339"/>
      <c r="VHD3" s="339"/>
      <c r="VHE3" s="339"/>
      <c r="VHF3" s="339"/>
      <c r="VHG3" s="339"/>
      <c r="VHH3" s="339"/>
      <c r="VHI3" s="339"/>
      <c r="VHJ3" s="339"/>
      <c r="VHK3" s="339"/>
      <c r="VHL3" s="339"/>
      <c r="VHM3" s="339"/>
      <c r="VHN3" s="339"/>
      <c r="VHO3" s="339"/>
      <c r="VHP3" s="339"/>
      <c r="VHQ3" s="339"/>
      <c r="VHR3" s="339"/>
      <c r="VHS3" s="339"/>
      <c r="VHT3" s="339"/>
      <c r="VHU3" s="339"/>
      <c r="VHV3" s="339"/>
      <c r="VHW3" s="339"/>
      <c r="VHX3" s="339"/>
      <c r="VHY3" s="339"/>
      <c r="VHZ3" s="339"/>
      <c r="VIA3" s="339"/>
      <c r="VIB3" s="339"/>
      <c r="VIC3" s="339"/>
      <c r="VID3" s="339"/>
      <c r="VIE3" s="339"/>
      <c r="VIF3" s="339"/>
      <c r="VIG3" s="339"/>
      <c r="VIH3" s="339"/>
      <c r="VII3" s="339"/>
      <c r="VIJ3" s="339"/>
      <c r="VIK3" s="339"/>
      <c r="VIL3" s="339"/>
      <c r="VIM3" s="339"/>
      <c r="VIN3" s="339"/>
      <c r="VIO3" s="339"/>
      <c r="VIP3" s="339"/>
      <c r="VIQ3" s="339"/>
      <c r="VIR3" s="339"/>
      <c r="VIS3" s="339"/>
      <c r="VIT3" s="339"/>
      <c r="VIU3" s="339"/>
      <c r="VIV3" s="339"/>
      <c r="VIW3" s="339"/>
      <c r="VIX3" s="339"/>
      <c r="VIY3" s="339"/>
      <c r="VIZ3" s="339"/>
      <c r="VJA3" s="339"/>
      <c r="VJB3" s="339"/>
      <c r="VJC3" s="339"/>
      <c r="VJD3" s="339"/>
      <c r="VJE3" s="339"/>
      <c r="VJF3" s="339"/>
      <c r="VJG3" s="339"/>
      <c r="VJH3" s="339"/>
      <c r="VJI3" s="339"/>
      <c r="VJJ3" s="339"/>
      <c r="VJK3" s="339"/>
      <c r="VJL3" s="339"/>
      <c r="VJM3" s="339"/>
      <c r="VJN3" s="339"/>
      <c r="VJO3" s="339"/>
      <c r="VJP3" s="339"/>
      <c r="VJQ3" s="339"/>
      <c r="VJR3" s="339"/>
      <c r="VJS3" s="339"/>
      <c r="VJT3" s="339"/>
      <c r="VJU3" s="339"/>
      <c r="VJV3" s="339"/>
      <c r="VJW3" s="339"/>
      <c r="VJX3" s="339"/>
      <c r="VJY3" s="339"/>
      <c r="VJZ3" s="339"/>
      <c r="VKA3" s="339"/>
      <c r="VKB3" s="339"/>
      <c r="VKC3" s="339"/>
      <c r="VKD3" s="339"/>
      <c r="VKE3" s="339"/>
      <c r="VKF3" s="339"/>
      <c r="VKG3" s="339"/>
      <c r="VKH3" s="339"/>
      <c r="VKI3" s="339"/>
      <c r="VKJ3" s="339"/>
      <c r="VKK3" s="339"/>
      <c r="VKL3" s="339"/>
      <c r="VKM3" s="339"/>
      <c r="VKN3" s="339"/>
      <c r="VKO3" s="339"/>
      <c r="VKP3" s="339"/>
      <c r="VKQ3" s="339"/>
      <c r="VKR3" s="339"/>
      <c r="VKS3" s="339"/>
      <c r="VKT3" s="339"/>
      <c r="VKU3" s="339"/>
      <c r="VKV3" s="339"/>
      <c r="VKW3" s="339"/>
      <c r="VKX3" s="339"/>
      <c r="VKY3" s="339"/>
      <c r="VKZ3" s="339"/>
      <c r="VLA3" s="339"/>
      <c r="VLB3" s="339"/>
      <c r="VLC3" s="339"/>
      <c r="VLD3" s="339"/>
      <c r="VLE3" s="339"/>
      <c r="VLF3" s="339"/>
      <c r="VLG3" s="339"/>
      <c r="VLH3" s="339"/>
      <c r="VLI3" s="339"/>
      <c r="VLJ3" s="339"/>
      <c r="VLK3" s="339"/>
      <c r="VLL3" s="339"/>
      <c r="VLM3" s="339"/>
      <c r="VLN3" s="339"/>
      <c r="VLO3" s="339"/>
      <c r="VLP3" s="339"/>
      <c r="VLQ3" s="339"/>
      <c r="VLR3" s="339"/>
      <c r="VLS3" s="339"/>
      <c r="VLT3" s="339"/>
      <c r="VLU3" s="339"/>
      <c r="VLV3" s="339"/>
      <c r="VLW3" s="339"/>
      <c r="VLX3" s="339"/>
      <c r="VLY3" s="339"/>
      <c r="VLZ3" s="339"/>
      <c r="VMA3" s="339"/>
      <c r="VMB3" s="339"/>
      <c r="VMC3" s="339"/>
      <c r="VMD3" s="339"/>
      <c r="VME3" s="339"/>
      <c r="VMF3" s="339"/>
      <c r="VMG3" s="339"/>
      <c r="VMH3" s="339"/>
      <c r="VMI3" s="339"/>
      <c r="VMJ3" s="339"/>
      <c r="VMK3" s="339"/>
      <c r="VML3" s="339"/>
      <c r="VMM3" s="339"/>
      <c r="VMN3" s="339"/>
      <c r="VMO3" s="339"/>
      <c r="VMP3" s="339"/>
      <c r="VMQ3" s="339"/>
      <c r="VMR3" s="339"/>
      <c r="VMS3" s="339"/>
      <c r="VMT3" s="339"/>
      <c r="VMU3" s="339"/>
      <c r="VMV3" s="339"/>
      <c r="VMW3" s="339"/>
      <c r="VMX3" s="339"/>
      <c r="VMY3" s="339"/>
      <c r="VMZ3" s="339"/>
      <c r="VNA3" s="339"/>
      <c r="VNB3" s="339"/>
      <c r="VNC3" s="339"/>
      <c r="VND3" s="339"/>
      <c r="VNE3" s="339"/>
      <c r="VNF3" s="339"/>
      <c r="VNG3" s="339"/>
      <c r="VNH3" s="339"/>
      <c r="VNI3" s="339"/>
      <c r="VNJ3" s="339"/>
      <c r="VNK3" s="339"/>
      <c r="VNL3" s="339"/>
      <c r="VNM3" s="339"/>
      <c r="VNN3" s="339"/>
      <c r="VNO3" s="339"/>
      <c r="VNP3" s="339"/>
      <c r="VNQ3" s="339"/>
      <c r="VNR3" s="339"/>
      <c r="VNS3" s="339"/>
      <c r="VNT3" s="339"/>
      <c r="VNU3" s="339"/>
      <c r="VNV3" s="339"/>
      <c r="VNW3" s="339"/>
      <c r="VNX3" s="339"/>
      <c r="VNY3" s="339"/>
      <c r="VNZ3" s="339"/>
      <c r="VOA3" s="339"/>
      <c r="VOB3" s="339"/>
      <c r="VOC3" s="339"/>
      <c r="VOD3" s="339"/>
      <c r="VOE3" s="339"/>
      <c r="VOF3" s="339"/>
      <c r="VOG3" s="339"/>
      <c r="VOH3" s="339"/>
      <c r="VOI3" s="339"/>
      <c r="VOJ3" s="339"/>
      <c r="VOK3" s="339"/>
      <c r="VOL3" s="339"/>
      <c r="VOM3" s="339"/>
      <c r="VON3" s="339"/>
      <c r="VOO3" s="339"/>
      <c r="VOP3" s="339"/>
      <c r="VOQ3" s="339"/>
      <c r="VOR3" s="339"/>
      <c r="VOS3" s="339"/>
      <c r="VOT3" s="339"/>
      <c r="VOU3" s="339"/>
      <c r="VOV3" s="339"/>
      <c r="VOW3" s="339"/>
      <c r="VOX3" s="339"/>
      <c r="VOY3" s="339"/>
      <c r="VOZ3" s="339"/>
      <c r="VPA3" s="339"/>
      <c r="VPB3" s="339"/>
      <c r="VPC3" s="339"/>
      <c r="VPD3" s="339"/>
      <c r="VPE3" s="339"/>
      <c r="VPF3" s="339"/>
      <c r="VPG3" s="339"/>
      <c r="VPH3" s="339"/>
      <c r="VPI3" s="339"/>
      <c r="VPJ3" s="339"/>
      <c r="VPK3" s="339"/>
      <c r="VPL3" s="339"/>
      <c r="VPM3" s="339"/>
      <c r="VPN3" s="339"/>
      <c r="VPO3" s="339"/>
      <c r="VPP3" s="339"/>
      <c r="VPQ3" s="339"/>
      <c r="VPR3" s="339"/>
      <c r="VPS3" s="339"/>
      <c r="VPT3" s="339"/>
      <c r="VPU3" s="339"/>
      <c r="VPV3" s="339"/>
      <c r="VPW3" s="339"/>
      <c r="VPX3" s="339"/>
      <c r="VPY3" s="339"/>
      <c r="VPZ3" s="339"/>
      <c r="VQA3" s="339"/>
      <c r="VQB3" s="339"/>
      <c r="VQC3" s="339"/>
      <c r="VQD3" s="339"/>
      <c r="VQE3" s="339"/>
      <c r="VQF3" s="339"/>
      <c r="VQG3" s="339"/>
      <c r="VQH3" s="339"/>
      <c r="VQI3" s="339"/>
      <c r="VQJ3" s="339"/>
      <c r="VQK3" s="339"/>
      <c r="VQL3" s="339"/>
      <c r="VQM3" s="339"/>
      <c r="VQN3" s="339"/>
      <c r="VQO3" s="339"/>
      <c r="VQP3" s="339"/>
      <c r="VQQ3" s="339"/>
      <c r="VQR3" s="339"/>
      <c r="VQS3" s="339"/>
      <c r="VQT3" s="339"/>
      <c r="VQU3" s="339"/>
      <c r="VQV3" s="339"/>
      <c r="VQW3" s="339"/>
      <c r="VQX3" s="339"/>
      <c r="VQY3" s="339"/>
      <c r="VQZ3" s="339"/>
      <c r="VRA3" s="339"/>
      <c r="VRB3" s="339"/>
      <c r="VRC3" s="339"/>
      <c r="VRD3" s="339"/>
      <c r="VRE3" s="339"/>
      <c r="VRF3" s="339"/>
      <c r="VRG3" s="339"/>
      <c r="VRH3" s="339"/>
      <c r="VRI3" s="339"/>
      <c r="VRJ3" s="339"/>
      <c r="VRK3" s="339"/>
      <c r="VRL3" s="339"/>
      <c r="VRM3" s="339"/>
      <c r="VRN3" s="339"/>
      <c r="VRO3" s="339"/>
      <c r="VRP3" s="339"/>
      <c r="VRQ3" s="339"/>
      <c r="VRR3" s="339"/>
      <c r="VRS3" s="339"/>
      <c r="VRT3" s="339"/>
      <c r="VRU3" s="339"/>
      <c r="VRV3" s="339"/>
      <c r="VRW3" s="339"/>
      <c r="VRX3" s="339"/>
      <c r="VRY3" s="339"/>
      <c r="VRZ3" s="339"/>
      <c r="VSA3" s="339"/>
      <c r="VSB3" s="339"/>
      <c r="VSC3" s="339"/>
      <c r="VSD3" s="339"/>
      <c r="VSE3" s="339"/>
      <c r="VSF3" s="339"/>
      <c r="VSG3" s="339"/>
      <c r="VSH3" s="339"/>
      <c r="VSI3" s="339"/>
      <c r="VSJ3" s="339"/>
      <c r="VSK3" s="339"/>
      <c r="VSL3" s="339"/>
      <c r="VSM3" s="339"/>
      <c r="VSN3" s="339"/>
      <c r="VSO3" s="339"/>
      <c r="VSP3" s="339"/>
      <c r="VSQ3" s="339"/>
      <c r="VSR3" s="339"/>
      <c r="VSS3" s="339"/>
      <c r="VST3" s="339"/>
      <c r="VSU3" s="339"/>
      <c r="VSV3" s="339"/>
      <c r="VSW3" s="339"/>
      <c r="VSX3" s="339"/>
      <c r="VSY3" s="339"/>
      <c r="VSZ3" s="339"/>
      <c r="VTA3" s="339"/>
      <c r="VTB3" s="339"/>
      <c r="VTC3" s="339"/>
      <c r="VTD3" s="339"/>
      <c r="VTE3" s="339"/>
      <c r="VTF3" s="339"/>
      <c r="VTG3" s="339"/>
      <c r="VTH3" s="339"/>
      <c r="VTI3" s="339"/>
      <c r="VTJ3" s="339"/>
      <c r="VTK3" s="339"/>
      <c r="VTL3" s="339"/>
      <c r="VTM3" s="339"/>
      <c r="VTN3" s="339"/>
      <c r="VTO3" s="339"/>
      <c r="VTP3" s="339"/>
      <c r="VTQ3" s="339"/>
      <c r="VTR3" s="339"/>
      <c r="VTS3" s="339"/>
      <c r="VTT3" s="339"/>
      <c r="VTU3" s="339"/>
      <c r="VTV3" s="339"/>
      <c r="VTW3" s="339"/>
      <c r="VTX3" s="339"/>
      <c r="VTY3" s="339"/>
      <c r="VTZ3" s="339"/>
      <c r="VUA3" s="339"/>
      <c r="VUB3" s="339"/>
      <c r="VUC3" s="339"/>
      <c r="VUD3" s="339"/>
      <c r="VUE3" s="339"/>
      <c r="VUF3" s="339"/>
      <c r="VUG3" s="339"/>
      <c r="VUH3" s="339"/>
      <c r="VUI3" s="339"/>
      <c r="VUJ3" s="339"/>
      <c r="VUK3" s="339"/>
      <c r="VUL3" s="339"/>
      <c r="VUM3" s="339"/>
      <c r="VUN3" s="339"/>
      <c r="VUO3" s="339"/>
      <c r="VUP3" s="339"/>
      <c r="VUQ3" s="339"/>
      <c r="VUR3" s="339"/>
      <c r="VUS3" s="339"/>
      <c r="VUT3" s="339"/>
      <c r="VUU3" s="339"/>
      <c r="VUV3" s="339"/>
      <c r="VUW3" s="339"/>
      <c r="VUX3" s="339"/>
      <c r="VUY3" s="339"/>
      <c r="VUZ3" s="339"/>
      <c r="VVA3" s="339"/>
      <c r="VVB3" s="339"/>
      <c r="VVC3" s="339"/>
      <c r="VVD3" s="339"/>
      <c r="VVE3" s="339"/>
      <c r="VVF3" s="339"/>
      <c r="VVG3" s="339"/>
      <c r="VVH3" s="339"/>
      <c r="VVI3" s="339"/>
      <c r="VVJ3" s="339"/>
      <c r="VVK3" s="339"/>
      <c r="VVL3" s="339"/>
      <c r="VVM3" s="339"/>
      <c r="VVN3" s="339"/>
      <c r="VVO3" s="339"/>
      <c r="VVP3" s="339"/>
      <c r="VVQ3" s="339"/>
      <c r="VVR3" s="339"/>
      <c r="VVS3" s="339"/>
      <c r="VVT3" s="339"/>
      <c r="VVU3" s="339"/>
      <c r="VVV3" s="339"/>
      <c r="VVW3" s="339"/>
      <c r="VVX3" s="339"/>
      <c r="VVY3" s="339"/>
      <c r="VVZ3" s="339"/>
      <c r="VWA3" s="339"/>
      <c r="VWB3" s="339"/>
      <c r="VWC3" s="339"/>
      <c r="VWD3" s="339"/>
      <c r="VWE3" s="339"/>
      <c r="VWF3" s="339"/>
      <c r="VWG3" s="339"/>
      <c r="VWH3" s="339"/>
      <c r="VWI3" s="339"/>
      <c r="VWJ3" s="339"/>
      <c r="VWK3" s="339"/>
      <c r="VWL3" s="339"/>
      <c r="VWM3" s="339"/>
      <c r="VWN3" s="339"/>
      <c r="VWO3" s="339"/>
      <c r="VWP3" s="339"/>
      <c r="VWQ3" s="339"/>
      <c r="VWR3" s="339"/>
      <c r="VWS3" s="339"/>
      <c r="VWT3" s="339"/>
      <c r="VWU3" s="339"/>
      <c r="VWV3" s="339"/>
      <c r="VWW3" s="339"/>
      <c r="VWX3" s="339"/>
      <c r="VWY3" s="339"/>
      <c r="VWZ3" s="339"/>
      <c r="VXA3" s="339"/>
      <c r="VXB3" s="339"/>
      <c r="VXC3" s="339"/>
      <c r="VXD3" s="339"/>
      <c r="VXE3" s="339"/>
      <c r="VXF3" s="339"/>
      <c r="VXG3" s="339"/>
      <c r="VXH3" s="339"/>
      <c r="VXI3" s="339"/>
      <c r="VXJ3" s="339"/>
      <c r="VXK3" s="339"/>
      <c r="VXL3" s="339"/>
      <c r="VXM3" s="339"/>
      <c r="VXN3" s="339"/>
      <c r="VXO3" s="339"/>
      <c r="VXP3" s="339"/>
      <c r="VXQ3" s="339"/>
      <c r="VXR3" s="339"/>
      <c r="VXS3" s="339"/>
      <c r="VXT3" s="339"/>
      <c r="VXU3" s="339"/>
      <c r="VXV3" s="339"/>
      <c r="VXW3" s="339"/>
      <c r="VXX3" s="339"/>
      <c r="VXY3" s="339"/>
      <c r="VXZ3" s="339"/>
      <c r="VYA3" s="339"/>
      <c r="VYB3" s="339"/>
      <c r="VYC3" s="339"/>
      <c r="VYD3" s="339"/>
      <c r="VYE3" s="339"/>
      <c r="VYF3" s="339"/>
      <c r="VYG3" s="339"/>
      <c r="VYH3" s="339"/>
      <c r="VYI3" s="339"/>
      <c r="VYJ3" s="339"/>
      <c r="VYK3" s="339"/>
      <c r="VYL3" s="339"/>
      <c r="VYM3" s="339"/>
      <c r="VYN3" s="339"/>
      <c r="VYO3" s="339"/>
      <c r="VYP3" s="339"/>
      <c r="VYQ3" s="339"/>
      <c r="VYR3" s="339"/>
      <c r="VYS3" s="339"/>
      <c r="VYT3" s="339"/>
      <c r="VYU3" s="339"/>
      <c r="VYV3" s="339"/>
      <c r="VYW3" s="339"/>
      <c r="VYX3" s="339"/>
      <c r="VYY3" s="339"/>
      <c r="VYZ3" s="339"/>
      <c r="VZA3" s="339"/>
      <c r="VZB3" s="339"/>
      <c r="VZC3" s="339"/>
      <c r="VZD3" s="339"/>
      <c r="VZE3" s="339"/>
      <c r="VZF3" s="339"/>
      <c r="VZG3" s="339"/>
      <c r="VZH3" s="339"/>
      <c r="VZI3" s="339"/>
      <c r="VZJ3" s="339"/>
      <c r="VZK3" s="339"/>
      <c r="VZL3" s="339"/>
      <c r="VZM3" s="339"/>
      <c r="VZN3" s="339"/>
      <c r="VZO3" s="339"/>
      <c r="VZP3" s="339"/>
      <c r="VZQ3" s="339"/>
      <c r="VZR3" s="339"/>
      <c r="VZS3" s="339"/>
      <c r="VZT3" s="339"/>
      <c r="VZU3" s="339"/>
      <c r="VZV3" s="339"/>
      <c r="VZW3" s="339"/>
      <c r="VZX3" s="339"/>
      <c r="VZY3" s="339"/>
      <c r="VZZ3" s="339"/>
      <c r="WAA3" s="339"/>
      <c r="WAB3" s="339"/>
      <c r="WAC3" s="339"/>
      <c r="WAD3" s="339"/>
      <c r="WAE3" s="339"/>
      <c r="WAF3" s="339"/>
      <c r="WAG3" s="339"/>
      <c r="WAH3" s="339"/>
      <c r="WAI3" s="339"/>
      <c r="WAJ3" s="339"/>
      <c r="WAK3" s="339"/>
      <c r="WAL3" s="339"/>
      <c r="WAM3" s="339"/>
      <c r="WAN3" s="339"/>
      <c r="WAO3" s="339"/>
      <c r="WAP3" s="339"/>
      <c r="WAQ3" s="339"/>
      <c r="WAR3" s="339"/>
      <c r="WAS3" s="339"/>
      <c r="WAT3" s="339"/>
      <c r="WAU3" s="339"/>
      <c r="WAV3" s="339"/>
      <c r="WAW3" s="339"/>
      <c r="WAX3" s="339"/>
      <c r="WAY3" s="339"/>
      <c r="WAZ3" s="339"/>
      <c r="WBA3" s="339"/>
      <c r="WBB3" s="339"/>
      <c r="WBC3" s="339"/>
      <c r="WBD3" s="339"/>
      <c r="WBE3" s="339"/>
      <c r="WBF3" s="339"/>
      <c r="WBG3" s="339"/>
      <c r="WBH3" s="339"/>
      <c r="WBI3" s="339"/>
      <c r="WBJ3" s="339"/>
      <c r="WBK3" s="339"/>
      <c r="WBL3" s="339"/>
      <c r="WBM3" s="339"/>
      <c r="WBN3" s="339"/>
      <c r="WBO3" s="339"/>
      <c r="WBP3" s="339"/>
      <c r="WBQ3" s="339"/>
      <c r="WBR3" s="339"/>
      <c r="WBS3" s="339"/>
      <c r="WBT3" s="339"/>
      <c r="WBU3" s="339"/>
      <c r="WBV3" s="339"/>
      <c r="WBW3" s="339"/>
      <c r="WBX3" s="339"/>
      <c r="WBY3" s="339"/>
      <c r="WBZ3" s="339"/>
      <c r="WCA3" s="339"/>
      <c r="WCB3" s="339"/>
      <c r="WCC3" s="339"/>
      <c r="WCD3" s="339"/>
      <c r="WCE3" s="339"/>
      <c r="WCF3" s="339"/>
      <c r="WCG3" s="339"/>
      <c r="WCH3" s="339"/>
      <c r="WCI3" s="339"/>
      <c r="WCJ3" s="339"/>
      <c r="WCK3" s="339"/>
      <c r="WCL3" s="339"/>
      <c r="WCM3" s="339"/>
      <c r="WCN3" s="339"/>
      <c r="WCO3" s="339"/>
      <c r="WCP3" s="339"/>
      <c r="WCQ3" s="339"/>
      <c r="WCR3" s="339"/>
      <c r="WCS3" s="339"/>
      <c r="WCT3" s="339"/>
      <c r="WCU3" s="339"/>
      <c r="WCV3" s="339"/>
      <c r="WCW3" s="339"/>
      <c r="WCX3" s="339"/>
      <c r="WCY3" s="339"/>
      <c r="WCZ3" s="339"/>
      <c r="WDA3" s="339"/>
      <c r="WDB3" s="339"/>
      <c r="WDC3" s="339"/>
      <c r="WDD3" s="339"/>
      <c r="WDE3" s="339"/>
      <c r="WDF3" s="339"/>
      <c r="WDG3" s="339"/>
      <c r="WDH3" s="339"/>
      <c r="WDI3" s="339"/>
      <c r="WDJ3" s="339"/>
      <c r="WDK3" s="339"/>
      <c r="WDL3" s="339"/>
      <c r="WDM3" s="339"/>
      <c r="WDN3" s="339"/>
      <c r="WDO3" s="339"/>
      <c r="WDP3" s="339"/>
      <c r="WDQ3" s="339"/>
      <c r="WDR3" s="339"/>
      <c r="WDS3" s="339"/>
      <c r="WDT3" s="339"/>
      <c r="WDU3" s="339"/>
      <c r="WDV3" s="339"/>
      <c r="WDW3" s="339"/>
      <c r="WDX3" s="339"/>
      <c r="WDY3" s="339"/>
      <c r="WDZ3" s="339"/>
      <c r="WEA3" s="339"/>
      <c r="WEB3" s="339"/>
      <c r="WEC3" s="339"/>
      <c r="WED3" s="339"/>
      <c r="WEE3" s="339"/>
      <c r="WEF3" s="339"/>
      <c r="WEG3" s="339"/>
      <c r="WEH3" s="339"/>
      <c r="WEI3" s="339"/>
      <c r="WEJ3" s="339"/>
      <c r="WEK3" s="339"/>
      <c r="WEL3" s="339"/>
      <c r="WEM3" s="339"/>
      <c r="WEN3" s="339"/>
      <c r="WEO3" s="339"/>
      <c r="WEP3" s="339"/>
      <c r="WEQ3" s="339"/>
      <c r="WER3" s="339"/>
      <c r="WES3" s="339"/>
      <c r="WET3" s="339"/>
      <c r="WEU3" s="339"/>
      <c r="WEV3" s="339"/>
      <c r="WEW3" s="339"/>
      <c r="WEX3" s="339"/>
      <c r="WEY3" s="339"/>
      <c r="WEZ3" s="339"/>
      <c r="WFA3" s="339"/>
      <c r="WFB3" s="339"/>
      <c r="WFC3" s="339"/>
      <c r="WFD3" s="339"/>
      <c r="WFE3" s="339"/>
      <c r="WFF3" s="339"/>
      <c r="WFG3" s="339"/>
      <c r="WFH3" s="339"/>
      <c r="WFI3" s="339"/>
      <c r="WFJ3" s="339"/>
      <c r="WFK3" s="339"/>
      <c r="WFL3" s="339"/>
      <c r="WFM3" s="339"/>
      <c r="WFN3" s="339"/>
      <c r="WFO3" s="339"/>
      <c r="WFP3" s="339"/>
      <c r="WFQ3" s="339"/>
      <c r="WFR3" s="339"/>
      <c r="WFS3" s="339"/>
      <c r="WFT3" s="339"/>
      <c r="WFU3" s="339"/>
      <c r="WFV3" s="339"/>
      <c r="WFW3" s="339"/>
      <c r="WFX3" s="339"/>
      <c r="WFY3" s="339"/>
      <c r="WFZ3" s="339"/>
      <c r="WGA3" s="339"/>
      <c r="WGB3" s="339"/>
      <c r="WGC3" s="339"/>
      <c r="WGD3" s="339"/>
      <c r="WGE3" s="339"/>
      <c r="WGF3" s="339"/>
      <c r="WGG3" s="339"/>
      <c r="WGH3" s="339"/>
      <c r="WGI3" s="339"/>
      <c r="WGJ3" s="339"/>
      <c r="WGK3" s="339"/>
      <c r="WGL3" s="339"/>
      <c r="WGM3" s="339"/>
      <c r="WGN3" s="339"/>
      <c r="WGO3" s="339"/>
      <c r="WGP3" s="339"/>
      <c r="WGQ3" s="339"/>
      <c r="WGR3" s="339"/>
      <c r="WGS3" s="339"/>
      <c r="WGT3" s="339"/>
      <c r="WGU3" s="339"/>
      <c r="WGV3" s="339"/>
      <c r="WGW3" s="339"/>
      <c r="WGX3" s="339"/>
      <c r="WGY3" s="339"/>
      <c r="WGZ3" s="339"/>
      <c r="WHA3" s="339"/>
      <c r="WHB3" s="339"/>
      <c r="WHC3" s="339"/>
      <c r="WHD3" s="339"/>
      <c r="WHE3" s="339"/>
      <c r="WHF3" s="339"/>
      <c r="WHG3" s="339"/>
      <c r="WHH3" s="339"/>
      <c r="WHI3" s="339"/>
      <c r="WHJ3" s="339"/>
      <c r="WHK3" s="339"/>
      <c r="WHL3" s="339"/>
      <c r="WHM3" s="339"/>
      <c r="WHN3" s="339"/>
      <c r="WHO3" s="339"/>
      <c r="WHP3" s="339"/>
      <c r="WHQ3" s="339"/>
      <c r="WHR3" s="339"/>
      <c r="WHS3" s="339"/>
      <c r="WHT3" s="339"/>
      <c r="WHU3" s="339"/>
      <c r="WHV3" s="339"/>
      <c r="WHW3" s="339"/>
      <c r="WHX3" s="339"/>
      <c r="WHY3" s="339"/>
      <c r="WHZ3" s="339"/>
      <c r="WIA3" s="339"/>
      <c r="WIB3" s="339"/>
      <c r="WIC3" s="339"/>
      <c r="WID3" s="339"/>
      <c r="WIE3" s="339"/>
      <c r="WIF3" s="339"/>
      <c r="WIG3" s="339"/>
      <c r="WIH3" s="339"/>
      <c r="WII3" s="339"/>
      <c r="WIJ3" s="339"/>
      <c r="WIK3" s="339"/>
      <c r="WIL3" s="339"/>
      <c r="WIM3" s="339"/>
      <c r="WIN3" s="339"/>
      <c r="WIO3" s="339"/>
      <c r="WIP3" s="339"/>
      <c r="WIQ3" s="339"/>
      <c r="WIR3" s="339"/>
      <c r="WIS3" s="339"/>
      <c r="WIT3" s="339"/>
      <c r="WIU3" s="339"/>
      <c r="WIV3" s="339"/>
      <c r="WIW3" s="339"/>
      <c r="WIX3" s="339"/>
      <c r="WIY3" s="339"/>
      <c r="WIZ3" s="339"/>
      <c r="WJA3" s="339"/>
      <c r="WJB3" s="339"/>
      <c r="WJC3" s="339"/>
      <c r="WJD3" s="339"/>
      <c r="WJE3" s="339"/>
      <c r="WJF3" s="339"/>
      <c r="WJG3" s="339"/>
      <c r="WJH3" s="339"/>
      <c r="WJI3" s="339"/>
      <c r="WJJ3" s="339"/>
      <c r="WJK3" s="339"/>
      <c r="WJL3" s="339"/>
      <c r="WJM3" s="339"/>
      <c r="WJN3" s="339"/>
      <c r="WJO3" s="339"/>
      <c r="WJP3" s="339"/>
      <c r="WJQ3" s="339"/>
      <c r="WJR3" s="339"/>
      <c r="WJS3" s="339"/>
      <c r="WJT3" s="339"/>
      <c r="WJU3" s="339"/>
      <c r="WJV3" s="339"/>
      <c r="WJW3" s="339"/>
      <c r="WJX3" s="339"/>
      <c r="WJY3" s="339"/>
      <c r="WJZ3" s="339"/>
      <c r="WKA3" s="339"/>
      <c r="WKB3" s="339"/>
      <c r="WKC3" s="339"/>
      <c r="WKD3" s="339"/>
      <c r="WKE3" s="339"/>
      <c r="WKF3" s="339"/>
      <c r="WKG3" s="339"/>
      <c r="WKH3" s="339"/>
      <c r="WKI3" s="339"/>
      <c r="WKJ3" s="339"/>
      <c r="WKK3" s="339"/>
      <c r="WKL3" s="339"/>
      <c r="WKM3" s="339"/>
      <c r="WKN3" s="339"/>
      <c r="WKO3" s="339"/>
      <c r="WKP3" s="339"/>
      <c r="WKQ3" s="339"/>
      <c r="WKR3" s="339"/>
      <c r="WKS3" s="339"/>
      <c r="WKT3" s="339"/>
      <c r="WKU3" s="339"/>
      <c r="WKV3" s="339"/>
      <c r="WKW3" s="339"/>
      <c r="WKX3" s="339"/>
      <c r="WKY3" s="339"/>
      <c r="WKZ3" s="339"/>
      <c r="WLA3" s="339"/>
      <c r="WLB3" s="339"/>
      <c r="WLC3" s="339"/>
      <c r="WLD3" s="339"/>
      <c r="WLE3" s="339"/>
      <c r="WLF3" s="339"/>
      <c r="WLG3" s="339"/>
      <c r="WLH3" s="339"/>
      <c r="WLI3" s="339"/>
      <c r="WLJ3" s="339"/>
      <c r="WLK3" s="339"/>
      <c r="WLL3" s="339"/>
      <c r="WLM3" s="339"/>
      <c r="WLN3" s="339"/>
      <c r="WLO3" s="339"/>
      <c r="WLP3" s="339"/>
      <c r="WLQ3" s="339"/>
      <c r="WLR3" s="339"/>
      <c r="WLS3" s="339"/>
      <c r="WLT3" s="339"/>
      <c r="WLU3" s="339"/>
      <c r="WLV3" s="339"/>
      <c r="WLW3" s="339"/>
      <c r="WLX3" s="339"/>
      <c r="WLY3" s="339"/>
      <c r="WLZ3" s="339"/>
      <c r="WMA3" s="339"/>
      <c r="WMB3" s="339"/>
      <c r="WMC3" s="339"/>
      <c r="WMD3" s="339"/>
      <c r="WME3" s="339"/>
      <c r="WMF3" s="339"/>
      <c r="WMG3" s="339"/>
      <c r="WMH3" s="339"/>
      <c r="WMI3" s="339"/>
      <c r="WMJ3" s="339"/>
      <c r="WMK3" s="339"/>
      <c r="WML3" s="339"/>
      <c r="WMM3" s="339"/>
      <c r="WMN3" s="339"/>
      <c r="WMO3" s="339"/>
      <c r="WMP3" s="339"/>
      <c r="WMQ3" s="339"/>
      <c r="WMR3" s="339"/>
      <c r="WMS3" s="339"/>
      <c r="WMT3" s="339"/>
      <c r="WMU3" s="339"/>
      <c r="WMV3" s="339"/>
      <c r="WMW3" s="339"/>
      <c r="WMX3" s="339"/>
      <c r="WMY3" s="339"/>
      <c r="WMZ3" s="339"/>
      <c r="WNA3" s="339"/>
      <c r="WNB3" s="339"/>
      <c r="WNC3" s="339"/>
      <c r="WND3" s="339"/>
      <c r="WNE3" s="339"/>
      <c r="WNF3" s="339"/>
      <c r="WNG3" s="339"/>
      <c r="WNH3" s="339"/>
      <c r="WNI3" s="339"/>
      <c r="WNJ3" s="339"/>
      <c r="WNK3" s="339"/>
      <c r="WNL3" s="339"/>
      <c r="WNM3" s="339"/>
      <c r="WNN3" s="339"/>
      <c r="WNO3" s="339"/>
      <c r="WNP3" s="339"/>
      <c r="WNQ3" s="339"/>
      <c r="WNR3" s="339"/>
      <c r="WNS3" s="339"/>
      <c r="WNT3" s="339"/>
      <c r="WNU3" s="339"/>
      <c r="WNV3" s="339"/>
      <c r="WNW3" s="339"/>
      <c r="WNX3" s="339"/>
      <c r="WNY3" s="339"/>
      <c r="WNZ3" s="339"/>
      <c r="WOA3" s="339"/>
      <c r="WOB3" s="339"/>
      <c r="WOC3" s="339"/>
      <c r="WOD3" s="339"/>
      <c r="WOE3" s="339"/>
      <c r="WOF3" s="339"/>
      <c r="WOG3" s="339"/>
      <c r="WOH3" s="339"/>
      <c r="WOI3" s="339"/>
      <c r="WOJ3" s="339"/>
      <c r="WOK3" s="339"/>
      <c r="WOL3" s="339"/>
      <c r="WOM3" s="339"/>
      <c r="WON3" s="339"/>
      <c r="WOO3" s="339"/>
      <c r="WOP3" s="339"/>
      <c r="WOQ3" s="339"/>
      <c r="WOR3" s="339"/>
      <c r="WOS3" s="339"/>
      <c r="WOT3" s="339"/>
      <c r="WOU3" s="339"/>
      <c r="WOV3" s="339"/>
      <c r="WOW3" s="339"/>
      <c r="WOX3" s="339"/>
      <c r="WOY3" s="339"/>
      <c r="WOZ3" s="339"/>
      <c r="WPA3" s="339"/>
      <c r="WPB3" s="339"/>
      <c r="WPC3" s="339"/>
      <c r="WPD3" s="339"/>
      <c r="WPE3" s="339"/>
      <c r="WPF3" s="339"/>
      <c r="WPG3" s="339"/>
      <c r="WPH3" s="339"/>
      <c r="WPI3" s="339"/>
      <c r="WPJ3" s="339"/>
      <c r="WPK3" s="339"/>
      <c r="WPL3" s="339"/>
      <c r="WPM3" s="339"/>
      <c r="WPN3" s="339"/>
      <c r="WPO3" s="339"/>
      <c r="WPP3" s="339"/>
      <c r="WPQ3" s="339"/>
      <c r="WPR3" s="339"/>
      <c r="WPS3" s="339"/>
      <c r="WPT3" s="339"/>
      <c r="WPU3" s="339"/>
      <c r="WPV3" s="339"/>
      <c r="WPW3" s="339"/>
      <c r="WPX3" s="339"/>
      <c r="WPY3" s="339"/>
      <c r="WPZ3" s="339"/>
      <c r="WQA3" s="339"/>
      <c r="WQB3" s="339"/>
      <c r="WQC3" s="339"/>
      <c r="WQD3" s="339"/>
      <c r="WQE3" s="339"/>
      <c r="WQF3" s="339"/>
      <c r="WQG3" s="339"/>
      <c r="WQH3" s="339"/>
      <c r="WQI3" s="339"/>
      <c r="WQJ3" s="339"/>
      <c r="WQK3" s="339"/>
      <c r="WQL3" s="339"/>
      <c r="WQM3" s="339"/>
      <c r="WQN3" s="339"/>
      <c r="WQO3" s="339"/>
      <c r="WQP3" s="339"/>
      <c r="WQQ3" s="339"/>
      <c r="WQR3" s="339"/>
      <c r="WQS3" s="339"/>
      <c r="WQT3" s="339"/>
      <c r="WQU3" s="339"/>
      <c r="WQV3" s="339"/>
      <c r="WQW3" s="339"/>
      <c r="WQX3" s="339"/>
      <c r="WQY3" s="339"/>
      <c r="WQZ3" s="339"/>
      <c r="WRA3" s="339"/>
      <c r="WRB3" s="339"/>
      <c r="WRC3" s="339"/>
      <c r="WRD3" s="339"/>
      <c r="WRE3" s="339"/>
      <c r="WRF3" s="339"/>
      <c r="WRG3" s="339"/>
      <c r="WRH3" s="339"/>
      <c r="WRI3" s="339"/>
      <c r="WRJ3" s="339"/>
      <c r="WRK3" s="339"/>
      <c r="WRL3" s="339"/>
      <c r="WRM3" s="339"/>
      <c r="WRN3" s="339"/>
      <c r="WRO3" s="339"/>
      <c r="WRP3" s="339"/>
      <c r="WRQ3" s="339"/>
      <c r="WRR3" s="339"/>
      <c r="WRS3" s="339"/>
      <c r="WRT3" s="339"/>
      <c r="WRU3" s="339"/>
      <c r="WRV3" s="339"/>
      <c r="WRW3" s="339"/>
      <c r="WRX3" s="339"/>
      <c r="WRY3" s="339"/>
      <c r="WRZ3" s="339"/>
      <c r="WSA3" s="339"/>
      <c r="WSB3" s="339"/>
      <c r="WSC3" s="339"/>
      <c r="WSD3" s="339"/>
      <c r="WSE3" s="339"/>
      <c r="WSF3" s="339"/>
      <c r="WSG3" s="339"/>
      <c r="WSH3" s="339"/>
      <c r="WSI3" s="339"/>
      <c r="WSJ3" s="339"/>
      <c r="WSK3" s="339"/>
      <c r="WSL3" s="339"/>
      <c r="WSM3" s="339"/>
      <c r="WSN3" s="339"/>
      <c r="WSO3" s="339"/>
      <c r="WSP3" s="339"/>
      <c r="WSQ3" s="339"/>
      <c r="WSR3" s="339"/>
      <c r="WSS3" s="339"/>
      <c r="WST3" s="339"/>
      <c r="WSU3" s="339"/>
      <c r="WSV3" s="339"/>
      <c r="WSW3" s="339"/>
      <c r="WSX3" s="339"/>
      <c r="WSY3" s="339"/>
      <c r="WSZ3" s="339"/>
      <c r="WTA3" s="339"/>
      <c r="WTB3" s="339"/>
      <c r="WTC3" s="339"/>
      <c r="WTD3" s="339"/>
      <c r="WTE3" s="339"/>
      <c r="WTF3" s="339"/>
      <c r="WTG3" s="339"/>
      <c r="WTH3" s="339"/>
      <c r="WTI3" s="339"/>
      <c r="WTJ3" s="339"/>
      <c r="WTK3" s="339"/>
      <c r="WTL3" s="339"/>
      <c r="WTM3" s="339"/>
      <c r="WTN3" s="339"/>
      <c r="WTO3" s="339"/>
      <c r="WTP3" s="339"/>
      <c r="WTQ3" s="339"/>
      <c r="WTR3" s="339"/>
      <c r="WTS3" s="339"/>
      <c r="WTT3" s="339"/>
      <c r="WTU3" s="339"/>
      <c r="WTV3" s="339"/>
      <c r="WTW3" s="339"/>
      <c r="WTX3" s="339"/>
      <c r="WTY3" s="339"/>
      <c r="WTZ3" s="339"/>
      <c r="WUA3" s="339"/>
      <c r="WUB3" s="339"/>
      <c r="WUC3" s="339"/>
      <c r="WUD3" s="339"/>
      <c r="WUE3" s="339"/>
      <c r="WUF3" s="339"/>
      <c r="WUG3" s="339"/>
      <c r="WUH3" s="339"/>
      <c r="WUI3" s="339"/>
      <c r="WUJ3" s="339"/>
      <c r="WUK3" s="339"/>
      <c r="WUL3" s="339"/>
      <c r="WUM3" s="339"/>
      <c r="WUN3" s="339"/>
      <c r="WUO3" s="339"/>
      <c r="WUP3" s="339"/>
      <c r="WUQ3" s="339"/>
      <c r="WUR3" s="339"/>
      <c r="WUS3" s="339"/>
      <c r="WUT3" s="339"/>
      <c r="WUU3" s="339"/>
      <c r="WUV3" s="339"/>
      <c r="WUW3" s="339"/>
      <c r="WUX3" s="339"/>
      <c r="WUY3" s="339"/>
      <c r="WUZ3" s="339"/>
      <c r="WVA3" s="339"/>
      <c r="WVB3" s="339"/>
      <c r="WVC3" s="339"/>
      <c r="WVD3" s="339"/>
      <c r="WVE3" s="339"/>
      <c r="WVF3" s="339"/>
      <c r="WVG3" s="339"/>
      <c r="WVH3" s="339"/>
      <c r="WVI3" s="339"/>
      <c r="WVJ3" s="339"/>
      <c r="WVK3" s="339"/>
      <c r="WVL3" s="339"/>
      <c r="WVM3" s="339"/>
      <c r="WVN3" s="339"/>
      <c r="WVO3" s="339"/>
      <c r="WVP3" s="339"/>
      <c r="WVQ3" s="339"/>
      <c r="WVR3" s="339"/>
      <c r="WVS3" s="339"/>
      <c r="WVT3" s="339"/>
      <c r="WVU3" s="339"/>
      <c r="WVV3" s="339"/>
      <c r="WVW3" s="339"/>
      <c r="WVX3" s="339"/>
      <c r="WVY3" s="339"/>
      <c r="WVZ3" s="339"/>
      <c r="WWA3" s="339"/>
      <c r="WWB3" s="339"/>
      <c r="WWC3" s="339"/>
      <c r="WWD3" s="339"/>
      <c r="WWE3" s="339"/>
      <c r="WWF3" s="339"/>
      <c r="WWG3" s="339"/>
      <c r="WWH3" s="339"/>
      <c r="WWI3" s="339"/>
      <c r="WWJ3" s="339"/>
      <c r="WWK3" s="339"/>
      <c r="WWL3" s="339"/>
      <c r="WWM3" s="339"/>
      <c r="WWN3" s="339"/>
      <c r="WWO3" s="339"/>
      <c r="WWP3" s="339"/>
      <c r="WWQ3" s="339"/>
      <c r="WWR3" s="339"/>
      <c r="WWS3" s="339"/>
      <c r="WWT3" s="339"/>
      <c r="WWU3" s="339"/>
      <c r="WWV3" s="339"/>
      <c r="WWW3" s="339"/>
      <c r="WWX3" s="339"/>
      <c r="WWY3" s="339"/>
      <c r="WWZ3" s="339"/>
      <c r="WXA3" s="339"/>
      <c r="WXB3" s="339"/>
      <c r="WXC3" s="339"/>
      <c r="WXD3" s="339"/>
      <c r="WXE3" s="339"/>
      <c r="WXF3" s="339"/>
      <c r="WXG3" s="339"/>
      <c r="WXH3" s="339"/>
      <c r="WXI3" s="339"/>
      <c r="WXJ3" s="339"/>
      <c r="WXK3" s="339"/>
      <c r="WXL3" s="339"/>
      <c r="WXM3" s="339"/>
      <c r="WXN3" s="339"/>
      <c r="WXO3" s="339"/>
      <c r="WXP3" s="339"/>
      <c r="WXQ3" s="339"/>
      <c r="WXR3" s="339"/>
      <c r="WXS3" s="339"/>
      <c r="WXT3" s="339"/>
      <c r="WXU3" s="339"/>
      <c r="WXV3" s="339"/>
      <c r="WXW3" s="339"/>
      <c r="WXX3" s="339"/>
      <c r="WXY3" s="339"/>
      <c r="WXZ3" s="339"/>
      <c r="WYA3" s="339"/>
      <c r="WYB3" s="339"/>
      <c r="WYC3" s="339"/>
      <c r="WYD3" s="339"/>
      <c r="WYE3" s="339"/>
      <c r="WYF3" s="339"/>
      <c r="WYG3" s="339"/>
      <c r="WYH3" s="339"/>
      <c r="WYI3" s="339"/>
      <c r="WYJ3" s="339"/>
      <c r="WYK3" s="339"/>
      <c r="WYL3" s="339"/>
      <c r="WYM3" s="339"/>
      <c r="WYN3" s="339"/>
      <c r="WYO3" s="339"/>
      <c r="WYP3" s="339"/>
      <c r="WYQ3" s="339"/>
      <c r="WYR3" s="339"/>
      <c r="WYS3" s="339"/>
      <c r="WYT3" s="339"/>
      <c r="WYU3" s="339"/>
      <c r="WYV3" s="339"/>
      <c r="WYW3" s="339"/>
      <c r="WYX3" s="339"/>
      <c r="WYY3" s="339"/>
      <c r="WYZ3" s="339"/>
      <c r="WZA3" s="339"/>
      <c r="WZB3" s="339"/>
      <c r="WZC3" s="339"/>
      <c r="WZD3" s="339"/>
      <c r="WZE3" s="339"/>
      <c r="WZF3" s="339"/>
      <c r="WZG3" s="339"/>
      <c r="WZH3" s="339"/>
      <c r="WZI3" s="339"/>
      <c r="WZJ3" s="339"/>
      <c r="WZK3" s="339"/>
      <c r="WZL3" s="339"/>
      <c r="WZM3" s="339"/>
      <c r="WZN3" s="339"/>
      <c r="WZO3" s="339"/>
      <c r="WZP3" s="339"/>
      <c r="WZQ3" s="339"/>
      <c r="WZR3" s="339"/>
      <c r="WZS3" s="339"/>
      <c r="WZT3" s="339"/>
      <c r="WZU3" s="339"/>
      <c r="WZV3" s="339"/>
      <c r="WZW3" s="339"/>
      <c r="WZX3" s="339"/>
      <c r="WZY3" s="339"/>
      <c r="WZZ3" s="339"/>
      <c r="XAA3" s="339"/>
      <c r="XAB3" s="339"/>
      <c r="XAC3" s="339"/>
      <c r="XAD3" s="339"/>
      <c r="XAE3" s="339"/>
      <c r="XAF3" s="339"/>
      <c r="XAG3" s="339"/>
      <c r="XAH3" s="339"/>
      <c r="XAI3" s="339"/>
      <c r="XAJ3" s="339"/>
      <c r="XAK3" s="339"/>
      <c r="XAL3" s="339"/>
      <c r="XAM3" s="339"/>
      <c r="XAN3" s="339"/>
      <c r="XAO3" s="339"/>
      <c r="XAP3" s="339"/>
      <c r="XAQ3" s="339"/>
      <c r="XAR3" s="339"/>
      <c r="XAS3" s="339"/>
      <c r="XAT3" s="339"/>
      <c r="XAU3" s="339"/>
      <c r="XAV3" s="339"/>
      <c r="XAW3" s="339"/>
      <c r="XAX3" s="339"/>
      <c r="XAY3" s="339"/>
      <c r="XAZ3" s="339"/>
      <c r="XBA3" s="339"/>
      <c r="XBB3" s="339"/>
      <c r="XBC3" s="339"/>
      <c r="XBD3" s="339"/>
      <c r="XBE3" s="339"/>
      <c r="XBF3" s="339"/>
      <c r="XBG3" s="339"/>
      <c r="XBH3" s="339"/>
      <c r="XBI3" s="339"/>
      <c r="XBJ3" s="339"/>
      <c r="XBK3" s="339"/>
      <c r="XBL3" s="339"/>
      <c r="XBM3" s="339"/>
      <c r="XBN3" s="339"/>
      <c r="XBO3" s="339"/>
      <c r="XBP3" s="339"/>
      <c r="XBQ3" s="339"/>
      <c r="XBR3" s="339"/>
      <c r="XBS3" s="339"/>
      <c r="XBT3" s="339"/>
      <c r="XBU3" s="339"/>
      <c r="XBV3" s="339"/>
      <c r="XBW3" s="339"/>
      <c r="XBX3" s="339"/>
      <c r="XBY3" s="339"/>
      <c r="XBZ3" s="339"/>
      <c r="XCA3" s="339"/>
      <c r="XCB3" s="339"/>
      <c r="XCC3" s="339"/>
      <c r="XCD3" s="339"/>
      <c r="XCE3" s="339"/>
      <c r="XCF3" s="339"/>
      <c r="XCG3" s="339"/>
      <c r="XCH3" s="339"/>
      <c r="XCI3" s="339"/>
      <c r="XCJ3" s="339"/>
      <c r="XCK3" s="339"/>
      <c r="XCL3" s="339"/>
      <c r="XCM3" s="339"/>
      <c r="XCN3" s="339"/>
      <c r="XCO3" s="339"/>
      <c r="XCP3" s="339"/>
      <c r="XCQ3" s="339"/>
      <c r="XCR3" s="339"/>
      <c r="XCS3" s="339"/>
      <c r="XCT3" s="339"/>
      <c r="XCU3" s="339"/>
      <c r="XCV3" s="339"/>
      <c r="XCW3" s="339"/>
      <c r="XCX3" s="339"/>
      <c r="XCY3" s="339"/>
      <c r="XCZ3" s="339"/>
      <c r="XDA3" s="339"/>
      <c r="XDB3" s="339"/>
      <c r="XDC3" s="339"/>
      <c r="XDD3" s="339"/>
      <c r="XDE3" s="339"/>
      <c r="XDF3" s="339"/>
      <c r="XDG3" s="339"/>
      <c r="XDH3" s="339"/>
      <c r="XDI3" s="339"/>
      <c r="XDJ3" s="339"/>
      <c r="XDK3" s="339"/>
      <c r="XDL3" s="339"/>
      <c r="XDM3" s="339"/>
      <c r="XDN3" s="339"/>
      <c r="XDO3" s="339"/>
      <c r="XDP3" s="339"/>
      <c r="XDQ3" s="339"/>
      <c r="XDR3" s="339"/>
      <c r="XDS3" s="339"/>
      <c r="XDT3" s="339"/>
      <c r="XDU3" s="339"/>
      <c r="XDV3" s="339"/>
      <c r="XDW3" s="339"/>
      <c r="XDX3" s="339"/>
      <c r="XDY3" s="339"/>
      <c r="XDZ3" s="339"/>
      <c r="XEA3" s="339"/>
      <c r="XEB3" s="339"/>
      <c r="XEC3" s="339"/>
      <c r="XED3" s="339"/>
      <c r="XEE3" s="339"/>
      <c r="XEF3" s="339"/>
      <c r="XEG3" s="339"/>
      <c r="XEH3" s="339"/>
      <c r="XEI3" s="339"/>
      <c r="XEJ3" s="339"/>
      <c r="XEK3" s="339"/>
      <c r="XEL3" s="339"/>
      <c r="XEM3" s="339"/>
      <c r="XEN3" s="339"/>
      <c r="XEO3" s="339"/>
      <c r="XEP3" s="339"/>
      <c r="XEQ3" s="339"/>
      <c r="XER3" s="339"/>
      <c r="XES3" s="339"/>
      <c r="XET3" s="339"/>
      <c r="XEU3" s="339"/>
      <c r="XEV3" s="339"/>
      <c r="XEW3" s="339"/>
      <c r="XEX3" s="339"/>
      <c r="XEY3" s="339"/>
      <c r="XEZ3" s="339"/>
      <c r="XFA3" s="339"/>
      <c r="XFB3" s="339"/>
      <c r="XFC3" s="339"/>
      <c r="XFD3" s="339"/>
    </row>
    <row r="4" spans="1:16384">
      <c r="B4" s="339">
        <f>SUBTOTAL(9,B6:B467)</f>
        <v>492348</v>
      </c>
      <c r="C4" s="339">
        <f>SUBTOTAL(9,C6:C470)</f>
        <v>934247</v>
      </c>
      <c r="D4" s="339">
        <f>SUBTOTAL(9,D6:D470)</f>
        <v>441899</v>
      </c>
      <c r="E4" s="339">
        <f t="shared" ref="E4" si="0">SUBTOTAL(9,E6:E470)</f>
        <v>438830</v>
      </c>
      <c r="F4" s="339">
        <f>SUBTOTAL(9,F6:F470)</f>
        <v>5311</v>
      </c>
      <c r="G4" s="373"/>
      <c r="H4" s="373"/>
    </row>
    <row r="5" spans="1:16384" s="448" customFormat="1" ht="38.25" customHeight="1">
      <c r="A5" s="445" t="s">
        <v>103</v>
      </c>
      <c r="B5" s="446" t="s">
        <v>632</v>
      </c>
      <c r="C5" s="446" t="s">
        <v>633</v>
      </c>
      <c r="D5" s="445" t="s">
        <v>634</v>
      </c>
      <c r="E5" s="447" t="s">
        <v>635</v>
      </c>
      <c r="F5" s="447" t="s">
        <v>636</v>
      </c>
    </row>
    <row r="6" spans="1:16384">
      <c r="A6" s="174">
        <v>69717</v>
      </c>
      <c r="B6" s="313">
        <v>7669</v>
      </c>
      <c r="C6" s="313">
        <f>4662+7669</f>
        <v>12331</v>
      </c>
      <c r="D6" s="325">
        <f>C6-B6</f>
        <v>4662</v>
      </c>
      <c r="E6" s="444">
        <v>4662</v>
      </c>
      <c r="F6" s="444"/>
      <c r="G6" s="373">
        <f>+D6-E6-F6</f>
        <v>0</v>
      </c>
    </row>
    <row r="7" spans="1:16384" hidden="1">
      <c r="A7" s="174">
        <v>73738</v>
      </c>
      <c r="B7" s="313">
        <v>0</v>
      </c>
      <c r="C7" s="313">
        <v>0</v>
      </c>
      <c r="D7" s="325">
        <f t="shared" ref="D7:D70" si="1">C7-B7</f>
        <v>0</v>
      </c>
      <c r="E7" s="312"/>
      <c r="F7" s="312"/>
      <c r="G7" s="373">
        <f t="shared" ref="G7:G70" si="2">+D7-E7-F7</f>
        <v>0</v>
      </c>
    </row>
    <row r="8" spans="1:16384" hidden="1">
      <c r="A8" s="174">
        <v>73736</v>
      </c>
      <c r="B8" s="313">
        <v>0</v>
      </c>
      <c r="C8" s="313">
        <v>0</v>
      </c>
      <c r="D8" s="325">
        <f t="shared" si="1"/>
        <v>0</v>
      </c>
      <c r="E8" s="312"/>
      <c r="F8" s="312"/>
      <c r="G8" s="373">
        <f t="shared" si="2"/>
        <v>0</v>
      </c>
    </row>
    <row r="9" spans="1:16384" hidden="1">
      <c r="A9" s="174">
        <v>73746</v>
      </c>
      <c r="B9" s="313">
        <v>0</v>
      </c>
      <c r="C9" s="313">
        <v>0</v>
      </c>
      <c r="D9" s="325">
        <f t="shared" si="1"/>
        <v>0</v>
      </c>
      <c r="E9" s="312"/>
      <c r="F9" s="312"/>
      <c r="G9" s="373">
        <f t="shared" si="2"/>
        <v>0</v>
      </c>
    </row>
    <row r="10" spans="1:16384" hidden="1">
      <c r="A10" s="174">
        <v>74211</v>
      </c>
      <c r="B10" s="313">
        <v>3960</v>
      </c>
      <c r="C10" s="313">
        <v>3960</v>
      </c>
      <c r="D10" s="325">
        <f t="shared" si="1"/>
        <v>0</v>
      </c>
      <c r="E10" s="312"/>
      <c r="F10" s="312"/>
      <c r="G10" s="373">
        <f t="shared" si="2"/>
        <v>0</v>
      </c>
    </row>
    <row r="11" spans="1:16384">
      <c r="A11" s="174">
        <v>2072</v>
      </c>
      <c r="B11" s="313">
        <v>128966</v>
      </c>
      <c r="C11" s="313">
        <v>142225</v>
      </c>
      <c r="D11" s="325">
        <f t="shared" si="1"/>
        <v>13259</v>
      </c>
      <c r="E11" s="444">
        <v>13259</v>
      </c>
      <c r="F11" s="444"/>
      <c r="G11" s="373">
        <f t="shared" si="2"/>
        <v>0</v>
      </c>
    </row>
    <row r="12" spans="1:16384" hidden="1">
      <c r="A12" s="174" t="s">
        <v>186</v>
      </c>
      <c r="B12" s="313">
        <v>89849</v>
      </c>
      <c r="C12" s="313">
        <v>89849</v>
      </c>
      <c r="D12" s="325">
        <f t="shared" si="1"/>
        <v>0</v>
      </c>
      <c r="E12" s="312"/>
      <c r="F12" s="312"/>
      <c r="G12" s="373">
        <f t="shared" si="2"/>
        <v>0</v>
      </c>
    </row>
    <row r="13" spans="1:16384">
      <c r="A13" s="174" t="s">
        <v>187</v>
      </c>
      <c r="B13" s="313">
        <v>45371</v>
      </c>
      <c r="C13" s="313">
        <v>45884</v>
      </c>
      <c r="D13" s="325">
        <f t="shared" si="1"/>
        <v>513</v>
      </c>
      <c r="E13" s="444">
        <v>513</v>
      </c>
      <c r="F13" s="444"/>
      <c r="G13" s="373">
        <f t="shared" si="2"/>
        <v>0</v>
      </c>
    </row>
    <row r="14" spans="1:16384" hidden="1">
      <c r="A14" s="174">
        <v>73640</v>
      </c>
      <c r="B14" s="313">
        <v>0</v>
      </c>
      <c r="C14" s="313">
        <v>0</v>
      </c>
      <c r="D14" s="325">
        <f t="shared" si="1"/>
        <v>0</v>
      </c>
      <c r="E14" s="312"/>
      <c r="F14" s="312"/>
      <c r="G14" s="373">
        <f t="shared" si="2"/>
        <v>0</v>
      </c>
    </row>
    <row r="15" spans="1:16384" hidden="1">
      <c r="A15" s="174">
        <v>7285</v>
      </c>
      <c r="B15" s="313">
        <v>0</v>
      </c>
      <c r="C15" s="313">
        <v>0</v>
      </c>
      <c r="D15" s="325">
        <f t="shared" si="1"/>
        <v>0</v>
      </c>
      <c r="E15" s="312"/>
      <c r="F15" s="312"/>
      <c r="G15" s="373">
        <f t="shared" si="2"/>
        <v>0</v>
      </c>
    </row>
    <row r="16" spans="1:16384" hidden="1">
      <c r="A16" s="174">
        <v>79708</v>
      </c>
      <c r="B16" s="313">
        <v>0</v>
      </c>
      <c r="C16" s="313">
        <v>0</v>
      </c>
      <c r="D16" s="325">
        <f t="shared" si="1"/>
        <v>0</v>
      </c>
      <c r="E16" s="312"/>
      <c r="F16" s="312"/>
      <c r="G16" s="373">
        <f t="shared" si="2"/>
        <v>0</v>
      </c>
    </row>
    <row r="17" spans="1:7" hidden="1">
      <c r="A17" s="174">
        <v>100001596</v>
      </c>
      <c r="B17" s="313">
        <v>0</v>
      </c>
      <c r="C17" s="313">
        <v>0</v>
      </c>
      <c r="D17" s="325">
        <f t="shared" si="1"/>
        <v>0</v>
      </c>
      <c r="E17" s="312"/>
      <c r="F17" s="312"/>
      <c r="G17" s="373">
        <f t="shared" si="2"/>
        <v>0</v>
      </c>
    </row>
    <row r="18" spans="1:7" hidden="1">
      <c r="A18" s="174">
        <v>100002317</v>
      </c>
      <c r="B18" s="313">
        <v>0</v>
      </c>
      <c r="C18" s="313">
        <v>0</v>
      </c>
      <c r="D18" s="325">
        <f t="shared" si="1"/>
        <v>0</v>
      </c>
      <c r="E18" s="312"/>
      <c r="F18" s="312"/>
      <c r="G18" s="373">
        <f t="shared" si="2"/>
        <v>0</v>
      </c>
    </row>
    <row r="19" spans="1:7" hidden="1">
      <c r="A19" s="174">
        <v>100001323</v>
      </c>
      <c r="B19" s="313">
        <v>0</v>
      </c>
      <c r="C19" s="313">
        <v>0</v>
      </c>
      <c r="D19" s="325">
        <f t="shared" si="1"/>
        <v>0</v>
      </c>
      <c r="E19" s="312"/>
      <c r="F19" s="312"/>
      <c r="G19" s="373">
        <f t="shared" si="2"/>
        <v>0</v>
      </c>
    </row>
    <row r="20" spans="1:7" hidden="1">
      <c r="A20" s="174">
        <v>100004407</v>
      </c>
      <c r="B20" s="313">
        <v>14942</v>
      </c>
      <c r="C20" s="313">
        <v>14942</v>
      </c>
      <c r="D20" s="325">
        <f t="shared" si="1"/>
        <v>0</v>
      </c>
      <c r="E20" s="312"/>
      <c r="F20" s="312"/>
      <c r="G20" s="373">
        <f t="shared" si="2"/>
        <v>0</v>
      </c>
    </row>
    <row r="21" spans="1:7" hidden="1">
      <c r="A21" s="174">
        <v>79201</v>
      </c>
      <c r="B21" s="313">
        <v>0</v>
      </c>
      <c r="C21" s="313">
        <v>0</v>
      </c>
      <c r="D21" s="325">
        <f t="shared" si="1"/>
        <v>0</v>
      </c>
      <c r="E21" s="312"/>
      <c r="F21" s="312"/>
      <c r="G21" s="373">
        <f t="shared" si="2"/>
        <v>0</v>
      </c>
    </row>
    <row r="22" spans="1:7" hidden="1">
      <c r="A22" s="174">
        <v>446749</v>
      </c>
      <c r="B22" s="313">
        <v>0</v>
      </c>
      <c r="C22" s="313">
        <v>0</v>
      </c>
      <c r="D22" s="325">
        <f t="shared" si="1"/>
        <v>0</v>
      </c>
      <c r="E22" s="312"/>
      <c r="F22" s="312"/>
      <c r="G22" s="373">
        <f t="shared" si="2"/>
        <v>0</v>
      </c>
    </row>
    <row r="23" spans="1:7" hidden="1">
      <c r="A23" s="174">
        <v>446053</v>
      </c>
      <c r="B23" s="313">
        <v>0</v>
      </c>
      <c r="C23" s="313">
        <v>0</v>
      </c>
      <c r="D23" s="325">
        <f t="shared" si="1"/>
        <v>0</v>
      </c>
      <c r="E23" s="312"/>
      <c r="F23" s="312"/>
      <c r="G23" s="373">
        <f t="shared" si="2"/>
        <v>0</v>
      </c>
    </row>
    <row r="24" spans="1:7" hidden="1">
      <c r="A24" s="174">
        <v>100004405</v>
      </c>
      <c r="B24" s="313">
        <v>0</v>
      </c>
      <c r="C24" s="313">
        <v>0</v>
      </c>
      <c r="D24" s="325">
        <f t="shared" si="1"/>
        <v>0</v>
      </c>
      <c r="E24" s="312"/>
      <c r="F24" s="312"/>
      <c r="G24" s="373">
        <f t="shared" si="2"/>
        <v>0</v>
      </c>
    </row>
    <row r="25" spans="1:7" hidden="1">
      <c r="A25" s="174">
        <v>100003246</v>
      </c>
      <c r="B25" s="313">
        <v>0</v>
      </c>
      <c r="C25" s="313">
        <v>0</v>
      </c>
      <c r="D25" s="325">
        <f t="shared" si="1"/>
        <v>0</v>
      </c>
      <c r="E25" s="312"/>
      <c r="F25" s="312"/>
      <c r="G25" s="373">
        <f t="shared" si="2"/>
        <v>0</v>
      </c>
    </row>
    <row r="26" spans="1:7" hidden="1">
      <c r="A26" s="174">
        <v>100001802</v>
      </c>
      <c r="B26" s="313">
        <v>0</v>
      </c>
      <c r="C26" s="313">
        <v>0</v>
      </c>
      <c r="D26" s="325">
        <f t="shared" si="1"/>
        <v>0</v>
      </c>
      <c r="E26" s="312"/>
      <c r="F26" s="312"/>
      <c r="G26" s="373">
        <f t="shared" si="2"/>
        <v>0</v>
      </c>
    </row>
    <row r="27" spans="1:7">
      <c r="A27" s="174">
        <v>68416</v>
      </c>
      <c r="B27" s="313">
        <v>1445</v>
      </c>
      <c r="C27" s="313">
        <f>1445+940</f>
        <v>2385</v>
      </c>
      <c r="D27" s="325">
        <f t="shared" si="1"/>
        <v>940</v>
      </c>
      <c r="E27" s="444">
        <v>940</v>
      </c>
      <c r="F27" s="444"/>
      <c r="G27" s="373">
        <f t="shared" si="2"/>
        <v>0</v>
      </c>
    </row>
    <row r="28" spans="1:7" hidden="1">
      <c r="A28" s="174" t="s">
        <v>189</v>
      </c>
      <c r="B28" s="313">
        <v>0</v>
      </c>
      <c r="C28" s="313">
        <v>0</v>
      </c>
      <c r="D28" s="325">
        <f t="shared" si="1"/>
        <v>0</v>
      </c>
      <c r="E28" s="312"/>
      <c r="F28" s="312"/>
      <c r="G28" s="373">
        <f t="shared" si="2"/>
        <v>0</v>
      </c>
    </row>
    <row r="29" spans="1:7" hidden="1">
      <c r="A29" s="174">
        <v>100001622</v>
      </c>
      <c r="B29" s="313">
        <v>0</v>
      </c>
      <c r="C29" s="313">
        <v>0</v>
      </c>
      <c r="D29" s="325">
        <f t="shared" si="1"/>
        <v>0</v>
      </c>
      <c r="E29" s="312"/>
      <c r="F29" s="312"/>
      <c r="G29" s="373">
        <f t="shared" si="2"/>
        <v>0</v>
      </c>
    </row>
    <row r="30" spans="1:7" hidden="1">
      <c r="A30" s="174">
        <v>100001623</v>
      </c>
      <c r="B30" s="313">
        <v>0</v>
      </c>
      <c r="C30" s="313">
        <v>0</v>
      </c>
      <c r="D30" s="325">
        <f t="shared" si="1"/>
        <v>0</v>
      </c>
      <c r="E30" s="312"/>
      <c r="F30" s="312"/>
      <c r="G30" s="373">
        <f t="shared" si="2"/>
        <v>0</v>
      </c>
    </row>
    <row r="31" spans="1:7" hidden="1">
      <c r="A31" s="174" t="s">
        <v>190</v>
      </c>
      <c r="B31" s="313">
        <v>7574</v>
      </c>
      <c r="C31" s="313">
        <v>7574</v>
      </c>
      <c r="D31" s="325">
        <f t="shared" si="1"/>
        <v>0</v>
      </c>
      <c r="E31" s="312"/>
      <c r="F31" s="312"/>
      <c r="G31" s="373">
        <f t="shared" si="2"/>
        <v>0</v>
      </c>
    </row>
    <row r="32" spans="1:7" hidden="1">
      <c r="A32" s="174" t="s">
        <v>191</v>
      </c>
      <c r="B32" s="313">
        <v>0</v>
      </c>
      <c r="C32" s="313">
        <v>0</v>
      </c>
      <c r="D32" s="325">
        <f t="shared" si="1"/>
        <v>0</v>
      </c>
      <c r="E32" s="312"/>
      <c r="F32" s="312"/>
      <c r="G32" s="373">
        <f t="shared" si="2"/>
        <v>0</v>
      </c>
    </row>
    <row r="33" spans="1:7" hidden="1">
      <c r="A33" s="174" t="s">
        <v>192</v>
      </c>
      <c r="B33" s="313">
        <v>0</v>
      </c>
      <c r="C33" s="313">
        <v>0</v>
      </c>
      <c r="D33" s="325">
        <f t="shared" si="1"/>
        <v>0</v>
      </c>
      <c r="E33" s="312"/>
      <c r="F33" s="312"/>
      <c r="G33" s="373">
        <f t="shared" si="2"/>
        <v>0</v>
      </c>
    </row>
    <row r="34" spans="1:7" hidden="1">
      <c r="A34" s="174">
        <v>100004400</v>
      </c>
      <c r="B34" s="313">
        <v>0</v>
      </c>
      <c r="C34" s="313">
        <v>0</v>
      </c>
      <c r="D34" s="325">
        <f t="shared" si="1"/>
        <v>0</v>
      </c>
      <c r="E34" s="312"/>
      <c r="F34" s="312"/>
      <c r="G34" s="373">
        <f t="shared" si="2"/>
        <v>0</v>
      </c>
    </row>
    <row r="35" spans="1:7" hidden="1">
      <c r="A35" s="174">
        <v>100008889</v>
      </c>
      <c r="B35" s="313">
        <v>0</v>
      </c>
      <c r="C35" s="313">
        <v>0</v>
      </c>
      <c r="D35" s="325">
        <f t="shared" si="1"/>
        <v>0</v>
      </c>
      <c r="E35" s="312"/>
      <c r="F35" s="312"/>
      <c r="G35" s="373">
        <f t="shared" si="2"/>
        <v>0</v>
      </c>
    </row>
    <row r="36" spans="1:7">
      <c r="A36" s="174">
        <v>100010579</v>
      </c>
      <c r="B36" s="313">
        <v>3460</v>
      </c>
      <c r="C36" s="313">
        <v>13189</v>
      </c>
      <c r="D36" s="325">
        <f t="shared" si="1"/>
        <v>9729</v>
      </c>
      <c r="E36" s="444">
        <v>9729</v>
      </c>
      <c r="F36" s="444"/>
      <c r="G36" s="373">
        <f t="shared" si="2"/>
        <v>0</v>
      </c>
    </row>
    <row r="37" spans="1:7" hidden="1">
      <c r="A37" s="174">
        <v>100006911</v>
      </c>
      <c r="B37" s="313">
        <v>0</v>
      </c>
      <c r="C37" s="313">
        <v>0</v>
      </c>
      <c r="D37" s="325">
        <f t="shared" si="1"/>
        <v>0</v>
      </c>
      <c r="E37" s="312"/>
      <c r="F37" s="312"/>
      <c r="G37" s="373">
        <f t="shared" si="2"/>
        <v>0</v>
      </c>
    </row>
    <row r="38" spans="1:7" hidden="1">
      <c r="A38" s="174">
        <v>174034722</v>
      </c>
      <c r="B38" s="313">
        <v>0</v>
      </c>
      <c r="C38" s="313">
        <v>0</v>
      </c>
      <c r="D38" s="325">
        <f t="shared" si="1"/>
        <v>0</v>
      </c>
      <c r="E38" s="312"/>
      <c r="F38" s="312"/>
      <c r="G38" s="373">
        <f t="shared" si="2"/>
        <v>0</v>
      </c>
    </row>
    <row r="39" spans="1:7" hidden="1">
      <c r="A39" s="174">
        <v>174034719</v>
      </c>
      <c r="B39" s="313">
        <v>0</v>
      </c>
      <c r="C39" s="313">
        <v>0</v>
      </c>
      <c r="D39" s="325">
        <f t="shared" si="1"/>
        <v>0</v>
      </c>
      <c r="E39" s="312"/>
      <c r="F39" s="312"/>
      <c r="G39" s="373">
        <f t="shared" si="2"/>
        <v>0</v>
      </c>
    </row>
    <row r="40" spans="1:7" hidden="1">
      <c r="A40" s="174">
        <v>174034721</v>
      </c>
      <c r="B40" s="313">
        <v>0</v>
      </c>
      <c r="C40" s="313">
        <v>0</v>
      </c>
      <c r="D40" s="325">
        <f t="shared" si="1"/>
        <v>0</v>
      </c>
      <c r="E40" s="312"/>
      <c r="F40" s="312"/>
      <c r="G40" s="373">
        <f t="shared" si="2"/>
        <v>0</v>
      </c>
    </row>
    <row r="41" spans="1:7" hidden="1">
      <c r="A41" s="174">
        <v>100003226</v>
      </c>
      <c r="B41" s="313">
        <v>0</v>
      </c>
      <c r="C41" s="313">
        <v>0</v>
      </c>
      <c r="D41" s="325">
        <f t="shared" si="1"/>
        <v>0</v>
      </c>
      <c r="E41" s="312"/>
      <c r="F41" s="312"/>
      <c r="G41" s="373">
        <f t="shared" si="2"/>
        <v>0</v>
      </c>
    </row>
    <row r="42" spans="1:7" hidden="1">
      <c r="A42" s="174">
        <v>174034717</v>
      </c>
      <c r="B42" s="313">
        <v>0</v>
      </c>
      <c r="C42" s="313">
        <v>0</v>
      </c>
      <c r="D42" s="325">
        <f t="shared" si="1"/>
        <v>0</v>
      </c>
      <c r="E42" s="312"/>
      <c r="F42" s="312"/>
      <c r="G42" s="373">
        <f t="shared" si="2"/>
        <v>0</v>
      </c>
    </row>
    <row r="43" spans="1:7" hidden="1">
      <c r="A43" s="174">
        <v>76710</v>
      </c>
      <c r="B43" s="313">
        <v>0</v>
      </c>
      <c r="C43" s="313">
        <v>0</v>
      </c>
      <c r="D43" s="325">
        <f t="shared" si="1"/>
        <v>0</v>
      </c>
      <c r="E43" s="312"/>
      <c r="F43" s="312"/>
      <c r="G43" s="373">
        <f t="shared" si="2"/>
        <v>0</v>
      </c>
    </row>
    <row r="44" spans="1:7" hidden="1">
      <c r="A44" s="174" t="s">
        <v>163</v>
      </c>
      <c r="B44" s="313">
        <v>0</v>
      </c>
      <c r="C44" s="313">
        <v>0</v>
      </c>
      <c r="D44" s="325">
        <f t="shared" si="1"/>
        <v>0</v>
      </c>
      <c r="E44" s="312"/>
      <c r="F44" s="312"/>
      <c r="G44" s="373">
        <f t="shared" si="2"/>
        <v>0</v>
      </c>
    </row>
    <row r="45" spans="1:7" hidden="1">
      <c r="A45" s="174" t="s">
        <v>164</v>
      </c>
      <c r="B45" s="313">
        <v>0</v>
      </c>
      <c r="C45" s="313">
        <v>0</v>
      </c>
      <c r="D45" s="325">
        <f t="shared" si="1"/>
        <v>0</v>
      </c>
      <c r="E45" s="312"/>
      <c r="F45" s="312"/>
      <c r="G45" s="373">
        <f t="shared" si="2"/>
        <v>0</v>
      </c>
    </row>
    <row r="46" spans="1:7" hidden="1">
      <c r="A46" s="174" t="s">
        <v>165</v>
      </c>
      <c r="B46" s="313">
        <v>0</v>
      </c>
      <c r="C46" s="313">
        <v>0</v>
      </c>
      <c r="D46" s="325">
        <f t="shared" si="1"/>
        <v>0</v>
      </c>
      <c r="E46" s="312"/>
      <c r="F46" s="312"/>
      <c r="G46" s="373">
        <f t="shared" si="2"/>
        <v>0</v>
      </c>
    </row>
    <row r="47" spans="1:7" hidden="1">
      <c r="A47" s="174" t="s">
        <v>166</v>
      </c>
      <c r="B47" s="313">
        <v>0</v>
      </c>
      <c r="C47" s="313">
        <v>0</v>
      </c>
      <c r="D47" s="325">
        <f t="shared" si="1"/>
        <v>0</v>
      </c>
      <c r="E47" s="312"/>
      <c r="F47" s="312"/>
      <c r="G47" s="373">
        <f t="shared" si="2"/>
        <v>0</v>
      </c>
    </row>
    <row r="48" spans="1:7" hidden="1">
      <c r="A48" s="174">
        <v>453280</v>
      </c>
      <c r="B48" s="313">
        <v>0</v>
      </c>
      <c r="C48" s="313">
        <v>0</v>
      </c>
      <c r="D48" s="325">
        <f t="shared" si="1"/>
        <v>0</v>
      </c>
      <c r="E48" s="312"/>
      <c r="F48" s="312"/>
      <c r="G48" s="373">
        <f t="shared" si="2"/>
        <v>0</v>
      </c>
    </row>
    <row r="49" spans="1:7" hidden="1">
      <c r="A49" s="174">
        <v>100003227</v>
      </c>
      <c r="B49" s="313">
        <v>10247</v>
      </c>
      <c r="C49" s="313">
        <v>10247</v>
      </c>
      <c r="D49" s="325">
        <f t="shared" si="1"/>
        <v>0</v>
      </c>
      <c r="E49" s="312"/>
      <c r="F49" s="312"/>
      <c r="G49" s="373">
        <f t="shared" si="2"/>
        <v>0</v>
      </c>
    </row>
    <row r="50" spans="1:7" hidden="1">
      <c r="A50" s="174">
        <v>100003486</v>
      </c>
      <c r="B50" s="313">
        <v>0</v>
      </c>
      <c r="C50" s="313">
        <v>0</v>
      </c>
      <c r="D50" s="325">
        <f t="shared" si="1"/>
        <v>0</v>
      </c>
      <c r="E50" s="312"/>
      <c r="F50" s="312"/>
      <c r="G50" s="373">
        <f t="shared" si="2"/>
        <v>0</v>
      </c>
    </row>
    <row r="51" spans="1:7" hidden="1">
      <c r="A51" s="174">
        <v>100003532</v>
      </c>
      <c r="B51" s="313">
        <v>0</v>
      </c>
      <c r="C51" s="313">
        <v>0</v>
      </c>
      <c r="D51" s="325">
        <f t="shared" si="1"/>
        <v>0</v>
      </c>
      <c r="E51" s="312"/>
      <c r="F51" s="312"/>
      <c r="G51" s="373">
        <f t="shared" si="2"/>
        <v>0</v>
      </c>
    </row>
    <row r="52" spans="1:7" hidden="1">
      <c r="A52" s="174">
        <v>100003576</v>
      </c>
      <c r="B52" s="313">
        <v>0</v>
      </c>
      <c r="C52" s="313">
        <v>0</v>
      </c>
      <c r="D52" s="325">
        <f t="shared" si="1"/>
        <v>0</v>
      </c>
      <c r="E52" s="312"/>
      <c r="F52" s="312"/>
      <c r="G52" s="373">
        <f t="shared" si="2"/>
        <v>0</v>
      </c>
    </row>
    <row r="53" spans="1:7" hidden="1">
      <c r="A53" s="174">
        <v>100004422</v>
      </c>
      <c r="B53" s="313">
        <v>0</v>
      </c>
      <c r="C53" s="313">
        <v>0</v>
      </c>
      <c r="D53" s="325">
        <f t="shared" si="1"/>
        <v>0</v>
      </c>
      <c r="E53" s="312"/>
      <c r="F53" s="312"/>
      <c r="G53" s="373">
        <f t="shared" si="2"/>
        <v>0</v>
      </c>
    </row>
    <row r="54" spans="1:7" hidden="1">
      <c r="A54" s="174">
        <v>100004424</v>
      </c>
      <c r="B54" s="313">
        <v>0</v>
      </c>
      <c r="C54" s="313">
        <v>0</v>
      </c>
      <c r="D54" s="325">
        <f t="shared" si="1"/>
        <v>0</v>
      </c>
      <c r="E54" s="312"/>
      <c r="F54" s="312"/>
      <c r="G54" s="373">
        <f t="shared" si="2"/>
        <v>0</v>
      </c>
    </row>
    <row r="55" spans="1:7" hidden="1">
      <c r="A55" s="174">
        <v>100005621</v>
      </c>
      <c r="B55" s="313">
        <v>0</v>
      </c>
      <c r="C55" s="313">
        <v>0</v>
      </c>
      <c r="D55" s="325">
        <f t="shared" si="1"/>
        <v>0</v>
      </c>
      <c r="E55" s="312"/>
      <c r="F55" s="312"/>
      <c r="G55" s="373">
        <f t="shared" si="2"/>
        <v>0</v>
      </c>
    </row>
    <row r="56" spans="1:7" hidden="1">
      <c r="A56" s="174">
        <v>100005705</v>
      </c>
      <c r="B56" s="313">
        <v>5880</v>
      </c>
      <c r="C56" s="313">
        <f>VLOOKUP(A56,[3]cutting!$A$4:$C$151,3,0)</f>
        <v>5880</v>
      </c>
      <c r="D56" s="325">
        <f t="shared" si="1"/>
        <v>0</v>
      </c>
      <c r="E56" s="312"/>
      <c r="F56" s="312"/>
      <c r="G56" s="373">
        <f t="shared" si="2"/>
        <v>0</v>
      </c>
    </row>
    <row r="57" spans="1:7" hidden="1">
      <c r="A57" s="174">
        <v>100005710</v>
      </c>
      <c r="B57" s="313">
        <v>0</v>
      </c>
      <c r="C57" s="313">
        <v>0</v>
      </c>
      <c r="D57" s="325">
        <f t="shared" si="1"/>
        <v>0</v>
      </c>
      <c r="E57" s="312"/>
      <c r="F57" s="312"/>
      <c r="G57" s="373">
        <f t="shared" si="2"/>
        <v>0</v>
      </c>
    </row>
    <row r="58" spans="1:7" hidden="1">
      <c r="A58" s="174">
        <v>100006873</v>
      </c>
      <c r="B58" s="313">
        <v>0</v>
      </c>
      <c r="C58" s="313">
        <v>0</v>
      </c>
      <c r="D58" s="325">
        <f t="shared" si="1"/>
        <v>0</v>
      </c>
      <c r="E58" s="312"/>
      <c r="F58" s="312"/>
      <c r="G58" s="373">
        <f t="shared" si="2"/>
        <v>0</v>
      </c>
    </row>
    <row r="59" spans="1:7" hidden="1">
      <c r="A59" s="174">
        <v>100006874</v>
      </c>
      <c r="B59" s="313">
        <v>0</v>
      </c>
      <c r="C59" s="313">
        <v>0</v>
      </c>
      <c r="D59" s="325">
        <f t="shared" si="1"/>
        <v>0</v>
      </c>
      <c r="E59" s="312"/>
      <c r="F59" s="312"/>
      <c r="G59" s="373">
        <f t="shared" si="2"/>
        <v>0</v>
      </c>
    </row>
    <row r="60" spans="1:7" hidden="1">
      <c r="A60" s="174">
        <v>100008197</v>
      </c>
      <c r="B60" s="313">
        <v>9784</v>
      </c>
      <c r="C60" s="313">
        <v>9784</v>
      </c>
      <c r="D60" s="325">
        <f t="shared" si="1"/>
        <v>0</v>
      </c>
      <c r="E60" s="312"/>
      <c r="F60" s="312"/>
      <c r="G60" s="373">
        <f t="shared" si="2"/>
        <v>0</v>
      </c>
    </row>
    <row r="61" spans="1:7" hidden="1">
      <c r="A61" s="174">
        <v>100008887</v>
      </c>
      <c r="B61" s="313">
        <v>0</v>
      </c>
      <c r="C61" s="313">
        <v>0</v>
      </c>
      <c r="D61" s="325">
        <f t="shared" si="1"/>
        <v>0</v>
      </c>
      <c r="E61" s="312"/>
      <c r="F61" s="312"/>
      <c r="G61" s="373">
        <f t="shared" si="2"/>
        <v>0</v>
      </c>
    </row>
    <row r="62" spans="1:7" hidden="1">
      <c r="A62" s="174">
        <v>100010879</v>
      </c>
      <c r="B62" s="313">
        <v>0</v>
      </c>
      <c r="C62" s="313">
        <v>0</v>
      </c>
      <c r="D62" s="325">
        <f t="shared" si="1"/>
        <v>0</v>
      </c>
      <c r="E62" s="312"/>
      <c r="F62" s="312"/>
      <c r="G62" s="373">
        <f t="shared" si="2"/>
        <v>0</v>
      </c>
    </row>
    <row r="63" spans="1:7" hidden="1">
      <c r="A63" s="174">
        <v>100010914</v>
      </c>
      <c r="B63" s="313">
        <v>0</v>
      </c>
      <c r="C63" s="313">
        <v>0</v>
      </c>
      <c r="D63" s="325">
        <f t="shared" si="1"/>
        <v>0</v>
      </c>
      <c r="E63" s="312"/>
      <c r="F63" s="312"/>
      <c r="G63" s="373">
        <f t="shared" si="2"/>
        <v>0</v>
      </c>
    </row>
    <row r="64" spans="1:7" hidden="1">
      <c r="A64" s="174">
        <v>100011006</v>
      </c>
      <c r="B64" s="313">
        <v>0</v>
      </c>
      <c r="C64" s="313">
        <v>0</v>
      </c>
      <c r="D64" s="325">
        <f t="shared" si="1"/>
        <v>0</v>
      </c>
      <c r="E64" s="312"/>
      <c r="F64" s="312"/>
      <c r="G64" s="373">
        <f t="shared" si="2"/>
        <v>0</v>
      </c>
    </row>
    <row r="65" spans="1:7" hidden="1">
      <c r="A65" s="174">
        <v>100011101</v>
      </c>
      <c r="B65" s="313">
        <v>0</v>
      </c>
      <c r="C65" s="313">
        <v>0</v>
      </c>
      <c r="D65" s="325">
        <f t="shared" si="1"/>
        <v>0</v>
      </c>
      <c r="E65" s="312"/>
      <c r="F65" s="312"/>
      <c r="G65" s="373">
        <f t="shared" si="2"/>
        <v>0</v>
      </c>
    </row>
    <row r="66" spans="1:7" hidden="1">
      <c r="A66" s="174">
        <v>100011102</v>
      </c>
      <c r="B66" s="313">
        <v>0</v>
      </c>
      <c r="C66" s="313">
        <v>0</v>
      </c>
      <c r="D66" s="325">
        <f t="shared" si="1"/>
        <v>0</v>
      </c>
      <c r="E66" s="312"/>
      <c r="F66" s="312"/>
      <c r="G66" s="373">
        <f t="shared" si="2"/>
        <v>0</v>
      </c>
    </row>
    <row r="67" spans="1:7">
      <c r="A67" s="174">
        <v>2335</v>
      </c>
      <c r="B67" s="313">
        <v>22526</v>
      </c>
      <c r="C67" s="313">
        <v>23823</v>
      </c>
      <c r="D67" s="325">
        <f t="shared" si="1"/>
        <v>1297</v>
      </c>
      <c r="E67" s="444">
        <v>1297</v>
      </c>
      <c r="F67" s="444"/>
      <c r="G67" s="373">
        <f t="shared" si="2"/>
        <v>0</v>
      </c>
    </row>
    <row r="68" spans="1:7">
      <c r="A68" s="174">
        <v>7220</v>
      </c>
      <c r="B68" s="313">
        <v>4782</v>
      </c>
      <c r="C68" s="313">
        <v>5987</v>
      </c>
      <c r="D68" s="325">
        <f t="shared" si="1"/>
        <v>1205</v>
      </c>
      <c r="E68" s="444">
        <v>1205</v>
      </c>
      <c r="F68" s="444"/>
      <c r="G68" s="373">
        <f t="shared" si="2"/>
        <v>0</v>
      </c>
    </row>
    <row r="69" spans="1:7" hidden="1">
      <c r="A69" s="174" t="s">
        <v>193</v>
      </c>
      <c r="B69" s="313">
        <v>0</v>
      </c>
      <c r="C69" s="313">
        <v>0</v>
      </c>
      <c r="D69" s="325">
        <f t="shared" si="1"/>
        <v>0</v>
      </c>
      <c r="E69" s="312"/>
      <c r="F69" s="312"/>
      <c r="G69" s="373">
        <f t="shared" si="2"/>
        <v>0</v>
      </c>
    </row>
    <row r="70" spans="1:7" hidden="1">
      <c r="A70" s="174" t="s">
        <v>194</v>
      </c>
      <c r="B70" s="313">
        <v>0</v>
      </c>
      <c r="C70" s="313">
        <v>0</v>
      </c>
      <c r="D70" s="325">
        <f t="shared" si="1"/>
        <v>0</v>
      </c>
      <c r="E70" s="312"/>
      <c r="F70" s="312"/>
      <c r="G70" s="373">
        <f t="shared" si="2"/>
        <v>0</v>
      </c>
    </row>
    <row r="71" spans="1:7" hidden="1">
      <c r="A71" s="174" t="s">
        <v>195</v>
      </c>
      <c r="B71" s="313">
        <v>0</v>
      </c>
      <c r="C71" s="313">
        <v>0</v>
      </c>
      <c r="D71" s="325">
        <f t="shared" ref="D71:D134" si="3">C71-B71</f>
        <v>0</v>
      </c>
      <c r="E71" s="312"/>
      <c r="F71" s="312"/>
      <c r="G71" s="373">
        <f t="shared" ref="G71:G134" si="4">+D71-E71-F71</f>
        <v>0</v>
      </c>
    </row>
    <row r="72" spans="1:7" hidden="1">
      <c r="A72" s="174" t="s">
        <v>196</v>
      </c>
      <c r="B72" s="313">
        <v>0</v>
      </c>
      <c r="C72" s="313">
        <v>0</v>
      </c>
      <c r="D72" s="325">
        <f t="shared" si="3"/>
        <v>0</v>
      </c>
      <c r="E72" s="312"/>
      <c r="F72" s="312"/>
      <c r="G72" s="373">
        <f t="shared" si="4"/>
        <v>0</v>
      </c>
    </row>
    <row r="73" spans="1:7" hidden="1">
      <c r="A73" s="174" t="s">
        <v>197</v>
      </c>
      <c r="B73" s="313">
        <v>0</v>
      </c>
      <c r="C73" s="313">
        <v>0</v>
      </c>
      <c r="D73" s="325">
        <f t="shared" si="3"/>
        <v>0</v>
      </c>
      <c r="E73" s="312"/>
      <c r="F73" s="312"/>
      <c r="G73" s="373">
        <f t="shared" si="4"/>
        <v>0</v>
      </c>
    </row>
    <row r="74" spans="1:7" hidden="1">
      <c r="A74" s="174" t="s">
        <v>198</v>
      </c>
      <c r="B74" s="313">
        <v>0</v>
      </c>
      <c r="C74" s="313">
        <v>0</v>
      </c>
      <c r="D74" s="325">
        <f t="shared" si="3"/>
        <v>0</v>
      </c>
      <c r="E74" s="312"/>
      <c r="F74" s="312"/>
      <c r="G74" s="373">
        <f t="shared" si="4"/>
        <v>0</v>
      </c>
    </row>
    <row r="75" spans="1:7" hidden="1">
      <c r="A75" s="174">
        <v>448556</v>
      </c>
      <c r="B75" s="313">
        <v>0</v>
      </c>
      <c r="C75" s="313">
        <v>0</v>
      </c>
      <c r="D75" s="325">
        <f t="shared" si="3"/>
        <v>0</v>
      </c>
      <c r="E75" s="312"/>
      <c r="F75" s="312"/>
      <c r="G75" s="373">
        <f t="shared" si="4"/>
        <v>0</v>
      </c>
    </row>
    <row r="76" spans="1:7" hidden="1">
      <c r="A76" s="174">
        <v>454819</v>
      </c>
      <c r="B76" s="313">
        <v>0</v>
      </c>
      <c r="C76" s="313">
        <v>0</v>
      </c>
      <c r="D76" s="325">
        <f t="shared" si="3"/>
        <v>0</v>
      </c>
      <c r="E76" s="312"/>
      <c r="F76" s="312"/>
      <c r="G76" s="373">
        <f t="shared" si="4"/>
        <v>0</v>
      </c>
    </row>
    <row r="77" spans="1:7" hidden="1">
      <c r="A77" s="174">
        <v>457050</v>
      </c>
      <c r="B77" s="313">
        <v>0</v>
      </c>
      <c r="C77" s="313">
        <v>0</v>
      </c>
      <c r="D77" s="325">
        <f t="shared" si="3"/>
        <v>0</v>
      </c>
      <c r="E77" s="312"/>
      <c r="F77" s="312"/>
      <c r="G77" s="373">
        <f t="shared" si="4"/>
        <v>0</v>
      </c>
    </row>
    <row r="78" spans="1:7" hidden="1">
      <c r="A78" s="174">
        <v>100007750</v>
      </c>
      <c r="B78" s="313">
        <v>0</v>
      </c>
      <c r="C78" s="313">
        <v>0</v>
      </c>
      <c r="D78" s="325">
        <f t="shared" si="3"/>
        <v>0</v>
      </c>
      <c r="E78" s="312"/>
      <c r="F78" s="312"/>
      <c r="G78" s="373">
        <f t="shared" si="4"/>
        <v>0</v>
      </c>
    </row>
    <row r="79" spans="1:7" hidden="1">
      <c r="A79" s="174">
        <v>100008168</v>
      </c>
      <c r="B79" s="313">
        <v>0</v>
      </c>
      <c r="C79" s="313">
        <v>0</v>
      </c>
      <c r="D79" s="325">
        <f t="shared" si="3"/>
        <v>0</v>
      </c>
      <c r="E79" s="312"/>
      <c r="F79" s="312"/>
      <c r="G79" s="373">
        <f t="shared" si="4"/>
        <v>0</v>
      </c>
    </row>
    <row r="80" spans="1:7" hidden="1">
      <c r="A80" s="174" t="s">
        <v>200</v>
      </c>
      <c r="B80" s="313">
        <v>0</v>
      </c>
      <c r="C80" s="313">
        <v>0</v>
      </c>
      <c r="D80" s="325">
        <f t="shared" si="3"/>
        <v>0</v>
      </c>
      <c r="E80" s="312"/>
      <c r="F80" s="312"/>
      <c r="G80" s="373">
        <f t="shared" si="4"/>
        <v>0</v>
      </c>
    </row>
    <row r="81" spans="1:7">
      <c r="A81" s="174" t="s">
        <v>169</v>
      </c>
      <c r="B81" s="313">
        <v>4528</v>
      </c>
      <c r="C81" s="313">
        <v>11576</v>
      </c>
      <c r="D81" s="325">
        <f t="shared" si="3"/>
        <v>7048</v>
      </c>
      <c r="E81" s="444">
        <v>7048</v>
      </c>
      <c r="F81" s="444"/>
      <c r="G81" s="373">
        <f t="shared" si="4"/>
        <v>0</v>
      </c>
    </row>
    <row r="82" spans="1:7" hidden="1">
      <c r="A82" s="174" t="s">
        <v>201</v>
      </c>
      <c r="B82" s="313">
        <v>0</v>
      </c>
      <c r="C82" s="313">
        <v>0</v>
      </c>
      <c r="D82" s="325">
        <f t="shared" si="3"/>
        <v>0</v>
      </c>
      <c r="E82" s="312"/>
      <c r="F82" s="312"/>
      <c r="G82" s="373">
        <f t="shared" si="4"/>
        <v>0</v>
      </c>
    </row>
    <row r="83" spans="1:7" hidden="1">
      <c r="A83" s="174" t="s">
        <v>202</v>
      </c>
      <c r="B83" s="313">
        <v>0</v>
      </c>
      <c r="C83" s="313">
        <v>0</v>
      </c>
      <c r="D83" s="325">
        <f t="shared" si="3"/>
        <v>0</v>
      </c>
      <c r="E83" s="312"/>
      <c r="F83" s="312"/>
      <c r="G83" s="373">
        <f t="shared" si="4"/>
        <v>0</v>
      </c>
    </row>
    <row r="84" spans="1:7" hidden="1">
      <c r="A84" s="174" t="s">
        <v>611</v>
      </c>
      <c r="B84" s="313">
        <v>0</v>
      </c>
      <c r="C84" s="313">
        <v>0</v>
      </c>
      <c r="D84" s="325">
        <f t="shared" si="3"/>
        <v>0</v>
      </c>
      <c r="E84" s="312"/>
      <c r="F84" s="312"/>
      <c r="G84" s="373">
        <f t="shared" si="4"/>
        <v>0</v>
      </c>
    </row>
    <row r="85" spans="1:7" hidden="1">
      <c r="A85" s="174" t="s">
        <v>205</v>
      </c>
      <c r="B85" s="313">
        <v>0</v>
      </c>
      <c r="C85" s="313">
        <v>0</v>
      </c>
      <c r="D85" s="325">
        <f t="shared" si="3"/>
        <v>0</v>
      </c>
      <c r="E85" s="312"/>
      <c r="F85" s="312"/>
      <c r="G85" s="373">
        <f t="shared" si="4"/>
        <v>0</v>
      </c>
    </row>
    <row r="86" spans="1:7" hidden="1">
      <c r="A86" s="174" t="s">
        <v>612</v>
      </c>
      <c r="B86" s="313">
        <v>0</v>
      </c>
      <c r="C86" s="313">
        <v>0</v>
      </c>
      <c r="D86" s="325">
        <f t="shared" si="3"/>
        <v>0</v>
      </c>
      <c r="E86" s="312"/>
      <c r="F86" s="312"/>
      <c r="G86" s="373">
        <f t="shared" si="4"/>
        <v>0</v>
      </c>
    </row>
    <row r="87" spans="1:7" hidden="1">
      <c r="A87" s="174">
        <v>100003487</v>
      </c>
      <c r="B87" s="313">
        <v>0</v>
      </c>
      <c r="C87" s="313">
        <v>0</v>
      </c>
      <c r="D87" s="325">
        <f t="shared" si="3"/>
        <v>0</v>
      </c>
      <c r="E87" s="312"/>
      <c r="F87" s="312"/>
      <c r="G87" s="373">
        <f t="shared" si="4"/>
        <v>0</v>
      </c>
    </row>
    <row r="88" spans="1:7" hidden="1">
      <c r="A88" s="174">
        <v>100003506</v>
      </c>
      <c r="B88" s="313">
        <v>0</v>
      </c>
      <c r="C88" s="313">
        <v>0</v>
      </c>
      <c r="D88" s="325">
        <f t="shared" si="3"/>
        <v>0</v>
      </c>
      <c r="E88" s="312"/>
      <c r="F88" s="312"/>
      <c r="G88" s="373">
        <f t="shared" si="4"/>
        <v>0</v>
      </c>
    </row>
    <row r="89" spans="1:7" hidden="1">
      <c r="A89" s="174">
        <v>100003522</v>
      </c>
      <c r="B89" s="313">
        <v>0</v>
      </c>
      <c r="C89" s="313">
        <v>0</v>
      </c>
      <c r="D89" s="325">
        <f t="shared" si="3"/>
        <v>0</v>
      </c>
      <c r="E89" s="312"/>
      <c r="F89" s="312"/>
      <c r="G89" s="373">
        <f t="shared" si="4"/>
        <v>0</v>
      </c>
    </row>
    <row r="90" spans="1:7" hidden="1">
      <c r="A90" s="174">
        <v>100003523</v>
      </c>
      <c r="B90" s="313">
        <v>0</v>
      </c>
      <c r="C90" s="313">
        <v>0</v>
      </c>
      <c r="D90" s="325">
        <f t="shared" si="3"/>
        <v>0</v>
      </c>
      <c r="E90" s="312"/>
      <c r="F90" s="312"/>
      <c r="G90" s="373">
        <f t="shared" si="4"/>
        <v>0</v>
      </c>
    </row>
    <row r="91" spans="1:7" hidden="1">
      <c r="A91" s="174">
        <v>100003547</v>
      </c>
      <c r="B91" s="313">
        <v>0</v>
      </c>
      <c r="C91" s="313">
        <v>0</v>
      </c>
      <c r="D91" s="325">
        <f t="shared" si="3"/>
        <v>0</v>
      </c>
      <c r="E91" s="312"/>
      <c r="F91" s="312"/>
      <c r="G91" s="373">
        <f t="shared" si="4"/>
        <v>0</v>
      </c>
    </row>
    <row r="92" spans="1:7" hidden="1">
      <c r="A92" s="174">
        <v>100003559</v>
      </c>
      <c r="B92" s="313">
        <v>0</v>
      </c>
      <c r="C92" s="313">
        <v>0</v>
      </c>
      <c r="D92" s="325">
        <f t="shared" si="3"/>
        <v>0</v>
      </c>
      <c r="E92" s="312"/>
      <c r="F92" s="312"/>
      <c r="G92" s="373">
        <f t="shared" si="4"/>
        <v>0</v>
      </c>
    </row>
    <row r="93" spans="1:7" hidden="1">
      <c r="A93" s="174">
        <v>100003582</v>
      </c>
      <c r="B93" s="313">
        <v>0</v>
      </c>
      <c r="C93" s="313">
        <v>0</v>
      </c>
      <c r="D93" s="325">
        <f t="shared" si="3"/>
        <v>0</v>
      </c>
      <c r="E93" s="312"/>
      <c r="F93" s="312"/>
      <c r="G93" s="373">
        <f t="shared" si="4"/>
        <v>0</v>
      </c>
    </row>
    <row r="94" spans="1:7" hidden="1">
      <c r="A94" s="174">
        <v>100003585</v>
      </c>
      <c r="B94" s="313">
        <v>0</v>
      </c>
      <c r="C94" s="313">
        <v>0</v>
      </c>
      <c r="D94" s="325">
        <f t="shared" si="3"/>
        <v>0</v>
      </c>
      <c r="E94" s="312"/>
      <c r="F94" s="312"/>
      <c r="G94" s="373">
        <f t="shared" si="4"/>
        <v>0</v>
      </c>
    </row>
    <row r="95" spans="1:7" hidden="1">
      <c r="A95" s="174">
        <v>100003592</v>
      </c>
      <c r="B95" s="313">
        <v>0</v>
      </c>
      <c r="C95" s="313">
        <v>0</v>
      </c>
      <c r="D95" s="325">
        <f t="shared" si="3"/>
        <v>0</v>
      </c>
      <c r="E95" s="312"/>
      <c r="F95" s="312"/>
      <c r="G95" s="373">
        <f t="shared" si="4"/>
        <v>0</v>
      </c>
    </row>
    <row r="96" spans="1:7" hidden="1">
      <c r="A96" s="174">
        <v>100004432</v>
      </c>
      <c r="B96" s="313">
        <v>0</v>
      </c>
      <c r="C96" s="313">
        <v>0</v>
      </c>
      <c r="D96" s="325">
        <f t="shared" si="3"/>
        <v>0</v>
      </c>
      <c r="E96" s="312"/>
      <c r="F96" s="312"/>
      <c r="G96" s="373">
        <f t="shared" si="4"/>
        <v>0</v>
      </c>
    </row>
    <row r="97" spans="1:7" hidden="1">
      <c r="A97" s="174">
        <v>100008196</v>
      </c>
      <c r="B97" s="313">
        <v>0</v>
      </c>
      <c r="C97" s="313">
        <v>0</v>
      </c>
      <c r="D97" s="325">
        <f t="shared" si="3"/>
        <v>0</v>
      </c>
      <c r="E97" s="312"/>
      <c r="F97" s="312"/>
      <c r="G97" s="373">
        <f t="shared" si="4"/>
        <v>0</v>
      </c>
    </row>
    <row r="98" spans="1:7" hidden="1">
      <c r="A98" s="174">
        <v>100008212</v>
      </c>
      <c r="B98" s="313">
        <v>0</v>
      </c>
      <c r="C98" s="313">
        <v>0</v>
      </c>
      <c r="D98" s="325">
        <f t="shared" si="3"/>
        <v>0</v>
      </c>
      <c r="E98" s="312"/>
      <c r="F98" s="312"/>
      <c r="G98" s="373">
        <f t="shared" si="4"/>
        <v>0</v>
      </c>
    </row>
    <row r="99" spans="1:7" hidden="1">
      <c r="A99" s="174">
        <v>100008214</v>
      </c>
      <c r="B99" s="313">
        <v>0</v>
      </c>
      <c r="C99" s="313">
        <v>0</v>
      </c>
      <c r="D99" s="325">
        <f t="shared" si="3"/>
        <v>0</v>
      </c>
      <c r="E99" s="312"/>
      <c r="F99" s="312"/>
      <c r="G99" s="373">
        <f t="shared" si="4"/>
        <v>0</v>
      </c>
    </row>
    <row r="100" spans="1:7" hidden="1">
      <c r="A100" s="174">
        <v>100008216</v>
      </c>
      <c r="B100" s="313">
        <v>0</v>
      </c>
      <c r="C100" s="313">
        <v>0</v>
      </c>
      <c r="D100" s="325">
        <f t="shared" si="3"/>
        <v>0</v>
      </c>
      <c r="E100" s="312"/>
      <c r="F100" s="312"/>
      <c r="G100" s="373">
        <f t="shared" si="4"/>
        <v>0</v>
      </c>
    </row>
    <row r="101" spans="1:7" hidden="1">
      <c r="A101" s="174">
        <v>100009597</v>
      </c>
      <c r="B101" s="313">
        <v>17282</v>
      </c>
      <c r="C101" s="313">
        <v>17282</v>
      </c>
      <c r="D101" s="325">
        <f t="shared" si="3"/>
        <v>0</v>
      </c>
      <c r="E101" s="312"/>
      <c r="F101" s="312"/>
      <c r="G101" s="373">
        <f t="shared" si="4"/>
        <v>0</v>
      </c>
    </row>
    <row r="102" spans="1:7">
      <c r="A102" s="174">
        <v>74401</v>
      </c>
      <c r="B102" s="313">
        <v>0</v>
      </c>
      <c r="C102" s="313">
        <v>11001</v>
      </c>
      <c r="D102" s="325">
        <f t="shared" si="3"/>
        <v>11001</v>
      </c>
      <c r="E102" s="444">
        <v>11001</v>
      </c>
      <c r="F102" s="444"/>
      <c r="G102" s="373">
        <f t="shared" si="4"/>
        <v>0</v>
      </c>
    </row>
    <row r="103" spans="1:7" hidden="1">
      <c r="A103" s="174" t="s">
        <v>208</v>
      </c>
      <c r="B103" s="313">
        <v>0</v>
      </c>
      <c r="C103" s="313">
        <v>0</v>
      </c>
      <c r="D103" s="325">
        <f t="shared" si="3"/>
        <v>0</v>
      </c>
      <c r="E103" s="312"/>
      <c r="F103" s="312"/>
      <c r="G103" s="373">
        <f t="shared" si="4"/>
        <v>0</v>
      </c>
    </row>
    <row r="104" spans="1:7" hidden="1">
      <c r="A104" s="174" t="s">
        <v>209</v>
      </c>
      <c r="B104" s="313">
        <v>0</v>
      </c>
      <c r="C104" s="313">
        <v>0</v>
      </c>
      <c r="D104" s="325">
        <f t="shared" si="3"/>
        <v>0</v>
      </c>
      <c r="E104" s="312"/>
      <c r="F104" s="312"/>
      <c r="G104" s="373">
        <f t="shared" si="4"/>
        <v>0</v>
      </c>
    </row>
    <row r="105" spans="1:7" hidden="1">
      <c r="A105" s="174" t="s">
        <v>210</v>
      </c>
      <c r="B105" s="313">
        <v>0</v>
      </c>
      <c r="C105" s="313">
        <v>0</v>
      </c>
      <c r="D105" s="325">
        <f t="shared" si="3"/>
        <v>0</v>
      </c>
      <c r="E105" s="312"/>
      <c r="F105" s="312"/>
      <c r="G105" s="373">
        <f t="shared" si="4"/>
        <v>0</v>
      </c>
    </row>
    <row r="106" spans="1:7" hidden="1">
      <c r="A106" s="174">
        <v>453609</v>
      </c>
      <c r="B106" s="313">
        <v>0</v>
      </c>
      <c r="C106" s="313">
        <v>0</v>
      </c>
      <c r="D106" s="325">
        <f t="shared" si="3"/>
        <v>0</v>
      </c>
      <c r="E106" s="312"/>
      <c r="F106" s="312"/>
      <c r="G106" s="373">
        <f t="shared" si="4"/>
        <v>0</v>
      </c>
    </row>
    <row r="107" spans="1:7" hidden="1">
      <c r="A107" s="174">
        <v>455129</v>
      </c>
      <c r="B107" s="313">
        <v>0</v>
      </c>
      <c r="C107" s="313">
        <v>0</v>
      </c>
      <c r="D107" s="325">
        <f t="shared" si="3"/>
        <v>0</v>
      </c>
      <c r="E107" s="312"/>
      <c r="F107" s="312"/>
      <c r="G107" s="373">
        <f t="shared" si="4"/>
        <v>0</v>
      </c>
    </row>
    <row r="108" spans="1:7" hidden="1">
      <c r="A108" s="174">
        <v>455571</v>
      </c>
      <c r="B108" s="313">
        <v>0</v>
      </c>
      <c r="C108" s="313">
        <v>0</v>
      </c>
      <c r="D108" s="325">
        <f t="shared" si="3"/>
        <v>0</v>
      </c>
      <c r="E108" s="312"/>
      <c r="F108" s="312"/>
      <c r="G108" s="373">
        <f t="shared" si="4"/>
        <v>0</v>
      </c>
    </row>
    <row r="109" spans="1:7" hidden="1">
      <c r="A109" s="174" t="s">
        <v>211</v>
      </c>
      <c r="B109" s="313">
        <v>0</v>
      </c>
      <c r="C109" s="313">
        <v>0</v>
      </c>
      <c r="D109" s="325">
        <f t="shared" si="3"/>
        <v>0</v>
      </c>
      <c r="E109" s="312"/>
      <c r="F109" s="312"/>
      <c r="G109" s="373">
        <f t="shared" si="4"/>
        <v>0</v>
      </c>
    </row>
    <row r="110" spans="1:7" hidden="1">
      <c r="A110" s="174" t="s">
        <v>212</v>
      </c>
      <c r="B110" s="313">
        <v>0</v>
      </c>
      <c r="C110" s="313">
        <v>0</v>
      </c>
      <c r="D110" s="325">
        <f t="shared" si="3"/>
        <v>0</v>
      </c>
      <c r="E110" s="312"/>
      <c r="F110" s="312"/>
      <c r="G110" s="373">
        <f t="shared" si="4"/>
        <v>0</v>
      </c>
    </row>
    <row r="111" spans="1:7" hidden="1">
      <c r="A111" s="174">
        <v>100007764</v>
      </c>
      <c r="B111" s="313">
        <v>57594</v>
      </c>
      <c r="C111" s="313">
        <v>57594</v>
      </c>
      <c r="D111" s="325">
        <f t="shared" si="3"/>
        <v>0</v>
      </c>
      <c r="E111" s="312"/>
      <c r="F111" s="312"/>
      <c r="G111" s="373">
        <f t="shared" si="4"/>
        <v>0</v>
      </c>
    </row>
    <row r="112" spans="1:7" hidden="1">
      <c r="A112" s="174">
        <v>100007863</v>
      </c>
      <c r="B112" s="313">
        <v>0</v>
      </c>
      <c r="C112" s="313">
        <v>0</v>
      </c>
      <c r="D112" s="325">
        <f t="shared" si="3"/>
        <v>0</v>
      </c>
      <c r="E112" s="312"/>
      <c r="F112" s="312"/>
      <c r="G112" s="373">
        <f t="shared" si="4"/>
        <v>0</v>
      </c>
    </row>
    <row r="113" spans="1:7" hidden="1">
      <c r="A113" s="174">
        <v>100009688</v>
      </c>
      <c r="B113" s="313">
        <v>0</v>
      </c>
      <c r="C113" s="313">
        <v>0</v>
      </c>
      <c r="D113" s="325">
        <f t="shared" si="3"/>
        <v>0</v>
      </c>
      <c r="E113" s="312"/>
      <c r="F113" s="312"/>
      <c r="G113" s="373">
        <f t="shared" si="4"/>
        <v>0</v>
      </c>
    </row>
    <row r="114" spans="1:7" hidden="1">
      <c r="A114" s="174">
        <v>100012436</v>
      </c>
      <c r="B114" s="313">
        <v>0</v>
      </c>
      <c r="C114" s="313">
        <v>0</v>
      </c>
      <c r="D114" s="325">
        <f t="shared" si="3"/>
        <v>0</v>
      </c>
      <c r="E114" s="312"/>
      <c r="F114" s="312"/>
      <c r="G114" s="373">
        <f t="shared" si="4"/>
        <v>0</v>
      </c>
    </row>
    <row r="115" spans="1:7" hidden="1">
      <c r="A115" s="174">
        <v>100012476</v>
      </c>
      <c r="B115" s="313">
        <v>0</v>
      </c>
      <c r="C115" s="313">
        <v>0</v>
      </c>
      <c r="D115" s="325">
        <f t="shared" si="3"/>
        <v>0</v>
      </c>
      <c r="E115" s="312"/>
      <c r="F115" s="312"/>
      <c r="G115" s="373">
        <f t="shared" si="4"/>
        <v>0</v>
      </c>
    </row>
    <row r="116" spans="1:7" hidden="1">
      <c r="A116" s="174">
        <v>100013564</v>
      </c>
      <c r="B116" s="313">
        <v>0</v>
      </c>
      <c r="C116" s="313">
        <v>0</v>
      </c>
      <c r="D116" s="325">
        <f t="shared" si="3"/>
        <v>0</v>
      </c>
      <c r="E116" s="312"/>
      <c r="F116" s="312"/>
      <c r="G116" s="373">
        <f t="shared" si="4"/>
        <v>0</v>
      </c>
    </row>
    <row r="117" spans="1:7" hidden="1">
      <c r="A117" s="174" t="s">
        <v>213</v>
      </c>
      <c r="B117" s="313">
        <v>0</v>
      </c>
      <c r="C117" s="313">
        <v>0</v>
      </c>
      <c r="D117" s="325">
        <f t="shared" si="3"/>
        <v>0</v>
      </c>
      <c r="E117" s="312"/>
      <c r="F117" s="312"/>
      <c r="G117" s="373">
        <f t="shared" si="4"/>
        <v>0</v>
      </c>
    </row>
    <row r="118" spans="1:7" hidden="1">
      <c r="A118" s="174" t="s">
        <v>214</v>
      </c>
      <c r="B118" s="313">
        <v>0</v>
      </c>
      <c r="C118" s="313">
        <v>0</v>
      </c>
      <c r="D118" s="325">
        <f t="shared" si="3"/>
        <v>0</v>
      </c>
      <c r="E118" s="312"/>
      <c r="F118" s="312"/>
      <c r="G118" s="373">
        <f t="shared" si="4"/>
        <v>0</v>
      </c>
    </row>
    <row r="119" spans="1:7" hidden="1">
      <c r="A119" s="174" t="s">
        <v>215</v>
      </c>
      <c r="B119" s="313">
        <v>0</v>
      </c>
      <c r="C119" s="313">
        <v>0</v>
      </c>
      <c r="D119" s="325">
        <f t="shared" si="3"/>
        <v>0</v>
      </c>
      <c r="E119" s="312"/>
      <c r="F119" s="312"/>
      <c r="G119" s="373">
        <f t="shared" si="4"/>
        <v>0</v>
      </c>
    </row>
    <row r="120" spans="1:7">
      <c r="A120" s="174" t="s">
        <v>216</v>
      </c>
      <c r="B120" s="313">
        <v>128470</v>
      </c>
      <c r="C120" s="313">
        <v>136100</v>
      </c>
      <c r="D120" s="325">
        <f t="shared" si="3"/>
        <v>7630</v>
      </c>
      <c r="E120" s="444">
        <v>7630</v>
      </c>
      <c r="F120" s="444"/>
      <c r="G120" s="373">
        <f t="shared" si="4"/>
        <v>0</v>
      </c>
    </row>
    <row r="121" spans="1:7" hidden="1">
      <c r="A121" s="174" t="s">
        <v>217</v>
      </c>
      <c r="B121" s="313">
        <v>0</v>
      </c>
      <c r="C121" s="313">
        <v>0</v>
      </c>
      <c r="D121" s="325">
        <f t="shared" si="3"/>
        <v>0</v>
      </c>
      <c r="E121" s="312"/>
      <c r="F121" s="312"/>
      <c r="G121" s="373">
        <f t="shared" si="4"/>
        <v>0</v>
      </c>
    </row>
    <row r="122" spans="1:7" hidden="1">
      <c r="A122" s="174" t="s">
        <v>218</v>
      </c>
      <c r="B122" s="313">
        <v>0</v>
      </c>
      <c r="C122" s="313">
        <v>0</v>
      </c>
      <c r="D122" s="325">
        <f t="shared" si="3"/>
        <v>0</v>
      </c>
      <c r="E122" s="312"/>
      <c r="F122" s="312"/>
      <c r="G122" s="373">
        <f t="shared" si="4"/>
        <v>0</v>
      </c>
    </row>
    <row r="123" spans="1:7" hidden="1">
      <c r="A123" s="174" t="s">
        <v>219</v>
      </c>
      <c r="B123" s="313">
        <v>0</v>
      </c>
      <c r="C123" s="313">
        <v>0</v>
      </c>
      <c r="D123" s="325">
        <f t="shared" si="3"/>
        <v>0</v>
      </c>
      <c r="E123" s="312"/>
      <c r="F123" s="312"/>
      <c r="G123" s="373">
        <f t="shared" si="4"/>
        <v>0</v>
      </c>
    </row>
    <row r="124" spans="1:7" hidden="1">
      <c r="A124" s="174" t="s">
        <v>220</v>
      </c>
      <c r="B124" s="313">
        <v>0</v>
      </c>
      <c r="C124" s="313">
        <v>0</v>
      </c>
      <c r="D124" s="325">
        <f t="shared" si="3"/>
        <v>0</v>
      </c>
      <c r="E124" s="312"/>
      <c r="F124" s="312"/>
      <c r="G124" s="373">
        <f t="shared" si="4"/>
        <v>0</v>
      </c>
    </row>
    <row r="125" spans="1:7" hidden="1">
      <c r="A125" s="174" t="s">
        <v>221</v>
      </c>
      <c r="B125" s="313">
        <v>0</v>
      </c>
      <c r="C125" s="313">
        <v>0</v>
      </c>
      <c r="D125" s="325">
        <f t="shared" si="3"/>
        <v>0</v>
      </c>
      <c r="E125" s="312"/>
      <c r="F125" s="312"/>
      <c r="G125" s="373">
        <f t="shared" si="4"/>
        <v>0</v>
      </c>
    </row>
    <row r="126" spans="1:7" hidden="1">
      <c r="A126" s="174" t="s">
        <v>222</v>
      </c>
      <c r="B126" s="313">
        <v>0</v>
      </c>
      <c r="C126" s="313">
        <v>0</v>
      </c>
      <c r="D126" s="325">
        <f t="shared" si="3"/>
        <v>0</v>
      </c>
      <c r="E126" s="312"/>
      <c r="F126" s="312"/>
      <c r="G126" s="373">
        <f t="shared" si="4"/>
        <v>0</v>
      </c>
    </row>
    <row r="127" spans="1:7" hidden="1">
      <c r="A127" s="174" t="s">
        <v>599</v>
      </c>
      <c r="B127" s="313">
        <v>0</v>
      </c>
      <c r="C127" s="313">
        <v>0</v>
      </c>
      <c r="D127" s="325">
        <f t="shared" si="3"/>
        <v>0</v>
      </c>
      <c r="E127" s="312"/>
      <c r="F127" s="312"/>
      <c r="G127" s="373">
        <f t="shared" si="4"/>
        <v>0</v>
      </c>
    </row>
    <row r="128" spans="1:7" hidden="1">
      <c r="A128" s="174" t="s">
        <v>224</v>
      </c>
      <c r="B128" s="313">
        <v>0</v>
      </c>
      <c r="C128" s="313">
        <v>0</v>
      </c>
      <c r="D128" s="325">
        <f t="shared" si="3"/>
        <v>0</v>
      </c>
      <c r="E128" s="312"/>
      <c r="F128" s="312"/>
      <c r="G128" s="373">
        <f t="shared" si="4"/>
        <v>0</v>
      </c>
    </row>
    <row r="129" spans="1:7" hidden="1">
      <c r="A129" s="174" t="s">
        <v>225</v>
      </c>
      <c r="B129" s="313">
        <v>0</v>
      </c>
      <c r="C129" s="313">
        <v>0</v>
      </c>
      <c r="D129" s="325">
        <f t="shared" si="3"/>
        <v>0</v>
      </c>
      <c r="E129" s="312"/>
      <c r="F129" s="312"/>
      <c r="G129" s="373">
        <f t="shared" si="4"/>
        <v>0</v>
      </c>
    </row>
    <row r="130" spans="1:7" hidden="1">
      <c r="A130" s="174" t="s">
        <v>226</v>
      </c>
      <c r="B130" s="313">
        <v>0</v>
      </c>
      <c r="C130" s="313">
        <v>0</v>
      </c>
      <c r="D130" s="325">
        <f t="shared" si="3"/>
        <v>0</v>
      </c>
      <c r="E130" s="312"/>
      <c r="F130" s="312"/>
      <c r="G130" s="373">
        <f t="shared" si="4"/>
        <v>0</v>
      </c>
    </row>
    <row r="131" spans="1:7" hidden="1">
      <c r="A131" s="174">
        <v>444136</v>
      </c>
      <c r="B131" s="313">
        <v>0</v>
      </c>
      <c r="C131" s="313">
        <v>0</v>
      </c>
      <c r="D131" s="325">
        <f t="shared" si="3"/>
        <v>0</v>
      </c>
      <c r="E131" s="312"/>
      <c r="F131" s="312"/>
      <c r="G131" s="373">
        <f t="shared" si="4"/>
        <v>0</v>
      </c>
    </row>
    <row r="132" spans="1:7" hidden="1">
      <c r="A132" s="174" t="s">
        <v>228</v>
      </c>
      <c r="B132" s="313">
        <v>0</v>
      </c>
      <c r="C132" s="313">
        <v>0</v>
      </c>
      <c r="D132" s="325">
        <f t="shared" si="3"/>
        <v>0</v>
      </c>
      <c r="E132" s="312"/>
      <c r="F132" s="312"/>
      <c r="G132" s="373">
        <f t="shared" si="4"/>
        <v>0</v>
      </c>
    </row>
    <row r="133" spans="1:7" hidden="1">
      <c r="A133" s="174">
        <v>174034833</v>
      </c>
      <c r="B133" s="313">
        <v>0</v>
      </c>
      <c r="C133" s="313">
        <v>0</v>
      </c>
      <c r="D133" s="325">
        <f t="shared" si="3"/>
        <v>0</v>
      </c>
      <c r="E133" s="312"/>
      <c r="F133" s="312"/>
      <c r="G133" s="373">
        <f t="shared" si="4"/>
        <v>0</v>
      </c>
    </row>
    <row r="134" spans="1:7" hidden="1">
      <c r="A134" s="174">
        <v>174034834</v>
      </c>
      <c r="B134" s="313">
        <v>0</v>
      </c>
      <c r="C134" s="313">
        <v>0</v>
      </c>
      <c r="D134" s="325">
        <f t="shared" si="3"/>
        <v>0</v>
      </c>
      <c r="E134" s="312"/>
      <c r="F134" s="312"/>
      <c r="G134" s="373">
        <f t="shared" si="4"/>
        <v>0</v>
      </c>
    </row>
    <row r="135" spans="1:7" hidden="1">
      <c r="A135" s="174">
        <v>174034840</v>
      </c>
      <c r="B135" s="313">
        <v>0</v>
      </c>
      <c r="C135" s="313">
        <v>0</v>
      </c>
      <c r="D135" s="325">
        <f t="shared" ref="D135:D198" si="5">C135-B135</f>
        <v>0</v>
      </c>
      <c r="E135" s="312"/>
      <c r="F135" s="312"/>
      <c r="G135" s="373">
        <f t="shared" ref="G135:G198" si="6">+D135-E135-F135</f>
        <v>0</v>
      </c>
    </row>
    <row r="136" spans="1:7" hidden="1">
      <c r="A136" s="174">
        <v>174034863</v>
      </c>
      <c r="B136" s="313">
        <v>0</v>
      </c>
      <c r="C136" s="313">
        <v>0</v>
      </c>
      <c r="D136" s="325">
        <f t="shared" si="5"/>
        <v>0</v>
      </c>
      <c r="E136" s="312"/>
      <c r="F136" s="312"/>
      <c r="G136" s="373">
        <f t="shared" si="6"/>
        <v>0</v>
      </c>
    </row>
    <row r="137" spans="1:7" hidden="1">
      <c r="A137" s="174">
        <v>181013004</v>
      </c>
      <c r="B137" s="313">
        <v>0</v>
      </c>
      <c r="C137" s="313">
        <v>0</v>
      </c>
      <c r="D137" s="325">
        <f t="shared" si="5"/>
        <v>0</v>
      </c>
      <c r="E137" s="312"/>
      <c r="F137" s="312"/>
      <c r="G137" s="373">
        <f t="shared" si="6"/>
        <v>0</v>
      </c>
    </row>
    <row r="138" spans="1:7" hidden="1">
      <c r="A138" s="174">
        <v>100003498</v>
      </c>
      <c r="B138" s="313">
        <v>0</v>
      </c>
      <c r="C138" s="313">
        <v>0</v>
      </c>
      <c r="D138" s="325">
        <f t="shared" si="5"/>
        <v>0</v>
      </c>
      <c r="E138" s="312"/>
      <c r="F138" s="312"/>
      <c r="G138" s="373">
        <f t="shared" si="6"/>
        <v>0</v>
      </c>
    </row>
    <row r="139" spans="1:7" hidden="1">
      <c r="A139" s="174">
        <v>100003560</v>
      </c>
      <c r="B139" s="313">
        <v>0</v>
      </c>
      <c r="C139" s="313">
        <v>0</v>
      </c>
      <c r="D139" s="325">
        <f t="shared" si="5"/>
        <v>0</v>
      </c>
      <c r="E139" s="312"/>
      <c r="F139" s="312"/>
      <c r="G139" s="373">
        <f t="shared" si="6"/>
        <v>0</v>
      </c>
    </row>
    <row r="140" spans="1:7" hidden="1">
      <c r="A140" s="174">
        <v>100003581</v>
      </c>
      <c r="B140" s="313">
        <v>0</v>
      </c>
      <c r="C140" s="313">
        <v>0</v>
      </c>
      <c r="D140" s="325">
        <f t="shared" si="5"/>
        <v>0</v>
      </c>
      <c r="E140" s="312"/>
      <c r="F140" s="312"/>
      <c r="G140" s="373">
        <f t="shared" si="6"/>
        <v>0</v>
      </c>
    </row>
    <row r="141" spans="1:7" hidden="1">
      <c r="A141" s="174">
        <v>100003599</v>
      </c>
      <c r="B141" s="313">
        <v>0</v>
      </c>
      <c r="C141" s="313">
        <v>0</v>
      </c>
      <c r="D141" s="325">
        <f t="shared" si="5"/>
        <v>0</v>
      </c>
      <c r="E141" s="312"/>
      <c r="F141" s="312"/>
      <c r="G141" s="373">
        <f t="shared" si="6"/>
        <v>0</v>
      </c>
    </row>
    <row r="142" spans="1:7" hidden="1">
      <c r="A142" s="174">
        <v>100016414</v>
      </c>
      <c r="B142" s="313">
        <v>0</v>
      </c>
      <c r="C142" s="313">
        <v>0</v>
      </c>
      <c r="D142" s="325">
        <f t="shared" si="5"/>
        <v>0</v>
      </c>
      <c r="E142" s="312"/>
      <c r="F142" s="312"/>
      <c r="G142" s="373">
        <f t="shared" si="6"/>
        <v>0</v>
      </c>
    </row>
    <row r="143" spans="1:7" hidden="1">
      <c r="A143" s="174">
        <v>69216</v>
      </c>
      <c r="B143" s="313">
        <v>160</v>
      </c>
      <c r="C143" s="313">
        <f>VLOOKUP(A143,[3]cutting!$A$4:$C$151,3,0)</f>
        <v>160</v>
      </c>
      <c r="D143" s="325">
        <f t="shared" si="5"/>
        <v>0</v>
      </c>
      <c r="E143" s="312"/>
      <c r="F143" s="312"/>
      <c r="G143" s="373">
        <f t="shared" si="6"/>
        <v>0</v>
      </c>
    </row>
    <row r="144" spans="1:7" hidden="1">
      <c r="A144" s="174" t="s">
        <v>229</v>
      </c>
      <c r="B144" s="313">
        <v>0</v>
      </c>
      <c r="C144" s="313">
        <v>0</v>
      </c>
      <c r="D144" s="325">
        <f t="shared" si="5"/>
        <v>0</v>
      </c>
      <c r="E144" s="312"/>
      <c r="F144" s="312"/>
      <c r="G144" s="373">
        <f t="shared" si="6"/>
        <v>0</v>
      </c>
    </row>
    <row r="145" spans="1:7" hidden="1">
      <c r="A145" s="174">
        <v>451230</v>
      </c>
      <c r="B145" s="313">
        <v>0</v>
      </c>
      <c r="C145" s="313">
        <v>0</v>
      </c>
      <c r="D145" s="325">
        <f t="shared" si="5"/>
        <v>0</v>
      </c>
      <c r="E145" s="312"/>
      <c r="F145" s="312"/>
      <c r="G145" s="373">
        <f t="shared" si="6"/>
        <v>0</v>
      </c>
    </row>
    <row r="146" spans="1:7" hidden="1">
      <c r="A146" s="174">
        <v>451311</v>
      </c>
      <c r="B146" s="313">
        <v>0</v>
      </c>
      <c r="C146" s="313">
        <v>0</v>
      </c>
      <c r="D146" s="325">
        <f t="shared" si="5"/>
        <v>0</v>
      </c>
      <c r="E146" s="312"/>
      <c r="F146" s="312"/>
      <c r="G146" s="373">
        <f t="shared" si="6"/>
        <v>0</v>
      </c>
    </row>
    <row r="147" spans="1:7" hidden="1">
      <c r="A147" s="174">
        <v>451365</v>
      </c>
      <c r="B147" s="313">
        <v>0</v>
      </c>
      <c r="C147" s="313">
        <v>0</v>
      </c>
      <c r="D147" s="325">
        <f t="shared" si="5"/>
        <v>0</v>
      </c>
      <c r="E147" s="312"/>
      <c r="F147" s="312"/>
      <c r="G147" s="373">
        <f t="shared" si="6"/>
        <v>0</v>
      </c>
    </row>
    <row r="148" spans="1:7" hidden="1">
      <c r="A148" s="174">
        <v>453089</v>
      </c>
      <c r="B148" s="313">
        <v>0</v>
      </c>
      <c r="C148" s="313">
        <v>0</v>
      </c>
      <c r="D148" s="325">
        <f t="shared" si="5"/>
        <v>0</v>
      </c>
      <c r="E148" s="312"/>
      <c r="F148" s="312"/>
      <c r="G148" s="373">
        <f t="shared" si="6"/>
        <v>0</v>
      </c>
    </row>
    <row r="149" spans="1:7" hidden="1">
      <c r="A149" s="174" t="s">
        <v>230</v>
      </c>
      <c r="B149" s="313">
        <v>0</v>
      </c>
      <c r="C149" s="313">
        <v>0</v>
      </c>
      <c r="D149" s="325">
        <f t="shared" si="5"/>
        <v>0</v>
      </c>
      <c r="E149" s="312"/>
      <c r="F149" s="312"/>
      <c r="G149" s="373">
        <f t="shared" si="6"/>
        <v>0</v>
      </c>
    </row>
    <row r="150" spans="1:7" hidden="1">
      <c r="A150" s="174">
        <v>453590</v>
      </c>
      <c r="B150" s="313">
        <v>0</v>
      </c>
      <c r="C150" s="313">
        <v>0</v>
      </c>
      <c r="D150" s="325">
        <f t="shared" si="5"/>
        <v>0</v>
      </c>
      <c r="E150" s="312"/>
      <c r="F150" s="312"/>
      <c r="G150" s="373">
        <f t="shared" si="6"/>
        <v>0</v>
      </c>
    </row>
    <row r="151" spans="1:7" hidden="1">
      <c r="A151" s="174" t="s">
        <v>231</v>
      </c>
      <c r="B151" s="313">
        <v>0</v>
      </c>
      <c r="C151" s="313">
        <v>0</v>
      </c>
      <c r="D151" s="325">
        <f t="shared" si="5"/>
        <v>0</v>
      </c>
      <c r="E151" s="312"/>
      <c r="F151" s="312"/>
      <c r="G151" s="373">
        <f t="shared" si="6"/>
        <v>0</v>
      </c>
    </row>
    <row r="152" spans="1:7" hidden="1">
      <c r="A152" s="174" t="s">
        <v>232</v>
      </c>
      <c r="B152" s="313">
        <v>0</v>
      </c>
      <c r="C152" s="313">
        <v>0</v>
      </c>
      <c r="D152" s="325">
        <f t="shared" si="5"/>
        <v>0</v>
      </c>
      <c r="E152" s="312"/>
      <c r="F152" s="312"/>
      <c r="G152" s="373">
        <f t="shared" si="6"/>
        <v>0</v>
      </c>
    </row>
    <row r="153" spans="1:7" hidden="1">
      <c r="A153" s="174">
        <v>457839</v>
      </c>
      <c r="B153" s="313">
        <v>0</v>
      </c>
      <c r="C153" s="313">
        <v>0</v>
      </c>
      <c r="D153" s="325">
        <f t="shared" si="5"/>
        <v>0</v>
      </c>
      <c r="E153" s="312"/>
      <c r="F153" s="312"/>
      <c r="G153" s="373">
        <f t="shared" si="6"/>
        <v>0</v>
      </c>
    </row>
    <row r="154" spans="1:7" hidden="1">
      <c r="A154" s="174">
        <v>457840</v>
      </c>
      <c r="B154" s="313">
        <v>0</v>
      </c>
      <c r="C154" s="313">
        <v>0</v>
      </c>
      <c r="D154" s="325">
        <f t="shared" si="5"/>
        <v>0</v>
      </c>
      <c r="E154" s="312"/>
      <c r="F154" s="312"/>
      <c r="G154" s="373">
        <f t="shared" si="6"/>
        <v>0</v>
      </c>
    </row>
    <row r="155" spans="1:7" hidden="1">
      <c r="A155" s="174">
        <v>457841</v>
      </c>
      <c r="B155" s="313">
        <v>0</v>
      </c>
      <c r="C155" s="313">
        <v>0</v>
      </c>
      <c r="D155" s="325">
        <f t="shared" si="5"/>
        <v>0</v>
      </c>
      <c r="E155" s="312"/>
      <c r="F155" s="312"/>
      <c r="G155" s="373">
        <f t="shared" si="6"/>
        <v>0</v>
      </c>
    </row>
    <row r="156" spans="1:7" hidden="1">
      <c r="A156" s="174">
        <v>457842</v>
      </c>
      <c r="B156" s="313">
        <v>0</v>
      </c>
      <c r="C156" s="313">
        <v>0</v>
      </c>
      <c r="D156" s="325">
        <f t="shared" si="5"/>
        <v>0</v>
      </c>
      <c r="E156" s="312"/>
      <c r="F156" s="312"/>
      <c r="G156" s="373">
        <f t="shared" si="6"/>
        <v>0</v>
      </c>
    </row>
    <row r="157" spans="1:7" hidden="1">
      <c r="A157" s="174" t="s">
        <v>233</v>
      </c>
      <c r="B157" s="313">
        <v>0</v>
      </c>
      <c r="C157" s="313">
        <v>0</v>
      </c>
      <c r="D157" s="325">
        <f t="shared" si="5"/>
        <v>0</v>
      </c>
      <c r="E157" s="312"/>
      <c r="F157" s="312"/>
      <c r="G157" s="373">
        <f t="shared" si="6"/>
        <v>0</v>
      </c>
    </row>
    <row r="158" spans="1:7" hidden="1">
      <c r="A158" s="174">
        <v>458624</v>
      </c>
      <c r="B158" s="313">
        <v>0</v>
      </c>
      <c r="C158" s="313">
        <v>0</v>
      </c>
      <c r="D158" s="325">
        <f t="shared" si="5"/>
        <v>0</v>
      </c>
      <c r="E158" s="312"/>
      <c r="F158" s="312"/>
      <c r="G158" s="373">
        <f t="shared" si="6"/>
        <v>0</v>
      </c>
    </row>
    <row r="159" spans="1:7" hidden="1">
      <c r="A159" s="174">
        <v>458626</v>
      </c>
      <c r="B159" s="313">
        <v>0</v>
      </c>
      <c r="C159" s="313">
        <v>0</v>
      </c>
      <c r="D159" s="325">
        <f t="shared" si="5"/>
        <v>0</v>
      </c>
      <c r="E159" s="312"/>
      <c r="F159" s="312"/>
      <c r="G159" s="373">
        <f t="shared" si="6"/>
        <v>0</v>
      </c>
    </row>
    <row r="160" spans="1:7" hidden="1">
      <c r="A160" s="174">
        <v>459044</v>
      </c>
      <c r="B160" s="313">
        <v>0</v>
      </c>
      <c r="C160" s="313">
        <v>0</v>
      </c>
      <c r="D160" s="325">
        <f t="shared" si="5"/>
        <v>0</v>
      </c>
      <c r="E160" s="312"/>
      <c r="F160" s="312"/>
      <c r="G160" s="373">
        <f t="shared" si="6"/>
        <v>0</v>
      </c>
    </row>
    <row r="161" spans="1:7" hidden="1">
      <c r="A161" s="174">
        <v>459046</v>
      </c>
      <c r="B161" s="313">
        <v>0</v>
      </c>
      <c r="C161" s="313">
        <v>0</v>
      </c>
      <c r="D161" s="325">
        <f t="shared" si="5"/>
        <v>0</v>
      </c>
      <c r="E161" s="312"/>
      <c r="F161" s="312"/>
      <c r="G161" s="373">
        <f t="shared" si="6"/>
        <v>0</v>
      </c>
    </row>
    <row r="162" spans="1:7" hidden="1">
      <c r="A162" s="174">
        <v>459199</v>
      </c>
      <c r="B162" s="313">
        <v>0</v>
      </c>
      <c r="C162" s="313">
        <v>0</v>
      </c>
      <c r="D162" s="325">
        <f t="shared" si="5"/>
        <v>0</v>
      </c>
      <c r="E162" s="312"/>
      <c r="F162" s="312"/>
      <c r="G162" s="373">
        <f t="shared" si="6"/>
        <v>0</v>
      </c>
    </row>
    <row r="163" spans="1:7" hidden="1">
      <c r="A163" s="174">
        <v>459200</v>
      </c>
      <c r="B163" s="313">
        <v>0</v>
      </c>
      <c r="C163" s="313">
        <v>0</v>
      </c>
      <c r="D163" s="325">
        <f t="shared" si="5"/>
        <v>0</v>
      </c>
      <c r="E163" s="312"/>
      <c r="F163" s="312"/>
      <c r="G163" s="373">
        <f t="shared" si="6"/>
        <v>0</v>
      </c>
    </row>
    <row r="164" spans="1:7" hidden="1">
      <c r="A164" s="174">
        <v>459648</v>
      </c>
      <c r="B164" s="313">
        <v>0</v>
      </c>
      <c r="C164" s="313">
        <v>0</v>
      </c>
      <c r="D164" s="325">
        <f t="shared" si="5"/>
        <v>0</v>
      </c>
      <c r="E164" s="312"/>
      <c r="F164" s="312"/>
      <c r="G164" s="373">
        <f t="shared" si="6"/>
        <v>0</v>
      </c>
    </row>
    <row r="165" spans="1:7" hidden="1">
      <c r="A165" s="174">
        <v>459700</v>
      </c>
      <c r="B165" s="313">
        <v>0</v>
      </c>
      <c r="C165" s="313">
        <v>0</v>
      </c>
      <c r="D165" s="325">
        <f t="shared" si="5"/>
        <v>0</v>
      </c>
      <c r="E165" s="312"/>
      <c r="F165" s="312"/>
      <c r="G165" s="373">
        <f t="shared" si="6"/>
        <v>0</v>
      </c>
    </row>
    <row r="166" spans="1:7" hidden="1">
      <c r="A166" s="174">
        <v>459701</v>
      </c>
      <c r="B166" s="313">
        <v>0</v>
      </c>
      <c r="C166" s="313">
        <v>0</v>
      </c>
      <c r="D166" s="325">
        <f t="shared" si="5"/>
        <v>0</v>
      </c>
      <c r="E166" s="312"/>
      <c r="F166" s="312"/>
      <c r="G166" s="373">
        <f t="shared" si="6"/>
        <v>0</v>
      </c>
    </row>
    <row r="167" spans="1:7" hidden="1">
      <c r="A167" s="174">
        <v>459702</v>
      </c>
      <c r="B167" s="313">
        <v>0</v>
      </c>
      <c r="C167" s="313">
        <v>0</v>
      </c>
      <c r="D167" s="325">
        <f t="shared" si="5"/>
        <v>0</v>
      </c>
      <c r="E167" s="312"/>
      <c r="F167" s="312"/>
      <c r="G167" s="373">
        <f t="shared" si="6"/>
        <v>0</v>
      </c>
    </row>
    <row r="168" spans="1:7" hidden="1">
      <c r="A168" s="174">
        <v>459703</v>
      </c>
      <c r="B168" s="313">
        <v>0</v>
      </c>
      <c r="C168" s="313">
        <v>0</v>
      </c>
      <c r="D168" s="325">
        <f t="shared" si="5"/>
        <v>0</v>
      </c>
      <c r="E168" s="312"/>
      <c r="F168" s="312"/>
      <c r="G168" s="373">
        <f t="shared" si="6"/>
        <v>0</v>
      </c>
    </row>
    <row r="169" spans="1:7" hidden="1">
      <c r="A169" s="174">
        <v>459704</v>
      </c>
      <c r="B169" s="313">
        <v>0</v>
      </c>
      <c r="C169" s="313">
        <v>0</v>
      </c>
      <c r="D169" s="325">
        <f t="shared" si="5"/>
        <v>0</v>
      </c>
      <c r="E169" s="312"/>
      <c r="F169" s="312"/>
      <c r="G169" s="373">
        <f t="shared" si="6"/>
        <v>0</v>
      </c>
    </row>
    <row r="170" spans="1:7" hidden="1">
      <c r="A170" s="174">
        <v>459715</v>
      </c>
      <c r="B170" s="313">
        <v>0</v>
      </c>
      <c r="C170" s="313">
        <v>0</v>
      </c>
      <c r="D170" s="325">
        <f t="shared" si="5"/>
        <v>0</v>
      </c>
      <c r="E170" s="312"/>
      <c r="F170" s="312"/>
      <c r="G170" s="373">
        <f t="shared" si="6"/>
        <v>0</v>
      </c>
    </row>
    <row r="171" spans="1:7" hidden="1">
      <c r="A171" s="174">
        <v>460424</v>
      </c>
      <c r="B171" s="313">
        <v>0</v>
      </c>
      <c r="C171" s="313">
        <v>0</v>
      </c>
      <c r="D171" s="325">
        <f t="shared" si="5"/>
        <v>0</v>
      </c>
      <c r="E171" s="312"/>
      <c r="F171" s="312"/>
      <c r="G171" s="373">
        <f t="shared" si="6"/>
        <v>0</v>
      </c>
    </row>
    <row r="172" spans="1:7" hidden="1">
      <c r="A172" s="174">
        <v>460886</v>
      </c>
      <c r="B172" s="313">
        <v>0</v>
      </c>
      <c r="C172" s="313">
        <v>0</v>
      </c>
      <c r="D172" s="325">
        <f t="shared" si="5"/>
        <v>0</v>
      </c>
      <c r="E172" s="312"/>
      <c r="F172" s="312"/>
      <c r="G172" s="373">
        <f t="shared" si="6"/>
        <v>0</v>
      </c>
    </row>
    <row r="173" spans="1:7" hidden="1">
      <c r="A173" s="174">
        <v>100014612</v>
      </c>
      <c r="B173" s="313">
        <v>0</v>
      </c>
      <c r="C173" s="313">
        <v>0</v>
      </c>
      <c r="D173" s="325">
        <f t="shared" si="5"/>
        <v>0</v>
      </c>
      <c r="E173" s="312"/>
      <c r="F173" s="312"/>
      <c r="G173" s="373">
        <f t="shared" si="6"/>
        <v>0</v>
      </c>
    </row>
    <row r="174" spans="1:7" hidden="1">
      <c r="A174" s="174">
        <v>100014882</v>
      </c>
      <c r="B174" s="313">
        <v>0</v>
      </c>
      <c r="C174" s="313">
        <v>0</v>
      </c>
      <c r="D174" s="325">
        <f t="shared" si="5"/>
        <v>0</v>
      </c>
      <c r="E174" s="312"/>
      <c r="F174" s="312"/>
      <c r="G174" s="373">
        <f t="shared" si="6"/>
        <v>0</v>
      </c>
    </row>
    <row r="175" spans="1:7" hidden="1">
      <c r="A175" s="174" t="s">
        <v>600</v>
      </c>
      <c r="B175" s="313">
        <v>0</v>
      </c>
      <c r="C175" s="313">
        <v>0</v>
      </c>
      <c r="D175" s="325">
        <f t="shared" si="5"/>
        <v>0</v>
      </c>
      <c r="E175" s="312"/>
      <c r="F175" s="312"/>
      <c r="G175" s="373">
        <f t="shared" si="6"/>
        <v>0</v>
      </c>
    </row>
    <row r="176" spans="1:7" hidden="1">
      <c r="A176" s="174" t="s">
        <v>235</v>
      </c>
      <c r="B176" s="313">
        <v>0</v>
      </c>
      <c r="C176" s="313">
        <v>0</v>
      </c>
      <c r="D176" s="325">
        <f t="shared" si="5"/>
        <v>0</v>
      </c>
      <c r="E176" s="312"/>
      <c r="F176" s="312"/>
      <c r="G176" s="373">
        <f t="shared" si="6"/>
        <v>0</v>
      </c>
    </row>
    <row r="177" spans="1:7" hidden="1">
      <c r="A177" s="174">
        <v>100008562</v>
      </c>
      <c r="B177" s="313">
        <v>0</v>
      </c>
      <c r="C177" s="313">
        <v>0</v>
      </c>
      <c r="D177" s="325">
        <f t="shared" si="5"/>
        <v>0</v>
      </c>
      <c r="E177" s="312"/>
      <c r="F177" s="312"/>
      <c r="G177" s="373">
        <f t="shared" si="6"/>
        <v>0</v>
      </c>
    </row>
    <row r="178" spans="1:7" hidden="1">
      <c r="A178" s="174">
        <v>100008572</v>
      </c>
      <c r="B178" s="313">
        <v>0</v>
      </c>
      <c r="C178" s="313">
        <v>0</v>
      </c>
      <c r="D178" s="325">
        <f t="shared" si="5"/>
        <v>0</v>
      </c>
      <c r="E178" s="312"/>
      <c r="F178" s="312"/>
      <c r="G178" s="373">
        <f t="shared" si="6"/>
        <v>0</v>
      </c>
    </row>
    <row r="179" spans="1:7" hidden="1">
      <c r="A179" s="174">
        <v>100008587</v>
      </c>
      <c r="B179" s="313">
        <v>0</v>
      </c>
      <c r="C179" s="313">
        <v>0</v>
      </c>
      <c r="D179" s="325">
        <f t="shared" si="5"/>
        <v>0</v>
      </c>
      <c r="E179" s="312"/>
      <c r="F179" s="312"/>
      <c r="G179" s="373">
        <f t="shared" si="6"/>
        <v>0</v>
      </c>
    </row>
    <row r="180" spans="1:7" hidden="1">
      <c r="A180" s="174">
        <v>100008588</v>
      </c>
      <c r="B180" s="313">
        <v>0</v>
      </c>
      <c r="C180" s="313">
        <v>0</v>
      </c>
      <c r="D180" s="325">
        <f t="shared" si="5"/>
        <v>0</v>
      </c>
      <c r="E180" s="312"/>
      <c r="F180" s="312"/>
      <c r="G180" s="373">
        <f t="shared" si="6"/>
        <v>0</v>
      </c>
    </row>
    <row r="181" spans="1:7" hidden="1">
      <c r="A181" s="174">
        <v>100008624</v>
      </c>
      <c r="B181" s="313">
        <v>0</v>
      </c>
      <c r="C181" s="313">
        <v>0</v>
      </c>
      <c r="D181" s="325">
        <f t="shared" si="5"/>
        <v>0</v>
      </c>
      <c r="E181" s="312"/>
      <c r="F181" s="312"/>
      <c r="G181" s="373">
        <f t="shared" si="6"/>
        <v>0</v>
      </c>
    </row>
    <row r="182" spans="1:7" hidden="1">
      <c r="A182" s="174">
        <v>100008652</v>
      </c>
      <c r="B182" s="313">
        <v>0</v>
      </c>
      <c r="C182" s="313">
        <v>0</v>
      </c>
      <c r="D182" s="325">
        <f t="shared" si="5"/>
        <v>0</v>
      </c>
      <c r="E182" s="312"/>
      <c r="F182" s="312"/>
      <c r="G182" s="373">
        <f t="shared" si="6"/>
        <v>0</v>
      </c>
    </row>
    <row r="183" spans="1:7" hidden="1">
      <c r="A183" s="174">
        <v>100008653</v>
      </c>
      <c r="B183" s="313">
        <v>0</v>
      </c>
      <c r="C183" s="313">
        <v>0</v>
      </c>
      <c r="D183" s="325">
        <f t="shared" si="5"/>
        <v>0</v>
      </c>
      <c r="E183" s="312"/>
      <c r="F183" s="312"/>
      <c r="G183" s="373">
        <f t="shared" si="6"/>
        <v>0</v>
      </c>
    </row>
    <row r="184" spans="1:7" hidden="1">
      <c r="A184" s="174">
        <v>100008702</v>
      </c>
      <c r="B184" s="313">
        <v>0</v>
      </c>
      <c r="C184" s="313">
        <v>0</v>
      </c>
      <c r="D184" s="325">
        <f t="shared" si="5"/>
        <v>0</v>
      </c>
      <c r="E184" s="312"/>
      <c r="F184" s="312"/>
      <c r="G184" s="373">
        <f t="shared" si="6"/>
        <v>0</v>
      </c>
    </row>
    <row r="185" spans="1:7" hidden="1">
      <c r="A185" s="174">
        <v>100008703</v>
      </c>
      <c r="B185" s="313">
        <v>0</v>
      </c>
      <c r="C185" s="313">
        <v>0</v>
      </c>
      <c r="D185" s="325">
        <f t="shared" si="5"/>
        <v>0</v>
      </c>
      <c r="E185" s="312"/>
      <c r="F185" s="312"/>
      <c r="G185" s="373">
        <f t="shared" si="6"/>
        <v>0</v>
      </c>
    </row>
    <row r="186" spans="1:7" hidden="1">
      <c r="A186" s="174">
        <v>100008704</v>
      </c>
      <c r="B186" s="313">
        <v>8432</v>
      </c>
      <c r="C186" s="313">
        <v>8432</v>
      </c>
      <c r="D186" s="325">
        <f t="shared" si="5"/>
        <v>0</v>
      </c>
      <c r="E186" s="312"/>
      <c r="F186" s="312"/>
      <c r="G186" s="373">
        <f t="shared" si="6"/>
        <v>0</v>
      </c>
    </row>
    <row r="187" spans="1:7" hidden="1">
      <c r="A187" s="174">
        <v>100008706</v>
      </c>
      <c r="B187" s="313">
        <v>0</v>
      </c>
      <c r="C187" s="313">
        <v>0</v>
      </c>
      <c r="D187" s="325">
        <f t="shared" si="5"/>
        <v>0</v>
      </c>
      <c r="E187" s="312"/>
      <c r="F187" s="312"/>
      <c r="G187" s="373">
        <f t="shared" si="6"/>
        <v>0</v>
      </c>
    </row>
    <row r="188" spans="1:7" hidden="1">
      <c r="A188" s="174">
        <v>100008707</v>
      </c>
      <c r="B188" s="313">
        <v>0</v>
      </c>
      <c r="C188" s="313">
        <v>0</v>
      </c>
      <c r="D188" s="325">
        <f t="shared" si="5"/>
        <v>0</v>
      </c>
      <c r="E188" s="312"/>
      <c r="F188" s="312"/>
      <c r="G188" s="373">
        <f t="shared" si="6"/>
        <v>0</v>
      </c>
    </row>
    <row r="189" spans="1:7" hidden="1">
      <c r="A189" s="174">
        <v>100008708</v>
      </c>
      <c r="B189" s="313">
        <v>0</v>
      </c>
      <c r="C189" s="313">
        <v>0</v>
      </c>
      <c r="D189" s="325">
        <f t="shared" si="5"/>
        <v>0</v>
      </c>
      <c r="E189" s="312"/>
      <c r="F189" s="312"/>
      <c r="G189" s="373">
        <f t="shared" si="6"/>
        <v>0</v>
      </c>
    </row>
    <row r="190" spans="1:7" hidden="1">
      <c r="A190" s="174">
        <v>100008709</v>
      </c>
      <c r="B190" s="313">
        <v>0</v>
      </c>
      <c r="C190" s="313">
        <v>0</v>
      </c>
      <c r="D190" s="325">
        <f t="shared" si="5"/>
        <v>0</v>
      </c>
      <c r="E190" s="312"/>
      <c r="F190" s="312"/>
      <c r="G190" s="373">
        <f t="shared" si="6"/>
        <v>0</v>
      </c>
    </row>
    <row r="191" spans="1:7" hidden="1">
      <c r="A191" s="174">
        <v>100008714</v>
      </c>
      <c r="B191" s="313">
        <v>0</v>
      </c>
      <c r="C191" s="313">
        <v>0</v>
      </c>
      <c r="D191" s="325">
        <f t="shared" si="5"/>
        <v>0</v>
      </c>
      <c r="E191" s="312"/>
      <c r="F191" s="312"/>
      <c r="G191" s="373">
        <f t="shared" si="6"/>
        <v>0</v>
      </c>
    </row>
    <row r="192" spans="1:7" hidden="1">
      <c r="A192" s="174">
        <v>100008716</v>
      </c>
      <c r="B192" s="313">
        <v>0</v>
      </c>
      <c r="C192" s="313">
        <v>0</v>
      </c>
      <c r="D192" s="325">
        <f t="shared" si="5"/>
        <v>0</v>
      </c>
      <c r="E192" s="312"/>
      <c r="F192" s="312"/>
      <c r="G192" s="373">
        <f t="shared" si="6"/>
        <v>0</v>
      </c>
    </row>
    <row r="193" spans="1:7" hidden="1">
      <c r="A193" s="174">
        <v>100008730</v>
      </c>
      <c r="B193" s="313">
        <v>0</v>
      </c>
      <c r="C193" s="313">
        <v>0</v>
      </c>
      <c r="D193" s="325">
        <f t="shared" si="5"/>
        <v>0</v>
      </c>
      <c r="E193" s="312"/>
      <c r="F193" s="312"/>
      <c r="G193" s="373">
        <f t="shared" si="6"/>
        <v>0</v>
      </c>
    </row>
    <row r="194" spans="1:7" hidden="1">
      <c r="A194" s="174">
        <v>100008747</v>
      </c>
      <c r="B194" s="313">
        <v>0</v>
      </c>
      <c r="C194" s="313">
        <v>0</v>
      </c>
      <c r="D194" s="325">
        <f t="shared" si="5"/>
        <v>0</v>
      </c>
      <c r="E194" s="312"/>
      <c r="F194" s="312"/>
      <c r="G194" s="373">
        <f t="shared" si="6"/>
        <v>0</v>
      </c>
    </row>
    <row r="195" spans="1:7" hidden="1">
      <c r="A195" s="174">
        <v>100008749</v>
      </c>
      <c r="B195" s="313">
        <v>0</v>
      </c>
      <c r="C195" s="313">
        <v>0</v>
      </c>
      <c r="D195" s="325">
        <f t="shared" si="5"/>
        <v>0</v>
      </c>
      <c r="E195" s="312"/>
      <c r="F195" s="312"/>
      <c r="G195" s="373">
        <f t="shared" si="6"/>
        <v>0</v>
      </c>
    </row>
    <row r="196" spans="1:7" hidden="1">
      <c r="A196" s="174">
        <v>100008773</v>
      </c>
      <c r="B196" s="313">
        <v>0</v>
      </c>
      <c r="C196" s="313">
        <v>0</v>
      </c>
      <c r="D196" s="325">
        <f t="shared" si="5"/>
        <v>0</v>
      </c>
      <c r="E196" s="312"/>
      <c r="F196" s="312"/>
      <c r="G196" s="373">
        <f t="shared" si="6"/>
        <v>0</v>
      </c>
    </row>
    <row r="197" spans="1:7" hidden="1">
      <c r="A197" s="174">
        <v>100009618</v>
      </c>
      <c r="B197" s="313">
        <v>0</v>
      </c>
      <c r="C197" s="313">
        <v>0</v>
      </c>
      <c r="D197" s="325">
        <f t="shared" si="5"/>
        <v>0</v>
      </c>
      <c r="E197" s="312"/>
      <c r="F197" s="312"/>
      <c r="G197" s="373">
        <f t="shared" si="6"/>
        <v>0</v>
      </c>
    </row>
    <row r="198" spans="1:7" hidden="1">
      <c r="A198" s="174">
        <v>100011932</v>
      </c>
      <c r="B198" s="313">
        <v>0</v>
      </c>
      <c r="C198" s="313">
        <v>0</v>
      </c>
      <c r="D198" s="325">
        <f t="shared" si="5"/>
        <v>0</v>
      </c>
      <c r="E198" s="312"/>
      <c r="F198" s="312"/>
      <c r="G198" s="373">
        <f t="shared" si="6"/>
        <v>0</v>
      </c>
    </row>
    <row r="199" spans="1:7" hidden="1">
      <c r="A199" s="174">
        <v>100011933</v>
      </c>
      <c r="B199" s="313">
        <v>0</v>
      </c>
      <c r="C199" s="313">
        <v>0</v>
      </c>
      <c r="D199" s="325">
        <f t="shared" ref="D199:D262" si="7">C199-B199</f>
        <v>0</v>
      </c>
      <c r="E199" s="312"/>
      <c r="F199" s="312"/>
      <c r="G199" s="373">
        <f t="shared" ref="G199:G262" si="8">+D199-E199-F199</f>
        <v>0</v>
      </c>
    </row>
    <row r="200" spans="1:7" hidden="1">
      <c r="A200" s="174">
        <v>100011935</v>
      </c>
      <c r="B200" s="313">
        <v>0</v>
      </c>
      <c r="C200" s="313">
        <v>0</v>
      </c>
      <c r="D200" s="325">
        <f t="shared" si="7"/>
        <v>0</v>
      </c>
      <c r="E200" s="312"/>
      <c r="F200" s="312"/>
      <c r="G200" s="373">
        <f t="shared" si="8"/>
        <v>0</v>
      </c>
    </row>
    <row r="201" spans="1:7" hidden="1">
      <c r="A201" s="174">
        <v>100013594</v>
      </c>
      <c r="B201" s="313">
        <v>0</v>
      </c>
      <c r="C201" s="313">
        <v>0</v>
      </c>
      <c r="D201" s="325">
        <f t="shared" si="7"/>
        <v>0</v>
      </c>
      <c r="E201" s="312"/>
      <c r="F201" s="312"/>
      <c r="G201" s="373">
        <f t="shared" si="8"/>
        <v>0</v>
      </c>
    </row>
    <row r="202" spans="1:7">
      <c r="A202" s="174">
        <v>100016320</v>
      </c>
      <c r="B202" s="313">
        <v>0</v>
      </c>
      <c r="C202" s="313">
        <v>11804</v>
      </c>
      <c r="D202" s="325">
        <f t="shared" si="7"/>
        <v>11804</v>
      </c>
      <c r="E202" s="444">
        <v>11804</v>
      </c>
      <c r="F202" s="444"/>
      <c r="G202" s="373">
        <f t="shared" si="8"/>
        <v>0</v>
      </c>
    </row>
    <row r="203" spans="1:7" hidden="1">
      <c r="A203" s="174">
        <v>100016323</v>
      </c>
      <c r="B203" s="313">
        <v>0</v>
      </c>
      <c r="C203" s="313">
        <v>0</v>
      </c>
      <c r="D203" s="325">
        <f t="shared" si="7"/>
        <v>0</v>
      </c>
      <c r="E203" s="312"/>
      <c r="F203" s="312"/>
      <c r="G203" s="373">
        <f t="shared" si="8"/>
        <v>0</v>
      </c>
    </row>
    <row r="204" spans="1:7" hidden="1">
      <c r="A204" s="174">
        <v>100016362</v>
      </c>
      <c r="B204" s="313">
        <v>0</v>
      </c>
      <c r="C204" s="313">
        <v>0</v>
      </c>
      <c r="D204" s="325">
        <f t="shared" si="7"/>
        <v>0</v>
      </c>
      <c r="E204" s="312"/>
      <c r="F204" s="312"/>
      <c r="G204" s="373">
        <f t="shared" si="8"/>
        <v>0</v>
      </c>
    </row>
    <row r="205" spans="1:7" hidden="1">
      <c r="A205" s="174">
        <v>100017250</v>
      </c>
      <c r="B205" s="313">
        <v>0</v>
      </c>
      <c r="C205" s="313">
        <v>0</v>
      </c>
      <c r="D205" s="325">
        <f t="shared" si="7"/>
        <v>0</v>
      </c>
      <c r="E205" s="312"/>
      <c r="F205" s="312"/>
      <c r="G205" s="373">
        <f t="shared" si="8"/>
        <v>0</v>
      </c>
    </row>
    <row r="206" spans="1:7" hidden="1">
      <c r="A206" s="174">
        <v>100017251</v>
      </c>
      <c r="B206" s="313">
        <v>0</v>
      </c>
      <c r="C206" s="313">
        <v>0</v>
      </c>
      <c r="D206" s="325">
        <f t="shared" si="7"/>
        <v>0</v>
      </c>
      <c r="E206" s="312"/>
      <c r="F206" s="312"/>
      <c r="G206" s="373">
        <f t="shared" si="8"/>
        <v>0</v>
      </c>
    </row>
    <row r="207" spans="1:7" hidden="1">
      <c r="A207" s="174">
        <v>100017330</v>
      </c>
      <c r="B207" s="313">
        <v>0</v>
      </c>
      <c r="C207" s="313">
        <v>0</v>
      </c>
      <c r="D207" s="325">
        <f t="shared" si="7"/>
        <v>0</v>
      </c>
      <c r="E207" s="312"/>
      <c r="F207" s="312"/>
      <c r="G207" s="373">
        <f t="shared" si="8"/>
        <v>0</v>
      </c>
    </row>
    <row r="208" spans="1:7" hidden="1">
      <c r="A208" s="174">
        <v>100017339</v>
      </c>
      <c r="B208" s="313">
        <v>0</v>
      </c>
      <c r="C208" s="313">
        <v>0</v>
      </c>
      <c r="D208" s="325">
        <f t="shared" si="7"/>
        <v>0</v>
      </c>
      <c r="E208" s="312"/>
      <c r="F208" s="312"/>
      <c r="G208" s="373">
        <f t="shared" si="8"/>
        <v>0</v>
      </c>
    </row>
    <row r="209" spans="1:7" hidden="1">
      <c r="A209" s="174">
        <v>100018342</v>
      </c>
      <c r="B209" s="313">
        <v>0</v>
      </c>
      <c r="C209" s="313">
        <v>0</v>
      </c>
      <c r="D209" s="325">
        <f t="shared" si="7"/>
        <v>0</v>
      </c>
      <c r="E209" s="312"/>
      <c r="F209" s="312"/>
      <c r="G209" s="373">
        <f t="shared" si="8"/>
        <v>0</v>
      </c>
    </row>
    <row r="210" spans="1:7" hidden="1">
      <c r="A210" s="174" t="s">
        <v>180</v>
      </c>
      <c r="B210" s="313">
        <v>5784</v>
      </c>
      <c r="C210" s="313">
        <f>VLOOKUP(A210,[3]cutting!$A$4:$C$151,3,0)</f>
        <v>5784</v>
      </c>
      <c r="D210" s="325">
        <f t="shared" si="7"/>
        <v>0</v>
      </c>
      <c r="E210" s="312"/>
      <c r="F210" s="312"/>
      <c r="G210" s="373">
        <f t="shared" si="8"/>
        <v>0</v>
      </c>
    </row>
    <row r="211" spans="1:7" hidden="1">
      <c r="A211" s="174">
        <v>453088</v>
      </c>
      <c r="B211" s="313">
        <v>0</v>
      </c>
      <c r="C211" s="313">
        <v>0</v>
      </c>
      <c r="D211" s="325">
        <f t="shared" si="7"/>
        <v>0</v>
      </c>
      <c r="E211" s="312"/>
      <c r="F211" s="312"/>
      <c r="G211" s="373">
        <f t="shared" si="8"/>
        <v>0</v>
      </c>
    </row>
    <row r="212" spans="1:7" hidden="1">
      <c r="A212" s="174">
        <v>453616</v>
      </c>
      <c r="B212" s="313">
        <v>0</v>
      </c>
      <c r="C212" s="313">
        <v>0</v>
      </c>
      <c r="D212" s="325">
        <f t="shared" si="7"/>
        <v>0</v>
      </c>
      <c r="E212" s="312"/>
      <c r="F212" s="312"/>
      <c r="G212" s="373">
        <f t="shared" si="8"/>
        <v>0</v>
      </c>
    </row>
    <row r="213" spans="1:7" hidden="1">
      <c r="A213" s="174">
        <v>453707</v>
      </c>
      <c r="B213" s="313">
        <v>0</v>
      </c>
      <c r="C213" s="313">
        <v>0</v>
      </c>
      <c r="D213" s="325">
        <f t="shared" si="7"/>
        <v>0</v>
      </c>
      <c r="E213" s="312"/>
      <c r="F213" s="312"/>
      <c r="G213" s="373">
        <f t="shared" si="8"/>
        <v>0</v>
      </c>
    </row>
    <row r="214" spans="1:7" hidden="1">
      <c r="A214" s="174">
        <v>454208</v>
      </c>
      <c r="B214" s="313">
        <v>0</v>
      </c>
      <c r="C214" s="313">
        <v>0</v>
      </c>
      <c r="D214" s="325">
        <f t="shared" si="7"/>
        <v>0</v>
      </c>
      <c r="E214" s="312"/>
      <c r="F214" s="312"/>
      <c r="G214" s="373">
        <f t="shared" si="8"/>
        <v>0</v>
      </c>
    </row>
    <row r="215" spans="1:7" hidden="1">
      <c r="A215" s="174">
        <v>455769</v>
      </c>
      <c r="B215" s="313">
        <v>0</v>
      </c>
      <c r="C215" s="313">
        <v>0</v>
      </c>
      <c r="D215" s="325">
        <f t="shared" si="7"/>
        <v>0</v>
      </c>
      <c r="E215" s="312"/>
      <c r="F215" s="312"/>
      <c r="G215" s="373">
        <f t="shared" si="8"/>
        <v>0</v>
      </c>
    </row>
    <row r="216" spans="1:7" hidden="1">
      <c r="A216" s="174">
        <v>455770</v>
      </c>
      <c r="B216" s="313">
        <v>0</v>
      </c>
      <c r="C216" s="313">
        <v>0</v>
      </c>
      <c r="D216" s="325">
        <f t="shared" si="7"/>
        <v>0</v>
      </c>
      <c r="E216" s="312"/>
      <c r="F216" s="312"/>
      <c r="G216" s="373">
        <f t="shared" si="8"/>
        <v>0</v>
      </c>
    </row>
    <row r="217" spans="1:7" hidden="1">
      <c r="A217" s="174">
        <v>456858</v>
      </c>
      <c r="B217" s="313">
        <v>0</v>
      </c>
      <c r="C217" s="313">
        <v>0</v>
      </c>
      <c r="D217" s="325">
        <f t="shared" si="7"/>
        <v>0</v>
      </c>
      <c r="E217" s="312"/>
      <c r="F217" s="312"/>
      <c r="G217" s="373">
        <f t="shared" si="8"/>
        <v>0</v>
      </c>
    </row>
    <row r="218" spans="1:7" hidden="1">
      <c r="A218" s="174">
        <v>465443</v>
      </c>
      <c r="B218" s="313">
        <v>0</v>
      </c>
      <c r="C218" s="313">
        <v>0</v>
      </c>
      <c r="D218" s="325">
        <f t="shared" si="7"/>
        <v>0</v>
      </c>
      <c r="E218" s="312"/>
      <c r="F218" s="312"/>
      <c r="G218" s="373">
        <f t="shared" si="8"/>
        <v>0</v>
      </c>
    </row>
    <row r="219" spans="1:7" hidden="1">
      <c r="A219" s="174">
        <v>465452</v>
      </c>
      <c r="B219" s="313">
        <v>0</v>
      </c>
      <c r="C219" s="313">
        <v>0</v>
      </c>
      <c r="D219" s="325">
        <f t="shared" si="7"/>
        <v>0</v>
      </c>
      <c r="E219" s="312"/>
      <c r="F219" s="312"/>
      <c r="G219" s="373">
        <f t="shared" si="8"/>
        <v>0</v>
      </c>
    </row>
    <row r="220" spans="1:7" hidden="1">
      <c r="A220" s="174">
        <v>465456</v>
      </c>
      <c r="B220" s="313">
        <v>0</v>
      </c>
      <c r="C220" s="313">
        <v>0</v>
      </c>
      <c r="D220" s="325">
        <f t="shared" si="7"/>
        <v>0</v>
      </c>
      <c r="E220" s="312"/>
      <c r="F220" s="312"/>
      <c r="G220" s="373">
        <f t="shared" si="8"/>
        <v>0</v>
      </c>
    </row>
    <row r="221" spans="1:7" hidden="1">
      <c r="A221" s="174">
        <v>100003058</v>
      </c>
      <c r="B221" s="313">
        <v>0</v>
      </c>
      <c r="C221" s="313">
        <v>0</v>
      </c>
      <c r="D221" s="325">
        <f t="shared" si="7"/>
        <v>0</v>
      </c>
      <c r="E221" s="312"/>
      <c r="F221" s="312"/>
      <c r="G221" s="373">
        <f t="shared" si="8"/>
        <v>0</v>
      </c>
    </row>
    <row r="222" spans="1:7" hidden="1">
      <c r="A222" s="174">
        <v>100014739</v>
      </c>
      <c r="B222" s="313">
        <v>0</v>
      </c>
      <c r="C222" s="313">
        <v>0</v>
      </c>
      <c r="D222" s="325">
        <f t="shared" si="7"/>
        <v>0</v>
      </c>
      <c r="E222" s="312"/>
      <c r="F222" s="312"/>
      <c r="G222" s="373">
        <f t="shared" si="8"/>
        <v>0</v>
      </c>
    </row>
    <row r="223" spans="1:7">
      <c r="A223" s="174" t="s">
        <v>181</v>
      </c>
      <c r="B223" s="313">
        <v>17851</v>
      </c>
      <c r="C223" s="313">
        <v>18913</v>
      </c>
      <c r="D223" s="325">
        <f t="shared" si="7"/>
        <v>1062</v>
      </c>
      <c r="E223" s="444">
        <v>1062</v>
      </c>
      <c r="F223" s="444"/>
      <c r="G223" s="373">
        <f t="shared" si="8"/>
        <v>0</v>
      </c>
    </row>
    <row r="224" spans="1:7" hidden="1">
      <c r="A224" s="174" t="s">
        <v>182</v>
      </c>
      <c r="B224" s="313">
        <v>5208</v>
      </c>
      <c r="C224" s="313">
        <v>5208</v>
      </c>
      <c r="D224" s="325">
        <f t="shared" si="7"/>
        <v>0</v>
      </c>
      <c r="E224" s="312"/>
      <c r="F224" s="312"/>
      <c r="G224" s="373">
        <f t="shared" si="8"/>
        <v>0</v>
      </c>
    </row>
    <row r="225" spans="1:7" hidden="1">
      <c r="A225" s="174" t="s">
        <v>183</v>
      </c>
      <c r="B225" s="313">
        <v>0</v>
      </c>
      <c r="C225" s="313">
        <v>0</v>
      </c>
      <c r="D225" s="325">
        <f t="shared" si="7"/>
        <v>0</v>
      </c>
      <c r="E225" s="312"/>
      <c r="F225" s="312"/>
      <c r="G225" s="373">
        <f t="shared" si="8"/>
        <v>0</v>
      </c>
    </row>
    <row r="226" spans="1:7" hidden="1">
      <c r="A226" s="174">
        <v>181034126</v>
      </c>
      <c r="B226" s="313">
        <v>0</v>
      </c>
      <c r="C226" s="313">
        <v>0</v>
      </c>
      <c r="D226" s="325">
        <f t="shared" si="7"/>
        <v>0</v>
      </c>
      <c r="E226" s="312"/>
      <c r="F226" s="312"/>
      <c r="G226" s="373">
        <f t="shared" si="8"/>
        <v>0</v>
      </c>
    </row>
    <row r="227" spans="1:7" hidden="1">
      <c r="A227" s="174">
        <v>181034892</v>
      </c>
      <c r="B227" s="313">
        <v>0</v>
      </c>
      <c r="C227" s="313">
        <v>0</v>
      </c>
      <c r="D227" s="325">
        <f t="shared" si="7"/>
        <v>0</v>
      </c>
      <c r="E227" s="312"/>
      <c r="F227" s="312"/>
      <c r="G227" s="373">
        <f t="shared" si="8"/>
        <v>0</v>
      </c>
    </row>
    <row r="228" spans="1:7" hidden="1">
      <c r="A228" s="174">
        <v>466852</v>
      </c>
      <c r="B228" s="313">
        <v>9244</v>
      </c>
      <c r="C228" s="313">
        <v>9244</v>
      </c>
      <c r="D228" s="325">
        <f t="shared" si="7"/>
        <v>0</v>
      </c>
      <c r="E228" s="312"/>
      <c r="F228" s="312"/>
      <c r="G228" s="373">
        <f t="shared" si="8"/>
        <v>0</v>
      </c>
    </row>
    <row r="229" spans="1:7" hidden="1">
      <c r="A229" s="174" t="s">
        <v>184</v>
      </c>
      <c r="B229" s="313">
        <v>0</v>
      </c>
      <c r="C229" s="313">
        <v>0</v>
      </c>
      <c r="D229" s="325">
        <f t="shared" si="7"/>
        <v>0</v>
      </c>
      <c r="E229" s="312"/>
      <c r="F229" s="312"/>
      <c r="G229" s="373">
        <f t="shared" si="8"/>
        <v>0</v>
      </c>
    </row>
    <row r="230" spans="1:7" hidden="1">
      <c r="A230" s="174">
        <v>100008598</v>
      </c>
      <c r="B230" s="313">
        <v>4348</v>
      </c>
      <c r="C230" s="313">
        <v>4348</v>
      </c>
      <c r="D230" s="325">
        <f t="shared" si="7"/>
        <v>0</v>
      </c>
      <c r="E230" s="312"/>
      <c r="F230" s="312"/>
      <c r="G230" s="373">
        <f t="shared" si="8"/>
        <v>0</v>
      </c>
    </row>
    <row r="231" spans="1:7" hidden="1">
      <c r="A231" s="174">
        <v>100008604</v>
      </c>
      <c r="B231" s="313">
        <v>0</v>
      </c>
      <c r="C231" s="313">
        <v>0</v>
      </c>
      <c r="D231" s="325">
        <f t="shared" si="7"/>
        <v>0</v>
      </c>
      <c r="E231" s="312"/>
      <c r="F231" s="312"/>
      <c r="G231" s="373">
        <f t="shared" si="8"/>
        <v>0</v>
      </c>
    </row>
    <row r="232" spans="1:7" hidden="1">
      <c r="A232" s="174">
        <v>100008605</v>
      </c>
      <c r="B232" s="313">
        <v>6330</v>
      </c>
      <c r="C232" s="313">
        <v>6330</v>
      </c>
      <c r="D232" s="325">
        <f t="shared" si="7"/>
        <v>0</v>
      </c>
      <c r="E232" s="312"/>
      <c r="F232" s="312"/>
      <c r="G232" s="373">
        <f t="shared" si="8"/>
        <v>0</v>
      </c>
    </row>
    <row r="233" spans="1:7" hidden="1">
      <c r="A233" s="174">
        <v>100008607</v>
      </c>
      <c r="B233" s="313">
        <v>0</v>
      </c>
      <c r="C233" s="313">
        <v>0</v>
      </c>
      <c r="D233" s="325">
        <f t="shared" si="7"/>
        <v>0</v>
      </c>
      <c r="E233" s="312"/>
      <c r="F233" s="312"/>
      <c r="G233" s="373">
        <f t="shared" si="8"/>
        <v>0</v>
      </c>
    </row>
    <row r="234" spans="1:7" hidden="1">
      <c r="A234" s="174">
        <v>100008660</v>
      </c>
      <c r="B234" s="313">
        <v>4774</v>
      </c>
      <c r="C234" s="313">
        <v>4774</v>
      </c>
      <c r="D234" s="325">
        <f t="shared" si="7"/>
        <v>0</v>
      </c>
      <c r="E234" s="312"/>
      <c r="F234" s="312"/>
      <c r="G234" s="373">
        <f t="shared" si="8"/>
        <v>0</v>
      </c>
    </row>
    <row r="235" spans="1:7" hidden="1">
      <c r="A235" s="174">
        <v>100008746</v>
      </c>
      <c r="B235" s="313">
        <v>773</v>
      </c>
      <c r="C235" s="313">
        <v>773</v>
      </c>
      <c r="D235" s="325">
        <f t="shared" si="7"/>
        <v>0</v>
      </c>
      <c r="E235" s="312"/>
      <c r="F235" s="312"/>
      <c r="G235" s="373">
        <f t="shared" si="8"/>
        <v>0</v>
      </c>
    </row>
    <row r="236" spans="1:7" hidden="1">
      <c r="A236" s="174">
        <v>100009162</v>
      </c>
      <c r="B236" s="313">
        <v>0</v>
      </c>
      <c r="C236" s="313">
        <v>0</v>
      </c>
      <c r="D236" s="325">
        <f t="shared" si="7"/>
        <v>0</v>
      </c>
      <c r="E236" s="312"/>
      <c r="F236" s="312"/>
      <c r="G236" s="373">
        <f t="shared" si="8"/>
        <v>0</v>
      </c>
    </row>
    <row r="237" spans="1:7" hidden="1">
      <c r="A237" s="174">
        <v>100009622</v>
      </c>
      <c r="B237" s="313">
        <v>2284</v>
      </c>
      <c r="C237" s="313">
        <v>2284</v>
      </c>
      <c r="D237" s="325">
        <f t="shared" si="7"/>
        <v>0</v>
      </c>
      <c r="E237" s="312"/>
      <c r="F237" s="312"/>
      <c r="G237" s="373">
        <f t="shared" si="8"/>
        <v>0</v>
      </c>
    </row>
    <row r="238" spans="1:7" hidden="1">
      <c r="A238" s="174">
        <v>100015352</v>
      </c>
      <c r="B238" s="313">
        <v>9258</v>
      </c>
      <c r="C238" s="313">
        <v>9258</v>
      </c>
      <c r="D238" s="325">
        <f t="shared" si="7"/>
        <v>0</v>
      </c>
      <c r="E238" s="312"/>
      <c r="F238" s="312"/>
      <c r="G238" s="373">
        <f t="shared" si="8"/>
        <v>0</v>
      </c>
    </row>
    <row r="239" spans="1:7" hidden="1">
      <c r="A239" s="174">
        <v>100015355</v>
      </c>
      <c r="B239" s="313">
        <v>4812</v>
      </c>
      <c r="C239" s="313">
        <v>4812</v>
      </c>
      <c r="D239" s="325">
        <f t="shared" si="7"/>
        <v>0</v>
      </c>
      <c r="E239" s="312"/>
      <c r="F239" s="312"/>
      <c r="G239" s="373">
        <f t="shared" si="8"/>
        <v>0</v>
      </c>
    </row>
    <row r="240" spans="1:7" hidden="1">
      <c r="A240" s="174">
        <v>100015669</v>
      </c>
      <c r="B240" s="313">
        <v>1170</v>
      </c>
      <c r="C240" s="313">
        <v>1170</v>
      </c>
      <c r="D240" s="325">
        <f t="shared" si="7"/>
        <v>0</v>
      </c>
      <c r="E240" s="312"/>
      <c r="F240" s="312"/>
      <c r="G240" s="373">
        <f t="shared" si="8"/>
        <v>0</v>
      </c>
    </row>
    <row r="241" spans="1:7" hidden="1">
      <c r="A241" s="174">
        <v>100018310</v>
      </c>
      <c r="B241" s="313">
        <v>7710</v>
      </c>
      <c r="C241" s="313">
        <v>7710</v>
      </c>
      <c r="D241" s="325">
        <f t="shared" si="7"/>
        <v>0</v>
      </c>
      <c r="E241" s="312"/>
      <c r="F241" s="312"/>
      <c r="G241" s="373">
        <f t="shared" si="8"/>
        <v>0</v>
      </c>
    </row>
    <row r="242" spans="1:7" hidden="1">
      <c r="A242" s="174">
        <v>100021064</v>
      </c>
      <c r="B242" s="313">
        <v>3723</v>
      </c>
      <c r="C242" s="313">
        <v>3723</v>
      </c>
      <c r="D242" s="325">
        <f t="shared" si="7"/>
        <v>0</v>
      </c>
      <c r="E242" s="312"/>
      <c r="F242" s="312"/>
      <c r="G242" s="373">
        <f t="shared" si="8"/>
        <v>0</v>
      </c>
    </row>
    <row r="243" spans="1:7" hidden="1">
      <c r="A243" s="174">
        <v>73301</v>
      </c>
      <c r="B243" s="313">
        <v>17543</v>
      </c>
      <c r="C243" s="313">
        <v>17543</v>
      </c>
      <c r="D243" s="325">
        <f t="shared" si="7"/>
        <v>0</v>
      </c>
      <c r="E243" s="312"/>
      <c r="F243" s="312"/>
      <c r="G243" s="373">
        <f t="shared" si="8"/>
        <v>0</v>
      </c>
    </row>
    <row r="244" spans="1:7" hidden="1">
      <c r="A244" s="174">
        <v>74902</v>
      </c>
      <c r="B244" s="313">
        <v>11031</v>
      </c>
      <c r="C244" s="313">
        <v>11031</v>
      </c>
      <c r="D244" s="325">
        <f t="shared" si="7"/>
        <v>0</v>
      </c>
      <c r="E244" s="312"/>
      <c r="F244" s="312"/>
      <c r="G244" s="373">
        <f t="shared" si="8"/>
        <v>0</v>
      </c>
    </row>
    <row r="245" spans="1:7" hidden="1">
      <c r="A245" s="174">
        <v>75303</v>
      </c>
      <c r="B245" s="313">
        <v>9025</v>
      </c>
      <c r="C245" s="313">
        <f>VLOOKUP(A245,[3]cutting!$A$4:$C$151,3,0)</f>
        <v>9025</v>
      </c>
      <c r="D245" s="325">
        <f t="shared" si="7"/>
        <v>0</v>
      </c>
      <c r="E245" s="312"/>
      <c r="F245" s="312"/>
      <c r="G245" s="373">
        <f t="shared" si="8"/>
        <v>0</v>
      </c>
    </row>
    <row r="246" spans="1:7" hidden="1">
      <c r="A246" s="174">
        <v>7999</v>
      </c>
      <c r="B246" s="313">
        <v>0</v>
      </c>
      <c r="C246" s="313">
        <v>0</v>
      </c>
      <c r="D246" s="325">
        <f t="shared" si="7"/>
        <v>0</v>
      </c>
      <c r="E246" s="312"/>
      <c r="F246" s="312"/>
      <c r="G246" s="373">
        <f t="shared" si="8"/>
        <v>0</v>
      </c>
    </row>
    <row r="247" spans="1:7" hidden="1">
      <c r="A247" s="174">
        <v>460895</v>
      </c>
      <c r="B247" s="313">
        <v>0</v>
      </c>
      <c r="C247" s="313">
        <v>0</v>
      </c>
      <c r="D247" s="325">
        <f t="shared" si="7"/>
        <v>0</v>
      </c>
      <c r="E247" s="312"/>
      <c r="F247" s="312"/>
      <c r="G247" s="373">
        <f t="shared" si="8"/>
        <v>0</v>
      </c>
    </row>
    <row r="248" spans="1:7" hidden="1">
      <c r="A248" s="174">
        <v>452546</v>
      </c>
      <c r="B248" s="313">
        <v>0</v>
      </c>
      <c r="C248" s="313">
        <v>0</v>
      </c>
      <c r="D248" s="325">
        <f t="shared" si="7"/>
        <v>0</v>
      </c>
      <c r="E248" s="312"/>
      <c r="F248" s="312"/>
      <c r="G248" s="373">
        <f t="shared" si="8"/>
        <v>0</v>
      </c>
    </row>
    <row r="249" spans="1:7" hidden="1">
      <c r="A249" s="174">
        <v>457802</v>
      </c>
      <c r="B249" s="313">
        <v>32384</v>
      </c>
      <c r="C249" s="313">
        <v>32384</v>
      </c>
      <c r="D249" s="325">
        <f t="shared" si="7"/>
        <v>0</v>
      </c>
      <c r="E249" s="312"/>
      <c r="F249" s="312"/>
      <c r="G249" s="373">
        <f t="shared" si="8"/>
        <v>0</v>
      </c>
    </row>
    <row r="250" spans="1:7" hidden="1">
      <c r="A250" s="174">
        <v>457814</v>
      </c>
      <c r="B250" s="313">
        <v>0</v>
      </c>
      <c r="C250" s="313">
        <v>0</v>
      </c>
      <c r="D250" s="325">
        <f t="shared" si="7"/>
        <v>0</v>
      </c>
      <c r="E250" s="312"/>
      <c r="F250" s="312"/>
      <c r="G250" s="373">
        <f t="shared" si="8"/>
        <v>0</v>
      </c>
    </row>
    <row r="251" spans="1:7" hidden="1">
      <c r="A251" s="174">
        <v>457815</v>
      </c>
      <c r="B251" s="313">
        <v>3519</v>
      </c>
      <c r="C251" s="313">
        <v>3519</v>
      </c>
      <c r="D251" s="325">
        <f t="shared" si="7"/>
        <v>0</v>
      </c>
      <c r="E251" s="312"/>
      <c r="F251" s="312"/>
      <c r="G251" s="373">
        <f t="shared" si="8"/>
        <v>0</v>
      </c>
    </row>
    <row r="252" spans="1:7" hidden="1">
      <c r="A252" s="174">
        <v>459065</v>
      </c>
      <c r="B252" s="313">
        <v>0</v>
      </c>
      <c r="C252" s="313">
        <v>0</v>
      </c>
      <c r="D252" s="325">
        <f t="shared" si="7"/>
        <v>0</v>
      </c>
      <c r="E252" s="312"/>
      <c r="F252" s="312"/>
      <c r="G252" s="373">
        <f t="shared" si="8"/>
        <v>0</v>
      </c>
    </row>
    <row r="253" spans="1:7" hidden="1">
      <c r="A253" s="174">
        <v>460586</v>
      </c>
      <c r="B253" s="313">
        <v>0</v>
      </c>
      <c r="C253" s="313">
        <v>0</v>
      </c>
      <c r="D253" s="325">
        <f t="shared" si="7"/>
        <v>0</v>
      </c>
      <c r="E253" s="312"/>
      <c r="F253" s="312"/>
      <c r="G253" s="373">
        <f t="shared" si="8"/>
        <v>0</v>
      </c>
    </row>
    <row r="254" spans="1:7" hidden="1">
      <c r="A254" s="174">
        <v>460588</v>
      </c>
      <c r="B254" s="313">
        <v>6820</v>
      </c>
      <c r="C254" s="313">
        <v>6820</v>
      </c>
      <c r="D254" s="325">
        <f t="shared" si="7"/>
        <v>0</v>
      </c>
      <c r="E254" s="312"/>
      <c r="F254" s="312"/>
      <c r="G254" s="373">
        <f t="shared" si="8"/>
        <v>0</v>
      </c>
    </row>
    <row r="255" spans="1:7" hidden="1">
      <c r="A255" s="174">
        <v>460591</v>
      </c>
      <c r="B255" s="313">
        <v>7440</v>
      </c>
      <c r="C255" s="313">
        <v>7440</v>
      </c>
      <c r="D255" s="325">
        <f t="shared" si="7"/>
        <v>0</v>
      </c>
      <c r="E255" s="312"/>
      <c r="F255" s="312"/>
      <c r="G255" s="373">
        <f t="shared" si="8"/>
        <v>0</v>
      </c>
    </row>
    <row r="256" spans="1:7" hidden="1">
      <c r="A256" s="174">
        <v>460727</v>
      </c>
      <c r="B256" s="313">
        <v>0</v>
      </c>
      <c r="C256" s="313">
        <v>0</v>
      </c>
      <c r="D256" s="325">
        <f t="shared" si="7"/>
        <v>0</v>
      </c>
      <c r="E256" s="312"/>
      <c r="F256" s="312"/>
      <c r="G256" s="373">
        <f t="shared" si="8"/>
        <v>0</v>
      </c>
    </row>
    <row r="257" spans="1:7" hidden="1">
      <c r="A257" s="174">
        <v>461609</v>
      </c>
      <c r="B257" s="313">
        <v>18336</v>
      </c>
      <c r="C257" s="313">
        <v>18336</v>
      </c>
      <c r="D257" s="325">
        <f t="shared" si="7"/>
        <v>0</v>
      </c>
      <c r="E257" s="312"/>
      <c r="F257" s="312"/>
      <c r="G257" s="373">
        <f t="shared" si="8"/>
        <v>0</v>
      </c>
    </row>
    <row r="258" spans="1:7" hidden="1">
      <c r="A258" s="174">
        <v>464818</v>
      </c>
      <c r="B258" s="313">
        <v>16492</v>
      </c>
      <c r="C258" s="313">
        <v>16492</v>
      </c>
      <c r="D258" s="325">
        <f t="shared" si="7"/>
        <v>0</v>
      </c>
      <c r="E258" s="312"/>
      <c r="F258" s="312"/>
      <c r="G258" s="373">
        <f t="shared" si="8"/>
        <v>0</v>
      </c>
    </row>
    <row r="259" spans="1:7" hidden="1">
      <c r="A259" s="174">
        <v>465184</v>
      </c>
      <c r="B259" s="313">
        <v>10251</v>
      </c>
      <c r="C259" s="313">
        <v>10251</v>
      </c>
      <c r="D259" s="325">
        <f t="shared" si="7"/>
        <v>0</v>
      </c>
      <c r="E259" s="312"/>
      <c r="F259" s="312"/>
      <c r="G259" s="373">
        <f t="shared" si="8"/>
        <v>0</v>
      </c>
    </row>
    <row r="260" spans="1:7" hidden="1">
      <c r="A260" s="174">
        <v>465409</v>
      </c>
      <c r="B260" s="313">
        <v>14872</v>
      </c>
      <c r="C260" s="313">
        <v>14872</v>
      </c>
      <c r="D260" s="325">
        <f t="shared" si="7"/>
        <v>0</v>
      </c>
      <c r="E260" s="312"/>
      <c r="F260" s="312"/>
      <c r="G260" s="373">
        <f t="shared" si="8"/>
        <v>0</v>
      </c>
    </row>
    <row r="261" spans="1:7" hidden="1">
      <c r="A261" s="174">
        <v>100010055</v>
      </c>
      <c r="B261" s="313">
        <v>2729</v>
      </c>
      <c r="C261" s="313">
        <v>2729</v>
      </c>
      <c r="D261" s="325">
        <f t="shared" si="7"/>
        <v>0</v>
      </c>
      <c r="E261" s="312"/>
      <c r="F261" s="312"/>
      <c r="G261" s="373">
        <f t="shared" si="8"/>
        <v>0</v>
      </c>
    </row>
    <row r="262" spans="1:7" hidden="1">
      <c r="A262" s="174">
        <v>100013421</v>
      </c>
      <c r="B262" s="313">
        <v>19570</v>
      </c>
      <c r="C262" s="313">
        <v>19570</v>
      </c>
      <c r="D262" s="325">
        <f t="shared" si="7"/>
        <v>0</v>
      </c>
      <c r="E262" s="312"/>
      <c r="F262" s="312"/>
      <c r="G262" s="373">
        <f t="shared" si="8"/>
        <v>0</v>
      </c>
    </row>
    <row r="263" spans="1:7" hidden="1">
      <c r="A263" s="174">
        <v>100006969</v>
      </c>
      <c r="B263" s="313">
        <v>3293</v>
      </c>
      <c r="C263" s="313">
        <v>3293</v>
      </c>
      <c r="D263" s="325">
        <f t="shared" ref="D263:D326" si="9">C263-B263</f>
        <v>0</v>
      </c>
      <c r="E263" s="312"/>
      <c r="F263" s="312"/>
      <c r="G263" s="373">
        <f t="shared" ref="G263:G326" si="10">+D263-E263-F263</f>
        <v>0</v>
      </c>
    </row>
    <row r="264" spans="1:7" hidden="1">
      <c r="A264" s="174">
        <v>100020548</v>
      </c>
      <c r="B264" s="313">
        <v>6352</v>
      </c>
      <c r="C264" s="313">
        <v>6352</v>
      </c>
      <c r="D264" s="325">
        <f t="shared" si="9"/>
        <v>0</v>
      </c>
      <c r="E264" s="312"/>
      <c r="F264" s="312"/>
      <c r="G264" s="373">
        <f t="shared" si="10"/>
        <v>0</v>
      </c>
    </row>
    <row r="265" spans="1:7" hidden="1">
      <c r="A265" s="174">
        <v>77511</v>
      </c>
      <c r="B265" s="313">
        <v>10287</v>
      </c>
      <c r="C265" s="313">
        <v>10287</v>
      </c>
      <c r="D265" s="325">
        <f t="shared" si="9"/>
        <v>0</v>
      </c>
      <c r="E265" s="312"/>
      <c r="F265" s="312"/>
      <c r="G265" s="373">
        <f t="shared" si="10"/>
        <v>0</v>
      </c>
    </row>
    <row r="266" spans="1:7" hidden="1">
      <c r="A266" s="174" t="s">
        <v>601</v>
      </c>
      <c r="B266" s="313">
        <v>13099</v>
      </c>
      <c r="C266" s="313">
        <v>13099</v>
      </c>
      <c r="D266" s="325">
        <f t="shared" si="9"/>
        <v>0</v>
      </c>
      <c r="E266" s="312"/>
      <c r="F266" s="312"/>
      <c r="G266" s="373">
        <f t="shared" si="10"/>
        <v>0</v>
      </c>
    </row>
    <row r="267" spans="1:7" hidden="1">
      <c r="A267" s="174" t="s">
        <v>237</v>
      </c>
      <c r="B267" s="313">
        <v>13517</v>
      </c>
      <c r="C267" s="313">
        <v>13517</v>
      </c>
      <c r="D267" s="325">
        <f t="shared" si="9"/>
        <v>0</v>
      </c>
      <c r="E267" s="312"/>
      <c r="F267" s="312"/>
      <c r="G267" s="373">
        <f t="shared" si="10"/>
        <v>0</v>
      </c>
    </row>
    <row r="268" spans="1:7" hidden="1">
      <c r="A268" s="174">
        <v>100015354</v>
      </c>
      <c r="B268" s="313">
        <v>9786</v>
      </c>
      <c r="C268" s="313">
        <v>9786</v>
      </c>
      <c r="D268" s="325">
        <f t="shared" si="9"/>
        <v>0</v>
      </c>
      <c r="E268" s="312"/>
      <c r="F268" s="312"/>
      <c r="G268" s="373">
        <f t="shared" si="10"/>
        <v>0</v>
      </c>
    </row>
    <row r="269" spans="1:7" hidden="1">
      <c r="A269" s="174">
        <v>468248</v>
      </c>
      <c r="B269" s="313">
        <v>10996</v>
      </c>
      <c r="C269" s="313">
        <v>10996</v>
      </c>
      <c r="D269" s="325">
        <f t="shared" si="9"/>
        <v>0</v>
      </c>
      <c r="E269" s="312"/>
      <c r="F269" s="312"/>
      <c r="G269" s="373">
        <f t="shared" si="10"/>
        <v>0</v>
      </c>
    </row>
    <row r="270" spans="1:7" hidden="1">
      <c r="A270" s="174">
        <v>100008608</v>
      </c>
      <c r="B270" s="313">
        <v>0</v>
      </c>
      <c r="C270" s="313">
        <v>0</v>
      </c>
      <c r="D270" s="325">
        <f t="shared" si="9"/>
        <v>0</v>
      </c>
      <c r="E270" s="312"/>
      <c r="F270" s="312"/>
      <c r="G270" s="373">
        <f t="shared" si="10"/>
        <v>0</v>
      </c>
    </row>
    <row r="271" spans="1:7" hidden="1">
      <c r="A271" s="174">
        <v>16661</v>
      </c>
      <c r="B271" s="313">
        <v>2736</v>
      </c>
      <c r="C271" s="313">
        <f>VLOOKUP(A271,[3]cutting!$A$4:$C$151,3,0)</f>
        <v>2736</v>
      </c>
      <c r="D271" s="325">
        <f t="shared" si="9"/>
        <v>0</v>
      </c>
      <c r="E271" s="312"/>
      <c r="F271" s="312"/>
      <c r="G271" s="373">
        <f t="shared" si="10"/>
        <v>0</v>
      </c>
    </row>
    <row r="272" spans="1:7" hidden="1">
      <c r="A272" s="174">
        <v>75740</v>
      </c>
      <c r="B272" s="313">
        <v>995</v>
      </c>
      <c r="C272" s="313">
        <v>995</v>
      </c>
      <c r="D272" s="325">
        <f t="shared" si="9"/>
        <v>0</v>
      </c>
      <c r="E272" s="312"/>
      <c r="F272" s="312"/>
      <c r="G272" s="373">
        <f t="shared" si="10"/>
        <v>0</v>
      </c>
    </row>
    <row r="273" spans="1:7" hidden="1">
      <c r="A273" s="174">
        <v>76733</v>
      </c>
      <c r="B273" s="313">
        <v>1514</v>
      </c>
      <c r="C273" s="313">
        <f>VLOOKUP(A273,[3]cutting!$A$4:$C$151,3,0)</f>
        <v>1514</v>
      </c>
      <c r="D273" s="325">
        <f t="shared" si="9"/>
        <v>0</v>
      </c>
      <c r="E273" s="312"/>
      <c r="F273" s="312"/>
      <c r="G273" s="373">
        <f t="shared" si="10"/>
        <v>0</v>
      </c>
    </row>
    <row r="274" spans="1:7" hidden="1">
      <c r="A274" s="174">
        <v>467914</v>
      </c>
      <c r="B274" s="313">
        <v>5976</v>
      </c>
      <c r="C274" s="313">
        <v>5976</v>
      </c>
      <c r="D274" s="325">
        <f t="shared" si="9"/>
        <v>0</v>
      </c>
      <c r="E274" s="312"/>
      <c r="F274" s="312"/>
      <c r="G274" s="373">
        <f t="shared" si="10"/>
        <v>0</v>
      </c>
    </row>
    <row r="275" spans="1:7" hidden="1">
      <c r="A275" s="174">
        <v>468229</v>
      </c>
      <c r="B275" s="313">
        <v>20315</v>
      </c>
      <c r="C275" s="313">
        <f>VLOOKUP(A275,[3]cutting!$A$4:$C$151,3,0)</f>
        <v>20315</v>
      </c>
      <c r="D275" s="325">
        <f t="shared" si="9"/>
        <v>0</v>
      </c>
      <c r="E275" s="312"/>
      <c r="F275" s="312"/>
      <c r="G275" s="373">
        <f t="shared" si="10"/>
        <v>0</v>
      </c>
    </row>
    <row r="276" spans="1:7" hidden="1">
      <c r="A276" s="174">
        <v>468230</v>
      </c>
      <c r="B276" s="313">
        <v>13350</v>
      </c>
      <c r="C276" s="313">
        <v>13350</v>
      </c>
      <c r="D276" s="325">
        <f t="shared" si="9"/>
        <v>0</v>
      </c>
      <c r="E276" s="312"/>
      <c r="F276" s="312"/>
      <c r="G276" s="373">
        <f t="shared" si="10"/>
        <v>0</v>
      </c>
    </row>
    <row r="277" spans="1:7" hidden="1">
      <c r="A277" s="174">
        <v>468249</v>
      </c>
      <c r="B277" s="313">
        <v>12864</v>
      </c>
      <c r="C277" s="313">
        <v>12864</v>
      </c>
      <c r="D277" s="325">
        <f t="shared" si="9"/>
        <v>0</v>
      </c>
      <c r="E277" s="312"/>
      <c r="F277" s="312"/>
      <c r="G277" s="373">
        <f t="shared" si="10"/>
        <v>0</v>
      </c>
    </row>
    <row r="278" spans="1:7" hidden="1">
      <c r="A278" s="174">
        <v>100013593</v>
      </c>
      <c r="B278" s="313">
        <v>1062</v>
      </c>
      <c r="C278" s="313">
        <v>1062</v>
      </c>
      <c r="D278" s="325">
        <f t="shared" si="9"/>
        <v>0</v>
      </c>
      <c r="E278" s="312"/>
      <c r="F278" s="312"/>
      <c r="G278" s="373">
        <f t="shared" si="10"/>
        <v>0</v>
      </c>
    </row>
    <row r="279" spans="1:7" hidden="1">
      <c r="A279" s="174">
        <v>100014855</v>
      </c>
      <c r="B279" s="313">
        <v>2098</v>
      </c>
      <c r="C279" s="313">
        <v>2098</v>
      </c>
      <c r="D279" s="325">
        <f t="shared" si="9"/>
        <v>0</v>
      </c>
      <c r="E279" s="312"/>
      <c r="F279" s="312"/>
      <c r="G279" s="373">
        <f t="shared" si="10"/>
        <v>0</v>
      </c>
    </row>
    <row r="280" spans="1:7" hidden="1">
      <c r="A280" s="174">
        <v>100015130</v>
      </c>
      <c r="B280" s="313">
        <v>2720</v>
      </c>
      <c r="C280" s="313">
        <v>2720</v>
      </c>
      <c r="D280" s="325">
        <f t="shared" si="9"/>
        <v>0</v>
      </c>
      <c r="E280" s="312"/>
      <c r="F280" s="312"/>
      <c r="G280" s="373">
        <f t="shared" si="10"/>
        <v>0</v>
      </c>
    </row>
    <row r="281" spans="1:7" hidden="1">
      <c r="A281" s="174">
        <v>100015136</v>
      </c>
      <c r="B281" s="313">
        <v>5365</v>
      </c>
      <c r="C281" s="313">
        <v>5365</v>
      </c>
      <c r="D281" s="325">
        <f t="shared" si="9"/>
        <v>0</v>
      </c>
      <c r="E281" s="312"/>
      <c r="F281" s="312"/>
      <c r="G281" s="373">
        <f t="shared" si="10"/>
        <v>0</v>
      </c>
    </row>
    <row r="282" spans="1:7" hidden="1">
      <c r="A282" s="174">
        <v>100015145</v>
      </c>
      <c r="B282" s="313">
        <v>3576</v>
      </c>
      <c r="C282" s="313">
        <v>3576</v>
      </c>
      <c r="D282" s="325">
        <f t="shared" si="9"/>
        <v>0</v>
      </c>
      <c r="E282" s="312"/>
      <c r="F282" s="312"/>
      <c r="G282" s="373">
        <f t="shared" si="10"/>
        <v>0</v>
      </c>
    </row>
    <row r="283" spans="1:7" hidden="1">
      <c r="A283" s="174">
        <v>100015153</v>
      </c>
      <c r="B283" s="313">
        <v>10064</v>
      </c>
      <c r="C283" s="313">
        <v>10064</v>
      </c>
      <c r="D283" s="325">
        <f t="shared" si="9"/>
        <v>0</v>
      </c>
      <c r="E283" s="312"/>
      <c r="F283" s="312"/>
      <c r="G283" s="373">
        <f t="shared" si="10"/>
        <v>0</v>
      </c>
    </row>
    <row r="284" spans="1:7" hidden="1">
      <c r="A284" s="174">
        <v>100015224</v>
      </c>
      <c r="B284" s="313">
        <v>8638</v>
      </c>
      <c r="C284" s="313">
        <v>8638</v>
      </c>
      <c r="D284" s="325">
        <f t="shared" si="9"/>
        <v>0</v>
      </c>
      <c r="E284" s="312"/>
      <c r="F284" s="312"/>
      <c r="G284" s="373">
        <f t="shared" si="10"/>
        <v>0</v>
      </c>
    </row>
    <row r="285" spans="1:7" hidden="1">
      <c r="A285" s="174">
        <v>100015225</v>
      </c>
      <c r="B285" s="313">
        <v>3687</v>
      </c>
      <c r="C285" s="313">
        <v>3687</v>
      </c>
      <c r="D285" s="325">
        <f t="shared" si="9"/>
        <v>0</v>
      </c>
      <c r="E285" s="312"/>
      <c r="F285" s="312"/>
      <c r="G285" s="373">
        <f t="shared" si="10"/>
        <v>0</v>
      </c>
    </row>
    <row r="286" spans="1:7" hidden="1">
      <c r="A286" s="174">
        <v>100015357</v>
      </c>
      <c r="B286" s="313">
        <v>13183</v>
      </c>
      <c r="C286" s="313">
        <v>13183</v>
      </c>
      <c r="D286" s="325">
        <f t="shared" si="9"/>
        <v>0</v>
      </c>
      <c r="E286" s="312"/>
      <c r="F286" s="312"/>
      <c r="G286" s="373">
        <f t="shared" si="10"/>
        <v>0</v>
      </c>
    </row>
    <row r="287" spans="1:7" hidden="1">
      <c r="A287" s="174">
        <v>100022985</v>
      </c>
      <c r="B287" s="313">
        <v>4854</v>
      </c>
      <c r="C287" s="313">
        <v>4854</v>
      </c>
      <c r="D287" s="325">
        <f t="shared" si="9"/>
        <v>0</v>
      </c>
      <c r="E287" s="312"/>
      <c r="F287" s="312"/>
      <c r="G287" s="373">
        <f t="shared" si="10"/>
        <v>0</v>
      </c>
    </row>
    <row r="288" spans="1:7" hidden="1">
      <c r="A288" s="174">
        <v>100024114</v>
      </c>
      <c r="B288" s="313">
        <v>1521</v>
      </c>
      <c r="C288" s="313">
        <v>1521</v>
      </c>
      <c r="D288" s="325">
        <f t="shared" si="9"/>
        <v>0</v>
      </c>
      <c r="E288" s="312"/>
      <c r="F288" s="312"/>
      <c r="G288" s="373">
        <f t="shared" si="10"/>
        <v>0</v>
      </c>
    </row>
    <row r="289" spans="1:7" hidden="1">
      <c r="A289" s="174">
        <v>100015151</v>
      </c>
      <c r="B289" s="313">
        <v>11648</v>
      </c>
      <c r="C289" s="313">
        <v>11648</v>
      </c>
      <c r="D289" s="325">
        <f t="shared" si="9"/>
        <v>0</v>
      </c>
      <c r="E289" s="312"/>
      <c r="F289" s="312"/>
      <c r="G289" s="373">
        <f t="shared" si="10"/>
        <v>0</v>
      </c>
    </row>
    <row r="290" spans="1:7" hidden="1">
      <c r="A290" s="174">
        <v>100021859</v>
      </c>
      <c r="B290" s="313">
        <v>3297</v>
      </c>
      <c r="C290" s="313">
        <v>3297</v>
      </c>
      <c r="D290" s="325">
        <f t="shared" si="9"/>
        <v>0</v>
      </c>
      <c r="E290" s="312"/>
      <c r="F290" s="312"/>
      <c r="G290" s="373">
        <f t="shared" si="10"/>
        <v>0</v>
      </c>
    </row>
    <row r="291" spans="1:7" hidden="1">
      <c r="A291" s="174">
        <v>100021861</v>
      </c>
      <c r="B291" s="313">
        <v>2155</v>
      </c>
      <c r="C291" s="313">
        <v>2155</v>
      </c>
      <c r="D291" s="325">
        <f t="shared" si="9"/>
        <v>0</v>
      </c>
      <c r="E291" s="312"/>
      <c r="F291" s="312"/>
      <c r="G291" s="373">
        <f t="shared" si="10"/>
        <v>0</v>
      </c>
    </row>
    <row r="292" spans="1:7" hidden="1">
      <c r="A292" s="174">
        <v>182034355</v>
      </c>
      <c r="B292" s="313">
        <v>3182</v>
      </c>
      <c r="C292" s="313">
        <v>3182</v>
      </c>
      <c r="D292" s="325">
        <f t="shared" si="9"/>
        <v>0</v>
      </c>
      <c r="E292" s="312"/>
      <c r="F292" s="312"/>
      <c r="G292" s="373">
        <f t="shared" si="10"/>
        <v>0</v>
      </c>
    </row>
    <row r="293" spans="1:7" hidden="1">
      <c r="A293" s="174">
        <v>182034365</v>
      </c>
      <c r="B293" s="313">
        <v>11189</v>
      </c>
      <c r="C293" s="313">
        <v>11189</v>
      </c>
      <c r="D293" s="325">
        <f t="shared" si="9"/>
        <v>0</v>
      </c>
      <c r="E293" s="312"/>
      <c r="F293" s="312"/>
      <c r="G293" s="373">
        <f t="shared" si="10"/>
        <v>0</v>
      </c>
    </row>
    <row r="294" spans="1:7" hidden="1">
      <c r="A294" s="174">
        <v>463036</v>
      </c>
      <c r="B294" s="313">
        <v>3824</v>
      </c>
      <c r="C294" s="313">
        <v>3824</v>
      </c>
      <c r="D294" s="325">
        <f t="shared" si="9"/>
        <v>0</v>
      </c>
      <c r="E294" s="312"/>
      <c r="F294" s="312"/>
      <c r="G294" s="373">
        <f t="shared" si="10"/>
        <v>0</v>
      </c>
    </row>
    <row r="295" spans="1:7" hidden="1">
      <c r="A295" s="174">
        <v>468543</v>
      </c>
      <c r="B295" s="313">
        <v>9520</v>
      </c>
      <c r="C295" s="313">
        <v>9520</v>
      </c>
      <c r="D295" s="325">
        <f t="shared" si="9"/>
        <v>0</v>
      </c>
      <c r="E295" s="312"/>
      <c r="F295" s="312"/>
      <c r="G295" s="373">
        <f t="shared" si="10"/>
        <v>0</v>
      </c>
    </row>
    <row r="296" spans="1:7" hidden="1">
      <c r="A296" s="174">
        <v>445300</v>
      </c>
      <c r="B296" s="313">
        <v>0</v>
      </c>
      <c r="C296" s="313">
        <v>0</v>
      </c>
      <c r="D296" s="325">
        <f t="shared" si="9"/>
        <v>0</v>
      </c>
      <c r="E296" s="312"/>
      <c r="F296" s="312"/>
      <c r="G296" s="373">
        <f t="shared" si="10"/>
        <v>0</v>
      </c>
    </row>
    <row r="297" spans="1:7" hidden="1">
      <c r="A297" s="174">
        <v>73206</v>
      </c>
      <c r="B297" s="313">
        <v>696</v>
      </c>
      <c r="C297" s="313">
        <f>VLOOKUP(A297,[3]cutting!$A$4:$C$151,3,0)</f>
        <v>696</v>
      </c>
      <c r="D297" s="325">
        <f t="shared" si="9"/>
        <v>0</v>
      </c>
      <c r="E297" s="312"/>
      <c r="F297" s="312"/>
      <c r="G297" s="373">
        <f t="shared" si="10"/>
        <v>0</v>
      </c>
    </row>
    <row r="298" spans="1:7" hidden="1">
      <c r="A298" s="174">
        <v>76203</v>
      </c>
      <c r="B298" s="313">
        <v>615</v>
      </c>
      <c r="C298" s="313">
        <f>VLOOKUP(A298,[3]cutting!$A$4:$C$151,3,0)</f>
        <v>615</v>
      </c>
      <c r="D298" s="325">
        <f t="shared" si="9"/>
        <v>0</v>
      </c>
      <c r="E298" s="312"/>
      <c r="F298" s="312"/>
      <c r="G298" s="373">
        <f t="shared" si="10"/>
        <v>0</v>
      </c>
    </row>
    <row r="299" spans="1:7" hidden="1">
      <c r="A299" s="174">
        <v>457309</v>
      </c>
      <c r="B299" s="313">
        <v>36158</v>
      </c>
      <c r="C299" s="313">
        <v>36158</v>
      </c>
      <c r="D299" s="325">
        <f t="shared" si="9"/>
        <v>0</v>
      </c>
      <c r="E299" s="312"/>
      <c r="F299" s="312"/>
      <c r="G299" s="373">
        <f t="shared" si="10"/>
        <v>0</v>
      </c>
    </row>
    <row r="300" spans="1:7" hidden="1">
      <c r="A300" s="174">
        <v>462511</v>
      </c>
      <c r="B300" s="313">
        <v>14294</v>
      </c>
      <c r="C300" s="313">
        <v>14294</v>
      </c>
      <c r="D300" s="325">
        <f t="shared" si="9"/>
        <v>0</v>
      </c>
      <c r="E300" s="312"/>
      <c r="F300" s="312"/>
      <c r="G300" s="373">
        <f t="shared" si="10"/>
        <v>0</v>
      </c>
    </row>
    <row r="301" spans="1:7" hidden="1">
      <c r="A301" s="174">
        <v>462516</v>
      </c>
      <c r="B301" s="313">
        <v>33496</v>
      </c>
      <c r="C301" s="313">
        <f>VLOOKUP(A301,[3]cutting!$A$4:$C$151,3,0)</f>
        <v>33496</v>
      </c>
      <c r="D301" s="325">
        <f t="shared" si="9"/>
        <v>0</v>
      </c>
      <c r="E301" s="312"/>
      <c r="F301" s="312"/>
      <c r="G301" s="373">
        <f t="shared" si="10"/>
        <v>0</v>
      </c>
    </row>
    <row r="302" spans="1:7" hidden="1">
      <c r="A302" s="174">
        <v>464101</v>
      </c>
      <c r="B302" s="313">
        <v>14069</v>
      </c>
      <c r="C302" s="313">
        <v>14069</v>
      </c>
      <c r="D302" s="325">
        <f t="shared" si="9"/>
        <v>0</v>
      </c>
      <c r="E302" s="312"/>
      <c r="F302" s="312"/>
      <c r="G302" s="373">
        <f t="shared" si="10"/>
        <v>0</v>
      </c>
    </row>
    <row r="303" spans="1:7" hidden="1">
      <c r="A303" s="174">
        <v>469135</v>
      </c>
      <c r="B303" s="313">
        <v>4767</v>
      </c>
      <c r="C303" s="313">
        <v>4767</v>
      </c>
      <c r="D303" s="325">
        <f t="shared" si="9"/>
        <v>0</v>
      </c>
      <c r="E303" s="312"/>
      <c r="F303" s="312"/>
      <c r="G303" s="373">
        <f t="shared" si="10"/>
        <v>0</v>
      </c>
    </row>
    <row r="304" spans="1:7" hidden="1">
      <c r="A304" s="174">
        <v>469615</v>
      </c>
      <c r="B304" s="313">
        <v>13917</v>
      </c>
      <c r="C304" s="313">
        <v>13917</v>
      </c>
      <c r="D304" s="325">
        <f t="shared" si="9"/>
        <v>0</v>
      </c>
      <c r="E304" s="312"/>
      <c r="F304" s="312"/>
      <c r="G304" s="373">
        <f t="shared" si="10"/>
        <v>0</v>
      </c>
    </row>
    <row r="305" spans="1:7" hidden="1">
      <c r="A305" s="174">
        <v>471355</v>
      </c>
      <c r="B305" s="313">
        <v>11358</v>
      </c>
      <c r="C305" s="313">
        <v>11358</v>
      </c>
      <c r="D305" s="325">
        <f t="shared" si="9"/>
        <v>0</v>
      </c>
      <c r="E305" s="312"/>
      <c r="F305" s="312"/>
      <c r="G305" s="373">
        <f t="shared" si="10"/>
        <v>0</v>
      </c>
    </row>
    <row r="306" spans="1:7" hidden="1">
      <c r="A306" s="174">
        <v>100014854</v>
      </c>
      <c r="B306" s="313">
        <v>9463</v>
      </c>
      <c r="C306" s="313">
        <v>9463</v>
      </c>
      <c r="D306" s="325">
        <f t="shared" si="9"/>
        <v>0</v>
      </c>
      <c r="E306" s="312"/>
      <c r="F306" s="312"/>
      <c r="G306" s="373">
        <f t="shared" si="10"/>
        <v>0</v>
      </c>
    </row>
    <row r="307" spans="1:7" hidden="1">
      <c r="A307" s="174">
        <v>100014856</v>
      </c>
      <c r="B307" s="313">
        <v>6666</v>
      </c>
      <c r="C307" s="313">
        <f>VLOOKUP(A307,[3]cutting!$A$4:$C$151,3,0)</f>
        <v>6666</v>
      </c>
      <c r="D307" s="325">
        <f t="shared" si="9"/>
        <v>0</v>
      </c>
      <c r="E307" s="312"/>
      <c r="F307" s="312"/>
      <c r="G307" s="373">
        <f t="shared" si="10"/>
        <v>0</v>
      </c>
    </row>
    <row r="308" spans="1:7" hidden="1">
      <c r="A308" s="174">
        <v>100014860</v>
      </c>
      <c r="B308" s="313">
        <v>2024</v>
      </c>
      <c r="C308" s="313">
        <v>2024</v>
      </c>
      <c r="D308" s="325">
        <f t="shared" si="9"/>
        <v>0</v>
      </c>
      <c r="E308" s="312"/>
      <c r="F308" s="312"/>
      <c r="G308" s="373">
        <f t="shared" si="10"/>
        <v>0</v>
      </c>
    </row>
    <row r="309" spans="1:7" hidden="1">
      <c r="A309" s="174">
        <v>100014861</v>
      </c>
      <c r="B309" s="313">
        <v>3242</v>
      </c>
      <c r="C309" s="313">
        <v>3242</v>
      </c>
      <c r="D309" s="325">
        <f t="shared" si="9"/>
        <v>0</v>
      </c>
      <c r="E309" s="312"/>
      <c r="F309" s="312"/>
      <c r="G309" s="373">
        <f t="shared" si="10"/>
        <v>0</v>
      </c>
    </row>
    <row r="310" spans="1:7" hidden="1">
      <c r="A310" s="174">
        <v>100014862</v>
      </c>
      <c r="B310" s="313">
        <v>4822</v>
      </c>
      <c r="C310" s="313">
        <v>4822</v>
      </c>
      <c r="D310" s="325">
        <f t="shared" si="9"/>
        <v>0</v>
      </c>
      <c r="E310" s="312"/>
      <c r="F310" s="312"/>
      <c r="G310" s="373">
        <f t="shared" si="10"/>
        <v>0</v>
      </c>
    </row>
    <row r="311" spans="1:7" hidden="1">
      <c r="A311" s="174">
        <v>100014863</v>
      </c>
      <c r="B311" s="313">
        <v>9776</v>
      </c>
      <c r="C311" s="313">
        <v>9776</v>
      </c>
      <c r="D311" s="325">
        <f t="shared" si="9"/>
        <v>0</v>
      </c>
      <c r="E311" s="312"/>
      <c r="F311" s="312"/>
      <c r="G311" s="373">
        <f t="shared" si="10"/>
        <v>0</v>
      </c>
    </row>
    <row r="312" spans="1:7" hidden="1">
      <c r="A312" s="174">
        <v>100014864</v>
      </c>
      <c r="B312" s="313">
        <v>6671</v>
      </c>
      <c r="C312" s="313">
        <v>6671</v>
      </c>
      <c r="D312" s="325">
        <f t="shared" si="9"/>
        <v>0</v>
      </c>
      <c r="E312" s="312"/>
      <c r="F312" s="312"/>
      <c r="G312" s="373">
        <f t="shared" si="10"/>
        <v>0</v>
      </c>
    </row>
    <row r="313" spans="1:7" hidden="1">
      <c r="A313" s="174">
        <v>100014869</v>
      </c>
      <c r="B313" s="313">
        <v>2665</v>
      </c>
      <c r="C313" s="313">
        <v>2665</v>
      </c>
      <c r="D313" s="325">
        <f t="shared" si="9"/>
        <v>0</v>
      </c>
      <c r="E313" s="312"/>
      <c r="F313" s="312"/>
      <c r="G313" s="373">
        <f t="shared" si="10"/>
        <v>0</v>
      </c>
    </row>
    <row r="314" spans="1:7" hidden="1">
      <c r="A314" s="174">
        <v>100015148</v>
      </c>
      <c r="B314" s="313">
        <v>6006</v>
      </c>
      <c r="C314" s="313">
        <v>6006</v>
      </c>
      <c r="D314" s="325">
        <f t="shared" si="9"/>
        <v>0</v>
      </c>
      <c r="E314" s="312"/>
      <c r="F314" s="312"/>
      <c r="G314" s="373">
        <f t="shared" si="10"/>
        <v>0</v>
      </c>
    </row>
    <row r="315" spans="1:7" hidden="1">
      <c r="A315" s="174">
        <v>100015173</v>
      </c>
      <c r="B315" s="313">
        <v>1988</v>
      </c>
      <c r="C315" s="313">
        <v>1988</v>
      </c>
      <c r="D315" s="325">
        <f t="shared" si="9"/>
        <v>0</v>
      </c>
      <c r="E315" s="312"/>
      <c r="F315" s="312"/>
      <c r="G315" s="373">
        <f t="shared" si="10"/>
        <v>0</v>
      </c>
    </row>
    <row r="316" spans="1:7" hidden="1">
      <c r="A316" s="174">
        <v>100015180</v>
      </c>
      <c r="B316" s="313">
        <v>1294</v>
      </c>
      <c r="C316" s="313">
        <v>1294</v>
      </c>
      <c r="D316" s="325">
        <f t="shared" si="9"/>
        <v>0</v>
      </c>
      <c r="E316" s="312"/>
      <c r="F316" s="312"/>
      <c r="G316" s="373">
        <f t="shared" si="10"/>
        <v>0</v>
      </c>
    </row>
    <row r="317" spans="1:7" hidden="1">
      <c r="A317" s="174">
        <v>100015249</v>
      </c>
      <c r="B317" s="313">
        <v>10009</v>
      </c>
      <c r="C317" s="313">
        <v>10009</v>
      </c>
      <c r="D317" s="325">
        <f t="shared" si="9"/>
        <v>0</v>
      </c>
      <c r="E317" s="312"/>
      <c r="F317" s="312"/>
      <c r="G317" s="373">
        <f t="shared" si="10"/>
        <v>0</v>
      </c>
    </row>
    <row r="318" spans="1:7" hidden="1">
      <c r="A318" s="174">
        <v>100015301</v>
      </c>
      <c r="B318" s="313">
        <v>13343</v>
      </c>
      <c r="C318" s="313">
        <v>13343</v>
      </c>
      <c r="D318" s="325">
        <f t="shared" si="9"/>
        <v>0</v>
      </c>
      <c r="E318" s="312"/>
      <c r="F318" s="312"/>
      <c r="G318" s="373">
        <f t="shared" si="10"/>
        <v>0</v>
      </c>
    </row>
    <row r="319" spans="1:7" hidden="1">
      <c r="A319" s="174">
        <v>100015303</v>
      </c>
      <c r="B319" s="313">
        <v>13289</v>
      </c>
      <c r="C319" s="313">
        <v>13289</v>
      </c>
      <c r="D319" s="325">
        <f t="shared" si="9"/>
        <v>0</v>
      </c>
      <c r="E319" s="312"/>
      <c r="F319" s="312"/>
      <c r="G319" s="373">
        <f t="shared" si="10"/>
        <v>0</v>
      </c>
    </row>
    <row r="320" spans="1:7" hidden="1">
      <c r="A320" s="174">
        <v>100015304</v>
      </c>
      <c r="B320" s="313">
        <v>6756</v>
      </c>
      <c r="C320" s="313">
        <v>6756</v>
      </c>
      <c r="D320" s="325">
        <f t="shared" si="9"/>
        <v>0</v>
      </c>
      <c r="E320" s="312"/>
      <c r="F320" s="312"/>
      <c r="G320" s="373">
        <f t="shared" si="10"/>
        <v>0</v>
      </c>
    </row>
    <row r="321" spans="1:7" hidden="1">
      <c r="A321" s="174">
        <v>100015356</v>
      </c>
      <c r="B321" s="313">
        <v>3285</v>
      </c>
      <c r="C321" s="313">
        <v>3285</v>
      </c>
      <c r="D321" s="325">
        <f t="shared" si="9"/>
        <v>0</v>
      </c>
      <c r="E321" s="312"/>
      <c r="F321" s="312"/>
      <c r="G321" s="373">
        <f t="shared" si="10"/>
        <v>0</v>
      </c>
    </row>
    <row r="322" spans="1:7" hidden="1">
      <c r="A322" s="174">
        <v>100015404</v>
      </c>
      <c r="B322" s="313">
        <v>3422</v>
      </c>
      <c r="C322" s="313">
        <v>3422</v>
      </c>
      <c r="D322" s="325">
        <f t="shared" si="9"/>
        <v>0</v>
      </c>
      <c r="E322" s="312"/>
      <c r="F322" s="312"/>
      <c r="G322" s="373">
        <f t="shared" si="10"/>
        <v>0</v>
      </c>
    </row>
    <row r="323" spans="1:7" hidden="1">
      <c r="A323" s="174">
        <v>100015437</v>
      </c>
      <c r="B323" s="313">
        <v>1736</v>
      </c>
      <c r="C323" s="313">
        <v>1736</v>
      </c>
      <c r="D323" s="325">
        <f t="shared" si="9"/>
        <v>0</v>
      </c>
      <c r="E323" s="312"/>
      <c r="F323" s="312"/>
      <c r="G323" s="373">
        <f t="shared" si="10"/>
        <v>0</v>
      </c>
    </row>
    <row r="324" spans="1:7" hidden="1">
      <c r="A324" s="174">
        <v>100016367</v>
      </c>
      <c r="B324" s="313">
        <v>7470</v>
      </c>
      <c r="C324" s="313">
        <v>7470</v>
      </c>
      <c r="D324" s="325">
        <f t="shared" si="9"/>
        <v>0</v>
      </c>
      <c r="E324" s="312"/>
      <c r="F324" s="312"/>
      <c r="G324" s="373">
        <f t="shared" si="10"/>
        <v>0</v>
      </c>
    </row>
    <row r="325" spans="1:7" hidden="1">
      <c r="A325" s="174">
        <v>100016575</v>
      </c>
      <c r="B325" s="313">
        <v>1057</v>
      </c>
      <c r="C325" s="313">
        <v>1057</v>
      </c>
      <c r="D325" s="325">
        <f t="shared" si="9"/>
        <v>0</v>
      </c>
      <c r="E325" s="312"/>
      <c r="F325" s="312"/>
      <c r="G325" s="373">
        <f t="shared" si="10"/>
        <v>0</v>
      </c>
    </row>
    <row r="326" spans="1:7" hidden="1">
      <c r="A326" s="174">
        <v>100019839</v>
      </c>
      <c r="B326" s="313">
        <v>2214</v>
      </c>
      <c r="C326" s="313">
        <v>2214</v>
      </c>
      <c r="D326" s="325">
        <f t="shared" si="9"/>
        <v>0</v>
      </c>
      <c r="E326" s="312"/>
      <c r="F326" s="312"/>
      <c r="G326" s="373">
        <f t="shared" si="10"/>
        <v>0</v>
      </c>
    </row>
    <row r="327" spans="1:7" hidden="1">
      <c r="A327" s="174">
        <v>100021862</v>
      </c>
      <c r="B327" s="313">
        <v>798</v>
      </c>
      <c r="C327" s="313">
        <v>798</v>
      </c>
      <c r="D327" s="325">
        <f t="shared" ref="D327:D390" si="11">C327-B327</f>
        <v>0</v>
      </c>
      <c r="E327" s="312"/>
      <c r="F327" s="312"/>
      <c r="G327" s="373">
        <f t="shared" ref="G327:G390" si="12">+D327-E327-F327</f>
        <v>0</v>
      </c>
    </row>
    <row r="328" spans="1:7" hidden="1">
      <c r="A328" s="174">
        <v>100025244</v>
      </c>
      <c r="B328" s="313">
        <v>627</v>
      </c>
      <c r="C328" s="313">
        <v>627</v>
      </c>
      <c r="D328" s="325">
        <f t="shared" si="11"/>
        <v>0</v>
      </c>
      <c r="E328" s="312"/>
      <c r="F328" s="312"/>
      <c r="G328" s="373">
        <f t="shared" si="12"/>
        <v>0</v>
      </c>
    </row>
    <row r="329" spans="1:7" hidden="1">
      <c r="A329" s="174">
        <v>100025245</v>
      </c>
      <c r="B329" s="313">
        <v>596</v>
      </c>
      <c r="C329" s="313">
        <v>596</v>
      </c>
      <c r="D329" s="325">
        <f t="shared" si="11"/>
        <v>0</v>
      </c>
      <c r="E329" s="312"/>
      <c r="F329" s="312"/>
      <c r="G329" s="373">
        <f t="shared" si="12"/>
        <v>0</v>
      </c>
    </row>
    <row r="330" spans="1:7" hidden="1">
      <c r="A330" s="174">
        <v>182013373</v>
      </c>
      <c r="B330" s="313">
        <v>10358</v>
      </c>
      <c r="C330" s="313">
        <v>10358</v>
      </c>
      <c r="D330" s="325">
        <f t="shared" si="11"/>
        <v>0</v>
      </c>
      <c r="E330" s="312"/>
      <c r="F330" s="312"/>
      <c r="G330" s="373">
        <f t="shared" si="12"/>
        <v>0</v>
      </c>
    </row>
    <row r="331" spans="1:7" hidden="1">
      <c r="A331" s="174">
        <v>182013374</v>
      </c>
      <c r="B331" s="313">
        <v>7929</v>
      </c>
      <c r="C331" s="313">
        <f>VLOOKUP(A331,[3]cutting!$A$4:$C$151,3,0)</f>
        <v>7929</v>
      </c>
      <c r="D331" s="325">
        <f t="shared" si="11"/>
        <v>0</v>
      </c>
      <c r="E331" s="312"/>
      <c r="F331" s="312"/>
      <c r="G331" s="373">
        <f t="shared" si="12"/>
        <v>0</v>
      </c>
    </row>
    <row r="332" spans="1:7" hidden="1">
      <c r="A332" s="174">
        <v>182034338</v>
      </c>
      <c r="B332" s="313">
        <v>1608</v>
      </c>
      <c r="C332" s="313">
        <v>1608</v>
      </c>
      <c r="D332" s="325">
        <f t="shared" si="11"/>
        <v>0</v>
      </c>
      <c r="E332" s="312"/>
      <c r="F332" s="312"/>
      <c r="G332" s="373">
        <f t="shared" si="12"/>
        <v>0</v>
      </c>
    </row>
    <row r="333" spans="1:7" hidden="1">
      <c r="A333" s="174">
        <v>100015358</v>
      </c>
      <c r="B333" s="313">
        <v>5087</v>
      </c>
      <c r="C333" s="313">
        <v>5087</v>
      </c>
      <c r="D333" s="325">
        <f t="shared" si="11"/>
        <v>0</v>
      </c>
      <c r="E333" s="312"/>
      <c r="F333" s="312"/>
      <c r="G333" s="373">
        <f t="shared" si="12"/>
        <v>0</v>
      </c>
    </row>
    <row r="334" spans="1:7" hidden="1">
      <c r="A334" s="174">
        <v>100022090</v>
      </c>
      <c r="B334" s="313">
        <v>6032</v>
      </c>
      <c r="C334" s="313">
        <v>6032</v>
      </c>
      <c r="D334" s="325">
        <f t="shared" si="11"/>
        <v>0</v>
      </c>
      <c r="E334" s="312"/>
      <c r="F334" s="312"/>
      <c r="G334" s="373">
        <f t="shared" si="12"/>
        <v>0</v>
      </c>
    </row>
    <row r="335" spans="1:7">
      <c r="A335" s="174">
        <v>182034820</v>
      </c>
      <c r="B335" s="313">
        <v>11390</v>
      </c>
      <c r="C335" s="313">
        <v>11437</v>
      </c>
      <c r="D335" s="325">
        <f t="shared" si="11"/>
        <v>47</v>
      </c>
      <c r="E335" s="444">
        <v>47</v>
      </c>
      <c r="F335" s="444"/>
      <c r="G335" s="373">
        <f t="shared" si="12"/>
        <v>0</v>
      </c>
    </row>
    <row r="336" spans="1:7" hidden="1">
      <c r="A336" s="174">
        <v>457223</v>
      </c>
      <c r="B336" s="313">
        <v>10595</v>
      </c>
      <c r="C336" s="313">
        <v>10595</v>
      </c>
      <c r="D336" s="325">
        <f t="shared" si="11"/>
        <v>0</v>
      </c>
      <c r="E336" s="312"/>
      <c r="F336" s="312"/>
      <c r="G336" s="373">
        <f t="shared" si="12"/>
        <v>0</v>
      </c>
    </row>
    <row r="337" spans="1:7" hidden="1">
      <c r="A337" s="174">
        <v>461186</v>
      </c>
      <c r="B337" s="313">
        <v>4721</v>
      </c>
      <c r="C337" s="313">
        <v>4721</v>
      </c>
      <c r="D337" s="325">
        <f t="shared" si="11"/>
        <v>0</v>
      </c>
      <c r="E337" s="312"/>
      <c r="F337" s="312"/>
      <c r="G337" s="373">
        <f t="shared" si="12"/>
        <v>0</v>
      </c>
    </row>
    <row r="338" spans="1:7" hidden="1">
      <c r="A338" s="174">
        <v>461795</v>
      </c>
      <c r="B338" s="313">
        <v>12770</v>
      </c>
      <c r="C338" s="313">
        <v>12770</v>
      </c>
      <c r="D338" s="325">
        <f t="shared" si="11"/>
        <v>0</v>
      </c>
      <c r="E338" s="312"/>
      <c r="F338" s="312"/>
      <c r="G338" s="373">
        <f t="shared" si="12"/>
        <v>0</v>
      </c>
    </row>
    <row r="339" spans="1:7" hidden="1">
      <c r="A339" s="174">
        <v>463022</v>
      </c>
      <c r="B339" s="313">
        <v>3150</v>
      </c>
      <c r="C339" s="313">
        <v>3150</v>
      </c>
      <c r="D339" s="325">
        <f t="shared" si="11"/>
        <v>0</v>
      </c>
      <c r="E339" s="312"/>
      <c r="F339" s="312"/>
      <c r="G339" s="373">
        <f t="shared" si="12"/>
        <v>0</v>
      </c>
    </row>
    <row r="340" spans="1:7" hidden="1">
      <c r="A340" s="174">
        <v>463024</v>
      </c>
      <c r="B340" s="313">
        <v>6277</v>
      </c>
      <c r="C340" s="313">
        <v>6277</v>
      </c>
      <c r="D340" s="325">
        <f t="shared" si="11"/>
        <v>0</v>
      </c>
      <c r="E340" s="312"/>
      <c r="F340" s="312"/>
      <c r="G340" s="373">
        <f t="shared" si="12"/>
        <v>0</v>
      </c>
    </row>
    <row r="341" spans="1:7" hidden="1">
      <c r="A341" s="174">
        <v>463029</v>
      </c>
      <c r="B341" s="313">
        <v>6421</v>
      </c>
      <c r="C341" s="313">
        <v>6421</v>
      </c>
      <c r="D341" s="325">
        <f t="shared" si="11"/>
        <v>0</v>
      </c>
      <c r="E341" s="312"/>
      <c r="F341" s="312"/>
      <c r="G341" s="373">
        <f t="shared" si="12"/>
        <v>0</v>
      </c>
    </row>
    <row r="342" spans="1:7" hidden="1">
      <c r="A342" s="174">
        <v>463030</v>
      </c>
      <c r="B342" s="313">
        <v>3719</v>
      </c>
      <c r="C342" s="313">
        <v>3719</v>
      </c>
      <c r="D342" s="325">
        <f t="shared" si="11"/>
        <v>0</v>
      </c>
      <c r="E342" s="312"/>
      <c r="F342" s="312"/>
      <c r="G342" s="373">
        <f t="shared" si="12"/>
        <v>0</v>
      </c>
    </row>
    <row r="343" spans="1:7" hidden="1">
      <c r="A343" s="174">
        <v>466459</v>
      </c>
      <c r="B343" s="313">
        <v>2985</v>
      </c>
      <c r="C343" s="313">
        <v>2985</v>
      </c>
      <c r="D343" s="325">
        <f t="shared" si="11"/>
        <v>0</v>
      </c>
      <c r="E343" s="312"/>
      <c r="F343" s="312"/>
      <c r="G343" s="373">
        <f t="shared" si="12"/>
        <v>0</v>
      </c>
    </row>
    <row r="344" spans="1:7" hidden="1">
      <c r="A344" s="174">
        <v>467476</v>
      </c>
      <c r="B344" s="313">
        <v>19251</v>
      </c>
      <c r="C344" s="313">
        <v>19251</v>
      </c>
      <c r="D344" s="325">
        <f t="shared" si="11"/>
        <v>0</v>
      </c>
      <c r="E344" s="312"/>
      <c r="F344" s="312"/>
      <c r="G344" s="373">
        <f t="shared" si="12"/>
        <v>0</v>
      </c>
    </row>
    <row r="345" spans="1:7" hidden="1">
      <c r="A345" s="174">
        <v>468585</v>
      </c>
      <c r="B345" s="313">
        <v>14189</v>
      </c>
      <c r="C345" s="313">
        <v>14189</v>
      </c>
      <c r="D345" s="325">
        <f t="shared" si="11"/>
        <v>0</v>
      </c>
      <c r="E345" s="312"/>
      <c r="F345" s="312"/>
      <c r="G345" s="373">
        <f t="shared" si="12"/>
        <v>0</v>
      </c>
    </row>
    <row r="346" spans="1:7" hidden="1">
      <c r="A346" s="174">
        <v>471857</v>
      </c>
      <c r="B346" s="313">
        <v>4690</v>
      </c>
      <c r="C346" s="313">
        <v>4690</v>
      </c>
      <c r="D346" s="325">
        <f t="shared" si="11"/>
        <v>0</v>
      </c>
      <c r="E346" s="312"/>
      <c r="F346" s="312"/>
      <c r="G346" s="373">
        <f t="shared" si="12"/>
        <v>0</v>
      </c>
    </row>
    <row r="347" spans="1:7" hidden="1">
      <c r="A347" s="174" t="s">
        <v>283</v>
      </c>
      <c r="B347" s="313">
        <v>12498</v>
      </c>
      <c r="C347" s="313">
        <f>VLOOKUP(A347,[3]cutting!$A$4:$C$151,3,0)</f>
        <v>12498</v>
      </c>
      <c r="D347" s="325">
        <f t="shared" si="11"/>
        <v>0</v>
      </c>
      <c r="E347" s="312"/>
      <c r="F347" s="312"/>
      <c r="G347" s="373">
        <f t="shared" si="12"/>
        <v>0</v>
      </c>
    </row>
    <row r="348" spans="1:7" hidden="1">
      <c r="A348" s="174" t="s">
        <v>284</v>
      </c>
      <c r="B348" s="313">
        <v>15421.18</v>
      </c>
      <c r="C348" s="313">
        <v>15421.18</v>
      </c>
      <c r="D348" s="325">
        <f t="shared" si="11"/>
        <v>0</v>
      </c>
      <c r="E348" s="312"/>
      <c r="F348" s="312"/>
      <c r="G348" s="373">
        <f t="shared" si="12"/>
        <v>0</v>
      </c>
    </row>
    <row r="349" spans="1:7" hidden="1">
      <c r="A349" s="174" t="s">
        <v>285</v>
      </c>
      <c r="B349" s="313">
        <v>7167</v>
      </c>
      <c r="C349" s="313">
        <f>VLOOKUP(A349,[3]cutting!$A$4:$C$151,3,0)</f>
        <v>7167</v>
      </c>
      <c r="D349" s="325">
        <f t="shared" si="11"/>
        <v>0</v>
      </c>
      <c r="E349" s="312"/>
      <c r="F349" s="312"/>
      <c r="G349" s="373">
        <f t="shared" si="12"/>
        <v>0</v>
      </c>
    </row>
    <row r="350" spans="1:7" hidden="1">
      <c r="A350" s="174">
        <v>100023338</v>
      </c>
      <c r="B350" s="313">
        <v>6730</v>
      </c>
      <c r="C350" s="313">
        <v>6730</v>
      </c>
      <c r="D350" s="325">
        <f t="shared" si="11"/>
        <v>0</v>
      </c>
      <c r="E350" s="312"/>
      <c r="F350" s="312"/>
      <c r="G350" s="373">
        <f t="shared" si="12"/>
        <v>0</v>
      </c>
    </row>
    <row r="351" spans="1:7" hidden="1">
      <c r="A351" s="174" t="s">
        <v>286</v>
      </c>
      <c r="B351" s="313">
        <v>9502</v>
      </c>
      <c r="C351" s="313">
        <v>9502</v>
      </c>
      <c r="D351" s="325">
        <f t="shared" si="11"/>
        <v>0</v>
      </c>
      <c r="E351" s="312"/>
      <c r="F351" s="312"/>
      <c r="G351" s="373">
        <f t="shared" si="12"/>
        <v>0</v>
      </c>
    </row>
    <row r="352" spans="1:7" hidden="1">
      <c r="A352" s="174" t="s">
        <v>288</v>
      </c>
      <c r="B352" s="313">
        <v>0</v>
      </c>
      <c r="C352" s="313">
        <v>0</v>
      </c>
      <c r="D352" s="325">
        <f t="shared" si="11"/>
        <v>0</v>
      </c>
      <c r="E352" s="312"/>
      <c r="F352" s="312"/>
      <c r="G352" s="373">
        <f t="shared" si="12"/>
        <v>0</v>
      </c>
    </row>
    <row r="353" spans="1:7" hidden="1">
      <c r="A353" s="174" t="s">
        <v>268</v>
      </c>
      <c r="B353" s="313">
        <v>0</v>
      </c>
      <c r="C353" s="313">
        <v>0</v>
      </c>
      <c r="D353" s="325">
        <f t="shared" si="11"/>
        <v>0</v>
      </c>
      <c r="E353" s="312"/>
      <c r="F353" s="312"/>
      <c r="G353" s="373">
        <f t="shared" si="12"/>
        <v>0</v>
      </c>
    </row>
    <row r="354" spans="1:7" hidden="1">
      <c r="A354" s="174">
        <v>100025351</v>
      </c>
      <c r="B354" s="313">
        <v>1125</v>
      </c>
      <c r="C354" s="313">
        <v>1125</v>
      </c>
      <c r="D354" s="325">
        <f t="shared" si="11"/>
        <v>0</v>
      </c>
      <c r="E354" s="312"/>
      <c r="F354" s="312"/>
      <c r="G354" s="373">
        <f t="shared" si="12"/>
        <v>0</v>
      </c>
    </row>
    <row r="355" spans="1:7" hidden="1">
      <c r="A355" s="174">
        <v>182034821</v>
      </c>
      <c r="B355" s="313">
        <v>11876</v>
      </c>
      <c r="C355" s="313">
        <f>VLOOKUP(A355,[3]cutting!$A$4:$C$151,3,0)</f>
        <v>11876</v>
      </c>
      <c r="D355" s="325">
        <f t="shared" si="11"/>
        <v>0</v>
      </c>
      <c r="E355" s="312"/>
      <c r="F355" s="312"/>
      <c r="G355" s="373">
        <f t="shared" si="12"/>
        <v>0</v>
      </c>
    </row>
    <row r="356" spans="1:7" hidden="1">
      <c r="A356" s="174">
        <v>182034836</v>
      </c>
      <c r="B356" s="313">
        <v>3006</v>
      </c>
      <c r="C356" s="313">
        <v>3006</v>
      </c>
      <c r="D356" s="325">
        <f t="shared" si="11"/>
        <v>0</v>
      </c>
      <c r="E356" s="312"/>
      <c r="F356" s="312"/>
      <c r="G356" s="373">
        <f t="shared" si="12"/>
        <v>0</v>
      </c>
    </row>
    <row r="357" spans="1:7" hidden="1">
      <c r="A357" s="174">
        <v>182034837</v>
      </c>
      <c r="B357" s="313">
        <v>810</v>
      </c>
      <c r="C357" s="313">
        <f>VLOOKUP(A357,[3]cutting!$A$4:$C$151,3,0)</f>
        <v>810</v>
      </c>
      <c r="D357" s="325">
        <f t="shared" si="11"/>
        <v>0</v>
      </c>
      <c r="E357" s="312"/>
      <c r="F357" s="312"/>
      <c r="G357" s="373">
        <f t="shared" si="12"/>
        <v>0</v>
      </c>
    </row>
    <row r="358" spans="1:7" hidden="1">
      <c r="A358" s="174" t="s">
        <v>293</v>
      </c>
      <c r="B358" s="313">
        <v>11564</v>
      </c>
      <c r="C358" s="313">
        <f>VLOOKUP(A358,[3]cutting!$A$4:$C$151,3,0)</f>
        <v>11564</v>
      </c>
      <c r="D358" s="325">
        <f t="shared" si="11"/>
        <v>0</v>
      </c>
      <c r="E358" s="312"/>
      <c r="F358" s="312"/>
      <c r="G358" s="373">
        <f t="shared" si="12"/>
        <v>0</v>
      </c>
    </row>
    <row r="359" spans="1:7" hidden="1">
      <c r="A359" s="174">
        <v>417355</v>
      </c>
      <c r="B359" s="313">
        <v>0</v>
      </c>
      <c r="C359" s="313">
        <v>0</v>
      </c>
      <c r="D359" s="325">
        <f t="shared" si="11"/>
        <v>0</v>
      </c>
      <c r="E359" s="312"/>
      <c r="F359" s="312"/>
      <c r="G359" s="373">
        <f t="shared" si="12"/>
        <v>0</v>
      </c>
    </row>
    <row r="360" spans="1:7" hidden="1">
      <c r="A360" s="174">
        <v>465318</v>
      </c>
      <c r="B360" s="313">
        <v>6582</v>
      </c>
      <c r="C360" s="313">
        <v>6582</v>
      </c>
      <c r="D360" s="325">
        <f t="shared" si="11"/>
        <v>0</v>
      </c>
      <c r="E360" s="312"/>
      <c r="F360" s="312"/>
      <c r="G360" s="373">
        <f t="shared" si="12"/>
        <v>0</v>
      </c>
    </row>
    <row r="361" spans="1:7">
      <c r="A361" s="174">
        <v>465985</v>
      </c>
      <c r="B361" s="313">
        <v>6498</v>
      </c>
      <c r="C361" s="313">
        <v>9760</v>
      </c>
      <c r="D361" s="325">
        <f t="shared" si="11"/>
        <v>3262</v>
      </c>
      <c r="E361" s="444">
        <v>3777</v>
      </c>
      <c r="F361" s="444"/>
      <c r="G361" s="373">
        <f t="shared" si="12"/>
        <v>-515</v>
      </c>
    </row>
    <row r="362" spans="1:7" hidden="1">
      <c r="A362" s="174">
        <v>466092</v>
      </c>
      <c r="B362" s="313">
        <v>1691</v>
      </c>
      <c r="C362" s="313">
        <v>1691</v>
      </c>
      <c r="D362" s="325">
        <f t="shared" si="11"/>
        <v>0</v>
      </c>
      <c r="E362" s="312"/>
      <c r="F362" s="312"/>
      <c r="G362" s="373">
        <f t="shared" si="12"/>
        <v>0</v>
      </c>
    </row>
    <row r="363" spans="1:7" hidden="1">
      <c r="A363" s="174">
        <v>470322</v>
      </c>
      <c r="B363" s="313">
        <v>6479</v>
      </c>
      <c r="C363" s="313">
        <v>6479</v>
      </c>
      <c r="D363" s="325">
        <f t="shared" si="11"/>
        <v>0</v>
      </c>
      <c r="E363" s="312"/>
      <c r="F363" s="312"/>
      <c r="G363" s="373">
        <f t="shared" si="12"/>
        <v>0</v>
      </c>
    </row>
    <row r="364" spans="1:7">
      <c r="A364" s="174">
        <v>471823</v>
      </c>
      <c r="B364" s="313">
        <v>8474</v>
      </c>
      <c r="C364" s="313">
        <v>9254</v>
      </c>
      <c r="D364" s="325">
        <f t="shared" si="11"/>
        <v>780</v>
      </c>
      <c r="E364" s="444">
        <v>780</v>
      </c>
      <c r="F364" s="444"/>
      <c r="G364" s="373">
        <f t="shared" si="12"/>
        <v>0</v>
      </c>
    </row>
    <row r="365" spans="1:7" hidden="1">
      <c r="A365" s="174">
        <v>471825</v>
      </c>
      <c r="B365" s="313">
        <v>965</v>
      </c>
      <c r="C365" s="313">
        <f>VLOOKUP(A365,[3]cutting!$A$4:$C$151,3,0)</f>
        <v>965</v>
      </c>
      <c r="D365" s="325">
        <f t="shared" si="11"/>
        <v>0</v>
      </c>
      <c r="E365" s="312"/>
      <c r="F365" s="312"/>
      <c r="G365" s="373">
        <f t="shared" si="12"/>
        <v>0</v>
      </c>
    </row>
    <row r="366" spans="1:7" hidden="1">
      <c r="A366" s="174">
        <v>472140</v>
      </c>
      <c r="B366" s="313">
        <v>1526</v>
      </c>
      <c r="C366" s="313">
        <f>VLOOKUP(A366,[3]cutting!$A$4:$C$151,3,0)</f>
        <v>1526</v>
      </c>
      <c r="D366" s="325">
        <f t="shared" si="11"/>
        <v>0</v>
      </c>
      <c r="E366" s="312"/>
      <c r="F366" s="312"/>
      <c r="G366" s="373">
        <f t="shared" si="12"/>
        <v>0</v>
      </c>
    </row>
    <row r="367" spans="1:7" hidden="1">
      <c r="A367" s="174">
        <v>472629</v>
      </c>
      <c r="B367" s="313">
        <v>5498</v>
      </c>
      <c r="C367" s="313">
        <v>5498</v>
      </c>
      <c r="D367" s="325">
        <f t="shared" si="11"/>
        <v>0</v>
      </c>
      <c r="E367" s="312"/>
      <c r="F367" s="312"/>
      <c r="G367" s="373">
        <f t="shared" si="12"/>
        <v>0</v>
      </c>
    </row>
    <row r="368" spans="1:7" hidden="1">
      <c r="A368" s="174">
        <v>100015200</v>
      </c>
      <c r="B368" s="313">
        <v>2891</v>
      </c>
      <c r="C368" s="313">
        <f>VLOOKUP(A368,[3]cutting!$A$4:$C$151,3,0)</f>
        <v>2891</v>
      </c>
      <c r="D368" s="325">
        <f t="shared" si="11"/>
        <v>0</v>
      </c>
      <c r="E368" s="312"/>
      <c r="F368" s="312"/>
      <c r="G368" s="373">
        <f t="shared" si="12"/>
        <v>0</v>
      </c>
    </row>
    <row r="369" spans="1:7" hidden="1">
      <c r="A369" s="174">
        <v>100015306</v>
      </c>
      <c r="B369" s="313">
        <v>2410</v>
      </c>
      <c r="C369" s="313">
        <v>2410</v>
      </c>
      <c r="D369" s="325">
        <f t="shared" si="11"/>
        <v>0</v>
      </c>
      <c r="E369" s="312"/>
      <c r="F369" s="312"/>
      <c r="G369" s="373">
        <f t="shared" si="12"/>
        <v>0</v>
      </c>
    </row>
    <row r="370" spans="1:7" hidden="1">
      <c r="A370" s="174">
        <v>100016101</v>
      </c>
      <c r="B370" s="313">
        <v>2509</v>
      </c>
      <c r="C370" s="313">
        <f>VLOOKUP(A370,[3]cutting!$A$4:$C$151,3,0)</f>
        <v>2509</v>
      </c>
      <c r="D370" s="325">
        <f t="shared" si="11"/>
        <v>0</v>
      </c>
      <c r="E370" s="312"/>
      <c r="F370" s="312"/>
      <c r="G370" s="373">
        <f t="shared" si="12"/>
        <v>0</v>
      </c>
    </row>
    <row r="371" spans="1:7" hidden="1">
      <c r="A371" s="174">
        <v>100017974</v>
      </c>
      <c r="B371" s="313">
        <v>9562</v>
      </c>
      <c r="C371" s="313">
        <f>VLOOKUP(A371,[3]cutting!$A$4:$C$151,3,0)</f>
        <v>9562</v>
      </c>
      <c r="D371" s="325">
        <f t="shared" si="11"/>
        <v>0</v>
      </c>
      <c r="E371" s="312"/>
      <c r="F371" s="312"/>
      <c r="G371" s="373">
        <f t="shared" si="12"/>
        <v>0</v>
      </c>
    </row>
    <row r="372" spans="1:7" hidden="1">
      <c r="A372" s="174">
        <v>100018139</v>
      </c>
      <c r="B372" s="313">
        <v>8114</v>
      </c>
      <c r="C372" s="313">
        <f>VLOOKUP(A372,[3]cutting!$A$4:$C$151,3,0)</f>
        <v>8114</v>
      </c>
      <c r="D372" s="325">
        <f t="shared" si="11"/>
        <v>0</v>
      </c>
      <c r="E372" s="312"/>
      <c r="F372" s="312"/>
      <c r="G372" s="373">
        <f t="shared" si="12"/>
        <v>0</v>
      </c>
    </row>
    <row r="373" spans="1:7">
      <c r="A373" s="174">
        <v>100018175</v>
      </c>
      <c r="B373" s="313">
        <v>11391</v>
      </c>
      <c r="C373" s="313">
        <v>13068</v>
      </c>
      <c r="D373" s="325">
        <f t="shared" si="11"/>
        <v>1677</v>
      </c>
      <c r="E373" s="444">
        <v>1677</v>
      </c>
      <c r="F373" s="444"/>
      <c r="G373" s="373">
        <f t="shared" si="12"/>
        <v>0</v>
      </c>
    </row>
    <row r="374" spans="1:7" hidden="1">
      <c r="A374" s="174">
        <v>100018176</v>
      </c>
      <c r="B374" s="313">
        <v>6108</v>
      </c>
      <c r="C374" s="313">
        <f>VLOOKUP(A374,[3]cutting!$A$4:$C$151,3,0)</f>
        <v>6108</v>
      </c>
      <c r="D374" s="325">
        <f t="shared" si="11"/>
        <v>0</v>
      </c>
      <c r="E374" s="312"/>
      <c r="F374" s="312"/>
      <c r="G374" s="373">
        <f t="shared" si="12"/>
        <v>0</v>
      </c>
    </row>
    <row r="375" spans="1:7" hidden="1">
      <c r="A375" s="174">
        <v>100018178</v>
      </c>
      <c r="B375" s="313">
        <v>997</v>
      </c>
      <c r="C375" s="313">
        <f>VLOOKUP(A375,[3]cutting!$A$4:$C$151,3,0)</f>
        <v>997</v>
      </c>
      <c r="D375" s="325">
        <f t="shared" si="11"/>
        <v>0</v>
      </c>
      <c r="E375" s="312"/>
      <c r="F375" s="312"/>
      <c r="G375" s="373">
        <f t="shared" si="12"/>
        <v>0</v>
      </c>
    </row>
    <row r="376" spans="1:7" hidden="1">
      <c r="A376" s="174">
        <v>100018179</v>
      </c>
      <c r="B376" s="313">
        <v>1784</v>
      </c>
      <c r="C376" s="313">
        <f>VLOOKUP(A376,[3]cutting!$A$4:$C$151,3,0)</f>
        <v>1784</v>
      </c>
      <c r="D376" s="325">
        <f t="shared" si="11"/>
        <v>0</v>
      </c>
      <c r="E376" s="312"/>
      <c r="F376" s="312"/>
      <c r="G376" s="373">
        <f t="shared" si="12"/>
        <v>0</v>
      </c>
    </row>
    <row r="377" spans="1:7" hidden="1">
      <c r="A377" s="174">
        <v>100018235</v>
      </c>
      <c r="B377" s="313">
        <v>3845</v>
      </c>
      <c r="C377" s="313">
        <f>VLOOKUP(A377,[3]cutting!$A$4:$C$151,3,0)</f>
        <v>3845</v>
      </c>
      <c r="D377" s="325">
        <f t="shared" si="11"/>
        <v>0</v>
      </c>
      <c r="E377" s="312"/>
      <c r="F377" s="312"/>
      <c r="G377" s="373">
        <f t="shared" si="12"/>
        <v>0</v>
      </c>
    </row>
    <row r="378" spans="1:7" hidden="1">
      <c r="A378" s="174">
        <v>100018237</v>
      </c>
      <c r="B378" s="313">
        <v>5185</v>
      </c>
      <c r="C378" s="313">
        <f>VLOOKUP(A378,[3]cutting!$A$4:$C$151,3,0)</f>
        <v>5185</v>
      </c>
      <c r="D378" s="325">
        <f t="shared" si="11"/>
        <v>0</v>
      </c>
      <c r="E378" s="312"/>
      <c r="F378" s="312"/>
      <c r="G378" s="373">
        <f t="shared" si="12"/>
        <v>0</v>
      </c>
    </row>
    <row r="379" spans="1:7" hidden="1">
      <c r="A379" s="174">
        <v>100018239</v>
      </c>
      <c r="B379" s="313">
        <v>2790</v>
      </c>
      <c r="C379" s="313">
        <f>VLOOKUP(A379,[3]cutting!$A$4:$C$151,3,0)</f>
        <v>2790</v>
      </c>
      <c r="D379" s="325">
        <f t="shared" si="11"/>
        <v>0</v>
      </c>
      <c r="E379" s="312"/>
      <c r="F379" s="312"/>
      <c r="G379" s="373">
        <f t="shared" si="12"/>
        <v>0</v>
      </c>
    </row>
    <row r="380" spans="1:7" hidden="1">
      <c r="A380" s="174">
        <v>100018240</v>
      </c>
      <c r="B380" s="313">
        <v>6183</v>
      </c>
      <c r="C380" s="313">
        <v>6183</v>
      </c>
      <c r="D380" s="325">
        <f t="shared" si="11"/>
        <v>0</v>
      </c>
      <c r="E380" s="312"/>
      <c r="F380" s="312"/>
      <c r="G380" s="373">
        <f t="shared" si="12"/>
        <v>0</v>
      </c>
    </row>
    <row r="381" spans="1:7" hidden="1">
      <c r="A381" s="174">
        <v>100018242</v>
      </c>
      <c r="B381" s="313">
        <v>1841</v>
      </c>
      <c r="C381" s="313">
        <f>VLOOKUP(A381,[3]cutting!$A$4:$C$151,3,0)</f>
        <v>1841</v>
      </c>
      <c r="D381" s="325">
        <f t="shared" si="11"/>
        <v>0</v>
      </c>
      <c r="E381" s="312"/>
      <c r="F381" s="312"/>
      <c r="G381" s="373">
        <f t="shared" si="12"/>
        <v>0</v>
      </c>
    </row>
    <row r="382" spans="1:7" hidden="1">
      <c r="A382" s="174">
        <v>100019044</v>
      </c>
      <c r="B382" s="313">
        <v>12790</v>
      </c>
      <c r="C382" s="313">
        <f>VLOOKUP(A382,[3]cutting!$A$4:$C$151,3,0)</f>
        <v>12790</v>
      </c>
      <c r="D382" s="325">
        <f t="shared" si="11"/>
        <v>0</v>
      </c>
      <c r="E382" s="312"/>
      <c r="F382" s="312"/>
      <c r="G382" s="373">
        <f t="shared" si="12"/>
        <v>0</v>
      </c>
    </row>
    <row r="383" spans="1:7" hidden="1">
      <c r="A383" s="174">
        <v>100023527</v>
      </c>
      <c r="B383" s="313">
        <v>14681</v>
      </c>
      <c r="C383" s="313">
        <f>VLOOKUP(A383,[3]cutting!$A$4:$C$151,3,0)</f>
        <v>14681</v>
      </c>
      <c r="D383" s="325">
        <f t="shared" si="11"/>
        <v>0</v>
      </c>
      <c r="E383" s="312"/>
      <c r="F383" s="312"/>
      <c r="G383" s="373">
        <f t="shared" si="12"/>
        <v>0</v>
      </c>
    </row>
    <row r="384" spans="1:7" hidden="1">
      <c r="A384" s="174">
        <v>100024705</v>
      </c>
      <c r="B384" s="313">
        <v>4824</v>
      </c>
      <c r="C384" s="313">
        <f>VLOOKUP(A384,[3]cutting!$A$4:$C$151,3,0)</f>
        <v>4824</v>
      </c>
      <c r="D384" s="325">
        <f t="shared" si="11"/>
        <v>0</v>
      </c>
      <c r="E384" s="312"/>
      <c r="F384" s="312"/>
      <c r="G384" s="373">
        <f t="shared" si="12"/>
        <v>0</v>
      </c>
    </row>
    <row r="385" spans="1:7" hidden="1">
      <c r="A385" s="174">
        <v>100027400</v>
      </c>
      <c r="B385" s="313">
        <v>803</v>
      </c>
      <c r="C385" s="313">
        <f>VLOOKUP(A385,[3]cutting!$A$4:$C$151,3,0)</f>
        <v>803</v>
      </c>
      <c r="D385" s="325">
        <f t="shared" si="11"/>
        <v>0</v>
      </c>
      <c r="E385" s="312"/>
      <c r="F385" s="312"/>
      <c r="G385" s="373">
        <f t="shared" si="12"/>
        <v>0</v>
      </c>
    </row>
    <row r="386" spans="1:7" hidden="1">
      <c r="A386" s="174">
        <v>100027987</v>
      </c>
      <c r="B386" s="313">
        <v>5798</v>
      </c>
      <c r="C386" s="313">
        <v>5798</v>
      </c>
      <c r="D386" s="325">
        <f t="shared" si="11"/>
        <v>0</v>
      </c>
      <c r="E386" s="312"/>
      <c r="F386" s="312"/>
      <c r="G386" s="373">
        <f t="shared" si="12"/>
        <v>0</v>
      </c>
    </row>
    <row r="387" spans="1:7">
      <c r="A387" s="174">
        <v>100028764</v>
      </c>
      <c r="B387" s="313">
        <v>4565</v>
      </c>
      <c r="C387" s="313">
        <v>5048</v>
      </c>
      <c r="D387" s="325">
        <f t="shared" si="11"/>
        <v>483</v>
      </c>
      <c r="E387" s="444">
        <v>483</v>
      </c>
      <c r="F387" s="444"/>
      <c r="G387" s="373">
        <f t="shared" si="12"/>
        <v>0</v>
      </c>
    </row>
    <row r="388" spans="1:7" hidden="1">
      <c r="A388" s="174">
        <v>100033322</v>
      </c>
      <c r="B388" s="313">
        <v>4396</v>
      </c>
      <c r="C388" s="313">
        <v>4396</v>
      </c>
      <c r="D388" s="325">
        <f t="shared" si="11"/>
        <v>0</v>
      </c>
      <c r="E388" s="312"/>
      <c r="F388" s="312"/>
      <c r="G388" s="373">
        <f t="shared" si="12"/>
        <v>0</v>
      </c>
    </row>
    <row r="389" spans="1:7" hidden="1">
      <c r="A389" s="174">
        <v>100034173</v>
      </c>
      <c r="B389" s="313">
        <v>6878</v>
      </c>
      <c r="C389" s="313">
        <v>6878</v>
      </c>
      <c r="D389" s="325">
        <f t="shared" si="11"/>
        <v>0</v>
      </c>
      <c r="E389" s="312"/>
      <c r="F389" s="312"/>
      <c r="G389" s="373">
        <f t="shared" si="12"/>
        <v>0</v>
      </c>
    </row>
    <row r="390" spans="1:7">
      <c r="A390" s="174">
        <v>182034833</v>
      </c>
      <c r="B390" s="313">
        <v>1718</v>
      </c>
      <c r="C390" s="313">
        <v>4590</v>
      </c>
      <c r="D390" s="325">
        <f t="shared" si="11"/>
        <v>2872</v>
      </c>
      <c r="E390" s="444">
        <v>2872</v>
      </c>
      <c r="F390" s="444"/>
      <c r="G390" s="373">
        <f t="shared" si="12"/>
        <v>0</v>
      </c>
    </row>
    <row r="391" spans="1:7">
      <c r="A391" s="174">
        <v>464035</v>
      </c>
      <c r="B391" s="313">
        <v>12678</v>
      </c>
      <c r="C391" s="313">
        <v>19907</v>
      </c>
      <c r="D391" s="325">
        <f t="shared" ref="D391:D461" si="13">C391-B391</f>
        <v>7229</v>
      </c>
      <c r="E391" s="444">
        <v>7229</v>
      </c>
      <c r="F391" s="444"/>
      <c r="G391" s="373">
        <f t="shared" ref="G391:G454" si="14">+D391-E391-F391</f>
        <v>0</v>
      </c>
    </row>
    <row r="392" spans="1:7">
      <c r="A392" s="174">
        <v>464354</v>
      </c>
      <c r="B392" s="313">
        <v>17461</v>
      </c>
      <c r="C392" s="313">
        <v>24806</v>
      </c>
      <c r="D392" s="325">
        <f t="shared" si="13"/>
        <v>7345</v>
      </c>
      <c r="E392" s="444">
        <v>7345</v>
      </c>
      <c r="F392" s="444"/>
      <c r="G392" s="373">
        <f t="shared" si="14"/>
        <v>0</v>
      </c>
    </row>
    <row r="393" spans="1:7" hidden="1">
      <c r="A393" s="174">
        <v>469491</v>
      </c>
      <c r="B393" s="313">
        <v>8893</v>
      </c>
      <c r="C393" s="313">
        <v>8893</v>
      </c>
      <c r="D393" s="325">
        <f t="shared" si="13"/>
        <v>0</v>
      </c>
      <c r="E393" s="312"/>
      <c r="F393" s="312"/>
      <c r="G393" s="373">
        <f t="shared" si="14"/>
        <v>0</v>
      </c>
    </row>
    <row r="394" spans="1:7" hidden="1">
      <c r="A394" s="174">
        <v>474304</v>
      </c>
      <c r="B394" s="313">
        <v>10293</v>
      </c>
      <c r="C394" s="313">
        <f>VLOOKUP(A394,[3]cutting!$A$4:$C$151,3,0)</f>
        <v>10293</v>
      </c>
      <c r="D394" s="325">
        <f t="shared" si="13"/>
        <v>0</v>
      </c>
      <c r="E394" s="312"/>
      <c r="F394" s="312"/>
      <c r="G394" s="373">
        <f t="shared" si="14"/>
        <v>0</v>
      </c>
    </row>
    <row r="395" spans="1:7" hidden="1">
      <c r="A395" s="174" t="s">
        <v>577</v>
      </c>
      <c r="B395" s="313">
        <v>363</v>
      </c>
      <c r="C395" s="313">
        <f>VLOOKUP(A395,[3]cutting!$A$4:$C$151,3,0)</f>
        <v>363</v>
      </c>
      <c r="D395" s="325">
        <f t="shared" si="13"/>
        <v>0</v>
      </c>
      <c r="E395" s="312"/>
      <c r="F395" s="312"/>
      <c r="G395" s="373">
        <f t="shared" si="14"/>
        <v>0</v>
      </c>
    </row>
    <row r="396" spans="1:7">
      <c r="A396" s="174" t="s">
        <v>578</v>
      </c>
      <c r="B396" s="313">
        <v>8479</v>
      </c>
      <c r="C396" s="313">
        <v>9659</v>
      </c>
      <c r="D396" s="325">
        <f t="shared" si="13"/>
        <v>1180</v>
      </c>
      <c r="E396" s="444">
        <v>1180</v>
      </c>
      <c r="F396" s="444"/>
      <c r="G396" s="373">
        <f t="shared" si="14"/>
        <v>0</v>
      </c>
    </row>
    <row r="397" spans="1:7">
      <c r="A397" s="174">
        <v>174034716</v>
      </c>
      <c r="B397" s="313">
        <v>0</v>
      </c>
      <c r="C397" s="313">
        <v>1072</v>
      </c>
      <c r="D397" s="325">
        <f t="shared" si="13"/>
        <v>1072</v>
      </c>
      <c r="E397" s="444">
        <v>0</v>
      </c>
      <c r="F397" s="444">
        <v>1072</v>
      </c>
      <c r="G397" s="373">
        <f t="shared" si="14"/>
        <v>0</v>
      </c>
    </row>
    <row r="398" spans="1:7">
      <c r="A398" s="174">
        <v>174034718</v>
      </c>
      <c r="B398" s="313">
        <v>0</v>
      </c>
      <c r="C398" s="313">
        <v>123</v>
      </c>
      <c r="D398" s="325">
        <f t="shared" si="13"/>
        <v>123</v>
      </c>
      <c r="E398" s="444">
        <v>0</v>
      </c>
      <c r="F398" s="444">
        <v>123</v>
      </c>
      <c r="G398" s="373">
        <f t="shared" si="14"/>
        <v>0</v>
      </c>
    </row>
    <row r="399" spans="1:7">
      <c r="A399" s="174">
        <v>174034720</v>
      </c>
      <c r="B399" s="313">
        <v>0</v>
      </c>
      <c r="C399" s="313">
        <v>46</v>
      </c>
      <c r="D399" s="325">
        <f t="shared" si="13"/>
        <v>46</v>
      </c>
      <c r="E399" s="444">
        <v>0</v>
      </c>
      <c r="F399" s="444">
        <v>46</v>
      </c>
      <c r="G399" s="373">
        <f t="shared" si="14"/>
        <v>0</v>
      </c>
    </row>
    <row r="400" spans="1:7">
      <c r="A400" s="174">
        <v>447636</v>
      </c>
      <c r="B400" s="313">
        <v>0</v>
      </c>
      <c r="C400" s="313">
        <v>341</v>
      </c>
      <c r="D400" s="325">
        <f t="shared" si="13"/>
        <v>341</v>
      </c>
      <c r="E400" s="444"/>
      <c r="F400" s="444">
        <v>341</v>
      </c>
      <c r="G400" s="373">
        <f t="shared" si="14"/>
        <v>0</v>
      </c>
    </row>
    <row r="401" spans="1:7">
      <c r="A401" s="174">
        <v>448315</v>
      </c>
      <c r="B401" s="313">
        <v>0</v>
      </c>
      <c r="C401" s="313">
        <v>53</v>
      </c>
      <c r="D401" s="325">
        <f t="shared" si="13"/>
        <v>53</v>
      </c>
      <c r="E401" s="444"/>
      <c r="F401" s="444">
        <v>53</v>
      </c>
      <c r="G401" s="373">
        <f t="shared" si="14"/>
        <v>0</v>
      </c>
    </row>
    <row r="402" spans="1:7">
      <c r="A402" s="174">
        <v>451823</v>
      </c>
      <c r="B402" s="313">
        <v>0</v>
      </c>
      <c r="C402" s="313">
        <v>477</v>
      </c>
      <c r="D402" s="325">
        <f t="shared" si="13"/>
        <v>477</v>
      </c>
      <c r="E402" s="444"/>
      <c r="F402" s="444">
        <v>477</v>
      </c>
      <c r="G402" s="373">
        <f t="shared" si="14"/>
        <v>0</v>
      </c>
    </row>
    <row r="403" spans="1:7">
      <c r="A403" s="174">
        <v>452172</v>
      </c>
      <c r="B403" s="313">
        <v>0</v>
      </c>
      <c r="C403" s="313">
        <v>67</v>
      </c>
      <c r="D403" s="325">
        <f t="shared" si="13"/>
        <v>67</v>
      </c>
      <c r="E403" s="444"/>
      <c r="F403" s="444">
        <v>67</v>
      </c>
      <c r="G403" s="373">
        <f t="shared" si="14"/>
        <v>0</v>
      </c>
    </row>
    <row r="404" spans="1:7">
      <c r="A404" s="174">
        <v>453289</v>
      </c>
      <c r="B404" s="313">
        <v>0</v>
      </c>
      <c r="C404" s="313">
        <v>1416</v>
      </c>
      <c r="D404" s="325">
        <f t="shared" si="13"/>
        <v>1416</v>
      </c>
      <c r="E404" s="444"/>
      <c r="F404" s="444">
        <v>1416</v>
      </c>
      <c r="G404" s="373">
        <f t="shared" si="14"/>
        <v>0</v>
      </c>
    </row>
    <row r="405" spans="1:7">
      <c r="A405" s="174">
        <v>453516</v>
      </c>
      <c r="B405" s="313">
        <v>0</v>
      </c>
      <c r="C405" s="313">
        <v>50</v>
      </c>
      <c r="D405" s="325">
        <f t="shared" si="13"/>
        <v>50</v>
      </c>
      <c r="E405" s="444"/>
      <c r="F405" s="444">
        <v>50</v>
      </c>
      <c r="G405" s="373">
        <f t="shared" si="14"/>
        <v>0</v>
      </c>
    </row>
    <row r="406" spans="1:7">
      <c r="A406" s="174">
        <v>453595</v>
      </c>
      <c r="B406" s="313">
        <v>0</v>
      </c>
      <c r="C406" s="313">
        <v>770</v>
      </c>
      <c r="D406" s="325">
        <f t="shared" si="13"/>
        <v>770</v>
      </c>
      <c r="E406" s="444"/>
      <c r="F406" s="444">
        <v>770</v>
      </c>
      <c r="G406" s="373">
        <f t="shared" si="14"/>
        <v>0</v>
      </c>
    </row>
    <row r="407" spans="1:7">
      <c r="A407" s="174">
        <v>454060</v>
      </c>
      <c r="B407" s="313">
        <v>0</v>
      </c>
      <c r="C407" s="313">
        <v>155</v>
      </c>
      <c r="D407" s="325">
        <f t="shared" si="13"/>
        <v>155</v>
      </c>
      <c r="E407" s="444"/>
      <c r="F407" s="444">
        <v>155</v>
      </c>
      <c r="G407" s="373">
        <f t="shared" si="14"/>
        <v>0</v>
      </c>
    </row>
    <row r="408" spans="1:7">
      <c r="A408" s="174">
        <v>456261</v>
      </c>
      <c r="B408" s="313">
        <v>0</v>
      </c>
      <c r="C408" s="313">
        <v>95</v>
      </c>
      <c r="D408" s="325">
        <f t="shared" si="13"/>
        <v>95</v>
      </c>
      <c r="E408" s="444"/>
      <c r="F408" s="444">
        <v>95</v>
      </c>
      <c r="G408" s="373">
        <f t="shared" si="14"/>
        <v>0</v>
      </c>
    </row>
    <row r="409" spans="1:7">
      <c r="A409" s="174">
        <v>456532</v>
      </c>
      <c r="B409" s="313">
        <v>0</v>
      </c>
      <c r="C409" s="313">
        <v>200</v>
      </c>
      <c r="D409" s="325">
        <f t="shared" si="13"/>
        <v>200</v>
      </c>
      <c r="E409" s="444"/>
      <c r="F409" s="444">
        <v>200</v>
      </c>
      <c r="G409" s="373">
        <f t="shared" si="14"/>
        <v>0</v>
      </c>
    </row>
    <row r="410" spans="1:7">
      <c r="A410" s="174">
        <v>456729</v>
      </c>
      <c r="B410" s="313">
        <v>0</v>
      </c>
      <c r="C410" s="313">
        <v>420</v>
      </c>
      <c r="D410" s="325">
        <f t="shared" si="13"/>
        <v>420</v>
      </c>
      <c r="E410" s="444"/>
      <c r="F410" s="444">
        <v>420</v>
      </c>
      <c r="G410" s="373">
        <f t="shared" si="14"/>
        <v>0</v>
      </c>
    </row>
    <row r="411" spans="1:7">
      <c r="A411" s="174">
        <v>100019047</v>
      </c>
      <c r="B411" s="313">
        <v>3684</v>
      </c>
      <c r="C411" s="313">
        <v>9642</v>
      </c>
      <c r="D411" s="325">
        <f t="shared" si="13"/>
        <v>5958</v>
      </c>
      <c r="E411" s="444">
        <v>6601</v>
      </c>
      <c r="F411" s="444"/>
      <c r="G411" s="373">
        <f t="shared" si="14"/>
        <v>-643</v>
      </c>
    </row>
    <row r="412" spans="1:7">
      <c r="A412" s="174">
        <v>466798</v>
      </c>
      <c r="B412" s="313">
        <v>2350</v>
      </c>
      <c r="C412" s="313">
        <v>4778</v>
      </c>
      <c r="D412" s="325">
        <f t="shared" si="13"/>
        <v>2428</v>
      </c>
      <c r="E412" s="325">
        <v>2428</v>
      </c>
      <c r="F412" s="444"/>
      <c r="G412" s="373">
        <f t="shared" si="14"/>
        <v>0</v>
      </c>
    </row>
    <row r="413" spans="1:7">
      <c r="A413" s="174">
        <v>468921</v>
      </c>
      <c r="B413" s="313">
        <v>708</v>
      </c>
      <c r="C413" s="313">
        <v>7087</v>
      </c>
      <c r="D413" s="325">
        <f t="shared" si="13"/>
        <v>6379</v>
      </c>
      <c r="E413" s="444">
        <v>6379</v>
      </c>
      <c r="F413" s="444"/>
      <c r="G413" s="373">
        <f t="shared" si="14"/>
        <v>0</v>
      </c>
    </row>
    <row r="414" spans="1:7">
      <c r="A414" s="174">
        <v>469052</v>
      </c>
      <c r="B414" s="313">
        <v>2376</v>
      </c>
      <c r="C414" s="313">
        <v>11443</v>
      </c>
      <c r="D414" s="325">
        <f t="shared" si="13"/>
        <v>9067</v>
      </c>
      <c r="E414" s="444">
        <v>9067</v>
      </c>
      <c r="F414" s="444"/>
      <c r="G414" s="373">
        <f t="shared" si="14"/>
        <v>0</v>
      </c>
    </row>
    <row r="415" spans="1:7">
      <c r="A415" s="174">
        <v>469493</v>
      </c>
      <c r="B415" s="313">
        <v>1092</v>
      </c>
      <c r="C415" s="313">
        <v>4427</v>
      </c>
      <c r="D415" s="325">
        <f t="shared" si="13"/>
        <v>3335</v>
      </c>
      <c r="E415" s="444">
        <v>3335</v>
      </c>
      <c r="F415" s="444"/>
      <c r="G415" s="373">
        <f t="shared" si="14"/>
        <v>0</v>
      </c>
    </row>
    <row r="416" spans="1:7">
      <c r="A416" s="174">
        <v>470238</v>
      </c>
      <c r="B416" s="313">
        <v>4986</v>
      </c>
      <c r="C416" s="313">
        <v>5770</v>
      </c>
      <c r="D416" s="325">
        <f t="shared" si="13"/>
        <v>784</v>
      </c>
      <c r="E416" s="444">
        <v>784</v>
      </c>
      <c r="F416" s="444"/>
      <c r="G416" s="373">
        <f t="shared" si="14"/>
        <v>0</v>
      </c>
    </row>
    <row r="417" spans="1:7">
      <c r="A417" s="174">
        <v>470342</v>
      </c>
      <c r="B417" s="313">
        <v>2398</v>
      </c>
      <c r="C417" s="313">
        <v>14771</v>
      </c>
      <c r="D417" s="325">
        <f t="shared" si="13"/>
        <v>12373</v>
      </c>
      <c r="E417" s="444">
        <v>13699</v>
      </c>
      <c r="F417" s="444"/>
      <c r="G417" s="373">
        <f t="shared" si="14"/>
        <v>-1326</v>
      </c>
    </row>
    <row r="418" spans="1:7">
      <c r="A418" s="174">
        <v>474049</v>
      </c>
      <c r="B418" s="313">
        <v>7880</v>
      </c>
      <c r="C418" s="313">
        <v>11355</v>
      </c>
      <c r="D418" s="325">
        <f t="shared" si="13"/>
        <v>3475</v>
      </c>
      <c r="E418" s="444">
        <v>3475</v>
      </c>
      <c r="F418" s="444"/>
      <c r="G418" s="373">
        <f t="shared" si="14"/>
        <v>0</v>
      </c>
    </row>
    <row r="419" spans="1:7">
      <c r="A419" s="174">
        <v>474816</v>
      </c>
      <c r="B419" s="313">
        <v>7832</v>
      </c>
      <c r="C419" s="313">
        <v>8587</v>
      </c>
      <c r="D419" s="325">
        <f t="shared" si="13"/>
        <v>755</v>
      </c>
      <c r="E419" s="444">
        <v>755</v>
      </c>
      <c r="F419" s="444"/>
      <c r="G419" s="373">
        <f t="shared" si="14"/>
        <v>0</v>
      </c>
    </row>
    <row r="420" spans="1:7">
      <c r="A420" s="174">
        <v>471157</v>
      </c>
      <c r="B420" s="313">
        <v>2886</v>
      </c>
      <c r="C420" s="313">
        <v>3170</v>
      </c>
      <c r="D420" s="325">
        <f t="shared" si="13"/>
        <v>284</v>
      </c>
      <c r="E420" s="444">
        <v>20</v>
      </c>
      <c r="F420" s="444"/>
      <c r="G420" s="373">
        <f t="shared" si="14"/>
        <v>264</v>
      </c>
    </row>
    <row r="421" spans="1:7">
      <c r="A421" s="174">
        <v>482924</v>
      </c>
      <c r="B421" s="313">
        <v>452</v>
      </c>
      <c r="C421" s="313">
        <v>1234</v>
      </c>
      <c r="D421" s="325">
        <f t="shared" si="13"/>
        <v>782</v>
      </c>
      <c r="E421" s="444">
        <v>782</v>
      </c>
      <c r="F421" s="444"/>
      <c r="G421" s="373">
        <f t="shared" si="14"/>
        <v>0</v>
      </c>
    </row>
    <row r="422" spans="1:7">
      <c r="A422" s="174" t="s">
        <v>602</v>
      </c>
      <c r="B422" s="313">
        <v>0</v>
      </c>
      <c r="C422" s="313">
        <v>26</v>
      </c>
      <c r="D422" s="325">
        <f t="shared" si="13"/>
        <v>26</v>
      </c>
      <c r="E422" s="444">
        <v>0</v>
      </c>
      <c r="F422" s="444">
        <v>26</v>
      </c>
      <c r="G422" s="373">
        <f t="shared" si="14"/>
        <v>0</v>
      </c>
    </row>
    <row r="423" spans="1:7">
      <c r="A423" s="174">
        <v>466742</v>
      </c>
      <c r="B423" s="313">
        <v>7982</v>
      </c>
      <c r="C423" s="313">
        <v>19531</v>
      </c>
      <c r="D423" s="325">
        <f t="shared" si="13"/>
        <v>11549</v>
      </c>
      <c r="E423" s="444">
        <v>11571</v>
      </c>
      <c r="F423" s="444"/>
      <c r="G423" s="373">
        <f t="shared" si="14"/>
        <v>-22</v>
      </c>
    </row>
    <row r="424" spans="1:7">
      <c r="A424" s="174">
        <v>464202</v>
      </c>
      <c r="B424" s="313"/>
      <c r="C424" s="313">
        <v>2313</v>
      </c>
      <c r="D424" s="325">
        <f t="shared" si="13"/>
        <v>2313</v>
      </c>
      <c r="E424" s="444">
        <v>2313</v>
      </c>
      <c r="F424" s="444"/>
      <c r="G424" s="373">
        <f t="shared" si="14"/>
        <v>0</v>
      </c>
    </row>
    <row r="425" spans="1:7">
      <c r="A425" s="174">
        <v>466748</v>
      </c>
      <c r="B425" s="313"/>
      <c r="C425" s="313">
        <v>15532</v>
      </c>
      <c r="D425" s="325">
        <f t="shared" si="13"/>
        <v>15532</v>
      </c>
      <c r="E425" s="444">
        <v>15532</v>
      </c>
      <c r="F425" s="444"/>
      <c r="G425" s="373">
        <f t="shared" si="14"/>
        <v>0</v>
      </c>
    </row>
    <row r="426" spans="1:7">
      <c r="A426" s="174">
        <v>468918</v>
      </c>
      <c r="B426" s="313"/>
      <c r="C426" s="313">
        <v>2329</v>
      </c>
      <c r="D426" s="325">
        <f t="shared" si="13"/>
        <v>2329</v>
      </c>
      <c r="E426" s="444">
        <v>2329</v>
      </c>
      <c r="F426" s="444"/>
      <c r="G426" s="373">
        <f t="shared" si="14"/>
        <v>0</v>
      </c>
    </row>
    <row r="427" spans="1:7">
      <c r="A427" s="174">
        <v>470341</v>
      </c>
      <c r="B427" s="313"/>
      <c r="C427" s="313">
        <v>8633</v>
      </c>
      <c r="D427" s="325">
        <f t="shared" si="13"/>
        <v>8633</v>
      </c>
      <c r="E427" s="444">
        <v>8633</v>
      </c>
      <c r="F427" s="444"/>
      <c r="G427" s="373">
        <f t="shared" si="14"/>
        <v>0</v>
      </c>
    </row>
    <row r="428" spans="1:7">
      <c r="A428" s="174">
        <v>471140</v>
      </c>
      <c r="B428" s="313"/>
      <c r="C428" s="313">
        <v>11248</v>
      </c>
      <c r="D428" s="325">
        <f t="shared" si="13"/>
        <v>11248</v>
      </c>
      <c r="E428" s="444">
        <v>11248</v>
      </c>
      <c r="F428" s="444"/>
      <c r="G428" s="373">
        <f t="shared" si="14"/>
        <v>0</v>
      </c>
    </row>
    <row r="429" spans="1:7">
      <c r="A429" s="174">
        <v>472085</v>
      </c>
      <c r="B429" s="313"/>
      <c r="C429" s="313">
        <v>3859</v>
      </c>
      <c r="D429" s="325">
        <f t="shared" si="13"/>
        <v>3859</v>
      </c>
      <c r="E429" s="444">
        <v>3859</v>
      </c>
      <c r="F429" s="444"/>
      <c r="G429" s="373">
        <f t="shared" si="14"/>
        <v>0</v>
      </c>
    </row>
    <row r="430" spans="1:7">
      <c r="A430" s="174">
        <v>472371</v>
      </c>
      <c r="B430" s="313"/>
      <c r="C430" s="313">
        <v>1508</v>
      </c>
      <c r="D430" s="325">
        <f t="shared" si="13"/>
        <v>1508</v>
      </c>
      <c r="E430" s="444">
        <v>1508</v>
      </c>
      <c r="F430" s="444"/>
      <c r="G430" s="373">
        <f t="shared" si="14"/>
        <v>0</v>
      </c>
    </row>
    <row r="431" spans="1:7">
      <c r="A431" s="174">
        <v>473551</v>
      </c>
      <c r="B431" s="313"/>
      <c r="C431" s="313">
        <v>18038</v>
      </c>
      <c r="D431" s="325">
        <f t="shared" si="13"/>
        <v>18038</v>
      </c>
      <c r="E431" s="444">
        <v>18038</v>
      </c>
      <c r="F431" s="444"/>
      <c r="G431" s="373">
        <f t="shared" si="14"/>
        <v>0</v>
      </c>
    </row>
    <row r="432" spans="1:7">
      <c r="A432" s="174">
        <v>474753</v>
      </c>
      <c r="B432" s="313"/>
      <c r="C432" s="313">
        <v>8504</v>
      </c>
      <c r="D432" s="325">
        <f t="shared" si="13"/>
        <v>8504</v>
      </c>
      <c r="E432" s="444">
        <v>8504</v>
      </c>
      <c r="F432" s="444"/>
      <c r="G432" s="373">
        <f t="shared" si="14"/>
        <v>0</v>
      </c>
    </row>
    <row r="433" spans="1:7">
      <c r="A433" s="174">
        <v>474874</v>
      </c>
      <c r="B433" s="313"/>
      <c r="C433" s="313">
        <v>9954</v>
      </c>
      <c r="D433" s="325">
        <f t="shared" si="13"/>
        <v>9954</v>
      </c>
      <c r="E433" s="444">
        <v>9954</v>
      </c>
      <c r="F433" s="444"/>
      <c r="G433" s="373">
        <f t="shared" si="14"/>
        <v>0</v>
      </c>
    </row>
    <row r="434" spans="1:7">
      <c r="A434" s="174">
        <v>474932</v>
      </c>
      <c r="B434" s="313"/>
      <c r="C434" s="313">
        <v>9654</v>
      </c>
      <c r="D434" s="325">
        <f t="shared" si="13"/>
        <v>9654</v>
      </c>
      <c r="E434" s="444">
        <v>9654</v>
      </c>
      <c r="F434" s="444"/>
      <c r="G434" s="373">
        <f t="shared" si="14"/>
        <v>0</v>
      </c>
    </row>
    <row r="435" spans="1:7">
      <c r="A435" s="174">
        <v>475746</v>
      </c>
      <c r="B435" s="313"/>
      <c r="C435" s="313">
        <v>4633</v>
      </c>
      <c r="D435" s="325">
        <f t="shared" si="13"/>
        <v>4633</v>
      </c>
      <c r="E435" s="444">
        <v>4633</v>
      </c>
      <c r="F435" s="444"/>
      <c r="G435" s="373">
        <f t="shared" si="14"/>
        <v>0</v>
      </c>
    </row>
    <row r="436" spans="1:7">
      <c r="A436" s="174">
        <v>476091</v>
      </c>
      <c r="B436" s="313"/>
      <c r="C436" s="313">
        <v>594</v>
      </c>
      <c r="D436" s="325">
        <f t="shared" si="13"/>
        <v>594</v>
      </c>
      <c r="E436" s="444">
        <v>594</v>
      </c>
      <c r="F436" s="444"/>
      <c r="G436" s="373">
        <f t="shared" si="14"/>
        <v>0</v>
      </c>
    </row>
    <row r="437" spans="1:7">
      <c r="A437" s="174">
        <v>483830</v>
      </c>
      <c r="B437" s="313"/>
      <c r="C437" s="313">
        <v>13527</v>
      </c>
      <c r="D437" s="325">
        <f t="shared" si="13"/>
        <v>13527</v>
      </c>
      <c r="E437" s="444">
        <v>13527</v>
      </c>
      <c r="F437" s="444"/>
      <c r="G437" s="373">
        <f t="shared" si="14"/>
        <v>0</v>
      </c>
    </row>
    <row r="438" spans="1:7">
      <c r="A438" s="174">
        <v>100018130</v>
      </c>
      <c r="B438" s="313"/>
      <c r="C438" s="313">
        <v>6437</v>
      </c>
      <c r="D438" s="325">
        <f t="shared" si="13"/>
        <v>6437</v>
      </c>
      <c r="E438" s="444">
        <v>6437</v>
      </c>
      <c r="F438" s="444"/>
      <c r="G438" s="373">
        <f t="shared" si="14"/>
        <v>0</v>
      </c>
    </row>
    <row r="439" spans="1:7">
      <c r="A439" s="174">
        <v>100018197</v>
      </c>
      <c r="B439" s="313"/>
      <c r="C439" s="313">
        <v>9784</v>
      </c>
      <c r="D439" s="325">
        <f t="shared" si="13"/>
        <v>9784</v>
      </c>
      <c r="E439" s="444">
        <v>9784</v>
      </c>
      <c r="F439" s="444"/>
      <c r="G439" s="373">
        <f t="shared" si="14"/>
        <v>0</v>
      </c>
    </row>
    <row r="440" spans="1:7">
      <c r="A440" s="174">
        <v>100018200</v>
      </c>
      <c r="B440" s="313"/>
      <c r="C440" s="313">
        <v>4180</v>
      </c>
      <c r="D440" s="325">
        <f t="shared" si="13"/>
        <v>4180</v>
      </c>
      <c r="E440" s="444">
        <v>4180</v>
      </c>
      <c r="F440" s="444"/>
      <c r="G440" s="373">
        <f t="shared" si="14"/>
        <v>0</v>
      </c>
    </row>
    <row r="441" spans="1:7">
      <c r="A441" s="174">
        <v>100018207</v>
      </c>
      <c r="B441" s="313"/>
      <c r="C441" s="313">
        <v>3321</v>
      </c>
      <c r="D441" s="325">
        <f t="shared" si="13"/>
        <v>3321</v>
      </c>
      <c r="E441" s="444">
        <v>3321</v>
      </c>
      <c r="F441" s="444"/>
      <c r="G441" s="373">
        <f t="shared" si="14"/>
        <v>0</v>
      </c>
    </row>
    <row r="442" spans="1:7">
      <c r="A442" s="174">
        <v>100018224</v>
      </c>
      <c r="B442" s="313"/>
      <c r="C442" s="313">
        <v>2736</v>
      </c>
      <c r="D442" s="325">
        <f t="shared" si="13"/>
        <v>2736</v>
      </c>
      <c r="E442" s="444">
        <v>2736</v>
      </c>
      <c r="F442" s="444"/>
      <c r="G442" s="373">
        <f t="shared" si="14"/>
        <v>0</v>
      </c>
    </row>
    <row r="443" spans="1:7">
      <c r="A443" s="174">
        <v>100018226</v>
      </c>
      <c r="B443" s="313"/>
      <c r="C443" s="313">
        <v>2288</v>
      </c>
      <c r="D443" s="325">
        <f t="shared" si="13"/>
        <v>2288</v>
      </c>
      <c r="E443" s="444">
        <v>2288</v>
      </c>
      <c r="F443" s="444"/>
      <c r="G443" s="373">
        <f t="shared" si="14"/>
        <v>0</v>
      </c>
    </row>
    <row r="444" spans="1:7">
      <c r="A444" s="174">
        <v>100018229</v>
      </c>
      <c r="B444" s="313"/>
      <c r="C444" s="313">
        <v>9739</v>
      </c>
      <c r="D444" s="325">
        <f t="shared" si="13"/>
        <v>9739</v>
      </c>
      <c r="E444" s="444">
        <v>9739</v>
      </c>
      <c r="F444" s="444"/>
      <c r="G444" s="373">
        <f t="shared" si="14"/>
        <v>0</v>
      </c>
    </row>
    <row r="445" spans="1:7">
      <c r="A445" s="174">
        <v>100018250</v>
      </c>
      <c r="B445" s="313"/>
      <c r="C445" s="313">
        <v>7995</v>
      </c>
      <c r="D445" s="325">
        <f t="shared" si="13"/>
        <v>7995</v>
      </c>
      <c r="E445" s="444">
        <v>7995</v>
      </c>
      <c r="F445" s="444"/>
      <c r="G445" s="373">
        <f t="shared" si="14"/>
        <v>0</v>
      </c>
    </row>
    <row r="446" spans="1:7">
      <c r="A446" s="174">
        <v>100018251</v>
      </c>
      <c r="B446" s="313"/>
      <c r="C446" s="313">
        <v>3460</v>
      </c>
      <c r="D446" s="325">
        <f t="shared" si="13"/>
        <v>3460</v>
      </c>
      <c r="E446" s="444">
        <v>3460</v>
      </c>
      <c r="F446" s="444"/>
      <c r="G446" s="373">
        <f t="shared" si="14"/>
        <v>0</v>
      </c>
    </row>
    <row r="447" spans="1:7">
      <c r="A447" s="174">
        <v>100018252</v>
      </c>
      <c r="B447" s="313"/>
      <c r="C447" s="313">
        <v>2441</v>
      </c>
      <c r="D447" s="325">
        <f t="shared" si="13"/>
        <v>2441</v>
      </c>
      <c r="E447" s="444">
        <v>2441</v>
      </c>
      <c r="F447" s="444"/>
      <c r="G447" s="373">
        <f t="shared" si="14"/>
        <v>0</v>
      </c>
    </row>
    <row r="448" spans="1:7">
      <c r="A448" s="174">
        <v>100018257</v>
      </c>
      <c r="B448" s="313"/>
      <c r="C448" s="313">
        <v>4305</v>
      </c>
      <c r="D448" s="325">
        <f t="shared" si="13"/>
        <v>4305</v>
      </c>
      <c r="E448" s="444">
        <v>4305</v>
      </c>
      <c r="F448" s="444"/>
      <c r="G448" s="373">
        <f t="shared" si="14"/>
        <v>0</v>
      </c>
    </row>
    <row r="449" spans="1:7">
      <c r="A449" s="174">
        <v>100018258</v>
      </c>
      <c r="B449" s="313"/>
      <c r="C449" s="313">
        <v>6525</v>
      </c>
      <c r="D449" s="325">
        <f t="shared" si="13"/>
        <v>6525</v>
      </c>
      <c r="E449" s="444">
        <v>6525</v>
      </c>
      <c r="F449" s="444"/>
      <c r="G449" s="373">
        <f t="shared" si="14"/>
        <v>0</v>
      </c>
    </row>
    <row r="450" spans="1:7">
      <c r="A450" s="174">
        <v>100018259</v>
      </c>
      <c r="B450" s="313"/>
      <c r="C450" s="313">
        <v>1281</v>
      </c>
      <c r="D450" s="325">
        <f t="shared" si="13"/>
        <v>1281</v>
      </c>
      <c r="E450" s="444">
        <v>1281</v>
      </c>
      <c r="F450" s="444"/>
      <c r="G450" s="373">
        <f t="shared" si="14"/>
        <v>0</v>
      </c>
    </row>
    <row r="451" spans="1:7">
      <c r="A451" s="174">
        <v>100018260</v>
      </c>
      <c r="B451" s="313"/>
      <c r="C451" s="313">
        <v>1352</v>
      </c>
      <c r="D451" s="325">
        <f t="shared" si="13"/>
        <v>1352</v>
      </c>
      <c r="E451" s="444">
        <v>1352</v>
      </c>
      <c r="F451" s="444"/>
      <c r="G451" s="373">
        <f t="shared" si="14"/>
        <v>0</v>
      </c>
    </row>
    <row r="452" spans="1:7">
      <c r="A452" s="174">
        <v>100024706</v>
      </c>
      <c r="B452" s="313"/>
      <c r="C452" s="313">
        <v>3685</v>
      </c>
      <c r="D452" s="325">
        <f t="shared" si="13"/>
        <v>3685</v>
      </c>
      <c r="E452" s="444">
        <v>3685</v>
      </c>
      <c r="F452" s="444"/>
      <c r="G452" s="373">
        <f t="shared" si="14"/>
        <v>0</v>
      </c>
    </row>
    <row r="453" spans="1:7">
      <c r="A453" s="174">
        <v>100027409</v>
      </c>
      <c r="B453" s="313"/>
      <c r="C453" s="313">
        <v>4401</v>
      </c>
      <c r="D453" s="325">
        <f t="shared" si="13"/>
        <v>4401</v>
      </c>
      <c r="E453" s="444">
        <v>4401</v>
      </c>
      <c r="F453" s="444"/>
      <c r="G453" s="373">
        <f t="shared" si="14"/>
        <v>0</v>
      </c>
    </row>
    <row r="454" spans="1:7">
      <c r="A454" s="174">
        <v>100034267</v>
      </c>
      <c r="B454" s="313"/>
      <c r="C454" s="313">
        <v>1749</v>
      </c>
      <c r="D454" s="325">
        <f t="shared" si="13"/>
        <v>1749</v>
      </c>
      <c r="E454" s="444">
        <v>1749</v>
      </c>
      <c r="F454" s="444"/>
      <c r="G454" s="373">
        <f t="shared" si="14"/>
        <v>0</v>
      </c>
    </row>
    <row r="455" spans="1:7">
      <c r="A455" s="174">
        <v>183034591</v>
      </c>
      <c r="B455" s="313"/>
      <c r="C455" s="313">
        <v>4328</v>
      </c>
      <c r="D455" s="325">
        <f t="shared" si="13"/>
        <v>4328</v>
      </c>
      <c r="E455" s="444">
        <v>4328</v>
      </c>
      <c r="F455" s="444"/>
      <c r="G455" s="373">
        <f t="shared" ref="G455:G470" si="15">+D455-E455-F455</f>
        <v>0</v>
      </c>
    </row>
    <row r="456" spans="1:7">
      <c r="A456" s="174">
        <v>100034276</v>
      </c>
      <c r="B456" s="313"/>
      <c r="C456" s="313">
        <v>5936</v>
      </c>
      <c r="D456" s="325">
        <f t="shared" si="13"/>
        <v>5936</v>
      </c>
      <c r="E456" s="444">
        <v>5936</v>
      </c>
      <c r="F456" s="444"/>
      <c r="G456" s="373">
        <f t="shared" si="15"/>
        <v>0</v>
      </c>
    </row>
    <row r="457" spans="1:7">
      <c r="A457" s="174">
        <v>100034888</v>
      </c>
      <c r="B457" s="313"/>
      <c r="C457" s="313">
        <v>3184</v>
      </c>
      <c r="D457" s="325">
        <f t="shared" si="13"/>
        <v>3184</v>
      </c>
      <c r="E457" s="444">
        <v>3184</v>
      </c>
      <c r="F457" s="444"/>
      <c r="G457" s="373">
        <f t="shared" si="15"/>
        <v>0</v>
      </c>
    </row>
    <row r="458" spans="1:7">
      <c r="A458" s="174">
        <v>100035009</v>
      </c>
      <c r="B458" s="313"/>
      <c r="C458" s="313">
        <v>5365</v>
      </c>
      <c r="D458" s="325">
        <f t="shared" si="13"/>
        <v>5365</v>
      </c>
      <c r="E458" s="444">
        <v>5365</v>
      </c>
      <c r="F458" s="444"/>
      <c r="G458" s="373">
        <f t="shared" si="15"/>
        <v>0</v>
      </c>
    </row>
    <row r="459" spans="1:7">
      <c r="A459" s="174">
        <v>174034865</v>
      </c>
      <c r="B459" s="313"/>
      <c r="C459" s="313">
        <v>8809</v>
      </c>
      <c r="D459" s="325">
        <f t="shared" si="13"/>
        <v>8809</v>
      </c>
      <c r="E459" s="444">
        <v>8809</v>
      </c>
      <c r="F459" s="444"/>
      <c r="G459" s="373">
        <f t="shared" si="15"/>
        <v>0</v>
      </c>
    </row>
    <row r="460" spans="1:7">
      <c r="A460" s="174">
        <v>183033602</v>
      </c>
      <c r="B460" s="313"/>
      <c r="C460" s="313">
        <v>12787</v>
      </c>
      <c r="D460" s="325">
        <f t="shared" si="13"/>
        <v>12787</v>
      </c>
      <c r="E460" s="444">
        <v>12787</v>
      </c>
      <c r="F460" s="444"/>
      <c r="G460" s="373">
        <f t="shared" si="15"/>
        <v>0</v>
      </c>
    </row>
    <row r="461" spans="1:7">
      <c r="A461" s="174">
        <v>183034522</v>
      </c>
      <c r="B461" s="313"/>
      <c r="C461" s="313">
        <v>11909</v>
      </c>
      <c r="D461" s="325">
        <f t="shared" si="13"/>
        <v>11909</v>
      </c>
      <c r="E461" s="444">
        <v>11909</v>
      </c>
      <c r="F461" s="444"/>
      <c r="G461" s="373">
        <f t="shared" si="15"/>
        <v>0</v>
      </c>
    </row>
    <row r="462" spans="1:7">
      <c r="A462" s="174">
        <v>183034592</v>
      </c>
      <c r="B462" s="313"/>
      <c r="C462" s="313">
        <v>1733</v>
      </c>
      <c r="D462" s="325">
        <f t="shared" ref="D462:D470" si="16">C462-B462</f>
        <v>1733</v>
      </c>
      <c r="E462" s="444">
        <v>1733</v>
      </c>
      <c r="F462" s="444"/>
      <c r="G462" s="373">
        <f t="shared" si="15"/>
        <v>0</v>
      </c>
    </row>
    <row r="463" spans="1:7">
      <c r="A463" s="174">
        <v>464618</v>
      </c>
      <c r="B463" s="313"/>
      <c r="C463" s="313">
        <v>6956</v>
      </c>
      <c r="D463" s="325">
        <f t="shared" si="16"/>
        <v>6956</v>
      </c>
      <c r="E463" s="444">
        <v>6956</v>
      </c>
      <c r="F463" s="444"/>
      <c r="G463" s="373">
        <f t="shared" si="15"/>
        <v>0</v>
      </c>
    </row>
    <row r="464" spans="1:7">
      <c r="A464" s="174">
        <v>469040</v>
      </c>
      <c r="B464" s="313"/>
      <c r="C464" s="313">
        <v>7927</v>
      </c>
      <c r="D464" s="325">
        <f t="shared" si="16"/>
        <v>7927</v>
      </c>
      <c r="E464" s="444">
        <v>7927</v>
      </c>
      <c r="F464" s="444"/>
      <c r="G464" s="373">
        <f t="shared" si="15"/>
        <v>0</v>
      </c>
    </row>
    <row r="465" spans="1:7">
      <c r="A465" s="174">
        <v>469041</v>
      </c>
      <c r="B465" s="313"/>
      <c r="C465" s="313">
        <v>6892</v>
      </c>
      <c r="D465" s="325">
        <f t="shared" si="16"/>
        <v>6892</v>
      </c>
      <c r="E465" s="444">
        <v>6892</v>
      </c>
      <c r="F465" s="444"/>
      <c r="G465" s="373">
        <f t="shared" si="15"/>
        <v>0</v>
      </c>
    </row>
    <row r="466" spans="1:7">
      <c r="A466" s="174">
        <v>469042</v>
      </c>
      <c r="B466" s="313"/>
      <c r="C466" s="313">
        <v>6305</v>
      </c>
      <c r="D466" s="325">
        <f t="shared" si="16"/>
        <v>6305</v>
      </c>
      <c r="E466" s="444">
        <v>6305</v>
      </c>
      <c r="F466" s="444"/>
      <c r="G466" s="373">
        <f t="shared" si="15"/>
        <v>0</v>
      </c>
    </row>
    <row r="467" spans="1:7">
      <c r="A467" s="174">
        <v>476154</v>
      </c>
      <c r="B467" s="313"/>
      <c r="C467" s="313">
        <v>6409</v>
      </c>
      <c r="D467" s="325">
        <f t="shared" si="16"/>
        <v>6409</v>
      </c>
      <c r="E467" s="444">
        <v>6409</v>
      </c>
      <c r="F467" s="444"/>
      <c r="G467" s="373">
        <f t="shared" si="15"/>
        <v>0</v>
      </c>
    </row>
    <row r="468" spans="1:7">
      <c r="A468" s="174" t="s">
        <v>608</v>
      </c>
      <c r="B468" s="313"/>
      <c r="C468" s="313">
        <v>7443</v>
      </c>
      <c r="D468" s="325">
        <f t="shared" si="16"/>
        <v>7443</v>
      </c>
      <c r="E468" s="444">
        <v>7443</v>
      </c>
      <c r="F468" s="444"/>
      <c r="G468" s="373">
        <f t="shared" si="15"/>
        <v>0</v>
      </c>
    </row>
    <row r="469" spans="1:7">
      <c r="A469" s="174" t="s">
        <v>609</v>
      </c>
      <c r="B469" s="313"/>
      <c r="C469" s="313">
        <v>1100</v>
      </c>
      <c r="D469" s="325">
        <f t="shared" si="16"/>
        <v>1100</v>
      </c>
      <c r="E469" s="444">
        <v>1100</v>
      </c>
      <c r="F469" s="444"/>
      <c r="G469" s="373">
        <f t="shared" si="15"/>
        <v>0</v>
      </c>
    </row>
    <row r="470" spans="1:7">
      <c r="A470" s="174" t="s">
        <v>610</v>
      </c>
      <c r="B470" s="313"/>
      <c r="C470" s="313">
        <v>1306</v>
      </c>
      <c r="D470" s="325">
        <f t="shared" si="16"/>
        <v>1306</v>
      </c>
      <c r="E470" s="444">
        <v>1306</v>
      </c>
      <c r="F470" s="444"/>
      <c r="G470" s="373">
        <f t="shared" si="15"/>
        <v>0</v>
      </c>
    </row>
    <row r="471" spans="1:7">
      <c r="E471" s="341"/>
      <c r="F471" s="341"/>
    </row>
    <row r="472" spans="1:7">
      <c r="E472" s="341"/>
      <c r="F472" s="341"/>
    </row>
    <row r="473" spans="1:7">
      <c r="E473" s="341"/>
      <c r="F473" s="341"/>
    </row>
    <row r="474" spans="1:7">
      <c r="E474" s="341"/>
      <c r="F474" s="341"/>
    </row>
    <row r="475" spans="1:7">
      <c r="E475" s="341"/>
      <c r="F475" s="341"/>
    </row>
    <row r="476" spans="1:7">
      <c r="E476" s="341"/>
      <c r="F476" s="341"/>
    </row>
  </sheetData>
  <autoFilter ref="A5:D476" xr:uid="{BEFA70DB-3EBA-4102-A6D5-61B68A2B2D36}">
    <filterColumn colId="3">
      <filters blank="1">
        <filter val="1,062"/>
        <filter val="1,072"/>
        <filter val="1,100"/>
        <filter val="1,180"/>
        <filter val="1,205"/>
        <filter val="1,281"/>
        <filter val="1,297"/>
        <filter val="1,306"/>
        <filter val="1,352"/>
        <filter val="1,416"/>
        <filter val="1,508"/>
        <filter val="1,677"/>
        <filter val="1,733"/>
        <filter val="1,749"/>
        <filter val="11,001"/>
        <filter val="11,248"/>
        <filter val="11,549"/>
        <filter val="11,804"/>
        <filter val="11,909"/>
        <filter val="12,373"/>
        <filter val="12,787"/>
        <filter val="123"/>
        <filter val="13,259"/>
        <filter val="13,527"/>
        <filter val="15,532"/>
        <filter val="155"/>
        <filter val="18,038"/>
        <filter val="2,288"/>
        <filter val="2,313"/>
        <filter val="2,329"/>
        <filter val="2,428"/>
        <filter val="2,441"/>
        <filter val="2,736"/>
        <filter val="2,872"/>
        <filter val="200"/>
        <filter val="26"/>
        <filter val="284"/>
        <filter val="3,184"/>
        <filter val="3,262"/>
        <filter val="3,321"/>
        <filter val="3,335"/>
        <filter val="3,460"/>
        <filter val="3,475"/>
        <filter val="3,685"/>
        <filter val="3,859"/>
        <filter val="341"/>
        <filter val="4,180"/>
        <filter val="4,305"/>
        <filter val="4,328"/>
        <filter val="4,401"/>
        <filter val="4,633"/>
        <filter val="4,662"/>
        <filter val="420"/>
        <filter val="46"/>
        <filter val="47"/>
        <filter val="477"/>
        <filter val="483"/>
        <filter val="5,365"/>
        <filter val="5,936"/>
        <filter val="5,958"/>
        <filter val="50"/>
        <filter val="513"/>
        <filter val="53"/>
        <filter val="594"/>
        <filter val="6,305"/>
        <filter val="6,379"/>
        <filter val="6,409"/>
        <filter val="6,437"/>
        <filter val="6,525"/>
        <filter val="6,892"/>
        <filter val="6,956"/>
        <filter val="67"/>
        <filter val="7,048"/>
        <filter val="7,229"/>
        <filter val="7,345"/>
        <filter val="7,443"/>
        <filter val="7,630"/>
        <filter val="7,927"/>
        <filter val="7,995"/>
        <filter val="755"/>
        <filter val="770"/>
        <filter val="780"/>
        <filter val="782"/>
        <filter val="784"/>
        <filter val="8,504"/>
        <filter val="8,633"/>
        <filter val="8,809"/>
        <filter val="9,067"/>
        <filter val="9,654"/>
        <filter val="9,729"/>
        <filter val="9,739"/>
        <filter val="9,784"/>
        <filter val="9,954"/>
        <filter val="940"/>
        <filter val="95"/>
      </filters>
    </filterColumn>
  </autoFilter>
  <mergeCells count="1">
    <mergeCell ref="A3:F3"/>
  </mergeCells>
  <conditionalFormatting sqref="A6:A399 A411:A470">
    <cfRule type="cellIs" dxfId="55" priority="36" stopIfTrue="1" operator="lessThan">
      <formula>0</formula>
    </cfRule>
  </conditionalFormatting>
  <conditionalFormatting sqref="A354:A359">
    <cfRule type="cellIs" dxfId="54" priority="35" stopIfTrue="1" operator="lessThan">
      <formula>0</formula>
    </cfRule>
  </conditionalFormatting>
  <conditionalFormatting sqref="A11">
    <cfRule type="cellIs" dxfId="53" priority="33" stopIfTrue="1" operator="lessThan">
      <formula>0</formula>
    </cfRule>
  </conditionalFormatting>
  <conditionalFormatting sqref="A11">
    <cfRule type="duplicateValues" dxfId="52" priority="32"/>
  </conditionalFormatting>
  <conditionalFormatting sqref="A11">
    <cfRule type="duplicateValues" dxfId="51" priority="34"/>
  </conditionalFormatting>
  <conditionalFormatting sqref="A352">
    <cfRule type="cellIs" dxfId="50" priority="30" stopIfTrue="1" operator="lessThan">
      <formula>0</formula>
    </cfRule>
  </conditionalFormatting>
  <conditionalFormatting sqref="A352">
    <cfRule type="duplicateValues" dxfId="49" priority="29"/>
  </conditionalFormatting>
  <conditionalFormatting sqref="A352">
    <cfRule type="duplicateValues" dxfId="48" priority="31"/>
  </conditionalFormatting>
  <conditionalFormatting sqref="A12">
    <cfRule type="cellIs" dxfId="47" priority="27" stopIfTrue="1" operator="lessThan">
      <formula>0</formula>
    </cfRule>
  </conditionalFormatting>
  <conditionalFormatting sqref="A12">
    <cfRule type="duplicateValues" dxfId="46" priority="26"/>
  </conditionalFormatting>
  <conditionalFormatting sqref="A12">
    <cfRule type="duplicateValues" dxfId="45" priority="28"/>
  </conditionalFormatting>
  <conditionalFormatting sqref="A413">
    <cfRule type="duplicateValues" dxfId="44" priority="38"/>
  </conditionalFormatting>
  <conditionalFormatting sqref="A388">
    <cfRule type="duplicateValues" dxfId="43" priority="23"/>
  </conditionalFormatting>
  <conditionalFormatting sqref="A82">
    <cfRule type="duplicateValues" dxfId="42" priority="22"/>
  </conditionalFormatting>
  <conditionalFormatting sqref="A414:A423">
    <cfRule type="duplicateValues" dxfId="41" priority="39"/>
  </conditionalFormatting>
  <conditionalFormatting sqref="A411:A1048576 A1:A2 A4:A399">
    <cfRule type="duplicateValues" dxfId="40" priority="12"/>
    <cfRule type="duplicateValues" dxfId="39" priority="13"/>
  </conditionalFormatting>
  <conditionalFormatting sqref="A424:A470">
    <cfRule type="duplicateValues" dxfId="38" priority="2234"/>
    <cfRule type="duplicateValues" dxfId="37" priority="2235"/>
  </conditionalFormatting>
  <conditionalFormatting sqref="A424:A470">
    <cfRule type="duplicateValues" dxfId="36" priority="2238"/>
  </conditionalFormatting>
  <conditionalFormatting sqref="A400:A410">
    <cfRule type="cellIs" dxfId="35" priority="8" stopIfTrue="1" operator="lessThan">
      <formula>0</formula>
    </cfRule>
  </conditionalFormatting>
  <conditionalFormatting sqref="A400:A410">
    <cfRule type="duplicateValues" dxfId="34" priority="4"/>
    <cfRule type="duplicateValues" dxfId="33" priority="5"/>
    <cfRule type="duplicateValues" dxfId="32" priority="9"/>
  </conditionalFormatting>
  <conditionalFormatting sqref="A400:A410">
    <cfRule type="duplicateValues" dxfId="31" priority="6"/>
    <cfRule type="duplicateValues" dxfId="30" priority="7"/>
  </conditionalFormatting>
  <conditionalFormatting sqref="A400:A410">
    <cfRule type="duplicateValues" dxfId="29" priority="10"/>
  </conditionalFormatting>
  <conditionalFormatting sqref="A400:A410">
    <cfRule type="duplicateValues" dxfId="28" priority="2"/>
    <cfRule type="duplicateValues" dxfId="27" priority="3"/>
  </conditionalFormatting>
  <conditionalFormatting sqref="A400:A410">
    <cfRule type="duplicateValues" dxfId="26" priority="11"/>
  </conditionalFormatting>
  <conditionalFormatting sqref="A6:A399 A411:A423">
    <cfRule type="duplicateValues" dxfId="25" priority="2240"/>
    <cfRule type="duplicateValues" dxfId="24" priority="2241"/>
  </conditionalFormatting>
  <conditionalFormatting sqref="A6:A399 A411:A423">
    <cfRule type="duplicateValues" dxfId="23" priority="2248"/>
  </conditionalFormatting>
  <conditionalFormatting sqref="A4:A1048576 A1:A2">
    <cfRule type="duplicateValues" dxfId="22" priority="1"/>
  </conditionalFormatting>
  <pageMargins left="0" right="0" top="0" bottom="0" header="0" footer="0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4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R121" sqref="R121:R417"/>
    </sheetView>
  </sheetViews>
  <sheetFormatPr defaultColWidth="9.140625" defaultRowHeight="12.75"/>
  <cols>
    <col min="1" max="1" width="7.7109375" style="328" bestFit="1" customWidth="1"/>
    <col min="2" max="2" width="15.28515625" style="4" bestFit="1" customWidth="1"/>
    <col min="3" max="3" width="20.85546875" style="277" customWidth="1"/>
    <col min="4" max="4" width="12.42578125" style="328" customWidth="1"/>
    <col min="5" max="5" width="11.28515625" style="328" bestFit="1" customWidth="1"/>
    <col min="6" max="9" width="11.28515625" style="328" customWidth="1"/>
    <col min="10" max="10" width="10.28515625" style="328" bestFit="1" customWidth="1"/>
    <col min="11" max="11" width="11.28515625" style="328" bestFit="1" customWidth="1"/>
    <col min="12" max="12" width="11.28515625" style="328" customWidth="1"/>
    <col min="13" max="13" width="9.140625" style="4"/>
    <col min="14" max="14" width="16.85546875" style="277" customWidth="1"/>
    <col min="15" max="16" width="9.28515625" style="328" bestFit="1" customWidth="1"/>
    <col min="17" max="18" width="10.28515625" style="328" bestFit="1" customWidth="1"/>
    <col min="19" max="19" width="15" style="328" bestFit="1" customWidth="1"/>
    <col min="20" max="20" width="15" style="4" customWidth="1"/>
    <col min="21" max="21" width="13.28515625" style="4" customWidth="1"/>
    <col min="22" max="22" width="22" style="277" customWidth="1"/>
    <col min="23" max="23" width="10.28515625" style="328" bestFit="1" customWidth="1"/>
    <col min="24" max="24" width="11.28515625" style="328" bestFit="1" customWidth="1"/>
    <col min="25" max="25" width="15" style="328" bestFit="1" customWidth="1"/>
    <col min="26" max="26" width="9.140625" style="4"/>
    <col min="27" max="27" width="16.85546875" style="277" customWidth="1"/>
    <col min="28" max="29" width="10.28515625" style="328" bestFit="1" customWidth="1"/>
    <col min="30" max="31" width="10.28515625" style="328" customWidth="1"/>
    <col min="32" max="32" width="14.85546875" style="328" customWidth="1"/>
    <col min="33" max="33" width="15" style="328" bestFit="1" customWidth="1"/>
    <col min="34" max="34" width="9.140625" style="4"/>
    <col min="35" max="35" width="17.42578125" style="277" customWidth="1"/>
    <col min="36" max="37" width="9.28515625" style="328" bestFit="1" customWidth="1"/>
    <col min="38" max="40" width="10.28515625" style="328" bestFit="1" customWidth="1"/>
    <col min="41" max="41" width="15" style="328" bestFit="1" customWidth="1"/>
    <col min="42" max="16384" width="9.140625" style="207"/>
  </cols>
  <sheetData>
    <row r="1" spans="1:41">
      <c r="C1" s="275" t="s">
        <v>99</v>
      </c>
      <c r="D1" s="329"/>
      <c r="E1" s="329"/>
      <c r="F1" s="329"/>
      <c r="G1" s="329"/>
      <c r="H1" s="329"/>
      <c r="I1" s="329"/>
      <c r="J1" s="329"/>
      <c r="K1" s="329"/>
      <c r="L1" s="329"/>
    </row>
    <row r="2" spans="1:41">
      <c r="C2" s="276" t="s">
        <v>113</v>
      </c>
      <c r="D2" s="329"/>
      <c r="E2" s="329"/>
      <c r="F2" s="329"/>
      <c r="G2" s="329"/>
      <c r="H2" s="329"/>
      <c r="I2" s="329"/>
      <c r="J2" s="329"/>
      <c r="K2" s="329"/>
      <c r="L2" s="329"/>
    </row>
    <row r="3" spans="1:41" ht="24" customHeight="1">
      <c r="M3" s="5"/>
    </row>
    <row r="4" spans="1:41" ht="23.25" customHeight="1">
      <c r="D4" s="328">
        <f t="shared" ref="D4:J4" si="0">SUBTOTAL(9,D7:D448)</f>
        <v>1774894.18</v>
      </c>
      <c r="E4" s="328">
        <f t="shared" si="0"/>
        <v>286359</v>
      </c>
      <c r="F4" s="328">
        <f t="shared" si="0"/>
        <v>30500</v>
      </c>
      <c r="G4" s="328">
        <f t="shared" si="0"/>
        <v>77521</v>
      </c>
      <c r="H4" s="328">
        <f t="shared" si="0"/>
        <v>178338</v>
      </c>
      <c r="I4" s="328">
        <f t="shared" si="0"/>
        <v>132112</v>
      </c>
      <c r="J4" s="328">
        <f t="shared" si="0"/>
        <v>30023</v>
      </c>
      <c r="K4" s="328">
        <f>SUBTOTAL(9,K7:K448)</f>
        <v>162135</v>
      </c>
      <c r="L4" s="328">
        <f>SUBTOTAL(9,L7:L445)</f>
        <v>0</v>
      </c>
      <c r="M4" s="328"/>
      <c r="N4" s="328">
        <f>SUBTOTAL(9,N7:N375)</f>
        <v>20120269876</v>
      </c>
      <c r="O4" s="328">
        <f>SUBTOTAL(9,O7:O448)</f>
        <v>30500</v>
      </c>
      <c r="P4" s="328">
        <f t="shared" ref="P4:Q4" si="1">SUBTOTAL(9,P7:P448)</f>
        <v>77521</v>
      </c>
      <c r="Q4" s="328">
        <f t="shared" si="1"/>
        <v>178338</v>
      </c>
      <c r="R4" s="328">
        <f>SUBTOTAL(9,R7:R448)</f>
        <v>286359</v>
      </c>
      <c r="S4" s="328">
        <f>SUBTOTAL(9,S7:S448)</f>
        <v>7222022403</v>
      </c>
      <c r="T4" s="328">
        <f>SUBTOTAL(9,T7:T445)</f>
        <v>912.63844858156119</v>
      </c>
      <c r="U4" s="328" t="e">
        <f>SUBTOTAL(9,U7:U375)</f>
        <v>#N/A</v>
      </c>
      <c r="V4" s="328"/>
      <c r="W4" s="328">
        <f>SUBTOTAL(9,W7:W445)</f>
        <v>162135</v>
      </c>
      <c r="X4" s="328">
        <f>SUBTOTAL(9,X7:X445)</f>
        <v>13811597.421126194</v>
      </c>
      <c r="Y4" s="328">
        <f>SUBTOTAL(9,Y7:Y445)</f>
        <v>6159794067</v>
      </c>
      <c r="Z4" s="328">
        <f>SUBTOTAL(9,Z7:Z375)</f>
        <v>0</v>
      </c>
      <c r="AA4" s="328">
        <f>SUBTOTAL(9,AA7:AA375)</f>
        <v>20120269876</v>
      </c>
      <c r="AB4" s="328">
        <f t="shared" ref="AB4:AG4" si="2">SUBTOTAL(9,AB7:AB445)</f>
        <v>30500</v>
      </c>
      <c r="AC4" s="328">
        <f t="shared" si="2"/>
        <v>77521</v>
      </c>
      <c r="AD4" s="328">
        <f t="shared" si="2"/>
        <v>178338</v>
      </c>
      <c r="AE4" s="328">
        <f t="shared" si="2"/>
        <v>286359</v>
      </c>
      <c r="AF4" s="328">
        <f t="shared" si="2"/>
        <v>185994.80000000002</v>
      </c>
      <c r="AG4" s="328">
        <f t="shared" si="2"/>
        <v>2763670145</v>
      </c>
      <c r="AH4" s="328">
        <f>SUBTOTAL(9,AH7:AH375)</f>
        <v>0</v>
      </c>
      <c r="AI4" s="328">
        <f>SUBTOTAL(9,AI7:AI375)</f>
        <v>20120269876</v>
      </c>
      <c r="AJ4" s="328">
        <f t="shared" ref="AJ4:AO4" si="3">SUBTOTAL(9,AJ7:AJ445)</f>
        <v>30500</v>
      </c>
      <c r="AK4" s="328">
        <f t="shared" si="3"/>
        <v>77521</v>
      </c>
      <c r="AL4" s="328">
        <f t="shared" si="3"/>
        <v>178338</v>
      </c>
      <c r="AM4" s="328">
        <f t="shared" si="3"/>
        <v>286359</v>
      </c>
      <c r="AN4" s="328">
        <f t="shared" si="3"/>
        <v>185994.40000000002</v>
      </c>
      <c r="AO4" s="328">
        <f t="shared" si="3"/>
        <v>4458352258</v>
      </c>
    </row>
    <row r="5" spans="1:41" ht="20.25" customHeight="1">
      <c r="C5" s="539" t="s">
        <v>131</v>
      </c>
      <c r="D5" s="539"/>
      <c r="E5" s="539"/>
      <c r="F5" s="539"/>
      <c r="G5" s="539"/>
      <c r="H5" s="539"/>
      <c r="I5" s="539"/>
      <c r="J5" s="539"/>
      <c r="K5" s="539"/>
      <c r="L5" s="395"/>
      <c r="N5" s="539" t="s">
        <v>110</v>
      </c>
      <c r="O5" s="539"/>
      <c r="P5" s="539"/>
      <c r="Q5" s="539"/>
      <c r="R5" s="539"/>
      <c r="S5" s="539"/>
      <c r="T5" s="395"/>
      <c r="V5" s="539" t="s">
        <v>127</v>
      </c>
      <c r="W5" s="539"/>
      <c r="X5" s="539"/>
      <c r="Y5" s="539"/>
      <c r="AA5" s="539" t="s">
        <v>154</v>
      </c>
      <c r="AB5" s="539"/>
      <c r="AC5" s="539"/>
      <c r="AD5" s="539"/>
      <c r="AE5" s="539"/>
      <c r="AF5" s="539"/>
      <c r="AG5" s="539"/>
      <c r="AI5" s="539" t="s">
        <v>155</v>
      </c>
      <c r="AJ5" s="539"/>
      <c r="AK5" s="539"/>
      <c r="AL5" s="539"/>
      <c r="AM5" s="539"/>
      <c r="AN5" s="539"/>
      <c r="AO5" s="539"/>
    </row>
    <row r="6" spans="1:41" s="210" customFormat="1">
      <c r="A6" s="330"/>
      <c r="B6" s="2" t="s">
        <v>104</v>
      </c>
      <c r="C6" s="278" t="s">
        <v>103</v>
      </c>
      <c r="D6" s="331" t="s">
        <v>97</v>
      </c>
      <c r="E6" s="331" t="s">
        <v>153</v>
      </c>
      <c r="F6" s="331"/>
      <c r="G6" s="331"/>
      <c r="H6" s="331"/>
      <c r="I6" s="331" t="s">
        <v>158</v>
      </c>
      <c r="J6" s="331" t="s">
        <v>156</v>
      </c>
      <c r="K6" s="331" t="s">
        <v>159</v>
      </c>
      <c r="L6" s="331"/>
      <c r="M6" s="2"/>
      <c r="N6" s="280" t="s">
        <v>103</v>
      </c>
      <c r="O6" s="332">
        <v>0.2</v>
      </c>
      <c r="P6" s="331">
        <v>0.5</v>
      </c>
      <c r="Q6" s="331">
        <v>0.8</v>
      </c>
      <c r="R6" s="331" t="s">
        <v>0</v>
      </c>
      <c r="S6" s="331" t="s">
        <v>132</v>
      </c>
      <c r="T6" s="162" t="s">
        <v>168</v>
      </c>
      <c r="U6" s="2"/>
      <c r="V6" s="278" t="s">
        <v>103</v>
      </c>
      <c r="W6" s="331" t="s">
        <v>131</v>
      </c>
      <c r="X6" s="331" t="s">
        <v>130</v>
      </c>
      <c r="Y6" s="331" t="s">
        <v>132</v>
      </c>
      <c r="Z6" s="2"/>
      <c r="AA6" s="278" t="s">
        <v>103</v>
      </c>
      <c r="AB6" s="332">
        <v>0.2</v>
      </c>
      <c r="AC6" s="331">
        <v>0.5</v>
      </c>
      <c r="AD6" s="331">
        <v>0.8</v>
      </c>
      <c r="AE6" s="331" t="s">
        <v>0</v>
      </c>
      <c r="AF6" s="331" t="s">
        <v>160</v>
      </c>
      <c r="AG6" s="331" t="s">
        <v>132</v>
      </c>
      <c r="AH6" s="2"/>
      <c r="AI6" s="278" t="s">
        <v>103</v>
      </c>
      <c r="AJ6" s="332">
        <v>0.2</v>
      </c>
      <c r="AK6" s="331">
        <v>0.5</v>
      </c>
      <c r="AL6" s="331">
        <v>0.8</v>
      </c>
      <c r="AM6" s="331" t="s">
        <v>0</v>
      </c>
      <c r="AN6" s="331" t="s">
        <v>160</v>
      </c>
      <c r="AO6" s="331" t="s">
        <v>132</v>
      </c>
    </row>
    <row r="7" spans="1:41" s="211" customFormat="1" ht="15.75">
      <c r="A7" s="333">
        <v>1</v>
      </c>
      <c r="B7" s="169" t="s">
        <v>161</v>
      </c>
      <c r="C7" s="400">
        <v>69717</v>
      </c>
      <c r="D7" s="333">
        <v>7669</v>
      </c>
      <c r="E7" s="333">
        <v>1270</v>
      </c>
      <c r="F7" s="333">
        <v>0</v>
      </c>
      <c r="G7" s="333">
        <v>120</v>
      </c>
      <c r="H7" s="333">
        <v>1150</v>
      </c>
      <c r="I7" s="333">
        <v>0</v>
      </c>
      <c r="J7" s="333">
        <v>124</v>
      </c>
      <c r="K7" s="333">
        <v>124</v>
      </c>
      <c r="L7" s="333"/>
      <c r="M7" s="165"/>
      <c r="N7" s="400">
        <v>69717</v>
      </c>
      <c r="O7" s="333">
        <v>0</v>
      </c>
      <c r="P7" s="333">
        <v>120</v>
      </c>
      <c r="Q7" s="333">
        <v>1150</v>
      </c>
      <c r="R7" s="333">
        <v>1270</v>
      </c>
      <c r="S7" s="333">
        <f>43629863-9</f>
        <v>43629854</v>
      </c>
      <c r="T7" s="334">
        <v>2.0699999999999998</v>
      </c>
      <c r="U7" s="165">
        <f>VLOOKUP(N7,'[2]154'!$C$9:$T$554,18,0)</f>
        <v>7054</v>
      </c>
      <c r="V7" s="400">
        <v>69717</v>
      </c>
      <c r="W7" s="404">
        <v>124</v>
      </c>
      <c r="X7" s="405">
        <v>45562.879032258068</v>
      </c>
      <c r="Y7" s="404">
        <v>5649797</v>
      </c>
      <c r="Z7" s="169"/>
      <c r="AA7" s="400">
        <v>69717</v>
      </c>
      <c r="AB7" s="333">
        <v>0</v>
      </c>
      <c r="AC7" s="333">
        <v>120</v>
      </c>
      <c r="AD7" s="333">
        <v>1150</v>
      </c>
      <c r="AE7" s="333">
        <v>1270</v>
      </c>
      <c r="AF7" s="333">
        <v>980</v>
      </c>
      <c r="AG7" s="333">
        <v>17621876</v>
      </c>
      <c r="AH7" s="169"/>
      <c r="AI7" s="400">
        <v>69717</v>
      </c>
      <c r="AJ7" s="333">
        <v>0</v>
      </c>
      <c r="AK7" s="333">
        <v>120</v>
      </c>
      <c r="AL7" s="333">
        <v>1150</v>
      </c>
      <c r="AM7" s="333">
        <v>1270</v>
      </c>
      <c r="AN7" s="333">
        <v>980</v>
      </c>
      <c r="AO7" s="333">
        <v>26007979</v>
      </c>
    </row>
    <row r="8" spans="1:41" s="211" customFormat="1" ht="15.75">
      <c r="A8" s="333">
        <v>2</v>
      </c>
      <c r="B8" s="169" t="s">
        <v>161</v>
      </c>
      <c r="C8" s="400">
        <v>73738</v>
      </c>
      <c r="D8" s="333">
        <v>0</v>
      </c>
      <c r="E8" s="333">
        <v>473</v>
      </c>
      <c r="F8" s="333">
        <v>0</v>
      </c>
      <c r="G8" s="333">
        <v>0</v>
      </c>
      <c r="H8" s="333">
        <v>473</v>
      </c>
      <c r="I8" s="333">
        <v>0</v>
      </c>
      <c r="J8" s="333">
        <v>0</v>
      </c>
      <c r="K8" s="333">
        <v>0</v>
      </c>
      <c r="L8" s="333"/>
      <c r="M8" s="165"/>
      <c r="N8" s="400">
        <v>73738</v>
      </c>
      <c r="O8" s="333">
        <v>0</v>
      </c>
      <c r="P8" s="333">
        <v>0</v>
      </c>
      <c r="Q8" s="333">
        <v>473</v>
      </c>
      <c r="R8" s="333">
        <v>473</v>
      </c>
      <c r="S8" s="333">
        <v>14152578</v>
      </c>
      <c r="T8" s="334">
        <v>1.8</v>
      </c>
      <c r="U8" s="165">
        <f>VLOOKUP(N8,'[2]154'!$C$9:$T$554,18,0)</f>
        <v>473</v>
      </c>
      <c r="V8" s="400">
        <v>73738</v>
      </c>
      <c r="W8" s="404">
        <v>0</v>
      </c>
      <c r="X8" s="405">
        <v>0</v>
      </c>
      <c r="Y8" s="404">
        <v>0</v>
      </c>
      <c r="Z8" s="169"/>
      <c r="AA8" s="400">
        <v>73738</v>
      </c>
      <c r="AB8" s="333">
        <v>0</v>
      </c>
      <c r="AC8" s="333">
        <v>0</v>
      </c>
      <c r="AD8" s="333">
        <v>473</v>
      </c>
      <c r="AE8" s="333">
        <v>473</v>
      </c>
      <c r="AF8" s="333">
        <v>378</v>
      </c>
      <c r="AG8" s="333">
        <v>5570974</v>
      </c>
      <c r="AH8" s="169"/>
      <c r="AI8" s="400">
        <v>73738</v>
      </c>
      <c r="AJ8" s="333">
        <v>0</v>
      </c>
      <c r="AK8" s="333">
        <v>0</v>
      </c>
      <c r="AL8" s="333">
        <v>473</v>
      </c>
      <c r="AM8" s="333">
        <v>473</v>
      </c>
      <c r="AN8" s="333">
        <v>378</v>
      </c>
      <c r="AO8" s="333">
        <v>8581603</v>
      </c>
    </row>
    <row r="9" spans="1:41" ht="15.75">
      <c r="A9" s="333">
        <v>3</v>
      </c>
      <c r="B9" s="3" t="s">
        <v>161</v>
      </c>
      <c r="C9" s="401">
        <v>73736</v>
      </c>
      <c r="D9" s="329">
        <v>0</v>
      </c>
      <c r="E9" s="329">
        <v>0</v>
      </c>
      <c r="F9" s="329">
        <v>0</v>
      </c>
      <c r="G9" s="329">
        <v>0</v>
      </c>
      <c r="H9" s="329">
        <v>0</v>
      </c>
      <c r="I9" s="329">
        <v>0</v>
      </c>
      <c r="J9" s="329">
        <v>11</v>
      </c>
      <c r="K9" s="333">
        <v>11</v>
      </c>
      <c r="L9" s="333"/>
      <c r="M9" s="208"/>
      <c r="N9" s="401">
        <v>73736</v>
      </c>
      <c r="O9" s="329">
        <v>0</v>
      </c>
      <c r="P9" s="329">
        <v>0</v>
      </c>
      <c r="Q9" s="329">
        <v>0</v>
      </c>
      <c r="R9" s="333">
        <v>0</v>
      </c>
      <c r="S9" s="333">
        <v>0</v>
      </c>
      <c r="T9" s="335">
        <v>3.4</v>
      </c>
      <c r="U9" s="165">
        <f>VLOOKUP(N9,'[2]154'!$C$9:$T$554,18,0)</f>
        <v>0</v>
      </c>
      <c r="V9" s="401">
        <v>73736</v>
      </c>
      <c r="W9" s="406">
        <v>11</v>
      </c>
      <c r="X9" s="405">
        <v>24830.909090909092</v>
      </c>
      <c r="Y9" s="406">
        <v>273140</v>
      </c>
      <c r="Z9" s="3"/>
      <c r="AA9" s="401">
        <v>73736</v>
      </c>
      <c r="AB9" s="329">
        <v>0</v>
      </c>
      <c r="AC9" s="329">
        <v>0</v>
      </c>
      <c r="AD9" s="329">
        <v>0</v>
      </c>
      <c r="AE9" s="329">
        <v>0</v>
      </c>
      <c r="AF9" s="329">
        <v>0</v>
      </c>
      <c r="AG9" s="329">
        <v>0</v>
      </c>
      <c r="AH9" s="3"/>
      <c r="AI9" s="401">
        <v>73736</v>
      </c>
      <c r="AJ9" s="329">
        <v>0</v>
      </c>
      <c r="AK9" s="329">
        <v>0</v>
      </c>
      <c r="AL9" s="329">
        <v>0</v>
      </c>
      <c r="AM9" s="329">
        <v>0</v>
      </c>
      <c r="AN9" s="329">
        <v>0</v>
      </c>
      <c r="AO9" s="329">
        <v>0</v>
      </c>
    </row>
    <row r="10" spans="1:41" ht="15.75">
      <c r="A10" s="333">
        <v>4</v>
      </c>
      <c r="B10" s="3" t="s">
        <v>161</v>
      </c>
      <c r="C10" s="401">
        <v>73746</v>
      </c>
      <c r="D10" s="329">
        <v>0</v>
      </c>
      <c r="E10" s="329">
        <v>0</v>
      </c>
      <c r="F10" s="329">
        <v>0</v>
      </c>
      <c r="G10" s="329">
        <v>0</v>
      </c>
      <c r="H10" s="329">
        <v>0</v>
      </c>
      <c r="I10" s="329">
        <v>0</v>
      </c>
      <c r="J10" s="329">
        <v>11</v>
      </c>
      <c r="K10" s="333">
        <v>11</v>
      </c>
      <c r="L10" s="333"/>
      <c r="M10" s="165"/>
      <c r="N10" s="401">
        <v>73746</v>
      </c>
      <c r="O10" s="329">
        <v>0</v>
      </c>
      <c r="P10" s="329">
        <v>0</v>
      </c>
      <c r="Q10" s="329">
        <v>0</v>
      </c>
      <c r="R10" s="333">
        <v>0</v>
      </c>
      <c r="S10" s="333">
        <v>0</v>
      </c>
      <c r="T10" s="335">
        <v>2</v>
      </c>
      <c r="U10" s="165">
        <f>VLOOKUP(N10,'[2]154'!$C$9:$T$554,18,0)</f>
        <v>0</v>
      </c>
      <c r="V10" s="401">
        <v>73746</v>
      </c>
      <c r="W10" s="406">
        <v>11</v>
      </c>
      <c r="X10" s="405">
        <v>17426.909090909092</v>
      </c>
      <c r="Y10" s="406">
        <v>191696</v>
      </c>
      <c r="Z10" s="3"/>
      <c r="AA10" s="401">
        <v>73746</v>
      </c>
      <c r="AB10" s="329">
        <v>0</v>
      </c>
      <c r="AC10" s="329">
        <v>0</v>
      </c>
      <c r="AD10" s="329">
        <v>0</v>
      </c>
      <c r="AE10" s="329">
        <v>0</v>
      </c>
      <c r="AF10" s="329">
        <v>0</v>
      </c>
      <c r="AG10" s="329">
        <v>0</v>
      </c>
      <c r="AH10" s="3"/>
      <c r="AI10" s="401">
        <v>73746</v>
      </c>
      <c r="AJ10" s="329">
        <v>0</v>
      </c>
      <c r="AK10" s="329">
        <v>0</v>
      </c>
      <c r="AL10" s="329">
        <v>0</v>
      </c>
      <c r="AM10" s="329">
        <v>0</v>
      </c>
      <c r="AN10" s="329">
        <v>0</v>
      </c>
      <c r="AO10" s="329">
        <v>0</v>
      </c>
    </row>
    <row r="11" spans="1:41" s="211" customFormat="1" ht="15.75">
      <c r="A11" s="333">
        <v>5</v>
      </c>
      <c r="B11" s="169" t="s">
        <v>161</v>
      </c>
      <c r="C11" s="397">
        <v>74211</v>
      </c>
      <c r="D11" s="333">
        <v>3960</v>
      </c>
      <c r="E11" s="333">
        <v>435</v>
      </c>
      <c r="F11" s="333">
        <v>0</v>
      </c>
      <c r="G11" s="333">
        <v>123</v>
      </c>
      <c r="H11" s="333">
        <v>312</v>
      </c>
      <c r="I11" s="333">
        <v>0</v>
      </c>
      <c r="J11" s="333">
        <v>41</v>
      </c>
      <c r="K11" s="333">
        <v>41</v>
      </c>
      <c r="L11" s="333"/>
      <c r="M11" s="165"/>
      <c r="N11" s="397">
        <v>74211</v>
      </c>
      <c r="O11" s="333">
        <v>0</v>
      </c>
      <c r="P11" s="333">
        <v>123</v>
      </c>
      <c r="Q11" s="333">
        <v>312</v>
      </c>
      <c r="R11" s="333">
        <v>435</v>
      </c>
      <c r="S11" s="333">
        <v>7652321</v>
      </c>
      <c r="T11" s="334">
        <v>1.33</v>
      </c>
      <c r="U11" s="165">
        <f>VLOOKUP(N11,'[2]154'!$C$9:$T$554,18,0)</f>
        <v>435</v>
      </c>
      <c r="V11" s="397">
        <v>74211</v>
      </c>
      <c r="W11" s="404">
        <v>41</v>
      </c>
      <c r="X11" s="405">
        <v>24604.024390243903</v>
      </c>
      <c r="Y11" s="404">
        <v>1008765</v>
      </c>
      <c r="Z11" s="169"/>
      <c r="AA11" s="397">
        <v>74211</v>
      </c>
      <c r="AB11" s="333">
        <v>0</v>
      </c>
      <c r="AC11" s="333">
        <v>123</v>
      </c>
      <c r="AD11" s="333">
        <v>312</v>
      </c>
      <c r="AE11" s="333">
        <v>435</v>
      </c>
      <c r="AF11" s="333">
        <v>311</v>
      </c>
      <c r="AG11" s="333">
        <v>3095200</v>
      </c>
      <c r="AH11" s="169"/>
      <c r="AI11" s="397">
        <v>74211</v>
      </c>
      <c r="AJ11" s="333">
        <v>0</v>
      </c>
      <c r="AK11" s="333">
        <v>123</v>
      </c>
      <c r="AL11" s="333">
        <v>312</v>
      </c>
      <c r="AM11" s="333">
        <v>435</v>
      </c>
      <c r="AN11" s="333">
        <v>311</v>
      </c>
      <c r="AO11" s="333">
        <v>4557121</v>
      </c>
    </row>
    <row r="12" spans="1:41" s="211" customFormat="1" ht="15.75">
      <c r="A12" s="333">
        <v>6</v>
      </c>
      <c r="B12" s="169" t="s">
        <v>161</v>
      </c>
      <c r="C12" s="397">
        <v>2072</v>
      </c>
      <c r="D12" s="333">
        <v>128966</v>
      </c>
      <c r="E12" s="333">
        <v>12327</v>
      </c>
      <c r="F12" s="328">
        <v>3126</v>
      </c>
      <c r="G12" s="328">
        <v>1611</v>
      </c>
      <c r="H12" s="328">
        <v>7590</v>
      </c>
      <c r="I12" s="333">
        <v>6437</v>
      </c>
      <c r="J12" s="333">
        <v>0</v>
      </c>
      <c r="K12" s="333">
        <v>6437</v>
      </c>
      <c r="L12" s="333"/>
      <c r="M12" s="208"/>
      <c r="N12" s="397">
        <v>2072</v>
      </c>
      <c r="O12" s="333">
        <v>3126</v>
      </c>
      <c r="P12" s="333">
        <v>1611</v>
      </c>
      <c r="Q12" s="333">
        <v>7590</v>
      </c>
      <c r="R12" s="333">
        <v>12327</v>
      </c>
      <c r="S12" s="328">
        <v>187697695</v>
      </c>
      <c r="T12" s="334">
        <v>1.26</v>
      </c>
      <c r="U12" s="165">
        <v>12327</v>
      </c>
      <c r="V12" s="397">
        <v>2072</v>
      </c>
      <c r="W12" s="404">
        <v>6437</v>
      </c>
      <c r="X12" s="405">
        <v>22932.439629880388</v>
      </c>
      <c r="Y12" s="404">
        <f>203227280-55611166</f>
        <v>147616114</v>
      </c>
      <c r="Z12" s="169"/>
      <c r="AA12" s="397">
        <v>2072</v>
      </c>
      <c r="AB12" s="328">
        <v>3126</v>
      </c>
      <c r="AC12" s="328">
        <v>1611</v>
      </c>
      <c r="AD12" s="328">
        <v>7590</v>
      </c>
      <c r="AE12" s="328">
        <v>12327</v>
      </c>
      <c r="AF12" s="328">
        <v>7503</v>
      </c>
      <c r="AG12" s="328">
        <v>69320977</v>
      </c>
      <c r="AH12" s="169"/>
      <c r="AI12" s="397">
        <v>2072</v>
      </c>
      <c r="AJ12" s="328">
        <v>3126</v>
      </c>
      <c r="AK12" s="328">
        <v>1611</v>
      </c>
      <c r="AL12" s="328">
        <v>7590</v>
      </c>
      <c r="AM12" s="328">
        <v>12327</v>
      </c>
      <c r="AN12" s="328">
        <v>7503</v>
      </c>
      <c r="AO12" s="328">
        <v>118376718</v>
      </c>
    </row>
    <row r="13" spans="1:41" s="211" customFormat="1" ht="15.75">
      <c r="A13" s="333">
        <v>7</v>
      </c>
      <c r="B13" s="169" t="s">
        <v>106</v>
      </c>
      <c r="C13" s="397" t="s">
        <v>186</v>
      </c>
      <c r="D13" s="333">
        <v>89849</v>
      </c>
      <c r="E13" s="333">
        <v>16696</v>
      </c>
      <c r="F13" s="333">
        <v>79</v>
      </c>
      <c r="G13" s="333">
        <v>129</v>
      </c>
      <c r="H13" s="333">
        <v>16488</v>
      </c>
      <c r="I13" s="333">
        <v>0</v>
      </c>
      <c r="J13" s="333">
        <v>1802</v>
      </c>
      <c r="K13" s="333">
        <v>1802</v>
      </c>
      <c r="L13" s="333"/>
      <c r="M13" s="165"/>
      <c r="N13" s="397" t="s">
        <v>186</v>
      </c>
      <c r="O13" s="333">
        <v>79</v>
      </c>
      <c r="P13" s="333">
        <v>129</v>
      </c>
      <c r="Q13" s="333">
        <v>16488</v>
      </c>
      <c r="R13" s="333">
        <v>16696</v>
      </c>
      <c r="S13" s="333">
        <v>406026305</v>
      </c>
      <c r="T13" s="334">
        <v>1.55</v>
      </c>
      <c r="U13" s="165">
        <f>VLOOKUP(N13,'[2]154'!$C$9:$T$554,18,0)</f>
        <v>16696</v>
      </c>
      <c r="V13" s="397" t="s">
        <v>186</v>
      </c>
      <c r="W13" s="404">
        <v>1802</v>
      </c>
      <c r="X13" s="405">
        <v>29778.881798002221</v>
      </c>
      <c r="Y13" s="404">
        <v>53661545</v>
      </c>
      <c r="Z13" s="169"/>
      <c r="AA13" s="397" t="s">
        <v>186</v>
      </c>
      <c r="AB13" s="333">
        <v>79</v>
      </c>
      <c r="AC13" s="333">
        <v>129</v>
      </c>
      <c r="AD13" s="333">
        <v>16488</v>
      </c>
      <c r="AE13" s="333">
        <v>16696</v>
      </c>
      <c r="AF13" s="333">
        <v>13271</v>
      </c>
      <c r="AG13" s="333">
        <v>177821244</v>
      </c>
      <c r="AH13" s="169"/>
      <c r="AI13" s="397" t="s">
        <v>186</v>
      </c>
      <c r="AJ13" s="333">
        <v>79</v>
      </c>
      <c r="AK13" s="333">
        <v>129</v>
      </c>
      <c r="AL13" s="333">
        <v>16488</v>
      </c>
      <c r="AM13" s="333">
        <v>16696</v>
      </c>
      <c r="AN13" s="333">
        <v>13271</v>
      </c>
      <c r="AO13" s="333">
        <v>228205061</v>
      </c>
    </row>
    <row r="14" spans="1:41" s="211" customFormat="1" ht="15.75">
      <c r="A14" s="333">
        <v>8</v>
      </c>
      <c r="B14" s="169" t="s">
        <v>106</v>
      </c>
      <c r="C14" s="397" t="s">
        <v>187</v>
      </c>
      <c r="D14" s="333">
        <v>45371</v>
      </c>
      <c r="E14" s="333">
        <v>2601</v>
      </c>
      <c r="F14" s="333">
        <v>225</v>
      </c>
      <c r="G14" s="333">
        <v>390</v>
      </c>
      <c r="H14" s="333">
        <v>1986</v>
      </c>
      <c r="I14" s="333">
        <v>18013</v>
      </c>
      <c r="J14" s="333">
        <v>0</v>
      </c>
      <c r="K14" s="333">
        <v>18013</v>
      </c>
      <c r="L14" s="333"/>
      <c r="M14" s="165"/>
      <c r="N14" s="397" t="s">
        <v>187</v>
      </c>
      <c r="O14" s="333">
        <v>225</v>
      </c>
      <c r="P14" s="333">
        <v>390</v>
      </c>
      <c r="Q14" s="333">
        <v>1986</v>
      </c>
      <c r="R14" s="333">
        <v>2601</v>
      </c>
      <c r="S14" s="333">
        <v>56398974</v>
      </c>
      <c r="T14" s="334">
        <v>1.55</v>
      </c>
      <c r="U14" s="165">
        <f>VLOOKUP(N14,'[2]154'!$C$9:$T$554,18,0)</f>
        <v>2601</v>
      </c>
      <c r="V14" s="397" t="s">
        <v>187</v>
      </c>
      <c r="W14" s="404">
        <v>18013</v>
      </c>
      <c r="X14" s="405">
        <v>30885.609310643831</v>
      </c>
      <c r="Y14" s="404">
        <f>569901263-13558782</f>
        <v>556342481</v>
      </c>
      <c r="Z14" s="169"/>
      <c r="AA14" s="397" t="s">
        <v>187</v>
      </c>
      <c r="AB14" s="333">
        <v>225</v>
      </c>
      <c r="AC14" s="333">
        <v>390</v>
      </c>
      <c r="AD14" s="333">
        <v>1986</v>
      </c>
      <c r="AE14" s="333">
        <v>2601</v>
      </c>
      <c r="AF14" s="333">
        <v>1829</v>
      </c>
      <c r="AG14" s="333">
        <v>20283384</v>
      </c>
      <c r="AH14" s="169"/>
      <c r="AI14" s="397" t="s">
        <v>187</v>
      </c>
      <c r="AJ14" s="333">
        <v>225</v>
      </c>
      <c r="AK14" s="333">
        <v>390</v>
      </c>
      <c r="AL14" s="333">
        <v>1986</v>
      </c>
      <c r="AM14" s="333">
        <v>2601</v>
      </c>
      <c r="AN14" s="333">
        <v>1829</v>
      </c>
      <c r="AO14" s="333">
        <v>36115590</v>
      </c>
    </row>
    <row r="15" spans="1:41" ht="15.75">
      <c r="A15" s="333">
        <v>9</v>
      </c>
      <c r="B15" s="3" t="s">
        <v>101</v>
      </c>
      <c r="C15" s="401">
        <v>73640</v>
      </c>
      <c r="D15" s="329">
        <v>0</v>
      </c>
      <c r="E15" s="329">
        <v>0</v>
      </c>
      <c r="F15" s="329">
        <v>0</v>
      </c>
      <c r="G15" s="329">
        <v>0</v>
      </c>
      <c r="H15" s="329">
        <v>0</v>
      </c>
      <c r="I15" s="329">
        <v>0</v>
      </c>
      <c r="J15" s="329">
        <v>44</v>
      </c>
      <c r="K15" s="333">
        <v>44</v>
      </c>
      <c r="L15" s="333"/>
      <c r="M15" s="208"/>
      <c r="N15" s="401">
        <v>73640</v>
      </c>
      <c r="O15" s="329">
        <v>0</v>
      </c>
      <c r="P15" s="329">
        <v>0</v>
      </c>
      <c r="Q15" s="329">
        <v>0</v>
      </c>
      <c r="R15" s="333">
        <v>0</v>
      </c>
      <c r="S15" s="333">
        <v>0</v>
      </c>
      <c r="T15" s="335">
        <v>2.2999999999999998</v>
      </c>
      <c r="U15" s="165">
        <f>VLOOKUP(N15,'[2]154'!$C$9:$T$554,18,0)</f>
        <v>0</v>
      </c>
      <c r="V15" s="401">
        <v>73640</v>
      </c>
      <c r="W15" s="406">
        <v>44</v>
      </c>
      <c r="X15" s="405">
        <v>24437.795454545456</v>
      </c>
      <c r="Y15" s="406">
        <v>1075263</v>
      </c>
      <c r="Z15" s="3"/>
      <c r="AA15" s="401">
        <v>73640</v>
      </c>
      <c r="AB15" s="329">
        <v>0</v>
      </c>
      <c r="AC15" s="329">
        <v>0</v>
      </c>
      <c r="AD15" s="329">
        <v>0</v>
      </c>
      <c r="AE15" s="329">
        <v>0</v>
      </c>
      <c r="AF15" s="329">
        <v>0</v>
      </c>
      <c r="AG15" s="329">
        <v>0</v>
      </c>
      <c r="AH15" s="3"/>
      <c r="AI15" s="401">
        <v>73640</v>
      </c>
      <c r="AJ15" s="329">
        <v>0</v>
      </c>
      <c r="AK15" s="329">
        <v>0</v>
      </c>
      <c r="AL15" s="329">
        <v>0</v>
      </c>
      <c r="AM15" s="329">
        <v>0</v>
      </c>
      <c r="AN15" s="329">
        <v>0</v>
      </c>
      <c r="AO15" s="329">
        <v>0</v>
      </c>
    </row>
    <row r="16" spans="1:41" s="211" customFormat="1" ht="15.75">
      <c r="A16" s="333">
        <v>10</v>
      </c>
      <c r="B16" s="169" t="s">
        <v>161</v>
      </c>
      <c r="C16" s="400">
        <v>7285</v>
      </c>
      <c r="D16" s="333">
        <v>0</v>
      </c>
      <c r="E16" s="333">
        <v>32</v>
      </c>
      <c r="F16" s="333">
        <v>0</v>
      </c>
      <c r="G16" s="333">
        <v>0</v>
      </c>
      <c r="H16" s="333">
        <v>32</v>
      </c>
      <c r="I16" s="333">
        <v>0</v>
      </c>
      <c r="J16" s="333">
        <v>28</v>
      </c>
      <c r="K16" s="333">
        <v>28</v>
      </c>
      <c r="L16" s="333"/>
      <c r="M16" s="165"/>
      <c r="N16" s="400">
        <v>7285</v>
      </c>
      <c r="O16" s="333">
        <v>0</v>
      </c>
      <c r="P16" s="333">
        <v>0</v>
      </c>
      <c r="Q16" s="333">
        <v>32</v>
      </c>
      <c r="R16" s="333">
        <v>32</v>
      </c>
      <c r="S16" s="333">
        <v>1355820</v>
      </c>
      <c r="T16" s="334">
        <v>3.8</v>
      </c>
      <c r="U16" s="165">
        <f>VLOOKUP(N16,'[2]154'!$C$9:$T$554,18,0)</f>
        <v>32</v>
      </c>
      <c r="V16" s="400">
        <v>7285</v>
      </c>
      <c r="W16" s="404">
        <v>28</v>
      </c>
      <c r="X16" s="405">
        <v>49852.035714285717</v>
      </c>
      <c r="Y16" s="404">
        <v>1395857</v>
      </c>
      <c r="Z16" s="169"/>
      <c r="AA16" s="400">
        <v>7285</v>
      </c>
      <c r="AB16" s="333">
        <v>0</v>
      </c>
      <c r="AC16" s="333">
        <v>0</v>
      </c>
      <c r="AD16" s="333">
        <v>32</v>
      </c>
      <c r="AE16" s="333">
        <v>32</v>
      </c>
      <c r="AF16" s="333">
        <v>26</v>
      </c>
      <c r="AG16" s="333">
        <v>569868</v>
      </c>
      <c r="AH16" s="169"/>
      <c r="AI16" s="400">
        <v>7285</v>
      </c>
      <c r="AJ16" s="333">
        <v>0</v>
      </c>
      <c r="AK16" s="333">
        <v>0</v>
      </c>
      <c r="AL16" s="333">
        <v>32</v>
      </c>
      <c r="AM16" s="333">
        <v>32</v>
      </c>
      <c r="AN16" s="333">
        <v>26</v>
      </c>
      <c r="AO16" s="333">
        <v>785952</v>
      </c>
    </row>
    <row r="17" spans="1:41" s="211" customFormat="1" ht="15.75">
      <c r="A17" s="333">
        <v>11</v>
      </c>
      <c r="B17" s="169" t="s">
        <v>161</v>
      </c>
      <c r="C17" s="400">
        <v>79708</v>
      </c>
      <c r="D17" s="333">
        <v>0</v>
      </c>
      <c r="E17" s="333">
        <v>0</v>
      </c>
      <c r="F17" s="333">
        <v>0</v>
      </c>
      <c r="G17" s="333">
        <v>0</v>
      </c>
      <c r="H17" s="333">
        <v>0</v>
      </c>
      <c r="I17" s="333">
        <v>0</v>
      </c>
      <c r="J17" s="333">
        <v>0</v>
      </c>
      <c r="K17" s="333">
        <v>0</v>
      </c>
      <c r="L17" s="333"/>
      <c r="M17" s="165"/>
      <c r="N17" s="400">
        <v>79708</v>
      </c>
      <c r="O17" s="333">
        <v>0</v>
      </c>
      <c r="P17" s="333">
        <v>0</v>
      </c>
      <c r="Q17" s="333">
        <v>0</v>
      </c>
      <c r="R17" s="333">
        <v>0</v>
      </c>
      <c r="S17" s="333">
        <v>0</v>
      </c>
      <c r="T17" s="334">
        <v>1.8</v>
      </c>
      <c r="U17" s="165">
        <f>VLOOKUP(N17,'[2]154'!$C$9:$T$554,18,0)</f>
        <v>0</v>
      </c>
      <c r="V17" s="400">
        <v>79708</v>
      </c>
      <c r="W17" s="404">
        <v>0</v>
      </c>
      <c r="X17" s="405">
        <v>0</v>
      </c>
      <c r="Y17" s="404">
        <v>0</v>
      </c>
      <c r="Z17" s="169"/>
      <c r="AA17" s="400">
        <v>79708</v>
      </c>
      <c r="AB17" s="333">
        <v>0</v>
      </c>
      <c r="AC17" s="333">
        <v>0</v>
      </c>
      <c r="AD17" s="333">
        <v>0</v>
      </c>
      <c r="AE17" s="333">
        <v>0</v>
      </c>
      <c r="AF17" s="333">
        <v>0</v>
      </c>
      <c r="AG17" s="333">
        <v>0</v>
      </c>
      <c r="AH17" s="169"/>
      <c r="AI17" s="400">
        <v>79708</v>
      </c>
      <c r="AJ17" s="333">
        <v>0</v>
      </c>
      <c r="AK17" s="333">
        <v>0</v>
      </c>
      <c r="AL17" s="333">
        <v>0</v>
      </c>
      <c r="AM17" s="333">
        <v>0</v>
      </c>
      <c r="AN17" s="333">
        <v>0</v>
      </c>
      <c r="AO17" s="333">
        <v>0</v>
      </c>
    </row>
    <row r="18" spans="1:41" s="211" customFormat="1" ht="15.75">
      <c r="A18" s="333">
        <v>12</v>
      </c>
      <c r="B18" s="169" t="s">
        <v>100</v>
      </c>
      <c r="C18" s="400">
        <v>100001596</v>
      </c>
      <c r="D18" s="333">
        <v>0</v>
      </c>
      <c r="E18" s="333">
        <v>0</v>
      </c>
      <c r="F18" s="333">
        <v>0</v>
      </c>
      <c r="G18" s="333">
        <v>0</v>
      </c>
      <c r="H18" s="333">
        <v>0</v>
      </c>
      <c r="I18" s="333">
        <v>0</v>
      </c>
      <c r="J18" s="333">
        <v>25</v>
      </c>
      <c r="K18" s="333">
        <v>25</v>
      </c>
      <c r="L18" s="333"/>
      <c r="M18" s="208"/>
      <c r="N18" s="400">
        <v>100001596</v>
      </c>
      <c r="O18" s="333">
        <v>0</v>
      </c>
      <c r="P18" s="333">
        <v>0</v>
      </c>
      <c r="Q18" s="333">
        <v>0</v>
      </c>
      <c r="R18" s="333">
        <v>0</v>
      </c>
      <c r="S18" s="333">
        <v>0</v>
      </c>
      <c r="T18" s="334">
        <v>5.2</v>
      </c>
      <c r="U18" s="165" t="e">
        <f>VLOOKUP(N18,'[2]154'!$C$9:$T$554,18,0)</f>
        <v>#N/A</v>
      </c>
      <c r="V18" s="400">
        <v>100001596</v>
      </c>
      <c r="W18" s="404">
        <v>25</v>
      </c>
      <c r="X18" s="405">
        <v>92315.96</v>
      </c>
      <c r="Y18" s="404">
        <v>2307899</v>
      </c>
      <c r="Z18" s="169"/>
      <c r="AA18" s="400">
        <v>100001596</v>
      </c>
      <c r="AB18" s="333">
        <v>0</v>
      </c>
      <c r="AC18" s="333">
        <v>0</v>
      </c>
      <c r="AD18" s="333">
        <v>0</v>
      </c>
      <c r="AE18" s="333">
        <v>0</v>
      </c>
      <c r="AF18" s="333">
        <v>0</v>
      </c>
      <c r="AG18" s="333">
        <v>0</v>
      </c>
      <c r="AH18" s="169"/>
      <c r="AI18" s="400">
        <v>100001596</v>
      </c>
      <c r="AJ18" s="333">
        <v>0</v>
      </c>
      <c r="AK18" s="333">
        <v>0</v>
      </c>
      <c r="AL18" s="333">
        <v>0</v>
      </c>
      <c r="AM18" s="333">
        <v>0</v>
      </c>
      <c r="AN18" s="333">
        <v>0</v>
      </c>
      <c r="AO18" s="333">
        <v>0</v>
      </c>
    </row>
    <row r="19" spans="1:41" s="211" customFormat="1" ht="15.75">
      <c r="A19" s="333">
        <v>13</v>
      </c>
      <c r="B19" s="169" t="s">
        <v>101</v>
      </c>
      <c r="C19" s="400">
        <v>100002317</v>
      </c>
      <c r="D19" s="333">
        <v>0</v>
      </c>
      <c r="E19" s="333">
        <v>0</v>
      </c>
      <c r="F19" s="333">
        <v>0</v>
      </c>
      <c r="G19" s="333">
        <v>0</v>
      </c>
      <c r="H19" s="333">
        <v>0</v>
      </c>
      <c r="I19" s="333">
        <v>0</v>
      </c>
      <c r="J19" s="333">
        <v>14</v>
      </c>
      <c r="K19" s="333">
        <v>14</v>
      </c>
      <c r="L19" s="333"/>
      <c r="M19" s="165"/>
      <c r="N19" s="400">
        <v>100002317</v>
      </c>
      <c r="O19" s="333">
        <v>0</v>
      </c>
      <c r="P19" s="333">
        <v>0</v>
      </c>
      <c r="Q19" s="333">
        <v>0</v>
      </c>
      <c r="R19" s="333">
        <v>0</v>
      </c>
      <c r="S19" s="333">
        <v>0</v>
      </c>
      <c r="T19" s="334">
        <v>3.35</v>
      </c>
      <c r="U19" s="165">
        <f>VLOOKUP(N19,'[2]154'!$C$9:$T$554,18,0)</f>
        <v>0</v>
      </c>
      <c r="V19" s="400">
        <v>100002317</v>
      </c>
      <c r="W19" s="404">
        <v>14</v>
      </c>
      <c r="X19" s="405">
        <v>45773.285714285717</v>
      </c>
      <c r="Y19" s="404">
        <v>640826</v>
      </c>
      <c r="Z19" s="169"/>
      <c r="AA19" s="400">
        <v>100002317</v>
      </c>
      <c r="AB19" s="333">
        <v>0</v>
      </c>
      <c r="AC19" s="333">
        <v>0</v>
      </c>
      <c r="AD19" s="333">
        <v>0</v>
      </c>
      <c r="AE19" s="333">
        <v>0</v>
      </c>
      <c r="AF19" s="333">
        <v>0</v>
      </c>
      <c r="AG19" s="333">
        <v>0</v>
      </c>
      <c r="AH19" s="169"/>
      <c r="AI19" s="400">
        <v>100002317</v>
      </c>
      <c r="AJ19" s="333">
        <v>0</v>
      </c>
      <c r="AK19" s="333">
        <v>0</v>
      </c>
      <c r="AL19" s="333">
        <v>0</v>
      </c>
      <c r="AM19" s="333">
        <v>0</v>
      </c>
      <c r="AN19" s="333">
        <v>0</v>
      </c>
      <c r="AO19" s="333">
        <v>0</v>
      </c>
    </row>
    <row r="20" spans="1:41" ht="15.75">
      <c r="A20" s="333">
        <v>14</v>
      </c>
      <c r="B20" s="3" t="s">
        <v>100</v>
      </c>
      <c r="C20" s="401">
        <v>100001323</v>
      </c>
      <c r="D20" s="329">
        <v>0</v>
      </c>
      <c r="E20" s="329">
        <v>0</v>
      </c>
      <c r="F20" s="329">
        <v>0</v>
      </c>
      <c r="G20" s="329">
        <v>0</v>
      </c>
      <c r="H20" s="329">
        <v>0</v>
      </c>
      <c r="I20" s="329">
        <v>0</v>
      </c>
      <c r="J20" s="329">
        <v>22</v>
      </c>
      <c r="K20" s="333">
        <v>22</v>
      </c>
      <c r="L20" s="333"/>
      <c r="M20" s="165"/>
      <c r="N20" s="401">
        <v>100001323</v>
      </c>
      <c r="O20" s="329">
        <v>0</v>
      </c>
      <c r="P20" s="329">
        <v>0</v>
      </c>
      <c r="Q20" s="329">
        <v>0</v>
      </c>
      <c r="R20" s="333">
        <v>0</v>
      </c>
      <c r="S20" s="333">
        <v>0</v>
      </c>
      <c r="T20" s="335">
        <v>3.6</v>
      </c>
      <c r="U20" s="165" t="e">
        <f>VLOOKUP(N20,'[2]154'!$C$9:$T$554,18,0)</f>
        <v>#N/A</v>
      </c>
      <c r="V20" s="401">
        <v>100001323</v>
      </c>
      <c r="W20" s="406">
        <v>22</v>
      </c>
      <c r="X20" s="405">
        <v>74429.681818181823</v>
      </c>
      <c r="Y20" s="406">
        <v>1637453</v>
      </c>
      <c r="Z20" s="3"/>
      <c r="AA20" s="401">
        <v>100001323</v>
      </c>
      <c r="AB20" s="329">
        <v>0</v>
      </c>
      <c r="AC20" s="329">
        <v>0</v>
      </c>
      <c r="AD20" s="329">
        <v>0</v>
      </c>
      <c r="AE20" s="329">
        <v>0</v>
      </c>
      <c r="AF20" s="329">
        <v>0</v>
      </c>
      <c r="AG20" s="329">
        <v>0</v>
      </c>
      <c r="AH20" s="3"/>
      <c r="AI20" s="401">
        <v>100001323</v>
      </c>
      <c r="AJ20" s="329">
        <v>0</v>
      </c>
      <c r="AK20" s="329">
        <v>0</v>
      </c>
      <c r="AL20" s="329">
        <v>0</v>
      </c>
      <c r="AM20" s="329">
        <v>0</v>
      </c>
      <c r="AN20" s="329">
        <v>0</v>
      </c>
      <c r="AO20" s="329">
        <v>0</v>
      </c>
    </row>
    <row r="21" spans="1:41" s="211" customFormat="1" ht="15.75">
      <c r="A21" s="333">
        <v>15</v>
      </c>
      <c r="B21" s="169" t="s">
        <v>161</v>
      </c>
      <c r="C21" s="400">
        <v>100004407</v>
      </c>
      <c r="D21" s="333">
        <v>14942</v>
      </c>
      <c r="E21" s="333">
        <v>685</v>
      </c>
      <c r="F21" s="333">
        <v>42</v>
      </c>
      <c r="G21" s="333">
        <v>255</v>
      </c>
      <c r="H21" s="333">
        <v>388</v>
      </c>
      <c r="I21" s="333">
        <v>0</v>
      </c>
      <c r="J21" s="333">
        <v>152</v>
      </c>
      <c r="K21" s="333">
        <v>152</v>
      </c>
      <c r="L21" s="333"/>
      <c r="M21" s="208"/>
      <c r="N21" s="400">
        <v>100004407</v>
      </c>
      <c r="O21" s="333">
        <v>42</v>
      </c>
      <c r="P21" s="333">
        <v>255</v>
      </c>
      <c r="Q21" s="333">
        <v>388</v>
      </c>
      <c r="R21" s="333">
        <v>685</v>
      </c>
      <c r="S21" s="333">
        <v>11833771</v>
      </c>
      <c r="T21" s="334">
        <v>1.32</v>
      </c>
      <c r="U21" s="165">
        <f>VLOOKUP(N21,'[2]154'!$C$9:$T$554,18,0)</f>
        <v>685</v>
      </c>
      <c r="V21" s="400">
        <v>100004407</v>
      </c>
      <c r="W21" s="404">
        <v>152</v>
      </c>
      <c r="X21" s="405">
        <v>26738.644736842107</v>
      </c>
      <c r="Y21" s="404">
        <v>4064274</v>
      </c>
      <c r="Z21" s="169"/>
      <c r="AA21" s="400">
        <v>100004407</v>
      </c>
      <c r="AB21" s="333">
        <v>42</v>
      </c>
      <c r="AC21" s="333">
        <v>255</v>
      </c>
      <c r="AD21" s="333">
        <v>388</v>
      </c>
      <c r="AE21" s="333">
        <v>685</v>
      </c>
      <c r="AF21" s="333">
        <v>446</v>
      </c>
      <c r="AG21" s="333">
        <v>4400790</v>
      </c>
      <c r="AH21" s="169"/>
      <c r="AI21" s="400">
        <v>100004407</v>
      </c>
      <c r="AJ21" s="333">
        <v>42</v>
      </c>
      <c r="AK21" s="333">
        <v>255</v>
      </c>
      <c r="AL21" s="333">
        <v>388</v>
      </c>
      <c r="AM21" s="333">
        <v>685</v>
      </c>
      <c r="AN21" s="333">
        <v>446</v>
      </c>
      <c r="AO21" s="333">
        <v>7432981</v>
      </c>
    </row>
    <row r="22" spans="1:41" s="211" customFormat="1" ht="15.75">
      <c r="A22" s="333">
        <v>16</v>
      </c>
      <c r="B22" s="169" t="s">
        <v>161</v>
      </c>
      <c r="C22" s="400">
        <v>79201</v>
      </c>
      <c r="D22" s="333">
        <v>0</v>
      </c>
      <c r="E22" s="333">
        <v>0</v>
      </c>
      <c r="F22" s="333">
        <v>0</v>
      </c>
      <c r="G22" s="333">
        <v>0</v>
      </c>
      <c r="H22" s="333">
        <v>0</v>
      </c>
      <c r="I22" s="333">
        <v>0</v>
      </c>
      <c r="J22" s="333">
        <v>115</v>
      </c>
      <c r="K22" s="333">
        <v>115</v>
      </c>
      <c r="L22" s="333"/>
      <c r="M22" s="165"/>
      <c r="N22" s="400">
        <v>79201</v>
      </c>
      <c r="O22" s="333">
        <v>0</v>
      </c>
      <c r="P22" s="333">
        <v>0</v>
      </c>
      <c r="Q22" s="333">
        <v>0</v>
      </c>
      <c r="R22" s="333">
        <v>0</v>
      </c>
      <c r="S22" s="333">
        <v>0</v>
      </c>
      <c r="T22" s="334">
        <v>1.02</v>
      </c>
      <c r="U22" s="165">
        <f>VLOOKUP(N22,'[2]154'!$C$9:$T$554,18,0)</f>
        <v>0</v>
      </c>
      <c r="V22" s="400">
        <v>79201</v>
      </c>
      <c r="W22" s="404">
        <v>115</v>
      </c>
      <c r="X22" s="405">
        <v>42344</v>
      </c>
      <c r="Y22" s="404">
        <v>2434788</v>
      </c>
      <c r="Z22" s="169"/>
      <c r="AA22" s="400">
        <v>79201</v>
      </c>
      <c r="AB22" s="333">
        <v>0</v>
      </c>
      <c r="AC22" s="333">
        <v>0</v>
      </c>
      <c r="AD22" s="333">
        <v>0</v>
      </c>
      <c r="AE22" s="333">
        <v>0</v>
      </c>
      <c r="AF22" s="333">
        <v>0</v>
      </c>
      <c r="AG22" s="333">
        <v>0</v>
      </c>
      <c r="AH22" s="169"/>
      <c r="AI22" s="400">
        <v>79201</v>
      </c>
      <c r="AJ22" s="333">
        <v>0</v>
      </c>
      <c r="AK22" s="333">
        <v>0</v>
      </c>
      <c r="AL22" s="333">
        <v>0</v>
      </c>
      <c r="AM22" s="333">
        <v>0</v>
      </c>
      <c r="AN22" s="333">
        <v>0</v>
      </c>
      <c r="AO22" s="333">
        <v>0</v>
      </c>
    </row>
    <row r="23" spans="1:41" s="211" customFormat="1" ht="15.75">
      <c r="A23" s="333">
        <v>17</v>
      </c>
      <c r="B23" s="169" t="s">
        <v>105</v>
      </c>
      <c r="C23" s="400">
        <v>446749</v>
      </c>
      <c r="D23" s="333">
        <v>0</v>
      </c>
      <c r="E23" s="333">
        <v>165</v>
      </c>
      <c r="F23" s="333">
        <v>0</v>
      </c>
      <c r="G23" s="333">
        <v>0</v>
      </c>
      <c r="H23" s="333">
        <v>165</v>
      </c>
      <c r="I23" s="333">
        <v>0</v>
      </c>
      <c r="J23" s="333">
        <v>0</v>
      </c>
      <c r="K23" s="333">
        <v>0</v>
      </c>
      <c r="L23" s="333"/>
      <c r="M23" s="165"/>
      <c r="N23" s="400">
        <v>446749</v>
      </c>
      <c r="O23" s="333">
        <v>0</v>
      </c>
      <c r="P23" s="333">
        <v>0</v>
      </c>
      <c r="Q23" s="333">
        <v>165</v>
      </c>
      <c r="R23" s="333">
        <v>165</v>
      </c>
      <c r="S23" s="333">
        <v>7256593</v>
      </c>
      <c r="T23" s="334">
        <v>2.65</v>
      </c>
      <c r="U23" s="165">
        <f>VLOOKUP(N23,'[2]154'!$C$9:$T$554,18,0)</f>
        <v>165</v>
      </c>
      <c r="V23" s="400">
        <v>446749</v>
      </c>
      <c r="W23" s="404">
        <v>0</v>
      </c>
      <c r="X23" s="405">
        <v>0</v>
      </c>
      <c r="Y23" s="404">
        <v>0</v>
      </c>
      <c r="Z23" s="169"/>
      <c r="AA23" s="400">
        <v>446749</v>
      </c>
      <c r="AB23" s="333">
        <v>0</v>
      </c>
      <c r="AC23" s="333">
        <v>0</v>
      </c>
      <c r="AD23" s="333">
        <v>165</v>
      </c>
      <c r="AE23" s="333">
        <v>165</v>
      </c>
      <c r="AF23" s="333">
        <v>132</v>
      </c>
      <c r="AG23" s="333">
        <v>2743703</v>
      </c>
      <c r="AH23" s="169"/>
      <c r="AI23" s="400">
        <v>446749</v>
      </c>
      <c r="AJ23" s="333">
        <v>0</v>
      </c>
      <c r="AK23" s="333">
        <v>0</v>
      </c>
      <c r="AL23" s="333">
        <v>165</v>
      </c>
      <c r="AM23" s="333">
        <v>165</v>
      </c>
      <c r="AN23" s="333">
        <v>132</v>
      </c>
      <c r="AO23" s="333">
        <v>4512890</v>
      </c>
    </row>
    <row r="24" spans="1:41" s="211" customFormat="1" ht="15.75">
      <c r="A24" s="333">
        <v>18</v>
      </c>
      <c r="B24" s="169" t="s">
        <v>105</v>
      </c>
      <c r="C24" s="400">
        <v>446053</v>
      </c>
      <c r="D24" s="333">
        <v>0</v>
      </c>
      <c r="E24" s="333">
        <v>63</v>
      </c>
      <c r="F24" s="333">
        <v>0</v>
      </c>
      <c r="G24" s="333">
        <v>0</v>
      </c>
      <c r="H24" s="333">
        <v>63</v>
      </c>
      <c r="I24" s="333">
        <v>0</v>
      </c>
      <c r="J24" s="333">
        <v>24</v>
      </c>
      <c r="K24" s="333">
        <v>24</v>
      </c>
      <c r="L24" s="333"/>
      <c r="M24" s="208"/>
      <c r="N24" s="400">
        <v>446053</v>
      </c>
      <c r="O24" s="333">
        <v>0</v>
      </c>
      <c r="P24" s="333">
        <v>0</v>
      </c>
      <c r="Q24" s="333">
        <v>63</v>
      </c>
      <c r="R24" s="333">
        <v>63</v>
      </c>
      <c r="S24" s="333">
        <v>1145629</v>
      </c>
      <c r="T24" s="334">
        <v>2.65</v>
      </c>
      <c r="U24" s="165">
        <f>VLOOKUP(N24,'[2]154'!$C$9:$T$554,18,0)</f>
        <v>63</v>
      </c>
      <c r="V24" s="400">
        <v>446053</v>
      </c>
      <c r="W24" s="404">
        <v>24</v>
      </c>
      <c r="X24" s="405">
        <v>18184.583333333332</v>
      </c>
      <c r="Y24" s="404">
        <v>436430</v>
      </c>
      <c r="Z24" s="169"/>
      <c r="AA24" s="400">
        <v>446053</v>
      </c>
      <c r="AB24" s="333">
        <v>0</v>
      </c>
      <c r="AC24" s="333">
        <v>0</v>
      </c>
      <c r="AD24" s="333">
        <v>63</v>
      </c>
      <c r="AE24" s="333">
        <v>63</v>
      </c>
      <c r="AF24" s="333">
        <v>50</v>
      </c>
      <c r="AG24" s="333">
        <v>433160</v>
      </c>
      <c r="AH24" s="169"/>
      <c r="AI24" s="400">
        <v>446053</v>
      </c>
      <c r="AJ24" s="333">
        <v>0</v>
      </c>
      <c r="AK24" s="333">
        <v>0</v>
      </c>
      <c r="AL24" s="333">
        <v>63</v>
      </c>
      <c r="AM24" s="333">
        <v>63</v>
      </c>
      <c r="AN24" s="333">
        <v>50</v>
      </c>
      <c r="AO24" s="333">
        <v>712469</v>
      </c>
    </row>
    <row r="25" spans="1:41" s="211" customFormat="1" ht="15.75">
      <c r="A25" s="333">
        <v>19</v>
      </c>
      <c r="B25" s="169" t="s">
        <v>161</v>
      </c>
      <c r="C25" s="400">
        <v>100004405</v>
      </c>
      <c r="D25" s="333">
        <v>0</v>
      </c>
      <c r="E25" s="333">
        <v>79</v>
      </c>
      <c r="F25" s="333">
        <v>0</v>
      </c>
      <c r="G25" s="333">
        <v>0</v>
      </c>
      <c r="H25" s="333">
        <v>79</v>
      </c>
      <c r="I25" s="333">
        <v>0</v>
      </c>
      <c r="J25" s="333">
        <v>80</v>
      </c>
      <c r="K25" s="333">
        <v>80</v>
      </c>
      <c r="L25" s="333"/>
      <c r="M25" s="165"/>
      <c r="N25" s="400">
        <v>100004405</v>
      </c>
      <c r="O25" s="333">
        <v>0</v>
      </c>
      <c r="P25" s="333">
        <v>0</v>
      </c>
      <c r="Q25" s="333">
        <v>79</v>
      </c>
      <c r="R25" s="333">
        <v>79</v>
      </c>
      <c r="S25" s="333">
        <v>1370172</v>
      </c>
      <c r="T25" s="334">
        <v>1.1000000000000001</v>
      </c>
      <c r="U25" s="165">
        <f>VLOOKUP(N25,'[2]154'!$C$9:$T$554,18,0)</f>
        <v>79</v>
      </c>
      <c r="V25" s="400">
        <v>100004405</v>
      </c>
      <c r="W25" s="404">
        <v>80</v>
      </c>
      <c r="X25" s="405">
        <v>21581.15</v>
      </c>
      <c r="Y25" s="404">
        <v>1726492</v>
      </c>
      <c r="Z25" s="169"/>
      <c r="AA25" s="400">
        <v>100004405</v>
      </c>
      <c r="AB25" s="333">
        <v>0</v>
      </c>
      <c r="AC25" s="333">
        <v>0</v>
      </c>
      <c r="AD25" s="333">
        <v>79</v>
      </c>
      <c r="AE25" s="333">
        <v>79</v>
      </c>
      <c r="AF25" s="333">
        <v>63</v>
      </c>
      <c r="AG25" s="333">
        <v>525166</v>
      </c>
      <c r="AH25" s="169"/>
      <c r="AI25" s="400">
        <v>100004405</v>
      </c>
      <c r="AJ25" s="333">
        <v>0</v>
      </c>
      <c r="AK25" s="333">
        <v>0</v>
      </c>
      <c r="AL25" s="333">
        <v>79</v>
      </c>
      <c r="AM25" s="333">
        <v>79</v>
      </c>
      <c r="AN25" s="333">
        <v>63</v>
      </c>
      <c r="AO25" s="333">
        <v>845006</v>
      </c>
    </row>
    <row r="26" spans="1:41" s="211" customFormat="1" ht="15.75">
      <c r="A26" s="333">
        <v>20</v>
      </c>
      <c r="B26" s="169" t="s">
        <v>161</v>
      </c>
      <c r="C26" s="400">
        <v>100003246</v>
      </c>
      <c r="D26" s="333">
        <v>0</v>
      </c>
      <c r="E26" s="333">
        <v>377</v>
      </c>
      <c r="F26" s="333">
        <v>0</v>
      </c>
      <c r="G26" s="333">
        <v>0</v>
      </c>
      <c r="H26" s="333">
        <v>377</v>
      </c>
      <c r="I26" s="333">
        <v>0</v>
      </c>
      <c r="J26" s="333">
        <v>86</v>
      </c>
      <c r="K26" s="333">
        <v>86</v>
      </c>
      <c r="L26" s="333"/>
      <c r="M26" s="165"/>
      <c r="N26" s="400">
        <v>100003246</v>
      </c>
      <c r="O26" s="333">
        <v>0</v>
      </c>
      <c r="P26" s="333">
        <v>0</v>
      </c>
      <c r="Q26" s="333">
        <v>377</v>
      </c>
      <c r="R26" s="333">
        <v>377</v>
      </c>
      <c r="S26" s="333">
        <v>6456010</v>
      </c>
      <c r="T26" s="334">
        <v>1.02</v>
      </c>
      <c r="U26" s="165">
        <f>VLOOKUP(N26,'[2]154'!$C$9:$T$554,18,0)</f>
        <v>377</v>
      </c>
      <c r="V26" s="400">
        <v>100003246</v>
      </c>
      <c r="W26" s="404">
        <v>86</v>
      </c>
      <c r="X26" s="405">
        <v>21228.151162790698</v>
      </c>
      <c r="Y26" s="404">
        <v>1825621</v>
      </c>
      <c r="Z26" s="169"/>
      <c r="AA26" s="400">
        <v>100003246</v>
      </c>
      <c r="AB26" s="333">
        <v>0</v>
      </c>
      <c r="AC26" s="333">
        <v>0</v>
      </c>
      <c r="AD26" s="333">
        <v>377</v>
      </c>
      <c r="AE26" s="333">
        <v>377</v>
      </c>
      <c r="AF26" s="333">
        <v>302</v>
      </c>
      <c r="AG26" s="333">
        <v>2474021</v>
      </c>
      <c r="AH26" s="169"/>
      <c r="AI26" s="400">
        <v>100003246</v>
      </c>
      <c r="AJ26" s="333">
        <v>0</v>
      </c>
      <c r="AK26" s="333">
        <v>0</v>
      </c>
      <c r="AL26" s="333">
        <v>377</v>
      </c>
      <c r="AM26" s="333">
        <v>377</v>
      </c>
      <c r="AN26" s="333">
        <v>302</v>
      </c>
      <c r="AO26" s="333">
        <v>3981989</v>
      </c>
    </row>
    <row r="27" spans="1:41" s="211" customFormat="1" ht="15.75">
      <c r="A27" s="333">
        <v>21</v>
      </c>
      <c r="B27" s="169" t="s">
        <v>161</v>
      </c>
      <c r="C27" s="400">
        <v>100001802</v>
      </c>
      <c r="D27" s="333">
        <v>0</v>
      </c>
      <c r="E27" s="333">
        <v>103</v>
      </c>
      <c r="F27" s="333">
        <v>0</v>
      </c>
      <c r="G27" s="333">
        <v>0</v>
      </c>
      <c r="H27" s="333">
        <v>103</v>
      </c>
      <c r="I27" s="333">
        <v>0</v>
      </c>
      <c r="J27" s="333">
        <v>33</v>
      </c>
      <c r="K27" s="333">
        <v>33</v>
      </c>
      <c r="L27" s="333"/>
      <c r="M27" s="208"/>
      <c r="N27" s="400">
        <v>100001802</v>
      </c>
      <c r="O27" s="333">
        <v>0</v>
      </c>
      <c r="P27" s="333">
        <v>0</v>
      </c>
      <c r="Q27" s="333">
        <v>103</v>
      </c>
      <c r="R27" s="333">
        <v>103</v>
      </c>
      <c r="S27" s="333">
        <v>3319034</v>
      </c>
      <c r="T27" s="334">
        <v>1.95</v>
      </c>
      <c r="U27" s="165">
        <f>VLOOKUP(N27,'[2]154'!$C$9:$T$554,18,0)</f>
        <v>103</v>
      </c>
      <c r="V27" s="400">
        <v>100001802</v>
      </c>
      <c r="W27" s="404">
        <v>33</v>
      </c>
      <c r="X27" s="405">
        <v>40476.030303030304</v>
      </c>
      <c r="Y27" s="404">
        <v>1335709</v>
      </c>
      <c r="Z27" s="169"/>
      <c r="AA27" s="400">
        <v>100001802</v>
      </c>
      <c r="AB27" s="333">
        <v>0</v>
      </c>
      <c r="AC27" s="333">
        <v>0</v>
      </c>
      <c r="AD27" s="333">
        <v>103</v>
      </c>
      <c r="AE27" s="333">
        <v>103</v>
      </c>
      <c r="AF27" s="333">
        <v>82</v>
      </c>
      <c r="AG27" s="333">
        <v>1254920</v>
      </c>
      <c r="AH27" s="169"/>
      <c r="AI27" s="400">
        <v>100001802</v>
      </c>
      <c r="AJ27" s="333">
        <v>0</v>
      </c>
      <c r="AK27" s="333">
        <v>0</v>
      </c>
      <c r="AL27" s="333">
        <v>103</v>
      </c>
      <c r="AM27" s="333">
        <v>103</v>
      </c>
      <c r="AN27" s="333">
        <v>82</v>
      </c>
      <c r="AO27" s="333">
        <v>2064114</v>
      </c>
    </row>
    <row r="28" spans="1:41" s="211" customFormat="1" ht="15.75">
      <c r="A28" s="333">
        <v>22</v>
      </c>
      <c r="B28" s="169" t="s">
        <v>161</v>
      </c>
      <c r="C28" s="400">
        <v>68416</v>
      </c>
      <c r="D28" s="333">
        <v>1445</v>
      </c>
      <c r="E28" s="333">
        <v>279</v>
      </c>
      <c r="F28" s="333">
        <v>7</v>
      </c>
      <c r="G28" s="333">
        <v>10</v>
      </c>
      <c r="H28" s="333">
        <v>262</v>
      </c>
      <c r="I28" s="333">
        <v>0</v>
      </c>
      <c r="J28" s="333">
        <v>32</v>
      </c>
      <c r="K28" s="333">
        <v>32</v>
      </c>
      <c r="L28" s="333"/>
      <c r="M28" s="165"/>
      <c r="N28" s="400">
        <v>68416</v>
      </c>
      <c r="O28" s="333">
        <v>7</v>
      </c>
      <c r="P28" s="333">
        <v>10</v>
      </c>
      <c r="Q28" s="333">
        <v>262</v>
      </c>
      <c r="R28" s="333">
        <v>279</v>
      </c>
      <c r="S28" s="333">
        <v>12969876</v>
      </c>
      <c r="T28" s="334">
        <v>1.87</v>
      </c>
      <c r="U28" s="165">
        <f>VLOOKUP(N28,'[2]154'!$C$9:$T$554,18,0)</f>
        <v>279</v>
      </c>
      <c r="V28" s="400">
        <v>68416</v>
      </c>
      <c r="W28" s="404">
        <v>32</v>
      </c>
      <c r="X28" s="405">
        <v>57787.625</v>
      </c>
      <c r="Y28" s="404">
        <v>1849204</v>
      </c>
      <c r="Z28" s="169"/>
      <c r="AA28" s="400">
        <v>68416</v>
      </c>
      <c r="AB28" s="333">
        <v>7</v>
      </c>
      <c r="AC28" s="333">
        <v>10</v>
      </c>
      <c r="AD28" s="333">
        <v>262</v>
      </c>
      <c r="AE28" s="333">
        <v>279</v>
      </c>
      <c r="AF28" s="333">
        <v>216</v>
      </c>
      <c r="AG28" s="333">
        <v>5436901</v>
      </c>
      <c r="AH28" s="169"/>
      <c r="AI28" s="400">
        <v>68416</v>
      </c>
      <c r="AJ28" s="333">
        <v>7</v>
      </c>
      <c r="AK28" s="333">
        <v>10</v>
      </c>
      <c r="AL28" s="333">
        <v>262</v>
      </c>
      <c r="AM28" s="333">
        <v>279</v>
      </c>
      <c r="AN28" s="333">
        <v>216</v>
      </c>
      <c r="AO28" s="333">
        <v>7532975</v>
      </c>
    </row>
    <row r="29" spans="1:41" ht="15.75">
      <c r="A29" s="333">
        <v>23</v>
      </c>
      <c r="B29" s="3" t="s">
        <v>161</v>
      </c>
      <c r="C29" s="398" t="s">
        <v>189</v>
      </c>
      <c r="D29" s="329">
        <v>0</v>
      </c>
      <c r="E29" s="329">
        <v>108</v>
      </c>
      <c r="F29" s="329">
        <v>0</v>
      </c>
      <c r="G29" s="329">
        <v>0</v>
      </c>
      <c r="H29" s="329">
        <v>108</v>
      </c>
      <c r="I29" s="329">
        <v>0</v>
      </c>
      <c r="J29" s="329">
        <v>151</v>
      </c>
      <c r="K29" s="333">
        <v>151</v>
      </c>
      <c r="L29" s="333"/>
      <c r="M29" s="208"/>
      <c r="N29" s="398" t="s">
        <v>189</v>
      </c>
      <c r="O29" s="329">
        <v>0</v>
      </c>
      <c r="P29" s="329">
        <v>0</v>
      </c>
      <c r="Q29" s="329">
        <v>108</v>
      </c>
      <c r="R29" s="333">
        <v>108</v>
      </c>
      <c r="S29" s="333">
        <v>3528069</v>
      </c>
      <c r="T29" s="335">
        <v>3.5</v>
      </c>
      <c r="U29" s="165">
        <f>VLOOKUP(N29,'[2]154'!$C$9:$T$554,18,0)</f>
        <v>108</v>
      </c>
      <c r="V29" s="398" t="s">
        <v>189</v>
      </c>
      <c r="W29" s="406">
        <v>151</v>
      </c>
      <c r="X29" s="405">
        <v>81172.45033112583</v>
      </c>
      <c r="Y29" s="406">
        <v>12257040</v>
      </c>
      <c r="Z29" s="3"/>
      <c r="AA29" s="398" t="s">
        <v>189</v>
      </c>
      <c r="AB29" s="329">
        <v>0</v>
      </c>
      <c r="AC29" s="329">
        <v>0</v>
      </c>
      <c r="AD29" s="329">
        <v>108</v>
      </c>
      <c r="AE29" s="329">
        <v>108</v>
      </c>
      <c r="AF29" s="329">
        <v>86</v>
      </c>
      <c r="AG29" s="329">
        <v>1477379</v>
      </c>
      <c r="AH29" s="3"/>
      <c r="AI29" s="398" t="s">
        <v>189</v>
      </c>
      <c r="AJ29" s="329">
        <v>0</v>
      </c>
      <c r="AK29" s="329">
        <v>0</v>
      </c>
      <c r="AL29" s="329">
        <v>108</v>
      </c>
      <c r="AM29" s="329">
        <v>108</v>
      </c>
      <c r="AN29" s="329">
        <v>86</v>
      </c>
      <c r="AO29" s="329">
        <v>2050690</v>
      </c>
    </row>
    <row r="30" spans="1:41" s="211" customFormat="1" ht="15.75">
      <c r="A30" s="333">
        <v>24</v>
      </c>
      <c r="B30" s="169" t="s">
        <v>100</v>
      </c>
      <c r="C30" s="400">
        <v>100001622</v>
      </c>
      <c r="D30" s="333">
        <v>0</v>
      </c>
      <c r="E30" s="333">
        <v>0</v>
      </c>
      <c r="F30" s="333">
        <v>0</v>
      </c>
      <c r="G30" s="333">
        <v>0</v>
      </c>
      <c r="H30" s="333">
        <v>0</v>
      </c>
      <c r="I30" s="333">
        <v>0</v>
      </c>
      <c r="J30" s="333">
        <v>50</v>
      </c>
      <c r="K30" s="333">
        <v>50</v>
      </c>
      <c r="L30" s="333"/>
      <c r="M30" s="165"/>
      <c r="N30" s="400">
        <v>100001622</v>
      </c>
      <c r="O30" s="333">
        <v>0</v>
      </c>
      <c r="P30" s="333">
        <v>0</v>
      </c>
      <c r="Q30" s="333">
        <v>0</v>
      </c>
      <c r="R30" s="333">
        <v>0</v>
      </c>
      <c r="S30" s="333">
        <v>0</v>
      </c>
      <c r="T30" s="334">
        <v>1.85</v>
      </c>
      <c r="U30" s="165" t="e">
        <f>VLOOKUP(N30,'[2]154'!$C$9:$T$554,18,0)</f>
        <v>#N/A</v>
      </c>
      <c r="V30" s="400">
        <v>100001622</v>
      </c>
      <c r="W30" s="404">
        <v>50</v>
      </c>
      <c r="X30" s="405">
        <v>38400.32</v>
      </c>
      <c r="Y30" s="404">
        <v>1920016</v>
      </c>
      <c r="Z30" s="169"/>
      <c r="AA30" s="400">
        <v>100001622</v>
      </c>
      <c r="AB30" s="333">
        <v>0</v>
      </c>
      <c r="AC30" s="333">
        <v>0</v>
      </c>
      <c r="AD30" s="333">
        <v>0</v>
      </c>
      <c r="AE30" s="333">
        <v>0</v>
      </c>
      <c r="AF30" s="333">
        <v>0</v>
      </c>
      <c r="AG30" s="333">
        <v>0</v>
      </c>
      <c r="AH30" s="169"/>
      <c r="AI30" s="400">
        <v>100001622</v>
      </c>
      <c r="AJ30" s="333">
        <v>0</v>
      </c>
      <c r="AK30" s="333">
        <v>0</v>
      </c>
      <c r="AL30" s="333">
        <v>0</v>
      </c>
      <c r="AM30" s="333">
        <v>0</v>
      </c>
      <c r="AN30" s="333">
        <v>0</v>
      </c>
      <c r="AO30" s="333">
        <v>0</v>
      </c>
    </row>
    <row r="31" spans="1:41" s="211" customFormat="1" ht="15.75">
      <c r="A31" s="333">
        <v>25</v>
      </c>
      <c r="B31" s="169" t="s">
        <v>100</v>
      </c>
      <c r="C31" s="400">
        <v>100001623</v>
      </c>
      <c r="D31" s="333">
        <v>0</v>
      </c>
      <c r="E31" s="333">
        <v>0</v>
      </c>
      <c r="F31" s="333">
        <v>0</v>
      </c>
      <c r="G31" s="333">
        <v>0</v>
      </c>
      <c r="H31" s="333">
        <v>0</v>
      </c>
      <c r="I31" s="333">
        <v>0</v>
      </c>
      <c r="J31" s="333">
        <v>69</v>
      </c>
      <c r="K31" s="333">
        <v>69</v>
      </c>
      <c r="L31" s="333"/>
      <c r="M31" s="165"/>
      <c r="N31" s="400">
        <v>100001623</v>
      </c>
      <c r="O31" s="333">
        <v>0</v>
      </c>
      <c r="P31" s="333">
        <v>0</v>
      </c>
      <c r="Q31" s="333">
        <v>0</v>
      </c>
      <c r="R31" s="333">
        <v>0</v>
      </c>
      <c r="S31" s="333">
        <v>0</v>
      </c>
      <c r="T31" s="334">
        <v>1.85</v>
      </c>
      <c r="U31" s="165" t="e">
        <f>VLOOKUP(N31,'[2]154'!$C$9:$T$554,18,0)</f>
        <v>#N/A</v>
      </c>
      <c r="V31" s="400">
        <v>100001623</v>
      </c>
      <c r="W31" s="404">
        <v>69</v>
      </c>
      <c r="X31" s="405">
        <v>38400.333333333336</v>
      </c>
      <c r="Y31" s="404">
        <v>2649623</v>
      </c>
      <c r="Z31" s="169"/>
      <c r="AA31" s="400">
        <v>100001623</v>
      </c>
      <c r="AB31" s="333">
        <v>0</v>
      </c>
      <c r="AC31" s="333">
        <v>0</v>
      </c>
      <c r="AD31" s="333">
        <v>0</v>
      </c>
      <c r="AE31" s="333">
        <v>0</v>
      </c>
      <c r="AF31" s="333">
        <v>0</v>
      </c>
      <c r="AG31" s="333">
        <v>0</v>
      </c>
      <c r="AH31" s="169"/>
      <c r="AI31" s="400">
        <v>100001623</v>
      </c>
      <c r="AJ31" s="333">
        <v>0</v>
      </c>
      <c r="AK31" s="333">
        <v>0</v>
      </c>
      <c r="AL31" s="333">
        <v>0</v>
      </c>
      <c r="AM31" s="333">
        <v>0</v>
      </c>
      <c r="AN31" s="333">
        <v>0</v>
      </c>
      <c r="AO31" s="333">
        <v>0</v>
      </c>
    </row>
    <row r="32" spans="1:41" s="211" customFormat="1" ht="15.75">
      <c r="A32" s="333">
        <v>26</v>
      </c>
      <c r="B32" s="169" t="s">
        <v>161</v>
      </c>
      <c r="C32" s="397" t="s">
        <v>190</v>
      </c>
      <c r="D32" s="333">
        <v>7574</v>
      </c>
      <c r="E32" s="333">
        <v>228</v>
      </c>
      <c r="F32" s="333">
        <v>0</v>
      </c>
      <c r="G32" s="333">
        <v>106</v>
      </c>
      <c r="H32" s="333">
        <v>122</v>
      </c>
      <c r="I32" s="333">
        <v>0</v>
      </c>
      <c r="J32" s="333">
        <v>162</v>
      </c>
      <c r="K32" s="333">
        <v>162</v>
      </c>
      <c r="L32" s="333"/>
      <c r="M32" s="208"/>
      <c r="N32" s="397" t="s">
        <v>190</v>
      </c>
      <c r="O32" s="333">
        <v>0</v>
      </c>
      <c r="P32" s="333">
        <v>106</v>
      </c>
      <c r="Q32" s="333">
        <v>122</v>
      </c>
      <c r="R32" s="333">
        <v>228</v>
      </c>
      <c r="S32" s="333">
        <v>7910153</v>
      </c>
      <c r="T32" s="334">
        <v>2.7</v>
      </c>
      <c r="U32" s="165">
        <f>VLOOKUP(N32,'[2]154'!$C$9:$T$554,18,0)</f>
        <v>228</v>
      </c>
      <c r="V32" s="397" t="s">
        <v>190</v>
      </c>
      <c r="W32" s="404">
        <v>162</v>
      </c>
      <c r="X32" s="405">
        <v>52385.123456790127</v>
      </c>
      <c r="Y32" s="404">
        <v>8486390</v>
      </c>
      <c r="Z32" s="169"/>
      <c r="AA32" s="397" t="s">
        <v>190</v>
      </c>
      <c r="AB32" s="333">
        <v>0</v>
      </c>
      <c r="AC32" s="333">
        <v>106</v>
      </c>
      <c r="AD32" s="333">
        <v>122</v>
      </c>
      <c r="AE32" s="333">
        <v>228</v>
      </c>
      <c r="AF32" s="333">
        <v>151</v>
      </c>
      <c r="AG32" s="333">
        <v>3345662</v>
      </c>
      <c r="AH32" s="169"/>
      <c r="AI32" s="397" t="s">
        <v>190</v>
      </c>
      <c r="AJ32" s="333">
        <v>0</v>
      </c>
      <c r="AK32" s="333">
        <v>106</v>
      </c>
      <c r="AL32" s="333">
        <v>122</v>
      </c>
      <c r="AM32" s="333">
        <v>228</v>
      </c>
      <c r="AN32" s="333">
        <v>151</v>
      </c>
      <c r="AO32" s="333">
        <v>4564491</v>
      </c>
    </row>
    <row r="33" spans="1:41" s="211" customFormat="1" ht="15.75">
      <c r="A33" s="333">
        <v>27</v>
      </c>
      <c r="B33" s="169" t="s">
        <v>161</v>
      </c>
      <c r="C33" s="397" t="s">
        <v>191</v>
      </c>
      <c r="D33" s="333">
        <v>0</v>
      </c>
      <c r="E33" s="333">
        <v>144</v>
      </c>
      <c r="F33" s="333">
        <v>0</v>
      </c>
      <c r="G33" s="333">
        <v>0</v>
      </c>
      <c r="H33" s="333">
        <v>144</v>
      </c>
      <c r="I33" s="333">
        <v>0</v>
      </c>
      <c r="J33" s="333">
        <v>29</v>
      </c>
      <c r="K33" s="333">
        <v>29</v>
      </c>
      <c r="L33" s="333"/>
      <c r="M33" s="165"/>
      <c r="N33" s="397" t="s">
        <v>191</v>
      </c>
      <c r="O33" s="333">
        <v>0</v>
      </c>
      <c r="P33" s="333">
        <v>0</v>
      </c>
      <c r="Q33" s="333">
        <v>144</v>
      </c>
      <c r="R33" s="333">
        <v>144</v>
      </c>
      <c r="S33" s="333">
        <v>4304157</v>
      </c>
      <c r="T33" s="334">
        <v>1.8</v>
      </c>
      <c r="U33" s="165">
        <f>VLOOKUP(N33,'[2]154'!$C$9:$T$554,18,0)</f>
        <v>144</v>
      </c>
      <c r="V33" s="397" t="s">
        <v>191</v>
      </c>
      <c r="W33" s="404">
        <v>29</v>
      </c>
      <c r="X33" s="405">
        <v>37259.793103448275</v>
      </c>
      <c r="Y33" s="404">
        <v>1080534</v>
      </c>
      <c r="Z33" s="169"/>
      <c r="AA33" s="397" t="s">
        <v>191</v>
      </c>
      <c r="AB33" s="333">
        <v>0</v>
      </c>
      <c r="AC33" s="333">
        <v>0</v>
      </c>
      <c r="AD33" s="333">
        <v>144</v>
      </c>
      <c r="AE33" s="333">
        <v>144</v>
      </c>
      <c r="AF33" s="333">
        <v>115</v>
      </c>
      <c r="AG33" s="333">
        <v>1627393</v>
      </c>
      <c r="AH33" s="169"/>
      <c r="AI33" s="397" t="s">
        <v>191</v>
      </c>
      <c r="AJ33" s="333">
        <v>0</v>
      </c>
      <c r="AK33" s="333">
        <v>0</v>
      </c>
      <c r="AL33" s="333">
        <v>144</v>
      </c>
      <c r="AM33" s="333">
        <v>144</v>
      </c>
      <c r="AN33" s="333">
        <v>115</v>
      </c>
      <c r="AO33" s="333">
        <v>2676764</v>
      </c>
    </row>
    <row r="34" spans="1:41" s="211" customFormat="1" ht="15.75">
      <c r="A34" s="333">
        <v>28</v>
      </c>
      <c r="B34" s="169" t="s">
        <v>106</v>
      </c>
      <c r="C34" s="397" t="s">
        <v>192</v>
      </c>
      <c r="D34" s="333">
        <v>0</v>
      </c>
      <c r="E34" s="333">
        <v>0</v>
      </c>
      <c r="F34" s="333">
        <v>0</v>
      </c>
      <c r="G34" s="333">
        <v>0</v>
      </c>
      <c r="H34" s="333">
        <v>0</v>
      </c>
      <c r="I34" s="333">
        <v>0</v>
      </c>
      <c r="J34" s="333">
        <v>2292</v>
      </c>
      <c r="K34" s="333">
        <v>2292</v>
      </c>
      <c r="L34" s="333"/>
      <c r="M34" s="165"/>
      <c r="N34" s="397" t="s">
        <v>192</v>
      </c>
      <c r="O34" s="333">
        <v>0</v>
      </c>
      <c r="P34" s="333">
        <v>0</v>
      </c>
      <c r="Q34" s="333">
        <v>0</v>
      </c>
      <c r="R34" s="333">
        <v>0</v>
      </c>
      <c r="S34" s="333">
        <v>0</v>
      </c>
      <c r="T34" s="334">
        <v>1.7</v>
      </c>
      <c r="U34" s="165">
        <f>VLOOKUP(N34,'[2]154'!$C$9:$T$554,18,0)</f>
        <v>0</v>
      </c>
      <c r="V34" s="397" t="s">
        <v>192</v>
      </c>
      <c r="W34" s="404">
        <v>2292</v>
      </c>
      <c r="X34" s="405">
        <v>36324.459424083769</v>
      </c>
      <c r="Y34" s="404">
        <v>83255661</v>
      </c>
      <c r="Z34" s="169"/>
      <c r="AA34" s="397" t="s">
        <v>192</v>
      </c>
      <c r="AB34" s="333">
        <v>0</v>
      </c>
      <c r="AC34" s="333">
        <v>0</v>
      </c>
      <c r="AD34" s="333">
        <v>0</v>
      </c>
      <c r="AE34" s="333">
        <v>0</v>
      </c>
      <c r="AF34" s="333">
        <v>0</v>
      </c>
      <c r="AG34" s="333">
        <v>0</v>
      </c>
      <c r="AH34" s="169"/>
      <c r="AI34" s="397" t="s">
        <v>192</v>
      </c>
      <c r="AJ34" s="333">
        <v>0</v>
      </c>
      <c r="AK34" s="333">
        <v>0</v>
      </c>
      <c r="AL34" s="333">
        <v>0</v>
      </c>
      <c r="AM34" s="333">
        <v>0</v>
      </c>
      <c r="AN34" s="333">
        <v>0</v>
      </c>
      <c r="AO34" s="333">
        <v>0</v>
      </c>
    </row>
    <row r="35" spans="1:41" ht="15.75">
      <c r="A35" s="333">
        <v>29</v>
      </c>
      <c r="B35" s="3" t="s">
        <v>161</v>
      </c>
      <c r="C35" s="401">
        <v>100004400</v>
      </c>
      <c r="D35" s="329">
        <v>0</v>
      </c>
      <c r="E35" s="329">
        <v>66</v>
      </c>
      <c r="F35" s="329">
        <v>0</v>
      </c>
      <c r="G35" s="329">
        <v>0</v>
      </c>
      <c r="H35" s="329">
        <v>66</v>
      </c>
      <c r="I35" s="329">
        <v>0</v>
      </c>
      <c r="J35" s="329">
        <v>55</v>
      </c>
      <c r="K35" s="333">
        <v>55</v>
      </c>
      <c r="L35" s="333"/>
      <c r="M35" s="208"/>
      <c r="N35" s="401">
        <v>100004400</v>
      </c>
      <c r="O35" s="329">
        <v>0</v>
      </c>
      <c r="P35" s="329">
        <v>0</v>
      </c>
      <c r="Q35" s="329">
        <v>66</v>
      </c>
      <c r="R35" s="333">
        <v>66</v>
      </c>
      <c r="S35" s="333">
        <v>4577653</v>
      </c>
      <c r="T35" s="335">
        <v>4.05</v>
      </c>
      <c r="U35" s="165">
        <f>VLOOKUP(N35,'[2]154'!$C$9:$T$554,18,0)</f>
        <v>66</v>
      </c>
      <c r="V35" s="401">
        <v>100004400</v>
      </c>
      <c r="W35" s="406">
        <v>55</v>
      </c>
      <c r="X35" s="405">
        <v>86370.818181818177</v>
      </c>
      <c r="Y35" s="406">
        <v>4750395</v>
      </c>
      <c r="Z35" s="3"/>
      <c r="AA35" s="401">
        <v>100004400</v>
      </c>
      <c r="AB35" s="329">
        <v>0</v>
      </c>
      <c r="AC35" s="329">
        <v>0</v>
      </c>
      <c r="AD35" s="329">
        <v>66</v>
      </c>
      <c r="AE35" s="329">
        <v>66</v>
      </c>
      <c r="AF35" s="329">
        <v>53</v>
      </c>
      <c r="AG35" s="329">
        <v>1905620</v>
      </c>
      <c r="AH35" s="3"/>
      <c r="AI35" s="401">
        <v>100004400</v>
      </c>
      <c r="AJ35" s="329">
        <v>0</v>
      </c>
      <c r="AK35" s="329">
        <v>0</v>
      </c>
      <c r="AL35" s="329">
        <v>66</v>
      </c>
      <c r="AM35" s="329">
        <v>66</v>
      </c>
      <c r="AN35" s="329">
        <v>53</v>
      </c>
      <c r="AO35" s="329">
        <v>2672033</v>
      </c>
    </row>
    <row r="36" spans="1:41" s="211" customFormat="1" ht="15.75">
      <c r="A36" s="333">
        <v>30</v>
      </c>
      <c r="B36" s="169" t="s">
        <v>161</v>
      </c>
      <c r="C36" s="400">
        <v>100008889</v>
      </c>
      <c r="D36" s="333">
        <v>0</v>
      </c>
      <c r="E36" s="333">
        <v>164</v>
      </c>
      <c r="F36" s="333">
        <v>0</v>
      </c>
      <c r="G36" s="333">
        <v>0</v>
      </c>
      <c r="H36" s="333">
        <v>164</v>
      </c>
      <c r="I36" s="333">
        <v>0</v>
      </c>
      <c r="J36" s="333">
        <v>103</v>
      </c>
      <c r="K36" s="333">
        <v>103</v>
      </c>
      <c r="L36" s="333"/>
      <c r="M36" s="165"/>
      <c r="N36" s="400">
        <v>100008889</v>
      </c>
      <c r="O36" s="333">
        <v>0</v>
      </c>
      <c r="P36" s="333">
        <v>0</v>
      </c>
      <c r="Q36" s="333">
        <v>164</v>
      </c>
      <c r="R36" s="333">
        <v>164</v>
      </c>
      <c r="S36" s="333">
        <v>5575665</v>
      </c>
      <c r="T36" s="334">
        <v>2</v>
      </c>
      <c r="U36" s="165">
        <f>VLOOKUP(N36,'[2]154'!$C$9:$T$554,18,0)</f>
        <v>164</v>
      </c>
      <c r="V36" s="400">
        <v>100008889</v>
      </c>
      <c r="W36" s="404">
        <v>103</v>
      </c>
      <c r="X36" s="405">
        <v>42562.320388349515</v>
      </c>
      <c r="Y36" s="404">
        <v>4383919</v>
      </c>
      <c r="Z36" s="169"/>
      <c r="AA36" s="400">
        <v>100008889</v>
      </c>
      <c r="AB36" s="333">
        <v>0</v>
      </c>
      <c r="AC36" s="333">
        <v>0</v>
      </c>
      <c r="AD36" s="333">
        <v>164</v>
      </c>
      <c r="AE36" s="333">
        <v>164</v>
      </c>
      <c r="AF36" s="333">
        <v>131</v>
      </c>
      <c r="AG36" s="333">
        <v>2334808</v>
      </c>
      <c r="AH36" s="169"/>
      <c r="AI36" s="400">
        <v>100008889</v>
      </c>
      <c r="AJ36" s="333">
        <v>0</v>
      </c>
      <c r="AK36" s="333">
        <v>0</v>
      </c>
      <c r="AL36" s="333">
        <v>164</v>
      </c>
      <c r="AM36" s="333">
        <v>164</v>
      </c>
      <c r="AN36" s="333">
        <v>131</v>
      </c>
      <c r="AO36" s="333">
        <v>3240857</v>
      </c>
    </row>
    <row r="37" spans="1:41" s="211" customFormat="1" ht="15.75">
      <c r="A37" s="333">
        <v>31</v>
      </c>
      <c r="B37" s="169" t="s">
        <v>161</v>
      </c>
      <c r="C37" s="400">
        <v>100010579</v>
      </c>
      <c r="D37" s="333">
        <v>3460</v>
      </c>
      <c r="E37" s="333">
        <v>566</v>
      </c>
      <c r="F37" s="333">
        <v>39</v>
      </c>
      <c r="G37" s="333">
        <v>173</v>
      </c>
      <c r="H37" s="333">
        <v>354</v>
      </c>
      <c r="I37" s="333">
        <v>489</v>
      </c>
      <c r="J37" s="333">
        <v>0</v>
      </c>
      <c r="K37" s="333">
        <v>489</v>
      </c>
      <c r="L37" s="333"/>
      <c r="M37" s="165"/>
      <c r="N37" s="400">
        <v>100010579</v>
      </c>
      <c r="O37" s="333">
        <v>39</v>
      </c>
      <c r="P37" s="333">
        <v>173</v>
      </c>
      <c r="Q37" s="333">
        <v>354</v>
      </c>
      <c r="R37" s="333">
        <v>566</v>
      </c>
      <c r="S37" s="333">
        <v>14831260</v>
      </c>
      <c r="T37" s="334">
        <v>1.98</v>
      </c>
      <c r="U37" s="165">
        <f>VLOOKUP(N37,'[2]154'!$C$9:$T$554,18,0)</f>
        <v>566</v>
      </c>
      <c r="V37" s="400">
        <v>100010579</v>
      </c>
      <c r="W37" s="404">
        <v>489</v>
      </c>
      <c r="X37" s="405">
        <v>39158.988847583641</v>
      </c>
      <c r="Y37" s="404">
        <f>21067536-1918790</f>
        <v>19148746</v>
      </c>
      <c r="Z37" s="169"/>
      <c r="AA37" s="400">
        <v>100010579</v>
      </c>
      <c r="AB37" s="333">
        <v>39</v>
      </c>
      <c r="AC37" s="333">
        <v>173</v>
      </c>
      <c r="AD37" s="333">
        <v>354</v>
      </c>
      <c r="AE37" s="333">
        <v>566</v>
      </c>
      <c r="AF37" s="333">
        <v>378</v>
      </c>
      <c r="AG37" s="333">
        <v>5489196</v>
      </c>
      <c r="AH37" s="169"/>
      <c r="AI37" s="400">
        <v>100010579</v>
      </c>
      <c r="AJ37" s="333">
        <v>39</v>
      </c>
      <c r="AK37" s="333">
        <v>173</v>
      </c>
      <c r="AL37" s="333">
        <v>354</v>
      </c>
      <c r="AM37" s="333">
        <v>566</v>
      </c>
      <c r="AN37" s="333">
        <v>378</v>
      </c>
      <c r="AO37" s="333">
        <v>9342064</v>
      </c>
    </row>
    <row r="38" spans="1:41" ht="15.75">
      <c r="A38" s="333">
        <v>32</v>
      </c>
      <c r="B38" s="3" t="s">
        <v>161</v>
      </c>
      <c r="C38" s="401">
        <v>100006911</v>
      </c>
      <c r="D38" s="329">
        <v>0</v>
      </c>
      <c r="E38" s="329">
        <v>0</v>
      </c>
      <c r="F38" s="329">
        <v>0</v>
      </c>
      <c r="G38" s="329">
        <v>0</v>
      </c>
      <c r="H38" s="329">
        <v>0</v>
      </c>
      <c r="I38" s="329">
        <v>0</v>
      </c>
      <c r="J38" s="329">
        <v>34</v>
      </c>
      <c r="K38" s="333">
        <v>34</v>
      </c>
      <c r="L38" s="333"/>
      <c r="M38" s="208"/>
      <c r="N38" s="401">
        <v>100006911</v>
      </c>
      <c r="O38" s="329">
        <v>0</v>
      </c>
      <c r="P38" s="329">
        <v>0</v>
      </c>
      <c r="Q38" s="329">
        <v>0</v>
      </c>
      <c r="R38" s="333">
        <v>0</v>
      </c>
      <c r="S38" s="333">
        <v>0</v>
      </c>
      <c r="T38" s="335">
        <v>2.2000000000000002</v>
      </c>
      <c r="U38" s="165">
        <f>VLOOKUP(N38,'[2]154'!$C$9:$T$554,18,0)</f>
        <v>0</v>
      </c>
      <c r="V38" s="401">
        <v>100006911</v>
      </c>
      <c r="W38" s="406">
        <v>34</v>
      </c>
      <c r="X38" s="405">
        <v>38908.352941176468</v>
      </c>
      <c r="Y38" s="406">
        <v>1322884</v>
      </c>
      <c r="Z38" s="3"/>
      <c r="AA38" s="401">
        <v>100006911</v>
      </c>
      <c r="AB38" s="329">
        <v>0</v>
      </c>
      <c r="AC38" s="329">
        <v>0</v>
      </c>
      <c r="AD38" s="329">
        <v>0</v>
      </c>
      <c r="AE38" s="329">
        <v>0</v>
      </c>
      <c r="AF38" s="329">
        <v>0</v>
      </c>
      <c r="AG38" s="329">
        <v>0</v>
      </c>
      <c r="AH38" s="3"/>
      <c r="AI38" s="401">
        <v>100006911</v>
      </c>
      <c r="AJ38" s="329">
        <v>0</v>
      </c>
      <c r="AK38" s="329">
        <v>0</v>
      </c>
      <c r="AL38" s="329">
        <v>0</v>
      </c>
      <c r="AM38" s="329">
        <v>0</v>
      </c>
      <c r="AN38" s="329">
        <v>0</v>
      </c>
      <c r="AO38" s="329">
        <v>0</v>
      </c>
    </row>
    <row r="39" spans="1:41" s="211" customFormat="1" ht="15.75">
      <c r="A39" s="333">
        <v>33</v>
      </c>
      <c r="B39" s="169" t="s">
        <v>108</v>
      </c>
      <c r="C39" s="400">
        <v>174034722</v>
      </c>
      <c r="D39" s="333">
        <v>0</v>
      </c>
      <c r="E39" s="333">
        <v>182</v>
      </c>
      <c r="F39" s="333">
        <v>0</v>
      </c>
      <c r="G39" s="333">
        <v>0</v>
      </c>
      <c r="H39" s="333">
        <v>182</v>
      </c>
      <c r="I39" s="333">
        <v>0</v>
      </c>
      <c r="J39" s="333">
        <v>40</v>
      </c>
      <c r="K39" s="333">
        <v>40</v>
      </c>
      <c r="L39" s="333"/>
      <c r="M39" s="165"/>
      <c r="N39" s="400">
        <v>174034722</v>
      </c>
      <c r="O39" s="333">
        <v>0</v>
      </c>
      <c r="P39" s="333">
        <v>0</v>
      </c>
      <c r="Q39" s="333">
        <v>182</v>
      </c>
      <c r="R39" s="333">
        <v>182</v>
      </c>
      <c r="S39" s="333">
        <v>10751887</v>
      </c>
      <c r="T39" s="334">
        <v>3.46</v>
      </c>
      <c r="U39" s="165">
        <f>VLOOKUP(N39,'[2]154'!$C$9:$T$554,18,0)</f>
        <v>182</v>
      </c>
      <c r="V39" s="400">
        <v>174034722</v>
      </c>
      <c r="W39" s="404">
        <v>40</v>
      </c>
      <c r="X39" s="405">
        <v>73643.05</v>
      </c>
      <c r="Y39" s="404">
        <v>2945722</v>
      </c>
      <c r="Z39" s="169"/>
      <c r="AA39" s="400">
        <v>174034722</v>
      </c>
      <c r="AB39" s="333">
        <v>0</v>
      </c>
      <c r="AC39" s="333">
        <v>0</v>
      </c>
      <c r="AD39" s="333">
        <v>182</v>
      </c>
      <c r="AE39" s="333">
        <v>182</v>
      </c>
      <c r="AF39" s="333">
        <v>146</v>
      </c>
      <c r="AG39" s="333">
        <v>4500604</v>
      </c>
      <c r="AH39" s="169"/>
      <c r="AI39" s="400">
        <v>174034722</v>
      </c>
      <c r="AJ39" s="333">
        <v>0</v>
      </c>
      <c r="AK39" s="333">
        <v>0</v>
      </c>
      <c r="AL39" s="333">
        <v>182</v>
      </c>
      <c r="AM39" s="333">
        <v>182</v>
      </c>
      <c r="AN39" s="333">
        <v>146</v>
      </c>
      <c r="AO39" s="333">
        <v>6251283</v>
      </c>
    </row>
    <row r="40" spans="1:41" ht="15.75">
      <c r="A40" s="333">
        <v>34</v>
      </c>
      <c r="B40" s="3" t="s">
        <v>108</v>
      </c>
      <c r="C40" s="401">
        <v>174034719</v>
      </c>
      <c r="D40" s="329">
        <v>0</v>
      </c>
      <c r="E40" s="329">
        <v>129</v>
      </c>
      <c r="F40" s="329">
        <v>0</v>
      </c>
      <c r="G40" s="329">
        <v>0</v>
      </c>
      <c r="H40" s="329">
        <v>129</v>
      </c>
      <c r="I40" s="329">
        <v>0</v>
      </c>
      <c r="J40" s="329">
        <v>17</v>
      </c>
      <c r="K40" s="333">
        <v>17</v>
      </c>
      <c r="L40" s="333"/>
      <c r="M40" s="165"/>
      <c r="N40" s="401">
        <v>174034719</v>
      </c>
      <c r="O40" s="329">
        <v>0</v>
      </c>
      <c r="P40" s="329">
        <v>0</v>
      </c>
      <c r="Q40" s="329">
        <v>129</v>
      </c>
      <c r="R40" s="333">
        <v>129</v>
      </c>
      <c r="S40" s="333">
        <v>7264411</v>
      </c>
      <c r="T40" s="335">
        <v>3.26</v>
      </c>
      <c r="U40" s="165">
        <f>VLOOKUP(N40,'[2]154'!$C$9:$T$554,18,0)</f>
        <v>129</v>
      </c>
      <c r="V40" s="401">
        <v>174034719</v>
      </c>
      <c r="W40" s="406">
        <v>17</v>
      </c>
      <c r="X40" s="405">
        <v>70528.23529411765</v>
      </c>
      <c r="Y40" s="406">
        <v>1198980</v>
      </c>
      <c r="Z40" s="3"/>
      <c r="AA40" s="401">
        <v>174034719</v>
      </c>
      <c r="AB40" s="329">
        <v>0</v>
      </c>
      <c r="AC40" s="329">
        <v>0</v>
      </c>
      <c r="AD40" s="329">
        <v>129</v>
      </c>
      <c r="AE40" s="329">
        <v>129</v>
      </c>
      <c r="AF40" s="329">
        <v>103</v>
      </c>
      <c r="AG40" s="329">
        <v>2903453</v>
      </c>
      <c r="AH40" s="3"/>
      <c r="AI40" s="401">
        <v>174034719</v>
      </c>
      <c r="AJ40" s="329">
        <v>0</v>
      </c>
      <c r="AK40" s="329">
        <v>0</v>
      </c>
      <c r="AL40" s="329">
        <v>129</v>
      </c>
      <c r="AM40" s="329">
        <v>129</v>
      </c>
      <c r="AN40" s="329">
        <v>103</v>
      </c>
      <c r="AO40" s="329">
        <v>4360958</v>
      </c>
    </row>
    <row r="41" spans="1:41" s="211" customFormat="1" ht="15.75">
      <c r="A41" s="333">
        <v>35</v>
      </c>
      <c r="B41" s="169" t="s">
        <v>108</v>
      </c>
      <c r="C41" s="400">
        <v>174034721</v>
      </c>
      <c r="D41" s="333">
        <v>0</v>
      </c>
      <c r="E41" s="333">
        <v>109</v>
      </c>
      <c r="F41" s="333">
        <v>0</v>
      </c>
      <c r="G41" s="333">
        <v>0</v>
      </c>
      <c r="H41" s="333">
        <v>109</v>
      </c>
      <c r="I41" s="333">
        <v>0</v>
      </c>
      <c r="J41" s="333">
        <v>84</v>
      </c>
      <c r="K41" s="333">
        <v>84</v>
      </c>
      <c r="L41" s="333"/>
      <c r="M41" s="208"/>
      <c r="N41" s="400">
        <v>174034721</v>
      </c>
      <c r="O41" s="333">
        <v>0</v>
      </c>
      <c r="P41" s="333">
        <v>0</v>
      </c>
      <c r="Q41" s="333">
        <v>109</v>
      </c>
      <c r="R41" s="333">
        <v>109</v>
      </c>
      <c r="S41" s="333">
        <v>7454935</v>
      </c>
      <c r="T41" s="334">
        <v>3.96</v>
      </c>
      <c r="U41" s="165">
        <f>VLOOKUP(N41,'[2]154'!$C$9:$T$554,18,0)</f>
        <v>109</v>
      </c>
      <c r="V41" s="400">
        <v>174034721</v>
      </c>
      <c r="W41" s="404">
        <v>84</v>
      </c>
      <c r="X41" s="405">
        <v>83663.25</v>
      </c>
      <c r="Y41" s="404">
        <v>7027713</v>
      </c>
      <c r="Z41" s="169"/>
      <c r="AA41" s="400">
        <v>174034721</v>
      </c>
      <c r="AB41" s="333">
        <v>0</v>
      </c>
      <c r="AC41" s="333">
        <v>0</v>
      </c>
      <c r="AD41" s="333">
        <v>109</v>
      </c>
      <c r="AE41" s="333">
        <v>109</v>
      </c>
      <c r="AF41" s="333">
        <v>87</v>
      </c>
      <c r="AG41" s="333">
        <v>2979602</v>
      </c>
      <c r="AH41" s="169"/>
      <c r="AI41" s="400">
        <v>174034721</v>
      </c>
      <c r="AJ41" s="333">
        <v>0</v>
      </c>
      <c r="AK41" s="333">
        <v>0</v>
      </c>
      <c r="AL41" s="333">
        <v>109</v>
      </c>
      <c r="AM41" s="333">
        <v>109</v>
      </c>
      <c r="AN41" s="333">
        <v>87</v>
      </c>
      <c r="AO41" s="333">
        <v>4475333</v>
      </c>
    </row>
    <row r="42" spans="1:41" s="211" customFormat="1" ht="15.75">
      <c r="A42" s="333">
        <v>36</v>
      </c>
      <c r="B42" s="169" t="s">
        <v>161</v>
      </c>
      <c r="C42" s="400">
        <v>100003226</v>
      </c>
      <c r="D42" s="333">
        <v>0</v>
      </c>
      <c r="E42" s="333">
        <v>101</v>
      </c>
      <c r="F42" s="333">
        <v>0</v>
      </c>
      <c r="G42" s="333">
        <v>0</v>
      </c>
      <c r="H42" s="333">
        <v>101</v>
      </c>
      <c r="I42" s="333">
        <v>0</v>
      </c>
      <c r="J42" s="333">
        <v>91</v>
      </c>
      <c r="K42" s="333">
        <v>91</v>
      </c>
      <c r="L42" s="333"/>
      <c r="M42" s="165"/>
      <c r="N42" s="400">
        <v>100003226</v>
      </c>
      <c r="O42" s="333">
        <v>0</v>
      </c>
      <c r="P42" s="333">
        <v>0</v>
      </c>
      <c r="Q42" s="333">
        <v>101</v>
      </c>
      <c r="R42" s="333">
        <v>101</v>
      </c>
      <c r="S42" s="333">
        <v>6659079</v>
      </c>
      <c r="T42" s="334">
        <v>3.8</v>
      </c>
      <c r="U42" s="165">
        <f>VLOOKUP(N42,'[2]154'!$C$9:$T$554,18,0)</f>
        <v>101</v>
      </c>
      <c r="V42" s="400">
        <v>100003226</v>
      </c>
      <c r="W42" s="404">
        <v>91</v>
      </c>
      <c r="X42" s="405">
        <v>82210.857142857145</v>
      </c>
      <c r="Y42" s="404">
        <v>7481188</v>
      </c>
      <c r="Z42" s="169"/>
      <c r="AA42" s="400">
        <v>100003226</v>
      </c>
      <c r="AB42" s="333">
        <v>0</v>
      </c>
      <c r="AC42" s="333">
        <v>0</v>
      </c>
      <c r="AD42" s="333">
        <v>101</v>
      </c>
      <c r="AE42" s="333">
        <v>101</v>
      </c>
      <c r="AF42" s="333">
        <v>81</v>
      </c>
      <c r="AG42" s="333">
        <v>2661513</v>
      </c>
      <c r="AH42" s="169"/>
      <c r="AI42" s="400">
        <v>100003226</v>
      </c>
      <c r="AJ42" s="333">
        <v>0</v>
      </c>
      <c r="AK42" s="333">
        <v>0</v>
      </c>
      <c r="AL42" s="333">
        <v>101</v>
      </c>
      <c r="AM42" s="333">
        <v>101</v>
      </c>
      <c r="AN42" s="333">
        <v>81</v>
      </c>
      <c r="AO42" s="333">
        <v>3997566</v>
      </c>
    </row>
    <row r="43" spans="1:41" ht="15.75">
      <c r="A43" s="333">
        <v>37</v>
      </c>
      <c r="B43" s="3" t="s">
        <v>108</v>
      </c>
      <c r="C43" s="401">
        <v>174034717</v>
      </c>
      <c r="D43" s="329">
        <v>0</v>
      </c>
      <c r="E43" s="329">
        <v>99</v>
      </c>
      <c r="F43" s="329">
        <v>0</v>
      </c>
      <c r="G43" s="329">
        <v>0</v>
      </c>
      <c r="H43" s="329">
        <v>99</v>
      </c>
      <c r="I43" s="329">
        <v>0</v>
      </c>
      <c r="J43" s="329">
        <v>185</v>
      </c>
      <c r="K43" s="333">
        <v>185</v>
      </c>
      <c r="L43" s="333"/>
      <c r="M43" s="165"/>
      <c r="N43" s="401">
        <v>174034717</v>
      </c>
      <c r="O43" s="329">
        <v>0</v>
      </c>
      <c r="P43" s="329">
        <v>0</v>
      </c>
      <c r="Q43" s="329">
        <v>99</v>
      </c>
      <c r="R43" s="333">
        <v>99</v>
      </c>
      <c r="S43" s="333">
        <v>7964501</v>
      </c>
      <c r="T43" s="335">
        <v>4.66</v>
      </c>
      <c r="U43" s="165">
        <f>VLOOKUP(N43,'[2]154'!$C$9:$T$554,18,0)</f>
        <v>99</v>
      </c>
      <c r="V43" s="401">
        <v>174034717</v>
      </c>
      <c r="W43" s="406">
        <v>185</v>
      </c>
      <c r="X43" s="405">
        <v>100816.47027027026</v>
      </c>
      <c r="Y43" s="406">
        <v>18651047</v>
      </c>
      <c r="Z43" s="3"/>
      <c r="AA43" s="401">
        <v>174034717</v>
      </c>
      <c r="AB43" s="329">
        <v>0</v>
      </c>
      <c r="AC43" s="329">
        <v>0</v>
      </c>
      <c r="AD43" s="329">
        <v>99</v>
      </c>
      <c r="AE43" s="329">
        <v>99</v>
      </c>
      <c r="AF43" s="329">
        <v>79</v>
      </c>
      <c r="AG43" s="329">
        <v>3183266</v>
      </c>
      <c r="AH43" s="3"/>
      <c r="AI43" s="401">
        <v>174034717</v>
      </c>
      <c r="AJ43" s="329">
        <v>0</v>
      </c>
      <c r="AK43" s="329">
        <v>0</v>
      </c>
      <c r="AL43" s="329">
        <v>99</v>
      </c>
      <c r="AM43" s="329">
        <v>99</v>
      </c>
      <c r="AN43" s="329">
        <v>79</v>
      </c>
      <c r="AO43" s="329">
        <v>4781235</v>
      </c>
    </row>
    <row r="44" spans="1:41" ht="15.75">
      <c r="A44" s="333">
        <v>38</v>
      </c>
      <c r="B44" s="3" t="s">
        <v>161</v>
      </c>
      <c r="C44" s="401">
        <v>76710</v>
      </c>
      <c r="D44" s="329">
        <v>0</v>
      </c>
      <c r="E44" s="329">
        <v>0</v>
      </c>
      <c r="F44" s="329">
        <v>0</v>
      </c>
      <c r="G44" s="329">
        <v>0</v>
      </c>
      <c r="H44" s="329">
        <v>0</v>
      </c>
      <c r="I44" s="329">
        <v>0</v>
      </c>
      <c r="J44" s="329">
        <v>19</v>
      </c>
      <c r="K44" s="333">
        <v>19</v>
      </c>
      <c r="L44" s="333"/>
      <c r="M44" s="208"/>
      <c r="N44" s="401">
        <v>76710</v>
      </c>
      <c r="O44" s="329">
        <v>0</v>
      </c>
      <c r="P44" s="329">
        <v>0</v>
      </c>
      <c r="Q44" s="329">
        <v>0</v>
      </c>
      <c r="R44" s="333">
        <v>0</v>
      </c>
      <c r="S44" s="333">
        <v>0</v>
      </c>
      <c r="T44" s="335">
        <v>2.2000000000000002</v>
      </c>
      <c r="U44" s="165">
        <f>VLOOKUP(N44,'[2]154'!$C$9:$T$554,18,0)</f>
        <v>0</v>
      </c>
      <c r="V44" s="401">
        <v>76710</v>
      </c>
      <c r="W44" s="406">
        <v>19</v>
      </c>
      <c r="X44" s="405">
        <v>38824.526315789473</v>
      </c>
      <c r="Y44" s="406">
        <v>737666</v>
      </c>
      <c r="Z44" s="3"/>
      <c r="AA44" s="401">
        <v>76710</v>
      </c>
      <c r="AB44" s="329">
        <v>0</v>
      </c>
      <c r="AC44" s="329">
        <v>0</v>
      </c>
      <c r="AD44" s="329">
        <v>0</v>
      </c>
      <c r="AE44" s="329">
        <v>0</v>
      </c>
      <c r="AF44" s="329">
        <v>0</v>
      </c>
      <c r="AG44" s="329">
        <v>0</v>
      </c>
      <c r="AH44" s="3"/>
      <c r="AI44" s="401">
        <v>76710</v>
      </c>
      <c r="AJ44" s="329">
        <v>0</v>
      </c>
      <c r="AK44" s="329">
        <v>0</v>
      </c>
      <c r="AL44" s="329">
        <v>0</v>
      </c>
      <c r="AM44" s="329">
        <v>0</v>
      </c>
      <c r="AN44" s="329">
        <v>0</v>
      </c>
      <c r="AO44" s="329">
        <v>0</v>
      </c>
    </row>
    <row r="45" spans="1:41" ht="15.75">
      <c r="A45" s="333">
        <v>39</v>
      </c>
      <c r="B45" s="3" t="s">
        <v>161</v>
      </c>
      <c r="C45" s="398" t="s">
        <v>163</v>
      </c>
      <c r="D45" s="329">
        <v>0</v>
      </c>
      <c r="E45" s="329">
        <v>0</v>
      </c>
      <c r="F45" s="329">
        <v>0</v>
      </c>
      <c r="G45" s="329">
        <v>0</v>
      </c>
      <c r="H45" s="329">
        <v>0</v>
      </c>
      <c r="I45" s="329">
        <v>0</v>
      </c>
      <c r="J45" s="329">
        <v>38</v>
      </c>
      <c r="K45" s="333">
        <v>38</v>
      </c>
      <c r="L45" s="333"/>
      <c r="M45" s="165"/>
      <c r="N45" s="398" t="s">
        <v>163</v>
      </c>
      <c r="O45" s="329">
        <v>0</v>
      </c>
      <c r="P45" s="329">
        <v>0</v>
      </c>
      <c r="Q45" s="329">
        <v>0</v>
      </c>
      <c r="R45" s="333">
        <v>0</v>
      </c>
      <c r="S45" s="333">
        <v>0</v>
      </c>
      <c r="T45" s="335">
        <v>1.65</v>
      </c>
      <c r="U45" s="165">
        <f>VLOOKUP(N45,'[2]154'!$C$9:$T$554,18,0)</f>
        <v>0</v>
      </c>
      <c r="V45" s="398" t="s">
        <v>163</v>
      </c>
      <c r="W45" s="406">
        <v>38</v>
      </c>
      <c r="X45" s="405">
        <v>35681.552631578947</v>
      </c>
      <c r="Y45" s="406">
        <v>1355899</v>
      </c>
      <c r="Z45" s="3"/>
      <c r="AA45" s="398" t="s">
        <v>163</v>
      </c>
      <c r="AB45" s="329">
        <v>0</v>
      </c>
      <c r="AC45" s="329">
        <v>0</v>
      </c>
      <c r="AD45" s="329">
        <v>0</v>
      </c>
      <c r="AE45" s="329">
        <v>0</v>
      </c>
      <c r="AF45" s="329">
        <v>0</v>
      </c>
      <c r="AG45" s="329">
        <v>0</v>
      </c>
      <c r="AH45" s="3"/>
      <c r="AI45" s="398" t="s">
        <v>163</v>
      </c>
      <c r="AJ45" s="329">
        <v>0</v>
      </c>
      <c r="AK45" s="329">
        <v>0</v>
      </c>
      <c r="AL45" s="329">
        <v>0</v>
      </c>
      <c r="AM45" s="329">
        <v>0</v>
      </c>
      <c r="AN45" s="329">
        <v>0</v>
      </c>
      <c r="AO45" s="329">
        <v>0</v>
      </c>
    </row>
    <row r="46" spans="1:41" s="211" customFormat="1" ht="15.75">
      <c r="A46" s="333">
        <v>40</v>
      </c>
      <c r="B46" s="169" t="s">
        <v>161</v>
      </c>
      <c r="C46" s="397" t="s">
        <v>164</v>
      </c>
      <c r="D46" s="333">
        <v>0</v>
      </c>
      <c r="E46" s="333">
        <v>0</v>
      </c>
      <c r="F46" s="333">
        <v>0</v>
      </c>
      <c r="G46" s="333">
        <v>0</v>
      </c>
      <c r="H46" s="333">
        <v>0</v>
      </c>
      <c r="I46" s="333">
        <v>0</v>
      </c>
      <c r="J46" s="333">
        <v>33</v>
      </c>
      <c r="K46" s="333">
        <v>33</v>
      </c>
      <c r="L46" s="333"/>
      <c r="M46" s="165"/>
      <c r="N46" s="397" t="s">
        <v>164</v>
      </c>
      <c r="O46" s="333">
        <v>0</v>
      </c>
      <c r="P46" s="333">
        <v>0</v>
      </c>
      <c r="Q46" s="333">
        <v>0</v>
      </c>
      <c r="R46" s="333">
        <v>0</v>
      </c>
      <c r="S46" s="333">
        <v>0</v>
      </c>
      <c r="T46" s="334">
        <v>3.8</v>
      </c>
      <c r="U46" s="165">
        <f>VLOOKUP(N46,'[2]154'!$C$9:$T$554,18,0)</f>
        <v>0</v>
      </c>
      <c r="V46" s="397" t="s">
        <v>164</v>
      </c>
      <c r="W46" s="404">
        <v>33</v>
      </c>
      <c r="X46" s="405">
        <v>82209.696969696975</v>
      </c>
      <c r="Y46" s="404">
        <v>2712920</v>
      </c>
      <c r="Z46" s="169"/>
      <c r="AA46" s="397" t="s">
        <v>164</v>
      </c>
      <c r="AB46" s="333">
        <v>0</v>
      </c>
      <c r="AC46" s="333">
        <v>0</v>
      </c>
      <c r="AD46" s="333">
        <v>0</v>
      </c>
      <c r="AE46" s="333">
        <v>0</v>
      </c>
      <c r="AF46" s="333">
        <v>0</v>
      </c>
      <c r="AG46" s="333">
        <v>0</v>
      </c>
      <c r="AH46" s="169"/>
      <c r="AI46" s="397" t="s">
        <v>164</v>
      </c>
      <c r="AJ46" s="333">
        <v>0</v>
      </c>
      <c r="AK46" s="333">
        <v>0</v>
      </c>
      <c r="AL46" s="333">
        <v>0</v>
      </c>
      <c r="AM46" s="333">
        <v>0</v>
      </c>
      <c r="AN46" s="333">
        <v>0</v>
      </c>
      <c r="AO46" s="333">
        <v>0</v>
      </c>
    </row>
    <row r="47" spans="1:41" ht="15.75">
      <c r="A47" s="333">
        <v>41</v>
      </c>
      <c r="B47" s="3" t="s">
        <v>161</v>
      </c>
      <c r="C47" s="398" t="s">
        <v>165</v>
      </c>
      <c r="D47" s="329">
        <v>0</v>
      </c>
      <c r="E47" s="329">
        <v>179</v>
      </c>
      <c r="F47" s="329">
        <v>0</v>
      </c>
      <c r="G47" s="329">
        <v>0</v>
      </c>
      <c r="H47" s="329">
        <v>179</v>
      </c>
      <c r="I47" s="329">
        <v>0</v>
      </c>
      <c r="J47" s="329">
        <v>0</v>
      </c>
      <c r="K47" s="333">
        <v>0</v>
      </c>
      <c r="L47" s="333"/>
      <c r="M47" s="208"/>
      <c r="N47" s="398" t="s">
        <v>165</v>
      </c>
      <c r="O47" s="329">
        <v>0</v>
      </c>
      <c r="P47" s="329">
        <v>0</v>
      </c>
      <c r="Q47" s="329">
        <v>179</v>
      </c>
      <c r="R47" s="333">
        <v>179</v>
      </c>
      <c r="S47" s="333">
        <v>6187449</v>
      </c>
      <c r="T47" s="335">
        <v>2</v>
      </c>
      <c r="U47" s="165">
        <f>VLOOKUP(N47,'[2]154'!$C$9:$T$554,18,0)</f>
        <v>179</v>
      </c>
      <c r="V47" s="398" t="s">
        <v>165</v>
      </c>
      <c r="W47" s="406">
        <v>0</v>
      </c>
      <c r="X47" s="405">
        <v>0</v>
      </c>
      <c r="Y47" s="406">
        <v>0</v>
      </c>
      <c r="Z47" s="3"/>
      <c r="AA47" s="398" t="s">
        <v>165</v>
      </c>
      <c r="AB47" s="329">
        <v>0</v>
      </c>
      <c r="AC47" s="329">
        <v>0</v>
      </c>
      <c r="AD47" s="329">
        <v>179</v>
      </c>
      <c r="AE47" s="329">
        <v>179</v>
      </c>
      <c r="AF47" s="329">
        <v>143</v>
      </c>
      <c r="AG47" s="329">
        <v>2473011</v>
      </c>
      <c r="AH47" s="3"/>
      <c r="AI47" s="398" t="s">
        <v>165</v>
      </c>
      <c r="AJ47" s="329">
        <v>0</v>
      </c>
      <c r="AK47" s="329">
        <v>0</v>
      </c>
      <c r="AL47" s="329">
        <v>179</v>
      </c>
      <c r="AM47" s="329">
        <v>179</v>
      </c>
      <c r="AN47" s="329">
        <v>143</v>
      </c>
      <c r="AO47" s="329">
        <v>3714438</v>
      </c>
    </row>
    <row r="48" spans="1:41" s="211" customFormat="1" ht="15.75">
      <c r="A48" s="333">
        <v>42</v>
      </c>
      <c r="B48" s="169" t="s">
        <v>107</v>
      </c>
      <c r="C48" s="397" t="s">
        <v>166</v>
      </c>
      <c r="D48" s="333">
        <v>0</v>
      </c>
      <c r="E48" s="333">
        <v>71</v>
      </c>
      <c r="F48" s="333">
        <v>0</v>
      </c>
      <c r="G48" s="333">
        <v>0</v>
      </c>
      <c r="H48" s="333">
        <v>71</v>
      </c>
      <c r="I48" s="333">
        <v>0</v>
      </c>
      <c r="J48" s="333">
        <v>27</v>
      </c>
      <c r="K48" s="333">
        <v>27</v>
      </c>
      <c r="L48" s="333"/>
      <c r="M48" s="165"/>
      <c r="N48" s="397" t="s">
        <v>166</v>
      </c>
      <c r="O48" s="333">
        <v>0</v>
      </c>
      <c r="P48" s="333">
        <v>0</v>
      </c>
      <c r="Q48" s="333">
        <v>71</v>
      </c>
      <c r="R48" s="333">
        <v>71</v>
      </c>
      <c r="S48" s="333">
        <v>4747677</v>
      </c>
      <c r="T48" s="334">
        <v>3.5</v>
      </c>
      <c r="U48" s="165">
        <f>VLOOKUP(N48,'[2]154'!$C$9:$T$554,18,0)</f>
        <v>71</v>
      </c>
      <c r="V48" s="397" t="s">
        <v>166</v>
      </c>
      <c r="W48" s="404">
        <v>27</v>
      </c>
      <c r="X48" s="405">
        <v>83292.555555555562</v>
      </c>
      <c r="Y48" s="404">
        <v>2248899</v>
      </c>
      <c r="Z48" s="169"/>
      <c r="AA48" s="397" t="s">
        <v>166</v>
      </c>
      <c r="AB48" s="333">
        <v>0</v>
      </c>
      <c r="AC48" s="333">
        <v>0</v>
      </c>
      <c r="AD48" s="333">
        <v>71</v>
      </c>
      <c r="AE48" s="333">
        <v>71</v>
      </c>
      <c r="AF48" s="333">
        <v>57</v>
      </c>
      <c r="AG48" s="333">
        <v>1897560</v>
      </c>
      <c r="AH48" s="169"/>
      <c r="AI48" s="397" t="s">
        <v>166</v>
      </c>
      <c r="AJ48" s="333">
        <v>0</v>
      </c>
      <c r="AK48" s="333">
        <v>0</v>
      </c>
      <c r="AL48" s="333">
        <v>71</v>
      </c>
      <c r="AM48" s="333">
        <v>71</v>
      </c>
      <c r="AN48" s="333">
        <v>57</v>
      </c>
      <c r="AO48" s="333">
        <v>2850117</v>
      </c>
    </row>
    <row r="49" spans="1:41" ht="15.75">
      <c r="A49" s="333">
        <v>43</v>
      </c>
      <c r="B49" s="169" t="s">
        <v>105</v>
      </c>
      <c r="C49" s="401">
        <v>453280</v>
      </c>
      <c r="D49" s="329">
        <v>0</v>
      </c>
      <c r="E49" s="329">
        <v>196</v>
      </c>
      <c r="F49" s="329">
        <v>0</v>
      </c>
      <c r="G49" s="329">
        <v>0</v>
      </c>
      <c r="H49" s="329">
        <v>196</v>
      </c>
      <c r="I49" s="329">
        <v>0</v>
      </c>
      <c r="J49" s="329">
        <v>25</v>
      </c>
      <c r="K49" s="333">
        <v>25</v>
      </c>
      <c r="L49" s="333"/>
      <c r="M49" s="165"/>
      <c r="N49" s="401">
        <v>453280</v>
      </c>
      <c r="O49" s="329">
        <v>0</v>
      </c>
      <c r="P49" s="329">
        <v>0</v>
      </c>
      <c r="Q49" s="329">
        <v>196</v>
      </c>
      <c r="R49" s="333">
        <v>196</v>
      </c>
      <c r="S49" s="333">
        <v>6283721</v>
      </c>
      <c r="T49" s="335">
        <v>1.85</v>
      </c>
      <c r="U49" s="165">
        <f>VLOOKUP(N49,'[2]154'!$C$9:$T$554,18,0)</f>
        <v>196</v>
      </c>
      <c r="V49" s="401">
        <v>453280</v>
      </c>
      <c r="W49" s="406">
        <v>25</v>
      </c>
      <c r="X49" s="405">
        <v>40023.68</v>
      </c>
      <c r="Y49" s="406">
        <v>1000592</v>
      </c>
      <c r="Z49" s="3"/>
      <c r="AA49" s="401">
        <v>453280</v>
      </c>
      <c r="AB49" s="329">
        <v>0</v>
      </c>
      <c r="AC49" s="329">
        <v>0</v>
      </c>
      <c r="AD49" s="329">
        <v>196</v>
      </c>
      <c r="AE49" s="329">
        <v>196</v>
      </c>
      <c r="AF49" s="329">
        <v>157</v>
      </c>
      <c r="AG49" s="329">
        <v>2511489</v>
      </c>
      <c r="AH49" s="3"/>
      <c r="AI49" s="401">
        <v>453280</v>
      </c>
      <c r="AJ49" s="329">
        <v>0</v>
      </c>
      <c r="AK49" s="329">
        <v>0</v>
      </c>
      <c r="AL49" s="329">
        <v>196</v>
      </c>
      <c r="AM49" s="329">
        <v>196</v>
      </c>
      <c r="AN49" s="329">
        <v>157</v>
      </c>
      <c r="AO49" s="329">
        <v>3772232</v>
      </c>
    </row>
    <row r="50" spans="1:41" ht="15.75">
      <c r="A50" s="333">
        <v>44</v>
      </c>
      <c r="B50" s="3" t="s">
        <v>161</v>
      </c>
      <c r="C50" s="401">
        <v>100003227</v>
      </c>
      <c r="D50" s="329">
        <v>10247</v>
      </c>
      <c r="E50" s="329">
        <v>378</v>
      </c>
      <c r="F50" s="329">
        <v>20</v>
      </c>
      <c r="G50" s="329">
        <v>112</v>
      </c>
      <c r="H50" s="329">
        <v>246</v>
      </c>
      <c r="I50" s="329">
        <v>0</v>
      </c>
      <c r="J50" s="329">
        <v>177</v>
      </c>
      <c r="K50" s="333">
        <v>177</v>
      </c>
      <c r="L50" s="333"/>
      <c r="M50" s="208"/>
      <c r="N50" s="401">
        <v>100003227</v>
      </c>
      <c r="O50" s="329">
        <v>20</v>
      </c>
      <c r="P50" s="329">
        <v>112</v>
      </c>
      <c r="Q50" s="329">
        <v>246</v>
      </c>
      <c r="R50" s="333">
        <v>378</v>
      </c>
      <c r="S50" s="333">
        <v>9502769</v>
      </c>
      <c r="T50" s="335">
        <v>1.9</v>
      </c>
      <c r="U50" s="165">
        <f>VLOOKUP(N50,'[2]154'!$C$9:$T$554,18,0)</f>
        <v>378</v>
      </c>
      <c r="V50" s="401">
        <v>100003227</v>
      </c>
      <c r="W50" s="406">
        <v>177</v>
      </c>
      <c r="X50" s="405">
        <v>36984.875706214691</v>
      </c>
      <c r="Y50" s="406">
        <v>6546323</v>
      </c>
      <c r="Z50" s="3"/>
      <c r="AA50" s="401">
        <v>100003227</v>
      </c>
      <c r="AB50" s="329">
        <v>20</v>
      </c>
      <c r="AC50" s="329">
        <v>112</v>
      </c>
      <c r="AD50" s="329">
        <v>246</v>
      </c>
      <c r="AE50" s="329">
        <v>378</v>
      </c>
      <c r="AF50" s="329">
        <v>257</v>
      </c>
      <c r="AG50" s="329">
        <v>4025106</v>
      </c>
      <c r="AH50" s="3"/>
      <c r="AI50" s="401">
        <v>100003227</v>
      </c>
      <c r="AJ50" s="329">
        <v>20</v>
      </c>
      <c r="AK50" s="329">
        <v>112</v>
      </c>
      <c r="AL50" s="329">
        <v>246</v>
      </c>
      <c r="AM50" s="329">
        <v>378</v>
      </c>
      <c r="AN50" s="329">
        <v>257</v>
      </c>
      <c r="AO50" s="329">
        <v>5477663</v>
      </c>
    </row>
    <row r="51" spans="1:41" ht="15.75">
      <c r="A51" s="333">
        <v>45</v>
      </c>
      <c r="B51" s="3" t="s">
        <v>161</v>
      </c>
      <c r="C51" s="401">
        <v>100003486</v>
      </c>
      <c r="D51" s="329">
        <v>0</v>
      </c>
      <c r="E51" s="329">
        <v>249</v>
      </c>
      <c r="F51" s="329">
        <v>0</v>
      </c>
      <c r="G51" s="329">
        <v>0</v>
      </c>
      <c r="H51" s="329">
        <v>249</v>
      </c>
      <c r="I51" s="329">
        <v>0</v>
      </c>
      <c r="J51" s="329">
        <v>13</v>
      </c>
      <c r="K51" s="333">
        <v>13</v>
      </c>
      <c r="L51" s="333"/>
      <c r="M51" s="165"/>
      <c r="N51" s="401">
        <v>100003486</v>
      </c>
      <c r="O51" s="329">
        <v>0</v>
      </c>
      <c r="P51" s="329">
        <v>0</v>
      </c>
      <c r="Q51" s="329">
        <v>249</v>
      </c>
      <c r="R51" s="333">
        <v>249</v>
      </c>
      <c r="S51" s="333">
        <v>7852672</v>
      </c>
      <c r="T51" s="335">
        <v>1.85</v>
      </c>
      <c r="U51" s="165">
        <f>VLOOKUP(N51,'[2]154'!$C$9:$T$554,18,0)</f>
        <v>249</v>
      </c>
      <c r="V51" s="401">
        <v>100003486</v>
      </c>
      <c r="W51" s="406">
        <v>13</v>
      </c>
      <c r="X51" s="405">
        <v>39460.692307692305</v>
      </c>
      <c r="Y51" s="406">
        <v>512989</v>
      </c>
      <c r="Z51" s="3"/>
      <c r="AA51" s="401">
        <v>100003486</v>
      </c>
      <c r="AB51" s="329">
        <v>0</v>
      </c>
      <c r="AC51" s="329">
        <v>0</v>
      </c>
      <c r="AD51" s="329">
        <v>249</v>
      </c>
      <c r="AE51" s="329">
        <v>249</v>
      </c>
      <c r="AF51" s="329">
        <v>199</v>
      </c>
      <c r="AG51" s="329">
        <v>3229345</v>
      </c>
      <c r="AH51" s="3"/>
      <c r="AI51" s="401">
        <v>100003486</v>
      </c>
      <c r="AJ51" s="329">
        <v>0</v>
      </c>
      <c r="AK51" s="329">
        <v>0</v>
      </c>
      <c r="AL51" s="329">
        <v>249</v>
      </c>
      <c r="AM51" s="329">
        <v>249</v>
      </c>
      <c r="AN51" s="329">
        <v>199</v>
      </c>
      <c r="AO51" s="329">
        <v>4623327</v>
      </c>
    </row>
    <row r="52" spans="1:41" s="211" customFormat="1" ht="15.75">
      <c r="A52" s="333">
        <v>46</v>
      </c>
      <c r="B52" s="169" t="s">
        <v>161</v>
      </c>
      <c r="C52" s="400">
        <v>100003532</v>
      </c>
      <c r="D52" s="333">
        <v>0</v>
      </c>
      <c r="E52" s="333">
        <v>68</v>
      </c>
      <c r="F52" s="333">
        <v>0</v>
      </c>
      <c r="G52" s="333">
        <v>0</v>
      </c>
      <c r="H52" s="333">
        <v>68</v>
      </c>
      <c r="I52" s="333">
        <v>0</v>
      </c>
      <c r="J52" s="333">
        <v>46</v>
      </c>
      <c r="K52" s="333">
        <v>46</v>
      </c>
      <c r="L52" s="333"/>
      <c r="M52" s="165"/>
      <c r="N52" s="400">
        <v>100003532</v>
      </c>
      <c r="O52" s="333">
        <v>0</v>
      </c>
      <c r="P52" s="333">
        <v>0</v>
      </c>
      <c r="Q52" s="333">
        <v>68</v>
      </c>
      <c r="R52" s="333">
        <v>68</v>
      </c>
      <c r="S52" s="333">
        <v>1902233</v>
      </c>
      <c r="T52" s="334">
        <v>1.65</v>
      </c>
      <c r="U52" s="165">
        <f>VLOOKUP(N52,'[2]154'!$C$9:$T$554,18,0)</f>
        <v>68</v>
      </c>
      <c r="V52" s="400">
        <v>100003532</v>
      </c>
      <c r="W52" s="404">
        <v>46</v>
      </c>
      <c r="X52" s="405">
        <v>35226.521739130432</v>
      </c>
      <c r="Y52" s="404">
        <v>1620420</v>
      </c>
      <c r="Z52" s="169"/>
      <c r="AA52" s="400">
        <v>100003532</v>
      </c>
      <c r="AB52" s="333">
        <v>0</v>
      </c>
      <c r="AC52" s="333">
        <v>0</v>
      </c>
      <c r="AD52" s="333">
        <v>68</v>
      </c>
      <c r="AE52" s="333">
        <v>68</v>
      </c>
      <c r="AF52" s="333">
        <v>54</v>
      </c>
      <c r="AG52" s="333">
        <v>778886</v>
      </c>
      <c r="AH52" s="169"/>
      <c r="AI52" s="400">
        <v>100003532</v>
      </c>
      <c r="AJ52" s="333">
        <v>0</v>
      </c>
      <c r="AK52" s="333">
        <v>0</v>
      </c>
      <c r="AL52" s="333">
        <v>68</v>
      </c>
      <c r="AM52" s="333">
        <v>68</v>
      </c>
      <c r="AN52" s="333">
        <v>54</v>
      </c>
      <c r="AO52" s="333">
        <v>1123347</v>
      </c>
    </row>
    <row r="53" spans="1:41" s="211" customFormat="1" ht="15.75">
      <c r="A53" s="333">
        <v>47</v>
      </c>
      <c r="B53" s="169" t="s">
        <v>161</v>
      </c>
      <c r="C53" s="400">
        <v>100003576</v>
      </c>
      <c r="D53" s="333">
        <v>0</v>
      </c>
      <c r="E53" s="333">
        <v>96</v>
      </c>
      <c r="F53" s="333">
        <v>0</v>
      </c>
      <c r="G53" s="333">
        <v>0</v>
      </c>
      <c r="H53" s="333">
        <v>96</v>
      </c>
      <c r="I53" s="333">
        <v>0</v>
      </c>
      <c r="J53" s="333">
        <v>75</v>
      </c>
      <c r="K53" s="333">
        <v>75</v>
      </c>
      <c r="L53" s="333"/>
      <c r="M53" s="208"/>
      <c r="N53" s="400">
        <v>100003576</v>
      </c>
      <c r="O53" s="333">
        <v>0</v>
      </c>
      <c r="P53" s="333">
        <v>0</v>
      </c>
      <c r="Q53" s="333">
        <v>96</v>
      </c>
      <c r="R53" s="333">
        <v>96</v>
      </c>
      <c r="S53" s="333">
        <v>1662915</v>
      </c>
      <c r="T53" s="334">
        <v>1.02</v>
      </c>
      <c r="U53" s="165">
        <f>VLOOKUP(N53,'[2]154'!$C$9:$T$554,18,0)</f>
        <v>96</v>
      </c>
      <c r="V53" s="400">
        <v>100003576</v>
      </c>
      <c r="W53" s="404">
        <v>75</v>
      </c>
      <c r="X53" s="405">
        <v>21474.959999999999</v>
      </c>
      <c r="Y53" s="404">
        <v>1610622</v>
      </c>
      <c r="Z53" s="169"/>
      <c r="AA53" s="400">
        <v>100003576</v>
      </c>
      <c r="AB53" s="333">
        <v>0</v>
      </c>
      <c r="AC53" s="333">
        <v>0</v>
      </c>
      <c r="AD53" s="333">
        <v>96</v>
      </c>
      <c r="AE53" s="333">
        <v>96</v>
      </c>
      <c r="AF53" s="333">
        <v>77</v>
      </c>
      <c r="AG53" s="333">
        <v>703516</v>
      </c>
      <c r="AH53" s="169"/>
      <c r="AI53" s="400">
        <v>100003576</v>
      </c>
      <c r="AJ53" s="333">
        <v>0</v>
      </c>
      <c r="AK53" s="333">
        <v>0</v>
      </c>
      <c r="AL53" s="333">
        <v>96</v>
      </c>
      <c r="AM53" s="333">
        <v>96</v>
      </c>
      <c r="AN53" s="333">
        <v>77</v>
      </c>
      <c r="AO53" s="333">
        <v>959399</v>
      </c>
    </row>
    <row r="54" spans="1:41" s="211" customFormat="1" ht="15.75">
      <c r="A54" s="333">
        <v>48</v>
      </c>
      <c r="B54" s="169" t="s">
        <v>161</v>
      </c>
      <c r="C54" s="400">
        <v>100004422</v>
      </c>
      <c r="D54" s="333">
        <v>0</v>
      </c>
      <c r="E54" s="333">
        <v>63</v>
      </c>
      <c r="F54" s="333">
        <v>0</v>
      </c>
      <c r="G54" s="333">
        <v>0</v>
      </c>
      <c r="H54" s="333">
        <v>63</v>
      </c>
      <c r="I54" s="333">
        <v>0</v>
      </c>
      <c r="J54" s="333">
        <v>0</v>
      </c>
      <c r="K54" s="333">
        <v>0</v>
      </c>
      <c r="L54" s="333"/>
      <c r="M54" s="165"/>
      <c r="N54" s="400">
        <v>100004422</v>
      </c>
      <c r="O54" s="333">
        <v>0</v>
      </c>
      <c r="P54" s="333">
        <v>0</v>
      </c>
      <c r="Q54" s="333">
        <v>63</v>
      </c>
      <c r="R54" s="333">
        <v>63</v>
      </c>
      <c r="S54" s="333">
        <v>1166158</v>
      </c>
      <c r="T54" s="334">
        <v>1.1000000000000001</v>
      </c>
      <c r="U54" s="165">
        <f>VLOOKUP(N54,'[2]154'!$C$9:$T$554,18,0)</f>
        <v>63</v>
      </c>
      <c r="V54" s="400">
        <v>100004422</v>
      </c>
      <c r="W54" s="404">
        <v>0</v>
      </c>
      <c r="X54" s="405">
        <v>0</v>
      </c>
      <c r="Y54" s="404">
        <v>0</v>
      </c>
      <c r="Z54" s="169"/>
      <c r="AA54" s="400">
        <v>100004422</v>
      </c>
      <c r="AB54" s="333">
        <v>0</v>
      </c>
      <c r="AC54" s="333">
        <v>0</v>
      </c>
      <c r="AD54" s="333">
        <v>63</v>
      </c>
      <c r="AE54" s="333">
        <v>63</v>
      </c>
      <c r="AF54" s="333">
        <v>50</v>
      </c>
      <c r="AG54" s="333">
        <v>493357</v>
      </c>
      <c r="AH54" s="169"/>
      <c r="AI54" s="400">
        <v>100004422</v>
      </c>
      <c r="AJ54" s="333">
        <v>0</v>
      </c>
      <c r="AK54" s="333">
        <v>0</v>
      </c>
      <c r="AL54" s="333">
        <v>63</v>
      </c>
      <c r="AM54" s="333">
        <v>63</v>
      </c>
      <c r="AN54" s="333">
        <v>50</v>
      </c>
      <c r="AO54" s="333">
        <v>672801</v>
      </c>
    </row>
    <row r="55" spans="1:41" ht="15.75">
      <c r="A55" s="333">
        <v>49</v>
      </c>
      <c r="B55" s="3" t="s">
        <v>161</v>
      </c>
      <c r="C55" s="401">
        <v>100004424</v>
      </c>
      <c r="D55" s="329">
        <v>0</v>
      </c>
      <c r="E55" s="329">
        <v>81</v>
      </c>
      <c r="F55" s="329">
        <v>0</v>
      </c>
      <c r="G55" s="329">
        <v>0</v>
      </c>
      <c r="H55" s="329">
        <v>81</v>
      </c>
      <c r="I55" s="329">
        <v>0</v>
      </c>
      <c r="J55" s="329">
        <v>37</v>
      </c>
      <c r="K55" s="333">
        <v>37</v>
      </c>
      <c r="L55" s="333"/>
      <c r="M55" s="165"/>
      <c r="N55" s="401">
        <v>100004424</v>
      </c>
      <c r="O55" s="329">
        <v>0</v>
      </c>
      <c r="P55" s="329">
        <v>0</v>
      </c>
      <c r="Q55" s="329">
        <v>81</v>
      </c>
      <c r="R55" s="333">
        <v>81</v>
      </c>
      <c r="S55" s="333">
        <v>1516005</v>
      </c>
      <c r="T55" s="335">
        <v>1.1000000000000001</v>
      </c>
      <c r="U55" s="165">
        <f>VLOOKUP(N55,'[2]154'!$C$9:$T$554,18,0)</f>
        <v>81</v>
      </c>
      <c r="V55" s="401">
        <v>100004424</v>
      </c>
      <c r="W55" s="406">
        <v>37</v>
      </c>
      <c r="X55" s="405">
        <v>23323.162162162163</v>
      </c>
      <c r="Y55" s="406">
        <v>862957</v>
      </c>
      <c r="Z55" s="3"/>
      <c r="AA55" s="401">
        <v>100004424</v>
      </c>
      <c r="AB55" s="329">
        <v>0</v>
      </c>
      <c r="AC55" s="329">
        <v>0</v>
      </c>
      <c r="AD55" s="329">
        <v>81</v>
      </c>
      <c r="AE55" s="329">
        <v>81</v>
      </c>
      <c r="AF55" s="329">
        <v>65</v>
      </c>
      <c r="AG55" s="329">
        <v>641364</v>
      </c>
      <c r="AH55" s="3"/>
      <c r="AI55" s="401">
        <v>100004424</v>
      </c>
      <c r="AJ55" s="329">
        <v>0</v>
      </c>
      <c r="AK55" s="329">
        <v>0</v>
      </c>
      <c r="AL55" s="329">
        <v>81</v>
      </c>
      <c r="AM55" s="329">
        <v>81</v>
      </c>
      <c r="AN55" s="329">
        <v>65</v>
      </c>
      <c r="AO55" s="329">
        <v>874641</v>
      </c>
    </row>
    <row r="56" spans="1:41" ht="15.75">
      <c r="A56" s="333">
        <v>50</v>
      </c>
      <c r="B56" s="3" t="s">
        <v>161</v>
      </c>
      <c r="C56" s="401">
        <v>100005621</v>
      </c>
      <c r="D56" s="329">
        <v>0</v>
      </c>
      <c r="E56" s="329">
        <v>56</v>
      </c>
      <c r="F56" s="329">
        <v>0</v>
      </c>
      <c r="G56" s="329">
        <v>0</v>
      </c>
      <c r="H56" s="329">
        <v>56</v>
      </c>
      <c r="I56" s="329">
        <v>0</v>
      </c>
      <c r="J56" s="329">
        <v>4</v>
      </c>
      <c r="K56" s="333">
        <v>4</v>
      </c>
      <c r="L56" s="333"/>
      <c r="M56" s="208"/>
      <c r="N56" s="401">
        <v>100005621</v>
      </c>
      <c r="O56" s="329">
        <v>0</v>
      </c>
      <c r="P56" s="329">
        <v>0</v>
      </c>
      <c r="Q56" s="329">
        <v>56</v>
      </c>
      <c r="R56" s="333">
        <v>56</v>
      </c>
      <c r="S56" s="333">
        <v>3816515</v>
      </c>
      <c r="T56" s="335">
        <v>4</v>
      </c>
      <c r="U56" s="165">
        <f>VLOOKUP(N56,'[2]154'!$C$9:$T$554,18,0)</f>
        <v>56</v>
      </c>
      <c r="V56" s="401">
        <v>100005621</v>
      </c>
      <c r="W56" s="406">
        <v>4</v>
      </c>
      <c r="X56" s="405">
        <v>84811.5</v>
      </c>
      <c r="Y56" s="406">
        <v>339246</v>
      </c>
      <c r="Z56" s="3"/>
      <c r="AA56" s="401">
        <v>100005621</v>
      </c>
      <c r="AB56" s="329">
        <v>0</v>
      </c>
      <c r="AC56" s="329">
        <v>0</v>
      </c>
      <c r="AD56" s="329">
        <v>56</v>
      </c>
      <c r="AE56" s="329">
        <v>56</v>
      </c>
      <c r="AF56" s="329">
        <v>45</v>
      </c>
      <c r="AG56" s="329">
        <v>1614622</v>
      </c>
      <c r="AH56" s="3"/>
      <c r="AI56" s="401">
        <v>100005621</v>
      </c>
      <c r="AJ56" s="329">
        <v>0</v>
      </c>
      <c r="AK56" s="329">
        <v>0</v>
      </c>
      <c r="AL56" s="329">
        <v>56</v>
      </c>
      <c r="AM56" s="329">
        <v>56</v>
      </c>
      <c r="AN56" s="329">
        <v>45</v>
      </c>
      <c r="AO56" s="329">
        <v>2201893</v>
      </c>
    </row>
    <row r="57" spans="1:41" ht="15.75">
      <c r="A57" s="333">
        <v>51</v>
      </c>
      <c r="B57" s="3" t="s">
        <v>161</v>
      </c>
      <c r="C57" s="401">
        <v>100005705</v>
      </c>
      <c r="D57" s="329">
        <v>5880</v>
      </c>
      <c r="E57" s="329">
        <v>1081</v>
      </c>
      <c r="F57" s="329">
        <v>0</v>
      </c>
      <c r="G57" s="329">
        <v>198</v>
      </c>
      <c r="H57" s="329">
        <v>883</v>
      </c>
      <c r="I57" s="329">
        <v>4986</v>
      </c>
      <c r="J57" s="329">
        <v>0</v>
      </c>
      <c r="K57" s="333">
        <v>4986</v>
      </c>
      <c r="L57" s="333"/>
      <c r="M57" s="165"/>
      <c r="N57" s="401">
        <v>100005705</v>
      </c>
      <c r="O57" s="329">
        <v>0</v>
      </c>
      <c r="P57" s="329">
        <v>198</v>
      </c>
      <c r="Q57" s="329">
        <v>883</v>
      </c>
      <c r="R57" s="333">
        <v>1081</v>
      </c>
      <c r="S57" s="333">
        <v>35179115</v>
      </c>
      <c r="T57" s="335">
        <v>2.2000000000000002</v>
      </c>
      <c r="U57" s="165">
        <f>VLOOKUP(N57,'[2]154'!$C$9:$T$554,18,0)</f>
        <v>1081</v>
      </c>
      <c r="V57" s="401">
        <v>100005705</v>
      </c>
      <c r="W57" s="406">
        <v>4986</v>
      </c>
      <c r="X57" s="405">
        <v>43755.267716535433</v>
      </c>
      <c r="Y57" s="406">
        <f>ROUND(222276760/5080*W57,0)</f>
        <v>218163765</v>
      </c>
      <c r="Z57" s="3"/>
      <c r="AA57" s="401">
        <v>100005705</v>
      </c>
      <c r="AB57" s="329">
        <v>0</v>
      </c>
      <c r="AC57" s="329">
        <v>198</v>
      </c>
      <c r="AD57" s="329">
        <v>883</v>
      </c>
      <c r="AE57" s="329">
        <v>1081</v>
      </c>
      <c r="AF57" s="329">
        <v>805</v>
      </c>
      <c r="AG57" s="329">
        <v>12637488</v>
      </c>
      <c r="AH57" s="3"/>
      <c r="AI57" s="401">
        <v>100005705</v>
      </c>
      <c r="AJ57" s="329">
        <v>0</v>
      </c>
      <c r="AK57" s="329">
        <v>198</v>
      </c>
      <c r="AL57" s="329">
        <v>883</v>
      </c>
      <c r="AM57" s="329">
        <v>1081</v>
      </c>
      <c r="AN57" s="329">
        <v>805</v>
      </c>
      <c r="AO57" s="329">
        <v>22541627</v>
      </c>
    </row>
    <row r="58" spans="1:41" s="211" customFormat="1" ht="15.75">
      <c r="A58" s="333">
        <v>52</v>
      </c>
      <c r="B58" s="169" t="s">
        <v>161</v>
      </c>
      <c r="C58" s="400">
        <v>100005710</v>
      </c>
      <c r="D58" s="333">
        <v>0</v>
      </c>
      <c r="E58" s="333">
        <v>132</v>
      </c>
      <c r="F58" s="333">
        <v>0</v>
      </c>
      <c r="G58" s="333">
        <v>0</v>
      </c>
      <c r="H58" s="333">
        <v>132</v>
      </c>
      <c r="I58" s="333">
        <v>0</v>
      </c>
      <c r="J58" s="333">
        <v>0</v>
      </c>
      <c r="K58" s="333">
        <v>0</v>
      </c>
      <c r="L58" s="333"/>
      <c r="M58" s="165"/>
      <c r="N58" s="400">
        <v>100005710</v>
      </c>
      <c r="O58" s="333">
        <v>0</v>
      </c>
      <c r="P58" s="333">
        <v>0</v>
      </c>
      <c r="Q58" s="333">
        <v>132</v>
      </c>
      <c r="R58" s="333">
        <v>132</v>
      </c>
      <c r="S58" s="333">
        <v>6046604</v>
      </c>
      <c r="T58" s="334">
        <v>2.7</v>
      </c>
      <c r="U58" s="165">
        <f>VLOOKUP(N58,'[2]154'!$C$9:$T$554,18,0)</f>
        <v>132</v>
      </c>
      <c r="V58" s="400">
        <v>100005710</v>
      </c>
      <c r="W58" s="404">
        <v>0</v>
      </c>
      <c r="X58" s="405">
        <v>0</v>
      </c>
      <c r="Y58" s="404">
        <v>0</v>
      </c>
      <c r="Z58" s="169"/>
      <c r="AA58" s="400">
        <v>100005710</v>
      </c>
      <c r="AB58" s="333">
        <v>0</v>
      </c>
      <c r="AC58" s="333">
        <v>0</v>
      </c>
      <c r="AD58" s="333">
        <v>132</v>
      </c>
      <c r="AE58" s="333">
        <v>132</v>
      </c>
      <c r="AF58" s="333">
        <v>106</v>
      </c>
      <c r="AG58" s="333">
        <v>2558088</v>
      </c>
      <c r="AH58" s="169"/>
      <c r="AI58" s="400">
        <v>100005710</v>
      </c>
      <c r="AJ58" s="333">
        <v>0</v>
      </c>
      <c r="AK58" s="333">
        <v>0</v>
      </c>
      <c r="AL58" s="333">
        <v>132</v>
      </c>
      <c r="AM58" s="333">
        <v>132</v>
      </c>
      <c r="AN58" s="333">
        <v>106</v>
      </c>
      <c r="AO58" s="333">
        <v>3488516</v>
      </c>
    </row>
    <row r="59" spans="1:41" s="211" customFormat="1" ht="15.75">
      <c r="A59" s="333">
        <v>53</v>
      </c>
      <c r="B59" s="169" t="s">
        <v>161</v>
      </c>
      <c r="C59" s="400">
        <v>100006873</v>
      </c>
      <c r="D59" s="333">
        <v>0</v>
      </c>
      <c r="E59" s="333">
        <v>0</v>
      </c>
      <c r="F59" s="333">
        <v>0</v>
      </c>
      <c r="G59" s="333">
        <v>0</v>
      </c>
      <c r="H59" s="333">
        <v>0</v>
      </c>
      <c r="I59" s="333">
        <v>0</v>
      </c>
      <c r="J59" s="333">
        <v>10</v>
      </c>
      <c r="K59" s="333">
        <v>10</v>
      </c>
      <c r="L59" s="333"/>
      <c r="M59" s="208"/>
      <c r="N59" s="400">
        <v>100006873</v>
      </c>
      <c r="O59" s="333">
        <v>0</v>
      </c>
      <c r="P59" s="333">
        <v>0</v>
      </c>
      <c r="Q59" s="333">
        <v>0</v>
      </c>
      <c r="R59" s="333">
        <v>0</v>
      </c>
      <c r="S59" s="333">
        <v>0</v>
      </c>
      <c r="T59" s="334">
        <v>2.7</v>
      </c>
      <c r="U59" s="165">
        <f>VLOOKUP(N59,'[2]154'!$C$9:$T$554,18,0)</f>
        <v>0</v>
      </c>
      <c r="V59" s="400">
        <v>100006873</v>
      </c>
      <c r="W59" s="404">
        <v>10</v>
      </c>
      <c r="X59" s="405">
        <v>57247.8</v>
      </c>
      <c r="Y59" s="404">
        <v>572478</v>
      </c>
      <c r="Z59" s="169"/>
      <c r="AA59" s="400">
        <v>100006873</v>
      </c>
      <c r="AB59" s="333">
        <v>0</v>
      </c>
      <c r="AC59" s="333">
        <v>0</v>
      </c>
      <c r="AD59" s="333">
        <v>0</v>
      </c>
      <c r="AE59" s="333">
        <v>0</v>
      </c>
      <c r="AF59" s="333">
        <v>0</v>
      </c>
      <c r="AG59" s="333">
        <v>0</v>
      </c>
      <c r="AH59" s="169"/>
      <c r="AI59" s="400">
        <v>100006873</v>
      </c>
      <c r="AJ59" s="333">
        <v>0</v>
      </c>
      <c r="AK59" s="333">
        <v>0</v>
      </c>
      <c r="AL59" s="333">
        <v>0</v>
      </c>
      <c r="AM59" s="333">
        <v>0</v>
      </c>
      <c r="AN59" s="333">
        <v>0</v>
      </c>
      <c r="AO59" s="333">
        <v>0</v>
      </c>
    </row>
    <row r="60" spans="1:41" ht="15.75">
      <c r="A60" s="333">
        <v>54</v>
      </c>
      <c r="B60" s="3" t="s">
        <v>161</v>
      </c>
      <c r="C60" s="401">
        <v>100006874</v>
      </c>
      <c r="D60" s="329">
        <v>0</v>
      </c>
      <c r="E60" s="329">
        <v>0</v>
      </c>
      <c r="F60" s="329">
        <v>0</v>
      </c>
      <c r="G60" s="329">
        <v>0</v>
      </c>
      <c r="H60" s="329">
        <v>0</v>
      </c>
      <c r="I60" s="329">
        <v>0</v>
      </c>
      <c r="J60" s="329">
        <v>26</v>
      </c>
      <c r="K60" s="333">
        <v>26</v>
      </c>
      <c r="L60" s="333"/>
      <c r="M60" s="165"/>
      <c r="N60" s="401">
        <v>100006874</v>
      </c>
      <c r="O60" s="329">
        <v>0</v>
      </c>
      <c r="P60" s="329">
        <v>0</v>
      </c>
      <c r="Q60" s="329">
        <v>0</v>
      </c>
      <c r="R60" s="333">
        <v>0</v>
      </c>
      <c r="S60" s="333">
        <v>0</v>
      </c>
      <c r="T60" s="335">
        <v>2.7</v>
      </c>
      <c r="U60" s="165">
        <f>VLOOKUP(N60,'[2]154'!$C$9:$T$554,18,0)</f>
        <v>0</v>
      </c>
      <c r="V60" s="401">
        <v>100006874</v>
      </c>
      <c r="W60" s="406">
        <v>26</v>
      </c>
      <c r="X60" s="405">
        <v>57247.730769230766</v>
      </c>
      <c r="Y60" s="406">
        <v>1488441</v>
      </c>
      <c r="Z60" s="3"/>
      <c r="AA60" s="401">
        <v>100006874</v>
      </c>
      <c r="AB60" s="329">
        <v>0</v>
      </c>
      <c r="AC60" s="329">
        <v>0</v>
      </c>
      <c r="AD60" s="329">
        <v>0</v>
      </c>
      <c r="AE60" s="329">
        <v>0</v>
      </c>
      <c r="AF60" s="329">
        <v>0</v>
      </c>
      <c r="AG60" s="329">
        <v>0</v>
      </c>
      <c r="AH60" s="3"/>
      <c r="AI60" s="401">
        <v>100006874</v>
      </c>
      <c r="AJ60" s="329">
        <v>0</v>
      </c>
      <c r="AK60" s="329">
        <v>0</v>
      </c>
      <c r="AL60" s="329">
        <v>0</v>
      </c>
      <c r="AM60" s="329">
        <v>0</v>
      </c>
      <c r="AN60" s="329">
        <v>0</v>
      </c>
      <c r="AO60" s="329">
        <v>0</v>
      </c>
    </row>
    <row r="61" spans="1:41" ht="15.75">
      <c r="A61" s="333">
        <v>55</v>
      </c>
      <c r="B61" s="3" t="s">
        <v>161</v>
      </c>
      <c r="C61" s="401">
        <v>100008197</v>
      </c>
      <c r="D61" s="329">
        <v>9784</v>
      </c>
      <c r="E61" s="329">
        <v>461</v>
      </c>
      <c r="F61" s="329">
        <v>0</v>
      </c>
      <c r="G61" s="329">
        <v>175</v>
      </c>
      <c r="H61" s="329">
        <v>286</v>
      </c>
      <c r="I61" s="329">
        <v>0</v>
      </c>
      <c r="J61" s="329">
        <v>18</v>
      </c>
      <c r="K61" s="333">
        <v>18</v>
      </c>
      <c r="L61" s="333"/>
      <c r="M61" s="165"/>
      <c r="N61" s="401">
        <v>100008197</v>
      </c>
      <c r="O61" s="329">
        <v>0</v>
      </c>
      <c r="P61" s="329">
        <v>175</v>
      </c>
      <c r="Q61" s="329">
        <v>286</v>
      </c>
      <c r="R61" s="333">
        <v>461</v>
      </c>
      <c r="S61" s="333">
        <v>11662004</v>
      </c>
      <c r="T61" s="335">
        <v>1.86</v>
      </c>
      <c r="U61" s="165">
        <f>VLOOKUP(N61,'[2]154'!$C$9:$T$554,18,0)</f>
        <v>461</v>
      </c>
      <c r="V61" s="401">
        <v>100008197</v>
      </c>
      <c r="W61" s="406">
        <v>18</v>
      </c>
      <c r="X61" s="405">
        <v>36913.888888888891</v>
      </c>
      <c r="Y61" s="406">
        <v>664450</v>
      </c>
      <c r="Z61" s="3"/>
      <c r="AA61" s="401">
        <v>100008197</v>
      </c>
      <c r="AB61" s="329">
        <v>0</v>
      </c>
      <c r="AC61" s="329">
        <v>175</v>
      </c>
      <c r="AD61" s="329">
        <v>286</v>
      </c>
      <c r="AE61" s="329">
        <v>461</v>
      </c>
      <c r="AF61" s="329">
        <v>316</v>
      </c>
      <c r="AG61" s="329">
        <v>4170768</v>
      </c>
      <c r="AH61" s="3"/>
      <c r="AI61" s="401">
        <v>100008197</v>
      </c>
      <c r="AJ61" s="329">
        <v>0</v>
      </c>
      <c r="AK61" s="329">
        <v>175</v>
      </c>
      <c r="AL61" s="329">
        <v>286</v>
      </c>
      <c r="AM61" s="329">
        <v>461</v>
      </c>
      <c r="AN61" s="329">
        <v>316</v>
      </c>
      <c r="AO61" s="329">
        <v>7491236</v>
      </c>
    </row>
    <row r="62" spans="1:41" s="211" customFormat="1" ht="15.75">
      <c r="A62" s="333">
        <v>56</v>
      </c>
      <c r="B62" s="169" t="s">
        <v>161</v>
      </c>
      <c r="C62" s="400">
        <v>100008887</v>
      </c>
      <c r="D62" s="333">
        <v>0</v>
      </c>
      <c r="E62" s="333">
        <v>200</v>
      </c>
      <c r="F62" s="333">
        <v>0</v>
      </c>
      <c r="G62" s="333">
        <v>0</v>
      </c>
      <c r="H62" s="333">
        <v>200</v>
      </c>
      <c r="I62" s="333">
        <v>0</v>
      </c>
      <c r="J62" s="333">
        <v>18</v>
      </c>
      <c r="K62" s="333">
        <v>18</v>
      </c>
      <c r="L62" s="333"/>
      <c r="M62" s="208"/>
      <c r="N62" s="400">
        <v>100008887</v>
      </c>
      <c r="O62" s="333">
        <v>0</v>
      </c>
      <c r="P62" s="333">
        <v>0</v>
      </c>
      <c r="Q62" s="333">
        <v>200</v>
      </c>
      <c r="R62" s="333">
        <v>200</v>
      </c>
      <c r="S62" s="333">
        <v>9159637</v>
      </c>
      <c r="T62" s="334">
        <v>2.7</v>
      </c>
      <c r="U62" s="165">
        <f>VLOOKUP(N62,'[2]154'!$C$9:$T$554,18,0)</f>
        <v>200</v>
      </c>
      <c r="V62" s="400">
        <v>100008887</v>
      </c>
      <c r="W62" s="404">
        <v>18</v>
      </c>
      <c r="X62" s="405">
        <v>57247.777777777781</v>
      </c>
      <c r="Y62" s="404">
        <v>1030460</v>
      </c>
      <c r="Z62" s="169"/>
      <c r="AA62" s="400">
        <v>100008887</v>
      </c>
      <c r="AB62" s="333">
        <v>0</v>
      </c>
      <c r="AC62" s="333">
        <v>0</v>
      </c>
      <c r="AD62" s="333">
        <v>200</v>
      </c>
      <c r="AE62" s="333">
        <v>200</v>
      </c>
      <c r="AF62" s="333">
        <v>160</v>
      </c>
      <c r="AG62" s="333">
        <v>3875093</v>
      </c>
      <c r="AH62" s="169"/>
      <c r="AI62" s="400">
        <v>100008887</v>
      </c>
      <c r="AJ62" s="333">
        <v>0</v>
      </c>
      <c r="AK62" s="333">
        <v>0</v>
      </c>
      <c r="AL62" s="333">
        <v>200</v>
      </c>
      <c r="AM62" s="333">
        <v>200</v>
      </c>
      <c r="AN62" s="333">
        <v>160</v>
      </c>
      <c r="AO62" s="333">
        <v>5284544</v>
      </c>
    </row>
    <row r="63" spans="1:41" s="211" customFormat="1" ht="15.75">
      <c r="A63" s="333">
        <v>57</v>
      </c>
      <c r="B63" s="169" t="s">
        <v>161</v>
      </c>
      <c r="C63" s="400">
        <v>100010879</v>
      </c>
      <c r="D63" s="333">
        <v>0</v>
      </c>
      <c r="E63" s="333">
        <v>250</v>
      </c>
      <c r="F63" s="333">
        <v>0</v>
      </c>
      <c r="G63" s="333">
        <v>0</v>
      </c>
      <c r="H63" s="333">
        <v>250</v>
      </c>
      <c r="I63" s="333">
        <v>0</v>
      </c>
      <c r="J63" s="333">
        <v>0</v>
      </c>
      <c r="K63" s="333">
        <v>0</v>
      </c>
      <c r="L63" s="333"/>
      <c r="M63" s="165"/>
      <c r="N63" s="400">
        <v>100010879</v>
      </c>
      <c r="O63" s="333">
        <v>0</v>
      </c>
      <c r="P63" s="333">
        <v>0</v>
      </c>
      <c r="Q63" s="333">
        <v>250</v>
      </c>
      <c r="R63" s="333">
        <v>250</v>
      </c>
      <c r="S63" s="333">
        <v>9396639</v>
      </c>
      <c r="T63" s="334">
        <v>2.2000000000000002</v>
      </c>
      <c r="U63" s="165">
        <f>VLOOKUP(N63,'[2]154'!$C$9:$T$554,18,0)</f>
        <v>250</v>
      </c>
      <c r="V63" s="400">
        <v>100010879</v>
      </c>
      <c r="W63" s="404">
        <v>0</v>
      </c>
      <c r="X63" s="405">
        <v>0</v>
      </c>
      <c r="Y63" s="404">
        <v>0</v>
      </c>
      <c r="Z63" s="169"/>
      <c r="AA63" s="400">
        <v>100010879</v>
      </c>
      <c r="AB63" s="333">
        <v>0</v>
      </c>
      <c r="AC63" s="333">
        <v>0</v>
      </c>
      <c r="AD63" s="333">
        <v>250</v>
      </c>
      <c r="AE63" s="333">
        <v>250</v>
      </c>
      <c r="AF63" s="333">
        <v>200</v>
      </c>
      <c r="AG63" s="333">
        <v>3841830</v>
      </c>
      <c r="AH63" s="169"/>
      <c r="AI63" s="400">
        <v>100010879</v>
      </c>
      <c r="AJ63" s="333">
        <v>0</v>
      </c>
      <c r="AK63" s="333">
        <v>0</v>
      </c>
      <c r="AL63" s="333">
        <v>250</v>
      </c>
      <c r="AM63" s="333">
        <v>250</v>
      </c>
      <c r="AN63" s="333">
        <v>200</v>
      </c>
      <c r="AO63" s="333">
        <v>5554809</v>
      </c>
    </row>
    <row r="64" spans="1:41" ht="15.75">
      <c r="A64" s="333">
        <v>58</v>
      </c>
      <c r="B64" s="3" t="s">
        <v>161</v>
      </c>
      <c r="C64" s="401">
        <v>100010914</v>
      </c>
      <c r="D64" s="329">
        <v>0</v>
      </c>
      <c r="E64" s="329">
        <v>55</v>
      </c>
      <c r="F64" s="329">
        <v>0</v>
      </c>
      <c r="G64" s="329">
        <v>0</v>
      </c>
      <c r="H64" s="329">
        <v>55</v>
      </c>
      <c r="I64" s="329">
        <v>0</v>
      </c>
      <c r="J64" s="329">
        <v>38</v>
      </c>
      <c r="K64" s="333">
        <v>38</v>
      </c>
      <c r="L64" s="333"/>
      <c r="M64" s="165"/>
      <c r="N64" s="401">
        <v>100010914</v>
      </c>
      <c r="O64" s="329">
        <v>0</v>
      </c>
      <c r="P64" s="329">
        <v>0</v>
      </c>
      <c r="Q64" s="329">
        <v>55</v>
      </c>
      <c r="R64" s="333">
        <v>55</v>
      </c>
      <c r="S64" s="333">
        <v>2056699</v>
      </c>
      <c r="T64" s="335">
        <v>2.2000000000000002</v>
      </c>
      <c r="U64" s="165">
        <f>VLOOKUP(N64,'[2]154'!$C$9:$T$554,18,0)</f>
        <v>55</v>
      </c>
      <c r="V64" s="401">
        <v>100010914</v>
      </c>
      <c r="W64" s="406">
        <v>38</v>
      </c>
      <c r="X64" s="405">
        <v>46726.105263157893</v>
      </c>
      <c r="Y64" s="406">
        <v>1775592</v>
      </c>
      <c r="Z64" s="3"/>
      <c r="AA64" s="401">
        <v>100010914</v>
      </c>
      <c r="AB64" s="329">
        <v>0</v>
      </c>
      <c r="AC64" s="329">
        <v>0</v>
      </c>
      <c r="AD64" s="329">
        <v>55</v>
      </c>
      <c r="AE64" s="329">
        <v>55</v>
      </c>
      <c r="AF64" s="329">
        <v>44</v>
      </c>
      <c r="AG64" s="329">
        <v>861665</v>
      </c>
      <c r="AH64" s="3"/>
      <c r="AI64" s="401">
        <v>100010914</v>
      </c>
      <c r="AJ64" s="329">
        <v>0</v>
      </c>
      <c r="AK64" s="329">
        <v>0</v>
      </c>
      <c r="AL64" s="329">
        <v>55</v>
      </c>
      <c r="AM64" s="329">
        <v>55</v>
      </c>
      <c r="AN64" s="329">
        <v>44</v>
      </c>
      <c r="AO64" s="329">
        <v>1195034</v>
      </c>
    </row>
    <row r="65" spans="1:41" ht="15.75">
      <c r="A65" s="333">
        <v>59</v>
      </c>
      <c r="B65" s="3" t="s">
        <v>161</v>
      </c>
      <c r="C65" s="401">
        <v>100011006</v>
      </c>
      <c r="D65" s="329">
        <v>0</v>
      </c>
      <c r="E65" s="329">
        <v>94</v>
      </c>
      <c r="F65" s="329">
        <v>0</v>
      </c>
      <c r="G65" s="329">
        <v>0</v>
      </c>
      <c r="H65" s="329">
        <v>94</v>
      </c>
      <c r="I65" s="329">
        <v>0</v>
      </c>
      <c r="J65" s="329">
        <v>85</v>
      </c>
      <c r="K65" s="333">
        <v>85</v>
      </c>
      <c r="L65" s="333"/>
      <c r="M65" s="208"/>
      <c r="N65" s="401">
        <v>100011006</v>
      </c>
      <c r="O65" s="329">
        <v>0</v>
      </c>
      <c r="P65" s="329">
        <v>0</v>
      </c>
      <c r="Q65" s="329">
        <v>94</v>
      </c>
      <c r="R65" s="333">
        <v>94</v>
      </c>
      <c r="S65" s="333">
        <v>2553320</v>
      </c>
      <c r="T65" s="335">
        <v>1.6</v>
      </c>
      <c r="U65" s="165">
        <f>VLOOKUP(N65,'[2]154'!$C$9:$T$554,18,0)</f>
        <v>94</v>
      </c>
      <c r="V65" s="401">
        <v>100011006</v>
      </c>
      <c r="W65" s="406">
        <v>85</v>
      </c>
      <c r="X65" s="405">
        <v>33560.435294117648</v>
      </c>
      <c r="Y65" s="406">
        <v>2852637</v>
      </c>
      <c r="Z65" s="3"/>
      <c r="AA65" s="401">
        <v>100011006</v>
      </c>
      <c r="AB65" s="329">
        <v>0</v>
      </c>
      <c r="AC65" s="329">
        <v>0</v>
      </c>
      <c r="AD65" s="329">
        <v>94</v>
      </c>
      <c r="AE65" s="329">
        <v>94</v>
      </c>
      <c r="AF65" s="329">
        <v>75</v>
      </c>
      <c r="AG65" s="329">
        <v>1080212</v>
      </c>
      <c r="AH65" s="3"/>
      <c r="AI65" s="401">
        <v>100011006</v>
      </c>
      <c r="AJ65" s="329">
        <v>0</v>
      </c>
      <c r="AK65" s="329">
        <v>0</v>
      </c>
      <c r="AL65" s="329">
        <v>94</v>
      </c>
      <c r="AM65" s="329">
        <v>94</v>
      </c>
      <c r="AN65" s="329">
        <v>75</v>
      </c>
      <c r="AO65" s="329">
        <v>1473108</v>
      </c>
    </row>
    <row r="66" spans="1:41" s="211" customFormat="1" ht="15.75">
      <c r="A66" s="333">
        <v>60</v>
      </c>
      <c r="B66" s="169" t="s">
        <v>161</v>
      </c>
      <c r="C66" s="400">
        <v>100011101</v>
      </c>
      <c r="D66" s="333">
        <v>0</v>
      </c>
      <c r="E66" s="333">
        <v>21</v>
      </c>
      <c r="F66" s="333">
        <v>0</v>
      </c>
      <c r="G66" s="333">
        <v>0</v>
      </c>
      <c r="H66" s="333">
        <v>21</v>
      </c>
      <c r="I66" s="333">
        <v>0</v>
      </c>
      <c r="J66" s="333">
        <v>20</v>
      </c>
      <c r="K66" s="333">
        <v>20</v>
      </c>
      <c r="L66" s="333"/>
      <c r="M66" s="165"/>
      <c r="N66" s="400">
        <v>100011101</v>
      </c>
      <c r="O66" s="333">
        <v>0</v>
      </c>
      <c r="P66" s="333">
        <v>0</v>
      </c>
      <c r="Q66" s="333">
        <v>21</v>
      </c>
      <c r="R66" s="333">
        <v>21</v>
      </c>
      <c r="S66" s="333">
        <v>391481</v>
      </c>
      <c r="T66" s="334">
        <v>1.1000000000000001</v>
      </c>
      <c r="U66" s="165">
        <f>VLOOKUP(N66,'[2]154'!$C$9:$T$554,18,0)</f>
        <v>21</v>
      </c>
      <c r="V66" s="400">
        <v>100011101</v>
      </c>
      <c r="W66" s="404">
        <v>20</v>
      </c>
      <c r="X66" s="405">
        <v>21132.15</v>
      </c>
      <c r="Y66" s="404">
        <v>422643</v>
      </c>
      <c r="Z66" s="169"/>
      <c r="AA66" s="400">
        <v>100011101</v>
      </c>
      <c r="AB66" s="333">
        <v>0</v>
      </c>
      <c r="AC66" s="333">
        <v>0</v>
      </c>
      <c r="AD66" s="333">
        <v>21</v>
      </c>
      <c r="AE66" s="333">
        <v>21</v>
      </c>
      <c r="AF66" s="333">
        <v>17</v>
      </c>
      <c r="AG66" s="333">
        <v>165621</v>
      </c>
      <c r="AH66" s="169"/>
      <c r="AI66" s="400">
        <v>100011101</v>
      </c>
      <c r="AJ66" s="333">
        <v>0</v>
      </c>
      <c r="AK66" s="333">
        <v>0</v>
      </c>
      <c r="AL66" s="333">
        <v>21</v>
      </c>
      <c r="AM66" s="333">
        <v>21</v>
      </c>
      <c r="AN66" s="333">
        <v>17</v>
      </c>
      <c r="AO66" s="333">
        <v>225860</v>
      </c>
    </row>
    <row r="67" spans="1:41" ht="15.75">
      <c r="A67" s="333">
        <v>61</v>
      </c>
      <c r="B67" s="3" t="s">
        <v>161</v>
      </c>
      <c r="C67" s="401">
        <v>100011102</v>
      </c>
      <c r="D67" s="329">
        <v>0</v>
      </c>
      <c r="E67" s="329">
        <v>31</v>
      </c>
      <c r="F67" s="329">
        <v>0</v>
      </c>
      <c r="G67" s="329">
        <v>0</v>
      </c>
      <c r="H67" s="329">
        <v>31</v>
      </c>
      <c r="I67" s="329">
        <v>0</v>
      </c>
      <c r="J67" s="329">
        <v>17</v>
      </c>
      <c r="K67" s="333">
        <v>17</v>
      </c>
      <c r="L67" s="333"/>
      <c r="M67" s="165"/>
      <c r="N67" s="401">
        <v>100011102</v>
      </c>
      <c r="O67" s="329">
        <v>0</v>
      </c>
      <c r="P67" s="329">
        <v>0</v>
      </c>
      <c r="Q67" s="329">
        <v>31</v>
      </c>
      <c r="R67" s="333">
        <v>31</v>
      </c>
      <c r="S67" s="333">
        <v>578563</v>
      </c>
      <c r="T67" s="335">
        <v>1.1000000000000001</v>
      </c>
      <c r="U67" s="165">
        <f>VLOOKUP(N67,'[2]154'!$C$9:$T$554,18,0)</f>
        <v>31</v>
      </c>
      <c r="V67" s="401">
        <v>100011102</v>
      </c>
      <c r="W67" s="406">
        <v>17</v>
      </c>
      <c r="X67" s="405">
        <v>20476.647058823528</v>
      </c>
      <c r="Y67" s="406">
        <v>348103</v>
      </c>
      <c r="Z67" s="3"/>
      <c r="AA67" s="401">
        <v>100011102</v>
      </c>
      <c r="AB67" s="329">
        <v>0</v>
      </c>
      <c r="AC67" s="329">
        <v>0</v>
      </c>
      <c r="AD67" s="329">
        <v>31</v>
      </c>
      <c r="AE67" s="329">
        <v>31</v>
      </c>
      <c r="AF67" s="329">
        <v>25</v>
      </c>
      <c r="AG67" s="329">
        <v>244768</v>
      </c>
      <c r="AH67" s="3"/>
      <c r="AI67" s="401">
        <v>100011102</v>
      </c>
      <c r="AJ67" s="329">
        <v>0</v>
      </c>
      <c r="AK67" s="329">
        <v>0</v>
      </c>
      <c r="AL67" s="329">
        <v>31</v>
      </c>
      <c r="AM67" s="329">
        <v>31</v>
      </c>
      <c r="AN67" s="329">
        <v>25</v>
      </c>
      <c r="AO67" s="329">
        <v>333795</v>
      </c>
    </row>
    <row r="68" spans="1:41" s="211" customFormat="1" ht="15.75">
      <c r="A68" s="333">
        <v>62</v>
      </c>
      <c r="B68" s="169" t="s">
        <v>161</v>
      </c>
      <c r="C68" s="400">
        <v>2335</v>
      </c>
      <c r="D68" s="333">
        <v>22526</v>
      </c>
      <c r="E68" s="333">
        <v>1055</v>
      </c>
      <c r="F68" s="333">
        <v>0</v>
      </c>
      <c r="G68" s="333">
        <v>128</v>
      </c>
      <c r="H68" s="333">
        <v>927</v>
      </c>
      <c r="I68" s="333">
        <v>0</v>
      </c>
      <c r="J68" s="333">
        <v>0</v>
      </c>
      <c r="K68" s="333">
        <v>0</v>
      </c>
      <c r="L68" s="333"/>
      <c r="M68" s="208"/>
      <c r="N68" s="400">
        <v>2335</v>
      </c>
      <c r="O68" s="333">
        <v>0</v>
      </c>
      <c r="P68" s="333">
        <v>128</v>
      </c>
      <c r="Q68" s="333">
        <v>927</v>
      </c>
      <c r="R68" s="333">
        <v>1055</v>
      </c>
      <c r="S68" s="333">
        <v>18968919</v>
      </c>
      <c r="T68" s="334">
        <v>1.23</v>
      </c>
      <c r="U68" s="165">
        <f>VLOOKUP(N68,'[2]154'!$C$9:$T$554,18,0)</f>
        <v>1055</v>
      </c>
      <c r="V68" s="400">
        <v>2335</v>
      </c>
      <c r="W68" s="404"/>
      <c r="X68" s="405"/>
      <c r="Y68" s="404"/>
      <c r="Z68" s="169"/>
      <c r="AA68" s="400">
        <v>2335</v>
      </c>
      <c r="AB68" s="333">
        <v>0</v>
      </c>
      <c r="AC68" s="333">
        <v>128</v>
      </c>
      <c r="AD68" s="333">
        <v>927</v>
      </c>
      <c r="AE68" s="333">
        <v>1055</v>
      </c>
      <c r="AF68" s="333">
        <v>806</v>
      </c>
      <c r="AG68" s="333">
        <v>7267820</v>
      </c>
      <c r="AH68" s="169"/>
      <c r="AI68" s="400">
        <v>2335</v>
      </c>
      <c r="AJ68" s="333">
        <v>0</v>
      </c>
      <c r="AK68" s="333">
        <v>128</v>
      </c>
      <c r="AL68" s="333">
        <v>927</v>
      </c>
      <c r="AM68" s="333">
        <v>1055</v>
      </c>
      <c r="AN68" s="333">
        <v>806</v>
      </c>
      <c r="AO68" s="333">
        <v>11701099</v>
      </c>
    </row>
    <row r="69" spans="1:41" ht="15.75">
      <c r="A69" s="333">
        <v>63</v>
      </c>
      <c r="B69" s="3" t="s">
        <v>161</v>
      </c>
      <c r="C69" s="401">
        <v>7220</v>
      </c>
      <c r="D69" s="329">
        <v>4782</v>
      </c>
      <c r="E69" s="329">
        <v>398</v>
      </c>
      <c r="F69" s="329">
        <v>0</v>
      </c>
      <c r="G69" s="329">
        <v>76</v>
      </c>
      <c r="H69" s="329">
        <v>322</v>
      </c>
      <c r="I69" s="329">
        <v>0</v>
      </c>
      <c r="J69" s="329">
        <v>154</v>
      </c>
      <c r="K69" s="333">
        <v>154</v>
      </c>
      <c r="L69" s="333"/>
      <c r="M69" s="165"/>
      <c r="N69" s="401">
        <v>7220</v>
      </c>
      <c r="O69" s="329">
        <v>0</v>
      </c>
      <c r="P69" s="329">
        <v>76</v>
      </c>
      <c r="Q69" s="329">
        <v>322</v>
      </c>
      <c r="R69" s="333">
        <v>398</v>
      </c>
      <c r="S69" s="333">
        <v>13971245</v>
      </c>
      <c r="T69" s="335">
        <v>2.27</v>
      </c>
      <c r="U69" s="165">
        <f>VLOOKUP(N69,'[2]154'!$C$9:$T$554,18,0)</f>
        <v>398</v>
      </c>
      <c r="V69" s="401">
        <v>7220</v>
      </c>
      <c r="W69" s="406">
        <v>154</v>
      </c>
      <c r="X69" s="405">
        <v>47144.727272727272</v>
      </c>
      <c r="Y69" s="406">
        <v>7260288</v>
      </c>
      <c r="Z69" s="3"/>
      <c r="AA69" s="401">
        <v>7220</v>
      </c>
      <c r="AB69" s="329">
        <v>0</v>
      </c>
      <c r="AC69" s="329">
        <v>76</v>
      </c>
      <c r="AD69" s="329">
        <v>322</v>
      </c>
      <c r="AE69" s="329">
        <v>398</v>
      </c>
      <c r="AF69" s="329">
        <v>296</v>
      </c>
      <c r="AG69" s="329">
        <v>5749825</v>
      </c>
      <c r="AH69" s="3"/>
      <c r="AI69" s="401">
        <v>7220</v>
      </c>
      <c r="AJ69" s="329">
        <v>0</v>
      </c>
      <c r="AK69" s="329">
        <v>76</v>
      </c>
      <c r="AL69" s="329">
        <v>322</v>
      </c>
      <c r="AM69" s="329">
        <v>398</v>
      </c>
      <c r="AN69" s="329">
        <v>296</v>
      </c>
      <c r="AO69" s="329">
        <v>8221420</v>
      </c>
    </row>
    <row r="70" spans="1:41" ht="15.75">
      <c r="A70" s="333">
        <v>64</v>
      </c>
      <c r="B70" s="3" t="s">
        <v>161</v>
      </c>
      <c r="C70" s="398" t="s">
        <v>193</v>
      </c>
      <c r="D70" s="329">
        <v>0</v>
      </c>
      <c r="E70" s="329">
        <v>72</v>
      </c>
      <c r="F70" s="329">
        <v>0</v>
      </c>
      <c r="G70" s="329">
        <v>0</v>
      </c>
      <c r="H70" s="329">
        <v>72</v>
      </c>
      <c r="I70" s="329">
        <v>0</v>
      </c>
      <c r="J70" s="329">
        <v>56</v>
      </c>
      <c r="K70" s="333">
        <v>56</v>
      </c>
      <c r="L70" s="333"/>
      <c r="M70" s="165"/>
      <c r="N70" s="398" t="s">
        <v>193</v>
      </c>
      <c r="O70" s="329">
        <v>0</v>
      </c>
      <c r="P70" s="329">
        <v>0</v>
      </c>
      <c r="Q70" s="329">
        <v>72</v>
      </c>
      <c r="R70" s="333">
        <v>72</v>
      </c>
      <c r="S70" s="333">
        <v>4673111</v>
      </c>
      <c r="T70" s="335">
        <v>3.8</v>
      </c>
      <c r="U70" s="165">
        <f>VLOOKUP(N70,'[2]154'!$C$9:$T$554,18,0)</f>
        <v>72</v>
      </c>
      <c r="V70" s="398" t="s">
        <v>193</v>
      </c>
      <c r="W70" s="406">
        <v>56</v>
      </c>
      <c r="X70" s="405">
        <v>80570.892857142855</v>
      </c>
      <c r="Y70" s="406">
        <v>4511970</v>
      </c>
      <c r="Z70" s="3"/>
      <c r="AA70" s="398" t="s">
        <v>193</v>
      </c>
      <c r="AB70" s="329">
        <v>0</v>
      </c>
      <c r="AC70" s="329">
        <v>0</v>
      </c>
      <c r="AD70" s="329">
        <v>72</v>
      </c>
      <c r="AE70" s="329">
        <v>72</v>
      </c>
      <c r="AF70" s="329">
        <v>58</v>
      </c>
      <c r="AG70" s="329">
        <v>1977015</v>
      </c>
      <c r="AH70" s="3"/>
      <c r="AI70" s="398" t="s">
        <v>193</v>
      </c>
      <c r="AJ70" s="329">
        <v>0</v>
      </c>
      <c r="AK70" s="329">
        <v>0</v>
      </c>
      <c r="AL70" s="329">
        <v>72</v>
      </c>
      <c r="AM70" s="329">
        <v>72</v>
      </c>
      <c r="AN70" s="329">
        <v>58</v>
      </c>
      <c r="AO70" s="329">
        <v>2696096</v>
      </c>
    </row>
    <row r="71" spans="1:41" s="211" customFormat="1" ht="15.75">
      <c r="A71" s="333">
        <v>65</v>
      </c>
      <c r="B71" s="169" t="s">
        <v>161</v>
      </c>
      <c r="C71" s="397" t="s">
        <v>194</v>
      </c>
      <c r="D71" s="333">
        <v>0</v>
      </c>
      <c r="E71" s="333">
        <v>180</v>
      </c>
      <c r="F71" s="333">
        <v>0</v>
      </c>
      <c r="G71" s="333">
        <v>0</v>
      </c>
      <c r="H71" s="333">
        <v>180</v>
      </c>
      <c r="I71" s="333">
        <v>0</v>
      </c>
      <c r="J71" s="333">
        <v>37</v>
      </c>
      <c r="K71" s="333">
        <v>37</v>
      </c>
      <c r="L71" s="333"/>
      <c r="M71" s="208"/>
      <c r="N71" s="397" t="s">
        <v>194</v>
      </c>
      <c r="O71" s="333">
        <v>0</v>
      </c>
      <c r="P71" s="333">
        <v>0</v>
      </c>
      <c r="Q71" s="333">
        <v>180</v>
      </c>
      <c r="R71" s="333">
        <v>180</v>
      </c>
      <c r="S71" s="333">
        <v>5941256</v>
      </c>
      <c r="T71" s="334">
        <v>1.95</v>
      </c>
      <c r="U71" s="165">
        <f>VLOOKUP(N71,'[2]154'!$C$9:$T$554,18,0)</f>
        <v>180</v>
      </c>
      <c r="V71" s="397" t="s">
        <v>194</v>
      </c>
      <c r="W71" s="404">
        <v>37</v>
      </c>
      <c r="X71" s="405">
        <v>41051.24324324324</v>
      </c>
      <c r="Y71" s="404">
        <v>1518896</v>
      </c>
      <c r="Z71" s="169"/>
      <c r="AA71" s="397" t="s">
        <v>194</v>
      </c>
      <c r="AB71" s="333">
        <v>0</v>
      </c>
      <c r="AC71" s="333">
        <v>0</v>
      </c>
      <c r="AD71" s="333">
        <v>180</v>
      </c>
      <c r="AE71" s="333">
        <v>180</v>
      </c>
      <c r="AF71" s="333">
        <v>144</v>
      </c>
      <c r="AG71" s="333">
        <v>2513519</v>
      </c>
      <c r="AH71" s="169"/>
      <c r="AI71" s="397" t="s">
        <v>194</v>
      </c>
      <c r="AJ71" s="333">
        <v>0</v>
      </c>
      <c r="AK71" s="333">
        <v>0</v>
      </c>
      <c r="AL71" s="333">
        <v>180</v>
      </c>
      <c r="AM71" s="333">
        <v>180</v>
      </c>
      <c r="AN71" s="333">
        <v>144</v>
      </c>
      <c r="AO71" s="333">
        <v>3427737</v>
      </c>
    </row>
    <row r="72" spans="1:41" ht="15.75">
      <c r="A72" s="333">
        <v>66</v>
      </c>
      <c r="B72" s="3" t="s">
        <v>161</v>
      </c>
      <c r="C72" s="398" t="s">
        <v>195</v>
      </c>
      <c r="D72" s="329">
        <v>0</v>
      </c>
      <c r="E72" s="329">
        <v>387</v>
      </c>
      <c r="F72" s="329">
        <v>0</v>
      </c>
      <c r="G72" s="329">
        <v>0</v>
      </c>
      <c r="H72" s="329">
        <v>387</v>
      </c>
      <c r="I72" s="329">
        <v>0</v>
      </c>
      <c r="J72" s="329">
        <v>316</v>
      </c>
      <c r="K72" s="333">
        <v>316</v>
      </c>
      <c r="L72" s="333"/>
      <c r="M72" s="165"/>
      <c r="N72" s="398" t="s">
        <v>195</v>
      </c>
      <c r="O72" s="329">
        <v>0</v>
      </c>
      <c r="P72" s="329">
        <v>0</v>
      </c>
      <c r="Q72" s="329">
        <v>387</v>
      </c>
      <c r="R72" s="333">
        <v>387</v>
      </c>
      <c r="S72" s="333">
        <v>24943442</v>
      </c>
      <c r="T72" s="335">
        <v>3.8</v>
      </c>
      <c r="U72" s="165">
        <f>VLOOKUP(N72,'[2]154'!$C$9:$T$554,18,0)</f>
        <v>387</v>
      </c>
      <c r="V72" s="398" t="s">
        <v>195</v>
      </c>
      <c r="W72" s="406">
        <v>316</v>
      </c>
      <c r="X72" s="405">
        <v>70253.968354430384</v>
      </c>
      <c r="Y72" s="406">
        <v>22200254</v>
      </c>
      <c r="Z72" s="3"/>
      <c r="AA72" s="398" t="s">
        <v>195</v>
      </c>
      <c r="AB72" s="329">
        <v>0</v>
      </c>
      <c r="AC72" s="329">
        <v>0</v>
      </c>
      <c r="AD72" s="329">
        <v>387</v>
      </c>
      <c r="AE72" s="329">
        <v>387</v>
      </c>
      <c r="AF72" s="329">
        <v>310</v>
      </c>
      <c r="AG72" s="329">
        <v>10552620</v>
      </c>
      <c r="AH72" s="3"/>
      <c r="AI72" s="398" t="s">
        <v>195</v>
      </c>
      <c r="AJ72" s="329">
        <v>0</v>
      </c>
      <c r="AK72" s="329">
        <v>0</v>
      </c>
      <c r="AL72" s="329">
        <v>387</v>
      </c>
      <c r="AM72" s="329">
        <v>387</v>
      </c>
      <c r="AN72" s="329">
        <v>310</v>
      </c>
      <c r="AO72" s="329">
        <v>14390822</v>
      </c>
    </row>
    <row r="73" spans="1:41" s="211" customFormat="1" ht="15.75">
      <c r="A73" s="333">
        <v>67</v>
      </c>
      <c r="B73" s="169" t="s">
        <v>161</v>
      </c>
      <c r="C73" s="397" t="s">
        <v>196</v>
      </c>
      <c r="D73" s="333">
        <v>0</v>
      </c>
      <c r="E73" s="333">
        <v>0</v>
      </c>
      <c r="F73" s="333">
        <v>0</v>
      </c>
      <c r="G73" s="333">
        <v>0</v>
      </c>
      <c r="H73" s="333">
        <v>0</v>
      </c>
      <c r="I73" s="333">
        <v>0</v>
      </c>
      <c r="J73" s="333">
        <v>117</v>
      </c>
      <c r="K73" s="333">
        <v>117</v>
      </c>
      <c r="L73" s="333"/>
      <c r="M73" s="165"/>
      <c r="N73" s="397" t="s">
        <v>196</v>
      </c>
      <c r="O73" s="333">
        <v>0</v>
      </c>
      <c r="P73" s="333">
        <v>0</v>
      </c>
      <c r="Q73" s="333">
        <v>0</v>
      </c>
      <c r="R73" s="333">
        <v>0</v>
      </c>
      <c r="S73" s="333">
        <v>0</v>
      </c>
      <c r="T73" s="334">
        <v>2.2000000000000002</v>
      </c>
      <c r="U73" s="165">
        <f>VLOOKUP(N73,'[2]154'!$C$9:$T$554,18,0)</f>
        <v>0</v>
      </c>
      <c r="V73" s="397" t="s">
        <v>196</v>
      </c>
      <c r="W73" s="404">
        <v>117</v>
      </c>
      <c r="X73" s="405">
        <v>46646.307692307695</v>
      </c>
      <c r="Y73" s="404">
        <v>5457618</v>
      </c>
      <c r="Z73" s="169"/>
      <c r="AA73" s="397" t="s">
        <v>196</v>
      </c>
      <c r="AB73" s="333">
        <v>0</v>
      </c>
      <c r="AC73" s="333">
        <v>0</v>
      </c>
      <c r="AD73" s="333">
        <v>0</v>
      </c>
      <c r="AE73" s="333">
        <v>0</v>
      </c>
      <c r="AF73" s="333">
        <v>0</v>
      </c>
      <c r="AG73" s="333">
        <v>0</v>
      </c>
      <c r="AH73" s="169"/>
      <c r="AI73" s="397" t="s">
        <v>196</v>
      </c>
      <c r="AJ73" s="333">
        <v>0</v>
      </c>
      <c r="AK73" s="333">
        <v>0</v>
      </c>
      <c r="AL73" s="333">
        <v>0</v>
      </c>
      <c r="AM73" s="333">
        <v>0</v>
      </c>
      <c r="AN73" s="333">
        <v>0</v>
      </c>
      <c r="AO73" s="333">
        <v>0</v>
      </c>
    </row>
    <row r="74" spans="1:41" s="211" customFormat="1" ht="15.75">
      <c r="A74" s="333">
        <v>68</v>
      </c>
      <c r="B74" s="169" t="s">
        <v>161</v>
      </c>
      <c r="C74" s="397" t="s">
        <v>197</v>
      </c>
      <c r="D74" s="333">
        <v>0</v>
      </c>
      <c r="E74" s="333">
        <v>92</v>
      </c>
      <c r="F74" s="333">
        <v>0</v>
      </c>
      <c r="G74" s="333">
        <v>0</v>
      </c>
      <c r="H74" s="333">
        <v>92</v>
      </c>
      <c r="I74" s="333">
        <v>0</v>
      </c>
      <c r="J74" s="333">
        <v>33</v>
      </c>
      <c r="K74" s="333">
        <v>33</v>
      </c>
      <c r="L74" s="333"/>
      <c r="M74" s="208"/>
      <c r="N74" s="397" t="s">
        <v>197</v>
      </c>
      <c r="O74" s="333">
        <v>0</v>
      </c>
      <c r="P74" s="333">
        <v>0</v>
      </c>
      <c r="Q74" s="333">
        <v>92</v>
      </c>
      <c r="R74" s="333">
        <v>92</v>
      </c>
      <c r="S74" s="333">
        <v>2824221</v>
      </c>
      <c r="T74" s="334">
        <v>1.8</v>
      </c>
      <c r="U74" s="165">
        <f>VLOOKUP(N74,'[2]154'!$C$9:$T$554,18,0)</f>
        <v>92</v>
      </c>
      <c r="V74" s="397" t="s">
        <v>197</v>
      </c>
      <c r="W74" s="404">
        <v>33</v>
      </c>
      <c r="X74" s="405">
        <v>38165.151515151512</v>
      </c>
      <c r="Y74" s="404">
        <v>1259450</v>
      </c>
      <c r="Z74" s="169"/>
      <c r="AA74" s="397" t="s">
        <v>197</v>
      </c>
      <c r="AB74" s="333">
        <v>0</v>
      </c>
      <c r="AC74" s="333">
        <v>0</v>
      </c>
      <c r="AD74" s="333">
        <v>92</v>
      </c>
      <c r="AE74" s="333">
        <v>92</v>
      </c>
      <c r="AF74" s="333">
        <v>74</v>
      </c>
      <c r="AG74" s="333">
        <v>1194820</v>
      </c>
      <c r="AH74" s="169"/>
      <c r="AI74" s="397" t="s">
        <v>197</v>
      </c>
      <c r="AJ74" s="333">
        <v>0</v>
      </c>
      <c r="AK74" s="333">
        <v>0</v>
      </c>
      <c r="AL74" s="333">
        <v>92</v>
      </c>
      <c r="AM74" s="333">
        <v>92</v>
      </c>
      <c r="AN74" s="333">
        <v>74</v>
      </c>
      <c r="AO74" s="333">
        <v>1629401</v>
      </c>
    </row>
    <row r="75" spans="1:41" s="211" customFormat="1" ht="15.75">
      <c r="A75" s="333">
        <v>69</v>
      </c>
      <c r="B75" s="169" t="s">
        <v>161</v>
      </c>
      <c r="C75" s="397" t="s">
        <v>198</v>
      </c>
      <c r="D75" s="333">
        <v>0</v>
      </c>
      <c r="E75" s="333">
        <v>119</v>
      </c>
      <c r="F75" s="333">
        <v>0</v>
      </c>
      <c r="G75" s="333">
        <v>0</v>
      </c>
      <c r="H75" s="333">
        <v>119</v>
      </c>
      <c r="I75" s="333">
        <v>0</v>
      </c>
      <c r="J75" s="333">
        <v>0</v>
      </c>
      <c r="K75" s="333">
        <v>0</v>
      </c>
      <c r="L75" s="333"/>
      <c r="M75" s="165"/>
      <c r="N75" s="397" t="s">
        <v>198</v>
      </c>
      <c r="O75" s="333">
        <v>0</v>
      </c>
      <c r="P75" s="333">
        <v>0</v>
      </c>
      <c r="Q75" s="333">
        <v>119</v>
      </c>
      <c r="R75" s="333">
        <v>119</v>
      </c>
      <c r="S75" s="333">
        <v>7452807</v>
      </c>
      <c r="T75" s="334">
        <v>3.7</v>
      </c>
      <c r="U75" s="165">
        <f>VLOOKUP(N75,'[2]154'!$C$9:$T$554,18,0)</f>
        <v>119</v>
      </c>
      <c r="V75" s="397" t="s">
        <v>198</v>
      </c>
      <c r="W75" s="404">
        <v>0</v>
      </c>
      <c r="X75" s="405">
        <v>0</v>
      </c>
      <c r="Y75" s="404">
        <v>0</v>
      </c>
      <c r="Z75" s="169"/>
      <c r="AA75" s="397" t="s">
        <v>198</v>
      </c>
      <c r="AB75" s="333">
        <v>0</v>
      </c>
      <c r="AC75" s="333">
        <v>0</v>
      </c>
      <c r="AD75" s="333">
        <v>119</v>
      </c>
      <c r="AE75" s="333">
        <v>119</v>
      </c>
      <c r="AF75" s="333">
        <v>95</v>
      </c>
      <c r="AG75" s="333">
        <v>3152999</v>
      </c>
      <c r="AH75" s="169"/>
      <c r="AI75" s="397" t="s">
        <v>198</v>
      </c>
      <c r="AJ75" s="333">
        <v>0</v>
      </c>
      <c r="AK75" s="333">
        <v>0</v>
      </c>
      <c r="AL75" s="333">
        <v>119</v>
      </c>
      <c r="AM75" s="333">
        <v>119</v>
      </c>
      <c r="AN75" s="333">
        <v>95</v>
      </c>
      <c r="AO75" s="333">
        <v>4299808</v>
      </c>
    </row>
    <row r="76" spans="1:41" s="211" customFormat="1" ht="15.75">
      <c r="A76" s="333">
        <v>70</v>
      </c>
      <c r="B76" s="169" t="s">
        <v>105</v>
      </c>
      <c r="C76" s="400">
        <v>448556</v>
      </c>
      <c r="D76" s="333">
        <v>0</v>
      </c>
      <c r="E76" s="333">
        <v>56</v>
      </c>
      <c r="F76" s="333">
        <v>0</v>
      </c>
      <c r="G76" s="333">
        <v>0</v>
      </c>
      <c r="H76" s="333">
        <v>56</v>
      </c>
      <c r="I76" s="333">
        <v>0</v>
      </c>
      <c r="J76" s="333">
        <v>57</v>
      </c>
      <c r="K76" s="333">
        <v>57</v>
      </c>
      <c r="L76" s="333"/>
      <c r="M76" s="165"/>
      <c r="N76" s="400">
        <v>448556</v>
      </c>
      <c r="O76" s="333">
        <v>0</v>
      </c>
      <c r="P76" s="333">
        <v>0</v>
      </c>
      <c r="Q76" s="333">
        <v>56</v>
      </c>
      <c r="R76" s="333">
        <v>56</v>
      </c>
      <c r="S76" s="333">
        <v>2537504</v>
      </c>
      <c r="T76" s="334">
        <v>2.65</v>
      </c>
      <c r="U76" s="165">
        <f>VLOOKUP(N76,'[2]154'!$C$9:$T$554,18,0)</f>
        <v>56</v>
      </c>
      <c r="V76" s="400">
        <v>448556</v>
      </c>
      <c r="W76" s="404">
        <v>57</v>
      </c>
      <c r="X76" s="405">
        <v>55151.877192982458</v>
      </c>
      <c r="Y76" s="404">
        <v>3143657</v>
      </c>
      <c r="Z76" s="169"/>
      <c r="AA76" s="400">
        <v>448556</v>
      </c>
      <c r="AB76" s="333">
        <v>0</v>
      </c>
      <c r="AC76" s="333">
        <v>0</v>
      </c>
      <c r="AD76" s="333">
        <v>56</v>
      </c>
      <c r="AE76" s="333">
        <v>56</v>
      </c>
      <c r="AF76" s="333">
        <v>45</v>
      </c>
      <c r="AG76" s="333">
        <v>1073521</v>
      </c>
      <c r="AH76" s="169"/>
      <c r="AI76" s="400">
        <v>448556</v>
      </c>
      <c r="AJ76" s="333">
        <v>0</v>
      </c>
      <c r="AK76" s="333">
        <v>0</v>
      </c>
      <c r="AL76" s="333">
        <v>56</v>
      </c>
      <c r="AM76" s="333">
        <v>56</v>
      </c>
      <c r="AN76" s="333">
        <v>45</v>
      </c>
      <c r="AO76" s="333">
        <v>1463983</v>
      </c>
    </row>
    <row r="77" spans="1:41" s="211" customFormat="1" ht="15.75">
      <c r="A77" s="333">
        <v>71</v>
      </c>
      <c r="B77" s="169" t="s">
        <v>105</v>
      </c>
      <c r="C77" s="400">
        <v>454819</v>
      </c>
      <c r="D77" s="333">
        <v>0</v>
      </c>
      <c r="E77" s="333">
        <v>121</v>
      </c>
      <c r="F77" s="333">
        <v>0</v>
      </c>
      <c r="G77" s="333">
        <v>0</v>
      </c>
      <c r="H77" s="333">
        <v>121</v>
      </c>
      <c r="I77" s="333">
        <v>0</v>
      </c>
      <c r="J77" s="333">
        <v>23</v>
      </c>
      <c r="K77" s="333">
        <v>23</v>
      </c>
      <c r="L77" s="333"/>
      <c r="M77" s="208"/>
      <c r="N77" s="400">
        <v>454819</v>
      </c>
      <c r="O77" s="333">
        <v>0</v>
      </c>
      <c r="P77" s="333">
        <v>0</v>
      </c>
      <c r="Q77" s="333">
        <v>121</v>
      </c>
      <c r="R77" s="333">
        <v>121</v>
      </c>
      <c r="S77" s="333">
        <v>6463245</v>
      </c>
      <c r="T77" s="334">
        <v>2.15</v>
      </c>
      <c r="U77" s="165">
        <f>VLOOKUP(N77,'[2]154'!$C$9:$T$554,18,0)</f>
        <v>121</v>
      </c>
      <c r="V77" s="400">
        <v>454819</v>
      </c>
      <c r="W77" s="404">
        <v>23</v>
      </c>
      <c r="X77" s="405">
        <v>54086.391304347824</v>
      </c>
      <c r="Y77" s="404">
        <v>1243987</v>
      </c>
      <c r="Z77" s="169"/>
      <c r="AA77" s="400">
        <v>454819</v>
      </c>
      <c r="AB77" s="333">
        <v>0</v>
      </c>
      <c r="AC77" s="333">
        <v>0</v>
      </c>
      <c r="AD77" s="333">
        <v>121</v>
      </c>
      <c r="AE77" s="333">
        <v>121</v>
      </c>
      <c r="AF77" s="333">
        <v>97</v>
      </c>
      <c r="AG77" s="333">
        <v>2734353</v>
      </c>
      <c r="AH77" s="169"/>
      <c r="AI77" s="400">
        <v>454819</v>
      </c>
      <c r="AJ77" s="333">
        <v>0</v>
      </c>
      <c r="AK77" s="333">
        <v>0</v>
      </c>
      <c r="AL77" s="333">
        <v>121</v>
      </c>
      <c r="AM77" s="333">
        <v>121</v>
      </c>
      <c r="AN77" s="333">
        <v>97</v>
      </c>
      <c r="AO77" s="333">
        <v>3728892</v>
      </c>
    </row>
    <row r="78" spans="1:41" ht="15.75">
      <c r="A78" s="333">
        <v>72</v>
      </c>
      <c r="B78" s="169" t="s">
        <v>105</v>
      </c>
      <c r="C78" s="398">
        <v>457050</v>
      </c>
      <c r="D78" s="329">
        <v>0</v>
      </c>
      <c r="E78" s="329">
        <v>262</v>
      </c>
      <c r="F78" s="329">
        <v>0</v>
      </c>
      <c r="G78" s="329">
        <v>0</v>
      </c>
      <c r="H78" s="329">
        <v>262</v>
      </c>
      <c r="I78" s="329">
        <v>0</v>
      </c>
      <c r="J78" s="329">
        <v>45</v>
      </c>
      <c r="K78" s="333">
        <v>45</v>
      </c>
      <c r="L78" s="333"/>
      <c r="M78" s="165"/>
      <c r="N78" s="398">
        <v>457050</v>
      </c>
      <c r="O78" s="329">
        <v>0</v>
      </c>
      <c r="P78" s="329">
        <v>0</v>
      </c>
      <c r="Q78" s="329">
        <v>262</v>
      </c>
      <c r="R78" s="333">
        <v>262</v>
      </c>
      <c r="S78" s="333">
        <v>10445514</v>
      </c>
      <c r="T78" s="335">
        <v>2.15</v>
      </c>
      <c r="U78" s="165">
        <f>VLOOKUP(N78,'[2]154'!$C$9:$T$554,18,0)</f>
        <v>262</v>
      </c>
      <c r="V78" s="398">
        <v>457050</v>
      </c>
      <c r="W78" s="406">
        <v>45</v>
      </c>
      <c r="X78" s="405">
        <v>45549.422222222223</v>
      </c>
      <c r="Y78" s="406">
        <v>2049724</v>
      </c>
      <c r="Z78" s="3"/>
      <c r="AA78" s="398">
        <v>457050</v>
      </c>
      <c r="AB78" s="329">
        <v>0</v>
      </c>
      <c r="AC78" s="329">
        <v>0</v>
      </c>
      <c r="AD78" s="329">
        <v>262</v>
      </c>
      <c r="AE78" s="329">
        <v>262</v>
      </c>
      <c r="AF78" s="329">
        <v>210</v>
      </c>
      <c r="AG78" s="329">
        <v>4419099</v>
      </c>
      <c r="AH78" s="3"/>
      <c r="AI78" s="398">
        <v>457050</v>
      </c>
      <c r="AJ78" s="329">
        <v>0</v>
      </c>
      <c r="AK78" s="329">
        <v>0</v>
      </c>
      <c r="AL78" s="329">
        <v>262</v>
      </c>
      <c r="AM78" s="329">
        <v>262</v>
      </c>
      <c r="AN78" s="329">
        <v>210</v>
      </c>
      <c r="AO78" s="329">
        <v>6026415</v>
      </c>
    </row>
    <row r="79" spans="1:41" ht="15.75">
      <c r="A79" s="333">
        <v>73</v>
      </c>
      <c r="B79" s="3" t="s">
        <v>101</v>
      </c>
      <c r="C79" s="401">
        <v>100007750</v>
      </c>
      <c r="D79" s="329">
        <v>0</v>
      </c>
      <c r="E79" s="329">
        <v>42</v>
      </c>
      <c r="F79" s="329">
        <v>0</v>
      </c>
      <c r="G79" s="329">
        <v>0</v>
      </c>
      <c r="H79" s="329">
        <v>42</v>
      </c>
      <c r="I79" s="329">
        <v>0</v>
      </c>
      <c r="J79" s="329">
        <v>0</v>
      </c>
      <c r="K79" s="333">
        <v>0</v>
      </c>
      <c r="L79" s="333"/>
      <c r="M79" s="165"/>
      <c r="N79" s="401">
        <v>100007750</v>
      </c>
      <c r="O79" s="329">
        <v>0</v>
      </c>
      <c r="P79" s="329">
        <v>0</v>
      </c>
      <c r="Q79" s="329">
        <v>42</v>
      </c>
      <c r="R79" s="333">
        <v>42</v>
      </c>
      <c r="S79" s="333">
        <v>2136732</v>
      </c>
      <c r="T79" s="335">
        <v>3</v>
      </c>
      <c r="U79" s="165">
        <f>VLOOKUP(N79,'[2]154'!$C$9:$T$554,18,0)</f>
        <v>42</v>
      </c>
      <c r="V79" s="401">
        <v>100007750</v>
      </c>
      <c r="W79" s="406">
        <v>0</v>
      </c>
      <c r="X79" s="405">
        <v>0</v>
      </c>
      <c r="Y79" s="406">
        <v>0</v>
      </c>
      <c r="Z79" s="3"/>
      <c r="AA79" s="401">
        <v>100007750</v>
      </c>
      <c r="AB79" s="329">
        <v>0</v>
      </c>
      <c r="AC79" s="329">
        <v>0</v>
      </c>
      <c r="AD79" s="329">
        <v>42</v>
      </c>
      <c r="AE79" s="329">
        <v>42</v>
      </c>
      <c r="AF79" s="329">
        <v>34</v>
      </c>
      <c r="AG79" s="329">
        <v>903970</v>
      </c>
      <c r="AH79" s="3"/>
      <c r="AI79" s="401">
        <v>100007750</v>
      </c>
      <c r="AJ79" s="329">
        <v>0</v>
      </c>
      <c r="AK79" s="329">
        <v>0</v>
      </c>
      <c r="AL79" s="329">
        <v>42</v>
      </c>
      <c r="AM79" s="329">
        <v>42</v>
      </c>
      <c r="AN79" s="329">
        <v>34</v>
      </c>
      <c r="AO79" s="329">
        <v>1232762</v>
      </c>
    </row>
    <row r="80" spans="1:41" ht="15.75">
      <c r="A80" s="333">
        <v>74</v>
      </c>
      <c r="B80" s="3" t="s">
        <v>101</v>
      </c>
      <c r="C80" s="401">
        <v>100008168</v>
      </c>
      <c r="D80" s="329">
        <v>0</v>
      </c>
      <c r="E80" s="329">
        <v>94</v>
      </c>
      <c r="F80" s="329">
        <v>0</v>
      </c>
      <c r="G80" s="329">
        <v>0</v>
      </c>
      <c r="H80" s="329">
        <v>94</v>
      </c>
      <c r="I80" s="329">
        <v>0</v>
      </c>
      <c r="J80" s="329">
        <v>0</v>
      </c>
      <c r="K80" s="333">
        <v>0</v>
      </c>
      <c r="L80" s="333"/>
      <c r="M80" s="208"/>
      <c r="N80" s="401">
        <v>100008168</v>
      </c>
      <c r="O80" s="329">
        <v>0</v>
      </c>
      <c r="P80" s="329">
        <v>0</v>
      </c>
      <c r="Q80" s="329">
        <v>94</v>
      </c>
      <c r="R80" s="333">
        <v>94</v>
      </c>
      <c r="S80" s="333">
        <v>5088688</v>
      </c>
      <c r="T80" s="335">
        <v>3.2</v>
      </c>
      <c r="U80" s="165">
        <f>VLOOKUP(N80,'[2]154'!$C$9:$T$554,18,0)</f>
        <v>94</v>
      </c>
      <c r="V80" s="401">
        <v>100008168</v>
      </c>
      <c r="W80" s="406">
        <v>0</v>
      </c>
      <c r="X80" s="405">
        <v>0</v>
      </c>
      <c r="Y80" s="406">
        <v>0</v>
      </c>
      <c r="Z80" s="3"/>
      <c r="AA80" s="401">
        <v>100008168</v>
      </c>
      <c r="AB80" s="329">
        <v>0</v>
      </c>
      <c r="AC80" s="329">
        <v>0</v>
      </c>
      <c r="AD80" s="329">
        <v>94</v>
      </c>
      <c r="AE80" s="329">
        <v>94</v>
      </c>
      <c r="AF80" s="329">
        <v>75</v>
      </c>
      <c r="AG80" s="329">
        <v>2152830</v>
      </c>
      <c r="AH80" s="3"/>
      <c r="AI80" s="401">
        <v>100008168</v>
      </c>
      <c r="AJ80" s="329">
        <v>0</v>
      </c>
      <c r="AK80" s="329">
        <v>0</v>
      </c>
      <c r="AL80" s="329">
        <v>94</v>
      </c>
      <c r="AM80" s="329">
        <v>94</v>
      </c>
      <c r="AN80" s="329">
        <v>75</v>
      </c>
      <c r="AO80" s="329">
        <v>2935858</v>
      </c>
    </row>
    <row r="81" spans="1:41" s="211" customFormat="1" ht="15.75">
      <c r="A81" s="333">
        <v>75</v>
      </c>
      <c r="B81" s="169" t="s">
        <v>101</v>
      </c>
      <c r="C81" s="397" t="s">
        <v>200</v>
      </c>
      <c r="D81" s="333">
        <v>0</v>
      </c>
      <c r="E81" s="333">
        <v>48</v>
      </c>
      <c r="F81" s="333">
        <v>0</v>
      </c>
      <c r="G81" s="333">
        <v>0</v>
      </c>
      <c r="H81" s="333">
        <v>48</v>
      </c>
      <c r="I81" s="333">
        <v>0</v>
      </c>
      <c r="J81" s="333">
        <v>0</v>
      </c>
      <c r="K81" s="333">
        <v>0</v>
      </c>
      <c r="L81" s="333"/>
      <c r="M81" s="165"/>
      <c r="N81" s="397" t="s">
        <v>200</v>
      </c>
      <c r="O81" s="333">
        <v>0</v>
      </c>
      <c r="P81" s="333">
        <v>0</v>
      </c>
      <c r="Q81" s="333">
        <v>48</v>
      </c>
      <c r="R81" s="333">
        <v>48</v>
      </c>
      <c r="S81" s="333">
        <v>3383977</v>
      </c>
      <c r="T81" s="334">
        <v>4.2</v>
      </c>
      <c r="U81" s="165">
        <f>VLOOKUP(N81,'[2]154'!$C$9:$T$554,18,0)</f>
        <v>48</v>
      </c>
      <c r="V81" s="397" t="s">
        <v>200</v>
      </c>
      <c r="W81" s="404">
        <v>0</v>
      </c>
      <c r="X81" s="405">
        <v>0</v>
      </c>
      <c r="Y81" s="404">
        <v>0</v>
      </c>
      <c r="Z81" s="169"/>
      <c r="AA81" s="397" t="s">
        <v>200</v>
      </c>
      <c r="AB81" s="333">
        <v>0</v>
      </c>
      <c r="AC81" s="333">
        <v>0</v>
      </c>
      <c r="AD81" s="333">
        <v>48</v>
      </c>
      <c r="AE81" s="333">
        <v>48</v>
      </c>
      <c r="AF81" s="333">
        <v>38</v>
      </c>
      <c r="AG81" s="333">
        <v>1431632</v>
      </c>
      <c r="AH81" s="169"/>
      <c r="AI81" s="397" t="s">
        <v>200</v>
      </c>
      <c r="AJ81" s="333">
        <v>0</v>
      </c>
      <c r="AK81" s="333">
        <v>0</v>
      </c>
      <c r="AL81" s="333">
        <v>48</v>
      </c>
      <c r="AM81" s="333">
        <v>48</v>
      </c>
      <c r="AN81" s="333">
        <v>38</v>
      </c>
      <c r="AO81" s="333">
        <v>1952345</v>
      </c>
    </row>
    <row r="82" spans="1:41" s="211" customFormat="1" ht="15.75">
      <c r="A82" s="333">
        <v>76</v>
      </c>
      <c r="B82" s="169" t="s">
        <v>101</v>
      </c>
      <c r="C82" s="397" t="s">
        <v>169</v>
      </c>
      <c r="D82" s="333">
        <v>4528</v>
      </c>
      <c r="E82" s="333">
        <v>4385</v>
      </c>
      <c r="F82" s="333">
        <v>0</v>
      </c>
      <c r="G82" s="333">
        <v>1708</v>
      </c>
      <c r="H82" s="333">
        <v>2677</v>
      </c>
      <c r="I82" s="333">
        <v>143</v>
      </c>
      <c r="J82" s="333">
        <v>0</v>
      </c>
      <c r="K82" s="333">
        <v>143</v>
      </c>
      <c r="L82" s="333"/>
      <c r="M82" s="165"/>
      <c r="N82" s="397" t="s">
        <v>169</v>
      </c>
      <c r="O82" s="333">
        <v>0</v>
      </c>
      <c r="P82" s="333">
        <v>1708</v>
      </c>
      <c r="Q82" s="333">
        <v>2677</v>
      </c>
      <c r="R82" s="333">
        <v>4385</v>
      </c>
      <c r="S82" s="333">
        <v>184172487</v>
      </c>
      <c r="T82" s="334">
        <v>3.1</v>
      </c>
      <c r="U82" s="165">
        <f>VLOOKUP(N82,'[2]154'!$C$9:$T$554,18,0)</f>
        <v>4385</v>
      </c>
      <c r="V82" s="397" t="s">
        <v>169</v>
      </c>
      <c r="W82" s="404">
        <v>143</v>
      </c>
      <c r="X82" s="405">
        <v>64981.092592592591</v>
      </c>
      <c r="Y82" s="404">
        <f>17544895-8252599</f>
        <v>9292296</v>
      </c>
      <c r="Z82" s="169"/>
      <c r="AA82" s="397" t="s">
        <v>169</v>
      </c>
      <c r="AB82" s="333">
        <v>0</v>
      </c>
      <c r="AC82" s="333">
        <v>1708</v>
      </c>
      <c r="AD82" s="333">
        <v>2677</v>
      </c>
      <c r="AE82" s="333">
        <v>4385</v>
      </c>
      <c r="AF82" s="333">
        <v>2996</v>
      </c>
      <c r="AG82" s="333">
        <v>65831458</v>
      </c>
      <c r="AH82" s="169"/>
      <c r="AI82" s="397" t="s">
        <v>169</v>
      </c>
      <c r="AJ82" s="333">
        <v>0</v>
      </c>
      <c r="AK82" s="333">
        <v>1708</v>
      </c>
      <c r="AL82" s="333">
        <v>2677</v>
      </c>
      <c r="AM82" s="333">
        <v>4385</v>
      </c>
      <c r="AN82" s="333">
        <v>2996</v>
      </c>
      <c r="AO82" s="333">
        <v>118341029</v>
      </c>
    </row>
    <row r="83" spans="1:41" ht="15.75">
      <c r="A83" s="333">
        <v>77</v>
      </c>
      <c r="B83" s="3" t="s">
        <v>101</v>
      </c>
      <c r="C83" s="398" t="s">
        <v>201</v>
      </c>
      <c r="D83" s="329">
        <v>0</v>
      </c>
      <c r="E83" s="329">
        <v>73</v>
      </c>
      <c r="F83" s="329">
        <v>0</v>
      </c>
      <c r="G83" s="329">
        <v>0</v>
      </c>
      <c r="H83" s="329">
        <v>73</v>
      </c>
      <c r="I83" s="329">
        <v>0</v>
      </c>
      <c r="J83" s="329">
        <v>18</v>
      </c>
      <c r="K83" s="333">
        <v>18</v>
      </c>
      <c r="L83" s="333"/>
      <c r="M83" s="208"/>
      <c r="N83" s="398" t="s">
        <v>201</v>
      </c>
      <c r="O83" s="329">
        <v>0</v>
      </c>
      <c r="P83" s="329">
        <v>0</v>
      </c>
      <c r="Q83" s="329">
        <v>73</v>
      </c>
      <c r="R83" s="333">
        <v>73</v>
      </c>
      <c r="S83" s="333">
        <v>3566322</v>
      </c>
      <c r="T83" s="335">
        <v>2.9</v>
      </c>
      <c r="U83" s="165">
        <f>VLOOKUP(N83,'[2]154'!$C$9:$T$554,18,0)</f>
        <v>73</v>
      </c>
      <c r="V83" s="398" t="s">
        <v>201</v>
      </c>
      <c r="W83" s="406">
        <v>18</v>
      </c>
      <c r="X83" s="405">
        <v>61488.333333333336</v>
      </c>
      <c r="Y83" s="406">
        <v>1106790</v>
      </c>
      <c r="Z83" s="3"/>
      <c r="AA83" s="398" t="s">
        <v>201</v>
      </c>
      <c r="AB83" s="329">
        <v>0</v>
      </c>
      <c r="AC83" s="329">
        <v>0</v>
      </c>
      <c r="AD83" s="329">
        <v>73</v>
      </c>
      <c r="AE83" s="329">
        <v>73</v>
      </c>
      <c r="AF83" s="329">
        <v>58</v>
      </c>
      <c r="AG83" s="329">
        <v>1508775</v>
      </c>
      <c r="AH83" s="3"/>
      <c r="AI83" s="398" t="s">
        <v>201</v>
      </c>
      <c r="AJ83" s="329">
        <v>0</v>
      </c>
      <c r="AK83" s="329">
        <v>0</v>
      </c>
      <c r="AL83" s="329">
        <v>73</v>
      </c>
      <c r="AM83" s="329">
        <v>73</v>
      </c>
      <c r="AN83" s="329">
        <v>58</v>
      </c>
      <c r="AO83" s="329">
        <v>2057547</v>
      </c>
    </row>
    <row r="84" spans="1:41" s="211" customFormat="1" ht="15.75">
      <c r="A84" s="333">
        <v>78</v>
      </c>
      <c r="B84" s="169" t="s">
        <v>101</v>
      </c>
      <c r="C84" s="397" t="s">
        <v>202</v>
      </c>
      <c r="D84" s="333">
        <v>0</v>
      </c>
      <c r="E84" s="333">
        <v>27</v>
      </c>
      <c r="F84" s="333">
        <v>0</v>
      </c>
      <c r="G84" s="333">
        <v>0</v>
      </c>
      <c r="H84" s="333">
        <v>27</v>
      </c>
      <c r="I84" s="333">
        <v>0</v>
      </c>
      <c r="J84" s="333">
        <v>18</v>
      </c>
      <c r="K84" s="333">
        <v>18</v>
      </c>
      <c r="L84" s="333"/>
      <c r="M84" s="165"/>
      <c r="N84" s="397" t="s">
        <v>202</v>
      </c>
      <c r="O84" s="333">
        <v>0</v>
      </c>
      <c r="P84" s="333">
        <v>0</v>
      </c>
      <c r="Q84" s="333">
        <v>27</v>
      </c>
      <c r="R84" s="333">
        <v>27</v>
      </c>
      <c r="S84" s="333">
        <v>1865852</v>
      </c>
      <c r="T84" s="334">
        <v>4</v>
      </c>
      <c r="U84" s="165">
        <f>VLOOKUP(N84,'[2]154'!$C$9:$T$554,18,0)</f>
        <v>27</v>
      </c>
      <c r="V84" s="397" t="s">
        <v>202</v>
      </c>
      <c r="W84" s="404">
        <v>18</v>
      </c>
      <c r="X84" s="405">
        <v>84811.444444444438</v>
      </c>
      <c r="Y84" s="404">
        <v>1526606</v>
      </c>
      <c r="Z84" s="169"/>
      <c r="AA84" s="397" t="s">
        <v>202</v>
      </c>
      <c r="AB84" s="333">
        <v>0</v>
      </c>
      <c r="AC84" s="333">
        <v>0</v>
      </c>
      <c r="AD84" s="333">
        <v>27</v>
      </c>
      <c r="AE84" s="333">
        <v>27</v>
      </c>
      <c r="AF84" s="333">
        <v>22</v>
      </c>
      <c r="AG84" s="333">
        <v>789371</v>
      </c>
      <c r="AH84" s="169"/>
      <c r="AI84" s="397" t="s">
        <v>202</v>
      </c>
      <c r="AJ84" s="333">
        <v>0</v>
      </c>
      <c r="AK84" s="333">
        <v>0</v>
      </c>
      <c r="AL84" s="333">
        <v>27</v>
      </c>
      <c r="AM84" s="333">
        <v>27</v>
      </c>
      <c r="AN84" s="333">
        <v>22</v>
      </c>
      <c r="AO84" s="333">
        <v>1076481</v>
      </c>
    </row>
    <row r="85" spans="1:41" s="211" customFormat="1" ht="15.75">
      <c r="A85" s="333">
        <v>79</v>
      </c>
      <c r="B85" s="169" t="s">
        <v>101</v>
      </c>
      <c r="C85" s="397" t="s">
        <v>611</v>
      </c>
      <c r="D85" s="333">
        <v>0</v>
      </c>
      <c r="E85" s="333">
        <v>112</v>
      </c>
      <c r="F85" s="333">
        <v>0</v>
      </c>
      <c r="G85" s="333">
        <v>0</v>
      </c>
      <c r="H85" s="333">
        <v>112</v>
      </c>
      <c r="I85" s="333">
        <v>0</v>
      </c>
      <c r="J85" s="333">
        <v>15</v>
      </c>
      <c r="K85" s="333">
        <v>15</v>
      </c>
      <c r="L85" s="333"/>
      <c r="M85" s="208"/>
      <c r="N85" s="397" t="s">
        <v>611</v>
      </c>
      <c r="O85" s="333">
        <v>0</v>
      </c>
      <c r="P85" s="333">
        <v>0</v>
      </c>
      <c r="Q85" s="333">
        <v>112</v>
      </c>
      <c r="R85" s="333">
        <v>112</v>
      </c>
      <c r="S85" s="333">
        <v>4579819</v>
      </c>
      <c r="T85" s="334">
        <v>2.4</v>
      </c>
      <c r="U85" s="165">
        <f>VLOOKUP(N85,'[2]154'!$C$9:$T$554,18,0)</f>
        <v>112</v>
      </c>
      <c r="V85" s="397" t="s">
        <v>611</v>
      </c>
      <c r="W85" s="404">
        <v>15</v>
      </c>
      <c r="X85" s="405">
        <v>50886.866666666669</v>
      </c>
      <c r="Y85" s="404">
        <v>763303</v>
      </c>
      <c r="Z85" s="169"/>
      <c r="AA85" s="397" t="s">
        <v>611</v>
      </c>
      <c r="AB85" s="333">
        <v>0</v>
      </c>
      <c r="AC85" s="333">
        <v>0</v>
      </c>
      <c r="AD85" s="333">
        <v>112</v>
      </c>
      <c r="AE85" s="333">
        <v>112</v>
      </c>
      <c r="AF85" s="333">
        <v>90</v>
      </c>
      <c r="AG85" s="333">
        <v>1937547</v>
      </c>
      <c r="AH85" s="169"/>
      <c r="AI85" s="397" t="s">
        <v>611</v>
      </c>
      <c r="AJ85" s="333">
        <v>0</v>
      </c>
      <c r="AK85" s="333">
        <v>0</v>
      </c>
      <c r="AL85" s="333">
        <v>112</v>
      </c>
      <c r="AM85" s="333">
        <v>112</v>
      </c>
      <c r="AN85" s="333">
        <v>90</v>
      </c>
      <c r="AO85" s="333">
        <v>2642272</v>
      </c>
    </row>
    <row r="86" spans="1:41" s="211" customFormat="1" ht="15.75">
      <c r="A86" s="333">
        <v>80</v>
      </c>
      <c r="B86" s="169" t="s">
        <v>101</v>
      </c>
      <c r="C86" s="397" t="s">
        <v>205</v>
      </c>
      <c r="D86" s="333">
        <v>0</v>
      </c>
      <c r="E86" s="333">
        <v>46</v>
      </c>
      <c r="F86" s="333">
        <v>0</v>
      </c>
      <c r="G86" s="333">
        <v>0</v>
      </c>
      <c r="H86" s="333">
        <v>46</v>
      </c>
      <c r="I86" s="333">
        <v>0</v>
      </c>
      <c r="J86" s="333">
        <v>11</v>
      </c>
      <c r="K86" s="333">
        <v>11</v>
      </c>
      <c r="L86" s="333"/>
      <c r="M86" s="165"/>
      <c r="N86" s="397" t="s">
        <v>205</v>
      </c>
      <c r="O86" s="333">
        <v>0</v>
      </c>
      <c r="P86" s="333">
        <v>0</v>
      </c>
      <c r="Q86" s="333">
        <v>46</v>
      </c>
      <c r="R86" s="333">
        <v>46</v>
      </c>
      <c r="S86" s="333">
        <v>1882814</v>
      </c>
      <c r="T86" s="334">
        <v>2.4</v>
      </c>
      <c r="U86" s="165">
        <f>VLOOKUP(N86,'[2]154'!$C$9:$T$554,18,0)</f>
        <v>46</v>
      </c>
      <c r="V86" s="397" t="s">
        <v>205</v>
      </c>
      <c r="W86" s="404">
        <v>11</v>
      </c>
      <c r="X86" s="405">
        <v>50886.909090909088</v>
      </c>
      <c r="Y86" s="404">
        <v>559756</v>
      </c>
      <c r="Z86" s="169"/>
      <c r="AA86" s="397" t="s">
        <v>205</v>
      </c>
      <c r="AB86" s="333">
        <v>0</v>
      </c>
      <c r="AC86" s="333">
        <v>0</v>
      </c>
      <c r="AD86" s="333">
        <v>46</v>
      </c>
      <c r="AE86" s="333">
        <v>46</v>
      </c>
      <c r="AF86" s="333">
        <v>37</v>
      </c>
      <c r="AG86" s="333">
        <v>796547</v>
      </c>
      <c r="AH86" s="169"/>
      <c r="AI86" s="397" t="s">
        <v>205</v>
      </c>
      <c r="AJ86" s="333">
        <v>0</v>
      </c>
      <c r="AK86" s="333">
        <v>0</v>
      </c>
      <c r="AL86" s="333">
        <v>46</v>
      </c>
      <c r="AM86" s="333">
        <v>46</v>
      </c>
      <c r="AN86" s="333">
        <v>37</v>
      </c>
      <c r="AO86" s="333">
        <v>1086267</v>
      </c>
    </row>
    <row r="87" spans="1:41" s="211" customFormat="1" ht="15.75">
      <c r="A87" s="333">
        <v>81</v>
      </c>
      <c r="B87" s="169" t="s">
        <v>101</v>
      </c>
      <c r="C87" s="397" t="s">
        <v>612</v>
      </c>
      <c r="D87" s="333">
        <v>0</v>
      </c>
      <c r="E87" s="333">
        <v>356</v>
      </c>
      <c r="F87" s="333">
        <v>0</v>
      </c>
      <c r="G87" s="333">
        <v>0</v>
      </c>
      <c r="H87" s="333">
        <v>356</v>
      </c>
      <c r="I87" s="333">
        <v>0</v>
      </c>
      <c r="J87" s="333">
        <v>0</v>
      </c>
      <c r="K87" s="333">
        <v>0</v>
      </c>
      <c r="L87" s="333"/>
      <c r="M87" s="165"/>
      <c r="N87" s="397" t="s">
        <v>612</v>
      </c>
      <c r="O87" s="333">
        <v>0</v>
      </c>
      <c r="P87" s="333">
        <v>0</v>
      </c>
      <c r="Q87" s="333">
        <v>356</v>
      </c>
      <c r="R87" s="333">
        <v>356</v>
      </c>
      <c r="S87" s="333">
        <v>12085633</v>
      </c>
      <c r="T87" s="334">
        <v>2</v>
      </c>
      <c r="U87" s="165">
        <f>VLOOKUP(N87,'[2]154'!$C$9:$T$554,18,0)</f>
        <v>356</v>
      </c>
      <c r="V87" s="397" t="s">
        <v>612</v>
      </c>
      <c r="W87" s="404">
        <v>0</v>
      </c>
      <c r="X87" s="405">
        <v>0</v>
      </c>
      <c r="Y87" s="404">
        <v>0</v>
      </c>
      <c r="Z87" s="169"/>
      <c r="AA87" s="397" t="s">
        <v>612</v>
      </c>
      <c r="AB87" s="333">
        <v>0</v>
      </c>
      <c r="AC87" s="333">
        <v>0</v>
      </c>
      <c r="AD87" s="333">
        <v>356</v>
      </c>
      <c r="AE87" s="333">
        <v>356</v>
      </c>
      <c r="AF87" s="333">
        <v>285</v>
      </c>
      <c r="AG87" s="333">
        <v>5112971</v>
      </c>
      <c r="AH87" s="169"/>
      <c r="AI87" s="397" t="s">
        <v>612</v>
      </c>
      <c r="AJ87" s="333">
        <v>0</v>
      </c>
      <c r="AK87" s="333">
        <v>0</v>
      </c>
      <c r="AL87" s="333">
        <v>356</v>
      </c>
      <c r="AM87" s="333">
        <v>356</v>
      </c>
      <c r="AN87" s="333">
        <v>285</v>
      </c>
      <c r="AO87" s="333">
        <v>6972662</v>
      </c>
    </row>
    <row r="88" spans="1:41" s="211" customFormat="1" ht="15.75">
      <c r="A88" s="333">
        <v>82</v>
      </c>
      <c r="B88" s="169" t="s">
        <v>161</v>
      </c>
      <c r="C88" s="400">
        <v>100003487</v>
      </c>
      <c r="D88" s="333">
        <v>0</v>
      </c>
      <c r="E88" s="333">
        <v>87</v>
      </c>
      <c r="F88" s="333">
        <v>0</v>
      </c>
      <c r="G88" s="333">
        <v>0</v>
      </c>
      <c r="H88" s="333">
        <v>87</v>
      </c>
      <c r="I88" s="333">
        <v>0</v>
      </c>
      <c r="J88" s="333">
        <v>0</v>
      </c>
      <c r="K88" s="333">
        <v>0</v>
      </c>
      <c r="L88" s="333"/>
      <c r="M88" s="165"/>
      <c r="N88" s="400">
        <v>100003487</v>
      </c>
      <c r="O88" s="333">
        <v>0</v>
      </c>
      <c r="P88" s="333">
        <v>0</v>
      </c>
      <c r="Q88" s="333">
        <v>87</v>
      </c>
      <c r="R88" s="333">
        <v>87</v>
      </c>
      <c r="S88" s="333">
        <v>2768884</v>
      </c>
      <c r="T88" s="334">
        <v>1.85</v>
      </c>
      <c r="U88" s="165">
        <f>VLOOKUP(N88,'[2]154'!$C$9:$T$554,18,0)</f>
        <v>87</v>
      </c>
      <c r="V88" s="400">
        <v>100003487</v>
      </c>
      <c r="W88" s="404">
        <v>0</v>
      </c>
      <c r="X88" s="405">
        <v>0</v>
      </c>
      <c r="Y88" s="404">
        <v>0</v>
      </c>
      <c r="Z88" s="169"/>
      <c r="AA88" s="400">
        <v>100003487</v>
      </c>
      <c r="AB88" s="333">
        <v>0</v>
      </c>
      <c r="AC88" s="333">
        <v>0</v>
      </c>
      <c r="AD88" s="333">
        <v>87</v>
      </c>
      <c r="AE88" s="333">
        <v>87</v>
      </c>
      <c r="AF88" s="333">
        <v>70</v>
      </c>
      <c r="AG88" s="333">
        <v>1125603</v>
      </c>
      <c r="AH88" s="169"/>
      <c r="AI88" s="400">
        <v>100003487</v>
      </c>
      <c r="AJ88" s="333">
        <v>0</v>
      </c>
      <c r="AK88" s="333">
        <v>0</v>
      </c>
      <c r="AL88" s="333">
        <v>87</v>
      </c>
      <c r="AM88" s="333">
        <v>87</v>
      </c>
      <c r="AN88" s="333">
        <v>70</v>
      </c>
      <c r="AO88" s="333">
        <v>1643281</v>
      </c>
    </row>
    <row r="89" spans="1:41" s="211" customFormat="1" ht="15.75">
      <c r="A89" s="333">
        <v>83</v>
      </c>
      <c r="B89" s="169" t="s">
        <v>161</v>
      </c>
      <c r="C89" s="400">
        <v>100003506</v>
      </c>
      <c r="D89" s="333">
        <v>0</v>
      </c>
      <c r="E89" s="333">
        <v>59</v>
      </c>
      <c r="F89" s="333">
        <v>0</v>
      </c>
      <c r="G89" s="333">
        <v>0</v>
      </c>
      <c r="H89" s="333">
        <v>59</v>
      </c>
      <c r="I89" s="333">
        <v>0</v>
      </c>
      <c r="J89" s="333">
        <v>21</v>
      </c>
      <c r="K89" s="333">
        <v>21</v>
      </c>
      <c r="L89" s="333"/>
      <c r="M89" s="165"/>
      <c r="N89" s="400">
        <v>100003506</v>
      </c>
      <c r="O89" s="333">
        <v>0</v>
      </c>
      <c r="P89" s="333">
        <v>0</v>
      </c>
      <c r="Q89" s="333">
        <v>59</v>
      </c>
      <c r="R89" s="333">
        <v>59</v>
      </c>
      <c r="S89" s="333">
        <v>1891086</v>
      </c>
      <c r="T89" s="334">
        <v>3.5</v>
      </c>
      <c r="U89" s="165">
        <f>VLOOKUP(N89,'[2]154'!$C$9:$T$554,18,0)</f>
        <v>59</v>
      </c>
      <c r="V89" s="400">
        <v>100003506</v>
      </c>
      <c r="W89" s="404">
        <v>21</v>
      </c>
      <c r="X89" s="405">
        <v>32052.285714285714</v>
      </c>
      <c r="Y89" s="404">
        <v>673098</v>
      </c>
      <c r="Z89" s="169"/>
      <c r="AA89" s="400">
        <v>100003506</v>
      </c>
      <c r="AB89" s="333">
        <v>0</v>
      </c>
      <c r="AC89" s="333">
        <v>0</v>
      </c>
      <c r="AD89" s="333">
        <v>59</v>
      </c>
      <c r="AE89" s="333">
        <v>59</v>
      </c>
      <c r="AF89" s="333">
        <v>47</v>
      </c>
      <c r="AG89" s="333">
        <v>768762</v>
      </c>
      <c r="AH89" s="169"/>
      <c r="AI89" s="400">
        <v>100003506</v>
      </c>
      <c r="AJ89" s="333">
        <v>0</v>
      </c>
      <c r="AK89" s="333">
        <v>0</v>
      </c>
      <c r="AL89" s="333">
        <v>59</v>
      </c>
      <c r="AM89" s="333">
        <v>59</v>
      </c>
      <c r="AN89" s="333">
        <v>47</v>
      </c>
      <c r="AO89" s="333">
        <v>1122324</v>
      </c>
    </row>
    <row r="90" spans="1:41" s="211" customFormat="1" ht="15.75">
      <c r="A90" s="333">
        <v>84</v>
      </c>
      <c r="B90" s="169" t="s">
        <v>161</v>
      </c>
      <c r="C90" s="400">
        <v>100003522</v>
      </c>
      <c r="D90" s="333">
        <v>0</v>
      </c>
      <c r="E90" s="333">
        <v>113</v>
      </c>
      <c r="F90" s="333">
        <v>0</v>
      </c>
      <c r="G90" s="333">
        <v>0</v>
      </c>
      <c r="H90" s="333">
        <v>113</v>
      </c>
      <c r="I90" s="333">
        <v>0</v>
      </c>
      <c r="J90" s="333">
        <v>0</v>
      </c>
      <c r="K90" s="333">
        <v>0</v>
      </c>
      <c r="L90" s="333"/>
      <c r="M90" s="208"/>
      <c r="N90" s="400">
        <v>100003522</v>
      </c>
      <c r="O90" s="333">
        <v>0</v>
      </c>
      <c r="P90" s="333">
        <v>0</v>
      </c>
      <c r="Q90" s="333">
        <v>113</v>
      </c>
      <c r="R90" s="333">
        <v>113</v>
      </c>
      <c r="S90" s="333">
        <v>2116754</v>
      </c>
      <c r="T90" s="334">
        <v>1.1000000000000001</v>
      </c>
      <c r="U90" s="165">
        <f>VLOOKUP(N90,'[2]154'!$C$9:$T$554,18,0)</f>
        <v>113</v>
      </c>
      <c r="V90" s="400">
        <v>100003522</v>
      </c>
      <c r="W90" s="404">
        <v>0</v>
      </c>
      <c r="X90" s="405">
        <v>0</v>
      </c>
      <c r="Y90" s="404">
        <v>0</v>
      </c>
      <c r="Z90" s="169"/>
      <c r="AA90" s="400">
        <v>100003522</v>
      </c>
      <c r="AB90" s="333">
        <v>0</v>
      </c>
      <c r="AC90" s="333">
        <v>0</v>
      </c>
      <c r="AD90" s="333">
        <v>113</v>
      </c>
      <c r="AE90" s="333">
        <v>113</v>
      </c>
      <c r="AF90" s="333">
        <v>90</v>
      </c>
      <c r="AG90" s="333">
        <v>860500</v>
      </c>
      <c r="AH90" s="169"/>
      <c r="AI90" s="400">
        <v>100003522</v>
      </c>
      <c r="AJ90" s="333">
        <v>0</v>
      </c>
      <c r="AK90" s="333">
        <v>0</v>
      </c>
      <c r="AL90" s="333">
        <v>113</v>
      </c>
      <c r="AM90" s="333">
        <v>113</v>
      </c>
      <c r="AN90" s="333">
        <v>90</v>
      </c>
      <c r="AO90" s="333">
        <v>1256254</v>
      </c>
    </row>
    <row r="91" spans="1:41" s="211" customFormat="1" ht="15.75">
      <c r="A91" s="333">
        <v>85</v>
      </c>
      <c r="B91" s="169" t="s">
        <v>161</v>
      </c>
      <c r="C91" s="400">
        <v>100003523</v>
      </c>
      <c r="D91" s="333">
        <v>0</v>
      </c>
      <c r="E91" s="333">
        <v>113</v>
      </c>
      <c r="F91" s="333">
        <v>0</v>
      </c>
      <c r="G91" s="333">
        <v>0</v>
      </c>
      <c r="H91" s="333">
        <v>113</v>
      </c>
      <c r="I91" s="333">
        <v>0</v>
      </c>
      <c r="J91" s="333">
        <v>12</v>
      </c>
      <c r="K91" s="333">
        <v>12</v>
      </c>
      <c r="L91" s="333"/>
      <c r="M91" s="165"/>
      <c r="N91" s="400">
        <v>100003523</v>
      </c>
      <c r="O91" s="333">
        <v>0</v>
      </c>
      <c r="P91" s="333">
        <v>0</v>
      </c>
      <c r="Q91" s="333">
        <v>113</v>
      </c>
      <c r="R91" s="333">
        <v>113</v>
      </c>
      <c r="S91" s="333">
        <v>2116754</v>
      </c>
      <c r="T91" s="334">
        <v>1.1000000000000001</v>
      </c>
      <c r="U91" s="165">
        <f>VLOOKUP(N91,'[2]154'!$C$9:$T$554,18,0)</f>
        <v>113</v>
      </c>
      <c r="V91" s="400">
        <v>100003523</v>
      </c>
      <c r="W91" s="404">
        <v>12</v>
      </c>
      <c r="X91" s="405">
        <v>23519.5</v>
      </c>
      <c r="Y91" s="404">
        <v>282234</v>
      </c>
      <c r="Z91" s="169"/>
      <c r="AA91" s="400">
        <v>100003523</v>
      </c>
      <c r="AB91" s="333">
        <v>0</v>
      </c>
      <c r="AC91" s="333">
        <v>0</v>
      </c>
      <c r="AD91" s="333">
        <v>113</v>
      </c>
      <c r="AE91" s="333">
        <v>113</v>
      </c>
      <c r="AF91" s="333">
        <v>90</v>
      </c>
      <c r="AG91" s="333">
        <v>860500</v>
      </c>
      <c r="AH91" s="169"/>
      <c r="AI91" s="400">
        <v>100003523</v>
      </c>
      <c r="AJ91" s="333">
        <v>0</v>
      </c>
      <c r="AK91" s="333">
        <v>0</v>
      </c>
      <c r="AL91" s="333">
        <v>113</v>
      </c>
      <c r="AM91" s="333">
        <v>113</v>
      </c>
      <c r="AN91" s="333">
        <v>90</v>
      </c>
      <c r="AO91" s="333">
        <v>1256254</v>
      </c>
    </row>
    <row r="92" spans="1:41" ht="15.75">
      <c r="A92" s="333">
        <v>86</v>
      </c>
      <c r="B92" s="3" t="s">
        <v>161</v>
      </c>
      <c r="C92" s="401">
        <v>100003547</v>
      </c>
      <c r="D92" s="329">
        <v>0</v>
      </c>
      <c r="E92" s="329">
        <v>324</v>
      </c>
      <c r="F92" s="329">
        <v>0</v>
      </c>
      <c r="G92" s="329">
        <v>0</v>
      </c>
      <c r="H92" s="329">
        <v>324</v>
      </c>
      <c r="I92" s="329">
        <v>0</v>
      </c>
      <c r="J92" s="329">
        <v>14</v>
      </c>
      <c r="K92" s="333">
        <v>14</v>
      </c>
      <c r="L92" s="333"/>
      <c r="M92" s="165"/>
      <c r="N92" s="401">
        <v>100003547</v>
      </c>
      <c r="O92" s="329">
        <v>0</v>
      </c>
      <c r="P92" s="329">
        <v>0</v>
      </c>
      <c r="Q92" s="329">
        <v>324</v>
      </c>
      <c r="R92" s="333">
        <v>324</v>
      </c>
      <c r="S92" s="333">
        <v>12736868</v>
      </c>
      <c r="T92" s="335">
        <v>2.2999999999999998</v>
      </c>
      <c r="U92" s="165">
        <f>VLOOKUP(N92,'[2]154'!$C$9:$T$554,18,0)</f>
        <v>324</v>
      </c>
      <c r="V92" s="401">
        <v>100003547</v>
      </c>
      <c r="W92" s="406">
        <v>14</v>
      </c>
      <c r="X92" s="405">
        <v>49177.142857142855</v>
      </c>
      <c r="Y92" s="406">
        <v>688480</v>
      </c>
      <c r="Z92" s="3"/>
      <c r="AA92" s="401">
        <v>100003547</v>
      </c>
      <c r="AB92" s="329">
        <v>0</v>
      </c>
      <c r="AC92" s="329">
        <v>0</v>
      </c>
      <c r="AD92" s="329">
        <v>324</v>
      </c>
      <c r="AE92" s="329">
        <v>324</v>
      </c>
      <c r="AF92" s="329">
        <v>259</v>
      </c>
      <c r="AG92" s="329">
        <v>5177775</v>
      </c>
      <c r="AH92" s="3"/>
      <c r="AI92" s="401">
        <v>100003547</v>
      </c>
      <c r="AJ92" s="329">
        <v>0</v>
      </c>
      <c r="AK92" s="329">
        <v>0</v>
      </c>
      <c r="AL92" s="329">
        <v>324</v>
      </c>
      <c r="AM92" s="329">
        <v>324</v>
      </c>
      <c r="AN92" s="329">
        <v>259</v>
      </c>
      <c r="AO92" s="329">
        <v>7559093</v>
      </c>
    </row>
    <row r="93" spans="1:41" ht="15.75">
      <c r="A93" s="333">
        <v>87</v>
      </c>
      <c r="B93" s="3" t="s">
        <v>161</v>
      </c>
      <c r="C93" s="401">
        <v>100003559</v>
      </c>
      <c r="D93" s="329">
        <v>0</v>
      </c>
      <c r="E93" s="329">
        <v>81</v>
      </c>
      <c r="F93" s="329">
        <v>0</v>
      </c>
      <c r="G93" s="329">
        <v>0</v>
      </c>
      <c r="H93" s="329">
        <v>81</v>
      </c>
      <c r="I93" s="329">
        <v>0</v>
      </c>
      <c r="J93" s="329">
        <v>181</v>
      </c>
      <c r="K93" s="333">
        <v>181</v>
      </c>
      <c r="L93" s="333"/>
      <c r="M93" s="208"/>
      <c r="N93" s="401">
        <v>100003559</v>
      </c>
      <c r="O93" s="329">
        <v>0</v>
      </c>
      <c r="P93" s="329">
        <v>0</v>
      </c>
      <c r="Q93" s="329">
        <v>81</v>
      </c>
      <c r="R93" s="333">
        <v>81</v>
      </c>
      <c r="S93" s="333">
        <v>1528766</v>
      </c>
      <c r="T93" s="335">
        <v>1.1000000000000001</v>
      </c>
      <c r="U93" s="165">
        <f>VLOOKUP(N93,'[2]154'!$C$9:$T$554,18,0)</f>
        <v>81</v>
      </c>
      <c r="V93" s="401">
        <v>100003559</v>
      </c>
      <c r="W93" s="406">
        <v>181</v>
      </c>
      <c r="X93" s="405">
        <v>23519.480662983424</v>
      </c>
      <c r="Y93" s="406">
        <v>4257026</v>
      </c>
      <c r="Z93" s="3"/>
      <c r="AA93" s="401">
        <v>100003559</v>
      </c>
      <c r="AB93" s="329">
        <v>0</v>
      </c>
      <c r="AC93" s="329">
        <v>0</v>
      </c>
      <c r="AD93" s="329">
        <v>81</v>
      </c>
      <c r="AE93" s="329">
        <v>81</v>
      </c>
      <c r="AF93" s="329">
        <v>65</v>
      </c>
      <c r="AG93" s="329">
        <v>621472</v>
      </c>
      <c r="AH93" s="3"/>
      <c r="AI93" s="401">
        <v>100003559</v>
      </c>
      <c r="AJ93" s="329">
        <v>0</v>
      </c>
      <c r="AK93" s="329">
        <v>0</v>
      </c>
      <c r="AL93" s="329">
        <v>81</v>
      </c>
      <c r="AM93" s="329">
        <v>81</v>
      </c>
      <c r="AN93" s="329">
        <v>65</v>
      </c>
      <c r="AO93" s="329">
        <v>907294</v>
      </c>
    </row>
    <row r="94" spans="1:41" ht="15.75">
      <c r="A94" s="333">
        <v>88</v>
      </c>
      <c r="B94" s="3" t="s">
        <v>161</v>
      </c>
      <c r="C94" s="401">
        <v>100003582</v>
      </c>
      <c r="D94" s="329">
        <v>0</v>
      </c>
      <c r="E94" s="329">
        <v>109</v>
      </c>
      <c r="F94" s="329">
        <v>0</v>
      </c>
      <c r="G94" s="329">
        <v>0</v>
      </c>
      <c r="H94" s="329">
        <v>109</v>
      </c>
      <c r="I94" s="329">
        <v>0</v>
      </c>
      <c r="J94" s="329">
        <v>193</v>
      </c>
      <c r="K94" s="333">
        <v>193</v>
      </c>
      <c r="L94" s="333"/>
      <c r="M94" s="165"/>
      <c r="N94" s="401">
        <v>100003582</v>
      </c>
      <c r="O94" s="329">
        <v>0</v>
      </c>
      <c r="P94" s="329">
        <v>0</v>
      </c>
      <c r="Q94" s="329">
        <v>109</v>
      </c>
      <c r="R94" s="333">
        <v>109</v>
      </c>
      <c r="S94" s="333">
        <v>4129491</v>
      </c>
      <c r="T94" s="335">
        <v>2.2000000000000002</v>
      </c>
      <c r="U94" s="165">
        <f>VLOOKUP(N94,'[2]154'!$C$9:$T$554,18,0)</f>
        <v>109</v>
      </c>
      <c r="V94" s="401">
        <v>100003582</v>
      </c>
      <c r="W94" s="406">
        <v>193</v>
      </c>
      <c r="X94" s="405">
        <v>47240.233160621763</v>
      </c>
      <c r="Y94" s="406">
        <v>9117365</v>
      </c>
      <c r="Z94" s="3"/>
      <c r="AA94" s="401">
        <v>100003582</v>
      </c>
      <c r="AB94" s="329">
        <v>0</v>
      </c>
      <c r="AC94" s="329">
        <v>0</v>
      </c>
      <c r="AD94" s="329">
        <v>109</v>
      </c>
      <c r="AE94" s="329">
        <v>109</v>
      </c>
      <c r="AF94" s="329">
        <v>87</v>
      </c>
      <c r="AG94" s="329">
        <v>1667903</v>
      </c>
      <c r="AH94" s="3"/>
      <c r="AI94" s="401">
        <v>100003582</v>
      </c>
      <c r="AJ94" s="329">
        <v>0</v>
      </c>
      <c r="AK94" s="329">
        <v>0</v>
      </c>
      <c r="AL94" s="329">
        <v>109</v>
      </c>
      <c r="AM94" s="329">
        <v>109</v>
      </c>
      <c r="AN94" s="329">
        <v>87</v>
      </c>
      <c r="AO94" s="329">
        <v>2461588</v>
      </c>
    </row>
    <row r="95" spans="1:41" s="211" customFormat="1" ht="15.75">
      <c r="A95" s="333">
        <v>89</v>
      </c>
      <c r="B95" s="169" t="s">
        <v>161</v>
      </c>
      <c r="C95" s="400">
        <v>100003585</v>
      </c>
      <c r="D95" s="333">
        <v>0</v>
      </c>
      <c r="E95" s="333">
        <v>51</v>
      </c>
      <c r="F95" s="333">
        <v>0</v>
      </c>
      <c r="G95" s="333">
        <v>0</v>
      </c>
      <c r="H95" s="333">
        <v>51</v>
      </c>
      <c r="I95" s="333">
        <v>0</v>
      </c>
      <c r="J95" s="333">
        <v>108</v>
      </c>
      <c r="K95" s="333">
        <v>108</v>
      </c>
      <c r="L95" s="333"/>
      <c r="M95" s="165"/>
      <c r="N95" s="400">
        <v>100003585</v>
      </c>
      <c r="O95" s="333">
        <v>0</v>
      </c>
      <c r="P95" s="333">
        <v>0</v>
      </c>
      <c r="Q95" s="333">
        <v>51</v>
      </c>
      <c r="R95" s="333">
        <v>51</v>
      </c>
      <c r="S95" s="333">
        <v>2241784</v>
      </c>
      <c r="T95" s="334">
        <v>2.5</v>
      </c>
      <c r="U95" s="165">
        <f>VLOOKUP(N95,'[2]154'!$C$9:$T$554,18,0)</f>
        <v>51</v>
      </c>
      <c r="V95" s="400">
        <v>100003585</v>
      </c>
      <c r="W95" s="404">
        <v>108</v>
      </c>
      <c r="X95" s="405">
        <v>54890.361111111109</v>
      </c>
      <c r="Y95" s="404">
        <v>5928159</v>
      </c>
      <c r="Z95" s="169"/>
      <c r="AA95" s="400">
        <v>100003585</v>
      </c>
      <c r="AB95" s="333">
        <v>0</v>
      </c>
      <c r="AC95" s="333">
        <v>0</v>
      </c>
      <c r="AD95" s="333">
        <v>51</v>
      </c>
      <c r="AE95" s="333">
        <v>51</v>
      </c>
      <c r="AF95" s="333">
        <v>41</v>
      </c>
      <c r="AG95" s="333">
        <v>892301</v>
      </c>
      <c r="AH95" s="169"/>
      <c r="AI95" s="400">
        <v>100003585</v>
      </c>
      <c r="AJ95" s="333">
        <v>0</v>
      </c>
      <c r="AK95" s="333">
        <v>0</v>
      </c>
      <c r="AL95" s="333">
        <v>51</v>
      </c>
      <c r="AM95" s="333">
        <v>51</v>
      </c>
      <c r="AN95" s="333">
        <v>41</v>
      </c>
      <c r="AO95" s="333">
        <v>1349483</v>
      </c>
    </row>
    <row r="96" spans="1:41" ht="15.75">
      <c r="A96" s="333">
        <v>90</v>
      </c>
      <c r="B96" s="3" t="s">
        <v>161</v>
      </c>
      <c r="C96" s="401">
        <v>100003592</v>
      </c>
      <c r="D96" s="329">
        <v>0</v>
      </c>
      <c r="E96" s="329">
        <v>85</v>
      </c>
      <c r="F96" s="329">
        <v>0</v>
      </c>
      <c r="G96" s="329">
        <v>0</v>
      </c>
      <c r="H96" s="329">
        <v>85</v>
      </c>
      <c r="I96" s="329">
        <v>0</v>
      </c>
      <c r="J96" s="329">
        <v>48</v>
      </c>
      <c r="K96" s="333">
        <v>48</v>
      </c>
      <c r="L96" s="333"/>
      <c r="M96" s="208"/>
      <c r="N96" s="401">
        <v>100003592</v>
      </c>
      <c r="O96" s="329">
        <v>0</v>
      </c>
      <c r="P96" s="329">
        <v>0</v>
      </c>
      <c r="Q96" s="329">
        <v>85</v>
      </c>
      <c r="R96" s="333">
        <v>85</v>
      </c>
      <c r="S96" s="333">
        <v>1478001</v>
      </c>
      <c r="T96" s="335">
        <v>1.02</v>
      </c>
      <c r="U96" s="165">
        <f>VLOOKUP(N96,'[2]154'!$C$9:$T$554,18,0)</f>
        <v>85</v>
      </c>
      <c r="V96" s="401">
        <v>100003592</v>
      </c>
      <c r="W96" s="406">
        <v>48</v>
      </c>
      <c r="X96" s="405">
        <v>21731.895833333332</v>
      </c>
      <c r="Y96" s="406">
        <v>1043131</v>
      </c>
      <c r="Z96" s="3"/>
      <c r="AA96" s="401">
        <v>100003592</v>
      </c>
      <c r="AB96" s="329">
        <v>0</v>
      </c>
      <c r="AC96" s="329">
        <v>0</v>
      </c>
      <c r="AD96" s="329">
        <v>85</v>
      </c>
      <c r="AE96" s="329">
        <v>85</v>
      </c>
      <c r="AF96" s="329">
        <v>68</v>
      </c>
      <c r="AG96" s="329">
        <v>600835</v>
      </c>
      <c r="AH96" s="3"/>
      <c r="AI96" s="401">
        <v>100003592</v>
      </c>
      <c r="AJ96" s="329">
        <v>0</v>
      </c>
      <c r="AK96" s="329">
        <v>0</v>
      </c>
      <c r="AL96" s="329">
        <v>85</v>
      </c>
      <c r="AM96" s="329">
        <v>85</v>
      </c>
      <c r="AN96" s="329">
        <v>68</v>
      </c>
      <c r="AO96" s="329">
        <v>877166</v>
      </c>
    </row>
    <row r="97" spans="1:41" ht="15.75">
      <c r="A97" s="333">
        <v>91</v>
      </c>
      <c r="B97" s="3" t="s">
        <v>161</v>
      </c>
      <c r="C97" s="401">
        <v>100004432</v>
      </c>
      <c r="D97" s="329">
        <v>0</v>
      </c>
      <c r="E97" s="329">
        <v>24</v>
      </c>
      <c r="F97" s="329">
        <v>0</v>
      </c>
      <c r="G97" s="329">
        <v>0</v>
      </c>
      <c r="H97" s="329">
        <v>24</v>
      </c>
      <c r="I97" s="329">
        <v>0</v>
      </c>
      <c r="J97" s="329">
        <v>24</v>
      </c>
      <c r="K97" s="333">
        <v>24</v>
      </c>
      <c r="L97" s="333"/>
      <c r="M97" s="165"/>
      <c r="N97" s="401">
        <v>100004432</v>
      </c>
      <c r="O97" s="329">
        <v>0</v>
      </c>
      <c r="P97" s="329">
        <v>0</v>
      </c>
      <c r="Q97" s="329">
        <v>24</v>
      </c>
      <c r="R97" s="333">
        <v>24</v>
      </c>
      <c r="S97" s="333">
        <v>1518931</v>
      </c>
      <c r="T97" s="335">
        <v>3.7</v>
      </c>
      <c r="U97" s="165">
        <f>VLOOKUP(N97,'[2]154'!$C$9:$T$554,18,0)</f>
        <v>24</v>
      </c>
      <c r="V97" s="401">
        <v>100004432</v>
      </c>
      <c r="W97" s="406">
        <v>24</v>
      </c>
      <c r="X97" s="405">
        <v>72452.458333333328</v>
      </c>
      <c r="Y97" s="406">
        <v>1738859</v>
      </c>
      <c r="Z97" s="3"/>
      <c r="AA97" s="401">
        <v>100004432</v>
      </c>
      <c r="AB97" s="329">
        <v>0</v>
      </c>
      <c r="AC97" s="329">
        <v>0</v>
      </c>
      <c r="AD97" s="329">
        <v>24</v>
      </c>
      <c r="AE97" s="329">
        <v>24</v>
      </c>
      <c r="AF97" s="329">
        <v>19</v>
      </c>
      <c r="AG97" s="329">
        <v>617474</v>
      </c>
      <c r="AH97" s="3"/>
      <c r="AI97" s="401">
        <v>100004432</v>
      </c>
      <c r="AJ97" s="329">
        <v>0</v>
      </c>
      <c r="AK97" s="329">
        <v>0</v>
      </c>
      <c r="AL97" s="329">
        <v>24</v>
      </c>
      <c r="AM97" s="329">
        <v>24</v>
      </c>
      <c r="AN97" s="329">
        <v>19</v>
      </c>
      <c r="AO97" s="329">
        <v>901457</v>
      </c>
    </row>
    <row r="98" spans="1:41" s="211" customFormat="1" ht="15.75">
      <c r="A98" s="333">
        <v>92</v>
      </c>
      <c r="B98" s="169" t="s">
        <v>161</v>
      </c>
      <c r="C98" s="400">
        <v>100008196</v>
      </c>
      <c r="D98" s="333">
        <v>0</v>
      </c>
      <c r="E98" s="333">
        <v>337</v>
      </c>
      <c r="F98" s="333">
        <v>0</v>
      </c>
      <c r="G98" s="333">
        <v>0</v>
      </c>
      <c r="H98" s="333">
        <v>337</v>
      </c>
      <c r="I98" s="333">
        <v>0</v>
      </c>
      <c r="J98" s="333">
        <v>137</v>
      </c>
      <c r="K98" s="333">
        <v>137</v>
      </c>
      <c r="L98" s="333"/>
      <c r="M98" s="165"/>
      <c r="N98" s="400">
        <v>100008196</v>
      </c>
      <c r="O98" s="333">
        <v>0</v>
      </c>
      <c r="P98" s="333">
        <v>0</v>
      </c>
      <c r="Q98" s="333">
        <v>337</v>
      </c>
      <c r="R98" s="333">
        <v>337</v>
      </c>
      <c r="S98" s="333">
        <v>11380717</v>
      </c>
      <c r="T98" s="334">
        <v>1.9</v>
      </c>
      <c r="U98" s="165">
        <f>VLOOKUP(N98,'[2]154'!$C$9:$T$554,18,0)</f>
        <v>337</v>
      </c>
      <c r="V98" s="400">
        <v>100008196</v>
      </c>
      <c r="W98" s="404">
        <v>137</v>
      </c>
      <c r="X98" s="405">
        <v>42150.802919708032</v>
      </c>
      <c r="Y98" s="404">
        <v>5774660</v>
      </c>
      <c r="Z98" s="169"/>
      <c r="AA98" s="400">
        <v>100008196</v>
      </c>
      <c r="AB98" s="333">
        <v>0</v>
      </c>
      <c r="AC98" s="333">
        <v>0</v>
      </c>
      <c r="AD98" s="333">
        <v>337</v>
      </c>
      <c r="AE98" s="333">
        <v>337</v>
      </c>
      <c r="AF98" s="333">
        <v>270</v>
      </c>
      <c r="AG98" s="333">
        <v>4506377</v>
      </c>
      <c r="AH98" s="169"/>
      <c r="AI98" s="400">
        <v>100008196</v>
      </c>
      <c r="AJ98" s="333">
        <v>0</v>
      </c>
      <c r="AK98" s="333">
        <v>0</v>
      </c>
      <c r="AL98" s="333">
        <v>337</v>
      </c>
      <c r="AM98" s="333">
        <v>337</v>
      </c>
      <c r="AN98" s="333">
        <v>270</v>
      </c>
      <c r="AO98" s="333">
        <v>6874340</v>
      </c>
    </row>
    <row r="99" spans="1:41" s="211" customFormat="1" ht="15.75">
      <c r="A99" s="333">
        <v>93</v>
      </c>
      <c r="B99" s="169" t="s">
        <v>161</v>
      </c>
      <c r="C99" s="400">
        <v>100008212</v>
      </c>
      <c r="D99" s="333">
        <v>0</v>
      </c>
      <c r="E99" s="333">
        <v>85</v>
      </c>
      <c r="F99" s="333">
        <v>0</v>
      </c>
      <c r="G99" s="333">
        <v>0</v>
      </c>
      <c r="H99" s="333">
        <v>85</v>
      </c>
      <c r="I99" s="333">
        <v>0</v>
      </c>
      <c r="J99" s="333">
        <v>101</v>
      </c>
      <c r="K99" s="333">
        <v>101</v>
      </c>
      <c r="L99" s="333"/>
      <c r="M99" s="208"/>
      <c r="N99" s="400">
        <v>100008212</v>
      </c>
      <c r="O99" s="333">
        <v>0</v>
      </c>
      <c r="P99" s="333">
        <v>0</v>
      </c>
      <c r="Q99" s="333">
        <v>85</v>
      </c>
      <c r="R99" s="333">
        <v>85</v>
      </c>
      <c r="S99" s="333">
        <v>2907863</v>
      </c>
      <c r="T99" s="334">
        <v>2</v>
      </c>
      <c r="U99" s="165">
        <f>VLOOKUP(N99,'[2]154'!$C$9:$T$554,18,0)</f>
        <v>85</v>
      </c>
      <c r="V99" s="400">
        <v>100008212</v>
      </c>
      <c r="W99" s="404">
        <v>101</v>
      </c>
      <c r="X99" s="405">
        <v>42762.69306930693</v>
      </c>
      <c r="Y99" s="404">
        <v>4319032</v>
      </c>
      <c r="Z99" s="169"/>
      <c r="AA99" s="400">
        <v>100008212</v>
      </c>
      <c r="AB99" s="333">
        <v>0</v>
      </c>
      <c r="AC99" s="333">
        <v>0</v>
      </c>
      <c r="AD99" s="333">
        <v>85</v>
      </c>
      <c r="AE99" s="333">
        <v>85</v>
      </c>
      <c r="AF99" s="333">
        <v>68</v>
      </c>
      <c r="AG99" s="333">
        <v>1182101</v>
      </c>
      <c r="AH99" s="169"/>
      <c r="AI99" s="400">
        <v>100008212</v>
      </c>
      <c r="AJ99" s="333">
        <v>0</v>
      </c>
      <c r="AK99" s="333">
        <v>0</v>
      </c>
      <c r="AL99" s="333">
        <v>85</v>
      </c>
      <c r="AM99" s="333">
        <v>85</v>
      </c>
      <c r="AN99" s="333">
        <v>68</v>
      </c>
      <c r="AO99" s="333">
        <v>1725762</v>
      </c>
    </row>
    <row r="100" spans="1:41" s="211" customFormat="1" ht="15.75">
      <c r="A100" s="333">
        <v>94</v>
      </c>
      <c r="B100" s="169" t="s">
        <v>161</v>
      </c>
      <c r="C100" s="400">
        <v>100008214</v>
      </c>
      <c r="D100" s="333">
        <v>0</v>
      </c>
      <c r="E100" s="333">
        <v>23</v>
      </c>
      <c r="F100" s="333">
        <v>0</v>
      </c>
      <c r="G100" s="333">
        <v>0</v>
      </c>
      <c r="H100" s="333">
        <v>23</v>
      </c>
      <c r="I100" s="333">
        <v>0</v>
      </c>
      <c r="J100" s="333">
        <v>50</v>
      </c>
      <c r="K100" s="333">
        <v>50</v>
      </c>
      <c r="L100" s="333"/>
      <c r="M100" s="165"/>
      <c r="N100" s="400">
        <v>100008214</v>
      </c>
      <c r="O100" s="333">
        <v>0</v>
      </c>
      <c r="P100" s="333">
        <v>0</v>
      </c>
      <c r="Q100" s="333">
        <v>23</v>
      </c>
      <c r="R100" s="333">
        <v>23</v>
      </c>
      <c r="S100" s="333">
        <v>676415</v>
      </c>
      <c r="T100" s="334">
        <v>1.7</v>
      </c>
      <c r="U100" s="165">
        <f>VLOOKUP(N100,'[2]154'!$C$9:$T$554,18,0)</f>
        <v>23</v>
      </c>
      <c r="V100" s="400">
        <v>100008214</v>
      </c>
      <c r="W100" s="404">
        <v>50</v>
      </c>
      <c r="X100" s="405">
        <v>37578.660000000003</v>
      </c>
      <c r="Y100" s="404">
        <v>1878933</v>
      </c>
      <c r="Z100" s="169"/>
      <c r="AA100" s="400">
        <v>100008214</v>
      </c>
      <c r="AB100" s="333">
        <v>0</v>
      </c>
      <c r="AC100" s="333">
        <v>0</v>
      </c>
      <c r="AD100" s="333">
        <v>23</v>
      </c>
      <c r="AE100" s="333">
        <v>23</v>
      </c>
      <c r="AF100" s="333">
        <v>18</v>
      </c>
      <c r="AG100" s="333">
        <v>268521</v>
      </c>
      <c r="AH100" s="169"/>
      <c r="AI100" s="400">
        <v>100008214</v>
      </c>
      <c r="AJ100" s="333">
        <v>0</v>
      </c>
      <c r="AK100" s="333">
        <v>0</v>
      </c>
      <c r="AL100" s="333">
        <v>23</v>
      </c>
      <c r="AM100" s="333">
        <v>23</v>
      </c>
      <c r="AN100" s="333">
        <v>18</v>
      </c>
      <c r="AO100" s="333">
        <v>407894</v>
      </c>
    </row>
    <row r="101" spans="1:41" s="211" customFormat="1" ht="15.75">
      <c r="A101" s="333">
        <v>95</v>
      </c>
      <c r="B101" s="169" t="s">
        <v>161</v>
      </c>
      <c r="C101" s="400">
        <v>100008216</v>
      </c>
      <c r="D101" s="333">
        <v>0</v>
      </c>
      <c r="E101" s="333">
        <v>102</v>
      </c>
      <c r="F101" s="333">
        <v>0</v>
      </c>
      <c r="G101" s="333">
        <v>0</v>
      </c>
      <c r="H101" s="333">
        <v>102</v>
      </c>
      <c r="I101" s="333">
        <v>0</v>
      </c>
      <c r="J101" s="333">
        <v>34</v>
      </c>
      <c r="K101" s="333">
        <v>34</v>
      </c>
      <c r="L101" s="333"/>
      <c r="M101" s="165"/>
      <c r="N101" s="400">
        <v>100008216</v>
      </c>
      <c r="O101" s="333">
        <v>0</v>
      </c>
      <c r="P101" s="333">
        <v>0</v>
      </c>
      <c r="Q101" s="333">
        <v>102</v>
      </c>
      <c r="R101" s="333">
        <v>102</v>
      </c>
      <c r="S101" s="333">
        <v>3488688</v>
      </c>
      <c r="T101" s="334">
        <v>2</v>
      </c>
      <c r="U101" s="165">
        <f>VLOOKUP(N101,'[2]154'!$C$9:$T$554,18,0)</f>
        <v>102</v>
      </c>
      <c r="V101" s="400">
        <v>100008216</v>
      </c>
      <c r="W101" s="404">
        <v>34</v>
      </c>
      <c r="X101" s="405">
        <v>37428.323529411762</v>
      </c>
      <c r="Y101" s="404">
        <v>1272563</v>
      </c>
      <c r="Z101" s="169"/>
      <c r="AA101" s="400">
        <v>100008216</v>
      </c>
      <c r="AB101" s="333">
        <v>0</v>
      </c>
      <c r="AC101" s="333">
        <v>0</v>
      </c>
      <c r="AD101" s="333">
        <v>102</v>
      </c>
      <c r="AE101" s="333">
        <v>102</v>
      </c>
      <c r="AF101" s="333">
        <v>82</v>
      </c>
      <c r="AG101" s="333">
        <v>1418217</v>
      </c>
      <c r="AH101" s="169"/>
      <c r="AI101" s="400">
        <v>100008216</v>
      </c>
      <c r="AJ101" s="333">
        <v>0</v>
      </c>
      <c r="AK101" s="333">
        <v>0</v>
      </c>
      <c r="AL101" s="333">
        <v>102</v>
      </c>
      <c r="AM101" s="333">
        <v>102</v>
      </c>
      <c r="AN101" s="333">
        <v>82</v>
      </c>
      <c r="AO101" s="333">
        <v>2070471</v>
      </c>
    </row>
    <row r="102" spans="1:41" s="211" customFormat="1" ht="15.75">
      <c r="A102" s="333">
        <v>96</v>
      </c>
      <c r="B102" s="169" t="s">
        <v>161</v>
      </c>
      <c r="C102" s="400">
        <v>100009597</v>
      </c>
      <c r="D102" s="333">
        <v>17282</v>
      </c>
      <c r="E102" s="333">
        <v>595</v>
      </c>
      <c r="F102" s="333">
        <v>0</v>
      </c>
      <c r="G102" s="333">
        <v>29</v>
      </c>
      <c r="H102" s="333">
        <v>566</v>
      </c>
      <c r="I102" s="333">
        <v>0</v>
      </c>
      <c r="J102" s="333">
        <v>472</v>
      </c>
      <c r="K102" s="333">
        <v>472</v>
      </c>
      <c r="L102" s="333"/>
      <c r="M102" s="208"/>
      <c r="N102" s="400">
        <v>100009597</v>
      </c>
      <c r="O102" s="333">
        <v>0</v>
      </c>
      <c r="P102" s="333">
        <v>29</v>
      </c>
      <c r="Q102" s="333">
        <v>566</v>
      </c>
      <c r="R102" s="333">
        <v>595</v>
      </c>
      <c r="S102" s="333">
        <v>27885117</v>
      </c>
      <c r="T102" s="334">
        <v>2.2599999999999998</v>
      </c>
      <c r="U102" s="165">
        <f>VLOOKUP(N102,'[2]154'!$C$9:$T$554,18,0)</f>
        <v>595</v>
      </c>
      <c r="V102" s="400">
        <v>100009597</v>
      </c>
      <c r="W102" s="404">
        <v>472</v>
      </c>
      <c r="X102" s="405">
        <v>50173.307203389828</v>
      </c>
      <c r="Y102" s="404">
        <v>23681801</v>
      </c>
      <c r="Z102" s="169"/>
      <c r="AA102" s="400">
        <v>100009597</v>
      </c>
      <c r="AB102" s="333">
        <v>0</v>
      </c>
      <c r="AC102" s="333">
        <v>29</v>
      </c>
      <c r="AD102" s="333">
        <v>566</v>
      </c>
      <c r="AE102" s="333">
        <v>595</v>
      </c>
      <c r="AF102" s="333">
        <v>467</v>
      </c>
      <c r="AG102" s="333">
        <v>11252920</v>
      </c>
      <c r="AH102" s="169"/>
      <c r="AI102" s="400">
        <v>100009597</v>
      </c>
      <c r="AJ102" s="333">
        <v>0</v>
      </c>
      <c r="AK102" s="333">
        <v>29</v>
      </c>
      <c r="AL102" s="333">
        <v>566</v>
      </c>
      <c r="AM102" s="333">
        <v>595</v>
      </c>
      <c r="AN102" s="333">
        <v>467</v>
      </c>
      <c r="AO102" s="333">
        <v>16632197</v>
      </c>
    </row>
    <row r="103" spans="1:41" ht="15.75">
      <c r="A103" s="333">
        <v>97</v>
      </c>
      <c r="B103" s="3" t="s">
        <v>161</v>
      </c>
      <c r="C103" s="401">
        <v>74401</v>
      </c>
      <c r="D103" s="329">
        <v>0</v>
      </c>
      <c r="E103" s="329">
        <v>0</v>
      </c>
      <c r="F103" s="329">
        <v>0</v>
      </c>
      <c r="G103" s="329">
        <v>0</v>
      </c>
      <c r="H103" s="329">
        <v>0</v>
      </c>
      <c r="I103" s="329">
        <v>0</v>
      </c>
      <c r="J103" s="329">
        <v>163</v>
      </c>
      <c r="K103" s="333">
        <v>163</v>
      </c>
      <c r="L103" s="333"/>
      <c r="M103" s="165"/>
      <c r="N103" s="401">
        <v>74401</v>
      </c>
      <c r="O103" s="329">
        <v>0</v>
      </c>
      <c r="P103" s="329">
        <v>0</v>
      </c>
      <c r="Q103" s="329">
        <v>0</v>
      </c>
      <c r="R103" s="333">
        <v>0</v>
      </c>
      <c r="S103" s="333">
        <v>0</v>
      </c>
      <c r="T103" s="335">
        <v>1.8</v>
      </c>
      <c r="U103" s="165">
        <f>VLOOKUP(N103,'[2]154'!$C$9:$T$554,18,0)</f>
        <v>0</v>
      </c>
      <c r="V103" s="401">
        <v>74401</v>
      </c>
      <c r="W103" s="406">
        <v>163</v>
      </c>
      <c r="X103" s="405">
        <v>43138.650306748466</v>
      </c>
      <c r="Y103" s="406">
        <v>7031600</v>
      </c>
      <c r="Z103" s="3"/>
      <c r="AA103" s="401">
        <v>74401</v>
      </c>
      <c r="AB103" s="329">
        <v>0</v>
      </c>
      <c r="AC103" s="329">
        <v>0</v>
      </c>
      <c r="AD103" s="329">
        <v>0</v>
      </c>
      <c r="AE103" s="329">
        <v>0</v>
      </c>
      <c r="AF103" s="329">
        <v>0</v>
      </c>
      <c r="AG103" s="329">
        <v>0</v>
      </c>
      <c r="AH103" s="3"/>
      <c r="AI103" s="401">
        <v>74401</v>
      </c>
      <c r="AJ103" s="329">
        <v>0</v>
      </c>
      <c r="AK103" s="329">
        <v>0</v>
      </c>
      <c r="AL103" s="329">
        <v>0</v>
      </c>
      <c r="AM103" s="329">
        <v>0</v>
      </c>
      <c r="AN103" s="329">
        <v>0</v>
      </c>
      <c r="AO103" s="329">
        <v>0</v>
      </c>
    </row>
    <row r="104" spans="1:41" s="211" customFormat="1" ht="15.75">
      <c r="A104" s="333">
        <v>98</v>
      </c>
      <c r="B104" s="169" t="s">
        <v>161</v>
      </c>
      <c r="C104" s="397" t="s">
        <v>208</v>
      </c>
      <c r="D104" s="333">
        <v>0</v>
      </c>
      <c r="E104" s="333">
        <v>101</v>
      </c>
      <c r="F104" s="333">
        <v>0</v>
      </c>
      <c r="G104" s="333">
        <v>0</v>
      </c>
      <c r="H104" s="333">
        <v>101</v>
      </c>
      <c r="I104" s="333">
        <v>0</v>
      </c>
      <c r="J104" s="333">
        <v>70</v>
      </c>
      <c r="K104" s="333">
        <v>70</v>
      </c>
      <c r="L104" s="333"/>
      <c r="M104" s="165"/>
      <c r="N104" s="397" t="s">
        <v>208</v>
      </c>
      <c r="O104" s="333">
        <v>0</v>
      </c>
      <c r="P104" s="333">
        <v>0</v>
      </c>
      <c r="Q104" s="333">
        <v>101</v>
      </c>
      <c r="R104" s="333">
        <v>101</v>
      </c>
      <c r="S104" s="333">
        <v>2464701</v>
      </c>
      <c r="T104" s="334">
        <v>2.5</v>
      </c>
      <c r="U104" s="165">
        <f>VLOOKUP(N104,'[2]154'!$C$9:$T$554,18,0)</f>
        <v>101</v>
      </c>
      <c r="V104" s="397" t="s">
        <v>208</v>
      </c>
      <c r="W104" s="404">
        <v>70</v>
      </c>
      <c r="X104" s="405">
        <v>58300.12857142857</v>
      </c>
      <c r="Y104" s="404">
        <v>4081009</v>
      </c>
      <c r="Z104" s="169"/>
      <c r="AA104" s="397" t="s">
        <v>208</v>
      </c>
      <c r="AB104" s="333">
        <v>0</v>
      </c>
      <c r="AC104" s="333">
        <v>0</v>
      </c>
      <c r="AD104" s="333">
        <v>101</v>
      </c>
      <c r="AE104" s="333">
        <v>101</v>
      </c>
      <c r="AF104" s="333">
        <v>81</v>
      </c>
      <c r="AG104" s="333">
        <v>1035222</v>
      </c>
      <c r="AH104" s="169"/>
      <c r="AI104" s="397" t="s">
        <v>208</v>
      </c>
      <c r="AJ104" s="333">
        <v>0</v>
      </c>
      <c r="AK104" s="333">
        <v>0</v>
      </c>
      <c r="AL104" s="333">
        <v>101</v>
      </c>
      <c r="AM104" s="333">
        <v>101</v>
      </c>
      <c r="AN104" s="333">
        <v>81</v>
      </c>
      <c r="AO104" s="333">
        <v>1429479</v>
      </c>
    </row>
    <row r="105" spans="1:41" s="211" customFormat="1" ht="15.75">
      <c r="A105" s="333">
        <v>99</v>
      </c>
      <c r="B105" s="169" t="s">
        <v>105</v>
      </c>
      <c r="C105" s="397" t="s">
        <v>209</v>
      </c>
      <c r="D105" s="333">
        <v>0</v>
      </c>
      <c r="E105" s="333">
        <v>329</v>
      </c>
      <c r="F105" s="333">
        <v>0</v>
      </c>
      <c r="G105" s="333">
        <v>0</v>
      </c>
      <c r="H105" s="333">
        <v>329</v>
      </c>
      <c r="I105" s="333">
        <v>0</v>
      </c>
      <c r="J105" s="333">
        <v>0</v>
      </c>
      <c r="K105" s="333">
        <v>0</v>
      </c>
      <c r="L105" s="333"/>
      <c r="M105" s="208"/>
      <c r="N105" s="397" t="s">
        <v>209</v>
      </c>
      <c r="O105" s="333">
        <v>0</v>
      </c>
      <c r="P105" s="333">
        <v>0</v>
      </c>
      <c r="Q105" s="333">
        <v>329</v>
      </c>
      <c r="R105" s="333">
        <v>329</v>
      </c>
      <c r="S105" s="333">
        <v>4483405</v>
      </c>
      <c r="T105" s="334">
        <v>2.15</v>
      </c>
      <c r="U105" s="165">
        <f>VLOOKUP(N105,'[2]154'!$C$9:$T$554,18,0)</f>
        <v>329</v>
      </c>
      <c r="V105" s="397" t="s">
        <v>209</v>
      </c>
      <c r="W105" s="404">
        <v>0</v>
      </c>
      <c r="X105" s="405">
        <v>0</v>
      </c>
      <c r="Y105" s="404">
        <v>0</v>
      </c>
      <c r="Z105" s="169"/>
      <c r="AA105" s="397" t="s">
        <v>209</v>
      </c>
      <c r="AB105" s="333">
        <v>0</v>
      </c>
      <c r="AC105" s="333">
        <v>0</v>
      </c>
      <c r="AD105" s="333">
        <v>329</v>
      </c>
      <c r="AE105" s="333">
        <v>329</v>
      </c>
      <c r="AF105" s="333">
        <v>263</v>
      </c>
      <c r="AG105" s="333">
        <v>1822588</v>
      </c>
      <c r="AH105" s="169"/>
      <c r="AI105" s="397" t="s">
        <v>209</v>
      </c>
      <c r="AJ105" s="333">
        <v>0</v>
      </c>
      <c r="AK105" s="333">
        <v>0</v>
      </c>
      <c r="AL105" s="333">
        <v>329</v>
      </c>
      <c r="AM105" s="333">
        <v>329</v>
      </c>
      <c r="AN105" s="333">
        <v>263</v>
      </c>
      <c r="AO105" s="333">
        <v>2660817</v>
      </c>
    </row>
    <row r="106" spans="1:41" s="211" customFormat="1" ht="15.75">
      <c r="A106" s="333">
        <v>100</v>
      </c>
      <c r="B106" s="169" t="s">
        <v>105</v>
      </c>
      <c r="C106" s="397" t="s">
        <v>210</v>
      </c>
      <c r="D106" s="333">
        <v>0</v>
      </c>
      <c r="E106" s="333">
        <v>440</v>
      </c>
      <c r="F106" s="333">
        <v>0</v>
      </c>
      <c r="G106" s="333">
        <v>0</v>
      </c>
      <c r="H106" s="333">
        <v>440</v>
      </c>
      <c r="I106" s="333">
        <v>0</v>
      </c>
      <c r="J106" s="333">
        <v>0</v>
      </c>
      <c r="K106" s="333">
        <v>0</v>
      </c>
      <c r="L106" s="333"/>
      <c r="M106" s="165"/>
      <c r="N106" s="397" t="s">
        <v>210</v>
      </c>
      <c r="O106" s="333">
        <v>0</v>
      </c>
      <c r="P106" s="333">
        <v>0</v>
      </c>
      <c r="Q106" s="333">
        <v>440</v>
      </c>
      <c r="R106" s="333">
        <v>440</v>
      </c>
      <c r="S106" s="333">
        <v>13185643</v>
      </c>
      <c r="T106" s="334">
        <v>1.75</v>
      </c>
      <c r="U106" s="165">
        <f>VLOOKUP(N106,'[2]154'!$C$9:$T$554,18,0)</f>
        <v>440</v>
      </c>
      <c r="V106" s="397" t="s">
        <v>210</v>
      </c>
      <c r="W106" s="404">
        <v>0</v>
      </c>
      <c r="X106" s="405">
        <v>0</v>
      </c>
      <c r="Y106" s="404">
        <v>0</v>
      </c>
      <c r="Z106" s="169"/>
      <c r="AA106" s="397" t="s">
        <v>210</v>
      </c>
      <c r="AB106" s="333">
        <v>0</v>
      </c>
      <c r="AC106" s="333">
        <v>0</v>
      </c>
      <c r="AD106" s="333">
        <v>440</v>
      </c>
      <c r="AE106" s="333">
        <v>440</v>
      </c>
      <c r="AF106" s="333">
        <v>352</v>
      </c>
      <c r="AG106" s="333">
        <v>5360211</v>
      </c>
      <c r="AH106" s="169"/>
      <c r="AI106" s="397" t="s">
        <v>210</v>
      </c>
      <c r="AJ106" s="333">
        <v>0</v>
      </c>
      <c r="AK106" s="333">
        <v>0</v>
      </c>
      <c r="AL106" s="333">
        <v>440</v>
      </c>
      <c r="AM106" s="333">
        <v>440</v>
      </c>
      <c r="AN106" s="333">
        <v>352</v>
      </c>
      <c r="AO106" s="333">
        <v>7825432</v>
      </c>
    </row>
    <row r="107" spans="1:41" s="211" customFormat="1" ht="15.75">
      <c r="A107" s="333">
        <v>101</v>
      </c>
      <c r="B107" s="169" t="s">
        <v>105</v>
      </c>
      <c r="C107" s="400">
        <v>453609</v>
      </c>
      <c r="D107" s="333">
        <v>0</v>
      </c>
      <c r="E107" s="333">
        <v>121</v>
      </c>
      <c r="F107" s="333">
        <v>0</v>
      </c>
      <c r="G107" s="333">
        <v>0</v>
      </c>
      <c r="H107" s="333">
        <v>121</v>
      </c>
      <c r="I107" s="333">
        <v>0</v>
      </c>
      <c r="J107" s="333">
        <v>0</v>
      </c>
      <c r="K107" s="333">
        <v>0</v>
      </c>
      <c r="L107" s="333"/>
      <c r="M107" s="165"/>
      <c r="N107" s="400">
        <v>453609</v>
      </c>
      <c r="O107" s="333">
        <v>0</v>
      </c>
      <c r="P107" s="333">
        <v>0</v>
      </c>
      <c r="Q107" s="333">
        <v>121</v>
      </c>
      <c r="R107" s="333">
        <v>121</v>
      </c>
      <c r="S107" s="333">
        <v>3636259</v>
      </c>
      <c r="T107" s="334">
        <v>1.75</v>
      </c>
      <c r="U107" s="165">
        <f>VLOOKUP(N107,'[2]154'!$C$9:$T$554,18,0)</f>
        <v>121</v>
      </c>
      <c r="V107" s="400">
        <v>453609</v>
      </c>
      <c r="W107" s="404">
        <v>0</v>
      </c>
      <c r="X107" s="405">
        <v>0</v>
      </c>
      <c r="Y107" s="404">
        <v>0</v>
      </c>
      <c r="Z107" s="169"/>
      <c r="AA107" s="400">
        <v>453609</v>
      </c>
      <c r="AB107" s="333">
        <v>0</v>
      </c>
      <c r="AC107" s="333">
        <v>0</v>
      </c>
      <c r="AD107" s="333">
        <v>121</v>
      </c>
      <c r="AE107" s="333">
        <v>121</v>
      </c>
      <c r="AF107" s="333">
        <v>97</v>
      </c>
      <c r="AG107" s="333">
        <v>1478207</v>
      </c>
      <c r="AH107" s="169"/>
      <c r="AI107" s="400">
        <v>453609</v>
      </c>
      <c r="AJ107" s="333">
        <v>0</v>
      </c>
      <c r="AK107" s="333">
        <v>0</v>
      </c>
      <c r="AL107" s="333">
        <v>121</v>
      </c>
      <c r="AM107" s="333">
        <v>121</v>
      </c>
      <c r="AN107" s="333">
        <v>97</v>
      </c>
      <c r="AO107" s="333">
        <v>2158052</v>
      </c>
    </row>
    <row r="108" spans="1:41" ht="15.75">
      <c r="A108" s="333">
        <v>102</v>
      </c>
      <c r="B108" s="169" t="s">
        <v>105</v>
      </c>
      <c r="C108" s="401">
        <v>455129</v>
      </c>
      <c r="D108" s="329">
        <v>0</v>
      </c>
      <c r="E108" s="329">
        <v>97</v>
      </c>
      <c r="F108" s="329">
        <v>0</v>
      </c>
      <c r="G108" s="329">
        <v>0</v>
      </c>
      <c r="H108" s="329">
        <v>97</v>
      </c>
      <c r="I108" s="329">
        <v>0</v>
      </c>
      <c r="J108" s="329">
        <v>49</v>
      </c>
      <c r="K108" s="333">
        <v>49</v>
      </c>
      <c r="L108" s="333"/>
      <c r="M108" s="208"/>
      <c r="N108" s="401">
        <v>455129</v>
      </c>
      <c r="O108" s="329">
        <v>0</v>
      </c>
      <c r="P108" s="329">
        <v>0</v>
      </c>
      <c r="Q108" s="329">
        <v>97</v>
      </c>
      <c r="R108" s="333">
        <v>97</v>
      </c>
      <c r="S108" s="333">
        <v>3567264</v>
      </c>
      <c r="T108" s="335">
        <v>2.15</v>
      </c>
      <c r="U108" s="165">
        <f>VLOOKUP(N108,'[2]154'!$C$9:$T$554,18,0)</f>
        <v>97</v>
      </c>
      <c r="V108" s="401">
        <v>455129</v>
      </c>
      <c r="W108" s="406">
        <v>49</v>
      </c>
      <c r="X108" s="405">
        <v>44042.12</v>
      </c>
      <c r="Y108" s="406">
        <v>2158064</v>
      </c>
      <c r="Z108" s="3"/>
      <c r="AA108" s="401">
        <v>455129</v>
      </c>
      <c r="AB108" s="329">
        <v>0</v>
      </c>
      <c r="AC108" s="329">
        <v>0</v>
      </c>
      <c r="AD108" s="329">
        <v>97</v>
      </c>
      <c r="AE108" s="329">
        <v>97</v>
      </c>
      <c r="AF108" s="329">
        <v>78</v>
      </c>
      <c r="AG108" s="329">
        <v>1450160</v>
      </c>
      <c r="AH108" s="3"/>
      <c r="AI108" s="401">
        <v>455129</v>
      </c>
      <c r="AJ108" s="329">
        <v>0</v>
      </c>
      <c r="AK108" s="329">
        <v>0</v>
      </c>
      <c r="AL108" s="329">
        <v>97</v>
      </c>
      <c r="AM108" s="329">
        <v>97</v>
      </c>
      <c r="AN108" s="329">
        <v>78</v>
      </c>
      <c r="AO108" s="329">
        <v>2117104</v>
      </c>
    </row>
    <row r="109" spans="1:41" s="211" customFormat="1" ht="15.75">
      <c r="A109" s="333">
        <v>103</v>
      </c>
      <c r="B109" s="169" t="s">
        <v>105</v>
      </c>
      <c r="C109" s="400">
        <v>455571</v>
      </c>
      <c r="D109" s="333">
        <v>0</v>
      </c>
      <c r="E109" s="333">
        <v>491</v>
      </c>
      <c r="F109" s="333">
        <v>0</v>
      </c>
      <c r="G109" s="333">
        <v>0</v>
      </c>
      <c r="H109" s="333">
        <v>491</v>
      </c>
      <c r="I109" s="333">
        <v>0</v>
      </c>
      <c r="J109" s="333">
        <v>131</v>
      </c>
      <c r="K109" s="333">
        <v>131</v>
      </c>
      <c r="L109" s="333"/>
      <c r="M109" s="165"/>
      <c r="N109" s="400">
        <v>455571</v>
      </c>
      <c r="O109" s="333">
        <v>0</v>
      </c>
      <c r="P109" s="333">
        <v>0</v>
      </c>
      <c r="Q109" s="333">
        <v>491</v>
      </c>
      <c r="R109" s="333">
        <v>491</v>
      </c>
      <c r="S109" s="333">
        <f>+ROUND((35556399/1024)*R109,0)</f>
        <v>17049016</v>
      </c>
      <c r="T109" s="334">
        <v>1.95</v>
      </c>
      <c r="U109" s="165">
        <f>VLOOKUP(N109,'[2]154'!$C$9:$T$554,18,0)</f>
        <v>491</v>
      </c>
      <c r="V109" s="400">
        <v>455571</v>
      </c>
      <c r="W109" s="404">
        <v>131</v>
      </c>
      <c r="X109" s="405">
        <v>42654.709923664122</v>
      </c>
      <c r="Y109" s="404">
        <v>5587767</v>
      </c>
      <c r="Z109" s="169"/>
      <c r="AA109" s="400">
        <v>455571</v>
      </c>
      <c r="AB109" s="333">
        <v>0</v>
      </c>
      <c r="AC109" s="333">
        <v>0</v>
      </c>
      <c r="AD109" s="333">
        <v>491</v>
      </c>
      <c r="AE109" s="333">
        <v>491</v>
      </c>
      <c r="AF109" s="333">
        <f>491*0.8</f>
        <v>392.8</v>
      </c>
      <c r="AG109" s="333">
        <f>ROUND(14046042*491/1024,0)</f>
        <v>6734967</v>
      </c>
      <c r="AH109" s="169"/>
      <c r="AI109" s="400">
        <v>455571</v>
      </c>
      <c r="AJ109" s="333">
        <v>0</v>
      </c>
      <c r="AK109" s="333">
        <v>0</v>
      </c>
      <c r="AL109" s="333">
        <v>491</v>
      </c>
      <c r="AM109" s="333">
        <v>491</v>
      </c>
      <c r="AN109" s="333">
        <f>+AM109*0.8</f>
        <v>392.8</v>
      </c>
      <c r="AO109" s="333">
        <f>ROUND(21510357/1024*AL109,0)</f>
        <v>10314048</v>
      </c>
    </row>
    <row r="110" spans="1:41" ht="15.75">
      <c r="A110" s="333">
        <v>104</v>
      </c>
      <c r="B110" s="169" t="s">
        <v>105</v>
      </c>
      <c r="C110" s="398" t="s">
        <v>211</v>
      </c>
      <c r="D110" s="329">
        <v>0</v>
      </c>
      <c r="E110" s="329">
        <v>143</v>
      </c>
      <c r="F110" s="329">
        <v>0</v>
      </c>
      <c r="G110" s="329">
        <v>0</v>
      </c>
      <c r="H110" s="329">
        <v>143</v>
      </c>
      <c r="I110" s="329">
        <v>0</v>
      </c>
      <c r="J110" s="329">
        <v>200</v>
      </c>
      <c r="K110" s="333">
        <v>200</v>
      </c>
      <c r="L110" s="333"/>
      <c r="M110" s="165"/>
      <c r="N110" s="398" t="s">
        <v>211</v>
      </c>
      <c r="O110" s="329">
        <v>0</v>
      </c>
      <c r="P110" s="329">
        <v>0</v>
      </c>
      <c r="Q110" s="329">
        <v>143</v>
      </c>
      <c r="R110" s="333">
        <v>143</v>
      </c>
      <c r="S110" s="333">
        <v>4266999</v>
      </c>
      <c r="T110" s="335">
        <v>1.75</v>
      </c>
      <c r="U110" s="165">
        <f>VLOOKUP(N110,'[2]154'!$C$9:$T$554,18,0)</f>
        <v>143</v>
      </c>
      <c r="V110" s="398" t="s">
        <v>211</v>
      </c>
      <c r="W110" s="406">
        <v>200</v>
      </c>
      <c r="X110" s="405">
        <v>37395.205000000002</v>
      </c>
      <c r="Y110" s="406">
        <v>7479041</v>
      </c>
      <c r="Z110" s="3"/>
      <c r="AA110" s="398" t="s">
        <v>211</v>
      </c>
      <c r="AB110" s="329">
        <v>0</v>
      </c>
      <c r="AC110" s="329">
        <v>0</v>
      </c>
      <c r="AD110" s="329">
        <v>143</v>
      </c>
      <c r="AE110" s="329">
        <v>143</v>
      </c>
      <c r="AF110" s="329">
        <v>114</v>
      </c>
      <c r="AG110" s="329">
        <v>1734615</v>
      </c>
      <c r="AH110" s="3"/>
      <c r="AI110" s="398" t="s">
        <v>211</v>
      </c>
      <c r="AJ110" s="329">
        <v>0</v>
      </c>
      <c r="AK110" s="329">
        <v>0</v>
      </c>
      <c r="AL110" s="329">
        <v>143</v>
      </c>
      <c r="AM110" s="329">
        <v>143</v>
      </c>
      <c r="AN110" s="329">
        <v>114</v>
      </c>
      <c r="AO110" s="329">
        <v>2532384</v>
      </c>
    </row>
    <row r="111" spans="1:41" ht="15.75">
      <c r="A111" s="333">
        <v>105</v>
      </c>
      <c r="B111" s="3" t="s">
        <v>170</v>
      </c>
      <c r="C111" s="398" t="s">
        <v>212</v>
      </c>
      <c r="D111" s="329">
        <v>0</v>
      </c>
      <c r="E111" s="329">
        <v>36</v>
      </c>
      <c r="F111" s="329">
        <v>0</v>
      </c>
      <c r="G111" s="329">
        <v>0</v>
      </c>
      <c r="H111" s="329">
        <v>36</v>
      </c>
      <c r="I111" s="329">
        <v>0</v>
      </c>
      <c r="J111" s="329">
        <v>0</v>
      </c>
      <c r="K111" s="333">
        <v>0</v>
      </c>
      <c r="L111" s="333"/>
      <c r="M111" s="208"/>
      <c r="N111" s="398" t="s">
        <v>212</v>
      </c>
      <c r="O111" s="329">
        <v>0</v>
      </c>
      <c r="P111" s="329">
        <v>0</v>
      </c>
      <c r="Q111" s="329">
        <v>36</v>
      </c>
      <c r="R111" s="333">
        <v>36</v>
      </c>
      <c r="S111" s="333">
        <v>558053</v>
      </c>
      <c r="T111" s="3">
        <v>0.9</v>
      </c>
      <c r="U111" s="165">
        <f>VLOOKUP(N111,'[2]154'!$C$9:$T$554,18,0)</f>
        <v>36</v>
      </c>
      <c r="V111" s="398" t="s">
        <v>212</v>
      </c>
      <c r="W111" s="406">
        <v>0</v>
      </c>
      <c r="X111" s="405">
        <v>0</v>
      </c>
      <c r="Y111" s="406">
        <v>0</v>
      </c>
      <c r="Z111" s="3"/>
      <c r="AA111" s="398" t="s">
        <v>212</v>
      </c>
      <c r="AB111" s="329">
        <v>0</v>
      </c>
      <c r="AC111" s="329">
        <v>0</v>
      </c>
      <c r="AD111" s="329">
        <v>36</v>
      </c>
      <c r="AE111" s="329">
        <v>36</v>
      </c>
      <c r="AF111" s="329">
        <v>29</v>
      </c>
      <c r="AG111" s="329">
        <v>226859</v>
      </c>
      <c r="AH111" s="3"/>
      <c r="AI111" s="398" t="s">
        <v>212</v>
      </c>
      <c r="AJ111" s="329">
        <v>0</v>
      </c>
      <c r="AK111" s="329">
        <v>0</v>
      </c>
      <c r="AL111" s="329">
        <v>36</v>
      </c>
      <c r="AM111" s="329">
        <v>36</v>
      </c>
      <c r="AN111" s="329">
        <v>29</v>
      </c>
      <c r="AO111" s="329">
        <v>331194</v>
      </c>
    </row>
    <row r="112" spans="1:41" s="211" customFormat="1" ht="15.75">
      <c r="A112" s="333">
        <v>106</v>
      </c>
      <c r="B112" s="169" t="s">
        <v>101</v>
      </c>
      <c r="C112" s="400">
        <v>100007764</v>
      </c>
      <c r="D112" s="333">
        <v>57594</v>
      </c>
      <c r="E112" s="333">
        <v>1283</v>
      </c>
      <c r="F112" s="333">
        <v>0</v>
      </c>
      <c r="G112" s="333">
        <v>32</v>
      </c>
      <c r="H112" s="333">
        <v>1251</v>
      </c>
      <c r="I112" s="333">
        <v>0</v>
      </c>
      <c r="J112" s="333">
        <v>428</v>
      </c>
      <c r="K112" s="333">
        <v>428</v>
      </c>
      <c r="L112" s="333"/>
      <c r="M112" s="165"/>
      <c r="N112" s="400">
        <v>100007764</v>
      </c>
      <c r="O112" s="333">
        <v>0</v>
      </c>
      <c r="P112" s="333">
        <v>32</v>
      </c>
      <c r="Q112" s="333">
        <v>1251</v>
      </c>
      <c r="R112" s="333">
        <v>1283</v>
      </c>
      <c r="S112" s="333">
        <v>60283573</v>
      </c>
      <c r="T112" s="169">
        <v>4.2</v>
      </c>
      <c r="U112" s="165">
        <f>VLOOKUP(N112,'[2]154'!$C$9:$T$554,18,0)</f>
        <v>1283</v>
      </c>
      <c r="V112" s="400">
        <v>100007764</v>
      </c>
      <c r="W112" s="408">
        <v>428</v>
      </c>
      <c r="X112" s="408">
        <v>53469.829439252338</v>
      </c>
      <c r="Y112" s="408">
        <v>22885087</v>
      </c>
      <c r="Z112" s="169"/>
      <c r="AA112" s="400">
        <v>100007764</v>
      </c>
      <c r="AB112" s="333">
        <v>0</v>
      </c>
      <c r="AC112" s="333">
        <v>32</v>
      </c>
      <c r="AD112" s="333">
        <v>1251</v>
      </c>
      <c r="AE112" s="333">
        <v>1283</v>
      </c>
      <c r="AF112" s="333">
        <v>1017</v>
      </c>
      <c r="AG112" s="333">
        <v>25313353</v>
      </c>
      <c r="AH112" s="169"/>
      <c r="AI112" s="400">
        <v>100007764</v>
      </c>
      <c r="AJ112" s="333">
        <v>0</v>
      </c>
      <c r="AK112" s="333">
        <v>32</v>
      </c>
      <c r="AL112" s="333">
        <v>1251</v>
      </c>
      <c r="AM112" s="333">
        <v>1283</v>
      </c>
      <c r="AN112" s="333">
        <v>1017</v>
      </c>
      <c r="AO112" s="333">
        <v>34970220</v>
      </c>
    </row>
    <row r="113" spans="1:41" s="211" customFormat="1" ht="15.75">
      <c r="A113" s="333">
        <v>107</v>
      </c>
      <c r="B113" s="169" t="s">
        <v>101</v>
      </c>
      <c r="C113" s="400">
        <v>100007863</v>
      </c>
      <c r="D113" s="333">
        <v>0</v>
      </c>
      <c r="E113" s="333">
        <v>43</v>
      </c>
      <c r="F113" s="333">
        <v>0</v>
      </c>
      <c r="G113" s="333">
        <v>0</v>
      </c>
      <c r="H113" s="333">
        <v>43</v>
      </c>
      <c r="I113" s="333">
        <v>0</v>
      </c>
      <c r="J113" s="333">
        <v>0</v>
      </c>
      <c r="K113" s="333">
        <v>0</v>
      </c>
      <c r="L113" s="333"/>
      <c r="M113" s="208"/>
      <c r="N113" s="400">
        <v>100007863</v>
      </c>
      <c r="O113" s="333">
        <v>0</v>
      </c>
      <c r="P113" s="333">
        <v>0</v>
      </c>
      <c r="Q113" s="333">
        <v>43</v>
      </c>
      <c r="R113" s="333">
        <v>43</v>
      </c>
      <c r="S113" s="333">
        <v>3634829</v>
      </c>
      <c r="T113" s="169">
        <v>7</v>
      </c>
      <c r="U113" s="165">
        <f>VLOOKUP(N113,'[2]154'!$C$9:$T$554,18,0)</f>
        <v>43</v>
      </c>
      <c r="V113" s="400">
        <v>100007863</v>
      </c>
      <c r="W113" s="404">
        <v>0</v>
      </c>
      <c r="X113" s="405">
        <v>0</v>
      </c>
      <c r="Y113" s="404">
        <v>0</v>
      </c>
      <c r="Z113" s="169"/>
      <c r="AA113" s="400">
        <v>100007863</v>
      </c>
      <c r="AB113" s="333">
        <v>0</v>
      </c>
      <c r="AC113" s="333">
        <v>0</v>
      </c>
      <c r="AD113" s="333">
        <v>43</v>
      </c>
      <c r="AE113" s="333">
        <v>43</v>
      </c>
      <c r="AF113" s="333">
        <v>34</v>
      </c>
      <c r="AG113" s="333">
        <v>1477626</v>
      </c>
      <c r="AH113" s="169"/>
      <c r="AI113" s="400">
        <v>100007863</v>
      </c>
      <c r="AJ113" s="333">
        <v>0</v>
      </c>
      <c r="AK113" s="333">
        <v>0</v>
      </c>
      <c r="AL113" s="333">
        <v>43</v>
      </c>
      <c r="AM113" s="333">
        <v>43</v>
      </c>
      <c r="AN113" s="333">
        <v>34</v>
      </c>
      <c r="AO113" s="333">
        <v>2157203</v>
      </c>
    </row>
    <row r="114" spans="1:41" s="211" customFormat="1" ht="15.75">
      <c r="A114" s="333">
        <v>108</v>
      </c>
      <c r="B114" s="169" t="s">
        <v>101</v>
      </c>
      <c r="C114" s="400">
        <v>100009688</v>
      </c>
      <c r="D114" s="333">
        <v>0</v>
      </c>
      <c r="E114" s="333">
        <v>48</v>
      </c>
      <c r="F114" s="333">
        <v>0</v>
      </c>
      <c r="G114" s="333">
        <v>0</v>
      </c>
      <c r="H114" s="333">
        <v>48</v>
      </c>
      <c r="I114" s="333">
        <v>0</v>
      </c>
      <c r="J114" s="333">
        <v>13</v>
      </c>
      <c r="K114" s="333">
        <v>13</v>
      </c>
      <c r="L114" s="333"/>
      <c r="M114" s="165"/>
      <c r="N114" s="400">
        <v>100009688</v>
      </c>
      <c r="O114" s="333">
        <v>0</v>
      </c>
      <c r="P114" s="333">
        <v>0</v>
      </c>
      <c r="Q114" s="333">
        <v>48</v>
      </c>
      <c r="R114" s="333">
        <v>48</v>
      </c>
      <c r="S114" s="333">
        <v>2599972</v>
      </c>
      <c r="T114" s="169">
        <v>3.2</v>
      </c>
      <c r="U114" s="165">
        <f>VLOOKUP(N114,'[2]154'!$C$9:$T$554,18,0)</f>
        <v>48</v>
      </c>
      <c r="V114" s="400">
        <v>100009688</v>
      </c>
      <c r="W114" s="404">
        <v>13</v>
      </c>
      <c r="X114" s="405">
        <v>68420.307692307688</v>
      </c>
      <c r="Y114" s="404">
        <v>889464</v>
      </c>
      <c r="Z114" s="169"/>
      <c r="AA114" s="400">
        <v>100009688</v>
      </c>
      <c r="AB114" s="333">
        <v>0</v>
      </c>
      <c r="AC114" s="333">
        <v>0</v>
      </c>
      <c r="AD114" s="333">
        <v>48</v>
      </c>
      <c r="AE114" s="333">
        <v>48</v>
      </c>
      <c r="AF114" s="333">
        <v>38</v>
      </c>
      <c r="AG114" s="333">
        <v>1056937</v>
      </c>
      <c r="AH114" s="169"/>
      <c r="AI114" s="400">
        <v>100009688</v>
      </c>
      <c r="AJ114" s="333">
        <v>0</v>
      </c>
      <c r="AK114" s="333">
        <v>0</v>
      </c>
      <c r="AL114" s="333">
        <v>48</v>
      </c>
      <c r="AM114" s="333">
        <v>48</v>
      </c>
      <c r="AN114" s="333">
        <v>38</v>
      </c>
      <c r="AO114" s="333">
        <v>1543035</v>
      </c>
    </row>
    <row r="115" spans="1:41" ht="15.75">
      <c r="A115" s="333">
        <v>109</v>
      </c>
      <c r="B115" s="3" t="s">
        <v>101</v>
      </c>
      <c r="C115" s="401">
        <v>100012436</v>
      </c>
      <c r="D115" s="329">
        <v>0</v>
      </c>
      <c r="E115" s="329">
        <v>88</v>
      </c>
      <c r="F115" s="329">
        <v>0</v>
      </c>
      <c r="G115" s="329">
        <v>0</v>
      </c>
      <c r="H115" s="329">
        <v>88</v>
      </c>
      <c r="I115" s="329">
        <v>0</v>
      </c>
      <c r="J115" s="329">
        <v>0</v>
      </c>
      <c r="K115" s="333">
        <v>0</v>
      </c>
      <c r="L115" s="333"/>
      <c r="M115" s="165"/>
      <c r="N115" s="401">
        <v>100012436</v>
      </c>
      <c r="O115" s="329">
        <v>0</v>
      </c>
      <c r="P115" s="329">
        <v>0</v>
      </c>
      <c r="Q115" s="329">
        <v>88</v>
      </c>
      <c r="R115" s="333">
        <v>88</v>
      </c>
      <c r="S115" s="333">
        <v>4789422</v>
      </c>
      <c r="T115" s="3">
        <v>3.2</v>
      </c>
      <c r="U115" s="165">
        <f>VLOOKUP(N115,'[2]154'!$C$9:$T$554,18,0)</f>
        <v>88</v>
      </c>
      <c r="V115" s="401">
        <v>100012436</v>
      </c>
      <c r="W115" s="406">
        <v>0</v>
      </c>
      <c r="X115" s="405">
        <v>0</v>
      </c>
      <c r="Y115" s="406">
        <v>0</v>
      </c>
      <c r="Z115" s="3"/>
      <c r="AA115" s="401">
        <v>100012436</v>
      </c>
      <c r="AB115" s="329">
        <v>0</v>
      </c>
      <c r="AC115" s="329">
        <v>0</v>
      </c>
      <c r="AD115" s="329">
        <v>88</v>
      </c>
      <c r="AE115" s="329">
        <v>88</v>
      </c>
      <c r="AF115" s="329">
        <v>70</v>
      </c>
      <c r="AG115" s="329">
        <v>1946990</v>
      </c>
      <c r="AH115" s="3"/>
      <c r="AI115" s="401">
        <v>100012436</v>
      </c>
      <c r="AJ115" s="329">
        <v>0</v>
      </c>
      <c r="AK115" s="329">
        <v>0</v>
      </c>
      <c r="AL115" s="329">
        <v>88</v>
      </c>
      <c r="AM115" s="329">
        <v>88</v>
      </c>
      <c r="AN115" s="329">
        <v>70</v>
      </c>
      <c r="AO115" s="329">
        <v>2842432</v>
      </c>
    </row>
    <row r="116" spans="1:41" s="211" customFormat="1" ht="15.75">
      <c r="A116" s="333">
        <v>110</v>
      </c>
      <c r="B116" s="169" t="s">
        <v>101</v>
      </c>
      <c r="C116" s="400">
        <v>100012476</v>
      </c>
      <c r="D116" s="333">
        <v>0</v>
      </c>
      <c r="E116" s="333">
        <v>168</v>
      </c>
      <c r="F116" s="333">
        <v>0</v>
      </c>
      <c r="G116" s="333">
        <v>0</v>
      </c>
      <c r="H116" s="333">
        <v>168</v>
      </c>
      <c r="I116" s="333">
        <v>0</v>
      </c>
      <c r="J116" s="333">
        <v>0</v>
      </c>
      <c r="K116" s="333">
        <v>0</v>
      </c>
      <c r="L116" s="333"/>
      <c r="M116" s="208"/>
      <c r="N116" s="400">
        <v>100012476</v>
      </c>
      <c r="O116" s="333">
        <v>0</v>
      </c>
      <c r="P116" s="333">
        <v>0</v>
      </c>
      <c r="Q116" s="333">
        <v>168</v>
      </c>
      <c r="R116" s="333">
        <v>168</v>
      </c>
      <c r="S116" s="333">
        <v>9189286</v>
      </c>
      <c r="T116" s="169">
        <v>3.2</v>
      </c>
      <c r="U116" s="165">
        <f>VLOOKUP(N116,'[2]154'!$C$9:$T$554,18,0)</f>
        <v>168</v>
      </c>
      <c r="V116" s="400">
        <v>100012476</v>
      </c>
      <c r="W116" s="404">
        <v>0</v>
      </c>
      <c r="X116" s="405">
        <v>0</v>
      </c>
      <c r="Y116" s="404">
        <v>0</v>
      </c>
      <c r="Z116" s="169"/>
      <c r="AA116" s="400">
        <v>100012476</v>
      </c>
      <c r="AB116" s="333">
        <v>0</v>
      </c>
      <c r="AC116" s="333">
        <v>0</v>
      </c>
      <c r="AD116" s="333">
        <v>168</v>
      </c>
      <c r="AE116" s="333">
        <v>168</v>
      </c>
      <c r="AF116" s="333">
        <v>134</v>
      </c>
      <c r="AG116" s="333">
        <v>3735617</v>
      </c>
      <c r="AH116" s="169"/>
      <c r="AI116" s="400">
        <v>100012476</v>
      </c>
      <c r="AJ116" s="333">
        <v>0</v>
      </c>
      <c r="AK116" s="333">
        <v>0</v>
      </c>
      <c r="AL116" s="333">
        <v>168</v>
      </c>
      <c r="AM116" s="333">
        <v>168</v>
      </c>
      <c r="AN116" s="333">
        <v>134</v>
      </c>
      <c r="AO116" s="333">
        <v>5453669</v>
      </c>
    </row>
    <row r="117" spans="1:41" ht="15.75">
      <c r="A117" s="333">
        <v>111</v>
      </c>
      <c r="B117" s="3" t="s">
        <v>101</v>
      </c>
      <c r="C117" s="401">
        <v>100013564</v>
      </c>
      <c r="D117" s="329">
        <v>0</v>
      </c>
      <c r="E117" s="329">
        <v>198</v>
      </c>
      <c r="F117" s="329">
        <v>0</v>
      </c>
      <c r="G117" s="329">
        <v>0</v>
      </c>
      <c r="H117" s="329">
        <v>198</v>
      </c>
      <c r="I117" s="329">
        <v>0</v>
      </c>
      <c r="J117" s="329">
        <v>40</v>
      </c>
      <c r="K117" s="333">
        <v>40</v>
      </c>
      <c r="L117" s="333"/>
      <c r="M117" s="165"/>
      <c r="N117" s="401">
        <v>100013564</v>
      </c>
      <c r="O117" s="329">
        <v>0</v>
      </c>
      <c r="P117" s="329">
        <v>0</v>
      </c>
      <c r="Q117" s="329">
        <v>198</v>
      </c>
      <c r="R117" s="333">
        <v>198</v>
      </c>
      <c r="S117" s="333">
        <v>11486059</v>
      </c>
      <c r="T117" s="3">
        <v>3.4</v>
      </c>
      <c r="U117" s="165">
        <f>VLOOKUP(N117,'[2]154'!$C$9:$T$554,18,0)</f>
        <v>198</v>
      </c>
      <c r="V117" s="401">
        <v>100013564</v>
      </c>
      <c r="W117" s="406">
        <v>40</v>
      </c>
      <c r="X117" s="405">
        <v>72696.574999999997</v>
      </c>
      <c r="Y117" s="406">
        <v>2907863</v>
      </c>
      <c r="Z117" s="3"/>
      <c r="AA117" s="401">
        <v>100013564</v>
      </c>
      <c r="AB117" s="329">
        <v>0</v>
      </c>
      <c r="AC117" s="329">
        <v>0</v>
      </c>
      <c r="AD117" s="329">
        <v>198</v>
      </c>
      <c r="AE117" s="329">
        <v>198</v>
      </c>
      <c r="AF117" s="329">
        <v>158</v>
      </c>
      <c r="AG117" s="329">
        <v>4669298</v>
      </c>
      <c r="AH117" s="3"/>
      <c r="AI117" s="401">
        <v>100013564</v>
      </c>
      <c r="AJ117" s="329">
        <v>0</v>
      </c>
      <c r="AK117" s="329">
        <v>0</v>
      </c>
      <c r="AL117" s="329">
        <v>198</v>
      </c>
      <c r="AM117" s="329">
        <v>198</v>
      </c>
      <c r="AN117" s="329">
        <v>158</v>
      </c>
      <c r="AO117" s="329">
        <v>6816761</v>
      </c>
    </row>
    <row r="118" spans="1:41" s="211" customFormat="1" ht="15.75">
      <c r="A118" s="333">
        <v>112</v>
      </c>
      <c r="B118" s="169" t="s">
        <v>106</v>
      </c>
      <c r="C118" s="397" t="s">
        <v>213</v>
      </c>
      <c r="D118" s="333">
        <v>0</v>
      </c>
      <c r="E118" s="333">
        <v>104</v>
      </c>
      <c r="F118" s="333">
        <v>0</v>
      </c>
      <c r="G118" s="333">
        <v>0</v>
      </c>
      <c r="H118" s="333">
        <v>104</v>
      </c>
      <c r="I118" s="333">
        <v>0</v>
      </c>
      <c r="J118" s="333">
        <v>55</v>
      </c>
      <c r="K118" s="333">
        <v>55</v>
      </c>
      <c r="L118" s="333"/>
      <c r="M118" s="165"/>
      <c r="N118" s="397" t="s">
        <v>213</v>
      </c>
      <c r="O118" s="333">
        <v>0</v>
      </c>
      <c r="P118" s="333">
        <v>0</v>
      </c>
      <c r="Q118" s="333">
        <v>104</v>
      </c>
      <c r="R118" s="333">
        <v>104</v>
      </c>
      <c r="S118" s="333">
        <v>5501420</v>
      </c>
      <c r="T118" s="169">
        <v>3.1</v>
      </c>
      <c r="U118" s="165">
        <f>VLOOKUP(N118,'[2]154'!$C$9:$T$554,18,0)</f>
        <v>104</v>
      </c>
      <c r="V118" s="397" t="s">
        <v>213</v>
      </c>
      <c r="W118" s="404">
        <v>55</v>
      </c>
      <c r="X118" s="405">
        <v>66282.181818181823</v>
      </c>
      <c r="Y118" s="404">
        <v>3645520</v>
      </c>
      <c r="Z118" s="169"/>
      <c r="AA118" s="397" t="s">
        <v>213</v>
      </c>
      <c r="AB118" s="333">
        <v>0</v>
      </c>
      <c r="AC118" s="333">
        <v>0</v>
      </c>
      <c r="AD118" s="333">
        <v>104</v>
      </c>
      <c r="AE118" s="333">
        <v>104</v>
      </c>
      <c r="AF118" s="333">
        <v>83</v>
      </c>
      <c r="AG118" s="333">
        <v>2236430</v>
      </c>
      <c r="AH118" s="169"/>
      <c r="AI118" s="397" t="s">
        <v>213</v>
      </c>
      <c r="AJ118" s="333">
        <v>0</v>
      </c>
      <c r="AK118" s="333">
        <v>0</v>
      </c>
      <c r="AL118" s="333">
        <v>104</v>
      </c>
      <c r="AM118" s="333">
        <v>104</v>
      </c>
      <c r="AN118" s="333">
        <v>83</v>
      </c>
      <c r="AO118" s="333">
        <v>3264990</v>
      </c>
    </row>
    <row r="119" spans="1:41" s="211" customFormat="1" ht="15.75">
      <c r="A119" s="333">
        <v>113</v>
      </c>
      <c r="B119" s="169" t="s">
        <v>106</v>
      </c>
      <c r="C119" s="397" t="s">
        <v>214</v>
      </c>
      <c r="D119" s="333">
        <v>0</v>
      </c>
      <c r="E119" s="333">
        <v>278</v>
      </c>
      <c r="F119" s="333">
        <v>0</v>
      </c>
      <c r="G119" s="333">
        <v>0</v>
      </c>
      <c r="H119" s="333">
        <v>278</v>
      </c>
      <c r="I119" s="333">
        <v>0</v>
      </c>
      <c r="J119" s="333">
        <v>89</v>
      </c>
      <c r="K119" s="333">
        <v>89</v>
      </c>
      <c r="L119" s="333"/>
      <c r="M119" s="208"/>
      <c r="N119" s="397" t="s">
        <v>214</v>
      </c>
      <c r="O119" s="333">
        <v>0</v>
      </c>
      <c r="P119" s="333">
        <v>0</v>
      </c>
      <c r="Q119" s="333">
        <v>278</v>
      </c>
      <c r="R119" s="333">
        <v>278</v>
      </c>
      <c r="S119" s="333">
        <v>19246384</v>
      </c>
      <c r="T119" s="169">
        <v>3.9</v>
      </c>
      <c r="U119" s="165">
        <f>VLOOKUP(N119,'[2]154'!$C$9:$T$554,18,0)</f>
        <v>278</v>
      </c>
      <c r="V119" s="397" t="s">
        <v>214</v>
      </c>
      <c r="W119" s="404">
        <v>89</v>
      </c>
      <c r="X119" s="405">
        <v>85381.438202247198</v>
      </c>
      <c r="Y119" s="404">
        <v>7598948</v>
      </c>
      <c r="Z119" s="169"/>
      <c r="AA119" s="397" t="s">
        <v>214</v>
      </c>
      <c r="AB119" s="333">
        <v>0</v>
      </c>
      <c r="AC119" s="333">
        <v>0</v>
      </c>
      <c r="AD119" s="333">
        <v>278</v>
      </c>
      <c r="AE119" s="333">
        <v>278</v>
      </c>
      <c r="AF119" s="333">
        <v>222</v>
      </c>
      <c r="AG119" s="333">
        <v>7623342</v>
      </c>
      <c r="AH119" s="169"/>
      <c r="AI119" s="397" t="s">
        <v>214</v>
      </c>
      <c r="AJ119" s="333">
        <v>0</v>
      </c>
      <c r="AK119" s="333">
        <v>0</v>
      </c>
      <c r="AL119" s="333">
        <v>278</v>
      </c>
      <c r="AM119" s="333">
        <v>278</v>
      </c>
      <c r="AN119" s="333">
        <v>222</v>
      </c>
      <c r="AO119" s="333">
        <v>11623042</v>
      </c>
    </row>
    <row r="120" spans="1:41" ht="15.75">
      <c r="A120" s="333">
        <v>114</v>
      </c>
      <c r="B120" s="169" t="s">
        <v>106</v>
      </c>
      <c r="C120" s="398" t="s">
        <v>215</v>
      </c>
      <c r="D120" s="329">
        <v>0</v>
      </c>
      <c r="E120" s="329">
        <v>115</v>
      </c>
      <c r="F120" s="329">
        <v>0</v>
      </c>
      <c r="G120" s="329">
        <v>0</v>
      </c>
      <c r="H120" s="329">
        <v>115</v>
      </c>
      <c r="I120" s="329">
        <v>0</v>
      </c>
      <c r="J120" s="329">
        <v>0</v>
      </c>
      <c r="K120" s="333">
        <v>0</v>
      </c>
      <c r="L120" s="333"/>
      <c r="M120" s="165"/>
      <c r="N120" s="398" t="s">
        <v>215</v>
      </c>
      <c r="O120" s="329">
        <v>0</v>
      </c>
      <c r="P120" s="329">
        <v>0</v>
      </c>
      <c r="Q120" s="329">
        <v>115</v>
      </c>
      <c r="R120" s="333">
        <v>115</v>
      </c>
      <c r="S120" s="333">
        <v>9048587</v>
      </c>
      <c r="T120" s="3">
        <v>4.5999999999999996</v>
      </c>
      <c r="U120" s="165">
        <f>VLOOKUP(N120,'[2]154'!$C$9:$T$554,18,0)</f>
        <v>115</v>
      </c>
      <c r="V120" s="398" t="s">
        <v>215</v>
      </c>
      <c r="W120" s="406">
        <v>0</v>
      </c>
      <c r="X120" s="405">
        <v>0</v>
      </c>
      <c r="Y120" s="406">
        <v>0</v>
      </c>
      <c r="Z120" s="3"/>
      <c r="AA120" s="398" t="s">
        <v>215</v>
      </c>
      <c r="AB120" s="329">
        <v>0</v>
      </c>
      <c r="AC120" s="329">
        <v>0</v>
      </c>
      <c r="AD120" s="329">
        <v>115</v>
      </c>
      <c r="AE120" s="329">
        <v>115</v>
      </c>
      <c r="AF120" s="329">
        <v>92</v>
      </c>
      <c r="AG120" s="329">
        <v>3678420</v>
      </c>
      <c r="AH120" s="3"/>
      <c r="AI120" s="398" t="s">
        <v>215</v>
      </c>
      <c r="AJ120" s="329">
        <v>0</v>
      </c>
      <c r="AK120" s="329">
        <v>0</v>
      </c>
      <c r="AL120" s="329">
        <v>115</v>
      </c>
      <c r="AM120" s="329">
        <v>115</v>
      </c>
      <c r="AN120" s="329">
        <v>92</v>
      </c>
      <c r="AO120" s="329">
        <v>5370167</v>
      </c>
    </row>
    <row r="121" spans="1:41" s="211" customFormat="1" ht="15.75">
      <c r="A121" s="333">
        <v>115</v>
      </c>
      <c r="B121" s="169" t="s">
        <v>106</v>
      </c>
      <c r="C121" s="397" t="s">
        <v>216</v>
      </c>
      <c r="D121" s="333">
        <v>128470</v>
      </c>
      <c r="E121" s="333">
        <v>5446</v>
      </c>
      <c r="F121" s="333">
        <v>770</v>
      </c>
      <c r="G121" s="333">
        <v>1162</v>
      </c>
      <c r="H121" s="333">
        <v>3514</v>
      </c>
      <c r="I121" s="333">
        <v>14788</v>
      </c>
      <c r="J121" s="333">
        <v>0</v>
      </c>
      <c r="K121" s="333">
        <v>14788</v>
      </c>
      <c r="L121" s="333"/>
      <c r="M121" s="165"/>
      <c r="N121" s="397" t="s">
        <v>216</v>
      </c>
      <c r="O121" s="333">
        <v>770</v>
      </c>
      <c r="P121" s="333">
        <v>1162</v>
      </c>
      <c r="Q121" s="333">
        <v>3514</v>
      </c>
      <c r="R121" s="333">
        <v>5446</v>
      </c>
      <c r="S121" s="333">
        <v>109076282</v>
      </c>
      <c r="T121" s="169">
        <v>1.53</v>
      </c>
      <c r="U121" s="165">
        <f>VLOOKUP(N121,'[2]154'!$C$9:$T$554,18,0)</f>
        <v>5979</v>
      </c>
      <c r="V121" s="397" t="s">
        <v>216</v>
      </c>
      <c r="W121" s="404">
        <v>14788</v>
      </c>
      <c r="X121" s="405">
        <v>32922.87147092948</v>
      </c>
      <c r="Y121" s="404">
        <f>510765428-23902005</f>
        <v>486863423</v>
      </c>
      <c r="Z121" s="169"/>
      <c r="AA121" s="397" t="s">
        <v>216</v>
      </c>
      <c r="AB121" s="333">
        <v>770</v>
      </c>
      <c r="AC121" s="333">
        <v>1162</v>
      </c>
      <c r="AD121" s="333">
        <v>3514</v>
      </c>
      <c r="AE121" s="333">
        <v>5446</v>
      </c>
      <c r="AF121" s="333">
        <v>3546</v>
      </c>
      <c r="AG121" s="333">
        <v>39981908</v>
      </c>
      <c r="AH121" s="169"/>
      <c r="AI121" s="397" t="s">
        <v>216</v>
      </c>
      <c r="AJ121" s="333">
        <v>770</v>
      </c>
      <c r="AK121" s="333">
        <v>1162</v>
      </c>
      <c r="AL121" s="333">
        <v>3514</v>
      </c>
      <c r="AM121" s="333">
        <v>5446</v>
      </c>
      <c r="AN121" s="333">
        <v>3546</v>
      </c>
      <c r="AO121" s="333">
        <v>69094374</v>
      </c>
    </row>
    <row r="122" spans="1:41" s="211" customFormat="1" ht="15.75">
      <c r="A122" s="333">
        <v>116</v>
      </c>
      <c r="B122" s="169" t="s">
        <v>106</v>
      </c>
      <c r="C122" s="397" t="s">
        <v>217</v>
      </c>
      <c r="D122" s="333">
        <v>0</v>
      </c>
      <c r="E122" s="333">
        <v>440</v>
      </c>
      <c r="F122" s="333">
        <v>0</v>
      </c>
      <c r="G122" s="333">
        <v>0</v>
      </c>
      <c r="H122" s="333">
        <v>440</v>
      </c>
      <c r="I122" s="333">
        <v>0</v>
      </c>
      <c r="J122" s="333">
        <v>31</v>
      </c>
      <c r="K122" s="333">
        <v>31</v>
      </c>
      <c r="L122" s="333"/>
      <c r="M122" s="208"/>
      <c r="N122" s="397" t="s">
        <v>217</v>
      </c>
      <c r="O122" s="333">
        <v>0</v>
      </c>
      <c r="P122" s="333">
        <v>0</v>
      </c>
      <c r="Q122" s="333">
        <v>440</v>
      </c>
      <c r="R122" s="333">
        <v>440</v>
      </c>
      <c r="S122" s="333">
        <v>21816366</v>
      </c>
      <c r="T122" s="169">
        <v>2.9</v>
      </c>
      <c r="U122" s="165">
        <f>VLOOKUP(N122,'[2]154'!$C$9:$T$554,18,0)</f>
        <v>440</v>
      </c>
      <c r="V122" s="397" t="s">
        <v>217</v>
      </c>
      <c r="W122" s="404">
        <v>31</v>
      </c>
      <c r="X122" s="405">
        <v>60407.387096774197</v>
      </c>
      <c r="Y122" s="404">
        <v>1872629</v>
      </c>
      <c r="Z122" s="169"/>
      <c r="AA122" s="397" t="s">
        <v>217</v>
      </c>
      <c r="AB122" s="333">
        <v>0</v>
      </c>
      <c r="AC122" s="333">
        <v>0</v>
      </c>
      <c r="AD122" s="333">
        <v>440</v>
      </c>
      <c r="AE122" s="333">
        <v>440</v>
      </c>
      <c r="AF122" s="333">
        <v>352</v>
      </c>
      <c r="AG122" s="333">
        <v>8868761</v>
      </c>
      <c r="AH122" s="169"/>
      <c r="AI122" s="397" t="s">
        <v>217</v>
      </c>
      <c r="AJ122" s="333">
        <v>0</v>
      </c>
      <c r="AK122" s="333">
        <v>0</v>
      </c>
      <c r="AL122" s="333">
        <v>440</v>
      </c>
      <c r="AM122" s="333">
        <v>440</v>
      </c>
      <c r="AN122" s="333">
        <v>352</v>
      </c>
      <c r="AO122" s="333">
        <v>12947605</v>
      </c>
    </row>
    <row r="123" spans="1:41" s="211" customFormat="1" ht="15.75">
      <c r="A123" s="333">
        <v>117</v>
      </c>
      <c r="B123" s="169" t="s">
        <v>106</v>
      </c>
      <c r="C123" s="397" t="s">
        <v>218</v>
      </c>
      <c r="D123" s="333">
        <v>0</v>
      </c>
      <c r="E123" s="333">
        <v>79</v>
      </c>
      <c r="F123" s="333">
        <v>0</v>
      </c>
      <c r="G123" s="333">
        <v>0</v>
      </c>
      <c r="H123" s="333">
        <v>79</v>
      </c>
      <c r="I123" s="333">
        <v>0</v>
      </c>
      <c r="J123" s="333">
        <v>11</v>
      </c>
      <c r="K123" s="333">
        <v>11</v>
      </c>
      <c r="L123" s="333"/>
      <c r="M123" s="165"/>
      <c r="N123" s="397" t="s">
        <v>218</v>
      </c>
      <c r="O123" s="333">
        <v>0</v>
      </c>
      <c r="P123" s="333">
        <v>0</v>
      </c>
      <c r="Q123" s="333">
        <v>79</v>
      </c>
      <c r="R123" s="333">
        <v>79</v>
      </c>
      <c r="S123" s="333">
        <v>3223237</v>
      </c>
      <c r="T123" s="169">
        <v>2.4</v>
      </c>
      <c r="U123" s="165">
        <f>VLOOKUP(N123,'[2]154'!$C$9:$T$554,18,0)</f>
        <v>79</v>
      </c>
      <c r="V123" s="397" t="s">
        <v>218</v>
      </c>
      <c r="W123" s="404">
        <v>11</v>
      </c>
      <c r="X123" s="405">
        <v>51293.454545454544</v>
      </c>
      <c r="Y123" s="404">
        <v>564228</v>
      </c>
      <c r="Z123" s="169"/>
      <c r="AA123" s="397" t="s">
        <v>218</v>
      </c>
      <c r="AB123" s="333">
        <v>0</v>
      </c>
      <c r="AC123" s="333">
        <v>0</v>
      </c>
      <c r="AD123" s="333">
        <v>79</v>
      </c>
      <c r="AE123" s="333">
        <v>79</v>
      </c>
      <c r="AF123" s="333">
        <v>63</v>
      </c>
      <c r="AG123" s="333">
        <v>1310306</v>
      </c>
      <c r="AH123" s="169"/>
      <c r="AI123" s="397" t="s">
        <v>218</v>
      </c>
      <c r="AJ123" s="333">
        <v>0</v>
      </c>
      <c r="AK123" s="333">
        <v>0</v>
      </c>
      <c r="AL123" s="333">
        <v>79</v>
      </c>
      <c r="AM123" s="333">
        <v>79</v>
      </c>
      <c r="AN123" s="333">
        <v>63</v>
      </c>
      <c r="AO123" s="333">
        <v>1912931</v>
      </c>
    </row>
    <row r="124" spans="1:41" s="211" customFormat="1" ht="15.75">
      <c r="A124" s="333">
        <v>118</v>
      </c>
      <c r="B124" s="169" t="s">
        <v>106</v>
      </c>
      <c r="C124" s="397" t="s">
        <v>219</v>
      </c>
      <c r="D124" s="333">
        <v>0</v>
      </c>
      <c r="E124" s="333">
        <v>434</v>
      </c>
      <c r="F124" s="333">
        <v>0</v>
      </c>
      <c r="G124" s="333">
        <v>0</v>
      </c>
      <c r="H124" s="333">
        <v>434</v>
      </c>
      <c r="I124" s="333">
        <v>0</v>
      </c>
      <c r="J124" s="333">
        <v>0</v>
      </c>
      <c r="K124" s="333">
        <v>0</v>
      </c>
      <c r="L124" s="333"/>
      <c r="M124" s="165"/>
      <c r="N124" s="397" t="s">
        <v>219</v>
      </c>
      <c r="O124" s="333">
        <v>0</v>
      </c>
      <c r="P124" s="333">
        <v>0</v>
      </c>
      <c r="Q124" s="333">
        <v>434</v>
      </c>
      <c r="R124" s="333">
        <v>434</v>
      </c>
      <c r="S124" s="333">
        <v>23757521</v>
      </c>
      <c r="T124" s="169">
        <v>3.1</v>
      </c>
      <c r="U124" s="165">
        <f>VLOOKUP(N124,'[2]154'!$C$9:$T$554,18,0)</f>
        <v>434</v>
      </c>
      <c r="V124" s="397" t="s">
        <v>219</v>
      </c>
      <c r="W124" s="404">
        <v>0</v>
      </c>
      <c r="X124" s="405">
        <v>0</v>
      </c>
      <c r="Y124" s="404">
        <v>0</v>
      </c>
      <c r="Z124" s="169"/>
      <c r="AA124" s="397" t="s">
        <v>219</v>
      </c>
      <c r="AB124" s="333">
        <v>0</v>
      </c>
      <c r="AC124" s="333">
        <v>0</v>
      </c>
      <c r="AD124" s="333">
        <v>434</v>
      </c>
      <c r="AE124" s="333">
        <v>434</v>
      </c>
      <c r="AF124" s="333">
        <v>347</v>
      </c>
      <c r="AG124" s="333">
        <v>9772047</v>
      </c>
      <c r="AH124" s="169"/>
      <c r="AI124" s="397" t="s">
        <v>219</v>
      </c>
      <c r="AJ124" s="333">
        <v>0</v>
      </c>
      <c r="AK124" s="333">
        <v>0</v>
      </c>
      <c r="AL124" s="333">
        <v>434</v>
      </c>
      <c r="AM124" s="333">
        <v>434</v>
      </c>
      <c r="AN124" s="333">
        <v>347</v>
      </c>
      <c r="AO124" s="333">
        <v>13985474</v>
      </c>
    </row>
    <row r="125" spans="1:41" s="211" customFormat="1" ht="15.75">
      <c r="A125" s="333">
        <v>119</v>
      </c>
      <c r="B125" s="169" t="s">
        <v>106</v>
      </c>
      <c r="C125" s="397" t="s">
        <v>220</v>
      </c>
      <c r="D125" s="333">
        <v>0</v>
      </c>
      <c r="E125" s="333">
        <v>727</v>
      </c>
      <c r="F125" s="333">
        <v>0</v>
      </c>
      <c r="G125" s="333">
        <v>0</v>
      </c>
      <c r="H125" s="333">
        <v>727</v>
      </c>
      <c r="I125" s="333">
        <v>0</v>
      </c>
      <c r="J125" s="333">
        <v>56</v>
      </c>
      <c r="K125" s="333">
        <v>56</v>
      </c>
      <c r="L125" s="333"/>
      <c r="M125" s="208"/>
      <c r="N125" s="397" t="s">
        <v>220</v>
      </c>
      <c r="O125" s="333">
        <v>0</v>
      </c>
      <c r="P125" s="333">
        <v>0</v>
      </c>
      <c r="Q125" s="333">
        <v>727</v>
      </c>
      <c r="R125" s="333">
        <v>727</v>
      </c>
      <c r="S125" s="333">
        <v>31403390</v>
      </c>
      <c r="T125" s="169">
        <v>2.5</v>
      </c>
      <c r="U125" s="165">
        <f>VLOOKUP(N125,'[2]154'!$C$9:$T$554,18,0)</f>
        <v>727</v>
      </c>
      <c r="V125" s="397" t="s">
        <v>220</v>
      </c>
      <c r="W125" s="404">
        <v>56</v>
      </c>
      <c r="X125" s="405">
        <v>53718.803571428572</v>
      </c>
      <c r="Y125" s="404">
        <v>3008253</v>
      </c>
      <c r="Z125" s="169"/>
      <c r="AA125" s="397" t="s">
        <v>220</v>
      </c>
      <c r="AB125" s="333">
        <v>0</v>
      </c>
      <c r="AC125" s="333">
        <v>0</v>
      </c>
      <c r="AD125" s="333">
        <v>727</v>
      </c>
      <c r="AE125" s="333">
        <v>727</v>
      </c>
      <c r="AF125" s="333">
        <v>582</v>
      </c>
      <c r="AG125" s="333">
        <v>12680520</v>
      </c>
      <c r="AH125" s="169"/>
      <c r="AI125" s="397" t="s">
        <v>220</v>
      </c>
      <c r="AJ125" s="333">
        <v>0</v>
      </c>
      <c r="AK125" s="333">
        <v>0</v>
      </c>
      <c r="AL125" s="333">
        <v>727</v>
      </c>
      <c r="AM125" s="333">
        <v>727</v>
      </c>
      <c r="AN125" s="333">
        <v>582</v>
      </c>
      <c r="AO125" s="333">
        <v>18722870</v>
      </c>
    </row>
    <row r="126" spans="1:41" s="211" customFormat="1" ht="15.75">
      <c r="A126" s="333">
        <v>120</v>
      </c>
      <c r="B126" s="169" t="s">
        <v>171</v>
      </c>
      <c r="C126" s="397" t="s">
        <v>221</v>
      </c>
      <c r="D126" s="333">
        <v>0</v>
      </c>
      <c r="E126" s="333">
        <v>614</v>
      </c>
      <c r="F126" s="333">
        <v>0</v>
      </c>
      <c r="G126" s="333">
        <v>0</v>
      </c>
      <c r="H126" s="333">
        <v>614</v>
      </c>
      <c r="I126" s="333">
        <v>0</v>
      </c>
      <c r="J126" s="333">
        <v>454</v>
      </c>
      <c r="K126" s="333">
        <v>454</v>
      </c>
      <c r="L126" s="333"/>
      <c r="M126" s="165"/>
      <c r="N126" s="397" t="s">
        <v>221</v>
      </c>
      <c r="O126" s="333">
        <v>0</v>
      </c>
      <c r="P126" s="333">
        <v>0</v>
      </c>
      <c r="Q126" s="333">
        <v>614</v>
      </c>
      <c r="R126" s="333">
        <v>614</v>
      </c>
      <c r="S126" s="333">
        <v>10498242</v>
      </c>
      <c r="T126" s="169">
        <v>1</v>
      </c>
      <c r="U126" s="165">
        <f>VLOOKUP(N126,'[2]154'!$C$9:$T$554,18,0)</f>
        <v>614</v>
      </c>
      <c r="V126" s="397" t="s">
        <v>221</v>
      </c>
      <c r="W126" s="404">
        <v>454</v>
      </c>
      <c r="X126" s="405">
        <v>21381.348017621145</v>
      </c>
      <c r="Y126" s="404">
        <v>9707132</v>
      </c>
      <c r="Z126" s="169"/>
      <c r="AA126" s="397" t="s">
        <v>221</v>
      </c>
      <c r="AB126" s="333">
        <v>0</v>
      </c>
      <c r="AC126" s="333">
        <v>0</v>
      </c>
      <c r="AD126" s="333">
        <v>614</v>
      </c>
      <c r="AE126" s="333">
        <v>614</v>
      </c>
      <c r="AF126" s="333">
        <v>491</v>
      </c>
      <c r="AG126" s="333">
        <v>4267732</v>
      </c>
      <c r="AH126" s="169"/>
      <c r="AI126" s="397" t="s">
        <v>221</v>
      </c>
      <c r="AJ126" s="333">
        <v>0</v>
      </c>
      <c r="AK126" s="333">
        <v>0</v>
      </c>
      <c r="AL126" s="333">
        <v>614</v>
      </c>
      <c r="AM126" s="333">
        <v>614</v>
      </c>
      <c r="AN126" s="333">
        <v>491</v>
      </c>
      <c r="AO126" s="333">
        <v>6230510</v>
      </c>
    </row>
    <row r="127" spans="1:41" s="211" customFormat="1" ht="15.75">
      <c r="A127" s="333">
        <v>121</v>
      </c>
      <c r="B127" s="169" t="s">
        <v>171</v>
      </c>
      <c r="C127" s="397" t="s">
        <v>222</v>
      </c>
      <c r="D127" s="333">
        <v>0</v>
      </c>
      <c r="E127" s="333">
        <v>58</v>
      </c>
      <c r="F127" s="333">
        <v>0</v>
      </c>
      <c r="G127" s="333">
        <v>0</v>
      </c>
      <c r="H127" s="333">
        <v>58</v>
      </c>
      <c r="I127" s="333">
        <v>0</v>
      </c>
      <c r="J127" s="333">
        <v>16</v>
      </c>
      <c r="K127" s="333">
        <v>16</v>
      </c>
      <c r="L127" s="333"/>
      <c r="M127" s="165"/>
      <c r="N127" s="397" t="s">
        <v>222</v>
      </c>
      <c r="O127" s="333">
        <v>0</v>
      </c>
      <c r="P127" s="333">
        <v>0</v>
      </c>
      <c r="Q127" s="333">
        <v>58</v>
      </c>
      <c r="R127" s="333">
        <v>58</v>
      </c>
      <c r="S127" s="333">
        <v>307423</v>
      </c>
      <c r="T127" s="169">
        <v>1.1000000000000001</v>
      </c>
      <c r="U127" s="165">
        <f>VLOOKUP(N127,'[2]154'!$C$9:$T$554,18,0)</f>
        <v>58</v>
      </c>
      <c r="V127" s="397" t="s">
        <v>222</v>
      </c>
      <c r="W127" s="404">
        <v>16</v>
      </c>
      <c r="X127" s="405">
        <v>5300.375</v>
      </c>
      <c r="Y127" s="404">
        <v>84806</v>
      </c>
      <c r="Z127" s="169"/>
      <c r="AA127" s="397" t="s">
        <v>222</v>
      </c>
      <c r="AB127" s="333">
        <v>0</v>
      </c>
      <c r="AC127" s="333">
        <v>0</v>
      </c>
      <c r="AD127" s="333">
        <v>58</v>
      </c>
      <c r="AE127" s="333">
        <v>58</v>
      </c>
      <c r="AF127" s="333">
        <v>46</v>
      </c>
      <c r="AG127" s="333">
        <v>124973</v>
      </c>
      <c r="AH127" s="169"/>
      <c r="AI127" s="397" t="s">
        <v>222</v>
      </c>
      <c r="AJ127" s="333">
        <v>0</v>
      </c>
      <c r="AK127" s="333">
        <v>0</v>
      </c>
      <c r="AL127" s="333">
        <v>58</v>
      </c>
      <c r="AM127" s="333">
        <v>58</v>
      </c>
      <c r="AN127" s="333">
        <v>46</v>
      </c>
      <c r="AO127" s="333">
        <v>182450</v>
      </c>
    </row>
    <row r="128" spans="1:41" s="211" customFormat="1" ht="15.75">
      <c r="A128" s="333">
        <v>122</v>
      </c>
      <c r="B128" s="169" t="s">
        <v>107</v>
      </c>
      <c r="C128" s="397" t="s">
        <v>599</v>
      </c>
      <c r="D128" s="333">
        <v>0</v>
      </c>
      <c r="E128" s="333">
        <v>15</v>
      </c>
      <c r="F128" s="333">
        <v>0</v>
      </c>
      <c r="G128" s="333">
        <v>0</v>
      </c>
      <c r="H128" s="333">
        <v>15</v>
      </c>
      <c r="I128" s="333">
        <v>0</v>
      </c>
      <c r="J128" s="333">
        <v>80</v>
      </c>
      <c r="K128" s="333">
        <v>80</v>
      </c>
      <c r="L128" s="333"/>
      <c r="M128" s="208"/>
      <c r="N128" s="397" t="s">
        <v>599</v>
      </c>
      <c r="O128" s="333">
        <v>0</v>
      </c>
      <c r="P128" s="333">
        <v>0</v>
      </c>
      <c r="Q128" s="333">
        <v>15</v>
      </c>
      <c r="R128" s="333">
        <v>15</v>
      </c>
      <c r="S128" s="333">
        <v>853930</v>
      </c>
      <c r="T128" s="169">
        <v>3.2</v>
      </c>
      <c r="U128" s="165">
        <f>VLOOKUP(N128,'[2]154'!$C$9:$T$554,18,0)</f>
        <v>15</v>
      </c>
      <c r="V128" s="397" t="s">
        <v>599</v>
      </c>
      <c r="W128" s="404">
        <v>80</v>
      </c>
      <c r="X128" s="405">
        <v>71160.899999999994</v>
      </c>
      <c r="Y128" s="404">
        <v>5692872</v>
      </c>
      <c r="Z128" s="169"/>
      <c r="AA128" s="397" t="s">
        <v>599</v>
      </c>
      <c r="AB128" s="333">
        <v>0</v>
      </c>
      <c r="AC128" s="333">
        <v>0</v>
      </c>
      <c r="AD128" s="333">
        <v>15</v>
      </c>
      <c r="AE128" s="333">
        <v>15</v>
      </c>
      <c r="AF128" s="333">
        <v>12</v>
      </c>
      <c r="AG128" s="333">
        <v>338504</v>
      </c>
      <c r="AH128" s="169"/>
      <c r="AI128" s="397" t="s">
        <v>599</v>
      </c>
      <c r="AJ128" s="333">
        <v>0</v>
      </c>
      <c r="AK128" s="333">
        <v>0</v>
      </c>
      <c r="AL128" s="333">
        <v>15</v>
      </c>
      <c r="AM128" s="333">
        <v>15</v>
      </c>
      <c r="AN128" s="333">
        <v>12</v>
      </c>
      <c r="AO128" s="333">
        <v>515426</v>
      </c>
    </row>
    <row r="129" spans="1:41" s="211" customFormat="1" ht="15.75">
      <c r="A129" s="333">
        <v>123</v>
      </c>
      <c r="B129" s="169" t="s">
        <v>107</v>
      </c>
      <c r="C129" s="397" t="s">
        <v>224</v>
      </c>
      <c r="D129" s="333">
        <v>0</v>
      </c>
      <c r="E129" s="333">
        <v>144</v>
      </c>
      <c r="F129" s="333">
        <v>0</v>
      </c>
      <c r="G129" s="333">
        <v>0</v>
      </c>
      <c r="H129" s="333">
        <v>144</v>
      </c>
      <c r="I129" s="333">
        <v>0</v>
      </c>
      <c r="J129" s="333">
        <v>116</v>
      </c>
      <c r="K129" s="333">
        <v>116</v>
      </c>
      <c r="L129" s="333"/>
      <c r="M129" s="165"/>
      <c r="N129" s="397" t="s">
        <v>224</v>
      </c>
      <c r="O129" s="333">
        <v>0</v>
      </c>
      <c r="P129" s="333">
        <v>0</v>
      </c>
      <c r="Q129" s="333">
        <v>144</v>
      </c>
      <c r="R129" s="333">
        <v>144</v>
      </c>
      <c r="S129" s="333">
        <v>4917256</v>
      </c>
      <c r="T129" s="169">
        <v>1.9</v>
      </c>
      <c r="U129" s="165">
        <f>VLOOKUP(N129,'[2]154'!$C$9:$T$554,18,0)</f>
        <v>144</v>
      </c>
      <c r="V129" s="397" t="s">
        <v>224</v>
      </c>
      <c r="W129" s="404">
        <v>116</v>
      </c>
      <c r="X129" s="405">
        <v>36498.465517241377</v>
      </c>
      <c r="Y129" s="404">
        <v>4233822</v>
      </c>
      <c r="Z129" s="169"/>
      <c r="AA129" s="397" t="s">
        <v>224</v>
      </c>
      <c r="AB129" s="333">
        <v>0</v>
      </c>
      <c r="AC129" s="333">
        <v>0</v>
      </c>
      <c r="AD129" s="333">
        <v>144</v>
      </c>
      <c r="AE129" s="333">
        <v>144</v>
      </c>
      <c r="AF129" s="333">
        <v>115</v>
      </c>
      <c r="AG129" s="333">
        <v>1998957</v>
      </c>
      <c r="AH129" s="169"/>
      <c r="AI129" s="397" t="s">
        <v>224</v>
      </c>
      <c r="AJ129" s="333">
        <v>0</v>
      </c>
      <c r="AK129" s="333">
        <v>0</v>
      </c>
      <c r="AL129" s="333">
        <v>144</v>
      </c>
      <c r="AM129" s="333">
        <v>144</v>
      </c>
      <c r="AN129" s="333">
        <v>115</v>
      </c>
      <c r="AO129" s="333">
        <v>2918299</v>
      </c>
    </row>
    <row r="130" spans="1:41" ht="15.75">
      <c r="A130" s="333">
        <v>124</v>
      </c>
      <c r="B130" s="3" t="s">
        <v>107</v>
      </c>
      <c r="C130" s="398" t="s">
        <v>225</v>
      </c>
      <c r="D130" s="329">
        <v>0</v>
      </c>
      <c r="E130" s="329">
        <v>252</v>
      </c>
      <c r="F130" s="329">
        <v>0</v>
      </c>
      <c r="G130" s="329">
        <v>0</v>
      </c>
      <c r="H130" s="329">
        <v>252</v>
      </c>
      <c r="I130" s="329">
        <v>0</v>
      </c>
      <c r="J130" s="329">
        <v>224</v>
      </c>
      <c r="K130" s="333">
        <v>224</v>
      </c>
      <c r="L130" s="333"/>
      <c r="M130" s="165"/>
      <c r="N130" s="398" t="s">
        <v>225</v>
      </c>
      <c r="O130" s="329">
        <v>0</v>
      </c>
      <c r="P130" s="329">
        <v>0</v>
      </c>
      <c r="Q130" s="329">
        <v>252</v>
      </c>
      <c r="R130" s="333">
        <v>252</v>
      </c>
      <c r="S130" s="333">
        <v>10149725</v>
      </c>
      <c r="T130" s="3">
        <v>2.35</v>
      </c>
      <c r="U130" s="165">
        <f>VLOOKUP(N130,'[2]154'!$C$9:$T$554,18,0)</f>
        <v>252</v>
      </c>
      <c r="V130" s="398" t="s">
        <v>225</v>
      </c>
      <c r="W130" s="406">
        <v>224</v>
      </c>
      <c r="X130" s="405">
        <v>50246.165178571428</v>
      </c>
      <c r="Y130" s="406">
        <v>11255141</v>
      </c>
      <c r="Z130" s="3"/>
      <c r="AA130" s="398" t="s">
        <v>225</v>
      </c>
      <c r="AB130" s="329">
        <v>0</v>
      </c>
      <c r="AC130" s="329">
        <v>0</v>
      </c>
      <c r="AD130" s="329">
        <v>252</v>
      </c>
      <c r="AE130" s="329">
        <v>252</v>
      </c>
      <c r="AF130" s="329">
        <v>202</v>
      </c>
      <c r="AG130" s="329">
        <v>4126053</v>
      </c>
      <c r="AH130" s="3"/>
      <c r="AI130" s="398" t="s">
        <v>225</v>
      </c>
      <c r="AJ130" s="329">
        <v>0</v>
      </c>
      <c r="AK130" s="329">
        <v>0</v>
      </c>
      <c r="AL130" s="329">
        <v>252</v>
      </c>
      <c r="AM130" s="329">
        <v>252</v>
      </c>
      <c r="AN130" s="329">
        <v>202</v>
      </c>
      <c r="AO130" s="329">
        <v>6023672</v>
      </c>
    </row>
    <row r="131" spans="1:41" s="211" customFormat="1" ht="15.75">
      <c r="A131" s="333">
        <v>125</v>
      </c>
      <c r="B131" s="169" t="s">
        <v>107</v>
      </c>
      <c r="C131" s="397" t="s">
        <v>226</v>
      </c>
      <c r="D131" s="333">
        <v>0</v>
      </c>
      <c r="E131" s="333">
        <v>70</v>
      </c>
      <c r="F131" s="333">
        <v>0</v>
      </c>
      <c r="G131" s="333">
        <v>0</v>
      </c>
      <c r="H131" s="333">
        <v>70</v>
      </c>
      <c r="I131" s="333">
        <v>0</v>
      </c>
      <c r="J131" s="333">
        <v>29</v>
      </c>
      <c r="K131" s="333">
        <v>29</v>
      </c>
      <c r="L131" s="333"/>
      <c r="M131" s="208"/>
      <c r="N131" s="397" t="s">
        <v>226</v>
      </c>
      <c r="O131" s="333">
        <v>0</v>
      </c>
      <c r="P131" s="333">
        <v>0</v>
      </c>
      <c r="Q131" s="333">
        <v>70</v>
      </c>
      <c r="R131" s="333">
        <v>70</v>
      </c>
      <c r="S131" s="333">
        <v>3891405</v>
      </c>
      <c r="T131" s="169">
        <v>3.25</v>
      </c>
      <c r="U131" s="165">
        <f>VLOOKUP(N131,'[2]154'!$C$9:$T$554,18,0)</f>
        <v>70</v>
      </c>
      <c r="V131" s="397" t="s">
        <v>226</v>
      </c>
      <c r="W131" s="404">
        <v>29</v>
      </c>
      <c r="X131" s="405">
        <v>69489.379310344826</v>
      </c>
      <c r="Y131" s="404">
        <v>2015192</v>
      </c>
      <c r="Z131" s="169"/>
      <c r="AA131" s="397" t="s">
        <v>226</v>
      </c>
      <c r="AB131" s="333">
        <v>0</v>
      </c>
      <c r="AC131" s="333">
        <v>0</v>
      </c>
      <c r="AD131" s="333">
        <v>70</v>
      </c>
      <c r="AE131" s="333">
        <v>70</v>
      </c>
      <c r="AF131" s="333">
        <v>56</v>
      </c>
      <c r="AG131" s="333">
        <v>1581929</v>
      </c>
      <c r="AH131" s="169"/>
      <c r="AI131" s="397" t="s">
        <v>226</v>
      </c>
      <c r="AJ131" s="333">
        <v>0</v>
      </c>
      <c r="AK131" s="333">
        <v>0</v>
      </c>
      <c r="AL131" s="333">
        <v>70</v>
      </c>
      <c r="AM131" s="333">
        <v>70</v>
      </c>
      <c r="AN131" s="333">
        <v>56</v>
      </c>
      <c r="AO131" s="333">
        <v>2309476</v>
      </c>
    </row>
    <row r="132" spans="1:41" s="211" customFormat="1" ht="15.75">
      <c r="A132" s="333">
        <v>126</v>
      </c>
      <c r="B132" s="169" t="s">
        <v>105</v>
      </c>
      <c r="C132" s="397">
        <v>444136</v>
      </c>
      <c r="D132" s="333">
        <v>0</v>
      </c>
      <c r="E132" s="333">
        <v>336</v>
      </c>
      <c r="F132" s="333">
        <v>0</v>
      </c>
      <c r="G132" s="333">
        <v>0</v>
      </c>
      <c r="H132" s="333">
        <v>336</v>
      </c>
      <c r="I132" s="333">
        <v>0</v>
      </c>
      <c r="J132" s="333">
        <v>255</v>
      </c>
      <c r="K132" s="333">
        <v>255</v>
      </c>
      <c r="L132" s="333"/>
      <c r="M132" s="165"/>
      <c r="N132" s="397">
        <v>444136</v>
      </c>
      <c r="O132" s="333">
        <v>0</v>
      </c>
      <c r="P132" s="333">
        <v>0</v>
      </c>
      <c r="Q132" s="333">
        <v>336</v>
      </c>
      <c r="R132" s="333">
        <v>336</v>
      </c>
      <c r="S132" s="333">
        <v>3584328</v>
      </c>
      <c r="T132" s="169">
        <v>0.6</v>
      </c>
      <c r="U132" s="165">
        <f>VLOOKUP(N132,'[2]154'!$C$9:$T$554,18,0)</f>
        <v>1090</v>
      </c>
      <c r="V132" s="397">
        <v>444136</v>
      </c>
      <c r="W132" s="404">
        <v>255</v>
      </c>
      <c r="X132" s="405">
        <v>13324.635294117646</v>
      </c>
      <c r="Y132" s="404">
        <v>3397782</v>
      </c>
      <c r="Z132" s="169"/>
      <c r="AA132" s="397">
        <v>444136</v>
      </c>
      <c r="AB132" s="333">
        <v>0</v>
      </c>
      <c r="AC132" s="333">
        <v>0</v>
      </c>
      <c r="AD132" s="333">
        <v>336</v>
      </c>
      <c r="AE132" s="333">
        <v>336</v>
      </c>
      <c r="AF132" s="333">
        <v>269</v>
      </c>
      <c r="AG132" s="333">
        <v>1418225</v>
      </c>
      <c r="AH132" s="169"/>
      <c r="AI132" s="397">
        <v>444136</v>
      </c>
      <c r="AJ132" s="333">
        <v>0</v>
      </c>
      <c r="AK132" s="333">
        <v>0</v>
      </c>
      <c r="AL132" s="333">
        <v>336</v>
      </c>
      <c r="AM132" s="333">
        <v>336</v>
      </c>
      <c r="AN132" s="333">
        <v>269</v>
      </c>
      <c r="AO132" s="333">
        <v>2166103</v>
      </c>
    </row>
    <row r="133" spans="1:41" ht="15.75">
      <c r="A133" s="333">
        <v>127</v>
      </c>
      <c r="B133" s="3" t="s">
        <v>172</v>
      </c>
      <c r="C133" s="398" t="s">
        <v>228</v>
      </c>
      <c r="D133" s="329">
        <v>0</v>
      </c>
      <c r="E133" s="329">
        <v>397</v>
      </c>
      <c r="F133" s="329">
        <v>0</v>
      </c>
      <c r="G133" s="329">
        <v>0</v>
      </c>
      <c r="H133" s="329">
        <v>397</v>
      </c>
      <c r="I133" s="329">
        <v>0</v>
      </c>
      <c r="J133" s="329">
        <v>0</v>
      </c>
      <c r="K133" s="333">
        <v>0</v>
      </c>
      <c r="L133" s="333"/>
      <c r="M133" s="165"/>
      <c r="N133" s="398" t="s">
        <v>228</v>
      </c>
      <c r="O133" s="329">
        <v>0</v>
      </c>
      <c r="P133" s="329">
        <v>0</v>
      </c>
      <c r="Q133" s="329">
        <v>397</v>
      </c>
      <c r="R133" s="333">
        <v>397</v>
      </c>
      <c r="S133" s="333">
        <v>4242763</v>
      </c>
      <c r="T133" s="3">
        <v>0.6</v>
      </c>
      <c r="U133" s="165">
        <f>VLOOKUP(N133,'[2]154'!$C$9:$T$554,18,0)</f>
        <v>397</v>
      </c>
      <c r="V133" s="398" t="s">
        <v>228</v>
      </c>
      <c r="W133" s="406">
        <v>0</v>
      </c>
      <c r="X133" s="405">
        <v>0</v>
      </c>
      <c r="Y133" s="406">
        <v>0</v>
      </c>
      <c r="Z133" s="3"/>
      <c r="AA133" s="398" t="s">
        <v>228</v>
      </c>
      <c r="AB133" s="329">
        <v>0</v>
      </c>
      <c r="AC133" s="329">
        <v>0</v>
      </c>
      <c r="AD133" s="329">
        <v>397</v>
      </c>
      <c r="AE133" s="329">
        <v>397</v>
      </c>
      <c r="AF133" s="329">
        <v>318</v>
      </c>
      <c r="AG133" s="329">
        <v>1677199</v>
      </c>
      <c r="AH133" s="3"/>
      <c r="AI133" s="398" t="s">
        <v>228</v>
      </c>
      <c r="AJ133" s="329">
        <v>0</v>
      </c>
      <c r="AK133" s="329">
        <v>0</v>
      </c>
      <c r="AL133" s="329">
        <v>397</v>
      </c>
      <c r="AM133" s="329">
        <v>397</v>
      </c>
      <c r="AN133" s="329">
        <v>318</v>
      </c>
      <c r="AO133" s="329">
        <v>2565564</v>
      </c>
    </row>
    <row r="134" spans="1:41" ht="15.75">
      <c r="A134" s="333">
        <v>128</v>
      </c>
      <c r="B134" s="3" t="s">
        <v>108</v>
      </c>
      <c r="C134" s="401">
        <v>174034833</v>
      </c>
      <c r="D134" s="329">
        <v>0</v>
      </c>
      <c r="E134" s="329">
        <v>303</v>
      </c>
      <c r="F134" s="329">
        <v>0</v>
      </c>
      <c r="G134" s="329">
        <v>0</v>
      </c>
      <c r="H134" s="329">
        <v>303</v>
      </c>
      <c r="I134" s="329">
        <v>0</v>
      </c>
      <c r="J134" s="329">
        <v>20</v>
      </c>
      <c r="K134" s="333">
        <v>20</v>
      </c>
      <c r="L134" s="333"/>
      <c r="M134" s="208"/>
      <c r="N134" s="401">
        <v>174034833</v>
      </c>
      <c r="O134" s="329">
        <v>0</v>
      </c>
      <c r="P134" s="329">
        <v>0</v>
      </c>
      <c r="Q134" s="329">
        <v>303</v>
      </c>
      <c r="R134" s="333">
        <v>303</v>
      </c>
      <c r="S134" s="333">
        <v>17623045</v>
      </c>
      <c r="T134" s="3">
        <v>3.16</v>
      </c>
      <c r="U134" s="165">
        <f>VLOOKUP(N134,'[2]154'!$C$9:$T$554,18,0)</f>
        <v>303</v>
      </c>
      <c r="V134" s="401">
        <v>174034833</v>
      </c>
      <c r="W134" s="406">
        <v>20</v>
      </c>
      <c r="X134" s="405">
        <v>64533.599999999999</v>
      </c>
      <c r="Y134" s="406">
        <v>1290672</v>
      </c>
      <c r="Z134" s="3"/>
      <c r="AA134" s="401">
        <v>174034833</v>
      </c>
      <c r="AB134" s="329">
        <v>0</v>
      </c>
      <c r="AC134" s="329">
        <v>0</v>
      </c>
      <c r="AD134" s="329">
        <v>303</v>
      </c>
      <c r="AE134" s="329">
        <v>303</v>
      </c>
      <c r="AF134" s="329">
        <v>242</v>
      </c>
      <c r="AG134" s="329">
        <v>7359994</v>
      </c>
      <c r="AH134" s="3"/>
      <c r="AI134" s="401">
        <v>174034833</v>
      </c>
      <c r="AJ134" s="329">
        <v>0</v>
      </c>
      <c r="AK134" s="329">
        <v>0</v>
      </c>
      <c r="AL134" s="329">
        <v>303</v>
      </c>
      <c r="AM134" s="329">
        <v>303</v>
      </c>
      <c r="AN134" s="329">
        <v>242</v>
      </c>
      <c r="AO134" s="329">
        <v>10263051</v>
      </c>
    </row>
    <row r="135" spans="1:41" ht="15.75">
      <c r="A135" s="333">
        <v>129</v>
      </c>
      <c r="B135" s="3" t="s">
        <v>108</v>
      </c>
      <c r="C135" s="401">
        <v>174034834</v>
      </c>
      <c r="D135" s="329">
        <v>0</v>
      </c>
      <c r="E135" s="329">
        <v>325</v>
      </c>
      <c r="F135" s="329">
        <v>0</v>
      </c>
      <c r="G135" s="329">
        <v>0</v>
      </c>
      <c r="H135" s="329">
        <v>325</v>
      </c>
      <c r="I135" s="329">
        <v>0</v>
      </c>
      <c r="J135" s="329">
        <v>49</v>
      </c>
      <c r="K135" s="333">
        <v>49</v>
      </c>
      <c r="L135" s="333"/>
      <c r="M135" s="165"/>
      <c r="N135" s="401">
        <v>174034834</v>
      </c>
      <c r="O135" s="329">
        <v>0</v>
      </c>
      <c r="P135" s="329">
        <v>0</v>
      </c>
      <c r="Q135" s="329">
        <v>325</v>
      </c>
      <c r="R135" s="333">
        <v>325</v>
      </c>
      <c r="S135" s="333">
        <v>18082429</v>
      </c>
      <c r="T135" s="3">
        <v>3.26</v>
      </c>
      <c r="U135" s="165">
        <f>VLOOKUP(N135,'[2]154'!$C$9:$T$554,18,0)</f>
        <v>325</v>
      </c>
      <c r="V135" s="401">
        <v>174034834</v>
      </c>
      <c r="W135" s="406">
        <v>49</v>
      </c>
      <c r="X135" s="405">
        <v>68814.775510204083</v>
      </c>
      <c r="Y135" s="406">
        <v>3371924</v>
      </c>
      <c r="Z135" s="3"/>
      <c r="AA135" s="401">
        <v>174034834</v>
      </c>
      <c r="AB135" s="329">
        <v>0</v>
      </c>
      <c r="AC135" s="329">
        <v>0</v>
      </c>
      <c r="AD135" s="329">
        <v>325</v>
      </c>
      <c r="AE135" s="329">
        <v>325</v>
      </c>
      <c r="AF135" s="329">
        <v>260</v>
      </c>
      <c r="AG135" s="329">
        <v>7303486</v>
      </c>
      <c r="AH135" s="3"/>
      <c r="AI135" s="401">
        <v>174034834</v>
      </c>
      <c r="AJ135" s="329">
        <v>0</v>
      </c>
      <c r="AK135" s="329">
        <v>0</v>
      </c>
      <c r="AL135" s="329">
        <v>325</v>
      </c>
      <c r="AM135" s="329">
        <v>325</v>
      </c>
      <c r="AN135" s="329">
        <v>260</v>
      </c>
      <c r="AO135" s="329">
        <v>10778943</v>
      </c>
    </row>
    <row r="136" spans="1:41" s="211" customFormat="1" ht="15.75">
      <c r="A136" s="333">
        <v>130</v>
      </c>
      <c r="B136" s="169" t="s">
        <v>108</v>
      </c>
      <c r="C136" s="400">
        <v>174034840</v>
      </c>
      <c r="D136" s="333">
        <v>0</v>
      </c>
      <c r="E136" s="333">
        <v>391</v>
      </c>
      <c r="F136" s="333">
        <v>0</v>
      </c>
      <c r="G136" s="333">
        <v>0</v>
      </c>
      <c r="H136" s="333">
        <v>391</v>
      </c>
      <c r="I136" s="333">
        <v>0</v>
      </c>
      <c r="J136" s="333">
        <v>79</v>
      </c>
      <c r="K136" s="333">
        <v>79</v>
      </c>
      <c r="L136" s="333"/>
      <c r="M136" s="165"/>
      <c r="N136" s="400">
        <v>174034840</v>
      </c>
      <c r="O136" s="333">
        <v>0</v>
      </c>
      <c r="P136" s="333">
        <v>0</v>
      </c>
      <c r="Q136" s="333">
        <v>391</v>
      </c>
      <c r="R136" s="333">
        <v>391</v>
      </c>
      <c r="S136" s="333">
        <v>22858662</v>
      </c>
      <c r="T136" s="169">
        <v>3.36</v>
      </c>
      <c r="U136" s="165">
        <f>VLOOKUP(N136,'[2]154'!$C$9:$T$554,18,0)</f>
        <v>391</v>
      </c>
      <c r="V136" s="400">
        <v>174034840</v>
      </c>
      <c r="W136" s="404">
        <v>79</v>
      </c>
      <c r="X136" s="405">
        <v>72926.797468354431</v>
      </c>
      <c r="Y136" s="404">
        <v>5761217</v>
      </c>
      <c r="Z136" s="169"/>
      <c r="AA136" s="400">
        <v>174034840</v>
      </c>
      <c r="AB136" s="333">
        <v>0</v>
      </c>
      <c r="AC136" s="333">
        <v>0</v>
      </c>
      <c r="AD136" s="333">
        <v>391</v>
      </c>
      <c r="AE136" s="333">
        <v>391</v>
      </c>
      <c r="AF136" s="333">
        <v>313</v>
      </c>
      <c r="AG136" s="333">
        <v>9179776</v>
      </c>
      <c r="AH136" s="169"/>
      <c r="AI136" s="400">
        <v>174034840</v>
      </c>
      <c r="AJ136" s="333">
        <v>0</v>
      </c>
      <c r="AK136" s="333">
        <v>0</v>
      </c>
      <c r="AL136" s="333">
        <v>391</v>
      </c>
      <c r="AM136" s="333">
        <v>391</v>
      </c>
      <c r="AN136" s="333">
        <v>313</v>
      </c>
      <c r="AO136" s="333">
        <v>13678886</v>
      </c>
    </row>
    <row r="137" spans="1:41" s="211" customFormat="1" ht="15.75">
      <c r="A137" s="333">
        <v>131</v>
      </c>
      <c r="B137" s="169" t="s">
        <v>108</v>
      </c>
      <c r="C137" s="400">
        <v>174034863</v>
      </c>
      <c r="D137" s="333">
        <v>0</v>
      </c>
      <c r="E137" s="333">
        <v>139</v>
      </c>
      <c r="F137" s="333">
        <v>0</v>
      </c>
      <c r="G137" s="333">
        <v>0</v>
      </c>
      <c r="H137" s="333">
        <v>139</v>
      </c>
      <c r="I137" s="333">
        <v>0</v>
      </c>
      <c r="J137" s="333">
        <v>143</v>
      </c>
      <c r="K137" s="333">
        <v>143</v>
      </c>
      <c r="L137" s="333"/>
      <c r="M137" s="208"/>
      <c r="N137" s="400">
        <v>174034863</v>
      </c>
      <c r="O137" s="333">
        <v>0</v>
      </c>
      <c r="P137" s="333">
        <v>0</v>
      </c>
      <c r="Q137" s="333">
        <v>139</v>
      </c>
      <c r="R137" s="333">
        <v>139</v>
      </c>
      <c r="S137" s="333">
        <v>7814080</v>
      </c>
      <c r="T137" s="169">
        <v>3.16</v>
      </c>
      <c r="U137" s="165">
        <f>VLOOKUP(N137,'[2]154'!$C$9:$T$554,18,0)</f>
        <v>139</v>
      </c>
      <c r="V137" s="400">
        <v>174034863</v>
      </c>
      <c r="W137" s="404">
        <v>143</v>
      </c>
      <c r="X137" s="405">
        <v>56986.195804195806</v>
      </c>
      <c r="Y137" s="404">
        <v>8149026</v>
      </c>
      <c r="Z137" s="169"/>
      <c r="AA137" s="400">
        <v>174034863</v>
      </c>
      <c r="AB137" s="333">
        <v>0</v>
      </c>
      <c r="AC137" s="333">
        <v>0</v>
      </c>
      <c r="AD137" s="333">
        <v>139</v>
      </c>
      <c r="AE137" s="333">
        <v>139</v>
      </c>
      <c r="AF137" s="333">
        <v>111</v>
      </c>
      <c r="AG137" s="333">
        <v>3094394</v>
      </c>
      <c r="AH137" s="169"/>
      <c r="AI137" s="400">
        <v>174034863</v>
      </c>
      <c r="AJ137" s="333">
        <v>0</v>
      </c>
      <c r="AK137" s="333">
        <v>0</v>
      </c>
      <c r="AL137" s="333">
        <v>139</v>
      </c>
      <c r="AM137" s="333">
        <v>139</v>
      </c>
      <c r="AN137" s="333">
        <v>111</v>
      </c>
      <c r="AO137" s="333">
        <v>4719686</v>
      </c>
    </row>
    <row r="138" spans="1:41" s="420" customFormat="1" ht="15.75">
      <c r="A138" s="333">
        <v>132</v>
      </c>
      <c r="B138" s="420" t="s">
        <v>108</v>
      </c>
      <c r="C138" s="421">
        <v>181013004</v>
      </c>
      <c r="D138" s="419">
        <v>0</v>
      </c>
      <c r="E138" s="419">
        <f>3379-16-9-13-732-246-44-682-12-274-53-62</f>
        <v>1236</v>
      </c>
      <c r="F138" s="419">
        <v>0</v>
      </c>
      <c r="G138" s="419">
        <v>0</v>
      </c>
      <c r="H138" s="419">
        <f>3379-16-9-13-732-246-44-682-12-274-53-62</f>
        <v>1236</v>
      </c>
      <c r="I138" s="419">
        <v>0</v>
      </c>
      <c r="J138" s="419">
        <v>54</v>
      </c>
      <c r="K138" s="419">
        <v>54</v>
      </c>
      <c r="L138" s="419"/>
      <c r="M138" s="422"/>
      <c r="N138" s="421">
        <v>181013004</v>
      </c>
      <c r="O138" s="419">
        <v>0</v>
      </c>
      <c r="P138" s="419">
        <v>0</v>
      </c>
      <c r="Q138" s="419">
        <f>3363-9-13-732-246-44-682-12-274-53-62</f>
        <v>1236</v>
      </c>
      <c r="R138" s="419">
        <f>3363-9-13-732-246-44-682-12-274-53-62</f>
        <v>1236</v>
      </c>
      <c r="S138" s="419">
        <f>+ROUND(47519784/1298*1236,0)</f>
        <v>45249964</v>
      </c>
      <c r="T138" s="420">
        <v>2.06</v>
      </c>
      <c r="U138" s="165">
        <f>VLOOKUP(N138,'[2]154'!$C$9:$T$554,18,0)</f>
        <v>1236</v>
      </c>
      <c r="V138" s="421">
        <v>181013004</v>
      </c>
      <c r="W138" s="423">
        <v>54</v>
      </c>
      <c r="X138" s="424">
        <v>45669.129629629628</v>
      </c>
      <c r="Y138" s="423">
        <v>2466133</v>
      </c>
      <c r="AA138" s="421">
        <v>181013004</v>
      </c>
      <c r="AB138" s="419">
        <v>0</v>
      </c>
      <c r="AC138" s="419">
        <v>0</v>
      </c>
      <c r="AD138" s="429">
        <f>1298-62</f>
        <v>1236</v>
      </c>
      <c r="AE138" s="419">
        <v>1236</v>
      </c>
      <c r="AF138" s="419">
        <f>+AE138*0.8</f>
        <v>988.80000000000007</v>
      </c>
      <c r="AG138" s="419">
        <f>ROUND(19563763/1351*1236,0)</f>
        <v>17898454</v>
      </c>
      <c r="AI138" s="421">
        <v>181013004</v>
      </c>
      <c r="AJ138" s="419">
        <v>0</v>
      </c>
      <c r="AK138" s="419">
        <v>0</v>
      </c>
      <c r="AL138" s="419">
        <f>1298-62</f>
        <v>1236</v>
      </c>
      <c r="AM138" s="419">
        <f>1298-62</f>
        <v>1236</v>
      </c>
      <c r="AN138" s="419">
        <f>+AM138*0.8</f>
        <v>988.80000000000007</v>
      </c>
      <c r="AO138" s="419">
        <f>ROUND(28723511/1298*1236,0)</f>
        <v>27351510</v>
      </c>
    </row>
    <row r="139" spans="1:41" ht="15.75">
      <c r="A139" s="333">
        <v>133</v>
      </c>
      <c r="B139" s="3" t="s">
        <v>161</v>
      </c>
      <c r="C139" s="401">
        <v>100003498</v>
      </c>
      <c r="D139" s="329">
        <v>0</v>
      </c>
      <c r="E139" s="329">
        <v>344</v>
      </c>
      <c r="F139" s="329">
        <v>0</v>
      </c>
      <c r="G139" s="329">
        <v>0</v>
      </c>
      <c r="H139" s="329">
        <v>344</v>
      </c>
      <c r="I139" s="329">
        <v>0</v>
      </c>
      <c r="J139" s="329">
        <v>0</v>
      </c>
      <c r="K139" s="333">
        <v>0</v>
      </c>
      <c r="L139" s="333"/>
      <c r="M139" s="165"/>
      <c r="N139" s="401">
        <v>100003498</v>
      </c>
      <c r="O139" s="329">
        <v>0</v>
      </c>
      <c r="P139" s="329">
        <v>0</v>
      </c>
      <c r="Q139" s="329">
        <v>344</v>
      </c>
      <c r="R139" s="333">
        <v>344</v>
      </c>
      <c r="S139" s="333">
        <v>11341766</v>
      </c>
      <c r="T139" s="3">
        <v>1.85</v>
      </c>
      <c r="U139" s="165">
        <f>VLOOKUP(N139,'[2]154'!$C$9:$T$554,18,0)</f>
        <v>344</v>
      </c>
      <c r="V139" s="401">
        <v>100003498</v>
      </c>
      <c r="W139" s="406">
        <v>0</v>
      </c>
      <c r="X139" s="405">
        <v>0</v>
      </c>
      <c r="Y139" s="406">
        <v>0</v>
      </c>
      <c r="Z139" s="3"/>
      <c r="AA139" s="401">
        <v>100003498</v>
      </c>
      <c r="AB139" s="329">
        <v>0</v>
      </c>
      <c r="AC139" s="329">
        <v>0</v>
      </c>
      <c r="AD139" s="329">
        <v>344</v>
      </c>
      <c r="AE139" s="329">
        <v>344</v>
      </c>
      <c r="AF139" s="329">
        <v>275</v>
      </c>
      <c r="AG139" s="329">
        <v>4479428</v>
      </c>
      <c r="AH139" s="3"/>
      <c r="AI139" s="401">
        <v>100003498</v>
      </c>
      <c r="AJ139" s="329">
        <v>0</v>
      </c>
      <c r="AK139" s="329">
        <v>0</v>
      </c>
      <c r="AL139" s="329">
        <v>344</v>
      </c>
      <c r="AM139" s="329">
        <v>344</v>
      </c>
      <c r="AN139" s="329">
        <v>275</v>
      </c>
      <c r="AO139" s="329">
        <v>6862338</v>
      </c>
    </row>
    <row r="140" spans="1:41" s="211" customFormat="1" ht="15.75">
      <c r="A140" s="333">
        <v>134</v>
      </c>
      <c r="B140" s="169" t="s">
        <v>161</v>
      </c>
      <c r="C140" s="400">
        <v>100003560</v>
      </c>
      <c r="D140" s="333">
        <v>0</v>
      </c>
      <c r="E140" s="333">
        <v>66</v>
      </c>
      <c r="F140" s="333">
        <v>0</v>
      </c>
      <c r="G140" s="333">
        <v>0</v>
      </c>
      <c r="H140" s="333">
        <v>66</v>
      </c>
      <c r="I140" s="333">
        <v>0</v>
      </c>
      <c r="J140" s="333">
        <v>0</v>
      </c>
      <c r="K140" s="333">
        <v>0</v>
      </c>
      <c r="L140" s="333"/>
      <c r="M140" s="208"/>
      <c r="N140" s="400">
        <v>100003560</v>
      </c>
      <c r="O140" s="333">
        <v>0</v>
      </c>
      <c r="P140" s="333">
        <v>0</v>
      </c>
      <c r="Q140" s="333">
        <v>66</v>
      </c>
      <c r="R140" s="333">
        <v>66</v>
      </c>
      <c r="S140" s="333">
        <v>1298061</v>
      </c>
      <c r="T140" s="169">
        <v>1.1000000000000001</v>
      </c>
      <c r="U140" s="165">
        <f>VLOOKUP(N140,'[2]154'!$C$9:$T$554,18,0)</f>
        <v>66</v>
      </c>
      <c r="V140" s="400">
        <v>100003560</v>
      </c>
      <c r="W140" s="404">
        <v>0</v>
      </c>
      <c r="X140" s="405">
        <v>0</v>
      </c>
      <c r="Y140" s="404">
        <v>0</v>
      </c>
      <c r="Z140" s="169"/>
      <c r="AA140" s="400">
        <v>100003560</v>
      </c>
      <c r="AB140" s="333">
        <v>0</v>
      </c>
      <c r="AC140" s="333">
        <v>0</v>
      </c>
      <c r="AD140" s="333">
        <v>66</v>
      </c>
      <c r="AE140" s="333">
        <v>66</v>
      </c>
      <c r="AF140" s="333">
        <v>53</v>
      </c>
      <c r="AG140" s="333">
        <v>512669</v>
      </c>
      <c r="AH140" s="169"/>
      <c r="AI140" s="400">
        <v>100003560</v>
      </c>
      <c r="AJ140" s="333">
        <v>0</v>
      </c>
      <c r="AK140" s="333">
        <v>0</v>
      </c>
      <c r="AL140" s="333">
        <v>66</v>
      </c>
      <c r="AM140" s="333">
        <v>66</v>
      </c>
      <c r="AN140" s="333">
        <v>53</v>
      </c>
      <c r="AO140" s="333">
        <v>785392</v>
      </c>
    </row>
    <row r="141" spans="1:41" s="211" customFormat="1" ht="15.75">
      <c r="A141" s="333">
        <v>135</v>
      </c>
      <c r="B141" s="169" t="s">
        <v>161</v>
      </c>
      <c r="C141" s="400">
        <v>100003581</v>
      </c>
      <c r="D141" s="333">
        <v>0</v>
      </c>
      <c r="E141" s="333">
        <v>223</v>
      </c>
      <c r="F141" s="333">
        <v>0</v>
      </c>
      <c r="G141" s="333">
        <v>0</v>
      </c>
      <c r="H141" s="333">
        <v>223</v>
      </c>
      <c r="I141" s="333">
        <v>0</v>
      </c>
      <c r="J141" s="333">
        <v>111</v>
      </c>
      <c r="K141" s="333">
        <v>111</v>
      </c>
      <c r="L141" s="333"/>
      <c r="M141" s="165"/>
      <c r="N141" s="400">
        <v>100003581</v>
      </c>
      <c r="O141" s="333">
        <v>0</v>
      </c>
      <c r="P141" s="333">
        <v>0</v>
      </c>
      <c r="Q141" s="333">
        <v>223</v>
      </c>
      <c r="R141" s="333">
        <v>223</v>
      </c>
      <c r="S141" s="333">
        <v>7944218</v>
      </c>
      <c r="T141" s="169">
        <v>2</v>
      </c>
      <c r="U141" s="165">
        <f>VLOOKUP(N141,'[2]154'!$C$9:$T$554,18,0)</f>
        <v>223</v>
      </c>
      <c r="V141" s="400">
        <v>100003581</v>
      </c>
      <c r="W141" s="404">
        <v>111</v>
      </c>
      <c r="X141" s="405">
        <v>44476.774774774778</v>
      </c>
      <c r="Y141" s="404">
        <v>4936922</v>
      </c>
      <c r="Z141" s="169"/>
      <c r="AA141" s="400">
        <v>100003581</v>
      </c>
      <c r="AB141" s="333">
        <v>0</v>
      </c>
      <c r="AC141" s="333">
        <v>0</v>
      </c>
      <c r="AD141" s="333">
        <v>223</v>
      </c>
      <c r="AE141" s="333">
        <v>223</v>
      </c>
      <c r="AF141" s="333">
        <v>178</v>
      </c>
      <c r="AG141" s="333">
        <v>3137567</v>
      </c>
      <c r="AH141" s="169"/>
      <c r="AI141" s="400">
        <v>100003581</v>
      </c>
      <c r="AJ141" s="333">
        <v>0</v>
      </c>
      <c r="AK141" s="333">
        <v>0</v>
      </c>
      <c r="AL141" s="333">
        <v>223</v>
      </c>
      <c r="AM141" s="333">
        <v>223</v>
      </c>
      <c r="AN141" s="333">
        <v>178</v>
      </c>
      <c r="AO141" s="333">
        <v>4806651</v>
      </c>
    </row>
    <row r="142" spans="1:41" s="211" customFormat="1" ht="15.75">
      <c r="A142" s="333">
        <v>136</v>
      </c>
      <c r="B142" s="169" t="s">
        <v>161</v>
      </c>
      <c r="C142" s="400">
        <v>100003599</v>
      </c>
      <c r="D142" s="333">
        <v>0</v>
      </c>
      <c r="E142" s="333">
        <v>92</v>
      </c>
      <c r="F142" s="333">
        <v>0</v>
      </c>
      <c r="G142" s="333">
        <v>0</v>
      </c>
      <c r="H142" s="333">
        <v>92</v>
      </c>
      <c r="I142" s="333">
        <v>0</v>
      </c>
      <c r="J142" s="333">
        <v>98</v>
      </c>
      <c r="K142" s="333">
        <v>98</v>
      </c>
      <c r="L142" s="333"/>
      <c r="M142" s="165"/>
      <c r="N142" s="400">
        <v>100003599</v>
      </c>
      <c r="O142" s="333">
        <v>0</v>
      </c>
      <c r="P142" s="333">
        <v>0</v>
      </c>
      <c r="Q142" s="333">
        <v>92</v>
      </c>
      <c r="R142" s="333">
        <v>92</v>
      </c>
      <c r="S142" s="333">
        <v>2718579</v>
      </c>
      <c r="T142" s="169">
        <v>1.65</v>
      </c>
      <c r="U142" s="165">
        <f>VLOOKUP(N142,'[2]154'!$C$9:$T$554,18,0)</f>
        <v>92</v>
      </c>
      <c r="V142" s="400">
        <v>100003599</v>
      </c>
      <c r="W142" s="404">
        <v>98</v>
      </c>
      <c r="X142" s="405">
        <v>36737.561224489793</v>
      </c>
      <c r="Y142" s="404">
        <v>3600281</v>
      </c>
      <c r="Z142" s="169"/>
      <c r="AA142" s="400">
        <v>100003599</v>
      </c>
      <c r="AB142" s="333">
        <v>0</v>
      </c>
      <c r="AC142" s="333">
        <v>0</v>
      </c>
      <c r="AD142" s="333">
        <v>92</v>
      </c>
      <c r="AE142" s="333">
        <v>92</v>
      </c>
      <c r="AF142" s="333">
        <v>74</v>
      </c>
      <c r="AG142" s="333">
        <v>1073702</v>
      </c>
      <c r="AH142" s="169"/>
      <c r="AI142" s="400">
        <v>100003599</v>
      </c>
      <c r="AJ142" s="333">
        <v>0</v>
      </c>
      <c r="AK142" s="333">
        <v>0</v>
      </c>
      <c r="AL142" s="333">
        <v>92</v>
      </c>
      <c r="AM142" s="333">
        <v>92</v>
      </c>
      <c r="AN142" s="333">
        <v>74</v>
      </c>
      <c r="AO142" s="333">
        <v>1644877</v>
      </c>
    </row>
    <row r="143" spans="1:41" s="211" customFormat="1" ht="15.75">
      <c r="A143" s="333">
        <v>137</v>
      </c>
      <c r="B143" s="169" t="s">
        <v>161</v>
      </c>
      <c r="C143" s="400">
        <v>100016414</v>
      </c>
      <c r="D143" s="333">
        <v>0</v>
      </c>
      <c r="E143" s="333">
        <v>70</v>
      </c>
      <c r="F143" s="333">
        <v>0</v>
      </c>
      <c r="G143" s="333">
        <v>0</v>
      </c>
      <c r="H143" s="333">
        <v>70</v>
      </c>
      <c r="I143" s="333">
        <v>0</v>
      </c>
      <c r="J143" s="333">
        <v>0</v>
      </c>
      <c r="K143" s="333">
        <v>0</v>
      </c>
      <c r="L143" s="333"/>
      <c r="M143" s="208"/>
      <c r="N143" s="400">
        <v>100016414</v>
      </c>
      <c r="O143" s="333">
        <v>0</v>
      </c>
      <c r="P143" s="333">
        <v>0</v>
      </c>
      <c r="Q143" s="333">
        <v>70</v>
      </c>
      <c r="R143" s="333">
        <v>70</v>
      </c>
      <c r="S143" s="333">
        <v>2003867</v>
      </c>
      <c r="T143" s="169">
        <v>1.8</v>
      </c>
      <c r="U143" s="165">
        <f>VLOOKUP(N143,'[2]154'!$C$9:$T$554,18,0)</f>
        <v>70</v>
      </c>
      <c r="V143" s="400">
        <v>100016414</v>
      </c>
      <c r="W143" s="404">
        <v>0</v>
      </c>
      <c r="X143" s="405">
        <v>0</v>
      </c>
      <c r="Y143" s="404">
        <v>0</v>
      </c>
      <c r="Z143" s="169"/>
      <c r="AA143" s="400">
        <v>100016414</v>
      </c>
      <c r="AB143" s="333">
        <v>0</v>
      </c>
      <c r="AC143" s="333">
        <v>0</v>
      </c>
      <c r="AD143" s="333">
        <v>70</v>
      </c>
      <c r="AE143" s="333">
        <v>70</v>
      </c>
      <c r="AF143" s="333">
        <v>56</v>
      </c>
      <c r="AG143" s="333">
        <v>791427</v>
      </c>
      <c r="AH143" s="169"/>
      <c r="AI143" s="400">
        <v>100016414</v>
      </c>
      <c r="AJ143" s="333">
        <v>0</v>
      </c>
      <c r="AK143" s="333">
        <v>0</v>
      </c>
      <c r="AL143" s="333">
        <v>70</v>
      </c>
      <c r="AM143" s="333">
        <v>70</v>
      </c>
      <c r="AN143" s="333">
        <v>56</v>
      </c>
      <c r="AO143" s="333">
        <v>1212440</v>
      </c>
    </row>
    <row r="144" spans="1:41" s="211" customFormat="1" ht="15.75">
      <c r="A144" s="333">
        <v>138</v>
      </c>
      <c r="B144" s="169" t="s">
        <v>161</v>
      </c>
      <c r="C144" s="400">
        <v>69216</v>
      </c>
      <c r="D144" s="333">
        <v>160</v>
      </c>
      <c r="E144" s="333">
        <v>371</v>
      </c>
      <c r="F144" s="333">
        <v>0</v>
      </c>
      <c r="G144" s="333">
        <v>0</v>
      </c>
      <c r="H144" s="333">
        <v>371</v>
      </c>
      <c r="I144" s="333">
        <v>0</v>
      </c>
      <c r="J144" s="333">
        <v>50</v>
      </c>
      <c r="K144" s="333">
        <v>50</v>
      </c>
      <c r="L144" s="333"/>
      <c r="M144" s="165"/>
      <c r="N144" s="400">
        <v>69216</v>
      </c>
      <c r="O144" s="333">
        <v>0</v>
      </c>
      <c r="P144" s="333">
        <v>0</v>
      </c>
      <c r="Q144" s="333">
        <v>371</v>
      </c>
      <c r="R144" s="333">
        <v>371</v>
      </c>
      <c r="S144" s="333">
        <v>4560651</v>
      </c>
      <c r="T144" s="169">
        <v>1.25</v>
      </c>
      <c r="U144" s="165">
        <f>VLOOKUP(N144,'[2]154'!$C$9:$T$554,18,0)</f>
        <v>371</v>
      </c>
      <c r="V144" s="400">
        <v>69216</v>
      </c>
      <c r="W144" s="404">
        <v>50</v>
      </c>
      <c r="X144" s="405">
        <v>17390.54</v>
      </c>
      <c r="Y144" s="404">
        <v>869527</v>
      </c>
      <c r="Z144" s="169"/>
      <c r="AA144" s="400">
        <v>69216</v>
      </c>
      <c r="AB144" s="333">
        <v>0</v>
      </c>
      <c r="AC144" s="333">
        <v>0</v>
      </c>
      <c r="AD144" s="333">
        <v>371</v>
      </c>
      <c r="AE144" s="333">
        <v>371</v>
      </c>
      <c r="AF144" s="333">
        <v>297</v>
      </c>
      <c r="AG144" s="333">
        <v>1855325</v>
      </c>
      <c r="AH144" s="169"/>
      <c r="AI144" s="400">
        <v>69216</v>
      </c>
      <c r="AJ144" s="333">
        <v>0</v>
      </c>
      <c r="AK144" s="333">
        <v>0</v>
      </c>
      <c r="AL144" s="333">
        <v>371</v>
      </c>
      <c r="AM144" s="333">
        <v>371</v>
      </c>
      <c r="AN144" s="333">
        <v>297</v>
      </c>
      <c r="AO144" s="333">
        <v>2705326</v>
      </c>
    </row>
    <row r="145" spans="1:41" s="211" customFormat="1" ht="15.75">
      <c r="A145" s="333">
        <v>139</v>
      </c>
      <c r="B145" s="169" t="s">
        <v>105</v>
      </c>
      <c r="C145" s="397" t="s">
        <v>229</v>
      </c>
      <c r="D145" s="333">
        <v>0</v>
      </c>
      <c r="E145" s="333">
        <v>754</v>
      </c>
      <c r="F145" s="333">
        <v>0</v>
      </c>
      <c r="G145" s="333">
        <v>0</v>
      </c>
      <c r="H145" s="333">
        <v>754</v>
      </c>
      <c r="I145" s="333">
        <v>0</v>
      </c>
      <c r="J145" s="333">
        <v>133</v>
      </c>
      <c r="K145" s="333">
        <v>133</v>
      </c>
      <c r="L145" s="333"/>
      <c r="M145" s="165"/>
      <c r="N145" s="397" t="s">
        <v>229</v>
      </c>
      <c r="O145" s="333">
        <v>0</v>
      </c>
      <c r="P145" s="333">
        <v>0</v>
      </c>
      <c r="Q145" s="333">
        <v>754</v>
      </c>
      <c r="R145" s="333">
        <v>754</v>
      </c>
      <c r="S145" s="333">
        <v>6796818</v>
      </c>
      <c r="T145" s="169">
        <v>1.6</v>
      </c>
      <c r="U145" s="165">
        <v>754</v>
      </c>
      <c r="V145" s="397" t="s">
        <v>229</v>
      </c>
      <c r="W145" s="404">
        <v>133</v>
      </c>
      <c r="X145" s="405">
        <v>36001.172932330825</v>
      </c>
      <c r="Y145" s="404">
        <v>4788156</v>
      </c>
      <c r="Z145" s="169"/>
      <c r="AA145" s="397" t="s">
        <v>229</v>
      </c>
      <c r="AB145" s="333">
        <v>0</v>
      </c>
      <c r="AC145" s="333">
        <v>0</v>
      </c>
      <c r="AD145" s="333">
        <v>754</v>
      </c>
      <c r="AE145" s="333">
        <v>754</v>
      </c>
      <c r="AF145" s="333">
        <v>603</v>
      </c>
      <c r="AG145" s="333">
        <v>2803413</v>
      </c>
      <c r="AH145" s="169"/>
      <c r="AI145" s="397" t="s">
        <v>229</v>
      </c>
      <c r="AJ145" s="333">
        <v>0</v>
      </c>
      <c r="AK145" s="333">
        <v>0</v>
      </c>
      <c r="AL145" s="333">
        <v>754</v>
      </c>
      <c r="AM145" s="333">
        <v>754</v>
      </c>
      <c r="AN145" s="333">
        <v>603</v>
      </c>
      <c r="AO145" s="333">
        <v>3993405</v>
      </c>
    </row>
    <row r="146" spans="1:41" s="211" customFormat="1" ht="15.75">
      <c r="A146" s="333">
        <v>140</v>
      </c>
      <c r="B146" s="169" t="s">
        <v>105</v>
      </c>
      <c r="C146" s="400">
        <v>451230</v>
      </c>
      <c r="D146" s="333">
        <v>0</v>
      </c>
      <c r="E146" s="333">
        <v>1085</v>
      </c>
      <c r="F146" s="333">
        <v>0</v>
      </c>
      <c r="G146" s="333">
        <v>0</v>
      </c>
      <c r="H146" s="333">
        <v>1085</v>
      </c>
      <c r="I146" s="333">
        <v>0</v>
      </c>
      <c r="J146" s="333">
        <v>78</v>
      </c>
      <c r="K146" s="333">
        <v>78</v>
      </c>
      <c r="L146" s="333"/>
      <c r="M146" s="208"/>
      <c r="N146" s="400">
        <v>451230</v>
      </c>
      <c r="O146" s="333">
        <v>0</v>
      </c>
      <c r="P146" s="333">
        <v>0</v>
      </c>
      <c r="Q146" s="333">
        <v>1085</v>
      </c>
      <c r="R146" s="333">
        <v>1085</v>
      </c>
      <c r="S146" s="333">
        <v>17352791</v>
      </c>
      <c r="T146" s="169">
        <v>1.45</v>
      </c>
      <c r="U146" s="165">
        <f>VLOOKUP(N146,'[2]154'!$C$9:$T$554,18,0)</f>
        <v>1085</v>
      </c>
      <c r="V146" s="400">
        <v>451230</v>
      </c>
      <c r="W146" s="404">
        <v>78</v>
      </c>
      <c r="X146" s="405">
        <v>31429.615384615383</v>
      </c>
      <c r="Y146" s="404">
        <v>2451510</v>
      </c>
      <c r="Z146" s="169"/>
      <c r="AA146" s="400">
        <v>451230</v>
      </c>
      <c r="AB146" s="333">
        <v>0</v>
      </c>
      <c r="AC146" s="333">
        <v>0</v>
      </c>
      <c r="AD146" s="333">
        <v>1085</v>
      </c>
      <c r="AE146" s="333">
        <v>1085</v>
      </c>
      <c r="AF146" s="333">
        <v>868</v>
      </c>
      <c r="AG146" s="333">
        <v>12304282</v>
      </c>
      <c r="AH146" s="169"/>
      <c r="AI146" s="400">
        <v>451230</v>
      </c>
      <c r="AJ146" s="333">
        <v>0</v>
      </c>
      <c r="AK146" s="333">
        <v>0</v>
      </c>
      <c r="AL146" s="333">
        <v>1085</v>
      </c>
      <c r="AM146" s="333">
        <v>1085</v>
      </c>
      <c r="AN146" s="333">
        <v>868</v>
      </c>
      <c r="AO146" s="333">
        <v>5048509</v>
      </c>
    </row>
    <row r="147" spans="1:41" s="211" customFormat="1" ht="15.75">
      <c r="A147" s="333">
        <v>141</v>
      </c>
      <c r="B147" s="169" t="s">
        <v>105</v>
      </c>
      <c r="C147" s="400">
        <v>451311</v>
      </c>
      <c r="D147" s="333">
        <v>0</v>
      </c>
      <c r="E147" s="333">
        <v>562</v>
      </c>
      <c r="F147" s="333">
        <v>0</v>
      </c>
      <c r="G147" s="333">
        <v>0</v>
      </c>
      <c r="H147" s="333">
        <v>562</v>
      </c>
      <c r="I147" s="333">
        <v>0</v>
      </c>
      <c r="J147" s="333">
        <v>291</v>
      </c>
      <c r="K147" s="333">
        <v>291</v>
      </c>
      <c r="L147" s="333"/>
      <c r="M147" s="165"/>
      <c r="N147" s="400">
        <v>451311</v>
      </c>
      <c r="O147" s="333">
        <v>0</v>
      </c>
      <c r="P147" s="333">
        <v>0</v>
      </c>
      <c r="Q147" s="333">
        <v>562</v>
      </c>
      <c r="R147" s="333">
        <v>562</v>
      </c>
      <c r="S147" s="333">
        <v>4999687</v>
      </c>
      <c r="T147" s="169">
        <v>1.5</v>
      </c>
      <c r="U147" s="165">
        <f>VLOOKUP(N147,'[2]154'!$C$9:$T$554,18,0)</f>
        <v>562</v>
      </c>
      <c r="V147" s="400">
        <v>451311</v>
      </c>
      <c r="W147" s="404">
        <v>291</v>
      </c>
      <c r="X147" s="405">
        <v>35209.061855670101</v>
      </c>
      <c r="Y147" s="404">
        <v>10245837</v>
      </c>
      <c r="Z147" s="169"/>
      <c r="AA147" s="400">
        <v>451311</v>
      </c>
      <c r="AB147" s="333">
        <v>0</v>
      </c>
      <c r="AC147" s="333">
        <v>0</v>
      </c>
      <c r="AD147" s="333">
        <v>562</v>
      </c>
      <c r="AE147" s="333">
        <v>562</v>
      </c>
      <c r="AF147" s="333">
        <v>450</v>
      </c>
      <c r="AG147" s="333">
        <v>2101140</v>
      </c>
      <c r="AH147" s="169"/>
      <c r="AI147" s="400">
        <v>451311</v>
      </c>
      <c r="AJ147" s="333">
        <v>0</v>
      </c>
      <c r="AK147" s="333">
        <v>0</v>
      </c>
      <c r="AL147" s="333">
        <v>562</v>
      </c>
      <c r="AM147" s="333">
        <v>562</v>
      </c>
      <c r="AN147" s="333">
        <v>450</v>
      </c>
      <c r="AO147" s="333">
        <v>2898547</v>
      </c>
    </row>
    <row r="148" spans="1:41" s="211" customFormat="1" ht="15.75">
      <c r="A148" s="333">
        <v>142</v>
      </c>
      <c r="B148" s="169" t="s">
        <v>105</v>
      </c>
      <c r="C148" s="400">
        <v>451365</v>
      </c>
      <c r="D148" s="333">
        <v>0</v>
      </c>
      <c r="E148" s="333">
        <v>563</v>
      </c>
      <c r="F148" s="333">
        <v>0</v>
      </c>
      <c r="G148" s="333">
        <v>0</v>
      </c>
      <c r="H148" s="333">
        <v>563</v>
      </c>
      <c r="I148" s="333">
        <v>0</v>
      </c>
      <c r="J148" s="333">
        <v>21</v>
      </c>
      <c r="K148" s="333">
        <v>21</v>
      </c>
      <c r="L148" s="333"/>
      <c r="M148" s="165"/>
      <c r="N148" s="400">
        <v>451365</v>
      </c>
      <c r="O148" s="333">
        <v>0</v>
      </c>
      <c r="P148" s="333">
        <v>0</v>
      </c>
      <c r="Q148" s="333">
        <v>563</v>
      </c>
      <c r="R148" s="333">
        <v>563</v>
      </c>
      <c r="S148" s="333">
        <v>5229983</v>
      </c>
      <c r="T148" s="169">
        <v>1.45</v>
      </c>
      <c r="U148" s="165">
        <f>VLOOKUP(N148,'[2]154'!$C$9:$T$554,18,0)</f>
        <v>563</v>
      </c>
      <c r="V148" s="400">
        <v>451365</v>
      </c>
      <c r="W148" s="404">
        <v>21</v>
      </c>
      <c r="X148" s="405">
        <v>33312</v>
      </c>
      <c r="Y148" s="404">
        <v>699552</v>
      </c>
      <c r="Z148" s="169"/>
      <c r="AA148" s="400">
        <v>451365</v>
      </c>
      <c r="AB148" s="333">
        <v>0</v>
      </c>
      <c r="AC148" s="333">
        <v>0</v>
      </c>
      <c r="AD148" s="333">
        <v>563</v>
      </c>
      <c r="AE148" s="333">
        <v>563</v>
      </c>
      <c r="AF148" s="333">
        <v>450</v>
      </c>
      <c r="AG148" s="333">
        <v>2144929</v>
      </c>
      <c r="AH148" s="169"/>
      <c r="AI148" s="400">
        <v>451365</v>
      </c>
      <c r="AJ148" s="333">
        <v>0</v>
      </c>
      <c r="AK148" s="333">
        <v>0</v>
      </c>
      <c r="AL148" s="333">
        <v>563</v>
      </c>
      <c r="AM148" s="333">
        <v>563</v>
      </c>
      <c r="AN148" s="333">
        <v>450</v>
      </c>
      <c r="AO148" s="333">
        <v>3085054</v>
      </c>
    </row>
    <row r="149" spans="1:41" s="211" customFormat="1" ht="15.75">
      <c r="A149" s="333">
        <v>143</v>
      </c>
      <c r="B149" s="169" t="s">
        <v>105</v>
      </c>
      <c r="C149" s="400">
        <v>453089</v>
      </c>
      <c r="D149" s="333">
        <v>0</v>
      </c>
      <c r="E149" s="333">
        <v>323</v>
      </c>
      <c r="F149" s="333">
        <v>0</v>
      </c>
      <c r="G149" s="333">
        <v>0</v>
      </c>
      <c r="H149" s="333">
        <v>323</v>
      </c>
      <c r="I149" s="333">
        <v>0</v>
      </c>
      <c r="J149" s="333">
        <v>0</v>
      </c>
      <c r="K149" s="333">
        <v>0</v>
      </c>
      <c r="L149" s="333"/>
      <c r="M149" s="208"/>
      <c r="N149" s="400">
        <v>453089</v>
      </c>
      <c r="O149" s="333">
        <v>0</v>
      </c>
      <c r="P149" s="333">
        <v>0</v>
      </c>
      <c r="Q149" s="333">
        <v>323</v>
      </c>
      <c r="R149" s="333">
        <v>323</v>
      </c>
      <c r="S149" s="333">
        <v>3265157</v>
      </c>
      <c r="T149" s="169">
        <v>1.45</v>
      </c>
      <c r="U149" s="165">
        <f>VLOOKUP(N149,'[2]154'!$C$9:$T$554,18,0)</f>
        <v>323</v>
      </c>
      <c r="V149" s="400">
        <v>453089</v>
      </c>
      <c r="W149" s="404">
        <v>0</v>
      </c>
      <c r="X149" s="405">
        <v>0</v>
      </c>
      <c r="Y149" s="404">
        <v>0</v>
      </c>
      <c r="Z149" s="169"/>
      <c r="AA149" s="400">
        <v>453089</v>
      </c>
      <c r="AB149" s="333">
        <v>0</v>
      </c>
      <c r="AC149" s="333">
        <v>0</v>
      </c>
      <c r="AD149" s="333">
        <v>323</v>
      </c>
      <c r="AE149" s="333">
        <v>323</v>
      </c>
      <c r="AF149" s="333">
        <v>258</v>
      </c>
      <c r="AG149" s="333">
        <v>1289573</v>
      </c>
      <c r="AH149" s="169"/>
      <c r="AI149" s="400">
        <v>453089</v>
      </c>
      <c r="AJ149" s="333">
        <v>0</v>
      </c>
      <c r="AK149" s="333">
        <v>0</v>
      </c>
      <c r="AL149" s="333">
        <v>323</v>
      </c>
      <c r="AM149" s="333">
        <v>323</v>
      </c>
      <c r="AN149" s="333">
        <v>258</v>
      </c>
      <c r="AO149" s="333">
        <v>1975584</v>
      </c>
    </row>
    <row r="150" spans="1:41" s="211" customFormat="1" ht="15.75">
      <c r="A150" s="333">
        <v>144</v>
      </c>
      <c r="B150" s="169" t="s">
        <v>105</v>
      </c>
      <c r="C150" s="397" t="s">
        <v>230</v>
      </c>
      <c r="D150" s="333">
        <v>0</v>
      </c>
      <c r="E150" s="333">
        <v>1964</v>
      </c>
      <c r="F150" s="333">
        <v>0</v>
      </c>
      <c r="G150" s="333">
        <v>0</v>
      </c>
      <c r="H150" s="333">
        <v>1964</v>
      </c>
      <c r="I150" s="333">
        <v>0</v>
      </c>
      <c r="J150" s="333">
        <v>0</v>
      </c>
      <c r="K150" s="333">
        <v>0</v>
      </c>
      <c r="L150" s="333"/>
      <c r="M150" s="165"/>
      <c r="N150" s="397" t="s">
        <v>230</v>
      </c>
      <c r="O150" s="333">
        <v>0</v>
      </c>
      <c r="P150" s="333">
        <v>0</v>
      </c>
      <c r="Q150" s="333">
        <v>1964</v>
      </c>
      <c r="R150" s="333">
        <v>1964</v>
      </c>
      <c r="S150" s="333">
        <v>45126959</v>
      </c>
      <c r="T150" s="169">
        <v>1.5</v>
      </c>
      <c r="U150" s="165">
        <f>VLOOKUP(N150,'[2]154'!$C$9:$T$554,18,0)</f>
        <v>1964</v>
      </c>
      <c r="V150" s="397" t="s">
        <v>230</v>
      </c>
      <c r="W150" s="404">
        <v>0</v>
      </c>
      <c r="X150" s="405">
        <v>0</v>
      </c>
      <c r="Y150" s="404">
        <v>0</v>
      </c>
      <c r="Z150" s="169"/>
      <c r="AA150" s="397" t="s">
        <v>230</v>
      </c>
      <c r="AB150" s="333">
        <v>0</v>
      </c>
      <c r="AC150" s="333">
        <v>0</v>
      </c>
      <c r="AD150" s="333">
        <v>1964</v>
      </c>
      <c r="AE150" s="333">
        <v>1964</v>
      </c>
      <c r="AF150" s="333">
        <v>1571</v>
      </c>
      <c r="AG150" s="333">
        <v>17822882</v>
      </c>
      <c r="AH150" s="169"/>
      <c r="AI150" s="397" t="s">
        <v>230</v>
      </c>
      <c r="AJ150" s="333">
        <v>0</v>
      </c>
      <c r="AK150" s="333">
        <v>0</v>
      </c>
      <c r="AL150" s="333">
        <v>1964</v>
      </c>
      <c r="AM150" s="333">
        <v>1964</v>
      </c>
      <c r="AN150" s="333">
        <v>1571</v>
      </c>
      <c r="AO150" s="333">
        <v>27304077</v>
      </c>
    </row>
    <row r="151" spans="1:41" s="211" customFormat="1" ht="15.75">
      <c r="A151" s="333">
        <v>145</v>
      </c>
      <c r="B151" s="169" t="s">
        <v>105</v>
      </c>
      <c r="C151" s="400">
        <v>453590</v>
      </c>
      <c r="D151" s="333">
        <v>0</v>
      </c>
      <c r="E151" s="333">
        <v>463</v>
      </c>
      <c r="F151" s="333">
        <v>0</v>
      </c>
      <c r="G151" s="333">
        <v>0</v>
      </c>
      <c r="H151" s="333">
        <v>463</v>
      </c>
      <c r="I151" s="333">
        <v>0</v>
      </c>
      <c r="J151" s="333">
        <v>1031</v>
      </c>
      <c r="K151" s="333">
        <v>1031</v>
      </c>
      <c r="L151" s="333"/>
      <c r="M151" s="165"/>
      <c r="N151" s="400">
        <v>453590</v>
      </c>
      <c r="O151" s="333">
        <v>0</v>
      </c>
      <c r="P151" s="333">
        <v>0</v>
      </c>
      <c r="Q151" s="333">
        <v>463</v>
      </c>
      <c r="R151" s="333">
        <v>463</v>
      </c>
      <c r="S151" s="333">
        <v>11951878</v>
      </c>
      <c r="T151" s="169">
        <v>1.45</v>
      </c>
      <c r="U151" s="165">
        <f>VLOOKUP(N151,'[2]154'!$C$9:$T$554,18,0)</f>
        <v>463</v>
      </c>
      <c r="V151" s="400">
        <v>453590</v>
      </c>
      <c r="W151" s="404">
        <v>1031</v>
      </c>
      <c r="X151" s="405">
        <v>32265.857419980603</v>
      </c>
      <c r="Y151" s="404">
        <v>33266099</v>
      </c>
      <c r="Z151" s="169"/>
      <c r="AA151" s="400">
        <v>453590</v>
      </c>
      <c r="AB151" s="333">
        <v>0</v>
      </c>
      <c r="AC151" s="333">
        <v>0</v>
      </c>
      <c r="AD151" s="333">
        <v>463</v>
      </c>
      <c r="AE151" s="333">
        <v>463</v>
      </c>
      <c r="AF151" s="333">
        <v>370</v>
      </c>
      <c r="AG151" s="333">
        <v>4720391</v>
      </c>
      <c r="AH151" s="169"/>
      <c r="AI151" s="400">
        <v>453590</v>
      </c>
      <c r="AJ151" s="333">
        <v>0</v>
      </c>
      <c r="AK151" s="333">
        <v>0</v>
      </c>
      <c r="AL151" s="333">
        <v>463</v>
      </c>
      <c r="AM151" s="333">
        <v>463</v>
      </c>
      <c r="AN151" s="333">
        <v>370</v>
      </c>
      <c r="AO151" s="333">
        <v>7231487</v>
      </c>
    </row>
    <row r="152" spans="1:41" s="211" customFormat="1" ht="15.75">
      <c r="A152" s="333">
        <v>146</v>
      </c>
      <c r="B152" s="169" t="s">
        <v>105</v>
      </c>
      <c r="C152" s="397" t="s">
        <v>231</v>
      </c>
      <c r="D152" s="333">
        <v>0</v>
      </c>
      <c r="E152" s="333">
        <v>1052</v>
      </c>
      <c r="F152" s="333">
        <v>0</v>
      </c>
      <c r="G152" s="333">
        <v>0</v>
      </c>
      <c r="H152" s="333">
        <v>1052</v>
      </c>
      <c r="I152" s="333">
        <v>0</v>
      </c>
      <c r="J152" s="333">
        <v>64</v>
      </c>
      <c r="K152" s="333">
        <v>64</v>
      </c>
      <c r="L152" s="333"/>
      <c r="M152" s="208"/>
      <c r="N152" s="397" t="s">
        <v>231</v>
      </c>
      <c r="O152" s="333">
        <v>0</v>
      </c>
      <c r="P152" s="333">
        <v>0</v>
      </c>
      <c r="Q152" s="333">
        <v>1052</v>
      </c>
      <c r="R152" s="333">
        <v>1052</v>
      </c>
      <c r="S152" s="333">
        <v>26171150</v>
      </c>
      <c r="T152" s="169">
        <v>1.5</v>
      </c>
      <c r="U152" s="165">
        <f>VLOOKUP(N152,'[2]154'!$C$9:$T$554,18,0)</f>
        <v>1052</v>
      </c>
      <c r="V152" s="397" t="s">
        <v>231</v>
      </c>
      <c r="W152" s="404">
        <v>64</v>
      </c>
      <c r="X152" s="405">
        <v>33013.015625</v>
      </c>
      <c r="Y152" s="404">
        <v>2112833</v>
      </c>
      <c r="Z152" s="169"/>
      <c r="AA152" s="397" t="s">
        <v>231</v>
      </c>
      <c r="AB152" s="333">
        <v>0</v>
      </c>
      <c r="AC152" s="333">
        <v>0</v>
      </c>
      <c r="AD152" s="333">
        <v>1052</v>
      </c>
      <c r="AE152" s="333">
        <v>1052</v>
      </c>
      <c r="AF152" s="333">
        <v>842</v>
      </c>
      <c r="AG152" s="333">
        <v>6548150</v>
      </c>
      <c r="AH152" s="169"/>
      <c r="AI152" s="397" t="s">
        <v>231</v>
      </c>
      <c r="AJ152" s="333">
        <v>0</v>
      </c>
      <c r="AK152" s="333">
        <v>0</v>
      </c>
      <c r="AL152" s="333">
        <v>1052</v>
      </c>
      <c r="AM152" s="333">
        <v>1052</v>
      </c>
      <c r="AN152" s="333">
        <v>842</v>
      </c>
      <c r="AO152" s="333">
        <v>19623000</v>
      </c>
    </row>
    <row r="153" spans="1:41" s="211" customFormat="1" ht="15.75">
      <c r="A153" s="333">
        <v>147</v>
      </c>
      <c r="B153" s="169" t="s">
        <v>105</v>
      </c>
      <c r="C153" s="397" t="s">
        <v>232</v>
      </c>
      <c r="D153" s="333">
        <v>0</v>
      </c>
      <c r="E153" s="333">
        <v>410</v>
      </c>
      <c r="F153" s="333">
        <v>0</v>
      </c>
      <c r="G153" s="333">
        <v>0</v>
      </c>
      <c r="H153" s="333">
        <v>410</v>
      </c>
      <c r="I153" s="333">
        <v>0</v>
      </c>
      <c r="J153" s="333">
        <v>359</v>
      </c>
      <c r="K153" s="333">
        <v>359</v>
      </c>
      <c r="L153" s="333"/>
      <c r="M153" s="165"/>
      <c r="N153" s="397" t="s">
        <v>232</v>
      </c>
      <c r="O153" s="333">
        <v>0</v>
      </c>
      <c r="P153" s="333">
        <v>0</v>
      </c>
      <c r="Q153" s="333">
        <v>410</v>
      </c>
      <c r="R153" s="333">
        <v>410</v>
      </c>
      <c r="S153" s="333">
        <v>7034197</v>
      </c>
      <c r="T153" s="169">
        <v>1.85</v>
      </c>
      <c r="U153" s="165">
        <f>VLOOKUP(N153,'[2]154'!$C$9:$T$554,18,0)</f>
        <v>410</v>
      </c>
      <c r="V153" s="397" t="s">
        <v>232</v>
      </c>
      <c r="W153" s="404">
        <v>359</v>
      </c>
      <c r="X153" s="405">
        <v>41460.515320334263</v>
      </c>
      <c r="Y153" s="404">
        <v>14884325</v>
      </c>
      <c r="Z153" s="169"/>
      <c r="AA153" s="397" t="s">
        <v>232</v>
      </c>
      <c r="AB153" s="333">
        <v>0</v>
      </c>
      <c r="AC153" s="333">
        <v>0</v>
      </c>
      <c r="AD153" s="333">
        <v>410</v>
      </c>
      <c r="AE153" s="333">
        <v>410</v>
      </c>
      <c r="AF153" s="333">
        <v>328</v>
      </c>
      <c r="AG153" s="333">
        <v>2814056</v>
      </c>
      <c r="AH153" s="169"/>
      <c r="AI153" s="397" t="s">
        <v>232</v>
      </c>
      <c r="AJ153" s="333">
        <v>0</v>
      </c>
      <c r="AK153" s="333">
        <v>0</v>
      </c>
      <c r="AL153" s="333">
        <v>410</v>
      </c>
      <c r="AM153" s="333">
        <v>410</v>
      </c>
      <c r="AN153" s="333">
        <v>328</v>
      </c>
      <c r="AO153" s="333">
        <v>4220141</v>
      </c>
    </row>
    <row r="154" spans="1:41" s="211" customFormat="1" ht="15.75">
      <c r="A154" s="333">
        <v>148</v>
      </c>
      <c r="B154" s="169" t="s">
        <v>105</v>
      </c>
      <c r="C154" s="400">
        <v>457839</v>
      </c>
      <c r="D154" s="333">
        <v>0</v>
      </c>
      <c r="E154" s="333">
        <v>423</v>
      </c>
      <c r="F154" s="333">
        <v>0</v>
      </c>
      <c r="G154" s="333">
        <v>0</v>
      </c>
      <c r="H154" s="333">
        <v>423</v>
      </c>
      <c r="I154" s="333">
        <v>0</v>
      </c>
      <c r="J154" s="333">
        <v>0</v>
      </c>
      <c r="K154" s="333">
        <v>0</v>
      </c>
      <c r="L154" s="333"/>
      <c r="M154" s="165"/>
      <c r="N154" s="400">
        <v>457839</v>
      </c>
      <c r="O154" s="333">
        <v>0</v>
      </c>
      <c r="P154" s="333">
        <v>0</v>
      </c>
      <c r="Q154" s="333">
        <v>423</v>
      </c>
      <c r="R154" s="333">
        <v>423</v>
      </c>
      <c r="S154" s="333">
        <v>5561247</v>
      </c>
      <c r="T154" s="169">
        <v>1.35</v>
      </c>
      <c r="U154" s="165">
        <f>VLOOKUP(N154,'[2]154'!$C$9:$T$554,18,0)</f>
        <v>423</v>
      </c>
      <c r="V154" s="400">
        <v>457839</v>
      </c>
      <c r="W154" s="404">
        <v>0</v>
      </c>
      <c r="X154" s="405">
        <v>0</v>
      </c>
      <c r="Y154" s="404">
        <v>0</v>
      </c>
      <c r="Z154" s="169"/>
      <c r="AA154" s="400">
        <v>457839</v>
      </c>
      <c r="AB154" s="333">
        <v>0</v>
      </c>
      <c r="AC154" s="333">
        <v>0</v>
      </c>
      <c r="AD154" s="333">
        <v>423</v>
      </c>
      <c r="AE154" s="333">
        <v>423</v>
      </c>
      <c r="AF154" s="333">
        <v>338</v>
      </c>
      <c r="AG154" s="333">
        <v>2226238</v>
      </c>
      <c r="AH154" s="169"/>
      <c r="AI154" s="400">
        <v>457839</v>
      </c>
      <c r="AJ154" s="333">
        <v>0</v>
      </c>
      <c r="AK154" s="333">
        <v>0</v>
      </c>
      <c r="AL154" s="333">
        <v>423</v>
      </c>
      <c r="AM154" s="333">
        <v>423</v>
      </c>
      <c r="AN154" s="333">
        <v>338</v>
      </c>
      <c r="AO154" s="333">
        <v>3335009</v>
      </c>
    </row>
    <row r="155" spans="1:41" s="211" customFormat="1" ht="15.75">
      <c r="A155" s="333">
        <v>149</v>
      </c>
      <c r="B155" s="169" t="s">
        <v>105</v>
      </c>
      <c r="C155" s="400">
        <v>457840</v>
      </c>
      <c r="D155" s="333">
        <v>0</v>
      </c>
      <c r="E155" s="333">
        <v>845</v>
      </c>
      <c r="F155" s="333">
        <v>0</v>
      </c>
      <c r="G155" s="333">
        <v>0</v>
      </c>
      <c r="H155" s="333">
        <v>845</v>
      </c>
      <c r="I155" s="333">
        <v>0</v>
      </c>
      <c r="J155" s="333">
        <v>324</v>
      </c>
      <c r="K155" s="333">
        <v>324</v>
      </c>
      <c r="L155" s="333"/>
      <c r="M155" s="208"/>
      <c r="N155" s="400">
        <v>457840</v>
      </c>
      <c r="O155" s="333">
        <v>0</v>
      </c>
      <c r="P155" s="333">
        <v>0</v>
      </c>
      <c r="Q155" s="333">
        <v>845</v>
      </c>
      <c r="R155" s="333">
        <v>845</v>
      </c>
      <c r="S155" s="333">
        <v>10440356</v>
      </c>
      <c r="T155" s="169">
        <v>1.35</v>
      </c>
      <c r="U155" s="165">
        <f>VLOOKUP(N155,'[2]154'!$C$9:$T$554,18,0)</f>
        <v>845</v>
      </c>
      <c r="V155" s="400">
        <v>457840</v>
      </c>
      <c r="W155" s="404">
        <v>324</v>
      </c>
      <c r="X155" s="405">
        <v>30373.814814814814</v>
      </c>
      <c r="Y155" s="404">
        <v>9841116</v>
      </c>
      <c r="Z155" s="169"/>
      <c r="AA155" s="400">
        <v>457840</v>
      </c>
      <c r="AB155" s="333">
        <v>0</v>
      </c>
      <c r="AC155" s="333">
        <v>0</v>
      </c>
      <c r="AD155" s="333">
        <v>845</v>
      </c>
      <c r="AE155" s="333">
        <v>845</v>
      </c>
      <c r="AF155" s="333">
        <v>676</v>
      </c>
      <c r="AG155" s="333">
        <v>4187589</v>
      </c>
      <c r="AH155" s="169"/>
      <c r="AI155" s="400">
        <v>457840</v>
      </c>
      <c r="AJ155" s="333">
        <v>0</v>
      </c>
      <c r="AK155" s="333">
        <v>0</v>
      </c>
      <c r="AL155" s="333">
        <v>845</v>
      </c>
      <c r="AM155" s="333">
        <v>845</v>
      </c>
      <c r="AN155" s="333">
        <v>676</v>
      </c>
      <c r="AO155" s="333">
        <v>6252767</v>
      </c>
    </row>
    <row r="156" spans="1:41" s="211" customFormat="1" ht="15.75">
      <c r="A156" s="333">
        <v>150</v>
      </c>
      <c r="B156" s="169" t="s">
        <v>105</v>
      </c>
      <c r="C156" s="400">
        <v>457841</v>
      </c>
      <c r="D156" s="333">
        <v>0</v>
      </c>
      <c r="E156" s="333">
        <v>155</v>
      </c>
      <c r="F156" s="333">
        <v>0</v>
      </c>
      <c r="G156" s="333">
        <v>0</v>
      </c>
      <c r="H156" s="333">
        <v>155</v>
      </c>
      <c r="I156" s="333">
        <v>0</v>
      </c>
      <c r="J156" s="333">
        <v>0</v>
      </c>
      <c r="K156" s="333">
        <v>0</v>
      </c>
      <c r="L156" s="333"/>
      <c r="M156" s="165"/>
      <c r="N156" s="400">
        <v>457841</v>
      </c>
      <c r="O156" s="333">
        <v>0</v>
      </c>
      <c r="P156" s="333">
        <v>0</v>
      </c>
      <c r="Q156" s="333">
        <v>155</v>
      </c>
      <c r="R156" s="333">
        <v>155</v>
      </c>
      <c r="S156" s="333">
        <v>3727749</v>
      </c>
      <c r="T156" s="169">
        <v>1.35</v>
      </c>
      <c r="U156" s="165">
        <f>VLOOKUP(N156,'[2]154'!$C$9:$T$554,18,0)</f>
        <v>155</v>
      </c>
      <c r="V156" s="400">
        <v>457841</v>
      </c>
      <c r="W156" s="404">
        <v>0</v>
      </c>
      <c r="X156" s="405">
        <v>0</v>
      </c>
      <c r="Y156" s="404">
        <v>0</v>
      </c>
      <c r="Z156" s="169"/>
      <c r="AA156" s="400">
        <v>457841</v>
      </c>
      <c r="AB156" s="333">
        <v>0</v>
      </c>
      <c r="AC156" s="333">
        <v>0</v>
      </c>
      <c r="AD156" s="333">
        <v>155</v>
      </c>
      <c r="AE156" s="333">
        <v>155</v>
      </c>
      <c r="AF156" s="333">
        <v>124</v>
      </c>
      <c r="AG156" s="333">
        <v>1472274</v>
      </c>
      <c r="AH156" s="169"/>
      <c r="AI156" s="400">
        <v>457841</v>
      </c>
      <c r="AJ156" s="333">
        <v>0</v>
      </c>
      <c r="AK156" s="333">
        <v>0</v>
      </c>
      <c r="AL156" s="333">
        <v>155</v>
      </c>
      <c r="AM156" s="333">
        <v>155</v>
      </c>
      <c r="AN156" s="333">
        <v>124</v>
      </c>
      <c r="AO156" s="333">
        <v>2255475</v>
      </c>
    </row>
    <row r="157" spans="1:41" s="211" customFormat="1" ht="15.75">
      <c r="A157" s="333">
        <v>151</v>
      </c>
      <c r="B157" s="169" t="s">
        <v>105</v>
      </c>
      <c r="C157" s="400">
        <v>457842</v>
      </c>
      <c r="D157" s="333">
        <v>0</v>
      </c>
      <c r="E157" s="333">
        <v>374</v>
      </c>
      <c r="F157" s="333">
        <v>0</v>
      </c>
      <c r="G157" s="333">
        <v>0</v>
      </c>
      <c r="H157" s="333">
        <v>374</v>
      </c>
      <c r="I157" s="333">
        <v>0</v>
      </c>
      <c r="J157" s="333">
        <v>52</v>
      </c>
      <c r="K157" s="333">
        <v>52</v>
      </c>
      <c r="L157" s="333"/>
      <c r="M157" s="165"/>
      <c r="N157" s="400">
        <v>457842</v>
      </c>
      <c r="O157" s="333">
        <v>0</v>
      </c>
      <c r="P157" s="333">
        <v>0</v>
      </c>
      <c r="Q157" s="333">
        <v>374</v>
      </c>
      <c r="R157" s="333">
        <v>374</v>
      </c>
      <c r="S157" s="333">
        <v>4838899</v>
      </c>
      <c r="T157" s="169">
        <v>1.35</v>
      </c>
      <c r="U157" s="165">
        <f>VLOOKUP(N157,'[2]154'!$C$9:$T$554,18,0)</f>
        <v>374</v>
      </c>
      <c r="V157" s="400">
        <v>457842</v>
      </c>
      <c r="W157" s="404">
        <v>52</v>
      </c>
      <c r="X157" s="405">
        <v>30029.076923076922</v>
      </c>
      <c r="Y157" s="404">
        <v>1561512</v>
      </c>
      <c r="Z157" s="169"/>
      <c r="AA157" s="400">
        <v>457842</v>
      </c>
      <c r="AB157" s="333">
        <v>0</v>
      </c>
      <c r="AC157" s="333">
        <v>0</v>
      </c>
      <c r="AD157" s="333">
        <v>374</v>
      </c>
      <c r="AE157" s="333">
        <v>374</v>
      </c>
      <c r="AF157" s="333">
        <v>299</v>
      </c>
      <c r="AG157" s="333">
        <v>1934417</v>
      </c>
      <c r="AH157" s="169"/>
      <c r="AI157" s="400">
        <v>457842</v>
      </c>
      <c r="AJ157" s="333">
        <v>0</v>
      </c>
      <c r="AK157" s="333">
        <v>0</v>
      </c>
      <c r="AL157" s="333">
        <v>374</v>
      </c>
      <c r="AM157" s="333">
        <v>374</v>
      </c>
      <c r="AN157" s="333">
        <v>299</v>
      </c>
      <c r="AO157" s="333">
        <v>2904482</v>
      </c>
    </row>
    <row r="158" spans="1:41" ht="15.75">
      <c r="A158" s="333">
        <v>152</v>
      </c>
      <c r="B158" s="169" t="s">
        <v>105</v>
      </c>
      <c r="C158" s="398" t="s">
        <v>233</v>
      </c>
      <c r="D158" s="329">
        <v>0</v>
      </c>
      <c r="E158" s="329">
        <v>570</v>
      </c>
      <c r="F158" s="329">
        <v>0</v>
      </c>
      <c r="G158" s="329">
        <v>0</v>
      </c>
      <c r="H158" s="329">
        <v>570</v>
      </c>
      <c r="I158" s="329">
        <v>0</v>
      </c>
      <c r="J158" s="329">
        <v>0</v>
      </c>
      <c r="K158" s="333">
        <v>0</v>
      </c>
      <c r="L158" s="333"/>
      <c r="M158" s="208"/>
      <c r="N158" s="398" t="s">
        <v>233</v>
      </c>
      <c r="O158" s="329">
        <v>0</v>
      </c>
      <c r="P158" s="329">
        <v>0</v>
      </c>
      <c r="Q158" s="329">
        <v>570</v>
      </c>
      <c r="R158" s="333">
        <v>570</v>
      </c>
      <c r="S158" s="333">
        <v>8075254</v>
      </c>
      <c r="T158" s="3">
        <v>3.15</v>
      </c>
      <c r="U158" s="165">
        <f>VLOOKUP(N158,'[2]154'!$C$9:$T$554,18,0)</f>
        <v>570</v>
      </c>
      <c r="V158" s="398" t="s">
        <v>233</v>
      </c>
      <c r="W158" s="406">
        <v>0</v>
      </c>
      <c r="X158" s="405">
        <v>0</v>
      </c>
      <c r="Y158" s="406">
        <v>0</v>
      </c>
      <c r="Z158" s="3"/>
      <c r="AA158" s="398" t="s">
        <v>233</v>
      </c>
      <c r="AB158" s="329">
        <v>0</v>
      </c>
      <c r="AC158" s="329">
        <v>0</v>
      </c>
      <c r="AD158" s="329">
        <v>570</v>
      </c>
      <c r="AE158" s="329">
        <v>570</v>
      </c>
      <c r="AF158" s="329">
        <v>456</v>
      </c>
      <c r="AG158" s="329">
        <v>3228585</v>
      </c>
      <c r="AH158" s="3"/>
      <c r="AI158" s="398" t="s">
        <v>233</v>
      </c>
      <c r="AJ158" s="329">
        <v>0</v>
      </c>
      <c r="AK158" s="329">
        <v>0</v>
      </c>
      <c r="AL158" s="329">
        <v>570</v>
      </c>
      <c r="AM158" s="329">
        <v>570</v>
      </c>
      <c r="AN158" s="329">
        <v>456</v>
      </c>
      <c r="AO158" s="329">
        <v>4846669</v>
      </c>
    </row>
    <row r="159" spans="1:41" ht="15.75">
      <c r="A159" s="333">
        <v>153</v>
      </c>
      <c r="B159" s="169" t="s">
        <v>105</v>
      </c>
      <c r="C159" s="401">
        <v>458624</v>
      </c>
      <c r="D159" s="329">
        <v>0</v>
      </c>
      <c r="E159" s="329">
        <v>298</v>
      </c>
      <c r="F159" s="329">
        <v>0</v>
      </c>
      <c r="G159" s="329">
        <v>0</v>
      </c>
      <c r="H159" s="329">
        <v>298</v>
      </c>
      <c r="I159" s="329">
        <v>0</v>
      </c>
      <c r="J159" s="329">
        <v>0</v>
      </c>
      <c r="K159" s="333">
        <v>0</v>
      </c>
      <c r="L159" s="333"/>
      <c r="M159" s="165"/>
      <c r="N159" s="401">
        <v>458624</v>
      </c>
      <c r="O159" s="329">
        <v>0</v>
      </c>
      <c r="P159" s="329">
        <v>0</v>
      </c>
      <c r="Q159" s="329">
        <v>298</v>
      </c>
      <c r="R159" s="333">
        <v>298</v>
      </c>
      <c r="S159" s="333">
        <v>7461530</v>
      </c>
      <c r="T159" s="3">
        <v>1.35</v>
      </c>
      <c r="U159" s="165">
        <f>VLOOKUP(N159,'[2]154'!$C$9:$T$554,18,0)</f>
        <v>298</v>
      </c>
      <c r="V159" s="401">
        <v>458624</v>
      </c>
      <c r="W159" s="406">
        <v>0</v>
      </c>
      <c r="X159" s="405">
        <v>0</v>
      </c>
      <c r="Y159" s="406">
        <v>0</v>
      </c>
      <c r="Z159" s="3"/>
      <c r="AA159" s="401">
        <v>458624</v>
      </c>
      <c r="AB159" s="329">
        <v>0</v>
      </c>
      <c r="AC159" s="329">
        <v>0</v>
      </c>
      <c r="AD159" s="329">
        <v>298</v>
      </c>
      <c r="AE159" s="329">
        <v>298</v>
      </c>
      <c r="AF159" s="329">
        <v>238</v>
      </c>
      <c r="AG159" s="329">
        <v>3098296</v>
      </c>
      <c r="AH159" s="3"/>
      <c r="AI159" s="401">
        <v>458624</v>
      </c>
      <c r="AJ159" s="329">
        <v>0</v>
      </c>
      <c r="AK159" s="329">
        <v>0</v>
      </c>
      <c r="AL159" s="329">
        <v>298</v>
      </c>
      <c r="AM159" s="329">
        <v>298</v>
      </c>
      <c r="AN159" s="329">
        <v>238</v>
      </c>
      <c r="AO159" s="329">
        <v>4363234</v>
      </c>
    </row>
    <row r="160" spans="1:41" ht="15.75">
      <c r="A160" s="333">
        <v>154</v>
      </c>
      <c r="B160" s="169" t="s">
        <v>105</v>
      </c>
      <c r="C160" s="401">
        <v>458626</v>
      </c>
      <c r="D160" s="329">
        <v>0</v>
      </c>
      <c r="E160" s="329">
        <v>165</v>
      </c>
      <c r="F160" s="329">
        <v>0</v>
      </c>
      <c r="G160" s="329">
        <v>0</v>
      </c>
      <c r="H160" s="329">
        <v>165</v>
      </c>
      <c r="I160" s="329">
        <v>0</v>
      </c>
      <c r="J160" s="329">
        <v>0</v>
      </c>
      <c r="K160" s="333">
        <v>0</v>
      </c>
      <c r="L160" s="333"/>
      <c r="M160" s="165"/>
      <c r="N160" s="401">
        <v>458626</v>
      </c>
      <c r="O160" s="329">
        <v>0</v>
      </c>
      <c r="P160" s="329">
        <v>0</v>
      </c>
      <c r="Q160" s="329">
        <v>165</v>
      </c>
      <c r="R160" s="333">
        <v>165</v>
      </c>
      <c r="S160" s="333">
        <v>2517855</v>
      </c>
      <c r="T160" s="3">
        <v>1.35</v>
      </c>
      <c r="U160" s="165">
        <f>VLOOKUP(N160,'[2]154'!$C$9:$T$554,18,0)</f>
        <v>165</v>
      </c>
      <c r="V160" s="401">
        <v>458626</v>
      </c>
      <c r="W160" s="406">
        <v>0</v>
      </c>
      <c r="X160" s="405">
        <v>0</v>
      </c>
      <c r="Y160" s="406">
        <v>0</v>
      </c>
      <c r="Z160" s="3"/>
      <c r="AA160" s="401">
        <v>458626</v>
      </c>
      <c r="AB160" s="329">
        <v>0</v>
      </c>
      <c r="AC160" s="329">
        <v>0</v>
      </c>
      <c r="AD160" s="329">
        <v>165</v>
      </c>
      <c r="AE160" s="329">
        <v>165</v>
      </c>
      <c r="AF160" s="329">
        <v>132</v>
      </c>
      <c r="AG160" s="329">
        <v>1050115</v>
      </c>
      <c r="AH160" s="3"/>
      <c r="AI160" s="401">
        <v>458626</v>
      </c>
      <c r="AJ160" s="329">
        <v>0</v>
      </c>
      <c r="AK160" s="329">
        <v>0</v>
      </c>
      <c r="AL160" s="329">
        <v>165</v>
      </c>
      <c r="AM160" s="329">
        <v>165</v>
      </c>
      <c r="AN160" s="329">
        <v>132</v>
      </c>
      <c r="AO160" s="329">
        <v>1467740</v>
      </c>
    </row>
    <row r="161" spans="1:41" ht="15.75">
      <c r="A161" s="333">
        <v>155</v>
      </c>
      <c r="B161" s="169" t="s">
        <v>105</v>
      </c>
      <c r="C161" s="401">
        <v>459044</v>
      </c>
      <c r="D161" s="329">
        <v>0</v>
      </c>
      <c r="E161" s="329">
        <v>109</v>
      </c>
      <c r="F161" s="329">
        <v>0</v>
      </c>
      <c r="G161" s="329">
        <v>0</v>
      </c>
      <c r="H161" s="329">
        <v>109</v>
      </c>
      <c r="I161" s="329">
        <v>0</v>
      </c>
      <c r="J161" s="329">
        <v>20</v>
      </c>
      <c r="K161" s="333">
        <v>20</v>
      </c>
      <c r="L161" s="333"/>
      <c r="M161" s="208"/>
      <c r="N161" s="401">
        <v>459044</v>
      </c>
      <c r="O161" s="329">
        <v>0</v>
      </c>
      <c r="P161" s="329">
        <v>0</v>
      </c>
      <c r="Q161" s="329">
        <v>109</v>
      </c>
      <c r="R161" s="333">
        <v>109</v>
      </c>
      <c r="S161" s="333">
        <v>1548700</v>
      </c>
      <c r="T161" s="3">
        <v>1.55</v>
      </c>
      <c r="U161" s="165">
        <f>VLOOKUP(N161,'[2]154'!$C$9:$T$554,18,0)</f>
        <v>109</v>
      </c>
      <c r="V161" s="401">
        <v>459044</v>
      </c>
      <c r="W161" s="406">
        <v>20</v>
      </c>
      <c r="X161" s="405">
        <v>36016.25</v>
      </c>
      <c r="Y161" s="406">
        <v>720325</v>
      </c>
      <c r="Z161" s="3"/>
      <c r="AA161" s="401">
        <v>459044</v>
      </c>
      <c r="AB161" s="329">
        <v>0</v>
      </c>
      <c r="AC161" s="329">
        <v>0</v>
      </c>
      <c r="AD161" s="329">
        <v>109</v>
      </c>
      <c r="AE161" s="329">
        <v>109</v>
      </c>
      <c r="AF161" s="329">
        <v>87</v>
      </c>
      <c r="AG161" s="329">
        <v>643496</v>
      </c>
      <c r="AH161" s="3"/>
      <c r="AI161" s="401">
        <v>459044</v>
      </c>
      <c r="AJ161" s="329">
        <v>0</v>
      </c>
      <c r="AK161" s="329">
        <v>0</v>
      </c>
      <c r="AL161" s="329">
        <v>109</v>
      </c>
      <c r="AM161" s="329">
        <v>109</v>
      </c>
      <c r="AN161" s="329">
        <v>87</v>
      </c>
      <c r="AO161" s="329">
        <v>905204</v>
      </c>
    </row>
    <row r="162" spans="1:41" ht="15.75">
      <c r="A162" s="333">
        <v>156</v>
      </c>
      <c r="B162" s="169" t="s">
        <v>105</v>
      </c>
      <c r="C162" s="401">
        <v>459046</v>
      </c>
      <c r="D162" s="329">
        <v>0</v>
      </c>
      <c r="E162" s="329">
        <v>126</v>
      </c>
      <c r="F162" s="329">
        <v>0</v>
      </c>
      <c r="G162" s="329">
        <v>0</v>
      </c>
      <c r="H162" s="329">
        <v>126</v>
      </c>
      <c r="I162" s="329">
        <v>0</v>
      </c>
      <c r="J162" s="329">
        <v>0</v>
      </c>
      <c r="K162" s="333">
        <v>0</v>
      </c>
      <c r="L162" s="333"/>
      <c r="M162" s="165"/>
      <c r="N162" s="401">
        <v>459046</v>
      </c>
      <c r="O162" s="329">
        <v>0</v>
      </c>
      <c r="P162" s="329">
        <v>0</v>
      </c>
      <c r="Q162" s="329">
        <v>126</v>
      </c>
      <c r="R162" s="333">
        <v>126</v>
      </c>
      <c r="S162" s="333">
        <v>1715979</v>
      </c>
      <c r="T162" s="3">
        <v>1.35</v>
      </c>
      <c r="U162" s="165">
        <f>VLOOKUP(N162,'[2]154'!$C$9:$T$554,18,0)</f>
        <v>126</v>
      </c>
      <c r="V162" s="401">
        <v>459046</v>
      </c>
      <c r="W162" s="406">
        <v>0</v>
      </c>
      <c r="X162" s="405">
        <v>0</v>
      </c>
      <c r="Y162" s="406">
        <v>0</v>
      </c>
      <c r="Z162" s="3"/>
      <c r="AA162" s="401">
        <v>459046</v>
      </c>
      <c r="AB162" s="329">
        <v>0</v>
      </c>
      <c r="AC162" s="329">
        <v>0</v>
      </c>
      <c r="AD162" s="329">
        <v>126</v>
      </c>
      <c r="AE162" s="329">
        <v>126</v>
      </c>
      <c r="AF162" s="329">
        <v>101</v>
      </c>
      <c r="AG162" s="329">
        <v>713081</v>
      </c>
      <c r="AH162" s="3"/>
      <c r="AI162" s="401">
        <v>459046</v>
      </c>
      <c r="AJ162" s="329">
        <v>0</v>
      </c>
      <c r="AK162" s="329">
        <v>0</v>
      </c>
      <c r="AL162" s="329">
        <v>126</v>
      </c>
      <c r="AM162" s="329">
        <v>126</v>
      </c>
      <c r="AN162" s="329">
        <v>101</v>
      </c>
      <c r="AO162" s="329">
        <v>1002898</v>
      </c>
    </row>
    <row r="163" spans="1:41" ht="15.75">
      <c r="A163" s="333">
        <v>157</v>
      </c>
      <c r="B163" s="169" t="s">
        <v>105</v>
      </c>
      <c r="C163" s="401">
        <v>459199</v>
      </c>
      <c r="D163" s="329">
        <v>0</v>
      </c>
      <c r="E163" s="329">
        <v>130</v>
      </c>
      <c r="F163" s="329">
        <v>0</v>
      </c>
      <c r="G163" s="329">
        <v>0</v>
      </c>
      <c r="H163" s="329">
        <v>130</v>
      </c>
      <c r="I163" s="329">
        <v>0</v>
      </c>
      <c r="J163" s="329">
        <v>16</v>
      </c>
      <c r="K163" s="333">
        <v>16</v>
      </c>
      <c r="L163" s="333"/>
      <c r="M163" s="165"/>
      <c r="N163" s="401">
        <v>459199</v>
      </c>
      <c r="O163" s="329">
        <v>0</v>
      </c>
      <c r="P163" s="329">
        <v>0</v>
      </c>
      <c r="Q163" s="329">
        <v>130</v>
      </c>
      <c r="R163" s="333">
        <v>130</v>
      </c>
      <c r="S163" s="333">
        <v>3345425</v>
      </c>
      <c r="T163" s="3">
        <v>1.45</v>
      </c>
      <c r="U163" s="165">
        <f>VLOOKUP(N163,'[2]154'!$C$9:$T$554,18,0)</f>
        <v>130</v>
      </c>
      <c r="V163" s="401">
        <v>459199</v>
      </c>
      <c r="W163" s="406">
        <v>16</v>
      </c>
      <c r="X163" s="405">
        <v>32270.5625</v>
      </c>
      <c r="Y163" s="406">
        <v>516329</v>
      </c>
      <c r="Z163" s="3"/>
      <c r="AA163" s="401">
        <v>459199</v>
      </c>
      <c r="AB163" s="329">
        <v>0</v>
      </c>
      <c r="AC163" s="329">
        <v>0</v>
      </c>
      <c r="AD163" s="329">
        <v>130</v>
      </c>
      <c r="AE163" s="329">
        <v>130</v>
      </c>
      <c r="AF163" s="329">
        <v>104</v>
      </c>
      <c r="AG163" s="329">
        <v>1321275</v>
      </c>
      <c r="AH163" s="3"/>
      <c r="AI163" s="401">
        <v>459199</v>
      </c>
      <c r="AJ163" s="329">
        <v>0</v>
      </c>
      <c r="AK163" s="329">
        <v>0</v>
      </c>
      <c r="AL163" s="329">
        <v>130</v>
      </c>
      <c r="AM163" s="329">
        <v>130</v>
      </c>
      <c r="AN163" s="329">
        <v>104</v>
      </c>
      <c r="AO163" s="329">
        <v>2024150</v>
      </c>
    </row>
    <row r="164" spans="1:41" ht="15.75">
      <c r="A164" s="333">
        <v>158</v>
      </c>
      <c r="B164" s="169" t="s">
        <v>105</v>
      </c>
      <c r="C164" s="401">
        <v>459200</v>
      </c>
      <c r="D164" s="329">
        <v>0</v>
      </c>
      <c r="E164" s="329">
        <v>305</v>
      </c>
      <c r="F164" s="329">
        <v>0</v>
      </c>
      <c r="G164" s="329">
        <v>0</v>
      </c>
      <c r="H164" s="329">
        <v>305</v>
      </c>
      <c r="I164" s="329">
        <v>0</v>
      </c>
      <c r="J164" s="329">
        <v>37</v>
      </c>
      <c r="K164" s="333">
        <v>37</v>
      </c>
      <c r="L164" s="333"/>
      <c r="M164" s="208"/>
      <c r="N164" s="401">
        <v>459200</v>
      </c>
      <c r="O164" s="329">
        <v>0</v>
      </c>
      <c r="P164" s="329">
        <v>0</v>
      </c>
      <c r="Q164" s="329">
        <v>305</v>
      </c>
      <c r="R164" s="333">
        <v>305</v>
      </c>
      <c r="S164" s="333">
        <v>4269146</v>
      </c>
      <c r="T164" s="3">
        <v>1.65</v>
      </c>
      <c r="U164" s="165">
        <f>VLOOKUP(N164,'[2]154'!$C$9:$T$554,18,0)</f>
        <v>305</v>
      </c>
      <c r="V164" s="401">
        <v>459200</v>
      </c>
      <c r="W164" s="406">
        <v>37</v>
      </c>
      <c r="X164" s="405">
        <v>37117</v>
      </c>
      <c r="Y164" s="406">
        <v>1373329</v>
      </c>
      <c r="Z164" s="3"/>
      <c r="AA164" s="401">
        <v>459200</v>
      </c>
      <c r="AB164" s="329">
        <v>0</v>
      </c>
      <c r="AC164" s="329">
        <v>0</v>
      </c>
      <c r="AD164" s="329">
        <v>305</v>
      </c>
      <c r="AE164" s="329">
        <v>305</v>
      </c>
      <c r="AF164" s="329">
        <v>244</v>
      </c>
      <c r="AG164" s="329">
        <v>1707902</v>
      </c>
      <c r="AH164" s="3"/>
      <c r="AI164" s="401">
        <v>459200</v>
      </c>
      <c r="AJ164" s="329">
        <v>0</v>
      </c>
      <c r="AK164" s="329">
        <v>0</v>
      </c>
      <c r="AL164" s="329">
        <v>305</v>
      </c>
      <c r="AM164" s="329">
        <v>305</v>
      </c>
      <c r="AN164" s="329">
        <v>244</v>
      </c>
      <c r="AO164" s="329">
        <v>2561244</v>
      </c>
    </row>
    <row r="165" spans="1:41" ht="15.75">
      <c r="A165" s="333">
        <v>159</v>
      </c>
      <c r="B165" s="169" t="s">
        <v>105</v>
      </c>
      <c r="C165" s="401">
        <v>459648</v>
      </c>
      <c r="D165" s="329">
        <v>0</v>
      </c>
      <c r="E165" s="329">
        <v>111</v>
      </c>
      <c r="F165" s="329">
        <v>0</v>
      </c>
      <c r="G165" s="329">
        <v>0</v>
      </c>
      <c r="H165" s="329">
        <v>111</v>
      </c>
      <c r="I165" s="329">
        <v>0</v>
      </c>
      <c r="J165" s="329">
        <v>0</v>
      </c>
      <c r="K165" s="333">
        <v>0</v>
      </c>
      <c r="L165" s="333"/>
      <c r="M165" s="165"/>
      <c r="N165" s="401">
        <v>459648</v>
      </c>
      <c r="O165" s="329">
        <v>0</v>
      </c>
      <c r="P165" s="329">
        <v>0</v>
      </c>
      <c r="Q165" s="329">
        <v>111</v>
      </c>
      <c r="R165" s="333">
        <v>111</v>
      </c>
      <c r="S165" s="333">
        <v>1694143</v>
      </c>
      <c r="T165" s="3">
        <v>1.35</v>
      </c>
      <c r="U165" s="165">
        <f>VLOOKUP(N165,'[2]154'!$C$9:$T$554,18,0)</f>
        <v>111</v>
      </c>
      <c r="V165" s="401">
        <v>459648</v>
      </c>
      <c r="W165" s="406">
        <v>0</v>
      </c>
      <c r="X165" s="405">
        <v>0</v>
      </c>
      <c r="Y165" s="406">
        <v>0</v>
      </c>
      <c r="Z165" s="3"/>
      <c r="AA165" s="401">
        <v>459648</v>
      </c>
      <c r="AB165" s="329">
        <v>0</v>
      </c>
      <c r="AC165" s="329">
        <v>0</v>
      </c>
      <c r="AD165" s="329">
        <v>111</v>
      </c>
      <c r="AE165" s="329">
        <v>111</v>
      </c>
      <c r="AF165" s="329">
        <v>89</v>
      </c>
      <c r="AG165" s="329">
        <v>704031</v>
      </c>
      <c r="AH165" s="3"/>
      <c r="AI165" s="401">
        <v>459648</v>
      </c>
      <c r="AJ165" s="329">
        <v>0</v>
      </c>
      <c r="AK165" s="329">
        <v>0</v>
      </c>
      <c r="AL165" s="329">
        <v>111</v>
      </c>
      <c r="AM165" s="329">
        <v>111</v>
      </c>
      <c r="AN165" s="329">
        <v>89</v>
      </c>
      <c r="AO165" s="329">
        <v>990112</v>
      </c>
    </row>
    <row r="166" spans="1:41" ht="15.75">
      <c r="A166" s="333">
        <v>160</v>
      </c>
      <c r="B166" s="169" t="s">
        <v>105</v>
      </c>
      <c r="C166" s="401">
        <v>459700</v>
      </c>
      <c r="D166" s="329">
        <v>0</v>
      </c>
      <c r="E166" s="329">
        <v>78</v>
      </c>
      <c r="F166" s="329">
        <v>0</v>
      </c>
      <c r="G166" s="329">
        <v>0</v>
      </c>
      <c r="H166" s="329">
        <v>78</v>
      </c>
      <c r="I166" s="329">
        <v>0</v>
      </c>
      <c r="J166" s="329">
        <v>0</v>
      </c>
      <c r="K166" s="333">
        <v>0</v>
      </c>
      <c r="L166" s="333"/>
      <c r="M166" s="165"/>
      <c r="N166" s="401">
        <v>459700</v>
      </c>
      <c r="O166" s="329">
        <v>0</v>
      </c>
      <c r="P166" s="329">
        <v>0</v>
      </c>
      <c r="Q166" s="329">
        <v>78</v>
      </c>
      <c r="R166" s="333">
        <v>78</v>
      </c>
      <c r="S166" s="333">
        <v>941054</v>
      </c>
      <c r="T166" s="3">
        <v>1.35</v>
      </c>
      <c r="U166" s="165">
        <f>VLOOKUP(N166,'[2]154'!$C$9:$T$554,18,0)</f>
        <v>78</v>
      </c>
      <c r="V166" s="401">
        <v>459700</v>
      </c>
      <c r="W166" s="406">
        <v>0</v>
      </c>
      <c r="X166" s="405">
        <v>0</v>
      </c>
      <c r="Y166" s="406">
        <v>0</v>
      </c>
      <c r="Z166" s="3"/>
      <c r="AA166" s="401">
        <v>459700</v>
      </c>
      <c r="AB166" s="329">
        <v>0</v>
      </c>
      <c r="AC166" s="329">
        <v>0</v>
      </c>
      <c r="AD166" s="329">
        <v>78</v>
      </c>
      <c r="AE166" s="329">
        <v>78</v>
      </c>
      <c r="AF166" s="329">
        <v>62</v>
      </c>
      <c r="AG166" s="329">
        <v>391007</v>
      </c>
      <c r="AH166" s="3"/>
      <c r="AI166" s="401">
        <v>459700</v>
      </c>
      <c r="AJ166" s="329">
        <v>0</v>
      </c>
      <c r="AK166" s="329">
        <v>0</v>
      </c>
      <c r="AL166" s="329">
        <v>78</v>
      </c>
      <c r="AM166" s="329">
        <v>78</v>
      </c>
      <c r="AN166" s="329">
        <v>62</v>
      </c>
      <c r="AO166" s="329">
        <v>550047</v>
      </c>
    </row>
    <row r="167" spans="1:41" ht="15.75">
      <c r="A167" s="333">
        <v>161</v>
      </c>
      <c r="B167" s="169" t="s">
        <v>105</v>
      </c>
      <c r="C167" s="401">
        <v>459701</v>
      </c>
      <c r="D167" s="329">
        <v>0</v>
      </c>
      <c r="E167" s="329">
        <v>133</v>
      </c>
      <c r="F167" s="329">
        <v>0</v>
      </c>
      <c r="G167" s="329">
        <v>0</v>
      </c>
      <c r="H167" s="329">
        <v>133</v>
      </c>
      <c r="I167" s="329">
        <v>0</v>
      </c>
      <c r="J167" s="329">
        <v>0</v>
      </c>
      <c r="K167" s="333">
        <v>0</v>
      </c>
      <c r="L167" s="333"/>
      <c r="M167" s="208"/>
      <c r="N167" s="401">
        <v>459701</v>
      </c>
      <c r="O167" s="329">
        <v>0</v>
      </c>
      <c r="P167" s="329">
        <v>0</v>
      </c>
      <c r="Q167" s="329">
        <v>133</v>
      </c>
      <c r="R167" s="333">
        <v>133</v>
      </c>
      <c r="S167" s="333">
        <v>820425</v>
      </c>
      <c r="T167" s="3">
        <v>1.35</v>
      </c>
      <c r="U167" s="165">
        <f>VLOOKUP(N167,'[2]154'!$C$9:$T$554,18,0)</f>
        <v>133</v>
      </c>
      <c r="V167" s="401">
        <v>459701</v>
      </c>
      <c r="W167" s="406">
        <v>0</v>
      </c>
      <c r="X167" s="405">
        <v>0</v>
      </c>
      <c r="Y167" s="406">
        <v>0</v>
      </c>
      <c r="Z167" s="3"/>
      <c r="AA167" s="401">
        <v>459701</v>
      </c>
      <c r="AB167" s="329">
        <v>0</v>
      </c>
      <c r="AC167" s="329">
        <v>0</v>
      </c>
      <c r="AD167" s="329">
        <v>133</v>
      </c>
      <c r="AE167" s="329">
        <v>133</v>
      </c>
      <c r="AF167" s="329">
        <v>106</v>
      </c>
      <c r="AG167" s="329">
        <v>328384</v>
      </c>
      <c r="AH167" s="3"/>
      <c r="AI167" s="401">
        <v>459701</v>
      </c>
      <c r="AJ167" s="329">
        <v>0</v>
      </c>
      <c r="AK167" s="329">
        <v>0</v>
      </c>
      <c r="AL167" s="329">
        <v>133</v>
      </c>
      <c r="AM167" s="329">
        <v>133</v>
      </c>
      <c r="AN167" s="329">
        <v>106</v>
      </c>
      <c r="AO167" s="329">
        <v>492041</v>
      </c>
    </row>
    <row r="168" spans="1:41" ht="15.75">
      <c r="A168" s="333">
        <v>162</v>
      </c>
      <c r="B168" s="169" t="s">
        <v>105</v>
      </c>
      <c r="C168" s="401">
        <v>459702</v>
      </c>
      <c r="D168" s="329">
        <v>0</v>
      </c>
      <c r="E168" s="329">
        <v>42</v>
      </c>
      <c r="F168" s="329">
        <v>0</v>
      </c>
      <c r="G168" s="329">
        <v>0</v>
      </c>
      <c r="H168" s="329">
        <v>42</v>
      </c>
      <c r="I168" s="329">
        <v>0</v>
      </c>
      <c r="J168" s="329">
        <v>0</v>
      </c>
      <c r="K168" s="333">
        <v>0</v>
      </c>
      <c r="L168" s="333"/>
      <c r="M168" s="165"/>
      <c r="N168" s="401">
        <v>459702</v>
      </c>
      <c r="O168" s="329">
        <v>0</v>
      </c>
      <c r="P168" s="329">
        <v>0</v>
      </c>
      <c r="Q168" s="329">
        <v>42</v>
      </c>
      <c r="R168" s="333">
        <v>42</v>
      </c>
      <c r="S168" s="333">
        <v>611554</v>
      </c>
      <c r="T168" s="3">
        <v>1.35</v>
      </c>
      <c r="U168" s="165">
        <f>VLOOKUP(N168,'[2]154'!$C$9:$T$554,18,0)</f>
        <v>42</v>
      </c>
      <c r="V168" s="401">
        <v>459702</v>
      </c>
      <c r="W168" s="406">
        <v>0</v>
      </c>
      <c r="X168" s="405">
        <v>0</v>
      </c>
      <c r="Y168" s="406">
        <v>0</v>
      </c>
      <c r="Z168" s="3"/>
      <c r="AA168" s="401">
        <v>459702</v>
      </c>
      <c r="AB168" s="329">
        <v>0</v>
      </c>
      <c r="AC168" s="329">
        <v>0</v>
      </c>
      <c r="AD168" s="329">
        <v>42</v>
      </c>
      <c r="AE168" s="329">
        <v>42</v>
      </c>
      <c r="AF168" s="329">
        <v>34</v>
      </c>
      <c r="AG168" s="329">
        <v>241533</v>
      </c>
      <c r="AH168" s="3"/>
      <c r="AI168" s="401">
        <v>459702</v>
      </c>
      <c r="AJ168" s="329">
        <v>0</v>
      </c>
      <c r="AK168" s="329">
        <v>0</v>
      </c>
      <c r="AL168" s="329">
        <v>42</v>
      </c>
      <c r="AM168" s="329">
        <v>42</v>
      </c>
      <c r="AN168" s="329">
        <v>34</v>
      </c>
      <c r="AO168" s="329">
        <v>370021</v>
      </c>
    </row>
    <row r="169" spans="1:41" ht="15.75">
      <c r="A169" s="333">
        <v>163</v>
      </c>
      <c r="B169" s="169" t="s">
        <v>105</v>
      </c>
      <c r="C169" s="401">
        <v>459703</v>
      </c>
      <c r="D169" s="329">
        <v>0</v>
      </c>
      <c r="E169" s="329">
        <v>45</v>
      </c>
      <c r="F169" s="329">
        <v>0</v>
      </c>
      <c r="G169" s="329">
        <v>0</v>
      </c>
      <c r="H169" s="329">
        <v>45</v>
      </c>
      <c r="I169" s="329">
        <v>0</v>
      </c>
      <c r="J169" s="329">
        <v>13</v>
      </c>
      <c r="K169" s="333">
        <v>13</v>
      </c>
      <c r="L169" s="333"/>
      <c r="M169" s="165"/>
      <c r="N169" s="401">
        <v>459703</v>
      </c>
      <c r="O169" s="329">
        <v>0</v>
      </c>
      <c r="P169" s="329">
        <v>0</v>
      </c>
      <c r="Q169" s="329">
        <v>45</v>
      </c>
      <c r="R169" s="333">
        <v>45</v>
      </c>
      <c r="S169" s="333">
        <v>1129941</v>
      </c>
      <c r="T169" s="3">
        <v>1.35</v>
      </c>
      <c r="U169" s="165">
        <f>VLOOKUP(N169,'[2]154'!$C$9:$T$554,18,0)</f>
        <v>45</v>
      </c>
      <c r="V169" s="401">
        <v>459703</v>
      </c>
      <c r="W169" s="406">
        <v>13</v>
      </c>
      <c r="X169" s="405">
        <v>31387.23076923077</v>
      </c>
      <c r="Y169" s="406">
        <v>408034</v>
      </c>
      <c r="Z169" s="3"/>
      <c r="AA169" s="401">
        <v>459703</v>
      </c>
      <c r="AB169" s="329">
        <v>0</v>
      </c>
      <c r="AC169" s="329">
        <v>0</v>
      </c>
      <c r="AD169" s="329">
        <v>45</v>
      </c>
      <c r="AE169" s="329">
        <v>45</v>
      </c>
      <c r="AF169" s="329">
        <v>36</v>
      </c>
      <c r="AG169" s="329">
        <v>469808</v>
      </c>
      <c r="AH169" s="3"/>
      <c r="AI169" s="401">
        <v>459703</v>
      </c>
      <c r="AJ169" s="329">
        <v>0</v>
      </c>
      <c r="AK169" s="329">
        <v>0</v>
      </c>
      <c r="AL169" s="329">
        <v>45</v>
      </c>
      <c r="AM169" s="329">
        <v>45</v>
      </c>
      <c r="AN169" s="329">
        <v>36</v>
      </c>
      <c r="AO169" s="329">
        <v>660133</v>
      </c>
    </row>
    <row r="170" spans="1:41" ht="15.75">
      <c r="A170" s="333">
        <v>164</v>
      </c>
      <c r="B170" s="169" t="s">
        <v>105</v>
      </c>
      <c r="C170" s="401">
        <v>459704</v>
      </c>
      <c r="D170" s="329">
        <v>0</v>
      </c>
      <c r="E170" s="329">
        <v>48</v>
      </c>
      <c r="F170" s="329">
        <v>0</v>
      </c>
      <c r="G170" s="329">
        <v>0</v>
      </c>
      <c r="H170" s="329">
        <v>48</v>
      </c>
      <c r="I170" s="329">
        <v>0</v>
      </c>
      <c r="J170" s="329">
        <v>0</v>
      </c>
      <c r="K170" s="333">
        <v>0</v>
      </c>
      <c r="L170" s="333"/>
      <c r="M170" s="208"/>
      <c r="N170" s="401">
        <v>459704</v>
      </c>
      <c r="O170" s="329">
        <v>0</v>
      </c>
      <c r="P170" s="329">
        <v>0</v>
      </c>
      <c r="Q170" s="329">
        <v>48</v>
      </c>
      <c r="R170" s="333">
        <v>48</v>
      </c>
      <c r="S170" s="333">
        <v>1383783</v>
      </c>
      <c r="T170" s="3">
        <v>1.55</v>
      </c>
      <c r="U170" s="165">
        <f>VLOOKUP(N170,'[2]154'!$C$9:$T$554,18,0)</f>
        <v>48</v>
      </c>
      <c r="V170" s="401">
        <v>459704</v>
      </c>
      <c r="W170" s="406">
        <v>0</v>
      </c>
      <c r="X170" s="405">
        <v>0</v>
      </c>
      <c r="Y170" s="406">
        <v>0</v>
      </c>
      <c r="Z170" s="3"/>
      <c r="AA170" s="401">
        <v>459704</v>
      </c>
      <c r="AB170" s="329">
        <v>0</v>
      </c>
      <c r="AC170" s="329">
        <v>0</v>
      </c>
      <c r="AD170" s="329">
        <v>48</v>
      </c>
      <c r="AE170" s="329">
        <v>48</v>
      </c>
      <c r="AF170" s="329">
        <v>38</v>
      </c>
      <c r="AG170" s="329">
        <v>575330</v>
      </c>
      <c r="AH170" s="3"/>
      <c r="AI170" s="401">
        <v>459704</v>
      </c>
      <c r="AJ170" s="329">
        <v>0</v>
      </c>
      <c r="AK170" s="329">
        <v>0</v>
      </c>
      <c r="AL170" s="329">
        <v>48</v>
      </c>
      <c r="AM170" s="329">
        <v>48</v>
      </c>
      <c r="AN170" s="329">
        <v>38</v>
      </c>
      <c r="AO170" s="329">
        <v>808453</v>
      </c>
    </row>
    <row r="171" spans="1:41" ht="15.75">
      <c r="A171" s="333">
        <v>165</v>
      </c>
      <c r="B171" s="169" t="s">
        <v>105</v>
      </c>
      <c r="C171" s="401">
        <v>459715</v>
      </c>
      <c r="D171" s="329">
        <v>0</v>
      </c>
      <c r="E171" s="329">
        <v>31</v>
      </c>
      <c r="F171" s="329">
        <v>0</v>
      </c>
      <c r="G171" s="329">
        <v>0</v>
      </c>
      <c r="H171" s="329">
        <v>31</v>
      </c>
      <c r="I171" s="329">
        <v>0</v>
      </c>
      <c r="J171" s="329">
        <v>0</v>
      </c>
      <c r="K171" s="333">
        <v>0</v>
      </c>
      <c r="L171" s="333"/>
      <c r="M171" s="165"/>
      <c r="N171" s="401">
        <v>459715</v>
      </c>
      <c r="O171" s="329">
        <v>0</v>
      </c>
      <c r="P171" s="329">
        <v>0</v>
      </c>
      <c r="Q171" s="329">
        <v>31</v>
      </c>
      <c r="R171" s="333">
        <v>31</v>
      </c>
      <c r="S171" s="333">
        <v>425258</v>
      </c>
      <c r="T171" s="3">
        <v>1.35</v>
      </c>
      <c r="U171" s="165">
        <f>VLOOKUP(N171,'[2]154'!$C$9:$T$554,18,0)</f>
        <v>31</v>
      </c>
      <c r="V171" s="401">
        <v>459715</v>
      </c>
      <c r="W171" s="406">
        <v>0</v>
      </c>
      <c r="X171" s="405">
        <v>0</v>
      </c>
      <c r="Y171" s="406">
        <v>0</v>
      </c>
      <c r="Z171" s="3"/>
      <c r="AA171" s="401">
        <v>459715</v>
      </c>
      <c r="AB171" s="329">
        <v>0</v>
      </c>
      <c r="AC171" s="329">
        <v>0</v>
      </c>
      <c r="AD171" s="329">
        <v>31</v>
      </c>
      <c r="AE171" s="329">
        <v>31</v>
      </c>
      <c r="AF171" s="329">
        <v>25</v>
      </c>
      <c r="AG171" s="329">
        <v>176611</v>
      </c>
      <c r="AH171" s="3"/>
      <c r="AI171" s="401">
        <v>459715</v>
      </c>
      <c r="AJ171" s="329">
        <v>0</v>
      </c>
      <c r="AK171" s="329">
        <v>0</v>
      </c>
      <c r="AL171" s="329">
        <v>31</v>
      </c>
      <c r="AM171" s="329">
        <v>31</v>
      </c>
      <c r="AN171" s="329">
        <v>25</v>
      </c>
      <c r="AO171" s="329">
        <v>248647</v>
      </c>
    </row>
    <row r="172" spans="1:41" ht="15.75">
      <c r="A172" s="333">
        <v>166</v>
      </c>
      <c r="B172" s="169" t="s">
        <v>105</v>
      </c>
      <c r="C172" s="401">
        <v>460424</v>
      </c>
      <c r="D172" s="329">
        <v>0</v>
      </c>
      <c r="E172" s="329">
        <v>208</v>
      </c>
      <c r="F172" s="329">
        <v>0</v>
      </c>
      <c r="G172" s="329">
        <v>0</v>
      </c>
      <c r="H172" s="329">
        <v>208</v>
      </c>
      <c r="I172" s="329">
        <v>0</v>
      </c>
      <c r="J172" s="329">
        <v>35</v>
      </c>
      <c r="K172" s="333">
        <v>35</v>
      </c>
      <c r="L172" s="333"/>
      <c r="M172" s="165"/>
      <c r="N172" s="401">
        <v>460424</v>
      </c>
      <c r="O172" s="329">
        <v>0</v>
      </c>
      <c r="P172" s="329">
        <v>0</v>
      </c>
      <c r="Q172" s="329">
        <v>208</v>
      </c>
      <c r="R172" s="333">
        <v>208</v>
      </c>
      <c r="S172" s="333">
        <v>7946444</v>
      </c>
      <c r="T172" s="3">
        <v>2.15</v>
      </c>
      <c r="U172" s="165">
        <f>VLOOKUP(N172,'[2]154'!$C$9:$T$554,18,0)</f>
        <v>208</v>
      </c>
      <c r="V172" s="401">
        <v>460424</v>
      </c>
      <c r="W172" s="406">
        <v>35</v>
      </c>
      <c r="X172" s="405">
        <v>47870.171428571426</v>
      </c>
      <c r="Y172" s="406">
        <v>1675456</v>
      </c>
      <c r="Z172" s="3"/>
      <c r="AA172" s="401">
        <v>460424</v>
      </c>
      <c r="AB172" s="329">
        <v>0</v>
      </c>
      <c r="AC172" s="329">
        <v>0</v>
      </c>
      <c r="AD172" s="329">
        <v>208</v>
      </c>
      <c r="AE172" s="329">
        <v>208</v>
      </c>
      <c r="AF172" s="329">
        <v>166</v>
      </c>
      <c r="AG172" s="329">
        <v>3138446</v>
      </c>
      <c r="AH172" s="3"/>
      <c r="AI172" s="401">
        <v>460424</v>
      </c>
      <c r="AJ172" s="329">
        <v>0</v>
      </c>
      <c r="AK172" s="329">
        <v>0</v>
      </c>
      <c r="AL172" s="329">
        <v>208</v>
      </c>
      <c r="AM172" s="329">
        <v>208</v>
      </c>
      <c r="AN172" s="329">
        <v>166</v>
      </c>
      <c r="AO172" s="329">
        <v>4807998</v>
      </c>
    </row>
    <row r="173" spans="1:41" ht="15.75">
      <c r="A173" s="333">
        <v>167</v>
      </c>
      <c r="B173" s="169" t="s">
        <v>105</v>
      </c>
      <c r="C173" s="401">
        <v>460886</v>
      </c>
      <c r="D173" s="329">
        <v>0</v>
      </c>
      <c r="E173" s="329">
        <v>30</v>
      </c>
      <c r="F173" s="329">
        <v>0</v>
      </c>
      <c r="G173" s="329">
        <v>0</v>
      </c>
      <c r="H173" s="329">
        <v>30</v>
      </c>
      <c r="I173" s="329">
        <v>0</v>
      </c>
      <c r="J173" s="329">
        <v>0</v>
      </c>
      <c r="K173" s="333">
        <v>0</v>
      </c>
      <c r="L173" s="333"/>
      <c r="M173" s="208"/>
      <c r="N173" s="401">
        <v>460886</v>
      </c>
      <c r="O173" s="329">
        <v>0</v>
      </c>
      <c r="P173" s="329">
        <v>0</v>
      </c>
      <c r="Q173" s="329">
        <v>30</v>
      </c>
      <c r="R173" s="333">
        <v>30</v>
      </c>
      <c r="S173" s="333">
        <v>893771</v>
      </c>
      <c r="T173" s="3">
        <v>1.6</v>
      </c>
      <c r="U173" s="165">
        <f>VLOOKUP(N173,'[2]154'!$C$9:$T$554,18,0)</f>
        <v>30</v>
      </c>
      <c r="V173" s="401">
        <v>460886</v>
      </c>
      <c r="W173" s="406">
        <v>0</v>
      </c>
      <c r="X173" s="405">
        <v>0</v>
      </c>
      <c r="Y173" s="406">
        <v>0</v>
      </c>
      <c r="Z173" s="3"/>
      <c r="AA173" s="401">
        <v>460886</v>
      </c>
      <c r="AB173" s="329">
        <v>0</v>
      </c>
      <c r="AC173" s="329">
        <v>0</v>
      </c>
      <c r="AD173" s="329">
        <v>30</v>
      </c>
      <c r="AE173" s="329">
        <v>30</v>
      </c>
      <c r="AF173" s="329">
        <v>24</v>
      </c>
      <c r="AG173" s="329">
        <v>372074</v>
      </c>
      <c r="AH173" s="3"/>
      <c r="AI173" s="401">
        <v>460886</v>
      </c>
      <c r="AJ173" s="329">
        <v>0</v>
      </c>
      <c r="AK173" s="329">
        <v>0</v>
      </c>
      <c r="AL173" s="329">
        <v>30</v>
      </c>
      <c r="AM173" s="329">
        <v>30</v>
      </c>
      <c r="AN173" s="329">
        <v>24</v>
      </c>
      <c r="AO173" s="329">
        <v>521697</v>
      </c>
    </row>
    <row r="174" spans="1:41" ht="15.75">
      <c r="A174" s="333">
        <v>168</v>
      </c>
      <c r="B174" s="3" t="s">
        <v>101</v>
      </c>
      <c r="C174" s="401">
        <v>100014612</v>
      </c>
      <c r="D174" s="329">
        <v>0</v>
      </c>
      <c r="E174" s="329">
        <v>223</v>
      </c>
      <c r="F174" s="329">
        <v>0</v>
      </c>
      <c r="G174" s="329">
        <v>0</v>
      </c>
      <c r="H174" s="329">
        <v>223</v>
      </c>
      <c r="I174" s="329">
        <v>0</v>
      </c>
      <c r="J174" s="329">
        <v>47</v>
      </c>
      <c r="K174" s="333">
        <v>47</v>
      </c>
      <c r="L174" s="333"/>
      <c r="M174" s="165"/>
      <c r="N174" s="401">
        <v>100014612</v>
      </c>
      <c r="O174" s="329">
        <v>0</v>
      </c>
      <c r="P174" s="329">
        <v>0</v>
      </c>
      <c r="Q174" s="329">
        <v>223</v>
      </c>
      <c r="R174" s="333">
        <v>223</v>
      </c>
      <c r="S174" s="333">
        <v>4289412</v>
      </c>
      <c r="T174" s="3">
        <v>2.5499999999999998</v>
      </c>
      <c r="U174" s="165">
        <f>VLOOKUP(N174,'[2]154'!$C$9:$T$554,18,0)</f>
        <v>223</v>
      </c>
      <c r="V174" s="401">
        <v>100014612</v>
      </c>
      <c r="W174" s="406">
        <v>47</v>
      </c>
      <c r="X174" s="405">
        <v>56919.234042553195</v>
      </c>
      <c r="Y174" s="406">
        <v>2675204</v>
      </c>
      <c r="Z174" s="3"/>
      <c r="AA174" s="401">
        <v>100014612</v>
      </c>
      <c r="AB174" s="329">
        <v>0</v>
      </c>
      <c r="AC174" s="329">
        <v>0</v>
      </c>
      <c r="AD174" s="329">
        <v>223</v>
      </c>
      <c r="AE174" s="329">
        <v>223</v>
      </c>
      <c r="AF174" s="329">
        <v>178</v>
      </c>
      <c r="AG174" s="329">
        <v>1765302</v>
      </c>
      <c r="AH174" s="3"/>
      <c r="AI174" s="401">
        <v>100014612</v>
      </c>
      <c r="AJ174" s="329">
        <v>0</v>
      </c>
      <c r="AK174" s="329">
        <v>0</v>
      </c>
      <c r="AL174" s="329">
        <v>223</v>
      </c>
      <c r="AM174" s="329">
        <v>223</v>
      </c>
      <c r="AN174" s="329">
        <v>178</v>
      </c>
      <c r="AO174" s="329">
        <v>2524110</v>
      </c>
    </row>
    <row r="175" spans="1:41" ht="15.75">
      <c r="A175" s="333">
        <v>169</v>
      </c>
      <c r="B175" s="3" t="s">
        <v>101</v>
      </c>
      <c r="C175" s="401">
        <v>100014882</v>
      </c>
      <c r="D175" s="329">
        <v>0</v>
      </c>
      <c r="E175" s="329">
        <v>25</v>
      </c>
      <c r="F175" s="329">
        <v>0</v>
      </c>
      <c r="G175" s="329">
        <v>0</v>
      </c>
      <c r="H175" s="329">
        <v>25</v>
      </c>
      <c r="I175" s="329">
        <v>0</v>
      </c>
      <c r="J175" s="329">
        <v>21</v>
      </c>
      <c r="K175" s="333">
        <v>21</v>
      </c>
      <c r="L175" s="333"/>
      <c r="M175" s="165"/>
      <c r="N175" s="401">
        <v>100014882</v>
      </c>
      <c r="O175" s="329">
        <v>0</v>
      </c>
      <c r="P175" s="329">
        <v>0</v>
      </c>
      <c r="Q175" s="329">
        <v>25</v>
      </c>
      <c r="R175" s="333">
        <v>25</v>
      </c>
      <c r="S175" s="333">
        <v>1647624</v>
      </c>
      <c r="T175" s="3">
        <v>3.7</v>
      </c>
      <c r="U175" s="165">
        <f>VLOOKUP(N175,'[2]154'!$C$9:$T$554,18,0)</f>
        <v>25</v>
      </c>
      <c r="V175" s="401">
        <v>100014882</v>
      </c>
      <c r="W175" s="406">
        <v>21</v>
      </c>
      <c r="X175" s="405">
        <v>82381.190476190473</v>
      </c>
      <c r="Y175" s="406">
        <v>1730005</v>
      </c>
      <c r="Z175" s="3"/>
      <c r="AA175" s="401">
        <v>100014882</v>
      </c>
      <c r="AB175" s="329">
        <v>0</v>
      </c>
      <c r="AC175" s="329">
        <v>0</v>
      </c>
      <c r="AD175" s="329">
        <v>25</v>
      </c>
      <c r="AE175" s="329">
        <v>25</v>
      </c>
      <c r="AF175" s="329">
        <v>20</v>
      </c>
      <c r="AG175" s="329">
        <v>650729</v>
      </c>
      <c r="AH175" s="3"/>
      <c r="AI175" s="401">
        <v>100014882</v>
      </c>
      <c r="AJ175" s="329">
        <v>0</v>
      </c>
      <c r="AK175" s="329">
        <v>0</v>
      </c>
      <c r="AL175" s="329">
        <v>25</v>
      </c>
      <c r="AM175" s="329">
        <v>25</v>
      </c>
      <c r="AN175" s="329">
        <v>20</v>
      </c>
      <c r="AO175" s="329">
        <v>996895</v>
      </c>
    </row>
    <row r="176" spans="1:41" ht="15.75">
      <c r="A176" s="333">
        <v>170</v>
      </c>
      <c r="B176" s="3" t="s">
        <v>107</v>
      </c>
      <c r="C176" s="398" t="s">
        <v>600</v>
      </c>
      <c r="D176" s="329">
        <v>0</v>
      </c>
      <c r="E176" s="329">
        <v>362</v>
      </c>
      <c r="F176" s="329">
        <v>0</v>
      </c>
      <c r="G176" s="329">
        <v>0</v>
      </c>
      <c r="H176" s="329">
        <v>362</v>
      </c>
      <c r="I176" s="329">
        <v>0</v>
      </c>
      <c r="J176" s="329">
        <v>227</v>
      </c>
      <c r="K176" s="333">
        <v>227</v>
      </c>
      <c r="L176" s="333"/>
      <c r="M176" s="208"/>
      <c r="N176" s="398" t="s">
        <v>600</v>
      </c>
      <c r="O176" s="329">
        <v>0</v>
      </c>
      <c r="P176" s="329">
        <v>0</v>
      </c>
      <c r="Q176" s="329">
        <v>362</v>
      </c>
      <c r="R176" s="333">
        <v>362</v>
      </c>
      <c r="S176" s="333">
        <v>4003608</v>
      </c>
      <c r="T176" s="3">
        <v>1.95</v>
      </c>
      <c r="U176" s="165">
        <f>VLOOKUP(N176,'[2]154'!$C$9:$T$554,18,0)</f>
        <v>362</v>
      </c>
      <c r="V176" s="398" t="s">
        <v>600</v>
      </c>
      <c r="W176" s="406">
        <v>227</v>
      </c>
      <c r="X176" s="405">
        <v>11059.69603524229</v>
      </c>
      <c r="Y176" s="406">
        <v>2510551</v>
      </c>
      <c r="Z176" s="3"/>
      <c r="AA176" s="398" t="s">
        <v>600</v>
      </c>
      <c r="AB176" s="329">
        <v>0</v>
      </c>
      <c r="AC176" s="329">
        <v>0</v>
      </c>
      <c r="AD176" s="329">
        <v>362</v>
      </c>
      <c r="AE176" s="329">
        <v>362</v>
      </c>
      <c r="AF176" s="329">
        <v>290</v>
      </c>
      <c r="AG176" s="329">
        <v>1581224</v>
      </c>
      <c r="AH176" s="3"/>
      <c r="AI176" s="398" t="s">
        <v>600</v>
      </c>
      <c r="AJ176" s="329">
        <v>0</v>
      </c>
      <c r="AK176" s="329">
        <v>0</v>
      </c>
      <c r="AL176" s="329">
        <v>362</v>
      </c>
      <c r="AM176" s="329">
        <v>362</v>
      </c>
      <c r="AN176" s="329">
        <v>290</v>
      </c>
      <c r="AO176" s="329">
        <v>2422384</v>
      </c>
    </row>
    <row r="177" spans="1:41" ht="15.75">
      <c r="A177" s="333">
        <v>171</v>
      </c>
      <c r="B177" s="3" t="s">
        <v>107</v>
      </c>
      <c r="C177" s="398" t="s">
        <v>235</v>
      </c>
      <c r="D177" s="329">
        <v>0</v>
      </c>
      <c r="E177" s="329">
        <v>213</v>
      </c>
      <c r="F177" s="329">
        <v>0</v>
      </c>
      <c r="G177" s="329">
        <v>0</v>
      </c>
      <c r="H177" s="329">
        <v>213</v>
      </c>
      <c r="I177" s="329">
        <v>0</v>
      </c>
      <c r="J177" s="329">
        <v>158</v>
      </c>
      <c r="K177" s="333">
        <v>158</v>
      </c>
      <c r="L177" s="333"/>
      <c r="M177" s="165"/>
      <c r="N177" s="398" t="s">
        <v>235</v>
      </c>
      <c r="O177" s="329">
        <v>0</v>
      </c>
      <c r="P177" s="329">
        <v>0</v>
      </c>
      <c r="Q177" s="329">
        <v>213</v>
      </c>
      <c r="R177" s="333">
        <v>213</v>
      </c>
      <c r="S177" s="333">
        <v>2119016</v>
      </c>
      <c r="T177" s="3">
        <v>2.1</v>
      </c>
      <c r="U177" s="165">
        <f>VLOOKUP(N177,'[2]154'!$C$9:$T$554,18,0)</f>
        <v>213</v>
      </c>
      <c r="V177" s="398" t="s">
        <v>235</v>
      </c>
      <c r="W177" s="406">
        <v>158</v>
      </c>
      <c r="X177" s="405">
        <v>49279.455696202531</v>
      </c>
      <c r="Y177" s="406">
        <v>7786154</v>
      </c>
      <c r="Z177" s="3"/>
      <c r="AA177" s="398" t="s">
        <v>235</v>
      </c>
      <c r="AB177" s="329">
        <v>0</v>
      </c>
      <c r="AC177" s="329">
        <v>0</v>
      </c>
      <c r="AD177" s="329">
        <v>213</v>
      </c>
      <c r="AE177" s="329">
        <v>213</v>
      </c>
      <c r="AF177" s="329">
        <v>170</v>
      </c>
      <c r="AG177" s="329">
        <v>887367</v>
      </c>
      <c r="AH177" s="3"/>
      <c r="AI177" s="398" t="s">
        <v>235</v>
      </c>
      <c r="AJ177" s="329">
        <v>0</v>
      </c>
      <c r="AK177" s="329">
        <v>0</v>
      </c>
      <c r="AL177" s="329">
        <v>213</v>
      </c>
      <c r="AM177" s="329">
        <v>213</v>
      </c>
      <c r="AN177" s="329">
        <v>170</v>
      </c>
      <c r="AO177" s="329">
        <v>1231649</v>
      </c>
    </row>
    <row r="178" spans="1:41" ht="15.75">
      <c r="A178" s="333">
        <v>172</v>
      </c>
      <c r="B178" s="3" t="s">
        <v>161</v>
      </c>
      <c r="C178" s="401">
        <v>100008562</v>
      </c>
      <c r="D178" s="329">
        <v>0</v>
      </c>
      <c r="E178" s="329">
        <v>65</v>
      </c>
      <c r="F178" s="329">
        <v>0</v>
      </c>
      <c r="G178" s="329">
        <v>0</v>
      </c>
      <c r="H178" s="329">
        <v>65</v>
      </c>
      <c r="I178" s="329">
        <v>0</v>
      </c>
      <c r="J178" s="329">
        <v>0</v>
      </c>
      <c r="K178" s="333">
        <v>0</v>
      </c>
      <c r="L178" s="333"/>
      <c r="M178" s="165"/>
      <c r="N178" s="401">
        <v>100008562</v>
      </c>
      <c r="O178" s="329">
        <v>0</v>
      </c>
      <c r="P178" s="329">
        <v>0</v>
      </c>
      <c r="Q178" s="329">
        <v>65</v>
      </c>
      <c r="R178" s="333">
        <v>65</v>
      </c>
      <c r="S178" s="333">
        <v>543046</v>
      </c>
      <c r="T178" s="3">
        <v>1.1000000000000001</v>
      </c>
      <c r="U178" s="165">
        <f>VLOOKUP(N178,'[2]154'!$C$9:$T$554,18,0)</f>
        <v>65</v>
      </c>
      <c r="V178" s="401">
        <v>100008562</v>
      </c>
      <c r="W178" s="406">
        <v>0</v>
      </c>
      <c r="X178" s="405">
        <v>0</v>
      </c>
      <c r="Y178" s="406">
        <v>0</v>
      </c>
      <c r="Z178" s="3"/>
      <c r="AA178" s="401">
        <v>100008562</v>
      </c>
      <c r="AB178" s="329">
        <v>0</v>
      </c>
      <c r="AC178" s="329">
        <v>0</v>
      </c>
      <c r="AD178" s="329">
        <v>65</v>
      </c>
      <c r="AE178" s="329">
        <v>65</v>
      </c>
      <c r="AF178" s="329">
        <v>52</v>
      </c>
      <c r="AG178" s="329">
        <v>228249</v>
      </c>
      <c r="AH178" s="3"/>
      <c r="AI178" s="401">
        <v>100008562</v>
      </c>
      <c r="AJ178" s="329">
        <v>0</v>
      </c>
      <c r="AK178" s="329">
        <v>0</v>
      </c>
      <c r="AL178" s="329">
        <v>65</v>
      </c>
      <c r="AM178" s="329">
        <v>65</v>
      </c>
      <c r="AN178" s="329">
        <v>52</v>
      </c>
      <c r="AO178" s="329">
        <v>314797</v>
      </c>
    </row>
    <row r="179" spans="1:41" ht="15.75">
      <c r="A179" s="333">
        <v>173</v>
      </c>
      <c r="B179" s="3" t="s">
        <v>161</v>
      </c>
      <c r="C179" s="401">
        <v>100008572</v>
      </c>
      <c r="D179" s="329">
        <v>0</v>
      </c>
      <c r="E179" s="329">
        <v>171</v>
      </c>
      <c r="F179" s="329">
        <v>0</v>
      </c>
      <c r="G179" s="329">
        <v>0</v>
      </c>
      <c r="H179" s="329">
        <v>171</v>
      </c>
      <c r="I179" s="329">
        <v>0</v>
      </c>
      <c r="J179" s="329">
        <v>0</v>
      </c>
      <c r="K179" s="333">
        <v>0</v>
      </c>
      <c r="L179" s="333"/>
      <c r="M179" s="208"/>
      <c r="N179" s="401">
        <v>100008572</v>
      </c>
      <c r="O179" s="329">
        <v>0</v>
      </c>
      <c r="P179" s="329">
        <v>0</v>
      </c>
      <c r="Q179" s="329">
        <v>171</v>
      </c>
      <c r="R179" s="333">
        <v>171</v>
      </c>
      <c r="S179" s="333">
        <v>1666596</v>
      </c>
      <c r="T179" s="3">
        <v>1.1000000000000001</v>
      </c>
      <c r="U179" s="165">
        <f>VLOOKUP(N179,'[2]154'!$C$9:$T$554,18,0)</f>
        <v>171</v>
      </c>
      <c r="V179" s="401">
        <v>100008572</v>
      </c>
      <c r="W179" s="406">
        <v>0</v>
      </c>
      <c r="X179" s="405">
        <v>0</v>
      </c>
      <c r="Y179" s="406">
        <v>0</v>
      </c>
      <c r="Z179" s="3"/>
      <c r="AA179" s="401">
        <v>100008572</v>
      </c>
      <c r="AB179" s="329">
        <v>0</v>
      </c>
      <c r="AC179" s="329">
        <v>0</v>
      </c>
      <c r="AD179" s="329">
        <v>171</v>
      </c>
      <c r="AE179" s="329">
        <v>171</v>
      </c>
      <c r="AF179" s="329">
        <v>137</v>
      </c>
      <c r="AG179" s="329">
        <v>700491</v>
      </c>
      <c r="AH179" s="3"/>
      <c r="AI179" s="401">
        <v>100008572</v>
      </c>
      <c r="AJ179" s="329">
        <v>0</v>
      </c>
      <c r="AK179" s="329">
        <v>0</v>
      </c>
      <c r="AL179" s="329">
        <v>171</v>
      </c>
      <c r="AM179" s="329">
        <v>171</v>
      </c>
      <c r="AN179" s="329">
        <v>137</v>
      </c>
      <c r="AO179" s="329">
        <v>966105</v>
      </c>
    </row>
    <row r="180" spans="1:41" ht="15.75">
      <c r="A180" s="333">
        <v>174</v>
      </c>
      <c r="B180" s="3" t="s">
        <v>161</v>
      </c>
      <c r="C180" s="401">
        <v>100008587</v>
      </c>
      <c r="D180" s="329">
        <v>0</v>
      </c>
      <c r="E180" s="329">
        <v>121</v>
      </c>
      <c r="F180" s="329">
        <v>0</v>
      </c>
      <c r="G180" s="329">
        <v>0</v>
      </c>
      <c r="H180" s="329">
        <v>121</v>
      </c>
      <c r="I180" s="329">
        <v>0</v>
      </c>
      <c r="J180" s="329">
        <v>66</v>
      </c>
      <c r="K180" s="333">
        <v>66</v>
      </c>
      <c r="L180" s="333"/>
      <c r="M180" s="165"/>
      <c r="N180" s="401">
        <v>100008587</v>
      </c>
      <c r="O180" s="329">
        <v>0</v>
      </c>
      <c r="P180" s="329">
        <v>0</v>
      </c>
      <c r="Q180" s="329">
        <v>121</v>
      </c>
      <c r="R180" s="333">
        <v>121</v>
      </c>
      <c r="S180" s="333">
        <v>2255798</v>
      </c>
      <c r="T180" s="3">
        <v>1.9</v>
      </c>
      <c r="U180" s="165">
        <f>VLOOKUP(N180,'[2]154'!$C$9:$T$554,18,0)</f>
        <v>121</v>
      </c>
      <c r="V180" s="401">
        <v>100008587</v>
      </c>
      <c r="W180" s="406">
        <v>66</v>
      </c>
      <c r="X180" s="405">
        <v>35725.42424242424</v>
      </c>
      <c r="Y180" s="406">
        <v>2357878</v>
      </c>
      <c r="Z180" s="3"/>
      <c r="AA180" s="401">
        <v>100008587</v>
      </c>
      <c r="AB180" s="329">
        <v>0</v>
      </c>
      <c r="AC180" s="329">
        <v>0</v>
      </c>
      <c r="AD180" s="329">
        <v>121</v>
      </c>
      <c r="AE180" s="329">
        <v>121</v>
      </c>
      <c r="AF180" s="329">
        <v>97</v>
      </c>
      <c r="AG180" s="329">
        <v>948140</v>
      </c>
      <c r="AH180" s="3"/>
      <c r="AI180" s="401">
        <v>100008587</v>
      </c>
      <c r="AJ180" s="329">
        <v>0</v>
      </c>
      <c r="AK180" s="329">
        <v>0</v>
      </c>
      <c r="AL180" s="329">
        <v>121</v>
      </c>
      <c r="AM180" s="329">
        <v>121</v>
      </c>
      <c r="AN180" s="329">
        <v>97</v>
      </c>
      <c r="AO180" s="329">
        <v>1307658</v>
      </c>
    </row>
    <row r="181" spans="1:41" ht="15.75">
      <c r="A181" s="333">
        <v>175</v>
      </c>
      <c r="B181" s="3" t="s">
        <v>161</v>
      </c>
      <c r="C181" s="401">
        <v>100008588</v>
      </c>
      <c r="D181" s="329">
        <v>0</v>
      </c>
      <c r="E181" s="329">
        <v>62</v>
      </c>
      <c r="F181" s="329">
        <v>0</v>
      </c>
      <c r="G181" s="329">
        <v>0</v>
      </c>
      <c r="H181" s="329">
        <v>62</v>
      </c>
      <c r="I181" s="329">
        <v>0</v>
      </c>
      <c r="J181" s="329">
        <v>58</v>
      </c>
      <c r="K181" s="333">
        <v>58</v>
      </c>
      <c r="L181" s="333"/>
      <c r="M181" s="165"/>
      <c r="N181" s="401">
        <v>100008588</v>
      </c>
      <c r="O181" s="329">
        <v>0</v>
      </c>
      <c r="P181" s="329">
        <v>0</v>
      </c>
      <c r="Q181" s="329">
        <v>62</v>
      </c>
      <c r="R181" s="333">
        <v>62</v>
      </c>
      <c r="S181" s="333">
        <v>547471</v>
      </c>
      <c r="T181" s="3">
        <v>1.9</v>
      </c>
      <c r="U181" s="165">
        <f>VLOOKUP(N181,'[2]154'!$C$9:$T$554,18,0)</f>
        <v>62</v>
      </c>
      <c r="V181" s="401">
        <v>100008588</v>
      </c>
      <c r="W181" s="406">
        <v>58</v>
      </c>
      <c r="X181" s="405">
        <v>42694.086206896551</v>
      </c>
      <c r="Y181" s="406">
        <v>2476257</v>
      </c>
      <c r="Z181" s="3"/>
      <c r="AA181" s="401">
        <v>100008588</v>
      </c>
      <c r="AB181" s="329">
        <v>0</v>
      </c>
      <c r="AC181" s="329">
        <v>0</v>
      </c>
      <c r="AD181" s="329">
        <v>62</v>
      </c>
      <c r="AE181" s="329">
        <v>62</v>
      </c>
      <c r="AF181" s="329">
        <v>50</v>
      </c>
      <c r="AG181" s="329">
        <v>230109</v>
      </c>
      <c r="AH181" s="3"/>
      <c r="AI181" s="401">
        <v>100008588</v>
      </c>
      <c r="AJ181" s="329">
        <v>0</v>
      </c>
      <c r="AK181" s="329">
        <v>0</v>
      </c>
      <c r="AL181" s="329">
        <v>62</v>
      </c>
      <c r="AM181" s="329">
        <v>62</v>
      </c>
      <c r="AN181" s="329">
        <v>50</v>
      </c>
      <c r="AO181" s="329">
        <v>317362</v>
      </c>
    </row>
    <row r="182" spans="1:41" ht="15.75">
      <c r="A182" s="333">
        <v>176</v>
      </c>
      <c r="B182" s="3" t="s">
        <v>161</v>
      </c>
      <c r="C182" s="401">
        <v>100008624</v>
      </c>
      <c r="D182" s="329">
        <v>0</v>
      </c>
      <c r="E182" s="329">
        <v>397</v>
      </c>
      <c r="F182" s="329">
        <v>0</v>
      </c>
      <c r="G182" s="329">
        <v>0</v>
      </c>
      <c r="H182" s="329">
        <v>397</v>
      </c>
      <c r="I182" s="329">
        <v>0</v>
      </c>
      <c r="J182" s="329">
        <v>167</v>
      </c>
      <c r="K182" s="333">
        <v>167</v>
      </c>
      <c r="L182" s="333"/>
      <c r="M182" s="208"/>
      <c r="N182" s="401">
        <v>100008624</v>
      </c>
      <c r="O182" s="329">
        <v>0</v>
      </c>
      <c r="P182" s="329">
        <v>0</v>
      </c>
      <c r="Q182" s="329">
        <v>397</v>
      </c>
      <c r="R182" s="333">
        <v>397</v>
      </c>
      <c r="S182" s="333">
        <v>13802106</v>
      </c>
      <c r="T182" s="3">
        <v>1.85</v>
      </c>
      <c r="U182" s="165">
        <f>VLOOKUP(N182,'[2]154'!$C$9:$T$554,18,0)</f>
        <v>397</v>
      </c>
      <c r="V182" s="401">
        <v>100008624</v>
      </c>
      <c r="W182" s="406">
        <v>167</v>
      </c>
      <c r="X182" s="405">
        <v>43149.071856287424</v>
      </c>
      <c r="Y182" s="406">
        <v>7205895</v>
      </c>
      <c r="Z182" s="3"/>
      <c r="AA182" s="401">
        <v>100008624</v>
      </c>
      <c r="AB182" s="329">
        <v>0</v>
      </c>
      <c r="AC182" s="329">
        <v>0</v>
      </c>
      <c r="AD182" s="329">
        <v>397</v>
      </c>
      <c r="AE182" s="329">
        <v>397</v>
      </c>
      <c r="AF182" s="329">
        <v>318</v>
      </c>
      <c r="AG182" s="329">
        <v>5801197</v>
      </c>
      <c r="AH182" s="3"/>
      <c r="AI182" s="401">
        <v>100008624</v>
      </c>
      <c r="AJ182" s="329">
        <v>0</v>
      </c>
      <c r="AK182" s="329">
        <v>0</v>
      </c>
      <c r="AL182" s="329">
        <v>397</v>
      </c>
      <c r="AM182" s="329">
        <v>397</v>
      </c>
      <c r="AN182" s="329">
        <v>318</v>
      </c>
      <c r="AO182" s="329">
        <v>8000909</v>
      </c>
    </row>
    <row r="183" spans="1:41" ht="15.75">
      <c r="A183" s="333">
        <v>177</v>
      </c>
      <c r="B183" s="3" t="s">
        <v>161</v>
      </c>
      <c r="C183" s="401">
        <v>100008652</v>
      </c>
      <c r="D183" s="329">
        <v>0</v>
      </c>
      <c r="E183" s="329">
        <v>145</v>
      </c>
      <c r="F183" s="329">
        <v>0</v>
      </c>
      <c r="G183" s="329">
        <v>0</v>
      </c>
      <c r="H183" s="329">
        <v>145</v>
      </c>
      <c r="I183" s="329">
        <v>0</v>
      </c>
      <c r="J183" s="329">
        <v>53</v>
      </c>
      <c r="K183" s="333">
        <v>53</v>
      </c>
      <c r="L183" s="333"/>
      <c r="M183" s="165"/>
      <c r="N183" s="401">
        <v>100008652</v>
      </c>
      <c r="O183" s="329">
        <v>0</v>
      </c>
      <c r="P183" s="329">
        <v>0</v>
      </c>
      <c r="Q183" s="329">
        <v>145</v>
      </c>
      <c r="R183" s="333">
        <v>145</v>
      </c>
      <c r="S183" s="333">
        <v>8125498</v>
      </c>
      <c r="T183" s="3">
        <v>4.8</v>
      </c>
      <c r="U183" s="165">
        <f>VLOOKUP(N183,'[2]154'!$C$9:$T$554,18,0)</f>
        <v>145</v>
      </c>
      <c r="V183" s="401">
        <v>100008652</v>
      </c>
      <c r="W183" s="406">
        <v>53</v>
      </c>
      <c r="X183" s="405">
        <v>83024.018867924533</v>
      </c>
      <c r="Y183" s="406">
        <v>4400273</v>
      </c>
      <c r="Z183" s="3"/>
      <c r="AA183" s="401">
        <v>100008652</v>
      </c>
      <c r="AB183" s="329">
        <v>0</v>
      </c>
      <c r="AC183" s="329">
        <v>0</v>
      </c>
      <c r="AD183" s="329">
        <v>145</v>
      </c>
      <c r="AE183" s="329">
        <v>145</v>
      </c>
      <c r="AF183" s="329">
        <v>116</v>
      </c>
      <c r="AG183" s="329">
        <v>3415248</v>
      </c>
      <c r="AH183" s="3"/>
      <c r="AI183" s="401">
        <v>100008652</v>
      </c>
      <c r="AJ183" s="329">
        <v>0</v>
      </c>
      <c r="AK183" s="329">
        <v>0</v>
      </c>
      <c r="AL183" s="329">
        <v>145</v>
      </c>
      <c r="AM183" s="329">
        <v>145</v>
      </c>
      <c r="AN183" s="329">
        <v>116</v>
      </c>
      <c r="AO183" s="329">
        <v>4710250</v>
      </c>
    </row>
    <row r="184" spans="1:41" ht="15.75">
      <c r="A184" s="333">
        <v>178</v>
      </c>
      <c r="B184" s="3" t="s">
        <v>161</v>
      </c>
      <c r="C184" s="401">
        <v>100008653</v>
      </c>
      <c r="D184" s="329">
        <v>0</v>
      </c>
      <c r="E184" s="329">
        <v>195</v>
      </c>
      <c r="F184" s="329">
        <v>23</v>
      </c>
      <c r="G184" s="329">
        <v>129</v>
      </c>
      <c r="H184" s="329">
        <v>43</v>
      </c>
      <c r="I184" s="329">
        <v>0</v>
      </c>
      <c r="J184" s="329">
        <v>30</v>
      </c>
      <c r="K184" s="333">
        <v>30</v>
      </c>
      <c r="L184" s="333"/>
      <c r="M184" s="165"/>
      <c r="N184" s="401">
        <v>100008653</v>
      </c>
      <c r="O184" s="329">
        <v>23</v>
      </c>
      <c r="P184" s="329">
        <v>129</v>
      </c>
      <c r="Q184" s="329">
        <v>43</v>
      </c>
      <c r="R184" s="333">
        <v>195</v>
      </c>
      <c r="S184" s="333">
        <v>3532303</v>
      </c>
      <c r="T184" s="3">
        <v>2.5</v>
      </c>
      <c r="U184" s="165">
        <f>VLOOKUP(N184,'[2]154'!$C$9:$T$554,18,0)</f>
        <v>195</v>
      </c>
      <c r="V184" s="401">
        <v>100008653</v>
      </c>
      <c r="W184" s="406">
        <v>30</v>
      </c>
      <c r="X184" s="405">
        <v>38332.433333333334</v>
      </c>
      <c r="Y184" s="406">
        <v>1149973</v>
      </c>
      <c r="Z184" s="3"/>
      <c r="AA184" s="401">
        <v>100008653</v>
      </c>
      <c r="AB184" s="329">
        <v>23</v>
      </c>
      <c r="AC184" s="329">
        <v>129</v>
      </c>
      <c r="AD184" s="329">
        <v>43</v>
      </c>
      <c r="AE184" s="329">
        <v>195</v>
      </c>
      <c r="AF184" s="329">
        <v>104</v>
      </c>
      <c r="AG184" s="329">
        <v>1484671</v>
      </c>
      <c r="AH184" s="3"/>
      <c r="AI184" s="401">
        <v>100008653</v>
      </c>
      <c r="AJ184" s="329">
        <v>23</v>
      </c>
      <c r="AK184" s="329">
        <v>129</v>
      </c>
      <c r="AL184" s="329">
        <v>43</v>
      </c>
      <c r="AM184" s="329">
        <v>195</v>
      </c>
      <c r="AN184" s="329">
        <v>104</v>
      </c>
      <c r="AO184" s="329">
        <v>2047632</v>
      </c>
    </row>
    <row r="185" spans="1:41" ht="15.75">
      <c r="A185" s="333">
        <v>179</v>
      </c>
      <c r="B185" s="3" t="s">
        <v>161</v>
      </c>
      <c r="C185" s="401">
        <v>100008702</v>
      </c>
      <c r="D185" s="329">
        <v>0</v>
      </c>
      <c r="E185" s="329">
        <v>200</v>
      </c>
      <c r="F185" s="329">
        <v>0</v>
      </c>
      <c r="G185" s="329">
        <v>0</v>
      </c>
      <c r="H185" s="329">
        <v>200</v>
      </c>
      <c r="I185" s="329">
        <v>0</v>
      </c>
      <c r="J185" s="329">
        <v>55</v>
      </c>
      <c r="K185" s="333">
        <v>55</v>
      </c>
      <c r="L185" s="333"/>
      <c r="M185" s="208"/>
      <c r="N185" s="401">
        <v>100008702</v>
      </c>
      <c r="O185" s="329">
        <v>0</v>
      </c>
      <c r="P185" s="329">
        <v>0</v>
      </c>
      <c r="Q185" s="329">
        <v>200</v>
      </c>
      <c r="R185" s="333">
        <v>200</v>
      </c>
      <c r="S185" s="333">
        <v>3422747</v>
      </c>
      <c r="T185" s="3">
        <v>1.8</v>
      </c>
      <c r="U185" s="165">
        <f>VLOOKUP(N185,'[2]154'!$C$9:$T$554,18,0)</f>
        <v>200</v>
      </c>
      <c r="V185" s="401">
        <v>100008702</v>
      </c>
      <c r="W185" s="406">
        <v>55</v>
      </c>
      <c r="X185" s="405">
        <v>42256.127272727274</v>
      </c>
      <c r="Y185" s="406">
        <v>2324087</v>
      </c>
      <c r="Z185" s="3"/>
      <c r="AA185" s="401">
        <v>100008702</v>
      </c>
      <c r="AB185" s="329">
        <v>0</v>
      </c>
      <c r="AC185" s="329">
        <v>0</v>
      </c>
      <c r="AD185" s="329">
        <v>200</v>
      </c>
      <c r="AE185" s="329">
        <v>200</v>
      </c>
      <c r="AF185" s="329">
        <v>160</v>
      </c>
      <c r="AG185" s="329">
        <v>1438623</v>
      </c>
      <c r="AH185" s="3"/>
      <c r="AI185" s="401">
        <v>100008702</v>
      </c>
      <c r="AJ185" s="329">
        <v>0</v>
      </c>
      <c r="AK185" s="329">
        <v>0</v>
      </c>
      <c r="AL185" s="329">
        <v>200</v>
      </c>
      <c r="AM185" s="329">
        <v>200</v>
      </c>
      <c r="AN185" s="329">
        <v>160</v>
      </c>
      <c r="AO185" s="329">
        <v>1984124</v>
      </c>
    </row>
    <row r="186" spans="1:41" ht="15.75">
      <c r="A186" s="333">
        <v>180</v>
      </c>
      <c r="B186" s="3" t="s">
        <v>161</v>
      </c>
      <c r="C186" s="401">
        <v>100008703</v>
      </c>
      <c r="D186" s="329">
        <v>0</v>
      </c>
      <c r="E186" s="329">
        <v>78</v>
      </c>
      <c r="F186" s="329">
        <v>0</v>
      </c>
      <c r="G186" s="329">
        <v>25</v>
      </c>
      <c r="H186" s="329">
        <v>53</v>
      </c>
      <c r="I186" s="329">
        <v>0</v>
      </c>
      <c r="J186" s="329">
        <v>43</v>
      </c>
      <c r="K186" s="333">
        <v>43</v>
      </c>
      <c r="L186" s="333"/>
      <c r="M186" s="165"/>
      <c r="N186" s="401">
        <v>100008703</v>
      </c>
      <c r="O186" s="329">
        <v>0</v>
      </c>
      <c r="P186" s="329">
        <v>25</v>
      </c>
      <c r="Q186" s="329">
        <v>53</v>
      </c>
      <c r="R186" s="333">
        <v>78</v>
      </c>
      <c r="S186" s="333">
        <v>1950919</v>
      </c>
      <c r="T186" s="3">
        <v>1.8</v>
      </c>
      <c r="U186" s="165">
        <f>VLOOKUP(N186,'[2]154'!$C$9:$T$554,18,0)</f>
        <v>78</v>
      </c>
      <c r="V186" s="401">
        <v>100008703</v>
      </c>
      <c r="W186" s="406">
        <v>43</v>
      </c>
      <c r="X186" s="405">
        <v>37618.860465116282</v>
      </c>
      <c r="Y186" s="406">
        <v>1617611</v>
      </c>
      <c r="Z186" s="3"/>
      <c r="AA186" s="401">
        <v>100008703</v>
      </c>
      <c r="AB186" s="329">
        <v>0</v>
      </c>
      <c r="AC186" s="329">
        <v>25</v>
      </c>
      <c r="AD186" s="329">
        <v>53</v>
      </c>
      <c r="AE186" s="329">
        <v>78</v>
      </c>
      <c r="AF186" s="329">
        <v>55</v>
      </c>
      <c r="AG186" s="329">
        <v>825890</v>
      </c>
      <c r="AH186" s="3"/>
      <c r="AI186" s="401">
        <v>100008703</v>
      </c>
      <c r="AJ186" s="329">
        <v>0</v>
      </c>
      <c r="AK186" s="329">
        <v>25</v>
      </c>
      <c r="AL186" s="329">
        <v>53</v>
      </c>
      <c r="AM186" s="329">
        <v>78</v>
      </c>
      <c r="AN186" s="329">
        <v>55</v>
      </c>
      <c r="AO186" s="329">
        <v>1125029</v>
      </c>
    </row>
    <row r="187" spans="1:41" ht="15.75">
      <c r="A187" s="333">
        <v>181</v>
      </c>
      <c r="B187" s="3" t="s">
        <v>161</v>
      </c>
      <c r="C187" s="401">
        <v>100008704</v>
      </c>
      <c r="D187" s="329">
        <v>8432</v>
      </c>
      <c r="E187" s="329">
        <v>102</v>
      </c>
      <c r="F187" s="329">
        <v>0</v>
      </c>
      <c r="G187" s="329">
        <v>78</v>
      </c>
      <c r="H187" s="329">
        <v>24</v>
      </c>
      <c r="I187" s="329">
        <v>0</v>
      </c>
      <c r="J187" s="329">
        <v>0</v>
      </c>
      <c r="K187" s="333">
        <v>0</v>
      </c>
      <c r="L187" s="333"/>
      <c r="M187" s="165"/>
      <c r="N187" s="401">
        <v>100008704</v>
      </c>
      <c r="O187" s="329">
        <v>0</v>
      </c>
      <c r="P187" s="329">
        <v>78</v>
      </c>
      <c r="Q187" s="329">
        <v>24</v>
      </c>
      <c r="R187" s="333">
        <v>102</v>
      </c>
      <c r="S187" s="333">
        <v>2663183</v>
      </c>
      <c r="T187" s="3">
        <v>2.2999999999999998</v>
      </c>
      <c r="U187" s="165">
        <f>VLOOKUP(N187,'[2]154'!$C$9:$T$554,18,0)</f>
        <v>102</v>
      </c>
      <c r="V187" s="401">
        <v>100008704</v>
      </c>
      <c r="W187" s="406">
        <v>0</v>
      </c>
      <c r="X187" s="405">
        <v>0</v>
      </c>
      <c r="Y187" s="406">
        <v>0</v>
      </c>
      <c r="Z187" s="3"/>
      <c r="AA187" s="401">
        <v>100008704</v>
      </c>
      <c r="AB187" s="329">
        <v>0</v>
      </c>
      <c r="AC187" s="329">
        <v>78</v>
      </c>
      <c r="AD187" s="329">
        <v>24</v>
      </c>
      <c r="AE187" s="329">
        <v>102</v>
      </c>
      <c r="AF187" s="329">
        <v>58</v>
      </c>
      <c r="AG187" s="329">
        <v>1126769</v>
      </c>
      <c r="AH187" s="3"/>
      <c r="AI187" s="401">
        <v>100008704</v>
      </c>
      <c r="AJ187" s="329">
        <v>0</v>
      </c>
      <c r="AK187" s="329">
        <v>78</v>
      </c>
      <c r="AL187" s="329">
        <v>24</v>
      </c>
      <c r="AM187" s="329">
        <v>102</v>
      </c>
      <c r="AN187" s="329">
        <v>58</v>
      </c>
      <c r="AO187" s="329">
        <v>1536414</v>
      </c>
    </row>
    <row r="188" spans="1:41" ht="15.75">
      <c r="A188" s="333">
        <v>182</v>
      </c>
      <c r="B188" s="3" t="s">
        <v>161</v>
      </c>
      <c r="C188" s="401">
        <v>100008706</v>
      </c>
      <c r="D188" s="329">
        <v>0</v>
      </c>
      <c r="E188" s="329">
        <v>220</v>
      </c>
      <c r="F188" s="329">
        <v>0</v>
      </c>
      <c r="G188" s="329">
        <v>0</v>
      </c>
      <c r="H188" s="329">
        <v>220</v>
      </c>
      <c r="I188" s="329">
        <v>0</v>
      </c>
      <c r="J188" s="329">
        <v>213</v>
      </c>
      <c r="K188" s="333">
        <v>213</v>
      </c>
      <c r="L188" s="333"/>
      <c r="M188" s="208"/>
      <c r="N188" s="401">
        <v>100008706</v>
      </c>
      <c r="O188" s="329">
        <v>0</v>
      </c>
      <c r="P188" s="329">
        <v>0</v>
      </c>
      <c r="Q188" s="329">
        <v>220</v>
      </c>
      <c r="R188" s="333">
        <v>220</v>
      </c>
      <c r="S188" s="333">
        <v>8878207</v>
      </c>
      <c r="T188" s="3">
        <v>2.15</v>
      </c>
      <c r="U188" s="165">
        <f>VLOOKUP(N188,'[2]154'!$C$9:$T$554,18,0)</f>
        <v>220</v>
      </c>
      <c r="V188" s="401">
        <v>100008706</v>
      </c>
      <c r="W188" s="406">
        <v>213</v>
      </c>
      <c r="X188" s="405">
        <v>47928.206572769952</v>
      </c>
      <c r="Y188" s="406">
        <v>10208708</v>
      </c>
      <c r="Z188" s="3"/>
      <c r="AA188" s="401">
        <v>100008706</v>
      </c>
      <c r="AB188" s="329">
        <v>0</v>
      </c>
      <c r="AC188" s="329">
        <v>0</v>
      </c>
      <c r="AD188" s="329">
        <v>220</v>
      </c>
      <c r="AE188" s="329">
        <v>220</v>
      </c>
      <c r="AF188" s="329">
        <v>176</v>
      </c>
      <c r="AG188" s="329">
        <v>3731621</v>
      </c>
      <c r="AH188" s="3"/>
      <c r="AI188" s="401">
        <v>100008706</v>
      </c>
      <c r="AJ188" s="329">
        <v>0</v>
      </c>
      <c r="AK188" s="329">
        <v>0</v>
      </c>
      <c r="AL188" s="329">
        <v>220</v>
      </c>
      <c r="AM188" s="329">
        <v>220</v>
      </c>
      <c r="AN188" s="329">
        <v>176</v>
      </c>
      <c r="AO188" s="329">
        <v>5146586</v>
      </c>
    </row>
    <row r="189" spans="1:41" ht="15.75">
      <c r="A189" s="333">
        <v>183</v>
      </c>
      <c r="B189" s="3" t="s">
        <v>161</v>
      </c>
      <c r="C189" s="401">
        <v>100008707</v>
      </c>
      <c r="D189" s="329">
        <v>0</v>
      </c>
      <c r="E189" s="329">
        <v>275</v>
      </c>
      <c r="F189" s="329">
        <v>0</v>
      </c>
      <c r="G189" s="329">
        <v>183</v>
      </c>
      <c r="H189" s="329">
        <v>92</v>
      </c>
      <c r="I189" s="329">
        <v>0</v>
      </c>
      <c r="J189" s="329">
        <v>13</v>
      </c>
      <c r="K189" s="333">
        <v>13</v>
      </c>
      <c r="L189" s="333"/>
      <c r="M189" s="165"/>
      <c r="N189" s="401">
        <v>100008707</v>
      </c>
      <c r="O189" s="329">
        <v>0</v>
      </c>
      <c r="P189" s="329">
        <v>183</v>
      </c>
      <c r="Q189" s="329">
        <v>92</v>
      </c>
      <c r="R189" s="333">
        <v>275</v>
      </c>
      <c r="S189" s="333">
        <v>9457889</v>
      </c>
      <c r="T189" s="3">
        <v>2.8</v>
      </c>
      <c r="U189" s="165">
        <f>VLOOKUP(N189,'[2]154'!$C$9:$T$554,18,0)</f>
        <v>275</v>
      </c>
      <c r="V189" s="401">
        <v>100008707</v>
      </c>
      <c r="W189" s="406">
        <v>13</v>
      </c>
      <c r="X189" s="405">
        <v>58374.538461538461</v>
      </c>
      <c r="Y189" s="406">
        <v>758869</v>
      </c>
      <c r="Z189" s="3"/>
      <c r="AA189" s="401">
        <v>100008707</v>
      </c>
      <c r="AB189" s="329">
        <v>0</v>
      </c>
      <c r="AC189" s="329">
        <v>183</v>
      </c>
      <c r="AD189" s="329">
        <v>92</v>
      </c>
      <c r="AE189" s="329">
        <v>275</v>
      </c>
      <c r="AF189" s="329">
        <v>165</v>
      </c>
      <c r="AG189" s="329">
        <v>3997192</v>
      </c>
      <c r="AH189" s="3"/>
      <c r="AI189" s="401">
        <v>100008707</v>
      </c>
      <c r="AJ189" s="329">
        <v>0</v>
      </c>
      <c r="AK189" s="329">
        <v>183</v>
      </c>
      <c r="AL189" s="329">
        <v>92</v>
      </c>
      <c r="AM189" s="329">
        <v>275</v>
      </c>
      <c r="AN189" s="329">
        <v>165</v>
      </c>
      <c r="AO189" s="329">
        <v>5460697</v>
      </c>
    </row>
    <row r="190" spans="1:41" ht="15.75">
      <c r="A190" s="333">
        <v>184</v>
      </c>
      <c r="B190" s="3" t="s">
        <v>161</v>
      </c>
      <c r="C190" s="401">
        <v>100008708</v>
      </c>
      <c r="D190" s="329">
        <v>0</v>
      </c>
      <c r="E190" s="329">
        <v>97</v>
      </c>
      <c r="F190" s="329">
        <v>0</v>
      </c>
      <c r="G190" s="329">
        <v>38</v>
      </c>
      <c r="H190" s="329">
        <v>59</v>
      </c>
      <c r="I190" s="329">
        <v>0</v>
      </c>
      <c r="J190" s="329">
        <v>0</v>
      </c>
      <c r="K190" s="333">
        <v>0</v>
      </c>
      <c r="L190" s="333"/>
      <c r="M190" s="165"/>
      <c r="N190" s="401">
        <v>100008708</v>
      </c>
      <c r="O190" s="329">
        <v>0</v>
      </c>
      <c r="P190" s="329">
        <v>38</v>
      </c>
      <c r="Q190" s="329">
        <v>59</v>
      </c>
      <c r="R190" s="333">
        <v>97</v>
      </c>
      <c r="S190" s="333">
        <v>2444028</v>
      </c>
      <c r="T190" s="3">
        <v>1.8</v>
      </c>
      <c r="U190" s="165">
        <f>VLOOKUP(N190,'[2]154'!$C$9:$T$554,18,0)</f>
        <v>97</v>
      </c>
      <c r="V190" s="401">
        <v>100008708</v>
      </c>
      <c r="W190" s="406">
        <v>0</v>
      </c>
      <c r="X190" s="405">
        <v>0</v>
      </c>
      <c r="Y190" s="406">
        <v>0</v>
      </c>
      <c r="Z190" s="3"/>
      <c r="AA190" s="401">
        <v>100008708</v>
      </c>
      <c r="AB190" s="329">
        <v>0</v>
      </c>
      <c r="AC190" s="329">
        <v>38</v>
      </c>
      <c r="AD190" s="329">
        <v>59</v>
      </c>
      <c r="AE190" s="329">
        <v>97</v>
      </c>
      <c r="AF190" s="329">
        <v>66</v>
      </c>
      <c r="AG190" s="329">
        <v>1032703</v>
      </c>
      <c r="AH190" s="3"/>
      <c r="AI190" s="401">
        <v>100008708</v>
      </c>
      <c r="AJ190" s="329">
        <v>0</v>
      </c>
      <c r="AK190" s="329">
        <v>38</v>
      </c>
      <c r="AL190" s="329">
        <v>59</v>
      </c>
      <c r="AM190" s="329">
        <v>97</v>
      </c>
      <c r="AN190" s="329">
        <v>66</v>
      </c>
      <c r="AO190" s="329">
        <v>1411325</v>
      </c>
    </row>
    <row r="191" spans="1:41" ht="15.75">
      <c r="A191" s="333">
        <v>185</v>
      </c>
      <c r="B191" s="3" t="s">
        <v>161</v>
      </c>
      <c r="C191" s="401">
        <v>100008709</v>
      </c>
      <c r="D191" s="329">
        <v>0</v>
      </c>
      <c r="E191" s="329">
        <v>221</v>
      </c>
      <c r="F191" s="329">
        <v>0</v>
      </c>
      <c r="G191" s="329">
        <v>27</v>
      </c>
      <c r="H191" s="329">
        <v>194</v>
      </c>
      <c r="I191" s="329">
        <v>0</v>
      </c>
      <c r="J191" s="329">
        <v>41</v>
      </c>
      <c r="K191" s="333">
        <v>41</v>
      </c>
      <c r="L191" s="333"/>
      <c r="M191" s="208"/>
      <c r="N191" s="401">
        <v>100008709</v>
      </c>
      <c r="O191" s="329">
        <v>0</v>
      </c>
      <c r="P191" s="329">
        <v>27</v>
      </c>
      <c r="Q191" s="329">
        <v>194</v>
      </c>
      <c r="R191" s="333">
        <v>221</v>
      </c>
      <c r="S191" s="333">
        <v>7908789</v>
      </c>
      <c r="T191" s="3">
        <v>2.2999999999999998</v>
      </c>
      <c r="U191" s="165">
        <f>VLOOKUP(N191,'[2]154'!$C$9:$T$554,18,0)</f>
        <v>221</v>
      </c>
      <c r="V191" s="401">
        <v>100008709</v>
      </c>
      <c r="W191" s="406">
        <v>41</v>
      </c>
      <c r="X191" s="405">
        <v>53391.390243902439</v>
      </c>
      <c r="Y191" s="406">
        <v>2189047</v>
      </c>
      <c r="Z191" s="3"/>
      <c r="AA191" s="401">
        <v>100008709</v>
      </c>
      <c r="AB191" s="329">
        <v>0</v>
      </c>
      <c r="AC191" s="329">
        <v>27</v>
      </c>
      <c r="AD191" s="329">
        <v>194</v>
      </c>
      <c r="AE191" s="329">
        <v>221</v>
      </c>
      <c r="AF191" s="329">
        <v>169</v>
      </c>
      <c r="AG191" s="329">
        <v>3343374</v>
      </c>
      <c r="AH191" s="3"/>
      <c r="AI191" s="401">
        <v>100008709</v>
      </c>
      <c r="AJ191" s="329">
        <v>0</v>
      </c>
      <c r="AK191" s="329">
        <v>27</v>
      </c>
      <c r="AL191" s="329">
        <v>194</v>
      </c>
      <c r="AM191" s="329">
        <v>221</v>
      </c>
      <c r="AN191" s="329">
        <v>169</v>
      </c>
      <c r="AO191" s="329">
        <v>4565415</v>
      </c>
    </row>
    <row r="192" spans="1:41" ht="15.75">
      <c r="A192" s="333">
        <v>186</v>
      </c>
      <c r="B192" s="3" t="s">
        <v>161</v>
      </c>
      <c r="C192" s="401">
        <v>100008714</v>
      </c>
      <c r="D192" s="329">
        <v>0</v>
      </c>
      <c r="E192" s="329">
        <v>611</v>
      </c>
      <c r="F192" s="329">
        <v>0</v>
      </c>
      <c r="G192" s="329">
        <v>100</v>
      </c>
      <c r="H192" s="329">
        <v>511</v>
      </c>
      <c r="I192" s="329">
        <v>0</v>
      </c>
      <c r="J192" s="329">
        <v>192</v>
      </c>
      <c r="K192" s="333">
        <v>192</v>
      </c>
      <c r="L192" s="333"/>
      <c r="M192" s="165"/>
      <c r="N192" s="401">
        <v>100008714</v>
      </c>
      <c r="O192" s="329">
        <v>0</v>
      </c>
      <c r="P192" s="329">
        <v>100</v>
      </c>
      <c r="Q192" s="329">
        <v>511</v>
      </c>
      <c r="R192" s="333">
        <v>611</v>
      </c>
      <c r="S192" s="333">
        <v>18955956</v>
      </c>
      <c r="T192" s="3">
        <v>2.0499999999999998</v>
      </c>
      <c r="U192" s="165">
        <f>VLOOKUP(N192,'[2]154'!$C$9:$T$554,18,0)</f>
        <v>611</v>
      </c>
      <c r="V192" s="401">
        <v>100008714</v>
      </c>
      <c r="W192" s="406">
        <v>192</v>
      </c>
      <c r="X192" s="405">
        <v>46312.067708333336</v>
      </c>
      <c r="Y192" s="406">
        <v>8891917</v>
      </c>
      <c r="Z192" s="3"/>
      <c r="AA192" s="401">
        <v>100008714</v>
      </c>
      <c r="AB192" s="329">
        <v>0</v>
      </c>
      <c r="AC192" s="329">
        <v>100</v>
      </c>
      <c r="AD192" s="329">
        <v>511</v>
      </c>
      <c r="AE192" s="329">
        <v>611</v>
      </c>
      <c r="AF192" s="329">
        <v>459</v>
      </c>
      <c r="AG192" s="329">
        <v>8016922</v>
      </c>
      <c r="AH192" s="3"/>
      <c r="AI192" s="401">
        <v>100008714</v>
      </c>
      <c r="AJ192" s="329">
        <v>0</v>
      </c>
      <c r="AK192" s="329">
        <v>100</v>
      </c>
      <c r="AL192" s="329">
        <v>511</v>
      </c>
      <c r="AM192" s="329">
        <v>611</v>
      </c>
      <c r="AN192" s="329">
        <v>459</v>
      </c>
      <c r="AO192" s="329">
        <v>10939034</v>
      </c>
    </row>
    <row r="193" spans="1:41" ht="15.75">
      <c r="A193" s="333">
        <v>187</v>
      </c>
      <c r="B193" s="3" t="s">
        <v>161</v>
      </c>
      <c r="C193" s="401">
        <v>100008716</v>
      </c>
      <c r="D193" s="329">
        <v>0</v>
      </c>
      <c r="E193" s="329">
        <v>78</v>
      </c>
      <c r="F193" s="329">
        <v>0</v>
      </c>
      <c r="G193" s="329">
        <v>23</v>
      </c>
      <c r="H193" s="329">
        <v>55</v>
      </c>
      <c r="I193" s="329">
        <v>0</v>
      </c>
      <c r="J193" s="329">
        <v>25</v>
      </c>
      <c r="K193" s="333">
        <v>25</v>
      </c>
      <c r="L193" s="333"/>
      <c r="M193" s="165"/>
      <c r="N193" s="401">
        <v>100008716</v>
      </c>
      <c r="O193" s="329">
        <v>0</v>
      </c>
      <c r="P193" s="329">
        <v>23</v>
      </c>
      <c r="Q193" s="329">
        <v>55</v>
      </c>
      <c r="R193" s="333">
        <v>78</v>
      </c>
      <c r="S193" s="333">
        <v>1975025</v>
      </c>
      <c r="T193" s="3">
        <v>1.8</v>
      </c>
      <c r="U193" s="165">
        <f>VLOOKUP(N193,'[2]154'!$C$9:$T$554,18,0)</f>
        <v>78</v>
      </c>
      <c r="V193" s="401">
        <v>100008716</v>
      </c>
      <c r="W193" s="406">
        <v>25</v>
      </c>
      <c r="X193" s="405">
        <v>35461.32</v>
      </c>
      <c r="Y193" s="406">
        <v>886533</v>
      </c>
      <c r="Z193" s="3"/>
      <c r="AA193" s="401">
        <v>100008716</v>
      </c>
      <c r="AB193" s="329">
        <v>0</v>
      </c>
      <c r="AC193" s="329">
        <v>23</v>
      </c>
      <c r="AD193" s="329">
        <v>55</v>
      </c>
      <c r="AE193" s="329">
        <v>78</v>
      </c>
      <c r="AF193" s="329">
        <v>56</v>
      </c>
      <c r="AG193" s="329">
        <v>836309</v>
      </c>
      <c r="AH193" s="3"/>
      <c r="AI193" s="401">
        <v>100008716</v>
      </c>
      <c r="AJ193" s="329">
        <v>0</v>
      </c>
      <c r="AK193" s="329">
        <v>23</v>
      </c>
      <c r="AL193" s="329">
        <v>55</v>
      </c>
      <c r="AM193" s="329">
        <v>78</v>
      </c>
      <c r="AN193" s="329">
        <v>56</v>
      </c>
      <c r="AO193" s="329">
        <v>1138716</v>
      </c>
    </row>
    <row r="194" spans="1:41" ht="15.75">
      <c r="A194" s="333">
        <v>188</v>
      </c>
      <c r="B194" s="3" t="s">
        <v>161</v>
      </c>
      <c r="C194" s="401">
        <v>100008730</v>
      </c>
      <c r="D194" s="329">
        <v>0</v>
      </c>
      <c r="E194" s="329">
        <v>130</v>
      </c>
      <c r="F194" s="329">
        <v>0</v>
      </c>
      <c r="G194" s="329">
        <v>0</v>
      </c>
      <c r="H194" s="329">
        <v>130</v>
      </c>
      <c r="I194" s="329">
        <v>0</v>
      </c>
      <c r="J194" s="329">
        <v>31</v>
      </c>
      <c r="K194" s="333">
        <v>31</v>
      </c>
      <c r="L194" s="333"/>
      <c r="M194" s="208"/>
      <c r="N194" s="401">
        <v>100008730</v>
      </c>
      <c r="O194" s="329">
        <v>0</v>
      </c>
      <c r="P194" s="329">
        <v>0</v>
      </c>
      <c r="Q194" s="329">
        <v>130</v>
      </c>
      <c r="R194" s="333">
        <v>130</v>
      </c>
      <c r="S194" s="333">
        <v>2557948</v>
      </c>
      <c r="T194" s="3">
        <v>1.8</v>
      </c>
      <c r="U194" s="165">
        <f>VLOOKUP(N194,'[2]154'!$C$9:$T$554,18,0)</f>
        <v>130</v>
      </c>
      <c r="V194" s="401">
        <v>100008730</v>
      </c>
      <c r="W194" s="406">
        <v>31</v>
      </c>
      <c r="X194" s="405">
        <v>41852.290322580644</v>
      </c>
      <c r="Y194" s="406">
        <v>1297421</v>
      </c>
      <c r="Z194" s="3"/>
      <c r="AA194" s="401">
        <v>100008730</v>
      </c>
      <c r="AB194" s="329">
        <v>0</v>
      </c>
      <c r="AC194" s="329">
        <v>0</v>
      </c>
      <c r="AD194" s="329">
        <v>130</v>
      </c>
      <c r="AE194" s="329">
        <v>130</v>
      </c>
      <c r="AF194" s="329">
        <v>104</v>
      </c>
      <c r="AG194" s="329">
        <v>1075137</v>
      </c>
      <c r="AH194" s="3"/>
      <c r="AI194" s="401">
        <v>100008730</v>
      </c>
      <c r="AJ194" s="329">
        <v>0</v>
      </c>
      <c r="AK194" s="329">
        <v>0</v>
      </c>
      <c r="AL194" s="329">
        <v>130</v>
      </c>
      <c r="AM194" s="329">
        <v>130</v>
      </c>
      <c r="AN194" s="329">
        <v>104</v>
      </c>
      <c r="AO194" s="329">
        <v>1482811</v>
      </c>
    </row>
    <row r="195" spans="1:41" ht="15.75">
      <c r="A195" s="333">
        <v>189</v>
      </c>
      <c r="B195" s="3" t="s">
        <v>161</v>
      </c>
      <c r="C195" s="401">
        <v>100008747</v>
      </c>
      <c r="D195" s="329">
        <v>0</v>
      </c>
      <c r="E195" s="329">
        <v>908</v>
      </c>
      <c r="F195" s="329">
        <v>0</v>
      </c>
      <c r="G195" s="329">
        <v>0</v>
      </c>
      <c r="H195" s="329">
        <v>908</v>
      </c>
      <c r="I195" s="329">
        <v>0</v>
      </c>
      <c r="J195" s="329">
        <v>202</v>
      </c>
      <c r="K195" s="333">
        <v>202</v>
      </c>
      <c r="L195" s="333"/>
      <c r="M195" s="165"/>
      <c r="N195" s="401">
        <v>100008747</v>
      </c>
      <c r="O195" s="329">
        <v>0</v>
      </c>
      <c r="P195" s="329">
        <v>0</v>
      </c>
      <c r="Q195" s="329">
        <v>908</v>
      </c>
      <c r="R195" s="333">
        <v>908</v>
      </c>
      <c r="S195" s="333">
        <v>9175977</v>
      </c>
      <c r="T195" s="3">
        <v>1.8</v>
      </c>
      <c r="U195" s="165">
        <f>VLOOKUP(N195,'[2]154'!$C$9:$T$554,18,0)</f>
        <v>908</v>
      </c>
      <c r="V195" s="401">
        <v>100008747</v>
      </c>
      <c r="W195" s="406">
        <v>202</v>
      </c>
      <c r="X195" s="405">
        <v>41967.549504950497</v>
      </c>
      <c r="Y195" s="406">
        <v>8477445</v>
      </c>
      <c r="Z195" s="3"/>
      <c r="AA195" s="401">
        <v>100008747</v>
      </c>
      <c r="AB195" s="329">
        <v>0</v>
      </c>
      <c r="AC195" s="329">
        <v>0</v>
      </c>
      <c r="AD195" s="329">
        <v>908</v>
      </c>
      <c r="AE195" s="329">
        <v>908</v>
      </c>
      <c r="AF195" s="329">
        <v>726</v>
      </c>
      <c r="AG195" s="329">
        <v>3856778</v>
      </c>
      <c r="AH195" s="3"/>
      <c r="AI195" s="401">
        <v>100008747</v>
      </c>
      <c r="AJ195" s="329">
        <v>0</v>
      </c>
      <c r="AK195" s="329">
        <v>0</v>
      </c>
      <c r="AL195" s="329">
        <v>908</v>
      </c>
      <c r="AM195" s="329">
        <v>908</v>
      </c>
      <c r="AN195" s="329">
        <v>726</v>
      </c>
      <c r="AO195" s="329">
        <v>5319199</v>
      </c>
    </row>
    <row r="196" spans="1:41" ht="15.75">
      <c r="A196" s="333">
        <v>190</v>
      </c>
      <c r="B196" s="3" t="s">
        <v>161</v>
      </c>
      <c r="C196" s="401">
        <v>100008749</v>
      </c>
      <c r="D196" s="329">
        <v>0</v>
      </c>
      <c r="E196" s="329">
        <v>417</v>
      </c>
      <c r="F196" s="329">
        <v>145</v>
      </c>
      <c r="G196" s="329">
        <v>7</v>
      </c>
      <c r="H196" s="329">
        <v>265</v>
      </c>
      <c r="I196" s="329">
        <v>0</v>
      </c>
      <c r="J196" s="329">
        <v>0</v>
      </c>
      <c r="K196" s="333">
        <v>0</v>
      </c>
      <c r="L196" s="333"/>
      <c r="M196" s="165"/>
      <c r="N196" s="401">
        <v>100008749</v>
      </c>
      <c r="O196" s="329">
        <v>145</v>
      </c>
      <c r="P196" s="329">
        <v>7</v>
      </c>
      <c r="Q196" s="329">
        <v>265</v>
      </c>
      <c r="R196" s="333">
        <v>417</v>
      </c>
      <c r="S196" s="333">
        <v>18148876</v>
      </c>
      <c r="T196" s="3">
        <v>3.8</v>
      </c>
      <c r="U196" s="165">
        <f>VLOOKUP(N196,'[2]154'!$C$9:$T$554,18,0)</f>
        <v>417</v>
      </c>
      <c r="V196" s="401">
        <v>100008749</v>
      </c>
      <c r="W196" s="406">
        <v>0</v>
      </c>
      <c r="X196" s="405">
        <v>0</v>
      </c>
      <c r="Y196" s="406">
        <v>0</v>
      </c>
      <c r="Z196" s="3"/>
      <c r="AA196" s="401">
        <v>100008749</v>
      </c>
      <c r="AB196" s="329">
        <v>145</v>
      </c>
      <c r="AC196" s="329">
        <v>7</v>
      </c>
      <c r="AD196" s="329">
        <v>265</v>
      </c>
      <c r="AE196" s="329">
        <v>417</v>
      </c>
      <c r="AF196" s="329">
        <v>245</v>
      </c>
      <c r="AG196" s="329">
        <v>7686755</v>
      </c>
      <c r="AH196" s="3"/>
      <c r="AI196" s="401">
        <v>100008749</v>
      </c>
      <c r="AJ196" s="329">
        <v>145</v>
      </c>
      <c r="AK196" s="329">
        <v>7</v>
      </c>
      <c r="AL196" s="329">
        <v>265</v>
      </c>
      <c r="AM196" s="329">
        <v>417</v>
      </c>
      <c r="AN196" s="329">
        <v>245</v>
      </c>
      <c r="AO196" s="329">
        <v>10462121</v>
      </c>
    </row>
    <row r="197" spans="1:41" ht="15.75">
      <c r="A197" s="333">
        <v>191</v>
      </c>
      <c r="B197" s="3" t="s">
        <v>161</v>
      </c>
      <c r="C197" s="401">
        <v>100008773</v>
      </c>
      <c r="D197" s="329">
        <v>0</v>
      </c>
      <c r="E197" s="329">
        <v>272</v>
      </c>
      <c r="F197" s="329">
        <v>8</v>
      </c>
      <c r="G197" s="329">
        <v>63</v>
      </c>
      <c r="H197" s="329">
        <v>201</v>
      </c>
      <c r="I197" s="329">
        <v>0</v>
      </c>
      <c r="J197" s="329">
        <v>0</v>
      </c>
      <c r="K197" s="333">
        <v>0</v>
      </c>
      <c r="L197" s="333"/>
      <c r="M197" s="208"/>
      <c r="N197" s="401">
        <v>100008773</v>
      </c>
      <c r="O197" s="329">
        <v>8</v>
      </c>
      <c r="P197" s="329">
        <v>63</v>
      </c>
      <c r="Q197" s="329">
        <v>201</v>
      </c>
      <c r="R197" s="333">
        <v>272</v>
      </c>
      <c r="S197" s="333">
        <v>7340645</v>
      </c>
      <c r="T197" s="3">
        <v>1.8</v>
      </c>
      <c r="U197" s="165">
        <f>VLOOKUP(N197,'[2]154'!$C$9:$T$554,18,0)</f>
        <v>272</v>
      </c>
      <c r="V197" s="401">
        <v>100008773</v>
      </c>
      <c r="W197" s="406">
        <v>0</v>
      </c>
      <c r="X197" s="405">
        <v>0</v>
      </c>
      <c r="Y197" s="406">
        <v>0</v>
      </c>
      <c r="Z197" s="3"/>
      <c r="AA197" s="401">
        <v>100008773</v>
      </c>
      <c r="AB197" s="329">
        <v>8</v>
      </c>
      <c r="AC197" s="329">
        <v>63</v>
      </c>
      <c r="AD197" s="329">
        <v>201</v>
      </c>
      <c r="AE197" s="329">
        <v>272</v>
      </c>
      <c r="AF197" s="329">
        <v>194</v>
      </c>
      <c r="AG197" s="329">
        <v>3098903</v>
      </c>
      <c r="AH197" s="3"/>
      <c r="AI197" s="401">
        <v>100008773</v>
      </c>
      <c r="AJ197" s="329">
        <v>8</v>
      </c>
      <c r="AK197" s="329">
        <v>63</v>
      </c>
      <c r="AL197" s="329">
        <v>201</v>
      </c>
      <c r="AM197" s="329">
        <v>272</v>
      </c>
      <c r="AN197" s="329">
        <v>194</v>
      </c>
      <c r="AO197" s="329">
        <v>4241742</v>
      </c>
    </row>
    <row r="198" spans="1:41" ht="15.75">
      <c r="A198" s="333">
        <v>192</v>
      </c>
      <c r="B198" s="3" t="s">
        <v>161</v>
      </c>
      <c r="C198" s="401">
        <v>100009618</v>
      </c>
      <c r="D198" s="329">
        <v>0</v>
      </c>
      <c r="E198" s="329">
        <v>87</v>
      </c>
      <c r="F198" s="329">
        <v>0</v>
      </c>
      <c r="G198" s="329">
        <v>0</v>
      </c>
      <c r="H198" s="329">
        <v>87</v>
      </c>
      <c r="I198" s="329">
        <v>0</v>
      </c>
      <c r="J198" s="329">
        <v>23</v>
      </c>
      <c r="K198" s="333">
        <v>23</v>
      </c>
      <c r="L198" s="333"/>
      <c r="M198" s="165"/>
      <c r="N198" s="401">
        <v>100009618</v>
      </c>
      <c r="O198" s="329">
        <v>0</v>
      </c>
      <c r="P198" s="329">
        <v>0</v>
      </c>
      <c r="Q198" s="329">
        <v>87</v>
      </c>
      <c r="R198" s="333">
        <v>87</v>
      </c>
      <c r="S198" s="333">
        <v>1103503</v>
      </c>
      <c r="T198" s="3">
        <v>2.7</v>
      </c>
      <c r="U198" s="165">
        <f>VLOOKUP(N198,'[2]154'!$C$9:$T$554,18,0)</f>
        <v>87</v>
      </c>
      <c r="V198" s="401">
        <v>100009618</v>
      </c>
      <c r="W198" s="406">
        <v>23</v>
      </c>
      <c r="X198" s="405">
        <v>12683.95652173913</v>
      </c>
      <c r="Y198" s="406">
        <v>291731</v>
      </c>
      <c r="Z198" s="3"/>
      <c r="AA198" s="401">
        <v>100009618</v>
      </c>
      <c r="AB198" s="329">
        <v>0</v>
      </c>
      <c r="AC198" s="329">
        <v>0</v>
      </c>
      <c r="AD198" s="329">
        <v>87</v>
      </c>
      <c r="AE198" s="329">
        <v>87</v>
      </c>
      <c r="AF198" s="329">
        <v>70</v>
      </c>
      <c r="AG198" s="329">
        <v>463816</v>
      </c>
      <c r="AH198" s="3"/>
      <c r="AI198" s="401">
        <v>100009618</v>
      </c>
      <c r="AJ198" s="329">
        <v>0</v>
      </c>
      <c r="AK198" s="329">
        <v>0</v>
      </c>
      <c r="AL198" s="329">
        <v>87</v>
      </c>
      <c r="AM198" s="329">
        <v>87</v>
      </c>
      <c r="AN198" s="329">
        <v>70</v>
      </c>
      <c r="AO198" s="329">
        <v>639687</v>
      </c>
    </row>
    <row r="199" spans="1:41" ht="15.75">
      <c r="A199" s="333">
        <v>193</v>
      </c>
      <c r="B199" s="3" t="s">
        <v>161</v>
      </c>
      <c r="C199" s="401">
        <v>100011932</v>
      </c>
      <c r="D199" s="329">
        <v>0</v>
      </c>
      <c r="E199" s="329">
        <v>15</v>
      </c>
      <c r="F199" s="329">
        <v>0</v>
      </c>
      <c r="G199" s="329">
        <v>0</v>
      </c>
      <c r="H199" s="329">
        <v>15</v>
      </c>
      <c r="I199" s="329">
        <v>0</v>
      </c>
      <c r="J199" s="329">
        <v>17</v>
      </c>
      <c r="K199" s="333">
        <v>17</v>
      </c>
      <c r="L199" s="333"/>
      <c r="M199" s="165"/>
      <c r="N199" s="401">
        <v>100011932</v>
      </c>
      <c r="O199" s="329">
        <v>0</v>
      </c>
      <c r="P199" s="329">
        <v>0</v>
      </c>
      <c r="Q199" s="329">
        <v>15</v>
      </c>
      <c r="R199" s="333">
        <v>15</v>
      </c>
      <c r="S199" s="333">
        <v>191562</v>
      </c>
      <c r="T199" s="3">
        <v>1.02</v>
      </c>
      <c r="U199" s="165">
        <f>VLOOKUP(N199,'[2]154'!$C$9:$T$554,18,0)</f>
        <v>15</v>
      </c>
      <c r="V199" s="401">
        <v>100011932</v>
      </c>
      <c r="W199" s="406">
        <v>17</v>
      </c>
      <c r="X199" s="405">
        <v>23945.176470588234</v>
      </c>
      <c r="Y199" s="406">
        <v>407068</v>
      </c>
      <c r="Z199" s="3"/>
      <c r="AA199" s="401">
        <v>100011932</v>
      </c>
      <c r="AB199" s="329">
        <v>0</v>
      </c>
      <c r="AC199" s="329">
        <v>0</v>
      </c>
      <c r="AD199" s="329">
        <v>15</v>
      </c>
      <c r="AE199" s="329">
        <v>15</v>
      </c>
      <c r="AF199" s="329">
        <v>12</v>
      </c>
      <c r="AG199" s="329">
        <v>80516</v>
      </c>
      <c r="AH199" s="3"/>
      <c r="AI199" s="401">
        <v>100011932</v>
      </c>
      <c r="AJ199" s="329">
        <v>0</v>
      </c>
      <c r="AK199" s="329">
        <v>0</v>
      </c>
      <c r="AL199" s="329">
        <v>15</v>
      </c>
      <c r="AM199" s="329">
        <v>15</v>
      </c>
      <c r="AN199" s="329">
        <v>12</v>
      </c>
      <c r="AO199" s="329">
        <v>111046</v>
      </c>
    </row>
    <row r="200" spans="1:41" ht="15.75">
      <c r="A200" s="333">
        <v>194</v>
      </c>
      <c r="B200" s="3" t="s">
        <v>161</v>
      </c>
      <c r="C200" s="401">
        <v>100011933</v>
      </c>
      <c r="D200" s="329">
        <v>0</v>
      </c>
      <c r="E200" s="329">
        <v>0</v>
      </c>
      <c r="F200" s="329">
        <v>0</v>
      </c>
      <c r="G200" s="329">
        <v>0</v>
      </c>
      <c r="H200" s="329">
        <v>0</v>
      </c>
      <c r="I200" s="329">
        <v>0</v>
      </c>
      <c r="J200" s="329">
        <v>106</v>
      </c>
      <c r="K200" s="333">
        <v>106</v>
      </c>
      <c r="L200" s="333"/>
      <c r="M200" s="208"/>
      <c r="N200" s="401">
        <v>100011933</v>
      </c>
      <c r="O200" s="329">
        <v>0</v>
      </c>
      <c r="P200" s="329">
        <v>0</v>
      </c>
      <c r="Q200" s="329">
        <v>0</v>
      </c>
      <c r="R200" s="333">
        <v>0</v>
      </c>
      <c r="S200" s="333">
        <v>0</v>
      </c>
      <c r="T200" s="3">
        <v>1.02</v>
      </c>
      <c r="U200" s="165">
        <f>VLOOKUP(N200,'[2]154'!$C$9:$T$554,18,0)</f>
        <v>0</v>
      </c>
      <c r="V200" s="401">
        <v>100011933</v>
      </c>
      <c r="W200" s="406">
        <v>106</v>
      </c>
      <c r="X200" s="405">
        <v>23945.141509433961</v>
      </c>
      <c r="Y200" s="406">
        <v>2538185</v>
      </c>
      <c r="Z200" s="3"/>
      <c r="AA200" s="401">
        <v>100011933</v>
      </c>
      <c r="AB200" s="329">
        <v>0</v>
      </c>
      <c r="AC200" s="329">
        <v>0</v>
      </c>
      <c r="AD200" s="329">
        <v>0</v>
      </c>
      <c r="AE200" s="329">
        <v>0</v>
      </c>
      <c r="AF200" s="329">
        <v>0</v>
      </c>
      <c r="AG200" s="329">
        <v>0</v>
      </c>
      <c r="AH200" s="3"/>
      <c r="AI200" s="401">
        <v>100011933</v>
      </c>
      <c r="AJ200" s="329">
        <v>0</v>
      </c>
      <c r="AK200" s="329">
        <v>0</v>
      </c>
      <c r="AL200" s="329">
        <v>0</v>
      </c>
      <c r="AM200" s="329">
        <v>0</v>
      </c>
      <c r="AN200" s="329">
        <v>0</v>
      </c>
      <c r="AO200" s="329">
        <v>0</v>
      </c>
    </row>
    <row r="201" spans="1:41" ht="15.75">
      <c r="A201" s="333">
        <v>195</v>
      </c>
      <c r="B201" s="3" t="s">
        <v>161</v>
      </c>
      <c r="C201" s="401">
        <v>100011935</v>
      </c>
      <c r="D201" s="329">
        <v>0</v>
      </c>
      <c r="E201" s="329">
        <v>237</v>
      </c>
      <c r="F201" s="329">
        <v>0</v>
      </c>
      <c r="G201" s="329">
        <v>150</v>
      </c>
      <c r="H201" s="329">
        <v>87</v>
      </c>
      <c r="I201" s="329">
        <v>0</v>
      </c>
      <c r="J201" s="329">
        <v>126</v>
      </c>
      <c r="K201" s="333">
        <v>126</v>
      </c>
      <c r="L201" s="333"/>
      <c r="M201" s="165"/>
      <c r="N201" s="401">
        <v>100011935</v>
      </c>
      <c r="O201" s="329">
        <v>0</v>
      </c>
      <c r="P201" s="329">
        <v>150</v>
      </c>
      <c r="Q201" s="329">
        <v>87</v>
      </c>
      <c r="R201" s="333">
        <v>237</v>
      </c>
      <c r="S201" s="333">
        <v>3293539</v>
      </c>
      <c r="T201" s="3">
        <v>1.02</v>
      </c>
      <c r="U201" s="165">
        <f>VLOOKUP(N201,'[2]154'!$C$9:$T$554,18,0)</f>
        <v>237</v>
      </c>
      <c r="V201" s="401">
        <v>100011935</v>
      </c>
      <c r="W201" s="406">
        <v>126</v>
      </c>
      <c r="X201" s="405">
        <v>23921.746031746032</v>
      </c>
      <c r="Y201" s="406">
        <v>3014140</v>
      </c>
      <c r="Z201" s="3"/>
      <c r="AA201" s="401">
        <v>100011935</v>
      </c>
      <c r="AB201" s="329">
        <v>0</v>
      </c>
      <c r="AC201" s="329">
        <v>150</v>
      </c>
      <c r="AD201" s="329">
        <v>87</v>
      </c>
      <c r="AE201" s="329">
        <v>237</v>
      </c>
      <c r="AF201" s="329">
        <v>145</v>
      </c>
      <c r="AG201" s="329">
        <v>1475909</v>
      </c>
      <c r="AH201" s="3"/>
      <c r="AI201" s="401">
        <v>100011935</v>
      </c>
      <c r="AJ201" s="329">
        <v>0</v>
      </c>
      <c r="AK201" s="329">
        <v>150</v>
      </c>
      <c r="AL201" s="329">
        <v>87</v>
      </c>
      <c r="AM201" s="329">
        <v>237</v>
      </c>
      <c r="AN201" s="329">
        <v>145</v>
      </c>
      <c r="AO201" s="329">
        <v>1817630</v>
      </c>
    </row>
    <row r="202" spans="1:41" ht="15.75">
      <c r="A202" s="333">
        <v>196</v>
      </c>
      <c r="B202" s="3" t="s">
        <v>161</v>
      </c>
      <c r="C202" s="401">
        <v>100013594</v>
      </c>
      <c r="D202" s="329">
        <v>0</v>
      </c>
      <c r="E202" s="329">
        <v>261</v>
      </c>
      <c r="F202" s="329">
        <v>0</v>
      </c>
      <c r="G202" s="329">
        <v>0</v>
      </c>
      <c r="H202" s="329">
        <v>261</v>
      </c>
      <c r="I202" s="329">
        <v>0</v>
      </c>
      <c r="J202" s="329">
        <v>29</v>
      </c>
      <c r="K202" s="333">
        <v>29</v>
      </c>
      <c r="L202" s="333"/>
      <c r="M202" s="165"/>
      <c r="N202" s="401">
        <v>100013594</v>
      </c>
      <c r="O202" s="329">
        <v>0</v>
      </c>
      <c r="P202" s="329">
        <v>0</v>
      </c>
      <c r="Q202" s="329">
        <v>261</v>
      </c>
      <c r="R202" s="333">
        <v>261</v>
      </c>
      <c r="S202" s="333">
        <v>4627491</v>
      </c>
      <c r="T202" s="3">
        <v>2.4</v>
      </c>
      <c r="U202" s="165">
        <f>VLOOKUP(N202,'[2]154'!$C$9:$T$554,18,0)</f>
        <v>261</v>
      </c>
      <c r="V202" s="401">
        <v>100013594</v>
      </c>
      <c r="W202" s="406">
        <v>29</v>
      </c>
      <c r="X202" s="405">
        <v>55056.206896551725</v>
      </c>
      <c r="Y202" s="406">
        <v>1596630</v>
      </c>
      <c r="Z202" s="3"/>
      <c r="AA202" s="401">
        <v>100013594</v>
      </c>
      <c r="AB202" s="329">
        <v>0</v>
      </c>
      <c r="AC202" s="329">
        <v>0</v>
      </c>
      <c r="AD202" s="329">
        <v>261</v>
      </c>
      <c r="AE202" s="329">
        <v>261</v>
      </c>
      <c r="AF202" s="329">
        <v>209</v>
      </c>
      <c r="AG202" s="329">
        <v>1944992</v>
      </c>
      <c r="AH202" s="3"/>
      <c r="AI202" s="401">
        <v>100013594</v>
      </c>
      <c r="AJ202" s="329">
        <v>0</v>
      </c>
      <c r="AK202" s="329">
        <v>0</v>
      </c>
      <c r="AL202" s="329">
        <v>261</v>
      </c>
      <c r="AM202" s="329">
        <v>261</v>
      </c>
      <c r="AN202" s="329">
        <v>209</v>
      </c>
      <c r="AO202" s="329">
        <v>2682499</v>
      </c>
    </row>
    <row r="203" spans="1:41" ht="15.75">
      <c r="A203" s="333">
        <v>197</v>
      </c>
      <c r="B203" s="3" t="s">
        <v>161</v>
      </c>
      <c r="C203" s="401">
        <v>100016320</v>
      </c>
      <c r="D203" s="329">
        <v>0</v>
      </c>
      <c r="E203" s="329">
        <v>308</v>
      </c>
      <c r="F203" s="329">
        <v>0</v>
      </c>
      <c r="G203" s="329">
        <v>0</v>
      </c>
      <c r="H203" s="329">
        <v>308</v>
      </c>
      <c r="I203" s="329">
        <v>0</v>
      </c>
      <c r="J203" s="329">
        <v>99</v>
      </c>
      <c r="K203" s="333">
        <v>99</v>
      </c>
      <c r="L203" s="333"/>
      <c r="M203" s="208"/>
      <c r="N203" s="401">
        <v>100016320</v>
      </c>
      <c r="O203" s="329">
        <v>0</v>
      </c>
      <c r="P203" s="329">
        <v>0</v>
      </c>
      <c r="Q203" s="329">
        <v>308</v>
      </c>
      <c r="R203" s="333">
        <v>308</v>
      </c>
      <c r="S203" s="333">
        <v>4460370</v>
      </c>
      <c r="T203" s="3">
        <v>2</v>
      </c>
      <c r="U203" s="165">
        <f>VLOOKUP(N203,'[2]154'!$C$9:$T$554,18,0)</f>
        <v>308</v>
      </c>
      <c r="V203" s="401">
        <v>100016320</v>
      </c>
      <c r="W203" s="406">
        <v>99</v>
      </c>
      <c r="X203" s="405">
        <v>46951.272727272728</v>
      </c>
      <c r="Y203" s="406">
        <v>4648176</v>
      </c>
      <c r="Z203" s="3"/>
      <c r="AA203" s="401">
        <v>100016320</v>
      </c>
      <c r="AB203" s="329">
        <v>0</v>
      </c>
      <c r="AC203" s="329">
        <v>0</v>
      </c>
      <c r="AD203" s="329">
        <v>308</v>
      </c>
      <c r="AE203" s="329">
        <v>308</v>
      </c>
      <c r="AF203" s="329">
        <v>246</v>
      </c>
      <c r="AG203" s="329">
        <v>1874749</v>
      </c>
      <c r="AH203" s="3"/>
      <c r="AI203" s="401">
        <v>100016320</v>
      </c>
      <c r="AJ203" s="329">
        <v>0</v>
      </c>
      <c r="AK203" s="329">
        <v>0</v>
      </c>
      <c r="AL203" s="329">
        <v>308</v>
      </c>
      <c r="AM203" s="329">
        <v>308</v>
      </c>
      <c r="AN203" s="329">
        <v>246</v>
      </c>
      <c r="AO203" s="329">
        <v>2585621</v>
      </c>
    </row>
    <row r="204" spans="1:41" ht="15.75">
      <c r="A204" s="333">
        <v>198</v>
      </c>
      <c r="B204" s="3" t="s">
        <v>161</v>
      </c>
      <c r="C204" s="401">
        <v>100016323</v>
      </c>
      <c r="D204" s="329">
        <v>0</v>
      </c>
      <c r="E204" s="329">
        <v>215</v>
      </c>
      <c r="F204" s="329">
        <v>0</v>
      </c>
      <c r="G204" s="329">
        <v>22</v>
      </c>
      <c r="H204" s="329">
        <v>193</v>
      </c>
      <c r="I204" s="329">
        <v>0</v>
      </c>
      <c r="J204" s="329">
        <v>151</v>
      </c>
      <c r="K204" s="333">
        <v>151</v>
      </c>
      <c r="L204" s="333"/>
      <c r="M204" s="165"/>
      <c r="N204" s="401">
        <v>100016323</v>
      </c>
      <c r="O204" s="329">
        <v>0</v>
      </c>
      <c r="P204" s="329">
        <v>22</v>
      </c>
      <c r="Q204" s="329">
        <v>193</v>
      </c>
      <c r="R204" s="333">
        <v>215</v>
      </c>
      <c r="S204" s="333">
        <v>6166095</v>
      </c>
      <c r="T204" s="3">
        <v>1.8</v>
      </c>
      <c r="U204" s="165">
        <f>VLOOKUP(N204,'[2]154'!$C$9:$T$554,18,0)</f>
        <v>215</v>
      </c>
      <c r="V204" s="401">
        <v>100016323</v>
      </c>
      <c r="W204" s="406">
        <v>151</v>
      </c>
      <c r="X204" s="405">
        <v>37963.397350993378</v>
      </c>
      <c r="Y204" s="406">
        <v>5732473</v>
      </c>
      <c r="Z204" s="3"/>
      <c r="AA204" s="401">
        <v>100016323</v>
      </c>
      <c r="AB204" s="329">
        <v>0</v>
      </c>
      <c r="AC204" s="329">
        <v>22</v>
      </c>
      <c r="AD204" s="329">
        <v>193</v>
      </c>
      <c r="AE204" s="329">
        <v>215</v>
      </c>
      <c r="AF204" s="329">
        <v>165</v>
      </c>
      <c r="AG204" s="329">
        <v>2604421</v>
      </c>
      <c r="AH204" s="3"/>
      <c r="AI204" s="401">
        <v>100016323</v>
      </c>
      <c r="AJ204" s="329">
        <v>0</v>
      </c>
      <c r="AK204" s="329">
        <v>22</v>
      </c>
      <c r="AL204" s="329">
        <v>193</v>
      </c>
      <c r="AM204" s="329">
        <v>215</v>
      </c>
      <c r="AN204" s="329">
        <v>165</v>
      </c>
      <c r="AO204" s="329">
        <v>3561674</v>
      </c>
    </row>
    <row r="205" spans="1:41" ht="15.75">
      <c r="A205" s="333">
        <v>199</v>
      </c>
      <c r="B205" s="3" t="s">
        <v>161</v>
      </c>
      <c r="C205" s="401">
        <v>100016362</v>
      </c>
      <c r="D205" s="329">
        <v>0</v>
      </c>
      <c r="E205" s="329">
        <v>348</v>
      </c>
      <c r="F205" s="329">
        <v>0</v>
      </c>
      <c r="G205" s="329">
        <v>0</v>
      </c>
      <c r="H205" s="329">
        <v>348</v>
      </c>
      <c r="I205" s="329">
        <v>0</v>
      </c>
      <c r="J205" s="329">
        <v>61</v>
      </c>
      <c r="K205" s="333">
        <v>61</v>
      </c>
      <c r="L205" s="333"/>
      <c r="M205" s="165"/>
      <c r="N205" s="401">
        <v>100016362</v>
      </c>
      <c r="O205" s="329">
        <v>0</v>
      </c>
      <c r="P205" s="329">
        <v>0</v>
      </c>
      <c r="Q205" s="329">
        <v>348</v>
      </c>
      <c r="R205" s="333">
        <v>348</v>
      </c>
      <c r="S205" s="333">
        <v>6286502</v>
      </c>
      <c r="T205" s="3">
        <v>1.8</v>
      </c>
      <c r="U205" s="165">
        <f>VLOOKUP(N205,'[2]154'!$C$9:$T$554,18,0)</f>
        <v>348</v>
      </c>
      <c r="V205" s="401">
        <v>100016362</v>
      </c>
      <c r="W205" s="406">
        <v>61</v>
      </c>
      <c r="X205" s="405">
        <v>32739.639344262294</v>
      </c>
      <c r="Y205" s="406">
        <v>1997118</v>
      </c>
      <c r="Z205" s="3"/>
      <c r="AA205" s="401">
        <v>100016362</v>
      </c>
      <c r="AB205" s="329">
        <v>0</v>
      </c>
      <c r="AC205" s="329">
        <v>0</v>
      </c>
      <c r="AD205" s="329">
        <v>348</v>
      </c>
      <c r="AE205" s="329">
        <v>348</v>
      </c>
      <c r="AF205" s="329">
        <v>278</v>
      </c>
      <c r="AG205" s="329">
        <v>2642295</v>
      </c>
      <c r="AH205" s="3"/>
      <c r="AI205" s="401">
        <v>100016362</v>
      </c>
      <c r="AJ205" s="329">
        <v>0</v>
      </c>
      <c r="AK205" s="329">
        <v>0</v>
      </c>
      <c r="AL205" s="329">
        <v>348</v>
      </c>
      <c r="AM205" s="329">
        <v>348</v>
      </c>
      <c r="AN205" s="329">
        <v>278</v>
      </c>
      <c r="AO205" s="329">
        <v>3644207</v>
      </c>
    </row>
    <row r="206" spans="1:41" ht="15.75">
      <c r="A206" s="333">
        <v>200</v>
      </c>
      <c r="B206" s="3" t="s">
        <v>161</v>
      </c>
      <c r="C206" s="401">
        <v>100017250</v>
      </c>
      <c r="D206" s="329">
        <v>0</v>
      </c>
      <c r="E206" s="329">
        <v>58</v>
      </c>
      <c r="F206" s="329">
        <v>0</v>
      </c>
      <c r="G206" s="329">
        <v>9</v>
      </c>
      <c r="H206" s="329">
        <v>49</v>
      </c>
      <c r="I206" s="329">
        <v>0</v>
      </c>
      <c r="J206" s="329">
        <v>13</v>
      </c>
      <c r="K206" s="333">
        <v>13</v>
      </c>
      <c r="L206" s="333"/>
      <c r="M206" s="208"/>
      <c r="N206" s="401">
        <v>100017250</v>
      </c>
      <c r="O206" s="329">
        <v>0</v>
      </c>
      <c r="P206" s="329">
        <v>9</v>
      </c>
      <c r="Q206" s="329">
        <v>49</v>
      </c>
      <c r="R206" s="333">
        <v>58</v>
      </c>
      <c r="S206" s="333">
        <v>3274839</v>
      </c>
      <c r="T206" s="3">
        <v>3.8</v>
      </c>
      <c r="U206" s="165">
        <f>VLOOKUP(N206,'[2]154'!$C$9:$T$554,18,0)</f>
        <v>58</v>
      </c>
      <c r="V206" s="401">
        <v>100017250</v>
      </c>
      <c r="W206" s="406">
        <v>13</v>
      </c>
      <c r="X206" s="405">
        <v>74428.153846153844</v>
      </c>
      <c r="Y206" s="406">
        <v>967566</v>
      </c>
      <c r="Z206" s="3"/>
      <c r="AA206" s="401">
        <v>100017250</v>
      </c>
      <c r="AB206" s="329">
        <v>0</v>
      </c>
      <c r="AC206" s="329">
        <v>9</v>
      </c>
      <c r="AD206" s="329">
        <v>49</v>
      </c>
      <c r="AE206" s="329">
        <v>58</v>
      </c>
      <c r="AF206" s="329">
        <v>44</v>
      </c>
      <c r="AG206" s="329">
        <v>1386728</v>
      </c>
      <c r="AH206" s="3"/>
      <c r="AI206" s="401">
        <v>100017250</v>
      </c>
      <c r="AJ206" s="329">
        <v>0</v>
      </c>
      <c r="AK206" s="329">
        <v>9</v>
      </c>
      <c r="AL206" s="329">
        <v>49</v>
      </c>
      <c r="AM206" s="329">
        <v>58</v>
      </c>
      <c r="AN206" s="329">
        <v>44</v>
      </c>
      <c r="AO206" s="329">
        <v>1888111</v>
      </c>
    </row>
    <row r="207" spans="1:41" ht="15.75">
      <c r="A207" s="333">
        <v>201</v>
      </c>
      <c r="B207" s="3" t="s">
        <v>161</v>
      </c>
      <c r="C207" s="401">
        <v>100017251</v>
      </c>
      <c r="D207" s="329">
        <v>0</v>
      </c>
      <c r="E207" s="329">
        <v>46</v>
      </c>
      <c r="F207" s="329">
        <v>0</v>
      </c>
      <c r="G207" s="329">
        <v>0</v>
      </c>
      <c r="H207" s="329">
        <v>46</v>
      </c>
      <c r="I207" s="329">
        <v>0</v>
      </c>
      <c r="J207" s="329">
        <v>39</v>
      </c>
      <c r="K207" s="333">
        <v>39</v>
      </c>
      <c r="L207" s="333"/>
      <c r="M207" s="165"/>
      <c r="N207" s="401">
        <v>100017251</v>
      </c>
      <c r="O207" s="329">
        <v>0</v>
      </c>
      <c r="P207" s="329">
        <v>0</v>
      </c>
      <c r="Q207" s="329">
        <v>46</v>
      </c>
      <c r="R207" s="333">
        <v>46</v>
      </c>
      <c r="S207" s="333">
        <v>1495446</v>
      </c>
      <c r="T207" s="3">
        <v>2</v>
      </c>
      <c r="U207" s="165">
        <f>VLOOKUP(N207,'[2]154'!$C$9:$T$554,18,0)</f>
        <v>46</v>
      </c>
      <c r="V207" s="401">
        <v>100017251</v>
      </c>
      <c r="W207" s="406">
        <v>39</v>
      </c>
      <c r="X207" s="405">
        <v>40417.461538461539</v>
      </c>
      <c r="Y207" s="406">
        <v>1576281</v>
      </c>
      <c r="Z207" s="3"/>
      <c r="AA207" s="401">
        <v>100017251</v>
      </c>
      <c r="AB207" s="329">
        <v>0</v>
      </c>
      <c r="AC207" s="329">
        <v>0</v>
      </c>
      <c r="AD207" s="329">
        <v>46</v>
      </c>
      <c r="AE207" s="329">
        <v>46</v>
      </c>
      <c r="AF207" s="329">
        <v>37</v>
      </c>
      <c r="AG207" s="329">
        <v>632373</v>
      </c>
      <c r="AH207" s="3"/>
      <c r="AI207" s="401">
        <v>100017251</v>
      </c>
      <c r="AJ207" s="329">
        <v>0</v>
      </c>
      <c r="AK207" s="329">
        <v>0</v>
      </c>
      <c r="AL207" s="329">
        <v>46</v>
      </c>
      <c r="AM207" s="329">
        <v>46</v>
      </c>
      <c r="AN207" s="329">
        <v>37</v>
      </c>
      <c r="AO207" s="329">
        <v>863073</v>
      </c>
    </row>
    <row r="208" spans="1:41" s="3" customFormat="1" ht="15.75">
      <c r="A208" s="333">
        <v>202</v>
      </c>
      <c r="B208" s="3" t="s">
        <v>161</v>
      </c>
      <c r="C208" s="401">
        <v>100017330</v>
      </c>
      <c r="D208" s="329">
        <v>0</v>
      </c>
      <c r="E208" s="329">
        <f>83+16</f>
        <v>99</v>
      </c>
      <c r="F208" s="329">
        <v>0</v>
      </c>
      <c r="G208" s="329">
        <v>3</v>
      </c>
      <c r="H208" s="329">
        <f>80+16</f>
        <v>96</v>
      </c>
      <c r="I208" s="329">
        <v>0</v>
      </c>
      <c r="J208" s="329">
        <v>0</v>
      </c>
      <c r="K208" s="333">
        <v>0</v>
      </c>
      <c r="L208" s="333"/>
      <c r="M208" s="165"/>
      <c r="N208" s="401">
        <v>100017330</v>
      </c>
      <c r="O208" s="329">
        <v>0</v>
      </c>
      <c r="P208" s="329">
        <v>3</v>
      </c>
      <c r="Q208" s="329">
        <v>96</v>
      </c>
      <c r="R208" s="333">
        <v>99</v>
      </c>
      <c r="S208" s="333">
        <f>1427805+585760</f>
        <v>2013565</v>
      </c>
      <c r="T208" s="3">
        <v>1.02</v>
      </c>
      <c r="U208" s="165">
        <f>VLOOKUP(N208,'[2]154'!$C$9:$T$554,18,0)</f>
        <v>99</v>
      </c>
      <c r="V208" s="401">
        <v>100017330</v>
      </c>
      <c r="W208" s="406">
        <v>0</v>
      </c>
      <c r="X208" s="405">
        <v>0</v>
      </c>
      <c r="Y208" s="406">
        <v>0</v>
      </c>
      <c r="AA208" s="401">
        <v>100017330</v>
      </c>
      <c r="AB208" s="329">
        <v>0</v>
      </c>
      <c r="AC208" s="329">
        <v>3</v>
      </c>
      <c r="AD208" s="329">
        <v>96</v>
      </c>
      <c r="AE208" s="329">
        <v>99</v>
      </c>
      <c r="AF208" s="329">
        <v>66</v>
      </c>
      <c r="AG208" s="329">
        <f>602534+231695</f>
        <v>834229</v>
      </c>
      <c r="AI208" s="401">
        <v>100017330</v>
      </c>
      <c r="AJ208" s="329">
        <v>0</v>
      </c>
      <c r="AK208" s="329">
        <v>3</v>
      </c>
      <c r="AL208" s="329">
        <v>96</v>
      </c>
      <c r="AM208" s="329">
        <v>99</v>
      </c>
      <c r="AN208" s="329">
        <v>66</v>
      </c>
      <c r="AO208" s="329">
        <f>825271+354065</f>
        <v>1179336</v>
      </c>
    </row>
    <row r="209" spans="1:41" ht="15.75">
      <c r="A209" s="333">
        <v>203</v>
      </c>
      <c r="B209" s="3" t="s">
        <v>161</v>
      </c>
      <c r="C209" s="401">
        <v>100017339</v>
      </c>
      <c r="D209" s="329">
        <v>0</v>
      </c>
      <c r="E209" s="329">
        <v>84</v>
      </c>
      <c r="F209" s="329">
        <v>0</v>
      </c>
      <c r="G209" s="329">
        <v>0</v>
      </c>
      <c r="H209" s="329">
        <v>84</v>
      </c>
      <c r="I209" s="329">
        <v>0</v>
      </c>
      <c r="J209" s="329">
        <v>0</v>
      </c>
      <c r="K209" s="333">
        <v>0</v>
      </c>
      <c r="L209" s="333"/>
      <c r="M209" s="208"/>
      <c r="N209" s="401">
        <v>100017339</v>
      </c>
      <c r="O209" s="329">
        <v>0</v>
      </c>
      <c r="P209" s="329">
        <v>0</v>
      </c>
      <c r="Q209" s="329">
        <v>84</v>
      </c>
      <c r="R209" s="333">
        <v>84</v>
      </c>
      <c r="S209" s="333">
        <v>1350471</v>
      </c>
      <c r="T209" s="3">
        <v>2.2999999999999998</v>
      </c>
      <c r="U209" s="165">
        <f>VLOOKUP(N209,'[2]154'!$C$9:$T$554,18,0)</f>
        <v>84</v>
      </c>
      <c r="V209" s="401">
        <v>100017339</v>
      </c>
      <c r="W209" s="406">
        <v>0</v>
      </c>
      <c r="X209" s="405">
        <v>0</v>
      </c>
      <c r="Y209" s="406">
        <v>0</v>
      </c>
      <c r="Z209" s="3"/>
      <c r="AA209" s="401">
        <v>100017339</v>
      </c>
      <c r="AB209" s="329">
        <v>0</v>
      </c>
      <c r="AC209" s="329">
        <v>0</v>
      </c>
      <c r="AD209" s="329">
        <v>84</v>
      </c>
      <c r="AE209" s="329">
        <v>84</v>
      </c>
      <c r="AF209" s="329">
        <v>67</v>
      </c>
      <c r="AG209" s="329">
        <v>567620</v>
      </c>
      <c r="AH209" s="3"/>
      <c r="AI209" s="401">
        <v>100017339</v>
      </c>
      <c r="AJ209" s="329">
        <v>0</v>
      </c>
      <c r="AK209" s="329">
        <v>0</v>
      </c>
      <c r="AL209" s="329">
        <v>84</v>
      </c>
      <c r="AM209" s="329">
        <v>84</v>
      </c>
      <c r="AN209" s="329">
        <v>67</v>
      </c>
      <c r="AO209" s="329">
        <v>782851</v>
      </c>
    </row>
    <row r="210" spans="1:41" ht="15.75">
      <c r="A210" s="333">
        <v>204</v>
      </c>
      <c r="B210" s="3" t="s">
        <v>161</v>
      </c>
      <c r="C210" s="401">
        <v>100018342</v>
      </c>
      <c r="D210" s="329">
        <v>0</v>
      </c>
      <c r="E210" s="329">
        <v>108</v>
      </c>
      <c r="F210" s="329">
        <v>0</v>
      </c>
      <c r="G210" s="329">
        <v>0</v>
      </c>
      <c r="H210" s="329">
        <v>108</v>
      </c>
      <c r="I210" s="329">
        <v>0</v>
      </c>
      <c r="J210" s="329">
        <v>79</v>
      </c>
      <c r="K210" s="333">
        <v>79</v>
      </c>
      <c r="L210" s="333"/>
      <c r="M210" s="165"/>
      <c r="N210" s="401">
        <v>100018342</v>
      </c>
      <c r="O210" s="329">
        <v>0</v>
      </c>
      <c r="P210" s="329">
        <v>0</v>
      </c>
      <c r="Q210" s="329">
        <v>108</v>
      </c>
      <c r="R210" s="333">
        <v>108</v>
      </c>
      <c r="S210" s="333">
        <v>1858742</v>
      </c>
      <c r="T210" s="3">
        <v>2.2999999999999998</v>
      </c>
      <c r="U210" s="165">
        <f>VLOOKUP(N210,'[2]154'!$C$9:$T$554,18,0)</f>
        <v>108</v>
      </c>
      <c r="V210" s="401">
        <v>100018342</v>
      </c>
      <c r="W210" s="406">
        <v>79</v>
      </c>
      <c r="X210" s="405">
        <v>53768.265822784808</v>
      </c>
      <c r="Y210" s="406">
        <v>4247693</v>
      </c>
      <c r="Z210" s="3"/>
      <c r="AA210" s="401">
        <v>100018342</v>
      </c>
      <c r="AB210" s="329">
        <v>0</v>
      </c>
      <c r="AC210" s="329">
        <v>0</v>
      </c>
      <c r="AD210" s="329">
        <v>108</v>
      </c>
      <c r="AE210" s="329">
        <v>108</v>
      </c>
      <c r="AF210" s="329">
        <v>86</v>
      </c>
      <c r="AG210" s="329">
        <v>781252</v>
      </c>
      <c r="AH210" s="3"/>
      <c r="AI210" s="401">
        <v>100018342</v>
      </c>
      <c r="AJ210" s="329">
        <v>0</v>
      </c>
      <c r="AK210" s="329">
        <v>0</v>
      </c>
      <c r="AL210" s="329">
        <v>108</v>
      </c>
      <c r="AM210" s="329">
        <v>108</v>
      </c>
      <c r="AN210" s="329">
        <v>86</v>
      </c>
      <c r="AO210" s="329">
        <v>1077490</v>
      </c>
    </row>
    <row r="211" spans="1:41" ht="15.75">
      <c r="A211" s="333">
        <v>205</v>
      </c>
      <c r="B211" s="3" t="s">
        <v>179</v>
      </c>
      <c r="C211" s="398" t="s">
        <v>180</v>
      </c>
      <c r="D211" s="329">
        <v>5784</v>
      </c>
      <c r="E211" s="329">
        <v>5784</v>
      </c>
      <c r="F211" s="329">
        <v>0</v>
      </c>
      <c r="G211" s="329">
        <v>0</v>
      </c>
      <c r="H211" s="329">
        <v>5784</v>
      </c>
      <c r="I211" s="329">
        <v>0</v>
      </c>
      <c r="J211" s="329">
        <v>0</v>
      </c>
      <c r="K211" s="333">
        <v>0</v>
      </c>
      <c r="L211" s="333"/>
      <c r="M211" s="165"/>
      <c r="N211" s="398" t="s">
        <v>180</v>
      </c>
      <c r="O211" s="329">
        <v>0</v>
      </c>
      <c r="P211" s="329">
        <v>0</v>
      </c>
      <c r="Q211" s="329">
        <v>5784</v>
      </c>
      <c r="R211" s="333">
        <v>5784</v>
      </c>
      <c r="S211" s="333">
        <v>62454577</v>
      </c>
      <c r="T211" s="3">
        <v>1.2</v>
      </c>
      <c r="U211" s="165">
        <v>5784</v>
      </c>
      <c r="V211" s="398" t="s">
        <v>180</v>
      </c>
      <c r="W211" s="406">
        <v>0</v>
      </c>
      <c r="X211" s="405">
        <v>0</v>
      </c>
      <c r="Y211" s="406">
        <v>0</v>
      </c>
      <c r="Z211" s="3"/>
      <c r="AA211" s="398" t="s">
        <v>180</v>
      </c>
      <c r="AB211" s="329">
        <v>0</v>
      </c>
      <c r="AC211" s="329">
        <v>0</v>
      </c>
      <c r="AD211" s="329">
        <v>5784</v>
      </c>
      <c r="AE211" s="329">
        <v>5784</v>
      </c>
      <c r="AF211" s="329">
        <v>4627</v>
      </c>
      <c r="AG211" s="329">
        <v>26250436</v>
      </c>
      <c r="AH211" s="3"/>
      <c r="AI211" s="398" t="s">
        <v>180</v>
      </c>
      <c r="AJ211" s="329">
        <v>0</v>
      </c>
      <c r="AK211" s="329">
        <v>0</v>
      </c>
      <c r="AL211" s="329">
        <v>5784</v>
      </c>
      <c r="AM211" s="329">
        <v>5784</v>
      </c>
      <c r="AN211" s="329">
        <v>4627</v>
      </c>
      <c r="AO211" s="329">
        <v>36204141</v>
      </c>
    </row>
    <row r="212" spans="1:41" ht="15.75">
      <c r="A212" s="333">
        <v>206</v>
      </c>
      <c r="B212" s="169" t="s">
        <v>105</v>
      </c>
      <c r="C212" s="401">
        <v>453088</v>
      </c>
      <c r="D212" s="329">
        <v>0</v>
      </c>
      <c r="E212" s="329">
        <v>745</v>
      </c>
      <c r="F212" s="329">
        <v>0</v>
      </c>
      <c r="G212" s="329">
        <v>0</v>
      </c>
      <c r="H212" s="329">
        <v>745</v>
      </c>
      <c r="I212" s="329">
        <v>0</v>
      </c>
      <c r="J212" s="329">
        <v>51</v>
      </c>
      <c r="K212" s="333">
        <v>51</v>
      </c>
      <c r="L212" s="333"/>
      <c r="M212" s="208"/>
      <c r="N212" s="401">
        <v>453088</v>
      </c>
      <c r="O212" s="329">
        <v>0</v>
      </c>
      <c r="P212" s="329">
        <v>0</v>
      </c>
      <c r="Q212" s="329">
        <v>745</v>
      </c>
      <c r="R212" s="333">
        <v>745</v>
      </c>
      <c r="S212" s="333">
        <v>20287643</v>
      </c>
      <c r="T212" s="3">
        <v>1.45</v>
      </c>
      <c r="U212" s="165">
        <f>VLOOKUP(N212,'[2]154'!$C$9:$T$554,18,0)</f>
        <v>745</v>
      </c>
      <c r="V212" s="401">
        <v>453088</v>
      </c>
      <c r="W212" s="406">
        <v>51</v>
      </c>
      <c r="X212" s="405">
        <v>34039.666666666664</v>
      </c>
      <c r="Y212" s="406">
        <v>1736023</v>
      </c>
      <c r="Z212" s="3"/>
      <c r="AA212" s="401">
        <v>453088</v>
      </c>
      <c r="AB212" s="329">
        <v>0</v>
      </c>
      <c r="AC212" s="329">
        <v>0</v>
      </c>
      <c r="AD212" s="329">
        <v>745</v>
      </c>
      <c r="AE212" s="329">
        <v>745</v>
      </c>
      <c r="AF212" s="329">
        <v>596</v>
      </c>
      <c r="AG212" s="329">
        <v>8527149</v>
      </c>
      <c r="AH212" s="3"/>
      <c r="AI212" s="401">
        <v>453088</v>
      </c>
      <c r="AJ212" s="329">
        <v>0</v>
      </c>
      <c r="AK212" s="329">
        <v>0</v>
      </c>
      <c r="AL212" s="329">
        <v>745</v>
      </c>
      <c r="AM212" s="329">
        <v>745</v>
      </c>
      <c r="AN212" s="329">
        <v>596</v>
      </c>
      <c r="AO212" s="329">
        <v>11760494</v>
      </c>
    </row>
    <row r="213" spans="1:41" ht="15.75">
      <c r="A213" s="333">
        <v>207</v>
      </c>
      <c r="B213" s="169" t="s">
        <v>105</v>
      </c>
      <c r="C213" s="401">
        <v>453616</v>
      </c>
      <c r="D213" s="329">
        <v>0</v>
      </c>
      <c r="E213" s="329">
        <v>312</v>
      </c>
      <c r="F213" s="329">
        <v>0</v>
      </c>
      <c r="G213" s="329">
        <v>219</v>
      </c>
      <c r="H213" s="329">
        <v>93</v>
      </c>
      <c r="I213" s="329">
        <v>0</v>
      </c>
      <c r="J213" s="329">
        <v>50</v>
      </c>
      <c r="K213" s="333">
        <v>50</v>
      </c>
      <c r="L213" s="333"/>
      <c r="M213" s="165"/>
      <c r="N213" s="401">
        <v>453616</v>
      </c>
      <c r="O213" s="329">
        <v>0</v>
      </c>
      <c r="P213" s="329">
        <v>219</v>
      </c>
      <c r="Q213" s="329">
        <v>93</v>
      </c>
      <c r="R213" s="333">
        <v>312</v>
      </c>
      <c r="S213" s="333">
        <v>5822264</v>
      </c>
      <c r="T213" s="3">
        <v>1.6</v>
      </c>
      <c r="U213" s="165">
        <f>VLOOKUP(N213,'[2]154'!$C$9:$T$554,18,0)</f>
        <v>312</v>
      </c>
      <c r="V213" s="401">
        <v>453616</v>
      </c>
      <c r="W213" s="406">
        <v>50</v>
      </c>
      <c r="X213" s="405">
        <v>31642.74</v>
      </c>
      <c r="Y213" s="406">
        <v>1582137</v>
      </c>
      <c r="Z213" s="3"/>
      <c r="AA213" s="401">
        <v>453616</v>
      </c>
      <c r="AB213" s="329">
        <v>0</v>
      </c>
      <c r="AC213" s="329">
        <v>219</v>
      </c>
      <c r="AD213" s="329">
        <v>93</v>
      </c>
      <c r="AE213" s="329">
        <v>312</v>
      </c>
      <c r="AF213" s="329">
        <v>184</v>
      </c>
      <c r="AG213" s="329">
        <v>2464372</v>
      </c>
      <c r="AH213" s="3"/>
      <c r="AI213" s="401">
        <v>453616</v>
      </c>
      <c r="AJ213" s="329">
        <v>0</v>
      </c>
      <c r="AK213" s="329">
        <v>219</v>
      </c>
      <c r="AL213" s="329">
        <v>93</v>
      </c>
      <c r="AM213" s="329">
        <v>312</v>
      </c>
      <c r="AN213" s="329">
        <v>184</v>
      </c>
      <c r="AO213" s="329">
        <v>3357892</v>
      </c>
    </row>
    <row r="214" spans="1:41" ht="15.75">
      <c r="A214" s="333">
        <v>208</v>
      </c>
      <c r="B214" s="169" t="s">
        <v>105</v>
      </c>
      <c r="C214" s="401">
        <v>453707</v>
      </c>
      <c r="D214" s="329">
        <v>0</v>
      </c>
      <c r="E214" s="329">
        <v>343</v>
      </c>
      <c r="F214" s="329">
        <v>0</v>
      </c>
      <c r="G214" s="329">
        <v>0</v>
      </c>
      <c r="H214" s="329">
        <v>343</v>
      </c>
      <c r="I214" s="329">
        <v>0</v>
      </c>
      <c r="J214" s="329">
        <v>23</v>
      </c>
      <c r="K214" s="333">
        <v>23</v>
      </c>
      <c r="L214" s="333"/>
      <c r="M214" s="165"/>
      <c r="N214" s="401">
        <v>453707</v>
      </c>
      <c r="O214" s="329">
        <v>0</v>
      </c>
      <c r="P214" s="329">
        <v>0</v>
      </c>
      <c r="Q214" s="329">
        <v>343</v>
      </c>
      <c r="R214" s="333">
        <v>343</v>
      </c>
      <c r="S214" s="333">
        <v>5340707</v>
      </c>
      <c r="T214" s="3">
        <v>1.75</v>
      </c>
      <c r="U214" s="165">
        <f>VLOOKUP(N214,'[2]154'!$C$9:$T$554,18,0)</f>
        <v>343</v>
      </c>
      <c r="V214" s="401">
        <v>453707</v>
      </c>
      <c r="W214" s="406">
        <v>23</v>
      </c>
      <c r="X214" s="405">
        <v>41082.391304347824</v>
      </c>
      <c r="Y214" s="406">
        <v>944895</v>
      </c>
      <c r="Z214" s="3"/>
      <c r="AA214" s="401">
        <v>453707</v>
      </c>
      <c r="AB214" s="329">
        <v>0</v>
      </c>
      <c r="AC214" s="329">
        <v>0</v>
      </c>
      <c r="AD214" s="329">
        <v>343</v>
      </c>
      <c r="AE214" s="329">
        <v>343</v>
      </c>
      <c r="AF214" s="329">
        <v>274</v>
      </c>
      <c r="AG214" s="329">
        <v>2244766</v>
      </c>
      <c r="AH214" s="3"/>
      <c r="AI214" s="401">
        <v>453707</v>
      </c>
      <c r="AJ214" s="329">
        <v>0</v>
      </c>
      <c r="AK214" s="329">
        <v>0</v>
      </c>
      <c r="AL214" s="329">
        <v>343</v>
      </c>
      <c r="AM214" s="329">
        <v>343</v>
      </c>
      <c r="AN214" s="329">
        <v>274</v>
      </c>
      <c r="AO214" s="329">
        <v>3095941</v>
      </c>
    </row>
    <row r="215" spans="1:41" ht="15.75">
      <c r="A215" s="333">
        <v>209</v>
      </c>
      <c r="B215" s="169" t="s">
        <v>105</v>
      </c>
      <c r="C215" s="401">
        <v>454208</v>
      </c>
      <c r="D215" s="329">
        <v>0</v>
      </c>
      <c r="E215" s="329">
        <v>3056</v>
      </c>
      <c r="F215" s="329">
        <v>7</v>
      </c>
      <c r="G215" s="329">
        <v>1522</v>
      </c>
      <c r="H215" s="329">
        <v>1527</v>
      </c>
      <c r="I215" s="329">
        <v>0</v>
      </c>
      <c r="J215" s="329">
        <v>273</v>
      </c>
      <c r="K215" s="333">
        <v>273</v>
      </c>
      <c r="L215" s="333"/>
      <c r="M215" s="208"/>
      <c r="N215" s="401">
        <v>454208</v>
      </c>
      <c r="O215" s="329">
        <v>7</v>
      </c>
      <c r="P215" s="329">
        <v>1522</v>
      </c>
      <c r="Q215" s="329">
        <v>1527</v>
      </c>
      <c r="R215" s="333">
        <v>3056</v>
      </c>
      <c r="S215" s="333">
        <v>64492383</v>
      </c>
      <c r="T215" s="3">
        <v>1.6</v>
      </c>
      <c r="U215" s="165">
        <f>VLOOKUP(N215,'[2]154'!$C$9:$T$554,18,0)</f>
        <v>3056</v>
      </c>
      <c r="V215" s="401">
        <v>454208</v>
      </c>
      <c r="W215" s="406">
        <v>273</v>
      </c>
      <c r="X215" s="405">
        <v>32649.608058608057</v>
      </c>
      <c r="Y215" s="406">
        <v>8913343</v>
      </c>
      <c r="Z215" s="3"/>
      <c r="AA215" s="401">
        <v>454208</v>
      </c>
      <c r="AB215" s="329">
        <v>7</v>
      </c>
      <c r="AC215" s="329">
        <v>1522</v>
      </c>
      <c r="AD215" s="329">
        <v>1527</v>
      </c>
      <c r="AE215" s="329">
        <v>3056</v>
      </c>
      <c r="AF215" s="329">
        <v>1984</v>
      </c>
      <c r="AG215" s="329">
        <v>27265369</v>
      </c>
      <c r="AH215" s="3"/>
      <c r="AI215" s="401">
        <v>454208</v>
      </c>
      <c r="AJ215" s="329">
        <v>7</v>
      </c>
      <c r="AK215" s="329">
        <v>1522</v>
      </c>
      <c r="AL215" s="329">
        <v>1527</v>
      </c>
      <c r="AM215" s="329">
        <v>3056</v>
      </c>
      <c r="AN215" s="329">
        <v>1984</v>
      </c>
      <c r="AO215" s="329">
        <v>37227014</v>
      </c>
    </row>
    <row r="216" spans="1:41" ht="15.75">
      <c r="A216" s="333">
        <v>210</v>
      </c>
      <c r="B216" s="169" t="s">
        <v>105</v>
      </c>
      <c r="C216" s="401">
        <v>455769</v>
      </c>
      <c r="D216" s="329">
        <v>0</v>
      </c>
      <c r="E216" s="329">
        <v>114</v>
      </c>
      <c r="F216" s="329">
        <v>0</v>
      </c>
      <c r="G216" s="329">
        <v>48</v>
      </c>
      <c r="H216" s="329">
        <v>66</v>
      </c>
      <c r="I216" s="329">
        <v>0</v>
      </c>
      <c r="J216" s="329">
        <v>68</v>
      </c>
      <c r="K216" s="333">
        <v>68</v>
      </c>
      <c r="L216" s="333"/>
      <c r="M216" s="165"/>
      <c r="N216" s="401">
        <v>455769</v>
      </c>
      <c r="O216" s="329">
        <v>0</v>
      </c>
      <c r="P216" s="329">
        <v>48</v>
      </c>
      <c r="Q216" s="329">
        <v>66</v>
      </c>
      <c r="R216" s="333">
        <v>114</v>
      </c>
      <c r="S216" s="333">
        <v>2630480</v>
      </c>
      <c r="T216" s="3">
        <v>1.6</v>
      </c>
      <c r="U216" s="165">
        <f>VLOOKUP(N216,'[2]154'!$C$9:$T$554,18,0)</f>
        <v>114</v>
      </c>
      <c r="V216" s="401">
        <v>455769</v>
      </c>
      <c r="W216" s="406">
        <v>68</v>
      </c>
      <c r="X216" s="405">
        <v>34162.088235294119</v>
      </c>
      <c r="Y216" s="406">
        <v>2323022</v>
      </c>
      <c r="Z216" s="3"/>
      <c r="AA216" s="401">
        <v>455769</v>
      </c>
      <c r="AB216" s="329">
        <v>0</v>
      </c>
      <c r="AC216" s="329">
        <v>48</v>
      </c>
      <c r="AD216" s="329">
        <v>66</v>
      </c>
      <c r="AE216" s="329">
        <v>114</v>
      </c>
      <c r="AF216" s="329">
        <v>77</v>
      </c>
      <c r="AG216" s="329">
        <v>1109758</v>
      </c>
      <c r="AH216" s="3"/>
      <c r="AI216" s="401">
        <v>455769</v>
      </c>
      <c r="AJ216" s="329">
        <v>0</v>
      </c>
      <c r="AK216" s="329">
        <v>48</v>
      </c>
      <c r="AL216" s="329">
        <v>66</v>
      </c>
      <c r="AM216" s="329">
        <v>114</v>
      </c>
      <c r="AN216" s="329">
        <v>77</v>
      </c>
      <c r="AO216" s="329">
        <v>1520722</v>
      </c>
    </row>
    <row r="217" spans="1:41" ht="15.75">
      <c r="A217" s="333">
        <v>211</v>
      </c>
      <c r="B217" s="169" t="s">
        <v>105</v>
      </c>
      <c r="C217" s="401">
        <v>455770</v>
      </c>
      <c r="D217" s="329">
        <v>0</v>
      </c>
      <c r="E217" s="329">
        <v>201</v>
      </c>
      <c r="F217" s="329">
        <v>0</v>
      </c>
      <c r="G217" s="329">
        <v>92</v>
      </c>
      <c r="H217" s="329">
        <v>109</v>
      </c>
      <c r="I217" s="329">
        <v>0</v>
      </c>
      <c r="J217" s="329">
        <v>68</v>
      </c>
      <c r="K217" s="333">
        <v>68</v>
      </c>
      <c r="L217" s="333"/>
      <c r="M217" s="165"/>
      <c r="N217" s="401">
        <v>455770</v>
      </c>
      <c r="O217" s="329">
        <v>0</v>
      </c>
      <c r="P217" s="329">
        <v>92</v>
      </c>
      <c r="Q217" s="329">
        <v>109</v>
      </c>
      <c r="R217" s="333">
        <v>201</v>
      </c>
      <c r="S217" s="333">
        <v>4414203</v>
      </c>
      <c r="T217" s="3">
        <v>1.6</v>
      </c>
      <c r="U217" s="165">
        <f>VLOOKUP(N217,'[2]154'!$C$9:$T$554,18,0)</f>
        <v>201</v>
      </c>
      <c r="V217" s="401">
        <v>455770</v>
      </c>
      <c r="W217" s="406">
        <v>68</v>
      </c>
      <c r="X217" s="405">
        <v>33189.5</v>
      </c>
      <c r="Y217" s="406">
        <v>2256886</v>
      </c>
      <c r="Z217" s="3"/>
      <c r="AA217" s="401">
        <v>455770</v>
      </c>
      <c r="AB217" s="329">
        <v>0</v>
      </c>
      <c r="AC217" s="329">
        <v>92</v>
      </c>
      <c r="AD217" s="329">
        <v>109</v>
      </c>
      <c r="AE217" s="329">
        <v>201</v>
      </c>
      <c r="AF217" s="329">
        <v>133</v>
      </c>
      <c r="AG217" s="329">
        <v>1864529</v>
      </c>
      <c r="AH217" s="3"/>
      <c r="AI217" s="401">
        <v>455770</v>
      </c>
      <c r="AJ217" s="329">
        <v>0</v>
      </c>
      <c r="AK217" s="329">
        <v>92</v>
      </c>
      <c r="AL217" s="329">
        <v>109</v>
      </c>
      <c r="AM217" s="329">
        <v>201</v>
      </c>
      <c r="AN217" s="329">
        <v>133</v>
      </c>
      <c r="AO217" s="329">
        <v>2549674</v>
      </c>
    </row>
    <row r="218" spans="1:41" ht="15.75">
      <c r="A218" s="333">
        <v>212</v>
      </c>
      <c r="B218" s="169" t="s">
        <v>105</v>
      </c>
      <c r="C218" s="401">
        <v>456858</v>
      </c>
      <c r="D218" s="329">
        <v>0</v>
      </c>
      <c r="E218" s="329">
        <v>450</v>
      </c>
      <c r="F218" s="329">
        <v>0</v>
      </c>
      <c r="G218" s="329">
        <v>0</v>
      </c>
      <c r="H218" s="329">
        <v>450</v>
      </c>
      <c r="I218" s="329">
        <v>0</v>
      </c>
      <c r="J218" s="329">
        <v>0</v>
      </c>
      <c r="K218" s="333">
        <v>0</v>
      </c>
      <c r="L218" s="333"/>
      <c r="M218" s="208"/>
      <c r="N218" s="401">
        <v>456858</v>
      </c>
      <c r="O218" s="329">
        <v>0</v>
      </c>
      <c r="P218" s="329">
        <v>0</v>
      </c>
      <c r="Q218" s="329">
        <v>450</v>
      </c>
      <c r="R218" s="333">
        <v>450</v>
      </c>
      <c r="S218" s="333">
        <v>6127140</v>
      </c>
      <c r="T218" s="3">
        <v>1.45</v>
      </c>
      <c r="U218" s="165">
        <f>VLOOKUP(N218,'[2]154'!$C$9:$T$554,18,0)</f>
        <v>450</v>
      </c>
      <c r="V218" s="401">
        <v>456858</v>
      </c>
      <c r="W218" s="406">
        <v>0</v>
      </c>
      <c r="X218" s="405">
        <v>0</v>
      </c>
      <c r="Y218" s="406">
        <v>0</v>
      </c>
      <c r="Z218" s="3"/>
      <c r="AA218" s="401">
        <v>456858</v>
      </c>
      <c r="AB218" s="329">
        <v>0</v>
      </c>
      <c r="AC218" s="329">
        <v>0</v>
      </c>
      <c r="AD218" s="329">
        <v>450</v>
      </c>
      <c r="AE218" s="329">
        <v>450</v>
      </c>
      <c r="AF218" s="329">
        <v>360</v>
      </c>
      <c r="AG218" s="329">
        <v>2575313</v>
      </c>
      <c r="AH218" s="3"/>
      <c r="AI218" s="401">
        <v>456858</v>
      </c>
      <c r="AJ218" s="329">
        <v>0</v>
      </c>
      <c r="AK218" s="329">
        <v>0</v>
      </c>
      <c r="AL218" s="329">
        <v>450</v>
      </c>
      <c r="AM218" s="329">
        <v>450</v>
      </c>
      <c r="AN218" s="329">
        <v>360</v>
      </c>
      <c r="AO218" s="329">
        <v>3551827</v>
      </c>
    </row>
    <row r="219" spans="1:41" ht="15.75">
      <c r="A219" s="333">
        <v>213</v>
      </c>
      <c r="B219" s="169" t="s">
        <v>105</v>
      </c>
      <c r="C219" s="401">
        <v>465443</v>
      </c>
      <c r="D219" s="329">
        <v>0</v>
      </c>
      <c r="E219" s="329">
        <v>42</v>
      </c>
      <c r="F219" s="329">
        <v>0</v>
      </c>
      <c r="G219" s="329">
        <v>0</v>
      </c>
      <c r="H219" s="329">
        <v>42</v>
      </c>
      <c r="I219" s="329">
        <v>0</v>
      </c>
      <c r="J219" s="329">
        <v>0</v>
      </c>
      <c r="K219" s="333">
        <v>0</v>
      </c>
      <c r="L219" s="333"/>
      <c r="M219" s="165"/>
      <c r="N219" s="401">
        <v>465443</v>
      </c>
      <c r="O219" s="329">
        <v>0</v>
      </c>
      <c r="P219" s="329">
        <v>0</v>
      </c>
      <c r="Q219" s="329">
        <v>42</v>
      </c>
      <c r="R219" s="333">
        <v>42</v>
      </c>
      <c r="S219" s="333">
        <v>1077532</v>
      </c>
      <c r="T219" s="3">
        <v>1.35</v>
      </c>
      <c r="U219" s="165">
        <f>VLOOKUP(N219,'[2]154'!$C$9:$T$554,18,0)</f>
        <v>42</v>
      </c>
      <c r="V219" s="401">
        <v>465443</v>
      </c>
      <c r="W219" s="406">
        <v>0</v>
      </c>
      <c r="X219" s="405">
        <v>0</v>
      </c>
      <c r="Y219" s="406">
        <v>0</v>
      </c>
      <c r="Z219" s="3"/>
      <c r="AA219" s="401">
        <v>465443</v>
      </c>
      <c r="AB219" s="329">
        <v>0</v>
      </c>
      <c r="AC219" s="329">
        <v>0</v>
      </c>
      <c r="AD219" s="329">
        <v>42</v>
      </c>
      <c r="AE219" s="329">
        <v>42</v>
      </c>
      <c r="AF219" s="329">
        <v>34</v>
      </c>
      <c r="AG219" s="329">
        <v>452900</v>
      </c>
      <c r="AH219" s="3"/>
      <c r="AI219" s="401">
        <v>465443</v>
      </c>
      <c r="AJ219" s="329">
        <v>0</v>
      </c>
      <c r="AK219" s="329">
        <v>0</v>
      </c>
      <c r="AL219" s="329">
        <v>42</v>
      </c>
      <c r="AM219" s="329">
        <v>42</v>
      </c>
      <c r="AN219" s="329">
        <v>34</v>
      </c>
      <c r="AO219" s="329">
        <v>624632</v>
      </c>
    </row>
    <row r="220" spans="1:41" ht="15.75">
      <c r="A220" s="333">
        <v>214</v>
      </c>
      <c r="B220" s="169" t="s">
        <v>105</v>
      </c>
      <c r="C220" s="401">
        <v>465452</v>
      </c>
      <c r="D220" s="329">
        <v>0</v>
      </c>
      <c r="E220" s="329">
        <v>62</v>
      </c>
      <c r="F220" s="329">
        <v>0</v>
      </c>
      <c r="G220" s="329">
        <v>0</v>
      </c>
      <c r="H220" s="329">
        <v>62</v>
      </c>
      <c r="I220" s="329">
        <v>0</v>
      </c>
      <c r="J220" s="329">
        <v>0</v>
      </c>
      <c r="K220" s="333">
        <v>0</v>
      </c>
      <c r="L220" s="333"/>
      <c r="M220" s="165"/>
      <c r="N220" s="401">
        <v>465452</v>
      </c>
      <c r="O220" s="329">
        <v>0</v>
      </c>
      <c r="P220" s="329">
        <v>0</v>
      </c>
      <c r="Q220" s="329">
        <v>62</v>
      </c>
      <c r="R220" s="333">
        <v>62</v>
      </c>
      <c r="S220" s="333">
        <v>855687</v>
      </c>
      <c r="T220" s="3">
        <v>1.35</v>
      </c>
      <c r="U220" s="165">
        <f>VLOOKUP(N220,'[2]154'!$C$9:$T$554,18,0)</f>
        <v>62</v>
      </c>
      <c r="V220" s="401">
        <v>465452</v>
      </c>
      <c r="W220" s="406">
        <v>0</v>
      </c>
      <c r="X220" s="405">
        <v>0</v>
      </c>
      <c r="Y220" s="406">
        <v>0</v>
      </c>
      <c r="Z220" s="3"/>
      <c r="AA220" s="401">
        <v>465452</v>
      </c>
      <c r="AB220" s="329">
        <v>0</v>
      </c>
      <c r="AC220" s="329">
        <v>0</v>
      </c>
      <c r="AD220" s="329">
        <v>62</v>
      </c>
      <c r="AE220" s="329">
        <v>62</v>
      </c>
      <c r="AF220" s="329">
        <v>50</v>
      </c>
      <c r="AG220" s="329">
        <v>359656</v>
      </c>
      <c r="AH220" s="3"/>
      <c r="AI220" s="401">
        <v>465452</v>
      </c>
      <c r="AJ220" s="329">
        <v>0</v>
      </c>
      <c r="AK220" s="329">
        <v>0</v>
      </c>
      <c r="AL220" s="329">
        <v>62</v>
      </c>
      <c r="AM220" s="329">
        <v>62</v>
      </c>
      <c r="AN220" s="329">
        <v>50</v>
      </c>
      <c r="AO220" s="329">
        <v>496031</v>
      </c>
    </row>
    <row r="221" spans="1:41" ht="15.75">
      <c r="A221" s="333">
        <v>215</v>
      </c>
      <c r="B221" s="169" t="s">
        <v>105</v>
      </c>
      <c r="C221" s="401">
        <v>465456</v>
      </c>
      <c r="D221" s="329">
        <v>0</v>
      </c>
      <c r="E221" s="329">
        <v>20</v>
      </c>
      <c r="F221" s="329">
        <v>0</v>
      </c>
      <c r="G221" s="329">
        <v>0</v>
      </c>
      <c r="H221" s="329">
        <v>20</v>
      </c>
      <c r="I221" s="329">
        <v>0</v>
      </c>
      <c r="J221" s="329">
        <v>0</v>
      </c>
      <c r="K221" s="333">
        <v>0</v>
      </c>
      <c r="L221" s="333"/>
      <c r="M221" s="208"/>
      <c r="N221" s="401">
        <v>465456</v>
      </c>
      <c r="O221" s="329">
        <v>0</v>
      </c>
      <c r="P221" s="329">
        <v>0</v>
      </c>
      <c r="Q221" s="329">
        <v>20</v>
      </c>
      <c r="R221" s="333">
        <v>20</v>
      </c>
      <c r="S221" s="333">
        <v>594716</v>
      </c>
      <c r="T221" s="3">
        <v>1.6</v>
      </c>
      <c r="U221" s="165">
        <f>VLOOKUP(N221,'[2]154'!$C$9:$T$554,18,0)</f>
        <v>20</v>
      </c>
      <c r="V221" s="401">
        <v>465456</v>
      </c>
      <c r="W221" s="406">
        <v>0</v>
      </c>
      <c r="X221" s="405">
        <v>0</v>
      </c>
      <c r="Y221" s="406">
        <v>0</v>
      </c>
      <c r="Z221" s="3"/>
      <c r="AA221" s="401">
        <v>465456</v>
      </c>
      <c r="AB221" s="329">
        <v>0</v>
      </c>
      <c r="AC221" s="329">
        <v>0</v>
      </c>
      <c r="AD221" s="329">
        <v>20</v>
      </c>
      <c r="AE221" s="329">
        <v>20</v>
      </c>
      <c r="AF221" s="329">
        <v>16</v>
      </c>
      <c r="AG221" s="329">
        <v>249967</v>
      </c>
      <c r="AH221" s="3"/>
      <c r="AI221" s="401">
        <v>465456</v>
      </c>
      <c r="AJ221" s="329">
        <v>0</v>
      </c>
      <c r="AK221" s="329">
        <v>0</v>
      </c>
      <c r="AL221" s="329">
        <v>20</v>
      </c>
      <c r="AM221" s="329">
        <v>20</v>
      </c>
      <c r="AN221" s="329">
        <v>16</v>
      </c>
      <c r="AO221" s="329">
        <v>344749</v>
      </c>
    </row>
    <row r="222" spans="1:41" ht="15.75">
      <c r="A222" s="333">
        <v>216</v>
      </c>
      <c r="B222" s="3" t="s">
        <v>101</v>
      </c>
      <c r="C222" s="401">
        <v>100003058</v>
      </c>
      <c r="D222" s="329">
        <v>0</v>
      </c>
      <c r="E222" s="329">
        <v>28</v>
      </c>
      <c r="F222" s="329">
        <v>0</v>
      </c>
      <c r="G222" s="329">
        <v>0</v>
      </c>
      <c r="H222" s="329">
        <v>28</v>
      </c>
      <c r="I222" s="329">
        <v>0</v>
      </c>
      <c r="J222" s="329">
        <v>306</v>
      </c>
      <c r="K222" s="333">
        <v>306</v>
      </c>
      <c r="L222" s="333"/>
      <c r="M222" s="165"/>
      <c r="N222" s="401">
        <v>100003058</v>
      </c>
      <c r="O222" s="329">
        <v>0</v>
      </c>
      <c r="P222" s="329">
        <v>0</v>
      </c>
      <c r="Q222" s="329">
        <v>28</v>
      </c>
      <c r="R222" s="333">
        <v>28</v>
      </c>
      <c r="S222" s="333">
        <v>525854</v>
      </c>
      <c r="T222" s="3">
        <v>4</v>
      </c>
      <c r="U222" s="165">
        <f>VLOOKUP(N222,'[2]154'!$C$9:$T$554,18,0)</f>
        <v>28</v>
      </c>
      <c r="V222" s="401">
        <v>100003058</v>
      </c>
      <c r="W222" s="406">
        <v>306</v>
      </c>
      <c r="X222" s="405">
        <v>92274.503267973851</v>
      </c>
      <c r="Y222" s="406">
        <v>28235998</v>
      </c>
      <c r="Z222" s="3"/>
      <c r="AA222" s="401">
        <v>100003058</v>
      </c>
      <c r="AB222" s="329">
        <v>0</v>
      </c>
      <c r="AC222" s="329">
        <v>0</v>
      </c>
      <c r="AD222" s="329">
        <v>28</v>
      </c>
      <c r="AE222" s="329">
        <v>28</v>
      </c>
      <c r="AF222" s="329">
        <v>22</v>
      </c>
      <c r="AG222" s="329">
        <v>221023</v>
      </c>
      <c r="AH222" s="3"/>
      <c r="AI222" s="401">
        <v>100003058</v>
      </c>
      <c r="AJ222" s="329">
        <v>0</v>
      </c>
      <c r="AK222" s="329">
        <v>0</v>
      </c>
      <c r="AL222" s="329">
        <v>28</v>
      </c>
      <c r="AM222" s="329">
        <v>28</v>
      </c>
      <c r="AN222" s="329">
        <v>22</v>
      </c>
      <c r="AO222" s="329">
        <v>304831</v>
      </c>
    </row>
    <row r="223" spans="1:41" ht="15.75">
      <c r="A223" s="333">
        <v>217</v>
      </c>
      <c r="B223" s="3" t="s">
        <v>101</v>
      </c>
      <c r="C223" s="401">
        <v>100014739</v>
      </c>
      <c r="D223" s="329">
        <v>0</v>
      </c>
      <c r="E223" s="329">
        <f>365+165</f>
        <v>530</v>
      </c>
      <c r="F223" s="329">
        <v>0</v>
      </c>
      <c r="G223" s="329">
        <v>0</v>
      </c>
      <c r="H223" s="329">
        <v>530</v>
      </c>
      <c r="I223" s="329">
        <v>0</v>
      </c>
      <c r="J223" s="329">
        <v>317</v>
      </c>
      <c r="K223" s="333">
        <v>317</v>
      </c>
      <c r="L223" s="333"/>
      <c r="M223" s="165"/>
      <c r="N223" s="401">
        <v>100014739</v>
      </c>
      <c r="O223" s="329">
        <v>0</v>
      </c>
      <c r="P223" s="329">
        <v>0</v>
      </c>
      <c r="Q223" s="329">
        <v>530</v>
      </c>
      <c r="R223" s="333">
        <v>530</v>
      </c>
      <c r="S223" s="333">
        <v>10863988</v>
      </c>
      <c r="T223" s="3">
        <v>2.7</v>
      </c>
      <c r="U223" s="165">
        <f>VLOOKUP(N223,'[2]154'!$C$9:$T$554,18,0)</f>
        <v>530</v>
      </c>
      <c r="V223" s="401">
        <v>100014739</v>
      </c>
      <c r="W223" s="406">
        <v>317</v>
      </c>
      <c r="X223" s="405">
        <v>61602</v>
      </c>
      <c r="Y223" s="406">
        <v>13276373</v>
      </c>
      <c r="Z223" s="3"/>
      <c r="AA223" s="401">
        <v>100014739</v>
      </c>
      <c r="AB223" s="329">
        <v>0</v>
      </c>
      <c r="AC223" s="329">
        <v>0</v>
      </c>
      <c r="AD223" s="329">
        <v>530</v>
      </c>
      <c r="AE223" s="329">
        <v>530</v>
      </c>
      <c r="AF223" s="329">
        <v>424</v>
      </c>
      <c r="AG223" s="329">
        <v>4542911</v>
      </c>
      <c r="AH223" s="3"/>
      <c r="AI223" s="401">
        <v>100014739</v>
      </c>
      <c r="AJ223" s="329">
        <v>0</v>
      </c>
      <c r="AK223" s="329">
        <v>0</v>
      </c>
      <c r="AL223" s="329">
        <v>530</v>
      </c>
      <c r="AM223" s="329">
        <v>530</v>
      </c>
      <c r="AN223" s="329">
        <v>424</v>
      </c>
      <c r="AO223" s="329">
        <v>6321077</v>
      </c>
    </row>
    <row r="224" spans="1:41" ht="15.75">
      <c r="A224" s="333">
        <v>218</v>
      </c>
      <c r="B224" s="169" t="s">
        <v>106</v>
      </c>
      <c r="C224" s="398" t="s">
        <v>181</v>
      </c>
      <c r="D224" s="329">
        <v>17851</v>
      </c>
      <c r="E224" s="329">
        <v>922</v>
      </c>
      <c r="F224" s="329">
        <v>90</v>
      </c>
      <c r="G224" s="329">
        <v>33</v>
      </c>
      <c r="H224" s="329">
        <v>799</v>
      </c>
      <c r="I224" s="329">
        <v>6215</v>
      </c>
      <c r="J224" s="329">
        <v>0</v>
      </c>
      <c r="K224" s="333">
        <v>6215</v>
      </c>
      <c r="L224" s="333"/>
      <c r="M224" s="208"/>
      <c r="N224" s="398" t="s">
        <v>181</v>
      </c>
      <c r="O224" s="329">
        <v>90</v>
      </c>
      <c r="P224" s="329">
        <v>33</v>
      </c>
      <c r="Q224" s="329">
        <v>799</v>
      </c>
      <c r="R224" s="333">
        <v>922</v>
      </c>
      <c r="S224" s="333">
        <v>18316824</v>
      </c>
      <c r="T224" s="3">
        <v>1.36</v>
      </c>
      <c r="U224" s="165">
        <f>VLOOKUP(N224,'[2]154'!$C$9:$T$554,18,0)</f>
        <v>922</v>
      </c>
      <c r="V224" s="398" t="s">
        <v>181</v>
      </c>
      <c r="W224" s="406">
        <v>6215</v>
      </c>
      <c r="X224" s="405">
        <v>27629.033789219629</v>
      </c>
      <c r="Y224" s="406">
        <v>171714445</v>
      </c>
      <c r="Z224" s="3"/>
      <c r="AA224" s="398" t="s">
        <v>181</v>
      </c>
      <c r="AB224" s="329">
        <v>90</v>
      </c>
      <c r="AC224" s="329">
        <v>33</v>
      </c>
      <c r="AD224" s="329">
        <v>799</v>
      </c>
      <c r="AE224" s="329">
        <v>922</v>
      </c>
      <c r="AF224" s="329">
        <v>674</v>
      </c>
      <c r="AG224" s="329">
        <v>7257076</v>
      </c>
      <c r="AH224" s="3"/>
      <c r="AI224" s="398" t="s">
        <v>181</v>
      </c>
      <c r="AJ224" s="329">
        <v>90</v>
      </c>
      <c r="AK224" s="329">
        <v>33</v>
      </c>
      <c r="AL224" s="329">
        <v>799</v>
      </c>
      <c r="AM224" s="329">
        <v>922</v>
      </c>
      <c r="AN224" s="329">
        <v>674</v>
      </c>
      <c r="AO224" s="329">
        <v>11059748</v>
      </c>
    </row>
    <row r="225" spans="1:41" ht="15.75">
      <c r="A225" s="333">
        <v>219</v>
      </c>
      <c r="B225" s="169" t="s">
        <v>106</v>
      </c>
      <c r="C225" s="398" t="s">
        <v>182</v>
      </c>
      <c r="D225" s="329">
        <v>5208</v>
      </c>
      <c r="E225" s="329">
        <v>275</v>
      </c>
      <c r="F225" s="329">
        <v>9</v>
      </c>
      <c r="G225" s="329">
        <v>132</v>
      </c>
      <c r="H225" s="329">
        <v>134</v>
      </c>
      <c r="I225" s="329">
        <v>406</v>
      </c>
      <c r="J225" s="329">
        <v>0</v>
      </c>
      <c r="K225" s="333">
        <v>406</v>
      </c>
      <c r="L225" s="333"/>
      <c r="M225" s="165"/>
      <c r="N225" s="398" t="s">
        <v>182</v>
      </c>
      <c r="O225" s="329">
        <v>9</v>
      </c>
      <c r="P225" s="329">
        <v>132</v>
      </c>
      <c r="Q225" s="329">
        <v>134</v>
      </c>
      <c r="R225" s="333">
        <v>275</v>
      </c>
      <c r="S225" s="333">
        <v>5363975</v>
      </c>
      <c r="T225" s="3">
        <v>1.53</v>
      </c>
      <c r="U225" s="165">
        <f>VLOOKUP(N225,'[2]154'!$C$9:$T$554,18,0)</f>
        <v>275</v>
      </c>
      <c r="V225" s="398" t="s">
        <v>182</v>
      </c>
      <c r="W225" s="406">
        <v>406</v>
      </c>
      <c r="X225" s="405">
        <v>35133.64523809524</v>
      </c>
      <c r="Y225" s="406">
        <f>14756131-491871</f>
        <v>14264260</v>
      </c>
      <c r="Z225" s="3"/>
      <c r="AA225" s="398" t="s">
        <v>182</v>
      </c>
      <c r="AB225" s="329">
        <v>9</v>
      </c>
      <c r="AC225" s="329">
        <v>132</v>
      </c>
      <c r="AD225" s="329">
        <v>134</v>
      </c>
      <c r="AE225" s="329">
        <v>275</v>
      </c>
      <c r="AF225" s="329">
        <v>175</v>
      </c>
      <c r="AG225" s="329">
        <v>2008311</v>
      </c>
      <c r="AH225" s="3"/>
      <c r="AI225" s="398" t="s">
        <v>182</v>
      </c>
      <c r="AJ225" s="329">
        <v>9</v>
      </c>
      <c r="AK225" s="329">
        <v>132</v>
      </c>
      <c r="AL225" s="329">
        <v>134</v>
      </c>
      <c r="AM225" s="329">
        <v>275</v>
      </c>
      <c r="AN225" s="329">
        <v>175</v>
      </c>
      <c r="AO225" s="329">
        <v>3355664</v>
      </c>
    </row>
    <row r="226" spans="1:41" ht="12" customHeight="1">
      <c r="A226" s="333">
        <v>220</v>
      </c>
      <c r="B226" s="169" t="s">
        <v>106</v>
      </c>
      <c r="C226" s="398" t="s">
        <v>183</v>
      </c>
      <c r="D226" s="329">
        <v>0</v>
      </c>
      <c r="E226" s="329">
        <v>1684</v>
      </c>
      <c r="F226" s="329">
        <v>0</v>
      </c>
      <c r="G226" s="329">
        <v>0</v>
      </c>
      <c r="H226" s="329">
        <v>1684</v>
      </c>
      <c r="I226" s="329">
        <v>0</v>
      </c>
      <c r="J226" s="329">
        <v>0</v>
      </c>
      <c r="K226" s="333">
        <v>0</v>
      </c>
      <c r="L226" s="333"/>
      <c r="M226" s="165"/>
      <c r="N226" s="398" t="s">
        <v>183</v>
      </c>
      <c r="O226" s="329">
        <v>0</v>
      </c>
      <c r="P226" s="329">
        <v>0</v>
      </c>
      <c r="Q226" s="329">
        <v>1684</v>
      </c>
      <c r="R226" s="333">
        <v>1684</v>
      </c>
      <c r="S226" s="333">
        <v>42215561</v>
      </c>
      <c r="T226" s="3">
        <v>2.6</v>
      </c>
      <c r="U226" s="165">
        <f>VLOOKUP(N226,'[2]154'!$C$9:$T$554,18,0)</f>
        <v>1684</v>
      </c>
      <c r="V226" s="398" t="s">
        <v>183</v>
      </c>
      <c r="W226" s="406">
        <v>0</v>
      </c>
      <c r="X226" s="405">
        <v>0</v>
      </c>
      <c r="Y226" s="406">
        <v>0</v>
      </c>
      <c r="Z226" s="3"/>
      <c r="AA226" s="398" t="s">
        <v>183</v>
      </c>
      <c r="AB226" s="329">
        <v>0</v>
      </c>
      <c r="AC226" s="329">
        <v>0</v>
      </c>
      <c r="AD226" s="329">
        <v>1684</v>
      </c>
      <c r="AE226" s="329">
        <v>1684</v>
      </c>
      <c r="AF226" s="329">
        <v>1347</v>
      </c>
      <c r="AG226" s="329">
        <v>17743726</v>
      </c>
      <c r="AH226" s="3"/>
      <c r="AI226" s="398" t="s">
        <v>183</v>
      </c>
      <c r="AJ226" s="329">
        <v>0</v>
      </c>
      <c r="AK226" s="329">
        <v>0</v>
      </c>
      <c r="AL226" s="329">
        <v>1684</v>
      </c>
      <c r="AM226" s="329">
        <v>1684</v>
      </c>
      <c r="AN226" s="329">
        <v>1347</v>
      </c>
      <c r="AO226" s="329">
        <v>24471835</v>
      </c>
    </row>
    <row r="227" spans="1:41" ht="15.75">
      <c r="A227" s="333">
        <v>221</v>
      </c>
      <c r="B227" s="3" t="s">
        <v>108</v>
      </c>
      <c r="C227" s="401">
        <v>181034126</v>
      </c>
      <c r="D227" s="329">
        <v>0</v>
      </c>
      <c r="E227" s="329">
        <v>53</v>
      </c>
      <c r="F227" s="329">
        <v>0</v>
      </c>
      <c r="G227" s="329">
        <v>0</v>
      </c>
      <c r="H227" s="329">
        <v>53</v>
      </c>
      <c r="I227" s="329">
        <v>0</v>
      </c>
      <c r="J227" s="329">
        <v>16</v>
      </c>
      <c r="K227" s="333">
        <v>16</v>
      </c>
      <c r="L227" s="333"/>
      <c r="M227" s="208"/>
      <c r="N227" s="401">
        <v>181034126</v>
      </c>
      <c r="O227" s="329">
        <v>0</v>
      </c>
      <c r="P227" s="329">
        <v>0</v>
      </c>
      <c r="Q227" s="329">
        <v>53</v>
      </c>
      <c r="R227" s="333">
        <v>53</v>
      </c>
      <c r="S227" s="333">
        <v>1335294</v>
      </c>
      <c r="T227" s="3">
        <v>3.16</v>
      </c>
      <c r="U227" s="165">
        <f>VLOOKUP(N227,'[2]154'!$C$9:$T$554,18,0)</f>
        <v>53</v>
      </c>
      <c r="V227" s="401">
        <v>181034126</v>
      </c>
      <c r="W227" s="406">
        <v>16</v>
      </c>
      <c r="X227" s="405">
        <v>74183</v>
      </c>
      <c r="Y227" s="406">
        <v>1186928</v>
      </c>
      <c r="Z227" s="3"/>
      <c r="AA227" s="401">
        <v>181034126</v>
      </c>
      <c r="AB227" s="329">
        <v>0</v>
      </c>
      <c r="AC227" s="329">
        <v>0</v>
      </c>
      <c r="AD227" s="329">
        <v>53</v>
      </c>
      <c r="AE227" s="329">
        <v>53</v>
      </c>
      <c r="AF227" s="329">
        <v>42</v>
      </c>
      <c r="AG227" s="329">
        <v>561241</v>
      </c>
      <c r="AH227" s="3"/>
      <c r="AI227" s="401">
        <v>181034126</v>
      </c>
      <c r="AJ227" s="329">
        <v>0</v>
      </c>
      <c r="AK227" s="329">
        <v>0</v>
      </c>
      <c r="AL227" s="329">
        <v>53</v>
      </c>
      <c r="AM227" s="329">
        <v>53</v>
      </c>
      <c r="AN227" s="329">
        <v>42</v>
      </c>
      <c r="AO227" s="329">
        <v>774053</v>
      </c>
    </row>
    <row r="228" spans="1:41" ht="15.75">
      <c r="A228" s="333">
        <v>222</v>
      </c>
      <c r="B228" s="3" t="s">
        <v>108</v>
      </c>
      <c r="C228" s="401">
        <v>181034892</v>
      </c>
      <c r="D228" s="329">
        <v>0</v>
      </c>
      <c r="E228" s="329">
        <v>68</v>
      </c>
      <c r="F228" s="329">
        <v>0</v>
      </c>
      <c r="G228" s="329">
        <v>46</v>
      </c>
      <c r="H228" s="329">
        <v>22</v>
      </c>
      <c r="I228" s="329">
        <v>0</v>
      </c>
      <c r="J228" s="329">
        <v>17</v>
      </c>
      <c r="K228" s="333">
        <v>17</v>
      </c>
      <c r="L228" s="333"/>
      <c r="M228" s="165"/>
      <c r="N228" s="401">
        <v>181034892</v>
      </c>
      <c r="O228" s="329">
        <v>0</v>
      </c>
      <c r="P228" s="329">
        <v>46</v>
      </c>
      <c r="Q228" s="329">
        <v>22</v>
      </c>
      <c r="R228" s="333">
        <v>68</v>
      </c>
      <c r="S228" s="333">
        <v>2785655</v>
      </c>
      <c r="T228" s="3">
        <v>3.36</v>
      </c>
      <c r="U228" s="165">
        <f>VLOOKUP(N228,'[2]154'!$C$9:$T$554,18,0)</f>
        <v>68</v>
      </c>
      <c r="V228" s="401">
        <v>181034892</v>
      </c>
      <c r="W228" s="406">
        <v>17</v>
      </c>
      <c r="X228" s="405">
        <v>67942.76470588235</v>
      </c>
      <c r="Y228" s="406">
        <v>1155027</v>
      </c>
      <c r="Z228" s="3"/>
      <c r="AA228" s="401">
        <v>181034892</v>
      </c>
      <c r="AB228" s="329">
        <v>0</v>
      </c>
      <c r="AC228" s="329">
        <v>46</v>
      </c>
      <c r="AD228" s="329">
        <v>22</v>
      </c>
      <c r="AE228" s="329">
        <v>68</v>
      </c>
      <c r="AF228" s="329">
        <v>41</v>
      </c>
      <c r="AG228" s="329">
        <v>1177928</v>
      </c>
      <c r="AH228" s="3"/>
      <c r="AI228" s="401">
        <v>181034892</v>
      </c>
      <c r="AJ228" s="329">
        <v>0</v>
      </c>
      <c r="AK228" s="329">
        <v>46</v>
      </c>
      <c r="AL228" s="329">
        <v>22</v>
      </c>
      <c r="AM228" s="329">
        <v>68</v>
      </c>
      <c r="AN228" s="329">
        <v>41</v>
      </c>
      <c r="AO228" s="329">
        <v>1607727</v>
      </c>
    </row>
    <row r="229" spans="1:41" ht="15.75">
      <c r="A229" s="333">
        <v>223</v>
      </c>
      <c r="B229" s="169" t="s">
        <v>105</v>
      </c>
      <c r="C229" s="401">
        <v>466852</v>
      </c>
      <c r="D229" s="329">
        <v>9244</v>
      </c>
      <c r="E229" s="329">
        <v>418</v>
      </c>
      <c r="F229" s="329">
        <v>0</v>
      </c>
      <c r="G229" s="329">
        <v>0</v>
      </c>
      <c r="H229" s="329">
        <v>418</v>
      </c>
      <c r="I229" s="329">
        <v>0</v>
      </c>
      <c r="J229" s="329">
        <v>128</v>
      </c>
      <c r="K229" s="333">
        <v>128</v>
      </c>
      <c r="L229" s="333"/>
      <c r="M229" s="165"/>
      <c r="N229" s="401">
        <v>466852</v>
      </c>
      <c r="O229" s="329">
        <v>0</v>
      </c>
      <c r="P229" s="329">
        <v>0</v>
      </c>
      <c r="Q229" s="329">
        <v>418</v>
      </c>
      <c r="R229" s="333">
        <v>418</v>
      </c>
      <c r="S229" s="333">
        <v>11762248</v>
      </c>
      <c r="T229" s="3">
        <v>3.15</v>
      </c>
      <c r="U229" s="165">
        <f>VLOOKUP(N229,'[2]154'!$C$9:$T$554,18,0)</f>
        <v>418</v>
      </c>
      <c r="V229" s="401">
        <v>466852</v>
      </c>
      <c r="W229" s="406">
        <v>128</v>
      </c>
      <c r="X229" s="405">
        <v>35672.9296875</v>
      </c>
      <c r="Y229" s="406">
        <v>4566135</v>
      </c>
      <c r="Z229" s="3"/>
      <c r="AA229" s="401">
        <v>466852</v>
      </c>
      <c r="AB229" s="329">
        <v>0</v>
      </c>
      <c r="AC229" s="329">
        <v>0</v>
      </c>
      <c r="AD229" s="329">
        <v>418</v>
      </c>
      <c r="AE229" s="329">
        <v>418</v>
      </c>
      <c r="AF229" s="329">
        <v>334</v>
      </c>
      <c r="AG229" s="329">
        <v>4799827</v>
      </c>
      <c r="AH229" s="3"/>
      <c r="AI229" s="401">
        <v>466852</v>
      </c>
      <c r="AJ229" s="329">
        <v>0</v>
      </c>
      <c r="AK229" s="329">
        <v>0</v>
      </c>
      <c r="AL229" s="329">
        <v>418</v>
      </c>
      <c r="AM229" s="329">
        <v>418</v>
      </c>
      <c r="AN229" s="329">
        <v>334</v>
      </c>
      <c r="AO229" s="329">
        <v>6962421</v>
      </c>
    </row>
    <row r="230" spans="1:41" ht="15.75">
      <c r="A230" s="333">
        <v>224</v>
      </c>
      <c r="B230" s="3" t="s">
        <v>107</v>
      </c>
      <c r="C230" s="398" t="s">
        <v>184</v>
      </c>
      <c r="D230" s="329">
        <v>0</v>
      </c>
      <c r="E230" s="329">
        <v>72</v>
      </c>
      <c r="F230" s="329">
        <v>0</v>
      </c>
      <c r="G230" s="329">
        <v>0</v>
      </c>
      <c r="H230" s="329">
        <v>72</v>
      </c>
      <c r="I230" s="329">
        <v>0</v>
      </c>
      <c r="J230" s="329">
        <v>11</v>
      </c>
      <c r="K230" s="333">
        <v>11</v>
      </c>
      <c r="L230" s="333"/>
      <c r="M230" s="208"/>
      <c r="N230" s="398" t="s">
        <v>184</v>
      </c>
      <c r="O230" s="329">
        <v>0</v>
      </c>
      <c r="P230" s="329">
        <v>0</v>
      </c>
      <c r="Q230" s="329">
        <v>72</v>
      </c>
      <c r="R230" s="333">
        <v>72</v>
      </c>
      <c r="S230" s="333">
        <v>2957930</v>
      </c>
      <c r="T230" s="3">
        <v>3.6</v>
      </c>
      <c r="U230" s="165">
        <f>VLOOKUP(N230,'[2]154'!$C$9:$T$554,18,0)</f>
        <v>72</v>
      </c>
      <c r="V230" s="398" t="s">
        <v>184</v>
      </c>
      <c r="W230" s="406">
        <v>11</v>
      </c>
      <c r="X230" s="405">
        <v>84512.272727272721</v>
      </c>
      <c r="Y230" s="406">
        <v>929635</v>
      </c>
      <c r="Z230" s="3"/>
      <c r="AA230" s="398" t="s">
        <v>184</v>
      </c>
      <c r="AB230" s="329">
        <v>0</v>
      </c>
      <c r="AC230" s="329">
        <v>0</v>
      </c>
      <c r="AD230" s="329">
        <v>72</v>
      </c>
      <c r="AE230" s="329">
        <v>72</v>
      </c>
      <c r="AF230" s="329">
        <v>58</v>
      </c>
      <c r="AG230" s="329">
        <v>1243255</v>
      </c>
      <c r="AH230" s="3"/>
      <c r="AI230" s="398" t="s">
        <v>184</v>
      </c>
      <c r="AJ230" s="329">
        <v>0</v>
      </c>
      <c r="AK230" s="329">
        <v>0</v>
      </c>
      <c r="AL230" s="329">
        <v>72</v>
      </c>
      <c r="AM230" s="329">
        <v>72</v>
      </c>
      <c r="AN230" s="329">
        <v>58</v>
      </c>
      <c r="AO230" s="329">
        <v>1714675</v>
      </c>
    </row>
    <row r="231" spans="1:41" ht="15.75">
      <c r="A231" s="333">
        <v>225</v>
      </c>
      <c r="B231" s="3" t="s">
        <v>161</v>
      </c>
      <c r="C231" s="401">
        <v>100008598</v>
      </c>
      <c r="D231" s="329">
        <v>4348</v>
      </c>
      <c r="E231" s="329">
        <v>279</v>
      </c>
      <c r="F231" s="329">
        <v>162</v>
      </c>
      <c r="G231" s="329">
        <v>4</v>
      </c>
      <c r="H231" s="329">
        <v>113</v>
      </c>
      <c r="I231" s="329">
        <v>0</v>
      </c>
      <c r="J231" s="329">
        <v>20</v>
      </c>
      <c r="K231" s="333">
        <v>20</v>
      </c>
      <c r="L231" s="333"/>
      <c r="M231" s="165"/>
      <c r="N231" s="401">
        <v>100008598</v>
      </c>
      <c r="O231" s="329">
        <v>162</v>
      </c>
      <c r="P231" s="329">
        <v>4</v>
      </c>
      <c r="Q231" s="329">
        <v>113</v>
      </c>
      <c r="R231" s="333">
        <v>279</v>
      </c>
      <c r="S231" s="333">
        <v>5478860</v>
      </c>
      <c r="T231" s="3">
        <v>2</v>
      </c>
      <c r="U231" s="165">
        <f>VLOOKUP(N231,'[2]154'!$C$9:$T$554,18,0)</f>
        <v>279</v>
      </c>
      <c r="V231" s="401">
        <v>100008598</v>
      </c>
      <c r="W231" s="406">
        <v>20</v>
      </c>
      <c r="X231" s="405">
        <v>41119.35</v>
      </c>
      <c r="Y231" s="406">
        <v>822387</v>
      </c>
      <c r="Z231" s="3"/>
      <c r="AA231" s="401">
        <v>100008598</v>
      </c>
      <c r="AB231" s="329">
        <v>162</v>
      </c>
      <c r="AC231" s="329">
        <v>4</v>
      </c>
      <c r="AD231" s="329">
        <v>113</v>
      </c>
      <c r="AE231" s="329">
        <v>279</v>
      </c>
      <c r="AF231" s="329">
        <v>125</v>
      </c>
      <c r="AG231" s="329">
        <v>2276857</v>
      </c>
      <c r="AH231" s="3"/>
      <c r="AI231" s="401">
        <v>100008598</v>
      </c>
      <c r="AJ231" s="329">
        <v>162</v>
      </c>
      <c r="AK231" s="329">
        <v>4</v>
      </c>
      <c r="AL231" s="329">
        <v>113</v>
      </c>
      <c r="AM231" s="329">
        <v>279</v>
      </c>
      <c r="AN231" s="329">
        <v>125</v>
      </c>
      <c r="AO231" s="329">
        <v>3202003</v>
      </c>
    </row>
    <row r="232" spans="1:41" ht="15.75">
      <c r="A232" s="333">
        <v>226</v>
      </c>
      <c r="B232" s="3" t="s">
        <v>161</v>
      </c>
      <c r="C232" s="401">
        <v>100008604</v>
      </c>
      <c r="D232" s="329">
        <v>0</v>
      </c>
      <c r="E232" s="329">
        <v>154</v>
      </c>
      <c r="F232" s="329">
        <v>0</v>
      </c>
      <c r="G232" s="329">
        <v>21</v>
      </c>
      <c r="H232" s="329">
        <v>133</v>
      </c>
      <c r="I232" s="329">
        <v>0</v>
      </c>
      <c r="J232" s="329">
        <v>28</v>
      </c>
      <c r="K232" s="333">
        <v>28</v>
      </c>
      <c r="L232" s="333"/>
      <c r="M232" s="165"/>
      <c r="N232" s="401">
        <v>100008604</v>
      </c>
      <c r="O232" s="329">
        <v>0</v>
      </c>
      <c r="P232" s="329">
        <v>21</v>
      </c>
      <c r="Q232" s="329">
        <v>133</v>
      </c>
      <c r="R232" s="333">
        <v>154</v>
      </c>
      <c r="S232" s="333">
        <v>2503985</v>
      </c>
      <c r="T232" s="3">
        <v>1.1000000000000001</v>
      </c>
      <c r="U232" s="165">
        <f>VLOOKUP(N232,'[2]154'!$C$9:$T$554,18,0)</f>
        <v>154</v>
      </c>
      <c r="V232" s="401">
        <v>100008604</v>
      </c>
      <c r="W232" s="406">
        <v>28</v>
      </c>
      <c r="X232" s="405">
        <v>21401.571428571428</v>
      </c>
      <c r="Y232" s="406">
        <v>599244</v>
      </c>
      <c r="Z232" s="3"/>
      <c r="AA232" s="401">
        <v>100008604</v>
      </c>
      <c r="AB232" s="329">
        <v>0</v>
      </c>
      <c r="AC232" s="329">
        <v>21</v>
      </c>
      <c r="AD232" s="329">
        <v>133</v>
      </c>
      <c r="AE232" s="329">
        <v>154</v>
      </c>
      <c r="AF232" s="329">
        <v>117</v>
      </c>
      <c r="AG232" s="329">
        <v>1060628</v>
      </c>
      <c r="AH232" s="3"/>
      <c r="AI232" s="401">
        <v>100008604</v>
      </c>
      <c r="AJ232" s="329">
        <v>0</v>
      </c>
      <c r="AK232" s="329">
        <v>21</v>
      </c>
      <c r="AL232" s="329">
        <v>133</v>
      </c>
      <c r="AM232" s="329">
        <v>154</v>
      </c>
      <c r="AN232" s="329">
        <v>117</v>
      </c>
      <c r="AO232" s="329">
        <v>1443357</v>
      </c>
    </row>
    <row r="233" spans="1:41" ht="15.75">
      <c r="A233" s="333">
        <v>227</v>
      </c>
      <c r="B233" s="3" t="s">
        <v>161</v>
      </c>
      <c r="C233" s="401">
        <v>100008605</v>
      </c>
      <c r="D233" s="329">
        <v>6330</v>
      </c>
      <c r="E233" s="329">
        <v>222</v>
      </c>
      <c r="F233" s="329">
        <v>0</v>
      </c>
      <c r="G233" s="329">
        <v>0</v>
      </c>
      <c r="H233" s="329">
        <v>222</v>
      </c>
      <c r="I233" s="329">
        <v>0</v>
      </c>
      <c r="J233" s="329">
        <v>37</v>
      </c>
      <c r="K233" s="333">
        <v>37</v>
      </c>
      <c r="L233" s="333"/>
      <c r="M233" s="208"/>
      <c r="N233" s="401">
        <v>100008605</v>
      </c>
      <c r="O233" s="329">
        <v>0</v>
      </c>
      <c r="P233" s="329">
        <v>0</v>
      </c>
      <c r="Q233" s="329">
        <v>222</v>
      </c>
      <c r="R233" s="333">
        <v>222</v>
      </c>
      <c r="S233" s="333">
        <v>4040309</v>
      </c>
      <c r="T233" s="3">
        <v>1.17</v>
      </c>
      <c r="U233" s="165">
        <f>VLOOKUP(N233,'[2]154'!$C$9:$T$554,18,0)</f>
        <v>222</v>
      </c>
      <c r="V233" s="401">
        <v>100008605</v>
      </c>
      <c r="W233" s="406">
        <v>37</v>
      </c>
      <c r="X233" s="405">
        <v>22562.08108108108</v>
      </c>
      <c r="Y233" s="406">
        <v>834797</v>
      </c>
      <c r="Z233" s="3"/>
      <c r="AA233" s="401">
        <v>100008605</v>
      </c>
      <c r="AB233" s="329">
        <v>0</v>
      </c>
      <c r="AC233" s="329">
        <v>0</v>
      </c>
      <c r="AD233" s="329">
        <v>222</v>
      </c>
      <c r="AE233" s="329">
        <v>222</v>
      </c>
      <c r="AF233" s="329">
        <v>178</v>
      </c>
      <c r="AG233" s="329">
        <v>1656935</v>
      </c>
      <c r="AH233" s="3"/>
      <c r="AI233" s="401">
        <v>100008605</v>
      </c>
      <c r="AJ233" s="329">
        <v>0</v>
      </c>
      <c r="AK233" s="329">
        <v>0</v>
      </c>
      <c r="AL233" s="329">
        <v>222</v>
      </c>
      <c r="AM233" s="329">
        <v>222</v>
      </c>
      <c r="AN233" s="329">
        <v>178</v>
      </c>
      <c r="AO233" s="329">
        <v>2383374</v>
      </c>
    </row>
    <row r="234" spans="1:41" ht="15.75">
      <c r="A234" s="333">
        <v>228</v>
      </c>
      <c r="B234" s="3" t="s">
        <v>161</v>
      </c>
      <c r="C234" s="401">
        <v>100008607</v>
      </c>
      <c r="D234" s="329">
        <v>0</v>
      </c>
      <c r="E234" s="329">
        <v>146</v>
      </c>
      <c r="F234" s="329">
        <v>0</v>
      </c>
      <c r="G234" s="329">
        <v>0</v>
      </c>
      <c r="H234" s="329">
        <v>146</v>
      </c>
      <c r="I234" s="329">
        <v>0</v>
      </c>
      <c r="J234" s="329">
        <v>116</v>
      </c>
      <c r="K234" s="333">
        <v>116</v>
      </c>
      <c r="L234" s="333"/>
      <c r="M234" s="165"/>
      <c r="N234" s="401">
        <v>100008607</v>
      </c>
      <c r="O234" s="329">
        <v>0</v>
      </c>
      <c r="P234" s="329">
        <v>0</v>
      </c>
      <c r="Q234" s="329">
        <v>146</v>
      </c>
      <c r="R234" s="333">
        <v>146</v>
      </c>
      <c r="S234" s="333">
        <v>4325066</v>
      </c>
      <c r="T234" s="3">
        <v>1.9</v>
      </c>
      <c r="U234" s="165">
        <f>VLOOKUP(N234,'[2]154'!$C$9:$T$554,18,0)</f>
        <v>146</v>
      </c>
      <c r="V234" s="401">
        <v>100008607</v>
      </c>
      <c r="W234" s="406">
        <v>116</v>
      </c>
      <c r="X234" s="405">
        <v>36966.379310344826</v>
      </c>
      <c r="Y234" s="406">
        <v>4288100</v>
      </c>
      <c r="Z234" s="3"/>
      <c r="AA234" s="401">
        <v>100008607</v>
      </c>
      <c r="AB234" s="329">
        <v>0</v>
      </c>
      <c r="AC234" s="329">
        <v>0</v>
      </c>
      <c r="AD234" s="329">
        <v>146</v>
      </c>
      <c r="AE234" s="329">
        <v>146</v>
      </c>
      <c r="AF234" s="329">
        <v>117</v>
      </c>
      <c r="AG234" s="329">
        <v>1831994</v>
      </c>
      <c r="AH234" s="3"/>
      <c r="AI234" s="401">
        <v>100008607</v>
      </c>
      <c r="AJ234" s="329">
        <v>0</v>
      </c>
      <c r="AK234" s="329">
        <v>0</v>
      </c>
      <c r="AL234" s="329">
        <v>146</v>
      </c>
      <c r="AM234" s="329">
        <v>146</v>
      </c>
      <c r="AN234" s="329">
        <v>117</v>
      </c>
      <c r="AO234" s="329">
        <v>2493072</v>
      </c>
    </row>
    <row r="235" spans="1:41" ht="15.75">
      <c r="A235" s="333">
        <v>229</v>
      </c>
      <c r="B235" s="3" t="s">
        <v>161</v>
      </c>
      <c r="C235" s="401">
        <v>100008660</v>
      </c>
      <c r="D235" s="329">
        <v>4774</v>
      </c>
      <c r="E235" s="329">
        <v>320</v>
      </c>
      <c r="F235" s="329">
        <v>1</v>
      </c>
      <c r="G235" s="329">
        <v>218</v>
      </c>
      <c r="H235" s="329">
        <v>101</v>
      </c>
      <c r="I235" s="329">
        <v>0</v>
      </c>
      <c r="J235" s="329">
        <v>0</v>
      </c>
      <c r="K235" s="333">
        <v>0</v>
      </c>
      <c r="L235" s="333"/>
      <c r="M235" s="165"/>
      <c r="N235" s="401">
        <v>100008660</v>
      </c>
      <c r="O235" s="329">
        <v>1</v>
      </c>
      <c r="P235" s="329">
        <v>218</v>
      </c>
      <c r="Q235" s="329">
        <v>101</v>
      </c>
      <c r="R235" s="333">
        <v>320</v>
      </c>
      <c r="S235" s="333">
        <v>10598109</v>
      </c>
      <c r="T235" s="3">
        <v>3.7</v>
      </c>
      <c r="U235" s="165">
        <f>VLOOKUP(N235,'[2]154'!$C$9:$T$554,18,0)</f>
        <v>320</v>
      </c>
      <c r="V235" s="401">
        <v>100008660</v>
      </c>
      <c r="W235" s="406">
        <v>0</v>
      </c>
      <c r="X235" s="405">
        <v>0</v>
      </c>
      <c r="Y235" s="406">
        <v>0</v>
      </c>
      <c r="Z235" s="3"/>
      <c r="AA235" s="401">
        <v>100008660</v>
      </c>
      <c r="AB235" s="329">
        <v>1</v>
      </c>
      <c r="AC235" s="329">
        <v>218</v>
      </c>
      <c r="AD235" s="329">
        <v>101</v>
      </c>
      <c r="AE235" s="329">
        <v>320</v>
      </c>
      <c r="AF235" s="329">
        <v>190</v>
      </c>
      <c r="AG235" s="329">
        <v>4489105</v>
      </c>
      <c r="AH235" s="3"/>
      <c r="AI235" s="401">
        <v>100008660</v>
      </c>
      <c r="AJ235" s="329">
        <v>1</v>
      </c>
      <c r="AK235" s="329">
        <v>218</v>
      </c>
      <c r="AL235" s="329">
        <v>101</v>
      </c>
      <c r="AM235" s="329">
        <v>320</v>
      </c>
      <c r="AN235" s="329">
        <v>190</v>
      </c>
      <c r="AO235" s="329">
        <v>6109004</v>
      </c>
    </row>
    <row r="236" spans="1:41" ht="15.75">
      <c r="A236" s="333">
        <v>230</v>
      </c>
      <c r="B236" s="3" t="s">
        <v>161</v>
      </c>
      <c r="C236" s="401">
        <v>100008746</v>
      </c>
      <c r="D236" s="329">
        <v>773</v>
      </c>
      <c r="E236" s="329">
        <v>25</v>
      </c>
      <c r="F236" s="329">
        <v>0</v>
      </c>
      <c r="G236" s="329">
        <v>0</v>
      </c>
      <c r="H236" s="329">
        <v>25</v>
      </c>
      <c r="I236" s="329">
        <v>0</v>
      </c>
      <c r="J236" s="329">
        <v>39</v>
      </c>
      <c r="K236" s="333">
        <v>39</v>
      </c>
      <c r="L236" s="333"/>
      <c r="M236" s="208"/>
      <c r="N236" s="401">
        <v>100008746</v>
      </c>
      <c r="O236" s="329">
        <v>0</v>
      </c>
      <c r="P236" s="329">
        <v>0</v>
      </c>
      <c r="Q236" s="329">
        <v>25</v>
      </c>
      <c r="R236" s="333">
        <v>25</v>
      </c>
      <c r="S236" s="333">
        <v>1478655</v>
      </c>
      <c r="T236" s="3">
        <v>3.8</v>
      </c>
      <c r="U236" s="165">
        <f>VLOOKUP(N236,'[2]154'!$C$9:$T$554,18,0)</f>
        <v>25</v>
      </c>
      <c r="V236" s="401">
        <v>100008746</v>
      </c>
      <c r="W236" s="406">
        <v>39</v>
      </c>
      <c r="X236" s="405">
        <v>73932.743589743593</v>
      </c>
      <c r="Y236" s="406">
        <v>2883377</v>
      </c>
      <c r="Z236" s="3"/>
      <c r="AA236" s="401">
        <v>100008746</v>
      </c>
      <c r="AB236" s="329">
        <v>0</v>
      </c>
      <c r="AC236" s="329">
        <v>0</v>
      </c>
      <c r="AD236" s="329">
        <v>25</v>
      </c>
      <c r="AE236" s="329">
        <v>25</v>
      </c>
      <c r="AF236" s="329">
        <v>20</v>
      </c>
      <c r="AG236" s="329">
        <v>626323</v>
      </c>
      <c r="AH236" s="3"/>
      <c r="AI236" s="401">
        <v>100008746</v>
      </c>
      <c r="AJ236" s="329">
        <v>0</v>
      </c>
      <c r="AK236" s="329">
        <v>0</v>
      </c>
      <c r="AL236" s="329">
        <v>25</v>
      </c>
      <c r="AM236" s="329">
        <v>25</v>
      </c>
      <c r="AN236" s="329">
        <v>20</v>
      </c>
      <c r="AO236" s="329">
        <v>852332</v>
      </c>
    </row>
    <row r="237" spans="1:41" ht="15.75">
      <c r="A237" s="333">
        <v>231</v>
      </c>
      <c r="B237" s="3" t="s">
        <v>161</v>
      </c>
      <c r="C237" s="401">
        <v>100009162</v>
      </c>
      <c r="D237" s="329">
        <v>0</v>
      </c>
      <c r="E237" s="329">
        <v>86</v>
      </c>
      <c r="F237" s="329">
        <v>0</v>
      </c>
      <c r="G237" s="329">
        <v>0</v>
      </c>
      <c r="H237" s="329">
        <v>86</v>
      </c>
      <c r="I237" s="329">
        <v>0</v>
      </c>
      <c r="J237" s="329">
        <v>186</v>
      </c>
      <c r="K237" s="333">
        <v>186</v>
      </c>
      <c r="L237" s="333"/>
      <c r="M237" s="165"/>
      <c r="N237" s="401">
        <v>100009162</v>
      </c>
      <c r="O237" s="329">
        <v>0</v>
      </c>
      <c r="P237" s="329">
        <v>0</v>
      </c>
      <c r="Q237" s="329">
        <v>86</v>
      </c>
      <c r="R237" s="333">
        <v>86</v>
      </c>
      <c r="S237" s="333">
        <v>2684926</v>
      </c>
      <c r="T237" s="3">
        <v>2</v>
      </c>
      <c r="U237" s="165">
        <f>VLOOKUP(N237,'[2]154'!$C$9:$T$554,18,0)</f>
        <v>86</v>
      </c>
      <c r="V237" s="401">
        <v>100009162</v>
      </c>
      <c r="W237" s="406">
        <v>186</v>
      </c>
      <c r="X237" s="405">
        <v>38911.973118279573</v>
      </c>
      <c r="Y237" s="406">
        <v>7237627</v>
      </c>
      <c r="Z237" s="3"/>
      <c r="AA237" s="401">
        <v>100009162</v>
      </c>
      <c r="AB237" s="329">
        <v>0</v>
      </c>
      <c r="AC237" s="329">
        <v>0</v>
      </c>
      <c r="AD237" s="329">
        <v>86</v>
      </c>
      <c r="AE237" s="329">
        <v>86</v>
      </c>
      <c r="AF237" s="329">
        <v>69</v>
      </c>
      <c r="AG237" s="329">
        <v>1137270</v>
      </c>
      <c r="AH237" s="3"/>
      <c r="AI237" s="401">
        <v>100009162</v>
      </c>
      <c r="AJ237" s="329">
        <v>0</v>
      </c>
      <c r="AK237" s="329">
        <v>0</v>
      </c>
      <c r="AL237" s="329">
        <v>86</v>
      </c>
      <c r="AM237" s="329">
        <v>86</v>
      </c>
      <c r="AN237" s="329">
        <v>69</v>
      </c>
      <c r="AO237" s="329">
        <v>1547656</v>
      </c>
    </row>
    <row r="238" spans="1:41" ht="15.75">
      <c r="A238" s="333">
        <v>232</v>
      </c>
      <c r="B238" s="3" t="s">
        <v>161</v>
      </c>
      <c r="C238" s="401">
        <v>100009622</v>
      </c>
      <c r="D238" s="329">
        <v>2284</v>
      </c>
      <c r="E238" s="329">
        <v>734</v>
      </c>
      <c r="F238" s="329">
        <v>0</v>
      </c>
      <c r="G238" s="329">
        <v>498</v>
      </c>
      <c r="H238" s="329">
        <v>236</v>
      </c>
      <c r="I238" s="329">
        <v>0</v>
      </c>
      <c r="J238" s="329">
        <v>0</v>
      </c>
      <c r="K238" s="333">
        <v>0</v>
      </c>
      <c r="L238" s="333"/>
      <c r="M238" s="165"/>
      <c r="N238" s="401">
        <v>100009622</v>
      </c>
      <c r="O238" s="329">
        <v>0</v>
      </c>
      <c r="P238" s="329">
        <v>498</v>
      </c>
      <c r="Q238" s="329">
        <v>236</v>
      </c>
      <c r="R238" s="333">
        <v>734</v>
      </c>
      <c r="S238" s="333">
        <v>47310043</v>
      </c>
      <c r="T238" s="3">
        <v>4</v>
      </c>
      <c r="U238" s="165">
        <f>VLOOKUP(N238,'[2]154'!$C$9:$T$554,18,0)</f>
        <v>734</v>
      </c>
      <c r="V238" s="401">
        <v>100009622</v>
      </c>
      <c r="W238" s="406">
        <v>0</v>
      </c>
      <c r="X238" s="405">
        <v>0</v>
      </c>
      <c r="Y238" s="406">
        <v>0</v>
      </c>
      <c r="Z238" s="3"/>
      <c r="AA238" s="401">
        <v>100009622</v>
      </c>
      <c r="AB238" s="329">
        <v>0</v>
      </c>
      <c r="AC238" s="329">
        <v>498</v>
      </c>
      <c r="AD238" s="329">
        <v>236</v>
      </c>
      <c r="AE238" s="329">
        <v>734</v>
      </c>
      <c r="AF238" s="329">
        <v>438</v>
      </c>
      <c r="AG238" s="329">
        <v>19340812</v>
      </c>
      <c r="AH238" s="3"/>
      <c r="AI238" s="401">
        <v>100009622</v>
      </c>
      <c r="AJ238" s="329">
        <v>0</v>
      </c>
      <c r="AK238" s="329">
        <v>498</v>
      </c>
      <c r="AL238" s="329">
        <v>236</v>
      </c>
      <c r="AM238" s="329">
        <v>734</v>
      </c>
      <c r="AN238" s="329">
        <v>438</v>
      </c>
      <c r="AO238" s="329">
        <v>27969231</v>
      </c>
    </row>
    <row r="239" spans="1:41" ht="15.75">
      <c r="A239" s="333">
        <v>233</v>
      </c>
      <c r="B239" s="3" t="s">
        <v>161</v>
      </c>
      <c r="C239" s="401">
        <v>100015352</v>
      </c>
      <c r="D239" s="329">
        <v>9258</v>
      </c>
      <c r="E239" s="329">
        <v>261</v>
      </c>
      <c r="F239" s="329">
        <v>0</v>
      </c>
      <c r="G239" s="329">
        <v>163</v>
      </c>
      <c r="H239" s="329">
        <v>98</v>
      </c>
      <c r="I239" s="329">
        <v>0</v>
      </c>
      <c r="J239" s="329">
        <v>45</v>
      </c>
      <c r="K239" s="333">
        <v>45</v>
      </c>
      <c r="L239" s="333"/>
      <c r="M239" s="208"/>
      <c r="N239" s="401">
        <v>100015352</v>
      </c>
      <c r="O239" s="329">
        <v>0</v>
      </c>
      <c r="P239" s="329">
        <v>163</v>
      </c>
      <c r="Q239" s="329">
        <v>98</v>
      </c>
      <c r="R239" s="333">
        <v>261</v>
      </c>
      <c r="S239" s="333">
        <v>9770715</v>
      </c>
      <c r="T239" s="3">
        <v>3.04</v>
      </c>
      <c r="U239" s="165">
        <f>VLOOKUP(N239,'[2]154'!$C$9:$T$554,18,0)</f>
        <v>261</v>
      </c>
      <c r="V239" s="401">
        <v>100015352</v>
      </c>
      <c r="W239" s="406">
        <v>45</v>
      </c>
      <c r="X239" s="405">
        <v>63444.73333333333</v>
      </c>
      <c r="Y239" s="406">
        <v>2855013</v>
      </c>
      <c r="Z239" s="3"/>
      <c r="AA239" s="401">
        <v>100015352</v>
      </c>
      <c r="AB239" s="329">
        <v>0</v>
      </c>
      <c r="AC239" s="329">
        <v>163</v>
      </c>
      <c r="AD239" s="329">
        <v>98</v>
      </c>
      <c r="AE239" s="329">
        <v>261</v>
      </c>
      <c r="AF239" s="329">
        <v>160</v>
      </c>
      <c r="AG239" s="329">
        <v>3808395</v>
      </c>
      <c r="AH239" s="3"/>
      <c r="AI239" s="401">
        <v>100015352</v>
      </c>
      <c r="AJ239" s="329">
        <v>0</v>
      </c>
      <c r="AK239" s="329">
        <v>163</v>
      </c>
      <c r="AL239" s="329">
        <v>98</v>
      </c>
      <c r="AM239" s="329">
        <v>261</v>
      </c>
      <c r="AN239" s="329">
        <v>160</v>
      </c>
      <c r="AO239" s="329">
        <v>5962320</v>
      </c>
    </row>
    <row r="240" spans="1:41" ht="15.75">
      <c r="A240" s="333">
        <v>234</v>
      </c>
      <c r="B240" s="3" t="s">
        <v>161</v>
      </c>
      <c r="C240" s="401">
        <v>100015355</v>
      </c>
      <c r="D240" s="329">
        <v>4812</v>
      </c>
      <c r="E240" s="329">
        <v>344</v>
      </c>
      <c r="F240" s="329">
        <v>0</v>
      </c>
      <c r="G240" s="329">
        <v>104</v>
      </c>
      <c r="H240" s="329">
        <v>240</v>
      </c>
      <c r="I240" s="329">
        <v>0</v>
      </c>
      <c r="J240" s="329">
        <v>128</v>
      </c>
      <c r="K240" s="333">
        <v>128</v>
      </c>
      <c r="L240" s="333"/>
      <c r="M240" s="165"/>
      <c r="N240" s="401">
        <v>100015355</v>
      </c>
      <c r="O240" s="329">
        <v>0</v>
      </c>
      <c r="P240" s="329">
        <v>104</v>
      </c>
      <c r="Q240" s="329">
        <v>240</v>
      </c>
      <c r="R240" s="333">
        <v>344</v>
      </c>
      <c r="S240" s="333">
        <v>11298499</v>
      </c>
      <c r="T240" s="3">
        <v>2.0299999999999998</v>
      </c>
      <c r="U240" s="165">
        <f>VLOOKUP(N240,'[2]154'!$C$9:$T$554,18,0)</f>
        <v>344</v>
      </c>
      <c r="V240" s="401">
        <v>100015355</v>
      </c>
      <c r="W240" s="406">
        <v>128</v>
      </c>
      <c r="X240" s="405">
        <v>43680.6953125</v>
      </c>
      <c r="Y240" s="406">
        <v>5591129</v>
      </c>
      <c r="Z240" s="3"/>
      <c r="AA240" s="401">
        <v>100015355</v>
      </c>
      <c r="AB240" s="329">
        <v>0</v>
      </c>
      <c r="AC240" s="329">
        <v>104</v>
      </c>
      <c r="AD240" s="329">
        <v>240</v>
      </c>
      <c r="AE240" s="329">
        <v>344</v>
      </c>
      <c r="AF240" s="329">
        <v>244</v>
      </c>
      <c r="AG240" s="329">
        <v>4571791</v>
      </c>
      <c r="AH240" s="3"/>
      <c r="AI240" s="401">
        <v>100015355</v>
      </c>
      <c r="AJ240" s="329">
        <v>0</v>
      </c>
      <c r="AK240" s="329">
        <v>104</v>
      </c>
      <c r="AL240" s="329">
        <v>240</v>
      </c>
      <c r="AM240" s="329">
        <v>344</v>
      </c>
      <c r="AN240" s="329">
        <v>244</v>
      </c>
      <c r="AO240" s="329">
        <v>6726708</v>
      </c>
    </row>
    <row r="241" spans="1:41" ht="15.75">
      <c r="A241" s="333">
        <v>235</v>
      </c>
      <c r="B241" s="3" t="s">
        <v>161</v>
      </c>
      <c r="C241" s="401">
        <v>100015669</v>
      </c>
      <c r="D241" s="329">
        <v>1170</v>
      </c>
      <c r="E241" s="329">
        <v>45</v>
      </c>
      <c r="F241" s="329">
        <v>0</v>
      </c>
      <c r="G241" s="329">
        <v>1</v>
      </c>
      <c r="H241" s="329">
        <v>44</v>
      </c>
      <c r="I241" s="329">
        <v>0</v>
      </c>
      <c r="J241" s="329">
        <v>0</v>
      </c>
      <c r="K241" s="333">
        <v>0</v>
      </c>
      <c r="L241" s="333"/>
      <c r="M241" s="165"/>
      <c r="N241" s="401">
        <v>100015669</v>
      </c>
      <c r="O241" s="329">
        <v>0</v>
      </c>
      <c r="P241" s="329">
        <v>1</v>
      </c>
      <c r="Q241" s="329">
        <v>44</v>
      </c>
      <c r="R241" s="333">
        <v>45</v>
      </c>
      <c r="S241" s="333">
        <v>1088484</v>
      </c>
      <c r="T241" s="3">
        <v>1.96</v>
      </c>
      <c r="U241" s="165">
        <f>VLOOKUP(N241,'[2]154'!$C$9:$T$554,18,0)</f>
        <v>45</v>
      </c>
      <c r="V241" s="401">
        <v>100015669</v>
      </c>
      <c r="W241" s="406">
        <v>0</v>
      </c>
      <c r="X241" s="405">
        <v>0</v>
      </c>
      <c r="Y241" s="406">
        <v>0</v>
      </c>
      <c r="Z241" s="3"/>
      <c r="AA241" s="401">
        <v>100015669</v>
      </c>
      <c r="AB241" s="329">
        <v>0</v>
      </c>
      <c r="AC241" s="329">
        <v>1</v>
      </c>
      <c r="AD241" s="329">
        <v>44</v>
      </c>
      <c r="AE241" s="329">
        <v>45</v>
      </c>
      <c r="AF241" s="329">
        <v>36</v>
      </c>
      <c r="AG241" s="329">
        <v>461056</v>
      </c>
      <c r="AH241" s="3"/>
      <c r="AI241" s="401">
        <v>100015669</v>
      </c>
      <c r="AJ241" s="329">
        <v>0</v>
      </c>
      <c r="AK241" s="329">
        <v>1</v>
      </c>
      <c r="AL241" s="329">
        <v>44</v>
      </c>
      <c r="AM241" s="329">
        <v>45</v>
      </c>
      <c r="AN241" s="329">
        <v>36</v>
      </c>
      <c r="AO241" s="329">
        <v>627428</v>
      </c>
    </row>
    <row r="242" spans="1:41" ht="15.75">
      <c r="A242" s="333">
        <v>236</v>
      </c>
      <c r="B242" s="3" t="s">
        <v>161</v>
      </c>
      <c r="C242" s="401">
        <v>100018310</v>
      </c>
      <c r="D242" s="329">
        <v>7710</v>
      </c>
      <c r="E242" s="329">
        <v>195</v>
      </c>
      <c r="F242" s="329">
        <v>0</v>
      </c>
      <c r="G242" s="329">
        <v>97</v>
      </c>
      <c r="H242" s="329">
        <v>98</v>
      </c>
      <c r="I242" s="329">
        <v>0</v>
      </c>
      <c r="J242" s="329">
        <v>75</v>
      </c>
      <c r="K242" s="333">
        <v>75</v>
      </c>
      <c r="L242" s="333"/>
      <c r="M242" s="208"/>
      <c r="N242" s="401">
        <v>100018310</v>
      </c>
      <c r="O242" s="329">
        <v>0</v>
      </c>
      <c r="P242" s="329">
        <v>97</v>
      </c>
      <c r="Q242" s="329">
        <v>98</v>
      </c>
      <c r="R242" s="333">
        <v>195</v>
      </c>
      <c r="S242" s="333">
        <v>5265817</v>
      </c>
      <c r="T242" s="3">
        <v>2.08</v>
      </c>
      <c r="U242" s="165">
        <f>VLOOKUP(N242,'[2]154'!$C$9:$T$554,18,0)</f>
        <v>195</v>
      </c>
      <c r="V242" s="401">
        <v>100018310</v>
      </c>
      <c r="W242" s="406">
        <v>75</v>
      </c>
      <c r="X242" s="405">
        <v>43240.800000000003</v>
      </c>
      <c r="Y242" s="406">
        <v>3243060</v>
      </c>
      <c r="Z242" s="3"/>
      <c r="AA242" s="401">
        <v>100018310</v>
      </c>
      <c r="AB242" s="329">
        <v>0</v>
      </c>
      <c r="AC242" s="329">
        <v>97</v>
      </c>
      <c r="AD242" s="329">
        <v>98</v>
      </c>
      <c r="AE242" s="329">
        <v>195</v>
      </c>
      <c r="AF242" s="329">
        <v>127</v>
      </c>
      <c r="AG242" s="329">
        <v>2077414</v>
      </c>
      <c r="AH242" s="3"/>
      <c r="AI242" s="401">
        <v>100018310</v>
      </c>
      <c r="AJ242" s="329">
        <v>0</v>
      </c>
      <c r="AK242" s="329">
        <v>97</v>
      </c>
      <c r="AL242" s="329">
        <v>98</v>
      </c>
      <c r="AM242" s="329">
        <v>195</v>
      </c>
      <c r="AN242" s="329">
        <v>127</v>
      </c>
      <c r="AO242" s="329">
        <v>3188403</v>
      </c>
    </row>
    <row r="243" spans="1:41" ht="15.75">
      <c r="A243" s="333">
        <v>237</v>
      </c>
      <c r="B243" s="3" t="s">
        <v>161</v>
      </c>
      <c r="C243" s="401">
        <v>100021064</v>
      </c>
      <c r="D243" s="329">
        <v>3723</v>
      </c>
      <c r="E243" s="329">
        <v>160</v>
      </c>
      <c r="F243" s="329">
        <v>0</v>
      </c>
      <c r="G243" s="329">
        <v>80</v>
      </c>
      <c r="H243" s="329">
        <v>80</v>
      </c>
      <c r="I243" s="329">
        <v>0</v>
      </c>
      <c r="J243" s="329">
        <v>23</v>
      </c>
      <c r="K243" s="333">
        <v>23</v>
      </c>
      <c r="L243" s="333"/>
      <c r="M243" s="165"/>
      <c r="N243" s="401">
        <v>100021064</v>
      </c>
      <c r="O243" s="329">
        <v>0</v>
      </c>
      <c r="P243" s="329">
        <v>80</v>
      </c>
      <c r="Q243" s="329">
        <v>80</v>
      </c>
      <c r="R243" s="333">
        <v>160</v>
      </c>
      <c r="S243" s="333">
        <v>4096325</v>
      </c>
      <c r="T243" s="3">
        <v>2.0299999999999998</v>
      </c>
      <c r="U243" s="165">
        <f>VLOOKUP(N243,'[2]154'!$C$9:$T$554,18,0)</f>
        <v>160</v>
      </c>
      <c r="V243" s="401">
        <v>100021064</v>
      </c>
      <c r="W243" s="406">
        <v>23</v>
      </c>
      <c r="X243" s="405">
        <v>28881.956521739132</v>
      </c>
      <c r="Y243" s="406">
        <v>664285</v>
      </c>
      <c r="Z243" s="3"/>
      <c r="AA243" s="401">
        <v>100021064</v>
      </c>
      <c r="AB243" s="329">
        <v>0</v>
      </c>
      <c r="AC243" s="329">
        <v>80</v>
      </c>
      <c r="AD243" s="329">
        <v>80</v>
      </c>
      <c r="AE243" s="329">
        <v>160</v>
      </c>
      <c r="AF243" s="329">
        <v>104</v>
      </c>
      <c r="AG243" s="329">
        <v>1661402</v>
      </c>
      <c r="AH243" s="3"/>
      <c r="AI243" s="401">
        <v>100021064</v>
      </c>
      <c r="AJ243" s="329">
        <v>0</v>
      </c>
      <c r="AK243" s="329">
        <v>80</v>
      </c>
      <c r="AL243" s="329">
        <v>80</v>
      </c>
      <c r="AM243" s="329">
        <v>160</v>
      </c>
      <c r="AN243" s="329">
        <v>104</v>
      </c>
      <c r="AO243" s="329">
        <v>2434923</v>
      </c>
    </row>
    <row r="244" spans="1:41" ht="15.75">
      <c r="A244" s="333">
        <v>238</v>
      </c>
      <c r="B244" s="3" t="s">
        <v>161</v>
      </c>
      <c r="C244" s="401">
        <v>73301</v>
      </c>
      <c r="D244" s="329">
        <v>17543</v>
      </c>
      <c r="E244" s="329">
        <v>471</v>
      </c>
      <c r="F244" s="329">
        <v>0</v>
      </c>
      <c r="G244" s="329">
        <v>121</v>
      </c>
      <c r="H244" s="329">
        <v>350</v>
      </c>
      <c r="I244" s="329">
        <v>2446</v>
      </c>
      <c r="J244" s="329">
        <v>0</v>
      </c>
      <c r="K244" s="333">
        <v>2446</v>
      </c>
      <c r="L244" s="333"/>
      <c r="M244" s="165"/>
      <c r="N244" s="401">
        <v>73301</v>
      </c>
      <c r="O244" s="329">
        <v>0</v>
      </c>
      <c r="P244" s="329">
        <v>121</v>
      </c>
      <c r="Q244" s="329">
        <v>350</v>
      </c>
      <c r="R244" s="333">
        <v>471</v>
      </c>
      <c r="S244" s="333">
        <v>15092607</v>
      </c>
      <c r="T244" s="3">
        <v>2.2600000000000002</v>
      </c>
      <c r="U244" s="165">
        <f>VLOOKUP(N244,'[2]154'!$C$9:$T$554,18,0)</f>
        <v>471</v>
      </c>
      <c r="V244" s="401">
        <v>73301</v>
      </c>
      <c r="W244" s="406">
        <v>2446</v>
      </c>
      <c r="X244" s="405">
        <v>44979.166923670011</v>
      </c>
      <c r="Y244" s="406">
        <f>ROUND(116675959/2594*W244,0)</f>
        <v>110019042</v>
      </c>
      <c r="Z244" s="3"/>
      <c r="AA244" s="401">
        <v>73301</v>
      </c>
      <c r="AB244" s="329">
        <v>0</v>
      </c>
      <c r="AC244" s="329">
        <v>121</v>
      </c>
      <c r="AD244" s="329">
        <v>350</v>
      </c>
      <c r="AE244" s="329">
        <v>471</v>
      </c>
      <c r="AF244" s="329">
        <v>341</v>
      </c>
      <c r="AG244" s="329">
        <v>5435806</v>
      </c>
      <c r="AH244" s="3"/>
      <c r="AI244" s="401">
        <v>73301</v>
      </c>
      <c r="AJ244" s="329">
        <v>0</v>
      </c>
      <c r="AK244" s="329">
        <v>121</v>
      </c>
      <c r="AL244" s="329">
        <v>350</v>
      </c>
      <c r="AM244" s="329">
        <v>471</v>
      </c>
      <c r="AN244" s="329">
        <v>341</v>
      </c>
      <c r="AO244" s="329">
        <v>9656801</v>
      </c>
    </row>
    <row r="245" spans="1:41" ht="15.75">
      <c r="A245" s="333">
        <v>239</v>
      </c>
      <c r="B245" s="3" t="s">
        <v>161</v>
      </c>
      <c r="C245" s="401">
        <v>74902</v>
      </c>
      <c r="D245" s="329">
        <v>11031</v>
      </c>
      <c r="E245" s="329">
        <v>1535</v>
      </c>
      <c r="F245" s="329">
        <v>47</v>
      </c>
      <c r="G245" s="329">
        <v>337</v>
      </c>
      <c r="H245" s="329">
        <f>1162-11</f>
        <v>1151</v>
      </c>
      <c r="I245" s="329">
        <v>1886</v>
      </c>
      <c r="J245" s="329">
        <v>0</v>
      </c>
      <c r="K245" s="333">
        <v>1886</v>
      </c>
      <c r="L245" s="333"/>
      <c r="M245" s="208"/>
      <c r="N245" s="401">
        <v>74902</v>
      </c>
      <c r="O245" s="329">
        <v>47</v>
      </c>
      <c r="P245" s="329">
        <v>337</v>
      </c>
      <c r="Q245" s="329">
        <v>1151</v>
      </c>
      <c r="R245" s="333">
        <v>1535</v>
      </c>
      <c r="S245" s="333">
        <f>ROUND(43813295/1546*1535,0)</f>
        <v>43501557</v>
      </c>
      <c r="T245" s="3">
        <v>1.96</v>
      </c>
      <c r="U245" s="165">
        <f>VLOOKUP(N245,'[2]154'!$C$9:$T$554,18,0)</f>
        <v>1546</v>
      </c>
      <c r="V245" s="401">
        <v>74902</v>
      </c>
      <c r="W245" s="406">
        <v>1886</v>
      </c>
      <c r="X245" s="405">
        <v>38971.412513255571</v>
      </c>
      <c r="Y245" s="406">
        <v>73500084</v>
      </c>
      <c r="Z245" s="3"/>
      <c r="AA245" s="401">
        <v>74902</v>
      </c>
      <c r="AB245" s="329">
        <v>47</v>
      </c>
      <c r="AC245" s="329">
        <v>337</v>
      </c>
      <c r="AD245" s="329">
        <v>1151</v>
      </c>
      <c r="AE245" s="329">
        <v>1535</v>
      </c>
      <c r="AF245" s="329">
        <f>+AB245*2+AC245*0.5+AD245*0.8</f>
        <v>1183.3000000000002</v>
      </c>
      <c r="AG245" s="329">
        <f>ROUND(17135840/1546*AE245,0)</f>
        <v>17013916</v>
      </c>
      <c r="AH245" s="3"/>
      <c r="AI245" s="401">
        <v>74902</v>
      </c>
      <c r="AJ245" s="329">
        <v>47</v>
      </c>
      <c r="AK245" s="329">
        <v>337</v>
      </c>
      <c r="AL245" s="329">
        <v>1151</v>
      </c>
      <c r="AM245" s="329">
        <v>1535</v>
      </c>
      <c r="AN245" s="329">
        <v>1183.3000000000002</v>
      </c>
      <c r="AO245" s="329">
        <f>ROUND(26677455/1546*AM245,0)</f>
        <v>26487641</v>
      </c>
    </row>
    <row r="246" spans="1:41" ht="15.75">
      <c r="A246" s="333">
        <v>240</v>
      </c>
      <c r="B246" s="3" t="s">
        <v>161</v>
      </c>
      <c r="C246" s="401">
        <v>75303</v>
      </c>
      <c r="D246" s="329">
        <v>9025</v>
      </c>
      <c r="E246" s="329">
        <v>459</v>
      </c>
      <c r="F246" s="329">
        <v>5</v>
      </c>
      <c r="G246" s="329">
        <v>11</v>
      </c>
      <c r="H246" s="329">
        <v>443</v>
      </c>
      <c r="I246" s="329">
        <v>0</v>
      </c>
      <c r="J246" s="329">
        <v>37</v>
      </c>
      <c r="K246" s="333">
        <v>37</v>
      </c>
      <c r="L246" s="333"/>
      <c r="M246" s="165"/>
      <c r="N246" s="401">
        <v>75303</v>
      </c>
      <c r="O246" s="329">
        <v>5</v>
      </c>
      <c r="P246" s="329">
        <v>11</v>
      </c>
      <c r="Q246" s="329">
        <v>443</v>
      </c>
      <c r="R246" s="333">
        <v>459</v>
      </c>
      <c r="S246" s="333">
        <v>14125909</v>
      </c>
      <c r="T246" s="3">
        <v>1.96</v>
      </c>
      <c r="U246" s="165">
        <f>VLOOKUP(N246,'[2]154'!$C$9:$T$554,18,0)</f>
        <v>459</v>
      </c>
      <c r="V246" s="401">
        <v>75303</v>
      </c>
      <c r="W246" s="406">
        <v>37</v>
      </c>
      <c r="X246" s="405">
        <v>39294.675675675673</v>
      </c>
      <c r="Y246" s="406">
        <v>1453903</v>
      </c>
      <c r="Z246" s="3"/>
      <c r="AA246" s="401">
        <v>75303</v>
      </c>
      <c r="AB246" s="329">
        <v>5</v>
      </c>
      <c r="AC246" s="329">
        <v>11</v>
      </c>
      <c r="AD246" s="329">
        <v>443</v>
      </c>
      <c r="AE246" s="329">
        <v>459</v>
      </c>
      <c r="AF246" s="329">
        <v>361</v>
      </c>
      <c r="AG246" s="329">
        <v>5709739</v>
      </c>
      <c r="AH246" s="3"/>
      <c r="AI246" s="401">
        <v>75303</v>
      </c>
      <c r="AJ246" s="329">
        <v>5</v>
      </c>
      <c r="AK246" s="329">
        <v>11</v>
      </c>
      <c r="AL246" s="329">
        <v>443</v>
      </c>
      <c r="AM246" s="329">
        <v>459</v>
      </c>
      <c r="AN246" s="329">
        <v>361</v>
      </c>
      <c r="AO246" s="329">
        <v>8416170</v>
      </c>
    </row>
    <row r="247" spans="1:41" ht="15.75">
      <c r="A247" s="333">
        <v>241</v>
      </c>
      <c r="B247" s="3" t="s">
        <v>161</v>
      </c>
      <c r="C247" s="401">
        <v>7999</v>
      </c>
      <c r="D247" s="329">
        <v>0</v>
      </c>
      <c r="E247" s="329">
        <v>142</v>
      </c>
      <c r="F247" s="329">
        <v>0</v>
      </c>
      <c r="G247" s="329">
        <v>83</v>
      </c>
      <c r="H247" s="329">
        <v>59</v>
      </c>
      <c r="I247" s="329">
        <v>0</v>
      </c>
      <c r="J247" s="329">
        <v>19</v>
      </c>
      <c r="K247" s="333">
        <v>19</v>
      </c>
      <c r="L247" s="333"/>
      <c r="M247" s="165"/>
      <c r="N247" s="401">
        <v>7999</v>
      </c>
      <c r="O247" s="329">
        <v>0</v>
      </c>
      <c r="P247" s="329">
        <v>83</v>
      </c>
      <c r="Q247" s="329">
        <v>59</v>
      </c>
      <c r="R247" s="333">
        <v>142</v>
      </c>
      <c r="S247" s="333">
        <v>3463166</v>
      </c>
      <c r="T247" s="3">
        <v>2</v>
      </c>
      <c r="U247" s="165">
        <f>VLOOKUP(N247,'[2]154'!$C$9:$T$554,18,0)</f>
        <v>142</v>
      </c>
      <c r="V247" s="401">
        <v>7999</v>
      </c>
      <c r="W247" s="406">
        <v>19</v>
      </c>
      <c r="X247" s="405">
        <v>38911.947368421053</v>
      </c>
      <c r="Y247" s="406">
        <v>739327</v>
      </c>
      <c r="Z247" s="3"/>
      <c r="AA247" s="401">
        <v>7999</v>
      </c>
      <c r="AB247" s="329">
        <v>0</v>
      </c>
      <c r="AC247" s="329">
        <v>83</v>
      </c>
      <c r="AD247" s="329">
        <v>59</v>
      </c>
      <c r="AE247" s="329">
        <v>142</v>
      </c>
      <c r="AF247" s="329">
        <v>89</v>
      </c>
      <c r="AG247" s="329">
        <v>1466914</v>
      </c>
      <c r="AH247" s="3"/>
      <c r="AI247" s="401">
        <v>7999</v>
      </c>
      <c r="AJ247" s="329">
        <v>0</v>
      </c>
      <c r="AK247" s="329">
        <v>83</v>
      </c>
      <c r="AL247" s="329">
        <v>59</v>
      </c>
      <c r="AM247" s="329">
        <v>142</v>
      </c>
      <c r="AN247" s="329">
        <v>89</v>
      </c>
      <c r="AO247" s="329">
        <v>1996252</v>
      </c>
    </row>
    <row r="248" spans="1:41" ht="15.75">
      <c r="A248" s="333">
        <v>242</v>
      </c>
      <c r="B248" s="169" t="s">
        <v>105</v>
      </c>
      <c r="C248" s="401">
        <v>460895</v>
      </c>
      <c r="D248" s="329">
        <v>0</v>
      </c>
      <c r="E248" s="329">
        <v>20</v>
      </c>
      <c r="F248" s="329">
        <v>0</v>
      </c>
      <c r="G248" s="329">
        <v>20</v>
      </c>
      <c r="H248" s="329">
        <v>0</v>
      </c>
      <c r="I248" s="329">
        <v>0</v>
      </c>
      <c r="J248" s="329">
        <v>0</v>
      </c>
      <c r="K248" s="333">
        <v>0</v>
      </c>
      <c r="L248" s="333"/>
      <c r="M248" s="208"/>
      <c r="N248" s="401">
        <v>460895</v>
      </c>
      <c r="O248" s="329">
        <v>0</v>
      </c>
      <c r="P248" s="329">
        <v>20</v>
      </c>
      <c r="Q248" s="329">
        <v>0</v>
      </c>
      <c r="R248" s="333">
        <v>20</v>
      </c>
      <c r="S248" s="333">
        <v>612863</v>
      </c>
      <c r="T248" s="3">
        <v>3.15</v>
      </c>
      <c r="U248" s="165">
        <f>VLOOKUP(N248,'[2]154'!$C$9:$T$554,18,0)</f>
        <v>20</v>
      </c>
      <c r="V248" s="401">
        <v>460895</v>
      </c>
      <c r="W248" s="406">
        <v>0</v>
      </c>
      <c r="X248" s="405">
        <v>0</v>
      </c>
      <c r="Y248" s="406">
        <v>0</v>
      </c>
      <c r="Z248" s="3"/>
      <c r="AA248" s="401">
        <v>460895</v>
      </c>
      <c r="AB248" s="329">
        <v>0</v>
      </c>
      <c r="AC248" s="329">
        <v>20</v>
      </c>
      <c r="AD248" s="329">
        <v>0</v>
      </c>
      <c r="AE248" s="329">
        <v>20</v>
      </c>
      <c r="AF248" s="329">
        <v>10</v>
      </c>
      <c r="AG248" s="329">
        <v>259594</v>
      </c>
      <c r="AH248" s="3"/>
      <c r="AI248" s="401">
        <v>460895</v>
      </c>
      <c r="AJ248" s="329">
        <v>0</v>
      </c>
      <c r="AK248" s="329">
        <v>20</v>
      </c>
      <c r="AL248" s="329">
        <v>0</v>
      </c>
      <c r="AM248" s="329">
        <v>20</v>
      </c>
      <c r="AN248" s="329">
        <v>10</v>
      </c>
      <c r="AO248" s="329">
        <v>353269</v>
      </c>
    </row>
    <row r="249" spans="1:41" ht="15.75">
      <c r="A249" s="333">
        <v>243</v>
      </c>
      <c r="B249" s="169" t="s">
        <v>105</v>
      </c>
      <c r="C249" s="401">
        <v>452546</v>
      </c>
      <c r="D249" s="329">
        <v>0</v>
      </c>
      <c r="E249" s="329">
        <v>569</v>
      </c>
      <c r="F249" s="329">
        <v>37</v>
      </c>
      <c r="G249" s="329">
        <v>306</v>
      </c>
      <c r="H249" s="329">
        <v>226</v>
      </c>
      <c r="I249" s="329">
        <v>0</v>
      </c>
      <c r="J249" s="329">
        <v>27</v>
      </c>
      <c r="K249" s="333">
        <v>27</v>
      </c>
      <c r="L249" s="333"/>
      <c r="M249" s="165"/>
      <c r="N249" s="401">
        <v>452546</v>
      </c>
      <c r="O249" s="329">
        <v>37</v>
      </c>
      <c r="P249" s="329">
        <v>306</v>
      </c>
      <c r="Q249" s="329">
        <v>226</v>
      </c>
      <c r="R249" s="333">
        <v>569</v>
      </c>
      <c r="S249" s="333">
        <v>20898650</v>
      </c>
      <c r="T249" s="3">
        <v>3.15</v>
      </c>
      <c r="U249" s="165">
        <f>VLOOKUP(N249,'[2]154'!$C$9:$T$554,18,0)</f>
        <v>569</v>
      </c>
      <c r="V249" s="401">
        <v>452546</v>
      </c>
      <c r="W249" s="406">
        <v>27</v>
      </c>
      <c r="X249" s="405">
        <v>61286.370370370372</v>
      </c>
      <c r="Y249" s="406">
        <v>1654732</v>
      </c>
      <c r="Z249" s="3"/>
      <c r="AA249" s="401">
        <v>452546</v>
      </c>
      <c r="AB249" s="329">
        <v>37</v>
      </c>
      <c r="AC249" s="329">
        <v>306</v>
      </c>
      <c r="AD249" s="329">
        <v>226</v>
      </c>
      <c r="AE249" s="329">
        <v>569</v>
      </c>
      <c r="AF249" s="329">
        <v>341</v>
      </c>
      <c r="AG249" s="329">
        <v>8852167</v>
      </c>
      <c r="AH249" s="3"/>
      <c r="AI249" s="401">
        <v>452546</v>
      </c>
      <c r="AJ249" s="329">
        <v>37</v>
      </c>
      <c r="AK249" s="329">
        <v>306</v>
      </c>
      <c r="AL249" s="329">
        <v>226</v>
      </c>
      <c r="AM249" s="329">
        <v>569</v>
      </c>
      <c r="AN249" s="329">
        <v>341</v>
      </c>
      <c r="AO249" s="329">
        <v>12046483</v>
      </c>
    </row>
    <row r="250" spans="1:41" ht="15.75">
      <c r="A250" s="333">
        <v>244</v>
      </c>
      <c r="B250" s="169" t="s">
        <v>105</v>
      </c>
      <c r="C250" s="401">
        <v>457802</v>
      </c>
      <c r="D250" s="329">
        <v>32384</v>
      </c>
      <c r="E250" s="329">
        <v>1698</v>
      </c>
      <c r="F250" s="329">
        <v>65</v>
      </c>
      <c r="G250" s="329">
        <v>658</v>
      </c>
      <c r="H250" s="329">
        <v>975</v>
      </c>
      <c r="I250" s="329">
        <v>0</v>
      </c>
      <c r="J250" s="329">
        <v>260</v>
      </c>
      <c r="K250" s="333">
        <v>260</v>
      </c>
      <c r="L250" s="333"/>
      <c r="M250" s="165"/>
      <c r="N250" s="401">
        <v>457802</v>
      </c>
      <c r="O250" s="329">
        <v>65</v>
      </c>
      <c r="P250" s="329">
        <v>658</v>
      </c>
      <c r="Q250" s="329">
        <v>975</v>
      </c>
      <c r="R250" s="333">
        <v>1698</v>
      </c>
      <c r="S250" s="333">
        <v>28379837</v>
      </c>
      <c r="T250" s="3">
        <v>1.3</v>
      </c>
      <c r="U250" s="165">
        <f>VLOOKUP(N250,'[2]154'!$C$9:$T$554,18,0)</f>
        <v>1698</v>
      </c>
      <c r="V250" s="401">
        <v>457802</v>
      </c>
      <c r="W250" s="406">
        <v>260</v>
      </c>
      <c r="X250" s="405">
        <v>25290.26923076923</v>
      </c>
      <c r="Y250" s="406">
        <v>6575470</v>
      </c>
      <c r="Z250" s="3"/>
      <c r="AA250" s="401">
        <v>457802</v>
      </c>
      <c r="AB250" s="329">
        <v>65</v>
      </c>
      <c r="AC250" s="329">
        <v>658</v>
      </c>
      <c r="AD250" s="329">
        <v>975</v>
      </c>
      <c r="AE250" s="329">
        <v>1698</v>
      </c>
      <c r="AF250" s="329">
        <v>1122</v>
      </c>
      <c r="AG250" s="329">
        <v>12021019</v>
      </c>
      <c r="AH250" s="3"/>
      <c r="AI250" s="401">
        <v>457802</v>
      </c>
      <c r="AJ250" s="329">
        <v>65</v>
      </c>
      <c r="AK250" s="329">
        <v>658</v>
      </c>
      <c r="AL250" s="329">
        <v>975</v>
      </c>
      <c r="AM250" s="329">
        <v>1698</v>
      </c>
      <c r="AN250" s="329">
        <v>1122</v>
      </c>
      <c r="AO250" s="329">
        <v>16358818</v>
      </c>
    </row>
    <row r="251" spans="1:41" ht="15.75">
      <c r="A251" s="333">
        <v>245</v>
      </c>
      <c r="B251" s="169" t="s">
        <v>105</v>
      </c>
      <c r="C251" s="401">
        <v>457814</v>
      </c>
      <c r="D251" s="329">
        <v>0</v>
      </c>
      <c r="E251" s="329">
        <v>355</v>
      </c>
      <c r="F251" s="329">
        <v>0</v>
      </c>
      <c r="G251" s="329">
        <v>209</v>
      </c>
      <c r="H251" s="329">
        <v>146</v>
      </c>
      <c r="I251" s="329">
        <v>0</v>
      </c>
      <c r="J251" s="329">
        <v>31</v>
      </c>
      <c r="K251" s="333">
        <v>31</v>
      </c>
      <c r="L251" s="333"/>
      <c r="M251" s="208"/>
      <c r="N251" s="401">
        <v>457814</v>
      </c>
      <c r="O251" s="329">
        <v>0</v>
      </c>
      <c r="P251" s="329">
        <v>209</v>
      </c>
      <c r="Q251" s="329">
        <v>146</v>
      </c>
      <c r="R251" s="333">
        <v>355</v>
      </c>
      <c r="S251" s="333">
        <v>8384558</v>
      </c>
      <c r="T251" s="3">
        <v>1.95</v>
      </c>
      <c r="U251" s="165">
        <f>VLOOKUP(N251,'[2]154'!$C$9:$T$554,18,0)</f>
        <v>355</v>
      </c>
      <c r="V251" s="401">
        <v>457814</v>
      </c>
      <c r="W251" s="406">
        <v>31</v>
      </c>
      <c r="X251" s="405">
        <v>37939.161290322583</v>
      </c>
      <c r="Y251" s="406">
        <v>1176114</v>
      </c>
      <c r="Z251" s="3"/>
      <c r="AA251" s="401">
        <v>457814</v>
      </c>
      <c r="AB251" s="329">
        <v>0</v>
      </c>
      <c r="AC251" s="329">
        <v>209</v>
      </c>
      <c r="AD251" s="329">
        <v>146</v>
      </c>
      <c r="AE251" s="329">
        <v>355</v>
      </c>
      <c r="AF251" s="329">
        <v>221</v>
      </c>
      <c r="AG251" s="329">
        <v>3551498</v>
      </c>
      <c r="AH251" s="3"/>
      <c r="AI251" s="401">
        <v>457814</v>
      </c>
      <c r="AJ251" s="329">
        <v>0</v>
      </c>
      <c r="AK251" s="329">
        <v>209</v>
      </c>
      <c r="AL251" s="329">
        <v>146</v>
      </c>
      <c r="AM251" s="329">
        <v>355</v>
      </c>
      <c r="AN251" s="329">
        <v>221</v>
      </c>
      <c r="AO251" s="329">
        <v>4833060</v>
      </c>
    </row>
    <row r="252" spans="1:41" ht="15.75">
      <c r="A252" s="333">
        <v>246</v>
      </c>
      <c r="B252" s="169" t="s">
        <v>105</v>
      </c>
      <c r="C252" s="401">
        <v>457815</v>
      </c>
      <c r="D252" s="329">
        <v>3519</v>
      </c>
      <c r="E252" s="329">
        <v>209</v>
      </c>
      <c r="F252" s="329">
        <v>140</v>
      </c>
      <c r="G252" s="329">
        <v>52</v>
      </c>
      <c r="H252" s="329">
        <v>17</v>
      </c>
      <c r="I252" s="329">
        <v>0</v>
      </c>
      <c r="J252" s="329">
        <v>29</v>
      </c>
      <c r="K252" s="333">
        <v>29</v>
      </c>
      <c r="L252" s="333"/>
      <c r="M252" s="165"/>
      <c r="N252" s="401">
        <v>457815</v>
      </c>
      <c r="O252" s="329">
        <v>140</v>
      </c>
      <c r="P252" s="329">
        <v>52</v>
      </c>
      <c r="Q252" s="329">
        <v>17</v>
      </c>
      <c r="R252" s="333">
        <v>209</v>
      </c>
      <c r="S252" s="333">
        <v>5781331</v>
      </c>
      <c r="T252" s="3">
        <v>1.95</v>
      </c>
      <c r="U252" s="165">
        <f>VLOOKUP(N252,'[2]154'!$C$9:$T$554,18,0)</f>
        <v>209</v>
      </c>
      <c r="V252" s="401">
        <v>457815</v>
      </c>
      <c r="W252" s="406">
        <v>29</v>
      </c>
      <c r="X252" s="405">
        <v>30450.103448275862</v>
      </c>
      <c r="Y252" s="406">
        <v>883053</v>
      </c>
      <c r="Z252" s="3"/>
      <c r="AA252" s="401">
        <v>457815</v>
      </c>
      <c r="AB252" s="329">
        <v>140</v>
      </c>
      <c r="AC252" s="329">
        <v>52</v>
      </c>
      <c r="AD252" s="329">
        <v>17</v>
      </c>
      <c r="AE252" s="329">
        <v>209</v>
      </c>
      <c r="AF252" s="329">
        <v>68</v>
      </c>
      <c r="AG252" s="329">
        <v>2448833</v>
      </c>
      <c r="AH252" s="3"/>
      <c r="AI252" s="401">
        <v>457815</v>
      </c>
      <c r="AJ252" s="329">
        <v>140</v>
      </c>
      <c r="AK252" s="329">
        <v>52</v>
      </c>
      <c r="AL252" s="329">
        <v>17</v>
      </c>
      <c r="AM252" s="329">
        <v>209</v>
      </c>
      <c r="AN252" s="329">
        <v>68</v>
      </c>
      <c r="AO252" s="329">
        <v>3332498</v>
      </c>
    </row>
    <row r="253" spans="1:41" ht="15.75">
      <c r="A253" s="333">
        <v>247</v>
      </c>
      <c r="B253" s="169" t="s">
        <v>105</v>
      </c>
      <c r="C253" s="401">
        <v>459065</v>
      </c>
      <c r="D253" s="329">
        <v>0</v>
      </c>
      <c r="E253" s="329">
        <v>153</v>
      </c>
      <c r="F253" s="329">
        <v>0</v>
      </c>
      <c r="G253" s="329">
        <v>123</v>
      </c>
      <c r="H253" s="329">
        <v>30</v>
      </c>
      <c r="I253" s="329">
        <v>0</v>
      </c>
      <c r="J253" s="329">
        <v>47</v>
      </c>
      <c r="K253" s="333">
        <v>47</v>
      </c>
      <c r="L253" s="333"/>
      <c r="M253" s="165"/>
      <c r="N253" s="401">
        <v>459065</v>
      </c>
      <c r="O253" s="329">
        <v>0</v>
      </c>
      <c r="P253" s="329">
        <v>123</v>
      </c>
      <c r="Q253" s="329">
        <v>30</v>
      </c>
      <c r="R253" s="333">
        <v>153</v>
      </c>
      <c r="S253" s="333">
        <v>2677144</v>
      </c>
      <c r="T253" s="3">
        <v>1.6</v>
      </c>
      <c r="U253" s="165">
        <f>VLOOKUP(N253,'[2]154'!$C$9:$T$554,18,0)</f>
        <v>153</v>
      </c>
      <c r="V253" s="401">
        <v>459065</v>
      </c>
      <c r="W253" s="406">
        <v>47</v>
      </c>
      <c r="X253" s="405">
        <v>31129.574468085106</v>
      </c>
      <c r="Y253" s="406">
        <v>1463090</v>
      </c>
      <c r="Z253" s="3"/>
      <c r="AA253" s="401">
        <v>459065</v>
      </c>
      <c r="AB253" s="329">
        <v>0</v>
      </c>
      <c r="AC253" s="329">
        <v>123</v>
      </c>
      <c r="AD253" s="329">
        <v>30</v>
      </c>
      <c r="AE253" s="329">
        <v>153</v>
      </c>
      <c r="AF253" s="329">
        <v>86</v>
      </c>
      <c r="AG253" s="329">
        <v>1133974</v>
      </c>
      <c r="AH253" s="3"/>
      <c r="AI253" s="401">
        <v>459065</v>
      </c>
      <c r="AJ253" s="329">
        <v>0</v>
      </c>
      <c r="AK253" s="329">
        <v>123</v>
      </c>
      <c r="AL253" s="329">
        <v>30</v>
      </c>
      <c r="AM253" s="329">
        <v>153</v>
      </c>
      <c r="AN253" s="329">
        <v>86</v>
      </c>
      <c r="AO253" s="329">
        <v>1543170</v>
      </c>
    </row>
    <row r="254" spans="1:41" ht="15.75">
      <c r="A254" s="333">
        <v>248</v>
      </c>
      <c r="B254" s="169" t="s">
        <v>105</v>
      </c>
      <c r="C254" s="401">
        <v>460586</v>
      </c>
      <c r="D254" s="329">
        <v>0</v>
      </c>
      <c r="E254" s="329">
        <v>516</v>
      </c>
      <c r="F254" s="329">
        <v>116</v>
      </c>
      <c r="G254" s="329">
        <v>176</v>
      </c>
      <c r="H254" s="329">
        <v>224</v>
      </c>
      <c r="I254" s="329">
        <v>0</v>
      </c>
      <c r="J254" s="329">
        <v>30</v>
      </c>
      <c r="K254" s="333">
        <v>30</v>
      </c>
      <c r="L254" s="333"/>
      <c r="M254" s="208"/>
      <c r="N254" s="401">
        <v>460586</v>
      </c>
      <c r="O254" s="329">
        <v>116</v>
      </c>
      <c r="P254" s="329">
        <v>176</v>
      </c>
      <c r="Q254" s="329">
        <v>224</v>
      </c>
      <c r="R254" s="333">
        <v>516</v>
      </c>
      <c r="S254" s="333">
        <v>7662393</v>
      </c>
      <c r="T254" s="3">
        <v>1.3</v>
      </c>
      <c r="U254" s="165">
        <f>VLOOKUP(N254,'[2]154'!$C$9:$T$554,18,0)</f>
        <v>516</v>
      </c>
      <c r="V254" s="401">
        <v>460586</v>
      </c>
      <c r="W254" s="406">
        <v>30</v>
      </c>
      <c r="X254" s="405">
        <v>25236.400000000001</v>
      </c>
      <c r="Y254" s="406">
        <v>757092</v>
      </c>
      <c r="Z254" s="3"/>
      <c r="AA254" s="401">
        <v>460586</v>
      </c>
      <c r="AB254" s="329">
        <v>116</v>
      </c>
      <c r="AC254" s="329">
        <v>176</v>
      </c>
      <c r="AD254" s="329">
        <v>224</v>
      </c>
      <c r="AE254" s="329">
        <v>516</v>
      </c>
      <c r="AF254" s="329">
        <v>290</v>
      </c>
      <c r="AG254" s="329">
        <v>3245606</v>
      </c>
      <c r="AH254" s="3"/>
      <c r="AI254" s="401">
        <v>460586</v>
      </c>
      <c r="AJ254" s="329">
        <v>116</v>
      </c>
      <c r="AK254" s="329">
        <v>176</v>
      </c>
      <c r="AL254" s="329">
        <v>224</v>
      </c>
      <c r="AM254" s="329">
        <v>516</v>
      </c>
      <c r="AN254" s="329">
        <v>290</v>
      </c>
      <c r="AO254" s="329">
        <v>4416787</v>
      </c>
    </row>
    <row r="255" spans="1:41" ht="15.75">
      <c r="A255" s="333">
        <v>249</v>
      </c>
      <c r="B255" s="169" t="s">
        <v>105</v>
      </c>
      <c r="C255" s="401">
        <v>460588</v>
      </c>
      <c r="D255" s="329">
        <v>6820</v>
      </c>
      <c r="E255" s="329">
        <v>407</v>
      </c>
      <c r="F255" s="329">
        <v>0</v>
      </c>
      <c r="G255" s="329">
        <v>198</v>
      </c>
      <c r="H255" s="329">
        <v>209</v>
      </c>
      <c r="I255" s="329">
        <v>0</v>
      </c>
      <c r="J255" s="329">
        <v>20</v>
      </c>
      <c r="K255" s="333">
        <v>20</v>
      </c>
      <c r="L255" s="333"/>
      <c r="M255" s="165"/>
      <c r="N255" s="401">
        <v>460588</v>
      </c>
      <c r="O255" s="329">
        <v>0</v>
      </c>
      <c r="P255" s="329">
        <v>198</v>
      </c>
      <c r="Q255" s="329">
        <v>209</v>
      </c>
      <c r="R255" s="329">
        <v>407</v>
      </c>
      <c r="S255" s="333">
        <v>6727881</v>
      </c>
      <c r="T255" s="3">
        <v>1.3</v>
      </c>
      <c r="U255" s="165">
        <f>VLOOKUP(N255,'[2]154'!$C$9:$T$554,18,0)</f>
        <v>407</v>
      </c>
      <c r="V255" s="401">
        <v>460588</v>
      </c>
      <c r="W255" s="406">
        <v>20</v>
      </c>
      <c r="X255" s="405">
        <v>25292.75</v>
      </c>
      <c r="Y255" s="406">
        <v>505855</v>
      </c>
      <c r="Z255" s="3"/>
      <c r="AA255" s="401">
        <v>460588</v>
      </c>
      <c r="AB255" s="329">
        <v>0</v>
      </c>
      <c r="AC255" s="329">
        <v>198</v>
      </c>
      <c r="AD255" s="329">
        <v>209</v>
      </c>
      <c r="AE255" s="329">
        <v>407</v>
      </c>
      <c r="AF255" s="329">
        <v>266</v>
      </c>
      <c r="AG255" s="329">
        <v>2849769</v>
      </c>
      <c r="AH255" s="3"/>
      <c r="AI255" s="401">
        <v>460588</v>
      </c>
      <c r="AJ255" s="329">
        <v>0</v>
      </c>
      <c r="AK255" s="329">
        <v>198</v>
      </c>
      <c r="AL255" s="329">
        <v>209</v>
      </c>
      <c r="AM255" s="329">
        <v>407</v>
      </c>
      <c r="AN255" s="329">
        <v>266</v>
      </c>
      <c r="AO255" s="329">
        <v>3878112</v>
      </c>
    </row>
    <row r="256" spans="1:41" ht="15.75">
      <c r="A256" s="333">
        <v>250</v>
      </c>
      <c r="B256" s="169" t="s">
        <v>105</v>
      </c>
      <c r="C256" s="401">
        <v>460591</v>
      </c>
      <c r="D256" s="329">
        <v>7440</v>
      </c>
      <c r="E256" s="329">
        <v>304</v>
      </c>
      <c r="F256" s="329">
        <v>0</v>
      </c>
      <c r="G256" s="329">
        <v>111</v>
      </c>
      <c r="H256" s="329">
        <v>193</v>
      </c>
      <c r="I256" s="329">
        <v>0</v>
      </c>
      <c r="J256" s="329">
        <v>120</v>
      </c>
      <c r="K256" s="333">
        <v>120</v>
      </c>
      <c r="L256" s="333"/>
      <c r="M256" s="165"/>
      <c r="N256" s="401">
        <v>460591</v>
      </c>
      <c r="O256" s="329">
        <v>0</v>
      </c>
      <c r="P256" s="329">
        <v>111</v>
      </c>
      <c r="Q256" s="329">
        <v>193</v>
      </c>
      <c r="R256" s="329">
        <v>304</v>
      </c>
      <c r="S256" s="333">
        <v>5311485</v>
      </c>
      <c r="T256" s="3">
        <v>1.3</v>
      </c>
      <c r="U256" s="165">
        <f>VLOOKUP(N256,'[2]154'!$C$9:$T$554,18,0)</f>
        <v>304</v>
      </c>
      <c r="V256" s="401">
        <v>460591</v>
      </c>
      <c r="W256" s="406">
        <v>120</v>
      </c>
      <c r="X256" s="405">
        <v>25292.783333333333</v>
      </c>
      <c r="Y256" s="406">
        <v>3035134</v>
      </c>
      <c r="Z256" s="3"/>
      <c r="AA256" s="401">
        <v>460591</v>
      </c>
      <c r="AB256" s="329">
        <v>0</v>
      </c>
      <c r="AC256" s="329">
        <v>111</v>
      </c>
      <c r="AD256" s="329">
        <v>193</v>
      </c>
      <c r="AE256" s="329">
        <v>304</v>
      </c>
      <c r="AF256" s="329">
        <v>210</v>
      </c>
      <c r="AG256" s="329">
        <v>2249818</v>
      </c>
      <c r="AH256" s="3"/>
      <c r="AI256" s="401">
        <v>460591</v>
      </c>
      <c r="AJ256" s="329">
        <v>0</v>
      </c>
      <c r="AK256" s="329">
        <v>111</v>
      </c>
      <c r="AL256" s="329">
        <v>193</v>
      </c>
      <c r="AM256" s="329">
        <v>304</v>
      </c>
      <c r="AN256" s="329">
        <v>210</v>
      </c>
      <c r="AO256" s="329">
        <v>3061667</v>
      </c>
    </row>
    <row r="257" spans="1:41" ht="15.75">
      <c r="A257" s="333">
        <v>251</v>
      </c>
      <c r="B257" s="169" t="s">
        <v>105</v>
      </c>
      <c r="C257" s="401">
        <v>460727</v>
      </c>
      <c r="D257" s="329">
        <v>0</v>
      </c>
      <c r="E257" s="329">
        <v>98</v>
      </c>
      <c r="F257" s="329">
        <v>30</v>
      </c>
      <c r="G257" s="329">
        <v>15</v>
      </c>
      <c r="H257" s="329">
        <v>53</v>
      </c>
      <c r="I257" s="329">
        <v>0</v>
      </c>
      <c r="J257" s="329">
        <v>0</v>
      </c>
      <c r="K257" s="333">
        <v>0</v>
      </c>
      <c r="L257" s="333"/>
      <c r="M257" s="208"/>
      <c r="N257" s="401">
        <v>460727</v>
      </c>
      <c r="O257" s="329">
        <v>30</v>
      </c>
      <c r="P257" s="329">
        <v>15</v>
      </c>
      <c r="Q257" s="329">
        <v>53</v>
      </c>
      <c r="R257" s="329">
        <v>98</v>
      </c>
      <c r="S257" s="333">
        <v>3432036</v>
      </c>
      <c r="T257" s="3">
        <v>3.15</v>
      </c>
      <c r="U257" s="165">
        <f>VLOOKUP(N257,'[2]154'!$C$9:$T$554,18,0)</f>
        <v>98</v>
      </c>
      <c r="V257" s="401">
        <v>460727</v>
      </c>
      <c r="W257" s="406">
        <v>0</v>
      </c>
      <c r="X257" s="405">
        <v>0</v>
      </c>
      <c r="Y257" s="406">
        <v>0</v>
      </c>
      <c r="Z257" s="3"/>
      <c r="AA257" s="401">
        <v>460727</v>
      </c>
      <c r="AB257" s="329">
        <v>30</v>
      </c>
      <c r="AC257" s="329">
        <v>15</v>
      </c>
      <c r="AD257" s="329">
        <v>53</v>
      </c>
      <c r="AE257" s="329">
        <v>98</v>
      </c>
      <c r="AF257" s="329">
        <v>56</v>
      </c>
      <c r="AG257" s="329">
        <v>1453728</v>
      </c>
      <c r="AH257" s="3"/>
      <c r="AI257" s="401">
        <v>460727</v>
      </c>
      <c r="AJ257" s="329">
        <v>30</v>
      </c>
      <c r="AK257" s="329">
        <v>15</v>
      </c>
      <c r="AL257" s="329">
        <v>53</v>
      </c>
      <c r="AM257" s="329">
        <v>98</v>
      </c>
      <c r="AN257" s="329">
        <v>56</v>
      </c>
      <c r="AO257" s="329">
        <v>1978308</v>
      </c>
    </row>
    <row r="258" spans="1:41" ht="15.75">
      <c r="A258" s="333">
        <v>252</v>
      </c>
      <c r="B258" s="169" t="s">
        <v>105</v>
      </c>
      <c r="C258" s="401">
        <v>461609</v>
      </c>
      <c r="D258" s="329">
        <v>18336</v>
      </c>
      <c r="E258" s="329">
        <v>490</v>
      </c>
      <c r="F258" s="329">
        <v>62</v>
      </c>
      <c r="G258" s="329">
        <v>141</v>
      </c>
      <c r="H258" s="329">
        <v>287</v>
      </c>
      <c r="I258" s="329">
        <v>0</v>
      </c>
      <c r="J258" s="329">
        <v>50</v>
      </c>
      <c r="K258" s="333">
        <v>50</v>
      </c>
      <c r="L258" s="333"/>
      <c r="M258" s="165"/>
      <c r="N258" s="401">
        <v>461609</v>
      </c>
      <c r="O258" s="329">
        <v>62</v>
      </c>
      <c r="P258" s="329">
        <v>141</v>
      </c>
      <c r="Q258" s="329">
        <v>287</v>
      </c>
      <c r="R258" s="329">
        <v>490</v>
      </c>
      <c r="S258" s="333">
        <v>9983092</v>
      </c>
      <c r="T258" s="3">
        <v>1.6</v>
      </c>
      <c r="U258" s="165">
        <f>VLOOKUP(N258,'[2]154'!$C$9:$T$554,18,0)</f>
        <v>490</v>
      </c>
      <c r="V258" s="401">
        <v>461609</v>
      </c>
      <c r="W258" s="406">
        <v>50</v>
      </c>
      <c r="X258" s="405">
        <v>31095.24</v>
      </c>
      <c r="Y258" s="406">
        <v>1554762</v>
      </c>
      <c r="Z258" s="3"/>
      <c r="AA258" s="401">
        <v>461609</v>
      </c>
      <c r="AB258" s="329">
        <v>62</v>
      </c>
      <c r="AC258" s="329">
        <v>141</v>
      </c>
      <c r="AD258" s="329">
        <v>287</v>
      </c>
      <c r="AE258" s="329">
        <v>490</v>
      </c>
      <c r="AF258" s="329">
        <v>313</v>
      </c>
      <c r="AG258" s="329">
        <v>4228599</v>
      </c>
      <c r="AH258" s="3"/>
      <c r="AI258" s="401">
        <v>461609</v>
      </c>
      <c r="AJ258" s="329">
        <v>62</v>
      </c>
      <c r="AK258" s="329">
        <v>141</v>
      </c>
      <c r="AL258" s="329">
        <v>287</v>
      </c>
      <c r="AM258" s="329">
        <v>490</v>
      </c>
      <c r="AN258" s="329">
        <v>313</v>
      </c>
      <c r="AO258" s="329">
        <v>5754493</v>
      </c>
    </row>
    <row r="259" spans="1:41" ht="15.75">
      <c r="A259" s="333">
        <v>253</v>
      </c>
      <c r="B259" s="169" t="s">
        <v>105</v>
      </c>
      <c r="C259" s="401">
        <v>464818</v>
      </c>
      <c r="D259" s="329">
        <v>16492</v>
      </c>
      <c r="E259" s="329">
        <v>1375</v>
      </c>
      <c r="F259" s="329">
        <v>0</v>
      </c>
      <c r="G259" s="329">
        <v>662</v>
      </c>
      <c r="H259" s="329">
        <v>713</v>
      </c>
      <c r="I259" s="329">
        <v>0</v>
      </c>
      <c r="J259" s="329">
        <v>119</v>
      </c>
      <c r="K259" s="333">
        <v>119</v>
      </c>
      <c r="L259" s="333"/>
      <c r="M259" s="165"/>
      <c r="N259" s="401">
        <v>464818</v>
      </c>
      <c r="O259" s="329">
        <v>0</v>
      </c>
      <c r="P259" s="329">
        <v>662</v>
      </c>
      <c r="Q259" s="329">
        <v>713</v>
      </c>
      <c r="R259" s="329">
        <v>1375</v>
      </c>
      <c r="S259" s="333">
        <v>50592712</v>
      </c>
      <c r="T259" s="3">
        <v>2.35</v>
      </c>
      <c r="U259" s="165">
        <f>VLOOKUP(N259,'[2]154'!$C$9:$T$554,18,0)</f>
        <v>1375</v>
      </c>
      <c r="V259" s="401">
        <v>464818</v>
      </c>
      <c r="W259" s="406">
        <v>119</v>
      </c>
      <c r="X259" s="405">
        <v>56104.126050420171</v>
      </c>
      <c r="Y259" s="406">
        <v>6676391</v>
      </c>
      <c r="Z259" s="3"/>
      <c r="AA259" s="401">
        <v>464818</v>
      </c>
      <c r="AB259" s="329">
        <v>0</v>
      </c>
      <c r="AC259" s="329">
        <v>662</v>
      </c>
      <c r="AD259" s="329">
        <v>713</v>
      </c>
      <c r="AE259" s="329">
        <v>1375</v>
      </c>
      <c r="AF259" s="329">
        <v>901</v>
      </c>
      <c r="AG259" s="329">
        <v>20759556</v>
      </c>
      <c r="AH259" s="3"/>
      <c r="AI259" s="401">
        <v>464818</v>
      </c>
      <c r="AJ259" s="329">
        <v>0</v>
      </c>
      <c r="AK259" s="329">
        <v>662</v>
      </c>
      <c r="AL259" s="329">
        <v>713</v>
      </c>
      <c r="AM259" s="329">
        <v>1375</v>
      </c>
      <c r="AN259" s="329">
        <v>901</v>
      </c>
      <c r="AO259" s="329">
        <v>29833156</v>
      </c>
    </row>
    <row r="260" spans="1:41" ht="15.75">
      <c r="A260" s="333">
        <v>254</v>
      </c>
      <c r="B260" s="169" t="s">
        <v>105</v>
      </c>
      <c r="C260" s="401">
        <v>465184</v>
      </c>
      <c r="D260" s="329">
        <v>10251</v>
      </c>
      <c r="E260" s="329">
        <v>76</v>
      </c>
      <c r="F260" s="329">
        <v>0</v>
      </c>
      <c r="G260" s="329">
        <v>16</v>
      </c>
      <c r="H260" s="329">
        <v>60</v>
      </c>
      <c r="I260" s="329">
        <v>0</v>
      </c>
      <c r="J260" s="329">
        <v>262</v>
      </c>
      <c r="K260" s="333">
        <v>262</v>
      </c>
      <c r="L260" s="333"/>
      <c r="M260" s="208"/>
      <c r="N260" s="401">
        <v>465184</v>
      </c>
      <c r="O260" s="329">
        <v>0</v>
      </c>
      <c r="P260" s="329">
        <v>16</v>
      </c>
      <c r="Q260" s="329">
        <v>60</v>
      </c>
      <c r="R260" s="329">
        <v>76</v>
      </c>
      <c r="S260" s="333">
        <v>3231301</v>
      </c>
      <c r="T260" s="3">
        <v>2.0499999999999998</v>
      </c>
      <c r="U260" s="165">
        <f>VLOOKUP(N260,'[2]154'!$C$9:$T$554,18,0)</f>
        <v>76</v>
      </c>
      <c r="V260" s="401">
        <v>465184</v>
      </c>
      <c r="W260" s="406">
        <v>262</v>
      </c>
      <c r="X260" s="405">
        <v>56481.515267175571</v>
      </c>
      <c r="Y260" s="406">
        <v>14798157</v>
      </c>
      <c r="Z260" s="3"/>
      <c r="AA260" s="401">
        <v>465184</v>
      </c>
      <c r="AB260" s="329">
        <v>0</v>
      </c>
      <c r="AC260" s="329">
        <v>16</v>
      </c>
      <c r="AD260" s="329">
        <v>60</v>
      </c>
      <c r="AE260" s="329">
        <v>76</v>
      </c>
      <c r="AF260" s="329">
        <v>56</v>
      </c>
      <c r="AG260" s="329">
        <v>1300961</v>
      </c>
      <c r="AH260" s="3"/>
      <c r="AI260" s="401">
        <v>465184</v>
      </c>
      <c r="AJ260" s="329">
        <v>0</v>
      </c>
      <c r="AK260" s="329">
        <v>16</v>
      </c>
      <c r="AL260" s="329">
        <v>60</v>
      </c>
      <c r="AM260" s="329">
        <v>76</v>
      </c>
      <c r="AN260" s="329">
        <v>56</v>
      </c>
      <c r="AO260" s="329">
        <v>1930340</v>
      </c>
    </row>
    <row r="261" spans="1:41" ht="15.75">
      <c r="A261" s="333">
        <v>255</v>
      </c>
      <c r="B261" s="169" t="s">
        <v>105</v>
      </c>
      <c r="C261" s="401">
        <v>465409</v>
      </c>
      <c r="D261" s="329">
        <v>14872</v>
      </c>
      <c r="E261" s="329">
        <v>1041</v>
      </c>
      <c r="F261" s="329">
        <v>2</v>
      </c>
      <c r="G261" s="329">
        <v>14</v>
      </c>
      <c r="H261" s="329">
        <v>1025</v>
      </c>
      <c r="I261" s="329">
        <v>0</v>
      </c>
      <c r="J261" s="329">
        <v>264</v>
      </c>
      <c r="K261" s="333">
        <v>264</v>
      </c>
      <c r="L261" s="333"/>
      <c r="M261" s="165"/>
      <c r="N261" s="401">
        <v>465409</v>
      </c>
      <c r="O261" s="329">
        <v>2</v>
      </c>
      <c r="P261" s="329">
        <v>14</v>
      </c>
      <c r="Q261" s="329">
        <v>1025</v>
      </c>
      <c r="R261" s="329">
        <v>1041</v>
      </c>
      <c r="S261" s="333">
        <v>42701368</v>
      </c>
      <c r="T261" s="3">
        <v>2.65</v>
      </c>
      <c r="U261" s="165">
        <f>VLOOKUP(N261,'[2]154'!$C$9:$T$554,18,0)</f>
        <v>1041</v>
      </c>
      <c r="V261" s="401">
        <v>465409</v>
      </c>
      <c r="W261" s="406">
        <v>264</v>
      </c>
      <c r="X261" s="405">
        <v>51486.742424242424</v>
      </c>
      <c r="Y261" s="406">
        <v>13592500</v>
      </c>
      <c r="Z261" s="3"/>
      <c r="AA261" s="401">
        <v>465409</v>
      </c>
      <c r="AB261" s="329">
        <v>2</v>
      </c>
      <c r="AC261" s="329">
        <v>14</v>
      </c>
      <c r="AD261" s="329">
        <v>1025</v>
      </c>
      <c r="AE261" s="329">
        <v>1041</v>
      </c>
      <c r="AF261" s="329">
        <v>827</v>
      </c>
      <c r="AG261" s="329">
        <v>18087276</v>
      </c>
      <c r="AH261" s="3"/>
      <c r="AI261" s="401">
        <v>465409</v>
      </c>
      <c r="AJ261" s="329">
        <v>2</v>
      </c>
      <c r="AK261" s="329">
        <v>14</v>
      </c>
      <c r="AL261" s="329">
        <v>1025</v>
      </c>
      <c r="AM261" s="329">
        <v>1041</v>
      </c>
      <c r="AN261" s="329">
        <v>827</v>
      </c>
      <c r="AO261" s="329">
        <v>24614092</v>
      </c>
    </row>
    <row r="262" spans="1:41" ht="15.75">
      <c r="A262" s="333">
        <v>256</v>
      </c>
      <c r="B262" s="3" t="s">
        <v>100</v>
      </c>
      <c r="C262" s="401">
        <v>100010055</v>
      </c>
      <c r="D262" s="329">
        <v>2729</v>
      </c>
      <c r="E262" s="329">
        <v>76</v>
      </c>
      <c r="F262" s="329">
        <v>0</v>
      </c>
      <c r="G262" s="329">
        <v>69</v>
      </c>
      <c r="H262" s="329">
        <v>7</v>
      </c>
      <c r="I262" s="329">
        <v>0</v>
      </c>
      <c r="J262" s="329">
        <v>0</v>
      </c>
      <c r="K262" s="333">
        <v>0</v>
      </c>
      <c r="L262" s="333"/>
      <c r="M262" s="165"/>
      <c r="N262" s="401">
        <v>100010055</v>
      </c>
      <c r="O262" s="329">
        <v>0</v>
      </c>
      <c r="P262" s="329">
        <v>69</v>
      </c>
      <c r="Q262" s="329">
        <v>7</v>
      </c>
      <c r="R262" s="329">
        <v>76</v>
      </c>
      <c r="S262" s="333">
        <v>6652229</v>
      </c>
      <c r="T262" s="3">
        <v>4.5</v>
      </c>
      <c r="U262" s="165">
        <f>VLOOKUP(N262,'[2]154'!$C$9:$T$554,18,0)</f>
        <v>76</v>
      </c>
      <c r="V262" s="401">
        <v>100010055</v>
      </c>
      <c r="W262" s="406">
        <v>0</v>
      </c>
      <c r="X262" s="405">
        <v>0</v>
      </c>
      <c r="Y262" s="406">
        <v>0</v>
      </c>
      <c r="Z262" s="3"/>
      <c r="AA262" s="401">
        <v>100010055</v>
      </c>
      <c r="AB262" s="329">
        <v>0</v>
      </c>
      <c r="AC262" s="329">
        <v>69</v>
      </c>
      <c r="AD262" s="329">
        <v>7</v>
      </c>
      <c r="AE262" s="329">
        <v>76</v>
      </c>
      <c r="AF262" s="329">
        <v>40</v>
      </c>
      <c r="AG262" s="329">
        <v>2679149</v>
      </c>
      <c r="AH262" s="3"/>
      <c r="AI262" s="401">
        <v>100010055</v>
      </c>
      <c r="AJ262" s="329">
        <v>0</v>
      </c>
      <c r="AK262" s="329">
        <v>69</v>
      </c>
      <c r="AL262" s="329">
        <v>7</v>
      </c>
      <c r="AM262" s="329">
        <v>76</v>
      </c>
      <c r="AN262" s="329">
        <v>40</v>
      </c>
      <c r="AO262" s="329">
        <v>3973080</v>
      </c>
    </row>
    <row r="263" spans="1:41" ht="15.75">
      <c r="A263" s="333">
        <v>257</v>
      </c>
      <c r="B263" s="3" t="s">
        <v>100</v>
      </c>
      <c r="C263" s="401">
        <v>100013421</v>
      </c>
      <c r="D263" s="329">
        <v>19570</v>
      </c>
      <c r="E263" s="329">
        <v>702</v>
      </c>
      <c r="F263" s="329">
        <v>0</v>
      </c>
      <c r="G263" s="329">
        <v>364</v>
      </c>
      <c r="H263" s="329">
        <v>338</v>
      </c>
      <c r="I263" s="329">
        <v>0</v>
      </c>
      <c r="J263" s="329">
        <v>54</v>
      </c>
      <c r="K263" s="333">
        <v>54</v>
      </c>
      <c r="L263" s="333"/>
      <c r="M263" s="208"/>
      <c r="N263" s="401">
        <v>100013421</v>
      </c>
      <c r="O263" s="329">
        <v>0</v>
      </c>
      <c r="P263" s="329">
        <v>364</v>
      </c>
      <c r="Q263" s="329">
        <v>338</v>
      </c>
      <c r="R263" s="329">
        <v>702</v>
      </c>
      <c r="S263" s="333">
        <v>16919129</v>
      </c>
      <c r="T263" s="3">
        <v>2</v>
      </c>
      <c r="U263" s="165">
        <f>VLOOKUP(N263,'[2]154'!$C$9:$T$554,18,0)</f>
        <v>702</v>
      </c>
      <c r="V263" s="401">
        <v>100013421</v>
      </c>
      <c r="W263" s="406">
        <v>54</v>
      </c>
      <c r="X263" s="405">
        <v>35824.5</v>
      </c>
      <c r="Y263" s="406">
        <v>1934523</v>
      </c>
      <c r="Z263" s="3"/>
      <c r="AA263" s="401">
        <v>100013421</v>
      </c>
      <c r="AB263" s="329">
        <v>0</v>
      </c>
      <c r="AC263" s="329">
        <v>364</v>
      </c>
      <c r="AD263" s="329">
        <v>338</v>
      </c>
      <c r="AE263" s="329">
        <v>702</v>
      </c>
      <c r="AF263" s="329">
        <v>452</v>
      </c>
      <c r="AG263" s="329">
        <v>7166537</v>
      </c>
      <c r="AH263" s="3"/>
      <c r="AI263" s="401">
        <v>100013421</v>
      </c>
      <c r="AJ263" s="329">
        <v>0</v>
      </c>
      <c r="AK263" s="329">
        <v>364</v>
      </c>
      <c r="AL263" s="329">
        <v>338</v>
      </c>
      <c r="AM263" s="329">
        <v>702</v>
      </c>
      <c r="AN263" s="329">
        <v>452</v>
      </c>
      <c r="AO263" s="329">
        <v>9752592</v>
      </c>
    </row>
    <row r="264" spans="1:41" ht="15.75">
      <c r="A264" s="333">
        <v>258</v>
      </c>
      <c r="B264" s="3" t="s">
        <v>101</v>
      </c>
      <c r="C264" s="401">
        <v>100006969</v>
      </c>
      <c r="D264" s="329">
        <v>3293</v>
      </c>
      <c r="E264" s="329">
        <v>160</v>
      </c>
      <c r="F264" s="329">
        <v>30</v>
      </c>
      <c r="G264" s="329">
        <v>73</v>
      </c>
      <c r="H264" s="329">
        <v>57</v>
      </c>
      <c r="I264" s="329">
        <v>0</v>
      </c>
      <c r="J264" s="329">
        <v>26</v>
      </c>
      <c r="K264" s="333">
        <v>26</v>
      </c>
      <c r="L264" s="333"/>
      <c r="M264" s="208"/>
      <c r="N264" s="401">
        <v>100006969</v>
      </c>
      <c r="O264" s="329">
        <v>30</v>
      </c>
      <c r="P264" s="329">
        <v>73</v>
      </c>
      <c r="Q264" s="329">
        <v>57</v>
      </c>
      <c r="R264" s="329">
        <v>160</v>
      </c>
      <c r="S264" s="333">
        <v>12266280</v>
      </c>
      <c r="T264" s="3">
        <v>3.2</v>
      </c>
      <c r="U264" s="165">
        <f>VLOOKUP(N264,'[2]154'!$C$9:$T$554,18,0)</f>
        <v>160</v>
      </c>
      <c r="V264" s="401">
        <v>100006969</v>
      </c>
      <c r="W264" s="406">
        <v>26</v>
      </c>
      <c r="X264" s="405">
        <v>217519</v>
      </c>
      <c r="Y264" s="406">
        <v>2582281</v>
      </c>
      <c r="Z264" s="3"/>
      <c r="AA264" s="401">
        <v>100006969</v>
      </c>
      <c r="AB264" s="329">
        <v>30</v>
      </c>
      <c r="AC264" s="329">
        <v>73</v>
      </c>
      <c r="AD264" s="329">
        <v>57</v>
      </c>
      <c r="AE264" s="329">
        <v>160</v>
      </c>
      <c r="AF264" s="329">
        <v>88</v>
      </c>
      <c r="AG264" s="329">
        <v>4979554</v>
      </c>
      <c r="AH264" s="3"/>
      <c r="AI264" s="401">
        <v>100006969</v>
      </c>
      <c r="AJ264" s="329">
        <v>30</v>
      </c>
      <c r="AK264" s="329">
        <v>73</v>
      </c>
      <c r="AL264" s="329">
        <v>57</v>
      </c>
      <c r="AM264" s="329">
        <v>160</v>
      </c>
      <c r="AN264" s="329">
        <v>88</v>
      </c>
      <c r="AO264" s="329">
        <v>7286726</v>
      </c>
    </row>
    <row r="265" spans="1:41" ht="15.75">
      <c r="A265" s="333">
        <v>259</v>
      </c>
      <c r="B265" s="3" t="s">
        <v>101</v>
      </c>
      <c r="C265" s="401">
        <v>100020548</v>
      </c>
      <c r="D265" s="329">
        <v>6352</v>
      </c>
      <c r="E265" s="329">
        <v>850</v>
      </c>
      <c r="F265" s="329">
        <v>0</v>
      </c>
      <c r="G265" s="329">
        <v>436</v>
      </c>
      <c r="H265" s="329">
        <v>414</v>
      </c>
      <c r="I265" s="329">
        <v>0</v>
      </c>
      <c r="J265" s="329">
        <v>79</v>
      </c>
      <c r="K265" s="333">
        <v>79</v>
      </c>
      <c r="L265" s="333"/>
      <c r="M265" s="165"/>
      <c r="N265" s="401">
        <v>100020548</v>
      </c>
      <c r="O265" s="329">
        <v>0</v>
      </c>
      <c r="P265" s="329">
        <v>436</v>
      </c>
      <c r="Q265" s="329">
        <v>414</v>
      </c>
      <c r="R265" s="329">
        <v>850</v>
      </c>
      <c r="S265" s="333">
        <v>27771477</v>
      </c>
      <c r="T265" s="3">
        <v>2.6</v>
      </c>
      <c r="U265" s="165">
        <f>VLOOKUP(N265,'[2]154'!$C$9:$T$554,18,0)</f>
        <v>850</v>
      </c>
      <c r="V265" s="401">
        <v>100020548</v>
      </c>
      <c r="W265" s="406">
        <v>79</v>
      </c>
      <c r="X265" s="405">
        <v>50585.57</v>
      </c>
      <c r="Y265" s="406">
        <v>3996260</v>
      </c>
      <c r="Z265" s="3"/>
      <c r="AA265" s="401">
        <v>100020548</v>
      </c>
      <c r="AB265" s="329">
        <v>0</v>
      </c>
      <c r="AC265" s="329">
        <v>436</v>
      </c>
      <c r="AD265" s="329">
        <v>414</v>
      </c>
      <c r="AE265" s="329">
        <v>850</v>
      </c>
      <c r="AF265" s="329">
        <v>549</v>
      </c>
      <c r="AG265" s="329">
        <v>11763332</v>
      </c>
      <c r="AH265" s="3"/>
      <c r="AI265" s="401">
        <v>100020548</v>
      </c>
      <c r="AJ265" s="329">
        <v>0</v>
      </c>
      <c r="AK265" s="329">
        <v>436</v>
      </c>
      <c r="AL265" s="329">
        <v>414</v>
      </c>
      <c r="AM265" s="329">
        <v>850</v>
      </c>
      <c r="AN265" s="329">
        <v>549</v>
      </c>
      <c r="AO265" s="329">
        <v>16008145</v>
      </c>
    </row>
    <row r="266" spans="1:41" ht="15.75">
      <c r="A266" s="333">
        <v>260</v>
      </c>
      <c r="B266" s="3" t="s">
        <v>101</v>
      </c>
      <c r="C266" s="401">
        <v>77511</v>
      </c>
      <c r="D266" s="329">
        <v>10287</v>
      </c>
      <c r="E266" s="329">
        <v>365</v>
      </c>
      <c r="F266" s="329">
        <v>0</v>
      </c>
      <c r="G266" s="329">
        <v>114</v>
      </c>
      <c r="H266" s="329">
        <v>251</v>
      </c>
      <c r="I266" s="329">
        <v>0</v>
      </c>
      <c r="J266" s="329">
        <v>0</v>
      </c>
      <c r="K266" s="333">
        <v>0</v>
      </c>
      <c r="L266" s="333"/>
      <c r="M266" s="165"/>
      <c r="N266" s="401">
        <v>77511</v>
      </c>
      <c r="O266" s="329">
        <v>0</v>
      </c>
      <c r="P266" s="329">
        <v>114</v>
      </c>
      <c r="Q266" s="329">
        <v>251</v>
      </c>
      <c r="R266" s="329">
        <v>365</v>
      </c>
      <c r="S266" s="333">
        <v>26158118</v>
      </c>
      <c r="T266" s="3">
        <v>4.5999999999999996</v>
      </c>
      <c r="U266" s="165">
        <f>VLOOKUP(N266,'[2]154'!$C$9:$T$554,18,0)</f>
        <v>365</v>
      </c>
      <c r="V266" s="401">
        <v>77511</v>
      </c>
      <c r="W266" s="406">
        <v>0</v>
      </c>
      <c r="X266" s="405">
        <v>0</v>
      </c>
      <c r="Y266" s="406">
        <v>0</v>
      </c>
      <c r="Z266" s="3"/>
      <c r="AA266" s="401">
        <v>77511</v>
      </c>
      <c r="AB266" s="329">
        <v>0</v>
      </c>
      <c r="AC266" s="329">
        <v>114</v>
      </c>
      <c r="AD266" s="329">
        <v>251</v>
      </c>
      <c r="AE266" s="329">
        <v>365</v>
      </c>
      <c r="AF266" s="329">
        <v>258</v>
      </c>
      <c r="AG266" s="329">
        <v>10599347</v>
      </c>
      <c r="AH266" s="3"/>
      <c r="AI266" s="401">
        <v>77511</v>
      </c>
      <c r="AJ266" s="329">
        <v>0</v>
      </c>
      <c r="AK266" s="329">
        <v>114</v>
      </c>
      <c r="AL266" s="329">
        <v>251</v>
      </c>
      <c r="AM266" s="329">
        <v>365</v>
      </c>
      <c r="AN266" s="329">
        <v>258</v>
      </c>
      <c r="AO266" s="329">
        <v>15558771</v>
      </c>
    </row>
    <row r="267" spans="1:41" ht="15.75">
      <c r="A267" s="333">
        <v>261</v>
      </c>
      <c r="B267" s="169" t="s">
        <v>106</v>
      </c>
      <c r="C267" s="398" t="s">
        <v>601</v>
      </c>
      <c r="D267" s="329">
        <v>13099</v>
      </c>
      <c r="E267" s="329">
        <v>1463</v>
      </c>
      <c r="F267" s="329">
        <v>366</v>
      </c>
      <c r="G267" s="329">
        <v>372</v>
      </c>
      <c r="H267" s="329">
        <v>725</v>
      </c>
      <c r="I267" s="329">
        <v>0</v>
      </c>
      <c r="J267" s="329">
        <v>16</v>
      </c>
      <c r="K267" s="333">
        <v>16</v>
      </c>
      <c r="L267" s="333"/>
      <c r="M267" s="208"/>
      <c r="N267" s="398" t="s">
        <v>601</v>
      </c>
      <c r="O267" s="329">
        <v>366</v>
      </c>
      <c r="P267" s="329">
        <v>372</v>
      </c>
      <c r="Q267" s="329">
        <v>725</v>
      </c>
      <c r="R267" s="329">
        <v>1463</v>
      </c>
      <c r="S267" s="333">
        <v>40693390</v>
      </c>
      <c r="T267" s="3">
        <v>1.73</v>
      </c>
      <c r="U267" s="165">
        <f>VLOOKUP(N267,'[2]154'!$C$9:$T$554,18,0)</f>
        <v>1463</v>
      </c>
      <c r="V267" s="398" t="s">
        <v>601</v>
      </c>
      <c r="W267" s="406">
        <v>16</v>
      </c>
      <c r="X267" s="405">
        <v>44552.5625</v>
      </c>
      <c r="Y267" s="406">
        <v>712841</v>
      </c>
      <c r="Z267" s="3"/>
      <c r="AA267" s="398" t="s">
        <v>601</v>
      </c>
      <c r="AB267" s="329">
        <v>366</v>
      </c>
      <c r="AC267" s="329">
        <v>372</v>
      </c>
      <c r="AD267" s="329">
        <v>725</v>
      </c>
      <c r="AE267" s="329">
        <v>1463</v>
      </c>
      <c r="AF267" s="329">
        <v>839</v>
      </c>
      <c r="AG267" s="329">
        <v>16622711</v>
      </c>
      <c r="AH267" s="3"/>
      <c r="AI267" s="398" t="s">
        <v>601</v>
      </c>
      <c r="AJ267" s="329">
        <v>366</v>
      </c>
      <c r="AK267" s="329">
        <v>372</v>
      </c>
      <c r="AL267" s="329">
        <v>725</v>
      </c>
      <c r="AM267" s="329">
        <v>1463</v>
      </c>
      <c r="AN267" s="329">
        <v>839</v>
      </c>
      <c r="AO267" s="329">
        <v>24070679</v>
      </c>
    </row>
    <row r="268" spans="1:41" ht="15.75">
      <c r="A268" s="333">
        <v>262</v>
      </c>
      <c r="B268" s="169" t="s">
        <v>106</v>
      </c>
      <c r="C268" s="398" t="s">
        <v>237</v>
      </c>
      <c r="D268" s="329">
        <v>13517</v>
      </c>
      <c r="E268" s="329">
        <v>278</v>
      </c>
      <c r="F268" s="329">
        <v>0</v>
      </c>
      <c r="G268" s="329">
        <v>47</v>
      </c>
      <c r="H268" s="329">
        <v>231</v>
      </c>
      <c r="I268" s="329">
        <v>0</v>
      </c>
      <c r="J268" s="329">
        <v>0</v>
      </c>
      <c r="K268" s="333">
        <v>0</v>
      </c>
      <c r="L268" s="333"/>
      <c r="M268" s="165"/>
      <c r="N268" s="398" t="s">
        <v>237</v>
      </c>
      <c r="O268" s="329">
        <v>0</v>
      </c>
      <c r="P268" s="329">
        <v>47</v>
      </c>
      <c r="Q268" s="329">
        <v>231</v>
      </c>
      <c r="R268" s="329">
        <v>278</v>
      </c>
      <c r="S268" s="333">
        <v>12679018</v>
      </c>
      <c r="T268" s="3">
        <v>2.4500000000000002</v>
      </c>
      <c r="U268" s="165">
        <f>VLOOKUP(N268,'[2]154'!$C$9:$T$554,18,0)</f>
        <v>278</v>
      </c>
      <c r="V268" s="398" t="s">
        <v>237</v>
      </c>
      <c r="W268" s="406">
        <v>0</v>
      </c>
      <c r="X268" s="405">
        <v>0</v>
      </c>
      <c r="Y268" s="406">
        <v>0</v>
      </c>
      <c r="Z268" s="3"/>
      <c r="AA268" s="398" t="s">
        <v>237</v>
      </c>
      <c r="AB268" s="329">
        <v>0</v>
      </c>
      <c r="AC268" s="329">
        <v>47</v>
      </c>
      <c r="AD268" s="329">
        <v>231</v>
      </c>
      <c r="AE268" s="329">
        <v>278</v>
      </c>
      <c r="AF268" s="329">
        <v>208</v>
      </c>
      <c r="AG268" s="329">
        <v>5144719</v>
      </c>
      <c r="AH268" s="3"/>
      <c r="AI268" s="398" t="s">
        <v>237</v>
      </c>
      <c r="AJ268" s="329">
        <v>0</v>
      </c>
      <c r="AK268" s="329">
        <v>47</v>
      </c>
      <c r="AL268" s="329">
        <v>231</v>
      </c>
      <c r="AM268" s="329">
        <v>278</v>
      </c>
      <c r="AN268" s="329">
        <v>208</v>
      </c>
      <c r="AO268" s="329">
        <v>7534299</v>
      </c>
    </row>
    <row r="269" spans="1:41" ht="15.75">
      <c r="A269" s="333">
        <v>263</v>
      </c>
      <c r="B269" s="3" t="s">
        <v>161</v>
      </c>
      <c r="C269" s="401">
        <v>100015354</v>
      </c>
      <c r="D269" s="329">
        <v>9786</v>
      </c>
      <c r="E269" s="329">
        <v>207</v>
      </c>
      <c r="F269" s="329">
        <v>0</v>
      </c>
      <c r="G269" s="329">
        <v>8</v>
      </c>
      <c r="H269" s="329">
        <v>199</v>
      </c>
      <c r="I269" s="329">
        <v>0</v>
      </c>
      <c r="J269" s="329">
        <v>57</v>
      </c>
      <c r="K269" s="333">
        <v>57</v>
      </c>
      <c r="L269" s="333"/>
      <c r="M269" s="165"/>
      <c r="N269" s="401">
        <v>100015354</v>
      </c>
      <c r="O269" s="329">
        <v>0</v>
      </c>
      <c r="P269" s="329">
        <v>8</v>
      </c>
      <c r="Q269" s="329">
        <v>199</v>
      </c>
      <c r="R269" s="329">
        <v>207</v>
      </c>
      <c r="S269" s="333">
        <v>6980249</v>
      </c>
      <c r="T269" s="3">
        <v>2.08</v>
      </c>
      <c r="U269" s="165">
        <f>VLOOKUP(N269,'[2]154'!$C$9:$T$554,18,0)</f>
        <v>207</v>
      </c>
      <c r="V269" s="401">
        <v>100015354</v>
      </c>
      <c r="W269" s="406">
        <v>57</v>
      </c>
      <c r="X269" s="405">
        <v>38631.192982456138</v>
      </c>
      <c r="Y269" s="406">
        <v>2201978</v>
      </c>
      <c r="Z269" s="3"/>
      <c r="AA269" s="401">
        <v>100015354</v>
      </c>
      <c r="AB269" s="329">
        <v>0</v>
      </c>
      <c r="AC269" s="329">
        <v>8</v>
      </c>
      <c r="AD269" s="329">
        <v>199</v>
      </c>
      <c r="AE269" s="329">
        <v>207</v>
      </c>
      <c r="AF269" s="329">
        <v>163</v>
      </c>
      <c r="AG269" s="329">
        <v>2830314</v>
      </c>
      <c r="AH269" s="3"/>
      <c r="AI269" s="401">
        <v>100015354</v>
      </c>
      <c r="AJ269" s="329">
        <v>0</v>
      </c>
      <c r="AK269" s="329">
        <v>8</v>
      </c>
      <c r="AL269" s="329">
        <v>199</v>
      </c>
      <c r="AM269" s="329">
        <v>207</v>
      </c>
      <c r="AN269" s="329">
        <v>163</v>
      </c>
      <c r="AO269" s="329">
        <v>4149935</v>
      </c>
    </row>
    <row r="270" spans="1:41" ht="15.75">
      <c r="A270" s="333">
        <v>264</v>
      </c>
      <c r="B270" s="169" t="s">
        <v>105</v>
      </c>
      <c r="C270" s="401">
        <v>468248</v>
      </c>
      <c r="D270" s="329">
        <v>10996</v>
      </c>
      <c r="E270" s="329">
        <v>823</v>
      </c>
      <c r="F270" s="329">
        <v>593</v>
      </c>
      <c r="G270" s="329">
        <v>116</v>
      </c>
      <c r="H270" s="329">
        <v>114</v>
      </c>
      <c r="I270" s="329">
        <v>0</v>
      </c>
      <c r="J270" s="329">
        <v>67</v>
      </c>
      <c r="K270" s="333">
        <v>67</v>
      </c>
      <c r="L270" s="333"/>
      <c r="M270" s="208"/>
      <c r="N270" s="401">
        <v>468248</v>
      </c>
      <c r="O270" s="329">
        <v>593</v>
      </c>
      <c r="P270" s="329">
        <v>116</v>
      </c>
      <c r="Q270" s="329">
        <v>114</v>
      </c>
      <c r="R270" s="329">
        <v>823</v>
      </c>
      <c r="S270" s="333">
        <v>11215791</v>
      </c>
      <c r="T270" s="3">
        <v>1.8</v>
      </c>
      <c r="U270" s="165">
        <f>VLOOKUP(N270,'[2]154'!$C$9:$T$554,18,0)</f>
        <v>823</v>
      </c>
      <c r="V270" s="401">
        <v>468248</v>
      </c>
      <c r="W270" s="406">
        <v>67</v>
      </c>
      <c r="X270" s="405">
        <v>42919.686567164179</v>
      </c>
      <c r="Y270" s="406">
        <v>2875619</v>
      </c>
      <c r="Z270" s="3"/>
      <c r="AA270" s="401">
        <v>468248</v>
      </c>
      <c r="AB270" s="329">
        <v>593</v>
      </c>
      <c r="AC270" s="329">
        <v>116</v>
      </c>
      <c r="AD270" s="329">
        <v>114</v>
      </c>
      <c r="AE270" s="329">
        <v>823</v>
      </c>
      <c r="AF270" s="329">
        <v>268</v>
      </c>
      <c r="AG270" s="329">
        <v>4519693</v>
      </c>
      <c r="AH270" s="3"/>
      <c r="AI270" s="401">
        <v>468248</v>
      </c>
      <c r="AJ270" s="329">
        <v>593</v>
      </c>
      <c r="AK270" s="329">
        <v>116</v>
      </c>
      <c r="AL270" s="329">
        <v>114</v>
      </c>
      <c r="AM270" s="329">
        <v>823</v>
      </c>
      <c r="AN270" s="329">
        <v>268</v>
      </c>
      <c r="AO270" s="329">
        <v>6696098</v>
      </c>
    </row>
    <row r="271" spans="1:41" ht="15.75">
      <c r="A271" s="333">
        <v>265</v>
      </c>
      <c r="B271" s="3" t="s">
        <v>161</v>
      </c>
      <c r="C271" s="401">
        <v>100008608</v>
      </c>
      <c r="D271" s="329">
        <v>0</v>
      </c>
      <c r="E271" s="329">
        <v>77</v>
      </c>
      <c r="F271" s="329">
        <v>0</v>
      </c>
      <c r="G271" s="329">
        <v>48</v>
      </c>
      <c r="H271" s="329">
        <v>29</v>
      </c>
      <c r="I271" s="329">
        <v>0</v>
      </c>
      <c r="J271" s="329">
        <v>20</v>
      </c>
      <c r="K271" s="333">
        <v>20</v>
      </c>
      <c r="L271" s="333"/>
      <c r="M271" s="165"/>
      <c r="N271" s="401">
        <v>100008608</v>
      </c>
      <c r="O271" s="329">
        <v>0</v>
      </c>
      <c r="P271" s="329">
        <v>48</v>
      </c>
      <c r="Q271" s="329">
        <v>29</v>
      </c>
      <c r="R271" s="329">
        <v>77</v>
      </c>
      <c r="S271" s="333">
        <v>1737419</v>
      </c>
      <c r="T271" s="3">
        <v>1.9</v>
      </c>
      <c r="U271" s="165">
        <f>VLOOKUP(N271,'[2]154'!$C$9:$T$554,18,0)</f>
        <v>77</v>
      </c>
      <c r="V271" s="401">
        <v>100008608</v>
      </c>
      <c r="W271" s="406">
        <v>20</v>
      </c>
      <c r="X271" s="405">
        <v>36966.35</v>
      </c>
      <c r="Y271" s="406">
        <v>739327</v>
      </c>
      <c r="Z271" s="3"/>
      <c r="AA271" s="401">
        <v>100008608</v>
      </c>
      <c r="AB271" s="329">
        <v>0</v>
      </c>
      <c r="AC271" s="329">
        <v>48</v>
      </c>
      <c r="AD271" s="329">
        <v>29</v>
      </c>
      <c r="AE271" s="329">
        <v>77</v>
      </c>
      <c r="AF271" s="329">
        <v>47</v>
      </c>
      <c r="AG271" s="329">
        <v>735929</v>
      </c>
      <c r="AH271" s="3"/>
      <c r="AI271" s="401">
        <v>100008608</v>
      </c>
      <c r="AJ271" s="329">
        <v>0</v>
      </c>
      <c r="AK271" s="329">
        <v>48</v>
      </c>
      <c r="AL271" s="329">
        <v>29</v>
      </c>
      <c r="AM271" s="329">
        <v>77</v>
      </c>
      <c r="AN271" s="329">
        <v>47</v>
      </c>
      <c r="AO271" s="329">
        <v>1001490</v>
      </c>
    </row>
    <row r="272" spans="1:41" ht="15.75">
      <c r="A272" s="333">
        <v>266</v>
      </c>
      <c r="B272" s="3" t="s">
        <v>100</v>
      </c>
      <c r="C272" s="401">
        <v>16661</v>
      </c>
      <c r="D272" s="329">
        <v>2736</v>
      </c>
      <c r="E272" s="329">
        <v>114</v>
      </c>
      <c r="F272" s="329">
        <v>0</v>
      </c>
      <c r="G272" s="329">
        <v>40</v>
      </c>
      <c r="H272" s="329">
        <v>74</v>
      </c>
      <c r="I272" s="329">
        <v>0</v>
      </c>
      <c r="J272" s="329">
        <v>0</v>
      </c>
      <c r="K272" s="333">
        <v>0</v>
      </c>
      <c r="L272" s="333"/>
      <c r="M272" s="165"/>
      <c r="N272" s="401">
        <v>16661</v>
      </c>
      <c r="O272" s="329">
        <v>0</v>
      </c>
      <c r="P272" s="329">
        <v>40</v>
      </c>
      <c r="Q272" s="329">
        <v>74</v>
      </c>
      <c r="R272" s="329">
        <v>114</v>
      </c>
      <c r="S272" s="333">
        <v>8948249</v>
      </c>
      <c r="T272" s="3">
        <v>3.8</v>
      </c>
      <c r="U272" s="165">
        <f>VLOOKUP(N272,'[2]154'!$C$9:$T$554,18,0)</f>
        <v>114</v>
      </c>
      <c r="V272" s="401">
        <v>16661</v>
      </c>
      <c r="W272" s="406">
        <v>0</v>
      </c>
      <c r="X272" s="405">
        <v>0</v>
      </c>
      <c r="Y272" s="406">
        <v>0</v>
      </c>
      <c r="Z272" s="3"/>
      <c r="AA272" s="401">
        <v>16661</v>
      </c>
      <c r="AB272" s="329">
        <v>0</v>
      </c>
      <c r="AC272" s="329">
        <v>40</v>
      </c>
      <c r="AD272" s="329">
        <v>74</v>
      </c>
      <c r="AE272" s="329">
        <v>114</v>
      </c>
      <c r="AF272" s="329">
        <v>79</v>
      </c>
      <c r="AG272" s="329">
        <v>3588358</v>
      </c>
      <c r="AH272" s="3"/>
      <c r="AI272" s="401">
        <v>16661</v>
      </c>
      <c r="AJ272" s="329">
        <v>0</v>
      </c>
      <c r="AK272" s="329">
        <v>40</v>
      </c>
      <c r="AL272" s="329">
        <v>74</v>
      </c>
      <c r="AM272" s="329">
        <v>114</v>
      </c>
      <c r="AN272" s="329">
        <v>79</v>
      </c>
      <c r="AO272" s="329">
        <v>5359891</v>
      </c>
    </row>
    <row r="273" spans="1:41" ht="15.75">
      <c r="A273" s="333">
        <v>267</v>
      </c>
      <c r="B273" s="3" t="s">
        <v>161</v>
      </c>
      <c r="C273" s="401">
        <v>75740</v>
      </c>
      <c r="D273" s="329">
        <v>995</v>
      </c>
      <c r="E273" s="329">
        <v>63</v>
      </c>
      <c r="F273" s="329">
        <v>0</v>
      </c>
      <c r="G273" s="329">
        <v>40</v>
      </c>
      <c r="H273" s="329">
        <v>23</v>
      </c>
      <c r="I273" s="329">
        <v>0</v>
      </c>
      <c r="J273" s="329">
        <v>0</v>
      </c>
      <c r="K273" s="333">
        <v>0</v>
      </c>
      <c r="L273" s="333"/>
      <c r="M273" s="208"/>
      <c r="N273" s="401">
        <v>75740</v>
      </c>
      <c r="O273" s="329">
        <v>0</v>
      </c>
      <c r="P273" s="329">
        <v>40</v>
      </c>
      <c r="Q273" s="329">
        <v>23</v>
      </c>
      <c r="R273" s="329">
        <v>63</v>
      </c>
      <c r="S273" s="333">
        <v>1906688</v>
      </c>
      <c r="T273" s="3">
        <v>1.83</v>
      </c>
      <c r="U273" s="165">
        <f>VLOOKUP(N273,'[2]154'!$C$9:$T$554,18,0)</f>
        <v>63</v>
      </c>
      <c r="V273" s="401">
        <v>75740</v>
      </c>
      <c r="W273" s="406">
        <v>0</v>
      </c>
      <c r="X273" s="405">
        <v>0</v>
      </c>
      <c r="Y273" s="406">
        <v>0</v>
      </c>
      <c r="Z273" s="3"/>
      <c r="AA273" s="401">
        <v>75740</v>
      </c>
      <c r="AB273" s="329">
        <v>0</v>
      </c>
      <c r="AC273" s="329">
        <v>40</v>
      </c>
      <c r="AD273" s="329">
        <v>23</v>
      </c>
      <c r="AE273" s="329">
        <v>63</v>
      </c>
      <c r="AF273" s="329">
        <v>38</v>
      </c>
      <c r="AG273" s="329">
        <v>766056</v>
      </c>
      <c r="AH273" s="3"/>
      <c r="AI273" s="401">
        <v>75740</v>
      </c>
      <c r="AJ273" s="329">
        <v>0</v>
      </c>
      <c r="AK273" s="329">
        <v>40</v>
      </c>
      <c r="AL273" s="329">
        <v>23</v>
      </c>
      <c r="AM273" s="329">
        <v>63</v>
      </c>
      <c r="AN273" s="329">
        <v>38</v>
      </c>
      <c r="AO273" s="329">
        <v>1140632</v>
      </c>
    </row>
    <row r="274" spans="1:41" ht="15.75">
      <c r="A274" s="333">
        <v>268</v>
      </c>
      <c r="B274" s="3" t="s">
        <v>161</v>
      </c>
      <c r="C274" s="401">
        <v>76733</v>
      </c>
      <c r="D274" s="329">
        <v>1514</v>
      </c>
      <c r="E274" s="329">
        <v>150</v>
      </c>
      <c r="F274" s="329">
        <v>0</v>
      </c>
      <c r="G274" s="329">
        <v>141</v>
      </c>
      <c r="H274" s="329">
        <v>9</v>
      </c>
      <c r="I274" s="329">
        <v>0</v>
      </c>
      <c r="J274" s="329">
        <v>16</v>
      </c>
      <c r="K274" s="333">
        <v>16</v>
      </c>
      <c r="L274" s="333"/>
      <c r="M274" s="165"/>
      <c r="N274" s="401">
        <v>76733</v>
      </c>
      <c r="O274" s="329">
        <v>0</v>
      </c>
      <c r="P274" s="329">
        <v>141</v>
      </c>
      <c r="Q274" s="329">
        <v>9</v>
      </c>
      <c r="R274" s="329">
        <v>150</v>
      </c>
      <c r="S274" s="333">
        <v>6988738</v>
      </c>
      <c r="T274" s="3">
        <v>2.2600000000000002</v>
      </c>
      <c r="U274" s="165">
        <f>VLOOKUP(N274,'[2]154'!$C$9:$T$554,18,0)</f>
        <v>150</v>
      </c>
      <c r="V274" s="401">
        <v>76733</v>
      </c>
      <c r="W274" s="406">
        <v>16</v>
      </c>
      <c r="X274" s="405">
        <v>89585.9375</v>
      </c>
      <c r="Y274" s="406">
        <v>1433375</v>
      </c>
      <c r="Z274" s="3"/>
      <c r="AA274" s="401">
        <v>76733</v>
      </c>
      <c r="AB274" s="329">
        <v>0</v>
      </c>
      <c r="AC274" s="329">
        <v>141</v>
      </c>
      <c r="AD274" s="329">
        <v>9</v>
      </c>
      <c r="AE274" s="329">
        <v>150</v>
      </c>
      <c r="AF274" s="329">
        <v>78</v>
      </c>
      <c r="AG274" s="329">
        <v>2802570</v>
      </c>
      <c r="AH274" s="3"/>
      <c r="AI274" s="401">
        <v>76733</v>
      </c>
      <c r="AJ274" s="329">
        <v>0</v>
      </c>
      <c r="AK274" s="329">
        <v>141</v>
      </c>
      <c r="AL274" s="329">
        <v>9</v>
      </c>
      <c r="AM274" s="329">
        <v>150</v>
      </c>
      <c r="AN274" s="329">
        <v>78</v>
      </c>
      <c r="AO274" s="329">
        <v>4186168</v>
      </c>
    </row>
    <row r="275" spans="1:41" ht="15.75">
      <c r="A275" s="333">
        <v>269</v>
      </c>
      <c r="B275" s="169" t="s">
        <v>105</v>
      </c>
      <c r="C275" s="401">
        <v>467914</v>
      </c>
      <c r="D275" s="329">
        <v>5976</v>
      </c>
      <c r="E275" s="329">
        <v>175</v>
      </c>
      <c r="F275" s="329">
        <v>0</v>
      </c>
      <c r="G275" s="329">
        <v>83</v>
      </c>
      <c r="H275" s="329">
        <v>92</v>
      </c>
      <c r="I275" s="329">
        <v>0</v>
      </c>
      <c r="J275" s="329">
        <v>83</v>
      </c>
      <c r="K275" s="333">
        <v>83</v>
      </c>
      <c r="L275" s="333"/>
      <c r="M275" s="165"/>
      <c r="N275" s="401">
        <v>467914</v>
      </c>
      <c r="O275" s="329">
        <v>0</v>
      </c>
      <c r="P275" s="329">
        <v>83</v>
      </c>
      <c r="Q275" s="329">
        <v>92</v>
      </c>
      <c r="R275" s="329">
        <v>175</v>
      </c>
      <c r="S275" s="333">
        <v>8243087</v>
      </c>
      <c r="T275" s="3">
        <v>1.95</v>
      </c>
      <c r="U275" s="165">
        <f>VLOOKUP(N275,'[2]154'!$C$9:$T$554,18,0)</f>
        <v>175</v>
      </c>
      <c r="V275" s="401">
        <v>467914</v>
      </c>
      <c r="W275" s="406">
        <v>83</v>
      </c>
      <c r="X275" s="405">
        <v>73902.650602409645</v>
      </c>
      <c r="Y275" s="406">
        <v>6133920</v>
      </c>
      <c r="Z275" s="3"/>
      <c r="AA275" s="401">
        <v>467914</v>
      </c>
      <c r="AB275" s="329">
        <v>0</v>
      </c>
      <c r="AC275" s="329">
        <v>83</v>
      </c>
      <c r="AD275" s="329">
        <v>92</v>
      </c>
      <c r="AE275" s="329">
        <v>175</v>
      </c>
      <c r="AF275" s="329">
        <v>115</v>
      </c>
      <c r="AG275" s="329">
        <v>3310598</v>
      </c>
      <c r="AH275" s="3"/>
      <c r="AI275" s="401">
        <v>467914</v>
      </c>
      <c r="AJ275" s="329">
        <v>0</v>
      </c>
      <c r="AK275" s="329">
        <v>83</v>
      </c>
      <c r="AL275" s="329">
        <v>92</v>
      </c>
      <c r="AM275" s="329">
        <v>175</v>
      </c>
      <c r="AN275" s="329">
        <v>115</v>
      </c>
      <c r="AO275" s="329">
        <v>4932489</v>
      </c>
    </row>
    <row r="276" spans="1:41" ht="15.75">
      <c r="A276" s="333">
        <v>270</v>
      </c>
      <c r="B276" s="169" t="s">
        <v>105</v>
      </c>
      <c r="C276" s="401">
        <v>468229</v>
      </c>
      <c r="D276" s="329">
        <v>20315</v>
      </c>
      <c r="E276" s="329">
        <v>1131</v>
      </c>
      <c r="F276" s="329">
        <v>29</v>
      </c>
      <c r="G276" s="329">
        <v>521</v>
      </c>
      <c r="H276" s="329">
        <v>581</v>
      </c>
      <c r="I276" s="329">
        <v>0</v>
      </c>
      <c r="J276" s="329">
        <v>73</v>
      </c>
      <c r="K276" s="333">
        <v>73</v>
      </c>
      <c r="L276" s="333"/>
      <c r="M276" s="208"/>
      <c r="N276" s="401">
        <v>468229</v>
      </c>
      <c r="O276" s="329">
        <v>29</v>
      </c>
      <c r="P276" s="329">
        <v>521</v>
      </c>
      <c r="Q276" s="329">
        <v>581</v>
      </c>
      <c r="R276" s="329">
        <v>1131</v>
      </c>
      <c r="S276" s="333">
        <v>26016758</v>
      </c>
      <c r="T276" s="3">
        <v>1.65</v>
      </c>
      <c r="U276" s="165">
        <f>VLOOKUP(N276,'[2]154'!$C$9:$T$554,18,0)</f>
        <v>1131</v>
      </c>
      <c r="V276" s="401">
        <v>468229</v>
      </c>
      <c r="W276" s="406">
        <v>73</v>
      </c>
      <c r="X276" s="405">
        <v>35586.095890410958</v>
      </c>
      <c r="Y276" s="406">
        <v>2597785</v>
      </c>
      <c r="Z276" s="3"/>
      <c r="AA276" s="401">
        <v>468229</v>
      </c>
      <c r="AB276" s="329">
        <v>29</v>
      </c>
      <c r="AC276" s="329">
        <v>521</v>
      </c>
      <c r="AD276" s="329">
        <v>581</v>
      </c>
      <c r="AE276" s="329">
        <v>1131</v>
      </c>
      <c r="AF276" s="329">
        <v>731</v>
      </c>
      <c r="AG276" s="329">
        <v>10494670</v>
      </c>
      <c r="AH276" s="3"/>
      <c r="AI276" s="401">
        <v>468229</v>
      </c>
      <c r="AJ276" s="329">
        <v>29</v>
      </c>
      <c r="AK276" s="329">
        <v>521</v>
      </c>
      <c r="AL276" s="329">
        <v>581</v>
      </c>
      <c r="AM276" s="329">
        <v>1131</v>
      </c>
      <c r="AN276" s="329">
        <v>731</v>
      </c>
      <c r="AO276" s="329">
        <v>15522088</v>
      </c>
    </row>
    <row r="277" spans="1:41" ht="15.75">
      <c r="A277" s="333">
        <v>271</v>
      </c>
      <c r="B277" s="169" t="s">
        <v>105</v>
      </c>
      <c r="C277" s="401">
        <v>468230</v>
      </c>
      <c r="D277" s="329">
        <v>13350</v>
      </c>
      <c r="E277" s="329">
        <v>676</v>
      </c>
      <c r="F277" s="329">
        <v>0</v>
      </c>
      <c r="G277" s="329">
        <v>208</v>
      </c>
      <c r="H277" s="329">
        <v>468</v>
      </c>
      <c r="I277" s="329">
        <v>0</v>
      </c>
      <c r="J277" s="329">
        <v>0</v>
      </c>
      <c r="K277" s="333">
        <v>0</v>
      </c>
      <c r="L277" s="333"/>
      <c r="M277" s="165"/>
      <c r="N277" s="401">
        <v>468230</v>
      </c>
      <c r="O277" s="329">
        <v>0</v>
      </c>
      <c r="P277" s="329">
        <v>208</v>
      </c>
      <c r="Q277" s="329">
        <v>468</v>
      </c>
      <c r="R277" s="329">
        <v>676</v>
      </c>
      <c r="S277" s="333">
        <v>16362617</v>
      </c>
      <c r="T277" s="3">
        <v>1.65</v>
      </c>
      <c r="U277" s="165">
        <f>VLOOKUP(N277,'[2]154'!$C$9:$T$554,18,0)</f>
        <v>676</v>
      </c>
      <c r="V277" s="401">
        <v>468230</v>
      </c>
      <c r="W277" s="406">
        <v>0</v>
      </c>
      <c r="X277" s="405">
        <v>0</v>
      </c>
      <c r="Y277" s="406">
        <v>0</v>
      </c>
      <c r="Z277" s="3"/>
      <c r="AA277" s="401">
        <v>468230</v>
      </c>
      <c r="AB277" s="329">
        <v>0</v>
      </c>
      <c r="AC277" s="329">
        <v>208</v>
      </c>
      <c r="AD277" s="329">
        <v>468</v>
      </c>
      <c r="AE277" s="329">
        <v>676</v>
      </c>
      <c r="AF277" s="329">
        <v>478</v>
      </c>
      <c r="AG277" s="329">
        <v>6606730</v>
      </c>
      <c r="AH277" s="3"/>
      <c r="AI277" s="401">
        <v>468230</v>
      </c>
      <c r="AJ277" s="329">
        <v>0</v>
      </c>
      <c r="AK277" s="329">
        <v>208</v>
      </c>
      <c r="AL277" s="329">
        <v>468</v>
      </c>
      <c r="AM277" s="329">
        <v>676</v>
      </c>
      <c r="AN277" s="329">
        <v>478</v>
      </c>
      <c r="AO277" s="329">
        <v>9755887</v>
      </c>
    </row>
    <row r="278" spans="1:41" ht="15.75">
      <c r="A278" s="333">
        <v>272</v>
      </c>
      <c r="B278" s="169" t="s">
        <v>105</v>
      </c>
      <c r="C278" s="401">
        <v>468249</v>
      </c>
      <c r="D278" s="329">
        <v>12864</v>
      </c>
      <c r="E278" s="329">
        <v>452</v>
      </c>
      <c r="F278" s="329">
        <v>0</v>
      </c>
      <c r="G278" s="329">
        <v>299</v>
      </c>
      <c r="H278" s="329">
        <v>153</v>
      </c>
      <c r="I278" s="329">
        <v>0</v>
      </c>
      <c r="J278" s="329">
        <v>79</v>
      </c>
      <c r="K278" s="333">
        <v>79</v>
      </c>
      <c r="L278" s="333"/>
      <c r="M278" s="165"/>
      <c r="N278" s="401">
        <v>468249</v>
      </c>
      <c r="O278" s="329">
        <v>0</v>
      </c>
      <c r="P278" s="329">
        <v>299</v>
      </c>
      <c r="Q278" s="329">
        <v>153</v>
      </c>
      <c r="R278" s="329">
        <v>452</v>
      </c>
      <c r="S278" s="333">
        <v>9647855</v>
      </c>
      <c r="T278" s="3">
        <v>1.55</v>
      </c>
      <c r="U278" s="165">
        <f>VLOOKUP(N278,'[2]154'!$C$9:$T$554,18,0)</f>
        <v>452</v>
      </c>
      <c r="V278" s="401">
        <v>468249</v>
      </c>
      <c r="W278" s="406">
        <v>79</v>
      </c>
      <c r="X278" s="405">
        <v>36868.645569620254</v>
      </c>
      <c r="Y278" s="406">
        <v>2912623</v>
      </c>
      <c r="Z278" s="3"/>
      <c r="AA278" s="401">
        <v>468249</v>
      </c>
      <c r="AB278" s="329">
        <v>0</v>
      </c>
      <c r="AC278" s="329">
        <v>299</v>
      </c>
      <c r="AD278" s="329">
        <v>153</v>
      </c>
      <c r="AE278" s="329">
        <v>452</v>
      </c>
      <c r="AF278" s="329">
        <v>272</v>
      </c>
      <c r="AG278" s="329">
        <v>3886342</v>
      </c>
      <c r="AH278" s="3"/>
      <c r="AI278" s="401">
        <v>468249</v>
      </c>
      <c r="AJ278" s="329">
        <v>0</v>
      </c>
      <c r="AK278" s="329">
        <v>299</v>
      </c>
      <c r="AL278" s="329">
        <v>153</v>
      </c>
      <c r="AM278" s="329">
        <v>452</v>
      </c>
      <c r="AN278" s="329">
        <v>272</v>
      </c>
      <c r="AO278" s="329">
        <v>5761513</v>
      </c>
    </row>
    <row r="279" spans="1:41" ht="15.75">
      <c r="A279" s="333">
        <v>273</v>
      </c>
      <c r="B279" s="3" t="s">
        <v>161</v>
      </c>
      <c r="C279" s="401">
        <v>100013593</v>
      </c>
      <c r="D279" s="329">
        <v>1062</v>
      </c>
      <c r="E279" s="329">
        <v>141</v>
      </c>
      <c r="F279" s="329">
        <v>0</v>
      </c>
      <c r="G279" s="329">
        <v>67</v>
      </c>
      <c r="H279" s="329">
        <v>74</v>
      </c>
      <c r="I279" s="329">
        <v>0</v>
      </c>
      <c r="J279" s="329">
        <v>1</v>
      </c>
      <c r="K279" s="333">
        <v>1</v>
      </c>
      <c r="L279" s="333"/>
      <c r="M279" s="208"/>
      <c r="N279" s="401">
        <v>100013593</v>
      </c>
      <c r="O279" s="329">
        <v>0</v>
      </c>
      <c r="P279" s="329">
        <v>67</v>
      </c>
      <c r="Q279" s="329">
        <v>74</v>
      </c>
      <c r="R279" s="329">
        <v>141</v>
      </c>
      <c r="S279" s="333">
        <v>4128662</v>
      </c>
      <c r="T279" s="3">
        <v>3.06</v>
      </c>
      <c r="U279" s="165">
        <f>VLOOKUP(N279,'[2]154'!$C$9:$T$554,18,0)</f>
        <v>141</v>
      </c>
      <c r="V279" s="401">
        <v>100013593</v>
      </c>
      <c r="W279" s="406">
        <v>1</v>
      </c>
      <c r="X279" s="405">
        <v>45708</v>
      </c>
      <c r="Y279" s="406">
        <v>45708</v>
      </c>
      <c r="Z279" s="3"/>
      <c r="AA279" s="401">
        <v>100013593</v>
      </c>
      <c r="AB279" s="329">
        <v>0</v>
      </c>
      <c r="AC279" s="329">
        <v>67</v>
      </c>
      <c r="AD279" s="329">
        <v>74</v>
      </c>
      <c r="AE279" s="329">
        <v>141</v>
      </c>
      <c r="AF279" s="329">
        <v>93</v>
      </c>
      <c r="AG279" s="329">
        <v>1659331</v>
      </c>
      <c r="AH279" s="3"/>
      <c r="AI279" s="401">
        <v>100013593</v>
      </c>
      <c r="AJ279" s="329">
        <v>0</v>
      </c>
      <c r="AK279" s="329">
        <v>67</v>
      </c>
      <c r="AL279" s="329">
        <v>74</v>
      </c>
      <c r="AM279" s="329">
        <v>141</v>
      </c>
      <c r="AN279" s="329">
        <v>93</v>
      </c>
      <c r="AO279" s="329">
        <v>2469331</v>
      </c>
    </row>
    <row r="280" spans="1:41" ht="15.75">
      <c r="A280" s="333">
        <v>274</v>
      </c>
      <c r="B280" s="3" t="s">
        <v>161</v>
      </c>
      <c r="C280" s="401">
        <v>100014855</v>
      </c>
      <c r="D280" s="329">
        <v>2098</v>
      </c>
      <c r="E280" s="329">
        <v>112</v>
      </c>
      <c r="F280" s="329">
        <v>0</v>
      </c>
      <c r="G280" s="329">
        <v>37</v>
      </c>
      <c r="H280" s="329">
        <v>75</v>
      </c>
      <c r="I280" s="329">
        <v>0</v>
      </c>
      <c r="J280" s="329">
        <v>17</v>
      </c>
      <c r="K280" s="333">
        <v>17</v>
      </c>
      <c r="L280" s="333"/>
      <c r="M280" s="165"/>
      <c r="N280" s="401">
        <v>100014855</v>
      </c>
      <c r="O280" s="329">
        <v>0</v>
      </c>
      <c r="P280" s="329">
        <v>37</v>
      </c>
      <c r="Q280" s="329">
        <v>75</v>
      </c>
      <c r="R280" s="329">
        <v>112</v>
      </c>
      <c r="S280" s="333">
        <v>2247453</v>
      </c>
      <c r="T280" s="3">
        <v>1.17</v>
      </c>
      <c r="U280" s="165">
        <f>VLOOKUP(N280,'[2]154'!$C$9:$T$554,18,0)</f>
        <v>112</v>
      </c>
      <c r="V280" s="401">
        <v>100014855</v>
      </c>
      <c r="W280" s="406">
        <v>17</v>
      </c>
      <c r="X280" s="405">
        <v>28671.647058823528</v>
      </c>
      <c r="Y280" s="406">
        <v>487418</v>
      </c>
      <c r="Z280" s="3"/>
      <c r="AA280" s="401">
        <v>100014855</v>
      </c>
      <c r="AB280" s="329">
        <v>0</v>
      </c>
      <c r="AC280" s="329">
        <v>37</v>
      </c>
      <c r="AD280" s="329">
        <v>75</v>
      </c>
      <c r="AE280" s="329">
        <v>112</v>
      </c>
      <c r="AF280" s="329">
        <v>79</v>
      </c>
      <c r="AG280" s="329">
        <v>903347</v>
      </c>
      <c r="AH280" s="3"/>
      <c r="AI280" s="401">
        <v>100014855</v>
      </c>
      <c r="AJ280" s="329">
        <v>0</v>
      </c>
      <c r="AK280" s="329">
        <v>37</v>
      </c>
      <c r="AL280" s="329">
        <v>75</v>
      </c>
      <c r="AM280" s="329">
        <v>112</v>
      </c>
      <c r="AN280" s="329">
        <v>79</v>
      </c>
      <c r="AO280" s="329">
        <v>1344106</v>
      </c>
    </row>
    <row r="281" spans="1:41" ht="15.75">
      <c r="A281" s="333">
        <v>275</v>
      </c>
      <c r="B281" s="3" t="s">
        <v>161</v>
      </c>
      <c r="C281" s="401">
        <v>100015130</v>
      </c>
      <c r="D281" s="329">
        <v>2720</v>
      </c>
      <c r="E281" s="329">
        <v>193</v>
      </c>
      <c r="F281" s="329">
        <v>0</v>
      </c>
      <c r="G281" s="329">
        <v>70</v>
      </c>
      <c r="H281" s="329">
        <v>123</v>
      </c>
      <c r="I281" s="329">
        <v>0</v>
      </c>
      <c r="J281" s="329">
        <v>21</v>
      </c>
      <c r="K281" s="333">
        <v>21</v>
      </c>
      <c r="L281" s="333"/>
      <c r="M281" s="165"/>
      <c r="N281" s="401">
        <v>100015130</v>
      </c>
      <c r="O281" s="329">
        <v>0</v>
      </c>
      <c r="P281" s="329">
        <v>70</v>
      </c>
      <c r="Q281" s="329">
        <v>123</v>
      </c>
      <c r="R281" s="329">
        <v>193</v>
      </c>
      <c r="S281" s="333">
        <v>6676063</v>
      </c>
      <c r="T281" s="3">
        <v>2.2400000000000002</v>
      </c>
      <c r="U281" s="165">
        <f>VLOOKUP(N281,'[2]154'!$C$9:$T$554,18,0)</f>
        <v>193</v>
      </c>
      <c r="V281" s="401">
        <v>100015130</v>
      </c>
      <c r="W281" s="406">
        <v>21</v>
      </c>
      <c r="X281" s="405">
        <v>52342.523809523809</v>
      </c>
      <c r="Y281" s="406">
        <v>1099193</v>
      </c>
      <c r="Z281" s="3"/>
      <c r="AA281" s="401">
        <v>100015130</v>
      </c>
      <c r="AB281" s="329">
        <v>0</v>
      </c>
      <c r="AC281" s="329">
        <v>70</v>
      </c>
      <c r="AD281" s="329">
        <v>123</v>
      </c>
      <c r="AE281" s="329">
        <v>193</v>
      </c>
      <c r="AF281" s="329">
        <v>133</v>
      </c>
      <c r="AG281" s="329">
        <v>2690205</v>
      </c>
      <c r="AH281" s="3"/>
      <c r="AI281" s="401">
        <v>100015130</v>
      </c>
      <c r="AJ281" s="329">
        <v>0</v>
      </c>
      <c r="AK281" s="329">
        <v>70</v>
      </c>
      <c r="AL281" s="329">
        <v>123</v>
      </c>
      <c r="AM281" s="329">
        <v>193</v>
      </c>
      <c r="AN281" s="329">
        <v>133</v>
      </c>
      <c r="AO281" s="329">
        <v>3985858</v>
      </c>
    </row>
    <row r="282" spans="1:41" ht="15.75">
      <c r="A282" s="333">
        <v>276</v>
      </c>
      <c r="B282" s="3" t="s">
        <v>161</v>
      </c>
      <c r="C282" s="401">
        <v>100015136</v>
      </c>
      <c r="D282" s="329">
        <v>5365</v>
      </c>
      <c r="E282" s="329">
        <v>96</v>
      </c>
      <c r="F282" s="329">
        <v>0</v>
      </c>
      <c r="G282" s="329">
        <v>22</v>
      </c>
      <c r="H282" s="329">
        <v>74</v>
      </c>
      <c r="I282" s="329">
        <v>0</v>
      </c>
      <c r="J282" s="329">
        <v>91</v>
      </c>
      <c r="K282" s="333">
        <v>91</v>
      </c>
      <c r="L282" s="333"/>
      <c r="M282" s="208"/>
      <c r="N282" s="401">
        <v>100015136</v>
      </c>
      <c r="O282" s="329">
        <v>0</v>
      </c>
      <c r="P282" s="329">
        <v>22</v>
      </c>
      <c r="Q282" s="329">
        <v>74</v>
      </c>
      <c r="R282" s="329">
        <v>96</v>
      </c>
      <c r="S282" s="333">
        <v>4827044</v>
      </c>
      <c r="T282" s="3">
        <v>3.06</v>
      </c>
      <c r="U282" s="165">
        <f>VLOOKUP(N282,'[2]154'!$C$9:$T$554,18,0)</f>
        <v>96</v>
      </c>
      <c r="V282" s="401">
        <v>100015136</v>
      </c>
      <c r="W282" s="406">
        <v>91</v>
      </c>
      <c r="X282" s="405">
        <v>76513.71428571429</v>
      </c>
      <c r="Y282" s="406">
        <v>6962748</v>
      </c>
      <c r="Z282" s="3"/>
      <c r="AA282" s="401">
        <v>100015136</v>
      </c>
      <c r="AB282" s="329">
        <v>0</v>
      </c>
      <c r="AC282" s="329">
        <v>22</v>
      </c>
      <c r="AD282" s="329">
        <v>74</v>
      </c>
      <c r="AE282" s="329">
        <v>96</v>
      </c>
      <c r="AF282" s="329">
        <v>70</v>
      </c>
      <c r="AG282" s="329">
        <v>1944720</v>
      </c>
      <c r="AH282" s="3"/>
      <c r="AI282" s="401">
        <v>100015136</v>
      </c>
      <c r="AJ282" s="329">
        <v>0</v>
      </c>
      <c r="AK282" s="329">
        <v>22</v>
      </c>
      <c r="AL282" s="329">
        <v>74</v>
      </c>
      <c r="AM282" s="329">
        <v>96</v>
      </c>
      <c r="AN282" s="329">
        <v>70</v>
      </c>
      <c r="AO282" s="329">
        <v>2882324</v>
      </c>
    </row>
    <row r="283" spans="1:41" ht="15.75">
      <c r="A283" s="333">
        <v>277</v>
      </c>
      <c r="B283" s="3" t="s">
        <v>161</v>
      </c>
      <c r="C283" s="401">
        <v>100015145</v>
      </c>
      <c r="D283" s="329">
        <v>3576</v>
      </c>
      <c r="E283" s="329">
        <v>145</v>
      </c>
      <c r="F283" s="329">
        <v>0</v>
      </c>
      <c r="G283" s="329">
        <v>109</v>
      </c>
      <c r="H283" s="329">
        <v>36</v>
      </c>
      <c r="I283" s="329">
        <v>0</v>
      </c>
      <c r="J283" s="329">
        <v>23</v>
      </c>
      <c r="K283" s="333">
        <v>23</v>
      </c>
      <c r="L283" s="333"/>
      <c r="M283" s="165"/>
      <c r="N283" s="401">
        <v>100015145</v>
      </c>
      <c r="O283" s="329">
        <v>0</v>
      </c>
      <c r="P283" s="329">
        <v>109</v>
      </c>
      <c r="Q283" s="329">
        <v>36</v>
      </c>
      <c r="R283" s="329">
        <v>145</v>
      </c>
      <c r="S283" s="333">
        <v>5744723</v>
      </c>
      <c r="T283" s="3">
        <v>2.13</v>
      </c>
      <c r="U283" s="165">
        <f>VLOOKUP(N283,'[2]154'!$C$9:$T$554,18,0)</f>
        <v>145</v>
      </c>
      <c r="V283" s="401">
        <v>100015145</v>
      </c>
      <c r="W283" s="406">
        <v>23</v>
      </c>
      <c r="X283" s="405">
        <v>81349.478260869568</v>
      </c>
      <c r="Y283" s="406">
        <v>1871038</v>
      </c>
      <c r="Z283" s="3"/>
      <c r="AA283" s="401">
        <v>100015145</v>
      </c>
      <c r="AB283" s="329">
        <v>0</v>
      </c>
      <c r="AC283" s="329">
        <v>109</v>
      </c>
      <c r="AD283" s="329">
        <v>36</v>
      </c>
      <c r="AE283" s="329">
        <v>145</v>
      </c>
      <c r="AF283" s="329">
        <v>83</v>
      </c>
      <c r="AG283" s="329">
        <v>2308546</v>
      </c>
      <c r="AH283" s="3"/>
      <c r="AI283" s="401">
        <v>100015145</v>
      </c>
      <c r="AJ283" s="329">
        <v>0</v>
      </c>
      <c r="AK283" s="329">
        <v>109</v>
      </c>
      <c r="AL283" s="329">
        <v>36</v>
      </c>
      <c r="AM283" s="329">
        <v>145</v>
      </c>
      <c r="AN283" s="329">
        <v>83</v>
      </c>
      <c r="AO283" s="329">
        <v>3436177</v>
      </c>
    </row>
    <row r="284" spans="1:41" ht="15.75">
      <c r="A284" s="333">
        <v>278</v>
      </c>
      <c r="B284" s="3" t="s">
        <v>161</v>
      </c>
      <c r="C284" s="401">
        <v>100015153</v>
      </c>
      <c r="D284" s="329">
        <v>10064</v>
      </c>
      <c r="E284" s="329">
        <v>405</v>
      </c>
      <c r="F284" s="329">
        <v>58</v>
      </c>
      <c r="G284" s="329">
        <v>123</v>
      </c>
      <c r="H284" s="329">
        <v>224</v>
      </c>
      <c r="I284" s="329">
        <v>0</v>
      </c>
      <c r="J284" s="329">
        <v>80</v>
      </c>
      <c r="K284" s="333">
        <v>80</v>
      </c>
      <c r="L284" s="333"/>
      <c r="M284" s="165"/>
      <c r="N284" s="401">
        <v>100015153</v>
      </c>
      <c r="O284" s="329">
        <v>58</v>
      </c>
      <c r="P284" s="329">
        <v>123</v>
      </c>
      <c r="Q284" s="329">
        <v>224</v>
      </c>
      <c r="R284" s="329">
        <v>405</v>
      </c>
      <c r="S284" s="333">
        <v>9106521</v>
      </c>
      <c r="T284" s="3">
        <v>1.76</v>
      </c>
      <c r="U284" s="165">
        <f>VLOOKUP(N284,'[2]154'!$C$9:$T$554,18,0)</f>
        <v>405</v>
      </c>
      <c r="V284" s="401">
        <v>100015153</v>
      </c>
      <c r="W284" s="406">
        <v>80</v>
      </c>
      <c r="X284" s="405">
        <v>36429.775000000001</v>
      </c>
      <c r="Y284" s="406">
        <v>2914382</v>
      </c>
      <c r="Z284" s="3"/>
      <c r="AA284" s="401">
        <v>100015153</v>
      </c>
      <c r="AB284" s="329">
        <v>58</v>
      </c>
      <c r="AC284" s="329">
        <v>123</v>
      </c>
      <c r="AD284" s="329">
        <v>224</v>
      </c>
      <c r="AE284" s="329">
        <v>405</v>
      </c>
      <c r="AF284" s="329">
        <v>252</v>
      </c>
      <c r="AG284" s="329">
        <v>3677649</v>
      </c>
      <c r="AH284" s="3"/>
      <c r="AI284" s="401">
        <v>100015153</v>
      </c>
      <c r="AJ284" s="329">
        <v>58</v>
      </c>
      <c r="AK284" s="329">
        <v>123</v>
      </c>
      <c r="AL284" s="329">
        <v>224</v>
      </c>
      <c r="AM284" s="329">
        <v>405</v>
      </c>
      <c r="AN284" s="329">
        <v>252</v>
      </c>
      <c r="AO284" s="329">
        <v>5428872</v>
      </c>
    </row>
    <row r="285" spans="1:41" ht="15.75">
      <c r="A285" s="333">
        <v>279</v>
      </c>
      <c r="B285" s="3" t="s">
        <v>161</v>
      </c>
      <c r="C285" s="401">
        <v>100015224</v>
      </c>
      <c r="D285" s="329">
        <v>8638</v>
      </c>
      <c r="E285" s="329">
        <v>184</v>
      </c>
      <c r="F285" s="329">
        <v>4</v>
      </c>
      <c r="G285" s="329">
        <v>34</v>
      </c>
      <c r="H285" s="329">
        <v>146</v>
      </c>
      <c r="I285" s="329">
        <v>0</v>
      </c>
      <c r="J285" s="329">
        <v>0</v>
      </c>
      <c r="K285" s="333">
        <v>0</v>
      </c>
      <c r="L285" s="333"/>
      <c r="M285" s="208"/>
      <c r="N285" s="401">
        <v>100015224</v>
      </c>
      <c r="O285" s="329">
        <v>4</v>
      </c>
      <c r="P285" s="329">
        <v>34</v>
      </c>
      <c r="Q285" s="329">
        <v>146</v>
      </c>
      <c r="R285" s="329">
        <v>184</v>
      </c>
      <c r="S285" s="333">
        <v>6403009</v>
      </c>
      <c r="T285" s="3">
        <v>1.93</v>
      </c>
      <c r="U285" s="165">
        <f>VLOOKUP(N285,'[2]154'!$C$9:$T$554,18,0)</f>
        <v>184</v>
      </c>
      <c r="V285" s="401">
        <v>100015224</v>
      </c>
      <c r="W285" s="406">
        <v>0</v>
      </c>
      <c r="X285" s="405">
        <v>0</v>
      </c>
      <c r="Y285" s="406">
        <v>0</v>
      </c>
      <c r="Z285" s="3"/>
      <c r="AA285" s="401">
        <v>100015224</v>
      </c>
      <c r="AB285" s="329">
        <v>4</v>
      </c>
      <c r="AC285" s="329">
        <v>34</v>
      </c>
      <c r="AD285" s="329">
        <v>146</v>
      </c>
      <c r="AE285" s="329">
        <v>184</v>
      </c>
      <c r="AF285" s="329">
        <v>135</v>
      </c>
      <c r="AG285" s="329">
        <v>2574700</v>
      </c>
      <c r="AH285" s="3"/>
      <c r="AI285" s="401">
        <v>100015224</v>
      </c>
      <c r="AJ285" s="329">
        <v>4</v>
      </c>
      <c r="AK285" s="329">
        <v>34</v>
      </c>
      <c r="AL285" s="329">
        <v>146</v>
      </c>
      <c r="AM285" s="329">
        <v>184</v>
      </c>
      <c r="AN285" s="329">
        <v>135</v>
      </c>
      <c r="AO285" s="329">
        <v>3828309</v>
      </c>
    </row>
    <row r="286" spans="1:41" ht="15.75">
      <c r="A286" s="333">
        <v>280</v>
      </c>
      <c r="B286" s="3" t="s">
        <v>161</v>
      </c>
      <c r="C286" s="401">
        <v>100015225</v>
      </c>
      <c r="D286" s="329">
        <v>3687</v>
      </c>
      <c r="E286" s="329">
        <v>200</v>
      </c>
      <c r="F286" s="329">
        <v>0</v>
      </c>
      <c r="G286" s="329">
        <v>19</v>
      </c>
      <c r="H286" s="329">
        <v>181</v>
      </c>
      <c r="I286" s="329">
        <v>0</v>
      </c>
      <c r="J286" s="329">
        <v>13</v>
      </c>
      <c r="K286" s="333">
        <v>13</v>
      </c>
      <c r="L286" s="333"/>
      <c r="M286" s="165"/>
      <c r="N286" s="401">
        <v>100015225</v>
      </c>
      <c r="O286" s="329">
        <v>0</v>
      </c>
      <c r="P286" s="329">
        <v>19</v>
      </c>
      <c r="Q286" s="329">
        <v>181</v>
      </c>
      <c r="R286" s="329">
        <v>200</v>
      </c>
      <c r="S286" s="333">
        <v>9688799</v>
      </c>
      <c r="T286" s="3">
        <v>2.2599999999999998</v>
      </c>
      <c r="U286" s="165">
        <f>VLOOKUP(N286,'[2]154'!$C$9:$T$554,18,0)</f>
        <v>200</v>
      </c>
      <c r="V286" s="401">
        <v>100015225</v>
      </c>
      <c r="W286" s="406">
        <v>13</v>
      </c>
      <c r="X286" s="405">
        <v>62523.615384615383</v>
      </c>
      <c r="Y286" s="406">
        <v>812807</v>
      </c>
      <c r="Z286" s="3"/>
      <c r="AA286" s="401">
        <v>100015225</v>
      </c>
      <c r="AB286" s="329">
        <v>0</v>
      </c>
      <c r="AC286" s="329">
        <v>19</v>
      </c>
      <c r="AD286" s="329">
        <v>181</v>
      </c>
      <c r="AE286" s="329">
        <v>200</v>
      </c>
      <c r="AF286" s="329">
        <v>154</v>
      </c>
      <c r="AG286" s="329">
        <v>3885328</v>
      </c>
      <c r="AH286" s="3"/>
      <c r="AI286" s="401">
        <v>100015225</v>
      </c>
      <c r="AJ286" s="329">
        <v>0</v>
      </c>
      <c r="AK286" s="329">
        <v>19</v>
      </c>
      <c r="AL286" s="329">
        <v>181</v>
      </c>
      <c r="AM286" s="329">
        <v>200</v>
      </c>
      <c r="AN286" s="329">
        <v>154</v>
      </c>
      <c r="AO286" s="329">
        <v>5803471</v>
      </c>
    </row>
    <row r="287" spans="1:41" ht="15.75">
      <c r="A287" s="333">
        <v>281</v>
      </c>
      <c r="B287" s="3" t="s">
        <v>161</v>
      </c>
      <c r="C287" s="401">
        <v>100015357</v>
      </c>
      <c r="D287" s="329">
        <v>13183</v>
      </c>
      <c r="E287" s="329">
        <v>329</v>
      </c>
      <c r="F287" s="329">
        <v>0</v>
      </c>
      <c r="G287" s="329">
        <v>80</v>
      </c>
      <c r="H287" s="329">
        <v>249</v>
      </c>
      <c r="I287" s="329">
        <v>0</v>
      </c>
      <c r="J287" s="329">
        <v>211</v>
      </c>
      <c r="K287" s="333">
        <v>211</v>
      </c>
      <c r="L287" s="333"/>
      <c r="M287" s="165"/>
      <c r="N287" s="401">
        <v>100015357</v>
      </c>
      <c r="O287" s="329">
        <v>0</v>
      </c>
      <c r="P287" s="329">
        <v>80</v>
      </c>
      <c r="Q287" s="329">
        <v>249</v>
      </c>
      <c r="R287" s="329">
        <v>329</v>
      </c>
      <c r="S287" s="333">
        <v>6505730</v>
      </c>
      <c r="T287" s="3">
        <v>1.1100000000000001</v>
      </c>
      <c r="U287" s="165">
        <f>VLOOKUP(N287,'[2]154'!$C$9:$T$554,18,0)</f>
        <v>329</v>
      </c>
      <c r="V287" s="401">
        <v>100015357</v>
      </c>
      <c r="W287" s="406">
        <v>211</v>
      </c>
      <c r="X287" s="405">
        <v>28851.327014218008</v>
      </c>
      <c r="Y287" s="406">
        <v>6087630</v>
      </c>
      <c r="Z287" s="3"/>
      <c r="AA287" s="401">
        <v>100015357</v>
      </c>
      <c r="AB287" s="329">
        <v>0</v>
      </c>
      <c r="AC287" s="329">
        <v>80</v>
      </c>
      <c r="AD287" s="329">
        <v>249</v>
      </c>
      <c r="AE287" s="329">
        <v>329</v>
      </c>
      <c r="AF287" s="329">
        <v>239</v>
      </c>
      <c r="AG287" s="329">
        <v>2613270</v>
      </c>
      <c r="AH287" s="3"/>
      <c r="AI287" s="401">
        <v>100015357</v>
      </c>
      <c r="AJ287" s="329">
        <v>0</v>
      </c>
      <c r="AK287" s="329">
        <v>80</v>
      </c>
      <c r="AL287" s="329">
        <v>249</v>
      </c>
      <c r="AM287" s="329">
        <v>329</v>
      </c>
      <c r="AN287" s="329">
        <v>239</v>
      </c>
      <c r="AO287" s="329">
        <v>3892460</v>
      </c>
    </row>
    <row r="288" spans="1:41" ht="15.75">
      <c r="A288" s="333">
        <v>282</v>
      </c>
      <c r="B288" s="3" t="s">
        <v>161</v>
      </c>
      <c r="C288" s="401">
        <v>100022985</v>
      </c>
      <c r="D288" s="329">
        <v>4854</v>
      </c>
      <c r="E288" s="329">
        <v>77</v>
      </c>
      <c r="F288" s="329">
        <v>0</v>
      </c>
      <c r="G288" s="329">
        <v>30</v>
      </c>
      <c r="H288" s="329">
        <v>47</v>
      </c>
      <c r="I288" s="329">
        <v>0</v>
      </c>
      <c r="J288" s="329">
        <v>138</v>
      </c>
      <c r="K288" s="333">
        <v>138</v>
      </c>
      <c r="L288" s="333"/>
      <c r="M288" s="208"/>
      <c r="N288" s="401">
        <v>100022985</v>
      </c>
      <c r="O288" s="329">
        <v>0</v>
      </c>
      <c r="P288" s="329">
        <v>30</v>
      </c>
      <c r="Q288" s="329">
        <v>47</v>
      </c>
      <c r="R288" s="329">
        <v>77</v>
      </c>
      <c r="S288" s="333">
        <v>4057891</v>
      </c>
      <c r="T288" s="3">
        <v>3.2</v>
      </c>
      <c r="U288" s="165">
        <f>VLOOKUP(N288,'[2]154'!$C$9:$T$554,18,0)</f>
        <v>77</v>
      </c>
      <c r="V288" s="401">
        <v>100022985</v>
      </c>
      <c r="W288" s="406">
        <v>138</v>
      </c>
      <c r="X288" s="405">
        <v>83786.869565217392</v>
      </c>
      <c r="Y288" s="406">
        <v>11562588</v>
      </c>
      <c r="Z288" s="3"/>
      <c r="AA288" s="401">
        <v>100022985</v>
      </c>
      <c r="AB288" s="329">
        <v>0</v>
      </c>
      <c r="AC288" s="329">
        <v>30</v>
      </c>
      <c r="AD288" s="329">
        <v>47</v>
      </c>
      <c r="AE288" s="329">
        <v>77</v>
      </c>
      <c r="AF288" s="329">
        <v>53</v>
      </c>
      <c r="AG288" s="329">
        <v>1632966</v>
      </c>
      <c r="AH288" s="3"/>
      <c r="AI288" s="401">
        <v>100022985</v>
      </c>
      <c r="AJ288" s="329">
        <v>0</v>
      </c>
      <c r="AK288" s="329">
        <v>30</v>
      </c>
      <c r="AL288" s="329">
        <v>47</v>
      </c>
      <c r="AM288" s="329">
        <v>77</v>
      </c>
      <c r="AN288" s="329">
        <v>53</v>
      </c>
      <c r="AO288" s="329">
        <v>2424925</v>
      </c>
    </row>
    <row r="289" spans="1:41" ht="15.75">
      <c r="A289" s="333">
        <v>283</v>
      </c>
      <c r="B289" s="3" t="s">
        <v>161</v>
      </c>
      <c r="C289" s="401">
        <v>100024114</v>
      </c>
      <c r="D289" s="329">
        <v>1521</v>
      </c>
      <c r="E289" s="329">
        <v>26</v>
      </c>
      <c r="F289" s="329">
        <v>0</v>
      </c>
      <c r="G289" s="329">
        <v>10</v>
      </c>
      <c r="H289" s="329">
        <v>16</v>
      </c>
      <c r="I289" s="329">
        <v>0</v>
      </c>
      <c r="J289" s="329">
        <v>0</v>
      </c>
      <c r="K289" s="333">
        <v>0</v>
      </c>
      <c r="L289" s="333"/>
      <c r="M289" s="165"/>
      <c r="N289" s="401">
        <v>100024114</v>
      </c>
      <c r="O289" s="329">
        <v>0</v>
      </c>
      <c r="P289" s="329">
        <v>10</v>
      </c>
      <c r="Q289" s="329">
        <v>16</v>
      </c>
      <c r="R289" s="329">
        <v>26</v>
      </c>
      <c r="S289" s="333">
        <v>1074721</v>
      </c>
      <c r="T289" s="3">
        <v>3.2</v>
      </c>
      <c r="U289" s="165">
        <f>VLOOKUP(N289,'[2]154'!$C$9:$T$554,18,0)</f>
        <v>26</v>
      </c>
      <c r="V289" s="401">
        <v>100024114</v>
      </c>
      <c r="W289" s="406">
        <v>0</v>
      </c>
      <c r="X289" s="405">
        <v>0</v>
      </c>
      <c r="Y289" s="406">
        <v>0</v>
      </c>
      <c r="Z289" s="3"/>
      <c r="AA289" s="401">
        <v>100024114</v>
      </c>
      <c r="AB289" s="329">
        <v>0</v>
      </c>
      <c r="AC289" s="329">
        <v>10</v>
      </c>
      <c r="AD289" s="329">
        <v>16</v>
      </c>
      <c r="AE289" s="329">
        <v>26</v>
      </c>
      <c r="AF289" s="329">
        <v>18</v>
      </c>
      <c r="AG289" s="329">
        <v>432458</v>
      </c>
      <c r="AH289" s="3"/>
      <c r="AI289" s="401">
        <v>100024114</v>
      </c>
      <c r="AJ289" s="329">
        <v>0</v>
      </c>
      <c r="AK289" s="329">
        <v>10</v>
      </c>
      <c r="AL289" s="329">
        <v>16</v>
      </c>
      <c r="AM289" s="329">
        <v>26</v>
      </c>
      <c r="AN289" s="329">
        <v>18</v>
      </c>
      <c r="AO289" s="329">
        <v>642263</v>
      </c>
    </row>
    <row r="290" spans="1:41" s="425" customFormat="1" ht="15.75">
      <c r="A290" s="333">
        <v>284</v>
      </c>
      <c r="B290" s="425" t="s">
        <v>161</v>
      </c>
      <c r="C290" s="426">
        <v>100015151</v>
      </c>
      <c r="D290" s="427">
        <v>11648</v>
      </c>
      <c r="E290" s="427">
        <f>194+9</f>
        <v>203</v>
      </c>
      <c r="F290" s="427">
        <v>0</v>
      </c>
      <c r="G290" s="427">
        <v>0</v>
      </c>
      <c r="H290" s="427">
        <v>203</v>
      </c>
      <c r="I290" s="427">
        <v>0</v>
      </c>
      <c r="J290" s="427">
        <v>139</v>
      </c>
      <c r="K290" s="419">
        <v>139</v>
      </c>
      <c r="L290" s="419"/>
      <c r="M290" s="422"/>
      <c r="N290" s="426">
        <v>100015151</v>
      </c>
      <c r="O290" s="427">
        <v>0</v>
      </c>
      <c r="P290" s="427">
        <v>0</v>
      </c>
      <c r="Q290" s="427">
        <v>203</v>
      </c>
      <c r="R290" s="427">
        <v>203</v>
      </c>
      <c r="S290" s="419">
        <f>24405442+329490</f>
        <v>24734932</v>
      </c>
      <c r="T290" s="425">
        <v>1.83</v>
      </c>
      <c r="U290" s="165">
        <f>VLOOKUP(N290,'[2]154'!$C$9:$T$554,18,0)</f>
        <v>203</v>
      </c>
      <c r="V290" s="426">
        <v>100015151</v>
      </c>
      <c r="W290" s="428">
        <v>139</v>
      </c>
      <c r="X290" s="424">
        <v>159462.07194244605</v>
      </c>
      <c r="Y290" s="428">
        <v>22165228</v>
      </c>
      <c r="AA290" s="426">
        <v>100015151</v>
      </c>
      <c r="AB290" s="427">
        <v>0</v>
      </c>
      <c r="AC290" s="427">
        <v>0</v>
      </c>
      <c r="AD290" s="427">
        <v>203</v>
      </c>
      <c r="AE290" s="427">
        <v>203</v>
      </c>
      <c r="AF290" s="427">
        <v>155</v>
      </c>
      <c r="AG290" s="427">
        <f>9796225+130329</f>
        <v>9926554</v>
      </c>
      <c r="AI290" s="426">
        <v>100015151</v>
      </c>
      <c r="AJ290" s="427">
        <v>0</v>
      </c>
      <c r="AK290" s="427">
        <v>0</v>
      </c>
      <c r="AL290" s="427">
        <v>203</v>
      </c>
      <c r="AM290" s="427">
        <v>203</v>
      </c>
      <c r="AN290" s="427">
        <v>155</v>
      </c>
      <c r="AO290" s="427">
        <f>14609217+199161</f>
        <v>14808378</v>
      </c>
    </row>
    <row r="291" spans="1:41" ht="15.75">
      <c r="A291" s="333">
        <v>285</v>
      </c>
      <c r="B291" s="3" t="s">
        <v>161</v>
      </c>
      <c r="C291" s="401">
        <v>100021859</v>
      </c>
      <c r="D291" s="329">
        <v>3297</v>
      </c>
      <c r="E291" s="329">
        <v>250</v>
      </c>
      <c r="F291" s="329">
        <v>0</v>
      </c>
      <c r="G291" s="329">
        <v>180</v>
      </c>
      <c r="H291" s="329">
        <v>70</v>
      </c>
      <c r="I291" s="329">
        <v>0</v>
      </c>
      <c r="J291" s="329">
        <v>12</v>
      </c>
      <c r="K291" s="333">
        <v>12</v>
      </c>
      <c r="L291" s="333"/>
      <c r="M291" s="208"/>
      <c r="N291" s="401">
        <v>100021859</v>
      </c>
      <c r="O291" s="329">
        <v>0</v>
      </c>
      <c r="P291" s="329">
        <v>180</v>
      </c>
      <c r="Q291" s="329">
        <v>70</v>
      </c>
      <c r="R291" s="329">
        <v>250</v>
      </c>
      <c r="S291" s="333">
        <v>14848906</v>
      </c>
      <c r="T291" s="3">
        <v>3</v>
      </c>
      <c r="U291" s="165">
        <f>VLOOKUP(N291,'[2]154'!$C$9:$T$554,18,0)</f>
        <v>250</v>
      </c>
      <c r="V291" s="401">
        <v>100021859</v>
      </c>
      <c r="W291" s="406">
        <v>12</v>
      </c>
      <c r="X291" s="405">
        <v>114424.33333333333</v>
      </c>
      <c r="Y291" s="406">
        <v>1373092</v>
      </c>
      <c r="Z291" s="3"/>
      <c r="AA291" s="401">
        <v>100021859</v>
      </c>
      <c r="AB291" s="329">
        <v>0</v>
      </c>
      <c r="AC291" s="329">
        <v>180</v>
      </c>
      <c r="AD291" s="329">
        <v>70</v>
      </c>
      <c r="AE291" s="329">
        <v>250</v>
      </c>
      <c r="AF291" s="329">
        <v>146</v>
      </c>
      <c r="AG291" s="329">
        <v>5968918</v>
      </c>
      <c r="AH291" s="3"/>
      <c r="AI291" s="401">
        <v>100021859</v>
      </c>
      <c r="AJ291" s="329">
        <v>0</v>
      </c>
      <c r="AK291" s="329">
        <v>180</v>
      </c>
      <c r="AL291" s="329">
        <v>70</v>
      </c>
      <c r="AM291" s="329">
        <v>250</v>
      </c>
      <c r="AN291" s="329">
        <v>146</v>
      </c>
      <c r="AO291" s="329">
        <v>8879988</v>
      </c>
    </row>
    <row r="292" spans="1:41" s="425" customFormat="1" ht="15.75">
      <c r="A292" s="333">
        <v>286</v>
      </c>
      <c r="B292" s="425" t="s">
        <v>100</v>
      </c>
      <c r="C292" s="426">
        <v>100021861</v>
      </c>
      <c r="D292" s="427">
        <v>2155</v>
      </c>
      <c r="E292" s="427">
        <f>84+13</f>
        <v>97</v>
      </c>
      <c r="F292" s="427">
        <v>0</v>
      </c>
      <c r="G292" s="427">
        <v>12</v>
      </c>
      <c r="H292" s="427">
        <f>72+13</f>
        <v>85</v>
      </c>
      <c r="I292" s="427">
        <v>0</v>
      </c>
      <c r="J292" s="427">
        <v>0</v>
      </c>
      <c r="K292" s="419">
        <v>0</v>
      </c>
      <c r="L292" s="419"/>
      <c r="M292" s="422"/>
      <c r="N292" s="426">
        <v>100021861</v>
      </c>
      <c r="O292" s="427">
        <v>0</v>
      </c>
      <c r="P292" s="427">
        <v>12</v>
      </c>
      <c r="Q292" s="427">
        <f>72+13</f>
        <v>85</v>
      </c>
      <c r="R292" s="427">
        <v>97</v>
      </c>
      <c r="S292" s="419">
        <f>7508883+475930</f>
        <v>7984813</v>
      </c>
      <c r="T292" s="425">
        <v>5.2</v>
      </c>
      <c r="U292" s="165">
        <f>VLOOKUP(N292,'[2]154'!$C$9:$T$554,18,0)</f>
        <v>97</v>
      </c>
      <c r="V292" s="426">
        <v>100021861</v>
      </c>
      <c r="W292" s="428">
        <v>0</v>
      </c>
      <c r="X292" s="424">
        <v>0</v>
      </c>
      <c r="Y292" s="428">
        <v>0</v>
      </c>
      <c r="AA292" s="426">
        <v>100021861</v>
      </c>
      <c r="AB292" s="427">
        <v>0</v>
      </c>
      <c r="AC292" s="427">
        <v>12</v>
      </c>
      <c r="AD292" s="427">
        <f>72+13</f>
        <v>85</v>
      </c>
      <c r="AE292" s="427">
        <v>97</v>
      </c>
      <c r="AF292" s="427">
        <v>64</v>
      </c>
      <c r="AG292" s="427">
        <f>3025709+188252</f>
        <v>3213961</v>
      </c>
      <c r="AI292" s="426">
        <v>100021861</v>
      </c>
      <c r="AJ292" s="427">
        <v>0</v>
      </c>
      <c r="AK292" s="427">
        <v>12</v>
      </c>
      <c r="AL292" s="427">
        <f>72+13</f>
        <v>85</v>
      </c>
      <c r="AM292" s="427">
        <v>97</v>
      </c>
      <c r="AN292" s="427">
        <v>64</v>
      </c>
      <c r="AO292" s="427">
        <f>4483174+287678</f>
        <v>4770852</v>
      </c>
    </row>
    <row r="293" spans="1:41" ht="15.75">
      <c r="A293" s="333">
        <v>287</v>
      </c>
      <c r="B293" s="3" t="s">
        <v>108</v>
      </c>
      <c r="C293" s="401">
        <v>182034355</v>
      </c>
      <c r="D293" s="329">
        <v>3182</v>
      </c>
      <c r="E293" s="329">
        <v>87</v>
      </c>
      <c r="F293" s="329">
        <v>0</v>
      </c>
      <c r="G293" s="329">
        <v>56</v>
      </c>
      <c r="H293" s="329">
        <v>31</v>
      </c>
      <c r="I293" s="329">
        <v>0</v>
      </c>
      <c r="J293" s="329">
        <v>150</v>
      </c>
      <c r="K293" s="333">
        <v>150</v>
      </c>
      <c r="L293" s="333"/>
      <c r="M293" s="165"/>
      <c r="N293" s="401">
        <v>182034355</v>
      </c>
      <c r="O293" s="329">
        <v>0</v>
      </c>
      <c r="P293" s="329">
        <v>56</v>
      </c>
      <c r="Q293" s="329">
        <v>31</v>
      </c>
      <c r="R293" s="329">
        <v>87</v>
      </c>
      <c r="S293" s="333">
        <v>3404072</v>
      </c>
      <c r="T293" s="3">
        <v>2.96</v>
      </c>
      <c r="U293" s="165">
        <f>VLOOKUP(N293,'[2]154'!$C$9:$T$554,18,0)</f>
        <v>87</v>
      </c>
      <c r="V293" s="401">
        <v>182034355</v>
      </c>
      <c r="W293" s="406">
        <v>150</v>
      </c>
      <c r="X293" s="405">
        <v>39127.26</v>
      </c>
      <c r="Y293" s="406">
        <v>5869089</v>
      </c>
      <c r="Z293" s="3"/>
      <c r="AA293" s="401">
        <v>182034355</v>
      </c>
      <c r="AB293" s="329">
        <v>0</v>
      </c>
      <c r="AC293" s="329">
        <v>56</v>
      </c>
      <c r="AD293" s="329">
        <v>31</v>
      </c>
      <c r="AE293" s="329">
        <v>87</v>
      </c>
      <c r="AF293" s="329">
        <v>53</v>
      </c>
      <c r="AG293" s="329">
        <v>1365075</v>
      </c>
      <c r="AH293" s="3"/>
      <c r="AI293" s="401">
        <v>182034355</v>
      </c>
      <c r="AJ293" s="329">
        <v>0</v>
      </c>
      <c r="AK293" s="329">
        <v>56</v>
      </c>
      <c r="AL293" s="329">
        <v>31</v>
      </c>
      <c r="AM293" s="329">
        <v>87</v>
      </c>
      <c r="AN293" s="329">
        <v>53</v>
      </c>
      <c r="AO293" s="329">
        <v>2038997</v>
      </c>
    </row>
    <row r="294" spans="1:41" ht="15.75">
      <c r="A294" s="333">
        <v>288</v>
      </c>
      <c r="B294" s="3" t="s">
        <v>108</v>
      </c>
      <c r="C294" s="401">
        <v>182034365</v>
      </c>
      <c r="D294" s="329">
        <v>11189</v>
      </c>
      <c r="E294" s="329">
        <v>676</v>
      </c>
      <c r="F294" s="329">
        <v>9</v>
      </c>
      <c r="G294" s="329">
        <v>195</v>
      </c>
      <c r="H294" s="329">
        <v>472</v>
      </c>
      <c r="I294" s="329">
        <v>0</v>
      </c>
      <c r="J294" s="329">
        <v>225</v>
      </c>
      <c r="K294" s="333">
        <v>225</v>
      </c>
      <c r="L294" s="333"/>
      <c r="M294" s="208"/>
      <c r="N294" s="401">
        <v>182034365</v>
      </c>
      <c r="O294" s="329">
        <v>9</v>
      </c>
      <c r="P294" s="329">
        <v>195</v>
      </c>
      <c r="Q294" s="329">
        <v>472</v>
      </c>
      <c r="R294" s="329">
        <v>676</v>
      </c>
      <c r="S294" s="333">
        <v>36175270</v>
      </c>
      <c r="T294" s="3">
        <v>3.56</v>
      </c>
      <c r="U294" s="165">
        <f>VLOOKUP(N294,'[2]154'!$C$9:$T$554,18,0)</f>
        <v>676</v>
      </c>
      <c r="V294" s="401">
        <v>182034365</v>
      </c>
      <c r="W294" s="406">
        <v>225</v>
      </c>
      <c r="X294" s="405">
        <v>75839.142222222217</v>
      </c>
      <c r="Y294" s="406">
        <v>17063807</v>
      </c>
      <c r="Z294" s="3"/>
      <c r="AA294" s="401">
        <v>182034365</v>
      </c>
      <c r="AB294" s="329">
        <v>9</v>
      </c>
      <c r="AC294" s="329">
        <v>195</v>
      </c>
      <c r="AD294" s="329">
        <v>472</v>
      </c>
      <c r="AE294" s="329">
        <v>676</v>
      </c>
      <c r="AF294" s="329">
        <v>477</v>
      </c>
      <c r="AG294" s="329">
        <v>14596859</v>
      </c>
      <c r="AH294" s="3"/>
      <c r="AI294" s="401">
        <v>182034365</v>
      </c>
      <c r="AJ294" s="329">
        <v>9</v>
      </c>
      <c r="AK294" s="329">
        <v>195</v>
      </c>
      <c r="AL294" s="329">
        <v>472</v>
      </c>
      <c r="AM294" s="329">
        <v>676</v>
      </c>
      <c r="AN294" s="329">
        <v>477</v>
      </c>
      <c r="AO294" s="329">
        <v>21578411</v>
      </c>
    </row>
    <row r="295" spans="1:41" ht="15.75">
      <c r="A295" s="333">
        <v>289</v>
      </c>
      <c r="B295" s="169" t="s">
        <v>105</v>
      </c>
      <c r="C295" s="401">
        <v>463036</v>
      </c>
      <c r="D295" s="329">
        <v>3824</v>
      </c>
      <c r="E295" s="329">
        <v>430</v>
      </c>
      <c r="F295" s="329">
        <v>31</v>
      </c>
      <c r="G295" s="329">
        <v>172</v>
      </c>
      <c r="H295" s="329">
        <v>227</v>
      </c>
      <c r="I295" s="329">
        <v>0</v>
      </c>
      <c r="J295" s="329">
        <v>16</v>
      </c>
      <c r="K295" s="333">
        <v>16</v>
      </c>
      <c r="L295" s="333"/>
      <c r="M295" s="165"/>
      <c r="N295" s="401">
        <v>463036</v>
      </c>
      <c r="O295" s="329">
        <v>31</v>
      </c>
      <c r="P295" s="329">
        <v>172</v>
      </c>
      <c r="Q295" s="329">
        <v>227</v>
      </c>
      <c r="R295" s="329">
        <v>430</v>
      </c>
      <c r="S295" s="333">
        <v>11036541</v>
      </c>
      <c r="T295" s="3">
        <v>1.86</v>
      </c>
      <c r="U295" s="165">
        <f>VLOOKUP(N295,'[2]154'!$C$9:$T$554,18,0)</f>
        <v>430</v>
      </c>
      <c r="V295" s="401">
        <v>463036</v>
      </c>
      <c r="W295" s="406">
        <v>16</v>
      </c>
      <c r="X295" s="405">
        <v>40276.3125</v>
      </c>
      <c r="Y295" s="406">
        <v>644421</v>
      </c>
      <c r="Z295" s="3"/>
      <c r="AA295" s="401">
        <v>463036</v>
      </c>
      <c r="AB295" s="329">
        <v>31</v>
      </c>
      <c r="AC295" s="329">
        <v>172</v>
      </c>
      <c r="AD295" s="329">
        <v>227</v>
      </c>
      <c r="AE295" s="329">
        <v>430</v>
      </c>
      <c r="AF295" s="329">
        <v>274</v>
      </c>
      <c r="AG295" s="329">
        <v>4451506</v>
      </c>
      <c r="AH295" s="3"/>
      <c r="AI295" s="401">
        <v>463036</v>
      </c>
      <c r="AJ295" s="329">
        <v>31</v>
      </c>
      <c r="AK295" s="329">
        <v>172</v>
      </c>
      <c r="AL295" s="329">
        <v>227</v>
      </c>
      <c r="AM295" s="329">
        <v>430</v>
      </c>
      <c r="AN295" s="329">
        <v>274</v>
      </c>
      <c r="AO295" s="329">
        <v>6585035</v>
      </c>
    </row>
    <row r="296" spans="1:41" ht="15.75">
      <c r="A296" s="333">
        <v>290</v>
      </c>
      <c r="B296" s="169" t="s">
        <v>105</v>
      </c>
      <c r="C296" s="401">
        <v>468543</v>
      </c>
      <c r="D296" s="329">
        <v>9520</v>
      </c>
      <c r="E296" s="329">
        <v>839</v>
      </c>
      <c r="F296" s="329">
        <v>120</v>
      </c>
      <c r="G296" s="329">
        <v>503</v>
      </c>
      <c r="H296" s="329">
        <v>216</v>
      </c>
      <c r="I296" s="329">
        <v>0</v>
      </c>
      <c r="J296" s="329">
        <v>116</v>
      </c>
      <c r="K296" s="333">
        <v>116</v>
      </c>
      <c r="L296" s="333"/>
      <c r="M296" s="165"/>
      <c r="N296" s="401">
        <v>468543</v>
      </c>
      <c r="O296" s="329">
        <v>120</v>
      </c>
      <c r="P296" s="329">
        <v>503</v>
      </c>
      <c r="Q296" s="329">
        <v>216</v>
      </c>
      <c r="R296" s="329">
        <v>839</v>
      </c>
      <c r="S296" s="333">
        <v>13862343</v>
      </c>
      <c r="T296" s="3">
        <v>1.45</v>
      </c>
      <c r="U296" s="165">
        <f>VLOOKUP(N296,'[2]154'!$C$9:$T$554,18,0)</f>
        <v>839</v>
      </c>
      <c r="V296" s="401">
        <v>468543</v>
      </c>
      <c r="W296" s="406">
        <v>116</v>
      </c>
      <c r="X296" s="405">
        <v>23707.637931034482</v>
      </c>
      <c r="Y296" s="406">
        <v>2750086</v>
      </c>
      <c r="Z296" s="3"/>
      <c r="AA296" s="401">
        <v>468543</v>
      </c>
      <c r="AB296" s="329">
        <v>120</v>
      </c>
      <c r="AC296" s="329">
        <v>503</v>
      </c>
      <c r="AD296" s="329">
        <v>216</v>
      </c>
      <c r="AE296" s="329">
        <v>839</v>
      </c>
      <c r="AF296" s="329">
        <v>448</v>
      </c>
      <c r="AG296" s="329">
        <v>5596377</v>
      </c>
      <c r="AH296" s="3"/>
      <c r="AI296" s="401">
        <v>468543</v>
      </c>
      <c r="AJ296" s="329">
        <v>120</v>
      </c>
      <c r="AK296" s="329">
        <v>503</v>
      </c>
      <c r="AL296" s="329">
        <v>216</v>
      </c>
      <c r="AM296" s="329">
        <v>839</v>
      </c>
      <c r="AN296" s="329">
        <v>448</v>
      </c>
      <c r="AO296" s="329">
        <v>8265966</v>
      </c>
    </row>
    <row r="297" spans="1:41" ht="15.75">
      <c r="A297" s="333">
        <v>291</v>
      </c>
      <c r="B297" s="169" t="s">
        <v>105</v>
      </c>
      <c r="C297" s="401">
        <v>445300</v>
      </c>
      <c r="D297" s="329">
        <v>0</v>
      </c>
      <c r="E297" s="329">
        <v>0</v>
      </c>
      <c r="F297" s="329">
        <v>0</v>
      </c>
      <c r="G297" s="329">
        <v>0</v>
      </c>
      <c r="H297" s="329">
        <v>0</v>
      </c>
      <c r="I297" s="329">
        <v>0</v>
      </c>
      <c r="J297" s="329">
        <v>28</v>
      </c>
      <c r="K297" s="333">
        <v>28</v>
      </c>
      <c r="L297" s="333"/>
      <c r="M297" s="165"/>
      <c r="N297" s="401">
        <v>445300</v>
      </c>
      <c r="O297" s="329">
        <v>0</v>
      </c>
      <c r="P297" s="329">
        <v>0</v>
      </c>
      <c r="Q297" s="329">
        <v>0</v>
      </c>
      <c r="R297" s="329">
        <v>0</v>
      </c>
      <c r="S297" s="333">
        <v>0</v>
      </c>
      <c r="T297" s="3">
        <v>2.15</v>
      </c>
      <c r="U297" s="165" t="e">
        <f>VLOOKUP(N297,'[2]154'!$C$9:$T$554,18,0)</f>
        <v>#N/A</v>
      </c>
      <c r="V297" s="401">
        <v>445300</v>
      </c>
      <c r="W297" s="406">
        <v>28</v>
      </c>
      <c r="X297" s="405">
        <v>44627.428571428572</v>
      </c>
      <c r="Y297" s="406">
        <v>1249568</v>
      </c>
      <c r="Z297" s="3"/>
      <c r="AA297" s="401">
        <v>445300</v>
      </c>
      <c r="AB297" s="329">
        <v>0</v>
      </c>
      <c r="AC297" s="329">
        <v>0</v>
      </c>
      <c r="AD297" s="329">
        <v>0</v>
      </c>
      <c r="AE297" s="329">
        <v>0</v>
      </c>
      <c r="AF297" s="329">
        <v>0</v>
      </c>
      <c r="AG297" s="329">
        <v>0</v>
      </c>
      <c r="AH297" s="3"/>
      <c r="AI297" s="401">
        <v>445300</v>
      </c>
      <c r="AJ297" s="329">
        <v>0</v>
      </c>
      <c r="AK297" s="329">
        <v>0</v>
      </c>
      <c r="AL297" s="329">
        <v>0</v>
      </c>
      <c r="AM297" s="329">
        <v>0</v>
      </c>
      <c r="AN297" s="329">
        <v>0</v>
      </c>
      <c r="AO297" s="329">
        <v>0</v>
      </c>
    </row>
    <row r="298" spans="1:41" ht="15.75">
      <c r="A298" s="333">
        <v>292</v>
      </c>
      <c r="B298" s="3" t="s">
        <v>161</v>
      </c>
      <c r="C298" s="401">
        <v>73206</v>
      </c>
      <c r="D298" s="329">
        <v>696</v>
      </c>
      <c r="E298" s="329">
        <v>34</v>
      </c>
      <c r="F298" s="329">
        <v>0</v>
      </c>
      <c r="G298" s="329">
        <v>0</v>
      </c>
      <c r="H298" s="329">
        <v>34</v>
      </c>
      <c r="I298" s="329">
        <v>0</v>
      </c>
      <c r="J298" s="329">
        <v>0</v>
      </c>
      <c r="K298" s="333">
        <v>0</v>
      </c>
      <c r="L298" s="333"/>
      <c r="M298" s="208"/>
      <c r="N298" s="401">
        <v>73206</v>
      </c>
      <c r="O298" s="329">
        <v>0</v>
      </c>
      <c r="P298" s="329">
        <v>0</v>
      </c>
      <c r="Q298" s="329">
        <v>34</v>
      </c>
      <c r="R298" s="329">
        <v>34</v>
      </c>
      <c r="S298" s="333">
        <v>604347</v>
      </c>
      <c r="T298" s="3">
        <v>1.25</v>
      </c>
      <c r="U298" s="165">
        <f>VLOOKUP(N298,'[2]154'!$C$9:$T$554,18,0)</f>
        <v>34</v>
      </c>
      <c r="V298" s="401">
        <v>73206</v>
      </c>
      <c r="W298" s="406">
        <v>0</v>
      </c>
      <c r="X298" s="405">
        <v>0</v>
      </c>
      <c r="Y298" s="406">
        <v>0</v>
      </c>
      <c r="Z298" s="3"/>
      <c r="AA298" s="401">
        <v>73206</v>
      </c>
      <c r="AB298" s="329">
        <v>0</v>
      </c>
      <c r="AC298" s="329">
        <v>0</v>
      </c>
      <c r="AD298" s="329">
        <v>34</v>
      </c>
      <c r="AE298" s="329">
        <v>34</v>
      </c>
      <c r="AF298" s="329">
        <v>27</v>
      </c>
      <c r="AG298" s="329">
        <v>244269</v>
      </c>
      <c r="AH298" s="3"/>
      <c r="AI298" s="401">
        <v>73206</v>
      </c>
      <c r="AJ298" s="329">
        <v>0</v>
      </c>
      <c r="AK298" s="329">
        <v>0</v>
      </c>
      <c r="AL298" s="329">
        <v>34</v>
      </c>
      <c r="AM298" s="329">
        <v>34</v>
      </c>
      <c r="AN298" s="329">
        <v>27</v>
      </c>
      <c r="AO298" s="329">
        <v>360078</v>
      </c>
    </row>
    <row r="299" spans="1:41" ht="15.75">
      <c r="A299" s="333">
        <v>293</v>
      </c>
      <c r="B299" s="3" t="s">
        <v>161</v>
      </c>
      <c r="C299" s="401">
        <v>76203</v>
      </c>
      <c r="D299" s="329">
        <v>615</v>
      </c>
      <c r="E299" s="329">
        <v>22</v>
      </c>
      <c r="F299" s="329">
        <v>0</v>
      </c>
      <c r="G299" s="329">
        <v>6</v>
      </c>
      <c r="H299" s="329">
        <v>16</v>
      </c>
      <c r="I299" s="329">
        <v>0</v>
      </c>
      <c r="J299" s="329">
        <v>8</v>
      </c>
      <c r="K299" s="333">
        <v>8</v>
      </c>
      <c r="L299" s="333"/>
      <c r="M299" s="165"/>
      <c r="N299" s="401">
        <v>76203</v>
      </c>
      <c r="O299" s="329">
        <v>0</v>
      </c>
      <c r="P299" s="329">
        <v>6</v>
      </c>
      <c r="Q299" s="329">
        <v>16</v>
      </c>
      <c r="R299" s="329">
        <v>22</v>
      </c>
      <c r="S299" s="333">
        <v>398608</v>
      </c>
      <c r="T299" s="3">
        <v>1.29</v>
      </c>
      <c r="U299" s="165">
        <f>VLOOKUP(N299,'[2]154'!$C$9:$T$554,18,0)</f>
        <v>22</v>
      </c>
      <c r="V299" s="401">
        <v>76203</v>
      </c>
      <c r="W299" s="406">
        <v>8</v>
      </c>
      <c r="X299" s="405">
        <v>24913</v>
      </c>
      <c r="Y299" s="406">
        <v>199304</v>
      </c>
      <c r="Z299" s="3"/>
      <c r="AA299" s="401">
        <v>76203</v>
      </c>
      <c r="AB299" s="329">
        <v>0</v>
      </c>
      <c r="AC299" s="329">
        <v>6</v>
      </c>
      <c r="AD299" s="329">
        <v>16</v>
      </c>
      <c r="AE299" s="329">
        <v>22</v>
      </c>
      <c r="AF299" s="329">
        <v>16</v>
      </c>
      <c r="AG299" s="329">
        <v>161112</v>
      </c>
      <c r="AH299" s="3"/>
      <c r="AI299" s="401">
        <v>76203</v>
      </c>
      <c r="AJ299" s="329">
        <v>0</v>
      </c>
      <c r="AK299" s="329">
        <v>6</v>
      </c>
      <c r="AL299" s="329">
        <v>16</v>
      </c>
      <c r="AM299" s="329">
        <v>22</v>
      </c>
      <c r="AN299" s="329">
        <v>16</v>
      </c>
      <c r="AO299" s="329">
        <v>237496</v>
      </c>
    </row>
    <row r="300" spans="1:41" ht="15.75">
      <c r="A300" s="333">
        <v>294</v>
      </c>
      <c r="B300" s="169" t="s">
        <v>105</v>
      </c>
      <c r="C300" s="401">
        <v>457309</v>
      </c>
      <c r="D300" s="329">
        <v>36158</v>
      </c>
      <c r="E300" s="329">
        <v>9206</v>
      </c>
      <c r="F300" s="329">
        <v>0</v>
      </c>
      <c r="G300" s="329">
        <v>5210</v>
      </c>
      <c r="H300" s="329">
        <v>3996</v>
      </c>
      <c r="I300" s="329">
        <v>0</v>
      </c>
      <c r="J300" s="329">
        <v>558</v>
      </c>
      <c r="K300" s="333">
        <v>558</v>
      </c>
      <c r="L300" s="333"/>
      <c r="M300" s="165"/>
      <c r="N300" s="401">
        <v>457309</v>
      </c>
      <c r="O300" s="329">
        <v>0</v>
      </c>
      <c r="P300" s="329">
        <v>5210</v>
      </c>
      <c r="Q300" s="329">
        <v>3996</v>
      </c>
      <c r="R300" s="329">
        <v>9206</v>
      </c>
      <c r="S300" s="333">
        <v>199584803</v>
      </c>
      <c r="T300" s="3">
        <v>1.73</v>
      </c>
      <c r="U300" s="165">
        <f>VLOOKUP(N300,'[2]154'!$C$9:$T$554,18,0)</f>
        <v>9206</v>
      </c>
      <c r="V300" s="401">
        <v>457309</v>
      </c>
      <c r="W300" s="406">
        <v>558</v>
      </c>
      <c r="X300" s="405">
        <v>34425.428315412188</v>
      </c>
      <c r="Y300" s="406">
        <v>19209389</v>
      </c>
      <c r="Z300" s="3"/>
      <c r="AA300" s="401">
        <v>457309</v>
      </c>
      <c r="AB300" s="329">
        <v>0</v>
      </c>
      <c r="AC300" s="329">
        <v>5210</v>
      </c>
      <c r="AD300" s="329">
        <v>3996</v>
      </c>
      <c r="AE300" s="329">
        <v>9206</v>
      </c>
      <c r="AF300" s="329">
        <v>5802</v>
      </c>
      <c r="AG300" s="329">
        <v>76435851</v>
      </c>
      <c r="AH300" s="3"/>
      <c r="AI300" s="401">
        <v>457309</v>
      </c>
      <c r="AJ300" s="329">
        <v>0</v>
      </c>
      <c r="AK300" s="329">
        <v>5210</v>
      </c>
      <c r="AL300" s="329">
        <v>3996</v>
      </c>
      <c r="AM300" s="329">
        <v>9206</v>
      </c>
      <c r="AN300" s="329">
        <v>5802</v>
      </c>
      <c r="AO300" s="329">
        <v>123148952</v>
      </c>
    </row>
    <row r="301" spans="1:41" ht="15.75">
      <c r="A301" s="333">
        <v>295</v>
      </c>
      <c r="B301" s="169" t="s">
        <v>105</v>
      </c>
      <c r="C301" s="401">
        <v>462511</v>
      </c>
      <c r="D301" s="329">
        <v>14294</v>
      </c>
      <c r="E301" s="329">
        <v>1052</v>
      </c>
      <c r="F301" s="329">
        <v>312</v>
      </c>
      <c r="G301" s="329">
        <v>434</v>
      </c>
      <c r="H301" s="329">
        <v>306</v>
      </c>
      <c r="I301" s="329">
        <v>0</v>
      </c>
      <c r="J301" s="329">
        <v>0</v>
      </c>
      <c r="K301" s="333">
        <v>0</v>
      </c>
      <c r="L301" s="333"/>
      <c r="M301" s="208"/>
      <c r="N301" s="401">
        <v>462511</v>
      </c>
      <c r="O301" s="329">
        <v>312</v>
      </c>
      <c r="P301" s="329">
        <v>434</v>
      </c>
      <c r="Q301" s="329">
        <v>306</v>
      </c>
      <c r="R301" s="329">
        <v>1052</v>
      </c>
      <c r="S301" s="333">
        <v>18785567</v>
      </c>
      <c r="T301" s="3">
        <v>1.8</v>
      </c>
      <c r="U301" s="165">
        <f>VLOOKUP(N301,'[2]154'!$C$9:$T$554,18,0)</f>
        <v>1052</v>
      </c>
      <c r="V301" s="401">
        <v>462511</v>
      </c>
      <c r="W301" s="406">
        <v>0</v>
      </c>
      <c r="X301" s="405">
        <v>0</v>
      </c>
      <c r="Y301" s="406">
        <v>0</v>
      </c>
      <c r="Z301" s="3"/>
      <c r="AA301" s="401">
        <v>462511</v>
      </c>
      <c r="AB301" s="329">
        <v>312</v>
      </c>
      <c r="AC301" s="329">
        <v>434</v>
      </c>
      <c r="AD301" s="329">
        <v>306</v>
      </c>
      <c r="AE301" s="329">
        <v>1052</v>
      </c>
      <c r="AF301" s="329">
        <v>524</v>
      </c>
      <c r="AG301" s="329">
        <v>7476689</v>
      </c>
      <c r="AH301" s="3"/>
      <c r="AI301" s="401">
        <v>462511</v>
      </c>
      <c r="AJ301" s="329">
        <v>312</v>
      </c>
      <c r="AK301" s="329">
        <v>434</v>
      </c>
      <c r="AL301" s="329">
        <v>306</v>
      </c>
      <c r="AM301" s="329">
        <v>1052</v>
      </c>
      <c r="AN301" s="329">
        <v>524</v>
      </c>
      <c r="AO301" s="329">
        <v>11308878</v>
      </c>
    </row>
    <row r="302" spans="1:41" ht="15.75">
      <c r="A302" s="333">
        <v>296</v>
      </c>
      <c r="B302" s="169" t="s">
        <v>105</v>
      </c>
      <c r="C302" s="401">
        <v>462516</v>
      </c>
      <c r="D302" s="329">
        <v>33496</v>
      </c>
      <c r="E302" s="329">
        <v>1836</v>
      </c>
      <c r="F302" s="329">
        <v>0</v>
      </c>
      <c r="G302" s="329">
        <v>415</v>
      </c>
      <c r="H302" s="329">
        <v>1421</v>
      </c>
      <c r="I302" s="329">
        <v>4578</v>
      </c>
      <c r="J302" s="329">
        <v>0</v>
      </c>
      <c r="K302" s="333">
        <v>4578</v>
      </c>
      <c r="L302" s="333"/>
      <c r="M302" s="165"/>
      <c r="N302" s="401">
        <v>462516</v>
      </c>
      <c r="O302" s="329">
        <v>0</v>
      </c>
      <c r="P302" s="329">
        <v>415</v>
      </c>
      <c r="Q302" s="329">
        <v>1421</v>
      </c>
      <c r="R302" s="329">
        <v>1836</v>
      </c>
      <c r="S302" s="333">
        <v>45482139</v>
      </c>
      <c r="T302" s="3">
        <v>1.7284485815602837</v>
      </c>
      <c r="U302" s="165">
        <f>VLOOKUP(N302,'[2]154'!$C$9:$T$554,18,0)</f>
        <v>1836</v>
      </c>
      <c r="V302" s="401">
        <v>462516</v>
      </c>
      <c r="W302" s="406">
        <v>4578</v>
      </c>
      <c r="X302" s="405">
        <v>33825.021406727828</v>
      </c>
      <c r="Y302" s="406">
        <v>154850948</v>
      </c>
      <c r="Z302" s="3"/>
      <c r="AA302" s="401">
        <v>462516</v>
      </c>
      <c r="AB302" s="329">
        <v>0</v>
      </c>
      <c r="AC302" s="329">
        <v>415</v>
      </c>
      <c r="AD302" s="329">
        <v>1421</v>
      </c>
      <c r="AE302" s="329">
        <v>1836</v>
      </c>
      <c r="AF302" s="329">
        <v>1344</v>
      </c>
      <c r="AG302" s="329">
        <v>16899045</v>
      </c>
      <c r="AH302" s="3"/>
      <c r="AI302" s="401">
        <v>462516</v>
      </c>
      <c r="AJ302" s="329">
        <v>0</v>
      </c>
      <c r="AK302" s="329">
        <v>415</v>
      </c>
      <c r="AL302" s="329">
        <v>1421</v>
      </c>
      <c r="AM302" s="329">
        <v>1836</v>
      </c>
      <c r="AN302" s="329">
        <v>1344</v>
      </c>
      <c r="AO302" s="329">
        <v>28583094</v>
      </c>
    </row>
    <row r="303" spans="1:41" ht="15.75">
      <c r="A303" s="333">
        <v>297</v>
      </c>
      <c r="B303" s="169" t="s">
        <v>105</v>
      </c>
      <c r="C303" s="401">
        <v>464101</v>
      </c>
      <c r="D303" s="329">
        <v>14069</v>
      </c>
      <c r="E303" s="329">
        <v>1333</v>
      </c>
      <c r="F303" s="329">
        <v>87</v>
      </c>
      <c r="G303" s="329">
        <v>320</v>
      </c>
      <c r="H303" s="329">
        <v>926</v>
      </c>
      <c r="I303" s="329">
        <v>0</v>
      </c>
      <c r="J303" s="329">
        <v>27</v>
      </c>
      <c r="K303" s="333">
        <v>27</v>
      </c>
      <c r="L303" s="333"/>
      <c r="M303" s="165"/>
      <c r="N303" s="401">
        <v>464101</v>
      </c>
      <c r="O303" s="329">
        <v>87</v>
      </c>
      <c r="P303" s="329">
        <v>320</v>
      </c>
      <c r="Q303" s="329">
        <v>926</v>
      </c>
      <c r="R303" s="329">
        <v>1333</v>
      </c>
      <c r="S303" s="333">
        <v>33692355</v>
      </c>
      <c r="T303" s="3">
        <v>1.85</v>
      </c>
      <c r="U303" s="165">
        <f>VLOOKUP(N303,'[2]154'!$C$9:$T$554,18,0)</f>
        <v>1333</v>
      </c>
      <c r="V303" s="401">
        <v>464101</v>
      </c>
      <c r="W303" s="406">
        <v>27</v>
      </c>
      <c r="X303" s="405">
        <v>36702.851851851854</v>
      </c>
      <c r="Y303" s="406">
        <v>990977</v>
      </c>
      <c r="Z303" s="3"/>
      <c r="AA303" s="401">
        <v>464101</v>
      </c>
      <c r="AB303" s="329">
        <v>87</v>
      </c>
      <c r="AC303" s="329">
        <v>320</v>
      </c>
      <c r="AD303" s="329">
        <v>926</v>
      </c>
      <c r="AE303" s="329">
        <v>1333</v>
      </c>
      <c r="AF303" s="329">
        <v>918</v>
      </c>
      <c r="AG303" s="329">
        <v>12205031</v>
      </c>
      <c r="AH303" s="3"/>
      <c r="AI303" s="401">
        <v>464101</v>
      </c>
      <c r="AJ303" s="329">
        <v>87</v>
      </c>
      <c r="AK303" s="329">
        <v>320</v>
      </c>
      <c r="AL303" s="329">
        <v>926</v>
      </c>
      <c r="AM303" s="329">
        <v>1333</v>
      </c>
      <c r="AN303" s="329">
        <v>918</v>
      </c>
      <c r="AO303" s="329">
        <v>21487324</v>
      </c>
    </row>
    <row r="304" spans="1:41" ht="15.75">
      <c r="A304" s="333">
        <v>298</v>
      </c>
      <c r="B304" s="169" t="s">
        <v>105</v>
      </c>
      <c r="C304" s="402">
        <v>469135</v>
      </c>
      <c r="D304" s="328">
        <v>4767</v>
      </c>
      <c r="E304" s="328">
        <v>303</v>
      </c>
      <c r="F304" s="328">
        <v>0</v>
      </c>
      <c r="G304" s="328">
        <v>189</v>
      </c>
      <c r="H304" s="328">
        <v>114</v>
      </c>
      <c r="I304" s="328">
        <v>0</v>
      </c>
      <c r="J304" s="328">
        <v>71</v>
      </c>
      <c r="K304" s="333">
        <v>71</v>
      </c>
      <c r="L304" s="333"/>
      <c r="N304" s="402">
        <v>469135</v>
      </c>
      <c r="O304" s="328">
        <v>0</v>
      </c>
      <c r="P304" s="328">
        <v>189</v>
      </c>
      <c r="Q304" s="328">
        <v>114</v>
      </c>
      <c r="R304" s="328">
        <v>303</v>
      </c>
      <c r="S304" s="333">
        <v>7932695</v>
      </c>
      <c r="T304" s="4">
        <v>2.15</v>
      </c>
      <c r="U304" s="165">
        <f>VLOOKUP(N304,'[2]154'!$C$9:$T$554,18,0)</f>
        <v>303</v>
      </c>
      <c r="V304" s="402">
        <v>469135</v>
      </c>
      <c r="W304" s="407">
        <v>71</v>
      </c>
      <c r="X304" s="405">
        <v>42648.774647887323</v>
      </c>
      <c r="Y304" s="407">
        <v>3028063</v>
      </c>
      <c r="AA304" s="402">
        <v>469135</v>
      </c>
      <c r="AB304" s="328">
        <v>0</v>
      </c>
      <c r="AC304" s="328">
        <v>189</v>
      </c>
      <c r="AD304" s="328">
        <v>114</v>
      </c>
      <c r="AE304" s="328">
        <v>303</v>
      </c>
      <c r="AF304" s="328">
        <v>186</v>
      </c>
      <c r="AG304" s="328">
        <v>2865668</v>
      </c>
      <c r="AI304" s="402">
        <v>469135</v>
      </c>
      <c r="AJ304" s="328">
        <v>0</v>
      </c>
      <c r="AK304" s="328">
        <v>189</v>
      </c>
      <c r="AL304" s="328">
        <v>114</v>
      </c>
      <c r="AM304" s="328">
        <v>303</v>
      </c>
      <c r="AN304" s="328">
        <v>186</v>
      </c>
      <c r="AO304" s="328">
        <v>5067027</v>
      </c>
    </row>
    <row r="305" spans="1:41" ht="15.75">
      <c r="A305" s="333">
        <v>299</v>
      </c>
      <c r="B305" s="169" t="s">
        <v>105</v>
      </c>
      <c r="C305" s="402">
        <v>469615</v>
      </c>
      <c r="D305" s="328">
        <v>13917</v>
      </c>
      <c r="E305" s="328">
        <v>497</v>
      </c>
      <c r="F305" s="328">
        <v>0</v>
      </c>
      <c r="G305" s="328">
        <v>44</v>
      </c>
      <c r="H305" s="328">
        <v>453</v>
      </c>
      <c r="I305" s="328">
        <v>0</v>
      </c>
      <c r="J305" s="328">
        <v>324</v>
      </c>
      <c r="K305" s="333">
        <v>324</v>
      </c>
      <c r="L305" s="333"/>
      <c r="N305" s="402">
        <v>469615</v>
      </c>
      <c r="O305" s="328">
        <v>0</v>
      </c>
      <c r="P305" s="328">
        <v>44</v>
      </c>
      <c r="Q305" s="328">
        <v>453</v>
      </c>
      <c r="R305" s="328">
        <v>497</v>
      </c>
      <c r="S305" s="333">
        <v>11064472</v>
      </c>
      <c r="T305" s="4">
        <v>1.45</v>
      </c>
      <c r="U305" s="165">
        <f>VLOOKUP(N305,'[2]154'!$C$9:$T$554,18,0)</f>
        <v>497</v>
      </c>
      <c r="V305" s="402">
        <v>469615</v>
      </c>
      <c r="W305" s="407">
        <v>324</v>
      </c>
      <c r="X305" s="405">
        <v>28847.512345679013</v>
      </c>
      <c r="Y305" s="407">
        <v>9346594</v>
      </c>
      <c r="AA305" s="402">
        <v>469615</v>
      </c>
      <c r="AB305" s="328">
        <v>0</v>
      </c>
      <c r="AC305" s="328">
        <v>44</v>
      </c>
      <c r="AD305" s="328">
        <v>453</v>
      </c>
      <c r="AE305" s="328">
        <v>497</v>
      </c>
      <c r="AF305" s="328">
        <v>384</v>
      </c>
      <c r="AG305" s="328">
        <v>4174205</v>
      </c>
      <c r="AI305" s="402">
        <v>469615</v>
      </c>
      <c r="AJ305" s="328">
        <v>0</v>
      </c>
      <c r="AK305" s="328">
        <v>44</v>
      </c>
      <c r="AL305" s="328">
        <v>453</v>
      </c>
      <c r="AM305" s="328">
        <v>497</v>
      </c>
      <c r="AN305" s="328">
        <v>384</v>
      </c>
      <c r="AO305" s="328">
        <v>6890267</v>
      </c>
    </row>
    <row r="306" spans="1:41" ht="15.75">
      <c r="A306" s="333">
        <v>300</v>
      </c>
      <c r="B306" s="169" t="s">
        <v>105</v>
      </c>
      <c r="C306" s="402">
        <v>471355</v>
      </c>
      <c r="D306" s="328">
        <v>11358</v>
      </c>
      <c r="E306" s="328">
        <v>340</v>
      </c>
      <c r="F306" s="328">
        <v>0</v>
      </c>
      <c r="G306" s="328">
        <v>101</v>
      </c>
      <c r="H306" s="328">
        <v>239</v>
      </c>
      <c r="I306" s="328">
        <v>0</v>
      </c>
      <c r="J306" s="328">
        <v>139</v>
      </c>
      <c r="K306" s="333">
        <v>139</v>
      </c>
      <c r="L306" s="333"/>
      <c r="N306" s="402">
        <v>471355</v>
      </c>
      <c r="O306" s="328">
        <v>0</v>
      </c>
      <c r="P306" s="328">
        <v>101</v>
      </c>
      <c r="Q306" s="328">
        <v>239</v>
      </c>
      <c r="R306" s="328">
        <v>340</v>
      </c>
      <c r="S306" s="333">
        <v>8105275</v>
      </c>
      <c r="T306" s="4">
        <v>1.73</v>
      </c>
      <c r="U306" s="165">
        <f>VLOOKUP(N306,'[2]154'!$C$9:$T$554,18,0)</f>
        <v>340</v>
      </c>
      <c r="V306" s="402">
        <v>471355</v>
      </c>
      <c r="W306" s="407">
        <v>139</v>
      </c>
      <c r="X306" s="405">
        <v>33492.294964028777</v>
      </c>
      <c r="Y306" s="407">
        <v>4655429</v>
      </c>
      <c r="AA306" s="402">
        <v>471355</v>
      </c>
      <c r="AB306" s="328">
        <v>0</v>
      </c>
      <c r="AC306" s="328">
        <v>101</v>
      </c>
      <c r="AD306" s="328">
        <v>239</v>
      </c>
      <c r="AE306" s="328">
        <v>340</v>
      </c>
      <c r="AF306" s="328">
        <v>242</v>
      </c>
      <c r="AG306" s="328">
        <v>3109642</v>
      </c>
      <c r="AI306" s="402">
        <v>471355</v>
      </c>
      <c r="AJ306" s="328">
        <v>0</v>
      </c>
      <c r="AK306" s="328">
        <v>101</v>
      </c>
      <c r="AL306" s="328">
        <v>239</v>
      </c>
      <c r="AM306" s="328">
        <v>340</v>
      </c>
      <c r="AN306" s="328">
        <v>242</v>
      </c>
      <c r="AO306" s="328">
        <v>4995633</v>
      </c>
    </row>
    <row r="307" spans="1:41" ht="15.75">
      <c r="A307" s="333">
        <v>301</v>
      </c>
      <c r="B307" s="4" t="s">
        <v>161</v>
      </c>
      <c r="C307" s="402">
        <v>100014854</v>
      </c>
      <c r="D307" s="328">
        <v>9463</v>
      </c>
      <c r="E307" s="328">
        <f>205+53</f>
        <v>258</v>
      </c>
      <c r="F307" s="328">
        <v>0</v>
      </c>
      <c r="G307" s="328">
        <v>121</v>
      </c>
      <c r="H307" s="328">
        <f>84+53</f>
        <v>137</v>
      </c>
      <c r="I307" s="328">
        <v>0</v>
      </c>
      <c r="J307" s="328">
        <v>105</v>
      </c>
      <c r="K307" s="333">
        <v>105</v>
      </c>
      <c r="L307" s="333"/>
      <c r="N307" s="402">
        <v>100014854</v>
      </c>
      <c r="O307" s="328">
        <v>0</v>
      </c>
      <c r="P307" s="328">
        <v>121</v>
      </c>
      <c r="Q307" s="328">
        <f>84+53</f>
        <v>137</v>
      </c>
      <c r="R307" s="328">
        <f>205+53</f>
        <v>258</v>
      </c>
      <c r="S307" s="333">
        <f>2959264+1940330</f>
        <v>4899594</v>
      </c>
      <c r="T307" s="4">
        <v>1.1599999999999999</v>
      </c>
      <c r="U307" s="165">
        <f>VLOOKUP(N307,'[2]154'!$C$9:$T$554,18,0)</f>
        <v>258</v>
      </c>
      <c r="V307" s="402">
        <v>100014854</v>
      </c>
      <c r="W307" s="407">
        <v>105</v>
      </c>
      <c r="X307" s="405">
        <v>23119.257142857143</v>
      </c>
      <c r="Y307" s="407">
        <v>2427522</v>
      </c>
      <c r="AA307" s="402">
        <v>100014854</v>
      </c>
      <c r="AB307" s="328">
        <v>0</v>
      </c>
      <c r="AC307" s="328">
        <v>121</v>
      </c>
      <c r="AD307" s="328">
        <v>137</v>
      </c>
      <c r="AE307" s="328">
        <v>258</v>
      </c>
      <c r="AF307" s="328">
        <f>+AC307*0.5+AD307*0.8</f>
        <v>170.10000000000002</v>
      </c>
      <c r="AG307" s="328">
        <v>1196094</v>
      </c>
      <c r="AI307" s="402">
        <v>100014854</v>
      </c>
      <c r="AJ307" s="328">
        <v>0</v>
      </c>
      <c r="AK307" s="328">
        <v>121</v>
      </c>
      <c r="AL307" s="328">
        <v>137</v>
      </c>
      <c r="AM307" s="328">
        <v>258</v>
      </c>
      <c r="AN307" s="328">
        <f>+AK307*0.5+AL307*0.8</f>
        <v>170.10000000000002</v>
      </c>
      <c r="AO307" s="328">
        <f>1763170+1172840</f>
        <v>2936010</v>
      </c>
    </row>
    <row r="308" spans="1:41" ht="15.75">
      <c r="A308" s="333">
        <v>302</v>
      </c>
      <c r="B308" s="4" t="s">
        <v>161</v>
      </c>
      <c r="C308" s="402">
        <v>100014856</v>
      </c>
      <c r="D308" s="328">
        <v>6666</v>
      </c>
      <c r="E308" s="328">
        <f>48+62</f>
        <v>110</v>
      </c>
      <c r="F308" s="328">
        <v>0</v>
      </c>
      <c r="G308" s="328">
        <f>46+62</f>
        <v>108</v>
      </c>
      <c r="H308" s="328">
        <v>2</v>
      </c>
      <c r="I308" s="328">
        <v>0</v>
      </c>
      <c r="J308" s="328">
        <v>0</v>
      </c>
      <c r="K308" s="333">
        <v>0</v>
      </c>
      <c r="L308" s="333"/>
      <c r="N308" s="402">
        <v>100014856</v>
      </c>
      <c r="O308" s="328">
        <v>0</v>
      </c>
      <c r="P308" s="328">
        <f>46+62</f>
        <v>108</v>
      </c>
      <c r="Q308" s="328">
        <v>2</v>
      </c>
      <c r="R308" s="328">
        <v>110</v>
      </c>
      <c r="S308" s="333">
        <f>640777+2269820</f>
        <v>2910597</v>
      </c>
      <c r="T308" s="4">
        <v>1.29</v>
      </c>
      <c r="U308" s="165">
        <f>VLOOKUP(N308,'[2]154'!$C$9:$T$554,18,0)</f>
        <v>110</v>
      </c>
      <c r="V308" s="402">
        <v>100014856</v>
      </c>
      <c r="W308" s="407">
        <v>0</v>
      </c>
      <c r="X308" s="405">
        <v>0</v>
      </c>
      <c r="Y308" s="407">
        <v>0</v>
      </c>
      <c r="AA308" s="402">
        <v>100014856</v>
      </c>
      <c r="AB308" s="328">
        <v>0</v>
      </c>
      <c r="AC308" s="328">
        <f>46+62</f>
        <v>108</v>
      </c>
      <c r="AD308" s="328">
        <v>2</v>
      </c>
      <c r="AE308" s="328">
        <v>110</v>
      </c>
      <c r="AF308" s="328">
        <f>+AC308*0.5+AD308*0.8</f>
        <v>55.6</v>
      </c>
      <c r="AG308" s="328">
        <f>258994+1665309</f>
        <v>1924303</v>
      </c>
      <c r="AI308" s="402">
        <v>100014856</v>
      </c>
      <c r="AJ308" s="328">
        <v>0</v>
      </c>
      <c r="AK308" s="328">
        <f>46+62</f>
        <v>108</v>
      </c>
      <c r="AL308" s="328">
        <v>2</v>
      </c>
      <c r="AM308" s="328">
        <v>110</v>
      </c>
      <c r="AN308" s="328">
        <f>+AK308*0.5+AL308*0.8</f>
        <v>55.6</v>
      </c>
      <c r="AO308" s="328">
        <f>381783+1372001</f>
        <v>1753784</v>
      </c>
    </row>
    <row r="309" spans="1:41" ht="15.75">
      <c r="A309" s="333">
        <v>303</v>
      </c>
      <c r="B309" s="4" t="s">
        <v>161</v>
      </c>
      <c r="C309" s="402">
        <v>100014860</v>
      </c>
      <c r="D309" s="328">
        <v>2024</v>
      </c>
      <c r="E309" s="328">
        <v>51</v>
      </c>
      <c r="F309" s="328">
        <v>0</v>
      </c>
      <c r="G309" s="328">
        <v>27</v>
      </c>
      <c r="H309" s="328">
        <v>24</v>
      </c>
      <c r="I309" s="328">
        <v>0</v>
      </c>
      <c r="J309" s="328">
        <v>21</v>
      </c>
      <c r="K309" s="333">
        <v>21</v>
      </c>
      <c r="L309" s="333"/>
      <c r="N309" s="402">
        <v>100014860</v>
      </c>
      <c r="O309" s="328">
        <v>0</v>
      </c>
      <c r="P309" s="328">
        <v>27</v>
      </c>
      <c r="Q309" s="328">
        <v>24</v>
      </c>
      <c r="R309" s="328">
        <v>51</v>
      </c>
      <c r="S309" s="333">
        <v>1275944</v>
      </c>
      <c r="T309" s="4">
        <v>1.94</v>
      </c>
      <c r="U309" s="165">
        <f>VLOOKUP(N309,'[2]154'!$C$9:$T$554,18,0)</f>
        <v>51</v>
      </c>
      <c r="V309" s="402">
        <v>100014860</v>
      </c>
      <c r="W309" s="407">
        <v>21</v>
      </c>
      <c r="X309" s="405">
        <v>38664.952380952382</v>
      </c>
      <c r="Y309" s="407">
        <v>811964</v>
      </c>
      <c r="AA309" s="402">
        <v>100014860</v>
      </c>
      <c r="AB309" s="328">
        <v>0</v>
      </c>
      <c r="AC309" s="328">
        <v>27</v>
      </c>
      <c r="AD309" s="328">
        <v>24</v>
      </c>
      <c r="AE309" s="328">
        <v>51</v>
      </c>
      <c r="AF309" s="328">
        <v>33</v>
      </c>
      <c r="AG309" s="328">
        <v>515719</v>
      </c>
      <c r="AI309" s="402">
        <v>100014860</v>
      </c>
      <c r="AJ309" s="328">
        <v>0</v>
      </c>
      <c r="AK309" s="328">
        <v>27</v>
      </c>
      <c r="AL309" s="328">
        <v>24</v>
      </c>
      <c r="AM309" s="328">
        <v>51</v>
      </c>
      <c r="AN309" s="328">
        <v>33</v>
      </c>
      <c r="AO309" s="328">
        <v>760225</v>
      </c>
    </row>
    <row r="310" spans="1:41" ht="15.75">
      <c r="A310" s="333">
        <v>304</v>
      </c>
      <c r="B310" s="4" t="s">
        <v>161</v>
      </c>
      <c r="C310" s="402">
        <v>100014861</v>
      </c>
      <c r="D310" s="328">
        <v>3242</v>
      </c>
      <c r="E310" s="328">
        <v>41</v>
      </c>
      <c r="F310" s="328">
        <v>0</v>
      </c>
      <c r="G310" s="328">
        <v>0</v>
      </c>
      <c r="H310" s="328">
        <v>41</v>
      </c>
      <c r="I310" s="328">
        <v>0</v>
      </c>
      <c r="J310" s="328">
        <v>16</v>
      </c>
      <c r="K310" s="333">
        <v>16</v>
      </c>
      <c r="L310" s="333"/>
      <c r="N310" s="402">
        <v>100014861</v>
      </c>
      <c r="O310" s="328">
        <v>0</v>
      </c>
      <c r="P310" s="328">
        <v>0</v>
      </c>
      <c r="Q310" s="328">
        <v>41</v>
      </c>
      <c r="R310" s="328">
        <v>41</v>
      </c>
      <c r="S310" s="333">
        <v>1275944</v>
      </c>
      <c r="T310" s="4">
        <v>1.94</v>
      </c>
      <c r="U310" s="165">
        <f>VLOOKUP(N310,'[2]154'!$C$9:$T$554,18,0)</f>
        <v>41</v>
      </c>
      <c r="V310" s="402">
        <v>100014861</v>
      </c>
      <c r="W310" s="407">
        <v>16</v>
      </c>
      <c r="X310" s="405">
        <v>38664.9375</v>
      </c>
      <c r="Y310" s="407">
        <v>618639</v>
      </c>
      <c r="AA310" s="402">
        <v>100014861</v>
      </c>
      <c r="AB310" s="328">
        <v>0</v>
      </c>
      <c r="AC310" s="328">
        <v>0</v>
      </c>
      <c r="AD310" s="328">
        <v>41</v>
      </c>
      <c r="AE310" s="328">
        <v>41</v>
      </c>
      <c r="AF310" s="328">
        <v>33</v>
      </c>
      <c r="AG310" s="328">
        <v>515719</v>
      </c>
      <c r="AI310" s="402">
        <v>100014861</v>
      </c>
      <c r="AJ310" s="328">
        <v>0</v>
      </c>
      <c r="AK310" s="328">
        <v>0</v>
      </c>
      <c r="AL310" s="328">
        <v>41</v>
      </c>
      <c r="AM310" s="328">
        <v>41</v>
      </c>
      <c r="AN310" s="328">
        <v>33</v>
      </c>
      <c r="AO310" s="328">
        <v>760225</v>
      </c>
    </row>
    <row r="311" spans="1:41" ht="15.75">
      <c r="A311" s="333">
        <v>305</v>
      </c>
      <c r="B311" s="4" t="s">
        <v>161</v>
      </c>
      <c r="C311" s="402">
        <v>100014862</v>
      </c>
      <c r="D311" s="328">
        <v>4822</v>
      </c>
      <c r="E311" s="328">
        <v>298</v>
      </c>
      <c r="F311" s="328">
        <v>0</v>
      </c>
      <c r="G311" s="328">
        <v>163</v>
      </c>
      <c r="H311" s="328">
        <v>135</v>
      </c>
      <c r="I311" s="328">
        <v>0</v>
      </c>
      <c r="J311" s="328">
        <v>57</v>
      </c>
      <c r="K311" s="333">
        <v>57</v>
      </c>
      <c r="L311" s="333"/>
      <c r="N311" s="402">
        <v>100014862</v>
      </c>
      <c r="O311" s="328">
        <v>0</v>
      </c>
      <c r="P311" s="328">
        <v>163</v>
      </c>
      <c r="Q311" s="328">
        <v>135</v>
      </c>
      <c r="R311" s="328">
        <v>298</v>
      </c>
      <c r="S311" s="333">
        <v>4764333</v>
      </c>
      <c r="T311" s="4">
        <v>1.29</v>
      </c>
      <c r="U311" s="165">
        <f>VLOOKUP(N311,'[2]154'!$C$9:$T$554,18,0)</f>
        <v>298</v>
      </c>
      <c r="V311" s="402">
        <v>100014862</v>
      </c>
      <c r="W311" s="407">
        <v>57</v>
      </c>
      <c r="X311" s="405">
        <v>24951.491228070176</v>
      </c>
      <c r="Y311" s="407">
        <v>1422235</v>
      </c>
      <c r="AA311" s="402">
        <v>100014862</v>
      </c>
      <c r="AB311" s="328">
        <v>0</v>
      </c>
      <c r="AC311" s="328">
        <v>163</v>
      </c>
      <c r="AD311" s="328">
        <v>135</v>
      </c>
      <c r="AE311" s="328">
        <v>298</v>
      </c>
      <c r="AF311" s="328">
        <v>190</v>
      </c>
      <c r="AG311" s="328">
        <v>1870206</v>
      </c>
      <c r="AI311" s="402">
        <v>100014862</v>
      </c>
      <c r="AJ311" s="328">
        <v>0</v>
      </c>
      <c r="AK311" s="328">
        <v>163</v>
      </c>
      <c r="AL311" s="328">
        <v>135</v>
      </c>
      <c r="AM311" s="328">
        <v>298</v>
      </c>
      <c r="AN311" s="328">
        <v>190</v>
      </c>
      <c r="AO311" s="328">
        <v>2894127</v>
      </c>
    </row>
    <row r="312" spans="1:41" ht="15.75">
      <c r="A312" s="333">
        <v>306</v>
      </c>
      <c r="B312" s="4" t="s">
        <v>161</v>
      </c>
      <c r="C312" s="402">
        <v>100014863</v>
      </c>
      <c r="D312" s="328">
        <v>9776</v>
      </c>
      <c r="E312" s="328">
        <v>1656</v>
      </c>
      <c r="F312" s="328">
        <v>0</v>
      </c>
      <c r="G312" s="328">
        <v>360</v>
      </c>
      <c r="H312" s="328">
        <v>1296</v>
      </c>
      <c r="I312" s="328">
        <v>0</v>
      </c>
      <c r="J312" s="328">
        <v>54</v>
      </c>
      <c r="K312" s="333">
        <v>54</v>
      </c>
      <c r="L312" s="333"/>
      <c r="N312" s="402">
        <v>100014863</v>
      </c>
      <c r="O312" s="328">
        <v>0</v>
      </c>
      <c r="P312" s="328">
        <v>360</v>
      </c>
      <c r="Q312" s="328">
        <v>1296</v>
      </c>
      <c r="R312" s="328">
        <v>1656</v>
      </c>
      <c r="S312" s="333">
        <v>33504215</v>
      </c>
      <c r="T312" s="4">
        <v>1.31</v>
      </c>
      <c r="U312" s="165">
        <f>VLOOKUP(N312,'[2]154'!$C$9:$T$554,18,0)</f>
        <v>1656</v>
      </c>
      <c r="V312" s="402">
        <v>100014863</v>
      </c>
      <c r="W312" s="407">
        <v>54</v>
      </c>
      <c r="X312" s="405">
        <v>24670.388888888891</v>
      </c>
      <c r="Y312" s="407">
        <v>1332201</v>
      </c>
      <c r="AA312" s="402">
        <v>100014863</v>
      </c>
      <c r="AB312" s="328">
        <v>0</v>
      </c>
      <c r="AC312" s="328">
        <v>360</v>
      </c>
      <c r="AD312" s="328">
        <v>1296</v>
      </c>
      <c r="AE312" s="328">
        <v>1656</v>
      </c>
      <c r="AF312" s="328">
        <v>1217</v>
      </c>
      <c r="AG312" s="328">
        <v>11780529</v>
      </c>
      <c r="AI312" s="402">
        <v>100014863</v>
      </c>
      <c r="AJ312" s="328">
        <v>0</v>
      </c>
      <c r="AK312" s="328">
        <v>360</v>
      </c>
      <c r="AL312" s="328">
        <v>1296</v>
      </c>
      <c r="AM312" s="328">
        <v>1656</v>
      </c>
      <c r="AN312" s="328">
        <v>1217</v>
      </c>
      <c r="AO312" s="328">
        <v>21723686</v>
      </c>
    </row>
    <row r="313" spans="1:41" ht="15.75">
      <c r="A313" s="333">
        <v>307</v>
      </c>
      <c r="B313" s="4" t="s">
        <v>161</v>
      </c>
      <c r="C313" s="402">
        <v>100014864</v>
      </c>
      <c r="D313" s="328">
        <v>6671</v>
      </c>
      <c r="E313" s="328">
        <v>145</v>
      </c>
      <c r="F313" s="328">
        <v>0</v>
      </c>
      <c r="G313" s="328">
        <v>30</v>
      </c>
      <c r="H313" s="328">
        <v>115</v>
      </c>
      <c r="I313" s="328">
        <v>0</v>
      </c>
      <c r="J313" s="328">
        <v>46</v>
      </c>
      <c r="K313" s="333">
        <v>46</v>
      </c>
      <c r="L313" s="333"/>
      <c r="N313" s="402">
        <v>100014864</v>
      </c>
      <c r="O313" s="328">
        <v>0</v>
      </c>
      <c r="P313" s="328">
        <v>30</v>
      </c>
      <c r="Q313" s="328">
        <v>115</v>
      </c>
      <c r="R313" s="328">
        <v>145</v>
      </c>
      <c r="S313" s="333">
        <v>2547691</v>
      </c>
      <c r="T313" s="4">
        <v>1.29</v>
      </c>
      <c r="U313" s="165">
        <f>VLOOKUP(N313,'[2]154'!$C$9:$T$554,18,0)</f>
        <v>145</v>
      </c>
      <c r="V313" s="402">
        <v>100014864</v>
      </c>
      <c r="W313" s="407">
        <v>46</v>
      </c>
      <c r="X313" s="405">
        <v>20995.239130434784</v>
      </c>
      <c r="Y313" s="407">
        <v>965781</v>
      </c>
      <c r="AA313" s="402">
        <v>100014864</v>
      </c>
      <c r="AB313" s="328">
        <v>0</v>
      </c>
      <c r="AC313" s="328">
        <v>30</v>
      </c>
      <c r="AD313" s="328">
        <v>115</v>
      </c>
      <c r="AE313" s="328">
        <v>145</v>
      </c>
      <c r="AF313" s="328">
        <v>107</v>
      </c>
      <c r="AG313" s="328">
        <v>1029742</v>
      </c>
      <c r="AI313" s="402">
        <v>100014864</v>
      </c>
      <c r="AJ313" s="328">
        <v>0</v>
      </c>
      <c r="AK313" s="328">
        <v>30</v>
      </c>
      <c r="AL313" s="328">
        <v>115</v>
      </c>
      <c r="AM313" s="328">
        <v>145</v>
      </c>
      <c r="AN313" s="328">
        <v>107</v>
      </c>
      <c r="AO313" s="328">
        <v>1517949</v>
      </c>
    </row>
    <row r="314" spans="1:41" ht="15.75">
      <c r="A314" s="333">
        <v>308</v>
      </c>
      <c r="B314" s="4" t="s">
        <v>161</v>
      </c>
      <c r="C314" s="402">
        <v>100014869</v>
      </c>
      <c r="D314" s="328">
        <v>2665</v>
      </c>
      <c r="E314" s="328">
        <v>42</v>
      </c>
      <c r="F314" s="328">
        <v>0</v>
      </c>
      <c r="G314" s="328">
        <v>24</v>
      </c>
      <c r="H314" s="328">
        <v>18</v>
      </c>
      <c r="I314" s="328">
        <v>0</v>
      </c>
      <c r="J314" s="328">
        <v>0</v>
      </c>
      <c r="K314" s="333">
        <v>0</v>
      </c>
      <c r="L314" s="333"/>
      <c r="N314" s="402">
        <v>100014869</v>
      </c>
      <c r="O314" s="328">
        <v>0</v>
      </c>
      <c r="P314" s="328">
        <v>24</v>
      </c>
      <c r="Q314" s="328">
        <v>18</v>
      </c>
      <c r="R314" s="328">
        <v>42</v>
      </c>
      <c r="S314" s="333">
        <v>1138838</v>
      </c>
      <c r="T314" s="4">
        <v>1.96</v>
      </c>
      <c r="U314" s="165">
        <f>VLOOKUP(N314,'[2]154'!$C$9:$T$554,18,0)</f>
        <v>42</v>
      </c>
      <c r="V314" s="402">
        <v>100014869</v>
      </c>
      <c r="W314" s="407">
        <v>0</v>
      </c>
      <c r="X314" s="405">
        <v>0</v>
      </c>
      <c r="Y314" s="407">
        <v>0</v>
      </c>
      <c r="AA314" s="402">
        <v>100014869</v>
      </c>
      <c r="AB314" s="328">
        <v>0</v>
      </c>
      <c r="AC314" s="328">
        <v>24</v>
      </c>
      <c r="AD314" s="328">
        <v>18</v>
      </c>
      <c r="AE314" s="328">
        <v>42</v>
      </c>
      <c r="AF314" s="328">
        <v>26</v>
      </c>
      <c r="AG314" s="328">
        <v>460303</v>
      </c>
      <c r="AI314" s="402">
        <v>100014869</v>
      </c>
      <c r="AJ314" s="328">
        <v>0</v>
      </c>
      <c r="AK314" s="328">
        <v>24</v>
      </c>
      <c r="AL314" s="328">
        <v>18</v>
      </c>
      <c r="AM314" s="328">
        <v>42</v>
      </c>
      <c r="AN314" s="328">
        <v>26</v>
      </c>
      <c r="AO314" s="328">
        <v>678535</v>
      </c>
    </row>
    <row r="315" spans="1:41" ht="15.75">
      <c r="A315" s="333">
        <v>309</v>
      </c>
      <c r="B315" s="4" t="s">
        <v>161</v>
      </c>
      <c r="C315" s="402">
        <v>100015148</v>
      </c>
      <c r="D315" s="328">
        <v>6006</v>
      </c>
      <c r="E315" s="328">
        <v>214</v>
      </c>
      <c r="F315" s="328">
        <v>0</v>
      </c>
      <c r="G315" s="328">
        <v>45</v>
      </c>
      <c r="H315" s="328">
        <v>169</v>
      </c>
      <c r="I315" s="328">
        <v>0</v>
      </c>
      <c r="J315" s="328">
        <v>29</v>
      </c>
      <c r="K315" s="333">
        <v>29</v>
      </c>
      <c r="L315" s="333"/>
      <c r="N315" s="402">
        <v>100015148</v>
      </c>
      <c r="O315" s="328">
        <v>0</v>
      </c>
      <c r="P315" s="328">
        <v>45</v>
      </c>
      <c r="Q315" s="328">
        <v>169</v>
      </c>
      <c r="R315" s="328">
        <v>214</v>
      </c>
      <c r="S315" s="333">
        <v>6549924</v>
      </c>
      <c r="T315" s="4">
        <v>2.08</v>
      </c>
      <c r="U315" s="165">
        <f>VLOOKUP(N315,'[2]154'!$C$9:$T$554,18,0)</f>
        <v>214</v>
      </c>
      <c r="V315" s="402">
        <v>100015148</v>
      </c>
      <c r="W315" s="407">
        <v>29</v>
      </c>
      <c r="X315" s="405">
        <v>41455.206896551725</v>
      </c>
      <c r="Y315" s="407">
        <v>1202201</v>
      </c>
      <c r="AA315" s="402">
        <v>100015148</v>
      </c>
      <c r="AB315" s="328">
        <v>0</v>
      </c>
      <c r="AC315" s="328">
        <v>45</v>
      </c>
      <c r="AD315" s="328">
        <v>169</v>
      </c>
      <c r="AE315" s="328">
        <v>214</v>
      </c>
      <c r="AF315" s="328">
        <v>158</v>
      </c>
      <c r="AG315" s="328">
        <v>2647390</v>
      </c>
      <c r="AI315" s="402">
        <v>100015148</v>
      </c>
      <c r="AJ315" s="328">
        <v>0</v>
      </c>
      <c r="AK315" s="328">
        <v>45</v>
      </c>
      <c r="AL315" s="328">
        <v>169</v>
      </c>
      <c r="AM315" s="328">
        <v>214</v>
      </c>
      <c r="AN315" s="328">
        <v>158</v>
      </c>
      <c r="AO315" s="328">
        <v>3902534</v>
      </c>
    </row>
    <row r="316" spans="1:41" ht="15.75">
      <c r="A316" s="333">
        <v>310</v>
      </c>
      <c r="B316" s="4" t="s">
        <v>161</v>
      </c>
      <c r="C316" s="402">
        <v>100015173</v>
      </c>
      <c r="D316" s="328">
        <v>1988</v>
      </c>
      <c r="E316" s="328">
        <v>137</v>
      </c>
      <c r="F316" s="328">
        <v>0</v>
      </c>
      <c r="G316" s="328">
        <v>93</v>
      </c>
      <c r="H316" s="328">
        <v>44</v>
      </c>
      <c r="I316" s="328">
        <v>0</v>
      </c>
      <c r="J316" s="328">
        <v>18</v>
      </c>
      <c r="K316" s="333">
        <v>18</v>
      </c>
      <c r="L316" s="333"/>
      <c r="N316" s="402">
        <v>100015173</v>
      </c>
      <c r="O316" s="328">
        <v>0</v>
      </c>
      <c r="P316" s="328">
        <v>93</v>
      </c>
      <c r="Q316" s="328">
        <v>44</v>
      </c>
      <c r="R316" s="328">
        <v>137</v>
      </c>
      <c r="S316" s="333">
        <v>6422768</v>
      </c>
      <c r="T316" s="4">
        <v>3.93</v>
      </c>
      <c r="U316" s="165">
        <f>VLOOKUP(N316,'[2]154'!$C$9:$T$554,18,0)</f>
        <v>137</v>
      </c>
      <c r="V316" s="402">
        <v>100015173</v>
      </c>
      <c r="W316" s="407">
        <v>18</v>
      </c>
      <c r="X316" s="405">
        <v>78326.444444444438</v>
      </c>
      <c r="Y316" s="407">
        <v>1409876</v>
      </c>
      <c r="AA316" s="402">
        <v>100015173</v>
      </c>
      <c r="AB316" s="328">
        <v>0</v>
      </c>
      <c r="AC316" s="328">
        <v>93</v>
      </c>
      <c r="AD316" s="328">
        <v>44</v>
      </c>
      <c r="AE316" s="328">
        <v>137</v>
      </c>
      <c r="AF316" s="328">
        <v>82</v>
      </c>
      <c r="AG316" s="328">
        <v>2595995</v>
      </c>
      <c r="AI316" s="402">
        <v>100015173</v>
      </c>
      <c r="AJ316" s="328">
        <v>0</v>
      </c>
      <c r="AK316" s="328">
        <v>93</v>
      </c>
      <c r="AL316" s="328">
        <v>44</v>
      </c>
      <c r="AM316" s="328">
        <v>137</v>
      </c>
      <c r="AN316" s="328">
        <v>82</v>
      </c>
      <c r="AO316" s="328">
        <v>3826773</v>
      </c>
    </row>
    <row r="317" spans="1:41" ht="15.75">
      <c r="A317" s="333">
        <v>311</v>
      </c>
      <c r="B317" s="4" t="s">
        <v>161</v>
      </c>
      <c r="C317" s="402">
        <v>100015180</v>
      </c>
      <c r="D317" s="328">
        <v>1294</v>
      </c>
      <c r="E317" s="328">
        <v>25</v>
      </c>
      <c r="F317" s="328">
        <v>0</v>
      </c>
      <c r="G317" s="328">
        <v>9</v>
      </c>
      <c r="H317" s="328">
        <v>16</v>
      </c>
      <c r="I317" s="328">
        <v>0</v>
      </c>
      <c r="J317" s="328">
        <v>25</v>
      </c>
      <c r="K317" s="333">
        <v>25</v>
      </c>
      <c r="L317" s="333"/>
      <c r="N317" s="402">
        <v>100015180</v>
      </c>
      <c r="O317" s="328">
        <v>0</v>
      </c>
      <c r="P317" s="328">
        <v>9</v>
      </c>
      <c r="Q317" s="328">
        <v>16</v>
      </c>
      <c r="R317" s="328">
        <v>25</v>
      </c>
      <c r="S317" s="333">
        <v>782666</v>
      </c>
      <c r="T317" s="4">
        <v>2.31</v>
      </c>
      <c r="U317" s="165">
        <f>VLOOKUP(N317,'[2]154'!$C$9:$T$554,18,0)</f>
        <v>25</v>
      </c>
      <c r="V317" s="402">
        <v>100015180</v>
      </c>
      <c r="W317" s="407">
        <v>25</v>
      </c>
      <c r="X317" s="405">
        <v>46039.199999999997</v>
      </c>
      <c r="Y317" s="407">
        <v>1150980</v>
      </c>
      <c r="AA317" s="402">
        <v>100015180</v>
      </c>
      <c r="AB317" s="328">
        <v>0</v>
      </c>
      <c r="AC317" s="328">
        <v>9</v>
      </c>
      <c r="AD317" s="328">
        <v>16</v>
      </c>
      <c r="AE317" s="328">
        <v>25</v>
      </c>
      <c r="AF317" s="328">
        <v>17</v>
      </c>
      <c r="AG317" s="328">
        <v>316343</v>
      </c>
      <c r="AI317" s="402">
        <v>100015180</v>
      </c>
      <c r="AJ317" s="328">
        <v>0</v>
      </c>
      <c r="AK317" s="328">
        <v>9</v>
      </c>
      <c r="AL317" s="328">
        <v>16</v>
      </c>
      <c r="AM317" s="328">
        <v>25</v>
      </c>
      <c r="AN317" s="328">
        <v>17</v>
      </c>
      <c r="AO317" s="328">
        <v>466323</v>
      </c>
    </row>
    <row r="318" spans="1:41" ht="15.75">
      <c r="A318" s="333">
        <v>312</v>
      </c>
      <c r="B318" s="4" t="s">
        <v>161</v>
      </c>
      <c r="C318" s="402">
        <v>100015249</v>
      </c>
      <c r="D318" s="328">
        <v>10009</v>
      </c>
      <c r="E318" s="328">
        <v>62</v>
      </c>
      <c r="F318" s="328">
        <v>0</v>
      </c>
      <c r="G318" s="328">
        <v>22</v>
      </c>
      <c r="H318" s="328">
        <v>40</v>
      </c>
      <c r="I318" s="328">
        <v>0</v>
      </c>
      <c r="J318" s="328">
        <v>0</v>
      </c>
      <c r="K318" s="333">
        <v>0</v>
      </c>
      <c r="L318" s="333"/>
      <c r="N318" s="402">
        <v>100015249</v>
      </c>
      <c r="O318" s="328">
        <v>0</v>
      </c>
      <c r="P318" s="328">
        <v>22</v>
      </c>
      <c r="Q318" s="328">
        <v>40</v>
      </c>
      <c r="R318" s="328">
        <v>62</v>
      </c>
      <c r="S318" s="333">
        <v>1638687</v>
      </c>
      <c r="T318" s="4">
        <v>1.93</v>
      </c>
      <c r="U318" s="165">
        <f>VLOOKUP(N318,'[2]154'!$C$9:$T$554,18,0)</f>
        <v>62</v>
      </c>
      <c r="V318" s="402">
        <v>100015249</v>
      </c>
      <c r="W318" s="407">
        <v>0</v>
      </c>
      <c r="X318" s="405">
        <v>0</v>
      </c>
      <c r="Y318" s="407">
        <v>0</v>
      </c>
      <c r="AA318" s="402">
        <v>100015249</v>
      </c>
      <c r="AB318" s="328">
        <v>0</v>
      </c>
      <c r="AC318" s="328">
        <v>22</v>
      </c>
      <c r="AD318" s="328">
        <v>40</v>
      </c>
      <c r="AE318" s="328">
        <v>62</v>
      </c>
      <c r="AF318" s="328">
        <v>43</v>
      </c>
      <c r="AG318" s="328">
        <v>621250</v>
      </c>
      <c r="AI318" s="402">
        <v>100015249</v>
      </c>
      <c r="AJ318" s="328">
        <v>0</v>
      </c>
      <c r="AK318" s="328">
        <v>22</v>
      </c>
      <c r="AL318" s="328">
        <v>40</v>
      </c>
      <c r="AM318" s="328">
        <v>62</v>
      </c>
      <c r="AN318" s="328">
        <v>43</v>
      </c>
      <c r="AO318" s="328">
        <v>1017437</v>
      </c>
    </row>
    <row r="319" spans="1:41" ht="15.75">
      <c r="A319" s="333">
        <v>313</v>
      </c>
      <c r="B319" s="4" t="s">
        <v>161</v>
      </c>
      <c r="C319" s="402">
        <v>100015301</v>
      </c>
      <c r="D319" s="328">
        <v>13343</v>
      </c>
      <c r="E319" s="328">
        <v>751</v>
      </c>
      <c r="F319" s="328">
        <v>0</v>
      </c>
      <c r="G319" s="328">
        <v>426</v>
      </c>
      <c r="H319" s="328">
        <v>325</v>
      </c>
      <c r="I319" s="328">
        <v>0</v>
      </c>
      <c r="J319" s="328">
        <v>0</v>
      </c>
      <c r="K319" s="333">
        <v>0</v>
      </c>
      <c r="L319" s="333"/>
      <c r="N319" s="402">
        <v>100015301</v>
      </c>
      <c r="O319" s="328">
        <v>0</v>
      </c>
      <c r="P319" s="328">
        <v>426</v>
      </c>
      <c r="Q319" s="328">
        <v>325</v>
      </c>
      <c r="R319" s="328">
        <v>751</v>
      </c>
      <c r="S319" s="333">
        <v>26101129</v>
      </c>
      <c r="T319" s="4">
        <v>2.82</v>
      </c>
      <c r="U319" s="165">
        <f>VLOOKUP(N319,'[2]154'!$C$9:$T$554,18,0)</f>
        <v>751</v>
      </c>
      <c r="V319" s="402">
        <v>100015301</v>
      </c>
      <c r="W319" s="407">
        <v>0</v>
      </c>
      <c r="X319" s="405">
        <v>0</v>
      </c>
      <c r="Y319" s="407">
        <v>0</v>
      </c>
      <c r="AA319" s="402">
        <v>100015301</v>
      </c>
      <c r="AB319" s="328">
        <v>0</v>
      </c>
      <c r="AC319" s="328">
        <v>426</v>
      </c>
      <c r="AD319" s="328">
        <v>325</v>
      </c>
      <c r="AE319" s="328">
        <v>751</v>
      </c>
      <c r="AF319" s="328">
        <v>473</v>
      </c>
      <c r="AG319" s="328">
        <v>10132531</v>
      </c>
      <c r="AI319" s="402">
        <v>100015301</v>
      </c>
      <c r="AJ319" s="328">
        <v>0</v>
      </c>
      <c r="AK319" s="328">
        <v>426</v>
      </c>
      <c r="AL319" s="328">
        <v>325</v>
      </c>
      <c r="AM319" s="328">
        <v>751</v>
      </c>
      <c r="AN319" s="328">
        <v>473</v>
      </c>
      <c r="AO319" s="328">
        <v>15968598</v>
      </c>
    </row>
    <row r="320" spans="1:41" ht="15.75">
      <c r="A320" s="333">
        <v>314</v>
      </c>
      <c r="B320" s="4" t="s">
        <v>161</v>
      </c>
      <c r="C320" s="402">
        <v>100015303</v>
      </c>
      <c r="D320" s="328">
        <v>13289</v>
      </c>
      <c r="E320" s="328">
        <v>322</v>
      </c>
      <c r="F320" s="328">
        <v>0</v>
      </c>
      <c r="G320" s="328">
        <v>11</v>
      </c>
      <c r="H320" s="328">
        <v>311</v>
      </c>
      <c r="I320" s="328">
        <v>0</v>
      </c>
      <c r="J320" s="328">
        <v>59</v>
      </c>
      <c r="K320" s="333">
        <v>59</v>
      </c>
      <c r="L320" s="333"/>
      <c r="N320" s="402">
        <v>100015303</v>
      </c>
      <c r="O320" s="328">
        <v>0</v>
      </c>
      <c r="P320" s="328">
        <v>11</v>
      </c>
      <c r="Q320" s="328">
        <v>311</v>
      </c>
      <c r="R320" s="328">
        <v>322</v>
      </c>
      <c r="S320" s="333">
        <v>9273161</v>
      </c>
      <c r="T320" s="4">
        <v>1.86</v>
      </c>
      <c r="U320" s="165">
        <f>VLOOKUP(N320,'[2]154'!$C$9:$T$554,18,0)</f>
        <v>322</v>
      </c>
      <c r="V320" s="402">
        <v>100015303</v>
      </c>
      <c r="W320" s="407">
        <v>59</v>
      </c>
      <c r="X320" s="405">
        <v>30973.77966101695</v>
      </c>
      <c r="Y320" s="407">
        <v>1827453</v>
      </c>
      <c r="AA320" s="402">
        <v>100015303</v>
      </c>
      <c r="AB320" s="328">
        <v>0</v>
      </c>
      <c r="AC320" s="328">
        <v>11</v>
      </c>
      <c r="AD320" s="328">
        <v>311</v>
      </c>
      <c r="AE320" s="328">
        <v>322</v>
      </c>
      <c r="AF320" s="328">
        <v>254</v>
      </c>
      <c r="AG320" s="328">
        <v>3340909</v>
      </c>
      <c r="AI320" s="402">
        <v>100015303</v>
      </c>
      <c r="AJ320" s="328">
        <v>0</v>
      </c>
      <c r="AK320" s="328">
        <v>11</v>
      </c>
      <c r="AL320" s="328">
        <v>311</v>
      </c>
      <c r="AM320" s="328">
        <v>322</v>
      </c>
      <c r="AN320" s="328">
        <v>254</v>
      </c>
      <c r="AO320" s="328">
        <v>5932252</v>
      </c>
    </row>
    <row r="321" spans="1:41" ht="15.75">
      <c r="A321" s="333">
        <v>315</v>
      </c>
      <c r="B321" s="4" t="s">
        <v>161</v>
      </c>
      <c r="C321" s="402">
        <v>100015304</v>
      </c>
      <c r="D321" s="328">
        <v>6756</v>
      </c>
      <c r="E321" s="328">
        <v>120</v>
      </c>
      <c r="F321" s="328">
        <v>17</v>
      </c>
      <c r="G321" s="328">
        <v>80</v>
      </c>
      <c r="H321" s="328">
        <v>23</v>
      </c>
      <c r="I321" s="328">
        <v>0</v>
      </c>
      <c r="J321" s="328">
        <v>96</v>
      </c>
      <c r="K321" s="333">
        <v>96</v>
      </c>
      <c r="L321" s="333"/>
      <c r="N321" s="402">
        <v>100015304</v>
      </c>
      <c r="O321" s="328">
        <v>17</v>
      </c>
      <c r="P321" s="328">
        <v>80</v>
      </c>
      <c r="Q321" s="328">
        <v>23</v>
      </c>
      <c r="R321" s="328">
        <v>120</v>
      </c>
      <c r="S321" s="333">
        <v>2769641</v>
      </c>
      <c r="T321" s="4">
        <v>1.93</v>
      </c>
      <c r="U321" s="165">
        <f>VLOOKUP(N321,'[2]154'!$C$9:$T$554,18,0)</f>
        <v>120</v>
      </c>
      <c r="V321" s="402">
        <v>100015304</v>
      </c>
      <c r="W321" s="407">
        <v>96</v>
      </c>
      <c r="X321" s="405">
        <v>37296.677083333336</v>
      </c>
      <c r="Y321" s="407">
        <v>3580481</v>
      </c>
      <c r="AA321" s="402">
        <v>100015304</v>
      </c>
      <c r="AB321" s="328">
        <v>17</v>
      </c>
      <c r="AC321" s="328">
        <v>80</v>
      </c>
      <c r="AD321" s="328">
        <v>23</v>
      </c>
      <c r="AE321" s="328">
        <v>120</v>
      </c>
      <c r="AF321" s="328">
        <v>62</v>
      </c>
      <c r="AG321" s="328">
        <v>1119451</v>
      </c>
      <c r="AI321" s="402">
        <v>100015304</v>
      </c>
      <c r="AJ321" s="328">
        <v>17</v>
      </c>
      <c r="AK321" s="328">
        <v>80</v>
      </c>
      <c r="AL321" s="328">
        <v>23</v>
      </c>
      <c r="AM321" s="328">
        <v>120</v>
      </c>
      <c r="AN321" s="328">
        <v>62</v>
      </c>
      <c r="AO321" s="328">
        <v>1650190</v>
      </c>
    </row>
    <row r="322" spans="1:41" ht="15.75">
      <c r="A322" s="333">
        <v>316</v>
      </c>
      <c r="B322" s="4" t="s">
        <v>161</v>
      </c>
      <c r="C322" s="402">
        <v>100015356</v>
      </c>
      <c r="D322" s="328">
        <v>3285</v>
      </c>
      <c r="E322" s="328">
        <v>53</v>
      </c>
      <c r="F322" s="328">
        <v>0</v>
      </c>
      <c r="G322" s="328">
        <v>37</v>
      </c>
      <c r="H322" s="328">
        <v>16</v>
      </c>
      <c r="I322" s="328">
        <v>0</v>
      </c>
      <c r="J322" s="328">
        <v>65</v>
      </c>
      <c r="K322" s="333">
        <v>65</v>
      </c>
      <c r="L322" s="333"/>
      <c r="N322" s="402">
        <v>100015356</v>
      </c>
      <c r="O322" s="328">
        <v>0</v>
      </c>
      <c r="P322" s="328">
        <v>37</v>
      </c>
      <c r="Q322" s="328">
        <v>16</v>
      </c>
      <c r="R322" s="328">
        <v>53</v>
      </c>
      <c r="S322" s="333">
        <v>1252014</v>
      </c>
      <c r="T322" s="4">
        <v>2.06</v>
      </c>
      <c r="U322" s="165">
        <f>VLOOKUP(N322,'[2]154'!$C$9:$T$554,18,0)</f>
        <v>53</v>
      </c>
      <c r="V322" s="402">
        <v>100015356</v>
      </c>
      <c r="W322" s="407">
        <v>65</v>
      </c>
      <c r="X322" s="405">
        <v>40383.646153846152</v>
      </c>
      <c r="Y322" s="407">
        <v>2624937</v>
      </c>
      <c r="AA322" s="402">
        <v>100015356</v>
      </c>
      <c r="AB322" s="328">
        <v>0</v>
      </c>
      <c r="AC322" s="328">
        <v>37</v>
      </c>
      <c r="AD322" s="328">
        <v>16</v>
      </c>
      <c r="AE322" s="328">
        <v>53</v>
      </c>
      <c r="AF322" s="328">
        <v>31</v>
      </c>
      <c r="AG322" s="328">
        <v>474398</v>
      </c>
      <c r="AI322" s="402">
        <v>100015356</v>
      </c>
      <c r="AJ322" s="328">
        <v>0</v>
      </c>
      <c r="AK322" s="328">
        <v>37</v>
      </c>
      <c r="AL322" s="328">
        <v>16</v>
      </c>
      <c r="AM322" s="328">
        <v>53</v>
      </c>
      <c r="AN322" s="328">
        <v>31</v>
      </c>
      <c r="AO322" s="328">
        <v>777616</v>
      </c>
    </row>
    <row r="323" spans="1:41" ht="15.75">
      <c r="A323" s="333">
        <v>317</v>
      </c>
      <c r="B323" s="4" t="s">
        <v>161</v>
      </c>
      <c r="C323" s="402">
        <v>100015404</v>
      </c>
      <c r="D323" s="328">
        <v>3422</v>
      </c>
      <c r="E323" s="328">
        <v>166</v>
      </c>
      <c r="F323" s="328">
        <v>0</v>
      </c>
      <c r="G323" s="328">
        <v>105</v>
      </c>
      <c r="H323" s="328">
        <v>61</v>
      </c>
      <c r="I323" s="328">
        <v>0</v>
      </c>
      <c r="J323" s="328">
        <v>2</v>
      </c>
      <c r="K323" s="333">
        <v>2</v>
      </c>
      <c r="L323" s="333"/>
      <c r="N323" s="402">
        <v>100015404</v>
      </c>
      <c r="O323" s="328">
        <v>0</v>
      </c>
      <c r="P323" s="328">
        <v>105</v>
      </c>
      <c r="Q323" s="328">
        <v>61</v>
      </c>
      <c r="R323" s="328">
        <v>166</v>
      </c>
      <c r="S323" s="333">
        <v>4047198</v>
      </c>
      <c r="T323" s="4">
        <v>2.06</v>
      </c>
      <c r="U323" s="165">
        <f>VLOOKUP(N323,'[2]154'!$C$9:$T$554,18,0)</f>
        <v>166</v>
      </c>
      <c r="V323" s="402">
        <v>100015404</v>
      </c>
      <c r="W323" s="407">
        <v>2</v>
      </c>
      <c r="X323" s="405">
        <v>39724.5</v>
      </c>
      <c r="Y323" s="407">
        <v>79449</v>
      </c>
      <c r="AA323" s="402">
        <v>100015404</v>
      </c>
      <c r="AB323" s="328">
        <v>0</v>
      </c>
      <c r="AC323" s="328">
        <v>105</v>
      </c>
      <c r="AD323" s="328">
        <v>61</v>
      </c>
      <c r="AE323" s="328">
        <v>166</v>
      </c>
      <c r="AF323" s="328">
        <v>101</v>
      </c>
      <c r="AG323" s="328">
        <v>1493091</v>
      </c>
      <c r="AI323" s="402">
        <v>100015404</v>
      </c>
      <c r="AJ323" s="328">
        <v>0</v>
      </c>
      <c r="AK323" s="328">
        <v>105</v>
      </c>
      <c r="AL323" s="328">
        <v>61</v>
      </c>
      <c r="AM323" s="328">
        <v>166</v>
      </c>
      <c r="AN323" s="328">
        <v>101</v>
      </c>
      <c r="AO323" s="328">
        <v>2554107</v>
      </c>
    </row>
    <row r="324" spans="1:41" ht="15.75">
      <c r="A324" s="333">
        <v>318</v>
      </c>
      <c r="B324" s="4" t="s">
        <v>161</v>
      </c>
      <c r="C324" s="402">
        <v>100015437</v>
      </c>
      <c r="D324" s="328">
        <v>1736</v>
      </c>
      <c r="E324" s="328">
        <v>37</v>
      </c>
      <c r="F324" s="328">
        <v>24</v>
      </c>
      <c r="G324" s="328">
        <v>0</v>
      </c>
      <c r="H324" s="328">
        <v>13</v>
      </c>
      <c r="I324" s="328">
        <v>0</v>
      </c>
      <c r="J324" s="328">
        <v>40</v>
      </c>
      <c r="K324" s="333">
        <v>40</v>
      </c>
      <c r="L324" s="333"/>
      <c r="N324" s="402">
        <v>100015437</v>
      </c>
      <c r="O324" s="328">
        <v>24</v>
      </c>
      <c r="P324" s="328">
        <v>0</v>
      </c>
      <c r="Q324" s="328">
        <v>13</v>
      </c>
      <c r="R324" s="328">
        <v>37</v>
      </c>
      <c r="S324" s="333">
        <v>585953</v>
      </c>
      <c r="T324" s="4">
        <v>1.96</v>
      </c>
      <c r="U324" s="165">
        <f>VLOOKUP(N324,'[2]154'!$C$9:$T$554,18,0)</f>
        <v>37</v>
      </c>
      <c r="V324" s="402">
        <v>100015437</v>
      </c>
      <c r="W324" s="407">
        <v>40</v>
      </c>
      <c r="X324" s="405">
        <v>39063.550000000003</v>
      </c>
      <c r="Y324" s="407">
        <v>1562542</v>
      </c>
      <c r="AA324" s="402">
        <v>100015437</v>
      </c>
      <c r="AB324" s="328">
        <v>24</v>
      </c>
      <c r="AC324" s="328">
        <v>0</v>
      </c>
      <c r="AD324" s="328">
        <v>13</v>
      </c>
      <c r="AE324" s="328">
        <v>37</v>
      </c>
      <c r="AF324" s="328">
        <v>15</v>
      </c>
      <c r="AG324" s="328">
        <v>236834</v>
      </c>
      <c r="AI324" s="402">
        <v>100015437</v>
      </c>
      <c r="AJ324" s="328">
        <v>24</v>
      </c>
      <c r="AK324" s="328">
        <v>0</v>
      </c>
      <c r="AL324" s="328">
        <v>13</v>
      </c>
      <c r="AM324" s="328">
        <v>37</v>
      </c>
      <c r="AN324" s="328">
        <v>15</v>
      </c>
      <c r="AO324" s="328">
        <v>349119</v>
      </c>
    </row>
    <row r="325" spans="1:41" ht="15.75">
      <c r="A325" s="333">
        <v>319</v>
      </c>
      <c r="B325" s="4" t="s">
        <v>161</v>
      </c>
      <c r="C325" s="402">
        <v>100016367</v>
      </c>
      <c r="D325" s="328">
        <v>7470</v>
      </c>
      <c r="E325" s="328">
        <v>142</v>
      </c>
      <c r="F325" s="328">
        <v>0</v>
      </c>
      <c r="G325" s="328">
        <v>29</v>
      </c>
      <c r="H325" s="328">
        <v>113</v>
      </c>
      <c r="I325" s="328">
        <v>0</v>
      </c>
      <c r="J325" s="328">
        <v>71</v>
      </c>
      <c r="K325" s="333">
        <v>71</v>
      </c>
      <c r="L325" s="333"/>
      <c r="N325" s="402">
        <v>100016367</v>
      </c>
      <c r="O325" s="328">
        <v>0</v>
      </c>
      <c r="P325" s="328">
        <v>29</v>
      </c>
      <c r="Q325" s="328">
        <v>113</v>
      </c>
      <c r="R325" s="328">
        <v>142</v>
      </c>
      <c r="S325" s="333">
        <v>4637775</v>
      </c>
      <c r="T325" s="4">
        <v>2.2400000000000002</v>
      </c>
      <c r="U325" s="165">
        <f>VLOOKUP(N325,'[2]154'!$C$9:$T$554,18,0)</f>
        <v>142</v>
      </c>
      <c r="V325" s="402">
        <v>100016367</v>
      </c>
      <c r="W325" s="407">
        <v>71</v>
      </c>
      <c r="X325" s="405">
        <v>44168.478873239437</v>
      </c>
      <c r="Y325" s="407">
        <v>3135962</v>
      </c>
      <c r="AA325" s="402">
        <v>100016367</v>
      </c>
      <c r="AB325" s="328">
        <v>0</v>
      </c>
      <c r="AC325" s="328">
        <v>29</v>
      </c>
      <c r="AD325" s="328">
        <v>113</v>
      </c>
      <c r="AE325" s="328">
        <v>142</v>
      </c>
      <c r="AF325" s="328">
        <v>105</v>
      </c>
      <c r="AG325" s="328">
        <v>1750871</v>
      </c>
      <c r="AI325" s="402">
        <v>100016367</v>
      </c>
      <c r="AJ325" s="328">
        <v>0</v>
      </c>
      <c r="AK325" s="328">
        <v>29</v>
      </c>
      <c r="AL325" s="328">
        <v>113</v>
      </c>
      <c r="AM325" s="328">
        <v>142</v>
      </c>
      <c r="AN325" s="328">
        <v>105</v>
      </c>
      <c r="AO325" s="328">
        <v>2886904</v>
      </c>
    </row>
    <row r="326" spans="1:41" ht="15.75">
      <c r="A326" s="333">
        <v>320</v>
      </c>
      <c r="B326" s="4" t="s">
        <v>100</v>
      </c>
      <c r="C326" s="402">
        <v>100016575</v>
      </c>
      <c r="D326" s="328">
        <v>1057</v>
      </c>
      <c r="E326" s="328">
        <v>119</v>
      </c>
      <c r="F326" s="328">
        <v>0</v>
      </c>
      <c r="G326" s="328">
        <v>6</v>
      </c>
      <c r="H326" s="328">
        <v>113</v>
      </c>
      <c r="I326" s="328">
        <v>0</v>
      </c>
      <c r="J326" s="328">
        <v>21</v>
      </c>
      <c r="K326" s="333">
        <v>21</v>
      </c>
      <c r="L326" s="333"/>
      <c r="N326" s="402">
        <v>100016575</v>
      </c>
      <c r="O326" s="328">
        <v>0</v>
      </c>
      <c r="P326" s="328">
        <v>6</v>
      </c>
      <c r="Q326" s="328">
        <v>113</v>
      </c>
      <c r="R326" s="328">
        <v>119</v>
      </c>
      <c r="S326" s="333">
        <v>7401960</v>
      </c>
      <c r="T326" s="4">
        <v>4</v>
      </c>
      <c r="U326" s="165">
        <f>VLOOKUP(N326,'[2]154'!$C$9:$T$554,18,0)</f>
        <v>119</v>
      </c>
      <c r="V326" s="402">
        <v>100016575</v>
      </c>
      <c r="W326" s="407">
        <v>21</v>
      </c>
      <c r="X326" s="405">
        <v>79525.619047619053</v>
      </c>
      <c r="Y326" s="407">
        <v>1670038</v>
      </c>
      <c r="AA326" s="402">
        <v>100016575</v>
      </c>
      <c r="AB326" s="328">
        <v>0</v>
      </c>
      <c r="AC326" s="328">
        <v>6</v>
      </c>
      <c r="AD326" s="328">
        <v>113</v>
      </c>
      <c r="AE326" s="328">
        <v>119</v>
      </c>
      <c r="AF326" s="328">
        <v>93</v>
      </c>
      <c r="AG326" s="328">
        <v>2881366</v>
      </c>
      <c r="AI326" s="402">
        <v>100016575</v>
      </c>
      <c r="AJ326" s="328">
        <v>0</v>
      </c>
      <c r="AK326" s="328">
        <v>6</v>
      </c>
      <c r="AL326" s="328">
        <v>113</v>
      </c>
      <c r="AM326" s="328">
        <v>119</v>
      </c>
      <c r="AN326" s="328">
        <v>93</v>
      </c>
      <c r="AO326" s="328">
        <v>4520594</v>
      </c>
    </row>
    <row r="327" spans="1:41" ht="15.75">
      <c r="A327" s="333">
        <v>321</v>
      </c>
      <c r="B327" s="4" t="s">
        <v>161</v>
      </c>
      <c r="C327" s="402">
        <v>100019839</v>
      </c>
      <c r="D327" s="328">
        <v>2214</v>
      </c>
      <c r="E327" s="328">
        <v>303</v>
      </c>
      <c r="F327" s="328">
        <v>0</v>
      </c>
      <c r="G327" s="328">
        <v>114</v>
      </c>
      <c r="H327" s="328">
        <v>189</v>
      </c>
      <c r="I327" s="328">
        <v>0</v>
      </c>
      <c r="J327" s="328">
        <v>22</v>
      </c>
      <c r="K327" s="333">
        <v>22</v>
      </c>
      <c r="L327" s="333"/>
      <c r="N327" s="402">
        <v>100019839</v>
      </c>
      <c r="O327" s="328">
        <v>0</v>
      </c>
      <c r="P327" s="328">
        <v>114</v>
      </c>
      <c r="Q327" s="328">
        <v>189</v>
      </c>
      <c r="R327" s="328">
        <v>303</v>
      </c>
      <c r="S327" s="333">
        <v>10392858</v>
      </c>
      <c r="T327" s="4">
        <v>2.0299999999999998</v>
      </c>
      <c r="U327" s="165">
        <f>VLOOKUP(N327,'[2]154'!$C$9:$T$554,18,0)</f>
        <v>303</v>
      </c>
      <c r="V327" s="402">
        <v>100019839</v>
      </c>
      <c r="W327" s="407">
        <v>22</v>
      </c>
      <c r="X327" s="405">
        <v>38727.5</v>
      </c>
      <c r="Y327" s="407">
        <v>852005</v>
      </c>
      <c r="AA327" s="402">
        <v>100019839</v>
      </c>
      <c r="AB327" s="328">
        <v>0</v>
      </c>
      <c r="AC327" s="328">
        <v>114</v>
      </c>
      <c r="AD327" s="328">
        <v>189</v>
      </c>
      <c r="AE327" s="328">
        <v>303</v>
      </c>
      <c r="AF327" s="328">
        <v>208</v>
      </c>
      <c r="AG327" s="328">
        <v>3405494</v>
      </c>
      <c r="AI327" s="402">
        <v>100019839</v>
      </c>
      <c r="AJ327" s="328">
        <v>0</v>
      </c>
      <c r="AK327" s="328">
        <v>114</v>
      </c>
      <c r="AL327" s="328">
        <v>189</v>
      </c>
      <c r="AM327" s="328">
        <v>303</v>
      </c>
      <c r="AN327" s="328">
        <v>208</v>
      </c>
      <c r="AO327" s="328">
        <v>6987364</v>
      </c>
    </row>
    <row r="328" spans="1:41" ht="15.75">
      <c r="A328" s="333">
        <v>322</v>
      </c>
      <c r="B328" s="4" t="s">
        <v>100</v>
      </c>
      <c r="C328" s="402">
        <v>100021862</v>
      </c>
      <c r="D328" s="328">
        <v>798</v>
      </c>
      <c r="E328" s="328">
        <v>7</v>
      </c>
      <c r="F328" s="328">
        <v>0</v>
      </c>
      <c r="G328" s="328">
        <v>0</v>
      </c>
      <c r="H328" s="328">
        <v>7</v>
      </c>
      <c r="I328" s="328">
        <v>0</v>
      </c>
      <c r="J328" s="328">
        <v>6</v>
      </c>
      <c r="K328" s="333">
        <v>6</v>
      </c>
      <c r="L328" s="333"/>
      <c r="N328" s="402">
        <v>100021862</v>
      </c>
      <c r="O328" s="328">
        <v>0</v>
      </c>
      <c r="P328" s="328">
        <v>0</v>
      </c>
      <c r="Q328" s="328">
        <v>7</v>
      </c>
      <c r="R328" s="328">
        <v>7</v>
      </c>
      <c r="S328" s="333">
        <v>145461</v>
      </c>
      <c r="T328" s="4">
        <v>5.2</v>
      </c>
      <c r="U328" s="165">
        <f>VLOOKUP(N328,'[2]154'!$C$9:$T$554,18,0)</f>
        <v>7</v>
      </c>
      <c r="V328" s="402">
        <v>100021862</v>
      </c>
      <c r="W328" s="407">
        <v>6</v>
      </c>
      <c r="X328" s="405">
        <v>20565.666666666668</v>
      </c>
      <c r="Y328" s="407">
        <v>123394</v>
      </c>
      <c r="AA328" s="402">
        <v>100021862</v>
      </c>
      <c r="AB328" s="328">
        <v>0</v>
      </c>
      <c r="AC328" s="328">
        <v>0</v>
      </c>
      <c r="AD328" s="328">
        <v>7</v>
      </c>
      <c r="AE328" s="328">
        <v>7</v>
      </c>
      <c r="AF328" s="328">
        <v>6</v>
      </c>
      <c r="AG328" s="328">
        <v>58794</v>
      </c>
      <c r="AI328" s="402">
        <v>100021862</v>
      </c>
      <c r="AJ328" s="328">
        <v>0</v>
      </c>
      <c r="AK328" s="328">
        <v>0</v>
      </c>
      <c r="AL328" s="328">
        <v>7</v>
      </c>
      <c r="AM328" s="328">
        <v>7</v>
      </c>
      <c r="AN328" s="328">
        <v>6</v>
      </c>
      <c r="AO328" s="328">
        <v>86667</v>
      </c>
    </row>
    <row r="329" spans="1:41" ht="15.75">
      <c r="A329" s="333">
        <v>323</v>
      </c>
      <c r="B329" s="4" t="s">
        <v>161</v>
      </c>
      <c r="C329" s="402">
        <v>100025244</v>
      </c>
      <c r="D329" s="328">
        <v>627</v>
      </c>
      <c r="E329" s="328">
        <v>33</v>
      </c>
      <c r="F329" s="328">
        <v>10</v>
      </c>
      <c r="G329" s="328">
        <v>4</v>
      </c>
      <c r="H329" s="328">
        <v>19</v>
      </c>
      <c r="I329" s="328">
        <v>0</v>
      </c>
      <c r="J329" s="328">
        <v>0</v>
      </c>
      <c r="K329" s="333">
        <v>0</v>
      </c>
      <c r="L329" s="333"/>
      <c r="N329" s="402">
        <v>100025244</v>
      </c>
      <c r="O329" s="328">
        <v>10</v>
      </c>
      <c r="P329" s="328">
        <v>4</v>
      </c>
      <c r="Q329" s="328">
        <v>19</v>
      </c>
      <c r="R329" s="328">
        <v>33</v>
      </c>
      <c r="S329" s="333">
        <v>1061626</v>
      </c>
      <c r="T329" s="4">
        <v>1.98</v>
      </c>
      <c r="U329" s="165">
        <f>VLOOKUP(N329,'[2]154'!$C$9:$T$554,18,0)</f>
        <v>33</v>
      </c>
      <c r="V329" s="402">
        <v>100025244</v>
      </c>
      <c r="W329" s="407">
        <v>0</v>
      </c>
      <c r="X329" s="405">
        <v>0</v>
      </c>
      <c r="Y329" s="407">
        <v>0</v>
      </c>
      <c r="AA329" s="402">
        <v>100025244</v>
      </c>
      <c r="AB329" s="328">
        <v>10</v>
      </c>
      <c r="AC329" s="328">
        <v>4</v>
      </c>
      <c r="AD329" s="328">
        <v>19</v>
      </c>
      <c r="AE329" s="328">
        <v>33</v>
      </c>
      <c r="AF329" s="328">
        <v>19</v>
      </c>
      <c r="AG329" s="328">
        <v>303051</v>
      </c>
      <c r="AI329" s="402">
        <v>100025244</v>
      </c>
      <c r="AJ329" s="328">
        <v>10</v>
      </c>
      <c r="AK329" s="328">
        <v>4</v>
      </c>
      <c r="AL329" s="328">
        <v>19</v>
      </c>
      <c r="AM329" s="328">
        <v>33</v>
      </c>
      <c r="AN329" s="328">
        <v>19</v>
      </c>
      <c r="AO329" s="328">
        <v>758575</v>
      </c>
    </row>
    <row r="330" spans="1:41" ht="15.75">
      <c r="A330" s="333">
        <v>324</v>
      </c>
      <c r="B330" s="4" t="s">
        <v>161</v>
      </c>
      <c r="C330" s="402">
        <v>100025245</v>
      </c>
      <c r="D330" s="328">
        <v>596</v>
      </c>
      <c r="E330" s="328">
        <v>38</v>
      </c>
      <c r="F330" s="328">
        <v>22</v>
      </c>
      <c r="G330" s="328">
        <v>5</v>
      </c>
      <c r="H330" s="328">
        <v>11</v>
      </c>
      <c r="I330" s="328">
        <v>0</v>
      </c>
      <c r="J330" s="328">
        <v>7</v>
      </c>
      <c r="K330" s="333">
        <v>7</v>
      </c>
      <c r="L330" s="333"/>
      <c r="N330" s="402">
        <v>100025245</v>
      </c>
      <c r="O330" s="328">
        <v>22</v>
      </c>
      <c r="P330" s="328">
        <v>5</v>
      </c>
      <c r="Q330" s="328">
        <v>11</v>
      </c>
      <c r="R330" s="328">
        <v>38</v>
      </c>
      <c r="S330" s="333">
        <v>605884</v>
      </c>
      <c r="T330" s="4">
        <v>1.98</v>
      </c>
      <c r="U330" s="165">
        <f>VLOOKUP(N330,'[2]154'!$C$9:$T$554,18,0)</f>
        <v>38</v>
      </c>
      <c r="V330" s="402">
        <v>100025245</v>
      </c>
      <c r="W330" s="407">
        <v>7</v>
      </c>
      <c r="X330" s="405">
        <v>37867.714285714283</v>
      </c>
      <c r="Y330" s="407">
        <v>265074</v>
      </c>
      <c r="AA330" s="402">
        <v>100025245</v>
      </c>
      <c r="AB330" s="328">
        <v>22</v>
      </c>
      <c r="AC330" s="328">
        <v>5</v>
      </c>
      <c r="AD330" s="328">
        <v>11</v>
      </c>
      <c r="AE330" s="328">
        <v>38</v>
      </c>
      <c r="AF330" s="328">
        <v>16</v>
      </c>
      <c r="AG330" s="328">
        <v>244890</v>
      </c>
      <c r="AI330" s="402">
        <v>100025245</v>
      </c>
      <c r="AJ330" s="328">
        <v>22</v>
      </c>
      <c r="AK330" s="328">
        <v>5</v>
      </c>
      <c r="AL330" s="328">
        <v>11</v>
      </c>
      <c r="AM330" s="328">
        <v>38</v>
      </c>
      <c r="AN330" s="328">
        <v>16</v>
      </c>
      <c r="AO330" s="328">
        <v>360994</v>
      </c>
    </row>
    <row r="331" spans="1:41" ht="15.75">
      <c r="A331" s="333">
        <v>325</v>
      </c>
      <c r="B331" s="4" t="s">
        <v>108</v>
      </c>
      <c r="C331" s="402">
        <v>182013373</v>
      </c>
      <c r="D331" s="328">
        <v>10358</v>
      </c>
      <c r="E331" s="328">
        <v>592</v>
      </c>
      <c r="F331" s="328">
        <v>0</v>
      </c>
      <c r="G331" s="328">
        <v>319</v>
      </c>
      <c r="H331" s="328">
        <v>273</v>
      </c>
      <c r="I331" s="328">
        <v>0</v>
      </c>
      <c r="J331" s="328">
        <v>0</v>
      </c>
      <c r="K331" s="333">
        <v>0</v>
      </c>
      <c r="L331" s="333"/>
      <c r="N331" s="402">
        <v>182013373</v>
      </c>
      <c r="O331" s="328">
        <v>0</v>
      </c>
      <c r="P331" s="328">
        <v>319</v>
      </c>
      <c r="Q331" s="328">
        <v>273</v>
      </c>
      <c r="R331" s="328">
        <v>592</v>
      </c>
      <c r="S331" s="333">
        <v>12511366</v>
      </c>
      <c r="T331" s="4">
        <v>1.26</v>
      </c>
      <c r="U331" s="165">
        <f>VLOOKUP(N331,'[2]154'!$C$9:$T$554,18,0)</f>
        <v>592</v>
      </c>
      <c r="V331" s="402">
        <v>182013373</v>
      </c>
      <c r="W331" s="407">
        <v>0</v>
      </c>
      <c r="X331" s="405">
        <v>0</v>
      </c>
      <c r="Y331" s="407">
        <v>0</v>
      </c>
      <c r="AA331" s="402">
        <v>182013373</v>
      </c>
      <c r="AB331" s="328">
        <v>0</v>
      </c>
      <c r="AC331" s="328">
        <v>319</v>
      </c>
      <c r="AD331" s="328">
        <v>273</v>
      </c>
      <c r="AE331" s="328">
        <v>592</v>
      </c>
      <c r="AF331" s="328">
        <v>378</v>
      </c>
      <c r="AG331" s="328">
        <v>3836717</v>
      </c>
      <c r="AI331" s="402">
        <v>182013373</v>
      </c>
      <c r="AJ331" s="328">
        <v>0</v>
      </c>
      <c r="AK331" s="328">
        <v>319</v>
      </c>
      <c r="AL331" s="328">
        <v>273</v>
      </c>
      <c r="AM331" s="328">
        <v>592</v>
      </c>
      <c r="AN331" s="328">
        <v>378</v>
      </c>
      <c r="AO331" s="328">
        <v>8674649</v>
      </c>
    </row>
    <row r="332" spans="1:41" ht="15.75">
      <c r="A332" s="333">
        <v>326</v>
      </c>
      <c r="B332" s="4" t="s">
        <v>108</v>
      </c>
      <c r="C332" s="402">
        <v>182013374</v>
      </c>
      <c r="D332" s="328">
        <v>7929</v>
      </c>
      <c r="E332" s="328">
        <v>407</v>
      </c>
      <c r="F332" s="328">
        <v>0</v>
      </c>
      <c r="G332" s="328">
        <v>70</v>
      </c>
      <c r="H332" s="328">
        <v>337</v>
      </c>
      <c r="I332" s="328">
        <v>0</v>
      </c>
      <c r="J332" s="328">
        <v>150</v>
      </c>
      <c r="K332" s="333">
        <v>150</v>
      </c>
      <c r="L332" s="333"/>
      <c r="N332" s="402">
        <v>182013374</v>
      </c>
      <c r="O332" s="328">
        <v>0</v>
      </c>
      <c r="P332" s="328">
        <v>70</v>
      </c>
      <c r="Q332" s="328">
        <v>337</v>
      </c>
      <c r="R332" s="328">
        <v>407</v>
      </c>
      <c r="S332" s="333">
        <v>7659250</v>
      </c>
      <c r="T332" s="4">
        <v>1.26</v>
      </c>
      <c r="U332" s="165">
        <f>VLOOKUP(N332,'[2]154'!$C$9:$T$554,18,0)</f>
        <v>407</v>
      </c>
      <c r="V332" s="402">
        <v>182013374</v>
      </c>
      <c r="W332" s="407">
        <v>150</v>
      </c>
      <c r="X332" s="405">
        <v>25112.293333333335</v>
      </c>
      <c r="Y332" s="407">
        <v>3766844</v>
      </c>
      <c r="AA332" s="402">
        <v>182013374</v>
      </c>
      <c r="AB332" s="328">
        <v>0</v>
      </c>
      <c r="AC332" s="328">
        <v>70</v>
      </c>
      <c r="AD332" s="328">
        <v>337</v>
      </c>
      <c r="AE332" s="328">
        <v>407</v>
      </c>
      <c r="AF332" s="328">
        <v>305</v>
      </c>
      <c r="AG332" s="328">
        <v>3095764</v>
      </c>
      <c r="AI332" s="402">
        <v>182013374</v>
      </c>
      <c r="AJ332" s="328">
        <v>0</v>
      </c>
      <c r="AK332" s="328">
        <v>70</v>
      </c>
      <c r="AL332" s="328">
        <v>337</v>
      </c>
      <c r="AM332" s="328">
        <v>407</v>
      </c>
      <c r="AN332" s="328">
        <v>305</v>
      </c>
      <c r="AO332" s="328">
        <v>4563486</v>
      </c>
    </row>
    <row r="333" spans="1:41" ht="15.75">
      <c r="A333" s="333">
        <v>327</v>
      </c>
      <c r="B333" s="4" t="s">
        <v>108</v>
      </c>
      <c r="C333" s="402">
        <v>182034338</v>
      </c>
      <c r="D333" s="328">
        <v>1608</v>
      </c>
      <c r="E333" s="328">
        <v>72</v>
      </c>
      <c r="F333" s="328">
        <v>0</v>
      </c>
      <c r="G333" s="328">
        <v>62</v>
      </c>
      <c r="H333" s="328">
        <v>10</v>
      </c>
      <c r="I333" s="328">
        <v>0</v>
      </c>
      <c r="J333" s="328">
        <v>8</v>
      </c>
      <c r="K333" s="333">
        <v>8</v>
      </c>
      <c r="L333" s="333"/>
      <c r="N333" s="402">
        <v>182034338</v>
      </c>
      <c r="O333" s="328">
        <v>0</v>
      </c>
      <c r="P333" s="328">
        <v>62</v>
      </c>
      <c r="Q333" s="328">
        <v>10</v>
      </c>
      <c r="R333" s="328">
        <v>72</v>
      </c>
      <c r="S333" s="333">
        <v>4048316</v>
      </c>
      <c r="T333" s="4">
        <v>4.16</v>
      </c>
      <c r="U333" s="165">
        <f>VLOOKUP(N333,'[2]154'!$C$9:$T$554,18,0)</f>
        <v>72</v>
      </c>
      <c r="V333" s="402">
        <v>182034338</v>
      </c>
      <c r="W333" s="407">
        <v>8</v>
      </c>
      <c r="X333" s="405">
        <v>74361.625</v>
      </c>
      <c r="Y333" s="407">
        <v>594893</v>
      </c>
      <c r="AA333" s="402">
        <v>182034338</v>
      </c>
      <c r="AB333" s="328">
        <v>0</v>
      </c>
      <c r="AC333" s="328">
        <v>62</v>
      </c>
      <c r="AD333" s="328">
        <v>10</v>
      </c>
      <c r="AE333" s="328">
        <v>72</v>
      </c>
      <c r="AF333" s="328">
        <v>39</v>
      </c>
      <c r="AG333" s="328">
        <v>1636274</v>
      </c>
      <c r="AI333" s="402">
        <v>182034338</v>
      </c>
      <c r="AJ333" s="328">
        <v>0</v>
      </c>
      <c r="AK333" s="328">
        <v>62</v>
      </c>
      <c r="AL333" s="328">
        <v>10</v>
      </c>
      <c r="AM333" s="328">
        <v>72</v>
      </c>
      <c r="AN333" s="328">
        <v>39</v>
      </c>
      <c r="AO333" s="328">
        <v>2412042</v>
      </c>
    </row>
    <row r="334" spans="1:41" ht="15.75">
      <c r="A334" s="333">
        <v>328</v>
      </c>
      <c r="B334" s="4" t="s">
        <v>161</v>
      </c>
      <c r="C334" s="402">
        <v>100015358</v>
      </c>
      <c r="D334" s="328">
        <v>5087</v>
      </c>
      <c r="E334" s="328">
        <v>62</v>
      </c>
      <c r="F334" s="328">
        <v>0</v>
      </c>
      <c r="G334" s="328">
        <v>26</v>
      </c>
      <c r="H334" s="328">
        <v>36</v>
      </c>
      <c r="I334" s="328">
        <v>0</v>
      </c>
      <c r="J334" s="328">
        <v>10</v>
      </c>
      <c r="K334" s="333">
        <v>10</v>
      </c>
      <c r="L334" s="333"/>
      <c r="N334" s="402">
        <v>100015358</v>
      </c>
      <c r="O334" s="328">
        <v>0</v>
      </c>
      <c r="P334" s="328">
        <v>26</v>
      </c>
      <c r="Q334" s="328">
        <v>36</v>
      </c>
      <c r="R334" s="328">
        <v>62</v>
      </c>
      <c r="S334" s="333">
        <v>1014936</v>
      </c>
      <c r="T334" s="4">
        <v>1.28</v>
      </c>
      <c r="U334" s="165">
        <f>VLOOKUP(N334,'[2]154'!$C$9:$T$554,18,0)</f>
        <v>62</v>
      </c>
      <c r="V334" s="402">
        <v>100015358</v>
      </c>
      <c r="W334" s="407">
        <v>10</v>
      </c>
      <c r="X334" s="405">
        <v>23397.200000000001</v>
      </c>
      <c r="Y334" s="407">
        <v>233972</v>
      </c>
      <c r="AA334" s="402">
        <v>100015358</v>
      </c>
      <c r="AB334" s="328">
        <v>0</v>
      </c>
      <c r="AC334" s="328">
        <v>26</v>
      </c>
      <c r="AD334" s="328">
        <v>36</v>
      </c>
      <c r="AE334" s="328">
        <v>62</v>
      </c>
      <c r="AF334" s="328">
        <v>42</v>
      </c>
      <c r="AG334" s="328">
        <v>389753</v>
      </c>
      <c r="AI334" s="402">
        <v>100015358</v>
      </c>
      <c r="AJ334" s="328">
        <v>0</v>
      </c>
      <c r="AK334" s="328">
        <v>26</v>
      </c>
      <c r="AL334" s="328">
        <v>36</v>
      </c>
      <c r="AM334" s="328">
        <v>62</v>
      </c>
      <c r="AN334" s="328">
        <v>42</v>
      </c>
      <c r="AO334" s="328">
        <v>625183</v>
      </c>
    </row>
    <row r="335" spans="1:41" ht="15.75">
      <c r="A335" s="333">
        <v>329</v>
      </c>
      <c r="B335" s="4" t="s">
        <v>161</v>
      </c>
      <c r="C335" s="402">
        <v>100022090</v>
      </c>
      <c r="D335" s="328">
        <v>6032</v>
      </c>
      <c r="E335" s="328">
        <v>335</v>
      </c>
      <c r="F335" s="328">
        <v>0</v>
      </c>
      <c r="G335" s="328">
        <v>0</v>
      </c>
      <c r="H335" s="328">
        <v>335</v>
      </c>
      <c r="I335" s="328">
        <v>0</v>
      </c>
      <c r="J335" s="328">
        <v>1</v>
      </c>
      <c r="K335" s="333">
        <v>1</v>
      </c>
      <c r="L335" s="333"/>
      <c r="N335" s="402">
        <v>100022090</v>
      </c>
      <c r="O335" s="328">
        <v>0</v>
      </c>
      <c r="P335" s="328">
        <v>0</v>
      </c>
      <c r="Q335" s="328">
        <v>335</v>
      </c>
      <c r="R335" s="328">
        <v>335</v>
      </c>
      <c r="S335" s="333">
        <v>13397741</v>
      </c>
      <c r="T335" s="4">
        <v>2.2599999999999998</v>
      </c>
      <c r="U335" s="165">
        <f>VLOOKUP(N335,'[2]154'!$C$9:$T$554,18,0)</f>
        <v>335</v>
      </c>
      <c r="V335" s="402">
        <v>100022090</v>
      </c>
      <c r="W335" s="407">
        <v>1</v>
      </c>
      <c r="X335" s="405">
        <v>43429</v>
      </c>
      <c r="Y335" s="407">
        <v>43429</v>
      </c>
      <c r="AA335" s="402">
        <v>100022090</v>
      </c>
      <c r="AB335" s="328">
        <v>0</v>
      </c>
      <c r="AC335" s="328">
        <v>0</v>
      </c>
      <c r="AD335" s="328">
        <v>335</v>
      </c>
      <c r="AE335" s="328">
        <v>335</v>
      </c>
      <c r="AF335" s="328">
        <v>268</v>
      </c>
      <c r="AG335" s="328">
        <v>4746125</v>
      </c>
      <c r="AI335" s="402">
        <v>100022090</v>
      </c>
      <c r="AJ335" s="328">
        <v>0</v>
      </c>
      <c r="AK335" s="328">
        <v>0</v>
      </c>
      <c r="AL335" s="328">
        <v>335</v>
      </c>
      <c r="AM335" s="328">
        <v>335</v>
      </c>
      <c r="AN335" s="328">
        <v>268</v>
      </c>
      <c r="AO335" s="328">
        <v>8651616</v>
      </c>
    </row>
    <row r="336" spans="1:41" ht="15.75">
      <c r="A336" s="333">
        <v>330</v>
      </c>
      <c r="B336" s="4" t="s">
        <v>108</v>
      </c>
      <c r="C336" s="402">
        <v>182034820</v>
      </c>
      <c r="D336" s="328">
        <v>11390</v>
      </c>
      <c r="E336" s="328">
        <v>1094</v>
      </c>
      <c r="F336" s="328">
        <v>0</v>
      </c>
      <c r="G336" s="328">
        <v>408</v>
      </c>
      <c r="H336" s="328">
        <v>686</v>
      </c>
      <c r="I336" s="328">
        <v>2344</v>
      </c>
      <c r="J336" s="328">
        <v>0</v>
      </c>
      <c r="K336" s="333">
        <v>2344</v>
      </c>
      <c r="L336" s="333"/>
      <c r="N336" s="402">
        <v>182034820</v>
      </c>
      <c r="O336" s="328">
        <v>0</v>
      </c>
      <c r="P336" s="328">
        <v>408</v>
      </c>
      <c r="Q336" s="328">
        <v>686</v>
      </c>
      <c r="R336" s="328">
        <v>1094</v>
      </c>
      <c r="S336" s="333">
        <v>36737174</v>
      </c>
      <c r="T336" s="4">
        <v>2.46</v>
      </c>
      <c r="U336" s="165">
        <f>VLOOKUP(N336,'[2]154'!$C$9:$T$554,18,0)</f>
        <v>1094</v>
      </c>
      <c r="V336" s="402">
        <v>182034820</v>
      </c>
      <c r="W336" s="407">
        <v>2344</v>
      </c>
      <c r="X336" s="405">
        <v>48787.747013651875</v>
      </c>
      <c r="Y336" s="407">
        <v>114358479</v>
      </c>
      <c r="AA336" s="402">
        <v>182034820</v>
      </c>
      <c r="AB336" s="328">
        <v>0</v>
      </c>
      <c r="AC336" s="328">
        <v>408</v>
      </c>
      <c r="AD336" s="328">
        <v>686</v>
      </c>
      <c r="AE336" s="328">
        <v>1094</v>
      </c>
      <c r="AF336" s="328">
        <v>753</v>
      </c>
      <c r="AG336" s="328">
        <v>13198833</v>
      </c>
      <c r="AI336" s="402">
        <v>182034820</v>
      </c>
      <c r="AJ336" s="328">
        <v>0</v>
      </c>
      <c r="AK336" s="328">
        <v>408</v>
      </c>
      <c r="AL336" s="328">
        <v>686</v>
      </c>
      <c r="AM336" s="328">
        <v>1094</v>
      </c>
      <c r="AN336" s="328">
        <v>753</v>
      </c>
      <c r="AO336" s="328">
        <v>23538341</v>
      </c>
    </row>
    <row r="337" spans="1:41" ht="15.75">
      <c r="A337" s="333">
        <v>331</v>
      </c>
      <c r="B337" s="169" t="s">
        <v>105</v>
      </c>
      <c r="C337" s="402">
        <v>457223</v>
      </c>
      <c r="D337" s="328">
        <v>10595</v>
      </c>
      <c r="E337" s="328">
        <v>314</v>
      </c>
      <c r="F337" s="328">
        <v>0</v>
      </c>
      <c r="G337" s="328">
        <v>212</v>
      </c>
      <c r="H337" s="328">
        <v>102</v>
      </c>
      <c r="I337" s="328">
        <v>0</v>
      </c>
      <c r="J337" s="328">
        <v>107</v>
      </c>
      <c r="K337" s="333">
        <v>107</v>
      </c>
      <c r="L337" s="333"/>
      <c r="N337" s="402">
        <v>457223</v>
      </c>
      <c r="O337" s="328">
        <v>0</v>
      </c>
      <c r="P337" s="328">
        <v>212</v>
      </c>
      <c r="Q337" s="328">
        <v>102</v>
      </c>
      <c r="R337" s="328">
        <v>314</v>
      </c>
      <c r="S337" s="333">
        <v>6975303</v>
      </c>
      <c r="T337" s="4">
        <v>1.85</v>
      </c>
      <c r="U337" s="165">
        <f>VLOOKUP(N337,'[2]154'!$C$9:$T$554,18,0)</f>
        <v>314</v>
      </c>
      <c r="V337" s="402">
        <v>457223</v>
      </c>
      <c r="W337" s="407">
        <v>107</v>
      </c>
      <c r="X337" s="405">
        <v>36869</v>
      </c>
      <c r="Y337" s="407">
        <v>3944983</v>
      </c>
      <c r="AA337" s="402">
        <v>457223</v>
      </c>
      <c r="AB337" s="328">
        <v>0</v>
      </c>
      <c r="AC337" s="328">
        <v>212</v>
      </c>
      <c r="AD337" s="328">
        <v>102</v>
      </c>
      <c r="AE337" s="328">
        <v>314</v>
      </c>
      <c r="AF337" s="328">
        <v>188</v>
      </c>
      <c r="AG337" s="328">
        <v>2819322</v>
      </c>
      <c r="AI337" s="402">
        <v>457223</v>
      </c>
      <c r="AJ337" s="328">
        <v>0</v>
      </c>
      <c r="AK337" s="328">
        <v>212</v>
      </c>
      <c r="AL337" s="328">
        <v>102</v>
      </c>
      <c r="AM337" s="328">
        <v>314</v>
      </c>
      <c r="AN337" s="328">
        <v>188</v>
      </c>
      <c r="AO337" s="328">
        <v>4155981</v>
      </c>
    </row>
    <row r="338" spans="1:41" ht="15.75">
      <c r="A338" s="333">
        <v>332</v>
      </c>
      <c r="B338" s="169" t="s">
        <v>105</v>
      </c>
      <c r="C338" s="402">
        <v>461186</v>
      </c>
      <c r="D338" s="328">
        <v>4721</v>
      </c>
      <c r="E338" s="328">
        <v>227</v>
      </c>
      <c r="F338" s="328">
        <v>0</v>
      </c>
      <c r="G338" s="328">
        <v>142</v>
      </c>
      <c r="H338" s="328">
        <v>85</v>
      </c>
      <c r="I338" s="328">
        <v>0</v>
      </c>
      <c r="J338" s="328">
        <v>50</v>
      </c>
      <c r="K338" s="333">
        <v>50</v>
      </c>
      <c r="L338" s="333"/>
      <c r="N338" s="402">
        <v>461186</v>
      </c>
      <c r="O338" s="328">
        <v>0</v>
      </c>
      <c r="P338" s="328">
        <v>142</v>
      </c>
      <c r="Q338" s="328">
        <v>85</v>
      </c>
      <c r="R338" s="328">
        <v>227</v>
      </c>
      <c r="S338" s="333">
        <v>11859942</v>
      </c>
      <c r="T338" s="4">
        <v>3.15</v>
      </c>
      <c r="U338" s="165">
        <f>VLOOKUP(N338,'[2]154'!$C$9:$T$554,18,0)</f>
        <v>227</v>
      </c>
      <c r="V338" s="402">
        <v>461186</v>
      </c>
      <c r="W338" s="407">
        <v>50</v>
      </c>
      <c r="X338" s="405">
        <v>62082.46</v>
      </c>
      <c r="Y338" s="407">
        <v>3104123</v>
      </c>
      <c r="AA338" s="402">
        <v>461186</v>
      </c>
      <c r="AB338" s="328">
        <v>0</v>
      </c>
      <c r="AC338" s="328">
        <v>142</v>
      </c>
      <c r="AD338" s="328">
        <v>85</v>
      </c>
      <c r="AE338" s="328">
        <v>227</v>
      </c>
      <c r="AF338" s="328">
        <v>139</v>
      </c>
      <c r="AG338" s="328">
        <v>3527141</v>
      </c>
      <c r="AI338" s="402">
        <v>461186</v>
      </c>
      <c r="AJ338" s="328">
        <v>0</v>
      </c>
      <c r="AK338" s="328">
        <v>142</v>
      </c>
      <c r="AL338" s="328">
        <v>85</v>
      </c>
      <c r="AM338" s="328">
        <v>227</v>
      </c>
      <c r="AN338" s="328">
        <v>139</v>
      </c>
      <c r="AO338" s="328">
        <v>8332801</v>
      </c>
    </row>
    <row r="339" spans="1:41" ht="15.75">
      <c r="A339" s="333">
        <v>333</v>
      </c>
      <c r="B339" s="169" t="s">
        <v>105</v>
      </c>
      <c r="C339" s="402">
        <v>461795</v>
      </c>
      <c r="D339" s="328">
        <v>12770</v>
      </c>
      <c r="E339" s="328">
        <v>735</v>
      </c>
      <c r="F339" s="328">
        <v>0</v>
      </c>
      <c r="G339" s="328">
        <v>314</v>
      </c>
      <c r="H339" s="328">
        <v>421</v>
      </c>
      <c r="I339" s="328">
        <v>0</v>
      </c>
      <c r="J339" s="328">
        <v>222</v>
      </c>
      <c r="K339" s="333">
        <v>222</v>
      </c>
      <c r="L339" s="333"/>
      <c r="N339" s="402">
        <v>461795</v>
      </c>
      <c r="O339" s="328">
        <v>0</v>
      </c>
      <c r="P339" s="328">
        <v>314</v>
      </c>
      <c r="Q339" s="328">
        <v>421</v>
      </c>
      <c r="R339" s="328">
        <v>735</v>
      </c>
      <c r="S339" s="333">
        <v>18260129</v>
      </c>
      <c r="T339" s="4">
        <v>1.85</v>
      </c>
      <c r="U339" s="165">
        <f>VLOOKUP(N339,'[2]154'!$C$9:$T$554,18,0)</f>
        <v>735</v>
      </c>
      <c r="V339" s="402">
        <v>461795</v>
      </c>
      <c r="W339" s="407">
        <v>222</v>
      </c>
      <c r="X339" s="405">
        <v>36871.166666666664</v>
      </c>
      <c r="Y339" s="407">
        <v>8185399</v>
      </c>
      <c r="AA339" s="402">
        <v>461795</v>
      </c>
      <c r="AB339" s="328">
        <v>0</v>
      </c>
      <c r="AC339" s="328">
        <v>314</v>
      </c>
      <c r="AD339" s="328">
        <v>421</v>
      </c>
      <c r="AE339" s="328">
        <v>735</v>
      </c>
      <c r="AF339" s="328">
        <v>494</v>
      </c>
      <c r="AG339" s="328">
        <v>7380494</v>
      </c>
      <c r="AI339" s="402">
        <v>461795</v>
      </c>
      <c r="AJ339" s="328">
        <v>0</v>
      </c>
      <c r="AK339" s="328">
        <v>314</v>
      </c>
      <c r="AL339" s="328">
        <v>421</v>
      </c>
      <c r="AM339" s="328">
        <v>735</v>
      </c>
      <c r="AN339" s="328">
        <v>494</v>
      </c>
      <c r="AO339" s="328">
        <v>10879635</v>
      </c>
    </row>
    <row r="340" spans="1:41" ht="15.75">
      <c r="A340" s="333">
        <v>334</v>
      </c>
      <c r="B340" s="169" t="s">
        <v>105</v>
      </c>
      <c r="C340" s="402">
        <v>463022</v>
      </c>
      <c r="D340" s="328">
        <v>3150</v>
      </c>
      <c r="E340" s="328">
        <v>124</v>
      </c>
      <c r="F340" s="328">
        <v>0</v>
      </c>
      <c r="G340" s="328">
        <v>0</v>
      </c>
      <c r="H340" s="328">
        <v>124</v>
      </c>
      <c r="I340" s="328">
        <v>0</v>
      </c>
      <c r="J340" s="328">
        <v>0</v>
      </c>
      <c r="K340" s="333">
        <v>0</v>
      </c>
      <c r="L340" s="333"/>
      <c r="N340" s="402">
        <v>463022</v>
      </c>
      <c r="O340" s="328">
        <v>0</v>
      </c>
      <c r="P340" s="328">
        <v>0</v>
      </c>
      <c r="Q340" s="328">
        <v>124</v>
      </c>
      <c r="R340" s="328">
        <v>124</v>
      </c>
      <c r="S340" s="333">
        <v>4177841</v>
      </c>
      <c r="T340" s="4">
        <v>1.85</v>
      </c>
      <c r="U340" s="165">
        <f>VLOOKUP(N340,'[2]154'!$C$9:$T$554,18,0)</f>
        <v>124</v>
      </c>
      <c r="V340" s="402">
        <v>463022</v>
      </c>
      <c r="W340" s="407">
        <v>0</v>
      </c>
      <c r="X340" s="405">
        <v>0</v>
      </c>
      <c r="Y340" s="407">
        <v>0</v>
      </c>
      <c r="AA340" s="402">
        <v>463022</v>
      </c>
      <c r="AB340" s="328">
        <v>0</v>
      </c>
      <c r="AC340" s="328">
        <v>0</v>
      </c>
      <c r="AD340" s="328">
        <v>124</v>
      </c>
      <c r="AE340" s="328">
        <v>124</v>
      </c>
      <c r="AF340" s="328">
        <v>99</v>
      </c>
      <c r="AG340" s="328">
        <v>1475382</v>
      </c>
      <c r="AI340" s="402">
        <v>463022</v>
      </c>
      <c r="AJ340" s="328">
        <v>0</v>
      </c>
      <c r="AK340" s="328">
        <v>0</v>
      </c>
      <c r="AL340" s="328">
        <v>124</v>
      </c>
      <c r="AM340" s="328">
        <v>124</v>
      </c>
      <c r="AN340" s="328">
        <v>99</v>
      </c>
      <c r="AO340" s="328">
        <v>2702459</v>
      </c>
    </row>
    <row r="341" spans="1:41" ht="15.75">
      <c r="A341" s="333">
        <v>335</v>
      </c>
      <c r="B341" s="169" t="s">
        <v>105</v>
      </c>
      <c r="C341" s="402">
        <v>463024</v>
      </c>
      <c r="D341" s="328">
        <v>6277</v>
      </c>
      <c r="E341" s="328">
        <v>183</v>
      </c>
      <c r="F341" s="328">
        <v>0</v>
      </c>
      <c r="G341" s="328">
        <v>72</v>
      </c>
      <c r="H341" s="328">
        <v>111</v>
      </c>
      <c r="I341" s="328">
        <v>0</v>
      </c>
      <c r="J341" s="328">
        <v>0</v>
      </c>
      <c r="K341" s="333">
        <v>0</v>
      </c>
      <c r="L341" s="333"/>
      <c r="N341" s="402">
        <v>463024</v>
      </c>
      <c r="O341" s="328">
        <v>0</v>
      </c>
      <c r="P341" s="328">
        <v>72</v>
      </c>
      <c r="Q341" s="328">
        <v>111</v>
      </c>
      <c r="R341" s="328">
        <v>183</v>
      </c>
      <c r="S341" s="333">
        <v>5387590</v>
      </c>
      <c r="T341" s="4">
        <v>1.85</v>
      </c>
      <c r="U341" s="165">
        <f>VLOOKUP(N341,'[2]154'!$C$9:$T$554,18,0)</f>
        <v>183</v>
      </c>
      <c r="V341" s="402">
        <v>463024</v>
      </c>
      <c r="W341" s="407">
        <v>0</v>
      </c>
      <c r="X341" s="405">
        <v>0</v>
      </c>
      <c r="Y341" s="407">
        <v>0</v>
      </c>
      <c r="AA341" s="402">
        <v>463024</v>
      </c>
      <c r="AB341" s="328">
        <v>0</v>
      </c>
      <c r="AC341" s="328">
        <v>72</v>
      </c>
      <c r="AD341" s="328">
        <v>111</v>
      </c>
      <c r="AE341" s="328">
        <v>183</v>
      </c>
      <c r="AF341" s="328">
        <v>125</v>
      </c>
      <c r="AG341" s="328">
        <v>2700282</v>
      </c>
      <c r="AI341" s="402">
        <v>463024</v>
      </c>
      <c r="AJ341" s="328">
        <v>0</v>
      </c>
      <c r="AK341" s="328">
        <v>72</v>
      </c>
      <c r="AL341" s="328">
        <v>111</v>
      </c>
      <c r="AM341" s="328">
        <v>183</v>
      </c>
      <c r="AN341" s="328">
        <v>125</v>
      </c>
      <c r="AO341" s="328">
        <v>2687308</v>
      </c>
    </row>
    <row r="342" spans="1:41" ht="15.75">
      <c r="A342" s="333">
        <v>336</v>
      </c>
      <c r="B342" s="169" t="s">
        <v>105</v>
      </c>
      <c r="C342" s="402">
        <v>463029</v>
      </c>
      <c r="D342" s="328">
        <v>6421</v>
      </c>
      <c r="E342" s="328">
        <v>87</v>
      </c>
      <c r="F342" s="328">
        <v>0</v>
      </c>
      <c r="G342" s="328">
        <v>23</v>
      </c>
      <c r="H342" s="328">
        <v>64</v>
      </c>
      <c r="I342" s="328">
        <v>0</v>
      </c>
      <c r="J342" s="328">
        <v>120</v>
      </c>
      <c r="K342" s="333">
        <v>120</v>
      </c>
      <c r="L342" s="333"/>
      <c r="N342" s="402">
        <v>463029</v>
      </c>
      <c r="O342" s="328">
        <v>0</v>
      </c>
      <c r="P342" s="328">
        <v>23</v>
      </c>
      <c r="Q342" s="328">
        <v>64</v>
      </c>
      <c r="R342" s="328">
        <v>87</v>
      </c>
      <c r="S342" s="333">
        <v>2675709</v>
      </c>
      <c r="T342" s="4">
        <v>1.85</v>
      </c>
      <c r="U342" s="165">
        <f>VLOOKUP(N342,'[2]154'!$C$9:$T$554,18,0)</f>
        <v>87</v>
      </c>
      <c r="V342" s="402">
        <v>463029</v>
      </c>
      <c r="W342" s="407">
        <v>120</v>
      </c>
      <c r="X342" s="405">
        <v>36809.125</v>
      </c>
      <c r="Y342" s="407">
        <v>4417095</v>
      </c>
      <c r="AA342" s="402">
        <v>463029</v>
      </c>
      <c r="AB342" s="328">
        <v>0</v>
      </c>
      <c r="AC342" s="328">
        <v>23</v>
      </c>
      <c r="AD342" s="328">
        <v>64</v>
      </c>
      <c r="AE342" s="328">
        <v>87</v>
      </c>
      <c r="AF342" s="328">
        <v>63</v>
      </c>
      <c r="AG342" s="328">
        <v>1291701</v>
      </c>
      <c r="AI342" s="402">
        <v>463029</v>
      </c>
      <c r="AJ342" s="328">
        <v>0</v>
      </c>
      <c r="AK342" s="328">
        <v>23</v>
      </c>
      <c r="AL342" s="328">
        <v>64</v>
      </c>
      <c r="AM342" s="328">
        <v>87</v>
      </c>
      <c r="AN342" s="328">
        <v>63</v>
      </c>
      <c r="AO342" s="328">
        <v>1384008</v>
      </c>
    </row>
    <row r="343" spans="1:41" ht="15.75">
      <c r="A343" s="333">
        <v>337</v>
      </c>
      <c r="B343" s="169" t="s">
        <v>105</v>
      </c>
      <c r="C343" s="402">
        <v>463030</v>
      </c>
      <c r="D343" s="328">
        <v>3719</v>
      </c>
      <c r="E343" s="328">
        <v>164</v>
      </c>
      <c r="F343" s="328">
        <v>0</v>
      </c>
      <c r="G343" s="328">
        <v>101</v>
      </c>
      <c r="H343" s="328">
        <v>63</v>
      </c>
      <c r="I343" s="328">
        <v>0</v>
      </c>
      <c r="J343" s="328">
        <v>20</v>
      </c>
      <c r="K343" s="333">
        <v>20</v>
      </c>
      <c r="L343" s="333"/>
      <c r="N343" s="402">
        <v>463030</v>
      </c>
      <c r="O343" s="328">
        <v>0</v>
      </c>
      <c r="P343" s="328">
        <v>101</v>
      </c>
      <c r="Q343" s="328">
        <v>63</v>
      </c>
      <c r="R343" s="328">
        <v>164</v>
      </c>
      <c r="S343" s="333">
        <v>4621470</v>
      </c>
      <c r="T343" s="4">
        <v>1.85</v>
      </c>
      <c r="U343" s="165">
        <f>VLOOKUP(N343,'[2]154'!$C$9:$T$554,18,0)</f>
        <v>164</v>
      </c>
      <c r="V343" s="402">
        <v>463030</v>
      </c>
      <c r="W343" s="407">
        <v>20</v>
      </c>
      <c r="X343" s="405">
        <v>36595.050000000003</v>
      </c>
      <c r="Y343" s="407">
        <v>731901</v>
      </c>
      <c r="AA343" s="402">
        <v>463030</v>
      </c>
      <c r="AB343" s="328">
        <v>0</v>
      </c>
      <c r="AC343" s="328">
        <v>101</v>
      </c>
      <c r="AD343" s="328">
        <v>63</v>
      </c>
      <c r="AE343" s="328">
        <v>164</v>
      </c>
      <c r="AF343" s="328">
        <v>101</v>
      </c>
      <c r="AG343" s="328">
        <v>2402664</v>
      </c>
      <c r="AI343" s="402">
        <v>463030</v>
      </c>
      <c r="AJ343" s="328">
        <v>0</v>
      </c>
      <c r="AK343" s="328">
        <v>101</v>
      </c>
      <c r="AL343" s="328">
        <v>63</v>
      </c>
      <c r="AM343" s="328">
        <v>164</v>
      </c>
      <c r="AN343" s="328">
        <v>101</v>
      </c>
      <c r="AO343" s="328">
        <v>2218806</v>
      </c>
    </row>
    <row r="344" spans="1:41" ht="15.75">
      <c r="A344" s="333">
        <v>338</v>
      </c>
      <c r="B344" s="169" t="s">
        <v>105</v>
      </c>
      <c r="C344" s="402">
        <v>466459</v>
      </c>
      <c r="D344" s="328">
        <v>2985</v>
      </c>
      <c r="E344" s="328">
        <v>259</v>
      </c>
      <c r="F344" s="328">
        <v>0</v>
      </c>
      <c r="G344" s="328">
        <v>13</v>
      </c>
      <c r="H344" s="328">
        <v>246</v>
      </c>
      <c r="I344" s="328">
        <v>0</v>
      </c>
      <c r="J344" s="328">
        <v>43</v>
      </c>
      <c r="K344" s="333">
        <v>43</v>
      </c>
      <c r="L344" s="333"/>
      <c r="N344" s="402">
        <v>466459</v>
      </c>
      <c r="O344" s="328">
        <v>0</v>
      </c>
      <c r="P344" s="328">
        <v>13</v>
      </c>
      <c r="Q344" s="328">
        <v>246</v>
      </c>
      <c r="R344" s="328">
        <v>259</v>
      </c>
      <c r="S344" s="333">
        <v>12744489</v>
      </c>
      <c r="T344" s="4">
        <v>3.15</v>
      </c>
      <c r="U344" s="165">
        <f>VLOOKUP(N344,'[2]154'!$C$9:$T$554,18,0)</f>
        <v>259</v>
      </c>
      <c r="V344" s="402">
        <v>466459</v>
      </c>
      <c r="W344" s="407">
        <v>43</v>
      </c>
      <c r="X344" s="405">
        <v>62727.325581395351</v>
      </c>
      <c r="Y344" s="407">
        <v>2697275</v>
      </c>
      <c r="AA344" s="402">
        <v>466459</v>
      </c>
      <c r="AB344" s="328">
        <v>0</v>
      </c>
      <c r="AC344" s="328">
        <v>13</v>
      </c>
      <c r="AD344" s="328">
        <v>246</v>
      </c>
      <c r="AE344" s="328">
        <v>259</v>
      </c>
      <c r="AF344" s="328">
        <v>203</v>
      </c>
      <c r="AG344" s="328">
        <v>5151148</v>
      </c>
      <c r="AI344" s="402">
        <v>466459</v>
      </c>
      <c r="AJ344" s="328">
        <v>0</v>
      </c>
      <c r="AK344" s="328">
        <v>13</v>
      </c>
      <c r="AL344" s="328">
        <v>246</v>
      </c>
      <c r="AM344" s="328">
        <v>259</v>
      </c>
      <c r="AN344" s="328">
        <v>203</v>
      </c>
      <c r="AO344" s="328">
        <v>7593341</v>
      </c>
    </row>
    <row r="345" spans="1:41" ht="15.75">
      <c r="A345" s="333">
        <v>339</v>
      </c>
      <c r="B345" s="169" t="s">
        <v>105</v>
      </c>
      <c r="C345" s="402">
        <v>467476</v>
      </c>
      <c r="D345" s="328">
        <v>19251</v>
      </c>
      <c r="E345" s="328">
        <v>1054</v>
      </c>
      <c r="F345" s="328">
        <v>0</v>
      </c>
      <c r="G345" s="328">
        <v>512</v>
      </c>
      <c r="H345" s="328">
        <v>542</v>
      </c>
      <c r="I345" s="328">
        <v>0</v>
      </c>
      <c r="J345" s="328">
        <v>316</v>
      </c>
      <c r="K345" s="333">
        <v>316</v>
      </c>
      <c r="L345" s="333"/>
      <c r="N345" s="402">
        <v>467476</v>
      </c>
      <c r="O345" s="328">
        <v>0</v>
      </c>
      <c r="P345" s="328">
        <v>512</v>
      </c>
      <c r="Q345" s="328">
        <v>542</v>
      </c>
      <c r="R345" s="328">
        <v>1054</v>
      </c>
      <c r="S345" s="333">
        <v>23727739</v>
      </c>
      <c r="T345" s="4">
        <v>1.73</v>
      </c>
      <c r="U345" s="165">
        <f>VLOOKUP(N345,'[2]154'!$C$9:$T$554,18,0)</f>
        <v>1054</v>
      </c>
      <c r="V345" s="402">
        <v>467476</v>
      </c>
      <c r="W345" s="407">
        <v>316</v>
      </c>
      <c r="X345" s="405">
        <v>34418.541139240508</v>
      </c>
      <c r="Y345" s="407">
        <v>10876259</v>
      </c>
      <c r="AA345" s="402">
        <v>467476</v>
      </c>
      <c r="AB345" s="328">
        <v>0</v>
      </c>
      <c r="AC345" s="328">
        <v>512</v>
      </c>
      <c r="AD345" s="328">
        <v>542</v>
      </c>
      <c r="AE345" s="328">
        <v>1054</v>
      </c>
      <c r="AF345" s="328">
        <v>690</v>
      </c>
      <c r="AG345" s="328">
        <v>9016182</v>
      </c>
      <c r="AI345" s="402">
        <v>467476</v>
      </c>
      <c r="AJ345" s="328">
        <v>0</v>
      </c>
      <c r="AK345" s="328">
        <v>512</v>
      </c>
      <c r="AL345" s="328">
        <v>542</v>
      </c>
      <c r="AM345" s="328">
        <v>1054</v>
      </c>
      <c r="AN345" s="328">
        <v>690</v>
      </c>
      <c r="AO345" s="328">
        <v>14711557</v>
      </c>
    </row>
    <row r="346" spans="1:41" ht="15.75">
      <c r="A346" s="333">
        <v>340</v>
      </c>
      <c r="B346" s="169" t="s">
        <v>105</v>
      </c>
      <c r="C346" s="402">
        <v>468585</v>
      </c>
      <c r="D346" s="328">
        <v>14189</v>
      </c>
      <c r="E346" s="328">
        <v>1931</v>
      </c>
      <c r="F346" s="328">
        <v>0</v>
      </c>
      <c r="G346" s="328">
        <v>640</v>
      </c>
      <c r="H346" s="328">
        <v>1291</v>
      </c>
      <c r="I346" s="328">
        <v>0</v>
      </c>
      <c r="J346" s="328">
        <v>177</v>
      </c>
      <c r="K346" s="333">
        <v>177</v>
      </c>
      <c r="L346" s="333"/>
      <c r="N346" s="402">
        <v>468585</v>
      </c>
      <c r="O346" s="328">
        <v>0</v>
      </c>
      <c r="P346" s="328">
        <v>640</v>
      </c>
      <c r="Q346" s="328">
        <v>1291</v>
      </c>
      <c r="R346" s="328">
        <v>1931</v>
      </c>
      <c r="S346" s="333">
        <v>54029356</v>
      </c>
      <c r="T346" s="4">
        <v>2</v>
      </c>
      <c r="U346" s="165">
        <f>VLOOKUP(N346,'[2]154'!$C$9:$T$554,18,0)</f>
        <v>1931</v>
      </c>
      <c r="V346" s="402">
        <v>468585</v>
      </c>
      <c r="W346" s="407">
        <v>177</v>
      </c>
      <c r="X346" s="405">
        <v>39860.785310734464</v>
      </c>
      <c r="Y346" s="407">
        <v>7055359</v>
      </c>
      <c r="AA346" s="402">
        <v>468585</v>
      </c>
      <c r="AB346" s="328">
        <v>0</v>
      </c>
      <c r="AC346" s="328">
        <v>640</v>
      </c>
      <c r="AD346" s="328">
        <v>1291</v>
      </c>
      <c r="AE346" s="328">
        <v>1931</v>
      </c>
      <c r="AF346" s="328">
        <v>1353</v>
      </c>
      <c r="AG346" s="328">
        <v>21837926</v>
      </c>
      <c r="AI346" s="402">
        <v>468585</v>
      </c>
      <c r="AJ346" s="328">
        <v>0</v>
      </c>
      <c r="AK346" s="328">
        <v>640</v>
      </c>
      <c r="AL346" s="328">
        <v>1291</v>
      </c>
      <c r="AM346" s="328">
        <v>1931</v>
      </c>
      <c r="AN346" s="328">
        <v>1353</v>
      </c>
      <c r="AO346" s="328">
        <v>32191430</v>
      </c>
    </row>
    <row r="347" spans="1:41" ht="15.75">
      <c r="A347" s="333">
        <v>341</v>
      </c>
      <c r="B347" s="169" t="s">
        <v>105</v>
      </c>
      <c r="C347" s="402">
        <v>471857</v>
      </c>
      <c r="D347" s="328">
        <v>4690</v>
      </c>
      <c r="E347" s="328">
        <v>128</v>
      </c>
      <c r="F347" s="328">
        <v>0</v>
      </c>
      <c r="G347" s="328">
        <v>33</v>
      </c>
      <c r="H347" s="328">
        <v>95</v>
      </c>
      <c r="I347" s="328">
        <v>0</v>
      </c>
      <c r="J347" s="328">
        <v>0</v>
      </c>
      <c r="K347" s="333">
        <v>0</v>
      </c>
      <c r="L347" s="333"/>
      <c r="N347" s="402">
        <v>471857</v>
      </c>
      <c r="O347" s="328">
        <v>0</v>
      </c>
      <c r="P347" s="328">
        <v>33</v>
      </c>
      <c r="Q347" s="328">
        <v>95</v>
      </c>
      <c r="R347" s="328">
        <v>128</v>
      </c>
      <c r="S347" s="333">
        <v>4336013</v>
      </c>
      <c r="T347" s="4">
        <v>2.35</v>
      </c>
      <c r="U347" s="165">
        <f>VLOOKUP(N347,'[2]154'!$C$9:$T$554,18,0)</f>
        <v>128</v>
      </c>
      <c r="V347" s="402">
        <v>471857</v>
      </c>
      <c r="W347" s="407">
        <v>0</v>
      </c>
      <c r="X347" s="405">
        <v>0</v>
      </c>
      <c r="Y347" s="407">
        <v>0</v>
      </c>
      <c r="AA347" s="402">
        <v>471857</v>
      </c>
      <c r="AB347" s="328">
        <v>0</v>
      </c>
      <c r="AC347" s="328">
        <v>33</v>
      </c>
      <c r="AD347" s="328">
        <v>95</v>
      </c>
      <c r="AE347" s="328">
        <v>128</v>
      </c>
      <c r="AF347" s="328">
        <v>93</v>
      </c>
      <c r="AG347" s="328">
        <v>1572787</v>
      </c>
      <c r="AI347" s="402">
        <v>471857</v>
      </c>
      <c r="AJ347" s="328">
        <v>0</v>
      </c>
      <c r="AK347" s="328">
        <v>33</v>
      </c>
      <c r="AL347" s="328">
        <v>95</v>
      </c>
      <c r="AM347" s="328">
        <v>128</v>
      </c>
      <c r="AN347" s="328">
        <v>93</v>
      </c>
      <c r="AO347" s="328">
        <v>2763226</v>
      </c>
    </row>
    <row r="348" spans="1:41" ht="15.75">
      <c r="A348" s="333">
        <v>342</v>
      </c>
      <c r="B348" s="169" t="s">
        <v>106</v>
      </c>
      <c r="C348" s="399" t="s">
        <v>283</v>
      </c>
      <c r="D348" s="328">
        <v>12498</v>
      </c>
      <c r="E348" s="328">
        <v>1264</v>
      </c>
      <c r="F348" s="328">
        <v>2</v>
      </c>
      <c r="G348" s="328">
        <v>309</v>
      </c>
      <c r="H348" s="328">
        <v>953</v>
      </c>
      <c r="I348" s="328">
        <v>0</v>
      </c>
      <c r="J348" s="328">
        <v>99</v>
      </c>
      <c r="K348" s="333">
        <v>99</v>
      </c>
      <c r="L348" s="333"/>
      <c r="N348" s="399" t="s">
        <v>283</v>
      </c>
      <c r="O348" s="328">
        <v>2</v>
      </c>
      <c r="P348" s="328">
        <v>309</v>
      </c>
      <c r="Q348" s="328">
        <v>953</v>
      </c>
      <c r="R348" s="328">
        <v>1264</v>
      </c>
      <c r="S348" s="328">
        <v>35089518</v>
      </c>
      <c r="T348" s="4">
        <v>2.0099999999999998</v>
      </c>
      <c r="U348" s="165">
        <f>VLOOKUP(N348,'[2]154'!$C$9:$T$554,18,0)</f>
        <v>1264</v>
      </c>
      <c r="V348" s="399" t="s">
        <v>283</v>
      </c>
      <c r="W348" s="407">
        <v>99</v>
      </c>
      <c r="X348" s="405">
        <v>37764.141414141413</v>
      </c>
      <c r="Y348" s="407">
        <v>3738650</v>
      </c>
      <c r="AA348" s="399" t="s">
        <v>283</v>
      </c>
      <c r="AB348" s="328">
        <v>2</v>
      </c>
      <c r="AC348" s="328">
        <v>309</v>
      </c>
      <c r="AD348" s="328">
        <v>953</v>
      </c>
      <c r="AE348" s="328">
        <v>1264</v>
      </c>
      <c r="AF348" s="328">
        <v>917</v>
      </c>
      <c r="AG348" s="328">
        <v>14182703</v>
      </c>
      <c r="AI348" s="399" t="s">
        <v>283</v>
      </c>
      <c r="AJ348" s="328">
        <v>2</v>
      </c>
      <c r="AK348" s="328">
        <v>309</v>
      </c>
      <c r="AL348" s="328">
        <v>953</v>
      </c>
      <c r="AM348" s="328">
        <v>1264</v>
      </c>
      <c r="AN348" s="328">
        <v>917</v>
      </c>
      <c r="AO348" s="328">
        <v>20906815</v>
      </c>
    </row>
    <row r="349" spans="1:41" ht="15.75">
      <c r="A349" s="333">
        <v>343</v>
      </c>
      <c r="B349" s="169" t="s">
        <v>106</v>
      </c>
      <c r="C349" s="399" t="s">
        <v>284</v>
      </c>
      <c r="D349" s="328">
        <v>15421.18</v>
      </c>
      <c r="E349" s="328">
        <v>1081</v>
      </c>
      <c r="F349" s="328">
        <v>0</v>
      </c>
      <c r="G349" s="328">
        <v>349</v>
      </c>
      <c r="H349" s="328">
        <v>732</v>
      </c>
      <c r="I349" s="328">
        <v>0</v>
      </c>
      <c r="J349" s="328">
        <v>0</v>
      </c>
      <c r="K349" s="333">
        <v>0</v>
      </c>
      <c r="L349" s="333"/>
      <c r="N349" s="399" t="s">
        <v>284</v>
      </c>
      <c r="O349" s="328">
        <v>0</v>
      </c>
      <c r="P349" s="328">
        <v>349</v>
      </c>
      <c r="Q349" s="328">
        <v>732</v>
      </c>
      <c r="R349" s="328">
        <v>1081</v>
      </c>
      <c r="S349" s="328">
        <v>31224590</v>
      </c>
      <c r="T349" s="4">
        <v>2.0099999999999998</v>
      </c>
      <c r="U349" s="165">
        <f>VLOOKUP(N349,'[2]154'!$C$9:$T$554,18,0)</f>
        <v>1081</v>
      </c>
      <c r="V349" s="399" t="s">
        <v>284</v>
      </c>
      <c r="W349" s="407">
        <v>0</v>
      </c>
      <c r="X349" s="405">
        <v>0</v>
      </c>
      <c r="Y349" s="407">
        <v>0</v>
      </c>
      <c r="AA349" s="399" t="s">
        <v>284</v>
      </c>
      <c r="AB349" s="328">
        <v>0</v>
      </c>
      <c r="AC349" s="328">
        <v>349</v>
      </c>
      <c r="AD349" s="328">
        <v>732</v>
      </c>
      <c r="AE349" s="328">
        <v>1081</v>
      </c>
      <c r="AF349" s="328">
        <v>760</v>
      </c>
      <c r="AG349" s="328">
        <v>12620552</v>
      </c>
      <c r="AI349" s="399" t="s">
        <v>284</v>
      </c>
      <c r="AJ349" s="328">
        <v>0</v>
      </c>
      <c r="AK349" s="328">
        <v>349</v>
      </c>
      <c r="AL349" s="328">
        <v>732</v>
      </c>
      <c r="AM349" s="328">
        <v>1081</v>
      </c>
      <c r="AN349" s="328">
        <v>760</v>
      </c>
      <c r="AO349" s="328">
        <v>18604038</v>
      </c>
    </row>
    <row r="350" spans="1:41" ht="15.75">
      <c r="A350" s="333">
        <v>344</v>
      </c>
      <c r="B350" s="169" t="s">
        <v>106</v>
      </c>
      <c r="C350" s="399" t="s">
        <v>285</v>
      </c>
      <c r="D350" s="328">
        <v>7167</v>
      </c>
      <c r="E350" s="328">
        <v>427</v>
      </c>
      <c r="G350" s="328">
        <v>70</v>
      </c>
      <c r="H350" s="328">
        <v>357</v>
      </c>
      <c r="I350" s="328">
        <v>0</v>
      </c>
      <c r="J350" s="328">
        <v>167</v>
      </c>
      <c r="K350" s="333">
        <v>167</v>
      </c>
      <c r="L350" s="333"/>
      <c r="N350" s="399" t="s">
        <v>285</v>
      </c>
      <c r="O350" s="328">
        <v>0</v>
      </c>
      <c r="P350" s="328">
        <v>70</v>
      </c>
      <c r="Q350" s="328">
        <v>357</v>
      </c>
      <c r="R350" s="328">
        <v>427</v>
      </c>
      <c r="S350" s="328">
        <v>11588550</v>
      </c>
      <c r="T350" s="4">
        <v>2.0499999999999998</v>
      </c>
      <c r="U350" s="165">
        <f>VLOOKUP(N350,'[2]154'!$C$9:$T$554,18,0)</f>
        <v>427</v>
      </c>
      <c r="V350" s="399" t="s">
        <v>285</v>
      </c>
      <c r="W350" s="407">
        <v>167</v>
      </c>
      <c r="X350" s="405">
        <v>35257.754491017964</v>
      </c>
      <c r="Y350" s="407">
        <v>5888045</v>
      </c>
      <c r="AA350" s="399" t="s">
        <v>285</v>
      </c>
      <c r="AB350" s="328">
        <v>0</v>
      </c>
      <c r="AC350" s="328">
        <v>70</v>
      </c>
      <c r="AD350" s="328">
        <v>357</v>
      </c>
      <c r="AE350" s="328">
        <v>427</v>
      </c>
      <c r="AF350" s="328">
        <v>321</v>
      </c>
      <c r="AG350" s="328">
        <v>4683933</v>
      </c>
      <c r="AI350" s="399" t="s">
        <v>285</v>
      </c>
      <c r="AJ350" s="328">
        <v>0</v>
      </c>
      <c r="AK350" s="328">
        <v>70</v>
      </c>
      <c r="AL350" s="328">
        <v>357</v>
      </c>
      <c r="AM350" s="328">
        <v>427</v>
      </c>
      <c r="AN350" s="328">
        <v>321</v>
      </c>
      <c r="AO350" s="328">
        <v>6904617</v>
      </c>
    </row>
    <row r="351" spans="1:41" ht="15.75">
      <c r="A351" s="333">
        <v>345</v>
      </c>
      <c r="B351" s="4" t="s">
        <v>101</v>
      </c>
      <c r="C351" s="402">
        <v>100023338</v>
      </c>
      <c r="D351" s="328">
        <v>6730</v>
      </c>
      <c r="E351" s="328">
        <v>300</v>
      </c>
      <c r="G351" s="328">
        <v>144</v>
      </c>
      <c r="H351" s="328">
        <v>156</v>
      </c>
      <c r="I351" s="328">
        <v>0</v>
      </c>
      <c r="J351" s="328">
        <v>177</v>
      </c>
      <c r="K351" s="333">
        <v>177</v>
      </c>
      <c r="L351" s="333"/>
      <c r="N351" s="402">
        <v>100023338</v>
      </c>
      <c r="O351" s="328">
        <v>0</v>
      </c>
      <c r="P351" s="328">
        <v>144</v>
      </c>
      <c r="Q351" s="328">
        <v>156</v>
      </c>
      <c r="R351" s="328">
        <v>300</v>
      </c>
      <c r="S351" s="328">
        <v>10191687</v>
      </c>
      <c r="T351" s="4">
        <v>2.6</v>
      </c>
      <c r="U351" s="165">
        <f>VLOOKUP(N351,'[2]154'!$C$9:$T$554,18,0)</f>
        <v>300</v>
      </c>
      <c r="V351" s="402">
        <v>100023338</v>
      </c>
      <c r="W351" s="407">
        <v>177</v>
      </c>
      <c r="X351" s="405">
        <v>51662.711864406781</v>
      </c>
      <c r="Y351" s="407">
        <v>9144300</v>
      </c>
      <c r="AA351" s="402">
        <v>100023338</v>
      </c>
      <c r="AB351" s="328">
        <v>0</v>
      </c>
      <c r="AC351" s="328">
        <v>144</v>
      </c>
      <c r="AD351" s="328">
        <v>156</v>
      </c>
      <c r="AE351" s="328">
        <v>300</v>
      </c>
      <c r="AF351" s="328">
        <v>197</v>
      </c>
      <c r="AG351" s="328">
        <v>3967896</v>
      </c>
      <c r="AI351" s="402">
        <v>100023338</v>
      </c>
      <c r="AJ351" s="328">
        <v>0</v>
      </c>
      <c r="AK351" s="328">
        <v>144</v>
      </c>
      <c r="AL351" s="328">
        <v>156</v>
      </c>
      <c r="AM351" s="328">
        <v>300</v>
      </c>
      <c r="AN351" s="328">
        <v>197</v>
      </c>
      <c r="AO351" s="328">
        <v>6223791</v>
      </c>
    </row>
    <row r="352" spans="1:41" ht="15.75">
      <c r="A352" s="333">
        <v>346</v>
      </c>
      <c r="B352" s="4" t="s">
        <v>161</v>
      </c>
      <c r="C352" s="399" t="s">
        <v>286</v>
      </c>
      <c r="D352" s="328">
        <v>9502</v>
      </c>
      <c r="E352" s="328">
        <v>0</v>
      </c>
      <c r="F352" s="328">
        <v>0</v>
      </c>
      <c r="G352" s="328">
        <v>0</v>
      </c>
      <c r="H352" s="328">
        <v>0</v>
      </c>
      <c r="I352" s="328">
        <v>0</v>
      </c>
      <c r="J352" s="328">
        <v>0</v>
      </c>
      <c r="K352" s="333">
        <v>0</v>
      </c>
      <c r="L352" s="333"/>
      <c r="N352" s="399" t="s">
        <v>286</v>
      </c>
      <c r="O352" s="328">
        <v>0</v>
      </c>
      <c r="P352" s="328">
        <v>0</v>
      </c>
      <c r="Q352" s="328">
        <v>0</v>
      </c>
      <c r="R352" s="328">
        <v>0</v>
      </c>
      <c r="S352" s="328">
        <v>0</v>
      </c>
      <c r="T352" s="4">
        <v>1.26</v>
      </c>
      <c r="U352" s="165" t="e">
        <f>VLOOKUP(N352,'[2]154'!$C$9:$T$554,18,0)</f>
        <v>#N/A</v>
      </c>
      <c r="V352" s="399" t="s">
        <v>286</v>
      </c>
      <c r="W352" s="407">
        <v>0</v>
      </c>
      <c r="X352" s="405">
        <v>0</v>
      </c>
      <c r="Y352" s="407">
        <v>0</v>
      </c>
      <c r="AA352" s="399" t="s">
        <v>286</v>
      </c>
      <c r="AB352" s="328">
        <v>0</v>
      </c>
      <c r="AC352" s="328">
        <v>0</v>
      </c>
      <c r="AD352" s="328">
        <v>0</v>
      </c>
      <c r="AE352" s="328">
        <v>0</v>
      </c>
      <c r="AF352" s="328">
        <v>0</v>
      </c>
      <c r="AG352" s="328">
        <v>0</v>
      </c>
      <c r="AI352" s="399" t="s">
        <v>286</v>
      </c>
      <c r="AJ352" s="328">
        <v>0</v>
      </c>
      <c r="AK352" s="328">
        <v>0</v>
      </c>
      <c r="AL352" s="328">
        <v>0</v>
      </c>
      <c r="AM352" s="328">
        <v>0</v>
      </c>
      <c r="AN352" s="328">
        <v>0</v>
      </c>
      <c r="AO352" s="328">
        <v>0</v>
      </c>
    </row>
    <row r="353" spans="1:41" ht="15.75">
      <c r="A353" s="333">
        <v>347</v>
      </c>
      <c r="B353" s="4" t="s">
        <v>107</v>
      </c>
      <c r="C353" s="399" t="s">
        <v>288</v>
      </c>
      <c r="D353" s="328">
        <v>0</v>
      </c>
      <c r="E353" s="328">
        <v>0</v>
      </c>
      <c r="F353" s="328">
        <v>0</v>
      </c>
      <c r="G353" s="328">
        <v>0</v>
      </c>
      <c r="H353" s="328">
        <v>0</v>
      </c>
      <c r="I353" s="328">
        <v>0</v>
      </c>
      <c r="J353" s="328">
        <v>0</v>
      </c>
      <c r="K353" s="333">
        <v>0</v>
      </c>
      <c r="L353" s="333"/>
      <c r="N353" s="399" t="s">
        <v>288</v>
      </c>
      <c r="O353" s="328">
        <v>0</v>
      </c>
      <c r="P353" s="328">
        <v>0</v>
      </c>
      <c r="Q353" s="328">
        <v>0</v>
      </c>
      <c r="R353" s="328">
        <v>0</v>
      </c>
      <c r="S353" s="328">
        <v>0</v>
      </c>
      <c r="T353" s="4">
        <v>0.9</v>
      </c>
      <c r="U353" s="165" t="e">
        <f>VLOOKUP(N353,'[2]154'!$C$9:$T$554,18,0)</f>
        <v>#N/A</v>
      </c>
      <c r="V353" s="399" t="s">
        <v>288</v>
      </c>
      <c r="W353" s="407">
        <v>0</v>
      </c>
      <c r="X353" s="405">
        <v>0</v>
      </c>
      <c r="Y353" s="407">
        <v>0</v>
      </c>
      <c r="AA353" s="399" t="s">
        <v>288</v>
      </c>
      <c r="AB353" s="328">
        <v>0</v>
      </c>
      <c r="AC353" s="328">
        <v>0</v>
      </c>
      <c r="AD353" s="328">
        <v>0</v>
      </c>
      <c r="AE353" s="328">
        <v>0</v>
      </c>
      <c r="AF353" s="328">
        <v>0</v>
      </c>
      <c r="AG353" s="328">
        <v>0</v>
      </c>
      <c r="AI353" s="399" t="s">
        <v>288</v>
      </c>
      <c r="AJ353" s="328">
        <v>0</v>
      </c>
      <c r="AK353" s="328">
        <v>0</v>
      </c>
      <c r="AL353" s="328">
        <v>0</v>
      </c>
      <c r="AM353" s="328">
        <v>0</v>
      </c>
      <c r="AN353" s="328">
        <v>0</v>
      </c>
      <c r="AO353" s="328">
        <v>0</v>
      </c>
    </row>
    <row r="354" spans="1:41" ht="15.75">
      <c r="A354" s="333">
        <v>348</v>
      </c>
      <c r="B354" s="4" t="s">
        <v>107</v>
      </c>
      <c r="C354" s="399" t="s">
        <v>268</v>
      </c>
      <c r="D354" s="328">
        <v>0</v>
      </c>
      <c r="E354" s="328">
        <v>0</v>
      </c>
      <c r="F354" s="328">
        <v>0</v>
      </c>
      <c r="G354" s="328">
        <v>0</v>
      </c>
      <c r="H354" s="328">
        <v>0</v>
      </c>
      <c r="I354" s="328">
        <v>0</v>
      </c>
      <c r="J354" s="328">
        <v>0</v>
      </c>
      <c r="K354" s="333">
        <v>0</v>
      </c>
      <c r="L354" s="333"/>
      <c r="N354" s="399" t="s">
        <v>268</v>
      </c>
      <c r="O354" s="328">
        <v>0</v>
      </c>
      <c r="P354" s="328">
        <v>0</v>
      </c>
      <c r="Q354" s="328">
        <v>0</v>
      </c>
      <c r="R354" s="328">
        <v>0</v>
      </c>
      <c r="S354" s="328">
        <v>0</v>
      </c>
      <c r="T354" s="4">
        <v>1.9</v>
      </c>
      <c r="U354" s="165" t="e">
        <f>VLOOKUP(N354,'[2]154'!$C$9:$T$554,18,0)</f>
        <v>#N/A</v>
      </c>
      <c r="V354" s="399" t="s">
        <v>268</v>
      </c>
      <c r="W354" s="407">
        <v>0</v>
      </c>
      <c r="X354" s="405">
        <v>0</v>
      </c>
      <c r="Y354" s="407">
        <v>0</v>
      </c>
      <c r="AA354" s="399" t="s">
        <v>268</v>
      </c>
      <c r="AB354" s="328">
        <v>0</v>
      </c>
      <c r="AC354" s="328">
        <v>0</v>
      </c>
      <c r="AD354" s="328">
        <v>0</v>
      </c>
      <c r="AE354" s="328">
        <v>0</v>
      </c>
      <c r="AF354" s="328">
        <v>0</v>
      </c>
      <c r="AG354" s="328">
        <v>0</v>
      </c>
      <c r="AI354" s="399" t="s">
        <v>268</v>
      </c>
      <c r="AJ354" s="328">
        <v>0</v>
      </c>
      <c r="AK354" s="328">
        <v>0</v>
      </c>
      <c r="AL354" s="328">
        <v>0</v>
      </c>
      <c r="AM354" s="328">
        <v>0</v>
      </c>
      <c r="AN354" s="328">
        <v>0</v>
      </c>
      <c r="AO354" s="328">
        <v>0</v>
      </c>
    </row>
    <row r="355" spans="1:41" ht="15.75">
      <c r="A355" s="333">
        <v>349</v>
      </c>
      <c r="B355" s="4" t="s">
        <v>100</v>
      </c>
      <c r="C355" s="402">
        <v>100025351</v>
      </c>
      <c r="D355" s="328">
        <v>1125</v>
      </c>
      <c r="E355" s="328">
        <v>24</v>
      </c>
      <c r="F355" s="328">
        <v>0</v>
      </c>
      <c r="G355" s="328">
        <v>24</v>
      </c>
      <c r="H355" s="328">
        <v>0</v>
      </c>
      <c r="I355" s="328">
        <v>0</v>
      </c>
      <c r="J355" s="328">
        <v>7</v>
      </c>
      <c r="K355" s="333">
        <v>7</v>
      </c>
      <c r="L355" s="333"/>
      <c r="N355" s="402">
        <v>100025351</v>
      </c>
      <c r="O355" s="328">
        <v>0</v>
      </c>
      <c r="P355" s="328">
        <v>24</v>
      </c>
      <c r="Q355" s="328">
        <v>0</v>
      </c>
      <c r="R355" s="328">
        <v>24</v>
      </c>
      <c r="S355" s="328">
        <v>929024</v>
      </c>
      <c r="T355" s="4">
        <v>3.9</v>
      </c>
      <c r="U355" s="165">
        <f>VLOOKUP(N355,'[2]154'!$C$9:$T$554,18,0)</f>
        <v>24</v>
      </c>
      <c r="V355" s="402">
        <v>100025351</v>
      </c>
      <c r="W355" s="407">
        <v>7</v>
      </c>
      <c r="X355" s="405">
        <v>76929.71428571429</v>
      </c>
      <c r="Y355" s="407">
        <v>538508</v>
      </c>
      <c r="AA355" s="402">
        <v>100025351</v>
      </c>
      <c r="AB355" s="328">
        <v>0</v>
      </c>
      <c r="AC355" s="328">
        <v>24</v>
      </c>
      <c r="AD355" s="328">
        <v>0</v>
      </c>
      <c r="AE355" s="328">
        <v>24</v>
      </c>
      <c r="AF355" s="328">
        <v>12</v>
      </c>
      <c r="AG355" s="328">
        <v>341700</v>
      </c>
      <c r="AI355" s="402">
        <v>100025351</v>
      </c>
      <c r="AJ355" s="328">
        <v>0</v>
      </c>
      <c r="AK355" s="328">
        <v>24</v>
      </c>
      <c r="AL355" s="328">
        <v>0</v>
      </c>
      <c r="AM355" s="328">
        <v>24</v>
      </c>
      <c r="AN355" s="328">
        <v>12</v>
      </c>
      <c r="AO355" s="328">
        <v>587324</v>
      </c>
    </row>
    <row r="356" spans="1:41" ht="15.75">
      <c r="A356" s="333">
        <v>350</v>
      </c>
      <c r="B356" s="4" t="s">
        <v>108</v>
      </c>
      <c r="C356" s="402">
        <v>182034821</v>
      </c>
      <c r="D356" s="328">
        <v>11876</v>
      </c>
      <c r="E356" s="328">
        <v>442</v>
      </c>
      <c r="F356" s="328">
        <v>117</v>
      </c>
      <c r="G356" s="328">
        <v>215</v>
      </c>
      <c r="H356" s="328">
        <v>110</v>
      </c>
      <c r="I356" s="328">
        <v>2293</v>
      </c>
      <c r="J356" s="328">
        <v>0</v>
      </c>
      <c r="K356" s="333">
        <v>2293</v>
      </c>
      <c r="L356" s="333"/>
      <c r="N356" s="402">
        <v>182034821</v>
      </c>
      <c r="O356" s="328">
        <v>117</v>
      </c>
      <c r="P356" s="328">
        <v>215</v>
      </c>
      <c r="Q356" s="328">
        <v>110</v>
      </c>
      <c r="R356" s="328">
        <v>442</v>
      </c>
      <c r="S356" s="328">
        <v>15026582</v>
      </c>
      <c r="T356" s="4">
        <v>3.46</v>
      </c>
      <c r="U356" s="165">
        <f>VLOOKUP(N356,'[2]154'!$C$9:$T$554,18,0)</f>
        <v>442</v>
      </c>
      <c r="V356" s="402">
        <v>182034821</v>
      </c>
      <c r="W356" s="407">
        <v>2293</v>
      </c>
      <c r="X356" s="405">
        <v>68614.53205407763</v>
      </c>
      <c r="Y356" s="407">
        <v>157333122</v>
      </c>
      <c r="AA356" s="402">
        <v>182034821</v>
      </c>
      <c r="AB356" s="328">
        <v>117</v>
      </c>
      <c r="AC356" s="328">
        <v>215</v>
      </c>
      <c r="AD356" s="328">
        <v>110</v>
      </c>
      <c r="AE356" s="328">
        <v>442</v>
      </c>
      <c r="AF356" s="328">
        <v>219</v>
      </c>
      <c r="AG356" s="328">
        <v>5387441</v>
      </c>
      <c r="AI356" s="402">
        <v>182034821</v>
      </c>
      <c r="AJ356" s="328">
        <v>117</v>
      </c>
      <c r="AK356" s="328">
        <v>215</v>
      </c>
      <c r="AL356" s="328">
        <v>110</v>
      </c>
      <c r="AM356" s="328">
        <v>442</v>
      </c>
      <c r="AN356" s="328">
        <v>219</v>
      </c>
      <c r="AO356" s="328">
        <v>9639141</v>
      </c>
    </row>
    <row r="357" spans="1:41" ht="15.75">
      <c r="A357" s="333">
        <v>351</v>
      </c>
      <c r="B357" s="4" t="s">
        <v>108</v>
      </c>
      <c r="C357" s="402">
        <v>182034836</v>
      </c>
      <c r="D357" s="328">
        <v>3006</v>
      </c>
      <c r="E357" s="328">
        <v>355</v>
      </c>
      <c r="F357" s="328">
        <v>0</v>
      </c>
      <c r="G357" s="328">
        <v>300</v>
      </c>
      <c r="H357" s="328">
        <v>55</v>
      </c>
      <c r="I357" s="328">
        <v>0</v>
      </c>
      <c r="J357" s="328">
        <v>12</v>
      </c>
      <c r="K357" s="333">
        <v>12</v>
      </c>
      <c r="L357" s="333"/>
      <c r="N357" s="402">
        <v>182034836</v>
      </c>
      <c r="O357" s="328">
        <v>0</v>
      </c>
      <c r="P357" s="328">
        <v>300</v>
      </c>
      <c r="Q357" s="328">
        <v>55</v>
      </c>
      <c r="R357" s="328">
        <v>355</v>
      </c>
      <c r="S357" s="328">
        <v>15236402</v>
      </c>
      <c r="T357" s="4">
        <v>3.96</v>
      </c>
      <c r="U357" s="165">
        <f>VLOOKUP(N357,'[2]154'!$C$9:$T$554,18,0)</f>
        <v>355</v>
      </c>
      <c r="V357" s="402">
        <v>182034836</v>
      </c>
      <c r="W357" s="407">
        <v>12</v>
      </c>
      <c r="X357" s="405">
        <v>78294.583333333328</v>
      </c>
      <c r="Y357" s="407">
        <v>939535</v>
      </c>
      <c r="AA357" s="402">
        <v>182034836</v>
      </c>
      <c r="AB357" s="328">
        <v>0</v>
      </c>
      <c r="AC357" s="328">
        <v>300</v>
      </c>
      <c r="AD357" s="328">
        <v>55</v>
      </c>
      <c r="AE357" s="328">
        <v>355</v>
      </c>
      <c r="AF357" s="328">
        <v>194</v>
      </c>
      <c r="AG357" s="328">
        <v>5477268</v>
      </c>
      <c r="AI357" s="402">
        <v>182034836</v>
      </c>
      <c r="AJ357" s="328">
        <v>0</v>
      </c>
      <c r="AK357" s="328">
        <v>300</v>
      </c>
      <c r="AL357" s="328">
        <v>55</v>
      </c>
      <c r="AM357" s="328">
        <v>355</v>
      </c>
      <c r="AN357" s="328">
        <v>194</v>
      </c>
      <c r="AO357" s="328">
        <v>9759134</v>
      </c>
    </row>
    <row r="358" spans="1:41" ht="15.75">
      <c r="A358" s="333">
        <v>352</v>
      </c>
      <c r="B358" s="4" t="s">
        <v>108</v>
      </c>
      <c r="C358" s="402">
        <v>182034837</v>
      </c>
      <c r="D358" s="328">
        <v>810</v>
      </c>
      <c r="E358" s="328">
        <v>47</v>
      </c>
      <c r="F358" s="328">
        <v>1</v>
      </c>
      <c r="G358" s="328">
        <v>9</v>
      </c>
      <c r="H358" s="328">
        <v>37</v>
      </c>
      <c r="I358" s="328">
        <v>0</v>
      </c>
      <c r="J358" s="328">
        <v>0</v>
      </c>
      <c r="K358" s="333">
        <v>0</v>
      </c>
      <c r="L358" s="333"/>
      <c r="N358" s="402">
        <v>182034837</v>
      </c>
      <c r="O358" s="328">
        <v>1</v>
      </c>
      <c r="P358" s="328">
        <v>9</v>
      </c>
      <c r="Q358" s="328">
        <v>37</v>
      </c>
      <c r="R358" s="328">
        <v>47</v>
      </c>
      <c r="S358" s="328">
        <v>2811713</v>
      </c>
      <c r="T358" s="4">
        <v>4.16</v>
      </c>
      <c r="U358" s="165">
        <f>VLOOKUP(N358,'[2]154'!$C$9:$T$554,18,0)</f>
        <v>47</v>
      </c>
      <c r="V358" s="402">
        <v>182034837</v>
      </c>
      <c r="W358" s="407">
        <v>0</v>
      </c>
      <c r="X358" s="405">
        <v>0</v>
      </c>
      <c r="Y358" s="407">
        <v>0</v>
      </c>
      <c r="AA358" s="402">
        <v>182034837</v>
      </c>
      <c r="AB358" s="328">
        <v>1</v>
      </c>
      <c r="AC358" s="328">
        <v>9</v>
      </c>
      <c r="AD358" s="328">
        <v>37</v>
      </c>
      <c r="AE358" s="328">
        <v>47</v>
      </c>
      <c r="AF358" s="328">
        <v>34</v>
      </c>
      <c r="AG358" s="328">
        <v>1070626</v>
      </c>
      <c r="AI358" s="402">
        <v>182034837</v>
      </c>
      <c r="AJ358" s="328">
        <v>1</v>
      </c>
      <c r="AK358" s="328">
        <v>9</v>
      </c>
      <c r="AL358" s="328">
        <v>37</v>
      </c>
      <c r="AM358" s="328">
        <v>47</v>
      </c>
      <c r="AN358" s="328">
        <v>34</v>
      </c>
      <c r="AO358" s="328">
        <v>1741087</v>
      </c>
    </row>
    <row r="359" spans="1:41" ht="15.75">
      <c r="A359" s="333">
        <v>353</v>
      </c>
      <c r="B359" s="169" t="s">
        <v>106</v>
      </c>
      <c r="C359" s="399" t="s">
        <v>293</v>
      </c>
      <c r="D359" s="328">
        <v>11564</v>
      </c>
      <c r="E359" s="328">
        <v>9975</v>
      </c>
      <c r="F359" s="328">
        <v>0</v>
      </c>
      <c r="G359" s="328">
        <v>3477</v>
      </c>
      <c r="H359" s="328">
        <v>6498</v>
      </c>
      <c r="I359" s="328">
        <v>1570</v>
      </c>
      <c r="J359" s="328">
        <v>0</v>
      </c>
      <c r="K359" s="333">
        <v>1570</v>
      </c>
      <c r="L359" s="333"/>
      <c r="N359" s="399" t="s">
        <v>293</v>
      </c>
      <c r="O359" s="328">
        <v>0</v>
      </c>
      <c r="P359" s="328">
        <v>3477</v>
      </c>
      <c r="Q359" s="328">
        <v>6498</v>
      </c>
      <c r="R359" s="328">
        <v>9975</v>
      </c>
      <c r="S359" s="328">
        <v>343973004</v>
      </c>
      <c r="T359" s="4">
        <v>2.5</v>
      </c>
      <c r="U359" s="165">
        <f>VLOOKUP(N359,'[2]154'!$C$9:$T$554,18,0)</f>
        <v>9975</v>
      </c>
      <c r="V359" s="399" t="s">
        <v>293</v>
      </c>
      <c r="W359" s="407">
        <v>1570</v>
      </c>
      <c r="X359" s="405">
        <v>49585.268152866243</v>
      </c>
      <c r="Y359" s="407">
        <v>77848871</v>
      </c>
      <c r="AA359" s="399" t="s">
        <v>293</v>
      </c>
      <c r="AB359" s="328">
        <v>0</v>
      </c>
      <c r="AC359" s="328">
        <v>3477</v>
      </c>
      <c r="AD359" s="328">
        <v>6498</v>
      </c>
      <c r="AE359" s="328">
        <v>9975</v>
      </c>
      <c r="AF359" s="328">
        <v>6937</v>
      </c>
      <c r="AG359" s="328">
        <v>123849405</v>
      </c>
      <c r="AI359" s="399" t="s">
        <v>293</v>
      </c>
      <c r="AJ359" s="328">
        <v>0</v>
      </c>
      <c r="AK359" s="328">
        <v>3477</v>
      </c>
      <c r="AL359" s="328">
        <v>6498</v>
      </c>
      <c r="AM359" s="328">
        <v>9975</v>
      </c>
      <c r="AN359" s="328">
        <v>6937</v>
      </c>
      <c r="AO359" s="328">
        <v>220123599</v>
      </c>
    </row>
    <row r="360" spans="1:41" ht="15.75">
      <c r="A360" s="333">
        <v>354</v>
      </c>
      <c r="B360" s="169" t="s">
        <v>105</v>
      </c>
      <c r="C360" s="402">
        <v>417355</v>
      </c>
      <c r="D360" s="328">
        <v>0</v>
      </c>
      <c r="E360" s="328">
        <v>0</v>
      </c>
      <c r="I360" s="328">
        <v>0</v>
      </c>
      <c r="J360" s="328">
        <v>0</v>
      </c>
      <c r="K360" s="333">
        <v>0</v>
      </c>
      <c r="N360" s="402">
        <v>417355</v>
      </c>
      <c r="O360" s="328">
        <v>0</v>
      </c>
      <c r="P360" s="328">
        <v>0</v>
      </c>
      <c r="Q360" s="328">
        <v>0</v>
      </c>
      <c r="R360" s="328">
        <v>0</v>
      </c>
      <c r="S360" s="328">
        <v>0</v>
      </c>
      <c r="T360" s="4">
        <v>1.65</v>
      </c>
      <c r="U360" s="165" t="e">
        <f>VLOOKUP(N360,'[2]154'!$C$9:$T$554,18,0)</f>
        <v>#N/A</v>
      </c>
      <c r="V360" s="402">
        <v>417355</v>
      </c>
      <c r="W360" s="407">
        <v>0</v>
      </c>
      <c r="X360" s="405">
        <v>0</v>
      </c>
      <c r="Y360" s="407">
        <v>0</v>
      </c>
      <c r="AA360" s="402">
        <v>417355</v>
      </c>
      <c r="AB360" s="328">
        <v>0</v>
      </c>
      <c r="AC360" s="328">
        <v>0</v>
      </c>
      <c r="AD360" s="328">
        <v>0</v>
      </c>
      <c r="AE360" s="328">
        <v>0</v>
      </c>
      <c r="AF360" s="328">
        <v>0</v>
      </c>
      <c r="AG360" s="328">
        <v>0</v>
      </c>
      <c r="AI360" s="402">
        <v>417355</v>
      </c>
      <c r="AJ360" s="328">
        <v>0</v>
      </c>
      <c r="AK360" s="328">
        <v>0</v>
      </c>
      <c r="AL360" s="328">
        <v>0</v>
      </c>
      <c r="AM360" s="328">
        <v>0</v>
      </c>
      <c r="AN360" s="328">
        <v>0</v>
      </c>
      <c r="AO360" s="328">
        <v>0</v>
      </c>
    </row>
    <row r="361" spans="1:41" ht="15.75">
      <c r="A361" s="333">
        <v>355</v>
      </c>
      <c r="B361" s="169" t="s">
        <v>105</v>
      </c>
      <c r="C361" s="402">
        <v>465318</v>
      </c>
      <c r="D361" s="328">
        <v>6582</v>
      </c>
      <c r="E361" s="328">
        <v>5909</v>
      </c>
      <c r="G361" s="328">
        <v>585</v>
      </c>
      <c r="H361" s="328">
        <v>5324</v>
      </c>
      <c r="I361" s="328">
        <v>673</v>
      </c>
      <c r="J361" s="328">
        <v>0</v>
      </c>
      <c r="K361" s="333">
        <v>673</v>
      </c>
      <c r="N361" s="402">
        <v>465318</v>
      </c>
      <c r="O361" s="328">
        <v>0</v>
      </c>
      <c r="P361" s="328">
        <v>585</v>
      </c>
      <c r="Q361" s="328">
        <v>5324</v>
      </c>
      <c r="R361" s="328">
        <v>5909</v>
      </c>
      <c r="S361" s="328">
        <v>130875249</v>
      </c>
      <c r="T361" s="4">
        <v>1.45</v>
      </c>
      <c r="U361" s="165">
        <f>VLOOKUP(N361,'[2]154'!$C$9:$T$554,18,0)</f>
        <v>5909</v>
      </c>
      <c r="V361" s="402">
        <v>465318</v>
      </c>
      <c r="W361" s="407">
        <v>673</v>
      </c>
      <c r="X361" s="405">
        <v>28751.153046062405</v>
      </c>
      <c r="Y361" s="407">
        <v>19349526</v>
      </c>
      <c r="AA361" s="402">
        <v>465318</v>
      </c>
      <c r="AB361" s="328">
        <v>0</v>
      </c>
      <c r="AC361" s="328">
        <v>585</v>
      </c>
      <c r="AD361" s="328">
        <v>5324</v>
      </c>
      <c r="AE361" s="328">
        <v>5909</v>
      </c>
      <c r="AF361" s="328">
        <v>4552</v>
      </c>
      <c r="AG361" s="328">
        <v>46777137</v>
      </c>
      <c r="AI361" s="402">
        <v>465318</v>
      </c>
      <c r="AJ361" s="328">
        <v>0</v>
      </c>
      <c r="AK361" s="328">
        <v>585</v>
      </c>
      <c r="AL361" s="328">
        <v>5324</v>
      </c>
      <c r="AM361" s="328">
        <v>5909</v>
      </c>
      <c r="AN361" s="328">
        <v>4552</v>
      </c>
      <c r="AO361" s="328">
        <v>84098112</v>
      </c>
    </row>
    <row r="362" spans="1:41" ht="15.75">
      <c r="A362" s="333">
        <v>356</v>
      </c>
      <c r="B362" s="169" t="s">
        <v>105</v>
      </c>
      <c r="C362" s="402">
        <v>465985</v>
      </c>
      <c r="D362" s="328">
        <v>6498</v>
      </c>
      <c r="E362" s="328">
        <v>5600</v>
      </c>
      <c r="F362" s="328">
        <v>1504</v>
      </c>
      <c r="G362" s="328">
        <v>1032</v>
      </c>
      <c r="H362" s="328">
        <v>3064</v>
      </c>
      <c r="I362" s="328">
        <v>898</v>
      </c>
      <c r="J362" s="328">
        <v>0</v>
      </c>
      <c r="K362" s="333">
        <v>898</v>
      </c>
      <c r="N362" s="402">
        <v>465985</v>
      </c>
      <c r="O362" s="328">
        <v>1504</v>
      </c>
      <c r="P362" s="328">
        <v>1032</v>
      </c>
      <c r="Q362" s="328">
        <v>3064</v>
      </c>
      <c r="R362" s="328">
        <v>5600</v>
      </c>
      <c r="S362" s="328">
        <v>194397450</v>
      </c>
      <c r="T362" s="4">
        <v>3</v>
      </c>
      <c r="U362" s="165">
        <f>VLOOKUP(N362,'[2]154'!$C$9:$T$554,18,0)</f>
        <v>5600</v>
      </c>
      <c r="V362" s="402">
        <v>465985</v>
      </c>
      <c r="W362" s="407">
        <v>898</v>
      </c>
      <c r="X362" s="405">
        <v>59485.144766146994</v>
      </c>
      <c r="Y362" s="407">
        <v>53417660</v>
      </c>
      <c r="AA362" s="402">
        <v>465985</v>
      </c>
      <c r="AB362" s="328">
        <v>1504</v>
      </c>
      <c r="AC362" s="328">
        <v>1032</v>
      </c>
      <c r="AD362" s="328">
        <v>3064</v>
      </c>
      <c r="AE362" s="328">
        <v>5600</v>
      </c>
      <c r="AF362" s="328">
        <v>3268</v>
      </c>
      <c r="AG362" s="328">
        <v>69481099</v>
      </c>
      <c r="AI362" s="402">
        <v>465985</v>
      </c>
      <c r="AJ362" s="328">
        <v>1504</v>
      </c>
      <c r="AK362" s="328">
        <v>1032</v>
      </c>
      <c r="AL362" s="328">
        <v>3064</v>
      </c>
      <c r="AM362" s="328">
        <v>5600</v>
      </c>
      <c r="AN362" s="328">
        <v>3268</v>
      </c>
      <c r="AO362" s="328">
        <v>124916351</v>
      </c>
    </row>
    <row r="363" spans="1:41" ht="15.75">
      <c r="A363" s="333">
        <v>357</v>
      </c>
      <c r="B363" s="169" t="s">
        <v>105</v>
      </c>
      <c r="C363" s="399">
        <v>466092</v>
      </c>
      <c r="D363" s="328">
        <v>1691</v>
      </c>
      <c r="E363" s="328">
        <v>203</v>
      </c>
      <c r="G363" s="328">
        <v>21</v>
      </c>
      <c r="H363" s="328">
        <v>182</v>
      </c>
      <c r="I363" s="328">
        <v>0</v>
      </c>
      <c r="J363" s="328">
        <v>0</v>
      </c>
      <c r="K363" s="333">
        <v>0</v>
      </c>
      <c r="N363" s="399">
        <v>466092</v>
      </c>
      <c r="O363" s="328">
        <v>0</v>
      </c>
      <c r="P363" s="328">
        <v>21</v>
      </c>
      <c r="Q363" s="328">
        <v>182</v>
      </c>
      <c r="R363" s="328">
        <v>203</v>
      </c>
      <c r="S363" s="328">
        <v>12836894</v>
      </c>
      <c r="T363" s="4">
        <v>4.1500000000000004</v>
      </c>
      <c r="U363" s="165">
        <f>VLOOKUP(N363,'[2]154'!$C$9:$T$554,18,0)</f>
        <v>203</v>
      </c>
      <c r="V363" s="399">
        <v>466092</v>
      </c>
      <c r="W363" s="407">
        <v>0</v>
      </c>
      <c r="X363" s="405">
        <v>0</v>
      </c>
      <c r="Y363" s="407">
        <v>0</v>
      </c>
      <c r="AA363" s="399">
        <v>466092</v>
      </c>
      <c r="AB363" s="328">
        <v>0</v>
      </c>
      <c r="AC363" s="328">
        <v>21</v>
      </c>
      <c r="AD363" s="328">
        <v>182</v>
      </c>
      <c r="AE363" s="328">
        <v>203</v>
      </c>
      <c r="AF363" s="328">
        <v>156</v>
      </c>
      <c r="AG363" s="328">
        <v>4588134</v>
      </c>
      <c r="AI363" s="399">
        <v>466092</v>
      </c>
      <c r="AJ363" s="328">
        <v>0</v>
      </c>
      <c r="AK363" s="328">
        <v>21</v>
      </c>
      <c r="AL363" s="328">
        <v>182</v>
      </c>
      <c r="AM363" s="328">
        <v>203</v>
      </c>
      <c r="AN363" s="328">
        <v>156</v>
      </c>
      <c r="AO363" s="328">
        <v>8248760</v>
      </c>
    </row>
    <row r="364" spans="1:41" ht="15.75">
      <c r="A364" s="333">
        <v>358</v>
      </c>
      <c r="B364" s="169" t="s">
        <v>105</v>
      </c>
      <c r="C364" s="399">
        <v>470322</v>
      </c>
      <c r="D364" s="328">
        <v>6479</v>
      </c>
      <c r="E364" s="328">
        <v>311</v>
      </c>
      <c r="G364" s="328">
        <v>90</v>
      </c>
      <c r="H364" s="328">
        <v>221</v>
      </c>
      <c r="I364" s="328">
        <v>0</v>
      </c>
      <c r="J364" s="328">
        <v>56</v>
      </c>
      <c r="K364" s="333">
        <v>56</v>
      </c>
      <c r="N364" s="399">
        <v>470322</v>
      </c>
      <c r="O364" s="328">
        <v>0</v>
      </c>
      <c r="P364" s="328">
        <v>90</v>
      </c>
      <c r="Q364" s="328">
        <v>221</v>
      </c>
      <c r="R364" s="328">
        <v>311</v>
      </c>
      <c r="S364" s="328">
        <v>8143516</v>
      </c>
      <c r="T364" s="4">
        <v>1.85</v>
      </c>
      <c r="U364" s="165">
        <f>VLOOKUP(N364,'[2]154'!$C$9:$T$554,18,0)</f>
        <v>311</v>
      </c>
      <c r="V364" s="399">
        <v>470322</v>
      </c>
      <c r="W364" s="407">
        <v>56</v>
      </c>
      <c r="X364" s="405">
        <v>36682.285714285717</v>
      </c>
      <c r="Y364" s="407">
        <v>2054208</v>
      </c>
      <c r="AA364" s="399">
        <v>470322</v>
      </c>
      <c r="AB364" s="328">
        <v>0</v>
      </c>
      <c r="AC364" s="328">
        <v>90</v>
      </c>
      <c r="AD364" s="328">
        <v>221</v>
      </c>
      <c r="AE364" s="328">
        <v>311</v>
      </c>
      <c r="AF364" s="328">
        <v>222</v>
      </c>
      <c r="AG364" s="328">
        <v>2910637</v>
      </c>
      <c r="AI364" s="399">
        <v>470322</v>
      </c>
      <c r="AJ364" s="328">
        <v>0</v>
      </c>
      <c r="AK364" s="328">
        <v>90</v>
      </c>
      <c r="AL364" s="328">
        <v>221</v>
      </c>
      <c r="AM364" s="328">
        <v>311</v>
      </c>
      <c r="AN364" s="328">
        <v>222</v>
      </c>
      <c r="AO364" s="328">
        <v>5232879</v>
      </c>
    </row>
    <row r="365" spans="1:41" ht="15.75">
      <c r="A365" s="333">
        <v>359</v>
      </c>
      <c r="B365" s="169" t="s">
        <v>105</v>
      </c>
      <c r="C365" s="399">
        <v>471823</v>
      </c>
      <c r="D365" s="328">
        <v>8474</v>
      </c>
      <c r="E365" s="328">
        <v>5953</v>
      </c>
      <c r="F365" s="328">
        <v>361</v>
      </c>
      <c r="G365" s="328">
        <v>540</v>
      </c>
      <c r="H365" s="328">
        <v>5052</v>
      </c>
      <c r="I365" s="328">
        <v>1815</v>
      </c>
      <c r="J365" s="328">
        <v>0</v>
      </c>
      <c r="K365" s="333">
        <v>1815</v>
      </c>
      <c r="N365" s="399">
        <v>471823</v>
      </c>
      <c r="O365" s="328">
        <v>361</v>
      </c>
      <c r="P365" s="328">
        <v>540</v>
      </c>
      <c r="Q365" s="328">
        <v>5052</v>
      </c>
      <c r="R365" s="328">
        <v>5953</v>
      </c>
      <c r="S365" s="328">
        <v>186894391</v>
      </c>
      <c r="T365" s="4">
        <v>2.15</v>
      </c>
      <c r="U365" s="165">
        <f>VLOOKUP(N365,'[2]154'!$C$9:$T$554,18,0)</f>
        <v>5953</v>
      </c>
      <c r="V365" s="399">
        <v>471823</v>
      </c>
      <c r="W365" s="407">
        <v>1815</v>
      </c>
      <c r="X365" s="405">
        <v>42630.934986225897</v>
      </c>
      <c r="Y365" s="407">
        <v>77375147</v>
      </c>
      <c r="AA365" s="399">
        <v>471823</v>
      </c>
      <c r="AB365" s="328">
        <v>361</v>
      </c>
      <c r="AC365" s="328">
        <v>540</v>
      </c>
      <c r="AD365" s="328">
        <v>5052</v>
      </c>
      <c r="AE365" s="328">
        <v>5953</v>
      </c>
      <c r="AF365" s="328">
        <v>4384</v>
      </c>
      <c r="AG365" s="328">
        <v>66799373</v>
      </c>
      <c r="AI365" s="399">
        <v>471823</v>
      </c>
      <c r="AJ365" s="328">
        <v>361</v>
      </c>
      <c r="AK365" s="328">
        <v>540</v>
      </c>
      <c r="AL365" s="328">
        <v>5052</v>
      </c>
      <c r="AM365" s="328">
        <v>5953</v>
      </c>
      <c r="AN365" s="328">
        <v>4384</v>
      </c>
      <c r="AO365" s="328">
        <v>120095018</v>
      </c>
    </row>
    <row r="366" spans="1:41" ht="15.75">
      <c r="A366" s="333">
        <v>360</v>
      </c>
      <c r="B366" s="169" t="s">
        <v>105</v>
      </c>
      <c r="C366" s="399">
        <v>471825</v>
      </c>
      <c r="D366" s="328">
        <v>965</v>
      </c>
      <c r="E366" s="328">
        <v>109</v>
      </c>
      <c r="G366" s="328">
        <v>65</v>
      </c>
      <c r="H366" s="328">
        <v>44</v>
      </c>
      <c r="I366" s="328">
        <v>856</v>
      </c>
      <c r="J366" s="328">
        <v>0</v>
      </c>
      <c r="K366" s="333">
        <v>856</v>
      </c>
      <c r="N366" s="399">
        <v>471825</v>
      </c>
      <c r="O366" s="328">
        <v>0</v>
      </c>
      <c r="P366" s="328">
        <v>65</v>
      </c>
      <c r="Q366" s="328">
        <v>44</v>
      </c>
      <c r="R366" s="328">
        <v>109</v>
      </c>
      <c r="S366" s="328">
        <v>3977573</v>
      </c>
      <c r="T366" s="4">
        <v>2.9499999999999997</v>
      </c>
      <c r="U366" s="165">
        <f>VLOOKUP(N366,'[2]154'!$C$9:$T$554,18,0)</f>
        <v>109</v>
      </c>
      <c r="V366" s="399">
        <v>471825</v>
      </c>
      <c r="W366" s="407">
        <v>856</v>
      </c>
      <c r="X366" s="405">
        <v>58493.725467289718</v>
      </c>
      <c r="Y366" s="407">
        <v>50070629</v>
      </c>
      <c r="AA366" s="399">
        <v>471825</v>
      </c>
      <c r="AB366" s="328">
        <v>0</v>
      </c>
      <c r="AC366" s="328">
        <v>65</v>
      </c>
      <c r="AD366" s="328">
        <v>44</v>
      </c>
      <c r="AE366" s="328">
        <v>109</v>
      </c>
      <c r="AF366" s="328">
        <v>68</v>
      </c>
      <c r="AG366" s="328">
        <v>1421655</v>
      </c>
      <c r="AI366" s="399">
        <v>471825</v>
      </c>
      <c r="AJ366" s="328">
        <v>0</v>
      </c>
      <c r="AK366" s="328">
        <v>65</v>
      </c>
      <c r="AL366" s="328">
        <v>44</v>
      </c>
      <c r="AM366" s="328">
        <v>109</v>
      </c>
      <c r="AN366" s="328">
        <v>68</v>
      </c>
      <c r="AO366" s="328">
        <v>2555918</v>
      </c>
    </row>
    <row r="367" spans="1:41" ht="15.75">
      <c r="A367" s="333">
        <v>361</v>
      </c>
      <c r="B367" s="169" t="s">
        <v>105</v>
      </c>
      <c r="C367" s="399">
        <v>472140</v>
      </c>
      <c r="D367" s="328">
        <v>1526</v>
      </c>
      <c r="E367" s="328">
        <v>202</v>
      </c>
      <c r="G367" s="328">
        <v>78</v>
      </c>
      <c r="H367" s="328">
        <v>124</v>
      </c>
      <c r="I367" s="328">
        <v>1324</v>
      </c>
      <c r="J367" s="328">
        <v>0</v>
      </c>
      <c r="K367" s="333">
        <v>1324</v>
      </c>
      <c r="N367" s="399">
        <v>472140</v>
      </c>
      <c r="O367" s="328">
        <v>0</v>
      </c>
      <c r="P367" s="328">
        <v>78</v>
      </c>
      <c r="Q367" s="328">
        <v>124</v>
      </c>
      <c r="R367" s="328">
        <v>202</v>
      </c>
      <c r="S367" s="328">
        <v>8345766</v>
      </c>
      <c r="T367" s="4">
        <v>3.05</v>
      </c>
      <c r="U367" s="165">
        <f>VLOOKUP(N367,'[2]154'!$C$9:$T$554,18,0)</f>
        <v>202</v>
      </c>
      <c r="V367" s="399">
        <v>472140</v>
      </c>
      <c r="W367" s="407">
        <v>1324</v>
      </c>
      <c r="X367" s="405">
        <v>60476.56344410876</v>
      </c>
      <c r="Y367" s="407">
        <v>80070970</v>
      </c>
      <c r="AA367" s="399">
        <v>472140</v>
      </c>
      <c r="AB367" s="328">
        <v>0</v>
      </c>
      <c r="AC367" s="328">
        <v>78</v>
      </c>
      <c r="AD367" s="328">
        <v>124</v>
      </c>
      <c r="AE367" s="328">
        <v>202</v>
      </c>
      <c r="AF367" s="328">
        <v>138</v>
      </c>
      <c r="AG367" s="328">
        <v>2982925</v>
      </c>
      <c r="AI367" s="399">
        <v>472140</v>
      </c>
      <c r="AJ367" s="328">
        <v>0</v>
      </c>
      <c r="AK367" s="328">
        <v>78</v>
      </c>
      <c r="AL367" s="328">
        <v>124</v>
      </c>
      <c r="AM367" s="328">
        <v>202</v>
      </c>
      <c r="AN367" s="328">
        <v>138</v>
      </c>
      <c r="AO367" s="328">
        <v>5362841</v>
      </c>
    </row>
    <row r="368" spans="1:41" ht="15.75">
      <c r="A368" s="333">
        <v>362</v>
      </c>
      <c r="B368" s="169" t="s">
        <v>105</v>
      </c>
      <c r="C368" s="399">
        <v>472629</v>
      </c>
      <c r="D368" s="328">
        <v>5498</v>
      </c>
      <c r="E368" s="328">
        <v>548</v>
      </c>
      <c r="G368" s="328">
        <v>207</v>
      </c>
      <c r="H368" s="328">
        <v>341</v>
      </c>
      <c r="I368" s="328">
        <v>0</v>
      </c>
      <c r="J368" s="328">
        <v>0</v>
      </c>
      <c r="K368" s="333">
        <v>0</v>
      </c>
      <c r="N368" s="399">
        <v>472629</v>
      </c>
      <c r="O368" s="328">
        <v>0</v>
      </c>
      <c r="P368" s="328">
        <v>207</v>
      </c>
      <c r="Q368" s="328">
        <v>341</v>
      </c>
      <c r="R368" s="328">
        <v>548</v>
      </c>
      <c r="S368" s="328">
        <v>13792622</v>
      </c>
      <c r="T368" s="4">
        <v>1.85</v>
      </c>
      <c r="U368" s="165">
        <f>VLOOKUP(N368,'[2]154'!$C$9:$T$554,18,0)</f>
        <v>548</v>
      </c>
      <c r="V368" s="399">
        <v>472629</v>
      </c>
      <c r="W368" s="407">
        <v>0</v>
      </c>
      <c r="X368" s="405">
        <v>0</v>
      </c>
      <c r="Y368" s="407">
        <v>0</v>
      </c>
      <c r="AA368" s="399">
        <v>472629</v>
      </c>
      <c r="AB368" s="328">
        <v>0</v>
      </c>
      <c r="AC368" s="328">
        <v>207</v>
      </c>
      <c r="AD368" s="328">
        <v>341</v>
      </c>
      <c r="AE368" s="328">
        <v>548</v>
      </c>
      <c r="AF368" s="328">
        <v>376</v>
      </c>
      <c r="AG368" s="328">
        <v>4929728</v>
      </c>
      <c r="AI368" s="399">
        <v>472629</v>
      </c>
      <c r="AJ368" s="328">
        <v>0</v>
      </c>
      <c r="AK368" s="328">
        <v>207</v>
      </c>
      <c r="AL368" s="328">
        <v>341</v>
      </c>
      <c r="AM368" s="328">
        <v>548</v>
      </c>
      <c r="AN368" s="328">
        <v>376</v>
      </c>
      <c r="AO368" s="328">
        <v>8862894</v>
      </c>
    </row>
    <row r="369" spans="1:41" ht="15.75">
      <c r="A369" s="333">
        <v>363</v>
      </c>
      <c r="B369" s="4" t="s">
        <v>161</v>
      </c>
      <c r="C369" s="399">
        <v>100015200</v>
      </c>
      <c r="D369" s="328">
        <v>2891</v>
      </c>
      <c r="E369" s="328">
        <v>418</v>
      </c>
      <c r="G369" s="328">
        <v>116</v>
      </c>
      <c r="H369" s="328">
        <v>302</v>
      </c>
      <c r="I369" s="328">
        <v>1780</v>
      </c>
      <c r="J369" s="328">
        <v>0</v>
      </c>
      <c r="K369" s="333">
        <v>1780</v>
      </c>
      <c r="N369" s="399">
        <v>100015200</v>
      </c>
      <c r="O369" s="328">
        <v>0</v>
      </c>
      <c r="P369" s="328">
        <v>116</v>
      </c>
      <c r="Q369" s="328">
        <v>302</v>
      </c>
      <c r="R369" s="328">
        <v>418</v>
      </c>
      <c r="S369" s="328">
        <v>24448394</v>
      </c>
      <c r="T369" s="4">
        <v>4.1100000000000003</v>
      </c>
      <c r="U369" s="165">
        <f>VLOOKUP(N369,'[2]154'!$C$9:$T$554,18,0)</f>
        <v>418</v>
      </c>
      <c r="V369" s="399">
        <v>100015200</v>
      </c>
      <c r="W369" s="407">
        <v>1780</v>
      </c>
      <c r="X369" s="405">
        <v>81494.647752808989</v>
      </c>
      <c r="Y369" s="407">
        <v>145060473</v>
      </c>
      <c r="AA369" s="399">
        <v>100015200</v>
      </c>
      <c r="AB369" s="328">
        <v>0</v>
      </c>
      <c r="AC369" s="328">
        <v>116</v>
      </c>
      <c r="AD369" s="328">
        <v>302</v>
      </c>
      <c r="AE369" s="328">
        <v>418</v>
      </c>
      <c r="AF369" s="328">
        <v>300</v>
      </c>
      <c r="AG369" s="328">
        <v>8738290</v>
      </c>
      <c r="AI369" s="399">
        <v>100015200</v>
      </c>
      <c r="AJ369" s="328">
        <v>0</v>
      </c>
      <c r="AK369" s="328">
        <v>116</v>
      </c>
      <c r="AL369" s="328">
        <v>302</v>
      </c>
      <c r="AM369" s="328">
        <v>418</v>
      </c>
      <c r="AN369" s="328">
        <v>300</v>
      </c>
      <c r="AO369" s="328">
        <v>15710104</v>
      </c>
    </row>
    <row r="370" spans="1:41" ht="15.75">
      <c r="A370" s="333">
        <v>364</v>
      </c>
      <c r="B370" s="4" t="s">
        <v>161</v>
      </c>
      <c r="C370" s="399">
        <v>100015306</v>
      </c>
      <c r="D370" s="328">
        <v>2410</v>
      </c>
      <c r="E370" s="328">
        <v>85</v>
      </c>
      <c r="G370" s="328">
        <v>22</v>
      </c>
      <c r="H370" s="328">
        <v>63</v>
      </c>
      <c r="I370" s="328">
        <v>0</v>
      </c>
      <c r="J370" s="328">
        <v>45</v>
      </c>
      <c r="K370" s="333">
        <v>45</v>
      </c>
      <c r="N370" s="399">
        <v>100015306</v>
      </c>
      <c r="O370" s="328">
        <v>0</v>
      </c>
      <c r="P370" s="328">
        <v>22</v>
      </c>
      <c r="Q370" s="328">
        <v>63</v>
      </c>
      <c r="R370" s="328">
        <v>85</v>
      </c>
      <c r="S370" s="328">
        <v>2213443</v>
      </c>
      <c r="T370" s="4">
        <v>1.83</v>
      </c>
      <c r="U370" s="165">
        <f>VLOOKUP(N370,'[2]154'!$C$9:$T$554,18,0)</f>
        <v>85</v>
      </c>
      <c r="V370" s="399">
        <v>100015306</v>
      </c>
      <c r="W370" s="407">
        <v>45</v>
      </c>
      <c r="X370" s="405">
        <v>36285.933333333334</v>
      </c>
      <c r="Y370" s="407">
        <v>1632867</v>
      </c>
      <c r="AA370" s="399">
        <v>100015306</v>
      </c>
      <c r="AB370" s="328">
        <v>0</v>
      </c>
      <c r="AC370" s="328">
        <v>22</v>
      </c>
      <c r="AD370" s="328">
        <v>63</v>
      </c>
      <c r="AE370" s="328">
        <v>85</v>
      </c>
      <c r="AF370" s="328">
        <v>61</v>
      </c>
      <c r="AG370" s="328">
        <v>791124</v>
      </c>
      <c r="AI370" s="399">
        <v>100015306</v>
      </c>
      <c r="AJ370" s="328">
        <v>0</v>
      </c>
      <c r="AK370" s="328">
        <v>22</v>
      </c>
      <c r="AL370" s="328">
        <v>63</v>
      </c>
      <c r="AM370" s="328">
        <v>85</v>
      </c>
      <c r="AN370" s="328">
        <v>61</v>
      </c>
      <c r="AO370" s="328">
        <v>1422319</v>
      </c>
    </row>
    <row r="371" spans="1:41" ht="15.75">
      <c r="A371" s="333">
        <v>365</v>
      </c>
      <c r="B371" s="4" t="s">
        <v>161</v>
      </c>
      <c r="C371" s="399">
        <v>100016101</v>
      </c>
      <c r="D371" s="328">
        <v>2509</v>
      </c>
      <c r="E371" s="328">
        <v>1342</v>
      </c>
      <c r="G371" s="328">
        <v>361</v>
      </c>
      <c r="H371" s="328">
        <v>981</v>
      </c>
      <c r="I371" s="328">
        <v>1167</v>
      </c>
      <c r="J371" s="328">
        <v>0</v>
      </c>
      <c r="K371" s="333">
        <v>1167</v>
      </c>
      <c r="N371" s="399">
        <v>100016101</v>
      </c>
      <c r="O371" s="328">
        <v>0</v>
      </c>
      <c r="P371" s="328">
        <v>361</v>
      </c>
      <c r="Q371" s="328">
        <v>981</v>
      </c>
      <c r="R371" s="328">
        <v>1342</v>
      </c>
      <c r="S371" s="328">
        <v>30615021</v>
      </c>
      <c r="T371" s="4">
        <v>1.5999999999999999</v>
      </c>
      <c r="U371" s="165">
        <f>VLOOKUP(N371,'[2]154'!$C$9:$T$554,18,0)</f>
        <v>1342</v>
      </c>
      <c r="V371" s="399">
        <v>100016101</v>
      </c>
      <c r="W371" s="407">
        <v>1167</v>
      </c>
      <c r="X371" s="405">
        <v>31725.409597257927</v>
      </c>
      <c r="Y371" s="407">
        <v>37023553</v>
      </c>
      <c r="AA371" s="399">
        <v>100016101</v>
      </c>
      <c r="AB371" s="328">
        <v>0</v>
      </c>
      <c r="AC371" s="328">
        <v>361</v>
      </c>
      <c r="AD371" s="328">
        <v>981</v>
      </c>
      <c r="AE371" s="328">
        <v>1342</v>
      </c>
      <c r="AF371" s="328">
        <v>965</v>
      </c>
      <c r="AG371" s="328">
        <v>10942352</v>
      </c>
      <c r="AI371" s="399">
        <v>100016101</v>
      </c>
      <c r="AJ371" s="328">
        <v>0</v>
      </c>
      <c r="AK371" s="328">
        <v>361</v>
      </c>
      <c r="AL371" s="328">
        <v>981</v>
      </c>
      <c r="AM371" s="328">
        <v>1342</v>
      </c>
      <c r="AN371" s="328">
        <v>965</v>
      </c>
      <c r="AO371" s="328">
        <v>19672669</v>
      </c>
    </row>
    <row r="372" spans="1:41" ht="15.75">
      <c r="A372" s="333">
        <v>366</v>
      </c>
      <c r="B372" s="4" t="s">
        <v>161</v>
      </c>
      <c r="C372" s="399">
        <v>100017974</v>
      </c>
      <c r="D372" s="328">
        <v>9562</v>
      </c>
      <c r="E372" s="328">
        <v>364</v>
      </c>
      <c r="F372" s="328">
        <v>63</v>
      </c>
      <c r="G372" s="328">
        <v>118</v>
      </c>
      <c r="H372" s="328">
        <v>183</v>
      </c>
      <c r="I372" s="328">
        <v>27</v>
      </c>
      <c r="J372" s="328">
        <v>0</v>
      </c>
      <c r="K372" s="333">
        <v>27</v>
      </c>
      <c r="N372" s="399">
        <v>100017974</v>
      </c>
      <c r="O372" s="328">
        <v>63</v>
      </c>
      <c r="P372" s="328">
        <v>118</v>
      </c>
      <c r="Q372" s="328">
        <v>183</v>
      </c>
      <c r="R372" s="328">
        <v>364</v>
      </c>
      <c r="S372" s="328">
        <v>8342593</v>
      </c>
      <c r="T372" s="4">
        <v>1.93</v>
      </c>
      <c r="U372" s="165">
        <f>VLOOKUP(N372,'[2]154'!$C$9:$T$554,18,0)</f>
        <v>364</v>
      </c>
      <c r="V372" s="399">
        <v>100017974</v>
      </c>
      <c r="W372" s="407">
        <v>27</v>
      </c>
      <c r="X372" s="405">
        <v>38268.777777777781</v>
      </c>
      <c r="Y372" s="407">
        <v>1033257</v>
      </c>
      <c r="AA372" s="399">
        <v>100017974</v>
      </c>
      <c r="AB372" s="328">
        <v>63</v>
      </c>
      <c r="AC372" s="328">
        <v>118</v>
      </c>
      <c r="AD372" s="328">
        <v>183</v>
      </c>
      <c r="AE372" s="328">
        <v>364</v>
      </c>
      <c r="AF372" s="328">
        <v>218</v>
      </c>
      <c r="AG372" s="328">
        <v>2981791</v>
      </c>
      <c r="AI372" s="399">
        <v>100017974</v>
      </c>
      <c r="AJ372" s="328">
        <v>63</v>
      </c>
      <c r="AK372" s="328">
        <v>118</v>
      </c>
      <c r="AL372" s="328">
        <v>183</v>
      </c>
      <c r="AM372" s="328">
        <v>364</v>
      </c>
      <c r="AN372" s="328">
        <v>218</v>
      </c>
      <c r="AO372" s="328">
        <v>5360802</v>
      </c>
    </row>
    <row r="373" spans="1:41" ht="15.75">
      <c r="A373" s="333">
        <v>367</v>
      </c>
      <c r="B373" s="4" t="s">
        <v>161</v>
      </c>
      <c r="C373" s="399">
        <v>100018139</v>
      </c>
      <c r="D373" s="328">
        <v>8114</v>
      </c>
      <c r="E373" s="328">
        <v>6608</v>
      </c>
      <c r="F373" s="328">
        <v>1630</v>
      </c>
      <c r="G373" s="328">
        <v>3284</v>
      </c>
      <c r="H373" s="328">
        <v>1694</v>
      </c>
      <c r="I373" s="328">
        <v>1506</v>
      </c>
      <c r="J373" s="328">
        <v>0</v>
      </c>
      <c r="K373" s="333">
        <v>1506</v>
      </c>
      <c r="N373" s="399">
        <v>100018139</v>
      </c>
      <c r="O373" s="328">
        <v>1630</v>
      </c>
      <c r="P373" s="328">
        <v>3284</v>
      </c>
      <c r="Q373" s="328">
        <v>1694</v>
      </c>
      <c r="R373" s="328">
        <v>6608</v>
      </c>
      <c r="S373" s="328">
        <v>207552590</v>
      </c>
      <c r="T373" s="4">
        <v>3.15</v>
      </c>
      <c r="U373" s="165">
        <f>VLOOKUP(N373,'[2]154'!$C$9:$T$554,18,0)</f>
        <v>6608</v>
      </c>
      <c r="V373" s="399">
        <v>100018139</v>
      </c>
      <c r="W373" s="407">
        <v>1506</v>
      </c>
      <c r="X373" s="405">
        <v>62459.401726427626</v>
      </c>
      <c r="Y373" s="407">
        <v>94063859</v>
      </c>
      <c r="AA373" s="399">
        <v>100018139</v>
      </c>
      <c r="AB373" s="328">
        <v>1630</v>
      </c>
      <c r="AC373" s="328">
        <v>3284</v>
      </c>
      <c r="AD373" s="328">
        <v>1694</v>
      </c>
      <c r="AE373" s="328">
        <v>6608</v>
      </c>
      <c r="AF373" s="328">
        <v>3323</v>
      </c>
      <c r="AG373" s="328">
        <v>74182980</v>
      </c>
      <c r="AI373" s="399">
        <v>100018139</v>
      </c>
      <c r="AJ373" s="328">
        <v>1630</v>
      </c>
      <c r="AK373" s="328">
        <v>3284</v>
      </c>
      <c r="AL373" s="328">
        <v>1694</v>
      </c>
      <c r="AM373" s="328">
        <v>6608</v>
      </c>
      <c r="AN373" s="328">
        <v>3323</v>
      </c>
      <c r="AO373" s="328">
        <v>133369610</v>
      </c>
    </row>
    <row r="374" spans="1:41" ht="15.75">
      <c r="A374" s="333">
        <v>368</v>
      </c>
      <c r="B374" s="4" t="s">
        <v>161</v>
      </c>
      <c r="C374" s="399">
        <v>100018175</v>
      </c>
      <c r="D374" s="328">
        <v>11391</v>
      </c>
      <c r="E374" s="328">
        <v>4863</v>
      </c>
      <c r="G374" s="328">
        <v>50</v>
      </c>
      <c r="H374" s="328">
        <v>4813</v>
      </c>
      <c r="I374" s="328">
        <v>579</v>
      </c>
      <c r="J374" s="328">
        <v>0</v>
      </c>
      <c r="K374" s="333">
        <v>579</v>
      </c>
      <c r="N374" s="399">
        <v>100018175</v>
      </c>
      <c r="O374" s="328">
        <v>0</v>
      </c>
      <c r="P374" s="328">
        <v>50</v>
      </c>
      <c r="Q374" s="328">
        <v>4813</v>
      </c>
      <c r="R374" s="328">
        <v>4863</v>
      </c>
      <c r="S374" s="328">
        <v>141376359</v>
      </c>
      <c r="T374" s="4">
        <v>1.84</v>
      </c>
      <c r="U374" s="165">
        <f>VLOOKUP(N374,'[2]154'!$C$9:$T$554,18,0)</f>
        <v>4863</v>
      </c>
      <c r="V374" s="399">
        <v>100018175</v>
      </c>
      <c r="W374" s="407">
        <v>579</v>
      </c>
      <c r="X374" s="405">
        <v>36484.221070811742</v>
      </c>
      <c r="Y374" s="407">
        <v>21124364</v>
      </c>
      <c r="AA374" s="399">
        <v>100018175</v>
      </c>
      <c r="AB374" s="328">
        <v>0</v>
      </c>
      <c r="AC374" s="328">
        <v>50</v>
      </c>
      <c r="AD374" s="328">
        <v>4813</v>
      </c>
      <c r="AE374" s="328">
        <v>4863</v>
      </c>
      <c r="AF374" s="328">
        <v>3875</v>
      </c>
      <c r="AG374" s="328">
        <v>50530420</v>
      </c>
      <c r="AI374" s="399">
        <v>100018175</v>
      </c>
      <c r="AJ374" s="328">
        <v>0</v>
      </c>
      <c r="AK374" s="328">
        <v>50</v>
      </c>
      <c r="AL374" s="328">
        <v>4813</v>
      </c>
      <c r="AM374" s="328">
        <v>4863</v>
      </c>
      <c r="AN374" s="328">
        <v>3875</v>
      </c>
      <c r="AO374" s="328">
        <v>90845939</v>
      </c>
    </row>
    <row r="375" spans="1:41" ht="15.75">
      <c r="A375" s="333">
        <v>369</v>
      </c>
      <c r="B375" s="4" t="s">
        <v>161</v>
      </c>
      <c r="C375" s="399">
        <v>100018176</v>
      </c>
      <c r="D375" s="328">
        <v>6108</v>
      </c>
      <c r="E375" s="328">
        <v>893</v>
      </c>
      <c r="F375" s="328">
        <v>0</v>
      </c>
      <c r="G375" s="328">
        <v>407</v>
      </c>
      <c r="H375" s="328">
        <v>486</v>
      </c>
      <c r="I375" s="328">
        <v>5215</v>
      </c>
      <c r="J375" s="328">
        <v>0</v>
      </c>
      <c r="K375" s="333">
        <v>5215</v>
      </c>
      <c r="N375" s="399">
        <v>100018176</v>
      </c>
      <c r="O375" s="328">
        <v>0</v>
      </c>
      <c r="P375" s="328">
        <v>407</v>
      </c>
      <c r="Q375" s="328">
        <v>486</v>
      </c>
      <c r="R375" s="328">
        <v>893</v>
      </c>
      <c r="S375" s="328">
        <v>33454445</v>
      </c>
      <c r="T375" s="4">
        <v>2.85</v>
      </c>
      <c r="U375" s="165">
        <f>VLOOKUP(N375,'[2]154'!$C$9:$T$554,18,0)</f>
        <v>893</v>
      </c>
      <c r="V375" s="399">
        <v>100018176</v>
      </c>
      <c r="W375" s="407">
        <v>5215</v>
      </c>
      <c r="X375" s="405">
        <v>56510.886864813037</v>
      </c>
      <c r="Y375" s="407">
        <v>294704275</v>
      </c>
      <c r="AA375" s="399">
        <v>100018176</v>
      </c>
      <c r="AB375" s="328">
        <v>0</v>
      </c>
      <c r="AC375" s="328">
        <v>407</v>
      </c>
      <c r="AD375" s="328">
        <v>486</v>
      </c>
      <c r="AE375" s="328">
        <v>893</v>
      </c>
      <c r="AF375" s="328">
        <v>592</v>
      </c>
      <c r="AG375" s="328">
        <v>11957212</v>
      </c>
      <c r="AI375" s="399">
        <v>100018176</v>
      </c>
      <c r="AJ375" s="328">
        <v>0</v>
      </c>
      <c r="AK375" s="328">
        <v>407</v>
      </c>
      <c r="AL375" s="328">
        <v>486</v>
      </c>
      <c r="AM375" s="328">
        <v>893</v>
      </c>
      <c r="AN375" s="328">
        <v>592</v>
      </c>
      <c r="AO375" s="328">
        <v>21497233</v>
      </c>
    </row>
    <row r="376" spans="1:41" ht="15.75">
      <c r="A376" s="333">
        <v>370</v>
      </c>
      <c r="B376" s="4" t="s">
        <v>161</v>
      </c>
      <c r="C376" s="399">
        <v>100018178</v>
      </c>
      <c r="D376" s="328">
        <v>997</v>
      </c>
      <c r="E376" s="328">
        <v>103</v>
      </c>
      <c r="G376" s="328">
        <v>72</v>
      </c>
      <c r="H376" s="328">
        <v>31</v>
      </c>
      <c r="I376" s="328">
        <v>0</v>
      </c>
      <c r="J376" s="328">
        <v>0</v>
      </c>
      <c r="K376" s="328">
        <v>0</v>
      </c>
      <c r="N376" s="399">
        <v>100018178</v>
      </c>
      <c r="O376" s="328">
        <v>0</v>
      </c>
      <c r="P376" s="328">
        <v>72</v>
      </c>
      <c r="Q376" s="328">
        <v>31</v>
      </c>
      <c r="R376" s="328">
        <v>103</v>
      </c>
      <c r="S376" s="328">
        <v>2709350</v>
      </c>
      <c r="T376" s="4">
        <v>2.2400000000000002</v>
      </c>
      <c r="U376" s="165">
        <f>VLOOKUP(N376,'[2]154'!$C$9:$T$554,18,0)</f>
        <v>103</v>
      </c>
      <c r="V376" s="399">
        <v>100018178</v>
      </c>
      <c r="W376" s="407">
        <v>0</v>
      </c>
      <c r="X376" s="405">
        <v>0</v>
      </c>
      <c r="Y376" s="407">
        <v>0</v>
      </c>
      <c r="AA376" s="399">
        <v>100018178</v>
      </c>
      <c r="AB376" s="328">
        <v>0</v>
      </c>
      <c r="AC376" s="328">
        <v>72</v>
      </c>
      <c r="AD376" s="328">
        <v>31</v>
      </c>
      <c r="AE376" s="328">
        <v>103</v>
      </c>
      <c r="AF376" s="328">
        <v>61</v>
      </c>
      <c r="AG376" s="328">
        <v>968370</v>
      </c>
      <c r="AI376" s="399">
        <v>100018178</v>
      </c>
      <c r="AJ376" s="328">
        <v>0</v>
      </c>
      <c r="AK376" s="328">
        <v>72</v>
      </c>
      <c r="AL376" s="328">
        <v>31</v>
      </c>
      <c r="AM376" s="328">
        <v>103</v>
      </c>
      <c r="AN376" s="328">
        <v>61</v>
      </c>
      <c r="AO376" s="328">
        <v>1740980</v>
      </c>
    </row>
    <row r="377" spans="1:41" ht="15.75">
      <c r="A377" s="333">
        <v>371</v>
      </c>
      <c r="B377" s="4" t="s">
        <v>161</v>
      </c>
      <c r="C377" s="399">
        <v>100018179</v>
      </c>
      <c r="D377" s="328">
        <v>1784</v>
      </c>
      <c r="E377" s="328">
        <v>80</v>
      </c>
      <c r="H377" s="328">
        <v>80</v>
      </c>
      <c r="I377" s="328">
        <v>0</v>
      </c>
      <c r="J377" s="328">
        <v>0</v>
      </c>
      <c r="K377" s="328">
        <v>0</v>
      </c>
      <c r="N377" s="399">
        <v>100018179</v>
      </c>
      <c r="O377" s="328">
        <v>0</v>
      </c>
      <c r="P377" s="328">
        <v>0</v>
      </c>
      <c r="Q377" s="328">
        <v>80</v>
      </c>
      <c r="R377" s="328">
        <v>80</v>
      </c>
      <c r="S377" s="328">
        <v>4136994</v>
      </c>
      <c r="T377" s="4">
        <v>3.26</v>
      </c>
      <c r="U377" s="165">
        <f>VLOOKUP(N377,'[2]154'!$C$9:$T$554,18,0)</f>
        <v>80</v>
      </c>
      <c r="V377" s="399">
        <v>100018179</v>
      </c>
      <c r="W377" s="407">
        <v>0</v>
      </c>
      <c r="X377" s="405">
        <v>0</v>
      </c>
      <c r="Y377" s="407">
        <v>0</v>
      </c>
      <c r="AA377" s="399">
        <v>100018179</v>
      </c>
      <c r="AB377" s="328">
        <v>0</v>
      </c>
      <c r="AC377" s="328">
        <v>0</v>
      </c>
      <c r="AD377" s="328">
        <v>80</v>
      </c>
      <c r="AE377" s="328">
        <v>80</v>
      </c>
      <c r="AF377" s="328">
        <v>64</v>
      </c>
      <c r="AG377" s="328">
        <v>1478635</v>
      </c>
      <c r="AI377" s="399">
        <v>100018179</v>
      </c>
      <c r="AJ377" s="328">
        <v>0</v>
      </c>
      <c r="AK377" s="328">
        <v>0</v>
      </c>
      <c r="AL377" s="328">
        <v>80</v>
      </c>
      <c r="AM377" s="328">
        <v>80</v>
      </c>
      <c r="AN377" s="328">
        <v>64</v>
      </c>
      <c r="AO377" s="328">
        <v>2658359</v>
      </c>
    </row>
    <row r="378" spans="1:41" ht="15.75">
      <c r="A378" s="333">
        <v>372</v>
      </c>
      <c r="B378" s="4" t="s">
        <v>161</v>
      </c>
      <c r="C378" s="399">
        <v>100018235</v>
      </c>
      <c r="D378" s="328">
        <v>3845</v>
      </c>
      <c r="E378" s="328">
        <v>327</v>
      </c>
      <c r="F378" s="328">
        <v>38</v>
      </c>
      <c r="G378" s="328">
        <v>54</v>
      </c>
      <c r="H378" s="328">
        <v>235</v>
      </c>
      <c r="I378" s="328">
        <v>27</v>
      </c>
      <c r="J378" s="328">
        <v>0</v>
      </c>
      <c r="K378" s="328">
        <v>27</v>
      </c>
      <c r="N378" s="399">
        <v>100018235</v>
      </c>
      <c r="O378" s="328">
        <v>38</v>
      </c>
      <c r="P378" s="328">
        <v>54</v>
      </c>
      <c r="Q378" s="328">
        <v>235</v>
      </c>
      <c r="R378" s="328">
        <v>327</v>
      </c>
      <c r="S378" s="328">
        <v>5836682</v>
      </c>
      <c r="T378" s="4">
        <v>1.32</v>
      </c>
      <c r="U378" s="165">
        <f>VLOOKUP(N378,'[2]154'!$C$9:$T$554,18,0)</f>
        <v>327</v>
      </c>
      <c r="V378" s="399">
        <v>100018235</v>
      </c>
      <c r="W378" s="407">
        <v>27</v>
      </c>
      <c r="X378" s="405">
        <v>26173.481481481482</v>
      </c>
      <c r="Y378" s="407">
        <v>706684</v>
      </c>
      <c r="AA378" s="399">
        <v>100018235</v>
      </c>
      <c r="AB378" s="328">
        <v>38</v>
      </c>
      <c r="AC378" s="328">
        <v>54</v>
      </c>
      <c r="AD378" s="328">
        <v>235</v>
      </c>
      <c r="AE378" s="328">
        <v>327</v>
      </c>
      <c r="AF378" s="328">
        <v>223</v>
      </c>
      <c r="AG378" s="328">
        <v>2086134</v>
      </c>
      <c r="AI378" s="399">
        <v>100018235</v>
      </c>
      <c r="AJ378" s="328">
        <v>38</v>
      </c>
      <c r="AK378" s="328">
        <v>54</v>
      </c>
      <c r="AL378" s="328">
        <v>235</v>
      </c>
      <c r="AM378" s="328">
        <v>327</v>
      </c>
      <c r="AN378" s="328">
        <v>223</v>
      </c>
      <c r="AO378" s="328">
        <v>3750548</v>
      </c>
    </row>
    <row r="379" spans="1:41" ht="15.75">
      <c r="A379" s="333">
        <v>373</v>
      </c>
      <c r="B379" s="4" t="s">
        <v>161</v>
      </c>
      <c r="C379" s="399">
        <v>100018237</v>
      </c>
      <c r="D379" s="328">
        <v>5185</v>
      </c>
      <c r="E379" s="328">
        <v>253</v>
      </c>
      <c r="F379" s="328">
        <v>104</v>
      </c>
      <c r="G379" s="328">
        <v>28</v>
      </c>
      <c r="H379" s="328">
        <v>121</v>
      </c>
      <c r="I379" s="328">
        <v>0</v>
      </c>
      <c r="J379" s="328">
        <v>0</v>
      </c>
      <c r="K379" s="328">
        <v>0</v>
      </c>
      <c r="N379" s="399">
        <v>100018237</v>
      </c>
      <c r="O379" s="328">
        <v>104</v>
      </c>
      <c r="P379" s="328">
        <v>28</v>
      </c>
      <c r="Q379" s="328">
        <v>121</v>
      </c>
      <c r="R379" s="328">
        <v>253</v>
      </c>
      <c r="S379" s="328">
        <v>3376377</v>
      </c>
      <c r="T379" s="4">
        <v>1.29</v>
      </c>
      <c r="U379" s="165">
        <f>VLOOKUP(N379,'[2]154'!$C$9:$T$554,18,0)</f>
        <v>253</v>
      </c>
      <c r="V379" s="399">
        <v>100018237</v>
      </c>
      <c r="W379" s="407">
        <v>0</v>
      </c>
      <c r="X379" s="405">
        <v>0</v>
      </c>
      <c r="Y379" s="407">
        <v>0</v>
      </c>
      <c r="AA379" s="399">
        <v>100018237</v>
      </c>
      <c r="AB379" s="328">
        <v>104</v>
      </c>
      <c r="AC379" s="328">
        <v>28</v>
      </c>
      <c r="AD379" s="328">
        <v>121</v>
      </c>
      <c r="AE379" s="328">
        <v>253</v>
      </c>
      <c r="AF379" s="328">
        <v>132</v>
      </c>
      <c r="AG379" s="328">
        <v>1206777</v>
      </c>
      <c r="AI379" s="399">
        <v>100018237</v>
      </c>
      <c r="AJ379" s="328">
        <v>104</v>
      </c>
      <c r="AK379" s="328">
        <v>28</v>
      </c>
      <c r="AL379" s="328">
        <v>121</v>
      </c>
      <c r="AM379" s="328">
        <v>253</v>
      </c>
      <c r="AN379" s="328">
        <v>132</v>
      </c>
      <c r="AO379" s="328">
        <v>2169600</v>
      </c>
    </row>
    <row r="380" spans="1:41" ht="15.75">
      <c r="A380" s="333">
        <v>374</v>
      </c>
      <c r="B380" s="4" t="s">
        <v>161</v>
      </c>
      <c r="C380" s="399">
        <v>100018239</v>
      </c>
      <c r="D380" s="328">
        <v>2790</v>
      </c>
      <c r="E380" s="328">
        <v>129</v>
      </c>
      <c r="F380" s="328">
        <v>17</v>
      </c>
      <c r="G380" s="328">
        <v>98</v>
      </c>
      <c r="H380" s="328">
        <v>14</v>
      </c>
      <c r="I380" s="328">
        <v>0</v>
      </c>
      <c r="J380" s="328">
        <v>0</v>
      </c>
      <c r="K380" s="328">
        <v>0</v>
      </c>
      <c r="N380" s="399">
        <v>100018239</v>
      </c>
      <c r="O380" s="328">
        <v>17</v>
      </c>
      <c r="P380" s="328">
        <v>98</v>
      </c>
      <c r="Q380" s="328">
        <v>14</v>
      </c>
      <c r="R380" s="328">
        <v>129</v>
      </c>
      <c r="S380" s="328">
        <v>2487272</v>
      </c>
      <c r="T380" s="4">
        <v>1.96</v>
      </c>
      <c r="U380" s="165">
        <f>VLOOKUP(N380,'[2]154'!$C$9:$T$554,18,0)</f>
        <v>129</v>
      </c>
      <c r="V380" s="399">
        <v>100018239</v>
      </c>
      <c r="W380" s="407">
        <v>0</v>
      </c>
      <c r="X380" s="405">
        <v>0</v>
      </c>
      <c r="Y380" s="407">
        <v>0</v>
      </c>
      <c r="AA380" s="399">
        <v>100018239</v>
      </c>
      <c r="AB380" s="328">
        <v>17</v>
      </c>
      <c r="AC380" s="328">
        <v>98</v>
      </c>
      <c r="AD380" s="328">
        <v>14</v>
      </c>
      <c r="AE380" s="328">
        <v>129</v>
      </c>
      <c r="AF380" s="328">
        <v>64</v>
      </c>
      <c r="AG380" s="328">
        <v>888995</v>
      </c>
      <c r="AI380" s="399">
        <v>100018239</v>
      </c>
      <c r="AJ380" s="328">
        <v>17</v>
      </c>
      <c r="AK380" s="328">
        <v>98</v>
      </c>
      <c r="AL380" s="328">
        <v>14</v>
      </c>
      <c r="AM380" s="328">
        <v>129</v>
      </c>
      <c r="AN380" s="328">
        <v>64</v>
      </c>
      <c r="AO380" s="328">
        <v>1598277</v>
      </c>
    </row>
    <row r="381" spans="1:41" ht="15.75">
      <c r="A381" s="333">
        <v>375</v>
      </c>
      <c r="B381" s="4" t="s">
        <v>161</v>
      </c>
      <c r="C381" s="399">
        <v>100018240</v>
      </c>
      <c r="D381" s="328">
        <v>6183</v>
      </c>
      <c r="E381" s="328">
        <v>361</v>
      </c>
      <c r="G381" s="328">
        <v>108</v>
      </c>
      <c r="H381" s="328">
        <v>253</v>
      </c>
      <c r="I381" s="328">
        <v>5333</v>
      </c>
      <c r="J381" s="328">
        <v>0</v>
      </c>
      <c r="K381" s="328">
        <v>5333</v>
      </c>
      <c r="N381" s="399">
        <v>100018240</v>
      </c>
      <c r="O381" s="328">
        <v>0</v>
      </c>
      <c r="P381" s="328">
        <v>108</v>
      </c>
      <c r="Q381" s="328">
        <v>253</v>
      </c>
      <c r="R381" s="328">
        <v>361</v>
      </c>
      <c r="S381" s="328">
        <v>9949089</v>
      </c>
      <c r="T381" s="4">
        <v>1.96</v>
      </c>
      <c r="U381" s="165">
        <f>VLOOKUP(N381,'[2]154'!$C$9:$T$554,18,0)</f>
        <v>361</v>
      </c>
      <c r="V381" s="399">
        <v>100018240</v>
      </c>
      <c r="W381" s="407">
        <v>5333</v>
      </c>
      <c r="X381" s="405">
        <v>38863.627414213392</v>
      </c>
      <c r="Y381" s="407">
        <v>207259725</v>
      </c>
      <c r="AA381" s="399">
        <v>100018240</v>
      </c>
      <c r="AB381" s="328">
        <v>0</v>
      </c>
      <c r="AC381" s="328">
        <v>108</v>
      </c>
      <c r="AD381" s="328">
        <v>253</v>
      </c>
      <c r="AE381" s="328">
        <v>361</v>
      </c>
      <c r="AF381" s="328">
        <v>256</v>
      </c>
      <c r="AG381" s="328">
        <v>3555981</v>
      </c>
      <c r="AI381" s="399">
        <v>100018240</v>
      </c>
      <c r="AJ381" s="328">
        <v>0</v>
      </c>
      <c r="AK381" s="328">
        <v>108</v>
      </c>
      <c r="AL381" s="328">
        <v>253</v>
      </c>
      <c r="AM381" s="328">
        <v>361</v>
      </c>
      <c r="AN381" s="328">
        <v>256</v>
      </c>
      <c r="AO381" s="328">
        <v>6393108</v>
      </c>
    </row>
    <row r="382" spans="1:41" ht="15.75">
      <c r="A382" s="333">
        <v>376</v>
      </c>
      <c r="B382" s="4" t="s">
        <v>161</v>
      </c>
      <c r="C382" s="399">
        <v>100018242</v>
      </c>
      <c r="D382" s="328">
        <v>1841</v>
      </c>
      <c r="E382" s="328">
        <v>80</v>
      </c>
      <c r="G382" s="328">
        <v>49</v>
      </c>
      <c r="H382" s="328">
        <v>31</v>
      </c>
      <c r="I382" s="328">
        <v>0</v>
      </c>
      <c r="J382" s="328">
        <v>0</v>
      </c>
      <c r="K382" s="328">
        <v>0</v>
      </c>
      <c r="N382" s="399">
        <v>100018242</v>
      </c>
      <c r="O382" s="328">
        <v>0</v>
      </c>
      <c r="P382" s="328">
        <v>49</v>
      </c>
      <c r="Q382" s="328">
        <v>31</v>
      </c>
      <c r="R382" s="328">
        <v>80</v>
      </c>
      <c r="S382" s="328">
        <v>1612841</v>
      </c>
      <c r="T382" s="4">
        <v>1.66</v>
      </c>
      <c r="U382" s="165">
        <f>VLOOKUP(N382,'[2]154'!$C$9:$T$554,18,0)</f>
        <v>80</v>
      </c>
      <c r="V382" s="399">
        <v>100018242</v>
      </c>
      <c r="W382" s="407">
        <v>0</v>
      </c>
      <c r="X382" s="405">
        <v>0</v>
      </c>
      <c r="Y382" s="407">
        <v>0</v>
      </c>
      <c r="AA382" s="399">
        <v>100018242</v>
      </c>
      <c r="AB382" s="328">
        <v>0</v>
      </c>
      <c r="AC382" s="328">
        <v>49</v>
      </c>
      <c r="AD382" s="328">
        <v>31</v>
      </c>
      <c r="AE382" s="328">
        <v>80</v>
      </c>
      <c r="AF382" s="328">
        <v>49</v>
      </c>
      <c r="AG382" s="328">
        <v>576458</v>
      </c>
      <c r="AI382" s="399">
        <v>100018242</v>
      </c>
      <c r="AJ382" s="328">
        <v>0</v>
      </c>
      <c r="AK382" s="328">
        <v>49</v>
      </c>
      <c r="AL382" s="328">
        <v>31</v>
      </c>
      <c r="AM382" s="328">
        <v>80</v>
      </c>
      <c r="AN382" s="328">
        <v>49</v>
      </c>
      <c r="AO382" s="328">
        <v>1036383</v>
      </c>
    </row>
    <row r="383" spans="1:41" ht="15.75">
      <c r="A383" s="333">
        <v>377</v>
      </c>
      <c r="B383" s="4" t="s">
        <v>161</v>
      </c>
      <c r="C383" s="399">
        <v>100019044</v>
      </c>
      <c r="D383" s="328">
        <v>12790</v>
      </c>
      <c r="E383" s="328">
        <v>996</v>
      </c>
      <c r="F383" s="328">
        <v>8</v>
      </c>
      <c r="G383" s="328">
        <v>102</v>
      </c>
      <c r="H383" s="328">
        <v>886</v>
      </c>
      <c r="I383" s="328">
        <v>10264</v>
      </c>
      <c r="J383" s="328">
        <v>0</v>
      </c>
      <c r="K383" s="328">
        <v>10264</v>
      </c>
      <c r="N383" s="399">
        <v>100019044</v>
      </c>
      <c r="O383" s="328">
        <v>8</v>
      </c>
      <c r="P383" s="328">
        <v>102</v>
      </c>
      <c r="Q383" s="328">
        <v>886</v>
      </c>
      <c r="R383" s="328">
        <v>996</v>
      </c>
      <c r="S383" s="328">
        <v>29726115</v>
      </c>
      <c r="T383" s="4">
        <v>1.97</v>
      </c>
      <c r="U383" s="165">
        <f>VLOOKUP(N383,'[2]154'!$C$9:$T$554,18,0)</f>
        <v>996</v>
      </c>
      <c r="V383" s="399">
        <v>100019044</v>
      </c>
      <c r="W383" s="407">
        <v>10264</v>
      </c>
      <c r="X383" s="405">
        <v>39061.911340607949</v>
      </c>
      <c r="Y383" s="407">
        <v>400931458</v>
      </c>
      <c r="AA383" s="399">
        <v>100019044</v>
      </c>
      <c r="AB383" s="328">
        <v>8</v>
      </c>
      <c r="AC383" s="328">
        <v>102</v>
      </c>
      <c r="AD383" s="328">
        <v>886</v>
      </c>
      <c r="AE383" s="328">
        <v>996</v>
      </c>
      <c r="AF383" s="328">
        <v>761</v>
      </c>
      <c r="AG383" s="328">
        <v>10624641</v>
      </c>
      <c r="AI383" s="399">
        <v>100019044</v>
      </c>
      <c r="AJ383" s="328">
        <v>8</v>
      </c>
      <c r="AK383" s="328">
        <v>102</v>
      </c>
      <c r="AL383" s="328">
        <v>886</v>
      </c>
      <c r="AM383" s="328">
        <v>996</v>
      </c>
      <c r="AN383" s="328">
        <v>761</v>
      </c>
      <c r="AO383" s="328">
        <v>19101474</v>
      </c>
    </row>
    <row r="384" spans="1:41" ht="15.75">
      <c r="A384" s="333">
        <v>378</v>
      </c>
      <c r="B384" s="4" t="s">
        <v>161</v>
      </c>
      <c r="C384" s="399">
        <v>100023527</v>
      </c>
      <c r="D384" s="328">
        <v>14681</v>
      </c>
      <c r="E384" s="328">
        <v>671</v>
      </c>
      <c r="F384" s="328">
        <v>11</v>
      </c>
      <c r="G384" s="328">
        <v>185</v>
      </c>
      <c r="H384" s="328">
        <v>475</v>
      </c>
      <c r="I384" s="328">
        <v>0</v>
      </c>
      <c r="J384" s="328">
        <v>0</v>
      </c>
      <c r="K384" s="328">
        <v>0</v>
      </c>
      <c r="N384" s="399">
        <v>100023527</v>
      </c>
      <c r="O384" s="328">
        <v>11</v>
      </c>
      <c r="P384" s="328">
        <v>185</v>
      </c>
      <c r="Q384" s="328">
        <v>475</v>
      </c>
      <c r="R384" s="328">
        <v>671</v>
      </c>
      <c r="S384" s="328">
        <v>12338210</v>
      </c>
      <c r="T384" s="4">
        <v>1.31</v>
      </c>
      <c r="U384" s="165">
        <f>VLOOKUP(N384,'[2]154'!$C$9:$T$554,18,0)</f>
        <v>671</v>
      </c>
      <c r="V384" s="399">
        <v>100023527</v>
      </c>
      <c r="W384" s="407">
        <v>0</v>
      </c>
      <c r="X384" s="405">
        <v>0</v>
      </c>
      <c r="Y384" s="407">
        <v>0</v>
      </c>
      <c r="AA384" s="399">
        <v>100023527</v>
      </c>
      <c r="AB384" s="328">
        <v>11</v>
      </c>
      <c r="AC384" s="328">
        <v>185</v>
      </c>
      <c r="AD384" s="328">
        <v>475</v>
      </c>
      <c r="AE384" s="328">
        <v>671</v>
      </c>
      <c r="AF384" s="328">
        <v>475</v>
      </c>
      <c r="AG384" s="328">
        <v>4409895</v>
      </c>
      <c r="AI384" s="399">
        <v>100023527</v>
      </c>
      <c r="AJ384" s="328">
        <v>11</v>
      </c>
      <c r="AK384" s="328">
        <v>185</v>
      </c>
      <c r="AL384" s="328">
        <v>475</v>
      </c>
      <c r="AM384" s="328">
        <v>671</v>
      </c>
      <c r="AN384" s="328">
        <v>475</v>
      </c>
      <c r="AO384" s="328">
        <v>7928315</v>
      </c>
    </row>
    <row r="385" spans="1:41" ht="15.75">
      <c r="A385" s="333">
        <v>379</v>
      </c>
      <c r="B385" s="4" t="s">
        <v>161</v>
      </c>
      <c r="C385" s="399">
        <v>100024705</v>
      </c>
      <c r="D385" s="328">
        <v>4824</v>
      </c>
      <c r="E385" s="328">
        <v>2500</v>
      </c>
      <c r="G385" s="328">
        <v>49</v>
      </c>
      <c r="H385" s="328">
        <v>2451</v>
      </c>
      <c r="I385" s="328">
        <v>2324</v>
      </c>
      <c r="J385" s="328">
        <v>0</v>
      </c>
      <c r="K385" s="328">
        <v>2324</v>
      </c>
      <c r="N385" s="399">
        <v>100024705</v>
      </c>
      <c r="O385" s="328">
        <v>0</v>
      </c>
      <c r="P385" s="328">
        <v>49</v>
      </c>
      <c r="Q385" s="328">
        <v>2451</v>
      </c>
      <c r="R385" s="328">
        <v>2500</v>
      </c>
      <c r="S385" s="328">
        <v>46050424</v>
      </c>
      <c r="T385" s="4">
        <v>1.17</v>
      </c>
      <c r="U385" s="165">
        <f>VLOOKUP(N385,'[2]154'!$C$9:$T$554,18,0)</f>
        <v>2500</v>
      </c>
      <c r="V385" s="399">
        <v>100024705</v>
      </c>
      <c r="W385" s="407">
        <v>2324</v>
      </c>
      <c r="X385" s="405">
        <v>23199.206540447503</v>
      </c>
      <c r="Y385" s="407">
        <v>53914956</v>
      </c>
      <c r="AA385" s="399">
        <v>100024705</v>
      </c>
      <c r="AB385" s="328">
        <v>0</v>
      </c>
      <c r="AC385" s="328">
        <v>49</v>
      </c>
      <c r="AD385" s="328">
        <v>2451</v>
      </c>
      <c r="AE385" s="328">
        <v>2500</v>
      </c>
      <c r="AF385" s="328">
        <v>1985</v>
      </c>
      <c r="AG385" s="328">
        <v>16459239</v>
      </c>
      <c r="AI385" s="399">
        <v>100024705</v>
      </c>
      <c r="AJ385" s="328">
        <v>0</v>
      </c>
      <c r="AK385" s="328">
        <v>49</v>
      </c>
      <c r="AL385" s="328">
        <v>2451</v>
      </c>
      <c r="AM385" s="328">
        <v>2500</v>
      </c>
      <c r="AN385" s="328">
        <v>1985</v>
      </c>
      <c r="AO385" s="328">
        <v>29591185</v>
      </c>
    </row>
    <row r="386" spans="1:41" ht="15.75">
      <c r="A386" s="333">
        <v>380</v>
      </c>
      <c r="B386" s="4" t="s">
        <v>161</v>
      </c>
      <c r="C386" s="399">
        <v>100027400</v>
      </c>
      <c r="D386" s="328">
        <v>803</v>
      </c>
      <c r="E386" s="328">
        <v>27</v>
      </c>
      <c r="F386" s="328">
        <v>1</v>
      </c>
      <c r="G386" s="328">
        <v>12</v>
      </c>
      <c r="H386" s="328">
        <v>14</v>
      </c>
      <c r="I386" s="328">
        <v>0</v>
      </c>
      <c r="J386" s="328">
        <v>0</v>
      </c>
      <c r="K386" s="328">
        <v>0</v>
      </c>
      <c r="N386" s="399">
        <v>100027400</v>
      </c>
      <c r="O386" s="328">
        <v>1</v>
      </c>
      <c r="P386" s="328">
        <v>12</v>
      </c>
      <c r="Q386" s="328">
        <v>14</v>
      </c>
      <c r="R386" s="328">
        <v>27</v>
      </c>
      <c r="S386" s="328">
        <v>667423</v>
      </c>
      <c r="T386" s="4">
        <v>1.98</v>
      </c>
      <c r="U386" s="165">
        <f>VLOOKUP(N386,'[2]154'!$C$9:$T$554,18,0)</f>
        <v>27</v>
      </c>
      <c r="V386" s="399">
        <v>100027400</v>
      </c>
      <c r="W386" s="407">
        <v>0</v>
      </c>
      <c r="X386" s="405">
        <v>0</v>
      </c>
      <c r="Y386" s="407">
        <v>0</v>
      </c>
      <c r="AA386" s="399">
        <v>100027400</v>
      </c>
      <c r="AB386" s="328">
        <v>1</v>
      </c>
      <c r="AC386" s="328">
        <v>12</v>
      </c>
      <c r="AD386" s="328">
        <v>14</v>
      </c>
      <c r="AE386" s="328">
        <v>27</v>
      </c>
      <c r="AF386" s="328">
        <v>17</v>
      </c>
      <c r="AG386" s="328">
        <v>238549</v>
      </c>
      <c r="AI386" s="399">
        <v>100027400</v>
      </c>
      <c r="AJ386" s="328">
        <v>1</v>
      </c>
      <c r="AK386" s="328">
        <v>12</v>
      </c>
      <c r="AL386" s="328">
        <v>14</v>
      </c>
      <c r="AM386" s="328">
        <v>27</v>
      </c>
      <c r="AN386" s="328">
        <v>17</v>
      </c>
      <c r="AO386" s="328">
        <v>428874</v>
      </c>
    </row>
    <row r="387" spans="1:41" ht="15.75">
      <c r="A387" s="333">
        <v>381</v>
      </c>
      <c r="B387" s="4" t="s">
        <v>161</v>
      </c>
      <c r="C387" s="399">
        <v>100027987</v>
      </c>
      <c r="D387" s="328">
        <v>5798</v>
      </c>
      <c r="E387" s="328">
        <v>260</v>
      </c>
      <c r="G387" s="328">
        <v>38</v>
      </c>
      <c r="H387" s="328">
        <v>222</v>
      </c>
      <c r="I387" s="328">
        <v>0</v>
      </c>
      <c r="J387" s="328">
        <v>0</v>
      </c>
      <c r="K387" s="328">
        <v>0</v>
      </c>
      <c r="N387" s="399">
        <v>100027987</v>
      </c>
      <c r="O387" s="328">
        <v>0</v>
      </c>
      <c r="P387" s="328">
        <v>38</v>
      </c>
      <c r="Q387" s="328">
        <v>222</v>
      </c>
      <c r="R387" s="328">
        <v>260</v>
      </c>
      <c r="S387" s="328">
        <v>7148330</v>
      </c>
      <c r="T387" s="4">
        <v>1.83</v>
      </c>
      <c r="U387" s="165">
        <f>VLOOKUP(N387,'[2]154'!$C$9:$T$554,18,0)</f>
        <v>260</v>
      </c>
      <c r="V387" s="399">
        <v>100027987</v>
      </c>
      <c r="W387" s="407">
        <v>0</v>
      </c>
      <c r="X387" s="405">
        <v>0</v>
      </c>
      <c r="Y387" s="407">
        <v>0</v>
      </c>
      <c r="AA387" s="399">
        <v>100027987</v>
      </c>
      <c r="AB387" s="328">
        <v>0</v>
      </c>
      <c r="AC387" s="328">
        <v>38</v>
      </c>
      <c r="AD387" s="328">
        <v>222</v>
      </c>
      <c r="AE387" s="328">
        <v>260</v>
      </c>
      <c r="AF387" s="328">
        <v>197</v>
      </c>
      <c r="AG387" s="328">
        <v>2554940</v>
      </c>
      <c r="AI387" s="399">
        <v>100027987</v>
      </c>
      <c r="AJ387" s="328">
        <v>0</v>
      </c>
      <c r="AK387" s="328">
        <v>38</v>
      </c>
      <c r="AL387" s="328">
        <v>222</v>
      </c>
      <c r="AM387" s="328">
        <v>260</v>
      </c>
      <c r="AN387" s="328">
        <v>197</v>
      </c>
      <c r="AO387" s="328">
        <v>4593390</v>
      </c>
    </row>
    <row r="388" spans="1:41" ht="15.75">
      <c r="A388" s="333">
        <v>382</v>
      </c>
      <c r="B388" s="4" t="s">
        <v>161</v>
      </c>
      <c r="C388" s="399">
        <v>100028764</v>
      </c>
      <c r="D388" s="328">
        <v>4565</v>
      </c>
      <c r="E388" s="328">
        <v>4520</v>
      </c>
      <c r="F388" s="328">
        <v>2684</v>
      </c>
      <c r="G388" s="328">
        <v>1481</v>
      </c>
      <c r="H388" s="328">
        <v>355</v>
      </c>
      <c r="I388" s="328">
        <v>45</v>
      </c>
      <c r="J388" s="328">
        <v>0</v>
      </c>
      <c r="K388" s="328">
        <v>45</v>
      </c>
      <c r="N388" s="399">
        <v>100028764</v>
      </c>
      <c r="O388" s="328">
        <v>2684</v>
      </c>
      <c r="P388" s="328">
        <v>1481</v>
      </c>
      <c r="Q388" s="328">
        <v>355</v>
      </c>
      <c r="R388" s="328">
        <v>4520</v>
      </c>
      <c r="S388" s="328">
        <v>61904207</v>
      </c>
      <c r="T388" s="4">
        <v>2</v>
      </c>
      <c r="U388" s="165">
        <f>VLOOKUP(N388,'[2]154'!$C$9:$T$554,18,0)</f>
        <v>4520</v>
      </c>
      <c r="V388" s="399">
        <v>100028764</v>
      </c>
      <c r="W388" s="407">
        <v>45</v>
      </c>
      <c r="X388" s="405">
        <v>39656.755555555559</v>
      </c>
      <c r="Y388" s="407">
        <v>1784554</v>
      </c>
      <c r="AA388" s="399">
        <v>100028764</v>
      </c>
      <c r="AB388" s="328">
        <v>2684</v>
      </c>
      <c r="AC388" s="328">
        <v>1481</v>
      </c>
      <c r="AD388" s="328">
        <v>355</v>
      </c>
      <c r="AE388" s="328">
        <v>4520</v>
      </c>
      <c r="AF388" s="328">
        <v>1561</v>
      </c>
      <c r="AG388" s="328">
        <v>22125663</v>
      </c>
      <c r="AI388" s="399">
        <v>100028764</v>
      </c>
      <c r="AJ388" s="328">
        <v>2684</v>
      </c>
      <c r="AK388" s="328">
        <v>1481</v>
      </c>
      <c r="AL388" s="328">
        <v>355</v>
      </c>
      <c r="AM388" s="328">
        <v>4520</v>
      </c>
      <c r="AN388" s="328">
        <v>1561</v>
      </c>
      <c r="AO388" s="328">
        <v>39778544</v>
      </c>
    </row>
    <row r="389" spans="1:41" ht="15.75">
      <c r="A389" s="333">
        <v>383</v>
      </c>
      <c r="B389" s="4" t="s">
        <v>161</v>
      </c>
      <c r="C389" s="399">
        <v>100033322</v>
      </c>
      <c r="D389" s="328">
        <v>4396</v>
      </c>
      <c r="E389" s="328">
        <v>82</v>
      </c>
      <c r="G389" s="328">
        <v>44</v>
      </c>
      <c r="H389" s="328">
        <v>38</v>
      </c>
      <c r="I389" s="328">
        <v>0</v>
      </c>
      <c r="J389" s="328">
        <v>0</v>
      </c>
      <c r="K389" s="328">
        <v>0</v>
      </c>
      <c r="N389" s="399">
        <v>100033322</v>
      </c>
      <c r="O389" s="328">
        <v>0</v>
      </c>
      <c r="P389" s="328">
        <v>44</v>
      </c>
      <c r="Q389" s="328">
        <v>38</v>
      </c>
      <c r="R389" s="328">
        <v>82</v>
      </c>
      <c r="S389" s="328">
        <v>1897180</v>
      </c>
      <c r="T389" s="4">
        <v>1.84</v>
      </c>
      <c r="U389" s="165">
        <f>VLOOKUP(N389,'[2]154'!$C$9:$T$554,18,0)</f>
        <v>82</v>
      </c>
      <c r="V389" s="399">
        <v>100033322</v>
      </c>
      <c r="W389" s="407">
        <v>0</v>
      </c>
      <c r="X389" s="405">
        <v>0</v>
      </c>
      <c r="Y389" s="407">
        <v>0</v>
      </c>
      <c r="AA389" s="399">
        <v>100033322</v>
      </c>
      <c r="AB389" s="328">
        <v>0</v>
      </c>
      <c r="AC389" s="328">
        <v>44</v>
      </c>
      <c r="AD389" s="328">
        <v>38</v>
      </c>
      <c r="AE389" s="328">
        <v>82</v>
      </c>
      <c r="AF389" s="328">
        <v>52</v>
      </c>
      <c r="AG389" s="328">
        <v>678086</v>
      </c>
      <c r="AI389" s="399">
        <v>100033322</v>
      </c>
      <c r="AJ389" s="328">
        <v>0</v>
      </c>
      <c r="AK389" s="328">
        <v>44</v>
      </c>
      <c r="AL389" s="328">
        <v>38</v>
      </c>
      <c r="AM389" s="328">
        <v>82</v>
      </c>
      <c r="AN389" s="328">
        <v>52</v>
      </c>
      <c r="AO389" s="328">
        <v>1219094</v>
      </c>
    </row>
    <row r="390" spans="1:41" ht="15.75">
      <c r="A390" s="333">
        <v>384</v>
      </c>
      <c r="B390" s="4" t="s">
        <v>101</v>
      </c>
      <c r="C390" s="399">
        <v>100034173</v>
      </c>
      <c r="D390" s="328">
        <v>6878</v>
      </c>
      <c r="E390" s="328">
        <v>5421</v>
      </c>
      <c r="F390" s="328">
        <v>2874</v>
      </c>
      <c r="G390" s="328">
        <v>1638</v>
      </c>
      <c r="H390" s="328">
        <v>909</v>
      </c>
      <c r="I390" s="328">
        <v>1453</v>
      </c>
      <c r="J390" s="328">
        <v>0</v>
      </c>
      <c r="K390" s="328">
        <v>1453</v>
      </c>
      <c r="N390" s="399">
        <v>100034173</v>
      </c>
      <c r="O390" s="328">
        <v>2874</v>
      </c>
      <c r="P390" s="328">
        <v>1638</v>
      </c>
      <c r="Q390" s="328">
        <v>909</v>
      </c>
      <c r="R390" s="328">
        <v>5421</v>
      </c>
      <c r="S390" s="328">
        <v>82009194</v>
      </c>
      <c r="T390" s="4">
        <v>1.95</v>
      </c>
      <c r="U390" s="165">
        <f>VLOOKUP(N390,'[2]154'!$C$9:$T$554,18,0)</f>
        <v>5421</v>
      </c>
      <c r="V390" s="399">
        <v>100034173</v>
      </c>
      <c r="W390" s="407">
        <v>1453</v>
      </c>
      <c r="X390" s="405">
        <v>38665.344115622851</v>
      </c>
      <c r="Y390" s="407">
        <v>56180745</v>
      </c>
      <c r="AA390" s="399">
        <v>100034173</v>
      </c>
      <c r="AB390" s="328">
        <v>2874</v>
      </c>
      <c r="AC390" s="328">
        <v>1638</v>
      </c>
      <c r="AD390" s="328">
        <v>909</v>
      </c>
      <c r="AE390" s="328">
        <v>5421</v>
      </c>
      <c r="AF390" s="328">
        <v>2121</v>
      </c>
      <c r="AG390" s="328">
        <v>29311542</v>
      </c>
      <c r="AI390" s="399">
        <v>100034173</v>
      </c>
      <c r="AJ390" s="328">
        <v>2874</v>
      </c>
      <c r="AK390" s="328">
        <v>1638</v>
      </c>
      <c r="AL390" s="328">
        <v>909</v>
      </c>
      <c r="AM390" s="328">
        <v>5421</v>
      </c>
      <c r="AN390" s="328">
        <v>2121</v>
      </c>
      <c r="AO390" s="328">
        <v>52697652</v>
      </c>
    </row>
    <row r="391" spans="1:41" ht="15.75">
      <c r="A391" s="333">
        <v>385</v>
      </c>
      <c r="B391" s="4" t="s">
        <v>108</v>
      </c>
      <c r="C391" s="399">
        <v>182034833</v>
      </c>
      <c r="D391" s="328">
        <v>1718</v>
      </c>
      <c r="E391" s="328">
        <v>51</v>
      </c>
      <c r="H391" s="328">
        <v>51</v>
      </c>
      <c r="I391" s="328">
        <v>1653</v>
      </c>
      <c r="J391" s="328">
        <v>0</v>
      </c>
      <c r="K391" s="328">
        <v>1653</v>
      </c>
      <c r="N391" s="399">
        <v>182034833</v>
      </c>
      <c r="O391" s="328">
        <v>0</v>
      </c>
      <c r="P391" s="328">
        <v>0</v>
      </c>
      <c r="Q391" s="328">
        <v>51</v>
      </c>
      <c r="R391" s="328">
        <v>51</v>
      </c>
      <c r="S391" s="328">
        <v>3625818</v>
      </c>
      <c r="T391" s="4">
        <v>4.46</v>
      </c>
      <c r="U391" s="165">
        <f>VLOOKUP(N391,'[2]154'!$C$9:$T$554,18,0)</f>
        <v>51</v>
      </c>
      <c r="V391" s="399">
        <v>182034833</v>
      </c>
      <c r="W391" s="407">
        <v>1653</v>
      </c>
      <c r="X391" s="405">
        <v>88434.580762250451</v>
      </c>
      <c r="Y391" s="407">
        <v>146182362</v>
      </c>
      <c r="AA391" s="399">
        <v>182034833</v>
      </c>
      <c r="AB391" s="328">
        <v>0</v>
      </c>
      <c r="AC391" s="328">
        <v>0</v>
      </c>
      <c r="AD391" s="328">
        <v>51</v>
      </c>
      <c r="AE391" s="328">
        <v>51</v>
      </c>
      <c r="AF391" s="328">
        <v>41</v>
      </c>
      <c r="AG391" s="328">
        <v>1295932</v>
      </c>
      <c r="AI391" s="399">
        <v>182034833</v>
      </c>
      <c r="AJ391" s="328">
        <v>0</v>
      </c>
      <c r="AK391" s="328">
        <v>0</v>
      </c>
      <c r="AL391" s="328">
        <v>51</v>
      </c>
      <c r="AM391" s="328">
        <v>51</v>
      </c>
      <c r="AN391" s="328">
        <v>41</v>
      </c>
      <c r="AO391" s="328">
        <v>2329886</v>
      </c>
    </row>
    <row r="392" spans="1:41" ht="15.75">
      <c r="A392" s="333">
        <v>386</v>
      </c>
      <c r="B392" s="169" t="s">
        <v>105</v>
      </c>
      <c r="C392" s="399">
        <v>464035</v>
      </c>
      <c r="D392" s="328">
        <v>12678</v>
      </c>
      <c r="E392" s="328">
        <v>6755</v>
      </c>
      <c r="F392" s="328">
        <v>1320</v>
      </c>
      <c r="G392" s="328">
        <v>3803</v>
      </c>
      <c r="H392" s="328">
        <v>1632</v>
      </c>
      <c r="I392" s="328">
        <v>5923</v>
      </c>
      <c r="J392" s="328">
        <v>0</v>
      </c>
      <c r="K392" s="328">
        <v>5923</v>
      </c>
      <c r="N392" s="399">
        <v>464035</v>
      </c>
      <c r="O392" s="328">
        <v>1320</v>
      </c>
      <c r="P392" s="328">
        <v>3803</v>
      </c>
      <c r="Q392" s="328">
        <v>1632</v>
      </c>
      <c r="R392" s="328">
        <v>6755</v>
      </c>
      <c r="S392" s="328">
        <v>137648623</v>
      </c>
      <c r="T392" s="4">
        <v>2</v>
      </c>
      <c r="U392" s="165">
        <f>VLOOKUP(N392,'[2]154'!$C$9:$T$554,18,0)</f>
        <v>6755</v>
      </c>
      <c r="V392" s="399">
        <v>464035</v>
      </c>
      <c r="W392" s="407">
        <v>5923</v>
      </c>
      <c r="X392" s="405">
        <v>39656.762789127133</v>
      </c>
      <c r="Y392" s="407">
        <v>234887006</v>
      </c>
      <c r="AA392" s="399">
        <v>464035</v>
      </c>
      <c r="AB392" s="328">
        <v>1320</v>
      </c>
      <c r="AC392" s="328">
        <v>3803</v>
      </c>
      <c r="AD392" s="328">
        <v>1632</v>
      </c>
      <c r="AE392" s="328">
        <v>6755</v>
      </c>
      <c r="AF392" s="328">
        <v>3471</v>
      </c>
      <c r="AG392" s="328">
        <v>49198061</v>
      </c>
      <c r="AI392" s="399">
        <v>464035</v>
      </c>
      <c r="AJ392" s="328">
        <v>1320</v>
      </c>
      <c r="AK392" s="328">
        <v>3803</v>
      </c>
      <c r="AL392" s="328">
        <v>1632</v>
      </c>
      <c r="AM392" s="328">
        <v>6755</v>
      </c>
      <c r="AN392" s="328">
        <v>3471</v>
      </c>
      <c r="AO392" s="328">
        <v>88450562</v>
      </c>
    </row>
    <row r="393" spans="1:41" ht="15.75">
      <c r="A393" s="333">
        <v>387</v>
      </c>
      <c r="B393" s="169" t="s">
        <v>105</v>
      </c>
      <c r="C393" s="399">
        <v>464354</v>
      </c>
      <c r="D393" s="328">
        <v>17461</v>
      </c>
      <c r="E393" s="328">
        <v>8143</v>
      </c>
      <c r="F393" s="328">
        <v>1</v>
      </c>
      <c r="G393" s="328">
        <v>3685</v>
      </c>
      <c r="H393" s="328">
        <v>4457</v>
      </c>
      <c r="I393" s="328">
        <v>9318</v>
      </c>
      <c r="J393" s="328">
        <v>0</v>
      </c>
      <c r="K393" s="328">
        <v>9318</v>
      </c>
      <c r="N393" s="399">
        <v>464354</v>
      </c>
      <c r="O393" s="328">
        <v>1</v>
      </c>
      <c r="P393" s="328">
        <v>3685</v>
      </c>
      <c r="Q393" s="328">
        <v>4457</v>
      </c>
      <c r="R393" s="328">
        <v>8143</v>
      </c>
      <c r="S393" s="328">
        <v>144763046</v>
      </c>
      <c r="T393" s="4">
        <v>1.35</v>
      </c>
      <c r="U393" s="165">
        <f>VLOOKUP(N393,'[2]154'!$C$9:$T$554,18,0)</f>
        <v>8143</v>
      </c>
      <c r="V393" s="399">
        <v>464354</v>
      </c>
      <c r="W393" s="407">
        <v>9318</v>
      </c>
      <c r="X393" s="405">
        <v>26768.314981755742</v>
      </c>
      <c r="Y393" s="407">
        <v>249427159</v>
      </c>
      <c r="AA393" s="399">
        <v>464354</v>
      </c>
      <c r="AB393" s="328">
        <v>1</v>
      </c>
      <c r="AC393" s="328">
        <v>3685</v>
      </c>
      <c r="AD393" s="328">
        <v>4457</v>
      </c>
      <c r="AE393" s="328">
        <v>8143</v>
      </c>
      <c r="AF393" s="328">
        <v>5408</v>
      </c>
      <c r="AG393" s="328">
        <v>51740882</v>
      </c>
      <c r="AI393" s="399">
        <v>464354</v>
      </c>
      <c r="AJ393" s="328">
        <v>1</v>
      </c>
      <c r="AK393" s="328">
        <v>3685</v>
      </c>
      <c r="AL393" s="328">
        <v>4457</v>
      </c>
      <c r="AM393" s="328">
        <v>8143</v>
      </c>
      <c r="AN393" s="328">
        <v>5408</v>
      </c>
      <c r="AO393" s="328">
        <v>93022164</v>
      </c>
    </row>
    <row r="394" spans="1:41" ht="15.75">
      <c r="A394" s="333">
        <v>388</v>
      </c>
      <c r="B394" s="169" t="s">
        <v>105</v>
      </c>
      <c r="C394" s="399">
        <v>469491</v>
      </c>
      <c r="D394" s="328">
        <v>8893</v>
      </c>
      <c r="E394" s="328">
        <v>633</v>
      </c>
      <c r="F394" s="328">
        <v>6</v>
      </c>
      <c r="G394" s="328">
        <v>200</v>
      </c>
      <c r="H394" s="328">
        <v>427</v>
      </c>
      <c r="I394" s="328">
        <v>0</v>
      </c>
      <c r="J394" s="328">
        <v>0</v>
      </c>
      <c r="K394" s="328">
        <v>0</v>
      </c>
      <c r="N394" s="399">
        <v>469491</v>
      </c>
      <c r="O394" s="328">
        <v>6</v>
      </c>
      <c r="P394" s="328">
        <v>200</v>
      </c>
      <c r="Q394" s="328">
        <v>427</v>
      </c>
      <c r="R394" s="328">
        <v>633</v>
      </c>
      <c r="S394" s="328">
        <v>16250350</v>
      </c>
      <c r="T394" s="4">
        <v>1.85</v>
      </c>
      <c r="U394" s="165">
        <f>VLOOKUP(N394,'[2]154'!$C$9:$T$554,18,0)</f>
        <v>633</v>
      </c>
      <c r="V394" s="399">
        <v>469491</v>
      </c>
      <c r="W394" s="407">
        <v>0</v>
      </c>
      <c r="X394" s="405">
        <v>0</v>
      </c>
      <c r="Y394" s="407">
        <v>0</v>
      </c>
      <c r="AA394" s="399">
        <v>469491</v>
      </c>
      <c r="AB394" s="328">
        <v>6</v>
      </c>
      <c r="AC394" s="328">
        <v>200</v>
      </c>
      <c r="AD394" s="328">
        <v>427</v>
      </c>
      <c r="AE394" s="328">
        <v>633</v>
      </c>
      <c r="AF394" s="328">
        <v>443</v>
      </c>
      <c r="AG394" s="328">
        <v>5808164</v>
      </c>
      <c r="AI394" s="399">
        <v>469491</v>
      </c>
      <c r="AJ394" s="328">
        <v>6</v>
      </c>
      <c r="AK394" s="328">
        <v>200</v>
      </c>
      <c r="AL394" s="328">
        <v>427</v>
      </c>
      <c r="AM394" s="328">
        <v>633</v>
      </c>
      <c r="AN394" s="328">
        <v>443</v>
      </c>
      <c r="AO394" s="328">
        <v>10442186</v>
      </c>
    </row>
    <row r="395" spans="1:41" ht="15.75">
      <c r="A395" s="333">
        <v>389</v>
      </c>
      <c r="B395" s="169" t="s">
        <v>105</v>
      </c>
      <c r="C395" s="399">
        <v>474304</v>
      </c>
      <c r="D395" s="328">
        <v>10293</v>
      </c>
      <c r="E395" s="328">
        <v>1704</v>
      </c>
      <c r="G395" s="328">
        <v>505</v>
      </c>
      <c r="H395" s="328">
        <v>1199</v>
      </c>
      <c r="I395" s="328">
        <v>8589</v>
      </c>
      <c r="J395" s="328">
        <v>0</v>
      </c>
      <c r="K395" s="328">
        <v>8589</v>
      </c>
      <c r="N395" s="399">
        <v>474304</v>
      </c>
      <c r="O395" s="328">
        <v>0</v>
      </c>
      <c r="P395" s="328">
        <v>505</v>
      </c>
      <c r="Q395" s="328">
        <v>1199</v>
      </c>
      <c r="R395" s="328">
        <v>1704</v>
      </c>
      <c r="S395" s="328">
        <v>40854397</v>
      </c>
      <c r="T395" s="4">
        <v>1.7</v>
      </c>
      <c r="U395" s="165">
        <f>VLOOKUP(N395,'[2]154'!$C$9:$T$554,18,0)</f>
        <v>1704</v>
      </c>
      <c r="V395" s="399">
        <v>474304</v>
      </c>
      <c r="W395" s="407">
        <v>8589</v>
      </c>
      <c r="X395" s="405">
        <v>33708.248224473165</v>
      </c>
      <c r="Y395" s="407">
        <v>289520144</v>
      </c>
      <c r="AA395" s="399">
        <v>474304</v>
      </c>
      <c r="AB395" s="328">
        <v>0</v>
      </c>
      <c r="AC395" s="328">
        <v>505</v>
      </c>
      <c r="AD395" s="328">
        <v>1199</v>
      </c>
      <c r="AE395" s="328">
        <v>1704</v>
      </c>
      <c r="AF395" s="328">
        <v>1212</v>
      </c>
      <c r="AG395" s="328">
        <v>14602087</v>
      </c>
      <c r="AI395" s="399">
        <v>474304</v>
      </c>
      <c r="AJ395" s="328">
        <v>0</v>
      </c>
      <c r="AK395" s="328">
        <v>505</v>
      </c>
      <c r="AL395" s="328">
        <v>1199</v>
      </c>
      <c r="AM395" s="328">
        <v>1704</v>
      </c>
      <c r="AN395" s="328">
        <v>1212</v>
      </c>
      <c r="AO395" s="328">
        <v>26252310</v>
      </c>
    </row>
    <row r="396" spans="1:41" ht="15.75">
      <c r="A396" s="333">
        <v>390</v>
      </c>
      <c r="B396" s="4" t="s">
        <v>161</v>
      </c>
      <c r="C396" s="399" t="s">
        <v>577</v>
      </c>
      <c r="D396" s="328">
        <v>363</v>
      </c>
      <c r="E396" s="328">
        <v>120</v>
      </c>
      <c r="G396" s="328">
        <v>14</v>
      </c>
      <c r="H396" s="328">
        <v>106</v>
      </c>
      <c r="I396" s="328">
        <v>243</v>
      </c>
      <c r="J396" s="328">
        <v>0</v>
      </c>
      <c r="K396" s="328">
        <v>243</v>
      </c>
      <c r="N396" s="399" t="s">
        <v>577</v>
      </c>
      <c r="O396" s="328">
        <v>0</v>
      </c>
      <c r="P396" s="328">
        <v>14</v>
      </c>
      <c r="Q396" s="328">
        <v>106</v>
      </c>
      <c r="R396" s="328">
        <v>120</v>
      </c>
      <c r="S396" s="328">
        <v>2371474</v>
      </c>
      <c r="T396" s="4">
        <v>1.3</v>
      </c>
      <c r="U396" s="165">
        <f>VLOOKUP(N396,'[2]154'!$C$9:$T$554,18,0)</f>
        <v>120</v>
      </c>
      <c r="V396" s="399" t="s">
        <v>577</v>
      </c>
      <c r="W396" s="407">
        <v>243</v>
      </c>
      <c r="X396" s="405">
        <v>25776.897119341564</v>
      </c>
      <c r="Y396" s="407">
        <v>6263786</v>
      </c>
      <c r="AA396" s="399" t="s">
        <v>577</v>
      </c>
      <c r="AB396" s="328">
        <v>0</v>
      </c>
      <c r="AC396" s="328">
        <v>14</v>
      </c>
      <c r="AD396" s="328">
        <v>106</v>
      </c>
      <c r="AE396" s="328">
        <v>120</v>
      </c>
      <c r="AF396" s="328">
        <v>92</v>
      </c>
      <c r="AG396" s="328">
        <v>847607</v>
      </c>
      <c r="AI396" s="399" t="s">
        <v>577</v>
      </c>
      <c r="AJ396" s="328">
        <v>0</v>
      </c>
      <c r="AK396" s="328">
        <v>14</v>
      </c>
      <c r="AL396" s="328">
        <v>106</v>
      </c>
      <c r="AM396" s="328">
        <v>120</v>
      </c>
      <c r="AN396" s="328">
        <v>92</v>
      </c>
      <c r="AO396" s="328">
        <v>1523867</v>
      </c>
    </row>
    <row r="397" spans="1:41" ht="15.75">
      <c r="A397" s="333">
        <v>391</v>
      </c>
      <c r="B397" s="169" t="s">
        <v>106</v>
      </c>
      <c r="C397" s="399" t="s">
        <v>578</v>
      </c>
      <c r="D397" s="328">
        <v>8479</v>
      </c>
      <c r="E397" s="328">
        <v>3956</v>
      </c>
      <c r="F397" s="328">
        <v>1199</v>
      </c>
      <c r="G397" s="328">
        <v>834</v>
      </c>
      <c r="H397" s="328">
        <v>1923</v>
      </c>
      <c r="I397" s="328">
        <v>4506</v>
      </c>
      <c r="J397" s="328">
        <v>0</v>
      </c>
      <c r="K397" s="328">
        <v>4506</v>
      </c>
      <c r="N397" s="399" t="s">
        <v>578</v>
      </c>
      <c r="O397" s="328">
        <v>1199</v>
      </c>
      <c r="P397" s="328">
        <v>834</v>
      </c>
      <c r="Q397" s="328">
        <v>1923</v>
      </c>
      <c r="R397" s="328">
        <v>3956</v>
      </c>
      <c r="S397" s="328">
        <v>56580287</v>
      </c>
      <c r="T397" s="4">
        <v>1.3</v>
      </c>
      <c r="U397" s="165">
        <f>VLOOKUP(N397,'[2]154'!$C$9:$T$554,18,0)</f>
        <v>3956</v>
      </c>
      <c r="V397" s="399" t="s">
        <v>578</v>
      </c>
      <c r="W397" s="407">
        <v>4506</v>
      </c>
      <c r="X397" s="405">
        <v>25776.895694629384</v>
      </c>
      <c r="Y397" s="407">
        <v>116150692</v>
      </c>
      <c r="AA397" s="399" t="s">
        <v>578</v>
      </c>
      <c r="AB397" s="328">
        <v>1199</v>
      </c>
      <c r="AC397" s="328">
        <v>834</v>
      </c>
      <c r="AD397" s="328">
        <v>1923</v>
      </c>
      <c r="AE397" s="328">
        <v>3956</v>
      </c>
      <c r="AF397" s="328">
        <v>2195</v>
      </c>
      <c r="AG397" s="328">
        <v>20222799</v>
      </c>
      <c r="AI397" s="399" t="s">
        <v>578</v>
      </c>
      <c r="AJ397" s="328">
        <v>1199</v>
      </c>
      <c r="AK397" s="328">
        <v>834</v>
      </c>
      <c r="AL397" s="328">
        <v>1923</v>
      </c>
      <c r="AM397" s="328">
        <v>3956</v>
      </c>
      <c r="AN397" s="328">
        <v>2195</v>
      </c>
      <c r="AO397" s="328">
        <v>36357488</v>
      </c>
    </row>
    <row r="398" spans="1:41" ht="15.75">
      <c r="A398" s="333">
        <v>392</v>
      </c>
      <c r="B398" s="4" t="s">
        <v>107</v>
      </c>
      <c r="C398" s="399" t="s">
        <v>579</v>
      </c>
      <c r="D398" s="328">
        <v>0</v>
      </c>
      <c r="E398" s="328">
        <v>0</v>
      </c>
      <c r="F398" s="328">
        <v>0</v>
      </c>
      <c r="G398" s="328">
        <v>0</v>
      </c>
      <c r="H398" s="328">
        <v>0</v>
      </c>
      <c r="I398" s="328">
        <v>0</v>
      </c>
      <c r="J398" s="328">
        <v>0</v>
      </c>
      <c r="K398" s="328">
        <v>0</v>
      </c>
      <c r="N398" s="399" t="s">
        <v>579</v>
      </c>
      <c r="O398" s="328">
        <v>0</v>
      </c>
      <c r="P398" s="328">
        <v>0</v>
      </c>
      <c r="Q398" s="328">
        <v>0</v>
      </c>
      <c r="R398" s="328">
        <v>0</v>
      </c>
      <c r="S398" s="328">
        <v>0</v>
      </c>
      <c r="T398" s="4">
        <v>1.6</v>
      </c>
      <c r="U398" s="165" t="e">
        <f>VLOOKUP(N398,'[2]154'!$C$9:$T$554,18,0)</f>
        <v>#N/A</v>
      </c>
      <c r="V398" s="399" t="s">
        <v>579</v>
      </c>
      <c r="W398" s="407">
        <v>0</v>
      </c>
      <c r="X398" s="405">
        <v>0</v>
      </c>
      <c r="Y398" s="407">
        <v>0</v>
      </c>
      <c r="AA398" s="399" t="s">
        <v>579</v>
      </c>
      <c r="AB398" s="328">
        <v>0</v>
      </c>
      <c r="AC398" s="328">
        <v>0</v>
      </c>
      <c r="AD398" s="328">
        <v>0</v>
      </c>
      <c r="AE398" s="328">
        <v>0</v>
      </c>
      <c r="AF398" s="328">
        <v>0</v>
      </c>
      <c r="AG398" s="328">
        <v>0</v>
      </c>
      <c r="AI398" s="399" t="s">
        <v>579</v>
      </c>
      <c r="AJ398" s="328">
        <v>0</v>
      </c>
      <c r="AK398" s="328">
        <v>0</v>
      </c>
      <c r="AL398" s="328">
        <v>0</v>
      </c>
      <c r="AM398" s="328">
        <v>0</v>
      </c>
      <c r="AN398" s="328">
        <v>0</v>
      </c>
      <c r="AO398" s="328">
        <v>0</v>
      </c>
    </row>
    <row r="399" spans="1:41" ht="15.75">
      <c r="A399" s="333">
        <v>393</v>
      </c>
      <c r="B399" s="4" t="s">
        <v>107</v>
      </c>
      <c r="C399" s="399" t="s">
        <v>580</v>
      </c>
      <c r="D399" s="328">
        <v>0</v>
      </c>
      <c r="E399" s="328">
        <v>0</v>
      </c>
      <c r="F399" s="328">
        <v>0</v>
      </c>
      <c r="G399" s="328">
        <v>0</v>
      </c>
      <c r="H399" s="328">
        <v>0</v>
      </c>
      <c r="I399" s="328">
        <v>0</v>
      </c>
      <c r="J399" s="328">
        <v>0</v>
      </c>
      <c r="K399" s="328">
        <v>0</v>
      </c>
      <c r="N399" s="399" t="s">
        <v>580</v>
      </c>
      <c r="O399" s="328">
        <v>0</v>
      </c>
      <c r="P399" s="328">
        <v>0</v>
      </c>
      <c r="Q399" s="328">
        <v>0</v>
      </c>
      <c r="R399" s="328">
        <v>0</v>
      </c>
      <c r="S399" s="328">
        <v>0</v>
      </c>
      <c r="T399" s="4">
        <v>1.6</v>
      </c>
      <c r="U399" s="165" t="e">
        <f>VLOOKUP(N399,'[2]154'!$C$9:$T$554,18,0)</f>
        <v>#N/A</v>
      </c>
      <c r="V399" s="399" t="s">
        <v>580</v>
      </c>
      <c r="W399" s="407">
        <v>0</v>
      </c>
      <c r="X399" s="405">
        <v>0</v>
      </c>
      <c r="Y399" s="407">
        <v>0</v>
      </c>
      <c r="AA399" s="399" t="s">
        <v>580</v>
      </c>
      <c r="AB399" s="328">
        <v>0</v>
      </c>
      <c r="AC399" s="328">
        <v>0</v>
      </c>
      <c r="AD399" s="328">
        <v>0</v>
      </c>
      <c r="AE399" s="328">
        <v>0</v>
      </c>
      <c r="AF399" s="328">
        <v>0</v>
      </c>
      <c r="AG399" s="328">
        <v>0</v>
      </c>
      <c r="AI399" s="399" t="s">
        <v>580</v>
      </c>
      <c r="AJ399" s="328">
        <v>0</v>
      </c>
      <c r="AK399" s="328">
        <v>0</v>
      </c>
      <c r="AL399" s="328">
        <v>0</v>
      </c>
      <c r="AM399" s="328">
        <v>0</v>
      </c>
      <c r="AN399" s="328">
        <v>0</v>
      </c>
      <c r="AO399" s="328">
        <v>0</v>
      </c>
    </row>
    <row r="400" spans="1:41" ht="15.75">
      <c r="A400" s="333">
        <v>394</v>
      </c>
      <c r="B400" s="4" t="s">
        <v>107</v>
      </c>
      <c r="C400" s="399" t="s">
        <v>581</v>
      </c>
      <c r="D400" s="328">
        <v>0</v>
      </c>
      <c r="E400" s="328">
        <v>0</v>
      </c>
      <c r="F400" s="328">
        <v>0</v>
      </c>
      <c r="G400" s="328">
        <v>0</v>
      </c>
      <c r="H400" s="328">
        <v>0</v>
      </c>
      <c r="I400" s="328">
        <v>0</v>
      </c>
      <c r="J400" s="328">
        <v>0</v>
      </c>
      <c r="K400" s="328">
        <v>0</v>
      </c>
      <c r="N400" s="399" t="s">
        <v>581</v>
      </c>
      <c r="O400" s="328">
        <v>0</v>
      </c>
      <c r="P400" s="328">
        <v>0</v>
      </c>
      <c r="Q400" s="328">
        <v>0</v>
      </c>
      <c r="R400" s="328">
        <v>0</v>
      </c>
      <c r="S400" s="328">
        <v>0</v>
      </c>
      <c r="T400" s="4">
        <v>1.7</v>
      </c>
      <c r="U400" s="165" t="e">
        <f>VLOOKUP(N400,'[2]154'!$C$9:$T$554,18,0)</f>
        <v>#N/A</v>
      </c>
      <c r="V400" s="399" t="s">
        <v>581</v>
      </c>
      <c r="W400" s="407">
        <v>0</v>
      </c>
      <c r="X400" s="405">
        <v>0</v>
      </c>
      <c r="Y400" s="407">
        <v>0</v>
      </c>
      <c r="AA400" s="399" t="s">
        <v>581</v>
      </c>
      <c r="AB400" s="328">
        <v>0</v>
      </c>
      <c r="AC400" s="328">
        <v>0</v>
      </c>
      <c r="AD400" s="328">
        <v>0</v>
      </c>
      <c r="AE400" s="328">
        <v>0</v>
      </c>
      <c r="AF400" s="328">
        <v>0</v>
      </c>
      <c r="AG400" s="328">
        <v>0</v>
      </c>
      <c r="AI400" s="399" t="s">
        <v>581</v>
      </c>
      <c r="AJ400" s="328">
        <v>0</v>
      </c>
      <c r="AK400" s="328">
        <v>0</v>
      </c>
      <c r="AL400" s="328">
        <v>0</v>
      </c>
      <c r="AM400" s="328">
        <v>0</v>
      </c>
      <c r="AN400" s="328">
        <v>0</v>
      </c>
      <c r="AO400" s="328">
        <v>0</v>
      </c>
    </row>
    <row r="401" spans="1:41" ht="15.75">
      <c r="A401" s="333">
        <v>395</v>
      </c>
      <c r="B401" s="4" t="s">
        <v>107</v>
      </c>
      <c r="C401" s="399" t="s">
        <v>582</v>
      </c>
      <c r="D401" s="328">
        <v>0</v>
      </c>
      <c r="E401" s="328">
        <v>0</v>
      </c>
      <c r="F401" s="328">
        <v>0</v>
      </c>
      <c r="G401" s="328">
        <v>0</v>
      </c>
      <c r="H401" s="328">
        <v>0</v>
      </c>
      <c r="I401" s="328">
        <v>0</v>
      </c>
      <c r="J401" s="328">
        <v>0</v>
      </c>
      <c r="K401" s="328">
        <v>0</v>
      </c>
      <c r="N401" s="399" t="s">
        <v>582</v>
      </c>
      <c r="O401" s="328">
        <v>0</v>
      </c>
      <c r="P401" s="328">
        <v>0</v>
      </c>
      <c r="Q401" s="328">
        <v>0</v>
      </c>
      <c r="R401" s="328">
        <v>0</v>
      </c>
      <c r="S401" s="328">
        <v>0</v>
      </c>
      <c r="T401" s="4">
        <v>1.7</v>
      </c>
      <c r="U401" s="165" t="e">
        <f>VLOOKUP(N401,'[2]154'!$C$9:$T$554,18,0)</f>
        <v>#N/A</v>
      </c>
      <c r="V401" s="399" t="s">
        <v>582</v>
      </c>
      <c r="W401" s="407">
        <v>0</v>
      </c>
      <c r="X401" s="405">
        <v>0</v>
      </c>
      <c r="Y401" s="407">
        <v>0</v>
      </c>
      <c r="AA401" s="399" t="s">
        <v>582</v>
      </c>
      <c r="AB401" s="328">
        <v>0</v>
      </c>
      <c r="AC401" s="328">
        <v>0</v>
      </c>
      <c r="AD401" s="328">
        <v>0</v>
      </c>
      <c r="AE401" s="328">
        <v>0</v>
      </c>
      <c r="AF401" s="328">
        <v>0</v>
      </c>
      <c r="AG401" s="328">
        <v>0</v>
      </c>
      <c r="AI401" s="399" t="s">
        <v>582</v>
      </c>
      <c r="AJ401" s="328">
        <v>0</v>
      </c>
      <c r="AK401" s="328">
        <v>0</v>
      </c>
      <c r="AL401" s="328">
        <v>0</v>
      </c>
      <c r="AM401" s="328">
        <v>0</v>
      </c>
      <c r="AN401" s="328">
        <v>0</v>
      </c>
      <c r="AO401" s="328">
        <v>0</v>
      </c>
    </row>
    <row r="402" spans="1:41" ht="15.75">
      <c r="A402" s="333">
        <v>396</v>
      </c>
      <c r="B402" s="4" t="s">
        <v>107</v>
      </c>
      <c r="C402" s="399" t="s">
        <v>583</v>
      </c>
      <c r="D402" s="328">
        <v>0</v>
      </c>
      <c r="E402" s="328">
        <v>0</v>
      </c>
      <c r="F402" s="328">
        <v>0</v>
      </c>
      <c r="G402" s="328">
        <v>0</v>
      </c>
      <c r="H402" s="328">
        <v>0</v>
      </c>
      <c r="I402" s="328">
        <v>0</v>
      </c>
      <c r="J402" s="328">
        <v>0</v>
      </c>
      <c r="K402" s="328">
        <v>0</v>
      </c>
      <c r="N402" s="399" t="s">
        <v>583</v>
      </c>
      <c r="O402" s="328">
        <v>0</v>
      </c>
      <c r="P402" s="328">
        <v>0</v>
      </c>
      <c r="Q402" s="328">
        <v>0</v>
      </c>
      <c r="R402" s="328">
        <v>0</v>
      </c>
      <c r="S402" s="328">
        <v>0</v>
      </c>
      <c r="T402" s="4">
        <v>1.1000000000000001</v>
      </c>
      <c r="U402" s="165" t="e">
        <f>VLOOKUP(N402,'[2]154'!$C$9:$T$554,18,0)</f>
        <v>#N/A</v>
      </c>
      <c r="V402" s="399" t="s">
        <v>583</v>
      </c>
      <c r="W402" s="407">
        <v>0</v>
      </c>
      <c r="X402" s="405">
        <v>0</v>
      </c>
      <c r="Y402" s="407">
        <v>0</v>
      </c>
      <c r="AA402" s="399" t="s">
        <v>583</v>
      </c>
      <c r="AB402" s="328">
        <v>0</v>
      </c>
      <c r="AC402" s="328">
        <v>0</v>
      </c>
      <c r="AD402" s="328">
        <v>0</v>
      </c>
      <c r="AE402" s="328">
        <v>0</v>
      </c>
      <c r="AF402" s="328">
        <v>0</v>
      </c>
      <c r="AG402" s="328">
        <v>0</v>
      </c>
      <c r="AI402" s="399" t="s">
        <v>583</v>
      </c>
      <c r="AJ402" s="328">
        <v>0</v>
      </c>
      <c r="AK402" s="328">
        <v>0</v>
      </c>
      <c r="AL402" s="328">
        <v>0</v>
      </c>
      <c r="AM402" s="328">
        <v>0</v>
      </c>
      <c r="AN402" s="328">
        <v>0</v>
      </c>
      <c r="AO402" s="328">
        <v>0</v>
      </c>
    </row>
    <row r="403" spans="1:41" ht="15.75">
      <c r="A403" s="333">
        <v>397</v>
      </c>
      <c r="B403" s="4" t="s">
        <v>107</v>
      </c>
      <c r="C403" s="399" t="s">
        <v>584</v>
      </c>
      <c r="D403" s="328">
        <v>0</v>
      </c>
      <c r="E403" s="328">
        <v>0</v>
      </c>
      <c r="F403" s="328">
        <v>0</v>
      </c>
      <c r="G403" s="328">
        <v>0</v>
      </c>
      <c r="H403" s="328">
        <v>0</v>
      </c>
      <c r="I403" s="328">
        <v>0</v>
      </c>
      <c r="J403" s="328">
        <v>0</v>
      </c>
      <c r="K403" s="328">
        <v>0</v>
      </c>
      <c r="N403" s="399" t="s">
        <v>584</v>
      </c>
      <c r="O403" s="328">
        <v>0</v>
      </c>
      <c r="P403" s="328">
        <v>0</v>
      </c>
      <c r="Q403" s="328">
        <v>0</v>
      </c>
      <c r="R403" s="328">
        <v>0</v>
      </c>
      <c r="S403" s="328">
        <v>0</v>
      </c>
      <c r="T403" s="4">
        <v>1.1000000000000001</v>
      </c>
      <c r="U403" s="165" t="e">
        <f>VLOOKUP(N403,'[2]154'!$C$9:$T$554,18,0)</f>
        <v>#N/A</v>
      </c>
      <c r="V403" s="399" t="s">
        <v>584</v>
      </c>
      <c r="W403" s="407">
        <v>0</v>
      </c>
      <c r="X403" s="405">
        <v>0</v>
      </c>
      <c r="Y403" s="407">
        <v>0</v>
      </c>
      <c r="AA403" s="399" t="s">
        <v>584</v>
      </c>
      <c r="AB403" s="328">
        <v>0</v>
      </c>
      <c r="AC403" s="328">
        <v>0</v>
      </c>
      <c r="AD403" s="328">
        <v>0</v>
      </c>
      <c r="AE403" s="328">
        <v>0</v>
      </c>
      <c r="AF403" s="328">
        <v>0</v>
      </c>
      <c r="AG403" s="328">
        <v>0</v>
      </c>
      <c r="AI403" s="399" t="s">
        <v>584</v>
      </c>
      <c r="AJ403" s="328">
        <v>0</v>
      </c>
      <c r="AK403" s="328">
        <v>0</v>
      </c>
      <c r="AL403" s="328">
        <v>0</v>
      </c>
      <c r="AM403" s="328">
        <v>0</v>
      </c>
      <c r="AN403" s="328">
        <v>0</v>
      </c>
      <c r="AO403" s="328">
        <v>0</v>
      </c>
    </row>
    <row r="404" spans="1:41" ht="15.75">
      <c r="A404" s="333">
        <v>398</v>
      </c>
      <c r="B404" s="4" t="s">
        <v>161</v>
      </c>
      <c r="C404" s="399">
        <v>100019047</v>
      </c>
      <c r="D404" s="328">
        <v>3684</v>
      </c>
      <c r="E404" s="328">
        <v>3684</v>
      </c>
      <c r="F404" s="328">
        <v>1480</v>
      </c>
      <c r="G404" s="328">
        <v>1180</v>
      </c>
      <c r="H404" s="328">
        <v>1024</v>
      </c>
      <c r="I404" s="328">
        <v>0</v>
      </c>
      <c r="J404" s="328">
        <v>0</v>
      </c>
      <c r="K404" s="328">
        <v>0</v>
      </c>
      <c r="N404" s="399">
        <v>100019047</v>
      </c>
      <c r="O404" s="328">
        <v>1480</v>
      </c>
      <c r="P404" s="328">
        <v>1180</v>
      </c>
      <c r="Q404" s="328">
        <v>1024</v>
      </c>
      <c r="R404" s="328">
        <v>3684</v>
      </c>
      <c r="S404" s="328">
        <v>114945127</v>
      </c>
      <c r="T404" s="4">
        <v>3.4</v>
      </c>
      <c r="U404" s="165">
        <f>VLOOKUP(N404,'[2]154'!$C$9:$T$554,18,0)</f>
        <v>3684</v>
      </c>
      <c r="V404" s="399">
        <v>100019047</v>
      </c>
      <c r="W404" s="407">
        <v>0</v>
      </c>
      <c r="X404" s="405">
        <v>0</v>
      </c>
      <c r="Y404" s="407">
        <v>0</v>
      </c>
      <c r="AA404" s="399">
        <v>100019047</v>
      </c>
      <c r="AB404" s="328">
        <v>1480</v>
      </c>
      <c r="AC404" s="328">
        <v>1180</v>
      </c>
      <c r="AD404" s="328">
        <v>1024</v>
      </c>
      <c r="AE404" s="328">
        <v>3684</v>
      </c>
      <c r="AF404" s="328">
        <v>1705</v>
      </c>
      <c r="AG404" s="328">
        <v>41083429</v>
      </c>
      <c r="AI404" s="399">
        <v>100019047</v>
      </c>
      <c r="AJ404" s="328">
        <v>1480</v>
      </c>
      <c r="AK404" s="328">
        <v>1180</v>
      </c>
      <c r="AL404" s="328">
        <v>1024</v>
      </c>
      <c r="AM404" s="328">
        <v>3684</v>
      </c>
      <c r="AN404" s="328">
        <v>1705</v>
      </c>
      <c r="AO404" s="328">
        <v>73861698</v>
      </c>
    </row>
    <row r="405" spans="1:41" ht="15.75">
      <c r="A405" s="333">
        <v>399</v>
      </c>
      <c r="B405" s="169" t="s">
        <v>105</v>
      </c>
      <c r="C405" s="399">
        <v>466798</v>
      </c>
      <c r="D405" s="328">
        <v>2350</v>
      </c>
      <c r="E405" s="328">
        <v>2350</v>
      </c>
      <c r="F405" s="328">
        <v>2122</v>
      </c>
      <c r="G405" s="328">
        <v>228</v>
      </c>
      <c r="H405" s="328">
        <v>0</v>
      </c>
      <c r="I405" s="328">
        <v>0</v>
      </c>
      <c r="J405" s="328">
        <v>0</v>
      </c>
      <c r="K405" s="328">
        <v>0</v>
      </c>
      <c r="N405" s="399">
        <v>466798</v>
      </c>
      <c r="O405" s="328">
        <v>2122</v>
      </c>
      <c r="P405" s="328">
        <v>228</v>
      </c>
      <c r="Q405" s="328">
        <v>0</v>
      </c>
      <c r="R405" s="328">
        <v>2350</v>
      </c>
      <c r="S405" s="328">
        <v>31469624</v>
      </c>
      <c r="T405" s="4">
        <v>2.9499999999999997</v>
      </c>
      <c r="U405" s="165">
        <f>VLOOKUP(N405,'[2]154'!$C$9:$T$554,18,0)</f>
        <v>2350</v>
      </c>
      <c r="V405" s="399">
        <v>466798</v>
      </c>
      <c r="W405" s="407">
        <v>0</v>
      </c>
      <c r="X405" s="405">
        <v>0</v>
      </c>
      <c r="Y405" s="407">
        <v>0</v>
      </c>
      <c r="AA405" s="399">
        <v>466798</v>
      </c>
      <c r="AB405" s="328">
        <v>2122</v>
      </c>
      <c r="AC405" s="328">
        <v>228</v>
      </c>
      <c r="AD405" s="328">
        <v>0</v>
      </c>
      <c r="AE405" s="328">
        <v>2350</v>
      </c>
      <c r="AF405" s="328">
        <v>538</v>
      </c>
      <c r="AG405" s="328">
        <v>11247802</v>
      </c>
      <c r="AI405" s="399">
        <v>466798</v>
      </c>
      <c r="AJ405" s="328">
        <v>2122</v>
      </c>
      <c r="AK405" s="328">
        <v>228</v>
      </c>
      <c r="AL405" s="328">
        <v>0</v>
      </c>
      <c r="AM405" s="328">
        <v>2350</v>
      </c>
      <c r="AN405" s="328">
        <v>538</v>
      </c>
      <c r="AO405" s="328">
        <v>20221822</v>
      </c>
    </row>
    <row r="406" spans="1:41" ht="15.75">
      <c r="A406" s="333">
        <v>400</v>
      </c>
      <c r="B406" s="169" t="s">
        <v>105</v>
      </c>
      <c r="C406" s="399">
        <v>468921</v>
      </c>
      <c r="D406" s="328">
        <v>708</v>
      </c>
      <c r="E406" s="328">
        <v>708</v>
      </c>
      <c r="F406" s="328">
        <v>315</v>
      </c>
      <c r="G406" s="328">
        <v>393</v>
      </c>
      <c r="H406" s="328">
        <v>0</v>
      </c>
      <c r="I406" s="328">
        <v>0</v>
      </c>
      <c r="J406" s="328">
        <v>0</v>
      </c>
      <c r="K406" s="328">
        <v>0</v>
      </c>
      <c r="N406" s="399">
        <v>468921</v>
      </c>
      <c r="O406" s="328">
        <v>315</v>
      </c>
      <c r="P406" s="328">
        <v>393</v>
      </c>
      <c r="Q406" s="328">
        <v>0</v>
      </c>
      <c r="R406" s="328">
        <v>708</v>
      </c>
      <c r="S406" s="328">
        <v>15723906</v>
      </c>
      <c r="T406" s="4">
        <v>3.05</v>
      </c>
      <c r="U406" s="165">
        <f>VLOOKUP(N406,'[2]154'!$C$9:$T$554,18,0)</f>
        <v>708</v>
      </c>
      <c r="V406" s="399">
        <v>468921</v>
      </c>
      <c r="W406" s="407">
        <v>0</v>
      </c>
      <c r="X406" s="405">
        <v>0</v>
      </c>
      <c r="Y406" s="407">
        <v>0</v>
      </c>
      <c r="AA406" s="399">
        <v>468921</v>
      </c>
      <c r="AB406" s="328">
        <v>315</v>
      </c>
      <c r="AC406" s="328">
        <v>393</v>
      </c>
      <c r="AD406" s="328">
        <v>0</v>
      </c>
      <c r="AE406" s="328">
        <v>708</v>
      </c>
      <c r="AF406" s="328">
        <v>260</v>
      </c>
      <c r="AG406" s="328">
        <v>5620003</v>
      </c>
      <c r="AI406" s="399">
        <v>468921</v>
      </c>
      <c r="AJ406" s="328">
        <v>315</v>
      </c>
      <c r="AK406" s="328">
        <v>393</v>
      </c>
      <c r="AL406" s="328">
        <v>0</v>
      </c>
      <c r="AM406" s="328">
        <v>708</v>
      </c>
      <c r="AN406" s="328">
        <v>260</v>
      </c>
      <c r="AO406" s="328">
        <v>10103903</v>
      </c>
    </row>
    <row r="407" spans="1:41" ht="15.75">
      <c r="A407" s="333">
        <v>401</v>
      </c>
      <c r="B407" s="169" t="s">
        <v>105</v>
      </c>
      <c r="C407" s="399">
        <v>469052</v>
      </c>
      <c r="D407" s="328">
        <v>2376</v>
      </c>
      <c r="E407" s="328">
        <v>2376</v>
      </c>
      <c r="F407" s="328">
        <v>399</v>
      </c>
      <c r="G407" s="328">
        <v>1900</v>
      </c>
      <c r="H407" s="328">
        <v>77</v>
      </c>
      <c r="I407" s="328">
        <v>0</v>
      </c>
      <c r="J407" s="328">
        <v>0</v>
      </c>
      <c r="K407" s="328">
        <v>0</v>
      </c>
      <c r="N407" s="399">
        <v>469052</v>
      </c>
      <c r="O407" s="328">
        <v>399</v>
      </c>
      <c r="P407" s="328">
        <v>1900</v>
      </c>
      <c r="Q407" s="328">
        <v>77</v>
      </c>
      <c r="R407" s="328">
        <v>2376</v>
      </c>
      <c r="S407" s="328">
        <v>30285869</v>
      </c>
      <c r="T407" s="4">
        <v>1.4</v>
      </c>
      <c r="U407" s="165">
        <f>VLOOKUP(N407,'[2]154'!$C$9:$T$554,18,0)</f>
        <v>2376</v>
      </c>
      <c r="V407" s="399">
        <v>469052</v>
      </c>
      <c r="W407" s="407">
        <v>0</v>
      </c>
      <c r="X407" s="405">
        <v>0</v>
      </c>
      <c r="Y407" s="407">
        <v>0</v>
      </c>
      <c r="AA407" s="399">
        <v>469052</v>
      </c>
      <c r="AB407" s="328">
        <v>399</v>
      </c>
      <c r="AC407" s="328">
        <v>1900</v>
      </c>
      <c r="AD407" s="328">
        <v>77</v>
      </c>
      <c r="AE407" s="328">
        <v>2376</v>
      </c>
      <c r="AF407" s="328">
        <v>1091</v>
      </c>
      <c r="AG407" s="328">
        <v>10824707</v>
      </c>
      <c r="AI407" s="399">
        <v>469052</v>
      </c>
      <c r="AJ407" s="328">
        <v>399</v>
      </c>
      <c r="AK407" s="328">
        <v>1900</v>
      </c>
      <c r="AL407" s="328">
        <v>77</v>
      </c>
      <c r="AM407" s="328">
        <v>2376</v>
      </c>
      <c r="AN407" s="328">
        <v>1091</v>
      </c>
      <c r="AO407" s="328">
        <v>19461162</v>
      </c>
    </row>
    <row r="408" spans="1:41" ht="15.75">
      <c r="A408" s="333">
        <v>402</v>
      </c>
      <c r="B408" s="169" t="s">
        <v>105</v>
      </c>
      <c r="C408" s="399">
        <v>469493</v>
      </c>
      <c r="D408" s="328">
        <v>1092</v>
      </c>
      <c r="E408" s="328">
        <v>1092</v>
      </c>
      <c r="F408" s="328">
        <v>1092</v>
      </c>
      <c r="G408" s="328">
        <v>0</v>
      </c>
      <c r="H408" s="328">
        <v>0</v>
      </c>
      <c r="I408" s="328">
        <v>0</v>
      </c>
      <c r="J408" s="328">
        <v>0</v>
      </c>
      <c r="K408" s="328">
        <v>0</v>
      </c>
      <c r="N408" s="399">
        <v>469493</v>
      </c>
      <c r="O408" s="328">
        <v>1092</v>
      </c>
      <c r="P408" s="328">
        <v>0</v>
      </c>
      <c r="Q408" s="328">
        <v>0</v>
      </c>
      <c r="R408" s="328">
        <v>1092</v>
      </c>
      <c r="S408" s="328">
        <v>12751632</v>
      </c>
      <c r="T408" s="4">
        <v>2.9499999999999997</v>
      </c>
      <c r="U408" s="165">
        <f>VLOOKUP(N408,'[2]154'!$C$9:$T$554,18,0)</f>
        <v>1092</v>
      </c>
      <c r="V408" s="399">
        <v>469493</v>
      </c>
      <c r="W408" s="407">
        <v>0</v>
      </c>
      <c r="X408" s="405">
        <v>0</v>
      </c>
      <c r="Y408" s="407">
        <v>0</v>
      </c>
      <c r="AA408" s="399">
        <v>469493</v>
      </c>
      <c r="AB408" s="328">
        <v>1092</v>
      </c>
      <c r="AC408" s="328">
        <v>0</v>
      </c>
      <c r="AD408" s="328">
        <v>0</v>
      </c>
      <c r="AE408" s="328">
        <v>1092</v>
      </c>
      <c r="AF408" s="328">
        <v>218</v>
      </c>
      <c r="AG408" s="328">
        <v>4557660</v>
      </c>
      <c r="AI408" s="399">
        <v>469493</v>
      </c>
      <c r="AJ408" s="328">
        <v>1092</v>
      </c>
      <c r="AK408" s="328">
        <v>0</v>
      </c>
      <c r="AL408" s="328">
        <v>0</v>
      </c>
      <c r="AM408" s="328">
        <v>1092</v>
      </c>
      <c r="AN408" s="328">
        <v>218</v>
      </c>
      <c r="AO408" s="328">
        <v>8193972</v>
      </c>
    </row>
    <row r="409" spans="1:41" ht="15.75">
      <c r="A409" s="333">
        <v>403</v>
      </c>
      <c r="B409" s="169" t="s">
        <v>105</v>
      </c>
      <c r="C409" s="399">
        <v>470238</v>
      </c>
      <c r="D409" s="328">
        <v>4986</v>
      </c>
      <c r="E409" s="328">
        <v>4982</v>
      </c>
      <c r="F409" s="328">
        <v>1658</v>
      </c>
      <c r="G409" s="328">
        <v>2048</v>
      </c>
      <c r="H409" s="328">
        <v>1276</v>
      </c>
      <c r="I409" s="328">
        <v>0</v>
      </c>
      <c r="J409" s="328">
        <v>0</v>
      </c>
      <c r="K409" s="328">
        <v>0</v>
      </c>
      <c r="N409" s="399">
        <v>470238</v>
      </c>
      <c r="O409" s="328">
        <v>1658</v>
      </c>
      <c r="P409" s="328">
        <v>2048</v>
      </c>
      <c r="Q409" s="328">
        <v>1276</v>
      </c>
      <c r="R409" s="328">
        <v>4982</v>
      </c>
      <c r="S409" s="328">
        <v>68312739</v>
      </c>
      <c r="T409" s="4">
        <v>1.45</v>
      </c>
      <c r="U409" s="165">
        <f>VLOOKUP(N409,'[2]154'!$C$9:$T$554,18,0)</f>
        <v>4982</v>
      </c>
      <c r="V409" s="399">
        <v>470238</v>
      </c>
      <c r="W409" s="407">
        <v>0</v>
      </c>
      <c r="X409" s="405">
        <v>0</v>
      </c>
      <c r="Y409" s="407">
        <v>0</v>
      </c>
      <c r="AA409" s="399">
        <v>470238</v>
      </c>
      <c r="AB409" s="328">
        <v>1658</v>
      </c>
      <c r="AC409" s="328">
        <v>2048</v>
      </c>
      <c r="AD409" s="328">
        <v>1276</v>
      </c>
      <c r="AE409" s="328">
        <v>4982</v>
      </c>
      <c r="AF409" s="328">
        <v>2376</v>
      </c>
      <c r="AG409" s="328">
        <v>24416185</v>
      </c>
      <c r="AI409" s="399">
        <v>470238</v>
      </c>
      <c r="AJ409" s="328">
        <v>1658</v>
      </c>
      <c r="AK409" s="328">
        <v>2048</v>
      </c>
      <c r="AL409" s="328">
        <v>1276</v>
      </c>
      <c r="AM409" s="328">
        <v>4982</v>
      </c>
      <c r="AN409" s="328">
        <v>2376</v>
      </c>
      <c r="AO409" s="328">
        <v>43896554</v>
      </c>
    </row>
    <row r="410" spans="1:41" ht="15.75">
      <c r="A410" s="333">
        <v>404</v>
      </c>
      <c r="B410" s="169" t="s">
        <v>105</v>
      </c>
      <c r="C410" s="399">
        <v>470342</v>
      </c>
      <c r="D410" s="328">
        <v>2398</v>
      </c>
      <c r="E410" s="328">
        <v>2398</v>
      </c>
      <c r="F410" s="328">
        <v>0</v>
      </c>
      <c r="G410" s="328">
        <v>2265</v>
      </c>
      <c r="H410" s="328">
        <v>133</v>
      </c>
      <c r="I410" s="328">
        <v>0</v>
      </c>
      <c r="J410" s="328">
        <v>0</v>
      </c>
      <c r="K410" s="328">
        <v>0</v>
      </c>
      <c r="N410" s="399">
        <v>470342</v>
      </c>
      <c r="O410" s="328">
        <v>0</v>
      </c>
      <c r="P410" s="328">
        <v>2265</v>
      </c>
      <c r="Q410" s="328">
        <v>133</v>
      </c>
      <c r="R410" s="328">
        <v>2398</v>
      </c>
      <c r="S410" s="328">
        <v>34394310</v>
      </c>
      <c r="T410" s="4">
        <v>1.4</v>
      </c>
      <c r="U410" s="165">
        <f>VLOOKUP(N410,'[2]154'!$C$9:$T$554,18,0)</f>
        <v>2398</v>
      </c>
      <c r="V410" s="399">
        <v>470342</v>
      </c>
      <c r="W410" s="407">
        <v>0</v>
      </c>
      <c r="X410" s="405">
        <v>0</v>
      </c>
      <c r="Y410" s="407">
        <v>0</v>
      </c>
      <c r="AA410" s="399">
        <v>470342</v>
      </c>
      <c r="AB410" s="328">
        <v>0</v>
      </c>
      <c r="AC410" s="328">
        <v>2265</v>
      </c>
      <c r="AD410" s="328">
        <v>133</v>
      </c>
      <c r="AE410" s="328">
        <v>2398</v>
      </c>
      <c r="AF410" s="328">
        <v>1239</v>
      </c>
      <c r="AG410" s="328">
        <v>12293137</v>
      </c>
      <c r="AI410" s="399">
        <v>470342</v>
      </c>
      <c r="AJ410" s="328">
        <v>0</v>
      </c>
      <c r="AK410" s="328">
        <v>2265</v>
      </c>
      <c r="AL410" s="328">
        <v>133</v>
      </c>
      <c r="AM410" s="328">
        <v>2398</v>
      </c>
      <c r="AN410" s="328">
        <v>1239</v>
      </c>
      <c r="AO410" s="328">
        <v>22101173</v>
      </c>
    </row>
    <row r="411" spans="1:41" ht="15.75">
      <c r="A411" s="333">
        <v>405</v>
      </c>
      <c r="B411" s="169" t="s">
        <v>105</v>
      </c>
      <c r="C411" s="399">
        <v>474049</v>
      </c>
      <c r="D411" s="328">
        <v>7880</v>
      </c>
      <c r="E411" s="328">
        <v>7880</v>
      </c>
      <c r="F411" s="328">
        <v>3185</v>
      </c>
      <c r="G411" s="328">
        <v>2908</v>
      </c>
      <c r="H411" s="328">
        <v>1787</v>
      </c>
      <c r="I411" s="328">
        <v>0</v>
      </c>
      <c r="J411" s="328">
        <v>0</v>
      </c>
      <c r="K411" s="328">
        <v>0</v>
      </c>
      <c r="N411" s="399">
        <v>474049</v>
      </c>
      <c r="O411" s="328">
        <v>3185</v>
      </c>
      <c r="P411" s="328">
        <v>2908</v>
      </c>
      <c r="Q411" s="328">
        <v>1787</v>
      </c>
      <c r="R411" s="328">
        <v>7880</v>
      </c>
      <c r="S411" s="328">
        <v>150103821</v>
      </c>
      <c r="T411" s="4">
        <v>2.15</v>
      </c>
      <c r="U411" s="165">
        <f>VLOOKUP(N411,'[2]154'!$C$9:$T$554,18,0)</f>
        <v>7880</v>
      </c>
      <c r="V411" s="399">
        <v>474049</v>
      </c>
      <c r="W411" s="407">
        <v>0</v>
      </c>
      <c r="X411" s="405">
        <v>0</v>
      </c>
      <c r="Y411" s="407">
        <v>0</v>
      </c>
      <c r="AA411" s="399">
        <v>474049</v>
      </c>
      <c r="AB411" s="328">
        <v>3185</v>
      </c>
      <c r="AC411" s="328">
        <v>2908</v>
      </c>
      <c r="AD411" s="328">
        <v>1787</v>
      </c>
      <c r="AE411" s="328">
        <v>7880</v>
      </c>
      <c r="AF411" s="328">
        <v>3521</v>
      </c>
      <c r="AG411" s="328">
        <v>53649770</v>
      </c>
      <c r="AI411" s="399">
        <v>474049</v>
      </c>
      <c r="AJ411" s="328">
        <v>3185</v>
      </c>
      <c r="AK411" s="328">
        <v>2908</v>
      </c>
      <c r="AL411" s="328">
        <v>1787</v>
      </c>
      <c r="AM411" s="328">
        <v>7880</v>
      </c>
      <c r="AN411" s="328">
        <v>3521</v>
      </c>
      <c r="AO411" s="328">
        <v>96454051</v>
      </c>
    </row>
    <row r="412" spans="1:41" ht="15.75">
      <c r="A412" s="333">
        <v>406</v>
      </c>
      <c r="B412" s="169" t="s">
        <v>105</v>
      </c>
      <c r="C412" s="399">
        <v>474816</v>
      </c>
      <c r="D412" s="328">
        <v>7832</v>
      </c>
      <c r="E412" s="328">
        <v>7832</v>
      </c>
      <c r="F412" s="328">
        <v>682</v>
      </c>
      <c r="G412" s="328">
        <v>4927</v>
      </c>
      <c r="H412" s="328">
        <v>2223</v>
      </c>
      <c r="I412" s="328">
        <v>0</v>
      </c>
      <c r="J412" s="328">
        <v>0</v>
      </c>
      <c r="K412" s="328">
        <v>0</v>
      </c>
      <c r="N412" s="399">
        <v>474816</v>
      </c>
      <c r="O412" s="328">
        <v>682</v>
      </c>
      <c r="P412" s="328">
        <v>4927</v>
      </c>
      <c r="Q412" s="328">
        <v>2223</v>
      </c>
      <c r="R412" s="328">
        <v>7832</v>
      </c>
      <c r="S412" s="328">
        <v>256085528</v>
      </c>
      <c r="T412" s="4">
        <v>2.9499999999999997</v>
      </c>
      <c r="U412" s="165">
        <f>VLOOKUP(N412,'[2]154'!$C$9:$T$554,18,0)</f>
        <v>7832</v>
      </c>
      <c r="V412" s="399">
        <v>474816</v>
      </c>
      <c r="W412" s="407">
        <v>0</v>
      </c>
      <c r="X412" s="405">
        <v>0</v>
      </c>
      <c r="Y412" s="407">
        <v>0</v>
      </c>
      <c r="AA412" s="399">
        <v>474816</v>
      </c>
      <c r="AB412" s="328">
        <v>682</v>
      </c>
      <c r="AC412" s="328">
        <v>4927</v>
      </c>
      <c r="AD412" s="328">
        <v>2223</v>
      </c>
      <c r="AE412" s="328">
        <v>7832</v>
      </c>
      <c r="AF412" s="328">
        <v>4378</v>
      </c>
      <c r="AG412" s="328">
        <v>91529513</v>
      </c>
      <c r="AI412" s="399">
        <v>474816</v>
      </c>
      <c r="AJ412" s="328">
        <v>682</v>
      </c>
      <c r="AK412" s="328">
        <v>4927</v>
      </c>
      <c r="AL412" s="328">
        <v>2223</v>
      </c>
      <c r="AM412" s="328">
        <v>7832</v>
      </c>
      <c r="AN412" s="328">
        <v>4378</v>
      </c>
      <c r="AO412" s="328">
        <v>164556015</v>
      </c>
    </row>
    <row r="413" spans="1:41" ht="15.75">
      <c r="A413" s="333">
        <v>407</v>
      </c>
      <c r="B413" s="169" t="s">
        <v>105</v>
      </c>
      <c r="C413" s="399">
        <v>471157</v>
      </c>
      <c r="D413" s="328">
        <v>2886</v>
      </c>
      <c r="E413" s="328">
        <v>2886</v>
      </c>
      <c r="F413" s="328">
        <v>69</v>
      </c>
      <c r="G413" s="328">
        <v>935</v>
      </c>
      <c r="H413" s="328">
        <v>1882</v>
      </c>
      <c r="I413" s="328">
        <v>0</v>
      </c>
      <c r="J413" s="328">
        <v>0</v>
      </c>
      <c r="K413" s="328">
        <v>0</v>
      </c>
      <c r="N413" s="399">
        <v>471157</v>
      </c>
      <c r="O413" s="328">
        <v>69</v>
      </c>
      <c r="P413" s="328">
        <v>935</v>
      </c>
      <c r="Q413" s="328">
        <v>1882</v>
      </c>
      <c r="R413" s="328">
        <v>2886</v>
      </c>
      <c r="S413" s="328">
        <v>104407333</v>
      </c>
      <c r="T413" s="4">
        <v>2.65</v>
      </c>
      <c r="U413" s="165">
        <f>VLOOKUP(N413,'[2]154'!$C$9:$T$554,18,0)</f>
        <v>2886</v>
      </c>
      <c r="V413" s="399">
        <v>471157</v>
      </c>
      <c r="W413" s="407">
        <v>0</v>
      </c>
      <c r="X413" s="405">
        <v>0</v>
      </c>
      <c r="Y413" s="407">
        <v>0</v>
      </c>
      <c r="AA413" s="399">
        <v>471157</v>
      </c>
      <c r="AB413" s="328">
        <v>69</v>
      </c>
      <c r="AC413" s="328">
        <v>935</v>
      </c>
      <c r="AD413" s="328">
        <v>1882</v>
      </c>
      <c r="AE413" s="328">
        <v>2886</v>
      </c>
      <c r="AF413" s="328">
        <v>1987</v>
      </c>
      <c r="AG413" s="328">
        <v>37317034</v>
      </c>
      <c r="AI413" s="399">
        <v>471157</v>
      </c>
      <c r="AJ413" s="328">
        <v>69</v>
      </c>
      <c r="AK413" s="328">
        <v>935</v>
      </c>
      <c r="AL413" s="328">
        <v>1882</v>
      </c>
      <c r="AM413" s="328">
        <v>2886</v>
      </c>
      <c r="AN413" s="328">
        <v>1987</v>
      </c>
      <c r="AO413" s="328">
        <v>67090299</v>
      </c>
    </row>
    <row r="414" spans="1:41" ht="15.75">
      <c r="A414" s="333">
        <v>408</v>
      </c>
      <c r="B414" s="169" t="s">
        <v>105</v>
      </c>
      <c r="C414" s="399">
        <v>482924</v>
      </c>
      <c r="D414" s="328">
        <v>452</v>
      </c>
      <c r="E414" s="328">
        <v>452</v>
      </c>
      <c r="F414" s="328">
        <v>252</v>
      </c>
      <c r="G414" s="328">
        <v>200</v>
      </c>
      <c r="H414" s="328">
        <v>0</v>
      </c>
      <c r="I414" s="328">
        <v>0</v>
      </c>
      <c r="J414" s="328">
        <v>0</v>
      </c>
      <c r="K414" s="328">
        <v>0</v>
      </c>
      <c r="N414" s="399">
        <v>482924</v>
      </c>
      <c r="O414" s="328">
        <v>252</v>
      </c>
      <c r="P414" s="328">
        <v>200</v>
      </c>
      <c r="Q414" s="328">
        <v>0</v>
      </c>
      <c r="R414" s="328">
        <v>452</v>
      </c>
      <c r="S414" s="328">
        <v>7881782</v>
      </c>
      <c r="T414" s="4">
        <v>2.65</v>
      </c>
      <c r="U414" s="165">
        <f>VLOOKUP(N414,'[2]154'!$C$9:$T$554,18,0)</f>
        <v>452</v>
      </c>
      <c r="V414" s="399">
        <v>482924</v>
      </c>
      <c r="W414" s="407">
        <v>0</v>
      </c>
      <c r="X414" s="405">
        <v>0</v>
      </c>
      <c r="Y414" s="407">
        <v>0</v>
      </c>
      <c r="AA414" s="399">
        <v>482924</v>
      </c>
      <c r="AB414" s="328">
        <v>252</v>
      </c>
      <c r="AC414" s="328">
        <v>200</v>
      </c>
      <c r="AD414" s="328">
        <v>0</v>
      </c>
      <c r="AE414" s="328">
        <v>452</v>
      </c>
      <c r="AF414" s="328">
        <v>150</v>
      </c>
      <c r="AG414" s="328">
        <v>2817089</v>
      </c>
      <c r="AI414" s="399">
        <v>482924</v>
      </c>
      <c r="AJ414" s="328">
        <v>252</v>
      </c>
      <c r="AK414" s="328">
        <v>200</v>
      </c>
      <c r="AL414" s="328">
        <v>0</v>
      </c>
      <c r="AM414" s="328">
        <v>452</v>
      </c>
      <c r="AN414" s="328">
        <v>150</v>
      </c>
      <c r="AO414" s="328">
        <v>5064693</v>
      </c>
    </row>
    <row r="415" spans="1:41" ht="15.75">
      <c r="A415" s="333">
        <v>409</v>
      </c>
      <c r="B415" s="169" t="s">
        <v>105</v>
      </c>
      <c r="C415" s="399">
        <v>450895</v>
      </c>
      <c r="D415" s="328">
        <v>0</v>
      </c>
      <c r="E415" s="328">
        <v>0</v>
      </c>
      <c r="F415" s="328">
        <v>0</v>
      </c>
      <c r="I415" s="328">
        <v>0</v>
      </c>
      <c r="J415" s="328">
        <v>0</v>
      </c>
      <c r="K415" s="328">
        <v>0</v>
      </c>
      <c r="N415" s="399">
        <v>450895</v>
      </c>
      <c r="O415" s="328">
        <v>0</v>
      </c>
      <c r="P415" s="328">
        <v>0</v>
      </c>
      <c r="Q415" s="328">
        <v>0</v>
      </c>
      <c r="R415" s="328">
        <v>0</v>
      </c>
      <c r="S415" s="328">
        <v>0</v>
      </c>
      <c r="T415" s="4">
        <v>1.45</v>
      </c>
      <c r="U415" s="165" t="e">
        <f>VLOOKUP(N415,'[2]154'!$C$9:$T$554,18,0)</f>
        <v>#N/A</v>
      </c>
      <c r="V415" s="399">
        <v>450895</v>
      </c>
      <c r="W415" s="407">
        <v>0</v>
      </c>
      <c r="X415" s="405">
        <v>0</v>
      </c>
      <c r="Y415" s="407">
        <v>0</v>
      </c>
      <c r="AA415" s="399">
        <v>450895</v>
      </c>
      <c r="AB415" s="328">
        <v>0</v>
      </c>
      <c r="AC415" s="328">
        <v>0</v>
      </c>
      <c r="AD415" s="328">
        <v>0</v>
      </c>
      <c r="AE415" s="328">
        <v>0</v>
      </c>
      <c r="AF415" s="328">
        <v>0</v>
      </c>
      <c r="AG415" s="328">
        <v>0</v>
      </c>
      <c r="AI415" s="399">
        <v>450895</v>
      </c>
      <c r="AJ415" s="328">
        <v>0</v>
      </c>
      <c r="AK415" s="328">
        <v>0</v>
      </c>
      <c r="AL415" s="328">
        <v>0</v>
      </c>
      <c r="AM415" s="328">
        <v>0</v>
      </c>
      <c r="AN415" s="328">
        <v>0</v>
      </c>
      <c r="AO415" s="328">
        <v>0</v>
      </c>
    </row>
    <row r="416" spans="1:41" ht="15.75">
      <c r="A416" s="333">
        <v>410</v>
      </c>
      <c r="B416" s="169" t="s">
        <v>105</v>
      </c>
      <c r="C416" s="399">
        <v>466742</v>
      </c>
      <c r="D416" s="328">
        <v>7982</v>
      </c>
      <c r="E416" s="328">
        <v>7982</v>
      </c>
      <c r="F416" s="328">
        <v>336</v>
      </c>
      <c r="G416" s="328">
        <v>5557</v>
      </c>
      <c r="H416" s="328">
        <v>2089</v>
      </c>
      <c r="I416" s="328">
        <v>0</v>
      </c>
      <c r="J416" s="328">
        <v>0</v>
      </c>
      <c r="K416" s="328">
        <v>0</v>
      </c>
      <c r="N416" s="399">
        <v>466742</v>
      </c>
      <c r="O416" s="328">
        <v>336</v>
      </c>
      <c r="P416" s="328">
        <v>5557</v>
      </c>
      <c r="Q416" s="328">
        <v>2089</v>
      </c>
      <c r="R416" s="328">
        <v>7982</v>
      </c>
      <c r="S416" s="328">
        <v>129868958</v>
      </c>
      <c r="T416" s="4">
        <v>1.45</v>
      </c>
      <c r="U416" s="165">
        <f>VLOOKUP(N416,'[2]154'!$C$9:$T$554,18,0)</f>
        <v>7982</v>
      </c>
      <c r="V416" s="399">
        <v>466742</v>
      </c>
      <c r="W416" s="407">
        <v>0</v>
      </c>
      <c r="X416" s="405">
        <v>0</v>
      </c>
      <c r="Y416" s="407">
        <v>0</v>
      </c>
      <c r="AA416" s="399">
        <v>466742</v>
      </c>
      <c r="AB416" s="328">
        <v>336</v>
      </c>
      <c r="AC416" s="328">
        <v>5557</v>
      </c>
      <c r="AD416" s="328">
        <v>2089</v>
      </c>
      <c r="AE416" s="328">
        <v>7982</v>
      </c>
      <c r="AF416" s="328">
        <v>4517</v>
      </c>
      <c r="AG416" s="328">
        <v>46417471</v>
      </c>
      <c r="AI416" s="399">
        <v>466742</v>
      </c>
      <c r="AJ416" s="328">
        <v>336</v>
      </c>
      <c r="AK416" s="328">
        <v>5557</v>
      </c>
      <c r="AL416" s="328">
        <v>2089</v>
      </c>
      <c r="AM416" s="328">
        <v>7982</v>
      </c>
      <c r="AN416" s="328">
        <v>4517</v>
      </c>
      <c r="AO416" s="328">
        <v>83451487</v>
      </c>
    </row>
    <row r="417" spans="1:41" ht="15.75">
      <c r="A417" s="333">
        <v>411</v>
      </c>
      <c r="B417" s="4" t="s">
        <v>617</v>
      </c>
      <c r="C417" s="277" t="s">
        <v>623</v>
      </c>
      <c r="E417" s="328">
        <v>533</v>
      </c>
      <c r="H417" s="328">
        <v>533</v>
      </c>
      <c r="I417" s="328">
        <v>0</v>
      </c>
      <c r="J417" s="328">
        <v>726</v>
      </c>
      <c r="K417" s="328">
        <v>726</v>
      </c>
      <c r="N417" s="277" t="s">
        <v>623</v>
      </c>
      <c r="Q417" s="328">
        <v>533</v>
      </c>
      <c r="R417" s="328">
        <v>533</v>
      </c>
      <c r="S417" s="333">
        <f>+ROUND((35556399/1024)*R417,0)</f>
        <v>18507383</v>
      </c>
      <c r="T417" s="4">
        <v>1.95</v>
      </c>
      <c r="U417" s="165" t="e">
        <f>VLOOKUP(N417,'[2]154'!$C$9:$T$554,18,0)</f>
        <v>#N/A</v>
      </c>
      <c r="V417" s="277" t="s">
        <v>623</v>
      </c>
      <c r="W417" s="328">
        <v>726</v>
      </c>
      <c r="X417" s="405">
        <v>32922.87147092948</v>
      </c>
      <c r="Y417" s="404">
        <f>ROUND(510765428/15514*726,0)</f>
        <v>23902005</v>
      </c>
      <c r="AA417" s="277" t="s">
        <v>623</v>
      </c>
      <c r="AD417" s="328">
        <v>533</v>
      </c>
      <c r="AE417" s="328">
        <v>533</v>
      </c>
      <c r="AF417" s="328">
        <f>533*0.8</f>
        <v>426.40000000000003</v>
      </c>
      <c r="AG417" s="333">
        <f>ROUND(14046042*533/1024,0)</f>
        <v>7311075</v>
      </c>
      <c r="AI417" s="277" t="s">
        <v>623</v>
      </c>
      <c r="AL417" s="328">
        <v>533</v>
      </c>
      <c r="AM417" s="328">
        <v>533</v>
      </c>
      <c r="AN417" s="328">
        <v>426</v>
      </c>
      <c r="AO417" s="333">
        <f>ROUND(21510357/1024*AL417,0)</f>
        <v>11196309</v>
      </c>
    </row>
    <row r="418" spans="1:41">
      <c r="A418" s="333">
        <v>412</v>
      </c>
      <c r="B418" s="4" t="s">
        <v>617</v>
      </c>
      <c r="C418" s="399" t="s">
        <v>603</v>
      </c>
      <c r="E418" s="328">
        <v>732</v>
      </c>
      <c r="H418" s="328">
        <v>732</v>
      </c>
      <c r="N418" s="399" t="s">
        <v>603</v>
      </c>
      <c r="Q418" s="328">
        <v>732</v>
      </c>
      <c r="R418" s="328">
        <v>732</v>
      </c>
      <c r="S418" s="419">
        <f>+ROUND(122314021/3341*732,0)+1</f>
        <v>26798523</v>
      </c>
      <c r="U418" s="165">
        <f>VLOOKUP(N418,'[2]154'!$C$9:$T$554,18,0)</f>
        <v>732</v>
      </c>
      <c r="V418" s="399" t="s">
        <v>603</v>
      </c>
      <c r="AA418" s="399" t="s">
        <v>603</v>
      </c>
      <c r="AD418" s="328">
        <v>732</v>
      </c>
      <c r="AE418" s="328">
        <v>732</v>
      </c>
      <c r="AG418" s="419">
        <f>ROUND(48380853/3341*732,0)</f>
        <v>10600055</v>
      </c>
      <c r="AI418" s="399" t="s">
        <v>603</v>
      </c>
      <c r="AL418" s="328">
        <v>732</v>
      </c>
      <c r="AM418" s="328">
        <v>732</v>
      </c>
      <c r="AO418" s="419">
        <f>ROUND(73933168/3341*732,0)</f>
        <v>16198467</v>
      </c>
    </row>
    <row r="419" spans="1:41">
      <c r="A419" s="333">
        <v>413</v>
      </c>
      <c r="B419" s="4" t="s">
        <v>617</v>
      </c>
      <c r="C419" s="399" t="s">
        <v>604</v>
      </c>
      <c r="E419" s="328">
        <v>246</v>
      </c>
      <c r="H419" s="328">
        <v>246</v>
      </c>
      <c r="N419" s="399" t="s">
        <v>604</v>
      </c>
      <c r="Q419" s="328">
        <v>246</v>
      </c>
      <c r="R419" s="328">
        <v>246</v>
      </c>
      <c r="S419" s="419">
        <f>+ROUND(122314021/3341*246,0)</f>
        <v>9006061</v>
      </c>
      <c r="U419" s="165">
        <f>VLOOKUP(N419,'[2]154'!$C$9:$T$554,18,0)</f>
        <v>246</v>
      </c>
      <c r="V419" s="399" t="s">
        <v>604</v>
      </c>
      <c r="AA419" s="399" t="s">
        <v>604</v>
      </c>
      <c r="AD419" s="328">
        <v>246</v>
      </c>
      <c r="AE419" s="328">
        <v>246</v>
      </c>
      <c r="AG419" s="419">
        <f>ROUND(48380853/3341*246,0)</f>
        <v>3562314</v>
      </c>
      <c r="AI419" s="399" t="s">
        <v>604</v>
      </c>
      <c r="AL419" s="328">
        <v>246</v>
      </c>
      <c r="AM419" s="328">
        <v>246</v>
      </c>
      <c r="AO419" s="419">
        <f>ROUND(73933168/3341*246,0)</f>
        <v>5443747</v>
      </c>
    </row>
    <row r="420" spans="1:41">
      <c r="A420" s="333">
        <v>414</v>
      </c>
      <c r="B420" s="4" t="s">
        <v>617</v>
      </c>
      <c r="C420" s="399" t="s">
        <v>605</v>
      </c>
      <c r="E420" s="328">
        <v>44</v>
      </c>
      <c r="H420" s="328">
        <v>44</v>
      </c>
      <c r="N420" s="399" t="s">
        <v>605</v>
      </c>
      <c r="Q420" s="328">
        <v>44</v>
      </c>
      <c r="R420" s="328">
        <v>44</v>
      </c>
      <c r="S420" s="419">
        <f>+ROUND(122314021/3341*44,0)</f>
        <v>1610840</v>
      </c>
      <c r="U420" s="165">
        <f>VLOOKUP(N420,'[2]154'!$C$9:$T$554,18,0)</f>
        <v>44</v>
      </c>
      <c r="V420" s="399" t="s">
        <v>605</v>
      </c>
      <c r="AA420" s="399" t="s">
        <v>605</v>
      </c>
      <c r="AD420" s="328">
        <v>44</v>
      </c>
      <c r="AE420" s="328">
        <v>44</v>
      </c>
      <c r="AG420" s="419">
        <f>ROUND(48380853/3341*44,0)</f>
        <v>637162</v>
      </c>
      <c r="AI420" s="399" t="s">
        <v>605</v>
      </c>
      <c r="AL420" s="328">
        <v>44</v>
      </c>
      <c r="AM420" s="328">
        <v>44</v>
      </c>
      <c r="AO420" s="419">
        <f>ROUND(73933168/3341*44,0)</f>
        <v>973678</v>
      </c>
    </row>
    <row r="421" spans="1:41">
      <c r="A421" s="333">
        <v>415</v>
      </c>
      <c r="B421" s="4" t="s">
        <v>617</v>
      </c>
      <c r="C421" s="399" t="s">
        <v>606</v>
      </c>
      <c r="E421" s="328">
        <v>682</v>
      </c>
      <c r="H421" s="328">
        <v>682</v>
      </c>
      <c r="N421" s="399" t="s">
        <v>606</v>
      </c>
      <c r="Q421" s="328">
        <v>682</v>
      </c>
      <c r="R421" s="328">
        <v>682</v>
      </c>
      <c r="S421" s="419">
        <f>+ROUND(122314021/3341*682,0)</f>
        <v>24968022</v>
      </c>
      <c r="U421" s="165">
        <f>VLOOKUP(N421,'[2]154'!$C$9:$T$554,18,0)</f>
        <v>682</v>
      </c>
      <c r="V421" s="399" t="s">
        <v>606</v>
      </c>
      <c r="AA421" s="399" t="s">
        <v>606</v>
      </c>
      <c r="AD421" s="328">
        <v>682</v>
      </c>
      <c r="AE421" s="328">
        <v>682</v>
      </c>
      <c r="AG421" s="419">
        <f>ROUND(48380853/3341*682,0)</f>
        <v>9876008</v>
      </c>
      <c r="AI421" s="399" t="s">
        <v>606</v>
      </c>
      <c r="AL421" s="328">
        <v>682</v>
      </c>
      <c r="AM421" s="328">
        <v>682</v>
      </c>
      <c r="AO421" s="419">
        <f>ROUND(73933168/3341*682,0)</f>
        <v>15092015</v>
      </c>
    </row>
    <row r="422" spans="1:41">
      <c r="A422" s="333">
        <v>416</v>
      </c>
      <c r="B422" s="4" t="s">
        <v>617</v>
      </c>
      <c r="C422" s="399" t="s">
        <v>607</v>
      </c>
      <c r="E422" s="328">
        <v>12</v>
      </c>
      <c r="H422" s="328">
        <v>12</v>
      </c>
      <c r="N422" s="399" t="s">
        <v>607</v>
      </c>
      <c r="Q422" s="328">
        <v>12</v>
      </c>
      <c r="R422" s="328">
        <v>12</v>
      </c>
      <c r="S422" s="419">
        <f>+ROUND(122314021/3341*12,0)</f>
        <v>439320</v>
      </c>
      <c r="U422" s="165">
        <f>VLOOKUP(N422,'[2]154'!$C$9:$T$554,18,0)</f>
        <v>12</v>
      </c>
      <c r="V422" s="399" t="s">
        <v>607</v>
      </c>
      <c r="AA422" s="399" t="s">
        <v>607</v>
      </c>
      <c r="AD422" s="328">
        <v>12</v>
      </c>
      <c r="AE422" s="328">
        <v>12</v>
      </c>
      <c r="AG422" s="419">
        <f>ROUND(48380853/3341*12,0)</f>
        <v>173771</v>
      </c>
      <c r="AI422" s="399" t="s">
        <v>607</v>
      </c>
      <c r="AL422" s="328">
        <v>12</v>
      </c>
      <c r="AM422" s="328">
        <v>12</v>
      </c>
      <c r="AO422" s="419">
        <f>ROUND(73933168/3341*12,0)</f>
        <v>265549</v>
      </c>
    </row>
    <row r="423" spans="1:41">
      <c r="A423" s="333">
        <v>417</v>
      </c>
      <c r="B423" s="4" t="s">
        <v>617</v>
      </c>
      <c r="C423" s="399" t="s">
        <v>614</v>
      </c>
      <c r="E423" s="328">
        <v>274</v>
      </c>
      <c r="H423" s="328">
        <v>274</v>
      </c>
      <c r="N423" s="399" t="s">
        <v>614</v>
      </c>
      <c r="Q423" s="328">
        <v>274</v>
      </c>
      <c r="R423" s="328">
        <v>274</v>
      </c>
      <c r="S423" s="419">
        <f>+ROUND(122314021/3341*274,0)</f>
        <v>10031141</v>
      </c>
      <c r="U423" s="165">
        <f>VLOOKUP(N423,'[2]154'!$C$9:$T$554,18,0)</f>
        <v>274</v>
      </c>
      <c r="V423" s="399" t="s">
        <v>614</v>
      </c>
      <c r="AA423" s="399" t="s">
        <v>614</v>
      </c>
      <c r="AD423" s="328">
        <v>274</v>
      </c>
      <c r="AE423" s="328">
        <v>274</v>
      </c>
      <c r="AG423" s="419">
        <f>ROUND(48380853/3341*274,0)</f>
        <v>3967780</v>
      </c>
      <c r="AI423" s="399" t="s">
        <v>614</v>
      </c>
      <c r="AL423" s="328">
        <v>274</v>
      </c>
      <c r="AM423" s="328">
        <v>274</v>
      </c>
      <c r="AO423" s="419">
        <f>ROUND(73933168/3341*274,0)</f>
        <v>6063361</v>
      </c>
    </row>
    <row r="424" spans="1:41">
      <c r="A424" s="333">
        <v>418</v>
      </c>
      <c r="B424" s="4" t="s">
        <v>617</v>
      </c>
      <c r="C424" s="277" t="s">
        <v>626</v>
      </c>
      <c r="E424" s="328">
        <v>11</v>
      </c>
      <c r="H424" s="328">
        <v>11</v>
      </c>
      <c r="N424" s="277" t="s">
        <v>626</v>
      </c>
      <c r="Q424" s="328">
        <v>11</v>
      </c>
      <c r="R424" s="328">
        <v>11</v>
      </c>
      <c r="S424" s="333">
        <f>ROUND(43813295/1546*11,0)</f>
        <v>311738</v>
      </c>
      <c r="T424" s="4">
        <v>1.96</v>
      </c>
      <c r="U424" s="165" t="e">
        <f>VLOOKUP(N424,'[2]154'!$C$9:$T$554,18,0)</f>
        <v>#N/A</v>
      </c>
      <c r="V424" s="277" t="s">
        <v>626</v>
      </c>
      <c r="AA424" s="277" t="s">
        <v>626</v>
      </c>
      <c r="AD424" s="328">
        <v>11</v>
      </c>
      <c r="AE424" s="328">
        <v>11</v>
      </c>
      <c r="AF424" s="329">
        <f>+AB424*2+AC424*0.5+AD424*0.8</f>
        <v>8.8000000000000007</v>
      </c>
      <c r="AG424" s="329">
        <f>ROUND(17135840/1546*11,0)</f>
        <v>121924</v>
      </c>
      <c r="AI424" s="277" t="s">
        <v>626</v>
      </c>
      <c r="AL424" s="328">
        <v>11</v>
      </c>
      <c r="AM424" s="328">
        <v>11</v>
      </c>
      <c r="AN424" s="329">
        <f>+AJ424*2+AK424*0.5+AL424*0.8</f>
        <v>8.8000000000000007</v>
      </c>
      <c r="AO424" s="329">
        <f>ROUND(26677455/1546*AM424,0)</f>
        <v>189814</v>
      </c>
    </row>
    <row r="425" spans="1:41" ht="15.75">
      <c r="A425" s="333">
        <v>419</v>
      </c>
      <c r="B425" s="4" t="s">
        <v>617</v>
      </c>
      <c r="C425" s="277" t="s">
        <v>620</v>
      </c>
      <c r="J425" s="328">
        <v>94</v>
      </c>
      <c r="K425" s="328">
        <v>94</v>
      </c>
      <c r="N425" s="277" t="s">
        <v>620</v>
      </c>
      <c r="U425" s="165" t="e">
        <f>VLOOKUP(N425,'[2]154'!$C$9:$T$554,18,0)</f>
        <v>#N/A</v>
      </c>
      <c r="V425" s="277" t="s">
        <v>620</v>
      </c>
      <c r="W425" s="328">
        <v>94</v>
      </c>
      <c r="X425" s="405">
        <v>43755.267716535433</v>
      </c>
      <c r="Y425" s="328">
        <f>222276760-Y57</f>
        <v>4112995</v>
      </c>
      <c r="AA425" s="277" t="s">
        <v>620</v>
      </c>
      <c r="AI425" s="277" t="s">
        <v>620</v>
      </c>
    </row>
    <row r="426" spans="1:41">
      <c r="A426" s="333">
        <v>420</v>
      </c>
      <c r="B426" s="4" t="s">
        <v>617</v>
      </c>
      <c r="C426" s="277" t="s">
        <v>625</v>
      </c>
      <c r="J426" s="328">
        <v>148</v>
      </c>
      <c r="K426" s="328">
        <v>148</v>
      </c>
      <c r="N426" s="277" t="s">
        <v>625</v>
      </c>
      <c r="O426" s="328">
        <v>0</v>
      </c>
      <c r="P426" s="328">
        <v>0</v>
      </c>
      <c r="Q426" s="328">
        <v>0</v>
      </c>
      <c r="R426" s="328">
        <v>0</v>
      </c>
      <c r="S426" s="328">
        <v>0</v>
      </c>
      <c r="T426" s="4">
        <v>2.2599999999999998</v>
      </c>
      <c r="U426" s="165" t="e">
        <f>VLOOKUP(N426,'[2]154'!$C$9:$T$554,18,0)</f>
        <v>#N/A</v>
      </c>
      <c r="V426" s="277" t="s">
        <v>625</v>
      </c>
      <c r="W426" s="328">
        <v>148</v>
      </c>
      <c r="X426" s="328">
        <v>44979</v>
      </c>
      <c r="Y426" s="328">
        <f>116675959-Y244</f>
        <v>6656917</v>
      </c>
      <c r="AA426" s="277" t="s">
        <v>625</v>
      </c>
      <c r="AB426" s="328">
        <v>0</v>
      </c>
      <c r="AC426" s="328">
        <v>0</v>
      </c>
      <c r="AD426" s="328">
        <v>0</v>
      </c>
      <c r="AE426" s="328">
        <v>0</v>
      </c>
      <c r="AF426" s="328">
        <v>0</v>
      </c>
      <c r="AG426" s="328">
        <v>0</v>
      </c>
      <c r="AI426" s="277" t="s">
        <v>625</v>
      </c>
      <c r="AJ426" s="328">
        <v>0</v>
      </c>
      <c r="AK426" s="328">
        <v>0</v>
      </c>
      <c r="AL426" s="328">
        <v>0</v>
      </c>
      <c r="AM426" s="328">
        <v>0</v>
      </c>
      <c r="AN426" s="328">
        <v>0</v>
      </c>
      <c r="AO426" s="328">
        <v>0</v>
      </c>
    </row>
    <row r="427" spans="1:41" ht="15.75">
      <c r="A427" s="333">
        <v>421</v>
      </c>
      <c r="B427" s="4" t="s">
        <v>617</v>
      </c>
      <c r="C427" s="277" t="s">
        <v>624</v>
      </c>
      <c r="J427" s="328">
        <v>14</v>
      </c>
      <c r="K427" s="328">
        <v>14</v>
      </c>
      <c r="N427" s="277" t="s">
        <v>624</v>
      </c>
      <c r="U427" s="165" t="e">
        <f>VLOOKUP(N427,'[2]154'!$C$9:$T$554,18,0)</f>
        <v>#N/A</v>
      </c>
      <c r="V427" s="277" t="s">
        <v>624</v>
      </c>
      <c r="W427" s="328">
        <v>14</v>
      </c>
      <c r="X427" s="405">
        <v>35133.64523809524</v>
      </c>
      <c r="Y427" s="328">
        <f>ROUND(14756131/420*14,0)</f>
        <v>491871</v>
      </c>
      <c r="AA427" s="277" t="s">
        <v>624</v>
      </c>
      <c r="AI427" s="277" t="s">
        <v>624</v>
      </c>
    </row>
    <row r="428" spans="1:41" ht="15.75">
      <c r="A428" s="333">
        <v>422</v>
      </c>
      <c r="B428" s="4" t="s">
        <v>617</v>
      </c>
      <c r="C428" s="277" t="s">
        <v>616</v>
      </c>
      <c r="J428" s="328">
        <v>2425</v>
      </c>
      <c r="K428" s="328">
        <v>2425</v>
      </c>
      <c r="N428" s="277" t="s">
        <v>616</v>
      </c>
      <c r="U428" s="165" t="e">
        <f>VLOOKUP(N428,'[2]154'!$C$9:$T$554,18,0)</f>
        <v>#N/A</v>
      </c>
      <c r="V428" s="277" t="s">
        <v>616</v>
      </c>
      <c r="W428" s="328">
        <v>2425</v>
      </c>
      <c r="X428" s="405">
        <v>22932.439629880388</v>
      </c>
      <c r="Y428" s="328">
        <f>ROUND(203227280/8862*W428,0)</f>
        <v>55611166</v>
      </c>
      <c r="AA428" s="277" t="s">
        <v>616</v>
      </c>
    </row>
    <row r="429" spans="1:41">
      <c r="A429" s="333">
        <v>423</v>
      </c>
      <c r="B429" s="4" t="s">
        <v>617</v>
      </c>
      <c r="C429" s="277" t="s">
        <v>618</v>
      </c>
      <c r="J429" s="328">
        <v>439</v>
      </c>
      <c r="K429" s="328">
        <v>439</v>
      </c>
      <c r="N429" s="277" t="s">
        <v>618</v>
      </c>
      <c r="U429" s="165" t="e">
        <f>VLOOKUP(N429,'[2]154'!$C$9:$T$554,18,0)</f>
        <v>#N/A</v>
      </c>
      <c r="V429" s="277" t="s">
        <v>618</v>
      </c>
      <c r="W429" s="328">
        <v>439</v>
      </c>
      <c r="X429" s="328">
        <v>30886</v>
      </c>
      <c r="Y429" s="404">
        <f>+ROUND(569901263/18452*439,0)</f>
        <v>13558782</v>
      </c>
      <c r="AA429" s="277" t="s">
        <v>618</v>
      </c>
      <c r="AI429" s="277" t="s">
        <v>618</v>
      </c>
    </row>
    <row r="430" spans="1:41" ht="15.75">
      <c r="A430" s="333">
        <v>424</v>
      </c>
      <c r="B430" s="4" t="s">
        <v>617</v>
      </c>
      <c r="C430" s="277" t="s">
        <v>619</v>
      </c>
      <c r="J430" s="328">
        <v>49</v>
      </c>
      <c r="K430" s="328">
        <v>49</v>
      </c>
      <c r="N430" s="277" t="s">
        <v>619</v>
      </c>
      <c r="U430" s="165" t="e">
        <f>VLOOKUP(N430,'[2]154'!$C$9:$T$554,18,0)</f>
        <v>#N/A</v>
      </c>
      <c r="V430" s="277" t="s">
        <v>619</v>
      </c>
      <c r="W430" s="328">
        <v>49</v>
      </c>
      <c r="X430" s="405">
        <v>39158.988847583641</v>
      </c>
      <c r="Y430" s="404">
        <f>ROUND(21067536/538*49,0)</f>
        <v>1918790</v>
      </c>
      <c r="AA430" s="277" t="s">
        <v>619</v>
      </c>
      <c r="AI430" s="277" t="s">
        <v>619</v>
      </c>
    </row>
    <row r="431" spans="1:41" ht="15.75">
      <c r="A431" s="333">
        <v>425</v>
      </c>
      <c r="B431" s="4" t="s">
        <v>617</v>
      </c>
      <c r="C431" s="277" t="s">
        <v>621</v>
      </c>
      <c r="J431" s="328">
        <v>136</v>
      </c>
      <c r="K431" s="328">
        <v>136</v>
      </c>
      <c r="N431" s="277" t="s">
        <v>621</v>
      </c>
      <c r="U431" s="165" t="e">
        <f>VLOOKUP(N431,'[2]154'!$C$9:$T$554,18,0)</f>
        <v>#N/A</v>
      </c>
      <c r="V431" s="277" t="s">
        <v>621</v>
      </c>
      <c r="W431" s="404">
        <v>136</v>
      </c>
      <c r="X431" s="405">
        <v>24892.198529411766</v>
      </c>
      <c r="Y431" s="404">
        <v>3385339</v>
      </c>
      <c r="AA431" s="277" t="s">
        <v>621</v>
      </c>
    </row>
    <row r="432" spans="1:41">
      <c r="A432" s="333">
        <v>426</v>
      </c>
      <c r="B432" s="4" t="s">
        <v>617</v>
      </c>
      <c r="C432" s="277" t="s">
        <v>622</v>
      </c>
      <c r="J432" s="328">
        <v>127</v>
      </c>
      <c r="K432" s="328">
        <v>127</v>
      </c>
      <c r="N432" s="277" t="s">
        <v>622</v>
      </c>
      <c r="U432" s="165" t="e">
        <f>VLOOKUP(N432,'[2]154'!$C$9:$T$554,18,0)</f>
        <v>#N/A</v>
      </c>
      <c r="V432" s="277" t="s">
        <v>622</v>
      </c>
      <c r="W432" s="328">
        <v>127</v>
      </c>
      <c r="X432" s="328">
        <v>64981</v>
      </c>
      <c r="Y432" s="404">
        <f>ROUND(17544895/270*127,0)</f>
        <v>8252599</v>
      </c>
      <c r="AA432" s="277" t="s">
        <v>622</v>
      </c>
      <c r="AI432" s="277" t="s">
        <v>622</v>
      </c>
    </row>
  </sheetData>
  <autoFilter ref="A6:AO432" xr:uid="{00000000-0009-0000-0000-000003000000}"/>
  <mergeCells count="5">
    <mergeCell ref="C5:K5"/>
    <mergeCell ref="N5:S5"/>
    <mergeCell ref="V5:Y5"/>
    <mergeCell ref="AA5:AG5"/>
    <mergeCell ref="AI5:AO5"/>
  </mergeCells>
  <conditionalFormatting sqref="X7:X111">
    <cfRule type="cellIs" dxfId="21" priority="28" stopIfTrue="1" operator="lessThan">
      <formula>0</formula>
    </cfRule>
  </conditionalFormatting>
  <conditionalFormatting sqref="X427 X113:X417">
    <cfRule type="cellIs" dxfId="20" priority="25" stopIfTrue="1" operator="lessThan">
      <formula>0</formula>
    </cfRule>
  </conditionalFormatting>
  <conditionalFormatting sqref="W112:Y112">
    <cfRule type="cellIs" dxfId="19" priority="24" stopIfTrue="1" operator="lessThan">
      <formula>0</formula>
    </cfRule>
  </conditionalFormatting>
  <conditionalFormatting sqref="X425">
    <cfRule type="cellIs" dxfId="18" priority="10" stopIfTrue="1" operator="lessThan">
      <formula>0</formula>
    </cfRule>
  </conditionalFormatting>
  <conditionalFormatting sqref="X428">
    <cfRule type="cellIs" dxfId="17" priority="9" stopIfTrue="1" operator="lessThan">
      <formula>0</formula>
    </cfRule>
  </conditionalFormatting>
  <conditionalFormatting sqref="X430">
    <cfRule type="cellIs" dxfId="16" priority="2" stopIfTrue="1" operator="lessThan">
      <formula>0</formula>
    </cfRule>
  </conditionalFormatting>
  <conditionalFormatting sqref="X431">
    <cfRule type="cellIs" dxfId="15" priority="1" stopIfTrue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/>
  <dimension ref="A1:BH505"/>
  <sheetViews>
    <sheetView view="pageBreakPreview" topLeftCell="A4" zoomScale="84" zoomScaleNormal="80" zoomScaleSheetLayoutView="84" workbookViewId="0">
      <pane xSplit="3" ySplit="8" topLeftCell="D12" activePane="bottomRight" state="frozen"/>
      <selection activeCell="A4" sqref="A4"/>
      <selection pane="topRight" activeCell="D4" sqref="D4"/>
      <selection pane="bottomLeft" activeCell="A12" sqref="A12"/>
      <selection pane="bottomRight" activeCell="AQ10" sqref="AQ10"/>
    </sheetView>
  </sheetViews>
  <sheetFormatPr defaultColWidth="9.140625" defaultRowHeight="15.75" outlineLevelCol="1"/>
  <cols>
    <col min="1" max="1" width="7.5703125" style="64" customWidth="1"/>
    <col min="2" max="2" width="17" style="254" customWidth="1"/>
    <col min="3" max="3" width="32.5703125" style="65" customWidth="1"/>
    <col min="4" max="4" width="11.5703125" style="64" bestFit="1" customWidth="1"/>
    <col min="5" max="5" width="15.5703125" style="64" customWidth="1"/>
    <col min="6" max="6" width="17.42578125" style="64" customWidth="1"/>
    <col min="7" max="7" width="11.42578125" style="64" customWidth="1" outlineLevel="1"/>
    <col min="8" max="8" width="12.85546875" style="64" customWidth="1" outlineLevel="1"/>
    <col min="9" max="9" width="13.28515625" style="64" customWidth="1" outlineLevel="1"/>
    <col min="10" max="10" width="19.42578125" style="64" customWidth="1" outlineLevel="1"/>
    <col min="11" max="11" width="18" style="64" customWidth="1" outlineLevel="1"/>
    <col min="12" max="12" width="18.140625" style="64" customWidth="1" outlineLevel="1"/>
    <col min="13" max="13" width="10.85546875" style="64" customWidth="1" outlineLevel="1"/>
    <col min="14" max="14" width="13.7109375" style="64" customWidth="1" outlineLevel="1"/>
    <col min="15" max="15" width="13.7109375" style="66" customWidth="1" outlineLevel="1"/>
    <col min="16" max="16" width="11.5703125" style="64" bestFit="1" customWidth="1"/>
    <col min="17" max="17" width="12.42578125" style="64" customWidth="1"/>
    <col min="18" max="18" width="17.5703125" style="64" bestFit="1" customWidth="1"/>
    <col min="19" max="19" width="14.28515625" style="64" bestFit="1" customWidth="1" outlineLevel="1"/>
    <col min="20" max="20" width="13.28515625" style="64" bestFit="1" customWidth="1" outlineLevel="1"/>
    <col min="21" max="21" width="16.42578125" style="64" bestFit="1" customWidth="1" outlineLevel="1"/>
    <col min="22" max="22" width="14.28515625" style="64" bestFit="1" customWidth="1" outlineLevel="1"/>
    <col min="23" max="23" width="13.28515625" style="64" bestFit="1" customWidth="1" outlineLevel="1"/>
    <col min="24" max="24" width="17.5703125" style="64" bestFit="1" customWidth="1" outlineLevel="1"/>
    <col min="25" max="25" width="14.28515625" style="64" bestFit="1" customWidth="1" outlineLevel="1"/>
    <col min="26" max="26" width="13.28515625" style="64" bestFit="1" customWidth="1" outlineLevel="1"/>
    <col min="27" max="27" width="16.42578125" style="64" bestFit="1" customWidth="1" outlineLevel="1"/>
    <col min="28" max="28" width="14.28515625" style="64" hidden="1" customWidth="1" outlineLevel="1"/>
    <col min="29" max="29" width="13.28515625" style="64" hidden="1" customWidth="1" outlineLevel="1"/>
    <col min="30" max="30" width="16.42578125" style="64" hidden="1" customWidth="1" outlineLevel="1"/>
    <col min="31" max="31" width="14.28515625" style="64" hidden="1" customWidth="1" outlineLevel="1"/>
    <col min="32" max="32" width="13.28515625" style="64" hidden="1" customWidth="1" outlineLevel="1"/>
    <col min="33" max="33" width="16.42578125" style="64" hidden="1" customWidth="1" outlineLevel="1"/>
    <col min="34" max="34" width="14.28515625" style="64" hidden="1" customWidth="1" outlineLevel="1"/>
    <col min="35" max="35" width="13.28515625" style="64" hidden="1" customWidth="1" outlineLevel="1"/>
    <col min="36" max="36" width="16.42578125" style="64" hidden="1" customWidth="1" outlineLevel="1"/>
    <col min="37" max="37" width="14.28515625" style="64" hidden="1" customWidth="1" outlineLevel="1"/>
    <col min="38" max="38" width="13.28515625" style="64" hidden="1" customWidth="1" outlineLevel="1"/>
    <col min="39" max="39" width="16.42578125" style="64" hidden="1" customWidth="1" outlineLevel="1"/>
    <col min="40" max="40" width="14.28515625" style="64" bestFit="1" customWidth="1"/>
    <col min="41" max="41" width="15.140625" style="64" customWidth="1"/>
    <col min="42" max="42" width="33.140625" style="64" bestFit="1" customWidth="1"/>
    <col min="43" max="43" width="11.5703125" style="64" bestFit="1" customWidth="1"/>
    <col min="44" max="44" width="13.7109375" style="64" customWidth="1"/>
    <col min="45" max="45" width="18.140625" style="64" customWidth="1"/>
    <col min="46" max="46" width="11.5703125" style="64" customWidth="1" outlineLevel="1"/>
    <col min="47" max="47" width="16.5703125" style="64" customWidth="1" outlineLevel="1"/>
    <col min="48" max="48" width="11.5703125" style="64" customWidth="1" outlineLevel="1"/>
    <col min="49" max="49" width="16.42578125" style="64" customWidth="1" outlineLevel="1"/>
    <col min="50" max="50" width="10" style="35" customWidth="1"/>
    <col min="51" max="51" width="13" style="35" customWidth="1"/>
    <col min="52" max="52" width="12.42578125" style="35" customWidth="1"/>
    <col min="53" max="53" width="18.85546875" style="35" customWidth="1"/>
    <col min="54" max="54" width="11.7109375" style="35" customWidth="1"/>
    <col min="55" max="55" width="9.140625" style="35" customWidth="1"/>
    <col min="56" max="56" width="15.140625" style="35" customWidth="1"/>
    <col min="57" max="57" width="9.140625" style="35" customWidth="1"/>
    <col min="58" max="58" width="9.140625" style="35"/>
    <col min="59" max="59" width="16.5703125" style="35" customWidth="1"/>
    <col min="60" max="60" width="22.5703125" style="62" customWidth="1"/>
    <col min="61" max="16384" width="9.140625" style="35"/>
  </cols>
  <sheetData>
    <row r="1" spans="1:60">
      <c r="A1" s="36"/>
      <c r="B1" s="248" t="s">
        <v>99</v>
      </c>
      <c r="C1" s="35"/>
      <c r="D1" s="36"/>
      <c r="E1" s="36"/>
      <c r="F1" s="36"/>
      <c r="G1" s="36"/>
      <c r="H1" s="36"/>
      <c r="I1" s="36"/>
      <c r="J1" s="36"/>
      <c r="K1" s="36"/>
      <c r="L1" s="36"/>
      <c r="M1" s="37"/>
      <c r="N1" s="37"/>
      <c r="O1" s="38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</row>
    <row r="2" spans="1:60">
      <c r="A2" s="36"/>
      <c r="B2" s="249">
        <f>'JUNE (물량흐름)'!A2</f>
        <v>0</v>
      </c>
      <c r="C2" s="35"/>
      <c r="D2" s="36"/>
      <c r="E2" s="36"/>
      <c r="F2" s="36"/>
      <c r="G2" s="36"/>
      <c r="H2" s="36"/>
      <c r="I2" s="36"/>
      <c r="J2" s="36"/>
      <c r="K2" s="36"/>
      <c r="L2" s="36"/>
      <c r="M2" s="39"/>
      <c r="N2" s="39"/>
      <c r="O2" s="40"/>
      <c r="P2" s="36"/>
      <c r="Q2" s="36"/>
      <c r="R2" s="36">
        <f>D7+P7-AN7-AQ7</f>
        <v>0</v>
      </c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>
        <f>F7+R7-AP7-AS7</f>
        <v>0</v>
      </c>
      <c r="AO2" s="36"/>
      <c r="AP2" s="36"/>
      <c r="AQ2" s="36"/>
      <c r="AR2" s="36"/>
      <c r="AS2" s="36">
        <f>D7+P7-AN7-AQ7</f>
        <v>0</v>
      </c>
      <c r="AT2" s="36"/>
      <c r="AU2" s="36"/>
      <c r="AV2" s="36"/>
      <c r="AW2" s="36"/>
    </row>
    <row r="3" spans="1:60">
      <c r="A3" s="36"/>
      <c r="B3" s="249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41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>
        <f>F7+R7-AP7-AS7</f>
        <v>0</v>
      </c>
      <c r="AT3" s="36"/>
      <c r="AU3" s="36"/>
      <c r="AV3" s="36"/>
      <c r="AW3" s="36"/>
    </row>
    <row r="4" spans="1:60">
      <c r="A4" s="36"/>
      <c r="B4" s="250" t="s">
        <v>115</v>
      </c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41"/>
      <c r="P4" s="36"/>
      <c r="Q4" s="36"/>
      <c r="R4" s="36"/>
      <c r="S4" s="36"/>
      <c r="T4" s="36"/>
      <c r="U4" s="36"/>
      <c r="V4" s="42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Y4" s="43"/>
    </row>
    <row r="5" spans="1:60">
      <c r="A5" s="36"/>
      <c r="B5" s="250" t="str">
        <f>'JUNE (물량흐름)'!A6</f>
        <v>THÁNG 06 /JUNE '18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41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60">
      <c r="A6" s="36"/>
      <c r="B6" s="249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41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</row>
    <row r="7" spans="1:60">
      <c r="A7" s="36"/>
      <c r="B7" s="249"/>
      <c r="C7" s="35"/>
      <c r="D7" s="44">
        <f t="shared" ref="D7:AW7" si="0">SUBTOTAL(9,D12:D492)</f>
        <v>173116</v>
      </c>
      <c r="E7" s="44">
        <f t="shared" si="0"/>
        <v>3971446.5589615949</v>
      </c>
      <c r="F7" s="44">
        <f t="shared" si="0"/>
        <v>6043796522</v>
      </c>
      <c r="G7" s="44">
        <f t="shared" si="0"/>
        <v>30790</v>
      </c>
      <c r="H7" s="44">
        <f t="shared" si="0"/>
        <v>414771</v>
      </c>
      <c r="I7" s="44">
        <f t="shared" si="0"/>
        <v>8054891.9361899653</v>
      </c>
      <c r="J7" s="44">
        <f t="shared" si="0"/>
        <v>6260644579</v>
      </c>
      <c r="K7" s="44">
        <f t="shared" si="0"/>
        <v>12031157198</v>
      </c>
      <c r="L7" s="44">
        <f t="shared" si="0"/>
        <v>18291801777</v>
      </c>
      <c r="M7" s="44">
        <f t="shared" si="0"/>
        <v>605</v>
      </c>
      <c r="N7" s="44">
        <f t="shared" si="0"/>
        <v>2835809.9837995339</v>
      </c>
      <c r="O7" s="44">
        <f t="shared" si="0"/>
        <v>28190139</v>
      </c>
      <c r="P7" s="44">
        <f t="shared" si="0"/>
        <v>446166</v>
      </c>
      <c r="Q7" s="44">
        <f t="shared" si="0"/>
        <v>8978729.0063697752</v>
      </c>
      <c r="R7" s="44">
        <f t="shared" si="0"/>
        <v>18319991916</v>
      </c>
      <c r="S7" s="44">
        <f t="shared" si="0"/>
        <v>0</v>
      </c>
      <c r="T7" s="44">
        <f t="shared" si="0"/>
        <v>0</v>
      </c>
      <c r="U7" s="44">
        <f t="shared" si="0"/>
        <v>0</v>
      </c>
      <c r="V7" s="44">
        <f t="shared" si="0"/>
        <v>392031</v>
      </c>
      <c r="W7" s="44">
        <f t="shared" si="0"/>
        <v>3759571.7969357544</v>
      </c>
      <c r="X7" s="44">
        <f t="shared" si="0"/>
        <v>15788962803</v>
      </c>
      <c r="Y7" s="44">
        <f t="shared" si="0"/>
        <v>0</v>
      </c>
      <c r="Z7" s="44">
        <f t="shared" si="0"/>
        <v>0</v>
      </c>
      <c r="AA7" s="44">
        <f t="shared" si="0"/>
        <v>0</v>
      </c>
      <c r="AB7" s="44">
        <f t="shared" si="0"/>
        <v>0</v>
      </c>
      <c r="AC7" s="44">
        <f t="shared" si="0"/>
        <v>0</v>
      </c>
      <c r="AD7" s="44">
        <f t="shared" si="0"/>
        <v>0</v>
      </c>
      <c r="AE7" s="44">
        <f t="shared" si="0"/>
        <v>605</v>
      </c>
      <c r="AF7" s="44">
        <f t="shared" si="0"/>
        <v>2835809.9837995339</v>
      </c>
      <c r="AG7" s="44">
        <f t="shared" si="0"/>
        <v>28190139</v>
      </c>
      <c r="AH7" s="44">
        <f t="shared" si="0"/>
        <v>0</v>
      </c>
      <c r="AI7" s="44">
        <f t="shared" si="0"/>
        <v>0</v>
      </c>
      <c r="AJ7" s="44">
        <f t="shared" si="0"/>
        <v>0</v>
      </c>
      <c r="AK7" s="44">
        <f t="shared" si="0"/>
        <v>0</v>
      </c>
      <c r="AL7" s="44">
        <f t="shared" si="0"/>
        <v>0</v>
      </c>
      <c r="AM7" s="44">
        <f t="shared" si="0"/>
        <v>0</v>
      </c>
      <c r="AN7" s="44">
        <f t="shared" si="0"/>
        <v>392636</v>
      </c>
      <c r="AO7" s="44">
        <f t="shared" si="0"/>
        <v>4381667.0876942351</v>
      </c>
      <c r="AP7" s="44">
        <f t="shared" si="0"/>
        <v>15817152942</v>
      </c>
      <c r="AQ7" s="44">
        <f t="shared" si="0"/>
        <v>226646</v>
      </c>
      <c r="AR7" s="44">
        <f t="shared" si="0"/>
        <v>9382595.6621543076</v>
      </c>
      <c r="AS7" s="44">
        <f t="shared" si="0"/>
        <v>8546635496</v>
      </c>
      <c r="AT7" s="44">
        <f t="shared" si="0"/>
        <v>184933</v>
      </c>
      <c r="AU7" s="44">
        <f t="shared" si="0"/>
        <v>7306633775</v>
      </c>
      <c r="AV7" s="44">
        <f t="shared" si="0"/>
        <v>41713</v>
      </c>
      <c r="AW7" s="44">
        <f t="shared" si="0"/>
        <v>1240001721</v>
      </c>
      <c r="AX7" s="43"/>
    </row>
    <row r="8" spans="1:60">
      <c r="A8" s="546" t="s">
        <v>37</v>
      </c>
      <c r="B8" s="548" t="s">
        <v>174</v>
      </c>
      <c r="C8" s="45" t="s">
        <v>83</v>
      </c>
      <c r="D8" s="550" t="s">
        <v>84</v>
      </c>
      <c r="E8" s="551"/>
      <c r="F8" s="555"/>
      <c r="G8" s="46" t="s">
        <v>109</v>
      </c>
      <c r="H8" s="550" t="s">
        <v>85</v>
      </c>
      <c r="I8" s="551"/>
      <c r="J8" s="551"/>
      <c r="K8" s="551"/>
      <c r="L8" s="47"/>
      <c r="M8" s="550" t="s">
        <v>138</v>
      </c>
      <c r="N8" s="551"/>
      <c r="O8" s="555"/>
      <c r="P8" s="556" t="s">
        <v>135</v>
      </c>
      <c r="Q8" s="556"/>
      <c r="R8" s="556"/>
      <c r="S8" s="567" t="s">
        <v>86</v>
      </c>
      <c r="T8" s="568"/>
      <c r="U8" s="569"/>
      <c r="V8" s="550" t="s">
        <v>95</v>
      </c>
      <c r="W8" s="551"/>
      <c r="X8" s="551"/>
      <c r="Y8" s="551"/>
      <c r="Z8" s="551"/>
      <c r="AA8" s="551"/>
      <c r="AB8" s="551"/>
      <c r="AC8" s="551"/>
      <c r="AD8" s="551"/>
      <c r="AE8" s="551"/>
      <c r="AF8" s="551"/>
      <c r="AG8" s="551"/>
      <c r="AH8" s="551"/>
      <c r="AI8" s="551"/>
      <c r="AJ8" s="551"/>
      <c r="AK8" s="551"/>
      <c r="AL8" s="551"/>
      <c r="AM8" s="555"/>
      <c r="AN8" s="557" t="s">
        <v>134</v>
      </c>
      <c r="AO8" s="558"/>
      <c r="AP8" s="559"/>
      <c r="AQ8" s="550" t="s">
        <v>89</v>
      </c>
      <c r="AR8" s="551"/>
      <c r="AS8" s="555"/>
      <c r="AT8" s="563" t="s">
        <v>90</v>
      </c>
      <c r="AU8" s="555"/>
      <c r="AV8" s="563" t="s">
        <v>91</v>
      </c>
      <c r="AW8" s="555"/>
    </row>
    <row r="9" spans="1:60">
      <c r="A9" s="547"/>
      <c r="B9" s="549"/>
      <c r="C9" s="48" t="s">
        <v>42</v>
      </c>
      <c r="D9" s="543" t="s">
        <v>43</v>
      </c>
      <c r="E9" s="544"/>
      <c r="F9" s="545"/>
      <c r="G9" s="49" t="s">
        <v>45</v>
      </c>
      <c r="H9" s="543" t="s">
        <v>44</v>
      </c>
      <c r="I9" s="544"/>
      <c r="J9" s="544"/>
      <c r="K9" s="544"/>
      <c r="L9" s="50"/>
      <c r="M9" s="552" t="s">
        <v>157</v>
      </c>
      <c r="N9" s="553"/>
      <c r="O9" s="554"/>
      <c r="P9" s="556"/>
      <c r="Q9" s="556"/>
      <c r="R9" s="556"/>
      <c r="S9" s="570" t="s">
        <v>46</v>
      </c>
      <c r="T9" s="571"/>
      <c r="U9" s="572"/>
      <c r="V9" s="543" t="s">
        <v>133</v>
      </c>
      <c r="W9" s="544"/>
      <c r="X9" s="545"/>
      <c r="Y9" s="543" t="s">
        <v>87</v>
      </c>
      <c r="Z9" s="544"/>
      <c r="AA9" s="545"/>
      <c r="AB9" s="543" t="s">
        <v>94</v>
      </c>
      <c r="AC9" s="544"/>
      <c r="AD9" s="545"/>
      <c r="AE9" s="543" t="s">
        <v>294</v>
      </c>
      <c r="AF9" s="544"/>
      <c r="AG9" s="545"/>
      <c r="AH9" s="564" t="s">
        <v>52</v>
      </c>
      <c r="AI9" s="565"/>
      <c r="AJ9" s="566"/>
      <c r="AK9" s="564" t="s">
        <v>88</v>
      </c>
      <c r="AL9" s="565"/>
      <c r="AM9" s="566"/>
      <c r="AN9" s="560"/>
      <c r="AO9" s="561"/>
      <c r="AP9" s="562"/>
      <c r="AQ9" s="543" t="s">
        <v>167</v>
      </c>
      <c r="AR9" s="544"/>
      <c r="AS9" s="545"/>
      <c r="AT9" s="552" t="s">
        <v>47</v>
      </c>
      <c r="AU9" s="554"/>
      <c r="AV9" s="552" t="s">
        <v>48</v>
      </c>
      <c r="AW9" s="554"/>
    </row>
    <row r="10" spans="1:60">
      <c r="A10" s="55"/>
      <c r="B10" s="251"/>
      <c r="C10" s="51"/>
      <c r="D10" s="52" t="s">
        <v>6</v>
      </c>
      <c r="E10" s="52" t="s">
        <v>93</v>
      </c>
      <c r="F10" s="52" t="s">
        <v>92</v>
      </c>
      <c r="G10" s="52" t="s">
        <v>6</v>
      </c>
      <c r="H10" s="52" t="s">
        <v>124</v>
      </c>
      <c r="I10" s="52" t="s">
        <v>93</v>
      </c>
      <c r="J10" s="53">
        <v>622</v>
      </c>
      <c r="K10" s="53">
        <v>627</v>
      </c>
      <c r="L10" s="52" t="s">
        <v>92</v>
      </c>
      <c r="M10" s="52" t="s">
        <v>138</v>
      </c>
      <c r="N10" s="52" t="s">
        <v>93</v>
      </c>
      <c r="O10" s="54" t="s">
        <v>92</v>
      </c>
      <c r="P10" s="52" t="s">
        <v>6</v>
      </c>
      <c r="Q10" s="52" t="s">
        <v>93</v>
      </c>
      <c r="R10" s="52" t="s">
        <v>92</v>
      </c>
      <c r="S10" s="52" t="s">
        <v>6</v>
      </c>
      <c r="T10" s="52" t="s">
        <v>93</v>
      </c>
      <c r="U10" s="52" t="s">
        <v>92</v>
      </c>
      <c r="V10" s="52" t="s">
        <v>6</v>
      </c>
      <c r="W10" s="52" t="s">
        <v>93</v>
      </c>
      <c r="X10" s="55" t="s">
        <v>92</v>
      </c>
      <c r="Y10" s="52" t="s">
        <v>6</v>
      </c>
      <c r="Z10" s="52" t="s">
        <v>93</v>
      </c>
      <c r="AA10" s="52" t="s">
        <v>92</v>
      </c>
      <c r="AB10" s="52" t="s">
        <v>6</v>
      </c>
      <c r="AC10" s="52" t="s">
        <v>93</v>
      </c>
      <c r="AD10" s="52" t="s">
        <v>92</v>
      </c>
      <c r="AE10" s="52" t="s">
        <v>6</v>
      </c>
      <c r="AF10" s="52" t="s">
        <v>93</v>
      </c>
      <c r="AG10" s="52" t="s">
        <v>92</v>
      </c>
      <c r="AH10" s="52" t="s">
        <v>6</v>
      </c>
      <c r="AI10" s="52" t="s">
        <v>93</v>
      </c>
      <c r="AJ10" s="52" t="s">
        <v>92</v>
      </c>
      <c r="AK10" s="52" t="s">
        <v>6</v>
      </c>
      <c r="AL10" s="52" t="s">
        <v>93</v>
      </c>
      <c r="AM10" s="52" t="s">
        <v>92</v>
      </c>
      <c r="AN10" s="52" t="s">
        <v>6</v>
      </c>
      <c r="AO10" s="52" t="s">
        <v>93</v>
      </c>
      <c r="AP10" s="52" t="s">
        <v>92</v>
      </c>
      <c r="AQ10" s="52" t="s">
        <v>6</v>
      </c>
      <c r="AR10" s="55" t="s">
        <v>93</v>
      </c>
      <c r="AS10" s="52" t="s">
        <v>92</v>
      </c>
      <c r="AT10" s="52" t="s">
        <v>6</v>
      </c>
      <c r="AU10" s="52" t="s">
        <v>92</v>
      </c>
      <c r="AV10" s="52" t="s">
        <v>6</v>
      </c>
      <c r="AW10" s="52" t="s">
        <v>92</v>
      </c>
      <c r="BF10" s="56"/>
    </row>
    <row r="11" spans="1:60" s="256" customFormat="1">
      <c r="A11" s="252">
        <v>1</v>
      </c>
      <c r="B11" s="252">
        <v>4</v>
      </c>
      <c r="C11" s="255">
        <v>5</v>
      </c>
      <c r="D11" s="255">
        <v>8</v>
      </c>
      <c r="E11" s="255">
        <v>9</v>
      </c>
      <c r="F11" s="255">
        <v>10</v>
      </c>
      <c r="G11" s="255">
        <v>15</v>
      </c>
      <c r="H11" s="255">
        <v>11</v>
      </c>
      <c r="I11" s="255">
        <v>12</v>
      </c>
      <c r="J11" s="255"/>
      <c r="K11" s="255"/>
      <c r="L11" s="255">
        <v>13</v>
      </c>
      <c r="M11" s="255">
        <v>14</v>
      </c>
      <c r="N11" s="255">
        <v>16</v>
      </c>
      <c r="O11" s="255">
        <v>17</v>
      </c>
      <c r="P11" s="255">
        <v>18</v>
      </c>
      <c r="Q11" s="255">
        <v>19</v>
      </c>
      <c r="R11" s="255">
        <v>20</v>
      </c>
      <c r="S11" s="255">
        <v>21</v>
      </c>
      <c r="T11" s="255">
        <v>22</v>
      </c>
      <c r="U11" s="255">
        <v>23</v>
      </c>
      <c r="V11" s="255">
        <v>24</v>
      </c>
      <c r="W11" s="255">
        <v>25</v>
      </c>
      <c r="X11" s="255">
        <v>26</v>
      </c>
      <c r="Y11" s="255">
        <v>27</v>
      </c>
      <c r="Z11" s="255">
        <v>28</v>
      </c>
      <c r="AA11" s="255">
        <v>29</v>
      </c>
      <c r="AB11" s="255">
        <v>30</v>
      </c>
      <c r="AC11" s="255">
        <v>31</v>
      </c>
      <c r="AD11" s="255">
        <v>32</v>
      </c>
      <c r="AE11" s="255">
        <v>33</v>
      </c>
      <c r="AF11" s="255">
        <v>34</v>
      </c>
      <c r="AG11" s="255">
        <v>35</v>
      </c>
      <c r="AH11" s="255">
        <v>36</v>
      </c>
      <c r="AI11" s="255">
        <v>37</v>
      </c>
      <c r="AJ11" s="255">
        <v>38</v>
      </c>
      <c r="AK11" s="255">
        <v>39</v>
      </c>
      <c r="AL11" s="255">
        <v>40</v>
      </c>
      <c r="AM11" s="255">
        <v>41</v>
      </c>
      <c r="AN11" s="255">
        <v>42</v>
      </c>
      <c r="AO11" s="255">
        <v>43</v>
      </c>
      <c r="AP11" s="255">
        <v>44</v>
      </c>
      <c r="AQ11" s="255">
        <v>45</v>
      </c>
      <c r="AR11" s="252">
        <v>46</v>
      </c>
      <c r="AS11" s="255">
        <v>47</v>
      </c>
      <c r="AT11" s="255">
        <v>48</v>
      </c>
      <c r="AU11" s="255">
        <v>49</v>
      </c>
      <c r="AV11" s="255">
        <v>50</v>
      </c>
      <c r="AW11" s="255">
        <v>51</v>
      </c>
      <c r="BF11" s="257"/>
      <c r="BG11" s="62"/>
      <c r="BH11" s="403">
        <f>SUM(BH12:BH394)</f>
        <v>0</v>
      </c>
    </row>
    <row r="12" spans="1:60" s="378" customFormat="1">
      <c r="A12" s="167">
        <v>1</v>
      </c>
      <c r="B12" s="253">
        <f>VLOOKUP(A12,'JUNE (물량흐름)'!$A$13:$C$493,3,0)</f>
        <v>69717</v>
      </c>
      <c r="C12" s="57" t="str">
        <f>VLOOKUP(A12,'JUNE (물량흐름)'!$A$13:$C$493,2,0)</f>
        <v>ALFANI</v>
      </c>
      <c r="D12" s="58">
        <f>IFERROR(VLOOKUP(B12,O.B.JUNE!$V$7:$Y$448,2,0),0)</f>
        <v>1878</v>
      </c>
      <c r="E12" s="58">
        <f>IFERROR(VLOOKUP(B12,O.B.JUNE!$V$7:$X$448,3,0),0)</f>
        <v>13055.030351437699</v>
      </c>
      <c r="F12" s="58">
        <f>IFERROR(VLOOKUP(B12,O.B.JUNE!$V$7:$Y$448,4,0),0)</f>
        <v>24517347</v>
      </c>
      <c r="G12" s="58">
        <f>SUMIF('JUNE (물량흐름)'!$C$13:$C$493,'In-out-bal products (155)(완성제품)'!B12,'JUNE (물량흐름)'!$V$13:$V$493)</f>
        <v>0</v>
      </c>
      <c r="H12" s="58">
        <f>SUMIF('JUNE (물량흐름)'!$C$13:$C$493,'In-out-bal products (155)(완성제품)'!B12,'JUNE (물량흐름)'!$T$13:$T$493)-SUMIF('JUNE (물량흐름)'!$C$13:$C$493,'In-out-bal products (155)(완성제품)'!B12,'JUNE (물량흐름)'!$Y$13:$Y$493)+SUMIF('JUNE (물량흐름)'!$C$13:$C$493,'In-out-bal products (155)(완성제품)'!B12,'JUNE (물량흐름)'!$U$13:$U$493)</f>
        <v>2500</v>
      </c>
      <c r="I12" s="58">
        <f>(IF(ISERROR(L12/H12),0,L12/H12))</f>
        <v>11427.669599999999</v>
      </c>
      <c r="J12" s="58">
        <f>SUMIF('Direct labour(직접노무비)'!$C$12:$C$503,'In-out-bal products (155)(완성제품)'!B12,'Direct labour(직접노무비)'!$Q$12:$Q$503)</f>
        <v>10873664</v>
      </c>
      <c r="K12" s="59">
        <f>SUMIF('Overhead exp(제조경비)'!$C$12:$C$503,'In-out-bal products (155)(완성제품)'!B12,'Overhead exp(제조경비)'!$Q$12:$Q$503)</f>
        <v>17695510</v>
      </c>
      <c r="L12" s="58">
        <f>ROUND(J12+K12,0)</f>
        <v>28569174</v>
      </c>
      <c r="M12" s="58">
        <f>SUMIF('JUNE (물량흐름)'!$C$13:$C$488,'In-out-bal products (155)(완성제품)'!B12,'JUNE (물량흐름)'!$Y$13:$Y$488)</f>
        <v>0</v>
      </c>
      <c r="N12" s="58">
        <f>IFERROR(O12/M12,0)</f>
        <v>0</v>
      </c>
      <c r="O12" s="58">
        <f>SUMIF('Direct labour(직접노무비)'!$C$12:$C$503,'In-out-bal products (155)(완성제품)'!B12,'Direct labour(직접노무비)'!$U$12:$U$503)+SUMIF('Overhead exp(제조경비)'!$C$12:$C$503,'In-out-bal products (155)(완성제품)'!B12,'Overhead exp(제조경비)'!$U$12:$U$503)</f>
        <v>0</v>
      </c>
      <c r="P12" s="60">
        <f>ROUND(H12+G12+M12,0)</f>
        <v>2500</v>
      </c>
      <c r="Q12" s="60">
        <f>(IF(ISERROR(R12/P12),0,R12/P12))</f>
        <v>11427.669599999999</v>
      </c>
      <c r="R12" s="60">
        <f>ROUND(L12+O12,0)</f>
        <v>28569174</v>
      </c>
      <c r="S12" s="58">
        <v>0</v>
      </c>
      <c r="T12" s="58">
        <v>0</v>
      </c>
      <c r="U12" s="58">
        <v>0</v>
      </c>
      <c r="V12" s="58">
        <f>SUMIF('JUNE (물량흐름)'!$C$13:$C$493,'In-out-bal products (155)(완성제품)'!B12,'JUNE (물량흐름)'!$W$13:$W$493)</f>
        <v>2370</v>
      </c>
      <c r="W12" s="58">
        <f>(IF(V12=0,0,$X12/$V12))</f>
        <v>12125.747257383966</v>
      </c>
      <c r="X12" s="58">
        <f>ROUND(IF(V12=0,0,V12*($F12+$L12)/($D12+$H12+$G12)),0)</f>
        <v>28738021</v>
      </c>
      <c r="Y12" s="58">
        <f>SUMIF('JUNE (물량흐름)'!$C$13:$C$488,'In-out-bal products (155)(완성제품)'!B12,'JUNE (물량흐름)'!$X$13:$X$488)</f>
        <v>0</v>
      </c>
      <c r="Z12" s="58">
        <f t="shared" ref="Z12" si="1">IF(Y12=0,0,$AA12/$Y12)</f>
        <v>0</v>
      </c>
      <c r="AA12" s="58">
        <f>ROUND(IF(Y12=0,0,Y12*($F12+$L12)/($D12+$H12+$G12)),0)</f>
        <v>0</v>
      </c>
      <c r="AB12" s="58"/>
      <c r="AC12" s="58"/>
      <c r="AD12" s="61"/>
      <c r="AE12" s="58">
        <f>M12</f>
        <v>0</v>
      </c>
      <c r="AF12" s="58">
        <f>N12</f>
        <v>0</v>
      </c>
      <c r="AG12" s="61">
        <f>O12</f>
        <v>0</v>
      </c>
      <c r="AH12" s="58">
        <v>0</v>
      </c>
      <c r="AI12" s="58">
        <v>0</v>
      </c>
      <c r="AJ12" s="61">
        <v>0</v>
      </c>
      <c r="AK12" s="58"/>
      <c r="AL12" s="58"/>
      <c r="AM12" s="61"/>
      <c r="AN12" s="61">
        <f>ROUND(SUM(V12+Y12+AB12+AE12+AH12+AK12+S12),0)</f>
        <v>2370</v>
      </c>
      <c r="AO12" s="58">
        <f>(IF(ISERROR(AP12/AN12),0,AP12/AN12))</f>
        <v>12125.747257383966</v>
      </c>
      <c r="AP12" s="61">
        <f>ROUND(X12+AA12+AD12+AG12+AJ12+AM12+U12,0)</f>
        <v>28738021</v>
      </c>
      <c r="AQ12" s="58">
        <f>ROUND(D12+P12-AN12,0)</f>
        <v>2008</v>
      </c>
      <c r="AR12" s="58">
        <f>(IF(ISERROR(AS12/AQ12),0,AS12/AQ12))</f>
        <v>12125.747011952191</v>
      </c>
      <c r="AS12" s="58">
        <f>ROUND(F12+R12-AP12,0)</f>
        <v>24348500</v>
      </c>
      <c r="AT12" s="58">
        <f>ROUND(SUMIF('JUNE (물량흐름)'!$C$13:$C$502,'In-out-bal products (155)(완성제품)'!B12,'JUNE (물량흐름)'!$AB$13:$AB$502),0)</f>
        <v>2008</v>
      </c>
      <c r="AU12" s="58">
        <f>+ROUND(AR12*AT12,0)</f>
        <v>24348500</v>
      </c>
      <c r="AV12" s="58">
        <f>ROUND(SUMIF('JUNE (물량흐름)'!$C$13:$C$502,'In-out-bal products (155)(완성제품)'!B12,'JUNE (물량흐름)'!$AC$13:$AC$502),0)</f>
        <v>0</v>
      </c>
      <c r="AW12" s="58">
        <f>ROUND(AR12*AV12,0)</f>
        <v>0</v>
      </c>
      <c r="AX12" s="376">
        <f>D12+P12-AN12-AQ12</f>
        <v>0</v>
      </c>
      <c r="AY12" s="377">
        <f t="shared" ref="AY12" si="2">F12+R12-AP12-AS12</f>
        <v>0</v>
      </c>
      <c r="AZ12" s="377">
        <f>AQ12-AT12-AV12</f>
        <v>0</v>
      </c>
      <c r="BA12" s="377">
        <f>AS12-AU12-AW12</f>
        <v>0</v>
      </c>
      <c r="BB12" s="377"/>
      <c r="BC12" s="377">
        <f t="shared" ref="BC12" si="3">F12+R12-AP12-AS12</f>
        <v>0</v>
      </c>
      <c r="BD12" s="377">
        <f t="shared" ref="BD12" si="4">D12+P12-AN12-AQ12</f>
        <v>0</v>
      </c>
      <c r="BE12" s="377"/>
      <c r="BF12" s="377">
        <f t="shared" ref="BF12" si="5">F12+R12-AP12-AS12</f>
        <v>0</v>
      </c>
      <c r="BG12" s="433">
        <f>+X12+AA12+AD12+AG12+AJ12+AM12+U12</f>
        <v>28738021</v>
      </c>
      <c r="BH12" s="434">
        <f>+BG12-AP12</f>
        <v>0</v>
      </c>
    </row>
    <row r="13" spans="1:60" s="378" customFormat="1">
      <c r="A13" s="167">
        <v>2</v>
      </c>
      <c r="B13" s="253">
        <f>VLOOKUP(A13,'JUNE (물량흐름)'!$A$13:$C$493,3,0)</f>
        <v>73738</v>
      </c>
      <c r="C13" s="57" t="str">
        <f>VLOOKUP(A13,'JUNE (물량흐름)'!$A$13:$C$493,2,0)</f>
        <v>ALFANI</v>
      </c>
      <c r="D13" s="58">
        <f>IFERROR(VLOOKUP(B13,O.B.JUNE!$V$7:$Y$448,2,0),0)</f>
        <v>0</v>
      </c>
      <c r="E13" s="58">
        <f>IFERROR(VLOOKUP(B13,O.B.JUNE!$V$7:$X$448,3,0),0)</f>
        <v>0</v>
      </c>
      <c r="F13" s="58">
        <f>IFERROR(VLOOKUP(B13,O.B.JUNE!$V$7:$Y$448,4,0),0)</f>
        <v>0</v>
      </c>
      <c r="G13" s="58">
        <f>SUMIF('JUNE (물량흐름)'!$C$13:$C$493,'In-out-bal products (155)(완성제품)'!B13,'JUNE (물량흐름)'!$V$13:$V$493)</f>
        <v>0</v>
      </c>
      <c r="H13" s="58">
        <f>SUMIF('JUNE (물량흐름)'!$C$13:$C$493,'In-out-bal products (155)(완성제품)'!B13,'JUNE (물량흐름)'!$T$13:$T$493)-SUMIF('JUNE (물량흐름)'!$C$13:$C$493,'In-out-bal products (155)(완성제품)'!B13,'JUNE (물량흐름)'!$Y$13:$Y$493)+SUMIF('JUNE (물량흐름)'!$C$13:$C$493,'In-out-bal products (155)(완성제품)'!B13,'JUNE (물량흐름)'!$U$13:$U$493)</f>
        <v>473</v>
      </c>
      <c r="I13" s="58">
        <f t="shared" ref="I13:I76" si="6">(IF(ISERROR(L13/H13),0,L13/H13))</f>
        <v>29920.881606765328</v>
      </c>
      <c r="J13" s="58">
        <f>SUMIF('Direct labour(직접노무비)'!$C$12:$C$503,'In-out-bal products (155)(완성제품)'!B13,'Direct labour(직접노무비)'!$Q$12:$Q$503)</f>
        <v>5570974</v>
      </c>
      <c r="K13" s="59">
        <f>SUMIF('Overhead exp(제조경비)'!$C$12:$C$503,'In-out-bal products (155)(완성제품)'!B13,'Overhead exp(제조경비)'!$Q$12:$Q$503)</f>
        <v>8581603</v>
      </c>
      <c r="L13" s="58">
        <f t="shared" ref="L13:L76" si="7">ROUND(J13+K13,0)</f>
        <v>14152577</v>
      </c>
      <c r="M13" s="58">
        <f>SUMIF('JUNE (물량흐름)'!$C$13:$C$488,'In-out-bal products (155)(완성제품)'!B13,'JUNE (물량흐름)'!$Y$13:$Y$488)</f>
        <v>0</v>
      </c>
      <c r="N13" s="58">
        <f t="shared" ref="N13:N76" si="8">IFERROR(O13/M13,0)</f>
        <v>0</v>
      </c>
      <c r="O13" s="58">
        <f>SUMIF('Direct labour(직접노무비)'!$C$12:$C$503,'In-out-bal products (155)(완성제품)'!B13,'Direct labour(직접노무비)'!$U$12:$U$503)+SUMIF('Overhead exp(제조경비)'!$C$12:$C$503,'In-out-bal products (155)(완성제품)'!B13,'Overhead exp(제조경비)'!$U$12:$U$503)</f>
        <v>0</v>
      </c>
      <c r="P13" s="60">
        <f t="shared" ref="P13:P76" si="9">ROUND(H13+G13+M13,0)</f>
        <v>473</v>
      </c>
      <c r="Q13" s="60">
        <f t="shared" ref="Q13:Q76" si="10">(IF(ISERROR(R13/P13),0,R13/P13))</f>
        <v>29920.881606765328</v>
      </c>
      <c r="R13" s="60">
        <f t="shared" ref="R13:R76" si="11">ROUND(L13+O13,0)</f>
        <v>14152577</v>
      </c>
      <c r="S13" s="58">
        <v>0</v>
      </c>
      <c r="T13" s="58">
        <v>0</v>
      </c>
      <c r="U13" s="58">
        <v>0</v>
      </c>
      <c r="V13" s="58">
        <f>SUMIF('JUNE (물량흐름)'!$C$13:$C$493,'In-out-bal products (155)(완성제품)'!B13,'JUNE (물량흐름)'!$W$13:$W$493)</f>
        <v>0</v>
      </c>
      <c r="W13" s="58">
        <f t="shared" ref="W13:W76" si="12">(IF(V13=0,0,$X13/$V13))</f>
        <v>0</v>
      </c>
      <c r="X13" s="58">
        <f t="shared" ref="X13:X76" si="13">ROUND(IF(V13=0,0,V13*($F13+$L13)/($D13+$H13+$G13)),0)</f>
        <v>0</v>
      </c>
      <c r="Y13" s="58">
        <f>SUMIF('JUNE (물량흐름)'!$C$13:$C$488,'In-out-bal products (155)(완성제품)'!B13,'JUNE (물량흐름)'!$X$13:$X$488)</f>
        <v>0</v>
      </c>
      <c r="Z13" s="58">
        <f t="shared" ref="Z13:Z76" si="14">IF(Y13=0,0,$AA13/$Y13)</f>
        <v>0</v>
      </c>
      <c r="AA13" s="58">
        <f t="shared" ref="AA13:AA76" si="15">ROUND(IF(Y13=0,0,Y13*($F13+$L13)/($D13+$H13+$G13)),0)</f>
        <v>0</v>
      </c>
      <c r="AB13" s="58"/>
      <c r="AC13" s="58"/>
      <c r="AD13" s="61"/>
      <c r="AE13" s="58">
        <f t="shared" ref="AE13:AE76" si="16">M13</f>
        <v>0</v>
      </c>
      <c r="AF13" s="58">
        <f t="shared" ref="AF13:AF76" si="17">N13</f>
        <v>0</v>
      </c>
      <c r="AG13" s="61">
        <f t="shared" ref="AG13:AG76" si="18">O13</f>
        <v>0</v>
      </c>
      <c r="AH13" s="58">
        <v>0</v>
      </c>
      <c r="AI13" s="58">
        <v>0</v>
      </c>
      <c r="AJ13" s="61">
        <v>0</v>
      </c>
      <c r="AK13" s="58"/>
      <c r="AL13" s="58"/>
      <c r="AM13" s="61"/>
      <c r="AN13" s="61">
        <f t="shared" ref="AN13:AN76" si="19">ROUND(SUM(V13+Y13+AB13+AE13+AH13+AK13+S13),0)</f>
        <v>0</v>
      </c>
      <c r="AO13" s="58">
        <f t="shared" ref="AO13:AO76" si="20">(IF(ISERROR(AP13/AN13),0,AP13/AN13))</f>
        <v>0</v>
      </c>
      <c r="AP13" s="61">
        <f t="shared" ref="AP13:AP76" si="21">ROUND(X13+AA13+AD13+AG13+AJ13+AM13+U13,0)</f>
        <v>0</v>
      </c>
      <c r="AQ13" s="58">
        <f t="shared" ref="AQ13:AQ76" si="22">ROUND(D13+P13-AN13,0)</f>
        <v>473</v>
      </c>
      <c r="AR13" s="58">
        <f t="shared" ref="AR13:AR76" si="23">(IF(ISERROR(AS13/AQ13),0,AS13/AQ13))</f>
        <v>29920.881606765328</v>
      </c>
      <c r="AS13" s="58">
        <f t="shared" ref="AS13:AS76" si="24">ROUND(F13+R13-AP13,0)</f>
        <v>14152577</v>
      </c>
      <c r="AT13" s="58">
        <f>ROUND(SUMIF('JUNE (물량흐름)'!$C$13:$C$502,'In-out-bal products (155)(완성제품)'!B13,'JUNE (물량흐름)'!$AB$13:$AB$502),0)</f>
        <v>0</v>
      </c>
      <c r="AU13" s="58">
        <f t="shared" ref="AU13:AU76" si="25">+ROUND(AR13*AT13,0)</f>
        <v>0</v>
      </c>
      <c r="AV13" s="58">
        <f>ROUND(SUMIF('JUNE (물량흐름)'!$C$13:$C$502,'In-out-bal products (155)(완성제품)'!B13,'JUNE (물량흐름)'!$AC$13:$AC$502),0)</f>
        <v>473</v>
      </c>
      <c r="AW13" s="58">
        <f t="shared" ref="AW13:AW76" si="26">ROUND(AR13*AV13,0)</f>
        <v>14152577</v>
      </c>
      <c r="AX13" s="376">
        <f t="shared" ref="AX13:AX76" si="27">D13+P13-AN13-AQ13</f>
        <v>0</v>
      </c>
      <c r="AY13" s="377">
        <f t="shared" ref="AY13:AY76" si="28">F13+R13-AP13-AS13</f>
        <v>0</v>
      </c>
      <c r="AZ13" s="377">
        <f t="shared" ref="AZ13:AZ76" si="29">AQ13-AT13-AV13</f>
        <v>0</v>
      </c>
      <c r="BA13" s="377">
        <f t="shared" ref="BA13:BA76" si="30">AS13-AU13-AW13</f>
        <v>0</v>
      </c>
      <c r="BB13" s="377"/>
      <c r="BC13" s="377">
        <f t="shared" ref="BC13:BC76" si="31">F13+R13-AP13-AS13</f>
        <v>0</v>
      </c>
      <c r="BD13" s="377">
        <f t="shared" ref="BD13:BD76" si="32">D13+P13-AN13-AQ13</f>
        <v>0</v>
      </c>
      <c r="BE13" s="377"/>
      <c r="BF13" s="377">
        <f t="shared" ref="BF13:BF76" si="33">F13+R13-AP13-AS13</f>
        <v>0</v>
      </c>
      <c r="BG13" s="433">
        <f t="shared" ref="BG13:BG76" si="34">+X13+AA13+AD13+AG13+AJ13+AM13+U13</f>
        <v>0</v>
      </c>
      <c r="BH13" s="434">
        <f t="shared" ref="BH13:BH76" si="35">+BG13-AP13</f>
        <v>0</v>
      </c>
    </row>
    <row r="14" spans="1:60" s="378" customFormat="1">
      <c r="A14" s="167">
        <v>3</v>
      </c>
      <c r="B14" s="253">
        <f>VLOOKUP(A14,'JUNE (물량흐름)'!$A$13:$C$493,3,0)</f>
        <v>73746</v>
      </c>
      <c r="C14" s="57" t="str">
        <f>VLOOKUP(A14,'JUNE (물량흐름)'!$A$13:$C$493,2,0)</f>
        <v>ALFANI</v>
      </c>
      <c r="D14" s="58">
        <f>IFERROR(VLOOKUP(B14,O.B.JUNE!$V$7:$Y$448,2,0),0)</f>
        <v>11</v>
      </c>
      <c r="E14" s="58">
        <f>IFERROR(VLOOKUP(B14,O.B.JUNE!$V$7:$X$448,3,0),0)</f>
        <v>17426.909090909092</v>
      </c>
      <c r="F14" s="58">
        <f>IFERROR(VLOOKUP(B14,O.B.JUNE!$V$7:$Y$448,4,0),0)</f>
        <v>191696</v>
      </c>
      <c r="G14" s="58">
        <f>SUMIF('JUNE (물량흐름)'!$C$13:$C$493,'In-out-bal products (155)(완성제품)'!B14,'JUNE (물량흐름)'!$V$13:$V$493)</f>
        <v>0</v>
      </c>
      <c r="H14" s="58">
        <f>SUMIF('JUNE (물량흐름)'!$C$13:$C$493,'In-out-bal products (155)(완성제품)'!B14,'JUNE (물량흐름)'!$T$13:$T$493)-SUMIF('JUNE (물량흐름)'!$C$13:$C$493,'In-out-bal products (155)(완성제품)'!B14,'JUNE (물량흐름)'!$Y$13:$Y$493)+SUMIF('JUNE (물량흐름)'!$C$13:$C$493,'In-out-bal products (155)(완성제품)'!B14,'JUNE (물량흐름)'!$U$13:$U$493)</f>
        <v>0</v>
      </c>
      <c r="I14" s="58">
        <f t="shared" si="6"/>
        <v>0</v>
      </c>
      <c r="J14" s="58">
        <f>SUMIF('Direct labour(직접노무비)'!$C$12:$C$503,'In-out-bal products (155)(완성제품)'!B14,'Direct labour(직접노무비)'!$Q$12:$Q$503)</f>
        <v>0</v>
      </c>
      <c r="K14" s="59">
        <f>SUMIF('Overhead exp(제조경비)'!$C$12:$C$503,'In-out-bal products (155)(완성제품)'!B14,'Overhead exp(제조경비)'!$Q$12:$Q$503)</f>
        <v>0</v>
      </c>
      <c r="L14" s="58">
        <f t="shared" si="7"/>
        <v>0</v>
      </c>
      <c r="M14" s="58">
        <f>SUMIF('JUNE (물량흐름)'!$C$13:$C$488,'In-out-bal products (155)(완성제품)'!B14,'JUNE (물량흐름)'!$Y$13:$Y$488)</f>
        <v>0</v>
      </c>
      <c r="N14" s="58">
        <f t="shared" si="8"/>
        <v>0</v>
      </c>
      <c r="O14" s="58">
        <f>SUMIF('Direct labour(직접노무비)'!$C$12:$C$503,'In-out-bal products (155)(완성제품)'!B14,'Direct labour(직접노무비)'!$U$12:$U$503)+SUMIF('Overhead exp(제조경비)'!$C$12:$C$503,'In-out-bal products (155)(완성제품)'!B14,'Overhead exp(제조경비)'!$U$12:$U$503)</f>
        <v>0</v>
      </c>
      <c r="P14" s="60">
        <f t="shared" si="9"/>
        <v>0</v>
      </c>
      <c r="Q14" s="60">
        <f t="shared" si="10"/>
        <v>0</v>
      </c>
      <c r="R14" s="60">
        <f t="shared" si="11"/>
        <v>0</v>
      </c>
      <c r="S14" s="58">
        <v>0</v>
      </c>
      <c r="T14" s="58">
        <v>0</v>
      </c>
      <c r="U14" s="58">
        <v>0</v>
      </c>
      <c r="V14" s="58">
        <f>SUMIF('JUNE (물량흐름)'!$C$13:$C$493,'In-out-bal products (155)(완성제품)'!B14,'JUNE (물량흐름)'!$W$13:$W$493)</f>
        <v>0</v>
      </c>
      <c r="W14" s="58">
        <f t="shared" si="12"/>
        <v>0</v>
      </c>
      <c r="X14" s="58">
        <f t="shared" si="13"/>
        <v>0</v>
      </c>
      <c r="Y14" s="58">
        <f>SUMIF('JUNE (물량흐름)'!$C$13:$C$488,'In-out-bal products (155)(완성제품)'!B14,'JUNE (물량흐름)'!$X$13:$X$488)</f>
        <v>0</v>
      </c>
      <c r="Z14" s="58">
        <f t="shared" si="14"/>
        <v>0</v>
      </c>
      <c r="AA14" s="58">
        <f t="shared" si="15"/>
        <v>0</v>
      </c>
      <c r="AB14" s="58"/>
      <c r="AC14" s="58"/>
      <c r="AD14" s="61"/>
      <c r="AE14" s="58">
        <f t="shared" si="16"/>
        <v>0</v>
      </c>
      <c r="AF14" s="58">
        <f t="shared" si="17"/>
        <v>0</v>
      </c>
      <c r="AG14" s="61">
        <f t="shared" si="18"/>
        <v>0</v>
      </c>
      <c r="AH14" s="58">
        <v>0</v>
      </c>
      <c r="AI14" s="58">
        <v>0</v>
      </c>
      <c r="AJ14" s="61">
        <v>0</v>
      </c>
      <c r="AK14" s="58"/>
      <c r="AL14" s="58"/>
      <c r="AM14" s="61"/>
      <c r="AN14" s="61">
        <f t="shared" si="19"/>
        <v>0</v>
      </c>
      <c r="AO14" s="58">
        <f t="shared" si="20"/>
        <v>0</v>
      </c>
      <c r="AP14" s="61">
        <f t="shared" si="21"/>
        <v>0</v>
      </c>
      <c r="AQ14" s="58">
        <f t="shared" si="22"/>
        <v>11</v>
      </c>
      <c r="AR14" s="58">
        <f t="shared" si="23"/>
        <v>17426.909090909092</v>
      </c>
      <c r="AS14" s="58">
        <f t="shared" si="24"/>
        <v>191696</v>
      </c>
      <c r="AT14" s="58">
        <f>ROUND(SUMIF('JUNE (물량흐름)'!$C$13:$C$502,'In-out-bal products (155)(완성제품)'!B14,'JUNE (물량흐름)'!$AB$13:$AB$502),0)</f>
        <v>0</v>
      </c>
      <c r="AU14" s="58">
        <f t="shared" si="25"/>
        <v>0</v>
      </c>
      <c r="AV14" s="58">
        <f>ROUND(SUMIF('JUNE (물량흐름)'!$C$13:$C$502,'In-out-bal products (155)(완성제품)'!B14,'JUNE (물량흐름)'!$AC$13:$AC$502),0)</f>
        <v>11</v>
      </c>
      <c r="AW14" s="58">
        <f t="shared" si="26"/>
        <v>191696</v>
      </c>
      <c r="AX14" s="376">
        <f t="shared" si="27"/>
        <v>0</v>
      </c>
      <c r="AY14" s="377">
        <f t="shared" si="28"/>
        <v>0</v>
      </c>
      <c r="AZ14" s="377">
        <f t="shared" si="29"/>
        <v>0</v>
      </c>
      <c r="BA14" s="377">
        <f t="shared" si="30"/>
        <v>0</v>
      </c>
      <c r="BB14" s="377"/>
      <c r="BC14" s="377">
        <f t="shared" si="31"/>
        <v>0</v>
      </c>
      <c r="BD14" s="377">
        <f t="shared" si="32"/>
        <v>0</v>
      </c>
      <c r="BE14" s="377"/>
      <c r="BF14" s="377">
        <f t="shared" si="33"/>
        <v>0</v>
      </c>
      <c r="BG14" s="433">
        <f t="shared" si="34"/>
        <v>0</v>
      </c>
      <c r="BH14" s="434">
        <f t="shared" si="35"/>
        <v>0</v>
      </c>
    </row>
    <row r="15" spans="1:60" s="378" customFormat="1">
      <c r="A15" s="167">
        <v>4</v>
      </c>
      <c r="B15" s="253">
        <f>VLOOKUP(A15,'JUNE (물량흐름)'!$A$13:$C$493,3,0)</f>
        <v>74211</v>
      </c>
      <c r="C15" s="57" t="str">
        <f>VLOOKUP(A15,'JUNE (물량흐름)'!$A$13:$C$493,2,0)</f>
        <v>ALFANI</v>
      </c>
      <c r="D15" s="58">
        <f>IFERROR(VLOOKUP(B15,O.B.JUNE!$V$7:$Y$448,2,0),0)</f>
        <v>0</v>
      </c>
      <c r="E15" s="58">
        <f>IFERROR(VLOOKUP(B15,O.B.JUNE!$V$7:$X$448,3,0),0)</f>
        <v>0</v>
      </c>
      <c r="F15" s="58">
        <f>IFERROR(VLOOKUP(B15,O.B.JUNE!$V$7:$Y$448,4,0),0)</f>
        <v>0</v>
      </c>
      <c r="G15" s="58">
        <f>SUMIF('JUNE (물량흐름)'!$C$13:$C$493,'In-out-bal products (155)(완성제품)'!B15,'JUNE (물량흐름)'!$V$13:$V$493)</f>
        <v>0</v>
      </c>
      <c r="H15" s="58">
        <f>SUMIF('JUNE (물량흐름)'!$C$13:$C$493,'In-out-bal products (155)(완성제품)'!B15,'JUNE (물량흐름)'!$T$13:$T$493)-SUMIF('JUNE (물량흐름)'!$C$13:$C$493,'In-out-bal products (155)(완성제품)'!B15,'JUNE (물량흐름)'!$Y$13:$Y$493)+SUMIF('JUNE (물량흐름)'!$C$13:$C$493,'In-out-bal products (155)(완성제품)'!B15,'JUNE (물량흐름)'!$U$13:$U$493)</f>
        <v>37</v>
      </c>
      <c r="I15" s="58">
        <f t="shared" si="6"/>
        <v>17591.54054054054</v>
      </c>
      <c r="J15" s="58">
        <f>SUMIF('Direct labour(직접노무비)'!$C$12:$C$503,'In-out-bal products (155)(완성제품)'!B15,'Direct labour(직접노무비)'!$Q$12:$Q$503)</f>
        <v>263270</v>
      </c>
      <c r="K15" s="59">
        <f>SUMIF('Overhead exp(제조경비)'!$C$12:$C$503,'In-out-bal products (155)(완성제품)'!B15,'Overhead exp(제조경비)'!$Q$12:$Q$503)</f>
        <v>387617</v>
      </c>
      <c r="L15" s="58">
        <f t="shared" si="7"/>
        <v>650887</v>
      </c>
      <c r="M15" s="58">
        <f>SUMIF('JUNE (물량흐름)'!$C$13:$C$488,'In-out-bal products (155)(완성제품)'!B15,'JUNE (물량흐름)'!$Y$13:$Y$488)</f>
        <v>0</v>
      </c>
      <c r="N15" s="58">
        <f t="shared" si="8"/>
        <v>0</v>
      </c>
      <c r="O15" s="58">
        <f>SUMIF('Direct labour(직접노무비)'!$C$12:$C$503,'In-out-bal products (155)(완성제품)'!B15,'Direct labour(직접노무비)'!$U$12:$U$503)+SUMIF('Overhead exp(제조경비)'!$C$12:$C$503,'In-out-bal products (155)(완성제품)'!B15,'Overhead exp(제조경비)'!$U$12:$U$503)</f>
        <v>0</v>
      </c>
      <c r="P15" s="60">
        <f t="shared" si="9"/>
        <v>37</v>
      </c>
      <c r="Q15" s="60">
        <f t="shared" si="10"/>
        <v>17591.54054054054</v>
      </c>
      <c r="R15" s="60">
        <f t="shared" si="11"/>
        <v>650887</v>
      </c>
      <c r="S15" s="58">
        <v>0</v>
      </c>
      <c r="T15" s="58">
        <v>0</v>
      </c>
      <c r="U15" s="58">
        <v>0</v>
      </c>
      <c r="V15" s="58">
        <f>SUMIF('JUNE (물량흐름)'!$C$13:$C$493,'In-out-bal products (155)(완성제품)'!B15,'JUNE (물량흐름)'!$W$13:$W$493)</f>
        <v>0</v>
      </c>
      <c r="W15" s="58">
        <f t="shared" si="12"/>
        <v>0</v>
      </c>
      <c r="X15" s="58">
        <f t="shared" si="13"/>
        <v>0</v>
      </c>
      <c r="Y15" s="58">
        <f>SUMIF('JUNE (물량흐름)'!$C$13:$C$488,'In-out-bal products (155)(완성제품)'!B15,'JUNE (물량흐름)'!$X$13:$X$488)</f>
        <v>0</v>
      </c>
      <c r="Z15" s="58">
        <f t="shared" si="14"/>
        <v>0</v>
      </c>
      <c r="AA15" s="58">
        <f t="shared" si="15"/>
        <v>0</v>
      </c>
      <c r="AB15" s="58"/>
      <c r="AC15" s="58"/>
      <c r="AD15" s="61"/>
      <c r="AE15" s="58">
        <f t="shared" si="16"/>
        <v>0</v>
      </c>
      <c r="AF15" s="58">
        <f t="shared" si="17"/>
        <v>0</v>
      </c>
      <c r="AG15" s="61">
        <f t="shared" si="18"/>
        <v>0</v>
      </c>
      <c r="AH15" s="58">
        <v>0</v>
      </c>
      <c r="AI15" s="58">
        <v>0</v>
      </c>
      <c r="AJ15" s="61">
        <v>0</v>
      </c>
      <c r="AK15" s="58"/>
      <c r="AL15" s="58"/>
      <c r="AM15" s="61"/>
      <c r="AN15" s="61">
        <f t="shared" si="19"/>
        <v>0</v>
      </c>
      <c r="AO15" s="58">
        <f t="shared" si="20"/>
        <v>0</v>
      </c>
      <c r="AP15" s="61">
        <f t="shared" si="21"/>
        <v>0</v>
      </c>
      <c r="AQ15" s="58">
        <f t="shared" si="22"/>
        <v>37</v>
      </c>
      <c r="AR15" s="58">
        <f t="shared" si="23"/>
        <v>17591.54054054054</v>
      </c>
      <c r="AS15" s="58">
        <f t="shared" si="24"/>
        <v>650887</v>
      </c>
      <c r="AT15" s="58">
        <f>ROUND(SUMIF('JUNE (물량흐름)'!$C$13:$C$502,'In-out-bal products (155)(완성제품)'!B15,'JUNE (물량흐름)'!$AB$13:$AB$502),0)</f>
        <v>0</v>
      </c>
      <c r="AU15" s="58">
        <f t="shared" si="25"/>
        <v>0</v>
      </c>
      <c r="AV15" s="58">
        <f>ROUND(SUMIF('JUNE (물량흐름)'!$C$13:$C$502,'In-out-bal products (155)(완성제품)'!B15,'JUNE (물량흐름)'!$AC$13:$AC$502),0)</f>
        <v>37</v>
      </c>
      <c r="AW15" s="58">
        <f t="shared" si="26"/>
        <v>650887</v>
      </c>
      <c r="AX15" s="376">
        <f t="shared" si="27"/>
        <v>0</v>
      </c>
      <c r="AY15" s="377">
        <f t="shared" si="28"/>
        <v>0</v>
      </c>
      <c r="AZ15" s="377">
        <f t="shared" si="29"/>
        <v>0</v>
      </c>
      <c r="BA15" s="377">
        <f t="shared" si="30"/>
        <v>0</v>
      </c>
      <c r="BB15" s="377"/>
      <c r="BC15" s="377">
        <f t="shared" si="31"/>
        <v>0</v>
      </c>
      <c r="BD15" s="377">
        <f t="shared" si="32"/>
        <v>0</v>
      </c>
      <c r="BE15" s="377"/>
      <c r="BF15" s="377">
        <f t="shared" si="33"/>
        <v>0</v>
      </c>
      <c r="BG15" s="433">
        <f t="shared" si="34"/>
        <v>0</v>
      </c>
      <c r="BH15" s="434">
        <f t="shared" si="35"/>
        <v>0</v>
      </c>
    </row>
    <row r="16" spans="1:60" s="378" customFormat="1">
      <c r="A16" s="167">
        <v>5</v>
      </c>
      <c r="B16" s="253">
        <f>VLOOKUP(A16,'JUNE (물량흐름)'!$A$13:$C$493,3,0)</f>
        <v>2072</v>
      </c>
      <c r="C16" s="57" t="str">
        <f>VLOOKUP(A16,'JUNE (물량흐름)'!$A$13:$C$493,2,0)</f>
        <v>ALFANI</v>
      </c>
      <c r="D16" s="58">
        <f>IFERROR(VLOOKUP(B16,O.B.JUNE!$V$7:$Y$448,2,0),0)</f>
        <v>142</v>
      </c>
      <c r="E16" s="58">
        <f>IFERROR(VLOOKUP(B16,O.B.JUNE!$V$7:$X$448,3,0),0)</f>
        <v>23081.154929577464</v>
      </c>
      <c r="F16" s="58">
        <f>IFERROR(VLOOKUP(B16,O.B.JUNE!$V$7:$Y$448,4,0),0)</f>
        <v>3277524</v>
      </c>
      <c r="G16" s="58">
        <f>SUMIF('JUNE (물량흐름)'!$C$13:$C$493,'In-out-bal products (155)(완성제품)'!B16,'JUNE (물량흐름)'!$V$13:$V$493)</f>
        <v>0</v>
      </c>
      <c r="H16" s="58">
        <f>SUMIF('JUNE (물량흐름)'!$C$13:$C$493,'In-out-bal products (155)(완성제품)'!B16,'JUNE (물량흐름)'!$T$13:$T$493)-SUMIF('JUNE (물량흐름)'!$C$13:$C$493,'In-out-bal products (155)(완성제품)'!B16,'JUNE (물량흐름)'!$Y$13:$Y$493)+SUMIF('JUNE (물량흐름)'!$C$13:$C$493,'In-out-bal products (155)(완성제품)'!B16,'JUNE (물량흐름)'!$U$13:$U$493)</f>
        <v>15677</v>
      </c>
      <c r="I16" s="58">
        <f t="shared" si="6"/>
        <v>24748.819735918863</v>
      </c>
      <c r="J16" s="58">
        <f>SUMIF('Direct labour(직접노무비)'!$C$12:$C$503,'In-out-bal products (155)(완성제품)'!B16,'Direct labour(직접노무비)'!$Q$12:$Q$503)</f>
        <v>132767723</v>
      </c>
      <c r="K16" s="59">
        <f>SUMIF('Overhead exp(제조경비)'!$C$12:$C$503,'In-out-bal products (155)(완성제품)'!B16,'Overhead exp(제조경비)'!$Q$12:$Q$503)</f>
        <v>255219524</v>
      </c>
      <c r="L16" s="58">
        <f t="shared" si="7"/>
        <v>387987247</v>
      </c>
      <c r="M16" s="58">
        <f>SUMIF('JUNE (물량흐름)'!$C$13:$C$488,'In-out-bal products (155)(완성제품)'!B16,'JUNE (물량흐름)'!$Y$13:$Y$488)</f>
        <v>0</v>
      </c>
      <c r="N16" s="58">
        <f t="shared" si="8"/>
        <v>0</v>
      </c>
      <c r="O16" s="58">
        <f>SUMIF('Direct labour(직접노무비)'!$C$12:$C$503,'In-out-bal products (155)(완성제품)'!B16,'Direct labour(직접노무비)'!$U$12:$U$503)+SUMIF('Overhead exp(제조경비)'!$C$12:$C$503,'In-out-bal products (155)(완성제품)'!B16,'Overhead exp(제조경비)'!$U$12:$U$503)</f>
        <v>0</v>
      </c>
      <c r="P16" s="60">
        <f t="shared" si="9"/>
        <v>15677</v>
      </c>
      <c r="Q16" s="60">
        <f t="shared" si="10"/>
        <v>24748.819735918863</v>
      </c>
      <c r="R16" s="60">
        <f t="shared" si="11"/>
        <v>387987247</v>
      </c>
      <c r="S16" s="58">
        <v>0</v>
      </c>
      <c r="T16" s="58">
        <v>0</v>
      </c>
      <c r="U16" s="58">
        <v>0</v>
      </c>
      <c r="V16" s="58">
        <f>SUMIF('JUNE (물량흐름)'!$C$13:$C$493,'In-out-bal products (155)(완성제품)'!B16,'JUNE (물량흐름)'!$W$13:$W$493)</f>
        <v>11304</v>
      </c>
      <c r="W16" s="58">
        <f t="shared" si="12"/>
        <v>24733.849876150034</v>
      </c>
      <c r="X16" s="58">
        <f t="shared" si="13"/>
        <v>279591439</v>
      </c>
      <c r="Y16" s="58">
        <f>SUMIF('JUNE (물량흐름)'!$C$13:$C$488,'In-out-bal products (155)(완성제품)'!B16,'JUNE (물량흐름)'!$X$13:$X$488)</f>
        <v>0</v>
      </c>
      <c r="Z16" s="58">
        <f t="shared" si="14"/>
        <v>0</v>
      </c>
      <c r="AA16" s="58">
        <f t="shared" si="15"/>
        <v>0</v>
      </c>
      <c r="AB16" s="58"/>
      <c r="AC16" s="58"/>
      <c r="AD16" s="61"/>
      <c r="AE16" s="58">
        <f t="shared" si="16"/>
        <v>0</v>
      </c>
      <c r="AF16" s="58">
        <f t="shared" si="17"/>
        <v>0</v>
      </c>
      <c r="AG16" s="61">
        <f t="shared" si="18"/>
        <v>0</v>
      </c>
      <c r="AH16" s="58">
        <v>0</v>
      </c>
      <c r="AI16" s="58">
        <v>0</v>
      </c>
      <c r="AJ16" s="61">
        <v>0</v>
      </c>
      <c r="AK16" s="58"/>
      <c r="AL16" s="58"/>
      <c r="AM16" s="61"/>
      <c r="AN16" s="61">
        <f t="shared" si="19"/>
        <v>11304</v>
      </c>
      <c r="AO16" s="58">
        <f t="shared" si="20"/>
        <v>24733.849876150034</v>
      </c>
      <c r="AP16" s="61">
        <f t="shared" si="21"/>
        <v>279591439</v>
      </c>
      <c r="AQ16" s="58">
        <f t="shared" si="22"/>
        <v>4515</v>
      </c>
      <c r="AR16" s="58">
        <f t="shared" si="23"/>
        <v>24733.849833887045</v>
      </c>
      <c r="AS16" s="58">
        <f t="shared" si="24"/>
        <v>111673332</v>
      </c>
      <c r="AT16" s="58">
        <f>ROUND(SUMIF('JUNE (물량흐름)'!$C$13:$C$502,'In-out-bal products (155)(완성제품)'!B16,'JUNE (물량흐름)'!$AB$13:$AB$502),0)</f>
        <v>4373</v>
      </c>
      <c r="AU16" s="58">
        <f t="shared" si="25"/>
        <v>108161125</v>
      </c>
      <c r="AV16" s="58">
        <f>ROUND(SUMIF('JUNE (물량흐름)'!$C$13:$C$502,'In-out-bal products (155)(완성제품)'!B16,'JUNE (물량흐름)'!$AC$13:$AC$502),0)</f>
        <v>142</v>
      </c>
      <c r="AW16" s="58">
        <f t="shared" si="26"/>
        <v>3512207</v>
      </c>
      <c r="AX16" s="376">
        <f t="shared" si="27"/>
        <v>0</v>
      </c>
      <c r="AY16" s="377">
        <f t="shared" si="28"/>
        <v>0</v>
      </c>
      <c r="AZ16" s="377">
        <f t="shared" si="29"/>
        <v>0</v>
      </c>
      <c r="BA16" s="377">
        <f t="shared" si="30"/>
        <v>0</v>
      </c>
      <c r="BB16" s="377"/>
      <c r="BC16" s="377">
        <f t="shared" si="31"/>
        <v>0</v>
      </c>
      <c r="BD16" s="377">
        <f t="shared" si="32"/>
        <v>0</v>
      </c>
      <c r="BE16" s="377"/>
      <c r="BF16" s="377">
        <f t="shared" si="33"/>
        <v>0</v>
      </c>
      <c r="BG16" s="433">
        <f t="shared" si="34"/>
        <v>279591439</v>
      </c>
      <c r="BH16" s="434">
        <f t="shared" si="35"/>
        <v>0</v>
      </c>
    </row>
    <row r="17" spans="1:60" s="378" customFormat="1">
      <c r="A17" s="167">
        <v>6</v>
      </c>
      <c r="B17" s="253" t="str">
        <f>VLOOKUP(A17,'JUNE (물량흐름)'!$A$13:$C$493,3,0)</f>
        <v>KPT001611</v>
      </c>
      <c r="C17" s="57" t="str">
        <f>VLOOKUP(A17,'JUNE (물량흐름)'!$A$13:$C$493,2,0)</f>
        <v>J JILL</v>
      </c>
      <c r="D17" s="58">
        <f>IFERROR(VLOOKUP(B17,O.B.JUNE!$V$7:$Y$448,2,0),0)</f>
        <v>0</v>
      </c>
      <c r="E17" s="58">
        <f>IFERROR(VLOOKUP(B17,O.B.JUNE!$V$7:$X$448,3,0),0)</f>
        <v>0</v>
      </c>
      <c r="F17" s="58">
        <f>IFERROR(VLOOKUP(B17,O.B.JUNE!$V$7:$Y$448,4,0),0)</f>
        <v>0</v>
      </c>
      <c r="G17" s="58">
        <f>SUMIF('JUNE (물량흐름)'!$C$13:$C$493,'In-out-bal products (155)(완성제품)'!B17,'JUNE (물량흐름)'!$V$13:$V$493)</f>
        <v>0</v>
      </c>
      <c r="H17" s="58">
        <f>SUMIF('JUNE (물량흐름)'!$C$13:$C$493,'In-out-bal products (155)(완성제품)'!B17,'JUNE (물량흐름)'!$T$13:$T$493)-SUMIF('JUNE (물량흐름)'!$C$13:$C$493,'In-out-bal products (155)(완성제품)'!B17,'JUNE (물량흐름)'!$Y$13:$Y$493)+SUMIF('JUNE (물량흐름)'!$C$13:$C$493,'In-out-bal products (155)(완성제품)'!B17,'JUNE (물량흐름)'!$U$13:$U$493)</f>
        <v>0</v>
      </c>
      <c r="I17" s="58">
        <f t="shared" si="6"/>
        <v>0</v>
      </c>
      <c r="J17" s="58">
        <f>SUMIF('Direct labour(직접노무비)'!$C$12:$C$503,'In-out-bal products (155)(완성제품)'!B17,'Direct labour(직접노무비)'!$Q$12:$Q$503)</f>
        <v>0</v>
      </c>
      <c r="K17" s="59">
        <f>SUMIF('Overhead exp(제조경비)'!$C$12:$C$503,'In-out-bal products (155)(완성제품)'!B17,'Overhead exp(제조경비)'!$Q$12:$Q$503)</f>
        <v>0</v>
      </c>
      <c r="L17" s="58">
        <f t="shared" si="7"/>
        <v>0</v>
      </c>
      <c r="M17" s="58">
        <f>SUMIF('JUNE (물량흐름)'!$C$13:$C$488,'In-out-bal products (155)(완성제품)'!B17,'JUNE (물량흐름)'!$Y$13:$Y$488)</f>
        <v>0</v>
      </c>
      <c r="N17" s="58">
        <f t="shared" si="8"/>
        <v>0</v>
      </c>
      <c r="O17" s="58">
        <f>SUMIF('Direct labour(직접노무비)'!$C$12:$C$503,'In-out-bal products (155)(완성제품)'!B17,'Direct labour(직접노무비)'!$U$12:$U$503)+SUMIF('Overhead exp(제조경비)'!$C$12:$C$503,'In-out-bal products (155)(완성제품)'!B17,'Overhead exp(제조경비)'!$U$12:$U$503)</f>
        <v>0</v>
      </c>
      <c r="P17" s="60">
        <f t="shared" si="9"/>
        <v>0</v>
      </c>
      <c r="Q17" s="60">
        <f t="shared" si="10"/>
        <v>0</v>
      </c>
      <c r="R17" s="60">
        <f t="shared" si="11"/>
        <v>0</v>
      </c>
      <c r="S17" s="58">
        <v>0</v>
      </c>
      <c r="T17" s="58">
        <v>0</v>
      </c>
      <c r="U17" s="58">
        <v>0</v>
      </c>
      <c r="V17" s="58">
        <f>SUMIF('JUNE (물량흐름)'!$C$13:$C$493,'In-out-bal products (155)(완성제품)'!B17,'JUNE (물량흐름)'!$W$13:$W$493)</f>
        <v>0</v>
      </c>
      <c r="W17" s="58">
        <f t="shared" si="12"/>
        <v>0</v>
      </c>
      <c r="X17" s="58">
        <f t="shared" si="13"/>
        <v>0</v>
      </c>
      <c r="Y17" s="58">
        <f>SUMIF('JUNE (물량흐름)'!$C$13:$C$488,'In-out-bal products (155)(완성제품)'!B17,'JUNE (물량흐름)'!$X$13:$X$488)</f>
        <v>0</v>
      </c>
      <c r="Z17" s="58">
        <f t="shared" si="14"/>
        <v>0</v>
      </c>
      <c r="AA17" s="58">
        <f t="shared" si="15"/>
        <v>0</v>
      </c>
      <c r="AB17" s="58"/>
      <c r="AC17" s="58"/>
      <c r="AD17" s="61"/>
      <c r="AE17" s="58">
        <f t="shared" si="16"/>
        <v>0</v>
      </c>
      <c r="AF17" s="58">
        <f t="shared" si="17"/>
        <v>0</v>
      </c>
      <c r="AG17" s="61">
        <f t="shared" si="18"/>
        <v>0</v>
      </c>
      <c r="AH17" s="58">
        <v>0</v>
      </c>
      <c r="AI17" s="58">
        <v>0</v>
      </c>
      <c r="AJ17" s="61">
        <v>0</v>
      </c>
      <c r="AK17" s="58"/>
      <c r="AL17" s="58"/>
      <c r="AM17" s="61"/>
      <c r="AN17" s="61">
        <f t="shared" si="19"/>
        <v>0</v>
      </c>
      <c r="AO17" s="58">
        <f t="shared" si="20"/>
        <v>0</v>
      </c>
      <c r="AP17" s="61">
        <f t="shared" si="21"/>
        <v>0</v>
      </c>
      <c r="AQ17" s="58">
        <f t="shared" si="22"/>
        <v>0</v>
      </c>
      <c r="AR17" s="58">
        <f t="shared" si="23"/>
        <v>0</v>
      </c>
      <c r="AS17" s="58">
        <f t="shared" si="24"/>
        <v>0</v>
      </c>
      <c r="AT17" s="58">
        <f>ROUND(SUMIF('JUNE (물량흐름)'!$C$13:$C$502,'In-out-bal products (155)(완성제품)'!B17,'JUNE (물량흐름)'!$AB$13:$AB$502),0)</f>
        <v>0</v>
      </c>
      <c r="AU17" s="58">
        <f t="shared" si="25"/>
        <v>0</v>
      </c>
      <c r="AV17" s="58">
        <f>ROUND(SUMIF('JUNE (물량흐름)'!$C$13:$C$502,'In-out-bal products (155)(완성제품)'!B17,'JUNE (물량흐름)'!$AC$13:$AC$502),0)</f>
        <v>0</v>
      </c>
      <c r="AW17" s="58">
        <f t="shared" si="26"/>
        <v>0</v>
      </c>
      <c r="AX17" s="376">
        <f t="shared" si="27"/>
        <v>0</v>
      </c>
      <c r="AY17" s="377">
        <f t="shared" si="28"/>
        <v>0</v>
      </c>
      <c r="AZ17" s="377">
        <f t="shared" si="29"/>
        <v>0</v>
      </c>
      <c r="BA17" s="377">
        <f t="shared" si="30"/>
        <v>0</v>
      </c>
      <c r="BB17" s="377"/>
      <c r="BC17" s="377">
        <f t="shared" si="31"/>
        <v>0</v>
      </c>
      <c r="BD17" s="377">
        <f t="shared" si="32"/>
        <v>0</v>
      </c>
      <c r="BE17" s="377"/>
      <c r="BF17" s="377">
        <f t="shared" si="33"/>
        <v>0</v>
      </c>
      <c r="BG17" s="433">
        <f t="shared" si="34"/>
        <v>0</v>
      </c>
      <c r="BH17" s="434">
        <f t="shared" si="35"/>
        <v>0</v>
      </c>
    </row>
    <row r="18" spans="1:60" s="378" customFormat="1">
      <c r="A18" s="167">
        <v>7</v>
      </c>
      <c r="B18" s="253" t="str">
        <f>VLOOKUP(A18,'JUNE (물량흐름)'!$A$13:$C$493,3,0)</f>
        <v>KPT101081</v>
      </c>
      <c r="C18" s="57" t="str">
        <f>VLOOKUP(A18,'JUNE (물량흐름)'!$A$13:$C$493,2,0)</f>
        <v>J JILL</v>
      </c>
      <c r="D18" s="58">
        <f>IFERROR(VLOOKUP(B18,O.B.JUNE!$V$7:$Y$448,2,0),0)</f>
        <v>5362</v>
      </c>
      <c r="E18" s="58">
        <f>IFERROR(VLOOKUP(B18,O.B.JUNE!$V$7:$X$448,3,0),0)</f>
        <v>30703.300261096607</v>
      </c>
      <c r="F18" s="58">
        <f>IFERROR(VLOOKUP(B18,O.B.JUNE!$V$7:$Y$448,4,0),0)</f>
        <v>164631096</v>
      </c>
      <c r="G18" s="58">
        <f>SUMIF('JUNE (물량흐름)'!$C$13:$C$493,'In-out-bal products (155)(완성제품)'!B18,'JUNE (물량흐름)'!$V$13:$V$493)</f>
        <v>0</v>
      </c>
      <c r="H18" s="58">
        <f>SUMIF('JUNE (물량흐름)'!$C$13:$C$493,'In-out-bal products (155)(완성제품)'!B18,'JUNE (물량흐름)'!$T$13:$T$493)-SUMIF('JUNE (물량흐름)'!$C$13:$C$493,'In-out-bal products (155)(완성제품)'!B18,'JUNE (물량흐름)'!$Y$13:$Y$493)+SUMIF('JUNE (물량흐름)'!$C$13:$C$493,'In-out-bal products (155)(완성제품)'!B18,'JUNE (물량흐름)'!$U$13:$U$493)</f>
        <v>4292</v>
      </c>
      <c r="I18" s="58">
        <f t="shared" si="6"/>
        <v>28661.720410065238</v>
      </c>
      <c r="J18" s="58">
        <f>SUMIF('Direct labour(직접노무비)'!$C$12:$C$503,'In-out-bal products (155)(완성제품)'!B18,'Direct labour(직접노무비)'!$Q$12:$Q$503)</f>
        <v>42260589</v>
      </c>
      <c r="K18" s="59">
        <f>SUMIF('Overhead exp(제조경비)'!$C$12:$C$503,'In-out-bal products (155)(완성제품)'!B18,'Overhead exp(제조경비)'!$Q$12:$Q$503)</f>
        <v>80755515</v>
      </c>
      <c r="L18" s="58">
        <f t="shared" si="7"/>
        <v>123016104</v>
      </c>
      <c r="M18" s="58">
        <f>SUMIF('JUNE (물량흐름)'!$C$13:$C$488,'In-out-bal products (155)(완성제품)'!B18,'JUNE (물량흐름)'!$Y$13:$Y$488)</f>
        <v>0</v>
      </c>
      <c r="N18" s="58">
        <f t="shared" si="8"/>
        <v>0</v>
      </c>
      <c r="O18" s="58">
        <f>SUMIF('Direct labour(직접노무비)'!$C$12:$C$503,'In-out-bal products (155)(완성제품)'!B18,'Direct labour(직접노무비)'!$U$12:$U$503)+SUMIF('Overhead exp(제조경비)'!$C$12:$C$503,'In-out-bal products (155)(완성제품)'!B18,'Overhead exp(제조경비)'!$U$12:$U$503)</f>
        <v>0</v>
      </c>
      <c r="P18" s="60">
        <f t="shared" si="9"/>
        <v>4292</v>
      </c>
      <c r="Q18" s="60">
        <f t="shared" si="10"/>
        <v>28661.720410065238</v>
      </c>
      <c r="R18" s="60">
        <f t="shared" si="11"/>
        <v>123016104</v>
      </c>
      <c r="S18" s="58">
        <v>0</v>
      </c>
      <c r="T18" s="58">
        <v>0</v>
      </c>
      <c r="U18" s="58">
        <v>0</v>
      </c>
      <c r="V18" s="58">
        <f>SUMIF('JUNE (물량흐름)'!$C$13:$C$493,'In-out-bal products (155)(완성제품)'!B18,'JUNE (물량흐름)'!$W$13:$W$493)</f>
        <v>5407</v>
      </c>
      <c r="W18" s="58">
        <f t="shared" si="12"/>
        <v>29795.649528389124</v>
      </c>
      <c r="X18" s="58">
        <f t="shared" si="13"/>
        <v>161105077</v>
      </c>
      <c r="Y18" s="58">
        <f>SUMIF('JUNE (물량흐름)'!$C$13:$C$488,'In-out-bal products (155)(완성제품)'!B18,'JUNE (물량흐름)'!$X$13:$X$488)</f>
        <v>0</v>
      </c>
      <c r="Z18" s="58">
        <f t="shared" si="14"/>
        <v>0</v>
      </c>
      <c r="AA18" s="58">
        <f t="shared" si="15"/>
        <v>0</v>
      </c>
      <c r="AB18" s="58"/>
      <c r="AC18" s="58"/>
      <c r="AD18" s="61"/>
      <c r="AE18" s="58">
        <f t="shared" si="16"/>
        <v>0</v>
      </c>
      <c r="AF18" s="58">
        <f t="shared" si="17"/>
        <v>0</v>
      </c>
      <c r="AG18" s="61">
        <f t="shared" si="18"/>
        <v>0</v>
      </c>
      <c r="AH18" s="58">
        <v>0</v>
      </c>
      <c r="AI18" s="58">
        <v>0</v>
      </c>
      <c r="AJ18" s="61">
        <v>0</v>
      </c>
      <c r="AK18" s="58"/>
      <c r="AL18" s="58"/>
      <c r="AM18" s="61"/>
      <c r="AN18" s="61">
        <f t="shared" si="19"/>
        <v>5407</v>
      </c>
      <c r="AO18" s="58">
        <f t="shared" si="20"/>
        <v>29795.649528389124</v>
      </c>
      <c r="AP18" s="61">
        <f t="shared" si="21"/>
        <v>161105077</v>
      </c>
      <c r="AQ18" s="58">
        <f t="shared" si="22"/>
        <v>4247</v>
      </c>
      <c r="AR18" s="58">
        <f t="shared" si="23"/>
        <v>29795.64939957617</v>
      </c>
      <c r="AS18" s="58">
        <f t="shared" si="24"/>
        <v>126542123</v>
      </c>
      <c r="AT18" s="58">
        <f>ROUND(SUMIF('JUNE (물량흐름)'!$C$13:$C$502,'In-out-bal products (155)(완성제품)'!B18,'JUNE (물량흐름)'!$AB$13:$AB$502),0)</f>
        <v>4154</v>
      </c>
      <c r="AU18" s="58">
        <f t="shared" si="25"/>
        <v>123771128</v>
      </c>
      <c r="AV18" s="58">
        <f>ROUND(SUMIF('JUNE (물량흐름)'!$C$13:$C$502,'In-out-bal products (155)(완성제품)'!B18,'JUNE (물량흐름)'!$AC$13:$AC$502),0)</f>
        <v>93</v>
      </c>
      <c r="AW18" s="58">
        <f t="shared" si="26"/>
        <v>2770995</v>
      </c>
      <c r="AX18" s="376">
        <f t="shared" si="27"/>
        <v>0</v>
      </c>
      <c r="AY18" s="377">
        <f t="shared" si="28"/>
        <v>0</v>
      </c>
      <c r="AZ18" s="377">
        <f t="shared" si="29"/>
        <v>0</v>
      </c>
      <c r="BA18" s="377">
        <f t="shared" si="30"/>
        <v>0</v>
      </c>
      <c r="BB18" s="377"/>
      <c r="BC18" s="377">
        <f t="shared" si="31"/>
        <v>0</v>
      </c>
      <c r="BD18" s="377">
        <f t="shared" si="32"/>
        <v>0</v>
      </c>
      <c r="BE18" s="377"/>
      <c r="BF18" s="377">
        <f t="shared" si="33"/>
        <v>0</v>
      </c>
      <c r="BG18" s="433">
        <f t="shared" si="34"/>
        <v>161105077</v>
      </c>
      <c r="BH18" s="434">
        <f t="shared" si="35"/>
        <v>0</v>
      </c>
    </row>
    <row r="19" spans="1:60" s="378" customFormat="1">
      <c r="A19" s="167">
        <v>8</v>
      </c>
      <c r="B19" s="253">
        <f>VLOOKUP(A19,'JUNE (물량흐름)'!$A$13:$C$493,3,0)</f>
        <v>7285</v>
      </c>
      <c r="C19" s="57" t="str">
        <f>VLOOKUP(A19,'JUNE (물량흐름)'!$A$13:$C$493,2,0)</f>
        <v>ALFANI</v>
      </c>
      <c r="D19" s="58">
        <f>IFERROR(VLOOKUP(B19,O.B.JUNE!$V$7:$Y$448,2,0),0)</f>
        <v>0</v>
      </c>
      <c r="E19" s="58">
        <f>IFERROR(VLOOKUP(B19,O.B.JUNE!$V$7:$X$448,3,0),0)</f>
        <v>0</v>
      </c>
      <c r="F19" s="58">
        <f>IFERROR(VLOOKUP(B19,O.B.JUNE!$V$7:$Y$448,4,0),0)</f>
        <v>0</v>
      </c>
      <c r="G19" s="58">
        <f>SUMIF('JUNE (물량흐름)'!$C$13:$C$493,'In-out-bal products (155)(완성제품)'!B19,'JUNE (물량흐름)'!$V$13:$V$493)</f>
        <v>0</v>
      </c>
      <c r="H19" s="58">
        <f>SUMIF('JUNE (물량흐름)'!$C$13:$C$493,'In-out-bal products (155)(완성제품)'!B19,'JUNE (물량흐름)'!$T$13:$T$493)-SUMIF('JUNE (물량흐름)'!$C$13:$C$493,'In-out-bal products (155)(완성제품)'!B19,'JUNE (물량흐름)'!$Y$13:$Y$493)+SUMIF('JUNE (물량흐름)'!$C$13:$C$493,'In-out-bal products (155)(완성제품)'!B19,'JUNE (물량흐름)'!$U$13:$U$493)</f>
        <v>32</v>
      </c>
      <c r="I19" s="58">
        <f t="shared" si="6"/>
        <v>42369.375</v>
      </c>
      <c r="J19" s="58">
        <f>SUMIF('Direct labour(직접노무비)'!$C$12:$C$503,'In-out-bal products (155)(완성제품)'!B19,'Direct labour(직접노무비)'!$Q$12:$Q$503)</f>
        <v>569868</v>
      </c>
      <c r="K19" s="59">
        <f>SUMIF('Overhead exp(제조경비)'!$C$12:$C$503,'In-out-bal products (155)(완성제품)'!B19,'Overhead exp(제조경비)'!$Q$12:$Q$503)</f>
        <v>785952</v>
      </c>
      <c r="L19" s="58">
        <f t="shared" si="7"/>
        <v>1355820</v>
      </c>
      <c r="M19" s="58">
        <f>SUMIF('JUNE (물량흐름)'!$C$13:$C$488,'In-out-bal products (155)(완성제품)'!B19,'JUNE (물량흐름)'!$Y$13:$Y$488)</f>
        <v>0</v>
      </c>
      <c r="N19" s="58">
        <f t="shared" si="8"/>
        <v>0</v>
      </c>
      <c r="O19" s="58">
        <f>SUMIF('Direct labour(직접노무비)'!$C$12:$C$503,'In-out-bal products (155)(완성제품)'!B19,'Direct labour(직접노무비)'!$U$12:$U$503)+SUMIF('Overhead exp(제조경비)'!$C$12:$C$503,'In-out-bal products (155)(완성제품)'!B19,'Overhead exp(제조경비)'!$U$12:$U$503)</f>
        <v>0</v>
      </c>
      <c r="P19" s="60">
        <f t="shared" si="9"/>
        <v>32</v>
      </c>
      <c r="Q19" s="60">
        <f t="shared" si="10"/>
        <v>42369.375</v>
      </c>
      <c r="R19" s="60">
        <f t="shared" si="11"/>
        <v>1355820</v>
      </c>
      <c r="S19" s="58">
        <v>0</v>
      </c>
      <c r="T19" s="58">
        <v>0</v>
      </c>
      <c r="U19" s="58">
        <v>0</v>
      </c>
      <c r="V19" s="58">
        <f>SUMIF('JUNE (물량흐름)'!$C$13:$C$493,'In-out-bal products (155)(완성제품)'!B19,'JUNE (물량흐름)'!$W$13:$W$493)</f>
        <v>0</v>
      </c>
      <c r="W19" s="58">
        <f t="shared" si="12"/>
        <v>0</v>
      </c>
      <c r="X19" s="58">
        <f t="shared" si="13"/>
        <v>0</v>
      </c>
      <c r="Y19" s="58">
        <f>SUMIF('JUNE (물량흐름)'!$C$13:$C$488,'In-out-bal products (155)(완성제품)'!B19,'JUNE (물량흐름)'!$X$13:$X$488)</f>
        <v>0</v>
      </c>
      <c r="Z19" s="58">
        <f t="shared" si="14"/>
        <v>0</v>
      </c>
      <c r="AA19" s="58">
        <f t="shared" si="15"/>
        <v>0</v>
      </c>
      <c r="AB19" s="58"/>
      <c r="AC19" s="58"/>
      <c r="AD19" s="61"/>
      <c r="AE19" s="58">
        <f t="shared" si="16"/>
        <v>0</v>
      </c>
      <c r="AF19" s="58">
        <f t="shared" si="17"/>
        <v>0</v>
      </c>
      <c r="AG19" s="61">
        <f t="shared" si="18"/>
        <v>0</v>
      </c>
      <c r="AH19" s="58">
        <v>0</v>
      </c>
      <c r="AI19" s="58">
        <v>0</v>
      </c>
      <c r="AJ19" s="61">
        <v>0</v>
      </c>
      <c r="AK19" s="58"/>
      <c r="AL19" s="58"/>
      <c r="AM19" s="61"/>
      <c r="AN19" s="61">
        <f t="shared" si="19"/>
        <v>0</v>
      </c>
      <c r="AO19" s="58">
        <f t="shared" si="20"/>
        <v>0</v>
      </c>
      <c r="AP19" s="61">
        <f t="shared" si="21"/>
        <v>0</v>
      </c>
      <c r="AQ19" s="58">
        <f t="shared" si="22"/>
        <v>32</v>
      </c>
      <c r="AR19" s="58">
        <f t="shared" si="23"/>
        <v>42369.375</v>
      </c>
      <c r="AS19" s="58">
        <f t="shared" si="24"/>
        <v>1355820</v>
      </c>
      <c r="AT19" s="58">
        <f>ROUND(SUMIF('JUNE (물량흐름)'!$C$13:$C$502,'In-out-bal products (155)(완성제품)'!B19,'JUNE (물량흐름)'!$AB$13:$AB$502),0)</f>
        <v>0</v>
      </c>
      <c r="AU19" s="58">
        <f t="shared" si="25"/>
        <v>0</v>
      </c>
      <c r="AV19" s="58">
        <f>ROUND(SUMIF('JUNE (물량흐름)'!$C$13:$C$502,'In-out-bal products (155)(완성제품)'!B19,'JUNE (물량흐름)'!$AC$13:$AC$502),0)</f>
        <v>32</v>
      </c>
      <c r="AW19" s="58">
        <f t="shared" si="26"/>
        <v>1355820</v>
      </c>
      <c r="AX19" s="376">
        <f t="shared" si="27"/>
        <v>0</v>
      </c>
      <c r="AY19" s="377">
        <f t="shared" si="28"/>
        <v>0</v>
      </c>
      <c r="AZ19" s="377">
        <f t="shared" si="29"/>
        <v>0</v>
      </c>
      <c r="BA19" s="377">
        <f t="shared" si="30"/>
        <v>0</v>
      </c>
      <c r="BB19" s="377"/>
      <c r="BC19" s="377">
        <f t="shared" si="31"/>
        <v>0</v>
      </c>
      <c r="BD19" s="377">
        <f t="shared" si="32"/>
        <v>0</v>
      </c>
      <c r="BE19" s="377"/>
      <c r="BF19" s="377">
        <f t="shared" si="33"/>
        <v>0</v>
      </c>
      <c r="BG19" s="433">
        <f t="shared" si="34"/>
        <v>0</v>
      </c>
      <c r="BH19" s="434">
        <f t="shared" si="35"/>
        <v>0</v>
      </c>
    </row>
    <row r="20" spans="1:60" s="378" customFormat="1">
      <c r="A20" s="167">
        <v>9</v>
      </c>
      <c r="B20" s="253">
        <f>VLOOKUP(A20,'JUNE (물량흐름)'!$A$13:$C$493,3,0)</f>
        <v>100004407</v>
      </c>
      <c r="C20" s="57" t="str">
        <f>VLOOKUP(A20,'JUNE (물량흐름)'!$A$13:$C$493,2,0)</f>
        <v>ALFANI</v>
      </c>
      <c r="D20" s="58">
        <f>IFERROR(VLOOKUP(B20,O.B.JUNE!$V$7:$Y$448,2,0),0)</f>
        <v>0</v>
      </c>
      <c r="E20" s="58">
        <f>IFERROR(VLOOKUP(B20,O.B.JUNE!$V$7:$X$448,3,0),0)</f>
        <v>0</v>
      </c>
      <c r="F20" s="58">
        <f>IFERROR(VLOOKUP(B20,O.B.JUNE!$V$7:$Y$448,4,0),0)</f>
        <v>0</v>
      </c>
      <c r="G20" s="58">
        <f>SUMIF('JUNE (물량흐름)'!$C$13:$C$493,'In-out-bal products (155)(완성제품)'!B20,'JUNE (물량흐름)'!$V$13:$V$493)</f>
        <v>0</v>
      </c>
      <c r="H20" s="58">
        <f>SUMIF('JUNE (물량흐름)'!$C$13:$C$493,'In-out-bal products (155)(완성제품)'!B20,'JUNE (물량흐름)'!$T$13:$T$493)-SUMIF('JUNE (물량흐름)'!$C$13:$C$493,'In-out-bal products (155)(완성제품)'!B20,'JUNE (물량흐름)'!$Y$13:$Y$493)+SUMIF('JUNE (물량흐름)'!$C$13:$C$493,'In-out-bal products (155)(완성제품)'!B20,'JUNE (물량흐름)'!$U$13:$U$493)</f>
        <v>0</v>
      </c>
      <c r="I20" s="58">
        <f t="shared" si="6"/>
        <v>0</v>
      </c>
      <c r="J20" s="58">
        <f>SUMIF('Direct labour(직접노무비)'!$C$12:$C$503,'In-out-bal products (155)(완성제품)'!B20,'Direct labour(직접노무비)'!$Q$12:$Q$503)</f>
        <v>0</v>
      </c>
      <c r="K20" s="59">
        <f>SUMIF('Overhead exp(제조경비)'!$C$12:$C$503,'In-out-bal products (155)(완성제품)'!B20,'Overhead exp(제조경비)'!$Q$12:$Q$503)</f>
        <v>0</v>
      </c>
      <c r="L20" s="58">
        <f t="shared" si="7"/>
        <v>0</v>
      </c>
      <c r="M20" s="58">
        <f>SUMIF('JUNE (물량흐름)'!$C$13:$C$488,'In-out-bal products (155)(완성제품)'!B20,'JUNE (물량흐름)'!$Y$13:$Y$488)</f>
        <v>0</v>
      </c>
      <c r="N20" s="58">
        <f t="shared" si="8"/>
        <v>0</v>
      </c>
      <c r="O20" s="58">
        <f>SUMIF('Direct labour(직접노무비)'!$C$12:$C$503,'In-out-bal products (155)(완성제품)'!B20,'Direct labour(직접노무비)'!$U$12:$U$503)+SUMIF('Overhead exp(제조경비)'!$C$12:$C$503,'In-out-bal products (155)(완성제품)'!B20,'Overhead exp(제조경비)'!$U$12:$U$503)</f>
        <v>0</v>
      </c>
      <c r="P20" s="60">
        <f t="shared" si="9"/>
        <v>0</v>
      </c>
      <c r="Q20" s="60">
        <f t="shared" si="10"/>
        <v>0</v>
      </c>
      <c r="R20" s="60">
        <f t="shared" si="11"/>
        <v>0</v>
      </c>
      <c r="S20" s="58">
        <v>0</v>
      </c>
      <c r="T20" s="58">
        <v>0</v>
      </c>
      <c r="U20" s="58">
        <v>0</v>
      </c>
      <c r="V20" s="58">
        <f>SUMIF('JUNE (물량흐름)'!$C$13:$C$493,'In-out-bal products (155)(완성제품)'!B20,'JUNE (물량흐름)'!$W$13:$W$493)</f>
        <v>0</v>
      </c>
      <c r="W20" s="58">
        <f t="shared" si="12"/>
        <v>0</v>
      </c>
      <c r="X20" s="58">
        <f t="shared" si="13"/>
        <v>0</v>
      </c>
      <c r="Y20" s="58">
        <f>SUMIF('JUNE (물량흐름)'!$C$13:$C$488,'In-out-bal products (155)(완성제품)'!B20,'JUNE (물량흐름)'!$X$13:$X$488)</f>
        <v>0</v>
      </c>
      <c r="Z20" s="58">
        <f t="shared" si="14"/>
        <v>0</v>
      </c>
      <c r="AA20" s="58">
        <f t="shared" si="15"/>
        <v>0</v>
      </c>
      <c r="AB20" s="58"/>
      <c r="AC20" s="58"/>
      <c r="AD20" s="61"/>
      <c r="AE20" s="58">
        <f t="shared" si="16"/>
        <v>0</v>
      </c>
      <c r="AF20" s="58">
        <f t="shared" si="17"/>
        <v>0</v>
      </c>
      <c r="AG20" s="61">
        <f t="shared" si="18"/>
        <v>0</v>
      </c>
      <c r="AH20" s="58">
        <v>0</v>
      </c>
      <c r="AI20" s="58">
        <v>0</v>
      </c>
      <c r="AJ20" s="61">
        <v>0</v>
      </c>
      <c r="AK20" s="58"/>
      <c r="AL20" s="58"/>
      <c r="AM20" s="61"/>
      <c r="AN20" s="61">
        <f t="shared" si="19"/>
        <v>0</v>
      </c>
      <c r="AO20" s="58">
        <f t="shared" si="20"/>
        <v>0</v>
      </c>
      <c r="AP20" s="61">
        <f t="shared" si="21"/>
        <v>0</v>
      </c>
      <c r="AQ20" s="58">
        <f t="shared" si="22"/>
        <v>0</v>
      </c>
      <c r="AR20" s="58">
        <f t="shared" si="23"/>
        <v>0</v>
      </c>
      <c r="AS20" s="58">
        <f t="shared" si="24"/>
        <v>0</v>
      </c>
      <c r="AT20" s="58">
        <f>ROUND(SUMIF('JUNE (물량흐름)'!$C$13:$C$502,'In-out-bal products (155)(완성제품)'!B20,'JUNE (물량흐름)'!$AB$13:$AB$502),0)</f>
        <v>0</v>
      </c>
      <c r="AU20" s="58">
        <f t="shared" si="25"/>
        <v>0</v>
      </c>
      <c r="AV20" s="58">
        <f>ROUND(SUMIF('JUNE (물량흐름)'!$C$13:$C$502,'In-out-bal products (155)(완성제품)'!B20,'JUNE (물량흐름)'!$AC$13:$AC$502),0)</f>
        <v>0</v>
      </c>
      <c r="AW20" s="58">
        <f t="shared" si="26"/>
        <v>0</v>
      </c>
      <c r="AX20" s="376">
        <f t="shared" si="27"/>
        <v>0</v>
      </c>
      <c r="AY20" s="377">
        <f t="shared" si="28"/>
        <v>0</v>
      </c>
      <c r="AZ20" s="377">
        <f t="shared" si="29"/>
        <v>0</v>
      </c>
      <c r="BA20" s="377">
        <f t="shared" si="30"/>
        <v>0</v>
      </c>
      <c r="BB20" s="377"/>
      <c r="BC20" s="377">
        <f t="shared" si="31"/>
        <v>0</v>
      </c>
      <c r="BD20" s="377">
        <f t="shared" si="32"/>
        <v>0</v>
      </c>
      <c r="BE20" s="377"/>
      <c r="BF20" s="377">
        <f t="shared" si="33"/>
        <v>0</v>
      </c>
      <c r="BG20" s="433">
        <f t="shared" si="34"/>
        <v>0</v>
      </c>
      <c r="BH20" s="434">
        <f t="shared" si="35"/>
        <v>0</v>
      </c>
    </row>
    <row r="21" spans="1:60" s="378" customFormat="1">
      <c r="A21" s="167">
        <v>10</v>
      </c>
      <c r="B21" s="253">
        <f>VLOOKUP(A21,'JUNE (물량흐름)'!$A$13:$C$493,3,0)</f>
        <v>446749</v>
      </c>
      <c r="C21" s="57" t="str">
        <f>VLOOKUP(A21,'JUNE (물량흐름)'!$A$13:$C$493,2,0)</f>
        <v>ANN TAYLOR</v>
      </c>
      <c r="D21" s="58">
        <f>IFERROR(VLOOKUP(B21,O.B.JUNE!$V$7:$Y$448,2,0),0)</f>
        <v>0</v>
      </c>
      <c r="E21" s="58">
        <f>IFERROR(VLOOKUP(B21,O.B.JUNE!$V$7:$X$448,3,0),0)</f>
        <v>0</v>
      </c>
      <c r="F21" s="58">
        <f>IFERROR(VLOOKUP(B21,O.B.JUNE!$V$7:$Y$448,4,0),0)</f>
        <v>0</v>
      </c>
      <c r="G21" s="58">
        <f>SUMIF('JUNE (물량흐름)'!$C$13:$C$493,'In-out-bal products (155)(완성제품)'!B21,'JUNE (물량흐름)'!$V$13:$V$493)</f>
        <v>0</v>
      </c>
      <c r="H21" s="58">
        <f>SUMIF('JUNE (물량흐름)'!$C$13:$C$493,'In-out-bal products (155)(완성제품)'!B21,'JUNE (물량흐름)'!$T$13:$T$493)-SUMIF('JUNE (물량흐름)'!$C$13:$C$493,'In-out-bal products (155)(완성제품)'!B21,'JUNE (물량흐름)'!$Y$13:$Y$493)+SUMIF('JUNE (물량흐름)'!$C$13:$C$493,'In-out-bal products (155)(완성제품)'!B21,'JUNE (물량흐름)'!$U$13:$U$493)</f>
        <v>165</v>
      </c>
      <c r="I21" s="58">
        <f t="shared" si="6"/>
        <v>43979.351515151517</v>
      </c>
      <c r="J21" s="58">
        <f>SUMIF('Direct labour(직접노무비)'!$C$12:$C$503,'In-out-bal products (155)(완성제품)'!B21,'Direct labour(직접노무비)'!$Q$12:$Q$503)</f>
        <v>2743703</v>
      </c>
      <c r="K21" s="59">
        <f>SUMIF('Overhead exp(제조경비)'!$C$12:$C$503,'In-out-bal products (155)(완성제품)'!B21,'Overhead exp(제조경비)'!$Q$12:$Q$503)</f>
        <v>4512890</v>
      </c>
      <c r="L21" s="58">
        <f t="shared" si="7"/>
        <v>7256593</v>
      </c>
      <c r="M21" s="58">
        <f>SUMIF('JUNE (물량흐름)'!$C$13:$C$488,'In-out-bal products (155)(완성제품)'!B21,'JUNE (물량흐름)'!$Y$13:$Y$488)</f>
        <v>0</v>
      </c>
      <c r="N21" s="58">
        <f t="shared" si="8"/>
        <v>0</v>
      </c>
      <c r="O21" s="58">
        <f>SUMIF('Direct labour(직접노무비)'!$C$12:$C$503,'In-out-bal products (155)(완성제품)'!B21,'Direct labour(직접노무비)'!$U$12:$U$503)+SUMIF('Overhead exp(제조경비)'!$C$12:$C$503,'In-out-bal products (155)(완성제품)'!B21,'Overhead exp(제조경비)'!$U$12:$U$503)</f>
        <v>0</v>
      </c>
      <c r="P21" s="60">
        <f t="shared" si="9"/>
        <v>165</v>
      </c>
      <c r="Q21" s="60">
        <f t="shared" si="10"/>
        <v>43979.351515151517</v>
      </c>
      <c r="R21" s="60">
        <f t="shared" si="11"/>
        <v>7256593</v>
      </c>
      <c r="S21" s="58">
        <v>0</v>
      </c>
      <c r="T21" s="58">
        <v>0</v>
      </c>
      <c r="U21" s="58">
        <v>0</v>
      </c>
      <c r="V21" s="58">
        <f>SUMIF('JUNE (물량흐름)'!$C$13:$C$493,'In-out-bal products (155)(완성제품)'!B21,'JUNE (물량흐름)'!$W$13:$W$493)</f>
        <v>0</v>
      </c>
      <c r="W21" s="58">
        <f t="shared" si="12"/>
        <v>0</v>
      </c>
      <c r="X21" s="58">
        <f t="shared" si="13"/>
        <v>0</v>
      </c>
      <c r="Y21" s="58">
        <f>SUMIF('JUNE (물량흐름)'!$C$13:$C$488,'In-out-bal products (155)(완성제품)'!B21,'JUNE (물량흐름)'!$X$13:$X$488)</f>
        <v>0</v>
      </c>
      <c r="Z21" s="58">
        <f t="shared" si="14"/>
        <v>0</v>
      </c>
      <c r="AA21" s="58">
        <f t="shared" si="15"/>
        <v>0</v>
      </c>
      <c r="AB21" s="58"/>
      <c r="AC21" s="58"/>
      <c r="AD21" s="61"/>
      <c r="AE21" s="58">
        <f t="shared" si="16"/>
        <v>0</v>
      </c>
      <c r="AF21" s="58">
        <f t="shared" si="17"/>
        <v>0</v>
      </c>
      <c r="AG21" s="61">
        <f t="shared" si="18"/>
        <v>0</v>
      </c>
      <c r="AH21" s="58">
        <v>0</v>
      </c>
      <c r="AI21" s="58">
        <v>0</v>
      </c>
      <c r="AJ21" s="61">
        <v>0</v>
      </c>
      <c r="AK21" s="58"/>
      <c r="AL21" s="58"/>
      <c r="AM21" s="61"/>
      <c r="AN21" s="61">
        <f t="shared" si="19"/>
        <v>0</v>
      </c>
      <c r="AO21" s="58">
        <f t="shared" si="20"/>
        <v>0</v>
      </c>
      <c r="AP21" s="61">
        <f t="shared" si="21"/>
        <v>0</v>
      </c>
      <c r="AQ21" s="58">
        <f t="shared" si="22"/>
        <v>165</v>
      </c>
      <c r="AR21" s="58">
        <f t="shared" si="23"/>
        <v>43979.351515151517</v>
      </c>
      <c r="AS21" s="58">
        <f t="shared" si="24"/>
        <v>7256593</v>
      </c>
      <c r="AT21" s="58">
        <f>ROUND(SUMIF('JUNE (물량흐름)'!$C$13:$C$502,'In-out-bal products (155)(완성제품)'!B21,'JUNE (물량흐름)'!$AB$13:$AB$502),0)</f>
        <v>0</v>
      </c>
      <c r="AU21" s="58">
        <f t="shared" si="25"/>
        <v>0</v>
      </c>
      <c r="AV21" s="58">
        <f>ROUND(SUMIF('JUNE (물량흐름)'!$C$13:$C$502,'In-out-bal products (155)(완성제품)'!B21,'JUNE (물량흐름)'!$AC$13:$AC$502),0)</f>
        <v>165</v>
      </c>
      <c r="AW21" s="58">
        <f t="shared" si="26"/>
        <v>7256593</v>
      </c>
      <c r="AX21" s="376">
        <f t="shared" si="27"/>
        <v>0</v>
      </c>
      <c r="AY21" s="377">
        <f t="shared" si="28"/>
        <v>0</v>
      </c>
      <c r="AZ21" s="377">
        <f t="shared" si="29"/>
        <v>0</v>
      </c>
      <c r="BA21" s="377">
        <f t="shared" si="30"/>
        <v>0</v>
      </c>
      <c r="BB21" s="377"/>
      <c r="BC21" s="377">
        <f t="shared" si="31"/>
        <v>0</v>
      </c>
      <c r="BD21" s="377">
        <f t="shared" si="32"/>
        <v>0</v>
      </c>
      <c r="BE21" s="377"/>
      <c r="BF21" s="377">
        <f t="shared" si="33"/>
        <v>0</v>
      </c>
      <c r="BG21" s="433">
        <f t="shared" si="34"/>
        <v>0</v>
      </c>
      <c r="BH21" s="434">
        <f t="shared" si="35"/>
        <v>0</v>
      </c>
    </row>
    <row r="22" spans="1:60" s="378" customFormat="1">
      <c r="A22" s="167">
        <v>11</v>
      </c>
      <c r="B22" s="253">
        <f>VLOOKUP(A22,'JUNE (물량흐름)'!$A$13:$C$493,3,0)</f>
        <v>446053</v>
      </c>
      <c r="C22" s="57" t="str">
        <f>VLOOKUP(A22,'JUNE (물량흐름)'!$A$13:$C$493,2,0)</f>
        <v>ANN TAYLOR</v>
      </c>
      <c r="D22" s="58">
        <f>IFERROR(VLOOKUP(B22,O.B.JUNE!$V$7:$Y$448,2,0),0)</f>
        <v>0</v>
      </c>
      <c r="E22" s="58">
        <f>IFERROR(VLOOKUP(B22,O.B.JUNE!$V$7:$X$448,3,0),0)</f>
        <v>0</v>
      </c>
      <c r="F22" s="58">
        <f>IFERROR(VLOOKUP(B22,O.B.JUNE!$V$7:$Y$448,4,0),0)</f>
        <v>0</v>
      </c>
      <c r="G22" s="58">
        <f>SUMIF('JUNE (물량흐름)'!$C$13:$C$493,'In-out-bal products (155)(완성제품)'!B22,'JUNE (물량흐름)'!$V$13:$V$493)</f>
        <v>0</v>
      </c>
      <c r="H22" s="58">
        <f>SUMIF('JUNE (물량흐름)'!$C$13:$C$493,'In-out-bal products (155)(완성제품)'!B22,'JUNE (물량흐름)'!$T$13:$T$493)-SUMIF('JUNE (물량흐름)'!$C$13:$C$493,'In-out-bal products (155)(완성제품)'!B22,'JUNE (물량흐름)'!$Y$13:$Y$493)+SUMIF('JUNE (물량흐름)'!$C$13:$C$493,'In-out-bal products (155)(완성제품)'!B22,'JUNE (물량흐름)'!$U$13:$U$493)</f>
        <v>63</v>
      </c>
      <c r="I22" s="58">
        <f t="shared" si="6"/>
        <v>18184.5873015873</v>
      </c>
      <c r="J22" s="58">
        <f>SUMIF('Direct labour(직접노무비)'!$C$12:$C$503,'In-out-bal products (155)(완성제품)'!B22,'Direct labour(직접노무비)'!$Q$12:$Q$503)</f>
        <v>433160</v>
      </c>
      <c r="K22" s="59">
        <f>SUMIF('Overhead exp(제조경비)'!$C$12:$C$503,'In-out-bal products (155)(완성제품)'!B22,'Overhead exp(제조경비)'!$Q$12:$Q$503)</f>
        <v>712469</v>
      </c>
      <c r="L22" s="58">
        <f t="shared" si="7"/>
        <v>1145629</v>
      </c>
      <c r="M22" s="58">
        <f>SUMIF('JUNE (물량흐름)'!$C$13:$C$488,'In-out-bal products (155)(완성제품)'!B22,'JUNE (물량흐름)'!$Y$13:$Y$488)</f>
        <v>0</v>
      </c>
      <c r="N22" s="58">
        <f t="shared" si="8"/>
        <v>0</v>
      </c>
      <c r="O22" s="58">
        <f>SUMIF('Direct labour(직접노무비)'!$C$12:$C$503,'In-out-bal products (155)(완성제품)'!B22,'Direct labour(직접노무비)'!$U$12:$U$503)+SUMIF('Overhead exp(제조경비)'!$C$12:$C$503,'In-out-bal products (155)(완성제품)'!B22,'Overhead exp(제조경비)'!$U$12:$U$503)</f>
        <v>0</v>
      </c>
      <c r="P22" s="60">
        <f t="shared" si="9"/>
        <v>63</v>
      </c>
      <c r="Q22" s="60">
        <f t="shared" si="10"/>
        <v>18184.5873015873</v>
      </c>
      <c r="R22" s="60">
        <f t="shared" si="11"/>
        <v>1145629</v>
      </c>
      <c r="S22" s="58">
        <v>0</v>
      </c>
      <c r="T22" s="58">
        <v>0</v>
      </c>
      <c r="U22" s="58">
        <v>0</v>
      </c>
      <c r="V22" s="58">
        <f>SUMIF('JUNE (물량흐름)'!$C$13:$C$493,'In-out-bal products (155)(완성제품)'!B22,'JUNE (물량흐름)'!$W$13:$W$493)</f>
        <v>0</v>
      </c>
      <c r="W22" s="58">
        <f t="shared" si="12"/>
        <v>0</v>
      </c>
      <c r="X22" s="58">
        <f t="shared" si="13"/>
        <v>0</v>
      </c>
      <c r="Y22" s="58">
        <f>SUMIF('JUNE (물량흐름)'!$C$13:$C$488,'In-out-bal products (155)(완성제품)'!B22,'JUNE (물량흐름)'!$X$13:$X$488)</f>
        <v>0</v>
      </c>
      <c r="Z22" s="58">
        <f t="shared" si="14"/>
        <v>0</v>
      </c>
      <c r="AA22" s="58">
        <f t="shared" si="15"/>
        <v>0</v>
      </c>
      <c r="AB22" s="58"/>
      <c r="AC22" s="58"/>
      <c r="AD22" s="61"/>
      <c r="AE22" s="58">
        <f t="shared" si="16"/>
        <v>0</v>
      </c>
      <c r="AF22" s="58">
        <f t="shared" si="17"/>
        <v>0</v>
      </c>
      <c r="AG22" s="61">
        <f t="shared" si="18"/>
        <v>0</v>
      </c>
      <c r="AH22" s="58">
        <v>0</v>
      </c>
      <c r="AI22" s="58">
        <v>0</v>
      </c>
      <c r="AJ22" s="61">
        <v>0</v>
      </c>
      <c r="AK22" s="58"/>
      <c r="AL22" s="58"/>
      <c r="AM22" s="61"/>
      <c r="AN22" s="61">
        <f t="shared" si="19"/>
        <v>0</v>
      </c>
      <c r="AO22" s="58">
        <f t="shared" si="20"/>
        <v>0</v>
      </c>
      <c r="AP22" s="61">
        <f t="shared" si="21"/>
        <v>0</v>
      </c>
      <c r="AQ22" s="58">
        <f t="shared" si="22"/>
        <v>63</v>
      </c>
      <c r="AR22" s="58">
        <f t="shared" si="23"/>
        <v>18184.5873015873</v>
      </c>
      <c r="AS22" s="58">
        <f t="shared" si="24"/>
        <v>1145629</v>
      </c>
      <c r="AT22" s="58">
        <f>ROUND(SUMIF('JUNE (물량흐름)'!$C$13:$C$502,'In-out-bal products (155)(완성제품)'!B22,'JUNE (물량흐름)'!$AB$13:$AB$502),0)</f>
        <v>0</v>
      </c>
      <c r="AU22" s="58">
        <f t="shared" si="25"/>
        <v>0</v>
      </c>
      <c r="AV22" s="58">
        <f>ROUND(SUMIF('JUNE (물량흐름)'!$C$13:$C$502,'In-out-bal products (155)(완성제품)'!B22,'JUNE (물량흐름)'!$AC$13:$AC$502),0)</f>
        <v>63</v>
      </c>
      <c r="AW22" s="58">
        <f t="shared" si="26"/>
        <v>1145629</v>
      </c>
      <c r="AX22" s="376">
        <f t="shared" si="27"/>
        <v>0</v>
      </c>
      <c r="AY22" s="377">
        <f t="shared" si="28"/>
        <v>0</v>
      </c>
      <c r="AZ22" s="377">
        <f t="shared" si="29"/>
        <v>0</v>
      </c>
      <c r="BA22" s="377">
        <f t="shared" si="30"/>
        <v>0</v>
      </c>
      <c r="BB22" s="377"/>
      <c r="BC22" s="377">
        <f t="shared" si="31"/>
        <v>0</v>
      </c>
      <c r="BD22" s="377">
        <f t="shared" si="32"/>
        <v>0</v>
      </c>
      <c r="BE22" s="377"/>
      <c r="BF22" s="377">
        <f t="shared" si="33"/>
        <v>0</v>
      </c>
      <c r="BG22" s="433">
        <f t="shared" si="34"/>
        <v>0</v>
      </c>
      <c r="BH22" s="434">
        <f t="shared" si="35"/>
        <v>0</v>
      </c>
    </row>
    <row r="23" spans="1:60" s="378" customFormat="1">
      <c r="A23" s="167">
        <v>12</v>
      </c>
      <c r="B23" s="253">
        <f>VLOOKUP(A23,'JUNE (물량흐름)'!$A$13:$C$493,3,0)</f>
        <v>100004405</v>
      </c>
      <c r="C23" s="57" t="str">
        <f>VLOOKUP(A23,'JUNE (물량흐름)'!$A$13:$C$493,2,0)</f>
        <v>ALFANI</v>
      </c>
      <c r="D23" s="58">
        <f>IFERROR(VLOOKUP(B23,O.B.JUNE!$V$7:$Y$448,2,0),0)</f>
        <v>0</v>
      </c>
      <c r="E23" s="58">
        <f>IFERROR(VLOOKUP(B23,O.B.JUNE!$V$7:$X$448,3,0),0)</f>
        <v>0</v>
      </c>
      <c r="F23" s="58">
        <f>IFERROR(VLOOKUP(B23,O.B.JUNE!$V$7:$Y$448,4,0),0)</f>
        <v>0</v>
      </c>
      <c r="G23" s="58">
        <f>SUMIF('JUNE (물량흐름)'!$C$13:$C$493,'In-out-bal products (155)(완성제품)'!B23,'JUNE (물량흐름)'!$V$13:$V$493)</f>
        <v>0</v>
      </c>
      <c r="H23" s="58">
        <f>SUMIF('JUNE (물량흐름)'!$C$13:$C$493,'In-out-bal products (155)(완성제품)'!B23,'JUNE (물량흐름)'!$T$13:$T$493)-SUMIF('JUNE (물량흐름)'!$C$13:$C$493,'In-out-bal products (155)(완성제품)'!B23,'JUNE (물량흐름)'!$Y$13:$Y$493)+SUMIF('JUNE (물량흐름)'!$C$13:$C$493,'In-out-bal products (155)(완성제품)'!B23,'JUNE (물량흐름)'!$U$13:$U$493)</f>
        <v>79</v>
      </c>
      <c r="I23" s="58">
        <f t="shared" si="6"/>
        <v>17343.949367088608</v>
      </c>
      <c r="J23" s="58">
        <f>SUMIF('Direct labour(직접노무비)'!$C$12:$C$503,'In-out-bal products (155)(완성제품)'!B23,'Direct labour(직접노무비)'!$Q$12:$Q$503)</f>
        <v>525166</v>
      </c>
      <c r="K23" s="59">
        <f>SUMIF('Overhead exp(제조경비)'!$C$12:$C$503,'In-out-bal products (155)(완성제품)'!B23,'Overhead exp(제조경비)'!$Q$12:$Q$503)</f>
        <v>845006</v>
      </c>
      <c r="L23" s="58">
        <f t="shared" si="7"/>
        <v>1370172</v>
      </c>
      <c r="M23" s="58">
        <f>SUMIF('JUNE (물량흐름)'!$C$13:$C$488,'In-out-bal products (155)(완성제품)'!B23,'JUNE (물량흐름)'!$Y$13:$Y$488)</f>
        <v>0</v>
      </c>
      <c r="N23" s="58">
        <f t="shared" si="8"/>
        <v>0</v>
      </c>
      <c r="O23" s="58">
        <f>SUMIF('Direct labour(직접노무비)'!$C$12:$C$503,'In-out-bal products (155)(완성제품)'!B23,'Direct labour(직접노무비)'!$U$12:$U$503)+SUMIF('Overhead exp(제조경비)'!$C$12:$C$503,'In-out-bal products (155)(완성제품)'!B23,'Overhead exp(제조경비)'!$U$12:$U$503)</f>
        <v>0</v>
      </c>
      <c r="P23" s="60">
        <f t="shared" si="9"/>
        <v>79</v>
      </c>
      <c r="Q23" s="60">
        <f t="shared" si="10"/>
        <v>17343.949367088608</v>
      </c>
      <c r="R23" s="60">
        <f t="shared" si="11"/>
        <v>1370172</v>
      </c>
      <c r="S23" s="58">
        <v>0</v>
      </c>
      <c r="T23" s="58">
        <v>0</v>
      </c>
      <c r="U23" s="58">
        <v>0</v>
      </c>
      <c r="V23" s="58">
        <f>SUMIF('JUNE (물량흐름)'!$C$13:$C$493,'In-out-bal products (155)(완성제품)'!B23,'JUNE (물량흐름)'!$W$13:$W$493)</f>
        <v>0</v>
      </c>
      <c r="W23" s="58">
        <f t="shared" si="12"/>
        <v>0</v>
      </c>
      <c r="X23" s="58">
        <f t="shared" si="13"/>
        <v>0</v>
      </c>
      <c r="Y23" s="58">
        <f>SUMIF('JUNE (물량흐름)'!$C$13:$C$488,'In-out-bal products (155)(완성제품)'!B23,'JUNE (물량흐름)'!$X$13:$X$488)</f>
        <v>0</v>
      </c>
      <c r="Z23" s="58">
        <f t="shared" si="14"/>
        <v>0</v>
      </c>
      <c r="AA23" s="58">
        <f t="shared" si="15"/>
        <v>0</v>
      </c>
      <c r="AB23" s="58"/>
      <c r="AC23" s="58"/>
      <c r="AD23" s="61"/>
      <c r="AE23" s="58">
        <f t="shared" si="16"/>
        <v>0</v>
      </c>
      <c r="AF23" s="58">
        <f t="shared" si="17"/>
        <v>0</v>
      </c>
      <c r="AG23" s="61">
        <f t="shared" si="18"/>
        <v>0</v>
      </c>
      <c r="AH23" s="58">
        <v>0</v>
      </c>
      <c r="AI23" s="58">
        <v>0</v>
      </c>
      <c r="AJ23" s="61">
        <v>0</v>
      </c>
      <c r="AK23" s="58"/>
      <c r="AL23" s="58"/>
      <c r="AM23" s="61"/>
      <c r="AN23" s="61">
        <f t="shared" si="19"/>
        <v>0</v>
      </c>
      <c r="AO23" s="58">
        <f t="shared" si="20"/>
        <v>0</v>
      </c>
      <c r="AP23" s="61">
        <f t="shared" si="21"/>
        <v>0</v>
      </c>
      <c r="AQ23" s="58">
        <f t="shared" si="22"/>
        <v>79</v>
      </c>
      <c r="AR23" s="58">
        <f t="shared" si="23"/>
        <v>17343.949367088608</v>
      </c>
      <c r="AS23" s="58">
        <f t="shared" si="24"/>
        <v>1370172</v>
      </c>
      <c r="AT23" s="58">
        <f>ROUND(SUMIF('JUNE (물량흐름)'!$C$13:$C$502,'In-out-bal products (155)(완성제품)'!B23,'JUNE (물량흐름)'!$AB$13:$AB$502),0)</f>
        <v>0</v>
      </c>
      <c r="AU23" s="58">
        <f t="shared" si="25"/>
        <v>0</v>
      </c>
      <c r="AV23" s="58">
        <f>ROUND(SUMIF('JUNE (물량흐름)'!$C$13:$C$502,'In-out-bal products (155)(완성제품)'!B23,'JUNE (물량흐름)'!$AC$13:$AC$502),0)</f>
        <v>79</v>
      </c>
      <c r="AW23" s="58">
        <f t="shared" si="26"/>
        <v>1370172</v>
      </c>
      <c r="AX23" s="376">
        <f t="shared" si="27"/>
        <v>0</v>
      </c>
      <c r="AY23" s="377">
        <f t="shared" si="28"/>
        <v>0</v>
      </c>
      <c r="AZ23" s="377">
        <f t="shared" si="29"/>
        <v>0</v>
      </c>
      <c r="BA23" s="377">
        <f t="shared" si="30"/>
        <v>0</v>
      </c>
      <c r="BB23" s="377"/>
      <c r="BC23" s="377">
        <f t="shared" si="31"/>
        <v>0</v>
      </c>
      <c r="BD23" s="377">
        <f t="shared" si="32"/>
        <v>0</v>
      </c>
      <c r="BE23" s="377"/>
      <c r="BF23" s="377">
        <f t="shared" si="33"/>
        <v>0</v>
      </c>
      <c r="BG23" s="433">
        <f t="shared" si="34"/>
        <v>0</v>
      </c>
      <c r="BH23" s="434">
        <f t="shared" si="35"/>
        <v>0</v>
      </c>
    </row>
    <row r="24" spans="1:60" s="378" customFormat="1">
      <c r="A24" s="167">
        <v>13</v>
      </c>
      <c r="B24" s="253">
        <f>VLOOKUP(A24,'JUNE (물량흐름)'!$A$13:$C$493,3,0)</f>
        <v>100003246</v>
      </c>
      <c r="C24" s="57" t="str">
        <f>VLOOKUP(A24,'JUNE (물량흐름)'!$A$13:$C$493,2,0)</f>
        <v>ALFANI</v>
      </c>
      <c r="D24" s="58">
        <f>IFERROR(VLOOKUP(B24,O.B.JUNE!$V$7:$Y$448,2,0),0)</f>
        <v>0</v>
      </c>
      <c r="E24" s="58">
        <f>IFERROR(VLOOKUP(B24,O.B.JUNE!$V$7:$X$448,3,0),0)</f>
        <v>0</v>
      </c>
      <c r="F24" s="58">
        <f>IFERROR(VLOOKUP(B24,O.B.JUNE!$V$7:$Y$448,4,0),0)</f>
        <v>0</v>
      </c>
      <c r="G24" s="58">
        <f>SUMIF('JUNE (물량흐름)'!$C$13:$C$493,'In-out-bal products (155)(완성제품)'!B24,'JUNE (물량흐름)'!$V$13:$V$493)</f>
        <v>0</v>
      </c>
      <c r="H24" s="58">
        <f>SUMIF('JUNE (물량흐름)'!$C$13:$C$493,'In-out-bal products (155)(완성제품)'!B24,'JUNE (물량흐름)'!$T$13:$T$493)-SUMIF('JUNE (물량흐름)'!$C$13:$C$493,'In-out-bal products (155)(완성제품)'!B24,'JUNE (물량흐름)'!$Y$13:$Y$493)+SUMIF('JUNE (물량흐름)'!$C$13:$C$493,'In-out-bal products (155)(완성제품)'!B24,'JUNE (물량흐름)'!$U$13:$U$493)</f>
        <v>377</v>
      </c>
      <c r="I24" s="58">
        <f t="shared" si="6"/>
        <v>17124.6949602122</v>
      </c>
      <c r="J24" s="58">
        <f>SUMIF('Direct labour(직접노무비)'!$C$12:$C$503,'In-out-bal products (155)(완성제품)'!B24,'Direct labour(직접노무비)'!$Q$12:$Q$503)</f>
        <v>2474021</v>
      </c>
      <c r="K24" s="59">
        <f>SUMIF('Overhead exp(제조경비)'!$C$12:$C$503,'In-out-bal products (155)(완성제품)'!B24,'Overhead exp(제조경비)'!$Q$12:$Q$503)</f>
        <v>3981989</v>
      </c>
      <c r="L24" s="58">
        <f t="shared" si="7"/>
        <v>6456010</v>
      </c>
      <c r="M24" s="58">
        <f>SUMIF('JUNE (물량흐름)'!$C$13:$C$488,'In-out-bal products (155)(완성제품)'!B24,'JUNE (물량흐름)'!$Y$13:$Y$488)</f>
        <v>0</v>
      </c>
      <c r="N24" s="58">
        <f t="shared" si="8"/>
        <v>0</v>
      </c>
      <c r="O24" s="58">
        <f>SUMIF('Direct labour(직접노무비)'!$C$12:$C$503,'In-out-bal products (155)(완성제품)'!B24,'Direct labour(직접노무비)'!$U$12:$U$503)+SUMIF('Overhead exp(제조경비)'!$C$12:$C$503,'In-out-bal products (155)(완성제품)'!B24,'Overhead exp(제조경비)'!$U$12:$U$503)</f>
        <v>0</v>
      </c>
      <c r="P24" s="60">
        <f t="shared" si="9"/>
        <v>377</v>
      </c>
      <c r="Q24" s="60">
        <f t="shared" si="10"/>
        <v>17124.6949602122</v>
      </c>
      <c r="R24" s="60">
        <f t="shared" si="11"/>
        <v>6456010</v>
      </c>
      <c r="S24" s="58">
        <v>0</v>
      </c>
      <c r="T24" s="58">
        <v>0</v>
      </c>
      <c r="U24" s="58">
        <v>0</v>
      </c>
      <c r="V24" s="58">
        <f>SUMIF('JUNE (물량흐름)'!$C$13:$C$493,'In-out-bal products (155)(완성제품)'!B24,'JUNE (물량흐름)'!$W$13:$W$493)</f>
        <v>0</v>
      </c>
      <c r="W24" s="58">
        <f t="shared" si="12"/>
        <v>0</v>
      </c>
      <c r="X24" s="58">
        <f t="shared" si="13"/>
        <v>0</v>
      </c>
      <c r="Y24" s="58">
        <f>SUMIF('JUNE (물량흐름)'!$C$13:$C$488,'In-out-bal products (155)(완성제품)'!B24,'JUNE (물량흐름)'!$X$13:$X$488)</f>
        <v>0</v>
      </c>
      <c r="Z24" s="58">
        <f t="shared" si="14"/>
        <v>0</v>
      </c>
      <c r="AA24" s="58">
        <f t="shared" si="15"/>
        <v>0</v>
      </c>
      <c r="AB24" s="58"/>
      <c r="AC24" s="58"/>
      <c r="AD24" s="61"/>
      <c r="AE24" s="58">
        <f t="shared" si="16"/>
        <v>0</v>
      </c>
      <c r="AF24" s="58">
        <f t="shared" si="17"/>
        <v>0</v>
      </c>
      <c r="AG24" s="61">
        <f t="shared" si="18"/>
        <v>0</v>
      </c>
      <c r="AH24" s="58">
        <v>0</v>
      </c>
      <c r="AI24" s="58">
        <v>0</v>
      </c>
      <c r="AJ24" s="61">
        <v>0</v>
      </c>
      <c r="AK24" s="58"/>
      <c r="AL24" s="58"/>
      <c r="AM24" s="61"/>
      <c r="AN24" s="61">
        <f t="shared" si="19"/>
        <v>0</v>
      </c>
      <c r="AO24" s="58">
        <f t="shared" si="20"/>
        <v>0</v>
      </c>
      <c r="AP24" s="61">
        <f t="shared" si="21"/>
        <v>0</v>
      </c>
      <c r="AQ24" s="58">
        <f t="shared" si="22"/>
        <v>377</v>
      </c>
      <c r="AR24" s="58">
        <f t="shared" si="23"/>
        <v>17124.6949602122</v>
      </c>
      <c r="AS24" s="58">
        <f t="shared" si="24"/>
        <v>6456010</v>
      </c>
      <c r="AT24" s="58">
        <f>ROUND(SUMIF('JUNE (물량흐름)'!$C$13:$C$502,'In-out-bal products (155)(완성제품)'!B24,'JUNE (물량흐름)'!$AB$13:$AB$502),0)</f>
        <v>0</v>
      </c>
      <c r="AU24" s="58">
        <f t="shared" si="25"/>
        <v>0</v>
      </c>
      <c r="AV24" s="58">
        <f>ROUND(SUMIF('JUNE (물량흐름)'!$C$13:$C$502,'In-out-bal products (155)(완성제품)'!B24,'JUNE (물량흐름)'!$AC$13:$AC$502),0)</f>
        <v>377</v>
      </c>
      <c r="AW24" s="58">
        <f t="shared" si="26"/>
        <v>6456010</v>
      </c>
      <c r="AX24" s="376">
        <f t="shared" si="27"/>
        <v>0</v>
      </c>
      <c r="AY24" s="377">
        <f t="shared" si="28"/>
        <v>0</v>
      </c>
      <c r="AZ24" s="377">
        <f t="shared" si="29"/>
        <v>0</v>
      </c>
      <c r="BA24" s="377">
        <f t="shared" si="30"/>
        <v>0</v>
      </c>
      <c r="BB24" s="377"/>
      <c r="BC24" s="377">
        <f t="shared" si="31"/>
        <v>0</v>
      </c>
      <c r="BD24" s="377">
        <f t="shared" si="32"/>
        <v>0</v>
      </c>
      <c r="BE24" s="377"/>
      <c r="BF24" s="377">
        <f t="shared" si="33"/>
        <v>0</v>
      </c>
      <c r="BG24" s="433">
        <f t="shared" si="34"/>
        <v>0</v>
      </c>
      <c r="BH24" s="434">
        <f t="shared" si="35"/>
        <v>0</v>
      </c>
    </row>
    <row r="25" spans="1:60" s="378" customFormat="1">
      <c r="A25" s="167">
        <v>14</v>
      </c>
      <c r="B25" s="253">
        <f>VLOOKUP(A25,'JUNE (물량흐름)'!$A$13:$C$493,3,0)</f>
        <v>100001802</v>
      </c>
      <c r="C25" s="57" t="str">
        <f>VLOOKUP(A25,'JUNE (물량흐름)'!$A$13:$C$493,2,0)</f>
        <v>ALFANI</v>
      </c>
      <c r="D25" s="58">
        <f>IFERROR(VLOOKUP(B25,O.B.JUNE!$V$7:$Y$448,2,0),0)</f>
        <v>0</v>
      </c>
      <c r="E25" s="58">
        <f>IFERROR(VLOOKUP(B25,O.B.JUNE!$V$7:$X$448,3,0),0)</f>
        <v>0</v>
      </c>
      <c r="F25" s="58">
        <f>IFERROR(VLOOKUP(B25,O.B.JUNE!$V$7:$Y$448,4,0),0)</f>
        <v>0</v>
      </c>
      <c r="G25" s="58">
        <f>SUMIF('JUNE (물량흐름)'!$C$13:$C$493,'In-out-bal products (155)(완성제품)'!B25,'JUNE (물량흐름)'!$V$13:$V$493)</f>
        <v>0</v>
      </c>
      <c r="H25" s="58">
        <f>SUMIF('JUNE (물량흐름)'!$C$13:$C$493,'In-out-bal products (155)(완성제품)'!B25,'JUNE (물량흐름)'!$T$13:$T$493)-SUMIF('JUNE (물량흐름)'!$C$13:$C$493,'In-out-bal products (155)(완성제품)'!B25,'JUNE (물량흐름)'!$Y$13:$Y$493)+SUMIF('JUNE (물량흐름)'!$C$13:$C$493,'In-out-bal products (155)(완성제품)'!B25,'JUNE (물량흐름)'!$U$13:$U$493)</f>
        <v>0</v>
      </c>
      <c r="I25" s="58">
        <f t="shared" si="6"/>
        <v>0</v>
      </c>
      <c r="J25" s="58">
        <f>SUMIF('Direct labour(직접노무비)'!$C$12:$C$503,'In-out-bal products (155)(완성제품)'!B25,'Direct labour(직접노무비)'!$Q$12:$Q$503)</f>
        <v>0</v>
      </c>
      <c r="K25" s="59">
        <f>SUMIF('Overhead exp(제조경비)'!$C$12:$C$503,'In-out-bal products (155)(완성제품)'!B25,'Overhead exp(제조경비)'!$Q$12:$Q$503)</f>
        <v>0</v>
      </c>
      <c r="L25" s="58">
        <f t="shared" si="7"/>
        <v>0</v>
      </c>
      <c r="M25" s="58">
        <f>SUMIF('JUNE (물량흐름)'!$C$13:$C$488,'In-out-bal products (155)(완성제품)'!B25,'JUNE (물량흐름)'!$Y$13:$Y$488)</f>
        <v>0</v>
      </c>
      <c r="N25" s="58">
        <f t="shared" si="8"/>
        <v>0</v>
      </c>
      <c r="O25" s="58">
        <f>SUMIF('Direct labour(직접노무비)'!$C$12:$C$503,'In-out-bal products (155)(완성제품)'!B25,'Direct labour(직접노무비)'!$U$12:$U$503)+SUMIF('Overhead exp(제조경비)'!$C$12:$C$503,'In-out-bal products (155)(완성제품)'!B25,'Overhead exp(제조경비)'!$U$12:$U$503)</f>
        <v>0</v>
      </c>
      <c r="P25" s="60">
        <f t="shared" si="9"/>
        <v>0</v>
      </c>
      <c r="Q25" s="60">
        <f t="shared" si="10"/>
        <v>0</v>
      </c>
      <c r="R25" s="60">
        <f t="shared" si="11"/>
        <v>0</v>
      </c>
      <c r="S25" s="58">
        <v>0</v>
      </c>
      <c r="T25" s="58">
        <v>0</v>
      </c>
      <c r="U25" s="58">
        <v>0</v>
      </c>
      <c r="V25" s="58">
        <f>SUMIF('JUNE (물량흐름)'!$C$13:$C$493,'In-out-bal products (155)(완성제품)'!B25,'JUNE (물량흐름)'!$W$13:$W$493)</f>
        <v>0</v>
      </c>
      <c r="W25" s="58">
        <f t="shared" si="12"/>
        <v>0</v>
      </c>
      <c r="X25" s="58">
        <f t="shared" si="13"/>
        <v>0</v>
      </c>
      <c r="Y25" s="58">
        <f>SUMIF('JUNE (물량흐름)'!$C$13:$C$488,'In-out-bal products (155)(완성제품)'!B25,'JUNE (물량흐름)'!$X$13:$X$488)</f>
        <v>0</v>
      </c>
      <c r="Z25" s="58">
        <f t="shared" si="14"/>
        <v>0</v>
      </c>
      <c r="AA25" s="58">
        <f t="shared" si="15"/>
        <v>0</v>
      </c>
      <c r="AB25" s="58"/>
      <c r="AC25" s="58"/>
      <c r="AD25" s="61"/>
      <c r="AE25" s="58">
        <f t="shared" si="16"/>
        <v>0</v>
      </c>
      <c r="AF25" s="58">
        <f t="shared" si="17"/>
        <v>0</v>
      </c>
      <c r="AG25" s="61">
        <f t="shared" si="18"/>
        <v>0</v>
      </c>
      <c r="AH25" s="58">
        <v>0</v>
      </c>
      <c r="AI25" s="58">
        <v>0</v>
      </c>
      <c r="AJ25" s="61">
        <v>0</v>
      </c>
      <c r="AK25" s="58"/>
      <c r="AL25" s="58"/>
      <c r="AM25" s="61"/>
      <c r="AN25" s="61">
        <f t="shared" si="19"/>
        <v>0</v>
      </c>
      <c r="AO25" s="58">
        <f t="shared" si="20"/>
        <v>0</v>
      </c>
      <c r="AP25" s="61">
        <f t="shared" si="21"/>
        <v>0</v>
      </c>
      <c r="AQ25" s="58">
        <f t="shared" si="22"/>
        <v>0</v>
      </c>
      <c r="AR25" s="58">
        <f t="shared" si="23"/>
        <v>0</v>
      </c>
      <c r="AS25" s="58">
        <f t="shared" si="24"/>
        <v>0</v>
      </c>
      <c r="AT25" s="58">
        <f>ROUND(SUMIF('JUNE (물량흐름)'!$C$13:$C$502,'In-out-bal products (155)(완성제품)'!B25,'JUNE (물량흐름)'!$AB$13:$AB$502),0)</f>
        <v>0</v>
      </c>
      <c r="AU25" s="58">
        <f t="shared" si="25"/>
        <v>0</v>
      </c>
      <c r="AV25" s="58">
        <f>ROUND(SUMIF('JUNE (물량흐름)'!$C$13:$C$502,'In-out-bal products (155)(완성제품)'!B25,'JUNE (물량흐름)'!$AC$13:$AC$502),0)</f>
        <v>0</v>
      </c>
      <c r="AW25" s="58">
        <f t="shared" si="26"/>
        <v>0</v>
      </c>
      <c r="AX25" s="376">
        <f t="shared" si="27"/>
        <v>0</v>
      </c>
      <c r="AY25" s="377">
        <f t="shared" si="28"/>
        <v>0</v>
      </c>
      <c r="AZ25" s="377">
        <f t="shared" si="29"/>
        <v>0</v>
      </c>
      <c r="BA25" s="377">
        <f t="shared" si="30"/>
        <v>0</v>
      </c>
      <c r="BB25" s="377"/>
      <c r="BC25" s="377">
        <f t="shared" si="31"/>
        <v>0</v>
      </c>
      <c r="BD25" s="377">
        <f t="shared" si="32"/>
        <v>0</v>
      </c>
      <c r="BE25" s="377"/>
      <c r="BF25" s="377">
        <f t="shared" si="33"/>
        <v>0</v>
      </c>
      <c r="BG25" s="433">
        <f t="shared" si="34"/>
        <v>0</v>
      </c>
      <c r="BH25" s="434">
        <f t="shared" si="35"/>
        <v>0</v>
      </c>
    </row>
    <row r="26" spans="1:60" s="378" customFormat="1">
      <c r="A26" s="167">
        <v>15</v>
      </c>
      <c r="B26" s="253">
        <f>VLOOKUP(A26,'JUNE (물량흐름)'!$A$13:$C$493,3,0)</f>
        <v>68416</v>
      </c>
      <c r="C26" s="57" t="str">
        <f>VLOOKUP(A26,'JUNE (물량흐름)'!$A$13:$C$493,2,0)</f>
        <v>ALFANI</v>
      </c>
      <c r="D26" s="58">
        <f>IFERROR(VLOOKUP(B26,O.B.JUNE!$V$7:$Y$448,2,0),0)</f>
        <v>197</v>
      </c>
      <c r="E26" s="58">
        <f>IFERROR(VLOOKUP(B26,O.B.JUNE!$V$7:$X$448,3,0),0)</f>
        <v>18368.604060913705</v>
      </c>
      <c r="F26" s="58">
        <f>IFERROR(VLOOKUP(B26,O.B.JUNE!$V$7:$Y$448,4,0),0)</f>
        <v>3618615</v>
      </c>
      <c r="G26" s="58">
        <f>SUMIF('JUNE (물량흐름)'!$C$13:$C$493,'In-out-bal products (155)(완성제품)'!B26,'JUNE (물량흐름)'!$V$13:$V$493)</f>
        <v>0</v>
      </c>
      <c r="H26" s="58">
        <f>SUMIF('JUNE (물량흐름)'!$C$13:$C$493,'In-out-bal products (155)(완성제품)'!B26,'JUNE (물량흐름)'!$T$13:$T$493)-SUMIF('JUNE (물량흐름)'!$C$13:$C$493,'In-out-bal products (155)(완성제품)'!B26,'JUNE (물량흐름)'!$Y$13:$Y$493)+SUMIF('JUNE (물량흐름)'!$C$13:$C$493,'In-out-bal products (155)(완성제품)'!B26,'JUNE (물량흐름)'!$U$13:$U$493)</f>
        <v>683</v>
      </c>
      <c r="I26" s="58">
        <f t="shared" si="6"/>
        <v>28298.956076134698</v>
      </c>
      <c r="J26" s="58">
        <f>SUMIF('Direct labour(직접노무비)'!$C$12:$C$503,'In-out-bal products (155)(완성제품)'!B26,'Direct labour(직접노무비)'!$Q$12:$Q$503)</f>
        <v>7108903</v>
      </c>
      <c r="K26" s="59">
        <f>SUMIF('Overhead exp(제조경비)'!$C$12:$C$503,'In-out-bal products (155)(완성제품)'!B26,'Overhead exp(제조경비)'!$Q$12:$Q$503)</f>
        <v>12219284</v>
      </c>
      <c r="L26" s="58">
        <f t="shared" si="7"/>
        <v>19328187</v>
      </c>
      <c r="M26" s="58">
        <f>SUMIF('JUNE (물량흐름)'!$C$13:$C$488,'In-out-bal products (155)(완성제품)'!B26,'JUNE (물량흐름)'!$Y$13:$Y$488)</f>
        <v>5</v>
      </c>
      <c r="N26" s="58">
        <f t="shared" si="8"/>
        <v>28299</v>
      </c>
      <c r="O26" s="58">
        <f>SUMIF('Direct labour(직접노무비)'!$C$12:$C$503,'In-out-bal products (155)(완성제품)'!B26,'Direct labour(직접노무비)'!$U$12:$U$503)+SUMIF('Overhead exp(제조경비)'!$C$12:$C$503,'In-out-bal products (155)(완성제품)'!B26,'Overhead exp(제조경비)'!$U$12:$U$503)</f>
        <v>141495</v>
      </c>
      <c r="P26" s="60">
        <f t="shared" si="9"/>
        <v>688</v>
      </c>
      <c r="Q26" s="60">
        <f t="shared" si="10"/>
        <v>28298.956395348836</v>
      </c>
      <c r="R26" s="60">
        <f t="shared" si="11"/>
        <v>19469682</v>
      </c>
      <c r="S26" s="58">
        <v>0</v>
      </c>
      <c r="T26" s="58">
        <v>0</v>
      </c>
      <c r="U26" s="58">
        <v>0</v>
      </c>
      <c r="V26" s="58">
        <f>SUMIF('JUNE (물량흐름)'!$C$13:$C$493,'In-out-bal products (155)(완성제품)'!B26,'JUNE (물량흐름)'!$W$13:$W$493)</f>
        <v>864</v>
      </c>
      <c r="W26" s="58">
        <f t="shared" si="12"/>
        <v>26075.910879629631</v>
      </c>
      <c r="X26" s="58">
        <f t="shared" si="13"/>
        <v>22529587</v>
      </c>
      <c r="Y26" s="58">
        <f>SUMIF('JUNE (물량흐름)'!$C$13:$C$488,'In-out-bal products (155)(완성제품)'!B26,'JUNE (물량흐름)'!$X$13:$X$488)</f>
        <v>0</v>
      </c>
      <c r="Z26" s="58">
        <f t="shared" si="14"/>
        <v>0</v>
      </c>
      <c r="AA26" s="58">
        <f t="shared" si="15"/>
        <v>0</v>
      </c>
      <c r="AB26" s="58"/>
      <c r="AC26" s="58"/>
      <c r="AD26" s="61"/>
      <c r="AE26" s="58">
        <f t="shared" si="16"/>
        <v>5</v>
      </c>
      <c r="AF26" s="58">
        <f t="shared" si="17"/>
        <v>28299</v>
      </c>
      <c r="AG26" s="61">
        <f t="shared" si="18"/>
        <v>141495</v>
      </c>
      <c r="AH26" s="58">
        <v>0</v>
      </c>
      <c r="AI26" s="58">
        <v>0</v>
      </c>
      <c r="AJ26" s="61">
        <v>0</v>
      </c>
      <c r="AK26" s="58"/>
      <c r="AL26" s="58"/>
      <c r="AM26" s="61"/>
      <c r="AN26" s="61">
        <f t="shared" si="19"/>
        <v>869</v>
      </c>
      <c r="AO26" s="58">
        <f t="shared" si="20"/>
        <v>26088.701956271576</v>
      </c>
      <c r="AP26" s="61">
        <f t="shared" si="21"/>
        <v>22671082</v>
      </c>
      <c r="AQ26" s="58">
        <f t="shared" si="22"/>
        <v>16</v>
      </c>
      <c r="AR26" s="58">
        <f t="shared" si="23"/>
        <v>26075.9375</v>
      </c>
      <c r="AS26" s="58">
        <f t="shared" si="24"/>
        <v>417215</v>
      </c>
      <c r="AT26" s="58">
        <f>ROUND(SUMIF('JUNE (물량흐름)'!$C$13:$C$502,'In-out-bal products (155)(완성제품)'!B26,'JUNE (물량흐름)'!$AB$13:$AB$502),0)</f>
        <v>0</v>
      </c>
      <c r="AU26" s="58">
        <f t="shared" si="25"/>
        <v>0</v>
      </c>
      <c r="AV26" s="58">
        <f>ROUND(SUMIF('JUNE (물량흐름)'!$C$13:$C$502,'In-out-bal products (155)(완성제품)'!B26,'JUNE (물량흐름)'!$AC$13:$AC$502),0)</f>
        <v>16</v>
      </c>
      <c r="AW26" s="58">
        <f t="shared" si="26"/>
        <v>417215</v>
      </c>
      <c r="AX26" s="376">
        <f t="shared" si="27"/>
        <v>0</v>
      </c>
      <c r="AY26" s="377">
        <f t="shared" si="28"/>
        <v>0</v>
      </c>
      <c r="AZ26" s="377">
        <f t="shared" si="29"/>
        <v>0</v>
      </c>
      <c r="BA26" s="377">
        <f t="shared" si="30"/>
        <v>0</v>
      </c>
      <c r="BB26" s="377"/>
      <c r="BC26" s="377">
        <f t="shared" si="31"/>
        <v>0</v>
      </c>
      <c r="BD26" s="377">
        <f t="shared" si="32"/>
        <v>0</v>
      </c>
      <c r="BE26" s="377"/>
      <c r="BF26" s="377">
        <f t="shared" si="33"/>
        <v>0</v>
      </c>
      <c r="BG26" s="433">
        <f t="shared" si="34"/>
        <v>22671082</v>
      </c>
      <c r="BH26" s="434">
        <f t="shared" si="35"/>
        <v>0</v>
      </c>
    </row>
    <row r="27" spans="1:60" s="378" customFormat="1">
      <c r="A27" s="167">
        <v>16</v>
      </c>
      <c r="B27" s="253" t="str">
        <f>VLOOKUP(A27,'JUNE (물량흐름)'!$A$13:$C$493,3,0)</f>
        <v>7X408</v>
      </c>
      <c r="C27" s="57" t="str">
        <f>VLOOKUP(A27,'JUNE (물량흐름)'!$A$13:$C$493,2,0)</f>
        <v>ALFANI</v>
      </c>
      <c r="D27" s="58">
        <f>IFERROR(VLOOKUP(B27,O.B.JUNE!$V$7:$Y$448,2,0),0)</f>
        <v>0</v>
      </c>
      <c r="E27" s="58">
        <f>IFERROR(VLOOKUP(B27,O.B.JUNE!$V$7:$X$448,3,0),0)</f>
        <v>0</v>
      </c>
      <c r="F27" s="58">
        <f>IFERROR(VLOOKUP(B27,O.B.JUNE!$V$7:$Y$448,4,0),0)</f>
        <v>0</v>
      </c>
      <c r="G27" s="58">
        <f>SUMIF('JUNE (물량흐름)'!$C$13:$C$493,'In-out-bal products (155)(완성제품)'!B27,'JUNE (물량흐름)'!$V$13:$V$493)</f>
        <v>0</v>
      </c>
      <c r="H27" s="58">
        <f>SUMIF('JUNE (물량흐름)'!$C$13:$C$493,'In-out-bal products (155)(완성제품)'!B27,'JUNE (물량흐름)'!$T$13:$T$493)-SUMIF('JUNE (물량흐름)'!$C$13:$C$493,'In-out-bal products (155)(완성제품)'!B27,'JUNE (물량흐름)'!$Y$13:$Y$493)+SUMIF('JUNE (물량흐름)'!$C$13:$C$493,'In-out-bal products (155)(완성제품)'!B27,'JUNE (물량흐름)'!$U$13:$U$493)</f>
        <v>108</v>
      </c>
      <c r="I27" s="58">
        <f t="shared" si="6"/>
        <v>32667.305555555555</v>
      </c>
      <c r="J27" s="58">
        <f>SUMIF('Direct labour(직접노무비)'!$C$12:$C$503,'In-out-bal products (155)(완성제품)'!B27,'Direct labour(직접노무비)'!$Q$12:$Q$503)</f>
        <v>1477379</v>
      </c>
      <c r="K27" s="59">
        <f>SUMIF('Overhead exp(제조경비)'!$C$12:$C$503,'In-out-bal products (155)(완성제품)'!B27,'Overhead exp(제조경비)'!$Q$12:$Q$503)</f>
        <v>2050690</v>
      </c>
      <c r="L27" s="58">
        <f t="shared" si="7"/>
        <v>3528069</v>
      </c>
      <c r="M27" s="58">
        <f>SUMIF('JUNE (물량흐름)'!$C$13:$C$488,'In-out-bal products (155)(완성제품)'!B27,'JUNE (물량흐름)'!$Y$13:$Y$488)</f>
        <v>0</v>
      </c>
      <c r="N27" s="58">
        <f t="shared" si="8"/>
        <v>0</v>
      </c>
      <c r="O27" s="58">
        <f>SUMIF('Direct labour(직접노무비)'!$C$12:$C$503,'In-out-bal products (155)(완성제품)'!B27,'Direct labour(직접노무비)'!$U$12:$U$503)+SUMIF('Overhead exp(제조경비)'!$C$12:$C$503,'In-out-bal products (155)(완성제품)'!B27,'Overhead exp(제조경비)'!$U$12:$U$503)</f>
        <v>0</v>
      </c>
      <c r="P27" s="60">
        <f t="shared" si="9"/>
        <v>108</v>
      </c>
      <c r="Q27" s="60">
        <f t="shared" si="10"/>
        <v>32667.305555555555</v>
      </c>
      <c r="R27" s="60">
        <f t="shared" si="11"/>
        <v>3528069</v>
      </c>
      <c r="S27" s="58">
        <v>0</v>
      </c>
      <c r="T27" s="58">
        <v>0</v>
      </c>
      <c r="U27" s="58">
        <v>0</v>
      </c>
      <c r="V27" s="58">
        <f>SUMIF('JUNE (물량흐름)'!$C$13:$C$493,'In-out-bal products (155)(완성제품)'!B27,'JUNE (물량흐름)'!$W$13:$W$493)</f>
        <v>0</v>
      </c>
      <c r="W27" s="58">
        <f t="shared" si="12"/>
        <v>0</v>
      </c>
      <c r="X27" s="58">
        <f t="shared" si="13"/>
        <v>0</v>
      </c>
      <c r="Y27" s="58">
        <f>SUMIF('JUNE (물량흐름)'!$C$13:$C$488,'In-out-bal products (155)(완성제품)'!B27,'JUNE (물량흐름)'!$X$13:$X$488)</f>
        <v>0</v>
      </c>
      <c r="Z27" s="58">
        <f t="shared" si="14"/>
        <v>0</v>
      </c>
      <c r="AA27" s="58">
        <f t="shared" si="15"/>
        <v>0</v>
      </c>
      <c r="AB27" s="58"/>
      <c r="AC27" s="58"/>
      <c r="AD27" s="61"/>
      <c r="AE27" s="58">
        <f t="shared" si="16"/>
        <v>0</v>
      </c>
      <c r="AF27" s="58">
        <f t="shared" si="17"/>
        <v>0</v>
      </c>
      <c r="AG27" s="61">
        <f t="shared" si="18"/>
        <v>0</v>
      </c>
      <c r="AH27" s="58">
        <v>0</v>
      </c>
      <c r="AI27" s="58">
        <v>0</v>
      </c>
      <c r="AJ27" s="61">
        <v>0</v>
      </c>
      <c r="AK27" s="58"/>
      <c r="AL27" s="58"/>
      <c r="AM27" s="61"/>
      <c r="AN27" s="61">
        <f t="shared" si="19"/>
        <v>0</v>
      </c>
      <c r="AO27" s="58">
        <f t="shared" si="20"/>
        <v>0</v>
      </c>
      <c r="AP27" s="61">
        <f t="shared" si="21"/>
        <v>0</v>
      </c>
      <c r="AQ27" s="58">
        <f t="shared" si="22"/>
        <v>108</v>
      </c>
      <c r="AR27" s="58">
        <f t="shared" si="23"/>
        <v>32667.305555555555</v>
      </c>
      <c r="AS27" s="58">
        <f t="shared" si="24"/>
        <v>3528069</v>
      </c>
      <c r="AT27" s="58">
        <f>ROUND(SUMIF('JUNE (물량흐름)'!$C$13:$C$502,'In-out-bal products (155)(완성제품)'!B27,'JUNE (물량흐름)'!$AB$13:$AB$502),0)</f>
        <v>0</v>
      </c>
      <c r="AU27" s="58">
        <f t="shared" si="25"/>
        <v>0</v>
      </c>
      <c r="AV27" s="58">
        <f>ROUND(SUMIF('JUNE (물량흐름)'!$C$13:$C$502,'In-out-bal products (155)(완성제품)'!B27,'JUNE (물량흐름)'!$AC$13:$AC$502),0)</f>
        <v>108</v>
      </c>
      <c r="AW27" s="58">
        <f t="shared" si="26"/>
        <v>3528069</v>
      </c>
      <c r="AX27" s="376">
        <f t="shared" si="27"/>
        <v>0</v>
      </c>
      <c r="AY27" s="377">
        <f t="shared" si="28"/>
        <v>0</v>
      </c>
      <c r="AZ27" s="377">
        <f t="shared" si="29"/>
        <v>0</v>
      </c>
      <c r="BA27" s="377">
        <f t="shared" si="30"/>
        <v>0</v>
      </c>
      <c r="BB27" s="377"/>
      <c r="BC27" s="377">
        <f t="shared" si="31"/>
        <v>0</v>
      </c>
      <c r="BD27" s="377">
        <f t="shared" si="32"/>
        <v>0</v>
      </c>
      <c r="BE27" s="377"/>
      <c r="BF27" s="377">
        <f t="shared" si="33"/>
        <v>0</v>
      </c>
      <c r="BG27" s="433">
        <f t="shared" si="34"/>
        <v>0</v>
      </c>
      <c r="BH27" s="434">
        <f t="shared" si="35"/>
        <v>0</v>
      </c>
    </row>
    <row r="28" spans="1:60" s="378" customFormat="1">
      <c r="A28" s="167">
        <v>17</v>
      </c>
      <c r="B28" s="253" t="str">
        <f>VLOOKUP(A28,'JUNE (물량흐름)'!$A$13:$C$493,3,0)</f>
        <v>7X708</v>
      </c>
      <c r="C28" s="57" t="str">
        <f>VLOOKUP(A28,'JUNE (물량흐름)'!$A$13:$C$493,2,0)</f>
        <v>ALFANI</v>
      </c>
      <c r="D28" s="58">
        <f>IFERROR(VLOOKUP(B28,O.B.JUNE!$V$7:$Y$448,2,0),0)</f>
        <v>0</v>
      </c>
      <c r="E28" s="58">
        <f>IFERROR(VLOOKUP(B28,O.B.JUNE!$V$7:$X$448,3,0),0)</f>
        <v>0</v>
      </c>
      <c r="F28" s="58">
        <f>IFERROR(VLOOKUP(B28,O.B.JUNE!$V$7:$Y$448,4,0),0)</f>
        <v>0</v>
      </c>
      <c r="G28" s="58">
        <f>SUMIF('JUNE (물량흐름)'!$C$13:$C$493,'In-out-bal products (155)(완성제품)'!B28,'JUNE (물량흐름)'!$V$13:$V$493)</f>
        <v>0</v>
      </c>
      <c r="H28" s="58">
        <f>SUMIF('JUNE (물량흐름)'!$C$13:$C$493,'In-out-bal products (155)(완성제품)'!B28,'JUNE (물량흐름)'!$T$13:$T$493)-SUMIF('JUNE (물량흐름)'!$C$13:$C$493,'In-out-bal products (155)(완성제품)'!B28,'JUNE (물량흐름)'!$Y$13:$Y$493)+SUMIF('JUNE (물량흐름)'!$C$13:$C$493,'In-out-bal products (155)(완성제품)'!B28,'JUNE (물량흐름)'!$U$13:$U$493)</f>
        <v>187</v>
      </c>
      <c r="I28" s="58">
        <f t="shared" si="6"/>
        <v>34693.65240641711</v>
      </c>
      <c r="J28" s="58">
        <f>SUMIF('Direct labour(직접노무비)'!$C$12:$C$503,'In-out-bal products (155)(완성제품)'!B28,'Direct labour(직접노무비)'!$Q$12:$Q$503)</f>
        <v>2744030</v>
      </c>
      <c r="K28" s="59">
        <f>SUMIF('Overhead exp(제조경비)'!$C$12:$C$503,'In-out-bal products (155)(완성제품)'!B28,'Overhead exp(제조경비)'!$Q$12:$Q$503)</f>
        <v>3743683</v>
      </c>
      <c r="L28" s="58">
        <f t="shared" si="7"/>
        <v>6487713</v>
      </c>
      <c r="M28" s="58">
        <f>SUMIF('JUNE (물량흐름)'!$C$13:$C$488,'In-out-bal products (155)(완성제품)'!B28,'JUNE (물량흐름)'!$Y$13:$Y$488)</f>
        <v>0</v>
      </c>
      <c r="N28" s="58">
        <f t="shared" si="8"/>
        <v>0</v>
      </c>
      <c r="O28" s="58">
        <f>SUMIF('Direct labour(직접노무비)'!$C$12:$C$503,'In-out-bal products (155)(완성제품)'!B28,'Direct labour(직접노무비)'!$U$12:$U$503)+SUMIF('Overhead exp(제조경비)'!$C$12:$C$503,'In-out-bal products (155)(완성제품)'!B28,'Overhead exp(제조경비)'!$U$12:$U$503)</f>
        <v>0</v>
      </c>
      <c r="P28" s="60">
        <f t="shared" si="9"/>
        <v>187</v>
      </c>
      <c r="Q28" s="60">
        <f t="shared" si="10"/>
        <v>34693.65240641711</v>
      </c>
      <c r="R28" s="60">
        <f t="shared" si="11"/>
        <v>6487713</v>
      </c>
      <c r="S28" s="58">
        <v>0</v>
      </c>
      <c r="T28" s="58">
        <v>0</v>
      </c>
      <c r="U28" s="58">
        <v>0</v>
      </c>
      <c r="V28" s="58">
        <f>SUMIF('JUNE (물량흐름)'!$C$13:$C$493,'In-out-bal products (155)(완성제품)'!B28,'JUNE (물량흐름)'!$W$13:$W$493)</f>
        <v>0</v>
      </c>
      <c r="W28" s="58">
        <f t="shared" si="12"/>
        <v>0</v>
      </c>
      <c r="X28" s="58">
        <f t="shared" si="13"/>
        <v>0</v>
      </c>
      <c r="Y28" s="58">
        <f>SUMIF('JUNE (물량흐름)'!$C$13:$C$488,'In-out-bal products (155)(완성제품)'!B28,'JUNE (물량흐름)'!$X$13:$X$488)</f>
        <v>0</v>
      </c>
      <c r="Z28" s="58">
        <f t="shared" si="14"/>
        <v>0</v>
      </c>
      <c r="AA28" s="58">
        <f t="shared" si="15"/>
        <v>0</v>
      </c>
      <c r="AB28" s="58"/>
      <c r="AC28" s="58"/>
      <c r="AD28" s="61"/>
      <c r="AE28" s="58">
        <f t="shared" si="16"/>
        <v>0</v>
      </c>
      <c r="AF28" s="58">
        <f t="shared" si="17"/>
        <v>0</v>
      </c>
      <c r="AG28" s="61">
        <f t="shared" si="18"/>
        <v>0</v>
      </c>
      <c r="AH28" s="58">
        <v>0</v>
      </c>
      <c r="AI28" s="58">
        <v>0</v>
      </c>
      <c r="AJ28" s="61">
        <v>0</v>
      </c>
      <c r="AK28" s="58"/>
      <c r="AL28" s="58"/>
      <c r="AM28" s="61"/>
      <c r="AN28" s="61">
        <f t="shared" si="19"/>
        <v>0</v>
      </c>
      <c r="AO28" s="58">
        <f t="shared" si="20"/>
        <v>0</v>
      </c>
      <c r="AP28" s="61">
        <f t="shared" si="21"/>
        <v>0</v>
      </c>
      <c r="AQ28" s="58">
        <f t="shared" si="22"/>
        <v>187</v>
      </c>
      <c r="AR28" s="58">
        <f t="shared" si="23"/>
        <v>34693.65240641711</v>
      </c>
      <c r="AS28" s="58">
        <f t="shared" si="24"/>
        <v>6487713</v>
      </c>
      <c r="AT28" s="58">
        <f>ROUND(SUMIF('JUNE (물량흐름)'!$C$13:$C$502,'In-out-bal products (155)(완성제품)'!B28,'JUNE (물량흐름)'!$AB$13:$AB$502),0)</f>
        <v>0</v>
      </c>
      <c r="AU28" s="58">
        <f t="shared" si="25"/>
        <v>0</v>
      </c>
      <c r="AV28" s="58">
        <f>ROUND(SUMIF('JUNE (물량흐름)'!$C$13:$C$502,'In-out-bal products (155)(완성제품)'!B28,'JUNE (물량흐름)'!$AC$13:$AC$502),0)</f>
        <v>187</v>
      </c>
      <c r="AW28" s="58">
        <f t="shared" si="26"/>
        <v>6487713</v>
      </c>
      <c r="AX28" s="376">
        <f t="shared" si="27"/>
        <v>0</v>
      </c>
      <c r="AY28" s="377">
        <f t="shared" si="28"/>
        <v>0</v>
      </c>
      <c r="AZ28" s="377">
        <f t="shared" si="29"/>
        <v>0</v>
      </c>
      <c r="BA28" s="377">
        <f t="shared" si="30"/>
        <v>0</v>
      </c>
      <c r="BB28" s="377"/>
      <c r="BC28" s="377">
        <f t="shared" si="31"/>
        <v>0</v>
      </c>
      <c r="BD28" s="377">
        <f t="shared" si="32"/>
        <v>0</v>
      </c>
      <c r="BE28" s="377"/>
      <c r="BF28" s="377">
        <f t="shared" si="33"/>
        <v>0</v>
      </c>
      <c r="BG28" s="433">
        <f t="shared" si="34"/>
        <v>0</v>
      </c>
      <c r="BH28" s="434">
        <f t="shared" si="35"/>
        <v>0</v>
      </c>
    </row>
    <row r="29" spans="1:60" s="378" customFormat="1">
      <c r="A29" s="167">
        <v>18</v>
      </c>
      <c r="B29" s="253" t="str">
        <f>VLOOKUP(A29,'JUNE (물량흐름)'!$A$13:$C$493,3,0)</f>
        <v>7N900</v>
      </c>
      <c r="C29" s="57" t="str">
        <f>VLOOKUP(A29,'JUNE (물량흐름)'!$A$13:$C$493,2,0)</f>
        <v>ALFANI</v>
      </c>
      <c r="D29" s="58">
        <f>IFERROR(VLOOKUP(B29,O.B.JUNE!$V$7:$Y$448,2,0),0)</f>
        <v>0</v>
      </c>
      <c r="E29" s="58">
        <f>IFERROR(VLOOKUP(B29,O.B.JUNE!$V$7:$X$448,3,0),0)</f>
        <v>0</v>
      </c>
      <c r="F29" s="58">
        <f>IFERROR(VLOOKUP(B29,O.B.JUNE!$V$7:$Y$448,4,0),0)</f>
        <v>0</v>
      </c>
      <c r="G29" s="58">
        <f>SUMIF('JUNE (물량흐름)'!$C$13:$C$493,'In-out-bal products (155)(완성제품)'!B29,'JUNE (물량흐름)'!$V$13:$V$493)</f>
        <v>0</v>
      </c>
      <c r="H29" s="58">
        <f>SUMIF('JUNE (물량흐름)'!$C$13:$C$493,'In-out-bal products (155)(완성제품)'!B29,'JUNE (물량흐름)'!$T$13:$T$493)-SUMIF('JUNE (물량흐름)'!$C$13:$C$493,'In-out-bal products (155)(완성제품)'!B29,'JUNE (물량흐름)'!$Y$13:$Y$493)+SUMIF('JUNE (물량흐름)'!$C$13:$C$493,'In-out-bal products (155)(완성제품)'!B29,'JUNE (물량흐름)'!$U$13:$U$493)</f>
        <v>144</v>
      </c>
      <c r="I29" s="58">
        <f t="shared" si="6"/>
        <v>29889.979166666668</v>
      </c>
      <c r="J29" s="58">
        <f>SUMIF('Direct labour(직접노무비)'!$C$12:$C$503,'In-out-bal products (155)(완성제품)'!B29,'Direct labour(직접노무비)'!$Q$12:$Q$503)</f>
        <v>1627393</v>
      </c>
      <c r="K29" s="59">
        <f>SUMIF('Overhead exp(제조경비)'!$C$12:$C$503,'In-out-bal products (155)(완성제품)'!B29,'Overhead exp(제조경비)'!$Q$12:$Q$503)</f>
        <v>2676764</v>
      </c>
      <c r="L29" s="58">
        <f t="shared" si="7"/>
        <v>4304157</v>
      </c>
      <c r="M29" s="58">
        <f>SUMIF('JUNE (물량흐름)'!$C$13:$C$488,'In-out-bal products (155)(완성제품)'!B29,'JUNE (물량흐름)'!$Y$13:$Y$488)</f>
        <v>0</v>
      </c>
      <c r="N29" s="58">
        <f t="shared" si="8"/>
        <v>0</v>
      </c>
      <c r="O29" s="58">
        <f>SUMIF('Direct labour(직접노무비)'!$C$12:$C$503,'In-out-bal products (155)(완성제품)'!B29,'Direct labour(직접노무비)'!$U$12:$U$503)+SUMIF('Overhead exp(제조경비)'!$C$12:$C$503,'In-out-bal products (155)(완성제품)'!B29,'Overhead exp(제조경비)'!$U$12:$U$503)</f>
        <v>0</v>
      </c>
      <c r="P29" s="60">
        <f t="shared" si="9"/>
        <v>144</v>
      </c>
      <c r="Q29" s="60">
        <f t="shared" si="10"/>
        <v>29889.979166666668</v>
      </c>
      <c r="R29" s="60">
        <f t="shared" si="11"/>
        <v>4304157</v>
      </c>
      <c r="S29" s="58">
        <v>0</v>
      </c>
      <c r="T29" s="58">
        <v>0</v>
      </c>
      <c r="U29" s="58">
        <v>0</v>
      </c>
      <c r="V29" s="58">
        <f>SUMIF('JUNE (물량흐름)'!$C$13:$C$493,'In-out-bal products (155)(완성제품)'!B29,'JUNE (물량흐름)'!$W$13:$W$493)</f>
        <v>0</v>
      </c>
      <c r="W29" s="58">
        <f t="shared" si="12"/>
        <v>0</v>
      </c>
      <c r="X29" s="58">
        <f t="shared" si="13"/>
        <v>0</v>
      </c>
      <c r="Y29" s="58">
        <f>SUMIF('JUNE (물량흐름)'!$C$13:$C$488,'In-out-bal products (155)(완성제품)'!B29,'JUNE (물량흐름)'!$X$13:$X$488)</f>
        <v>0</v>
      </c>
      <c r="Z29" s="58">
        <f t="shared" si="14"/>
        <v>0</v>
      </c>
      <c r="AA29" s="58">
        <f t="shared" si="15"/>
        <v>0</v>
      </c>
      <c r="AB29" s="58"/>
      <c r="AC29" s="58"/>
      <c r="AD29" s="61"/>
      <c r="AE29" s="58">
        <f t="shared" si="16"/>
        <v>0</v>
      </c>
      <c r="AF29" s="58">
        <f t="shared" si="17"/>
        <v>0</v>
      </c>
      <c r="AG29" s="61">
        <f t="shared" si="18"/>
        <v>0</v>
      </c>
      <c r="AH29" s="58">
        <v>0</v>
      </c>
      <c r="AI29" s="58">
        <v>0</v>
      </c>
      <c r="AJ29" s="61">
        <v>0</v>
      </c>
      <c r="AK29" s="58"/>
      <c r="AL29" s="58"/>
      <c r="AM29" s="61"/>
      <c r="AN29" s="61">
        <f t="shared" si="19"/>
        <v>0</v>
      </c>
      <c r="AO29" s="58">
        <f t="shared" si="20"/>
        <v>0</v>
      </c>
      <c r="AP29" s="61">
        <f t="shared" si="21"/>
        <v>0</v>
      </c>
      <c r="AQ29" s="58">
        <f t="shared" si="22"/>
        <v>144</v>
      </c>
      <c r="AR29" s="58">
        <f t="shared" si="23"/>
        <v>29889.979166666668</v>
      </c>
      <c r="AS29" s="58">
        <f t="shared" si="24"/>
        <v>4304157</v>
      </c>
      <c r="AT29" s="58">
        <f>ROUND(SUMIF('JUNE (물량흐름)'!$C$13:$C$502,'In-out-bal products (155)(완성제품)'!B29,'JUNE (물량흐름)'!$AB$13:$AB$502),0)</f>
        <v>0</v>
      </c>
      <c r="AU29" s="58">
        <f t="shared" si="25"/>
        <v>0</v>
      </c>
      <c r="AV29" s="58">
        <f>ROUND(SUMIF('JUNE (물량흐름)'!$C$13:$C$502,'In-out-bal products (155)(완성제품)'!B29,'JUNE (물량흐름)'!$AC$13:$AC$502),0)</f>
        <v>144</v>
      </c>
      <c r="AW29" s="58">
        <f t="shared" si="26"/>
        <v>4304157</v>
      </c>
      <c r="AX29" s="376">
        <f t="shared" si="27"/>
        <v>0</v>
      </c>
      <c r="AY29" s="377">
        <f t="shared" si="28"/>
        <v>0</v>
      </c>
      <c r="AZ29" s="377">
        <f t="shared" si="29"/>
        <v>0</v>
      </c>
      <c r="BA29" s="377">
        <f t="shared" si="30"/>
        <v>0</v>
      </c>
      <c r="BB29" s="377"/>
      <c r="BC29" s="377">
        <f t="shared" si="31"/>
        <v>0</v>
      </c>
      <c r="BD29" s="377">
        <f t="shared" si="32"/>
        <v>0</v>
      </c>
      <c r="BE29" s="377"/>
      <c r="BF29" s="377">
        <f t="shared" si="33"/>
        <v>0</v>
      </c>
      <c r="BG29" s="433">
        <f t="shared" si="34"/>
        <v>0</v>
      </c>
      <c r="BH29" s="434">
        <f t="shared" si="35"/>
        <v>0</v>
      </c>
    </row>
    <row r="30" spans="1:60" s="378" customFormat="1">
      <c r="A30" s="167">
        <v>19</v>
      </c>
      <c r="B30" s="253">
        <f>VLOOKUP(A30,'JUNE (물량흐름)'!$A$13:$C$493,3,0)</f>
        <v>100004400</v>
      </c>
      <c r="C30" s="57" t="str">
        <f>VLOOKUP(A30,'JUNE (물량흐름)'!$A$13:$C$493,2,0)</f>
        <v>ALFANI</v>
      </c>
      <c r="D30" s="58">
        <f>IFERROR(VLOOKUP(B30,O.B.JUNE!$V$7:$Y$448,2,0),0)</f>
        <v>0</v>
      </c>
      <c r="E30" s="58">
        <f>IFERROR(VLOOKUP(B30,O.B.JUNE!$V$7:$X$448,3,0),0)</f>
        <v>0</v>
      </c>
      <c r="F30" s="58">
        <f>IFERROR(VLOOKUP(B30,O.B.JUNE!$V$7:$Y$448,4,0),0)</f>
        <v>0</v>
      </c>
      <c r="G30" s="58">
        <f>SUMIF('JUNE (물량흐름)'!$C$13:$C$493,'In-out-bal products (155)(완성제품)'!B30,'JUNE (물량흐름)'!$V$13:$V$493)</f>
        <v>0</v>
      </c>
      <c r="H30" s="58">
        <f>SUMIF('JUNE (물량흐름)'!$C$13:$C$493,'In-out-bal products (155)(완성제품)'!B30,'JUNE (물량흐름)'!$T$13:$T$493)-SUMIF('JUNE (물량흐름)'!$C$13:$C$493,'In-out-bal products (155)(완성제품)'!B30,'JUNE (물량흐름)'!$Y$13:$Y$493)+SUMIF('JUNE (물량흐름)'!$C$13:$C$493,'In-out-bal products (155)(완성제품)'!B30,'JUNE (물량흐름)'!$U$13:$U$493)</f>
        <v>66</v>
      </c>
      <c r="I30" s="58">
        <f t="shared" si="6"/>
        <v>69358.378787878784</v>
      </c>
      <c r="J30" s="58">
        <f>SUMIF('Direct labour(직접노무비)'!$C$12:$C$503,'In-out-bal products (155)(완성제품)'!B30,'Direct labour(직접노무비)'!$Q$12:$Q$503)</f>
        <v>1905620</v>
      </c>
      <c r="K30" s="59">
        <f>SUMIF('Overhead exp(제조경비)'!$C$12:$C$503,'In-out-bal products (155)(완성제품)'!B30,'Overhead exp(제조경비)'!$Q$12:$Q$503)</f>
        <v>2672033</v>
      </c>
      <c r="L30" s="58">
        <f t="shared" si="7"/>
        <v>4577653</v>
      </c>
      <c r="M30" s="58">
        <f>SUMIF('JUNE (물량흐름)'!$C$13:$C$488,'In-out-bal products (155)(완성제품)'!B30,'JUNE (물량흐름)'!$Y$13:$Y$488)</f>
        <v>0</v>
      </c>
      <c r="N30" s="58">
        <f t="shared" si="8"/>
        <v>0</v>
      </c>
      <c r="O30" s="58">
        <f>SUMIF('Direct labour(직접노무비)'!$C$12:$C$503,'In-out-bal products (155)(완성제품)'!B30,'Direct labour(직접노무비)'!$U$12:$U$503)+SUMIF('Overhead exp(제조경비)'!$C$12:$C$503,'In-out-bal products (155)(완성제품)'!B30,'Overhead exp(제조경비)'!$U$12:$U$503)</f>
        <v>0</v>
      </c>
      <c r="P30" s="60">
        <f t="shared" si="9"/>
        <v>66</v>
      </c>
      <c r="Q30" s="60">
        <f t="shared" si="10"/>
        <v>69358.378787878784</v>
      </c>
      <c r="R30" s="60">
        <f t="shared" si="11"/>
        <v>4577653</v>
      </c>
      <c r="S30" s="58">
        <v>0</v>
      </c>
      <c r="T30" s="58">
        <v>0</v>
      </c>
      <c r="U30" s="58">
        <v>0</v>
      </c>
      <c r="V30" s="58">
        <f>SUMIF('JUNE (물량흐름)'!$C$13:$C$493,'In-out-bal products (155)(완성제품)'!B30,'JUNE (물량흐름)'!$W$13:$W$493)</f>
        <v>0</v>
      </c>
      <c r="W30" s="58">
        <f t="shared" si="12"/>
        <v>0</v>
      </c>
      <c r="X30" s="58">
        <f t="shared" si="13"/>
        <v>0</v>
      </c>
      <c r="Y30" s="58">
        <f>SUMIF('JUNE (물량흐름)'!$C$13:$C$488,'In-out-bal products (155)(완성제품)'!B30,'JUNE (물량흐름)'!$X$13:$X$488)</f>
        <v>0</v>
      </c>
      <c r="Z30" s="58">
        <f t="shared" si="14"/>
        <v>0</v>
      </c>
      <c r="AA30" s="58">
        <f t="shared" si="15"/>
        <v>0</v>
      </c>
      <c r="AB30" s="58"/>
      <c r="AC30" s="58"/>
      <c r="AD30" s="61"/>
      <c r="AE30" s="58">
        <f t="shared" si="16"/>
        <v>0</v>
      </c>
      <c r="AF30" s="58">
        <f t="shared" si="17"/>
        <v>0</v>
      </c>
      <c r="AG30" s="61">
        <f t="shared" si="18"/>
        <v>0</v>
      </c>
      <c r="AH30" s="58">
        <v>0</v>
      </c>
      <c r="AI30" s="58">
        <v>0</v>
      </c>
      <c r="AJ30" s="61">
        <v>0</v>
      </c>
      <c r="AK30" s="58"/>
      <c r="AL30" s="58"/>
      <c r="AM30" s="61"/>
      <c r="AN30" s="61">
        <f t="shared" si="19"/>
        <v>0</v>
      </c>
      <c r="AO30" s="58">
        <f t="shared" si="20"/>
        <v>0</v>
      </c>
      <c r="AP30" s="61">
        <f t="shared" si="21"/>
        <v>0</v>
      </c>
      <c r="AQ30" s="58">
        <f t="shared" si="22"/>
        <v>66</v>
      </c>
      <c r="AR30" s="58">
        <f t="shared" si="23"/>
        <v>69358.378787878784</v>
      </c>
      <c r="AS30" s="58">
        <f t="shared" si="24"/>
        <v>4577653</v>
      </c>
      <c r="AT30" s="58">
        <f>ROUND(SUMIF('JUNE (물량흐름)'!$C$13:$C$502,'In-out-bal products (155)(완성제품)'!B30,'JUNE (물량흐름)'!$AB$13:$AB$502),0)</f>
        <v>0</v>
      </c>
      <c r="AU30" s="58">
        <f t="shared" si="25"/>
        <v>0</v>
      </c>
      <c r="AV30" s="58">
        <f>ROUND(SUMIF('JUNE (물량흐름)'!$C$13:$C$502,'In-out-bal products (155)(완성제품)'!B30,'JUNE (물량흐름)'!$AC$13:$AC$502),0)</f>
        <v>66</v>
      </c>
      <c r="AW30" s="58">
        <f t="shared" si="26"/>
        <v>4577653</v>
      </c>
      <c r="AX30" s="376">
        <f t="shared" si="27"/>
        <v>0</v>
      </c>
      <c r="AY30" s="377">
        <f t="shared" si="28"/>
        <v>0</v>
      </c>
      <c r="AZ30" s="377">
        <f t="shared" si="29"/>
        <v>0</v>
      </c>
      <c r="BA30" s="377">
        <f t="shared" si="30"/>
        <v>0</v>
      </c>
      <c r="BB30" s="377"/>
      <c r="BC30" s="377">
        <f t="shared" si="31"/>
        <v>0</v>
      </c>
      <c r="BD30" s="377">
        <f t="shared" si="32"/>
        <v>0</v>
      </c>
      <c r="BE30" s="377"/>
      <c r="BF30" s="377">
        <f t="shared" si="33"/>
        <v>0</v>
      </c>
      <c r="BG30" s="433">
        <f t="shared" si="34"/>
        <v>0</v>
      </c>
      <c r="BH30" s="434">
        <f t="shared" si="35"/>
        <v>0</v>
      </c>
    </row>
    <row r="31" spans="1:60" s="378" customFormat="1">
      <c r="A31" s="167">
        <v>20</v>
      </c>
      <c r="B31" s="253">
        <f>VLOOKUP(A31,'JUNE (물량흐름)'!$A$13:$C$493,3,0)</f>
        <v>100008889</v>
      </c>
      <c r="C31" s="57" t="str">
        <f>VLOOKUP(A31,'JUNE (물량흐름)'!$A$13:$C$493,2,0)</f>
        <v>ALFANI</v>
      </c>
      <c r="D31" s="58">
        <f>IFERROR(VLOOKUP(B31,O.B.JUNE!$V$7:$Y$448,2,0),0)</f>
        <v>0</v>
      </c>
      <c r="E31" s="58">
        <f>IFERROR(VLOOKUP(B31,O.B.JUNE!$V$7:$X$448,3,0),0)</f>
        <v>0</v>
      </c>
      <c r="F31" s="58">
        <f>IFERROR(VLOOKUP(B31,O.B.JUNE!$V$7:$Y$448,4,0),0)</f>
        <v>0</v>
      </c>
      <c r="G31" s="58">
        <f>SUMIF('JUNE (물량흐름)'!$C$13:$C$493,'In-out-bal products (155)(완성제품)'!B31,'JUNE (물량흐름)'!$V$13:$V$493)</f>
        <v>0</v>
      </c>
      <c r="H31" s="58">
        <f>SUMIF('JUNE (물량흐름)'!$C$13:$C$493,'In-out-bal products (155)(완성제품)'!B31,'JUNE (물량흐름)'!$T$13:$T$493)-SUMIF('JUNE (물량흐름)'!$C$13:$C$493,'In-out-bal products (155)(완성제품)'!B31,'JUNE (물량흐름)'!$Y$13:$Y$493)+SUMIF('JUNE (물량흐름)'!$C$13:$C$493,'In-out-bal products (155)(완성제품)'!B31,'JUNE (물량흐름)'!$U$13:$U$493)</f>
        <v>164</v>
      </c>
      <c r="I31" s="58">
        <f t="shared" si="6"/>
        <v>33997.957317073167</v>
      </c>
      <c r="J31" s="58">
        <f>SUMIF('Direct labour(직접노무비)'!$C$12:$C$503,'In-out-bal products (155)(완성제품)'!B31,'Direct labour(직접노무비)'!$Q$12:$Q$503)</f>
        <v>2334808</v>
      </c>
      <c r="K31" s="59">
        <f>SUMIF('Overhead exp(제조경비)'!$C$12:$C$503,'In-out-bal products (155)(완성제품)'!B31,'Overhead exp(제조경비)'!$Q$12:$Q$503)</f>
        <v>3240857</v>
      </c>
      <c r="L31" s="58">
        <f t="shared" si="7"/>
        <v>5575665</v>
      </c>
      <c r="M31" s="58">
        <f>SUMIF('JUNE (물량흐름)'!$C$13:$C$488,'In-out-bal products (155)(완성제품)'!B31,'JUNE (물량흐름)'!$Y$13:$Y$488)</f>
        <v>0</v>
      </c>
      <c r="N31" s="58">
        <f t="shared" si="8"/>
        <v>0</v>
      </c>
      <c r="O31" s="58">
        <f>SUMIF('Direct labour(직접노무비)'!$C$12:$C$503,'In-out-bal products (155)(완성제품)'!B31,'Direct labour(직접노무비)'!$U$12:$U$503)+SUMIF('Overhead exp(제조경비)'!$C$12:$C$503,'In-out-bal products (155)(완성제품)'!B31,'Overhead exp(제조경비)'!$U$12:$U$503)</f>
        <v>0</v>
      </c>
      <c r="P31" s="60">
        <f t="shared" si="9"/>
        <v>164</v>
      </c>
      <c r="Q31" s="60">
        <f t="shared" si="10"/>
        <v>33997.957317073167</v>
      </c>
      <c r="R31" s="60">
        <f t="shared" si="11"/>
        <v>5575665</v>
      </c>
      <c r="S31" s="58">
        <v>0</v>
      </c>
      <c r="T31" s="58">
        <v>0</v>
      </c>
      <c r="U31" s="58">
        <v>0</v>
      </c>
      <c r="V31" s="58">
        <f>SUMIF('JUNE (물량흐름)'!$C$13:$C$493,'In-out-bal products (155)(완성제품)'!B31,'JUNE (물량흐름)'!$W$13:$W$493)</f>
        <v>0</v>
      </c>
      <c r="W31" s="58">
        <f t="shared" si="12"/>
        <v>0</v>
      </c>
      <c r="X31" s="58">
        <f t="shared" si="13"/>
        <v>0</v>
      </c>
      <c r="Y31" s="58">
        <f>SUMIF('JUNE (물량흐름)'!$C$13:$C$488,'In-out-bal products (155)(완성제품)'!B31,'JUNE (물량흐름)'!$X$13:$X$488)</f>
        <v>0</v>
      </c>
      <c r="Z31" s="58">
        <f t="shared" si="14"/>
        <v>0</v>
      </c>
      <c r="AA31" s="58">
        <f t="shared" si="15"/>
        <v>0</v>
      </c>
      <c r="AB31" s="58"/>
      <c r="AC31" s="58"/>
      <c r="AD31" s="61"/>
      <c r="AE31" s="58">
        <f t="shared" si="16"/>
        <v>0</v>
      </c>
      <c r="AF31" s="58">
        <f t="shared" si="17"/>
        <v>0</v>
      </c>
      <c r="AG31" s="61">
        <f t="shared" si="18"/>
        <v>0</v>
      </c>
      <c r="AH31" s="58">
        <v>0</v>
      </c>
      <c r="AI31" s="58">
        <v>0</v>
      </c>
      <c r="AJ31" s="61">
        <v>0</v>
      </c>
      <c r="AK31" s="58"/>
      <c r="AL31" s="58"/>
      <c r="AM31" s="61"/>
      <c r="AN31" s="61">
        <f t="shared" si="19"/>
        <v>0</v>
      </c>
      <c r="AO31" s="58">
        <f t="shared" si="20"/>
        <v>0</v>
      </c>
      <c r="AP31" s="61">
        <f t="shared" si="21"/>
        <v>0</v>
      </c>
      <c r="AQ31" s="58">
        <f t="shared" si="22"/>
        <v>164</v>
      </c>
      <c r="AR31" s="58">
        <f t="shared" si="23"/>
        <v>33997.957317073167</v>
      </c>
      <c r="AS31" s="58">
        <f t="shared" si="24"/>
        <v>5575665</v>
      </c>
      <c r="AT31" s="58">
        <f>ROUND(SUMIF('JUNE (물량흐름)'!$C$13:$C$502,'In-out-bal products (155)(완성제품)'!B31,'JUNE (물량흐름)'!$AB$13:$AB$502),0)</f>
        <v>0</v>
      </c>
      <c r="AU31" s="58">
        <f t="shared" si="25"/>
        <v>0</v>
      </c>
      <c r="AV31" s="58">
        <f>ROUND(SUMIF('JUNE (물량흐름)'!$C$13:$C$502,'In-out-bal products (155)(완성제품)'!B31,'JUNE (물량흐름)'!$AC$13:$AC$502),0)</f>
        <v>164</v>
      </c>
      <c r="AW31" s="58">
        <f t="shared" si="26"/>
        <v>5575665</v>
      </c>
      <c r="AX31" s="376">
        <f t="shared" si="27"/>
        <v>0</v>
      </c>
      <c r="AY31" s="377">
        <f t="shared" si="28"/>
        <v>0</v>
      </c>
      <c r="AZ31" s="377">
        <f t="shared" si="29"/>
        <v>0</v>
      </c>
      <c r="BA31" s="377">
        <f t="shared" si="30"/>
        <v>0</v>
      </c>
      <c r="BB31" s="377"/>
      <c r="BC31" s="377">
        <f t="shared" si="31"/>
        <v>0</v>
      </c>
      <c r="BD31" s="377">
        <f t="shared" si="32"/>
        <v>0</v>
      </c>
      <c r="BE31" s="377"/>
      <c r="BF31" s="377">
        <f t="shared" si="33"/>
        <v>0</v>
      </c>
      <c r="BG31" s="433">
        <f t="shared" si="34"/>
        <v>0</v>
      </c>
      <c r="BH31" s="434">
        <f t="shared" si="35"/>
        <v>0</v>
      </c>
    </row>
    <row r="32" spans="1:60" s="378" customFormat="1">
      <c r="A32" s="167">
        <v>21</v>
      </c>
      <c r="B32" s="253">
        <f>VLOOKUP(A32,'JUNE (물량흐름)'!$A$13:$C$493,3,0)</f>
        <v>100010579</v>
      </c>
      <c r="C32" s="57" t="str">
        <f>VLOOKUP(A32,'JUNE (물량흐름)'!$A$13:$C$493,2,0)</f>
        <v>ALFANI</v>
      </c>
      <c r="D32" s="58">
        <f>IFERROR(VLOOKUP(B32,O.B.JUNE!$V$7:$Y$448,2,0),0)</f>
        <v>8641</v>
      </c>
      <c r="E32" s="58">
        <f>IFERROR(VLOOKUP(B32,O.B.JUNE!$V$7:$X$448,3,0),0)</f>
        <v>39227.542182617755</v>
      </c>
      <c r="F32" s="58">
        <f>IFERROR(VLOOKUP(B32,O.B.JUNE!$V$7:$Y$448,4,0),0)</f>
        <v>338965192</v>
      </c>
      <c r="G32" s="58">
        <f>SUMIF('JUNE (물량흐름)'!$C$13:$C$493,'In-out-bal products (155)(완성제품)'!B32,'JUNE (물량흐름)'!$V$13:$V$493)</f>
        <v>0</v>
      </c>
      <c r="H32" s="58">
        <f>SUMIF('JUNE (물량흐름)'!$C$13:$C$493,'In-out-bal products (155)(완성제품)'!B32,'JUNE (물량흐름)'!$T$13:$T$493)-SUMIF('JUNE (물량흐름)'!$C$13:$C$493,'In-out-bal products (155)(완성제품)'!B32,'JUNE (물량흐름)'!$Y$13:$Y$493)+SUMIF('JUNE (물량흐름)'!$C$13:$C$493,'In-out-bal products (155)(완성제품)'!B32,'JUNE (물량흐름)'!$U$13:$U$493)</f>
        <v>1367</v>
      </c>
      <c r="I32" s="58">
        <f t="shared" si="6"/>
        <v>41981.997805413317</v>
      </c>
      <c r="J32" s="58">
        <f>SUMIF('Direct labour(직접노무비)'!$C$12:$C$503,'In-out-bal products (155)(완성제품)'!B32,'Direct labour(직접노무비)'!$Q$12:$Q$503)</f>
        <v>19468504</v>
      </c>
      <c r="K32" s="59">
        <f>SUMIF('Overhead exp(제조경비)'!$C$12:$C$503,'In-out-bal products (155)(완성제품)'!B32,'Overhead exp(제조경비)'!$Q$12:$Q$503)</f>
        <v>37920887</v>
      </c>
      <c r="L32" s="58">
        <f t="shared" si="7"/>
        <v>57389391</v>
      </c>
      <c r="M32" s="58">
        <f>SUMIF('JUNE (물량흐름)'!$C$13:$C$488,'In-out-bal products (155)(완성제품)'!B32,'JUNE (물량흐름)'!$Y$13:$Y$488)</f>
        <v>0</v>
      </c>
      <c r="N32" s="58">
        <f t="shared" si="8"/>
        <v>0</v>
      </c>
      <c r="O32" s="58">
        <f>SUMIF('Direct labour(직접노무비)'!$C$12:$C$503,'In-out-bal products (155)(완성제품)'!B32,'Direct labour(직접노무비)'!$U$12:$U$503)+SUMIF('Overhead exp(제조경비)'!$C$12:$C$503,'In-out-bal products (155)(완성제품)'!B32,'Overhead exp(제조경비)'!$U$12:$U$503)</f>
        <v>0</v>
      </c>
      <c r="P32" s="60">
        <f t="shared" si="9"/>
        <v>1367</v>
      </c>
      <c r="Q32" s="60">
        <f t="shared" si="10"/>
        <v>41981.997805413317</v>
      </c>
      <c r="R32" s="60">
        <f t="shared" si="11"/>
        <v>57389391</v>
      </c>
      <c r="S32" s="58">
        <v>0</v>
      </c>
      <c r="T32" s="58">
        <v>0</v>
      </c>
      <c r="U32" s="58">
        <v>0</v>
      </c>
      <c r="V32" s="58">
        <f>SUMIF('JUNE (물량흐름)'!$C$13:$C$493,'In-out-bal products (155)(완성제품)'!B32,'JUNE (물량흐름)'!$W$13:$W$493)</f>
        <v>9137</v>
      </c>
      <c r="W32" s="58">
        <f t="shared" si="12"/>
        <v>39603.775309182442</v>
      </c>
      <c r="X32" s="58">
        <f t="shared" si="13"/>
        <v>361859695</v>
      </c>
      <c r="Y32" s="58">
        <f>SUMIF('JUNE (물량흐름)'!$C$13:$C$488,'In-out-bal products (155)(완성제품)'!B32,'JUNE (물량흐름)'!$X$13:$X$488)</f>
        <v>0</v>
      </c>
      <c r="Z32" s="58">
        <f t="shared" si="14"/>
        <v>0</v>
      </c>
      <c r="AA32" s="58">
        <f t="shared" si="15"/>
        <v>0</v>
      </c>
      <c r="AB32" s="58"/>
      <c r="AC32" s="58"/>
      <c r="AD32" s="61"/>
      <c r="AE32" s="58">
        <f t="shared" si="16"/>
        <v>0</v>
      </c>
      <c r="AF32" s="58">
        <f t="shared" si="17"/>
        <v>0</v>
      </c>
      <c r="AG32" s="61">
        <f t="shared" si="18"/>
        <v>0</v>
      </c>
      <c r="AH32" s="58">
        <v>0</v>
      </c>
      <c r="AI32" s="58">
        <v>0</v>
      </c>
      <c r="AJ32" s="61">
        <v>0</v>
      </c>
      <c r="AK32" s="58"/>
      <c r="AL32" s="58"/>
      <c r="AM32" s="61"/>
      <c r="AN32" s="61">
        <f t="shared" si="19"/>
        <v>9137</v>
      </c>
      <c r="AO32" s="58">
        <f t="shared" si="20"/>
        <v>39603.775309182442</v>
      </c>
      <c r="AP32" s="61">
        <f t="shared" si="21"/>
        <v>361859695</v>
      </c>
      <c r="AQ32" s="58">
        <f t="shared" si="22"/>
        <v>871</v>
      </c>
      <c r="AR32" s="58">
        <f t="shared" si="23"/>
        <v>39603.77497129736</v>
      </c>
      <c r="AS32" s="58">
        <f t="shared" si="24"/>
        <v>34494888</v>
      </c>
      <c r="AT32" s="58">
        <f>ROUND(SUMIF('JUNE (물량흐름)'!$C$13:$C$502,'In-out-bal products (155)(완성제품)'!B32,'JUNE (물량흐름)'!$AB$13:$AB$502),0)</f>
        <v>850</v>
      </c>
      <c r="AU32" s="58">
        <f t="shared" si="25"/>
        <v>33663209</v>
      </c>
      <c r="AV32" s="58">
        <f>ROUND(SUMIF('JUNE (물량흐름)'!$C$13:$C$502,'In-out-bal products (155)(완성제품)'!B32,'JUNE (물량흐름)'!$AC$13:$AC$502),0)</f>
        <v>21</v>
      </c>
      <c r="AW32" s="58">
        <f t="shared" si="26"/>
        <v>831679</v>
      </c>
      <c r="AX32" s="376">
        <f t="shared" si="27"/>
        <v>0</v>
      </c>
      <c r="AY32" s="377">
        <f t="shared" si="28"/>
        <v>0</v>
      </c>
      <c r="AZ32" s="377">
        <f t="shared" si="29"/>
        <v>0</v>
      </c>
      <c r="BA32" s="377">
        <f t="shared" si="30"/>
        <v>0</v>
      </c>
      <c r="BB32" s="377"/>
      <c r="BC32" s="377">
        <f t="shared" si="31"/>
        <v>0</v>
      </c>
      <c r="BD32" s="377">
        <f t="shared" si="32"/>
        <v>0</v>
      </c>
      <c r="BE32" s="377"/>
      <c r="BF32" s="377">
        <f t="shared" si="33"/>
        <v>0</v>
      </c>
      <c r="BG32" s="433">
        <f t="shared" si="34"/>
        <v>361859695</v>
      </c>
      <c r="BH32" s="434">
        <f t="shared" si="35"/>
        <v>0</v>
      </c>
    </row>
    <row r="33" spans="1:60" s="378" customFormat="1">
      <c r="A33" s="167">
        <v>22</v>
      </c>
      <c r="B33" s="253">
        <f>VLOOKUP(A33,'JUNE (물량흐름)'!$A$13:$C$493,3,0)</f>
        <v>174034722</v>
      </c>
      <c r="C33" s="57" t="str">
        <f>VLOOKUP(A33,'JUNE (물량흐름)'!$A$13:$C$493,2,0)</f>
        <v>TALBOTS</v>
      </c>
      <c r="D33" s="58">
        <f>IFERROR(VLOOKUP(B33,O.B.JUNE!$V$7:$Y$448,2,0),0)</f>
        <v>0</v>
      </c>
      <c r="E33" s="58">
        <f>IFERROR(VLOOKUP(B33,O.B.JUNE!$V$7:$X$448,3,0),0)</f>
        <v>0</v>
      </c>
      <c r="F33" s="58">
        <f>IFERROR(VLOOKUP(B33,O.B.JUNE!$V$7:$Y$448,4,0),0)</f>
        <v>0</v>
      </c>
      <c r="G33" s="58">
        <f>SUMIF('JUNE (물량흐름)'!$C$13:$C$493,'In-out-bal products (155)(완성제품)'!B33,'JUNE (물량흐름)'!$V$13:$V$493)</f>
        <v>0</v>
      </c>
      <c r="H33" s="58">
        <f>SUMIF('JUNE (물량흐름)'!$C$13:$C$493,'In-out-bal products (155)(완성제품)'!B33,'JUNE (물량흐름)'!$T$13:$T$493)-SUMIF('JUNE (물량흐름)'!$C$13:$C$493,'In-out-bal products (155)(완성제품)'!B33,'JUNE (물량흐름)'!$Y$13:$Y$493)+SUMIF('JUNE (물량흐름)'!$C$13:$C$493,'In-out-bal products (155)(완성제품)'!B33,'JUNE (물량흐름)'!$U$13:$U$493)</f>
        <v>182</v>
      </c>
      <c r="I33" s="58">
        <f t="shared" si="6"/>
        <v>59076.302197802201</v>
      </c>
      <c r="J33" s="58">
        <f>SUMIF('Direct labour(직접노무비)'!$C$12:$C$503,'In-out-bal products (155)(완성제품)'!B33,'Direct labour(직접노무비)'!$Q$12:$Q$503)</f>
        <v>4500604</v>
      </c>
      <c r="K33" s="59">
        <f>SUMIF('Overhead exp(제조경비)'!$C$12:$C$503,'In-out-bal products (155)(완성제품)'!B33,'Overhead exp(제조경비)'!$Q$12:$Q$503)</f>
        <v>6251283</v>
      </c>
      <c r="L33" s="58">
        <f t="shared" si="7"/>
        <v>10751887</v>
      </c>
      <c r="M33" s="58">
        <f>SUMIF('JUNE (물량흐름)'!$C$13:$C$488,'In-out-bal products (155)(완성제품)'!B33,'JUNE (물량흐름)'!$Y$13:$Y$488)</f>
        <v>0</v>
      </c>
      <c r="N33" s="58">
        <f t="shared" si="8"/>
        <v>0</v>
      </c>
      <c r="O33" s="58">
        <f>SUMIF('Direct labour(직접노무비)'!$C$12:$C$503,'In-out-bal products (155)(완성제품)'!B33,'Direct labour(직접노무비)'!$U$12:$U$503)+SUMIF('Overhead exp(제조경비)'!$C$12:$C$503,'In-out-bal products (155)(완성제품)'!B33,'Overhead exp(제조경비)'!$U$12:$U$503)</f>
        <v>0</v>
      </c>
      <c r="P33" s="60">
        <f t="shared" si="9"/>
        <v>182</v>
      </c>
      <c r="Q33" s="60">
        <f t="shared" si="10"/>
        <v>59076.302197802201</v>
      </c>
      <c r="R33" s="60">
        <f t="shared" si="11"/>
        <v>10751887</v>
      </c>
      <c r="S33" s="58">
        <v>0</v>
      </c>
      <c r="T33" s="58">
        <v>0</v>
      </c>
      <c r="U33" s="58">
        <v>0</v>
      </c>
      <c r="V33" s="58">
        <f>SUMIF('JUNE (물량흐름)'!$C$13:$C$493,'In-out-bal products (155)(완성제품)'!B33,'JUNE (물량흐름)'!$W$13:$W$493)</f>
        <v>0</v>
      </c>
      <c r="W33" s="58">
        <f t="shared" si="12"/>
        <v>0</v>
      </c>
      <c r="X33" s="58">
        <f t="shared" si="13"/>
        <v>0</v>
      </c>
      <c r="Y33" s="58">
        <f>SUMIF('JUNE (물량흐름)'!$C$13:$C$488,'In-out-bal products (155)(완성제품)'!B33,'JUNE (물량흐름)'!$X$13:$X$488)</f>
        <v>0</v>
      </c>
      <c r="Z33" s="58">
        <f t="shared" si="14"/>
        <v>0</v>
      </c>
      <c r="AA33" s="58">
        <f t="shared" si="15"/>
        <v>0</v>
      </c>
      <c r="AB33" s="58"/>
      <c r="AC33" s="58"/>
      <c r="AD33" s="61"/>
      <c r="AE33" s="58">
        <f t="shared" si="16"/>
        <v>0</v>
      </c>
      <c r="AF33" s="58">
        <f t="shared" si="17"/>
        <v>0</v>
      </c>
      <c r="AG33" s="61">
        <f t="shared" si="18"/>
        <v>0</v>
      </c>
      <c r="AH33" s="58">
        <v>0</v>
      </c>
      <c r="AI33" s="58">
        <v>0</v>
      </c>
      <c r="AJ33" s="61">
        <v>0</v>
      </c>
      <c r="AK33" s="58"/>
      <c r="AL33" s="58"/>
      <c r="AM33" s="61"/>
      <c r="AN33" s="61">
        <f t="shared" si="19"/>
        <v>0</v>
      </c>
      <c r="AO33" s="58">
        <f t="shared" si="20"/>
        <v>0</v>
      </c>
      <c r="AP33" s="61">
        <f t="shared" si="21"/>
        <v>0</v>
      </c>
      <c r="AQ33" s="58">
        <f t="shared" si="22"/>
        <v>182</v>
      </c>
      <c r="AR33" s="58">
        <f t="shared" si="23"/>
        <v>59076.302197802201</v>
      </c>
      <c r="AS33" s="58">
        <f t="shared" si="24"/>
        <v>10751887</v>
      </c>
      <c r="AT33" s="58">
        <f>ROUND(SUMIF('JUNE (물량흐름)'!$C$13:$C$502,'In-out-bal products (155)(완성제품)'!B33,'JUNE (물량흐름)'!$AB$13:$AB$502),0)</f>
        <v>0</v>
      </c>
      <c r="AU33" s="58">
        <f t="shared" si="25"/>
        <v>0</v>
      </c>
      <c r="AV33" s="58">
        <f>ROUND(SUMIF('JUNE (물량흐름)'!$C$13:$C$502,'In-out-bal products (155)(완성제품)'!B33,'JUNE (물량흐름)'!$AC$13:$AC$502),0)</f>
        <v>182</v>
      </c>
      <c r="AW33" s="58">
        <f t="shared" si="26"/>
        <v>10751887</v>
      </c>
      <c r="AX33" s="376">
        <f t="shared" si="27"/>
        <v>0</v>
      </c>
      <c r="AY33" s="377">
        <f t="shared" si="28"/>
        <v>0</v>
      </c>
      <c r="AZ33" s="377">
        <f t="shared" si="29"/>
        <v>0</v>
      </c>
      <c r="BA33" s="377">
        <f t="shared" si="30"/>
        <v>0</v>
      </c>
      <c r="BB33" s="377"/>
      <c r="BC33" s="377">
        <f t="shared" si="31"/>
        <v>0</v>
      </c>
      <c r="BD33" s="377">
        <f t="shared" si="32"/>
        <v>0</v>
      </c>
      <c r="BE33" s="377"/>
      <c r="BF33" s="377">
        <f t="shared" si="33"/>
        <v>0</v>
      </c>
      <c r="BG33" s="433">
        <f t="shared" si="34"/>
        <v>0</v>
      </c>
      <c r="BH33" s="434">
        <f t="shared" si="35"/>
        <v>0</v>
      </c>
    </row>
    <row r="34" spans="1:60" s="378" customFormat="1">
      <c r="A34" s="167">
        <v>23</v>
      </c>
      <c r="B34" s="253">
        <f>VLOOKUP(A34,'JUNE (물량흐름)'!$A$13:$C$493,3,0)</f>
        <v>174034719</v>
      </c>
      <c r="C34" s="57" t="str">
        <f>VLOOKUP(A34,'JUNE (물량흐름)'!$A$13:$C$493,2,0)</f>
        <v>TALBOTS</v>
      </c>
      <c r="D34" s="58">
        <f>IFERROR(VLOOKUP(B34,O.B.JUNE!$V$7:$Y$448,2,0),0)</f>
        <v>0</v>
      </c>
      <c r="E34" s="58">
        <f>IFERROR(VLOOKUP(B34,O.B.JUNE!$V$7:$X$448,3,0),0)</f>
        <v>0</v>
      </c>
      <c r="F34" s="58">
        <f>IFERROR(VLOOKUP(B34,O.B.JUNE!$V$7:$Y$448,4,0),0)</f>
        <v>0</v>
      </c>
      <c r="G34" s="58">
        <f>SUMIF('JUNE (물량흐름)'!$C$13:$C$493,'In-out-bal products (155)(완성제품)'!B34,'JUNE (물량흐름)'!$V$13:$V$493)</f>
        <v>0</v>
      </c>
      <c r="H34" s="58">
        <f>SUMIF('JUNE (물량흐름)'!$C$13:$C$493,'In-out-bal products (155)(완성제품)'!B34,'JUNE (물량흐름)'!$T$13:$T$493)-SUMIF('JUNE (물량흐름)'!$C$13:$C$493,'In-out-bal products (155)(완성제품)'!B34,'JUNE (물량흐름)'!$Y$13:$Y$493)+SUMIF('JUNE (물량흐름)'!$C$13:$C$493,'In-out-bal products (155)(완성제품)'!B34,'JUNE (물량흐름)'!$U$13:$U$493)</f>
        <v>129</v>
      </c>
      <c r="I34" s="58">
        <f t="shared" si="6"/>
        <v>56313.263565891473</v>
      </c>
      <c r="J34" s="58">
        <f>SUMIF('Direct labour(직접노무비)'!$C$12:$C$503,'In-out-bal products (155)(완성제품)'!B34,'Direct labour(직접노무비)'!$Q$12:$Q$503)</f>
        <v>2903453</v>
      </c>
      <c r="K34" s="59">
        <f>SUMIF('Overhead exp(제조경비)'!$C$12:$C$503,'In-out-bal products (155)(완성제품)'!B34,'Overhead exp(제조경비)'!$Q$12:$Q$503)</f>
        <v>4360958</v>
      </c>
      <c r="L34" s="58">
        <f t="shared" si="7"/>
        <v>7264411</v>
      </c>
      <c r="M34" s="58">
        <f>SUMIF('JUNE (물량흐름)'!$C$13:$C$488,'In-out-bal products (155)(완성제품)'!B34,'JUNE (물량흐름)'!$Y$13:$Y$488)</f>
        <v>0</v>
      </c>
      <c r="N34" s="58">
        <f t="shared" si="8"/>
        <v>0</v>
      </c>
      <c r="O34" s="58">
        <f>SUMIF('Direct labour(직접노무비)'!$C$12:$C$503,'In-out-bal products (155)(완성제품)'!B34,'Direct labour(직접노무비)'!$U$12:$U$503)+SUMIF('Overhead exp(제조경비)'!$C$12:$C$503,'In-out-bal products (155)(완성제품)'!B34,'Overhead exp(제조경비)'!$U$12:$U$503)</f>
        <v>0</v>
      </c>
      <c r="P34" s="60">
        <f t="shared" si="9"/>
        <v>129</v>
      </c>
      <c r="Q34" s="60">
        <f t="shared" si="10"/>
        <v>56313.263565891473</v>
      </c>
      <c r="R34" s="60">
        <f t="shared" si="11"/>
        <v>7264411</v>
      </c>
      <c r="S34" s="58">
        <v>0</v>
      </c>
      <c r="T34" s="58">
        <v>0</v>
      </c>
      <c r="U34" s="58">
        <v>0</v>
      </c>
      <c r="V34" s="58">
        <f>SUMIF('JUNE (물량흐름)'!$C$13:$C$493,'In-out-bal products (155)(완성제품)'!B34,'JUNE (물량흐름)'!$W$13:$W$493)</f>
        <v>0</v>
      </c>
      <c r="W34" s="58">
        <f t="shared" si="12"/>
        <v>0</v>
      </c>
      <c r="X34" s="58">
        <f t="shared" si="13"/>
        <v>0</v>
      </c>
      <c r="Y34" s="58">
        <f>SUMIF('JUNE (물량흐름)'!$C$13:$C$488,'In-out-bal products (155)(완성제품)'!B34,'JUNE (물량흐름)'!$X$13:$X$488)</f>
        <v>0</v>
      </c>
      <c r="Z34" s="58">
        <f t="shared" si="14"/>
        <v>0</v>
      </c>
      <c r="AA34" s="58">
        <f t="shared" si="15"/>
        <v>0</v>
      </c>
      <c r="AB34" s="58"/>
      <c r="AC34" s="58"/>
      <c r="AD34" s="61"/>
      <c r="AE34" s="58">
        <f t="shared" si="16"/>
        <v>0</v>
      </c>
      <c r="AF34" s="58">
        <f t="shared" si="17"/>
        <v>0</v>
      </c>
      <c r="AG34" s="61">
        <f t="shared" si="18"/>
        <v>0</v>
      </c>
      <c r="AH34" s="58">
        <v>0</v>
      </c>
      <c r="AI34" s="58">
        <v>0</v>
      </c>
      <c r="AJ34" s="61">
        <v>0</v>
      </c>
      <c r="AK34" s="58"/>
      <c r="AL34" s="58"/>
      <c r="AM34" s="61"/>
      <c r="AN34" s="61">
        <f t="shared" si="19"/>
        <v>0</v>
      </c>
      <c r="AO34" s="58">
        <f t="shared" si="20"/>
        <v>0</v>
      </c>
      <c r="AP34" s="61">
        <f t="shared" si="21"/>
        <v>0</v>
      </c>
      <c r="AQ34" s="58">
        <f t="shared" si="22"/>
        <v>129</v>
      </c>
      <c r="AR34" s="58">
        <f t="shared" si="23"/>
        <v>56313.263565891473</v>
      </c>
      <c r="AS34" s="58">
        <f t="shared" si="24"/>
        <v>7264411</v>
      </c>
      <c r="AT34" s="58">
        <f>ROUND(SUMIF('JUNE (물량흐름)'!$C$13:$C$502,'In-out-bal products (155)(완성제품)'!B34,'JUNE (물량흐름)'!$AB$13:$AB$502),0)</f>
        <v>0</v>
      </c>
      <c r="AU34" s="58">
        <f t="shared" si="25"/>
        <v>0</v>
      </c>
      <c r="AV34" s="58">
        <f>ROUND(SUMIF('JUNE (물량흐름)'!$C$13:$C$502,'In-out-bal products (155)(완성제품)'!B34,'JUNE (물량흐름)'!$AC$13:$AC$502),0)</f>
        <v>129</v>
      </c>
      <c r="AW34" s="58">
        <f t="shared" si="26"/>
        <v>7264411</v>
      </c>
      <c r="AX34" s="376">
        <f t="shared" si="27"/>
        <v>0</v>
      </c>
      <c r="AY34" s="377">
        <f t="shared" si="28"/>
        <v>0</v>
      </c>
      <c r="AZ34" s="377">
        <f t="shared" si="29"/>
        <v>0</v>
      </c>
      <c r="BA34" s="377">
        <f t="shared" si="30"/>
        <v>0</v>
      </c>
      <c r="BB34" s="377"/>
      <c r="BC34" s="377">
        <f t="shared" si="31"/>
        <v>0</v>
      </c>
      <c r="BD34" s="377">
        <f t="shared" si="32"/>
        <v>0</v>
      </c>
      <c r="BE34" s="377"/>
      <c r="BF34" s="377">
        <f t="shared" si="33"/>
        <v>0</v>
      </c>
      <c r="BG34" s="433">
        <f t="shared" si="34"/>
        <v>0</v>
      </c>
      <c r="BH34" s="434">
        <f t="shared" si="35"/>
        <v>0</v>
      </c>
    </row>
    <row r="35" spans="1:60" s="378" customFormat="1">
      <c r="A35" s="167">
        <v>24</v>
      </c>
      <c r="B35" s="253">
        <f>VLOOKUP(A35,'JUNE (물량흐름)'!$A$13:$C$493,3,0)</f>
        <v>174034721</v>
      </c>
      <c r="C35" s="57" t="str">
        <f>VLOOKUP(A35,'JUNE (물량흐름)'!$A$13:$C$493,2,0)</f>
        <v>TALBOTS</v>
      </c>
      <c r="D35" s="58">
        <f>IFERROR(VLOOKUP(B35,O.B.JUNE!$V$7:$Y$448,2,0),0)</f>
        <v>0</v>
      </c>
      <c r="E35" s="58">
        <f>IFERROR(VLOOKUP(B35,O.B.JUNE!$V$7:$X$448,3,0),0)</f>
        <v>0</v>
      </c>
      <c r="F35" s="58">
        <f>IFERROR(VLOOKUP(B35,O.B.JUNE!$V$7:$Y$448,4,0),0)</f>
        <v>0</v>
      </c>
      <c r="G35" s="58">
        <f>SUMIF('JUNE (물량흐름)'!$C$13:$C$493,'In-out-bal products (155)(완성제품)'!B35,'JUNE (물량흐름)'!$V$13:$V$493)</f>
        <v>0</v>
      </c>
      <c r="H35" s="58">
        <f>SUMIF('JUNE (물량흐름)'!$C$13:$C$493,'In-out-bal products (155)(완성제품)'!B35,'JUNE (물량흐름)'!$T$13:$T$493)-SUMIF('JUNE (물량흐름)'!$C$13:$C$493,'In-out-bal products (155)(완성제품)'!B35,'JUNE (물량흐름)'!$Y$13:$Y$493)+SUMIF('JUNE (물량흐름)'!$C$13:$C$493,'In-out-bal products (155)(완성제품)'!B35,'JUNE (물량흐름)'!$U$13:$U$493)</f>
        <v>109</v>
      </c>
      <c r="I35" s="58">
        <f t="shared" si="6"/>
        <v>68393.899082568809</v>
      </c>
      <c r="J35" s="58">
        <f>SUMIF('Direct labour(직접노무비)'!$C$12:$C$503,'In-out-bal products (155)(완성제품)'!B35,'Direct labour(직접노무비)'!$Q$12:$Q$503)</f>
        <v>2979602</v>
      </c>
      <c r="K35" s="59">
        <f>SUMIF('Overhead exp(제조경비)'!$C$12:$C$503,'In-out-bal products (155)(완성제품)'!B35,'Overhead exp(제조경비)'!$Q$12:$Q$503)</f>
        <v>4475333</v>
      </c>
      <c r="L35" s="58">
        <f t="shared" si="7"/>
        <v>7454935</v>
      </c>
      <c r="M35" s="58">
        <f>SUMIF('JUNE (물량흐름)'!$C$13:$C$488,'In-out-bal products (155)(완성제품)'!B35,'JUNE (물량흐름)'!$Y$13:$Y$488)</f>
        <v>0</v>
      </c>
      <c r="N35" s="58">
        <f t="shared" si="8"/>
        <v>0</v>
      </c>
      <c r="O35" s="58">
        <f>SUMIF('Direct labour(직접노무비)'!$C$12:$C$503,'In-out-bal products (155)(완성제품)'!B35,'Direct labour(직접노무비)'!$U$12:$U$503)+SUMIF('Overhead exp(제조경비)'!$C$12:$C$503,'In-out-bal products (155)(완성제품)'!B35,'Overhead exp(제조경비)'!$U$12:$U$503)</f>
        <v>0</v>
      </c>
      <c r="P35" s="60">
        <f t="shared" si="9"/>
        <v>109</v>
      </c>
      <c r="Q35" s="60">
        <f t="shared" si="10"/>
        <v>68393.899082568809</v>
      </c>
      <c r="R35" s="60">
        <f t="shared" si="11"/>
        <v>7454935</v>
      </c>
      <c r="S35" s="58">
        <v>0</v>
      </c>
      <c r="T35" s="58">
        <v>0</v>
      </c>
      <c r="U35" s="58">
        <v>0</v>
      </c>
      <c r="V35" s="58">
        <f>SUMIF('JUNE (물량흐름)'!$C$13:$C$493,'In-out-bal products (155)(완성제품)'!B35,'JUNE (물량흐름)'!$W$13:$W$493)</f>
        <v>0</v>
      </c>
      <c r="W35" s="58">
        <f t="shared" si="12"/>
        <v>0</v>
      </c>
      <c r="X35" s="58">
        <f t="shared" si="13"/>
        <v>0</v>
      </c>
      <c r="Y35" s="58">
        <f>SUMIF('JUNE (물량흐름)'!$C$13:$C$488,'In-out-bal products (155)(완성제품)'!B35,'JUNE (물량흐름)'!$X$13:$X$488)</f>
        <v>0</v>
      </c>
      <c r="Z35" s="58">
        <f t="shared" si="14"/>
        <v>0</v>
      </c>
      <c r="AA35" s="58">
        <f t="shared" si="15"/>
        <v>0</v>
      </c>
      <c r="AB35" s="58"/>
      <c r="AC35" s="58"/>
      <c r="AD35" s="61"/>
      <c r="AE35" s="58">
        <f t="shared" si="16"/>
        <v>0</v>
      </c>
      <c r="AF35" s="58">
        <f t="shared" si="17"/>
        <v>0</v>
      </c>
      <c r="AG35" s="61">
        <f t="shared" si="18"/>
        <v>0</v>
      </c>
      <c r="AH35" s="58">
        <v>0</v>
      </c>
      <c r="AI35" s="58">
        <v>0</v>
      </c>
      <c r="AJ35" s="61">
        <v>0</v>
      </c>
      <c r="AK35" s="58"/>
      <c r="AL35" s="58"/>
      <c r="AM35" s="61"/>
      <c r="AN35" s="61">
        <f t="shared" si="19"/>
        <v>0</v>
      </c>
      <c r="AO35" s="58">
        <f t="shared" si="20"/>
        <v>0</v>
      </c>
      <c r="AP35" s="61">
        <f t="shared" si="21"/>
        <v>0</v>
      </c>
      <c r="AQ35" s="58">
        <f t="shared" si="22"/>
        <v>109</v>
      </c>
      <c r="AR35" s="58">
        <f t="shared" si="23"/>
        <v>68393.899082568809</v>
      </c>
      <c r="AS35" s="58">
        <f t="shared" si="24"/>
        <v>7454935</v>
      </c>
      <c r="AT35" s="58">
        <f>ROUND(SUMIF('JUNE (물량흐름)'!$C$13:$C$502,'In-out-bal products (155)(완성제품)'!B35,'JUNE (물량흐름)'!$AB$13:$AB$502),0)</f>
        <v>0</v>
      </c>
      <c r="AU35" s="58">
        <f t="shared" si="25"/>
        <v>0</v>
      </c>
      <c r="AV35" s="58">
        <f>ROUND(SUMIF('JUNE (물량흐름)'!$C$13:$C$502,'In-out-bal products (155)(완성제품)'!B35,'JUNE (물량흐름)'!$AC$13:$AC$502),0)</f>
        <v>109</v>
      </c>
      <c r="AW35" s="58">
        <f t="shared" si="26"/>
        <v>7454935</v>
      </c>
      <c r="AX35" s="376">
        <f t="shared" si="27"/>
        <v>0</v>
      </c>
      <c r="AY35" s="377">
        <f t="shared" si="28"/>
        <v>0</v>
      </c>
      <c r="AZ35" s="377">
        <f t="shared" si="29"/>
        <v>0</v>
      </c>
      <c r="BA35" s="377">
        <f t="shared" si="30"/>
        <v>0</v>
      </c>
      <c r="BB35" s="377"/>
      <c r="BC35" s="377">
        <f t="shared" si="31"/>
        <v>0</v>
      </c>
      <c r="BD35" s="377">
        <f t="shared" si="32"/>
        <v>0</v>
      </c>
      <c r="BE35" s="377"/>
      <c r="BF35" s="377">
        <f t="shared" si="33"/>
        <v>0</v>
      </c>
      <c r="BG35" s="433">
        <f t="shared" si="34"/>
        <v>0</v>
      </c>
      <c r="BH35" s="434">
        <f t="shared" si="35"/>
        <v>0</v>
      </c>
    </row>
    <row r="36" spans="1:60" s="378" customFormat="1">
      <c r="A36" s="167">
        <v>25</v>
      </c>
      <c r="B36" s="253">
        <f>VLOOKUP(A36,'JUNE (물량흐름)'!$A$13:$C$493,3,0)</f>
        <v>100003226</v>
      </c>
      <c r="C36" s="57" t="str">
        <f>VLOOKUP(A36,'JUNE (물량흐름)'!$A$13:$C$493,2,0)</f>
        <v>ALFANI</v>
      </c>
      <c r="D36" s="58">
        <f>IFERROR(VLOOKUP(B36,O.B.JUNE!$V$7:$Y$448,2,0),0)</f>
        <v>0</v>
      </c>
      <c r="E36" s="58">
        <f>IFERROR(VLOOKUP(B36,O.B.JUNE!$V$7:$X$448,3,0),0)</f>
        <v>0</v>
      </c>
      <c r="F36" s="58">
        <f>IFERROR(VLOOKUP(B36,O.B.JUNE!$V$7:$Y$448,4,0),0)</f>
        <v>0</v>
      </c>
      <c r="G36" s="58">
        <f>SUMIF('JUNE (물량흐름)'!$C$13:$C$493,'In-out-bal products (155)(완성제품)'!B36,'JUNE (물량흐름)'!$V$13:$V$493)</f>
        <v>0</v>
      </c>
      <c r="H36" s="58">
        <f>SUMIF('JUNE (물량흐름)'!$C$13:$C$493,'In-out-bal products (155)(완성제품)'!B36,'JUNE (물량흐름)'!$T$13:$T$493)-SUMIF('JUNE (물량흐름)'!$C$13:$C$493,'In-out-bal products (155)(완성제품)'!B36,'JUNE (물량흐름)'!$Y$13:$Y$493)+SUMIF('JUNE (물량흐름)'!$C$13:$C$493,'In-out-bal products (155)(완성제품)'!B36,'JUNE (물량흐름)'!$U$13:$U$493)</f>
        <v>101</v>
      </c>
      <c r="I36" s="58">
        <f t="shared" si="6"/>
        <v>65931.475247524751</v>
      </c>
      <c r="J36" s="58">
        <f>SUMIF('Direct labour(직접노무비)'!$C$12:$C$503,'In-out-bal products (155)(완성제품)'!B36,'Direct labour(직접노무비)'!$Q$12:$Q$503)</f>
        <v>2661513</v>
      </c>
      <c r="K36" s="59">
        <f>SUMIF('Overhead exp(제조경비)'!$C$12:$C$503,'In-out-bal products (155)(완성제품)'!B36,'Overhead exp(제조경비)'!$Q$12:$Q$503)</f>
        <v>3997566</v>
      </c>
      <c r="L36" s="58">
        <f t="shared" si="7"/>
        <v>6659079</v>
      </c>
      <c r="M36" s="58">
        <f>SUMIF('JUNE (물량흐름)'!$C$13:$C$488,'In-out-bal products (155)(완성제품)'!B36,'JUNE (물량흐름)'!$Y$13:$Y$488)</f>
        <v>0</v>
      </c>
      <c r="N36" s="58">
        <f t="shared" si="8"/>
        <v>0</v>
      </c>
      <c r="O36" s="58">
        <f>SUMIF('Direct labour(직접노무비)'!$C$12:$C$503,'In-out-bal products (155)(완성제품)'!B36,'Direct labour(직접노무비)'!$U$12:$U$503)+SUMIF('Overhead exp(제조경비)'!$C$12:$C$503,'In-out-bal products (155)(완성제품)'!B36,'Overhead exp(제조경비)'!$U$12:$U$503)</f>
        <v>0</v>
      </c>
      <c r="P36" s="60">
        <f t="shared" si="9"/>
        <v>101</v>
      </c>
      <c r="Q36" s="60">
        <f t="shared" si="10"/>
        <v>65931.475247524751</v>
      </c>
      <c r="R36" s="60">
        <f t="shared" si="11"/>
        <v>6659079</v>
      </c>
      <c r="S36" s="58">
        <v>0</v>
      </c>
      <c r="T36" s="58">
        <v>0</v>
      </c>
      <c r="U36" s="58">
        <v>0</v>
      </c>
      <c r="V36" s="58">
        <f>SUMIF('JUNE (물량흐름)'!$C$13:$C$493,'In-out-bal products (155)(완성제품)'!B36,'JUNE (물량흐름)'!$W$13:$W$493)</f>
        <v>0</v>
      </c>
      <c r="W36" s="58">
        <f t="shared" si="12"/>
        <v>0</v>
      </c>
      <c r="X36" s="58">
        <f t="shared" si="13"/>
        <v>0</v>
      </c>
      <c r="Y36" s="58">
        <f>SUMIF('JUNE (물량흐름)'!$C$13:$C$488,'In-out-bal products (155)(완성제품)'!B36,'JUNE (물량흐름)'!$X$13:$X$488)</f>
        <v>0</v>
      </c>
      <c r="Z36" s="58">
        <f t="shared" si="14"/>
        <v>0</v>
      </c>
      <c r="AA36" s="58">
        <f t="shared" si="15"/>
        <v>0</v>
      </c>
      <c r="AB36" s="58"/>
      <c r="AC36" s="58"/>
      <c r="AD36" s="61"/>
      <c r="AE36" s="58">
        <f t="shared" si="16"/>
        <v>0</v>
      </c>
      <c r="AF36" s="58">
        <f t="shared" si="17"/>
        <v>0</v>
      </c>
      <c r="AG36" s="61">
        <f t="shared" si="18"/>
        <v>0</v>
      </c>
      <c r="AH36" s="58">
        <v>0</v>
      </c>
      <c r="AI36" s="58">
        <v>0</v>
      </c>
      <c r="AJ36" s="61">
        <v>0</v>
      </c>
      <c r="AK36" s="58"/>
      <c r="AL36" s="58"/>
      <c r="AM36" s="61"/>
      <c r="AN36" s="61">
        <f t="shared" si="19"/>
        <v>0</v>
      </c>
      <c r="AO36" s="58">
        <f t="shared" si="20"/>
        <v>0</v>
      </c>
      <c r="AP36" s="61">
        <f t="shared" si="21"/>
        <v>0</v>
      </c>
      <c r="AQ36" s="58">
        <f t="shared" si="22"/>
        <v>101</v>
      </c>
      <c r="AR36" s="58">
        <f t="shared" si="23"/>
        <v>65931.475247524751</v>
      </c>
      <c r="AS36" s="58">
        <f t="shared" si="24"/>
        <v>6659079</v>
      </c>
      <c r="AT36" s="58">
        <f>ROUND(SUMIF('JUNE (물량흐름)'!$C$13:$C$502,'In-out-bal products (155)(완성제품)'!B36,'JUNE (물량흐름)'!$AB$13:$AB$502),0)</f>
        <v>0</v>
      </c>
      <c r="AU36" s="58">
        <f t="shared" si="25"/>
        <v>0</v>
      </c>
      <c r="AV36" s="58">
        <f>ROUND(SUMIF('JUNE (물량흐름)'!$C$13:$C$502,'In-out-bal products (155)(완성제품)'!B36,'JUNE (물량흐름)'!$AC$13:$AC$502),0)</f>
        <v>101</v>
      </c>
      <c r="AW36" s="58">
        <f t="shared" si="26"/>
        <v>6659079</v>
      </c>
      <c r="AX36" s="376">
        <f t="shared" si="27"/>
        <v>0</v>
      </c>
      <c r="AY36" s="377">
        <f t="shared" si="28"/>
        <v>0</v>
      </c>
      <c r="AZ36" s="377">
        <f t="shared" si="29"/>
        <v>0</v>
      </c>
      <c r="BA36" s="377">
        <f t="shared" si="30"/>
        <v>0</v>
      </c>
      <c r="BB36" s="377"/>
      <c r="BC36" s="377">
        <f t="shared" si="31"/>
        <v>0</v>
      </c>
      <c r="BD36" s="377">
        <f t="shared" si="32"/>
        <v>0</v>
      </c>
      <c r="BE36" s="377"/>
      <c r="BF36" s="377">
        <f t="shared" si="33"/>
        <v>0</v>
      </c>
      <c r="BG36" s="433">
        <f t="shared" si="34"/>
        <v>0</v>
      </c>
      <c r="BH36" s="434">
        <f t="shared" si="35"/>
        <v>0</v>
      </c>
    </row>
    <row r="37" spans="1:60" s="378" customFormat="1">
      <c r="A37" s="167">
        <v>26</v>
      </c>
      <c r="B37" s="253">
        <f>VLOOKUP(A37,'JUNE (물량흐름)'!$A$13:$C$493,3,0)</f>
        <v>174034717</v>
      </c>
      <c r="C37" s="57" t="str">
        <f>VLOOKUP(A37,'JUNE (물량흐름)'!$A$13:$C$493,2,0)</f>
        <v>TALBOTS</v>
      </c>
      <c r="D37" s="58">
        <f>IFERROR(VLOOKUP(B37,O.B.JUNE!$V$7:$Y$448,2,0),0)</f>
        <v>0</v>
      </c>
      <c r="E37" s="58">
        <f>IFERROR(VLOOKUP(B37,O.B.JUNE!$V$7:$X$448,3,0),0)</f>
        <v>0</v>
      </c>
      <c r="F37" s="58">
        <f>IFERROR(VLOOKUP(B37,O.B.JUNE!$V$7:$Y$448,4,0),0)</f>
        <v>0</v>
      </c>
      <c r="G37" s="58">
        <f>SUMIF('JUNE (물량흐름)'!$C$13:$C$493,'In-out-bal products (155)(완성제품)'!B37,'JUNE (물량흐름)'!$V$13:$V$493)</f>
        <v>0</v>
      </c>
      <c r="H37" s="58">
        <f>SUMIF('JUNE (물량흐름)'!$C$13:$C$493,'In-out-bal products (155)(완성제품)'!B37,'JUNE (물량흐름)'!$T$13:$T$493)-SUMIF('JUNE (물량흐름)'!$C$13:$C$493,'In-out-bal products (155)(완성제품)'!B37,'JUNE (물량흐름)'!$Y$13:$Y$493)+SUMIF('JUNE (물량흐름)'!$C$13:$C$493,'In-out-bal products (155)(완성제품)'!B37,'JUNE (물량흐름)'!$U$13:$U$493)</f>
        <v>99</v>
      </c>
      <c r="I37" s="58">
        <f t="shared" si="6"/>
        <v>80449.505050505046</v>
      </c>
      <c r="J37" s="58">
        <f>SUMIF('Direct labour(직접노무비)'!$C$12:$C$503,'In-out-bal products (155)(완성제품)'!B37,'Direct labour(직접노무비)'!$Q$12:$Q$503)</f>
        <v>3183266</v>
      </c>
      <c r="K37" s="59">
        <f>SUMIF('Overhead exp(제조경비)'!$C$12:$C$503,'In-out-bal products (155)(완성제품)'!B37,'Overhead exp(제조경비)'!$Q$12:$Q$503)</f>
        <v>4781235</v>
      </c>
      <c r="L37" s="58">
        <f t="shared" si="7"/>
        <v>7964501</v>
      </c>
      <c r="M37" s="58">
        <f>SUMIF('JUNE (물량흐름)'!$C$13:$C$488,'In-out-bal products (155)(완성제품)'!B37,'JUNE (물량흐름)'!$Y$13:$Y$488)</f>
        <v>0</v>
      </c>
      <c r="N37" s="58">
        <f t="shared" si="8"/>
        <v>0</v>
      </c>
      <c r="O37" s="58">
        <f>SUMIF('Direct labour(직접노무비)'!$C$12:$C$503,'In-out-bal products (155)(완성제품)'!B37,'Direct labour(직접노무비)'!$U$12:$U$503)+SUMIF('Overhead exp(제조경비)'!$C$12:$C$503,'In-out-bal products (155)(완성제품)'!B37,'Overhead exp(제조경비)'!$U$12:$U$503)</f>
        <v>0</v>
      </c>
      <c r="P37" s="60">
        <f t="shared" si="9"/>
        <v>99</v>
      </c>
      <c r="Q37" s="60">
        <f t="shared" si="10"/>
        <v>80449.505050505046</v>
      </c>
      <c r="R37" s="60">
        <f t="shared" si="11"/>
        <v>7964501</v>
      </c>
      <c r="S37" s="58">
        <v>0</v>
      </c>
      <c r="T37" s="58">
        <v>0</v>
      </c>
      <c r="U37" s="58">
        <v>0</v>
      </c>
      <c r="V37" s="58">
        <f>SUMIF('JUNE (물량흐름)'!$C$13:$C$493,'In-out-bal products (155)(완성제품)'!B37,'JUNE (물량흐름)'!$W$13:$W$493)</f>
        <v>0</v>
      </c>
      <c r="W37" s="58">
        <f t="shared" si="12"/>
        <v>0</v>
      </c>
      <c r="X37" s="58">
        <f t="shared" si="13"/>
        <v>0</v>
      </c>
      <c r="Y37" s="58">
        <f>SUMIF('JUNE (물량흐름)'!$C$13:$C$488,'In-out-bal products (155)(완성제품)'!B37,'JUNE (물량흐름)'!$X$13:$X$488)</f>
        <v>0</v>
      </c>
      <c r="Z37" s="58">
        <f t="shared" si="14"/>
        <v>0</v>
      </c>
      <c r="AA37" s="58">
        <f t="shared" si="15"/>
        <v>0</v>
      </c>
      <c r="AB37" s="58"/>
      <c r="AC37" s="58"/>
      <c r="AD37" s="61"/>
      <c r="AE37" s="58">
        <f t="shared" si="16"/>
        <v>0</v>
      </c>
      <c r="AF37" s="58">
        <f t="shared" si="17"/>
        <v>0</v>
      </c>
      <c r="AG37" s="61">
        <f t="shared" si="18"/>
        <v>0</v>
      </c>
      <c r="AH37" s="58">
        <v>0</v>
      </c>
      <c r="AI37" s="58">
        <v>0</v>
      </c>
      <c r="AJ37" s="61">
        <v>0</v>
      </c>
      <c r="AK37" s="58"/>
      <c r="AL37" s="58"/>
      <c r="AM37" s="61"/>
      <c r="AN37" s="61">
        <f t="shared" si="19"/>
        <v>0</v>
      </c>
      <c r="AO37" s="58">
        <f t="shared" si="20"/>
        <v>0</v>
      </c>
      <c r="AP37" s="61">
        <f t="shared" si="21"/>
        <v>0</v>
      </c>
      <c r="AQ37" s="58">
        <f t="shared" si="22"/>
        <v>99</v>
      </c>
      <c r="AR37" s="58">
        <f t="shared" si="23"/>
        <v>80449.505050505046</v>
      </c>
      <c r="AS37" s="58">
        <f t="shared" si="24"/>
        <v>7964501</v>
      </c>
      <c r="AT37" s="58">
        <f>ROUND(SUMIF('JUNE (물량흐름)'!$C$13:$C$502,'In-out-bal products (155)(완성제품)'!B37,'JUNE (물량흐름)'!$AB$13:$AB$502),0)</f>
        <v>0</v>
      </c>
      <c r="AU37" s="58">
        <f t="shared" si="25"/>
        <v>0</v>
      </c>
      <c r="AV37" s="58">
        <f>ROUND(SUMIF('JUNE (물량흐름)'!$C$13:$C$502,'In-out-bal products (155)(완성제품)'!B37,'JUNE (물량흐름)'!$AC$13:$AC$502),0)</f>
        <v>99</v>
      </c>
      <c r="AW37" s="58">
        <f t="shared" si="26"/>
        <v>7964501</v>
      </c>
      <c r="AX37" s="376">
        <f t="shared" si="27"/>
        <v>0</v>
      </c>
      <c r="AY37" s="377">
        <f t="shared" si="28"/>
        <v>0</v>
      </c>
      <c r="AZ37" s="377">
        <f t="shared" si="29"/>
        <v>0</v>
      </c>
      <c r="BA37" s="377">
        <f t="shared" si="30"/>
        <v>0</v>
      </c>
      <c r="BB37" s="377"/>
      <c r="BC37" s="377">
        <f t="shared" si="31"/>
        <v>0</v>
      </c>
      <c r="BD37" s="377">
        <f t="shared" si="32"/>
        <v>0</v>
      </c>
      <c r="BE37" s="377"/>
      <c r="BF37" s="377">
        <f t="shared" si="33"/>
        <v>0</v>
      </c>
      <c r="BG37" s="433">
        <f t="shared" si="34"/>
        <v>0</v>
      </c>
      <c r="BH37" s="434">
        <f t="shared" si="35"/>
        <v>0</v>
      </c>
    </row>
    <row r="38" spans="1:60" s="378" customFormat="1">
      <c r="A38" s="167">
        <v>27</v>
      </c>
      <c r="B38" s="253" t="str">
        <f>VLOOKUP(A38,'JUNE (물량흐름)'!$A$13:$C$493,3,0)</f>
        <v>7N713</v>
      </c>
      <c r="C38" s="57" t="str">
        <f>VLOOKUP(A38,'JUNE (물량흐름)'!$A$13:$C$493,2,0)</f>
        <v>ALFANI</v>
      </c>
      <c r="D38" s="58">
        <f>IFERROR(VLOOKUP(B38,O.B.JUNE!$V$7:$Y$448,2,0),0)</f>
        <v>0</v>
      </c>
      <c r="E38" s="58">
        <f>IFERROR(VLOOKUP(B38,O.B.JUNE!$V$7:$X$448,3,0),0)</f>
        <v>0</v>
      </c>
      <c r="F38" s="58">
        <f>IFERROR(VLOOKUP(B38,O.B.JUNE!$V$7:$Y$448,4,0),0)</f>
        <v>0</v>
      </c>
      <c r="G38" s="58">
        <f>SUMIF('JUNE (물량흐름)'!$C$13:$C$493,'In-out-bal products (155)(완성제품)'!B38,'JUNE (물량흐름)'!$V$13:$V$493)</f>
        <v>0</v>
      </c>
      <c r="H38" s="58">
        <f>SUMIF('JUNE (물량흐름)'!$C$13:$C$493,'In-out-bal products (155)(완성제품)'!B38,'JUNE (물량흐름)'!$T$13:$T$493)-SUMIF('JUNE (물량흐름)'!$C$13:$C$493,'In-out-bal products (155)(완성제품)'!B38,'JUNE (물량흐름)'!$Y$13:$Y$493)+SUMIF('JUNE (물량흐름)'!$C$13:$C$493,'In-out-bal products (155)(완성제품)'!B38,'JUNE (물량흐름)'!$U$13:$U$493)</f>
        <v>0</v>
      </c>
      <c r="I38" s="58">
        <f t="shared" si="6"/>
        <v>0</v>
      </c>
      <c r="J38" s="58">
        <f>SUMIF('Direct labour(직접노무비)'!$C$12:$C$503,'In-out-bal products (155)(완성제품)'!B38,'Direct labour(직접노무비)'!$Q$12:$Q$503)</f>
        <v>0</v>
      </c>
      <c r="K38" s="59">
        <f>SUMIF('Overhead exp(제조경비)'!$C$12:$C$503,'In-out-bal products (155)(완성제품)'!B38,'Overhead exp(제조경비)'!$Q$12:$Q$503)</f>
        <v>0</v>
      </c>
      <c r="L38" s="58">
        <f t="shared" si="7"/>
        <v>0</v>
      </c>
      <c r="M38" s="58">
        <f>SUMIF('JUNE (물량흐름)'!$C$13:$C$488,'In-out-bal products (155)(완성제품)'!B38,'JUNE (물량흐름)'!$Y$13:$Y$488)</f>
        <v>0</v>
      </c>
      <c r="N38" s="58">
        <f t="shared" si="8"/>
        <v>0</v>
      </c>
      <c r="O38" s="58">
        <f>SUMIF('Direct labour(직접노무비)'!$C$12:$C$503,'In-out-bal products (155)(완성제품)'!B38,'Direct labour(직접노무비)'!$U$12:$U$503)+SUMIF('Overhead exp(제조경비)'!$C$12:$C$503,'In-out-bal products (155)(완성제품)'!B38,'Overhead exp(제조경비)'!$U$12:$U$503)</f>
        <v>0</v>
      </c>
      <c r="P38" s="60">
        <f t="shared" si="9"/>
        <v>0</v>
      </c>
      <c r="Q38" s="60">
        <f t="shared" si="10"/>
        <v>0</v>
      </c>
      <c r="R38" s="60">
        <f t="shared" si="11"/>
        <v>0</v>
      </c>
      <c r="S38" s="58">
        <v>0</v>
      </c>
      <c r="T38" s="58">
        <v>0</v>
      </c>
      <c r="U38" s="58">
        <v>0</v>
      </c>
      <c r="V38" s="58">
        <f>SUMIF('JUNE (물량흐름)'!$C$13:$C$493,'In-out-bal products (155)(완성제품)'!B38,'JUNE (물량흐름)'!$W$13:$W$493)</f>
        <v>0</v>
      </c>
      <c r="W38" s="58">
        <f t="shared" si="12"/>
        <v>0</v>
      </c>
      <c r="X38" s="58">
        <f t="shared" si="13"/>
        <v>0</v>
      </c>
      <c r="Y38" s="58">
        <f>SUMIF('JUNE (물량흐름)'!$C$13:$C$488,'In-out-bal products (155)(완성제품)'!B38,'JUNE (물량흐름)'!$X$13:$X$488)</f>
        <v>0</v>
      </c>
      <c r="Z38" s="58">
        <f t="shared" si="14"/>
        <v>0</v>
      </c>
      <c r="AA38" s="58">
        <f t="shared" si="15"/>
        <v>0</v>
      </c>
      <c r="AB38" s="58"/>
      <c r="AC38" s="58"/>
      <c r="AD38" s="61"/>
      <c r="AE38" s="58">
        <f t="shared" si="16"/>
        <v>0</v>
      </c>
      <c r="AF38" s="58">
        <f t="shared" si="17"/>
        <v>0</v>
      </c>
      <c r="AG38" s="61">
        <f t="shared" si="18"/>
        <v>0</v>
      </c>
      <c r="AH38" s="58">
        <v>0</v>
      </c>
      <c r="AI38" s="58">
        <v>0</v>
      </c>
      <c r="AJ38" s="61">
        <v>0</v>
      </c>
      <c r="AK38" s="58"/>
      <c r="AL38" s="58"/>
      <c r="AM38" s="61"/>
      <c r="AN38" s="61">
        <f t="shared" si="19"/>
        <v>0</v>
      </c>
      <c r="AO38" s="58">
        <f t="shared" si="20"/>
        <v>0</v>
      </c>
      <c r="AP38" s="61">
        <f t="shared" si="21"/>
        <v>0</v>
      </c>
      <c r="AQ38" s="58">
        <f t="shared" si="22"/>
        <v>0</v>
      </c>
      <c r="AR38" s="58">
        <f t="shared" si="23"/>
        <v>0</v>
      </c>
      <c r="AS38" s="58">
        <f t="shared" si="24"/>
        <v>0</v>
      </c>
      <c r="AT38" s="58">
        <f>ROUND(SUMIF('JUNE (물량흐름)'!$C$13:$C$502,'In-out-bal products (155)(완성제품)'!B38,'JUNE (물량흐름)'!$AB$13:$AB$502),0)</f>
        <v>0</v>
      </c>
      <c r="AU38" s="58">
        <f t="shared" si="25"/>
        <v>0</v>
      </c>
      <c r="AV38" s="58">
        <f>ROUND(SUMIF('JUNE (물량흐름)'!$C$13:$C$502,'In-out-bal products (155)(완성제품)'!B38,'JUNE (물량흐름)'!$AC$13:$AC$502),0)</f>
        <v>0</v>
      </c>
      <c r="AW38" s="58">
        <f t="shared" si="26"/>
        <v>0</v>
      </c>
      <c r="AX38" s="376">
        <f t="shared" si="27"/>
        <v>0</v>
      </c>
      <c r="AY38" s="377">
        <f t="shared" si="28"/>
        <v>0</v>
      </c>
      <c r="AZ38" s="377">
        <f t="shared" si="29"/>
        <v>0</v>
      </c>
      <c r="BA38" s="377">
        <f t="shared" si="30"/>
        <v>0</v>
      </c>
      <c r="BB38" s="377"/>
      <c r="BC38" s="377">
        <f t="shared" si="31"/>
        <v>0</v>
      </c>
      <c r="BD38" s="377">
        <f t="shared" si="32"/>
        <v>0</v>
      </c>
      <c r="BE38" s="377"/>
      <c r="BF38" s="377">
        <f t="shared" si="33"/>
        <v>0</v>
      </c>
      <c r="BG38" s="433">
        <f t="shared" si="34"/>
        <v>0</v>
      </c>
      <c r="BH38" s="434">
        <f t="shared" si="35"/>
        <v>0</v>
      </c>
    </row>
    <row r="39" spans="1:60" s="378" customFormat="1">
      <c r="A39" s="167">
        <v>28</v>
      </c>
      <c r="B39" s="253" t="str">
        <f>VLOOKUP(A39,'JUNE (물량흐름)'!$A$13:$C$493,3,0)</f>
        <v>RK368419MI</v>
      </c>
      <c r="C39" s="57" t="str">
        <f>VLOOKUP(A39,'JUNE (물량흐름)'!$A$13:$C$493,2,0)</f>
        <v>NORDSTROM</v>
      </c>
      <c r="D39" s="58">
        <f>IFERROR(VLOOKUP(B39,O.B.JUNE!$V$7:$Y$448,2,0),0)</f>
        <v>0</v>
      </c>
      <c r="E39" s="58">
        <f>IFERROR(VLOOKUP(B39,O.B.JUNE!$V$7:$X$448,3,0),0)</f>
        <v>0</v>
      </c>
      <c r="F39" s="58">
        <f>IFERROR(VLOOKUP(B39,O.B.JUNE!$V$7:$Y$448,4,0),0)</f>
        <v>0</v>
      </c>
      <c r="G39" s="58">
        <f>SUMIF('JUNE (물량흐름)'!$C$13:$C$493,'In-out-bal products (155)(완성제품)'!B39,'JUNE (물량흐름)'!$V$13:$V$493)</f>
        <v>0</v>
      </c>
      <c r="H39" s="58">
        <f>SUMIF('JUNE (물량흐름)'!$C$13:$C$493,'In-out-bal products (155)(완성제품)'!B39,'JUNE (물량흐름)'!$T$13:$T$493)-SUMIF('JUNE (물량흐름)'!$C$13:$C$493,'In-out-bal products (155)(완성제품)'!B39,'JUNE (물량흐름)'!$Y$13:$Y$493)+SUMIF('JUNE (물량흐름)'!$C$13:$C$493,'In-out-bal products (155)(완성제품)'!B39,'JUNE (물량흐름)'!$U$13:$U$493)</f>
        <v>71</v>
      </c>
      <c r="I39" s="58">
        <f t="shared" si="6"/>
        <v>66868.690140845065</v>
      </c>
      <c r="J39" s="58">
        <f>SUMIF('Direct labour(직접노무비)'!$C$12:$C$503,'In-out-bal products (155)(완성제품)'!B39,'Direct labour(직접노무비)'!$Q$12:$Q$503)</f>
        <v>1897560</v>
      </c>
      <c r="K39" s="59">
        <f>SUMIF('Overhead exp(제조경비)'!$C$12:$C$503,'In-out-bal products (155)(완성제품)'!B39,'Overhead exp(제조경비)'!$Q$12:$Q$503)</f>
        <v>2850117</v>
      </c>
      <c r="L39" s="58">
        <f t="shared" si="7"/>
        <v>4747677</v>
      </c>
      <c r="M39" s="58">
        <f>SUMIF('JUNE (물량흐름)'!$C$13:$C$488,'In-out-bal products (155)(완성제품)'!B39,'JUNE (물량흐름)'!$Y$13:$Y$488)</f>
        <v>0</v>
      </c>
      <c r="N39" s="58">
        <f t="shared" si="8"/>
        <v>0</v>
      </c>
      <c r="O39" s="58">
        <f>SUMIF('Direct labour(직접노무비)'!$C$12:$C$503,'In-out-bal products (155)(완성제품)'!B39,'Direct labour(직접노무비)'!$U$12:$U$503)+SUMIF('Overhead exp(제조경비)'!$C$12:$C$503,'In-out-bal products (155)(완성제품)'!B39,'Overhead exp(제조경비)'!$U$12:$U$503)</f>
        <v>0</v>
      </c>
      <c r="P39" s="60">
        <f t="shared" si="9"/>
        <v>71</v>
      </c>
      <c r="Q39" s="60">
        <f t="shared" si="10"/>
        <v>66868.690140845065</v>
      </c>
      <c r="R39" s="60">
        <f t="shared" si="11"/>
        <v>4747677</v>
      </c>
      <c r="S39" s="58">
        <v>0</v>
      </c>
      <c r="T39" s="58">
        <v>0</v>
      </c>
      <c r="U39" s="58">
        <v>0</v>
      </c>
      <c r="V39" s="58">
        <f>SUMIF('JUNE (물량흐름)'!$C$13:$C$493,'In-out-bal products (155)(완성제품)'!B39,'JUNE (물량흐름)'!$W$13:$W$493)</f>
        <v>0</v>
      </c>
      <c r="W39" s="58">
        <f t="shared" si="12"/>
        <v>0</v>
      </c>
      <c r="X39" s="58">
        <f t="shared" si="13"/>
        <v>0</v>
      </c>
      <c r="Y39" s="58">
        <f>SUMIF('JUNE (물량흐름)'!$C$13:$C$488,'In-out-bal products (155)(완성제품)'!B39,'JUNE (물량흐름)'!$X$13:$X$488)</f>
        <v>0</v>
      </c>
      <c r="Z39" s="58">
        <f t="shared" si="14"/>
        <v>0</v>
      </c>
      <c r="AA39" s="58">
        <f t="shared" si="15"/>
        <v>0</v>
      </c>
      <c r="AB39" s="58"/>
      <c r="AC39" s="58"/>
      <c r="AD39" s="61"/>
      <c r="AE39" s="58">
        <f t="shared" si="16"/>
        <v>0</v>
      </c>
      <c r="AF39" s="58">
        <f t="shared" si="17"/>
        <v>0</v>
      </c>
      <c r="AG39" s="61">
        <f t="shared" si="18"/>
        <v>0</v>
      </c>
      <c r="AH39" s="58">
        <v>0</v>
      </c>
      <c r="AI39" s="58">
        <v>0</v>
      </c>
      <c r="AJ39" s="61">
        <v>0</v>
      </c>
      <c r="AK39" s="58"/>
      <c r="AL39" s="58"/>
      <c r="AM39" s="61"/>
      <c r="AN39" s="61">
        <f t="shared" si="19"/>
        <v>0</v>
      </c>
      <c r="AO39" s="58">
        <f t="shared" si="20"/>
        <v>0</v>
      </c>
      <c r="AP39" s="61">
        <f t="shared" si="21"/>
        <v>0</v>
      </c>
      <c r="AQ39" s="58">
        <f t="shared" si="22"/>
        <v>71</v>
      </c>
      <c r="AR39" s="58">
        <f t="shared" si="23"/>
        <v>66868.690140845065</v>
      </c>
      <c r="AS39" s="58">
        <f t="shared" si="24"/>
        <v>4747677</v>
      </c>
      <c r="AT39" s="58">
        <f>ROUND(SUMIF('JUNE (물량흐름)'!$C$13:$C$502,'In-out-bal products (155)(완성제품)'!B39,'JUNE (물량흐름)'!$AB$13:$AB$502),0)</f>
        <v>0</v>
      </c>
      <c r="AU39" s="58">
        <f t="shared" si="25"/>
        <v>0</v>
      </c>
      <c r="AV39" s="58">
        <f>ROUND(SUMIF('JUNE (물량흐름)'!$C$13:$C$502,'In-out-bal products (155)(완성제품)'!B39,'JUNE (물량흐름)'!$AC$13:$AC$502),0)</f>
        <v>71</v>
      </c>
      <c r="AW39" s="58">
        <f t="shared" si="26"/>
        <v>4747677</v>
      </c>
      <c r="AX39" s="376">
        <f t="shared" si="27"/>
        <v>0</v>
      </c>
      <c r="AY39" s="377">
        <f t="shared" si="28"/>
        <v>0</v>
      </c>
      <c r="AZ39" s="377">
        <f t="shared" si="29"/>
        <v>0</v>
      </c>
      <c r="BA39" s="377">
        <f t="shared" si="30"/>
        <v>0</v>
      </c>
      <c r="BB39" s="377"/>
      <c r="BC39" s="377">
        <f t="shared" si="31"/>
        <v>0</v>
      </c>
      <c r="BD39" s="377">
        <f t="shared" si="32"/>
        <v>0</v>
      </c>
      <c r="BE39" s="377"/>
      <c r="BF39" s="377">
        <f t="shared" si="33"/>
        <v>0</v>
      </c>
      <c r="BG39" s="433">
        <f t="shared" si="34"/>
        <v>0</v>
      </c>
      <c r="BH39" s="434">
        <f t="shared" si="35"/>
        <v>0</v>
      </c>
    </row>
    <row r="40" spans="1:60" s="378" customFormat="1">
      <c r="A40" s="167">
        <v>29</v>
      </c>
      <c r="B40" s="253">
        <f>VLOOKUP(A40,'JUNE (물량흐름)'!$A$13:$C$493,3,0)</f>
        <v>453280</v>
      </c>
      <c r="C40" s="57" t="str">
        <f>VLOOKUP(A40,'JUNE (물량흐름)'!$A$13:$C$493,2,0)</f>
        <v>ANN TAYLOR</v>
      </c>
      <c r="D40" s="58">
        <f>IFERROR(VLOOKUP(B40,O.B.JUNE!$V$7:$Y$448,2,0),0)</f>
        <v>0</v>
      </c>
      <c r="E40" s="58">
        <f>IFERROR(VLOOKUP(B40,O.B.JUNE!$V$7:$X$448,3,0),0)</f>
        <v>0</v>
      </c>
      <c r="F40" s="58">
        <f>IFERROR(VLOOKUP(B40,O.B.JUNE!$V$7:$Y$448,4,0),0)</f>
        <v>0</v>
      </c>
      <c r="G40" s="58">
        <f>SUMIF('JUNE (물량흐름)'!$C$13:$C$493,'In-out-bal products (155)(완성제품)'!B40,'JUNE (물량흐름)'!$V$13:$V$493)</f>
        <v>0</v>
      </c>
      <c r="H40" s="58">
        <f>SUMIF('JUNE (물량흐름)'!$C$13:$C$493,'In-out-bal products (155)(완성제품)'!B40,'JUNE (물량흐름)'!$T$13:$T$493)-SUMIF('JUNE (물량흐름)'!$C$13:$C$493,'In-out-bal products (155)(완성제품)'!B40,'JUNE (물량흐름)'!$Y$13:$Y$493)+SUMIF('JUNE (물량흐름)'!$C$13:$C$493,'In-out-bal products (155)(완성제품)'!B40,'JUNE (물량흐름)'!$U$13:$U$493)</f>
        <v>196</v>
      </c>
      <c r="I40" s="58">
        <f t="shared" si="6"/>
        <v>32059.801020408162</v>
      </c>
      <c r="J40" s="58">
        <f>SUMIF('Direct labour(직접노무비)'!$C$12:$C$503,'In-out-bal products (155)(완성제품)'!B40,'Direct labour(직접노무비)'!$Q$12:$Q$503)</f>
        <v>2511489</v>
      </c>
      <c r="K40" s="59">
        <f>SUMIF('Overhead exp(제조경비)'!$C$12:$C$503,'In-out-bal products (155)(완성제품)'!B40,'Overhead exp(제조경비)'!$Q$12:$Q$503)</f>
        <v>3772232</v>
      </c>
      <c r="L40" s="58">
        <f t="shared" si="7"/>
        <v>6283721</v>
      </c>
      <c r="M40" s="58">
        <f>SUMIF('JUNE (물량흐름)'!$C$13:$C$488,'In-out-bal products (155)(완성제품)'!B40,'JUNE (물량흐름)'!$Y$13:$Y$488)</f>
        <v>0</v>
      </c>
      <c r="N40" s="58">
        <f t="shared" si="8"/>
        <v>0</v>
      </c>
      <c r="O40" s="58">
        <f>SUMIF('Direct labour(직접노무비)'!$C$12:$C$503,'In-out-bal products (155)(완성제품)'!B40,'Direct labour(직접노무비)'!$U$12:$U$503)+SUMIF('Overhead exp(제조경비)'!$C$12:$C$503,'In-out-bal products (155)(완성제품)'!B40,'Overhead exp(제조경비)'!$U$12:$U$503)</f>
        <v>0</v>
      </c>
      <c r="P40" s="60">
        <f t="shared" si="9"/>
        <v>196</v>
      </c>
      <c r="Q40" s="60">
        <f t="shared" si="10"/>
        <v>32059.801020408162</v>
      </c>
      <c r="R40" s="60">
        <f t="shared" si="11"/>
        <v>6283721</v>
      </c>
      <c r="S40" s="58">
        <v>0</v>
      </c>
      <c r="T40" s="58">
        <v>0</v>
      </c>
      <c r="U40" s="58">
        <v>0</v>
      </c>
      <c r="V40" s="58">
        <f>SUMIF('JUNE (물량흐름)'!$C$13:$C$493,'In-out-bal products (155)(완성제품)'!B40,'JUNE (물량흐름)'!$W$13:$W$493)</f>
        <v>0</v>
      </c>
      <c r="W40" s="58">
        <f t="shared" si="12"/>
        <v>0</v>
      </c>
      <c r="X40" s="58">
        <f t="shared" si="13"/>
        <v>0</v>
      </c>
      <c r="Y40" s="58">
        <f>SUMIF('JUNE (물량흐름)'!$C$13:$C$488,'In-out-bal products (155)(완성제품)'!B40,'JUNE (물량흐름)'!$X$13:$X$488)</f>
        <v>0</v>
      </c>
      <c r="Z40" s="58">
        <f t="shared" si="14"/>
        <v>0</v>
      </c>
      <c r="AA40" s="58">
        <f t="shared" si="15"/>
        <v>0</v>
      </c>
      <c r="AB40" s="58"/>
      <c r="AC40" s="58"/>
      <c r="AD40" s="61"/>
      <c r="AE40" s="58">
        <f t="shared" si="16"/>
        <v>0</v>
      </c>
      <c r="AF40" s="58">
        <f t="shared" si="17"/>
        <v>0</v>
      </c>
      <c r="AG40" s="61">
        <f t="shared" si="18"/>
        <v>0</v>
      </c>
      <c r="AH40" s="58">
        <v>0</v>
      </c>
      <c r="AI40" s="58">
        <v>0</v>
      </c>
      <c r="AJ40" s="61">
        <v>0</v>
      </c>
      <c r="AK40" s="58"/>
      <c r="AL40" s="58"/>
      <c r="AM40" s="61"/>
      <c r="AN40" s="61">
        <f t="shared" si="19"/>
        <v>0</v>
      </c>
      <c r="AO40" s="58">
        <f t="shared" si="20"/>
        <v>0</v>
      </c>
      <c r="AP40" s="61">
        <f t="shared" si="21"/>
        <v>0</v>
      </c>
      <c r="AQ40" s="58">
        <f t="shared" si="22"/>
        <v>196</v>
      </c>
      <c r="AR40" s="58">
        <f t="shared" si="23"/>
        <v>32059.801020408162</v>
      </c>
      <c r="AS40" s="58">
        <f t="shared" si="24"/>
        <v>6283721</v>
      </c>
      <c r="AT40" s="58">
        <f>ROUND(SUMIF('JUNE (물량흐름)'!$C$13:$C$502,'In-out-bal products (155)(완성제품)'!B40,'JUNE (물량흐름)'!$AB$13:$AB$502),0)</f>
        <v>0</v>
      </c>
      <c r="AU40" s="58">
        <f t="shared" si="25"/>
        <v>0</v>
      </c>
      <c r="AV40" s="58">
        <f>ROUND(SUMIF('JUNE (물량흐름)'!$C$13:$C$502,'In-out-bal products (155)(완성제품)'!B40,'JUNE (물량흐름)'!$AC$13:$AC$502),0)</f>
        <v>196</v>
      </c>
      <c r="AW40" s="58">
        <f t="shared" si="26"/>
        <v>6283721</v>
      </c>
      <c r="AX40" s="376">
        <f t="shared" si="27"/>
        <v>0</v>
      </c>
      <c r="AY40" s="377">
        <f t="shared" si="28"/>
        <v>0</v>
      </c>
      <c r="AZ40" s="377">
        <f t="shared" si="29"/>
        <v>0</v>
      </c>
      <c r="BA40" s="377">
        <f t="shared" si="30"/>
        <v>0</v>
      </c>
      <c r="BB40" s="377"/>
      <c r="BC40" s="377">
        <f t="shared" si="31"/>
        <v>0</v>
      </c>
      <c r="BD40" s="377">
        <f t="shared" si="32"/>
        <v>0</v>
      </c>
      <c r="BE40" s="377"/>
      <c r="BF40" s="377">
        <f t="shared" si="33"/>
        <v>0</v>
      </c>
      <c r="BG40" s="433">
        <f t="shared" si="34"/>
        <v>0</v>
      </c>
      <c r="BH40" s="434">
        <f t="shared" si="35"/>
        <v>0</v>
      </c>
    </row>
    <row r="41" spans="1:60" s="378" customFormat="1">
      <c r="A41" s="167">
        <v>30</v>
      </c>
      <c r="B41" s="253">
        <f>VLOOKUP(A41,'JUNE (물량흐름)'!$A$13:$C$493,3,0)</f>
        <v>100003227</v>
      </c>
      <c r="C41" s="57" t="str">
        <f>VLOOKUP(A41,'JUNE (물량흐름)'!$A$13:$C$493,2,0)</f>
        <v>ALFANI</v>
      </c>
      <c r="D41" s="58">
        <f>IFERROR(VLOOKUP(B41,O.B.JUNE!$V$7:$Y$448,2,0),0)</f>
        <v>0</v>
      </c>
      <c r="E41" s="58">
        <f>IFERROR(VLOOKUP(B41,O.B.JUNE!$V$7:$X$448,3,0),0)</f>
        <v>0</v>
      </c>
      <c r="F41" s="58">
        <f>IFERROR(VLOOKUP(B41,O.B.JUNE!$V$7:$Y$448,4,0),0)</f>
        <v>0</v>
      </c>
      <c r="G41" s="58">
        <f>SUMIF('JUNE (물량흐름)'!$C$13:$C$493,'In-out-bal products (155)(완성제품)'!B41,'JUNE (물량흐름)'!$V$13:$V$493)</f>
        <v>0</v>
      </c>
      <c r="H41" s="58">
        <f>SUMIF('JUNE (물량흐름)'!$C$13:$C$493,'In-out-bal products (155)(완성제품)'!B41,'JUNE (물량흐름)'!$T$13:$T$493)-SUMIF('JUNE (물량흐름)'!$C$13:$C$493,'In-out-bal products (155)(완성제품)'!B41,'JUNE (물량흐름)'!$Y$13:$Y$493)+SUMIF('JUNE (물량흐름)'!$C$13:$C$493,'In-out-bal products (155)(완성제품)'!B41,'JUNE (물량흐름)'!$U$13:$U$493)</f>
        <v>0</v>
      </c>
      <c r="I41" s="58">
        <f t="shared" si="6"/>
        <v>0</v>
      </c>
      <c r="J41" s="58">
        <f>SUMIF('Direct labour(직접노무비)'!$C$12:$C$503,'In-out-bal products (155)(완성제품)'!B41,'Direct labour(직접노무비)'!$Q$12:$Q$503)</f>
        <v>0</v>
      </c>
      <c r="K41" s="59">
        <f>SUMIF('Overhead exp(제조경비)'!$C$12:$C$503,'In-out-bal products (155)(완성제품)'!B41,'Overhead exp(제조경비)'!$Q$12:$Q$503)</f>
        <v>0</v>
      </c>
      <c r="L41" s="58">
        <f t="shared" si="7"/>
        <v>0</v>
      </c>
      <c r="M41" s="58">
        <f>SUMIF('JUNE (물량흐름)'!$C$13:$C$488,'In-out-bal products (155)(완성제품)'!B41,'JUNE (물량흐름)'!$Y$13:$Y$488)</f>
        <v>0</v>
      </c>
      <c r="N41" s="58">
        <f t="shared" si="8"/>
        <v>0</v>
      </c>
      <c r="O41" s="58">
        <f>SUMIF('Direct labour(직접노무비)'!$C$12:$C$503,'In-out-bal products (155)(완성제품)'!B41,'Direct labour(직접노무비)'!$U$12:$U$503)+SUMIF('Overhead exp(제조경비)'!$C$12:$C$503,'In-out-bal products (155)(완성제품)'!B41,'Overhead exp(제조경비)'!$U$12:$U$503)</f>
        <v>0</v>
      </c>
      <c r="P41" s="60">
        <f t="shared" si="9"/>
        <v>0</v>
      </c>
      <c r="Q41" s="60">
        <f t="shared" si="10"/>
        <v>0</v>
      </c>
      <c r="R41" s="60">
        <f t="shared" si="11"/>
        <v>0</v>
      </c>
      <c r="S41" s="58">
        <v>0</v>
      </c>
      <c r="T41" s="58">
        <v>0</v>
      </c>
      <c r="U41" s="58">
        <v>0</v>
      </c>
      <c r="V41" s="58">
        <f>SUMIF('JUNE (물량흐름)'!$C$13:$C$493,'In-out-bal products (155)(완성제품)'!B41,'JUNE (물량흐름)'!$W$13:$W$493)</f>
        <v>0</v>
      </c>
      <c r="W41" s="58">
        <f t="shared" si="12"/>
        <v>0</v>
      </c>
      <c r="X41" s="58">
        <f t="shared" si="13"/>
        <v>0</v>
      </c>
      <c r="Y41" s="58">
        <f>SUMIF('JUNE (물량흐름)'!$C$13:$C$488,'In-out-bal products (155)(완성제품)'!B41,'JUNE (물량흐름)'!$X$13:$X$488)</f>
        <v>0</v>
      </c>
      <c r="Z41" s="58">
        <f t="shared" si="14"/>
        <v>0</v>
      </c>
      <c r="AA41" s="58">
        <f t="shared" si="15"/>
        <v>0</v>
      </c>
      <c r="AB41" s="58"/>
      <c r="AC41" s="58"/>
      <c r="AD41" s="61"/>
      <c r="AE41" s="58">
        <f t="shared" si="16"/>
        <v>0</v>
      </c>
      <c r="AF41" s="58">
        <f t="shared" si="17"/>
        <v>0</v>
      </c>
      <c r="AG41" s="61">
        <f t="shared" si="18"/>
        <v>0</v>
      </c>
      <c r="AH41" s="58">
        <v>0</v>
      </c>
      <c r="AI41" s="58">
        <v>0</v>
      </c>
      <c r="AJ41" s="61">
        <v>0</v>
      </c>
      <c r="AK41" s="58"/>
      <c r="AL41" s="58"/>
      <c r="AM41" s="61"/>
      <c r="AN41" s="61">
        <f t="shared" si="19"/>
        <v>0</v>
      </c>
      <c r="AO41" s="58">
        <f t="shared" si="20"/>
        <v>0</v>
      </c>
      <c r="AP41" s="61">
        <f t="shared" si="21"/>
        <v>0</v>
      </c>
      <c r="AQ41" s="58">
        <f t="shared" si="22"/>
        <v>0</v>
      </c>
      <c r="AR41" s="58">
        <f t="shared" si="23"/>
        <v>0</v>
      </c>
      <c r="AS41" s="58">
        <f t="shared" si="24"/>
        <v>0</v>
      </c>
      <c r="AT41" s="58">
        <f>ROUND(SUMIF('JUNE (물량흐름)'!$C$13:$C$502,'In-out-bal products (155)(완성제품)'!B41,'JUNE (물량흐름)'!$AB$13:$AB$502),0)</f>
        <v>0</v>
      </c>
      <c r="AU41" s="58">
        <f t="shared" si="25"/>
        <v>0</v>
      </c>
      <c r="AV41" s="58">
        <f>ROUND(SUMIF('JUNE (물량흐름)'!$C$13:$C$502,'In-out-bal products (155)(완성제품)'!B41,'JUNE (물량흐름)'!$AC$13:$AC$502),0)</f>
        <v>0</v>
      </c>
      <c r="AW41" s="58">
        <f t="shared" si="26"/>
        <v>0</v>
      </c>
      <c r="AX41" s="376">
        <f t="shared" si="27"/>
        <v>0</v>
      </c>
      <c r="AY41" s="377">
        <f t="shared" si="28"/>
        <v>0</v>
      </c>
      <c r="AZ41" s="377">
        <f t="shared" si="29"/>
        <v>0</v>
      </c>
      <c r="BA41" s="377">
        <f t="shared" si="30"/>
        <v>0</v>
      </c>
      <c r="BB41" s="377"/>
      <c r="BC41" s="377">
        <f t="shared" si="31"/>
        <v>0</v>
      </c>
      <c r="BD41" s="377">
        <f t="shared" si="32"/>
        <v>0</v>
      </c>
      <c r="BE41" s="377"/>
      <c r="BF41" s="377">
        <f t="shared" si="33"/>
        <v>0</v>
      </c>
      <c r="BG41" s="433">
        <f t="shared" si="34"/>
        <v>0</v>
      </c>
      <c r="BH41" s="434">
        <f t="shared" si="35"/>
        <v>0</v>
      </c>
    </row>
    <row r="42" spans="1:60" s="378" customFormat="1">
      <c r="A42" s="167">
        <v>31</v>
      </c>
      <c r="B42" s="253">
        <f>VLOOKUP(A42,'JUNE (물량흐름)'!$A$13:$C$493,3,0)</f>
        <v>100003486</v>
      </c>
      <c r="C42" s="57" t="str">
        <f>VLOOKUP(A42,'JUNE (물량흐름)'!$A$13:$C$493,2,0)</f>
        <v>ALFANI</v>
      </c>
      <c r="D42" s="58">
        <f>IFERROR(VLOOKUP(B42,O.B.JUNE!$V$7:$Y$448,2,0),0)</f>
        <v>0</v>
      </c>
      <c r="E42" s="58">
        <f>IFERROR(VLOOKUP(B42,O.B.JUNE!$V$7:$X$448,3,0),0)</f>
        <v>0</v>
      </c>
      <c r="F42" s="58">
        <f>IFERROR(VLOOKUP(B42,O.B.JUNE!$V$7:$Y$448,4,0),0)</f>
        <v>0</v>
      </c>
      <c r="G42" s="58">
        <f>SUMIF('JUNE (물량흐름)'!$C$13:$C$493,'In-out-bal products (155)(완성제품)'!B42,'JUNE (물량흐름)'!$V$13:$V$493)</f>
        <v>0</v>
      </c>
      <c r="H42" s="58">
        <f>SUMIF('JUNE (물량흐름)'!$C$13:$C$493,'In-out-bal products (155)(완성제품)'!B42,'JUNE (물량흐름)'!$T$13:$T$493)-SUMIF('JUNE (물량흐름)'!$C$13:$C$493,'In-out-bal products (155)(완성제품)'!B42,'JUNE (물량흐름)'!$Y$13:$Y$493)+SUMIF('JUNE (물량흐름)'!$C$13:$C$493,'In-out-bal products (155)(완성제품)'!B42,'JUNE (물량흐름)'!$U$13:$U$493)</f>
        <v>0</v>
      </c>
      <c r="I42" s="58">
        <f t="shared" si="6"/>
        <v>0</v>
      </c>
      <c r="J42" s="58">
        <f>SUMIF('Direct labour(직접노무비)'!$C$12:$C$503,'In-out-bal products (155)(완성제품)'!B42,'Direct labour(직접노무비)'!$Q$12:$Q$503)</f>
        <v>0</v>
      </c>
      <c r="K42" s="59">
        <f>SUMIF('Overhead exp(제조경비)'!$C$12:$C$503,'In-out-bal products (155)(완성제품)'!B42,'Overhead exp(제조경비)'!$Q$12:$Q$503)</f>
        <v>0</v>
      </c>
      <c r="L42" s="58">
        <f t="shared" si="7"/>
        <v>0</v>
      </c>
      <c r="M42" s="58">
        <f>SUMIF('JUNE (물량흐름)'!$C$13:$C$488,'In-out-bal products (155)(완성제품)'!B42,'JUNE (물량흐름)'!$Y$13:$Y$488)</f>
        <v>0</v>
      </c>
      <c r="N42" s="58">
        <f t="shared" si="8"/>
        <v>0</v>
      </c>
      <c r="O42" s="58">
        <f>SUMIF('Direct labour(직접노무비)'!$C$12:$C$503,'In-out-bal products (155)(완성제품)'!B42,'Direct labour(직접노무비)'!$U$12:$U$503)+SUMIF('Overhead exp(제조경비)'!$C$12:$C$503,'In-out-bal products (155)(완성제품)'!B42,'Overhead exp(제조경비)'!$U$12:$U$503)</f>
        <v>0</v>
      </c>
      <c r="P42" s="60">
        <f t="shared" si="9"/>
        <v>0</v>
      </c>
      <c r="Q42" s="60">
        <f t="shared" si="10"/>
        <v>0</v>
      </c>
      <c r="R42" s="60">
        <f t="shared" si="11"/>
        <v>0</v>
      </c>
      <c r="S42" s="58">
        <v>0</v>
      </c>
      <c r="T42" s="58">
        <v>0</v>
      </c>
      <c r="U42" s="58">
        <v>0</v>
      </c>
      <c r="V42" s="58">
        <f>SUMIF('JUNE (물량흐름)'!$C$13:$C$493,'In-out-bal products (155)(완성제품)'!B42,'JUNE (물량흐름)'!$W$13:$W$493)</f>
        <v>0</v>
      </c>
      <c r="W42" s="58">
        <f t="shared" si="12"/>
        <v>0</v>
      </c>
      <c r="X42" s="58">
        <f t="shared" si="13"/>
        <v>0</v>
      </c>
      <c r="Y42" s="58">
        <f>SUMIF('JUNE (물량흐름)'!$C$13:$C$488,'In-out-bal products (155)(완성제품)'!B42,'JUNE (물량흐름)'!$X$13:$X$488)</f>
        <v>0</v>
      </c>
      <c r="Z42" s="58">
        <f t="shared" si="14"/>
        <v>0</v>
      </c>
      <c r="AA42" s="58">
        <f t="shared" si="15"/>
        <v>0</v>
      </c>
      <c r="AB42" s="58"/>
      <c r="AC42" s="58"/>
      <c r="AD42" s="61"/>
      <c r="AE42" s="58">
        <f t="shared" si="16"/>
        <v>0</v>
      </c>
      <c r="AF42" s="58">
        <f t="shared" si="17"/>
        <v>0</v>
      </c>
      <c r="AG42" s="61">
        <f t="shared" si="18"/>
        <v>0</v>
      </c>
      <c r="AH42" s="58">
        <v>0</v>
      </c>
      <c r="AI42" s="58">
        <v>0</v>
      </c>
      <c r="AJ42" s="61">
        <v>0</v>
      </c>
      <c r="AK42" s="58"/>
      <c r="AL42" s="58"/>
      <c r="AM42" s="61"/>
      <c r="AN42" s="61">
        <f t="shared" si="19"/>
        <v>0</v>
      </c>
      <c r="AO42" s="58">
        <f t="shared" si="20"/>
        <v>0</v>
      </c>
      <c r="AP42" s="61">
        <f t="shared" si="21"/>
        <v>0</v>
      </c>
      <c r="AQ42" s="58">
        <f t="shared" si="22"/>
        <v>0</v>
      </c>
      <c r="AR42" s="58">
        <f t="shared" si="23"/>
        <v>0</v>
      </c>
      <c r="AS42" s="58">
        <f t="shared" si="24"/>
        <v>0</v>
      </c>
      <c r="AT42" s="58">
        <f>ROUND(SUMIF('JUNE (물량흐름)'!$C$13:$C$502,'In-out-bal products (155)(완성제품)'!B42,'JUNE (물량흐름)'!$AB$13:$AB$502),0)</f>
        <v>0</v>
      </c>
      <c r="AU42" s="58">
        <f t="shared" si="25"/>
        <v>0</v>
      </c>
      <c r="AV42" s="58">
        <f>ROUND(SUMIF('JUNE (물량흐름)'!$C$13:$C$502,'In-out-bal products (155)(완성제품)'!B42,'JUNE (물량흐름)'!$AC$13:$AC$502),0)</f>
        <v>0</v>
      </c>
      <c r="AW42" s="58">
        <f t="shared" si="26"/>
        <v>0</v>
      </c>
      <c r="AX42" s="376">
        <f t="shared" si="27"/>
        <v>0</v>
      </c>
      <c r="AY42" s="377">
        <f t="shared" si="28"/>
        <v>0</v>
      </c>
      <c r="AZ42" s="377">
        <f t="shared" si="29"/>
        <v>0</v>
      </c>
      <c r="BA42" s="377">
        <f t="shared" si="30"/>
        <v>0</v>
      </c>
      <c r="BB42" s="377"/>
      <c r="BC42" s="377">
        <f t="shared" si="31"/>
        <v>0</v>
      </c>
      <c r="BD42" s="377">
        <f t="shared" si="32"/>
        <v>0</v>
      </c>
      <c r="BE42" s="377"/>
      <c r="BF42" s="377">
        <f t="shared" si="33"/>
        <v>0</v>
      </c>
      <c r="BG42" s="433">
        <f t="shared" si="34"/>
        <v>0</v>
      </c>
      <c r="BH42" s="434">
        <f t="shared" si="35"/>
        <v>0</v>
      </c>
    </row>
    <row r="43" spans="1:60" s="378" customFormat="1">
      <c r="A43" s="167">
        <v>32</v>
      </c>
      <c r="B43" s="253">
        <f>VLOOKUP(A43,'JUNE (물량흐름)'!$A$13:$C$493,3,0)</f>
        <v>100003532</v>
      </c>
      <c r="C43" s="57" t="str">
        <f>VLOOKUP(A43,'JUNE (물량흐름)'!$A$13:$C$493,2,0)</f>
        <v>ALFANI</v>
      </c>
      <c r="D43" s="58">
        <f>IFERROR(VLOOKUP(B43,O.B.JUNE!$V$7:$Y$448,2,0),0)</f>
        <v>0</v>
      </c>
      <c r="E43" s="58">
        <f>IFERROR(VLOOKUP(B43,O.B.JUNE!$V$7:$X$448,3,0),0)</f>
        <v>0</v>
      </c>
      <c r="F43" s="58">
        <f>IFERROR(VLOOKUP(B43,O.B.JUNE!$V$7:$Y$448,4,0),0)</f>
        <v>0</v>
      </c>
      <c r="G43" s="58">
        <f>SUMIF('JUNE (물량흐름)'!$C$13:$C$493,'In-out-bal products (155)(완성제품)'!B43,'JUNE (물량흐름)'!$V$13:$V$493)</f>
        <v>0</v>
      </c>
      <c r="H43" s="58">
        <f>SUMIF('JUNE (물량흐름)'!$C$13:$C$493,'In-out-bal products (155)(완성제품)'!B43,'JUNE (물량흐름)'!$T$13:$T$493)-SUMIF('JUNE (물량흐름)'!$C$13:$C$493,'In-out-bal products (155)(완성제품)'!B43,'JUNE (물량흐름)'!$Y$13:$Y$493)+SUMIF('JUNE (물량흐름)'!$C$13:$C$493,'In-out-bal products (155)(완성제품)'!B43,'JUNE (물량흐름)'!$U$13:$U$493)</f>
        <v>0</v>
      </c>
      <c r="I43" s="58">
        <f t="shared" si="6"/>
        <v>0</v>
      </c>
      <c r="J43" s="58">
        <f>SUMIF('Direct labour(직접노무비)'!$C$12:$C$503,'In-out-bal products (155)(완성제품)'!B43,'Direct labour(직접노무비)'!$Q$12:$Q$503)</f>
        <v>0</v>
      </c>
      <c r="K43" s="59">
        <f>SUMIF('Overhead exp(제조경비)'!$C$12:$C$503,'In-out-bal products (155)(완성제품)'!B43,'Overhead exp(제조경비)'!$Q$12:$Q$503)</f>
        <v>0</v>
      </c>
      <c r="L43" s="58">
        <f t="shared" si="7"/>
        <v>0</v>
      </c>
      <c r="M43" s="58">
        <f>SUMIF('JUNE (물량흐름)'!$C$13:$C$488,'In-out-bal products (155)(완성제품)'!B43,'JUNE (물량흐름)'!$Y$13:$Y$488)</f>
        <v>0</v>
      </c>
      <c r="N43" s="58">
        <f t="shared" si="8"/>
        <v>0</v>
      </c>
      <c r="O43" s="58">
        <f>SUMIF('Direct labour(직접노무비)'!$C$12:$C$503,'In-out-bal products (155)(완성제품)'!B43,'Direct labour(직접노무비)'!$U$12:$U$503)+SUMIF('Overhead exp(제조경비)'!$C$12:$C$503,'In-out-bal products (155)(완성제품)'!B43,'Overhead exp(제조경비)'!$U$12:$U$503)</f>
        <v>0</v>
      </c>
      <c r="P43" s="60">
        <f t="shared" si="9"/>
        <v>0</v>
      </c>
      <c r="Q43" s="60">
        <f t="shared" si="10"/>
        <v>0</v>
      </c>
      <c r="R43" s="60">
        <f t="shared" si="11"/>
        <v>0</v>
      </c>
      <c r="S43" s="58">
        <v>0</v>
      </c>
      <c r="T43" s="58">
        <v>0</v>
      </c>
      <c r="U43" s="58">
        <v>0</v>
      </c>
      <c r="V43" s="58">
        <f>SUMIF('JUNE (물량흐름)'!$C$13:$C$493,'In-out-bal products (155)(완성제품)'!B43,'JUNE (물량흐름)'!$W$13:$W$493)</f>
        <v>0</v>
      </c>
      <c r="W43" s="58">
        <f t="shared" si="12"/>
        <v>0</v>
      </c>
      <c r="X43" s="58">
        <f t="shared" si="13"/>
        <v>0</v>
      </c>
      <c r="Y43" s="58">
        <f>SUMIF('JUNE (물량흐름)'!$C$13:$C$488,'In-out-bal products (155)(완성제품)'!B43,'JUNE (물량흐름)'!$X$13:$X$488)</f>
        <v>0</v>
      </c>
      <c r="Z43" s="58">
        <f t="shared" si="14"/>
        <v>0</v>
      </c>
      <c r="AA43" s="58">
        <f t="shared" si="15"/>
        <v>0</v>
      </c>
      <c r="AB43" s="58"/>
      <c r="AC43" s="58"/>
      <c r="AD43" s="61"/>
      <c r="AE43" s="58">
        <f t="shared" si="16"/>
        <v>0</v>
      </c>
      <c r="AF43" s="58">
        <f t="shared" si="17"/>
        <v>0</v>
      </c>
      <c r="AG43" s="61">
        <f t="shared" si="18"/>
        <v>0</v>
      </c>
      <c r="AH43" s="58">
        <v>0</v>
      </c>
      <c r="AI43" s="58">
        <v>0</v>
      </c>
      <c r="AJ43" s="61">
        <v>0</v>
      </c>
      <c r="AK43" s="58"/>
      <c r="AL43" s="58"/>
      <c r="AM43" s="61"/>
      <c r="AN43" s="61">
        <f t="shared" si="19"/>
        <v>0</v>
      </c>
      <c r="AO43" s="58">
        <f t="shared" si="20"/>
        <v>0</v>
      </c>
      <c r="AP43" s="61">
        <f t="shared" si="21"/>
        <v>0</v>
      </c>
      <c r="AQ43" s="58">
        <f t="shared" si="22"/>
        <v>0</v>
      </c>
      <c r="AR43" s="58">
        <f t="shared" si="23"/>
        <v>0</v>
      </c>
      <c r="AS43" s="58">
        <f t="shared" si="24"/>
        <v>0</v>
      </c>
      <c r="AT43" s="58">
        <f>ROUND(SUMIF('JUNE (물량흐름)'!$C$13:$C$502,'In-out-bal products (155)(완성제품)'!B43,'JUNE (물량흐름)'!$AB$13:$AB$502),0)</f>
        <v>0</v>
      </c>
      <c r="AU43" s="58">
        <f t="shared" si="25"/>
        <v>0</v>
      </c>
      <c r="AV43" s="58">
        <f>ROUND(SUMIF('JUNE (물량흐름)'!$C$13:$C$502,'In-out-bal products (155)(완성제품)'!B43,'JUNE (물량흐름)'!$AC$13:$AC$502),0)</f>
        <v>0</v>
      </c>
      <c r="AW43" s="58">
        <f t="shared" si="26"/>
        <v>0</v>
      </c>
      <c r="AX43" s="376">
        <f t="shared" si="27"/>
        <v>0</v>
      </c>
      <c r="AY43" s="377">
        <f t="shared" si="28"/>
        <v>0</v>
      </c>
      <c r="AZ43" s="377">
        <f t="shared" si="29"/>
        <v>0</v>
      </c>
      <c r="BA43" s="377">
        <f t="shared" si="30"/>
        <v>0</v>
      </c>
      <c r="BB43" s="377"/>
      <c r="BC43" s="377">
        <f t="shared" si="31"/>
        <v>0</v>
      </c>
      <c r="BD43" s="377">
        <f t="shared" si="32"/>
        <v>0</v>
      </c>
      <c r="BE43" s="377"/>
      <c r="BF43" s="377">
        <f t="shared" si="33"/>
        <v>0</v>
      </c>
      <c r="BG43" s="433">
        <f t="shared" si="34"/>
        <v>0</v>
      </c>
      <c r="BH43" s="434">
        <f t="shared" si="35"/>
        <v>0</v>
      </c>
    </row>
    <row r="44" spans="1:60" s="378" customFormat="1">
      <c r="A44" s="167">
        <v>33</v>
      </c>
      <c r="B44" s="253">
        <f>VLOOKUP(A44,'JUNE (물량흐름)'!$A$13:$C$493,3,0)</f>
        <v>100003576</v>
      </c>
      <c r="C44" s="57" t="str">
        <f>VLOOKUP(A44,'JUNE (물량흐름)'!$A$13:$C$493,2,0)</f>
        <v>ALFANI</v>
      </c>
      <c r="D44" s="58">
        <f>IFERROR(VLOOKUP(B44,O.B.JUNE!$V$7:$Y$448,2,0),0)</f>
        <v>0</v>
      </c>
      <c r="E44" s="58">
        <f>IFERROR(VLOOKUP(B44,O.B.JUNE!$V$7:$X$448,3,0),0)</f>
        <v>0</v>
      </c>
      <c r="F44" s="58">
        <f>IFERROR(VLOOKUP(B44,O.B.JUNE!$V$7:$Y$448,4,0),0)</f>
        <v>0</v>
      </c>
      <c r="G44" s="58">
        <f>SUMIF('JUNE (물량흐름)'!$C$13:$C$493,'In-out-bal products (155)(완성제품)'!B44,'JUNE (물량흐름)'!$V$13:$V$493)</f>
        <v>0</v>
      </c>
      <c r="H44" s="58">
        <f>SUMIF('JUNE (물량흐름)'!$C$13:$C$493,'In-out-bal products (155)(완성제품)'!B44,'JUNE (물량흐름)'!$T$13:$T$493)-SUMIF('JUNE (물량흐름)'!$C$13:$C$493,'In-out-bal products (155)(완성제품)'!B44,'JUNE (물량흐름)'!$Y$13:$Y$493)+SUMIF('JUNE (물량흐름)'!$C$13:$C$493,'In-out-bal products (155)(완성제품)'!B44,'JUNE (물량흐름)'!$U$13:$U$493)</f>
        <v>0</v>
      </c>
      <c r="I44" s="58">
        <f t="shared" si="6"/>
        <v>0</v>
      </c>
      <c r="J44" s="58">
        <f>SUMIF('Direct labour(직접노무비)'!$C$12:$C$503,'In-out-bal products (155)(완성제품)'!B44,'Direct labour(직접노무비)'!$Q$12:$Q$503)</f>
        <v>0</v>
      </c>
      <c r="K44" s="59">
        <f>SUMIF('Overhead exp(제조경비)'!$C$12:$C$503,'In-out-bal products (155)(완성제품)'!B44,'Overhead exp(제조경비)'!$Q$12:$Q$503)</f>
        <v>0</v>
      </c>
      <c r="L44" s="58">
        <f t="shared" si="7"/>
        <v>0</v>
      </c>
      <c r="M44" s="58">
        <f>SUMIF('JUNE (물량흐름)'!$C$13:$C$488,'In-out-bal products (155)(완성제품)'!B44,'JUNE (물량흐름)'!$Y$13:$Y$488)</f>
        <v>0</v>
      </c>
      <c r="N44" s="58">
        <f t="shared" si="8"/>
        <v>0</v>
      </c>
      <c r="O44" s="58">
        <f>SUMIF('Direct labour(직접노무비)'!$C$12:$C$503,'In-out-bal products (155)(완성제품)'!B44,'Direct labour(직접노무비)'!$U$12:$U$503)+SUMIF('Overhead exp(제조경비)'!$C$12:$C$503,'In-out-bal products (155)(완성제품)'!B44,'Overhead exp(제조경비)'!$U$12:$U$503)</f>
        <v>0</v>
      </c>
      <c r="P44" s="60">
        <f t="shared" si="9"/>
        <v>0</v>
      </c>
      <c r="Q44" s="60">
        <f t="shared" si="10"/>
        <v>0</v>
      </c>
      <c r="R44" s="60">
        <f t="shared" si="11"/>
        <v>0</v>
      </c>
      <c r="S44" s="58">
        <v>0</v>
      </c>
      <c r="T44" s="58">
        <v>0</v>
      </c>
      <c r="U44" s="58">
        <v>0</v>
      </c>
      <c r="V44" s="58">
        <f>SUMIF('JUNE (물량흐름)'!$C$13:$C$493,'In-out-bal products (155)(완성제품)'!B44,'JUNE (물량흐름)'!$W$13:$W$493)</f>
        <v>0</v>
      </c>
      <c r="W44" s="58">
        <f t="shared" si="12"/>
        <v>0</v>
      </c>
      <c r="X44" s="58">
        <f t="shared" si="13"/>
        <v>0</v>
      </c>
      <c r="Y44" s="58">
        <f>SUMIF('JUNE (물량흐름)'!$C$13:$C$488,'In-out-bal products (155)(완성제품)'!B44,'JUNE (물량흐름)'!$X$13:$X$488)</f>
        <v>0</v>
      </c>
      <c r="Z44" s="58">
        <f t="shared" si="14"/>
        <v>0</v>
      </c>
      <c r="AA44" s="58">
        <f t="shared" si="15"/>
        <v>0</v>
      </c>
      <c r="AB44" s="58"/>
      <c r="AC44" s="58"/>
      <c r="AD44" s="61"/>
      <c r="AE44" s="58">
        <f t="shared" si="16"/>
        <v>0</v>
      </c>
      <c r="AF44" s="58">
        <f t="shared" si="17"/>
        <v>0</v>
      </c>
      <c r="AG44" s="61">
        <f t="shared" si="18"/>
        <v>0</v>
      </c>
      <c r="AH44" s="58">
        <v>0</v>
      </c>
      <c r="AI44" s="58">
        <v>0</v>
      </c>
      <c r="AJ44" s="61">
        <v>0</v>
      </c>
      <c r="AK44" s="58"/>
      <c r="AL44" s="58"/>
      <c r="AM44" s="61"/>
      <c r="AN44" s="61">
        <f t="shared" si="19"/>
        <v>0</v>
      </c>
      <c r="AO44" s="58">
        <f t="shared" si="20"/>
        <v>0</v>
      </c>
      <c r="AP44" s="61">
        <f t="shared" si="21"/>
        <v>0</v>
      </c>
      <c r="AQ44" s="58">
        <f t="shared" si="22"/>
        <v>0</v>
      </c>
      <c r="AR44" s="58">
        <f t="shared" si="23"/>
        <v>0</v>
      </c>
      <c r="AS44" s="58">
        <f t="shared" si="24"/>
        <v>0</v>
      </c>
      <c r="AT44" s="58">
        <f>ROUND(SUMIF('JUNE (물량흐름)'!$C$13:$C$502,'In-out-bal products (155)(완성제품)'!B44,'JUNE (물량흐름)'!$AB$13:$AB$502),0)</f>
        <v>0</v>
      </c>
      <c r="AU44" s="58">
        <f t="shared" si="25"/>
        <v>0</v>
      </c>
      <c r="AV44" s="58">
        <f>ROUND(SUMIF('JUNE (물량흐름)'!$C$13:$C$502,'In-out-bal products (155)(완성제품)'!B44,'JUNE (물량흐름)'!$AC$13:$AC$502),0)</f>
        <v>0</v>
      </c>
      <c r="AW44" s="58">
        <f t="shared" si="26"/>
        <v>0</v>
      </c>
      <c r="AX44" s="376">
        <f t="shared" si="27"/>
        <v>0</v>
      </c>
      <c r="AY44" s="377">
        <f t="shared" si="28"/>
        <v>0</v>
      </c>
      <c r="AZ44" s="377">
        <f t="shared" si="29"/>
        <v>0</v>
      </c>
      <c r="BA44" s="377">
        <f t="shared" si="30"/>
        <v>0</v>
      </c>
      <c r="BB44" s="377"/>
      <c r="BC44" s="377">
        <f t="shared" si="31"/>
        <v>0</v>
      </c>
      <c r="BD44" s="377">
        <f t="shared" si="32"/>
        <v>0</v>
      </c>
      <c r="BE44" s="377"/>
      <c r="BF44" s="377">
        <f t="shared" si="33"/>
        <v>0</v>
      </c>
      <c r="BG44" s="433">
        <f t="shared" si="34"/>
        <v>0</v>
      </c>
      <c r="BH44" s="434">
        <f t="shared" si="35"/>
        <v>0</v>
      </c>
    </row>
    <row r="45" spans="1:60" s="378" customFormat="1">
      <c r="A45" s="167">
        <v>34</v>
      </c>
      <c r="B45" s="253">
        <f>VLOOKUP(A45,'JUNE (물량흐름)'!$A$13:$C$493,3,0)</f>
        <v>100004422</v>
      </c>
      <c r="C45" s="57" t="str">
        <f>VLOOKUP(A45,'JUNE (물량흐름)'!$A$13:$C$493,2,0)</f>
        <v>ALFANI</v>
      </c>
      <c r="D45" s="58">
        <f>IFERROR(VLOOKUP(B45,O.B.JUNE!$V$7:$Y$448,2,0),0)</f>
        <v>0</v>
      </c>
      <c r="E45" s="58">
        <f>IFERROR(VLOOKUP(B45,O.B.JUNE!$V$7:$X$448,3,0),0)</f>
        <v>0</v>
      </c>
      <c r="F45" s="58">
        <f>IFERROR(VLOOKUP(B45,O.B.JUNE!$V$7:$Y$448,4,0),0)</f>
        <v>0</v>
      </c>
      <c r="G45" s="58">
        <f>SUMIF('JUNE (물량흐름)'!$C$13:$C$493,'In-out-bal products (155)(완성제품)'!B45,'JUNE (물량흐름)'!$V$13:$V$493)</f>
        <v>0</v>
      </c>
      <c r="H45" s="58">
        <f>SUMIF('JUNE (물량흐름)'!$C$13:$C$493,'In-out-bal products (155)(완성제품)'!B45,'JUNE (물량흐름)'!$T$13:$T$493)-SUMIF('JUNE (물량흐름)'!$C$13:$C$493,'In-out-bal products (155)(완성제품)'!B45,'JUNE (물량흐름)'!$Y$13:$Y$493)+SUMIF('JUNE (물량흐름)'!$C$13:$C$493,'In-out-bal products (155)(완성제품)'!B45,'JUNE (물량흐름)'!$U$13:$U$493)</f>
        <v>0</v>
      </c>
      <c r="I45" s="58">
        <f t="shared" si="6"/>
        <v>0</v>
      </c>
      <c r="J45" s="58">
        <f>SUMIF('Direct labour(직접노무비)'!$C$12:$C$503,'In-out-bal products (155)(완성제품)'!B45,'Direct labour(직접노무비)'!$Q$12:$Q$503)</f>
        <v>0</v>
      </c>
      <c r="K45" s="59">
        <f>SUMIF('Overhead exp(제조경비)'!$C$12:$C$503,'In-out-bal products (155)(완성제품)'!B45,'Overhead exp(제조경비)'!$Q$12:$Q$503)</f>
        <v>0</v>
      </c>
      <c r="L45" s="58">
        <f t="shared" si="7"/>
        <v>0</v>
      </c>
      <c r="M45" s="58">
        <f>SUMIF('JUNE (물량흐름)'!$C$13:$C$488,'In-out-bal products (155)(완성제품)'!B45,'JUNE (물량흐름)'!$Y$13:$Y$488)</f>
        <v>0</v>
      </c>
      <c r="N45" s="58">
        <f t="shared" si="8"/>
        <v>0</v>
      </c>
      <c r="O45" s="58">
        <f>SUMIF('Direct labour(직접노무비)'!$C$12:$C$503,'In-out-bal products (155)(완성제품)'!B45,'Direct labour(직접노무비)'!$U$12:$U$503)+SUMIF('Overhead exp(제조경비)'!$C$12:$C$503,'In-out-bal products (155)(완성제품)'!B45,'Overhead exp(제조경비)'!$U$12:$U$503)</f>
        <v>0</v>
      </c>
      <c r="P45" s="60">
        <f t="shared" si="9"/>
        <v>0</v>
      </c>
      <c r="Q45" s="60">
        <f t="shared" si="10"/>
        <v>0</v>
      </c>
      <c r="R45" s="60">
        <f t="shared" si="11"/>
        <v>0</v>
      </c>
      <c r="S45" s="58">
        <v>0</v>
      </c>
      <c r="T45" s="58">
        <v>0</v>
      </c>
      <c r="U45" s="58">
        <v>0</v>
      </c>
      <c r="V45" s="58">
        <f>SUMIF('JUNE (물량흐름)'!$C$13:$C$493,'In-out-bal products (155)(완성제품)'!B45,'JUNE (물량흐름)'!$W$13:$W$493)</f>
        <v>0</v>
      </c>
      <c r="W45" s="58">
        <f t="shared" si="12"/>
        <v>0</v>
      </c>
      <c r="X45" s="58">
        <f t="shared" si="13"/>
        <v>0</v>
      </c>
      <c r="Y45" s="58">
        <f>SUMIF('JUNE (물량흐름)'!$C$13:$C$488,'In-out-bal products (155)(완성제품)'!B45,'JUNE (물량흐름)'!$X$13:$X$488)</f>
        <v>0</v>
      </c>
      <c r="Z45" s="58">
        <f t="shared" si="14"/>
        <v>0</v>
      </c>
      <c r="AA45" s="58">
        <f t="shared" si="15"/>
        <v>0</v>
      </c>
      <c r="AB45" s="58"/>
      <c r="AC45" s="58"/>
      <c r="AD45" s="61"/>
      <c r="AE45" s="58">
        <f t="shared" si="16"/>
        <v>0</v>
      </c>
      <c r="AF45" s="58">
        <f t="shared" si="17"/>
        <v>0</v>
      </c>
      <c r="AG45" s="61">
        <f t="shared" si="18"/>
        <v>0</v>
      </c>
      <c r="AH45" s="58">
        <v>0</v>
      </c>
      <c r="AI45" s="58">
        <v>0</v>
      </c>
      <c r="AJ45" s="61">
        <v>0</v>
      </c>
      <c r="AK45" s="58"/>
      <c r="AL45" s="58"/>
      <c r="AM45" s="61"/>
      <c r="AN45" s="61">
        <f t="shared" si="19"/>
        <v>0</v>
      </c>
      <c r="AO45" s="58">
        <f t="shared" si="20"/>
        <v>0</v>
      </c>
      <c r="AP45" s="61">
        <f t="shared" si="21"/>
        <v>0</v>
      </c>
      <c r="AQ45" s="58">
        <f t="shared" si="22"/>
        <v>0</v>
      </c>
      <c r="AR45" s="58">
        <f t="shared" si="23"/>
        <v>0</v>
      </c>
      <c r="AS45" s="58">
        <f t="shared" si="24"/>
        <v>0</v>
      </c>
      <c r="AT45" s="58">
        <f>ROUND(SUMIF('JUNE (물량흐름)'!$C$13:$C$502,'In-out-bal products (155)(완성제품)'!B45,'JUNE (물량흐름)'!$AB$13:$AB$502),0)</f>
        <v>0</v>
      </c>
      <c r="AU45" s="58">
        <f t="shared" si="25"/>
        <v>0</v>
      </c>
      <c r="AV45" s="58">
        <f>ROUND(SUMIF('JUNE (물량흐름)'!$C$13:$C$502,'In-out-bal products (155)(완성제품)'!B45,'JUNE (물량흐름)'!$AC$13:$AC$502),0)</f>
        <v>0</v>
      </c>
      <c r="AW45" s="58">
        <f t="shared" si="26"/>
        <v>0</v>
      </c>
      <c r="AX45" s="376">
        <f t="shared" si="27"/>
        <v>0</v>
      </c>
      <c r="AY45" s="377">
        <f t="shared" si="28"/>
        <v>0</v>
      </c>
      <c r="AZ45" s="377">
        <f t="shared" si="29"/>
        <v>0</v>
      </c>
      <c r="BA45" s="377">
        <f t="shared" si="30"/>
        <v>0</v>
      </c>
      <c r="BB45" s="377"/>
      <c r="BC45" s="377">
        <f t="shared" si="31"/>
        <v>0</v>
      </c>
      <c r="BD45" s="377">
        <f t="shared" si="32"/>
        <v>0</v>
      </c>
      <c r="BE45" s="377"/>
      <c r="BF45" s="377">
        <f t="shared" si="33"/>
        <v>0</v>
      </c>
      <c r="BG45" s="433">
        <f t="shared" si="34"/>
        <v>0</v>
      </c>
      <c r="BH45" s="434">
        <f t="shared" si="35"/>
        <v>0</v>
      </c>
    </row>
    <row r="46" spans="1:60" s="378" customFormat="1">
      <c r="A46" s="167">
        <v>35</v>
      </c>
      <c r="B46" s="253">
        <f>VLOOKUP(A46,'JUNE (물량흐름)'!$A$13:$C$493,3,0)</f>
        <v>100004424</v>
      </c>
      <c r="C46" s="57" t="str">
        <f>VLOOKUP(A46,'JUNE (물량흐름)'!$A$13:$C$493,2,0)</f>
        <v>ALFANI</v>
      </c>
      <c r="D46" s="58">
        <f>IFERROR(VLOOKUP(B46,O.B.JUNE!$V$7:$Y$448,2,0),0)</f>
        <v>0</v>
      </c>
      <c r="E46" s="58">
        <f>IFERROR(VLOOKUP(B46,O.B.JUNE!$V$7:$X$448,3,0),0)</f>
        <v>0</v>
      </c>
      <c r="F46" s="58">
        <f>IFERROR(VLOOKUP(B46,O.B.JUNE!$V$7:$Y$448,4,0),0)</f>
        <v>0</v>
      </c>
      <c r="G46" s="58">
        <f>SUMIF('JUNE (물량흐름)'!$C$13:$C$493,'In-out-bal products (155)(완성제품)'!B46,'JUNE (물량흐름)'!$V$13:$V$493)</f>
        <v>0</v>
      </c>
      <c r="H46" s="58">
        <f>SUMIF('JUNE (물량흐름)'!$C$13:$C$493,'In-out-bal products (155)(완성제품)'!B46,'JUNE (물량흐름)'!$T$13:$T$493)-SUMIF('JUNE (물량흐름)'!$C$13:$C$493,'In-out-bal products (155)(완성제품)'!B46,'JUNE (물량흐름)'!$Y$13:$Y$493)+SUMIF('JUNE (물량흐름)'!$C$13:$C$493,'In-out-bal products (155)(완성제품)'!B46,'JUNE (물량흐름)'!$U$13:$U$493)</f>
        <v>0</v>
      </c>
      <c r="I46" s="58">
        <f t="shared" si="6"/>
        <v>0</v>
      </c>
      <c r="J46" s="58">
        <f>SUMIF('Direct labour(직접노무비)'!$C$12:$C$503,'In-out-bal products (155)(완성제품)'!B46,'Direct labour(직접노무비)'!$Q$12:$Q$503)</f>
        <v>0</v>
      </c>
      <c r="K46" s="59">
        <f>SUMIF('Overhead exp(제조경비)'!$C$12:$C$503,'In-out-bal products (155)(완성제품)'!B46,'Overhead exp(제조경비)'!$Q$12:$Q$503)</f>
        <v>0</v>
      </c>
      <c r="L46" s="58">
        <f t="shared" si="7"/>
        <v>0</v>
      </c>
      <c r="M46" s="58">
        <f>SUMIF('JUNE (물량흐름)'!$C$13:$C$488,'In-out-bal products (155)(완성제품)'!B46,'JUNE (물량흐름)'!$Y$13:$Y$488)</f>
        <v>0</v>
      </c>
      <c r="N46" s="58">
        <f t="shared" si="8"/>
        <v>0</v>
      </c>
      <c r="O46" s="58">
        <f>SUMIF('Direct labour(직접노무비)'!$C$12:$C$503,'In-out-bal products (155)(완성제품)'!B46,'Direct labour(직접노무비)'!$U$12:$U$503)+SUMIF('Overhead exp(제조경비)'!$C$12:$C$503,'In-out-bal products (155)(완성제품)'!B46,'Overhead exp(제조경비)'!$U$12:$U$503)</f>
        <v>0</v>
      </c>
      <c r="P46" s="60">
        <f t="shared" si="9"/>
        <v>0</v>
      </c>
      <c r="Q46" s="60">
        <f t="shared" si="10"/>
        <v>0</v>
      </c>
      <c r="R46" s="60">
        <f t="shared" si="11"/>
        <v>0</v>
      </c>
      <c r="S46" s="58">
        <v>0</v>
      </c>
      <c r="T46" s="58">
        <v>0</v>
      </c>
      <c r="U46" s="58">
        <v>0</v>
      </c>
      <c r="V46" s="58">
        <f>SUMIF('JUNE (물량흐름)'!$C$13:$C$493,'In-out-bal products (155)(완성제품)'!B46,'JUNE (물량흐름)'!$W$13:$W$493)</f>
        <v>0</v>
      </c>
      <c r="W46" s="58">
        <f t="shared" si="12"/>
        <v>0</v>
      </c>
      <c r="X46" s="58">
        <f t="shared" si="13"/>
        <v>0</v>
      </c>
      <c r="Y46" s="58">
        <f>SUMIF('JUNE (물량흐름)'!$C$13:$C$488,'In-out-bal products (155)(완성제품)'!B46,'JUNE (물량흐름)'!$X$13:$X$488)</f>
        <v>0</v>
      </c>
      <c r="Z46" s="58">
        <f t="shared" si="14"/>
        <v>0</v>
      </c>
      <c r="AA46" s="58">
        <f t="shared" si="15"/>
        <v>0</v>
      </c>
      <c r="AB46" s="58"/>
      <c r="AC46" s="58"/>
      <c r="AD46" s="61"/>
      <c r="AE46" s="58">
        <f t="shared" si="16"/>
        <v>0</v>
      </c>
      <c r="AF46" s="58">
        <f t="shared" si="17"/>
        <v>0</v>
      </c>
      <c r="AG46" s="61">
        <f t="shared" si="18"/>
        <v>0</v>
      </c>
      <c r="AH46" s="58">
        <v>0</v>
      </c>
      <c r="AI46" s="58">
        <v>0</v>
      </c>
      <c r="AJ46" s="61">
        <v>0</v>
      </c>
      <c r="AK46" s="58"/>
      <c r="AL46" s="58"/>
      <c r="AM46" s="61"/>
      <c r="AN46" s="61">
        <f t="shared" si="19"/>
        <v>0</v>
      </c>
      <c r="AO46" s="58">
        <f t="shared" si="20"/>
        <v>0</v>
      </c>
      <c r="AP46" s="61">
        <f t="shared" si="21"/>
        <v>0</v>
      </c>
      <c r="AQ46" s="58">
        <f t="shared" si="22"/>
        <v>0</v>
      </c>
      <c r="AR46" s="58">
        <f t="shared" si="23"/>
        <v>0</v>
      </c>
      <c r="AS46" s="58">
        <f t="shared" si="24"/>
        <v>0</v>
      </c>
      <c r="AT46" s="58">
        <f>ROUND(SUMIF('JUNE (물량흐름)'!$C$13:$C$502,'In-out-bal products (155)(완성제품)'!B46,'JUNE (물량흐름)'!$AB$13:$AB$502),0)</f>
        <v>0</v>
      </c>
      <c r="AU46" s="58">
        <f t="shared" si="25"/>
        <v>0</v>
      </c>
      <c r="AV46" s="58">
        <f>ROUND(SUMIF('JUNE (물량흐름)'!$C$13:$C$502,'In-out-bal products (155)(완성제품)'!B46,'JUNE (물량흐름)'!$AC$13:$AC$502),0)</f>
        <v>0</v>
      </c>
      <c r="AW46" s="58">
        <f t="shared" si="26"/>
        <v>0</v>
      </c>
      <c r="AX46" s="376">
        <f t="shared" si="27"/>
        <v>0</v>
      </c>
      <c r="AY46" s="377">
        <f t="shared" si="28"/>
        <v>0</v>
      </c>
      <c r="AZ46" s="377">
        <f t="shared" si="29"/>
        <v>0</v>
      </c>
      <c r="BA46" s="377">
        <f t="shared" si="30"/>
        <v>0</v>
      </c>
      <c r="BB46" s="377"/>
      <c r="BC46" s="377">
        <f t="shared" si="31"/>
        <v>0</v>
      </c>
      <c r="BD46" s="377">
        <f t="shared" si="32"/>
        <v>0</v>
      </c>
      <c r="BE46" s="377"/>
      <c r="BF46" s="377">
        <f t="shared" si="33"/>
        <v>0</v>
      </c>
      <c r="BG46" s="433">
        <f t="shared" si="34"/>
        <v>0</v>
      </c>
      <c r="BH46" s="434">
        <f t="shared" si="35"/>
        <v>0</v>
      </c>
    </row>
    <row r="47" spans="1:60" s="378" customFormat="1">
      <c r="A47" s="167">
        <v>36</v>
      </c>
      <c r="B47" s="253">
        <f>VLOOKUP(A47,'JUNE (물량흐름)'!$A$13:$C$493,3,0)</f>
        <v>100005621</v>
      </c>
      <c r="C47" s="57" t="str">
        <f>VLOOKUP(A47,'JUNE (물량흐름)'!$A$13:$C$493,2,0)</f>
        <v>ALFANI</v>
      </c>
      <c r="D47" s="58">
        <f>IFERROR(VLOOKUP(B47,O.B.JUNE!$V$7:$Y$448,2,0),0)</f>
        <v>0</v>
      </c>
      <c r="E47" s="58">
        <f>IFERROR(VLOOKUP(B47,O.B.JUNE!$V$7:$X$448,3,0),0)</f>
        <v>0</v>
      </c>
      <c r="F47" s="58">
        <f>IFERROR(VLOOKUP(B47,O.B.JUNE!$V$7:$Y$448,4,0),0)</f>
        <v>0</v>
      </c>
      <c r="G47" s="58">
        <f>SUMIF('JUNE (물량흐름)'!$C$13:$C$493,'In-out-bal products (155)(완성제품)'!B47,'JUNE (물량흐름)'!$V$13:$V$493)</f>
        <v>0</v>
      </c>
      <c r="H47" s="58">
        <f>SUMIF('JUNE (물량흐름)'!$C$13:$C$493,'In-out-bal products (155)(완성제품)'!B47,'JUNE (물량흐름)'!$T$13:$T$493)-SUMIF('JUNE (물량흐름)'!$C$13:$C$493,'In-out-bal products (155)(완성제품)'!B47,'JUNE (물량흐름)'!$Y$13:$Y$493)+SUMIF('JUNE (물량흐름)'!$C$13:$C$493,'In-out-bal products (155)(완성제품)'!B47,'JUNE (물량흐름)'!$U$13:$U$493)</f>
        <v>56</v>
      </c>
      <c r="I47" s="58">
        <f t="shared" si="6"/>
        <v>68152.053571428565</v>
      </c>
      <c r="J47" s="58">
        <f>SUMIF('Direct labour(직접노무비)'!$C$12:$C$503,'In-out-bal products (155)(완성제품)'!B47,'Direct labour(직접노무비)'!$Q$12:$Q$503)</f>
        <v>1614622</v>
      </c>
      <c r="K47" s="59">
        <f>SUMIF('Overhead exp(제조경비)'!$C$12:$C$503,'In-out-bal products (155)(완성제품)'!B47,'Overhead exp(제조경비)'!$Q$12:$Q$503)</f>
        <v>2201893</v>
      </c>
      <c r="L47" s="58">
        <f t="shared" si="7"/>
        <v>3816515</v>
      </c>
      <c r="M47" s="58">
        <f>SUMIF('JUNE (물량흐름)'!$C$13:$C$488,'In-out-bal products (155)(완성제품)'!B47,'JUNE (물량흐름)'!$Y$13:$Y$488)</f>
        <v>0</v>
      </c>
      <c r="N47" s="58">
        <f t="shared" si="8"/>
        <v>0</v>
      </c>
      <c r="O47" s="58">
        <f>SUMIF('Direct labour(직접노무비)'!$C$12:$C$503,'In-out-bal products (155)(완성제품)'!B47,'Direct labour(직접노무비)'!$U$12:$U$503)+SUMIF('Overhead exp(제조경비)'!$C$12:$C$503,'In-out-bal products (155)(완성제품)'!B47,'Overhead exp(제조경비)'!$U$12:$U$503)</f>
        <v>0</v>
      </c>
      <c r="P47" s="60">
        <f t="shared" si="9"/>
        <v>56</v>
      </c>
      <c r="Q47" s="60">
        <f t="shared" si="10"/>
        <v>68152.053571428565</v>
      </c>
      <c r="R47" s="60">
        <f t="shared" si="11"/>
        <v>3816515</v>
      </c>
      <c r="S47" s="58">
        <v>0</v>
      </c>
      <c r="T47" s="58">
        <v>0</v>
      </c>
      <c r="U47" s="58">
        <v>0</v>
      </c>
      <c r="V47" s="58">
        <f>SUMIF('JUNE (물량흐름)'!$C$13:$C$493,'In-out-bal products (155)(완성제품)'!B47,'JUNE (물량흐름)'!$W$13:$W$493)</f>
        <v>0</v>
      </c>
      <c r="W47" s="58">
        <f t="shared" si="12"/>
        <v>0</v>
      </c>
      <c r="X47" s="58">
        <f t="shared" si="13"/>
        <v>0</v>
      </c>
      <c r="Y47" s="58">
        <f>SUMIF('JUNE (물량흐름)'!$C$13:$C$488,'In-out-bal products (155)(완성제품)'!B47,'JUNE (물량흐름)'!$X$13:$X$488)</f>
        <v>0</v>
      </c>
      <c r="Z47" s="58">
        <f t="shared" si="14"/>
        <v>0</v>
      </c>
      <c r="AA47" s="58">
        <f t="shared" si="15"/>
        <v>0</v>
      </c>
      <c r="AB47" s="58"/>
      <c r="AC47" s="58"/>
      <c r="AD47" s="61"/>
      <c r="AE47" s="58">
        <f t="shared" si="16"/>
        <v>0</v>
      </c>
      <c r="AF47" s="58">
        <f t="shared" si="17"/>
        <v>0</v>
      </c>
      <c r="AG47" s="61">
        <f t="shared" si="18"/>
        <v>0</v>
      </c>
      <c r="AH47" s="58">
        <v>0</v>
      </c>
      <c r="AI47" s="58">
        <v>0</v>
      </c>
      <c r="AJ47" s="61">
        <v>0</v>
      </c>
      <c r="AK47" s="58"/>
      <c r="AL47" s="58"/>
      <c r="AM47" s="61"/>
      <c r="AN47" s="61">
        <f t="shared" si="19"/>
        <v>0</v>
      </c>
      <c r="AO47" s="58">
        <f t="shared" si="20"/>
        <v>0</v>
      </c>
      <c r="AP47" s="61">
        <f t="shared" si="21"/>
        <v>0</v>
      </c>
      <c r="AQ47" s="58">
        <f t="shared" si="22"/>
        <v>56</v>
      </c>
      <c r="AR47" s="58">
        <f t="shared" si="23"/>
        <v>68152.053571428565</v>
      </c>
      <c r="AS47" s="58">
        <f t="shared" si="24"/>
        <v>3816515</v>
      </c>
      <c r="AT47" s="58">
        <f>ROUND(SUMIF('JUNE (물량흐름)'!$C$13:$C$502,'In-out-bal products (155)(완성제품)'!B47,'JUNE (물량흐름)'!$AB$13:$AB$502),0)</f>
        <v>0</v>
      </c>
      <c r="AU47" s="58">
        <f t="shared" si="25"/>
        <v>0</v>
      </c>
      <c r="AV47" s="58">
        <f>ROUND(SUMIF('JUNE (물량흐름)'!$C$13:$C$502,'In-out-bal products (155)(완성제품)'!B47,'JUNE (물량흐름)'!$AC$13:$AC$502),0)</f>
        <v>56</v>
      </c>
      <c r="AW47" s="58">
        <f t="shared" si="26"/>
        <v>3816515</v>
      </c>
      <c r="AX47" s="376">
        <f t="shared" si="27"/>
        <v>0</v>
      </c>
      <c r="AY47" s="377">
        <f t="shared" si="28"/>
        <v>0</v>
      </c>
      <c r="AZ47" s="377">
        <f t="shared" si="29"/>
        <v>0</v>
      </c>
      <c r="BA47" s="377">
        <f t="shared" si="30"/>
        <v>0</v>
      </c>
      <c r="BB47" s="377"/>
      <c r="BC47" s="377">
        <f t="shared" si="31"/>
        <v>0</v>
      </c>
      <c r="BD47" s="377">
        <f t="shared" si="32"/>
        <v>0</v>
      </c>
      <c r="BE47" s="377"/>
      <c r="BF47" s="377">
        <f t="shared" si="33"/>
        <v>0</v>
      </c>
      <c r="BG47" s="433">
        <f t="shared" si="34"/>
        <v>0</v>
      </c>
      <c r="BH47" s="434">
        <f t="shared" si="35"/>
        <v>0</v>
      </c>
    </row>
    <row r="48" spans="1:60" s="378" customFormat="1">
      <c r="A48" s="167">
        <v>37</v>
      </c>
      <c r="B48" s="253">
        <f>VLOOKUP(A48,'JUNE (물량흐름)'!$A$13:$C$493,3,0)</f>
        <v>100005705</v>
      </c>
      <c r="C48" s="57" t="str">
        <f>VLOOKUP(A48,'JUNE (물량흐름)'!$A$13:$C$493,2,0)</f>
        <v>ALFANI</v>
      </c>
      <c r="D48" s="58">
        <f>IFERROR(VLOOKUP(B48,O.B.JUNE!$V$7:$Y$448,2,0),0)</f>
        <v>3</v>
      </c>
      <c r="E48" s="58">
        <f>IFERROR(VLOOKUP(B48,O.B.JUNE!$V$7:$X$448,3,0),0)</f>
        <v>42329.333333333336</v>
      </c>
      <c r="F48" s="58">
        <f>IFERROR(VLOOKUP(B48,O.B.JUNE!$V$7:$Y$448,4,0),0)</f>
        <v>126988</v>
      </c>
      <c r="G48" s="58">
        <f>SUMIF('JUNE (물량흐름)'!$C$13:$C$493,'In-out-bal products (155)(완성제품)'!B48,'JUNE (물량흐름)'!$V$13:$V$493)</f>
        <v>0</v>
      </c>
      <c r="H48" s="58">
        <f>SUMIF('JUNE (물량흐름)'!$C$13:$C$493,'In-out-bal products (155)(완성제품)'!B48,'JUNE (물량흐름)'!$T$13:$T$493)-SUMIF('JUNE (물량흐름)'!$C$13:$C$493,'In-out-bal products (155)(완성제품)'!B48,'JUNE (물량흐름)'!$Y$13:$Y$493)+SUMIF('JUNE (물량흐름)'!$C$13:$C$493,'In-out-bal products (155)(완성제품)'!B48,'JUNE (물량흐름)'!$U$13:$U$493)</f>
        <v>0</v>
      </c>
      <c r="I48" s="58">
        <f t="shared" si="6"/>
        <v>0</v>
      </c>
      <c r="J48" s="58">
        <f>SUMIF('Direct labour(직접노무비)'!$C$12:$C$503,'In-out-bal products (155)(완성제품)'!B48,'Direct labour(직접노무비)'!$Q$12:$Q$503)</f>
        <v>0</v>
      </c>
      <c r="K48" s="59">
        <f>SUMIF('Overhead exp(제조경비)'!$C$12:$C$503,'In-out-bal products (155)(완성제품)'!B48,'Overhead exp(제조경비)'!$Q$12:$Q$503)</f>
        <v>0</v>
      </c>
      <c r="L48" s="58">
        <f t="shared" si="7"/>
        <v>0</v>
      </c>
      <c r="M48" s="58">
        <f>SUMIF('JUNE (물량흐름)'!$C$13:$C$488,'In-out-bal products (155)(완성제품)'!B48,'JUNE (물량흐름)'!$Y$13:$Y$488)</f>
        <v>0</v>
      </c>
      <c r="N48" s="58">
        <f t="shared" si="8"/>
        <v>0</v>
      </c>
      <c r="O48" s="58">
        <f>SUMIF('Direct labour(직접노무비)'!$C$12:$C$503,'In-out-bal products (155)(완성제품)'!B48,'Direct labour(직접노무비)'!$U$12:$U$503)+SUMIF('Overhead exp(제조경비)'!$C$12:$C$503,'In-out-bal products (155)(완성제품)'!B48,'Overhead exp(제조경비)'!$U$12:$U$503)</f>
        <v>0</v>
      </c>
      <c r="P48" s="60">
        <f t="shared" si="9"/>
        <v>0</v>
      </c>
      <c r="Q48" s="60">
        <f t="shared" si="10"/>
        <v>0</v>
      </c>
      <c r="R48" s="60">
        <f t="shared" si="11"/>
        <v>0</v>
      </c>
      <c r="S48" s="58">
        <v>0</v>
      </c>
      <c r="T48" s="58">
        <v>0</v>
      </c>
      <c r="U48" s="58">
        <v>0</v>
      </c>
      <c r="V48" s="58">
        <f>SUMIF('JUNE (물량흐름)'!$C$13:$C$493,'In-out-bal products (155)(완성제품)'!B48,'JUNE (물량흐름)'!$W$13:$W$493)</f>
        <v>0</v>
      </c>
      <c r="W48" s="58">
        <f t="shared" si="12"/>
        <v>0</v>
      </c>
      <c r="X48" s="58">
        <f t="shared" si="13"/>
        <v>0</v>
      </c>
      <c r="Y48" s="58">
        <f>SUMIF('JUNE (물량흐름)'!$C$13:$C$488,'In-out-bal products (155)(완성제품)'!B48,'JUNE (물량흐름)'!$X$13:$X$488)</f>
        <v>0</v>
      </c>
      <c r="Z48" s="58">
        <f t="shared" si="14"/>
        <v>0</v>
      </c>
      <c r="AA48" s="58">
        <f t="shared" si="15"/>
        <v>0</v>
      </c>
      <c r="AB48" s="58"/>
      <c r="AC48" s="58"/>
      <c r="AD48" s="61"/>
      <c r="AE48" s="58">
        <f t="shared" si="16"/>
        <v>0</v>
      </c>
      <c r="AF48" s="58">
        <f t="shared" si="17"/>
        <v>0</v>
      </c>
      <c r="AG48" s="61">
        <f t="shared" si="18"/>
        <v>0</v>
      </c>
      <c r="AH48" s="58">
        <v>0</v>
      </c>
      <c r="AI48" s="58">
        <v>0</v>
      </c>
      <c r="AJ48" s="61">
        <v>0</v>
      </c>
      <c r="AK48" s="58"/>
      <c r="AL48" s="58"/>
      <c r="AM48" s="61"/>
      <c r="AN48" s="61">
        <f t="shared" si="19"/>
        <v>0</v>
      </c>
      <c r="AO48" s="58">
        <f t="shared" si="20"/>
        <v>0</v>
      </c>
      <c r="AP48" s="61">
        <f t="shared" si="21"/>
        <v>0</v>
      </c>
      <c r="AQ48" s="58">
        <f t="shared" si="22"/>
        <v>3</v>
      </c>
      <c r="AR48" s="58">
        <f t="shared" si="23"/>
        <v>42329.333333333336</v>
      </c>
      <c r="AS48" s="58">
        <f t="shared" si="24"/>
        <v>126988</v>
      </c>
      <c r="AT48" s="58">
        <f>ROUND(SUMIF('JUNE (물량흐름)'!$C$13:$C$502,'In-out-bal products (155)(완성제품)'!B48,'JUNE (물량흐름)'!$AB$13:$AB$502),0)</f>
        <v>0</v>
      </c>
      <c r="AU48" s="58">
        <f t="shared" si="25"/>
        <v>0</v>
      </c>
      <c r="AV48" s="58">
        <f>ROUND(SUMIF('JUNE (물량흐름)'!$C$13:$C$502,'In-out-bal products (155)(완성제품)'!B48,'JUNE (물량흐름)'!$AC$13:$AC$502),0)</f>
        <v>3</v>
      </c>
      <c r="AW48" s="58">
        <f t="shared" si="26"/>
        <v>126988</v>
      </c>
      <c r="AX48" s="376">
        <f t="shared" si="27"/>
        <v>0</v>
      </c>
      <c r="AY48" s="377">
        <f t="shared" si="28"/>
        <v>0</v>
      </c>
      <c r="AZ48" s="377">
        <f t="shared" si="29"/>
        <v>0</v>
      </c>
      <c r="BA48" s="377">
        <f t="shared" si="30"/>
        <v>0</v>
      </c>
      <c r="BB48" s="377"/>
      <c r="BC48" s="377">
        <f t="shared" si="31"/>
        <v>0</v>
      </c>
      <c r="BD48" s="377">
        <f t="shared" si="32"/>
        <v>0</v>
      </c>
      <c r="BE48" s="377"/>
      <c r="BF48" s="377">
        <f t="shared" si="33"/>
        <v>0</v>
      </c>
      <c r="BG48" s="433">
        <f t="shared" si="34"/>
        <v>0</v>
      </c>
      <c r="BH48" s="434">
        <f t="shared" si="35"/>
        <v>0</v>
      </c>
    </row>
    <row r="49" spans="1:60" s="378" customFormat="1">
      <c r="A49" s="167">
        <v>38</v>
      </c>
      <c r="B49" s="253">
        <f>VLOOKUP(A49,'JUNE (물량흐름)'!$A$13:$C$493,3,0)</f>
        <v>100005710</v>
      </c>
      <c r="C49" s="57" t="str">
        <f>VLOOKUP(A49,'JUNE (물량흐름)'!$A$13:$C$493,2,0)</f>
        <v>ALFANI</v>
      </c>
      <c r="D49" s="58">
        <f>IFERROR(VLOOKUP(B49,O.B.JUNE!$V$7:$Y$448,2,0),0)</f>
        <v>0</v>
      </c>
      <c r="E49" s="58">
        <f>IFERROR(VLOOKUP(B49,O.B.JUNE!$V$7:$X$448,3,0),0)</f>
        <v>0</v>
      </c>
      <c r="F49" s="58">
        <f>IFERROR(VLOOKUP(B49,O.B.JUNE!$V$7:$Y$448,4,0),0)</f>
        <v>0</v>
      </c>
      <c r="G49" s="58">
        <f>SUMIF('JUNE (물량흐름)'!$C$13:$C$493,'In-out-bal products (155)(완성제품)'!B49,'JUNE (물량흐름)'!$V$13:$V$493)</f>
        <v>0</v>
      </c>
      <c r="H49" s="58">
        <f>SUMIF('JUNE (물량흐름)'!$C$13:$C$493,'In-out-bal products (155)(완성제품)'!B49,'JUNE (물량흐름)'!$T$13:$T$493)-SUMIF('JUNE (물량흐름)'!$C$13:$C$493,'In-out-bal products (155)(완성제품)'!B49,'JUNE (물량흐름)'!$Y$13:$Y$493)+SUMIF('JUNE (물량흐름)'!$C$13:$C$493,'In-out-bal products (155)(완성제품)'!B49,'JUNE (물량흐름)'!$U$13:$U$493)</f>
        <v>0</v>
      </c>
      <c r="I49" s="58">
        <f t="shared" si="6"/>
        <v>0</v>
      </c>
      <c r="J49" s="58">
        <f>SUMIF('Direct labour(직접노무비)'!$C$12:$C$503,'In-out-bal products (155)(완성제품)'!B49,'Direct labour(직접노무비)'!$Q$12:$Q$503)</f>
        <v>0</v>
      </c>
      <c r="K49" s="59">
        <f>SUMIF('Overhead exp(제조경비)'!$C$12:$C$503,'In-out-bal products (155)(완성제품)'!B49,'Overhead exp(제조경비)'!$Q$12:$Q$503)</f>
        <v>0</v>
      </c>
      <c r="L49" s="58">
        <f t="shared" si="7"/>
        <v>0</v>
      </c>
      <c r="M49" s="58">
        <f>SUMIF('JUNE (물량흐름)'!$C$13:$C$488,'In-out-bal products (155)(완성제품)'!B49,'JUNE (물량흐름)'!$Y$13:$Y$488)</f>
        <v>0</v>
      </c>
      <c r="N49" s="58">
        <f t="shared" si="8"/>
        <v>0</v>
      </c>
      <c r="O49" s="58">
        <f>SUMIF('Direct labour(직접노무비)'!$C$12:$C$503,'In-out-bal products (155)(완성제품)'!B49,'Direct labour(직접노무비)'!$U$12:$U$503)+SUMIF('Overhead exp(제조경비)'!$C$12:$C$503,'In-out-bal products (155)(완성제품)'!B49,'Overhead exp(제조경비)'!$U$12:$U$503)</f>
        <v>0</v>
      </c>
      <c r="P49" s="60">
        <f t="shared" si="9"/>
        <v>0</v>
      </c>
      <c r="Q49" s="60">
        <f t="shared" si="10"/>
        <v>0</v>
      </c>
      <c r="R49" s="60">
        <f t="shared" si="11"/>
        <v>0</v>
      </c>
      <c r="S49" s="58">
        <v>0</v>
      </c>
      <c r="T49" s="58">
        <v>0</v>
      </c>
      <c r="U49" s="58">
        <v>0</v>
      </c>
      <c r="V49" s="58">
        <f>SUMIF('JUNE (물량흐름)'!$C$13:$C$493,'In-out-bal products (155)(완성제품)'!B49,'JUNE (물량흐름)'!$W$13:$W$493)</f>
        <v>0</v>
      </c>
      <c r="W49" s="58">
        <f t="shared" si="12"/>
        <v>0</v>
      </c>
      <c r="X49" s="58">
        <f t="shared" si="13"/>
        <v>0</v>
      </c>
      <c r="Y49" s="58">
        <f>SUMIF('JUNE (물량흐름)'!$C$13:$C$488,'In-out-bal products (155)(완성제품)'!B49,'JUNE (물량흐름)'!$X$13:$X$488)</f>
        <v>0</v>
      </c>
      <c r="Z49" s="58">
        <f t="shared" si="14"/>
        <v>0</v>
      </c>
      <c r="AA49" s="58">
        <f t="shared" si="15"/>
        <v>0</v>
      </c>
      <c r="AB49" s="58"/>
      <c r="AC49" s="58"/>
      <c r="AD49" s="61"/>
      <c r="AE49" s="58">
        <f t="shared" si="16"/>
        <v>0</v>
      </c>
      <c r="AF49" s="58">
        <f t="shared" si="17"/>
        <v>0</v>
      </c>
      <c r="AG49" s="61">
        <f t="shared" si="18"/>
        <v>0</v>
      </c>
      <c r="AH49" s="58">
        <v>0</v>
      </c>
      <c r="AI49" s="58">
        <v>0</v>
      </c>
      <c r="AJ49" s="61">
        <v>0</v>
      </c>
      <c r="AK49" s="58"/>
      <c r="AL49" s="58"/>
      <c r="AM49" s="61"/>
      <c r="AN49" s="61">
        <f t="shared" si="19"/>
        <v>0</v>
      </c>
      <c r="AO49" s="58">
        <f t="shared" si="20"/>
        <v>0</v>
      </c>
      <c r="AP49" s="61">
        <f t="shared" si="21"/>
        <v>0</v>
      </c>
      <c r="AQ49" s="58">
        <f t="shared" si="22"/>
        <v>0</v>
      </c>
      <c r="AR49" s="58">
        <f t="shared" si="23"/>
        <v>0</v>
      </c>
      <c r="AS49" s="58">
        <f t="shared" si="24"/>
        <v>0</v>
      </c>
      <c r="AT49" s="58">
        <f>ROUND(SUMIF('JUNE (물량흐름)'!$C$13:$C$502,'In-out-bal products (155)(완성제품)'!B49,'JUNE (물량흐름)'!$AB$13:$AB$502),0)</f>
        <v>0</v>
      </c>
      <c r="AU49" s="58">
        <f t="shared" si="25"/>
        <v>0</v>
      </c>
      <c r="AV49" s="58">
        <f>ROUND(SUMIF('JUNE (물량흐름)'!$C$13:$C$502,'In-out-bal products (155)(완성제품)'!B49,'JUNE (물량흐름)'!$AC$13:$AC$502),0)</f>
        <v>0</v>
      </c>
      <c r="AW49" s="58">
        <f t="shared" si="26"/>
        <v>0</v>
      </c>
      <c r="AX49" s="376">
        <f t="shared" si="27"/>
        <v>0</v>
      </c>
      <c r="AY49" s="377">
        <f t="shared" si="28"/>
        <v>0</v>
      </c>
      <c r="AZ49" s="377">
        <f t="shared" si="29"/>
        <v>0</v>
      </c>
      <c r="BA49" s="377">
        <f t="shared" si="30"/>
        <v>0</v>
      </c>
      <c r="BB49" s="377"/>
      <c r="BC49" s="377">
        <f t="shared" si="31"/>
        <v>0</v>
      </c>
      <c r="BD49" s="377">
        <f t="shared" si="32"/>
        <v>0</v>
      </c>
      <c r="BE49" s="377"/>
      <c r="BF49" s="377">
        <f t="shared" si="33"/>
        <v>0</v>
      </c>
      <c r="BG49" s="433">
        <f t="shared" si="34"/>
        <v>0</v>
      </c>
      <c r="BH49" s="434">
        <f t="shared" si="35"/>
        <v>0</v>
      </c>
    </row>
    <row r="50" spans="1:60" s="378" customFormat="1">
      <c r="A50" s="167">
        <v>39</v>
      </c>
      <c r="B50" s="253">
        <f>VLOOKUP(A50,'JUNE (물량흐름)'!$A$13:$C$493,3,0)</f>
        <v>100008197</v>
      </c>
      <c r="C50" s="57" t="str">
        <f>VLOOKUP(A50,'JUNE (물량흐름)'!$A$13:$C$493,2,0)</f>
        <v>ALFANI</v>
      </c>
      <c r="D50" s="58">
        <f>IFERROR(VLOOKUP(B50,O.B.JUNE!$V$7:$Y$448,2,0),0)</f>
        <v>0</v>
      </c>
      <c r="E50" s="58">
        <f>IFERROR(VLOOKUP(B50,O.B.JUNE!$V$7:$X$448,3,0),0)</f>
        <v>0</v>
      </c>
      <c r="F50" s="58">
        <f>IFERROR(VLOOKUP(B50,O.B.JUNE!$V$7:$Y$448,4,0),0)</f>
        <v>0</v>
      </c>
      <c r="G50" s="58">
        <f>SUMIF('JUNE (물량흐름)'!$C$13:$C$493,'In-out-bal products (155)(완성제품)'!B50,'JUNE (물량흐름)'!$V$13:$V$493)</f>
        <v>0</v>
      </c>
      <c r="H50" s="58">
        <f>SUMIF('JUNE (물량흐름)'!$C$13:$C$493,'In-out-bal products (155)(완성제품)'!B50,'JUNE (물량흐름)'!$T$13:$T$493)-SUMIF('JUNE (물량흐름)'!$C$13:$C$493,'In-out-bal products (155)(완성제품)'!B50,'JUNE (물량흐름)'!$Y$13:$Y$493)+SUMIF('JUNE (물량흐름)'!$C$13:$C$493,'In-out-bal products (155)(완성제품)'!B50,'JUNE (물량흐름)'!$U$13:$U$493)</f>
        <v>0</v>
      </c>
      <c r="I50" s="58">
        <f t="shared" si="6"/>
        <v>0</v>
      </c>
      <c r="J50" s="58">
        <f>SUMIF('Direct labour(직접노무비)'!$C$12:$C$503,'In-out-bal products (155)(완성제품)'!B50,'Direct labour(직접노무비)'!$Q$12:$Q$503)</f>
        <v>0</v>
      </c>
      <c r="K50" s="59">
        <f>SUMIF('Overhead exp(제조경비)'!$C$12:$C$503,'In-out-bal products (155)(완성제품)'!B50,'Overhead exp(제조경비)'!$Q$12:$Q$503)</f>
        <v>0</v>
      </c>
      <c r="L50" s="58">
        <f t="shared" si="7"/>
        <v>0</v>
      </c>
      <c r="M50" s="58">
        <f>SUMIF('JUNE (물량흐름)'!$C$13:$C$488,'In-out-bal products (155)(완성제품)'!B50,'JUNE (물량흐름)'!$Y$13:$Y$488)</f>
        <v>0</v>
      </c>
      <c r="N50" s="58">
        <f t="shared" si="8"/>
        <v>0</v>
      </c>
      <c r="O50" s="58">
        <f>SUMIF('Direct labour(직접노무비)'!$C$12:$C$503,'In-out-bal products (155)(완성제품)'!B50,'Direct labour(직접노무비)'!$U$12:$U$503)+SUMIF('Overhead exp(제조경비)'!$C$12:$C$503,'In-out-bal products (155)(완성제품)'!B50,'Overhead exp(제조경비)'!$U$12:$U$503)</f>
        <v>0</v>
      </c>
      <c r="P50" s="60">
        <f t="shared" si="9"/>
        <v>0</v>
      </c>
      <c r="Q50" s="60">
        <f t="shared" si="10"/>
        <v>0</v>
      </c>
      <c r="R50" s="60">
        <f t="shared" si="11"/>
        <v>0</v>
      </c>
      <c r="S50" s="58">
        <v>0</v>
      </c>
      <c r="T50" s="58">
        <v>0</v>
      </c>
      <c r="U50" s="58">
        <v>0</v>
      </c>
      <c r="V50" s="58">
        <f>SUMIF('JUNE (물량흐름)'!$C$13:$C$493,'In-out-bal products (155)(완성제품)'!B50,'JUNE (물량흐름)'!$W$13:$W$493)</f>
        <v>0</v>
      </c>
      <c r="W50" s="58">
        <f t="shared" si="12"/>
        <v>0</v>
      </c>
      <c r="X50" s="58">
        <f t="shared" si="13"/>
        <v>0</v>
      </c>
      <c r="Y50" s="58">
        <f>SUMIF('JUNE (물량흐름)'!$C$13:$C$488,'In-out-bal products (155)(완성제품)'!B50,'JUNE (물량흐름)'!$X$13:$X$488)</f>
        <v>0</v>
      </c>
      <c r="Z50" s="58">
        <f t="shared" si="14"/>
        <v>0</v>
      </c>
      <c r="AA50" s="58">
        <f t="shared" si="15"/>
        <v>0</v>
      </c>
      <c r="AB50" s="58"/>
      <c r="AC50" s="58"/>
      <c r="AD50" s="61"/>
      <c r="AE50" s="58">
        <f t="shared" si="16"/>
        <v>0</v>
      </c>
      <c r="AF50" s="58">
        <f t="shared" si="17"/>
        <v>0</v>
      </c>
      <c r="AG50" s="61">
        <f t="shared" si="18"/>
        <v>0</v>
      </c>
      <c r="AH50" s="58">
        <v>0</v>
      </c>
      <c r="AI50" s="58">
        <v>0</v>
      </c>
      <c r="AJ50" s="61">
        <v>0</v>
      </c>
      <c r="AK50" s="58"/>
      <c r="AL50" s="58"/>
      <c r="AM50" s="61"/>
      <c r="AN50" s="61">
        <f t="shared" si="19"/>
        <v>0</v>
      </c>
      <c r="AO50" s="58">
        <f t="shared" si="20"/>
        <v>0</v>
      </c>
      <c r="AP50" s="61">
        <f t="shared" si="21"/>
        <v>0</v>
      </c>
      <c r="AQ50" s="58">
        <f t="shared" si="22"/>
        <v>0</v>
      </c>
      <c r="AR50" s="58">
        <f t="shared" si="23"/>
        <v>0</v>
      </c>
      <c r="AS50" s="58">
        <f t="shared" si="24"/>
        <v>0</v>
      </c>
      <c r="AT50" s="58">
        <f>ROUND(SUMIF('JUNE (물량흐름)'!$C$13:$C$502,'In-out-bal products (155)(완성제품)'!B50,'JUNE (물량흐름)'!$AB$13:$AB$502),0)</f>
        <v>0</v>
      </c>
      <c r="AU50" s="58">
        <f t="shared" si="25"/>
        <v>0</v>
      </c>
      <c r="AV50" s="58">
        <f>ROUND(SUMIF('JUNE (물량흐름)'!$C$13:$C$502,'In-out-bal products (155)(완성제품)'!B50,'JUNE (물량흐름)'!$AC$13:$AC$502),0)</f>
        <v>0</v>
      </c>
      <c r="AW50" s="58">
        <f t="shared" si="26"/>
        <v>0</v>
      </c>
      <c r="AX50" s="376">
        <f t="shared" si="27"/>
        <v>0</v>
      </c>
      <c r="AY50" s="377">
        <f t="shared" si="28"/>
        <v>0</v>
      </c>
      <c r="AZ50" s="377">
        <f t="shared" si="29"/>
        <v>0</v>
      </c>
      <c r="BA50" s="377">
        <f t="shared" si="30"/>
        <v>0</v>
      </c>
      <c r="BB50" s="377"/>
      <c r="BC50" s="377">
        <f t="shared" si="31"/>
        <v>0</v>
      </c>
      <c r="BD50" s="377">
        <f t="shared" si="32"/>
        <v>0</v>
      </c>
      <c r="BE50" s="377"/>
      <c r="BF50" s="377">
        <f t="shared" si="33"/>
        <v>0</v>
      </c>
      <c r="BG50" s="433">
        <f t="shared" si="34"/>
        <v>0</v>
      </c>
      <c r="BH50" s="434">
        <f t="shared" si="35"/>
        <v>0</v>
      </c>
    </row>
    <row r="51" spans="1:60" s="378" customFormat="1">
      <c r="A51" s="167">
        <v>40</v>
      </c>
      <c r="B51" s="253">
        <f>VLOOKUP(A51,'JUNE (물량흐름)'!$A$13:$C$493,3,0)</f>
        <v>100008887</v>
      </c>
      <c r="C51" s="57" t="str">
        <f>VLOOKUP(A51,'JUNE (물량흐름)'!$A$13:$C$493,2,0)</f>
        <v>ALFANI</v>
      </c>
      <c r="D51" s="58">
        <f>IFERROR(VLOOKUP(B51,O.B.JUNE!$V$7:$Y$448,2,0),0)</f>
        <v>0</v>
      </c>
      <c r="E51" s="58">
        <f>IFERROR(VLOOKUP(B51,O.B.JUNE!$V$7:$X$448,3,0),0)</f>
        <v>0</v>
      </c>
      <c r="F51" s="58">
        <f>IFERROR(VLOOKUP(B51,O.B.JUNE!$V$7:$Y$448,4,0),0)</f>
        <v>0</v>
      </c>
      <c r="G51" s="58">
        <f>SUMIF('JUNE (물량흐름)'!$C$13:$C$493,'In-out-bal products (155)(완성제품)'!B51,'JUNE (물량흐름)'!$V$13:$V$493)</f>
        <v>0</v>
      </c>
      <c r="H51" s="58">
        <f>SUMIF('JUNE (물량흐름)'!$C$13:$C$493,'In-out-bal products (155)(완성제품)'!B51,'JUNE (물량흐름)'!$T$13:$T$493)-SUMIF('JUNE (물량흐름)'!$C$13:$C$493,'In-out-bal products (155)(완성제품)'!B51,'JUNE (물량흐름)'!$Y$13:$Y$493)+SUMIF('JUNE (물량흐름)'!$C$13:$C$493,'In-out-bal products (155)(완성제품)'!B51,'JUNE (물량흐름)'!$U$13:$U$493)</f>
        <v>0</v>
      </c>
      <c r="I51" s="58">
        <f t="shared" si="6"/>
        <v>0</v>
      </c>
      <c r="J51" s="58">
        <f>SUMIF('Direct labour(직접노무비)'!$C$12:$C$503,'In-out-bal products (155)(완성제품)'!B51,'Direct labour(직접노무비)'!$Q$12:$Q$503)</f>
        <v>0</v>
      </c>
      <c r="K51" s="59">
        <f>SUMIF('Overhead exp(제조경비)'!$C$12:$C$503,'In-out-bal products (155)(완성제품)'!B51,'Overhead exp(제조경비)'!$Q$12:$Q$503)</f>
        <v>0</v>
      </c>
      <c r="L51" s="58">
        <f t="shared" si="7"/>
        <v>0</v>
      </c>
      <c r="M51" s="58">
        <f>SUMIF('JUNE (물량흐름)'!$C$13:$C$488,'In-out-bal products (155)(완성제품)'!B51,'JUNE (물량흐름)'!$Y$13:$Y$488)</f>
        <v>0</v>
      </c>
      <c r="N51" s="58">
        <f t="shared" si="8"/>
        <v>0</v>
      </c>
      <c r="O51" s="58">
        <f>SUMIF('Direct labour(직접노무비)'!$C$12:$C$503,'In-out-bal products (155)(완성제품)'!B51,'Direct labour(직접노무비)'!$U$12:$U$503)+SUMIF('Overhead exp(제조경비)'!$C$12:$C$503,'In-out-bal products (155)(완성제품)'!B51,'Overhead exp(제조경비)'!$U$12:$U$503)</f>
        <v>0</v>
      </c>
      <c r="P51" s="60">
        <f t="shared" si="9"/>
        <v>0</v>
      </c>
      <c r="Q51" s="60">
        <f t="shared" si="10"/>
        <v>0</v>
      </c>
      <c r="R51" s="60">
        <f t="shared" si="11"/>
        <v>0</v>
      </c>
      <c r="S51" s="58">
        <v>0</v>
      </c>
      <c r="T51" s="58">
        <v>0</v>
      </c>
      <c r="U51" s="58">
        <v>0</v>
      </c>
      <c r="V51" s="58">
        <f>SUMIF('JUNE (물량흐름)'!$C$13:$C$493,'In-out-bal products (155)(완성제품)'!B51,'JUNE (물량흐름)'!$W$13:$W$493)</f>
        <v>0</v>
      </c>
      <c r="W51" s="58">
        <f t="shared" si="12"/>
        <v>0</v>
      </c>
      <c r="X51" s="58">
        <f t="shared" si="13"/>
        <v>0</v>
      </c>
      <c r="Y51" s="58">
        <f>SUMIF('JUNE (물량흐름)'!$C$13:$C$488,'In-out-bal products (155)(완성제품)'!B51,'JUNE (물량흐름)'!$X$13:$X$488)</f>
        <v>0</v>
      </c>
      <c r="Z51" s="58">
        <f t="shared" si="14"/>
        <v>0</v>
      </c>
      <c r="AA51" s="58">
        <f t="shared" si="15"/>
        <v>0</v>
      </c>
      <c r="AB51" s="58"/>
      <c r="AC51" s="58"/>
      <c r="AD51" s="61"/>
      <c r="AE51" s="58">
        <f t="shared" si="16"/>
        <v>0</v>
      </c>
      <c r="AF51" s="58">
        <f t="shared" si="17"/>
        <v>0</v>
      </c>
      <c r="AG51" s="61">
        <f t="shared" si="18"/>
        <v>0</v>
      </c>
      <c r="AH51" s="58">
        <v>0</v>
      </c>
      <c r="AI51" s="58">
        <v>0</v>
      </c>
      <c r="AJ51" s="61">
        <v>0</v>
      </c>
      <c r="AK51" s="58"/>
      <c r="AL51" s="58"/>
      <c r="AM51" s="61"/>
      <c r="AN51" s="61">
        <f t="shared" si="19"/>
        <v>0</v>
      </c>
      <c r="AO51" s="58">
        <f t="shared" si="20"/>
        <v>0</v>
      </c>
      <c r="AP51" s="61">
        <f t="shared" si="21"/>
        <v>0</v>
      </c>
      <c r="AQ51" s="58">
        <f t="shared" si="22"/>
        <v>0</v>
      </c>
      <c r="AR51" s="58">
        <f t="shared" si="23"/>
        <v>0</v>
      </c>
      <c r="AS51" s="58">
        <f t="shared" si="24"/>
        <v>0</v>
      </c>
      <c r="AT51" s="58">
        <f>ROUND(SUMIF('JUNE (물량흐름)'!$C$13:$C$502,'In-out-bal products (155)(완성제품)'!B51,'JUNE (물량흐름)'!$AB$13:$AB$502),0)</f>
        <v>0</v>
      </c>
      <c r="AU51" s="58">
        <f t="shared" si="25"/>
        <v>0</v>
      </c>
      <c r="AV51" s="58">
        <f>ROUND(SUMIF('JUNE (물량흐름)'!$C$13:$C$502,'In-out-bal products (155)(완성제품)'!B51,'JUNE (물량흐름)'!$AC$13:$AC$502),0)</f>
        <v>0</v>
      </c>
      <c r="AW51" s="58">
        <f t="shared" si="26"/>
        <v>0</v>
      </c>
      <c r="AX51" s="376">
        <f t="shared" si="27"/>
        <v>0</v>
      </c>
      <c r="AY51" s="377">
        <f t="shared" si="28"/>
        <v>0</v>
      </c>
      <c r="AZ51" s="377">
        <f t="shared" si="29"/>
        <v>0</v>
      </c>
      <c r="BA51" s="377">
        <f t="shared" si="30"/>
        <v>0</v>
      </c>
      <c r="BB51" s="377"/>
      <c r="BC51" s="377">
        <f t="shared" si="31"/>
        <v>0</v>
      </c>
      <c r="BD51" s="377">
        <f t="shared" si="32"/>
        <v>0</v>
      </c>
      <c r="BE51" s="377"/>
      <c r="BF51" s="377">
        <f t="shared" si="33"/>
        <v>0</v>
      </c>
      <c r="BG51" s="433">
        <f t="shared" si="34"/>
        <v>0</v>
      </c>
      <c r="BH51" s="434">
        <f t="shared" si="35"/>
        <v>0</v>
      </c>
    </row>
    <row r="52" spans="1:60" s="378" customFormat="1">
      <c r="A52" s="167">
        <v>41</v>
      </c>
      <c r="B52" s="253">
        <f>VLOOKUP(A52,'JUNE (물량흐름)'!$A$13:$C$493,3,0)</f>
        <v>100010879</v>
      </c>
      <c r="C52" s="57" t="str">
        <f>VLOOKUP(A52,'JUNE (물량흐름)'!$A$13:$C$493,2,0)</f>
        <v>ALFANI</v>
      </c>
      <c r="D52" s="58">
        <f>IFERROR(VLOOKUP(B52,O.B.JUNE!$V$7:$Y$448,2,0),0)</f>
        <v>0</v>
      </c>
      <c r="E52" s="58">
        <f>IFERROR(VLOOKUP(B52,O.B.JUNE!$V$7:$X$448,3,0),0)</f>
        <v>0</v>
      </c>
      <c r="F52" s="58">
        <f>IFERROR(VLOOKUP(B52,O.B.JUNE!$V$7:$Y$448,4,0),0)</f>
        <v>0</v>
      </c>
      <c r="G52" s="58">
        <f>SUMIF('JUNE (물량흐름)'!$C$13:$C$493,'In-out-bal products (155)(완성제품)'!B52,'JUNE (물량흐름)'!$V$13:$V$493)</f>
        <v>0</v>
      </c>
      <c r="H52" s="58">
        <f>SUMIF('JUNE (물량흐름)'!$C$13:$C$493,'In-out-bal products (155)(완성제품)'!B52,'JUNE (물량흐름)'!$T$13:$T$493)-SUMIF('JUNE (물량흐름)'!$C$13:$C$493,'In-out-bal products (155)(완성제품)'!B52,'JUNE (물량흐름)'!$Y$13:$Y$493)+SUMIF('JUNE (물량흐름)'!$C$13:$C$493,'In-out-bal products (155)(완성제품)'!B52,'JUNE (물량흐름)'!$U$13:$U$493)</f>
        <v>0</v>
      </c>
      <c r="I52" s="58">
        <f t="shared" si="6"/>
        <v>0</v>
      </c>
      <c r="J52" s="58">
        <f>SUMIF('Direct labour(직접노무비)'!$C$12:$C$503,'In-out-bal products (155)(완성제품)'!B52,'Direct labour(직접노무비)'!$Q$12:$Q$503)</f>
        <v>0</v>
      </c>
      <c r="K52" s="59">
        <f>SUMIF('Overhead exp(제조경비)'!$C$12:$C$503,'In-out-bal products (155)(완성제품)'!B52,'Overhead exp(제조경비)'!$Q$12:$Q$503)</f>
        <v>0</v>
      </c>
      <c r="L52" s="58">
        <f t="shared" si="7"/>
        <v>0</v>
      </c>
      <c r="M52" s="58">
        <f>SUMIF('JUNE (물량흐름)'!$C$13:$C$488,'In-out-bal products (155)(완성제품)'!B52,'JUNE (물량흐름)'!$Y$13:$Y$488)</f>
        <v>0</v>
      </c>
      <c r="N52" s="58">
        <f t="shared" si="8"/>
        <v>0</v>
      </c>
      <c r="O52" s="58">
        <f>SUMIF('Direct labour(직접노무비)'!$C$12:$C$503,'In-out-bal products (155)(완성제품)'!B52,'Direct labour(직접노무비)'!$U$12:$U$503)+SUMIF('Overhead exp(제조경비)'!$C$12:$C$503,'In-out-bal products (155)(완성제품)'!B52,'Overhead exp(제조경비)'!$U$12:$U$503)</f>
        <v>0</v>
      </c>
      <c r="P52" s="60">
        <f t="shared" si="9"/>
        <v>0</v>
      </c>
      <c r="Q52" s="60">
        <f t="shared" si="10"/>
        <v>0</v>
      </c>
      <c r="R52" s="60">
        <f t="shared" si="11"/>
        <v>0</v>
      </c>
      <c r="S52" s="58">
        <v>0</v>
      </c>
      <c r="T52" s="58">
        <v>0</v>
      </c>
      <c r="U52" s="58">
        <v>0</v>
      </c>
      <c r="V52" s="58">
        <f>SUMIF('JUNE (물량흐름)'!$C$13:$C$493,'In-out-bal products (155)(완성제품)'!B52,'JUNE (물량흐름)'!$W$13:$W$493)</f>
        <v>0</v>
      </c>
      <c r="W52" s="58">
        <f t="shared" si="12"/>
        <v>0</v>
      </c>
      <c r="X52" s="58">
        <f t="shared" si="13"/>
        <v>0</v>
      </c>
      <c r="Y52" s="58">
        <f>SUMIF('JUNE (물량흐름)'!$C$13:$C$488,'In-out-bal products (155)(완성제품)'!B52,'JUNE (물량흐름)'!$X$13:$X$488)</f>
        <v>0</v>
      </c>
      <c r="Z52" s="58">
        <f t="shared" si="14"/>
        <v>0</v>
      </c>
      <c r="AA52" s="58">
        <f t="shared" si="15"/>
        <v>0</v>
      </c>
      <c r="AB52" s="58"/>
      <c r="AC52" s="58"/>
      <c r="AD52" s="61"/>
      <c r="AE52" s="58">
        <f t="shared" si="16"/>
        <v>0</v>
      </c>
      <c r="AF52" s="58">
        <f t="shared" si="17"/>
        <v>0</v>
      </c>
      <c r="AG52" s="61">
        <f t="shared" si="18"/>
        <v>0</v>
      </c>
      <c r="AH52" s="58">
        <v>0</v>
      </c>
      <c r="AI52" s="58">
        <v>0</v>
      </c>
      <c r="AJ52" s="61">
        <v>0</v>
      </c>
      <c r="AK52" s="58"/>
      <c r="AL52" s="58"/>
      <c r="AM52" s="61"/>
      <c r="AN52" s="61">
        <f t="shared" si="19"/>
        <v>0</v>
      </c>
      <c r="AO52" s="58">
        <f t="shared" si="20"/>
        <v>0</v>
      </c>
      <c r="AP52" s="61">
        <f t="shared" si="21"/>
        <v>0</v>
      </c>
      <c r="AQ52" s="58">
        <f t="shared" si="22"/>
        <v>0</v>
      </c>
      <c r="AR52" s="58">
        <f t="shared" si="23"/>
        <v>0</v>
      </c>
      <c r="AS52" s="58">
        <f t="shared" si="24"/>
        <v>0</v>
      </c>
      <c r="AT52" s="58">
        <f>ROUND(SUMIF('JUNE (물량흐름)'!$C$13:$C$502,'In-out-bal products (155)(완성제품)'!B52,'JUNE (물량흐름)'!$AB$13:$AB$502),0)</f>
        <v>0</v>
      </c>
      <c r="AU52" s="58">
        <f t="shared" si="25"/>
        <v>0</v>
      </c>
      <c r="AV52" s="58">
        <f>ROUND(SUMIF('JUNE (물량흐름)'!$C$13:$C$502,'In-out-bal products (155)(완성제품)'!B52,'JUNE (물량흐름)'!$AC$13:$AC$502),0)</f>
        <v>0</v>
      </c>
      <c r="AW52" s="58">
        <f t="shared" si="26"/>
        <v>0</v>
      </c>
      <c r="AX52" s="376">
        <f t="shared" si="27"/>
        <v>0</v>
      </c>
      <c r="AY52" s="377">
        <f t="shared" si="28"/>
        <v>0</v>
      </c>
      <c r="AZ52" s="377">
        <f t="shared" si="29"/>
        <v>0</v>
      </c>
      <c r="BA52" s="377">
        <f t="shared" si="30"/>
        <v>0</v>
      </c>
      <c r="BB52" s="377"/>
      <c r="BC52" s="377">
        <f t="shared" si="31"/>
        <v>0</v>
      </c>
      <c r="BD52" s="377">
        <f t="shared" si="32"/>
        <v>0</v>
      </c>
      <c r="BE52" s="377"/>
      <c r="BF52" s="377">
        <f t="shared" si="33"/>
        <v>0</v>
      </c>
      <c r="BG52" s="433">
        <f t="shared" si="34"/>
        <v>0</v>
      </c>
      <c r="BH52" s="434">
        <f t="shared" si="35"/>
        <v>0</v>
      </c>
    </row>
    <row r="53" spans="1:60" s="378" customFormat="1">
      <c r="A53" s="167">
        <v>42</v>
      </c>
      <c r="B53" s="253">
        <f>VLOOKUP(A53,'JUNE (물량흐름)'!$A$13:$C$493,3,0)</f>
        <v>100010914</v>
      </c>
      <c r="C53" s="57" t="str">
        <f>VLOOKUP(A53,'JUNE (물량흐름)'!$A$13:$C$493,2,0)</f>
        <v>ALFANI</v>
      </c>
      <c r="D53" s="58">
        <f>IFERROR(VLOOKUP(B53,O.B.JUNE!$V$7:$Y$448,2,0),0)</f>
        <v>0</v>
      </c>
      <c r="E53" s="58">
        <f>IFERROR(VLOOKUP(B53,O.B.JUNE!$V$7:$X$448,3,0),0)</f>
        <v>0</v>
      </c>
      <c r="F53" s="58">
        <f>IFERROR(VLOOKUP(B53,O.B.JUNE!$V$7:$Y$448,4,0),0)</f>
        <v>0</v>
      </c>
      <c r="G53" s="58">
        <f>SUMIF('JUNE (물량흐름)'!$C$13:$C$493,'In-out-bal products (155)(완성제품)'!B53,'JUNE (물량흐름)'!$V$13:$V$493)</f>
        <v>0</v>
      </c>
      <c r="H53" s="58">
        <f>SUMIF('JUNE (물량흐름)'!$C$13:$C$493,'In-out-bal products (155)(완성제품)'!B53,'JUNE (물량흐름)'!$T$13:$T$493)-SUMIF('JUNE (물량흐름)'!$C$13:$C$493,'In-out-bal products (155)(완성제품)'!B53,'JUNE (물량흐름)'!$Y$13:$Y$493)+SUMIF('JUNE (물량흐름)'!$C$13:$C$493,'In-out-bal products (155)(완성제품)'!B53,'JUNE (물량흐름)'!$U$13:$U$493)</f>
        <v>0</v>
      </c>
      <c r="I53" s="58">
        <f t="shared" si="6"/>
        <v>0</v>
      </c>
      <c r="J53" s="58">
        <f>SUMIF('Direct labour(직접노무비)'!$C$12:$C$503,'In-out-bal products (155)(완성제품)'!B53,'Direct labour(직접노무비)'!$Q$12:$Q$503)</f>
        <v>0</v>
      </c>
      <c r="K53" s="59">
        <f>SUMIF('Overhead exp(제조경비)'!$C$12:$C$503,'In-out-bal products (155)(완성제품)'!B53,'Overhead exp(제조경비)'!$Q$12:$Q$503)</f>
        <v>0</v>
      </c>
      <c r="L53" s="58">
        <f t="shared" si="7"/>
        <v>0</v>
      </c>
      <c r="M53" s="58">
        <f>SUMIF('JUNE (물량흐름)'!$C$13:$C$488,'In-out-bal products (155)(완성제품)'!B53,'JUNE (물량흐름)'!$Y$13:$Y$488)</f>
        <v>0</v>
      </c>
      <c r="N53" s="58">
        <f t="shared" si="8"/>
        <v>0</v>
      </c>
      <c r="O53" s="58">
        <f>SUMIF('Direct labour(직접노무비)'!$C$12:$C$503,'In-out-bal products (155)(완성제품)'!B53,'Direct labour(직접노무비)'!$U$12:$U$503)+SUMIF('Overhead exp(제조경비)'!$C$12:$C$503,'In-out-bal products (155)(완성제품)'!B53,'Overhead exp(제조경비)'!$U$12:$U$503)</f>
        <v>0</v>
      </c>
      <c r="P53" s="60">
        <f t="shared" si="9"/>
        <v>0</v>
      </c>
      <c r="Q53" s="60">
        <f t="shared" si="10"/>
        <v>0</v>
      </c>
      <c r="R53" s="60">
        <f t="shared" si="11"/>
        <v>0</v>
      </c>
      <c r="S53" s="58">
        <v>0</v>
      </c>
      <c r="T53" s="58">
        <v>0</v>
      </c>
      <c r="U53" s="58">
        <v>0</v>
      </c>
      <c r="V53" s="58">
        <f>SUMIF('JUNE (물량흐름)'!$C$13:$C$493,'In-out-bal products (155)(완성제품)'!B53,'JUNE (물량흐름)'!$W$13:$W$493)</f>
        <v>0</v>
      </c>
      <c r="W53" s="58">
        <f t="shared" si="12"/>
        <v>0</v>
      </c>
      <c r="X53" s="58">
        <f t="shared" si="13"/>
        <v>0</v>
      </c>
      <c r="Y53" s="58">
        <f>SUMIF('JUNE (물량흐름)'!$C$13:$C$488,'In-out-bal products (155)(완성제품)'!B53,'JUNE (물량흐름)'!$X$13:$X$488)</f>
        <v>0</v>
      </c>
      <c r="Z53" s="58">
        <f t="shared" si="14"/>
        <v>0</v>
      </c>
      <c r="AA53" s="58">
        <f t="shared" si="15"/>
        <v>0</v>
      </c>
      <c r="AB53" s="58"/>
      <c r="AC53" s="58"/>
      <c r="AD53" s="61"/>
      <c r="AE53" s="58">
        <f t="shared" si="16"/>
        <v>0</v>
      </c>
      <c r="AF53" s="58">
        <f t="shared" si="17"/>
        <v>0</v>
      </c>
      <c r="AG53" s="61">
        <f t="shared" si="18"/>
        <v>0</v>
      </c>
      <c r="AH53" s="58">
        <v>0</v>
      </c>
      <c r="AI53" s="58">
        <v>0</v>
      </c>
      <c r="AJ53" s="61">
        <v>0</v>
      </c>
      <c r="AK53" s="58"/>
      <c r="AL53" s="58"/>
      <c r="AM53" s="61"/>
      <c r="AN53" s="61">
        <f t="shared" si="19"/>
        <v>0</v>
      </c>
      <c r="AO53" s="58">
        <f t="shared" si="20"/>
        <v>0</v>
      </c>
      <c r="AP53" s="61">
        <f t="shared" si="21"/>
        <v>0</v>
      </c>
      <c r="AQ53" s="58">
        <f t="shared" si="22"/>
        <v>0</v>
      </c>
      <c r="AR53" s="58">
        <f t="shared" si="23"/>
        <v>0</v>
      </c>
      <c r="AS53" s="58">
        <f t="shared" si="24"/>
        <v>0</v>
      </c>
      <c r="AT53" s="58">
        <f>ROUND(SUMIF('JUNE (물량흐름)'!$C$13:$C$502,'In-out-bal products (155)(완성제품)'!B53,'JUNE (물량흐름)'!$AB$13:$AB$502),0)</f>
        <v>0</v>
      </c>
      <c r="AU53" s="58">
        <f t="shared" si="25"/>
        <v>0</v>
      </c>
      <c r="AV53" s="58">
        <f>ROUND(SUMIF('JUNE (물량흐름)'!$C$13:$C$502,'In-out-bal products (155)(완성제품)'!B53,'JUNE (물량흐름)'!$AC$13:$AC$502),0)</f>
        <v>0</v>
      </c>
      <c r="AW53" s="58">
        <f t="shared" si="26"/>
        <v>0</v>
      </c>
      <c r="AX53" s="376">
        <f t="shared" si="27"/>
        <v>0</v>
      </c>
      <c r="AY53" s="377">
        <f t="shared" si="28"/>
        <v>0</v>
      </c>
      <c r="AZ53" s="377">
        <f t="shared" si="29"/>
        <v>0</v>
      </c>
      <c r="BA53" s="377">
        <f t="shared" si="30"/>
        <v>0</v>
      </c>
      <c r="BB53" s="377"/>
      <c r="BC53" s="377">
        <f t="shared" si="31"/>
        <v>0</v>
      </c>
      <c r="BD53" s="377">
        <f t="shared" si="32"/>
        <v>0</v>
      </c>
      <c r="BE53" s="377"/>
      <c r="BF53" s="377">
        <f t="shared" si="33"/>
        <v>0</v>
      </c>
      <c r="BG53" s="433">
        <f t="shared" si="34"/>
        <v>0</v>
      </c>
      <c r="BH53" s="434">
        <f t="shared" si="35"/>
        <v>0</v>
      </c>
    </row>
    <row r="54" spans="1:60" s="378" customFormat="1">
      <c r="A54" s="167">
        <v>43</v>
      </c>
      <c r="B54" s="253">
        <f>VLOOKUP(A54,'JUNE (물량흐름)'!$A$13:$C$493,3,0)</f>
        <v>100011006</v>
      </c>
      <c r="C54" s="57" t="str">
        <f>VLOOKUP(A54,'JUNE (물량흐름)'!$A$13:$C$493,2,0)</f>
        <v>ALFANI</v>
      </c>
      <c r="D54" s="58">
        <f>IFERROR(VLOOKUP(B54,O.B.JUNE!$V$7:$Y$448,2,0),0)</f>
        <v>0</v>
      </c>
      <c r="E54" s="58">
        <f>IFERROR(VLOOKUP(B54,O.B.JUNE!$V$7:$X$448,3,0),0)</f>
        <v>0</v>
      </c>
      <c r="F54" s="58">
        <f>IFERROR(VLOOKUP(B54,O.B.JUNE!$V$7:$Y$448,4,0),0)</f>
        <v>0</v>
      </c>
      <c r="G54" s="58">
        <f>SUMIF('JUNE (물량흐름)'!$C$13:$C$493,'In-out-bal products (155)(완성제품)'!B54,'JUNE (물량흐름)'!$V$13:$V$493)</f>
        <v>0</v>
      </c>
      <c r="H54" s="58">
        <f>SUMIF('JUNE (물량흐름)'!$C$13:$C$493,'In-out-bal products (155)(완성제품)'!B54,'JUNE (물량흐름)'!$T$13:$T$493)-SUMIF('JUNE (물량흐름)'!$C$13:$C$493,'In-out-bal products (155)(완성제품)'!B54,'JUNE (물량흐름)'!$Y$13:$Y$493)+SUMIF('JUNE (물량흐름)'!$C$13:$C$493,'In-out-bal products (155)(완성제품)'!B54,'JUNE (물량흐름)'!$U$13:$U$493)</f>
        <v>0</v>
      </c>
      <c r="I54" s="58">
        <f t="shared" si="6"/>
        <v>0</v>
      </c>
      <c r="J54" s="58">
        <f>SUMIF('Direct labour(직접노무비)'!$C$12:$C$503,'In-out-bal products (155)(완성제품)'!B54,'Direct labour(직접노무비)'!$Q$12:$Q$503)</f>
        <v>0</v>
      </c>
      <c r="K54" s="59">
        <f>SUMIF('Overhead exp(제조경비)'!$C$12:$C$503,'In-out-bal products (155)(완성제품)'!B54,'Overhead exp(제조경비)'!$Q$12:$Q$503)</f>
        <v>0</v>
      </c>
      <c r="L54" s="58">
        <f t="shared" si="7"/>
        <v>0</v>
      </c>
      <c r="M54" s="58">
        <f>SUMIF('JUNE (물량흐름)'!$C$13:$C$488,'In-out-bal products (155)(완성제품)'!B54,'JUNE (물량흐름)'!$Y$13:$Y$488)</f>
        <v>0</v>
      </c>
      <c r="N54" s="58">
        <f t="shared" si="8"/>
        <v>0</v>
      </c>
      <c r="O54" s="58">
        <f>SUMIF('Direct labour(직접노무비)'!$C$12:$C$503,'In-out-bal products (155)(완성제품)'!B54,'Direct labour(직접노무비)'!$U$12:$U$503)+SUMIF('Overhead exp(제조경비)'!$C$12:$C$503,'In-out-bal products (155)(완성제품)'!B54,'Overhead exp(제조경비)'!$U$12:$U$503)</f>
        <v>0</v>
      </c>
      <c r="P54" s="60">
        <f t="shared" si="9"/>
        <v>0</v>
      </c>
      <c r="Q54" s="60">
        <f t="shared" si="10"/>
        <v>0</v>
      </c>
      <c r="R54" s="60">
        <f t="shared" si="11"/>
        <v>0</v>
      </c>
      <c r="S54" s="58">
        <v>0</v>
      </c>
      <c r="T54" s="58">
        <v>0</v>
      </c>
      <c r="U54" s="58">
        <v>0</v>
      </c>
      <c r="V54" s="58">
        <f>SUMIF('JUNE (물량흐름)'!$C$13:$C$493,'In-out-bal products (155)(완성제품)'!B54,'JUNE (물량흐름)'!$W$13:$W$493)</f>
        <v>0</v>
      </c>
      <c r="W54" s="58">
        <f t="shared" si="12"/>
        <v>0</v>
      </c>
      <c r="X54" s="58">
        <f t="shared" si="13"/>
        <v>0</v>
      </c>
      <c r="Y54" s="58">
        <f>SUMIF('JUNE (물량흐름)'!$C$13:$C$488,'In-out-bal products (155)(완성제품)'!B54,'JUNE (물량흐름)'!$X$13:$X$488)</f>
        <v>0</v>
      </c>
      <c r="Z54" s="58">
        <f t="shared" si="14"/>
        <v>0</v>
      </c>
      <c r="AA54" s="58">
        <f t="shared" si="15"/>
        <v>0</v>
      </c>
      <c r="AB54" s="58"/>
      <c r="AC54" s="58"/>
      <c r="AD54" s="61"/>
      <c r="AE54" s="58">
        <f t="shared" si="16"/>
        <v>0</v>
      </c>
      <c r="AF54" s="58">
        <f t="shared" si="17"/>
        <v>0</v>
      </c>
      <c r="AG54" s="61">
        <f t="shared" si="18"/>
        <v>0</v>
      </c>
      <c r="AH54" s="58">
        <v>0</v>
      </c>
      <c r="AI54" s="58">
        <v>0</v>
      </c>
      <c r="AJ54" s="61">
        <v>0</v>
      </c>
      <c r="AK54" s="58"/>
      <c r="AL54" s="58"/>
      <c r="AM54" s="61"/>
      <c r="AN54" s="61">
        <f t="shared" si="19"/>
        <v>0</v>
      </c>
      <c r="AO54" s="58">
        <f t="shared" si="20"/>
        <v>0</v>
      </c>
      <c r="AP54" s="61">
        <f t="shared" si="21"/>
        <v>0</v>
      </c>
      <c r="AQ54" s="58">
        <f t="shared" si="22"/>
        <v>0</v>
      </c>
      <c r="AR54" s="58">
        <f t="shared" si="23"/>
        <v>0</v>
      </c>
      <c r="AS54" s="58">
        <f t="shared" si="24"/>
        <v>0</v>
      </c>
      <c r="AT54" s="58">
        <f>ROUND(SUMIF('JUNE (물량흐름)'!$C$13:$C$502,'In-out-bal products (155)(완성제품)'!B54,'JUNE (물량흐름)'!$AB$13:$AB$502),0)</f>
        <v>0</v>
      </c>
      <c r="AU54" s="58">
        <f t="shared" si="25"/>
        <v>0</v>
      </c>
      <c r="AV54" s="58">
        <f>ROUND(SUMIF('JUNE (물량흐름)'!$C$13:$C$502,'In-out-bal products (155)(완성제품)'!B54,'JUNE (물량흐름)'!$AC$13:$AC$502),0)</f>
        <v>0</v>
      </c>
      <c r="AW54" s="58">
        <f t="shared" si="26"/>
        <v>0</v>
      </c>
      <c r="AX54" s="376">
        <f t="shared" si="27"/>
        <v>0</v>
      </c>
      <c r="AY54" s="377">
        <f t="shared" si="28"/>
        <v>0</v>
      </c>
      <c r="AZ54" s="377">
        <f t="shared" si="29"/>
        <v>0</v>
      </c>
      <c r="BA54" s="377">
        <f t="shared" si="30"/>
        <v>0</v>
      </c>
      <c r="BB54" s="377"/>
      <c r="BC54" s="377">
        <f t="shared" si="31"/>
        <v>0</v>
      </c>
      <c r="BD54" s="377">
        <f t="shared" si="32"/>
        <v>0</v>
      </c>
      <c r="BE54" s="377"/>
      <c r="BF54" s="377">
        <f t="shared" si="33"/>
        <v>0</v>
      </c>
      <c r="BG54" s="433">
        <f t="shared" si="34"/>
        <v>0</v>
      </c>
      <c r="BH54" s="434">
        <f t="shared" si="35"/>
        <v>0</v>
      </c>
    </row>
    <row r="55" spans="1:60" s="378" customFormat="1">
      <c r="A55" s="167">
        <v>44</v>
      </c>
      <c r="B55" s="253">
        <f>VLOOKUP(A55,'JUNE (물량흐름)'!$A$13:$C$493,3,0)</f>
        <v>100011101</v>
      </c>
      <c r="C55" s="57" t="str">
        <f>VLOOKUP(A55,'JUNE (물량흐름)'!$A$13:$C$493,2,0)</f>
        <v>ALFANI</v>
      </c>
      <c r="D55" s="58">
        <f>IFERROR(VLOOKUP(B55,O.B.JUNE!$V$7:$Y$448,2,0),0)</f>
        <v>0</v>
      </c>
      <c r="E55" s="58">
        <f>IFERROR(VLOOKUP(B55,O.B.JUNE!$V$7:$X$448,3,0),0)</f>
        <v>0</v>
      </c>
      <c r="F55" s="58">
        <f>IFERROR(VLOOKUP(B55,O.B.JUNE!$V$7:$Y$448,4,0),0)</f>
        <v>0</v>
      </c>
      <c r="G55" s="58">
        <f>SUMIF('JUNE (물량흐름)'!$C$13:$C$493,'In-out-bal products (155)(완성제품)'!B55,'JUNE (물량흐름)'!$V$13:$V$493)</f>
        <v>0</v>
      </c>
      <c r="H55" s="58">
        <f>SUMIF('JUNE (물량흐름)'!$C$13:$C$493,'In-out-bal products (155)(완성제품)'!B55,'JUNE (물량흐름)'!$T$13:$T$493)-SUMIF('JUNE (물량흐름)'!$C$13:$C$493,'In-out-bal products (155)(완성제품)'!B55,'JUNE (물량흐름)'!$Y$13:$Y$493)+SUMIF('JUNE (물량흐름)'!$C$13:$C$493,'In-out-bal products (155)(완성제품)'!B55,'JUNE (물량흐름)'!$U$13:$U$493)</f>
        <v>0</v>
      </c>
      <c r="I55" s="58">
        <f t="shared" si="6"/>
        <v>0</v>
      </c>
      <c r="J55" s="58">
        <f>SUMIF('Direct labour(직접노무비)'!$C$12:$C$503,'In-out-bal products (155)(완성제품)'!B55,'Direct labour(직접노무비)'!$Q$12:$Q$503)</f>
        <v>0</v>
      </c>
      <c r="K55" s="59">
        <f>SUMIF('Overhead exp(제조경비)'!$C$12:$C$503,'In-out-bal products (155)(완성제품)'!B55,'Overhead exp(제조경비)'!$Q$12:$Q$503)</f>
        <v>0</v>
      </c>
      <c r="L55" s="58">
        <f t="shared" si="7"/>
        <v>0</v>
      </c>
      <c r="M55" s="58">
        <f>SUMIF('JUNE (물량흐름)'!$C$13:$C$488,'In-out-bal products (155)(완성제품)'!B55,'JUNE (물량흐름)'!$Y$13:$Y$488)</f>
        <v>0</v>
      </c>
      <c r="N55" s="58">
        <f t="shared" si="8"/>
        <v>0</v>
      </c>
      <c r="O55" s="58">
        <f>SUMIF('Direct labour(직접노무비)'!$C$12:$C$503,'In-out-bal products (155)(완성제품)'!B55,'Direct labour(직접노무비)'!$U$12:$U$503)+SUMIF('Overhead exp(제조경비)'!$C$12:$C$503,'In-out-bal products (155)(완성제품)'!B55,'Overhead exp(제조경비)'!$U$12:$U$503)</f>
        <v>0</v>
      </c>
      <c r="P55" s="60">
        <f t="shared" si="9"/>
        <v>0</v>
      </c>
      <c r="Q55" s="60">
        <f t="shared" si="10"/>
        <v>0</v>
      </c>
      <c r="R55" s="60">
        <f t="shared" si="11"/>
        <v>0</v>
      </c>
      <c r="S55" s="58">
        <v>0</v>
      </c>
      <c r="T55" s="58">
        <v>0</v>
      </c>
      <c r="U55" s="58">
        <v>0</v>
      </c>
      <c r="V55" s="58">
        <f>SUMIF('JUNE (물량흐름)'!$C$13:$C$493,'In-out-bal products (155)(완성제품)'!B55,'JUNE (물량흐름)'!$W$13:$W$493)</f>
        <v>0</v>
      </c>
      <c r="W55" s="58">
        <f t="shared" si="12"/>
        <v>0</v>
      </c>
      <c r="X55" s="58">
        <f t="shared" si="13"/>
        <v>0</v>
      </c>
      <c r="Y55" s="58">
        <f>SUMIF('JUNE (물량흐름)'!$C$13:$C$488,'In-out-bal products (155)(완성제품)'!B55,'JUNE (물량흐름)'!$X$13:$X$488)</f>
        <v>0</v>
      </c>
      <c r="Z55" s="58">
        <f t="shared" si="14"/>
        <v>0</v>
      </c>
      <c r="AA55" s="58">
        <f t="shared" si="15"/>
        <v>0</v>
      </c>
      <c r="AB55" s="58"/>
      <c r="AC55" s="58"/>
      <c r="AD55" s="61"/>
      <c r="AE55" s="58">
        <f t="shared" si="16"/>
        <v>0</v>
      </c>
      <c r="AF55" s="58">
        <f t="shared" si="17"/>
        <v>0</v>
      </c>
      <c r="AG55" s="61">
        <f t="shared" si="18"/>
        <v>0</v>
      </c>
      <c r="AH55" s="58">
        <v>0</v>
      </c>
      <c r="AI55" s="58">
        <v>0</v>
      </c>
      <c r="AJ55" s="61">
        <v>0</v>
      </c>
      <c r="AK55" s="58"/>
      <c r="AL55" s="58"/>
      <c r="AM55" s="61"/>
      <c r="AN55" s="61">
        <f t="shared" si="19"/>
        <v>0</v>
      </c>
      <c r="AO55" s="58">
        <f t="shared" si="20"/>
        <v>0</v>
      </c>
      <c r="AP55" s="61">
        <f t="shared" si="21"/>
        <v>0</v>
      </c>
      <c r="AQ55" s="58">
        <f t="shared" si="22"/>
        <v>0</v>
      </c>
      <c r="AR55" s="58">
        <f t="shared" si="23"/>
        <v>0</v>
      </c>
      <c r="AS55" s="58">
        <f t="shared" si="24"/>
        <v>0</v>
      </c>
      <c r="AT55" s="58">
        <f>ROUND(SUMIF('JUNE (물량흐름)'!$C$13:$C$502,'In-out-bal products (155)(완성제품)'!B55,'JUNE (물량흐름)'!$AB$13:$AB$502),0)</f>
        <v>0</v>
      </c>
      <c r="AU55" s="58">
        <f t="shared" si="25"/>
        <v>0</v>
      </c>
      <c r="AV55" s="58">
        <f>ROUND(SUMIF('JUNE (물량흐름)'!$C$13:$C$502,'In-out-bal products (155)(완성제품)'!B55,'JUNE (물량흐름)'!$AC$13:$AC$502),0)</f>
        <v>0</v>
      </c>
      <c r="AW55" s="58">
        <f t="shared" si="26"/>
        <v>0</v>
      </c>
      <c r="AX55" s="376">
        <f t="shared" si="27"/>
        <v>0</v>
      </c>
      <c r="AY55" s="377">
        <f t="shared" si="28"/>
        <v>0</v>
      </c>
      <c r="AZ55" s="377">
        <f t="shared" si="29"/>
        <v>0</v>
      </c>
      <c r="BA55" s="377">
        <f t="shared" si="30"/>
        <v>0</v>
      </c>
      <c r="BB55" s="377"/>
      <c r="BC55" s="377">
        <f t="shared" si="31"/>
        <v>0</v>
      </c>
      <c r="BD55" s="377">
        <f t="shared" si="32"/>
        <v>0</v>
      </c>
      <c r="BE55" s="377"/>
      <c r="BF55" s="377">
        <f t="shared" si="33"/>
        <v>0</v>
      </c>
      <c r="BG55" s="433">
        <f t="shared" si="34"/>
        <v>0</v>
      </c>
      <c r="BH55" s="434">
        <f t="shared" si="35"/>
        <v>0</v>
      </c>
    </row>
    <row r="56" spans="1:60" s="378" customFormat="1">
      <c r="A56" s="167">
        <v>45</v>
      </c>
      <c r="B56" s="253">
        <f>VLOOKUP(A56,'JUNE (물량흐름)'!$A$13:$C$493,3,0)</f>
        <v>100011102</v>
      </c>
      <c r="C56" s="57" t="str">
        <f>VLOOKUP(A56,'JUNE (물량흐름)'!$A$13:$C$493,2,0)</f>
        <v>ALFANI</v>
      </c>
      <c r="D56" s="58">
        <f>IFERROR(VLOOKUP(B56,O.B.JUNE!$V$7:$Y$448,2,0),0)</f>
        <v>0</v>
      </c>
      <c r="E56" s="58">
        <f>IFERROR(VLOOKUP(B56,O.B.JUNE!$V$7:$X$448,3,0),0)</f>
        <v>0</v>
      </c>
      <c r="F56" s="58">
        <f>IFERROR(VLOOKUP(B56,O.B.JUNE!$V$7:$Y$448,4,0),0)</f>
        <v>0</v>
      </c>
      <c r="G56" s="58">
        <f>SUMIF('JUNE (물량흐름)'!$C$13:$C$493,'In-out-bal products (155)(완성제품)'!B56,'JUNE (물량흐름)'!$V$13:$V$493)</f>
        <v>0</v>
      </c>
      <c r="H56" s="58">
        <f>SUMIF('JUNE (물량흐름)'!$C$13:$C$493,'In-out-bal products (155)(완성제품)'!B56,'JUNE (물량흐름)'!$T$13:$T$493)-SUMIF('JUNE (물량흐름)'!$C$13:$C$493,'In-out-bal products (155)(완성제품)'!B56,'JUNE (물량흐름)'!$Y$13:$Y$493)+SUMIF('JUNE (물량흐름)'!$C$13:$C$493,'In-out-bal products (155)(완성제품)'!B56,'JUNE (물량흐름)'!$U$13:$U$493)</f>
        <v>0</v>
      </c>
      <c r="I56" s="58">
        <f t="shared" si="6"/>
        <v>0</v>
      </c>
      <c r="J56" s="58">
        <f>SUMIF('Direct labour(직접노무비)'!$C$12:$C$503,'In-out-bal products (155)(완성제품)'!B56,'Direct labour(직접노무비)'!$Q$12:$Q$503)</f>
        <v>0</v>
      </c>
      <c r="K56" s="59">
        <f>SUMIF('Overhead exp(제조경비)'!$C$12:$C$503,'In-out-bal products (155)(완성제품)'!B56,'Overhead exp(제조경비)'!$Q$12:$Q$503)</f>
        <v>0</v>
      </c>
      <c r="L56" s="58">
        <f t="shared" si="7"/>
        <v>0</v>
      </c>
      <c r="M56" s="58">
        <f>SUMIF('JUNE (물량흐름)'!$C$13:$C$488,'In-out-bal products (155)(완성제품)'!B56,'JUNE (물량흐름)'!$Y$13:$Y$488)</f>
        <v>0</v>
      </c>
      <c r="N56" s="58">
        <f t="shared" si="8"/>
        <v>0</v>
      </c>
      <c r="O56" s="58">
        <f>SUMIF('Direct labour(직접노무비)'!$C$12:$C$503,'In-out-bal products (155)(완성제품)'!B56,'Direct labour(직접노무비)'!$U$12:$U$503)+SUMIF('Overhead exp(제조경비)'!$C$12:$C$503,'In-out-bal products (155)(완성제품)'!B56,'Overhead exp(제조경비)'!$U$12:$U$503)</f>
        <v>0</v>
      </c>
      <c r="P56" s="60">
        <f t="shared" si="9"/>
        <v>0</v>
      </c>
      <c r="Q56" s="60">
        <f t="shared" si="10"/>
        <v>0</v>
      </c>
      <c r="R56" s="60">
        <f t="shared" si="11"/>
        <v>0</v>
      </c>
      <c r="S56" s="58">
        <v>0</v>
      </c>
      <c r="T56" s="58">
        <v>0</v>
      </c>
      <c r="U56" s="58">
        <v>0</v>
      </c>
      <c r="V56" s="58">
        <f>SUMIF('JUNE (물량흐름)'!$C$13:$C$493,'In-out-bal products (155)(완성제품)'!B56,'JUNE (물량흐름)'!$W$13:$W$493)</f>
        <v>0</v>
      </c>
      <c r="W56" s="58">
        <f t="shared" si="12"/>
        <v>0</v>
      </c>
      <c r="X56" s="58">
        <f t="shared" si="13"/>
        <v>0</v>
      </c>
      <c r="Y56" s="58">
        <f>SUMIF('JUNE (물량흐름)'!$C$13:$C$488,'In-out-bal products (155)(완성제품)'!B56,'JUNE (물량흐름)'!$X$13:$X$488)</f>
        <v>0</v>
      </c>
      <c r="Z56" s="58">
        <f t="shared" si="14"/>
        <v>0</v>
      </c>
      <c r="AA56" s="58">
        <f t="shared" si="15"/>
        <v>0</v>
      </c>
      <c r="AB56" s="58"/>
      <c r="AC56" s="58"/>
      <c r="AD56" s="61"/>
      <c r="AE56" s="58">
        <f t="shared" si="16"/>
        <v>0</v>
      </c>
      <c r="AF56" s="58">
        <f t="shared" si="17"/>
        <v>0</v>
      </c>
      <c r="AG56" s="61">
        <f t="shared" si="18"/>
        <v>0</v>
      </c>
      <c r="AH56" s="58">
        <v>0</v>
      </c>
      <c r="AI56" s="58">
        <v>0</v>
      </c>
      <c r="AJ56" s="61">
        <v>0</v>
      </c>
      <c r="AK56" s="58"/>
      <c r="AL56" s="58"/>
      <c r="AM56" s="61"/>
      <c r="AN56" s="61">
        <f t="shared" si="19"/>
        <v>0</v>
      </c>
      <c r="AO56" s="58">
        <f t="shared" si="20"/>
        <v>0</v>
      </c>
      <c r="AP56" s="61">
        <f t="shared" si="21"/>
        <v>0</v>
      </c>
      <c r="AQ56" s="58">
        <f t="shared" si="22"/>
        <v>0</v>
      </c>
      <c r="AR56" s="58">
        <f t="shared" si="23"/>
        <v>0</v>
      </c>
      <c r="AS56" s="58">
        <f t="shared" si="24"/>
        <v>0</v>
      </c>
      <c r="AT56" s="58">
        <f>ROUND(SUMIF('JUNE (물량흐름)'!$C$13:$C$502,'In-out-bal products (155)(완성제품)'!B56,'JUNE (물량흐름)'!$AB$13:$AB$502),0)</f>
        <v>0</v>
      </c>
      <c r="AU56" s="58">
        <f t="shared" si="25"/>
        <v>0</v>
      </c>
      <c r="AV56" s="58">
        <f>ROUND(SUMIF('JUNE (물량흐름)'!$C$13:$C$502,'In-out-bal products (155)(완성제품)'!B56,'JUNE (물량흐름)'!$AC$13:$AC$502),0)</f>
        <v>0</v>
      </c>
      <c r="AW56" s="58">
        <f t="shared" si="26"/>
        <v>0</v>
      </c>
      <c r="AX56" s="376">
        <f t="shared" si="27"/>
        <v>0</v>
      </c>
      <c r="AY56" s="377">
        <f t="shared" si="28"/>
        <v>0</v>
      </c>
      <c r="AZ56" s="377">
        <f t="shared" si="29"/>
        <v>0</v>
      </c>
      <c r="BA56" s="377">
        <f t="shared" si="30"/>
        <v>0</v>
      </c>
      <c r="BB56" s="377"/>
      <c r="BC56" s="377">
        <f t="shared" si="31"/>
        <v>0</v>
      </c>
      <c r="BD56" s="377">
        <f t="shared" si="32"/>
        <v>0</v>
      </c>
      <c r="BE56" s="377"/>
      <c r="BF56" s="377">
        <f t="shared" si="33"/>
        <v>0</v>
      </c>
      <c r="BG56" s="433">
        <f t="shared" si="34"/>
        <v>0</v>
      </c>
      <c r="BH56" s="434">
        <f t="shared" si="35"/>
        <v>0</v>
      </c>
    </row>
    <row r="57" spans="1:60" s="378" customFormat="1">
      <c r="A57" s="167">
        <v>46</v>
      </c>
      <c r="B57" s="253">
        <f>VLOOKUP(A57,'JUNE (물량흐름)'!$A$13:$C$493,3,0)</f>
        <v>2335</v>
      </c>
      <c r="C57" s="57" t="str">
        <f>VLOOKUP(A57,'JUNE (물량흐름)'!$A$13:$C$493,2,0)</f>
        <v>ALFANI</v>
      </c>
      <c r="D57" s="58">
        <f>IFERROR(VLOOKUP(B57,O.B.JUNE!$V$7:$Y$448,2,0),0)</f>
        <v>89</v>
      </c>
      <c r="E57" s="58">
        <f>IFERROR(VLOOKUP(B57,O.B.JUNE!$V$7:$X$448,3,0),0)</f>
        <v>20975.876404494382</v>
      </c>
      <c r="F57" s="58">
        <f>IFERROR(VLOOKUP(B57,O.B.JUNE!$V$7:$Y$448,4,0),0)</f>
        <v>1866853</v>
      </c>
      <c r="G57" s="58">
        <f>SUMIF('JUNE (물량흐름)'!$C$13:$C$493,'In-out-bal products (155)(완성제품)'!B57,'JUNE (물량흐름)'!$V$13:$V$493)</f>
        <v>0</v>
      </c>
      <c r="H57" s="58">
        <f>SUMIF('JUNE (물량흐름)'!$C$13:$C$493,'In-out-bal products (155)(완성제품)'!B57,'JUNE (물량흐름)'!$T$13:$T$493)-SUMIF('JUNE (물량흐름)'!$C$13:$C$493,'In-out-bal products (155)(완성제품)'!B57,'JUNE (물량흐름)'!$Y$13:$Y$493)+SUMIF('JUNE (물량흐름)'!$C$13:$C$493,'In-out-bal products (155)(완성제품)'!B57,'JUNE (물량흐름)'!$U$13:$U$493)</f>
        <v>0</v>
      </c>
      <c r="I57" s="58">
        <f t="shared" si="6"/>
        <v>0</v>
      </c>
      <c r="J57" s="58">
        <f>SUMIF('Direct labour(직접노무비)'!$C$12:$C$503,'In-out-bal products (155)(완성제품)'!B57,'Direct labour(직접노무비)'!$Q$12:$Q$503)</f>
        <v>0</v>
      </c>
      <c r="K57" s="59">
        <f>SUMIF('Overhead exp(제조경비)'!$C$12:$C$503,'In-out-bal products (155)(완성제품)'!B57,'Overhead exp(제조경비)'!$Q$12:$Q$503)</f>
        <v>0</v>
      </c>
      <c r="L57" s="58">
        <f t="shared" si="7"/>
        <v>0</v>
      </c>
      <c r="M57" s="58">
        <f>SUMIF('JUNE (물량흐름)'!$C$13:$C$488,'In-out-bal products (155)(완성제품)'!B57,'JUNE (물량흐름)'!$Y$13:$Y$488)</f>
        <v>0</v>
      </c>
      <c r="N57" s="58">
        <f t="shared" si="8"/>
        <v>0</v>
      </c>
      <c r="O57" s="58">
        <f>SUMIF('Direct labour(직접노무비)'!$C$12:$C$503,'In-out-bal products (155)(완성제품)'!B57,'Direct labour(직접노무비)'!$U$12:$U$503)+SUMIF('Overhead exp(제조경비)'!$C$12:$C$503,'In-out-bal products (155)(완성제품)'!B57,'Overhead exp(제조경비)'!$U$12:$U$503)</f>
        <v>0</v>
      </c>
      <c r="P57" s="60">
        <f t="shared" si="9"/>
        <v>0</v>
      </c>
      <c r="Q57" s="60">
        <f t="shared" si="10"/>
        <v>0</v>
      </c>
      <c r="R57" s="60">
        <f t="shared" si="11"/>
        <v>0</v>
      </c>
      <c r="S57" s="58">
        <v>0</v>
      </c>
      <c r="T57" s="58">
        <v>0</v>
      </c>
      <c r="U57" s="58">
        <v>0</v>
      </c>
      <c r="V57" s="58">
        <f>SUMIF('JUNE (물량흐름)'!$C$13:$C$493,'In-out-bal products (155)(완성제품)'!B57,'JUNE (물량흐름)'!$W$13:$W$493)</f>
        <v>0</v>
      </c>
      <c r="W57" s="58">
        <f t="shared" si="12"/>
        <v>0</v>
      </c>
      <c r="X57" s="58">
        <f t="shared" si="13"/>
        <v>0</v>
      </c>
      <c r="Y57" s="58">
        <f>SUMIF('JUNE (물량흐름)'!$C$13:$C$488,'In-out-bal products (155)(완성제품)'!B57,'JUNE (물량흐름)'!$X$13:$X$488)</f>
        <v>0</v>
      </c>
      <c r="Z57" s="58">
        <f t="shared" si="14"/>
        <v>0</v>
      </c>
      <c r="AA57" s="58">
        <f t="shared" si="15"/>
        <v>0</v>
      </c>
      <c r="AB57" s="58"/>
      <c r="AC57" s="58"/>
      <c r="AD57" s="61"/>
      <c r="AE57" s="58">
        <f t="shared" si="16"/>
        <v>0</v>
      </c>
      <c r="AF57" s="58">
        <f t="shared" si="17"/>
        <v>0</v>
      </c>
      <c r="AG57" s="61">
        <f t="shared" si="18"/>
        <v>0</v>
      </c>
      <c r="AH57" s="58">
        <v>0</v>
      </c>
      <c r="AI57" s="58">
        <v>0</v>
      </c>
      <c r="AJ57" s="61">
        <v>0</v>
      </c>
      <c r="AK57" s="58"/>
      <c r="AL57" s="58"/>
      <c r="AM57" s="61"/>
      <c r="AN57" s="61">
        <f t="shared" si="19"/>
        <v>0</v>
      </c>
      <c r="AO57" s="58">
        <f t="shared" si="20"/>
        <v>0</v>
      </c>
      <c r="AP57" s="61">
        <f t="shared" si="21"/>
        <v>0</v>
      </c>
      <c r="AQ57" s="58">
        <f t="shared" si="22"/>
        <v>89</v>
      </c>
      <c r="AR57" s="58">
        <f t="shared" si="23"/>
        <v>20975.876404494382</v>
      </c>
      <c r="AS57" s="58">
        <f t="shared" si="24"/>
        <v>1866853</v>
      </c>
      <c r="AT57" s="58">
        <f>ROUND(SUMIF('JUNE (물량흐름)'!$C$13:$C$502,'In-out-bal products (155)(완성제품)'!B57,'JUNE (물량흐름)'!$AB$13:$AB$502),0)</f>
        <v>0</v>
      </c>
      <c r="AU57" s="58">
        <f t="shared" si="25"/>
        <v>0</v>
      </c>
      <c r="AV57" s="58">
        <f>ROUND(SUMIF('JUNE (물량흐름)'!$C$13:$C$502,'In-out-bal products (155)(완성제품)'!B57,'JUNE (물량흐름)'!$AC$13:$AC$502),0)</f>
        <v>89</v>
      </c>
      <c r="AW57" s="58">
        <f t="shared" si="26"/>
        <v>1866853</v>
      </c>
      <c r="AX57" s="376">
        <f t="shared" si="27"/>
        <v>0</v>
      </c>
      <c r="AY57" s="377">
        <f t="shared" si="28"/>
        <v>0</v>
      </c>
      <c r="AZ57" s="377">
        <f t="shared" si="29"/>
        <v>0</v>
      </c>
      <c r="BA57" s="377">
        <f t="shared" si="30"/>
        <v>0</v>
      </c>
      <c r="BB57" s="377"/>
      <c r="BC57" s="377">
        <f t="shared" si="31"/>
        <v>0</v>
      </c>
      <c r="BD57" s="377">
        <f t="shared" si="32"/>
        <v>0</v>
      </c>
      <c r="BE57" s="377"/>
      <c r="BF57" s="377">
        <f t="shared" si="33"/>
        <v>0</v>
      </c>
      <c r="BG57" s="433">
        <f t="shared" si="34"/>
        <v>0</v>
      </c>
      <c r="BH57" s="434">
        <f t="shared" si="35"/>
        <v>0</v>
      </c>
    </row>
    <row r="58" spans="1:60" s="378" customFormat="1">
      <c r="A58" s="167">
        <v>47</v>
      </c>
      <c r="B58" s="253">
        <f>VLOOKUP(A58,'JUNE (물량흐름)'!$A$13:$C$493,3,0)</f>
        <v>7220</v>
      </c>
      <c r="C58" s="57" t="str">
        <f>VLOOKUP(A58,'JUNE (물량흐름)'!$A$13:$C$493,2,0)</f>
        <v>ALFANI</v>
      </c>
      <c r="D58" s="58">
        <f>IFERROR(VLOOKUP(B58,O.B.JUNE!$V$7:$Y$448,2,0),0)</f>
        <v>0</v>
      </c>
      <c r="E58" s="58">
        <f>IFERROR(VLOOKUP(B58,O.B.JUNE!$V$7:$X$448,3,0),0)</f>
        <v>0</v>
      </c>
      <c r="F58" s="58">
        <f>IFERROR(VLOOKUP(B58,O.B.JUNE!$V$7:$Y$448,4,0),0)</f>
        <v>0</v>
      </c>
      <c r="G58" s="58">
        <f>SUMIF('JUNE (물량흐름)'!$C$13:$C$493,'In-out-bal products (155)(완성제품)'!B58,'JUNE (물량흐름)'!$V$13:$V$493)</f>
        <v>0</v>
      </c>
      <c r="H58" s="58">
        <f>SUMIF('JUNE (물량흐름)'!$C$13:$C$493,'In-out-bal products (155)(완성제품)'!B58,'JUNE (물량흐름)'!$T$13:$T$493)-SUMIF('JUNE (물량흐름)'!$C$13:$C$493,'In-out-bal products (155)(완성제품)'!B58,'JUNE (물량흐름)'!$Y$13:$Y$493)+SUMIF('JUNE (물량흐름)'!$C$13:$C$493,'In-out-bal products (155)(완성제품)'!B58,'JUNE (물량흐름)'!$U$13:$U$493)</f>
        <v>1140</v>
      </c>
      <c r="I58" s="58">
        <f t="shared" si="6"/>
        <v>11749.858771929825</v>
      </c>
      <c r="J58" s="58">
        <f>SUMIF('Direct labour(직접노무비)'!$C$12:$C$503,'In-out-bal products (155)(완성제품)'!B58,'Direct labour(직접노무비)'!$Q$12:$Q$503)</f>
        <v>5260128</v>
      </c>
      <c r="K58" s="59">
        <f>SUMIF('Overhead exp(제조경비)'!$C$12:$C$503,'In-out-bal products (155)(완성제품)'!B58,'Overhead exp(제조경비)'!$Q$12:$Q$503)</f>
        <v>8134711</v>
      </c>
      <c r="L58" s="58">
        <f t="shared" si="7"/>
        <v>13394839</v>
      </c>
      <c r="M58" s="58">
        <f>SUMIF('JUNE (물량흐름)'!$C$13:$C$488,'In-out-bal products (155)(완성제품)'!B58,'JUNE (물량흐름)'!$Y$13:$Y$488)</f>
        <v>2</v>
      </c>
      <c r="N58" s="58">
        <f t="shared" si="8"/>
        <v>11749.5</v>
      </c>
      <c r="O58" s="58">
        <f>SUMIF('Direct labour(직접노무비)'!$C$12:$C$503,'In-out-bal products (155)(완성제품)'!B58,'Direct labour(직접노무비)'!$U$12:$U$503)+SUMIF('Overhead exp(제조경비)'!$C$12:$C$503,'In-out-bal products (155)(완성제품)'!B58,'Overhead exp(제조경비)'!$U$12:$U$503)</f>
        <v>23499</v>
      </c>
      <c r="P58" s="60">
        <f t="shared" si="9"/>
        <v>1142</v>
      </c>
      <c r="Q58" s="60">
        <f t="shared" si="10"/>
        <v>11749.858143607706</v>
      </c>
      <c r="R58" s="60">
        <f t="shared" si="11"/>
        <v>13418338</v>
      </c>
      <c r="S58" s="58">
        <v>0</v>
      </c>
      <c r="T58" s="58">
        <v>0</v>
      </c>
      <c r="U58" s="58">
        <v>0</v>
      </c>
      <c r="V58" s="58">
        <f>SUMIF('JUNE (물량흐름)'!$C$13:$C$493,'In-out-bal products (155)(완성제품)'!B58,'JUNE (물량흐름)'!$W$13:$W$493)</f>
        <v>1116</v>
      </c>
      <c r="W58" s="58">
        <f t="shared" si="12"/>
        <v>11749.858422939069</v>
      </c>
      <c r="X58" s="58">
        <f t="shared" si="13"/>
        <v>13112842</v>
      </c>
      <c r="Y58" s="58">
        <f>SUMIF('JUNE (물량흐름)'!$C$13:$C$488,'In-out-bal products (155)(완성제품)'!B58,'JUNE (물량흐름)'!$X$13:$X$488)</f>
        <v>0</v>
      </c>
      <c r="Z58" s="58">
        <f t="shared" si="14"/>
        <v>0</v>
      </c>
      <c r="AA58" s="58">
        <f t="shared" si="15"/>
        <v>0</v>
      </c>
      <c r="AB58" s="58"/>
      <c r="AC58" s="58"/>
      <c r="AD58" s="61"/>
      <c r="AE58" s="58">
        <f t="shared" si="16"/>
        <v>2</v>
      </c>
      <c r="AF58" s="58">
        <f t="shared" si="17"/>
        <v>11749.5</v>
      </c>
      <c r="AG58" s="61">
        <f t="shared" si="18"/>
        <v>23499</v>
      </c>
      <c r="AH58" s="58">
        <v>0</v>
      </c>
      <c r="AI58" s="58">
        <v>0</v>
      </c>
      <c r="AJ58" s="61">
        <v>0</v>
      </c>
      <c r="AK58" s="58"/>
      <c r="AL58" s="58"/>
      <c r="AM58" s="61"/>
      <c r="AN58" s="61">
        <f t="shared" si="19"/>
        <v>1118</v>
      </c>
      <c r="AO58" s="58">
        <f t="shared" si="20"/>
        <v>11749.857781753131</v>
      </c>
      <c r="AP58" s="61">
        <f t="shared" si="21"/>
        <v>13136341</v>
      </c>
      <c r="AQ58" s="58">
        <f t="shared" si="22"/>
        <v>24</v>
      </c>
      <c r="AR58" s="58">
        <f t="shared" si="23"/>
        <v>11749.875</v>
      </c>
      <c r="AS58" s="58">
        <f t="shared" si="24"/>
        <v>281997</v>
      </c>
      <c r="AT58" s="58">
        <f>ROUND(SUMIF('JUNE (물량흐름)'!$C$13:$C$502,'In-out-bal products (155)(완성제품)'!B58,'JUNE (물량흐름)'!$AB$13:$AB$502),0)</f>
        <v>0</v>
      </c>
      <c r="AU58" s="58">
        <f t="shared" si="25"/>
        <v>0</v>
      </c>
      <c r="AV58" s="58">
        <f>ROUND(SUMIF('JUNE (물량흐름)'!$C$13:$C$502,'In-out-bal products (155)(완성제품)'!B58,'JUNE (물량흐름)'!$AC$13:$AC$502),0)</f>
        <v>24</v>
      </c>
      <c r="AW58" s="58">
        <f t="shared" si="26"/>
        <v>281997</v>
      </c>
      <c r="AX58" s="376">
        <f t="shared" si="27"/>
        <v>0</v>
      </c>
      <c r="AY58" s="377">
        <f t="shared" si="28"/>
        <v>0</v>
      </c>
      <c r="AZ58" s="377">
        <f t="shared" si="29"/>
        <v>0</v>
      </c>
      <c r="BA58" s="377">
        <f t="shared" si="30"/>
        <v>0</v>
      </c>
      <c r="BB58" s="377"/>
      <c r="BC58" s="377">
        <f t="shared" si="31"/>
        <v>0</v>
      </c>
      <c r="BD58" s="377">
        <f t="shared" si="32"/>
        <v>0</v>
      </c>
      <c r="BE58" s="377"/>
      <c r="BF58" s="377">
        <f t="shared" si="33"/>
        <v>0</v>
      </c>
      <c r="BG58" s="433">
        <f t="shared" si="34"/>
        <v>13136341</v>
      </c>
      <c r="BH58" s="434">
        <f t="shared" si="35"/>
        <v>0</v>
      </c>
    </row>
    <row r="59" spans="1:60" s="378" customFormat="1">
      <c r="A59" s="167">
        <v>48</v>
      </c>
      <c r="B59" s="253" t="str">
        <f>VLOOKUP(A59,'JUNE (물량흐름)'!$A$13:$C$493,3,0)</f>
        <v>7D400</v>
      </c>
      <c r="C59" s="57" t="str">
        <f>VLOOKUP(A59,'JUNE (물량흐름)'!$A$13:$C$493,2,0)</f>
        <v>ALFANI</v>
      </c>
      <c r="D59" s="58">
        <f>IFERROR(VLOOKUP(B59,O.B.JUNE!$V$7:$Y$448,2,0),0)</f>
        <v>0</v>
      </c>
      <c r="E59" s="58">
        <f>IFERROR(VLOOKUP(B59,O.B.JUNE!$V$7:$X$448,3,0),0)</f>
        <v>0</v>
      </c>
      <c r="F59" s="58">
        <f>IFERROR(VLOOKUP(B59,O.B.JUNE!$V$7:$Y$448,4,0),0)</f>
        <v>0</v>
      </c>
      <c r="G59" s="58">
        <f>SUMIF('JUNE (물량흐름)'!$C$13:$C$493,'In-out-bal products (155)(완성제품)'!B59,'JUNE (물량흐름)'!$V$13:$V$493)</f>
        <v>0</v>
      </c>
      <c r="H59" s="58">
        <f>SUMIF('JUNE (물량흐름)'!$C$13:$C$493,'In-out-bal products (155)(완성제품)'!B59,'JUNE (물량흐름)'!$T$13:$T$493)-SUMIF('JUNE (물량흐름)'!$C$13:$C$493,'In-out-bal products (155)(완성제품)'!B59,'JUNE (물량흐름)'!$Y$13:$Y$493)+SUMIF('JUNE (물량흐름)'!$C$13:$C$493,'In-out-bal products (155)(완성제품)'!B59,'JUNE (물량흐름)'!$U$13:$U$493)</f>
        <v>72</v>
      </c>
      <c r="I59" s="58">
        <f t="shared" si="6"/>
        <v>64904.319444444445</v>
      </c>
      <c r="J59" s="58">
        <f>SUMIF('Direct labour(직접노무비)'!$C$12:$C$503,'In-out-bal products (155)(완성제품)'!B59,'Direct labour(직접노무비)'!$Q$12:$Q$503)</f>
        <v>1977015</v>
      </c>
      <c r="K59" s="59">
        <f>SUMIF('Overhead exp(제조경비)'!$C$12:$C$503,'In-out-bal products (155)(완성제품)'!B59,'Overhead exp(제조경비)'!$Q$12:$Q$503)</f>
        <v>2696096</v>
      </c>
      <c r="L59" s="58">
        <f t="shared" si="7"/>
        <v>4673111</v>
      </c>
      <c r="M59" s="58">
        <f>SUMIF('JUNE (물량흐름)'!$C$13:$C$488,'In-out-bal products (155)(완성제품)'!B59,'JUNE (물량흐름)'!$Y$13:$Y$488)</f>
        <v>0</v>
      </c>
      <c r="N59" s="58">
        <f t="shared" si="8"/>
        <v>0</v>
      </c>
      <c r="O59" s="58">
        <f>SUMIF('Direct labour(직접노무비)'!$C$12:$C$503,'In-out-bal products (155)(완성제품)'!B59,'Direct labour(직접노무비)'!$U$12:$U$503)+SUMIF('Overhead exp(제조경비)'!$C$12:$C$503,'In-out-bal products (155)(완성제품)'!B59,'Overhead exp(제조경비)'!$U$12:$U$503)</f>
        <v>0</v>
      </c>
      <c r="P59" s="60">
        <f t="shared" si="9"/>
        <v>72</v>
      </c>
      <c r="Q59" s="60">
        <f t="shared" si="10"/>
        <v>64904.319444444445</v>
      </c>
      <c r="R59" s="60">
        <f t="shared" si="11"/>
        <v>4673111</v>
      </c>
      <c r="S59" s="58">
        <v>0</v>
      </c>
      <c r="T59" s="58">
        <v>0</v>
      </c>
      <c r="U59" s="58">
        <v>0</v>
      </c>
      <c r="V59" s="58">
        <f>SUMIF('JUNE (물량흐름)'!$C$13:$C$493,'In-out-bal products (155)(완성제품)'!B59,'JUNE (물량흐름)'!$W$13:$W$493)</f>
        <v>0</v>
      </c>
      <c r="W59" s="58">
        <f t="shared" si="12"/>
        <v>0</v>
      </c>
      <c r="X59" s="58">
        <f t="shared" si="13"/>
        <v>0</v>
      </c>
      <c r="Y59" s="58">
        <f>SUMIF('JUNE (물량흐름)'!$C$13:$C$488,'In-out-bal products (155)(완성제품)'!B59,'JUNE (물량흐름)'!$X$13:$X$488)</f>
        <v>0</v>
      </c>
      <c r="Z59" s="58">
        <f t="shared" si="14"/>
        <v>0</v>
      </c>
      <c r="AA59" s="58">
        <f t="shared" si="15"/>
        <v>0</v>
      </c>
      <c r="AB59" s="58"/>
      <c r="AC59" s="58"/>
      <c r="AD59" s="61"/>
      <c r="AE59" s="58">
        <f t="shared" si="16"/>
        <v>0</v>
      </c>
      <c r="AF59" s="58">
        <f t="shared" si="17"/>
        <v>0</v>
      </c>
      <c r="AG59" s="61">
        <f t="shared" si="18"/>
        <v>0</v>
      </c>
      <c r="AH59" s="58">
        <v>0</v>
      </c>
      <c r="AI59" s="58">
        <v>0</v>
      </c>
      <c r="AJ59" s="61">
        <v>0</v>
      </c>
      <c r="AK59" s="58"/>
      <c r="AL59" s="58"/>
      <c r="AM59" s="61"/>
      <c r="AN59" s="61">
        <f t="shared" si="19"/>
        <v>0</v>
      </c>
      <c r="AO59" s="58">
        <f t="shared" si="20"/>
        <v>0</v>
      </c>
      <c r="AP59" s="61">
        <f t="shared" si="21"/>
        <v>0</v>
      </c>
      <c r="AQ59" s="58">
        <f t="shared" si="22"/>
        <v>72</v>
      </c>
      <c r="AR59" s="58">
        <f t="shared" si="23"/>
        <v>64904.319444444445</v>
      </c>
      <c r="AS59" s="58">
        <f t="shared" si="24"/>
        <v>4673111</v>
      </c>
      <c r="AT59" s="58">
        <f>ROUND(SUMIF('JUNE (물량흐름)'!$C$13:$C$502,'In-out-bal products (155)(완성제품)'!B59,'JUNE (물량흐름)'!$AB$13:$AB$502),0)</f>
        <v>0</v>
      </c>
      <c r="AU59" s="58">
        <f t="shared" si="25"/>
        <v>0</v>
      </c>
      <c r="AV59" s="58">
        <f>ROUND(SUMIF('JUNE (물량흐름)'!$C$13:$C$502,'In-out-bal products (155)(완성제품)'!B59,'JUNE (물량흐름)'!$AC$13:$AC$502),0)</f>
        <v>72</v>
      </c>
      <c r="AW59" s="58">
        <f t="shared" si="26"/>
        <v>4673111</v>
      </c>
      <c r="AX59" s="376">
        <f t="shared" si="27"/>
        <v>0</v>
      </c>
      <c r="AY59" s="377">
        <f t="shared" si="28"/>
        <v>0</v>
      </c>
      <c r="AZ59" s="377">
        <f t="shared" si="29"/>
        <v>0</v>
      </c>
      <c r="BA59" s="377">
        <f t="shared" si="30"/>
        <v>0</v>
      </c>
      <c r="BB59" s="377"/>
      <c r="BC59" s="377">
        <f t="shared" si="31"/>
        <v>0</v>
      </c>
      <c r="BD59" s="377">
        <f t="shared" si="32"/>
        <v>0</v>
      </c>
      <c r="BE59" s="377"/>
      <c r="BF59" s="377">
        <f t="shared" si="33"/>
        <v>0</v>
      </c>
      <c r="BG59" s="433">
        <f t="shared" si="34"/>
        <v>0</v>
      </c>
      <c r="BH59" s="434">
        <f t="shared" si="35"/>
        <v>0</v>
      </c>
    </row>
    <row r="60" spans="1:60" s="378" customFormat="1">
      <c r="A60" s="167">
        <v>49</v>
      </c>
      <c r="B60" s="253" t="str">
        <f>VLOOKUP(A60,'JUNE (물량흐름)'!$A$13:$C$493,3,0)</f>
        <v>7D701</v>
      </c>
      <c r="C60" s="57" t="str">
        <f>VLOOKUP(A60,'JUNE (물량흐름)'!$A$13:$C$493,2,0)</f>
        <v>ALFANI</v>
      </c>
      <c r="D60" s="58">
        <f>IFERROR(VLOOKUP(B60,O.B.JUNE!$V$7:$Y$448,2,0),0)</f>
        <v>0</v>
      </c>
      <c r="E60" s="58">
        <f>IFERROR(VLOOKUP(B60,O.B.JUNE!$V$7:$X$448,3,0),0)</f>
        <v>0</v>
      </c>
      <c r="F60" s="58">
        <f>IFERROR(VLOOKUP(B60,O.B.JUNE!$V$7:$Y$448,4,0),0)</f>
        <v>0</v>
      </c>
      <c r="G60" s="58">
        <f>SUMIF('JUNE (물량흐름)'!$C$13:$C$493,'In-out-bal products (155)(완성제품)'!B60,'JUNE (물량흐름)'!$V$13:$V$493)</f>
        <v>0</v>
      </c>
      <c r="H60" s="58">
        <f>SUMIF('JUNE (물량흐름)'!$C$13:$C$493,'In-out-bal products (155)(완성제품)'!B60,'JUNE (물량흐름)'!$T$13:$T$493)-SUMIF('JUNE (물량흐름)'!$C$13:$C$493,'In-out-bal products (155)(완성제품)'!B60,'JUNE (물량흐름)'!$Y$13:$Y$493)+SUMIF('JUNE (물량흐름)'!$C$13:$C$493,'In-out-bal products (155)(완성제품)'!B60,'JUNE (물량흐름)'!$U$13:$U$493)</f>
        <v>180</v>
      </c>
      <c r="I60" s="58">
        <f t="shared" si="6"/>
        <v>33006.977777777778</v>
      </c>
      <c r="J60" s="58">
        <f>SUMIF('Direct labour(직접노무비)'!$C$12:$C$503,'In-out-bal products (155)(완성제품)'!B60,'Direct labour(직접노무비)'!$Q$12:$Q$503)</f>
        <v>2513519</v>
      </c>
      <c r="K60" s="59">
        <f>SUMIF('Overhead exp(제조경비)'!$C$12:$C$503,'In-out-bal products (155)(완성제품)'!B60,'Overhead exp(제조경비)'!$Q$12:$Q$503)</f>
        <v>3427737</v>
      </c>
      <c r="L60" s="58">
        <f t="shared" si="7"/>
        <v>5941256</v>
      </c>
      <c r="M60" s="58">
        <f>SUMIF('JUNE (물량흐름)'!$C$13:$C$488,'In-out-bal products (155)(완성제품)'!B60,'JUNE (물량흐름)'!$Y$13:$Y$488)</f>
        <v>0</v>
      </c>
      <c r="N60" s="58">
        <f t="shared" si="8"/>
        <v>0</v>
      </c>
      <c r="O60" s="58">
        <f>SUMIF('Direct labour(직접노무비)'!$C$12:$C$503,'In-out-bal products (155)(완성제품)'!B60,'Direct labour(직접노무비)'!$U$12:$U$503)+SUMIF('Overhead exp(제조경비)'!$C$12:$C$503,'In-out-bal products (155)(완성제품)'!B60,'Overhead exp(제조경비)'!$U$12:$U$503)</f>
        <v>0</v>
      </c>
      <c r="P60" s="60">
        <f t="shared" si="9"/>
        <v>180</v>
      </c>
      <c r="Q60" s="60">
        <f t="shared" si="10"/>
        <v>33006.977777777778</v>
      </c>
      <c r="R60" s="60">
        <f t="shared" si="11"/>
        <v>5941256</v>
      </c>
      <c r="S60" s="58">
        <v>0</v>
      </c>
      <c r="T60" s="58">
        <v>0</v>
      </c>
      <c r="U60" s="58">
        <v>0</v>
      </c>
      <c r="V60" s="58">
        <f>SUMIF('JUNE (물량흐름)'!$C$13:$C$493,'In-out-bal products (155)(완성제품)'!B60,'JUNE (물량흐름)'!$W$13:$W$493)</f>
        <v>0</v>
      </c>
      <c r="W60" s="58">
        <f t="shared" si="12"/>
        <v>0</v>
      </c>
      <c r="X60" s="58">
        <f t="shared" si="13"/>
        <v>0</v>
      </c>
      <c r="Y60" s="58">
        <f>SUMIF('JUNE (물량흐름)'!$C$13:$C$488,'In-out-bal products (155)(완성제품)'!B60,'JUNE (물량흐름)'!$X$13:$X$488)</f>
        <v>0</v>
      </c>
      <c r="Z60" s="58">
        <f t="shared" si="14"/>
        <v>0</v>
      </c>
      <c r="AA60" s="58">
        <f t="shared" si="15"/>
        <v>0</v>
      </c>
      <c r="AB60" s="58"/>
      <c r="AC60" s="58"/>
      <c r="AD60" s="61"/>
      <c r="AE60" s="58">
        <f t="shared" si="16"/>
        <v>0</v>
      </c>
      <c r="AF60" s="58">
        <f t="shared" si="17"/>
        <v>0</v>
      </c>
      <c r="AG60" s="61">
        <f t="shared" si="18"/>
        <v>0</v>
      </c>
      <c r="AH60" s="58">
        <v>0</v>
      </c>
      <c r="AI60" s="58">
        <v>0</v>
      </c>
      <c r="AJ60" s="61">
        <v>0</v>
      </c>
      <c r="AK60" s="58"/>
      <c r="AL60" s="58"/>
      <c r="AM60" s="61"/>
      <c r="AN60" s="61">
        <f t="shared" si="19"/>
        <v>0</v>
      </c>
      <c r="AO60" s="58">
        <f t="shared" si="20"/>
        <v>0</v>
      </c>
      <c r="AP60" s="61">
        <f t="shared" si="21"/>
        <v>0</v>
      </c>
      <c r="AQ60" s="58">
        <f t="shared" si="22"/>
        <v>180</v>
      </c>
      <c r="AR60" s="58">
        <f t="shared" si="23"/>
        <v>33006.977777777778</v>
      </c>
      <c r="AS60" s="58">
        <f t="shared" si="24"/>
        <v>5941256</v>
      </c>
      <c r="AT60" s="58">
        <f>ROUND(SUMIF('JUNE (물량흐름)'!$C$13:$C$502,'In-out-bal products (155)(완성제품)'!B60,'JUNE (물량흐름)'!$AB$13:$AB$502),0)</f>
        <v>0</v>
      </c>
      <c r="AU60" s="58">
        <f t="shared" si="25"/>
        <v>0</v>
      </c>
      <c r="AV60" s="58">
        <f>ROUND(SUMIF('JUNE (물량흐름)'!$C$13:$C$502,'In-out-bal products (155)(완성제품)'!B60,'JUNE (물량흐름)'!$AC$13:$AC$502),0)</f>
        <v>180</v>
      </c>
      <c r="AW60" s="58">
        <f t="shared" si="26"/>
        <v>5941256</v>
      </c>
      <c r="AX60" s="376">
        <f t="shared" si="27"/>
        <v>0</v>
      </c>
      <c r="AY60" s="377">
        <f t="shared" si="28"/>
        <v>0</v>
      </c>
      <c r="AZ60" s="377">
        <f t="shared" si="29"/>
        <v>0</v>
      </c>
      <c r="BA60" s="377">
        <f t="shared" si="30"/>
        <v>0</v>
      </c>
      <c r="BB60" s="377"/>
      <c r="BC60" s="377">
        <f t="shared" si="31"/>
        <v>0</v>
      </c>
      <c r="BD60" s="377">
        <f t="shared" si="32"/>
        <v>0</v>
      </c>
      <c r="BE60" s="377"/>
      <c r="BF60" s="377">
        <f t="shared" si="33"/>
        <v>0</v>
      </c>
      <c r="BG60" s="433">
        <f t="shared" si="34"/>
        <v>0</v>
      </c>
      <c r="BH60" s="434">
        <f t="shared" si="35"/>
        <v>0</v>
      </c>
    </row>
    <row r="61" spans="1:60" s="378" customFormat="1">
      <c r="A61" s="167">
        <v>50</v>
      </c>
      <c r="B61" s="253" t="str">
        <f>VLOOKUP(A61,'JUNE (물량흐름)'!$A$13:$C$493,3,0)</f>
        <v>7D707</v>
      </c>
      <c r="C61" s="57" t="str">
        <f>VLOOKUP(A61,'JUNE (물량흐름)'!$A$13:$C$493,2,0)</f>
        <v>ALFANI</v>
      </c>
      <c r="D61" s="58">
        <f>IFERROR(VLOOKUP(B61,O.B.JUNE!$V$7:$Y$448,2,0),0)</f>
        <v>0</v>
      </c>
      <c r="E61" s="58">
        <f>IFERROR(VLOOKUP(B61,O.B.JUNE!$V$7:$X$448,3,0),0)</f>
        <v>0</v>
      </c>
      <c r="F61" s="58">
        <f>IFERROR(VLOOKUP(B61,O.B.JUNE!$V$7:$Y$448,4,0),0)</f>
        <v>0</v>
      </c>
      <c r="G61" s="58">
        <f>SUMIF('JUNE (물량흐름)'!$C$13:$C$493,'In-out-bal products (155)(완성제품)'!B61,'JUNE (물량흐름)'!$V$13:$V$493)</f>
        <v>0</v>
      </c>
      <c r="H61" s="58">
        <f>SUMIF('JUNE (물량흐름)'!$C$13:$C$493,'In-out-bal products (155)(완성제품)'!B61,'JUNE (물량흐름)'!$T$13:$T$493)-SUMIF('JUNE (물량흐름)'!$C$13:$C$493,'In-out-bal products (155)(완성제품)'!B61,'JUNE (물량흐름)'!$Y$13:$Y$493)+SUMIF('JUNE (물량흐름)'!$C$13:$C$493,'In-out-bal products (155)(완성제품)'!B61,'JUNE (물량흐름)'!$U$13:$U$493)</f>
        <v>0</v>
      </c>
      <c r="I61" s="58">
        <f t="shared" si="6"/>
        <v>0</v>
      </c>
      <c r="J61" s="58">
        <f>SUMIF('Direct labour(직접노무비)'!$C$12:$C$503,'In-out-bal products (155)(완성제품)'!B61,'Direct labour(직접노무비)'!$Q$12:$Q$503)</f>
        <v>0</v>
      </c>
      <c r="K61" s="59">
        <f>SUMIF('Overhead exp(제조경비)'!$C$12:$C$503,'In-out-bal products (155)(완성제품)'!B61,'Overhead exp(제조경비)'!$Q$12:$Q$503)</f>
        <v>0</v>
      </c>
      <c r="L61" s="58">
        <f t="shared" si="7"/>
        <v>0</v>
      </c>
      <c r="M61" s="58">
        <f>SUMIF('JUNE (물량흐름)'!$C$13:$C$488,'In-out-bal products (155)(완성제품)'!B61,'JUNE (물량흐름)'!$Y$13:$Y$488)</f>
        <v>0</v>
      </c>
      <c r="N61" s="58">
        <f t="shared" si="8"/>
        <v>0</v>
      </c>
      <c r="O61" s="58">
        <f>SUMIF('Direct labour(직접노무비)'!$C$12:$C$503,'In-out-bal products (155)(완성제품)'!B61,'Direct labour(직접노무비)'!$U$12:$U$503)+SUMIF('Overhead exp(제조경비)'!$C$12:$C$503,'In-out-bal products (155)(완성제품)'!B61,'Overhead exp(제조경비)'!$U$12:$U$503)</f>
        <v>0</v>
      </c>
      <c r="P61" s="60">
        <f t="shared" si="9"/>
        <v>0</v>
      </c>
      <c r="Q61" s="60">
        <f t="shared" si="10"/>
        <v>0</v>
      </c>
      <c r="R61" s="60">
        <f t="shared" si="11"/>
        <v>0</v>
      </c>
      <c r="S61" s="58">
        <v>0</v>
      </c>
      <c r="T61" s="58">
        <v>0</v>
      </c>
      <c r="U61" s="58">
        <v>0</v>
      </c>
      <c r="V61" s="58">
        <f>SUMIF('JUNE (물량흐름)'!$C$13:$C$493,'In-out-bal products (155)(완성제품)'!B61,'JUNE (물량흐름)'!$W$13:$W$493)</f>
        <v>0</v>
      </c>
      <c r="W61" s="58">
        <f t="shared" si="12"/>
        <v>0</v>
      </c>
      <c r="X61" s="58">
        <f t="shared" si="13"/>
        <v>0</v>
      </c>
      <c r="Y61" s="58">
        <f>SUMIF('JUNE (물량흐름)'!$C$13:$C$488,'In-out-bal products (155)(완성제품)'!B61,'JUNE (물량흐름)'!$X$13:$X$488)</f>
        <v>0</v>
      </c>
      <c r="Z61" s="58">
        <f t="shared" si="14"/>
        <v>0</v>
      </c>
      <c r="AA61" s="58">
        <f t="shared" si="15"/>
        <v>0</v>
      </c>
      <c r="AB61" s="58"/>
      <c r="AC61" s="58"/>
      <c r="AD61" s="61"/>
      <c r="AE61" s="58">
        <f t="shared" si="16"/>
        <v>0</v>
      </c>
      <c r="AF61" s="58">
        <f t="shared" si="17"/>
        <v>0</v>
      </c>
      <c r="AG61" s="61">
        <f t="shared" si="18"/>
        <v>0</v>
      </c>
      <c r="AH61" s="58">
        <v>0</v>
      </c>
      <c r="AI61" s="58">
        <v>0</v>
      </c>
      <c r="AJ61" s="61">
        <v>0</v>
      </c>
      <c r="AK61" s="58"/>
      <c r="AL61" s="58"/>
      <c r="AM61" s="61"/>
      <c r="AN61" s="61">
        <f t="shared" si="19"/>
        <v>0</v>
      </c>
      <c r="AO61" s="58">
        <f t="shared" si="20"/>
        <v>0</v>
      </c>
      <c r="AP61" s="61">
        <f t="shared" si="21"/>
        <v>0</v>
      </c>
      <c r="AQ61" s="58">
        <f t="shared" si="22"/>
        <v>0</v>
      </c>
      <c r="AR61" s="58">
        <f t="shared" si="23"/>
        <v>0</v>
      </c>
      <c r="AS61" s="58">
        <f t="shared" si="24"/>
        <v>0</v>
      </c>
      <c r="AT61" s="58">
        <f>ROUND(SUMIF('JUNE (물량흐름)'!$C$13:$C$502,'In-out-bal products (155)(완성제품)'!B61,'JUNE (물량흐름)'!$AB$13:$AB$502),0)</f>
        <v>0</v>
      </c>
      <c r="AU61" s="58">
        <f t="shared" si="25"/>
        <v>0</v>
      </c>
      <c r="AV61" s="58">
        <f>ROUND(SUMIF('JUNE (물량흐름)'!$C$13:$C$502,'In-out-bal products (155)(완성제품)'!B61,'JUNE (물량흐름)'!$AC$13:$AC$502),0)</f>
        <v>0</v>
      </c>
      <c r="AW61" s="58">
        <f t="shared" si="26"/>
        <v>0</v>
      </c>
      <c r="AX61" s="376">
        <f t="shared" si="27"/>
        <v>0</v>
      </c>
      <c r="AY61" s="377">
        <f t="shared" si="28"/>
        <v>0</v>
      </c>
      <c r="AZ61" s="377">
        <f t="shared" si="29"/>
        <v>0</v>
      </c>
      <c r="BA61" s="377">
        <f t="shared" si="30"/>
        <v>0</v>
      </c>
      <c r="BB61" s="377"/>
      <c r="BC61" s="377">
        <f t="shared" si="31"/>
        <v>0</v>
      </c>
      <c r="BD61" s="377">
        <f t="shared" si="32"/>
        <v>0</v>
      </c>
      <c r="BE61" s="377"/>
      <c r="BF61" s="377">
        <f t="shared" si="33"/>
        <v>0</v>
      </c>
      <c r="BG61" s="433">
        <f t="shared" si="34"/>
        <v>0</v>
      </c>
      <c r="BH61" s="434">
        <f t="shared" si="35"/>
        <v>0</v>
      </c>
    </row>
    <row r="62" spans="1:60" s="378" customFormat="1">
      <c r="A62" s="167">
        <v>51</v>
      </c>
      <c r="B62" s="253" t="str">
        <f>VLOOKUP(A62,'JUNE (물량흐름)'!$A$13:$C$493,3,0)</f>
        <v>7D902</v>
      </c>
      <c r="C62" s="57" t="str">
        <f>VLOOKUP(A62,'JUNE (물량흐름)'!$A$13:$C$493,2,0)</f>
        <v>ALFANI</v>
      </c>
      <c r="D62" s="58">
        <f>IFERROR(VLOOKUP(B62,O.B.JUNE!$V$7:$Y$448,2,0),0)</f>
        <v>0</v>
      </c>
      <c r="E62" s="58">
        <f>IFERROR(VLOOKUP(B62,O.B.JUNE!$V$7:$X$448,3,0),0)</f>
        <v>0</v>
      </c>
      <c r="F62" s="58">
        <f>IFERROR(VLOOKUP(B62,O.B.JUNE!$V$7:$Y$448,4,0),0)</f>
        <v>0</v>
      </c>
      <c r="G62" s="58">
        <f>SUMIF('JUNE (물량흐름)'!$C$13:$C$493,'In-out-bal products (155)(완성제품)'!B62,'JUNE (물량흐름)'!$V$13:$V$493)</f>
        <v>0</v>
      </c>
      <c r="H62" s="58">
        <f>SUMIF('JUNE (물량흐름)'!$C$13:$C$493,'In-out-bal products (155)(완성제품)'!B62,'JUNE (물량흐름)'!$T$13:$T$493)-SUMIF('JUNE (물량흐름)'!$C$13:$C$493,'In-out-bal products (155)(완성제품)'!B62,'JUNE (물량흐름)'!$Y$13:$Y$493)+SUMIF('JUNE (물량흐름)'!$C$13:$C$493,'In-out-bal products (155)(완성제품)'!B62,'JUNE (물량흐름)'!$U$13:$U$493)</f>
        <v>0</v>
      </c>
      <c r="I62" s="58">
        <f t="shared" si="6"/>
        <v>0</v>
      </c>
      <c r="J62" s="58">
        <f>SUMIF('Direct labour(직접노무비)'!$C$12:$C$503,'In-out-bal products (155)(완성제품)'!B62,'Direct labour(직접노무비)'!$Q$12:$Q$503)</f>
        <v>0</v>
      </c>
      <c r="K62" s="59">
        <f>SUMIF('Overhead exp(제조경비)'!$C$12:$C$503,'In-out-bal products (155)(완성제품)'!B62,'Overhead exp(제조경비)'!$Q$12:$Q$503)</f>
        <v>0</v>
      </c>
      <c r="L62" s="58">
        <f t="shared" si="7"/>
        <v>0</v>
      </c>
      <c r="M62" s="58">
        <f>SUMIF('JUNE (물량흐름)'!$C$13:$C$488,'In-out-bal products (155)(완성제품)'!B62,'JUNE (물량흐름)'!$Y$13:$Y$488)</f>
        <v>0</v>
      </c>
      <c r="N62" s="58">
        <f t="shared" si="8"/>
        <v>0</v>
      </c>
      <c r="O62" s="58">
        <f>SUMIF('Direct labour(직접노무비)'!$C$12:$C$503,'In-out-bal products (155)(완성제품)'!B62,'Direct labour(직접노무비)'!$U$12:$U$503)+SUMIF('Overhead exp(제조경비)'!$C$12:$C$503,'In-out-bal products (155)(완성제품)'!B62,'Overhead exp(제조경비)'!$U$12:$U$503)</f>
        <v>0</v>
      </c>
      <c r="P62" s="60">
        <f t="shared" si="9"/>
        <v>0</v>
      </c>
      <c r="Q62" s="60">
        <f t="shared" si="10"/>
        <v>0</v>
      </c>
      <c r="R62" s="60">
        <f t="shared" si="11"/>
        <v>0</v>
      </c>
      <c r="S62" s="58">
        <v>0</v>
      </c>
      <c r="T62" s="58">
        <v>0</v>
      </c>
      <c r="U62" s="58">
        <v>0</v>
      </c>
      <c r="V62" s="58">
        <f>SUMIF('JUNE (물량흐름)'!$C$13:$C$493,'In-out-bal products (155)(완성제품)'!B62,'JUNE (물량흐름)'!$W$13:$W$493)</f>
        <v>0</v>
      </c>
      <c r="W62" s="58">
        <f t="shared" si="12"/>
        <v>0</v>
      </c>
      <c r="X62" s="58">
        <f t="shared" si="13"/>
        <v>0</v>
      </c>
      <c r="Y62" s="58">
        <f>SUMIF('JUNE (물량흐름)'!$C$13:$C$488,'In-out-bal products (155)(완성제품)'!B62,'JUNE (물량흐름)'!$X$13:$X$488)</f>
        <v>0</v>
      </c>
      <c r="Z62" s="58">
        <f t="shared" si="14"/>
        <v>0</v>
      </c>
      <c r="AA62" s="58">
        <f t="shared" si="15"/>
        <v>0</v>
      </c>
      <c r="AB62" s="58"/>
      <c r="AC62" s="58"/>
      <c r="AD62" s="61"/>
      <c r="AE62" s="58">
        <f t="shared" si="16"/>
        <v>0</v>
      </c>
      <c r="AF62" s="58">
        <f t="shared" si="17"/>
        <v>0</v>
      </c>
      <c r="AG62" s="61">
        <f t="shared" si="18"/>
        <v>0</v>
      </c>
      <c r="AH62" s="58">
        <v>0</v>
      </c>
      <c r="AI62" s="58">
        <v>0</v>
      </c>
      <c r="AJ62" s="61">
        <v>0</v>
      </c>
      <c r="AK62" s="58"/>
      <c r="AL62" s="58"/>
      <c r="AM62" s="61"/>
      <c r="AN62" s="61">
        <f t="shared" si="19"/>
        <v>0</v>
      </c>
      <c r="AO62" s="58">
        <f t="shared" si="20"/>
        <v>0</v>
      </c>
      <c r="AP62" s="61">
        <f t="shared" si="21"/>
        <v>0</v>
      </c>
      <c r="AQ62" s="58">
        <f t="shared" si="22"/>
        <v>0</v>
      </c>
      <c r="AR62" s="58">
        <f t="shared" si="23"/>
        <v>0</v>
      </c>
      <c r="AS62" s="58">
        <f t="shared" si="24"/>
        <v>0</v>
      </c>
      <c r="AT62" s="58">
        <f>ROUND(SUMIF('JUNE (물량흐름)'!$C$13:$C$502,'In-out-bal products (155)(완성제품)'!B62,'JUNE (물량흐름)'!$AB$13:$AB$502),0)</f>
        <v>0</v>
      </c>
      <c r="AU62" s="58">
        <f t="shared" si="25"/>
        <v>0</v>
      </c>
      <c r="AV62" s="58">
        <f>ROUND(SUMIF('JUNE (물량흐름)'!$C$13:$C$502,'In-out-bal products (155)(완성제품)'!B62,'JUNE (물량흐름)'!$AC$13:$AC$502),0)</f>
        <v>0</v>
      </c>
      <c r="AW62" s="58">
        <f t="shared" si="26"/>
        <v>0</v>
      </c>
      <c r="AX62" s="376">
        <f t="shared" si="27"/>
        <v>0</v>
      </c>
      <c r="AY62" s="377">
        <f t="shared" si="28"/>
        <v>0</v>
      </c>
      <c r="AZ62" s="377">
        <f t="shared" si="29"/>
        <v>0</v>
      </c>
      <c r="BA62" s="377">
        <f t="shared" si="30"/>
        <v>0</v>
      </c>
      <c r="BB62" s="377"/>
      <c r="BC62" s="377">
        <f t="shared" si="31"/>
        <v>0</v>
      </c>
      <c r="BD62" s="377">
        <f t="shared" si="32"/>
        <v>0</v>
      </c>
      <c r="BE62" s="377"/>
      <c r="BF62" s="377">
        <f t="shared" si="33"/>
        <v>0</v>
      </c>
      <c r="BG62" s="433">
        <f t="shared" si="34"/>
        <v>0</v>
      </c>
      <c r="BH62" s="434">
        <f t="shared" si="35"/>
        <v>0</v>
      </c>
    </row>
    <row r="63" spans="1:60" s="378" customFormat="1">
      <c r="A63" s="167">
        <v>52</v>
      </c>
      <c r="B63" s="253" t="str">
        <f>VLOOKUP(A63,'JUNE (물량흐름)'!$A$13:$C$493,3,0)</f>
        <v>7N714</v>
      </c>
      <c r="C63" s="57" t="str">
        <f>VLOOKUP(A63,'JUNE (물량흐름)'!$A$13:$C$493,2,0)</f>
        <v>ALFANI</v>
      </c>
      <c r="D63" s="58">
        <f>IFERROR(VLOOKUP(B63,O.B.JUNE!$V$7:$Y$448,2,0),0)</f>
        <v>0</v>
      </c>
      <c r="E63" s="58">
        <f>IFERROR(VLOOKUP(B63,O.B.JUNE!$V$7:$X$448,3,0),0)</f>
        <v>0</v>
      </c>
      <c r="F63" s="58">
        <f>IFERROR(VLOOKUP(B63,O.B.JUNE!$V$7:$Y$448,4,0),0)</f>
        <v>0</v>
      </c>
      <c r="G63" s="58">
        <f>SUMIF('JUNE (물량흐름)'!$C$13:$C$493,'In-out-bal products (155)(완성제품)'!B63,'JUNE (물량흐름)'!$V$13:$V$493)</f>
        <v>0</v>
      </c>
      <c r="H63" s="58">
        <f>SUMIF('JUNE (물량흐름)'!$C$13:$C$493,'In-out-bal products (155)(완성제품)'!B63,'JUNE (물량흐름)'!$T$13:$T$493)-SUMIF('JUNE (물량흐름)'!$C$13:$C$493,'In-out-bal products (155)(완성제품)'!B63,'JUNE (물량흐름)'!$Y$13:$Y$493)+SUMIF('JUNE (물량흐름)'!$C$13:$C$493,'In-out-bal products (155)(완성제품)'!B63,'JUNE (물량흐름)'!$U$13:$U$493)</f>
        <v>100</v>
      </c>
      <c r="I63" s="58">
        <f t="shared" si="6"/>
        <v>62628.63</v>
      </c>
      <c r="J63" s="58">
        <f>SUMIF('Direct labour(직접노무비)'!$C$12:$C$503,'In-out-bal products (155)(완성제품)'!B63,'Direct labour(직접노무비)'!$Q$12:$Q$503)</f>
        <v>2649579</v>
      </c>
      <c r="K63" s="59">
        <f>SUMIF('Overhead exp(제조경비)'!$C$12:$C$503,'In-out-bal products (155)(완성제품)'!B63,'Overhead exp(제조경비)'!$Q$12:$Q$503)</f>
        <v>3613284</v>
      </c>
      <c r="L63" s="58">
        <f t="shared" si="7"/>
        <v>6262863</v>
      </c>
      <c r="M63" s="58">
        <f>SUMIF('JUNE (물량흐름)'!$C$13:$C$488,'In-out-bal products (155)(완성제품)'!B63,'JUNE (물량흐름)'!$Y$13:$Y$488)</f>
        <v>0</v>
      </c>
      <c r="N63" s="58">
        <f t="shared" si="8"/>
        <v>0</v>
      </c>
      <c r="O63" s="58">
        <f>SUMIF('Direct labour(직접노무비)'!$C$12:$C$503,'In-out-bal products (155)(완성제품)'!B63,'Direct labour(직접노무비)'!$U$12:$U$503)+SUMIF('Overhead exp(제조경비)'!$C$12:$C$503,'In-out-bal products (155)(완성제품)'!B63,'Overhead exp(제조경비)'!$U$12:$U$503)</f>
        <v>0</v>
      </c>
      <c r="P63" s="60">
        <f t="shared" si="9"/>
        <v>100</v>
      </c>
      <c r="Q63" s="60">
        <f t="shared" si="10"/>
        <v>62628.63</v>
      </c>
      <c r="R63" s="60">
        <f t="shared" si="11"/>
        <v>6262863</v>
      </c>
      <c r="S63" s="58">
        <v>0</v>
      </c>
      <c r="T63" s="58">
        <v>0</v>
      </c>
      <c r="U63" s="58">
        <v>0</v>
      </c>
      <c r="V63" s="58">
        <f>SUMIF('JUNE (물량흐름)'!$C$13:$C$493,'In-out-bal products (155)(완성제품)'!B63,'JUNE (물량흐름)'!$W$13:$W$493)</f>
        <v>0</v>
      </c>
      <c r="W63" s="58">
        <f t="shared" si="12"/>
        <v>0</v>
      </c>
      <c r="X63" s="58">
        <f t="shared" si="13"/>
        <v>0</v>
      </c>
      <c r="Y63" s="58">
        <f>SUMIF('JUNE (물량흐름)'!$C$13:$C$488,'In-out-bal products (155)(완성제품)'!B63,'JUNE (물량흐름)'!$X$13:$X$488)</f>
        <v>0</v>
      </c>
      <c r="Z63" s="58">
        <f t="shared" si="14"/>
        <v>0</v>
      </c>
      <c r="AA63" s="58">
        <f t="shared" si="15"/>
        <v>0</v>
      </c>
      <c r="AB63" s="58"/>
      <c r="AC63" s="58"/>
      <c r="AD63" s="61"/>
      <c r="AE63" s="58">
        <f t="shared" si="16"/>
        <v>0</v>
      </c>
      <c r="AF63" s="58">
        <f t="shared" si="17"/>
        <v>0</v>
      </c>
      <c r="AG63" s="61">
        <f t="shared" si="18"/>
        <v>0</v>
      </c>
      <c r="AH63" s="58">
        <v>0</v>
      </c>
      <c r="AI63" s="58">
        <v>0</v>
      </c>
      <c r="AJ63" s="61">
        <v>0</v>
      </c>
      <c r="AK63" s="58"/>
      <c r="AL63" s="58"/>
      <c r="AM63" s="61"/>
      <c r="AN63" s="61">
        <f t="shared" si="19"/>
        <v>0</v>
      </c>
      <c r="AO63" s="58">
        <f t="shared" si="20"/>
        <v>0</v>
      </c>
      <c r="AP63" s="61">
        <f t="shared" si="21"/>
        <v>0</v>
      </c>
      <c r="AQ63" s="58">
        <f t="shared" si="22"/>
        <v>100</v>
      </c>
      <c r="AR63" s="58">
        <f t="shared" si="23"/>
        <v>62628.63</v>
      </c>
      <c r="AS63" s="58">
        <f t="shared" si="24"/>
        <v>6262863</v>
      </c>
      <c r="AT63" s="58">
        <f>ROUND(SUMIF('JUNE (물량흐름)'!$C$13:$C$502,'In-out-bal products (155)(완성제품)'!B63,'JUNE (물량흐름)'!$AB$13:$AB$502),0)</f>
        <v>0</v>
      </c>
      <c r="AU63" s="58">
        <f t="shared" si="25"/>
        <v>0</v>
      </c>
      <c r="AV63" s="58">
        <f>ROUND(SUMIF('JUNE (물량흐름)'!$C$13:$C$502,'In-out-bal products (155)(완성제품)'!B63,'JUNE (물량흐름)'!$AC$13:$AC$502),0)</f>
        <v>100</v>
      </c>
      <c r="AW63" s="58">
        <f t="shared" si="26"/>
        <v>6262863</v>
      </c>
      <c r="AX63" s="376">
        <f t="shared" si="27"/>
        <v>0</v>
      </c>
      <c r="AY63" s="377">
        <f t="shared" si="28"/>
        <v>0</v>
      </c>
      <c r="AZ63" s="377">
        <f t="shared" si="29"/>
        <v>0</v>
      </c>
      <c r="BA63" s="377">
        <f t="shared" si="30"/>
        <v>0</v>
      </c>
      <c r="BB63" s="377"/>
      <c r="BC63" s="377">
        <f t="shared" si="31"/>
        <v>0</v>
      </c>
      <c r="BD63" s="377">
        <f t="shared" si="32"/>
        <v>0</v>
      </c>
      <c r="BE63" s="377"/>
      <c r="BF63" s="377">
        <f t="shared" si="33"/>
        <v>0</v>
      </c>
      <c r="BG63" s="433">
        <f t="shared" si="34"/>
        <v>0</v>
      </c>
      <c r="BH63" s="434">
        <f t="shared" si="35"/>
        <v>0</v>
      </c>
    </row>
    <row r="64" spans="1:60" s="378" customFormat="1">
      <c r="A64" s="167">
        <v>53</v>
      </c>
      <c r="B64" s="253">
        <f>VLOOKUP(A64,'JUNE (물량흐름)'!$A$13:$C$493,3,0)</f>
        <v>448556</v>
      </c>
      <c r="C64" s="57" t="str">
        <f>VLOOKUP(A64,'JUNE (물량흐름)'!$A$13:$C$493,2,0)</f>
        <v>ANN TAYLOR</v>
      </c>
      <c r="D64" s="58">
        <f>IFERROR(VLOOKUP(B64,O.B.JUNE!$V$7:$Y$448,2,0),0)</f>
        <v>0</v>
      </c>
      <c r="E64" s="58">
        <f>IFERROR(VLOOKUP(B64,O.B.JUNE!$V$7:$X$448,3,0),0)</f>
        <v>0</v>
      </c>
      <c r="F64" s="58">
        <f>IFERROR(VLOOKUP(B64,O.B.JUNE!$V$7:$Y$448,4,0),0)</f>
        <v>0</v>
      </c>
      <c r="G64" s="58">
        <f>SUMIF('JUNE (물량흐름)'!$C$13:$C$493,'In-out-bal products (155)(완성제품)'!B64,'JUNE (물량흐름)'!$V$13:$V$493)</f>
        <v>0</v>
      </c>
      <c r="H64" s="58">
        <f>SUMIF('JUNE (물량흐름)'!$C$13:$C$493,'In-out-bal products (155)(완성제품)'!B64,'JUNE (물량흐름)'!$T$13:$T$493)-SUMIF('JUNE (물량흐름)'!$C$13:$C$493,'In-out-bal products (155)(완성제품)'!B64,'JUNE (물량흐름)'!$Y$13:$Y$493)+SUMIF('JUNE (물량흐름)'!$C$13:$C$493,'In-out-bal products (155)(완성제품)'!B64,'JUNE (물량흐름)'!$U$13:$U$493)</f>
        <v>56</v>
      </c>
      <c r="I64" s="58">
        <f t="shared" si="6"/>
        <v>45312.571428571428</v>
      </c>
      <c r="J64" s="58">
        <f>SUMIF('Direct labour(직접노무비)'!$C$12:$C$503,'In-out-bal products (155)(완성제품)'!B64,'Direct labour(직접노무비)'!$Q$12:$Q$503)</f>
        <v>1073521</v>
      </c>
      <c r="K64" s="59">
        <f>SUMIF('Overhead exp(제조경비)'!$C$12:$C$503,'In-out-bal products (155)(완성제품)'!B64,'Overhead exp(제조경비)'!$Q$12:$Q$503)</f>
        <v>1463983</v>
      </c>
      <c r="L64" s="58">
        <f t="shared" si="7"/>
        <v>2537504</v>
      </c>
      <c r="M64" s="58">
        <f>SUMIF('JUNE (물량흐름)'!$C$13:$C$488,'In-out-bal products (155)(완성제품)'!B64,'JUNE (물량흐름)'!$Y$13:$Y$488)</f>
        <v>0</v>
      </c>
      <c r="N64" s="58">
        <f t="shared" si="8"/>
        <v>0</v>
      </c>
      <c r="O64" s="58">
        <f>SUMIF('Direct labour(직접노무비)'!$C$12:$C$503,'In-out-bal products (155)(완성제품)'!B64,'Direct labour(직접노무비)'!$U$12:$U$503)+SUMIF('Overhead exp(제조경비)'!$C$12:$C$503,'In-out-bal products (155)(완성제품)'!B64,'Overhead exp(제조경비)'!$U$12:$U$503)</f>
        <v>0</v>
      </c>
      <c r="P64" s="60">
        <f t="shared" si="9"/>
        <v>56</v>
      </c>
      <c r="Q64" s="60">
        <f t="shared" si="10"/>
        <v>45312.571428571428</v>
      </c>
      <c r="R64" s="60">
        <f t="shared" si="11"/>
        <v>2537504</v>
      </c>
      <c r="S64" s="58">
        <v>0</v>
      </c>
      <c r="T64" s="58">
        <v>0</v>
      </c>
      <c r="U64" s="58">
        <v>0</v>
      </c>
      <c r="V64" s="58">
        <f>SUMIF('JUNE (물량흐름)'!$C$13:$C$493,'In-out-bal products (155)(완성제품)'!B64,'JUNE (물량흐름)'!$W$13:$W$493)</f>
        <v>0</v>
      </c>
      <c r="W64" s="58">
        <f t="shared" si="12"/>
        <v>0</v>
      </c>
      <c r="X64" s="58">
        <f t="shared" si="13"/>
        <v>0</v>
      </c>
      <c r="Y64" s="58">
        <f>SUMIF('JUNE (물량흐름)'!$C$13:$C$488,'In-out-bal products (155)(완성제품)'!B64,'JUNE (물량흐름)'!$X$13:$X$488)</f>
        <v>0</v>
      </c>
      <c r="Z64" s="58">
        <f t="shared" si="14"/>
        <v>0</v>
      </c>
      <c r="AA64" s="58">
        <f t="shared" si="15"/>
        <v>0</v>
      </c>
      <c r="AB64" s="58"/>
      <c r="AC64" s="58"/>
      <c r="AD64" s="61"/>
      <c r="AE64" s="58">
        <f t="shared" si="16"/>
        <v>0</v>
      </c>
      <c r="AF64" s="58">
        <f t="shared" si="17"/>
        <v>0</v>
      </c>
      <c r="AG64" s="61">
        <f t="shared" si="18"/>
        <v>0</v>
      </c>
      <c r="AH64" s="58">
        <v>0</v>
      </c>
      <c r="AI64" s="58">
        <v>0</v>
      </c>
      <c r="AJ64" s="61">
        <v>0</v>
      </c>
      <c r="AK64" s="58"/>
      <c r="AL64" s="58"/>
      <c r="AM64" s="61"/>
      <c r="AN64" s="61">
        <f t="shared" si="19"/>
        <v>0</v>
      </c>
      <c r="AO64" s="58">
        <f t="shared" si="20"/>
        <v>0</v>
      </c>
      <c r="AP64" s="61">
        <f t="shared" si="21"/>
        <v>0</v>
      </c>
      <c r="AQ64" s="58">
        <f t="shared" si="22"/>
        <v>56</v>
      </c>
      <c r="AR64" s="58">
        <f t="shared" si="23"/>
        <v>45312.571428571428</v>
      </c>
      <c r="AS64" s="58">
        <f t="shared" si="24"/>
        <v>2537504</v>
      </c>
      <c r="AT64" s="58">
        <f>ROUND(SUMIF('JUNE (물량흐름)'!$C$13:$C$502,'In-out-bal products (155)(완성제품)'!B64,'JUNE (물량흐름)'!$AB$13:$AB$502),0)</f>
        <v>0</v>
      </c>
      <c r="AU64" s="58">
        <f t="shared" si="25"/>
        <v>0</v>
      </c>
      <c r="AV64" s="58">
        <f>ROUND(SUMIF('JUNE (물량흐름)'!$C$13:$C$502,'In-out-bal products (155)(완성제품)'!B64,'JUNE (물량흐름)'!$AC$13:$AC$502),0)</f>
        <v>56</v>
      </c>
      <c r="AW64" s="58">
        <f t="shared" si="26"/>
        <v>2537504</v>
      </c>
      <c r="AX64" s="376">
        <f t="shared" si="27"/>
        <v>0</v>
      </c>
      <c r="AY64" s="377">
        <f t="shared" si="28"/>
        <v>0</v>
      </c>
      <c r="AZ64" s="377">
        <f t="shared" si="29"/>
        <v>0</v>
      </c>
      <c r="BA64" s="377">
        <f t="shared" si="30"/>
        <v>0</v>
      </c>
      <c r="BB64" s="377"/>
      <c r="BC64" s="377">
        <f t="shared" si="31"/>
        <v>0</v>
      </c>
      <c r="BD64" s="377">
        <f t="shared" si="32"/>
        <v>0</v>
      </c>
      <c r="BE64" s="377"/>
      <c r="BF64" s="377">
        <f t="shared" si="33"/>
        <v>0</v>
      </c>
      <c r="BG64" s="433">
        <f t="shared" si="34"/>
        <v>0</v>
      </c>
      <c r="BH64" s="434">
        <f t="shared" si="35"/>
        <v>0</v>
      </c>
    </row>
    <row r="65" spans="1:60" s="378" customFormat="1">
      <c r="A65" s="167">
        <v>54</v>
      </c>
      <c r="B65" s="253">
        <f>VLOOKUP(A65,'JUNE (물량흐름)'!$A$13:$C$493,3,0)</f>
        <v>454819</v>
      </c>
      <c r="C65" s="57" t="str">
        <f>VLOOKUP(A65,'JUNE (물량흐름)'!$A$13:$C$493,2,0)</f>
        <v>ANN TAYLOR</v>
      </c>
      <c r="D65" s="58">
        <f>IFERROR(VLOOKUP(B65,O.B.JUNE!$V$7:$Y$448,2,0),0)</f>
        <v>0</v>
      </c>
      <c r="E65" s="58">
        <f>IFERROR(VLOOKUP(B65,O.B.JUNE!$V$7:$X$448,3,0),0)</f>
        <v>0</v>
      </c>
      <c r="F65" s="58">
        <f>IFERROR(VLOOKUP(B65,O.B.JUNE!$V$7:$Y$448,4,0),0)</f>
        <v>0</v>
      </c>
      <c r="G65" s="58">
        <f>SUMIF('JUNE (물량흐름)'!$C$13:$C$493,'In-out-bal products (155)(완성제품)'!B65,'JUNE (물량흐름)'!$V$13:$V$493)</f>
        <v>0</v>
      </c>
      <c r="H65" s="58">
        <f>SUMIF('JUNE (물량흐름)'!$C$13:$C$493,'In-out-bal products (155)(완성제품)'!B65,'JUNE (물량흐름)'!$T$13:$T$493)-SUMIF('JUNE (물량흐름)'!$C$13:$C$493,'In-out-bal products (155)(완성제품)'!B65,'JUNE (물량흐름)'!$Y$13:$Y$493)+SUMIF('JUNE (물량흐름)'!$C$13:$C$493,'In-out-bal products (155)(완성제품)'!B65,'JUNE (물량흐름)'!$U$13:$U$493)</f>
        <v>121</v>
      </c>
      <c r="I65" s="58">
        <f t="shared" si="6"/>
        <v>53415.247933884297</v>
      </c>
      <c r="J65" s="58">
        <f>SUMIF('Direct labour(직접노무비)'!$C$12:$C$503,'In-out-bal products (155)(완성제품)'!B65,'Direct labour(직접노무비)'!$Q$12:$Q$503)</f>
        <v>2734353</v>
      </c>
      <c r="K65" s="59">
        <f>SUMIF('Overhead exp(제조경비)'!$C$12:$C$503,'In-out-bal products (155)(완성제품)'!B65,'Overhead exp(제조경비)'!$Q$12:$Q$503)</f>
        <v>3728892</v>
      </c>
      <c r="L65" s="58">
        <f t="shared" si="7"/>
        <v>6463245</v>
      </c>
      <c r="M65" s="58">
        <f>SUMIF('JUNE (물량흐름)'!$C$13:$C$488,'In-out-bal products (155)(완성제품)'!B65,'JUNE (물량흐름)'!$Y$13:$Y$488)</f>
        <v>0</v>
      </c>
      <c r="N65" s="58">
        <f t="shared" si="8"/>
        <v>0</v>
      </c>
      <c r="O65" s="58">
        <f>SUMIF('Direct labour(직접노무비)'!$C$12:$C$503,'In-out-bal products (155)(완성제품)'!B65,'Direct labour(직접노무비)'!$U$12:$U$503)+SUMIF('Overhead exp(제조경비)'!$C$12:$C$503,'In-out-bal products (155)(완성제품)'!B65,'Overhead exp(제조경비)'!$U$12:$U$503)</f>
        <v>0</v>
      </c>
      <c r="P65" s="60">
        <f t="shared" si="9"/>
        <v>121</v>
      </c>
      <c r="Q65" s="60">
        <f t="shared" si="10"/>
        <v>53415.247933884297</v>
      </c>
      <c r="R65" s="60">
        <f t="shared" si="11"/>
        <v>6463245</v>
      </c>
      <c r="S65" s="58">
        <v>0</v>
      </c>
      <c r="T65" s="58">
        <v>0</v>
      </c>
      <c r="U65" s="58">
        <v>0</v>
      </c>
      <c r="V65" s="58">
        <f>SUMIF('JUNE (물량흐름)'!$C$13:$C$493,'In-out-bal products (155)(완성제품)'!B65,'JUNE (물량흐름)'!$W$13:$W$493)</f>
        <v>0</v>
      </c>
      <c r="W65" s="58">
        <f t="shared" si="12"/>
        <v>0</v>
      </c>
      <c r="X65" s="58">
        <f t="shared" si="13"/>
        <v>0</v>
      </c>
      <c r="Y65" s="58">
        <f>SUMIF('JUNE (물량흐름)'!$C$13:$C$488,'In-out-bal products (155)(완성제품)'!B65,'JUNE (물량흐름)'!$X$13:$X$488)</f>
        <v>0</v>
      </c>
      <c r="Z65" s="58">
        <f t="shared" si="14"/>
        <v>0</v>
      </c>
      <c r="AA65" s="58">
        <f t="shared" si="15"/>
        <v>0</v>
      </c>
      <c r="AB65" s="58"/>
      <c r="AC65" s="58"/>
      <c r="AD65" s="61"/>
      <c r="AE65" s="58">
        <f t="shared" si="16"/>
        <v>0</v>
      </c>
      <c r="AF65" s="58">
        <f t="shared" si="17"/>
        <v>0</v>
      </c>
      <c r="AG65" s="61">
        <f t="shared" si="18"/>
        <v>0</v>
      </c>
      <c r="AH65" s="58">
        <v>0</v>
      </c>
      <c r="AI65" s="58">
        <v>0</v>
      </c>
      <c r="AJ65" s="61">
        <v>0</v>
      </c>
      <c r="AK65" s="58"/>
      <c r="AL65" s="58"/>
      <c r="AM65" s="61"/>
      <c r="AN65" s="61">
        <f t="shared" si="19"/>
        <v>0</v>
      </c>
      <c r="AO65" s="58">
        <f t="shared" si="20"/>
        <v>0</v>
      </c>
      <c r="AP65" s="61">
        <f t="shared" si="21"/>
        <v>0</v>
      </c>
      <c r="AQ65" s="58">
        <f t="shared" si="22"/>
        <v>121</v>
      </c>
      <c r="AR65" s="58">
        <f t="shared" si="23"/>
        <v>53415.247933884297</v>
      </c>
      <c r="AS65" s="58">
        <f t="shared" si="24"/>
        <v>6463245</v>
      </c>
      <c r="AT65" s="58">
        <f>ROUND(SUMIF('JUNE (물량흐름)'!$C$13:$C$502,'In-out-bal products (155)(완성제품)'!B65,'JUNE (물량흐름)'!$AB$13:$AB$502),0)</f>
        <v>0</v>
      </c>
      <c r="AU65" s="58">
        <f t="shared" si="25"/>
        <v>0</v>
      </c>
      <c r="AV65" s="58">
        <f>ROUND(SUMIF('JUNE (물량흐름)'!$C$13:$C$502,'In-out-bal products (155)(완성제품)'!B65,'JUNE (물량흐름)'!$AC$13:$AC$502),0)</f>
        <v>121</v>
      </c>
      <c r="AW65" s="58">
        <f t="shared" si="26"/>
        <v>6463245</v>
      </c>
      <c r="AX65" s="376">
        <f t="shared" si="27"/>
        <v>0</v>
      </c>
      <c r="AY65" s="377">
        <f t="shared" si="28"/>
        <v>0</v>
      </c>
      <c r="AZ65" s="377">
        <f t="shared" si="29"/>
        <v>0</v>
      </c>
      <c r="BA65" s="377">
        <f t="shared" si="30"/>
        <v>0</v>
      </c>
      <c r="BB65" s="377"/>
      <c r="BC65" s="377">
        <f t="shared" si="31"/>
        <v>0</v>
      </c>
      <c r="BD65" s="377">
        <f t="shared" si="32"/>
        <v>0</v>
      </c>
      <c r="BE65" s="377"/>
      <c r="BF65" s="377">
        <f t="shared" si="33"/>
        <v>0</v>
      </c>
      <c r="BG65" s="433">
        <f t="shared" si="34"/>
        <v>0</v>
      </c>
      <c r="BH65" s="434">
        <f t="shared" si="35"/>
        <v>0</v>
      </c>
    </row>
    <row r="66" spans="1:60" s="378" customFormat="1">
      <c r="A66" s="167">
        <v>55</v>
      </c>
      <c r="B66" s="253">
        <f>VLOOKUP(A66,'JUNE (물량흐름)'!$A$13:$C$493,3,0)</f>
        <v>457050</v>
      </c>
      <c r="C66" s="57" t="str">
        <f>VLOOKUP(A66,'JUNE (물량흐름)'!$A$13:$C$493,2,0)</f>
        <v>ANN TAYLOR</v>
      </c>
      <c r="D66" s="58">
        <f>IFERROR(VLOOKUP(B66,O.B.JUNE!$V$7:$Y$448,2,0),0)</f>
        <v>0</v>
      </c>
      <c r="E66" s="58">
        <f>IFERROR(VLOOKUP(B66,O.B.JUNE!$V$7:$X$448,3,0),0)</f>
        <v>0</v>
      </c>
      <c r="F66" s="58">
        <f>IFERROR(VLOOKUP(B66,O.B.JUNE!$V$7:$Y$448,4,0),0)</f>
        <v>0</v>
      </c>
      <c r="G66" s="58">
        <f>SUMIF('JUNE (물량흐름)'!$C$13:$C$493,'In-out-bal products (155)(완성제품)'!B66,'JUNE (물량흐름)'!$V$13:$V$493)</f>
        <v>0</v>
      </c>
      <c r="H66" s="58">
        <f>SUMIF('JUNE (물량흐름)'!$C$13:$C$493,'In-out-bal products (155)(완성제품)'!B66,'JUNE (물량흐름)'!$T$13:$T$493)-SUMIF('JUNE (물량흐름)'!$C$13:$C$493,'In-out-bal products (155)(완성제품)'!B66,'JUNE (물량흐름)'!$Y$13:$Y$493)+SUMIF('JUNE (물량흐름)'!$C$13:$C$493,'In-out-bal products (155)(완성제품)'!B66,'JUNE (물량흐름)'!$U$13:$U$493)</f>
        <v>0</v>
      </c>
      <c r="I66" s="58">
        <f t="shared" si="6"/>
        <v>0</v>
      </c>
      <c r="J66" s="58">
        <f>SUMIF('Direct labour(직접노무비)'!$C$12:$C$503,'In-out-bal products (155)(완성제품)'!B66,'Direct labour(직접노무비)'!$Q$12:$Q$503)</f>
        <v>0</v>
      </c>
      <c r="K66" s="59">
        <f>SUMIF('Overhead exp(제조경비)'!$C$12:$C$503,'In-out-bal products (155)(완성제품)'!B66,'Overhead exp(제조경비)'!$Q$12:$Q$503)</f>
        <v>0</v>
      </c>
      <c r="L66" s="58">
        <f t="shared" si="7"/>
        <v>0</v>
      </c>
      <c r="M66" s="58">
        <f>SUMIF('JUNE (물량흐름)'!$C$13:$C$488,'In-out-bal products (155)(완성제품)'!B66,'JUNE (물량흐름)'!$Y$13:$Y$488)</f>
        <v>0</v>
      </c>
      <c r="N66" s="58">
        <f t="shared" si="8"/>
        <v>0</v>
      </c>
      <c r="O66" s="58">
        <f>SUMIF('Direct labour(직접노무비)'!$C$12:$C$503,'In-out-bal products (155)(완성제품)'!B66,'Direct labour(직접노무비)'!$U$12:$U$503)+SUMIF('Overhead exp(제조경비)'!$C$12:$C$503,'In-out-bal products (155)(완성제품)'!B66,'Overhead exp(제조경비)'!$U$12:$U$503)</f>
        <v>0</v>
      </c>
      <c r="P66" s="60">
        <f t="shared" si="9"/>
        <v>0</v>
      </c>
      <c r="Q66" s="60">
        <f t="shared" si="10"/>
        <v>0</v>
      </c>
      <c r="R66" s="60">
        <f t="shared" si="11"/>
        <v>0</v>
      </c>
      <c r="S66" s="58">
        <v>0</v>
      </c>
      <c r="T66" s="58">
        <v>0</v>
      </c>
      <c r="U66" s="58">
        <v>0</v>
      </c>
      <c r="V66" s="58">
        <f>SUMIF('JUNE (물량흐름)'!$C$13:$C$493,'In-out-bal products (155)(완성제품)'!B66,'JUNE (물량흐름)'!$W$13:$W$493)</f>
        <v>0</v>
      </c>
      <c r="W66" s="58">
        <f t="shared" si="12"/>
        <v>0</v>
      </c>
      <c r="X66" s="58">
        <f t="shared" si="13"/>
        <v>0</v>
      </c>
      <c r="Y66" s="58">
        <f>SUMIF('JUNE (물량흐름)'!$C$13:$C$488,'In-out-bal products (155)(완성제품)'!B66,'JUNE (물량흐름)'!$X$13:$X$488)</f>
        <v>0</v>
      </c>
      <c r="Z66" s="58">
        <f t="shared" si="14"/>
        <v>0</v>
      </c>
      <c r="AA66" s="58">
        <f t="shared" si="15"/>
        <v>0</v>
      </c>
      <c r="AB66" s="58"/>
      <c r="AC66" s="58"/>
      <c r="AD66" s="61"/>
      <c r="AE66" s="58">
        <f t="shared" si="16"/>
        <v>0</v>
      </c>
      <c r="AF66" s="58">
        <f t="shared" si="17"/>
        <v>0</v>
      </c>
      <c r="AG66" s="61">
        <f t="shared" si="18"/>
        <v>0</v>
      </c>
      <c r="AH66" s="58">
        <v>0</v>
      </c>
      <c r="AI66" s="58">
        <v>0</v>
      </c>
      <c r="AJ66" s="61">
        <v>0</v>
      </c>
      <c r="AK66" s="58"/>
      <c r="AL66" s="58"/>
      <c r="AM66" s="61"/>
      <c r="AN66" s="61">
        <f t="shared" si="19"/>
        <v>0</v>
      </c>
      <c r="AO66" s="58">
        <f t="shared" si="20"/>
        <v>0</v>
      </c>
      <c r="AP66" s="61">
        <f t="shared" si="21"/>
        <v>0</v>
      </c>
      <c r="AQ66" s="58">
        <f t="shared" si="22"/>
        <v>0</v>
      </c>
      <c r="AR66" s="58">
        <f t="shared" si="23"/>
        <v>0</v>
      </c>
      <c r="AS66" s="58">
        <f t="shared" si="24"/>
        <v>0</v>
      </c>
      <c r="AT66" s="58">
        <f>ROUND(SUMIF('JUNE (물량흐름)'!$C$13:$C$502,'In-out-bal products (155)(완성제품)'!B66,'JUNE (물량흐름)'!$AB$13:$AB$502),0)</f>
        <v>0</v>
      </c>
      <c r="AU66" s="58">
        <f t="shared" si="25"/>
        <v>0</v>
      </c>
      <c r="AV66" s="58">
        <f>ROUND(SUMIF('JUNE (물량흐름)'!$C$13:$C$502,'In-out-bal products (155)(완성제품)'!B66,'JUNE (물량흐름)'!$AC$13:$AC$502),0)</f>
        <v>0</v>
      </c>
      <c r="AW66" s="58">
        <f t="shared" si="26"/>
        <v>0</v>
      </c>
      <c r="AX66" s="376">
        <f t="shared" si="27"/>
        <v>0</v>
      </c>
      <c r="AY66" s="377">
        <f t="shared" si="28"/>
        <v>0</v>
      </c>
      <c r="AZ66" s="377">
        <f t="shared" si="29"/>
        <v>0</v>
      </c>
      <c r="BA66" s="377">
        <f t="shared" si="30"/>
        <v>0</v>
      </c>
      <c r="BB66" s="377"/>
      <c r="BC66" s="377">
        <f t="shared" si="31"/>
        <v>0</v>
      </c>
      <c r="BD66" s="377">
        <f t="shared" si="32"/>
        <v>0</v>
      </c>
      <c r="BE66" s="377"/>
      <c r="BF66" s="377">
        <f t="shared" si="33"/>
        <v>0</v>
      </c>
      <c r="BG66" s="433">
        <f t="shared" si="34"/>
        <v>0</v>
      </c>
      <c r="BH66" s="434">
        <f t="shared" si="35"/>
        <v>0</v>
      </c>
    </row>
    <row r="67" spans="1:60" s="378" customFormat="1">
      <c r="A67" s="167">
        <v>56</v>
      </c>
      <c r="B67" s="253">
        <f>VLOOKUP(A67,'JUNE (물량흐름)'!$A$13:$C$493,3,0)</f>
        <v>100007750</v>
      </c>
      <c r="C67" s="57" t="str">
        <f>VLOOKUP(A67,'JUNE (물량흐름)'!$A$13:$C$493,2,0)</f>
        <v>INC</v>
      </c>
      <c r="D67" s="58">
        <f>IFERROR(VLOOKUP(B67,O.B.JUNE!$V$7:$Y$448,2,0),0)</f>
        <v>0</v>
      </c>
      <c r="E67" s="58">
        <f>IFERROR(VLOOKUP(B67,O.B.JUNE!$V$7:$X$448,3,0),0)</f>
        <v>0</v>
      </c>
      <c r="F67" s="58">
        <f>IFERROR(VLOOKUP(B67,O.B.JUNE!$V$7:$Y$448,4,0),0)</f>
        <v>0</v>
      </c>
      <c r="G67" s="58">
        <f>SUMIF('JUNE (물량흐름)'!$C$13:$C$493,'In-out-bal products (155)(완성제품)'!B67,'JUNE (물량흐름)'!$V$13:$V$493)</f>
        <v>0</v>
      </c>
      <c r="H67" s="58">
        <f>SUMIF('JUNE (물량흐름)'!$C$13:$C$493,'In-out-bal products (155)(완성제품)'!B67,'JUNE (물량흐름)'!$T$13:$T$493)-SUMIF('JUNE (물량흐름)'!$C$13:$C$493,'In-out-bal products (155)(완성제품)'!B67,'JUNE (물량흐름)'!$Y$13:$Y$493)+SUMIF('JUNE (물량흐름)'!$C$13:$C$493,'In-out-bal products (155)(완성제품)'!B67,'JUNE (물량흐름)'!$U$13:$U$493)</f>
        <v>42</v>
      </c>
      <c r="I67" s="58">
        <f t="shared" si="6"/>
        <v>50874.571428571428</v>
      </c>
      <c r="J67" s="58">
        <f>SUMIF('Direct labour(직접노무비)'!$C$12:$C$503,'In-out-bal products (155)(완성제품)'!B67,'Direct labour(직접노무비)'!$Q$12:$Q$503)</f>
        <v>903970</v>
      </c>
      <c r="K67" s="59">
        <f>SUMIF('Overhead exp(제조경비)'!$C$12:$C$503,'In-out-bal products (155)(완성제품)'!B67,'Overhead exp(제조경비)'!$Q$12:$Q$503)</f>
        <v>1232762</v>
      </c>
      <c r="L67" s="58">
        <f t="shared" si="7"/>
        <v>2136732</v>
      </c>
      <c r="M67" s="58">
        <f>SUMIF('JUNE (물량흐름)'!$C$13:$C$488,'In-out-bal products (155)(완성제품)'!B67,'JUNE (물량흐름)'!$Y$13:$Y$488)</f>
        <v>0</v>
      </c>
      <c r="N67" s="58">
        <f t="shared" si="8"/>
        <v>0</v>
      </c>
      <c r="O67" s="58">
        <f>SUMIF('Direct labour(직접노무비)'!$C$12:$C$503,'In-out-bal products (155)(완성제품)'!B67,'Direct labour(직접노무비)'!$U$12:$U$503)+SUMIF('Overhead exp(제조경비)'!$C$12:$C$503,'In-out-bal products (155)(완성제품)'!B67,'Overhead exp(제조경비)'!$U$12:$U$503)</f>
        <v>0</v>
      </c>
      <c r="P67" s="60">
        <f t="shared" si="9"/>
        <v>42</v>
      </c>
      <c r="Q67" s="60">
        <f t="shared" si="10"/>
        <v>50874.571428571428</v>
      </c>
      <c r="R67" s="60">
        <f t="shared" si="11"/>
        <v>2136732</v>
      </c>
      <c r="S67" s="58">
        <v>0</v>
      </c>
      <c r="T67" s="58">
        <v>0</v>
      </c>
      <c r="U67" s="58">
        <v>0</v>
      </c>
      <c r="V67" s="58">
        <f>SUMIF('JUNE (물량흐름)'!$C$13:$C$493,'In-out-bal products (155)(완성제품)'!B67,'JUNE (물량흐름)'!$W$13:$W$493)</f>
        <v>0</v>
      </c>
      <c r="W67" s="58">
        <f t="shared" si="12"/>
        <v>0</v>
      </c>
      <c r="X67" s="58">
        <f t="shared" si="13"/>
        <v>0</v>
      </c>
      <c r="Y67" s="58">
        <f>SUMIF('JUNE (물량흐름)'!$C$13:$C$488,'In-out-bal products (155)(완성제품)'!B67,'JUNE (물량흐름)'!$X$13:$X$488)</f>
        <v>0</v>
      </c>
      <c r="Z67" s="58">
        <f t="shared" si="14"/>
        <v>0</v>
      </c>
      <c r="AA67" s="58">
        <f t="shared" si="15"/>
        <v>0</v>
      </c>
      <c r="AB67" s="58"/>
      <c r="AC67" s="58"/>
      <c r="AD67" s="61"/>
      <c r="AE67" s="58">
        <f t="shared" si="16"/>
        <v>0</v>
      </c>
      <c r="AF67" s="58">
        <f t="shared" si="17"/>
        <v>0</v>
      </c>
      <c r="AG67" s="61">
        <f t="shared" si="18"/>
        <v>0</v>
      </c>
      <c r="AH67" s="58">
        <v>0</v>
      </c>
      <c r="AI67" s="58">
        <v>0</v>
      </c>
      <c r="AJ67" s="61">
        <v>0</v>
      </c>
      <c r="AK67" s="58"/>
      <c r="AL67" s="58"/>
      <c r="AM67" s="61"/>
      <c r="AN67" s="61">
        <f t="shared" si="19"/>
        <v>0</v>
      </c>
      <c r="AO67" s="58">
        <f t="shared" si="20"/>
        <v>0</v>
      </c>
      <c r="AP67" s="61">
        <f t="shared" si="21"/>
        <v>0</v>
      </c>
      <c r="AQ67" s="58">
        <f t="shared" si="22"/>
        <v>42</v>
      </c>
      <c r="AR67" s="58">
        <f t="shared" si="23"/>
        <v>50874.571428571428</v>
      </c>
      <c r="AS67" s="58">
        <f t="shared" si="24"/>
        <v>2136732</v>
      </c>
      <c r="AT67" s="58">
        <f>ROUND(SUMIF('JUNE (물량흐름)'!$C$13:$C$502,'In-out-bal products (155)(완성제품)'!B67,'JUNE (물량흐름)'!$AB$13:$AB$502),0)</f>
        <v>0</v>
      </c>
      <c r="AU67" s="58">
        <f t="shared" si="25"/>
        <v>0</v>
      </c>
      <c r="AV67" s="58">
        <f>ROUND(SUMIF('JUNE (물량흐름)'!$C$13:$C$502,'In-out-bal products (155)(완성제품)'!B67,'JUNE (물량흐름)'!$AC$13:$AC$502),0)</f>
        <v>42</v>
      </c>
      <c r="AW67" s="58">
        <f t="shared" si="26"/>
        <v>2136732</v>
      </c>
      <c r="AX67" s="376">
        <f t="shared" si="27"/>
        <v>0</v>
      </c>
      <c r="AY67" s="377">
        <f t="shared" si="28"/>
        <v>0</v>
      </c>
      <c r="AZ67" s="377">
        <f t="shared" si="29"/>
        <v>0</v>
      </c>
      <c r="BA67" s="377">
        <f t="shared" si="30"/>
        <v>0</v>
      </c>
      <c r="BB67" s="377"/>
      <c r="BC67" s="377">
        <f t="shared" si="31"/>
        <v>0</v>
      </c>
      <c r="BD67" s="377">
        <f t="shared" si="32"/>
        <v>0</v>
      </c>
      <c r="BE67" s="377"/>
      <c r="BF67" s="377">
        <f t="shared" si="33"/>
        <v>0</v>
      </c>
      <c r="BG67" s="433">
        <f t="shared" si="34"/>
        <v>0</v>
      </c>
      <c r="BH67" s="434">
        <f t="shared" si="35"/>
        <v>0</v>
      </c>
    </row>
    <row r="68" spans="1:60" s="378" customFormat="1">
      <c r="A68" s="167">
        <v>57</v>
      </c>
      <c r="B68" s="253">
        <f>VLOOKUP(A68,'JUNE (물량흐름)'!$A$13:$C$493,3,0)</f>
        <v>100008168</v>
      </c>
      <c r="C68" s="57" t="str">
        <f>VLOOKUP(A68,'JUNE (물량흐름)'!$A$13:$C$493,2,0)</f>
        <v>INC</v>
      </c>
      <c r="D68" s="58">
        <f>IFERROR(VLOOKUP(B68,O.B.JUNE!$V$7:$Y$448,2,0),0)</f>
        <v>0</v>
      </c>
      <c r="E68" s="58">
        <f>IFERROR(VLOOKUP(B68,O.B.JUNE!$V$7:$X$448,3,0),0)</f>
        <v>0</v>
      </c>
      <c r="F68" s="58">
        <f>IFERROR(VLOOKUP(B68,O.B.JUNE!$V$7:$Y$448,4,0),0)</f>
        <v>0</v>
      </c>
      <c r="G68" s="58">
        <f>SUMIF('JUNE (물량흐름)'!$C$13:$C$493,'In-out-bal products (155)(완성제품)'!B68,'JUNE (물량흐름)'!$V$13:$V$493)</f>
        <v>0</v>
      </c>
      <c r="H68" s="58">
        <f>SUMIF('JUNE (물량흐름)'!$C$13:$C$493,'In-out-bal products (155)(완성제품)'!B68,'JUNE (물량흐름)'!$T$13:$T$493)-SUMIF('JUNE (물량흐름)'!$C$13:$C$493,'In-out-bal products (155)(완성제품)'!B68,'JUNE (물량흐름)'!$Y$13:$Y$493)+SUMIF('JUNE (물량흐름)'!$C$13:$C$493,'In-out-bal products (155)(완성제품)'!B68,'JUNE (물량흐름)'!$U$13:$U$493)</f>
        <v>94</v>
      </c>
      <c r="I68" s="58">
        <f t="shared" si="6"/>
        <v>54134.978723404252</v>
      </c>
      <c r="J68" s="58">
        <f>SUMIF('Direct labour(직접노무비)'!$C$12:$C$503,'In-out-bal products (155)(완성제품)'!B68,'Direct labour(직접노무비)'!$Q$12:$Q$503)</f>
        <v>2152830</v>
      </c>
      <c r="K68" s="59">
        <f>SUMIF('Overhead exp(제조경비)'!$C$12:$C$503,'In-out-bal products (155)(완성제품)'!B68,'Overhead exp(제조경비)'!$Q$12:$Q$503)</f>
        <v>2935858</v>
      </c>
      <c r="L68" s="58">
        <f t="shared" si="7"/>
        <v>5088688</v>
      </c>
      <c r="M68" s="58">
        <f>SUMIF('JUNE (물량흐름)'!$C$13:$C$488,'In-out-bal products (155)(완성제품)'!B68,'JUNE (물량흐름)'!$Y$13:$Y$488)</f>
        <v>0</v>
      </c>
      <c r="N68" s="58">
        <f t="shared" si="8"/>
        <v>0</v>
      </c>
      <c r="O68" s="58">
        <f>SUMIF('Direct labour(직접노무비)'!$C$12:$C$503,'In-out-bal products (155)(완성제품)'!B68,'Direct labour(직접노무비)'!$U$12:$U$503)+SUMIF('Overhead exp(제조경비)'!$C$12:$C$503,'In-out-bal products (155)(완성제품)'!B68,'Overhead exp(제조경비)'!$U$12:$U$503)</f>
        <v>0</v>
      </c>
      <c r="P68" s="60">
        <f t="shared" si="9"/>
        <v>94</v>
      </c>
      <c r="Q68" s="60">
        <f t="shared" si="10"/>
        <v>54134.978723404252</v>
      </c>
      <c r="R68" s="60">
        <f t="shared" si="11"/>
        <v>5088688</v>
      </c>
      <c r="S68" s="58">
        <v>0</v>
      </c>
      <c r="T68" s="58">
        <v>0</v>
      </c>
      <c r="U68" s="58">
        <v>0</v>
      </c>
      <c r="V68" s="58">
        <f>SUMIF('JUNE (물량흐름)'!$C$13:$C$493,'In-out-bal products (155)(완성제품)'!B68,'JUNE (물량흐름)'!$W$13:$W$493)</f>
        <v>0</v>
      </c>
      <c r="W68" s="58">
        <f t="shared" si="12"/>
        <v>0</v>
      </c>
      <c r="X68" s="58">
        <f t="shared" si="13"/>
        <v>0</v>
      </c>
      <c r="Y68" s="58">
        <f>SUMIF('JUNE (물량흐름)'!$C$13:$C$488,'In-out-bal products (155)(완성제품)'!B68,'JUNE (물량흐름)'!$X$13:$X$488)</f>
        <v>0</v>
      </c>
      <c r="Z68" s="58">
        <f t="shared" si="14"/>
        <v>0</v>
      </c>
      <c r="AA68" s="58">
        <f t="shared" si="15"/>
        <v>0</v>
      </c>
      <c r="AB68" s="58"/>
      <c r="AC68" s="58"/>
      <c r="AD68" s="61"/>
      <c r="AE68" s="58">
        <f t="shared" si="16"/>
        <v>0</v>
      </c>
      <c r="AF68" s="58">
        <f t="shared" si="17"/>
        <v>0</v>
      </c>
      <c r="AG68" s="61">
        <f t="shared" si="18"/>
        <v>0</v>
      </c>
      <c r="AH68" s="58">
        <v>0</v>
      </c>
      <c r="AI68" s="58">
        <v>0</v>
      </c>
      <c r="AJ68" s="61">
        <v>0</v>
      </c>
      <c r="AK68" s="58"/>
      <c r="AL68" s="58"/>
      <c r="AM68" s="61"/>
      <c r="AN68" s="61">
        <f t="shared" si="19"/>
        <v>0</v>
      </c>
      <c r="AO68" s="58">
        <f t="shared" si="20"/>
        <v>0</v>
      </c>
      <c r="AP68" s="61">
        <f t="shared" si="21"/>
        <v>0</v>
      </c>
      <c r="AQ68" s="58">
        <f t="shared" si="22"/>
        <v>94</v>
      </c>
      <c r="AR68" s="58">
        <f t="shared" si="23"/>
        <v>54134.978723404252</v>
      </c>
      <c r="AS68" s="58">
        <f t="shared" si="24"/>
        <v>5088688</v>
      </c>
      <c r="AT68" s="58">
        <f>ROUND(SUMIF('JUNE (물량흐름)'!$C$13:$C$502,'In-out-bal products (155)(완성제품)'!B68,'JUNE (물량흐름)'!$AB$13:$AB$502),0)</f>
        <v>0</v>
      </c>
      <c r="AU68" s="58">
        <f t="shared" si="25"/>
        <v>0</v>
      </c>
      <c r="AV68" s="58">
        <f>ROUND(SUMIF('JUNE (물량흐름)'!$C$13:$C$502,'In-out-bal products (155)(완성제품)'!B68,'JUNE (물량흐름)'!$AC$13:$AC$502),0)</f>
        <v>94</v>
      </c>
      <c r="AW68" s="58">
        <f t="shared" si="26"/>
        <v>5088688</v>
      </c>
      <c r="AX68" s="376">
        <f t="shared" si="27"/>
        <v>0</v>
      </c>
      <c r="AY68" s="377">
        <f t="shared" si="28"/>
        <v>0</v>
      </c>
      <c r="AZ68" s="377">
        <f t="shared" si="29"/>
        <v>0</v>
      </c>
      <c r="BA68" s="377">
        <f t="shared" si="30"/>
        <v>0</v>
      </c>
      <c r="BB68" s="377"/>
      <c r="BC68" s="377">
        <f t="shared" si="31"/>
        <v>0</v>
      </c>
      <c r="BD68" s="377">
        <f t="shared" si="32"/>
        <v>0</v>
      </c>
      <c r="BE68" s="377"/>
      <c r="BF68" s="377">
        <f t="shared" si="33"/>
        <v>0</v>
      </c>
      <c r="BG68" s="433">
        <f t="shared" si="34"/>
        <v>0</v>
      </c>
      <c r="BH68" s="434">
        <f t="shared" si="35"/>
        <v>0</v>
      </c>
    </row>
    <row r="69" spans="1:60" s="378" customFormat="1">
      <c r="A69" s="167">
        <v>58</v>
      </c>
      <c r="B69" s="253" t="str">
        <f>VLOOKUP(A69,'JUNE (물량흐름)'!$A$13:$C$493,3,0)</f>
        <v>10010195(7D324)</v>
      </c>
      <c r="C69" s="57" t="str">
        <f>VLOOKUP(A69,'JUNE (물량흐름)'!$A$13:$C$493,2,0)</f>
        <v>INC</v>
      </c>
      <c r="D69" s="58">
        <f>IFERROR(VLOOKUP(B69,O.B.JUNE!$V$7:$Y$448,2,0),0)</f>
        <v>0</v>
      </c>
      <c r="E69" s="58">
        <f>IFERROR(VLOOKUP(B69,O.B.JUNE!$V$7:$X$448,3,0),0)</f>
        <v>0</v>
      </c>
      <c r="F69" s="58">
        <f>IFERROR(VLOOKUP(B69,O.B.JUNE!$V$7:$Y$448,4,0),0)</f>
        <v>0</v>
      </c>
      <c r="G69" s="58">
        <f>SUMIF('JUNE (물량흐름)'!$C$13:$C$493,'In-out-bal products (155)(완성제품)'!B69,'JUNE (물량흐름)'!$V$13:$V$493)</f>
        <v>0</v>
      </c>
      <c r="H69" s="58">
        <f>SUMIF('JUNE (물량흐름)'!$C$13:$C$493,'In-out-bal products (155)(완성제품)'!B69,'JUNE (물량흐름)'!$T$13:$T$493)-SUMIF('JUNE (물량흐름)'!$C$13:$C$493,'In-out-bal products (155)(완성제품)'!B69,'JUNE (물량흐름)'!$Y$13:$Y$493)+SUMIF('JUNE (물량흐름)'!$C$13:$C$493,'In-out-bal products (155)(완성제품)'!B69,'JUNE (물량흐름)'!$U$13:$U$493)</f>
        <v>48</v>
      </c>
      <c r="I69" s="58">
        <f t="shared" si="6"/>
        <v>70499.520833333328</v>
      </c>
      <c r="J69" s="58">
        <f>SUMIF('Direct labour(직접노무비)'!$C$12:$C$503,'In-out-bal products (155)(완성제품)'!B69,'Direct labour(직접노무비)'!$Q$12:$Q$503)</f>
        <v>1431632</v>
      </c>
      <c r="K69" s="59">
        <f>SUMIF('Overhead exp(제조경비)'!$C$12:$C$503,'In-out-bal products (155)(완성제품)'!B69,'Overhead exp(제조경비)'!$Q$12:$Q$503)</f>
        <v>1952345</v>
      </c>
      <c r="L69" s="58">
        <f t="shared" si="7"/>
        <v>3383977</v>
      </c>
      <c r="M69" s="58">
        <f>SUMIF('JUNE (물량흐름)'!$C$13:$C$488,'In-out-bal products (155)(완성제품)'!B69,'JUNE (물량흐름)'!$Y$13:$Y$488)</f>
        <v>0</v>
      </c>
      <c r="N69" s="58">
        <f t="shared" si="8"/>
        <v>0</v>
      </c>
      <c r="O69" s="58">
        <f>SUMIF('Direct labour(직접노무비)'!$C$12:$C$503,'In-out-bal products (155)(완성제품)'!B69,'Direct labour(직접노무비)'!$U$12:$U$503)+SUMIF('Overhead exp(제조경비)'!$C$12:$C$503,'In-out-bal products (155)(완성제품)'!B69,'Overhead exp(제조경비)'!$U$12:$U$503)</f>
        <v>0</v>
      </c>
      <c r="P69" s="60">
        <f t="shared" si="9"/>
        <v>48</v>
      </c>
      <c r="Q69" s="60">
        <f t="shared" si="10"/>
        <v>70499.520833333328</v>
      </c>
      <c r="R69" s="60">
        <f t="shared" si="11"/>
        <v>3383977</v>
      </c>
      <c r="S69" s="58">
        <v>0</v>
      </c>
      <c r="T69" s="58">
        <v>0</v>
      </c>
      <c r="U69" s="58">
        <v>0</v>
      </c>
      <c r="V69" s="58">
        <f>SUMIF('JUNE (물량흐름)'!$C$13:$C$493,'In-out-bal products (155)(완성제품)'!B69,'JUNE (물량흐름)'!$W$13:$W$493)</f>
        <v>0</v>
      </c>
      <c r="W69" s="58">
        <f t="shared" si="12"/>
        <v>0</v>
      </c>
      <c r="X69" s="58">
        <f t="shared" si="13"/>
        <v>0</v>
      </c>
      <c r="Y69" s="58">
        <f>SUMIF('JUNE (물량흐름)'!$C$13:$C$488,'In-out-bal products (155)(완성제품)'!B69,'JUNE (물량흐름)'!$X$13:$X$488)</f>
        <v>0</v>
      </c>
      <c r="Z69" s="58">
        <f t="shared" si="14"/>
        <v>0</v>
      </c>
      <c r="AA69" s="58">
        <f t="shared" si="15"/>
        <v>0</v>
      </c>
      <c r="AB69" s="58"/>
      <c r="AC69" s="58"/>
      <c r="AD69" s="61"/>
      <c r="AE69" s="58">
        <f t="shared" si="16"/>
        <v>0</v>
      </c>
      <c r="AF69" s="58">
        <f t="shared" si="17"/>
        <v>0</v>
      </c>
      <c r="AG69" s="61">
        <f t="shared" si="18"/>
        <v>0</v>
      </c>
      <c r="AH69" s="58">
        <v>0</v>
      </c>
      <c r="AI69" s="58">
        <v>0</v>
      </c>
      <c r="AJ69" s="61">
        <v>0</v>
      </c>
      <c r="AK69" s="58"/>
      <c r="AL69" s="58"/>
      <c r="AM69" s="61"/>
      <c r="AN69" s="61">
        <f t="shared" si="19"/>
        <v>0</v>
      </c>
      <c r="AO69" s="58">
        <f t="shared" si="20"/>
        <v>0</v>
      </c>
      <c r="AP69" s="61">
        <f t="shared" si="21"/>
        <v>0</v>
      </c>
      <c r="AQ69" s="58">
        <f t="shared" si="22"/>
        <v>48</v>
      </c>
      <c r="AR69" s="58">
        <f t="shared" si="23"/>
        <v>70499.520833333328</v>
      </c>
      <c r="AS69" s="58">
        <f t="shared" si="24"/>
        <v>3383977</v>
      </c>
      <c r="AT69" s="58">
        <f>ROUND(SUMIF('JUNE (물량흐름)'!$C$13:$C$502,'In-out-bal products (155)(완성제품)'!B69,'JUNE (물량흐름)'!$AB$13:$AB$502),0)</f>
        <v>0</v>
      </c>
      <c r="AU69" s="58">
        <f t="shared" si="25"/>
        <v>0</v>
      </c>
      <c r="AV69" s="58">
        <f>ROUND(SUMIF('JUNE (물량흐름)'!$C$13:$C$502,'In-out-bal products (155)(완성제품)'!B69,'JUNE (물량흐름)'!$AC$13:$AC$502),0)</f>
        <v>48</v>
      </c>
      <c r="AW69" s="58">
        <f t="shared" si="26"/>
        <v>3383977</v>
      </c>
      <c r="AX69" s="376">
        <f t="shared" si="27"/>
        <v>0</v>
      </c>
      <c r="AY69" s="377">
        <f t="shared" si="28"/>
        <v>0</v>
      </c>
      <c r="AZ69" s="377">
        <f t="shared" si="29"/>
        <v>0</v>
      </c>
      <c r="BA69" s="377">
        <f t="shared" si="30"/>
        <v>0</v>
      </c>
      <c r="BB69" s="377"/>
      <c r="BC69" s="377">
        <f t="shared" si="31"/>
        <v>0</v>
      </c>
      <c r="BD69" s="377">
        <f t="shared" si="32"/>
        <v>0</v>
      </c>
      <c r="BE69" s="377"/>
      <c r="BF69" s="377">
        <f t="shared" si="33"/>
        <v>0</v>
      </c>
      <c r="BG69" s="433">
        <f t="shared" si="34"/>
        <v>0</v>
      </c>
      <c r="BH69" s="434">
        <f t="shared" si="35"/>
        <v>0</v>
      </c>
    </row>
    <row r="70" spans="1:60" s="378" customFormat="1">
      <c r="A70" s="167">
        <v>59</v>
      </c>
      <c r="B70" s="253" t="str">
        <f>VLOOKUP(A70,'JUNE (물량흐름)'!$A$13:$C$493,3,0)</f>
        <v>6D398</v>
      </c>
      <c r="C70" s="57" t="str">
        <f>VLOOKUP(A70,'JUNE (물량흐름)'!$A$13:$C$493,2,0)</f>
        <v>INC</v>
      </c>
      <c r="D70" s="58">
        <f>IFERROR(VLOOKUP(B70,O.B.JUNE!$V$7:$Y$448,2,0),0)</f>
        <v>5150</v>
      </c>
      <c r="E70" s="58">
        <f>IFERROR(VLOOKUP(B70,O.B.JUNE!$V$7:$X$448,3,0),0)</f>
        <v>53002.679805825246</v>
      </c>
      <c r="F70" s="58">
        <f>IFERROR(VLOOKUP(B70,O.B.JUNE!$V$7:$Y$448,4,0),0)</f>
        <v>272963801</v>
      </c>
      <c r="G70" s="58">
        <f>SUMIF('JUNE (물량흐름)'!$C$13:$C$493,'In-out-bal products (155)(완성제품)'!B70,'JUNE (물량흐름)'!$V$13:$V$493)</f>
        <v>0</v>
      </c>
      <c r="H70" s="58">
        <f>SUMIF('JUNE (물량흐름)'!$C$13:$C$493,'In-out-bal products (155)(완성제품)'!B70,'JUNE (물량흐름)'!$T$13:$T$493)-SUMIF('JUNE (물량흐름)'!$C$13:$C$493,'In-out-bal products (155)(완성제품)'!B70,'JUNE (물량흐름)'!$Y$13:$Y$493)+SUMIF('JUNE (물량흐름)'!$C$13:$C$493,'In-out-bal products (155)(완성제품)'!B70,'JUNE (물량흐름)'!$U$13:$U$493)</f>
        <v>10137</v>
      </c>
      <c r="I70" s="58">
        <f t="shared" si="6"/>
        <v>63730.411561606001</v>
      </c>
      <c r="J70" s="58">
        <f>SUMIF('Direct labour(직접노무비)'!$C$12:$C$503,'In-out-bal products (155)(완성제품)'!B70,'Direct labour(직접노무비)'!$Q$12:$Q$503)</f>
        <v>219521043</v>
      </c>
      <c r="K70" s="59">
        <f>SUMIF('Overhead exp(제조경비)'!$C$12:$C$503,'In-out-bal products (155)(완성제품)'!B70,'Overhead exp(제조경비)'!$Q$12:$Q$503)</f>
        <v>426514139</v>
      </c>
      <c r="L70" s="58">
        <f t="shared" si="7"/>
        <v>646035182</v>
      </c>
      <c r="M70" s="58">
        <f>SUMIF('JUNE (물량흐름)'!$C$13:$C$488,'In-out-bal products (155)(완성제품)'!B70,'JUNE (물량흐름)'!$Y$13:$Y$488)</f>
        <v>0</v>
      </c>
      <c r="N70" s="58">
        <f t="shared" si="8"/>
        <v>0</v>
      </c>
      <c r="O70" s="58">
        <f>SUMIF('Direct labour(직접노무비)'!$C$12:$C$503,'In-out-bal products (155)(완성제품)'!B70,'Direct labour(직접노무비)'!$U$12:$U$503)+SUMIF('Overhead exp(제조경비)'!$C$12:$C$503,'In-out-bal products (155)(완성제품)'!B70,'Overhead exp(제조경비)'!$U$12:$U$503)</f>
        <v>0</v>
      </c>
      <c r="P70" s="60">
        <f t="shared" si="9"/>
        <v>10137</v>
      </c>
      <c r="Q70" s="60">
        <f t="shared" si="10"/>
        <v>63730.411561606001</v>
      </c>
      <c r="R70" s="60">
        <f t="shared" si="11"/>
        <v>646035182</v>
      </c>
      <c r="S70" s="58">
        <v>0</v>
      </c>
      <c r="T70" s="58">
        <v>0</v>
      </c>
      <c r="U70" s="58">
        <v>0</v>
      </c>
      <c r="V70" s="58">
        <f>SUMIF('JUNE (물량흐름)'!$C$13:$C$493,'In-out-bal products (155)(완성제품)'!B70,'JUNE (물량흐름)'!$W$13:$W$493)</f>
        <v>9000</v>
      </c>
      <c r="W70" s="58">
        <f t="shared" si="12"/>
        <v>60116.37222222222</v>
      </c>
      <c r="X70" s="58">
        <f t="shared" si="13"/>
        <v>541047350</v>
      </c>
      <c r="Y70" s="58">
        <f>SUMIF('JUNE (물량흐름)'!$C$13:$C$488,'In-out-bal products (155)(완성제품)'!B70,'JUNE (물량흐름)'!$X$13:$X$488)</f>
        <v>0</v>
      </c>
      <c r="Z70" s="58">
        <f t="shared" si="14"/>
        <v>0</v>
      </c>
      <c r="AA70" s="58">
        <f t="shared" si="15"/>
        <v>0</v>
      </c>
      <c r="AB70" s="58"/>
      <c r="AC70" s="58"/>
      <c r="AD70" s="61"/>
      <c r="AE70" s="58">
        <f t="shared" si="16"/>
        <v>0</v>
      </c>
      <c r="AF70" s="58">
        <f t="shared" si="17"/>
        <v>0</v>
      </c>
      <c r="AG70" s="61">
        <f t="shared" si="18"/>
        <v>0</v>
      </c>
      <c r="AH70" s="58">
        <v>0</v>
      </c>
      <c r="AI70" s="58">
        <v>0</v>
      </c>
      <c r="AJ70" s="61">
        <v>0</v>
      </c>
      <c r="AK70" s="58"/>
      <c r="AL70" s="58"/>
      <c r="AM70" s="61"/>
      <c r="AN70" s="61">
        <f t="shared" si="19"/>
        <v>9000</v>
      </c>
      <c r="AO70" s="58">
        <f t="shared" si="20"/>
        <v>60116.37222222222</v>
      </c>
      <c r="AP70" s="61">
        <f t="shared" si="21"/>
        <v>541047350</v>
      </c>
      <c r="AQ70" s="58">
        <f t="shared" si="22"/>
        <v>6287</v>
      </c>
      <c r="AR70" s="58">
        <f t="shared" si="23"/>
        <v>60116.372355654523</v>
      </c>
      <c r="AS70" s="58">
        <f t="shared" si="24"/>
        <v>377951633</v>
      </c>
      <c r="AT70" s="58">
        <f>ROUND(SUMIF('JUNE (물량흐름)'!$C$13:$C$502,'In-out-bal products (155)(완성제품)'!B70,'JUNE (물량흐름)'!$AB$13:$AB$502),0)</f>
        <v>6164</v>
      </c>
      <c r="AU70" s="58">
        <f t="shared" si="25"/>
        <v>370557319</v>
      </c>
      <c r="AV70" s="58">
        <f>ROUND(SUMIF('JUNE (물량흐름)'!$C$13:$C$502,'In-out-bal products (155)(완성제품)'!B70,'JUNE (물량흐름)'!$AC$13:$AC$502),0)</f>
        <v>123</v>
      </c>
      <c r="AW70" s="58">
        <f t="shared" si="26"/>
        <v>7394314</v>
      </c>
      <c r="AX70" s="376">
        <f t="shared" si="27"/>
        <v>0</v>
      </c>
      <c r="AY70" s="377">
        <f t="shared" si="28"/>
        <v>0</v>
      </c>
      <c r="AZ70" s="377">
        <f t="shared" si="29"/>
        <v>0</v>
      </c>
      <c r="BA70" s="377">
        <f t="shared" si="30"/>
        <v>0</v>
      </c>
      <c r="BB70" s="377"/>
      <c r="BC70" s="377">
        <f t="shared" si="31"/>
        <v>0</v>
      </c>
      <c r="BD70" s="377">
        <f t="shared" si="32"/>
        <v>0</v>
      </c>
      <c r="BE70" s="377"/>
      <c r="BF70" s="377">
        <f t="shared" si="33"/>
        <v>0</v>
      </c>
      <c r="BG70" s="433">
        <f t="shared" si="34"/>
        <v>541047350</v>
      </c>
      <c r="BH70" s="434">
        <f t="shared" si="35"/>
        <v>0</v>
      </c>
    </row>
    <row r="71" spans="1:60" s="378" customFormat="1">
      <c r="A71" s="167">
        <v>60</v>
      </c>
      <c r="B71" s="253" t="str">
        <f>VLOOKUP(A71,'JUNE (물량흐름)'!$A$13:$C$493,3,0)</f>
        <v>7D320(100010192)</v>
      </c>
      <c r="C71" s="57" t="str">
        <f>VLOOKUP(A71,'JUNE (물량흐름)'!$A$13:$C$493,2,0)</f>
        <v>INC</v>
      </c>
      <c r="D71" s="58">
        <f>IFERROR(VLOOKUP(B71,O.B.JUNE!$V$7:$Y$448,2,0),0)</f>
        <v>0</v>
      </c>
      <c r="E71" s="58">
        <f>IFERROR(VLOOKUP(B71,O.B.JUNE!$V$7:$X$448,3,0),0)</f>
        <v>0</v>
      </c>
      <c r="F71" s="58">
        <f>IFERROR(VLOOKUP(B71,O.B.JUNE!$V$7:$Y$448,4,0),0)</f>
        <v>0</v>
      </c>
      <c r="G71" s="58">
        <f>SUMIF('JUNE (물량흐름)'!$C$13:$C$493,'In-out-bal products (155)(완성제품)'!B71,'JUNE (물량흐름)'!$V$13:$V$493)</f>
        <v>0</v>
      </c>
      <c r="H71" s="58">
        <f>SUMIF('JUNE (물량흐름)'!$C$13:$C$493,'In-out-bal products (155)(완성제품)'!B71,'JUNE (물량흐름)'!$T$13:$T$493)-SUMIF('JUNE (물량흐름)'!$C$13:$C$493,'In-out-bal products (155)(완성제품)'!B71,'JUNE (물량흐름)'!$Y$13:$Y$493)+SUMIF('JUNE (물량흐름)'!$C$13:$C$493,'In-out-bal products (155)(완성제품)'!B71,'JUNE (물량흐름)'!$U$13:$U$493)</f>
        <v>73</v>
      </c>
      <c r="I71" s="58">
        <f t="shared" si="6"/>
        <v>48853.726027397257</v>
      </c>
      <c r="J71" s="58">
        <f>SUMIF('Direct labour(직접노무비)'!$C$12:$C$503,'In-out-bal products (155)(완성제품)'!B71,'Direct labour(직접노무비)'!$Q$12:$Q$503)</f>
        <v>1508775</v>
      </c>
      <c r="K71" s="59">
        <f>SUMIF('Overhead exp(제조경비)'!$C$12:$C$503,'In-out-bal products (155)(완성제품)'!B71,'Overhead exp(제조경비)'!$Q$12:$Q$503)</f>
        <v>2057547</v>
      </c>
      <c r="L71" s="58">
        <f t="shared" si="7"/>
        <v>3566322</v>
      </c>
      <c r="M71" s="58">
        <f>SUMIF('JUNE (물량흐름)'!$C$13:$C$488,'In-out-bal products (155)(완성제품)'!B71,'JUNE (물량흐름)'!$Y$13:$Y$488)</f>
        <v>0</v>
      </c>
      <c r="N71" s="58">
        <f t="shared" si="8"/>
        <v>0</v>
      </c>
      <c r="O71" s="58">
        <f>SUMIF('Direct labour(직접노무비)'!$C$12:$C$503,'In-out-bal products (155)(완성제품)'!B71,'Direct labour(직접노무비)'!$U$12:$U$503)+SUMIF('Overhead exp(제조경비)'!$C$12:$C$503,'In-out-bal products (155)(완성제품)'!B71,'Overhead exp(제조경비)'!$U$12:$U$503)</f>
        <v>0</v>
      </c>
      <c r="P71" s="60">
        <f t="shared" si="9"/>
        <v>73</v>
      </c>
      <c r="Q71" s="60">
        <f t="shared" si="10"/>
        <v>48853.726027397257</v>
      </c>
      <c r="R71" s="60">
        <f t="shared" si="11"/>
        <v>3566322</v>
      </c>
      <c r="S71" s="58">
        <v>0</v>
      </c>
      <c r="T71" s="58">
        <v>0</v>
      </c>
      <c r="U71" s="58">
        <v>0</v>
      </c>
      <c r="V71" s="58">
        <f>SUMIF('JUNE (물량흐름)'!$C$13:$C$493,'In-out-bal products (155)(완성제품)'!B71,'JUNE (물량흐름)'!$W$13:$W$493)</f>
        <v>0</v>
      </c>
      <c r="W71" s="58">
        <f t="shared" si="12"/>
        <v>0</v>
      </c>
      <c r="X71" s="58">
        <f t="shared" si="13"/>
        <v>0</v>
      </c>
      <c r="Y71" s="58">
        <f>SUMIF('JUNE (물량흐름)'!$C$13:$C$488,'In-out-bal products (155)(완성제품)'!B71,'JUNE (물량흐름)'!$X$13:$X$488)</f>
        <v>0</v>
      </c>
      <c r="Z71" s="58">
        <f t="shared" si="14"/>
        <v>0</v>
      </c>
      <c r="AA71" s="58">
        <f t="shared" si="15"/>
        <v>0</v>
      </c>
      <c r="AB71" s="58"/>
      <c r="AC71" s="58"/>
      <c r="AD71" s="61"/>
      <c r="AE71" s="58">
        <f t="shared" si="16"/>
        <v>0</v>
      </c>
      <c r="AF71" s="58">
        <f t="shared" si="17"/>
        <v>0</v>
      </c>
      <c r="AG71" s="61">
        <f t="shared" si="18"/>
        <v>0</v>
      </c>
      <c r="AH71" s="58">
        <v>0</v>
      </c>
      <c r="AI71" s="58">
        <v>0</v>
      </c>
      <c r="AJ71" s="61">
        <v>0</v>
      </c>
      <c r="AK71" s="58"/>
      <c r="AL71" s="58"/>
      <c r="AM71" s="61"/>
      <c r="AN71" s="61">
        <f t="shared" si="19"/>
        <v>0</v>
      </c>
      <c r="AO71" s="58">
        <f t="shared" si="20"/>
        <v>0</v>
      </c>
      <c r="AP71" s="61">
        <f t="shared" si="21"/>
        <v>0</v>
      </c>
      <c r="AQ71" s="58">
        <f t="shared" si="22"/>
        <v>73</v>
      </c>
      <c r="AR71" s="58">
        <f t="shared" si="23"/>
        <v>48853.726027397257</v>
      </c>
      <c r="AS71" s="58">
        <f t="shared" si="24"/>
        <v>3566322</v>
      </c>
      <c r="AT71" s="58">
        <f>ROUND(SUMIF('JUNE (물량흐름)'!$C$13:$C$502,'In-out-bal products (155)(완성제품)'!B71,'JUNE (물량흐름)'!$AB$13:$AB$502),0)</f>
        <v>0</v>
      </c>
      <c r="AU71" s="58">
        <f t="shared" si="25"/>
        <v>0</v>
      </c>
      <c r="AV71" s="58">
        <f>ROUND(SUMIF('JUNE (물량흐름)'!$C$13:$C$502,'In-out-bal products (155)(완성제품)'!B71,'JUNE (물량흐름)'!$AC$13:$AC$502),0)</f>
        <v>73</v>
      </c>
      <c r="AW71" s="58">
        <f t="shared" si="26"/>
        <v>3566322</v>
      </c>
      <c r="AX71" s="376">
        <f t="shared" si="27"/>
        <v>0</v>
      </c>
      <c r="AY71" s="377">
        <f t="shared" si="28"/>
        <v>0</v>
      </c>
      <c r="AZ71" s="377">
        <f t="shared" si="29"/>
        <v>0</v>
      </c>
      <c r="BA71" s="377">
        <f t="shared" si="30"/>
        <v>0</v>
      </c>
      <c r="BB71" s="377"/>
      <c r="BC71" s="377">
        <f t="shared" si="31"/>
        <v>0</v>
      </c>
      <c r="BD71" s="377">
        <f t="shared" si="32"/>
        <v>0</v>
      </c>
      <c r="BE71" s="377"/>
      <c r="BF71" s="377">
        <f t="shared" si="33"/>
        <v>0</v>
      </c>
      <c r="BG71" s="433">
        <f t="shared" si="34"/>
        <v>0</v>
      </c>
      <c r="BH71" s="434">
        <f t="shared" si="35"/>
        <v>0</v>
      </c>
    </row>
    <row r="72" spans="1:60" s="378" customFormat="1">
      <c r="A72" s="167">
        <v>61</v>
      </c>
      <c r="B72" s="253" t="str">
        <f>VLOOKUP(A72,'JUNE (물량흐름)'!$A$13:$C$493,3,0)</f>
        <v>7D534(100010660)</v>
      </c>
      <c r="C72" s="57" t="str">
        <f>VLOOKUP(A72,'JUNE (물량흐름)'!$A$13:$C$493,2,0)</f>
        <v>INC</v>
      </c>
      <c r="D72" s="58">
        <f>IFERROR(VLOOKUP(B72,O.B.JUNE!$V$7:$Y$448,2,0),0)</f>
        <v>0</v>
      </c>
      <c r="E72" s="58">
        <f>IFERROR(VLOOKUP(B72,O.B.JUNE!$V$7:$X$448,3,0),0)</f>
        <v>0</v>
      </c>
      <c r="F72" s="58">
        <f>IFERROR(VLOOKUP(B72,O.B.JUNE!$V$7:$Y$448,4,0),0)</f>
        <v>0</v>
      </c>
      <c r="G72" s="58">
        <f>SUMIF('JUNE (물량흐름)'!$C$13:$C$493,'In-out-bal products (155)(완성제품)'!B72,'JUNE (물량흐름)'!$V$13:$V$493)</f>
        <v>0</v>
      </c>
      <c r="H72" s="58">
        <f>SUMIF('JUNE (물량흐름)'!$C$13:$C$493,'In-out-bal products (155)(완성제품)'!B72,'JUNE (물량흐름)'!$T$13:$T$493)-SUMIF('JUNE (물량흐름)'!$C$13:$C$493,'In-out-bal products (155)(완성제품)'!B72,'JUNE (물량흐름)'!$Y$13:$Y$493)+SUMIF('JUNE (물량흐름)'!$C$13:$C$493,'In-out-bal products (155)(완성제품)'!B72,'JUNE (물량흐름)'!$U$13:$U$493)</f>
        <v>27</v>
      </c>
      <c r="I72" s="58">
        <f t="shared" si="6"/>
        <v>69105.629629629635</v>
      </c>
      <c r="J72" s="58">
        <f>SUMIF('Direct labour(직접노무비)'!$C$12:$C$503,'In-out-bal products (155)(완성제품)'!B72,'Direct labour(직접노무비)'!$Q$12:$Q$503)</f>
        <v>789371</v>
      </c>
      <c r="K72" s="59">
        <f>SUMIF('Overhead exp(제조경비)'!$C$12:$C$503,'In-out-bal products (155)(완성제품)'!B72,'Overhead exp(제조경비)'!$Q$12:$Q$503)</f>
        <v>1076481</v>
      </c>
      <c r="L72" s="58">
        <f t="shared" si="7"/>
        <v>1865852</v>
      </c>
      <c r="M72" s="58">
        <f>SUMIF('JUNE (물량흐름)'!$C$13:$C$488,'In-out-bal products (155)(완성제품)'!B72,'JUNE (물량흐름)'!$Y$13:$Y$488)</f>
        <v>0</v>
      </c>
      <c r="N72" s="58">
        <f t="shared" si="8"/>
        <v>0</v>
      </c>
      <c r="O72" s="58">
        <f>SUMIF('Direct labour(직접노무비)'!$C$12:$C$503,'In-out-bal products (155)(완성제품)'!B72,'Direct labour(직접노무비)'!$U$12:$U$503)+SUMIF('Overhead exp(제조경비)'!$C$12:$C$503,'In-out-bal products (155)(완성제품)'!B72,'Overhead exp(제조경비)'!$U$12:$U$503)</f>
        <v>0</v>
      </c>
      <c r="P72" s="60">
        <f t="shared" si="9"/>
        <v>27</v>
      </c>
      <c r="Q72" s="60">
        <f t="shared" si="10"/>
        <v>69105.629629629635</v>
      </c>
      <c r="R72" s="60">
        <f t="shared" si="11"/>
        <v>1865852</v>
      </c>
      <c r="S72" s="58">
        <v>0</v>
      </c>
      <c r="T72" s="58">
        <v>0</v>
      </c>
      <c r="U72" s="58">
        <v>0</v>
      </c>
      <c r="V72" s="58">
        <f>SUMIF('JUNE (물량흐름)'!$C$13:$C$493,'In-out-bal products (155)(완성제품)'!B72,'JUNE (물량흐름)'!$W$13:$W$493)</f>
        <v>0</v>
      </c>
      <c r="W72" s="58">
        <f t="shared" si="12"/>
        <v>0</v>
      </c>
      <c r="X72" s="58">
        <f t="shared" si="13"/>
        <v>0</v>
      </c>
      <c r="Y72" s="58">
        <f>SUMIF('JUNE (물량흐름)'!$C$13:$C$488,'In-out-bal products (155)(완성제품)'!B72,'JUNE (물량흐름)'!$X$13:$X$488)</f>
        <v>0</v>
      </c>
      <c r="Z72" s="58">
        <f t="shared" si="14"/>
        <v>0</v>
      </c>
      <c r="AA72" s="58">
        <f t="shared" si="15"/>
        <v>0</v>
      </c>
      <c r="AB72" s="58"/>
      <c r="AC72" s="58"/>
      <c r="AD72" s="61"/>
      <c r="AE72" s="58">
        <f t="shared" si="16"/>
        <v>0</v>
      </c>
      <c r="AF72" s="58">
        <f t="shared" si="17"/>
        <v>0</v>
      </c>
      <c r="AG72" s="61">
        <f t="shared" si="18"/>
        <v>0</v>
      </c>
      <c r="AH72" s="58">
        <v>0</v>
      </c>
      <c r="AI72" s="58">
        <v>0</v>
      </c>
      <c r="AJ72" s="61">
        <v>0</v>
      </c>
      <c r="AK72" s="58"/>
      <c r="AL72" s="58"/>
      <c r="AM72" s="61"/>
      <c r="AN72" s="61">
        <f t="shared" si="19"/>
        <v>0</v>
      </c>
      <c r="AO72" s="58">
        <f t="shared" si="20"/>
        <v>0</v>
      </c>
      <c r="AP72" s="61">
        <f t="shared" si="21"/>
        <v>0</v>
      </c>
      <c r="AQ72" s="58">
        <f t="shared" si="22"/>
        <v>27</v>
      </c>
      <c r="AR72" s="58">
        <f t="shared" si="23"/>
        <v>69105.629629629635</v>
      </c>
      <c r="AS72" s="58">
        <f t="shared" si="24"/>
        <v>1865852</v>
      </c>
      <c r="AT72" s="58">
        <f>ROUND(SUMIF('JUNE (물량흐름)'!$C$13:$C$502,'In-out-bal products (155)(완성제품)'!B72,'JUNE (물량흐름)'!$AB$13:$AB$502),0)</f>
        <v>0</v>
      </c>
      <c r="AU72" s="58">
        <f t="shared" si="25"/>
        <v>0</v>
      </c>
      <c r="AV72" s="58">
        <f>ROUND(SUMIF('JUNE (물량흐름)'!$C$13:$C$502,'In-out-bal products (155)(완성제품)'!B72,'JUNE (물량흐름)'!$AC$13:$AC$502),0)</f>
        <v>27</v>
      </c>
      <c r="AW72" s="58">
        <f t="shared" si="26"/>
        <v>1865852</v>
      </c>
      <c r="AX72" s="376">
        <f t="shared" si="27"/>
        <v>0</v>
      </c>
      <c r="AY72" s="377">
        <f t="shared" si="28"/>
        <v>0</v>
      </c>
      <c r="AZ72" s="377">
        <f t="shared" si="29"/>
        <v>0</v>
      </c>
      <c r="BA72" s="377">
        <f t="shared" si="30"/>
        <v>0</v>
      </c>
      <c r="BB72" s="377"/>
      <c r="BC72" s="377">
        <f t="shared" si="31"/>
        <v>0</v>
      </c>
      <c r="BD72" s="377">
        <f t="shared" si="32"/>
        <v>0</v>
      </c>
      <c r="BE72" s="377"/>
      <c r="BF72" s="377">
        <f t="shared" si="33"/>
        <v>0</v>
      </c>
      <c r="BG72" s="433">
        <f t="shared" si="34"/>
        <v>0</v>
      </c>
      <c r="BH72" s="434">
        <f t="shared" si="35"/>
        <v>0</v>
      </c>
    </row>
    <row r="73" spans="1:60" s="378" customFormat="1">
      <c r="A73" s="167">
        <v>62</v>
      </c>
      <c r="B73" s="253" t="str">
        <f>VLOOKUP(A73,'JUNE (물량흐름)'!$A$13:$C$493,3,0)</f>
        <v>7D650(100010275)</v>
      </c>
      <c r="C73" s="57" t="str">
        <f>VLOOKUP(A73,'JUNE (물량흐름)'!$A$13:$C$493,2,0)</f>
        <v>INC</v>
      </c>
      <c r="D73" s="58">
        <f>IFERROR(VLOOKUP(B73,O.B.JUNE!$V$7:$Y$448,2,0),0)</f>
        <v>0</v>
      </c>
      <c r="E73" s="58">
        <f>IFERROR(VLOOKUP(B73,O.B.JUNE!$V$7:$X$448,3,0),0)</f>
        <v>0</v>
      </c>
      <c r="F73" s="58">
        <f>IFERROR(VLOOKUP(B73,O.B.JUNE!$V$7:$Y$448,4,0),0)</f>
        <v>0</v>
      </c>
      <c r="G73" s="58">
        <f>SUMIF('JUNE (물량흐름)'!$C$13:$C$493,'In-out-bal products (155)(완성제품)'!B73,'JUNE (물량흐름)'!$V$13:$V$493)</f>
        <v>0</v>
      </c>
      <c r="H73" s="58">
        <f>SUMIF('JUNE (물량흐름)'!$C$13:$C$493,'In-out-bal products (155)(완성제품)'!B73,'JUNE (물량흐름)'!$T$13:$T$493)-SUMIF('JUNE (물량흐름)'!$C$13:$C$493,'In-out-bal products (155)(완성제품)'!B73,'JUNE (물량흐름)'!$Y$13:$Y$493)+SUMIF('JUNE (물량흐름)'!$C$13:$C$493,'In-out-bal products (155)(완성제품)'!B73,'JUNE (물량흐름)'!$U$13:$U$493)</f>
        <v>112</v>
      </c>
      <c r="I73" s="58">
        <f t="shared" si="6"/>
        <v>40891.241071428572</v>
      </c>
      <c r="J73" s="58">
        <f>SUMIF('Direct labour(직접노무비)'!$C$12:$C$503,'In-out-bal products (155)(완성제품)'!B73,'Direct labour(직접노무비)'!$Q$12:$Q$503)</f>
        <v>1937547</v>
      </c>
      <c r="K73" s="59">
        <f>SUMIF('Overhead exp(제조경비)'!$C$12:$C$503,'In-out-bal products (155)(완성제품)'!B73,'Overhead exp(제조경비)'!$Q$12:$Q$503)</f>
        <v>2642272</v>
      </c>
      <c r="L73" s="58">
        <f t="shared" si="7"/>
        <v>4579819</v>
      </c>
      <c r="M73" s="58">
        <f>SUMIF('JUNE (물량흐름)'!$C$13:$C$488,'In-out-bal products (155)(완성제품)'!B73,'JUNE (물량흐름)'!$Y$13:$Y$488)</f>
        <v>0</v>
      </c>
      <c r="N73" s="58">
        <f t="shared" si="8"/>
        <v>0</v>
      </c>
      <c r="O73" s="58">
        <f>SUMIF('Direct labour(직접노무비)'!$C$12:$C$503,'In-out-bal products (155)(완성제품)'!B73,'Direct labour(직접노무비)'!$U$12:$U$503)+SUMIF('Overhead exp(제조경비)'!$C$12:$C$503,'In-out-bal products (155)(완성제품)'!B73,'Overhead exp(제조경비)'!$U$12:$U$503)</f>
        <v>0</v>
      </c>
      <c r="P73" s="60">
        <f t="shared" si="9"/>
        <v>112</v>
      </c>
      <c r="Q73" s="60">
        <f t="shared" si="10"/>
        <v>40891.241071428572</v>
      </c>
      <c r="R73" s="60">
        <f t="shared" si="11"/>
        <v>4579819</v>
      </c>
      <c r="S73" s="58">
        <v>0</v>
      </c>
      <c r="T73" s="58">
        <v>0</v>
      </c>
      <c r="U73" s="58">
        <v>0</v>
      </c>
      <c r="V73" s="58">
        <f>SUMIF('JUNE (물량흐름)'!$C$13:$C$493,'In-out-bal products (155)(완성제품)'!B73,'JUNE (물량흐름)'!$W$13:$W$493)</f>
        <v>0</v>
      </c>
      <c r="W73" s="58">
        <f t="shared" si="12"/>
        <v>0</v>
      </c>
      <c r="X73" s="58">
        <f t="shared" si="13"/>
        <v>0</v>
      </c>
      <c r="Y73" s="58">
        <f>SUMIF('JUNE (물량흐름)'!$C$13:$C$488,'In-out-bal products (155)(완성제품)'!B73,'JUNE (물량흐름)'!$X$13:$X$488)</f>
        <v>0</v>
      </c>
      <c r="Z73" s="58">
        <f t="shared" si="14"/>
        <v>0</v>
      </c>
      <c r="AA73" s="58">
        <f t="shared" si="15"/>
        <v>0</v>
      </c>
      <c r="AB73" s="58"/>
      <c r="AC73" s="58"/>
      <c r="AD73" s="61"/>
      <c r="AE73" s="58">
        <f t="shared" si="16"/>
        <v>0</v>
      </c>
      <c r="AF73" s="58">
        <f t="shared" si="17"/>
        <v>0</v>
      </c>
      <c r="AG73" s="61">
        <f t="shared" si="18"/>
        <v>0</v>
      </c>
      <c r="AH73" s="58">
        <v>0</v>
      </c>
      <c r="AI73" s="58">
        <v>0</v>
      </c>
      <c r="AJ73" s="61">
        <v>0</v>
      </c>
      <c r="AK73" s="58"/>
      <c r="AL73" s="58"/>
      <c r="AM73" s="61"/>
      <c r="AN73" s="61">
        <f t="shared" si="19"/>
        <v>0</v>
      </c>
      <c r="AO73" s="58">
        <f t="shared" si="20"/>
        <v>0</v>
      </c>
      <c r="AP73" s="61">
        <f t="shared" si="21"/>
        <v>0</v>
      </c>
      <c r="AQ73" s="58">
        <f t="shared" si="22"/>
        <v>112</v>
      </c>
      <c r="AR73" s="58">
        <f t="shared" si="23"/>
        <v>40891.241071428572</v>
      </c>
      <c r="AS73" s="58">
        <f t="shared" si="24"/>
        <v>4579819</v>
      </c>
      <c r="AT73" s="58">
        <f>ROUND(SUMIF('JUNE (물량흐름)'!$C$13:$C$502,'In-out-bal products (155)(완성제품)'!B73,'JUNE (물량흐름)'!$AB$13:$AB$502),0)</f>
        <v>0</v>
      </c>
      <c r="AU73" s="58">
        <f t="shared" si="25"/>
        <v>0</v>
      </c>
      <c r="AV73" s="58">
        <f>ROUND(SUMIF('JUNE (물량흐름)'!$C$13:$C$502,'In-out-bal products (155)(완성제품)'!B73,'JUNE (물량흐름)'!$AC$13:$AC$502),0)</f>
        <v>112</v>
      </c>
      <c r="AW73" s="58">
        <f t="shared" si="26"/>
        <v>4579819</v>
      </c>
      <c r="AX73" s="376">
        <f t="shared" si="27"/>
        <v>0</v>
      </c>
      <c r="AY73" s="377">
        <f t="shared" si="28"/>
        <v>0</v>
      </c>
      <c r="AZ73" s="377">
        <f t="shared" si="29"/>
        <v>0</v>
      </c>
      <c r="BA73" s="377">
        <f t="shared" si="30"/>
        <v>0</v>
      </c>
      <c r="BB73" s="377"/>
      <c r="BC73" s="377">
        <f t="shared" si="31"/>
        <v>0</v>
      </c>
      <c r="BD73" s="377">
        <f t="shared" si="32"/>
        <v>0</v>
      </c>
      <c r="BE73" s="377"/>
      <c r="BF73" s="377">
        <f t="shared" si="33"/>
        <v>0</v>
      </c>
      <c r="BG73" s="433">
        <f t="shared" si="34"/>
        <v>0</v>
      </c>
      <c r="BH73" s="434">
        <f t="shared" si="35"/>
        <v>0</v>
      </c>
    </row>
    <row r="74" spans="1:60" s="378" customFormat="1">
      <c r="A74" s="167">
        <v>63</v>
      </c>
      <c r="B74" s="253" t="str">
        <f>VLOOKUP(A74,'JUNE (물량흐름)'!$A$13:$C$493,3,0)</f>
        <v>7D664(100007920)</v>
      </c>
      <c r="C74" s="57" t="str">
        <f>VLOOKUP(A74,'JUNE (물량흐름)'!$A$13:$C$493,2,0)</f>
        <v>INC</v>
      </c>
      <c r="D74" s="58">
        <f>IFERROR(VLOOKUP(B74,O.B.JUNE!$V$7:$Y$448,2,0),0)</f>
        <v>0</v>
      </c>
      <c r="E74" s="58">
        <f>IFERROR(VLOOKUP(B74,O.B.JUNE!$V$7:$X$448,3,0),0)</f>
        <v>0</v>
      </c>
      <c r="F74" s="58">
        <f>IFERROR(VLOOKUP(B74,O.B.JUNE!$V$7:$Y$448,4,0),0)</f>
        <v>0</v>
      </c>
      <c r="G74" s="58">
        <f>SUMIF('JUNE (물량흐름)'!$C$13:$C$493,'In-out-bal products (155)(완성제품)'!B74,'JUNE (물량흐름)'!$V$13:$V$493)</f>
        <v>0</v>
      </c>
      <c r="H74" s="58">
        <f>SUMIF('JUNE (물량흐름)'!$C$13:$C$493,'In-out-bal products (155)(완성제품)'!B74,'JUNE (물량흐름)'!$T$13:$T$493)-SUMIF('JUNE (물량흐름)'!$C$13:$C$493,'In-out-bal products (155)(완성제품)'!B74,'JUNE (물량흐름)'!$Y$13:$Y$493)+SUMIF('JUNE (물량흐름)'!$C$13:$C$493,'In-out-bal products (155)(완성제품)'!B74,'JUNE (물량흐름)'!$U$13:$U$493)</f>
        <v>46</v>
      </c>
      <c r="I74" s="58">
        <f t="shared" si="6"/>
        <v>40930.739130434784</v>
      </c>
      <c r="J74" s="58">
        <f>SUMIF('Direct labour(직접노무비)'!$C$12:$C$503,'In-out-bal products (155)(완성제품)'!B74,'Direct labour(직접노무비)'!$Q$12:$Q$503)</f>
        <v>796547</v>
      </c>
      <c r="K74" s="59">
        <f>SUMIF('Overhead exp(제조경비)'!$C$12:$C$503,'In-out-bal products (155)(완성제품)'!B74,'Overhead exp(제조경비)'!$Q$12:$Q$503)</f>
        <v>1086267</v>
      </c>
      <c r="L74" s="58">
        <f t="shared" si="7"/>
        <v>1882814</v>
      </c>
      <c r="M74" s="58">
        <f>SUMIF('JUNE (물량흐름)'!$C$13:$C$488,'In-out-bal products (155)(완성제품)'!B74,'JUNE (물량흐름)'!$Y$13:$Y$488)</f>
        <v>0</v>
      </c>
      <c r="N74" s="58">
        <f t="shared" si="8"/>
        <v>0</v>
      </c>
      <c r="O74" s="58">
        <f>SUMIF('Direct labour(직접노무비)'!$C$12:$C$503,'In-out-bal products (155)(완성제품)'!B74,'Direct labour(직접노무비)'!$U$12:$U$503)+SUMIF('Overhead exp(제조경비)'!$C$12:$C$503,'In-out-bal products (155)(완성제품)'!B74,'Overhead exp(제조경비)'!$U$12:$U$503)</f>
        <v>0</v>
      </c>
      <c r="P74" s="60">
        <f t="shared" si="9"/>
        <v>46</v>
      </c>
      <c r="Q74" s="60">
        <f t="shared" si="10"/>
        <v>40930.739130434784</v>
      </c>
      <c r="R74" s="60">
        <f t="shared" si="11"/>
        <v>1882814</v>
      </c>
      <c r="S74" s="58">
        <v>0</v>
      </c>
      <c r="T74" s="58">
        <v>0</v>
      </c>
      <c r="U74" s="58">
        <v>0</v>
      </c>
      <c r="V74" s="58">
        <f>SUMIF('JUNE (물량흐름)'!$C$13:$C$493,'In-out-bal products (155)(완성제품)'!B74,'JUNE (물량흐름)'!$W$13:$W$493)</f>
        <v>0</v>
      </c>
      <c r="W74" s="58">
        <f t="shared" si="12"/>
        <v>0</v>
      </c>
      <c r="X74" s="58">
        <f t="shared" si="13"/>
        <v>0</v>
      </c>
      <c r="Y74" s="58">
        <f>SUMIF('JUNE (물량흐름)'!$C$13:$C$488,'In-out-bal products (155)(완성제품)'!B74,'JUNE (물량흐름)'!$X$13:$X$488)</f>
        <v>0</v>
      </c>
      <c r="Z74" s="58">
        <f t="shared" si="14"/>
        <v>0</v>
      </c>
      <c r="AA74" s="58">
        <f t="shared" si="15"/>
        <v>0</v>
      </c>
      <c r="AB74" s="58"/>
      <c r="AC74" s="58"/>
      <c r="AD74" s="61"/>
      <c r="AE74" s="58">
        <f t="shared" si="16"/>
        <v>0</v>
      </c>
      <c r="AF74" s="58">
        <f t="shared" si="17"/>
        <v>0</v>
      </c>
      <c r="AG74" s="61">
        <f t="shared" si="18"/>
        <v>0</v>
      </c>
      <c r="AH74" s="58">
        <v>0</v>
      </c>
      <c r="AI74" s="58">
        <v>0</v>
      </c>
      <c r="AJ74" s="61">
        <v>0</v>
      </c>
      <c r="AK74" s="58"/>
      <c r="AL74" s="58"/>
      <c r="AM74" s="61"/>
      <c r="AN74" s="61">
        <f t="shared" si="19"/>
        <v>0</v>
      </c>
      <c r="AO74" s="58">
        <f t="shared" si="20"/>
        <v>0</v>
      </c>
      <c r="AP74" s="61">
        <f t="shared" si="21"/>
        <v>0</v>
      </c>
      <c r="AQ74" s="58">
        <f t="shared" si="22"/>
        <v>46</v>
      </c>
      <c r="AR74" s="58">
        <f t="shared" si="23"/>
        <v>40930.739130434784</v>
      </c>
      <c r="AS74" s="58">
        <f t="shared" si="24"/>
        <v>1882814</v>
      </c>
      <c r="AT74" s="58">
        <f>ROUND(SUMIF('JUNE (물량흐름)'!$C$13:$C$502,'In-out-bal products (155)(완성제품)'!B74,'JUNE (물량흐름)'!$AB$13:$AB$502),0)</f>
        <v>0</v>
      </c>
      <c r="AU74" s="58">
        <f t="shared" si="25"/>
        <v>0</v>
      </c>
      <c r="AV74" s="58">
        <f>ROUND(SUMIF('JUNE (물량흐름)'!$C$13:$C$502,'In-out-bal products (155)(완성제품)'!B74,'JUNE (물량흐름)'!$AC$13:$AC$502),0)</f>
        <v>46</v>
      </c>
      <c r="AW74" s="58">
        <f t="shared" si="26"/>
        <v>1882814</v>
      </c>
      <c r="AX74" s="376">
        <f t="shared" si="27"/>
        <v>0</v>
      </c>
      <c r="AY74" s="377">
        <f t="shared" si="28"/>
        <v>0</v>
      </c>
      <c r="AZ74" s="377">
        <f t="shared" si="29"/>
        <v>0</v>
      </c>
      <c r="BA74" s="377">
        <f t="shared" si="30"/>
        <v>0</v>
      </c>
      <c r="BB74" s="377"/>
      <c r="BC74" s="377">
        <f t="shared" si="31"/>
        <v>0</v>
      </c>
      <c r="BD74" s="377">
        <f t="shared" si="32"/>
        <v>0</v>
      </c>
      <c r="BE74" s="377"/>
      <c r="BF74" s="377">
        <f t="shared" si="33"/>
        <v>0</v>
      </c>
      <c r="BG74" s="433">
        <f t="shared" si="34"/>
        <v>0</v>
      </c>
      <c r="BH74" s="434">
        <f t="shared" si="35"/>
        <v>0</v>
      </c>
    </row>
    <row r="75" spans="1:60" s="378" customFormat="1">
      <c r="A75" s="167">
        <v>64</v>
      </c>
      <c r="B75" s="253" t="str">
        <f>VLOOKUP(A75,'JUNE (물량흐름)'!$A$13:$C$493,3,0)</f>
        <v>7D670(10007909)</v>
      </c>
      <c r="C75" s="57" t="str">
        <f>VLOOKUP(A75,'JUNE (물량흐름)'!$A$13:$C$493,2,0)</f>
        <v>INC</v>
      </c>
      <c r="D75" s="58">
        <f>IFERROR(VLOOKUP(B75,O.B.JUNE!$V$7:$Y$448,2,0),0)</f>
        <v>0</v>
      </c>
      <c r="E75" s="58">
        <f>IFERROR(VLOOKUP(B75,O.B.JUNE!$V$7:$X$448,3,0),0)</f>
        <v>0</v>
      </c>
      <c r="F75" s="58">
        <f>IFERROR(VLOOKUP(B75,O.B.JUNE!$V$7:$Y$448,4,0),0)</f>
        <v>0</v>
      </c>
      <c r="G75" s="58">
        <f>SUMIF('JUNE (물량흐름)'!$C$13:$C$493,'In-out-bal products (155)(완성제품)'!B75,'JUNE (물량흐름)'!$V$13:$V$493)</f>
        <v>0</v>
      </c>
      <c r="H75" s="58">
        <f>SUMIF('JUNE (물량흐름)'!$C$13:$C$493,'In-out-bal products (155)(완성제품)'!B75,'JUNE (물량흐름)'!$T$13:$T$493)-SUMIF('JUNE (물량흐름)'!$C$13:$C$493,'In-out-bal products (155)(완성제품)'!B75,'JUNE (물량흐름)'!$Y$13:$Y$493)+SUMIF('JUNE (물량흐름)'!$C$13:$C$493,'In-out-bal products (155)(완성제품)'!B75,'JUNE (물량흐름)'!$U$13:$U$493)</f>
        <v>356</v>
      </c>
      <c r="I75" s="58">
        <f t="shared" si="6"/>
        <v>33948.40730337079</v>
      </c>
      <c r="J75" s="58">
        <f>SUMIF('Direct labour(직접노무비)'!$C$12:$C$503,'In-out-bal products (155)(완성제품)'!B75,'Direct labour(직접노무비)'!$Q$12:$Q$503)</f>
        <v>5112971</v>
      </c>
      <c r="K75" s="59">
        <f>SUMIF('Overhead exp(제조경비)'!$C$12:$C$503,'In-out-bal products (155)(완성제품)'!B75,'Overhead exp(제조경비)'!$Q$12:$Q$503)</f>
        <v>6972662</v>
      </c>
      <c r="L75" s="58">
        <f t="shared" si="7"/>
        <v>12085633</v>
      </c>
      <c r="M75" s="58">
        <f>SUMIF('JUNE (물량흐름)'!$C$13:$C$488,'In-out-bal products (155)(완성제품)'!B75,'JUNE (물량흐름)'!$Y$13:$Y$488)</f>
        <v>0</v>
      </c>
      <c r="N75" s="58">
        <f t="shared" si="8"/>
        <v>0</v>
      </c>
      <c r="O75" s="58">
        <f>SUMIF('Direct labour(직접노무비)'!$C$12:$C$503,'In-out-bal products (155)(완성제품)'!B75,'Direct labour(직접노무비)'!$U$12:$U$503)+SUMIF('Overhead exp(제조경비)'!$C$12:$C$503,'In-out-bal products (155)(완성제품)'!B75,'Overhead exp(제조경비)'!$U$12:$U$503)</f>
        <v>0</v>
      </c>
      <c r="P75" s="60">
        <f t="shared" si="9"/>
        <v>356</v>
      </c>
      <c r="Q75" s="60">
        <f t="shared" si="10"/>
        <v>33948.40730337079</v>
      </c>
      <c r="R75" s="60">
        <f t="shared" si="11"/>
        <v>12085633</v>
      </c>
      <c r="S75" s="58">
        <v>0</v>
      </c>
      <c r="T75" s="58">
        <v>0</v>
      </c>
      <c r="U75" s="58">
        <v>0</v>
      </c>
      <c r="V75" s="58">
        <f>SUMIF('JUNE (물량흐름)'!$C$13:$C$493,'In-out-bal products (155)(완성제품)'!B75,'JUNE (물량흐름)'!$W$13:$W$493)</f>
        <v>0</v>
      </c>
      <c r="W75" s="58">
        <f t="shared" si="12"/>
        <v>0</v>
      </c>
      <c r="X75" s="58">
        <f t="shared" si="13"/>
        <v>0</v>
      </c>
      <c r="Y75" s="58">
        <f>SUMIF('JUNE (물량흐름)'!$C$13:$C$488,'In-out-bal products (155)(완성제품)'!B75,'JUNE (물량흐름)'!$X$13:$X$488)</f>
        <v>0</v>
      </c>
      <c r="Z75" s="58">
        <f t="shared" si="14"/>
        <v>0</v>
      </c>
      <c r="AA75" s="58">
        <f t="shared" si="15"/>
        <v>0</v>
      </c>
      <c r="AB75" s="58"/>
      <c r="AC75" s="58"/>
      <c r="AD75" s="61"/>
      <c r="AE75" s="58">
        <f t="shared" si="16"/>
        <v>0</v>
      </c>
      <c r="AF75" s="58">
        <f t="shared" si="17"/>
        <v>0</v>
      </c>
      <c r="AG75" s="61">
        <f t="shared" si="18"/>
        <v>0</v>
      </c>
      <c r="AH75" s="58">
        <v>0</v>
      </c>
      <c r="AI75" s="58">
        <v>0</v>
      </c>
      <c r="AJ75" s="61">
        <v>0</v>
      </c>
      <c r="AK75" s="58"/>
      <c r="AL75" s="58"/>
      <c r="AM75" s="61"/>
      <c r="AN75" s="61">
        <f t="shared" si="19"/>
        <v>0</v>
      </c>
      <c r="AO75" s="58">
        <f t="shared" si="20"/>
        <v>0</v>
      </c>
      <c r="AP75" s="61">
        <f t="shared" si="21"/>
        <v>0</v>
      </c>
      <c r="AQ75" s="58">
        <f t="shared" si="22"/>
        <v>356</v>
      </c>
      <c r="AR75" s="58">
        <f t="shared" si="23"/>
        <v>33948.40730337079</v>
      </c>
      <c r="AS75" s="58">
        <f t="shared" si="24"/>
        <v>12085633</v>
      </c>
      <c r="AT75" s="58">
        <f>ROUND(SUMIF('JUNE (물량흐름)'!$C$13:$C$502,'In-out-bal products (155)(완성제품)'!B75,'JUNE (물량흐름)'!$AB$13:$AB$502),0)</f>
        <v>0</v>
      </c>
      <c r="AU75" s="58">
        <f t="shared" si="25"/>
        <v>0</v>
      </c>
      <c r="AV75" s="58">
        <f>ROUND(SUMIF('JUNE (물량흐름)'!$C$13:$C$502,'In-out-bal products (155)(완성제품)'!B75,'JUNE (물량흐름)'!$AC$13:$AC$502),0)</f>
        <v>356</v>
      </c>
      <c r="AW75" s="58">
        <f t="shared" si="26"/>
        <v>12085633</v>
      </c>
      <c r="AX75" s="376">
        <f t="shared" si="27"/>
        <v>0</v>
      </c>
      <c r="AY75" s="377">
        <f t="shared" si="28"/>
        <v>0</v>
      </c>
      <c r="AZ75" s="377">
        <f t="shared" si="29"/>
        <v>0</v>
      </c>
      <c r="BA75" s="377">
        <f t="shared" si="30"/>
        <v>0</v>
      </c>
      <c r="BB75" s="377"/>
      <c r="BC75" s="377">
        <f t="shared" si="31"/>
        <v>0</v>
      </c>
      <c r="BD75" s="377">
        <f t="shared" si="32"/>
        <v>0</v>
      </c>
      <c r="BE75" s="377"/>
      <c r="BF75" s="377">
        <f t="shared" si="33"/>
        <v>0</v>
      </c>
      <c r="BG75" s="433">
        <f t="shared" si="34"/>
        <v>0</v>
      </c>
      <c r="BH75" s="434">
        <f t="shared" si="35"/>
        <v>0</v>
      </c>
    </row>
    <row r="76" spans="1:60" s="378" customFormat="1">
      <c r="A76" s="167">
        <v>65</v>
      </c>
      <c r="B76" s="253">
        <f>VLOOKUP(A76,'JUNE (물량흐름)'!$A$13:$C$493,3,0)</f>
        <v>100003487</v>
      </c>
      <c r="C76" s="57" t="str">
        <f>VLOOKUP(A76,'JUNE (물량흐름)'!$A$13:$C$493,2,0)</f>
        <v>ALFANI</v>
      </c>
      <c r="D76" s="58">
        <f>IFERROR(VLOOKUP(B76,O.B.JUNE!$V$7:$Y$448,2,0),0)</f>
        <v>0</v>
      </c>
      <c r="E76" s="58">
        <f>IFERROR(VLOOKUP(B76,O.B.JUNE!$V$7:$X$448,3,0),0)</f>
        <v>0</v>
      </c>
      <c r="F76" s="58">
        <f>IFERROR(VLOOKUP(B76,O.B.JUNE!$V$7:$Y$448,4,0),0)</f>
        <v>0</v>
      </c>
      <c r="G76" s="58">
        <f>SUMIF('JUNE (물량흐름)'!$C$13:$C$493,'In-out-bal products (155)(완성제품)'!B76,'JUNE (물량흐름)'!$V$13:$V$493)</f>
        <v>0</v>
      </c>
      <c r="H76" s="58">
        <f>SUMIF('JUNE (물량흐름)'!$C$13:$C$493,'In-out-bal products (155)(완성제품)'!B76,'JUNE (물량흐름)'!$T$13:$T$493)-SUMIF('JUNE (물량흐름)'!$C$13:$C$493,'In-out-bal products (155)(완성제품)'!B76,'JUNE (물량흐름)'!$Y$13:$Y$493)+SUMIF('JUNE (물량흐름)'!$C$13:$C$493,'In-out-bal products (155)(완성제품)'!B76,'JUNE (물량흐름)'!$U$13:$U$493)</f>
        <v>0</v>
      </c>
      <c r="I76" s="58">
        <f t="shared" si="6"/>
        <v>0</v>
      </c>
      <c r="J76" s="58">
        <f>SUMIF('Direct labour(직접노무비)'!$C$12:$C$503,'In-out-bal products (155)(완성제품)'!B76,'Direct labour(직접노무비)'!$Q$12:$Q$503)</f>
        <v>0</v>
      </c>
      <c r="K76" s="59">
        <f>SUMIF('Overhead exp(제조경비)'!$C$12:$C$503,'In-out-bal products (155)(완성제품)'!B76,'Overhead exp(제조경비)'!$Q$12:$Q$503)</f>
        <v>0</v>
      </c>
      <c r="L76" s="58">
        <f t="shared" si="7"/>
        <v>0</v>
      </c>
      <c r="M76" s="58">
        <f>SUMIF('JUNE (물량흐름)'!$C$13:$C$488,'In-out-bal products (155)(완성제품)'!B76,'JUNE (물량흐름)'!$Y$13:$Y$488)</f>
        <v>0</v>
      </c>
      <c r="N76" s="58">
        <f t="shared" si="8"/>
        <v>0</v>
      </c>
      <c r="O76" s="58">
        <f>SUMIF('Direct labour(직접노무비)'!$C$12:$C$503,'In-out-bal products (155)(완성제품)'!B76,'Direct labour(직접노무비)'!$U$12:$U$503)+SUMIF('Overhead exp(제조경비)'!$C$12:$C$503,'In-out-bal products (155)(완성제품)'!B76,'Overhead exp(제조경비)'!$U$12:$U$503)</f>
        <v>0</v>
      </c>
      <c r="P76" s="60">
        <f t="shared" si="9"/>
        <v>0</v>
      </c>
      <c r="Q76" s="60">
        <f t="shared" si="10"/>
        <v>0</v>
      </c>
      <c r="R76" s="60">
        <f t="shared" si="11"/>
        <v>0</v>
      </c>
      <c r="S76" s="58">
        <v>0</v>
      </c>
      <c r="T76" s="58">
        <v>0</v>
      </c>
      <c r="U76" s="58">
        <v>0</v>
      </c>
      <c r="V76" s="58">
        <f>SUMIF('JUNE (물량흐름)'!$C$13:$C$493,'In-out-bal products (155)(완성제품)'!B76,'JUNE (물량흐름)'!$W$13:$W$493)</f>
        <v>0</v>
      </c>
      <c r="W76" s="58">
        <f t="shared" si="12"/>
        <v>0</v>
      </c>
      <c r="X76" s="58">
        <f t="shared" si="13"/>
        <v>0</v>
      </c>
      <c r="Y76" s="58">
        <f>SUMIF('JUNE (물량흐름)'!$C$13:$C$488,'In-out-bal products (155)(완성제품)'!B76,'JUNE (물량흐름)'!$X$13:$X$488)</f>
        <v>0</v>
      </c>
      <c r="Z76" s="58">
        <f t="shared" si="14"/>
        <v>0</v>
      </c>
      <c r="AA76" s="58">
        <f t="shared" si="15"/>
        <v>0</v>
      </c>
      <c r="AB76" s="58"/>
      <c r="AC76" s="58"/>
      <c r="AD76" s="61"/>
      <c r="AE76" s="58">
        <f t="shared" si="16"/>
        <v>0</v>
      </c>
      <c r="AF76" s="58">
        <f t="shared" si="17"/>
        <v>0</v>
      </c>
      <c r="AG76" s="61">
        <f t="shared" si="18"/>
        <v>0</v>
      </c>
      <c r="AH76" s="58">
        <v>0</v>
      </c>
      <c r="AI76" s="58">
        <v>0</v>
      </c>
      <c r="AJ76" s="61">
        <v>0</v>
      </c>
      <c r="AK76" s="58"/>
      <c r="AL76" s="58"/>
      <c r="AM76" s="61"/>
      <c r="AN76" s="61">
        <f t="shared" si="19"/>
        <v>0</v>
      </c>
      <c r="AO76" s="58">
        <f t="shared" si="20"/>
        <v>0</v>
      </c>
      <c r="AP76" s="61">
        <f t="shared" si="21"/>
        <v>0</v>
      </c>
      <c r="AQ76" s="58">
        <f t="shared" si="22"/>
        <v>0</v>
      </c>
      <c r="AR76" s="58">
        <f t="shared" si="23"/>
        <v>0</v>
      </c>
      <c r="AS76" s="58">
        <f t="shared" si="24"/>
        <v>0</v>
      </c>
      <c r="AT76" s="58">
        <f>ROUND(SUMIF('JUNE (물량흐름)'!$C$13:$C$502,'In-out-bal products (155)(완성제품)'!B76,'JUNE (물량흐름)'!$AB$13:$AB$502),0)</f>
        <v>0</v>
      </c>
      <c r="AU76" s="58">
        <f t="shared" si="25"/>
        <v>0</v>
      </c>
      <c r="AV76" s="58">
        <f>ROUND(SUMIF('JUNE (물량흐름)'!$C$13:$C$502,'In-out-bal products (155)(완성제품)'!B76,'JUNE (물량흐름)'!$AC$13:$AC$502),0)</f>
        <v>0</v>
      </c>
      <c r="AW76" s="58">
        <f t="shared" si="26"/>
        <v>0</v>
      </c>
      <c r="AX76" s="376">
        <f t="shared" si="27"/>
        <v>0</v>
      </c>
      <c r="AY76" s="377">
        <f t="shared" si="28"/>
        <v>0</v>
      </c>
      <c r="AZ76" s="377">
        <f t="shared" si="29"/>
        <v>0</v>
      </c>
      <c r="BA76" s="377">
        <f t="shared" si="30"/>
        <v>0</v>
      </c>
      <c r="BB76" s="377"/>
      <c r="BC76" s="377">
        <f t="shared" si="31"/>
        <v>0</v>
      </c>
      <c r="BD76" s="377">
        <f t="shared" si="32"/>
        <v>0</v>
      </c>
      <c r="BE76" s="377"/>
      <c r="BF76" s="377">
        <f t="shared" si="33"/>
        <v>0</v>
      </c>
      <c r="BG76" s="433">
        <f t="shared" si="34"/>
        <v>0</v>
      </c>
      <c r="BH76" s="434">
        <f t="shared" si="35"/>
        <v>0</v>
      </c>
    </row>
    <row r="77" spans="1:60" s="378" customFormat="1">
      <c r="A77" s="167">
        <v>66</v>
      </c>
      <c r="B77" s="253">
        <f>VLOOKUP(A77,'JUNE (물량흐름)'!$A$13:$C$493,3,0)</f>
        <v>100003506</v>
      </c>
      <c r="C77" s="57" t="str">
        <f>VLOOKUP(A77,'JUNE (물량흐름)'!$A$13:$C$493,2,0)</f>
        <v>ALFANI</v>
      </c>
      <c r="D77" s="58">
        <f>IFERROR(VLOOKUP(B77,O.B.JUNE!$V$7:$Y$448,2,0),0)</f>
        <v>0</v>
      </c>
      <c r="E77" s="58">
        <f>IFERROR(VLOOKUP(B77,O.B.JUNE!$V$7:$X$448,3,0),0)</f>
        <v>0</v>
      </c>
      <c r="F77" s="58">
        <f>IFERROR(VLOOKUP(B77,O.B.JUNE!$V$7:$Y$448,4,0),0)</f>
        <v>0</v>
      </c>
      <c r="G77" s="58">
        <f>SUMIF('JUNE (물량흐름)'!$C$13:$C$493,'In-out-bal products (155)(완성제품)'!B77,'JUNE (물량흐름)'!$V$13:$V$493)</f>
        <v>0</v>
      </c>
      <c r="H77" s="58">
        <f>SUMIF('JUNE (물량흐름)'!$C$13:$C$493,'In-out-bal products (155)(완성제품)'!B77,'JUNE (물량흐름)'!$T$13:$T$493)-SUMIF('JUNE (물량흐름)'!$C$13:$C$493,'In-out-bal products (155)(완성제품)'!B77,'JUNE (물량흐름)'!$Y$13:$Y$493)+SUMIF('JUNE (물량흐름)'!$C$13:$C$493,'In-out-bal products (155)(완성제품)'!B77,'JUNE (물량흐름)'!$U$13:$U$493)</f>
        <v>2765</v>
      </c>
      <c r="I77" s="58">
        <f t="shared" ref="I77:I139" si="36">(IF(ISERROR(L77/H77),0,L77/H77))</f>
        <v>7669.8618444846297</v>
      </c>
      <c r="J77" s="58">
        <f>SUMIF('Direct labour(직접노무비)'!$C$12:$C$503,'In-out-bal products (155)(완성제품)'!B77,'Direct labour(직접노무비)'!$Q$12:$Q$503)</f>
        <v>7292986</v>
      </c>
      <c r="K77" s="59">
        <f>SUMIF('Overhead exp(제조경비)'!$C$12:$C$503,'In-out-bal products (155)(완성제품)'!B77,'Overhead exp(제조경비)'!$Q$12:$Q$503)</f>
        <v>13914182</v>
      </c>
      <c r="L77" s="58">
        <f t="shared" ref="L77:L139" si="37">ROUND(J77+K77,0)</f>
        <v>21207168</v>
      </c>
      <c r="M77" s="58">
        <f>SUMIF('JUNE (물량흐름)'!$C$13:$C$488,'In-out-bal products (155)(완성제품)'!B77,'JUNE (물량흐름)'!$Y$13:$Y$488)</f>
        <v>0</v>
      </c>
      <c r="N77" s="58">
        <f t="shared" ref="N77:N139" si="38">IFERROR(O77/M77,0)</f>
        <v>0</v>
      </c>
      <c r="O77" s="58">
        <f>SUMIF('Direct labour(직접노무비)'!$C$12:$C$503,'In-out-bal products (155)(완성제품)'!B77,'Direct labour(직접노무비)'!$U$12:$U$503)+SUMIF('Overhead exp(제조경비)'!$C$12:$C$503,'In-out-bal products (155)(완성제품)'!B77,'Overhead exp(제조경비)'!$U$12:$U$503)</f>
        <v>0</v>
      </c>
      <c r="P77" s="60">
        <f t="shared" ref="P77:P139" si="39">ROUND(H77+G77+M77,0)</f>
        <v>2765</v>
      </c>
      <c r="Q77" s="60">
        <f t="shared" ref="Q77:Q139" si="40">(IF(ISERROR(R77/P77),0,R77/P77))</f>
        <v>7669.8618444846297</v>
      </c>
      <c r="R77" s="60">
        <f t="shared" ref="R77:R139" si="41">ROUND(L77+O77,0)</f>
        <v>21207168</v>
      </c>
      <c r="S77" s="58">
        <v>0</v>
      </c>
      <c r="T77" s="58">
        <v>0</v>
      </c>
      <c r="U77" s="58">
        <v>0</v>
      </c>
      <c r="V77" s="58">
        <f>SUMIF('JUNE (물량흐름)'!$C$13:$C$493,'In-out-bal products (155)(완성제품)'!B77,'JUNE (물량흐름)'!$W$13:$W$493)</f>
        <v>0</v>
      </c>
      <c r="W77" s="58">
        <f t="shared" ref="W77:W139" si="42">(IF(V77=0,0,$X77/$V77))</f>
        <v>0</v>
      </c>
      <c r="X77" s="58">
        <f t="shared" ref="X77:X139" si="43">ROUND(IF(V77=0,0,V77*($F77+$L77)/($D77+$H77+$G77)),0)</f>
        <v>0</v>
      </c>
      <c r="Y77" s="58">
        <f>SUMIF('JUNE (물량흐름)'!$C$13:$C$488,'In-out-bal products (155)(완성제품)'!B77,'JUNE (물량흐름)'!$X$13:$X$488)</f>
        <v>0</v>
      </c>
      <c r="Z77" s="58">
        <f t="shared" ref="Z77:Z139" si="44">IF(Y77=0,0,$AA77/$Y77)</f>
        <v>0</v>
      </c>
      <c r="AA77" s="58">
        <f t="shared" ref="AA77:AA139" si="45">ROUND(IF(Y77=0,0,Y77*($F77+$L77)/($D77+$H77+$G77)),0)</f>
        <v>0</v>
      </c>
      <c r="AB77" s="58"/>
      <c r="AC77" s="58"/>
      <c r="AD77" s="61"/>
      <c r="AE77" s="58">
        <f t="shared" ref="AE77:AE139" si="46">M77</f>
        <v>0</v>
      </c>
      <c r="AF77" s="58">
        <f t="shared" ref="AF77:AF139" si="47">N77</f>
        <v>0</v>
      </c>
      <c r="AG77" s="61">
        <f t="shared" ref="AG77:AG139" si="48">O77</f>
        <v>0</v>
      </c>
      <c r="AH77" s="58">
        <v>0</v>
      </c>
      <c r="AI77" s="58">
        <v>0</v>
      </c>
      <c r="AJ77" s="61">
        <v>0</v>
      </c>
      <c r="AK77" s="58"/>
      <c r="AL77" s="58"/>
      <c r="AM77" s="61"/>
      <c r="AN77" s="61">
        <f t="shared" ref="AN77:AN139" si="49">ROUND(SUM(V77+Y77+AB77+AE77+AH77+AK77+S77),0)</f>
        <v>0</v>
      </c>
      <c r="AO77" s="58">
        <f t="shared" ref="AO77:AO139" si="50">(IF(ISERROR(AP77/AN77),0,AP77/AN77))</f>
        <v>0</v>
      </c>
      <c r="AP77" s="61">
        <f t="shared" ref="AP77:AP139" si="51">ROUND(X77+AA77+AD77+AG77+AJ77+AM77+U77,0)</f>
        <v>0</v>
      </c>
      <c r="AQ77" s="58">
        <f t="shared" ref="AQ77:AQ139" si="52">ROUND(D77+P77-AN77,0)</f>
        <v>2765</v>
      </c>
      <c r="AR77" s="58">
        <f t="shared" ref="AR77:AR139" si="53">(IF(ISERROR(AS77/AQ77),0,AS77/AQ77))</f>
        <v>7669.8618444846297</v>
      </c>
      <c r="AS77" s="58">
        <f t="shared" ref="AS77:AS139" si="54">ROUND(F77+R77-AP77,0)</f>
        <v>21207168</v>
      </c>
      <c r="AT77" s="58">
        <f>ROUND(SUMIF('JUNE (물량흐름)'!$C$13:$C$502,'In-out-bal products (155)(완성제품)'!B77,'JUNE (물량흐름)'!$AB$13:$AB$502),0)</f>
        <v>2765</v>
      </c>
      <c r="AU77" s="58">
        <f t="shared" ref="AU77:AU139" si="55">+ROUND(AR77*AT77,0)</f>
        <v>21207168</v>
      </c>
      <c r="AV77" s="58">
        <f>ROUND(SUMIF('JUNE (물량흐름)'!$C$13:$C$502,'In-out-bal products (155)(완성제품)'!B77,'JUNE (물량흐름)'!$AC$13:$AC$502),0)</f>
        <v>0</v>
      </c>
      <c r="AW77" s="58">
        <f t="shared" ref="AW77:AW139" si="56">ROUND(AR77*AV77,0)</f>
        <v>0</v>
      </c>
      <c r="AX77" s="376">
        <f t="shared" ref="AX77:AX139" si="57">D77+P77-AN77-AQ77</f>
        <v>0</v>
      </c>
      <c r="AY77" s="377">
        <f t="shared" ref="AY77:AY139" si="58">F77+R77-AP77-AS77</f>
        <v>0</v>
      </c>
      <c r="AZ77" s="377">
        <f t="shared" ref="AZ77:AZ139" si="59">AQ77-AT77-AV77</f>
        <v>0</v>
      </c>
      <c r="BA77" s="377">
        <f t="shared" ref="BA77:BA139" si="60">AS77-AU77-AW77</f>
        <v>0</v>
      </c>
      <c r="BB77" s="377"/>
      <c r="BC77" s="377">
        <f t="shared" ref="BC77:BC139" si="61">F77+R77-AP77-AS77</f>
        <v>0</v>
      </c>
      <c r="BD77" s="377">
        <f t="shared" ref="BD77:BD139" si="62">D77+P77-AN77-AQ77</f>
        <v>0</v>
      </c>
      <c r="BE77" s="377"/>
      <c r="BF77" s="377">
        <f t="shared" ref="BF77:BF139" si="63">F77+R77-AP77-AS77</f>
        <v>0</v>
      </c>
      <c r="BG77" s="433">
        <f t="shared" ref="BG77:BG139" si="64">+X77+AA77+AD77+AG77+AJ77+AM77+U77</f>
        <v>0</v>
      </c>
      <c r="BH77" s="434">
        <f t="shared" ref="BH77:BH139" si="65">+BG77-AP77</f>
        <v>0</v>
      </c>
    </row>
    <row r="78" spans="1:60" s="378" customFormat="1">
      <c r="A78" s="167">
        <v>67</v>
      </c>
      <c r="B78" s="253">
        <f>VLOOKUP(A78,'JUNE (물량흐름)'!$A$13:$C$493,3,0)</f>
        <v>100003522</v>
      </c>
      <c r="C78" s="57" t="str">
        <f>VLOOKUP(A78,'JUNE (물량흐름)'!$A$13:$C$493,2,0)</f>
        <v>ALFANI</v>
      </c>
      <c r="D78" s="58">
        <f>IFERROR(VLOOKUP(B78,O.B.JUNE!$V$7:$Y$448,2,0),0)</f>
        <v>0</v>
      </c>
      <c r="E78" s="58">
        <f>IFERROR(VLOOKUP(B78,O.B.JUNE!$V$7:$X$448,3,0),0)</f>
        <v>0</v>
      </c>
      <c r="F78" s="58">
        <f>IFERROR(VLOOKUP(B78,O.B.JUNE!$V$7:$Y$448,4,0),0)</f>
        <v>0</v>
      </c>
      <c r="G78" s="58">
        <f>SUMIF('JUNE (물량흐름)'!$C$13:$C$493,'In-out-bal products (155)(완성제품)'!B78,'JUNE (물량흐름)'!$V$13:$V$493)</f>
        <v>0</v>
      </c>
      <c r="H78" s="58">
        <f>SUMIF('JUNE (물량흐름)'!$C$13:$C$493,'In-out-bal products (155)(완성제품)'!B78,'JUNE (물량흐름)'!$T$13:$T$493)-SUMIF('JUNE (물량흐름)'!$C$13:$C$493,'In-out-bal products (155)(완성제품)'!B78,'JUNE (물량흐름)'!$Y$13:$Y$493)+SUMIF('JUNE (물량흐름)'!$C$13:$C$493,'In-out-bal products (155)(완성제품)'!B78,'JUNE (물량흐름)'!$U$13:$U$493)</f>
        <v>0</v>
      </c>
      <c r="I78" s="58">
        <f t="shared" si="36"/>
        <v>0</v>
      </c>
      <c r="J78" s="58">
        <f>SUMIF('Direct labour(직접노무비)'!$C$12:$C$503,'In-out-bal products (155)(완성제품)'!B78,'Direct labour(직접노무비)'!$Q$12:$Q$503)</f>
        <v>0</v>
      </c>
      <c r="K78" s="59">
        <f>SUMIF('Overhead exp(제조경비)'!$C$12:$C$503,'In-out-bal products (155)(완성제품)'!B78,'Overhead exp(제조경비)'!$Q$12:$Q$503)</f>
        <v>0</v>
      </c>
      <c r="L78" s="58">
        <f t="shared" si="37"/>
        <v>0</v>
      </c>
      <c r="M78" s="58">
        <f>SUMIF('JUNE (물량흐름)'!$C$13:$C$488,'In-out-bal products (155)(완성제품)'!B78,'JUNE (물량흐름)'!$Y$13:$Y$488)</f>
        <v>0</v>
      </c>
      <c r="N78" s="58">
        <f t="shared" si="38"/>
        <v>0</v>
      </c>
      <c r="O78" s="58">
        <f>SUMIF('Direct labour(직접노무비)'!$C$12:$C$503,'In-out-bal products (155)(완성제품)'!B78,'Direct labour(직접노무비)'!$U$12:$U$503)+SUMIF('Overhead exp(제조경비)'!$C$12:$C$503,'In-out-bal products (155)(완성제품)'!B78,'Overhead exp(제조경비)'!$U$12:$U$503)</f>
        <v>0</v>
      </c>
      <c r="P78" s="60">
        <f t="shared" si="39"/>
        <v>0</v>
      </c>
      <c r="Q78" s="60">
        <f t="shared" si="40"/>
        <v>0</v>
      </c>
      <c r="R78" s="60">
        <f t="shared" si="41"/>
        <v>0</v>
      </c>
      <c r="S78" s="58">
        <v>0</v>
      </c>
      <c r="T78" s="58">
        <v>0</v>
      </c>
      <c r="U78" s="58">
        <v>0</v>
      </c>
      <c r="V78" s="58">
        <f>SUMIF('JUNE (물량흐름)'!$C$13:$C$493,'In-out-bal products (155)(완성제품)'!B78,'JUNE (물량흐름)'!$W$13:$W$493)</f>
        <v>0</v>
      </c>
      <c r="W78" s="58">
        <f t="shared" si="42"/>
        <v>0</v>
      </c>
      <c r="X78" s="58">
        <f t="shared" si="43"/>
        <v>0</v>
      </c>
      <c r="Y78" s="58">
        <f>SUMIF('JUNE (물량흐름)'!$C$13:$C$488,'In-out-bal products (155)(완성제품)'!B78,'JUNE (물량흐름)'!$X$13:$X$488)</f>
        <v>0</v>
      </c>
      <c r="Z78" s="58">
        <f t="shared" si="44"/>
        <v>0</v>
      </c>
      <c r="AA78" s="58">
        <f t="shared" si="45"/>
        <v>0</v>
      </c>
      <c r="AB78" s="58"/>
      <c r="AC78" s="58"/>
      <c r="AD78" s="61"/>
      <c r="AE78" s="58">
        <f t="shared" si="46"/>
        <v>0</v>
      </c>
      <c r="AF78" s="58">
        <f t="shared" si="47"/>
        <v>0</v>
      </c>
      <c r="AG78" s="61">
        <f t="shared" si="48"/>
        <v>0</v>
      </c>
      <c r="AH78" s="58">
        <v>0</v>
      </c>
      <c r="AI78" s="58">
        <v>0</v>
      </c>
      <c r="AJ78" s="61">
        <v>0</v>
      </c>
      <c r="AK78" s="58"/>
      <c r="AL78" s="58"/>
      <c r="AM78" s="61"/>
      <c r="AN78" s="61">
        <f t="shared" si="49"/>
        <v>0</v>
      </c>
      <c r="AO78" s="58">
        <f t="shared" si="50"/>
        <v>0</v>
      </c>
      <c r="AP78" s="61">
        <f t="shared" si="51"/>
        <v>0</v>
      </c>
      <c r="AQ78" s="58">
        <f t="shared" si="52"/>
        <v>0</v>
      </c>
      <c r="AR78" s="58">
        <f t="shared" si="53"/>
        <v>0</v>
      </c>
      <c r="AS78" s="58">
        <f t="shared" si="54"/>
        <v>0</v>
      </c>
      <c r="AT78" s="58">
        <f>ROUND(SUMIF('JUNE (물량흐름)'!$C$13:$C$502,'In-out-bal products (155)(완성제품)'!B78,'JUNE (물량흐름)'!$AB$13:$AB$502),0)</f>
        <v>0</v>
      </c>
      <c r="AU78" s="58">
        <f t="shared" si="55"/>
        <v>0</v>
      </c>
      <c r="AV78" s="58">
        <f>ROUND(SUMIF('JUNE (물량흐름)'!$C$13:$C$502,'In-out-bal products (155)(완성제품)'!B78,'JUNE (물량흐름)'!$AC$13:$AC$502),0)</f>
        <v>0</v>
      </c>
      <c r="AW78" s="58">
        <f t="shared" si="56"/>
        <v>0</v>
      </c>
      <c r="AX78" s="376">
        <f t="shared" si="57"/>
        <v>0</v>
      </c>
      <c r="AY78" s="377">
        <f t="shared" si="58"/>
        <v>0</v>
      </c>
      <c r="AZ78" s="377">
        <f t="shared" si="59"/>
        <v>0</v>
      </c>
      <c r="BA78" s="377">
        <f t="shared" si="60"/>
        <v>0</v>
      </c>
      <c r="BB78" s="377"/>
      <c r="BC78" s="377">
        <f t="shared" si="61"/>
        <v>0</v>
      </c>
      <c r="BD78" s="377">
        <f t="shared" si="62"/>
        <v>0</v>
      </c>
      <c r="BE78" s="377"/>
      <c r="BF78" s="377">
        <f t="shared" si="63"/>
        <v>0</v>
      </c>
      <c r="BG78" s="433">
        <f t="shared" si="64"/>
        <v>0</v>
      </c>
      <c r="BH78" s="434">
        <f t="shared" si="65"/>
        <v>0</v>
      </c>
    </row>
    <row r="79" spans="1:60" s="378" customFormat="1">
      <c r="A79" s="167">
        <v>68</v>
      </c>
      <c r="B79" s="253">
        <f>VLOOKUP(A79,'JUNE (물량흐름)'!$A$13:$C$493,3,0)</f>
        <v>100003523</v>
      </c>
      <c r="C79" s="57" t="str">
        <f>VLOOKUP(A79,'JUNE (물량흐름)'!$A$13:$C$493,2,0)</f>
        <v>ALFANI</v>
      </c>
      <c r="D79" s="58">
        <f>IFERROR(VLOOKUP(B79,O.B.JUNE!$V$7:$Y$448,2,0),0)</f>
        <v>0</v>
      </c>
      <c r="E79" s="58">
        <f>IFERROR(VLOOKUP(B79,O.B.JUNE!$V$7:$X$448,3,0),0)</f>
        <v>0</v>
      </c>
      <c r="F79" s="58">
        <f>IFERROR(VLOOKUP(B79,O.B.JUNE!$V$7:$Y$448,4,0),0)</f>
        <v>0</v>
      </c>
      <c r="G79" s="58">
        <f>SUMIF('JUNE (물량흐름)'!$C$13:$C$493,'In-out-bal products (155)(완성제품)'!B79,'JUNE (물량흐름)'!$V$13:$V$493)</f>
        <v>0</v>
      </c>
      <c r="H79" s="58">
        <f>SUMIF('JUNE (물량흐름)'!$C$13:$C$493,'In-out-bal products (155)(완성제품)'!B79,'JUNE (물량흐름)'!$T$13:$T$493)-SUMIF('JUNE (물량흐름)'!$C$13:$C$493,'In-out-bal products (155)(완성제품)'!B79,'JUNE (물량흐름)'!$Y$13:$Y$493)+SUMIF('JUNE (물량흐름)'!$C$13:$C$493,'In-out-bal products (155)(완성제품)'!B79,'JUNE (물량흐름)'!$U$13:$U$493)</f>
        <v>0</v>
      </c>
      <c r="I79" s="58">
        <f t="shared" si="36"/>
        <v>0</v>
      </c>
      <c r="J79" s="58">
        <f>SUMIF('Direct labour(직접노무비)'!$C$12:$C$503,'In-out-bal products (155)(완성제품)'!B79,'Direct labour(직접노무비)'!$Q$12:$Q$503)</f>
        <v>0</v>
      </c>
      <c r="K79" s="59">
        <f>SUMIF('Overhead exp(제조경비)'!$C$12:$C$503,'In-out-bal products (155)(완성제품)'!B79,'Overhead exp(제조경비)'!$Q$12:$Q$503)</f>
        <v>0</v>
      </c>
      <c r="L79" s="58">
        <f t="shared" si="37"/>
        <v>0</v>
      </c>
      <c r="M79" s="58">
        <f>SUMIF('JUNE (물량흐름)'!$C$13:$C$488,'In-out-bal products (155)(완성제품)'!B79,'JUNE (물량흐름)'!$Y$13:$Y$488)</f>
        <v>0</v>
      </c>
      <c r="N79" s="58">
        <f t="shared" si="38"/>
        <v>0</v>
      </c>
      <c r="O79" s="58">
        <f>SUMIF('Direct labour(직접노무비)'!$C$12:$C$503,'In-out-bal products (155)(완성제품)'!B79,'Direct labour(직접노무비)'!$U$12:$U$503)+SUMIF('Overhead exp(제조경비)'!$C$12:$C$503,'In-out-bal products (155)(완성제품)'!B79,'Overhead exp(제조경비)'!$U$12:$U$503)</f>
        <v>0</v>
      </c>
      <c r="P79" s="60">
        <f t="shared" si="39"/>
        <v>0</v>
      </c>
      <c r="Q79" s="60">
        <f t="shared" si="40"/>
        <v>0</v>
      </c>
      <c r="R79" s="60">
        <f t="shared" si="41"/>
        <v>0</v>
      </c>
      <c r="S79" s="58">
        <v>0</v>
      </c>
      <c r="T79" s="58">
        <v>0</v>
      </c>
      <c r="U79" s="58">
        <v>0</v>
      </c>
      <c r="V79" s="58">
        <f>SUMIF('JUNE (물량흐름)'!$C$13:$C$493,'In-out-bal products (155)(완성제품)'!B79,'JUNE (물량흐름)'!$W$13:$W$493)</f>
        <v>0</v>
      </c>
      <c r="W79" s="58">
        <f t="shared" si="42"/>
        <v>0</v>
      </c>
      <c r="X79" s="58">
        <f t="shared" si="43"/>
        <v>0</v>
      </c>
      <c r="Y79" s="58">
        <f>SUMIF('JUNE (물량흐름)'!$C$13:$C$488,'In-out-bal products (155)(완성제품)'!B79,'JUNE (물량흐름)'!$X$13:$X$488)</f>
        <v>0</v>
      </c>
      <c r="Z79" s="58">
        <f t="shared" si="44"/>
        <v>0</v>
      </c>
      <c r="AA79" s="58">
        <f t="shared" si="45"/>
        <v>0</v>
      </c>
      <c r="AB79" s="58"/>
      <c r="AC79" s="58"/>
      <c r="AD79" s="61"/>
      <c r="AE79" s="58">
        <f t="shared" si="46"/>
        <v>0</v>
      </c>
      <c r="AF79" s="58">
        <f t="shared" si="47"/>
        <v>0</v>
      </c>
      <c r="AG79" s="61">
        <f t="shared" si="48"/>
        <v>0</v>
      </c>
      <c r="AH79" s="58">
        <v>0</v>
      </c>
      <c r="AI79" s="58">
        <v>0</v>
      </c>
      <c r="AJ79" s="61">
        <v>0</v>
      </c>
      <c r="AK79" s="58"/>
      <c r="AL79" s="58"/>
      <c r="AM79" s="61"/>
      <c r="AN79" s="61">
        <f t="shared" si="49"/>
        <v>0</v>
      </c>
      <c r="AO79" s="58">
        <f t="shared" si="50"/>
        <v>0</v>
      </c>
      <c r="AP79" s="61">
        <f t="shared" si="51"/>
        <v>0</v>
      </c>
      <c r="AQ79" s="58">
        <f t="shared" si="52"/>
        <v>0</v>
      </c>
      <c r="AR79" s="58">
        <f t="shared" si="53"/>
        <v>0</v>
      </c>
      <c r="AS79" s="58">
        <f t="shared" si="54"/>
        <v>0</v>
      </c>
      <c r="AT79" s="58">
        <f>ROUND(SUMIF('JUNE (물량흐름)'!$C$13:$C$502,'In-out-bal products (155)(완성제품)'!B79,'JUNE (물량흐름)'!$AB$13:$AB$502),0)</f>
        <v>0</v>
      </c>
      <c r="AU79" s="58">
        <f t="shared" si="55"/>
        <v>0</v>
      </c>
      <c r="AV79" s="58">
        <f>ROUND(SUMIF('JUNE (물량흐름)'!$C$13:$C$502,'In-out-bal products (155)(완성제품)'!B79,'JUNE (물량흐름)'!$AC$13:$AC$502),0)</f>
        <v>0</v>
      </c>
      <c r="AW79" s="58">
        <f t="shared" si="56"/>
        <v>0</v>
      </c>
      <c r="AX79" s="376">
        <f t="shared" si="57"/>
        <v>0</v>
      </c>
      <c r="AY79" s="377">
        <f t="shared" si="58"/>
        <v>0</v>
      </c>
      <c r="AZ79" s="377">
        <f t="shared" si="59"/>
        <v>0</v>
      </c>
      <c r="BA79" s="377">
        <f t="shared" si="60"/>
        <v>0</v>
      </c>
      <c r="BB79" s="377"/>
      <c r="BC79" s="377">
        <f t="shared" si="61"/>
        <v>0</v>
      </c>
      <c r="BD79" s="377">
        <f t="shared" si="62"/>
        <v>0</v>
      </c>
      <c r="BE79" s="377"/>
      <c r="BF79" s="377">
        <f t="shared" si="63"/>
        <v>0</v>
      </c>
      <c r="BG79" s="433">
        <f t="shared" si="64"/>
        <v>0</v>
      </c>
      <c r="BH79" s="434">
        <f t="shared" si="65"/>
        <v>0</v>
      </c>
    </row>
    <row r="80" spans="1:60" s="378" customFormat="1">
      <c r="A80" s="167">
        <v>69</v>
      </c>
      <c r="B80" s="253">
        <f>VLOOKUP(A80,'JUNE (물량흐름)'!$A$13:$C$493,3,0)</f>
        <v>100003547</v>
      </c>
      <c r="C80" s="57" t="str">
        <f>VLOOKUP(A80,'JUNE (물량흐름)'!$A$13:$C$493,2,0)</f>
        <v>ALFANI</v>
      </c>
      <c r="D80" s="58">
        <f>IFERROR(VLOOKUP(B80,O.B.JUNE!$V$7:$Y$448,2,0),0)</f>
        <v>0</v>
      </c>
      <c r="E80" s="58">
        <f>IFERROR(VLOOKUP(B80,O.B.JUNE!$V$7:$X$448,3,0),0)</f>
        <v>0</v>
      </c>
      <c r="F80" s="58">
        <f>IFERROR(VLOOKUP(B80,O.B.JUNE!$V$7:$Y$448,4,0),0)</f>
        <v>0</v>
      </c>
      <c r="G80" s="58">
        <f>SUMIF('JUNE (물량흐름)'!$C$13:$C$493,'In-out-bal products (155)(완성제품)'!B80,'JUNE (물량흐름)'!$V$13:$V$493)</f>
        <v>0</v>
      </c>
      <c r="H80" s="58">
        <f>SUMIF('JUNE (물량흐름)'!$C$13:$C$493,'In-out-bal products (155)(완성제품)'!B80,'JUNE (물량흐름)'!$T$13:$T$493)-SUMIF('JUNE (물량흐름)'!$C$13:$C$493,'In-out-bal products (155)(완성제품)'!B80,'JUNE (물량흐름)'!$Y$13:$Y$493)+SUMIF('JUNE (물량흐름)'!$C$13:$C$493,'In-out-bal products (155)(완성제품)'!B80,'JUNE (물량흐름)'!$U$13:$U$493)</f>
        <v>0</v>
      </c>
      <c r="I80" s="58">
        <f t="shared" si="36"/>
        <v>0</v>
      </c>
      <c r="J80" s="58">
        <f>SUMIF('Direct labour(직접노무비)'!$C$12:$C$503,'In-out-bal products (155)(완성제품)'!B80,'Direct labour(직접노무비)'!$Q$12:$Q$503)</f>
        <v>0</v>
      </c>
      <c r="K80" s="59">
        <f>SUMIF('Overhead exp(제조경비)'!$C$12:$C$503,'In-out-bal products (155)(완성제품)'!B80,'Overhead exp(제조경비)'!$Q$12:$Q$503)</f>
        <v>0</v>
      </c>
      <c r="L80" s="58">
        <f t="shared" si="37"/>
        <v>0</v>
      </c>
      <c r="M80" s="58">
        <f>SUMIF('JUNE (물량흐름)'!$C$13:$C$488,'In-out-bal products (155)(완성제품)'!B80,'JUNE (물량흐름)'!$Y$13:$Y$488)</f>
        <v>0</v>
      </c>
      <c r="N80" s="58">
        <f t="shared" si="38"/>
        <v>0</v>
      </c>
      <c r="O80" s="58">
        <f>SUMIF('Direct labour(직접노무비)'!$C$12:$C$503,'In-out-bal products (155)(완성제품)'!B80,'Direct labour(직접노무비)'!$U$12:$U$503)+SUMIF('Overhead exp(제조경비)'!$C$12:$C$503,'In-out-bal products (155)(완성제품)'!B80,'Overhead exp(제조경비)'!$U$12:$U$503)</f>
        <v>0</v>
      </c>
      <c r="P80" s="60">
        <f t="shared" si="39"/>
        <v>0</v>
      </c>
      <c r="Q80" s="60">
        <f t="shared" si="40"/>
        <v>0</v>
      </c>
      <c r="R80" s="60">
        <f t="shared" si="41"/>
        <v>0</v>
      </c>
      <c r="S80" s="58">
        <v>0</v>
      </c>
      <c r="T80" s="58">
        <v>0</v>
      </c>
      <c r="U80" s="58">
        <v>0</v>
      </c>
      <c r="V80" s="58">
        <f>SUMIF('JUNE (물량흐름)'!$C$13:$C$493,'In-out-bal products (155)(완성제품)'!B80,'JUNE (물량흐름)'!$W$13:$W$493)</f>
        <v>0</v>
      </c>
      <c r="W80" s="58">
        <f t="shared" si="42"/>
        <v>0</v>
      </c>
      <c r="X80" s="58">
        <f t="shared" si="43"/>
        <v>0</v>
      </c>
      <c r="Y80" s="58">
        <f>SUMIF('JUNE (물량흐름)'!$C$13:$C$488,'In-out-bal products (155)(완성제품)'!B80,'JUNE (물량흐름)'!$X$13:$X$488)</f>
        <v>0</v>
      </c>
      <c r="Z80" s="58">
        <f t="shared" si="44"/>
        <v>0</v>
      </c>
      <c r="AA80" s="58">
        <f t="shared" si="45"/>
        <v>0</v>
      </c>
      <c r="AB80" s="58"/>
      <c r="AC80" s="58"/>
      <c r="AD80" s="61"/>
      <c r="AE80" s="58">
        <f t="shared" si="46"/>
        <v>0</v>
      </c>
      <c r="AF80" s="58">
        <f t="shared" si="47"/>
        <v>0</v>
      </c>
      <c r="AG80" s="61">
        <f t="shared" si="48"/>
        <v>0</v>
      </c>
      <c r="AH80" s="58">
        <v>0</v>
      </c>
      <c r="AI80" s="58">
        <v>0</v>
      </c>
      <c r="AJ80" s="61">
        <v>0</v>
      </c>
      <c r="AK80" s="58"/>
      <c r="AL80" s="58"/>
      <c r="AM80" s="61"/>
      <c r="AN80" s="61">
        <f t="shared" si="49"/>
        <v>0</v>
      </c>
      <c r="AO80" s="58">
        <f t="shared" si="50"/>
        <v>0</v>
      </c>
      <c r="AP80" s="61">
        <f t="shared" si="51"/>
        <v>0</v>
      </c>
      <c r="AQ80" s="58">
        <f t="shared" si="52"/>
        <v>0</v>
      </c>
      <c r="AR80" s="58">
        <f t="shared" si="53"/>
        <v>0</v>
      </c>
      <c r="AS80" s="58">
        <f t="shared" si="54"/>
        <v>0</v>
      </c>
      <c r="AT80" s="58">
        <f>ROUND(SUMIF('JUNE (물량흐름)'!$C$13:$C$502,'In-out-bal products (155)(완성제품)'!B80,'JUNE (물량흐름)'!$AB$13:$AB$502),0)</f>
        <v>0</v>
      </c>
      <c r="AU80" s="58">
        <f t="shared" si="55"/>
        <v>0</v>
      </c>
      <c r="AV80" s="58">
        <f>ROUND(SUMIF('JUNE (물량흐름)'!$C$13:$C$502,'In-out-bal products (155)(완성제품)'!B80,'JUNE (물량흐름)'!$AC$13:$AC$502),0)</f>
        <v>0</v>
      </c>
      <c r="AW80" s="58">
        <f t="shared" si="56"/>
        <v>0</v>
      </c>
      <c r="AX80" s="376">
        <f t="shared" si="57"/>
        <v>0</v>
      </c>
      <c r="AY80" s="377">
        <f t="shared" si="58"/>
        <v>0</v>
      </c>
      <c r="AZ80" s="377">
        <f t="shared" si="59"/>
        <v>0</v>
      </c>
      <c r="BA80" s="377">
        <f t="shared" si="60"/>
        <v>0</v>
      </c>
      <c r="BB80" s="377"/>
      <c r="BC80" s="377">
        <f t="shared" si="61"/>
        <v>0</v>
      </c>
      <c r="BD80" s="377">
        <f t="shared" si="62"/>
        <v>0</v>
      </c>
      <c r="BE80" s="377"/>
      <c r="BF80" s="377">
        <f t="shared" si="63"/>
        <v>0</v>
      </c>
      <c r="BG80" s="433">
        <f t="shared" si="64"/>
        <v>0</v>
      </c>
      <c r="BH80" s="434">
        <f t="shared" si="65"/>
        <v>0</v>
      </c>
    </row>
    <row r="81" spans="1:60" s="378" customFormat="1">
      <c r="A81" s="167">
        <v>70</v>
      </c>
      <c r="B81" s="253">
        <f>VLOOKUP(A81,'JUNE (물량흐름)'!$A$13:$C$493,3,0)</f>
        <v>100003559</v>
      </c>
      <c r="C81" s="57" t="str">
        <f>VLOOKUP(A81,'JUNE (물량흐름)'!$A$13:$C$493,2,0)</f>
        <v>ALFANI</v>
      </c>
      <c r="D81" s="58">
        <f>IFERROR(VLOOKUP(B81,O.B.JUNE!$V$7:$Y$448,2,0),0)</f>
        <v>0</v>
      </c>
      <c r="E81" s="58">
        <f>IFERROR(VLOOKUP(B81,O.B.JUNE!$V$7:$X$448,3,0),0)</f>
        <v>0</v>
      </c>
      <c r="F81" s="58">
        <f>IFERROR(VLOOKUP(B81,O.B.JUNE!$V$7:$Y$448,4,0),0)</f>
        <v>0</v>
      </c>
      <c r="G81" s="58">
        <f>SUMIF('JUNE (물량흐름)'!$C$13:$C$493,'In-out-bal products (155)(완성제품)'!B81,'JUNE (물량흐름)'!$V$13:$V$493)</f>
        <v>0</v>
      </c>
      <c r="H81" s="58">
        <f>SUMIF('JUNE (물량흐름)'!$C$13:$C$493,'In-out-bal products (155)(완성제품)'!B81,'JUNE (물량흐름)'!$T$13:$T$493)-SUMIF('JUNE (물량흐름)'!$C$13:$C$493,'In-out-bal products (155)(완성제품)'!B81,'JUNE (물량흐름)'!$Y$13:$Y$493)+SUMIF('JUNE (물량흐름)'!$C$13:$C$493,'In-out-bal products (155)(완성제품)'!B81,'JUNE (물량흐름)'!$U$13:$U$493)</f>
        <v>0</v>
      </c>
      <c r="I81" s="58">
        <f t="shared" si="36"/>
        <v>0</v>
      </c>
      <c r="J81" s="58">
        <f>SUMIF('Direct labour(직접노무비)'!$C$12:$C$503,'In-out-bal products (155)(완성제품)'!B81,'Direct labour(직접노무비)'!$Q$12:$Q$503)</f>
        <v>0</v>
      </c>
      <c r="K81" s="59">
        <f>SUMIF('Overhead exp(제조경비)'!$C$12:$C$503,'In-out-bal products (155)(완성제품)'!B81,'Overhead exp(제조경비)'!$Q$12:$Q$503)</f>
        <v>0</v>
      </c>
      <c r="L81" s="58">
        <f t="shared" si="37"/>
        <v>0</v>
      </c>
      <c r="M81" s="58">
        <f>SUMIF('JUNE (물량흐름)'!$C$13:$C$488,'In-out-bal products (155)(완성제품)'!B81,'JUNE (물량흐름)'!$Y$13:$Y$488)</f>
        <v>0</v>
      </c>
      <c r="N81" s="58">
        <f t="shared" si="38"/>
        <v>0</v>
      </c>
      <c r="O81" s="58">
        <f>SUMIF('Direct labour(직접노무비)'!$C$12:$C$503,'In-out-bal products (155)(완성제품)'!B81,'Direct labour(직접노무비)'!$U$12:$U$503)+SUMIF('Overhead exp(제조경비)'!$C$12:$C$503,'In-out-bal products (155)(완성제품)'!B81,'Overhead exp(제조경비)'!$U$12:$U$503)</f>
        <v>0</v>
      </c>
      <c r="P81" s="60">
        <f t="shared" si="39"/>
        <v>0</v>
      </c>
      <c r="Q81" s="60">
        <f t="shared" si="40"/>
        <v>0</v>
      </c>
      <c r="R81" s="60">
        <f t="shared" si="41"/>
        <v>0</v>
      </c>
      <c r="S81" s="58">
        <v>0</v>
      </c>
      <c r="T81" s="58">
        <v>0</v>
      </c>
      <c r="U81" s="58">
        <v>0</v>
      </c>
      <c r="V81" s="58">
        <f>SUMIF('JUNE (물량흐름)'!$C$13:$C$493,'In-out-bal products (155)(완성제품)'!B81,'JUNE (물량흐름)'!$W$13:$W$493)</f>
        <v>0</v>
      </c>
      <c r="W81" s="58">
        <f t="shared" si="42"/>
        <v>0</v>
      </c>
      <c r="X81" s="58">
        <f t="shared" si="43"/>
        <v>0</v>
      </c>
      <c r="Y81" s="58">
        <f>SUMIF('JUNE (물량흐름)'!$C$13:$C$488,'In-out-bal products (155)(완성제품)'!B81,'JUNE (물량흐름)'!$X$13:$X$488)</f>
        <v>0</v>
      </c>
      <c r="Z81" s="58">
        <f t="shared" si="44"/>
        <v>0</v>
      </c>
      <c r="AA81" s="58">
        <f t="shared" si="45"/>
        <v>0</v>
      </c>
      <c r="AB81" s="58"/>
      <c r="AC81" s="58"/>
      <c r="AD81" s="61"/>
      <c r="AE81" s="58">
        <f t="shared" si="46"/>
        <v>0</v>
      </c>
      <c r="AF81" s="58">
        <f t="shared" si="47"/>
        <v>0</v>
      </c>
      <c r="AG81" s="61">
        <f t="shared" si="48"/>
        <v>0</v>
      </c>
      <c r="AH81" s="58">
        <v>0</v>
      </c>
      <c r="AI81" s="58">
        <v>0</v>
      </c>
      <c r="AJ81" s="61">
        <v>0</v>
      </c>
      <c r="AK81" s="58"/>
      <c r="AL81" s="58"/>
      <c r="AM81" s="61"/>
      <c r="AN81" s="61">
        <f t="shared" si="49"/>
        <v>0</v>
      </c>
      <c r="AO81" s="58">
        <f t="shared" si="50"/>
        <v>0</v>
      </c>
      <c r="AP81" s="61">
        <f t="shared" si="51"/>
        <v>0</v>
      </c>
      <c r="AQ81" s="58">
        <f t="shared" si="52"/>
        <v>0</v>
      </c>
      <c r="AR81" s="58">
        <f t="shared" si="53"/>
        <v>0</v>
      </c>
      <c r="AS81" s="58">
        <f t="shared" si="54"/>
        <v>0</v>
      </c>
      <c r="AT81" s="58">
        <f>ROUND(SUMIF('JUNE (물량흐름)'!$C$13:$C$502,'In-out-bal products (155)(완성제품)'!B81,'JUNE (물량흐름)'!$AB$13:$AB$502),0)</f>
        <v>0</v>
      </c>
      <c r="AU81" s="58">
        <f t="shared" si="55"/>
        <v>0</v>
      </c>
      <c r="AV81" s="58">
        <f>ROUND(SUMIF('JUNE (물량흐름)'!$C$13:$C$502,'In-out-bal products (155)(완성제품)'!B81,'JUNE (물량흐름)'!$AC$13:$AC$502),0)</f>
        <v>0</v>
      </c>
      <c r="AW81" s="58">
        <f t="shared" si="56"/>
        <v>0</v>
      </c>
      <c r="AX81" s="376">
        <f t="shared" si="57"/>
        <v>0</v>
      </c>
      <c r="AY81" s="377">
        <f t="shared" si="58"/>
        <v>0</v>
      </c>
      <c r="AZ81" s="377">
        <f t="shared" si="59"/>
        <v>0</v>
      </c>
      <c r="BA81" s="377">
        <f t="shared" si="60"/>
        <v>0</v>
      </c>
      <c r="BB81" s="377"/>
      <c r="BC81" s="377">
        <f t="shared" si="61"/>
        <v>0</v>
      </c>
      <c r="BD81" s="377">
        <f t="shared" si="62"/>
        <v>0</v>
      </c>
      <c r="BE81" s="377"/>
      <c r="BF81" s="377">
        <f t="shared" si="63"/>
        <v>0</v>
      </c>
      <c r="BG81" s="433">
        <f t="shared" si="64"/>
        <v>0</v>
      </c>
      <c r="BH81" s="434">
        <f t="shared" si="65"/>
        <v>0</v>
      </c>
    </row>
    <row r="82" spans="1:60" s="378" customFormat="1">
      <c r="A82" s="167">
        <v>71</v>
      </c>
      <c r="B82" s="253">
        <f>VLOOKUP(A82,'JUNE (물량흐름)'!$A$13:$C$493,3,0)</f>
        <v>100003582</v>
      </c>
      <c r="C82" s="57" t="str">
        <f>VLOOKUP(A82,'JUNE (물량흐름)'!$A$13:$C$493,2,0)</f>
        <v>ALFANI</v>
      </c>
      <c r="D82" s="58">
        <f>IFERROR(VLOOKUP(B82,O.B.JUNE!$V$7:$Y$448,2,0),0)</f>
        <v>0</v>
      </c>
      <c r="E82" s="58">
        <f>IFERROR(VLOOKUP(B82,O.B.JUNE!$V$7:$X$448,3,0),0)</f>
        <v>0</v>
      </c>
      <c r="F82" s="58">
        <f>IFERROR(VLOOKUP(B82,O.B.JUNE!$V$7:$Y$448,4,0),0)</f>
        <v>0</v>
      </c>
      <c r="G82" s="58">
        <f>SUMIF('JUNE (물량흐름)'!$C$13:$C$493,'In-out-bal products (155)(완성제품)'!B82,'JUNE (물량흐름)'!$V$13:$V$493)</f>
        <v>0</v>
      </c>
      <c r="H82" s="58">
        <f>SUMIF('JUNE (물량흐름)'!$C$13:$C$493,'In-out-bal products (155)(완성제품)'!B82,'JUNE (물량흐름)'!$T$13:$T$493)-SUMIF('JUNE (물량흐름)'!$C$13:$C$493,'In-out-bal products (155)(완성제품)'!B82,'JUNE (물량흐름)'!$Y$13:$Y$493)+SUMIF('JUNE (물량흐름)'!$C$13:$C$493,'In-out-bal products (155)(완성제품)'!B82,'JUNE (물량흐름)'!$U$13:$U$493)</f>
        <v>0</v>
      </c>
      <c r="I82" s="58">
        <f t="shared" si="36"/>
        <v>0</v>
      </c>
      <c r="J82" s="58">
        <f>SUMIF('Direct labour(직접노무비)'!$C$12:$C$503,'In-out-bal products (155)(완성제품)'!B82,'Direct labour(직접노무비)'!$Q$12:$Q$503)</f>
        <v>0</v>
      </c>
      <c r="K82" s="59">
        <f>SUMIF('Overhead exp(제조경비)'!$C$12:$C$503,'In-out-bal products (155)(완성제품)'!B82,'Overhead exp(제조경비)'!$Q$12:$Q$503)</f>
        <v>0</v>
      </c>
      <c r="L82" s="58">
        <f t="shared" si="37"/>
        <v>0</v>
      </c>
      <c r="M82" s="58">
        <f>SUMIF('JUNE (물량흐름)'!$C$13:$C$488,'In-out-bal products (155)(완성제품)'!B82,'JUNE (물량흐름)'!$Y$13:$Y$488)</f>
        <v>0</v>
      </c>
      <c r="N82" s="58">
        <f t="shared" si="38"/>
        <v>0</v>
      </c>
      <c r="O82" s="58">
        <f>SUMIF('Direct labour(직접노무비)'!$C$12:$C$503,'In-out-bal products (155)(완성제품)'!B82,'Direct labour(직접노무비)'!$U$12:$U$503)+SUMIF('Overhead exp(제조경비)'!$C$12:$C$503,'In-out-bal products (155)(완성제품)'!B82,'Overhead exp(제조경비)'!$U$12:$U$503)</f>
        <v>0</v>
      </c>
      <c r="P82" s="60">
        <f t="shared" si="39"/>
        <v>0</v>
      </c>
      <c r="Q82" s="60">
        <f t="shared" si="40"/>
        <v>0</v>
      </c>
      <c r="R82" s="60">
        <f t="shared" si="41"/>
        <v>0</v>
      </c>
      <c r="S82" s="58">
        <v>0</v>
      </c>
      <c r="T82" s="58">
        <v>0</v>
      </c>
      <c r="U82" s="58">
        <v>0</v>
      </c>
      <c r="V82" s="58">
        <f>SUMIF('JUNE (물량흐름)'!$C$13:$C$493,'In-out-bal products (155)(완성제품)'!B82,'JUNE (물량흐름)'!$W$13:$W$493)</f>
        <v>0</v>
      </c>
      <c r="W82" s="58">
        <f t="shared" si="42"/>
        <v>0</v>
      </c>
      <c r="X82" s="58">
        <f t="shared" si="43"/>
        <v>0</v>
      </c>
      <c r="Y82" s="58">
        <f>SUMIF('JUNE (물량흐름)'!$C$13:$C$488,'In-out-bal products (155)(완성제품)'!B82,'JUNE (물량흐름)'!$X$13:$X$488)</f>
        <v>0</v>
      </c>
      <c r="Z82" s="58">
        <f t="shared" si="44"/>
        <v>0</v>
      </c>
      <c r="AA82" s="58">
        <f t="shared" si="45"/>
        <v>0</v>
      </c>
      <c r="AB82" s="58"/>
      <c r="AC82" s="58"/>
      <c r="AD82" s="61"/>
      <c r="AE82" s="58">
        <f t="shared" si="46"/>
        <v>0</v>
      </c>
      <c r="AF82" s="58">
        <f t="shared" si="47"/>
        <v>0</v>
      </c>
      <c r="AG82" s="61">
        <f t="shared" si="48"/>
        <v>0</v>
      </c>
      <c r="AH82" s="58">
        <v>0</v>
      </c>
      <c r="AI82" s="58">
        <v>0</v>
      </c>
      <c r="AJ82" s="61">
        <v>0</v>
      </c>
      <c r="AK82" s="58"/>
      <c r="AL82" s="58"/>
      <c r="AM82" s="61"/>
      <c r="AN82" s="61">
        <f t="shared" si="49"/>
        <v>0</v>
      </c>
      <c r="AO82" s="58">
        <f t="shared" si="50"/>
        <v>0</v>
      </c>
      <c r="AP82" s="61">
        <f t="shared" si="51"/>
        <v>0</v>
      </c>
      <c r="AQ82" s="58">
        <f t="shared" si="52"/>
        <v>0</v>
      </c>
      <c r="AR82" s="58">
        <f t="shared" si="53"/>
        <v>0</v>
      </c>
      <c r="AS82" s="58">
        <f t="shared" si="54"/>
        <v>0</v>
      </c>
      <c r="AT82" s="58">
        <f>ROUND(SUMIF('JUNE (물량흐름)'!$C$13:$C$502,'In-out-bal products (155)(완성제품)'!B82,'JUNE (물량흐름)'!$AB$13:$AB$502),0)</f>
        <v>0</v>
      </c>
      <c r="AU82" s="58">
        <f t="shared" si="55"/>
        <v>0</v>
      </c>
      <c r="AV82" s="58">
        <f>ROUND(SUMIF('JUNE (물량흐름)'!$C$13:$C$502,'In-out-bal products (155)(완성제품)'!B82,'JUNE (물량흐름)'!$AC$13:$AC$502),0)</f>
        <v>0</v>
      </c>
      <c r="AW82" s="58">
        <f t="shared" si="56"/>
        <v>0</v>
      </c>
      <c r="AX82" s="376">
        <f t="shared" si="57"/>
        <v>0</v>
      </c>
      <c r="AY82" s="377">
        <f t="shared" si="58"/>
        <v>0</v>
      </c>
      <c r="AZ82" s="377">
        <f t="shared" si="59"/>
        <v>0</v>
      </c>
      <c r="BA82" s="377">
        <f t="shared" si="60"/>
        <v>0</v>
      </c>
      <c r="BB82" s="377"/>
      <c r="BC82" s="377">
        <f t="shared" si="61"/>
        <v>0</v>
      </c>
      <c r="BD82" s="377">
        <f t="shared" si="62"/>
        <v>0</v>
      </c>
      <c r="BE82" s="377"/>
      <c r="BF82" s="377">
        <f t="shared" si="63"/>
        <v>0</v>
      </c>
      <c r="BG82" s="433">
        <f t="shared" si="64"/>
        <v>0</v>
      </c>
      <c r="BH82" s="434">
        <f t="shared" si="65"/>
        <v>0</v>
      </c>
    </row>
    <row r="83" spans="1:60" s="378" customFormat="1">
      <c r="A83" s="167">
        <v>72</v>
      </c>
      <c r="B83" s="253">
        <f>VLOOKUP(A83,'JUNE (물량흐름)'!$A$13:$C$493,3,0)</f>
        <v>100003585</v>
      </c>
      <c r="C83" s="57" t="str">
        <f>VLOOKUP(A83,'JUNE (물량흐름)'!$A$13:$C$493,2,0)</f>
        <v>ALFANI</v>
      </c>
      <c r="D83" s="58">
        <f>IFERROR(VLOOKUP(B83,O.B.JUNE!$V$7:$Y$448,2,0),0)</f>
        <v>0</v>
      </c>
      <c r="E83" s="58">
        <f>IFERROR(VLOOKUP(B83,O.B.JUNE!$V$7:$X$448,3,0),0)</f>
        <v>0</v>
      </c>
      <c r="F83" s="58">
        <f>IFERROR(VLOOKUP(B83,O.B.JUNE!$V$7:$Y$448,4,0),0)</f>
        <v>0</v>
      </c>
      <c r="G83" s="58">
        <f>SUMIF('JUNE (물량흐름)'!$C$13:$C$493,'In-out-bal products (155)(완성제품)'!B83,'JUNE (물량흐름)'!$V$13:$V$493)</f>
        <v>0</v>
      </c>
      <c r="H83" s="58">
        <f>SUMIF('JUNE (물량흐름)'!$C$13:$C$493,'In-out-bal products (155)(완성제품)'!B83,'JUNE (물량흐름)'!$T$13:$T$493)-SUMIF('JUNE (물량흐름)'!$C$13:$C$493,'In-out-bal products (155)(완성제품)'!B83,'JUNE (물량흐름)'!$Y$13:$Y$493)+SUMIF('JUNE (물량흐름)'!$C$13:$C$493,'In-out-bal products (155)(완성제품)'!B83,'JUNE (물량흐름)'!$U$13:$U$493)</f>
        <v>0</v>
      </c>
      <c r="I83" s="58">
        <f t="shared" si="36"/>
        <v>0</v>
      </c>
      <c r="J83" s="58">
        <f>SUMIF('Direct labour(직접노무비)'!$C$12:$C$503,'In-out-bal products (155)(완성제품)'!B83,'Direct labour(직접노무비)'!$Q$12:$Q$503)</f>
        <v>0</v>
      </c>
      <c r="K83" s="59">
        <f>SUMIF('Overhead exp(제조경비)'!$C$12:$C$503,'In-out-bal products (155)(완성제품)'!B83,'Overhead exp(제조경비)'!$Q$12:$Q$503)</f>
        <v>0</v>
      </c>
      <c r="L83" s="58">
        <f t="shared" si="37"/>
        <v>0</v>
      </c>
      <c r="M83" s="58">
        <f>SUMIF('JUNE (물량흐름)'!$C$13:$C$488,'In-out-bal products (155)(완성제품)'!B83,'JUNE (물량흐름)'!$Y$13:$Y$488)</f>
        <v>0</v>
      </c>
      <c r="N83" s="58">
        <f t="shared" si="38"/>
        <v>0</v>
      </c>
      <c r="O83" s="58">
        <f>SUMIF('Direct labour(직접노무비)'!$C$12:$C$503,'In-out-bal products (155)(완성제품)'!B83,'Direct labour(직접노무비)'!$U$12:$U$503)+SUMIF('Overhead exp(제조경비)'!$C$12:$C$503,'In-out-bal products (155)(완성제품)'!B83,'Overhead exp(제조경비)'!$U$12:$U$503)</f>
        <v>0</v>
      </c>
      <c r="P83" s="60">
        <f t="shared" si="39"/>
        <v>0</v>
      </c>
      <c r="Q83" s="60">
        <f t="shared" si="40"/>
        <v>0</v>
      </c>
      <c r="R83" s="60">
        <f t="shared" si="41"/>
        <v>0</v>
      </c>
      <c r="S83" s="58">
        <v>0</v>
      </c>
      <c r="T83" s="58">
        <v>0</v>
      </c>
      <c r="U83" s="58">
        <v>0</v>
      </c>
      <c r="V83" s="58">
        <f>SUMIF('JUNE (물량흐름)'!$C$13:$C$493,'In-out-bal products (155)(완성제품)'!B83,'JUNE (물량흐름)'!$W$13:$W$493)</f>
        <v>0</v>
      </c>
      <c r="W83" s="58">
        <f t="shared" si="42"/>
        <v>0</v>
      </c>
      <c r="X83" s="58">
        <f t="shared" si="43"/>
        <v>0</v>
      </c>
      <c r="Y83" s="58">
        <f>SUMIF('JUNE (물량흐름)'!$C$13:$C$488,'In-out-bal products (155)(완성제품)'!B83,'JUNE (물량흐름)'!$X$13:$X$488)</f>
        <v>0</v>
      </c>
      <c r="Z83" s="58">
        <f t="shared" si="44"/>
        <v>0</v>
      </c>
      <c r="AA83" s="58">
        <f t="shared" si="45"/>
        <v>0</v>
      </c>
      <c r="AB83" s="58"/>
      <c r="AC83" s="58"/>
      <c r="AD83" s="61"/>
      <c r="AE83" s="58">
        <f t="shared" si="46"/>
        <v>0</v>
      </c>
      <c r="AF83" s="58">
        <f t="shared" si="47"/>
        <v>0</v>
      </c>
      <c r="AG83" s="61">
        <f t="shared" si="48"/>
        <v>0</v>
      </c>
      <c r="AH83" s="58">
        <v>0</v>
      </c>
      <c r="AI83" s="58">
        <v>0</v>
      </c>
      <c r="AJ83" s="61">
        <v>0</v>
      </c>
      <c r="AK83" s="58"/>
      <c r="AL83" s="58"/>
      <c r="AM83" s="61"/>
      <c r="AN83" s="61">
        <f t="shared" si="49"/>
        <v>0</v>
      </c>
      <c r="AO83" s="58">
        <f t="shared" si="50"/>
        <v>0</v>
      </c>
      <c r="AP83" s="61">
        <f t="shared" si="51"/>
        <v>0</v>
      </c>
      <c r="AQ83" s="58">
        <f t="shared" si="52"/>
        <v>0</v>
      </c>
      <c r="AR83" s="58">
        <f t="shared" si="53"/>
        <v>0</v>
      </c>
      <c r="AS83" s="58">
        <f t="shared" si="54"/>
        <v>0</v>
      </c>
      <c r="AT83" s="58">
        <f>ROUND(SUMIF('JUNE (물량흐름)'!$C$13:$C$502,'In-out-bal products (155)(완성제품)'!B83,'JUNE (물량흐름)'!$AB$13:$AB$502),0)</f>
        <v>0</v>
      </c>
      <c r="AU83" s="58">
        <f t="shared" si="55"/>
        <v>0</v>
      </c>
      <c r="AV83" s="58">
        <f>ROUND(SUMIF('JUNE (물량흐름)'!$C$13:$C$502,'In-out-bal products (155)(완성제품)'!B83,'JUNE (물량흐름)'!$AC$13:$AC$502),0)</f>
        <v>0</v>
      </c>
      <c r="AW83" s="58">
        <f t="shared" si="56"/>
        <v>0</v>
      </c>
      <c r="AX83" s="376">
        <f t="shared" si="57"/>
        <v>0</v>
      </c>
      <c r="AY83" s="377">
        <f t="shared" si="58"/>
        <v>0</v>
      </c>
      <c r="AZ83" s="377">
        <f t="shared" si="59"/>
        <v>0</v>
      </c>
      <c r="BA83" s="377">
        <f t="shared" si="60"/>
        <v>0</v>
      </c>
      <c r="BB83" s="377"/>
      <c r="BC83" s="377">
        <f t="shared" si="61"/>
        <v>0</v>
      </c>
      <c r="BD83" s="377">
        <f t="shared" si="62"/>
        <v>0</v>
      </c>
      <c r="BE83" s="377"/>
      <c r="BF83" s="377">
        <f t="shared" si="63"/>
        <v>0</v>
      </c>
      <c r="BG83" s="433">
        <f t="shared" si="64"/>
        <v>0</v>
      </c>
      <c r="BH83" s="434">
        <f t="shared" si="65"/>
        <v>0</v>
      </c>
    </row>
    <row r="84" spans="1:60" s="378" customFormat="1">
      <c r="A84" s="167">
        <v>73</v>
      </c>
      <c r="B84" s="253">
        <f>VLOOKUP(A84,'JUNE (물량흐름)'!$A$13:$C$493,3,0)</f>
        <v>100003592</v>
      </c>
      <c r="C84" s="57" t="str">
        <f>VLOOKUP(A84,'JUNE (물량흐름)'!$A$13:$C$493,2,0)</f>
        <v>ALFANI</v>
      </c>
      <c r="D84" s="58">
        <f>IFERROR(VLOOKUP(B84,O.B.JUNE!$V$7:$Y$448,2,0),0)</f>
        <v>0</v>
      </c>
      <c r="E84" s="58">
        <f>IFERROR(VLOOKUP(B84,O.B.JUNE!$V$7:$X$448,3,0),0)</f>
        <v>0</v>
      </c>
      <c r="F84" s="58">
        <f>IFERROR(VLOOKUP(B84,O.B.JUNE!$V$7:$Y$448,4,0),0)</f>
        <v>0</v>
      </c>
      <c r="G84" s="58">
        <f>SUMIF('JUNE (물량흐름)'!$C$13:$C$493,'In-out-bal products (155)(완성제품)'!B84,'JUNE (물량흐름)'!$V$13:$V$493)</f>
        <v>0</v>
      </c>
      <c r="H84" s="58">
        <f>SUMIF('JUNE (물량흐름)'!$C$13:$C$493,'In-out-bal products (155)(완성제품)'!B84,'JUNE (물량흐름)'!$T$13:$T$493)-SUMIF('JUNE (물량흐름)'!$C$13:$C$493,'In-out-bal products (155)(완성제품)'!B84,'JUNE (물량흐름)'!$Y$13:$Y$493)+SUMIF('JUNE (물량흐름)'!$C$13:$C$493,'In-out-bal products (155)(완성제품)'!B84,'JUNE (물량흐름)'!$U$13:$U$493)</f>
        <v>0</v>
      </c>
      <c r="I84" s="58">
        <f t="shared" si="36"/>
        <v>0</v>
      </c>
      <c r="J84" s="58">
        <f>SUMIF('Direct labour(직접노무비)'!$C$12:$C$503,'In-out-bal products (155)(완성제품)'!B84,'Direct labour(직접노무비)'!$Q$12:$Q$503)</f>
        <v>0</v>
      </c>
      <c r="K84" s="59">
        <f>SUMIF('Overhead exp(제조경비)'!$C$12:$C$503,'In-out-bal products (155)(완성제품)'!B84,'Overhead exp(제조경비)'!$Q$12:$Q$503)</f>
        <v>0</v>
      </c>
      <c r="L84" s="58">
        <f t="shared" si="37"/>
        <v>0</v>
      </c>
      <c r="M84" s="58">
        <f>SUMIF('JUNE (물량흐름)'!$C$13:$C$488,'In-out-bal products (155)(완성제품)'!B84,'JUNE (물량흐름)'!$Y$13:$Y$488)</f>
        <v>0</v>
      </c>
      <c r="N84" s="58">
        <f t="shared" si="38"/>
        <v>0</v>
      </c>
      <c r="O84" s="58">
        <f>SUMIF('Direct labour(직접노무비)'!$C$12:$C$503,'In-out-bal products (155)(완성제품)'!B84,'Direct labour(직접노무비)'!$U$12:$U$503)+SUMIF('Overhead exp(제조경비)'!$C$12:$C$503,'In-out-bal products (155)(완성제품)'!B84,'Overhead exp(제조경비)'!$U$12:$U$503)</f>
        <v>0</v>
      </c>
      <c r="P84" s="60">
        <f t="shared" si="39"/>
        <v>0</v>
      </c>
      <c r="Q84" s="60">
        <f t="shared" si="40"/>
        <v>0</v>
      </c>
      <c r="R84" s="60">
        <f t="shared" si="41"/>
        <v>0</v>
      </c>
      <c r="S84" s="58">
        <v>0</v>
      </c>
      <c r="T84" s="58">
        <v>0</v>
      </c>
      <c r="U84" s="58">
        <v>0</v>
      </c>
      <c r="V84" s="58">
        <f>SUMIF('JUNE (물량흐름)'!$C$13:$C$493,'In-out-bal products (155)(완성제품)'!B84,'JUNE (물량흐름)'!$W$13:$W$493)</f>
        <v>0</v>
      </c>
      <c r="W84" s="58">
        <f t="shared" si="42"/>
        <v>0</v>
      </c>
      <c r="X84" s="58">
        <f t="shared" si="43"/>
        <v>0</v>
      </c>
      <c r="Y84" s="58">
        <f>SUMIF('JUNE (물량흐름)'!$C$13:$C$488,'In-out-bal products (155)(완성제품)'!B84,'JUNE (물량흐름)'!$X$13:$X$488)</f>
        <v>0</v>
      </c>
      <c r="Z84" s="58">
        <f t="shared" si="44"/>
        <v>0</v>
      </c>
      <c r="AA84" s="58">
        <f t="shared" si="45"/>
        <v>0</v>
      </c>
      <c r="AB84" s="58"/>
      <c r="AC84" s="58"/>
      <c r="AD84" s="61"/>
      <c r="AE84" s="58">
        <f t="shared" si="46"/>
        <v>0</v>
      </c>
      <c r="AF84" s="58">
        <f t="shared" si="47"/>
        <v>0</v>
      </c>
      <c r="AG84" s="61">
        <f t="shared" si="48"/>
        <v>0</v>
      </c>
      <c r="AH84" s="58">
        <v>0</v>
      </c>
      <c r="AI84" s="58">
        <v>0</v>
      </c>
      <c r="AJ84" s="61">
        <v>0</v>
      </c>
      <c r="AK84" s="58"/>
      <c r="AL84" s="58"/>
      <c r="AM84" s="61"/>
      <c r="AN84" s="61">
        <f t="shared" si="49"/>
        <v>0</v>
      </c>
      <c r="AO84" s="58">
        <f t="shared" si="50"/>
        <v>0</v>
      </c>
      <c r="AP84" s="61">
        <f t="shared" si="51"/>
        <v>0</v>
      </c>
      <c r="AQ84" s="58">
        <f t="shared" si="52"/>
        <v>0</v>
      </c>
      <c r="AR84" s="58">
        <f t="shared" si="53"/>
        <v>0</v>
      </c>
      <c r="AS84" s="58">
        <f t="shared" si="54"/>
        <v>0</v>
      </c>
      <c r="AT84" s="58">
        <f>ROUND(SUMIF('JUNE (물량흐름)'!$C$13:$C$502,'In-out-bal products (155)(완성제품)'!B84,'JUNE (물량흐름)'!$AB$13:$AB$502),0)</f>
        <v>0</v>
      </c>
      <c r="AU84" s="58">
        <f t="shared" si="55"/>
        <v>0</v>
      </c>
      <c r="AV84" s="58">
        <f>ROUND(SUMIF('JUNE (물량흐름)'!$C$13:$C$502,'In-out-bal products (155)(완성제품)'!B84,'JUNE (물량흐름)'!$AC$13:$AC$502),0)</f>
        <v>0</v>
      </c>
      <c r="AW84" s="58">
        <f t="shared" si="56"/>
        <v>0</v>
      </c>
      <c r="AX84" s="376">
        <f t="shared" si="57"/>
        <v>0</v>
      </c>
      <c r="AY84" s="377">
        <f t="shared" si="58"/>
        <v>0</v>
      </c>
      <c r="AZ84" s="377">
        <f t="shared" si="59"/>
        <v>0</v>
      </c>
      <c r="BA84" s="377">
        <f t="shared" si="60"/>
        <v>0</v>
      </c>
      <c r="BB84" s="377"/>
      <c r="BC84" s="377">
        <f t="shared" si="61"/>
        <v>0</v>
      </c>
      <c r="BD84" s="377">
        <f t="shared" si="62"/>
        <v>0</v>
      </c>
      <c r="BE84" s="377"/>
      <c r="BF84" s="377">
        <f t="shared" si="63"/>
        <v>0</v>
      </c>
      <c r="BG84" s="433">
        <f t="shared" si="64"/>
        <v>0</v>
      </c>
      <c r="BH84" s="434">
        <f t="shared" si="65"/>
        <v>0</v>
      </c>
    </row>
    <row r="85" spans="1:60" s="378" customFormat="1">
      <c r="A85" s="167">
        <v>74</v>
      </c>
      <c r="B85" s="253">
        <f>VLOOKUP(A85,'JUNE (물량흐름)'!$A$13:$C$493,3,0)</f>
        <v>100004432</v>
      </c>
      <c r="C85" s="57" t="str">
        <f>VLOOKUP(A85,'JUNE (물량흐름)'!$A$13:$C$493,2,0)</f>
        <v>ALFANI</v>
      </c>
      <c r="D85" s="58">
        <f>IFERROR(VLOOKUP(B85,O.B.JUNE!$V$7:$Y$448,2,0),0)</f>
        <v>0</v>
      </c>
      <c r="E85" s="58">
        <f>IFERROR(VLOOKUP(B85,O.B.JUNE!$V$7:$X$448,3,0),0)</f>
        <v>0</v>
      </c>
      <c r="F85" s="58">
        <f>IFERROR(VLOOKUP(B85,O.B.JUNE!$V$7:$Y$448,4,0),0)</f>
        <v>0</v>
      </c>
      <c r="G85" s="58">
        <f>SUMIF('JUNE (물량흐름)'!$C$13:$C$493,'In-out-bal products (155)(완성제품)'!B85,'JUNE (물량흐름)'!$V$13:$V$493)</f>
        <v>0</v>
      </c>
      <c r="H85" s="58">
        <f>SUMIF('JUNE (물량흐름)'!$C$13:$C$493,'In-out-bal products (155)(완성제품)'!B85,'JUNE (물량흐름)'!$T$13:$T$493)-SUMIF('JUNE (물량흐름)'!$C$13:$C$493,'In-out-bal products (155)(완성제품)'!B85,'JUNE (물량흐름)'!$Y$13:$Y$493)+SUMIF('JUNE (물량흐름)'!$C$13:$C$493,'In-out-bal products (155)(완성제품)'!B85,'JUNE (물량흐름)'!$U$13:$U$493)</f>
        <v>0</v>
      </c>
      <c r="I85" s="58">
        <f t="shared" si="36"/>
        <v>0</v>
      </c>
      <c r="J85" s="58">
        <f>SUMIF('Direct labour(직접노무비)'!$C$12:$C$503,'In-out-bal products (155)(완성제품)'!B85,'Direct labour(직접노무비)'!$Q$12:$Q$503)</f>
        <v>0</v>
      </c>
      <c r="K85" s="59">
        <f>SUMIF('Overhead exp(제조경비)'!$C$12:$C$503,'In-out-bal products (155)(완성제품)'!B85,'Overhead exp(제조경비)'!$Q$12:$Q$503)</f>
        <v>0</v>
      </c>
      <c r="L85" s="58">
        <f t="shared" si="37"/>
        <v>0</v>
      </c>
      <c r="M85" s="58">
        <f>SUMIF('JUNE (물량흐름)'!$C$13:$C$488,'In-out-bal products (155)(완성제품)'!B85,'JUNE (물량흐름)'!$Y$13:$Y$488)</f>
        <v>0</v>
      </c>
      <c r="N85" s="58">
        <f t="shared" si="38"/>
        <v>0</v>
      </c>
      <c r="O85" s="58">
        <f>SUMIF('Direct labour(직접노무비)'!$C$12:$C$503,'In-out-bal products (155)(완성제품)'!B85,'Direct labour(직접노무비)'!$U$12:$U$503)+SUMIF('Overhead exp(제조경비)'!$C$12:$C$503,'In-out-bal products (155)(완성제품)'!B85,'Overhead exp(제조경비)'!$U$12:$U$503)</f>
        <v>0</v>
      </c>
      <c r="P85" s="60">
        <f t="shared" si="39"/>
        <v>0</v>
      </c>
      <c r="Q85" s="60">
        <f t="shared" si="40"/>
        <v>0</v>
      </c>
      <c r="R85" s="60">
        <f t="shared" si="41"/>
        <v>0</v>
      </c>
      <c r="S85" s="58">
        <v>0</v>
      </c>
      <c r="T85" s="58">
        <v>0</v>
      </c>
      <c r="U85" s="58">
        <v>0</v>
      </c>
      <c r="V85" s="58">
        <f>SUMIF('JUNE (물량흐름)'!$C$13:$C$493,'In-out-bal products (155)(완성제품)'!B85,'JUNE (물량흐름)'!$W$13:$W$493)</f>
        <v>0</v>
      </c>
      <c r="W85" s="58">
        <f t="shared" si="42"/>
        <v>0</v>
      </c>
      <c r="X85" s="58">
        <f t="shared" si="43"/>
        <v>0</v>
      </c>
      <c r="Y85" s="58">
        <f>SUMIF('JUNE (물량흐름)'!$C$13:$C$488,'In-out-bal products (155)(완성제품)'!B85,'JUNE (물량흐름)'!$X$13:$X$488)</f>
        <v>0</v>
      </c>
      <c r="Z85" s="58">
        <f t="shared" si="44"/>
        <v>0</v>
      </c>
      <c r="AA85" s="58">
        <f t="shared" si="45"/>
        <v>0</v>
      </c>
      <c r="AB85" s="58"/>
      <c r="AC85" s="58"/>
      <c r="AD85" s="61"/>
      <c r="AE85" s="58">
        <f t="shared" si="46"/>
        <v>0</v>
      </c>
      <c r="AF85" s="58">
        <f t="shared" si="47"/>
        <v>0</v>
      </c>
      <c r="AG85" s="61">
        <f t="shared" si="48"/>
        <v>0</v>
      </c>
      <c r="AH85" s="58">
        <v>0</v>
      </c>
      <c r="AI85" s="58">
        <v>0</v>
      </c>
      <c r="AJ85" s="61">
        <v>0</v>
      </c>
      <c r="AK85" s="58"/>
      <c r="AL85" s="58"/>
      <c r="AM85" s="61"/>
      <c r="AN85" s="61">
        <f t="shared" si="49"/>
        <v>0</v>
      </c>
      <c r="AO85" s="58">
        <f t="shared" si="50"/>
        <v>0</v>
      </c>
      <c r="AP85" s="61">
        <f t="shared" si="51"/>
        <v>0</v>
      </c>
      <c r="AQ85" s="58">
        <f t="shared" si="52"/>
        <v>0</v>
      </c>
      <c r="AR85" s="58">
        <f t="shared" si="53"/>
        <v>0</v>
      </c>
      <c r="AS85" s="58">
        <f t="shared" si="54"/>
        <v>0</v>
      </c>
      <c r="AT85" s="58">
        <f>ROUND(SUMIF('JUNE (물량흐름)'!$C$13:$C$502,'In-out-bal products (155)(완성제품)'!B85,'JUNE (물량흐름)'!$AB$13:$AB$502),0)</f>
        <v>0</v>
      </c>
      <c r="AU85" s="58">
        <f t="shared" si="55"/>
        <v>0</v>
      </c>
      <c r="AV85" s="58">
        <f>ROUND(SUMIF('JUNE (물량흐름)'!$C$13:$C$502,'In-out-bal products (155)(완성제품)'!B85,'JUNE (물량흐름)'!$AC$13:$AC$502),0)</f>
        <v>0</v>
      </c>
      <c r="AW85" s="58">
        <f t="shared" si="56"/>
        <v>0</v>
      </c>
      <c r="AX85" s="376">
        <f t="shared" si="57"/>
        <v>0</v>
      </c>
      <c r="AY85" s="377">
        <f t="shared" si="58"/>
        <v>0</v>
      </c>
      <c r="AZ85" s="377">
        <f t="shared" si="59"/>
        <v>0</v>
      </c>
      <c r="BA85" s="377">
        <f t="shared" si="60"/>
        <v>0</v>
      </c>
      <c r="BB85" s="377"/>
      <c r="BC85" s="377">
        <f t="shared" si="61"/>
        <v>0</v>
      </c>
      <c r="BD85" s="377">
        <f t="shared" si="62"/>
        <v>0</v>
      </c>
      <c r="BE85" s="377"/>
      <c r="BF85" s="377">
        <f t="shared" si="63"/>
        <v>0</v>
      </c>
      <c r="BG85" s="433">
        <f t="shared" si="64"/>
        <v>0</v>
      </c>
      <c r="BH85" s="434">
        <f t="shared" si="65"/>
        <v>0</v>
      </c>
    </row>
    <row r="86" spans="1:60" s="378" customFormat="1">
      <c r="A86" s="167">
        <v>75</v>
      </c>
      <c r="B86" s="253">
        <f>VLOOKUP(A86,'JUNE (물량흐름)'!$A$13:$C$493,3,0)</f>
        <v>100008196</v>
      </c>
      <c r="C86" s="57" t="str">
        <f>VLOOKUP(A86,'JUNE (물량흐름)'!$A$13:$C$493,2,0)</f>
        <v>ALFANI</v>
      </c>
      <c r="D86" s="58">
        <f>IFERROR(VLOOKUP(B86,O.B.JUNE!$V$7:$Y$448,2,0),0)</f>
        <v>0</v>
      </c>
      <c r="E86" s="58">
        <f>IFERROR(VLOOKUP(B86,O.B.JUNE!$V$7:$X$448,3,0),0)</f>
        <v>0</v>
      </c>
      <c r="F86" s="58">
        <f>IFERROR(VLOOKUP(B86,O.B.JUNE!$V$7:$Y$448,4,0),0)</f>
        <v>0</v>
      </c>
      <c r="G86" s="58">
        <f>SUMIF('JUNE (물량흐름)'!$C$13:$C$493,'In-out-bal products (155)(완성제품)'!B86,'JUNE (물량흐름)'!$V$13:$V$493)</f>
        <v>0</v>
      </c>
      <c r="H86" s="58">
        <f>SUMIF('JUNE (물량흐름)'!$C$13:$C$493,'In-out-bal products (155)(완성제품)'!B86,'JUNE (물량흐름)'!$T$13:$T$493)-SUMIF('JUNE (물량흐름)'!$C$13:$C$493,'In-out-bal products (155)(완성제품)'!B86,'JUNE (물량흐름)'!$Y$13:$Y$493)+SUMIF('JUNE (물량흐름)'!$C$13:$C$493,'In-out-bal products (155)(완성제품)'!B86,'JUNE (물량흐름)'!$U$13:$U$493)</f>
        <v>0</v>
      </c>
      <c r="I86" s="58">
        <f t="shared" si="36"/>
        <v>0</v>
      </c>
      <c r="J86" s="58">
        <f>SUMIF('Direct labour(직접노무비)'!$C$12:$C$503,'In-out-bal products (155)(완성제품)'!B86,'Direct labour(직접노무비)'!$Q$12:$Q$503)</f>
        <v>0</v>
      </c>
      <c r="K86" s="59">
        <f>SUMIF('Overhead exp(제조경비)'!$C$12:$C$503,'In-out-bal products (155)(완성제품)'!B86,'Overhead exp(제조경비)'!$Q$12:$Q$503)</f>
        <v>0</v>
      </c>
      <c r="L86" s="58">
        <f t="shared" si="37"/>
        <v>0</v>
      </c>
      <c r="M86" s="58">
        <f>SUMIF('JUNE (물량흐름)'!$C$13:$C$488,'In-out-bal products (155)(완성제품)'!B86,'JUNE (물량흐름)'!$Y$13:$Y$488)</f>
        <v>0</v>
      </c>
      <c r="N86" s="58">
        <f t="shared" si="38"/>
        <v>0</v>
      </c>
      <c r="O86" s="58">
        <f>SUMIF('Direct labour(직접노무비)'!$C$12:$C$503,'In-out-bal products (155)(완성제품)'!B86,'Direct labour(직접노무비)'!$U$12:$U$503)+SUMIF('Overhead exp(제조경비)'!$C$12:$C$503,'In-out-bal products (155)(완성제품)'!B86,'Overhead exp(제조경비)'!$U$12:$U$503)</f>
        <v>0</v>
      </c>
      <c r="P86" s="60">
        <f t="shared" si="39"/>
        <v>0</v>
      </c>
      <c r="Q86" s="60">
        <f t="shared" si="40"/>
        <v>0</v>
      </c>
      <c r="R86" s="60">
        <f t="shared" si="41"/>
        <v>0</v>
      </c>
      <c r="S86" s="58">
        <v>0</v>
      </c>
      <c r="T86" s="58">
        <v>0</v>
      </c>
      <c r="U86" s="58">
        <v>0</v>
      </c>
      <c r="V86" s="58">
        <f>SUMIF('JUNE (물량흐름)'!$C$13:$C$493,'In-out-bal products (155)(완성제품)'!B86,'JUNE (물량흐름)'!$W$13:$W$493)</f>
        <v>0</v>
      </c>
      <c r="W86" s="58">
        <f t="shared" si="42"/>
        <v>0</v>
      </c>
      <c r="X86" s="58">
        <f t="shared" si="43"/>
        <v>0</v>
      </c>
      <c r="Y86" s="58">
        <f>SUMIF('JUNE (물량흐름)'!$C$13:$C$488,'In-out-bal products (155)(완성제품)'!B86,'JUNE (물량흐름)'!$X$13:$X$488)</f>
        <v>0</v>
      </c>
      <c r="Z86" s="58">
        <f t="shared" si="44"/>
        <v>0</v>
      </c>
      <c r="AA86" s="58">
        <f t="shared" si="45"/>
        <v>0</v>
      </c>
      <c r="AB86" s="58"/>
      <c r="AC86" s="58"/>
      <c r="AD86" s="61"/>
      <c r="AE86" s="58">
        <f t="shared" si="46"/>
        <v>0</v>
      </c>
      <c r="AF86" s="58">
        <f t="shared" si="47"/>
        <v>0</v>
      </c>
      <c r="AG86" s="61">
        <f t="shared" si="48"/>
        <v>0</v>
      </c>
      <c r="AH86" s="58">
        <v>0</v>
      </c>
      <c r="AI86" s="58">
        <v>0</v>
      </c>
      <c r="AJ86" s="61">
        <v>0</v>
      </c>
      <c r="AK86" s="58"/>
      <c r="AL86" s="58"/>
      <c r="AM86" s="61"/>
      <c r="AN86" s="61">
        <f t="shared" si="49"/>
        <v>0</v>
      </c>
      <c r="AO86" s="58">
        <f t="shared" si="50"/>
        <v>0</v>
      </c>
      <c r="AP86" s="61">
        <f t="shared" si="51"/>
        <v>0</v>
      </c>
      <c r="AQ86" s="58">
        <f t="shared" si="52"/>
        <v>0</v>
      </c>
      <c r="AR86" s="58">
        <f t="shared" si="53"/>
        <v>0</v>
      </c>
      <c r="AS86" s="58">
        <f t="shared" si="54"/>
        <v>0</v>
      </c>
      <c r="AT86" s="58">
        <f>ROUND(SUMIF('JUNE (물량흐름)'!$C$13:$C$502,'In-out-bal products (155)(완성제품)'!B86,'JUNE (물량흐름)'!$AB$13:$AB$502),0)</f>
        <v>0</v>
      </c>
      <c r="AU86" s="58">
        <f t="shared" si="55"/>
        <v>0</v>
      </c>
      <c r="AV86" s="58">
        <f>ROUND(SUMIF('JUNE (물량흐름)'!$C$13:$C$502,'In-out-bal products (155)(완성제품)'!B86,'JUNE (물량흐름)'!$AC$13:$AC$502),0)</f>
        <v>0</v>
      </c>
      <c r="AW86" s="58">
        <f t="shared" si="56"/>
        <v>0</v>
      </c>
      <c r="AX86" s="376">
        <f t="shared" si="57"/>
        <v>0</v>
      </c>
      <c r="AY86" s="377">
        <f t="shared" si="58"/>
        <v>0</v>
      </c>
      <c r="AZ86" s="377">
        <f t="shared" si="59"/>
        <v>0</v>
      </c>
      <c r="BA86" s="377">
        <f t="shared" si="60"/>
        <v>0</v>
      </c>
      <c r="BB86" s="377"/>
      <c r="BC86" s="377">
        <f t="shared" si="61"/>
        <v>0</v>
      </c>
      <c r="BD86" s="377">
        <f t="shared" si="62"/>
        <v>0</v>
      </c>
      <c r="BE86" s="377"/>
      <c r="BF86" s="377">
        <f t="shared" si="63"/>
        <v>0</v>
      </c>
      <c r="BG86" s="433">
        <f t="shared" si="64"/>
        <v>0</v>
      </c>
      <c r="BH86" s="434">
        <f t="shared" si="65"/>
        <v>0</v>
      </c>
    </row>
    <row r="87" spans="1:60" s="378" customFormat="1">
      <c r="A87" s="167">
        <v>76</v>
      </c>
      <c r="B87" s="253">
        <f>VLOOKUP(A87,'JUNE (물량흐름)'!$A$13:$C$493,3,0)</f>
        <v>100008212</v>
      </c>
      <c r="C87" s="57" t="str">
        <f>VLOOKUP(A87,'JUNE (물량흐름)'!$A$13:$C$493,2,0)</f>
        <v>ALFANI</v>
      </c>
      <c r="D87" s="58">
        <f>IFERROR(VLOOKUP(B87,O.B.JUNE!$V$7:$Y$448,2,0),0)</f>
        <v>0</v>
      </c>
      <c r="E87" s="58">
        <f>IFERROR(VLOOKUP(B87,O.B.JUNE!$V$7:$X$448,3,0),0)</f>
        <v>0</v>
      </c>
      <c r="F87" s="58">
        <f>IFERROR(VLOOKUP(B87,O.B.JUNE!$V$7:$Y$448,4,0),0)</f>
        <v>0</v>
      </c>
      <c r="G87" s="58">
        <f>SUMIF('JUNE (물량흐름)'!$C$13:$C$493,'In-out-bal products (155)(완성제품)'!B87,'JUNE (물량흐름)'!$V$13:$V$493)</f>
        <v>0</v>
      </c>
      <c r="H87" s="58">
        <f>SUMIF('JUNE (물량흐름)'!$C$13:$C$493,'In-out-bal products (155)(완성제품)'!B87,'JUNE (물량흐름)'!$T$13:$T$493)-SUMIF('JUNE (물량흐름)'!$C$13:$C$493,'In-out-bal products (155)(완성제품)'!B87,'JUNE (물량흐름)'!$Y$13:$Y$493)+SUMIF('JUNE (물량흐름)'!$C$13:$C$493,'In-out-bal products (155)(완성제품)'!B87,'JUNE (물량흐름)'!$U$13:$U$493)</f>
        <v>0</v>
      </c>
      <c r="I87" s="58">
        <f t="shared" si="36"/>
        <v>0</v>
      </c>
      <c r="J87" s="58">
        <f>SUMIF('Direct labour(직접노무비)'!$C$12:$C$503,'In-out-bal products (155)(완성제품)'!B87,'Direct labour(직접노무비)'!$Q$12:$Q$503)</f>
        <v>0</v>
      </c>
      <c r="K87" s="59">
        <f>SUMIF('Overhead exp(제조경비)'!$C$12:$C$503,'In-out-bal products (155)(완성제품)'!B87,'Overhead exp(제조경비)'!$Q$12:$Q$503)</f>
        <v>0</v>
      </c>
      <c r="L87" s="58">
        <f t="shared" si="37"/>
        <v>0</v>
      </c>
      <c r="M87" s="58">
        <f>SUMIF('JUNE (물량흐름)'!$C$13:$C$488,'In-out-bal products (155)(완성제품)'!B87,'JUNE (물량흐름)'!$Y$13:$Y$488)</f>
        <v>0</v>
      </c>
      <c r="N87" s="58">
        <f t="shared" si="38"/>
        <v>0</v>
      </c>
      <c r="O87" s="58">
        <f>SUMIF('Direct labour(직접노무비)'!$C$12:$C$503,'In-out-bal products (155)(완성제품)'!B87,'Direct labour(직접노무비)'!$U$12:$U$503)+SUMIF('Overhead exp(제조경비)'!$C$12:$C$503,'In-out-bal products (155)(완성제품)'!B87,'Overhead exp(제조경비)'!$U$12:$U$503)</f>
        <v>0</v>
      </c>
      <c r="P87" s="60">
        <f t="shared" si="39"/>
        <v>0</v>
      </c>
      <c r="Q87" s="60">
        <f t="shared" si="40"/>
        <v>0</v>
      </c>
      <c r="R87" s="60">
        <f t="shared" si="41"/>
        <v>0</v>
      </c>
      <c r="S87" s="58">
        <v>0</v>
      </c>
      <c r="T87" s="58">
        <v>0</v>
      </c>
      <c r="U87" s="58">
        <v>0</v>
      </c>
      <c r="V87" s="58">
        <f>SUMIF('JUNE (물량흐름)'!$C$13:$C$493,'In-out-bal products (155)(완성제품)'!B87,'JUNE (물량흐름)'!$W$13:$W$493)</f>
        <v>0</v>
      </c>
      <c r="W87" s="58">
        <f t="shared" si="42"/>
        <v>0</v>
      </c>
      <c r="X87" s="58">
        <f t="shared" si="43"/>
        <v>0</v>
      </c>
      <c r="Y87" s="58">
        <f>SUMIF('JUNE (물량흐름)'!$C$13:$C$488,'In-out-bal products (155)(완성제품)'!B87,'JUNE (물량흐름)'!$X$13:$X$488)</f>
        <v>0</v>
      </c>
      <c r="Z87" s="58">
        <f t="shared" si="44"/>
        <v>0</v>
      </c>
      <c r="AA87" s="58">
        <f t="shared" si="45"/>
        <v>0</v>
      </c>
      <c r="AB87" s="58"/>
      <c r="AC87" s="58"/>
      <c r="AD87" s="61"/>
      <c r="AE87" s="58">
        <f t="shared" si="46"/>
        <v>0</v>
      </c>
      <c r="AF87" s="58">
        <f t="shared" si="47"/>
        <v>0</v>
      </c>
      <c r="AG87" s="61">
        <f t="shared" si="48"/>
        <v>0</v>
      </c>
      <c r="AH87" s="58">
        <v>0</v>
      </c>
      <c r="AI87" s="58">
        <v>0</v>
      </c>
      <c r="AJ87" s="61">
        <v>0</v>
      </c>
      <c r="AK87" s="58"/>
      <c r="AL87" s="58"/>
      <c r="AM87" s="61"/>
      <c r="AN87" s="61">
        <f t="shared" si="49"/>
        <v>0</v>
      </c>
      <c r="AO87" s="58">
        <f t="shared" si="50"/>
        <v>0</v>
      </c>
      <c r="AP87" s="61">
        <f t="shared" si="51"/>
        <v>0</v>
      </c>
      <c r="AQ87" s="58">
        <f t="shared" si="52"/>
        <v>0</v>
      </c>
      <c r="AR87" s="58">
        <f t="shared" si="53"/>
        <v>0</v>
      </c>
      <c r="AS87" s="58">
        <f t="shared" si="54"/>
        <v>0</v>
      </c>
      <c r="AT87" s="58">
        <f>ROUND(SUMIF('JUNE (물량흐름)'!$C$13:$C$502,'In-out-bal products (155)(완성제품)'!B87,'JUNE (물량흐름)'!$AB$13:$AB$502),0)</f>
        <v>0</v>
      </c>
      <c r="AU87" s="58">
        <f t="shared" si="55"/>
        <v>0</v>
      </c>
      <c r="AV87" s="58">
        <f>ROUND(SUMIF('JUNE (물량흐름)'!$C$13:$C$502,'In-out-bal products (155)(완성제품)'!B87,'JUNE (물량흐름)'!$AC$13:$AC$502),0)</f>
        <v>0</v>
      </c>
      <c r="AW87" s="58">
        <f t="shared" si="56"/>
        <v>0</v>
      </c>
      <c r="AX87" s="376">
        <f t="shared" si="57"/>
        <v>0</v>
      </c>
      <c r="AY87" s="377">
        <f t="shared" si="58"/>
        <v>0</v>
      </c>
      <c r="AZ87" s="377">
        <f t="shared" si="59"/>
        <v>0</v>
      </c>
      <c r="BA87" s="377">
        <f t="shared" si="60"/>
        <v>0</v>
      </c>
      <c r="BB87" s="377"/>
      <c r="BC87" s="377">
        <f t="shared" si="61"/>
        <v>0</v>
      </c>
      <c r="BD87" s="377">
        <f t="shared" si="62"/>
        <v>0</v>
      </c>
      <c r="BE87" s="377"/>
      <c r="BF87" s="377">
        <f t="shared" si="63"/>
        <v>0</v>
      </c>
      <c r="BG87" s="433">
        <f t="shared" si="64"/>
        <v>0</v>
      </c>
      <c r="BH87" s="434">
        <f t="shared" si="65"/>
        <v>0</v>
      </c>
    </row>
    <row r="88" spans="1:60" s="378" customFormat="1">
      <c r="A88" s="167">
        <v>77</v>
      </c>
      <c r="B88" s="253">
        <f>VLOOKUP(A88,'JUNE (물량흐름)'!$A$13:$C$493,3,0)</f>
        <v>100008214</v>
      </c>
      <c r="C88" s="57" t="str">
        <f>VLOOKUP(A88,'JUNE (물량흐름)'!$A$13:$C$493,2,0)</f>
        <v>ALFANI</v>
      </c>
      <c r="D88" s="58">
        <f>IFERROR(VLOOKUP(B88,O.B.JUNE!$V$7:$Y$448,2,0),0)</f>
        <v>0</v>
      </c>
      <c r="E88" s="58">
        <f>IFERROR(VLOOKUP(B88,O.B.JUNE!$V$7:$X$448,3,0),0)</f>
        <v>0</v>
      </c>
      <c r="F88" s="58">
        <f>IFERROR(VLOOKUP(B88,O.B.JUNE!$V$7:$Y$448,4,0),0)</f>
        <v>0</v>
      </c>
      <c r="G88" s="58">
        <f>SUMIF('JUNE (물량흐름)'!$C$13:$C$493,'In-out-bal products (155)(완성제품)'!B88,'JUNE (물량흐름)'!$V$13:$V$493)</f>
        <v>0</v>
      </c>
      <c r="H88" s="58">
        <f>SUMIF('JUNE (물량흐름)'!$C$13:$C$493,'In-out-bal products (155)(완성제품)'!B88,'JUNE (물량흐름)'!$T$13:$T$493)-SUMIF('JUNE (물량흐름)'!$C$13:$C$493,'In-out-bal products (155)(완성제품)'!B88,'JUNE (물량흐름)'!$Y$13:$Y$493)+SUMIF('JUNE (물량흐름)'!$C$13:$C$493,'In-out-bal products (155)(완성제품)'!B88,'JUNE (물량흐름)'!$U$13:$U$493)</f>
        <v>0</v>
      </c>
      <c r="I88" s="58">
        <f t="shared" si="36"/>
        <v>0</v>
      </c>
      <c r="J88" s="58">
        <f>SUMIF('Direct labour(직접노무비)'!$C$12:$C$503,'In-out-bal products (155)(완성제품)'!B88,'Direct labour(직접노무비)'!$Q$12:$Q$503)</f>
        <v>0</v>
      </c>
      <c r="K88" s="59">
        <f>SUMIF('Overhead exp(제조경비)'!$C$12:$C$503,'In-out-bal products (155)(완성제품)'!B88,'Overhead exp(제조경비)'!$Q$12:$Q$503)</f>
        <v>0</v>
      </c>
      <c r="L88" s="58">
        <f t="shared" si="37"/>
        <v>0</v>
      </c>
      <c r="M88" s="58">
        <f>SUMIF('JUNE (물량흐름)'!$C$13:$C$488,'In-out-bal products (155)(완성제품)'!B88,'JUNE (물량흐름)'!$Y$13:$Y$488)</f>
        <v>0</v>
      </c>
      <c r="N88" s="58">
        <f t="shared" si="38"/>
        <v>0</v>
      </c>
      <c r="O88" s="58">
        <f>SUMIF('Direct labour(직접노무비)'!$C$12:$C$503,'In-out-bal products (155)(완성제품)'!B88,'Direct labour(직접노무비)'!$U$12:$U$503)+SUMIF('Overhead exp(제조경비)'!$C$12:$C$503,'In-out-bal products (155)(완성제품)'!B88,'Overhead exp(제조경비)'!$U$12:$U$503)</f>
        <v>0</v>
      </c>
      <c r="P88" s="60">
        <f t="shared" si="39"/>
        <v>0</v>
      </c>
      <c r="Q88" s="60">
        <f t="shared" si="40"/>
        <v>0</v>
      </c>
      <c r="R88" s="60">
        <f t="shared" si="41"/>
        <v>0</v>
      </c>
      <c r="S88" s="58">
        <v>0</v>
      </c>
      <c r="T88" s="58">
        <v>0</v>
      </c>
      <c r="U88" s="58">
        <v>0</v>
      </c>
      <c r="V88" s="58">
        <f>SUMIF('JUNE (물량흐름)'!$C$13:$C$493,'In-out-bal products (155)(완성제품)'!B88,'JUNE (물량흐름)'!$W$13:$W$493)</f>
        <v>0</v>
      </c>
      <c r="W88" s="58">
        <f t="shared" si="42"/>
        <v>0</v>
      </c>
      <c r="X88" s="58">
        <f t="shared" si="43"/>
        <v>0</v>
      </c>
      <c r="Y88" s="58">
        <f>SUMIF('JUNE (물량흐름)'!$C$13:$C$488,'In-out-bal products (155)(완성제품)'!B88,'JUNE (물량흐름)'!$X$13:$X$488)</f>
        <v>0</v>
      </c>
      <c r="Z88" s="58">
        <f t="shared" si="44"/>
        <v>0</v>
      </c>
      <c r="AA88" s="58">
        <f t="shared" si="45"/>
        <v>0</v>
      </c>
      <c r="AB88" s="58"/>
      <c r="AC88" s="58"/>
      <c r="AD88" s="61"/>
      <c r="AE88" s="58">
        <f t="shared" si="46"/>
        <v>0</v>
      </c>
      <c r="AF88" s="58">
        <f t="shared" si="47"/>
        <v>0</v>
      </c>
      <c r="AG88" s="61">
        <f t="shared" si="48"/>
        <v>0</v>
      </c>
      <c r="AH88" s="58">
        <v>0</v>
      </c>
      <c r="AI88" s="58">
        <v>0</v>
      </c>
      <c r="AJ88" s="61">
        <v>0</v>
      </c>
      <c r="AK88" s="58"/>
      <c r="AL88" s="58"/>
      <c r="AM88" s="61"/>
      <c r="AN88" s="61">
        <f t="shared" si="49"/>
        <v>0</v>
      </c>
      <c r="AO88" s="58">
        <f t="shared" si="50"/>
        <v>0</v>
      </c>
      <c r="AP88" s="61">
        <f t="shared" si="51"/>
        <v>0</v>
      </c>
      <c r="AQ88" s="58">
        <f t="shared" si="52"/>
        <v>0</v>
      </c>
      <c r="AR88" s="58">
        <f t="shared" si="53"/>
        <v>0</v>
      </c>
      <c r="AS88" s="58">
        <f t="shared" si="54"/>
        <v>0</v>
      </c>
      <c r="AT88" s="58">
        <f>ROUND(SUMIF('JUNE (물량흐름)'!$C$13:$C$502,'In-out-bal products (155)(완성제품)'!B88,'JUNE (물량흐름)'!$AB$13:$AB$502),0)</f>
        <v>0</v>
      </c>
      <c r="AU88" s="58">
        <f t="shared" si="55"/>
        <v>0</v>
      </c>
      <c r="AV88" s="58">
        <f>ROUND(SUMIF('JUNE (물량흐름)'!$C$13:$C$502,'In-out-bal products (155)(완성제품)'!B88,'JUNE (물량흐름)'!$AC$13:$AC$502),0)</f>
        <v>0</v>
      </c>
      <c r="AW88" s="58">
        <f t="shared" si="56"/>
        <v>0</v>
      </c>
      <c r="AX88" s="376">
        <f t="shared" si="57"/>
        <v>0</v>
      </c>
      <c r="AY88" s="377">
        <f t="shared" si="58"/>
        <v>0</v>
      </c>
      <c r="AZ88" s="377">
        <f t="shared" si="59"/>
        <v>0</v>
      </c>
      <c r="BA88" s="377">
        <f t="shared" si="60"/>
        <v>0</v>
      </c>
      <c r="BB88" s="377"/>
      <c r="BC88" s="377">
        <f t="shared" si="61"/>
        <v>0</v>
      </c>
      <c r="BD88" s="377">
        <f t="shared" si="62"/>
        <v>0</v>
      </c>
      <c r="BE88" s="377"/>
      <c r="BF88" s="377">
        <f t="shared" si="63"/>
        <v>0</v>
      </c>
      <c r="BG88" s="433">
        <f t="shared" si="64"/>
        <v>0</v>
      </c>
      <c r="BH88" s="434">
        <f t="shared" si="65"/>
        <v>0</v>
      </c>
    </row>
    <row r="89" spans="1:60" s="378" customFormat="1">
      <c r="A89" s="167">
        <v>78</v>
      </c>
      <c r="B89" s="253">
        <f>VLOOKUP(A89,'JUNE (물량흐름)'!$A$13:$C$493,3,0)</f>
        <v>100008216</v>
      </c>
      <c r="C89" s="57" t="str">
        <f>VLOOKUP(A89,'JUNE (물량흐름)'!$A$13:$C$493,2,0)</f>
        <v>ALFANI</v>
      </c>
      <c r="D89" s="58">
        <f>IFERROR(VLOOKUP(B89,O.B.JUNE!$V$7:$Y$448,2,0),0)</f>
        <v>0</v>
      </c>
      <c r="E89" s="58">
        <f>IFERROR(VLOOKUP(B89,O.B.JUNE!$V$7:$X$448,3,0),0)</f>
        <v>0</v>
      </c>
      <c r="F89" s="58">
        <f>IFERROR(VLOOKUP(B89,O.B.JUNE!$V$7:$Y$448,4,0),0)</f>
        <v>0</v>
      </c>
      <c r="G89" s="58">
        <f>SUMIF('JUNE (물량흐름)'!$C$13:$C$493,'In-out-bal products (155)(완성제품)'!B89,'JUNE (물량흐름)'!$V$13:$V$493)</f>
        <v>0</v>
      </c>
      <c r="H89" s="58">
        <f>SUMIF('JUNE (물량흐름)'!$C$13:$C$493,'In-out-bal products (155)(완성제품)'!B89,'JUNE (물량흐름)'!$T$13:$T$493)-SUMIF('JUNE (물량흐름)'!$C$13:$C$493,'In-out-bal products (155)(완성제품)'!B89,'JUNE (물량흐름)'!$Y$13:$Y$493)+SUMIF('JUNE (물량흐름)'!$C$13:$C$493,'In-out-bal products (155)(완성제품)'!B89,'JUNE (물량흐름)'!$U$13:$U$493)</f>
        <v>0</v>
      </c>
      <c r="I89" s="58">
        <f t="shared" si="36"/>
        <v>0</v>
      </c>
      <c r="J89" s="58">
        <f>SUMIF('Direct labour(직접노무비)'!$C$12:$C$503,'In-out-bal products (155)(완성제품)'!B89,'Direct labour(직접노무비)'!$Q$12:$Q$503)</f>
        <v>0</v>
      </c>
      <c r="K89" s="59">
        <f>SUMIF('Overhead exp(제조경비)'!$C$12:$C$503,'In-out-bal products (155)(완성제품)'!B89,'Overhead exp(제조경비)'!$Q$12:$Q$503)</f>
        <v>0</v>
      </c>
      <c r="L89" s="58">
        <f t="shared" si="37"/>
        <v>0</v>
      </c>
      <c r="M89" s="58">
        <f>SUMIF('JUNE (물량흐름)'!$C$13:$C$488,'In-out-bal products (155)(완성제품)'!B89,'JUNE (물량흐름)'!$Y$13:$Y$488)</f>
        <v>0</v>
      </c>
      <c r="N89" s="58">
        <f t="shared" si="38"/>
        <v>0</v>
      </c>
      <c r="O89" s="58">
        <f>SUMIF('Direct labour(직접노무비)'!$C$12:$C$503,'In-out-bal products (155)(완성제품)'!B89,'Direct labour(직접노무비)'!$U$12:$U$503)+SUMIF('Overhead exp(제조경비)'!$C$12:$C$503,'In-out-bal products (155)(완성제품)'!B89,'Overhead exp(제조경비)'!$U$12:$U$503)</f>
        <v>0</v>
      </c>
      <c r="P89" s="60">
        <f t="shared" si="39"/>
        <v>0</v>
      </c>
      <c r="Q89" s="60">
        <f t="shared" si="40"/>
        <v>0</v>
      </c>
      <c r="R89" s="60">
        <f t="shared" si="41"/>
        <v>0</v>
      </c>
      <c r="S89" s="58">
        <v>0</v>
      </c>
      <c r="T89" s="58">
        <v>0</v>
      </c>
      <c r="U89" s="58">
        <v>0</v>
      </c>
      <c r="V89" s="58">
        <f>SUMIF('JUNE (물량흐름)'!$C$13:$C$493,'In-out-bal products (155)(완성제품)'!B89,'JUNE (물량흐름)'!$W$13:$W$493)</f>
        <v>0</v>
      </c>
      <c r="W89" s="58">
        <f t="shared" si="42"/>
        <v>0</v>
      </c>
      <c r="X89" s="58">
        <f t="shared" si="43"/>
        <v>0</v>
      </c>
      <c r="Y89" s="58">
        <f>SUMIF('JUNE (물량흐름)'!$C$13:$C$488,'In-out-bal products (155)(완성제품)'!B89,'JUNE (물량흐름)'!$X$13:$X$488)</f>
        <v>0</v>
      </c>
      <c r="Z89" s="58">
        <f t="shared" si="44"/>
        <v>0</v>
      </c>
      <c r="AA89" s="58">
        <f t="shared" si="45"/>
        <v>0</v>
      </c>
      <c r="AB89" s="58"/>
      <c r="AC89" s="58"/>
      <c r="AD89" s="61"/>
      <c r="AE89" s="58">
        <f t="shared" si="46"/>
        <v>0</v>
      </c>
      <c r="AF89" s="58">
        <f t="shared" si="47"/>
        <v>0</v>
      </c>
      <c r="AG89" s="61">
        <f t="shared" si="48"/>
        <v>0</v>
      </c>
      <c r="AH89" s="58">
        <v>0</v>
      </c>
      <c r="AI89" s="58">
        <v>0</v>
      </c>
      <c r="AJ89" s="61">
        <v>0</v>
      </c>
      <c r="AK89" s="58"/>
      <c r="AL89" s="58"/>
      <c r="AM89" s="61"/>
      <c r="AN89" s="61">
        <f t="shared" si="49"/>
        <v>0</v>
      </c>
      <c r="AO89" s="58">
        <f t="shared" si="50"/>
        <v>0</v>
      </c>
      <c r="AP89" s="61">
        <f t="shared" si="51"/>
        <v>0</v>
      </c>
      <c r="AQ89" s="58">
        <f t="shared" si="52"/>
        <v>0</v>
      </c>
      <c r="AR89" s="58">
        <f t="shared" si="53"/>
        <v>0</v>
      </c>
      <c r="AS89" s="58">
        <f t="shared" si="54"/>
        <v>0</v>
      </c>
      <c r="AT89" s="58">
        <f>ROUND(SUMIF('JUNE (물량흐름)'!$C$13:$C$502,'In-out-bal products (155)(완성제품)'!B89,'JUNE (물량흐름)'!$AB$13:$AB$502),0)</f>
        <v>0</v>
      </c>
      <c r="AU89" s="58">
        <f t="shared" si="55"/>
        <v>0</v>
      </c>
      <c r="AV89" s="58">
        <f>ROUND(SUMIF('JUNE (물량흐름)'!$C$13:$C$502,'In-out-bal products (155)(완성제품)'!B89,'JUNE (물량흐름)'!$AC$13:$AC$502),0)</f>
        <v>0</v>
      </c>
      <c r="AW89" s="58">
        <f t="shared" si="56"/>
        <v>0</v>
      </c>
      <c r="AX89" s="376">
        <f t="shared" si="57"/>
        <v>0</v>
      </c>
      <c r="AY89" s="377">
        <f t="shared" si="58"/>
        <v>0</v>
      </c>
      <c r="AZ89" s="377">
        <f t="shared" si="59"/>
        <v>0</v>
      </c>
      <c r="BA89" s="377">
        <f t="shared" si="60"/>
        <v>0</v>
      </c>
      <c r="BB89" s="377"/>
      <c r="BC89" s="377">
        <f t="shared" si="61"/>
        <v>0</v>
      </c>
      <c r="BD89" s="377">
        <f t="shared" si="62"/>
        <v>0</v>
      </c>
      <c r="BE89" s="377"/>
      <c r="BF89" s="377">
        <f t="shared" si="63"/>
        <v>0</v>
      </c>
      <c r="BG89" s="433">
        <f t="shared" si="64"/>
        <v>0</v>
      </c>
      <c r="BH89" s="434">
        <f t="shared" si="65"/>
        <v>0</v>
      </c>
    </row>
    <row r="90" spans="1:60" s="378" customFormat="1">
      <c r="A90" s="167">
        <v>79</v>
      </c>
      <c r="B90" s="253">
        <f>VLOOKUP(A90,'JUNE (물량흐름)'!$A$13:$C$493,3,0)</f>
        <v>100009597</v>
      </c>
      <c r="C90" s="57" t="str">
        <f>VLOOKUP(A90,'JUNE (물량흐름)'!$A$13:$C$493,2,0)</f>
        <v>ALFANI</v>
      </c>
      <c r="D90" s="58">
        <f>IFERROR(VLOOKUP(B90,O.B.JUNE!$V$7:$Y$448,2,0),0)</f>
        <v>0</v>
      </c>
      <c r="E90" s="58">
        <f>IFERROR(VLOOKUP(B90,O.B.JUNE!$V$7:$X$448,3,0),0)</f>
        <v>0</v>
      </c>
      <c r="F90" s="58">
        <f>IFERROR(VLOOKUP(B90,O.B.JUNE!$V$7:$Y$448,4,0),0)</f>
        <v>0</v>
      </c>
      <c r="G90" s="58">
        <f>SUMIF('JUNE (물량흐름)'!$C$13:$C$493,'In-out-bal products (155)(완성제품)'!B90,'JUNE (물량흐름)'!$V$13:$V$493)</f>
        <v>0</v>
      </c>
      <c r="H90" s="58">
        <f>SUMIF('JUNE (물량흐름)'!$C$13:$C$493,'In-out-bal products (155)(완성제품)'!B90,'JUNE (물량흐름)'!$T$13:$T$493)-SUMIF('JUNE (물량흐름)'!$C$13:$C$493,'In-out-bal products (155)(완성제품)'!B90,'JUNE (물량흐름)'!$Y$13:$Y$493)+SUMIF('JUNE (물량흐름)'!$C$13:$C$493,'In-out-bal products (155)(완성제품)'!B90,'JUNE (물량흐름)'!$U$13:$U$493)</f>
        <v>0</v>
      </c>
      <c r="I90" s="58">
        <f t="shared" si="36"/>
        <v>0</v>
      </c>
      <c r="J90" s="58">
        <f>SUMIF('Direct labour(직접노무비)'!$C$12:$C$503,'In-out-bal products (155)(완성제품)'!B90,'Direct labour(직접노무비)'!$Q$12:$Q$503)</f>
        <v>0</v>
      </c>
      <c r="K90" s="59">
        <f>SUMIF('Overhead exp(제조경비)'!$C$12:$C$503,'In-out-bal products (155)(완성제품)'!B90,'Overhead exp(제조경비)'!$Q$12:$Q$503)</f>
        <v>0</v>
      </c>
      <c r="L90" s="58">
        <f t="shared" si="37"/>
        <v>0</v>
      </c>
      <c r="M90" s="58">
        <f>SUMIF('JUNE (물량흐름)'!$C$13:$C$488,'In-out-bal products (155)(완성제품)'!B90,'JUNE (물량흐름)'!$Y$13:$Y$488)</f>
        <v>0</v>
      </c>
      <c r="N90" s="58">
        <f t="shared" si="38"/>
        <v>0</v>
      </c>
      <c r="O90" s="58">
        <f>SUMIF('Direct labour(직접노무비)'!$C$12:$C$503,'In-out-bal products (155)(완성제품)'!B90,'Direct labour(직접노무비)'!$U$12:$U$503)+SUMIF('Overhead exp(제조경비)'!$C$12:$C$503,'In-out-bal products (155)(완성제품)'!B90,'Overhead exp(제조경비)'!$U$12:$U$503)</f>
        <v>0</v>
      </c>
      <c r="P90" s="60">
        <f t="shared" si="39"/>
        <v>0</v>
      </c>
      <c r="Q90" s="60">
        <f t="shared" si="40"/>
        <v>0</v>
      </c>
      <c r="R90" s="60">
        <f t="shared" si="41"/>
        <v>0</v>
      </c>
      <c r="S90" s="58">
        <v>0</v>
      </c>
      <c r="T90" s="58">
        <v>0</v>
      </c>
      <c r="U90" s="58">
        <v>0</v>
      </c>
      <c r="V90" s="58">
        <f>SUMIF('JUNE (물량흐름)'!$C$13:$C$493,'In-out-bal products (155)(완성제품)'!B90,'JUNE (물량흐름)'!$W$13:$W$493)</f>
        <v>0</v>
      </c>
      <c r="W90" s="58">
        <f t="shared" si="42"/>
        <v>0</v>
      </c>
      <c r="X90" s="58">
        <f t="shared" si="43"/>
        <v>0</v>
      </c>
      <c r="Y90" s="58">
        <f>SUMIF('JUNE (물량흐름)'!$C$13:$C$488,'In-out-bal products (155)(완성제품)'!B90,'JUNE (물량흐름)'!$X$13:$X$488)</f>
        <v>0</v>
      </c>
      <c r="Z90" s="58">
        <f t="shared" si="44"/>
        <v>0</v>
      </c>
      <c r="AA90" s="58">
        <f t="shared" si="45"/>
        <v>0</v>
      </c>
      <c r="AB90" s="58"/>
      <c r="AC90" s="58"/>
      <c r="AD90" s="61"/>
      <c r="AE90" s="58">
        <f t="shared" si="46"/>
        <v>0</v>
      </c>
      <c r="AF90" s="58">
        <f t="shared" si="47"/>
        <v>0</v>
      </c>
      <c r="AG90" s="61">
        <f t="shared" si="48"/>
        <v>0</v>
      </c>
      <c r="AH90" s="58">
        <v>0</v>
      </c>
      <c r="AI90" s="58">
        <v>0</v>
      </c>
      <c r="AJ90" s="61">
        <v>0</v>
      </c>
      <c r="AK90" s="58"/>
      <c r="AL90" s="58"/>
      <c r="AM90" s="61"/>
      <c r="AN90" s="61">
        <f t="shared" si="49"/>
        <v>0</v>
      </c>
      <c r="AO90" s="58">
        <f t="shared" si="50"/>
        <v>0</v>
      </c>
      <c r="AP90" s="61">
        <f t="shared" si="51"/>
        <v>0</v>
      </c>
      <c r="AQ90" s="58">
        <f t="shared" si="52"/>
        <v>0</v>
      </c>
      <c r="AR90" s="58">
        <f t="shared" si="53"/>
        <v>0</v>
      </c>
      <c r="AS90" s="58">
        <f t="shared" si="54"/>
        <v>0</v>
      </c>
      <c r="AT90" s="58">
        <f>ROUND(SUMIF('JUNE (물량흐름)'!$C$13:$C$502,'In-out-bal products (155)(완성제품)'!B90,'JUNE (물량흐름)'!$AB$13:$AB$502),0)</f>
        <v>0</v>
      </c>
      <c r="AU90" s="58">
        <f t="shared" si="55"/>
        <v>0</v>
      </c>
      <c r="AV90" s="58">
        <f>ROUND(SUMIF('JUNE (물량흐름)'!$C$13:$C$502,'In-out-bal products (155)(완성제품)'!B90,'JUNE (물량흐름)'!$AC$13:$AC$502),0)</f>
        <v>0</v>
      </c>
      <c r="AW90" s="58">
        <f t="shared" si="56"/>
        <v>0</v>
      </c>
      <c r="AX90" s="376">
        <f t="shared" si="57"/>
        <v>0</v>
      </c>
      <c r="AY90" s="377">
        <f t="shared" si="58"/>
        <v>0</v>
      </c>
      <c r="AZ90" s="377">
        <f t="shared" si="59"/>
        <v>0</v>
      </c>
      <c r="BA90" s="377">
        <f t="shared" si="60"/>
        <v>0</v>
      </c>
      <c r="BB90" s="377"/>
      <c r="BC90" s="377">
        <f t="shared" si="61"/>
        <v>0</v>
      </c>
      <c r="BD90" s="377">
        <f t="shared" si="62"/>
        <v>0</v>
      </c>
      <c r="BE90" s="377"/>
      <c r="BF90" s="377">
        <f t="shared" si="63"/>
        <v>0</v>
      </c>
      <c r="BG90" s="433">
        <f t="shared" si="64"/>
        <v>0</v>
      </c>
      <c r="BH90" s="434">
        <f t="shared" si="65"/>
        <v>0</v>
      </c>
    </row>
    <row r="91" spans="1:60" s="378" customFormat="1">
      <c r="A91" s="167">
        <v>80</v>
      </c>
      <c r="B91" s="253">
        <f>VLOOKUP(A91,'JUNE (물량흐름)'!$A$13:$C$493,3,0)</f>
        <v>74401</v>
      </c>
      <c r="C91" s="57" t="str">
        <f>VLOOKUP(A91,'JUNE (물량흐름)'!$A$13:$C$493,2,0)</f>
        <v>ALFANI</v>
      </c>
      <c r="D91" s="58">
        <f>IFERROR(VLOOKUP(B91,O.B.JUNE!$V$7:$Y$448,2,0),0)</f>
        <v>6890</v>
      </c>
      <c r="E91" s="58">
        <f>IFERROR(VLOOKUP(B91,O.B.JUNE!$V$7:$X$448,3,0),0)</f>
        <v>7750.1860667634255</v>
      </c>
      <c r="F91" s="58">
        <f>IFERROR(VLOOKUP(B91,O.B.JUNE!$V$7:$Y$448,4,0),0)</f>
        <v>53398782</v>
      </c>
      <c r="G91" s="58">
        <f>SUMIF('JUNE (물량흐름)'!$C$13:$C$493,'In-out-bal products (155)(완성제품)'!B91,'JUNE (물량흐름)'!$V$13:$V$493)</f>
        <v>0</v>
      </c>
      <c r="H91" s="58">
        <f>SUMIF('JUNE (물량흐름)'!$C$13:$C$493,'In-out-bal products (155)(완성제품)'!B91,'JUNE (물량흐름)'!$T$13:$T$493)-SUMIF('JUNE (물량흐름)'!$C$13:$C$493,'In-out-bal products (155)(완성제품)'!B91,'JUNE (물량흐름)'!$Y$13:$Y$493)+SUMIF('JUNE (물량흐름)'!$C$13:$C$493,'In-out-bal products (155)(완성제품)'!B91,'JUNE (물량흐름)'!$U$13:$U$493)</f>
        <v>3994</v>
      </c>
      <c r="I91" s="58">
        <f t="shared" si="36"/>
        <v>16777.216074111166</v>
      </c>
      <c r="J91" s="58">
        <f>SUMIF('Direct labour(직접노무비)'!$C$12:$C$503,'In-out-bal products (155)(완성제품)'!B91,'Direct labour(직접노무비)'!$Q$12:$Q$503)</f>
        <v>22685896</v>
      </c>
      <c r="K91" s="59">
        <f>SUMIF('Overhead exp(제조경비)'!$C$12:$C$503,'In-out-bal products (155)(완성제품)'!B91,'Overhead exp(제조경비)'!$Q$12:$Q$503)</f>
        <v>44322305</v>
      </c>
      <c r="L91" s="58">
        <f t="shared" si="37"/>
        <v>67008201</v>
      </c>
      <c r="M91" s="58">
        <f>SUMIF('JUNE (물량흐름)'!$C$13:$C$488,'In-out-bal products (155)(완성제품)'!B91,'JUNE (물량흐름)'!$Y$13:$Y$488)</f>
        <v>7</v>
      </c>
      <c r="N91" s="58">
        <f t="shared" si="38"/>
        <v>16777.285714285714</v>
      </c>
      <c r="O91" s="58">
        <f>SUMIF('Direct labour(직접노무비)'!$C$12:$C$503,'In-out-bal products (155)(완성제품)'!B91,'Direct labour(직접노무비)'!$U$12:$U$503)+SUMIF('Overhead exp(제조경비)'!$C$12:$C$503,'In-out-bal products (155)(완성제품)'!B91,'Overhead exp(제조경비)'!$U$12:$U$503)</f>
        <v>117441</v>
      </c>
      <c r="P91" s="60">
        <f t="shared" si="39"/>
        <v>4001</v>
      </c>
      <c r="Q91" s="60">
        <f t="shared" si="40"/>
        <v>16777.216195951012</v>
      </c>
      <c r="R91" s="60">
        <f t="shared" si="41"/>
        <v>67125642</v>
      </c>
      <c r="S91" s="58">
        <v>0</v>
      </c>
      <c r="T91" s="58">
        <v>0</v>
      </c>
      <c r="U91" s="58">
        <v>0</v>
      </c>
      <c r="V91" s="58">
        <f>SUMIF('JUNE (물량흐름)'!$C$13:$C$493,'In-out-bal products (155)(완성제품)'!B91,'JUNE (물량흐름)'!$W$13:$W$493)</f>
        <v>10748</v>
      </c>
      <c r="W91" s="58">
        <f t="shared" si="42"/>
        <v>11062.751116486788</v>
      </c>
      <c r="X91" s="58">
        <f t="shared" si="43"/>
        <v>118902449</v>
      </c>
      <c r="Y91" s="58">
        <f>SUMIF('JUNE (물량흐름)'!$C$13:$C$488,'In-out-bal products (155)(완성제품)'!B91,'JUNE (물량흐름)'!$X$13:$X$488)</f>
        <v>0</v>
      </c>
      <c r="Z91" s="58">
        <f t="shared" si="44"/>
        <v>0</v>
      </c>
      <c r="AA91" s="58">
        <f t="shared" si="45"/>
        <v>0</v>
      </c>
      <c r="AB91" s="58"/>
      <c r="AC91" s="58"/>
      <c r="AD91" s="61"/>
      <c r="AE91" s="58">
        <f t="shared" si="46"/>
        <v>7</v>
      </c>
      <c r="AF91" s="58">
        <f t="shared" si="47"/>
        <v>16777.285714285714</v>
      </c>
      <c r="AG91" s="61">
        <f t="shared" si="48"/>
        <v>117441</v>
      </c>
      <c r="AH91" s="58">
        <v>0</v>
      </c>
      <c r="AI91" s="58">
        <v>0</v>
      </c>
      <c r="AJ91" s="61">
        <v>0</v>
      </c>
      <c r="AK91" s="58"/>
      <c r="AL91" s="58"/>
      <c r="AM91" s="61"/>
      <c r="AN91" s="61">
        <f t="shared" si="49"/>
        <v>10755</v>
      </c>
      <c r="AO91" s="58">
        <f t="shared" si="50"/>
        <v>11066.470478847048</v>
      </c>
      <c r="AP91" s="61">
        <f t="shared" si="51"/>
        <v>119019890</v>
      </c>
      <c r="AQ91" s="58">
        <f t="shared" si="52"/>
        <v>136</v>
      </c>
      <c r="AR91" s="58">
        <f t="shared" si="53"/>
        <v>11062.75</v>
      </c>
      <c r="AS91" s="58">
        <f t="shared" si="54"/>
        <v>1504534</v>
      </c>
      <c r="AT91" s="58">
        <f>ROUND(SUMIF('JUNE (물량흐름)'!$C$13:$C$502,'In-out-bal products (155)(완성제품)'!B91,'JUNE (물량흐름)'!$AB$13:$AB$502),0)</f>
        <v>0</v>
      </c>
      <c r="AU91" s="58">
        <f t="shared" si="55"/>
        <v>0</v>
      </c>
      <c r="AV91" s="58">
        <f>ROUND(SUMIF('JUNE (물량흐름)'!$C$13:$C$502,'In-out-bal products (155)(완성제품)'!B91,'JUNE (물량흐름)'!$AC$13:$AC$502),0)</f>
        <v>136</v>
      </c>
      <c r="AW91" s="58">
        <f t="shared" si="56"/>
        <v>1504534</v>
      </c>
      <c r="AX91" s="376">
        <f t="shared" si="57"/>
        <v>0</v>
      </c>
      <c r="AY91" s="377">
        <f t="shared" si="58"/>
        <v>0</v>
      </c>
      <c r="AZ91" s="377">
        <f t="shared" si="59"/>
        <v>0</v>
      </c>
      <c r="BA91" s="377">
        <f t="shared" si="60"/>
        <v>0</v>
      </c>
      <c r="BB91" s="377"/>
      <c r="BC91" s="377">
        <f t="shared" si="61"/>
        <v>0</v>
      </c>
      <c r="BD91" s="377">
        <f t="shared" si="62"/>
        <v>0</v>
      </c>
      <c r="BE91" s="377"/>
      <c r="BF91" s="377">
        <f t="shared" si="63"/>
        <v>0</v>
      </c>
      <c r="BG91" s="433">
        <f t="shared" si="64"/>
        <v>119019890</v>
      </c>
      <c r="BH91" s="434">
        <f t="shared" si="65"/>
        <v>0</v>
      </c>
    </row>
    <row r="92" spans="1:60" s="378" customFormat="1">
      <c r="A92" s="167">
        <v>81</v>
      </c>
      <c r="B92" s="253" t="str">
        <f>VLOOKUP(A92,'JUNE (물량흐름)'!$A$13:$C$493,3,0)</f>
        <v>7X733</v>
      </c>
      <c r="C92" s="57" t="str">
        <f>VLOOKUP(A92,'JUNE (물량흐름)'!$A$13:$C$493,2,0)</f>
        <v>ALFANI</v>
      </c>
      <c r="D92" s="58">
        <f>IFERROR(VLOOKUP(B92,O.B.JUNE!$V$7:$Y$448,2,0),0)</f>
        <v>0</v>
      </c>
      <c r="E92" s="58">
        <f>IFERROR(VLOOKUP(B92,O.B.JUNE!$V$7:$X$448,3,0),0)</f>
        <v>0</v>
      </c>
      <c r="F92" s="58">
        <f>IFERROR(VLOOKUP(B92,O.B.JUNE!$V$7:$Y$448,4,0),0)</f>
        <v>0</v>
      </c>
      <c r="G92" s="58">
        <f>SUMIF('JUNE (물량흐름)'!$C$13:$C$493,'In-out-bal products (155)(완성제품)'!B92,'JUNE (물량흐름)'!$V$13:$V$493)</f>
        <v>0</v>
      </c>
      <c r="H92" s="58">
        <f>SUMIF('JUNE (물량흐름)'!$C$13:$C$493,'In-out-bal products (155)(완성제품)'!B92,'JUNE (물량흐름)'!$T$13:$T$493)-SUMIF('JUNE (물량흐름)'!$C$13:$C$493,'In-out-bal products (155)(완성제품)'!B92,'JUNE (물량흐름)'!$Y$13:$Y$493)+SUMIF('JUNE (물량흐름)'!$C$13:$C$493,'In-out-bal products (155)(완성제품)'!B92,'JUNE (물량흐름)'!$U$13:$U$493)</f>
        <v>65</v>
      </c>
      <c r="I92" s="58">
        <f t="shared" si="36"/>
        <v>24402.984615384616</v>
      </c>
      <c r="J92" s="58">
        <f>SUMIF('Direct labour(직접노무비)'!$C$12:$C$503,'In-out-bal products (155)(완성제품)'!B92,'Direct labour(직접노무비)'!$Q$12:$Q$503)</f>
        <v>666232</v>
      </c>
      <c r="K92" s="59">
        <f>SUMIF('Overhead exp(제조경비)'!$C$12:$C$503,'In-out-bal products (155)(완성제품)'!B92,'Overhead exp(제조경비)'!$Q$12:$Q$503)</f>
        <v>919962</v>
      </c>
      <c r="L92" s="58">
        <f t="shared" si="37"/>
        <v>1586194</v>
      </c>
      <c r="M92" s="58">
        <f>SUMIF('JUNE (물량흐름)'!$C$13:$C$488,'In-out-bal products (155)(완성제품)'!B92,'JUNE (물량흐름)'!$Y$13:$Y$488)</f>
        <v>0</v>
      </c>
      <c r="N92" s="58">
        <f t="shared" si="38"/>
        <v>0</v>
      </c>
      <c r="O92" s="58">
        <f>SUMIF('Direct labour(직접노무비)'!$C$12:$C$503,'In-out-bal products (155)(완성제품)'!B92,'Direct labour(직접노무비)'!$U$12:$U$503)+SUMIF('Overhead exp(제조경비)'!$C$12:$C$503,'In-out-bal products (155)(완성제품)'!B92,'Overhead exp(제조경비)'!$U$12:$U$503)</f>
        <v>0</v>
      </c>
      <c r="P92" s="60">
        <f t="shared" si="39"/>
        <v>65</v>
      </c>
      <c r="Q92" s="60">
        <f t="shared" si="40"/>
        <v>24402.984615384616</v>
      </c>
      <c r="R92" s="60">
        <f t="shared" si="41"/>
        <v>1586194</v>
      </c>
      <c r="S92" s="58">
        <v>0</v>
      </c>
      <c r="T92" s="58">
        <v>0</v>
      </c>
      <c r="U92" s="58">
        <v>0</v>
      </c>
      <c r="V92" s="58">
        <f>SUMIF('JUNE (물량흐름)'!$C$13:$C$493,'In-out-bal products (155)(완성제품)'!B92,'JUNE (물량흐름)'!$W$13:$W$493)</f>
        <v>0</v>
      </c>
      <c r="W92" s="58">
        <f t="shared" si="42"/>
        <v>0</v>
      </c>
      <c r="X92" s="58">
        <f t="shared" si="43"/>
        <v>0</v>
      </c>
      <c r="Y92" s="58">
        <f>SUMIF('JUNE (물량흐름)'!$C$13:$C$488,'In-out-bal products (155)(완성제품)'!B92,'JUNE (물량흐름)'!$X$13:$X$488)</f>
        <v>0</v>
      </c>
      <c r="Z92" s="58">
        <f t="shared" si="44"/>
        <v>0</v>
      </c>
      <c r="AA92" s="58">
        <f t="shared" si="45"/>
        <v>0</v>
      </c>
      <c r="AB92" s="58"/>
      <c r="AC92" s="58"/>
      <c r="AD92" s="61"/>
      <c r="AE92" s="58">
        <f t="shared" si="46"/>
        <v>0</v>
      </c>
      <c r="AF92" s="58">
        <f t="shared" si="47"/>
        <v>0</v>
      </c>
      <c r="AG92" s="61">
        <f t="shared" si="48"/>
        <v>0</v>
      </c>
      <c r="AH92" s="58">
        <v>0</v>
      </c>
      <c r="AI92" s="58">
        <v>0</v>
      </c>
      <c r="AJ92" s="61">
        <v>0</v>
      </c>
      <c r="AK92" s="58"/>
      <c r="AL92" s="58"/>
      <c r="AM92" s="61"/>
      <c r="AN92" s="61">
        <f t="shared" si="49"/>
        <v>0</v>
      </c>
      <c r="AO92" s="58">
        <f t="shared" si="50"/>
        <v>0</v>
      </c>
      <c r="AP92" s="61">
        <f t="shared" si="51"/>
        <v>0</v>
      </c>
      <c r="AQ92" s="58">
        <f t="shared" si="52"/>
        <v>65</v>
      </c>
      <c r="AR92" s="58">
        <f t="shared" si="53"/>
        <v>24402.984615384616</v>
      </c>
      <c r="AS92" s="58">
        <f t="shared" si="54"/>
        <v>1586194</v>
      </c>
      <c r="AT92" s="58">
        <f>ROUND(SUMIF('JUNE (물량흐름)'!$C$13:$C$502,'In-out-bal products (155)(완성제품)'!B92,'JUNE (물량흐름)'!$AB$13:$AB$502),0)</f>
        <v>0</v>
      </c>
      <c r="AU92" s="58">
        <f t="shared" si="55"/>
        <v>0</v>
      </c>
      <c r="AV92" s="58">
        <f>ROUND(SUMIF('JUNE (물량흐름)'!$C$13:$C$502,'In-out-bal products (155)(완성제품)'!B92,'JUNE (물량흐름)'!$AC$13:$AC$502),0)</f>
        <v>65</v>
      </c>
      <c r="AW92" s="58">
        <f t="shared" si="56"/>
        <v>1586194</v>
      </c>
      <c r="AX92" s="376">
        <f t="shared" si="57"/>
        <v>0</v>
      </c>
      <c r="AY92" s="377">
        <f t="shared" si="58"/>
        <v>0</v>
      </c>
      <c r="AZ92" s="377">
        <f t="shared" si="59"/>
        <v>0</v>
      </c>
      <c r="BA92" s="377">
        <f t="shared" si="60"/>
        <v>0</v>
      </c>
      <c r="BB92" s="377"/>
      <c r="BC92" s="377">
        <f t="shared" si="61"/>
        <v>0</v>
      </c>
      <c r="BD92" s="377">
        <f t="shared" si="62"/>
        <v>0</v>
      </c>
      <c r="BE92" s="377"/>
      <c r="BF92" s="377">
        <f t="shared" si="63"/>
        <v>0</v>
      </c>
      <c r="BG92" s="433">
        <f t="shared" si="64"/>
        <v>0</v>
      </c>
      <c r="BH92" s="434">
        <f t="shared" si="65"/>
        <v>0</v>
      </c>
    </row>
    <row r="93" spans="1:60" s="378" customFormat="1">
      <c r="A93" s="167">
        <v>82</v>
      </c>
      <c r="B93" s="253" t="str">
        <f>VLOOKUP(A93,'JUNE (물량흐름)'!$A$13:$C$493,3,0)</f>
        <v>452172(456261)</v>
      </c>
      <c r="C93" s="57" t="str">
        <f>VLOOKUP(A93,'JUNE (물량흐름)'!$A$13:$C$493,2,0)</f>
        <v>ANN TAYLOR</v>
      </c>
      <c r="D93" s="58">
        <f>IFERROR(VLOOKUP(B93,O.B.JUNE!$V$7:$Y$448,2,0),0)</f>
        <v>0</v>
      </c>
      <c r="E93" s="58">
        <f>IFERROR(VLOOKUP(B93,O.B.JUNE!$V$7:$X$448,3,0),0)</f>
        <v>0</v>
      </c>
      <c r="F93" s="58">
        <f>IFERROR(VLOOKUP(B93,O.B.JUNE!$V$7:$Y$448,4,0),0)</f>
        <v>0</v>
      </c>
      <c r="G93" s="58">
        <f>SUMIF('JUNE (물량흐름)'!$C$13:$C$493,'In-out-bal products (155)(완성제품)'!B93,'JUNE (물량흐름)'!$V$13:$V$493)</f>
        <v>0</v>
      </c>
      <c r="H93" s="58">
        <f>SUMIF('JUNE (물량흐름)'!$C$13:$C$493,'In-out-bal products (155)(완성제품)'!B93,'JUNE (물량흐름)'!$T$13:$T$493)-SUMIF('JUNE (물량흐름)'!$C$13:$C$493,'In-out-bal products (155)(완성제품)'!B93,'JUNE (물량흐름)'!$Y$13:$Y$493)+SUMIF('JUNE (물량흐름)'!$C$13:$C$493,'In-out-bal products (155)(완성제품)'!B93,'JUNE (물량흐름)'!$U$13:$U$493)</f>
        <v>329</v>
      </c>
      <c r="I93" s="58">
        <f t="shared" si="36"/>
        <v>13627.370820668693</v>
      </c>
      <c r="J93" s="58">
        <f>SUMIF('Direct labour(직접노무비)'!$C$12:$C$503,'In-out-bal products (155)(완성제품)'!B93,'Direct labour(직접노무비)'!$Q$12:$Q$503)</f>
        <v>1822588</v>
      </c>
      <c r="K93" s="59">
        <f>SUMIF('Overhead exp(제조경비)'!$C$12:$C$503,'In-out-bal products (155)(완성제품)'!B93,'Overhead exp(제조경비)'!$Q$12:$Q$503)</f>
        <v>2660817</v>
      </c>
      <c r="L93" s="58">
        <f t="shared" si="37"/>
        <v>4483405</v>
      </c>
      <c r="M93" s="58">
        <f>SUMIF('JUNE (물량흐름)'!$C$13:$C$488,'In-out-bal products (155)(완성제품)'!B93,'JUNE (물량흐름)'!$Y$13:$Y$488)</f>
        <v>0</v>
      </c>
      <c r="N93" s="58">
        <f t="shared" si="38"/>
        <v>0</v>
      </c>
      <c r="O93" s="58">
        <f>SUMIF('Direct labour(직접노무비)'!$C$12:$C$503,'In-out-bal products (155)(완성제품)'!B93,'Direct labour(직접노무비)'!$U$12:$U$503)+SUMIF('Overhead exp(제조경비)'!$C$12:$C$503,'In-out-bal products (155)(완성제품)'!B93,'Overhead exp(제조경비)'!$U$12:$U$503)</f>
        <v>0</v>
      </c>
      <c r="P93" s="60">
        <f t="shared" si="39"/>
        <v>329</v>
      </c>
      <c r="Q93" s="60">
        <f t="shared" si="40"/>
        <v>13627.370820668693</v>
      </c>
      <c r="R93" s="60">
        <f t="shared" si="41"/>
        <v>4483405</v>
      </c>
      <c r="S93" s="58">
        <v>0</v>
      </c>
      <c r="T93" s="58">
        <v>0</v>
      </c>
      <c r="U93" s="58">
        <v>0</v>
      </c>
      <c r="V93" s="58">
        <f>SUMIF('JUNE (물량흐름)'!$C$13:$C$493,'In-out-bal products (155)(완성제품)'!B93,'JUNE (물량흐름)'!$W$13:$W$493)</f>
        <v>0</v>
      </c>
      <c r="W93" s="58">
        <f t="shared" si="42"/>
        <v>0</v>
      </c>
      <c r="X93" s="58">
        <f t="shared" si="43"/>
        <v>0</v>
      </c>
      <c r="Y93" s="58">
        <f>SUMIF('JUNE (물량흐름)'!$C$13:$C$488,'In-out-bal products (155)(완성제품)'!B93,'JUNE (물량흐름)'!$X$13:$X$488)</f>
        <v>0</v>
      </c>
      <c r="Z93" s="58">
        <f t="shared" si="44"/>
        <v>0</v>
      </c>
      <c r="AA93" s="58">
        <f t="shared" si="45"/>
        <v>0</v>
      </c>
      <c r="AB93" s="58"/>
      <c r="AC93" s="58"/>
      <c r="AD93" s="61"/>
      <c r="AE93" s="58">
        <f t="shared" si="46"/>
        <v>0</v>
      </c>
      <c r="AF93" s="58">
        <f t="shared" si="47"/>
        <v>0</v>
      </c>
      <c r="AG93" s="61">
        <f t="shared" si="48"/>
        <v>0</v>
      </c>
      <c r="AH93" s="58">
        <v>0</v>
      </c>
      <c r="AI93" s="58">
        <v>0</v>
      </c>
      <c r="AJ93" s="61">
        <v>0</v>
      </c>
      <c r="AK93" s="58"/>
      <c r="AL93" s="58"/>
      <c r="AM93" s="61"/>
      <c r="AN93" s="61">
        <f t="shared" si="49"/>
        <v>0</v>
      </c>
      <c r="AO93" s="58">
        <f t="shared" si="50"/>
        <v>0</v>
      </c>
      <c r="AP93" s="61">
        <f t="shared" si="51"/>
        <v>0</v>
      </c>
      <c r="AQ93" s="58">
        <f t="shared" si="52"/>
        <v>329</v>
      </c>
      <c r="AR93" s="58">
        <f t="shared" si="53"/>
        <v>13627.370820668693</v>
      </c>
      <c r="AS93" s="58">
        <f t="shared" si="54"/>
        <v>4483405</v>
      </c>
      <c r="AT93" s="58">
        <f>ROUND(SUMIF('JUNE (물량흐름)'!$C$13:$C$502,'In-out-bal products (155)(완성제품)'!B93,'JUNE (물량흐름)'!$AB$13:$AB$502),0)</f>
        <v>0</v>
      </c>
      <c r="AU93" s="58">
        <f t="shared" si="55"/>
        <v>0</v>
      </c>
      <c r="AV93" s="58">
        <f>ROUND(SUMIF('JUNE (물량흐름)'!$C$13:$C$502,'In-out-bal products (155)(완성제품)'!B93,'JUNE (물량흐름)'!$AC$13:$AC$502),0)</f>
        <v>329</v>
      </c>
      <c r="AW93" s="58">
        <f t="shared" si="56"/>
        <v>4483405</v>
      </c>
      <c r="AX93" s="376">
        <f t="shared" si="57"/>
        <v>0</v>
      </c>
      <c r="AY93" s="377">
        <f t="shared" si="58"/>
        <v>0</v>
      </c>
      <c r="AZ93" s="377">
        <f t="shared" si="59"/>
        <v>0</v>
      </c>
      <c r="BA93" s="377">
        <f t="shared" si="60"/>
        <v>0</v>
      </c>
      <c r="BB93" s="377"/>
      <c r="BC93" s="377">
        <f t="shared" si="61"/>
        <v>0</v>
      </c>
      <c r="BD93" s="377">
        <f t="shared" si="62"/>
        <v>0</v>
      </c>
      <c r="BE93" s="377"/>
      <c r="BF93" s="377">
        <f t="shared" si="63"/>
        <v>0</v>
      </c>
      <c r="BG93" s="433">
        <f t="shared" si="64"/>
        <v>0</v>
      </c>
      <c r="BH93" s="434">
        <f t="shared" si="65"/>
        <v>0</v>
      </c>
    </row>
    <row r="94" spans="1:60" s="378" customFormat="1">
      <c r="A94" s="167">
        <v>83</v>
      </c>
      <c r="B94" s="253" t="str">
        <f>VLOOKUP(A94,'JUNE (물량흐름)'!$A$13:$C$493,3,0)</f>
        <v>453516(456278)</v>
      </c>
      <c r="C94" s="57" t="str">
        <f>VLOOKUP(A94,'JUNE (물량흐름)'!$A$13:$C$493,2,0)</f>
        <v>ANN TAYLOR</v>
      </c>
      <c r="D94" s="58">
        <f>IFERROR(VLOOKUP(B94,O.B.JUNE!$V$7:$Y$448,2,0),0)</f>
        <v>0</v>
      </c>
      <c r="E94" s="58">
        <f>IFERROR(VLOOKUP(B94,O.B.JUNE!$V$7:$X$448,3,0),0)</f>
        <v>0</v>
      </c>
      <c r="F94" s="58">
        <f>IFERROR(VLOOKUP(B94,O.B.JUNE!$V$7:$Y$448,4,0),0)</f>
        <v>0</v>
      </c>
      <c r="G94" s="58">
        <f>SUMIF('JUNE (물량흐름)'!$C$13:$C$493,'In-out-bal products (155)(완성제품)'!B94,'JUNE (물량흐름)'!$V$13:$V$493)</f>
        <v>0</v>
      </c>
      <c r="H94" s="58">
        <f>SUMIF('JUNE (물량흐름)'!$C$13:$C$493,'In-out-bal products (155)(완성제품)'!B94,'JUNE (물량흐름)'!$T$13:$T$493)-SUMIF('JUNE (물량흐름)'!$C$13:$C$493,'In-out-bal products (155)(완성제품)'!B94,'JUNE (물량흐름)'!$Y$13:$Y$493)+SUMIF('JUNE (물량흐름)'!$C$13:$C$493,'In-out-bal products (155)(완성제품)'!B94,'JUNE (물량흐름)'!$U$13:$U$493)</f>
        <v>440</v>
      </c>
      <c r="I94" s="58">
        <f t="shared" si="36"/>
        <v>29967.370454545453</v>
      </c>
      <c r="J94" s="58">
        <f>SUMIF('Direct labour(직접노무비)'!$C$12:$C$503,'In-out-bal products (155)(완성제품)'!B94,'Direct labour(직접노무비)'!$Q$12:$Q$503)</f>
        <v>5360211</v>
      </c>
      <c r="K94" s="59">
        <f>SUMIF('Overhead exp(제조경비)'!$C$12:$C$503,'In-out-bal products (155)(완성제품)'!B94,'Overhead exp(제조경비)'!$Q$12:$Q$503)</f>
        <v>7825432</v>
      </c>
      <c r="L94" s="58">
        <f t="shared" si="37"/>
        <v>13185643</v>
      </c>
      <c r="M94" s="58">
        <f>SUMIF('JUNE (물량흐름)'!$C$13:$C$488,'In-out-bal products (155)(완성제품)'!B94,'JUNE (물량흐름)'!$Y$13:$Y$488)</f>
        <v>0</v>
      </c>
      <c r="N94" s="58">
        <f t="shared" si="38"/>
        <v>0</v>
      </c>
      <c r="O94" s="58">
        <f>SUMIF('Direct labour(직접노무비)'!$C$12:$C$503,'In-out-bal products (155)(완성제품)'!B94,'Direct labour(직접노무비)'!$U$12:$U$503)+SUMIF('Overhead exp(제조경비)'!$C$12:$C$503,'In-out-bal products (155)(완성제품)'!B94,'Overhead exp(제조경비)'!$U$12:$U$503)</f>
        <v>0</v>
      </c>
      <c r="P94" s="60">
        <f t="shared" si="39"/>
        <v>440</v>
      </c>
      <c r="Q94" s="60">
        <f t="shared" si="40"/>
        <v>29967.370454545453</v>
      </c>
      <c r="R94" s="60">
        <f t="shared" si="41"/>
        <v>13185643</v>
      </c>
      <c r="S94" s="58">
        <v>0</v>
      </c>
      <c r="T94" s="58">
        <v>0</v>
      </c>
      <c r="U94" s="58">
        <v>0</v>
      </c>
      <c r="V94" s="58">
        <f>SUMIF('JUNE (물량흐름)'!$C$13:$C$493,'In-out-bal products (155)(완성제품)'!B94,'JUNE (물량흐름)'!$W$13:$W$493)</f>
        <v>0</v>
      </c>
      <c r="W94" s="58">
        <f t="shared" si="42"/>
        <v>0</v>
      </c>
      <c r="X94" s="58">
        <f t="shared" si="43"/>
        <v>0</v>
      </c>
      <c r="Y94" s="58">
        <f>SUMIF('JUNE (물량흐름)'!$C$13:$C$488,'In-out-bal products (155)(완성제품)'!B94,'JUNE (물량흐름)'!$X$13:$X$488)</f>
        <v>0</v>
      </c>
      <c r="Z94" s="58">
        <f t="shared" si="44"/>
        <v>0</v>
      </c>
      <c r="AA94" s="58">
        <f t="shared" si="45"/>
        <v>0</v>
      </c>
      <c r="AB94" s="58"/>
      <c r="AC94" s="58"/>
      <c r="AD94" s="61"/>
      <c r="AE94" s="58">
        <f t="shared" si="46"/>
        <v>0</v>
      </c>
      <c r="AF94" s="58">
        <f t="shared" si="47"/>
        <v>0</v>
      </c>
      <c r="AG94" s="61">
        <f t="shared" si="48"/>
        <v>0</v>
      </c>
      <c r="AH94" s="58">
        <v>0</v>
      </c>
      <c r="AI94" s="58">
        <v>0</v>
      </c>
      <c r="AJ94" s="61">
        <v>0</v>
      </c>
      <c r="AK94" s="58"/>
      <c r="AL94" s="58"/>
      <c r="AM94" s="61"/>
      <c r="AN94" s="61">
        <f t="shared" si="49"/>
        <v>0</v>
      </c>
      <c r="AO94" s="58">
        <f t="shared" si="50"/>
        <v>0</v>
      </c>
      <c r="AP94" s="61">
        <f t="shared" si="51"/>
        <v>0</v>
      </c>
      <c r="AQ94" s="58">
        <f t="shared" si="52"/>
        <v>440</v>
      </c>
      <c r="AR94" s="58">
        <f t="shared" si="53"/>
        <v>29967.370454545453</v>
      </c>
      <c r="AS94" s="58">
        <f t="shared" si="54"/>
        <v>13185643</v>
      </c>
      <c r="AT94" s="58">
        <f>ROUND(SUMIF('JUNE (물량흐름)'!$C$13:$C$502,'In-out-bal products (155)(완성제품)'!B94,'JUNE (물량흐름)'!$AB$13:$AB$502),0)</f>
        <v>0</v>
      </c>
      <c r="AU94" s="58">
        <f t="shared" si="55"/>
        <v>0</v>
      </c>
      <c r="AV94" s="58">
        <f>ROUND(SUMIF('JUNE (물량흐름)'!$C$13:$C$502,'In-out-bal products (155)(완성제품)'!B94,'JUNE (물량흐름)'!$AC$13:$AC$502),0)</f>
        <v>440</v>
      </c>
      <c r="AW94" s="58">
        <f t="shared" si="56"/>
        <v>13185643</v>
      </c>
      <c r="AX94" s="376">
        <f t="shared" si="57"/>
        <v>0</v>
      </c>
      <c r="AY94" s="377">
        <f t="shared" si="58"/>
        <v>0</v>
      </c>
      <c r="AZ94" s="377">
        <f t="shared" si="59"/>
        <v>0</v>
      </c>
      <c r="BA94" s="377">
        <f t="shared" si="60"/>
        <v>0</v>
      </c>
      <c r="BB94" s="377"/>
      <c r="BC94" s="377">
        <f t="shared" si="61"/>
        <v>0</v>
      </c>
      <c r="BD94" s="377">
        <f t="shared" si="62"/>
        <v>0</v>
      </c>
      <c r="BE94" s="377"/>
      <c r="BF94" s="377">
        <f t="shared" si="63"/>
        <v>0</v>
      </c>
      <c r="BG94" s="433">
        <f t="shared" si="64"/>
        <v>0</v>
      </c>
      <c r="BH94" s="434">
        <f t="shared" si="65"/>
        <v>0</v>
      </c>
    </row>
    <row r="95" spans="1:60" s="378" customFormat="1">
      <c r="A95" s="167">
        <v>84</v>
      </c>
      <c r="B95" s="253">
        <f>VLOOKUP(A95,'JUNE (물량흐름)'!$A$13:$C$493,3,0)</f>
        <v>453609</v>
      </c>
      <c r="C95" s="57" t="str">
        <f>VLOOKUP(A95,'JUNE (물량흐름)'!$A$13:$C$493,2,0)</f>
        <v>ANN TAYLOR</v>
      </c>
      <c r="D95" s="58">
        <f>IFERROR(VLOOKUP(B95,O.B.JUNE!$V$7:$Y$448,2,0),0)</f>
        <v>0</v>
      </c>
      <c r="E95" s="58">
        <f>IFERROR(VLOOKUP(B95,O.B.JUNE!$V$7:$X$448,3,0),0)</f>
        <v>0</v>
      </c>
      <c r="F95" s="58">
        <f>IFERROR(VLOOKUP(B95,O.B.JUNE!$V$7:$Y$448,4,0),0)</f>
        <v>0</v>
      </c>
      <c r="G95" s="58">
        <f>SUMIF('JUNE (물량흐름)'!$C$13:$C$493,'In-out-bal products (155)(완성제품)'!B95,'JUNE (물량흐름)'!$V$13:$V$493)</f>
        <v>0</v>
      </c>
      <c r="H95" s="58">
        <f>SUMIF('JUNE (물량흐름)'!$C$13:$C$493,'In-out-bal products (155)(완성제품)'!B95,'JUNE (물량흐름)'!$T$13:$T$493)-SUMIF('JUNE (물량흐름)'!$C$13:$C$493,'In-out-bal products (155)(완성제품)'!B95,'JUNE (물량흐름)'!$Y$13:$Y$493)+SUMIF('JUNE (물량흐름)'!$C$13:$C$493,'In-out-bal products (155)(완성제품)'!B95,'JUNE (물량흐름)'!$U$13:$U$493)</f>
        <v>121</v>
      </c>
      <c r="I95" s="58">
        <f t="shared" si="36"/>
        <v>30051.727272727272</v>
      </c>
      <c r="J95" s="58">
        <f>SUMIF('Direct labour(직접노무비)'!$C$12:$C$503,'In-out-bal products (155)(완성제품)'!B95,'Direct labour(직접노무비)'!$Q$12:$Q$503)</f>
        <v>1478207</v>
      </c>
      <c r="K95" s="59">
        <f>SUMIF('Overhead exp(제조경비)'!$C$12:$C$503,'In-out-bal products (155)(완성제품)'!B95,'Overhead exp(제조경비)'!$Q$12:$Q$503)</f>
        <v>2158052</v>
      </c>
      <c r="L95" s="58">
        <f t="shared" si="37"/>
        <v>3636259</v>
      </c>
      <c r="M95" s="58">
        <f>SUMIF('JUNE (물량흐름)'!$C$13:$C$488,'In-out-bal products (155)(완성제품)'!B95,'JUNE (물량흐름)'!$Y$13:$Y$488)</f>
        <v>0</v>
      </c>
      <c r="N95" s="58">
        <f t="shared" si="38"/>
        <v>0</v>
      </c>
      <c r="O95" s="58">
        <f>SUMIF('Direct labour(직접노무비)'!$C$12:$C$503,'In-out-bal products (155)(완성제품)'!B95,'Direct labour(직접노무비)'!$U$12:$U$503)+SUMIF('Overhead exp(제조경비)'!$C$12:$C$503,'In-out-bal products (155)(완성제품)'!B95,'Overhead exp(제조경비)'!$U$12:$U$503)</f>
        <v>0</v>
      </c>
      <c r="P95" s="60">
        <f t="shared" si="39"/>
        <v>121</v>
      </c>
      <c r="Q95" s="60">
        <f t="shared" si="40"/>
        <v>30051.727272727272</v>
      </c>
      <c r="R95" s="60">
        <f t="shared" si="41"/>
        <v>3636259</v>
      </c>
      <c r="S95" s="58">
        <v>0</v>
      </c>
      <c r="T95" s="58">
        <v>0</v>
      </c>
      <c r="U95" s="58">
        <v>0</v>
      </c>
      <c r="V95" s="58">
        <f>SUMIF('JUNE (물량흐름)'!$C$13:$C$493,'In-out-bal products (155)(완성제품)'!B95,'JUNE (물량흐름)'!$W$13:$W$493)</f>
        <v>0</v>
      </c>
      <c r="W95" s="58">
        <f t="shared" si="42"/>
        <v>0</v>
      </c>
      <c r="X95" s="58">
        <f t="shared" si="43"/>
        <v>0</v>
      </c>
      <c r="Y95" s="58">
        <f>SUMIF('JUNE (물량흐름)'!$C$13:$C$488,'In-out-bal products (155)(완성제품)'!B95,'JUNE (물량흐름)'!$X$13:$X$488)</f>
        <v>0</v>
      </c>
      <c r="Z95" s="58">
        <f t="shared" si="44"/>
        <v>0</v>
      </c>
      <c r="AA95" s="58">
        <f t="shared" si="45"/>
        <v>0</v>
      </c>
      <c r="AB95" s="58"/>
      <c r="AC95" s="58"/>
      <c r="AD95" s="61"/>
      <c r="AE95" s="58">
        <f t="shared" si="46"/>
        <v>0</v>
      </c>
      <c r="AF95" s="58">
        <f t="shared" si="47"/>
        <v>0</v>
      </c>
      <c r="AG95" s="61">
        <f t="shared" si="48"/>
        <v>0</v>
      </c>
      <c r="AH95" s="58">
        <v>0</v>
      </c>
      <c r="AI95" s="58">
        <v>0</v>
      </c>
      <c r="AJ95" s="61">
        <v>0</v>
      </c>
      <c r="AK95" s="58"/>
      <c r="AL95" s="58"/>
      <c r="AM95" s="61"/>
      <c r="AN95" s="61">
        <f t="shared" si="49"/>
        <v>0</v>
      </c>
      <c r="AO95" s="58">
        <f t="shared" si="50"/>
        <v>0</v>
      </c>
      <c r="AP95" s="61">
        <f t="shared" si="51"/>
        <v>0</v>
      </c>
      <c r="AQ95" s="58">
        <f t="shared" si="52"/>
        <v>121</v>
      </c>
      <c r="AR95" s="58">
        <f t="shared" si="53"/>
        <v>30051.727272727272</v>
      </c>
      <c r="AS95" s="58">
        <f t="shared" si="54"/>
        <v>3636259</v>
      </c>
      <c r="AT95" s="58">
        <f>ROUND(SUMIF('JUNE (물량흐름)'!$C$13:$C$502,'In-out-bal products (155)(완성제품)'!B95,'JUNE (물량흐름)'!$AB$13:$AB$502),0)</f>
        <v>0</v>
      </c>
      <c r="AU95" s="58">
        <f t="shared" si="55"/>
        <v>0</v>
      </c>
      <c r="AV95" s="58">
        <f>ROUND(SUMIF('JUNE (물량흐름)'!$C$13:$C$502,'In-out-bal products (155)(완성제품)'!B95,'JUNE (물량흐름)'!$AC$13:$AC$502),0)</f>
        <v>121</v>
      </c>
      <c r="AW95" s="58">
        <f t="shared" si="56"/>
        <v>3636259</v>
      </c>
      <c r="AX95" s="376">
        <f t="shared" si="57"/>
        <v>0</v>
      </c>
      <c r="AY95" s="377">
        <f t="shared" si="58"/>
        <v>0</v>
      </c>
      <c r="AZ95" s="377">
        <f t="shared" si="59"/>
        <v>0</v>
      </c>
      <c r="BA95" s="377">
        <f t="shared" si="60"/>
        <v>0</v>
      </c>
      <c r="BB95" s="377"/>
      <c r="BC95" s="377">
        <f t="shared" si="61"/>
        <v>0</v>
      </c>
      <c r="BD95" s="377">
        <f t="shared" si="62"/>
        <v>0</v>
      </c>
      <c r="BE95" s="377"/>
      <c r="BF95" s="377">
        <f t="shared" si="63"/>
        <v>0</v>
      </c>
      <c r="BG95" s="433">
        <f t="shared" si="64"/>
        <v>0</v>
      </c>
      <c r="BH95" s="434">
        <f t="shared" si="65"/>
        <v>0</v>
      </c>
    </row>
    <row r="96" spans="1:60" s="378" customFormat="1">
      <c r="A96" s="167">
        <v>85</v>
      </c>
      <c r="B96" s="253">
        <f>VLOOKUP(A96,'JUNE (물량흐름)'!$A$13:$C$493,3,0)</f>
        <v>455129</v>
      </c>
      <c r="C96" s="57" t="str">
        <f>VLOOKUP(A96,'JUNE (물량흐름)'!$A$13:$C$493,2,0)</f>
        <v>ANN TAYLOR</v>
      </c>
      <c r="D96" s="58">
        <f>IFERROR(VLOOKUP(B96,O.B.JUNE!$V$7:$Y$448,2,0),0)</f>
        <v>0</v>
      </c>
      <c r="E96" s="58">
        <f>IFERROR(VLOOKUP(B96,O.B.JUNE!$V$7:$X$448,3,0),0)</f>
        <v>0</v>
      </c>
      <c r="F96" s="58">
        <f>IFERROR(VLOOKUP(B96,O.B.JUNE!$V$7:$Y$448,4,0),0)</f>
        <v>0</v>
      </c>
      <c r="G96" s="58">
        <f>SUMIF('JUNE (물량흐름)'!$C$13:$C$493,'In-out-bal products (155)(완성제품)'!B96,'JUNE (물량흐름)'!$V$13:$V$493)</f>
        <v>0</v>
      </c>
      <c r="H96" s="58">
        <f>SUMIF('JUNE (물량흐름)'!$C$13:$C$493,'In-out-bal products (155)(완성제품)'!B96,'JUNE (물량흐름)'!$T$13:$T$493)-SUMIF('JUNE (물량흐름)'!$C$13:$C$493,'In-out-bal products (155)(완성제품)'!B96,'JUNE (물량흐름)'!$Y$13:$Y$493)+SUMIF('JUNE (물량흐름)'!$C$13:$C$493,'In-out-bal products (155)(완성제품)'!B96,'JUNE (물량흐름)'!$U$13:$U$493)</f>
        <v>97</v>
      </c>
      <c r="I96" s="58">
        <f t="shared" si="36"/>
        <v>36775.917525773199</v>
      </c>
      <c r="J96" s="58">
        <f>SUMIF('Direct labour(직접노무비)'!$C$12:$C$503,'In-out-bal products (155)(완성제품)'!B96,'Direct labour(직접노무비)'!$Q$12:$Q$503)</f>
        <v>1450160</v>
      </c>
      <c r="K96" s="59">
        <f>SUMIF('Overhead exp(제조경비)'!$C$12:$C$503,'In-out-bal products (155)(완성제품)'!B96,'Overhead exp(제조경비)'!$Q$12:$Q$503)</f>
        <v>2117104</v>
      </c>
      <c r="L96" s="58">
        <f t="shared" si="37"/>
        <v>3567264</v>
      </c>
      <c r="M96" s="58">
        <f>SUMIF('JUNE (물량흐름)'!$C$13:$C$488,'In-out-bal products (155)(완성제품)'!B96,'JUNE (물량흐름)'!$Y$13:$Y$488)</f>
        <v>0</v>
      </c>
      <c r="N96" s="58">
        <f t="shared" si="38"/>
        <v>0</v>
      </c>
      <c r="O96" s="58">
        <f>SUMIF('Direct labour(직접노무비)'!$C$12:$C$503,'In-out-bal products (155)(완성제품)'!B96,'Direct labour(직접노무비)'!$U$12:$U$503)+SUMIF('Overhead exp(제조경비)'!$C$12:$C$503,'In-out-bal products (155)(완성제품)'!B96,'Overhead exp(제조경비)'!$U$12:$U$503)</f>
        <v>0</v>
      </c>
      <c r="P96" s="60">
        <f t="shared" si="39"/>
        <v>97</v>
      </c>
      <c r="Q96" s="60">
        <f t="shared" si="40"/>
        <v>36775.917525773199</v>
      </c>
      <c r="R96" s="60">
        <f t="shared" si="41"/>
        <v>3567264</v>
      </c>
      <c r="S96" s="58">
        <v>0</v>
      </c>
      <c r="T96" s="58">
        <v>0</v>
      </c>
      <c r="U96" s="58">
        <v>0</v>
      </c>
      <c r="V96" s="58">
        <f>SUMIF('JUNE (물량흐름)'!$C$13:$C$493,'In-out-bal products (155)(완성제품)'!B96,'JUNE (물량흐름)'!$W$13:$W$493)</f>
        <v>0</v>
      </c>
      <c r="W96" s="58">
        <f t="shared" si="42"/>
        <v>0</v>
      </c>
      <c r="X96" s="58">
        <f t="shared" si="43"/>
        <v>0</v>
      </c>
      <c r="Y96" s="58">
        <f>SUMIF('JUNE (물량흐름)'!$C$13:$C$488,'In-out-bal products (155)(완성제품)'!B96,'JUNE (물량흐름)'!$X$13:$X$488)</f>
        <v>0</v>
      </c>
      <c r="Z96" s="58">
        <f t="shared" si="44"/>
        <v>0</v>
      </c>
      <c r="AA96" s="58">
        <f t="shared" si="45"/>
        <v>0</v>
      </c>
      <c r="AB96" s="58"/>
      <c r="AC96" s="58"/>
      <c r="AD96" s="61"/>
      <c r="AE96" s="58">
        <f t="shared" si="46"/>
        <v>0</v>
      </c>
      <c r="AF96" s="58">
        <f t="shared" si="47"/>
        <v>0</v>
      </c>
      <c r="AG96" s="61">
        <f t="shared" si="48"/>
        <v>0</v>
      </c>
      <c r="AH96" s="58">
        <v>0</v>
      </c>
      <c r="AI96" s="58">
        <v>0</v>
      </c>
      <c r="AJ96" s="61">
        <v>0</v>
      </c>
      <c r="AK96" s="58"/>
      <c r="AL96" s="58"/>
      <c r="AM96" s="61"/>
      <c r="AN96" s="61">
        <f t="shared" si="49"/>
        <v>0</v>
      </c>
      <c r="AO96" s="58">
        <f t="shared" si="50"/>
        <v>0</v>
      </c>
      <c r="AP96" s="61">
        <f t="shared" si="51"/>
        <v>0</v>
      </c>
      <c r="AQ96" s="58">
        <f t="shared" si="52"/>
        <v>97</v>
      </c>
      <c r="AR96" s="58">
        <f t="shared" si="53"/>
        <v>36775.917525773199</v>
      </c>
      <c r="AS96" s="58">
        <f t="shared" si="54"/>
        <v>3567264</v>
      </c>
      <c r="AT96" s="58">
        <f>ROUND(SUMIF('JUNE (물량흐름)'!$C$13:$C$502,'In-out-bal products (155)(완성제품)'!B96,'JUNE (물량흐름)'!$AB$13:$AB$502),0)</f>
        <v>0</v>
      </c>
      <c r="AU96" s="58">
        <f t="shared" si="55"/>
        <v>0</v>
      </c>
      <c r="AV96" s="58">
        <f>ROUND(SUMIF('JUNE (물량흐름)'!$C$13:$C$502,'In-out-bal products (155)(완성제품)'!B96,'JUNE (물량흐름)'!$AC$13:$AC$502),0)</f>
        <v>97</v>
      </c>
      <c r="AW96" s="58">
        <f t="shared" si="56"/>
        <v>3567264</v>
      </c>
      <c r="AX96" s="376">
        <f t="shared" si="57"/>
        <v>0</v>
      </c>
      <c r="AY96" s="377">
        <f t="shared" si="58"/>
        <v>0</v>
      </c>
      <c r="AZ96" s="377">
        <f t="shared" si="59"/>
        <v>0</v>
      </c>
      <c r="BA96" s="377">
        <f t="shared" si="60"/>
        <v>0</v>
      </c>
      <c r="BB96" s="377"/>
      <c r="BC96" s="377">
        <f t="shared" si="61"/>
        <v>0</v>
      </c>
      <c r="BD96" s="377">
        <f t="shared" si="62"/>
        <v>0</v>
      </c>
      <c r="BE96" s="377"/>
      <c r="BF96" s="377">
        <f t="shared" si="63"/>
        <v>0</v>
      </c>
      <c r="BG96" s="433">
        <f t="shared" si="64"/>
        <v>0</v>
      </c>
      <c r="BH96" s="434">
        <f t="shared" si="65"/>
        <v>0</v>
      </c>
    </row>
    <row r="97" spans="1:60" s="379" customFormat="1">
      <c r="A97" s="167">
        <v>86</v>
      </c>
      <c r="B97" s="253">
        <f>VLOOKUP(A97,'JUNE (물량흐름)'!$A$13:$C$493,3,0)</f>
        <v>455571</v>
      </c>
      <c r="C97" s="57" t="str">
        <f>VLOOKUP(A97,'JUNE (물량흐름)'!$A$13:$C$493,2,0)</f>
        <v>ANN TAYLOR</v>
      </c>
      <c r="D97" s="58">
        <f>IFERROR(VLOOKUP(B97,O.B.JUNE!$V$7:$Y$448,2,0),0)</f>
        <v>13</v>
      </c>
      <c r="E97" s="58">
        <f>IFERROR(VLOOKUP(B97,O.B.JUNE!$V$7:$X$448,3,0),0)</f>
        <v>42654.692307692305</v>
      </c>
      <c r="F97" s="58">
        <f>IFERROR(VLOOKUP(B97,O.B.JUNE!$V$7:$Y$448,4,0),0)</f>
        <v>554511</v>
      </c>
      <c r="G97" s="58">
        <f>SUMIF('JUNE (물량흐름)'!$C$13:$C$493,'In-out-bal products (155)(완성제품)'!B97,'JUNE (물량흐름)'!$V$13:$V$493)</f>
        <v>0</v>
      </c>
      <c r="H97" s="58">
        <f>SUMIF('JUNE (물량흐름)'!$C$13:$C$493,'In-out-bal products (155)(완성제품)'!B97,'JUNE (물량흐름)'!$T$13:$T$493)-SUMIF('JUNE (물량흐름)'!$C$13:$C$493,'In-out-bal products (155)(완성제품)'!B97,'JUNE (물량흐름)'!$Y$13:$Y$493)+SUMIF('JUNE (물량흐름)'!$C$13:$C$493,'In-out-bal products (155)(완성제품)'!B97,'JUNE (물량흐름)'!$U$13:$U$493)</f>
        <v>491</v>
      </c>
      <c r="I97" s="58">
        <f t="shared" si="36"/>
        <v>34723.044806517311</v>
      </c>
      <c r="J97" s="58">
        <f>SUMIF('Direct labour(직접노무비)'!$C$12:$C$503,'In-out-bal products (155)(완성제품)'!B97,'Direct labour(직접노무비)'!$Q$12:$Q$503)</f>
        <v>6734967</v>
      </c>
      <c r="K97" s="59">
        <f>SUMIF('Overhead exp(제조경비)'!$C$12:$C$503,'In-out-bal products (155)(완성제품)'!B97,'Overhead exp(제조경비)'!$Q$12:$Q$503)</f>
        <v>10314048</v>
      </c>
      <c r="L97" s="58">
        <f t="shared" si="37"/>
        <v>17049015</v>
      </c>
      <c r="M97" s="58">
        <f>SUMIF('JUNE (물량흐름)'!$C$13:$C$488,'In-out-bal products (155)(완성제품)'!B97,'JUNE (물량흐름)'!$Y$13:$Y$488)</f>
        <v>0</v>
      </c>
      <c r="N97" s="58">
        <f t="shared" si="38"/>
        <v>0</v>
      </c>
      <c r="O97" s="58">
        <f>SUMIF('Direct labour(직접노무비)'!$C$12:$C$503,'In-out-bal products (155)(완성제품)'!B97,'Direct labour(직접노무비)'!$U$12:$U$503)+SUMIF('Overhead exp(제조경비)'!$C$12:$C$503,'In-out-bal products (155)(완성제품)'!B97,'Overhead exp(제조경비)'!$U$12:$U$503)</f>
        <v>0</v>
      </c>
      <c r="P97" s="60">
        <f t="shared" si="39"/>
        <v>491</v>
      </c>
      <c r="Q97" s="60">
        <f t="shared" si="40"/>
        <v>34723.044806517311</v>
      </c>
      <c r="R97" s="60">
        <f t="shared" si="41"/>
        <v>17049015</v>
      </c>
      <c r="S97" s="58">
        <v>0</v>
      </c>
      <c r="T97" s="58">
        <v>0</v>
      </c>
      <c r="U97" s="58">
        <v>0</v>
      </c>
      <c r="V97" s="58">
        <f>SUMIF('JUNE (물량흐름)'!$C$13:$C$493,'In-out-bal products (155)(완성제품)'!B97,'JUNE (물량흐름)'!$W$13:$W$493)</f>
        <v>0</v>
      </c>
      <c r="W97" s="58">
        <f t="shared" si="42"/>
        <v>0</v>
      </c>
      <c r="X97" s="58">
        <f t="shared" si="43"/>
        <v>0</v>
      </c>
      <c r="Y97" s="58">
        <f>SUMIF('JUNE (물량흐름)'!$C$13:$C$488,'In-out-bal products (155)(완성제품)'!B97,'JUNE (물량흐름)'!$X$13:$X$488)</f>
        <v>0</v>
      </c>
      <c r="Z97" s="58">
        <f t="shared" si="44"/>
        <v>0</v>
      </c>
      <c r="AA97" s="58">
        <f t="shared" si="45"/>
        <v>0</v>
      </c>
      <c r="AB97" s="58"/>
      <c r="AC97" s="58"/>
      <c r="AD97" s="61"/>
      <c r="AE97" s="58">
        <f t="shared" si="46"/>
        <v>0</v>
      </c>
      <c r="AF97" s="58">
        <f t="shared" si="47"/>
        <v>0</v>
      </c>
      <c r="AG97" s="61">
        <f t="shared" si="48"/>
        <v>0</v>
      </c>
      <c r="AH97" s="58">
        <v>0</v>
      </c>
      <c r="AI97" s="58">
        <v>0</v>
      </c>
      <c r="AJ97" s="61">
        <v>0</v>
      </c>
      <c r="AK97" s="58"/>
      <c r="AL97" s="58"/>
      <c r="AM97" s="61"/>
      <c r="AN97" s="61">
        <f t="shared" si="49"/>
        <v>0</v>
      </c>
      <c r="AO97" s="58">
        <f t="shared" si="50"/>
        <v>0</v>
      </c>
      <c r="AP97" s="61">
        <f t="shared" si="51"/>
        <v>0</v>
      </c>
      <c r="AQ97" s="58">
        <f t="shared" si="52"/>
        <v>504</v>
      </c>
      <c r="AR97" s="58">
        <f t="shared" si="53"/>
        <v>34927.630952380954</v>
      </c>
      <c r="AS97" s="58">
        <f t="shared" si="54"/>
        <v>17603526</v>
      </c>
      <c r="AT97" s="58">
        <f>ROUND(SUMIF('JUNE (물량흐름)'!$C$13:$C$502,'In-out-bal products (155)(완성제품)'!B97,'JUNE (물량흐름)'!$AB$13:$AB$502),0)</f>
        <v>0</v>
      </c>
      <c r="AU97" s="58">
        <f t="shared" si="55"/>
        <v>0</v>
      </c>
      <c r="AV97" s="58">
        <f>ROUND(SUMIF('JUNE (물량흐름)'!$C$13:$C$502,'In-out-bal products (155)(완성제품)'!B97,'JUNE (물량흐름)'!$AC$13:$AC$502),0)</f>
        <v>504</v>
      </c>
      <c r="AW97" s="58">
        <f t="shared" si="56"/>
        <v>17603526</v>
      </c>
      <c r="AX97" s="376">
        <f t="shared" si="57"/>
        <v>0</v>
      </c>
      <c r="AY97" s="377">
        <f t="shared" si="58"/>
        <v>0</v>
      </c>
      <c r="AZ97" s="377">
        <f t="shared" si="59"/>
        <v>0</v>
      </c>
      <c r="BA97" s="377">
        <f t="shared" si="60"/>
        <v>0</v>
      </c>
      <c r="BB97" s="377"/>
      <c r="BC97" s="377">
        <f t="shared" si="61"/>
        <v>0</v>
      </c>
      <c r="BD97" s="377">
        <f t="shared" si="62"/>
        <v>0</v>
      </c>
      <c r="BE97" s="377"/>
      <c r="BF97" s="377">
        <f t="shared" si="63"/>
        <v>0</v>
      </c>
      <c r="BG97" s="433">
        <f t="shared" si="64"/>
        <v>0</v>
      </c>
      <c r="BH97" s="434">
        <f t="shared" si="65"/>
        <v>0</v>
      </c>
    </row>
    <row r="98" spans="1:60" s="378" customFormat="1">
      <c r="A98" s="167">
        <v>87</v>
      </c>
      <c r="B98" s="253" t="str">
        <f>VLOOKUP(A98,'JUNE (물량흐름)'!$A$13:$C$493,3,0)</f>
        <v>456532(456692)</v>
      </c>
      <c r="C98" s="57" t="str">
        <f>VLOOKUP(A98,'JUNE (물량흐름)'!$A$13:$C$493,2,0)</f>
        <v>ANN TAYLOR</v>
      </c>
      <c r="D98" s="58">
        <f>IFERROR(VLOOKUP(B98,O.B.JUNE!$V$7:$Y$448,2,0),0)</f>
        <v>200</v>
      </c>
      <c r="E98" s="58">
        <f>IFERROR(VLOOKUP(B98,O.B.JUNE!$V$7:$X$448,3,0),0)</f>
        <v>37395.205000000002</v>
      </c>
      <c r="F98" s="58">
        <f>IFERROR(VLOOKUP(B98,O.B.JUNE!$V$7:$Y$448,4,0),0)</f>
        <v>7479041</v>
      </c>
      <c r="G98" s="58">
        <f>SUMIF('JUNE (물량흐름)'!$C$13:$C$493,'In-out-bal products (155)(완성제품)'!B98,'JUNE (물량흐름)'!$V$13:$V$493)</f>
        <v>0</v>
      </c>
      <c r="H98" s="58">
        <f>SUMIF('JUNE (물량흐름)'!$C$13:$C$493,'In-out-bal products (155)(완성제품)'!B98,'JUNE (물량흐름)'!$T$13:$T$493)-SUMIF('JUNE (물량흐름)'!$C$13:$C$493,'In-out-bal products (155)(완성제품)'!B98,'JUNE (물량흐름)'!$Y$13:$Y$493)+SUMIF('JUNE (물량흐름)'!$C$13:$C$493,'In-out-bal products (155)(완성제품)'!B98,'JUNE (물량흐름)'!$U$13:$U$493)</f>
        <v>143</v>
      </c>
      <c r="I98" s="58">
        <f t="shared" si="36"/>
        <v>29839.153846153848</v>
      </c>
      <c r="J98" s="58">
        <f>SUMIF('Direct labour(직접노무비)'!$C$12:$C$503,'In-out-bal products (155)(완성제품)'!B98,'Direct labour(직접노무비)'!$Q$12:$Q$503)</f>
        <v>1734615</v>
      </c>
      <c r="K98" s="59">
        <f>SUMIF('Overhead exp(제조경비)'!$C$12:$C$503,'In-out-bal products (155)(완성제품)'!B98,'Overhead exp(제조경비)'!$Q$12:$Q$503)</f>
        <v>2532384</v>
      </c>
      <c r="L98" s="58">
        <f t="shared" si="37"/>
        <v>4266999</v>
      </c>
      <c r="M98" s="58">
        <f>SUMIF('JUNE (물량흐름)'!$C$13:$C$488,'In-out-bal products (155)(완성제품)'!B98,'JUNE (물량흐름)'!$Y$13:$Y$488)</f>
        <v>0</v>
      </c>
      <c r="N98" s="58">
        <f t="shared" si="38"/>
        <v>0</v>
      </c>
      <c r="O98" s="58">
        <f>SUMIF('Direct labour(직접노무비)'!$C$12:$C$503,'In-out-bal products (155)(완성제품)'!B98,'Direct labour(직접노무비)'!$U$12:$U$503)+SUMIF('Overhead exp(제조경비)'!$C$12:$C$503,'In-out-bal products (155)(완성제품)'!B98,'Overhead exp(제조경비)'!$U$12:$U$503)</f>
        <v>0</v>
      </c>
      <c r="P98" s="60">
        <f t="shared" si="39"/>
        <v>143</v>
      </c>
      <c r="Q98" s="60">
        <f t="shared" si="40"/>
        <v>29839.153846153848</v>
      </c>
      <c r="R98" s="60">
        <f t="shared" si="41"/>
        <v>4266999</v>
      </c>
      <c r="S98" s="58">
        <v>0</v>
      </c>
      <c r="T98" s="58">
        <v>0</v>
      </c>
      <c r="U98" s="58">
        <v>0</v>
      </c>
      <c r="V98" s="58">
        <f>SUMIF('JUNE (물량흐름)'!$C$13:$C$493,'In-out-bal products (155)(완성제품)'!B98,'JUNE (물량흐름)'!$W$13:$W$493)</f>
        <v>0</v>
      </c>
      <c r="W98" s="58">
        <f t="shared" si="42"/>
        <v>0</v>
      </c>
      <c r="X98" s="58">
        <f t="shared" si="43"/>
        <v>0</v>
      </c>
      <c r="Y98" s="58">
        <f>SUMIF('JUNE (물량흐름)'!$C$13:$C$488,'In-out-bal products (155)(완성제품)'!B98,'JUNE (물량흐름)'!$X$13:$X$488)</f>
        <v>0</v>
      </c>
      <c r="Z98" s="58">
        <f t="shared" si="44"/>
        <v>0</v>
      </c>
      <c r="AA98" s="58">
        <f t="shared" si="45"/>
        <v>0</v>
      </c>
      <c r="AB98" s="58"/>
      <c r="AC98" s="58"/>
      <c r="AD98" s="61"/>
      <c r="AE98" s="58">
        <f t="shared" si="46"/>
        <v>0</v>
      </c>
      <c r="AF98" s="58">
        <f t="shared" si="47"/>
        <v>0</v>
      </c>
      <c r="AG98" s="61">
        <f t="shared" si="48"/>
        <v>0</v>
      </c>
      <c r="AH98" s="58">
        <v>0</v>
      </c>
      <c r="AI98" s="58">
        <v>0</v>
      </c>
      <c r="AJ98" s="61">
        <v>0</v>
      </c>
      <c r="AK98" s="58"/>
      <c r="AL98" s="58"/>
      <c r="AM98" s="61"/>
      <c r="AN98" s="61">
        <f t="shared" si="49"/>
        <v>0</v>
      </c>
      <c r="AO98" s="58">
        <f t="shared" si="50"/>
        <v>0</v>
      </c>
      <c r="AP98" s="61">
        <f t="shared" si="51"/>
        <v>0</v>
      </c>
      <c r="AQ98" s="58">
        <f t="shared" si="52"/>
        <v>343</v>
      </c>
      <c r="AR98" s="58">
        <f t="shared" si="53"/>
        <v>34245.014577259477</v>
      </c>
      <c r="AS98" s="58">
        <f t="shared" si="54"/>
        <v>11746040</v>
      </c>
      <c r="AT98" s="58">
        <f>ROUND(SUMIF('JUNE (물량흐름)'!$C$13:$C$502,'In-out-bal products (155)(완성제품)'!B98,'JUNE (물량흐름)'!$AB$13:$AB$502),0)</f>
        <v>0</v>
      </c>
      <c r="AU98" s="58">
        <f t="shared" si="55"/>
        <v>0</v>
      </c>
      <c r="AV98" s="58">
        <f>ROUND(SUMIF('JUNE (물량흐름)'!$C$13:$C$502,'In-out-bal products (155)(완성제품)'!B98,'JUNE (물량흐름)'!$AC$13:$AC$502),0)</f>
        <v>343</v>
      </c>
      <c r="AW98" s="58">
        <f t="shared" si="56"/>
        <v>11746040</v>
      </c>
      <c r="AX98" s="376">
        <f t="shared" si="57"/>
        <v>0</v>
      </c>
      <c r="AY98" s="377">
        <f t="shared" si="58"/>
        <v>0</v>
      </c>
      <c r="AZ98" s="377">
        <f t="shared" si="59"/>
        <v>0</v>
      </c>
      <c r="BA98" s="377">
        <f t="shared" si="60"/>
        <v>0</v>
      </c>
      <c r="BB98" s="377"/>
      <c r="BC98" s="377">
        <f t="shared" si="61"/>
        <v>0</v>
      </c>
      <c r="BD98" s="377">
        <f t="shared" si="62"/>
        <v>0</v>
      </c>
      <c r="BE98" s="377"/>
      <c r="BF98" s="377">
        <f t="shared" si="63"/>
        <v>0</v>
      </c>
      <c r="BG98" s="433">
        <f t="shared" si="64"/>
        <v>0</v>
      </c>
      <c r="BH98" s="434">
        <f t="shared" si="65"/>
        <v>0</v>
      </c>
    </row>
    <row r="99" spans="1:60" s="378" customFormat="1">
      <c r="A99" s="167">
        <v>88</v>
      </c>
      <c r="B99" s="253" t="str">
        <f>VLOOKUP(A99,'JUNE (물량흐름)'!$A$13:$C$493,3,0)</f>
        <v>KCL0026</v>
      </c>
      <c r="C99" s="57" t="str">
        <f>VLOOKUP(A99,'JUNE (물량흐름)'!$A$13:$C$493,2,0)</f>
        <v>BUFFALO</v>
      </c>
      <c r="D99" s="58">
        <f>IFERROR(VLOOKUP(B99,O.B.JUNE!$V$7:$Y$448,2,0),0)</f>
        <v>0</v>
      </c>
      <c r="E99" s="58">
        <f>IFERROR(VLOOKUP(B99,O.B.JUNE!$V$7:$X$448,3,0),0)</f>
        <v>0</v>
      </c>
      <c r="F99" s="58">
        <f>IFERROR(VLOOKUP(B99,O.B.JUNE!$V$7:$Y$448,4,0),0)</f>
        <v>0</v>
      </c>
      <c r="G99" s="58">
        <f>SUMIF('JUNE (물량흐름)'!$C$13:$C$493,'In-out-bal products (155)(완성제품)'!B99,'JUNE (물량흐름)'!$V$13:$V$493)</f>
        <v>0</v>
      </c>
      <c r="H99" s="58">
        <f>SUMIF('JUNE (물량흐름)'!$C$13:$C$493,'In-out-bal products (155)(완성제품)'!B99,'JUNE (물량흐름)'!$T$13:$T$493)-SUMIF('JUNE (물량흐름)'!$C$13:$C$493,'In-out-bal products (155)(완성제품)'!B99,'JUNE (물량흐름)'!$Y$13:$Y$493)+SUMIF('JUNE (물량흐름)'!$C$13:$C$493,'In-out-bal products (155)(완성제품)'!B99,'JUNE (물량흐름)'!$U$13:$U$493)</f>
        <v>36</v>
      </c>
      <c r="I99" s="58">
        <f t="shared" si="36"/>
        <v>15501.472222222223</v>
      </c>
      <c r="J99" s="58">
        <f>SUMIF('Direct labour(직접노무비)'!$C$12:$C$503,'In-out-bal products (155)(완성제품)'!B99,'Direct labour(직접노무비)'!$Q$12:$Q$503)</f>
        <v>226859</v>
      </c>
      <c r="K99" s="59">
        <f>SUMIF('Overhead exp(제조경비)'!$C$12:$C$503,'In-out-bal products (155)(완성제품)'!B99,'Overhead exp(제조경비)'!$Q$12:$Q$503)</f>
        <v>331194</v>
      </c>
      <c r="L99" s="58">
        <f t="shared" si="37"/>
        <v>558053</v>
      </c>
      <c r="M99" s="58">
        <f>SUMIF('JUNE (물량흐름)'!$C$13:$C$488,'In-out-bal products (155)(완성제품)'!B99,'JUNE (물량흐름)'!$Y$13:$Y$488)</f>
        <v>0</v>
      </c>
      <c r="N99" s="58">
        <f t="shared" si="38"/>
        <v>0</v>
      </c>
      <c r="O99" s="58">
        <f>SUMIF('Direct labour(직접노무비)'!$C$12:$C$503,'In-out-bal products (155)(완성제품)'!B99,'Direct labour(직접노무비)'!$U$12:$U$503)+SUMIF('Overhead exp(제조경비)'!$C$12:$C$503,'In-out-bal products (155)(완성제품)'!B99,'Overhead exp(제조경비)'!$U$12:$U$503)</f>
        <v>0</v>
      </c>
      <c r="P99" s="60">
        <f t="shared" si="39"/>
        <v>36</v>
      </c>
      <c r="Q99" s="60">
        <f t="shared" si="40"/>
        <v>15501.472222222223</v>
      </c>
      <c r="R99" s="60">
        <f t="shared" si="41"/>
        <v>558053</v>
      </c>
      <c r="S99" s="58">
        <v>0</v>
      </c>
      <c r="T99" s="58">
        <v>0</v>
      </c>
      <c r="U99" s="58">
        <v>0</v>
      </c>
      <c r="V99" s="58">
        <f>SUMIF('JUNE (물량흐름)'!$C$13:$C$493,'In-out-bal products (155)(완성제품)'!B99,'JUNE (물량흐름)'!$W$13:$W$493)</f>
        <v>0</v>
      </c>
      <c r="W99" s="58">
        <f t="shared" si="42"/>
        <v>0</v>
      </c>
      <c r="X99" s="58">
        <f t="shared" si="43"/>
        <v>0</v>
      </c>
      <c r="Y99" s="58">
        <f>SUMIF('JUNE (물량흐름)'!$C$13:$C$488,'In-out-bal products (155)(완성제품)'!B99,'JUNE (물량흐름)'!$X$13:$X$488)</f>
        <v>0</v>
      </c>
      <c r="Z99" s="58">
        <f t="shared" si="44"/>
        <v>0</v>
      </c>
      <c r="AA99" s="58">
        <f t="shared" si="45"/>
        <v>0</v>
      </c>
      <c r="AB99" s="58"/>
      <c r="AC99" s="58"/>
      <c r="AD99" s="61"/>
      <c r="AE99" s="58">
        <f t="shared" si="46"/>
        <v>0</v>
      </c>
      <c r="AF99" s="58">
        <f t="shared" si="47"/>
        <v>0</v>
      </c>
      <c r="AG99" s="61">
        <f t="shared" si="48"/>
        <v>0</v>
      </c>
      <c r="AH99" s="58">
        <v>0</v>
      </c>
      <c r="AI99" s="58">
        <v>0</v>
      </c>
      <c r="AJ99" s="61">
        <v>0</v>
      </c>
      <c r="AK99" s="58"/>
      <c r="AL99" s="58"/>
      <c r="AM99" s="61"/>
      <c r="AN99" s="61">
        <f t="shared" si="49"/>
        <v>0</v>
      </c>
      <c r="AO99" s="58">
        <f t="shared" si="50"/>
        <v>0</v>
      </c>
      <c r="AP99" s="61">
        <f t="shared" si="51"/>
        <v>0</v>
      </c>
      <c r="AQ99" s="58">
        <f t="shared" si="52"/>
        <v>36</v>
      </c>
      <c r="AR99" s="58">
        <f t="shared" si="53"/>
        <v>15501.472222222223</v>
      </c>
      <c r="AS99" s="58">
        <f t="shared" si="54"/>
        <v>558053</v>
      </c>
      <c r="AT99" s="58">
        <f>ROUND(SUMIF('JUNE (물량흐름)'!$C$13:$C$502,'In-out-bal products (155)(완성제품)'!B99,'JUNE (물량흐름)'!$AB$13:$AB$502),0)</f>
        <v>0</v>
      </c>
      <c r="AU99" s="58">
        <f t="shared" si="55"/>
        <v>0</v>
      </c>
      <c r="AV99" s="58">
        <f>ROUND(SUMIF('JUNE (물량흐름)'!$C$13:$C$502,'In-out-bal products (155)(완성제품)'!B99,'JUNE (물량흐름)'!$AC$13:$AC$502),0)</f>
        <v>36</v>
      </c>
      <c r="AW99" s="58">
        <f t="shared" si="56"/>
        <v>558053</v>
      </c>
      <c r="AX99" s="376">
        <f t="shared" si="57"/>
        <v>0</v>
      </c>
      <c r="AY99" s="377">
        <f t="shared" si="58"/>
        <v>0</v>
      </c>
      <c r="AZ99" s="377">
        <f t="shared" si="59"/>
        <v>0</v>
      </c>
      <c r="BA99" s="377">
        <f t="shared" si="60"/>
        <v>0</v>
      </c>
      <c r="BB99" s="377"/>
      <c r="BC99" s="377">
        <f t="shared" si="61"/>
        <v>0</v>
      </c>
      <c r="BD99" s="377">
        <f t="shared" si="62"/>
        <v>0</v>
      </c>
      <c r="BE99" s="377"/>
      <c r="BF99" s="377">
        <f t="shared" si="63"/>
        <v>0</v>
      </c>
      <c r="BG99" s="433">
        <f t="shared" si="64"/>
        <v>0</v>
      </c>
      <c r="BH99" s="434">
        <f t="shared" si="65"/>
        <v>0</v>
      </c>
    </row>
    <row r="100" spans="1:60" s="378" customFormat="1">
      <c r="A100" s="167">
        <v>89</v>
      </c>
      <c r="B100" s="253">
        <f>VLOOKUP(A100,'JUNE (물량흐름)'!$A$13:$C$493,3,0)</f>
        <v>100007764</v>
      </c>
      <c r="C100" s="57" t="str">
        <f>VLOOKUP(A100,'JUNE (물량흐름)'!$A$13:$C$493,2,0)</f>
        <v>INC</v>
      </c>
      <c r="D100" s="58">
        <f>IFERROR(VLOOKUP(B100,O.B.JUNE!$V$7:$Y$448,2,0),0)</f>
        <v>0</v>
      </c>
      <c r="E100" s="58">
        <f>IFERROR(VLOOKUP(B100,O.B.JUNE!$V$7:$X$448,3,0),0)</f>
        <v>0</v>
      </c>
      <c r="F100" s="58">
        <f>IFERROR(VLOOKUP(B100,O.B.JUNE!$V$7:$Y$448,4,0),0)</f>
        <v>0</v>
      </c>
      <c r="G100" s="58">
        <f>SUMIF('JUNE (물량흐름)'!$C$13:$C$493,'In-out-bal products (155)(완성제품)'!B100,'JUNE (물량흐름)'!$V$13:$V$493)</f>
        <v>0</v>
      </c>
      <c r="H100" s="58">
        <f>SUMIF('JUNE (물량흐름)'!$C$13:$C$493,'In-out-bal products (155)(완성제품)'!B100,'JUNE (물량흐름)'!$T$13:$T$493)-SUMIF('JUNE (물량흐름)'!$C$13:$C$493,'In-out-bal products (155)(완성제품)'!B100,'JUNE (물량흐름)'!$Y$13:$Y$493)+SUMIF('JUNE (물량흐름)'!$C$13:$C$493,'In-out-bal products (155)(완성제품)'!B100,'JUNE (물량흐름)'!$U$13:$U$493)</f>
        <v>0</v>
      </c>
      <c r="I100" s="58">
        <f t="shared" si="36"/>
        <v>0</v>
      </c>
      <c r="J100" s="58">
        <f>SUMIF('Direct labour(직접노무비)'!$C$12:$C$503,'In-out-bal products (155)(완성제품)'!B100,'Direct labour(직접노무비)'!$Q$12:$Q$503)</f>
        <v>0</v>
      </c>
      <c r="K100" s="59">
        <f>SUMIF('Overhead exp(제조경비)'!$C$12:$C$503,'In-out-bal products (155)(완성제품)'!B100,'Overhead exp(제조경비)'!$Q$12:$Q$503)</f>
        <v>0</v>
      </c>
      <c r="L100" s="58">
        <f t="shared" si="37"/>
        <v>0</v>
      </c>
      <c r="M100" s="58">
        <f>SUMIF('JUNE (물량흐름)'!$C$13:$C$488,'In-out-bal products (155)(완성제품)'!B100,'JUNE (물량흐름)'!$Y$13:$Y$488)</f>
        <v>0</v>
      </c>
      <c r="N100" s="58">
        <f t="shared" si="38"/>
        <v>0</v>
      </c>
      <c r="O100" s="58">
        <f>SUMIF('Direct labour(직접노무비)'!$C$12:$C$503,'In-out-bal products (155)(완성제품)'!B100,'Direct labour(직접노무비)'!$U$12:$U$503)+SUMIF('Overhead exp(제조경비)'!$C$12:$C$503,'In-out-bal products (155)(완성제품)'!B100,'Overhead exp(제조경비)'!$U$12:$U$503)</f>
        <v>0</v>
      </c>
      <c r="P100" s="60">
        <f t="shared" si="39"/>
        <v>0</v>
      </c>
      <c r="Q100" s="60">
        <f t="shared" si="40"/>
        <v>0</v>
      </c>
      <c r="R100" s="60">
        <f t="shared" si="41"/>
        <v>0</v>
      </c>
      <c r="S100" s="58">
        <v>0</v>
      </c>
      <c r="T100" s="58">
        <v>0</v>
      </c>
      <c r="U100" s="58">
        <v>0</v>
      </c>
      <c r="V100" s="58">
        <f>SUMIF('JUNE (물량흐름)'!$C$13:$C$493,'In-out-bal products (155)(완성제품)'!B100,'JUNE (물량흐름)'!$W$13:$W$493)</f>
        <v>0</v>
      </c>
      <c r="W100" s="58">
        <f t="shared" si="42"/>
        <v>0</v>
      </c>
      <c r="X100" s="58">
        <f t="shared" si="43"/>
        <v>0</v>
      </c>
      <c r="Y100" s="58">
        <f>SUMIF('JUNE (물량흐름)'!$C$13:$C$488,'In-out-bal products (155)(완성제품)'!B100,'JUNE (물량흐름)'!$X$13:$X$488)</f>
        <v>0</v>
      </c>
      <c r="Z100" s="58">
        <f t="shared" si="44"/>
        <v>0</v>
      </c>
      <c r="AA100" s="58">
        <f t="shared" si="45"/>
        <v>0</v>
      </c>
      <c r="AB100" s="58"/>
      <c r="AC100" s="58"/>
      <c r="AD100" s="61"/>
      <c r="AE100" s="58">
        <f t="shared" si="46"/>
        <v>0</v>
      </c>
      <c r="AF100" s="58">
        <f t="shared" si="47"/>
        <v>0</v>
      </c>
      <c r="AG100" s="61">
        <f t="shared" si="48"/>
        <v>0</v>
      </c>
      <c r="AH100" s="58">
        <v>0</v>
      </c>
      <c r="AI100" s="58">
        <v>0</v>
      </c>
      <c r="AJ100" s="61">
        <v>0</v>
      </c>
      <c r="AK100" s="58"/>
      <c r="AL100" s="58"/>
      <c r="AM100" s="61"/>
      <c r="AN100" s="61">
        <f t="shared" si="49"/>
        <v>0</v>
      </c>
      <c r="AO100" s="58">
        <f t="shared" si="50"/>
        <v>0</v>
      </c>
      <c r="AP100" s="61">
        <f t="shared" si="51"/>
        <v>0</v>
      </c>
      <c r="AQ100" s="58">
        <f t="shared" si="52"/>
        <v>0</v>
      </c>
      <c r="AR100" s="58">
        <f t="shared" si="53"/>
        <v>0</v>
      </c>
      <c r="AS100" s="58">
        <f t="shared" si="54"/>
        <v>0</v>
      </c>
      <c r="AT100" s="58">
        <f>ROUND(SUMIF('JUNE (물량흐름)'!$C$13:$C$502,'In-out-bal products (155)(완성제품)'!B100,'JUNE (물량흐름)'!$AB$13:$AB$502),0)</f>
        <v>0</v>
      </c>
      <c r="AU100" s="58">
        <f t="shared" si="55"/>
        <v>0</v>
      </c>
      <c r="AV100" s="58">
        <f>ROUND(SUMIF('JUNE (물량흐름)'!$C$13:$C$502,'In-out-bal products (155)(완성제품)'!B100,'JUNE (물량흐름)'!$AC$13:$AC$502),0)</f>
        <v>0</v>
      </c>
      <c r="AW100" s="58">
        <f t="shared" si="56"/>
        <v>0</v>
      </c>
      <c r="AX100" s="376">
        <f t="shared" si="57"/>
        <v>0</v>
      </c>
      <c r="AY100" s="377">
        <f t="shared" si="58"/>
        <v>0</v>
      </c>
      <c r="AZ100" s="377">
        <f t="shared" si="59"/>
        <v>0</v>
      </c>
      <c r="BA100" s="377">
        <f t="shared" si="60"/>
        <v>0</v>
      </c>
      <c r="BB100" s="377"/>
      <c r="BC100" s="377">
        <f t="shared" si="61"/>
        <v>0</v>
      </c>
      <c r="BD100" s="377">
        <f t="shared" si="62"/>
        <v>0</v>
      </c>
      <c r="BE100" s="377"/>
      <c r="BF100" s="377">
        <f t="shared" si="63"/>
        <v>0</v>
      </c>
      <c r="BG100" s="433">
        <f t="shared" si="64"/>
        <v>0</v>
      </c>
      <c r="BH100" s="434">
        <f t="shared" si="65"/>
        <v>0</v>
      </c>
    </row>
    <row r="101" spans="1:60" s="378" customFormat="1">
      <c r="A101" s="167">
        <v>90</v>
      </c>
      <c r="B101" s="253">
        <f>VLOOKUP(A101,'JUNE (물량흐름)'!$A$13:$C$493,3,0)</f>
        <v>100007863</v>
      </c>
      <c r="C101" s="57" t="str">
        <f>VLOOKUP(A101,'JUNE (물량흐름)'!$A$13:$C$493,2,0)</f>
        <v>INC</v>
      </c>
      <c r="D101" s="58">
        <f>IFERROR(VLOOKUP(B101,O.B.JUNE!$V$7:$Y$448,2,0),0)</f>
        <v>0</v>
      </c>
      <c r="E101" s="58">
        <f>IFERROR(VLOOKUP(B101,O.B.JUNE!$V$7:$X$448,3,0),0)</f>
        <v>0</v>
      </c>
      <c r="F101" s="58">
        <f>IFERROR(VLOOKUP(B101,O.B.JUNE!$V$7:$Y$448,4,0),0)</f>
        <v>0</v>
      </c>
      <c r="G101" s="58">
        <f>SUMIF('JUNE (물량흐름)'!$C$13:$C$493,'In-out-bal products (155)(완성제품)'!B101,'JUNE (물량흐름)'!$V$13:$V$493)</f>
        <v>0</v>
      </c>
      <c r="H101" s="58">
        <f>SUMIF('JUNE (물량흐름)'!$C$13:$C$493,'In-out-bal products (155)(완성제품)'!B101,'JUNE (물량흐름)'!$T$13:$T$493)-SUMIF('JUNE (물량흐름)'!$C$13:$C$493,'In-out-bal products (155)(완성제품)'!B101,'JUNE (물량흐름)'!$Y$13:$Y$493)+SUMIF('JUNE (물량흐름)'!$C$13:$C$493,'In-out-bal products (155)(완성제품)'!B101,'JUNE (물량흐름)'!$U$13:$U$493)</f>
        <v>43</v>
      </c>
      <c r="I101" s="58">
        <f t="shared" si="36"/>
        <v>84530.906976744183</v>
      </c>
      <c r="J101" s="58">
        <f>SUMIF('Direct labour(직접노무비)'!$C$12:$C$503,'In-out-bal products (155)(완성제품)'!B101,'Direct labour(직접노무비)'!$Q$12:$Q$503)</f>
        <v>1477626</v>
      </c>
      <c r="K101" s="59">
        <f>SUMIF('Overhead exp(제조경비)'!$C$12:$C$503,'In-out-bal products (155)(완성제품)'!B101,'Overhead exp(제조경비)'!$Q$12:$Q$503)</f>
        <v>2157203</v>
      </c>
      <c r="L101" s="58">
        <f t="shared" si="37"/>
        <v>3634829</v>
      </c>
      <c r="M101" s="58">
        <f>SUMIF('JUNE (물량흐름)'!$C$13:$C$488,'In-out-bal products (155)(완성제품)'!B101,'JUNE (물량흐름)'!$Y$13:$Y$488)</f>
        <v>0</v>
      </c>
      <c r="N101" s="58">
        <f t="shared" si="38"/>
        <v>0</v>
      </c>
      <c r="O101" s="58">
        <f>SUMIF('Direct labour(직접노무비)'!$C$12:$C$503,'In-out-bal products (155)(완성제품)'!B101,'Direct labour(직접노무비)'!$U$12:$U$503)+SUMIF('Overhead exp(제조경비)'!$C$12:$C$503,'In-out-bal products (155)(완성제품)'!B101,'Overhead exp(제조경비)'!$U$12:$U$503)</f>
        <v>0</v>
      </c>
      <c r="P101" s="60">
        <f t="shared" si="39"/>
        <v>43</v>
      </c>
      <c r="Q101" s="60">
        <f t="shared" si="40"/>
        <v>84530.906976744183</v>
      </c>
      <c r="R101" s="60">
        <f t="shared" si="41"/>
        <v>3634829</v>
      </c>
      <c r="S101" s="58">
        <v>0</v>
      </c>
      <c r="T101" s="58">
        <v>0</v>
      </c>
      <c r="U101" s="58">
        <v>0</v>
      </c>
      <c r="V101" s="58">
        <f>SUMIF('JUNE (물량흐름)'!$C$13:$C$493,'In-out-bal products (155)(완성제품)'!B101,'JUNE (물량흐름)'!$W$13:$W$493)</f>
        <v>0</v>
      </c>
      <c r="W101" s="58">
        <f t="shared" si="42"/>
        <v>0</v>
      </c>
      <c r="X101" s="58">
        <f t="shared" si="43"/>
        <v>0</v>
      </c>
      <c r="Y101" s="58">
        <f>SUMIF('JUNE (물량흐름)'!$C$13:$C$488,'In-out-bal products (155)(완성제품)'!B101,'JUNE (물량흐름)'!$X$13:$X$488)</f>
        <v>0</v>
      </c>
      <c r="Z101" s="58">
        <f t="shared" si="44"/>
        <v>0</v>
      </c>
      <c r="AA101" s="58">
        <f t="shared" si="45"/>
        <v>0</v>
      </c>
      <c r="AB101" s="58"/>
      <c r="AC101" s="58"/>
      <c r="AD101" s="61"/>
      <c r="AE101" s="58">
        <f t="shared" si="46"/>
        <v>0</v>
      </c>
      <c r="AF101" s="58">
        <f t="shared" si="47"/>
        <v>0</v>
      </c>
      <c r="AG101" s="61">
        <f t="shared" si="48"/>
        <v>0</v>
      </c>
      <c r="AH101" s="58">
        <v>0</v>
      </c>
      <c r="AI101" s="58">
        <v>0</v>
      </c>
      <c r="AJ101" s="61">
        <v>0</v>
      </c>
      <c r="AK101" s="58"/>
      <c r="AL101" s="58"/>
      <c r="AM101" s="61"/>
      <c r="AN101" s="61">
        <f t="shared" si="49"/>
        <v>0</v>
      </c>
      <c r="AO101" s="58">
        <f t="shared" si="50"/>
        <v>0</v>
      </c>
      <c r="AP101" s="61">
        <f t="shared" si="51"/>
        <v>0</v>
      </c>
      <c r="AQ101" s="58">
        <f t="shared" si="52"/>
        <v>43</v>
      </c>
      <c r="AR101" s="58">
        <f t="shared" si="53"/>
        <v>84530.906976744183</v>
      </c>
      <c r="AS101" s="58">
        <f t="shared" si="54"/>
        <v>3634829</v>
      </c>
      <c r="AT101" s="58">
        <f>ROUND(SUMIF('JUNE (물량흐름)'!$C$13:$C$502,'In-out-bal products (155)(완성제품)'!B101,'JUNE (물량흐름)'!$AB$13:$AB$502),0)</f>
        <v>0</v>
      </c>
      <c r="AU101" s="58">
        <f t="shared" si="55"/>
        <v>0</v>
      </c>
      <c r="AV101" s="58">
        <f>ROUND(SUMIF('JUNE (물량흐름)'!$C$13:$C$502,'In-out-bal products (155)(완성제품)'!B101,'JUNE (물량흐름)'!$AC$13:$AC$502),0)</f>
        <v>43</v>
      </c>
      <c r="AW101" s="58">
        <f t="shared" si="56"/>
        <v>3634829</v>
      </c>
      <c r="AX101" s="376">
        <f t="shared" si="57"/>
        <v>0</v>
      </c>
      <c r="AY101" s="377">
        <f t="shared" si="58"/>
        <v>0</v>
      </c>
      <c r="AZ101" s="377">
        <f t="shared" si="59"/>
        <v>0</v>
      </c>
      <c r="BA101" s="377">
        <f t="shared" si="60"/>
        <v>0</v>
      </c>
      <c r="BB101" s="377"/>
      <c r="BC101" s="377">
        <f t="shared" si="61"/>
        <v>0</v>
      </c>
      <c r="BD101" s="377">
        <f t="shared" si="62"/>
        <v>0</v>
      </c>
      <c r="BE101" s="377"/>
      <c r="BF101" s="377">
        <f t="shared" si="63"/>
        <v>0</v>
      </c>
      <c r="BG101" s="433">
        <f t="shared" si="64"/>
        <v>0</v>
      </c>
      <c r="BH101" s="434">
        <f t="shared" si="65"/>
        <v>0</v>
      </c>
    </row>
    <row r="102" spans="1:60" s="378" customFormat="1">
      <c r="A102" s="167">
        <v>91</v>
      </c>
      <c r="B102" s="253">
        <f>VLOOKUP(A102,'JUNE (물량흐름)'!$A$13:$C$493,3,0)</f>
        <v>100009688</v>
      </c>
      <c r="C102" s="57" t="str">
        <f>VLOOKUP(A102,'JUNE (물량흐름)'!$A$13:$C$493,2,0)</f>
        <v>INC</v>
      </c>
      <c r="D102" s="58">
        <f>IFERROR(VLOOKUP(B102,O.B.JUNE!$V$7:$Y$448,2,0),0)</f>
        <v>0</v>
      </c>
      <c r="E102" s="58">
        <f>IFERROR(VLOOKUP(B102,O.B.JUNE!$V$7:$X$448,3,0),0)</f>
        <v>0</v>
      </c>
      <c r="F102" s="58">
        <f>IFERROR(VLOOKUP(B102,O.B.JUNE!$V$7:$Y$448,4,0),0)</f>
        <v>0</v>
      </c>
      <c r="G102" s="58">
        <f>SUMIF('JUNE (물량흐름)'!$C$13:$C$493,'In-out-bal products (155)(완성제품)'!B102,'JUNE (물량흐름)'!$V$13:$V$493)</f>
        <v>0</v>
      </c>
      <c r="H102" s="58">
        <f>SUMIF('JUNE (물량흐름)'!$C$13:$C$493,'In-out-bal products (155)(완성제품)'!B102,'JUNE (물량흐름)'!$T$13:$T$493)-SUMIF('JUNE (물량흐름)'!$C$13:$C$493,'In-out-bal products (155)(완성제품)'!B102,'JUNE (물량흐름)'!$Y$13:$Y$493)+SUMIF('JUNE (물량흐름)'!$C$13:$C$493,'In-out-bal products (155)(완성제품)'!B102,'JUNE (물량흐름)'!$U$13:$U$493)</f>
        <v>48</v>
      </c>
      <c r="I102" s="58">
        <f t="shared" si="36"/>
        <v>54166.083333333336</v>
      </c>
      <c r="J102" s="58">
        <f>SUMIF('Direct labour(직접노무비)'!$C$12:$C$503,'In-out-bal products (155)(완성제품)'!B102,'Direct labour(직접노무비)'!$Q$12:$Q$503)</f>
        <v>1056937</v>
      </c>
      <c r="K102" s="59">
        <f>SUMIF('Overhead exp(제조경비)'!$C$12:$C$503,'In-out-bal products (155)(완성제품)'!B102,'Overhead exp(제조경비)'!$Q$12:$Q$503)</f>
        <v>1543035</v>
      </c>
      <c r="L102" s="58">
        <f t="shared" si="37"/>
        <v>2599972</v>
      </c>
      <c r="M102" s="58">
        <f>SUMIF('JUNE (물량흐름)'!$C$13:$C$488,'In-out-bal products (155)(완성제품)'!B102,'JUNE (물량흐름)'!$Y$13:$Y$488)</f>
        <v>0</v>
      </c>
      <c r="N102" s="58">
        <f t="shared" si="38"/>
        <v>0</v>
      </c>
      <c r="O102" s="58">
        <f>SUMIF('Direct labour(직접노무비)'!$C$12:$C$503,'In-out-bal products (155)(완성제품)'!B102,'Direct labour(직접노무비)'!$U$12:$U$503)+SUMIF('Overhead exp(제조경비)'!$C$12:$C$503,'In-out-bal products (155)(완성제품)'!B102,'Overhead exp(제조경비)'!$U$12:$U$503)</f>
        <v>0</v>
      </c>
      <c r="P102" s="60">
        <f t="shared" si="39"/>
        <v>48</v>
      </c>
      <c r="Q102" s="60">
        <f t="shared" si="40"/>
        <v>54166.083333333336</v>
      </c>
      <c r="R102" s="60">
        <f t="shared" si="41"/>
        <v>2599972</v>
      </c>
      <c r="S102" s="58">
        <v>0</v>
      </c>
      <c r="T102" s="58">
        <v>0</v>
      </c>
      <c r="U102" s="58">
        <v>0</v>
      </c>
      <c r="V102" s="58">
        <f>SUMIF('JUNE (물량흐름)'!$C$13:$C$493,'In-out-bal products (155)(완성제품)'!B102,'JUNE (물량흐름)'!$W$13:$W$493)</f>
        <v>0</v>
      </c>
      <c r="W102" s="58">
        <f t="shared" si="42"/>
        <v>0</v>
      </c>
      <c r="X102" s="58">
        <f t="shared" si="43"/>
        <v>0</v>
      </c>
      <c r="Y102" s="58">
        <f>SUMIF('JUNE (물량흐름)'!$C$13:$C$488,'In-out-bal products (155)(완성제품)'!B102,'JUNE (물량흐름)'!$X$13:$X$488)</f>
        <v>0</v>
      </c>
      <c r="Z102" s="58">
        <f t="shared" si="44"/>
        <v>0</v>
      </c>
      <c r="AA102" s="58">
        <f t="shared" si="45"/>
        <v>0</v>
      </c>
      <c r="AB102" s="58"/>
      <c r="AC102" s="58"/>
      <c r="AD102" s="61"/>
      <c r="AE102" s="58">
        <f t="shared" si="46"/>
        <v>0</v>
      </c>
      <c r="AF102" s="58">
        <f t="shared" si="47"/>
        <v>0</v>
      </c>
      <c r="AG102" s="61">
        <f t="shared" si="48"/>
        <v>0</v>
      </c>
      <c r="AH102" s="58">
        <v>0</v>
      </c>
      <c r="AI102" s="58">
        <v>0</v>
      </c>
      <c r="AJ102" s="61">
        <v>0</v>
      </c>
      <c r="AK102" s="58"/>
      <c r="AL102" s="58"/>
      <c r="AM102" s="61"/>
      <c r="AN102" s="61">
        <f t="shared" si="49"/>
        <v>0</v>
      </c>
      <c r="AO102" s="58">
        <f t="shared" si="50"/>
        <v>0</v>
      </c>
      <c r="AP102" s="61">
        <f t="shared" si="51"/>
        <v>0</v>
      </c>
      <c r="AQ102" s="58">
        <f t="shared" si="52"/>
        <v>48</v>
      </c>
      <c r="AR102" s="58">
        <f t="shared" si="53"/>
        <v>54166.083333333336</v>
      </c>
      <c r="AS102" s="58">
        <f t="shared" si="54"/>
        <v>2599972</v>
      </c>
      <c r="AT102" s="58">
        <f>ROUND(SUMIF('JUNE (물량흐름)'!$C$13:$C$502,'In-out-bal products (155)(완성제품)'!B102,'JUNE (물량흐름)'!$AB$13:$AB$502),0)</f>
        <v>0</v>
      </c>
      <c r="AU102" s="58">
        <f t="shared" si="55"/>
        <v>0</v>
      </c>
      <c r="AV102" s="58">
        <f>ROUND(SUMIF('JUNE (물량흐름)'!$C$13:$C$502,'In-out-bal products (155)(완성제품)'!B102,'JUNE (물량흐름)'!$AC$13:$AC$502),0)</f>
        <v>48</v>
      </c>
      <c r="AW102" s="58">
        <f t="shared" si="56"/>
        <v>2599972</v>
      </c>
      <c r="AX102" s="376">
        <f t="shared" si="57"/>
        <v>0</v>
      </c>
      <c r="AY102" s="377">
        <f t="shared" si="58"/>
        <v>0</v>
      </c>
      <c r="AZ102" s="377">
        <f t="shared" si="59"/>
        <v>0</v>
      </c>
      <c r="BA102" s="377">
        <f t="shared" si="60"/>
        <v>0</v>
      </c>
      <c r="BB102" s="377"/>
      <c r="BC102" s="377">
        <f t="shared" si="61"/>
        <v>0</v>
      </c>
      <c r="BD102" s="377">
        <f t="shared" si="62"/>
        <v>0</v>
      </c>
      <c r="BE102" s="377"/>
      <c r="BF102" s="377">
        <f t="shared" si="63"/>
        <v>0</v>
      </c>
      <c r="BG102" s="433">
        <f t="shared" si="64"/>
        <v>0</v>
      </c>
      <c r="BH102" s="434">
        <f t="shared" si="65"/>
        <v>0</v>
      </c>
    </row>
    <row r="103" spans="1:60" s="378" customFormat="1">
      <c r="A103" s="167">
        <v>92</v>
      </c>
      <c r="B103" s="253">
        <f>VLOOKUP(A103,'JUNE (물량흐름)'!$A$13:$C$493,3,0)</f>
        <v>100012436</v>
      </c>
      <c r="C103" s="57" t="str">
        <f>VLOOKUP(A103,'JUNE (물량흐름)'!$A$13:$C$493,2,0)</f>
        <v>INC</v>
      </c>
      <c r="D103" s="58">
        <f>IFERROR(VLOOKUP(B103,O.B.JUNE!$V$7:$Y$448,2,0),0)</f>
        <v>0</v>
      </c>
      <c r="E103" s="58">
        <f>IFERROR(VLOOKUP(B103,O.B.JUNE!$V$7:$X$448,3,0),0)</f>
        <v>0</v>
      </c>
      <c r="F103" s="58">
        <f>IFERROR(VLOOKUP(B103,O.B.JUNE!$V$7:$Y$448,4,0),0)</f>
        <v>0</v>
      </c>
      <c r="G103" s="58">
        <f>SUMIF('JUNE (물량흐름)'!$C$13:$C$493,'In-out-bal products (155)(완성제품)'!B103,'JUNE (물량흐름)'!$V$13:$V$493)</f>
        <v>0</v>
      </c>
      <c r="H103" s="58">
        <f>SUMIF('JUNE (물량흐름)'!$C$13:$C$493,'In-out-bal products (155)(완성제품)'!B103,'JUNE (물량흐름)'!$T$13:$T$493)-SUMIF('JUNE (물량흐름)'!$C$13:$C$493,'In-out-bal products (155)(완성제품)'!B103,'JUNE (물량흐름)'!$Y$13:$Y$493)+SUMIF('JUNE (물량흐름)'!$C$13:$C$493,'In-out-bal products (155)(완성제품)'!B103,'JUNE (물량흐름)'!$U$13:$U$493)</f>
        <v>88</v>
      </c>
      <c r="I103" s="58">
        <f t="shared" si="36"/>
        <v>54425.25</v>
      </c>
      <c r="J103" s="58">
        <f>SUMIF('Direct labour(직접노무비)'!$C$12:$C$503,'In-out-bal products (155)(완성제품)'!B103,'Direct labour(직접노무비)'!$Q$12:$Q$503)</f>
        <v>1946990</v>
      </c>
      <c r="K103" s="59">
        <f>SUMIF('Overhead exp(제조경비)'!$C$12:$C$503,'In-out-bal products (155)(완성제품)'!B103,'Overhead exp(제조경비)'!$Q$12:$Q$503)</f>
        <v>2842432</v>
      </c>
      <c r="L103" s="58">
        <f t="shared" si="37"/>
        <v>4789422</v>
      </c>
      <c r="M103" s="58">
        <f>SUMIF('JUNE (물량흐름)'!$C$13:$C$488,'In-out-bal products (155)(완성제품)'!B103,'JUNE (물량흐름)'!$Y$13:$Y$488)</f>
        <v>0</v>
      </c>
      <c r="N103" s="58">
        <f t="shared" si="38"/>
        <v>0</v>
      </c>
      <c r="O103" s="58">
        <f>SUMIF('Direct labour(직접노무비)'!$C$12:$C$503,'In-out-bal products (155)(완성제품)'!B103,'Direct labour(직접노무비)'!$U$12:$U$503)+SUMIF('Overhead exp(제조경비)'!$C$12:$C$503,'In-out-bal products (155)(완성제품)'!B103,'Overhead exp(제조경비)'!$U$12:$U$503)</f>
        <v>0</v>
      </c>
      <c r="P103" s="60">
        <f t="shared" si="39"/>
        <v>88</v>
      </c>
      <c r="Q103" s="60">
        <f t="shared" si="40"/>
        <v>54425.25</v>
      </c>
      <c r="R103" s="60">
        <f t="shared" si="41"/>
        <v>4789422</v>
      </c>
      <c r="S103" s="58">
        <v>0</v>
      </c>
      <c r="T103" s="58">
        <v>0</v>
      </c>
      <c r="U103" s="58">
        <v>0</v>
      </c>
      <c r="V103" s="58">
        <f>SUMIF('JUNE (물량흐름)'!$C$13:$C$493,'In-out-bal products (155)(완성제품)'!B103,'JUNE (물량흐름)'!$W$13:$W$493)</f>
        <v>0</v>
      </c>
      <c r="W103" s="58">
        <f t="shared" si="42"/>
        <v>0</v>
      </c>
      <c r="X103" s="58">
        <f t="shared" si="43"/>
        <v>0</v>
      </c>
      <c r="Y103" s="58">
        <f>SUMIF('JUNE (물량흐름)'!$C$13:$C$488,'In-out-bal products (155)(완성제품)'!B103,'JUNE (물량흐름)'!$X$13:$X$488)</f>
        <v>0</v>
      </c>
      <c r="Z103" s="58">
        <f t="shared" si="44"/>
        <v>0</v>
      </c>
      <c r="AA103" s="58">
        <f t="shared" si="45"/>
        <v>0</v>
      </c>
      <c r="AB103" s="58"/>
      <c r="AC103" s="58"/>
      <c r="AD103" s="61"/>
      <c r="AE103" s="58">
        <f t="shared" si="46"/>
        <v>0</v>
      </c>
      <c r="AF103" s="58">
        <f t="shared" si="47"/>
        <v>0</v>
      </c>
      <c r="AG103" s="61">
        <f t="shared" si="48"/>
        <v>0</v>
      </c>
      <c r="AH103" s="58">
        <v>0</v>
      </c>
      <c r="AI103" s="58">
        <v>0</v>
      </c>
      <c r="AJ103" s="61">
        <v>0</v>
      </c>
      <c r="AK103" s="58"/>
      <c r="AL103" s="58"/>
      <c r="AM103" s="61"/>
      <c r="AN103" s="61">
        <f t="shared" si="49"/>
        <v>0</v>
      </c>
      <c r="AO103" s="58">
        <f t="shared" si="50"/>
        <v>0</v>
      </c>
      <c r="AP103" s="61">
        <f t="shared" si="51"/>
        <v>0</v>
      </c>
      <c r="AQ103" s="58">
        <f t="shared" si="52"/>
        <v>88</v>
      </c>
      <c r="AR103" s="58">
        <f t="shared" si="53"/>
        <v>54425.25</v>
      </c>
      <c r="AS103" s="58">
        <f t="shared" si="54"/>
        <v>4789422</v>
      </c>
      <c r="AT103" s="58">
        <f>ROUND(SUMIF('JUNE (물량흐름)'!$C$13:$C$502,'In-out-bal products (155)(완성제품)'!B103,'JUNE (물량흐름)'!$AB$13:$AB$502),0)</f>
        <v>0</v>
      </c>
      <c r="AU103" s="58">
        <f t="shared" si="55"/>
        <v>0</v>
      </c>
      <c r="AV103" s="58">
        <f>ROUND(SUMIF('JUNE (물량흐름)'!$C$13:$C$502,'In-out-bal products (155)(완성제품)'!B103,'JUNE (물량흐름)'!$AC$13:$AC$502),0)</f>
        <v>88</v>
      </c>
      <c r="AW103" s="58">
        <f t="shared" si="56"/>
        <v>4789422</v>
      </c>
      <c r="AX103" s="376">
        <f t="shared" si="57"/>
        <v>0</v>
      </c>
      <c r="AY103" s="377">
        <f t="shared" si="58"/>
        <v>0</v>
      </c>
      <c r="AZ103" s="377">
        <f t="shared" si="59"/>
        <v>0</v>
      </c>
      <c r="BA103" s="377">
        <f t="shared" si="60"/>
        <v>0</v>
      </c>
      <c r="BB103" s="377"/>
      <c r="BC103" s="377">
        <f t="shared" si="61"/>
        <v>0</v>
      </c>
      <c r="BD103" s="377">
        <f t="shared" si="62"/>
        <v>0</v>
      </c>
      <c r="BE103" s="377"/>
      <c r="BF103" s="377">
        <f t="shared" si="63"/>
        <v>0</v>
      </c>
      <c r="BG103" s="433">
        <f t="shared" si="64"/>
        <v>0</v>
      </c>
      <c r="BH103" s="434">
        <f t="shared" si="65"/>
        <v>0</v>
      </c>
    </row>
    <row r="104" spans="1:60" s="378" customFormat="1">
      <c r="A104" s="167">
        <v>93</v>
      </c>
      <c r="B104" s="253">
        <f>VLOOKUP(A104,'JUNE (물량흐름)'!$A$13:$C$493,3,0)</f>
        <v>100012476</v>
      </c>
      <c r="C104" s="57" t="str">
        <f>VLOOKUP(A104,'JUNE (물량흐름)'!$A$13:$C$493,2,0)</f>
        <v>INC</v>
      </c>
      <c r="D104" s="58">
        <f>IFERROR(VLOOKUP(B104,O.B.JUNE!$V$7:$Y$448,2,0),0)</f>
        <v>0</v>
      </c>
      <c r="E104" s="58">
        <f>IFERROR(VLOOKUP(B104,O.B.JUNE!$V$7:$X$448,3,0),0)</f>
        <v>0</v>
      </c>
      <c r="F104" s="58">
        <f>IFERROR(VLOOKUP(B104,O.B.JUNE!$V$7:$Y$448,4,0),0)</f>
        <v>0</v>
      </c>
      <c r="G104" s="58">
        <f>SUMIF('JUNE (물량흐름)'!$C$13:$C$493,'In-out-bal products (155)(완성제품)'!B104,'JUNE (물량흐름)'!$V$13:$V$493)</f>
        <v>0</v>
      </c>
      <c r="H104" s="58">
        <f>SUMIF('JUNE (물량흐름)'!$C$13:$C$493,'In-out-bal products (155)(완성제품)'!B104,'JUNE (물량흐름)'!$T$13:$T$493)-SUMIF('JUNE (물량흐름)'!$C$13:$C$493,'In-out-bal products (155)(완성제품)'!B104,'JUNE (물량흐름)'!$Y$13:$Y$493)+SUMIF('JUNE (물량흐름)'!$C$13:$C$493,'In-out-bal products (155)(완성제품)'!B104,'JUNE (물량흐름)'!$U$13:$U$493)</f>
        <v>168</v>
      </c>
      <c r="I104" s="58">
        <f t="shared" si="36"/>
        <v>54698.130952380954</v>
      </c>
      <c r="J104" s="58">
        <f>SUMIF('Direct labour(직접노무비)'!$C$12:$C$503,'In-out-bal products (155)(완성제품)'!B104,'Direct labour(직접노무비)'!$Q$12:$Q$503)</f>
        <v>3735617</v>
      </c>
      <c r="K104" s="59">
        <f>SUMIF('Overhead exp(제조경비)'!$C$12:$C$503,'In-out-bal products (155)(완성제품)'!B104,'Overhead exp(제조경비)'!$Q$12:$Q$503)</f>
        <v>5453669</v>
      </c>
      <c r="L104" s="58">
        <f t="shared" si="37"/>
        <v>9189286</v>
      </c>
      <c r="M104" s="58">
        <f>SUMIF('JUNE (물량흐름)'!$C$13:$C$488,'In-out-bal products (155)(완성제품)'!B104,'JUNE (물량흐름)'!$Y$13:$Y$488)</f>
        <v>0</v>
      </c>
      <c r="N104" s="58">
        <f t="shared" si="38"/>
        <v>0</v>
      </c>
      <c r="O104" s="58">
        <f>SUMIF('Direct labour(직접노무비)'!$C$12:$C$503,'In-out-bal products (155)(완성제품)'!B104,'Direct labour(직접노무비)'!$U$12:$U$503)+SUMIF('Overhead exp(제조경비)'!$C$12:$C$503,'In-out-bal products (155)(완성제품)'!B104,'Overhead exp(제조경비)'!$U$12:$U$503)</f>
        <v>0</v>
      </c>
      <c r="P104" s="60">
        <f t="shared" si="39"/>
        <v>168</v>
      </c>
      <c r="Q104" s="60">
        <f t="shared" si="40"/>
        <v>54698.130952380954</v>
      </c>
      <c r="R104" s="60">
        <f t="shared" si="41"/>
        <v>9189286</v>
      </c>
      <c r="S104" s="58">
        <v>0</v>
      </c>
      <c r="T104" s="58">
        <v>0</v>
      </c>
      <c r="U104" s="58">
        <v>0</v>
      </c>
      <c r="V104" s="58">
        <f>SUMIF('JUNE (물량흐름)'!$C$13:$C$493,'In-out-bal products (155)(완성제품)'!B104,'JUNE (물량흐름)'!$W$13:$W$493)</f>
        <v>0</v>
      </c>
      <c r="W104" s="58">
        <f t="shared" si="42"/>
        <v>0</v>
      </c>
      <c r="X104" s="58">
        <f t="shared" si="43"/>
        <v>0</v>
      </c>
      <c r="Y104" s="58">
        <f>SUMIF('JUNE (물량흐름)'!$C$13:$C$488,'In-out-bal products (155)(완성제품)'!B104,'JUNE (물량흐름)'!$X$13:$X$488)</f>
        <v>0</v>
      </c>
      <c r="Z104" s="58">
        <f t="shared" si="44"/>
        <v>0</v>
      </c>
      <c r="AA104" s="58">
        <f t="shared" si="45"/>
        <v>0</v>
      </c>
      <c r="AB104" s="58"/>
      <c r="AC104" s="58"/>
      <c r="AD104" s="61"/>
      <c r="AE104" s="58">
        <f t="shared" si="46"/>
        <v>0</v>
      </c>
      <c r="AF104" s="58">
        <f t="shared" si="47"/>
        <v>0</v>
      </c>
      <c r="AG104" s="61">
        <f t="shared" si="48"/>
        <v>0</v>
      </c>
      <c r="AH104" s="58">
        <v>0</v>
      </c>
      <c r="AI104" s="58">
        <v>0</v>
      </c>
      <c r="AJ104" s="61">
        <v>0</v>
      </c>
      <c r="AK104" s="58"/>
      <c r="AL104" s="58"/>
      <c r="AM104" s="61"/>
      <c r="AN104" s="61">
        <f t="shared" si="49"/>
        <v>0</v>
      </c>
      <c r="AO104" s="58">
        <f t="shared" si="50"/>
        <v>0</v>
      </c>
      <c r="AP104" s="61">
        <f t="shared" si="51"/>
        <v>0</v>
      </c>
      <c r="AQ104" s="58">
        <f t="shared" si="52"/>
        <v>168</v>
      </c>
      <c r="AR104" s="58">
        <f t="shared" si="53"/>
        <v>54698.130952380954</v>
      </c>
      <c r="AS104" s="58">
        <f t="shared" si="54"/>
        <v>9189286</v>
      </c>
      <c r="AT104" s="58">
        <f>ROUND(SUMIF('JUNE (물량흐름)'!$C$13:$C$502,'In-out-bal products (155)(완성제품)'!B104,'JUNE (물량흐름)'!$AB$13:$AB$502),0)</f>
        <v>0</v>
      </c>
      <c r="AU104" s="58">
        <f t="shared" si="55"/>
        <v>0</v>
      </c>
      <c r="AV104" s="58">
        <f>ROUND(SUMIF('JUNE (물량흐름)'!$C$13:$C$502,'In-out-bal products (155)(완성제품)'!B104,'JUNE (물량흐름)'!$AC$13:$AC$502),0)</f>
        <v>168</v>
      </c>
      <c r="AW104" s="58">
        <f t="shared" si="56"/>
        <v>9189286</v>
      </c>
      <c r="AX104" s="376">
        <f t="shared" si="57"/>
        <v>0</v>
      </c>
      <c r="AY104" s="377">
        <f t="shared" si="58"/>
        <v>0</v>
      </c>
      <c r="AZ104" s="377">
        <f t="shared" si="59"/>
        <v>0</v>
      </c>
      <c r="BA104" s="377">
        <f t="shared" si="60"/>
        <v>0</v>
      </c>
      <c r="BB104" s="377"/>
      <c r="BC104" s="377">
        <f t="shared" si="61"/>
        <v>0</v>
      </c>
      <c r="BD104" s="377">
        <f t="shared" si="62"/>
        <v>0</v>
      </c>
      <c r="BE104" s="377"/>
      <c r="BF104" s="377">
        <f t="shared" si="63"/>
        <v>0</v>
      </c>
      <c r="BG104" s="433">
        <f t="shared" si="64"/>
        <v>0</v>
      </c>
      <c r="BH104" s="434">
        <f t="shared" si="65"/>
        <v>0</v>
      </c>
    </row>
    <row r="105" spans="1:60" s="378" customFormat="1">
      <c r="A105" s="167">
        <v>94</v>
      </c>
      <c r="B105" s="253">
        <f>VLOOKUP(A105,'JUNE (물량흐름)'!$A$13:$C$493,3,0)</f>
        <v>100013564</v>
      </c>
      <c r="C105" s="57" t="str">
        <f>VLOOKUP(A105,'JUNE (물량흐름)'!$A$13:$C$493,2,0)</f>
        <v>INC</v>
      </c>
      <c r="D105" s="58">
        <f>IFERROR(VLOOKUP(B105,O.B.JUNE!$V$7:$Y$448,2,0),0)</f>
        <v>0</v>
      </c>
      <c r="E105" s="58">
        <f>IFERROR(VLOOKUP(B105,O.B.JUNE!$V$7:$X$448,3,0),0)</f>
        <v>0</v>
      </c>
      <c r="F105" s="58">
        <f>IFERROR(VLOOKUP(B105,O.B.JUNE!$V$7:$Y$448,4,0),0)</f>
        <v>0</v>
      </c>
      <c r="G105" s="58">
        <f>SUMIF('JUNE (물량흐름)'!$C$13:$C$493,'In-out-bal products (155)(완성제품)'!B105,'JUNE (물량흐름)'!$V$13:$V$493)</f>
        <v>0</v>
      </c>
      <c r="H105" s="58">
        <f>SUMIF('JUNE (물량흐름)'!$C$13:$C$493,'In-out-bal products (155)(완성제품)'!B105,'JUNE (물량흐름)'!$T$13:$T$493)-SUMIF('JUNE (물량흐름)'!$C$13:$C$493,'In-out-bal products (155)(완성제품)'!B105,'JUNE (물량흐름)'!$Y$13:$Y$493)+SUMIF('JUNE (물량흐름)'!$C$13:$C$493,'In-out-bal products (155)(완성제품)'!B105,'JUNE (물량흐름)'!$U$13:$U$493)</f>
        <v>198</v>
      </c>
      <c r="I105" s="58">
        <f t="shared" si="36"/>
        <v>58010.398989898989</v>
      </c>
      <c r="J105" s="58">
        <f>SUMIF('Direct labour(직접노무비)'!$C$12:$C$503,'In-out-bal products (155)(완성제품)'!B105,'Direct labour(직접노무비)'!$Q$12:$Q$503)</f>
        <v>4669298</v>
      </c>
      <c r="K105" s="59">
        <f>SUMIF('Overhead exp(제조경비)'!$C$12:$C$503,'In-out-bal products (155)(완성제품)'!B105,'Overhead exp(제조경비)'!$Q$12:$Q$503)</f>
        <v>6816761</v>
      </c>
      <c r="L105" s="58">
        <f t="shared" si="37"/>
        <v>11486059</v>
      </c>
      <c r="M105" s="58">
        <f>SUMIF('JUNE (물량흐름)'!$C$13:$C$488,'In-out-bal products (155)(완성제품)'!B105,'JUNE (물량흐름)'!$Y$13:$Y$488)</f>
        <v>0</v>
      </c>
      <c r="N105" s="58">
        <f t="shared" si="38"/>
        <v>0</v>
      </c>
      <c r="O105" s="58">
        <f>SUMIF('Direct labour(직접노무비)'!$C$12:$C$503,'In-out-bal products (155)(완성제품)'!B105,'Direct labour(직접노무비)'!$U$12:$U$503)+SUMIF('Overhead exp(제조경비)'!$C$12:$C$503,'In-out-bal products (155)(완성제품)'!B105,'Overhead exp(제조경비)'!$U$12:$U$503)</f>
        <v>0</v>
      </c>
      <c r="P105" s="60">
        <f t="shared" si="39"/>
        <v>198</v>
      </c>
      <c r="Q105" s="60">
        <f t="shared" si="40"/>
        <v>58010.398989898989</v>
      </c>
      <c r="R105" s="60">
        <f t="shared" si="41"/>
        <v>11486059</v>
      </c>
      <c r="S105" s="58">
        <v>0</v>
      </c>
      <c r="T105" s="58">
        <v>0</v>
      </c>
      <c r="U105" s="58">
        <v>0</v>
      </c>
      <c r="V105" s="58">
        <f>SUMIF('JUNE (물량흐름)'!$C$13:$C$493,'In-out-bal products (155)(완성제품)'!B105,'JUNE (물량흐름)'!$W$13:$W$493)</f>
        <v>0</v>
      </c>
      <c r="W105" s="58">
        <f t="shared" si="42"/>
        <v>0</v>
      </c>
      <c r="X105" s="58">
        <f t="shared" si="43"/>
        <v>0</v>
      </c>
      <c r="Y105" s="58">
        <f>SUMIF('JUNE (물량흐름)'!$C$13:$C$488,'In-out-bal products (155)(완성제품)'!B105,'JUNE (물량흐름)'!$X$13:$X$488)</f>
        <v>0</v>
      </c>
      <c r="Z105" s="58">
        <f t="shared" si="44"/>
        <v>0</v>
      </c>
      <c r="AA105" s="58">
        <f t="shared" si="45"/>
        <v>0</v>
      </c>
      <c r="AB105" s="58"/>
      <c r="AC105" s="58"/>
      <c r="AD105" s="61"/>
      <c r="AE105" s="58">
        <f t="shared" si="46"/>
        <v>0</v>
      </c>
      <c r="AF105" s="58">
        <f t="shared" si="47"/>
        <v>0</v>
      </c>
      <c r="AG105" s="61">
        <f t="shared" si="48"/>
        <v>0</v>
      </c>
      <c r="AH105" s="58">
        <v>0</v>
      </c>
      <c r="AI105" s="58">
        <v>0</v>
      </c>
      <c r="AJ105" s="61">
        <v>0</v>
      </c>
      <c r="AK105" s="58"/>
      <c r="AL105" s="58"/>
      <c r="AM105" s="61"/>
      <c r="AN105" s="61">
        <f t="shared" si="49"/>
        <v>0</v>
      </c>
      <c r="AO105" s="58">
        <f t="shared" si="50"/>
        <v>0</v>
      </c>
      <c r="AP105" s="61">
        <f t="shared" si="51"/>
        <v>0</v>
      </c>
      <c r="AQ105" s="58">
        <f t="shared" si="52"/>
        <v>198</v>
      </c>
      <c r="AR105" s="58">
        <f t="shared" si="53"/>
        <v>58010.398989898989</v>
      </c>
      <c r="AS105" s="58">
        <f t="shared" si="54"/>
        <v>11486059</v>
      </c>
      <c r="AT105" s="58">
        <f>ROUND(SUMIF('JUNE (물량흐름)'!$C$13:$C$502,'In-out-bal products (155)(완성제품)'!B105,'JUNE (물량흐름)'!$AB$13:$AB$502),0)</f>
        <v>0</v>
      </c>
      <c r="AU105" s="58">
        <f t="shared" si="55"/>
        <v>0</v>
      </c>
      <c r="AV105" s="58">
        <f>ROUND(SUMIF('JUNE (물량흐름)'!$C$13:$C$502,'In-out-bal products (155)(완성제품)'!B105,'JUNE (물량흐름)'!$AC$13:$AC$502),0)</f>
        <v>198</v>
      </c>
      <c r="AW105" s="58">
        <f t="shared" si="56"/>
        <v>11486059</v>
      </c>
      <c r="AX105" s="376">
        <f t="shared" si="57"/>
        <v>0</v>
      </c>
      <c r="AY105" s="377">
        <f t="shared" si="58"/>
        <v>0</v>
      </c>
      <c r="AZ105" s="377">
        <f t="shared" si="59"/>
        <v>0</v>
      </c>
      <c r="BA105" s="377">
        <f t="shared" si="60"/>
        <v>0</v>
      </c>
      <c r="BB105" s="377"/>
      <c r="BC105" s="377">
        <f t="shared" si="61"/>
        <v>0</v>
      </c>
      <c r="BD105" s="377">
        <f t="shared" si="62"/>
        <v>0</v>
      </c>
      <c r="BE105" s="377"/>
      <c r="BF105" s="377">
        <f t="shared" si="63"/>
        <v>0</v>
      </c>
      <c r="BG105" s="433">
        <f t="shared" si="64"/>
        <v>0</v>
      </c>
      <c r="BH105" s="434">
        <f t="shared" si="65"/>
        <v>0</v>
      </c>
    </row>
    <row r="106" spans="1:60" s="378" customFormat="1">
      <c r="A106" s="167">
        <v>95</v>
      </c>
      <c r="B106" s="253" t="str">
        <f>VLOOKUP(A106,'JUNE (물량흐름)'!$A$13:$C$493,3,0)</f>
        <v>KDR112751</v>
      </c>
      <c r="C106" s="57" t="str">
        <f>VLOOKUP(A106,'JUNE (물량흐름)'!$A$13:$C$493,2,0)</f>
        <v>J JILL</v>
      </c>
      <c r="D106" s="58">
        <f>IFERROR(VLOOKUP(B106,O.B.JUNE!$V$7:$Y$448,2,0),0)</f>
        <v>0</v>
      </c>
      <c r="E106" s="58">
        <f>IFERROR(VLOOKUP(B106,O.B.JUNE!$V$7:$X$448,3,0),0)</f>
        <v>0</v>
      </c>
      <c r="F106" s="58">
        <f>IFERROR(VLOOKUP(B106,O.B.JUNE!$V$7:$Y$448,4,0),0)</f>
        <v>0</v>
      </c>
      <c r="G106" s="58">
        <f>SUMIF('JUNE (물량흐름)'!$C$13:$C$493,'In-out-bal products (155)(완성제품)'!B106,'JUNE (물량흐름)'!$V$13:$V$493)</f>
        <v>0</v>
      </c>
      <c r="H106" s="58">
        <f>SUMIF('JUNE (물량흐름)'!$C$13:$C$493,'In-out-bal products (155)(완성제품)'!B106,'JUNE (물량흐름)'!$T$13:$T$493)-SUMIF('JUNE (물량흐름)'!$C$13:$C$493,'In-out-bal products (155)(완성제품)'!B106,'JUNE (물량흐름)'!$Y$13:$Y$493)+SUMIF('JUNE (물량흐름)'!$C$13:$C$493,'In-out-bal products (155)(완성제품)'!B106,'JUNE (물량흐름)'!$U$13:$U$493)</f>
        <v>104</v>
      </c>
      <c r="I106" s="58">
        <f t="shared" si="36"/>
        <v>52898.269230769234</v>
      </c>
      <c r="J106" s="58">
        <f>SUMIF('Direct labour(직접노무비)'!$C$12:$C$503,'In-out-bal products (155)(완성제품)'!B106,'Direct labour(직접노무비)'!$Q$12:$Q$503)</f>
        <v>2236430</v>
      </c>
      <c r="K106" s="59">
        <f>SUMIF('Overhead exp(제조경비)'!$C$12:$C$503,'In-out-bal products (155)(완성제품)'!B106,'Overhead exp(제조경비)'!$Q$12:$Q$503)</f>
        <v>3264990</v>
      </c>
      <c r="L106" s="58">
        <f t="shared" si="37"/>
        <v>5501420</v>
      </c>
      <c r="M106" s="58">
        <f>SUMIF('JUNE (물량흐름)'!$C$13:$C$488,'In-out-bal products (155)(완성제품)'!B106,'JUNE (물량흐름)'!$Y$13:$Y$488)</f>
        <v>0</v>
      </c>
      <c r="N106" s="58">
        <f t="shared" si="38"/>
        <v>0</v>
      </c>
      <c r="O106" s="58">
        <f>SUMIF('Direct labour(직접노무비)'!$C$12:$C$503,'In-out-bal products (155)(완성제품)'!B106,'Direct labour(직접노무비)'!$U$12:$U$503)+SUMIF('Overhead exp(제조경비)'!$C$12:$C$503,'In-out-bal products (155)(완성제품)'!B106,'Overhead exp(제조경비)'!$U$12:$U$503)</f>
        <v>0</v>
      </c>
      <c r="P106" s="60">
        <f t="shared" si="39"/>
        <v>104</v>
      </c>
      <c r="Q106" s="60">
        <f t="shared" si="40"/>
        <v>52898.269230769234</v>
      </c>
      <c r="R106" s="60">
        <f t="shared" si="41"/>
        <v>5501420</v>
      </c>
      <c r="S106" s="58">
        <v>0</v>
      </c>
      <c r="T106" s="58">
        <v>0</v>
      </c>
      <c r="U106" s="58">
        <v>0</v>
      </c>
      <c r="V106" s="58">
        <f>SUMIF('JUNE (물량흐름)'!$C$13:$C$493,'In-out-bal products (155)(완성제품)'!B106,'JUNE (물량흐름)'!$W$13:$W$493)</f>
        <v>0</v>
      </c>
      <c r="W106" s="58">
        <f t="shared" si="42"/>
        <v>0</v>
      </c>
      <c r="X106" s="58">
        <f t="shared" si="43"/>
        <v>0</v>
      </c>
      <c r="Y106" s="58">
        <f>SUMIF('JUNE (물량흐름)'!$C$13:$C$488,'In-out-bal products (155)(완성제품)'!B106,'JUNE (물량흐름)'!$X$13:$X$488)</f>
        <v>0</v>
      </c>
      <c r="Z106" s="58">
        <f t="shared" si="44"/>
        <v>0</v>
      </c>
      <c r="AA106" s="58">
        <f t="shared" si="45"/>
        <v>0</v>
      </c>
      <c r="AB106" s="58"/>
      <c r="AC106" s="58"/>
      <c r="AD106" s="61"/>
      <c r="AE106" s="58">
        <f t="shared" si="46"/>
        <v>0</v>
      </c>
      <c r="AF106" s="58">
        <f t="shared" si="47"/>
        <v>0</v>
      </c>
      <c r="AG106" s="61">
        <f t="shared" si="48"/>
        <v>0</v>
      </c>
      <c r="AH106" s="58">
        <v>0</v>
      </c>
      <c r="AI106" s="58">
        <v>0</v>
      </c>
      <c r="AJ106" s="61">
        <v>0</v>
      </c>
      <c r="AK106" s="58"/>
      <c r="AL106" s="58"/>
      <c r="AM106" s="61"/>
      <c r="AN106" s="61">
        <f t="shared" si="49"/>
        <v>0</v>
      </c>
      <c r="AO106" s="58">
        <f t="shared" si="50"/>
        <v>0</v>
      </c>
      <c r="AP106" s="61">
        <f t="shared" si="51"/>
        <v>0</v>
      </c>
      <c r="AQ106" s="58">
        <f t="shared" si="52"/>
        <v>104</v>
      </c>
      <c r="AR106" s="58">
        <f t="shared" si="53"/>
        <v>52898.269230769234</v>
      </c>
      <c r="AS106" s="58">
        <f t="shared" si="54"/>
        <v>5501420</v>
      </c>
      <c r="AT106" s="58">
        <f>ROUND(SUMIF('JUNE (물량흐름)'!$C$13:$C$502,'In-out-bal products (155)(완성제품)'!B106,'JUNE (물량흐름)'!$AB$13:$AB$502),0)</f>
        <v>0</v>
      </c>
      <c r="AU106" s="58">
        <f t="shared" si="55"/>
        <v>0</v>
      </c>
      <c r="AV106" s="58">
        <f>ROUND(SUMIF('JUNE (물량흐름)'!$C$13:$C$502,'In-out-bal products (155)(완성제품)'!B106,'JUNE (물량흐름)'!$AC$13:$AC$502),0)</f>
        <v>104</v>
      </c>
      <c r="AW106" s="58">
        <f t="shared" si="56"/>
        <v>5501420</v>
      </c>
      <c r="AX106" s="376">
        <f t="shared" si="57"/>
        <v>0</v>
      </c>
      <c r="AY106" s="377">
        <f t="shared" si="58"/>
        <v>0</v>
      </c>
      <c r="AZ106" s="377">
        <f t="shared" si="59"/>
        <v>0</v>
      </c>
      <c r="BA106" s="377">
        <f t="shared" si="60"/>
        <v>0</v>
      </c>
      <c r="BB106" s="377"/>
      <c r="BC106" s="377">
        <f t="shared" si="61"/>
        <v>0</v>
      </c>
      <c r="BD106" s="377">
        <f t="shared" si="62"/>
        <v>0</v>
      </c>
      <c r="BE106" s="377"/>
      <c r="BF106" s="377">
        <f t="shared" si="63"/>
        <v>0</v>
      </c>
      <c r="BG106" s="433">
        <f t="shared" si="64"/>
        <v>0</v>
      </c>
      <c r="BH106" s="434">
        <f t="shared" si="65"/>
        <v>0</v>
      </c>
    </row>
    <row r="107" spans="1:60" s="378" customFormat="1">
      <c r="A107" s="167">
        <v>96</v>
      </c>
      <c r="B107" s="253" t="str">
        <f>VLOOKUP(A107,'JUNE (물량흐름)'!$A$13:$C$493,3,0)</f>
        <v>KJT112641</v>
      </c>
      <c r="C107" s="57" t="str">
        <f>VLOOKUP(A107,'JUNE (물량흐름)'!$A$13:$C$493,2,0)</f>
        <v>J JILL</v>
      </c>
      <c r="D107" s="58">
        <f>IFERROR(VLOOKUP(B107,O.B.JUNE!$V$7:$Y$448,2,0),0)</f>
        <v>0</v>
      </c>
      <c r="E107" s="58">
        <f>IFERROR(VLOOKUP(B107,O.B.JUNE!$V$7:$X$448,3,0),0)</f>
        <v>0</v>
      </c>
      <c r="F107" s="58">
        <f>IFERROR(VLOOKUP(B107,O.B.JUNE!$V$7:$Y$448,4,0),0)</f>
        <v>0</v>
      </c>
      <c r="G107" s="58">
        <f>SUMIF('JUNE (물량흐름)'!$C$13:$C$493,'In-out-bal products (155)(완성제품)'!B107,'JUNE (물량흐름)'!$V$13:$V$493)</f>
        <v>0</v>
      </c>
      <c r="H107" s="58">
        <f>SUMIF('JUNE (물량흐름)'!$C$13:$C$493,'In-out-bal products (155)(완성제품)'!B107,'JUNE (물량흐름)'!$T$13:$T$493)-SUMIF('JUNE (물량흐름)'!$C$13:$C$493,'In-out-bal products (155)(완성제품)'!B107,'JUNE (물량흐름)'!$Y$13:$Y$493)+SUMIF('JUNE (물량흐름)'!$C$13:$C$493,'In-out-bal products (155)(완성제품)'!B107,'JUNE (물량흐름)'!$U$13:$U$493)</f>
        <v>278</v>
      </c>
      <c r="I107" s="58">
        <f t="shared" si="36"/>
        <v>69231.597122302162</v>
      </c>
      <c r="J107" s="58">
        <f>SUMIF('Direct labour(직접노무비)'!$C$12:$C$503,'In-out-bal products (155)(완성제품)'!B107,'Direct labour(직접노무비)'!$Q$12:$Q$503)</f>
        <v>7623342</v>
      </c>
      <c r="K107" s="59">
        <f>SUMIF('Overhead exp(제조경비)'!$C$12:$C$503,'In-out-bal products (155)(완성제품)'!B107,'Overhead exp(제조경비)'!$Q$12:$Q$503)</f>
        <v>11623042</v>
      </c>
      <c r="L107" s="58">
        <f t="shared" si="37"/>
        <v>19246384</v>
      </c>
      <c r="M107" s="58">
        <f>SUMIF('JUNE (물량흐름)'!$C$13:$C$488,'In-out-bal products (155)(완성제품)'!B107,'JUNE (물량흐름)'!$Y$13:$Y$488)</f>
        <v>0</v>
      </c>
      <c r="N107" s="58">
        <f t="shared" si="38"/>
        <v>0</v>
      </c>
      <c r="O107" s="58">
        <f>SUMIF('Direct labour(직접노무비)'!$C$12:$C$503,'In-out-bal products (155)(완성제품)'!B107,'Direct labour(직접노무비)'!$U$12:$U$503)+SUMIF('Overhead exp(제조경비)'!$C$12:$C$503,'In-out-bal products (155)(완성제품)'!B107,'Overhead exp(제조경비)'!$U$12:$U$503)</f>
        <v>0</v>
      </c>
      <c r="P107" s="60">
        <f t="shared" si="39"/>
        <v>278</v>
      </c>
      <c r="Q107" s="60">
        <f t="shared" si="40"/>
        <v>69231.597122302162</v>
      </c>
      <c r="R107" s="60">
        <f t="shared" si="41"/>
        <v>19246384</v>
      </c>
      <c r="S107" s="58">
        <v>0</v>
      </c>
      <c r="T107" s="58">
        <v>0</v>
      </c>
      <c r="U107" s="58">
        <v>0</v>
      </c>
      <c r="V107" s="58">
        <f>SUMIF('JUNE (물량흐름)'!$C$13:$C$493,'In-out-bal products (155)(완성제품)'!B107,'JUNE (물량흐름)'!$W$13:$W$493)</f>
        <v>0</v>
      </c>
      <c r="W107" s="58">
        <f t="shared" si="42"/>
        <v>0</v>
      </c>
      <c r="X107" s="58">
        <f t="shared" si="43"/>
        <v>0</v>
      </c>
      <c r="Y107" s="58">
        <f>SUMIF('JUNE (물량흐름)'!$C$13:$C$488,'In-out-bal products (155)(완성제품)'!B107,'JUNE (물량흐름)'!$X$13:$X$488)</f>
        <v>0</v>
      </c>
      <c r="Z107" s="58">
        <f t="shared" si="44"/>
        <v>0</v>
      </c>
      <c r="AA107" s="58">
        <f t="shared" si="45"/>
        <v>0</v>
      </c>
      <c r="AB107" s="58"/>
      <c r="AC107" s="58"/>
      <c r="AD107" s="61"/>
      <c r="AE107" s="58">
        <f t="shared" si="46"/>
        <v>0</v>
      </c>
      <c r="AF107" s="58">
        <f t="shared" si="47"/>
        <v>0</v>
      </c>
      <c r="AG107" s="61">
        <f t="shared" si="48"/>
        <v>0</v>
      </c>
      <c r="AH107" s="58">
        <v>0</v>
      </c>
      <c r="AI107" s="58">
        <v>0</v>
      </c>
      <c r="AJ107" s="61">
        <v>0</v>
      </c>
      <c r="AK107" s="58"/>
      <c r="AL107" s="58"/>
      <c r="AM107" s="61"/>
      <c r="AN107" s="61">
        <f t="shared" si="49"/>
        <v>0</v>
      </c>
      <c r="AO107" s="58">
        <f t="shared" si="50"/>
        <v>0</v>
      </c>
      <c r="AP107" s="61">
        <f t="shared" si="51"/>
        <v>0</v>
      </c>
      <c r="AQ107" s="58">
        <f t="shared" si="52"/>
        <v>278</v>
      </c>
      <c r="AR107" s="58">
        <f t="shared" si="53"/>
        <v>69231.597122302162</v>
      </c>
      <c r="AS107" s="58">
        <f t="shared" si="54"/>
        <v>19246384</v>
      </c>
      <c r="AT107" s="58">
        <f>ROUND(SUMIF('JUNE (물량흐름)'!$C$13:$C$502,'In-out-bal products (155)(완성제품)'!B107,'JUNE (물량흐름)'!$AB$13:$AB$502),0)</f>
        <v>0</v>
      </c>
      <c r="AU107" s="58">
        <f t="shared" si="55"/>
        <v>0</v>
      </c>
      <c r="AV107" s="58">
        <f>ROUND(SUMIF('JUNE (물량흐름)'!$C$13:$C$502,'In-out-bal products (155)(완성제품)'!B107,'JUNE (물량흐름)'!$AC$13:$AC$502),0)</f>
        <v>278</v>
      </c>
      <c r="AW107" s="58">
        <f t="shared" si="56"/>
        <v>19246384</v>
      </c>
      <c r="AX107" s="376">
        <f t="shared" si="57"/>
        <v>0</v>
      </c>
      <c r="AY107" s="377">
        <f t="shared" si="58"/>
        <v>0</v>
      </c>
      <c r="AZ107" s="377">
        <f t="shared" si="59"/>
        <v>0</v>
      </c>
      <c r="BA107" s="377">
        <f t="shared" si="60"/>
        <v>0</v>
      </c>
      <c r="BB107" s="377"/>
      <c r="BC107" s="377">
        <f t="shared" si="61"/>
        <v>0</v>
      </c>
      <c r="BD107" s="377">
        <f t="shared" si="62"/>
        <v>0</v>
      </c>
      <c r="BE107" s="377"/>
      <c r="BF107" s="377">
        <f t="shared" si="63"/>
        <v>0</v>
      </c>
      <c r="BG107" s="433">
        <f t="shared" si="64"/>
        <v>0</v>
      </c>
      <c r="BH107" s="434">
        <f t="shared" si="65"/>
        <v>0</v>
      </c>
    </row>
    <row r="108" spans="1:60" s="378" customFormat="1">
      <c r="A108" s="167">
        <v>97</v>
      </c>
      <c r="B108" s="253" t="str">
        <f>VLOOKUP(A108,'JUNE (물량흐름)'!$A$13:$C$493,3,0)</f>
        <v>KJT113771</v>
      </c>
      <c r="C108" s="57" t="str">
        <f>VLOOKUP(A108,'JUNE (물량흐름)'!$A$13:$C$493,2,0)</f>
        <v>J JILL</v>
      </c>
      <c r="D108" s="58">
        <f>IFERROR(VLOOKUP(B108,O.B.JUNE!$V$7:$Y$448,2,0),0)</f>
        <v>0</v>
      </c>
      <c r="E108" s="58">
        <f>IFERROR(VLOOKUP(B108,O.B.JUNE!$V$7:$X$448,3,0),0)</f>
        <v>0</v>
      </c>
      <c r="F108" s="58">
        <f>IFERROR(VLOOKUP(B108,O.B.JUNE!$V$7:$Y$448,4,0),0)</f>
        <v>0</v>
      </c>
      <c r="G108" s="58">
        <f>SUMIF('JUNE (물량흐름)'!$C$13:$C$493,'In-out-bal products (155)(완성제품)'!B108,'JUNE (물량흐름)'!$V$13:$V$493)</f>
        <v>0</v>
      </c>
      <c r="H108" s="58">
        <f>SUMIF('JUNE (물량흐름)'!$C$13:$C$493,'In-out-bal products (155)(완성제품)'!B108,'JUNE (물량흐름)'!$T$13:$T$493)-SUMIF('JUNE (물량흐름)'!$C$13:$C$493,'In-out-bal products (155)(완성제품)'!B108,'JUNE (물량흐름)'!$Y$13:$Y$493)+SUMIF('JUNE (물량흐름)'!$C$13:$C$493,'In-out-bal products (155)(완성제품)'!B108,'JUNE (물량흐름)'!$U$13:$U$493)</f>
        <v>115</v>
      </c>
      <c r="I108" s="58">
        <f t="shared" si="36"/>
        <v>78683.3652173913</v>
      </c>
      <c r="J108" s="58">
        <f>SUMIF('Direct labour(직접노무비)'!$C$12:$C$503,'In-out-bal products (155)(완성제품)'!B108,'Direct labour(직접노무비)'!$Q$12:$Q$503)</f>
        <v>3678420</v>
      </c>
      <c r="K108" s="59">
        <f>SUMIF('Overhead exp(제조경비)'!$C$12:$C$503,'In-out-bal products (155)(완성제품)'!B108,'Overhead exp(제조경비)'!$Q$12:$Q$503)</f>
        <v>5370167</v>
      </c>
      <c r="L108" s="58">
        <f t="shared" si="37"/>
        <v>9048587</v>
      </c>
      <c r="M108" s="58">
        <f>SUMIF('JUNE (물량흐름)'!$C$13:$C$488,'In-out-bal products (155)(완성제품)'!B108,'JUNE (물량흐름)'!$Y$13:$Y$488)</f>
        <v>0</v>
      </c>
      <c r="N108" s="58">
        <f t="shared" si="38"/>
        <v>0</v>
      </c>
      <c r="O108" s="58">
        <f>SUMIF('Direct labour(직접노무비)'!$C$12:$C$503,'In-out-bal products (155)(완성제품)'!B108,'Direct labour(직접노무비)'!$U$12:$U$503)+SUMIF('Overhead exp(제조경비)'!$C$12:$C$503,'In-out-bal products (155)(완성제품)'!B108,'Overhead exp(제조경비)'!$U$12:$U$503)</f>
        <v>0</v>
      </c>
      <c r="P108" s="60">
        <f t="shared" si="39"/>
        <v>115</v>
      </c>
      <c r="Q108" s="60">
        <f t="shared" si="40"/>
        <v>78683.3652173913</v>
      </c>
      <c r="R108" s="60">
        <f t="shared" si="41"/>
        <v>9048587</v>
      </c>
      <c r="S108" s="58">
        <v>0</v>
      </c>
      <c r="T108" s="58">
        <v>0</v>
      </c>
      <c r="U108" s="58">
        <v>0</v>
      </c>
      <c r="V108" s="58">
        <f>SUMIF('JUNE (물량흐름)'!$C$13:$C$493,'In-out-bal products (155)(완성제품)'!B108,'JUNE (물량흐름)'!$W$13:$W$493)</f>
        <v>0</v>
      </c>
      <c r="W108" s="58">
        <f t="shared" si="42"/>
        <v>0</v>
      </c>
      <c r="X108" s="58">
        <f t="shared" si="43"/>
        <v>0</v>
      </c>
      <c r="Y108" s="58">
        <f>SUMIF('JUNE (물량흐름)'!$C$13:$C$488,'In-out-bal products (155)(완성제품)'!B108,'JUNE (물량흐름)'!$X$13:$X$488)</f>
        <v>0</v>
      </c>
      <c r="Z108" s="58">
        <f t="shared" si="44"/>
        <v>0</v>
      </c>
      <c r="AA108" s="58">
        <f t="shared" si="45"/>
        <v>0</v>
      </c>
      <c r="AB108" s="58"/>
      <c r="AC108" s="58"/>
      <c r="AD108" s="61"/>
      <c r="AE108" s="58">
        <f t="shared" si="46"/>
        <v>0</v>
      </c>
      <c r="AF108" s="58">
        <f t="shared" si="47"/>
        <v>0</v>
      </c>
      <c r="AG108" s="61">
        <f t="shared" si="48"/>
        <v>0</v>
      </c>
      <c r="AH108" s="58">
        <v>0</v>
      </c>
      <c r="AI108" s="58">
        <v>0</v>
      </c>
      <c r="AJ108" s="61">
        <v>0</v>
      </c>
      <c r="AK108" s="58"/>
      <c r="AL108" s="58"/>
      <c r="AM108" s="61"/>
      <c r="AN108" s="61">
        <f t="shared" si="49"/>
        <v>0</v>
      </c>
      <c r="AO108" s="58">
        <f t="shared" si="50"/>
        <v>0</v>
      </c>
      <c r="AP108" s="61">
        <f t="shared" si="51"/>
        <v>0</v>
      </c>
      <c r="AQ108" s="58">
        <f t="shared" si="52"/>
        <v>115</v>
      </c>
      <c r="AR108" s="58">
        <f t="shared" si="53"/>
        <v>78683.3652173913</v>
      </c>
      <c r="AS108" s="58">
        <f t="shared" si="54"/>
        <v>9048587</v>
      </c>
      <c r="AT108" s="58">
        <f>ROUND(SUMIF('JUNE (물량흐름)'!$C$13:$C$502,'In-out-bal products (155)(완성제품)'!B108,'JUNE (물량흐름)'!$AB$13:$AB$502),0)</f>
        <v>0</v>
      </c>
      <c r="AU108" s="58">
        <f t="shared" si="55"/>
        <v>0</v>
      </c>
      <c r="AV108" s="58">
        <f>ROUND(SUMIF('JUNE (물량흐름)'!$C$13:$C$502,'In-out-bal products (155)(완성제품)'!B108,'JUNE (물량흐름)'!$AC$13:$AC$502),0)</f>
        <v>115</v>
      </c>
      <c r="AW108" s="58">
        <f t="shared" si="56"/>
        <v>9048587</v>
      </c>
      <c r="AX108" s="376">
        <f t="shared" si="57"/>
        <v>0</v>
      </c>
      <c r="AY108" s="377">
        <f t="shared" si="58"/>
        <v>0</v>
      </c>
      <c r="AZ108" s="377">
        <f t="shared" si="59"/>
        <v>0</v>
      </c>
      <c r="BA108" s="377">
        <f t="shared" si="60"/>
        <v>0</v>
      </c>
      <c r="BB108" s="377"/>
      <c r="BC108" s="377">
        <f t="shared" si="61"/>
        <v>0</v>
      </c>
      <c r="BD108" s="377">
        <f t="shared" si="62"/>
        <v>0</v>
      </c>
      <c r="BE108" s="377"/>
      <c r="BF108" s="377">
        <f t="shared" si="63"/>
        <v>0</v>
      </c>
      <c r="BG108" s="433">
        <f t="shared" si="64"/>
        <v>0</v>
      </c>
      <c r="BH108" s="434">
        <f t="shared" si="65"/>
        <v>0</v>
      </c>
    </row>
    <row r="109" spans="1:60" s="378" customFormat="1">
      <c r="A109" s="167">
        <v>98</v>
      </c>
      <c r="B109" s="253" t="str">
        <f>VLOOKUP(A109,'JUNE (물량흐름)'!$A$13:$C$493,3,0)</f>
        <v>KPT128561</v>
      </c>
      <c r="C109" s="57" t="str">
        <f>VLOOKUP(A109,'JUNE (물량흐름)'!$A$13:$C$493,2,0)</f>
        <v>J JILL</v>
      </c>
      <c r="D109" s="58">
        <f>IFERROR(VLOOKUP(B109,O.B.JUNE!$V$7:$Y$448,2,0),0)</f>
        <v>1386</v>
      </c>
      <c r="E109" s="58">
        <f>IFERROR(VLOOKUP(B109,O.B.JUNE!$V$7:$X$448,3,0),0)</f>
        <v>31150.169552669551</v>
      </c>
      <c r="F109" s="58">
        <f>IFERROR(VLOOKUP(B109,O.B.JUNE!$V$7:$Y$448,4,0),0)</f>
        <v>43174135</v>
      </c>
      <c r="G109" s="58">
        <f>SUMIF('JUNE (물량흐름)'!$C$13:$C$493,'In-out-bal products (155)(완성제품)'!B109,'JUNE (물량흐름)'!$V$13:$V$493)</f>
        <v>0</v>
      </c>
      <c r="H109" s="58">
        <f>SUMIF('JUNE (물량흐름)'!$C$13:$C$493,'In-out-bal products (155)(완성제품)'!B109,'JUNE (물량흐름)'!$T$13:$T$493)-SUMIF('JUNE (물량흐름)'!$C$13:$C$493,'In-out-bal products (155)(완성제품)'!B109,'JUNE (물량흐름)'!$Y$13:$Y$493)+SUMIF('JUNE (물량흐름)'!$C$13:$C$493,'In-out-bal products (155)(완성제품)'!B109,'JUNE (물량흐름)'!$U$13:$U$493)</f>
        <v>6785</v>
      </c>
      <c r="I109" s="58">
        <f t="shared" si="36"/>
        <v>29240.508769344142</v>
      </c>
      <c r="J109" s="58">
        <f>SUMIF('Direct labour(직접노무비)'!$C$12:$C$503,'In-out-bal products (155)(완성제품)'!B109,'Direct labour(직접노무비)'!$Q$12:$Q$503)</f>
        <v>68613169</v>
      </c>
      <c r="K109" s="59">
        <f>SUMIF('Overhead exp(제조경비)'!$C$12:$C$503,'In-out-bal products (155)(완성제품)'!B109,'Overhead exp(제조경비)'!$Q$12:$Q$503)</f>
        <v>129783683</v>
      </c>
      <c r="L109" s="58">
        <f t="shared" si="37"/>
        <v>198396852</v>
      </c>
      <c r="M109" s="58">
        <f>SUMIF('JUNE (물량흐름)'!$C$13:$C$488,'In-out-bal products (155)(완성제품)'!B109,'JUNE (물량흐름)'!$Y$13:$Y$488)</f>
        <v>17</v>
      </c>
      <c r="N109" s="58">
        <f t="shared" si="38"/>
        <v>29240.529411764706</v>
      </c>
      <c r="O109" s="58">
        <f>SUMIF('Direct labour(직접노무비)'!$C$12:$C$503,'In-out-bal products (155)(완성제품)'!B109,'Direct labour(직접노무비)'!$U$12:$U$503)+SUMIF('Overhead exp(제조경비)'!$C$12:$C$503,'In-out-bal products (155)(완성제품)'!B109,'Overhead exp(제조경비)'!$U$12:$U$503)</f>
        <v>497089</v>
      </c>
      <c r="P109" s="60">
        <f t="shared" si="39"/>
        <v>6802</v>
      </c>
      <c r="Q109" s="60">
        <f t="shared" si="40"/>
        <v>29240.508820935018</v>
      </c>
      <c r="R109" s="60">
        <f t="shared" si="41"/>
        <v>198893941</v>
      </c>
      <c r="S109" s="58">
        <v>0</v>
      </c>
      <c r="T109" s="58">
        <v>0</v>
      </c>
      <c r="U109" s="58">
        <v>0</v>
      </c>
      <c r="V109" s="58">
        <f>SUMIF('JUNE (물량흐름)'!$C$13:$C$493,'In-out-bal products (155)(완성제품)'!B109,'JUNE (물량흐름)'!$W$13:$W$493)</f>
        <v>7637</v>
      </c>
      <c r="W109" s="58">
        <f t="shared" si="42"/>
        <v>29564.4335472044</v>
      </c>
      <c r="X109" s="58">
        <f t="shared" si="43"/>
        <v>225783579</v>
      </c>
      <c r="Y109" s="58">
        <f>SUMIF('JUNE (물량흐름)'!$C$13:$C$488,'In-out-bal products (155)(완성제품)'!B109,'JUNE (물량흐름)'!$X$13:$X$488)</f>
        <v>0</v>
      </c>
      <c r="Z109" s="58">
        <f t="shared" si="44"/>
        <v>0</v>
      </c>
      <c r="AA109" s="58">
        <f t="shared" si="45"/>
        <v>0</v>
      </c>
      <c r="AB109" s="58"/>
      <c r="AC109" s="58"/>
      <c r="AD109" s="61"/>
      <c r="AE109" s="58">
        <f t="shared" si="46"/>
        <v>17</v>
      </c>
      <c r="AF109" s="58">
        <f t="shared" si="47"/>
        <v>29240.529411764706</v>
      </c>
      <c r="AG109" s="61">
        <f t="shared" si="48"/>
        <v>497089</v>
      </c>
      <c r="AH109" s="58">
        <v>0</v>
      </c>
      <c r="AI109" s="58">
        <v>0</v>
      </c>
      <c r="AJ109" s="61">
        <v>0</v>
      </c>
      <c r="AK109" s="58"/>
      <c r="AL109" s="58"/>
      <c r="AM109" s="61"/>
      <c r="AN109" s="61">
        <f t="shared" si="49"/>
        <v>7654</v>
      </c>
      <c r="AO109" s="58">
        <f t="shared" si="50"/>
        <v>29563.714136399267</v>
      </c>
      <c r="AP109" s="61">
        <f t="shared" si="51"/>
        <v>226280668</v>
      </c>
      <c r="AQ109" s="58">
        <f t="shared" si="52"/>
        <v>534</v>
      </c>
      <c r="AR109" s="58">
        <f t="shared" si="53"/>
        <v>29564.434456928841</v>
      </c>
      <c r="AS109" s="58">
        <f t="shared" si="54"/>
        <v>15787408</v>
      </c>
      <c r="AT109" s="58">
        <f>ROUND(SUMIF('JUNE (물량흐름)'!$C$13:$C$502,'In-out-bal products (155)(완성제품)'!B109,'JUNE (물량흐름)'!$AB$13:$AB$502),0)</f>
        <v>0</v>
      </c>
      <c r="AU109" s="58">
        <f t="shared" si="55"/>
        <v>0</v>
      </c>
      <c r="AV109" s="58">
        <f>ROUND(SUMIF('JUNE (물량흐름)'!$C$13:$C$502,'In-out-bal products (155)(완성제품)'!B109,'JUNE (물량흐름)'!$AC$13:$AC$502),0)</f>
        <v>534</v>
      </c>
      <c r="AW109" s="58">
        <f t="shared" si="56"/>
        <v>15787408</v>
      </c>
      <c r="AX109" s="376">
        <f t="shared" si="57"/>
        <v>0</v>
      </c>
      <c r="AY109" s="377">
        <f t="shared" si="58"/>
        <v>0</v>
      </c>
      <c r="AZ109" s="377">
        <f t="shared" si="59"/>
        <v>0</v>
      </c>
      <c r="BA109" s="377">
        <f t="shared" si="60"/>
        <v>0</v>
      </c>
      <c r="BB109" s="377"/>
      <c r="BC109" s="377">
        <f t="shared" si="61"/>
        <v>0</v>
      </c>
      <c r="BD109" s="377">
        <f t="shared" si="62"/>
        <v>0</v>
      </c>
      <c r="BE109" s="377"/>
      <c r="BF109" s="377">
        <f t="shared" si="63"/>
        <v>0</v>
      </c>
      <c r="BG109" s="433">
        <f t="shared" si="64"/>
        <v>226280668</v>
      </c>
      <c r="BH109" s="434">
        <f t="shared" si="65"/>
        <v>0</v>
      </c>
    </row>
    <row r="110" spans="1:60" s="378" customFormat="1">
      <c r="A110" s="167">
        <v>99</v>
      </c>
      <c r="B110" s="253" t="str">
        <f>VLOOKUP(A110,'JUNE (물량흐름)'!$A$13:$C$493,3,0)</f>
        <v>KTP101721</v>
      </c>
      <c r="C110" s="57" t="str">
        <f>VLOOKUP(A110,'JUNE (물량흐름)'!$A$13:$C$493,2,0)</f>
        <v>J JILL</v>
      </c>
      <c r="D110" s="58">
        <f>IFERROR(VLOOKUP(B110,O.B.JUNE!$V$7:$Y$448,2,0),0)</f>
        <v>0</v>
      </c>
      <c r="E110" s="58">
        <f>IFERROR(VLOOKUP(B110,O.B.JUNE!$V$7:$X$448,3,0),0)</f>
        <v>0</v>
      </c>
      <c r="F110" s="58">
        <f>IFERROR(VLOOKUP(B110,O.B.JUNE!$V$7:$Y$448,4,0),0)</f>
        <v>0</v>
      </c>
      <c r="G110" s="58">
        <f>SUMIF('JUNE (물량흐름)'!$C$13:$C$493,'In-out-bal products (155)(완성제품)'!B110,'JUNE (물량흐름)'!$V$13:$V$493)</f>
        <v>0</v>
      </c>
      <c r="H110" s="58">
        <f>SUMIF('JUNE (물량흐름)'!$C$13:$C$493,'In-out-bal products (155)(완성제품)'!B110,'JUNE (물량흐름)'!$T$13:$T$493)-SUMIF('JUNE (물량흐름)'!$C$13:$C$493,'In-out-bal products (155)(완성제품)'!B110,'JUNE (물량흐름)'!$Y$13:$Y$493)+SUMIF('JUNE (물량흐름)'!$C$13:$C$493,'In-out-bal products (155)(완성제품)'!B110,'JUNE (물량흐름)'!$U$13:$U$493)</f>
        <v>440</v>
      </c>
      <c r="I110" s="58">
        <f t="shared" si="36"/>
        <v>49582.65</v>
      </c>
      <c r="J110" s="58">
        <f>SUMIF('Direct labour(직접노무비)'!$C$12:$C$503,'In-out-bal products (155)(완성제품)'!B110,'Direct labour(직접노무비)'!$Q$12:$Q$503)</f>
        <v>8868761</v>
      </c>
      <c r="K110" s="59">
        <f>SUMIF('Overhead exp(제조경비)'!$C$12:$C$503,'In-out-bal products (155)(완성제품)'!B110,'Overhead exp(제조경비)'!$Q$12:$Q$503)</f>
        <v>12947605</v>
      </c>
      <c r="L110" s="58">
        <f t="shared" si="37"/>
        <v>21816366</v>
      </c>
      <c r="M110" s="58">
        <f>SUMIF('JUNE (물량흐름)'!$C$13:$C$488,'In-out-bal products (155)(완성제품)'!B110,'JUNE (물량흐름)'!$Y$13:$Y$488)</f>
        <v>0</v>
      </c>
      <c r="N110" s="58">
        <f t="shared" si="38"/>
        <v>0</v>
      </c>
      <c r="O110" s="58">
        <f>SUMIF('Direct labour(직접노무비)'!$C$12:$C$503,'In-out-bal products (155)(완성제품)'!B110,'Direct labour(직접노무비)'!$U$12:$U$503)+SUMIF('Overhead exp(제조경비)'!$C$12:$C$503,'In-out-bal products (155)(완성제품)'!B110,'Overhead exp(제조경비)'!$U$12:$U$503)</f>
        <v>0</v>
      </c>
      <c r="P110" s="60">
        <f t="shared" si="39"/>
        <v>440</v>
      </c>
      <c r="Q110" s="60">
        <f t="shared" si="40"/>
        <v>49582.65</v>
      </c>
      <c r="R110" s="60">
        <f t="shared" si="41"/>
        <v>21816366</v>
      </c>
      <c r="S110" s="58">
        <v>0</v>
      </c>
      <c r="T110" s="58">
        <v>0</v>
      </c>
      <c r="U110" s="58">
        <v>0</v>
      </c>
      <c r="V110" s="58">
        <f>SUMIF('JUNE (물량흐름)'!$C$13:$C$493,'In-out-bal products (155)(완성제품)'!B110,'JUNE (물량흐름)'!$W$13:$W$493)</f>
        <v>0</v>
      </c>
      <c r="W110" s="58">
        <f t="shared" si="42"/>
        <v>0</v>
      </c>
      <c r="X110" s="58">
        <f t="shared" si="43"/>
        <v>0</v>
      </c>
      <c r="Y110" s="58">
        <f>SUMIF('JUNE (물량흐름)'!$C$13:$C$488,'In-out-bal products (155)(완성제품)'!B110,'JUNE (물량흐름)'!$X$13:$X$488)</f>
        <v>0</v>
      </c>
      <c r="Z110" s="58">
        <f t="shared" si="44"/>
        <v>0</v>
      </c>
      <c r="AA110" s="58">
        <f t="shared" si="45"/>
        <v>0</v>
      </c>
      <c r="AB110" s="58"/>
      <c r="AC110" s="58"/>
      <c r="AD110" s="61"/>
      <c r="AE110" s="58">
        <f t="shared" si="46"/>
        <v>0</v>
      </c>
      <c r="AF110" s="58">
        <f t="shared" si="47"/>
        <v>0</v>
      </c>
      <c r="AG110" s="61">
        <f t="shared" si="48"/>
        <v>0</v>
      </c>
      <c r="AH110" s="58">
        <v>0</v>
      </c>
      <c r="AI110" s="58">
        <v>0</v>
      </c>
      <c r="AJ110" s="61">
        <v>0</v>
      </c>
      <c r="AK110" s="58"/>
      <c r="AL110" s="58"/>
      <c r="AM110" s="61"/>
      <c r="AN110" s="61">
        <f t="shared" si="49"/>
        <v>0</v>
      </c>
      <c r="AO110" s="58">
        <f t="shared" si="50"/>
        <v>0</v>
      </c>
      <c r="AP110" s="61">
        <f t="shared" si="51"/>
        <v>0</v>
      </c>
      <c r="AQ110" s="58">
        <f t="shared" si="52"/>
        <v>440</v>
      </c>
      <c r="AR110" s="58">
        <f t="shared" si="53"/>
        <v>49582.65</v>
      </c>
      <c r="AS110" s="58">
        <f t="shared" si="54"/>
        <v>21816366</v>
      </c>
      <c r="AT110" s="58">
        <f>ROUND(SUMIF('JUNE (물량흐름)'!$C$13:$C$502,'In-out-bal products (155)(완성제품)'!B110,'JUNE (물량흐름)'!$AB$13:$AB$502),0)</f>
        <v>0</v>
      </c>
      <c r="AU110" s="58">
        <f t="shared" si="55"/>
        <v>0</v>
      </c>
      <c r="AV110" s="58">
        <f>ROUND(SUMIF('JUNE (물량흐름)'!$C$13:$C$502,'In-out-bal products (155)(완성제품)'!B110,'JUNE (물량흐름)'!$AC$13:$AC$502),0)</f>
        <v>440</v>
      </c>
      <c r="AW110" s="58">
        <f t="shared" si="56"/>
        <v>21816366</v>
      </c>
      <c r="AX110" s="376">
        <f t="shared" si="57"/>
        <v>0</v>
      </c>
      <c r="AY110" s="377">
        <f t="shared" si="58"/>
        <v>0</v>
      </c>
      <c r="AZ110" s="377">
        <f t="shared" si="59"/>
        <v>0</v>
      </c>
      <c r="BA110" s="377">
        <f t="shared" si="60"/>
        <v>0</v>
      </c>
      <c r="BB110" s="377"/>
      <c r="BC110" s="377">
        <f t="shared" si="61"/>
        <v>0</v>
      </c>
      <c r="BD110" s="377">
        <f t="shared" si="62"/>
        <v>0</v>
      </c>
      <c r="BE110" s="377"/>
      <c r="BF110" s="377">
        <f t="shared" si="63"/>
        <v>0</v>
      </c>
      <c r="BG110" s="433">
        <f t="shared" si="64"/>
        <v>0</v>
      </c>
      <c r="BH110" s="434">
        <f t="shared" si="65"/>
        <v>0</v>
      </c>
    </row>
    <row r="111" spans="1:60" s="378" customFormat="1">
      <c r="A111" s="167">
        <v>100</v>
      </c>
      <c r="B111" s="253" t="str">
        <f>VLOOKUP(A111,'JUNE (물량흐름)'!$A$13:$C$493,3,0)</f>
        <v>KTP109571</v>
      </c>
      <c r="C111" s="57" t="str">
        <f>VLOOKUP(A111,'JUNE (물량흐름)'!$A$13:$C$493,2,0)</f>
        <v>J JILL</v>
      </c>
      <c r="D111" s="58">
        <f>IFERROR(VLOOKUP(B111,O.B.JUNE!$V$7:$Y$448,2,0),0)</f>
        <v>0</v>
      </c>
      <c r="E111" s="58">
        <f>IFERROR(VLOOKUP(B111,O.B.JUNE!$V$7:$X$448,3,0),0)</f>
        <v>0</v>
      </c>
      <c r="F111" s="58">
        <f>IFERROR(VLOOKUP(B111,O.B.JUNE!$V$7:$Y$448,4,0),0)</f>
        <v>0</v>
      </c>
      <c r="G111" s="58">
        <f>SUMIF('JUNE (물량흐름)'!$C$13:$C$493,'In-out-bal products (155)(완성제품)'!B111,'JUNE (물량흐름)'!$V$13:$V$493)</f>
        <v>0</v>
      </c>
      <c r="H111" s="58">
        <f>SUMIF('JUNE (물량흐름)'!$C$13:$C$493,'In-out-bal products (155)(완성제품)'!B111,'JUNE (물량흐름)'!$T$13:$T$493)-SUMIF('JUNE (물량흐름)'!$C$13:$C$493,'In-out-bal products (155)(완성제품)'!B111,'JUNE (물량흐름)'!$Y$13:$Y$493)+SUMIF('JUNE (물량흐름)'!$C$13:$C$493,'In-out-bal products (155)(완성제품)'!B111,'JUNE (물량흐름)'!$U$13:$U$493)</f>
        <v>79</v>
      </c>
      <c r="I111" s="58">
        <f t="shared" si="36"/>
        <v>40800.468354430377</v>
      </c>
      <c r="J111" s="58">
        <f>SUMIF('Direct labour(직접노무비)'!$C$12:$C$503,'In-out-bal products (155)(완성제품)'!B111,'Direct labour(직접노무비)'!$Q$12:$Q$503)</f>
        <v>1310306</v>
      </c>
      <c r="K111" s="59">
        <f>SUMIF('Overhead exp(제조경비)'!$C$12:$C$503,'In-out-bal products (155)(완성제품)'!B111,'Overhead exp(제조경비)'!$Q$12:$Q$503)</f>
        <v>1912931</v>
      </c>
      <c r="L111" s="58">
        <f t="shared" si="37"/>
        <v>3223237</v>
      </c>
      <c r="M111" s="58">
        <f>SUMIF('JUNE (물량흐름)'!$C$13:$C$488,'In-out-bal products (155)(완성제품)'!B111,'JUNE (물량흐름)'!$Y$13:$Y$488)</f>
        <v>0</v>
      </c>
      <c r="N111" s="58">
        <f t="shared" si="38"/>
        <v>0</v>
      </c>
      <c r="O111" s="58">
        <f>SUMIF('Direct labour(직접노무비)'!$C$12:$C$503,'In-out-bal products (155)(완성제품)'!B111,'Direct labour(직접노무비)'!$U$12:$U$503)+SUMIF('Overhead exp(제조경비)'!$C$12:$C$503,'In-out-bal products (155)(완성제품)'!B111,'Overhead exp(제조경비)'!$U$12:$U$503)</f>
        <v>0</v>
      </c>
      <c r="P111" s="60">
        <f t="shared" si="39"/>
        <v>79</v>
      </c>
      <c r="Q111" s="60">
        <f t="shared" si="40"/>
        <v>40800.468354430377</v>
      </c>
      <c r="R111" s="60">
        <f t="shared" si="41"/>
        <v>3223237</v>
      </c>
      <c r="S111" s="58">
        <v>0</v>
      </c>
      <c r="T111" s="58">
        <v>0</v>
      </c>
      <c r="U111" s="58">
        <v>0</v>
      </c>
      <c r="V111" s="58">
        <f>SUMIF('JUNE (물량흐름)'!$C$13:$C$493,'In-out-bal products (155)(완성제품)'!B111,'JUNE (물량흐름)'!$W$13:$W$493)</f>
        <v>0</v>
      </c>
      <c r="W111" s="58">
        <f t="shared" si="42"/>
        <v>0</v>
      </c>
      <c r="X111" s="58">
        <f t="shared" si="43"/>
        <v>0</v>
      </c>
      <c r="Y111" s="58">
        <f>SUMIF('JUNE (물량흐름)'!$C$13:$C$488,'In-out-bal products (155)(완성제품)'!B111,'JUNE (물량흐름)'!$X$13:$X$488)</f>
        <v>0</v>
      </c>
      <c r="Z111" s="58">
        <f t="shared" si="44"/>
        <v>0</v>
      </c>
      <c r="AA111" s="58">
        <f t="shared" si="45"/>
        <v>0</v>
      </c>
      <c r="AB111" s="58"/>
      <c r="AC111" s="58"/>
      <c r="AD111" s="61"/>
      <c r="AE111" s="58">
        <f t="shared" si="46"/>
        <v>0</v>
      </c>
      <c r="AF111" s="58">
        <f t="shared" si="47"/>
        <v>0</v>
      </c>
      <c r="AG111" s="61">
        <f t="shared" si="48"/>
        <v>0</v>
      </c>
      <c r="AH111" s="58">
        <v>0</v>
      </c>
      <c r="AI111" s="58">
        <v>0</v>
      </c>
      <c r="AJ111" s="61">
        <v>0</v>
      </c>
      <c r="AK111" s="58"/>
      <c r="AL111" s="58"/>
      <c r="AM111" s="61"/>
      <c r="AN111" s="61">
        <f t="shared" si="49"/>
        <v>0</v>
      </c>
      <c r="AO111" s="58">
        <f t="shared" si="50"/>
        <v>0</v>
      </c>
      <c r="AP111" s="61">
        <f t="shared" si="51"/>
        <v>0</v>
      </c>
      <c r="AQ111" s="58">
        <f t="shared" si="52"/>
        <v>79</v>
      </c>
      <c r="AR111" s="58">
        <f t="shared" si="53"/>
        <v>40800.468354430377</v>
      </c>
      <c r="AS111" s="58">
        <f t="shared" si="54"/>
        <v>3223237</v>
      </c>
      <c r="AT111" s="58">
        <f>ROUND(SUMIF('JUNE (물량흐름)'!$C$13:$C$502,'In-out-bal products (155)(완성제품)'!B111,'JUNE (물량흐름)'!$AB$13:$AB$502),0)</f>
        <v>0</v>
      </c>
      <c r="AU111" s="58">
        <f t="shared" si="55"/>
        <v>0</v>
      </c>
      <c r="AV111" s="58">
        <f>ROUND(SUMIF('JUNE (물량흐름)'!$C$13:$C$502,'In-out-bal products (155)(완성제품)'!B111,'JUNE (물량흐름)'!$AC$13:$AC$502),0)</f>
        <v>79</v>
      </c>
      <c r="AW111" s="58">
        <f t="shared" si="56"/>
        <v>3223237</v>
      </c>
      <c r="AX111" s="376">
        <f t="shared" si="57"/>
        <v>0</v>
      </c>
      <c r="AY111" s="377">
        <f t="shared" si="58"/>
        <v>0</v>
      </c>
      <c r="AZ111" s="377">
        <f t="shared" si="59"/>
        <v>0</v>
      </c>
      <c r="BA111" s="377">
        <f t="shared" si="60"/>
        <v>0</v>
      </c>
      <c r="BB111" s="377"/>
      <c r="BC111" s="377">
        <f t="shared" si="61"/>
        <v>0</v>
      </c>
      <c r="BD111" s="377">
        <f t="shared" si="62"/>
        <v>0</v>
      </c>
      <c r="BE111" s="377"/>
      <c r="BF111" s="377">
        <f t="shared" si="63"/>
        <v>0</v>
      </c>
      <c r="BG111" s="433">
        <f t="shared" si="64"/>
        <v>0</v>
      </c>
      <c r="BH111" s="434">
        <f t="shared" si="65"/>
        <v>0</v>
      </c>
    </row>
    <row r="112" spans="1:60" s="378" customFormat="1">
      <c r="A112" s="167">
        <v>101</v>
      </c>
      <c r="B112" s="253" t="str">
        <f>VLOOKUP(A112,'JUNE (물량흐름)'!$A$13:$C$493,3,0)</f>
        <v>KTP109581</v>
      </c>
      <c r="C112" s="57" t="str">
        <f>VLOOKUP(A112,'JUNE (물량흐름)'!$A$13:$C$493,2,0)</f>
        <v>J JILL</v>
      </c>
      <c r="D112" s="58">
        <f>IFERROR(VLOOKUP(B112,O.B.JUNE!$V$7:$Y$448,2,0),0)</f>
        <v>0</v>
      </c>
      <c r="E112" s="58">
        <f>IFERROR(VLOOKUP(B112,O.B.JUNE!$V$7:$X$448,3,0),0)</f>
        <v>0</v>
      </c>
      <c r="F112" s="58">
        <f>IFERROR(VLOOKUP(B112,O.B.JUNE!$V$7:$Y$448,4,0),0)</f>
        <v>0</v>
      </c>
      <c r="G112" s="58">
        <f>SUMIF('JUNE (물량흐름)'!$C$13:$C$493,'In-out-bal products (155)(완성제품)'!B112,'JUNE (물량흐름)'!$V$13:$V$493)</f>
        <v>0</v>
      </c>
      <c r="H112" s="58">
        <f>SUMIF('JUNE (물량흐름)'!$C$13:$C$493,'In-out-bal products (155)(완성제품)'!B112,'JUNE (물량흐름)'!$T$13:$T$493)-SUMIF('JUNE (물량흐름)'!$C$13:$C$493,'In-out-bal products (155)(완성제품)'!B112,'JUNE (물량흐름)'!$Y$13:$Y$493)+SUMIF('JUNE (물량흐름)'!$C$13:$C$493,'In-out-bal products (155)(완성제품)'!B112,'JUNE (물량흐름)'!$U$13:$U$493)</f>
        <v>434</v>
      </c>
      <c r="I112" s="58">
        <f t="shared" si="36"/>
        <v>54740.83179723502</v>
      </c>
      <c r="J112" s="58">
        <f>SUMIF('Direct labour(직접노무비)'!$C$12:$C$503,'In-out-bal products (155)(완성제품)'!B112,'Direct labour(직접노무비)'!$Q$12:$Q$503)</f>
        <v>9772047</v>
      </c>
      <c r="K112" s="59">
        <f>SUMIF('Overhead exp(제조경비)'!$C$12:$C$503,'In-out-bal products (155)(완성제품)'!B112,'Overhead exp(제조경비)'!$Q$12:$Q$503)</f>
        <v>13985474</v>
      </c>
      <c r="L112" s="58">
        <f t="shared" si="37"/>
        <v>23757521</v>
      </c>
      <c r="M112" s="58">
        <f>SUMIF('JUNE (물량흐름)'!$C$13:$C$488,'In-out-bal products (155)(완성제품)'!B112,'JUNE (물량흐름)'!$Y$13:$Y$488)</f>
        <v>0</v>
      </c>
      <c r="N112" s="58">
        <f t="shared" si="38"/>
        <v>0</v>
      </c>
      <c r="O112" s="58">
        <f>SUMIF('Direct labour(직접노무비)'!$C$12:$C$503,'In-out-bal products (155)(완성제품)'!B112,'Direct labour(직접노무비)'!$U$12:$U$503)+SUMIF('Overhead exp(제조경비)'!$C$12:$C$503,'In-out-bal products (155)(완성제품)'!B112,'Overhead exp(제조경비)'!$U$12:$U$503)</f>
        <v>0</v>
      </c>
      <c r="P112" s="60">
        <f t="shared" si="39"/>
        <v>434</v>
      </c>
      <c r="Q112" s="60">
        <f t="shared" si="40"/>
        <v>54740.83179723502</v>
      </c>
      <c r="R112" s="60">
        <f t="shared" si="41"/>
        <v>23757521</v>
      </c>
      <c r="S112" s="58">
        <v>0</v>
      </c>
      <c r="T112" s="58">
        <v>0</v>
      </c>
      <c r="U112" s="58">
        <v>0</v>
      </c>
      <c r="V112" s="58">
        <f>SUMIF('JUNE (물량흐름)'!$C$13:$C$493,'In-out-bal products (155)(완성제품)'!B112,'JUNE (물량흐름)'!$W$13:$W$493)</f>
        <v>0</v>
      </c>
      <c r="W112" s="58">
        <f t="shared" si="42"/>
        <v>0</v>
      </c>
      <c r="X112" s="58">
        <f t="shared" si="43"/>
        <v>0</v>
      </c>
      <c r="Y112" s="58">
        <f>SUMIF('JUNE (물량흐름)'!$C$13:$C$488,'In-out-bal products (155)(완성제품)'!B112,'JUNE (물량흐름)'!$X$13:$X$488)</f>
        <v>0</v>
      </c>
      <c r="Z112" s="58">
        <f t="shared" si="44"/>
        <v>0</v>
      </c>
      <c r="AA112" s="58">
        <f t="shared" si="45"/>
        <v>0</v>
      </c>
      <c r="AB112" s="58"/>
      <c r="AC112" s="58"/>
      <c r="AD112" s="61"/>
      <c r="AE112" s="58">
        <f t="shared" si="46"/>
        <v>0</v>
      </c>
      <c r="AF112" s="58">
        <f t="shared" si="47"/>
        <v>0</v>
      </c>
      <c r="AG112" s="61">
        <f t="shared" si="48"/>
        <v>0</v>
      </c>
      <c r="AH112" s="58">
        <v>0</v>
      </c>
      <c r="AI112" s="58">
        <v>0</v>
      </c>
      <c r="AJ112" s="61">
        <v>0</v>
      </c>
      <c r="AK112" s="58"/>
      <c r="AL112" s="58"/>
      <c r="AM112" s="61"/>
      <c r="AN112" s="61">
        <f t="shared" si="49"/>
        <v>0</v>
      </c>
      <c r="AO112" s="58">
        <f t="shared" si="50"/>
        <v>0</v>
      </c>
      <c r="AP112" s="61">
        <f t="shared" si="51"/>
        <v>0</v>
      </c>
      <c r="AQ112" s="58">
        <f t="shared" si="52"/>
        <v>434</v>
      </c>
      <c r="AR112" s="58">
        <f t="shared" si="53"/>
        <v>54740.83179723502</v>
      </c>
      <c r="AS112" s="58">
        <f t="shared" si="54"/>
        <v>23757521</v>
      </c>
      <c r="AT112" s="58">
        <f>ROUND(SUMIF('JUNE (물량흐름)'!$C$13:$C$502,'In-out-bal products (155)(완성제품)'!B112,'JUNE (물량흐름)'!$AB$13:$AB$502),0)</f>
        <v>0</v>
      </c>
      <c r="AU112" s="58">
        <f t="shared" si="55"/>
        <v>0</v>
      </c>
      <c r="AV112" s="58">
        <f>ROUND(SUMIF('JUNE (물량흐름)'!$C$13:$C$502,'In-out-bal products (155)(완성제품)'!B112,'JUNE (물량흐름)'!$AC$13:$AC$502),0)</f>
        <v>434</v>
      </c>
      <c r="AW112" s="58">
        <f t="shared" si="56"/>
        <v>23757521</v>
      </c>
      <c r="AX112" s="376">
        <f t="shared" si="57"/>
        <v>0</v>
      </c>
      <c r="AY112" s="377">
        <f t="shared" si="58"/>
        <v>0</v>
      </c>
      <c r="AZ112" s="377">
        <f t="shared" si="59"/>
        <v>0</v>
      </c>
      <c r="BA112" s="377">
        <f t="shared" si="60"/>
        <v>0</v>
      </c>
      <c r="BB112" s="377"/>
      <c r="BC112" s="377">
        <f t="shared" si="61"/>
        <v>0</v>
      </c>
      <c r="BD112" s="377">
        <f t="shared" si="62"/>
        <v>0</v>
      </c>
      <c r="BE112" s="377"/>
      <c r="BF112" s="377">
        <f t="shared" si="63"/>
        <v>0</v>
      </c>
      <c r="BG112" s="433">
        <f t="shared" si="64"/>
        <v>0</v>
      </c>
      <c r="BH112" s="434">
        <f t="shared" si="65"/>
        <v>0</v>
      </c>
    </row>
    <row r="113" spans="1:60" s="378" customFormat="1">
      <c r="A113" s="167">
        <v>102</v>
      </c>
      <c r="B113" s="253" t="str">
        <f>VLOOKUP(A113,'JUNE (물량흐름)'!$A$13:$C$493,3,0)</f>
        <v>KTP112701</v>
      </c>
      <c r="C113" s="57" t="str">
        <f>VLOOKUP(A113,'JUNE (물량흐름)'!$A$13:$C$493,2,0)</f>
        <v>J JILL</v>
      </c>
      <c r="D113" s="58">
        <f>IFERROR(VLOOKUP(B113,O.B.JUNE!$V$7:$Y$448,2,0),0)</f>
        <v>0</v>
      </c>
      <c r="E113" s="58">
        <f>IFERROR(VLOOKUP(B113,O.B.JUNE!$V$7:$X$448,3,0),0)</f>
        <v>0</v>
      </c>
      <c r="F113" s="58">
        <f>IFERROR(VLOOKUP(B113,O.B.JUNE!$V$7:$Y$448,4,0),0)</f>
        <v>0</v>
      </c>
      <c r="G113" s="58">
        <f>SUMIF('JUNE (물량흐름)'!$C$13:$C$493,'In-out-bal products (155)(완성제품)'!B113,'JUNE (물량흐름)'!$V$13:$V$493)</f>
        <v>0</v>
      </c>
      <c r="H113" s="58">
        <f>SUMIF('JUNE (물량흐름)'!$C$13:$C$493,'In-out-bal products (155)(완성제품)'!B113,'JUNE (물량흐름)'!$T$13:$T$493)-SUMIF('JUNE (물량흐름)'!$C$13:$C$493,'In-out-bal products (155)(완성제품)'!B113,'JUNE (물량흐름)'!$Y$13:$Y$493)+SUMIF('JUNE (물량흐름)'!$C$13:$C$493,'In-out-bal products (155)(완성제품)'!B113,'JUNE (물량흐름)'!$U$13:$U$493)</f>
        <v>727</v>
      </c>
      <c r="I113" s="58">
        <f t="shared" si="36"/>
        <v>43195.859697386521</v>
      </c>
      <c r="J113" s="58">
        <f>SUMIF('Direct labour(직접노무비)'!$C$12:$C$503,'In-out-bal products (155)(완성제품)'!B113,'Direct labour(직접노무비)'!$Q$12:$Q$503)</f>
        <v>12680520</v>
      </c>
      <c r="K113" s="59">
        <f>SUMIF('Overhead exp(제조경비)'!$C$12:$C$503,'In-out-bal products (155)(완성제품)'!B113,'Overhead exp(제조경비)'!$Q$12:$Q$503)</f>
        <v>18722870</v>
      </c>
      <c r="L113" s="58">
        <f t="shared" si="37"/>
        <v>31403390</v>
      </c>
      <c r="M113" s="58">
        <f>SUMIF('JUNE (물량흐름)'!$C$13:$C$488,'In-out-bal products (155)(완성제품)'!B113,'JUNE (물량흐름)'!$Y$13:$Y$488)</f>
        <v>0</v>
      </c>
      <c r="N113" s="58">
        <f t="shared" si="38"/>
        <v>0</v>
      </c>
      <c r="O113" s="58">
        <f>SUMIF('Direct labour(직접노무비)'!$C$12:$C$503,'In-out-bal products (155)(완성제품)'!B113,'Direct labour(직접노무비)'!$U$12:$U$503)+SUMIF('Overhead exp(제조경비)'!$C$12:$C$503,'In-out-bal products (155)(완성제품)'!B113,'Overhead exp(제조경비)'!$U$12:$U$503)</f>
        <v>0</v>
      </c>
      <c r="P113" s="60">
        <f t="shared" si="39"/>
        <v>727</v>
      </c>
      <c r="Q113" s="60">
        <f t="shared" si="40"/>
        <v>43195.859697386521</v>
      </c>
      <c r="R113" s="60">
        <f t="shared" si="41"/>
        <v>31403390</v>
      </c>
      <c r="S113" s="58">
        <v>0</v>
      </c>
      <c r="T113" s="58">
        <v>0</v>
      </c>
      <c r="U113" s="58">
        <v>0</v>
      </c>
      <c r="V113" s="58">
        <f>SUMIF('JUNE (물량흐름)'!$C$13:$C$493,'In-out-bal products (155)(완성제품)'!B113,'JUNE (물량흐름)'!$W$13:$W$493)</f>
        <v>0</v>
      </c>
      <c r="W113" s="58">
        <f t="shared" si="42"/>
        <v>0</v>
      </c>
      <c r="X113" s="58">
        <f t="shared" si="43"/>
        <v>0</v>
      </c>
      <c r="Y113" s="58">
        <f>SUMIF('JUNE (물량흐름)'!$C$13:$C$488,'In-out-bal products (155)(완성제품)'!B113,'JUNE (물량흐름)'!$X$13:$X$488)</f>
        <v>0</v>
      </c>
      <c r="Z113" s="58">
        <f t="shared" si="44"/>
        <v>0</v>
      </c>
      <c r="AA113" s="58">
        <f t="shared" si="45"/>
        <v>0</v>
      </c>
      <c r="AB113" s="58"/>
      <c r="AC113" s="58"/>
      <c r="AD113" s="61"/>
      <c r="AE113" s="58">
        <f t="shared" si="46"/>
        <v>0</v>
      </c>
      <c r="AF113" s="58">
        <f t="shared" si="47"/>
        <v>0</v>
      </c>
      <c r="AG113" s="61">
        <f t="shared" si="48"/>
        <v>0</v>
      </c>
      <c r="AH113" s="58">
        <v>0</v>
      </c>
      <c r="AI113" s="58">
        <v>0</v>
      </c>
      <c r="AJ113" s="61">
        <v>0</v>
      </c>
      <c r="AK113" s="58"/>
      <c r="AL113" s="58"/>
      <c r="AM113" s="61"/>
      <c r="AN113" s="61">
        <f t="shared" si="49"/>
        <v>0</v>
      </c>
      <c r="AO113" s="58">
        <f t="shared" si="50"/>
        <v>0</v>
      </c>
      <c r="AP113" s="61">
        <f t="shared" si="51"/>
        <v>0</v>
      </c>
      <c r="AQ113" s="58">
        <f t="shared" si="52"/>
        <v>727</v>
      </c>
      <c r="AR113" s="58">
        <f t="shared" si="53"/>
        <v>43195.859697386521</v>
      </c>
      <c r="AS113" s="58">
        <f t="shared" si="54"/>
        <v>31403390</v>
      </c>
      <c r="AT113" s="58">
        <f>ROUND(SUMIF('JUNE (물량흐름)'!$C$13:$C$502,'In-out-bal products (155)(완성제품)'!B113,'JUNE (물량흐름)'!$AB$13:$AB$502),0)</f>
        <v>0</v>
      </c>
      <c r="AU113" s="58">
        <f t="shared" si="55"/>
        <v>0</v>
      </c>
      <c r="AV113" s="58">
        <f>ROUND(SUMIF('JUNE (물량흐름)'!$C$13:$C$502,'In-out-bal products (155)(완성제품)'!B113,'JUNE (물량흐름)'!$AC$13:$AC$502),0)</f>
        <v>727</v>
      </c>
      <c r="AW113" s="58">
        <f t="shared" si="56"/>
        <v>31403390</v>
      </c>
      <c r="AX113" s="376">
        <f t="shared" si="57"/>
        <v>0</v>
      </c>
      <c r="AY113" s="377">
        <f t="shared" si="58"/>
        <v>0</v>
      </c>
      <c r="AZ113" s="377">
        <f t="shared" si="59"/>
        <v>0</v>
      </c>
      <c r="BA113" s="377">
        <f t="shared" si="60"/>
        <v>0</v>
      </c>
      <c r="BB113" s="377"/>
      <c r="BC113" s="377">
        <f t="shared" si="61"/>
        <v>0</v>
      </c>
      <c r="BD113" s="377">
        <f t="shared" si="62"/>
        <v>0</v>
      </c>
      <c r="BE113" s="377"/>
      <c r="BF113" s="377">
        <f t="shared" si="63"/>
        <v>0</v>
      </c>
      <c r="BG113" s="433">
        <f t="shared" si="64"/>
        <v>0</v>
      </c>
      <c r="BH113" s="434">
        <f t="shared" si="65"/>
        <v>0</v>
      </c>
    </row>
    <row r="114" spans="1:60" s="378" customFormat="1">
      <c r="A114" s="167">
        <v>103</v>
      </c>
      <c r="B114" s="253" t="str">
        <f>VLOOKUP(A114,'JUNE (물량흐름)'!$A$13:$C$493,3,0)</f>
        <v>JMML9R1668</v>
      </c>
      <c r="C114" s="57" t="str">
        <f>VLOOKUP(A114,'JUNE (물량흐름)'!$A$13:$C$493,2,0)</f>
        <v>JONES NY</v>
      </c>
      <c r="D114" s="58">
        <f>IFERROR(VLOOKUP(B114,O.B.JUNE!$V$7:$Y$448,2,0),0)</f>
        <v>0</v>
      </c>
      <c r="E114" s="58">
        <f>IFERROR(VLOOKUP(B114,O.B.JUNE!$V$7:$X$448,3,0),0)</f>
        <v>0</v>
      </c>
      <c r="F114" s="58">
        <f>IFERROR(VLOOKUP(B114,O.B.JUNE!$V$7:$Y$448,4,0),0)</f>
        <v>0</v>
      </c>
      <c r="G114" s="58">
        <f>SUMIF('JUNE (물량흐름)'!$C$13:$C$493,'In-out-bal products (155)(완성제품)'!B114,'JUNE (물량흐름)'!$V$13:$V$493)</f>
        <v>0</v>
      </c>
      <c r="H114" s="58">
        <f>SUMIF('JUNE (물량흐름)'!$C$13:$C$493,'In-out-bal products (155)(완성제품)'!B114,'JUNE (물량흐름)'!$T$13:$T$493)-SUMIF('JUNE (물량흐름)'!$C$13:$C$493,'In-out-bal products (155)(완성제품)'!B114,'JUNE (물량흐름)'!$Y$13:$Y$493)+SUMIF('JUNE (물량흐름)'!$C$13:$C$493,'In-out-bal products (155)(완성제품)'!B114,'JUNE (물량흐름)'!$U$13:$U$493)</f>
        <v>614</v>
      </c>
      <c r="I114" s="58">
        <f t="shared" si="36"/>
        <v>17098.114006514657</v>
      </c>
      <c r="J114" s="58">
        <f>SUMIF('Direct labour(직접노무비)'!$C$12:$C$503,'In-out-bal products (155)(완성제품)'!B114,'Direct labour(직접노무비)'!$Q$12:$Q$503)</f>
        <v>4267732</v>
      </c>
      <c r="K114" s="59">
        <f>SUMIF('Overhead exp(제조경비)'!$C$12:$C$503,'In-out-bal products (155)(완성제품)'!B114,'Overhead exp(제조경비)'!$Q$12:$Q$503)</f>
        <v>6230510</v>
      </c>
      <c r="L114" s="58">
        <f t="shared" si="37"/>
        <v>10498242</v>
      </c>
      <c r="M114" s="58">
        <f>SUMIF('JUNE (물량흐름)'!$C$13:$C$488,'In-out-bal products (155)(완성제품)'!B114,'JUNE (물량흐름)'!$Y$13:$Y$488)</f>
        <v>0</v>
      </c>
      <c r="N114" s="58">
        <f t="shared" si="38"/>
        <v>0</v>
      </c>
      <c r="O114" s="58">
        <f>SUMIF('Direct labour(직접노무비)'!$C$12:$C$503,'In-out-bal products (155)(완성제품)'!B114,'Direct labour(직접노무비)'!$U$12:$U$503)+SUMIF('Overhead exp(제조경비)'!$C$12:$C$503,'In-out-bal products (155)(완성제품)'!B114,'Overhead exp(제조경비)'!$U$12:$U$503)</f>
        <v>0</v>
      </c>
      <c r="P114" s="60">
        <f t="shared" si="39"/>
        <v>614</v>
      </c>
      <c r="Q114" s="60">
        <f t="shared" si="40"/>
        <v>17098.114006514657</v>
      </c>
      <c r="R114" s="60">
        <f t="shared" si="41"/>
        <v>10498242</v>
      </c>
      <c r="S114" s="58">
        <v>0</v>
      </c>
      <c r="T114" s="58">
        <v>0</v>
      </c>
      <c r="U114" s="58">
        <v>0</v>
      </c>
      <c r="V114" s="58">
        <f>SUMIF('JUNE (물량흐름)'!$C$13:$C$493,'In-out-bal products (155)(완성제품)'!B114,'JUNE (물량흐름)'!$W$13:$W$493)</f>
        <v>0</v>
      </c>
      <c r="W114" s="58">
        <f t="shared" si="42"/>
        <v>0</v>
      </c>
      <c r="X114" s="58">
        <f t="shared" si="43"/>
        <v>0</v>
      </c>
      <c r="Y114" s="58">
        <f>SUMIF('JUNE (물량흐름)'!$C$13:$C$488,'In-out-bal products (155)(완성제품)'!B114,'JUNE (물량흐름)'!$X$13:$X$488)</f>
        <v>0</v>
      </c>
      <c r="Z114" s="58">
        <f t="shared" si="44"/>
        <v>0</v>
      </c>
      <c r="AA114" s="58">
        <f t="shared" si="45"/>
        <v>0</v>
      </c>
      <c r="AB114" s="58"/>
      <c r="AC114" s="58"/>
      <c r="AD114" s="61"/>
      <c r="AE114" s="58">
        <f t="shared" si="46"/>
        <v>0</v>
      </c>
      <c r="AF114" s="58">
        <f t="shared" si="47"/>
        <v>0</v>
      </c>
      <c r="AG114" s="61">
        <f t="shared" si="48"/>
        <v>0</v>
      </c>
      <c r="AH114" s="58">
        <v>0</v>
      </c>
      <c r="AI114" s="58">
        <v>0</v>
      </c>
      <c r="AJ114" s="61">
        <v>0</v>
      </c>
      <c r="AK114" s="58"/>
      <c r="AL114" s="58"/>
      <c r="AM114" s="61"/>
      <c r="AN114" s="61">
        <f t="shared" si="49"/>
        <v>0</v>
      </c>
      <c r="AO114" s="58">
        <f t="shared" si="50"/>
        <v>0</v>
      </c>
      <c r="AP114" s="61">
        <f t="shared" si="51"/>
        <v>0</v>
      </c>
      <c r="AQ114" s="58">
        <f t="shared" si="52"/>
        <v>614</v>
      </c>
      <c r="AR114" s="58">
        <f t="shared" si="53"/>
        <v>17098.114006514657</v>
      </c>
      <c r="AS114" s="58">
        <f t="shared" si="54"/>
        <v>10498242</v>
      </c>
      <c r="AT114" s="58">
        <f>ROUND(SUMIF('JUNE (물량흐름)'!$C$13:$C$502,'In-out-bal products (155)(완성제품)'!B114,'JUNE (물량흐름)'!$AB$13:$AB$502),0)</f>
        <v>0</v>
      </c>
      <c r="AU114" s="58">
        <f t="shared" si="55"/>
        <v>0</v>
      </c>
      <c r="AV114" s="58">
        <f>ROUND(SUMIF('JUNE (물량흐름)'!$C$13:$C$502,'In-out-bal products (155)(완성제품)'!B114,'JUNE (물량흐름)'!$AC$13:$AC$502),0)</f>
        <v>614</v>
      </c>
      <c r="AW114" s="58">
        <f t="shared" si="56"/>
        <v>10498242</v>
      </c>
      <c r="AX114" s="376">
        <f t="shared" si="57"/>
        <v>0</v>
      </c>
      <c r="AY114" s="377">
        <f t="shared" si="58"/>
        <v>0</v>
      </c>
      <c r="AZ114" s="377">
        <f t="shared" si="59"/>
        <v>0</v>
      </c>
      <c r="BA114" s="377">
        <f t="shared" si="60"/>
        <v>0</v>
      </c>
      <c r="BB114" s="377"/>
      <c r="BC114" s="377">
        <f t="shared" si="61"/>
        <v>0</v>
      </c>
      <c r="BD114" s="377">
        <f t="shared" si="62"/>
        <v>0</v>
      </c>
      <c r="BE114" s="377"/>
      <c r="BF114" s="377">
        <f t="shared" si="63"/>
        <v>0</v>
      </c>
      <c r="BG114" s="433">
        <f t="shared" si="64"/>
        <v>0</v>
      </c>
      <c r="BH114" s="434">
        <f t="shared" si="65"/>
        <v>0</v>
      </c>
    </row>
    <row r="115" spans="1:60" s="378" customFormat="1">
      <c r="A115" s="167">
        <v>104</v>
      </c>
      <c r="B115" s="253" t="str">
        <f>VLOOKUP(A115,'JUNE (물량흐름)'!$A$13:$C$493,3,0)</f>
        <v>JPMR8KT003</v>
      </c>
      <c r="C115" s="57" t="str">
        <f>VLOOKUP(A115,'JUNE (물량흐름)'!$A$13:$C$493,2,0)</f>
        <v>JONES NY</v>
      </c>
      <c r="D115" s="58">
        <f>IFERROR(VLOOKUP(B115,O.B.JUNE!$V$7:$Y$448,2,0),0)</f>
        <v>0</v>
      </c>
      <c r="E115" s="58">
        <f>IFERROR(VLOOKUP(B115,O.B.JUNE!$V$7:$X$448,3,0),0)</f>
        <v>0</v>
      </c>
      <c r="F115" s="58">
        <f>IFERROR(VLOOKUP(B115,O.B.JUNE!$V$7:$Y$448,4,0),0)</f>
        <v>0</v>
      </c>
      <c r="G115" s="58">
        <f>SUMIF('JUNE (물량흐름)'!$C$13:$C$493,'In-out-bal products (155)(완성제품)'!B115,'JUNE (물량흐름)'!$V$13:$V$493)</f>
        <v>0</v>
      </c>
      <c r="H115" s="58">
        <f>SUMIF('JUNE (물량흐름)'!$C$13:$C$493,'In-out-bal products (155)(완성제품)'!B115,'JUNE (물량흐름)'!$T$13:$T$493)-SUMIF('JUNE (물량흐름)'!$C$13:$C$493,'In-out-bal products (155)(완성제품)'!B115,'JUNE (물량흐름)'!$Y$13:$Y$493)+SUMIF('JUNE (물량흐름)'!$C$13:$C$493,'In-out-bal products (155)(완성제품)'!B115,'JUNE (물량흐름)'!$U$13:$U$493)</f>
        <v>58</v>
      </c>
      <c r="I115" s="58">
        <f t="shared" si="36"/>
        <v>5300.3965517241377</v>
      </c>
      <c r="J115" s="58">
        <f>SUMIF('Direct labour(직접노무비)'!$C$12:$C$503,'In-out-bal products (155)(완성제품)'!B115,'Direct labour(직접노무비)'!$Q$12:$Q$503)</f>
        <v>124973</v>
      </c>
      <c r="K115" s="59">
        <f>SUMIF('Overhead exp(제조경비)'!$C$12:$C$503,'In-out-bal products (155)(완성제품)'!B115,'Overhead exp(제조경비)'!$Q$12:$Q$503)</f>
        <v>182450</v>
      </c>
      <c r="L115" s="58">
        <f t="shared" si="37"/>
        <v>307423</v>
      </c>
      <c r="M115" s="58">
        <f>SUMIF('JUNE (물량흐름)'!$C$13:$C$488,'In-out-bal products (155)(완성제품)'!B115,'JUNE (물량흐름)'!$Y$13:$Y$488)</f>
        <v>0</v>
      </c>
      <c r="N115" s="58">
        <f t="shared" si="38"/>
        <v>0</v>
      </c>
      <c r="O115" s="58">
        <f>SUMIF('Direct labour(직접노무비)'!$C$12:$C$503,'In-out-bal products (155)(완성제품)'!B115,'Direct labour(직접노무비)'!$U$12:$U$503)+SUMIF('Overhead exp(제조경비)'!$C$12:$C$503,'In-out-bal products (155)(완성제품)'!B115,'Overhead exp(제조경비)'!$U$12:$U$503)</f>
        <v>0</v>
      </c>
      <c r="P115" s="60">
        <f t="shared" si="39"/>
        <v>58</v>
      </c>
      <c r="Q115" s="60">
        <f t="shared" si="40"/>
        <v>5300.3965517241377</v>
      </c>
      <c r="R115" s="60">
        <f t="shared" si="41"/>
        <v>307423</v>
      </c>
      <c r="S115" s="58">
        <v>0</v>
      </c>
      <c r="T115" s="58">
        <v>0</v>
      </c>
      <c r="U115" s="58">
        <v>0</v>
      </c>
      <c r="V115" s="58">
        <f>SUMIF('JUNE (물량흐름)'!$C$13:$C$493,'In-out-bal products (155)(완성제품)'!B115,'JUNE (물량흐름)'!$W$13:$W$493)</f>
        <v>0</v>
      </c>
      <c r="W115" s="58">
        <f t="shared" si="42"/>
        <v>0</v>
      </c>
      <c r="X115" s="58">
        <f t="shared" si="43"/>
        <v>0</v>
      </c>
      <c r="Y115" s="58">
        <f>SUMIF('JUNE (물량흐름)'!$C$13:$C$488,'In-out-bal products (155)(완성제품)'!B115,'JUNE (물량흐름)'!$X$13:$X$488)</f>
        <v>0</v>
      </c>
      <c r="Z115" s="58">
        <f t="shared" si="44"/>
        <v>0</v>
      </c>
      <c r="AA115" s="58">
        <f t="shared" si="45"/>
        <v>0</v>
      </c>
      <c r="AB115" s="58"/>
      <c r="AC115" s="58"/>
      <c r="AD115" s="61"/>
      <c r="AE115" s="58">
        <f t="shared" si="46"/>
        <v>0</v>
      </c>
      <c r="AF115" s="58">
        <f t="shared" si="47"/>
        <v>0</v>
      </c>
      <c r="AG115" s="61">
        <f t="shared" si="48"/>
        <v>0</v>
      </c>
      <c r="AH115" s="58">
        <v>0</v>
      </c>
      <c r="AI115" s="58">
        <v>0</v>
      </c>
      <c r="AJ115" s="61">
        <v>0</v>
      </c>
      <c r="AK115" s="58"/>
      <c r="AL115" s="58"/>
      <c r="AM115" s="61"/>
      <c r="AN115" s="61">
        <f t="shared" si="49"/>
        <v>0</v>
      </c>
      <c r="AO115" s="58">
        <f t="shared" si="50"/>
        <v>0</v>
      </c>
      <c r="AP115" s="61">
        <f t="shared" si="51"/>
        <v>0</v>
      </c>
      <c r="AQ115" s="58">
        <f t="shared" si="52"/>
        <v>58</v>
      </c>
      <c r="AR115" s="58">
        <f t="shared" si="53"/>
        <v>5300.3965517241377</v>
      </c>
      <c r="AS115" s="58">
        <f t="shared" si="54"/>
        <v>307423</v>
      </c>
      <c r="AT115" s="58">
        <f>ROUND(SUMIF('JUNE (물량흐름)'!$C$13:$C$502,'In-out-bal products (155)(완성제품)'!B115,'JUNE (물량흐름)'!$AB$13:$AB$502),0)</f>
        <v>0</v>
      </c>
      <c r="AU115" s="58">
        <f t="shared" si="55"/>
        <v>0</v>
      </c>
      <c r="AV115" s="58">
        <f>ROUND(SUMIF('JUNE (물량흐름)'!$C$13:$C$502,'In-out-bal products (155)(완성제품)'!B115,'JUNE (물량흐름)'!$AC$13:$AC$502),0)</f>
        <v>58</v>
      </c>
      <c r="AW115" s="58">
        <f t="shared" si="56"/>
        <v>307423</v>
      </c>
      <c r="AX115" s="376">
        <f t="shared" si="57"/>
        <v>0</v>
      </c>
      <c r="AY115" s="377">
        <f t="shared" si="58"/>
        <v>0</v>
      </c>
      <c r="AZ115" s="377">
        <f t="shared" si="59"/>
        <v>0</v>
      </c>
      <c r="BA115" s="377">
        <f t="shared" si="60"/>
        <v>0</v>
      </c>
      <c r="BB115" s="377"/>
      <c r="BC115" s="377">
        <f t="shared" si="61"/>
        <v>0</v>
      </c>
      <c r="BD115" s="377">
        <f t="shared" si="62"/>
        <v>0</v>
      </c>
      <c r="BE115" s="377"/>
      <c r="BF115" s="377">
        <f t="shared" si="63"/>
        <v>0</v>
      </c>
      <c r="BG115" s="433">
        <f t="shared" si="64"/>
        <v>0</v>
      </c>
      <c r="BH115" s="434">
        <f t="shared" si="65"/>
        <v>0</v>
      </c>
    </row>
    <row r="116" spans="1:60" s="378" customFormat="1">
      <c r="A116" s="167">
        <v>105</v>
      </c>
      <c r="B116" s="253" t="str">
        <f>VLOOKUP(A116,'JUNE (물량흐름)'!$A$13:$C$493,3,0)</f>
        <v>RK381915MI</v>
      </c>
      <c r="C116" s="57" t="str">
        <f>VLOOKUP(A116,'JUNE (물량흐름)'!$A$13:$C$493,2,0)</f>
        <v>NORDSTROM</v>
      </c>
      <c r="D116" s="58">
        <f>IFERROR(VLOOKUP(B116,O.B.JUNE!$V$7:$Y$448,2,0),0)</f>
        <v>0</v>
      </c>
      <c r="E116" s="58">
        <f>IFERROR(VLOOKUP(B116,O.B.JUNE!$V$7:$X$448,3,0),0)</f>
        <v>0</v>
      </c>
      <c r="F116" s="58">
        <f>IFERROR(VLOOKUP(B116,O.B.JUNE!$V$7:$Y$448,4,0),0)</f>
        <v>0</v>
      </c>
      <c r="G116" s="58">
        <f>SUMIF('JUNE (물량흐름)'!$C$13:$C$493,'In-out-bal products (155)(완성제품)'!B116,'JUNE (물량흐름)'!$V$13:$V$493)</f>
        <v>0</v>
      </c>
      <c r="H116" s="58">
        <f>SUMIF('JUNE (물량흐름)'!$C$13:$C$493,'In-out-bal products (155)(완성제품)'!B116,'JUNE (물량흐름)'!$T$13:$T$493)-SUMIF('JUNE (물량흐름)'!$C$13:$C$493,'In-out-bal products (155)(완성제품)'!B116,'JUNE (물량흐름)'!$Y$13:$Y$493)+SUMIF('JUNE (물량흐름)'!$C$13:$C$493,'In-out-bal products (155)(완성제품)'!B116,'JUNE (물량흐름)'!$U$13:$U$493)</f>
        <v>6</v>
      </c>
      <c r="I116" s="58">
        <f t="shared" si="36"/>
        <v>56928.666666666664</v>
      </c>
      <c r="J116" s="58">
        <f>SUMIF('Direct labour(직접노무비)'!$C$12:$C$503,'In-out-bal products (155)(완성제품)'!B116,'Direct labour(직접노무비)'!$Q$12:$Q$503)</f>
        <v>135402</v>
      </c>
      <c r="K116" s="59">
        <f>SUMIF('Overhead exp(제조경비)'!$C$12:$C$503,'In-out-bal products (155)(완성제품)'!B116,'Overhead exp(제조경비)'!$Q$12:$Q$503)</f>
        <v>206170</v>
      </c>
      <c r="L116" s="58">
        <f t="shared" si="37"/>
        <v>341572</v>
      </c>
      <c r="M116" s="58">
        <f>SUMIF('JUNE (물량흐름)'!$C$13:$C$488,'In-out-bal products (155)(완성제품)'!B116,'JUNE (물량흐름)'!$Y$13:$Y$488)</f>
        <v>0</v>
      </c>
      <c r="N116" s="58">
        <f t="shared" si="38"/>
        <v>0</v>
      </c>
      <c r="O116" s="58">
        <f>SUMIF('Direct labour(직접노무비)'!$C$12:$C$503,'In-out-bal products (155)(완성제품)'!B116,'Direct labour(직접노무비)'!$U$12:$U$503)+SUMIF('Overhead exp(제조경비)'!$C$12:$C$503,'In-out-bal products (155)(완성제품)'!B116,'Overhead exp(제조경비)'!$U$12:$U$503)</f>
        <v>0</v>
      </c>
      <c r="P116" s="60">
        <f t="shared" si="39"/>
        <v>6</v>
      </c>
      <c r="Q116" s="60">
        <f t="shared" si="40"/>
        <v>56928.666666666664</v>
      </c>
      <c r="R116" s="60">
        <f t="shared" si="41"/>
        <v>341572</v>
      </c>
      <c r="S116" s="58">
        <v>0</v>
      </c>
      <c r="T116" s="58">
        <v>0</v>
      </c>
      <c r="U116" s="58">
        <v>0</v>
      </c>
      <c r="V116" s="58">
        <f>SUMIF('JUNE (물량흐름)'!$C$13:$C$493,'In-out-bal products (155)(완성제품)'!B116,'JUNE (물량흐름)'!$W$13:$W$493)</f>
        <v>0</v>
      </c>
      <c r="W116" s="58">
        <f t="shared" si="42"/>
        <v>0</v>
      </c>
      <c r="X116" s="58">
        <f t="shared" si="43"/>
        <v>0</v>
      </c>
      <c r="Y116" s="58">
        <f>SUMIF('JUNE (물량흐름)'!$C$13:$C$488,'In-out-bal products (155)(완성제품)'!B116,'JUNE (물량흐름)'!$X$13:$X$488)</f>
        <v>0</v>
      </c>
      <c r="Z116" s="58">
        <f t="shared" si="44"/>
        <v>0</v>
      </c>
      <c r="AA116" s="58">
        <f t="shared" si="45"/>
        <v>0</v>
      </c>
      <c r="AB116" s="58"/>
      <c r="AC116" s="58"/>
      <c r="AD116" s="61"/>
      <c r="AE116" s="58">
        <f t="shared" si="46"/>
        <v>0</v>
      </c>
      <c r="AF116" s="58">
        <f t="shared" si="47"/>
        <v>0</v>
      </c>
      <c r="AG116" s="61">
        <f t="shared" si="48"/>
        <v>0</v>
      </c>
      <c r="AH116" s="58">
        <v>0</v>
      </c>
      <c r="AI116" s="58">
        <v>0</v>
      </c>
      <c r="AJ116" s="61">
        <v>0</v>
      </c>
      <c r="AK116" s="58"/>
      <c r="AL116" s="58"/>
      <c r="AM116" s="61"/>
      <c r="AN116" s="61">
        <f t="shared" si="49"/>
        <v>0</v>
      </c>
      <c r="AO116" s="58">
        <f t="shared" si="50"/>
        <v>0</v>
      </c>
      <c r="AP116" s="61">
        <f t="shared" si="51"/>
        <v>0</v>
      </c>
      <c r="AQ116" s="58">
        <f t="shared" si="52"/>
        <v>6</v>
      </c>
      <c r="AR116" s="58">
        <f t="shared" si="53"/>
        <v>56928.666666666664</v>
      </c>
      <c r="AS116" s="58">
        <f t="shared" si="54"/>
        <v>341572</v>
      </c>
      <c r="AT116" s="58">
        <f>ROUND(SUMIF('JUNE (물량흐름)'!$C$13:$C$502,'In-out-bal products (155)(완성제품)'!B116,'JUNE (물량흐름)'!$AB$13:$AB$502),0)</f>
        <v>0</v>
      </c>
      <c r="AU116" s="58">
        <f t="shared" si="55"/>
        <v>0</v>
      </c>
      <c r="AV116" s="58">
        <f>ROUND(SUMIF('JUNE (물량흐름)'!$C$13:$C$502,'In-out-bal products (155)(완성제품)'!B116,'JUNE (물량흐름)'!$AC$13:$AC$502),0)</f>
        <v>6</v>
      </c>
      <c r="AW116" s="58">
        <f t="shared" si="56"/>
        <v>341572</v>
      </c>
      <c r="AX116" s="376">
        <f t="shared" si="57"/>
        <v>0</v>
      </c>
      <c r="AY116" s="377">
        <f t="shared" si="58"/>
        <v>0</v>
      </c>
      <c r="AZ116" s="377">
        <f t="shared" si="59"/>
        <v>0</v>
      </c>
      <c r="BA116" s="377">
        <f t="shared" si="60"/>
        <v>0</v>
      </c>
      <c r="BB116" s="377"/>
      <c r="BC116" s="377">
        <f t="shared" si="61"/>
        <v>0</v>
      </c>
      <c r="BD116" s="377">
        <f t="shared" si="62"/>
        <v>0</v>
      </c>
      <c r="BE116" s="377"/>
      <c r="BF116" s="377">
        <f t="shared" si="63"/>
        <v>0</v>
      </c>
      <c r="BG116" s="433">
        <f t="shared" si="64"/>
        <v>0</v>
      </c>
      <c r="BH116" s="434">
        <f t="shared" si="65"/>
        <v>0</v>
      </c>
    </row>
    <row r="117" spans="1:60" s="378" customFormat="1">
      <c r="A117" s="167">
        <v>106</v>
      </c>
      <c r="B117" s="253" t="str">
        <f>VLOOKUP(A117,'JUNE (물량흐름)'!$A$13:$C$493,3,0)</f>
        <v>BP381321MI</v>
      </c>
      <c r="C117" s="57" t="str">
        <f>VLOOKUP(A117,'JUNE (물량흐름)'!$A$13:$C$493,2,0)</f>
        <v>NORDSTROM</v>
      </c>
      <c r="D117" s="58">
        <f>IFERROR(VLOOKUP(B117,O.B.JUNE!$V$7:$Y$448,2,0),0)</f>
        <v>0</v>
      </c>
      <c r="E117" s="58">
        <f>IFERROR(VLOOKUP(B117,O.B.JUNE!$V$7:$X$448,3,0),0)</f>
        <v>0</v>
      </c>
      <c r="F117" s="58">
        <f>IFERROR(VLOOKUP(B117,O.B.JUNE!$V$7:$Y$448,4,0),0)</f>
        <v>0</v>
      </c>
      <c r="G117" s="58">
        <f>SUMIF('JUNE (물량흐름)'!$C$13:$C$493,'In-out-bal products (155)(완성제품)'!B117,'JUNE (물량흐름)'!$V$13:$V$493)</f>
        <v>0</v>
      </c>
      <c r="H117" s="58">
        <f>SUMIF('JUNE (물량흐름)'!$C$13:$C$493,'In-out-bal products (155)(완성제품)'!B117,'JUNE (물량흐름)'!$T$13:$T$493)-SUMIF('JUNE (물량흐름)'!$C$13:$C$493,'In-out-bal products (155)(완성제품)'!B117,'JUNE (물량흐름)'!$Y$13:$Y$493)+SUMIF('JUNE (물량흐름)'!$C$13:$C$493,'In-out-bal products (155)(완성제품)'!B117,'JUNE (물량흐름)'!$U$13:$U$493)</f>
        <v>144</v>
      </c>
      <c r="I117" s="58">
        <f t="shared" si="36"/>
        <v>34147.611111111109</v>
      </c>
      <c r="J117" s="58">
        <f>SUMIF('Direct labour(직접노무비)'!$C$12:$C$503,'In-out-bal products (155)(완성제품)'!B117,'Direct labour(직접노무비)'!$Q$12:$Q$503)</f>
        <v>1998957</v>
      </c>
      <c r="K117" s="59">
        <f>SUMIF('Overhead exp(제조경비)'!$C$12:$C$503,'In-out-bal products (155)(완성제품)'!B117,'Overhead exp(제조경비)'!$Q$12:$Q$503)</f>
        <v>2918299</v>
      </c>
      <c r="L117" s="58">
        <f t="shared" si="37"/>
        <v>4917256</v>
      </c>
      <c r="M117" s="58">
        <f>SUMIF('JUNE (물량흐름)'!$C$13:$C$488,'In-out-bal products (155)(완성제품)'!B117,'JUNE (물량흐름)'!$Y$13:$Y$488)</f>
        <v>0</v>
      </c>
      <c r="N117" s="58">
        <f t="shared" si="38"/>
        <v>0</v>
      </c>
      <c r="O117" s="58">
        <f>SUMIF('Direct labour(직접노무비)'!$C$12:$C$503,'In-out-bal products (155)(완성제품)'!B117,'Direct labour(직접노무비)'!$U$12:$U$503)+SUMIF('Overhead exp(제조경비)'!$C$12:$C$503,'In-out-bal products (155)(완성제품)'!B117,'Overhead exp(제조경비)'!$U$12:$U$503)</f>
        <v>0</v>
      </c>
      <c r="P117" s="60">
        <f t="shared" si="39"/>
        <v>144</v>
      </c>
      <c r="Q117" s="60">
        <f t="shared" si="40"/>
        <v>34147.611111111109</v>
      </c>
      <c r="R117" s="60">
        <f t="shared" si="41"/>
        <v>4917256</v>
      </c>
      <c r="S117" s="58">
        <v>0</v>
      </c>
      <c r="T117" s="58">
        <v>0</v>
      </c>
      <c r="U117" s="58">
        <v>0</v>
      </c>
      <c r="V117" s="58">
        <f>SUMIF('JUNE (물량흐름)'!$C$13:$C$493,'In-out-bal products (155)(완성제품)'!B117,'JUNE (물량흐름)'!$W$13:$W$493)</f>
        <v>0</v>
      </c>
      <c r="W117" s="58">
        <f t="shared" si="42"/>
        <v>0</v>
      </c>
      <c r="X117" s="58">
        <f t="shared" si="43"/>
        <v>0</v>
      </c>
      <c r="Y117" s="58">
        <f>SUMIF('JUNE (물량흐름)'!$C$13:$C$488,'In-out-bal products (155)(완성제품)'!B117,'JUNE (물량흐름)'!$X$13:$X$488)</f>
        <v>0</v>
      </c>
      <c r="Z117" s="58">
        <f t="shared" si="44"/>
        <v>0</v>
      </c>
      <c r="AA117" s="58">
        <f t="shared" si="45"/>
        <v>0</v>
      </c>
      <c r="AB117" s="58"/>
      <c r="AC117" s="58"/>
      <c r="AD117" s="61"/>
      <c r="AE117" s="58">
        <f t="shared" si="46"/>
        <v>0</v>
      </c>
      <c r="AF117" s="58">
        <f t="shared" si="47"/>
        <v>0</v>
      </c>
      <c r="AG117" s="61">
        <f t="shared" si="48"/>
        <v>0</v>
      </c>
      <c r="AH117" s="58">
        <v>0</v>
      </c>
      <c r="AI117" s="58">
        <v>0</v>
      </c>
      <c r="AJ117" s="61">
        <v>0</v>
      </c>
      <c r="AK117" s="58"/>
      <c r="AL117" s="58"/>
      <c r="AM117" s="61"/>
      <c r="AN117" s="61">
        <f t="shared" si="49"/>
        <v>0</v>
      </c>
      <c r="AO117" s="58">
        <f t="shared" si="50"/>
        <v>0</v>
      </c>
      <c r="AP117" s="61">
        <f t="shared" si="51"/>
        <v>0</v>
      </c>
      <c r="AQ117" s="58">
        <f t="shared" si="52"/>
        <v>144</v>
      </c>
      <c r="AR117" s="58">
        <f t="shared" si="53"/>
        <v>34147.611111111109</v>
      </c>
      <c r="AS117" s="58">
        <f t="shared" si="54"/>
        <v>4917256</v>
      </c>
      <c r="AT117" s="58">
        <f>ROUND(SUMIF('JUNE (물량흐름)'!$C$13:$C$502,'In-out-bal products (155)(완성제품)'!B117,'JUNE (물량흐름)'!$AB$13:$AB$502),0)</f>
        <v>0</v>
      </c>
      <c r="AU117" s="58">
        <f t="shared" si="55"/>
        <v>0</v>
      </c>
      <c r="AV117" s="58">
        <f>ROUND(SUMIF('JUNE (물량흐름)'!$C$13:$C$502,'In-out-bal products (155)(완성제품)'!B117,'JUNE (물량흐름)'!$AC$13:$AC$502),0)</f>
        <v>144</v>
      </c>
      <c r="AW117" s="58">
        <f t="shared" si="56"/>
        <v>4917256</v>
      </c>
      <c r="AX117" s="376">
        <f t="shared" si="57"/>
        <v>0</v>
      </c>
      <c r="AY117" s="377">
        <f t="shared" si="58"/>
        <v>0</v>
      </c>
      <c r="AZ117" s="377">
        <f t="shared" si="59"/>
        <v>0</v>
      </c>
      <c r="BA117" s="377">
        <f t="shared" si="60"/>
        <v>0</v>
      </c>
      <c r="BB117" s="377"/>
      <c r="BC117" s="377">
        <f t="shared" si="61"/>
        <v>0</v>
      </c>
      <c r="BD117" s="377">
        <f t="shared" si="62"/>
        <v>0</v>
      </c>
      <c r="BE117" s="377"/>
      <c r="BF117" s="377">
        <f t="shared" si="63"/>
        <v>0</v>
      </c>
      <c r="BG117" s="433">
        <f t="shared" si="64"/>
        <v>0</v>
      </c>
      <c r="BH117" s="434">
        <f t="shared" si="65"/>
        <v>0</v>
      </c>
    </row>
    <row r="118" spans="1:60" s="378" customFormat="1">
      <c r="A118" s="167">
        <v>107</v>
      </c>
      <c r="B118" s="253" t="str">
        <f>VLOOKUP(A118,'JUNE (물량흐름)'!$A$13:$C$493,3,0)</f>
        <v>HA372336MI</v>
      </c>
      <c r="C118" s="57" t="str">
        <f>VLOOKUP(A118,'JUNE (물량흐름)'!$A$13:$C$493,2,0)</f>
        <v>NORDSTROM</v>
      </c>
      <c r="D118" s="58">
        <f>IFERROR(VLOOKUP(B118,O.B.JUNE!$V$7:$Y$448,2,0),0)</f>
        <v>0</v>
      </c>
      <c r="E118" s="58">
        <f>IFERROR(VLOOKUP(B118,O.B.JUNE!$V$7:$X$448,3,0),0)</f>
        <v>0</v>
      </c>
      <c r="F118" s="58">
        <f>IFERROR(VLOOKUP(B118,O.B.JUNE!$V$7:$Y$448,4,0),0)</f>
        <v>0</v>
      </c>
      <c r="G118" s="58">
        <f>SUMIF('JUNE (물량흐름)'!$C$13:$C$493,'In-out-bal products (155)(완성제품)'!B118,'JUNE (물량흐름)'!$V$13:$V$493)</f>
        <v>0</v>
      </c>
      <c r="H118" s="58">
        <f>SUMIF('JUNE (물량흐름)'!$C$13:$C$493,'In-out-bal products (155)(완성제품)'!B118,'JUNE (물량흐름)'!$T$13:$T$493)-SUMIF('JUNE (물량흐름)'!$C$13:$C$493,'In-out-bal products (155)(완성제품)'!B118,'JUNE (물량흐름)'!$Y$13:$Y$493)+SUMIF('JUNE (물량흐름)'!$C$13:$C$493,'In-out-bal products (155)(완성제품)'!B118,'JUNE (물량흐름)'!$U$13:$U$493)</f>
        <v>252</v>
      </c>
      <c r="I118" s="58">
        <f t="shared" si="36"/>
        <v>40276.686507936509</v>
      </c>
      <c r="J118" s="58">
        <f>SUMIF('Direct labour(직접노무비)'!$C$12:$C$503,'In-out-bal products (155)(완성제품)'!B118,'Direct labour(직접노무비)'!$Q$12:$Q$503)</f>
        <v>4126053</v>
      </c>
      <c r="K118" s="59">
        <f>SUMIF('Overhead exp(제조경비)'!$C$12:$C$503,'In-out-bal products (155)(완성제품)'!B118,'Overhead exp(제조경비)'!$Q$12:$Q$503)</f>
        <v>6023672</v>
      </c>
      <c r="L118" s="58">
        <f t="shared" si="37"/>
        <v>10149725</v>
      </c>
      <c r="M118" s="58">
        <f>SUMIF('JUNE (물량흐름)'!$C$13:$C$488,'In-out-bal products (155)(완성제품)'!B118,'JUNE (물량흐름)'!$Y$13:$Y$488)</f>
        <v>0</v>
      </c>
      <c r="N118" s="58">
        <f t="shared" si="38"/>
        <v>0</v>
      </c>
      <c r="O118" s="58">
        <f>SUMIF('Direct labour(직접노무비)'!$C$12:$C$503,'In-out-bal products (155)(완성제품)'!B118,'Direct labour(직접노무비)'!$U$12:$U$503)+SUMIF('Overhead exp(제조경비)'!$C$12:$C$503,'In-out-bal products (155)(완성제품)'!B118,'Overhead exp(제조경비)'!$U$12:$U$503)</f>
        <v>0</v>
      </c>
      <c r="P118" s="60">
        <f t="shared" si="39"/>
        <v>252</v>
      </c>
      <c r="Q118" s="60">
        <f t="shared" si="40"/>
        <v>40276.686507936509</v>
      </c>
      <c r="R118" s="60">
        <f t="shared" si="41"/>
        <v>10149725</v>
      </c>
      <c r="S118" s="58">
        <v>0</v>
      </c>
      <c r="T118" s="58">
        <v>0</v>
      </c>
      <c r="U118" s="58">
        <v>0</v>
      </c>
      <c r="V118" s="58">
        <f>SUMIF('JUNE (물량흐름)'!$C$13:$C$493,'In-out-bal products (155)(완성제품)'!B118,'JUNE (물량흐름)'!$W$13:$W$493)</f>
        <v>0</v>
      </c>
      <c r="W118" s="58">
        <f t="shared" si="42"/>
        <v>0</v>
      </c>
      <c r="X118" s="58">
        <f t="shared" si="43"/>
        <v>0</v>
      </c>
      <c r="Y118" s="58">
        <f>SUMIF('JUNE (물량흐름)'!$C$13:$C$488,'In-out-bal products (155)(완성제품)'!B118,'JUNE (물량흐름)'!$X$13:$X$488)</f>
        <v>0</v>
      </c>
      <c r="Z118" s="58">
        <f t="shared" si="44"/>
        <v>0</v>
      </c>
      <c r="AA118" s="58">
        <f t="shared" si="45"/>
        <v>0</v>
      </c>
      <c r="AB118" s="58"/>
      <c r="AC118" s="58"/>
      <c r="AD118" s="61"/>
      <c r="AE118" s="58">
        <f t="shared" si="46"/>
        <v>0</v>
      </c>
      <c r="AF118" s="58">
        <f t="shared" si="47"/>
        <v>0</v>
      </c>
      <c r="AG118" s="61">
        <f t="shared" si="48"/>
        <v>0</v>
      </c>
      <c r="AH118" s="58">
        <v>0</v>
      </c>
      <c r="AI118" s="58">
        <v>0</v>
      </c>
      <c r="AJ118" s="61">
        <v>0</v>
      </c>
      <c r="AK118" s="58"/>
      <c r="AL118" s="58"/>
      <c r="AM118" s="61"/>
      <c r="AN118" s="61">
        <f t="shared" si="49"/>
        <v>0</v>
      </c>
      <c r="AO118" s="58">
        <f t="shared" si="50"/>
        <v>0</v>
      </c>
      <c r="AP118" s="61">
        <f t="shared" si="51"/>
        <v>0</v>
      </c>
      <c r="AQ118" s="58">
        <f t="shared" si="52"/>
        <v>252</v>
      </c>
      <c r="AR118" s="58">
        <f t="shared" si="53"/>
        <v>40276.686507936509</v>
      </c>
      <c r="AS118" s="58">
        <f t="shared" si="54"/>
        <v>10149725</v>
      </c>
      <c r="AT118" s="58">
        <f>ROUND(SUMIF('JUNE (물량흐름)'!$C$13:$C$502,'In-out-bal products (155)(완성제품)'!B118,'JUNE (물량흐름)'!$AB$13:$AB$502),0)</f>
        <v>0</v>
      </c>
      <c r="AU118" s="58">
        <f t="shared" si="55"/>
        <v>0</v>
      </c>
      <c r="AV118" s="58">
        <f>ROUND(SUMIF('JUNE (물량흐름)'!$C$13:$C$502,'In-out-bal products (155)(완성제품)'!B118,'JUNE (물량흐름)'!$AC$13:$AC$502),0)</f>
        <v>252</v>
      </c>
      <c r="AW118" s="58">
        <f t="shared" si="56"/>
        <v>10149725</v>
      </c>
      <c r="AX118" s="376">
        <f t="shared" si="57"/>
        <v>0</v>
      </c>
      <c r="AY118" s="377">
        <f t="shared" si="58"/>
        <v>0</v>
      </c>
      <c r="AZ118" s="377">
        <f t="shared" si="59"/>
        <v>0</v>
      </c>
      <c r="BA118" s="377">
        <f t="shared" si="60"/>
        <v>0</v>
      </c>
      <c r="BB118" s="377"/>
      <c r="BC118" s="377">
        <f t="shared" si="61"/>
        <v>0</v>
      </c>
      <c r="BD118" s="377">
        <f t="shared" si="62"/>
        <v>0</v>
      </c>
      <c r="BE118" s="377"/>
      <c r="BF118" s="377">
        <f t="shared" si="63"/>
        <v>0</v>
      </c>
      <c r="BG118" s="433">
        <f t="shared" si="64"/>
        <v>0</v>
      </c>
      <c r="BH118" s="434">
        <f t="shared" si="65"/>
        <v>0</v>
      </c>
    </row>
    <row r="119" spans="1:60" s="378" customFormat="1">
      <c r="A119" s="167">
        <v>108</v>
      </c>
      <c r="B119" s="253" t="str">
        <f>VLOOKUP(A119,'JUNE (물량흐름)'!$A$13:$C$493,3,0)</f>
        <v>RK381125MI</v>
      </c>
      <c r="C119" s="57" t="str">
        <f>VLOOKUP(A119,'JUNE (물량흐름)'!$A$13:$C$493,2,0)</f>
        <v>NORDSTROM</v>
      </c>
      <c r="D119" s="58">
        <f>IFERROR(VLOOKUP(B119,O.B.JUNE!$V$7:$Y$448,2,0),0)</f>
        <v>0</v>
      </c>
      <c r="E119" s="58">
        <f>IFERROR(VLOOKUP(B119,O.B.JUNE!$V$7:$X$448,3,0),0)</f>
        <v>0</v>
      </c>
      <c r="F119" s="58">
        <f>IFERROR(VLOOKUP(B119,O.B.JUNE!$V$7:$Y$448,4,0),0)</f>
        <v>0</v>
      </c>
      <c r="G119" s="58">
        <f>SUMIF('JUNE (물량흐름)'!$C$13:$C$493,'In-out-bal products (155)(완성제품)'!B119,'JUNE (물량흐름)'!$V$13:$V$493)</f>
        <v>0</v>
      </c>
      <c r="H119" s="58">
        <f>SUMIF('JUNE (물량흐름)'!$C$13:$C$493,'In-out-bal products (155)(완성제품)'!B119,'JUNE (물량흐름)'!$T$13:$T$493)-SUMIF('JUNE (물량흐름)'!$C$13:$C$493,'In-out-bal products (155)(완성제품)'!B119,'JUNE (물량흐름)'!$Y$13:$Y$493)+SUMIF('JUNE (물량흐름)'!$C$13:$C$493,'In-out-bal products (155)(완성제품)'!B119,'JUNE (물량흐름)'!$U$13:$U$493)</f>
        <v>70</v>
      </c>
      <c r="I119" s="58">
        <f t="shared" si="36"/>
        <v>55591.5</v>
      </c>
      <c r="J119" s="58">
        <f>SUMIF('Direct labour(직접노무비)'!$C$12:$C$503,'In-out-bal products (155)(완성제품)'!B119,'Direct labour(직접노무비)'!$Q$12:$Q$503)</f>
        <v>1581929</v>
      </c>
      <c r="K119" s="59">
        <f>SUMIF('Overhead exp(제조경비)'!$C$12:$C$503,'In-out-bal products (155)(완성제품)'!B119,'Overhead exp(제조경비)'!$Q$12:$Q$503)</f>
        <v>2309476</v>
      </c>
      <c r="L119" s="58">
        <f t="shared" si="37"/>
        <v>3891405</v>
      </c>
      <c r="M119" s="58">
        <f>SUMIF('JUNE (물량흐름)'!$C$13:$C$488,'In-out-bal products (155)(완성제품)'!B119,'JUNE (물량흐름)'!$Y$13:$Y$488)</f>
        <v>0</v>
      </c>
      <c r="N119" s="58">
        <f t="shared" si="38"/>
        <v>0</v>
      </c>
      <c r="O119" s="58">
        <f>SUMIF('Direct labour(직접노무비)'!$C$12:$C$503,'In-out-bal products (155)(완성제품)'!B119,'Direct labour(직접노무비)'!$U$12:$U$503)+SUMIF('Overhead exp(제조경비)'!$C$12:$C$503,'In-out-bal products (155)(완성제품)'!B119,'Overhead exp(제조경비)'!$U$12:$U$503)</f>
        <v>0</v>
      </c>
      <c r="P119" s="60">
        <f t="shared" si="39"/>
        <v>70</v>
      </c>
      <c r="Q119" s="60">
        <f t="shared" si="40"/>
        <v>55591.5</v>
      </c>
      <c r="R119" s="60">
        <f t="shared" si="41"/>
        <v>3891405</v>
      </c>
      <c r="S119" s="58">
        <v>0</v>
      </c>
      <c r="T119" s="58">
        <v>0</v>
      </c>
      <c r="U119" s="58">
        <v>0</v>
      </c>
      <c r="V119" s="58">
        <f>SUMIF('JUNE (물량흐름)'!$C$13:$C$493,'In-out-bal products (155)(완성제품)'!B119,'JUNE (물량흐름)'!$W$13:$W$493)</f>
        <v>0</v>
      </c>
      <c r="W119" s="58">
        <f t="shared" si="42"/>
        <v>0</v>
      </c>
      <c r="X119" s="58">
        <f t="shared" si="43"/>
        <v>0</v>
      </c>
      <c r="Y119" s="58">
        <f>SUMIF('JUNE (물량흐름)'!$C$13:$C$488,'In-out-bal products (155)(완성제품)'!B119,'JUNE (물량흐름)'!$X$13:$X$488)</f>
        <v>0</v>
      </c>
      <c r="Z119" s="58">
        <f t="shared" si="44"/>
        <v>0</v>
      </c>
      <c r="AA119" s="58">
        <f t="shared" si="45"/>
        <v>0</v>
      </c>
      <c r="AB119" s="58"/>
      <c r="AC119" s="58"/>
      <c r="AD119" s="61"/>
      <c r="AE119" s="58">
        <f t="shared" si="46"/>
        <v>0</v>
      </c>
      <c r="AF119" s="58">
        <f t="shared" si="47"/>
        <v>0</v>
      </c>
      <c r="AG119" s="61">
        <f t="shared" si="48"/>
        <v>0</v>
      </c>
      <c r="AH119" s="58">
        <v>0</v>
      </c>
      <c r="AI119" s="58">
        <v>0</v>
      </c>
      <c r="AJ119" s="61">
        <v>0</v>
      </c>
      <c r="AK119" s="58"/>
      <c r="AL119" s="58"/>
      <c r="AM119" s="61"/>
      <c r="AN119" s="61">
        <f t="shared" si="49"/>
        <v>0</v>
      </c>
      <c r="AO119" s="58">
        <f t="shared" si="50"/>
        <v>0</v>
      </c>
      <c r="AP119" s="61">
        <f t="shared" si="51"/>
        <v>0</v>
      </c>
      <c r="AQ119" s="58">
        <f t="shared" si="52"/>
        <v>70</v>
      </c>
      <c r="AR119" s="58">
        <f t="shared" si="53"/>
        <v>55591.5</v>
      </c>
      <c r="AS119" s="58">
        <f t="shared" si="54"/>
        <v>3891405</v>
      </c>
      <c r="AT119" s="58">
        <f>ROUND(SUMIF('JUNE (물량흐름)'!$C$13:$C$502,'In-out-bal products (155)(완성제품)'!B119,'JUNE (물량흐름)'!$AB$13:$AB$502),0)</f>
        <v>0</v>
      </c>
      <c r="AU119" s="58">
        <f t="shared" si="55"/>
        <v>0</v>
      </c>
      <c r="AV119" s="58">
        <f>ROUND(SUMIF('JUNE (물량흐름)'!$C$13:$C$502,'In-out-bal products (155)(완성제품)'!B119,'JUNE (물량흐름)'!$AC$13:$AC$502),0)</f>
        <v>70</v>
      </c>
      <c r="AW119" s="58">
        <f t="shared" si="56"/>
        <v>3891405</v>
      </c>
      <c r="AX119" s="376">
        <f t="shared" si="57"/>
        <v>0</v>
      </c>
      <c r="AY119" s="377">
        <f t="shared" si="58"/>
        <v>0</v>
      </c>
      <c r="AZ119" s="377">
        <f t="shared" si="59"/>
        <v>0</v>
      </c>
      <c r="BA119" s="377">
        <f t="shared" si="60"/>
        <v>0</v>
      </c>
      <c r="BB119" s="377"/>
      <c r="BC119" s="377">
        <f t="shared" si="61"/>
        <v>0</v>
      </c>
      <c r="BD119" s="377">
        <f t="shared" si="62"/>
        <v>0</v>
      </c>
      <c r="BE119" s="377"/>
      <c r="BF119" s="377">
        <f t="shared" si="63"/>
        <v>0</v>
      </c>
      <c r="BG119" s="433">
        <f t="shared" si="64"/>
        <v>0</v>
      </c>
      <c r="BH119" s="434">
        <f t="shared" si="65"/>
        <v>0</v>
      </c>
    </row>
    <row r="120" spans="1:60" s="378" customFormat="1">
      <c r="A120" s="167">
        <v>109</v>
      </c>
      <c r="B120" s="253">
        <f>VLOOKUP(A120,'JUNE (물량흐름)'!$A$13:$C$493,3,0)</f>
        <v>444136</v>
      </c>
      <c r="C120" s="57" t="str">
        <f>VLOOKUP(A120,'JUNE (물량흐름)'!$A$13:$C$493,2,0)</f>
        <v>ANN TAYLOR</v>
      </c>
      <c r="D120" s="58">
        <f>IFERROR(VLOOKUP(B120,O.B.JUNE!$V$7:$Y$448,2,0),0)</f>
        <v>133</v>
      </c>
      <c r="E120" s="58">
        <f>IFERROR(VLOOKUP(B120,O.B.JUNE!$V$7:$X$448,3,0),0)</f>
        <v>36001.172932330825</v>
      </c>
      <c r="F120" s="58">
        <f>IFERROR(VLOOKUP(B120,O.B.JUNE!$V$7:$Y$448,4,0),0)</f>
        <v>4788156</v>
      </c>
      <c r="G120" s="58">
        <f>SUMIF('JUNE (물량흐름)'!$C$13:$C$493,'In-out-bal products (155)(완성제품)'!B120,'JUNE (물량흐름)'!$V$13:$V$493)</f>
        <v>0</v>
      </c>
      <c r="H120" s="58">
        <f>SUMIF('JUNE (물량흐름)'!$C$13:$C$493,'In-out-bal products (155)(완성제품)'!B120,'JUNE (물량흐름)'!$T$13:$T$493)-SUMIF('JUNE (물량흐름)'!$C$13:$C$493,'In-out-bal products (155)(완성제품)'!B120,'JUNE (물량흐름)'!$Y$13:$Y$493)+SUMIF('JUNE (물량흐름)'!$C$13:$C$493,'In-out-bal products (155)(완성제품)'!B120,'JUNE (물량흐름)'!$U$13:$U$493)</f>
        <v>957</v>
      </c>
      <c r="I120" s="58">
        <f t="shared" si="36"/>
        <v>9365.045977011494</v>
      </c>
      <c r="J120" s="58">
        <f>SUMIF('Direct labour(직접노무비)'!$C$12:$C$503,'In-out-bal products (155)(완성제품)'!B120,'Direct labour(직접노무비)'!$Q$12:$Q$503)</f>
        <v>3660257</v>
      </c>
      <c r="K120" s="59">
        <f>SUMIF('Overhead exp(제조경비)'!$C$12:$C$503,'In-out-bal products (155)(완성제품)'!B120,'Overhead exp(제조경비)'!$Q$12:$Q$503)</f>
        <v>5302092</v>
      </c>
      <c r="L120" s="58">
        <f t="shared" si="37"/>
        <v>8962349</v>
      </c>
      <c r="M120" s="58">
        <f>SUMIF('JUNE (물량흐름)'!$C$13:$C$488,'In-out-bal products (155)(완성제품)'!B120,'JUNE (물량흐름)'!$Y$13:$Y$488)</f>
        <v>0</v>
      </c>
      <c r="N120" s="58">
        <f t="shared" si="38"/>
        <v>0</v>
      </c>
      <c r="O120" s="58">
        <f>SUMIF('Direct labour(직접노무비)'!$C$12:$C$503,'In-out-bal products (155)(완성제품)'!B120,'Direct labour(직접노무비)'!$U$12:$U$503)+SUMIF('Overhead exp(제조경비)'!$C$12:$C$503,'In-out-bal products (155)(완성제품)'!B120,'Overhead exp(제조경비)'!$U$12:$U$503)</f>
        <v>0</v>
      </c>
      <c r="P120" s="60">
        <f t="shared" si="39"/>
        <v>957</v>
      </c>
      <c r="Q120" s="60">
        <f t="shared" si="40"/>
        <v>9365.045977011494</v>
      </c>
      <c r="R120" s="60">
        <f t="shared" si="41"/>
        <v>8962349</v>
      </c>
      <c r="S120" s="58">
        <v>0</v>
      </c>
      <c r="T120" s="58">
        <v>0</v>
      </c>
      <c r="U120" s="58">
        <v>0</v>
      </c>
      <c r="V120" s="58">
        <f>SUMIF('JUNE (물량흐름)'!$C$13:$C$493,'In-out-bal products (155)(완성제품)'!B120,'JUNE (물량흐름)'!$W$13:$W$493)</f>
        <v>0</v>
      </c>
      <c r="W120" s="58">
        <f t="shared" si="42"/>
        <v>0</v>
      </c>
      <c r="X120" s="58">
        <f t="shared" si="43"/>
        <v>0</v>
      </c>
      <c r="Y120" s="58">
        <f>SUMIF('JUNE (물량흐름)'!$C$13:$C$488,'In-out-bal products (155)(완성제품)'!B120,'JUNE (물량흐름)'!$X$13:$X$488)</f>
        <v>0</v>
      </c>
      <c r="Z120" s="58">
        <f t="shared" si="44"/>
        <v>0</v>
      </c>
      <c r="AA120" s="58">
        <f t="shared" si="45"/>
        <v>0</v>
      </c>
      <c r="AB120" s="58"/>
      <c r="AC120" s="58"/>
      <c r="AD120" s="61"/>
      <c r="AE120" s="58">
        <f t="shared" si="46"/>
        <v>0</v>
      </c>
      <c r="AF120" s="58">
        <f t="shared" si="47"/>
        <v>0</v>
      </c>
      <c r="AG120" s="61">
        <f t="shared" si="48"/>
        <v>0</v>
      </c>
      <c r="AH120" s="58">
        <v>0</v>
      </c>
      <c r="AI120" s="58">
        <v>0</v>
      </c>
      <c r="AJ120" s="61">
        <v>0</v>
      </c>
      <c r="AK120" s="58"/>
      <c r="AL120" s="58"/>
      <c r="AM120" s="61"/>
      <c r="AN120" s="61">
        <f t="shared" si="49"/>
        <v>0</v>
      </c>
      <c r="AO120" s="58">
        <f t="shared" si="50"/>
        <v>0</v>
      </c>
      <c r="AP120" s="61">
        <f t="shared" si="51"/>
        <v>0</v>
      </c>
      <c r="AQ120" s="58">
        <f t="shared" si="52"/>
        <v>1090</v>
      </c>
      <c r="AR120" s="58">
        <f t="shared" si="53"/>
        <v>12615.142201834862</v>
      </c>
      <c r="AS120" s="58">
        <f t="shared" si="54"/>
        <v>13750505</v>
      </c>
      <c r="AT120" s="58">
        <f>ROUND(SUMIF('JUNE (물량흐름)'!$C$13:$C$502,'In-out-bal products (155)(완성제품)'!B120,'JUNE (물량흐름)'!$AB$13:$AB$502),0)</f>
        <v>0</v>
      </c>
      <c r="AU120" s="58">
        <f t="shared" si="55"/>
        <v>0</v>
      </c>
      <c r="AV120" s="58">
        <f>ROUND(SUMIF('JUNE (물량흐름)'!$C$13:$C$502,'In-out-bal products (155)(완성제품)'!B120,'JUNE (물량흐름)'!$AC$13:$AC$502),0)</f>
        <v>1090</v>
      </c>
      <c r="AW120" s="58">
        <f t="shared" si="56"/>
        <v>13750505</v>
      </c>
      <c r="AX120" s="376">
        <f t="shared" si="57"/>
        <v>0</v>
      </c>
      <c r="AY120" s="377">
        <f t="shared" si="58"/>
        <v>0</v>
      </c>
      <c r="AZ120" s="377">
        <f t="shared" si="59"/>
        <v>0</v>
      </c>
      <c r="BA120" s="377">
        <f t="shared" si="60"/>
        <v>0</v>
      </c>
      <c r="BB120" s="377"/>
      <c r="BC120" s="377">
        <f t="shared" si="61"/>
        <v>0</v>
      </c>
      <c r="BD120" s="377">
        <f t="shared" si="62"/>
        <v>0</v>
      </c>
      <c r="BE120" s="377"/>
      <c r="BF120" s="377">
        <f t="shared" si="63"/>
        <v>0</v>
      </c>
      <c r="BG120" s="433">
        <f t="shared" si="64"/>
        <v>0</v>
      </c>
      <c r="BH120" s="434">
        <f t="shared" si="65"/>
        <v>0</v>
      </c>
    </row>
    <row r="121" spans="1:60" s="378" customFormat="1">
      <c r="A121" s="167">
        <v>110</v>
      </c>
      <c r="B121" s="253" t="str">
        <f>VLOOKUP(A121,'JUNE (물량흐름)'!$A$13:$C$493,3,0)</f>
        <v>258G827</v>
      </c>
      <c r="C121" s="57" t="str">
        <f>VLOOKUP(A121,'JUNE (물량흐름)'!$A$13:$C$493,2,0)</f>
        <v>NAMYANG</v>
      </c>
      <c r="D121" s="58">
        <f>IFERROR(VLOOKUP(B121,O.B.JUNE!$V$7:$Y$448,2,0),0)</f>
        <v>0</v>
      </c>
      <c r="E121" s="58">
        <f>IFERROR(VLOOKUP(B121,O.B.JUNE!$V$7:$X$448,3,0),0)</f>
        <v>0</v>
      </c>
      <c r="F121" s="58">
        <f>IFERROR(VLOOKUP(B121,O.B.JUNE!$V$7:$Y$448,4,0),0)</f>
        <v>0</v>
      </c>
      <c r="G121" s="58">
        <f>SUMIF('JUNE (물량흐름)'!$C$13:$C$493,'In-out-bal products (155)(완성제품)'!B121,'JUNE (물량흐름)'!$V$13:$V$493)</f>
        <v>0</v>
      </c>
      <c r="H121" s="58">
        <f>SUMIF('JUNE (물량흐름)'!$C$13:$C$493,'In-out-bal products (155)(완성제품)'!B121,'JUNE (물량흐름)'!$T$13:$T$493)-SUMIF('JUNE (물량흐름)'!$C$13:$C$493,'In-out-bal products (155)(완성제품)'!B121,'JUNE (물량흐름)'!$Y$13:$Y$493)+SUMIF('JUNE (물량흐름)'!$C$13:$C$493,'In-out-bal products (155)(완성제품)'!B121,'JUNE (물량흐름)'!$U$13:$U$493)</f>
        <v>397</v>
      </c>
      <c r="I121" s="58">
        <f t="shared" si="36"/>
        <v>10687.060453400503</v>
      </c>
      <c r="J121" s="58">
        <f>SUMIF('Direct labour(직접노무비)'!$C$12:$C$503,'In-out-bal products (155)(완성제품)'!B121,'Direct labour(직접노무비)'!$Q$12:$Q$503)</f>
        <v>1677199</v>
      </c>
      <c r="K121" s="59">
        <f>SUMIF('Overhead exp(제조경비)'!$C$12:$C$503,'In-out-bal products (155)(완성제품)'!B121,'Overhead exp(제조경비)'!$Q$12:$Q$503)</f>
        <v>2565564</v>
      </c>
      <c r="L121" s="58">
        <f t="shared" si="37"/>
        <v>4242763</v>
      </c>
      <c r="M121" s="58">
        <f>SUMIF('JUNE (물량흐름)'!$C$13:$C$488,'In-out-bal products (155)(완성제품)'!B121,'JUNE (물량흐름)'!$Y$13:$Y$488)</f>
        <v>0</v>
      </c>
      <c r="N121" s="58">
        <f t="shared" si="38"/>
        <v>0</v>
      </c>
      <c r="O121" s="58">
        <f>SUMIF('Direct labour(직접노무비)'!$C$12:$C$503,'In-out-bal products (155)(완성제품)'!B121,'Direct labour(직접노무비)'!$U$12:$U$503)+SUMIF('Overhead exp(제조경비)'!$C$12:$C$503,'In-out-bal products (155)(완성제품)'!B121,'Overhead exp(제조경비)'!$U$12:$U$503)</f>
        <v>0</v>
      </c>
      <c r="P121" s="60">
        <f t="shared" si="39"/>
        <v>397</v>
      </c>
      <c r="Q121" s="60">
        <f t="shared" si="40"/>
        <v>10687.060453400503</v>
      </c>
      <c r="R121" s="60">
        <f t="shared" si="41"/>
        <v>4242763</v>
      </c>
      <c r="S121" s="58">
        <v>0</v>
      </c>
      <c r="T121" s="58">
        <v>0</v>
      </c>
      <c r="U121" s="58">
        <v>0</v>
      </c>
      <c r="V121" s="58">
        <f>SUMIF('JUNE (물량흐름)'!$C$13:$C$493,'In-out-bal products (155)(완성제품)'!B121,'JUNE (물량흐름)'!$W$13:$W$493)</f>
        <v>0</v>
      </c>
      <c r="W121" s="58">
        <f t="shared" si="42"/>
        <v>0</v>
      </c>
      <c r="X121" s="58">
        <f t="shared" si="43"/>
        <v>0</v>
      </c>
      <c r="Y121" s="58">
        <f>SUMIF('JUNE (물량흐름)'!$C$13:$C$488,'In-out-bal products (155)(완성제품)'!B121,'JUNE (물량흐름)'!$X$13:$X$488)</f>
        <v>0</v>
      </c>
      <c r="Z121" s="58">
        <f t="shared" si="44"/>
        <v>0</v>
      </c>
      <c r="AA121" s="58">
        <f t="shared" si="45"/>
        <v>0</v>
      </c>
      <c r="AB121" s="58"/>
      <c r="AC121" s="58"/>
      <c r="AD121" s="61"/>
      <c r="AE121" s="58">
        <f t="shared" si="46"/>
        <v>0</v>
      </c>
      <c r="AF121" s="58">
        <f t="shared" si="47"/>
        <v>0</v>
      </c>
      <c r="AG121" s="61">
        <f t="shared" si="48"/>
        <v>0</v>
      </c>
      <c r="AH121" s="58">
        <v>0</v>
      </c>
      <c r="AI121" s="58">
        <v>0</v>
      </c>
      <c r="AJ121" s="61">
        <v>0</v>
      </c>
      <c r="AK121" s="58"/>
      <c r="AL121" s="58"/>
      <c r="AM121" s="61"/>
      <c r="AN121" s="61">
        <f t="shared" si="49"/>
        <v>0</v>
      </c>
      <c r="AO121" s="58">
        <f t="shared" si="50"/>
        <v>0</v>
      </c>
      <c r="AP121" s="61">
        <f t="shared" si="51"/>
        <v>0</v>
      </c>
      <c r="AQ121" s="58">
        <f t="shared" si="52"/>
        <v>397</v>
      </c>
      <c r="AR121" s="58">
        <f t="shared" si="53"/>
        <v>10687.060453400503</v>
      </c>
      <c r="AS121" s="58">
        <f t="shared" si="54"/>
        <v>4242763</v>
      </c>
      <c r="AT121" s="58">
        <f>ROUND(SUMIF('JUNE (물량흐름)'!$C$13:$C$502,'In-out-bal products (155)(완성제품)'!B121,'JUNE (물량흐름)'!$AB$13:$AB$502),0)</f>
        <v>0</v>
      </c>
      <c r="AU121" s="58">
        <f t="shared" si="55"/>
        <v>0</v>
      </c>
      <c r="AV121" s="58">
        <f>ROUND(SUMIF('JUNE (물량흐름)'!$C$13:$C$502,'In-out-bal products (155)(완성제품)'!B121,'JUNE (물량흐름)'!$AC$13:$AC$502),0)</f>
        <v>397</v>
      </c>
      <c r="AW121" s="58">
        <f t="shared" si="56"/>
        <v>4242763</v>
      </c>
      <c r="AX121" s="376">
        <f t="shared" si="57"/>
        <v>0</v>
      </c>
      <c r="AY121" s="377">
        <f t="shared" si="58"/>
        <v>0</v>
      </c>
      <c r="AZ121" s="377">
        <f t="shared" si="59"/>
        <v>0</v>
      </c>
      <c r="BA121" s="377">
        <f t="shared" si="60"/>
        <v>0</v>
      </c>
      <c r="BB121" s="377"/>
      <c r="BC121" s="377">
        <f t="shared" si="61"/>
        <v>0</v>
      </c>
      <c r="BD121" s="377">
        <f t="shared" si="62"/>
        <v>0</v>
      </c>
      <c r="BE121" s="377"/>
      <c r="BF121" s="377">
        <f t="shared" si="63"/>
        <v>0</v>
      </c>
      <c r="BG121" s="433">
        <f t="shared" si="64"/>
        <v>0</v>
      </c>
      <c r="BH121" s="434">
        <f t="shared" si="65"/>
        <v>0</v>
      </c>
    </row>
    <row r="122" spans="1:60" s="378" customFormat="1">
      <c r="A122" s="167">
        <v>111</v>
      </c>
      <c r="B122" s="253">
        <f>VLOOKUP(A122,'JUNE (물량흐름)'!$A$13:$C$493,3,0)</f>
        <v>174034833</v>
      </c>
      <c r="C122" s="57" t="str">
        <f>VLOOKUP(A122,'JUNE (물량흐름)'!$A$13:$C$493,2,0)</f>
        <v>TALBOTS</v>
      </c>
      <c r="D122" s="58">
        <f>IFERROR(VLOOKUP(B122,O.B.JUNE!$V$7:$Y$448,2,0),0)</f>
        <v>0</v>
      </c>
      <c r="E122" s="58">
        <f>IFERROR(VLOOKUP(B122,O.B.JUNE!$V$7:$X$448,3,0),0)</f>
        <v>0</v>
      </c>
      <c r="F122" s="58">
        <f>IFERROR(VLOOKUP(B122,O.B.JUNE!$V$7:$Y$448,4,0),0)</f>
        <v>0</v>
      </c>
      <c r="G122" s="58">
        <f>SUMIF('JUNE (물량흐름)'!$C$13:$C$493,'In-out-bal products (155)(완성제품)'!B122,'JUNE (물량흐름)'!$V$13:$V$493)</f>
        <v>0</v>
      </c>
      <c r="H122" s="58">
        <f>SUMIF('JUNE (물량흐름)'!$C$13:$C$493,'In-out-bal products (155)(완성제품)'!B122,'JUNE (물량흐름)'!$T$13:$T$493)-SUMIF('JUNE (물량흐름)'!$C$13:$C$493,'In-out-bal products (155)(완성제품)'!B122,'JUNE (물량흐름)'!$Y$13:$Y$493)+SUMIF('JUNE (물량흐름)'!$C$13:$C$493,'In-out-bal products (155)(완성제품)'!B122,'JUNE (물량흐름)'!$U$13:$U$493)</f>
        <v>303</v>
      </c>
      <c r="I122" s="58">
        <f t="shared" si="36"/>
        <v>58161.864686468645</v>
      </c>
      <c r="J122" s="58">
        <f>SUMIF('Direct labour(직접노무비)'!$C$12:$C$503,'In-out-bal products (155)(완성제품)'!B122,'Direct labour(직접노무비)'!$Q$12:$Q$503)</f>
        <v>7359994</v>
      </c>
      <c r="K122" s="59">
        <f>SUMIF('Overhead exp(제조경비)'!$C$12:$C$503,'In-out-bal products (155)(완성제품)'!B122,'Overhead exp(제조경비)'!$Q$12:$Q$503)</f>
        <v>10263051</v>
      </c>
      <c r="L122" s="58">
        <f t="shared" si="37"/>
        <v>17623045</v>
      </c>
      <c r="M122" s="58">
        <f>SUMIF('JUNE (물량흐름)'!$C$13:$C$488,'In-out-bal products (155)(완성제품)'!B122,'JUNE (물량흐름)'!$Y$13:$Y$488)</f>
        <v>0</v>
      </c>
      <c r="N122" s="58">
        <f t="shared" si="38"/>
        <v>0</v>
      </c>
      <c r="O122" s="58">
        <f>SUMIF('Direct labour(직접노무비)'!$C$12:$C$503,'In-out-bal products (155)(완성제품)'!B122,'Direct labour(직접노무비)'!$U$12:$U$503)+SUMIF('Overhead exp(제조경비)'!$C$12:$C$503,'In-out-bal products (155)(완성제품)'!B122,'Overhead exp(제조경비)'!$U$12:$U$503)</f>
        <v>0</v>
      </c>
      <c r="P122" s="60">
        <f t="shared" si="39"/>
        <v>303</v>
      </c>
      <c r="Q122" s="60">
        <f t="shared" si="40"/>
        <v>58161.864686468645</v>
      </c>
      <c r="R122" s="60">
        <f t="shared" si="41"/>
        <v>17623045</v>
      </c>
      <c r="S122" s="58">
        <v>0</v>
      </c>
      <c r="T122" s="58">
        <v>0</v>
      </c>
      <c r="U122" s="58">
        <v>0</v>
      </c>
      <c r="V122" s="58">
        <f>SUMIF('JUNE (물량흐름)'!$C$13:$C$493,'In-out-bal products (155)(완성제품)'!B122,'JUNE (물량흐름)'!$W$13:$W$493)</f>
        <v>0</v>
      </c>
      <c r="W122" s="58">
        <f t="shared" si="42"/>
        <v>0</v>
      </c>
      <c r="X122" s="58">
        <f t="shared" si="43"/>
        <v>0</v>
      </c>
      <c r="Y122" s="58">
        <f>SUMIF('JUNE (물량흐름)'!$C$13:$C$488,'In-out-bal products (155)(완성제품)'!B122,'JUNE (물량흐름)'!$X$13:$X$488)</f>
        <v>0</v>
      </c>
      <c r="Z122" s="58">
        <f t="shared" si="44"/>
        <v>0</v>
      </c>
      <c r="AA122" s="58">
        <f t="shared" si="45"/>
        <v>0</v>
      </c>
      <c r="AB122" s="58"/>
      <c r="AC122" s="58"/>
      <c r="AD122" s="61"/>
      <c r="AE122" s="58">
        <f t="shared" si="46"/>
        <v>0</v>
      </c>
      <c r="AF122" s="58">
        <f t="shared" si="47"/>
        <v>0</v>
      </c>
      <c r="AG122" s="61">
        <f t="shared" si="48"/>
        <v>0</v>
      </c>
      <c r="AH122" s="58">
        <v>0</v>
      </c>
      <c r="AI122" s="58">
        <v>0</v>
      </c>
      <c r="AJ122" s="61">
        <v>0</v>
      </c>
      <c r="AK122" s="58"/>
      <c r="AL122" s="58"/>
      <c r="AM122" s="61"/>
      <c r="AN122" s="61">
        <f t="shared" si="49"/>
        <v>0</v>
      </c>
      <c r="AO122" s="58">
        <f t="shared" si="50"/>
        <v>0</v>
      </c>
      <c r="AP122" s="61">
        <f t="shared" si="51"/>
        <v>0</v>
      </c>
      <c r="AQ122" s="58">
        <f t="shared" si="52"/>
        <v>303</v>
      </c>
      <c r="AR122" s="58">
        <f t="shared" si="53"/>
        <v>58161.864686468645</v>
      </c>
      <c r="AS122" s="58">
        <f t="shared" si="54"/>
        <v>17623045</v>
      </c>
      <c r="AT122" s="58">
        <f>ROUND(SUMIF('JUNE (물량흐름)'!$C$13:$C$502,'In-out-bal products (155)(완성제품)'!B122,'JUNE (물량흐름)'!$AB$13:$AB$502),0)</f>
        <v>0</v>
      </c>
      <c r="AU122" s="58">
        <f t="shared" si="55"/>
        <v>0</v>
      </c>
      <c r="AV122" s="58">
        <f>ROUND(SUMIF('JUNE (물량흐름)'!$C$13:$C$502,'In-out-bal products (155)(완성제품)'!B122,'JUNE (물량흐름)'!$AC$13:$AC$502),0)</f>
        <v>303</v>
      </c>
      <c r="AW122" s="58">
        <f t="shared" si="56"/>
        <v>17623045</v>
      </c>
      <c r="AX122" s="376">
        <f t="shared" si="57"/>
        <v>0</v>
      </c>
      <c r="AY122" s="377">
        <f t="shared" si="58"/>
        <v>0</v>
      </c>
      <c r="AZ122" s="377">
        <f t="shared" si="59"/>
        <v>0</v>
      </c>
      <c r="BA122" s="377">
        <f t="shared" si="60"/>
        <v>0</v>
      </c>
      <c r="BB122" s="377"/>
      <c r="BC122" s="377">
        <f t="shared" si="61"/>
        <v>0</v>
      </c>
      <c r="BD122" s="377">
        <f t="shared" si="62"/>
        <v>0</v>
      </c>
      <c r="BE122" s="377"/>
      <c r="BF122" s="377">
        <f t="shared" si="63"/>
        <v>0</v>
      </c>
      <c r="BG122" s="433">
        <f t="shared" si="64"/>
        <v>0</v>
      </c>
      <c r="BH122" s="434">
        <f t="shared" si="65"/>
        <v>0</v>
      </c>
    </row>
    <row r="123" spans="1:60" s="378" customFormat="1">
      <c r="A123" s="167">
        <v>112</v>
      </c>
      <c r="B123" s="253">
        <f>VLOOKUP(A123,'JUNE (물량흐름)'!$A$13:$C$493,3,0)</f>
        <v>174034834</v>
      </c>
      <c r="C123" s="57" t="str">
        <f>VLOOKUP(A123,'JUNE (물량흐름)'!$A$13:$C$493,2,0)</f>
        <v>TALBOTS</v>
      </c>
      <c r="D123" s="58">
        <f>IFERROR(VLOOKUP(B123,O.B.JUNE!$V$7:$Y$448,2,0),0)</f>
        <v>0</v>
      </c>
      <c r="E123" s="58">
        <f>IFERROR(VLOOKUP(B123,O.B.JUNE!$V$7:$X$448,3,0),0)</f>
        <v>0</v>
      </c>
      <c r="F123" s="58">
        <f>IFERROR(VLOOKUP(B123,O.B.JUNE!$V$7:$Y$448,4,0),0)</f>
        <v>0</v>
      </c>
      <c r="G123" s="58">
        <f>SUMIF('JUNE (물량흐름)'!$C$13:$C$493,'In-out-bal products (155)(완성제품)'!B123,'JUNE (물량흐름)'!$V$13:$V$493)</f>
        <v>0</v>
      </c>
      <c r="H123" s="58">
        <f>SUMIF('JUNE (물량흐름)'!$C$13:$C$493,'In-out-bal products (155)(완성제품)'!B123,'JUNE (물량흐름)'!$T$13:$T$493)-SUMIF('JUNE (물량흐름)'!$C$13:$C$493,'In-out-bal products (155)(완성제품)'!B123,'JUNE (물량흐름)'!$Y$13:$Y$493)+SUMIF('JUNE (물량흐름)'!$C$13:$C$493,'In-out-bal products (155)(완성제품)'!B123,'JUNE (물량흐름)'!$U$13:$U$493)</f>
        <v>255</v>
      </c>
      <c r="I123" s="58">
        <f t="shared" si="36"/>
        <v>55638.243137254904</v>
      </c>
      <c r="J123" s="58">
        <f>SUMIF('Direct labour(직접노무비)'!$C$12:$C$503,'In-out-bal products (155)(완성제품)'!B123,'Direct labour(직접노무비)'!$Q$12:$Q$503)</f>
        <v>5730427</v>
      </c>
      <c r="K123" s="59">
        <f>SUMIF('Overhead exp(제조경비)'!$C$12:$C$503,'In-out-bal products (155)(완성제품)'!B123,'Overhead exp(제조경비)'!$Q$12:$Q$503)</f>
        <v>8457325</v>
      </c>
      <c r="L123" s="58">
        <f t="shared" si="37"/>
        <v>14187752</v>
      </c>
      <c r="M123" s="58">
        <f>SUMIF('JUNE (물량흐름)'!$C$13:$C$488,'In-out-bal products (155)(완성제품)'!B123,'JUNE (물량흐름)'!$Y$13:$Y$488)</f>
        <v>0</v>
      </c>
      <c r="N123" s="58">
        <f t="shared" si="38"/>
        <v>0</v>
      </c>
      <c r="O123" s="58">
        <f>SUMIF('Direct labour(직접노무비)'!$C$12:$C$503,'In-out-bal products (155)(완성제품)'!B123,'Direct labour(직접노무비)'!$U$12:$U$503)+SUMIF('Overhead exp(제조경비)'!$C$12:$C$503,'In-out-bal products (155)(완성제품)'!B123,'Overhead exp(제조경비)'!$U$12:$U$503)</f>
        <v>0</v>
      </c>
      <c r="P123" s="60">
        <f t="shared" si="39"/>
        <v>255</v>
      </c>
      <c r="Q123" s="60">
        <f t="shared" si="40"/>
        <v>55638.243137254904</v>
      </c>
      <c r="R123" s="60">
        <f t="shared" si="41"/>
        <v>14187752</v>
      </c>
      <c r="S123" s="58">
        <v>0</v>
      </c>
      <c r="T123" s="58">
        <v>0</v>
      </c>
      <c r="U123" s="58">
        <v>0</v>
      </c>
      <c r="V123" s="58">
        <f>SUMIF('JUNE (물량흐름)'!$C$13:$C$493,'In-out-bal products (155)(완성제품)'!B123,'JUNE (물량흐름)'!$W$13:$W$493)</f>
        <v>0</v>
      </c>
      <c r="W123" s="58">
        <f t="shared" si="42"/>
        <v>0</v>
      </c>
      <c r="X123" s="58">
        <f t="shared" si="43"/>
        <v>0</v>
      </c>
      <c r="Y123" s="58">
        <f>SUMIF('JUNE (물량흐름)'!$C$13:$C$488,'In-out-bal products (155)(완성제품)'!B123,'JUNE (물량흐름)'!$X$13:$X$488)</f>
        <v>0</v>
      </c>
      <c r="Z123" s="58">
        <f t="shared" si="44"/>
        <v>0</v>
      </c>
      <c r="AA123" s="58">
        <f t="shared" si="45"/>
        <v>0</v>
      </c>
      <c r="AB123" s="58"/>
      <c r="AC123" s="58"/>
      <c r="AD123" s="61"/>
      <c r="AE123" s="58">
        <f t="shared" si="46"/>
        <v>0</v>
      </c>
      <c r="AF123" s="58">
        <f t="shared" si="47"/>
        <v>0</v>
      </c>
      <c r="AG123" s="61">
        <f t="shared" si="48"/>
        <v>0</v>
      </c>
      <c r="AH123" s="58">
        <v>0</v>
      </c>
      <c r="AI123" s="58">
        <v>0</v>
      </c>
      <c r="AJ123" s="61">
        <v>0</v>
      </c>
      <c r="AK123" s="58"/>
      <c r="AL123" s="58"/>
      <c r="AM123" s="61"/>
      <c r="AN123" s="61">
        <f t="shared" si="49"/>
        <v>0</v>
      </c>
      <c r="AO123" s="58">
        <f t="shared" si="50"/>
        <v>0</v>
      </c>
      <c r="AP123" s="61">
        <f t="shared" si="51"/>
        <v>0</v>
      </c>
      <c r="AQ123" s="58">
        <f t="shared" si="52"/>
        <v>255</v>
      </c>
      <c r="AR123" s="58">
        <f t="shared" si="53"/>
        <v>55638.243137254904</v>
      </c>
      <c r="AS123" s="58">
        <f t="shared" si="54"/>
        <v>14187752</v>
      </c>
      <c r="AT123" s="58">
        <f>ROUND(SUMIF('JUNE (물량흐름)'!$C$13:$C$502,'In-out-bal products (155)(완성제품)'!B123,'JUNE (물량흐름)'!$AB$13:$AB$502),0)</f>
        <v>0</v>
      </c>
      <c r="AU123" s="58">
        <f t="shared" si="55"/>
        <v>0</v>
      </c>
      <c r="AV123" s="58">
        <f>ROUND(SUMIF('JUNE (물량흐름)'!$C$13:$C$502,'In-out-bal products (155)(완성제품)'!B123,'JUNE (물량흐름)'!$AC$13:$AC$502),0)</f>
        <v>255</v>
      </c>
      <c r="AW123" s="58">
        <f t="shared" si="56"/>
        <v>14187752</v>
      </c>
      <c r="AX123" s="376">
        <f t="shared" si="57"/>
        <v>0</v>
      </c>
      <c r="AY123" s="377">
        <f t="shared" si="58"/>
        <v>0</v>
      </c>
      <c r="AZ123" s="377">
        <f t="shared" si="59"/>
        <v>0</v>
      </c>
      <c r="BA123" s="377">
        <f t="shared" si="60"/>
        <v>0</v>
      </c>
      <c r="BB123" s="377"/>
      <c r="BC123" s="377">
        <f t="shared" si="61"/>
        <v>0</v>
      </c>
      <c r="BD123" s="377">
        <f t="shared" si="62"/>
        <v>0</v>
      </c>
      <c r="BE123" s="377"/>
      <c r="BF123" s="377">
        <f t="shared" si="63"/>
        <v>0</v>
      </c>
      <c r="BG123" s="433">
        <f t="shared" si="64"/>
        <v>0</v>
      </c>
      <c r="BH123" s="434">
        <f t="shared" si="65"/>
        <v>0</v>
      </c>
    </row>
    <row r="124" spans="1:60" s="378" customFormat="1">
      <c r="A124" s="167">
        <v>113</v>
      </c>
      <c r="B124" s="253">
        <f>VLOOKUP(A124,'JUNE (물량흐름)'!$A$13:$C$493,3,0)</f>
        <v>174034840</v>
      </c>
      <c r="C124" s="57" t="str">
        <f>VLOOKUP(A124,'JUNE (물량흐름)'!$A$13:$C$493,2,0)</f>
        <v>TALBOTS</v>
      </c>
      <c r="D124" s="58">
        <f>IFERROR(VLOOKUP(B124,O.B.JUNE!$V$7:$Y$448,2,0),0)</f>
        <v>0</v>
      </c>
      <c r="E124" s="58">
        <f>IFERROR(VLOOKUP(B124,O.B.JUNE!$V$7:$X$448,3,0),0)</f>
        <v>0</v>
      </c>
      <c r="F124" s="58">
        <f>IFERROR(VLOOKUP(B124,O.B.JUNE!$V$7:$Y$448,4,0),0)</f>
        <v>0</v>
      </c>
      <c r="G124" s="58">
        <f>SUMIF('JUNE (물량흐름)'!$C$13:$C$493,'In-out-bal products (155)(완성제품)'!B124,'JUNE (물량흐름)'!$V$13:$V$493)</f>
        <v>0</v>
      </c>
      <c r="H124" s="58">
        <f>SUMIF('JUNE (물량흐름)'!$C$13:$C$493,'In-out-bal products (155)(완성제품)'!B124,'JUNE (물량흐름)'!$T$13:$T$493)-SUMIF('JUNE (물량흐름)'!$C$13:$C$493,'In-out-bal products (155)(완성제품)'!B124,'JUNE (물량흐름)'!$Y$13:$Y$493)+SUMIF('JUNE (물량흐름)'!$C$13:$C$493,'In-out-bal products (155)(완성제품)'!B124,'JUNE (물량흐름)'!$U$13:$U$493)</f>
        <v>391</v>
      </c>
      <c r="I124" s="58">
        <f t="shared" si="36"/>
        <v>58462.051150895139</v>
      </c>
      <c r="J124" s="58">
        <f>SUMIF('Direct labour(직접노무비)'!$C$12:$C$503,'In-out-bal products (155)(완성제품)'!B124,'Direct labour(직접노무비)'!$Q$12:$Q$503)</f>
        <v>9179776</v>
      </c>
      <c r="K124" s="59">
        <f>SUMIF('Overhead exp(제조경비)'!$C$12:$C$503,'In-out-bal products (155)(완성제품)'!B124,'Overhead exp(제조경비)'!$Q$12:$Q$503)</f>
        <v>13678886</v>
      </c>
      <c r="L124" s="58">
        <f t="shared" si="37"/>
        <v>22858662</v>
      </c>
      <c r="M124" s="58">
        <f>SUMIF('JUNE (물량흐름)'!$C$13:$C$488,'In-out-bal products (155)(완성제품)'!B124,'JUNE (물량흐름)'!$Y$13:$Y$488)</f>
        <v>0</v>
      </c>
      <c r="N124" s="58">
        <f t="shared" si="38"/>
        <v>0</v>
      </c>
      <c r="O124" s="58">
        <f>SUMIF('Direct labour(직접노무비)'!$C$12:$C$503,'In-out-bal products (155)(완성제품)'!B124,'Direct labour(직접노무비)'!$U$12:$U$503)+SUMIF('Overhead exp(제조경비)'!$C$12:$C$503,'In-out-bal products (155)(완성제품)'!B124,'Overhead exp(제조경비)'!$U$12:$U$503)</f>
        <v>0</v>
      </c>
      <c r="P124" s="60">
        <f t="shared" si="39"/>
        <v>391</v>
      </c>
      <c r="Q124" s="60">
        <f t="shared" si="40"/>
        <v>58462.051150895139</v>
      </c>
      <c r="R124" s="60">
        <f t="shared" si="41"/>
        <v>22858662</v>
      </c>
      <c r="S124" s="58">
        <v>0</v>
      </c>
      <c r="T124" s="58">
        <v>0</v>
      </c>
      <c r="U124" s="58">
        <v>0</v>
      </c>
      <c r="V124" s="58">
        <f>SUMIF('JUNE (물량흐름)'!$C$13:$C$493,'In-out-bal products (155)(완성제품)'!B124,'JUNE (물량흐름)'!$W$13:$W$493)</f>
        <v>0</v>
      </c>
      <c r="W124" s="58">
        <f t="shared" si="42"/>
        <v>0</v>
      </c>
      <c r="X124" s="58">
        <f t="shared" si="43"/>
        <v>0</v>
      </c>
      <c r="Y124" s="58">
        <f>SUMIF('JUNE (물량흐름)'!$C$13:$C$488,'In-out-bal products (155)(완성제품)'!B124,'JUNE (물량흐름)'!$X$13:$X$488)</f>
        <v>0</v>
      </c>
      <c r="Z124" s="58">
        <f t="shared" si="44"/>
        <v>0</v>
      </c>
      <c r="AA124" s="58">
        <f t="shared" si="45"/>
        <v>0</v>
      </c>
      <c r="AB124" s="58"/>
      <c r="AC124" s="58"/>
      <c r="AD124" s="61"/>
      <c r="AE124" s="58">
        <f t="shared" si="46"/>
        <v>0</v>
      </c>
      <c r="AF124" s="58">
        <f t="shared" si="47"/>
        <v>0</v>
      </c>
      <c r="AG124" s="61">
        <f t="shared" si="48"/>
        <v>0</v>
      </c>
      <c r="AH124" s="58">
        <v>0</v>
      </c>
      <c r="AI124" s="58">
        <v>0</v>
      </c>
      <c r="AJ124" s="61">
        <v>0</v>
      </c>
      <c r="AK124" s="58"/>
      <c r="AL124" s="58"/>
      <c r="AM124" s="61"/>
      <c r="AN124" s="61">
        <f t="shared" si="49"/>
        <v>0</v>
      </c>
      <c r="AO124" s="58">
        <f t="shared" si="50"/>
        <v>0</v>
      </c>
      <c r="AP124" s="61">
        <f t="shared" si="51"/>
        <v>0</v>
      </c>
      <c r="AQ124" s="58">
        <f t="shared" si="52"/>
        <v>391</v>
      </c>
      <c r="AR124" s="58">
        <f t="shared" si="53"/>
        <v>58462.051150895139</v>
      </c>
      <c r="AS124" s="58">
        <f t="shared" si="54"/>
        <v>22858662</v>
      </c>
      <c r="AT124" s="58">
        <f>ROUND(SUMIF('JUNE (물량흐름)'!$C$13:$C$502,'In-out-bal products (155)(완성제품)'!B124,'JUNE (물량흐름)'!$AB$13:$AB$502),0)</f>
        <v>0</v>
      </c>
      <c r="AU124" s="58">
        <f t="shared" si="55"/>
        <v>0</v>
      </c>
      <c r="AV124" s="58">
        <f>ROUND(SUMIF('JUNE (물량흐름)'!$C$13:$C$502,'In-out-bal products (155)(완성제품)'!B124,'JUNE (물량흐름)'!$AC$13:$AC$502),0)</f>
        <v>391</v>
      </c>
      <c r="AW124" s="58">
        <f t="shared" si="56"/>
        <v>22858662</v>
      </c>
      <c r="AX124" s="376">
        <f t="shared" si="57"/>
        <v>0</v>
      </c>
      <c r="AY124" s="377">
        <f t="shared" si="58"/>
        <v>0</v>
      </c>
      <c r="AZ124" s="377">
        <f t="shared" si="59"/>
        <v>0</v>
      </c>
      <c r="BA124" s="377">
        <f t="shared" si="60"/>
        <v>0</v>
      </c>
      <c r="BB124" s="377"/>
      <c r="BC124" s="377">
        <f t="shared" si="61"/>
        <v>0</v>
      </c>
      <c r="BD124" s="377">
        <f t="shared" si="62"/>
        <v>0</v>
      </c>
      <c r="BE124" s="377"/>
      <c r="BF124" s="377">
        <f t="shared" si="63"/>
        <v>0</v>
      </c>
      <c r="BG124" s="433">
        <f t="shared" si="64"/>
        <v>0</v>
      </c>
      <c r="BH124" s="434">
        <f t="shared" si="65"/>
        <v>0</v>
      </c>
    </row>
    <row r="125" spans="1:60" s="378" customFormat="1">
      <c r="A125" s="167">
        <v>114</v>
      </c>
      <c r="B125" s="253">
        <f>VLOOKUP(A125,'JUNE (물량흐름)'!$A$13:$C$493,3,0)</f>
        <v>174034863</v>
      </c>
      <c r="C125" s="57" t="str">
        <f>VLOOKUP(A125,'JUNE (물량흐름)'!$A$13:$C$493,2,0)</f>
        <v>TALBOTS</v>
      </c>
      <c r="D125" s="58">
        <f>IFERROR(VLOOKUP(B125,O.B.JUNE!$V$7:$Y$448,2,0),0)</f>
        <v>0</v>
      </c>
      <c r="E125" s="58">
        <f>IFERROR(VLOOKUP(B125,O.B.JUNE!$V$7:$X$448,3,0),0)</f>
        <v>0</v>
      </c>
      <c r="F125" s="58">
        <f>IFERROR(VLOOKUP(B125,O.B.JUNE!$V$7:$Y$448,4,0),0)</f>
        <v>0</v>
      </c>
      <c r="G125" s="58">
        <f>SUMIF('JUNE (물량흐름)'!$C$13:$C$493,'In-out-bal products (155)(완성제품)'!B125,'JUNE (물량흐름)'!$V$13:$V$493)</f>
        <v>0</v>
      </c>
      <c r="H125" s="58">
        <f>SUMIF('JUNE (물량흐름)'!$C$13:$C$493,'In-out-bal products (155)(완성제품)'!B125,'JUNE (물량흐름)'!$T$13:$T$493)-SUMIF('JUNE (물량흐름)'!$C$13:$C$493,'In-out-bal products (155)(완성제품)'!B125,'JUNE (물량흐름)'!$Y$13:$Y$493)+SUMIF('JUNE (물량흐름)'!$C$13:$C$493,'In-out-bal products (155)(완성제품)'!B125,'JUNE (물량흐름)'!$U$13:$U$493)</f>
        <v>139</v>
      </c>
      <c r="I125" s="58">
        <f t="shared" si="36"/>
        <v>56216.402877697845</v>
      </c>
      <c r="J125" s="58">
        <f>SUMIF('Direct labour(직접노무비)'!$C$12:$C$503,'In-out-bal products (155)(완성제품)'!B125,'Direct labour(직접노무비)'!$Q$12:$Q$503)</f>
        <v>3094394</v>
      </c>
      <c r="K125" s="59">
        <f>SUMIF('Overhead exp(제조경비)'!$C$12:$C$503,'In-out-bal products (155)(완성제품)'!B125,'Overhead exp(제조경비)'!$Q$12:$Q$503)</f>
        <v>4719686</v>
      </c>
      <c r="L125" s="58">
        <f t="shared" si="37"/>
        <v>7814080</v>
      </c>
      <c r="M125" s="58">
        <f>SUMIF('JUNE (물량흐름)'!$C$13:$C$488,'In-out-bal products (155)(완성제품)'!B125,'JUNE (물량흐름)'!$Y$13:$Y$488)</f>
        <v>0</v>
      </c>
      <c r="N125" s="58">
        <f t="shared" si="38"/>
        <v>0</v>
      </c>
      <c r="O125" s="58">
        <f>SUMIF('Direct labour(직접노무비)'!$C$12:$C$503,'In-out-bal products (155)(완성제품)'!B125,'Direct labour(직접노무비)'!$U$12:$U$503)+SUMIF('Overhead exp(제조경비)'!$C$12:$C$503,'In-out-bal products (155)(완성제품)'!B125,'Overhead exp(제조경비)'!$U$12:$U$503)</f>
        <v>0</v>
      </c>
      <c r="P125" s="60">
        <f t="shared" si="39"/>
        <v>139</v>
      </c>
      <c r="Q125" s="60">
        <f t="shared" si="40"/>
        <v>56216.402877697845</v>
      </c>
      <c r="R125" s="60">
        <f t="shared" si="41"/>
        <v>7814080</v>
      </c>
      <c r="S125" s="58">
        <v>0</v>
      </c>
      <c r="T125" s="58">
        <v>0</v>
      </c>
      <c r="U125" s="58">
        <v>0</v>
      </c>
      <c r="V125" s="58">
        <f>SUMIF('JUNE (물량흐름)'!$C$13:$C$493,'In-out-bal products (155)(완성제품)'!B125,'JUNE (물량흐름)'!$W$13:$W$493)</f>
        <v>0</v>
      </c>
      <c r="W125" s="58">
        <f t="shared" si="42"/>
        <v>0</v>
      </c>
      <c r="X125" s="58">
        <f t="shared" si="43"/>
        <v>0</v>
      </c>
      <c r="Y125" s="58">
        <f>SUMIF('JUNE (물량흐름)'!$C$13:$C$488,'In-out-bal products (155)(완성제품)'!B125,'JUNE (물량흐름)'!$X$13:$X$488)</f>
        <v>0</v>
      </c>
      <c r="Z125" s="58">
        <f t="shared" si="44"/>
        <v>0</v>
      </c>
      <c r="AA125" s="58">
        <f t="shared" si="45"/>
        <v>0</v>
      </c>
      <c r="AB125" s="58"/>
      <c r="AC125" s="58"/>
      <c r="AD125" s="61"/>
      <c r="AE125" s="58">
        <f t="shared" si="46"/>
        <v>0</v>
      </c>
      <c r="AF125" s="58">
        <f t="shared" si="47"/>
        <v>0</v>
      </c>
      <c r="AG125" s="61">
        <f t="shared" si="48"/>
        <v>0</v>
      </c>
      <c r="AH125" s="58">
        <v>0</v>
      </c>
      <c r="AI125" s="58">
        <v>0</v>
      </c>
      <c r="AJ125" s="61">
        <v>0</v>
      </c>
      <c r="AK125" s="58"/>
      <c r="AL125" s="58"/>
      <c r="AM125" s="61"/>
      <c r="AN125" s="61">
        <f t="shared" si="49"/>
        <v>0</v>
      </c>
      <c r="AO125" s="58">
        <f t="shared" si="50"/>
        <v>0</v>
      </c>
      <c r="AP125" s="61">
        <f t="shared" si="51"/>
        <v>0</v>
      </c>
      <c r="AQ125" s="58">
        <f t="shared" si="52"/>
        <v>139</v>
      </c>
      <c r="AR125" s="58">
        <f t="shared" si="53"/>
        <v>56216.402877697845</v>
      </c>
      <c r="AS125" s="58">
        <f t="shared" si="54"/>
        <v>7814080</v>
      </c>
      <c r="AT125" s="58">
        <f>ROUND(SUMIF('JUNE (물량흐름)'!$C$13:$C$502,'In-out-bal products (155)(완성제품)'!B125,'JUNE (물량흐름)'!$AB$13:$AB$502),0)</f>
        <v>0</v>
      </c>
      <c r="AU125" s="58">
        <f t="shared" si="55"/>
        <v>0</v>
      </c>
      <c r="AV125" s="58">
        <f>ROUND(SUMIF('JUNE (물량흐름)'!$C$13:$C$502,'In-out-bal products (155)(완성제품)'!B125,'JUNE (물량흐름)'!$AC$13:$AC$502),0)</f>
        <v>139</v>
      </c>
      <c r="AW125" s="58">
        <f t="shared" si="56"/>
        <v>7814080</v>
      </c>
      <c r="AX125" s="376">
        <f t="shared" si="57"/>
        <v>0</v>
      </c>
      <c r="AY125" s="377">
        <f t="shared" si="58"/>
        <v>0</v>
      </c>
      <c r="AZ125" s="377">
        <f t="shared" si="59"/>
        <v>0</v>
      </c>
      <c r="BA125" s="377">
        <f t="shared" si="60"/>
        <v>0</v>
      </c>
      <c r="BB125" s="377"/>
      <c r="BC125" s="377">
        <f t="shared" si="61"/>
        <v>0</v>
      </c>
      <c r="BD125" s="377">
        <f t="shared" si="62"/>
        <v>0</v>
      </c>
      <c r="BE125" s="377"/>
      <c r="BF125" s="377">
        <f t="shared" si="63"/>
        <v>0</v>
      </c>
      <c r="BG125" s="433">
        <f t="shared" si="64"/>
        <v>0</v>
      </c>
      <c r="BH125" s="434">
        <f t="shared" si="65"/>
        <v>0</v>
      </c>
    </row>
    <row r="126" spans="1:60" s="378" customFormat="1">
      <c r="A126" s="167">
        <v>115</v>
      </c>
      <c r="B126" s="253">
        <f>VLOOKUP(A126,'JUNE (물량흐름)'!$A$13:$C$493,3,0)</f>
        <v>181013004</v>
      </c>
      <c r="C126" s="57" t="str">
        <f>VLOOKUP(A126,'JUNE (물량흐름)'!$A$13:$C$493,2,0)</f>
        <v>TALBOTS</v>
      </c>
      <c r="D126" s="58">
        <f>IFERROR(VLOOKUP(B126,O.B.JUNE!$V$7:$Y$448,2,0),0)</f>
        <v>0</v>
      </c>
      <c r="E126" s="58">
        <f>IFERROR(VLOOKUP(B126,O.B.JUNE!$V$7:$X$448,3,0),0)</f>
        <v>0</v>
      </c>
      <c r="F126" s="58">
        <f>IFERROR(VLOOKUP(B126,O.B.JUNE!$V$7:$Y$448,4,0),0)</f>
        <v>0</v>
      </c>
      <c r="G126" s="58">
        <f>SUMIF('JUNE (물량흐름)'!$C$13:$C$493,'In-out-bal products (155)(완성제품)'!B126,'JUNE (물량흐름)'!$V$13:$V$493)</f>
        <v>0</v>
      </c>
      <c r="H126" s="58">
        <f>SUMIF('JUNE (물량흐름)'!$C$13:$C$493,'In-out-bal products (155)(완성제품)'!B126,'JUNE (물량흐름)'!$T$13:$T$493)-SUMIF('JUNE (물량흐름)'!$C$13:$C$493,'In-out-bal products (155)(완성제품)'!B126,'JUNE (물량흐름)'!$Y$13:$Y$493)+SUMIF('JUNE (물량흐름)'!$C$13:$C$493,'In-out-bal products (155)(완성제품)'!B126,'JUNE (물량흐름)'!$U$13:$U$493)</f>
        <v>0</v>
      </c>
      <c r="I126" s="58">
        <f t="shared" si="36"/>
        <v>0</v>
      </c>
      <c r="J126" s="58">
        <f>SUMIF('Direct labour(직접노무비)'!$C$12:$C$503,'In-out-bal products (155)(완성제품)'!B126,'Direct labour(직접노무비)'!$Q$12:$Q$503)</f>
        <v>0</v>
      </c>
      <c r="K126" s="59">
        <f>SUMIF('Overhead exp(제조경비)'!$C$12:$C$503,'In-out-bal products (155)(완성제품)'!B126,'Overhead exp(제조경비)'!$Q$12:$Q$503)</f>
        <v>0</v>
      </c>
      <c r="L126" s="58">
        <f t="shared" si="37"/>
        <v>0</v>
      </c>
      <c r="M126" s="58">
        <f>SUMIF('JUNE (물량흐름)'!$C$13:$C$488,'In-out-bal products (155)(완성제품)'!B126,'JUNE (물량흐름)'!$Y$13:$Y$488)</f>
        <v>0</v>
      </c>
      <c r="N126" s="58">
        <f t="shared" si="38"/>
        <v>0</v>
      </c>
      <c r="O126" s="58">
        <f>SUMIF('Direct labour(직접노무비)'!$C$12:$C$503,'In-out-bal products (155)(완성제품)'!B126,'Direct labour(직접노무비)'!$U$12:$U$503)+SUMIF('Overhead exp(제조경비)'!$C$12:$C$503,'In-out-bal products (155)(완성제품)'!B126,'Overhead exp(제조경비)'!$U$12:$U$503)</f>
        <v>0</v>
      </c>
      <c r="P126" s="60">
        <f t="shared" si="39"/>
        <v>0</v>
      </c>
      <c r="Q126" s="60">
        <f t="shared" si="40"/>
        <v>0</v>
      </c>
      <c r="R126" s="60">
        <f t="shared" si="41"/>
        <v>0</v>
      </c>
      <c r="S126" s="58">
        <v>0</v>
      </c>
      <c r="T126" s="58">
        <v>0</v>
      </c>
      <c r="U126" s="58">
        <v>0</v>
      </c>
      <c r="V126" s="58">
        <f>SUMIF('JUNE (물량흐름)'!$C$13:$C$493,'In-out-bal products (155)(완성제품)'!B126,'JUNE (물량흐름)'!$W$13:$W$493)</f>
        <v>0</v>
      </c>
      <c r="W126" s="58">
        <f t="shared" si="42"/>
        <v>0</v>
      </c>
      <c r="X126" s="58">
        <f t="shared" si="43"/>
        <v>0</v>
      </c>
      <c r="Y126" s="58">
        <f>SUMIF('JUNE (물량흐름)'!$C$13:$C$488,'In-out-bal products (155)(완성제품)'!B126,'JUNE (물량흐름)'!$X$13:$X$488)</f>
        <v>0</v>
      </c>
      <c r="Z126" s="58">
        <f t="shared" si="44"/>
        <v>0</v>
      </c>
      <c r="AA126" s="58">
        <f t="shared" si="45"/>
        <v>0</v>
      </c>
      <c r="AB126" s="58"/>
      <c r="AC126" s="58"/>
      <c r="AD126" s="61"/>
      <c r="AE126" s="58">
        <f t="shared" si="46"/>
        <v>0</v>
      </c>
      <c r="AF126" s="58">
        <f t="shared" si="47"/>
        <v>0</v>
      </c>
      <c r="AG126" s="61">
        <f t="shared" si="48"/>
        <v>0</v>
      </c>
      <c r="AH126" s="58">
        <v>0</v>
      </c>
      <c r="AI126" s="58">
        <v>0</v>
      </c>
      <c r="AJ126" s="61">
        <v>0</v>
      </c>
      <c r="AK126" s="58"/>
      <c r="AL126" s="58"/>
      <c r="AM126" s="61"/>
      <c r="AN126" s="61">
        <f t="shared" si="49"/>
        <v>0</v>
      </c>
      <c r="AO126" s="58">
        <f t="shared" si="50"/>
        <v>0</v>
      </c>
      <c r="AP126" s="61">
        <f t="shared" si="51"/>
        <v>0</v>
      </c>
      <c r="AQ126" s="58">
        <f t="shared" si="52"/>
        <v>0</v>
      </c>
      <c r="AR126" s="58">
        <f t="shared" si="53"/>
        <v>0</v>
      </c>
      <c r="AS126" s="58">
        <f t="shared" si="54"/>
        <v>0</v>
      </c>
      <c r="AT126" s="58">
        <f>ROUND(SUMIF('JUNE (물량흐름)'!$C$13:$C$502,'In-out-bal products (155)(완성제품)'!B126,'JUNE (물량흐름)'!$AB$13:$AB$502),0)</f>
        <v>0</v>
      </c>
      <c r="AU126" s="58">
        <f t="shared" si="55"/>
        <v>0</v>
      </c>
      <c r="AV126" s="58">
        <f>ROUND(SUMIF('JUNE (물량흐름)'!$C$13:$C$502,'In-out-bal products (155)(완성제품)'!B126,'JUNE (물량흐름)'!$AC$13:$AC$502),0)</f>
        <v>0</v>
      </c>
      <c r="AW126" s="58">
        <f t="shared" si="56"/>
        <v>0</v>
      </c>
      <c r="AX126" s="376">
        <f t="shared" si="57"/>
        <v>0</v>
      </c>
      <c r="AY126" s="377">
        <f t="shared" si="58"/>
        <v>0</v>
      </c>
      <c r="AZ126" s="377">
        <f t="shared" si="59"/>
        <v>0</v>
      </c>
      <c r="BA126" s="377">
        <f t="shared" si="60"/>
        <v>0</v>
      </c>
      <c r="BB126" s="377"/>
      <c r="BC126" s="377">
        <f t="shared" si="61"/>
        <v>0</v>
      </c>
      <c r="BD126" s="377">
        <f t="shared" si="62"/>
        <v>0</v>
      </c>
      <c r="BE126" s="377"/>
      <c r="BF126" s="377">
        <f t="shared" si="63"/>
        <v>0</v>
      </c>
      <c r="BG126" s="433">
        <f t="shared" si="64"/>
        <v>0</v>
      </c>
      <c r="BH126" s="434">
        <f t="shared" si="65"/>
        <v>0</v>
      </c>
    </row>
    <row r="127" spans="1:60" s="378" customFormat="1">
      <c r="A127" s="167">
        <v>116</v>
      </c>
      <c r="B127" s="253">
        <f>VLOOKUP(A127,'JUNE (물량흐름)'!$A$13:$C$493,3,0)</f>
        <v>100003498</v>
      </c>
      <c r="C127" s="57" t="str">
        <f>VLOOKUP(A127,'JUNE (물량흐름)'!$A$13:$C$493,2,0)</f>
        <v>ALFANI</v>
      </c>
      <c r="D127" s="58">
        <f>IFERROR(VLOOKUP(B127,O.B.JUNE!$V$7:$Y$448,2,0),0)</f>
        <v>0</v>
      </c>
      <c r="E127" s="58">
        <f>IFERROR(VLOOKUP(B127,O.B.JUNE!$V$7:$X$448,3,0),0)</f>
        <v>0</v>
      </c>
      <c r="F127" s="58">
        <f>IFERROR(VLOOKUP(B127,O.B.JUNE!$V$7:$Y$448,4,0),0)</f>
        <v>0</v>
      </c>
      <c r="G127" s="58">
        <f>SUMIF('JUNE (물량흐름)'!$C$13:$C$493,'In-out-bal products (155)(완성제품)'!B127,'JUNE (물량흐름)'!$V$13:$V$493)</f>
        <v>0</v>
      </c>
      <c r="H127" s="58">
        <f>SUMIF('JUNE (물량흐름)'!$C$13:$C$493,'In-out-bal products (155)(완성제품)'!B127,'JUNE (물량흐름)'!$T$13:$T$493)-SUMIF('JUNE (물량흐름)'!$C$13:$C$493,'In-out-bal products (155)(완성제품)'!B127,'JUNE (물량흐름)'!$Y$13:$Y$493)+SUMIF('JUNE (물량흐름)'!$C$13:$C$493,'In-out-bal products (155)(완성제품)'!B127,'JUNE (물량흐름)'!$U$13:$U$493)</f>
        <v>0</v>
      </c>
      <c r="I127" s="58">
        <f t="shared" si="36"/>
        <v>0</v>
      </c>
      <c r="J127" s="58">
        <f>SUMIF('Direct labour(직접노무비)'!$C$12:$C$503,'In-out-bal products (155)(완성제품)'!B127,'Direct labour(직접노무비)'!$Q$12:$Q$503)</f>
        <v>0</v>
      </c>
      <c r="K127" s="59">
        <f>SUMIF('Overhead exp(제조경비)'!$C$12:$C$503,'In-out-bal products (155)(완성제품)'!B127,'Overhead exp(제조경비)'!$Q$12:$Q$503)</f>
        <v>0</v>
      </c>
      <c r="L127" s="58">
        <f t="shared" si="37"/>
        <v>0</v>
      </c>
      <c r="M127" s="58">
        <f>SUMIF('JUNE (물량흐름)'!$C$13:$C$488,'In-out-bal products (155)(완성제품)'!B127,'JUNE (물량흐름)'!$Y$13:$Y$488)</f>
        <v>0</v>
      </c>
      <c r="N127" s="58">
        <f t="shared" si="38"/>
        <v>0</v>
      </c>
      <c r="O127" s="58">
        <f>SUMIF('Direct labour(직접노무비)'!$C$12:$C$503,'In-out-bal products (155)(완성제품)'!B127,'Direct labour(직접노무비)'!$U$12:$U$503)+SUMIF('Overhead exp(제조경비)'!$C$12:$C$503,'In-out-bal products (155)(완성제품)'!B127,'Overhead exp(제조경비)'!$U$12:$U$503)</f>
        <v>0</v>
      </c>
      <c r="P127" s="60">
        <f t="shared" si="39"/>
        <v>0</v>
      </c>
      <c r="Q127" s="60">
        <f t="shared" si="40"/>
        <v>0</v>
      </c>
      <c r="R127" s="60">
        <f t="shared" si="41"/>
        <v>0</v>
      </c>
      <c r="S127" s="58">
        <v>0</v>
      </c>
      <c r="T127" s="58">
        <v>0</v>
      </c>
      <c r="U127" s="58">
        <v>0</v>
      </c>
      <c r="V127" s="58">
        <f>SUMIF('JUNE (물량흐름)'!$C$13:$C$493,'In-out-bal products (155)(완성제품)'!B127,'JUNE (물량흐름)'!$W$13:$W$493)</f>
        <v>0</v>
      </c>
      <c r="W127" s="58">
        <f t="shared" si="42"/>
        <v>0</v>
      </c>
      <c r="X127" s="58">
        <f t="shared" si="43"/>
        <v>0</v>
      </c>
      <c r="Y127" s="58">
        <f>SUMIF('JUNE (물량흐름)'!$C$13:$C$488,'In-out-bal products (155)(완성제품)'!B127,'JUNE (물량흐름)'!$X$13:$X$488)</f>
        <v>0</v>
      </c>
      <c r="Z127" s="58">
        <f t="shared" si="44"/>
        <v>0</v>
      </c>
      <c r="AA127" s="58">
        <f t="shared" si="45"/>
        <v>0</v>
      </c>
      <c r="AB127" s="58"/>
      <c r="AC127" s="58"/>
      <c r="AD127" s="61"/>
      <c r="AE127" s="58">
        <f t="shared" si="46"/>
        <v>0</v>
      </c>
      <c r="AF127" s="58">
        <f t="shared" si="47"/>
        <v>0</v>
      </c>
      <c r="AG127" s="61">
        <f t="shared" si="48"/>
        <v>0</v>
      </c>
      <c r="AH127" s="58">
        <v>0</v>
      </c>
      <c r="AI127" s="58">
        <v>0</v>
      </c>
      <c r="AJ127" s="61">
        <v>0</v>
      </c>
      <c r="AK127" s="58"/>
      <c r="AL127" s="58"/>
      <c r="AM127" s="61"/>
      <c r="AN127" s="61">
        <f t="shared" si="49"/>
        <v>0</v>
      </c>
      <c r="AO127" s="58">
        <f t="shared" si="50"/>
        <v>0</v>
      </c>
      <c r="AP127" s="61">
        <f t="shared" si="51"/>
        <v>0</v>
      </c>
      <c r="AQ127" s="58">
        <f t="shared" si="52"/>
        <v>0</v>
      </c>
      <c r="AR127" s="58">
        <f t="shared" si="53"/>
        <v>0</v>
      </c>
      <c r="AS127" s="58">
        <f t="shared" si="54"/>
        <v>0</v>
      </c>
      <c r="AT127" s="58">
        <f>ROUND(SUMIF('JUNE (물량흐름)'!$C$13:$C$502,'In-out-bal products (155)(완성제품)'!B127,'JUNE (물량흐름)'!$AB$13:$AB$502),0)</f>
        <v>0</v>
      </c>
      <c r="AU127" s="58">
        <f t="shared" si="55"/>
        <v>0</v>
      </c>
      <c r="AV127" s="58">
        <f>ROUND(SUMIF('JUNE (물량흐름)'!$C$13:$C$502,'In-out-bal products (155)(완성제품)'!B127,'JUNE (물량흐름)'!$AC$13:$AC$502),0)</f>
        <v>0</v>
      </c>
      <c r="AW127" s="58">
        <f t="shared" si="56"/>
        <v>0</v>
      </c>
      <c r="AX127" s="376">
        <f t="shared" si="57"/>
        <v>0</v>
      </c>
      <c r="AY127" s="377">
        <f t="shared" si="58"/>
        <v>0</v>
      </c>
      <c r="AZ127" s="377">
        <f t="shared" si="59"/>
        <v>0</v>
      </c>
      <c r="BA127" s="377">
        <f t="shared" si="60"/>
        <v>0</v>
      </c>
      <c r="BB127" s="377"/>
      <c r="BC127" s="377">
        <f t="shared" si="61"/>
        <v>0</v>
      </c>
      <c r="BD127" s="377">
        <f t="shared" si="62"/>
        <v>0</v>
      </c>
      <c r="BE127" s="377"/>
      <c r="BF127" s="377">
        <f t="shared" si="63"/>
        <v>0</v>
      </c>
      <c r="BG127" s="433">
        <f t="shared" si="64"/>
        <v>0</v>
      </c>
      <c r="BH127" s="434">
        <f t="shared" si="65"/>
        <v>0</v>
      </c>
    </row>
    <row r="128" spans="1:60" s="378" customFormat="1">
      <c r="A128" s="167">
        <v>117</v>
      </c>
      <c r="B128" s="253">
        <f>VLOOKUP(A128,'JUNE (물량흐름)'!$A$13:$C$493,3,0)</f>
        <v>100003560</v>
      </c>
      <c r="C128" s="57" t="str">
        <f>VLOOKUP(A128,'JUNE (물량흐름)'!$A$13:$C$493,2,0)</f>
        <v>ALFANI</v>
      </c>
      <c r="D128" s="58">
        <f>IFERROR(VLOOKUP(B128,O.B.JUNE!$V$7:$Y$448,2,0),0)</f>
        <v>0</v>
      </c>
      <c r="E128" s="58">
        <f>IFERROR(VLOOKUP(B128,O.B.JUNE!$V$7:$X$448,3,0),0)</f>
        <v>0</v>
      </c>
      <c r="F128" s="58">
        <f>IFERROR(VLOOKUP(B128,O.B.JUNE!$V$7:$Y$448,4,0),0)</f>
        <v>0</v>
      </c>
      <c r="G128" s="58">
        <f>SUMIF('JUNE (물량흐름)'!$C$13:$C$493,'In-out-bal products (155)(완성제품)'!B128,'JUNE (물량흐름)'!$V$13:$V$493)</f>
        <v>0</v>
      </c>
      <c r="H128" s="58">
        <f>SUMIF('JUNE (물량흐름)'!$C$13:$C$493,'In-out-bal products (155)(완성제품)'!B128,'JUNE (물량흐름)'!$T$13:$T$493)-SUMIF('JUNE (물량흐름)'!$C$13:$C$493,'In-out-bal products (155)(완성제품)'!B128,'JUNE (물량흐름)'!$Y$13:$Y$493)+SUMIF('JUNE (물량흐름)'!$C$13:$C$493,'In-out-bal products (155)(완성제품)'!B128,'JUNE (물량흐름)'!$U$13:$U$493)</f>
        <v>0</v>
      </c>
      <c r="I128" s="58">
        <f t="shared" si="36"/>
        <v>0</v>
      </c>
      <c r="J128" s="58">
        <f>SUMIF('Direct labour(직접노무비)'!$C$12:$C$503,'In-out-bal products (155)(완성제품)'!B128,'Direct labour(직접노무비)'!$Q$12:$Q$503)</f>
        <v>0</v>
      </c>
      <c r="K128" s="59">
        <f>SUMIF('Overhead exp(제조경비)'!$C$12:$C$503,'In-out-bal products (155)(완성제품)'!B128,'Overhead exp(제조경비)'!$Q$12:$Q$503)</f>
        <v>0</v>
      </c>
      <c r="L128" s="58">
        <f t="shared" si="37"/>
        <v>0</v>
      </c>
      <c r="M128" s="58">
        <f>SUMIF('JUNE (물량흐름)'!$C$13:$C$488,'In-out-bal products (155)(완성제품)'!B128,'JUNE (물량흐름)'!$Y$13:$Y$488)</f>
        <v>0</v>
      </c>
      <c r="N128" s="58">
        <f t="shared" si="38"/>
        <v>0</v>
      </c>
      <c r="O128" s="58">
        <f>SUMIF('Direct labour(직접노무비)'!$C$12:$C$503,'In-out-bal products (155)(완성제품)'!B128,'Direct labour(직접노무비)'!$U$12:$U$503)+SUMIF('Overhead exp(제조경비)'!$C$12:$C$503,'In-out-bal products (155)(완성제품)'!B128,'Overhead exp(제조경비)'!$U$12:$U$503)</f>
        <v>0</v>
      </c>
      <c r="P128" s="60">
        <f t="shared" si="39"/>
        <v>0</v>
      </c>
      <c r="Q128" s="60">
        <f t="shared" si="40"/>
        <v>0</v>
      </c>
      <c r="R128" s="60">
        <f t="shared" si="41"/>
        <v>0</v>
      </c>
      <c r="S128" s="58">
        <v>0</v>
      </c>
      <c r="T128" s="58">
        <v>0</v>
      </c>
      <c r="U128" s="58">
        <v>0</v>
      </c>
      <c r="V128" s="58">
        <f>SUMIF('JUNE (물량흐름)'!$C$13:$C$493,'In-out-bal products (155)(완성제품)'!B128,'JUNE (물량흐름)'!$W$13:$W$493)</f>
        <v>0</v>
      </c>
      <c r="W128" s="58">
        <f t="shared" si="42"/>
        <v>0</v>
      </c>
      <c r="X128" s="58">
        <f t="shared" si="43"/>
        <v>0</v>
      </c>
      <c r="Y128" s="58">
        <f>SUMIF('JUNE (물량흐름)'!$C$13:$C$488,'In-out-bal products (155)(완성제품)'!B128,'JUNE (물량흐름)'!$X$13:$X$488)</f>
        <v>0</v>
      </c>
      <c r="Z128" s="58">
        <f t="shared" si="44"/>
        <v>0</v>
      </c>
      <c r="AA128" s="58">
        <f t="shared" si="45"/>
        <v>0</v>
      </c>
      <c r="AB128" s="58"/>
      <c r="AC128" s="58"/>
      <c r="AD128" s="61"/>
      <c r="AE128" s="58">
        <f t="shared" si="46"/>
        <v>0</v>
      </c>
      <c r="AF128" s="58">
        <f t="shared" si="47"/>
        <v>0</v>
      </c>
      <c r="AG128" s="61">
        <f t="shared" si="48"/>
        <v>0</v>
      </c>
      <c r="AH128" s="58">
        <v>0</v>
      </c>
      <c r="AI128" s="58">
        <v>0</v>
      </c>
      <c r="AJ128" s="61">
        <v>0</v>
      </c>
      <c r="AK128" s="58"/>
      <c r="AL128" s="58"/>
      <c r="AM128" s="61"/>
      <c r="AN128" s="61">
        <f t="shared" si="49"/>
        <v>0</v>
      </c>
      <c r="AO128" s="58">
        <f t="shared" si="50"/>
        <v>0</v>
      </c>
      <c r="AP128" s="61">
        <f t="shared" si="51"/>
        <v>0</v>
      </c>
      <c r="AQ128" s="58">
        <f t="shared" si="52"/>
        <v>0</v>
      </c>
      <c r="AR128" s="58">
        <f t="shared" si="53"/>
        <v>0</v>
      </c>
      <c r="AS128" s="58">
        <f t="shared" si="54"/>
        <v>0</v>
      </c>
      <c r="AT128" s="58">
        <f>ROUND(SUMIF('JUNE (물량흐름)'!$C$13:$C$502,'In-out-bal products (155)(완성제품)'!B128,'JUNE (물량흐름)'!$AB$13:$AB$502),0)</f>
        <v>0</v>
      </c>
      <c r="AU128" s="58">
        <f t="shared" si="55"/>
        <v>0</v>
      </c>
      <c r="AV128" s="58">
        <f>ROUND(SUMIF('JUNE (물량흐름)'!$C$13:$C$502,'In-out-bal products (155)(완성제품)'!B128,'JUNE (물량흐름)'!$AC$13:$AC$502),0)</f>
        <v>0</v>
      </c>
      <c r="AW128" s="58">
        <f t="shared" si="56"/>
        <v>0</v>
      </c>
      <c r="AX128" s="376">
        <f t="shared" si="57"/>
        <v>0</v>
      </c>
      <c r="AY128" s="377">
        <f t="shared" si="58"/>
        <v>0</v>
      </c>
      <c r="AZ128" s="377">
        <f t="shared" si="59"/>
        <v>0</v>
      </c>
      <c r="BA128" s="377">
        <f t="shared" si="60"/>
        <v>0</v>
      </c>
      <c r="BB128" s="377"/>
      <c r="BC128" s="377">
        <f t="shared" si="61"/>
        <v>0</v>
      </c>
      <c r="BD128" s="377">
        <f t="shared" si="62"/>
        <v>0</v>
      </c>
      <c r="BE128" s="377"/>
      <c r="BF128" s="377">
        <f t="shared" si="63"/>
        <v>0</v>
      </c>
      <c r="BG128" s="433">
        <f t="shared" si="64"/>
        <v>0</v>
      </c>
      <c r="BH128" s="434">
        <f t="shared" si="65"/>
        <v>0</v>
      </c>
    </row>
    <row r="129" spans="1:60" s="378" customFormat="1">
      <c r="A129" s="167">
        <v>118</v>
      </c>
      <c r="B129" s="253">
        <f>VLOOKUP(A129,'JUNE (물량흐름)'!$A$13:$C$493,3,0)</f>
        <v>100003581</v>
      </c>
      <c r="C129" s="57" t="str">
        <f>VLOOKUP(A129,'JUNE (물량흐름)'!$A$13:$C$493,2,0)</f>
        <v>ALFANI</v>
      </c>
      <c r="D129" s="58">
        <f>IFERROR(VLOOKUP(B129,O.B.JUNE!$V$7:$Y$448,2,0),0)</f>
        <v>0</v>
      </c>
      <c r="E129" s="58">
        <f>IFERROR(VLOOKUP(B129,O.B.JUNE!$V$7:$X$448,3,0),0)</f>
        <v>0</v>
      </c>
      <c r="F129" s="58">
        <f>IFERROR(VLOOKUP(B129,O.B.JUNE!$V$7:$Y$448,4,0),0)</f>
        <v>0</v>
      </c>
      <c r="G129" s="58">
        <f>SUMIF('JUNE (물량흐름)'!$C$13:$C$493,'In-out-bal products (155)(완성제품)'!B129,'JUNE (물량흐름)'!$V$13:$V$493)</f>
        <v>0</v>
      </c>
      <c r="H129" s="58">
        <f>SUMIF('JUNE (물량흐름)'!$C$13:$C$493,'In-out-bal products (155)(완성제품)'!B129,'JUNE (물량흐름)'!$T$13:$T$493)-SUMIF('JUNE (물량흐름)'!$C$13:$C$493,'In-out-bal products (155)(완성제품)'!B129,'JUNE (물량흐름)'!$Y$13:$Y$493)+SUMIF('JUNE (물량흐름)'!$C$13:$C$493,'In-out-bal products (155)(완성제품)'!B129,'JUNE (물량흐름)'!$U$13:$U$493)</f>
        <v>0</v>
      </c>
      <c r="I129" s="58">
        <f t="shared" si="36"/>
        <v>0</v>
      </c>
      <c r="J129" s="58">
        <f>SUMIF('Direct labour(직접노무비)'!$C$12:$C$503,'In-out-bal products (155)(완성제품)'!B129,'Direct labour(직접노무비)'!$Q$12:$Q$503)</f>
        <v>0</v>
      </c>
      <c r="K129" s="59">
        <f>SUMIF('Overhead exp(제조경비)'!$C$12:$C$503,'In-out-bal products (155)(완성제품)'!B129,'Overhead exp(제조경비)'!$Q$12:$Q$503)</f>
        <v>0</v>
      </c>
      <c r="L129" s="58">
        <f t="shared" si="37"/>
        <v>0</v>
      </c>
      <c r="M129" s="58">
        <f>SUMIF('JUNE (물량흐름)'!$C$13:$C$488,'In-out-bal products (155)(완성제품)'!B129,'JUNE (물량흐름)'!$Y$13:$Y$488)</f>
        <v>0</v>
      </c>
      <c r="N129" s="58">
        <f t="shared" si="38"/>
        <v>0</v>
      </c>
      <c r="O129" s="58">
        <f>SUMIF('Direct labour(직접노무비)'!$C$12:$C$503,'In-out-bal products (155)(완성제품)'!B129,'Direct labour(직접노무비)'!$U$12:$U$503)+SUMIF('Overhead exp(제조경비)'!$C$12:$C$503,'In-out-bal products (155)(완성제품)'!B129,'Overhead exp(제조경비)'!$U$12:$U$503)</f>
        <v>0</v>
      </c>
      <c r="P129" s="60">
        <f t="shared" si="39"/>
        <v>0</v>
      </c>
      <c r="Q129" s="60">
        <f t="shared" si="40"/>
        <v>0</v>
      </c>
      <c r="R129" s="60">
        <f t="shared" si="41"/>
        <v>0</v>
      </c>
      <c r="S129" s="58">
        <v>0</v>
      </c>
      <c r="T129" s="58">
        <v>0</v>
      </c>
      <c r="U129" s="58">
        <v>0</v>
      </c>
      <c r="V129" s="58">
        <f>SUMIF('JUNE (물량흐름)'!$C$13:$C$493,'In-out-bal products (155)(완성제품)'!B129,'JUNE (물량흐름)'!$W$13:$W$493)</f>
        <v>0</v>
      </c>
      <c r="W129" s="58">
        <f t="shared" si="42"/>
        <v>0</v>
      </c>
      <c r="X129" s="58">
        <f t="shared" si="43"/>
        <v>0</v>
      </c>
      <c r="Y129" s="58">
        <f>SUMIF('JUNE (물량흐름)'!$C$13:$C$488,'In-out-bal products (155)(완성제품)'!B129,'JUNE (물량흐름)'!$X$13:$X$488)</f>
        <v>0</v>
      </c>
      <c r="Z129" s="58">
        <f t="shared" si="44"/>
        <v>0</v>
      </c>
      <c r="AA129" s="58">
        <f t="shared" si="45"/>
        <v>0</v>
      </c>
      <c r="AB129" s="58"/>
      <c r="AC129" s="58"/>
      <c r="AD129" s="61"/>
      <c r="AE129" s="58">
        <f t="shared" si="46"/>
        <v>0</v>
      </c>
      <c r="AF129" s="58">
        <f t="shared" si="47"/>
        <v>0</v>
      </c>
      <c r="AG129" s="61">
        <f t="shared" si="48"/>
        <v>0</v>
      </c>
      <c r="AH129" s="58">
        <v>0</v>
      </c>
      <c r="AI129" s="58">
        <v>0</v>
      </c>
      <c r="AJ129" s="61">
        <v>0</v>
      </c>
      <c r="AK129" s="58"/>
      <c r="AL129" s="58"/>
      <c r="AM129" s="61"/>
      <c r="AN129" s="61">
        <f t="shared" si="49"/>
        <v>0</v>
      </c>
      <c r="AO129" s="58">
        <f t="shared" si="50"/>
        <v>0</v>
      </c>
      <c r="AP129" s="61">
        <f t="shared" si="51"/>
        <v>0</v>
      </c>
      <c r="AQ129" s="58">
        <f t="shared" si="52"/>
        <v>0</v>
      </c>
      <c r="AR129" s="58">
        <f t="shared" si="53"/>
        <v>0</v>
      </c>
      <c r="AS129" s="58">
        <f t="shared" si="54"/>
        <v>0</v>
      </c>
      <c r="AT129" s="58">
        <f>ROUND(SUMIF('JUNE (물량흐름)'!$C$13:$C$502,'In-out-bal products (155)(완성제품)'!B129,'JUNE (물량흐름)'!$AB$13:$AB$502),0)</f>
        <v>0</v>
      </c>
      <c r="AU129" s="58">
        <f t="shared" si="55"/>
        <v>0</v>
      </c>
      <c r="AV129" s="58">
        <f>ROUND(SUMIF('JUNE (물량흐름)'!$C$13:$C$502,'In-out-bal products (155)(완성제품)'!B129,'JUNE (물량흐름)'!$AC$13:$AC$502),0)</f>
        <v>0</v>
      </c>
      <c r="AW129" s="58">
        <f t="shared" si="56"/>
        <v>0</v>
      </c>
      <c r="AX129" s="376">
        <f t="shared" si="57"/>
        <v>0</v>
      </c>
      <c r="AY129" s="377">
        <f t="shared" si="58"/>
        <v>0</v>
      </c>
      <c r="AZ129" s="377">
        <f t="shared" si="59"/>
        <v>0</v>
      </c>
      <c r="BA129" s="377">
        <f t="shared" si="60"/>
        <v>0</v>
      </c>
      <c r="BB129" s="377"/>
      <c r="BC129" s="377">
        <f t="shared" si="61"/>
        <v>0</v>
      </c>
      <c r="BD129" s="377">
        <f t="shared" si="62"/>
        <v>0</v>
      </c>
      <c r="BE129" s="377"/>
      <c r="BF129" s="377">
        <f t="shared" si="63"/>
        <v>0</v>
      </c>
      <c r="BG129" s="433">
        <f t="shared" si="64"/>
        <v>0</v>
      </c>
      <c r="BH129" s="434">
        <f t="shared" si="65"/>
        <v>0</v>
      </c>
    </row>
    <row r="130" spans="1:60" s="378" customFormat="1">
      <c r="A130" s="167">
        <v>119</v>
      </c>
      <c r="B130" s="253">
        <f>VLOOKUP(A130,'JUNE (물량흐름)'!$A$13:$C$493,3,0)</f>
        <v>100003599</v>
      </c>
      <c r="C130" s="57" t="str">
        <f>VLOOKUP(A130,'JUNE (물량흐름)'!$A$13:$C$493,2,0)</f>
        <v>ALFANI</v>
      </c>
      <c r="D130" s="58">
        <f>IFERROR(VLOOKUP(B130,O.B.JUNE!$V$7:$Y$448,2,0),0)</f>
        <v>0</v>
      </c>
      <c r="E130" s="58">
        <f>IFERROR(VLOOKUP(B130,O.B.JUNE!$V$7:$X$448,3,0),0)</f>
        <v>0</v>
      </c>
      <c r="F130" s="58">
        <f>IFERROR(VLOOKUP(B130,O.B.JUNE!$V$7:$Y$448,4,0),0)</f>
        <v>0</v>
      </c>
      <c r="G130" s="58">
        <f>SUMIF('JUNE (물량흐름)'!$C$13:$C$493,'In-out-bal products (155)(완성제품)'!B130,'JUNE (물량흐름)'!$V$13:$V$493)</f>
        <v>0</v>
      </c>
      <c r="H130" s="58">
        <f>SUMIF('JUNE (물량흐름)'!$C$13:$C$493,'In-out-bal products (155)(완성제품)'!B130,'JUNE (물량흐름)'!$T$13:$T$493)-SUMIF('JUNE (물량흐름)'!$C$13:$C$493,'In-out-bal products (155)(완성제품)'!B130,'JUNE (물량흐름)'!$Y$13:$Y$493)+SUMIF('JUNE (물량흐름)'!$C$13:$C$493,'In-out-bal products (155)(완성제품)'!B130,'JUNE (물량흐름)'!$U$13:$U$493)</f>
        <v>4602</v>
      </c>
      <c r="I130" s="58">
        <f t="shared" si="36"/>
        <v>7849.2998696219038</v>
      </c>
      <c r="J130" s="58">
        <f>SUMIF('Direct labour(직접노무비)'!$C$12:$C$503,'In-out-bal products (155)(완성제품)'!B130,'Direct labour(직접노무비)'!$Q$12:$Q$503)</f>
        <v>12379338</v>
      </c>
      <c r="K130" s="59">
        <f>SUMIF('Overhead exp(제조경비)'!$C$12:$C$503,'In-out-bal products (155)(완성제품)'!B130,'Overhead exp(제조경비)'!$Q$12:$Q$503)</f>
        <v>23743140</v>
      </c>
      <c r="L130" s="58">
        <f t="shared" si="37"/>
        <v>36122478</v>
      </c>
      <c r="M130" s="58">
        <f>SUMIF('JUNE (물량흐름)'!$C$13:$C$488,'In-out-bal products (155)(완성제품)'!B130,'JUNE (물량흐름)'!$Y$13:$Y$488)</f>
        <v>0</v>
      </c>
      <c r="N130" s="58">
        <f t="shared" si="38"/>
        <v>0</v>
      </c>
      <c r="O130" s="58">
        <f>SUMIF('Direct labour(직접노무비)'!$C$12:$C$503,'In-out-bal products (155)(완성제품)'!B130,'Direct labour(직접노무비)'!$U$12:$U$503)+SUMIF('Overhead exp(제조경비)'!$C$12:$C$503,'In-out-bal products (155)(완성제품)'!B130,'Overhead exp(제조경비)'!$U$12:$U$503)</f>
        <v>0</v>
      </c>
      <c r="P130" s="60">
        <f t="shared" si="39"/>
        <v>4602</v>
      </c>
      <c r="Q130" s="60">
        <f t="shared" si="40"/>
        <v>7849.2998696219038</v>
      </c>
      <c r="R130" s="60">
        <f t="shared" si="41"/>
        <v>36122478</v>
      </c>
      <c r="S130" s="58">
        <v>0</v>
      </c>
      <c r="T130" s="58">
        <v>0</v>
      </c>
      <c r="U130" s="58">
        <v>0</v>
      </c>
      <c r="V130" s="58">
        <f>SUMIF('JUNE (물량흐름)'!$C$13:$C$493,'In-out-bal products (155)(완성제품)'!B130,'JUNE (물량흐름)'!$W$13:$W$493)</f>
        <v>0</v>
      </c>
      <c r="W130" s="58">
        <f t="shared" si="42"/>
        <v>0</v>
      </c>
      <c r="X130" s="58">
        <f t="shared" si="43"/>
        <v>0</v>
      </c>
      <c r="Y130" s="58">
        <f>SUMIF('JUNE (물량흐름)'!$C$13:$C$488,'In-out-bal products (155)(완성제품)'!B130,'JUNE (물량흐름)'!$X$13:$X$488)</f>
        <v>0</v>
      </c>
      <c r="Z130" s="58">
        <f t="shared" si="44"/>
        <v>0</v>
      </c>
      <c r="AA130" s="58">
        <f t="shared" si="45"/>
        <v>0</v>
      </c>
      <c r="AB130" s="58"/>
      <c r="AC130" s="58"/>
      <c r="AD130" s="61"/>
      <c r="AE130" s="58">
        <f t="shared" si="46"/>
        <v>0</v>
      </c>
      <c r="AF130" s="58">
        <f t="shared" si="47"/>
        <v>0</v>
      </c>
      <c r="AG130" s="61">
        <f t="shared" si="48"/>
        <v>0</v>
      </c>
      <c r="AH130" s="58">
        <v>0</v>
      </c>
      <c r="AI130" s="58">
        <v>0</v>
      </c>
      <c r="AJ130" s="61">
        <v>0</v>
      </c>
      <c r="AK130" s="58"/>
      <c r="AL130" s="58"/>
      <c r="AM130" s="61"/>
      <c r="AN130" s="61">
        <f t="shared" si="49"/>
        <v>0</v>
      </c>
      <c r="AO130" s="58">
        <f t="shared" si="50"/>
        <v>0</v>
      </c>
      <c r="AP130" s="61">
        <f t="shared" si="51"/>
        <v>0</v>
      </c>
      <c r="AQ130" s="58">
        <f t="shared" si="52"/>
        <v>4602</v>
      </c>
      <c r="AR130" s="58">
        <f t="shared" si="53"/>
        <v>7849.2998696219038</v>
      </c>
      <c r="AS130" s="58">
        <f t="shared" si="54"/>
        <v>36122478</v>
      </c>
      <c r="AT130" s="58">
        <f>ROUND(SUMIF('JUNE (물량흐름)'!$C$13:$C$502,'In-out-bal products (155)(완성제품)'!B130,'JUNE (물량흐름)'!$AB$13:$AB$502),0)</f>
        <v>4602</v>
      </c>
      <c r="AU130" s="58">
        <f t="shared" si="55"/>
        <v>36122478</v>
      </c>
      <c r="AV130" s="58">
        <f>ROUND(SUMIF('JUNE (물량흐름)'!$C$13:$C$502,'In-out-bal products (155)(완성제품)'!B130,'JUNE (물량흐름)'!$AC$13:$AC$502),0)</f>
        <v>0</v>
      </c>
      <c r="AW130" s="58">
        <f t="shared" si="56"/>
        <v>0</v>
      </c>
      <c r="AX130" s="376">
        <f t="shared" si="57"/>
        <v>0</v>
      </c>
      <c r="AY130" s="377">
        <f t="shared" si="58"/>
        <v>0</v>
      </c>
      <c r="AZ130" s="377">
        <f t="shared" si="59"/>
        <v>0</v>
      </c>
      <c r="BA130" s="377">
        <f t="shared" si="60"/>
        <v>0</v>
      </c>
      <c r="BB130" s="377"/>
      <c r="BC130" s="377">
        <f t="shared" si="61"/>
        <v>0</v>
      </c>
      <c r="BD130" s="377">
        <f t="shared" si="62"/>
        <v>0</v>
      </c>
      <c r="BE130" s="377"/>
      <c r="BF130" s="377">
        <f t="shared" si="63"/>
        <v>0</v>
      </c>
      <c r="BG130" s="433">
        <f t="shared" si="64"/>
        <v>0</v>
      </c>
      <c r="BH130" s="434">
        <f t="shared" si="65"/>
        <v>0</v>
      </c>
    </row>
    <row r="131" spans="1:60" s="378" customFormat="1">
      <c r="A131" s="167">
        <v>120</v>
      </c>
      <c r="B131" s="253">
        <f>VLOOKUP(A131,'JUNE (물량흐름)'!$A$13:$C$493,3,0)</f>
        <v>100016414</v>
      </c>
      <c r="C131" s="57" t="str">
        <f>VLOOKUP(A131,'JUNE (물량흐름)'!$A$13:$C$493,2,0)</f>
        <v>ALFANI</v>
      </c>
      <c r="D131" s="58">
        <f>IFERROR(VLOOKUP(B131,O.B.JUNE!$V$7:$Y$448,2,0),0)</f>
        <v>0</v>
      </c>
      <c r="E131" s="58">
        <f>IFERROR(VLOOKUP(B131,O.B.JUNE!$V$7:$X$448,3,0),0)</f>
        <v>0</v>
      </c>
      <c r="F131" s="58">
        <f>IFERROR(VLOOKUP(B131,O.B.JUNE!$V$7:$Y$448,4,0),0)</f>
        <v>0</v>
      </c>
      <c r="G131" s="58">
        <f>SUMIF('JUNE (물량흐름)'!$C$13:$C$493,'In-out-bal products (155)(완성제품)'!B131,'JUNE (물량흐름)'!$V$13:$V$493)</f>
        <v>0</v>
      </c>
      <c r="H131" s="58">
        <f>SUMIF('JUNE (물량흐름)'!$C$13:$C$493,'In-out-bal products (155)(완성제품)'!B131,'JUNE (물량흐름)'!$T$13:$T$493)-SUMIF('JUNE (물량흐름)'!$C$13:$C$493,'In-out-bal products (155)(완성제품)'!B131,'JUNE (물량흐름)'!$Y$13:$Y$493)+SUMIF('JUNE (물량흐름)'!$C$13:$C$493,'In-out-bal products (155)(완성제품)'!B131,'JUNE (물량흐름)'!$U$13:$U$493)</f>
        <v>0</v>
      </c>
      <c r="I131" s="58">
        <f t="shared" si="36"/>
        <v>0</v>
      </c>
      <c r="J131" s="58">
        <f>SUMIF('Direct labour(직접노무비)'!$C$12:$C$503,'In-out-bal products (155)(완성제품)'!B131,'Direct labour(직접노무비)'!$Q$12:$Q$503)</f>
        <v>0</v>
      </c>
      <c r="K131" s="59">
        <f>SUMIF('Overhead exp(제조경비)'!$C$12:$C$503,'In-out-bal products (155)(완성제품)'!B131,'Overhead exp(제조경비)'!$Q$12:$Q$503)</f>
        <v>0</v>
      </c>
      <c r="L131" s="58">
        <f t="shared" si="37"/>
        <v>0</v>
      </c>
      <c r="M131" s="58">
        <f>SUMIF('JUNE (물량흐름)'!$C$13:$C$488,'In-out-bal products (155)(완성제품)'!B131,'JUNE (물량흐름)'!$Y$13:$Y$488)</f>
        <v>0</v>
      </c>
      <c r="N131" s="58">
        <f t="shared" si="38"/>
        <v>0</v>
      </c>
      <c r="O131" s="58">
        <f>SUMIF('Direct labour(직접노무비)'!$C$12:$C$503,'In-out-bal products (155)(완성제품)'!B131,'Direct labour(직접노무비)'!$U$12:$U$503)+SUMIF('Overhead exp(제조경비)'!$C$12:$C$503,'In-out-bal products (155)(완성제품)'!B131,'Overhead exp(제조경비)'!$U$12:$U$503)</f>
        <v>0</v>
      </c>
      <c r="P131" s="60">
        <f t="shared" si="39"/>
        <v>0</v>
      </c>
      <c r="Q131" s="60">
        <f t="shared" si="40"/>
        <v>0</v>
      </c>
      <c r="R131" s="60">
        <f t="shared" si="41"/>
        <v>0</v>
      </c>
      <c r="S131" s="58">
        <v>0</v>
      </c>
      <c r="T131" s="58">
        <v>0</v>
      </c>
      <c r="U131" s="58">
        <v>0</v>
      </c>
      <c r="V131" s="58">
        <f>SUMIF('JUNE (물량흐름)'!$C$13:$C$493,'In-out-bal products (155)(완성제품)'!B131,'JUNE (물량흐름)'!$W$13:$W$493)</f>
        <v>0</v>
      </c>
      <c r="W131" s="58">
        <f t="shared" si="42"/>
        <v>0</v>
      </c>
      <c r="X131" s="58">
        <f t="shared" si="43"/>
        <v>0</v>
      </c>
      <c r="Y131" s="58">
        <f>SUMIF('JUNE (물량흐름)'!$C$13:$C$488,'In-out-bal products (155)(완성제품)'!B131,'JUNE (물량흐름)'!$X$13:$X$488)</f>
        <v>0</v>
      </c>
      <c r="Z131" s="58">
        <f t="shared" si="44"/>
        <v>0</v>
      </c>
      <c r="AA131" s="58">
        <f t="shared" si="45"/>
        <v>0</v>
      </c>
      <c r="AB131" s="58"/>
      <c r="AC131" s="58"/>
      <c r="AD131" s="61"/>
      <c r="AE131" s="58">
        <f t="shared" si="46"/>
        <v>0</v>
      </c>
      <c r="AF131" s="58">
        <f t="shared" si="47"/>
        <v>0</v>
      </c>
      <c r="AG131" s="61">
        <f t="shared" si="48"/>
        <v>0</v>
      </c>
      <c r="AH131" s="58">
        <v>0</v>
      </c>
      <c r="AI131" s="58">
        <v>0</v>
      </c>
      <c r="AJ131" s="61">
        <v>0</v>
      </c>
      <c r="AK131" s="58"/>
      <c r="AL131" s="58"/>
      <c r="AM131" s="61"/>
      <c r="AN131" s="61">
        <f t="shared" si="49"/>
        <v>0</v>
      </c>
      <c r="AO131" s="58">
        <f t="shared" si="50"/>
        <v>0</v>
      </c>
      <c r="AP131" s="61">
        <f t="shared" si="51"/>
        <v>0</v>
      </c>
      <c r="AQ131" s="58">
        <f t="shared" si="52"/>
        <v>0</v>
      </c>
      <c r="AR131" s="58">
        <f t="shared" si="53"/>
        <v>0</v>
      </c>
      <c r="AS131" s="58">
        <f t="shared" si="54"/>
        <v>0</v>
      </c>
      <c r="AT131" s="58">
        <f>ROUND(SUMIF('JUNE (물량흐름)'!$C$13:$C$502,'In-out-bal products (155)(완성제품)'!B131,'JUNE (물량흐름)'!$AB$13:$AB$502),0)</f>
        <v>0</v>
      </c>
      <c r="AU131" s="58">
        <f t="shared" si="55"/>
        <v>0</v>
      </c>
      <c r="AV131" s="58">
        <f>ROUND(SUMIF('JUNE (물량흐름)'!$C$13:$C$502,'In-out-bal products (155)(완성제품)'!B131,'JUNE (물량흐름)'!$AC$13:$AC$502),0)</f>
        <v>0</v>
      </c>
      <c r="AW131" s="58">
        <f t="shared" si="56"/>
        <v>0</v>
      </c>
      <c r="AX131" s="376">
        <f t="shared" si="57"/>
        <v>0</v>
      </c>
      <c r="AY131" s="377">
        <f t="shared" si="58"/>
        <v>0</v>
      </c>
      <c r="AZ131" s="377">
        <f t="shared" si="59"/>
        <v>0</v>
      </c>
      <c r="BA131" s="377">
        <f t="shared" si="60"/>
        <v>0</v>
      </c>
      <c r="BB131" s="377"/>
      <c r="BC131" s="377">
        <f t="shared" si="61"/>
        <v>0</v>
      </c>
      <c r="BD131" s="377">
        <f t="shared" si="62"/>
        <v>0</v>
      </c>
      <c r="BE131" s="377"/>
      <c r="BF131" s="377">
        <f t="shared" si="63"/>
        <v>0</v>
      </c>
      <c r="BG131" s="433">
        <f t="shared" si="64"/>
        <v>0</v>
      </c>
      <c r="BH131" s="434">
        <f t="shared" si="65"/>
        <v>0</v>
      </c>
    </row>
    <row r="132" spans="1:60" s="378" customFormat="1">
      <c r="A132" s="167">
        <v>121</v>
      </c>
      <c r="B132" s="253">
        <f>VLOOKUP(A132,'JUNE (물량흐름)'!$A$13:$C$493,3,0)</f>
        <v>69216</v>
      </c>
      <c r="C132" s="57" t="str">
        <f>VLOOKUP(A132,'JUNE (물량흐름)'!$A$13:$C$493,2,0)</f>
        <v>ALFANI</v>
      </c>
      <c r="D132" s="58">
        <f>IFERROR(VLOOKUP(B132,O.B.JUNE!$V$7:$Y$448,2,0),0)</f>
        <v>0</v>
      </c>
      <c r="E132" s="58">
        <f>IFERROR(VLOOKUP(B132,O.B.JUNE!$V$7:$X$448,3,0),0)</f>
        <v>0</v>
      </c>
      <c r="F132" s="58">
        <f>IFERROR(VLOOKUP(B132,O.B.JUNE!$V$7:$Y$448,4,0),0)</f>
        <v>0</v>
      </c>
      <c r="G132" s="58">
        <f>SUMIF('JUNE (물량흐름)'!$C$13:$C$493,'In-out-bal products (155)(완성제품)'!B132,'JUNE (물량흐름)'!$V$13:$V$493)</f>
        <v>0</v>
      </c>
      <c r="H132" s="58">
        <f>SUMIF('JUNE (물량흐름)'!$C$13:$C$493,'In-out-bal products (155)(완성제품)'!B132,'JUNE (물량흐름)'!$T$13:$T$493)-SUMIF('JUNE (물량흐름)'!$C$13:$C$493,'In-out-bal products (155)(완성제품)'!B132,'JUNE (물량흐름)'!$Y$13:$Y$493)+SUMIF('JUNE (물량흐름)'!$C$13:$C$493,'In-out-bal products (155)(완성제품)'!B132,'JUNE (물량흐름)'!$U$13:$U$493)</f>
        <v>302</v>
      </c>
      <c r="I132" s="58">
        <f t="shared" si="36"/>
        <v>12292.860927152318</v>
      </c>
      <c r="J132" s="58">
        <f>SUMIF('Direct labour(직접노무비)'!$C$12:$C$503,'In-out-bal products (155)(완성제품)'!B132,'Direct labour(직접노무비)'!$Q$12:$Q$503)</f>
        <v>1510265</v>
      </c>
      <c r="K132" s="59">
        <f>SUMIF('Overhead exp(제조경비)'!$C$12:$C$503,'In-out-bal products (155)(완성제품)'!B132,'Overhead exp(제조경비)'!$Q$12:$Q$503)</f>
        <v>2202179</v>
      </c>
      <c r="L132" s="58">
        <f t="shared" si="37"/>
        <v>3712444</v>
      </c>
      <c r="M132" s="58">
        <f>SUMIF('JUNE (물량흐름)'!$C$13:$C$488,'In-out-bal products (155)(완성제품)'!B132,'JUNE (물량흐름)'!$Y$13:$Y$488)</f>
        <v>0</v>
      </c>
      <c r="N132" s="58">
        <f t="shared" si="38"/>
        <v>0</v>
      </c>
      <c r="O132" s="58">
        <f>SUMIF('Direct labour(직접노무비)'!$C$12:$C$503,'In-out-bal products (155)(완성제품)'!B132,'Direct labour(직접노무비)'!$U$12:$U$503)+SUMIF('Overhead exp(제조경비)'!$C$12:$C$503,'In-out-bal products (155)(완성제품)'!B132,'Overhead exp(제조경비)'!$U$12:$U$503)</f>
        <v>0</v>
      </c>
      <c r="P132" s="60">
        <f t="shared" si="39"/>
        <v>302</v>
      </c>
      <c r="Q132" s="60">
        <f t="shared" si="40"/>
        <v>12292.860927152318</v>
      </c>
      <c r="R132" s="60">
        <f t="shared" si="41"/>
        <v>3712444</v>
      </c>
      <c r="S132" s="58">
        <v>0</v>
      </c>
      <c r="T132" s="58">
        <v>0</v>
      </c>
      <c r="U132" s="58">
        <v>0</v>
      </c>
      <c r="V132" s="58">
        <f>SUMIF('JUNE (물량흐름)'!$C$13:$C$493,'In-out-bal products (155)(완성제품)'!B132,'JUNE (물량흐름)'!$W$13:$W$493)</f>
        <v>0</v>
      </c>
      <c r="W132" s="58">
        <f t="shared" si="42"/>
        <v>0</v>
      </c>
      <c r="X132" s="58">
        <f t="shared" si="43"/>
        <v>0</v>
      </c>
      <c r="Y132" s="58">
        <f>SUMIF('JUNE (물량흐름)'!$C$13:$C$488,'In-out-bal products (155)(완성제품)'!B132,'JUNE (물량흐름)'!$X$13:$X$488)</f>
        <v>0</v>
      </c>
      <c r="Z132" s="58">
        <f t="shared" si="44"/>
        <v>0</v>
      </c>
      <c r="AA132" s="58">
        <f t="shared" si="45"/>
        <v>0</v>
      </c>
      <c r="AB132" s="58"/>
      <c r="AC132" s="58"/>
      <c r="AD132" s="61"/>
      <c r="AE132" s="58">
        <f t="shared" si="46"/>
        <v>0</v>
      </c>
      <c r="AF132" s="58">
        <f t="shared" si="47"/>
        <v>0</v>
      </c>
      <c r="AG132" s="61">
        <f t="shared" si="48"/>
        <v>0</v>
      </c>
      <c r="AH132" s="58">
        <v>0</v>
      </c>
      <c r="AI132" s="58">
        <v>0</v>
      </c>
      <c r="AJ132" s="61">
        <v>0</v>
      </c>
      <c r="AK132" s="58"/>
      <c r="AL132" s="58"/>
      <c r="AM132" s="61"/>
      <c r="AN132" s="61">
        <f t="shared" si="49"/>
        <v>0</v>
      </c>
      <c r="AO132" s="58">
        <f t="shared" si="50"/>
        <v>0</v>
      </c>
      <c r="AP132" s="61">
        <f t="shared" si="51"/>
        <v>0</v>
      </c>
      <c r="AQ132" s="58">
        <f t="shared" si="52"/>
        <v>302</v>
      </c>
      <c r="AR132" s="58">
        <f t="shared" si="53"/>
        <v>12292.860927152318</v>
      </c>
      <c r="AS132" s="58">
        <f t="shared" si="54"/>
        <v>3712444</v>
      </c>
      <c r="AT132" s="58">
        <f>ROUND(SUMIF('JUNE (물량흐름)'!$C$13:$C$502,'In-out-bal products (155)(완성제품)'!B132,'JUNE (물량흐름)'!$AB$13:$AB$502),0)</f>
        <v>0</v>
      </c>
      <c r="AU132" s="58">
        <f t="shared" si="55"/>
        <v>0</v>
      </c>
      <c r="AV132" s="58">
        <f>ROUND(SUMIF('JUNE (물량흐름)'!$C$13:$C$502,'In-out-bal products (155)(완성제품)'!B132,'JUNE (물량흐름)'!$AC$13:$AC$502),0)</f>
        <v>302</v>
      </c>
      <c r="AW132" s="58">
        <f t="shared" si="56"/>
        <v>3712444</v>
      </c>
      <c r="AX132" s="376">
        <f t="shared" si="57"/>
        <v>0</v>
      </c>
      <c r="AY132" s="377">
        <f t="shared" si="58"/>
        <v>0</v>
      </c>
      <c r="AZ132" s="377">
        <f t="shared" si="59"/>
        <v>0</v>
      </c>
      <c r="BA132" s="377">
        <f t="shared" si="60"/>
        <v>0</v>
      </c>
      <c r="BB132" s="377"/>
      <c r="BC132" s="377">
        <f t="shared" si="61"/>
        <v>0</v>
      </c>
      <c r="BD132" s="377">
        <f t="shared" si="62"/>
        <v>0</v>
      </c>
      <c r="BE132" s="377"/>
      <c r="BF132" s="377">
        <f t="shared" si="63"/>
        <v>0</v>
      </c>
      <c r="BG132" s="433">
        <f t="shared" si="64"/>
        <v>0</v>
      </c>
      <c r="BH132" s="434">
        <f t="shared" si="65"/>
        <v>0</v>
      </c>
    </row>
    <row r="133" spans="1:60" s="378" customFormat="1">
      <c r="A133" s="167">
        <v>123</v>
      </c>
      <c r="B133" s="253">
        <f>VLOOKUP(A133,'JUNE (물량흐름)'!$A$13:$C$493,3,0)</f>
        <v>451230</v>
      </c>
      <c r="C133" s="57" t="str">
        <f>VLOOKUP(A133,'JUNE (물량흐름)'!$A$13:$C$493,2,0)</f>
        <v>ANN TAYLOR</v>
      </c>
      <c r="D133" s="58">
        <f>IFERROR(VLOOKUP(B133,O.B.JUNE!$V$7:$Y$448,2,0),0)</f>
        <v>0</v>
      </c>
      <c r="E133" s="58">
        <f>IFERROR(VLOOKUP(B133,O.B.JUNE!$V$7:$X$448,3,0),0)</f>
        <v>0</v>
      </c>
      <c r="F133" s="58">
        <f>IFERROR(VLOOKUP(B133,O.B.JUNE!$V$7:$Y$448,4,0),0)</f>
        <v>0</v>
      </c>
      <c r="G133" s="58">
        <f>SUMIF('JUNE (물량흐름)'!$C$13:$C$493,'In-out-bal products (155)(완성제품)'!B133,'JUNE (물량흐름)'!$V$13:$V$493)</f>
        <v>0</v>
      </c>
      <c r="H133" s="58">
        <f>SUMIF('JUNE (물량흐름)'!$C$13:$C$493,'In-out-bal products (155)(완성제품)'!B133,'JUNE (물량흐름)'!$T$13:$T$493)-SUMIF('JUNE (물량흐름)'!$C$13:$C$493,'In-out-bal products (155)(완성제품)'!B133,'JUNE (물량흐름)'!$Y$13:$Y$493)+SUMIF('JUNE (물량흐름)'!$C$13:$C$493,'In-out-bal products (155)(완성제품)'!B133,'JUNE (물량흐름)'!$U$13:$U$493)</f>
        <v>866</v>
      </c>
      <c r="I133" s="58">
        <f t="shared" si="36"/>
        <v>15993.355658198614</v>
      </c>
      <c r="J133" s="58">
        <f>SUMIF('Direct labour(직접노무비)'!$C$12:$C$503,'In-out-bal products (155)(완성제품)'!B133,'Direct labour(직접노무비)'!$Q$12:$Q$503)</f>
        <v>9820745</v>
      </c>
      <c r="K133" s="59">
        <f>SUMIF('Overhead exp(제조경비)'!$C$12:$C$503,'In-out-bal products (155)(완성제품)'!B133,'Overhead exp(제조경비)'!$Q$12:$Q$503)</f>
        <v>4029501</v>
      </c>
      <c r="L133" s="58">
        <f t="shared" si="37"/>
        <v>13850246</v>
      </c>
      <c r="M133" s="58">
        <f>SUMIF('JUNE (물량흐름)'!$C$13:$C$488,'In-out-bal products (155)(완성제품)'!B133,'JUNE (물량흐름)'!$Y$13:$Y$488)</f>
        <v>0</v>
      </c>
      <c r="N133" s="58">
        <f t="shared" si="38"/>
        <v>0</v>
      </c>
      <c r="O133" s="58">
        <f>SUMIF('Direct labour(직접노무비)'!$C$12:$C$503,'In-out-bal products (155)(완성제품)'!B133,'Direct labour(직접노무비)'!$U$12:$U$503)+SUMIF('Overhead exp(제조경비)'!$C$12:$C$503,'In-out-bal products (155)(완성제품)'!B133,'Overhead exp(제조경비)'!$U$12:$U$503)</f>
        <v>0</v>
      </c>
      <c r="P133" s="60">
        <f t="shared" si="39"/>
        <v>866</v>
      </c>
      <c r="Q133" s="60">
        <f t="shared" si="40"/>
        <v>15993.355658198614</v>
      </c>
      <c r="R133" s="60">
        <f t="shared" si="41"/>
        <v>13850246</v>
      </c>
      <c r="S133" s="58">
        <v>0</v>
      </c>
      <c r="T133" s="58">
        <v>0</v>
      </c>
      <c r="U133" s="58">
        <v>0</v>
      </c>
      <c r="V133" s="58">
        <f>SUMIF('JUNE (물량흐름)'!$C$13:$C$493,'In-out-bal products (155)(완성제품)'!B133,'JUNE (물량흐름)'!$W$13:$W$493)</f>
        <v>0</v>
      </c>
      <c r="W133" s="58">
        <f t="shared" si="42"/>
        <v>0</v>
      </c>
      <c r="X133" s="58">
        <f t="shared" si="43"/>
        <v>0</v>
      </c>
      <c r="Y133" s="58">
        <f>SUMIF('JUNE (물량흐름)'!$C$13:$C$488,'In-out-bal products (155)(완성제품)'!B133,'JUNE (물량흐름)'!$X$13:$X$488)</f>
        <v>0</v>
      </c>
      <c r="Z133" s="58">
        <f t="shared" si="44"/>
        <v>0</v>
      </c>
      <c r="AA133" s="58">
        <f t="shared" si="45"/>
        <v>0</v>
      </c>
      <c r="AB133" s="58"/>
      <c r="AC133" s="58"/>
      <c r="AD133" s="61"/>
      <c r="AE133" s="58">
        <f t="shared" si="46"/>
        <v>0</v>
      </c>
      <c r="AF133" s="58">
        <f t="shared" si="47"/>
        <v>0</v>
      </c>
      <c r="AG133" s="61">
        <f t="shared" si="48"/>
        <v>0</v>
      </c>
      <c r="AH133" s="58">
        <v>0</v>
      </c>
      <c r="AI133" s="58">
        <v>0</v>
      </c>
      <c r="AJ133" s="61">
        <v>0</v>
      </c>
      <c r="AK133" s="58"/>
      <c r="AL133" s="58"/>
      <c r="AM133" s="61"/>
      <c r="AN133" s="61">
        <f t="shared" si="49"/>
        <v>0</v>
      </c>
      <c r="AO133" s="58">
        <f t="shared" si="50"/>
        <v>0</v>
      </c>
      <c r="AP133" s="61">
        <f t="shared" si="51"/>
        <v>0</v>
      </c>
      <c r="AQ133" s="58">
        <f t="shared" si="52"/>
        <v>866</v>
      </c>
      <c r="AR133" s="58">
        <f t="shared" si="53"/>
        <v>15993.355658198614</v>
      </c>
      <c r="AS133" s="58">
        <f t="shared" si="54"/>
        <v>13850246</v>
      </c>
      <c r="AT133" s="58">
        <f>ROUND(SUMIF('JUNE (물량흐름)'!$C$13:$C$502,'In-out-bal products (155)(완성제품)'!B133,'JUNE (물량흐름)'!$AB$13:$AB$502),0)</f>
        <v>0</v>
      </c>
      <c r="AU133" s="58">
        <f t="shared" si="55"/>
        <v>0</v>
      </c>
      <c r="AV133" s="58">
        <f>ROUND(SUMIF('JUNE (물량흐름)'!$C$13:$C$502,'In-out-bal products (155)(완성제품)'!B133,'JUNE (물량흐름)'!$AC$13:$AC$502),0)</f>
        <v>866</v>
      </c>
      <c r="AW133" s="58">
        <f t="shared" si="56"/>
        <v>13850246</v>
      </c>
      <c r="AX133" s="376">
        <f t="shared" si="57"/>
        <v>0</v>
      </c>
      <c r="AY133" s="377">
        <f t="shared" si="58"/>
        <v>0</v>
      </c>
      <c r="AZ133" s="377">
        <f t="shared" si="59"/>
        <v>0</v>
      </c>
      <c r="BA133" s="377">
        <f t="shared" si="60"/>
        <v>0</v>
      </c>
      <c r="BB133" s="377"/>
      <c r="BC133" s="377">
        <f t="shared" si="61"/>
        <v>0</v>
      </c>
      <c r="BD133" s="377">
        <f t="shared" si="62"/>
        <v>0</v>
      </c>
      <c r="BE133" s="377"/>
      <c r="BF133" s="377">
        <f t="shared" si="63"/>
        <v>0</v>
      </c>
      <c r="BG133" s="433">
        <f t="shared" si="64"/>
        <v>0</v>
      </c>
      <c r="BH133" s="434">
        <f t="shared" si="65"/>
        <v>0</v>
      </c>
    </row>
    <row r="134" spans="1:60" s="378" customFormat="1">
      <c r="A134" s="167">
        <v>124</v>
      </c>
      <c r="B134" s="253">
        <f>VLOOKUP(A134,'JUNE (물량흐름)'!$A$13:$C$493,3,0)</f>
        <v>451311</v>
      </c>
      <c r="C134" s="57" t="str">
        <f>VLOOKUP(A134,'JUNE (물량흐름)'!$A$13:$C$493,2,0)</f>
        <v>ANN TAYLOR</v>
      </c>
      <c r="D134" s="58">
        <f>IFERROR(VLOOKUP(B134,O.B.JUNE!$V$7:$Y$448,2,0),0)</f>
        <v>0</v>
      </c>
      <c r="E134" s="58">
        <f>IFERROR(VLOOKUP(B134,O.B.JUNE!$V$7:$X$448,3,0),0)</f>
        <v>0</v>
      </c>
      <c r="F134" s="58">
        <f>IFERROR(VLOOKUP(B134,O.B.JUNE!$V$7:$Y$448,4,0),0)</f>
        <v>0</v>
      </c>
      <c r="G134" s="58">
        <f>SUMIF('JUNE (물량흐름)'!$C$13:$C$493,'In-out-bal products (155)(완성제품)'!B134,'JUNE (물량흐름)'!$V$13:$V$493)</f>
        <v>0</v>
      </c>
      <c r="H134" s="58">
        <f>SUMIF('JUNE (물량흐름)'!$C$13:$C$493,'In-out-bal products (155)(완성제품)'!B134,'JUNE (물량흐름)'!$T$13:$T$493)-SUMIF('JUNE (물량흐름)'!$C$13:$C$493,'In-out-bal products (155)(완성제품)'!B134,'JUNE (물량흐름)'!$Y$13:$Y$493)+SUMIF('JUNE (물량흐름)'!$C$13:$C$493,'In-out-bal products (155)(완성제품)'!B134,'JUNE (물량흐름)'!$U$13:$U$493)</f>
        <v>292</v>
      </c>
      <c r="I134" s="58">
        <f t="shared" si="36"/>
        <v>8896.2431506849316</v>
      </c>
      <c r="J134" s="58">
        <f>SUMIF('Direct labour(직접노무비)'!$C$12:$C$503,'In-out-bal products (155)(완성제품)'!B134,'Direct labour(직접노무비)'!$Q$12:$Q$503)</f>
        <v>1091696</v>
      </c>
      <c r="K134" s="59">
        <f>SUMIF('Overhead exp(제조경비)'!$C$12:$C$503,'In-out-bal products (155)(완성제품)'!B134,'Overhead exp(제조경비)'!$Q$12:$Q$503)</f>
        <v>1506007</v>
      </c>
      <c r="L134" s="58">
        <f t="shared" si="37"/>
        <v>2597703</v>
      </c>
      <c r="M134" s="58">
        <f>SUMIF('JUNE (물량흐름)'!$C$13:$C$488,'In-out-bal products (155)(완성제품)'!B134,'JUNE (물량흐름)'!$Y$13:$Y$488)</f>
        <v>0</v>
      </c>
      <c r="N134" s="58">
        <f t="shared" si="38"/>
        <v>0</v>
      </c>
      <c r="O134" s="58">
        <f>SUMIF('Direct labour(직접노무비)'!$C$12:$C$503,'In-out-bal products (155)(완성제품)'!B134,'Direct labour(직접노무비)'!$U$12:$U$503)+SUMIF('Overhead exp(제조경비)'!$C$12:$C$503,'In-out-bal products (155)(완성제품)'!B134,'Overhead exp(제조경비)'!$U$12:$U$503)</f>
        <v>0</v>
      </c>
      <c r="P134" s="60">
        <f t="shared" si="39"/>
        <v>292</v>
      </c>
      <c r="Q134" s="60">
        <f t="shared" si="40"/>
        <v>8896.2431506849316</v>
      </c>
      <c r="R134" s="60">
        <f t="shared" si="41"/>
        <v>2597703</v>
      </c>
      <c r="S134" s="58">
        <v>0</v>
      </c>
      <c r="T134" s="58">
        <v>0</v>
      </c>
      <c r="U134" s="58">
        <v>0</v>
      </c>
      <c r="V134" s="58">
        <f>SUMIF('JUNE (물량흐름)'!$C$13:$C$493,'In-out-bal products (155)(완성제품)'!B134,'JUNE (물량흐름)'!$W$13:$W$493)</f>
        <v>0</v>
      </c>
      <c r="W134" s="58">
        <f t="shared" si="42"/>
        <v>0</v>
      </c>
      <c r="X134" s="58">
        <f t="shared" si="43"/>
        <v>0</v>
      </c>
      <c r="Y134" s="58">
        <f>SUMIF('JUNE (물량흐름)'!$C$13:$C$488,'In-out-bal products (155)(완성제품)'!B134,'JUNE (물량흐름)'!$X$13:$X$488)</f>
        <v>0</v>
      </c>
      <c r="Z134" s="58">
        <f t="shared" si="44"/>
        <v>0</v>
      </c>
      <c r="AA134" s="58">
        <f t="shared" si="45"/>
        <v>0</v>
      </c>
      <c r="AB134" s="58"/>
      <c r="AC134" s="58"/>
      <c r="AD134" s="61"/>
      <c r="AE134" s="58">
        <f t="shared" si="46"/>
        <v>0</v>
      </c>
      <c r="AF134" s="58">
        <f t="shared" si="47"/>
        <v>0</v>
      </c>
      <c r="AG134" s="61">
        <f t="shared" si="48"/>
        <v>0</v>
      </c>
      <c r="AH134" s="58">
        <v>0</v>
      </c>
      <c r="AI134" s="58">
        <v>0</v>
      </c>
      <c r="AJ134" s="61">
        <v>0</v>
      </c>
      <c r="AK134" s="58"/>
      <c r="AL134" s="58"/>
      <c r="AM134" s="61"/>
      <c r="AN134" s="61">
        <f t="shared" si="49"/>
        <v>0</v>
      </c>
      <c r="AO134" s="58">
        <f t="shared" si="50"/>
        <v>0</v>
      </c>
      <c r="AP134" s="61">
        <f t="shared" si="51"/>
        <v>0</v>
      </c>
      <c r="AQ134" s="58">
        <f t="shared" si="52"/>
        <v>292</v>
      </c>
      <c r="AR134" s="58">
        <f t="shared" si="53"/>
        <v>8896.2431506849316</v>
      </c>
      <c r="AS134" s="58">
        <f t="shared" si="54"/>
        <v>2597703</v>
      </c>
      <c r="AT134" s="58">
        <f>ROUND(SUMIF('JUNE (물량흐름)'!$C$13:$C$502,'In-out-bal products (155)(완성제품)'!B134,'JUNE (물량흐름)'!$AB$13:$AB$502),0)</f>
        <v>0</v>
      </c>
      <c r="AU134" s="58">
        <f t="shared" si="55"/>
        <v>0</v>
      </c>
      <c r="AV134" s="58">
        <f>ROUND(SUMIF('JUNE (물량흐름)'!$C$13:$C$502,'In-out-bal products (155)(완성제품)'!B134,'JUNE (물량흐름)'!$AC$13:$AC$502),0)</f>
        <v>292</v>
      </c>
      <c r="AW134" s="58">
        <f t="shared" si="56"/>
        <v>2597703</v>
      </c>
      <c r="AX134" s="376">
        <f t="shared" si="57"/>
        <v>0</v>
      </c>
      <c r="AY134" s="377">
        <f t="shared" si="58"/>
        <v>0</v>
      </c>
      <c r="AZ134" s="377">
        <f t="shared" si="59"/>
        <v>0</v>
      </c>
      <c r="BA134" s="377">
        <f t="shared" si="60"/>
        <v>0</v>
      </c>
      <c r="BB134" s="377"/>
      <c r="BC134" s="377">
        <f t="shared" si="61"/>
        <v>0</v>
      </c>
      <c r="BD134" s="377">
        <f t="shared" si="62"/>
        <v>0</v>
      </c>
      <c r="BE134" s="377"/>
      <c r="BF134" s="377">
        <f t="shared" si="63"/>
        <v>0</v>
      </c>
      <c r="BG134" s="433">
        <f t="shared" si="64"/>
        <v>0</v>
      </c>
      <c r="BH134" s="434">
        <f t="shared" si="65"/>
        <v>0</v>
      </c>
    </row>
    <row r="135" spans="1:60" s="378" customFormat="1">
      <c r="A135" s="167">
        <v>125</v>
      </c>
      <c r="B135" s="253">
        <f>VLOOKUP(A135,'JUNE (물량흐름)'!$A$13:$C$493,3,0)</f>
        <v>451365</v>
      </c>
      <c r="C135" s="57" t="str">
        <f>VLOOKUP(A135,'JUNE (물량흐름)'!$A$13:$C$493,2,0)</f>
        <v>ANN TAYLOR</v>
      </c>
      <c r="D135" s="58">
        <f>IFERROR(VLOOKUP(B135,O.B.JUNE!$V$7:$Y$448,2,0),0)</f>
        <v>0</v>
      </c>
      <c r="E135" s="58">
        <f>IFERROR(VLOOKUP(B135,O.B.JUNE!$V$7:$X$448,3,0),0)</f>
        <v>0</v>
      </c>
      <c r="F135" s="58">
        <f>IFERROR(VLOOKUP(B135,O.B.JUNE!$V$7:$Y$448,4,0),0)</f>
        <v>0</v>
      </c>
      <c r="G135" s="58">
        <f>SUMIF('JUNE (물량흐름)'!$C$13:$C$493,'In-out-bal products (155)(완성제품)'!B135,'JUNE (물량흐름)'!$V$13:$V$493)</f>
        <v>0</v>
      </c>
      <c r="H135" s="58">
        <f>SUMIF('JUNE (물량흐름)'!$C$13:$C$493,'In-out-bal products (155)(완성제품)'!B135,'JUNE (물량흐름)'!$T$13:$T$493)-SUMIF('JUNE (물량흐름)'!$C$13:$C$493,'In-out-bal products (155)(완성제품)'!B135,'JUNE (물량흐름)'!$Y$13:$Y$493)+SUMIF('JUNE (물량흐름)'!$C$13:$C$493,'In-out-bal products (155)(완성제품)'!B135,'JUNE (물량흐름)'!$U$13:$U$493)</f>
        <v>386</v>
      </c>
      <c r="I135" s="58">
        <f t="shared" si="36"/>
        <v>9289.4896373056999</v>
      </c>
      <c r="J135" s="58">
        <f>SUMIF('Direct labour(직접노무비)'!$C$12:$C$503,'In-out-bal products (155)(완성제품)'!B135,'Direct labour(직접노무비)'!$Q$12:$Q$503)</f>
        <v>1470591</v>
      </c>
      <c r="K135" s="59">
        <f>SUMIF('Overhead exp(제조경비)'!$C$12:$C$503,'In-out-bal products (155)(완성제품)'!B135,'Overhead exp(제조경비)'!$Q$12:$Q$503)</f>
        <v>2115152</v>
      </c>
      <c r="L135" s="58">
        <f t="shared" si="37"/>
        <v>3585743</v>
      </c>
      <c r="M135" s="58">
        <f>SUMIF('JUNE (물량흐름)'!$C$13:$C$488,'In-out-bal products (155)(완성제품)'!B135,'JUNE (물량흐름)'!$Y$13:$Y$488)</f>
        <v>0</v>
      </c>
      <c r="N135" s="58">
        <f t="shared" si="38"/>
        <v>0</v>
      </c>
      <c r="O135" s="58">
        <f>SUMIF('Direct labour(직접노무비)'!$C$12:$C$503,'In-out-bal products (155)(완성제품)'!B135,'Direct labour(직접노무비)'!$U$12:$U$503)+SUMIF('Overhead exp(제조경비)'!$C$12:$C$503,'In-out-bal products (155)(완성제품)'!B135,'Overhead exp(제조경비)'!$U$12:$U$503)</f>
        <v>0</v>
      </c>
      <c r="P135" s="60">
        <f t="shared" si="39"/>
        <v>386</v>
      </c>
      <c r="Q135" s="60">
        <f t="shared" si="40"/>
        <v>9289.4896373056999</v>
      </c>
      <c r="R135" s="60">
        <f t="shared" si="41"/>
        <v>3585743</v>
      </c>
      <c r="S135" s="58">
        <v>0</v>
      </c>
      <c r="T135" s="58">
        <v>0</v>
      </c>
      <c r="U135" s="58">
        <v>0</v>
      </c>
      <c r="V135" s="58">
        <f>SUMIF('JUNE (물량흐름)'!$C$13:$C$493,'In-out-bal products (155)(완성제품)'!B135,'JUNE (물량흐름)'!$W$13:$W$493)</f>
        <v>0</v>
      </c>
      <c r="W135" s="58">
        <f t="shared" si="42"/>
        <v>0</v>
      </c>
      <c r="X135" s="58">
        <f t="shared" si="43"/>
        <v>0</v>
      </c>
      <c r="Y135" s="58">
        <f>SUMIF('JUNE (물량흐름)'!$C$13:$C$488,'In-out-bal products (155)(완성제품)'!B135,'JUNE (물량흐름)'!$X$13:$X$488)</f>
        <v>0</v>
      </c>
      <c r="Z135" s="58">
        <f t="shared" si="44"/>
        <v>0</v>
      </c>
      <c r="AA135" s="58">
        <f t="shared" si="45"/>
        <v>0</v>
      </c>
      <c r="AB135" s="58"/>
      <c r="AC135" s="58"/>
      <c r="AD135" s="61"/>
      <c r="AE135" s="58">
        <f t="shared" si="46"/>
        <v>0</v>
      </c>
      <c r="AF135" s="58">
        <f t="shared" si="47"/>
        <v>0</v>
      </c>
      <c r="AG135" s="61">
        <f t="shared" si="48"/>
        <v>0</v>
      </c>
      <c r="AH135" s="58">
        <v>0</v>
      </c>
      <c r="AI135" s="58">
        <v>0</v>
      </c>
      <c r="AJ135" s="61">
        <v>0</v>
      </c>
      <c r="AK135" s="58"/>
      <c r="AL135" s="58"/>
      <c r="AM135" s="61"/>
      <c r="AN135" s="61">
        <f t="shared" si="49"/>
        <v>0</v>
      </c>
      <c r="AO135" s="58">
        <f t="shared" si="50"/>
        <v>0</v>
      </c>
      <c r="AP135" s="61">
        <f t="shared" si="51"/>
        <v>0</v>
      </c>
      <c r="AQ135" s="58">
        <f t="shared" si="52"/>
        <v>386</v>
      </c>
      <c r="AR135" s="58">
        <f t="shared" si="53"/>
        <v>9289.4896373056999</v>
      </c>
      <c r="AS135" s="58">
        <f t="shared" si="54"/>
        <v>3585743</v>
      </c>
      <c r="AT135" s="58">
        <f>ROUND(SUMIF('JUNE (물량흐름)'!$C$13:$C$502,'In-out-bal products (155)(완성제품)'!B135,'JUNE (물량흐름)'!$AB$13:$AB$502),0)</f>
        <v>0</v>
      </c>
      <c r="AU135" s="58">
        <f t="shared" si="55"/>
        <v>0</v>
      </c>
      <c r="AV135" s="58">
        <f>ROUND(SUMIF('JUNE (물량흐름)'!$C$13:$C$502,'In-out-bal products (155)(완성제품)'!B135,'JUNE (물량흐름)'!$AC$13:$AC$502),0)</f>
        <v>386</v>
      </c>
      <c r="AW135" s="58">
        <f t="shared" si="56"/>
        <v>3585743</v>
      </c>
      <c r="AX135" s="376">
        <f t="shared" si="57"/>
        <v>0</v>
      </c>
      <c r="AY135" s="377">
        <f t="shared" si="58"/>
        <v>0</v>
      </c>
      <c r="AZ135" s="377">
        <f t="shared" si="59"/>
        <v>0</v>
      </c>
      <c r="BA135" s="377">
        <f t="shared" si="60"/>
        <v>0</v>
      </c>
      <c r="BB135" s="377"/>
      <c r="BC135" s="377">
        <f t="shared" si="61"/>
        <v>0</v>
      </c>
      <c r="BD135" s="377">
        <f t="shared" si="62"/>
        <v>0</v>
      </c>
      <c r="BE135" s="377"/>
      <c r="BF135" s="377">
        <f t="shared" si="63"/>
        <v>0</v>
      </c>
      <c r="BG135" s="433">
        <f t="shared" si="64"/>
        <v>0</v>
      </c>
      <c r="BH135" s="434">
        <f t="shared" si="65"/>
        <v>0</v>
      </c>
    </row>
    <row r="136" spans="1:60" s="378" customFormat="1">
      <c r="A136" s="167">
        <v>126</v>
      </c>
      <c r="B136" s="253">
        <f>VLOOKUP(A136,'JUNE (물량흐름)'!$A$13:$C$493,3,0)</f>
        <v>453089</v>
      </c>
      <c r="C136" s="57" t="str">
        <f>VLOOKUP(A136,'JUNE (물량흐름)'!$A$13:$C$493,2,0)</f>
        <v>ANN TAYLOR</v>
      </c>
      <c r="D136" s="58">
        <f>IFERROR(VLOOKUP(B136,O.B.JUNE!$V$7:$Y$448,2,0),0)</f>
        <v>0</v>
      </c>
      <c r="E136" s="58">
        <f>IFERROR(VLOOKUP(B136,O.B.JUNE!$V$7:$X$448,3,0),0)</f>
        <v>0</v>
      </c>
      <c r="F136" s="58">
        <f>IFERROR(VLOOKUP(B136,O.B.JUNE!$V$7:$Y$448,4,0),0)</f>
        <v>0</v>
      </c>
      <c r="G136" s="58">
        <f>SUMIF('JUNE (물량흐름)'!$C$13:$C$493,'In-out-bal products (155)(완성제품)'!B136,'JUNE (물량흐름)'!$V$13:$V$493)</f>
        <v>0</v>
      </c>
      <c r="H136" s="58">
        <f>SUMIF('JUNE (물량흐름)'!$C$13:$C$493,'In-out-bal products (155)(완성제품)'!B136,'JUNE (물량흐름)'!$T$13:$T$493)-SUMIF('JUNE (물량흐름)'!$C$13:$C$493,'In-out-bal products (155)(완성제품)'!B136,'JUNE (물량흐름)'!$Y$13:$Y$493)+SUMIF('JUNE (물량흐름)'!$C$13:$C$493,'In-out-bal products (155)(완성제품)'!B136,'JUNE (물량흐름)'!$U$13:$U$493)</f>
        <v>323</v>
      </c>
      <c r="I136" s="58">
        <f t="shared" si="36"/>
        <v>10108.84520123839</v>
      </c>
      <c r="J136" s="58">
        <f>SUMIF('Direct labour(직접노무비)'!$C$12:$C$503,'In-out-bal products (155)(완성제품)'!B136,'Direct labour(직접노무비)'!$Q$12:$Q$503)</f>
        <v>1289573</v>
      </c>
      <c r="K136" s="59">
        <f>SUMIF('Overhead exp(제조경비)'!$C$12:$C$503,'In-out-bal products (155)(완성제품)'!B136,'Overhead exp(제조경비)'!$Q$12:$Q$503)</f>
        <v>1975584</v>
      </c>
      <c r="L136" s="58">
        <f t="shared" si="37"/>
        <v>3265157</v>
      </c>
      <c r="M136" s="58">
        <f>SUMIF('JUNE (물량흐름)'!$C$13:$C$488,'In-out-bal products (155)(완성제품)'!B136,'JUNE (물량흐름)'!$Y$13:$Y$488)</f>
        <v>0</v>
      </c>
      <c r="N136" s="58">
        <f t="shared" si="38"/>
        <v>0</v>
      </c>
      <c r="O136" s="58">
        <f>SUMIF('Direct labour(직접노무비)'!$C$12:$C$503,'In-out-bal products (155)(완성제품)'!B136,'Direct labour(직접노무비)'!$U$12:$U$503)+SUMIF('Overhead exp(제조경비)'!$C$12:$C$503,'In-out-bal products (155)(완성제품)'!B136,'Overhead exp(제조경비)'!$U$12:$U$503)</f>
        <v>0</v>
      </c>
      <c r="P136" s="60">
        <f t="shared" si="39"/>
        <v>323</v>
      </c>
      <c r="Q136" s="60">
        <f t="shared" si="40"/>
        <v>10108.84520123839</v>
      </c>
      <c r="R136" s="60">
        <f t="shared" si="41"/>
        <v>3265157</v>
      </c>
      <c r="S136" s="58">
        <v>0</v>
      </c>
      <c r="T136" s="58">
        <v>0</v>
      </c>
      <c r="U136" s="58">
        <v>0</v>
      </c>
      <c r="V136" s="58">
        <f>SUMIF('JUNE (물량흐름)'!$C$13:$C$493,'In-out-bal products (155)(완성제품)'!B136,'JUNE (물량흐름)'!$W$13:$W$493)</f>
        <v>0</v>
      </c>
      <c r="W136" s="58">
        <f t="shared" si="42"/>
        <v>0</v>
      </c>
      <c r="X136" s="58">
        <f t="shared" si="43"/>
        <v>0</v>
      </c>
      <c r="Y136" s="58">
        <f>SUMIF('JUNE (물량흐름)'!$C$13:$C$488,'In-out-bal products (155)(완성제품)'!B136,'JUNE (물량흐름)'!$X$13:$X$488)</f>
        <v>0</v>
      </c>
      <c r="Z136" s="58">
        <f t="shared" si="44"/>
        <v>0</v>
      </c>
      <c r="AA136" s="58">
        <f t="shared" si="45"/>
        <v>0</v>
      </c>
      <c r="AB136" s="58"/>
      <c r="AC136" s="58"/>
      <c r="AD136" s="61"/>
      <c r="AE136" s="58">
        <f t="shared" si="46"/>
        <v>0</v>
      </c>
      <c r="AF136" s="58">
        <f t="shared" si="47"/>
        <v>0</v>
      </c>
      <c r="AG136" s="61">
        <f t="shared" si="48"/>
        <v>0</v>
      </c>
      <c r="AH136" s="58">
        <v>0</v>
      </c>
      <c r="AI136" s="58">
        <v>0</v>
      </c>
      <c r="AJ136" s="61">
        <v>0</v>
      </c>
      <c r="AK136" s="58"/>
      <c r="AL136" s="58"/>
      <c r="AM136" s="61"/>
      <c r="AN136" s="61">
        <f t="shared" si="49"/>
        <v>0</v>
      </c>
      <c r="AO136" s="58">
        <f t="shared" si="50"/>
        <v>0</v>
      </c>
      <c r="AP136" s="61">
        <f t="shared" si="51"/>
        <v>0</v>
      </c>
      <c r="AQ136" s="58">
        <f t="shared" si="52"/>
        <v>323</v>
      </c>
      <c r="AR136" s="58">
        <f t="shared" si="53"/>
        <v>10108.84520123839</v>
      </c>
      <c r="AS136" s="58">
        <f t="shared" si="54"/>
        <v>3265157</v>
      </c>
      <c r="AT136" s="58">
        <f>ROUND(SUMIF('JUNE (물량흐름)'!$C$13:$C$502,'In-out-bal products (155)(완성제품)'!B136,'JUNE (물량흐름)'!$AB$13:$AB$502),0)</f>
        <v>0</v>
      </c>
      <c r="AU136" s="58">
        <f t="shared" si="55"/>
        <v>0</v>
      </c>
      <c r="AV136" s="58">
        <f>ROUND(SUMIF('JUNE (물량흐름)'!$C$13:$C$502,'In-out-bal products (155)(완성제품)'!B136,'JUNE (물량흐름)'!$AC$13:$AC$502),0)</f>
        <v>323</v>
      </c>
      <c r="AW136" s="58">
        <f t="shared" si="56"/>
        <v>3265157</v>
      </c>
      <c r="AX136" s="376">
        <f t="shared" si="57"/>
        <v>0</v>
      </c>
      <c r="AY136" s="377">
        <f t="shared" si="58"/>
        <v>0</v>
      </c>
      <c r="AZ136" s="377">
        <f t="shared" si="59"/>
        <v>0</v>
      </c>
      <c r="BA136" s="377">
        <f t="shared" si="60"/>
        <v>0</v>
      </c>
      <c r="BB136" s="377"/>
      <c r="BC136" s="377">
        <f t="shared" si="61"/>
        <v>0</v>
      </c>
      <c r="BD136" s="377">
        <f t="shared" si="62"/>
        <v>0</v>
      </c>
      <c r="BE136" s="377"/>
      <c r="BF136" s="377">
        <f t="shared" si="63"/>
        <v>0</v>
      </c>
      <c r="BG136" s="433">
        <f t="shared" si="64"/>
        <v>0</v>
      </c>
      <c r="BH136" s="434">
        <f t="shared" si="65"/>
        <v>0</v>
      </c>
    </row>
    <row r="137" spans="1:60" s="378" customFormat="1">
      <c r="A137" s="167">
        <v>127</v>
      </c>
      <c r="B137" s="253" t="str">
        <f>VLOOKUP(A137,'JUNE (물량흐름)'!$A$13:$C$493,3,0)</f>
        <v>453289(456581)</v>
      </c>
      <c r="C137" s="57" t="str">
        <f>VLOOKUP(A137,'JUNE (물량흐름)'!$A$13:$C$493,2,0)</f>
        <v>ANN TAYLOR</v>
      </c>
      <c r="D137" s="58">
        <f>IFERROR(VLOOKUP(B137,O.B.JUNE!$V$7:$Y$448,2,0),0)</f>
        <v>0</v>
      </c>
      <c r="E137" s="58">
        <f>IFERROR(VLOOKUP(B137,O.B.JUNE!$V$7:$X$448,3,0),0)</f>
        <v>0</v>
      </c>
      <c r="F137" s="58">
        <f>IFERROR(VLOOKUP(B137,O.B.JUNE!$V$7:$Y$448,4,0),0)</f>
        <v>0</v>
      </c>
      <c r="G137" s="58">
        <f>SUMIF('JUNE (물량흐름)'!$C$13:$C$493,'In-out-bal products (155)(완성제품)'!B137,'JUNE (물량흐름)'!$V$13:$V$493)</f>
        <v>0</v>
      </c>
      <c r="H137" s="58">
        <f>SUMIF('JUNE (물량흐름)'!$C$13:$C$493,'In-out-bal products (155)(완성제품)'!B137,'JUNE (물량흐름)'!$T$13:$T$493)-SUMIF('JUNE (물량흐름)'!$C$13:$C$493,'In-out-bal products (155)(완성제품)'!B137,'JUNE (물량흐름)'!$Y$13:$Y$493)+SUMIF('JUNE (물량흐름)'!$C$13:$C$493,'In-out-bal products (155)(완성제품)'!B137,'JUNE (물량흐름)'!$U$13:$U$493)</f>
        <v>151</v>
      </c>
      <c r="I137" s="58">
        <f t="shared" si="36"/>
        <v>22977.066225165563</v>
      </c>
      <c r="J137" s="58">
        <f>SUMIF('Direct labour(직접노무비)'!$C$12:$C$503,'In-out-bal products (155)(완성제품)'!B137,'Direct labour(직접노무비)'!$Q$12:$Q$503)</f>
        <v>1370293</v>
      </c>
      <c r="K137" s="59">
        <f>SUMIF('Overhead exp(제조경비)'!$C$12:$C$503,'In-out-bal products (155)(완성제품)'!B137,'Overhead exp(제조경비)'!$Q$12:$Q$503)</f>
        <v>2099244</v>
      </c>
      <c r="L137" s="58">
        <f t="shared" si="37"/>
        <v>3469537</v>
      </c>
      <c r="M137" s="58">
        <f>SUMIF('JUNE (물량흐름)'!$C$13:$C$488,'In-out-bal products (155)(완성제품)'!B137,'JUNE (물량흐름)'!$Y$13:$Y$488)</f>
        <v>0</v>
      </c>
      <c r="N137" s="58">
        <f t="shared" si="38"/>
        <v>0</v>
      </c>
      <c r="O137" s="58">
        <f>SUMIF('Direct labour(직접노무비)'!$C$12:$C$503,'In-out-bal products (155)(완성제품)'!B137,'Direct labour(직접노무비)'!$U$12:$U$503)+SUMIF('Overhead exp(제조경비)'!$C$12:$C$503,'In-out-bal products (155)(완성제품)'!B137,'Overhead exp(제조경비)'!$U$12:$U$503)</f>
        <v>0</v>
      </c>
      <c r="P137" s="60">
        <f t="shared" si="39"/>
        <v>151</v>
      </c>
      <c r="Q137" s="60">
        <f t="shared" si="40"/>
        <v>22977.066225165563</v>
      </c>
      <c r="R137" s="60">
        <f t="shared" si="41"/>
        <v>3469537</v>
      </c>
      <c r="S137" s="58">
        <v>0</v>
      </c>
      <c r="T137" s="58">
        <v>0</v>
      </c>
      <c r="U137" s="58">
        <v>0</v>
      </c>
      <c r="V137" s="58">
        <f>SUMIF('JUNE (물량흐름)'!$C$13:$C$493,'In-out-bal products (155)(완성제품)'!B137,'JUNE (물량흐름)'!$W$13:$W$493)</f>
        <v>0</v>
      </c>
      <c r="W137" s="58">
        <f t="shared" si="42"/>
        <v>0</v>
      </c>
      <c r="X137" s="58">
        <f t="shared" si="43"/>
        <v>0</v>
      </c>
      <c r="Y137" s="58">
        <f>SUMIF('JUNE (물량흐름)'!$C$13:$C$488,'In-out-bal products (155)(완성제품)'!B137,'JUNE (물량흐름)'!$X$13:$X$488)</f>
        <v>0</v>
      </c>
      <c r="Z137" s="58">
        <f t="shared" si="44"/>
        <v>0</v>
      </c>
      <c r="AA137" s="58">
        <f t="shared" si="45"/>
        <v>0</v>
      </c>
      <c r="AB137" s="58"/>
      <c r="AC137" s="58"/>
      <c r="AD137" s="61"/>
      <c r="AE137" s="58">
        <f t="shared" si="46"/>
        <v>0</v>
      </c>
      <c r="AF137" s="58">
        <f t="shared" si="47"/>
        <v>0</v>
      </c>
      <c r="AG137" s="61">
        <f t="shared" si="48"/>
        <v>0</v>
      </c>
      <c r="AH137" s="58">
        <v>0</v>
      </c>
      <c r="AI137" s="58">
        <v>0</v>
      </c>
      <c r="AJ137" s="61">
        <v>0</v>
      </c>
      <c r="AK137" s="58"/>
      <c r="AL137" s="58"/>
      <c r="AM137" s="61"/>
      <c r="AN137" s="61">
        <f t="shared" si="49"/>
        <v>0</v>
      </c>
      <c r="AO137" s="58">
        <f t="shared" si="50"/>
        <v>0</v>
      </c>
      <c r="AP137" s="61">
        <f t="shared" si="51"/>
        <v>0</v>
      </c>
      <c r="AQ137" s="58">
        <f t="shared" si="52"/>
        <v>151</v>
      </c>
      <c r="AR137" s="58">
        <f t="shared" si="53"/>
        <v>22977.066225165563</v>
      </c>
      <c r="AS137" s="58">
        <f t="shared" si="54"/>
        <v>3469537</v>
      </c>
      <c r="AT137" s="58">
        <f>ROUND(SUMIF('JUNE (물량흐름)'!$C$13:$C$502,'In-out-bal products (155)(완성제품)'!B137,'JUNE (물량흐름)'!$AB$13:$AB$502),0)</f>
        <v>0</v>
      </c>
      <c r="AU137" s="58">
        <f t="shared" si="55"/>
        <v>0</v>
      </c>
      <c r="AV137" s="58">
        <f>ROUND(SUMIF('JUNE (물량흐름)'!$C$13:$C$502,'In-out-bal products (155)(완성제품)'!B137,'JUNE (물량흐름)'!$AC$13:$AC$502),0)</f>
        <v>151</v>
      </c>
      <c r="AW137" s="58">
        <f t="shared" si="56"/>
        <v>3469537</v>
      </c>
      <c r="AX137" s="376">
        <f t="shared" si="57"/>
        <v>0</v>
      </c>
      <c r="AY137" s="377">
        <f t="shared" si="58"/>
        <v>0</v>
      </c>
      <c r="AZ137" s="377">
        <f t="shared" si="59"/>
        <v>0</v>
      </c>
      <c r="BA137" s="377">
        <f t="shared" si="60"/>
        <v>0</v>
      </c>
      <c r="BB137" s="377"/>
      <c r="BC137" s="377">
        <f t="shared" si="61"/>
        <v>0</v>
      </c>
      <c r="BD137" s="377">
        <f t="shared" si="62"/>
        <v>0</v>
      </c>
      <c r="BE137" s="377"/>
      <c r="BF137" s="377">
        <f t="shared" si="63"/>
        <v>0</v>
      </c>
      <c r="BG137" s="433">
        <f t="shared" si="64"/>
        <v>0</v>
      </c>
      <c r="BH137" s="434">
        <f t="shared" si="65"/>
        <v>0</v>
      </c>
    </row>
    <row r="138" spans="1:60" s="378" customFormat="1">
      <c r="A138" s="167">
        <v>128</v>
      </c>
      <c r="B138" s="253">
        <f>VLOOKUP(A138,'JUNE (물량흐름)'!$A$13:$C$493,3,0)</f>
        <v>453590</v>
      </c>
      <c r="C138" s="57" t="str">
        <f>VLOOKUP(A138,'JUNE (물량흐름)'!$A$13:$C$493,2,0)</f>
        <v>ANN TAYLOR</v>
      </c>
      <c r="D138" s="58">
        <f>IFERROR(VLOOKUP(B138,O.B.JUNE!$V$7:$Y$448,2,0),0)</f>
        <v>0</v>
      </c>
      <c r="E138" s="58">
        <f>IFERROR(VLOOKUP(B138,O.B.JUNE!$V$7:$X$448,3,0),0)</f>
        <v>0</v>
      </c>
      <c r="F138" s="58">
        <f>IFERROR(VLOOKUP(B138,O.B.JUNE!$V$7:$Y$448,4,0),0)</f>
        <v>0</v>
      </c>
      <c r="G138" s="58">
        <f>SUMIF('JUNE (물량흐름)'!$C$13:$C$493,'In-out-bal products (155)(완성제품)'!B138,'JUNE (물량흐름)'!$V$13:$V$493)</f>
        <v>0</v>
      </c>
      <c r="H138" s="58">
        <f>SUMIF('JUNE (물량흐름)'!$C$13:$C$493,'In-out-bal products (155)(완성제품)'!B138,'JUNE (물량흐름)'!$T$13:$T$493)-SUMIF('JUNE (물량흐름)'!$C$13:$C$493,'In-out-bal products (155)(완성제품)'!B138,'JUNE (물량흐름)'!$Y$13:$Y$493)+SUMIF('JUNE (물량흐름)'!$C$13:$C$493,'In-out-bal products (155)(완성제품)'!B138,'JUNE (물량흐름)'!$U$13:$U$493)</f>
        <v>463</v>
      </c>
      <c r="I138" s="58">
        <f t="shared" si="36"/>
        <v>25813.991360691143</v>
      </c>
      <c r="J138" s="58">
        <f>SUMIF('Direct labour(직접노무비)'!$C$12:$C$503,'In-out-bal products (155)(완성제품)'!B138,'Direct labour(직접노무비)'!$Q$12:$Q$503)</f>
        <v>4720391</v>
      </c>
      <c r="K138" s="59">
        <f>SUMIF('Overhead exp(제조경비)'!$C$12:$C$503,'In-out-bal products (155)(완성제품)'!B138,'Overhead exp(제조경비)'!$Q$12:$Q$503)</f>
        <v>7231487</v>
      </c>
      <c r="L138" s="58">
        <f t="shared" si="37"/>
        <v>11951878</v>
      </c>
      <c r="M138" s="58">
        <f>SUMIF('JUNE (물량흐름)'!$C$13:$C$488,'In-out-bal products (155)(완성제품)'!B138,'JUNE (물량흐름)'!$Y$13:$Y$488)</f>
        <v>0</v>
      </c>
      <c r="N138" s="58">
        <f t="shared" si="38"/>
        <v>0</v>
      </c>
      <c r="O138" s="58">
        <f>SUMIF('Direct labour(직접노무비)'!$C$12:$C$503,'In-out-bal products (155)(완성제품)'!B138,'Direct labour(직접노무비)'!$U$12:$U$503)+SUMIF('Overhead exp(제조경비)'!$C$12:$C$503,'In-out-bal products (155)(완성제품)'!B138,'Overhead exp(제조경비)'!$U$12:$U$503)</f>
        <v>0</v>
      </c>
      <c r="P138" s="60">
        <f t="shared" si="39"/>
        <v>463</v>
      </c>
      <c r="Q138" s="60">
        <f t="shared" si="40"/>
        <v>25813.991360691143</v>
      </c>
      <c r="R138" s="60">
        <f t="shared" si="41"/>
        <v>11951878</v>
      </c>
      <c r="S138" s="58">
        <v>0</v>
      </c>
      <c r="T138" s="58">
        <v>0</v>
      </c>
      <c r="U138" s="58">
        <v>0</v>
      </c>
      <c r="V138" s="58">
        <f>SUMIF('JUNE (물량흐름)'!$C$13:$C$493,'In-out-bal products (155)(완성제품)'!B138,'JUNE (물량흐름)'!$W$13:$W$493)</f>
        <v>0</v>
      </c>
      <c r="W138" s="58">
        <f t="shared" si="42"/>
        <v>0</v>
      </c>
      <c r="X138" s="58">
        <f t="shared" si="43"/>
        <v>0</v>
      </c>
      <c r="Y138" s="58">
        <f>SUMIF('JUNE (물량흐름)'!$C$13:$C$488,'In-out-bal products (155)(완성제품)'!B138,'JUNE (물량흐름)'!$X$13:$X$488)</f>
        <v>0</v>
      </c>
      <c r="Z138" s="58">
        <f t="shared" si="44"/>
        <v>0</v>
      </c>
      <c r="AA138" s="58">
        <f t="shared" si="45"/>
        <v>0</v>
      </c>
      <c r="AB138" s="58"/>
      <c r="AC138" s="58"/>
      <c r="AD138" s="61"/>
      <c r="AE138" s="58">
        <f t="shared" si="46"/>
        <v>0</v>
      </c>
      <c r="AF138" s="58">
        <f t="shared" si="47"/>
        <v>0</v>
      </c>
      <c r="AG138" s="61">
        <f t="shared" si="48"/>
        <v>0</v>
      </c>
      <c r="AH138" s="58">
        <v>0</v>
      </c>
      <c r="AI138" s="58">
        <v>0</v>
      </c>
      <c r="AJ138" s="61">
        <v>0</v>
      </c>
      <c r="AK138" s="58"/>
      <c r="AL138" s="58"/>
      <c r="AM138" s="61"/>
      <c r="AN138" s="61">
        <f t="shared" si="49"/>
        <v>0</v>
      </c>
      <c r="AO138" s="58">
        <f t="shared" si="50"/>
        <v>0</v>
      </c>
      <c r="AP138" s="61">
        <f t="shared" si="51"/>
        <v>0</v>
      </c>
      <c r="AQ138" s="58">
        <f t="shared" si="52"/>
        <v>463</v>
      </c>
      <c r="AR138" s="58">
        <f t="shared" si="53"/>
        <v>25813.991360691143</v>
      </c>
      <c r="AS138" s="58">
        <f t="shared" si="54"/>
        <v>11951878</v>
      </c>
      <c r="AT138" s="58">
        <f>ROUND(SUMIF('JUNE (물량흐름)'!$C$13:$C$502,'In-out-bal products (155)(완성제품)'!B138,'JUNE (물량흐름)'!$AB$13:$AB$502),0)</f>
        <v>0</v>
      </c>
      <c r="AU138" s="58">
        <f t="shared" si="55"/>
        <v>0</v>
      </c>
      <c r="AV138" s="58">
        <f>ROUND(SUMIF('JUNE (물량흐름)'!$C$13:$C$502,'In-out-bal products (155)(완성제품)'!B138,'JUNE (물량흐름)'!$AC$13:$AC$502),0)</f>
        <v>463</v>
      </c>
      <c r="AW138" s="58">
        <f t="shared" si="56"/>
        <v>11951878</v>
      </c>
      <c r="AX138" s="376">
        <f t="shared" si="57"/>
        <v>0</v>
      </c>
      <c r="AY138" s="377">
        <f t="shared" si="58"/>
        <v>0</v>
      </c>
      <c r="AZ138" s="377">
        <f t="shared" si="59"/>
        <v>0</v>
      </c>
      <c r="BA138" s="377">
        <f t="shared" si="60"/>
        <v>0</v>
      </c>
      <c r="BB138" s="377"/>
      <c r="BC138" s="377">
        <f t="shared" si="61"/>
        <v>0</v>
      </c>
      <c r="BD138" s="377">
        <f t="shared" si="62"/>
        <v>0</v>
      </c>
      <c r="BE138" s="377"/>
      <c r="BF138" s="377">
        <f t="shared" si="63"/>
        <v>0</v>
      </c>
      <c r="BG138" s="433">
        <f t="shared" si="64"/>
        <v>0</v>
      </c>
      <c r="BH138" s="434">
        <f t="shared" si="65"/>
        <v>0</v>
      </c>
    </row>
    <row r="139" spans="1:60" s="378" customFormat="1">
      <c r="A139" s="167">
        <v>129</v>
      </c>
      <c r="B139" s="253" t="str">
        <f>VLOOKUP(A139,'JUNE (물량흐름)'!$A$13:$C$493,3,0)</f>
        <v>453595(456582)</v>
      </c>
      <c r="C139" s="57" t="str">
        <f>VLOOKUP(A139,'JUNE (물량흐름)'!$A$13:$C$493,2,0)</f>
        <v>ANN TAYLOR</v>
      </c>
      <c r="D139" s="58">
        <f>IFERROR(VLOOKUP(B139,O.B.JUNE!$V$7:$Y$448,2,0),0)</f>
        <v>64</v>
      </c>
      <c r="E139" s="58">
        <f>IFERROR(VLOOKUP(B139,O.B.JUNE!$V$7:$X$448,3,0),0)</f>
        <v>33013.015625</v>
      </c>
      <c r="F139" s="58">
        <f>IFERROR(VLOOKUP(B139,O.B.JUNE!$V$7:$Y$448,4,0),0)</f>
        <v>2112833</v>
      </c>
      <c r="G139" s="58">
        <f>SUMIF('JUNE (물량흐름)'!$C$13:$C$493,'In-out-bal products (155)(완성제품)'!B139,'JUNE (물량흐름)'!$V$13:$V$493)</f>
        <v>0</v>
      </c>
      <c r="H139" s="58">
        <f>SUMIF('JUNE (물량흐름)'!$C$13:$C$493,'In-out-bal products (155)(완성제품)'!B139,'JUNE (물량흐름)'!$T$13:$T$493)-SUMIF('JUNE (물량흐름)'!$C$13:$C$493,'In-out-bal products (155)(완성제품)'!B139,'JUNE (물량흐름)'!$Y$13:$Y$493)+SUMIF('JUNE (물량흐름)'!$C$13:$C$493,'In-out-bal products (155)(완성제품)'!B139,'JUNE (물량흐름)'!$U$13:$U$493)</f>
        <v>1052</v>
      </c>
      <c r="I139" s="58">
        <f t="shared" si="36"/>
        <v>24877.519011406843</v>
      </c>
      <c r="J139" s="58">
        <f>SUMIF('Direct labour(직접노무비)'!$C$12:$C$503,'In-out-bal products (155)(완성제품)'!B139,'Direct labour(직접노무비)'!$Q$12:$Q$503)</f>
        <v>6548150</v>
      </c>
      <c r="K139" s="59">
        <f>SUMIF('Overhead exp(제조경비)'!$C$12:$C$503,'In-out-bal products (155)(완성제품)'!B139,'Overhead exp(제조경비)'!$Q$12:$Q$503)</f>
        <v>19623000</v>
      </c>
      <c r="L139" s="58">
        <f t="shared" si="37"/>
        <v>26171150</v>
      </c>
      <c r="M139" s="58">
        <f>SUMIF('JUNE (물량흐름)'!$C$13:$C$488,'In-out-bal products (155)(완성제품)'!B139,'JUNE (물량흐름)'!$Y$13:$Y$488)</f>
        <v>0</v>
      </c>
      <c r="N139" s="58">
        <f t="shared" si="38"/>
        <v>0</v>
      </c>
      <c r="O139" s="58">
        <f>SUMIF('Direct labour(직접노무비)'!$C$12:$C$503,'In-out-bal products (155)(완성제품)'!B139,'Direct labour(직접노무비)'!$U$12:$U$503)+SUMIF('Overhead exp(제조경비)'!$C$12:$C$503,'In-out-bal products (155)(완성제품)'!B139,'Overhead exp(제조경비)'!$U$12:$U$503)</f>
        <v>0</v>
      </c>
      <c r="P139" s="60">
        <f t="shared" si="39"/>
        <v>1052</v>
      </c>
      <c r="Q139" s="60">
        <f t="shared" si="40"/>
        <v>24877.519011406843</v>
      </c>
      <c r="R139" s="60">
        <f t="shared" si="41"/>
        <v>26171150</v>
      </c>
      <c r="S139" s="58">
        <v>0</v>
      </c>
      <c r="T139" s="58">
        <v>0</v>
      </c>
      <c r="U139" s="58">
        <v>0</v>
      </c>
      <c r="V139" s="58">
        <f>SUMIF('JUNE (물량흐름)'!$C$13:$C$493,'In-out-bal products (155)(완성제품)'!B139,'JUNE (물량흐름)'!$W$13:$W$493)</f>
        <v>0</v>
      </c>
      <c r="W139" s="58">
        <f t="shared" si="42"/>
        <v>0</v>
      </c>
      <c r="X139" s="58">
        <f t="shared" si="43"/>
        <v>0</v>
      </c>
      <c r="Y139" s="58">
        <f>SUMIF('JUNE (물량흐름)'!$C$13:$C$488,'In-out-bal products (155)(완성제품)'!B139,'JUNE (물량흐름)'!$X$13:$X$488)</f>
        <v>0</v>
      </c>
      <c r="Z139" s="58">
        <f t="shared" si="44"/>
        <v>0</v>
      </c>
      <c r="AA139" s="58">
        <f t="shared" si="45"/>
        <v>0</v>
      </c>
      <c r="AB139" s="58"/>
      <c r="AC139" s="58"/>
      <c r="AD139" s="61"/>
      <c r="AE139" s="58">
        <f t="shared" si="46"/>
        <v>0</v>
      </c>
      <c r="AF139" s="58">
        <f t="shared" si="47"/>
        <v>0</v>
      </c>
      <c r="AG139" s="61">
        <f t="shared" si="48"/>
        <v>0</v>
      </c>
      <c r="AH139" s="58">
        <v>0</v>
      </c>
      <c r="AI139" s="58">
        <v>0</v>
      </c>
      <c r="AJ139" s="61">
        <v>0</v>
      </c>
      <c r="AK139" s="58"/>
      <c r="AL139" s="58"/>
      <c r="AM139" s="61"/>
      <c r="AN139" s="61">
        <f t="shared" si="49"/>
        <v>0</v>
      </c>
      <c r="AO139" s="58">
        <f t="shared" si="50"/>
        <v>0</v>
      </c>
      <c r="AP139" s="61">
        <f t="shared" si="51"/>
        <v>0</v>
      </c>
      <c r="AQ139" s="58">
        <f t="shared" si="52"/>
        <v>1116</v>
      </c>
      <c r="AR139" s="58">
        <f t="shared" si="53"/>
        <v>25344.070788530466</v>
      </c>
      <c r="AS139" s="58">
        <f t="shared" si="54"/>
        <v>28283983</v>
      </c>
      <c r="AT139" s="58">
        <f>ROUND(SUMIF('JUNE (물량흐름)'!$C$13:$C$502,'In-out-bal products (155)(완성제품)'!B139,'JUNE (물량흐름)'!$AB$13:$AB$502),0)</f>
        <v>0</v>
      </c>
      <c r="AU139" s="58">
        <f t="shared" si="55"/>
        <v>0</v>
      </c>
      <c r="AV139" s="58">
        <f>ROUND(SUMIF('JUNE (물량흐름)'!$C$13:$C$502,'In-out-bal products (155)(완성제품)'!B139,'JUNE (물량흐름)'!$AC$13:$AC$502),0)</f>
        <v>1116</v>
      </c>
      <c r="AW139" s="58">
        <f t="shared" si="56"/>
        <v>28283983</v>
      </c>
      <c r="AX139" s="376">
        <f t="shared" si="57"/>
        <v>0</v>
      </c>
      <c r="AY139" s="377">
        <f t="shared" si="58"/>
        <v>0</v>
      </c>
      <c r="AZ139" s="377">
        <f t="shared" si="59"/>
        <v>0</v>
      </c>
      <c r="BA139" s="377">
        <f t="shared" si="60"/>
        <v>0</v>
      </c>
      <c r="BB139" s="377"/>
      <c r="BC139" s="377">
        <f t="shared" si="61"/>
        <v>0</v>
      </c>
      <c r="BD139" s="377">
        <f t="shared" si="62"/>
        <v>0</v>
      </c>
      <c r="BE139" s="377"/>
      <c r="BF139" s="377">
        <f t="shared" si="63"/>
        <v>0</v>
      </c>
      <c r="BG139" s="433">
        <f t="shared" si="64"/>
        <v>0</v>
      </c>
      <c r="BH139" s="434">
        <f t="shared" si="65"/>
        <v>0</v>
      </c>
    </row>
    <row r="140" spans="1:60" s="378" customFormat="1">
      <c r="A140" s="167">
        <v>130</v>
      </c>
      <c r="B140" s="253" t="str">
        <f>VLOOKUP(A140,'JUNE (물량흐름)'!$A$13:$C$493,3,0)</f>
        <v>456729(456854)</v>
      </c>
      <c r="C140" s="57" t="str">
        <f>VLOOKUP(A140,'JUNE (물량흐름)'!$A$13:$C$493,2,0)</f>
        <v>ANN TAYLOR</v>
      </c>
      <c r="D140" s="58">
        <f>IFERROR(VLOOKUP(B140,O.B.JUNE!$V$7:$Y$448,2,0),0)</f>
        <v>359</v>
      </c>
      <c r="E140" s="58">
        <f>IFERROR(VLOOKUP(B140,O.B.JUNE!$V$7:$X$448,3,0),0)</f>
        <v>41460.515320334263</v>
      </c>
      <c r="F140" s="58">
        <f>IFERROR(VLOOKUP(B140,O.B.JUNE!$V$7:$Y$448,4,0),0)</f>
        <v>14884325</v>
      </c>
      <c r="G140" s="58">
        <f>SUMIF('JUNE (물량흐름)'!$C$13:$C$493,'In-out-bal products (155)(완성제품)'!B140,'JUNE (물량흐름)'!$V$13:$V$493)</f>
        <v>0</v>
      </c>
      <c r="H140" s="58">
        <f>SUMIF('JUNE (물량흐름)'!$C$13:$C$493,'In-out-bal products (155)(완성제품)'!B140,'JUNE (물량흐름)'!$T$13:$T$493)-SUMIF('JUNE (물량흐름)'!$C$13:$C$493,'In-out-bal products (155)(완성제품)'!B140,'JUNE (물량흐름)'!$Y$13:$Y$493)+SUMIF('JUNE (물량흐름)'!$C$13:$C$493,'In-out-bal products (155)(완성제품)'!B140,'JUNE (물량흐름)'!$U$13:$U$493)</f>
        <v>410</v>
      </c>
      <c r="I140" s="58">
        <f t="shared" ref="I140:I203" si="66">(IF(ISERROR(L140/H140),0,L140/H140))</f>
        <v>17156.578048780488</v>
      </c>
      <c r="J140" s="58">
        <f>SUMIF('Direct labour(직접노무비)'!$C$12:$C$503,'In-out-bal products (155)(완성제품)'!B140,'Direct labour(직접노무비)'!$Q$12:$Q$503)</f>
        <v>2814056</v>
      </c>
      <c r="K140" s="59">
        <f>SUMIF('Overhead exp(제조경비)'!$C$12:$C$503,'In-out-bal products (155)(완성제품)'!B140,'Overhead exp(제조경비)'!$Q$12:$Q$503)</f>
        <v>4220141</v>
      </c>
      <c r="L140" s="58">
        <f t="shared" ref="L140:L203" si="67">ROUND(J140+K140,0)</f>
        <v>7034197</v>
      </c>
      <c r="M140" s="58">
        <f>SUMIF('JUNE (물량흐름)'!$C$13:$C$488,'In-out-bal products (155)(완성제품)'!B140,'JUNE (물량흐름)'!$Y$13:$Y$488)</f>
        <v>0</v>
      </c>
      <c r="N140" s="58">
        <f t="shared" ref="N140:N203" si="68">IFERROR(O140/M140,0)</f>
        <v>0</v>
      </c>
      <c r="O140" s="58">
        <f>SUMIF('Direct labour(직접노무비)'!$C$12:$C$503,'In-out-bal products (155)(완성제품)'!B140,'Direct labour(직접노무비)'!$U$12:$U$503)+SUMIF('Overhead exp(제조경비)'!$C$12:$C$503,'In-out-bal products (155)(완성제품)'!B140,'Overhead exp(제조경비)'!$U$12:$U$503)</f>
        <v>0</v>
      </c>
      <c r="P140" s="60">
        <f t="shared" ref="P140:P203" si="69">ROUND(H140+G140+M140,0)</f>
        <v>410</v>
      </c>
      <c r="Q140" s="60">
        <f t="shared" ref="Q140:Q203" si="70">(IF(ISERROR(R140/P140),0,R140/P140))</f>
        <v>17156.578048780488</v>
      </c>
      <c r="R140" s="60">
        <f t="shared" ref="R140:R203" si="71">ROUND(L140+O140,0)</f>
        <v>7034197</v>
      </c>
      <c r="S140" s="58">
        <v>0</v>
      </c>
      <c r="T140" s="58">
        <v>0</v>
      </c>
      <c r="U140" s="58">
        <v>0</v>
      </c>
      <c r="V140" s="58">
        <f>SUMIF('JUNE (물량흐름)'!$C$13:$C$493,'In-out-bal products (155)(완성제품)'!B140,'JUNE (물량흐름)'!$W$13:$W$493)</f>
        <v>0</v>
      </c>
      <c r="W140" s="58">
        <f t="shared" ref="W140:W203" si="72">(IF(V140=0,0,$X140/$V140))</f>
        <v>0</v>
      </c>
      <c r="X140" s="58">
        <f t="shared" ref="X140:X203" si="73">ROUND(IF(V140=0,0,V140*($F140+$L140)/($D140+$H140+$G140)),0)</f>
        <v>0</v>
      </c>
      <c r="Y140" s="58">
        <f>SUMIF('JUNE (물량흐름)'!$C$13:$C$488,'In-out-bal products (155)(완성제품)'!B140,'JUNE (물량흐름)'!$X$13:$X$488)</f>
        <v>0</v>
      </c>
      <c r="Z140" s="58">
        <f t="shared" ref="Z140:Z203" si="74">IF(Y140=0,0,$AA140/$Y140)</f>
        <v>0</v>
      </c>
      <c r="AA140" s="58">
        <f t="shared" ref="AA140:AA203" si="75">ROUND(IF(Y140=0,0,Y140*($F140+$L140)/($D140+$H140+$G140)),0)</f>
        <v>0</v>
      </c>
      <c r="AB140" s="58"/>
      <c r="AC140" s="58"/>
      <c r="AD140" s="61"/>
      <c r="AE140" s="58">
        <f t="shared" ref="AE140:AE203" si="76">M140</f>
        <v>0</v>
      </c>
      <c r="AF140" s="58">
        <f t="shared" ref="AF140:AF203" si="77">N140</f>
        <v>0</v>
      </c>
      <c r="AG140" s="61">
        <f t="shared" ref="AG140:AG203" si="78">O140</f>
        <v>0</v>
      </c>
      <c r="AH140" s="58">
        <v>0</v>
      </c>
      <c r="AI140" s="58">
        <v>0</v>
      </c>
      <c r="AJ140" s="61">
        <v>0</v>
      </c>
      <c r="AK140" s="58"/>
      <c r="AL140" s="58"/>
      <c r="AM140" s="61"/>
      <c r="AN140" s="61">
        <f t="shared" ref="AN140:AN203" si="79">ROUND(SUM(V140+Y140+AB140+AE140+AH140+AK140+S140),0)</f>
        <v>0</v>
      </c>
      <c r="AO140" s="58">
        <f t="shared" ref="AO140:AO203" si="80">(IF(ISERROR(AP140/AN140),0,AP140/AN140))</f>
        <v>0</v>
      </c>
      <c r="AP140" s="61">
        <f t="shared" ref="AP140:AP203" si="81">ROUND(X140+AA140+AD140+AG140+AJ140+AM140+U140,0)</f>
        <v>0</v>
      </c>
      <c r="AQ140" s="58">
        <f t="shared" ref="AQ140:AQ203" si="82">ROUND(D140+P140-AN140,0)</f>
        <v>769</v>
      </c>
      <c r="AR140" s="58">
        <f t="shared" ref="AR140:AR203" si="83">(IF(ISERROR(AS140/AQ140),0,AS140/AQ140))</f>
        <v>28502.629388816644</v>
      </c>
      <c r="AS140" s="58">
        <f t="shared" ref="AS140:AS203" si="84">ROUND(F140+R140-AP140,0)</f>
        <v>21918522</v>
      </c>
      <c r="AT140" s="58">
        <f>ROUND(SUMIF('JUNE (물량흐름)'!$C$13:$C$502,'In-out-bal products (155)(완성제품)'!B140,'JUNE (물량흐름)'!$AB$13:$AB$502),0)</f>
        <v>0</v>
      </c>
      <c r="AU140" s="58">
        <f t="shared" ref="AU140:AU203" si="85">+ROUND(AR140*AT140,0)</f>
        <v>0</v>
      </c>
      <c r="AV140" s="58">
        <f>ROUND(SUMIF('JUNE (물량흐름)'!$C$13:$C$502,'In-out-bal products (155)(완성제품)'!B140,'JUNE (물량흐름)'!$AC$13:$AC$502),0)</f>
        <v>769</v>
      </c>
      <c r="AW140" s="58">
        <f t="shared" ref="AW140:AW203" si="86">ROUND(AR140*AV140,0)</f>
        <v>21918522</v>
      </c>
      <c r="AX140" s="376">
        <f t="shared" ref="AX140:AX203" si="87">D140+P140-AN140-AQ140</f>
        <v>0</v>
      </c>
      <c r="AY140" s="377">
        <f t="shared" ref="AY140:AY203" si="88">F140+R140-AP140-AS140</f>
        <v>0</v>
      </c>
      <c r="AZ140" s="377">
        <f t="shared" ref="AZ140:AZ203" si="89">AQ140-AT140-AV140</f>
        <v>0</v>
      </c>
      <c r="BA140" s="377">
        <f t="shared" ref="BA140:BA203" si="90">AS140-AU140-AW140</f>
        <v>0</v>
      </c>
      <c r="BB140" s="377"/>
      <c r="BC140" s="377">
        <f t="shared" ref="BC140:BC203" si="91">F140+R140-AP140-AS140</f>
        <v>0</v>
      </c>
      <c r="BD140" s="377">
        <f t="shared" ref="BD140:BD203" si="92">D140+P140-AN140-AQ140</f>
        <v>0</v>
      </c>
      <c r="BE140" s="377"/>
      <c r="BF140" s="377">
        <f t="shared" ref="BF140:BF203" si="93">F140+R140-AP140-AS140</f>
        <v>0</v>
      </c>
      <c r="BG140" s="433">
        <f t="shared" ref="BG140:BG203" si="94">+X140+AA140+AD140+AG140+AJ140+AM140+U140</f>
        <v>0</v>
      </c>
      <c r="BH140" s="434">
        <f t="shared" ref="BH140:BH203" si="95">+BG140-AP140</f>
        <v>0</v>
      </c>
    </row>
    <row r="141" spans="1:60" s="378" customFormat="1">
      <c r="A141" s="167">
        <v>131</v>
      </c>
      <c r="B141" s="253">
        <f>VLOOKUP(A141,'JUNE (물량흐름)'!$A$13:$C$493,3,0)</f>
        <v>457839</v>
      </c>
      <c r="C141" s="57" t="str">
        <f>VLOOKUP(A141,'JUNE (물량흐름)'!$A$13:$C$493,2,0)</f>
        <v>ANN TAYLOR</v>
      </c>
      <c r="D141" s="58">
        <f>IFERROR(VLOOKUP(B141,O.B.JUNE!$V$7:$Y$448,2,0),0)</f>
        <v>0</v>
      </c>
      <c r="E141" s="58">
        <f>IFERROR(VLOOKUP(B141,O.B.JUNE!$V$7:$X$448,3,0),0)</f>
        <v>0</v>
      </c>
      <c r="F141" s="58">
        <f>IFERROR(VLOOKUP(B141,O.B.JUNE!$V$7:$Y$448,4,0),0)</f>
        <v>0</v>
      </c>
      <c r="G141" s="58">
        <f>SUMIF('JUNE (물량흐름)'!$C$13:$C$493,'In-out-bal products (155)(완성제품)'!B141,'JUNE (물량흐름)'!$V$13:$V$493)</f>
        <v>0</v>
      </c>
      <c r="H141" s="58">
        <f>SUMIF('JUNE (물량흐름)'!$C$13:$C$493,'In-out-bal products (155)(완성제품)'!B141,'JUNE (물량흐름)'!$T$13:$T$493)-SUMIF('JUNE (물량흐름)'!$C$13:$C$493,'In-out-bal products (155)(완성제품)'!B141,'JUNE (물량흐름)'!$Y$13:$Y$493)+SUMIF('JUNE (물량흐름)'!$C$13:$C$493,'In-out-bal products (155)(완성제품)'!B141,'JUNE (물량흐름)'!$U$13:$U$493)</f>
        <v>0</v>
      </c>
      <c r="I141" s="58">
        <f t="shared" si="66"/>
        <v>0</v>
      </c>
      <c r="J141" s="58">
        <f>SUMIF('Direct labour(직접노무비)'!$C$12:$C$503,'In-out-bal products (155)(완성제품)'!B141,'Direct labour(직접노무비)'!$Q$12:$Q$503)</f>
        <v>0</v>
      </c>
      <c r="K141" s="59">
        <f>SUMIF('Overhead exp(제조경비)'!$C$12:$C$503,'In-out-bal products (155)(완성제품)'!B141,'Overhead exp(제조경비)'!$Q$12:$Q$503)</f>
        <v>0</v>
      </c>
      <c r="L141" s="58">
        <f t="shared" si="67"/>
        <v>0</v>
      </c>
      <c r="M141" s="58">
        <f>SUMIF('JUNE (물량흐름)'!$C$13:$C$488,'In-out-bal products (155)(완성제품)'!B141,'JUNE (물량흐름)'!$Y$13:$Y$488)</f>
        <v>0</v>
      </c>
      <c r="N141" s="58">
        <f t="shared" si="68"/>
        <v>0</v>
      </c>
      <c r="O141" s="58">
        <f>SUMIF('Direct labour(직접노무비)'!$C$12:$C$503,'In-out-bal products (155)(완성제품)'!B141,'Direct labour(직접노무비)'!$U$12:$U$503)+SUMIF('Overhead exp(제조경비)'!$C$12:$C$503,'In-out-bal products (155)(완성제품)'!B141,'Overhead exp(제조경비)'!$U$12:$U$503)</f>
        <v>0</v>
      </c>
      <c r="P141" s="60">
        <f t="shared" si="69"/>
        <v>0</v>
      </c>
      <c r="Q141" s="60">
        <f t="shared" si="70"/>
        <v>0</v>
      </c>
      <c r="R141" s="60">
        <f t="shared" si="71"/>
        <v>0</v>
      </c>
      <c r="S141" s="58">
        <v>0</v>
      </c>
      <c r="T141" s="58">
        <v>0</v>
      </c>
      <c r="U141" s="58">
        <v>0</v>
      </c>
      <c r="V141" s="58">
        <f>SUMIF('JUNE (물량흐름)'!$C$13:$C$493,'In-out-bal products (155)(완성제품)'!B141,'JUNE (물량흐름)'!$W$13:$W$493)</f>
        <v>0</v>
      </c>
      <c r="W141" s="58">
        <f t="shared" si="72"/>
        <v>0</v>
      </c>
      <c r="X141" s="58">
        <f t="shared" si="73"/>
        <v>0</v>
      </c>
      <c r="Y141" s="58">
        <f>SUMIF('JUNE (물량흐름)'!$C$13:$C$488,'In-out-bal products (155)(완성제품)'!B141,'JUNE (물량흐름)'!$X$13:$X$488)</f>
        <v>0</v>
      </c>
      <c r="Z141" s="58">
        <f t="shared" si="74"/>
        <v>0</v>
      </c>
      <c r="AA141" s="58">
        <f t="shared" si="75"/>
        <v>0</v>
      </c>
      <c r="AB141" s="58"/>
      <c r="AC141" s="58"/>
      <c r="AD141" s="61"/>
      <c r="AE141" s="58">
        <f t="shared" si="76"/>
        <v>0</v>
      </c>
      <c r="AF141" s="58">
        <f t="shared" si="77"/>
        <v>0</v>
      </c>
      <c r="AG141" s="61">
        <f t="shared" si="78"/>
        <v>0</v>
      </c>
      <c r="AH141" s="58">
        <v>0</v>
      </c>
      <c r="AI141" s="58">
        <v>0</v>
      </c>
      <c r="AJ141" s="61">
        <v>0</v>
      </c>
      <c r="AK141" s="58"/>
      <c r="AL141" s="58"/>
      <c r="AM141" s="61"/>
      <c r="AN141" s="61">
        <f t="shared" si="79"/>
        <v>0</v>
      </c>
      <c r="AO141" s="58">
        <f t="shared" si="80"/>
        <v>0</v>
      </c>
      <c r="AP141" s="61">
        <f t="shared" si="81"/>
        <v>0</v>
      </c>
      <c r="AQ141" s="58">
        <f t="shared" si="82"/>
        <v>0</v>
      </c>
      <c r="AR141" s="58">
        <f t="shared" si="83"/>
        <v>0</v>
      </c>
      <c r="AS141" s="58">
        <f t="shared" si="84"/>
        <v>0</v>
      </c>
      <c r="AT141" s="58">
        <f>ROUND(SUMIF('JUNE (물량흐름)'!$C$13:$C$502,'In-out-bal products (155)(완성제품)'!B141,'JUNE (물량흐름)'!$AB$13:$AB$502),0)</f>
        <v>0</v>
      </c>
      <c r="AU141" s="58">
        <f t="shared" si="85"/>
        <v>0</v>
      </c>
      <c r="AV141" s="58">
        <f>ROUND(SUMIF('JUNE (물량흐름)'!$C$13:$C$502,'In-out-bal products (155)(완성제품)'!B141,'JUNE (물량흐름)'!$AC$13:$AC$502),0)</f>
        <v>0</v>
      </c>
      <c r="AW141" s="58">
        <f t="shared" si="86"/>
        <v>0</v>
      </c>
      <c r="AX141" s="376">
        <f t="shared" si="87"/>
        <v>0</v>
      </c>
      <c r="AY141" s="377">
        <f t="shared" si="88"/>
        <v>0</v>
      </c>
      <c r="AZ141" s="377">
        <f t="shared" si="89"/>
        <v>0</v>
      </c>
      <c r="BA141" s="377">
        <f t="shared" si="90"/>
        <v>0</v>
      </c>
      <c r="BB141" s="377"/>
      <c r="BC141" s="377">
        <f t="shared" si="91"/>
        <v>0</v>
      </c>
      <c r="BD141" s="377">
        <f t="shared" si="92"/>
        <v>0</v>
      </c>
      <c r="BE141" s="377"/>
      <c r="BF141" s="377">
        <f t="shared" si="93"/>
        <v>0</v>
      </c>
      <c r="BG141" s="433">
        <f t="shared" si="94"/>
        <v>0</v>
      </c>
      <c r="BH141" s="434">
        <f t="shared" si="95"/>
        <v>0</v>
      </c>
    </row>
    <row r="142" spans="1:60" s="378" customFormat="1">
      <c r="A142" s="167">
        <v>132</v>
      </c>
      <c r="B142" s="253">
        <f>VLOOKUP(A142,'JUNE (물량흐름)'!$A$13:$C$493,3,0)</f>
        <v>457840</v>
      </c>
      <c r="C142" s="57" t="str">
        <f>VLOOKUP(A142,'JUNE (물량흐름)'!$A$13:$C$493,2,0)</f>
        <v>ANN TAYLOR</v>
      </c>
      <c r="D142" s="58">
        <f>IFERROR(VLOOKUP(B142,O.B.JUNE!$V$7:$Y$448,2,0),0)</f>
        <v>0</v>
      </c>
      <c r="E142" s="58">
        <f>IFERROR(VLOOKUP(B142,O.B.JUNE!$V$7:$X$448,3,0),0)</f>
        <v>0</v>
      </c>
      <c r="F142" s="58">
        <f>IFERROR(VLOOKUP(B142,O.B.JUNE!$V$7:$Y$448,4,0),0)</f>
        <v>0</v>
      </c>
      <c r="G142" s="58">
        <f>SUMIF('JUNE (물량흐름)'!$C$13:$C$493,'In-out-bal products (155)(완성제품)'!B142,'JUNE (물량흐름)'!$V$13:$V$493)</f>
        <v>0</v>
      </c>
      <c r="H142" s="58">
        <f>SUMIF('JUNE (물량흐름)'!$C$13:$C$493,'In-out-bal products (155)(완성제품)'!B142,'JUNE (물량흐름)'!$T$13:$T$493)-SUMIF('JUNE (물량흐름)'!$C$13:$C$493,'In-out-bal products (155)(완성제품)'!B142,'JUNE (물량흐름)'!$Y$13:$Y$493)+SUMIF('JUNE (물량흐름)'!$C$13:$C$493,'In-out-bal products (155)(완성제품)'!B142,'JUNE (물량흐름)'!$U$13:$U$493)</f>
        <v>0</v>
      </c>
      <c r="I142" s="58">
        <f t="shared" si="66"/>
        <v>0</v>
      </c>
      <c r="J142" s="58">
        <f>SUMIF('Direct labour(직접노무비)'!$C$12:$C$503,'In-out-bal products (155)(완성제품)'!B142,'Direct labour(직접노무비)'!$Q$12:$Q$503)</f>
        <v>0</v>
      </c>
      <c r="K142" s="59">
        <f>SUMIF('Overhead exp(제조경비)'!$C$12:$C$503,'In-out-bal products (155)(완성제품)'!B142,'Overhead exp(제조경비)'!$Q$12:$Q$503)</f>
        <v>0</v>
      </c>
      <c r="L142" s="58">
        <f t="shared" si="67"/>
        <v>0</v>
      </c>
      <c r="M142" s="58">
        <f>SUMIF('JUNE (물량흐름)'!$C$13:$C$488,'In-out-bal products (155)(완성제품)'!B142,'JUNE (물량흐름)'!$Y$13:$Y$488)</f>
        <v>0</v>
      </c>
      <c r="N142" s="58">
        <f t="shared" si="68"/>
        <v>0</v>
      </c>
      <c r="O142" s="58">
        <f>SUMIF('Direct labour(직접노무비)'!$C$12:$C$503,'In-out-bal products (155)(완성제품)'!B142,'Direct labour(직접노무비)'!$U$12:$U$503)+SUMIF('Overhead exp(제조경비)'!$C$12:$C$503,'In-out-bal products (155)(완성제품)'!B142,'Overhead exp(제조경비)'!$U$12:$U$503)</f>
        <v>0</v>
      </c>
      <c r="P142" s="60">
        <f t="shared" si="69"/>
        <v>0</v>
      </c>
      <c r="Q142" s="60">
        <f t="shared" si="70"/>
        <v>0</v>
      </c>
      <c r="R142" s="60">
        <f t="shared" si="71"/>
        <v>0</v>
      </c>
      <c r="S142" s="58">
        <v>0</v>
      </c>
      <c r="T142" s="58">
        <v>0</v>
      </c>
      <c r="U142" s="58">
        <v>0</v>
      </c>
      <c r="V142" s="58">
        <f>SUMIF('JUNE (물량흐름)'!$C$13:$C$493,'In-out-bal products (155)(완성제품)'!B142,'JUNE (물량흐름)'!$W$13:$W$493)</f>
        <v>0</v>
      </c>
      <c r="W142" s="58">
        <f t="shared" si="72"/>
        <v>0</v>
      </c>
      <c r="X142" s="58">
        <f t="shared" si="73"/>
        <v>0</v>
      </c>
      <c r="Y142" s="58">
        <f>SUMIF('JUNE (물량흐름)'!$C$13:$C$488,'In-out-bal products (155)(완성제품)'!B142,'JUNE (물량흐름)'!$X$13:$X$488)</f>
        <v>0</v>
      </c>
      <c r="Z142" s="58">
        <f t="shared" si="74"/>
        <v>0</v>
      </c>
      <c r="AA142" s="58">
        <f t="shared" si="75"/>
        <v>0</v>
      </c>
      <c r="AB142" s="58"/>
      <c r="AC142" s="58"/>
      <c r="AD142" s="61"/>
      <c r="AE142" s="58">
        <f t="shared" si="76"/>
        <v>0</v>
      </c>
      <c r="AF142" s="58">
        <f t="shared" si="77"/>
        <v>0</v>
      </c>
      <c r="AG142" s="61">
        <f t="shared" si="78"/>
        <v>0</v>
      </c>
      <c r="AH142" s="58">
        <v>0</v>
      </c>
      <c r="AI142" s="58">
        <v>0</v>
      </c>
      <c r="AJ142" s="61">
        <v>0</v>
      </c>
      <c r="AK142" s="58"/>
      <c r="AL142" s="58"/>
      <c r="AM142" s="61"/>
      <c r="AN142" s="61">
        <f t="shared" si="79"/>
        <v>0</v>
      </c>
      <c r="AO142" s="58">
        <f t="shared" si="80"/>
        <v>0</v>
      </c>
      <c r="AP142" s="61">
        <f t="shared" si="81"/>
        <v>0</v>
      </c>
      <c r="AQ142" s="58">
        <f t="shared" si="82"/>
        <v>0</v>
      </c>
      <c r="AR142" s="58">
        <f t="shared" si="83"/>
        <v>0</v>
      </c>
      <c r="AS142" s="58">
        <f t="shared" si="84"/>
        <v>0</v>
      </c>
      <c r="AT142" s="58">
        <f>ROUND(SUMIF('JUNE (물량흐름)'!$C$13:$C$502,'In-out-bal products (155)(완성제품)'!B142,'JUNE (물량흐름)'!$AB$13:$AB$502),0)</f>
        <v>0</v>
      </c>
      <c r="AU142" s="58">
        <f t="shared" si="85"/>
        <v>0</v>
      </c>
      <c r="AV142" s="58">
        <f>ROUND(SUMIF('JUNE (물량흐름)'!$C$13:$C$502,'In-out-bal products (155)(완성제품)'!B142,'JUNE (물량흐름)'!$AC$13:$AC$502),0)</f>
        <v>0</v>
      </c>
      <c r="AW142" s="58">
        <f t="shared" si="86"/>
        <v>0</v>
      </c>
      <c r="AX142" s="376">
        <f t="shared" si="87"/>
        <v>0</v>
      </c>
      <c r="AY142" s="377">
        <f t="shared" si="88"/>
        <v>0</v>
      </c>
      <c r="AZ142" s="377">
        <f t="shared" si="89"/>
        <v>0</v>
      </c>
      <c r="BA142" s="377">
        <f t="shared" si="90"/>
        <v>0</v>
      </c>
      <c r="BB142" s="377"/>
      <c r="BC142" s="377">
        <f t="shared" si="91"/>
        <v>0</v>
      </c>
      <c r="BD142" s="377">
        <f t="shared" si="92"/>
        <v>0</v>
      </c>
      <c r="BE142" s="377"/>
      <c r="BF142" s="377">
        <f t="shared" si="93"/>
        <v>0</v>
      </c>
      <c r="BG142" s="433">
        <f t="shared" si="94"/>
        <v>0</v>
      </c>
      <c r="BH142" s="434">
        <f t="shared" si="95"/>
        <v>0</v>
      </c>
    </row>
    <row r="143" spans="1:60" s="378" customFormat="1">
      <c r="A143" s="167">
        <v>133</v>
      </c>
      <c r="B143" s="253">
        <f>VLOOKUP(A143,'JUNE (물량흐름)'!$A$13:$C$493,3,0)</f>
        <v>457841</v>
      </c>
      <c r="C143" s="57" t="str">
        <f>VLOOKUP(A143,'JUNE (물량흐름)'!$A$13:$C$493,2,0)</f>
        <v>ANN TAYLOR</v>
      </c>
      <c r="D143" s="58">
        <f>IFERROR(VLOOKUP(B143,O.B.JUNE!$V$7:$Y$448,2,0),0)</f>
        <v>0</v>
      </c>
      <c r="E143" s="58">
        <f>IFERROR(VLOOKUP(B143,O.B.JUNE!$V$7:$X$448,3,0),0)</f>
        <v>0</v>
      </c>
      <c r="F143" s="58">
        <f>IFERROR(VLOOKUP(B143,O.B.JUNE!$V$7:$Y$448,4,0),0)</f>
        <v>0</v>
      </c>
      <c r="G143" s="58">
        <f>SUMIF('JUNE (물량흐름)'!$C$13:$C$493,'In-out-bal products (155)(완성제품)'!B143,'JUNE (물량흐름)'!$V$13:$V$493)</f>
        <v>0</v>
      </c>
      <c r="H143" s="58">
        <f>SUMIF('JUNE (물량흐름)'!$C$13:$C$493,'In-out-bal products (155)(완성제품)'!B143,'JUNE (물량흐름)'!$T$13:$T$493)-SUMIF('JUNE (물량흐름)'!$C$13:$C$493,'In-out-bal products (155)(완성제품)'!B143,'JUNE (물량흐름)'!$Y$13:$Y$493)+SUMIF('JUNE (물량흐름)'!$C$13:$C$493,'In-out-bal products (155)(완성제품)'!B143,'JUNE (물량흐름)'!$U$13:$U$493)</f>
        <v>0</v>
      </c>
      <c r="I143" s="58">
        <f t="shared" si="66"/>
        <v>0</v>
      </c>
      <c r="J143" s="58">
        <f>SUMIF('Direct labour(직접노무비)'!$C$12:$C$503,'In-out-bal products (155)(완성제품)'!B143,'Direct labour(직접노무비)'!$Q$12:$Q$503)</f>
        <v>0</v>
      </c>
      <c r="K143" s="59">
        <f>SUMIF('Overhead exp(제조경비)'!$C$12:$C$503,'In-out-bal products (155)(완성제품)'!B143,'Overhead exp(제조경비)'!$Q$12:$Q$503)</f>
        <v>0</v>
      </c>
      <c r="L143" s="58">
        <f t="shared" si="67"/>
        <v>0</v>
      </c>
      <c r="M143" s="58">
        <f>SUMIF('JUNE (물량흐름)'!$C$13:$C$488,'In-out-bal products (155)(완성제품)'!B143,'JUNE (물량흐름)'!$Y$13:$Y$488)</f>
        <v>0</v>
      </c>
      <c r="N143" s="58">
        <f t="shared" si="68"/>
        <v>0</v>
      </c>
      <c r="O143" s="58">
        <f>SUMIF('Direct labour(직접노무비)'!$C$12:$C$503,'In-out-bal products (155)(완성제품)'!B143,'Direct labour(직접노무비)'!$U$12:$U$503)+SUMIF('Overhead exp(제조경비)'!$C$12:$C$503,'In-out-bal products (155)(완성제품)'!B143,'Overhead exp(제조경비)'!$U$12:$U$503)</f>
        <v>0</v>
      </c>
      <c r="P143" s="60">
        <f t="shared" si="69"/>
        <v>0</v>
      </c>
      <c r="Q143" s="60">
        <f t="shared" si="70"/>
        <v>0</v>
      </c>
      <c r="R143" s="60">
        <f t="shared" si="71"/>
        <v>0</v>
      </c>
      <c r="S143" s="58">
        <v>0</v>
      </c>
      <c r="T143" s="58">
        <v>0</v>
      </c>
      <c r="U143" s="58">
        <v>0</v>
      </c>
      <c r="V143" s="58">
        <f>SUMIF('JUNE (물량흐름)'!$C$13:$C$493,'In-out-bal products (155)(완성제품)'!B143,'JUNE (물량흐름)'!$W$13:$W$493)</f>
        <v>0</v>
      </c>
      <c r="W143" s="58">
        <f t="shared" si="72"/>
        <v>0</v>
      </c>
      <c r="X143" s="58">
        <f t="shared" si="73"/>
        <v>0</v>
      </c>
      <c r="Y143" s="58">
        <f>SUMIF('JUNE (물량흐름)'!$C$13:$C$488,'In-out-bal products (155)(완성제품)'!B143,'JUNE (물량흐름)'!$X$13:$X$488)</f>
        <v>0</v>
      </c>
      <c r="Z143" s="58">
        <f t="shared" si="74"/>
        <v>0</v>
      </c>
      <c r="AA143" s="58">
        <f t="shared" si="75"/>
        <v>0</v>
      </c>
      <c r="AB143" s="58"/>
      <c r="AC143" s="58"/>
      <c r="AD143" s="61"/>
      <c r="AE143" s="58">
        <f t="shared" si="76"/>
        <v>0</v>
      </c>
      <c r="AF143" s="58">
        <f t="shared" si="77"/>
        <v>0</v>
      </c>
      <c r="AG143" s="61">
        <f t="shared" si="78"/>
        <v>0</v>
      </c>
      <c r="AH143" s="58">
        <v>0</v>
      </c>
      <c r="AI143" s="58">
        <v>0</v>
      </c>
      <c r="AJ143" s="61">
        <v>0</v>
      </c>
      <c r="AK143" s="58"/>
      <c r="AL143" s="58"/>
      <c r="AM143" s="61"/>
      <c r="AN143" s="61">
        <f t="shared" si="79"/>
        <v>0</v>
      </c>
      <c r="AO143" s="58">
        <f t="shared" si="80"/>
        <v>0</v>
      </c>
      <c r="AP143" s="61">
        <f t="shared" si="81"/>
        <v>0</v>
      </c>
      <c r="AQ143" s="58">
        <f t="shared" si="82"/>
        <v>0</v>
      </c>
      <c r="AR143" s="58">
        <f t="shared" si="83"/>
        <v>0</v>
      </c>
      <c r="AS143" s="58">
        <f t="shared" si="84"/>
        <v>0</v>
      </c>
      <c r="AT143" s="58">
        <f>ROUND(SUMIF('JUNE (물량흐름)'!$C$13:$C$502,'In-out-bal products (155)(완성제품)'!B143,'JUNE (물량흐름)'!$AB$13:$AB$502),0)</f>
        <v>0</v>
      </c>
      <c r="AU143" s="58">
        <f t="shared" si="85"/>
        <v>0</v>
      </c>
      <c r="AV143" s="58">
        <f>ROUND(SUMIF('JUNE (물량흐름)'!$C$13:$C$502,'In-out-bal products (155)(완성제품)'!B143,'JUNE (물량흐름)'!$AC$13:$AC$502),0)</f>
        <v>0</v>
      </c>
      <c r="AW143" s="58">
        <f t="shared" si="86"/>
        <v>0</v>
      </c>
      <c r="AX143" s="376">
        <f t="shared" si="87"/>
        <v>0</v>
      </c>
      <c r="AY143" s="377">
        <f t="shared" si="88"/>
        <v>0</v>
      </c>
      <c r="AZ143" s="377">
        <f t="shared" si="89"/>
        <v>0</v>
      </c>
      <c r="BA143" s="377">
        <f t="shared" si="90"/>
        <v>0</v>
      </c>
      <c r="BB143" s="377"/>
      <c r="BC143" s="377">
        <f t="shared" si="91"/>
        <v>0</v>
      </c>
      <c r="BD143" s="377">
        <f t="shared" si="92"/>
        <v>0</v>
      </c>
      <c r="BE143" s="377"/>
      <c r="BF143" s="377">
        <f t="shared" si="93"/>
        <v>0</v>
      </c>
      <c r="BG143" s="433">
        <f t="shared" si="94"/>
        <v>0</v>
      </c>
      <c r="BH143" s="434">
        <f t="shared" si="95"/>
        <v>0</v>
      </c>
    </row>
    <row r="144" spans="1:60" s="378" customFormat="1">
      <c r="A144" s="167">
        <v>134</v>
      </c>
      <c r="B144" s="253">
        <f>VLOOKUP(A144,'JUNE (물량흐름)'!$A$13:$C$493,3,0)</f>
        <v>457842</v>
      </c>
      <c r="C144" s="57" t="str">
        <f>VLOOKUP(A144,'JUNE (물량흐름)'!$A$13:$C$493,2,0)</f>
        <v>ANN TAYLOR</v>
      </c>
      <c r="D144" s="58">
        <f>IFERROR(VLOOKUP(B144,O.B.JUNE!$V$7:$Y$448,2,0),0)</f>
        <v>0</v>
      </c>
      <c r="E144" s="58">
        <f>IFERROR(VLOOKUP(B144,O.B.JUNE!$V$7:$X$448,3,0),0)</f>
        <v>0</v>
      </c>
      <c r="F144" s="58">
        <f>IFERROR(VLOOKUP(B144,O.B.JUNE!$V$7:$Y$448,4,0),0)</f>
        <v>0</v>
      </c>
      <c r="G144" s="58">
        <f>SUMIF('JUNE (물량흐름)'!$C$13:$C$493,'In-out-bal products (155)(완성제품)'!B144,'JUNE (물량흐름)'!$V$13:$V$493)</f>
        <v>0</v>
      </c>
      <c r="H144" s="58">
        <f>SUMIF('JUNE (물량흐름)'!$C$13:$C$493,'In-out-bal products (155)(완성제품)'!B144,'JUNE (물량흐름)'!$T$13:$T$493)-SUMIF('JUNE (물량흐름)'!$C$13:$C$493,'In-out-bal products (155)(완성제품)'!B144,'JUNE (물량흐름)'!$Y$13:$Y$493)+SUMIF('JUNE (물량흐름)'!$C$13:$C$493,'In-out-bal products (155)(완성제품)'!B144,'JUNE (물량흐름)'!$U$13:$U$493)</f>
        <v>0</v>
      </c>
      <c r="I144" s="58">
        <f t="shared" si="66"/>
        <v>0</v>
      </c>
      <c r="J144" s="58">
        <f>SUMIF('Direct labour(직접노무비)'!$C$12:$C$503,'In-out-bal products (155)(완성제품)'!B144,'Direct labour(직접노무비)'!$Q$12:$Q$503)</f>
        <v>0</v>
      </c>
      <c r="K144" s="59">
        <f>SUMIF('Overhead exp(제조경비)'!$C$12:$C$503,'In-out-bal products (155)(완성제품)'!B144,'Overhead exp(제조경비)'!$Q$12:$Q$503)</f>
        <v>0</v>
      </c>
      <c r="L144" s="58">
        <f t="shared" si="67"/>
        <v>0</v>
      </c>
      <c r="M144" s="58">
        <f>SUMIF('JUNE (물량흐름)'!$C$13:$C$488,'In-out-bal products (155)(완성제품)'!B144,'JUNE (물량흐름)'!$Y$13:$Y$488)</f>
        <v>0</v>
      </c>
      <c r="N144" s="58">
        <f t="shared" si="68"/>
        <v>0</v>
      </c>
      <c r="O144" s="58">
        <f>SUMIF('Direct labour(직접노무비)'!$C$12:$C$503,'In-out-bal products (155)(완성제품)'!B144,'Direct labour(직접노무비)'!$U$12:$U$503)+SUMIF('Overhead exp(제조경비)'!$C$12:$C$503,'In-out-bal products (155)(완성제품)'!B144,'Overhead exp(제조경비)'!$U$12:$U$503)</f>
        <v>0</v>
      </c>
      <c r="P144" s="60">
        <f t="shared" si="69"/>
        <v>0</v>
      </c>
      <c r="Q144" s="60">
        <f t="shared" si="70"/>
        <v>0</v>
      </c>
      <c r="R144" s="60">
        <f t="shared" si="71"/>
        <v>0</v>
      </c>
      <c r="S144" s="58">
        <v>0</v>
      </c>
      <c r="T144" s="58">
        <v>0</v>
      </c>
      <c r="U144" s="58">
        <v>0</v>
      </c>
      <c r="V144" s="58">
        <f>SUMIF('JUNE (물량흐름)'!$C$13:$C$493,'In-out-bal products (155)(완성제품)'!B144,'JUNE (물량흐름)'!$W$13:$W$493)</f>
        <v>0</v>
      </c>
      <c r="W144" s="58">
        <f t="shared" si="72"/>
        <v>0</v>
      </c>
      <c r="X144" s="58">
        <f t="shared" si="73"/>
        <v>0</v>
      </c>
      <c r="Y144" s="58">
        <f>SUMIF('JUNE (물량흐름)'!$C$13:$C$488,'In-out-bal products (155)(완성제품)'!B144,'JUNE (물량흐름)'!$X$13:$X$488)</f>
        <v>0</v>
      </c>
      <c r="Z144" s="58">
        <f t="shared" si="74"/>
        <v>0</v>
      </c>
      <c r="AA144" s="58">
        <f t="shared" si="75"/>
        <v>0</v>
      </c>
      <c r="AB144" s="58"/>
      <c r="AC144" s="58"/>
      <c r="AD144" s="61"/>
      <c r="AE144" s="58">
        <f t="shared" si="76"/>
        <v>0</v>
      </c>
      <c r="AF144" s="58">
        <f t="shared" si="77"/>
        <v>0</v>
      </c>
      <c r="AG144" s="61">
        <f t="shared" si="78"/>
        <v>0</v>
      </c>
      <c r="AH144" s="58">
        <v>0</v>
      </c>
      <c r="AI144" s="58">
        <v>0</v>
      </c>
      <c r="AJ144" s="61">
        <v>0</v>
      </c>
      <c r="AK144" s="58"/>
      <c r="AL144" s="58"/>
      <c r="AM144" s="61"/>
      <c r="AN144" s="61">
        <f t="shared" si="79"/>
        <v>0</v>
      </c>
      <c r="AO144" s="58">
        <f t="shared" si="80"/>
        <v>0</v>
      </c>
      <c r="AP144" s="61">
        <f t="shared" si="81"/>
        <v>0</v>
      </c>
      <c r="AQ144" s="58">
        <f t="shared" si="82"/>
        <v>0</v>
      </c>
      <c r="AR144" s="58">
        <f t="shared" si="83"/>
        <v>0</v>
      </c>
      <c r="AS144" s="58">
        <f t="shared" si="84"/>
        <v>0</v>
      </c>
      <c r="AT144" s="58">
        <f>ROUND(SUMIF('JUNE (물량흐름)'!$C$13:$C$502,'In-out-bal products (155)(완성제품)'!B144,'JUNE (물량흐름)'!$AB$13:$AB$502),0)</f>
        <v>0</v>
      </c>
      <c r="AU144" s="58">
        <f t="shared" si="85"/>
        <v>0</v>
      </c>
      <c r="AV144" s="58">
        <f>ROUND(SUMIF('JUNE (물량흐름)'!$C$13:$C$502,'In-out-bal products (155)(완성제품)'!B144,'JUNE (물량흐름)'!$AC$13:$AC$502),0)</f>
        <v>0</v>
      </c>
      <c r="AW144" s="58">
        <f t="shared" si="86"/>
        <v>0</v>
      </c>
      <c r="AX144" s="376">
        <f t="shared" si="87"/>
        <v>0</v>
      </c>
      <c r="AY144" s="377">
        <f t="shared" si="88"/>
        <v>0</v>
      </c>
      <c r="AZ144" s="377">
        <f t="shared" si="89"/>
        <v>0</v>
      </c>
      <c r="BA144" s="377">
        <f t="shared" si="90"/>
        <v>0</v>
      </c>
      <c r="BB144" s="377"/>
      <c r="BC144" s="377">
        <f t="shared" si="91"/>
        <v>0</v>
      </c>
      <c r="BD144" s="377">
        <f t="shared" si="92"/>
        <v>0</v>
      </c>
      <c r="BE144" s="377"/>
      <c r="BF144" s="377">
        <f t="shared" si="93"/>
        <v>0</v>
      </c>
      <c r="BG144" s="433">
        <f t="shared" si="94"/>
        <v>0</v>
      </c>
      <c r="BH144" s="434">
        <f t="shared" si="95"/>
        <v>0</v>
      </c>
    </row>
    <row r="145" spans="1:60" s="378" customFormat="1">
      <c r="A145" s="167">
        <v>135</v>
      </c>
      <c r="B145" s="253" t="str">
        <f>VLOOKUP(A145,'JUNE (물량흐름)'!$A$13:$C$493,3,0)</f>
        <v>458244(458839)</v>
      </c>
      <c r="C145" s="57" t="str">
        <f>VLOOKUP(A145,'JUNE (물량흐름)'!$A$13:$C$493,2,0)</f>
        <v>ANN TAYLOR</v>
      </c>
      <c r="D145" s="58">
        <f>IFERROR(VLOOKUP(B145,O.B.JUNE!$V$7:$Y$448,2,0),0)</f>
        <v>0</v>
      </c>
      <c r="E145" s="58">
        <f>IFERROR(VLOOKUP(B145,O.B.JUNE!$V$7:$X$448,3,0),0)</f>
        <v>0</v>
      </c>
      <c r="F145" s="58">
        <f>IFERROR(VLOOKUP(B145,O.B.JUNE!$V$7:$Y$448,4,0),0)</f>
        <v>0</v>
      </c>
      <c r="G145" s="58">
        <f>SUMIF('JUNE (물량흐름)'!$C$13:$C$493,'In-out-bal products (155)(완성제품)'!B145,'JUNE (물량흐름)'!$V$13:$V$493)</f>
        <v>0</v>
      </c>
      <c r="H145" s="58">
        <f>SUMIF('JUNE (물량흐름)'!$C$13:$C$493,'In-out-bal products (155)(완성제품)'!B145,'JUNE (물량흐름)'!$T$13:$T$493)-SUMIF('JUNE (물량흐름)'!$C$13:$C$493,'In-out-bal products (155)(완성제품)'!B145,'JUNE (물량흐름)'!$Y$13:$Y$493)+SUMIF('JUNE (물량흐름)'!$C$13:$C$493,'In-out-bal products (155)(완성제품)'!B145,'JUNE (물량흐름)'!$U$13:$U$493)</f>
        <v>0</v>
      </c>
      <c r="I145" s="58">
        <f t="shared" si="66"/>
        <v>0</v>
      </c>
      <c r="J145" s="58">
        <f>SUMIF('Direct labour(직접노무비)'!$C$12:$C$503,'In-out-bal products (155)(완성제품)'!B145,'Direct labour(직접노무비)'!$Q$12:$Q$503)</f>
        <v>0</v>
      </c>
      <c r="K145" s="59">
        <f>SUMIF('Overhead exp(제조경비)'!$C$12:$C$503,'In-out-bal products (155)(완성제품)'!B145,'Overhead exp(제조경비)'!$Q$12:$Q$503)</f>
        <v>0</v>
      </c>
      <c r="L145" s="58">
        <f t="shared" si="67"/>
        <v>0</v>
      </c>
      <c r="M145" s="58">
        <f>SUMIF('JUNE (물량흐름)'!$C$13:$C$488,'In-out-bal products (155)(완성제품)'!B145,'JUNE (물량흐름)'!$Y$13:$Y$488)</f>
        <v>0</v>
      </c>
      <c r="N145" s="58">
        <f t="shared" si="68"/>
        <v>0</v>
      </c>
      <c r="O145" s="58">
        <f>SUMIF('Direct labour(직접노무비)'!$C$12:$C$503,'In-out-bal products (155)(완성제품)'!B145,'Direct labour(직접노무비)'!$U$12:$U$503)+SUMIF('Overhead exp(제조경비)'!$C$12:$C$503,'In-out-bal products (155)(완성제품)'!B145,'Overhead exp(제조경비)'!$U$12:$U$503)</f>
        <v>0</v>
      </c>
      <c r="P145" s="60">
        <f t="shared" si="69"/>
        <v>0</v>
      </c>
      <c r="Q145" s="60">
        <f t="shared" si="70"/>
        <v>0</v>
      </c>
      <c r="R145" s="60">
        <f t="shared" si="71"/>
        <v>0</v>
      </c>
      <c r="S145" s="58">
        <v>0</v>
      </c>
      <c r="T145" s="58">
        <v>0</v>
      </c>
      <c r="U145" s="58">
        <v>0</v>
      </c>
      <c r="V145" s="58">
        <f>SUMIF('JUNE (물량흐름)'!$C$13:$C$493,'In-out-bal products (155)(완성제품)'!B145,'JUNE (물량흐름)'!$W$13:$W$493)</f>
        <v>0</v>
      </c>
      <c r="W145" s="58">
        <f t="shared" si="72"/>
        <v>0</v>
      </c>
      <c r="X145" s="58">
        <f t="shared" si="73"/>
        <v>0</v>
      </c>
      <c r="Y145" s="58">
        <f>SUMIF('JUNE (물량흐름)'!$C$13:$C$488,'In-out-bal products (155)(완성제품)'!B145,'JUNE (물량흐름)'!$X$13:$X$488)</f>
        <v>0</v>
      </c>
      <c r="Z145" s="58">
        <f t="shared" si="74"/>
        <v>0</v>
      </c>
      <c r="AA145" s="58">
        <f t="shared" si="75"/>
        <v>0</v>
      </c>
      <c r="AB145" s="58"/>
      <c r="AC145" s="58"/>
      <c r="AD145" s="61"/>
      <c r="AE145" s="58">
        <f t="shared" si="76"/>
        <v>0</v>
      </c>
      <c r="AF145" s="58">
        <f t="shared" si="77"/>
        <v>0</v>
      </c>
      <c r="AG145" s="61">
        <f t="shared" si="78"/>
        <v>0</v>
      </c>
      <c r="AH145" s="58">
        <v>0</v>
      </c>
      <c r="AI145" s="58">
        <v>0</v>
      </c>
      <c r="AJ145" s="61">
        <v>0</v>
      </c>
      <c r="AK145" s="58"/>
      <c r="AL145" s="58"/>
      <c r="AM145" s="61"/>
      <c r="AN145" s="61">
        <f t="shared" si="79"/>
        <v>0</v>
      </c>
      <c r="AO145" s="58">
        <f t="shared" si="80"/>
        <v>0</v>
      </c>
      <c r="AP145" s="61">
        <f t="shared" si="81"/>
        <v>0</v>
      </c>
      <c r="AQ145" s="58">
        <f t="shared" si="82"/>
        <v>0</v>
      </c>
      <c r="AR145" s="58">
        <f t="shared" si="83"/>
        <v>0</v>
      </c>
      <c r="AS145" s="58">
        <f t="shared" si="84"/>
        <v>0</v>
      </c>
      <c r="AT145" s="58">
        <f>ROUND(SUMIF('JUNE (물량흐름)'!$C$13:$C$502,'In-out-bal products (155)(완성제품)'!B145,'JUNE (물량흐름)'!$AB$13:$AB$502),0)</f>
        <v>0</v>
      </c>
      <c r="AU145" s="58">
        <f t="shared" si="85"/>
        <v>0</v>
      </c>
      <c r="AV145" s="58">
        <f>ROUND(SUMIF('JUNE (물량흐름)'!$C$13:$C$502,'In-out-bal products (155)(완성제품)'!B145,'JUNE (물량흐름)'!$AC$13:$AC$502),0)</f>
        <v>0</v>
      </c>
      <c r="AW145" s="58">
        <f t="shared" si="86"/>
        <v>0</v>
      </c>
      <c r="AX145" s="376">
        <f t="shared" si="87"/>
        <v>0</v>
      </c>
      <c r="AY145" s="377">
        <f t="shared" si="88"/>
        <v>0</v>
      </c>
      <c r="AZ145" s="377">
        <f t="shared" si="89"/>
        <v>0</v>
      </c>
      <c r="BA145" s="377">
        <f t="shared" si="90"/>
        <v>0</v>
      </c>
      <c r="BB145" s="377"/>
      <c r="BC145" s="377">
        <f t="shared" si="91"/>
        <v>0</v>
      </c>
      <c r="BD145" s="377">
        <f t="shared" si="92"/>
        <v>0</v>
      </c>
      <c r="BE145" s="377"/>
      <c r="BF145" s="377">
        <f t="shared" si="93"/>
        <v>0</v>
      </c>
      <c r="BG145" s="433">
        <f t="shared" si="94"/>
        <v>0</v>
      </c>
      <c r="BH145" s="434">
        <f t="shared" si="95"/>
        <v>0</v>
      </c>
    </row>
    <row r="146" spans="1:60" s="378" customFormat="1">
      <c r="A146" s="167">
        <v>136</v>
      </c>
      <c r="B146" s="253">
        <f>VLOOKUP(A146,'JUNE (물량흐름)'!$A$13:$C$493,3,0)</f>
        <v>458624</v>
      </c>
      <c r="C146" s="57" t="str">
        <f>VLOOKUP(A146,'JUNE (물량흐름)'!$A$13:$C$493,2,0)</f>
        <v>ANN TAYLOR</v>
      </c>
      <c r="D146" s="58">
        <f>IFERROR(VLOOKUP(B146,O.B.JUNE!$V$7:$Y$448,2,0),0)</f>
        <v>0</v>
      </c>
      <c r="E146" s="58">
        <f>IFERROR(VLOOKUP(B146,O.B.JUNE!$V$7:$X$448,3,0),0)</f>
        <v>0</v>
      </c>
      <c r="F146" s="58">
        <f>IFERROR(VLOOKUP(B146,O.B.JUNE!$V$7:$Y$448,4,0),0)</f>
        <v>0</v>
      </c>
      <c r="G146" s="58">
        <f>SUMIF('JUNE (물량흐름)'!$C$13:$C$493,'In-out-bal products (155)(완성제품)'!B146,'JUNE (물량흐름)'!$V$13:$V$493)</f>
        <v>0</v>
      </c>
      <c r="H146" s="58">
        <f>SUMIF('JUNE (물량흐름)'!$C$13:$C$493,'In-out-bal products (155)(완성제품)'!B146,'JUNE (물량흐름)'!$T$13:$T$493)-SUMIF('JUNE (물량흐름)'!$C$13:$C$493,'In-out-bal products (155)(완성제품)'!B146,'JUNE (물량흐름)'!$Y$13:$Y$493)+SUMIF('JUNE (물량흐름)'!$C$13:$C$493,'In-out-bal products (155)(완성제품)'!B146,'JUNE (물량흐름)'!$U$13:$U$493)</f>
        <v>0</v>
      </c>
      <c r="I146" s="58">
        <f t="shared" si="66"/>
        <v>0</v>
      </c>
      <c r="J146" s="58">
        <f>SUMIF('Direct labour(직접노무비)'!$C$12:$C$503,'In-out-bal products (155)(완성제품)'!B146,'Direct labour(직접노무비)'!$Q$12:$Q$503)</f>
        <v>0</v>
      </c>
      <c r="K146" s="59">
        <f>SUMIF('Overhead exp(제조경비)'!$C$12:$C$503,'In-out-bal products (155)(완성제품)'!B146,'Overhead exp(제조경비)'!$Q$12:$Q$503)</f>
        <v>0</v>
      </c>
      <c r="L146" s="58">
        <f t="shared" si="67"/>
        <v>0</v>
      </c>
      <c r="M146" s="58">
        <f>SUMIF('JUNE (물량흐름)'!$C$13:$C$488,'In-out-bal products (155)(완성제품)'!B146,'JUNE (물량흐름)'!$Y$13:$Y$488)</f>
        <v>0</v>
      </c>
      <c r="N146" s="58">
        <f t="shared" si="68"/>
        <v>0</v>
      </c>
      <c r="O146" s="58">
        <f>SUMIF('Direct labour(직접노무비)'!$C$12:$C$503,'In-out-bal products (155)(완성제품)'!B146,'Direct labour(직접노무비)'!$U$12:$U$503)+SUMIF('Overhead exp(제조경비)'!$C$12:$C$503,'In-out-bal products (155)(완성제품)'!B146,'Overhead exp(제조경비)'!$U$12:$U$503)</f>
        <v>0</v>
      </c>
      <c r="P146" s="60">
        <f t="shared" si="69"/>
        <v>0</v>
      </c>
      <c r="Q146" s="60">
        <f t="shared" si="70"/>
        <v>0</v>
      </c>
      <c r="R146" s="60">
        <f t="shared" si="71"/>
        <v>0</v>
      </c>
      <c r="S146" s="58">
        <v>0</v>
      </c>
      <c r="T146" s="58">
        <v>0</v>
      </c>
      <c r="U146" s="58">
        <v>0</v>
      </c>
      <c r="V146" s="58">
        <f>SUMIF('JUNE (물량흐름)'!$C$13:$C$493,'In-out-bal products (155)(완성제품)'!B146,'JUNE (물량흐름)'!$W$13:$W$493)</f>
        <v>0</v>
      </c>
      <c r="W146" s="58">
        <f t="shared" si="72"/>
        <v>0</v>
      </c>
      <c r="X146" s="58">
        <f t="shared" si="73"/>
        <v>0</v>
      </c>
      <c r="Y146" s="58">
        <f>SUMIF('JUNE (물량흐름)'!$C$13:$C$488,'In-out-bal products (155)(완성제품)'!B146,'JUNE (물량흐름)'!$X$13:$X$488)</f>
        <v>0</v>
      </c>
      <c r="Z146" s="58">
        <f t="shared" si="74"/>
        <v>0</v>
      </c>
      <c r="AA146" s="58">
        <f t="shared" si="75"/>
        <v>0</v>
      </c>
      <c r="AB146" s="58"/>
      <c r="AC146" s="58"/>
      <c r="AD146" s="61"/>
      <c r="AE146" s="58">
        <f t="shared" si="76"/>
        <v>0</v>
      </c>
      <c r="AF146" s="58">
        <f t="shared" si="77"/>
        <v>0</v>
      </c>
      <c r="AG146" s="61">
        <f t="shared" si="78"/>
        <v>0</v>
      </c>
      <c r="AH146" s="58">
        <v>0</v>
      </c>
      <c r="AI146" s="58">
        <v>0</v>
      </c>
      <c r="AJ146" s="61">
        <v>0</v>
      </c>
      <c r="AK146" s="58"/>
      <c r="AL146" s="58"/>
      <c r="AM146" s="61"/>
      <c r="AN146" s="61">
        <f t="shared" si="79"/>
        <v>0</v>
      </c>
      <c r="AO146" s="58">
        <f t="shared" si="80"/>
        <v>0</v>
      </c>
      <c r="AP146" s="61">
        <f t="shared" si="81"/>
        <v>0</v>
      </c>
      <c r="AQ146" s="58">
        <f t="shared" si="82"/>
        <v>0</v>
      </c>
      <c r="AR146" s="58">
        <f t="shared" si="83"/>
        <v>0</v>
      </c>
      <c r="AS146" s="58">
        <f t="shared" si="84"/>
        <v>0</v>
      </c>
      <c r="AT146" s="58">
        <f>ROUND(SUMIF('JUNE (물량흐름)'!$C$13:$C$502,'In-out-bal products (155)(완성제품)'!B146,'JUNE (물량흐름)'!$AB$13:$AB$502),0)</f>
        <v>0</v>
      </c>
      <c r="AU146" s="58">
        <f t="shared" si="85"/>
        <v>0</v>
      </c>
      <c r="AV146" s="58">
        <f>ROUND(SUMIF('JUNE (물량흐름)'!$C$13:$C$502,'In-out-bal products (155)(완성제품)'!B146,'JUNE (물량흐름)'!$AC$13:$AC$502),0)</f>
        <v>0</v>
      </c>
      <c r="AW146" s="58">
        <f t="shared" si="86"/>
        <v>0</v>
      </c>
      <c r="AX146" s="376">
        <f t="shared" si="87"/>
        <v>0</v>
      </c>
      <c r="AY146" s="377">
        <f t="shared" si="88"/>
        <v>0</v>
      </c>
      <c r="AZ146" s="377">
        <f t="shared" si="89"/>
        <v>0</v>
      </c>
      <c r="BA146" s="377">
        <f t="shared" si="90"/>
        <v>0</v>
      </c>
      <c r="BB146" s="377"/>
      <c r="BC146" s="377">
        <f t="shared" si="91"/>
        <v>0</v>
      </c>
      <c r="BD146" s="377">
        <f t="shared" si="92"/>
        <v>0</v>
      </c>
      <c r="BE146" s="377"/>
      <c r="BF146" s="377">
        <f t="shared" si="93"/>
        <v>0</v>
      </c>
      <c r="BG146" s="433">
        <f t="shared" si="94"/>
        <v>0</v>
      </c>
      <c r="BH146" s="434">
        <f t="shared" si="95"/>
        <v>0</v>
      </c>
    </row>
    <row r="147" spans="1:60" s="378" customFormat="1">
      <c r="A147" s="167">
        <v>137</v>
      </c>
      <c r="B147" s="253">
        <f>VLOOKUP(A147,'JUNE (물량흐름)'!$A$13:$C$493,3,0)</f>
        <v>458626</v>
      </c>
      <c r="C147" s="57" t="str">
        <f>VLOOKUP(A147,'JUNE (물량흐름)'!$A$13:$C$493,2,0)</f>
        <v>ANN TAYLOR</v>
      </c>
      <c r="D147" s="58">
        <f>IFERROR(VLOOKUP(B147,O.B.JUNE!$V$7:$Y$448,2,0),0)</f>
        <v>0</v>
      </c>
      <c r="E147" s="58">
        <f>IFERROR(VLOOKUP(B147,O.B.JUNE!$V$7:$X$448,3,0),0)</f>
        <v>0</v>
      </c>
      <c r="F147" s="58">
        <f>IFERROR(VLOOKUP(B147,O.B.JUNE!$V$7:$Y$448,4,0),0)</f>
        <v>0</v>
      </c>
      <c r="G147" s="58">
        <f>SUMIF('JUNE (물량흐름)'!$C$13:$C$493,'In-out-bal products (155)(완성제품)'!B147,'JUNE (물량흐름)'!$V$13:$V$493)</f>
        <v>0</v>
      </c>
      <c r="H147" s="58">
        <f>SUMIF('JUNE (물량흐름)'!$C$13:$C$493,'In-out-bal products (155)(완성제품)'!B147,'JUNE (물량흐름)'!$T$13:$T$493)-SUMIF('JUNE (물량흐름)'!$C$13:$C$493,'In-out-bal products (155)(완성제품)'!B147,'JUNE (물량흐름)'!$Y$13:$Y$493)+SUMIF('JUNE (물량흐름)'!$C$13:$C$493,'In-out-bal products (155)(완성제품)'!B147,'JUNE (물량흐름)'!$U$13:$U$493)</f>
        <v>0</v>
      </c>
      <c r="I147" s="58">
        <f t="shared" si="66"/>
        <v>0</v>
      </c>
      <c r="J147" s="58">
        <f>SUMIF('Direct labour(직접노무비)'!$C$12:$C$503,'In-out-bal products (155)(완성제품)'!B147,'Direct labour(직접노무비)'!$Q$12:$Q$503)</f>
        <v>0</v>
      </c>
      <c r="K147" s="59">
        <f>SUMIF('Overhead exp(제조경비)'!$C$12:$C$503,'In-out-bal products (155)(완성제품)'!B147,'Overhead exp(제조경비)'!$Q$12:$Q$503)</f>
        <v>0</v>
      </c>
      <c r="L147" s="58">
        <f t="shared" si="67"/>
        <v>0</v>
      </c>
      <c r="M147" s="58">
        <f>SUMIF('JUNE (물량흐름)'!$C$13:$C$488,'In-out-bal products (155)(완성제품)'!B147,'JUNE (물량흐름)'!$Y$13:$Y$488)</f>
        <v>0</v>
      </c>
      <c r="N147" s="58">
        <f t="shared" si="68"/>
        <v>0</v>
      </c>
      <c r="O147" s="58">
        <f>SUMIF('Direct labour(직접노무비)'!$C$12:$C$503,'In-out-bal products (155)(완성제품)'!B147,'Direct labour(직접노무비)'!$U$12:$U$503)+SUMIF('Overhead exp(제조경비)'!$C$12:$C$503,'In-out-bal products (155)(완성제품)'!B147,'Overhead exp(제조경비)'!$U$12:$U$503)</f>
        <v>0</v>
      </c>
      <c r="P147" s="60">
        <f t="shared" si="69"/>
        <v>0</v>
      </c>
      <c r="Q147" s="60">
        <f t="shared" si="70"/>
        <v>0</v>
      </c>
      <c r="R147" s="60">
        <f t="shared" si="71"/>
        <v>0</v>
      </c>
      <c r="S147" s="58">
        <v>0</v>
      </c>
      <c r="T147" s="58">
        <v>0</v>
      </c>
      <c r="U147" s="58">
        <v>0</v>
      </c>
      <c r="V147" s="58">
        <f>SUMIF('JUNE (물량흐름)'!$C$13:$C$493,'In-out-bal products (155)(완성제품)'!B147,'JUNE (물량흐름)'!$W$13:$W$493)</f>
        <v>0</v>
      </c>
      <c r="W147" s="58">
        <f t="shared" si="72"/>
        <v>0</v>
      </c>
      <c r="X147" s="58">
        <f t="shared" si="73"/>
        <v>0</v>
      </c>
      <c r="Y147" s="58">
        <f>SUMIF('JUNE (물량흐름)'!$C$13:$C$488,'In-out-bal products (155)(완성제품)'!B147,'JUNE (물량흐름)'!$X$13:$X$488)</f>
        <v>0</v>
      </c>
      <c r="Z147" s="58">
        <f t="shared" si="74"/>
        <v>0</v>
      </c>
      <c r="AA147" s="58">
        <f t="shared" si="75"/>
        <v>0</v>
      </c>
      <c r="AB147" s="58"/>
      <c r="AC147" s="58"/>
      <c r="AD147" s="61"/>
      <c r="AE147" s="58">
        <f t="shared" si="76"/>
        <v>0</v>
      </c>
      <c r="AF147" s="58">
        <f t="shared" si="77"/>
        <v>0</v>
      </c>
      <c r="AG147" s="61">
        <f t="shared" si="78"/>
        <v>0</v>
      </c>
      <c r="AH147" s="58">
        <v>0</v>
      </c>
      <c r="AI147" s="58">
        <v>0</v>
      </c>
      <c r="AJ147" s="61">
        <v>0</v>
      </c>
      <c r="AK147" s="58"/>
      <c r="AL147" s="58"/>
      <c r="AM147" s="61"/>
      <c r="AN147" s="61">
        <f t="shared" si="79"/>
        <v>0</v>
      </c>
      <c r="AO147" s="58">
        <f t="shared" si="80"/>
        <v>0</v>
      </c>
      <c r="AP147" s="61">
        <f t="shared" si="81"/>
        <v>0</v>
      </c>
      <c r="AQ147" s="58">
        <f t="shared" si="82"/>
        <v>0</v>
      </c>
      <c r="AR147" s="58">
        <f t="shared" si="83"/>
        <v>0</v>
      </c>
      <c r="AS147" s="58">
        <f t="shared" si="84"/>
        <v>0</v>
      </c>
      <c r="AT147" s="58">
        <f>ROUND(SUMIF('JUNE (물량흐름)'!$C$13:$C$502,'In-out-bal products (155)(완성제품)'!B147,'JUNE (물량흐름)'!$AB$13:$AB$502),0)</f>
        <v>0</v>
      </c>
      <c r="AU147" s="58">
        <f t="shared" si="85"/>
        <v>0</v>
      </c>
      <c r="AV147" s="58">
        <f>ROUND(SUMIF('JUNE (물량흐름)'!$C$13:$C$502,'In-out-bal products (155)(완성제품)'!B147,'JUNE (물량흐름)'!$AC$13:$AC$502),0)</f>
        <v>0</v>
      </c>
      <c r="AW147" s="58">
        <f t="shared" si="86"/>
        <v>0</v>
      </c>
      <c r="AX147" s="376">
        <f t="shared" si="87"/>
        <v>0</v>
      </c>
      <c r="AY147" s="377">
        <f t="shared" si="88"/>
        <v>0</v>
      </c>
      <c r="AZ147" s="377">
        <f t="shared" si="89"/>
        <v>0</v>
      </c>
      <c r="BA147" s="377">
        <f t="shared" si="90"/>
        <v>0</v>
      </c>
      <c r="BB147" s="377"/>
      <c r="BC147" s="377">
        <f t="shared" si="91"/>
        <v>0</v>
      </c>
      <c r="BD147" s="377">
        <f t="shared" si="92"/>
        <v>0</v>
      </c>
      <c r="BE147" s="377"/>
      <c r="BF147" s="377">
        <f t="shared" si="93"/>
        <v>0</v>
      </c>
      <c r="BG147" s="433">
        <f t="shared" si="94"/>
        <v>0</v>
      </c>
      <c r="BH147" s="434">
        <f t="shared" si="95"/>
        <v>0</v>
      </c>
    </row>
    <row r="148" spans="1:60" s="378" customFormat="1">
      <c r="A148" s="167">
        <v>138</v>
      </c>
      <c r="B148" s="253">
        <f>VLOOKUP(A148,'JUNE (물량흐름)'!$A$13:$C$493,3,0)</f>
        <v>459044</v>
      </c>
      <c r="C148" s="57" t="str">
        <f>VLOOKUP(A148,'JUNE (물량흐름)'!$A$13:$C$493,2,0)</f>
        <v>ANN TAYLOR</v>
      </c>
      <c r="D148" s="58">
        <f>IFERROR(VLOOKUP(B148,O.B.JUNE!$V$7:$Y$448,2,0),0)</f>
        <v>0</v>
      </c>
      <c r="E148" s="58">
        <f>IFERROR(VLOOKUP(B148,O.B.JUNE!$V$7:$X$448,3,0),0)</f>
        <v>0</v>
      </c>
      <c r="F148" s="58">
        <f>IFERROR(VLOOKUP(B148,O.B.JUNE!$V$7:$Y$448,4,0),0)</f>
        <v>0</v>
      </c>
      <c r="G148" s="58">
        <f>SUMIF('JUNE (물량흐름)'!$C$13:$C$493,'In-out-bal products (155)(완성제품)'!B148,'JUNE (물량흐름)'!$V$13:$V$493)</f>
        <v>0</v>
      </c>
      <c r="H148" s="58">
        <f>SUMIF('JUNE (물량흐름)'!$C$13:$C$493,'In-out-bal products (155)(완성제품)'!B148,'JUNE (물량흐름)'!$T$13:$T$493)-SUMIF('JUNE (물량흐름)'!$C$13:$C$493,'In-out-bal products (155)(완성제품)'!B148,'JUNE (물량흐름)'!$Y$13:$Y$493)+SUMIF('JUNE (물량흐름)'!$C$13:$C$493,'In-out-bal products (155)(완성제품)'!B148,'JUNE (물량흐름)'!$U$13:$U$493)</f>
        <v>0</v>
      </c>
      <c r="I148" s="58">
        <f t="shared" si="66"/>
        <v>0</v>
      </c>
      <c r="J148" s="58">
        <f>SUMIF('Direct labour(직접노무비)'!$C$12:$C$503,'In-out-bal products (155)(완성제품)'!B148,'Direct labour(직접노무비)'!$Q$12:$Q$503)</f>
        <v>0</v>
      </c>
      <c r="K148" s="59">
        <f>SUMIF('Overhead exp(제조경비)'!$C$12:$C$503,'In-out-bal products (155)(완성제품)'!B148,'Overhead exp(제조경비)'!$Q$12:$Q$503)</f>
        <v>0</v>
      </c>
      <c r="L148" s="58">
        <f t="shared" si="67"/>
        <v>0</v>
      </c>
      <c r="M148" s="58">
        <f>SUMIF('JUNE (물량흐름)'!$C$13:$C$488,'In-out-bal products (155)(완성제품)'!B148,'JUNE (물량흐름)'!$Y$13:$Y$488)</f>
        <v>0</v>
      </c>
      <c r="N148" s="58">
        <f t="shared" si="68"/>
        <v>0</v>
      </c>
      <c r="O148" s="58">
        <f>SUMIF('Direct labour(직접노무비)'!$C$12:$C$503,'In-out-bal products (155)(완성제품)'!B148,'Direct labour(직접노무비)'!$U$12:$U$503)+SUMIF('Overhead exp(제조경비)'!$C$12:$C$503,'In-out-bal products (155)(완성제품)'!B148,'Overhead exp(제조경비)'!$U$12:$U$503)</f>
        <v>0</v>
      </c>
      <c r="P148" s="60">
        <f t="shared" si="69"/>
        <v>0</v>
      </c>
      <c r="Q148" s="60">
        <f t="shared" si="70"/>
        <v>0</v>
      </c>
      <c r="R148" s="60">
        <f t="shared" si="71"/>
        <v>0</v>
      </c>
      <c r="S148" s="58">
        <v>0</v>
      </c>
      <c r="T148" s="58">
        <v>0</v>
      </c>
      <c r="U148" s="58">
        <v>0</v>
      </c>
      <c r="V148" s="58">
        <f>SUMIF('JUNE (물량흐름)'!$C$13:$C$493,'In-out-bal products (155)(완성제품)'!B148,'JUNE (물량흐름)'!$W$13:$W$493)</f>
        <v>0</v>
      </c>
      <c r="W148" s="58">
        <f t="shared" si="72"/>
        <v>0</v>
      </c>
      <c r="X148" s="58">
        <f t="shared" si="73"/>
        <v>0</v>
      </c>
      <c r="Y148" s="58">
        <f>SUMIF('JUNE (물량흐름)'!$C$13:$C$488,'In-out-bal products (155)(완성제품)'!B148,'JUNE (물량흐름)'!$X$13:$X$488)</f>
        <v>0</v>
      </c>
      <c r="Z148" s="58">
        <f t="shared" si="74"/>
        <v>0</v>
      </c>
      <c r="AA148" s="58">
        <f t="shared" si="75"/>
        <v>0</v>
      </c>
      <c r="AB148" s="58"/>
      <c r="AC148" s="58"/>
      <c r="AD148" s="61"/>
      <c r="AE148" s="58">
        <f t="shared" si="76"/>
        <v>0</v>
      </c>
      <c r="AF148" s="58">
        <f t="shared" si="77"/>
        <v>0</v>
      </c>
      <c r="AG148" s="61">
        <f t="shared" si="78"/>
        <v>0</v>
      </c>
      <c r="AH148" s="58">
        <v>0</v>
      </c>
      <c r="AI148" s="58">
        <v>0</v>
      </c>
      <c r="AJ148" s="61">
        <v>0</v>
      </c>
      <c r="AK148" s="58"/>
      <c r="AL148" s="58"/>
      <c r="AM148" s="61"/>
      <c r="AN148" s="61">
        <f t="shared" si="79"/>
        <v>0</v>
      </c>
      <c r="AO148" s="58">
        <f t="shared" si="80"/>
        <v>0</v>
      </c>
      <c r="AP148" s="61">
        <f t="shared" si="81"/>
        <v>0</v>
      </c>
      <c r="AQ148" s="58">
        <f t="shared" si="82"/>
        <v>0</v>
      </c>
      <c r="AR148" s="58">
        <f t="shared" si="83"/>
        <v>0</v>
      </c>
      <c r="AS148" s="58">
        <f t="shared" si="84"/>
        <v>0</v>
      </c>
      <c r="AT148" s="58">
        <f>ROUND(SUMIF('JUNE (물량흐름)'!$C$13:$C$502,'In-out-bal products (155)(완성제품)'!B148,'JUNE (물량흐름)'!$AB$13:$AB$502),0)</f>
        <v>0</v>
      </c>
      <c r="AU148" s="58">
        <f t="shared" si="85"/>
        <v>0</v>
      </c>
      <c r="AV148" s="58">
        <f>ROUND(SUMIF('JUNE (물량흐름)'!$C$13:$C$502,'In-out-bal products (155)(완성제품)'!B148,'JUNE (물량흐름)'!$AC$13:$AC$502),0)</f>
        <v>0</v>
      </c>
      <c r="AW148" s="58">
        <f t="shared" si="86"/>
        <v>0</v>
      </c>
      <c r="AX148" s="376">
        <f t="shared" si="87"/>
        <v>0</v>
      </c>
      <c r="AY148" s="377">
        <f t="shared" si="88"/>
        <v>0</v>
      </c>
      <c r="AZ148" s="377">
        <f t="shared" si="89"/>
        <v>0</v>
      </c>
      <c r="BA148" s="377">
        <f t="shared" si="90"/>
        <v>0</v>
      </c>
      <c r="BB148" s="377"/>
      <c r="BC148" s="377">
        <f t="shared" si="91"/>
        <v>0</v>
      </c>
      <c r="BD148" s="377">
        <f t="shared" si="92"/>
        <v>0</v>
      </c>
      <c r="BE148" s="377"/>
      <c r="BF148" s="377">
        <f t="shared" si="93"/>
        <v>0</v>
      </c>
      <c r="BG148" s="433">
        <f t="shared" si="94"/>
        <v>0</v>
      </c>
      <c r="BH148" s="434">
        <f t="shared" si="95"/>
        <v>0</v>
      </c>
    </row>
    <row r="149" spans="1:60" s="378" customFormat="1">
      <c r="A149" s="167">
        <v>139</v>
      </c>
      <c r="B149" s="253">
        <f>VLOOKUP(A149,'JUNE (물량흐름)'!$A$13:$C$493,3,0)</f>
        <v>459046</v>
      </c>
      <c r="C149" s="57" t="str">
        <f>VLOOKUP(A149,'JUNE (물량흐름)'!$A$13:$C$493,2,0)</f>
        <v>ANN TAYLOR</v>
      </c>
      <c r="D149" s="58">
        <f>IFERROR(VLOOKUP(B149,O.B.JUNE!$V$7:$Y$448,2,0),0)</f>
        <v>0</v>
      </c>
      <c r="E149" s="58">
        <f>IFERROR(VLOOKUP(B149,O.B.JUNE!$V$7:$X$448,3,0),0)</f>
        <v>0</v>
      </c>
      <c r="F149" s="58">
        <f>IFERROR(VLOOKUP(B149,O.B.JUNE!$V$7:$Y$448,4,0),0)</f>
        <v>0</v>
      </c>
      <c r="G149" s="58">
        <f>SUMIF('JUNE (물량흐름)'!$C$13:$C$493,'In-out-bal products (155)(완성제품)'!B149,'JUNE (물량흐름)'!$V$13:$V$493)</f>
        <v>0</v>
      </c>
      <c r="H149" s="58">
        <f>SUMIF('JUNE (물량흐름)'!$C$13:$C$493,'In-out-bal products (155)(완성제품)'!B149,'JUNE (물량흐름)'!$T$13:$T$493)-SUMIF('JUNE (물량흐름)'!$C$13:$C$493,'In-out-bal products (155)(완성제품)'!B149,'JUNE (물량흐름)'!$Y$13:$Y$493)+SUMIF('JUNE (물량흐름)'!$C$13:$C$493,'In-out-bal products (155)(완성제품)'!B149,'JUNE (물량흐름)'!$U$13:$U$493)</f>
        <v>0</v>
      </c>
      <c r="I149" s="58">
        <f t="shared" si="66"/>
        <v>0</v>
      </c>
      <c r="J149" s="58">
        <f>SUMIF('Direct labour(직접노무비)'!$C$12:$C$503,'In-out-bal products (155)(완성제품)'!B149,'Direct labour(직접노무비)'!$Q$12:$Q$503)</f>
        <v>0</v>
      </c>
      <c r="K149" s="59">
        <f>SUMIF('Overhead exp(제조경비)'!$C$12:$C$503,'In-out-bal products (155)(완성제품)'!B149,'Overhead exp(제조경비)'!$Q$12:$Q$503)</f>
        <v>0</v>
      </c>
      <c r="L149" s="58">
        <f t="shared" si="67"/>
        <v>0</v>
      </c>
      <c r="M149" s="58">
        <f>SUMIF('JUNE (물량흐름)'!$C$13:$C$488,'In-out-bal products (155)(완성제품)'!B149,'JUNE (물량흐름)'!$Y$13:$Y$488)</f>
        <v>0</v>
      </c>
      <c r="N149" s="58">
        <f t="shared" si="68"/>
        <v>0</v>
      </c>
      <c r="O149" s="58">
        <f>SUMIF('Direct labour(직접노무비)'!$C$12:$C$503,'In-out-bal products (155)(완성제품)'!B149,'Direct labour(직접노무비)'!$U$12:$U$503)+SUMIF('Overhead exp(제조경비)'!$C$12:$C$503,'In-out-bal products (155)(완성제품)'!B149,'Overhead exp(제조경비)'!$U$12:$U$503)</f>
        <v>0</v>
      </c>
      <c r="P149" s="60">
        <f t="shared" si="69"/>
        <v>0</v>
      </c>
      <c r="Q149" s="60">
        <f t="shared" si="70"/>
        <v>0</v>
      </c>
      <c r="R149" s="60">
        <f t="shared" si="71"/>
        <v>0</v>
      </c>
      <c r="S149" s="58">
        <v>0</v>
      </c>
      <c r="T149" s="58">
        <v>0</v>
      </c>
      <c r="U149" s="58">
        <v>0</v>
      </c>
      <c r="V149" s="58">
        <f>SUMIF('JUNE (물량흐름)'!$C$13:$C$493,'In-out-bal products (155)(완성제품)'!B149,'JUNE (물량흐름)'!$W$13:$W$493)</f>
        <v>0</v>
      </c>
      <c r="W149" s="58">
        <f t="shared" si="72"/>
        <v>0</v>
      </c>
      <c r="X149" s="58">
        <f t="shared" si="73"/>
        <v>0</v>
      </c>
      <c r="Y149" s="58">
        <f>SUMIF('JUNE (물량흐름)'!$C$13:$C$488,'In-out-bal products (155)(완성제품)'!B149,'JUNE (물량흐름)'!$X$13:$X$488)</f>
        <v>0</v>
      </c>
      <c r="Z149" s="58">
        <f t="shared" si="74"/>
        <v>0</v>
      </c>
      <c r="AA149" s="58">
        <f t="shared" si="75"/>
        <v>0</v>
      </c>
      <c r="AB149" s="58"/>
      <c r="AC149" s="58"/>
      <c r="AD149" s="61"/>
      <c r="AE149" s="58">
        <f t="shared" si="76"/>
        <v>0</v>
      </c>
      <c r="AF149" s="58">
        <f t="shared" si="77"/>
        <v>0</v>
      </c>
      <c r="AG149" s="61">
        <f t="shared" si="78"/>
        <v>0</v>
      </c>
      <c r="AH149" s="58">
        <v>0</v>
      </c>
      <c r="AI149" s="58">
        <v>0</v>
      </c>
      <c r="AJ149" s="61">
        <v>0</v>
      </c>
      <c r="AK149" s="58"/>
      <c r="AL149" s="58"/>
      <c r="AM149" s="61"/>
      <c r="AN149" s="61">
        <f t="shared" si="79"/>
        <v>0</v>
      </c>
      <c r="AO149" s="58">
        <f t="shared" si="80"/>
        <v>0</v>
      </c>
      <c r="AP149" s="61">
        <f t="shared" si="81"/>
        <v>0</v>
      </c>
      <c r="AQ149" s="58">
        <f t="shared" si="82"/>
        <v>0</v>
      </c>
      <c r="AR149" s="58">
        <f t="shared" si="83"/>
        <v>0</v>
      </c>
      <c r="AS149" s="58">
        <f t="shared" si="84"/>
        <v>0</v>
      </c>
      <c r="AT149" s="58">
        <f>ROUND(SUMIF('JUNE (물량흐름)'!$C$13:$C$502,'In-out-bal products (155)(완성제품)'!B149,'JUNE (물량흐름)'!$AB$13:$AB$502),0)</f>
        <v>0</v>
      </c>
      <c r="AU149" s="58">
        <f t="shared" si="85"/>
        <v>0</v>
      </c>
      <c r="AV149" s="58">
        <f>ROUND(SUMIF('JUNE (물량흐름)'!$C$13:$C$502,'In-out-bal products (155)(완성제품)'!B149,'JUNE (물량흐름)'!$AC$13:$AC$502),0)</f>
        <v>0</v>
      </c>
      <c r="AW149" s="58">
        <f t="shared" si="86"/>
        <v>0</v>
      </c>
      <c r="AX149" s="376">
        <f t="shared" si="87"/>
        <v>0</v>
      </c>
      <c r="AY149" s="377">
        <f t="shared" si="88"/>
        <v>0</v>
      </c>
      <c r="AZ149" s="377">
        <f t="shared" si="89"/>
        <v>0</v>
      </c>
      <c r="BA149" s="377">
        <f t="shared" si="90"/>
        <v>0</v>
      </c>
      <c r="BB149" s="377"/>
      <c r="BC149" s="377">
        <f t="shared" si="91"/>
        <v>0</v>
      </c>
      <c r="BD149" s="377">
        <f t="shared" si="92"/>
        <v>0</v>
      </c>
      <c r="BE149" s="377"/>
      <c r="BF149" s="377">
        <f t="shared" si="93"/>
        <v>0</v>
      </c>
      <c r="BG149" s="433">
        <f t="shared" si="94"/>
        <v>0</v>
      </c>
      <c r="BH149" s="434">
        <f t="shared" si="95"/>
        <v>0</v>
      </c>
    </row>
    <row r="150" spans="1:60" s="378" customFormat="1">
      <c r="A150" s="167">
        <v>140</v>
      </c>
      <c r="B150" s="253">
        <f>VLOOKUP(A150,'JUNE (물량흐름)'!$A$13:$C$493,3,0)</f>
        <v>459199</v>
      </c>
      <c r="C150" s="57" t="str">
        <f>VLOOKUP(A150,'JUNE (물량흐름)'!$A$13:$C$493,2,0)</f>
        <v>ANN TAYLOR</v>
      </c>
      <c r="D150" s="58">
        <f>IFERROR(VLOOKUP(B150,O.B.JUNE!$V$7:$Y$448,2,0),0)</f>
        <v>0</v>
      </c>
      <c r="E150" s="58">
        <f>IFERROR(VLOOKUP(B150,O.B.JUNE!$V$7:$X$448,3,0),0)</f>
        <v>0</v>
      </c>
      <c r="F150" s="58">
        <f>IFERROR(VLOOKUP(B150,O.B.JUNE!$V$7:$Y$448,4,0),0)</f>
        <v>0</v>
      </c>
      <c r="G150" s="58">
        <f>SUMIF('JUNE (물량흐름)'!$C$13:$C$493,'In-out-bal products (155)(완성제품)'!B150,'JUNE (물량흐름)'!$V$13:$V$493)</f>
        <v>0</v>
      </c>
      <c r="H150" s="58">
        <f>SUMIF('JUNE (물량흐름)'!$C$13:$C$493,'In-out-bal products (155)(완성제품)'!B150,'JUNE (물량흐름)'!$T$13:$T$493)-SUMIF('JUNE (물량흐름)'!$C$13:$C$493,'In-out-bal products (155)(완성제품)'!B150,'JUNE (물량흐름)'!$Y$13:$Y$493)+SUMIF('JUNE (물량흐름)'!$C$13:$C$493,'In-out-bal products (155)(완성제품)'!B150,'JUNE (물량흐름)'!$U$13:$U$493)</f>
        <v>0</v>
      </c>
      <c r="I150" s="58">
        <f t="shared" si="66"/>
        <v>0</v>
      </c>
      <c r="J150" s="58">
        <f>SUMIF('Direct labour(직접노무비)'!$C$12:$C$503,'In-out-bal products (155)(완성제품)'!B150,'Direct labour(직접노무비)'!$Q$12:$Q$503)</f>
        <v>0</v>
      </c>
      <c r="K150" s="59">
        <f>SUMIF('Overhead exp(제조경비)'!$C$12:$C$503,'In-out-bal products (155)(완성제품)'!B150,'Overhead exp(제조경비)'!$Q$12:$Q$503)</f>
        <v>0</v>
      </c>
      <c r="L150" s="58">
        <f t="shared" si="67"/>
        <v>0</v>
      </c>
      <c r="M150" s="58">
        <f>SUMIF('JUNE (물량흐름)'!$C$13:$C$488,'In-out-bal products (155)(완성제품)'!B150,'JUNE (물량흐름)'!$Y$13:$Y$488)</f>
        <v>0</v>
      </c>
      <c r="N150" s="58">
        <f t="shared" si="68"/>
        <v>0</v>
      </c>
      <c r="O150" s="58">
        <f>SUMIF('Direct labour(직접노무비)'!$C$12:$C$503,'In-out-bal products (155)(완성제품)'!B150,'Direct labour(직접노무비)'!$U$12:$U$503)+SUMIF('Overhead exp(제조경비)'!$C$12:$C$503,'In-out-bal products (155)(완성제품)'!B150,'Overhead exp(제조경비)'!$U$12:$U$503)</f>
        <v>0</v>
      </c>
      <c r="P150" s="60">
        <f t="shared" si="69"/>
        <v>0</v>
      </c>
      <c r="Q150" s="60">
        <f t="shared" si="70"/>
        <v>0</v>
      </c>
      <c r="R150" s="60">
        <f t="shared" si="71"/>
        <v>0</v>
      </c>
      <c r="S150" s="58">
        <v>0</v>
      </c>
      <c r="T150" s="58">
        <v>0</v>
      </c>
      <c r="U150" s="58">
        <v>0</v>
      </c>
      <c r="V150" s="58">
        <f>SUMIF('JUNE (물량흐름)'!$C$13:$C$493,'In-out-bal products (155)(완성제품)'!B150,'JUNE (물량흐름)'!$W$13:$W$493)</f>
        <v>0</v>
      </c>
      <c r="W150" s="58">
        <f t="shared" si="72"/>
        <v>0</v>
      </c>
      <c r="X150" s="58">
        <f t="shared" si="73"/>
        <v>0</v>
      </c>
      <c r="Y150" s="58">
        <f>SUMIF('JUNE (물량흐름)'!$C$13:$C$488,'In-out-bal products (155)(완성제품)'!B150,'JUNE (물량흐름)'!$X$13:$X$488)</f>
        <v>0</v>
      </c>
      <c r="Z150" s="58">
        <f t="shared" si="74"/>
        <v>0</v>
      </c>
      <c r="AA150" s="58">
        <f t="shared" si="75"/>
        <v>0</v>
      </c>
      <c r="AB150" s="58"/>
      <c r="AC150" s="58"/>
      <c r="AD150" s="61"/>
      <c r="AE150" s="58">
        <f t="shared" si="76"/>
        <v>0</v>
      </c>
      <c r="AF150" s="58">
        <f t="shared" si="77"/>
        <v>0</v>
      </c>
      <c r="AG150" s="61">
        <f t="shared" si="78"/>
        <v>0</v>
      </c>
      <c r="AH150" s="58">
        <v>0</v>
      </c>
      <c r="AI150" s="58">
        <v>0</v>
      </c>
      <c r="AJ150" s="61">
        <v>0</v>
      </c>
      <c r="AK150" s="58"/>
      <c r="AL150" s="58"/>
      <c r="AM150" s="61"/>
      <c r="AN150" s="61">
        <f t="shared" si="79"/>
        <v>0</v>
      </c>
      <c r="AO150" s="58">
        <f t="shared" si="80"/>
        <v>0</v>
      </c>
      <c r="AP150" s="61">
        <f t="shared" si="81"/>
        <v>0</v>
      </c>
      <c r="AQ150" s="58">
        <f t="shared" si="82"/>
        <v>0</v>
      </c>
      <c r="AR150" s="58">
        <f t="shared" si="83"/>
        <v>0</v>
      </c>
      <c r="AS150" s="58">
        <f t="shared" si="84"/>
        <v>0</v>
      </c>
      <c r="AT150" s="58">
        <f>ROUND(SUMIF('JUNE (물량흐름)'!$C$13:$C$502,'In-out-bal products (155)(완성제품)'!B150,'JUNE (물량흐름)'!$AB$13:$AB$502),0)</f>
        <v>0</v>
      </c>
      <c r="AU150" s="58">
        <f t="shared" si="85"/>
        <v>0</v>
      </c>
      <c r="AV150" s="58">
        <f>ROUND(SUMIF('JUNE (물량흐름)'!$C$13:$C$502,'In-out-bal products (155)(완성제품)'!B150,'JUNE (물량흐름)'!$AC$13:$AC$502),0)</f>
        <v>0</v>
      </c>
      <c r="AW150" s="58">
        <f t="shared" si="86"/>
        <v>0</v>
      </c>
      <c r="AX150" s="376">
        <f t="shared" si="87"/>
        <v>0</v>
      </c>
      <c r="AY150" s="377">
        <f t="shared" si="88"/>
        <v>0</v>
      </c>
      <c r="AZ150" s="377">
        <f t="shared" si="89"/>
        <v>0</v>
      </c>
      <c r="BA150" s="377">
        <f t="shared" si="90"/>
        <v>0</v>
      </c>
      <c r="BB150" s="377"/>
      <c r="BC150" s="377">
        <f t="shared" si="91"/>
        <v>0</v>
      </c>
      <c r="BD150" s="377">
        <f t="shared" si="92"/>
        <v>0</v>
      </c>
      <c r="BE150" s="377"/>
      <c r="BF150" s="377">
        <f t="shared" si="93"/>
        <v>0</v>
      </c>
      <c r="BG150" s="433">
        <f t="shared" si="94"/>
        <v>0</v>
      </c>
      <c r="BH150" s="434">
        <f t="shared" si="95"/>
        <v>0</v>
      </c>
    </row>
    <row r="151" spans="1:60" s="378" customFormat="1">
      <c r="A151" s="167">
        <v>141</v>
      </c>
      <c r="B151" s="253">
        <f>VLOOKUP(A151,'JUNE (물량흐름)'!$A$13:$C$493,3,0)</f>
        <v>459200</v>
      </c>
      <c r="C151" s="57" t="str">
        <f>VLOOKUP(A151,'JUNE (물량흐름)'!$A$13:$C$493,2,0)</f>
        <v>ANN TAYLOR</v>
      </c>
      <c r="D151" s="58">
        <f>IFERROR(VLOOKUP(B151,O.B.JUNE!$V$7:$Y$448,2,0),0)</f>
        <v>0</v>
      </c>
      <c r="E151" s="58">
        <f>IFERROR(VLOOKUP(B151,O.B.JUNE!$V$7:$X$448,3,0),0)</f>
        <v>0</v>
      </c>
      <c r="F151" s="58">
        <f>IFERROR(VLOOKUP(B151,O.B.JUNE!$V$7:$Y$448,4,0),0)</f>
        <v>0</v>
      </c>
      <c r="G151" s="58">
        <f>SUMIF('JUNE (물량흐름)'!$C$13:$C$493,'In-out-bal products (155)(완성제품)'!B151,'JUNE (물량흐름)'!$V$13:$V$493)</f>
        <v>0</v>
      </c>
      <c r="H151" s="58">
        <f>SUMIF('JUNE (물량흐름)'!$C$13:$C$493,'In-out-bal products (155)(완성제품)'!B151,'JUNE (물량흐름)'!$T$13:$T$493)-SUMIF('JUNE (물량흐름)'!$C$13:$C$493,'In-out-bal products (155)(완성제품)'!B151,'JUNE (물량흐름)'!$Y$13:$Y$493)+SUMIF('JUNE (물량흐름)'!$C$13:$C$493,'In-out-bal products (155)(완성제품)'!B151,'JUNE (물량흐름)'!$U$13:$U$493)</f>
        <v>0</v>
      </c>
      <c r="I151" s="58">
        <f t="shared" si="66"/>
        <v>0</v>
      </c>
      <c r="J151" s="58">
        <f>SUMIF('Direct labour(직접노무비)'!$C$12:$C$503,'In-out-bal products (155)(완성제품)'!B151,'Direct labour(직접노무비)'!$Q$12:$Q$503)</f>
        <v>0</v>
      </c>
      <c r="K151" s="59">
        <f>SUMIF('Overhead exp(제조경비)'!$C$12:$C$503,'In-out-bal products (155)(완성제품)'!B151,'Overhead exp(제조경비)'!$Q$12:$Q$503)</f>
        <v>0</v>
      </c>
      <c r="L151" s="58">
        <f t="shared" si="67"/>
        <v>0</v>
      </c>
      <c r="M151" s="58">
        <f>SUMIF('JUNE (물량흐름)'!$C$13:$C$488,'In-out-bal products (155)(완성제품)'!B151,'JUNE (물량흐름)'!$Y$13:$Y$488)</f>
        <v>0</v>
      </c>
      <c r="N151" s="58">
        <f t="shared" si="68"/>
        <v>0</v>
      </c>
      <c r="O151" s="58">
        <f>SUMIF('Direct labour(직접노무비)'!$C$12:$C$503,'In-out-bal products (155)(완성제품)'!B151,'Direct labour(직접노무비)'!$U$12:$U$503)+SUMIF('Overhead exp(제조경비)'!$C$12:$C$503,'In-out-bal products (155)(완성제품)'!B151,'Overhead exp(제조경비)'!$U$12:$U$503)</f>
        <v>0</v>
      </c>
      <c r="P151" s="60">
        <f t="shared" si="69"/>
        <v>0</v>
      </c>
      <c r="Q151" s="60">
        <f t="shared" si="70"/>
        <v>0</v>
      </c>
      <c r="R151" s="60">
        <f t="shared" si="71"/>
        <v>0</v>
      </c>
      <c r="S151" s="58">
        <v>0</v>
      </c>
      <c r="T151" s="58">
        <v>0</v>
      </c>
      <c r="U151" s="58">
        <v>0</v>
      </c>
      <c r="V151" s="58">
        <f>SUMIF('JUNE (물량흐름)'!$C$13:$C$493,'In-out-bal products (155)(완성제품)'!B151,'JUNE (물량흐름)'!$W$13:$W$493)</f>
        <v>0</v>
      </c>
      <c r="W151" s="58">
        <f t="shared" si="72"/>
        <v>0</v>
      </c>
      <c r="X151" s="58">
        <f t="shared" si="73"/>
        <v>0</v>
      </c>
      <c r="Y151" s="58">
        <f>SUMIF('JUNE (물량흐름)'!$C$13:$C$488,'In-out-bal products (155)(완성제품)'!B151,'JUNE (물량흐름)'!$X$13:$X$488)</f>
        <v>0</v>
      </c>
      <c r="Z151" s="58">
        <f t="shared" si="74"/>
        <v>0</v>
      </c>
      <c r="AA151" s="58">
        <f t="shared" si="75"/>
        <v>0</v>
      </c>
      <c r="AB151" s="58"/>
      <c r="AC151" s="58"/>
      <c r="AD151" s="61"/>
      <c r="AE151" s="58">
        <f t="shared" si="76"/>
        <v>0</v>
      </c>
      <c r="AF151" s="58">
        <f t="shared" si="77"/>
        <v>0</v>
      </c>
      <c r="AG151" s="61">
        <f t="shared" si="78"/>
        <v>0</v>
      </c>
      <c r="AH151" s="58">
        <v>0</v>
      </c>
      <c r="AI151" s="58">
        <v>0</v>
      </c>
      <c r="AJ151" s="61">
        <v>0</v>
      </c>
      <c r="AK151" s="58"/>
      <c r="AL151" s="58"/>
      <c r="AM151" s="61"/>
      <c r="AN151" s="61">
        <f t="shared" si="79"/>
        <v>0</v>
      </c>
      <c r="AO151" s="58">
        <f t="shared" si="80"/>
        <v>0</v>
      </c>
      <c r="AP151" s="61">
        <f t="shared" si="81"/>
        <v>0</v>
      </c>
      <c r="AQ151" s="58">
        <f t="shared" si="82"/>
        <v>0</v>
      </c>
      <c r="AR151" s="58">
        <f t="shared" si="83"/>
        <v>0</v>
      </c>
      <c r="AS151" s="58">
        <f t="shared" si="84"/>
        <v>0</v>
      </c>
      <c r="AT151" s="58">
        <f>ROUND(SUMIF('JUNE (물량흐름)'!$C$13:$C$502,'In-out-bal products (155)(완성제품)'!B151,'JUNE (물량흐름)'!$AB$13:$AB$502),0)</f>
        <v>0</v>
      </c>
      <c r="AU151" s="58">
        <f t="shared" si="85"/>
        <v>0</v>
      </c>
      <c r="AV151" s="58">
        <f>ROUND(SUMIF('JUNE (물량흐름)'!$C$13:$C$502,'In-out-bal products (155)(완성제품)'!B151,'JUNE (물량흐름)'!$AC$13:$AC$502),0)</f>
        <v>0</v>
      </c>
      <c r="AW151" s="58">
        <f t="shared" si="86"/>
        <v>0</v>
      </c>
      <c r="AX151" s="376">
        <f t="shared" si="87"/>
        <v>0</v>
      </c>
      <c r="AY151" s="377">
        <f t="shared" si="88"/>
        <v>0</v>
      </c>
      <c r="AZ151" s="377">
        <f t="shared" si="89"/>
        <v>0</v>
      </c>
      <c r="BA151" s="377">
        <f t="shared" si="90"/>
        <v>0</v>
      </c>
      <c r="BB151" s="377"/>
      <c r="BC151" s="377">
        <f t="shared" si="91"/>
        <v>0</v>
      </c>
      <c r="BD151" s="377">
        <f t="shared" si="92"/>
        <v>0</v>
      </c>
      <c r="BE151" s="377"/>
      <c r="BF151" s="377">
        <f t="shared" si="93"/>
        <v>0</v>
      </c>
      <c r="BG151" s="433">
        <f t="shared" si="94"/>
        <v>0</v>
      </c>
      <c r="BH151" s="434">
        <f t="shared" si="95"/>
        <v>0</v>
      </c>
    </row>
    <row r="152" spans="1:60" s="378" customFormat="1">
      <c r="A152" s="167">
        <v>142</v>
      </c>
      <c r="B152" s="253">
        <f>VLOOKUP(A152,'JUNE (물량흐름)'!$A$13:$C$493,3,0)</f>
        <v>459648</v>
      </c>
      <c r="C152" s="57" t="str">
        <f>VLOOKUP(A152,'JUNE (물량흐름)'!$A$13:$C$493,2,0)</f>
        <v>ANN TAYLOR</v>
      </c>
      <c r="D152" s="58">
        <f>IFERROR(VLOOKUP(B152,O.B.JUNE!$V$7:$Y$448,2,0),0)</f>
        <v>0</v>
      </c>
      <c r="E152" s="58">
        <f>IFERROR(VLOOKUP(B152,O.B.JUNE!$V$7:$X$448,3,0),0)</f>
        <v>0</v>
      </c>
      <c r="F152" s="58">
        <f>IFERROR(VLOOKUP(B152,O.B.JUNE!$V$7:$Y$448,4,0),0)</f>
        <v>0</v>
      </c>
      <c r="G152" s="58">
        <f>SUMIF('JUNE (물량흐름)'!$C$13:$C$493,'In-out-bal products (155)(완성제품)'!B152,'JUNE (물량흐름)'!$V$13:$V$493)</f>
        <v>0</v>
      </c>
      <c r="H152" s="58">
        <f>SUMIF('JUNE (물량흐름)'!$C$13:$C$493,'In-out-bal products (155)(완성제품)'!B152,'JUNE (물량흐름)'!$T$13:$T$493)-SUMIF('JUNE (물량흐름)'!$C$13:$C$493,'In-out-bal products (155)(완성제품)'!B152,'JUNE (물량흐름)'!$Y$13:$Y$493)+SUMIF('JUNE (물량흐름)'!$C$13:$C$493,'In-out-bal products (155)(완성제품)'!B152,'JUNE (물량흐름)'!$U$13:$U$493)</f>
        <v>0</v>
      </c>
      <c r="I152" s="58">
        <f t="shared" si="66"/>
        <v>0</v>
      </c>
      <c r="J152" s="58">
        <f>SUMIF('Direct labour(직접노무비)'!$C$12:$C$503,'In-out-bal products (155)(완성제품)'!B152,'Direct labour(직접노무비)'!$Q$12:$Q$503)</f>
        <v>0</v>
      </c>
      <c r="K152" s="59">
        <f>SUMIF('Overhead exp(제조경비)'!$C$12:$C$503,'In-out-bal products (155)(완성제품)'!B152,'Overhead exp(제조경비)'!$Q$12:$Q$503)</f>
        <v>0</v>
      </c>
      <c r="L152" s="58">
        <f t="shared" si="67"/>
        <v>0</v>
      </c>
      <c r="M152" s="58">
        <f>SUMIF('JUNE (물량흐름)'!$C$13:$C$488,'In-out-bal products (155)(완성제품)'!B152,'JUNE (물량흐름)'!$Y$13:$Y$488)</f>
        <v>0</v>
      </c>
      <c r="N152" s="58">
        <f t="shared" si="68"/>
        <v>0</v>
      </c>
      <c r="O152" s="58">
        <f>SUMIF('Direct labour(직접노무비)'!$C$12:$C$503,'In-out-bal products (155)(완성제품)'!B152,'Direct labour(직접노무비)'!$U$12:$U$503)+SUMIF('Overhead exp(제조경비)'!$C$12:$C$503,'In-out-bal products (155)(완성제품)'!B152,'Overhead exp(제조경비)'!$U$12:$U$503)</f>
        <v>0</v>
      </c>
      <c r="P152" s="60">
        <f t="shared" si="69"/>
        <v>0</v>
      </c>
      <c r="Q152" s="60">
        <f t="shared" si="70"/>
        <v>0</v>
      </c>
      <c r="R152" s="60">
        <f t="shared" si="71"/>
        <v>0</v>
      </c>
      <c r="S152" s="58">
        <v>0</v>
      </c>
      <c r="T152" s="58">
        <v>0</v>
      </c>
      <c r="U152" s="58">
        <v>0</v>
      </c>
      <c r="V152" s="58">
        <f>SUMIF('JUNE (물량흐름)'!$C$13:$C$493,'In-out-bal products (155)(완성제품)'!B152,'JUNE (물량흐름)'!$W$13:$W$493)</f>
        <v>0</v>
      </c>
      <c r="W152" s="58">
        <f t="shared" si="72"/>
        <v>0</v>
      </c>
      <c r="X152" s="58">
        <f t="shared" si="73"/>
        <v>0</v>
      </c>
      <c r="Y152" s="58">
        <f>SUMIF('JUNE (물량흐름)'!$C$13:$C$488,'In-out-bal products (155)(완성제품)'!B152,'JUNE (물량흐름)'!$X$13:$X$488)</f>
        <v>0</v>
      </c>
      <c r="Z152" s="58">
        <f t="shared" si="74"/>
        <v>0</v>
      </c>
      <c r="AA152" s="58">
        <f t="shared" si="75"/>
        <v>0</v>
      </c>
      <c r="AB152" s="58"/>
      <c r="AC152" s="58"/>
      <c r="AD152" s="61"/>
      <c r="AE152" s="58">
        <f t="shared" si="76"/>
        <v>0</v>
      </c>
      <c r="AF152" s="58">
        <f t="shared" si="77"/>
        <v>0</v>
      </c>
      <c r="AG152" s="61">
        <f t="shared" si="78"/>
        <v>0</v>
      </c>
      <c r="AH152" s="58">
        <v>0</v>
      </c>
      <c r="AI152" s="58">
        <v>0</v>
      </c>
      <c r="AJ152" s="61">
        <v>0</v>
      </c>
      <c r="AK152" s="58"/>
      <c r="AL152" s="58"/>
      <c r="AM152" s="61"/>
      <c r="AN152" s="61">
        <f t="shared" si="79"/>
        <v>0</v>
      </c>
      <c r="AO152" s="58">
        <f t="shared" si="80"/>
        <v>0</v>
      </c>
      <c r="AP152" s="61">
        <f t="shared" si="81"/>
        <v>0</v>
      </c>
      <c r="AQ152" s="58">
        <f t="shared" si="82"/>
        <v>0</v>
      </c>
      <c r="AR152" s="58">
        <f t="shared" si="83"/>
        <v>0</v>
      </c>
      <c r="AS152" s="58">
        <f t="shared" si="84"/>
        <v>0</v>
      </c>
      <c r="AT152" s="58">
        <f>ROUND(SUMIF('JUNE (물량흐름)'!$C$13:$C$502,'In-out-bal products (155)(완성제품)'!B152,'JUNE (물량흐름)'!$AB$13:$AB$502),0)</f>
        <v>0</v>
      </c>
      <c r="AU152" s="58">
        <f t="shared" si="85"/>
        <v>0</v>
      </c>
      <c r="AV152" s="58">
        <f>ROUND(SUMIF('JUNE (물량흐름)'!$C$13:$C$502,'In-out-bal products (155)(완성제품)'!B152,'JUNE (물량흐름)'!$AC$13:$AC$502),0)</f>
        <v>0</v>
      </c>
      <c r="AW152" s="58">
        <f t="shared" si="86"/>
        <v>0</v>
      </c>
      <c r="AX152" s="376">
        <f t="shared" si="87"/>
        <v>0</v>
      </c>
      <c r="AY152" s="377">
        <f t="shared" si="88"/>
        <v>0</v>
      </c>
      <c r="AZ152" s="377">
        <f t="shared" si="89"/>
        <v>0</v>
      </c>
      <c r="BA152" s="377">
        <f t="shared" si="90"/>
        <v>0</v>
      </c>
      <c r="BB152" s="377"/>
      <c r="BC152" s="377">
        <f t="shared" si="91"/>
        <v>0</v>
      </c>
      <c r="BD152" s="377">
        <f t="shared" si="92"/>
        <v>0</v>
      </c>
      <c r="BE152" s="377"/>
      <c r="BF152" s="377">
        <f t="shared" si="93"/>
        <v>0</v>
      </c>
      <c r="BG152" s="433">
        <f t="shared" si="94"/>
        <v>0</v>
      </c>
      <c r="BH152" s="434">
        <f t="shared" si="95"/>
        <v>0</v>
      </c>
    </row>
    <row r="153" spans="1:60" s="378" customFormat="1">
      <c r="A153" s="167">
        <v>143</v>
      </c>
      <c r="B153" s="253">
        <f>VLOOKUP(A153,'JUNE (물량흐름)'!$A$13:$C$493,3,0)</f>
        <v>459700</v>
      </c>
      <c r="C153" s="57" t="str">
        <f>VLOOKUP(A153,'JUNE (물량흐름)'!$A$13:$C$493,2,0)</f>
        <v>ANN TAYLOR</v>
      </c>
      <c r="D153" s="58">
        <f>IFERROR(VLOOKUP(B153,O.B.JUNE!$V$7:$Y$448,2,0),0)</f>
        <v>0</v>
      </c>
      <c r="E153" s="58">
        <f>IFERROR(VLOOKUP(B153,O.B.JUNE!$V$7:$X$448,3,0),0)</f>
        <v>0</v>
      </c>
      <c r="F153" s="58">
        <f>IFERROR(VLOOKUP(B153,O.B.JUNE!$V$7:$Y$448,4,0),0)</f>
        <v>0</v>
      </c>
      <c r="G153" s="58">
        <f>SUMIF('JUNE (물량흐름)'!$C$13:$C$493,'In-out-bal products (155)(완성제품)'!B153,'JUNE (물량흐름)'!$V$13:$V$493)</f>
        <v>0</v>
      </c>
      <c r="H153" s="58">
        <f>SUMIF('JUNE (물량흐름)'!$C$13:$C$493,'In-out-bal products (155)(완성제품)'!B153,'JUNE (물량흐름)'!$T$13:$T$493)-SUMIF('JUNE (물량흐름)'!$C$13:$C$493,'In-out-bal products (155)(완성제품)'!B153,'JUNE (물량흐름)'!$Y$13:$Y$493)+SUMIF('JUNE (물량흐름)'!$C$13:$C$493,'In-out-bal products (155)(완성제품)'!B153,'JUNE (물량흐름)'!$U$13:$U$493)</f>
        <v>0</v>
      </c>
      <c r="I153" s="58">
        <f t="shared" si="66"/>
        <v>0</v>
      </c>
      <c r="J153" s="58">
        <f>SUMIF('Direct labour(직접노무비)'!$C$12:$C$503,'In-out-bal products (155)(완성제품)'!B153,'Direct labour(직접노무비)'!$Q$12:$Q$503)</f>
        <v>0</v>
      </c>
      <c r="K153" s="59">
        <f>SUMIF('Overhead exp(제조경비)'!$C$12:$C$503,'In-out-bal products (155)(완성제품)'!B153,'Overhead exp(제조경비)'!$Q$12:$Q$503)</f>
        <v>0</v>
      </c>
      <c r="L153" s="58">
        <f t="shared" si="67"/>
        <v>0</v>
      </c>
      <c r="M153" s="58">
        <f>SUMIF('JUNE (물량흐름)'!$C$13:$C$488,'In-out-bal products (155)(완성제품)'!B153,'JUNE (물량흐름)'!$Y$13:$Y$488)</f>
        <v>0</v>
      </c>
      <c r="N153" s="58">
        <f t="shared" si="68"/>
        <v>0</v>
      </c>
      <c r="O153" s="58">
        <f>SUMIF('Direct labour(직접노무비)'!$C$12:$C$503,'In-out-bal products (155)(완성제품)'!B153,'Direct labour(직접노무비)'!$U$12:$U$503)+SUMIF('Overhead exp(제조경비)'!$C$12:$C$503,'In-out-bal products (155)(완성제품)'!B153,'Overhead exp(제조경비)'!$U$12:$U$503)</f>
        <v>0</v>
      </c>
      <c r="P153" s="60">
        <f t="shared" si="69"/>
        <v>0</v>
      </c>
      <c r="Q153" s="60">
        <f t="shared" si="70"/>
        <v>0</v>
      </c>
      <c r="R153" s="60">
        <f t="shared" si="71"/>
        <v>0</v>
      </c>
      <c r="S153" s="58">
        <v>0</v>
      </c>
      <c r="T153" s="58">
        <v>0</v>
      </c>
      <c r="U153" s="58">
        <v>0</v>
      </c>
      <c r="V153" s="58">
        <f>SUMIF('JUNE (물량흐름)'!$C$13:$C$493,'In-out-bal products (155)(완성제품)'!B153,'JUNE (물량흐름)'!$W$13:$W$493)</f>
        <v>0</v>
      </c>
      <c r="W153" s="58">
        <f t="shared" si="72"/>
        <v>0</v>
      </c>
      <c r="X153" s="58">
        <f t="shared" si="73"/>
        <v>0</v>
      </c>
      <c r="Y153" s="58">
        <f>SUMIF('JUNE (물량흐름)'!$C$13:$C$488,'In-out-bal products (155)(완성제품)'!B153,'JUNE (물량흐름)'!$X$13:$X$488)</f>
        <v>0</v>
      </c>
      <c r="Z153" s="58">
        <f t="shared" si="74"/>
        <v>0</v>
      </c>
      <c r="AA153" s="58">
        <f t="shared" si="75"/>
        <v>0</v>
      </c>
      <c r="AB153" s="58"/>
      <c r="AC153" s="58"/>
      <c r="AD153" s="61"/>
      <c r="AE153" s="58">
        <f t="shared" si="76"/>
        <v>0</v>
      </c>
      <c r="AF153" s="58">
        <f t="shared" si="77"/>
        <v>0</v>
      </c>
      <c r="AG153" s="61">
        <f t="shared" si="78"/>
        <v>0</v>
      </c>
      <c r="AH153" s="58">
        <v>0</v>
      </c>
      <c r="AI153" s="58">
        <v>0</v>
      </c>
      <c r="AJ153" s="61">
        <v>0</v>
      </c>
      <c r="AK153" s="58"/>
      <c r="AL153" s="58"/>
      <c r="AM153" s="61"/>
      <c r="AN153" s="61">
        <f t="shared" si="79"/>
        <v>0</v>
      </c>
      <c r="AO153" s="58">
        <f t="shared" si="80"/>
        <v>0</v>
      </c>
      <c r="AP153" s="61">
        <f t="shared" si="81"/>
        <v>0</v>
      </c>
      <c r="AQ153" s="58">
        <f t="shared" si="82"/>
        <v>0</v>
      </c>
      <c r="AR153" s="58">
        <f t="shared" si="83"/>
        <v>0</v>
      </c>
      <c r="AS153" s="58">
        <f t="shared" si="84"/>
        <v>0</v>
      </c>
      <c r="AT153" s="58">
        <f>ROUND(SUMIF('JUNE (물량흐름)'!$C$13:$C$502,'In-out-bal products (155)(완성제품)'!B153,'JUNE (물량흐름)'!$AB$13:$AB$502),0)</f>
        <v>0</v>
      </c>
      <c r="AU153" s="58">
        <f t="shared" si="85"/>
        <v>0</v>
      </c>
      <c r="AV153" s="58">
        <f>ROUND(SUMIF('JUNE (물량흐름)'!$C$13:$C$502,'In-out-bal products (155)(완성제품)'!B153,'JUNE (물량흐름)'!$AC$13:$AC$502),0)</f>
        <v>0</v>
      </c>
      <c r="AW153" s="58">
        <f t="shared" si="86"/>
        <v>0</v>
      </c>
      <c r="AX153" s="376">
        <f t="shared" si="87"/>
        <v>0</v>
      </c>
      <c r="AY153" s="377">
        <f t="shared" si="88"/>
        <v>0</v>
      </c>
      <c r="AZ153" s="377">
        <f t="shared" si="89"/>
        <v>0</v>
      </c>
      <c r="BA153" s="377">
        <f t="shared" si="90"/>
        <v>0</v>
      </c>
      <c r="BB153" s="377"/>
      <c r="BC153" s="377">
        <f t="shared" si="91"/>
        <v>0</v>
      </c>
      <c r="BD153" s="377">
        <f t="shared" si="92"/>
        <v>0</v>
      </c>
      <c r="BE153" s="377"/>
      <c r="BF153" s="377">
        <f t="shared" si="93"/>
        <v>0</v>
      </c>
      <c r="BG153" s="433">
        <f t="shared" si="94"/>
        <v>0</v>
      </c>
      <c r="BH153" s="434">
        <f t="shared" si="95"/>
        <v>0</v>
      </c>
    </row>
    <row r="154" spans="1:60" s="378" customFormat="1">
      <c r="A154" s="167">
        <v>144</v>
      </c>
      <c r="B154" s="253">
        <f>VLOOKUP(A154,'JUNE (물량흐름)'!$A$13:$C$493,3,0)</f>
        <v>459701</v>
      </c>
      <c r="C154" s="57" t="str">
        <f>VLOOKUP(A154,'JUNE (물량흐름)'!$A$13:$C$493,2,0)</f>
        <v>ANN TAYLOR</v>
      </c>
      <c r="D154" s="58">
        <f>IFERROR(VLOOKUP(B154,O.B.JUNE!$V$7:$Y$448,2,0),0)</f>
        <v>0</v>
      </c>
      <c r="E154" s="58">
        <f>IFERROR(VLOOKUP(B154,O.B.JUNE!$V$7:$X$448,3,0),0)</f>
        <v>0</v>
      </c>
      <c r="F154" s="58">
        <f>IFERROR(VLOOKUP(B154,O.B.JUNE!$V$7:$Y$448,4,0),0)</f>
        <v>0</v>
      </c>
      <c r="G154" s="58">
        <f>SUMIF('JUNE (물량흐름)'!$C$13:$C$493,'In-out-bal products (155)(완성제품)'!B154,'JUNE (물량흐름)'!$V$13:$V$493)</f>
        <v>0</v>
      </c>
      <c r="H154" s="58">
        <f>SUMIF('JUNE (물량흐름)'!$C$13:$C$493,'In-out-bal products (155)(완성제품)'!B154,'JUNE (물량흐름)'!$T$13:$T$493)-SUMIF('JUNE (물량흐름)'!$C$13:$C$493,'In-out-bal products (155)(완성제품)'!B154,'JUNE (물량흐름)'!$Y$13:$Y$493)+SUMIF('JUNE (물량흐름)'!$C$13:$C$493,'In-out-bal products (155)(완성제품)'!B154,'JUNE (물량흐름)'!$U$13:$U$493)</f>
        <v>0</v>
      </c>
      <c r="I154" s="58">
        <f t="shared" si="66"/>
        <v>0</v>
      </c>
      <c r="J154" s="58">
        <f>SUMIF('Direct labour(직접노무비)'!$C$12:$C$503,'In-out-bal products (155)(완성제품)'!B154,'Direct labour(직접노무비)'!$Q$12:$Q$503)</f>
        <v>0</v>
      </c>
      <c r="K154" s="59">
        <f>SUMIF('Overhead exp(제조경비)'!$C$12:$C$503,'In-out-bal products (155)(완성제품)'!B154,'Overhead exp(제조경비)'!$Q$12:$Q$503)</f>
        <v>0</v>
      </c>
      <c r="L154" s="58">
        <f t="shared" si="67"/>
        <v>0</v>
      </c>
      <c r="M154" s="58">
        <f>SUMIF('JUNE (물량흐름)'!$C$13:$C$488,'In-out-bal products (155)(완성제품)'!B154,'JUNE (물량흐름)'!$Y$13:$Y$488)</f>
        <v>0</v>
      </c>
      <c r="N154" s="58">
        <f t="shared" si="68"/>
        <v>0</v>
      </c>
      <c r="O154" s="58">
        <f>SUMIF('Direct labour(직접노무비)'!$C$12:$C$503,'In-out-bal products (155)(완성제품)'!B154,'Direct labour(직접노무비)'!$U$12:$U$503)+SUMIF('Overhead exp(제조경비)'!$C$12:$C$503,'In-out-bal products (155)(완성제품)'!B154,'Overhead exp(제조경비)'!$U$12:$U$503)</f>
        <v>0</v>
      </c>
      <c r="P154" s="60">
        <f t="shared" si="69"/>
        <v>0</v>
      </c>
      <c r="Q154" s="60">
        <f t="shared" si="70"/>
        <v>0</v>
      </c>
      <c r="R154" s="60">
        <f t="shared" si="71"/>
        <v>0</v>
      </c>
      <c r="S154" s="58">
        <v>0</v>
      </c>
      <c r="T154" s="58">
        <v>0</v>
      </c>
      <c r="U154" s="58">
        <v>0</v>
      </c>
      <c r="V154" s="58">
        <f>SUMIF('JUNE (물량흐름)'!$C$13:$C$493,'In-out-bal products (155)(완성제품)'!B154,'JUNE (물량흐름)'!$W$13:$W$493)</f>
        <v>0</v>
      </c>
      <c r="W154" s="58">
        <f t="shared" si="72"/>
        <v>0</v>
      </c>
      <c r="X154" s="58">
        <f t="shared" si="73"/>
        <v>0</v>
      </c>
      <c r="Y154" s="58">
        <f>SUMIF('JUNE (물량흐름)'!$C$13:$C$488,'In-out-bal products (155)(완성제품)'!B154,'JUNE (물량흐름)'!$X$13:$X$488)</f>
        <v>0</v>
      </c>
      <c r="Z154" s="58">
        <f t="shared" si="74"/>
        <v>0</v>
      </c>
      <c r="AA154" s="58">
        <f t="shared" si="75"/>
        <v>0</v>
      </c>
      <c r="AB154" s="58"/>
      <c r="AC154" s="58"/>
      <c r="AD154" s="61"/>
      <c r="AE154" s="58">
        <f t="shared" si="76"/>
        <v>0</v>
      </c>
      <c r="AF154" s="58">
        <f t="shared" si="77"/>
        <v>0</v>
      </c>
      <c r="AG154" s="61">
        <f t="shared" si="78"/>
        <v>0</v>
      </c>
      <c r="AH154" s="58">
        <v>0</v>
      </c>
      <c r="AI154" s="58">
        <v>0</v>
      </c>
      <c r="AJ154" s="61">
        <v>0</v>
      </c>
      <c r="AK154" s="58"/>
      <c r="AL154" s="58"/>
      <c r="AM154" s="61"/>
      <c r="AN154" s="61">
        <f t="shared" si="79"/>
        <v>0</v>
      </c>
      <c r="AO154" s="58">
        <f t="shared" si="80"/>
        <v>0</v>
      </c>
      <c r="AP154" s="61">
        <f t="shared" si="81"/>
        <v>0</v>
      </c>
      <c r="AQ154" s="58">
        <f t="shared" si="82"/>
        <v>0</v>
      </c>
      <c r="AR154" s="58">
        <f t="shared" si="83"/>
        <v>0</v>
      </c>
      <c r="AS154" s="58">
        <f t="shared" si="84"/>
        <v>0</v>
      </c>
      <c r="AT154" s="58">
        <f>ROUND(SUMIF('JUNE (물량흐름)'!$C$13:$C$502,'In-out-bal products (155)(완성제품)'!B154,'JUNE (물량흐름)'!$AB$13:$AB$502),0)</f>
        <v>0</v>
      </c>
      <c r="AU154" s="58">
        <f t="shared" si="85"/>
        <v>0</v>
      </c>
      <c r="AV154" s="58">
        <f>ROUND(SUMIF('JUNE (물량흐름)'!$C$13:$C$502,'In-out-bal products (155)(완성제품)'!B154,'JUNE (물량흐름)'!$AC$13:$AC$502),0)</f>
        <v>0</v>
      </c>
      <c r="AW154" s="58">
        <f t="shared" si="86"/>
        <v>0</v>
      </c>
      <c r="AX154" s="376">
        <f t="shared" si="87"/>
        <v>0</v>
      </c>
      <c r="AY154" s="377">
        <f t="shared" si="88"/>
        <v>0</v>
      </c>
      <c r="AZ154" s="377">
        <f t="shared" si="89"/>
        <v>0</v>
      </c>
      <c r="BA154" s="377">
        <f t="shared" si="90"/>
        <v>0</v>
      </c>
      <c r="BB154" s="377"/>
      <c r="BC154" s="377">
        <f t="shared" si="91"/>
        <v>0</v>
      </c>
      <c r="BD154" s="377">
        <f t="shared" si="92"/>
        <v>0</v>
      </c>
      <c r="BE154" s="377"/>
      <c r="BF154" s="377">
        <f t="shared" si="93"/>
        <v>0</v>
      </c>
      <c r="BG154" s="433">
        <f t="shared" si="94"/>
        <v>0</v>
      </c>
      <c r="BH154" s="434">
        <f t="shared" si="95"/>
        <v>0</v>
      </c>
    </row>
    <row r="155" spans="1:60" s="378" customFormat="1">
      <c r="A155" s="167">
        <v>145</v>
      </c>
      <c r="B155" s="253">
        <f>VLOOKUP(A155,'JUNE (물량흐름)'!$A$13:$C$493,3,0)</f>
        <v>459702</v>
      </c>
      <c r="C155" s="57" t="str">
        <f>VLOOKUP(A155,'JUNE (물량흐름)'!$A$13:$C$493,2,0)</f>
        <v>ANN TAYLOR</v>
      </c>
      <c r="D155" s="58">
        <f>IFERROR(VLOOKUP(B155,O.B.JUNE!$V$7:$Y$448,2,0),0)</f>
        <v>0</v>
      </c>
      <c r="E155" s="58">
        <f>IFERROR(VLOOKUP(B155,O.B.JUNE!$V$7:$X$448,3,0),0)</f>
        <v>0</v>
      </c>
      <c r="F155" s="58">
        <f>IFERROR(VLOOKUP(B155,O.B.JUNE!$V$7:$Y$448,4,0),0)</f>
        <v>0</v>
      </c>
      <c r="G155" s="58">
        <f>SUMIF('JUNE (물량흐름)'!$C$13:$C$493,'In-out-bal products (155)(완성제품)'!B155,'JUNE (물량흐름)'!$V$13:$V$493)</f>
        <v>0</v>
      </c>
      <c r="H155" s="58">
        <f>SUMIF('JUNE (물량흐름)'!$C$13:$C$493,'In-out-bal products (155)(완성제품)'!B155,'JUNE (물량흐름)'!$T$13:$T$493)-SUMIF('JUNE (물량흐름)'!$C$13:$C$493,'In-out-bal products (155)(완성제품)'!B155,'JUNE (물량흐름)'!$Y$13:$Y$493)+SUMIF('JUNE (물량흐름)'!$C$13:$C$493,'In-out-bal products (155)(완성제품)'!B155,'JUNE (물량흐름)'!$U$13:$U$493)</f>
        <v>0</v>
      </c>
      <c r="I155" s="58">
        <f t="shared" si="66"/>
        <v>0</v>
      </c>
      <c r="J155" s="58">
        <f>SUMIF('Direct labour(직접노무비)'!$C$12:$C$503,'In-out-bal products (155)(완성제품)'!B155,'Direct labour(직접노무비)'!$Q$12:$Q$503)</f>
        <v>0</v>
      </c>
      <c r="K155" s="59">
        <f>SUMIF('Overhead exp(제조경비)'!$C$12:$C$503,'In-out-bal products (155)(완성제품)'!B155,'Overhead exp(제조경비)'!$Q$12:$Q$503)</f>
        <v>0</v>
      </c>
      <c r="L155" s="58">
        <f t="shared" si="67"/>
        <v>0</v>
      </c>
      <c r="M155" s="58">
        <f>SUMIF('JUNE (물량흐름)'!$C$13:$C$488,'In-out-bal products (155)(완성제품)'!B155,'JUNE (물량흐름)'!$Y$13:$Y$488)</f>
        <v>0</v>
      </c>
      <c r="N155" s="58">
        <f t="shared" si="68"/>
        <v>0</v>
      </c>
      <c r="O155" s="58">
        <f>SUMIF('Direct labour(직접노무비)'!$C$12:$C$503,'In-out-bal products (155)(완성제품)'!B155,'Direct labour(직접노무비)'!$U$12:$U$503)+SUMIF('Overhead exp(제조경비)'!$C$12:$C$503,'In-out-bal products (155)(완성제품)'!B155,'Overhead exp(제조경비)'!$U$12:$U$503)</f>
        <v>0</v>
      </c>
      <c r="P155" s="60">
        <f t="shared" si="69"/>
        <v>0</v>
      </c>
      <c r="Q155" s="60">
        <f t="shared" si="70"/>
        <v>0</v>
      </c>
      <c r="R155" s="60">
        <f t="shared" si="71"/>
        <v>0</v>
      </c>
      <c r="S155" s="58">
        <v>0</v>
      </c>
      <c r="T155" s="58">
        <v>0</v>
      </c>
      <c r="U155" s="58">
        <v>0</v>
      </c>
      <c r="V155" s="58">
        <f>SUMIF('JUNE (물량흐름)'!$C$13:$C$493,'In-out-bal products (155)(완성제품)'!B155,'JUNE (물량흐름)'!$W$13:$W$493)</f>
        <v>0</v>
      </c>
      <c r="W155" s="58">
        <f t="shared" si="72"/>
        <v>0</v>
      </c>
      <c r="X155" s="58">
        <f t="shared" si="73"/>
        <v>0</v>
      </c>
      <c r="Y155" s="58">
        <f>SUMIF('JUNE (물량흐름)'!$C$13:$C$488,'In-out-bal products (155)(완성제품)'!B155,'JUNE (물량흐름)'!$X$13:$X$488)</f>
        <v>0</v>
      </c>
      <c r="Z155" s="58">
        <f t="shared" si="74"/>
        <v>0</v>
      </c>
      <c r="AA155" s="58">
        <f t="shared" si="75"/>
        <v>0</v>
      </c>
      <c r="AB155" s="58"/>
      <c r="AC155" s="58"/>
      <c r="AD155" s="61"/>
      <c r="AE155" s="58">
        <f t="shared" si="76"/>
        <v>0</v>
      </c>
      <c r="AF155" s="58">
        <f t="shared" si="77"/>
        <v>0</v>
      </c>
      <c r="AG155" s="61">
        <f t="shared" si="78"/>
        <v>0</v>
      </c>
      <c r="AH155" s="58">
        <v>0</v>
      </c>
      <c r="AI155" s="58">
        <v>0</v>
      </c>
      <c r="AJ155" s="61">
        <v>0</v>
      </c>
      <c r="AK155" s="58"/>
      <c r="AL155" s="58"/>
      <c r="AM155" s="61"/>
      <c r="AN155" s="61">
        <f t="shared" si="79"/>
        <v>0</v>
      </c>
      <c r="AO155" s="58">
        <f t="shared" si="80"/>
        <v>0</v>
      </c>
      <c r="AP155" s="61">
        <f t="shared" si="81"/>
        <v>0</v>
      </c>
      <c r="AQ155" s="58">
        <f t="shared" si="82"/>
        <v>0</v>
      </c>
      <c r="AR155" s="58">
        <f t="shared" si="83"/>
        <v>0</v>
      </c>
      <c r="AS155" s="58">
        <f t="shared" si="84"/>
        <v>0</v>
      </c>
      <c r="AT155" s="58">
        <f>ROUND(SUMIF('JUNE (물량흐름)'!$C$13:$C$502,'In-out-bal products (155)(완성제품)'!B155,'JUNE (물량흐름)'!$AB$13:$AB$502),0)</f>
        <v>0</v>
      </c>
      <c r="AU155" s="58">
        <f t="shared" si="85"/>
        <v>0</v>
      </c>
      <c r="AV155" s="58">
        <f>ROUND(SUMIF('JUNE (물량흐름)'!$C$13:$C$502,'In-out-bal products (155)(완성제품)'!B155,'JUNE (물량흐름)'!$AC$13:$AC$502),0)</f>
        <v>0</v>
      </c>
      <c r="AW155" s="58">
        <f t="shared" si="86"/>
        <v>0</v>
      </c>
      <c r="AX155" s="376">
        <f t="shared" si="87"/>
        <v>0</v>
      </c>
      <c r="AY155" s="377">
        <f t="shared" si="88"/>
        <v>0</v>
      </c>
      <c r="AZ155" s="377">
        <f t="shared" si="89"/>
        <v>0</v>
      </c>
      <c r="BA155" s="377">
        <f t="shared" si="90"/>
        <v>0</v>
      </c>
      <c r="BB155" s="377"/>
      <c r="BC155" s="377">
        <f t="shared" si="91"/>
        <v>0</v>
      </c>
      <c r="BD155" s="377">
        <f t="shared" si="92"/>
        <v>0</v>
      </c>
      <c r="BE155" s="377"/>
      <c r="BF155" s="377">
        <f t="shared" si="93"/>
        <v>0</v>
      </c>
      <c r="BG155" s="433">
        <f>+X155+AA155+AD155+AG155+AJ155+AM155+U155</f>
        <v>0</v>
      </c>
      <c r="BH155" s="434">
        <f t="shared" si="95"/>
        <v>0</v>
      </c>
    </row>
    <row r="156" spans="1:60" s="378" customFormat="1">
      <c r="A156" s="167">
        <v>146</v>
      </c>
      <c r="B156" s="253">
        <f>VLOOKUP(A156,'JUNE (물량흐름)'!$A$13:$C$493,3,0)</f>
        <v>459703</v>
      </c>
      <c r="C156" s="57" t="str">
        <f>VLOOKUP(A156,'JUNE (물량흐름)'!$A$13:$C$493,2,0)</f>
        <v>ANN TAYLOR</v>
      </c>
      <c r="D156" s="58">
        <f>IFERROR(VLOOKUP(B156,O.B.JUNE!$V$7:$Y$448,2,0),0)</f>
        <v>0</v>
      </c>
      <c r="E156" s="58">
        <f>IFERROR(VLOOKUP(B156,O.B.JUNE!$V$7:$X$448,3,0),0)</f>
        <v>0</v>
      </c>
      <c r="F156" s="58">
        <f>IFERROR(VLOOKUP(B156,O.B.JUNE!$V$7:$Y$448,4,0),0)</f>
        <v>0</v>
      </c>
      <c r="G156" s="58">
        <f>SUMIF('JUNE (물량흐름)'!$C$13:$C$493,'In-out-bal products (155)(완성제품)'!B156,'JUNE (물량흐름)'!$V$13:$V$493)</f>
        <v>0</v>
      </c>
      <c r="H156" s="58">
        <f>SUMIF('JUNE (물량흐름)'!$C$13:$C$493,'In-out-bal products (155)(완성제품)'!B156,'JUNE (물량흐름)'!$T$13:$T$493)-SUMIF('JUNE (물량흐름)'!$C$13:$C$493,'In-out-bal products (155)(완성제품)'!B156,'JUNE (물량흐름)'!$Y$13:$Y$493)+SUMIF('JUNE (물량흐름)'!$C$13:$C$493,'In-out-bal products (155)(완성제품)'!B156,'JUNE (물량흐름)'!$U$13:$U$493)</f>
        <v>0</v>
      </c>
      <c r="I156" s="58">
        <f t="shared" si="66"/>
        <v>0</v>
      </c>
      <c r="J156" s="58">
        <f>SUMIF('Direct labour(직접노무비)'!$C$12:$C$503,'In-out-bal products (155)(완성제품)'!B156,'Direct labour(직접노무비)'!$Q$12:$Q$503)</f>
        <v>0</v>
      </c>
      <c r="K156" s="59">
        <f>SUMIF('Overhead exp(제조경비)'!$C$12:$C$503,'In-out-bal products (155)(완성제품)'!B156,'Overhead exp(제조경비)'!$Q$12:$Q$503)</f>
        <v>0</v>
      </c>
      <c r="L156" s="58">
        <f t="shared" si="67"/>
        <v>0</v>
      </c>
      <c r="M156" s="58">
        <f>SUMIF('JUNE (물량흐름)'!$C$13:$C$488,'In-out-bal products (155)(완성제품)'!B156,'JUNE (물량흐름)'!$Y$13:$Y$488)</f>
        <v>0</v>
      </c>
      <c r="N156" s="58">
        <f t="shared" si="68"/>
        <v>0</v>
      </c>
      <c r="O156" s="58">
        <f>SUMIF('Direct labour(직접노무비)'!$C$12:$C$503,'In-out-bal products (155)(완성제품)'!B156,'Direct labour(직접노무비)'!$U$12:$U$503)+SUMIF('Overhead exp(제조경비)'!$C$12:$C$503,'In-out-bal products (155)(완성제품)'!B156,'Overhead exp(제조경비)'!$U$12:$U$503)</f>
        <v>0</v>
      </c>
      <c r="P156" s="60">
        <f t="shared" si="69"/>
        <v>0</v>
      </c>
      <c r="Q156" s="60">
        <f t="shared" si="70"/>
        <v>0</v>
      </c>
      <c r="R156" s="60">
        <f t="shared" si="71"/>
        <v>0</v>
      </c>
      <c r="S156" s="58">
        <v>0</v>
      </c>
      <c r="T156" s="58">
        <v>0</v>
      </c>
      <c r="U156" s="58">
        <v>0</v>
      </c>
      <c r="V156" s="58">
        <f>SUMIF('JUNE (물량흐름)'!$C$13:$C$493,'In-out-bal products (155)(완성제품)'!B156,'JUNE (물량흐름)'!$W$13:$W$493)</f>
        <v>0</v>
      </c>
      <c r="W156" s="58">
        <f t="shared" si="72"/>
        <v>0</v>
      </c>
      <c r="X156" s="58">
        <f t="shared" si="73"/>
        <v>0</v>
      </c>
      <c r="Y156" s="58">
        <f>SUMIF('JUNE (물량흐름)'!$C$13:$C$488,'In-out-bal products (155)(완성제품)'!B156,'JUNE (물량흐름)'!$X$13:$X$488)</f>
        <v>0</v>
      </c>
      <c r="Z156" s="58">
        <f t="shared" si="74"/>
        <v>0</v>
      </c>
      <c r="AA156" s="58">
        <f t="shared" si="75"/>
        <v>0</v>
      </c>
      <c r="AB156" s="58"/>
      <c r="AC156" s="58"/>
      <c r="AD156" s="61"/>
      <c r="AE156" s="58">
        <f t="shared" si="76"/>
        <v>0</v>
      </c>
      <c r="AF156" s="58">
        <f t="shared" si="77"/>
        <v>0</v>
      </c>
      <c r="AG156" s="61">
        <f t="shared" si="78"/>
        <v>0</v>
      </c>
      <c r="AH156" s="58">
        <v>0</v>
      </c>
      <c r="AI156" s="58">
        <v>0</v>
      </c>
      <c r="AJ156" s="61">
        <v>0</v>
      </c>
      <c r="AK156" s="58"/>
      <c r="AL156" s="58"/>
      <c r="AM156" s="61"/>
      <c r="AN156" s="61">
        <f t="shared" si="79"/>
        <v>0</v>
      </c>
      <c r="AO156" s="58">
        <f t="shared" si="80"/>
        <v>0</v>
      </c>
      <c r="AP156" s="61">
        <f t="shared" si="81"/>
        <v>0</v>
      </c>
      <c r="AQ156" s="58">
        <f t="shared" si="82"/>
        <v>0</v>
      </c>
      <c r="AR156" s="58">
        <f t="shared" si="83"/>
        <v>0</v>
      </c>
      <c r="AS156" s="58">
        <f t="shared" si="84"/>
        <v>0</v>
      </c>
      <c r="AT156" s="58">
        <f>ROUND(SUMIF('JUNE (물량흐름)'!$C$13:$C$502,'In-out-bal products (155)(완성제품)'!B156,'JUNE (물량흐름)'!$AB$13:$AB$502),0)</f>
        <v>0</v>
      </c>
      <c r="AU156" s="58">
        <f t="shared" si="85"/>
        <v>0</v>
      </c>
      <c r="AV156" s="58">
        <f>ROUND(SUMIF('JUNE (물량흐름)'!$C$13:$C$502,'In-out-bal products (155)(완성제품)'!B156,'JUNE (물량흐름)'!$AC$13:$AC$502),0)</f>
        <v>0</v>
      </c>
      <c r="AW156" s="58">
        <f t="shared" si="86"/>
        <v>0</v>
      </c>
      <c r="AX156" s="376">
        <f t="shared" si="87"/>
        <v>0</v>
      </c>
      <c r="AY156" s="377">
        <f t="shared" si="88"/>
        <v>0</v>
      </c>
      <c r="AZ156" s="377">
        <f t="shared" si="89"/>
        <v>0</v>
      </c>
      <c r="BA156" s="377">
        <f t="shared" si="90"/>
        <v>0</v>
      </c>
      <c r="BB156" s="377"/>
      <c r="BC156" s="377">
        <f t="shared" si="91"/>
        <v>0</v>
      </c>
      <c r="BD156" s="377">
        <f t="shared" si="92"/>
        <v>0</v>
      </c>
      <c r="BE156" s="377"/>
      <c r="BF156" s="377">
        <f t="shared" si="93"/>
        <v>0</v>
      </c>
      <c r="BG156" s="433">
        <f t="shared" si="94"/>
        <v>0</v>
      </c>
      <c r="BH156" s="434">
        <f t="shared" si="95"/>
        <v>0</v>
      </c>
    </row>
    <row r="157" spans="1:60" s="378" customFormat="1">
      <c r="A157" s="167">
        <v>147</v>
      </c>
      <c r="B157" s="253">
        <f>VLOOKUP(A157,'JUNE (물량흐름)'!$A$13:$C$493,3,0)</f>
        <v>459704</v>
      </c>
      <c r="C157" s="57" t="str">
        <f>VLOOKUP(A157,'JUNE (물량흐름)'!$A$13:$C$493,2,0)</f>
        <v>ANN TAYLOR</v>
      </c>
      <c r="D157" s="58">
        <f>IFERROR(VLOOKUP(B157,O.B.JUNE!$V$7:$Y$448,2,0),0)</f>
        <v>0</v>
      </c>
      <c r="E157" s="58">
        <f>IFERROR(VLOOKUP(B157,O.B.JUNE!$V$7:$X$448,3,0),0)</f>
        <v>0</v>
      </c>
      <c r="F157" s="58">
        <f>IFERROR(VLOOKUP(B157,O.B.JUNE!$V$7:$Y$448,4,0),0)</f>
        <v>0</v>
      </c>
      <c r="G157" s="58">
        <f>SUMIF('JUNE (물량흐름)'!$C$13:$C$493,'In-out-bal products (155)(완성제품)'!B157,'JUNE (물량흐름)'!$V$13:$V$493)</f>
        <v>0</v>
      </c>
      <c r="H157" s="58">
        <f>SUMIF('JUNE (물량흐름)'!$C$13:$C$493,'In-out-bal products (155)(완성제품)'!B157,'JUNE (물량흐름)'!$T$13:$T$493)-SUMIF('JUNE (물량흐름)'!$C$13:$C$493,'In-out-bal products (155)(완성제품)'!B157,'JUNE (물량흐름)'!$Y$13:$Y$493)+SUMIF('JUNE (물량흐름)'!$C$13:$C$493,'In-out-bal products (155)(완성제품)'!B157,'JUNE (물량흐름)'!$U$13:$U$493)</f>
        <v>0</v>
      </c>
      <c r="I157" s="58">
        <f t="shared" si="66"/>
        <v>0</v>
      </c>
      <c r="J157" s="58">
        <f>SUMIF('Direct labour(직접노무비)'!$C$12:$C$503,'In-out-bal products (155)(완성제품)'!B157,'Direct labour(직접노무비)'!$Q$12:$Q$503)</f>
        <v>0</v>
      </c>
      <c r="K157" s="59">
        <f>SUMIF('Overhead exp(제조경비)'!$C$12:$C$503,'In-out-bal products (155)(완성제품)'!B157,'Overhead exp(제조경비)'!$Q$12:$Q$503)</f>
        <v>0</v>
      </c>
      <c r="L157" s="58">
        <f t="shared" si="67"/>
        <v>0</v>
      </c>
      <c r="M157" s="58">
        <f>SUMIF('JUNE (물량흐름)'!$C$13:$C$488,'In-out-bal products (155)(완성제품)'!B157,'JUNE (물량흐름)'!$Y$13:$Y$488)</f>
        <v>0</v>
      </c>
      <c r="N157" s="58">
        <f t="shared" si="68"/>
        <v>0</v>
      </c>
      <c r="O157" s="58">
        <f>SUMIF('Direct labour(직접노무비)'!$C$12:$C$503,'In-out-bal products (155)(완성제품)'!B157,'Direct labour(직접노무비)'!$U$12:$U$503)+SUMIF('Overhead exp(제조경비)'!$C$12:$C$503,'In-out-bal products (155)(완성제품)'!B157,'Overhead exp(제조경비)'!$U$12:$U$503)</f>
        <v>0</v>
      </c>
      <c r="P157" s="60">
        <f t="shared" si="69"/>
        <v>0</v>
      </c>
      <c r="Q157" s="60">
        <f t="shared" si="70"/>
        <v>0</v>
      </c>
      <c r="R157" s="60">
        <f t="shared" si="71"/>
        <v>0</v>
      </c>
      <c r="S157" s="58">
        <v>0</v>
      </c>
      <c r="T157" s="58">
        <v>0</v>
      </c>
      <c r="U157" s="58">
        <v>0</v>
      </c>
      <c r="V157" s="58">
        <f>SUMIF('JUNE (물량흐름)'!$C$13:$C$493,'In-out-bal products (155)(완성제품)'!B157,'JUNE (물량흐름)'!$W$13:$W$493)</f>
        <v>0</v>
      </c>
      <c r="W157" s="58">
        <f t="shared" si="72"/>
        <v>0</v>
      </c>
      <c r="X157" s="58">
        <f t="shared" si="73"/>
        <v>0</v>
      </c>
      <c r="Y157" s="58">
        <f>SUMIF('JUNE (물량흐름)'!$C$13:$C$488,'In-out-bal products (155)(완성제품)'!B157,'JUNE (물량흐름)'!$X$13:$X$488)</f>
        <v>0</v>
      </c>
      <c r="Z157" s="58">
        <f t="shared" si="74"/>
        <v>0</v>
      </c>
      <c r="AA157" s="58">
        <f t="shared" si="75"/>
        <v>0</v>
      </c>
      <c r="AB157" s="58"/>
      <c r="AC157" s="58"/>
      <c r="AD157" s="61"/>
      <c r="AE157" s="58">
        <f t="shared" si="76"/>
        <v>0</v>
      </c>
      <c r="AF157" s="58">
        <f t="shared" si="77"/>
        <v>0</v>
      </c>
      <c r="AG157" s="61">
        <f t="shared" si="78"/>
        <v>0</v>
      </c>
      <c r="AH157" s="58">
        <v>0</v>
      </c>
      <c r="AI157" s="58">
        <v>0</v>
      </c>
      <c r="AJ157" s="61">
        <v>0</v>
      </c>
      <c r="AK157" s="58"/>
      <c r="AL157" s="58"/>
      <c r="AM157" s="61"/>
      <c r="AN157" s="61">
        <f t="shared" si="79"/>
        <v>0</v>
      </c>
      <c r="AO157" s="58">
        <f t="shared" si="80"/>
        <v>0</v>
      </c>
      <c r="AP157" s="61">
        <f t="shared" si="81"/>
        <v>0</v>
      </c>
      <c r="AQ157" s="58">
        <f t="shared" si="82"/>
        <v>0</v>
      </c>
      <c r="AR157" s="58">
        <f t="shared" si="83"/>
        <v>0</v>
      </c>
      <c r="AS157" s="58">
        <f t="shared" si="84"/>
        <v>0</v>
      </c>
      <c r="AT157" s="58">
        <f>ROUND(SUMIF('JUNE (물량흐름)'!$C$13:$C$502,'In-out-bal products (155)(완성제품)'!B157,'JUNE (물량흐름)'!$AB$13:$AB$502),0)</f>
        <v>0</v>
      </c>
      <c r="AU157" s="58">
        <f t="shared" si="85"/>
        <v>0</v>
      </c>
      <c r="AV157" s="58">
        <f>ROUND(SUMIF('JUNE (물량흐름)'!$C$13:$C$502,'In-out-bal products (155)(완성제품)'!B157,'JUNE (물량흐름)'!$AC$13:$AC$502),0)</f>
        <v>0</v>
      </c>
      <c r="AW157" s="58">
        <f t="shared" si="86"/>
        <v>0</v>
      </c>
      <c r="AX157" s="376">
        <f t="shared" si="87"/>
        <v>0</v>
      </c>
      <c r="AY157" s="377">
        <f t="shared" si="88"/>
        <v>0</v>
      </c>
      <c r="AZ157" s="377">
        <f t="shared" si="89"/>
        <v>0</v>
      </c>
      <c r="BA157" s="377">
        <f t="shared" si="90"/>
        <v>0</v>
      </c>
      <c r="BB157" s="377"/>
      <c r="BC157" s="377">
        <f t="shared" si="91"/>
        <v>0</v>
      </c>
      <c r="BD157" s="377">
        <f t="shared" si="92"/>
        <v>0</v>
      </c>
      <c r="BE157" s="377"/>
      <c r="BF157" s="377">
        <f t="shared" si="93"/>
        <v>0</v>
      </c>
      <c r="BG157" s="433">
        <f t="shared" si="94"/>
        <v>0</v>
      </c>
      <c r="BH157" s="434">
        <f t="shared" si="95"/>
        <v>0</v>
      </c>
    </row>
    <row r="158" spans="1:60" s="378" customFormat="1">
      <c r="A158" s="167">
        <v>148</v>
      </c>
      <c r="B158" s="253">
        <f>VLOOKUP(A158,'JUNE (물량흐름)'!$A$13:$C$493,3,0)</f>
        <v>459715</v>
      </c>
      <c r="C158" s="57" t="str">
        <f>VLOOKUP(A158,'JUNE (물량흐름)'!$A$13:$C$493,2,0)</f>
        <v>ANN TAYLOR</v>
      </c>
      <c r="D158" s="58">
        <f>IFERROR(VLOOKUP(B158,O.B.JUNE!$V$7:$Y$448,2,0),0)</f>
        <v>0</v>
      </c>
      <c r="E158" s="58">
        <f>IFERROR(VLOOKUP(B158,O.B.JUNE!$V$7:$X$448,3,0),0)</f>
        <v>0</v>
      </c>
      <c r="F158" s="58">
        <f>IFERROR(VLOOKUP(B158,O.B.JUNE!$V$7:$Y$448,4,0),0)</f>
        <v>0</v>
      </c>
      <c r="G158" s="58">
        <f>SUMIF('JUNE (물량흐름)'!$C$13:$C$493,'In-out-bal products (155)(완성제품)'!B158,'JUNE (물량흐름)'!$V$13:$V$493)</f>
        <v>0</v>
      </c>
      <c r="H158" s="58">
        <f>SUMIF('JUNE (물량흐름)'!$C$13:$C$493,'In-out-bal products (155)(완성제품)'!B158,'JUNE (물량흐름)'!$T$13:$T$493)-SUMIF('JUNE (물량흐름)'!$C$13:$C$493,'In-out-bal products (155)(완성제품)'!B158,'JUNE (물량흐름)'!$Y$13:$Y$493)+SUMIF('JUNE (물량흐름)'!$C$13:$C$493,'In-out-bal products (155)(완성제품)'!B158,'JUNE (물량흐름)'!$U$13:$U$493)</f>
        <v>0</v>
      </c>
      <c r="I158" s="58">
        <f t="shared" si="66"/>
        <v>0</v>
      </c>
      <c r="J158" s="58">
        <f>SUMIF('Direct labour(직접노무비)'!$C$12:$C$503,'In-out-bal products (155)(완성제품)'!B158,'Direct labour(직접노무비)'!$Q$12:$Q$503)</f>
        <v>0</v>
      </c>
      <c r="K158" s="59">
        <f>SUMIF('Overhead exp(제조경비)'!$C$12:$C$503,'In-out-bal products (155)(완성제품)'!B158,'Overhead exp(제조경비)'!$Q$12:$Q$503)</f>
        <v>0</v>
      </c>
      <c r="L158" s="58">
        <f t="shared" si="67"/>
        <v>0</v>
      </c>
      <c r="M158" s="58">
        <f>SUMIF('JUNE (물량흐름)'!$C$13:$C$488,'In-out-bal products (155)(완성제품)'!B158,'JUNE (물량흐름)'!$Y$13:$Y$488)</f>
        <v>0</v>
      </c>
      <c r="N158" s="58">
        <f t="shared" si="68"/>
        <v>0</v>
      </c>
      <c r="O158" s="58">
        <f>SUMIF('Direct labour(직접노무비)'!$C$12:$C$503,'In-out-bal products (155)(완성제품)'!B158,'Direct labour(직접노무비)'!$U$12:$U$503)+SUMIF('Overhead exp(제조경비)'!$C$12:$C$503,'In-out-bal products (155)(완성제품)'!B158,'Overhead exp(제조경비)'!$U$12:$U$503)</f>
        <v>0</v>
      </c>
      <c r="P158" s="60">
        <f t="shared" si="69"/>
        <v>0</v>
      </c>
      <c r="Q158" s="60">
        <f t="shared" si="70"/>
        <v>0</v>
      </c>
      <c r="R158" s="60">
        <f t="shared" si="71"/>
        <v>0</v>
      </c>
      <c r="S158" s="58">
        <v>0</v>
      </c>
      <c r="T158" s="58">
        <v>0</v>
      </c>
      <c r="U158" s="58">
        <v>0</v>
      </c>
      <c r="V158" s="58">
        <f>SUMIF('JUNE (물량흐름)'!$C$13:$C$493,'In-out-bal products (155)(완성제품)'!B158,'JUNE (물량흐름)'!$W$13:$W$493)</f>
        <v>0</v>
      </c>
      <c r="W158" s="58">
        <f t="shared" si="72"/>
        <v>0</v>
      </c>
      <c r="X158" s="58">
        <f t="shared" si="73"/>
        <v>0</v>
      </c>
      <c r="Y158" s="58">
        <f>SUMIF('JUNE (물량흐름)'!$C$13:$C$488,'In-out-bal products (155)(완성제품)'!B158,'JUNE (물량흐름)'!$X$13:$X$488)</f>
        <v>0</v>
      </c>
      <c r="Z158" s="58">
        <f t="shared" si="74"/>
        <v>0</v>
      </c>
      <c r="AA158" s="58">
        <f t="shared" si="75"/>
        <v>0</v>
      </c>
      <c r="AB158" s="58"/>
      <c r="AC158" s="58"/>
      <c r="AD158" s="61"/>
      <c r="AE158" s="58">
        <f t="shared" si="76"/>
        <v>0</v>
      </c>
      <c r="AF158" s="58">
        <f t="shared" si="77"/>
        <v>0</v>
      </c>
      <c r="AG158" s="61">
        <f t="shared" si="78"/>
        <v>0</v>
      </c>
      <c r="AH158" s="58">
        <v>0</v>
      </c>
      <c r="AI158" s="58">
        <v>0</v>
      </c>
      <c r="AJ158" s="61">
        <v>0</v>
      </c>
      <c r="AK158" s="58"/>
      <c r="AL158" s="58"/>
      <c r="AM158" s="61"/>
      <c r="AN158" s="61">
        <f t="shared" si="79"/>
        <v>0</v>
      </c>
      <c r="AO158" s="58">
        <f t="shared" si="80"/>
        <v>0</v>
      </c>
      <c r="AP158" s="61">
        <f t="shared" si="81"/>
        <v>0</v>
      </c>
      <c r="AQ158" s="58">
        <f t="shared" si="82"/>
        <v>0</v>
      </c>
      <c r="AR158" s="58">
        <f t="shared" si="83"/>
        <v>0</v>
      </c>
      <c r="AS158" s="58">
        <f t="shared" si="84"/>
        <v>0</v>
      </c>
      <c r="AT158" s="58">
        <f>ROUND(SUMIF('JUNE (물량흐름)'!$C$13:$C$502,'In-out-bal products (155)(완성제품)'!B158,'JUNE (물량흐름)'!$AB$13:$AB$502),0)</f>
        <v>0</v>
      </c>
      <c r="AU158" s="58">
        <f t="shared" si="85"/>
        <v>0</v>
      </c>
      <c r="AV158" s="58">
        <f>ROUND(SUMIF('JUNE (물량흐름)'!$C$13:$C$502,'In-out-bal products (155)(완성제품)'!B158,'JUNE (물량흐름)'!$AC$13:$AC$502),0)</f>
        <v>0</v>
      </c>
      <c r="AW158" s="58">
        <f t="shared" si="86"/>
        <v>0</v>
      </c>
      <c r="AX158" s="376">
        <f t="shared" si="87"/>
        <v>0</v>
      </c>
      <c r="AY158" s="377">
        <f t="shared" si="88"/>
        <v>0</v>
      </c>
      <c r="AZ158" s="377">
        <f t="shared" si="89"/>
        <v>0</v>
      </c>
      <c r="BA158" s="377">
        <f t="shared" si="90"/>
        <v>0</v>
      </c>
      <c r="BB158" s="377"/>
      <c r="BC158" s="377">
        <f t="shared" si="91"/>
        <v>0</v>
      </c>
      <c r="BD158" s="377">
        <f t="shared" si="92"/>
        <v>0</v>
      </c>
      <c r="BE158" s="377"/>
      <c r="BF158" s="377">
        <f t="shared" si="93"/>
        <v>0</v>
      </c>
      <c r="BG158" s="433">
        <f t="shared" si="94"/>
        <v>0</v>
      </c>
      <c r="BH158" s="434">
        <f t="shared" si="95"/>
        <v>0</v>
      </c>
    </row>
    <row r="159" spans="1:60" s="378" customFormat="1">
      <c r="A159" s="167">
        <v>149</v>
      </c>
      <c r="B159" s="253">
        <f>VLOOKUP(A159,'JUNE (물량흐름)'!$A$13:$C$493,3,0)</f>
        <v>460424</v>
      </c>
      <c r="C159" s="57" t="str">
        <f>VLOOKUP(A159,'JUNE (물량흐름)'!$A$13:$C$493,2,0)</f>
        <v>ANN TAYLOR</v>
      </c>
      <c r="D159" s="58">
        <f>IFERROR(VLOOKUP(B159,O.B.JUNE!$V$7:$Y$448,2,0),0)</f>
        <v>0</v>
      </c>
      <c r="E159" s="58">
        <f>IFERROR(VLOOKUP(B159,O.B.JUNE!$V$7:$X$448,3,0),0)</f>
        <v>0</v>
      </c>
      <c r="F159" s="58">
        <f>IFERROR(VLOOKUP(B159,O.B.JUNE!$V$7:$Y$448,4,0),0)</f>
        <v>0</v>
      </c>
      <c r="G159" s="58">
        <f>SUMIF('JUNE (물량흐름)'!$C$13:$C$493,'In-out-bal products (155)(완성제품)'!B159,'JUNE (물량흐름)'!$V$13:$V$493)</f>
        <v>0</v>
      </c>
      <c r="H159" s="58">
        <f>SUMIF('JUNE (물량흐름)'!$C$13:$C$493,'In-out-bal products (155)(완성제품)'!B159,'JUNE (물량흐름)'!$T$13:$T$493)-SUMIF('JUNE (물량흐름)'!$C$13:$C$493,'In-out-bal products (155)(완성제품)'!B159,'JUNE (물량흐름)'!$Y$13:$Y$493)+SUMIF('JUNE (물량흐름)'!$C$13:$C$493,'In-out-bal products (155)(완성제품)'!B159,'JUNE (물량흐름)'!$U$13:$U$493)</f>
        <v>0</v>
      </c>
      <c r="I159" s="58">
        <f t="shared" si="66"/>
        <v>0</v>
      </c>
      <c r="J159" s="58">
        <f>SUMIF('Direct labour(직접노무비)'!$C$12:$C$503,'In-out-bal products (155)(완성제품)'!B159,'Direct labour(직접노무비)'!$Q$12:$Q$503)</f>
        <v>0</v>
      </c>
      <c r="K159" s="59">
        <f>SUMIF('Overhead exp(제조경비)'!$C$12:$C$503,'In-out-bal products (155)(완성제품)'!B159,'Overhead exp(제조경비)'!$Q$12:$Q$503)</f>
        <v>0</v>
      </c>
      <c r="L159" s="58">
        <f t="shared" si="67"/>
        <v>0</v>
      </c>
      <c r="M159" s="58">
        <f>SUMIF('JUNE (물량흐름)'!$C$13:$C$488,'In-out-bal products (155)(완성제품)'!B159,'JUNE (물량흐름)'!$Y$13:$Y$488)</f>
        <v>0</v>
      </c>
      <c r="N159" s="58">
        <f t="shared" si="68"/>
        <v>0</v>
      </c>
      <c r="O159" s="58">
        <f>SUMIF('Direct labour(직접노무비)'!$C$12:$C$503,'In-out-bal products (155)(완성제품)'!B159,'Direct labour(직접노무비)'!$U$12:$U$503)+SUMIF('Overhead exp(제조경비)'!$C$12:$C$503,'In-out-bal products (155)(완성제품)'!B159,'Overhead exp(제조경비)'!$U$12:$U$503)</f>
        <v>0</v>
      </c>
      <c r="P159" s="60">
        <f t="shared" si="69"/>
        <v>0</v>
      </c>
      <c r="Q159" s="60">
        <f t="shared" si="70"/>
        <v>0</v>
      </c>
      <c r="R159" s="60">
        <f t="shared" si="71"/>
        <v>0</v>
      </c>
      <c r="S159" s="58">
        <v>0</v>
      </c>
      <c r="T159" s="58">
        <v>0</v>
      </c>
      <c r="U159" s="58">
        <v>0</v>
      </c>
      <c r="V159" s="58">
        <f>SUMIF('JUNE (물량흐름)'!$C$13:$C$493,'In-out-bal products (155)(완성제품)'!B159,'JUNE (물량흐름)'!$W$13:$W$493)</f>
        <v>0</v>
      </c>
      <c r="W159" s="58">
        <f t="shared" si="72"/>
        <v>0</v>
      </c>
      <c r="X159" s="58">
        <f t="shared" si="73"/>
        <v>0</v>
      </c>
      <c r="Y159" s="58">
        <f>SUMIF('JUNE (물량흐름)'!$C$13:$C$488,'In-out-bal products (155)(완성제품)'!B159,'JUNE (물량흐름)'!$X$13:$X$488)</f>
        <v>0</v>
      </c>
      <c r="Z159" s="58">
        <f t="shared" si="74"/>
        <v>0</v>
      </c>
      <c r="AA159" s="58">
        <f t="shared" si="75"/>
        <v>0</v>
      </c>
      <c r="AB159" s="58"/>
      <c r="AC159" s="58"/>
      <c r="AD159" s="61"/>
      <c r="AE159" s="58">
        <f t="shared" si="76"/>
        <v>0</v>
      </c>
      <c r="AF159" s="58">
        <f t="shared" si="77"/>
        <v>0</v>
      </c>
      <c r="AG159" s="61">
        <f t="shared" si="78"/>
        <v>0</v>
      </c>
      <c r="AH159" s="58">
        <v>0</v>
      </c>
      <c r="AI159" s="58">
        <v>0</v>
      </c>
      <c r="AJ159" s="61">
        <v>0</v>
      </c>
      <c r="AK159" s="58"/>
      <c r="AL159" s="58"/>
      <c r="AM159" s="61"/>
      <c r="AN159" s="61">
        <f t="shared" si="79"/>
        <v>0</v>
      </c>
      <c r="AO159" s="58">
        <f t="shared" si="80"/>
        <v>0</v>
      </c>
      <c r="AP159" s="61">
        <f t="shared" si="81"/>
        <v>0</v>
      </c>
      <c r="AQ159" s="58">
        <f t="shared" si="82"/>
        <v>0</v>
      </c>
      <c r="AR159" s="58">
        <f t="shared" si="83"/>
        <v>0</v>
      </c>
      <c r="AS159" s="58">
        <f t="shared" si="84"/>
        <v>0</v>
      </c>
      <c r="AT159" s="58">
        <f>ROUND(SUMIF('JUNE (물량흐름)'!$C$13:$C$502,'In-out-bal products (155)(완성제품)'!B159,'JUNE (물량흐름)'!$AB$13:$AB$502),0)</f>
        <v>0</v>
      </c>
      <c r="AU159" s="58">
        <f t="shared" si="85"/>
        <v>0</v>
      </c>
      <c r="AV159" s="58">
        <f>ROUND(SUMIF('JUNE (물량흐름)'!$C$13:$C$502,'In-out-bal products (155)(완성제품)'!B159,'JUNE (물량흐름)'!$AC$13:$AC$502),0)</f>
        <v>0</v>
      </c>
      <c r="AW159" s="58">
        <f t="shared" si="86"/>
        <v>0</v>
      </c>
      <c r="AX159" s="376">
        <f t="shared" si="87"/>
        <v>0</v>
      </c>
      <c r="AY159" s="377">
        <f t="shared" si="88"/>
        <v>0</v>
      </c>
      <c r="AZ159" s="377">
        <f t="shared" si="89"/>
        <v>0</v>
      </c>
      <c r="BA159" s="377">
        <f t="shared" si="90"/>
        <v>0</v>
      </c>
      <c r="BB159" s="377"/>
      <c r="BC159" s="377">
        <f t="shared" si="91"/>
        <v>0</v>
      </c>
      <c r="BD159" s="377">
        <f t="shared" si="92"/>
        <v>0</v>
      </c>
      <c r="BE159" s="377"/>
      <c r="BF159" s="377">
        <f t="shared" si="93"/>
        <v>0</v>
      </c>
      <c r="BG159" s="433">
        <f t="shared" si="94"/>
        <v>0</v>
      </c>
      <c r="BH159" s="434">
        <f t="shared" si="95"/>
        <v>0</v>
      </c>
    </row>
    <row r="160" spans="1:60" s="378" customFormat="1">
      <c r="A160" s="167">
        <v>150</v>
      </c>
      <c r="B160" s="253">
        <f>VLOOKUP(A160,'JUNE (물량흐름)'!$A$13:$C$493,3,0)</f>
        <v>460886</v>
      </c>
      <c r="C160" s="57" t="str">
        <f>VLOOKUP(A160,'JUNE (물량흐름)'!$A$13:$C$493,2,0)</f>
        <v>ANN TAYLOR</v>
      </c>
      <c r="D160" s="58">
        <f>IFERROR(VLOOKUP(B160,O.B.JUNE!$V$7:$Y$448,2,0),0)</f>
        <v>0</v>
      </c>
      <c r="E160" s="58">
        <f>IFERROR(VLOOKUP(B160,O.B.JUNE!$V$7:$X$448,3,0),0)</f>
        <v>0</v>
      </c>
      <c r="F160" s="58">
        <f>IFERROR(VLOOKUP(B160,O.B.JUNE!$V$7:$Y$448,4,0),0)</f>
        <v>0</v>
      </c>
      <c r="G160" s="58">
        <f>SUMIF('JUNE (물량흐름)'!$C$13:$C$493,'In-out-bal products (155)(완성제품)'!B160,'JUNE (물량흐름)'!$V$13:$V$493)</f>
        <v>0</v>
      </c>
      <c r="H160" s="58">
        <f>SUMIF('JUNE (물량흐름)'!$C$13:$C$493,'In-out-bal products (155)(완성제품)'!B160,'JUNE (물량흐름)'!$T$13:$T$493)-SUMIF('JUNE (물량흐름)'!$C$13:$C$493,'In-out-bal products (155)(완성제품)'!B160,'JUNE (물량흐름)'!$Y$13:$Y$493)+SUMIF('JUNE (물량흐름)'!$C$13:$C$493,'In-out-bal products (155)(완성제품)'!B160,'JUNE (물량흐름)'!$U$13:$U$493)</f>
        <v>0</v>
      </c>
      <c r="I160" s="58">
        <f t="shared" si="66"/>
        <v>0</v>
      </c>
      <c r="J160" s="58">
        <f>SUMIF('Direct labour(직접노무비)'!$C$12:$C$503,'In-out-bal products (155)(완성제품)'!B160,'Direct labour(직접노무비)'!$Q$12:$Q$503)</f>
        <v>0</v>
      </c>
      <c r="K160" s="59">
        <f>SUMIF('Overhead exp(제조경비)'!$C$12:$C$503,'In-out-bal products (155)(완성제품)'!B160,'Overhead exp(제조경비)'!$Q$12:$Q$503)</f>
        <v>0</v>
      </c>
      <c r="L160" s="58">
        <f t="shared" si="67"/>
        <v>0</v>
      </c>
      <c r="M160" s="58">
        <f>SUMIF('JUNE (물량흐름)'!$C$13:$C$488,'In-out-bal products (155)(완성제품)'!B160,'JUNE (물량흐름)'!$Y$13:$Y$488)</f>
        <v>0</v>
      </c>
      <c r="N160" s="58">
        <f t="shared" si="68"/>
        <v>0</v>
      </c>
      <c r="O160" s="58">
        <f>SUMIF('Direct labour(직접노무비)'!$C$12:$C$503,'In-out-bal products (155)(완성제품)'!B160,'Direct labour(직접노무비)'!$U$12:$U$503)+SUMIF('Overhead exp(제조경비)'!$C$12:$C$503,'In-out-bal products (155)(완성제품)'!B160,'Overhead exp(제조경비)'!$U$12:$U$503)</f>
        <v>0</v>
      </c>
      <c r="P160" s="60">
        <f t="shared" si="69"/>
        <v>0</v>
      </c>
      <c r="Q160" s="60">
        <f t="shared" si="70"/>
        <v>0</v>
      </c>
      <c r="R160" s="60">
        <f t="shared" si="71"/>
        <v>0</v>
      </c>
      <c r="S160" s="58">
        <v>0</v>
      </c>
      <c r="T160" s="58">
        <v>0</v>
      </c>
      <c r="U160" s="58">
        <v>0</v>
      </c>
      <c r="V160" s="58">
        <f>SUMIF('JUNE (물량흐름)'!$C$13:$C$493,'In-out-bal products (155)(완성제품)'!B160,'JUNE (물량흐름)'!$W$13:$W$493)</f>
        <v>0</v>
      </c>
      <c r="W160" s="58">
        <f t="shared" si="72"/>
        <v>0</v>
      </c>
      <c r="X160" s="58">
        <f t="shared" si="73"/>
        <v>0</v>
      </c>
      <c r="Y160" s="58">
        <f>SUMIF('JUNE (물량흐름)'!$C$13:$C$488,'In-out-bal products (155)(완성제품)'!B160,'JUNE (물량흐름)'!$X$13:$X$488)</f>
        <v>0</v>
      </c>
      <c r="Z160" s="58">
        <f t="shared" si="74"/>
        <v>0</v>
      </c>
      <c r="AA160" s="58">
        <f t="shared" si="75"/>
        <v>0</v>
      </c>
      <c r="AB160" s="58"/>
      <c r="AC160" s="58"/>
      <c r="AD160" s="61"/>
      <c r="AE160" s="58">
        <f t="shared" si="76"/>
        <v>0</v>
      </c>
      <c r="AF160" s="58">
        <f t="shared" si="77"/>
        <v>0</v>
      </c>
      <c r="AG160" s="61">
        <f t="shared" si="78"/>
        <v>0</v>
      </c>
      <c r="AH160" s="58">
        <v>0</v>
      </c>
      <c r="AI160" s="58">
        <v>0</v>
      </c>
      <c r="AJ160" s="61">
        <v>0</v>
      </c>
      <c r="AK160" s="58"/>
      <c r="AL160" s="58"/>
      <c r="AM160" s="61"/>
      <c r="AN160" s="61">
        <f t="shared" si="79"/>
        <v>0</v>
      </c>
      <c r="AO160" s="58">
        <f t="shared" si="80"/>
        <v>0</v>
      </c>
      <c r="AP160" s="61">
        <f t="shared" si="81"/>
        <v>0</v>
      </c>
      <c r="AQ160" s="58">
        <f t="shared" si="82"/>
        <v>0</v>
      </c>
      <c r="AR160" s="58">
        <f t="shared" si="83"/>
        <v>0</v>
      </c>
      <c r="AS160" s="58">
        <f t="shared" si="84"/>
        <v>0</v>
      </c>
      <c r="AT160" s="58">
        <f>ROUND(SUMIF('JUNE (물량흐름)'!$C$13:$C$502,'In-out-bal products (155)(완성제품)'!B160,'JUNE (물량흐름)'!$AB$13:$AB$502),0)</f>
        <v>0</v>
      </c>
      <c r="AU160" s="58">
        <f t="shared" si="85"/>
        <v>0</v>
      </c>
      <c r="AV160" s="58">
        <f>ROUND(SUMIF('JUNE (물량흐름)'!$C$13:$C$502,'In-out-bal products (155)(완성제품)'!B160,'JUNE (물량흐름)'!$AC$13:$AC$502),0)</f>
        <v>0</v>
      </c>
      <c r="AW160" s="58">
        <f t="shared" si="86"/>
        <v>0</v>
      </c>
      <c r="AX160" s="376">
        <f t="shared" si="87"/>
        <v>0</v>
      </c>
      <c r="AY160" s="377">
        <f t="shared" si="88"/>
        <v>0</v>
      </c>
      <c r="AZ160" s="377">
        <f t="shared" si="89"/>
        <v>0</v>
      </c>
      <c r="BA160" s="377">
        <f t="shared" si="90"/>
        <v>0</v>
      </c>
      <c r="BB160" s="377"/>
      <c r="BC160" s="377">
        <f t="shared" si="91"/>
        <v>0</v>
      </c>
      <c r="BD160" s="377">
        <f t="shared" si="92"/>
        <v>0</v>
      </c>
      <c r="BE160" s="377"/>
      <c r="BF160" s="377">
        <f t="shared" si="93"/>
        <v>0</v>
      </c>
      <c r="BG160" s="433">
        <f t="shared" si="94"/>
        <v>0</v>
      </c>
      <c r="BH160" s="434">
        <f t="shared" si="95"/>
        <v>0</v>
      </c>
    </row>
    <row r="161" spans="1:60" s="378" customFormat="1">
      <c r="A161" s="167">
        <v>151</v>
      </c>
      <c r="B161" s="253">
        <f>VLOOKUP(A161,'JUNE (물량흐름)'!$A$13:$C$493,3,0)</f>
        <v>100014612</v>
      </c>
      <c r="C161" s="57" t="str">
        <f>VLOOKUP(A161,'JUNE (물량흐름)'!$A$13:$C$493,2,0)</f>
        <v>INC</v>
      </c>
      <c r="D161" s="58">
        <f>IFERROR(VLOOKUP(B161,O.B.JUNE!$V$7:$Y$448,2,0),0)</f>
        <v>0</v>
      </c>
      <c r="E161" s="58">
        <f>IFERROR(VLOOKUP(B161,O.B.JUNE!$V$7:$X$448,3,0),0)</f>
        <v>0</v>
      </c>
      <c r="F161" s="58">
        <f>IFERROR(VLOOKUP(B161,O.B.JUNE!$V$7:$Y$448,4,0),0)</f>
        <v>0</v>
      </c>
      <c r="G161" s="58">
        <f>SUMIF('JUNE (물량흐름)'!$C$13:$C$493,'In-out-bal products (155)(완성제품)'!B161,'JUNE (물량흐름)'!$V$13:$V$493)</f>
        <v>0</v>
      </c>
      <c r="H161" s="58">
        <f>SUMIF('JUNE (물량흐름)'!$C$13:$C$493,'In-out-bal products (155)(완성제품)'!B161,'JUNE (물량흐름)'!$T$13:$T$493)-SUMIF('JUNE (물량흐름)'!$C$13:$C$493,'In-out-bal products (155)(완성제품)'!B161,'JUNE (물량흐름)'!$Y$13:$Y$493)+SUMIF('JUNE (물량흐름)'!$C$13:$C$493,'In-out-bal products (155)(완성제품)'!B161,'JUNE (물량흐름)'!$U$13:$U$493)</f>
        <v>223</v>
      </c>
      <c r="I161" s="58">
        <f t="shared" si="66"/>
        <v>19235.031390134529</v>
      </c>
      <c r="J161" s="58">
        <f>SUMIF('Direct labour(직접노무비)'!$C$12:$C$503,'In-out-bal products (155)(완성제품)'!B161,'Direct labour(직접노무비)'!$Q$12:$Q$503)</f>
        <v>1765302</v>
      </c>
      <c r="K161" s="59">
        <f>SUMIF('Overhead exp(제조경비)'!$C$12:$C$503,'In-out-bal products (155)(완성제품)'!B161,'Overhead exp(제조경비)'!$Q$12:$Q$503)</f>
        <v>2524110</v>
      </c>
      <c r="L161" s="58">
        <f t="shared" si="67"/>
        <v>4289412</v>
      </c>
      <c r="M161" s="58">
        <f>SUMIF('JUNE (물량흐름)'!$C$13:$C$488,'In-out-bal products (155)(완성제품)'!B161,'JUNE (물량흐름)'!$Y$13:$Y$488)</f>
        <v>0</v>
      </c>
      <c r="N161" s="58">
        <f t="shared" si="68"/>
        <v>0</v>
      </c>
      <c r="O161" s="58">
        <f>SUMIF('Direct labour(직접노무비)'!$C$12:$C$503,'In-out-bal products (155)(완성제품)'!B161,'Direct labour(직접노무비)'!$U$12:$U$503)+SUMIF('Overhead exp(제조경비)'!$C$12:$C$503,'In-out-bal products (155)(완성제품)'!B161,'Overhead exp(제조경비)'!$U$12:$U$503)</f>
        <v>0</v>
      </c>
      <c r="P161" s="60">
        <f t="shared" si="69"/>
        <v>223</v>
      </c>
      <c r="Q161" s="60">
        <f t="shared" si="70"/>
        <v>19235.031390134529</v>
      </c>
      <c r="R161" s="60">
        <f t="shared" si="71"/>
        <v>4289412</v>
      </c>
      <c r="S161" s="58">
        <v>0</v>
      </c>
      <c r="T161" s="58">
        <v>0</v>
      </c>
      <c r="U161" s="58">
        <v>0</v>
      </c>
      <c r="V161" s="58">
        <f>SUMIF('JUNE (물량흐름)'!$C$13:$C$493,'In-out-bal products (155)(완성제품)'!B161,'JUNE (물량흐름)'!$W$13:$W$493)</f>
        <v>0</v>
      </c>
      <c r="W161" s="58">
        <f t="shared" si="72"/>
        <v>0</v>
      </c>
      <c r="X161" s="58">
        <f t="shared" si="73"/>
        <v>0</v>
      </c>
      <c r="Y161" s="58">
        <f>SUMIF('JUNE (물량흐름)'!$C$13:$C$488,'In-out-bal products (155)(완성제품)'!B161,'JUNE (물량흐름)'!$X$13:$X$488)</f>
        <v>0</v>
      </c>
      <c r="Z161" s="58">
        <f t="shared" si="74"/>
        <v>0</v>
      </c>
      <c r="AA161" s="58">
        <f t="shared" si="75"/>
        <v>0</v>
      </c>
      <c r="AB161" s="58"/>
      <c r="AC161" s="58"/>
      <c r="AD161" s="61"/>
      <c r="AE161" s="58">
        <f t="shared" si="76"/>
        <v>0</v>
      </c>
      <c r="AF161" s="58">
        <f t="shared" si="77"/>
        <v>0</v>
      </c>
      <c r="AG161" s="61">
        <f t="shared" si="78"/>
        <v>0</v>
      </c>
      <c r="AH161" s="58">
        <v>0</v>
      </c>
      <c r="AI161" s="58">
        <v>0</v>
      </c>
      <c r="AJ161" s="61">
        <v>0</v>
      </c>
      <c r="AK161" s="58"/>
      <c r="AL161" s="58"/>
      <c r="AM161" s="61"/>
      <c r="AN161" s="61">
        <f t="shared" si="79"/>
        <v>0</v>
      </c>
      <c r="AO161" s="58">
        <f t="shared" si="80"/>
        <v>0</v>
      </c>
      <c r="AP161" s="61">
        <f t="shared" si="81"/>
        <v>0</v>
      </c>
      <c r="AQ161" s="58">
        <f t="shared" si="82"/>
        <v>223</v>
      </c>
      <c r="AR161" s="58">
        <f t="shared" si="83"/>
        <v>19235.031390134529</v>
      </c>
      <c r="AS161" s="58">
        <f t="shared" si="84"/>
        <v>4289412</v>
      </c>
      <c r="AT161" s="58">
        <f>ROUND(SUMIF('JUNE (물량흐름)'!$C$13:$C$502,'In-out-bal products (155)(완성제품)'!B161,'JUNE (물량흐름)'!$AB$13:$AB$502),0)</f>
        <v>0</v>
      </c>
      <c r="AU161" s="58">
        <f t="shared" si="85"/>
        <v>0</v>
      </c>
      <c r="AV161" s="58">
        <f>ROUND(SUMIF('JUNE (물량흐름)'!$C$13:$C$502,'In-out-bal products (155)(완성제품)'!B161,'JUNE (물량흐름)'!$AC$13:$AC$502),0)</f>
        <v>223</v>
      </c>
      <c r="AW161" s="58">
        <f t="shared" si="86"/>
        <v>4289412</v>
      </c>
      <c r="AX161" s="376">
        <f t="shared" si="87"/>
        <v>0</v>
      </c>
      <c r="AY161" s="377">
        <f t="shared" si="88"/>
        <v>0</v>
      </c>
      <c r="AZ161" s="377">
        <f t="shared" si="89"/>
        <v>0</v>
      </c>
      <c r="BA161" s="377">
        <f t="shared" si="90"/>
        <v>0</v>
      </c>
      <c r="BB161" s="377"/>
      <c r="BC161" s="377">
        <f t="shared" si="91"/>
        <v>0</v>
      </c>
      <c r="BD161" s="377">
        <f t="shared" si="92"/>
        <v>0</v>
      </c>
      <c r="BE161" s="377"/>
      <c r="BF161" s="377">
        <f t="shared" si="93"/>
        <v>0</v>
      </c>
      <c r="BG161" s="433">
        <f t="shared" si="94"/>
        <v>0</v>
      </c>
      <c r="BH161" s="434">
        <f t="shared" si="95"/>
        <v>0</v>
      </c>
    </row>
    <row r="162" spans="1:60" s="378" customFormat="1">
      <c r="A162" s="167">
        <v>152</v>
      </c>
      <c r="B162" s="253">
        <f>VLOOKUP(A162,'JUNE (물량흐름)'!$A$13:$C$493,3,0)</f>
        <v>100014882</v>
      </c>
      <c r="C162" s="57" t="str">
        <f>VLOOKUP(A162,'JUNE (물량흐름)'!$A$13:$C$493,2,0)</f>
        <v>INC</v>
      </c>
      <c r="D162" s="58">
        <f>IFERROR(VLOOKUP(B162,O.B.JUNE!$V$7:$Y$448,2,0),0)</f>
        <v>0</v>
      </c>
      <c r="E162" s="58">
        <f>IFERROR(VLOOKUP(B162,O.B.JUNE!$V$7:$X$448,3,0),0)</f>
        <v>0</v>
      </c>
      <c r="F162" s="58">
        <f>IFERROR(VLOOKUP(B162,O.B.JUNE!$V$7:$Y$448,4,0),0)</f>
        <v>0</v>
      </c>
      <c r="G162" s="58">
        <f>SUMIF('JUNE (물량흐름)'!$C$13:$C$493,'In-out-bal products (155)(완성제품)'!B162,'JUNE (물량흐름)'!$V$13:$V$493)</f>
        <v>0</v>
      </c>
      <c r="H162" s="58">
        <f>SUMIF('JUNE (물량흐름)'!$C$13:$C$493,'In-out-bal products (155)(완성제품)'!B162,'JUNE (물량흐름)'!$T$13:$T$493)-SUMIF('JUNE (물량흐름)'!$C$13:$C$493,'In-out-bal products (155)(완성제품)'!B162,'JUNE (물량흐름)'!$Y$13:$Y$493)+SUMIF('JUNE (물량흐름)'!$C$13:$C$493,'In-out-bal products (155)(완성제품)'!B162,'JUNE (물량흐름)'!$U$13:$U$493)</f>
        <v>25</v>
      </c>
      <c r="I162" s="58">
        <f t="shared" si="66"/>
        <v>65904.960000000006</v>
      </c>
      <c r="J162" s="58">
        <f>SUMIF('Direct labour(직접노무비)'!$C$12:$C$503,'In-out-bal products (155)(완성제품)'!B162,'Direct labour(직접노무비)'!$Q$12:$Q$503)</f>
        <v>650729</v>
      </c>
      <c r="K162" s="59">
        <f>SUMIF('Overhead exp(제조경비)'!$C$12:$C$503,'In-out-bal products (155)(완성제품)'!B162,'Overhead exp(제조경비)'!$Q$12:$Q$503)</f>
        <v>996895</v>
      </c>
      <c r="L162" s="58">
        <f t="shared" si="67"/>
        <v>1647624</v>
      </c>
      <c r="M162" s="58">
        <f>SUMIF('JUNE (물량흐름)'!$C$13:$C$488,'In-out-bal products (155)(완성제품)'!B162,'JUNE (물량흐름)'!$Y$13:$Y$488)</f>
        <v>0</v>
      </c>
      <c r="N162" s="58">
        <f t="shared" si="68"/>
        <v>0</v>
      </c>
      <c r="O162" s="58">
        <f>SUMIF('Direct labour(직접노무비)'!$C$12:$C$503,'In-out-bal products (155)(완성제품)'!B162,'Direct labour(직접노무비)'!$U$12:$U$503)+SUMIF('Overhead exp(제조경비)'!$C$12:$C$503,'In-out-bal products (155)(완성제품)'!B162,'Overhead exp(제조경비)'!$U$12:$U$503)</f>
        <v>0</v>
      </c>
      <c r="P162" s="60">
        <f t="shared" si="69"/>
        <v>25</v>
      </c>
      <c r="Q162" s="60">
        <f t="shared" si="70"/>
        <v>65904.960000000006</v>
      </c>
      <c r="R162" s="60">
        <f t="shared" si="71"/>
        <v>1647624</v>
      </c>
      <c r="S162" s="58">
        <v>0</v>
      </c>
      <c r="T162" s="58">
        <v>0</v>
      </c>
      <c r="U162" s="58">
        <v>0</v>
      </c>
      <c r="V162" s="58">
        <f>SUMIF('JUNE (물량흐름)'!$C$13:$C$493,'In-out-bal products (155)(완성제품)'!B162,'JUNE (물량흐름)'!$W$13:$W$493)</f>
        <v>0</v>
      </c>
      <c r="W162" s="58">
        <f t="shared" si="72"/>
        <v>0</v>
      </c>
      <c r="X162" s="58">
        <f t="shared" si="73"/>
        <v>0</v>
      </c>
      <c r="Y162" s="58">
        <f>SUMIF('JUNE (물량흐름)'!$C$13:$C$488,'In-out-bal products (155)(완성제품)'!B162,'JUNE (물량흐름)'!$X$13:$X$488)</f>
        <v>0</v>
      </c>
      <c r="Z162" s="58">
        <f t="shared" si="74"/>
        <v>0</v>
      </c>
      <c r="AA162" s="58">
        <f t="shared" si="75"/>
        <v>0</v>
      </c>
      <c r="AB162" s="58"/>
      <c r="AC162" s="58"/>
      <c r="AD162" s="61"/>
      <c r="AE162" s="58">
        <f t="shared" si="76"/>
        <v>0</v>
      </c>
      <c r="AF162" s="58">
        <f t="shared" si="77"/>
        <v>0</v>
      </c>
      <c r="AG162" s="61">
        <f t="shared" si="78"/>
        <v>0</v>
      </c>
      <c r="AH162" s="58">
        <v>0</v>
      </c>
      <c r="AI162" s="58">
        <v>0</v>
      </c>
      <c r="AJ162" s="61">
        <v>0</v>
      </c>
      <c r="AK162" s="58"/>
      <c r="AL162" s="58"/>
      <c r="AM162" s="61"/>
      <c r="AN162" s="61">
        <f t="shared" si="79"/>
        <v>0</v>
      </c>
      <c r="AO162" s="58">
        <f t="shared" si="80"/>
        <v>0</v>
      </c>
      <c r="AP162" s="61">
        <f t="shared" si="81"/>
        <v>0</v>
      </c>
      <c r="AQ162" s="58">
        <f t="shared" si="82"/>
        <v>25</v>
      </c>
      <c r="AR162" s="58">
        <f t="shared" si="83"/>
        <v>65904.960000000006</v>
      </c>
      <c r="AS162" s="58">
        <f t="shared" si="84"/>
        <v>1647624</v>
      </c>
      <c r="AT162" s="58">
        <f>ROUND(SUMIF('JUNE (물량흐름)'!$C$13:$C$502,'In-out-bal products (155)(완성제품)'!B162,'JUNE (물량흐름)'!$AB$13:$AB$502),0)</f>
        <v>0</v>
      </c>
      <c r="AU162" s="58">
        <f t="shared" si="85"/>
        <v>0</v>
      </c>
      <c r="AV162" s="58">
        <f>ROUND(SUMIF('JUNE (물량흐름)'!$C$13:$C$502,'In-out-bal products (155)(완성제품)'!B162,'JUNE (물량흐름)'!$AC$13:$AC$502),0)</f>
        <v>25</v>
      </c>
      <c r="AW162" s="58">
        <f t="shared" si="86"/>
        <v>1647624</v>
      </c>
      <c r="AX162" s="376">
        <f t="shared" si="87"/>
        <v>0</v>
      </c>
      <c r="AY162" s="377">
        <f t="shared" si="88"/>
        <v>0</v>
      </c>
      <c r="AZ162" s="377">
        <f t="shared" si="89"/>
        <v>0</v>
      </c>
      <c r="BA162" s="377">
        <f t="shared" si="90"/>
        <v>0</v>
      </c>
      <c r="BB162" s="377"/>
      <c r="BC162" s="377">
        <f t="shared" si="91"/>
        <v>0</v>
      </c>
      <c r="BD162" s="377">
        <f t="shared" si="92"/>
        <v>0</v>
      </c>
      <c r="BE162" s="377"/>
      <c r="BF162" s="377">
        <f t="shared" si="93"/>
        <v>0</v>
      </c>
      <c r="BG162" s="433">
        <f t="shared" si="94"/>
        <v>0</v>
      </c>
      <c r="BH162" s="434">
        <f t="shared" si="95"/>
        <v>0</v>
      </c>
    </row>
    <row r="163" spans="1:60" s="378" customFormat="1">
      <c r="A163" s="167">
        <v>153</v>
      </c>
      <c r="B163" s="253" t="str">
        <f>VLOOKUP(A163,'JUNE (물량흐름)'!$A$13:$C$493,3,0)</f>
        <v>CN380880MI</v>
      </c>
      <c r="C163" s="57" t="str">
        <f>VLOOKUP(A163,'JUNE (물량흐름)'!$A$13:$C$493,2,0)</f>
        <v>NORDSTROM</v>
      </c>
      <c r="D163" s="58">
        <f>IFERROR(VLOOKUP(B163,O.B.JUNE!$V$7:$Y$448,2,0),0)</f>
        <v>0</v>
      </c>
      <c r="E163" s="58">
        <f>IFERROR(VLOOKUP(B163,O.B.JUNE!$V$7:$X$448,3,0),0)</f>
        <v>0</v>
      </c>
      <c r="F163" s="58">
        <f>IFERROR(VLOOKUP(B163,O.B.JUNE!$V$7:$Y$448,4,0),0)</f>
        <v>0</v>
      </c>
      <c r="G163" s="58">
        <f>SUMIF('JUNE (물량흐름)'!$C$13:$C$493,'In-out-bal products (155)(완성제품)'!B163,'JUNE (물량흐름)'!$V$13:$V$493)</f>
        <v>0</v>
      </c>
      <c r="H163" s="58">
        <f>SUMIF('JUNE (물량흐름)'!$C$13:$C$493,'In-out-bal products (155)(완성제품)'!B163,'JUNE (물량흐름)'!$T$13:$T$493)-SUMIF('JUNE (물량흐름)'!$C$13:$C$493,'In-out-bal products (155)(완성제품)'!B163,'JUNE (물량흐름)'!$Y$13:$Y$493)+SUMIF('JUNE (물량흐름)'!$C$13:$C$493,'In-out-bal products (155)(완성제품)'!B163,'JUNE (물량흐름)'!$U$13:$U$493)</f>
        <v>362</v>
      </c>
      <c r="I163" s="58">
        <f t="shared" si="66"/>
        <v>11059.690607734807</v>
      </c>
      <c r="J163" s="58">
        <f>SUMIF('Direct labour(직접노무비)'!$C$12:$C$503,'In-out-bal products (155)(완성제품)'!B163,'Direct labour(직접노무비)'!$Q$12:$Q$503)</f>
        <v>1581224</v>
      </c>
      <c r="K163" s="59">
        <f>SUMIF('Overhead exp(제조경비)'!$C$12:$C$503,'In-out-bal products (155)(완성제품)'!B163,'Overhead exp(제조경비)'!$Q$12:$Q$503)</f>
        <v>2422384</v>
      </c>
      <c r="L163" s="58">
        <f t="shared" si="67"/>
        <v>4003608</v>
      </c>
      <c r="M163" s="58">
        <f>SUMIF('JUNE (물량흐름)'!$C$13:$C$488,'In-out-bal products (155)(완성제품)'!B163,'JUNE (물량흐름)'!$Y$13:$Y$488)</f>
        <v>0</v>
      </c>
      <c r="N163" s="58">
        <f t="shared" si="68"/>
        <v>0</v>
      </c>
      <c r="O163" s="58">
        <f>SUMIF('Direct labour(직접노무비)'!$C$12:$C$503,'In-out-bal products (155)(완성제품)'!B163,'Direct labour(직접노무비)'!$U$12:$U$503)+SUMIF('Overhead exp(제조경비)'!$C$12:$C$503,'In-out-bal products (155)(완성제품)'!B163,'Overhead exp(제조경비)'!$U$12:$U$503)</f>
        <v>0</v>
      </c>
      <c r="P163" s="60">
        <f t="shared" si="69"/>
        <v>362</v>
      </c>
      <c r="Q163" s="60">
        <f t="shared" si="70"/>
        <v>11059.690607734807</v>
      </c>
      <c r="R163" s="60">
        <f t="shared" si="71"/>
        <v>4003608</v>
      </c>
      <c r="S163" s="58">
        <v>0</v>
      </c>
      <c r="T163" s="58">
        <v>0</v>
      </c>
      <c r="U163" s="58">
        <v>0</v>
      </c>
      <c r="V163" s="58">
        <f>SUMIF('JUNE (물량흐름)'!$C$13:$C$493,'In-out-bal products (155)(완성제품)'!B163,'JUNE (물량흐름)'!$W$13:$W$493)</f>
        <v>0</v>
      </c>
      <c r="W163" s="58">
        <f t="shared" si="72"/>
        <v>0</v>
      </c>
      <c r="X163" s="58">
        <f t="shared" si="73"/>
        <v>0</v>
      </c>
      <c r="Y163" s="58">
        <f>SUMIF('JUNE (물량흐름)'!$C$13:$C$488,'In-out-bal products (155)(완성제품)'!B163,'JUNE (물량흐름)'!$X$13:$X$488)</f>
        <v>0</v>
      </c>
      <c r="Z163" s="58">
        <f t="shared" si="74"/>
        <v>0</v>
      </c>
      <c r="AA163" s="58">
        <f t="shared" si="75"/>
        <v>0</v>
      </c>
      <c r="AB163" s="58"/>
      <c r="AC163" s="58"/>
      <c r="AD163" s="61"/>
      <c r="AE163" s="58">
        <f t="shared" si="76"/>
        <v>0</v>
      </c>
      <c r="AF163" s="58">
        <f t="shared" si="77"/>
        <v>0</v>
      </c>
      <c r="AG163" s="61">
        <f t="shared" si="78"/>
        <v>0</v>
      </c>
      <c r="AH163" s="58">
        <v>0</v>
      </c>
      <c r="AI163" s="58">
        <v>0</v>
      </c>
      <c r="AJ163" s="61">
        <v>0</v>
      </c>
      <c r="AK163" s="58"/>
      <c r="AL163" s="58"/>
      <c r="AM163" s="61"/>
      <c r="AN163" s="61">
        <f t="shared" si="79"/>
        <v>0</v>
      </c>
      <c r="AO163" s="58">
        <f t="shared" si="80"/>
        <v>0</v>
      </c>
      <c r="AP163" s="61">
        <f t="shared" si="81"/>
        <v>0</v>
      </c>
      <c r="AQ163" s="58">
        <f t="shared" si="82"/>
        <v>362</v>
      </c>
      <c r="AR163" s="58">
        <f t="shared" si="83"/>
        <v>11059.690607734807</v>
      </c>
      <c r="AS163" s="58">
        <f t="shared" si="84"/>
        <v>4003608</v>
      </c>
      <c r="AT163" s="58">
        <f>ROUND(SUMIF('JUNE (물량흐름)'!$C$13:$C$502,'In-out-bal products (155)(완성제품)'!B163,'JUNE (물량흐름)'!$AB$13:$AB$502),0)</f>
        <v>0</v>
      </c>
      <c r="AU163" s="58">
        <f t="shared" si="85"/>
        <v>0</v>
      </c>
      <c r="AV163" s="58">
        <f>ROUND(SUMIF('JUNE (물량흐름)'!$C$13:$C$502,'In-out-bal products (155)(완성제품)'!B163,'JUNE (물량흐름)'!$AC$13:$AC$502),0)</f>
        <v>362</v>
      </c>
      <c r="AW163" s="58">
        <f t="shared" si="86"/>
        <v>4003608</v>
      </c>
      <c r="AX163" s="376">
        <f t="shared" si="87"/>
        <v>0</v>
      </c>
      <c r="AY163" s="377">
        <f t="shared" si="88"/>
        <v>0</v>
      </c>
      <c r="AZ163" s="377">
        <f t="shared" si="89"/>
        <v>0</v>
      </c>
      <c r="BA163" s="377">
        <f t="shared" si="90"/>
        <v>0</v>
      </c>
      <c r="BB163" s="377"/>
      <c r="BC163" s="377">
        <f t="shared" si="91"/>
        <v>0</v>
      </c>
      <c r="BD163" s="377">
        <f t="shared" si="92"/>
        <v>0</v>
      </c>
      <c r="BE163" s="377"/>
      <c r="BF163" s="377">
        <f t="shared" si="93"/>
        <v>0</v>
      </c>
      <c r="BG163" s="433">
        <f t="shared" si="94"/>
        <v>0</v>
      </c>
      <c r="BH163" s="434">
        <f t="shared" si="95"/>
        <v>0</v>
      </c>
    </row>
    <row r="164" spans="1:60" s="378" customFormat="1">
      <c r="A164" s="167">
        <v>154</v>
      </c>
      <c r="B164" s="253" t="str">
        <f>VLOOKUP(A164,'JUNE (물량흐름)'!$A$13:$C$493,3,0)</f>
        <v>RK381912MI</v>
      </c>
      <c r="C164" s="57" t="str">
        <f>VLOOKUP(A164,'JUNE (물량흐름)'!$A$13:$C$493,2,0)</f>
        <v>NORDSTROM</v>
      </c>
      <c r="D164" s="58">
        <f>IFERROR(VLOOKUP(B164,O.B.JUNE!$V$7:$Y$448,2,0),0)</f>
        <v>0</v>
      </c>
      <c r="E164" s="58">
        <f>IFERROR(VLOOKUP(B164,O.B.JUNE!$V$7:$X$448,3,0),0)</f>
        <v>0</v>
      </c>
      <c r="F164" s="58">
        <f>IFERROR(VLOOKUP(B164,O.B.JUNE!$V$7:$Y$448,4,0),0)</f>
        <v>0</v>
      </c>
      <c r="G164" s="58">
        <f>SUMIF('JUNE (물량흐름)'!$C$13:$C$493,'In-out-bal products (155)(완성제품)'!B164,'JUNE (물량흐름)'!$V$13:$V$493)</f>
        <v>0</v>
      </c>
      <c r="H164" s="58">
        <f>SUMIF('JUNE (물량흐름)'!$C$13:$C$493,'In-out-bal products (155)(완성제품)'!B164,'JUNE (물량흐름)'!$T$13:$T$493)-SUMIF('JUNE (물량흐름)'!$C$13:$C$493,'In-out-bal products (155)(완성제품)'!B164,'JUNE (물량흐름)'!$Y$13:$Y$493)+SUMIF('JUNE (물량흐름)'!$C$13:$C$493,'In-out-bal products (155)(완성제품)'!B164,'JUNE (물량흐름)'!$U$13:$U$493)</f>
        <v>213</v>
      </c>
      <c r="I164" s="58">
        <f t="shared" si="66"/>
        <v>9948.4319248826287</v>
      </c>
      <c r="J164" s="58">
        <f>SUMIF('Direct labour(직접노무비)'!$C$12:$C$503,'In-out-bal products (155)(완성제품)'!B164,'Direct labour(직접노무비)'!$Q$12:$Q$503)</f>
        <v>887367</v>
      </c>
      <c r="K164" s="59">
        <f>SUMIF('Overhead exp(제조경비)'!$C$12:$C$503,'In-out-bal products (155)(완성제품)'!B164,'Overhead exp(제조경비)'!$Q$12:$Q$503)</f>
        <v>1231649</v>
      </c>
      <c r="L164" s="58">
        <f t="shared" si="67"/>
        <v>2119016</v>
      </c>
      <c r="M164" s="58">
        <f>SUMIF('JUNE (물량흐름)'!$C$13:$C$488,'In-out-bal products (155)(완성제품)'!B164,'JUNE (물량흐름)'!$Y$13:$Y$488)</f>
        <v>0</v>
      </c>
      <c r="N164" s="58">
        <f t="shared" si="68"/>
        <v>0</v>
      </c>
      <c r="O164" s="58">
        <f>SUMIF('Direct labour(직접노무비)'!$C$12:$C$503,'In-out-bal products (155)(완성제품)'!B164,'Direct labour(직접노무비)'!$U$12:$U$503)+SUMIF('Overhead exp(제조경비)'!$C$12:$C$503,'In-out-bal products (155)(완성제품)'!B164,'Overhead exp(제조경비)'!$U$12:$U$503)</f>
        <v>0</v>
      </c>
      <c r="P164" s="60">
        <f t="shared" si="69"/>
        <v>213</v>
      </c>
      <c r="Q164" s="60">
        <f t="shared" si="70"/>
        <v>9948.4319248826287</v>
      </c>
      <c r="R164" s="60">
        <f t="shared" si="71"/>
        <v>2119016</v>
      </c>
      <c r="S164" s="58">
        <v>0</v>
      </c>
      <c r="T164" s="58">
        <v>0</v>
      </c>
      <c r="U164" s="58">
        <v>0</v>
      </c>
      <c r="V164" s="58">
        <f>SUMIF('JUNE (물량흐름)'!$C$13:$C$493,'In-out-bal products (155)(완성제품)'!B164,'JUNE (물량흐름)'!$W$13:$W$493)</f>
        <v>0</v>
      </c>
      <c r="W164" s="58">
        <f t="shared" si="72"/>
        <v>0</v>
      </c>
      <c r="X164" s="58">
        <f t="shared" si="73"/>
        <v>0</v>
      </c>
      <c r="Y164" s="58">
        <f>SUMIF('JUNE (물량흐름)'!$C$13:$C$488,'In-out-bal products (155)(완성제품)'!B164,'JUNE (물량흐름)'!$X$13:$X$488)</f>
        <v>0</v>
      </c>
      <c r="Z164" s="58">
        <f t="shared" si="74"/>
        <v>0</v>
      </c>
      <c r="AA164" s="58">
        <f t="shared" si="75"/>
        <v>0</v>
      </c>
      <c r="AB164" s="58"/>
      <c r="AC164" s="58"/>
      <c r="AD164" s="61"/>
      <c r="AE164" s="58">
        <f t="shared" si="76"/>
        <v>0</v>
      </c>
      <c r="AF164" s="58">
        <f t="shared" si="77"/>
        <v>0</v>
      </c>
      <c r="AG164" s="61">
        <f t="shared" si="78"/>
        <v>0</v>
      </c>
      <c r="AH164" s="58">
        <v>0</v>
      </c>
      <c r="AI164" s="58">
        <v>0</v>
      </c>
      <c r="AJ164" s="61">
        <v>0</v>
      </c>
      <c r="AK164" s="58"/>
      <c r="AL164" s="58"/>
      <c r="AM164" s="61"/>
      <c r="AN164" s="61">
        <f t="shared" si="79"/>
        <v>0</v>
      </c>
      <c r="AO164" s="58">
        <f t="shared" si="80"/>
        <v>0</v>
      </c>
      <c r="AP164" s="61">
        <f t="shared" si="81"/>
        <v>0</v>
      </c>
      <c r="AQ164" s="58">
        <f t="shared" si="82"/>
        <v>213</v>
      </c>
      <c r="AR164" s="58">
        <f t="shared" si="83"/>
        <v>9948.4319248826287</v>
      </c>
      <c r="AS164" s="58">
        <f t="shared" si="84"/>
        <v>2119016</v>
      </c>
      <c r="AT164" s="58">
        <f>ROUND(SUMIF('JUNE (물량흐름)'!$C$13:$C$502,'In-out-bal products (155)(완성제품)'!B164,'JUNE (물량흐름)'!$AB$13:$AB$502),0)</f>
        <v>0</v>
      </c>
      <c r="AU164" s="58">
        <f t="shared" si="85"/>
        <v>0</v>
      </c>
      <c r="AV164" s="58">
        <f>ROUND(SUMIF('JUNE (물량흐름)'!$C$13:$C$502,'In-out-bal products (155)(완성제품)'!B164,'JUNE (물량흐름)'!$AC$13:$AC$502),0)</f>
        <v>213</v>
      </c>
      <c r="AW164" s="58">
        <f t="shared" si="86"/>
        <v>2119016</v>
      </c>
      <c r="AX164" s="376">
        <f t="shared" si="87"/>
        <v>0</v>
      </c>
      <c r="AY164" s="377">
        <f t="shared" si="88"/>
        <v>0</v>
      </c>
      <c r="AZ164" s="377">
        <f t="shared" si="89"/>
        <v>0</v>
      </c>
      <c r="BA164" s="377">
        <f t="shared" si="90"/>
        <v>0</v>
      </c>
      <c r="BB164" s="377"/>
      <c r="BC164" s="377">
        <f t="shared" si="91"/>
        <v>0</v>
      </c>
      <c r="BD164" s="377">
        <f t="shared" si="92"/>
        <v>0</v>
      </c>
      <c r="BE164" s="377"/>
      <c r="BF164" s="377">
        <f t="shared" si="93"/>
        <v>0</v>
      </c>
      <c r="BG164" s="433">
        <f t="shared" si="94"/>
        <v>0</v>
      </c>
      <c r="BH164" s="434">
        <f t="shared" si="95"/>
        <v>0</v>
      </c>
    </row>
    <row r="165" spans="1:60" s="378" customFormat="1">
      <c r="A165" s="167">
        <v>155</v>
      </c>
      <c r="B165" s="253">
        <f>VLOOKUP(A165,'JUNE (물량흐름)'!$A$13:$C$493,3,0)</f>
        <v>100008562</v>
      </c>
      <c r="C165" s="57" t="str">
        <f>VLOOKUP(A165,'JUNE (물량흐름)'!$A$13:$C$493,2,0)</f>
        <v>ALFANI</v>
      </c>
      <c r="D165" s="58">
        <f>IFERROR(VLOOKUP(B165,O.B.JUNE!$V$7:$Y$448,2,0),0)</f>
        <v>0</v>
      </c>
      <c r="E165" s="58">
        <f>IFERROR(VLOOKUP(B165,O.B.JUNE!$V$7:$X$448,3,0),0)</f>
        <v>0</v>
      </c>
      <c r="F165" s="58">
        <f>IFERROR(VLOOKUP(B165,O.B.JUNE!$V$7:$Y$448,4,0),0)</f>
        <v>0</v>
      </c>
      <c r="G165" s="58">
        <f>SUMIF('JUNE (물량흐름)'!$C$13:$C$493,'In-out-bal products (155)(완성제품)'!B165,'JUNE (물량흐름)'!$V$13:$V$493)</f>
        <v>0</v>
      </c>
      <c r="H165" s="58">
        <f>SUMIF('JUNE (물량흐름)'!$C$13:$C$493,'In-out-bal products (155)(완성제품)'!B165,'JUNE (물량흐름)'!$T$13:$T$493)-SUMIF('JUNE (물량흐름)'!$C$13:$C$493,'In-out-bal products (155)(완성제품)'!B165,'JUNE (물량흐름)'!$Y$13:$Y$493)+SUMIF('JUNE (물량흐름)'!$C$13:$C$493,'In-out-bal products (155)(완성제품)'!B165,'JUNE (물량흐름)'!$U$13:$U$493)</f>
        <v>0</v>
      </c>
      <c r="I165" s="58">
        <f t="shared" si="66"/>
        <v>0</v>
      </c>
      <c r="J165" s="58">
        <f>SUMIF('Direct labour(직접노무비)'!$C$12:$C$503,'In-out-bal products (155)(완성제품)'!B165,'Direct labour(직접노무비)'!$Q$12:$Q$503)</f>
        <v>0</v>
      </c>
      <c r="K165" s="59">
        <f>SUMIF('Overhead exp(제조경비)'!$C$12:$C$503,'In-out-bal products (155)(완성제품)'!B165,'Overhead exp(제조경비)'!$Q$12:$Q$503)</f>
        <v>0</v>
      </c>
      <c r="L165" s="58">
        <f t="shared" si="67"/>
        <v>0</v>
      </c>
      <c r="M165" s="58">
        <f>SUMIF('JUNE (물량흐름)'!$C$13:$C$488,'In-out-bal products (155)(완성제품)'!B165,'JUNE (물량흐름)'!$Y$13:$Y$488)</f>
        <v>0</v>
      </c>
      <c r="N165" s="58">
        <f t="shared" si="68"/>
        <v>0</v>
      </c>
      <c r="O165" s="58">
        <f>SUMIF('Direct labour(직접노무비)'!$C$12:$C$503,'In-out-bal products (155)(완성제품)'!B165,'Direct labour(직접노무비)'!$U$12:$U$503)+SUMIF('Overhead exp(제조경비)'!$C$12:$C$503,'In-out-bal products (155)(완성제품)'!B165,'Overhead exp(제조경비)'!$U$12:$U$503)</f>
        <v>0</v>
      </c>
      <c r="P165" s="60">
        <f t="shared" si="69"/>
        <v>0</v>
      </c>
      <c r="Q165" s="60">
        <f t="shared" si="70"/>
        <v>0</v>
      </c>
      <c r="R165" s="60">
        <f t="shared" si="71"/>
        <v>0</v>
      </c>
      <c r="S165" s="58">
        <v>0</v>
      </c>
      <c r="T165" s="58">
        <v>0</v>
      </c>
      <c r="U165" s="58">
        <v>0</v>
      </c>
      <c r="V165" s="58">
        <f>SUMIF('JUNE (물량흐름)'!$C$13:$C$493,'In-out-bal products (155)(완성제품)'!B165,'JUNE (물량흐름)'!$W$13:$W$493)</f>
        <v>0</v>
      </c>
      <c r="W165" s="58">
        <f t="shared" si="72"/>
        <v>0</v>
      </c>
      <c r="X165" s="58">
        <f t="shared" si="73"/>
        <v>0</v>
      </c>
      <c r="Y165" s="58">
        <f>SUMIF('JUNE (물량흐름)'!$C$13:$C$488,'In-out-bal products (155)(완성제품)'!B165,'JUNE (물량흐름)'!$X$13:$X$488)</f>
        <v>0</v>
      </c>
      <c r="Z165" s="58">
        <f t="shared" si="74"/>
        <v>0</v>
      </c>
      <c r="AA165" s="58">
        <f t="shared" si="75"/>
        <v>0</v>
      </c>
      <c r="AB165" s="58"/>
      <c r="AC165" s="58"/>
      <c r="AD165" s="61"/>
      <c r="AE165" s="58">
        <f t="shared" si="76"/>
        <v>0</v>
      </c>
      <c r="AF165" s="58">
        <f t="shared" si="77"/>
        <v>0</v>
      </c>
      <c r="AG165" s="61">
        <f t="shared" si="78"/>
        <v>0</v>
      </c>
      <c r="AH165" s="58">
        <v>0</v>
      </c>
      <c r="AI165" s="58">
        <v>0</v>
      </c>
      <c r="AJ165" s="61">
        <v>0</v>
      </c>
      <c r="AK165" s="58"/>
      <c r="AL165" s="58"/>
      <c r="AM165" s="61"/>
      <c r="AN165" s="61">
        <f t="shared" si="79"/>
        <v>0</v>
      </c>
      <c r="AO165" s="58">
        <f t="shared" si="80"/>
        <v>0</v>
      </c>
      <c r="AP165" s="61">
        <f t="shared" si="81"/>
        <v>0</v>
      </c>
      <c r="AQ165" s="58">
        <f t="shared" si="82"/>
        <v>0</v>
      </c>
      <c r="AR165" s="58">
        <f t="shared" si="83"/>
        <v>0</v>
      </c>
      <c r="AS165" s="58">
        <f t="shared" si="84"/>
        <v>0</v>
      </c>
      <c r="AT165" s="58">
        <f>ROUND(SUMIF('JUNE (물량흐름)'!$C$13:$C$502,'In-out-bal products (155)(완성제품)'!B165,'JUNE (물량흐름)'!$AB$13:$AB$502),0)</f>
        <v>0</v>
      </c>
      <c r="AU165" s="58">
        <f t="shared" si="85"/>
        <v>0</v>
      </c>
      <c r="AV165" s="58">
        <f>ROUND(SUMIF('JUNE (물량흐름)'!$C$13:$C$502,'In-out-bal products (155)(완성제품)'!B165,'JUNE (물량흐름)'!$AC$13:$AC$502),0)</f>
        <v>0</v>
      </c>
      <c r="AW165" s="58">
        <f t="shared" si="86"/>
        <v>0</v>
      </c>
      <c r="AX165" s="376">
        <f t="shared" si="87"/>
        <v>0</v>
      </c>
      <c r="AY165" s="377">
        <f t="shared" si="88"/>
        <v>0</v>
      </c>
      <c r="AZ165" s="377">
        <f t="shared" si="89"/>
        <v>0</v>
      </c>
      <c r="BA165" s="377">
        <f t="shared" si="90"/>
        <v>0</v>
      </c>
      <c r="BB165" s="377"/>
      <c r="BC165" s="377">
        <f t="shared" si="91"/>
        <v>0</v>
      </c>
      <c r="BD165" s="377">
        <f t="shared" si="92"/>
        <v>0</v>
      </c>
      <c r="BE165" s="377"/>
      <c r="BF165" s="377">
        <f t="shared" si="93"/>
        <v>0</v>
      </c>
      <c r="BG165" s="433">
        <f t="shared" si="94"/>
        <v>0</v>
      </c>
      <c r="BH165" s="434">
        <f t="shared" si="95"/>
        <v>0</v>
      </c>
    </row>
    <row r="166" spans="1:60" s="378" customFormat="1">
      <c r="A166" s="167">
        <v>156</v>
      </c>
      <c r="B166" s="253">
        <f>VLOOKUP(A166,'JUNE (물량흐름)'!$A$13:$C$493,3,0)</f>
        <v>100008572</v>
      </c>
      <c r="C166" s="57" t="str">
        <f>VLOOKUP(A166,'JUNE (물량흐름)'!$A$13:$C$493,2,0)</f>
        <v>ALFANI</v>
      </c>
      <c r="D166" s="58">
        <f>IFERROR(VLOOKUP(B166,O.B.JUNE!$V$7:$Y$448,2,0),0)</f>
        <v>0</v>
      </c>
      <c r="E166" s="58">
        <f>IFERROR(VLOOKUP(B166,O.B.JUNE!$V$7:$X$448,3,0),0)</f>
        <v>0</v>
      </c>
      <c r="F166" s="58">
        <f>IFERROR(VLOOKUP(B166,O.B.JUNE!$V$7:$Y$448,4,0),0)</f>
        <v>0</v>
      </c>
      <c r="G166" s="58">
        <f>SUMIF('JUNE (물량흐름)'!$C$13:$C$493,'In-out-bal products (155)(완성제품)'!B166,'JUNE (물량흐름)'!$V$13:$V$493)</f>
        <v>0</v>
      </c>
      <c r="H166" s="58">
        <f>SUMIF('JUNE (물량흐름)'!$C$13:$C$493,'In-out-bal products (155)(완성제품)'!B166,'JUNE (물량흐름)'!$T$13:$T$493)-SUMIF('JUNE (물량흐름)'!$C$13:$C$493,'In-out-bal products (155)(완성제품)'!B166,'JUNE (물량흐름)'!$Y$13:$Y$493)+SUMIF('JUNE (물량흐름)'!$C$13:$C$493,'In-out-bal products (155)(완성제품)'!B166,'JUNE (물량흐름)'!$U$13:$U$493)</f>
        <v>0</v>
      </c>
      <c r="I166" s="58">
        <f t="shared" si="66"/>
        <v>0</v>
      </c>
      <c r="J166" s="58">
        <f>SUMIF('Direct labour(직접노무비)'!$C$12:$C$503,'In-out-bal products (155)(완성제품)'!B166,'Direct labour(직접노무비)'!$Q$12:$Q$503)</f>
        <v>0</v>
      </c>
      <c r="K166" s="59">
        <f>SUMIF('Overhead exp(제조경비)'!$C$12:$C$503,'In-out-bal products (155)(완성제품)'!B166,'Overhead exp(제조경비)'!$Q$12:$Q$503)</f>
        <v>0</v>
      </c>
      <c r="L166" s="58">
        <f t="shared" si="67"/>
        <v>0</v>
      </c>
      <c r="M166" s="58">
        <f>SUMIF('JUNE (물량흐름)'!$C$13:$C$488,'In-out-bal products (155)(완성제품)'!B166,'JUNE (물량흐름)'!$Y$13:$Y$488)</f>
        <v>0</v>
      </c>
      <c r="N166" s="58">
        <f t="shared" si="68"/>
        <v>0</v>
      </c>
      <c r="O166" s="58">
        <f>SUMIF('Direct labour(직접노무비)'!$C$12:$C$503,'In-out-bal products (155)(완성제품)'!B166,'Direct labour(직접노무비)'!$U$12:$U$503)+SUMIF('Overhead exp(제조경비)'!$C$12:$C$503,'In-out-bal products (155)(완성제품)'!B166,'Overhead exp(제조경비)'!$U$12:$U$503)</f>
        <v>0</v>
      </c>
      <c r="P166" s="60">
        <f t="shared" si="69"/>
        <v>0</v>
      </c>
      <c r="Q166" s="60">
        <f t="shared" si="70"/>
        <v>0</v>
      </c>
      <c r="R166" s="60">
        <f t="shared" si="71"/>
        <v>0</v>
      </c>
      <c r="S166" s="58">
        <v>0</v>
      </c>
      <c r="T166" s="58">
        <v>0</v>
      </c>
      <c r="U166" s="58">
        <v>0</v>
      </c>
      <c r="V166" s="58">
        <f>SUMIF('JUNE (물량흐름)'!$C$13:$C$493,'In-out-bal products (155)(완성제품)'!B166,'JUNE (물량흐름)'!$W$13:$W$493)</f>
        <v>0</v>
      </c>
      <c r="W166" s="58">
        <f t="shared" si="72"/>
        <v>0</v>
      </c>
      <c r="X166" s="58">
        <f t="shared" si="73"/>
        <v>0</v>
      </c>
      <c r="Y166" s="58">
        <f>SUMIF('JUNE (물량흐름)'!$C$13:$C$488,'In-out-bal products (155)(완성제품)'!B166,'JUNE (물량흐름)'!$X$13:$X$488)</f>
        <v>0</v>
      </c>
      <c r="Z166" s="58">
        <f t="shared" si="74"/>
        <v>0</v>
      </c>
      <c r="AA166" s="58">
        <f t="shared" si="75"/>
        <v>0</v>
      </c>
      <c r="AB166" s="58"/>
      <c r="AC166" s="58"/>
      <c r="AD166" s="61"/>
      <c r="AE166" s="58">
        <f t="shared" si="76"/>
        <v>0</v>
      </c>
      <c r="AF166" s="58">
        <f t="shared" si="77"/>
        <v>0</v>
      </c>
      <c r="AG166" s="61">
        <f t="shared" si="78"/>
        <v>0</v>
      </c>
      <c r="AH166" s="58">
        <v>0</v>
      </c>
      <c r="AI166" s="58">
        <v>0</v>
      </c>
      <c r="AJ166" s="61">
        <v>0</v>
      </c>
      <c r="AK166" s="58"/>
      <c r="AL166" s="58"/>
      <c r="AM166" s="61"/>
      <c r="AN166" s="61">
        <f t="shared" si="79"/>
        <v>0</v>
      </c>
      <c r="AO166" s="58">
        <f t="shared" si="80"/>
        <v>0</v>
      </c>
      <c r="AP166" s="61">
        <f t="shared" si="81"/>
        <v>0</v>
      </c>
      <c r="AQ166" s="58">
        <f t="shared" si="82"/>
        <v>0</v>
      </c>
      <c r="AR166" s="58">
        <f t="shared" si="83"/>
        <v>0</v>
      </c>
      <c r="AS166" s="58">
        <f t="shared" si="84"/>
        <v>0</v>
      </c>
      <c r="AT166" s="58">
        <f>ROUND(SUMIF('JUNE (물량흐름)'!$C$13:$C$502,'In-out-bal products (155)(완성제품)'!B166,'JUNE (물량흐름)'!$AB$13:$AB$502),0)</f>
        <v>0</v>
      </c>
      <c r="AU166" s="58">
        <f t="shared" si="85"/>
        <v>0</v>
      </c>
      <c r="AV166" s="58">
        <f>ROUND(SUMIF('JUNE (물량흐름)'!$C$13:$C$502,'In-out-bal products (155)(완성제품)'!B166,'JUNE (물량흐름)'!$AC$13:$AC$502),0)</f>
        <v>0</v>
      </c>
      <c r="AW166" s="58">
        <f t="shared" si="86"/>
        <v>0</v>
      </c>
      <c r="AX166" s="376">
        <f t="shared" si="87"/>
        <v>0</v>
      </c>
      <c r="AY166" s="377">
        <f t="shared" si="88"/>
        <v>0</v>
      </c>
      <c r="AZ166" s="377">
        <f t="shared" si="89"/>
        <v>0</v>
      </c>
      <c r="BA166" s="377">
        <f t="shared" si="90"/>
        <v>0</v>
      </c>
      <c r="BB166" s="377"/>
      <c r="BC166" s="377">
        <f t="shared" si="91"/>
        <v>0</v>
      </c>
      <c r="BD166" s="377">
        <f t="shared" si="92"/>
        <v>0</v>
      </c>
      <c r="BE166" s="377"/>
      <c r="BF166" s="377">
        <f t="shared" si="93"/>
        <v>0</v>
      </c>
      <c r="BG166" s="433">
        <f t="shared" si="94"/>
        <v>0</v>
      </c>
      <c r="BH166" s="434">
        <f t="shared" si="95"/>
        <v>0</v>
      </c>
    </row>
    <row r="167" spans="1:60" s="378" customFormat="1">
      <c r="A167" s="167">
        <v>157</v>
      </c>
      <c r="B167" s="253">
        <f>VLOOKUP(A167,'JUNE (물량흐름)'!$A$13:$C$493,3,0)</f>
        <v>100008587</v>
      </c>
      <c r="C167" s="57" t="str">
        <f>VLOOKUP(A167,'JUNE (물량흐름)'!$A$13:$C$493,2,0)</f>
        <v>ALFANI</v>
      </c>
      <c r="D167" s="58">
        <f>IFERROR(VLOOKUP(B167,O.B.JUNE!$V$7:$Y$448,2,0),0)</f>
        <v>0</v>
      </c>
      <c r="E167" s="58">
        <f>IFERROR(VLOOKUP(B167,O.B.JUNE!$V$7:$X$448,3,0),0)</f>
        <v>0</v>
      </c>
      <c r="F167" s="58">
        <f>IFERROR(VLOOKUP(B167,O.B.JUNE!$V$7:$Y$448,4,0),0)</f>
        <v>0</v>
      </c>
      <c r="G167" s="58">
        <f>SUMIF('JUNE (물량흐름)'!$C$13:$C$493,'In-out-bal products (155)(완성제품)'!B167,'JUNE (물량흐름)'!$V$13:$V$493)</f>
        <v>0</v>
      </c>
      <c r="H167" s="58">
        <f>SUMIF('JUNE (물량흐름)'!$C$13:$C$493,'In-out-bal products (155)(완성제품)'!B167,'JUNE (물량흐름)'!$T$13:$T$493)-SUMIF('JUNE (물량흐름)'!$C$13:$C$493,'In-out-bal products (155)(완성제품)'!B167,'JUNE (물량흐름)'!$Y$13:$Y$493)+SUMIF('JUNE (물량흐름)'!$C$13:$C$493,'In-out-bal products (155)(완성제품)'!B167,'JUNE (물량흐름)'!$U$13:$U$493)</f>
        <v>0</v>
      </c>
      <c r="I167" s="58">
        <f t="shared" si="66"/>
        <v>0</v>
      </c>
      <c r="J167" s="58">
        <f>SUMIF('Direct labour(직접노무비)'!$C$12:$C$503,'In-out-bal products (155)(완성제품)'!B167,'Direct labour(직접노무비)'!$Q$12:$Q$503)</f>
        <v>0</v>
      </c>
      <c r="K167" s="59">
        <f>SUMIF('Overhead exp(제조경비)'!$C$12:$C$503,'In-out-bal products (155)(완성제품)'!B167,'Overhead exp(제조경비)'!$Q$12:$Q$503)</f>
        <v>0</v>
      </c>
      <c r="L167" s="58">
        <f t="shared" si="67"/>
        <v>0</v>
      </c>
      <c r="M167" s="58">
        <f>SUMIF('JUNE (물량흐름)'!$C$13:$C$488,'In-out-bal products (155)(완성제품)'!B167,'JUNE (물량흐름)'!$Y$13:$Y$488)</f>
        <v>0</v>
      </c>
      <c r="N167" s="58">
        <f t="shared" si="68"/>
        <v>0</v>
      </c>
      <c r="O167" s="58">
        <f>SUMIF('Direct labour(직접노무비)'!$C$12:$C$503,'In-out-bal products (155)(완성제품)'!B167,'Direct labour(직접노무비)'!$U$12:$U$503)+SUMIF('Overhead exp(제조경비)'!$C$12:$C$503,'In-out-bal products (155)(완성제품)'!B167,'Overhead exp(제조경비)'!$U$12:$U$503)</f>
        <v>0</v>
      </c>
      <c r="P167" s="60">
        <f t="shared" si="69"/>
        <v>0</v>
      </c>
      <c r="Q167" s="60">
        <f t="shared" si="70"/>
        <v>0</v>
      </c>
      <c r="R167" s="60">
        <f t="shared" si="71"/>
        <v>0</v>
      </c>
      <c r="S167" s="58">
        <v>0</v>
      </c>
      <c r="T167" s="58">
        <v>0</v>
      </c>
      <c r="U167" s="58">
        <v>0</v>
      </c>
      <c r="V167" s="58">
        <f>SUMIF('JUNE (물량흐름)'!$C$13:$C$493,'In-out-bal products (155)(완성제품)'!B167,'JUNE (물량흐름)'!$W$13:$W$493)</f>
        <v>0</v>
      </c>
      <c r="W167" s="58">
        <f t="shared" si="72"/>
        <v>0</v>
      </c>
      <c r="X167" s="58">
        <f t="shared" si="73"/>
        <v>0</v>
      </c>
      <c r="Y167" s="58">
        <f>SUMIF('JUNE (물량흐름)'!$C$13:$C$488,'In-out-bal products (155)(완성제품)'!B167,'JUNE (물량흐름)'!$X$13:$X$488)</f>
        <v>0</v>
      </c>
      <c r="Z167" s="58">
        <f t="shared" si="74"/>
        <v>0</v>
      </c>
      <c r="AA167" s="58">
        <f t="shared" si="75"/>
        <v>0</v>
      </c>
      <c r="AB167" s="58"/>
      <c r="AC167" s="58"/>
      <c r="AD167" s="61"/>
      <c r="AE167" s="58">
        <f t="shared" si="76"/>
        <v>0</v>
      </c>
      <c r="AF167" s="58">
        <f t="shared" si="77"/>
        <v>0</v>
      </c>
      <c r="AG167" s="61">
        <f t="shared" si="78"/>
        <v>0</v>
      </c>
      <c r="AH167" s="58">
        <v>0</v>
      </c>
      <c r="AI167" s="58">
        <v>0</v>
      </c>
      <c r="AJ167" s="61">
        <v>0</v>
      </c>
      <c r="AK167" s="58"/>
      <c r="AL167" s="58"/>
      <c r="AM167" s="61"/>
      <c r="AN167" s="61">
        <f t="shared" si="79"/>
        <v>0</v>
      </c>
      <c r="AO167" s="58">
        <f t="shared" si="80"/>
        <v>0</v>
      </c>
      <c r="AP167" s="61">
        <f t="shared" si="81"/>
        <v>0</v>
      </c>
      <c r="AQ167" s="58">
        <f t="shared" si="82"/>
        <v>0</v>
      </c>
      <c r="AR167" s="58">
        <f t="shared" si="83"/>
        <v>0</v>
      </c>
      <c r="AS167" s="58">
        <f t="shared" si="84"/>
        <v>0</v>
      </c>
      <c r="AT167" s="58">
        <f>ROUND(SUMIF('JUNE (물량흐름)'!$C$13:$C$502,'In-out-bal products (155)(완성제품)'!B167,'JUNE (물량흐름)'!$AB$13:$AB$502),0)</f>
        <v>0</v>
      </c>
      <c r="AU167" s="58">
        <f t="shared" si="85"/>
        <v>0</v>
      </c>
      <c r="AV167" s="58">
        <f>ROUND(SUMIF('JUNE (물량흐름)'!$C$13:$C$502,'In-out-bal products (155)(완성제품)'!B167,'JUNE (물량흐름)'!$AC$13:$AC$502),0)</f>
        <v>0</v>
      </c>
      <c r="AW167" s="58">
        <f t="shared" si="86"/>
        <v>0</v>
      </c>
      <c r="AX167" s="376">
        <f t="shared" si="87"/>
        <v>0</v>
      </c>
      <c r="AY167" s="377">
        <f t="shared" si="88"/>
        <v>0</v>
      </c>
      <c r="AZ167" s="377">
        <f t="shared" si="89"/>
        <v>0</v>
      </c>
      <c r="BA167" s="377">
        <f t="shared" si="90"/>
        <v>0</v>
      </c>
      <c r="BB167" s="377"/>
      <c r="BC167" s="377">
        <f t="shared" si="91"/>
        <v>0</v>
      </c>
      <c r="BD167" s="377">
        <f t="shared" si="92"/>
        <v>0</v>
      </c>
      <c r="BE167" s="377"/>
      <c r="BF167" s="377">
        <f t="shared" si="93"/>
        <v>0</v>
      </c>
      <c r="BG167" s="433">
        <f t="shared" si="94"/>
        <v>0</v>
      </c>
      <c r="BH167" s="434">
        <f t="shared" si="95"/>
        <v>0</v>
      </c>
    </row>
    <row r="168" spans="1:60" s="378" customFormat="1">
      <c r="A168" s="167">
        <v>158</v>
      </c>
      <c r="B168" s="253">
        <f>VLOOKUP(A168,'JUNE (물량흐름)'!$A$13:$C$493,3,0)</f>
        <v>100008588</v>
      </c>
      <c r="C168" s="57" t="str">
        <f>VLOOKUP(A168,'JUNE (물량흐름)'!$A$13:$C$493,2,0)</f>
        <v>ALFANI</v>
      </c>
      <c r="D168" s="58">
        <f>IFERROR(VLOOKUP(B168,O.B.JUNE!$V$7:$Y$448,2,0),0)</f>
        <v>0</v>
      </c>
      <c r="E168" s="58">
        <f>IFERROR(VLOOKUP(B168,O.B.JUNE!$V$7:$X$448,3,0),0)</f>
        <v>0</v>
      </c>
      <c r="F168" s="58">
        <f>IFERROR(VLOOKUP(B168,O.B.JUNE!$V$7:$Y$448,4,0),0)</f>
        <v>0</v>
      </c>
      <c r="G168" s="58">
        <f>SUMIF('JUNE (물량흐름)'!$C$13:$C$493,'In-out-bal products (155)(완성제품)'!B168,'JUNE (물량흐름)'!$V$13:$V$493)</f>
        <v>0</v>
      </c>
      <c r="H168" s="58">
        <f>SUMIF('JUNE (물량흐름)'!$C$13:$C$493,'In-out-bal products (155)(완성제품)'!B168,'JUNE (물량흐름)'!$T$13:$T$493)-SUMIF('JUNE (물량흐름)'!$C$13:$C$493,'In-out-bal products (155)(완성제품)'!B168,'JUNE (물량흐름)'!$Y$13:$Y$493)+SUMIF('JUNE (물량흐름)'!$C$13:$C$493,'In-out-bal products (155)(완성제품)'!B168,'JUNE (물량흐름)'!$U$13:$U$493)</f>
        <v>0</v>
      </c>
      <c r="I168" s="58">
        <f t="shared" si="66"/>
        <v>0</v>
      </c>
      <c r="J168" s="58">
        <f>SUMIF('Direct labour(직접노무비)'!$C$12:$C$503,'In-out-bal products (155)(완성제품)'!B168,'Direct labour(직접노무비)'!$Q$12:$Q$503)</f>
        <v>0</v>
      </c>
      <c r="K168" s="59">
        <f>SUMIF('Overhead exp(제조경비)'!$C$12:$C$503,'In-out-bal products (155)(완성제품)'!B168,'Overhead exp(제조경비)'!$Q$12:$Q$503)</f>
        <v>0</v>
      </c>
      <c r="L168" s="58">
        <f t="shared" si="67"/>
        <v>0</v>
      </c>
      <c r="M168" s="58">
        <f>SUMIF('JUNE (물량흐름)'!$C$13:$C$488,'In-out-bal products (155)(완성제품)'!B168,'JUNE (물량흐름)'!$Y$13:$Y$488)</f>
        <v>0</v>
      </c>
      <c r="N168" s="58">
        <f t="shared" si="68"/>
        <v>0</v>
      </c>
      <c r="O168" s="58">
        <f>SUMIF('Direct labour(직접노무비)'!$C$12:$C$503,'In-out-bal products (155)(완성제품)'!B168,'Direct labour(직접노무비)'!$U$12:$U$503)+SUMIF('Overhead exp(제조경비)'!$C$12:$C$503,'In-out-bal products (155)(완성제품)'!B168,'Overhead exp(제조경비)'!$U$12:$U$503)</f>
        <v>0</v>
      </c>
      <c r="P168" s="60">
        <f t="shared" si="69"/>
        <v>0</v>
      </c>
      <c r="Q168" s="60">
        <f t="shared" si="70"/>
        <v>0</v>
      </c>
      <c r="R168" s="60">
        <f t="shared" si="71"/>
        <v>0</v>
      </c>
      <c r="S168" s="58">
        <v>0</v>
      </c>
      <c r="T168" s="58">
        <v>0</v>
      </c>
      <c r="U168" s="58">
        <v>0</v>
      </c>
      <c r="V168" s="58">
        <f>SUMIF('JUNE (물량흐름)'!$C$13:$C$493,'In-out-bal products (155)(완성제품)'!B168,'JUNE (물량흐름)'!$W$13:$W$493)</f>
        <v>0</v>
      </c>
      <c r="W168" s="58">
        <f t="shared" si="72"/>
        <v>0</v>
      </c>
      <c r="X168" s="58">
        <f t="shared" si="73"/>
        <v>0</v>
      </c>
      <c r="Y168" s="58">
        <f>SUMIF('JUNE (물량흐름)'!$C$13:$C$488,'In-out-bal products (155)(완성제품)'!B168,'JUNE (물량흐름)'!$X$13:$X$488)</f>
        <v>0</v>
      </c>
      <c r="Z168" s="58">
        <f t="shared" si="74"/>
        <v>0</v>
      </c>
      <c r="AA168" s="58">
        <f t="shared" si="75"/>
        <v>0</v>
      </c>
      <c r="AB168" s="58"/>
      <c r="AC168" s="58"/>
      <c r="AD168" s="61"/>
      <c r="AE168" s="58">
        <f t="shared" si="76"/>
        <v>0</v>
      </c>
      <c r="AF168" s="58">
        <f t="shared" si="77"/>
        <v>0</v>
      </c>
      <c r="AG168" s="61">
        <f t="shared" si="78"/>
        <v>0</v>
      </c>
      <c r="AH168" s="58">
        <v>0</v>
      </c>
      <c r="AI168" s="58">
        <v>0</v>
      </c>
      <c r="AJ168" s="61">
        <v>0</v>
      </c>
      <c r="AK168" s="58"/>
      <c r="AL168" s="58"/>
      <c r="AM168" s="61"/>
      <c r="AN168" s="61">
        <f t="shared" si="79"/>
        <v>0</v>
      </c>
      <c r="AO168" s="58">
        <f t="shared" si="80"/>
        <v>0</v>
      </c>
      <c r="AP168" s="61">
        <f t="shared" si="81"/>
        <v>0</v>
      </c>
      <c r="AQ168" s="58">
        <f t="shared" si="82"/>
        <v>0</v>
      </c>
      <c r="AR168" s="58">
        <f t="shared" si="83"/>
        <v>0</v>
      </c>
      <c r="AS168" s="58">
        <f t="shared" si="84"/>
        <v>0</v>
      </c>
      <c r="AT168" s="58">
        <f>ROUND(SUMIF('JUNE (물량흐름)'!$C$13:$C$502,'In-out-bal products (155)(완성제품)'!B168,'JUNE (물량흐름)'!$AB$13:$AB$502),0)</f>
        <v>0</v>
      </c>
      <c r="AU168" s="58">
        <f t="shared" si="85"/>
        <v>0</v>
      </c>
      <c r="AV168" s="58">
        <f>ROUND(SUMIF('JUNE (물량흐름)'!$C$13:$C$502,'In-out-bal products (155)(완성제품)'!B168,'JUNE (물량흐름)'!$AC$13:$AC$502),0)</f>
        <v>0</v>
      </c>
      <c r="AW168" s="58">
        <f t="shared" si="86"/>
        <v>0</v>
      </c>
      <c r="AX168" s="376">
        <f t="shared" si="87"/>
        <v>0</v>
      </c>
      <c r="AY168" s="377">
        <f t="shared" si="88"/>
        <v>0</v>
      </c>
      <c r="AZ168" s="377">
        <f t="shared" si="89"/>
        <v>0</v>
      </c>
      <c r="BA168" s="377">
        <f t="shared" si="90"/>
        <v>0</v>
      </c>
      <c r="BB168" s="377"/>
      <c r="BC168" s="377">
        <f t="shared" si="91"/>
        <v>0</v>
      </c>
      <c r="BD168" s="377">
        <f t="shared" si="92"/>
        <v>0</v>
      </c>
      <c r="BE168" s="377"/>
      <c r="BF168" s="377">
        <f t="shared" si="93"/>
        <v>0</v>
      </c>
      <c r="BG168" s="433">
        <f t="shared" si="94"/>
        <v>0</v>
      </c>
      <c r="BH168" s="434">
        <f t="shared" si="95"/>
        <v>0</v>
      </c>
    </row>
    <row r="169" spans="1:60" s="378" customFormat="1">
      <c r="A169" s="167">
        <v>159</v>
      </c>
      <c r="B169" s="253">
        <f>VLOOKUP(A169,'JUNE (물량흐름)'!$A$13:$C$493,3,0)</f>
        <v>100008624</v>
      </c>
      <c r="C169" s="57" t="str">
        <f>VLOOKUP(A169,'JUNE (물량흐름)'!$A$13:$C$493,2,0)</f>
        <v>ALFANI</v>
      </c>
      <c r="D169" s="58">
        <f>IFERROR(VLOOKUP(B169,O.B.JUNE!$V$7:$Y$448,2,0),0)</f>
        <v>0</v>
      </c>
      <c r="E169" s="58">
        <f>IFERROR(VLOOKUP(B169,O.B.JUNE!$V$7:$X$448,3,0),0)</f>
        <v>0</v>
      </c>
      <c r="F169" s="58">
        <f>IFERROR(VLOOKUP(B169,O.B.JUNE!$V$7:$Y$448,4,0),0)</f>
        <v>0</v>
      </c>
      <c r="G169" s="58">
        <f>SUMIF('JUNE (물량흐름)'!$C$13:$C$493,'In-out-bal products (155)(완성제품)'!B169,'JUNE (물량흐름)'!$V$13:$V$493)</f>
        <v>0</v>
      </c>
      <c r="H169" s="58">
        <f>SUMIF('JUNE (물량흐름)'!$C$13:$C$493,'In-out-bal products (155)(완성제품)'!B169,'JUNE (물량흐름)'!$T$13:$T$493)-SUMIF('JUNE (물량흐름)'!$C$13:$C$493,'In-out-bal products (155)(완성제품)'!B169,'JUNE (물량흐름)'!$Y$13:$Y$493)+SUMIF('JUNE (물량흐름)'!$C$13:$C$493,'In-out-bal products (155)(완성제품)'!B169,'JUNE (물량흐름)'!$U$13:$U$493)</f>
        <v>0</v>
      </c>
      <c r="I169" s="58">
        <f t="shared" si="66"/>
        <v>0</v>
      </c>
      <c r="J169" s="58">
        <f>SUMIF('Direct labour(직접노무비)'!$C$12:$C$503,'In-out-bal products (155)(완성제품)'!B169,'Direct labour(직접노무비)'!$Q$12:$Q$503)</f>
        <v>0</v>
      </c>
      <c r="K169" s="59">
        <f>SUMIF('Overhead exp(제조경비)'!$C$12:$C$503,'In-out-bal products (155)(완성제품)'!B169,'Overhead exp(제조경비)'!$Q$12:$Q$503)</f>
        <v>0</v>
      </c>
      <c r="L169" s="58">
        <f t="shared" si="67"/>
        <v>0</v>
      </c>
      <c r="M169" s="58">
        <f>SUMIF('JUNE (물량흐름)'!$C$13:$C$488,'In-out-bal products (155)(완성제품)'!B169,'JUNE (물량흐름)'!$Y$13:$Y$488)</f>
        <v>0</v>
      </c>
      <c r="N169" s="58">
        <f t="shared" si="68"/>
        <v>0</v>
      </c>
      <c r="O169" s="58">
        <f>SUMIF('Direct labour(직접노무비)'!$C$12:$C$503,'In-out-bal products (155)(완성제품)'!B169,'Direct labour(직접노무비)'!$U$12:$U$503)+SUMIF('Overhead exp(제조경비)'!$C$12:$C$503,'In-out-bal products (155)(완성제품)'!B169,'Overhead exp(제조경비)'!$U$12:$U$503)</f>
        <v>0</v>
      </c>
      <c r="P169" s="60">
        <f t="shared" si="69"/>
        <v>0</v>
      </c>
      <c r="Q169" s="60">
        <f t="shared" si="70"/>
        <v>0</v>
      </c>
      <c r="R169" s="60">
        <f t="shared" si="71"/>
        <v>0</v>
      </c>
      <c r="S169" s="58">
        <v>0</v>
      </c>
      <c r="T169" s="58">
        <v>0</v>
      </c>
      <c r="U169" s="58">
        <v>0</v>
      </c>
      <c r="V169" s="58">
        <f>SUMIF('JUNE (물량흐름)'!$C$13:$C$493,'In-out-bal products (155)(완성제품)'!B169,'JUNE (물량흐름)'!$W$13:$W$493)</f>
        <v>0</v>
      </c>
      <c r="W169" s="58">
        <f t="shared" si="72"/>
        <v>0</v>
      </c>
      <c r="X169" s="58">
        <f t="shared" si="73"/>
        <v>0</v>
      </c>
      <c r="Y169" s="58">
        <f>SUMIF('JUNE (물량흐름)'!$C$13:$C$488,'In-out-bal products (155)(완성제품)'!B169,'JUNE (물량흐름)'!$X$13:$X$488)</f>
        <v>0</v>
      </c>
      <c r="Z169" s="58">
        <f t="shared" si="74"/>
        <v>0</v>
      </c>
      <c r="AA169" s="58">
        <f t="shared" si="75"/>
        <v>0</v>
      </c>
      <c r="AB169" s="58"/>
      <c r="AC169" s="58"/>
      <c r="AD169" s="61"/>
      <c r="AE169" s="58">
        <f t="shared" si="76"/>
        <v>0</v>
      </c>
      <c r="AF169" s="58">
        <f t="shared" si="77"/>
        <v>0</v>
      </c>
      <c r="AG169" s="61">
        <f t="shared" si="78"/>
        <v>0</v>
      </c>
      <c r="AH169" s="58">
        <v>0</v>
      </c>
      <c r="AI169" s="58">
        <v>0</v>
      </c>
      <c r="AJ169" s="61">
        <v>0</v>
      </c>
      <c r="AK169" s="58"/>
      <c r="AL169" s="58"/>
      <c r="AM169" s="61"/>
      <c r="AN169" s="61">
        <f t="shared" si="79"/>
        <v>0</v>
      </c>
      <c r="AO169" s="58">
        <f t="shared" si="80"/>
        <v>0</v>
      </c>
      <c r="AP169" s="61">
        <f t="shared" si="81"/>
        <v>0</v>
      </c>
      <c r="AQ169" s="58">
        <f t="shared" si="82"/>
        <v>0</v>
      </c>
      <c r="AR169" s="58">
        <f t="shared" si="83"/>
        <v>0</v>
      </c>
      <c r="AS169" s="58">
        <f t="shared" si="84"/>
        <v>0</v>
      </c>
      <c r="AT169" s="58">
        <f>ROUND(SUMIF('JUNE (물량흐름)'!$C$13:$C$502,'In-out-bal products (155)(완성제품)'!B169,'JUNE (물량흐름)'!$AB$13:$AB$502),0)</f>
        <v>0</v>
      </c>
      <c r="AU169" s="58">
        <f t="shared" si="85"/>
        <v>0</v>
      </c>
      <c r="AV169" s="58">
        <f>ROUND(SUMIF('JUNE (물량흐름)'!$C$13:$C$502,'In-out-bal products (155)(완성제품)'!B169,'JUNE (물량흐름)'!$AC$13:$AC$502),0)</f>
        <v>0</v>
      </c>
      <c r="AW169" s="58">
        <f t="shared" si="86"/>
        <v>0</v>
      </c>
      <c r="AX169" s="376">
        <f t="shared" si="87"/>
        <v>0</v>
      </c>
      <c r="AY169" s="377">
        <f t="shared" si="88"/>
        <v>0</v>
      </c>
      <c r="AZ169" s="377">
        <f t="shared" si="89"/>
        <v>0</v>
      </c>
      <c r="BA169" s="377">
        <f t="shared" si="90"/>
        <v>0</v>
      </c>
      <c r="BB169" s="377"/>
      <c r="BC169" s="377">
        <f t="shared" si="91"/>
        <v>0</v>
      </c>
      <c r="BD169" s="377">
        <f t="shared" si="92"/>
        <v>0</v>
      </c>
      <c r="BE169" s="377"/>
      <c r="BF169" s="377">
        <f t="shared" si="93"/>
        <v>0</v>
      </c>
      <c r="BG169" s="433">
        <f t="shared" si="94"/>
        <v>0</v>
      </c>
      <c r="BH169" s="434">
        <f t="shared" si="95"/>
        <v>0</v>
      </c>
    </row>
    <row r="170" spans="1:60" s="378" customFormat="1">
      <c r="A170" s="167">
        <v>160</v>
      </c>
      <c r="B170" s="253">
        <f>VLOOKUP(A170,'JUNE (물량흐름)'!$A$13:$C$493,3,0)</f>
        <v>100008652</v>
      </c>
      <c r="C170" s="57" t="str">
        <f>VLOOKUP(A170,'JUNE (물량흐름)'!$A$13:$C$493,2,0)</f>
        <v>ALFANI</v>
      </c>
      <c r="D170" s="58">
        <f>IFERROR(VLOOKUP(B170,O.B.JUNE!$V$7:$Y$448,2,0),0)</f>
        <v>0</v>
      </c>
      <c r="E170" s="58">
        <f>IFERROR(VLOOKUP(B170,O.B.JUNE!$V$7:$X$448,3,0),0)</f>
        <v>0</v>
      </c>
      <c r="F170" s="58">
        <f>IFERROR(VLOOKUP(B170,O.B.JUNE!$V$7:$Y$448,4,0),0)</f>
        <v>0</v>
      </c>
      <c r="G170" s="58">
        <f>SUMIF('JUNE (물량흐름)'!$C$13:$C$493,'In-out-bal products (155)(완성제품)'!B170,'JUNE (물량흐름)'!$V$13:$V$493)</f>
        <v>0</v>
      </c>
      <c r="H170" s="58">
        <f>SUMIF('JUNE (물량흐름)'!$C$13:$C$493,'In-out-bal products (155)(완성제품)'!B170,'JUNE (물량흐름)'!$T$13:$T$493)-SUMIF('JUNE (물량흐름)'!$C$13:$C$493,'In-out-bal products (155)(완성제품)'!B170,'JUNE (물량흐름)'!$Y$13:$Y$493)+SUMIF('JUNE (물량흐름)'!$C$13:$C$493,'In-out-bal products (155)(완성제품)'!B170,'JUNE (물량흐름)'!$U$13:$U$493)</f>
        <v>0</v>
      </c>
      <c r="I170" s="58">
        <f t="shared" si="66"/>
        <v>0</v>
      </c>
      <c r="J170" s="58">
        <f>SUMIF('Direct labour(직접노무비)'!$C$12:$C$503,'In-out-bal products (155)(완성제품)'!B170,'Direct labour(직접노무비)'!$Q$12:$Q$503)</f>
        <v>0</v>
      </c>
      <c r="K170" s="59">
        <f>SUMIF('Overhead exp(제조경비)'!$C$12:$C$503,'In-out-bal products (155)(완성제품)'!B170,'Overhead exp(제조경비)'!$Q$12:$Q$503)</f>
        <v>0</v>
      </c>
      <c r="L170" s="58">
        <f t="shared" si="67"/>
        <v>0</v>
      </c>
      <c r="M170" s="58">
        <f>SUMIF('JUNE (물량흐름)'!$C$13:$C$488,'In-out-bal products (155)(완성제품)'!B170,'JUNE (물량흐름)'!$Y$13:$Y$488)</f>
        <v>0</v>
      </c>
      <c r="N170" s="58">
        <f t="shared" si="68"/>
        <v>0</v>
      </c>
      <c r="O170" s="58">
        <f>SUMIF('Direct labour(직접노무비)'!$C$12:$C$503,'In-out-bal products (155)(완성제품)'!B170,'Direct labour(직접노무비)'!$U$12:$U$503)+SUMIF('Overhead exp(제조경비)'!$C$12:$C$503,'In-out-bal products (155)(완성제품)'!B170,'Overhead exp(제조경비)'!$U$12:$U$503)</f>
        <v>0</v>
      </c>
      <c r="P170" s="60">
        <f t="shared" si="69"/>
        <v>0</v>
      </c>
      <c r="Q170" s="60">
        <f t="shared" si="70"/>
        <v>0</v>
      </c>
      <c r="R170" s="60">
        <f t="shared" si="71"/>
        <v>0</v>
      </c>
      <c r="S170" s="58">
        <v>0</v>
      </c>
      <c r="T170" s="58">
        <v>0</v>
      </c>
      <c r="U170" s="58">
        <v>0</v>
      </c>
      <c r="V170" s="58">
        <f>SUMIF('JUNE (물량흐름)'!$C$13:$C$493,'In-out-bal products (155)(완성제품)'!B170,'JUNE (물량흐름)'!$W$13:$W$493)</f>
        <v>0</v>
      </c>
      <c r="W170" s="58">
        <f t="shared" si="72"/>
        <v>0</v>
      </c>
      <c r="X170" s="58">
        <f t="shared" si="73"/>
        <v>0</v>
      </c>
      <c r="Y170" s="58">
        <f>SUMIF('JUNE (물량흐름)'!$C$13:$C$488,'In-out-bal products (155)(완성제품)'!B170,'JUNE (물량흐름)'!$X$13:$X$488)</f>
        <v>0</v>
      </c>
      <c r="Z170" s="58">
        <f t="shared" si="74"/>
        <v>0</v>
      </c>
      <c r="AA170" s="58">
        <f t="shared" si="75"/>
        <v>0</v>
      </c>
      <c r="AB170" s="58"/>
      <c r="AC170" s="58"/>
      <c r="AD170" s="61"/>
      <c r="AE170" s="58">
        <f t="shared" si="76"/>
        <v>0</v>
      </c>
      <c r="AF170" s="58">
        <f t="shared" si="77"/>
        <v>0</v>
      </c>
      <c r="AG170" s="61">
        <f t="shared" si="78"/>
        <v>0</v>
      </c>
      <c r="AH170" s="58">
        <v>0</v>
      </c>
      <c r="AI170" s="58">
        <v>0</v>
      </c>
      <c r="AJ170" s="61">
        <v>0</v>
      </c>
      <c r="AK170" s="58"/>
      <c r="AL170" s="58"/>
      <c r="AM170" s="61"/>
      <c r="AN170" s="61">
        <f t="shared" si="79"/>
        <v>0</v>
      </c>
      <c r="AO170" s="58">
        <f t="shared" si="80"/>
        <v>0</v>
      </c>
      <c r="AP170" s="61">
        <f t="shared" si="81"/>
        <v>0</v>
      </c>
      <c r="AQ170" s="58">
        <f t="shared" si="82"/>
        <v>0</v>
      </c>
      <c r="AR170" s="58">
        <f t="shared" si="83"/>
        <v>0</v>
      </c>
      <c r="AS170" s="58">
        <f t="shared" si="84"/>
        <v>0</v>
      </c>
      <c r="AT170" s="58">
        <f>ROUND(SUMIF('JUNE (물량흐름)'!$C$13:$C$502,'In-out-bal products (155)(완성제품)'!B170,'JUNE (물량흐름)'!$AB$13:$AB$502),0)</f>
        <v>0</v>
      </c>
      <c r="AU170" s="58">
        <f t="shared" si="85"/>
        <v>0</v>
      </c>
      <c r="AV170" s="58">
        <f>ROUND(SUMIF('JUNE (물량흐름)'!$C$13:$C$502,'In-out-bal products (155)(완성제품)'!B170,'JUNE (물량흐름)'!$AC$13:$AC$502),0)</f>
        <v>0</v>
      </c>
      <c r="AW170" s="58">
        <f t="shared" si="86"/>
        <v>0</v>
      </c>
      <c r="AX170" s="376">
        <f t="shared" si="87"/>
        <v>0</v>
      </c>
      <c r="AY170" s="377">
        <f t="shared" si="88"/>
        <v>0</v>
      </c>
      <c r="AZ170" s="377">
        <f t="shared" si="89"/>
        <v>0</v>
      </c>
      <c r="BA170" s="377">
        <f t="shared" si="90"/>
        <v>0</v>
      </c>
      <c r="BB170" s="377"/>
      <c r="BC170" s="377">
        <f t="shared" si="91"/>
        <v>0</v>
      </c>
      <c r="BD170" s="377">
        <f t="shared" si="92"/>
        <v>0</v>
      </c>
      <c r="BE170" s="377"/>
      <c r="BF170" s="377">
        <f t="shared" si="93"/>
        <v>0</v>
      </c>
      <c r="BG170" s="433">
        <f t="shared" si="94"/>
        <v>0</v>
      </c>
      <c r="BH170" s="434">
        <f t="shared" si="95"/>
        <v>0</v>
      </c>
    </row>
    <row r="171" spans="1:60" s="378" customFormat="1">
      <c r="A171" s="167">
        <v>161</v>
      </c>
      <c r="B171" s="253">
        <f>VLOOKUP(A171,'JUNE (물량흐름)'!$A$13:$C$493,3,0)</f>
        <v>100008653</v>
      </c>
      <c r="C171" s="57" t="str">
        <f>VLOOKUP(A171,'JUNE (물량흐름)'!$A$13:$C$493,2,0)</f>
        <v>ALFANI</v>
      </c>
      <c r="D171" s="58">
        <f>IFERROR(VLOOKUP(B171,O.B.JUNE!$V$7:$Y$448,2,0),0)</f>
        <v>0</v>
      </c>
      <c r="E171" s="58">
        <f>IFERROR(VLOOKUP(B171,O.B.JUNE!$V$7:$X$448,3,0),0)</f>
        <v>0</v>
      </c>
      <c r="F171" s="58">
        <f>IFERROR(VLOOKUP(B171,O.B.JUNE!$V$7:$Y$448,4,0),0)</f>
        <v>0</v>
      </c>
      <c r="G171" s="58">
        <f>SUMIF('JUNE (물량흐름)'!$C$13:$C$493,'In-out-bal products (155)(완성제품)'!B171,'JUNE (물량흐름)'!$V$13:$V$493)</f>
        <v>0</v>
      </c>
      <c r="H171" s="58">
        <f>SUMIF('JUNE (물량흐름)'!$C$13:$C$493,'In-out-bal products (155)(완성제품)'!B171,'JUNE (물량흐름)'!$T$13:$T$493)-SUMIF('JUNE (물량흐름)'!$C$13:$C$493,'In-out-bal products (155)(완성제품)'!B171,'JUNE (물량흐름)'!$Y$13:$Y$493)+SUMIF('JUNE (물량흐름)'!$C$13:$C$493,'In-out-bal products (155)(완성제품)'!B171,'JUNE (물량흐름)'!$U$13:$U$493)</f>
        <v>0</v>
      </c>
      <c r="I171" s="58">
        <f t="shared" si="66"/>
        <v>0</v>
      </c>
      <c r="J171" s="58">
        <f>SUMIF('Direct labour(직접노무비)'!$C$12:$C$503,'In-out-bal products (155)(완성제품)'!B171,'Direct labour(직접노무비)'!$Q$12:$Q$503)</f>
        <v>0</v>
      </c>
      <c r="K171" s="59">
        <f>SUMIF('Overhead exp(제조경비)'!$C$12:$C$503,'In-out-bal products (155)(완성제품)'!B171,'Overhead exp(제조경비)'!$Q$12:$Q$503)</f>
        <v>0</v>
      </c>
      <c r="L171" s="58">
        <f t="shared" si="67"/>
        <v>0</v>
      </c>
      <c r="M171" s="58">
        <f>SUMIF('JUNE (물량흐름)'!$C$13:$C$488,'In-out-bal products (155)(완성제품)'!B171,'JUNE (물량흐름)'!$Y$13:$Y$488)</f>
        <v>0</v>
      </c>
      <c r="N171" s="58">
        <f t="shared" si="68"/>
        <v>0</v>
      </c>
      <c r="O171" s="58">
        <f>SUMIF('Direct labour(직접노무비)'!$C$12:$C$503,'In-out-bal products (155)(완성제품)'!B171,'Direct labour(직접노무비)'!$U$12:$U$503)+SUMIF('Overhead exp(제조경비)'!$C$12:$C$503,'In-out-bal products (155)(완성제품)'!B171,'Overhead exp(제조경비)'!$U$12:$U$503)</f>
        <v>0</v>
      </c>
      <c r="P171" s="60">
        <f t="shared" si="69"/>
        <v>0</v>
      </c>
      <c r="Q171" s="60">
        <f t="shared" si="70"/>
        <v>0</v>
      </c>
      <c r="R171" s="60">
        <f t="shared" si="71"/>
        <v>0</v>
      </c>
      <c r="S171" s="58">
        <v>0</v>
      </c>
      <c r="T171" s="58">
        <v>0</v>
      </c>
      <c r="U171" s="58">
        <v>0</v>
      </c>
      <c r="V171" s="58">
        <f>SUMIF('JUNE (물량흐름)'!$C$13:$C$493,'In-out-bal products (155)(완성제품)'!B171,'JUNE (물량흐름)'!$W$13:$W$493)</f>
        <v>0</v>
      </c>
      <c r="W171" s="58">
        <f t="shared" si="72"/>
        <v>0</v>
      </c>
      <c r="X171" s="58">
        <f t="shared" si="73"/>
        <v>0</v>
      </c>
      <c r="Y171" s="58">
        <f>SUMIF('JUNE (물량흐름)'!$C$13:$C$488,'In-out-bal products (155)(완성제품)'!B171,'JUNE (물량흐름)'!$X$13:$X$488)</f>
        <v>0</v>
      </c>
      <c r="Z171" s="58">
        <f t="shared" si="74"/>
        <v>0</v>
      </c>
      <c r="AA171" s="58">
        <f t="shared" si="75"/>
        <v>0</v>
      </c>
      <c r="AB171" s="58"/>
      <c r="AC171" s="58"/>
      <c r="AD171" s="61"/>
      <c r="AE171" s="58">
        <f t="shared" si="76"/>
        <v>0</v>
      </c>
      <c r="AF171" s="58">
        <f t="shared" si="77"/>
        <v>0</v>
      </c>
      <c r="AG171" s="61">
        <f t="shared" si="78"/>
        <v>0</v>
      </c>
      <c r="AH171" s="58">
        <v>0</v>
      </c>
      <c r="AI171" s="58">
        <v>0</v>
      </c>
      <c r="AJ171" s="61">
        <v>0</v>
      </c>
      <c r="AK171" s="58"/>
      <c r="AL171" s="58"/>
      <c r="AM171" s="61"/>
      <c r="AN171" s="61">
        <f t="shared" si="79"/>
        <v>0</v>
      </c>
      <c r="AO171" s="58">
        <f t="shared" si="80"/>
        <v>0</v>
      </c>
      <c r="AP171" s="61">
        <f t="shared" si="81"/>
        <v>0</v>
      </c>
      <c r="AQ171" s="58">
        <f t="shared" si="82"/>
        <v>0</v>
      </c>
      <c r="AR171" s="58">
        <f t="shared" si="83"/>
        <v>0</v>
      </c>
      <c r="AS171" s="58">
        <f t="shared" si="84"/>
        <v>0</v>
      </c>
      <c r="AT171" s="58">
        <f>ROUND(SUMIF('JUNE (물량흐름)'!$C$13:$C$502,'In-out-bal products (155)(완성제품)'!B171,'JUNE (물량흐름)'!$AB$13:$AB$502),0)</f>
        <v>0</v>
      </c>
      <c r="AU171" s="58">
        <f t="shared" si="85"/>
        <v>0</v>
      </c>
      <c r="AV171" s="58">
        <f>ROUND(SUMIF('JUNE (물량흐름)'!$C$13:$C$502,'In-out-bal products (155)(완성제품)'!B171,'JUNE (물량흐름)'!$AC$13:$AC$502),0)</f>
        <v>0</v>
      </c>
      <c r="AW171" s="58">
        <f t="shared" si="86"/>
        <v>0</v>
      </c>
      <c r="AX171" s="376">
        <f t="shared" si="87"/>
        <v>0</v>
      </c>
      <c r="AY171" s="377">
        <f t="shared" si="88"/>
        <v>0</v>
      </c>
      <c r="AZ171" s="377">
        <f t="shared" si="89"/>
        <v>0</v>
      </c>
      <c r="BA171" s="377">
        <f t="shared" si="90"/>
        <v>0</v>
      </c>
      <c r="BB171" s="377"/>
      <c r="BC171" s="377">
        <f t="shared" si="91"/>
        <v>0</v>
      </c>
      <c r="BD171" s="377">
        <f t="shared" si="92"/>
        <v>0</v>
      </c>
      <c r="BE171" s="377"/>
      <c r="BF171" s="377">
        <f t="shared" si="93"/>
        <v>0</v>
      </c>
      <c r="BG171" s="433">
        <f t="shared" si="94"/>
        <v>0</v>
      </c>
      <c r="BH171" s="434">
        <f t="shared" si="95"/>
        <v>0</v>
      </c>
    </row>
    <row r="172" spans="1:60" s="378" customFormat="1">
      <c r="A172" s="167">
        <v>162</v>
      </c>
      <c r="B172" s="253">
        <f>VLOOKUP(A172,'JUNE (물량흐름)'!$A$13:$C$493,3,0)</f>
        <v>100008702</v>
      </c>
      <c r="C172" s="57" t="str">
        <f>VLOOKUP(A172,'JUNE (물량흐름)'!$A$13:$C$493,2,0)</f>
        <v>ALFANI</v>
      </c>
      <c r="D172" s="58">
        <f>IFERROR(VLOOKUP(B172,O.B.JUNE!$V$7:$Y$448,2,0),0)</f>
        <v>0</v>
      </c>
      <c r="E172" s="58">
        <f>IFERROR(VLOOKUP(B172,O.B.JUNE!$V$7:$X$448,3,0),0)</f>
        <v>0</v>
      </c>
      <c r="F172" s="58">
        <f>IFERROR(VLOOKUP(B172,O.B.JUNE!$V$7:$Y$448,4,0),0)</f>
        <v>0</v>
      </c>
      <c r="G172" s="58">
        <f>SUMIF('JUNE (물량흐름)'!$C$13:$C$493,'In-out-bal products (155)(완성제품)'!B172,'JUNE (물량흐름)'!$V$13:$V$493)</f>
        <v>0</v>
      </c>
      <c r="H172" s="58">
        <f>SUMIF('JUNE (물량흐름)'!$C$13:$C$493,'In-out-bal products (155)(완성제품)'!B172,'JUNE (물량흐름)'!$T$13:$T$493)-SUMIF('JUNE (물량흐름)'!$C$13:$C$493,'In-out-bal products (155)(완성제품)'!B172,'JUNE (물량흐름)'!$Y$13:$Y$493)+SUMIF('JUNE (물량흐름)'!$C$13:$C$493,'In-out-bal products (155)(완성제품)'!B172,'JUNE (물량흐름)'!$U$13:$U$493)</f>
        <v>0</v>
      </c>
      <c r="I172" s="58">
        <f t="shared" si="66"/>
        <v>0</v>
      </c>
      <c r="J172" s="58">
        <f>SUMIF('Direct labour(직접노무비)'!$C$12:$C$503,'In-out-bal products (155)(완성제품)'!B172,'Direct labour(직접노무비)'!$Q$12:$Q$503)</f>
        <v>0</v>
      </c>
      <c r="K172" s="59">
        <f>SUMIF('Overhead exp(제조경비)'!$C$12:$C$503,'In-out-bal products (155)(완성제품)'!B172,'Overhead exp(제조경비)'!$Q$12:$Q$503)</f>
        <v>0</v>
      </c>
      <c r="L172" s="58">
        <f t="shared" si="67"/>
        <v>0</v>
      </c>
      <c r="M172" s="58">
        <f>SUMIF('JUNE (물량흐름)'!$C$13:$C$488,'In-out-bal products (155)(완성제품)'!B172,'JUNE (물량흐름)'!$Y$13:$Y$488)</f>
        <v>0</v>
      </c>
      <c r="N172" s="58">
        <f t="shared" si="68"/>
        <v>0</v>
      </c>
      <c r="O172" s="58">
        <f>SUMIF('Direct labour(직접노무비)'!$C$12:$C$503,'In-out-bal products (155)(완성제품)'!B172,'Direct labour(직접노무비)'!$U$12:$U$503)+SUMIF('Overhead exp(제조경비)'!$C$12:$C$503,'In-out-bal products (155)(완성제품)'!B172,'Overhead exp(제조경비)'!$U$12:$U$503)</f>
        <v>0</v>
      </c>
      <c r="P172" s="60">
        <f t="shared" si="69"/>
        <v>0</v>
      </c>
      <c r="Q172" s="60">
        <f t="shared" si="70"/>
        <v>0</v>
      </c>
      <c r="R172" s="60">
        <f t="shared" si="71"/>
        <v>0</v>
      </c>
      <c r="S172" s="58">
        <v>0</v>
      </c>
      <c r="T172" s="58">
        <v>0</v>
      </c>
      <c r="U172" s="58">
        <v>0</v>
      </c>
      <c r="V172" s="58">
        <f>SUMIF('JUNE (물량흐름)'!$C$13:$C$493,'In-out-bal products (155)(완성제품)'!B172,'JUNE (물량흐름)'!$W$13:$W$493)</f>
        <v>0</v>
      </c>
      <c r="W172" s="58">
        <f t="shared" si="72"/>
        <v>0</v>
      </c>
      <c r="X172" s="58">
        <f t="shared" si="73"/>
        <v>0</v>
      </c>
      <c r="Y172" s="58">
        <f>SUMIF('JUNE (물량흐름)'!$C$13:$C$488,'In-out-bal products (155)(완성제품)'!B172,'JUNE (물량흐름)'!$X$13:$X$488)</f>
        <v>0</v>
      </c>
      <c r="Z172" s="58">
        <f t="shared" si="74"/>
        <v>0</v>
      </c>
      <c r="AA172" s="58">
        <f t="shared" si="75"/>
        <v>0</v>
      </c>
      <c r="AB172" s="58"/>
      <c r="AC172" s="58"/>
      <c r="AD172" s="61"/>
      <c r="AE172" s="58">
        <f t="shared" si="76"/>
        <v>0</v>
      </c>
      <c r="AF172" s="58">
        <f t="shared" si="77"/>
        <v>0</v>
      </c>
      <c r="AG172" s="61">
        <f t="shared" si="78"/>
        <v>0</v>
      </c>
      <c r="AH172" s="58">
        <v>0</v>
      </c>
      <c r="AI172" s="58">
        <v>0</v>
      </c>
      <c r="AJ172" s="61">
        <v>0</v>
      </c>
      <c r="AK172" s="58"/>
      <c r="AL172" s="58"/>
      <c r="AM172" s="61"/>
      <c r="AN172" s="61">
        <f t="shared" si="79"/>
        <v>0</v>
      </c>
      <c r="AO172" s="58">
        <f t="shared" si="80"/>
        <v>0</v>
      </c>
      <c r="AP172" s="61">
        <f t="shared" si="81"/>
        <v>0</v>
      </c>
      <c r="AQ172" s="58">
        <f t="shared" si="82"/>
        <v>0</v>
      </c>
      <c r="AR172" s="58">
        <f t="shared" si="83"/>
        <v>0</v>
      </c>
      <c r="AS172" s="58">
        <f t="shared" si="84"/>
        <v>0</v>
      </c>
      <c r="AT172" s="58">
        <f>ROUND(SUMIF('JUNE (물량흐름)'!$C$13:$C$502,'In-out-bal products (155)(완성제품)'!B172,'JUNE (물량흐름)'!$AB$13:$AB$502),0)</f>
        <v>0</v>
      </c>
      <c r="AU172" s="58">
        <f t="shared" si="85"/>
        <v>0</v>
      </c>
      <c r="AV172" s="58">
        <f>ROUND(SUMIF('JUNE (물량흐름)'!$C$13:$C$502,'In-out-bal products (155)(완성제품)'!B172,'JUNE (물량흐름)'!$AC$13:$AC$502),0)</f>
        <v>0</v>
      </c>
      <c r="AW172" s="58">
        <f t="shared" si="86"/>
        <v>0</v>
      </c>
      <c r="AX172" s="376">
        <f t="shared" si="87"/>
        <v>0</v>
      </c>
      <c r="AY172" s="377">
        <f t="shared" si="88"/>
        <v>0</v>
      </c>
      <c r="AZ172" s="377">
        <f t="shared" si="89"/>
        <v>0</v>
      </c>
      <c r="BA172" s="377">
        <f t="shared" si="90"/>
        <v>0</v>
      </c>
      <c r="BB172" s="377"/>
      <c r="BC172" s="377">
        <f t="shared" si="91"/>
        <v>0</v>
      </c>
      <c r="BD172" s="377">
        <f t="shared" si="92"/>
        <v>0</v>
      </c>
      <c r="BE172" s="377"/>
      <c r="BF172" s="377">
        <f t="shared" si="93"/>
        <v>0</v>
      </c>
      <c r="BG172" s="433">
        <f t="shared" si="94"/>
        <v>0</v>
      </c>
      <c r="BH172" s="434">
        <f t="shared" si="95"/>
        <v>0</v>
      </c>
    </row>
    <row r="173" spans="1:60" s="378" customFormat="1">
      <c r="A173" s="167">
        <v>163</v>
      </c>
      <c r="B173" s="253">
        <f>VLOOKUP(A173,'JUNE (물량흐름)'!$A$13:$C$493,3,0)</f>
        <v>100008703</v>
      </c>
      <c r="C173" s="57" t="str">
        <f>VLOOKUP(A173,'JUNE (물량흐름)'!$A$13:$C$493,2,0)</f>
        <v>ALFANI</v>
      </c>
      <c r="D173" s="58">
        <f>IFERROR(VLOOKUP(B173,O.B.JUNE!$V$7:$Y$448,2,0),0)</f>
        <v>0</v>
      </c>
      <c r="E173" s="58">
        <f>IFERROR(VLOOKUP(B173,O.B.JUNE!$V$7:$X$448,3,0),0)</f>
        <v>0</v>
      </c>
      <c r="F173" s="58">
        <f>IFERROR(VLOOKUP(B173,O.B.JUNE!$V$7:$Y$448,4,0),0)</f>
        <v>0</v>
      </c>
      <c r="G173" s="58">
        <f>SUMIF('JUNE (물량흐름)'!$C$13:$C$493,'In-out-bal products (155)(완성제품)'!B173,'JUNE (물량흐름)'!$V$13:$V$493)</f>
        <v>0</v>
      </c>
      <c r="H173" s="58">
        <f>SUMIF('JUNE (물량흐름)'!$C$13:$C$493,'In-out-bal products (155)(완성제품)'!B173,'JUNE (물량흐름)'!$T$13:$T$493)-SUMIF('JUNE (물량흐름)'!$C$13:$C$493,'In-out-bal products (155)(완성제품)'!B173,'JUNE (물량흐름)'!$Y$13:$Y$493)+SUMIF('JUNE (물량흐름)'!$C$13:$C$493,'In-out-bal products (155)(완성제품)'!B173,'JUNE (물량흐름)'!$U$13:$U$493)</f>
        <v>0</v>
      </c>
      <c r="I173" s="58">
        <f t="shared" si="66"/>
        <v>0</v>
      </c>
      <c r="J173" s="58">
        <f>SUMIF('Direct labour(직접노무비)'!$C$12:$C$503,'In-out-bal products (155)(완성제품)'!B173,'Direct labour(직접노무비)'!$Q$12:$Q$503)</f>
        <v>0</v>
      </c>
      <c r="K173" s="59">
        <f>SUMIF('Overhead exp(제조경비)'!$C$12:$C$503,'In-out-bal products (155)(완성제품)'!B173,'Overhead exp(제조경비)'!$Q$12:$Q$503)</f>
        <v>0</v>
      </c>
      <c r="L173" s="58">
        <f t="shared" si="67"/>
        <v>0</v>
      </c>
      <c r="M173" s="58">
        <f>SUMIF('JUNE (물량흐름)'!$C$13:$C$488,'In-out-bal products (155)(완성제품)'!B173,'JUNE (물량흐름)'!$Y$13:$Y$488)</f>
        <v>0</v>
      </c>
      <c r="N173" s="58">
        <f t="shared" si="68"/>
        <v>0</v>
      </c>
      <c r="O173" s="58">
        <f>SUMIF('Direct labour(직접노무비)'!$C$12:$C$503,'In-out-bal products (155)(완성제품)'!B173,'Direct labour(직접노무비)'!$U$12:$U$503)+SUMIF('Overhead exp(제조경비)'!$C$12:$C$503,'In-out-bal products (155)(완성제품)'!B173,'Overhead exp(제조경비)'!$U$12:$U$503)</f>
        <v>0</v>
      </c>
      <c r="P173" s="60">
        <f t="shared" si="69"/>
        <v>0</v>
      </c>
      <c r="Q173" s="60">
        <f t="shared" si="70"/>
        <v>0</v>
      </c>
      <c r="R173" s="60">
        <f t="shared" si="71"/>
        <v>0</v>
      </c>
      <c r="S173" s="58">
        <v>0</v>
      </c>
      <c r="T173" s="58">
        <v>0</v>
      </c>
      <c r="U173" s="58">
        <v>0</v>
      </c>
      <c r="V173" s="58">
        <f>SUMIF('JUNE (물량흐름)'!$C$13:$C$493,'In-out-bal products (155)(완성제품)'!B173,'JUNE (물량흐름)'!$W$13:$W$493)</f>
        <v>0</v>
      </c>
      <c r="W173" s="58">
        <f t="shared" si="72"/>
        <v>0</v>
      </c>
      <c r="X173" s="58">
        <f t="shared" si="73"/>
        <v>0</v>
      </c>
      <c r="Y173" s="58">
        <f>SUMIF('JUNE (물량흐름)'!$C$13:$C$488,'In-out-bal products (155)(완성제품)'!B173,'JUNE (물량흐름)'!$X$13:$X$488)</f>
        <v>0</v>
      </c>
      <c r="Z173" s="58">
        <f t="shared" si="74"/>
        <v>0</v>
      </c>
      <c r="AA173" s="58">
        <f t="shared" si="75"/>
        <v>0</v>
      </c>
      <c r="AB173" s="58"/>
      <c r="AC173" s="58"/>
      <c r="AD173" s="61"/>
      <c r="AE173" s="58">
        <f t="shared" si="76"/>
        <v>0</v>
      </c>
      <c r="AF173" s="58">
        <f t="shared" si="77"/>
        <v>0</v>
      </c>
      <c r="AG173" s="61">
        <f t="shared" si="78"/>
        <v>0</v>
      </c>
      <c r="AH173" s="58">
        <v>0</v>
      </c>
      <c r="AI173" s="58">
        <v>0</v>
      </c>
      <c r="AJ173" s="61">
        <v>0</v>
      </c>
      <c r="AK173" s="58"/>
      <c r="AL173" s="58"/>
      <c r="AM173" s="61"/>
      <c r="AN173" s="61">
        <f t="shared" si="79"/>
        <v>0</v>
      </c>
      <c r="AO173" s="58">
        <f t="shared" si="80"/>
        <v>0</v>
      </c>
      <c r="AP173" s="61">
        <f t="shared" si="81"/>
        <v>0</v>
      </c>
      <c r="AQ173" s="58">
        <f t="shared" si="82"/>
        <v>0</v>
      </c>
      <c r="AR173" s="58">
        <f t="shared" si="83"/>
        <v>0</v>
      </c>
      <c r="AS173" s="58">
        <f t="shared" si="84"/>
        <v>0</v>
      </c>
      <c r="AT173" s="58">
        <f>ROUND(SUMIF('JUNE (물량흐름)'!$C$13:$C$502,'In-out-bal products (155)(완성제품)'!B173,'JUNE (물량흐름)'!$AB$13:$AB$502),0)</f>
        <v>0</v>
      </c>
      <c r="AU173" s="58">
        <f t="shared" si="85"/>
        <v>0</v>
      </c>
      <c r="AV173" s="58">
        <f>ROUND(SUMIF('JUNE (물량흐름)'!$C$13:$C$502,'In-out-bal products (155)(완성제품)'!B173,'JUNE (물량흐름)'!$AC$13:$AC$502),0)</f>
        <v>0</v>
      </c>
      <c r="AW173" s="58">
        <f t="shared" si="86"/>
        <v>0</v>
      </c>
      <c r="AX173" s="376">
        <f t="shared" si="87"/>
        <v>0</v>
      </c>
      <c r="AY173" s="377">
        <f t="shared" si="88"/>
        <v>0</v>
      </c>
      <c r="AZ173" s="377">
        <f t="shared" si="89"/>
        <v>0</v>
      </c>
      <c r="BA173" s="377">
        <f t="shared" si="90"/>
        <v>0</v>
      </c>
      <c r="BB173" s="377"/>
      <c r="BC173" s="377">
        <f t="shared" si="91"/>
        <v>0</v>
      </c>
      <c r="BD173" s="377">
        <f t="shared" si="92"/>
        <v>0</v>
      </c>
      <c r="BE173" s="377"/>
      <c r="BF173" s="377">
        <f t="shared" si="93"/>
        <v>0</v>
      </c>
      <c r="BG173" s="433">
        <f t="shared" si="94"/>
        <v>0</v>
      </c>
      <c r="BH173" s="434">
        <f t="shared" si="95"/>
        <v>0</v>
      </c>
    </row>
    <row r="174" spans="1:60" s="378" customFormat="1">
      <c r="A174" s="167">
        <v>164</v>
      </c>
      <c r="B174" s="253">
        <f>VLOOKUP(A174,'JUNE (물량흐름)'!$A$13:$C$493,3,0)</f>
        <v>100008704</v>
      </c>
      <c r="C174" s="57" t="str">
        <f>VLOOKUP(A174,'JUNE (물량흐름)'!$A$13:$C$493,2,0)</f>
        <v>ALFANI</v>
      </c>
      <c r="D174" s="58">
        <f>IFERROR(VLOOKUP(B174,O.B.JUNE!$V$7:$Y$448,2,0),0)</f>
        <v>0</v>
      </c>
      <c r="E174" s="58">
        <f>IFERROR(VLOOKUP(B174,O.B.JUNE!$V$7:$X$448,3,0),0)</f>
        <v>0</v>
      </c>
      <c r="F174" s="58">
        <f>IFERROR(VLOOKUP(B174,O.B.JUNE!$V$7:$Y$448,4,0),0)</f>
        <v>0</v>
      </c>
      <c r="G174" s="58">
        <f>SUMIF('JUNE (물량흐름)'!$C$13:$C$493,'In-out-bal products (155)(완성제품)'!B174,'JUNE (물량흐름)'!$V$13:$V$493)</f>
        <v>0</v>
      </c>
      <c r="H174" s="58">
        <f>SUMIF('JUNE (물량흐름)'!$C$13:$C$493,'In-out-bal products (155)(완성제품)'!B174,'JUNE (물량흐름)'!$T$13:$T$493)-SUMIF('JUNE (물량흐름)'!$C$13:$C$493,'In-out-bal products (155)(완성제품)'!B174,'JUNE (물량흐름)'!$Y$13:$Y$493)+SUMIF('JUNE (물량흐름)'!$C$13:$C$493,'In-out-bal products (155)(완성제품)'!B174,'JUNE (물량흐름)'!$U$13:$U$493)</f>
        <v>0</v>
      </c>
      <c r="I174" s="58">
        <f t="shared" si="66"/>
        <v>0</v>
      </c>
      <c r="J174" s="58">
        <f>SUMIF('Direct labour(직접노무비)'!$C$12:$C$503,'In-out-bal products (155)(완성제품)'!B174,'Direct labour(직접노무비)'!$Q$12:$Q$503)</f>
        <v>0</v>
      </c>
      <c r="K174" s="59">
        <f>SUMIF('Overhead exp(제조경비)'!$C$12:$C$503,'In-out-bal products (155)(완성제품)'!B174,'Overhead exp(제조경비)'!$Q$12:$Q$503)</f>
        <v>0</v>
      </c>
      <c r="L174" s="58">
        <f t="shared" si="67"/>
        <v>0</v>
      </c>
      <c r="M174" s="58">
        <f>SUMIF('JUNE (물량흐름)'!$C$13:$C$488,'In-out-bal products (155)(완성제품)'!B174,'JUNE (물량흐름)'!$Y$13:$Y$488)</f>
        <v>0</v>
      </c>
      <c r="N174" s="58">
        <f t="shared" si="68"/>
        <v>0</v>
      </c>
      <c r="O174" s="58">
        <f>SUMIF('Direct labour(직접노무비)'!$C$12:$C$503,'In-out-bal products (155)(완성제품)'!B174,'Direct labour(직접노무비)'!$U$12:$U$503)+SUMIF('Overhead exp(제조경비)'!$C$12:$C$503,'In-out-bal products (155)(완성제품)'!B174,'Overhead exp(제조경비)'!$U$12:$U$503)</f>
        <v>0</v>
      </c>
      <c r="P174" s="60">
        <f t="shared" si="69"/>
        <v>0</v>
      </c>
      <c r="Q174" s="60">
        <f t="shared" si="70"/>
        <v>0</v>
      </c>
      <c r="R174" s="60">
        <f t="shared" si="71"/>
        <v>0</v>
      </c>
      <c r="S174" s="58">
        <v>0</v>
      </c>
      <c r="T174" s="58">
        <v>0</v>
      </c>
      <c r="U174" s="58">
        <v>0</v>
      </c>
      <c r="V174" s="58">
        <f>SUMIF('JUNE (물량흐름)'!$C$13:$C$493,'In-out-bal products (155)(완성제품)'!B174,'JUNE (물량흐름)'!$W$13:$W$493)</f>
        <v>0</v>
      </c>
      <c r="W174" s="58">
        <f t="shared" si="72"/>
        <v>0</v>
      </c>
      <c r="X174" s="58">
        <f t="shared" si="73"/>
        <v>0</v>
      </c>
      <c r="Y174" s="58">
        <f>SUMIF('JUNE (물량흐름)'!$C$13:$C$488,'In-out-bal products (155)(완성제품)'!B174,'JUNE (물량흐름)'!$X$13:$X$488)</f>
        <v>0</v>
      </c>
      <c r="Z174" s="58">
        <f t="shared" si="74"/>
        <v>0</v>
      </c>
      <c r="AA174" s="58">
        <f t="shared" si="75"/>
        <v>0</v>
      </c>
      <c r="AB174" s="58"/>
      <c r="AC174" s="58"/>
      <c r="AD174" s="61"/>
      <c r="AE174" s="58">
        <f t="shared" si="76"/>
        <v>0</v>
      </c>
      <c r="AF174" s="58">
        <f t="shared" si="77"/>
        <v>0</v>
      </c>
      <c r="AG174" s="61">
        <f t="shared" si="78"/>
        <v>0</v>
      </c>
      <c r="AH174" s="58">
        <v>0</v>
      </c>
      <c r="AI174" s="58">
        <v>0</v>
      </c>
      <c r="AJ174" s="61">
        <v>0</v>
      </c>
      <c r="AK174" s="58"/>
      <c r="AL174" s="58"/>
      <c r="AM174" s="61"/>
      <c r="AN174" s="61">
        <f t="shared" si="79"/>
        <v>0</v>
      </c>
      <c r="AO174" s="58">
        <f t="shared" si="80"/>
        <v>0</v>
      </c>
      <c r="AP174" s="61">
        <f t="shared" si="81"/>
        <v>0</v>
      </c>
      <c r="AQ174" s="58">
        <f t="shared" si="82"/>
        <v>0</v>
      </c>
      <c r="AR174" s="58">
        <f t="shared" si="83"/>
        <v>0</v>
      </c>
      <c r="AS174" s="58">
        <f t="shared" si="84"/>
        <v>0</v>
      </c>
      <c r="AT174" s="58">
        <f>ROUND(SUMIF('JUNE (물량흐름)'!$C$13:$C$502,'In-out-bal products (155)(완성제품)'!B174,'JUNE (물량흐름)'!$AB$13:$AB$502),0)</f>
        <v>0</v>
      </c>
      <c r="AU174" s="58">
        <f t="shared" si="85"/>
        <v>0</v>
      </c>
      <c r="AV174" s="58">
        <f>ROUND(SUMIF('JUNE (물량흐름)'!$C$13:$C$502,'In-out-bal products (155)(완성제품)'!B174,'JUNE (물량흐름)'!$AC$13:$AC$502),0)</f>
        <v>0</v>
      </c>
      <c r="AW174" s="58">
        <f t="shared" si="86"/>
        <v>0</v>
      </c>
      <c r="AX174" s="376">
        <f t="shared" si="87"/>
        <v>0</v>
      </c>
      <c r="AY174" s="377">
        <f t="shared" si="88"/>
        <v>0</v>
      </c>
      <c r="AZ174" s="377">
        <f t="shared" si="89"/>
        <v>0</v>
      </c>
      <c r="BA174" s="377">
        <f t="shared" si="90"/>
        <v>0</v>
      </c>
      <c r="BB174" s="377"/>
      <c r="BC174" s="377">
        <f t="shared" si="91"/>
        <v>0</v>
      </c>
      <c r="BD174" s="377">
        <f t="shared" si="92"/>
        <v>0</v>
      </c>
      <c r="BE174" s="377"/>
      <c r="BF174" s="377">
        <f t="shared" si="93"/>
        <v>0</v>
      </c>
      <c r="BG174" s="433">
        <f t="shared" si="94"/>
        <v>0</v>
      </c>
      <c r="BH174" s="434">
        <f t="shared" si="95"/>
        <v>0</v>
      </c>
    </row>
    <row r="175" spans="1:60" s="378" customFormat="1">
      <c r="A175" s="167">
        <v>165</v>
      </c>
      <c r="B175" s="253">
        <f>VLOOKUP(A175,'JUNE (물량흐름)'!$A$13:$C$493,3,0)</f>
        <v>100008706</v>
      </c>
      <c r="C175" s="57" t="str">
        <f>VLOOKUP(A175,'JUNE (물량흐름)'!$A$13:$C$493,2,0)</f>
        <v>ALFANI</v>
      </c>
      <c r="D175" s="58">
        <f>IFERROR(VLOOKUP(B175,O.B.JUNE!$V$7:$Y$448,2,0),0)</f>
        <v>0</v>
      </c>
      <c r="E175" s="58">
        <f>IFERROR(VLOOKUP(B175,O.B.JUNE!$V$7:$X$448,3,0),0)</f>
        <v>0</v>
      </c>
      <c r="F175" s="58">
        <f>IFERROR(VLOOKUP(B175,O.B.JUNE!$V$7:$Y$448,4,0),0)</f>
        <v>0</v>
      </c>
      <c r="G175" s="58">
        <f>SUMIF('JUNE (물량흐름)'!$C$13:$C$493,'In-out-bal products (155)(완성제품)'!B175,'JUNE (물량흐름)'!$V$13:$V$493)</f>
        <v>0</v>
      </c>
      <c r="H175" s="58">
        <f>SUMIF('JUNE (물량흐름)'!$C$13:$C$493,'In-out-bal products (155)(완성제품)'!B175,'JUNE (물량흐름)'!$T$13:$T$493)-SUMIF('JUNE (물량흐름)'!$C$13:$C$493,'In-out-bal products (155)(완성제품)'!B175,'JUNE (물량흐름)'!$Y$13:$Y$493)+SUMIF('JUNE (물량흐름)'!$C$13:$C$493,'In-out-bal products (155)(완성제품)'!B175,'JUNE (물량흐름)'!$U$13:$U$493)</f>
        <v>0</v>
      </c>
      <c r="I175" s="58">
        <f t="shared" si="66"/>
        <v>0</v>
      </c>
      <c r="J175" s="58">
        <f>SUMIF('Direct labour(직접노무비)'!$C$12:$C$503,'In-out-bal products (155)(완성제품)'!B175,'Direct labour(직접노무비)'!$Q$12:$Q$503)</f>
        <v>0</v>
      </c>
      <c r="K175" s="59">
        <f>SUMIF('Overhead exp(제조경비)'!$C$12:$C$503,'In-out-bal products (155)(완성제품)'!B175,'Overhead exp(제조경비)'!$Q$12:$Q$503)</f>
        <v>0</v>
      </c>
      <c r="L175" s="58">
        <f t="shared" si="67"/>
        <v>0</v>
      </c>
      <c r="M175" s="58">
        <f>SUMIF('JUNE (물량흐름)'!$C$13:$C$488,'In-out-bal products (155)(완성제품)'!B175,'JUNE (물량흐름)'!$Y$13:$Y$488)</f>
        <v>0</v>
      </c>
      <c r="N175" s="58">
        <f t="shared" si="68"/>
        <v>0</v>
      </c>
      <c r="O175" s="58">
        <f>SUMIF('Direct labour(직접노무비)'!$C$12:$C$503,'In-out-bal products (155)(완성제품)'!B175,'Direct labour(직접노무비)'!$U$12:$U$503)+SUMIF('Overhead exp(제조경비)'!$C$12:$C$503,'In-out-bal products (155)(완성제품)'!B175,'Overhead exp(제조경비)'!$U$12:$U$503)</f>
        <v>0</v>
      </c>
      <c r="P175" s="60">
        <f t="shared" si="69"/>
        <v>0</v>
      </c>
      <c r="Q175" s="60">
        <f t="shared" si="70"/>
        <v>0</v>
      </c>
      <c r="R175" s="60">
        <f t="shared" si="71"/>
        <v>0</v>
      </c>
      <c r="S175" s="58">
        <v>0</v>
      </c>
      <c r="T175" s="58">
        <v>0</v>
      </c>
      <c r="U175" s="58">
        <v>0</v>
      </c>
      <c r="V175" s="58">
        <f>SUMIF('JUNE (물량흐름)'!$C$13:$C$493,'In-out-bal products (155)(완성제품)'!B175,'JUNE (물량흐름)'!$W$13:$W$493)</f>
        <v>0</v>
      </c>
      <c r="W175" s="58">
        <f t="shared" si="72"/>
        <v>0</v>
      </c>
      <c r="X175" s="58">
        <f t="shared" si="73"/>
        <v>0</v>
      </c>
      <c r="Y175" s="58">
        <f>SUMIF('JUNE (물량흐름)'!$C$13:$C$488,'In-out-bal products (155)(완성제품)'!B175,'JUNE (물량흐름)'!$X$13:$X$488)</f>
        <v>0</v>
      </c>
      <c r="Z175" s="58">
        <f t="shared" si="74"/>
        <v>0</v>
      </c>
      <c r="AA175" s="58">
        <f t="shared" si="75"/>
        <v>0</v>
      </c>
      <c r="AB175" s="58"/>
      <c r="AC175" s="58"/>
      <c r="AD175" s="61"/>
      <c r="AE175" s="58">
        <f t="shared" si="76"/>
        <v>0</v>
      </c>
      <c r="AF175" s="58">
        <f t="shared" si="77"/>
        <v>0</v>
      </c>
      <c r="AG175" s="61">
        <f t="shared" si="78"/>
        <v>0</v>
      </c>
      <c r="AH175" s="58">
        <v>0</v>
      </c>
      <c r="AI175" s="58">
        <v>0</v>
      </c>
      <c r="AJ175" s="61">
        <v>0</v>
      </c>
      <c r="AK175" s="58"/>
      <c r="AL175" s="58"/>
      <c r="AM175" s="61"/>
      <c r="AN175" s="61">
        <f t="shared" si="79"/>
        <v>0</v>
      </c>
      <c r="AO175" s="58">
        <f t="shared" si="80"/>
        <v>0</v>
      </c>
      <c r="AP175" s="61">
        <f t="shared" si="81"/>
        <v>0</v>
      </c>
      <c r="AQ175" s="58">
        <f t="shared" si="82"/>
        <v>0</v>
      </c>
      <c r="AR175" s="58">
        <f t="shared" si="83"/>
        <v>0</v>
      </c>
      <c r="AS175" s="58">
        <f t="shared" si="84"/>
        <v>0</v>
      </c>
      <c r="AT175" s="58">
        <f>ROUND(SUMIF('JUNE (물량흐름)'!$C$13:$C$502,'In-out-bal products (155)(완성제품)'!B175,'JUNE (물량흐름)'!$AB$13:$AB$502),0)</f>
        <v>0</v>
      </c>
      <c r="AU175" s="58">
        <f t="shared" si="85"/>
        <v>0</v>
      </c>
      <c r="AV175" s="58">
        <f>ROUND(SUMIF('JUNE (물량흐름)'!$C$13:$C$502,'In-out-bal products (155)(완성제품)'!B175,'JUNE (물량흐름)'!$AC$13:$AC$502),0)</f>
        <v>0</v>
      </c>
      <c r="AW175" s="58">
        <f t="shared" si="86"/>
        <v>0</v>
      </c>
      <c r="AX175" s="376">
        <f t="shared" si="87"/>
        <v>0</v>
      </c>
      <c r="AY175" s="377">
        <f t="shared" si="88"/>
        <v>0</v>
      </c>
      <c r="AZ175" s="377">
        <f t="shared" si="89"/>
        <v>0</v>
      </c>
      <c r="BA175" s="377">
        <f t="shared" si="90"/>
        <v>0</v>
      </c>
      <c r="BB175" s="377"/>
      <c r="BC175" s="377">
        <f t="shared" si="91"/>
        <v>0</v>
      </c>
      <c r="BD175" s="377">
        <f t="shared" si="92"/>
        <v>0</v>
      </c>
      <c r="BE175" s="377"/>
      <c r="BF175" s="377">
        <f t="shared" si="93"/>
        <v>0</v>
      </c>
      <c r="BG175" s="433">
        <f t="shared" si="94"/>
        <v>0</v>
      </c>
      <c r="BH175" s="434">
        <f t="shared" si="95"/>
        <v>0</v>
      </c>
    </row>
    <row r="176" spans="1:60" s="378" customFormat="1">
      <c r="A176" s="167">
        <v>166</v>
      </c>
      <c r="B176" s="253">
        <f>VLOOKUP(A176,'JUNE (물량흐름)'!$A$13:$C$493,3,0)</f>
        <v>100008707</v>
      </c>
      <c r="C176" s="57" t="str">
        <f>VLOOKUP(A176,'JUNE (물량흐름)'!$A$13:$C$493,2,0)</f>
        <v>ALFANI</v>
      </c>
      <c r="D176" s="58">
        <f>IFERROR(VLOOKUP(B176,O.B.JUNE!$V$7:$Y$448,2,0),0)</f>
        <v>0</v>
      </c>
      <c r="E176" s="58">
        <f>IFERROR(VLOOKUP(B176,O.B.JUNE!$V$7:$X$448,3,0),0)</f>
        <v>0</v>
      </c>
      <c r="F176" s="58">
        <f>IFERROR(VLOOKUP(B176,O.B.JUNE!$V$7:$Y$448,4,0),0)</f>
        <v>0</v>
      </c>
      <c r="G176" s="58">
        <f>SUMIF('JUNE (물량흐름)'!$C$13:$C$493,'In-out-bal products (155)(완성제품)'!B176,'JUNE (물량흐름)'!$V$13:$V$493)</f>
        <v>0</v>
      </c>
      <c r="H176" s="58">
        <f>SUMIF('JUNE (물량흐름)'!$C$13:$C$493,'In-out-bal products (155)(완성제품)'!B176,'JUNE (물량흐름)'!$T$13:$T$493)-SUMIF('JUNE (물량흐름)'!$C$13:$C$493,'In-out-bal products (155)(완성제품)'!B176,'JUNE (물량흐름)'!$Y$13:$Y$493)+SUMIF('JUNE (물량흐름)'!$C$13:$C$493,'In-out-bal products (155)(완성제품)'!B176,'JUNE (물량흐름)'!$U$13:$U$493)</f>
        <v>0</v>
      </c>
      <c r="I176" s="58">
        <f t="shared" si="66"/>
        <v>0</v>
      </c>
      <c r="J176" s="58">
        <f>SUMIF('Direct labour(직접노무비)'!$C$12:$C$503,'In-out-bal products (155)(완성제품)'!B176,'Direct labour(직접노무비)'!$Q$12:$Q$503)</f>
        <v>0</v>
      </c>
      <c r="K176" s="59">
        <f>SUMIF('Overhead exp(제조경비)'!$C$12:$C$503,'In-out-bal products (155)(완성제품)'!B176,'Overhead exp(제조경비)'!$Q$12:$Q$503)</f>
        <v>0</v>
      </c>
      <c r="L176" s="58">
        <f t="shared" si="67"/>
        <v>0</v>
      </c>
      <c r="M176" s="58">
        <f>SUMIF('JUNE (물량흐름)'!$C$13:$C$488,'In-out-bal products (155)(완성제품)'!B176,'JUNE (물량흐름)'!$Y$13:$Y$488)</f>
        <v>0</v>
      </c>
      <c r="N176" s="58">
        <f t="shared" si="68"/>
        <v>0</v>
      </c>
      <c r="O176" s="58">
        <f>SUMIF('Direct labour(직접노무비)'!$C$12:$C$503,'In-out-bal products (155)(완성제품)'!B176,'Direct labour(직접노무비)'!$U$12:$U$503)+SUMIF('Overhead exp(제조경비)'!$C$12:$C$503,'In-out-bal products (155)(완성제품)'!B176,'Overhead exp(제조경비)'!$U$12:$U$503)</f>
        <v>0</v>
      </c>
      <c r="P176" s="60">
        <f t="shared" si="69"/>
        <v>0</v>
      </c>
      <c r="Q176" s="60">
        <f t="shared" si="70"/>
        <v>0</v>
      </c>
      <c r="R176" s="60">
        <f t="shared" si="71"/>
        <v>0</v>
      </c>
      <c r="S176" s="58">
        <v>0</v>
      </c>
      <c r="T176" s="58">
        <v>0</v>
      </c>
      <c r="U176" s="58">
        <v>0</v>
      </c>
      <c r="V176" s="58">
        <f>SUMIF('JUNE (물량흐름)'!$C$13:$C$493,'In-out-bal products (155)(완성제품)'!B176,'JUNE (물량흐름)'!$W$13:$W$493)</f>
        <v>0</v>
      </c>
      <c r="W176" s="58">
        <f t="shared" si="72"/>
        <v>0</v>
      </c>
      <c r="X176" s="58">
        <f t="shared" si="73"/>
        <v>0</v>
      </c>
      <c r="Y176" s="58">
        <f>SUMIF('JUNE (물량흐름)'!$C$13:$C$488,'In-out-bal products (155)(완성제품)'!B176,'JUNE (물량흐름)'!$X$13:$X$488)</f>
        <v>0</v>
      </c>
      <c r="Z176" s="58">
        <f t="shared" si="74"/>
        <v>0</v>
      </c>
      <c r="AA176" s="58">
        <f t="shared" si="75"/>
        <v>0</v>
      </c>
      <c r="AB176" s="58"/>
      <c r="AC176" s="58"/>
      <c r="AD176" s="61"/>
      <c r="AE176" s="58">
        <f t="shared" si="76"/>
        <v>0</v>
      </c>
      <c r="AF176" s="58">
        <f t="shared" si="77"/>
        <v>0</v>
      </c>
      <c r="AG176" s="61">
        <f t="shared" si="78"/>
        <v>0</v>
      </c>
      <c r="AH176" s="58">
        <v>0</v>
      </c>
      <c r="AI176" s="58">
        <v>0</v>
      </c>
      <c r="AJ176" s="61">
        <v>0</v>
      </c>
      <c r="AK176" s="58"/>
      <c r="AL176" s="58"/>
      <c r="AM176" s="61"/>
      <c r="AN176" s="61">
        <f t="shared" si="79"/>
        <v>0</v>
      </c>
      <c r="AO176" s="58">
        <f t="shared" si="80"/>
        <v>0</v>
      </c>
      <c r="AP176" s="61">
        <f t="shared" si="81"/>
        <v>0</v>
      </c>
      <c r="AQ176" s="58">
        <f t="shared" si="82"/>
        <v>0</v>
      </c>
      <c r="AR176" s="58">
        <f t="shared" si="83"/>
        <v>0</v>
      </c>
      <c r="AS176" s="58">
        <f t="shared" si="84"/>
        <v>0</v>
      </c>
      <c r="AT176" s="58">
        <f>ROUND(SUMIF('JUNE (물량흐름)'!$C$13:$C$502,'In-out-bal products (155)(완성제품)'!B176,'JUNE (물량흐름)'!$AB$13:$AB$502),0)</f>
        <v>0</v>
      </c>
      <c r="AU176" s="58">
        <f t="shared" si="85"/>
        <v>0</v>
      </c>
      <c r="AV176" s="58">
        <f>ROUND(SUMIF('JUNE (물량흐름)'!$C$13:$C$502,'In-out-bal products (155)(완성제품)'!B176,'JUNE (물량흐름)'!$AC$13:$AC$502),0)</f>
        <v>0</v>
      </c>
      <c r="AW176" s="58">
        <f t="shared" si="86"/>
        <v>0</v>
      </c>
      <c r="AX176" s="376">
        <f t="shared" si="87"/>
        <v>0</v>
      </c>
      <c r="AY176" s="377">
        <f t="shared" si="88"/>
        <v>0</v>
      </c>
      <c r="AZ176" s="377">
        <f t="shared" si="89"/>
        <v>0</v>
      </c>
      <c r="BA176" s="377">
        <f t="shared" si="90"/>
        <v>0</v>
      </c>
      <c r="BB176" s="377"/>
      <c r="BC176" s="377">
        <f t="shared" si="91"/>
        <v>0</v>
      </c>
      <c r="BD176" s="377">
        <f t="shared" si="92"/>
        <v>0</v>
      </c>
      <c r="BE176" s="377"/>
      <c r="BF176" s="377">
        <f t="shared" si="93"/>
        <v>0</v>
      </c>
      <c r="BG176" s="433">
        <f t="shared" si="94"/>
        <v>0</v>
      </c>
      <c r="BH176" s="434">
        <f t="shared" si="95"/>
        <v>0</v>
      </c>
    </row>
    <row r="177" spans="1:60" s="378" customFormat="1">
      <c r="A177" s="167">
        <v>167</v>
      </c>
      <c r="B177" s="253">
        <f>VLOOKUP(A177,'JUNE (물량흐름)'!$A$13:$C$493,3,0)</f>
        <v>100008708</v>
      </c>
      <c r="C177" s="57" t="str">
        <f>VLOOKUP(A177,'JUNE (물량흐름)'!$A$13:$C$493,2,0)</f>
        <v>ALFANI</v>
      </c>
      <c r="D177" s="58">
        <f>IFERROR(VLOOKUP(B177,O.B.JUNE!$V$7:$Y$448,2,0),0)</f>
        <v>0</v>
      </c>
      <c r="E177" s="58">
        <f>IFERROR(VLOOKUP(B177,O.B.JUNE!$V$7:$X$448,3,0),0)</f>
        <v>0</v>
      </c>
      <c r="F177" s="58">
        <f>IFERROR(VLOOKUP(B177,O.B.JUNE!$V$7:$Y$448,4,0),0)</f>
        <v>0</v>
      </c>
      <c r="G177" s="58">
        <f>SUMIF('JUNE (물량흐름)'!$C$13:$C$493,'In-out-bal products (155)(완성제품)'!B177,'JUNE (물량흐름)'!$V$13:$V$493)</f>
        <v>0</v>
      </c>
      <c r="H177" s="58">
        <f>SUMIF('JUNE (물량흐름)'!$C$13:$C$493,'In-out-bal products (155)(완성제품)'!B177,'JUNE (물량흐름)'!$T$13:$T$493)-SUMIF('JUNE (물량흐름)'!$C$13:$C$493,'In-out-bal products (155)(완성제품)'!B177,'JUNE (물량흐름)'!$Y$13:$Y$493)+SUMIF('JUNE (물량흐름)'!$C$13:$C$493,'In-out-bal products (155)(완성제품)'!B177,'JUNE (물량흐름)'!$U$13:$U$493)</f>
        <v>0</v>
      </c>
      <c r="I177" s="58">
        <f t="shared" si="66"/>
        <v>0</v>
      </c>
      <c r="J177" s="58">
        <f>SUMIF('Direct labour(직접노무비)'!$C$12:$C$503,'In-out-bal products (155)(완성제품)'!B177,'Direct labour(직접노무비)'!$Q$12:$Q$503)</f>
        <v>0</v>
      </c>
      <c r="K177" s="59">
        <f>SUMIF('Overhead exp(제조경비)'!$C$12:$C$503,'In-out-bal products (155)(완성제품)'!B177,'Overhead exp(제조경비)'!$Q$12:$Q$503)</f>
        <v>0</v>
      </c>
      <c r="L177" s="58">
        <f t="shared" si="67"/>
        <v>0</v>
      </c>
      <c r="M177" s="58">
        <f>SUMIF('JUNE (물량흐름)'!$C$13:$C$488,'In-out-bal products (155)(완성제품)'!B177,'JUNE (물량흐름)'!$Y$13:$Y$488)</f>
        <v>0</v>
      </c>
      <c r="N177" s="58">
        <f t="shared" si="68"/>
        <v>0</v>
      </c>
      <c r="O177" s="58">
        <f>SUMIF('Direct labour(직접노무비)'!$C$12:$C$503,'In-out-bal products (155)(완성제품)'!B177,'Direct labour(직접노무비)'!$U$12:$U$503)+SUMIF('Overhead exp(제조경비)'!$C$12:$C$503,'In-out-bal products (155)(완성제품)'!B177,'Overhead exp(제조경비)'!$U$12:$U$503)</f>
        <v>0</v>
      </c>
      <c r="P177" s="60">
        <f t="shared" si="69"/>
        <v>0</v>
      </c>
      <c r="Q177" s="60">
        <f t="shared" si="70"/>
        <v>0</v>
      </c>
      <c r="R177" s="60">
        <f t="shared" si="71"/>
        <v>0</v>
      </c>
      <c r="S177" s="58">
        <v>0</v>
      </c>
      <c r="T177" s="58">
        <v>0</v>
      </c>
      <c r="U177" s="58">
        <v>0</v>
      </c>
      <c r="V177" s="58">
        <f>SUMIF('JUNE (물량흐름)'!$C$13:$C$493,'In-out-bal products (155)(완성제품)'!B177,'JUNE (물량흐름)'!$W$13:$W$493)</f>
        <v>0</v>
      </c>
      <c r="W177" s="58">
        <f t="shared" si="72"/>
        <v>0</v>
      </c>
      <c r="X177" s="58">
        <f t="shared" si="73"/>
        <v>0</v>
      </c>
      <c r="Y177" s="58">
        <f>SUMIF('JUNE (물량흐름)'!$C$13:$C$488,'In-out-bal products (155)(완성제품)'!B177,'JUNE (물량흐름)'!$X$13:$X$488)</f>
        <v>0</v>
      </c>
      <c r="Z177" s="58">
        <f t="shared" si="74"/>
        <v>0</v>
      </c>
      <c r="AA177" s="58">
        <f t="shared" si="75"/>
        <v>0</v>
      </c>
      <c r="AB177" s="58"/>
      <c r="AC177" s="58"/>
      <c r="AD177" s="61"/>
      <c r="AE177" s="58">
        <f t="shared" si="76"/>
        <v>0</v>
      </c>
      <c r="AF177" s="58">
        <f t="shared" si="77"/>
        <v>0</v>
      </c>
      <c r="AG177" s="61">
        <f t="shared" si="78"/>
        <v>0</v>
      </c>
      <c r="AH177" s="58">
        <v>0</v>
      </c>
      <c r="AI177" s="58">
        <v>0</v>
      </c>
      <c r="AJ177" s="61">
        <v>0</v>
      </c>
      <c r="AK177" s="58"/>
      <c r="AL177" s="58"/>
      <c r="AM177" s="61"/>
      <c r="AN177" s="61">
        <f t="shared" si="79"/>
        <v>0</v>
      </c>
      <c r="AO177" s="58">
        <f t="shared" si="80"/>
        <v>0</v>
      </c>
      <c r="AP177" s="61">
        <f t="shared" si="81"/>
        <v>0</v>
      </c>
      <c r="AQ177" s="58">
        <f t="shared" si="82"/>
        <v>0</v>
      </c>
      <c r="AR177" s="58">
        <f t="shared" si="83"/>
        <v>0</v>
      </c>
      <c r="AS177" s="58">
        <f t="shared" si="84"/>
        <v>0</v>
      </c>
      <c r="AT177" s="58">
        <f>ROUND(SUMIF('JUNE (물량흐름)'!$C$13:$C$502,'In-out-bal products (155)(완성제품)'!B177,'JUNE (물량흐름)'!$AB$13:$AB$502),0)</f>
        <v>0</v>
      </c>
      <c r="AU177" s="58">
        <f t="shared" si="85"/>
        <v>0</v>
      </c>
      <c r="AV177" s="58">
        <f>ROUND(SUMIF('JUNE (물량흐름)'!$C$13:$C$502,'In-out-bal products (155)(완성제품)'!B177,'JUNE (물량흐름)'!$AC$13:$AC$502),0)</f>
        <v>0</v>
      </c>
      <c r="AW177" s="58">
        <f t="shared" si="86"/>
        <v>0</v>
      </c>
      <c r="AX177" s="376">
        <f t="shared" si="87"/>
        <v>0</v>
      </c>
      <c r="AY177" s="377">
        <f t="shared" si="88"/>
        <v>0</v>
      </c>
      <c r="AZ177" s="377">
        <f t="shared" si="89"/>
        <v>0</v>
      </c>
      <c r="BA177" s="377">
        <f t="shared" si="90"/>
        <v>0</v>
      </c>
      <c r="BB177" s="377"/>
      <c r="BC177" s="377">
        <f t="shared" si="91"/>
        <v>0</v>
      </c>
      <c r="BD177" s="377">
        <f t="shared" si="92"/>
        <v>0</v>
      </c>
      <c r="BE177" s="377"/>
      <c r="BF177" s="377">
        <f t="shared" si="93"/>
        <v>0</v>
      </c>
      <c r="BG177" s="433">
        <f t="shared" si="94"/>
        <v>0</v>
      </c>
      <c r="BH177" s="434">
        <f t="shared" si="95"/>
        <v>0</v>
      </c>
    </row>
    <row r="178" spans="1:60" s="378" customFormat="1">
      <c r="A178" s="167">
        <v>168</v>
      </c>
      <c r="B178" s="253">
        <f>VLOOKUP(A178,'JUNE (물량흐름)'!$A$13:$C$493,3,0)</f>
        <v>100008709</v>
      </c>
      <c r="C178" s="57" t="str">
        <f>VLOOKUP(A178,'JUNE (물량흐름)'!$A$13:$C$493,2,0)</f>
        <v>ALFANI</v>
      </c>
      <c r="D178" s="58">
        <f>IFERROR(VLOOKUP(B178,O.B.JUNE!$V$7:$Y$448,2,0),0)</f>
        <v>0</v>
      </c>
      <c r="E178" s="58">
        <f>IFERROR(VLOOKUP(B178,O.B.JUNE!$V$7:$X$448,3,0),0)</f>
        <v>0</v>
      </c>
      <c r="F178" s="58">
        <f>IFERROR(VLOOKUP(B178,O.B.JUNE!$V$7:$Y$448,4,0),0)</f>
        <v>0</v>
      </c>
      <c r="G178" s="58">
        <f>SUMIF('JUNE (물량흐름)'!$C$13:$C$493,'In-out-bal products (155)(완성제품)'!B178,'JUNE (물량흐름)'!$V$13:$V$493)</f>
        <v>0</v>
      </c>
      <c r="H178" s="58">
        <f>SUMIF('JUNE (물량흐름)'!$C$13:$C$493,'In-out-bal products (155)(완성제품)'!B178,'JUNE (물량흐름)'!$T$13:$T$493)-SUMIF('JUNE (물량흐름)'!$C$13:$C$493,'In-out-bal products (155)(완성제품)'!B178,'JUNE (물량흐름)'!$Y$13:$Y$493)+SUMIF('JUNE (물량흐름)'!$C$13:$C$493,'In-out-bal products (155)(완성제품)'!B178,'JUNE (물량흐름)'!$U$13:$U$493)</f>
        <v>0</v>
      </c>
      <c r="I178" s="58">
        <f t="shared" si="66"/>
        <v>0</v>
      </c>
      <c r="J178" s="58">
        <f>SUMIF('Direct labour(직접노무비)'!$C$12:$C$503,'In-out-bal products (155)(완성제품)'!B178,'Direct labour(직접노무비)'!$Q$12:$Q$503)</f>
        <v>0</v>
      </c>
      <c r="K178" s="59">
        <f>SUMIF('Overhead exp(제조경비)'!$C$12:$C$503,'In-out-bal products (155)(완성제품)'!B178,'Overhead exp(제조경비)'!$Q$12:$Q$503)</f>
        <v>0</v>
      </c>
      <c r="L178" s="58">
        <f t="shared" si="67"/>
        <v>0</v>
      </c>
      <c r="M178" s="58">
        <f>SUMIF('JUNE (물량흐름)'!$C$13:$C$488,'In-out-bal products (155)(완성제품)'!B178,'JUNE (물량흐름)'!$Y$13:$Y$488)</f>
        <v>0</v>
      </c>
      <c r="N178" s="58">
        <f t="shared" si="68"/>
        <v>0</v>
      </c>
      <c r="O178" s="58">
        <f>SUMIF('Direct labour(직접노무비)'!$C$12:$C$503,'In-out-bal products (155)(완성제품)'!B178,'Direct labour(직접노무비)'!$U$12:$U$503)+SUMIF('Overhead exp(제조경비)'!$C$12:$C$503,'In-out-bal products (155)(완성제품)'!B178,'Overhead exp(제조경비)'!$U$12:$U$503)</f>
        <v>0</v>
      </c>
      <c r="P178" s="60">
        <f t="shared" si="69"/>
        <v>0</v>
      </c>
      <c r="Q178" s="60">
        <f t="shared" si="70"/>
        <v>0</v>
      </c>
      <c r="R178" s="60">
        <f t="shared" si="71"/>
        <v>0</v>
      </c>
      <c r="S178" s="58">
        <v>0</v>
      </c>
      <c r="T178" s="58">
        <v>0</v>
      </c>
      <c r="U178" s="58">
        <v>0</v>
      </c>
      <c r="V178" s="58">
        <f>SUMIF('JUNE (물량흐름)'!$C$13:$C$493,'In-out-bal products (155)(완성제품)'!B178,'JUNE (물량흐름)'!$W$13:$W$493)</f>
        <v>0</v>
      </c>
      <c r="W178" s="58">
        <f t="shared" si="72"/>
        <v>0</v>
      </c>
      <c r="X178" s="58">
        <f t="shared" si="73"/>
        <v>0</v>
      </c>
      <c r="Y178" s="58">
        <f>SUMIF('JUNE (물량흐름)'!$C$13:$C$488,'In-out-bal products (155)(완성제품)'!B178,'JUNE (물량흐름)'!$X$13:$X$488)</f>
        <v>0</v>
      </c>
      <c r="Z178" s="58">
        <f t="shared" si="74"/>
        <v>0</v>
      </c>
      <c r="AA178" s="58">
        <f t="shared" si="75"/>
        <v>0</v>
      </c>
      <c r="AB178" s="58"/>
      <c r="AC178" s="58"/>
      <c r="AD178" s="61"/>
      <c r="AE178" s="58">
        <f t="shared" si="76"/>
        <v>0</v>
      </c>
      <c r="AF178" s="58">
        <f t="shared" si="77"/>
        <v>0</v>
      </c>
      <c r="AG178" s="61">
        <f t="shared" si="78"/>
        <v>0</v>
      </c>
      <c r="AH178" s="58">
        <v>0</v>
      </c>
      <c r="AI178" s="58">
        <v>0</v>
      </c>
      <c r="AJ178" s="61">
        <v>0</v>
      </c>
      <c r="AK178" s="58"/>
      <c r="AL178" s="58"/>
      <c r="AM178" s="61"/>
      <c r="AN178" s="61">
        <f t="shared" si="79"/>
        <v>0</v>
      </c>
      <c r="AO178" s="58">
        <f t="shared" si="80"/>
        <v>0</v>
      </c>
      <c r="AP178" s="61">
        <f t="shared" si="81"/>
        <v>0</v>
      </c>
      <c r="AQ178" s="58">
        <f t="shared" si="82"/>
        <v>0</v>
      </c>
      <c r="AR178" s="58">
        <f t="shared" si="83"/>
        <v>0</v>
      </c>
      <c r="AS178" s="58">
        <f t="shared" si="84"/>
        <v>0</v>
      </c>
      <c r="AT178" s="58">
        <f>ROUND(SUMIF('JUNE (물량흐름)'!$C$13:$C$502,'In-out-bal products (155)(완성제품)'!B178,'JUNE (물량흐름)'!$AB$13:$AB$502),0)</f>
        <v>0</v>
      </c>
      <c r="AU178" s="58">
        <f t="shared" si="85"/>
        <v>0</v>
      </c>
      <c r="AV178" s="58">
        <f>ROUND(SUMIF('JUNE (물량흐름)'!$C$13:$C$502,'In-out-bal products (155)(완성제품)'!B178,'JUNE (물량흐름)'!$AC$13:$AC$502),0)</f>
        <v>0</v>
      </c>
      <c r="AW178" s="58">
        <f t="shared" si="86"/>
        <v>0</v>
      </c>
      <c r="AX178" s="376">
        <f t="shared" si="87"/>
        <v>0</v>
      </c>
      <c r="AY178" s="377">
        <f t="shared" si="88"/>
        <v>0</v>
      </c>
      <c r="AZ178" s="377">
        <f t="shared" si="89"/>
        <v>0</v>
      </c>
      <c r="BA178" s="377">
        <f t="shared" si="90"/>
        <v>0</v>
      </c>
      <c r="BB178" s="377"/>
      <c r="BC178" s="377">
        <f t="shared" si="91"/>
        <v>0</v>
      </c>
      <c r="BD178" s="377">
        <f t="shared" si="92"/>
        <v>0</v>
      </c>
      <c r="BE178" s="377"/>
      <c r="BF178" s="377">
        <f t="shared" si="93"/>
        <v>0</v>
      </c>
      <c r="BG178" s="433">
        <f t="shared" si="94"/>
        <v>0</v>
      </c>
      <c r="BH178" s="434">
        <f t="shared" si="95"/>
        <v>0</v>
      </c>
    </row>
    <row r="179" spans="1:60" s="378" customFormat="1">
      <c r="A179" s="167">
        <v>169</v>
      </c>
      <c r="B179" s="253">
        <f>VLOOKUP(A179,'JUNE (물량흐름)'!$A$13:$C$493,3,0)</f>
        <v>100008714</v>
      </c>
      <c r="C179" s="57" t="str">
        <f>VLOOKUP(A179,'JUNE (물량흐름)'!$A$13:$C$493,2,0)</f>
        <v>ALFANI</v>
      </c>
      <c r="D179" s="58">
        <f>IFERROR(VLOOKUP(B179,O.B.JUNE!$V$7:$Y$448,2,0),0)</f>
        <v>0</v>
      </c>
      <c r="E179" s="58">
        <f>IFERROR(VLOOKUP(B179,O.B.JUNE!$V$7:$X$448,3,0),0)</f>
        <v>0</v>
      </c>
      <c r="F179" s="58">
        <f>IFERROR(VLOOKUP(B179,O.B.JUNE!$V$7:$Y$448,4,0),0)</f>
        <v>0</v>
      </c>
      <c r="G179" s="58">
        <f>SUMIF('JUNE (물량흐름)'!$C$13:$C$493,'In-out-bal products (155)(완성제품)'!B179,'JUNE (물량흐름)'!$V$13:$V$493)</f>
        <v>0</v>
      </c>
      <c r="H179" s="58">
        <f>SUMIF('JUNE (물량흐름)'!$C$13:$C$493,'In-out-bal products (155)(완성제품)'!B179,'JUNE (물량흐름)'!$T$13:$T$493)-SUMIF('JUNE (물량흐름)'!$C$13:$C$493,'In-out-bal products (155)(완성제품)'!B179,'JUNE (물량흐름)'!$Y$13:$Y$493)+SUMIF('JUNE (물량흐름)'!$C$13:$C$493,'In-out-bal products (155)(완성제품)'!B179,'JUNE (물량흐름)'!$U$13:$U$493)</f>
        <v>0</v>
      </c>
      <c r="I179" s="58">
        <f t="shared" si="66"/>
        <v>0</v>
      </c>
      <c r="J179" s="58">
        <f>SUMIF('Direct labour(직접노무비)'!$C$12:$C$503,'In-out-bal products (155)(완성제품)'!B179,'Direct labour(직접노무비)'!$Q$12:$Q$503)</f>
        <v>0</v>
      </c>
      <c r="K179" s="59">
        <f>SUMIF('Overhead exp(제조경비)'!$C$12:$C$503,'In-out-bal products (155)(완성제품)'!B179,'Overhead exp(제조경비)'!$Q$12:$Q$503)</f>
        <v>0</v>
      </c>
      <c r="L179" s="58">
        <f t="shared" si="67"/>
        <v>0</v>
      </c>
      <c r="M179" s="58">
        <f>SUMIF('JUNE (물량흐름)'!$C$13:$C$488,'In-out-bal products (155)(완성제품)'!B179,'JUNE (물량흐름)'!$Y$13:$Y$488)</f>
        <v>0</v>
      </c>
      <c r="N179" s="58">
        <f t="shared" si="68"/>
        <v>0</v>
      </c>
      <c r="O179" s="58">
        <f>SUMIF('Direct labour(직접노무비)'!$C$12:$C$503,'In-out-bal products (155)(완성제품)'!B179,'Direct labour(직접노무비)'!$U$12:$U$503)+SUMIF('Overhead exp(제조경비)'!$C$12:$C$503,'In-out-bal products (155)(완성제품)'!B179,'Overhead exp(제조경비)'!$U$12:$U$503)</f>
        <v>0</v>
      </c>
      <c r="P179" s="60">
        <f t="shared" si="69"/>
        <v>0</v>
      </c>
      <c r="Q179" s="60">
        <f t="shared" si="70"/>
        <v>0</v>
      </c>
      <c r="R179" s="60">
        <f t="shared" si="71"/>
        <v>0</v>
      </c>
      <c r="S179" s="58">
        <v>0</v>
      </c>
      <c r="T179" s="58">
        <v>0</v>
      </c>
      <c r="U179" s="58">
        <v>0</v>
      </c>
      <c r="V179" s="58">
        <f>SUMIF('JUNE (물량흐름)'!$C$13:$C$493,'In-out-bal products (155)(완성제품)'!B179,'JUNE (물량흐름)'!$W$13:$W$493)</f>
        <v>0</v>
      </c>
      <c r="W179" s="58">
        <f t="shared" si="72"/>
        <v>0</v>
      </c>
      <c r="X179" s="58">
        <f t="shared" si="73"/>
        <v>0</v>
      </c>
      <c r="Y179" s="58">
        <f>SUMIF('JUNE (물량흐름)'!$C$13:$C$488,'In-out-bal products (155)(완성제품)'!B179,'JUNE (물량흐름)'!$X$13:$X$488)</f>
        <v>0</v>
      </c>
      <c r="Z179" s="58">
        <f t="shared" si="74"/>
        <v>0</v>
      </c>
      <c r="AA179" s="58">
        <f t="shared" si="75"/>
        <v>0</v>
      </c>
      <c r="AB179" s="58"/>
      <c r="AC179" s="58"/>
      <c r="AD179" s="61"/>
      <c r="AE179" s="58">
        <f t="shared" si="76"/>
        <v>0</v>
      </c>
      <c r="AF179" s="58">
        <f t="shared" si="77"/>
        <v>0</v>
      </c>
      <c r="AG179" s="61">
        <f t="shared" si="78"/>
        <v>0</v>
      </c>
      <c r="AH179" s="58">
        <v>0</v>
      </c>
      <c r="AI179" s="58">
        <v>0</v>
      </c>
      <c r="AJ179" s="61">
        <v>0</v>
      </c>
      <c r="AK179" s="58"/>
      <c r="AL179" s="58"/>
      <c r="AM179" s="61"/>
      <c r="AN179" s="61">
        <f t="shared" si="79"/>
        <v>0</v>
      </c>
      <c r="AO179" s="58">
        <f t="shared" si="80"/>
        <v>0</v>
      </c>
      <c r="AP179" s="61">
        <f t="shared" si="81"/>
        <v>0</v>
      </c>
      <c r="AQ179" s="58">
        <f t="shared" si="82"/>
        <v>0</v>
      </c>
      <c r="AR179" s="58">
        <f t="shared" si="83"/>
        <v>0</v>
      </c>
      <c r="AS179" s="58">
        <f t="shared" si="84"/>
        <v>0</v>
      </c>
      <c r="AT179" s="58">
        <f>ROUND(SUMIF('JUNE (물량흐름)'!$C$13:$C$502,'In-out-bal products (155)(완성제품)'!B179,'JUNE (물량흐름)'!$AB$13:$AB$502),0)</f>
        <v>0</v>
      </c>
      <c r="AU179" s="58">
        <f t="shared" si="85"/>
        <v>0</v>
      </c>
      <c r="AV179" s="58">
        <f>ROUND(SUMIF('JUNE (물량흐름)'!$C$13:$C$502,'In-out-bal products (155)(완성제품)'!B179,'JUNE (물량흐름)'!$AC$13:$AC$502),0)</f>
        <v>0</v>
      </c>
      <c r="AW179" s="58">
        <f t="shared" si="86"/>
        <v>0</v>
      </c>
      <c r="AX179" s="376">
        <f t="shared" si="87"/>
        <v>0</v>
      </c>
      <c r="AY179" s="377">
        <f t="shared" si="88"/>
        <v>0</v>
      </c>
      <c r="AZ179" s="377">
        <f t="shared" si="89"/>
        <v>0</v>
      </c>
      <c r="BA179" s="377">
        <f t="shared" si="90"/>
        <v>0</v>
      </c>
      <c r="BB179" s="377"/>
      <c r="BC179" s="377">
        <f t="shared" si="91"/>
        <v>0</v>
      </c>
      <c r="BD179" s="377">
        <f t="shared" si="92"/>
        <v>0</v>
      </c>
      <c r="BE179" s="377"/>
      <c r="BF179" s="377">
        <f t="shared" si="93"/>
        <v>0</v>
      </c>
      <c r="BG179" s="433">
        <f t="shared" si="94"/>
        <v>0</v>
      </c>
      <c r="BH179" s="434">
        <f t="shared" si="95"/>
        <v>0</v>
      </c>
    </row>
    <row r="180" spans="1:60" s="378" customFormat="1">
      <c r="A180" s="167">
        <v>170</v>
      </c>
      <c r="B180" s="253">
        <f>VLOOKUP(A180,'JUNE (물량흐름)'!$A$13:$C$493,3,0)</f>
        <v>100008716</v>
      </c>
      <c r="C180" s="57" t="str">
        <f>VLOOKUP(A180,'JUNE (물량흐름)'!$A$13:$C$493,2,0)</f>
        <v>ALFANI</v>
      </c>
      <c r="D180" s="58">
        <f>IFERROR(VLOOKUP(B180,O.B.JUNE!$V$7:$Y$448,2,0),0)</f>
        <v>0</v>
      </c>
      <c r="E180" s="58">
        <f>IFERROR(VLOOKUP(B180,O.B.JUNE!$V$7:$X$448,3,0),0)</f>
        <v>0</v>
      </c>
      <c r="F180" s="58">
        <f>IFERROR(VLOOKUP(B180,O.B.JUNE!$V$7:$Y$448,4,0),0)</f>
        <v>0</v>
      </c>
      <c r="G180" s="58">
        <f>SUMIF('JUNE (물량흐름)'!$C$13:$C$493,'In-out-bal products (155)(완성제품)'!B180,'JUNE (물량흐름)'!$V$13:$V$493)</f>
        <v>0</v>
      </c>
      <c r="H180" s="58">
        <f>SUMIF('JUNE (물량흐름)'!$C$13:$C$493,'In-out-bal products (155)(완성제품)'!B180,'JUNE (물량흐름)'!$T$13:$T$493)-SUMIF('JUNE (물량흐름)'!$C$13:$C$493,'In-out-bal products (155)(완성제품)'!B180,'JUNE (물량흐름)'!$Y$13:$Y$493)+SUMIF('JUNE (물량흐름)'!$C$13:$C$493,'In-out-bal products (155)(완성제품)'!B180,'JUNE (물량흐름)'!$U$13:$U$493)</f>
        <v>0</v>
      </c>
      <c r="I180" s="58">
        <f t="shared" si="66"/>
        <v>0</v>
      </c>
      <c r="J180" s="58">
        <f>SUMIF('Direct labour(직접노무비)'!$C$12:$C$503,'In-out-bal products (155)(완성제품)'!B180,'Direct labour(직접노무비)'!$Q$12:$Q$503)</f>
        <v>0</v>
      </c>
      <c r="K180" s="59">
        <f>SUMIF('Overhead exp(제조경비)'!$C$12:$C$503,'In-out-bal products (155)(완성제품)'!B180,'Overhead exp(제조경비)'!$Q$12:$Q$503)</f>
        <v>0</v>
      </c>
      <c r="L180" s="58">
        <f t="shared" si="67"/>
        <v>0</v>
      </c>
      <c r="M180" s="58">
        <f>SUMIF('JUNE (물량흐름)'!$C$13:$C$488,'In-out-bal products (155)(완성제품)'!B180,'JUNE (물량흐름)'!$Y$13:$Y$488)</f>
        <v>0</v>
      </c>
      <c r="N180" s="58">
        <f t="shared" si="68"/>
        <v>0</v>
      </c>
      <c r="O180" s="58">
        <f>SUMIF('Direct labour(직접노무비)'!$C$12:$C$503,'In-out-bal products (155)(완성제품)'!B180,'Direct labour(직접노무비)'!$U$12:$U$503)+SUMIF('Overhead exp(제조경비)'!$C$12:$C$503,'In-out-bal products (155)(완성제품)'!B180,'Overhead exp(제조경비)'!$U$12:$U$503)</f>
        <v>0</v>
      </c>
      <c r="P180" s="60">
        <f t="shared" si="69"/>
        <v>0</v>
      </c>
      <c r="Q180" s="60">
        <f t="shared" si="70"/>
        <v>0</v>
      </c>
      <c r="R180" s="60">
        <f t="shared" si="71"/>
        <v>0</v>
      </c>
      <c r="S180" s="58">
        <v>0</v>
      </c>
      <c r="T180" s="58">
        <v>0</v>
      </c>
      <c r="U180" s="58">
        <v>0</v>
      </c>
      <c r="V180" s="58">
        <f>SUMIF('JUNE (물량흐름)'!$C$13:$C$493,'In-out-bal products (155)(완성제품)'!B180,'JUNE (물량흐름)'!$W$13:$W$493)</f>
        <v>0</v>
      </c>
      <c r="W180" s="58">
        <f t="shared" si="72"/>
        <v>0</v>
      </c>
      <c r="X180" s="58">
        <f t="shared" si="73"/>
        <v>0</v>
      </c>
      <c r="Y180" s="58">
        <f>SUMIF('JUNE (물량흐름)'!$C$13:$C$488,'In-out-bal products (155)(완성제품)'!B180,'JUNE (물량흐름)'!$X$13:$X$488)</f>
        <v>0</v>
      </c>
      <c r="Z180" s="58">
        <f t="shared" si="74"/>
        <v>0</v>
      </c>
      <c r="AA180" s="58">
        <f t="shared" si="75"/>
        <v>0</v>
      </c>
      <c r="AB180" s="58"/>
      <c r="AC180" s="58"/>
      <c r="AD180" s="61"/>
      <c r="AE180" s="58">
        <f t="shared" si="76"/>
        <v>0</v>
      </c>
      <c r="AF180" s="58">
        <f t="shared" si="77"/>
        <v>0</v>
      </c>
      <c r="AG180" s="61">
        <f t="shared" si="78"/>
        <v>0</v>
      </c>
      <c r="AH180" s="58">
        <v>0</v>
      </c>
      <c r="AI180" s="58">
        <v>0</v>
      </c>
      <c r="AJ180" s="61">
        <v>0</v>
      </c>
      <c r="AK180" s="58"/>
      <c r="AL180" s="58"/>
      <c r="AM180" s="61"/>
      <c r="AN180" s="61">
        <f t="shared" si="79"/>
        <v>0</v>
      </c>
      <c r="AO180" s="58">
        <f t="shared" si="80"/>
        <v>0</v>
      </c>
      <c r="AP180" s="61">
        <f t="shared" si="81"/>
        <v>0</v>
      </c>
      <c r="AQ180" s="58">
        <f t="shared" si="82"/>
        <v>0</v>
      </c>
      <c r="AR180" s="58">
        <f t="shared" si="83"/>
        <v>0</v>
      </c>
      <c r="AS180" s="58">
        <f t="shared" si="84"/>
        <v>0</v>
      </c>
      <c r="AT180" s="58">
        <f>ROUND(SUMIF('JUNE (물량흐름)'!$C$13:$C$502,'In-out-bal products (155)(완성제품)'!B180,'JUNE (물량흐름)'!$AB$13:$AB$502),0)</f>
        <v>0</v>
      </c>
      <c r="AU180" s="58">
        <f t="shared" si="85"/>
        <v>0</v>
      </c>
      <c r="AV180" s="58">
        <f>ROUND(SUMIF('JUNE (물량흐름)'!$C$13:$C$502,'In-out-bal products (155)(완성제품)'!B180,'JUNE (물량흐름)'!$AC$13:$AC$502),0)</f>
        <v>0</v>
      </c>
      <c r="AW180" s="58">
        <f t="shared" si="86"/>
        <v>0</v>
      </c>
      <c r="AX180" s="376">
        <f t="shared" si="87"/>
        <v>0</v>
      </c>
      <c r="AY180" s="377">
        <f t="shared" si="88"/>
        <v>0</v>
      </c>
      <c r="AZ180" s="377">
        <f t="shared" si="89"/>
        <v>0</v>
      </c>
      <c r="BA180" s="377">
        <f t="shared" si="90"/>
        <v>0</v>
      </c>
      <c r="BB180" s="377"/>
      <c r="BC180" s="377">
        <f t="shared" si="91"/>
        <v>0</v>
      </c>
      <c r="BD180" s="377">
        <f t="shared" si="92"/>
        <v>0</v>
      </c>
      <c r="BE180" s="377"/>
      <c r="BF180" s="377">
        <f t="shared" si="93"/>
        <v>0</v>
      </c>
      <c r="BG180" s="433">
        <f t="shared" si="94"/>
        <v>0</v>
      </c>
      <c r="BH180" s="434">
        <f t="shared" si="95"/>
        <v>0</v>
      </c>
    </row>
    <row r="181" spans="1:60" s="378" customFormat="1">
      <c r="A181" s="167">
        <v>171</v>
      </c>
      <c r="B181" s="253">
        <f>VLOOKUP(A181,'JUNE (물량흐름)'!$A$13:$C$493,3,0)</f>
        <v>100008730</v>
      </c>
      <c r="C181" s="57" t="str">
        <f>VLOOKUP(A181,'JUNE (물량흐름)'!$A$13:$C$493,2,0)</f>
        <v>ALFANI</v>
      </c>
      <c r="D181" s="58">
        <f>IFERROR(VLOOKUP(B181,O.B.JUNE!$V$7:$Y$448,2,0),0)</f>
        <v>0</v>
      </c>
      <c r="E181" s="58">
        <f>IFERROR(VLOOKUP(B181,O.B.JUNE!$V$7:$X$448,3,0),0)</f>
        <v>0</v>
      </c>
      <c r="F181" s="58">
        <f>IFERROR(VLOOKUP(B181,O.B.JUNE!$V$7:$Y$448,4,0),0)</f>
        <v>0</v>
      </c>
      <c r="G181" s="58">
        <f>SUMIF('JUNE (물량흐름)'!$C$13:$C$493,'In-out-bal products (155)(완성제품)'!B181,'JUNE (물량흐름)'!$V$13:$V$493)</f>
        <v>0</v>
      </c>
      <c r="H181" s="58">
        <f>SUMIF('JUNE (물량흐름)'!$C$13:$C$493,'In-out-bal products (155)(완성제품)'!B181,'JUNE (물량흐름)'!$T$13:$T$493)-SUMIF('JUNE (물량흐름)'!$C$13:$C$493,'In-out-bal products (155)(완성제품)'!B181,'JUNE (물량흐름)'!$Y$13:$Y$493)+SUMIF('JUNE (물량흐름)'!$C$13:$C$493,'In-out-bal products (155)(완성제품)'!B181,'JUNE (물량흐름)'!$U$13:$U$493)</f>
        <v>0</v>
      </c>
      <c r="I181" s="58">
        <f t="shared" si="66"/>
        <v>0</v>
      </c>
      <c r="J181" s="58">
        <f>SUMIF('Direct labour(직접노무비)'!$C$12:$C$503,'In-out-bal products (155)(완성제품)'!B181,'Direct labour(직접노무비)'!$Q$12:$Q$503)</f>
        <v>0</v>
      </c>
      <c r="K181" s="59">
        <f>SUMIF('Overhead exp(제조경비)'!$C$12:$C$503,'In-out-bal products (155)(완성제품)'!B181,'Overhead exp(제조경비)'!$Q$12:$Q$503)</f>
        <v>0</v>
      </c>
      <c r="L181" s="58">
        <f t="shared" si="67"/>
        <v>0</v>
      </c>
      <c r="M181" s="58">
        <f>SUMIF('JUNE (물량흐름)'!$C$13:$C$488,'In-out-bal products (155)(완성제품)'!B181,'JUNE (물량흐름)'!$Y$13:$Y$488)</f>
        <v>0</v>
      </c>
      <c r="N181" s="58">
        <f t="shared" si="68"/>
        <v>0</v>
      </c>
      <c r="O181" s="58">
        <f>SUMIF('Direct labour(직접노무비)'!$C$12:$C$503,'In-out-bal products (155)(완성제품)'!B181,'Direct labour(직접노무비)'!$U$12:$U$503)+SUMIF('Overhead exp(제조경비)'!$C$12:$C$503,'In-out-bal products (155)(완성제품)'!B181,'Overhead exp(제조경비)'!$U$12:$U$503)</f>
        <v>0</v>
      </c>
      <c r="P181" s="60">
        <f t="shared" si="69"/>
        <v>0</v>
      </c>
      <c r="Q181" s="60">
        <f t="shared" si="70"/>
        <v>0</v>
      </c>
      <c r="R181" s="60">
        <f t="shared" si="71"/>
        <v>0</v>
      </c>
      <c r="S181" s="58">
        <v>0</v>
      </c>
      <c r="T181" s="58">
        <v>0</v>
      </c>
      <c r="U181" s="58">
        <v>0</v>
      </c>
      <c r="V181" s="58">
        <f>SUMIF('JUNE (물량흐름)'!$C$13:$C$493,'In-out-bal products (155)(완성제품)'!B181,'JUNE (물량흐름)'!$W$13:$W$493)</f>
        <v>0</v>
      </c>
      <c r="W181" s="58">
        <f t="shared" si="72"/>
        <v>0</v>
      </c>
      <c r="X181" s="58">
        <f t="shared" si="73"/>
        <v>0</v>
      </c>
      <c r="Y181" s="58">
        <f>SUMIF('JUNE (물량흐름)'!$C$13:$C$488,'In-out-bal products (155)(완성제품)'!B181,'JUNE (물량흐름)'!$X$13:$X$488)</f>
        <v>0</v>
      </c>
      <c r="Z181" s="58">
        <f t="shared" si="74"/>
        <v>0</v>
      </c>
      <c r="AA181" s="58">
        <f t="shared" si="75"/>
        <v>0</v>
      </c>
      <c r="AB181" s="58"/>
      <c r="AC181" s="58"/>
      <c r="AD181" s="61"/>
      <c r="AE181" s="58">
        <f t="shared" si="76"/>
        <v>0</v>
      </c>
      <c r="AF181" s="58">
        <f t="shared" si="77"/>
        <v>0</v>
      </c>
      <c r="AG181" s="61">
        <f t="shared" si="78"/>
        <v>0</v>
      </c>
      <c r="AH181" s="58">
        <v>0</v>
      </c>
      <c r="AI181" s="58">
        <v>0</v>
      </c>
      <c r="AJ181" s="61">
        <v>0</v>
      </c>
      <c r="AK181" s="58"/>
      <c r="AL181" s="58"/>
      <c r="AM181" s="61"/>
      <c r="AN181" s="61">
        <f t="shared" si="79"/>
        <v>0</v>
      </c>
      <c r="AO181" s="58">
        <f t="shared" si="80"/>
        <v>0</v>
      </c>
      <c r="AP181" s="61">
        <f t="shared" si="81"/>
        <v>0</v>
      </c>
      <c r="AQ181" s="58">
        <f t="shared" si="82"/>
        <v>0</v>
      </c>
      <c r="AR181" s="58">
        <f t="shared" si="83"/>
        <v>0</v>
      </c>
      <c r="AS181" s="58">
        <f t="shared" si="84"/>
        <v>0</v>
      </c>
      <c r="AT181" s="58">
        <f>ROUND(SUMIF('JUNE (물량흐름)'!$C$13:$C$502,'In-out-bal products (155)(완성제품)'!B181,'JUNE (물량흐름)'!$AB$13:$AB$502),0)</f>
        <v>0</v>
      </c>
      <c r="AU181" s="58">
        <f t="shared" si="85"/>
        <v>0</v>
      </c>
      <c r="AV181" s="58">
        <f>ROUND(SUMIF('JUNE (물량흐름)'!$C$13:$C$502,'In-out-bal products (155)(완성제품)'!B181,'JUNE (물량흐름)'!$AC$13:$AC$502),0)</f>
        <v>0</v>
      </c>
      <c r="AW181" s="58">
        <f t="shared" si="86"/>
        <v>0</v>
      </c>
      <c r="AX181" s="376">
        <f t="shared" si="87"/>
        <v>0</v>
      </c>
      <c r="AY181" s="377">
        <f t="shared" si="88"/>
        <v>0</v>
      </c>
      <c r="AZ181" s="377">
        <f t="shared" si="89"/>
        <v>0</v>
      </c>
      <c r="BA181" s="377">
        <f t="shared" si="90"/>
        <v>0</v>
      </c>
      <c r="BB181" s="377"/>
      <c r="BC181" s="377">
        <f t="shared" si="91"/>
        <v>0</v>
      </c>
      <c r="BD181" s="377">
        <f t="shared" si="92"/>
        <v>0</v>
      </c>
      <c r="BE181" s="377"/>
      <c r="BF181" s="377">
        <f t="shared" si="93"/>
        <v>0</v>
      </c>
      <c r="BG181" s="433">
        <f t="shared" si="94"/>
        <v>0</v>
      </c>
      <c r="BH181" s="434">
        <f t="shared" si="95"/>
        <v>0</v>
      </c>
    </row>
    <row r="182" spans="1:60" s="378" customFormat="1">
      <c r="A182" s="167">
        <v>172</v>
      </c>
      <c r="B182" s="253">
        <f>VLOOKUP(A182,'JUNE (물량흐름)'!$A$13:$C$493,3,0)</f>
        <v>100008747</v>
      </c>
      <c r="C182" s="57" t="str">
        <f>VLOOKUP(A182,'JUNE (물량흐름)'!$A$13:$C$493,2,0)</f>
        <v>ALFANI</v>
      </c>
      <c r="D182" s="58">
        <f>IFERROR(VLOOKUP(B182,O.B.JUNE!$V$7:$Y$448,2,0),0)</f>
        <v>0</v>
      </c>
      <c r="E182" s="58">
        <f>IFERROR(VLOOKUP(B182,O.B.JUNE!$V$7:$X$448,3,0),0)</f>
        <v>0</v>
      </c>
      <c r="F182" s="58">
        <f>IFERROR(VLOOKUP(B182,O.B.JUNE!$V$7:$Y$448,4,0),0)</f>
        <v>0</v>
      </c>
      <c r="G182" s="58">
        <f>SUMIF('JUNE (물량흐름)'!$C$13:$C$493,'In-out-bal products (155)(완성제품)'!B182,'JUNE (물량흐름)'!$V$13:$V$493)</f>
        <v>0</v>
      </c>
      <c r="H182" s="58">
        <f>SUMIF('JUNE (물량흐름)'!$C$13:$C$493,'In-out-bal products (155)(완성제품)'!B182,'JUNE (물량흐름)'!$T$13:$T$493)-SUMIF('JUNE (물량흐름)'!$C$13:$C$493,'In-out-bal products (155)(완성제품)'!B182,'JUNE (물량흐름)'!$Y$13:$Y$493)+SUMIF('JUNE (물량흐름)'!$C$13:$C$493,'In-out-bal products (155)(완성제품)'!B182,'JUNE (물량흐름)'!$U$13:$U$493)</f>
        <v>0</v>
      </c>
      <c r="I182" s="58">
        <f t="shared" si="66"/>
        <v>0</v>
      </c>
      <c r="J182" s="58">
        <f>SUMIF('Direct labour(직접노무비)'!$C$12:$C$503,'In-out-bal products (155)(완성제품)'!B182,'Direct labour(직접노무비)'!$Q$12:$Q$503)</f>
        <v>0</v>
      </c>
      <c r="K182" s="59">
        <f>SUMIF('Overhead exp(제조경비)'!$C$12:$C$503,'In-out-bal products (155)(완성제품)'!B182,'Overhead exp(제조경비)'!$Q$12:$Q$503)</f>
        <v>0</v>
      </c>
      <c r="L182" s="58">
        <f t="shared" si="67"/>
        <v>0</v>
      </c>
      <c r="M182" s="58">
        <f>SUMIF('JUNE (물량흐름)'!$C$13:$C$488,'In-out-bal products (155)(완성제품)'!B182,'JUNE (물량흐름)'!$Y$13:$Y$488)</f>
        <v>0</v>
      </c>
      <c r="N182" s="58">
        <f t="shared" si="68"/>
        <v>0</v>
      </c>
      <c r="O182" s="58">
        <f>SUMIF('Direct labour(직접노무비)'!$C$12:$C$503,'In-out-bal products (155)(완성제품)'!B182,'Direct labour(직접노무비)'!$U$12:$U$503)+SUMIF('Overhead exp(제조경비)'!$C$12:$C$503,'In-out-bal products (155)(완성제품)'!B182,'Overhead exp(제조경비)'!$U$12:$U$503)</f>
        <v>0</v>
      </c>
      <c r="P182" s="60">
        <f t="shared" si="69"/>
        <v>0</v>
      </c>
      <c r="Q182" s="60">
        <f t="shared" si="70"/>
        <v>0</v>
      </c>
      <c r="R182" s="60">
        <f t="shared" si="71"/>
        <v>0</v>
      </c>
      <c r="S182" s="58">
        <v>0</v>
      </c>
      <c r="T182" s="58">
        <v>0</v>
      </c>
      <c r="U182" s="58">
        <v>0</v>
      </c>
      <c r="V182" s="58">
        <f>SUMIF('JUNE (물량흐름)'!$C$13:$C$493,'In-out-bal products (155)(완성제품)'!B182,'JUNE (물량흐름)'!$W$13:$W$493)</f>
        <v>0</v>
      </c>
      <c r="W182" s="58">
        <f t="shared" si="72"/>
        <v>0</v>
      </c>
      <c r="X182" s="58">
        <f t="shared" si="73"/>
        <v>0</v>
      </c>
      <c r="Y182" s="58">
        <f>SUMIF('JUNE (물량흐름)'!$C$13:$C$488,'In-out-bal products (155)(완성제품)'!B182,'JUNE (물량흐름)'!$X$13:$X$488)</f>
        <v>0</v>
      </c>
      <c r="Z182" s="58">
        <f t="shared" si="74"/>
        <v>0</v>
      </c>
      <c r="AA182" s="58">
        <f t="shared" si="75"/>
        <v>0</v>
      </c>
      <c r="AB182" s="58"/>
      <c r="AC182" s="58"/>
      <c r="AD182" s="61"/>
      <c r="AE182" s="58">
        <f t="shared" si="76"/>
        <v>0</v>
      </c>
      <c r="AF182" s="58">
        <f t="shared" si="77"/>
        <v>0</v>
      </c>
      <c r="AG182" s="61">
        <f t="shared" si="78"/>
        <v>0</v>
      </c>
      <c r="AH182" s="58">
        <v>0</v>
      </c>
      <c r="AI182" s="58">
        <v>0</v>
      </c>
      <c r="AJ182" s="61">
        <v>0</v>
      </c>
      <c r="AK182" s="58"/>
      <c r="AL182" s="58"/>
      <c r="AM182" s="61"/>
      <c r="AN182" s="61">
        <f t="shared" si="79"/>
        <v>0</v>
      </c>
      <c r="AO182" s="58">
        <f t="shared" si="80"/>
        <v>0</v>
      </c>
      <c r="AP182" s="61">
        <f t="shared" si="81"/>
        <v>0</v>
      </c>
      <c r="AQ182" s="58">
        <f t="shared" si="82"/>
        <v>0</v>
      </c>
      <c r="AR182" s="58">
        <f t="shared" si="83"/>
        <v>0</v>
      </c>
      <c r="AS182" s="58">
        <f t="shared" si="84"/>
        <v>0</v>
      </c>
      <c r="AT182" s="58">
        <f>ROUND(SUMIF('JUNE (물량흐름)'!$C$13:$C$502,'In-out-bal products (155)(완성제품)'!B182,'JUNE (물량흐름)'!$AB$13:$AB$502),0)</f>
        <v>0</v>
      </c>
      <c r="AU182" s="58">
        <f t="shared" si="85"/>
        <v>0</v>
      </c>
      <c r="AV182" s="58">
        <f>ROUND(SUMIF('JUNE (물량흐름)'!$C$13:$C$502,'In-out-bal products (155)(완성제품)'!B182,'JUNE (물량흐름)'!$AC$13:$AC$502),0)</f>
        <v>0</v>
      </c>
      <c r="AW182" s="58">
        <f t="shared" si="86"/>
        <v>0</v>
      </c>
      <c r="AX182" s="376">
        <f t="shared" si="87"/>
        <v>0</v>
      </c>
      <c r="AY182" s="377">
        <f t="shared" si="88"/>
        <v>0</v>
      </c>
      <c r="AZ182" s="377">
        <f t="shared" si="89"/>
        <v>0</v>
      </c>
      <c r="BA182" s="377">
        <f t="shared" si="90"/>
        <v>0</v>
      </c>
      <c r="BB182" s="377"/>
      <c r="BC182" s="377">
        <f t="shared" si="91"/>
        <v>0</v>
      </c>
      <c r="BD182" s="377">
        <f t="shared" si="92"/>
        <v>0</v>
      </c>
      <c r="BE182" s="377"/>
      <c r="BF182" s="377">
        <f t="shared" si="93"/>
        <v>0</v>
      </c>
      <c r="BG182" s="433">
        <f t="shared" si="94"/>
        <v>0</v>
      </c>
      <c r="BH182" s="434">
        <f t="shared" si="95"/>
        <v>0</v>
      </c>
    </row>
    <row r="183" spans="1:60" s="378" customFormat="1">
      <c r="A183" s="167">
        <v>173</v>
      </c>
      <c r="B183" s="253">
        <f>VLOOKUP(A183,'JUNE (물량흐름)'!$A$13:$C$493,3,0)</f>
        <v>100008749</v>
      </c>
      <c r="C183" s="57" t="str">
        <f>VLOOKUP(A183,'JUNE (물량흐름)'!$A$13:$C$493,2,0)</f>
        <v>ALFANI</v>
      </c>
      <c r="D183" s="58">
        <f>IFERROR(VLOOKUP(B183,O.B.JUNE!$V$7:$Y$448,2,0),0)</f>
        <v>0</v>
      </c>
      <c r="E183" s="58">
        <f>IFERROR(VLOOKUP(B183,O.B.JUNE!$V$7:$X$448,3,0),0)</f>
        <v>0</v>
      </c>
      <c r="F183" s="58">
        <f>IFERROR(VLOOKUP(B183,O.B.JUNE!$V$7:$Y$448,4,0),0)</f>
        <v>0</v>
      </c>
      <c r="G183" s="58">
        <f>SUMIF('JUNE (물량흐름)'!$C$13:$C$493,'In-out-bal products (155)(완성제품)'!B183,'JUNE (물량흐름)'!$V$13:$V$493)</f>
        <v>0</v>
      </c>
      <c r="H183" s="58">
        <f>SUMIF('JUNE (물량흐름)'!$C$13:$C$493,'In-out-bal products (155)(완성제품)'!B183,'JUNE (물량흐름)'!$T$13:$T$493)-SUMIF('JUNE (물량흐름)'!$C$13:$C$493,'In-out-bal products (155)(완성제품)'!B183,'JUNE (물량흐름)'!$Y$13:$Y$493)+SUMIF('JUNE (물량흐름)'!$C$13:$C$493,'In-out-bal products (155)(완성제품)'!B183,'JUNE (물량흐름)'!$U$13:$U$493)</f>
        <v>0</v>
      </c>
      <c r="I183" s="58">
        <f t="shared" si="66"/>
        <v>0</v>
      </c>
      <c r="J183" s="58">
        <f>SUMIF('Direct labour(직접노무비)'!$C$12:$C$503,'In-out-bal products (155)(완성제품)'!B183,'Direct labour(직접노무비)'!$Q$12:$Q$503)</f>
        <v>0</v>
      </c>
      <c r="K183" s="59">
        <f>SUMIF('Overhead exp(제조경비)'!$C$12:$C$503,'In-out-bal products (155)(완성제품)'!B183,'Overhead exp(제조경비)'!$Q$12:$Q$503)</f>
        <v>0</v>
      </c>
      <c r="L183" s="58">
        <f t="shared" si="67"/>
        <v>0</v>
      </c>
      <c r="M183" s="58">
        <f>SUMIF('JUNE (물량흐름)'!$C$13:$C$488,'In-out-bal products (155)(완성제품)'!B183,'JUNE (물량흐름)'!$Y$13:$Y$488)</f>
        <v>0</v>
      </c>
      <c r="N183" s="58">
        <f t="shared" si="68"/>
        <v>0</v>
      </c>
      <c r="O183" s="58">
        <f>SUMIF('Direct labour(직접노무비)'!$C$12:$C$503,'In-out-bal products (155)(완성제품)'!B183,'Direct labour(직접노무비)'!$U$12:$U$503)+SUMIF('Overhead exp(제조경비)'!$C$12:$C$503,'In-out-bal products (155)(완성제품)'!B183,'Overhead exp(제조경비)'!$U$12:$U$503)</f>
        <v>0</v>
      </c>
      <c r="P183" s="60">
        <f t="shared" si="69"/>
        <v>0</v>
      </c>
      <c r="Q183" s="60">
        <f t="shared" si="70"/>
        <v>0</v>
      </c>
      <c r="R183" s="60">
        <f t="shared" si="71"/>
        <v>0</v>
      </c>
      <c r="S183" s="58">
        <v>0</v>
      </c>
      <c r="T183" s="58">
        <v>0</v>
      </c>
      <c r="U183" s="58">
        <v>0</v>
      </c>
      <c r="V183" s="58">
        <f>SUMIF('JUNE (물량흐름)'!$C$13:$C$493,'In-out-bal products (155)(완성제품)'!B183,'JUNE (물량흐름)'!$W$13:$W$493)</f>
        <v>0</v>
      </c>
      <c r="W183" s="58">
        <f t="shared" si="72"/>
        <v>0</v>
      </c>
      <c r="X183" s="58">
        <f t="shared" si="73"/>
        <v>0</v>
      </c>
      <c r="Y183" s="58">
        <f>SUMIF('JUNE (물량흐름)'!$C$13:$C$488,'In-out-bal products (155)(완성제품)'!B183,'JUNE (물량흐름)'!$X$13:$X$488)</f>
        <v>0</v>
      </c>
      <c r="Z183" s="58">
        <f t="shared" si="74"/>
        <v>0</v>
      </c>
      <c r="AA183" s="58">
        <f t="shared" si="75"/>
        <v>0</v>
      </c>
      <c r="AB183" s="58"/>
      <c r="AC183" s="58"/>
      <c r="AD183" s="61"/>
      <c r="AE183" s="58">
        <f t="shared" si="76"/>
        <v>0</v>
      </c>
      <c r="AF183" s="58">
        <f t="shared" si="77"/>
        <v>0</v>
      </c>
      <c r="AG183" s="61">
        <f t="shared" si="78"/>
        <v>0</v>
      </c>
      <c r="AH183" s="58">
        <v>0</v>
      </c>
      <c r="AI183" s="58">
        <v>0</v>
      </c>
      <c r="AJ183" s="61">
        <v>0</v>
      </c>
      <c r="AK183" s="58"/>
      <c r="AL183" s="58"/>
      <c r="AM183" s="61"/>
      <c r="AN183" s="61">
        <f t="shared" si="79"/>
        <v>0</v>
      </c>
      <c r="AO183" s="58">
        <f t="shared" si="80"/>
        <v>0</v>
      </c>
      <c r="AP183" s="61">
        <f t="shared" si="81"/>
        <v>0</v>
      </c>
      <c r="AQ183" s="58">
        <f t="shared" si="82"/>
        <v>0</v>
      </c>
      <c r="AR183" s="58">
        <f t="shared" si="83"/>
        <v>0</v>
      </c>
      <c r="AS183" s="58">
        <f t="shared" si="84"/>
        <v>0</v>
      </c>
      <c r="AT183" s="58">
        <f>ROUND(SUMIF('JUNE (물량흐름)'!$C$13:$C$502,'In-out-bal products (155)(완성제품)'!B183,'JUNE (물량흐름)'!$AB$13:$AB$502),0)</f>
        <v>0</v>
      </c>
      <c r="AU183" s="58">
        <f t="shared" si="85"/>
        <v>0</v>
      </c>
      <c r="AV183" s="58">
        <f>ROUND(SUMIF('JUNE (물량흐름)'!$C$13:$C$502,'In-out-bal products (155)(완성제품)'!B183,'JUNE (물량흐름)'!$AC$13:$AC$502),0)</f>
        <v>0</v>
      </c>
      <c r="AW183" s="58">
        <f t="shared" si="86"/>
        <v>0</v>
      </c>
      <c r="AX183" s="376">
        <f t="shared" si="87"/>
        <v>0</v>
      </c>
      <c r="AY183" s="377">
        <f t="shared" si="88"/>
        <v>0</v>
      </c>
      <c r="AZ183" s="377">
        <f t="shared" si="89"/>
        <v>0</v>
      </c>
      <c r="BA183" s="377">
        <f t="shared" si="90"/>
        <v>0</v>
      </c>
      <c r="BB183" s="377"/>
      <c r="BC183" s="377">
        <f t="shared" si="91"/>
        <v>0</v>
      </c>
      <c r="BD183" s="377">
        <f t="shared" si="92"/>
        <v>0</v>
      </c>
      <c r="BE183" s="377"/>
      <c r="BF183" s="377">
        <f t="shared" si="93"/>
        <v>0</v>
      </c>
      <c r="BG183" s="433">
        <f t="shared" si="94"/>
        <v>0</v>
      </c>
      <c r="BH183" s="434">
        <f t="shared" si="95"/>
        <v>0</v>
      </c>
    </row>
    <row r="184" spans="1:60" s="378" customFormat="1">
      <c r="A184" s="167">
        <v>174</v>
      </c>
      <c r="B184" s="253">
        <f>VLOOKUP(A184,'JUNE (물량흐름)'!$A$13:$C$493,3,0)</f>
        <v>100008773</v>
      </c>
      <c r="C184" s="57" t="str">
        <f>VLOOKUP(A184,'JUNE (물량흐름)'!$A$13:$C$493,2,0)</f>
        <v>ALFANI</v>
      </c>
      <c r="D184" s="58">
        <f>IFERROR(VLOOKUP(B184,O.B.JUNE!$V$7:$Y$448,2,0),0)</f>
        <v>0</v>
      </c>
      <c r="E184" s="58">
        <f>IFERROR(VLOOKUP(B184,O.B.JUNE!$V$7:$X$448,3,0),0)</f>
        <v>0</v>
      </c>
      <c r="F184" s="58">
        <f>IFERROR(VLOOKUP(B184,O.B.JUNE!$V$7:$Y$448,4,0),0)</f>
        <v>0</v>
      </c>
      <c r="G184" s="58">
        <f>SUMIF('JUNE (물량흐름)'!$C$13:$C$493,'In-out-bal products (155)(완성제품)'!B184,'JUNE (물량흐름)'!$V$13:$V$493)</f>
        <v>0</v>
      </c>
      <c r="H184" s="58">
        <f>SUMIF('JUNE (물량흐름)'!$C$13:$C$493,'In-out-bal products (155)(완성제품)'!B184,'JUNE (물량흐름)'!$T$13:$T$493)-SUMIF('JUNE (물량흐름)'!$C$13:$C$493,'In-out-bal products (155)(완성제품)'!B184,'JUNE (물량흐름)'!$Y$13:$Y$493)+SUMIF('JUNE (물량흐름)'!$C$13:$C$493,'In-out-bal products (155)(완성제품)'!B184,'JUNE (물량흐름)'!$U$13:$U$493)</f>
        <v>0</v>
      </c>
      <c r="I184" s="58">
        <f t="shared" si="66"/>
        <v>0</v>
      </c>
      <c r="J184" s="58">
        <f>SUMIF('Direct labour(직접노무비)'!$C$12:$C$503,'In-out-bal products (155)(완성제품)'!B184,'Direct labour(직접노무비)'!$Q$12:$Q$503)</f>
        <v>0</v>
      </c>
      <c r="K184" s="59">
        <f>SUMIF('Overhead exp(제조경비)'!$C$12:$C$503,'In-out-bal products (155)(완성제품)'!B184,'Overhead exp(제조경비)'!$Q$12:$Q$503)</f>
        <v>0</v>
      </c>
      <c r="L184" s="58">
        <f t="shared" si="67"/>
        <v>0</v>
      </c>
      <c r="M184" s="58">
        <f>SUMIF('JUNE (물량흐름)'!$C$13:$C$488,'In-out-bal products (155)(완성제품)'!B184,'JUNE (물량흐름)'!$Y$13:$Y$488)</f>
        <v>0</v>
      </c>
      <c r="N184" s="58">
        <f t="shared" si="68"/>
        <v>0</v>
      </c>
      <c r="O184" s="58">
        <f>SUMIF('Direct labour(직접노무비)'!$C$12:$C$503,'In-out-bal products (155)(완성제품)'!B184,'Direct labour(직접노무비)'!$U$12:$U$503)+SUMIF('Overhead exp(제조경비)'!$C$12:$C$503,'In-out-bal products (155)(완성제품)'!B184,'Overhead exp(제조경비)'!$U$12:$U$503)</f>
        <v>0</v>
      </c>
      <c r="P184" s="60">
        <f t="shared" si="69"/>
        <v>0</v>
      </c>
      <c r="Q184" s="60">
        <f t="shared" si="70"/>
        <v>0</v>
      </c>
      <c r="R184" s="60">
        <f t="shared" si="71"/>
        <v>0</v>
      </c>
      <c r="S184" s="58">
        <v>0</v>
      </c>
      <c r="T184" s="58">
        <v>0</v>
      </c>
      <c r="U184" s="58">
        <v>0</v>
      </c>
      <c r="V184" s="58">
        <f>SUMIF('JUNE (물량흐름)'!$C$13:$C$493,'In-out-bal products (155)(완성제품)'!B184,'JUNE (물량흐름)'!$W$13:$W$493)</f>
        <v>0</v>
      </c>
      <c r="W184" s="58">
        <f t="shared" si="72"/>
        <v>0</v>
      </c>
      <c r="X184" s="58">
        <f t="shared" si="73"/>
        <v>0</v>
      </c>
      <c r="Y184" s="58">
        <f>SUMIF('JUNE (물량흐름)'!$C$13:$C$488,'In-out-bal products (155)(완성제품)'!B184,'JUNE (물량흐름)'!$X$13:$X$488)</f>
        <v>0</v>
      </c>
      <c r="Z184" s="58">
        <f t="shared" si="74"/>
        <v>0</v>
      </c>
      <c r="AA184" s="58">
        <f t="shared" si="75"/>
        <v>0</v>
      </c>
      <c r="AB184" s="58"/>
      <c r="AC184" s="58"/>
      <c r="AD184" s="61"/>
      <c r="AE184" s="58">
        <f t="shared" si="76"/>
        <v>0</v>
      </c>
      <c r="AF184" s="58">
        <f t="shared" si="77"/>
        <v>0</v>
      </c>
      <c r="AG184" s="61">
        <f t="shared" si="78"/>
        <v>0</v>
      </c>
      <c r="AH184" s="58">
        <v>0</v>
      </c>
      <c r="AI184" s="58">
        <v>0</v>
      </c>
      <c r="AJ184" s="61">
        <v>0</v>
      </c>
      <c r="AK184" s="58"/>
      <c r="AL184" s="58"/>
      <c r="AM184" s="61"/>
      <c r="AN184" s="61">
        <f t="shared" si="79"/>
        <v>0</v>
      </c>
      <c r="AO184" s="58">
        <f t="shared" si="80"/>
        <v>0</v>
      </c>
      <c r="AP184" s="61">
        <f t="shared" si="81"/>
        <v>0</v>
      </c>
      <c r="AQ184" s="58">
        <f t="shared" si="82"/>
        <v>0</v>
      </c>
      <c r="AR184" s="58">
        <f t="shared" si="83"/>
        <v>0</v>
      </c>
      <c r="AS184" s="58">
        <f t="shared" si="84"/>
        <v>0</v>
      </c>
      <c r="AT184" s="58">
        <f>ROUND(SUMIF('JUNE (물량흐름)'!$C$13:$C$502,'In-out-bal products (155)(완성제품)'!B184,'JUNE (물량흐름)'!$AB$13:$AB$502),0)</f>
        <v>0</v>
      </c>
      <c r="AU184" s="58">
        <f t="shared" si="85"/>
        <v>0</v>
      </c>
      <c r="AV184" s="58">
        <f>ROUND(SUMIF('JUNE (물량흐름)'!$C$13:$C$502,'In-out-bal products (155)(완성제품)'!B184,'JUNE (물량흐름)'!$AC$13:$AC$502),0)</f>
        <v>0</v>
      </c>
      <c r="AW184" s="58">
        <f t="shared" si="86"/>
        <v>0</v>
      </c>
      <c r="AX184" s="376">
        <f t="shared" si="87"/>
        <v>0</v>
      </c>
      <c r="AY184" s="377">
        <f t="shared" si="88"/>
        <v>0</v>
      </c>
      <c r="AZ184" s="377">
        <f t="shared" si="89"/>
        <v>0</v>
      </c>
      <c r="BA184" s="377">
        <f t="shared" si="90"/>
        <v>0</v>
      </c>
      <c r="BB184" s="377"/>
      <c r="BC184" s="377">
        <f t="shared" si="91"/>
        <v>0</v>
      </c>
      <c r="BD184" s="377">
        <f t="shared" si="92"/>
        <v>0</v>
      </c>
      <c r="BE184" s="377"/>
      <c r="BF184" s="377">
        <f t="shared" si="93"/>
        <v>0</v>
      </c>
      <c r="BG184" s="433">
        <f t="shared" si="94"/>
        <v>0</v>
      </c>
      <c r="BH184" s="434">
        <f t="shared" si="95"/>
        <v>0</v>
      </c>
    </row>
    <row r="185" spans="1:60" s="378" customFormat="1">
      <c r="A185" s="167">
        <v>175</v>
      </c>
      <c r="B185" s="253">
        <f>VLOOKUP(A185,'JUNE (물량흐름)'!$A$13:$C$493,3,0)</f>
        <v>100009618</v>
      </c>
      <c r="C185" s="57" t="str">
        <f>VLOOKUP(A185,'JUNE (물량흐름)'!$A$13:$C$493,2,0)</f>
        <v>ALFANI</v>
      </c>
      <c r="D185" s="58">
        <f>IFERROR(VLOOKUP(B185,O.B.JUNE!$V$7:$Y$448,2,0),0)</f>
        <v>0</v>
      </c>
      <c r="E185" s="58">
        <f>IFERROR(VLOOKUP(B185,O.B.JUNE!$V$7:$X$448,3,0),0)</f>
        <v>0</v>
      </c>
      <c r="F185" s="58">
        <f>IFERROR(VLOOKUP(B185,O.B.JUNE!$V$7:$Y$448,4,0),0)</f>
        <v>0</v>
      </c>
      <c r="G185" s="58">
        <f>SUMIF('JUNE (물량흐름)'!$C$13:$C$493,'In-out-bal products (155)(완성제품)'!B185,'JUNE (물량흐름)'!$V$13:$V$493)</f>
        <v>0</v>
      </c>
      <c r="H185" s="58">
        <f>SUMIF('JUNE (물량흐름)'!$C$13:$C$493,'In-out-bal products (155)(완성제품)'!B185,'JUNE (물량흐름)'!$T$13:$T$493)-SUMIF('JUNE (물량흐름)'!$C$13:$C$493,'In-out-bal products (155)(완성제품)'!B185,'JUNE (물량흐름)'!$Y$13:$Y$493)+SUMIF('JUNE (물량흐름)'!$C$13:$C$493,'In-out-bal products (155)(완성제품)'!B185,'JUNE (물량흐름)'!$U$13:$U$493)</f>
        <v>1455</v>
      </c>
      <c r="I185" s="58">
        <f t="shared" si="66"/>
        <v>7300.4529209621996</v>
      </c>
      <c r="J185" s="58">
        <f>SUMIF('Direct labour(직접노무비)'!$C$12:$C$503,'In-out-bal products (155)(완성제품)'!B185,'Direct labour(직접노무비)'!$Q$12:$Q$503)</f>
        <v>3656749</v>
      </c>
      <c r="K185" s="59">
        <f>SUMIF('Overhead exp(제조경비)'!$C$12:$C$503,'In-out-bal products (155)(완성제품)'!B185,'Overhead exp(제조경비)'!$Q$12:$Q$503)</f>
        <v>6965410</v>
      </c>
      <c r="L185" s="58">
        <f t="shared" si="67"/>
        <v>10622159</v>
      </c>
      <c r="M185" s="58">
        <f>SUMIF('JUNE (물량흐름)'!$C$13:$C$488,'In-out-bal products (155)(완성제품)'!B185,'JUNE (물량흐름)'!$Y$13:$Y$488)</f>
        <v>0</v>
      </c>
      <c r="N185" s="58">
        <f t="shared" si="68"/>
        <v>0</v>
      </c>
      <c r="O185" s="58">
        <f>SUMIF('Direct labour(직접노무비)'!$C$12:$C$503,'In-out-bal products (155)(완성제품)'!B185,'Direct labour(직접노무비)'!$U$12:$U$503)+SUMIF('Overhead exp(제조경비)'!$C$12:$C$503,'In-out-bal products (155)(완성제품)'!B185,'Overhead exp(제조경비)'!$U$12:$U$503)</f>
        <v>0</v>
      </c>
      <c r="P185" s="60">
        <f t="shared" si="69"/>
        <v>1455</v>
      </c>
      <c r="Q185" s="60">
        <f t="shared" si="70"/>
        <v>7300.4529209621996</v>
      </c>
      <c r="R185" s="60">
        <f t="shared" si="71"/>
        <v>10622159</v>
      </c>
      <c r="S185" s="58">
        <v>0</v>
      </c>
      <c r="T185" s="58">
        <v>0</v>
      </c>
      <c r="U185" s="58">
        <v>0</v>
      </c>
      <c r="V185" s="58">
        <f>SUMIF('JUNE (물량흐름)'!$C$13:$C$493,'In-out-bal products (155)(완성제품)'!B185,'JUNE (물량흐름)'!$W$13:$W$493)</f>
        <v>0</v>
      </c>
      <c r="W185" s="58">
        <f t="shared" si="72"/>
        <v>0</v>
      </c>
      <c r="X185" s="58">
        <f>ROUND(IF(V185=0,0,V185*($F185+$L185)/($D185+$H185+$G185)),0)</f>
        <v>0</v>
      </c>
      <c r="Y185" s="58">
        <f>SUMIF('JUNE (물량흐름)'!$C$13:$C$488,'In-out-bal products (155)(완성제품)'!B185,'JUNE (물량흐름)'!$X$13:$X$488)</f>
        <v>0</v>
      </c>
      <c r="Z185" s="58">
        <f t="shared" si="74"/>
        <v>0</v>
      </c>
      <c r="AA185" s="58">
        <f t="shared" si="75"/>
        <v>0</v>
      </c>
      <c r="AB185" s="58"/>
      <c r="AC185" s="58"/>
      <c r="AD185" s="61"/>
      <c r="AE185" s="58">
        <f t="shared" si="76"/>
        <v>0</v>
      </c>
      <c r="AF185" s="58">
        <f t="shared" si="77"/>
        <v>0</v>
      </c>
      <c r="AG185" s="61">
        <f t="shared" si="78"/>
        <v>0</v>
      </c>
      <c r="AH185" s="58">
        <v>0</v>
      </c>
      <c r="AI185" s="58">
        <v>0</v>
      </c>
      <c r="AJ185" s="61">
        <v>0</v>
      </c>
      <c r="AK185" s="58"/>
      <c r="AL185" s="58"/>
      <c r="AM185" s="61"/>
      <c r="AN185" s="61">
        <f t="shared" si="79"/>
        <v>0</v>
      </c>
      <c r="AO185" s="58">
        <f t="shared" si="80"/>
        <v>0</v>
      </c>
      <c r="AP185" s="61">
        <f t="shared" si="81"/>
        <v>0</v>
      </c>
      <c r="AQ185" s="58">
        <f t="shared" si="82"/>
        <v>1455</v>
      </c>
      <c r="AR185" s="58">
        <f t="shared" si="83"/>
        <v>7300.4529209621996</v>
      </c>
      <c r="AS185" s="58">
        <f t="shared" si="84"/>
        <v>10622159</v>
      </c>
      <c r="AT185" s="58">
        <f>ROUND(SUMIF('JUNE (물량흐름)'!$C$13:$C$502,'In-out-bal products (155)(완성제품)'!B185,'JUNE (물량흐름)'!$AB$13:$AB$502),0)</f>
        <v>1455</v>
      </c>
      <c r="AU185" s="58">
        <f t="shared" si="85"/>
        <v>10622159</v>
      </c>
      <c r="AV185" s="58">
        <f>ROUND(SUMIF('JUNE (물량흐름)'!$C$13:$C$502,'In-out-bal products (155)(완성제품)'!B185,'JUNE (물량흐름)'!$AC$13:$AC$502),0)</f>
        <v>0</v>
      </c>
      <c r="AW185" s="58">
        <f t="shared" si="86"/>
        <v>0</v>
      </c>
      <c r="AX185" s="376">
        <f t="shared" si="87"/>
        <v>0</v>
      </c>
      <c r="AY185" s="377">
        <f t="shared" si="88"/>
        <v>0</v>
      </c>
      <c r="AZ185" s="377">
        <f t="shared" si="89"/>
        <v>0</v>
      </c>
      <c r="BA185" s="377">
        <f t="shared" si="90"/>
        <v>0</v>
      </c>
      <c r="BB185" s="377"/>
      <c r="BC185" s="377">
        <f t="shared" si="91"/>
        <v>0</v>
      </c>
      <c r="BD185" s="377">
        <f t="shared" si="92"/>
        <v>0</v>
      </c>
      <c r="BE185" s="377"/>
      <c r="BF185" s="377">
        <f t="shared" si="93"/>
        <v>0</v>
      </c>
      <c r="BG185" s="433">
        <f t="shared" si="94"/>
        <v>0</v>
      </c>
      <c r="BH185" s="434">
        <f t="shared" si="95"/>
        <v>0</v>
      </c>
    </row>
    <row r="186" spans="1:60" s="378" customFormat="1">
      <c r="A186" s="167">
        <v>176</v>
      </c>
      <c r="B186" s="253">
        <f>VLOOKUP(A186,'JUNE (물량흐름)'!$A$13:$C$493,3,0)</f>
        <v>100011932</v>
      </c>
      <c r="C186" s="57" t="str">
        <f>VLOOKUP(A186,'JUNE (물량흐름)'!$A$13:$C$493,2,0)</f>
        <v>ALFANI</v>
      </c>
      <c r="D186" s="58">
        <f>IFERROR(VLOOKUP(B186,O.B.JUNE!$V$7:$Y$448,2,0),0)</f>
        <v>0</v>
      </c>
      <c r="E186" s="58">
        <f>IFERROR(VLOOKUP(B186,O.B.JUNE!$V$7:$X$448,3,0),0)</f>
        <v>0</v>
      </c>
      <c r="F186" s="58">
        <f>IFERROR(VLOOKUP(B186,O.B.JUNE!$V$7:$Y$448,4,0),0)</f>
        <v>0</v>
      </c>
      <c r="G186" s="58">
        <f>SUMIF('JUNE (물량흐름)'!$C$13:$C$493,'In-out-bal products (155)(완성제품)'!B186,'JUNE (물량흐름)'!$V$13:$V$493)</f>
        <v>0</v>
      </c>
      <c r="H186" s="58">
        <f>SUMIF('JUNE (물량흐름)'!$C$13:$C$493,'In-out-bal products (155)(완성제품)'!B186,'JUNE (물량흐름)'!$T$13:$T$493)-SUMIF('JUNE (물량흐름)'!$C$13:$C$493,'In-out-bal products (155)(완성제품)'!B186,'JUNE (물량흐름)'!$Y$13:$Y$493)+SUMIF('JUNE (물량흐름)'!$C$13:$C$493,'In-out-bal products (155)(완성제품)'!B186,'JUNE (물량흐름)'!$U$13:$U$493)</f>
        <v>0</v>
      </c>
      <c r="I186" s="58">
        <f t="shared" si="66"/>
        <v>0</v>
      </c>
      <c r="J186" s="58">
        <f>SUMIF('Direct labour(직접노무비)'!$C$12:$C$503,'In-out-bal products (155)(완성제품)'!B186,'Direct labour(직접노무비)'!$Q$12:$Q$503)</f>
        <v>0</v>
      </c>
      <c r="K186" s="59">
        <f>SUMIF('Overhead exp(제조경비)'!$C$12:$C$503,'In-out-bal products (155)(완성제품)'!B186,'Overhead exp(제조경비)'!$Q$12:$Q$503)</f>
        <v>0</v>
      </c>
      <c r="L186" s="58">
        <f t="shared" si="67"/>
        <v>0</v>
      </c>
      <c r="M186" s="58">
        <f>SUMIF('JUNE (물량흐름)'!$C$13:$C$488,'In-out-bal products (155)(완성제품)'!B186,'JUNE (물량흐름)'!$Y$13:$Y$488)</f>
        <v>0</v>
      </c>
      <c r="N186" s="58">
        <f t="shared" si="68"/>
        <v>0</v>
      </c>
      <c r="O186" s="58">
        <f>SUMIF('Direct labour(직접노무비)'!$C$12:$C$503,'In-out-bal products (155)(완성제품)'!B186,'Direct labour(직접노무비)'!$U$12:$U$503)+SUMIF('Overhead exp(제조경비)'!$C$12:$C$503,'In-out-bal products (155)(완성제품)'!B186,'Overhead exp(제조경비)'!$U$12:$U$503)</f>
        <v>0</v>
      </c>
      <c r="P186" s="60">
        <f t="shared" si="69"/>
        <v>0</v>
      </c>
      <c r="Q186" s="60">
        <f t="shared" si="70"/>
        <v>0</v>
      </c>
      <c r="R186" s="60">
        <f t="shared" si="71"/>
        <v>0</v>
      </c>
      <c r="S186" s="58">
        <v>0</v>
      </c>
      <c r="T186" s="58">
        <v>0</v>
      </c>
      <c r="U186" s="58">
        <v>0</v>
      </c>
      <c r="V186" s="58">
        <f>SUMIF('JUNE (물량흐름)'!$C$13:$C$493,'In-out-bal products (155)(완성제품)'!B186,'JUNE (물량흐름)'!$W$13:$W$493)</f>
        <v>0</v>
      </c>
      <c r="W186" s="58">
        <f t="shared" si="72"/>
        <v>0</v>
      </c>
      <c r="X186" s="58">
        <f t="shared" si="73"/>
        <v>0</v>
      </c>
      <c r="Y186" s="58">
        <f>SUMIF('JUNE (물량흐름)'!$C$13:$C$488,'In-out-bal products (155)(완성제품)'!B186,'JUNE (물량흐름)'!$X$13:$X$488)</f>
        <v>0</v>
      </c>
      <c r="Z186" s="58">
        <f t="shared" si="74"/>
        <v>0</v>
      </c>
      <c r="AA186" s="58">
        <f t="shared" si="75"/>
        <v>0</v>
      </c>
      <c r="AB186" s="58"/>
      <c r="AC186" s="58"/>
      <c r="AD186" s="61"/>
      <c r="AE186" s="58">
        <f t="shared" si="76"/>
        <v>0</v>
      </c>
      <c r="AF186" s="58">
        <f t="shared" si="77"/>
        <v>0</v>
      </c>
      <c r="AG186" s="61">
        <f t="shared" si="78"/>
        <v>0</v>
      </c>
      <c r="AH186" s="58">
        <v>0</v>
      </c>
      <c r="AI186" s="58">
        <v>0</v>
      </c>
      <c r="AJ186" s="61">
        <v>0</v>
      </c>
      <c r="AK186" s="58"/>
      <c r="AL186" s="58"/>
      <c r="AM186" s="61"/>
      <c r="AN186" s="61">
        <f t="shared" si="79"/>
        <v>0</v>
      </c>
      <c r="AO186" s="58">
        <f t="shared" si="80"/>
        <v>0</v>
      </c>
      <c r="AP186" s="61">
        <f t="shared" si="81"/>
        <v>0</v>
      </c>
      <c r="AQ186" s="58">
        <f t="shared" si="82"/>
        <v>0</v>
      </c>
      <c r="AR186" s="58">
        <f t="shared" si="83"/>
        <v>0</v>
      </c>
      <c r="AS186" s="58">
        <f t="shared" si="84"/>
        <v>0</v>
      </c>
      <c r="AT186" s="58">
        <f>ROUND(SUMIF('JUNE (물량흐름)'!$C$13:$C$502,'In-out-bal products (155)(완성제품)'!B186,'JUNE (물량흐름)'!$AB$13:$AB$502),0)</f>
        <v>0</v>
      </c>
      <c r="AU186" s="58">
        <f t="shared" si="85"/>
        <v>0</v>
      </c>
      <c r="AV186" s="58">
        <f>ROUND(SUMIF('JUNE (물량흐름)'!$C$13:$C$502,'In-out-bal products (155)(완성제품)'!B186,'JUNE (물량흐름)'!$AC$13:$AC$502),0)</f>
        <v>0</v>
      </c>
      <c r="AW186" s="58">
        <f t="shared" si="86"/>
        <v>0</v>
      </c>
      <c r="AX186" s="376">
        <f t="shared" si="87"/>
        <v>0</v>
      </c>
      <c r="AY186" s="377">
        <f t="shared" si="88"/>
        <v>0</v>
      </c>
      <c r="AZ186" s="377">
        <f t="shared" si="89"/>
        <v>0</v>
      </c>
      <c r="BA186" s="377">
        <f t="shared" si="90"/>
        <v>0</v>
      </c>
      <c r="BB186" s="377"/>
      <c r="BC186" s="377">
        <f t="shared" si="91"/>
        <v>0</v>
      </c>
      <c r="BD186" s="377">
        <f t="shared" si="92"/>
        <v>0</v>
      </c>
      <c r="BE186" s="377"/>
      <c r="BF186" s="377">
        <f t="shared" si="93"/>
        <v>0</v>
      </c>
      <c r="BG186" s="433">
        <f t="shared" si="94"/>
        <v>0</v>
      </c>
      <c r="BH186" s="434">
        <f t="shared" si="95"/>
        <v>0</v>
      </c>
    </row>
    <row r="187" spans="1:60" s="378" customFormat="1">
      <c r="A187" s="167">
        <v>177</v>
      </c>
      <c r="B187" s="253">
        <f>VLOOKUP(A187,'JUNE (물량흐름)'!$A$13:$C$493,3,0)</f>
        <v>100011935</v>
      </c>
      <c r="C187" s="57" t="str">
        <f>VLOOKUP(A187,'JUNE (물량흐름)'!$A$13:$C$493,2,0)</f>
        <v>ALFANI</v>
      </c>
      <c r="D187" s="58">
        <f>IFERROR(VLOOKUP(B187,O.B.JUNE!$V$7:$Y$448,2,0),0)</f>
        <v>0</v>
      </c>
      <c r="E187" s="58">
        <f>IFERROR(VLOOKUP(B187,O.B.JUNE!$V$7:$X$448,3,0),0)</f>
        <v>0</v>
      </c>
      <c r="F187" s="58">
        <f>IFERROR(VLOOKUP(B187,O.B.JUNE!$V$7:$Y$448,4,0),0)</f>
        <v>0</v>
      </c>
      <c r="G187" s="58">
        <f>SUMIF('JUNE (물량흐름)'!$C$13:$C$493,'In-out-bal products (155)(완성제품)'!B187,'JUNE (물량흐름)'!$V$13:$V$493)</f>
        <v>0</v>
      </c>
      <c r="H187" s="58">
        <f>SUMIF('JUNE (물량흐름)'!$C$13:$C$493,'In-out-bal products (155)(완성제품)'!B187,'JUNE (물량흐름)'!$T$13:$T$493)-SUMIF('JUNE (물량흐름)'!$C$13:$C$493,'In-out-bal products (155)(완성제품)'!B187,'JUNE (물량흐름)'!$Y$13:$Y$493)+SUMIF('JUNE (물량흐름)'!$C$13:$C$493,'In-out-bal products (155)(완성제품)'!B187,'JUNE (물량흐름)'!$U$13:$U$493)</f>
        <v>0</v>
      </c>
      <c r="I187" s="58">
        <f t="shared" si="66"/>
        <v>0</v>
      </c>
      <c r="J187" s="58">
        <f>SUMIF('Direct labour(직접노무비)'!$C$12:$C$503,'In-out-bal products (155)(완성제품)'!B187,'Direct labour(직접노무비)'!$Q$12:$Q$503)</f>
        <v>0</v>
      </c>
      <c r="K187" s="59">
        <f>SUMIF('Overhead exp(제조경비)'!$C$12:$C$503,'In-out-bal products (155)(완성제품)'!B187,'Overhead exp(제조경비)'!$Q$12:$Q$503)</f>
        <v>0</v>
      </c>
      <c r="L187" s="58">
        <f t="shared" si="67"/>
        <v>0</v>
      </c>
      <c r="M187" s="58">
        <f>SUMIF('JUNE (물량흐름)'!$C$13:$C$488,'In-out-bal products (155)(완성제품)'!B187,'JUNE (물량흐름)'!$Y$13:$Y$488)</f>
        <v>0</v>
      </c>
      <c r="N187" s="58">
        <f t="shared" si="68"/>
        <v>0</v>
      </c>
      <c r="O187" s="58">
        <f>SUMIF('Direct labour(직접노무비)'!$C$12:$C$503,'In-out-bal products (155)(완성제품)'!B187,'Direct labour(직접노무비)'!$U$12:$U$503)+SUMIF('Overhead exp(제조경비)'!$C$12:$C$503,'In-out-bal products (155)(완성제품)'!B187,'Overhead exp(제조경비)'!$U$12:$U$503)</f>
        <v>0</v>
      </c>
      <c r="P187" s="60">
        <f t="shared" si="69"/>
        <v>0</v>
      </c>
      <c r="Q187" s="60">
        <f t="shared" si="70"/>
        <v>0</v>
      </c>
      <c r="R187" s="60">
        <f t="shared" si="71"/>
        <v>0</v>
      </c>
      <c r="S187" s="58">
        <v>0</v>
      </c>
      <c r="T187" s="58">
        <v>0</v>
      </c>
      <c r="U187" s="58">
        <v>0</v>
      </c>
      <c r="V187" s="58">
        <f>SUMIF('JUNE (물량흐름)'!$C$13:$C$493,'In-out-bal products (155)(완성제품)'!B187,'JUNE (물량흐름)'!$W$13:$W$493)</f>
        <v>0</v>
      </c>
      <c r="W187" s="58">
        <f t="shared" si="72"/>
        <v>0</v>
      </c>
      <c r="X187" s="58">
        <f t="shared" si="73"/>
        <v>0</v>
      </c>
      <c r="Y187" s="58">
        <f>SUMIF('JUNE (물량흐름)'!$C$13:$C$488,'In-out-bal products (155)(완성제품)'!B187,'JUNE (물량흐름)'!$X$13:$X$488)</f>
        <v>0</v>
      </c>
      <c r="Z187" s="58">
        <f t="shared" si="74"/>
        <v>0</v>
      </c>
      <c r="AA187" s="58">
        <f t="shared" si="75"/>
        <v>0</v>
      </c>
      <c r="AB187" s="58"/>
      <c r="AC187" s="58"/>
      <c r="AD187" s="61"/>
      <c r="AE187" s="58">
        <f t="shared" si="76"/>
        <v>0</v>
      </c>
      <c r="AF187" s="58">
        <f t="shared" si="77"/>
        <v>0</v>
      </c>
      <c r="AG187" s="61">
        <f t="shared" si="78"/>
        <v>0</v>
      </c>
      <c r="AH187" s="58">
        <v>0</v>
      </c>
      <c r="AI187" s="58">
        <v>0</v>
      </c>
      <c r="AJ187" s="61">
        <v>0</v>
      </c>
      <c r="AK187" s="58"/>
      <c r="AL187" s="58"/>
      <c r="AM187" s="61"/>
      <c r="AN187" s="61">
        <f t="shared" si="79"/>
        <v>0</v>
      </c>
      <c r="AO187" s="58">
        <f t="shared" si="80"/>
        <v>0</v>
      </c>
      <c r="AP187" s="61">
        <f t="shared" si="81"/>
        <v>0</v>
      </c>
      <c r="AQ187" s="58">
        <f t="shared" si="82"/>
        <v>0</v>
      </c>
      <c r="AR187" s="58">
        <f t="shared" si="83"/>
        <v>0</v>
      </c>
      <c r="AS187" s="58">
        <f t="shared" si="84"/>
        <v>0</v>
      </c>
      <c r="AT187" s="58">
        <f>ROUND(SUMIF('JUNE (물량흐름)'!$C$13:$C$502,'In-out-bal products (155)(완성제품)'!B187,'JUNE (물량흐름)'!$AB$13:$AB$502),0)</f>
        <v>0</v>
      </c>
      <c r="AU187" s="58">
        <f t="shared" si="85"/>
        <v>0</v>
      </c>
      <c r="AV187" s="58">
        <f>ROUND(SUMIF('JUNE (물량흐름)'!$C$13:$C$502,'In-out-bal products (155)(완성제품)'!B187,'JUNE (물량흐름)'!$AC$13:$AC$502),0)</f>
        <v>0</v>
      </c>
      <c r="AW187" s="58">
        <f t="shared" si="86"/>
        <v>0</v>
      </c>
      <c r="AX187" s="376">
        <f t="shared" si="87"/>
        <v>0</v>
      </c>
      <c r="AY187" s="377">
        <f t="shared" si="88"/>
        <v>0</v>
      </c>
      <c r="AZ187" s="377">
        <f t="shared" si="89"/>
        <v>0</v>
      </c>
      <c r="BA187" s="377">
        <f t="shared" si="90"/>
        <v>0</v>
      </c>
      <c r="BB187" s="377"/>
      <c r="BC187" s="377">
        <f t="shared" si="91"/>
        <v>0</v>
      </c>
      <c r="BD187" s="377">
        <f t="shared" si="92"/>
        <v>0</v>
      </c>
      <c r="BE187" s="377"/>
      <c r="BF187" s="377">
        <f t="shared" si="93"/>
        <v>0</v>
      </c>
      <c r="BG187" s="433">
        <f t="shared" si="94"/>
        <v>0</v>
      </c>
      <c r="BH187" s="434">
        <f t="shared" si="95"/>
        <v>0</v>
      </c>
    </row>
    <row r="188" spans="1:60" s="378" customFormat="1">
      <c r="A188" s="167">
        <v>178</v>
      </c>
      <c r="B188" s="253">
        <f>VLOOKUP(A188,'JUNE (물량흐름)'!$A$13:$C$493,3,0)</f>
        <v>100013594</v>
      </c>
      <c r="C188" s="57" t="str">
        <f>VLOOKUP(A188,'JUNE (물량흐름)'!$A$13:$C$493,2,0)</f>
        <v>ALFANI</v>
      </c>
      <c r="D188" s="58">
        <f>IFERROR(VLOOKUP(B188,O.B.JUNE!$V$7:$Y$448,2,0),0)</f>
        <v>0</v>
      </c>
      <c r="E188" s="58">
        <f>IFERROR(VLOOKUP(B188,O.B.JUNE!$V$7:$X$448,3,0),0)</f>
        <v>0</v>
      </c>
      <c r="F188" s="58">
        <f>IFERROR(VLOOKUP(B188,O.B.JUNE!$V$7:$Y$448,4,0),0)</f>
        <v>0</v>
      </c>
      <c r="G188" s="58">
        <f>SUMIF('JUNE (물량흐름)'!$C$13:$C$493,'In-out-bal products (155)(완성제품)'!B188,'JUNE (물량흐름)'!$V$13:$V$493)</f>
        <v>0</v>
      </c>
      <c r="H188" s="58">
        <f>SUMIF('JUNE (물량흐름)'!$C$13:$C$493,'In-out-bal products (155)(완성제품)'!B188,'JUNE (물량흐름)'!$T$13:$T$493)-SUMIF('JUNE (물량흐름)'!$C$13:$C$493,'In-out-bal products (155)(완성제품)'!B188,'JUNE (물량흐름)'!$Y$13:$Y$493)+SUMIF('JUNE (물량흐름)'!$C$13:$C$493,'In-out-bal products (155)(완성제품)'!B188,'JUNE (물량흐름)'!$U$13:$U$493)</f>
        <v>0</v>
      </c>
      <c r="I188" s="58">
        <f t="shared" si="66"/>
        <v>0</v>
      </c>
      <c r="J188" s="58">
        <f>SUMIF('Direct labour(직접노무비)'!$C$12:$C$503,'In-out-bal products (155)(완성제품)'!B188,'Direct labour(직접노무비)'!$Q$12:$Q$503)</f>
        <v>0</v>
      </c>
      <c r="K188" s="59">
        <f>SUMIF('Overhead exp(제조경비)'!$C$12:$C$503,'In-out-bal products (155)(완성제품)'!B188,'Overhead exp(제조경비)'!$Q$12:$Q$503)</f>
        <v>0</v>
      </c>
      <c r="L188" s="58">
        <f t="shared" si="67"/>
        <v>0</v>
      </c>
      <c r="M188" s="58">
        <f>SUMIF('JUNE (물량흐름)'!$C$13:$C$488,'In-out-bal products (155)(완성제품)'!B188,'JUNE (물량흐름)'!$Y$13:$Y$488)</f>
        <v>0</v>
      </c>
      <c r="N188" s="58">
        <f t="shared" si="68"/>
        <v>0</v>
      </c>
      <c r="O188" s="58">
        <f>SUMIF('Direct labour(직접노무비)'!$C$12:$C$503,'In-out-bal products (155)(완성제품)'!B188,'Direct labour(직접노무비)'!$U$12:$U$503)+SUMIF('Overhead exp(제조경비)'!$C$12:$C$503,'In-out-bal products (155)(완성제품)'!B188,'Overhead exp(제조경비)'!$U$12:$U$503)</f>
        <v>0</v>
      </c>
      <c r="P188" s="60">
        <f t="shared" si="69"/>
        <v>0</v>
      </c>
      <c r="Q188" s="60">
        <f t="shared" si="70"/>
        <v>0</v>
      </c>
      <c r="R188" s="60">
        <f t="shared" si="71"/>
        <v>0</v>
      </c>
      <c r="S188" s="58">
        <v>0</v>
      </c>
      <c r="T188" s="58">
        <v>0</v>
      </c>
      <c r="U188" s="58">
        <v>0</v>
      </c>
      <c r="V188" s="58">
        <f>SUMIF('JUNE (물량흐름)'!$C$13:$C$493,'In-out-bal products (155)(완성제품)'!B188,'JUNE (물량흐름)'!$W$13:$W$493)</f>
        <v>0</v>
      </c>
      <c r="W188" s="58">
        <f t="shared" si="72"/>
        <v>0</v>
      </c>
      <c r="X188" s="58">
        <f t="shared" si="73"/>
        <v>0</v>
      </c>
      <c r="Y188" s="58">
        <f>SUMIF('JUNE (물량흐름)'!$C$13:$C$488,'In-out-bal products (155)(완성제품)'!B188,'JUNE (물량흐름)'!$X$13:$X$488)</f>
        <v>0</v>
      </c>
      <c r="Z188" s="58">
        <f t="shared" si="74"/>
        <v>0</v>
      </c>
      <c r="AA188" s="58">
        <f t="shared" si="75"/>
        <v>0</v>
      </c>
      <c r="AB188" s="58"/>
      <c r="AC188" s="58"/>
      <c r="AD188" s="61"/>
      <c r="AE188" s="58">
        <f t="shared" si="76"/>
        <v>0</v>
      </c>
      <c r="AF188" s="58">
        <f t="shared" si="77"/>
        <v>0</v>
      </c>
      <c r="AG188" s="61">
        <f t="shared" si="78"/>
        <v>0</v>
      </c>
      <c r="AH188" s="58">
        <v>0</v>
      </c>
      <c r="AI188" s="58">
        <v>0</v>
      </c>
      <c r="AJ188" s="61">
        <v>0</v>
      </c>
      <c r="AK188" s="58"/>
      <c r="AL188" s="58"/>
      <c r="AM188" s="61"/>
      <c r="AN188" s="61">
        <f t="shared" si="79"/>
        <v>0</v>
      </c>
      <c r="AO188" s="58">
        <f t="shared" si="80"/>
        <v>0</v>
      </c>
      <c r="AP188" s="61">
        <f t="shared" si="81"/>
        <v>0</v>
      </c>
      <c r="AQ188" s="58">
        <f t="shared" si="82"/>
        <v>0</v>
      </c>
      <c r="AR188" s="58">
        <f t="shared" si="83"/>
        <v>0</v>
      </c>
      <c r="AS188" s="58">
        <f t="shared" si="84"/>
        <v>0</v>
      </c>
      <c r="AT188" s="58">
        <f>ROUND(SUMIF('JUNE (물량흐름)'!$C$13:$C$502,'In-out-bal products (155)(완성제품)'!B188,'JUNE (물량흐름)'!$AB$13:$AB$502),0)</f>
        <v>0</v>
      </c>
      <c r="AU188" s="58">
        <f t="shared" si="85"/>
        <v>0</v>
      </c>
      <c r="AV188" s="58">
        <f>ROUND(SUMIF('JUNE (물량흐름)'!$C$13:$C$502,'In-out-bal products (155)(완성제품)'!B188,'JUNE (물량흐름)'!$AC$13:$AC$502),0)</f>
        <v>0</v>
      </c>
      <c r="AW188" s="58">
        <f t="shared" si="86"/>
        <v>0</v>
      </c>
      <c r="AX188" s="376">
        <f t="shared" si="87"/>
        <v>0</v>
      </c>
      <c r="AY188" s="377">
        <f t="shared" si="88"/>
        <v>0</v>
      </c>
      <c r="AZ188" s="377">
        <f t="shared" si="89"/>
        <v>0</v>
      </c>
      <c r="BA188" s="377">
        <f t="shared" si="90"/>
        <v>0</v>
      </c>
      <c r="BB188" s="377"/>
      <c r="BC188" s="377">
        <f t="shared" si="91"/>
        <v>0</v>
      </c>
      <c r="BD188" s="377">
        <f t="shared" si="92"/>
        <v>0</v>
      </c>
      <c r="BE188" s="377"/>
      <c r="BF188" s="377">
        <f t="shared" si="93"/>
        <v>0</v>
      </c>
      <c r="BG188" s="433">
        <f t="shared" si="94"/>
        <v>0</v>
      </c>
      <c r="BH188" s="434">
        <f t="shared" si="95"/>
        <v>0</v>
      </c>
    </row>
    <row r="189" spans="1:60" s="378" customFormat="1">
      <c r="A189" s="167">
        <v>179</v>
      </c>
      <c r="B189" s="253">
        <f>VLOOKUP(A189,'JUNE (물량흐름)'!$A$13:$C$493,3,0)</f>
        <v>100016320</v>
      </c>
      <c r="C189" s="57" t="str">
        <f>VLOOKUP(A189,'JUNE (물량흐름)'!$A$13:$C$493,2,0)</f>
        <v>ALFANI</v>
      </c>
      <c r="D189" s="58">
        <f>IFERROR(VLOOKUP(B189,O.B.JUNE!$V$7:$Y$448,2,0),0)</f>
        <v>11506</v>
      </c>
      <c r="E189" s="58">
        <f>IFERROR(VLOOKUP(B189,O.B.JUNE!$V$7:$X$448,3,0),0)</f>
        <v>7699.2277072831566</v>
      </c>
      <c r="F189" s="58">
        <f>IFERROR(VLOOKUP(B189,O.B.JUNE!$V$7:$Y$448,4,0),0)</f>
        <v>88587314</v>
      </c>
      <c r="G189" s="58">
        <f>SUMIF('JUNE (물량흐름)'!$C$13:$C$493,'In-out-bal products (155)(완성제품)'!B189,'JUNE (물량흐름)'!$V$13:$V$493)</f>
        <v>0</v>
      </c>
      <c r="H189" s="58">
        <f>SUMIF('JUNE (물량흐름)'!$C$13:$C$493,'In-out-bal products (155)(완성제품)'!B189,'JUNE (물량흐름)'!$T$13:$T$493)-SUMIF('JUNE (물량흐름)'!$C$13:$C$493,'In-out-bal products (155)(완성제품)'!B189,'JUNE (물량흐름)'!$Y$13:$Y$493)+SUMIF('JUNE (물량흐름)'!$C$13:$C$493,'In-out-bal products (155)(완성제품)'!B189,'JUNE (물량흐름)'!$U$13:$U$493)</f>
        <v>0</v>
      </c>
      <c r="I189" s="58">
        <f t="shared" si="66"/>
        <v>0</v>
      </c>
      <c r="J189" s="58">
        <f>SUMIF('Direct labour(직접노무비)'!$C$12:$C$503,'In-out-bal products (155)(완성제품)'!B189,'Direct labour(직접노무비)'!$Q$12:$Q$503)</f>
        <v>0</v>
      </c>
      <c r="K189" s="59">
        <f>SUMIF('Overhead exp(제조경비)'!$C$12:$C$503,'In-out-bal products (155)(완성제품)'!B189,'Overhead exp(제조경비)'!$Q$12:$Q$503)</f>
        <v>0</v>
      </c>
      <c r="L189" s="58">
        <f t="shared" si="67"/>
        <v>0</v>
      </c>
      <c r="M189" s="58">
        <f>SUMIF('JUNE (물량흐름)'!$C$13:$C$488,'In-out-bal products (155)(완성제품)'!B189,'JUNE (물량흐름)'!$Y$13:$Y$488)</f>
        <v>0</v>
      </c>
      <c r="N189" s="58">
        <f t="shared" si="68"/>
        <v>0</v>
      </c>
      <c r="O189" s="58">
        <f>SUMIF('Direct labour(직접노무비)'!$C$12:$C$503,'In-out-bal products (155)(완성제품)'!B189,'Direct labour(직접노무비)'!$U$12:$U$503)+SUMIF('Overhead exp(제조경비)'!$C$12:$C$503,'In-out-bal products (155)(완성제품)'!B189,'Overhead exp(제조경비)'!$U$12:$U$503)</f>
        <v>0</v>
      </c>
      <c r="P189" s="60">
        <f t="shared" si="69"/>
        <v>0</v>
      </c>
      <c r="Q189" s="60">
        <f t="shared" si="70"/>
        <v>0</v>
      </c>
      <c r="R189" s="60">
        <f t="shared" si="71"/>
        <v>0</v>
      </c>
      <c r="S189" s="58">
        <v>0</v>
      </c>
      <c r="T189" s="58">
        <v>0</v>
      </c>
      <c r="U189" s="58">
        <v>0</v>
      </c>
      <c r="V189" s="58">
        <f>SUMIF('JUNE (물량흐름)'!$C$13:$C$493,'In-out-bal products (155)(완성제품)'!B189,'JUNE (물량흐름)'!$W$13:$W$493)</f>
        <v>11291</v>
      </c>
      <c r="W189" s="58">
        <f t="shared" si="72"/>
        <v>7699.2277034806484</v>
      </c>
      <c r="X189" s="58">
        <f t="shared" si="73"/>
        <v>86931980</v>
      </c>
      <c r="Y189" s="58">
        <f>SUMIF('JUNE (물량흐름)'!$C$13:$C$488,'In-out-bal products (155)(완성제품)'!B189,'JUNE (물량흐름)'!$X$13:$X$488)</f>
        <v>0</v>
      </c>
      <c r="Z189" s="58">
        <f t="shared" si="74"/>
        <v>0</v>
      </c>
      <c r="AA189" s="58">
        <f t="shared" si="75"/>
        <v>0</v>
      </c>
      <c r="AB189" s="58"/>
      <c r="AC189" s="58"/>
      <c r="AD189" s="61"/>
      <c r="AE189" s="58">
        <f t="shared" si="76"/>
        <v>0</v>
      </c>
      <c r="AF189" s="58">
        <f t="shared" si="77"/>
        <v>0</v>
      </c>
      <c r="AG189" s="61">
        <f t="shared" si="78"/>
        <v>0</v>
      </c>
      <c r="AH189" s="58">
        <v>0</v>
      </c>
      <c r="AI189" s="58">
        <v>0</v>
      </c>
      <c r="AJ189" s="61">
        <v>0</v>
      </c>
      <c r="AK189" s="58"/>
      <c r="AL189" s="58"/>
      <c r="AM189" s="61"/>
      <c r="AN189" s="61">
        <f t="shared" si="79"/>
        <v>11291</v>
      </c>
      <c r="AO189" s="58">
        <f t="shared" si="80"/>
        <v>7699.2277034806484</v>
      </c>
      <c r="AP189" s="61">
        <f t="shared" si="81"/>
        <v>86931980</v>
      </c>
      <c r="AQ189" s="58">
        <f t="shared" si="82"/>
        <v>215</v>
      </c>
      <c r="AR189" s="58">
        <f t="shared" si="83"/>
        <v>7699.2279069767446</v>
      </c>
      <c r="AS189" s="58">
        <f t="shared" si="84"/>
        <v>1655334</v>
      </c>
      <c r="AT189" s="58">
        <f>ROUND(SUMIF('JUNE (물량흐름)'!$C$13:$C$502,'In-out-bal products (155)(완성제품)'!B189,'JUNE (물량흐름)'!$AB$13:$AB$502),0)</f>
        <v>210</v>
      </c>
      <c r="AU189" s="58">
        <f t="shared" si="85"/>
        <v>1616838</v>
      </c>
      <c r="AV189" s="58">
        <f>ROUND(SUMIF('JUNE (물량흐름)'!$C$13:$C$502,'In-out-bal products (155)(완성제품)'!B189,'JUNE (물량흐름)'!$AC$13:$AC$502),0)</f>
        <v>5</v>
      </c>
      <c r="AW189" s="58">
        <f t="shared" si="86"/>
        <v>38496</v>
      </c>
      <c r="AX189" s="376">
        <f t="shared" si="87"/>
        <v>0</v>
      </c>
      <c r="AY189" s="377">
        <f t="shared" si="88"/>
        <v>0</v>
      </c>
      <c r="AZ189" s="377">
        <f t="shared" si="89"/>
        <v>0</v>
      </c>
      <c r="BA189" s="377">
        <f t="shared" si="90"/>
        <v>0</v>
      </c>
      <c r="BB189" s="377"/>
      <c r="BC189" s="377">
        <f t="shared" si="91"/>
        <v>0</v>
      </c>
      <c r="BD189" s="377">
        <f t="shared" si="92"/>
        <v>0</v>
      </c>
      <c r="BE189" s="377"/>
      <c r="BF189" s="377">
        <f t="shared" si="93"/>
        <v>0</v>
      </c>
      <c r="BG189" s="433">
        <f t="shared" si="94"/>
        <v>86931980</v>
      </c>
      <c r="BH189" s="434">
        <f t="shared" si="95"/>
        <v>0</v>
      </c>
    </row>
    <row r="190" spans="1:60" s="378" customFormat="1">
      <c r="A190" s="167">
        <v>180</v>
      </c>
      <c r="B190" s="253">
        <f>VLOOKUP(A190,'JUNE (물량흐름)'!$A$13:$C$493,3,0)</f>
        <v>100016323</v>
      </c>
      <c r="C190" s="57" t="str">
        <f>VLOOKUP(A190,'JUNE (물량흐름)'!$A$13:$C$493,2,0)</f>
        <v>ALFANI</v>
      </c>
      <c r="D190" s="58">
        <f>IFERROR(VLOOKUP(B190,O.B.JUNE!$V$7:$Y$448,2,0),0)</f>
        <v>0</v>
      </c>
      <c r="E190" s="58">
        <f>IFERROR(VLOOKUP(B190,O.B.JUNE!$V$7:$X$448,3,0),0)</f>
        <v>0</v>
      </c>
      <c r="F190" s="58">
        <f>IFERROR(VLOOKUP(B190,O.B.JUNE!$V$7:$Y$448,4,0),0)</f>
        <v>0</v>
      </c>
      <c r="G190" s="58">
        <f>SUMIF('JUNE (물량흐름)'!$C$13:$C$493,'In-out-bal products (155)(완성제품)'!B190,'JUNE (물량흐름)'!$V$13:$V$493)</f>
        <v>0</v>
      </c>
      <c r="H190" s="58">
        <f>SUMIF('JUNE (물량흐름)'!$C$13:$C$493,'In-out-bal products (155)(완성제품)'!B190,'JUNE (물량흐름)'!$T$13:$T$493)-SUMIF('JUNE (물량흐름)'!$C$13:$C$493,'In-out-bal products (155)(완성제품)'!B190,'JUNE (물량흐름)'!$Y$13:$Y$493)+SUMIF('JUNE (물량흐름)'!$C$13:$C$493,'In-out-bal products (155)(완성제품)'!B190,'JUNE (물량흐름)'!$U$13:$U$493)</f>
        <v>0</v>
      </c>
      <c r="I190" s="58">
        <f t="shared" si="66"/>
        <v>0</v>
      </c>
      <c r="J190" s="58">
        <f>SUMIF('Direct labour(직접노무비)'!$C$12:$C$503,'In-out-bal products (155)(완성제품)'!B190,'Direct labour(직접노무비)'!$Q$12:$Q$503)</f>
        <v>0</v>
      </c>
      <c r="K190" s="59">
        <f>SUMIF('Overhead exp(제조경비)'!$C$12:$C$503,'In-out-bal products (155)(완성제품)'!B190,'Overhead exp(제조경비)'!$Q$12:$Q$503)</f>
        <v>0</v>
      </c>
      <c r="L190" s="58">
        <f t="shared" si="67"/>
        <v>0</v>
      </c>
      <c r="M190" s="58">
        <f>SUMIF('JUNE (물량흐름)'!$C$13:$C$488,'In-out-bal products (155)(완성제품)'!B190,'JUNE (물량흐름)'!$Y$13:$Y$488)</f>
        <v>0</v>
      </c>
      <c r="N190" s="58">
        <f t="shared" si="68"/>
        <v>0</v>
      </c>
      <c r="O190" s="58">
        <f>SUMIF('Direct labour(직접노무비)'!$C$12:$C$503,'In-out-bal products (155)(완성제품)'!B190,'Direct labour(직접노무비)'!$U$12:$U$503)+SUMIF('Overhead exp(제조경비)'!$C$12:$C$503,'In-out-bal products (155)(완성제품)'!B190,'Overhead exp(제조경비)'!$U$12:$U$503)</f>
        <v>0</v>
      </c>
      <c r="P190" s="60">
        <f t="shared" si="69"/>
        <v>0</v>
      </c>
      <c r="Q190" s="60">
        <f t="shared" si="70"/>
        <v>0</v>
      </c>
      <c r="R190" s="60">
        <f t="shared" si="71"/>
        <v>0</v>
      </c>
      <c r="S190" s="58">
        <v>0</v>
      </c>
      <c r="T190" s="58">
        <v>0</v>
      </c>
      <c r="U190" s="58">
        <v>0</v>
      </c>
      <c r="V190" s="58">
        <f>SUMIF('JUNE (물량흐름)'!$C$13:$C$493,'In-out-bal products (155)(완성제품)'!B190,'JUNE (물량흐름)'!$W$13:$W$493)</f>
        <v>0</v>
      </c>
      <c r="W190" s="58">
        <f t="shared" si="72"/>
        <v>0</v>
      </c>
      <c r="X190" s="58">
        <f t="shared" si="73"/>
        <v>0</v>
      </c>
      <c r="Y190" s="58">
        <f>SUMIF('JUNE (물량흐름)'!$C$13:$C$488,'In-out-bal products (155)(완성제품)'!B190,'JUNE (물량흐름)'!$X$13:$X$488)</f>
        <v>0</v>
      </c>
      <c r="Z190" s="58">
        <f t="shared" si="74"/>
        <v>0</v>
      </c>
      <c r="AA190" s="58">
        <f t="shared" si="75"/>
        <v>0</v>
      </c>
      <c r="AB190" s="58"/>
      <c r="AC190" s="58"/>
      <c r="AD190" s="61"/>
      <c r="AE190" s="58">
        <f t="shared" si="76"/>
        <v>0</v>
      </c>
      <c r="AF190" s="58">
        <f t="shared" si="77"/>
        <v>0</v>
      </c>
      <c r="AG190" s="61">
        <f t="shared" si="78"/>
        <v>0</v>
      </c>
      <c r="AH190" s="58">
        <v>0</v>
      </c>
      <c r="AI190" s="58">
        <v>0</v>
      </c>
      <c r="AJ190" s="61">
        <v>0</v>
      </c>
      <c r="AK190" s="58"/>
      <c r="AL190" s="58"/>
      <c r="AM190" s="61"/>
      <c r="AN190" s="61">
        <f t="shared" si="79"/>
        <v>0</v>
      </c>
      <c r="AO190" s="58">
        <f t="shared" si="80"/>
        <v>0</v>
      </c>
      <c r="AP190" s="61">
        <f t="shared" si="81"/>
        <v>0</v>
      </c>
      <c r="AQ190" s="58">
        <f t="shared" si="82"/>
        <v>0</v>
      </c>
      <c r="AR190" s="58">
        <f t="shared" si="83"/>
        <v>0</v>
      </c>
      <c r="AS190" s="58">
        <f t="shared" si="84"/>
        <v>0</v>
      </c>
      <c r="AT190" s="58">
        <f>ROUND(SUMIF('JUNE (물량흐름)'!$C$13:$C$502,'In-out-bal products (155)(완성제품)'!B190,'JUNE (물량흐름)'!$AB$13:$AB$502),0)</f>
        <v>0</v>
      </c>
      <c r="AU190" s="58">
        <f t="shared" si="85"/>
        <v>0</v>
      </c>
      <c r="AV190" s="58">
        <f>ROUND(SUMIF('JUNE (물량흐름)'!$C$13:$C$502,'In-out-bal products (155)(완성제품)'!B190,'JUNE (물량흐름)'!$AC$13:$AC$502),0)</f>
        <v>0</v>
      </c>
      <c r="AW190" s="58">
        <f t="shared" si="86"/>
        <v>0</v>
      </c>
      <c r="AX190" s="376">
        <f t="shared" si="87"/>
        <v>0</v>
      </c>
      <c r="AY190" s="377">
        <f t="shared" si="88"/>
        <v>0</v>
      </c>
      <c r="AZ190" s="377">
        <f t="shared" si="89"/>
        <v>0</v>
      </c>
      <c r="BA190" s="377">
        <f t="shared" si="90"/>
        <v>0</v>
      </c>
      <c r="BB190" s="377"/>
      <c r="BC190" s="377">
        <f t="shared" si="91"/>
        <v>0</v>
      </c>
      <c r="BD190" s="377">
        <f t="shared" si="92"/>
        <v>0</v>
      </c>
      <c r="BE190" s="377"/>
      <c r="BF190" s="377">
        <f t="shared" si="93"/>
        <v>0</v>
      </c>
      <c r="BG190" s="433">
        <f t="shared" si="94"/>
        <v>0</v>
      </c>
      <c r="BH190" s="434">
        <f t="shared" si="95"/>
        <v>0</v>
      </c>
    </row>
    <row r="191" spans="1:60" s="378" customFormat="1">
      <c r="A191" s="167">
        <v>181</v>
      </c>
      <c r="B191" s="253">
        <f>VLOOKUP(A191,'JUNE (물량흐름)'!$A$13:$C$493,3,0)</f>
        <v>100016362</v>
      </c>
      <c r="C191" s="57" t="str">
        <f>VLOOKUP(A191,'JUNE (물량흐름)'!$A$13:$C$493,2,0)</f>
        <v>ALFANI</v>
      </c>
      <c r="D191" s="58">
        <f>IFERROR(VLOOKUP(B191,O.B.JUNE!$V$7:$Y$448,2,0),0)</f>
        <v>0</v>
      </c>
      <c r="E191" s="58">
        <f>IFERROR(VLOOKUP(B191,O.B.JUNE!$V$7:$X$448,3,0),0)</f>
        <v>0</v>
      </c>
      <c r="F191" s="58">
        <f>IFERROR(VLOOKUP(B191,O.B.JUNE!$V$7:$Y$448,4,0),0)</f>
        <v>0</v>
      </c>
      <c r="G191" s="58">
        <f>SUMIF('JUNE (물량흐름)'!$C$13:$C$493,'In-out-bal products (155)(완성제품)'!B191,'JUNE (물량흐름)'!$V$13:$V$493)</f>
        <v>0</v>
      </c>
      <c r="H191" s="58">
        <f>SUMIF('JUNE (물량흐름)'!$C$13:$C$493,'In-out-bal products (155)(완성제품)'!B191,'JUNE (물량흐름)'!$T$13:$T$493)-SUMIF('JUNE (물량흐름)'!$C$13:$C$493,'In-out-bal products (155)(완성제품)'!B191,'JUNE (물량흐름)'!$Y$13:$Y$493)+SUMIF('JUNE (물량흐름)'!$C$13:$C$493,'In-out-bal products (155)(완성제품)'!B191,'JUNE (물량흐름)'!$U$13:$U$493)</f>
        <v>0</v>
      </c>
      <c r="I191" s="58">
        <f t="shared" si="66"/>
        <v>0</v>
      </c>
      <c r="J191" s="58">
        <f>SUMIF('Direct labour(직접노무비)'!$C$12:$C$503,'In-out-bal products (155)(완성제품)'!B191,'Direct labour(직접노무비)'!$Q$12:$Q$503)</f>
        <v>0</v>
      </c>
      <c r="K191" s="59">
        <f>SUMIF('Overhead exp(제조경비)'!$C$12:$C$503,'In-out-bal products (155)(완성제품)'!B191,'Overhead exp(제조경비)'!$Q$12:$Q$503)</f>
        <v>0</v>
      </c>
      <c r="L191" s="58">
        <f t="shared" si="67"/>
        <v>0</v>
      </c>
      <c r="M191" s="58">
        <f>SUMIF('JUNE (물량흐름)'!$C$13:$C$488,'In-out-bal products (155)(완성제품)'!B191,'JUNE (물량흐름)'!$Y$13:$Y$488)</f>
        <v>0</v>
      </c>
      <c r="N191" s="58">
        <f t="shared" si="68"/>
        <v>0</v>
      </c>
      <c r="O191" s="58">
        <f>SUMIF('Direct labour(직접노무비)'!$C$12:$C$503,'In-out-bal products (155)(완성제품)'!B191,'Direct labour(직접노무비)'!$U$12:$U$503)+SUMIF('Overhead exp(제조경비)'!$C$12:$C$503,'In-out-bal products (155)(완성제품)'!B191,'Overhead exp(제조경비)'!$U$12:$U$503)</f>
        <v>0</v>
      </c>
      <c r="P191" s="60">
        <f t="shared" si="69"/>
        <v>0</v>
      </c>
      <c r="Q191" s="60">
        <f t="shared" si="70"/>
        <v>0</v>
      </c>
      <c r="R191" s="60">
        <f t="shared" si="71"/>
        <v>0</v>
      </c>
      <c r="S191" s="58">
        <v>0</v>
      </c>
      <c r="T191" s="58">
        <v>0</v>
      </c>
      <c r="U191" s="58">
        <v>0</v>
      </c>
      <c r="V191" s="58">
        <f>SUMIF('JUNE (물량흐름)'!$C$13:$C$493,'In-out-bal products (155)(완성제품)'!B191,'JUNE (물량흐름)'!$W$13:$W$493)</f>
        <v>0</v>
      </c>
      <c r="W191" s="58">
        <f t="shared" si="72"/>
        <v>0</v>
      </c>
      <c r="X191" s="58">
        <f t="shared" si="73"/>
        <v>0</v>
      </c>
      <c r="Y191" s="58">
        <f>SUMIF('JUNE (물량흐름)'!$C$13:$C$488,'In-out-bal products (155)(완성제품)'!B191,'JUNE (물량흐름)'!$X$13:$X$488)</f>
        <v>0</v>
      </c>
      <c r="Z191" s="58">
        <f t="shared" si="74"/>
        <v>0</v>
      </c>
      <c r="AA191" s="58">
        <f t="shared" si="75"/>
        <v>0</v>
      </c>
      <c r="AB191" s="58"/>
      <c r="AC191" s="58"/>
      <c r="AD191" s="61"/>
      <c r="AE191" s="58">
        <f t="shared" si="76"/>
        <v>0</v>
      </c>
      <c r="AF191" s="58">
        <f t="shared" si="77"/>
        <v>0</v>
      </c>
      <c r="AG191" s="61">
        <f t="shared" si="78"/>
        <v>0</v>
      </c>
      <c r="AH191" s="58">
        <v>0</v>
      </c>
      <c r="AI191" s="58">
        <v>0</v>
      </c>
      <c r="AJ191" s="61">
        <v>0</v>
      </c>
      <c r="AK191" s="58"/>
      <c r="AL191" s="58"/>
      <c r="AM191" s="61"/>
      <c r="AN191" s="61">
        <f t="shared" si="79"/>
        <v>0</v>
      </c>
      <c r="AO191" s="58">
        <f t="shared" si="80"/>
        <v>0</v>
      </c>
      <c r="AP191" s="61">
        <f t="shared" si="81"/>
        <v>0</v>
      </c>
      <c r="AQ191" s="58">
        <f t="shared" si="82"/>
        <v>0</v>
      </c>
      <c r="AR191" s="58">
        <f t="shared" si="83"/>
        <v>0</v>
      </c>
      <c r="AS191" s="58">
        <f t="shared" si="84"/>
        <v>0</v>
      </c>
      <c r="AT191" s="58">
        <f>ROUND(SUMIF('JUNE (물량흐름)'!$C$13:$C$502,'In-out-bal products (155)(완성제품)'!B191,'JUNE (물량흐름)'!$AB$13:$AB$502),0)</f>
        <v>0</v>
      </c>
      <c r="AU191" s="58">
        <f t="shared" si="85"/>
        <v>0</v>
      </c>
      <c r="AV191" s="58">
        <f>ROUND(SUMIF('JUNE (물량흐름)'!$C$13:$C$502,'In-out-bal products (155)(완성제품)'!B191,'JUNE (물량흐름)'!$AC$13:$AC$502),0)</f>
        <v>0</v>
      </c>
      <c r="AW191" s="58">
        <f t="shared" si="86"/>
        <v>0</v>
      </c>
      <c r="AX191" s="376">
        <f t="shared" si="87"/>
        <v>0</v>
      </c>
      <c r="AY191" s="377">
        <f t="shared" si="88"/>
        <v>0</v>
      </c>
      <c r="AZ191" s="377">
        <f t="shared" si="89"/>
        <v>0</v>
      </c>
      <c r="BA191" s="377">
        <f t="shared" si="90"/>
        <v>0</v>
      </c>
      <c r="BB191" s="377"/>
      <c r="BC191" s="377">
        <f t="shared" si="91"/>
        <v>0</v>
      </c>
      <c r="BD191" s="377">
        <f t="shared" si="92"/>
        <v>0</v>
      </c>
      <c r="BE191" s="377"/>
      <c r="BF191" s="377">
        <f t="shared" si="93"/>
        <v>0</v>
      </c>
      <c r="BG191" s="433">
        <f t="shared" si="94"/>
        <v>0</v>
      </c>
      <c r="BH191" s="434">
        <f t="shared" si="95"/>
        <v>0</v>
      </c>
    </row>
    <row r="192" spans="1:60" s="378" customFormat="1">
      <c r="A192" s="167">
        <v>182</v>
      </c>
      <c r="B192" s="253">
        <f>VLOOKUP(A192,'JUNE (물량흐름)'!$A$13:$C$493,3,0)</f>
        <v>100017250</v>
      </c>
      <c r="C192" s="57" t="str">
        <f>VLOOKUP(A192,'JUNE (물량흐름)'!$A$13:$C$493,2,0)</f>
        <v>ALFANI</v>
      </c>
      <c r="D192" s="58">
        <f>IFERROR(VLOOKUP(B192,O.B.JUNE!$V$7:$Y$448,2,0),0)</f>
        <v>0</v>
      </c>
      <c r="E192" s="58">
        <f>IFERROR(VLOOKUP(B192,O.B.JUNE!$V$7:$X$448,3,0),0)</f>
        <v>0</v>
      </c>
      <c r="F192" s="58">
        <f>IFERROR(VLOOKUP(B192,O.B.JUNE!$V$7:$Y$448,4,0),0)</f>
        <v>0</v>
      </c>
      <c r="G192" s="58">
        <f>SUMIF('JUNE (물량흐름)'!$C$13:$C$493,'In-out-bal products (155)(완성제품)'!B192,'JUNE (물량흐름)'!$V$13:$V$493)</f>
        <v>0</v>
      </c>
      <c r="H192" s="58">
        <f>SUMIF('JUNE (물량흐름)'!$C$13:$C$493,'In-out-bal products (155)(완성제품)'!B192,'JUNE (물량흐름)'!$T$13:$T$493)-SUMIF('JUNE (물량흐름)'!$C$13:$C$493,'In-out-bal products (155)(완성제품)'!B192,'JUNE (물량흐름)'!$Y$13:$Y$493)+SUMIF('JUNE (물량흐름)'!$C$13:$C$493,'In-out-bal products (155)(완성제품)'!B192,'JUNE (물량흐름)'!$U$13:$U$493)</f>
        <v>0</v>
      </c>
      <c r="I192" s="58">
        <f t="shared" si="66"/>
        <v>0</v>
      </c>
      <c r="J192" s="58">
        <f>SUMIF('Direct labour(직접노무비)'!$C$12:$C$503,'In-out-bal products (155)(완성제품)'!B192,'Direct labour(직접노무비)'!$Q$12:$Q$503)</f>
        <v>0</v>
      </c>
      <c r="K192" s="59">
        <f>SUMIF('Overhead exp(제조경비)'!$C$12:$C$503,'In-out-bal products (155)(완성제품)'!B192,'Overhead exp(제조경비)'!$Q$12:$Q$503)</f>
        <v>0</v>
      </c>
      <c r="L192" s="58">
        <f t="shared" si="67"/>
        <v>0</v>
      </c>
      <c r="M192" s="58">
        <f>SUMIF('JUNE (물량흐름)'!$C$13:$C$488,'In-out-bal products (155)(완성제품)'!B192,'JUNE (물량흐름)'!$Y$13:$Y$488)</f>
        <v>0</v>
      </c>
      <c r="N192" s="58">
        <f t="shared" si="68"/>
        <v>0</v>
      </c>
      <c r="O192" s="58">
        <f>SUMIF('Direct labour(직접노무비)'!$C$12:$C$503,'In-out-bal products (155)(완성제품)'!B192,'Direct labour(직접노무비)'!$U$12:$U$503)+SUMIF('Overhead exp(제조경비)'!$C$12:$C$503,'In-out-bal products (155)(완성제품)'!B192,'Overhead exp(제조경비)'!$U$12:$U$503)</f>
        <v>0</v>
      </c>
      <c r="P192" s="60">
        <f t="shared" si="69"/>
        <v>0</v>
      </c>
      <c r="Q192" s="60">
        <f t="shared" si="70"/>
        <v>0</v>
      </c>
      <c r="R192" s="60">
        <f t="shared" si="71"/>
        <v>0</v>
      </c>
      <c r="S192" s="58">
        <v>0</v>
      </c>
      <c r="T192" s="58">
        <v>0</v>
      </c>
      <c r="U192" s="58">
        <v>0</v>
      </c>
      <c r="V192" s="58">
        <f>SUMIF('JUNE (물량흐름)'!$C$13:$C$493,'In-out-bal products (155)(완성제품)'!B192,'JUNE (물량흐름)'!$W$13:$W$493)</f>
        <v>0</v>
      </c>
      <c r="W192" s="58">
        <f t="shared" si="72"/>
        <v>0</v>
      </c>
      <c r="X192" s="58">
        <f t="shared" si="73"/>
        <v>0</v>
      </c>
      <c r="Y192" s="58">
        <f>SUMIF('JUNE (물량흐름)'!$C$13:$C$488,'In-out-bal products (155)(완성제품)'!B192,'JUNE (물량흐름)'!$X$13:$X$488)</f>
        <v>0</v>
      </c>
      <c r="Z192" s="58">
        <f t="shared" si="74"/>
        <v>0</v>
      </c>
      <c r="AA192" s="58">
        <f t="shared" si="75"/>
        <v>0</v>
      </c>
      <c r="AB192" s="58"/>
      <c r="AC192" s="58"/>
      <c r="AD192" s="61"/>
      <c r="AE192" s="58">
        <f t="shared" si="76"/>
        <v>0</v>
      </c>
      <c r="AF192" s="58">
        <f t="shared" si="77"/>
        <v>0</v>
      </c>
      <c r="AG192" s="61">
        <f t="shared" si="78"/>
        <v>0</v>
      </c>
      <c r="AH192" s="58">
        <v>0</v>
      </c>
      <c r="AI192" s="58">
        <v>0</v>
      </c>
      <c r="AJ192" s="61">
        <v>0</v>
      </c>
      <c r="AK192" s="58"/>
      <c r="AL192" s="58"/>
      <c r="AM192" s="61"/>
      <c r="AN192" s="61">
        <f t="shared" si="79"/>
        <v>0</v>
      </c>
      <c r="AO192" s="58">
        <f t="shared" si="80"/>
        <v>0</v>
      </c>
      <c r="AP192" s="61">
        <f t="shared" si="81"/>
        <v>0</v>
      </c>
      <c r="AQ192" s="58">
        <f t="shared" si="82"/>
        <v>0</v>
      </c>
      <c r="AR192" s="58">
        <f t="shared" si="83"/>
        <v>0</v>
      </c>
      <c r="AS192" s="58">
        <f t="shared" si="84"/>
        <v>0</v>
      </c>
      <c r="AT192" s="58">
        <f>ROUND(SUMIF('JUNE (물량흐름)'!$C$13:$C$502,'In-out-bal products (155)(완성제품)'!B192,'JUNE (물량흐름)'!$AB$13:$AB$502),0)</f>
        <v>0</v>
      </c>
      <c r="AU192" s="58">
        <f t="shared" si="85"/>
        <v>0</v>
      </c>
      <c r="AV192" s="58">
        <f>ROUND(SUMIF('JUNE (물량흐름)'!$C$13:$C$502,'In-out-bal products (155)(완성제품)'!B192,'JUNE (물량흐름)'!$AC$13:$AC$502),0)</f>
        <v>0</v>
      </c>
      <c r="AW192" s="58">
        <f t="shared" si="86"/>
        <v>0</v>
      </c>
      <c r="AX192" s="376">
        <f t="shared" si="87"/>
        <v>0</v>
      </c>
      <c r="AY192" s="377">
        <f t="shared" si="88"/>
        <v>0</v>
      </c>
      <c r="AZ192" s="377">
        <f t="shared" si="89"/>
        <v>0</v>
      </c>
      <c r="BA192" s="377">
        <f t="shared" si="90"/>
        <v>0</v>
      </c>
      <c r="BB192" s="377"/>
      <c r="BC192" s="377">
        <f t="shared" si="91"/>
        <v>0</v>
      </c>
      <c r="BD192" s="377">
        <f t="shared" si="92"/>
        <v>0</v>
      </c>
      <c r="BE192" s="377"/>
      <c r="BF192" s="377">
        <f t="shared" si="93"/>
        <v>0</v>
      </c>
      <c r="BG192" s="433">
        <f t="shared" si="94"/>
        <v>0</v>
      </c>
      <c r="BH192" s="434">
        <f t="shared" si="95"/>
        <v>0</v>
      </c>
    </row>
    <row r="193" spans="1:60" s="378" customFormat="1">
      <c r="A193" s="167">
        <v>183</v>
      </c>
      <c r="B193" s="253">
        <f>VLOOKUP(A193,'JUNE (물량흐름)'!$A$13:$C$493,3,0)</f>
        <v>100017251</v>
      </c>
      <c r="C193" s="57" t="str">
        <f>VLOOKUP(A193,'JUNE (물량흐름)'!$A$13:$C$493,2,0)</f>
        <v>ALFANI</v>
      </c>
      <c r="D193" s="58">
        <f>IFERROR(VLOOKUP(B193,O.B.JUNE!$V$7:$Y$448,2,0),0)</f>
        <v>0</v>
      </c>
      <c r="E193" s="58">
        <f>IFERROR(VLOOKUP(B193,O.B.JUNE!$V$7:$X$448,3,0),0)</f>
        <v>0</v>
      </c>
      <c r="F193" s="58">
        <f>IFERROR(VLOOKUP(B193,O.B.JUNE!$V$7:$Y$448,4,0),0)</f>
        <v>0</v>
      </c>
      <c r="G193" s="58">
        <f>SUMIF('JUNE (물량흐름)'!$C$13:$C$493,'In-out-bal products (155)(완성제품)'!B193,'JUNE (물량흐름)'!$V$13:$V$493)</f>
        <v>0</v>
      </c>
      <c r="H193" s="58">
        <f>SUMIF('JUNE (물량흐름)'!$C$13:$C$493,'In-out-bal products (155)(완성제품)'!B193,'JUNE (물량흐름)'!$T$13:$T$493)-SUMIF('JUNE (물량흐름)'!$C$13:$C$493,'In-out-bal products (155)(완성제품)'!B193,'JUNE (물량흐름)'!$Y$13:$Y$493)+SUMIF('JUNE (물량흐름)'!$C$13:$C$493,'In-out-bal products (155)(완성제품)'!B193,'JUNE (물량흐름)'!$U$13:$U$493)</f>
        <v>0</v>
      </c>
      <c r="I193" s="58">
        <f t="shared" si="66"/>
        <v>0</v>
      </c>
      <c r="J193" s="58">
        <f>SUMIF('Direct labour(직접노무비)'!$C$12:$C$503,'In-out-bal products (155)(완성제품)'!B193,'Direct labour(직접노무비)'!$Q$12:$Q$503)</f>
        <v>0</v>
      </c>
      <c r="K193" s="59">
        <f>SUMIF('Overhead exp(제조경비)'!$C$12:$C$503,'In-out-bal products (155)(완성제품)'!B193,'Overhead exp(제조경비)'!$Q$12:$Q$503)</f>
        <v>0</v>
      </c>
      <c r="L193" s="58">
        <f t="shared" si="67"/>
        <v>0</v>
      </c>
      <c r="M193" s="58">
        <f>SUMIF('JUNE (물량흐름)'!$C$13:$C$488,'In-out-bal products (155)(완성제품)'!B193,'JUNE (물량흐름)'!$Y$13:$Y$488)</f>
        <v>0</v>
      </c>
      <c r="N193" s="58">
        <f t="shared" si="68"/>
        <v>0</v>
      </c>
      <c r="O193" s="58">
        <f>SUMIF('Direct labour(직접노무비)'!$C$12:$C$503,'In-out-bal products (155)(완성제품)'!B193,'Direct labour(직접노무비)'!$U$12:$U$503)+SUMIF('Overhead exp(제조경비)'!$C$12:$C$503,'In-out-bal products (155)(완성제품)'!B193,'Overhead exp(제조경비)'!$U$12:$U$503)</f>
        <v>0</v>
      </c>
      <c r="P193" s="60">
        <f t="shared" si="69"/>
        <v>0</v>
      </c>
      <c r="Q193" s="60">
        <f t="shared" si="70"/>
        <v>0</v>
      </c>
      <c r="R193" s="60">
        <f t="shared" si="71"/>
        <v>0</v>
      </c>
      <c r="S193" s="58">
        <v>0</v>
      </c>
      <c r="T193" s="58">
        <v>0</v>
      </c>
      <c r="U193" s="58">
        <v>0</v>
      </c>
      <c r="V193" s="58">
        <f>SUMIF('JUNE (물량흐름)'!$C$13:$C$493,'In-out-bal products (155)(완성제품)'!B193,'JUNE (물량흐름)'!$W$13:$W$493)</f>
        <v>0</v>
      </c>
      <c r="W193" s="58">
        <f t="shared" si="72"/>
        <v>0</v>
      </c>
      <c r="X193" s="58">
        <f t="shared" si="73"/>
        <v>0</v>
      </c>
      <c r="Y193" s="58">
        <f>SUMIF('JUNE (물량흐름)'!$C$13:$C$488,'In-out-bal products (155)(완성제품)'!B193,'JUNE (물량흐름)'!$X$13:$X$488)</f>
        <v>0</v>
      </c>
      <c r="Z193" s="58">
        <f t="shared" si="74"/>
        <v>0</v>
      </c>
      <c r="AA193" s="58">
        <f t="shared" si="75"/>
        <v>0</v>
      </c>
      <c r="AB193" s="58"/>
      <c r="AC193" s="58"/>
      <c r="AD193" s="61"/>
      <c r="AE193" s="58">
        <f t="shared" si="76"/>
        <v>0</v>
      </c>
      <c r="AF193" s="58">
        <f t="shared" si="77"/>
        <v>0</v>
      </c>
      <c r="AG193" s="61">
        <f t="shared" si="78"/>
        <v>0</v>
      </c>
      <c r="AH193" s="58">
        <v>0</v>
      </c>
      <c r="AI193" s="58">
        <v>0</v>
      </c>
      <c r="AJ193" s="61">
        <v>0</v>
      </c>
      <c r="AK193" s="58"/>
      <c r="AL193" s="58"/>
      <c r="AM193" s="61"/>
      <c r="AN193" s="61">
        <f t="shared" si="79"/>
        <v>0</v>
      </c>
      <c r="AO193" s="58">
        <f t="shared" si="80"/>
        <v>0</v>
      </c>
      <c r="AP193" s="61">
        <f t="shared" si="81"/>
        <v>0</v>
      </c>
      <c r="AQ193" s="58">
        <f t="shared" si="82"/>
        <v>0</v>
      </c>
      <c r="AR193" s="58">
        <f t="shared" si="83"/>
        <v>0</v>
      </c>
      <c r="AS193" s="58">
        <f t="shared" si="84"/>
        <v>0</v>
      </c>
      <c r="AT193" s="58">
        <f>ROUND(SUMIF('JUNE (물량흐름)'!$C$13:$C$502,'In-out-bal products (155)(완성제품)'!B193,'JUNE (물량흐름)'!$AB$13:$AB$502),0)</f>
        <v>0</v>
      </c>
      <c r="AU193" s="58">
        <f t="shared" si="85"/>
        <v>0</v>
      </c>
      <c r="AV193" s="58">
        <f>ROUND(SUMIF('JUNE (물량흐름)'!$C$13:$C$502,'In-out-bal products (155)(완성제품)'!B193,'JUNE (물량흐름)'!$AC$13:$AC$502),0)</f>
        <v>0</v>
      </c>
      <c r="AW193" s="58">
        <f t="shared" si="86"/>
        <v>0</v>
      </c>
      <c r="AX193" s="376">
        <f t="shared" si="87"/>
        <v>0</v>
      </c>
      <c r="AY193" s="377">
        <f t="shared" si="88"/>
        <v>0</v>
      </c>
      <c r="AZ193" s="377">
        <f t="shared" si="89"/>
        <v>0</v>
      </c>
      <c r="BA193" s="377">
        <f t="shared" si="90"/>
        <v>0</v>
      </c>
      <c r="BB193" s="377"/>
      <c r="BC193" s="377">
        <f t="shared" si="91"/>
        <v>0</v>
      </c>
      <c r="BD193" s="377">
        <f t="shared" si="92"/>
        <v>0</v>
      </c>
      <c r="BE193" s="377"/>
      <c r="BF193" s="377">
        <f t="shared" si="93"/>
        <v>0</v>
      </c>
      <c r="BG193" s="433">
        <f t="shared" si="94"/>
        <v>0</v>
      </c>
      <c r="BH193" s="434">
        <f t="shared" si="95"/>
        <v>0</v>
      </c>
    </row>
    <row r="194" spans="1:60" s="378" customFormat="1">
      <c r="A194" s="167">
        <v>184</v>
      </c>
      <c r="B194" s="253">
        <f>VLOOKUP(A194,'JUNE (물량흐름)'!$A$13:$C$493,3,0)</f>
        <v>100017339</v>
      </c>
      <c r="C194" s="57" t="str">
        <f>VLOOKUP(A194,'JUNE (물량흐름)'!$A$13:$C$493,2,0)</f>
        <v>ALFANI</v>
      </c>
      <c r="D194" s="58">
        <f>IFERROR(VLOOKUP(B194,O.B.JUNE!$V$7:$Y$448,2,0),0)</f>
        <v>0</v>
      </c>
      <c r="E194" s="58">
        <f>IFERROR(VLOOKUP(B194,O.B.JUNE!$V$7:$X$448,3,0),0)</f>
        <v>0</v>
      </c>
      <c r="F194" s="58">
        <f>IFERROR(VLOOKUP(B194,O.B.JUNE!$V$7:$Y$448,4,0),0)</f>
        <v>0</v>
      </c>
      <c r="G194" s="58">
        <f>SUMIF('JUNE (물량흐름)'!$C$13:$C$493,'In-out-bal products (155)(완성제품)'!B194,'JUNE (물량흐름)'!$V$13:$V$493)</f>
        <v>0</v>
      </c>
      <c r="H194" s="58">
        <f>SUMIF('JUNE (물량흐름)'!$C$13:$C$493,'In-out-bal products (155)(완성제품)'!B194,'JUNE (물량흐름)'!$T$13:$T$493)-SUMIF('JUNE (물량흐름)'!$C$13:$C$493,'In-out-bal products (155)(완성제품)'!B194,'JUNE (물량흐름)'!$Y$13:$Y$493)+SUMIF('JUNE (물량흐름)'!$C$13:$C$493,'In-out-bal products (155)(완성제품)'!B194,'JUNE (물량흐름)'!$U$13:$U$493)</f>
        <v>0</v>
      </c>
      <c r="I194" s="58">
        <f t="shared" si="66"/>
        <v>0</v>
      </c>
      <c r="J194" s="58">
        <f>SUMIF('Direct labour(직접노무비)'!$C$12:$C$503,'In-out-bal products (155)(완성제품)'!B194,'Direct labour(직접노무비)'!$Q$12:$Q$503)</f>
        <v>0</v>
      </c>
      <c r="K194" s="59">
        <f>SUMIF('Overhead exp(제조경비)'!$C$12:$C$503,'In-out-bal products (155)(완성제품)'!B194,'Overhead exp(제조경비)'!$Q$12:$Q$503)</f>
        <v>0</v>
      </c>
      <c r="L194" s="58">
        <f t="shared" si="67"/>
        <v>0</v>
      </c>
      <c r="M194" s="58">
        <f>SUMIF('JUNE (물량흐름)'!$C$13:$C$488,'In-out-bal products (155)(완성제품)'!B194,'JUNE (물량흐름)'!$Y$13:$Y$488)</f>
        <v>0</v>
      </c>
      <c r="N194" s="58">
        <f t="shared" si="68"/>
        <v>0</v>
      </c>
      <c r="O194" s="58">
        <f>SUMIF('Direct labour(직접노무비)'!$C$12:$C$503,'In-out-bal products (155)(완성제품)'!B194,'Direct labour(직접노무비)'!$U$12:$U$503)+SUMIF('Overhead exp(제조경비)'!$C$12:$C$503,'In-out-bal products (155)(완성제품)'!B194,'Overhead exp(제조경비)'!$U$12:$U$503)</f>
        <v>0</v>
      </c>
      <c r="P194" s="60">
        <f t="shared" si="69"/>
        <v>0</v>
      </c>
      <c r="Q194" s="60">
        <f t="shared" si="70"/>
        <v>0</v>
      </c>
      <c r="R194" s="60">
        <f t="shared" si="71"/>
        <v>0</v>
      </c>
      <c r="S194" s="58">
        <v>0</v>
      </c>
      <c r="T194" s="58">
        <v>0</v>
      </c>
      <c r="U194" s="58">
        <v>0</v>
      </c>
      <c r="V194" s="58">
        <f>SUMIF('JUNE (물량흐름)'!$C$13:$C$493,'In-out-bal products (155)(완성제품)'!B194,'JUNE (물량흐름)'!$W$13:$W$493)</f>
        <v>0</v>
      </c>
      <c r="W194" s="58">
        <f t="shared" si="72"/>
        <v>0</v>
      </c>
      <c r="X194" s="58">
        <f t="shared" si="73"/>
        <v>0</v>
      </c>
      <c r="Y194" s="58">
        <f>SUMIF('JUNE (물량흐름)'!$C$13:$C$488,'In-out-bal products (155)(완성제품)'!B194,'JUNE (물량흐름)'!$X$13:$X$488)</f>
        <v>0</v>
      </c>
      <c r="Z194" s="58">
        <f t="shared" si="74"/>
        <v>0</v>
      </c>
      <c r="AA194" s="58">
        <f t="shared" si="75"/>
        <v>0</v>
      </c>
      <c r="AB194" s="58"/>
      <c r="AC194" s="58"/>
      <c r="AD194" s="61"/>
      <c r="AE194" s="58">
        <f t="shared" si="76"/>
        <v>0</v>
      </c>
      <c r="AF194" s="58">
        <f t="shared" si="77"/>
        <v>0</v>
      </c>
      <c r="AG194" s="61">
        <f t="shared" si="78"/>
        <v>0</v>
      </c>
      <c r="AH194" s="58">
        <v>0</v>
      </c>
      <c r="AI194" s="58">
        <v>0</v>
      </c>
      <c r="AJ194" s="61">
        <v>0</v>
      </c>
      <c r="AK194" s="58"/>
      <c r="AL194" s="58"/>
      <c r="AM194" s="61"/>
      <c r="AN194" s="61">
        <f t="shared" si="79"/>
        <v>0</v>
      </c>
      <c r="AO194" s="58">
        <f t="shared" si="80"/>
        <v>0</v>
      </c>
      <c r="AP194" s="61">
        <f t="shared" si="81"/>
        <v>0</v>
      </c>
      <c r="AQ194" s="58">
        <f t="shared" si="82"/>
        <v>0</v>
      </c>
      <c r="AR194" s="58">
        <f t="shared" si="83"/>
        <v>0</v>
      </c>
      <c r="AS194" s="58">
        <f t="shared" si="84"/>
        <v>0</v>
      </c>
      <c r="AT194" s="58">
        <f>ROUND(SUMIF('JUNE (물량흐름)'!$C$13:$C$502,'In-out-bal products (155)(완성제품)'!B194,'JUNE (물량흐름)'!$AB$13:$AB$502),0)</f>
        <v>0</v>
      </c>
      <c r="AU194" s="58">
        <f t="shared" si="85"/>
        <v>0</v>
      </c>
      <c r="AV194" s="58">
        <f>ROUND(SUMIF('JUNE (물량흐름)'!$C$13:$C$502,'In-out-bal products (155)(완성제품)'!B194,'JUNE (물량흐름)'!$AC$13:$AC$502),0)</f>
        <v>0</v>
      </c>
      <c r="AW194" s="58">
        <f t="shared" si="86"/>
        <v>0</v>
      </c>
      <c r="AX194" s="376">
        <f t="shared" si="87"/>
        <v>0</v>
      </c>
      <c r="AY194" s="377">
        <f t="shared" si="88"/>
        <v>0</v>
      </c>
      <c r="AZ194" s="377">
        <f t="shared" si="89"/>
        <v>0</v>
      </c>
      <c r="BA194" s="377">
        <f t="shared" si="90"/>
        <v>0</v>
      </c>
      <c r="BB194" s="377"/>
      <c r="BC194" s="377">
        <f t="shared" si="91"/>
        <v>0</v>
      </c>
      <c r="BD194" s="377">
        <f t="shared" si="92"/>
        <v>0</v>
      </c>
      <c r="BE194" s="377"/>
      <c r="BF194" s="377">
        <f t="shared" si="93"/>
        <v>0</v>
      </c>
      <c r="BG194" s="433">
        <f t="shared" si="94"/>
        <v>0</v>
      </c>
      <c r="BH194" s="434">
        <f t="shared" si="95"/>
        <v>0</v>
      </c>
    </row>
    <row r="195" spans="1:60" s="378" customFormat="1">
      <c r="A195" s="167">
        <v>185</v>
      </c>
      <c r="B195" s="253">
        <f>VLOOKUP(A195,'JUNE (물량흐름)'!$A$13:$C$493,3,0)</f>
        <v>100018342</v>
      </c>
      <c r="C195" s="57" t="str">
        <f>VLOOKUP(A195,'JUNE (물량흐름)'!$A$13:$C$493,2,0)</f>
        <v>ALFANI</v>
      </c>
      <c r="D195" s="58">
        <f>IFERROR(VLOOKUP(B195,O.B.JUNE!$V$7:$Y$448,2,0),0)</f>
        <v>0</v>
      </c>
      <c r="E195" s="58">
        <f>IFERROR(VLOOKUP(B195,O.B.JUNE!$V$7:$X$448,3,0),0)</f>
        <v>0</v>
      </c>
      <c r="F195" s="58">
        <f>IFERROR(VLOOKUP(B195,O.B.JUNE!$V$7:$Y$448,4,0),0)</f>
        <v>0</v>
      </c>
      <c r="G195" s="58">
        <f>SUMIF('JUNE (물량흐름)'!$C$13:$C$493,'In-out-bal products (155)(완성제품)'!B195,'JUNE (물량흐름)'!$V$13:$V$493)</f>
        <v>0</v>
      </c>
      <c r="H195" s="58">
        <f>SUMIF('JUNE (물량흐름)'!$C$13:$C$493,'In-out-bal products (155)(완성제품)'!B195,'JUNE (물량흐름)'!$T$13:$T$493)-SUMIF('JUNE (물량흐름)'!$C$13:$C$493,'In-out-bal products (155)(완성제품)'!B195,'JUNE (물량흐름)'!$Y$13:$Y$493)+SUMIF('JUNE (물량흐름)'!$C$13:$C$493,'In-out-bal products (155)(완성제품)'!B195,'JUNE (물량흐름)'!$U$13:$U$493)</f>
        <v>0</v>
      </c>
      <c r="I195" s="58">
        <f t="shared" si="66"/>
        <v>0</v>
      </c>
      <c r="J195" s="58">
        <f>SUMIF('Direct labour(직접노무비)'!$C$12:$C$503,'In-out-bal products (155)(완성제품)'!B195,'Direct labour(직접노무비)'!$Q$12:$Q$503)</f>
        <v>0</v>
      </c>
      <c r="K195" s="59">
        <f>SUMIF('Overhead exp(제조경비)'!$C$12:$C$503,'In-out-bal products (155)(완성제품)'!B195,'Overhead exp(제조경비)'!$Q$12:$Q$503)</f>
        <v>0</v>
      </c>
      <c r="L195" s="58">
        <f t="shared" si="67"/>
        <v>0</v>
      </c>
      <c r="M195" s="58">
        <f>SUMIF('JUNE (물량흐름)'!$C$13:$C$488,'In-out-bal products (155)(완성제품)'!B195,'JUNE (물량흐름)'!$Y$13:$Y$488)</f>
        <v>0</v>
      </c>
      <c r="N195" s="58">
        <f t="shared" si="68"/>
        <v>0</v>
      </c>
      <c r="O195" s="58">
        <f>SUMIF('Direct labour(직접노무비)'!$C$12:$C$503,'In-out-bal products (155)(완성제품)'!B195,'Direct labour(직접노무비)'!$U$12:$U$503)+SUMIF('Overhead exp(제조경비)'!$C$12:$C$503,'In-out-bal products (155)(완성제품)'!B195,'Overhead exp(제조경비)'!$U$12:$U$503)</f>
        <v>0</v>
      </c>
      <c r="P195" s="60">
        <f t="shared" si="69"/>
        <v>0</v>
      </c>
      <c r="Q195" s="60">
        <f t="shared" si="70"/>
        <v>0</v>
      </c>
      <c r="R195" s="60">
        <f t="shared" si="71"/>
        <v>0</v>
      </c>
      <c r="S195" s="58">
        <v>0</v>
      </c>
      <c r="T195" s="58">
        <v>0</v>
      </c>
      <c r="U195" s="58">
        <v>0</v>
      </c>
      <c r="V195" s="58">
        <f>SUMIF('JUNE (물량흐름)'!$C$13:$C$493,'In-out-bal products (155)(완성제품)'!B195,'JUNE (물량흐름)'!$W$13:$W$493)</f>
        <v>0</v>
      </c>
      <c r="W195" s="58">
        <f t="shared" si="72"/>
        <v>0</v>
      </c>
      <c r="X195" s="58">
        <f t="shared" si="73"/>
        <v>0</v>
      </c>
      <c r="Y195" s="58">
        <f>SUMIF('JUNE (물량흐름)'!$C$13:$C$488,'In-out-bal products (155)(완성제품)'!B195,'JUNE (물량흐름)'!$X$13:$X$488)</f>
        <v>0</v>
      </c>
      <c r="Z195" s="58">
        <f t="shared" si="74"/>
        <v>0</v>
      </c>
      <c r="AA195" s="58">
        <f t="shared" si="75"/>
        <v>0</v>
      </c>
      <c r="AB195" s="58"/>
      <c r="AC195" s="58"/>
      <c r="AD195" s="61"/>
      <c r="AE195" s="58">
        <f t="shared" si="76"/>
        <v>0</v>
      </c>
      <c r="AF195" s="58">
        <f t="shared" si="77"/>
        <v>0</v>
      </c>
      <c r="AG195" s="61">
        <f t="shared" si="78"/>
        <v>0</v>
      </c>
      <c r="AH195" s="58">
        <v>0</v>
      </c>
      <c r="AI195" s="58">
        <v>0</v>
      </c>
      <c r="AJ195" s="61">
        <v>0</v>
      </c>
      <c r="AK195" s="58"/>
      <c r="AL195" s="58"/>
      <c r="AM195" s="61"/>
      <c r="AN195" s="61">
        <f t="shared" si="79"/>
        <v>0</v>
      </c>
      <c r="AO195" s="58">
        <f t="shared" si="80"/>
        <v>0</v>
      </c>
      <c r="AP195" s="61">
        <f t="shared" si="81"/>
        <v>0</v>
      </c>
      <c r="AQ195" s="58">
        <f t="shared" si="82"/>
        <v>0</v>
      </c>
      <c r="AR195" s="58">
        <f t="shared" si="83"/>
        <v>0</v>
      </c>
      <c r="AS195" s="58">
        <f t="shared" si="84"/>
        <v>0</v>
      </c>
      <c r="AT195" s="58">
        <f>ROUND(SUMIF('JUNE (물량흐름)'!$C$13:$C$502,'In-out-bal products (155)(완성제품)'!B195,'JUNE (물량흐름)'!$AB$13:$AB$502),0)</f>
        <v>0</v>
      </c>
      <c r="AU195" s="58">
        <f t="shared" si="85"/>
        <v>0</v>
      </c>
      <c r="AV195" s="58">
        <f>ROUND(SUMIF('JUNE (물량흐름)'!$C$13:$C$502,'In-out-bal products (155)(완성제품)'!B195,'JUNE (물량흐름)'!$AC$13:$AC$502),0)</f>
        <v>0</v>
      </c>
      <c r="AW195" s="58">
        <f t="shared" si="86"/>
        <v>0</v>
      </c>
      <c r="AX195" s="376">
        <f t="shared" si="87"/>
        <v>0</v>
      </c>
      <c r="AY195" s="377">
        <f t="shared" si="88"/>
        <v>0</v>
      </c>
      <c r="AZ195" s="377">
        <f t="shared" si="89"/>
        <v>0</v>
      </c>
      <c r="BA195" s="377">
        <f t="shared" si="90"/>
        <v>0</v>
      </c>
      <c r="BB195" s="377"/>
      <c r="BC195" s="377">
        <f t="shared" si="91"/>
        <v>0</v>
      </c>
      <c r="BD195" s="377">
        <f t="shared" si="92"/>
        <v>0</v>
      </c>
      <c r="BE195" s="377"/>
      <c r="BF195" s="377">
        <f t="shared" si="93"/>
        <v>0</v>
      </c>
      <c r="BG195" s="433">
        <f t="shared" si="94"/>
        <v>0</v>
      </c>
      <c r="BH195" s="434">
        <f t="shared" si="95"/>
        <v>0</v>
      </c>
    </row>
    <row r="196" spans="1:60" s="378" customFormat="1">
      <c r="A196" s="167">
        <v>186</v>
      </c>
      <c r="B196" s="253" t="str">
        <f>VLOOKUP(A196,'JUNE (물량흐름)'!$A$13:$C$493,3,0)</f>
        <v>S-69717</v>
      </c>
      <c r="C196" s="57" t="str">
        <f>VLOOKUP(A196,'JUNE (물량흐름)'!$A$13:$C$493,2,0)</f>
        <v>STOCK</v>
      </c>
      <c r="D196" s="58">
        <f>IFERROR(VLOOKUP(B196,O.B.JUNE!$V$7:$Y$448,2,0),0)</f>
        <v>0</v>
      </c>
      <c r="E196" s="58">
        <f>IFERROR(VLOOKUP(B196,O.B.JUNE!$V$7:$X$448,3,0),0)</f>
        <v>0</v>
      </c>
      <c r="F196" s="58">
        <f>IFERROR(VLOOKUP(B196,O.B.JUNE!$V$7:$Y$448,4,0),0)</f>
        <v>0</v>
      </c>
      <c r="G196" s="58">
        <f>SUMIF('JUNE (물량흐름)'!$C$13:$C$493,'In-out-bal products (155)(완성제품)'!B196,'JUNE (물량흐름)'!$V$13:$V$493)</f>
        <v>0</v>
      </c>
      <c r="H196" s="58">
        <f>SUMIF('JUNE (물량흐름)'!$C$13:$C$493,'In-out-bal products (155)(완성제품)'!B196,'JUNE (물량흐름)'!$T$13:$T$493)-SUMIF('JUNE (물량흐름)'!$C$13:$C$493,'In-out-bal products (155)(완성제품)'!B196,'JUNE (물량흐름)'!$Y$13:$Y$493)+SUMIF('JUNE (물량흐름)'!$C$13:$C$493,'In-out-bal products (155)(완성제품)'!B196,'JUNE (물량흐름)'!$U$13:$U$493)</f>
        <v>5784</v>
      </c>
      <c r="I196" s="58">
        <f t="shared" si="66"/>
        <v>10797.817600276625</v>
      </c>
      <c r="J196" s="58">
        <f>SUMIF('Direct labour(직접노무비)'!$C$12:$C$503,'In-out-bal products (155)(완성제품)'!B196,'Direct labour(직접노무비)'!$Q$12:$Q$503)</f>
        <v>26250436</v>
      </c>
      <c r="K196" s="59">
        <f>SUMIF('Overhead exp(제조경비)'!$C$12:$C$503,'In-out-bal products (155)(완성제품)'!B196,'Overhead exp(제조경비)'!$Q$12:$Q$503)</f>
        <v>36204141</v>
      </c>
      <c r="L196" s="58">
        <f t="shared" si="67"/>
        <v>62454577</v>
      </c>
      <c r="M196" s="58">
        <f>SUMIF('JUNE (물량흐름)'!$C$13:$C$488,'In-out-bal products (155)(완성제품)'!B196,'JUNE (물량흐름)'!$Y$13:$Y$488)</f>
        <v>0</v>
      </c>
      <c r="N196" s="58">
        <f t="shared" si="68"/>
        <v>0</v>
      </c>
      <c r="O196" s="58">
        <f>SUMIF('Direct labour(직접노무비)'!$C$12:$C$503,'In-out-bal products (155)(완성제품)'!B196,'Direct labour(직접노무비)'!$U$12:$U$503)+SUMIF('Overhead exp(제조경비)'!$C$12:$C$503,'In-out-bal products (155)(완성제품)'!B196,'Overhead exp(제조경비)'!$U$12:$U$503)</f>
        <v>0</v>
      </c>
      <c r="P196" s="60">
        <f t="shared" si="69"/>
        <v>5784</v>
      </c>
      <c r="Q196" s="60">
        <f t="shared" si="70"/>
        <v>10797.817600276625</v>
      </c>
      <c r="R196" s="60">
        <f t="shared" si="71"/>
        <v>62454577</v>
      </c>
      <c r="S196" s="58">
        <v>0</v>
      </c>
      <c r="T196" s="58">
        <v>0</v>
      </c>
      <c r="U196" s="58">
        <v>0</v>
      </c>
      <c r="V196" s="58">
        <f>SUMIF('JUNE (물량흐름)'!$C$13:$C$493,'In-out-bal products (155)(완성제품)'!B196,'JUNE (물량흐름)'!$W$13:$W$493)</f>
        <v>0</v>
      </c>
      <c r="W196" s="58">
        <f t="shared" si="72"/>
        <v>0</v>
      </c>
      <c r="X196" s="58">
        <f t="shared" si="73"/>
        <v>0</v>
      </c>
      <c r="Y196" s="58">
        <f>SUMIF('JUNE (물량흐름)'!$C$13:$C$488,'In-out-bal products (155)(완성제품)'!B196,'JUNE (물량흐름)'!$X$13:$X$488)</f>
        <v>0</v>
      </c>
      <c r="Z196" s="58">
        <f t="shared" si="74"/>
        <v>0</v>
      </c>
      <c r="AA196" s="58">
        <f t="shared" si="75"/>
        <v>0</v>
      </c>
      <c r="AB196" s="58"/>
      <c r="AC196" s="58"/>
      <c r="AD196" s="61"/>
      <c r="AE196" s="58">
        <f t="shared" si="76"/>
        <v>0</v>
      </c>
      <c r="AF196" s="58">
        <f t="shared" si="77"/>
        <v>0</v>
      </c>
      <c r="AG196" s="61">
        <f t="shared" si="78"/>
        <v>0</v>
      </c>
      <c r="AH196" s="58">
        <v>0</v>
      </c>
      <c r="AI196" s="58">
        <v>0</v>
      </c>
      <c r="AJ196" s="61">
        <v>0</v>
      </c>
      <c r="AK196" s="58"/>
      <c r="AL196" s="58"/>
      <c r="AM196" s="61"/>
      <c r="AN196" s="61">
        <f t="shared" si="79"/>
        <v>0</v>
      </c>
      <c r="AO196" s="58">
        <f t="shared" si="80"/>
        <v>0</v>
      </c>
      <c r="AP196" s="61">
        <f t="shared" si="81"/>
        <v>0</v>
      </c>
      <c r="AQ196" s="58">
        <f t="shared" si="82"/>
        <v>5784</v>
      </c>
      <c r="AR196" s="58">
        <f t="shared" si="83"/>
        <v>10797.817600276625</v>
      </c>
      <c r="AS196" s="58">
        <f t="shared" si="84"/>
        <v>62454577</v>
      </c>
      <c r="AT196" s="58">
        <f>ROUND(SUMIF('JUNE (물량흐름)'!$C$13:$C$502,'In-out-bal products (155)(완성제품)'!B196,'JUNE (물량흐름)'!$AB$13:$AB$502),0)</f>
        <v>0</v>
      </c>
      <c r="AU196" s="58">
        <f t="shared" si="85"/>
        <v>0</v>
      </c>
      <c r="AV196" s="58">
        <f>ROUND(SUMIF('JUNE (물량흐름)'!$C$13:$C$502,'In-out-bal products (155)(완성제품)'!B196,'JUNE (물량흐름)'!$AC$13:$AC$502),0)</f>
        <v>5784</v>
      </c>
      <c r="AW196" s="58">
        <f t="shared" si="86"/>
        <v>62454577</v>
      </c>
      <c r="AX196" s="376">
        <f t="shared" si="87"/>
        <v>0</v>
      </c>
      <c r="AY196" s="377">
        <f t="shared" si="88"/>
        <v>0</v>
      </c>
      <c r="AZ196" s="377">
        <f t="shared" si="89"/>
        <v>0</v>
      </c>
      <c r="BA196" s="377">
        <f t="shared" si="90"/>
        <v>0</v>
      </c>
      <c r="BB196" s="377"/>
      <c r="BC196" s="377">
        <f t="shared" si="91"/>
        <v>0</v>
      </c>
      <c r="BD196" s="377">
        <f t="shared" si="92"/>
        <v>0</v>
      </c>
      <c r="BE196" s="377"/>
      <c r="BF196" s="377">
        <f t="shared" si="93"/>
        <v>0</v>
      </c>
      <c r="BG196" s="433">
        <f t="shared" si="94"/>
        <v>0</v>
      </c>
      <c r="BH196" s="434">
        <f t="shared" si="95"/>
        <v>0</v>
      </c>
    </row>
    <row r="197" spans="1:60" s="378" customFormat="1">
      <c r="A197" s="167">
        <v>187</v>
      </c>
      <c r="B197" s="253">
        <f>VLOOKUP(A197,'JUNE (물량흐름)'!$A$13:$C$493,3,0)</f>
        <v>453088</v>
      </c>
      <c r="C197" s="57" t="str">
        <f>VLOOKUP(A197,'JUNE (물량흐름)'!$A$13:$C$493,2,0)</f>
        <v>ANN TAYLOR</v>
      </c>
      <c r="D197" s="58">
        <f>IFERROR(VLOOKUP(B197,O.B.JUNE!$V$7:$Y$448,2,0),0)</f>
        <v>0</v>
      </c>
      <c r="E197" s="58">
        <f>IFERROR(VLOOKUP(B197,O.B.JUNE!$V$7:$X$448,3,0),0)</f>
        <v>0</v>
      </c>
      <c r="F197" s="58">
        <f>IFERROR(VLOOKUP(B197,O.B.JUNE!$V$7:$Y$448,4,0),0)</f>
        <v>0</v>
      </c>
      <c r="G197" s="58">
        <f>SUMIF('JUNE (물량흐름)'!$C$13:$C$493,'In-out-bal products (155)(완성제품)'!B197,'JUNE (물량흐름)'!$V$13:$V$493)</f>
        <v>0</v>
      </c>
      <c r="H197" s="58">
        <f>SUMIF('JUNE (물량흐름)'!$C$13:$C$493,'In-out-bal products (155)(완성제품)'!B197,'JUNE (물량흐름)'!$T$13:$T$493)-SUMIF('JUNE (물량흐름)'!$C$13:$C$493,'In-out-bal products (155)(완성제품)'!B197,'JUNE (물량흐름)'!$Y$13:$Y$493)+SUMIF('JUNE (물량흐름)'!$C$13:$C$493,'In-out-bal products (155)(완성제품)'!B197,'JUNE (물량흐름)'!$U$13:$U$493)</f>
        <v>745</v>
      </c>
      <c r="I197" s="58">
        <f t="shared" si="66"/>
        <v>27231.735570469798</v>
      </c>
      <c r="J197" s="58">
        <f>SUMIF('Direct labour(직접노무비)'!$C$12:$C$503,'In-out-bal products (155)(완성제품)'!B197,'Direct labour(직접노무비)'!$Q$12:$Q$503)</f>
        <v>8527149</v>
      </c>
      <c r="K197" s="59">
        <f>SUMIF('Overhead exp(제조경비)'!$C$12:$C$503,'In-out-bal products (155)(완성제품)'!B197,'Overhead exp(제조경비)'!$Q$12:$Q$503)</f>
        <v>11760494</v>
      </c>
      <c r="L197" s="58">
        <f t="shared" si="67"/>
        <v>20287643</v>
      </c>
      <c r="M197" s="58">
        <f>SUMIF('JUNE (물량흐름)'!$C$13:$C$488,'In-out-bal products (155)(완성제품)'!B197,'JUNE (물량흐름)'!$Y$13:$Y$488)</f>
        <v>0</v>
      </c>
      <c r="N197" s="58">
        <f t="shared" si="68"/>
        <v>0</v>
      </c>
      <c r="O197" s="58">
        <f>SUMIF('Direct labour(직접노무비)'!$C$12:$C$503,'In-out-bal products (155)(완성제품)'!B197,'Direct labour(직접노무비)'!$U$12:$U$503)+SUMIF('Overhead exp(제조경비)'!$C$12:$C$503,'In-out-bal products (155)(완성제품)'!B197,'Overhead exp(제조경비)'!$U$12:$U$503)</f>
        <v>0</v>
      </c>
      <c r="P197" s="60">
        <f t="shared" si="69"/>
        <v>745</v>
      </c>
      <c r="Q197" s="60">
        <f t="shared" si="70"/>
        <v>27231.735570469798</v>
      </c>
      <c r="R197" s="60">
        <f t="shared" si="71"/>
        <v>20287643</v>
      </c>
      <c r="S197" s="58">
        <v>0</v>
      </c>
      <c r="T197" s="58">
        <v>0</v>
      </c>
      <c r="U197" s="58">
        <v>0</v>
      </c>
      <c r="V197" s="58">
        <f>SUMIF('JUNE (물량흐름)'!$C$13:$C$493,'In-out-bal products (155)(완성제품)'!B197,'JUNE (물량흐름)'!$W$13:$W$493)</f>
        <v>0</v>
      </c>
      <c r="W197" s="58">
        <f t="shared" si="72"/>
        <v>0</v>
      </c>
      <c r="X197" s="58">
        <f t="shared" si="73"/>
        <v>0</v>
      </c>
      <c r="Y197" s="58">
        <f>SUMIF('JUNE (물량흐름)'!$C$13:$C$488,'In-out-bal products (155)(완성제품)'!B197,'JUNE (물량흐름)'!$X$13:$X$488)</f>
        <v>0</v>
      </c>
      <c r="Z197" s="58">
        <f t="shared" si="74"/>
        <v>0</v>
      </c>
      <c r="AA197" s="58">
        <f t="shared" si="75"/>
        <v>0</v>
      </c>
      <c r="AB197" s="58"/>
      <c r="AC197" s="58"/>
      <c r="AD197" s="61"/>
      <c r="AE197" s="58">
        <f t="shared" si="76"/>
        <v>0</v>
      </c>
      <c r="AF197" s="58">
        <f t="shared" si="77"/>
        <v>0</v>
      </c>
      <c r="AG197" s="61">
        <f t="shared" si="78"/>
        <v>0</v>
      </c>
      <c r="AH197" s="58">
        <v>0</v>
      </c>
      <c r="AI197" s="58">
        <v>0</v>
      </c>
      <c r="AJ197" s="61">
        <v>0</v>
      </c>
      <c r="AK197" s="58"/>
      <c r="AL197" s="58"/>
      <c r="AM197" s="61"/>
      <c r="AN197" s="61">
        <f t="shared" si="79"/>
        <v>0</v>
      </c>
      <c r="AO197" s="58">
        <f t="shared" si="80"/>
        <v>0</v>
      </c>
      <c r="AP197" s="61">
        <f t="shared" si="81"/>
        <v>0</v>
      </c>
      <c r="AQ197" s="58">
        <f t="shared" si="82"/>
        <v>745</v>
      </c>
      <c r="AR197" s="58">
        <f t="shared" si="83"/>
        <v>27231.735570469798</v>
      </c>
      <c r="AS197" s="58">
        <f t="shared" si="84"/>
        <v>20287643</v>
      </c>
      <c r="AT197" s="58">
        <f>ROUND(SUMIF('JUNE (물량흐름)'!$C$13:$C$502,'In-out-bal products (155)(완성제품)'!B197,'JUNE (물량흐름)'!$AB$13:$AB$502),0)</f>
        <v>0</v>
      </c>
      <c r="AU197" s="58">
        <f t="shared" si="85"/>
        <v>0</v>
      </c>
      <c r="AV197" s="58">
        <f>ROUND(SUMIF('JUNE (물량흐름)'!$C$13:$C$502,'In-out-bal products (155)(완성제품)'!B197,'JUNE (물량흐름)'!$AC$13:$AC$502),0)</f>
        <v>745</v>
      </c>
      <c r="AW197" s="58">
        <f t="shared" si="86"/>
        <v>20287643</v>
      </c>
      <c r="AX197" s="376">
        <f t="shared" si="87"/>
        <v>0</v>
      </c>
      <c r="AY197" s="377">
        <f t="shared" si="88"/>
        <v>0</v>
      </c>
      <c r="AZ197" s="377">
        <f t="shared" si="89"/>
        <v>0</v>
      </c>
      <c r="BA197" s="377">
        <f t="shared" si="90"/>
        <v>0</v>
      </c>
      <c r="BB197" s="377"/>
      <c r="BC197" s="377">
        <f t="shared" si="91"/>
        <v>0</v>
      </c>
      <c r="BD197" s="377">
        <f t="shared" si="92"/>
        <v>0</v>
      </c>
      <c r="BE197" s="377"/>
      <c r="BF197" s="377">
        <f t="shared" si="93"/>
        <v>0</v>
      </c>
      <c r="BG197" s="433">
        <f t="shared" si="94"/>
        <v>0</v>
      </c>
      <c r="BH197" s="434">
        <f t="shared" si="95"/>
        <v>0</v>
      </c>
    </row>
    <row r="198" spans="1:60" s="378" customFormat="1">
      <c r="A198" s="167">
        <v>188</v>
      </c>
      <c r="B198" s="253">
        <f>VLOOKUP(A198,'JUNE (물량흐름)'!$A$13:$C$493,3,0)</f>
        <v>453616</v>
      </c>
      <c r="C198" s="57" t="str">
        <f>VLOOKUP(A198,'JUNE (물량흐름)'!$A$13:$C$493,2,0)</f>
        <v>ANN TAYLOR</v>
      </c>
      <c r="D198" s="58">
        <f>IFERROR(VLOOKUP(B198,O.B.JUNE!$V$7:$Y$448,2,0),0)</f>
        <v>0</v>
      </c>
      <c r="E198" s="58">
        <f>IFERROR(VLOOKUP(B198,O.B.JUNE!$V$7:$X$448,3,0),0)</f>
        <v>0</v>
      </c>
      <c r="F198" s="58">
        <f>IFERROR(VLOOKUP(B198,O.B.JUNE!$V$7:$Y$448,4,0),0)</f>
        <v>0</v>
      </c>
      <c r="G198" s="58">
        <f>SUMIF('JUNE (물량흐름)'!$C$13:$C$493,'In-out-bal products (155)(완성제품)'!B198,'JUNE (물량흐름)'!$V$13:$V$493)</f>
        <v>0</v>
      </c>
      <c r="H198" s="58">
        <f>SUMIF('JUNE (물량흐름)'!$C$13:$C$493,'In-out-bal products (155)(완성제품)'!B198,'JUNE (물량흐름)'!$T$13:$T$493)-SUMIF('JUNE (물량흐름)'!$C$13:$C$493,'In-out-bal products (155)(완성제품)'!B198,'JUNE (물량흐름)'!$Y$13:$Y$493)+SUMIF('JUNE (물량흐름)'!$C$13:$C$493,'In-out-bal products (155)(완성제품)'!B198,'JUNE (물량흐름)'!$U$13:$U$493)</f>
        <v>312</v>
      </c>
      <c r="I198" s="58">
        <f t="shared" si="66"/>
        <v>18661.102564102563</v>
      </c>
      <c r="J198" s="58">
        <f>SUMIF('Direct labour(직접노무비)'!$C$12:$C$503,'In-out-bal products (155)(완성제품)'!B198,'Direct labour(직접노무비)'!$Q$12:$Q$503)</f>
        <v>2464372</v>
      </c>
      <c r="K198" s="59">
        <f>SUMIF('Overhead exp(제조경비)'!$C$12:$C$503,'In-out-bal products (155)(완성제품)'!B198,'Overhead exp(제조경비)'!$Q$12:$Q$503)</f>
        <v>3357892</v>
      </c>
      <c r="L198" s="58">
        <f t="shared" si="67"/>
        <v>5822264</v>
      </c>
      <c r="M198" s="58">
        <f>SUMIF('JUNE (물량흐름)'!$C$13:$C$488,'In-out-bal products (155)(완성제품)'!B198,'JUNE (물량흐름)'!$Y$13:$Y$488)</f>
        <v>0</v>
      </c>
      <c r="N198" s="58">
        <f t="shared" si="68"/>
        <v>0</v>
      </c>
      <c r="O198" s="58">
        <f>SUMIF('Direct labour(직접노무비)'!$C$12:$C$503,'In-out-bal products (155)(완성제품)'!B198,'Direct labour(직접노무비)'!$U$12:$U$503)+SUMIF('Overhead exp(제조경비)'!$C$12:$C$503,'In-out-bal products (155)(완성제품)'!B198,'Overhead exp(제조경비)'!$U$12:$U$503)</f>
        <v>0</v>
      </c>
      <c r="P198" s="60">
        <f t="shared" si="69"/>
        <v>312</v>
      </c>
      <c r="Q198" s="60">
        <f t="shared" si="70"/>
        <v>18661.102564102563</v>
      </c>
      <c r="R198" s="60">
        <f t="shared" si="71"/>
        <v>5822264</v>
      </c>
      <c r="S198" s="58">
        <v>0</v>
      </c>
      <c r="T198" s="58">
        <v>0</v>
      </c>
      <c r="U198" s="58">
        <v>0</v>
      </c>
      <c r="V198" s="58">
        <f>SUMIF('JUNE (물량흐름)'!$C$13:$C$493,'In-out-bal products (155)(완성제품)'!B198,'JUNE (물량흐름)'!$W$13:$W$493)</f>
        <v>0</v>
      </c>
      <c r="W198" s="58">
        <f t="shared" si="72"/>
        <v>0</v>
      </c>
      <c r="X198" s="58">
        <f t="shared" si="73"/>
        <v>0</v>
      </c>
      <c r="Y198" s="58">
        <f>SUMIF('JUNE (물량흐름)'!$C$13:$C$488,'In-out-bal products (155)(완성제품)'!B198,'JUNE (물량흐름)'!$X$13:$X$488)</f>
        <v>0</v>
      </c>
      <c r="Z198" s="58">
        <f t="shared" si="74"/>
        <v>0</v>
      </c>
      <c r="AA198" s="58">
        <f t="shared" si="75"/>
        <v>0</v>
      </c>
      <c r="AB198" s="58"/>
      <c r="AC198" s="58"/>
      <c r="AD198" s="61"/>
      <c r="AE198" s="58">
        <f t="shared" si="76"/>
        <v>0</v>
      </c>
      <c r="AF198" s="58">
        <f t="shared" si="77"/>
        <v>0</v>
      </c>
      <c r="AG198" s="61">
        <f t="shared" si="78"/>
        <v>0</v>
      </c>
      <c r="AH198" s="58">
        <v>0</v>
      </c>
      <c r="AI198" s="58">
        <v>0</v>
      </c>
      <c r="AJ198" s="61">
        <v>0</v>
      </c>
      <c r="AK198" s="58"/>
      <c r="AL198" s="58"/>
      <c r="AM198" s="61"/>
      <c r="AN198" s="61">
        <f t="shared" si="79"/>
        <v>0</v>
      </c>
      <c r="AO198" s="58">
        <f t="shared" si="80"/>
        <v>0</v>
      </c>
      <c r="AP198" s="61">
        <f t="shared" si="81"/>
        <v>0</v>
      </c>
      <c r="AQ198" s="58">
        <f t="shared" si="82"/>
        <v>312</v>
      </c>
      <c r="AR198" s="58">
        <f t="shared" si="83"/>
        <v>18661.102564102563</v>
      </c>
      <c r="AS198" s="58">
        <f t="shared" si="84"/>
        <v>5822264</v>
      </c>
      <c r="AT198" s="58">
        <f>ROUND(SUMIF('JUNE (물량흐름)'!$C$13:$C$502,'In-out-bal products (155)(완성제품)'!B198,'JUNE (물량흐름)'!$AB$13:$AB$502),0)</f>
        <v>0</v>
      </c>
      <c r="AU198" s="58">
        <f t="shared" si="85"/>
        <v>0</v>
      </c>
      <c r="AV198" s="58">
        <f>ROUND(SUMIF('JUNE (물량흐름)'!$C$13:$C$502,'In-out-bal products (155)(완성제품)'!B198,'JUNE (물량흐름)'!$AC$13:$AC$502),0)</f>
        <v>312</v>
      </c>
      <c r="AW198" s="58">
        <f t="shared" si="86"/>
        <v>5822264</v>
      </c>
      <c r="AX198" s="376">
        <f t="shared" si="87"/>
        <v>0</v>
      </c>
      <c r="AY198" s="377">
        <f t="shared" si="88"/>
        <v>0</v>
      </c>
      <c r="AZ198" s="377">
        <f t="shared" si="89"/>
        <v>0</v>
      </c>
      <c r="BA198" s="377">
        <f t="shared" si="90"/>
        <v>0</v>
      </c>
      <c r="BB198" s="377"/>
      <c r="BC198" s="377">
        <f t="shared" si="91"/>
        <v>0</v>
      </c>
      <c r="BD198" s="377">
        <f t="shared" si="92"/>
        <v>0</v>
      </c>
      <c r="BE198" s="377"/>
      <c r="BF198" s="377">
        <f t="shared" si="93"/>
        <v>0</v>
      </c>
      <c r="BG198" s="433">
        <f t="shared" si="94"/>
        <v>0</v>
      </c>
      <c r="BH198" s="434">
        <f t="shared" si="95"/>
        <v>0</v>
      </c>
    </row>
    <row r="199" spans="1:60" s="378" customFormat="1">
      <c r="A199" s="167">
        <v>189</v>
      </c>
      <c r="B199" s="253">
        <f>VLOOKUP(A199,'JUNE (물량흐름)'!$A$13:$C$493,3,0)</f>
        <v>453707</v>
      </c>
      <c r="C199" s="57" t="str">
        <f>VLOOKUP(A199,'JUNE (물량흐름)'!$A$13:$C$493,2,0)</f>
        <v>ANN TAYLOR</v>
      </c>
      <c r="D199" s="58">
        <f>IFERROR(VLOOKUP(B199,O.B.JUNE!$V$7:$Y$448,2,0),0)</f>
        <v>0</v>
      </c>
      <c r="E199" s="58">
        <f>IFERROR(VLOOKUP(B199,O.B.JUNE!$V$7:$X$448,3,0),0)</f>
        <v>0</v>
      </c>
      <c r="F199" s="58">
        <f>IFERROR(VLOOKUP(B199,O.B.JUNE!$V$7:$Y$448,4,0),0)</f>
        <v>0</v>
      </c>
      <c r="G199" s="58">
        <f>SUMIF('JUNE (물량흐름)'!$C$13:$C$493,'In-out-bal products (155)(완성제품)'!B199,'JUNE (물량흐름)'!$V$13:$V$493)</f>
        <v>0</v>
      </c>
      <c r="H199" s="58">
        <f>SUMIF('JUNE (물량흐름)'!$C$13:$C$493,'In-out-bal products (155)(완성제품)'!B199,'JUNE (물량흐름)'!$T$13:$T$493)-SUMIF('JUNE (물량흐름)'!$C$13:$C$493,'In-out-bal products (155)(완성제품)'!B199,'JUNE (물량흐름)'!$Y$13:$Y$493)+SUMIF('JUNE (물량흐름)'!$C$13:$C$493,'In-out-bal products (155)(완성제품)'!B199,'JUNE (물량흐름)'!$U$13:$U$493)</f>
        <v>343</v>
      </c>
      <c r="I199" s="58">
        <f t="shared" si="66"/>
        <v>15570.574344023324</v>
      </c>
      <c r="J199" s="58">
        <f>SUMIF('Direct labour(직접노무비)'!$C$12:$C$503,'In-out-bal products (155)(완성제품)'!B199,'Direct labour(직접노무비)'!$Q$12:$Q$503)</f>
        <v>2244766</v>
      </c>
      <c r="K199" s="59">
        <f>SUMIF('Overhead exp(제조경비)'!$C$12:$C$503,'In-out-bal products (155)(완성제품)'!B199,'Overhead exp(제조경비)'!$Q$12:$Q$503)</f>
        <v>3095941</v>
      </c>
      <c r="L199" s="58">
        <f t="shared" si="67"/>
        <v>5340707</v>
      </c>
      <c r="M199" s="58">
        <f>SUMIF('JUNE (물량흐름)'!$C$13:$C$488,'In-out-bal products (155)(완성제품)'!B199,'JUNE (물량흐름)'!$Y$13:$Y$488)</f>
        <v>0</v>
      </c>
      <c r="N199" s="58">
        <f t="shared" si="68"/>
        <v>0</v>
      </c>
      <c r="O199" s="58">
        <f>SUMIF('Direct labour(직접노무비)'!$C$12:$C$503,'In-out-bal products (155)(완성제품)'!B199,'Direct labour(직접노무비)'!$U$12:$U$503)+SUMIF('Overhead exp(제조경비)'!$C$12:$C$503,'In-out-bal products (155)(완성제품)'!B199,'Overhead exp(제조경비)'!$U$12:$U$503)</f>
        <v>0</v>
      </c>
      <c r="P199" s="60">
        <f t="shared" si="69"/>
        <v>343</v>
      </c>
      <c r="Q199" s="60">
        <f t="shared" si="70"/>
        <v>15570.574344023324</v>
      </c>
      <c r="R199" s="60">
        <f t="shared" si="71"/>
        <v>5340707</v>
      </c>
      <c r="S199" s="58">
        <v>0</v>
      </c>
      <c r="T199" s="58">
        <v>0</v>
      </c>
      <c r="U199" s="58">
        <v>0</v>
      </c>
      <c r="V199" s="58">
        <f>SUMIF('JUNE (물량흐름)'!$C$13:$C$493,'In-out-bal products (155)(완성제품)'!B199,'JUNE (물량흐름)'!$W$13:$W$493)</f>
        <v>0</v>
      </c>
      <c r="W199" s="58">
        <f t="shared" si="72"/>
        <v>0</v>
      </c>
      <c r="X199" s="58">
        <f t="shared" si="73"/>
        <v>0</v>
      </c>
      <c r="Y199" s="58">
        <f>SUMIF('JUNE (물량흐름)'!$C$13:$C$488,'In-out-bal products (155)(완성제품)'!B199,'JUNE (물량흐름)'!$X$13:$X$488)</f>
        <v>0</v>
      </c>
      <c r="Z199" s="58">
        <f t="shared" si="74"/>
        <v>0</v>
      </c>
      <c r="AA199" s="58">
        <f t="shared" si="75"/>
        <v>0</v>
      </c>
      <c r="AB199" s="58"/>
      <c r="AC199" s="58"/>
      <c r="AD199" s="61"/>
      <c r="AE199" s="58">
        <f t="shared" si="76"/>
        <v>0</v>
      </c>
      <c r="AF199" s="58">
        <f t="shared" si="77"/>
        <v>0</v>
      </c>
      <c r="AG199" s="61">
        <f t="shared" si="78"/>
        <v>0</v>
      </c>
      <c r="AH199" s="58">
        <v>0</v>
      </c>
      <c r="AI199" s="58">
        <v>0</v>
      </c>
      <c r="AJ199" s="61">
        <v>0</v>
      </c>
      <c r="AK199" s="58"/>
      <c r="AL199" s="58"/>
      <c r="AM199" s="61"/>
      <c r="AN199" s="61">
        <f t="shared" si="79"/>
        <v>0</v>
      </c>
      <c r="AO199" s="58">
        <f t="shared" si="80"/>
        <v>0</v>
      </c>
      <c r="AP199" s="61">
        <f t="shared" si="81"/>
        <v>0</v>
      </c>
      <c r="AQ199" s="58">
        <f t="shared" si="82"/>
        <v>343</v>
      </c>
      <c r="AR199" s="58">
        <f t="shared" si="83"/>
        <v>15570.574344023324</v>
      </c>
      <c r="AS199" s="58">
        <f t="shared" si="84"/>
        <v>5340707</v>
      </c>
      <c r="AT199" s="58">
        <f>ROUND(SUMIF('JUNE (물량흐름)'!$C$13:$C$502,'In-out-bal products (155)(완성제품)'!B199,'JUNE (물량흐름)'!$AB$13:$AB$502),0)</f>
        <v>0</v>
      </c>
      <c r="AU199" s="58">
        <f t="shared" si="85"/>
        <v>0</v>
      </c>
      <c r="AV199" s="58">
        <f>ROUND(SUMIF('JUNE (물량흐름)'!$C$13:$C$502,'In-out-bal products (155)(완성제품)'!B199,'JUNE (물량흐름)'!$AC$13:$AC$502),0)</f>
        <v>343</v>
      </c>
      <c r="AW199" s="58">
        <f t="shared" si="86"/>
        <v>5340707</v>
      </c>
      <c r="AX199" s="376">
        <f t="shared" si="87"/>
        <v>0</v>
      </c>
      <c r="AY199" s="377">
        <f t="shared" si="88"/>
        <v>0</v>
      </c>
      <c r="AZ199" s="377">
        <f t="shared" si="89"/>
        <v>0</v>
      </c>
      <c r="BA199" s="377">
        <f t="shared" si="90"/>
        <v>0</v>
      </c>
      <c r="BB199" s="377"/>
      <c r="BC199" s="377">
        <f t="shared" si="91"/>
        <v>0</v>
      </c>
      <c r="BD199" s="377">
        <f t="shared" si="92"/>
        <v>0</v>
      </c>
      <c r="BE199" s="377"/>
      <c r="BF199" s="377">
        <f t="shared" si="93"/>
        <v>0</v>
      </c>
      <c r="BG199" s="433">
        <f t="shared" si="94"/>
        <v>0</v>
      </c>
      <c r="BH199" s="434">
        <f t="shared" si="95"/>
        <v>0</v>
      </c>
    </row>
    <row r="200" spans="1:60" s="378" customFormat="1">
      <c r="A200" s="167">
        <v>190</v>
      </c>
      <c r="B200" s="253">
        <f>VLOOKUP(A200,'JUNE (물량흐름)'!$A$13:$C$493,3,0)</f>
        <v>454208</v>
      </c>
      <c r="C200" s="57" t="str">
        <f>VLOOKUP(A200,'JUNE (물량흐름)'!$A$13:$C$493,2,0)</f>
        <v>ANN TAYLOR</v>
      </c>
      <c r="D200" s="58">
        <f>IFERROR(VLOOKUP(B200,O.B.JUNE!$V$7:$Y$448,2,0),0)</f>
        <v>0</v>
      </c>
      <c r="E200" s="58">
        <f>IFERROR(VLOOKUP(B200,O.B.JUNE!$V$7:$X$448,3,0),0)</f>
        <v>0</v>
      </c>
      <c r="F200" s="58">
        <f>IFERROR(VLOOKUP(B200,O.B.JUNE!$V$7:$Y$448,4,0),0)</f>
        <v>0</v>
      </c>
      <c r="G200" s="58">
        <f>SUMIF('JUNE (물량흐름)'!$C$13:$C$493,'In-out-bal products (155)(완성제품)'!B200,'JUNE (물량흐름)'!$V$13:$V$493)</f>
        <v>0</v>
      </c>
      <c r="H200" s="58">
        <f>SUMIF('JUNE (물량흐름)'!$C$13:$C$493,'In-out-bal products (155)(완성제품)'!B200,'JUNE (물량흐름)'!$T$13:$T$493)-SUMIF('JUNE (물량흐름)'!$C$13:$C$493,'In-out-bal products (155)(완성제품)'!B200,'JUNE (물량흐름)'!$Y$13:$Y$493)+SUMIF('JUNE (물량흐름)'!$C$13:$C$493,'In-out-bal products (155)(완성제품)'!B200,'JUNE (물량흐름)'!$U$13:$U$493)</f>
        <v>3056</v>
      </c>
      <c r="I200" s="58">
        <f t="shared" si="66"/>
        <v>21103.528468586388</v>
      </c>
      <c r="J200" s="58">
        <f>SUMIF('Direct labour(직접노무비)'!$C$12:$C$503,'In-out-bal products (155)(완성제품)'!B200,'Direct labour(직접노무비)'!$Q$12:$Q$503)</f>
        <v>27265369</v>
      </c>
      <c r="K200" s="59">
        <f>SUMIF('Overhead exp(제조경비)'!$C$12:$C$503,'In-out-bal products (155)(완성제품)'!B200,'Overhead exp(제조경비)'!$Q$12:$Q$503)</f>
        <v>37227014</v>
      </c>
      <c r="L200" s="58">
        <f t="shared" si="67"/>
        <v>64492383</v>
      </c>
      <c r="M200" s="58">
        <f>SUMIF('JUNE (물량흐름)'!$C$13:$C$488,'In-out-bal products (155)(완성제품)'!B200,'JUNE (물량흐름)'!$Y$13:$Y$488)</f>
        <v>0</v>
      </c>
      <c r="N200" s="58">
        <f t="shared" si="68"/>
        <v>0</v>
      </c>
      <c r="O200" s="58">
        <f>SUMIF('Direct labour(직접노무비)'!$C$12:$C$503,'In-out-bal products (155)(완성제품)'!B200,'Direct labour(직접노무비)'!$U$12:$U$503)+SUMIF('Overhead exp(제조경비)'!$C$12:$C$503,'In-out-bal products (155)(완성제품)'!B200,'Overhead exp(제조경비)'!$U$12:$U$503)</f>
        <v>0</v>
      </c>
      <c r="P200" s="60">
        <f t="shared" si="69"/>
        <v>3056</v>
      </c>
      <c r="Q200" s="60">
        <f t="shared" si="70"/>
        <v>21103.528468586388</v>
      </c>
      <c r="R200" s="60">
        <f t="shared" si="71"/>
        <v>64492383</v>
      </c>
      <c r="S200" s="58">
        <v>0</v>
      </c>
      <c r="T200" s="58">
        <v>0</v>
      </c>
      <c r="U200" s="58">
        <v>0</v>
      </c>
      <c r="V200" s="58">
        <f>SUMIF('JUNE (물량흐름)'!$C$13:$C$493,'In-out-bal products (155)(완성제품)'!B200,'JUNE (물량흐름)'!$W$13:$W$493)</f>
        <v>0</v>
      </c>
      <c r="W200" s="58">
        <f t="shared" si="72"/>
        <v>0</v>
      </c>
      <c r="X200" s="58">
        <f t="shared" si="73"/>
        <v>0</v>
      </c>
      <c r="Y200" s="58">
        <f>SUMIF('JUNE (물량흐름)'!$C$13:$C$488,'In-out-bal products (155)(완성제품)'!B200,'JUNE (물량흐름)'!$X$13:$X$488)</f>
        <v>0</v>
      </c>
      <c r="Z200" s="58">
        <f t="shared" si="74"/>
        <v>0</v>
      </c>
      <c r="AA200" s="58">
        <f t="shared" si="75"/>
        <v>0</v>
      </c>
      <c r="AB200" s="58"/>
      <c r="AC200" s="58"/>
      <c r="AD200" s="61"/>
      <c r="AE200" s="58">
        <f t="shared" si="76"/>
        <v>0</v>
      </c>
      <c r="AF200" s="58">
        <f t="shared" si="77"/>
        <v>0</v>
      </c>
      <c r="AG200" s="61">
        <f t="shared" si="78"/>
        <v>0</v>
      </c>
      <c r="AH200" s="58">
        <v>0</v>
      </c>
      <c r="AI200" s="58">
        <v>0</v>
      </c>
      <c r="AJ200" s="61">
        <v>0</v>
      </c>
      <c r="AK200" s="58"/>
      <c r="AL200" s="58"/>
      <c r="AM200" s="61"/>
      <c r="AN200" s="61">
        <f t="shared" si="79"/>
        <v>0</v>
      </c>
      <c r="AO200" s="58">
        <f t="shared" si="80"/>
        <v>0</v>
      </c>
      <c r="AP200" s="61">
        <f t="shared" si="81"/>
        <v>0</v>
      </c>
      <c r="AQ200" s="58">
        <f t="shared" si="82"/>
        <v>3056</v>
      </c>
      <c r="AR200" s="58">
        <f t="shared" si="83"/>
        <v>21103.528468586388</v>
      </c>
      <c r="AS200" s="58">
        <f t="shared" si="84"/>
        <v>64492383</v>
      </c>
      <c r="AT200" s="58">
        <f>ROUND(SUMIF('JUNE (물량흐름)'!$C$13:$C$502,'In-out-bal products (155)(완성제품)'!B200,'JUNE (물량흐름)'!$AB$13:$AB$502),0)</f>
        <v>0</v>
      </c>
      <c r="AU200" s="58">
        <f t="shared" si="85"/>
        <v>0</v>
      </c>
      <c r="AV200" s="58">
        <f>ROUND(SUMIF('JUNE (물량흐름)'!$C$13:$C$502,'In-out-bal products (155)(완성제품)'!B200,'JUNE (물량흐름)'!$AC$13:$AC$502),0)</f>
        <v>3056</v>
      </c>
      <c r="AW200" s="58">
        <f t="shared" si="86"/>
        <v>64492383</v>
      </c>
      <c r="AX200" s="376">
        <f t="shared" si="87"/>
        <v>0</v>
      </c>
      <c r="AY200" s="377">
        <f t="shared" si="88"/>
        <v>0</v>
      </c>
      <c r="AZ200" s="377">
        <f t="shared" si="89"/>
        <v>0</v>
      </c>
      <c r="BA200" s="377">
        <f t="shared" si="90"/>
        <v>0</v>
      </c>
      <c r="BB200" s="377"/>
      <c r="BC200" s="377">
        <f t="shared" si="91"/>
        <v>0</v>
      </c>
      <c r="BD200" s="377">
        <f t="shared" si="92"/>
        <v>0</v>
      </c>
      <c r="BE200" s="377"/>
      <c r="BF200" s="377">
        <f t="shared" si="93"/>
        <v>0</v>
      </c>
      <c r="BG200" s="433">
        <f t="shared" si="94"/>
        <v>0</v>
      </c>
      <c r="BH200" s="434">
        <f t="shared" si="95"/>
        <v>0</v>
      </c>
    </row>
    <row r="201" spans="1:60" s="378" customFormat="1">
      <c r="A201" s="167">
        <v>191</v>
      </c>
      <c r="B201" s="253">
        <f>VLOOKUP(A201,'JUNE (물량흐름)'!$A$13:$C$493,3,0)</f>
        <v>455769</v>
      </c>
      <c r="C201" s="57" t="str">
        <f>VLOOKUP(A201,'JUNE (물량흐름)'!$A$13:$C$493,2,0)</f>
        <v>ANN TAYLOR</v>
      </c>
      <c r="D201" s="58">
        <f>IFERROR(VLOOKUP(B201,O.B.JUNE!$V$7:$Y$448,2,0),0)</f>
        <v>0</v>
      </c>
      <c r="E201" s="58">
        <f>IFERROR(VLOOKUP(B201,O.B.JUNE!$V$7:$X$448,3,0),0)</f>
        <v>0</v>
      </c>
      <c r="F201" s="58">
        <f>IFERROR(VLOOKUP(B201,O.B.JUNE!$V$7:$Y$448,4,0),0)</f>
        <v>0</v>
      </c>
      <c r="G201" s="58">
        <f>SUMIF('JUNE (물량흐름)'!$C$13:$C$493,'In-out-bal products (155)(완성제품)'!B201,'JUNE (물량흐름)'!$V$13:$V$493)</f>
        <v>0</v>
      </c>
      <c r="H201" s="58">
        <f>SUMIF('JUNE (물량흐름)'!$C$13:$C$493,'In-out-bal products (155)(완성제품)'!B201,'JUNE (물량흐름)'!$T$13:$T$493)-SUMIF('JUNE (물량흐름)'!$C$13:$C$493,'In-out-bal products (155)(완성제품)'!B201,'JUNE (물량흐름)'!$Y$13:$Y$493)+SUMIF('JUNE (물량흐름)'!$C$13:$C$493,'In-out-bal products (155)(완성제품)'!B201,'JUNE (물량흐름)'!$U$13:$U$493)</f>
        <v>114</v>
      </c>
      <c r="I201" s="58">
        <f t="shared" si="66"/>
        <v>23074.385964912282</v>
      </c>
      <c r="J201" s="58">
        <f>SUMIF('Direct labour(직접노무비)'!$C$12:$C$503,'In-out-bal products (155)(완성제품)'!B201,'Direct labour(직접노무비)'!$Q$12:$Q$503)</f>
        <v>1109758</v>
      </c>
      <c r="K201" s="59">
        <f>SUMIF('Overhead exp(제조경비)'!$C$12:$C$503,'In-out-bal products (155)(완성제품)'!B201,'Overhead exp(제조경비)'!$Q$12:$Q$503)</f>
        <v>1520722</v>
      </c>
      <c r="L201" s="58">
        <f t="shared" si="67"/>
        <v>2630480</v>
      </c>
      <c r="M201" s="58">
        <f>SUMIF('JUNE (물량흐름)'!$C$13:$C$488,'In-out-bal products (155)(완성제품)'!B201,'JUNE (물량흐름)'!$Y$13:$Y$488)</f>
        <v>0</v>
      </c>
      <c r="N201" s="58">
        <f t="shared" si="68"/>
        <v>0</v>
      </c>
      <c r="O201" s="58">
        <f>SUMIF('Direct labour(직접노무비)'!$C$12:$C$503,'In-out-bal products (155)(완성제품)'!B201,'Direct labour(직접노무비)'!$U$12:$U$503)+SUMIF('Overhead exp(제조경비)'!$C$12:$C$503,'In-out-bal products (155)(완성제품)'!B201,'Overhead exp(제조경비)'!$U$12:$U$503)</f>
        <v>0</v>
      </c>
      <c r="P201" s="60">
        <f t="shared" si="69"/>
        <v>114</v>
      </c>
      <c r="Q201" s="60">
        <f t="shared" si="70"/>
        <v>23074.385964912282</v>
      </c>
      <c r="R201" s="60">
        <f t="shared" si="71"/>
        <v>2630480</v>
      </c>
      <c r="S201" s="58">
        <v>0</v>
      </c>
      <c r="T201" s="58">
        <v>0</v>
      </c>
      <c r="U201" s="58">
        <v>0</v>
      </c>
      <c r="V201" s="58">
        <f>SUMIF('JUNE (물량흐름)'!$C$13:$C$493,'In-out-bal products (155)(완성제품)'!B201,'JUNE (물량흐름)'!$W$13:$W$493)</f>
        <v>0</v>
      </c>
      <c r="W201" s="58">
        <f t="shared" si="72"/>
        <v>0</v>
      </c>
      <c r="X201" s="58">
        <f t="shared" si="73"/>
        <v>0</v>
      </c>
      <c r="Y201" s="58">
        <f>SUMIF('JUNE (물량흐름)'!$C$13:$C$488,'In-out-bal products (155)(완성제품)'!B201,'JUNE (물량흐름)'!$X$13:$X$488)</f>
        <v>0</v>
      </c>
      <c r="Z201" s="58">
        <f t="shared" si="74"/>
        <v>0</v>
      </c>
      <c r="AA201" s="58">
        <f t="shared" si="75"/>
        <v>0</v>
      </c>
      <c r="AB201" s="58"/>
      <c r="AC201" s="58"/>
      <c r="AD201" s="61"/>
      <c r="AE201" s="58">
        <f t="shared" si="76"/>
        <v>0</v>
      </c>
      <c r="AF201" s="58">
        <f t="shared" si="77"/>
        <v>0</v>
      </c>
      <c r="AG201" s="61">
        <f t="shared" si="78"/>
        <v>0</v>
      </c>
      <c r="AH201" s="58">
        <v>0</v>
      </c>
      <c r="AI201" s="58">
        <v>0</v>
      </c>
      <c r="AJ201" s="61">
        <v>0</v>
      </c>
      <c r="AK201" s="58"/>
      <c r="AL201" s="58"/>
      <c r="AM201" s="61"/>
      <c r="AN201" s="61">
        <f t="shared" si="79"/>
        <v>0</v>
      </c>
      <c r="AO201" s="58">
        <f t="shared" si="80"/>
        <v>0</v>
      </c>
      <c r="AP201" s="61">
        <f t="shared" si="81"/>
        <v>0</v>
      </c>
      <c r="AQ201" s="58">
        <f t="shared" si="82"/>
        <v>114</v>
      </c>
      <c r="AR201" s="58">
        <f t="shared" si="83"/>
        <v>23074.385964912282</v>
      </c>
      <c r="AS201" s="58">
        <f t="shared" si="84"/>
        <v>2630480</v>
      </c>
      <c r="AT201" s="58">
        <f>ROUND(SUMIF('JUNE (물량흐름)'!$C$13:$C$502,'In-out-bal products (155)(완성제품)'!B201,'JUNE (물량흐름)'!$AB$13:$AB$502),0)</f>
        <v>0</v>
      </c>
      <c r="AU201" s="58">
        <f t="shared" si="85"/>
        <v>0</v>
      </c>
      <c r="AV201" s="58">
        <f>ROUND(SUMIF('JUNE (물량흐름)'!$C$13:$C$502,'In-out-bal products (155)(완성제품)'!B201,'JUNE (물량흐름)'!$AC$13:$AC$502),0)</f>
        <v>114</v>
      </c>
      <c r="AW201" s="58">
        <f t="shared" si="86"/>
        <v>2630480</v>
      </c>
      <c r="AX201" s="376">
        <f t="shared" si="87"/>
        <v>0</v>
      </c>
      <c r="AY201" s="377">
        <f t="shared" si="88"/>
        <v>0</v>
      </c>
      <c r="AZ201" s="377">
        <f t="shared" si="89"/>
        <v>0</v>
      </c>
      <c r="BA201" s="377">
        <f t="shared" si="90"/>
        <v>0</v>
      </c>
      <c r="BB201" s="377"/>
      <c r="BC201" s="377">
        <f t="shared" si="91"/>
        <v>0</v>
      </c>
      <c r="BD201" s="377">
        <f t="shared" si="92"/>
        <v>0</v>
      </c>
      <c r="BE201" s="377"/>
      <c r="BF201" s="377">
        <f t="shared" si="93"/>
        <v>0</v>
      </c>
      <c r="BG201" s="433">
        <f t="shared" si="94"/>
        <v>0</v>
      </c>
      <c r="BH201" s="434">
        <f t="shared" si="95"/>
        <v>0</v>
      </c>
    </row>
    <row r="202" spans="1:60" s="378" customFormat="1">
      <c r="A202" s="167">
        <v>192</v>
      </c>
      <c r="B202" s="253">
        <f>VLOOKUP(A202,'JUNE (물량흐름)'!$A$13:$C$493,3,0)</f>
        <v>455770</v>
      </c>
      <c r="C202" s="57" t="str">
        <f>VLOOKUP(A202,'JUNE (물량흐름)'!$A$13:$C$493,2,0)</f>
        <v>ANN TAYLOR</v>
      </c>
      <c r="D202" s="58">
        <f>IFERROR(VLOOKUP(B202,O.B.JUNE!$V$7:$Y$448,2,0),0)</f>
        <v>0</v>
      </c>
      <c r="E202" s="58">
        <f>IFERROR(VLOOKUP(B202,O.B.JUNE!$V$7:$X$448,3,0),0)</f>
        <v>0</v>
      </c>
      <c r="F202" s="58">
        <f>IFERROR(VLOOKUP(B202,O.B.JUNE!$V$7:$Y$448,4,0),0)</f>
        <v>0</v>
      </c>
      <c r="G202" s="58">
        <f>SUMIF('JUNE (물량흐름)'!$C$13:$C$493,'In-out-bal products (155)(완성제품)'!B202,'JUNE (물량흐름)'!$V$13:$V$493)</f>
        <v>0</v>
      </c>
      <c r="H202" s="58">
        <f>SUMIF('JUNE (물량흐름)'!$C$13:$C$493,'In-out-bal products (155)(완성제품)'!B202,'JUNE (물량흐름)'!$T$13:$T$493)-SUMIF('JUNE (물량흐름)'!$C$13:$C$493,'In-out-bal products (155)(완성제품)'!B202,'JUNE (물량흐름)'!$Y$13:$Y$493)+SUMIF('JUNE (물량흐름)'!$C$13:$C$493,'In-out-bal products (155)(완성제품)'!B202,'JUNE (물량흐름)'!$U$13:$U$493)</f>
        <v>201</v>
      </c>
      <c r="I202" s="58">
        <f t="shared" si="66"/>
        <v>21961.208955223879</v>
      </c>
      <c r="J202" s="58">
        <f>SUMIF('Direct labour(직접노무비)'!$C$12:$C$503,'In-out-bal products (155)(완성제품)'!B202,'Direct labour(직접노무비)'!$Q$12:$Q$503)</f>
        <v>1864529</v>
      </c>
      <c r="K202" s="59">
        <f>SUMIF('Overhead exp(제조경비)'!$C$12:$C$503,'In-out-bal products (155)(완성제품)'!B202,'Overhead exp(제조경비)'!$Q$12:$Q$503)</f>
        <v>2549674</v>
      </c>
      <c r="L202" s="58">
        <f t="shared" si="67"/>
        <v>4414203</v>
      </c>
      <c r="M202" s="58">
        <f>SUMIF('JUNE (물량흐름)'!$C$13:$C$488,'In-out-bal products (155)(완성제품)'!B202,'JUNE (물량흐름)'!$Y$13:$Y$488)</f>
        <v>0</v>
      </c>
      <c r="N202" s="58">
        <f t="shared" si="68"/>
        <v>0</v>
      </c>
      <c r="O202" s="58">
        <f>SUMIF('Direct labour(직접노무비)'!$C$12:$C$503,'In-out-bal products (155)(완성제품)'!B202,'Direct labour(직접노무비)'!$U$12:$U$503)+SUMIF('Overhead exp(제조경비)'!$C$12:$C$503,'In-out-bal products (155)(완성제품)'!B202,'Overhead exp(제조경비)'!$U$12:$U$503)</f>
        <v>0</v>
      </c>
      <c r="P202" s="60">
        <f t="shared" si="69"/>
        <v>201</v>
      </c>
      <c r="Q202" s="60">
        <f t="shared" si="70"/>
        <v>21961.208955223879</v>
      </c>
      <c r="R202" s="60">
        <f t="shared" si="71"/>
        <v>4414203</v>
      </c>
      <c r="S202" s="58">
        <v>0</v>
      </c>
      <c r="T202" s="58">
        <v>0</v>
      </c>
      <c r="U202" s="58">
        <v>0</v>
      </c>
      <c r="V202" s="58">
        <f>SUMIF('JUNE (물량흐름)'!$C$13:$C$493,'In-out-bal products (155)(완성제품)'!B202,'JUNE (물량흐름)'!$W$13:$W$493)</f>
        <v>0</v>
      </c>
      <c r="W202" s="58">
        <f t="shared" si="72"/>
        <v>0</v>
      </c>
      <c r="X202" s="58">
        <f t="shared" si="73"/>
        <v>0</v>
      </c>
      <c r="Y202" s="58">
        <f>SUMIF('JUNE (물량흐름)'!$C$13:$C$488,'In-out-bal products (155)(완성제품)'!B202,'JUNE (물량흐름)'!$X$13:$X$488)</f>
        <v>0</v>
      </c>
      <c r="Z202" s="58">
        <f t="shared" si="74"/>
        <v>0</v>
      </c>
      <c r="AA202" s="58">
        <f t="shared" si="75"/>
        <v>0</v>
      </c>
      <c r="AB202" s="58"/>
      <c r="AC202" s="58"/>
      <c r="AD202" s="61"/>
      <c r="AE202" s="58">
        <f t="shared" si="76"/>
        <v>0</v>
      </c>
      <c r="AF202" s="58">
        <f t="shared" si="77"/>
        <v>0</v>
      </c>
      <c r="AG202" s="61">
        <f t="shared" si="78"/>
        <v>0</v>
      </c>
      <c r="AH202" s="58">
        <v>0</v>
      </c>
      <c r="AI202" s="58">
        <v>0</v>
      </c>
      <c r="AJ202" s="61">
        <v>0</v>
      </c>
      <c r="AK202" s="58"/>
      <c r="AL202" s="58"/>
      <c r="AM202" s="61"/>
      <c r="AN202" s="61">
        <f t="shared" si="79"/>
        <v>0</v>
      </c>
      <c r="AO202" s="58">
        <f t="shared" si="80"/>
        <v>0</v>
      </c>
      <c r="AP202" s="61">
        <f t="shared" si="81"/>
        <v>0</v>
      </c>
      <c r="AQ202" s="58">
        <f t="shared" si="82"/>
        <v>201</v>
      </c>
      <c r="AR202" s="58">
        <f t="shared" si="83"/>
        <v>21961.208955223879</v>
      </c>
      <c r="AS202" s="58">
        <f t="shared" si="84"/>
        <v>4414203</v>
      </c>
      <c r="AT202" s="58">
        <f>ROUND(SUMIF('JUNE (물량흐름)'!$C$13:$C$502,'In-out-bal products (155)(완성제품)'!B202,'JUNE (물량흐름)'!$AB$13:$AB$502),0)</f>
        <v>0</v>
      </c>
      <c r="AU202" s="58">
        <f t="shared" si="85"/>
        <v>0</v>
      </c>
      <c r="AV202" s="58">
        <f>ROUND(SUMIF('JUNE (물량흐름)'!$C$13:$C$502,'In-out-bal products (155)(완성제품)'!B202,'JUNE (물량흐름)'!$AC$13:$AC$502),0)</f>
        <v>201</v>
      </c>
      <c r="AW202" s="58">
        <f t="shared" si="86"/>
        <v>4414203</v>
      </c>
      <c r="AX202" s="376">
        <f t="shared" si="87"/>
        <v>0</v>
      </c>
      <c r="AY202" s="377">
        <f t="shared" si="88"/>
        <v>0</v>
      </c>
      <c r="AZ202" s="377">
        <f t="shared" si="89"/>
        <v>0</v>
      </c>
      <c r="BA202" s="377">
        <f t="shared" si="90"/>
        <v>0</v>
      </c>
      <c r="BB202" s="377"/>
      <c r="BC202" s="377">
        <f t="shared" si="91"/>
        <v>0</v>
      </c>
      <c r="BD202" s="377">
        <f t="shared" si="92"/>
        <v>0</v>
      </c>
      <c r="BE202" s="377"/>
      <c r="BF202" s="377">
        <f t="shared" si="93"/>
        <v>0</v>
      </c>
      <c r="BG202" s="433">
        <f t="shared" si="94"/>
        <v>0</v>
      </c>
      <c r="BH202" s="434">
        <f t="shared" si="95"/>
        <v>0</v>
      </c>
    </row>
    <row r="203" spans="1:60" s="378" customFormat="1">
      <c r="A203" s="167">
        <v>193</v>
      </c>
      <c r="B203" s="253">
        <f>VLOOKUP(A203,'JUNE (물량흐름)'!$A$13:$C$493,3,0)</f>
        <v>456858</v>
      </c>
      <c r="C203" s="57" t="str">
        <f>VLOOKUP(A203,'JUNE (물량흐름)'!$A$13:$C$493,2,0)</f>
        <v>ANN TAYLOR</v>
      </c>
      <c r="D203" s="58">
        <f>IFERROR(VLOOKUP(B203,O.B.JUNE!$V$7:$Y$448,2,0),0)</f>
        <v>0</v>
      </c>
      <c r="E203" s="58">
        <f>IFERROR(VLOOKUP(B203,O.B.JUNE!$V$7:$X$448,3,0),0)</f>
        <v>0</v>
      </c>
      <c r="F203" s="58">
        <f>IFERROR(VLOOKUP(B203,O.B.JUNE!$V$7:$Y$448,4,0),0)</f>
        <v>0</v>
      </c>
      <c r="G203" s="58">
        <f>SUMIF('JUNE (물량흐름)'!$C$13:$C$493,'In-out-bal products (155)(완성제품)'!B203,'JUNE (물량흐름)'!$V$13:$V$493)</f>
        <v>0</v>
      </c>
      <c r="H203" s="58">
        <f>SUMIF('JUNE (물량흐름)'!$C$13:$C$493,'In-out-bal products (155)(완성제품)'!B203,'JUNE (물량흐름)'!$T$13:$T$493)-SUMIF('JUNE (물량흐름)'!$C$13:$C$493,'In-out-bal products (155)(완성제품)'!B203,'JUNE (물량흐름)'!$Y$13:$Y$493)+SUMIF('JUNE (물량흐름)'!$C$13:$C$493,'In-out-bal products (155)(완성제품)'!B203,'JUNE (물량흐름)'!$U$13:$U$493)</f>
        <v>0</v>
      </c>
      <c r="I203" s="58">
        <f t="shared" si="66"/>
        <v>0</v>
      </c>
      <c r="J203" s="58">
        <f>SUMIF('Direct labour(직접노무비)'!$C$12:$C$503,'In-out-bal products (155)(완성제품)'!B203,'Direct labour(직접노무비)'!$Q$12:$Q$503)</f>
        <v>0</v>
      </c>
      <c r="K203" s="59">
        <f>SUMIF('Overhead exp(제조경비)'!$C$12:$C$503,'In-out-bal products (155)(완성제품)'!B203,'Overhead exp(제조경비)'!$Q$12:$Q$503)</f>
        <v>0</v>
      </c>
      <c r="L203" s="58">
        <f t="shared" si="67"/>
        <v>0</v>
      </c>
      <c r="M203" s="58">
        <f>SUMIF('JUNE (물량흐름)'!$C$13:$C$488,'In-out-bal products (155)(완성제품)'!B203,'JUNE (물량흐름)'!$Y$13:$Y$488)</f>
        <v>0</v>
      </c>
      <c r="N203" s="58">
        <f t="shared" si="68"/>
        <v>0</v>
      </c>
      <c r="O203" s="58">
        <f>SUMIF('Direct labour(직접노무비)'!$C$12:$C$503,'In-out-bal products (155)(완성제품)'!B203,'Direct labour(직접노무비)'!$U$12:$U$503)+SUMIF('Overhead exp(제조경비)'!$C$12:$C$503,'In-out-bal products (155)(완성제품)'!B203,'Overhead exp(제조경비)'!$U$12:$U$503)</f>
        <v>0</v>
      </c>
      <c r="P203" s="60">
        <f t="shared" si="69"/>
        <v>0</v>
      </c>
      <c r="Q203" s="60">
        <f t="shared" si="70"/>
        <v>0</v>
      </c>
      <c r="R203" s="60">
        <f t="shared" si="71"/>
        <v>0</v>
      </c>
      <c r="S203" s="58">
        <v>0</v>
      </c>
      <c r="T203" s="58">
        <v>0</v>
      </c>
      <c r="U203" s="58">
        <v>0</v>
      </c>
      <c r="V203" s="58">
        <f>SUMIF('JUNE (물량흐름)'!$C$13:$C$493,'In-out-bal products (155)(완성제품)'!B203,'JUNE (물량흐름)'!$W$13:$W$493)</f>
        <v>0</v>
      </c>
      <c r="W203" s="58">
        <f t="shared" si="72"/>
        <v>0</v>
      </c>
      <c r="X203" s="58">
        <f t="shared" si="73"/>
        <v>0</v>
      </c>
      <c r="Y203" s="58">
        <f>SUMIF('JUNE (물량흐름)'!$C$13:$C$488,'In-out-bal products (155)(완성제품)'!B203,'JUNE (물량흐름)'!$X$13:$X$488)</f>
        <v>0</v>
      </c>
      <c r="Z203" s="58">
        <f t="shared" si="74"/>
        <v>0</v>
      </c>
      <c r="AA203" s="58">
        <f t="shared" si="75"/>
        <v>0</v>
      </c>
      <c r="AB203" s="58"/>
      <c r="AC203" s="58"/>
      <c r="AD203" s="61"/>
      <c r="AE203" s="58">
        <f t="shared" si="76"/>
        <v>0</v>
      </c>
      <c r="AF203" s="58">
        <f t="shared" si="77"/>
        <v>0</v>
      </c>
      <c r="AG203" s="61">
        <f t="shared" si="78"/>
        <v>0</v>
      </c>
      <c r="AH203" s="58">
        <v>0</v>
      </c>
      <c r="AI203" s="58">
        <v>0</v>
      </c>
      <c r="AJ203" s="61">
        <v>0</v>
      </c>
      <c r="AK203" s="58"/>
      <c r="AL203" s="58"/>
      <c r="AM203" s="61"/>
      <c r="AN203" s="61">
        <f t="shared" si="79"/>
        <v>0</v>
      </c>
      <c r="AO203" s="58">
        <f t="shared" si="80"/>
        <v>0</v>
      </c>
      <c r="AP203" s="61">
        <f t="shared" si="81"/>
        <v>0</v>
      </c>
      <c r="AQ203" s="58">
        <f t="shared" si="82"/>
        <v>0</v>
      </c>
      <c r="AR203" s="58">
        <f t="shared" si="83"/>
        <v>0</v>
      </c>
      <c r="AS203" s="58">
        <f t="shared" si="84"/>
        <v>0</v>
      </c>
      <c r="AT203" s="58">
        <f>ROUND(SUMIF('JUNE (물량흐름)'!$C$13:$C$502,'In-out-bal products (155)(완성제품)'!B203,'JUNE (물량흐름)'!$AB$13:$AB$502),0)</f>
        <v>0</v>
      </c>
      <c r="AU203" s="58">
        <f t="shared" si="85"/>
        <v>0</v>
      </c>
      <c r="AV203" s="58">
        <f>ROUND(SUMIF('JUNE (물량흐름)'!$C$13:$C$502,'In-out-bal products (155)(완성제품)'!B203,'JUNE (물량흐름)'!$AC$13:$AC$502),0)</f>
        <v>0</v>
      </c>
      <c r="AW203" s="58">
        <f t="shared" si="86"/>
        <v>0</v>
      </c>
      <c r="AX203" s="376">
        <f t="shared" si="87"/>
        <v>0</v>
      </c>
      <c r="AY203" s="377">
        <f t="shared" si="88"/>
        <v>0</v>
      </c>
      <c r="AZ203" s="377">
        <f t="shared" si="89"/>
        <v>0</v>
      </c>
      <c r="BA203" s="377">
        <f t="shared" si="90"/>
        <v>0</v>
      </c>
      <c r="BB203" s="377"/>
      <c r="BC203" s="377">
        <f t="shared" si="91"/>
        <v>0</v>
      </c>
      <c r="BD203" s="377">
        <f t="shared" si="92"/>
        <v>0</v>
      </c>
      <c r="BE203" s="377"/>
      <c r="BF203" s="377">
        <f t="shared" si="93"/>
        <v>0</v>
      </c>
      <c r="BG203" s="433">
        <f t="shared" si="94"/>
        <v>0</v>
      </c>
      <c r="BH203" s="434">
        <f t="shared" si="95"/>
        <v>0</v>
      </c>
    </row>
    <row r="204" spans="1:60" s="378" customFormat="1">
      <c r="A204" s="167">
        <v>194</v>
      </c>
      <c r="B204" s="253">
        <f>VLOOKUP(A204,'JUNE (물량흐름)'!$A$13:$C$493,3,0)</f>
        <v>465443</v>
      </c>
      <c r="C204" s="57" t="str">
        <f>VLOOKUP(A204,'JUNE (물량흐름)'!$A$13:$C$493,2,0)</f>
        <v>ANN TAYLOR</v>
      </c>
      <c r="D204" s="58">
        <f>IFERROR(VLOOKUP(B204,O.B.JUNE!$V$7:$Y$448,2,0),0)</f>
        <v>0</v>
      </c>
      <c r="E204" s="58">
        <f>IFERROR(VLOOKUP(B204,O.B.JUNE!$V$7:$X$448,3,0),0)</f>
        <v>0</v>
      </c>
      <c r="F204" s="58">
        <f>IFERROR(VLOOKUP(B204,O.B.JUNE!$V$7:$Y$448,4,0),0)</f>
        <v>0</v>
      </c>
      <c r="G204" s="58">
        <f>SUMIF('JUNE (물량흐름)'!$C$13:$C$493,'In-out-bal products (155)(완성제품)'!B204,'JUNE (물량흐름)'!$V$13:$V$493)</f>
        <v>0</v>
      </c>
      <c r="H204" s="58">
        <f>SUMIF('JUNE (물량흐름)'!$C$13:$C$493,'In-out-bal products (155)(완성제품)'!B204,'JUNE (물량흐름)'!$T$13:$T$493)-SUMIF('JUNE (물량흐름)'!$C$13:$C$493,'In-out-bal products (155)(완성제품)'!B204,'JUNE (물량흐름)'!$Y$13:$Y$493)+SUMIF('JUNE (물량흐름)'!$C$13:$C$493,'In-out-bal products (155)(완성제품)'!B204,'JUNE (물량흐름)'!$U$13:$U$493)</f>
        <v>0</v>
      </c>
      <c r="I204" s="58">
        <f t="shared" ref="I204:I267" si="96">(IF(ISERROR(L204/H204),0,L204/H204))</f>
        <v>0</v>
      </c>
      <c r="J204" s="58">
        <f>SUMIF('Direct labour(직접노무비)'!$C$12:$C$503,'In-out-bal products (155)(완성제품)'!B204,'Direct labour(직접노무비)'!$Q$12:$Q$503)</f>
        <v>0</v>
      </c>
      <c r="K204" s="59">
        <f>SUMIF('Overhead exp(제조경비)'!$C$12:$C$503,'In-out-bal products (155)(완성제품)'!B204,'Overhead exp(제조경비)'!$Q$12:$Q$503)</f>
        <v>0</v>
      </c>
      <c r="L204" s="58">
        <f t="shared" ref="L204:L267" si="97">ROUND(J204+K204,0)</f>
        <v>0</v>
      </c>
      <c r="M204" s="58">
        <f>SUMIF('JUNE (물량흐름)'!$C$13:$C$488,'In-out-bal products (155)(완성제품)'!B204,'JUNE (물량흐름)'!$Y$13:$Y$488)</f>
        <v>0</v>
      </c>
      <c r="N204" s="58">
        <f t="shared" ref="N204:N267" si="98">IFERROR(O204/M204,0)</f>
        <v>0</v>
      </c>
      <c r="O204" s="58">
        <f>SUMIF('Direct labour(직접노무비)'!$C$12:$C$503,'In-out-bal products (155)(완성제품)'!B204,'Direct labour(직접노무비)'!$U$12:$U$503)+SUMIF('Overhead exp(제조경비)'!$C$12:$C$503,'In-out-bal products (155)(완성제품)'!B204,'Overhead exp(제조경비)'!$U$12:$U$503)</f>
        <v>0</v>
      </c>
      <c r="P204" s="60">
        <f t="shared" ref="P204:P267" si="99">ROUND(H204+G204+M204,0)</f>
        <v>0</v>
      </c>
      <c r="Q204" s="60">
        <f t="shared" ref="Q204:Q267" si="100">(IF(ISERROR(R204/P204),0,R204/P204))</f>
        <v>0</v>
      </c>
      <c r="R204" s="60">
        <f t="shared" ref="R204:R267" si="101">ROUND(L204+O204,0)</f>
        <v>0</v>
      </c>
      <c r="S204" s="58">
        <v>0</v>
      </c>
      <c r="T204" s="58">
        <v>0</v>
      </c>
      <c r="U204" s="58">
        <v>0</v>
      </c>
      <c r="V204" s="58">
        <f>SUMIF('JUNE (물량흐름)'!$C$13:$C$493,'In-out-bal products (155)(완성제품)'!B204,'JUNE (물량흐름)'!$W$13:$W$493)</f>
        <v>0</v>
      </c>
      <c r="W204" s="58">
        <f t="shared" ref="W204:W267" si="102">(IF(V204=0,0,$X204/$V204))</f>
        <v>0</v>
      </c>
      <c r="X204" s="58">
        <f t="shared" ref="X204:X267" si="103">ROUND(IF(V204=0,0,V204*($F204+$L204)/($D204+$H204+$G204)),0)</f>
        <v>0</v>
      </c>
      <c r="Y204" s="58">
        <f>SUMIF('JUNE (물량흐름)'!$C$13:$C$488,'In-out-bal products (155)(완성제품)'!B204,'JUNE (물량흐름)'!$X$13:$X$488)</f>
        <v>0</v>
      </c>
      <c r="Z204" s="58">
        <f t="shared" ref="Z204:Z267" si="104">IF(Y204=0,0,$AA204/$Y204)</f>
        <v>0</v>
      </c>
      <c r="AA204" s="58">
        <f t="shared" ref="AA204:AA267" si="105">ROUND(IF(Y204=0,0,Y204*($F204+$L204)/($D204+$H204+$G204)),0)</f>
        <v>0</v>
      </c>
      <c r="AB204" s="58"/>
      <c r="AC204" s="58"/>
      <c r="AD204" s="61"/>
      <c r="AE204" s="58">
        <f t="shared" ref="AE204:AE267" si="106">M204</f>
        <v>0</v>
      </c>
      <c r="AF204" s="58">
        <f t="shared" ref="AF204:AF267" si="107">N204</f>
        <v>0</v>
      </c>
      <c r="AG204" s="61">
        <f t="shared" ref="AG204:AG267" si="108">O204</f>
        <v>0</v>
      </c>
      <c r="AH204" s="58">
        <v>0</v>
      </c>
      <c r="AI204" s="58">
        <v>0</v>
      </c>
      <c r="AJ204" s="61">
        <v>0</v>
      </c>
      <c r="AK204" s="58"/>
      <c r="AL204" s="58"/>
      <c r="AM204" s="61"/>
      <c r="AN204" s="61">
        <f t="shared" ref="AN204:AN267" si="109">ROUND(SUM(V204+Y204+AB204+AE204+AH204+AK204+S204),0)</f>
        <v>0</v>
      </c>
      <c r="AO204" s="58">
        <f t="shared" ref="AO204:AO267" si="110">(IF(ISERROR(AP204/AN204),0,AP204/AN204))</f>
        <v>0</v>
      </c>
      <c r="AP204" s="61">
        <f t="shared" ref="AP204:AP267" si="111">ROUND(X204+AA204+AD204+AG204+AJ204+AM204+U204,0)</f>
        <v>0</v>
      </c>
      <c r="AQ204" s="58">
        <f t="shared" ref="AQ204:AQ267" si="112">ROUND(D204+P204-AN204,0)</f>
        <v>0</v>
      </c>
      <c r="AR204" s="58">
        <f t="shared" ref="AR204:AR267" si="113">(IF(ISERROR(AS204/AQ204),0,AS204/AQ204))</f>
        <v>0</v>
      </c>
      <c r="AS204" s="58">
        <f t="shared" ref="AS204:AS267" si="114">ROUND(F204+R204-AP204,0)</f>
        <v>0</v>
      </c>
      <c r="AT204" s="58">
        <f>ROUND(SUMIF('JUNE (물량흐름)'!$C$13:$C$502,'In-out-bal products (155)(완성제품)'!B204,'JUNE (물량흐름)'!$AB$13:$AB$502),0)</f>
        <v>0</v>
      </c>
      <c r="AU204" s="58">
        <f t="shared" ref="AU204:AU267" si="115">+ROUND(AR204*AT204,0)</f>
        <v>0</v>
      </c>
      <c r="AV204" s="58">
        <f>ROUND(SUMIF('JUNE (물량흐름)'!$C$13:$C$502,'In-out-bal products (155)(완성제품)'!B204,'JUNE (물량흐름)'!$AC$13:$AC$502),0)</f>
        <v>0</v>
      </c>
      <c r="AW204" s="58">
        <f t="shared" ref="AW204:AW267" si="116">ROUND(AR204*AV204,0)</f>
        <v>0</v>
      </c>
      <c r="AX204" s="376">
        <f t="shared" ref="AX204:AX267" si="117">D204+P204-AN204-AQ204</f>
        <v>0</v>
      </c>
      <c r="AY204" s="377">
        <f t="shared" ref="AY204:AY267" si="118">F204+R204-AP204-AS204</f>
        <v>0</v>
      </c>
      <c r="AZ204" s="377">
        <f t="shared" ref="AZ204:AZ267" si="119">AQ204-AT204-AV204</f>
        <v>0</v>
      </c>
      <c r="BA204" s="377">
        <f t="shared" ref="BA204:BA267" si="120">AS204-AU204-AW204</f>
        <v>0</v>
      </c>
      <c r="BB204" s="377"/>
      <c r="BC204" s="377">
        <f t="shared" ref="BC204:BC267" si="121">F204+R204-AP204-AS204</f>
        <v>0</v>
      </c>
      <c r="BD204" s="377">
        <f t="shared" ref="BD204:BD267" si="122">D204+P204-AN204-AQ204</f>
        <v>0</v>
      </c>
      <c r="BE204" s="377"/>
      <c r="BF204" s="377">
        <f t="shared" ref="BF204:BF267" si="123">F204+R204-AP204-AS204</f>
        <v>0</v>
      </c>
      <c r="BG204" s="433">
        <f t="shared" ref="BG204:BG267" si="124">+X204+AA204+AD204+AG204+AJ204+AM204+U204</f>
        <v>0</v>
      </c>
      <c r="BH204" s="434">
        <f t="shared" ref="BH204:BH267" si="125">+BG204-AP204</f>
        <v>0</v>
      </c>
    </row>
    <row r="205" spans="1:60" s="378" customFormat="1">
      <c r="A205" s="167">
        <v>195</v>
      </c>
      <c r="B205" s="253">
        <f>VLOOKUP(A205,'JUNE (물량흐름)'!$A$13:$C$493,3,0)</f>
        <v>465452</v>
      </c>
      <c r="C205" s="57" t="str">
        <f>VLOOKUP(A205,'JUNE (물량흐름)'!$A$13:$C$493,2,0)</f>
        <v>ANN TAYLOR</v>
      </c>
      <c r="D205" s="58">
        <f>IFERROR(VLOOKUP(B205,O.B.JUNE!$V$7:$Y$448,2,0),0)</f>
        <v>0</v>
      </c>
      <c r="E205" s="58">
        <f>IFERROR(VLOOKUP(B205,O.B.JUNE!$V$7:$X$448,3,0),0)</f>
        <v>0</v>
      </c>
      <c r="F205" s="58">
        <f>IFERROR(VLOOKUP(B205,O.B.JUNE!$V$7:$Y$448,4,0),0)</f>
        <v>0</v>
      </c>
      <c r="G205" s="58">
        <f>SUMIF('JUNE (물량흐름)'!$C$13:$C$493,'In-out-bal products (155)(완성제품)'!B205,'JUNE (물량흐름)'!$V$13:$V$493)</f>
        <v>0</v>
      </c>
      <c r="H205" s="58">
        <f>SUMIF('JUNE (물량흐름)'!$C$13:$C$493,'In-out-bal products (155)(완성제품)'!B205,'JUNE (물량흐름)'!$T$13:$T$493)-SUMIF('JUNE (물량흐름)'!$C$13:$C$493,'In-out-bal products (155)(완성제품)'!B205,'JUNE (물량흐름)'!$Y$13:$Y$493)+SUMIF('JUNE (물량흐름)'!$C$13:$C$493,'In-out-bal products (155)(완성제품)'!B205,'JUNE (물량흐름)'!$U$13:$U$493)</f>
        <v>0</v>
      </c>
      <c r="I205" s="58">
        <f t="shared" si="96"/>
        <v>0</v>
      </c>
      <c r="J205" s="58">
        <f>SUMIF('Direct labour(직접노무비)'!$C$12:$C$503,'In-out-bal products (155)(완성제품)'!B205,'Direct labour(직접노무비)'!$Q$12:$Q$503)</f>
        <v>0</v>
      </c>
      <c r="K205" s="59">
        <f>SUMIF('Overhead exp(제조경비)'!$C$12:$C$503,'In-out-bal products (155)(완성제품)'!B205,'Overhead exp(제조경비)'!$Q$12:$Q$503)</f>
        <v>0</v>
      </c>
      <c r="L205" s="58">
        <f t="shared" si="97"/>
        <v>0</v>
      </c>
      <c r="M205" s="58">
        <f>SUMIF('JUNE (물량흐름)'!$C$13:$C$488,'In-out-bal products (155)(완성제품)'!B205,'JUNE (물량흐름)'!$Y$13:$Y$488)</f>
        <v>0</v>
      </c>
      <c r="N205" s="58">
        <f t="shared" si="98"/>
        <v>0</v>
      </c>
      <c r="O205" s="58">
        <f>SUMIF('Direct labour(직접노무비)'!$C$12:$C$503,'In-out-bal products (155)(완성제품)'!B205,'Direct labour(직접노무비)'!$U$12:$U$503)+SUMIF('Overhead exp(제조경비)'!$C$12:$C$503,'In-out-bal products (155)(완성제품)'!B205,'Overhead exp(제조경비)'!$U$12:$U$503)</f>
        <v>0</v>
      </c>
      <c r="P205" s="60">
        <f t="shared" si="99"/>
        <v>0</v>
      </c>
      <c r="Q205" s="60">
        <f t="shared" si="100"/>
        <v>0</v>
      </c>
      <c r="R205" s="60">
        <f t="shared" si="101"/>
        <v>0</v>
      </c>
      <c r="S205" s="58">
        <v>0</v>
      </c>
      <c r="T205" s="58">
        <v>0</v>
      </c>
      <c r="U205" s="58">
        <v>0</v>
      </c>
      <c r="V205" s="58">
        <f>SUMIF('JUNE (물량흐름)'!$C$13:$C$493,'In-out-bal products (155)(완성제품)'!B205,'JUNE (물량흐름)'!$W$13:$W$493)</f>
        <v>0</v>
      </c>
      <c r="W205" s="58">
        <f t="shared" si="102"/>
        <v>0</v>
      </c>
      <c r="X205" s="58">
        <f t="shared" si="103"/>
        <v>0</v>
      </c>
      <c r="Y205" s="58">
        <f>SUMIF('JUNE (물량흐름)'!$C$13:$C$488,'In-out-bal products (155)(완성제품)'!B205,'JUNE (물량흐름)'!$X$13:$X$488)</f>
        <v>0</v>
      </c>
      <c r="Z205" s="58">
        <f t="shared" si="104"/>
        <v>0</v>
      </c>
      <c r="AA205" s="58">
        <f t="shared" si="105"/>
        <v>0</v>
      </c>
      <c r="AB205" s="58"/>
      <c r="AC205" s="58"/>
      <c r="AD205" s="61"/>
      <c r="AE205" s="58">
        <f t="shared" si="106"/>
        <v>0</v>
      </c>
      <c r="AF205" s="58">
        <f t="shared" si="107"/>
        <v>0</v>
      </c>
      <c r="AG205" s="61">
        <f t="shared" si="108"/>
        <v>0</v>
      </c>
      <c r="AH205" s="58">
        <v>0</v>
      </c>
      <c r="AI205" s="58">
        <v>0</v>
      </c>
      <c r="AJ205" s="61">
        <v>0</v>
      </c>
      <c r="AK205" s="58"/>
      <c r="AL205" s="58"/>
      <c r="AM205" s="61"/>
      <c r="AN205" s="61">
        <f t="shared" si="109"/>
        <v>0</v>
      </c>
      <c r="AO205" s="58">
        <f t="shared" si="110"/>
        <v>0</v>
      </c>
      <c r="AP205" s="61">
        <f t="shared" si="111"/>
        <v>0</v>
      </c>
      <c r="AQ205" s="58">
        <f t="shared" si="112"/>
        <v>0</v>
      </c>
      <c r="AR205" s="58">
        <f t="shared" si="113"/>
        <v>0</v>
      </c>
      <c r="AS205" s="58">
        <f t="shared" si="114"/>
        <v>0</v>
      </c>
      <c r="AT205" s="58">
        <f>ROUND(SUMIF('JUNE (물량흐름)'!$C$13:$C$502,'In-out-bal products (155)(완성제품)'!B205,'JUNE (물량흐름)'!$AB$13:$AB$502),0)</f>
        <v>0</v>
      </c>
      <c r="AU205" s="58">
        <f t="shared" si="115"/>
        <v>0</v>
      </c>
      <c r="AV205" s="58">
        <f>ROUND(SUMIF('JUNE (물량흐름)'!$C$13:$C$502,'In-out-bal products (155)(완성제품)'!B205,'JUNE (물량흐름)'!$AC$13:$AC$502),0)</f>
        <v>0</v>
      </c>
      <c r="AW205" s="58">
        <f t="shared" si="116"/>
        <v>0</v>
      </c>
      <c r="AX205" s="376">
        <f t="shared" si="117"/>
        <v>0</v>
      </c>
      <c r="AY205" s="377">
        <f t="shared" si="118"/>
        <v>0</v>
      </c>
      <c r="AZ205" s="377">
        <f t="shared" si="119"/>
        <v>0</v>
      </c>
      <c r="BA205" s="377">
        <f t="shared" si="120"/>
        <v>0</v>
      </c>
      <c r="BB205" s="377"/>
      <c r="BC205" s="377">
        <f t="shared" si="121"/>
        <v>0</v>
      </c>
      <c r="BD205" s="377">
        <f t="shared" si="122"/>
        <v>0</v>
      </c>
      <c r="BE205" s="377"/>
      <c r="BF205" s="377">
        <f t="shared" si="123"/>
        <v>0</v>
      </c>
      <c r="BG205" s="433">
        <f t="shared" si="124"/>
        <v>0</v>
      </c>
      <c r="BH205" s="434">
        <f t="shared" si="125"/>
        <v>0</v>
      </c>
    </row>
    <row r="206" spans="1:60" s="378" customFormat="1">
      <c r="A206" s="167">
        <v>196</v>
      </c>
      <c r="B206" s="253">
        <f>VLOOKUP(A206,'JUNE (물량흐름)'!$A$13:$C$493,3,0)</f>
        <v>465456</v>
      </c>
      <c r="C206" s="57" t="str">
        <f>VLOOKUP(A206,'JUNE (물량흐름)'!$A$13:$C$493,2,0)</f>
        <v>ANN TAYLOR</v>
      </c>
      <c r="D206" s="58">
        <f>IFERROR(VLOOKUP(B206,O.B.JUNE!$V$7:$Y$448,2,0),0)</f>
        <v>0</v>
      </c>
      <c r="E206" s="58">
        <f>IFERROR(VLOOKUP(B206,O.B.JUNE!$V$7:$X$448,3,0),0)</f>
        <v>0</v>
      </c>
      <c r="F206" s="58">
        <f>IFERROR(VLOOKUP(B206,O.B.JUNE!$V$7:$Y$448,4,0),0)</f>
        <v>0</v>
      </c>
      <c r="G206" s="58">
        <f>SUMIF('JUNE (물량흐름)'!$C$13:$C$493,'In-out-bal products (155)(완성제품)'!B206,'JUNE (물량흐름)'!$V$13:$V$493)</f>
        <v>0</v>
      </c>
      <c r="H206" s="58">
        <f>SUMIF('JUNE (물량흐름)'!$C$13:$C$493,'In-out-bal products (155)(완성제품)'!B206,'JUNE (물량흐름)'!$T$13:$T$493)-SUMIF('JUNE (물량흐름)'!$C$13:$C$493,'In-out-bal products (155)(완성제품)'!B206,'JUNE (물량흐름)'!$Y$13:$Y$493)+SUMIF('JUNE (물량흐름)'!$C$13:$C$493,'In-out-bal products (155)(완성제품)'!B206,'JUNE (물량흐름)'!$U$13:$U$493)</f>
        <v>0</v>
      </c>
      <c r="I206" s="58">
        <f t="shared" si="96"/>
        <v>0</v>
      </c>
      <c r="J206" s="58">
        <f>SUMIF('Direct labour(직접노무비)'!$C$12:$C$503,'In-out-bal products (155)(완성제품)'!B206,'Direct labour(직접노무비)'!$Q$12:$Q$503)</f>
        <v>0</v>
      </c>
      <c r="K206" s="59">
        <f>SUMIF('Overhead exp(제조경비)'!$C$12:$C$503,'In-out-bal products (155)(완성제품)'!B206,'Overhead exp(제조경비)'!$Q$12:$Q$503)</f>
        <v>0</v>
      </c>
      <c r="L206" s="58">
        <f t="shared" si="97"/>
        <v>0</v>
      </c>
      <c r="M206" s="58">
        <f>SUMIF('JUNE (물량흐름)'!$C$13:$C$488,'In-out-bal products (155)(완성제품)'!B206,'JUNE (물량흐름)'!$Y$13:$Y$488)</f>
        <v>0</v>
      </c>
      <c r="N206" s="58">
        <f t="shared" si="98"/>
        <v>0</v>
      </c>
      <c r="O206" s="58">
        <f>SUMIF('Direct labour(직접노무비)'!$C$12:$C$503,'In-out-bal products (155)(완성제품)'!B206,'Direct labour(직접노무비)'!$U$12:$U$503)+SUMIF('Overhead exp(제조경비)'!$C$12:$C$503,'In-out-bal products (155)(완성제품)'!B206,'Overhead exp(제조경비)'!$U$12:$U$503)</f>
        <v>0</v>
      </c>
      <c r="P206" s="60">
        <f t="shared" si="99"/>
        <v>0</v>
      </c>
      <c r="Q206" s="60">
        <f t="shared" si="100"/>
        <v>0</v>
      </c>
      <c r="R206" s="60">
        <f t="shared" si="101"/>
        <v>0</v>
      </c>
      <c r="S206" s="58">
        <v>0</v>
      </c>
      <c r="T206" s="58">
        <v>0</v>
      </c>
      <c r="U206" s="58">
        <v>0</v>
      </c>
      <c r="V206" s="58">
        <f>SUMIF('JUNE (물량흐름)'!$C$13:$C$493,'In-out-bal products (155)(완성제품)'!B206,'JUNE (물량흐름)'!$W$13:$W$493)</f>
        <v>0</v>
      </c>
      <c r="W206" s="58">
        <f t="shared" si="102"/>
        <v>0</v>
      </c>
      <c r="X206" s="58">
        <f t="shared" si="103"/>
        <v>0</v>
      </c>
      <c r="Y206" s="58">
        <f>SUMIF('JUNE (물량흐름)'!$C$13:$C$488,'In-out-bal products (155)(완성제품)'!B206,'JUNE (물량흐름)'!$X$13:$X$488)</f>
        <v>0</v>
      </c>
      <c r="Z206" s="58">
        <f t="shared" si="104"/>
        <v>0</v>
      </c>
      <c r="AA206" s="58">
        <f t="shared" si="105"/>
        <v>0</v>
      </c>
      <c r="AB206" s="58"/>
      <c r="AC206" s="58"/>
      <c r="AD206" s="61"/>
      <c r="AE206" s="58">
        <f t="shared" si="106"/>
        <v>0</v>
      </c>
      <c r="AF206" s="58">
        <f t="shared" si="107"/>
        <v>0</v>
      </c>
      <c r="AG206" s="61">
        <f t="shared" si="108"/>
        <v>0</v>
      </c>
      <c r="AH206" s="58">
        <v>0</v>
      </c>
      <c r="AI206" s="58">
        <v>0</v>
      </c>
      <c r="AJ206" s="61">
        <v>0</v>
      </c>
      <c r="AK206" s="58"/>
      <c r="AL206" s="58"/>
      <c r="AM206" s="61"/>
      <c r="AN206" s="61">
        <f t="shared" si="109"/>
        <v>0</v>
      </c>
      <c r="AO206" s="58">
        <f t="shared" si="110"/>
        <v>0</v>
      </c>
      <c r="AP206" s="61">
        <f t="shared" si="111"/>
        <v>0</v>
      </c>
      <c r="AQ206" s="58">
        <f t="shared" si="112"/>
        <v>0</v>
      </c>
      <c r="AR206" s="58">
        <f t="shared" si="113"/>
        <v>0</v>
      </c>
      <c r="AS206" s="58">
        <f t="shared" si="114"/>
        <v>0</v>
      </c>
      <c r="AT206" s="58">
        <f>ROUND(SUMIF('JUNE (물량흐름)'!$C$13:$C$502,'In-out-bal products (155)(완성제품)'!B206,'JUNE (물량흐름)'!$AB$13:$AB$502),0)</f>
        <v>0</v>
      </c>
      <c r="AU206" s="58">
        <f t="shared" si="115"/>
        <v>0</v>
      </c>
      <c r="AV206" s="58">
        <f>ROUND(SUMIF('JUNE (물량흐름)'!$C$13:$C$502,'In-out-bal products (155)(완성제품)'!B206,'JUNE (물량흐름)'!$AC$13:$AC$502),0)</f>
        <v>0</v>
      </c>
      <c r="AW206" s="58">
        <f t="shared" si="116"/>
        <v>0</v>
      </c>
      <c r="AX206" s="376">
        <f t="shared" si="117"/>
        <v>0</v>
      </c>
      <c r="AY206" s="377">
        <f t="shared" si="118"/>
        <v>0</v>
      </c>
      <c r="AZ206" s="377">
        <f t="shared" si="119"/>
        <v>0</v>
      </c>
      <c r="BA206" s="377">
        <f t="shared" si="120"/>
        <v>0</v>
      </c>
      <c r="BB206" s="377"/>
      <c r="BC206" s="377">
        <f t="shared" si="121"/>
        <v>0</v>
      </c>
      <c r="BD206" s="377">
        <f t="shared" si="122"/>
        <v>0</v>
      </c>
      <c r="BE206" s="377"/>
      <c r="BF206" s="377">
        <f t="shared" si="123"/>
        <v>0</v>
      </c>
      <c r="BG206" s="433">
        <f t="shared" si="124"/>
        <v>0</v>
      </c>
      <c r="BH206" s="434">
        <f t="shared" si="125"/>
        <v>0</v>
      </c>
    </row>
    <row r="207" spans="1:60" s="378" customFormat="1">
      <c r="A207" s="167">
        <v>197</v>
      </c>
      <c r="B207" s="253">
        <f>VLOOKUP(A207,'JUNE (물량흐름)'!$A$13:$C$493,3,0)</f>
        <v>100003058</v>
      </c>
      <c r="C207" s="57" t="str">
        <f>VLOOKUP(A207,'JUNE (물량흐름)'!$A$13:$C$493,2,0)</f>
        <v>INC</v>
      </c>
      <c r="D207" s="58">
        <f>IFERROR(VLOOKUP(B207,O.B.JUNE!$V$7:$Y$448,2,0),0)</f>
        <v>0</v>
      </c>
      <c r="E207" s="58">
        <f>IFERROR(VLOOKUP(B207,O.B.JUNE!$V$7:$X$448,3,0),0)</f>
        <v>0</v>
      </c>
      <c r="F207" s="58">
        <f>IFERROR(VLOOKUP(B207,O.B.JUNE!$V$7:$Y$448,4,0),0)</f>
        <v>0</v>
      </c>
      <c r="G207" s="58">
        <f>SUMIF('JUNE (물량흐름)'!$C$13:$C$493,'In-out-bal products (155)(완성제품)'!B207,'JUNE (물량흐름)'!$V$13:$V$493)</f>
        <v>0</v>
      </c>
      <c r="H207" s="58">
        <f>SUMIF('JUNE (물량흐름)'!$C$13:$C$493,'In-out-bal products (155)(완성제품)'!B207,'JUNE (물량흐름)'!$T$13:$T$493)-SUMIF('JUNE (물량흐름)'!$C$13:$C$493,'In-out-bal products (155)(완성제품)'!B207,'JUNE (물량흐름)'!$Y$13:$Y$493)+SUMIF('JUNE (물량흐름)'!$C$13:$C$493,'In-out-bal products (155)(완성제품)'!B207,'JUNE (물량흐름)'!$U$13:$U$493)</f>
        <v>28</v>
      </c>
      <c r="I207" s="58">
        <f t="shared" si="96"/>
        <v>18780.535714285714</v>
      </c>
      <c r="J207" s="58">
        <f>SUMIF('Direct labour(직접노무비)'!$C$12:$C$503,'In-out-bal products (155)(완성제품)'!B207,'Direct labour(직접노무비)'!$Q$12:$Q$503)</f>
        <v>221023</v>
      </c>
      <c r="K207" s="59">
        <f>SUMIF('Overhead exp(제조경비)'!$C$12:$C$503,'In-out-bal products (155)(완성제품)'!B207,'Overhead exp(제조경비)'!$Q$12:$Q$503)</f>
        <v>304832</v>
      </c>
      <c r="L207" s="58">
        <f t="shared" si="97"/>
        <v>525855</v>
      </c>
      <c r="M207" s="58">
        <f>SUMIF('JUNE (물량흐름)'!$C$13:$C$488,'In-out-bal products (155)(완성제품)'!B207,'JUNE (물량흐름)'!$Y$13:$Y$488)</f>
        <v>0</v>
      </c>
      <c r="N207" s="58">
        <f t="shared" si="98"/>
        <v>0</v>
      </c>
      <c r="O207" s="58">
        <f>SUMIF('Direct labour(직접노무비)'!$C$12:$C$503,'In-out-bal products (155)(완성제품)'!B207,'Direct labour(직접노무비)'!$U$12:$U$503)+SUMIF('Overhead exp(제조경비)'!$C$12:$C$503,'In-out-bal products (155)(완성제품)'!B207,'Overhead exp(제조경비)'!$U$12:$U$503)</f>
        <v>0</v>
      </c>
      <c r="P207" s="60">
        <f t="shared" si="99"/>
        <v>28</v>
      </c>
      <c r="Q207" s="60">
        <f t="shared" si="100"/>
        <v>18780.535714285714</v>
      </c>
      <c r="R207" s="60">
        <f t="shared" si="101"/>
        <v>525855</v>
      </c>
      <c r="S207" s="58">
        <v>0</v>
      </c>
      <c r="T207" s="58">
        <v>0</v>
      </c>
      <c r="U207" s="58">
        <v>0</v>
      </c>
      <c r="V207" s="58">
        <f>SUMIF('JUNE (물량흐름)'!$C$13:$C$493,'In-out-bal products (155)(완성제품)'!B207,'JUNE (물량흐름)'!$W$13:$W$493)</f>
        <v>0</v>
      </c>
      <c r="W207" s="58">
        <f t="shared" si="102"/>
        <v>0</v>
      </c>
      <c r="X207" s="58">
        <f t="shared" si="103"/>
        <v>0</v>
      </c>
      <c r="Y207" s="58">
        <f>SUMIF('JUNE (물량흐름)'!$C$13:$C$488,'In-out-bal products (155)(완성제품)'!B207,'JUNE (물량흐름)'!$X$13:$X$488)</f>
        <v>0</v>
      </c>
      <c r="Z207" s="58">
        <f t="shared" si="104"/>
        <v>0</v>
      </c>
      <c r="AA207" s="58">
        <f t="shared" si="105"/>
        <v>0</v>
      </c>
      <c r="AB207" s="58"/>
      <c r="AC207" s="58"/>
      <c r="AD207" s="61"/>
      <c r="AE207" s="58">
        <f t="shared" si="106"/>
        <v>0</v>
      </c>
      <c r="AF207" s="58">
        <f t="shared" si="107"/>
        <v>0</v>
      </c>
      <c r="AG207" s="61">
        <f t="shared" si="108"/>
        <v>0</v>
      </c>
      <c r="AH207" s="58">
        <v>0</v>
      </c>
      <c r="AI207" s="58">
        <v>0</v>
      </c>
      <c r="AJ207" s="61">
        <v>0</v>
      </c>
      <c r="AK207" s="58"/>
      <c r="AL207" s="58"/>
      <c r="AM207" s="61"/>
      <c r="AN207" s="61">
        <f t="shared" si="109"/>
        <v>0</v>
      </c>
      <c r="AO207" s="58">
        <f t="shared" si="110"/>
        <v>0</v>
      </c>
      <c r="AP207" s="61">
        <f t="shared" si="111"/>
        <v>0</v>
      </c>
      <c r="AQ207" s="58">
        <f t="shared" si="112"/>
        <v>28</v>
      </c>
      <c r="AR207" s="58">
        <f t="shared" si="113"/>
        <v>18780.535714285714</v>
      </c>
      <c r="AS207" s="58">
        <f t="shared" si="114"/>
        <v>525855</v>
      </c>
      <c r="AT207" s="58">
        <f>ROUND(SUMIF('JUNE (물량흐름)'!$C$13:$C$502,'In-out-bal products (155)(완성제품)'!B207,'JUNE (물량흐름)'!$AB$13:$AB$502),0)</f>
        <v>0</v>
      </c>
      <c r="AU207" s="58">
        <f t="shared" si="115"/>
        <v>0</v>
      </c>
      <c r="AV207" s="58">
        <f>ROUND(SUMIF('JUNE (물량흐름)'!$C$13:$C$502,'In-out-bal products (155)(완성제품)'!B207,'JUNE (물량흐름)'!$AC$13:$AC$502),0)</f>
        <v>28</v>
      </c>
      <c r="AW207" s="58">
        <f t="shared" si="116"/>
        <v>525855</v>
      </c>
      <c r="AX207" s="376">
        <f t="shared" si="117"/>
        <v>0</v>
      </c>
      <c r="AY207" s="377">
        <f t="shared" si="118"/>
        <v>0</v>
      </c>
      <c r="AZ207" s="377">
        <f t="shared" si="119"/>
        <v>0</v>
      </c>
      <c r="BA207" s="377">
        <f t="shared" si="120"/>
        <v>0</v>
      </c>
      <c r="BB207" s="377"/>
      <c r="BC207" s="377">
        <f t="shared" si="121"/>
        <v>0</v>
      </c>
      <c r="BD207" s="377">
        <f t="shared" si="122"/>
        <v>0</v>
      </c>
      <c r="BE207" s="377"/>
      <c r="BF207" s="377">
        <f t="shared" si="123"/>
        <v>0</v>
      </c>
      <c r="BG207" s="433">
        <f t="shared" si="124"/>
        <v>0</v>
      </c>
      <c r="BH207" s="434">
        <f t="shared" si="125"/>
        <v>0</v>
      </c>
    </row>
    <row r="208" spans="1:60" s="378" customFormat="1">
      <c r="A208" s="167">
        <v>198</v>
      </c>
      <c r="B208" s="253">
        <f>VLOOKUP(A208,'JUNE (물량흐름)'!$A$13:$C$493,3,0)</f>
        <v>100014739</v>
      </c>
      <c r="C208" s="57" t="str">
        <f>VLOOKUP(A208,'JUNE (물량흐름)'!$A$13:$C$493,2,0)</f>
        <v>INC</v>
      </c>
      <c r="D208" s="58">
        <f>IFERROR(VLOOKUP(B208,O.B.JUNE!$V$7:$Y$448,2,0),0)</f>
        <v>0</v>
      </c>
      <c r="E208" s="58">
        <f>IFERROR(VLOOKUP(B208,O.B.JUNE!$V$7:$X$448,3,0),0)</f>
        <v>0</v>
      </c>
      <c r="F208" s="58">
        <f>IFERROR(VLOOKUP(B208,O.B.JUNE!$V$7:$Y$448,4,0),0)</f>
        <v>0</v>
      </c>
      <c r="G208" s="58">
        <f>SUMIF('JUNE (물량흐름)'!$C$13:$C$493,'In-out-bal products (155)(완성제품)'!B208,'JUNE (물량흐름)'!$V$13:$V$493)</f>
        <v>0</v>
      </c>
      <c r="H208" s="58">
        <f>SUMIF('JUNE (물량흐름)'!$C$13:$C$493,'In-out-bal products (155)(완성제품)'!B208,'JUNE (물량흐름)'!$T$13:$T$493)-SUMIF('JUNE (물량흐름)'!$C$13:$C$493,'In-out-bal products (155)(완성제품)'!B208,'JUNE (물량흐름)'!$Y$13:$Y$493)+SUMIF('JUNE (물량흐름)'!$C$13:$C$493,'In-out-bal products (155)(완성제품)'!B208,'JUNE (물량흐름)'!$U$13:$U$493)</f>
        <v>397</v>
      </c>
      <c r="I208" s="58">
        <f t="shared" si="96"/>
        <v>20498.088161209067</v>
      </c>
      <c r="J208" s="58">
        <f>SUMIF('Direct labour(직접노무비)'!$C$12:$C$503,'In-out-bal products (155)(완성제품)'!B208,'Direct labour(직접노무비)'!$Q$12:$Q$503)</f>
        <v>3402897</v>
      </c>
      <c r="K208" s="59">
        <f>SUMIF('Overhead exp(제조경비)'!$C$12:$C$503,'In-out-bal products (155)(완성제품)'!B208,'Overhead exp(제조경비)'!$Q$12:$Q$503)</f>
        <v>4734844</v>
      </c>
      <c r="L208" s="58">
        <f t="shared" si="97"/>
        <v>8137741</v>
      </c>
      <c r="M208" s="58">
        <f>SUMIF('JUNE (물량흐름)'!$C$13:$C$488,'In-out-bal products (155)(완성제품)'!B208,'JUNE (물량흐름)'!$Y$13:$Y$488)</f>
        <v>0</v>
      </c>
      <c r="N208" s="58">
        <f t="shared" si="98"/>
        <v>0</v>
      </c>
      <c r="O208" s="58">
        <f>SUMIF('Direct labour(직접노무비)'!$C$12:$C$503,'In-out-bal products (155)(완성제품)'!B208,'Direct labour(직접노무비)'!$U$12:$U$503)+SUMIF('Overhead exp(제조경비)'!$C$12:$C$503,'In-out-bal products (155)(완성제품)'!B208,'Overhead exp(제조경비)'!$U$12:$U$503)</f>
        <v>0</v>
      </c>
      <c r="P208" s="60">
        <f t="shared" si="99"/>
        <v>397</v>
      </c>
      <c r="Q208" s="60">
        <f t="shared" si="100"/>
        <v>20498.088161209067</v>
      </c>
      <c r="R208" s="60">
        <f t="shared" si="101"/>
        <v>8137741</v>
      </c>
      <c r="S208" s="58">
        <v>0</v>
      </c>
      <c r="T208" s="58">
        <v>0</v>
      </c>
      <c r="U208" s="58">
        <v>0</v>
      </c>
      <c r="V208" s="58">
        <f>SUMIF('JUNE (물량흐름)'!$C$13:$C$493,'In-out-bal products (155)(완성제품)'!B208,'JUNE (물량흐름)'!$W$13:$W$493)</f>
        <v>0</v>
      </c>
      <c r="W208" s="58">
        <f t="shared" si="102"/>
        <v>0</v>
      </c>
      <c r="X208" s="58">
        <f t="shared" si="103"/>
        <v>0</v>
      </c>
      <c r="Y208" s="58">
        <f>SUMIF('JUNE (물량흐름)'!$C$13:$C$488,'In-out-bal products (155)(완성제품)'!B208,'JUNE (물량흐름)'!$X$13:$X$488)</f>
        <v>0</v>
      </c>
      <c r="Z208" s="58">
        <f t="shared" si="104"/>
        <v>0</v>
      </c>
      <c r="AA208" s="58">
        <f t="shared" si="105"/>
        <v>0</v>
      </c>
      <c r="AB208" s="58"/>
      <c r="AC208" s="58"/>
      <c r="AD208" s="61"/>
      <c r="AE208" s="58">
        <f t="shared" si="106"/>
        <v>0</v>
      </c>
      <c r="AF208" s="58">
        <f t="shared" si="107"/>
        <v>0</v>
      </c>
      <c r="AG208" s="61">
        <f t="shared" si="108"/>
        <v>0</v>
      </c>
      <c r="AH208" s="58">
        <v>0</v>
      </c>
      <c r="AI208" s="58">
        <v>0</v>
      </c>
      <c r="AJ208" s="61">
        <v>0</v>
      </c>
      <c r="AK208" s="58"/>
      <c r="AL208" s="58"/>
      <c r="AM208" s="61"/>
      <c r="AN208" s="61">
        <f t="shared" si="109"/>
        <v>0</v>
      </c>
      <c r="AO208" s="58">
        <f t="shared" si="110"/>
        <v>0</v>
      </c>
      <c r="AP208" s="61">
        <f t="shared" si="111"/>
        <v>0</v>
      </c>
      <c r="AQ208" s="58">
        <f t="shared" si="112"/>
        <v>397</v>
      </c>
      <c r="AR208" s="58">
        <f t="shared" si="113"/>
        <v>20498.088161209067</v>
      </c>
      <c r="AS208" s="58">
        <f t="shared" si="114"/>
        <v>8137741</v>
      </c>
      <c r="AT208" s="58">
        <f>ROUND(SUMIF('JUNE (물량흐름)'!$C$13:$C$502,'In-out-bal products (155)(완성제품)'!B208,'JUNE (물량흐름)'!$AB$13:$AB$502),0)</f>
        <v>0</v>
      </c>
      <c r="AU208" s="58">
        <f t="shared" si="115"/>
        <v>0</v>
      </c>
      <c r="AV208" s="58">
        <f>ROUND(SUMIF('JUNE (물량흐름)'!$C$13:$C$502,'In-out-bal products (155)(완성제품)'!B208,'JUNE (물량흐름)'!$AC$13:$AC$502),0)</f>
        <v>397</v>
      </c>
      <c r="AW208" s="58">
        <f t="shared" si="116"/>
        <v>8137741</v>
      </c>
      <c r="AX208" s="376">
        <f t="shared" si="117"/>
        <v>0</v>
      </c>
      <c r="AY208" s="377">
        <f t="shared" si="118"/>
        <v>0</v>
      </c>
      <c r="AZ208" s="377">
        <f t="shared" si="119"/>
        <v>0</v>
      </c>
      <c r="BA208" s="377">
        <f t="shared" si="120"/>
        <v>0</v>
      </c>
      <c r="BB208" s="377"/>
      <c r="BC208" s="377">
        <f t="shared" si="121"/>
        <v>0</v>
      </c>
      <c r="BD208" s="377">
        <f t="shared" si="122"/>
        <v>0</v>
      </c>
      <c r="BE208" s="377"/>
      <c r="BF208" s="377">
        <f t="shared" si="123"/>
        <v>0</v>
      </c>
      <c r="BG208" s="433">
        <f t="shared" si="124"/>
        <v>0</v>
      </c>
      <c r="BH208" s="434">
        <f t="shared" si="125"/>
        <v>0</v>
      </c>
    </row>
    <row r="209" spans="1:60" s="378" customFormat="1">
      <c r="A209" s="167">
        <v>199</v>
      </c>
      <c r="B209" s="253" t="str">
        <f>VLOOKUP(A209,'JUNE (물량흐름)'!$A$13:$C$493,3,0)</f>
        <v>KPT128571</v>
      </c>
      <c r="C209" s="57" t="str">
        <f>VLOOKUP(A209,'JUNE (물량흐름)'!$A$13:$C$493,2,0)</f>
        <v>J JILL</v>
      </c>
      <c r="D209" s="58">
        <f>IFERROR(VLOOKUP(B209,O.B.JUNE!$V$7:$Y$448,2,0),0)</f>
        <v>229</v>
      </c>
      <c r="E209" s="58">
        <f>IFERROR(VLOOKUP(B209,O.B.JUNE!$V$7:$X$448,3,0),0)</f>
        <v>26699.379912663757</v>
      </c>
      <c r="F209" s="58">
        <f>IFERROR(VLOOKUP(B209,O.B.JUNE!$V$7:$Y$448,4,0),0)</f>
        <v>6114158</v>
      </c>
      <c r="G209" s="58">
        <f>SUMIF('JUNE (물량흐름)'!$C$13:$C$493,'In-out-bal products (155)(완성제품)'!B209,'JUNE (물량흐름)'!$V$13:$V$493)</f>
        <v>0</v>
      </c>
      <c r="H209" s="58">
        <f>SUMIF('JUNE (물량흐름)'!$C$13:$C$493,'In-out-bal products (155)(완성제품)'!B209,'JUNE (물량흐름)'!$T$13:$T$493)-SUMIF('JUNE (물량흐름)'!$C$13:$C$493,'In-out-bal products (155)(완성제품)'!B209,'JUNE (물량흐름)'!$Y$13:$Y$493)+SUMIF('JUNE (물량흐름)'!$C$13:$C$493,'In-out-bal products (155)(완성제품)'!B209,'JUNE (물량흐름)'!$U$13:$U$493)</f>
        <v>0</v>
      </c>
      <c r="I209" s="58">
        <f t="shared" si="96"/>
        <v>0</v>
      </c>
      <c r="J209" s="58">
        <f>SUMIF('Direct labour(직접노무비)'!$C$12:$C$503,'In-out-bal products (155)(완성제품)'!B209,'Direct labour(직접노무비)'!$Q$12:$Q$503)</f>
        <v>0</v>
      </c>
      <c r="K209" s="59">
        <f>SUMIF('Overhead exp(제조경비)'!$C$12:$C$503,'In-out-bal products (155)(완성제품)'!B209,'Overhead exp(제조경비)'!$Q$12:$Q$503)</f>
        <v>0</v>
      </c>
      <c r="L209" s="58">
        <f t="shared" si="97"/>
        <v>0</v>
      </c>
      <c r="M209" s="58">
        <f>SUMIF('JUNE (물량흐름)'!$C$13:$C$488,'In-out-bal products (155)(완성제품)'!B209,'JUNE (물량흐름)'!$Y$13:$Y$488)</f>
        <v>0</v>
      </c>
      <c r="N209" s="58">
        <f t="shared" si="98"/>
        <v>0</v>
      </c>
      <c r="O209" s="58">
        <f>SUMIF('Direct labour(직접노무비)'!$C$12:$C$503,'In-out-bal products (155)(완성제품)'!B209,'Direct labour(직접노무비)'!$U$12:$U$503)+SUMIF('Overhead exp(제조경비)'!$C$12:$C$503,'In-out-bal products (155)(완성제품)'!B209,'Overhead exp(제조경비)'!$U$12:$U$503)</f>
        <v>0</v>
      </c>
      <c r="P209" s="60">
        <f t="shared" si="99"/>
        <v>0</v>
      </c>
      <c r="Q209" s="60">
        <f t="shared" si="100"/>
        <v>0</v>
      </c>
      <c r="R209" s="60">
        <f t="shared" si="101"/>
        <v>0</v>
      </c>
      <c r="S209" s="58">
        <v>0</v>
      </c>
      <c r="T209" s="58">
        <v>0</v>
      </c>
      <c r="U209" s="58">
        <v>0</v>
      </c>
      <c r="V209" s="58">
        <f>SUMIF('JUNE (물량흐름)'!$C$13:$C$493,'In-out-bal products (155)(완성제품)'!B209,'JUNE (물량흐름)'!$W$13:$W$493)</f>
        <v>0</v>
      </c>
      <c r="W209" s="58">
        <f t="shared" si="102"/>
        <v>0</v>
      </c>
      <c r="X209" s="58">
        <f t="shared" si="103"/>
        <v>0</v>
      </c>
      <c r="Y209" s="58">
        <f>SUMIF('JUNE (물량흐름)'!$C$13:$C$488,'In-out-bal products (155)(완성제품)'!B209,'JUNE (물량흐름)'!$X$13:$X$488)</f>
        <v>0</v>
      </c>
      <c r="Z209" s="58">
        <f t="shared" si="104"/>
        <v>0</v>
      </c>
      <c r="AA209" s="58">
        <f t="shared" si="105"/>
        <v>0</v>
      </c>
      <c r="AB209" s="58"/>
      <c r="AC209" s="58"/>
      <c r="AD209" s="61"/>
      <c r="AE209" s="58">
        <f t="shared" si="106"/>
        <v>0</v>
      </c>
      <c r="AF209" s="58">
        <f t="shared" si="107"/>
        <v>0</v>
      </c>
      <c r="AG209" s="61">
        <f t="shared" si="108"/>
        <v>0</v>
      </c>
      <c r="AH209" s="58">
        <v>0</v>
      </c>
      <c r="AI209" s="58">
        <v>0</v>
      </c>
      <c r="AJ209" s="61">
        <v>0</v>
      </c>
      <c r="AK209" s="58"/>
      <c r="AL209" s="58"/>
      <c r="AM209" s="61"/>
      <c r="AN209" s="61">
        <f t="shared" si="109"/>
        <v>0</v>
      </c>
      <c r="AO209" s="58">
        <f t="shared" si="110"/>
        <v>0</v>
      </c>
      <c r="AP209" s="61">
        <f t="shared" si="111"/>
        <v>0</v>
      </c>
      <c r="AQ209" s="58">
        <f t="shared" si="112"/>
        <v>229</v>
      </c>
      <c r="AR209" s="58">
        <f t="shared" si="113"/>
        <v>26699.379912663757</v>
      </c>
      <c r="AS209" s="58">
        <f t="shared" si="114"/>
        <v>6114158</v>
      </c>
      <c r="AT209" s="58">
        <f>ROUND(SUMIF('JUNE (물량흐름)'!$C$13:$C$502,'In-out-bal products (155)(완성제품)'!B209,'JUNE (물량흐름)'!$AB$13:$AB$502),0)</f>
        <v>0</v>
      </c>
      <c r="AU209" s="58">
        <f t="shared" si="115"/>
        <v>0</v>
      </c>
      <c r="AV209" s="58">
        <f>ROUND(SUMIF('JUNE (물량흐름)'!$C$13:$C$502,'In-out-bal products (155)(완성제품)'!B209,'JUNE (물량흐름)'!$AC$13:$AC$502),0)</f>
        <v>229</v>
      </c>
      <c r="AW209" s="58">
        <f t="shared" si="116"/>
        <v>6114158</v>
      </c>
      <c r="AX209" s="376">
        <f t="shared" si="117"/>
        <v>0</v>
      </c>
      <c r="AY209" s="377">
        <f t="shared" si="118"/>
        <v>0</v>
      </c>
      <c r="AZ209" s="377">
        <f t="shared" si="119"/>
        <v>0</v>
      </c>
      <c r="BA209" s="377">
        <f t="shared" si="120"/>
        <v>0</v>
      </c>
      <c r="BB209" s="377"/>
      <c r="BC209" s="377">
        <f t="shared" si="121"/>
        <v>0</v>
      </c>
      <c r="BD209" s="377">
        <f t="shared" si="122"/>
        <v>0</v>
      </c>
      <c r="BE209" s="377"/>
      <c r="BF209" s="377">
        <f t="shared" si="123"/>
        <v>0</v>
      </c>
      <c r="BG209" s="433">
        <f t="shared" si="124"/>
        <v>0</v>
      </c>
      <c r="BH209" s="434">
        <f t="shared" si="125"/>
        <v>0</v>
      </c>
    </row>
    <row r="210" spans="1:60" s="378" customFormat="1">
      <c r="A210" s="167">
        <v>200</v>
      </c>
      <c r="B210" s="253" t="str">
        <f>VLOOKUP(A210,'JUNE (물량흐름)'!$A$13:$C$493,3,0)</f>
        <v>KPT128581</v>
      </c>
      <c r="C210" s="57" t="str">
        <f>VLOOKUP(A210,'JUNE (물량흐름)'!$A$13:$C$493,2,0)</f>
        <v>J JILL</v>
      </c>
      <c r="D210" s="58">
        <f>IFERROR(VLOOKUP(B210,O.B.JUNE!$V$7:$Y$448,2,0),0)</f>
        <v>63</v>
      </c>
      <c r="E210" s="58">
        <f>IFERROR(VLOOKUP(B210,O.B.JUNE!$V$7:$X$448,3,0),0)</f>
        <v>33328.984126984127</v>
      </c>
      <c r="F210" s="58">
        <f>IFERROR(VLOOKUP(B210,O.B.JUNE!$V$7:$Y$448,4,0),0)</f>
        <v>2099726</v>
      </c>
      <c r="G210" s="58">
        <f>SUMIF('JUNE (물량흐름)'!$C$13:$C$493,'In-out-bal products (155)(완성제품)'!B210,'JUNE (물량흐름)'!$V$13:$V$493)</f>
        <v>0</v>
      </c>
      <c r="H210" s="58">
        <f>SUMIF('JUNE (물량흐름)'!$C$13:$C$493,'In-out-bal products (155)(완성제품)'!B210,'JUNE (물량흐름)'!$T$13:$T$493)-SUMIF('JUNE (물량흐름)'!$C$13:$C$493,'In-out-bal products (155)(완성제품)'!B210,'JUNE (물량흐름)'!$Y$13:$Y$493)+SUMIF('JUNE (물량흐름)'!$C$13:$C$493,'In-out-bal products (155)(완성제품)'!B210,'JUNE (물량흐름)'!$U$13:$U$493)</f>
        <v>0</v>
      </c>
      <c r="I210" s="58">
        <f t="shared" si="96"/>
        <v>0</v>
      </c>
      <c r="J210" s="58">
        <f>SUMIF('Direct labour(직접노무비)'!$C$12:$C$503,'In-out-bal products (155)(완성제품)'!B210,'Direct labour(직접노무비)'!$Q$12:$Q$503)</f>
        <v>0</v>
      </c>
      <c r="K210" s="59">
        <f>SUMIF('Overhead exp(제조경비)'!$C$12:$C$503,'In-out-bal products (155)(완성제품)'!B210,'Overhead exp(제조경비)'!$Q$12:$Q$503)</f>
        <v>0</v>
      </c>
      <c r="L210" s="58">
        <f t="shared" si="97"/>
        <v>0</v>
      </c>
      <c r="M210" s="58">
        <f>SUMIF('JUNE (물량흐름)'!$C$13:$C$488,'In-out-bal products (155)(완성제품)'!B210,'JUNE (물량흐름)'!$Y$13:$Y$488)</f>
        <v>0</v>
      </c>
      <c r="N210" s="58">
        <f t="shared" si="98"/>
        <v>0</v>
      </c>
      <c r="O210" s="58">
        <f>SUMIF('Direct labour(직접노무비)'!$C$12:$C$503,'In-out-bal products (155)(완성제품)'!B210,'Direct labour(직접노무비)'!$U$12:$U$503)+SUMIF('Overhead exp(제조경비)'!$C$12:$C$503,'In-out-bal products (155)(완성제품)'!B210,'Overhead exp(제조경비)'!$U$12:$U$503)</f>
        <v>0</v>
      </c>
      <c r="P210" s="60">
        <f t="shared" si="99"/>
        <v>0</v>
      </c>
      <c r="Q210" s="60">
        <f t="shared" si="100"/>
        <v>0</v>
      </c>
      <c r="R210" s="60">
        <f t="shared" si="101"/>
        <v>0</v>
      </c>
      <c r="S210" s="58">
        <v>0</v>
      </c>
      <c r="T210" s="58">
        <v>0</v>
      </c>
      <c r="U210" s="58">
        <v>0</v>
      </c>
      <c r="V210" s="58">
        <f>SUMIF('JUNE (물량흐름)'!$C$13:$C$493,'In-out-bal products (155)(완성제품)'!B210,'JUNE (물량흐름)'!$W$13:$W$493)</f>
        <v>0</v>
      </c>
      <c r="W210" s="58">
        <f t="shared" si="102"/>
        <v>0</v>
      </c>
      <c r="X210" s="58">
        <f t="shared" si="103"/>
        <v>0</v>
      </c>
      <c r="Y210" s="58">
        <f>SUMIF('JUNE (물량흐름)'!$C$13:$C$488,'In-out-bal products (155)(완성제품)'!B210,'JUNE (물량흐름)'!$X$13:$X$488)</f>
        <v>0</v>
      </c>
      <c r="Z210" s="58">
        <f t="shared" si="104"/>
        <v>0</v>
      </c>
      <c r="AA210" s="58">
        <f t="shared" si="105"/>
        <v>0</v>
      </c>
      <c r="AB210" s="58"/>
      <c r="AC210" s="58"/>
      <c r="AD210" s="61"/>
      <c r="AE210" s="58">
        <f t="shared" si="106"/>
        <v>0</v>
      </c>
      <c r="AF210" s="58">
        <f t="shared" si="107"/>
        <v>0</v>
      </c>
      <c r="AG210" s="61">
        <f t="shared" si="108"/>
        <v>0</v>
      </c>
      <c r="AH210" s="58">
        <v>0</v>
      </c>
      <c r="AI210" s="58">
        <v>0</v>
      </c>
      <c r="AJ210" s="61">
        <v>0</v>
      </c>
      <c r="AK210" s="58"/>
      <c r="AL210" s="58"/>
      <c r="AM210" s="61"/>
      <c r="AN210" s="61">
        <f t="shared" si="109"/>
        <v>0</v>
      </c>
      <c r="AO210" s="58">
        <f t="shared" si="110"/>
        <v>0</v>
      </c>
      <c r="AP210" s="61">
        <f t="shared" si="111"/>
        <v>0</v>
      </c>
      <c r="AQ210" s="58">
        <f t="shared" si="112"/>
        <v>63</v>
      </c>
      <c r="AR210" s="58">
        <f t="shared" si="113"/>
        <v>33328.984126984127</v>
      </c>
      <c r="AS210" s="58">
        <f t="shared" si="114"/>
        <v>2099726</v>
      </c>
      <c r="AT210" s="58">
        <f>ROUND(SUMIF('JUNE (물량흐름)'!$C$13:$C$502,'In-out-bal products (155)(완성제품)'!B210,'JUNE (물량흐름)'!$AB$13:$AB$502),0)</f>
        <v>0</v>
      </c>
      <c r="AU210" s="58">
        <f t="shared" si="115"/>
        <v>0</v>
      </c>
      <c r="AV210" s="58">
        <f>ROUND(SUMIF('JUNE (물량흐름)'!$C$13:$C$502,'In-out-bal products (155)(완성제품)'!B210,'JUNE (물량흐름)'!$AC$13:$AC$502),0)</f>
        <v>63</v>
      </c>
      <c r="AW210" s="58">
        <f t="shared" si="116"/>
        <v>2099726</v>
      </c>
      <c r="AX210" s="376">
        <f t="shared" si="117"/>
        <v>0</v>
      </c>
      <c r="AY210" s="377">
        <f t="shared" si="118"/>
        <v>0</v>
      </c>
      <c r="AZ210" s="377">
        <f t="shared" si="119"/>
        <v>0</v>
      </c>
      <c r="BA210" s="377">
        <f t="shared" si="120"/>
        <v>0</v>
      </c>
      <c r="BB210" s="377"/>
      <c r="BC210" s="377">
        <f t="shared" si="121"/>
        <v>0</v>
      </c>
      <c r="BD210" s="377">
        <f t="shared" si="122"/>
        <v>0</v>
      </c>
      <c r="BE210" s="377"/>
      <c r="BF210" s="377">
        <f t="shared" si="123"/>
        <v>0</v>
      </c>
      <c r="BG210" s="433">
        <f t="shared" si="124"/>
        <v>0</v>
      </c>
      <c r="BH210" s="434">
        <f t="shared" si="125"/>
        <v>0</v>
      </c>
    </row>
    <row r="211" spans="1:60" s="378" customFormat="1">
      <c r="A211" s="167">
        <v>201</v>
      </c>
      <c r="B211" s="253" t="str">
        <f>VLOOKUP(A211,'JUNE (물량흐름)'!$A$13:$C$493,3,0)</f>
        <v>KTP115221</v>
      </c>
      <c r="C211" s="57" t="str">
        <f>VLOOKUP(A211,'JUNE (물량흐름)'!$A$13:$C$493,2,0)</f>
        <v>J JILL</v>
      </c>
      <c r="D211" s="58">
        <f>IFERROR(VLOOKUP(B211,O.B.JUNE!$V$7:$Y$448,2,0),0)</f>
        <v>0</v>
      </c>
      <c r="E211" s="58">
        <f>IFERROR(VLOOKUP(B211,O.B.JUNE!$V$7:$X$448,3,0),0)</f>
        <v>0</v>
      </c>
      <c r="F211" s="58">
        <f>IFERROR(VLOOKUP(B211,O.B.JUNE!$V$7:$Y$448,4,0),0)</f>
        <v>0</v>
      </c>
      <c r="G211" s="58">
        <f>SUMIF('JUNE (물량흐름)'!$C$13:$C$493,'In-out-bal products (155)(완성제품)'!B211,'JUNE (물량흐름)'!$V$13:$V$493)</f>
        <v>0</v>
      </c>
      <c r="H211" s="58">
        <f>SUMIF('JUNE (물량흐름)'!$C$13:$C$493,'In-out-bal products (155)(완성제품)'!B211,'JUNE (물량흐름)'!$T$13:$T$493)-SUMIF('JUNE (물량흐름)'!$C$13:$C$493,'In-out-bal products (155)(완성제품)'!B211,'JUNE (물량흐름)'!$Y$13:$Y$493)+SUMIF('JUNE (물량흐름)'!$C$13:$C$493,'In-out-bal products (155)(완성제품)'!B211,'JUNE (물량흐름)'!$U$13:$U$493)</f>
        <v>899</v>
      </c>
      <c r="I211" s="58">
        <f t="shared" si="96"/>
        <v>25068.622914349278</v>
      </c>
      <c r="J211" s="58">
        <f>SUMIF('Direct labour(직접노무비)'!$C$12:$C$503,'In-out-bal products (155)(완성제품)'!B211,'Direct labour(직접노무비)'!$Q$12:$Q$503)</f>
        <v>9472452</v>
      </c>
      <c r="K211" s="59">
        <f>SUMIF('Overhead exp(제조경비)'!$C$12:$C$503,'In-out-bal products (155)(완성제품)'!B211,'Overhead exp(제조경비)'!$Q$12:$Q$503)</f>
        <v>13064240</v>
      </c>
      <c r="L211" s="58">
        <f t="shared" si="97"/>
        <v>22536692</v>
      </c>
      <c r="M211" s="58">
        <f>SUMIF('JUNE (물량흐름)'!$C$13:$C$488,'In-out-bal products (155)(완성제품)'!B211,'JUNE (물량흐름)'!$Y$13:$Y$488)</f>
        <v>0</v>
      </c>
      <c r="N211" s="58">
        <f t="shared" si="98"/>
        <v>0</v>
      </c>
      <c r="O211" s="58">
        <f>SUMIF('Direct labour(직접노무비)'!$C$12:$C$503,'In-out-bal products (155)(완성제품)'!B211,'Direct labour(직접노무비)'!$U$12:$U$503)+SUMIF('Overhead exp(제조경비)'!$C$12:$C$503,'In-out-bal products (155)(완성제품)'!B211,'Overhead exp(제조경비)'!$U$12:$U$503)</f>
        <v>0</v>
      </c>
      <c r="P211" s="60">
        <f t="shared" si="99"/>
        <v>899</v>
      </c>
      <c r="Q211" s="60">
        <f t="shared" si="100"/>
        <v>25068.622914349278</v>
      </c>
      <c r="R211" s="60">
        <f t="shared" si="101"/>
        <v>22536692</v>
      </c>
      <c r="S211" s="58">
        <v>0</v>
      </c>
      <c r="T211" s="58">
        <v>0</v>
      </c>
      <c r="U211" s="58">
        <v>0</v>
      </c>
      <c r="V211" s="58">
        <f>SUMIF('JUNE (물량흐름)'!$C$13:$C$493,'In-out-bal products (155)(완성제품)'!B211,'JUNE (물량흐름)'!$W$13:$W$493)</f>
        <v>0</v>
      </c>
      <c r="W211" s="58">
        <f t="shared" si="102"/>
        <v>0</v>
      </c>
      <c r="X211" s="58">
        <f t="shared" si="103"/>
        <v>0</v>
      </c>
      <c r="Y211" s="58">
        <f>SUMIF('JUNE (물량흐름)'!$C$13:$C$488,'In-out-bal products (155)(완성제품)'!B211,'JUNE (물량흐름)'!$X$13:$X$488)</f>
        <v>0</v>
      </c>
      <c r="Z211" s="58">
        <f t="shared" si="104"/>
        <v>0</v>
      </c>
      <c r="AA211" s="58">
        <f t="shared" si="105"/>
        <v>0</v>
      </c>
      <c r="AB211" s="58"/>
      <c r="AC211" s="58"/>
      <c r="AD211" s="61"/>
      <c r="AE211" s="58">
        <f t="shared" si="106"/>
        <v>0</v>
      </c>
      <c r="AF211" s="58">
        <f t="shared" si="107"/>
        <v>0</v>
      </c>
      <c r="AG211" s="61">
        <f t="shared" si="108"/>
        <v>0</v>
      </c>
      <c r="AH211" s="58">
        <v>0</v>
      </c>
      <c r="AI211" s="58">
        <v>0</v>
      </c>
      <c r="AJ211" s="61">
        <v>0</v>
      </c>
      <c r="AK211" s="58"/>
      <c r="AL211" s="58"/>
      <c r="AM211" s="61"/>
      <c r="AN211" s="61">
        <f t="shared" si="109"/>
        <v>0</v>
      </c>
      <c r="AO211" s="58">
        <f t="shared" si="110"/>
        <v>0</v>
      </c>
      <c r="AP211" s="61">
        <f t="shared" si="111"/>
        <v>0</v>
      </c>
      <c r="AQ211" s="58">
        <f t="shared" si="112"/>
        <v>899</v>
      </c>
      <c r="AR211" s="58">
        <f t="shared" si="113"/>
        <v>25068.622914349278</v>
      </c>
      <c r="AS211" s="58">
        <f t="shared" si="114"/>
        <v>22536692</v>
      </c>
      <c r="AT211" s="58">
        <f>ROUND(SUMIF('JUNE (물량흐름)'!$C$13:$C$502,'In-out-bal products (155)(완성제품)'!B211,'JUNE (물량흐름)'!$AB$13:$AB$502),0)</f>
        <v>0</v>
      </c>
      <c r="AU211" s="58">
        <f t="shared" si="115"/>
        <v>0</v>
      </c>
      <c r="AV211" s="58">
        <f>ROUND(SUMIF('JUNE (물량흐름)'!$C$13:$C$502,'In-out-bal products (155)(완성제품)'!B211,'JUNE (물량흐름)'!$AC$13:$AC$502),0)</f>
        <v>899</v>
      </c>
      <c r="AW211" s="58">
        <f t="shared" si="116"/>
        <v>22536692</v>
      </c>
      <c r="AX211" s="376">
        <f t="shared" si="117"/>
        <v>0</v>
      </c>
      <c r="AY211" s="377">
        <f t="shared" si="118"/>
        <v>0</v>
      </c>
      <c r="AZ211" s="377">
        <f t="shared" si="119"/>
        <v>0</v>
      </c>
      <c r="BA211" s="377">
        <f t="shared" si="120"/>
        <v>0</v>
      </c>
      <c r="BB211" s="377"/>
      <c r="BC211" s="377">
        <f t="shared" si="121"/>
        <v>0</v>
      </c>
      <c r="BD211" s="377">
        <f t="shared" si="122"/>
        <v>0</v>
      </c>
      <c r="BE211" s="377"/>
      <c r="BF211" s="377">
        <f t="shared" si="123"/>
        <v>0</v>
      </c>
      <c r="BG211" s="433">
        <f t="shared" si="124"/>
        <v>0</v>
      </c>
      <c r="BH211" s="434">
        <f t="shared" si="125"/>
        <v>0</v>
      </c>
    </row>
    <row r="212" spans="1:60" s="378" customFormat="1">
      <c r="A212" s="167">
        <v>202</v>
      </c>
      <c r="B212" s="253">
        <f>VLOOKUP(A212,'JUNE (물량흐름)'!$A$13:$C$493,3,0)</f>
        <v>181034126</v>
      </c>
      <c r="C212" s="57" t="str">
        <f>VLOOKUP(A212,'JUNE (물량흐름)'!$A$13:$C$493,2,0)</f>
        <v>TALBOTS</v>
      </c>
      <c r="D212" s="58">
        <f>IFERROR(VLOOKUP(B212,O.B.JUNE!$V$7:$Y$448,2,0),0)</f>
        <v>0</v>
      </c>
      <c r="E212" s="58">
        <f>IFERROR(VLOOKUP(B212,O.B.JUNE!$V$7:$X$448,3,0),0)</f>
        <v>0</v>
      </c>
      <c r="F212" s="58">
        <f>IFERROR(VLOOKUP(B212,O.B.JUNE!$V$7:$Y$448,4,0),0)</f>
        <v>0</v>
      </c>
      <c r="G212" s="58">
        <f>SUMIF('JUNE (물량흐름)'!$C$13:$C$493,'In-out-bal products (155)(완성제품)'!B212,'JUNE (물량흐름)'!$V$13:$V$493)</f>
        <v>0</v>
      </c>
      <c r="H212" s="58">
        <f>SUMIF('JUNE (물량흐름)'!$C$13:$C$493,'In-out-bal products (155)(완성제품)'!B212,'JUNE (물량흐름)'!$T$13:$T$493)-SUMIF('JUNE (물량흐름)'!$C$13:$C$493,'In-out-bal products (155)(완성제품)'!B212,'JUNE (물량흐름)'!$Y$13:$Y$493)+SUMIF('JUNE (물량흐름)'!$C$13:$C$493,'In-out-bal products (155)(완성제품)'!B212,'JUNE (물량흐름)'!$U$13:$U$493)</f>
        <v>36</v>
      </c>
      <c r="I212" s="58">
        <f t="shared" si="96"/>
        <v>25194.222222222223</v>
      </c>
      <c r="J212" s="58">
        <f>SUMIF('Direct labour(직접노무비)'!$C$12:$C$503,'In-out-bal products (155)(완성제품)'!B212,'Direct labour(직접노무비)'!$Q$12:$Q$503)</f>
        <v>381220</v>
      </c>
      <c r="K212" s="59">
        <f>SUMIF('Overhead exp(제조경비)'!$C$12:$C$503,'In-out-bal products (155)(완성제품)'!B212,'Overhead exp(제조경비)'!$Q$12:$Q$503)</f>
        <v>525772</v>
      </c>
      <c r="L212" s="58">
        <f t="shared" si="97"/>
        <v>906992</v>
      </c>
      <c r="M212" s="58">
        <f>SUMIF('JUNE (물량흐름)'!$C$13:$C$488,'In-out-bal products (155)(완성제품)'!B212,'JUNE (물량흐름)'!$Y$13:$Y$488)</f>
        <v>0</v>
      </c>
      <c r="N212" s="58">
        <f t="shared" si="98"/>
        <v>0</v>
      </c>
      <c r="O212" s="58">
        <f>SUMIF('Direct labour(직접노무비)'!$C$12:$C$503,'In-out-bal products (155)(완성제품)'!B212,'Direct labour(직접노무비)'!$U$12:$U$503)+SUMIF('Overhead exp(제조경비)'!$C$12:$C$503,'In-out-bal products (155)(완성제품)'!B212,'Overhead exp(제조경비)'!$U$12:$U$503)</f>
        <v>0</v>
      </c>
      <c r="P212" s="60">
        <f t="shared" si="99"/>
        <v>36</v>
      </c>
      <c r="Q212" s="60">
        <f t="shared" si="100"/>
        <v>25194.222222222223</v>
      </c>
      <c r="R212" s="60">
        <f t="shared" si="101"/>
        <v>906992</v>
      </c>
      <c r="S212" s="58">
        <v>0</v>
      </c>
      <c r="T212" s="58">
        <v>0</v>
      </c>
      <c r="U212" s="58">
        <v>0</v>
      </c>
      <c r="V212" s="58">
        <f>SUMIF('JUNE (물량흐름)'!$C$13:$C$493,'In-out-bal products (155)(완성제품)'!B212,'JUNE (물량흐름)'!$W$13:$W$493)</f>
        <v>0</v>
      </c>
      <c r="W212" s="58">
        <f t="shared" si="102"/>
        <v>0</v>
      </c>
      <c r="X212" s="58">
        <f t="shared" si="103"/>
        <v>0</v>
      </c>
      <c r="Y212" s="58">
        <f>SUMIF('JUNE (물량흐름)'!$C$13:$C$488,'In-out-bal products (155)(완성제품)'!B212,'JUNE (물량흐름)'!$X$13:$X$488)</f>
        <v>0</v>
      </c>
      <c r="Z212" s="58">
        <f t="shared" si="104"/>
        <v>0</v>
      </c>
      <c r="AA212" s="58">
        <f t="shared" si="105"/>
        <v>0</v>
      </c>
      <c r="AB212" s="58"/>
      <c r="AC212" s="58"/>
      <c r="AD212" s="61"/>
      <c r="AE212" s="58">
        <f t="shared" si="106"/>
        <v>0</v>
      </c>
      <c r="AF212" s="58">
        <f t="shared" si="107"/>
        <v>0</v>
      </c>
      <c r="AG212" s="61">
        <f t="shared" si="108"/>
        <v>0</v>
      </c>
      <c r="AH212" s="58">
        <v>0</v>
      </c>
      <c r="AI212" s="58">
        <v>0</v>
      </c>
      <c r="AJ212" s="61">
        <v>0</v>
      </c>
      <c r="AK212" s="58"/>
      <c r="AL212" s="58"/>
      <c r="AM212" s="61"/>
      <c r="AN212" s="61">
        <f t="shared" si="109"/>
        <v>0</v>
      </c>
      <c r="AO212" s="58">
        <f t="shared" si="110"/>
        <v>0</v>
      </c>
      <c r="AP212" s="61">
        <f t="shared" si="111"/>
        <v>0</v>
      </c>
      <c r="AQ212" s="58">
        <f t="shared" si="112"/>
        <v>36</v>
      </c>
      <c r="AR212" s="58">
        <f t="shared" si="113"/>
        <v>25194.222222222223</v>
      </c>
      <c r="AS212" s="58">
        <f t="shared" si="114"/>
        <v>906992</v>
      </c>
      <c r="AT212" s="58">
        <f>ROUND(SUMIF('JUNE (물량흐름)'!$C$13:$C$502,'In-out-bal products (155)(완성제품)'!B212,'JUNE (물량흐름)'!$AB$13:$AB$502),0)</f>
        <v>0</v>
      </c>
      <c r="AU212" s="58">
        <f t="shared" si="115"/>
        <v>0</v>
      </c>
      <c r="AV212" s="58">
        <f>ROUND(SUMIF('JUNE (물량흐름)'!$C$13:$C$502,'In-out-bal products (155)(완성제품)'!B212,'JUNE (물량흐름)'!$AC$13:$AC$502),0)</f>
        <v>36</v>
      </c>
      <c r="AW212" s="58">
        <f t="shared" si="116"/>
        <v>906992</v>
      </c>
      <c r="AX212" s="376">
        <f t="shared" si="117"/>
        <v>0</v>
      </c>
      <c r="AY212" s="377">
        <f t="shared" si="118"/>
        <v>0</v>
      </c>
      <c r="AZ212" s="377">
        <f t="shared" si="119"/>
        <v>0</v>
      </c>
      <c r="BA212" s="377">
        <f t="shared" si="120"/>
        <v>0</v>
      </c>
      <c r="BB212" s="377"/>
      <c r="BC212" s="377">
        <f t="shared" si="121"/>
        <v>0</v>
      </c>
      <c r="BD212" s="377">
        <f t="shared" si="122"/>
        <v>0</v>
      </c>
      <c r="BE212" s="377"/>
      <c r="BF212" s="377">
        <f t="shared" si="123"/>
        <v>0</v>
      </c>
      <c r="BG212" s="433">
        <f t="shared" si="124"/>
        <v>0</v>
      </c>
      <c r="BH212" s="434">
        <f t="shared" si="125"/>
        <v>0</v>
      </c>
    </row>
    <row r="213" spans="1:60" s="378" customFormat="1">
      <c r="A213" s="167">
        <v>203</v>
      </c>
      <c r="B213" s="253">
        <f>VLOOKUP(A213,'JUNE (물량흐름)'!$A$13:$C$493,3,0)</f>
        <v>181034892</v>
      </c>
      <c r="C213" s="57" t="str">
        <f>VLOOKUP(A213,'JUNE (물량흐름)'!$A$13:$C$493,2,0)</f>
        <v>TALBOTS</v>
      </c>
      <c r="D213" s="58">
        <f>IFERROR(VLOOKUP(B213,O.B.JUNE!$V$7:$Y$448,2,0),0)</f>
        <v>0</v>
      </c>
      <c r="E213" s="58">
        <f>IFERROR(VLOOKUP(B213,O.B.JUNE!$V$7:$X$448,3,0),0)</f>
        <v>0</v>
      </c>
      <c r="F213" s="58">
        <f>IFERROR(VLOOKUP(B213,O.B.JUNE!$V$7:$Y$448,4,0),0)</f>
        <v>0</v>
      </c>
      <c r="G213" s="58">
        <f>SUMIF('JUNE (물량흐름)'!$C$13:$C$493,'In-out-bal products (155)(완성제품)'!B213,'JUNE (물량흐름)'!$V$13:$V$493)</f>
        <v>0</v>
      </c>
      <c r="H213" s="58">
        <f>SUMIF('JUNE (물량흐름)'!$C$13:$C$493,'In-out-bal products (155)(완성제품)'!B213,'JUNE (물량흐름)'!$T$13:$T$493)-SUMIF('JUNE (물량흐름)'!$C$13:$C$493,'In-out-bal products (155)(완성제품)'!B213,'JUNE (물량흐름)'!$Y$13:$Y$493)+SUMIF('JUNE (물량흐름)'!$C$13:$C$493,'In-out-bal products (155)(완성제품)'!B213,'JUNE (물량흐름)'!$U$13:$U$493)</f>
        <v>68</v>
      </c>
      <c r="I213" s="58">
        <f t="shared" si="96"/>
        <v>40965.51470588235</v>
      </c>
      <c r="J213" s="58">
        <f>SUMIF('Direct labour(직접노무비)'!$C$12:$C$503,'In-out-bal products (155)(완성제품)'!B213,'Direct labour(직접노무비)'!$Q$12:$Q$503)</f>
        <v>1177928</v>
      </c>
      <c r="K213" s="59">
        <f>SUMIF('Overhead exp(제조경비)'!$C$12:$C$503,'In-out-bal products (155)(완성제품)'!B213,'Overhead exp(제조경비)'!$Q$12:$Q$503)</f>
        <v>1607727</v>
      </c>
      <c r="L213" s="58">
        <f t="shared" si="97"/>
        <v>2785655</v>
      </c>
      <c r="M213" s="58">
        <f>SUMIF('JUNE (물량흐름)'!$C$13:$C$488,'In-out-bal products (155)(완성제품)'!B213,'JUNE (물량흐름)'!$Y$13:$Y$488)</f>
        <v>0</v>
      </c>
      <c r="N213" s="58">
        <f t="shared" si="98"/>
        <v>0</v>
      </c>
      <c r="O213" s="58">
        <f>SUMIF('Direct labour(직접노무비)'!$C$12:$C$503,'In-out-bal products (155)(완성제품)'!B213,'Direct labour(직접노무비)'!$U$12:$U$503)+SUMIF('Overhead exp(제조경비)'!$C$12:$C$503,'In-out-bal products (155)(완성제품)'!B213,'Overhead exp(제조경비)'!$U$12:$U$503)</f>
        <v>0</v>
      </c>
      <c r="P213" s="60">
        <f t="shared" si="99"/>
        <v>68</v>
      </c>
      <c r="Q213" s="60">
        <f t="shared" si="100"/>
        <v>40965.51470588235</v>
      </c>
      <c r="R213" s="60">
        <f t="shared" si="101"/>
        <v>2785655</v>
      </c>
      <c r="S213" s="58">
        <v>0</v>
      </c>
      <c r="T213" s="58">
        <v>0</v>
      </c>
      <c r="U213" s="58">
        <v>0</v>
      </c>
      <c r="V213" s="58">
        <f>SUMIF('JUNE (물량흐름)'!$C$13:$C$493,'In-out-bal products (155)(완성제품)'!B213,'JUNE (물량흐름)'!$W$13:$W$493)</f>
        <v>0</v>
      </c>
      <c r="W213" s="58">
        <f t="shared" si="102"/>
        <v>0</v>
      </c>
      <c r="X213" s="58">
        <f t="shared" si="103"/>
        <v>0</v>
      </c>
      <c r="Y213" s="58">
        <f>SUMIF('JUNE (물량흐름)'!$C$13:$C$488,'In-out-bal products (155)(완성제품)'!B213,'JUNE (물량흐름)'!$X$13:$X$488)</f>
        <v>0</v>
      </c>
      <c r="Z213" s="58">
        <f t="shared" si="104"/>
        <v>0</v>
      </c>
      <c r="AA213" s="58">
        <f t="shared" si="105"/>
        <v>0</v>
      </c>
      <c r="AB213" s="58"/>
      <c r="AC213" s="58"/>
      <c r="AD213" s="61"/>
      <c r="AE213" s="58">
        <f t="shared" si="106"/>
        <v>0</v>
      </c>
      <c r="AF213" s="58">
        <f t="shared" si="107"/>
        <v>0</v>
      </c>
      <c r="AG213" s="61">
        <f t="shared" si="108"/>
        <v>0</v>
      </c>
      <c r="AH213" s="58">
        <v>0</v>
      </c>
      <c r="AI213" s="58">
        <v>0</v>
      </c>
      <c r="AJ213" s="61">
        <v>0</v>
      </c>
      <c r="AK213" s="58"/>
      <c r="AL213" s="58"/>
      <c r="AM213" s="61"/>
      <c r="AN213" s="61">
        <f t="shared" si="109"/>
        <v>0</v>
      </c>
      <c r="AO213" s="58">
        <f t="shared" si="110"/>
        <v>0</v>
      </c>
      <c r="AP213" s="61">
        <f t="shared" si="111"/>
        <v>0</v>
      </c>
      <c r="AQ213" s="58">
        <f t="shared" si="112"/>
        <v>68</v>
      </c>
      <c r="AR213" s="58">
        <f t="shared" si="113"/>
        <v>40965.51470588235</v>
      </c>
      <c r="AS213" s="58">
        <f t="shared" si="114"/>
        <v>2785655</v>
      </c>
      <c r="AT213" s="58">
        <f>ROUND(SUMIF('JUNE (물량흐름)'!$C$13:$C$502,'In-out-bal products (155)(완성제품)'!B213,'JUNE (물량흐름)'!$AB$13:$AB$502),0)</f>
        <v>0</v>
      </c>
      <c r="AU213" s="58">
        <f t="shared" si="115"/>
        <v>0</v>
      </c>
      <c r="AV213" s="58">
        <f>ROUND(SUMIF('JUNE (물량흐름)'!$C$13:$C$502,'In-out-bal products (155)(완성제품)'!B213,'JUNE (물량흐름)'!$AC$13:$AC$502),0)</f>
        <v>68</v>
      </c>
      <c r="AW213" s="58">
        <f t="shared" si="116"/>
        <v>2785655</v>
      </c>
      <c r="AX213" s="376">
        <f t="shared" si="117"/>
        <v>0</v>
      </c>
      <c r="AY213" s="377">
        <f t="shared" si="118"/>
        <v>0</v>
      </c>
      <c r="AZ213" s="377">
        <f t="shared" si="119"/>
        <v>0</v>
      </c>
      <c r="BA213" s="377">
        <f t="shared" si="120"/>
        <v>0</v>
      </c>
      <c r="BB213" s="377"/>
      <c r="BC213" s="377">
        <f t="shared" si="121"/>
        <v>0</v>
      </c>
      <c r="BD213" s="377">
        <f t="shared" si="122"/>
        <v>0</v>
      </c>
      <c r="BE213" s="377"/>
      <c r="BF213" s="377">
        <f t="shared" si="123"/>
        <v>0</v>
      </c>
      <c r="BG213" s="433">
        <f t="shared" si="124"/>
        <v>0</v>
      </c>
      <c r="BH213" s="434">
        <f t="shared" si="125"/>
        <v>0</v>
      </c>
    </row>
    <row r="214" spans="1:60" s="378" customFormat="1">
      <c r="A214" s="167">
        <v>204</v>
      </c>
      <c r="B214" s="253">
        <f>VLOOKUP(A214,'JUNE (물량흐름)'!$A$13:$C$493,3,0)</f>
        <v>466852</v>
      </c>
      <c r="C214" s="57" t="str">
        <f>VLOOKUP(A214,'JUNE (물량흐름)'!$A$13:$C$493,2,0)</f>
        <v>ANN TAYLOR</v>
      </c>
      <c r="D214" s="58">
        <f>IFERROR(VLOOKUP(B214,O.B.JUNE!$V$7:$Y$448,2,0),0)</f>
        <v>0</v>
      </c>
      <c r="E214" s="58">
        <f>IFERROR(VLOOKUP(B214,O.B.JUNE!$V$7:$X$448,3,0),0)</f>
        <v>0</v>
      </c>
      <c r="F214" s="58">
        <f>IFERROR(VLOOKUP(B214,O.B.JUNE!$V$7:$Y$448,4,0),0)</f>
        <v>0</v>
      </c>
      <c r="G214" s="58">
        <f>SUMIF('JUNE (물량흐름)'!$C$13:$C$493,'In-out-bal products (155)(완성제품)'!B214,'JUNE (물량흐름)'!$V$13:$V$493)</f>
        <v>0</v>
      </c>
      <c r="H214" s="58">
        <f>SUMIF('JUNE (물량흐름)'!$C$13:$C$493,'In-out-bal products (155)(완성제품)'!B214,'JUNE (물량흐름)'!$T$13:$T$493)-SUMIF('JUNE (물량흐름)'!$C$13:$C$493,'In-out-bal products (155)(완성제품)'!B214,'JUNE (물량흐름)'!$Y$13:$Y$493)+SUMIF('JUNE (물량흐름)'!$C$13:$C$493,'In-out-bal products (155)(완성제품)'!B214,'JUNE (물량흐름)'!$U$13:$U$493)</f>
        <v>0</v>
      </c>
      <c r="I214" s="58">
        <f t="shared" si="96"/>
        <v>0</v>
      </c>
      <c r="J214" s="58">
        <f>SUMIF('Direct labour(직접노무비)'!$C$12:$C$503,'In-out-bal products (155)(완성제품)'!B214,'Direct labour(직접노무비)'!$Q$12:$Q$503)</f>
        <v>0</v>
      </c>
      <c r="K214" s="59">
        <f>SUMIF('Overhead exp(제조경비)'!$C$12:$C$503,'In-out-bal products (155)(완성제품)'!B214,'Overhead exp(제조경비)'!$Q$12:$Q$503)</f>
        <v>0</v>
      </c>
      <c r="L214" s="58">
        <f t="shared" si="97"/>
        <v>0</v>
      </c>
      <c r="M214" s="58">
        <f>SUMIF('JUNE (물량흐름)'!$C$13:$C$488,'In-out-bal products (155)(완성제품)'!B214,'JUNE (물량흐름)'!$Y$13:$Y$488)</f>
        <v>0</v>
      </c>
      <c r="N214" s="58">
        <f t="shared" si="98"/>
        <v>0</v>
      </c>
      <c r="O214" s="58">
        <f>SUMIF('Direct labour(직접노무비)'!$C$12:$C$503,'In-out-bal products (155)(완성제품)'!B214,'Direct labour(직접노무비)'!$U$12:$U$503)+SUMIF('Overhead exp(제조경비)'!$C$12:$C$503,'In-out-bal products (155)(완성제품)'!B214,'Overhead exp(제조경비)'!$U$12:$U$503)</f>
        <v>0</v>
      </c>
      <c r="P214" s="60">
        <f t="shared" si="99"/>
        <v>0</v>
      </c>
      <c r="Q214" s="60">
        <f t="shared" si="100"/>
        <v>0</v>
      </c>
      <c r="R214" s="60">
        <f t="shared" si="101"/>
        <v>0</v>
      </c>
      <c r="S214" s="58">
        <v>0</v>
      </c>
      <c r="T214" s="58">
        <v>0</v>
      </c>
      <c r="U214" s="58">
        <v>0</v>
      </c>
      <c r="V214" s="58">
        <f>SUMIF('JUNE (물량흐름)'!$C$13:$C$493,'In-out-bal products (155)(완성제품)'!B214,'JUNE (물량흐름)'!$W$13:$W$493)</f>
        <v>0</v>
      </c>
      <c r="W214" s="58">
        <f t="shared" si="102"/>
        <v>0</v>
      </c>
      <c r="X214" s="58">
        <f t="shared" si="103"/>
        <v>0</v>
      </c>
      <c r="Y214" s="58">
        <f>SUMIF('JUNE (물량흐름)'!$C$13:$C$488,'In-out-bal products (155)(완성제품)'!B214,'JUNE (물량흐름)'!$X$13:$X$488)</f>
        <v>0</v>
      </c>
      <c r="Z214" s="58">
        <f t="shared" si="104"/>
        <v>0</v>
      </c>
      <c r="AA214" s="58">
        <f t="shared" si="105"/>
        <v>0</v>
      </c>
      <c r="AB214" s="58"/>
      <c r="AC214" s="58"/>
      <c r="AD214" s="61"/>
      <c r="AE214" s="58">
        <f t="shared" si="106"/>
        <v>0</v>
      </c>
      <c r="AF214" s="58">
        <f t="shared" si="107"/>
        <v>0</v>
      </c>
      <c r="AG214" s="61">
        <f t="shared" si="108"/>
        <v>0</v>
      </c>
      <c r="AH214" s="58">
        <v>0</v>
      </c>
      <c r="AI214" s="58">
        <v>0</v>
      </c>
      <c r="AJ214" s="61">
        <v>0</v>
      </c>
      <c r="AK214" s="58"/>
      <c r="AL214" s="58"/>
      <c r="AM214" s="61"/>
      <c r="AN214" s="61">
        <f t="shared" si="109"/>
        <v>0</v>
      </c>
      <c r="AO214" s="58">
        <f t="shared" si="110"/>
        <v>0</v>
      </c>
      <c r="AP214" s="61">
        <f t="shared" si="111"/>
        <v>0</v>
      </c>
      <c r="AQ214" s="58">
        <f t="shared" si="112"/>
        <v>0</v>
      </c>
      <c r="AR214" s="58">
        <f t="shared" si="113"/>
        <v>0</v>
      </c>
      <c r="AS214" s="58">
        <f t="shared" si="114"/>
        <v>0</v>
      </c>
      <c r="AT214" s="58">
        <f>ROUND(SUMIF('JUNE (물량흐름)'!$C$13:$C$502,'In-out-bal products (155)(완성제품)'!B214,'JUNE (물량흐름)'!$AB$13:$AB$502),0)</f>
        <v>0</v>
      </c>
      <c r="AU214" s="58">
        <f t="shared" si="115"/>
        <v>0</v>
      </c>
      <c r="AV214" s="58">
        <f>ROUND(SUMIF('JUNE (물량흐름)'!$C$13:$C$502,'In-out-bal products (155)(완성제품)'!B214,'JUNE (물량흐름)'!$AC$13:$AC$502),0)</f>
        <v>0</v>
      </c>
      <c r="AW214" s="58">
        <f t="shared" si="116"/>
        <v>0</v>
      </c>
      <c r="AX214" s="376">
        <f t="shared" si="117"/>
        <v>0</v>
      </c>
      <c r="AY214" s="377">
        <f t="shared" si="118"/>
        <v>0</v>
      </c>
      <c r="AZ214" s="377">
        <f t="shared" si="119"/>
        <v>0</v>
      </c>
      <c r="BA214" s="377">
        <f t="shared" si="120"/>
        <v>0</v>
      </c>
      <c r="BB214" s="377"/>
      <c r="BC214" s="377">
        <f t="shared" si="121"/>
        <v>0</v>
      </c>
      <c r="BD214" s="377">
        <f t="shared" si="122"/>
        <v>0</v>
      </c>
      <c r="BE214" s="377"/>
      <c r="BF214" s="377">
        <f t="shared" si="123"/>
        <v>0</v>
      </c>
      <c r="BG214" s="433">
        <f t="shared" si="124"/>
        <v>0</v>
      </c>
      <c r="BH214" s="434">
        <f t="shared" si="125"/>
        <v>0</v>
      </c>
    </row>
    <row r="215" spans="1:60" s="378" customFormat="1">
      <c r="A215" s="167">
        <v>205</v>
      </c>
      <c r="B215" s="253" t="str">
        <f>VLOOKUP(A215,'JUNE (물량흐름)'!$A$13:$C$493,3,0)</f>
        <v>BP381295MI</v>
      </c>
      <c r="C215" s="57" t="str">
        <f>VLOOKUP(A215,'JUNE (물량흐름)'!$A$13:$C$493,2,0)</f>
        <v>NORDSTROM</v>
      </c>
      <c r="D215" s="58">
        <f>IFERROR(VLOOKUP(B215,O.B.JUNE!$V$7:$Y$448,2,0),0)</f>
        <v>0</v>
      </c>
      <c r="E215" s="58">
        <f>IFERROR(VLOOKUP(B215,O.B.JUNE!$V$7:$X$448,3,0),0)</f>
        <v>0</v>
      </c>
      <c r="F215" s="58">
        <f>IFERROR(VLOOKUP(B215,O.B.JUNE!$V$7:$Y$448,4,0),0)</f>
        <v>0</v>
      </c>
      <c r="G215" s="58">
        <f>SUMIF('JUNE (물량흐름)'!$C$13:$C$493,'In-out-bal products (155)(완성제품)'!B215,'JUNE (물량흐름)'!$V$13:$V$493)</f>
        <v>0</v>
      </c>
      <c r="H215" s="58">
        <f>SUMIF('JUNE (물량흐름)'!$C$13:$C$493,'In-out-bal products (155)(완성제품)'!B215,'JUNE (물량흐름)'!$T$13:$T$493)-SUMIF('JUNE (물량흐름)'!$C$13:$C$493,'In-out-bal products (155)(완성제품)'!B215,'JUNE (물량흐름)'!$Y$13:$Y$493)+SUMIF('JUNE (물량흐름)'!$C$13:$C$493,'In-out-bal products (155)(완성제품)'!B215,'JUNE (물량흐름)'!$U$13:$U$493)</f>
        <v>70</v>
      </c>
      <c r="I215" s="58">
        <f t="shared" si="96"/>
        <v>41082.357142857145</v>
      </c>
      <c r="J215" s="58">
        <f>SUMIF('Direct labour(직접노무비)'!$C$12:$C$503,'In-out-bal products (155)(완성제품)'!B215,'Direct labour(직접노무비)'!$Q$12:$Q$503)</f>
        <v>1208720</v>
      </c>
      <c r="K215" s="59">
        <f>SUMIF('Overhead exp(제조경비)'!$C$12:$C$503,'In-out-bal products (155)(완성제품)'!B215,'Overhead exp(제조경비)'!$Q$12:$Q$503)</f>
        <v>1667045</v>
      </c>
      <c r="L215" s="58">
        <f t="shared" si="97"/>
        <v>2875765</v>
      </c>
      <c r="M215" s="58">
        <f>SUMIF('JUNE (물량흐름)'!$C$13:$C$488,'In-out-bal products (155)(완성제품)'!B215,'JUNE (물량흐름)'!$Y$13:$Y$488)</f>
        <v>0</v>
      </c>
      <c r="N215" s="58">
        <f t="shared" si="98"/>
        <v>0</v>
      </c>
      <c r="O215" s="58">
        <f>SUMIF('Direct labour(직접노무비)'!$C$12:$C$503,'In-out-bal products (155)(완성제품)'!B215,'Direct labour(직접노무비)'!$U$12:$U$503)+SUMIF('Overhead exp(제조경비)'!$C$12:$C$503,'In-out-bal products (155)(완성제품)'!B215,'Overhead exp(제조경비)'!$U$12:$U$503)</f>
        <v>0</v>
      </c>
      <c r="P215" s="60">
        <f t="shared" si="99"/>
        <v>70</v>
      </c>
      <c r="Q215" s="60">
        <f t="shared" si="100"/>
        <v>41082.357142857145</v>
      </c>
      <c r="R215" s="60">
        <f t="shared" si="101"/>
        <v>2875765</v>
      </c>
      <c r="S215" s="58">
        <v>0</v>
      </c>
      <c r="T215" s="58">
        <v>0</v>
      </c>
      <c r="U215" s="58">
        <v>0</v>
      </c>
      <c r="V215" s="58">
        <f>SUMIF('JUNE (물량흐름)'!$C$13:$C$493,'In-out-bal products (155)(완성제품)'!B215,'JUNE (물량흐름)'!$W$13:$W$493)</f>
        <v>0</v>
      </c>
      <c r="W215" s="58">
        <f t="shared" si="102"/>
        <v>0</v>
      </c>
      <c r="X215" s="58">
        <f t="shared" si="103"/>
        <v>0</v>
      </c>
      <c r="Y215" s="58">
        <f>SUMIF('JUNE (물량흐름)'!$C$13:$C$488,'In-out-bal products (155)(완성제품)'!B215,'JUNE (물량흐름)'!$X$13:$X$488)</f>
        <v>0</v>
      </c>
      <c r="Z215" s="58">
        <f t="shared" si="104"/>
        <v>0</v>
      </c>
      <c r="AA215" s="58">
        <f t="shared" si="105"/>
        <v>0</v>
      </c>
      <c r="AB215" s="58"/>
      <c r="AC215" s="58"/>
      <c r="AD215" s="61"/>
      <c r="AE215" s="58">
        <f t="shared" si="106"/>
        <v>0</v>
      </c>
      <c r="AF215" s="58">
        <f t="shared" si="107"/>
        <v>0</v>
      </c>
      <c r="AG215" s="61">
        <f t="shared" si="108"/>
        <v>0</v>
      </c>
      <c r="AH215" s="58">
        <v>0</v>
      </c>
      <c r="AI215" s="58">
        <v>0</v>
      </c>
      <c r="AJ215" s="61">
        <v>0</v>
      </c>
      <c r="AK215" s="58"/>
      <c r="AL215" s="58"/>
      <c r="AM215" s="61"/>
      <c r="AN215" s="61">
        <f t="shared" si="109"/>
        <v>0</v>
      </c>
      <c r="AO215" s="58">
        <f t="shared" si="110"/>
        <v>0</v>
      </c>
      <c r="AP215" s="61">
        <f t="shared" si="111"/>
        <v>0</v>
      </c>
      <c r="AQ215" s="58">
        <f t="shared" si="112"/>
        <v>70</v>
      </c>
      <c r="AR215" s="58">
        <f t="shared" si="113"/>
        <v>41082.357142857145</v>
      </c>
      <c r="AS215" s="58">
        <f t="shared" si="114"/>
        <v>2875765</v>
      </c>
      <c r="AT215" s="58">
        <f>ROUND(SUMIF('JUNE (물량흐름)'!$C$13:$C$502,'In-out-bal products (155)(완성제품)'!B215,'JUNE (물량흐름)'!$AB$13:$AB$502),0)</f>
        <v>0</v>
      </c>
      <c r="AU215" s="58">
        <f t="shared" si="115"/>
        <v>0</v>
      </c>
      <c r="AV215" s="58">
        <f>ROUND(SUMIF('JUNE (물량흐름)'!$C$13:$C$502,'In-out-bal products (155)(완성제품)'!B215,'JUNE (물량흐름)'!$AC$13:$AC$502),0)</f>
        <v>70</v>
      </c>
      <c r="AW215" s="58">
        <f t="shared" si="116"/>
        <v>2875765</v>
      </c>
      <c r="AX215" s="376">
        <f t="shared" si="117"/>
        <v>0</v>
      </c>
      <c r="AY215" s="377">
        <f t="shared" si="118"/>
        <v>0</v>
      </c>
      <c r="AZ215" s="377">
        <f t="shared" si="119"/>
        <v>0</v>
      </c>
      <c r="BA215" s="377">
        <f t="shared" si="120"/>
        <v>0</v>
      </c>
      <c r="BB215" s="377"/>
      <c r="BC215" s="377">
        <f t="shared" si="121"/>
        <v>0</v>
      </c>
      <c r="BD215" s="377">
        <f t="shared" si="122"/>
        <v>0</v>
      </c>
      <c r="BE215" s="377"/>
      <c r="BF215" s="377">
        <f t="shared" si="123"/>
        <v>0</v>
      </c>
      <c r="BG215" s="433">
        <f t="shared" si="124"/>
        <v>0</v>
      </c>
      <c r="BH215" s="434">
        <f t="shared" si="125"/>
        <v>0</v>
      </c>
    </row>
    <row r="216" spans="1:60" s="378" customFormat="1">
      <c r="A216" s="167">
        <v>206</v>
      </c>
      <c r="B216" s="253">
        <f>VLOOKUP(A216,'JUNE (물량흐름)'!$A$13:$C$493,3,0)</f>
        <v>100008598</v>
      </c>
      <c r="C216" s="57" t="str">
        <f>VLOOKUP(A216,'JUNE (물량흐름)'!$A$13:$C$493,2,0)</f>
        <v>ALFANI</v>
      </c>
      <c r="D216" s="58">
        <f>IFERROR(VLOOKUP(B216,O.B.JUNE!$V$7:$Y$448,2,0),0)</f>
        <v>0</v>
      </c>
      <c r="E216" s="58">
        <f>IFERROR(VLOOKUP(B216,O.B.JUNE!$V$7:$X$448,3,0),0)</f>
        <v>0</v>
      </c>
      <c r="F216" s="58">
        <f>IFERROR(VLOOKUP(B216,O.B.JUNE!$V$7:$Y$448,4,0),0)</f>
        <v>0</v>
      </c>
      <c r="G216" s="58">
        <f>SUMIF('JUNE (물량흐름)'!$C$13:$C$493,'In-out-bal products (155)(완성제품)'!B216,'JUNE (물량흐름)'!$V$13:$V$493)</f>
        <v>0</v>
      </c>
      <c r="H216" s="58">
        <f>SUMIF('JUNE (물량흐름)'!$C$13:$C$493,'In-out-bal products (155)(완성제품)'!B216,'JUNE (물량흐름)'!$T$13:$T$493)-SUMIF('JUNE (물량흐름)'!$C$13:$C$493,'In-out-bal products (155)(완성제품)'!B216,'JUNE (물량흐름)'!$Y$13:$Y$493)+SUMIF('JUNE (물량흐름)'!$C$13:$C$493,'In-out-bal products (155)(완성제품)'!B216,'JUNE (물량흐름)'!$U$13:$U$493)</f>
        <v>0</v>
      </c>
      <c r="I216" s="58">
        <f t="shared" si="96"/>
        <v>0</v>
      </c>
      <c r="J216" s="58">
        <f>SUMIF('Direct labour(직접노무비)'!$C$12:$C$503,'In-out-bal products (155)(완성제품)'!B216,'Direct labour(직접노무비)'!$Q$12:$Q$503)</f>
        <v>0</v>
      </c>
      <c r="K216" s="59">
        <f>SUMIF('Overhead exp(제조경비)'!$C$12:$C$503,'In-out-bal products (155)(완성제품)'!B216,'Overhead exp(제조경비)'!$Q$12:$Q$503)</f>
        <v>0</v>
      </c>
      <c r="L216" s="58">
        <f t="shared" si="97"/>
        <v>0</v>
      </c>
      <c r="M216" s="58">
        <f>SUMIF('JUNE (물량흐름)'!$C$13:$C$488,'In-out-bal products (155)(완성제품)'!B216,'JUNE (물량흐름)'!$Y$13:$Y$488)</f>
        <v>0</v>
      </c>
      <c r="N216" s="58">
        <f t="shared" si="98"/>
        <v>0</v>
      </c>
      <c r="O216" s="58">
        <f>SUMIF('Direct labour(직접노무비)'!$C$12:$C$503,'In-out-bal products (155)(완성제품)'!B216,'Direct labour(직접노무비)'!$U$12:$U$503)+SUMIF('Overhead exp(제조경비)'!$C$12:$C$503,'In-out-bal products (155)(완성제품)'!B216,'Overhead exp(제조경비)'!$U$12:$U$503)</f>
        <v>0</v>
      </c>
      <c r="P216" s="60">
        <f t="shared" si="99"/>
        <v>0</v>
      </c>
      <c r="Q216" s="60">
        <f t="shared" si="100"/>
        <v>0</v>
      </c>
      <c r="R216" s="60">
        <f t="shared" si="101"/>
        <v>0</v>
      </c>
      <c r="S216" s="58">
        <v>0</v>
      </c>
      <c r="T216" s="58">
        <v>0</v>
      </c>
      <c r="U216" s="58">
        <v>0</v>
      </c>
      <c r="V216" s="58">
        <f>SUMIF('JUNE (물량흐름)'!$C$13:$C$493,'In-out-bal products (155)(완성제품)'!B216,'JUNE (물량흐름)'!$W$13:$W$493)</f>
        <v>0</v>
      </c>
      <c r="W216" s="58">
        <f t="shared" si="102"/>
        <v>0</v>
      </c>
      <c r="X216" s="58">
        <f t="shared" si="103"/>
        <v>0</v>
      </c>
      <c r="Y216" s="58">
        <f>SUMIF('JUNE (물량흐름)'!$C$13:$C$488,'In-out-bal products (155)(완성제품)'!B216,'JUNE (물량흐름)'!$X$13:$X$488)</f>
        <v>0</v>
      </c>
      <c r="Z216" s="58">
        <f t="shared" si="104"/>
        <v>0</v>
      </c>
      <c r="AA216" s="58">
        <f t="shared" si="105"/>
        <v>0</v>
      </c>
      <c r="AB216" s="58"/>
      <c r="AC216" s="58"/>
      <c r="AD216" s="61"/>
      <c r="AE216" s="58">
        <f t="shared" si="106"/>
        <v>0</v>
      </c>
      <c r="AF216" s="58">
        <f t="shared" si="107"/>
        <v>0</v>
      </c>
      <c r="AG216" s="61">
        <f t="shared" si="108"/>
        <v>0</v>
      </c>
      <c r="AH216" s="58">
        <v>0</v>
      </c>
      <c r="AI216" s="58">
        <v>0</v>
      </c>
      <c r="AJ216" s="61">
        <v>0</v>
      </c>
      <c r="AK216" s="58"/>
      <c r="AL216" s="58"/>
      <c r="AM216" s="61"/>
      <c r="AN216" s="61">
        <f t="shared" si="109"/>
        <v>0</v>
      </c>
      <c r="AO216" s="58">
        <f t="shared" si="110"/>
        <v>0</v>
      </c>
      <c r="AP216" s="61">
        <f t="shared" si="111"/>
        <v>0</v>
      </c>
      <c r="AQ216" s="58">
        <f t="shared" si="112"/>
        <v>0</v>
      </c>
      <c r="AR216" s="58">
        <f t="shared" si="113"/>
        <v>0</v>
      </c>
      <c r="AS216" s="58">
        <f t="shared" si="114"/>
        <v>0</v>
      </c>
      <c r="AT216" s="58">
        <f>ROUND(SUMIF('JUNE (물량흐름)'!$C$13:$C$502,'In-out-bal products (155)(완성제품)'!B216,'JUNE (물량흐름)'!$AB$13:$AB$502),0)</f>
        <v>0</v>
      </c>
      <c r="AU216" s="58">
        <f t="shared" si="115"/>
        <v>0</v>
      </c>
      <c r="AV216" s="58">
        <f>ROUND(SUMIF('JUNE (물량흐름)'!$C$13:$C$502,'In-out-bal products (155)(완성제품)'!B216,'JUNE (물량흐름)'!$AC$13:$AC$502),0)</f>
        <v>0</v>
      </c>
      <c r="AW216" s="58">
        <f t="shared" si="116"/>
        <v>0</v>
      </c>
      <c r="AX216" s="376">
        <f t="shared" si="117"/>
        <v>0</v>
      </c>
      <c r="AY216" s="377">
        <f t="shared" si="118"/>
        <v>0</v>
      </c>
      <c r="AZ216" s="377">
        <f t="shared" si="119"/>
        <v>0</v>
      </c>
      <c r="BA216" s="377">
        <f t="shared" si="120"/>
        <v>0</v>
      </c>
      <c r="BB216" s="377"/>
      <c r="BC216" s="377">
        <f t="shared" si="121"/>
        <v>0</v>
      </c>
      <c r="BD216" s="377">
        <f t="shared" si="122"/>
        <v>0</v>
      </c>
      <c r="BE216" s="377"/>
      <c r="BF216" s="377">
        <f t="shared" si="123"/>
        <v>0</v>
      </c>
      <c r="BG216" s="433">
        <f t="shared" si="124"/>
        <v>0</v>
      </c>
      <c r="BH216" s="434">
        <f t="shared" si="125"/>
        <v>0</v>
      </c>
    </row>
    <row r="217" spans="1:60" s="378" customFormat="1">
      <c r="A217" s="167">
        <v>207</v>
      </c>
      <c r="B217" s="253">
        <f>VLOOKUP(A217,'JUNE (물량흐름)'!$A$13:$C$493,3,0)</f>
        <v>100008604</v>
      </c>
      <c r="C217" s="57" t="str">
        <f>VLOOKUP(A217,'JUNE (물량흐름)'!$A$13:$C$493,2,0)</f>
        <v>ALFANI</v>
      </c>
      <c r="D217" s="58">
        <f>IFERROR(VLOOKUP(B217,O.B.JUNE!$V$7:$Y$448,2,0),0)</f>
        <v>0</v>
      </c>
      <c r="E217" s="58">
        <f>IFERROR(VLOOKUP(B217,O.B.JUNE!$V$7:$X$448,3,0),0)</f>
        <v>0</v>
      </c>
      <c r="F217" s="58">
        <f>IFERROR(VLOOKUP(B217,O.B.JUNE!$V$7:$Y$448,4,0),0)</f>
        <v>0</v>
      </c>
      <c r="G217" s="58">
        <f>SUMIF('JUNE (물량흐름)'!$C$13:$C$493,'In-out-bal products (155)(완성제품)'!B217,'JUNE (물량흐름)'!$V$13:$V$493)</f>
        <v>0</v>
      </c>
      <c r="H217" s="58">
        <f>SUMIF('JUNE (물량흐름)'!$C$13:$C$493,'In-out-bal products (155)(완성제품)'!B217,'JUNE (물량흐름)'!$T$13:$T$493)-SUMIF('JUNE (물량흐름)'!$C$13:$C$493,'In-out-bal products (155)(완성제품)'!B217,'JUNE (물량흐름)'!$Y$13:$Y$493)+SUMIF('JUNE (물량흐름)'!$C$13:$C$493,'In-out-bal products (155)(완성제품)'!B217,'JUNE (물량흐름)'!$U$13:$U$493)</f>
        <v>0</v>
      </c>
      <c r="I217" s="58">
        <f t="shared" si="96"/>
        <v>0</v>
      </c>
      <c r="J217" s="58">
        <f>SUMIF('Direct labour(직접노무비)'!$C$12:$C$503,'In-out-bal products (155)(완성제품)'!B217,'Direct labour(직접노무비)'!$Q$12:$Q$503)</f>
        <v>0</v>
      </c>
      <c r="K217" s="59">
        <f>SUMIF('Overhead exp(제조경비)'!$C$12:$C$503,'In-out-bal products (155)(완성제품)'!B217,'Overhead exp(제조경비)'!$Q$12:$Q$503)</f>
        <v>0</v>
      </c>
      <c r="L217" s="58">
        <f t="shared" si="97"/>
        <v>0</v>
      </c>
      <c r="M217" s="58">
        <f>SUMIF('JUNE (물량흐름)'!$C$13:$C$488,'In-out-bal products (155)(완성제품)'!B217,'JUNE (물량흐름)'!$Y$13:$Y$488)</f>
        <v>0</v>
      </c>
      <c r="N217" s="58">
        <f t="shared" si="98"/>
        <v>0</v>
      </c>
      <c r="O217" s="58">
        <f>SUMIF('Direct labour(직접노무비)'!$C$12:$C$503,'In-out-bal products (155)(완성제품)'!B217,'Direct labour(직접노무비)'!$U$12:$U$503)+SUMIF('Overhead exp(제조경비)'!$C$12:$C$503,'In-out-bal products (155)(완성제품)'!B217,'Overhead exp(제조경비)'!$U$12:$U$503)</f>
        <v>0</v>
      </c>
      <c r="P217" s="60">
        <f t="shared" si="99"/>
        <v>0</v>
      </c>
      <c r="Q217" s="60">
        <f t="shared" si="100"/>
        <v>0</v>
      </c>
      <c r="R217" s="60">
        <f t="shared" si="101"/>
        <v>0</v>
      </c>
      <c r="S217" s="58">
        <v>0</v>
      </c>
      <c r="T217" s="58">
        <v>0</v>
      </c>
      <c r="U217" s="58">
        <v>0</v>
      </c>
      <c r="V217" s="58">
        <f>SUMIF('JUNE (물량흐름)'!$C$13:$C$493,'In-out-bal products (155)(완성제품)'!B217,'JUNE (물량흐름)'!$W$13:$W$493)</f>
        <v>0</v>
      </c>
      <c r="W217" s="58">
        <f t="shared" si="102"/>
        <v>0</v>
      </c>
      <c r="X217" s="58">
        <f t="shared" si="103"/>
        <v>0</v>
      </c>
      <c r="Y217" s="58">
        <f>SUMIF('JUNE (물량흐름)'!$C$13:$C$488,'In-out-bal products (155)(완성제품)'!B217,'JUNE (물량흐름)'!$X$13:$X$488)</f>
        <v>0</v>
      </c>
      <c r="Z217" s="58">
        <f t="shared" si="104"/>
        <v>0</v>
      </c>
      <c r="AA217" s="58">
        <f t="shared" si="105"/>
        <v>0</v>
      </c>
      <c r="AB217" s="58"/>
      <c r="AC217" s="58"/>
      <c r="AD217" s="61"/>
      <c r="AE217" s="58">
        <f t="shared" si="106"/>
        <v>0</v>
      </c>
      <c r="AF217" s="58">
        <f t="shared" si="107"/>
        <v>0</v>
      </c>
      <c r="AG217" s="61">
        <f t="shared" si="108"/>
        <v>0</v>
      </c>
      <c r="AH217" s="58">
        <v>0</v>
      </c>
      <c r="AI217" s="58">
        <v>0</v>
      </c>
      <c r="AJ217" s="61">
        <v>0</v>
      </c>
      <c r="AK217" s="58"/>
      <c r="AL217" s="58"/>
      <c r="AM217" s="61"/>
      <c r="AN217" s="61">
        <f t="shared" si="109"/>
        <v>0</v>
      </c>
      <c r="AO217" s="58">
        <f t="shared" si="110"/>
        <v>0</v>
      </c>
      <c r="AP217" s="61">
        <f t="shared" si="111"/>
        <v>0</v>
      </c>
      <c r="AQ217" s="58">
        <f t="shared" si="112"/>
        <v>0</v>
      </c>
      <c r="AR217" s="58">
        <f t="shared" si="113"/>
        <v>0</v>
      </c>
      <c r="AS217" s="58">
        <f t="shared" si="114"/>
        <v>0</v>
      </c>
      <c r="AT217" s="58">
        <f>ROUND(SUMIF('JUNE (물량흐름)'!$C$13:$C$502,'In-out-bal products (155)(완성제품)'!B217,'JUNE (물량흐름)'!$AB$13:$AB$502),0)</f>
        <v>0</v>
      </c>
      <c r="AU217" s="58">
        <f t="shared" si="115"/>
        <v>0</v>
      </c>
      <c r="AV217" s="58">
        <f>ROUND(SUMIF('JUNE (물량흐름)'!$C$13:$C$502,'In-out-bal products (155)(완성제품)'!B217,'JUNE (물량흐름)'!$AC$13:$AC$502),0)</f>
        <v>0</v>
      </c>
      <c r="AW217" s="58">
        <f t="shared" si="116"/>
        <v>0</v>
      </c>
      <c r="AX217" s="376">
        <f t="shared" si="117"/>
        <v>0</v>
      </c>
      <c r="AY217" s="377">
        <f t="shared" si="118"/>
        <v>0</v>
      </c>
      <c r="AZ217" s="377">
        <f t="shared" si="119"/>
        <v>0</v>
      </c>
      <c r="BA217" s="377">
        <f t="shared" si="120"/>
        <v>0</v>
      </c>
      <c r="BB217" s="377"/>
      <c r="BC217" s="377">
        <f t="shared" si="121"/>
        <v>0</v>
      </c>
      <c r="BD217" s="377">
        <f t="shared" si="122"/>
        <v>0</v>
      </c>
      <c r="BE217" s="377"/>
      <c r="BF217" s="377">
        <f t="shared" si="123"/>
        <v>0</v>
      </c>
      <c r="BG217" s="433">
        <f t="shared" si="124"/>
        <v>0</v>
      </c>
      <c r="BH217" s="434">
        <f t="shared" si="125"/>
        <v>0</v>
      </c>
    </row>
    <row r="218" spans="1:60" s="378" customFormat="1">
      <c r="A218" s="167">
        <v>208</v>
      </c>
      <c r="B218" s="253">
        <f>VLOOKUP(A218,'JUNE (물량흐름)'!$A$13:$C$493,3,0)</f>
        <v>100008605</v>
      </c>
      <c r="C218" s="57" t="str">
        <f>VLOOKUP(A218,'JUNE (물량흐름)'!$A$13:$C$493,2,0)</f>
        <v>ALFANI</v>
      </c>
      <c r="D218" s="58">
        <f>IFERROR(VLOOKUP(B218,O.B.JUNE!$V$7:$Y$448,2,0),0)</f>
        <v>0</v>
      </c>
      <c r="E218" s="58">
        <f>IFERROR(VLOOKUP(B218,O.B.JUNE!$V$7:$X$448,3,0),0)</f>
        <v>0</v>
      </c>
      <c r="F218" s="58">
        <f>IFERROR(VLOOKUP(B218,O.B.JUNE!$V$7:$Y$448,4,0),0)</f>
        <v>0</v>
      </c>
      <c r="G218" s="58">
        <f>SUMIF('JUNE (물량흐름)'!$C$13:$C$493,'In-out-bal products (155)(완성제품)'!B218,'JUNE (물량흐름)'!$V$13:$V$493)</f>
        <v>0</v>
      </c>
      <c r="H218" s="58">
        <f>SUMIF('JUNE (물량흐름)'!$C$13:$C$493,'In-out-bal products (155)(완성제품)'!B218,'JUNE (물량흐름)'!$T$13:$T$493)-SUMIF('JUNE (물량흐름)'!$C$13:$C$493,'In-out-bal products (155)(완성제품)'!B218,'JUNE (물량흐름)'!$Y$13:$Y$493)+SUMIF('JUNE (물량흐름)'!$C$13:$C$493,'In-out-bal products (155)(완성제품)'!B218,'JUNE (물량흐름)'!$U$13:$U$493)</f>
        <v>0</v>
      </c>
      <c r="I218" s="58">
        <f t="shared" si="96"/>
        <v>0</v>
      </c>
      <c r="J218" s="58">
        <f>SUMIF('Direct labour(직접노무비)'!$C$12:$C$503,'In-out-bal products (155)(완성제품)'!B218,'Direct labour(직접노무비)'!$Q$12:$Q$503)</f>
        <v>0</v>
      </c>
      <c r="K218" s="59">
        <f>SUMIF('Overhead exp(제조경비)'!$C$12:$C$503,'In-out-bal products (155)(완성제품)'!B218,'Overhead exp(제조경비)'!$Q$12:$Q$503)</f>
        <v>0</v>
      </c>
      <c r="L218" s="58">
        <f t="shared" si="97"/>
        <v>0</v>
      </c>
      <c r="M218" s="58">
        <f>SUMIF('JUNE (물량흐름)'!$C$13:$C$488,'In-out-bal products (155)(완성제품)'!B218,'JUNE (물량흐름)'!$Y$13:$Y$488)</f>
        <v>0</v>
      </c>
      <c r="N218" s="58">
        <f t="shared" si="98"/>
        <v>0</v>
      </c>
      <c r="O218" s="58">
        <f>SUMIF('Direct labour(직접노무비)'!$C$12:$C$503,'In-out-bal products (155)(완성제품)'!B218,'Direct labour(직접노무비)'!$U$12:$U$503)+SUMIF('Overhead exp(제조경비)'!$C$12:$C$503,'In-out-bal products (155)(완성제품)'!B218,'Overhead exp(제조경비)'!$U$12:$U$503)</f>
        <v>0</v>
      </c>
      <c r="P218" s="60">
        <f t="shared" si="99"/>
        <v>0</v>
      </c>
      <c r="Q218" s="60">
        <f t="shared" si="100"/>
        <v>0</v>
      </c>
      <c r="R218" s="60">
        <f t="shared" si="101"/>
        <v>0</v>
      </c>
      <c r="S218" s="58">
        <v>0</v>
      </c>
      <c r="T218" s="58">
        <v>0</v>
      </c>
      <c r="U218" s="58">
        <v>0</v>
      </c>
      <c r="V218" s="58">
        <f>SUMIF('JUNE (물량흐름)'!$C$13:$C$493,'In-out-bal products (155)(완성제품)'!B218,'JUNE (물량흐름)'!$W$13:$W$493)</f>
        <v>0</v>
      </c>
      <c r="W218" s="58">
        <f t="shared" si="102"/>
        <v>0</v>
      </c>
      <c r="X218" s="58">
        <f t="shared" si="103"/>
        <v>0</v>
      </c>
      <c r="Y218" s="58">
        <f>SUMIF('JUNE (물량흐름)'!$C$13:$C$488,'In-out-bal products (155)(완성제품)'!B218,'JUNE (물량흐름)'!$X$13:$X$488)</f>
        <v>0</v>
      </c>
      <c r="Z218" s="58">
        <f t="shared" si="104"/>
        <v>0</v>
      </c>
      <c r="AA218" s="58">
        <f t="shared" si="105"/>
        <v>0</v>
      </c>
      <c r="AB218" s="58"/>
      <c r="AC218" s="58"/>
      <c r="AD218" s="61"/>
      <c r="AE218" s="58">
        <f t="shared" si="106"/>
        <v>0</v>
      </c>
      <c r="AF218" s="58">
        <f t="shared" si="107"/>
        <v>0</v>
      </c>
      <c r="AG218" s="61">
        <f t="shared" si="108"/>
        <v>0</v>
      </c>
      <c r="AH218" s="58">
        <v>0</v>
      </c>
      <c r="AI218" s="58">
        <v>0</v>
      </c>
      <c r="AJ218" s="61">
        <v>0</v>
      </c>
      <c r="AK218" s="58"/>
      <c r="AL218" s="58"/>
      <c r="AM218" s="61"/>
      <c r="AN218" s="61">
        <f t="shared" si="109"/>
        <v>0</v>
      </c>
      <c r="AO218" s="58">
        <f t="shared" si="110"/>
        <v>0</v>
      </c>
      <c r="AP218" s="61">
        <f t="shared" si="111"/>
        <v>0</v>
      </c>
      <c r="AQ218" s="58">
        <f t="shared" si="112"/>
        <v>0</v>
      </c>
      <c r="AR218" s="58">
        <f t="shared" si="113"/>
        <v>0</v>
      </c>
      <c r="AS218" s="58">
        <f t="shared" si="114"/>
        <v>0</v>
      </c>
      <c r="AT218" s="58">
        <f>ROUND(SUMIF('JUNE (물량흐름)'!$C$13:$C$502,'In-out-bal products (155)(완성제품)'!B218,'JUNE (물량흐름)'!$AB$13:$AB$502),0)</f>
        <v>0</v>
      </c>
      <c r="AU218" s="58">
        <f t="shared" si="115"/>
        <v>0</v>
      </c>
      <c r="AV218" s="58">
        <f>ROUND(SUMIF('JUNE (물량흐름)'!$C$13:$C$502,'In-out-bal products (155)(완성제품)'!B218,'JUNE (물량흐름)'!$AC$13:$AC$502),0)</f>
        <v>0</v>
      </c>
      <c r="AW218" s="58">
        <f t="shared" si="116"/>
        <v>0</v>
      </c>
      <c r="AX218" s="376">
        <f t="shared" si="117"/>
        <v>0</v>
      </c>
      <c r="AY218" s="377">
        <f t="shared" si="118"/>
        <v>0</v>
      </c>
      <c r="AZ218" s="377">
        <f t="shared" si="119"/>
        <v>0</v>
      </c>
      <c r="BA218" s="377">
        <f t="shared" si="120"/>
        <v>0</v>
      </c>
      <c r="BB218" s="377"/>
      <c r="BC218" s="377">
        <f t="shared" si="121"/>
        <v>0</v>
      </c>
      <c r="BD218" s="377">
        <f t="shared" si="122"/>
        <v>0</v>
      </c>
      <c r="BE218" s="377"/>
      <c r="BF218" s="377">
        <f t="shared" si="123"/>
        <v>0</v>
      </c>
      <c r="BG218" s="433">
        <f t="shared" si="124"/>
        <v>0</v>
      </c>
      <c r="BH218" s="434">
        <f t="shared" si="125"/>
        <v>0</v>
      </c>
    </row>
    <row r="219" spans="1:60" s="378" customFormat="1">
      <c r="A219" s="167">
        <v>209</v>
      </c>
      <c r="B219" s="253">
        <f>VLOOKUP(A219,'JUNE (물량흐름)'!$A$13:$C$493,3,0)</f>
        <v>100008607</v>
      </c>
      <c r="C219" s="57" t="str">
        <f>VLOOKUP(A219,'JUNE (물량흐름)'!$A$13:$C$493,2,0)</f>
        <v>ALFANI</v>
      </c>
      <c r="D219" s="58">
        <f>IFERROR(VLOOKUP(B219,O.B.JUNE!$V$7:$Y$448,2,0),0)</f>
        <v>0</v>
      </c>
      <c r="E219" s="58">
        <f>IFERROR(VLOOKUP(B219,O.B.JUNE!$V$7:$X$448,3,0),0)</f>
        <v>0</v>
      </c>
      <c r="F219" s="58">
        <f>IFERROR(VLOOKUP(B219,O.B.JUNE!$V$7:$Y$448,4,0),0)</f>
        <v>0</v>
      </c>
      <c r="G219" s="58">
        <f>SUMIF('JUNE (물량흐름)'!$C$13:$C$493,'In-out-bal products (155)(완성제품)'!B219,'JUNE (물량흐름)'!$V$13:$V$493)</f>
        <v>0</v>
      </c>
      <c r="H219" s="58">
        <f>SUMIF('JUNE (물량흐름)'!$C$13:$C$493,'In-out-bal products (155)(완성제품)'!B219,'JUNE (물량흐름)'!$T$13:$T$493)-SUMIF('JUNE (물량흐름)'!$C$13:$C$493,'In-out-bal products (155)(완성제품)'!B219,'JUNE (물량흐름)'!$Y$13:$Y$493)+SUMIF('JUNE (물량흐름)'!$C$13:$C$493,'In-out-bal products (155)(완성제품)'!B219,'JUNE (물량흐름)'!$U$13:$U$493)</f>
        <v>0</v>
      </c>
      <c r="I219" s="58">
        <f t="shared" si="96"/>
        <v>0</v>
      </c>
      <c r="J219" s="58">
        <f>SUMIF('Direct labour(직접노무비)'!$C$12:$C$503,'In-out-bal products (155)(완성제품)'!B219,'Direct labour(직접노무비)'!$Q$12:$Q$503)</f>
        <v>0</v>
      </c>
      <c r="K219" s="59">
        <f>SUMIF('Overhead exp(제조경비)'!$C$12:$C$503,'In-out-bal products (155)(완성제품)'!B219,'Overhead exp(제조경비)'!$Q$12:$Q$503)</f>
        <v>0</v>
      </c>
      <c r="L219" s="58">
        <f t="shared" si="97"/>
        <v>0</v>
      </c>
      <c r="M219" s="58">
        <f>SUMIF('JUNE (물량흐름)'!$C$13:$C$488,'In-out-bal products (155)(완성제품)'!B219,'JUNE (물량흐름)'!$Y$13:$Y$488)</f>
        <v>0</v>
      </c>
      <c r="N219" s="58">
        <f t="shared" si="98"/>
        <v>0</v>
      </c>
      <c r="O219" s="58">
        <f>SUMIF('Direct labour(직접노무비)'!$C$12:$C$503,'In-out-bal products (155)(완성제품)'!B219,'Direct labour(직접노무비)'!$U$12:$U$503)+SUMIF('Overhead exp(제조경비)'!$C$12:$C$503,'In-out-bal products (155)(완성제품)'!B219,'Overhead exp(제조경비)'!$U$12:$U$503)</f>
        <v>0</v>
      </c>
      <c r="P219" s="60">
        <f t="shared" si="99"/>
        <v>0</v>
      </c>
      <c r="Q219" s="60">
        <f t="shared" si="100"/>
        <v>0</v>
      </c>
      <c r="R219" s="60">
        <f t="shared" si="101"/>
        <v>0</v>
      </c>
      <c r="S219" s="58">
        <v>0</v>
      </c>
      <c r="T219" s="58">
        <v>0</v>
      </c>
      <c r="U219" s="58">
        <v>0</v>
      </c>
      <c r="V219" s="58">
        <f>SUMIF('JUNE (물량흐름)'!$C$13:$C$493,'In-out-bal products (155)(완성제품)'!B219,'JUNE (물량흐름)'!$W$13:$W$493)</f>
        <v>0</v>
      </c>
      <c r="W219" s="58">
        <f t="shared" si="102"/>
        <v>0</v>
      </c>
      <c r="X219" s="58">
        <f t="shared" si="103"/>
        <v>0</v>
      </c>
      <c r="Y219" s="58">
        <f>SUMIF('JUNE (물량흐름)'!$C$13:$C$488,'In-out-bal products (155)(완성제품)'!B219,'JUNE (물량흐름)'!$X$13:$X$488)</f>
        <v>0</v>
      </c>
      <c r="Z219" s="58">
        <f t="shared" si="104"/>
        <v>0</v>
      </c>
      <c r="AA219" s="58">
        <f t="shared" si="105"/>
        <v>0</v>
      </c>
      <c r="AB219" s="58"/>
      <c r="AC219" s="58"/>
      <c r="AD219" s="61"/>
      <c r="AE219" s="58">
        <f t="shared" si="106"/>
        <v>0</v>
      </c>
      <c r="AF219" s="58">
        <f t="shared" si="107"/>
        <v>0</v>
      </c>
      <c r="AG219" s="61">
        <f t="shared" si="108"/>
        <v>0</v>
      </c>
      <c r="AH219" s="58">
        <v>0</v>
      </c>
      <c r="AI219" s="58">
        <v>0</v>
      </c>
      <c r="AJ219" s="61">
        <v>0</v>
      </c>
      <c r="AK219" s="58"/>
      <c r="AL219" s="58"/>
      <c r="AM219" s="61"/>
      <c r="AN219" s="61">
        <f t="shared" si="109"/>
        <v>0</v>
      </c>
      <c r="AO219" s="58">
        <f t="shared" si="110"/>
        <v>0</v>
      </c>
      <c r="AP219" s="61">
        <f t="shared" si="111"/>
        <v>0</v>
      </c>
      <c r="AQ219" s="58">
        <f t="shared" si="112"/>
        <v>0</v>
      </c>
      <c r="AR219" s="58">
        <f t="shared" si="113"/>
        <v>0</v>
      </c>
      <c r="AS219" s="58">
        <f t="shared" si="114"/>
        <v>0</v>
      </c>
      <c r="AT219" s="58">
        <f>ROUND(SUMIF('JUNE (물량흐름)'!$C$13:$C$502,'In-out-bal products (155)(완성제품)'!B219,'JUNE (물량흐름)'!$AB$13:$AB$502),0)</f>
        <v>0</v>
      </c>
      <c r="AU219" s="58">
        <f t="shared" si="115"/>
        <v>0</v>
      </c>
      <c r="AV219" s="58">
        <f>ROUND(SUMIF('JUNE (물량흐름)'!$C$13:$C$502,'In-out-bal products (155)(완성제품)'!B219,'JUNE (물량흐름)'!$AC$13:$AC$502),0)</f>
        <v>0</v>
      </c>
      <c r="AW219" s="58">
        <f t="shared" si="116"/>
        <v>0</v>
      </c>
      <c r="AX219" s="376">
        <f t="shared" si="117"/>
        <v>0</v>
      </c>
      <c r="AY219" s="377">
        <f t="shared" si="118"/>
        <v>0</v>
      </c>
      <c r="AZ219" s="377">
        <f t="shared" si="119"/>
        <v>0</v>
      </c>
      <c r="BA219" s="377">
        <f t="shared" si="120"/>
        <v>0</v>
      </c>
      <c r="BB219" s="377"/>
      <c r="BC219" s="377">
        <f t="shared" si="121"/>
        <v>0</v>
      </c>
      <c r="BD219" s="377">
        <f t="shared" si="122"/>
        <v>0</v>
      </c>
      <c r="BE219" s="377"/>
      <c r="BF219" s="377">
        <f t="shared" si="123"/>
        <v>0</v>
      </c>
      <c r="BG219" s="433">
        <f t="shared" si="124"/>
        <v>0</v>
      </c>
      <c r="BH219" s="434">
        <f t="shared" si="125"/>
        <v>0</v>
      </c>
    </row>
    <row r="220" spans="1:60" s="378" customFormat="1">
      <c r="A220" s="167">
        <v>210</v>
      </c>
      <c r="B220" s="253">
        <f>VLOOKUP(A220,'JUNE (물량흐름)'!$A$13:$C$493,3,0)</f>
        <v>100008660</v>
      </c>
      <c r="C220" s="57" t="str">
        <f>VLOOKUP(A220,'JUNE (물량흐름)'!$A$13:$C$493,2,0)</f>
        <v>ALFANI</v>
      </c>
      <c r="D220" s="58">
        <f>IFERROR(VLOOKUP(B220,O.B.JUNE!$V$7:$Y$448,2,0),0)</f>
        <v>0</v>
      </c>
      <c r="E220" s="58">
        <f>IFERROR(VLOOKUP(B220,O.B.JUNE!$V$7:$X$448,3,0),0)</f>
        <v>0</v>
      </c>
      <c r="F220" s="58">
        <f>IFERROR(VLOOKUP(B220,O.B.JUNE!$V$7:$Y$448,4,0),0)</f>
        <v>0</v>
      </c>
      <c r="G220" s="58">
        <f>SUMIF('JUNE (물량흐름)'!$C$13:$C$493,'In-out-bal products (155)(완성제품)'!B220,'JUNE (물량흐름)'!$V$13:$V$493)</f>
        <v>0</v>
      </c>
      <c r="H220" s="58">
        <f>SUMIF('JUNE (물량흐름)'!$C$13:$C$493,'In-out-bal products (155)(완성제품)'!B220,'JUNE (물량흐름)'!$T$13:$T$493)-SUMIF('JUNE (물량흐름)'!$C$13:$C$493,'In-out-bal products (155)(완성제품)'!B220,'JUNE (물량흐름)'!$Y$13:$Y$493)+SUMIF('JUNE (물량흐름)'!$C$13:$C$493,'In-out-bal products (155)(완성제품)'!B220,'JUNE (물량흐름)'!$U$13:$U$493)</f>
        <v>0</v>
      </c>
      <c r="I220" s="58">
        <f t="shared" si="96"/>
        <v>0</v>
      </c>
      <c r="J220" s="58">
        <f>SUMIF('Direct labour(직접노무비)'!$C$12:$C$503,'In-out-bal products (155)(완성제품)'!B220,'Direct labour(직접노무비)'!$Q$12:$Q$503)</f>
        <v>0</v>
      </c>
      <c r="K220" s="59">
        <f>SUMIF('Overhead exp(제조경비)'!$C$12:$C$503,'In-out-bal products (155)(완성제품)'!B220,'Overhead exp(제조경비)'!$Q$12:$Q$503)</f>
        <v>0</v>
      </c>
      <c r="L220" s="58">
        <f t="shared" si="97"/>
        <v>0</v>
      </c>
      <c r="M220" s="58">
        <f>SUMIF('JUNE (물량흐름)'!$C$13:$C$488,'In-out-bal products (155)(완성제품)'!B220,'JUNE (물량흐름)'!$Y$13:$Y$488)</f>
        <v>0</v>
      </c>
      <c r="N220" s="58">
        <f t="shared" si="98"/>
        <v>0</v>
      </c>
      <c r="O220" s="58">
        <f>SUMIF('Direct labour(직접노무비)'!$C$12:$C$503,'In-out-bal products (155)(완성제품)'!B220,'Direct labour(직접노무비)'!$U$12:$U$503)+SUMIF('Overhead exp(제조경비)'!$C$12:$C$503,'In-out-bal products (155)(완성제품)'!B220,'Overhead exp(제조경비)'!$U$12:$U$503)</f>
        <v>0</v>
      </c>
      <c r="P220" s="60">
        <f t="shared" si="99"/>
        <v>0</v>
      </c>
      <c r="Q220" s="60">
        <f t="shared" si="100"/>
        <v>0</v>
      </c>
      <c r="R220" s="60">
        <f t="shared" si="101"/>
        <v>0</v>
      </c>
      <c r="S220" s="58">
        <v>0</v>
      </c>
      <c r="T220" s="58">
        <v>0</v>
      </c>
      <c r="U220" s="58">
        <v>0</v>
      </c>
      <c r="V220" s="58">
        <f>SUMIF('JUNE (물량흐름)'!$C$13:$C$493,'In-out-bal products (155)(완성제품)'!B220,'JUNE (물량흐름)'!$W$13:$W$493)</f>
        <v>0</v>
      </c>
      <c r="W220" s="58">
        <f t="shared" si="102"/>
        <v>0</v>
      </c>
      <c r="X220" s="58">
        <f t="shared" si="103"/>
        <v>0</v>
      </c>
      <c r="Y220" s="58">
        <f>SUMIF('JUNE (물량흐름)'!$C$13:$C$488,'In-out-bal products (155)(완성제품)'!B220,'JUNE (물량흐름)'!$X$13:$X$488)</f>
        <v>0</v>
      </c>
      <c r="Z220" s="58">
        <f t="shared" si="104"/>
        <v>0</v>
      </c>
      <c r="AA220" s="58">
        <f t="shared" si="105"/>
        <v>0</v>
      </c>
      <c r="AB220" s="58"/>
      <c r="AC220" s="58"/>
      <c r="AD220" s="61"/>
      <c r="AE220" s="58">
        <f t="shared" si="106"/>
        <v>0</v>
      </c>
      <c r="AF220" s="58">
        <f t="shared" si="107"/>
        <v>0</v>
      </c>
      <c r="AG220" s="61">
        <f t="shared" si="108"/>
        <v>0</v>
      </c>
      <c r="AH220" s="58">
        <v>0</v>
      </c>
      <c r="AI220" s="58">
        <v>0</v>
      </c>
      <c r="AJ220" s="61">
        <v>0</v>
      </c>
      <c r="AK220" s="58"/>
      <c r="AL220" s="58"/>
      <c r="AM220" s="61"/>
      <c r="AN220" s="61">
        <f t="shared" si="109"/>
        <v>0</v>
      </c>
      <c r="AO220" s="58">
        <f t="shared" si="110"/>
        <v>0</v>
      </c>
      <c r="AP220" s="61">
        <f t="shared" si="111"/>
        <v>0</v>
      </c>
      <c r="AQ220" s="58">
        <f t="shared" si="112"/>
        <v>0</v>
      </c>
      <c r="AR220" s="58">
        <f t="shared" si="113"/>
        <v>0</v>
      </c>
      <c r="AS220" s="58">
        <f t="shared" si="114"/>
        <v>0</v>
      </c>
      <c r="AT220" s="58">
        <f>ROUND(SUMIF('JUNE (물량흐름)'!$C$13:$C$502,'In-out-bal products (155)(완성제품)'!B220,'JUNE (물량흐름)'!$AB$13:$AB$502),0)</f>
        <v>0</v>
      </c>
      <c r="AU220" s="58">
        <f t="shared" si="115"/>
        <v>0</v>
      </c>
      <c r="AV220" s="58">
        <f>ROUND(SUMIF('JUNE (물량흐름)'!$C$13:$C$502,'In-out-bal products (155)(완성제품)'!B220,'JUNE (물량흐름)'!$AC$13:$AC$502),0)</f>
        <v>0</v>
      </c>
      <c r="AW220" s="58">
        <f t="shared" si="116"/>
        <v>0</v>
      </c>
      <c r="AX220" s="376">
        <f t="shared" si="117"/>
        <v>0</v>
      </c>
      <c r="AY220" s="377">
        <f t="shared" si="118"/>
        <v>0</v>
      </c>
      <c r="AZ220" s="377">
        <f t="shared" si="119"/>
        <v>0</v>
      </c>
      <c r="BA220" s="377">
        <f t="shared" si="120"/>
        <v>0</v>
      </c>
      <c r="BB220" s="377"/>
      <c r="BC220" s="377">
        <f t="shared" si="121"/>
        <v>0</v>
      </c>
      <c r="BD220" s="377">
        <f t="shared" si="122"/>
        <v>0</v>
      </c>
      <c r="BE220" s="377"/>
      <c r="BF220" s="377">
        <f t="shared" si="123"/>
        <v>0</v>
      </c>
      <c r="BG220" s="433">
        <f t="shared" si="124"/>
        <v>0</v>
      </c>
      <c r="BH220" s="434">
        <f t="shared" si="125"/>
        <v>0</v>
      </c>
    </row>
    <row r="221" spans="1:60" s="378" customFormat="1">
      <c r="A221" s="167">
        <v>211</v>
      </c>
      <c r="B221" s="253">
        <f>VLOOKUP(A221,'JUNE (물량흐름)'!$A$13:$C$493,3,0)</f>
        <v>100008746</v>
      </c>
      <c r="C221" s="57" t="str">
        <f>VLOOKUP(A221,'JUNE (물량흐름)'!$A$13:$C$493,2,0)</f>
        <v>ALFANI</v>
      </c>
      <c r="D221" s="58">
        <f>IFERROR(VLOOKUP(B221,O.B.JUNE!$V$7:$Y$448,2,0),0)</f>
        <v>0</v>
      </c>
      <c r="E221" s="58">
        <f>IFERROR(VLOOKUP(B221,O.B.JUNE!$V$7:$X$448,3,0),0)</f>
        <v>0</v>
      </c>
      <c r="F221" s="58">
        <f>IFERROR(VLOOKUP(B221,O.B.JUNE!$V$7:$Y$448,4,0),0)</f>
        <v>0</v>
      </c>
      <c r="G221" s="58">
        <f>SUMIF('JUNE (물량흐름)'!$C$13:$C$493,'In-out-bal products (155)(완성제품)'!B221,'JUNE (물량흐름)'!$V$13:$V$493)</f>
        <v>0</v>
      </c>
      <c r="H221" s="58">
        <f>SUMIF('JUNE (물량흐름)'!$C$13:$C$493,'In-out-bal products (155)(완성제품)'!B221,'JUNE (물량흐름)'!$T$13:$T$493)-SUMIF('JUNE (물량흐름)'!$C$13:$C$493,'In-out-bal products (155)(완성제품)'!B221,'JUNE (물량흐름)'!$Y$13:$Y$493)+SUMIF('JUNE (물량흐름)'!$C$13:$C$493,'In-out-bal products (155)(완성제품)'!B221,'JUNE (물량흐름)'!$U$13:$U$493)</f>
        <v>0</v>
      </c>
      <c r="I221" s="58">
        <f t="shared" si="96"/>
        <v>0</v>
      </c>
      <c r="J221" s="58">
        <f>SUMIF('Direct labour(직접노무비)'!$C$12:$C$503,'In-out-bal products (155)(완성제품)'!B221,'Direct labour(직접노무비)'!$Q$12:$Q$503)</f>
        <v>0</v>
      </c>
      <c r="K221" s="59">
        <f>SUMIF('Overhead exp(제조경비)'!$C$12:$C$503,'In-out-bal products (155)(완성제품)'!B221,'Overhead exp(제조경비)'!$Q$12:$Q$503)</f>
        <v>0</v>
      </c>
      <c r="L221" s="58">
        <f t="shared" si="97"/>
        <v>0</v>
      </c>
      <c r="M221" s="58">
        <f>SUMIF('JUNE (물량흐름)'!$C$13:$C$488,'In-out-bal products (155)(완성제품)'!B221,'JUNE (물량흐름)'!$Y$13:$Y$488)</f>
        <v>0</v>
      </c>
      <c r="N221" s="58">
        <f t="shared" si="98"/>
        <v>0</v>
      </c>
      <c r="O221" s="58">
        <f>SUMIF('Direct labour(직접노무비)'!$C$12:$C$503,'In-out-bal products (155)(완성제품)'!B221,'Direct labour(직접노무비)'!$U$12:$U$503)+SUMIF('Overhead exp(제조경비)'!$C$12:$C$503,'In-out-bal products (155)(완성제품)'!B221,'Overhead exp(제조경비)'!$U$12:$U$503)</f>
        <v>0</v>
      </c>
      <c r="P221" s="60">
        <f t="shared" si="99"/>
        <v>0</v>
      </c>
      <c r="Q221" s="60">
        <f t="shared" si="100"/>
        <v>0</v>
      </c>
      <c r="R221" s="60">
        <f t="shared" si="101"/>
        <v>0</v>
      </c>
      <c r="S221" s="58">
        <v>0</v>
      </c>
      <c r="T221" s="58">
        <v>0</v>
      </c>
      <c r="U221" s="58">
        <v>0</v>
      </c>
      <c r="V221" s="58">
        <f>SUMIF('JUNE (물량흐름)'!$C$13:$C$493,'In-out-bal products (155)(완성제품)'!B221,'JUNE (물량흐름)'!$W$13:$W$493)</f>
        <v>0</v>
      </c>
      <c r="W221" s="58">
        <f t="shared" si="102"/>
        <v>0</v>
      </c>
      <c r="X221" s="58">
        <f t="shared" si="103"/>
        <v>0</v>
      </c>
      <c r="Y221" s="58">
        <f>SUMIF('JUNE (물량흐름)'!$C$13:$C$488,'In-out-bal products (155)(완성제품)'!B221,'JUNE (물량흐름)'!$X$13:$X$488)</f>
        <v>0</v>
      </c>
      <c r="Z221" s="58">
        <f t="shared" si="104"/>
        <v>0</v>
      </c>
      <c r="AA221" s="58">
        <f t="shared" si="105"/>
        <v>0</v>
      </c>
      <c r="AB221" s="58"/>
      <c r="AC221" s="58"/>
      <c r="AD221" s="61"/>
      <c r="AE221" s="58">
        <f t="shared" si="106"/>
        <v>0</v>
      </c>
      <c r="AF221" s="58">
        <f t="shared" si="107"/>
        <v>0</v>
      </c>
      <c r="AG221" s="61">
        <f t="shared" si="108"/>
        <v>0</v>
      </c>
      <c r="AH221" s="58">
        <v>0</v>
      </c>
      <c r="AI221" s="58">
        <v>0</v>
      </c>
      <c r="AJ221" s="61">
        <v>0</v>
      </c>
      <c r="AK221" s="58"/>
      <c r="AL221" s="58"/>
      <c r="AM221" s="61"/>
      <c r="AN221" s="61">
        <f t="shared" si="109"/>
        <v>0</v>
      </c>
      <c r="AO221" s="58">
        <f t="shared" si="110"/>
        <v>0</v>
      </c>
      <c r="AP221" s="61">
        <f t="shared" si="111"/>
        <v>0</v>
      </c>
      <c r="AQ221" s="58">
        <f t="shared" si="112"/>
        <v>0</v>
      </c>
      <c r="AR221" s="58">
        <f t="shared" si="113"/>
        <v>0</v>
      </c>
      <c r="AS221" s="58">
        <f t="shared" si="114"/>
        <v>0</v>
      </c>
      <c r="AT221" s="58">
        <f>ROUND(SUMIF('JUNE (물량흐름)'!$C$13:$C$502,'In-out-bal products (155)(완성제품)'!B221,'JUNE (물량흐름)'!$AB$13:$AB$502),0)</f>
        <v>0</v>
      </c>
      <c r="AU221" s="58">
        <f t="shared" si="115"/>
        <v>0</v>
      </c>
      <c r="AV221" s="58">
        <f>ROUND(SUMIF('JUNE (물량흐름)'!$C$13:$C$502,'In-out-bal products (155)(완성제품)'!B221,'JUNE (물량흐름)'!$AC$13:$AC$502),0)</f>
        <v>0</v>
      </c>
      <c r="AW221" s="58">
        <f t="shared" si="116"/>
        <v>0</v>
      </c>
      <c r="AX221" s="376">
        <f t="shared" si="117"/>
        <v>0</v>
      </c>
      <c r="AY221" s="377">
        <f t="shared" si="118"/>
        <v>0</v>
      </c>
      <c r="AZ221" s="377">
        <f t="shared" si="119"/>
        <v>0</v>
      </c>
      <c r="BA221" s="377">
        <f t="shared" si="120"/>
        <v>0</v>
      </c>
      <c r="BB221" s="377"/>
      <c r="BC221" s="377">
        <f t="shared" si="121"/>
        <v>0</v>
      </c>
      <c r="BD221" s="377">
        <f t="shared" si="122"/>
        <v>0</v>
      </c>
      <c r="BE221" s="377"/>
      <c r="BF221" s="377">
        <f t="shared" si="123"/>
        <v>0</v>
      </c>
      <c r="BG221" s="433">
        <f t="shared" si="124"/>
        <v>0</v>
      </c>
      <c r="BH221" s="434">
        <f t="shared" si="125"/>
        <v>0</v>
      </c>
    </row>
    <row r="222" spans="1:60" s="378" customFormat="1">
      <c r="A222" s="167">
        <v>212</v>
      </c>
      <c r="B222" s="253">
        <f>VLOOKUP(A222,'JUNE (물량흐름)'!$A$13:$C$493,3,0)</f>
        <v>100009162</v>
      </c>
      <c r="C222" s="57" t="str">
        <f>VLOOKUP(A222,'JUNE (물량흐름)'!$A$13:$C$493,2,0)</f>
        <v>ALFANI</v>
      </c>
      <c r="D222" s="58">
        <f>IFERROR(VLOOKUP(B222,O.B.JUNE!$V$7:$Y$448,2,0),0)</f>
        <v>0</v>
      </c>
      <c r="E222" s="58">
        <f>IFERROR(VLOOKUP(B222,O.B.JUNE!$V$7:$X$448,3,0),0)</f>
        <v>0</v>
      </c>
      <c r="F222" s="58">
        <f>IFERROR(VLOOKUP(B222,O.B.JUNE!$V$7:$Y$448,4,0),0)</f>
        <v>0</v>
      </c>
      <c r="G222" s="58">
        <f>SUMIF('JUNE (물량흐름)'!$C$13:$C$493,'In-out-bal products (155)(완성제품)'!B222,'JUNE (물량흐름)'!$V$13:$V$493)</f>
        <v>0</v>
      </c>
      <c r="H222" s="58">
        <f>SUMIF('JUNE (물량흐름)'!$C$13:$C$493,'In-out-bal products (155)(완성제품)'!B222,'JUNE (물량흐름)'!$T$13:$T$493)-SUMIF('JUNE (물량흐름)'!$C$13:$C$493,'In-out-bal products (155)(완성제품)'!B222,'JUNE (물량흐름)'!$Y$13:$Y$493)+SUMIF('JUNE (물량흐름)'!$C$13:$C$493,'In-out-bal products (155)(완성제품)'!B222,'JUNE (물량흐름)'!$U$13:$U$493)</f>
        <v>0</v>
      </c>
      <c r="I222" s="58">
        <f t="shared" si="96"/>
        <v>0</v>
      </c>
      <c r="J222" s="58">
        <f>SUMIF('Direct labour(직접노무비)'!$C$12:$C$503,'In-out-bal products (155)(완성제품)'!B222,'Direct labour(직접노무비)'!$Q$12:$Q$503)</f>
        <v>0</v>
      </c>
      <c r="K222" s="59">
        <f>SUMIF('Overhead exp(제조경비)'!$C$12:$C$503,'In-out-bal products (155)(완성제품)'!B222,'Overhead exp(제조경비)'!$Q$12:$Q$503)</f>
        <v>0</v>
      </c>
      <c r="L222" s="58">
        <f t="shared" si="97"/>
        <v>0</v>
      </c>
      <c r="M222" s="58">
        <f>SUMIF('JUNE (물량흐름)'!$C$13:$C$488,'In-out-bal products (155)(완성제품)'!B222,'JUNE (물량흐름)'!$Y$13:$Y$488)</f>
        <v>0</v>
      </c>
      <c r="N222" s="58">
        <f t="shared" si="98"/>
        <v>0</v>
      </c>
      <c r="O222" s="58">
        <f>SUMIF('Direct labour(직접노무비)'!$C$12:$C$503,'In-out-bal products (155)(완성제품)'!B222,'Direct labour(직접노무비)'!$U$12:$U$503)+SUMIF('Overhead exp(제조경비)'!$C$12:$C$503,'In-out-bal products (155)(완성제품)'!B222,'Overhead exp(제조경비)'!$U$12:$U$503)</f>
        <v>0</v>
      </c>
      <c r="P222" s="60">
        <f t="shared" si="99"/>
        <v>0</v>
      </c>
      <c r="Q222" s="60">
        <f t="shared" si="100"/>
        <v>0</v>
      </c>
      <c r="R222" s="60">
        <f t="shared" si="101"/>
        <v>0</v>
      </c>
      <c r="S222" s="58">
        <v>0</v>
      </c>
      <c r="T222" s="58">
        <v>0</v>
      </c>
      <c r="U222" s="58">
        <v>0</v>
      </c>
      <c r="V222" s="58">
        <f>SUMIF('JUNE (물량흐름)'!$C$13:$C$493,'In-out-bal products (155)(완성제품)'!B222,'JUNE (물량흐름)'!$W$13:$W$493)</f>
        <v>0</v>
      </c>
      <c r="W222" s="58">
        <f t="shared" si="102"/>
        <v>0</v>
      </c>
      <c r="X222" s="58">
        <f t="shared" si="103"/>
        <v>0</v>
      </c>
      <c r="Y222" s="58">
        <f>SUMIF('JUNE (물량흐름)'!$C$13:$C$488,'In-out-bal products (155)(완성제품)'!B222,'JUNE (물량흐름)'!$X$13:$X$488)</f>
        <v>0</v>
      </c>
      <c r="Z222" s="58">
        <f t="shared" si="104"/>
        <v>0</v>
      </c>
      <c r="AA222" s="58">
        <f t="shared" si="105"/>
        <v>0</v>
      </c>
      <c r="AB222" s="58"/>
      <c r="AC222" s="58"/>
      <c r="AD222" s="61"/>
      <c r="AE222" s="58">
        <f t="shared" si="106"/>
        <v>0</v>
      </c>
      <c r="AF222" s="58">
        <f t="shared" si="107"/>
        <v>0</v>
      </c>
      <c r="AG222" s="61">
        <f t="shared" si="108"/>
        <v>0</v>
      </c>
      <c r="AH222" s="58">
        <v>0</v>
      </c>
      <c r="AI222" s="58">
        <v>0</v>
      </c>
      <c r="AJ222" s="61">
        <v>0</v>
      </c>
      <c r="AK222" s="58"/>
      <c r="AL222" s="58"/>
      <c r="AM222" s="61"/>
      <c r="AN222" s="61">
        <f t="shared" si="109"/>
        <v>0</v>
      </c>
      <c r="AO222" s="58">
        <f t="shared" si="110"/>
        <v>0</v>
      </c>
      <c r="AP222" s="61">
        <f t="shared" si="111"/>
        <v>0</v>
      </c>
      <c r="AQ222" s="58">
        <f t="shared" si="112"/>
        <v>0</v>
      </c>
      <c r="AR222" s="58">
        <f t="shared" si="113"/>
        <v>0</v>
      </c>
      <c r="AS222" s="58">
        <f t="shared" si="114"/>
        <v>0</v>
      </c>
      <c r="AT222" s="58">
        <f>ROUND(SUMIF('JUNE (물량흐름)'!$C$13:$C$502,'In-out-bal products (155)(완성제품)'!B222,'JUNE (물량흐름)'!$AB$13:$AB$502),0)</f>
        <v>0</v>
      </c>
      <c r="AU222" s="58">
        <f t="shared" si="115"/>
        <v>0</v>
      </c>
      <c r="AV222" s="58">
        <f>ROUND(SUMIF('JUNE (물량흐름)'!$C$13:$C$502,'In-out-bal products (155)(완성제품)'!B222,'JUNE (물량흐름)'!$AC$13:$AC$502),0)</f>
        <v>0</v>
      </c>
      <c r="AW222" s="58">
        <f t="shared" si="116"/>
        <v>0</v>
      </c>
      <c r="AX222" s="376">
        <f t="shared" si="117"/>
        <v>0</v>
      </c>
      <c r="AY222" s="377">
        <f t="shared" si="118"/>
        <v>0</v>
      </c>
      <c r="AZ222" s="377">
        <f t="shared" si="119"/>
        <v>0</v>
      </c>
      <c r="BA222" s="377">
        <f t="shared" si="120"/>
        <v>0</v>
      </c>
      <c r="BB222" s="377"/>
      <c r="BC222" s="377">
        <f t="shared" si="121"/>
        <v>0</v>
      </c>
      <c r="BD222" s="377">
        <f t="shared" si="122"/>
        <v>0</v>
      </c>
      <c r="BE222" s="377"/>
      <c r="BF222" s="377">
        <f t="shared" si="123"/>
        <v>0</v>
      </c>
      <c r="BG222" s="433">
        <f t="shared" si="124"/>
        <v>0</v>
      </c>
      <c r="BH222" s="434">
        <f t="shared" si="125"/>
        <v>0</v>
      </c>
    </row>
    <row r="223" spans="1:60" s="378" customFormat="1">
      <c r="A223" s="167">
        <v>213</v>
      </c>
      <c r="B223" s="253">
        <f>VLOOKUP(A223,'JUNE (물량흐름)'!$A$13:$C$493,3,0)</f>
        <v>100009622</v>
      </c>
      <c r="C223" s="57" t="str">
        <f>VLOOKUP(A223,'JUNE (물량흐름)'!$A$13:$C$493,2,0)</f>
        <v>ALFANI</v>
      </c>
      <c r="D223" s="58">
        <f>IFERROR(VLOOKUP(B223,O.B.JUNE!$V$7:$Y$448,2,0),0)</f>
        <v>0</v>
      </c>
      <c r="E223" s="58">
        <f>IFERROR(VLOOKUP(B223,O.B.JUNE!$V$7:$X$448,3,0),0)</f>
        <v>0</v>
      </c>
      <c r="F223" s="58">
        <f>IFERROR(VLOOKUP(B223,O.B.JUNE!$V$7:$Y$448,4,0),0)</f>
        <v>0</v>
      </c>
      <c r="G223" s="58">
        <f>SUMIF('JUNE (물량흐름)'!$C$13:$C$493,'In-out-bal products (155)(완성제품)'!B223,'JUNE (물량흐름)'!$V$13:$V$493)</f>
        <v>0</v>
      </c>
      <c r="H223" s="58">
        <f>SUMIF('JUNE (물량흐름)'!$C$13:$C$493,'In-out-bal products (155)(완성제품)'!B223,'JUNE (물량흐름)'!$T$13:$T$493)-SUMIF('JUNE (물량흐름)'!$C$13:$C$493,'In-out-bal products (155)(완성제품)'!B223,'JUNE (물량흐름)'!$Y$13:$Y$493)+SUMIF('JUNE (물량흐름)'!$C$13:$C$493,'In-out-bal products (155)(완성제품)'!B223,'JUNE (물량흐름)'!$U$13:$U$493)</f>
        <v>0</v>
      </c>
      <c r="I223" s="58">
        <f t="shared" si="96"/>
        <v>0</v>
      </c>
      <c r="J223" s="58">
        <f>SUMIF('Direct labour(직접노무비)'!$C$12:$C$503,'In-out-bal products (155)(완성제품)'!B223,'Direct labour(직접노무비)'!$Q$12:$Q$503)</f>
        <v>0</v>
      </c>
      <c r="K223" s="59">
        <f>SUMIF('Overhead exp(제조경비)'!$C$12:$C$503,'In-out-bal products (155)(완성제품)'!B223,'Overhead exp(제조경비)'!$Q$12:$Q$503)</f>
        <v>0</v>
      </c>
      <c r="L223" s="58">
        <f t="shared" si="97"/>
        <v>0</v>
      </c>
      <c r="M223" s="58">
        <f>SUMIF('JUNE (물량흐름)'!$C$13:$C$488,'In-out-bal products (155)(완성제품)'!B223,'JUNE (물량흐름)'!$Y$13:$Y$488)</f>
        <v>0</v>
      </c>
      <c r="N223" s="58">
        <f t="shared" si="98"/>
        <v>0</v>
      </c>
      <c r="O223" s="58">
        <f>SUMIF('Direct labour(직접노무비)'!$C$12:$C$503,'In-out-bal products (155)(완성제품)'!B223,'Direct labour(직접노무비)'!$U$12:$U$503)+SUMIF('Overhead exp(제조경비)'!$C$12:$C$503,'In-out-bal products (155)(완성제품)'!B223,'Overhead exp(제조경비)'!$U$12:$U$503)</f>
        <v>0</v>
      </c>
      <c r="P223" s="60">
        <f t="shared" si="99"/>
        <v>0</v>
      </c>
      <c r="Q223" s="60">
        <f t="shared" si="100"/>
        <v>0</v>
      </c>
      <c r="R223" s="60">
        <f t="shared" si="101"/>
        <v>0</v>
      </c>
      <c r="S223" s="58">
        <v>0</v>
      </c>
      <c r="T223" s="58">
        <v>0</v>
      </c>
      <c r="U223" s="58">
        <v>0</v>
      </c>
      <c r="V223" s="58">
        <f>SUMIF('JUNE (물량흐름)'!$C$13:$C$493,'In-out-bal products (155)(완성제품)'!B223,'JUNE (물량흐름)'!$W$13:$W$493)</f>
        <v>0</v>
      </c>
      <c r="W223" s="58">
        <f t="shared" si="102"/>
        <v>0</v>
      </c>
      <c r="X223" s="58">
        <f t="shared" si="103"/>
        <v>0</v>
      </c>
      <c r="Y223" s="58">
        <f>SUMIF('JUNE (물량흐름)'!$C$13:$C$488,'In-out-bal products (155)(완성제품)'!B223,'JUNE (물량흐름)'!$X$13:$X$488)</f>
        <v>0</v>
      </c>
      <c r="Z223" s="58">
        <f t="shared" si="104"/>
        <v>0</v>
      </c>
      <c r="AA223" s="58">
        <f t="shared" si="105"/>
        <v>0</v>
      </c>
      <c r="AB223" s="58"/>
      <c r="AC223" s="58"/>
      <c r="AD223" s="61"/>
      <c r="AE223" s="58">
        <f t="shared" si="106"/>
        <v>0</v>
      </c>
      <c r="AF223" s="58">
        <f t="shared" si="107"/>
        <v>0</v>
      </c>
      <c r="AG223" s="61">
        <f t="shared" si="108"/>
        <v>0</v>
      </c>
      <c r="AH223" s="58">
        <v>0</v>
      </c>
      <c r="AI223" s="58">
        <v>0</v>
      </c>
      <c r="AJ223" s="61">
        <v>0</v>
      </c>
      <c r="AK223" s="58"/>
      <c r="AL223" s="58"/>
      <c r="AM223" s="61"/>
      <c r="AN223" s="61">
        <f t="shared" si="109"/>
        <v>0</v>
      </c>
      <c r="AO223" s="58">
        <f t="shared" si="110"/>
        <v>0</v>
      </c>
      <c r="AP223" s="61">
        <f t="shared" si="111"/>
        <v>0</v>
      </c>
      <c r="AQ223" s="58">
        <f t="shared" si="112"/>
        <v>0</v>
      </c>
      <c r="AR223" s="58">
        <f t="shared" si="113"/>
        <v>0</v>
      </c>
      <c r="AS223" s="58">
        <f t="shared" si="114"/>
        <v>0</v>
      </c>
      <c r="AT223" s="58">
        <f>ROUND(SUMIF('JUNE (물량흐름)'!$C$13:$C$502,'In-out-bal products (155)(완성제품)'!B223,'JUNE (물량흐름)'!$AB$13:$AB$502),0)</f>
        <v>0</v>
      </c>
      <c r="AU223" s="58">
        <f t="shared" si="115"/>
        <v>0</v>
      </c>
      <c r="AV223" s="58">
        <f>ROUND(SUMIF('JUNE (물량흐름)'!$C$13:$C$502,'In-out-bal products (155)(완성제품)'!B223,'JUNE (물량흐름)'!$AC$13:$AC$502),0)</f>
        <v>0</v>
      </c>
      <c r="AW223" s="58">
        <f t="shared" si="116"/>
        <v>0</v>
      </c>
      <c r="AX223" s="376">
        <f t="shared" si="117"/>
        <v>0</v>
      </c>
      <c r="AY223" s="377">
        <f t="shared" si="118"/>
        <v>0</v>
      </c>
      <c r="AZ223" s="377">
        <f t="shared" si="119"/>
        <v>0</v>
      </c>
      <c r="BA223" s="377">
        <f t="shared" si="120"/>
        <v>0</v>
      </c>
      <c r="BB223" s="377"/>
      <c r="BC223" s="377">
        <f t="shared" si="121"/>
        <v>0</v>
      </c>
      <c r="BD223" s="377">
        <f t="shared" si="122"/>
        <v>0</v>
      </c>
      <c r="BE223" s="377"/>
      <c r="BF223" s="377">
        <f t="shared" si="123"/>
        <v>0</v>
      </c>
      <c r="BG223" s="433">
        <f t="shared" si="124"/>
        <v>0</v>
      </c>
      <c r="BH223" s="434">
        <f t="shared" si="125"/>
        <v>0</v>
      </c>
    </row>
    <row r="224" spans="1:60" s="378" customFormat="1">
      <c r="A224" s="167">
        <v>214</v>
      </c>
      <c r="B224" s="253">
        <f>VLOOKUP(A224,'JUNE (물량흐름)'!$A$13:$C$493,3,0)</f>
        <v>100015352</v>
      </c>
      <c r="C224" s="57" t="str">
        <f>VLOOKUP(A224,'JUNE (물량흐름)'!$A$13:$C$493,2,0)</f>
        <v>ALFANI</v>
      </c>
      <c r="D224" s="58">
        <f>IFERROR(VLOOKUP(B224,O.B.JUNE!$V$7:$Y$448,2,0),0)</f>
        <v>0</v>
      </c>
      <c r="E224" s="58">
        <f>IFERROR(VLOOKUP(B224,O.B.JUNE!$V$7:$X$448,3,0),0)</f>
        <v>0</v>
      </c>
      <c r="F224" s="58">
        <f>IFERROR(VLOOKUP(B224,O.B.JUNE!$V$7:$Y$448,4,0),0)</f>
        <v>0</v>
      </c>
      <c r="G224" s="58">
        <f>SUMIF('JUNE (물량흐름)'!$C$13:$C$493,'In-out-bal products (155)(완성제품)'!B224,'JUNE (물량흐름)'!$V$13:$V$493)</f>
        <v>0</v>
      </c>
      <c r="H224" s="58">
        <f>SUMIF('JUNE (물량흐름)'!$C$13:$C$493,'In-out-bal products (155)(완성제품)'!B224,'JUNE (물량흐름)'!$T$13:$T$493)-SUMIF('JUNE (물량흐름)'!$C$13:$C$493,'In-out-bal products (155)(완성제품)'!B224,'JUNE (물량흐름)'!$Y$13:$Y$493)+SUMIF('JUNE (물량흐름)'!$C$13:$C$493,'In-out-bal products (155)(완성제품)'!B224,'JUNE (물량흐름)'!$U$13:$U$493)</f>
        <v>0</v>
      </c>
      <c r="I224" s="58">
        <f t="shared" si="96"/>
        <v>0</v>
      </c>
      <c r="J224" s="58">
        <f>SUMIF('Direct labour(직접노무비)'!$C$12:$C$503,'In-out-bal products (155)(완성제품)'!B224,'Direct labour(직접노무비)'!$Q$12:$Q$503)</f>
        <v>0</v>
      </c>
      <c r="K224" s="59">
        <f>SUMIF('Overhead exp(제조경비)'!$C$12:$C$503,'In-out-bal products (155)(완성제품)'!B224,'Overhead exp(제조경비)'!$Q$12:$Q$503)</f>
        <v>0</v>
      </c>
      <c r="L224" s="58">
        <f t="shared" si="97"/>
        <v>0</v>
      </c>
      <c r="M224" s="58">
        <f>SUMIF('JUNE (물량흐름)'!$C$13:$C$488,'In-out-bal products (155)(완성제품)'!B224,'JUNE (물량흐름)'!$Y$13:$Y$488)</f>
        <v>0</v>
      </c>
      <c r="N224" s="58">
        <f t="shared" si="98"/>
        <v>0</v>
      </c>
      <c r="O224" s="58">
        <f>SUMIF('Direct labour(직접노무비)'!$C$12:$C$503,'In-out-bal products (155)(완성제품)'!B224,'Direct labour(직접노무비)'!$U$12:$U$503)+SUMIF('Overhead exp(제조경비)'!$C$12:$C$503,'In-out-bal products (155)(완성제품)'!B224,'Overhead exp(제조경비)'!$U$12:$U$503)</f>
        <v>0</v>
      </c>
      <c r="P224" s="60">
        <f t="shared" si="99"/>
        <v>0</v>
      </c>
      <c r="Q224" s="60">
        <f t="shared" si="100"/>
        <v>0</v>
      </c>
      <c r="R224" s="60">
        <f t="shared" si="101"/>
        <v>0</v>
      </c>
      <c r="S224" s="58">
        <v>0</v>
      </c>
      <c r="T224" s="58">
        <v>0</v>
      </c>
      <c r="U224" s="58">
        <v>0</v>
      </c>
      <c r="V224" s="58">
        <f>SUMIF('JUNE (물량흐름)'!$C$13:$C$493,'In-out-bal products (155)(완성제품)'!B224,'JUNE (물량흐름)'!$W$13:$W$493)</f>
        <v>0</v>
      </c>
      <c r="W224" s="58">
        <f t="shared" si="102"/>
        <v>0</v>
      </c>
      <c r="X224" s="58">
        <f t="shared" si="103"/>
        <v>0</v>
      </c>
      <c r="Y224" s="58">
        <f>SUMIF('JUNE (물량흐름)'!$C$13:$C$488,'In-out-bal products (155)(완성제품)'!B224,'JUNE (물량흐름)'!$X$13:$X$488)</f>
        <v>0</v>
      </c>
      <c r="Z224" s="58">
        <f t="shared" si="104"/>
        <v>0</v>
      </c>
      <c r="AA224" s="58">
        <f t="shared" si="105"/>
        <v>0</v>
      </c>
      <c r="AB224" s="58"/>
      <c r="AC224" s="58"/>
      <c r="AD224" s="61"/>
      <c r="AE224" s="58">
        <f t="shared" si="106"/>
        <v>0</v>
      </c>
      <c r="AF224" s="58">
        <f t="shared" si="107"/>
        <v>0</v>
      </c>
      <c r="AG224" s="61">
        <f t="shared" si="108"/>
        <v>0</v>
      </c>
      <c r="AH224" s="58">
        <v>0</v>
      </c>
      <c r="AI224" s="58">
        <v>0</v>
      </c>
      <c r="AJ224" s="61">
        <v>0</v>
      </c>
      <c r="AK224" s="58"/>
      <c r="AL224" s="58"/>
      <c r="AM224" s="61"/>
      <c r="AN224" s="61">
        <f t="shared" si="109"/>
        <v>0</v>
      </c>
      <c r="AO224" s="58">
        <f t="shared" si="110"/>
        <v>0</v>
      </c>
      <c r="AP224" s="61">
        <f t="shared" si="111"/>
        <v>0</v>
      </c>
      <c r="AQ224" s="58">
        <f t="shared" si="112"/>
        <v>0</v>
      </c>
      <c r="AR224" s="58">
        <f t="shared" si="113"/>
        <v>0</v>
      </c>
      <c r="AS224" s="58">
        <f t="shared" si="114"/>
        <v>0</v>
      </c>
      <c r="AT224" s="58">
        <f>ROUND(SUMIF('JUNE (물량흐름)'!$C$13:$C$502,'In-out-bal products (155)(완성제품)'!B224,'JUNE (물량흐름)'!$AB$13:$AB$502),0)</f>
        <v>0</v>
      </c>
      <c r="AU224" s="58">
        <f t="shared" si="115"/>
        <v>0</v>
      </c>
      <c r="AV224" s="58">
        <f>ROUND(SUMIF('JUNE (물량흐름)'!$C$13:$C$502,'In-out-bal products (155)(완성제품)'!B224,'JUNE (물량흐름)'!$AC$13:$AC$502),0)</f>
        <v>0</v>
      </c>
      <c r="AW224" s="58">
        <f t="shared" si="116"/>
        <v>0</v>
      </c>
      <c r="AX224" s="376">
        <f t="shared" si="117"/>
        <v>0</v>
      </c>
      <c r="AY224" s="377">
        <f t="shared" si="118"/>
        <v>0</v>
      </c>
      <c r="AZ224" s="377">
        <f t="shared" si="119"/>
        <v>0</v>
      </c>
      <c r="BA224" s="377">
        <f t="shared" si="120"/>
        <v>0</v>
      </c>
      <c r="BB224" s="377"/>
      <c r="BC224" s="377">
        <f t="shared" si="121"/>
        <v>0</v>
      </c>
      <c r="BD224" s="377">
        <f t="shared" si="122"/>
        <v>0</v>
      </c>
      <c r="BE224" s="377"/>
      <c r="BF224" s="377">
        <f t="shared" si="123"/>
        <v>0</v>
      </c>
      <c r="BG224" s="433">
        <f t="shared" si="124"/>
        <v>0</v>
      </c>
      <c r="BH224" s="434">
        <f t="shared" si="125"/>
        <v>0</v>
      </c>
    </row>
    <row r="225" spans="1:60" s="378" customFormat="1">
      <c r="A225" s="167">
        <v>215</v>
      </c>
      <c r="B225" s="253">
        <f>VLOOKUP(A225,'JUNE (물량흐름)'!$A$13:$C$493,3,0)</f>
        <v>100015355</v>
      </c>
      <c r="C225" s="57" t="str">
        <f>VLOOKUP(A225,'JUNE (물량흐름)'!$A$13:$C$493,2,0)</f>
        <v>ALFANI</v>
      </c>
      <c r="D225" s="58">
        <f>IFERROR(VLOOKUP(B225,O.B.JUNE!$V$7:$Y$448,2,0),0)</f>
        <v>0</v>
      </c>
      <c r="E225" s="58">
        <f>IFERROR(VLOOKUP(B225,O.B.JUNE!$V$7:$X$448,3,0),0)</f>
        <v>0</v>
      </c>
      <c r="F225" s="58">
        <f>IFERROR(VLOOKUP(B225,O.B.JUNE!$V$7:$Y$448,4,0),0)</f>
        <v>0</v>
      </c>
      <c r="G225" s="58">
        <f>SUMIF('JUNE (물량흐름)'!$C$13:$C$493,'In-out-bal products (155)(완성제품)'!B225,'JUNE (물량흐름)'!$V$13:$V$493)</f>
        <v>0</v>
      </c>
      <c r="H225" s="58">
        <f>SUMIF('JUNE (물량흐름)'!$C$13:$C$493,'In-out-bal products (155)(완성제품)'!B225,'JUNE (물량흐름)'!$T$13:$T$493)-SUMIF('JUNE (물량흐름)'!$C$13:$C$493,'In-out-bal products (155)(완성제품)'!B225,'JUNE (물량흐름)'!$Y$13:$Y$493)+SUMIF('JUNE (물량흐름)'!$C$13:$C$493,'In-out-bal products (155)(완성제품)'!B225,'JUNE (물량흐름)'!$U$13:$U$493)</f>
        <v>0</v>
      </c>
      <c r="I225" s="58">
        <f t="shared" si="96"/>
        <v>0</v>
      </c>
      <c r="J225" s="58">
        <f>SUMIF('Direct labour(직접노무비)'!$C$12:$C$503,'In-out-bal products (155)(완성제품)'!B225,'Direct labour(직접노무비)'!$Q$12:$Q$503)</f>
        <v>0</v>
      </c>
      <c r="K225" s="59">
        <f>SUMIF('Overhead exp(제조경비)'!$C$12:$C$503,'In-out-bal products (155)(완성제품)'!B225,'Overhead exp(제조경비)'!$Q$12:$Q$503)</f>
        <v>0</v>
      </c>
      <c r="L225" s="58">
        <f t="shared" si="97"/>
        <v>0</v>
      </c>
      <c r="M225" s="58">
        <f>SUMIF('JUNE (물량흐름)'!$C$13:$C$488,'In-out-bal products (155)(완성제품)'!B225,'JUNE (물량흐름)'!$Y$13:$Y$488)</f>
        <v>0</v>
      </c>
      <c r="N225" s="58">
        <f t="shared" si="98"/>
        <v>0</v>
      </c>
      <c r="O225" s="58">
        <f>SUMIF('Direct labour(직접노무비)'!$C$12:$C$503,'In-out-bal products (155)(완성제품)'!B225,'Direct labour(직접노무비)'!$U$12:$U$503)+SUMIF('Overhead exp(제조경비)'!$C$12:$C$503,'In-out-bal products (155)(완성제품)'!B225,'Overhead exp(제조경비)'!$U$12:$U$503)</f>
        <v>0</v>
      </c>
      <c r="P225" s="60">
        <f t="shared" si="99"/>
        <v>0</v>
      </c>
      <c r="Q225" s="60">
        <f t="shared" si="100"/>
        <v>0</v>
      </c>
      <c r="R225" s="60">
        <f t="shared" si="101"/>
        <v>0</v>
      </c>
      <c r="S225" s="58">
        <v>0</v>
      </c>
      <c r="T225" s="58">
        <v>0</v>
      </c>
      <c r="U225" s="58">
        <v>0</v>
      </c>
      <c r="V225" s="58">
        <f>SUMIF('JUNE (물량흐름)'!$C$13:$C$493,'In-out-bal products (155)(완성제품)'!B225,'JUNE (물량흐름)'!$W$13:$W$493)</f>
        <v>0</v>
      </c>
      <c r="W225" s="58">
        <f t="shared" si="102"/>
        <v>0</v>
      </c>
      <c r="X225" s="58">
        <f t="shared" si="103"/>
        <v>0</v>
      </c>
      <c r="Y225" s="58">
        <f>SUMIF('JUNE (물량흐름)'!$C$13:$C$488,'In-out-bal products (155)(완성제품)'!B225,'JUNE (물량흐름)'!$X$13:$X$488)</f>
        <v>0</v>
      </c>
      <c r="Z225" s="58">
        <f t="shared" si="104"/>
        <v>0</v>
      </c>
      <c r="AA225" s="58">
        <f t="shared" si="105"/>
        <v>0</v>
      </c>
      <c r="AB225" s="58"/>
      <c r="AC225" s="58"/>
      <c r="AD225" s="61"/>
      <c r="AE225" s="58">
        <f t="shared" si="106"/>
        <v>0</v>
      </c>
      <c r="AF225" s="58">
        <f t="shared" si="107"/>
        <v>0</v>
      </c>
      <c r="AG225" s="61">
        <f t="shared" si="108"/>
        <v>0</v>
      </c>
      <c r="AH225" s="58">
        <v>0</v>
      </c>
      <c r="AI225" s="58">
        <v>0</v>
      </c>
      <c r="AJ225" s="61">
        <v>0</v>
      </c>
      <c r="AK225" s="58"/>
      <c r="AL225" s="58"/>
      <c r="AM225" s="61"/>
      <c r="AN225" s="61">
        <f t="shared" si="109"/>
        <v>0</v>
      </c>
      <c r="AO225" s="58">
        <f t="shared" si="110"/>
        <v>0</v>
      </c>
      <c r="AP225" s="61">
        <f t="shared" si="111"/>
        <v>0</v>
      </c>
      <c r="AQ225" s="58">
        <f t="shared" si="112"/>
        <v>0</v>
      </c>
      <c r="AR225" s="58">
        <f t="shared" si="113"/>
        <v>0</v>
      </c>
      <c r="AS225" s="58">
        <f t="shared" si="114"/>
        <v>0</v>
      </c>
      <c r="AT225" s="58">
        <f>ROUND(SUMIF('JUNE (물량흐름)'!$C$13:$C$502,'In-out-bal products (155)(완성제품)'!B225,'JUNE (물량흐름)'!$AB$13:$AB$502),0)</f>
        <v>0</v>
      </c>
      <c r="AU225" s="58">
        <f t="shared" si="115"/>
        <v>0</v>
      </c>
      <c r="AV225" s="58">
        <f>ROUND(SUMIF('JUNE (물량흐름)'!$C$13:$C$502,'In-out-bal products (155)(완성제품)'!B225,'JUNE (물량흐름)'!$AC$13:$AC$502),0)</f>
        <v>0</v>
      </c>
      <c r="AW225" s="58">
        <f t="shared" si="116"/>
        <v>0</v>
      </c>
      <c r="AX225" s="376">
        <f t="shared" si="117"/>
        <v>0</v>
      </c>
      <c r="AY225" s="377">
        <f t="shared" si="118"/>
        <v>0</v>
      </c>
      <c r="AZ225" s="377">
        <f t="shared" si="119"/>
        <v>0</v>
      </c>
      <c r="BA225" s="377">
        <f t="shared" si="120"/>
        <v>0</v>
      </c>
      <c r="BB225" s="377"/>
      <c r="BC225" s="377">
        <f t="shared" si="121"/>
        <v>0</v>
      </c>
      <c r="BD225" s="377">
        <f t="shared" si="122"/>
        <v>0</v>
      </c>
      <c r="BE225" s="377"/>
      <c r="BF225" s="377">
        <f t="shared" si="123"/>
        <v>0</v>
      </c>
      <c r="BG225" s="433">
        <f t="shared" si="124"/>
        <v>0</v>
      </c>
      <c r="BH225" s="434">
        <f t="shared" si="125"/>
        <v>0</v>
      </c>
    </row>
    <row r="226" spans="1:60" s="378" customFormat="1">
      <c r="A226" s="167">
        <v>216</v>
      </c>
      <c r="B226" s="253">
        <f>VLOOKUP(A226,'JUNE (물량흐름)'!$A$13:$C$493,3,0)</f>
        <v>100015669</v>
      </c>
      <c r="C226" s="57" t="str">
        <f>VLOOKUP(A226,'JUNE (물량흐름)'!$A$13:$C$493,2,0)</f>
        <v>ALFANI</v>
      </c>
      <c r="D226" s="58">
        <f>IFERROR(VLOOKUP(B226,O.B.JUNE!$V$7:$Y$448,2,0),0)</f>
        <v>0</v>
      </c>
      <c r="E226" s="58">
        <f>IFERROR(VLOOKUP(B226,O.B.JUNE!$V$7:$X$448,3,0),0)</f>
        <v>0</v>
      </c>
      <c r="F226" s="58">
        <f>IFERROR(VLOOKUP(B226,O.B.JUNE!$V$7:$Y$448,4,0),0)</f>
        <v>0</v>
      </c>
      <c r="G226" s="58">
        <f>SUMIF('JUNE (물량흐름)'!$C$13:$C$493,'In-out-bal products (155)(완성제품)'!B226,'JUNE (물량흐름)'!$V$13:$V$493)</f>
        <v>0</v>
      </c>
      <c r="H226" s="58">
        <f>SUMIF('JUNE (물량흐름)'!$C$13:$C$493,'In-out-bal products (155)(완성제품)'!B226,'JUNE (물량흐름)'!$T$13:$T$493)-SUMIF('JUNE (물량흐름)'!$C$13:$C$493,'In-out-bal products (155)(완성제품)'!B226,'JUNE (물량흐름)'!$Y$13:$Y$493)+SUMIF('JUNE (물량흐름)'!$C$13:$C$493,'In-out-bal products (155)(완성제품)'!B226,'JUNE (물량흐름)'!$U$13:$U$493)</f>
        <v>0</v>
      </c>
      <c r="I226" s="58">
        <f t="shared" si="96"/>
        <v>0</v>
      </c>
      <c r="J226" s="58">
        <f>SUMIF('Direct labour(직접노무비)'!$C$12:$C$503,'In-out-bal products (155)(완성제품)'!B226,'Direct labour(직접노무비)'!$Q$12:$Q$503)</f>
        <v>0</v>
      </c>
      <c r="K226" s="59">
        <f>SUMIF('Overhead exp(제조경비)'!$C$12:$C$503,'In-out-bal products (155)(완성제품)'!B226,'Overhead exp(제조경비)'!$Q$12:$Q$503)</f>
        <v>0</v>
      </c>
      <c r="L226" s="58">
        <f t="shared" si="97"/>
        <v>0</v>
      </c>
      <c r="M226" s="58">
        <f>SUMIF('JUNE (물량흐름)'!$C$13:$C$488,'In-out-bal products (155)(완성제품)'!B226,'JUNE (물량흐름)'!$Y$13:$Y$488)</f>
        <v>0</v>
      </c>
      <c r="N226" s="58">
        <f t="shared" si="98"/>
        <v>0</v>
      </c>
      <c r="O226" s="58">
        <f>SUMIF('Direct labour(직접노무비)'!$C$12:$C$503,'In-out-bal products (155)(완성제품)'!B226,'Direct labour(직접노무비)'!$U$12:$U$503)+SUMIF('Overhead exp(제조경비)'!$C$12:$C$503,'In-out-bal products (155)(완성제품)'!B226,'Overhead exp(제조경비)'!$U$12:$U$503)</f>
        <v>0</v>
      </c>
      <c r="P226" s="60">
        <f t="shared" si="99"/>
        <v>0</v>
      </c>
      <c r="Q226" s="60">
        <f t="shared" si="100"/>
        <v>0</v>
      </c>
      <c r="R226" s="60">
        <f t="shared" si="101"/>
        <v>0</v>
      </c>
      <c r="S226" s="58">
        <v>0</v>
      </c>
      <c r="T226" s="58">
        <v>0</v>
      </c>
      <c r="U226" s="58">
        <v>0</v>
      </c>
      <c r="V226" s="58">
        <f>SUMIF('JUNE (물량흐름)'!$C$13:$C$493,'In-out-bal products (155)(완성제품)'!B226,'JUNE (물량흐름)'!$W$13:$W$493)</f>
        <v>0</v>
      </c>
      <c r="W226" s="58">
        <f t="shared" si="102"/>
        <v>0</v>
      </c>
      <c r="X226" s="58">
        <f t="shared" si="103"/>
        <v>0</v>
      </c>
      <c r="Y226" s="58">
        <f>SUMIF('JUNE (물량흐름)'!$C$13:$C$488,'In-out-bal products (155)(완성제품)'!B226,'JUNE (물량흐름)'!$X$13:$X$488)</f>
        <v>0</v>
      </c>
      <c r="Z226" s="58">
        <f t="shared" si="104"/>
        <v>0</v>
      </c>
      <c r="AA226" s="58">
        <f t="shared" si="105"/>
        <v>0</v>
      </c>
      <c r="AB226" s="58"/>
      <c r="AC226" s="58"/>
      <c r="AD226" s="61"/>
      <c r="AE226" s="58">
        <f t="shared" si="106"/>
        <v>0</v>
      </c>
      <c r="AF226" s="58">
        <f t="shared" si="107"/>
        <v>0</v>
      </c>
      <c r="AG226" s="61">
        <f t="shared" si="108"/>
        <v>0</v>
      </c>
      <c r="AH226" s="58">
        <v>0</v>
      </c>
      <c r="AI226" s="58">
        <v>0</v>
      </c>
      <c r="AJ226" s="61">
        <v>0</v>
      </c>
      <c r="AK226" s="58"/>
      <c r="AL226" s="58"/>
      <c r="AM226" s="61"/>
      <c r="AN226" s="61">
        <f t="shared" si="109"/>
        <v>0</v>
      </c>
      <c r="AO226" s="58">
        <f t="shared" si="110"/>
        <v>0</v>
      </c>
      <c r="AP226" s="61">
        <f t="shared" si="111"/>
        <v>0</v>
      </c>
      <c r="AQ226" s="58">
        <f t="shared" si="112"/>
        <v>0</v>
      </c>
      <c r="AR226" s="58">
        <f t="shared" si="113"/>
        <v>0</v>
      </c>
      <c r="AS226" s="58">
        <f t="shared" si="114"/>
        <v>0</v>
      </c>
      <c r="AT226" s="58">
        <f>ROUND(SUMIF('JUNE (물량흐름)'!$C$13:$C$502,'In-out-bal products (155)(완성제품)'!B226,'JUNE (물량흐름)'!$AB$13:$AB$502),0)</f>
        <v>0</v>
      </c>
      <c r="AU226" s="58">
        <f t="shared" si="115"/>
        <v>0</v>
      </c>
      <c r="AV226" s="58">
        <f>ROUND(SUMIF('JUNE (물량흐름)'!$C$13:$C$502,'In-out-bal products (155)(완성제품)'!B226,'JUNE (물량흐름)'!$AC$13:$AC$502),0)</f>
        <v>0</v>
      </c>
      <c r="AW226" s="58">
        <f t="shared" si="116"/>
        <v>0</v>
      </c>
      <c r="AX226" s="376">
        <f t="shared" si="117"/>
        <v>0</v>
      </c>
      <c r="AY226" s="377">
        <f t="shared" si="118"/>
        <v>0</v>
      </c>
      <c r="AZ226" s="377">
        <f t="shared" si="119"/>
        <v>0</v>
      </c>
      <c r="BA226" s="377">
        <f t="shared" si="120"/>
        <v>0</v>
      </c>
      <c r="BB226" s="377"/>
      <c r="BC226" s="377">
        <f t="shared" si="121"/>
        <v>0</v>
      </c>
      <c r="BD226" s="377">
        <f t="shared" si="122"/>
        <v>0</v>
      </c>
      <c r="BE226" s="377"/>
      <c r="BF226" s="377">
        <f t="shared" si="123"/>
        <v>0</v>
      </c>
      <c r="BG226" s="433">
        <f t="shared" si="124"/>
        <v>0</v>
      </c>
      <c r="BH226" s="434">
        <f t="shared" si="125"/>
        <v>0</v>
      </c>
    </row>
    <row r="227" spans="1:60" s="378" customFormat="1">
      <c r="A227" s="167">
        <v>217</v>
      </c>
      <c r="B227" s="253">
        <f>VLOOKUP(A227,'JUNE (물량흐름)'!$A$13:$C$493,3,0)</f>
        <v>100018310</v>
      </c>
      <c r="C227" s="57" t="str">
        <f>VLOOKUP(A227,'JUNE (물량흐름)'!$A$13:$C$493,2,0)</f>
        <v>ALFANI</v>
      </c>
      <c r="D227" s="58">
        <f>IFERROR(VLOOKUP(B227,O.B.JUNE!$V$7:$Y$448,2,0),0)</f>
        <v>0</v>
      </c>
      <c r="E227" s="58">
        <f>IFERROR(VLOOKUP(B227,O.B.JUNE!$V$7:$X$448,3,0),0)</f>
        <v>0</v>
      </c>
      <c r="F227" s="58">
        <f>IFERROR(VLOOKUP(B227,O.B.JUNE!$V$7:$Y$448,4,0),0)</f>
        <v>0</v>
      </c>
      <c r="G227" s="58">
        <f>SUMIF('JUNE (물량흐름)'!$C$13:$C$493,'In-out-bal products (155)(완성제품)'!B227,'JUNE (물량흐름)'!$V$13:$V$493)</f>
        <v>0</v>
      </c>
      <c r="H227" s="58">
        <f>SUMIF('JUNE (물량흐름)'!$C$13:$C$493,'In-out-bal products (155)(완성제품)'!B227,'JUNE (물량흐름)'!$T$13:$T$493)-SUMIF('JUNE (물량흐름)'!$C$13:$C$493,'In-out-bal products (155)(완성제품)'!B227,'JUNE (물량흐름)'!$Y$13:$Y$493)+SUMIF('JUNE (물량흐름)'!$C$13:$C$493,'In-out-bal products (155)(완성제품)'!B227,'JUNE (물량흐름)'!$U$13:$U$493)</f>
        <v>0</v>
      </c>
      <c r="I227" s="58">
        <f t="shared" si="96"/>
        <v>0</v>
      </c>
      <c r="J227" s="58">
        <f>SUMIF('Direct labour(직접노무비)'!$C$12:$C$503,'In-out-bal products (155)(완성제품)'!B227,'Direct labour(직접노무비)'!$Q$12:$Q$503)</f>
        <v>0</v>
      </c>
      <c r="K227" s="59">
        <f>SUMIF('Overhead exp(제조경비)'!$C$12:$C$503,'In-out-bal products (155)(완성제품)'!B227,'Overhead exp(제조경비)'!$Q$12:$Q$503)</f>
        <v>0</v>
      </c>
      <c r="L227" s="58">
        <f t="shared" si="97"/>
        <v>0</v>
      </c>
      <c r="M227" s="58">
        <f>SUMIF('JUNE (물량흐름)'!$C$13:$C$488,'In-out-bal products (155)(완성제품)'!B227,'JUNE (물량흐름)'!$Y$13:$Y$488)</f>
        <v>0</v>
      </c>
      <c r="N227" s="58">
        <f t="shared" si="98"/>
        <v>0</v>
      </c>
      <c r="O227" s="58">
        <f>SUMIF('Direct labour(직접노무비)'!$C$12:$C$503,'In-out-bal products (155)(완성제품)'!B227,'Direct labour(직접노무비)'!$U$12:$U$503)+SUMIF('Overhead exp(제조경비)'!$C$12:$C$503,'In-out-bal products (155)(완성제품)'!B227,'Overhead exp(제조경비)'!$U$12:$U$503)</f>
        <v>0</v>
      </c>
      <c r="P227" s="60">
        <f t="shared" si="99"/>
        <v>0</v>
      </c>
      <c r="Q227" s="60">
        <f t="shared" si="100"/>
        <v>0</v>
      </c>
      <c r="R227" s="60">
        <f t="shared" si="101"/>
        <v>0</v>
      </c>
      <c r="S227" s="58">
        <v>0</v>
      </c>
      <c r="T227" s="58">
        <v>0</v>
      </c>
      <c r="U227" s="58">
        <v>0</v>
      </c>
      <c r="V227" s="58">
        <f>SUMIF('JUNE (물량흐름)'!$C$13:$C$493,'In-out-bal products (155)(완성제품)'!B227,'JUNE (물량흐름)'!$W$13:$W$493)</f>
        <v>0</v>
      </c>
      <c r="W227" s="58">
        <f t="shared" si="102"/>
        <v>0</v>
      </c>
      <c r="X227" s="58">
        <f t="shared" si="103"/>
        <v>0</v>
      </c>
      <c r="Y227" s="58">
        <f>SUMIF('JUNE (물량흐름)'!$C$13:$C$488,'In-out-bal products (155)(완성제품)'!B227,'JUNE (물량흐름)'!$X$13:$X$488)</f>
        <v>0</v>
      </c>
      <c r="Z227" s="58">
        <f t="shared" si="104"/>
        <v>0</v>
      </c>
      <c r="AA227" s="58">
        <f t="shared" si="105"/>
        <v>0</v>
      </c>
      <c r="AB227" s="58"/>
      <c r="AC227" s="58"/>
      <c r="AD227" s="61"/>
      <c r="AE227" s="58">
        <f t="shared" si="106"/>
        <v>0</v>
      </c>
      <c r="AF227" s="58">
        <f t="shared" si="107"/>
        <v>0</v>
      </c>
      <c r="AG227" s="61">
        <f t="shared" si="108"/>
        <v>0</v>
      </c>
      <c r="AH227" s="58">
        <v>0</v>
      </c>
      <c r="AI227" s="58">
        <v>0</v>
      </c>
      <c r="AJ227" s="61">
        <v>0</v>
      </c>
      <c r="AK227" s="58"/>
      <c r="AL227" s="58"/>
      <c r="AM227" s="61"/>
      <c r="AN227" s="61">
        <f t="shared" si="109"/>
        <v>0</v>
      </c>
      <c r="AO227" s="58">
        <f t="shared" si="110"/>
        <v>0</v>
      </c>
      <c r="AP227" s="61">
        <f t="shared" si="111"/>
        <v>0</v>
      </c>
      <c r="AQ227" s="58">
        <f t="shared" si="112"/>
        <v>0</v>
      </c>
      <c r="AR227" s="58">
        <f t="shared" si="113"/>
        <v>0</v>
      </c>
      <c r="AS227" s="58">
        <f t="shared" si="114"/>
        <v>0</v>
      </c>
      <c r="AT227" s="58">
        <f>ROUND(SUMIF('JUNE (물량흐름)'!$C$13:$C$502,'In-out-bal products (155)(완성제품)'!B227,'JUNE (물량흐름)'!$AB$13:$AB$502),0)</f>
        <v>0</v>
      </c>
      <c r="AU227" s="58">
        <f t="shared" si="115"/>
        <v>0</v>
      </c>
      <c r="AV227" s="58">
        <f>ROUND(SUMIF('JUNE (물량흐름)'!$C$13:$C$502,'In-out-bal products (155)(완성제품)'!B227,'JUNE (물량흐름)'!$AC$13:$AC$502),0)</f>
        <v>0</v>
      </c>
      <c r="AW227" s="58">
        <f t="shared" si="116"/>
        <v>0</v>
      </c>
      <c r="AX227" s="376">
        <f t="shared" si="117"/>
        <v>0</v>
      </c>
      <c r="AY227" s="377">
        <f t="shared" si="118"/>
        <v>0</v>
      </c>
      <c r="AZ227" s="377">
        <f t="shared" si="119"/>
        <v>0</v>
      </c>
      <c r="BA227" s="377">
        <f t="shared" si="120"/>
        <v>0</v>
      </c>
      <c r="BB227" s="377"/>
      <c r="BC227" s="377">
        <f t="shared" si="121"/>
        <v>0</v>
      </c>
      <c r="BD227" s="377">
        <f t="shared" si="122"/>
        <v>0</v>
      </c>
      <c r="BE227" s="377"/>
      <c r="BF227" s="377">
        <f t="shared" si="123"/>
        <v>0</v>
      </c>
      <c r="BG227" s="433">
        <f t="shared" si="124"/>
        <v>0</v>
      </c>
      <c r="BH227" s="434">
        <f t="shared" si="125"/>
        <v>0</v>
      </c>
    </row>
    <row r="228" spans="1:60" s="378" customFormat="1">
      <c r="A228" s="167">
        <v>218</v>
      </c>
      <c r="B228" s="253">
        <f>VLOOKUP(A228,'JUNE (물량흐름)'!$A$13:$C$493,3,0)</f>
        <v>100021064</v>
      </c>
      <c r="C228" s="57" t="str">
        <f>VLOOKUP(A228,'JUNE (물량흐름)'!$A$13:$C$493,2,0)</f>
        <v>ALFANI</v>
      </c>
      <c r="D228" s="58">
        <f>IFERROR(VLOOKUP(B228,O.B.JUNE!$V$7:$Y$448,2,0),0)</f>
        <v>0</v>
      </c>
      <c r="E228" s="58">
        <f>IFERROR(VLOOKUP(B228,O.B.JUNE!$V$7:$X$448,3,0),0)</f>
        <v>0</v>
      </c>
      <c r="F228" s="58">
        <f>IFERROR(VLOOKUP(B228,O.B.JUNE!$V$7:$Y$448,4,0),0)</f>
        <v>0</v>
      </c>
      <c r="G228" s="58">
        <f>SUMIF('JUNE (물량흐름)'!$C$13:$C$493,'In-out-bal products (155)(완성제품)'!B228,'JUNE (물량흐름)'!$V$13:$V$493)</f>
        <v>0</v>
      </c>
      <c r="H228" s="58">
        <f>SUMIF('JUNE (물량흐름)'!$C$13:$C$493,'In-out-bal products (155)(완성제품)'!B228,'JUNE (물량흐름)'!$T$13:$T$493)-SUMIF('JUNE (물량흐름)'!$C$13:$C$493,'In-out-bal products (155)(완성제품)'!B228,'JUNE (물량흐름)'!$Y$13:$Y$493)+SUMIF('JUNE (물량흐름)'!$C$13:$C$493,'In-out-bal products (155)(완성제품)'!B228,'JUNE (물량흐름)'!$U$13:$U$493)</f>
        <v>0</v>
      </c>
      <c r="I228" s="58">
        <f t="shared" si="96"/>
        <v>0</v>
      </c>
      <c r="J228" s="58">
        <f>SUMIF('Direct labour(직접노무비)'!$C$12:$C$503,'In-out-bal products (155)(완성제품)'!B228,'Direct labour(직접노무비)'!$Q$12:$Q$503)</f>
        <v>0</v>
      </c>
      <c r="K228" s="59">
        <f>SUMIF('Overhead exp(제조경비)'!$C$12:$C$503,'In-out-bal products (155)(완성제품)'!B228,'Overhead exp(제조경비)'!$Q$12:$Q$503)</f>
        <v>0</v>
      </c>
      <c r="L228" s="58">
        <f t="shared" si="97"/>
        <v>0</v>
      </c>
      <c r="M228" s="58">
        <f>SUMIF('JUNE (물량흐름)'!$C$13:$C$488,'In-out-bal products (155)(완성제품)'!B228,'JUNE (물량흐름)'!$Y$13:$Y$488)</f>
        <v>0</v>
      </c>
      <c r="N228" s="58">
        <f t="shared" si="98"/>
        <v>0</v>
      </c>
      <c r="O228" s="58">
        <f>SUMIF('Direct labour(직접노무비)'!$C$12:$C$503,'In-out-bal products (155)(완성제품)'!B228,'Direct labour(직접노무비)'!$U$12:$U$503)+SUMIF('Overhead exp(제조경비)'!$C$12:$C$503,'In-out-bal products (155)(완성제품)'!B228,'Overhead exp(제조경비)'!$U$12:$U$503)</f>
        <v>0</v>
      </c>
      <c r="P228" s="60">
        <f t="shared" si="99"/>
        <v>0</v>
      </c>
      <c r="Q228" s="60">
        <f t="shared" si="100"/>
        <v>0</v>
      </c>
      <c r="R228" s="60">
        <f t="shared" si="101"/>
        <v>0</v>
      </c>
      <c r="S228" s="58">
        <v>0</v>
      </c>
      <c r="T228" s="58">
        <v>0</v>
      </c>
      <c r="U228" s="58">
        <v>0</v>
      </c>
      <c r="V228" s="58">
        <f>SUMIF('JUNE (물량흐름)'!$C$13:$C$493,'In-out-bal products (155)(완성제품)'!B228,'JUNE (물량흐름)'!$W$13:$W$493)</f>
        <v>0</v>
      </c>
      <c r="W228" s="58">
        <f t="shared" si="102"/>
        <v>0</v>
      </c>
      <c r="X228" s="58">
        <f t="shared" si="103"/>
        <v>0</v>
      </c>
      <c r="Y228" s="58">
        <f>SUMIF('JUNE (물량흐름)'!$C$13:$C$488,'In-out-bal products (155)(완성제품)'!B228,'JUNE (물량흐름)'!$X$13:$X$488)</f>
        <v>0</v>
      </c>
      <c r="Z228" s="58">
        <f t="shared" si="104"/>
        <v>0</v>
      </c>
      <c r="AA228" s="58">
        <f t="shared" si="105"/>
        <v>0</v>
      </c>
      <c r="AB228" s="58"/>
      <c r="AC228" s="58"/>
      <c r="AD228" s="61"/>
      <c r="AE228" s="58">
        <f t="shared" si="106"/>
        <v>0</v>
      </c>
      <c r="AF228" s="58">
        <f t="shared" si="107"/>
        <v>0</v>
      </c>
      <c r="AG228" s="61">
        <f t="shared" si="108"/>
        <v>0</v>
      </c>
      <c r="AH228" s="58">
        <v>0</v>
      </c>
      <c r="AI228" s="58">
        <v>0</v>
      </c>
      <c r="AJ228" s="61">
        <v>0</v>
      </c>
      <c r="AK228" s="58"/>
      <c r="AL228" s="58"/>
      <c r="AM228" s="61"/>
      <c r="AN228" s="61">
        <f t="shared" si="109"/>
        <v>0</v>
      </c>
      <c r="AO228" s="58">
        <f t="shared" si="110"/>
        <v>0</v>
      </c>
      <c r="AP228" s="61">
        <f t="shared" si="111"/>
        <v>0</v>
      </c>
      <c r="AQ228" s="58">
        <f t="shared" si="112"/>
        <v>0</v>
      </c>
      <c r="AR228" s="58">
        <f t="shared" si="113"/>
        <v>0</v>
      </c>
      <c r="AS228" s="58">
        <f t="shared" si="114"/>
        <v>0</v>
      </c>
      <c r="AT228" s="58">
        <f>ROUND(SUMIF('JUNE (물량흐름)'!$C$13:$C$502,'In-out-bal products (155)(완성제품)'!B228,'JUNE (물량흐름)'!$AB$13:$AB$502),0)</f>
        <v>0</v>
      </c>
      <c r="AU228" s="58">
        <f t="shared" si="115"/>
        <v>0</v>
      </c>
      <c r="AV228" s="58">
        <f>ROUND(SUMIF('JUNE (물량흐름)'!$C$13:$C$502,'In-out-bal products (155)(완성제품)'!B228,'JUNE (물량흐름)'!$AC$13:$AC$502),0)</f>
        <v>0</v>
      </c>
      <c r="AW228" s="58">
        <f t="shared" si="116"/>
        <v>0</v>
      </c>
      <c r="AX228" s="376">
        <f t="shared" si="117"/>
        <v>0</v>
      </c>
      <c r="AY228" s="377">
        <f t="shared" si="118"/>
        <v>0</v>
      </c>
      <c r="AZ228" s="377">
        <f t="shared" si="119"/>
        <v>0</v>
      </c>
      <c r="BA228" s="377">
        <f t="shared" si="120"/>
        <v>0</v>
      </c>
      <c r="BB228" s="377"/>
      <c r="BC228" s="377">
        <f t="shared" si="121"/>
        <v>0</v>
      </c>
      <c r="BD228" s="377">
        <f t="shared" si="122"/>
        <v>0</v>
      </c>
      <c r="BE228" s="377"/>
      <c r="BF228" s="377">
        <f t="shared" si="123"/>
        <v>0</v>
      </c>
      <c r="BG228" s="433">
        <f t="shared" si="124"/>
        <v>0</v>
      </c>
      <c r="BH228" s="434">
        <f t="shared" si="125"/>
        <v>0</v>
      </c>
    </row>
    <row r="229" spans="1:60" s="378" customFormat="1">
      <c r="A229" s="167">
        <v>219</v>
      </c>
      <c r="B229" s="253">
        <f>VLOOKUP(A229,'JUNE (물량흐름)'!$A$13:$C$493,3,0)</f>
        <v>73301</v>
      </c>
      <c r="C229" s="57" t="str">
        <f>VLOOKUP(A229,'JUNE (물량흐름)'!$A$13:$C$493,2,0)</f>
        <v>ALFANI</v>
      </c>
      <c r="D229" s="58">
        <f>IFERROR(VLOOKUP(B229,O.B.JUNE!$V$7:$Y$448,2,0),0)</f>
        <v>286</v>
      </c>
      <c r="E229" s="58">
        <f>IFERROR(VLOOKUP(B229,O.B.JUNE!$V$7:$X$448,3,0),0)</f>
        <v>44979.167832167834</v>
      </c>
      <c r="F229" s="58">
        <f>IFERROR(VLOOKUP(B229,O.B.JUNE!$V$7:$Y$448,4,0),0)</f>
        <v>12864042</v>
      </c>
      <c r="G229" s="58">
        <f>SUMIF('JUNE (물량흐름)'!$C$13:$C$493,'In-out-bal products (155)(완성제품)'!B229,'JUNE (물량흐름)'!$V$13:$V$493)</f>
        <v>0</v>
      </c>
      <c r="H229" s="58">
        <f>SUMIF('JUNE (물량흐름)'!$C$13:$C$493,'In-out-bal products (155)(완성제품)'!B229,'JUNE (물량흐름)'!$T$13:$T$493)-SUMIF('JUNE (물량흐름)'!$C$13:$C$493,'In-out-bal products (155)(완성제품)'!B229,'JUNE (물량흐름)'!$Y$13:$Y$493)+SUMIF('JUNE (물량흐름)'!$C$13:$C$493,'In-out-bal products (155)(완성제품)'!B229,'JUNE (물량흐름)'!$U$13:$U$493)</f>
        <v>3600</v>
      </c>
      <c r="I229" s="58">
        <f t="shared" si="96"/>
        <v>39523.40111111111</v>
      </c>
      <c r="J229" s="58">
        <f>SUMIF('Direct labour(직접노무비)'!$C$12:$C$503,'In-out-bal products (155)(완성제품)'!B229,'Direct labour(직접노무비)'!$Q$12:$Q$503)</f>
        <v>48448078</v>
      </c>
      <c r="K229" s="59">
        <f>SUMIF('Overhead exp(제조경비)'!$C$12:$C$503,'In-out-bal products (155)(완성제품)'!B229,'Overhead exp(제조경비)'!$Q$12:$Q$503)</f>
        <v>93836166</v>
      </c>
      <c r="L229" s="58">
        <f t="shared" si="97"/>
        <v>142284244</v>
      </c>
      <c r="M229" s="58">
        <f>SUMIF('JUNE (물량흐름)'!$C$13:$C$488,'In-out-bal products (155)(완성제품)'!B229,'JUNE (물량흐름)'!$Y$13:$Y$488)</f>
        <v>0</v>
      </c>
      <c r="N229" s="58">
        <f t="shared" si="98"/>
        <v>0</v>
      </c>
      <c r="O229" s="58">
        <f>SUMIF('Direct labour(직접노무비)'!$C$12:$C$503,'In-out-bal products (155)(완성제품)'!B229,'Direct labour(직접노무비)'!$U$12:$U$503)+SUMIF('Overhead exp(제조경비)'!$C$12:$C$503,'In-out-bal products (155)(완성제품)'!B229,'Overhead exp(제조경비)'!$U$12:$U$503)</f>
        <v>0</v>
      </c>
      <c r="P229" s="60">
        <f t="shared" si="99"/>
        <v>3600</v>
      </c>
      <c r="Q229" s="60">
        <f t="shared" si="100"/>
        <v>39523.40111111111</v>
      </c>
      <c r="R229" s="60">
        <f t="shared" si="101"/>
        <v>142284244</v>
      </c>
      <c r="S229" s="58">
        <v>0</v>
      </c>
      <c r="T229" s="58">
        <v>0</v>
      </c>
      <c r="U229" s="58">
        <v>0</v>
      </c>
      <c r="V229" s="58">
        <f>SUMIF('JUNE (물량흐름)'!$C$13:$C$493,'In-out-bal products (155)(완성제품)'!B229,'JUNE (물량흐름)'!$W$13:$W$493)</f>
        <v>3600</v>
      </c>
      <c r="W229" s="58">
        <f t="shared" si="102"/>
        <v>39924.931944444441</v>
      </c>
      <c r="X229" s="58">
        <f t="shared" si="103"/>
        <v>143729755</v>
      </c>
      <c r="Y229" s="58">
        <f>SUMIF('JUNE (물량흐름)'!$C$13:$C$488,'In-out-bal products (155)(완성제품)'!B229,'JUNE (물량흐름)'!$X$13:$X$488)</f>
        <v>0</v>
      </c>
      <c r="Z229" s="58">
        <f t="shared" si="104"/>
        <v>0</v>
      </c>
      <c r="AA229" s="58">
        <f t="shared" si="105"/>
        <v>0</v>
      </c>
      <c r="AB229" s="58"/>
      <c r="AC229" s="58"/>
      <c r="AD229" s="61"/>
      <c r="AE229" s="58">
        <f t="shared" si="106"/>
        <v>0</v>
      </c>
      <c r="AF229" s="58">
        <f t="shared" si="107"/>
        <v>0</v>
      </c>
      <c r="AG229" s="61">
        <f t="shared" si="108"/>
        <v>0</v>
      </c>
      <c r="AH229" s="58">
        <v>0</v>
      </c>
      <c r="AI229" s="58">
        <v>0</v>
      </c>
      <c r="AJ229" s="61">
        <v>0</v>
      </c>
      <c r="AK229" s="58"/>
      <c r="AL229" s="58"/>
      <c r="AM229" s="61"/>
      <c r="AN229" s="61">
        <f t="shared" si="109"/>
        <v>3600</v>
      </c>
      <c r="AO229" s="58">
        <f t="shared" si="110"/>
        <v>39924.931944444441</v>
      </c>
      <c r="AP229" s="61">
        <f t="shared" si="111"/>
        <v>143729755</v>
      </c>
      <c r="AQ229" s="58">
        <f t="shared" si="112"/>
        <v>286</v>
      </c>
      <c r="AR229" s="58">
        <f t="shared" si="113"/>
        <v>39924.933566433567</v>
      </c>
      <c r="AS229" s="58">
        <f t="shared" si="114"/>
        <v>11418531</v>
      </c>
      <c r="AT229" s="58">
        <f>ROUND(SUMIF('JUNE (물량흐름)'!$C$13:$C$502,'In-out-bal products (155)(완성제품)'!B229,'JUNE (물량흐름)'!$AB$13:$AB$502),0)</f>
        <v>0</v>
      </c>
      <c r="AU229" s="58">
        <f t="shared" si="115"/>
        <v>0</v>
      </c>
      <c r="AV229" s="58">
        <f>ROUND(SUMIF('JUNE (물량흐름)'!$C$13:$C$502,'In-out-bal products (155)(완성제품)'!B229,'JUNE (물량흐름)'!$AC$13:$AC$502),0)</f>
        <v>286</v>
      </c>
      <c r="AW229" s="58">
        <f t="shared" si="116"/>
        <v>11418531</v>
      </c>
      <c r="AX229" s="376">
        <f t="shared" si="117"/>
        <v>0</v>
      </c>
      <c r="AY229" s="377">
        <f t="shared" si="118"/>
        <v>0</v>
      </c>
      <c r="AZ229" s="377">
        <f t="shared" si="119"/>
        <v>0</v>
      </c>
      <c r="BA229" s="377">
        <f t="shared" si="120"/>
        <v>0</v>
      </c>
      <c r="BB229" s="377"/>
      <c r="BC229" s="377">
        <f t="shared" si="121"/>
        <v>0</v>
      </c>
      <c r="BD229" s="377">
        <f t="shared" si="122"/>
        <v>0</v>
      </c>
      <c r="BE229" s="377"/>
      <c r="BF229" s="377">
        <f t="shared" si="123"/>
        <v>0</v>
      </c>
      <c r="BG229" s="433">
        <f t="shared" si="124"/>
        <v>143729755</v>
      </c>
      <c r="BH229" s="434">
        <f t="shared" si="125"/>
        <v>0</v>
      </c>
    </row>
    <row r="230" spans="1:60" s="378" customFormat="1">
      <c r="A230" s="167">
        <v>220</v>
      </c>
      <c r="B230" s="253">
        <f>VLOOKUP(A230,'JUNE (물량흐름)'!$A$13:$C$493,3,0)</f>
        <v>74902</v>
      </c>
      <c r="C230" s="57" t="str">
        <f>VLOOKUP(A230,'JUNE (물량흐름)'!$A$13:$C$493,2,0)</f>
        <v>ALFANI</v>
      </c>
      <c r="D230" s="58">
        <f>IFERROR(VLOOKUP(B230,O.B.JUNE!$V$7:$Y$448,2,0),0)</f>
        <v>50</v>
      </c>
      <c r="E230" s="58">
        <f>IFERROR(VLOOKUP(B230,O.B.JUNE!$V$7:$X$448,3,0),0)</f>
        <v>38971.42</v>
      </c>
      <c r="F230" s="58">
        <f>IFERROR(VLOOKUP(B230,O.B.JUNE!$V$7:$Y$448,4,0),0)</f>
        <v>1948571</v>
      </c>
      <c r="G230" s="58">
        <f>SUMIF('JUNE (물량흐름)'!$C$13:$C$493,'In-out-bal products (155)(완성제품)'!B230,'JUNE (물량흐름)'!$V$13:$V$493)</f>
        <v>0</v>
      </c>
      <c r="H230" s="58">
        <f>SUMIF('JUNE (물량흐름)'!$C$13:$C$493,'In-out-bal products (155)(완성제품)'!B230,'JUNE (물량흐름)'!$T$13:$T$493)-SUMIF('JUNE (물량흐름)'!$C$13:$C$493,'In-out-bal products (155)(완성제품)'!B230,'JUNE (물량흐름)'!$Y$13:$Y$493)+SUMIF('JUNE (물량흐름)'!$C$13:$C$493,'In-out-bal products (155)(완성제품)'!B230,'JUNE (물량흐름)'!$U$13:$U$493)</f>
        <v>0</v>
      </c>
      <c r="I230" s="58">
        <f t="shared" si="96"/>
        <v>0</v>
      </c>
      <c r="J230" s="58">
        <f>SUMIF('Direct labour(직접노무비)'!$C$12:$C$503,'In-out-bal products (155)(완성제품)'!B230,'Direct labour(직접노무비)'!$Q$12:$Q$503)</f>
        <v>0</v>
      </c>
      <c r="K230" s="59">
        <f>SUMIF('Overhead exp(제조경비)'!$C$12:$C$503,'In-out-bal products (155)(완성제품)'!B230,'Overhead exp(제조경비)'!$Q$12:$Q$503)</f>
        <v>0</v>
      </c>
      <c r="L230" s="58">
        <f t="shared" si="97"/>
        <v>0</v>
      </c>
      <c r="M230" s="58">
        <f>SUMIF('JUNE (물량흐름)'!$C$13:$C$488,'In-out-bal products (155)(완성제품)'!B230,'JUNE (물량흐름)'!$Y$13:$Y$488)</f>
        <v>0</v>
      </c>
      <c r="N230" s="58">
        <f t="shared" si="98"/>
        <v>0</v>
      </c>
      <c r="O230" s="58">
        <f>SUMIF('Direct labour(직접노무비)'!$C$12:$C$503,'In-out-bal products (155)(완성제품)'!B230,'Direct labour(직접노무비)'!$U$12:$U$503)+SUMIF('Overhead exp(제조경비)'!$C$12:$C$503,'In-out-bal products (155)(완성제품)'!B230,'Overhead exp(제조경비)'!$U$12:$U$503)</f>
        <v>0</v>
      </c>
      <c r="P230" s="60">
        <f t="shared" si="99"/>
        <v>0</v>
      </c>
      <c r="Q230" s="60">
        <f t="shared" si="100"/>
        <v>0</v>
      </c>
      <c r="R230" s="60">
        <f t="shared" si="101"/>
        <v>0</v>
      </c>
      <c r="S230" s="58">
        <v>0</v>
      </c>
      <c r="T230" s="58">
        <v>0</v>
      </c>
      <c r="U230" s="58">
        <v>0</v>
      </c>
      <c r="V230" s="58">
        <f>SUMIF('JUNE (물량흐름)'!$C$13:$C$493,'In-out-bal products (155)(완성제품)'!B230,'JUNE (물량흐름)'!$W$13:$W$493)</f>
        <v>0</v>
      </c>
      <c r="W230" s="58">
        <f t="shared" si="102"/>
        <v>0</v>
      </c>
      <c r="X230" s="58">
        <f t="shared" si="103"/>
        <v>0</v>
      </c>
      <c r="Y230" s="58">
        <f>SUMIF('JUNE (물량흐름)'!$C$13:$C$488,'In-out-bal products (155)(완성제품)'!B230,'JUNE (물량흐름)'!$X$13:$X$488)</f>
        <v>0</v>
      </c>
      <c r="Z230" s="58">
        <f t="shared" si="104"/>
        <v>0</v>
      </c>
      <c r="AA230" s="58">
        <f t="shared" si="105"/>
        <v>0</v>
      </c>
      <c r="AB230" s="58"/>
      <c r="AC230" s="58"/>
      <c r="AD230" s="61"/>
      <c r="AE230" s="58">
        <f t="shared" si="106"/>
        <v>0</v>
      </c>
      <c r="AF230" s="58">
        <f t="shared" si="107"/>
        <v>0</v>
      </c>
      <c r="AG230" s="61">
        <f t="shared" si="108"/>
        <v>0</v>
      </c>
      <c r="AH230" s="58">
        <v>0</v>
      </c>
      <c r="AI230" s="58">
        <v>0</v>
      </c>
      <c r="AJ230" s="61">
        <v>0</v>
      </c>
      <c r="AK230" s="58"/>
      <c r="AL230" s="58"/>
      <c r="AM230" s="61"/>
      <c r="AN230" s="61">
        <f t="shared" si="109"/>
        <v>0</v>
      </c>
      <c r="AO230" s="58">
        <f t="shared" si="110"/>
        <v>0</v>
      </c>
      <c r="AP230" s="61">
        <f t="shared" si="111"/>
        <v>0</v>
      </c>
      <c r="AQ230" s="58">
        <f t="shared" si="112"/>
        <v>50</v>
      </c>
      <c r="AR230" s="58">
        <f t="shared" si="113"/>
        <v>38971.42</v>
      </c>
      <c r="AS230" s="58">
        <f t="shared" si="114"/>
        <v>1948571</v>
      </c>
      <c r="AT230" s="58">
        <f>ROUND(SUMIF('JUNE (물량흐름)'!$C$13:$C$502,'In-out-bal products (155)(완성제품)'!B230,'JUNE (물량흐름)'!$AB$13:$AB$502),0)</f>
        <v>0</v>
      </c>
      <c r="AU230" s="58">
        <f t="shared" si="115"/>
        <v>0</v>
      </c>
      <c r="AV230" s="58">
        <f>ROUND(SUMIF('JUNE (물량흐름)'!$C$13:$C$502,'In-out-bal products (155)(완성제품)'!B230,'JUNE (물량흐름)'!$AC$13:$AC$502),0)</f>
        <v>50</v>
      </c>
      <c r="AW230" s="58">
        <f t="shared" si="116"/>
        <v>1948571</v>
      </c>
      <c r="AX230" s="376">
        <f t="shared" si="117"/>
        <v>0</v>
      </c>
      <c r="AY230" s="377">
        <f t="shared" si="118"/>
        <v>0</v>
      </c>
      <c r="AZ230" s="377">
        <f t="shared" si="119"/>
        <v>0</v>
      </c>
      <c r="BA230" s="377">
        <f t="shared" si="120"/>
        <v>0</v>
      </c>
      <c r="BB230" s="377"/>
      <c r="BC230" s="377">
        <f t="shared" si="121"/>
        <v>0</v>
      </c>
      <c r="BD230" s="377">
        <f t="shared" si="122"/>
        <v>0</v>
      </c>
      <c r="BE230" s="377"/>
      <c r="BF230" s="377">
        <f t="shared" si="123"/>
        <v>0</v>
      </c>
      <c r="BG230" s="433">
        <f t="shared" si="124"/>
        <v>0</v>
      </c>
      <c r="BH230" s="434">
        <f t="shared" si="125"/>
        <v>0</v>
      </c>
    </row>
    <row r="231" spans="1:60" s="378" customFormat="1">
      <c r="A231" s="167">
        <v>221</v>
      </c>
      <c r="B231" s="253">
        <f>VLOOKUP(A231,'JUNE (물량흐름)'!$A$13:$C$493,3,0)</f>
        <v>75303</v>
      </c>
      <c r="C231" s="57" t="str">
        <f>VLOOKUP(A231,'JUNE (물량흐름)'!$A$13:$C$493,2,0)</f>
        <v>ALFANI</v>
      </c>
      <c r="D231" s="58">
        <f>IFERROR(VLOOKUP(B231,O.B.JUNE!$V$7:$Y$448,2,0),0)</f>
        <v>0</v>
      </c>
      <c r="E231" s="58">
        <f>IFERROR(VLOOKUP(B231,O.B.JUNE!$V$7:$X$448,3,0),0)</f>
        <v>0</v>
      </c>
      <c r="F231" s="58">
        <f>IFERROR(VLOOKUP(B231,O.B.JUNE!$V$7:$Y$448,4,0),0)</f>
        <v>0</v>
      </c>
      <c r="G231" s="58">
        <f>SUMIF('JUNE (물량흐름)'!$C$13:$C$493,'In-out-bal products (155)(완성제품)'!B231,'JUNE (물량흐름)'!$V$13:$V$493)</f>
        <v>0</v>
      </c>
      <c r="H231" s="58">
        <f>SUMIF('JUNE (물량흐름)'!$C$13:$C$493,'In-out-bal products (155)(완성제품)'!B231,'JUNE (물량흐름)'!$T$13:$T$493)-SUMIF('JUNE (물량흐름)'!$C$13:$C$493,'In-out-bal products (155)(완성제품)'!B231,'JUNE (물량흐름)'!$Y$13:$Y$493)+SUMIF('JUNE (물량흐름)'!$C$13:$C$493,'In-out-bal products (155)(완성제품)'!B231,'JUNE (물량흐름)'!$U$13:$U$493)</f>
        <v>0</v>
      </c>
      <c r="I231" s="58">
        <f t="shared" si="96"/>
        <v>0</v>
      </c>
      <c r="J231" s="58">
        <f>SUMIF('Direct labour(직접노무비)'!$C$12:$C$503,'In-out-bal products (155)(완성제품)'!B231,'Direct labour(직접노무비)'!$Q$12:$Q$503)</f>
        <v>0</v>
      </c>
      <c r="K231" s="59">
        <f>SUMIF('Overhead exp(제조경비)'!$C$12:$C$503,'In-out-bal products (155)(완성제품)'!B231,'Overhead exp(제조경비)'!$Q$12:$Q$503)</f>
        <v>0</v>
      </c>
      <c r="L231" s="58">
        <f t="shared" si="97"/>
        <v>0</v>
      </c>
      <c r="M231" s="58">
        <f>SUMIF('JUNE (물량흐름)'!$C$13:$C$488,'In-out-bal products (155)(완성제품)'!B231,'JUNE (물량흐름)'!$Y$13:$Y$488)</f>
        <v>0</v>
      </c>
      <c r="N231" s="58">
        <f t="shared" si="98"/>
        <v>0</v>
      </c>
      <c r="O231" s="58">
        <f>SUMIF('Direct labour(직접노무비)'!$C$12:$C$503,'In-out-bal products (155)(완성제품)'!B231,'Direct labour(직접노무비)'!$U$12:$U$503)+SUMIF('Overhead exp(제조경비)'!$C$12:$C$503,'In-out-bal products (155)(완성제품)'!B231,'Overhead exp(제조경비)'!$U$12:$U$503)</f>
        <v>0</v>
      </c>
      <c r="P231" s="60">
        <f t="shared" si="99"/>
        <v>0</v>
      </c>
      <c r="Q231" s="60">
        <f t="shared" si="100"/>
        <v>0</v>
      </c>
      <c r="R231" s="60">
        <f t="shared" si="101"/>
        <v>0</v>
      </c>
      <c r="S231" s="58">
        <v>0</v>
      </c>
      <c r="T231" s="58">
        <v>0</v>
      </c>
      <c r="U231" s="58">
        <v>0</v>
      </c>
      <c r="V231" s="58">
        <f>SUMIF('JUNE (물량흐름)'!$C$13:$C$493,'In-out-bal products (155)(완성제품)'!B231,'JUNE (물량흐름)'!$W$13:$W$493)</f>
        <v>0</v>
      </c>
      <c r="W231" s="58">
        <f t="shared" si="102"/>
        <v>0</v>
      </c>
      <c r="X231" s="58">
        <f t="shared" si="103"/>
        <v>0</v>
      </c>
      <c r="Y231" s="58">
        <f>SUMIF('JUNE (물량흐름)'!$C$13:$C$488,'In-out-bal products (155)(완성제품)'!B231,'JUNE (물량흐름)'!$X$13:$X$488)</f>
        <v>0</v>
      </c>
      <c r="Z231" s="58">
        <f t="shared" si="104"/>
        <v>0</v>
      </c>
      <c r="AA231" s="58">
        <f t="shared" si="105"/>
        <v>0</v>
      </c>
      <c r="AB231" s="58"/>
      <c r="AC231" s="58"/>
      <c r="AD231" s="61"/>
      <c r="AE231" s="58">
        <f t="shared" si="106"/>
        <v>0</v>
      </c>
      <c r="AF231" s="58">
        <f t="shared" si="107"/>
        <v>0</v>
      </c>
      <c r="AG231" s="61">
        <f t="shared" si="108"/>
        <v>0</v>
      </c>
      <c r="AH231" s="58">
        <v>0</v>
      </c>
      <c r="AI231" s="58">
        <v>0</v>
      </c>
      <c r="AJ231" s="61">
        <v>0</v>
      </c>
      <c r="AK231" s="58"/>
      <c r="AL231" s="58"/>
      <c r="AM231" s="61"/>
      <c r="AN231" s="61">
        <f t="shared" si="109"/>
        <v>0</v>
      </c>
      <c r="AO231" s="58">
        <f t="shared" si="110"/>
        <v>0</v>
      </c>
      <c r="AP231" s="61">
        <f t="shared" si="111"/>
        <v>0</v>
      </c>
      <c r="AQ231" s="58">
        <f t="shared" si="112"/>
        <v>0</v>
      </c>
      <c r="AR231" s="58">
        <f t="shared" si="113"/>
        <v>0</v>
      </c>
      <c r="AS231" s="58">
        <f t="shared" si="114"/>
        <v>0</v>
      </c>
      <c r="AT231" s="58">
        <f>ROUND(SUMIF('JUNE (물량흐름)'!$C$13:$C$502,'In-out-bal products (155)(완성제품)'!B231,'JUNE (물량흐름)'!$AB$13:$AB$502),0)</f>
        <v>0</v>
      </c>
      <c r="AU231" s="58">
        <f t="shared" si="115"/>
        <v>0</v>
      </c>
      <c r="AV231" s="58">
        <f>ROUND(SUMIF('JUNE (물량흐름)'!$C$13:$C$502,'In-out-bal products (155)(완성제품)'!B231,'JUNE (물량흐름)'!$AC$13:$AC$502),0)</f>
        <v>0</v>
      </c>
      <c r="AW231" s="58">
        <f t="shared" si="116"/>
        <v>0</v>
      </c>
      <c r="AX231" s="376">
        <f t="shared" si="117"/>
        <v>0</v>
      </c>
      <c r="AY231" s="377">
        <f t="shared" si="118"/>
        <v>0</v>
      </c>
      <c r="AZ231" s="377">
        <f t="shared" si="119"/>
        <v>0</v>
      </c>
      <c r="BA231" s="377">
        <f t="shared" si="120"/>
        <v>0</v>
      </c>
      <c r="BB231" s="377"/>
      <c r="BC231" s="377">
        <f t="shared" si="121"/>
        <v>0</v>
      </c>
      <c r="BD231" s="377">
        <f t="shared" si="122"/>
        <v>0</v>
      </c>
      <c r="BE231" s="377"/>
      <c r="BF231" s="377">
        <f t="shared" si="123"/>
        <v>0</v>
      </c>
      <c r="BG231" s="433">
        <f t="shared" si="124"/>
        <v>0</v>
      </c>
      <c r="BH231" s="434">
        <f t="shared" si="125"/>
        <v>0</v>
      </c>
    </row>
    <row r="232" spans="1:60" s="378" customFormat="1">
      <c r="A232" s="167">
        <v>222</v>
      </c>
      <c r="B232" s="253">
        <f>VLOOKUP(A232,'JUNE (물량흐름)'!$A$13:$C$493,3,0)</f>
        <v>7999</v>
      </c>
      <c r="C232" s="57" t="str">
        <f>VLOOKUP(A232,'JUNE (물량흐름)'!$A$13:$C$493,2,0)</f>
        <v>ALFANI</v>
      </c>
      <c r="D232" s="58">
        <f>IFERROR(VLOOKUP(B232,O.B.JUNE!$V$7:$Y$448,2,0),0)</f>
        <v>0</v>
      </c>
      <c r="E232" s="58">
        <f>IFERROR(VLOOKUP(B232,O.B.JUNE!$V$7:$X$448,3,0),0)</f>
        <v>0</v>
      </c>
      <c r="F232" s="58">
        <f>IFERROR(VLOOKUP(B232,O.B.JUNE!$V$7:$Y$448,4,0),0)</f>
        <v>0</v>
      </c>
      <c r="G232" s="58">
        <f>SUMIF('JUNE (물량흐름)'!$C$13:$C$493,'In-out-bal products (155)(완성제품)'!B232,'JUNE (물량흐름)'!$V$13:$V$493)</f>
        <v>0</v>
      </c>
      <c r="H232" s="58">
        <f>SUMIF('JUNE (물량흐름)'!$C$13:$C$493,'In-out-bal products (155)(완성제품)'!B232,'JUNE (물량흐름)'!$T$13:$T$493)-SUMIF('JUNE (물량흐름)'!$C$13:$C$493,'In-out-bal products (155)(완성제품)'!B232,'JUNE (물량흐름)'!$Y$13:$Y$493)+SUMIF('JUNE (물량흐름)'!$C$13:$C$493,'In-out-bal products (155)(완성제품)'!B232,'JUNE (물량흐름)'!$U$13:$U$493)</f>
        <v>142</v>
      </c>
      <c r="I232" s="58">
        <f t="shared" si="96"/>
        <v>24388.492957746479</v>
      </c>
      <c r="J232" s="58">
        <f>SUMIF('Direct labour(직접노무비)'!$C$12:$C$503,'In-out-bal products (155)(완성제품)'!B232,'Direct labour(직접노무비)'!$Q$12:$Q$503)</f>
        <v>1466914</v>
      </c>
      <c r="K232" s="59">
        <f>SUMIF('Overhead exp(제조경비)'!$C$12:$C$503,'In-out-bal products (155)(완성제품)'!B232,'Overhead exp(제조경비)'!$Q$12:$Q$503)</f>
        <v>1996252</v>
      </c>
      <c r="L232" s="58">
        <f t="shared" si="97"/>
        <v>3463166</v>
      </c>
      <c r="M232" s="58">
        <f>SUMIF('JUNE (물량흐름)'!$C$13:$C$488,'In-out-bal products (155)(완성제품)'!B232,'JUNE (물량흐름)'!$Y$13:$Y$488)</f>
        <v>0</v>
      </c>
      <c r="N232" s="58">
        <f t="shared" si="98"/>
        <v>0</v>
      </c>
      <c r="O232" s="58">
        <f>SUMIF('Direct labour(직접노무비)'!$C$12:$C$503,'In-out-bal products (155)(완성제품)'!B232,'Direct labour(직접노무비)'!$U$12:$U$503)+SUMIF('Overhead exp(제조경비)'!$C$12:$C$503,'In-out-bal products (155)(완성제품)'!B232,'Overhead exp(제조경비)'!$U$12:$U$503)</f>
        <v>0</v>
      </c>
      <c r="P232" s="60">
        <f t="shared" si="99"/>
        <v>142</v>
      </c>
      <c r="Q232" s="60">
        <f t="shared" si="100"/>
        <v>24388.492957746479</v>
      </c>
      <c r="R232" s="60">
        <f t="shared" si="101"/>
        <v>3463166</v>
      </c>
      <c r="S232" s="58">
        <v>0</v>
      </c>
      <c r="T232" s="58">
        <v>0</v>
      </c>
      <c r="U232" s="58">
        <v>0</v>
      </c>
      <c r="V232" s="58">
        <f>SUMIF('JUNE (물량흐름)'!$C$13:$C$493,'In-out-bal products (155)(완성제품)'!B232,'JUNE (물량흐름)'!$W$13:$W$493)</f>
        <v>0</v>
      </c>
      <c r="W232" s="58">
        <f t="shared" si="102"/>
        <v>0</v>
      </c>
      <c r="X232" s="58">
        <f t="shared" si="103"/>
        <v>0</v>
      </c>
      <c r="Y232" s="58">
        <f>SUMIF('JUNE (물량흐름)'!$C$13:$C$488,'In-out-bal products (155)(완성제품)'!B232,'JUNE (물량흐름)'!$X$13:$X$488)</f>
        <v>0</v>
      </c>
      <c r="Z232" s="58">
        <f t="shared" si="104"/>
        <v>0</v>
      </c>
      <c r="AA232" s="58">
        <f t="shared" si="105"/>
        <v>0</v>
      </c>
      <c r="AB232" s="58"/>
      <c r="AC232" s="58"/>
      <c r="AD232" s="61"/>
      <c r="AE232" s="58">
        <f t="shared" si="106"/>
        <v>0</v>
      </c>
      <c r="AF232" s="58">
        <f t="shared" si="107"/>
        <v>0</v>
      </c>
      <c r="AG232" s="61">
        <f t="shared" si="108"/>
        <v>0</v>
      </c>
      <c r="AH232" s="58">
        <v>0</v>
      </c>
      <c r="AI232" s="58">
        <v>0</v>
      </c>
      <c r="AJ232" s="61">
        <v>0</v>
      </c>
      <c r="AK232" s="58"/>
      <c r="AL232" s="58"/>
      <c r="AM232" s="61"/>
      <c r="AN232" s="61">
        <f t="shared" si="109"/>
        <v>0</v>
      </c>
      <c r="AO232" s="58">
        <f t="shared" si="110"/>
        <v>0</v>
      </c>
      <c r="AP232" s="61">
        <f t="shared" si="111"/>
        <v>0</v>
      </c>
      <c r="AQ232" s="58">
        <f t="shared" si="112"/>
        <v>142</v>
      </c>
      <c r="AR232" s="58">
        <f t="shared" si="113"/>
        <v>24388.492957746479</v>
      </c>
      <c r="AS232" s="58">
        <f t="shared" si="114"/>
        <v>3463166</v>
      </c>
      <c r="AT232" s="58">
        <f>ROUND(SUMIF('JUNE (물량흐름)'!$C$13:$C$502,'In-out-bal products (155)(완성제품)'!B232,'JUNE (물량흐름)'!$AB$13:$AB$502),0)</f>
        <v>0</v>
      </c>
      <c r="AU232" s="58">
        <f t="shared" si="115"/>
        <v>0</v>
      </c>
      <c r="AV232" s="58">
        <f>ROUND(SUMIF('JUNE (물량흐름)'!$C$13:$C$502,'In-out-bal products (155)(완성제품)'!B232,'JUNE (물량흐름)'!$AC$13:$AC$502),0)</f>
        <v>142</v>
      </c>
      <c r="AW232" s="58">
        <f t="shared" si="116"/>
        <v>3463166</v>
      </c>
      <c r="AX232" s="376">
        <f t="shared" si="117"/>
        <v>0</v>
      </c>
      <c r="AY232" s="377">
        <f t="shared" si="118"/>
        <v>0</v>
      </c>
      <c r="AZ232" s="377">
        <f t="shared" si="119"/>
        <v>0</v>
      </c>
      <c r="BA232" s="377">
        <f t="shared" si="120"/>
        <v>0</v>
      </c>
      <c r="BB232" s="377"/>
      <c r="BC232" s="377">
        <f t="shared" si="121"/>
        <v>0</v>
      </c>
      <c r="BD232" s="377">
        <f t="shared" si="122"/>
        <v>0</v>
      </c>
      <c r="BE232" s="377"/>
      <c r="BF232" s="377">
        <f t="shared" si="123"/>
        <v>0</v>
      </c>
      <c r="BG232" s="433">
        <f t="shared" si="124"/>
        <v>0</v>
      </c>
      <c r="BH232" s="434">
        <f t="shared" si="125"/>
        <v>0</v>
      </c>
    </row>
    <row r="233" spans="1:60" s="378" customFormat="1">
      <c r="A233" s="167">
        <v>223</v>
      </c>
      <c r="B233" s="253">
        <f>VLOOKUP(A233,'JUNE (물량흐름)'!$A$13:$C$493,3,0)</f>
        <v>460895</v>
      </c>
      <c r="C233" s="57" t="str">
        <f>VLOOKUP(A233,'JUNE (물량흐름)'!$A$13:$C$493,2,0)</f>
        <v>ANN TAYLOR</v>
      </c>
      <c r="D233" s="58">
        <f>IFERROR(VLOOKUP(B233,O.B.JUNE!$V$7:$Y$448,2,0),0)</f>
        <v>0</v>
      </c>
      <c r="E233" s="58">
        <f>IFERROR(VLOOKUP(B233,O.B.JUNE!$V$7:$X$448,3,0),0)</f>
        <v>0</v>
      </c>
      <c r="F233" s="58">
        <f>IFERROR(VLOOKUP(B233,O.B.JUNE!$V$7:$Y$448,4,0),0)</f>
        <v>0</v>
      </c>
      <c r="G233" s="58">
        <f>SUMIF('JUNE (물량흐름)'!$C$13:$C$493,'In-out-bal products (155)(완성제품)'!B233,'JUNE (물량흐름)'!$V$13:$V$493)</f>
        <v>0</v>
      </c>
      <c r="H233" s="58">
        <f>SUMIF('JUNE (물량흐름)'!$C$13:$C$493,'In-out-bal products (155)(완성제품)'!B233,'JUNE (물량흐름)'!$T$13:$T$493)-SUMIF('JUNE (물량흐름)'!$C$13:$C$493,'In-out-bal products (155)(완성제품)'!B233,'JUNE (물량흐름)'!$Y$13:$Y$493)+SUMIF('JUNE (물량흐름)'!$C$13:$C$493,'In-out-bal products (155)(완성제품)'!B233,'JUNE (물량흐름)'!$U$13:$U$493)</f>
        <v>20</v>
      </c>
      <c r="I233" s="58">
        <f t="shared" si="96"/>
        <v>30643.15</v>
      </c>
      <c r="J233" s="58">
        <f>SUMIF('Direct labour(직접노무비)'!$C$12:$C$503,'In-out-bal products (155)(완성제품)'!B233,'Direct labour(직접노무비)'!$Q$12:$Q$503)</f>
        <v>259594</v>
      </c>
      <c r="K233" s="59">
        <f>SUMIF('Overhead exp(제조경비)'!$C$12:$C$503,'In-out-bal products (155)(완성제품)'!B233,'Overhead exp(제조경비)'!$Q$12:$Q$503)</f>
        <v>353269</v>
      </c>
      <c r="L233" s="58">
        <f t="shared" si="97"/>
        <v>612863</v>
      </c>
      <c r="M233" s="58">
        <f>SUMIF('JUNE (물량흐름)'!$C$13:$C$488,'In-out-bal products (155)(완성제품)'!B233,'JUNE (물량흐름)'!$Y$13:$Y$488)</f>
        <v>0</v>
      </c>
      <c r="N233" s="58">
        <f t="shared" si="98"/>
        <v>0</v>
      </c>
      <c r="O233" s="58">
        <f>SUMIF('Direct labour(직접노무비)'!$C$12:$C$503,'In-out-bal products (155)(완성제품)'!B233,'Direct labour(직접노무비)'!$U$12:$U$503)+SUMIF('Overhead exp(제조경비)'!$C$12:$C$503,'In-out-bal products (155)(완성제품)'!B233,'Overhead exp(제조경비)'!$U$12:$U$503)</f>
        <v>0</v>
      </c>
      <c r="P233" s="60">
        <f t="shared" si="99"/>
        <v>20</v>
      </c>
      <c r="Q233" s="60">
        <f t="shared" si="100"/>
        <v>30643.15</v>
      </c>
      <c r="R233" s="60">
        <f t="shared" si="101"/>
        <v>612863</v>
      </c>
      <c r="S233" s="58">
        <v>0</v>
      </c>
      <c r="T233" s="58">
        <v>0</v>
      </c>
      <c r="U233" s="58">
        <v>0</v>
      </c>
      <c r="V233" s="58">
        <f>SUMIF('JUNE (물량흐름)'!$C$13:$C$493,'In-out-bal products (155)(완성제품)'!B233,'JUNE (물량흐름)'!$W$13:$W$493)</f>
        <v>0</v>
      </c>
      <c r="W233" s="58">
        <f t="shared" si="102"/>
        <v>0</v>
      </c>
      <c r="X233" s="58">
        <f t="shared" si="103"/>
        <v>0</v>
      </c>
      <c r="Y233" s="58">
        <f>SUMIF('JUNE (물량흐름)'!$C$13:$C$488,'In-out-bal products (155)(완성제품)'!B233,'JUNE (물량흐름)'!$X$13:$X$488)</f>
        <v>0</v>
      </c>
      <c r="Z233" s="58">
        <f t="shared" si="104"/>
        <v>0</v>
      </c>
      <c r="AA233" s="58">
        <f t="shared" si="105"/>
        <v>0</v>
      </c>
      <c r="AB233" s="58"/>
      <c r="AC233" s="58"/>
      <c r="AD233" s="61"/>
      <c r="AE233" s="58">
        <f t="shared" si="106"/>
        <v>0</v>
      </c>
      <c r="AF233" s="58">
        <f t="shared" si="107"/>
        <v>0</v>
      </c>
      <c r="AG233" s="61">
        <f t="shared" si="108"/>
        <v>0</v>
      </c>
      <c r="AH233" s="58">
        <v>0</v>
      </c>
      <c r="AI233" s="58">
        <v>0</v>
      </c>
      <c r="AJ233" s="61">
        <v>0</v>
      </c>
      <c r="AK233" s="58"/>
      <c r="AL233" s="58"/>
      <c r="AM233" s="61"/>
      <c r="AN233" s="61">
        <f t="shared" si="109"/>
        <v>0</v>
      </c>
      <c r="AO233" s="58">
        <f t="shared" si="110"/>
        <v>0</v>
      </c>
      <c r="AP233" s="61">
        <f t="shared" si="111"/>
        <v>0</v>
      </c>
      <c r="AQ233" s="58">
        <f t="shared" si="112"/>
        <v>20</v>
      </c>
      <c r="AR233" s="58">
        <f t="shared" si="113"/>
        <v>30643.15</v>
      </c>
      <c r="AS233" s="58">
        <f t="shared" si="114"/>
        <v>612863</v>
      </c>
      <c r="AT233" s="58">
        <f>ROUND(SUMIF('JUNE (물량흐름)'!$C$13:$C$502,'In-out-bal products (155)(완성제품)'!B233,'JUNE (물량흐름)'!$AB$13:$AB$502),0)</f>
        <v>0</v>
      </c>
      <c r="AU233" s="58">
        <f t="shared" si="115"/>
        <v>0</v>
      </c>
      <c r="AV233" s="58">
        <f>ROUND(SUMIF('JUNE (물량흐름)'!$C$13:$C$502,'In-out-bal products (155)(완성제품)'!B233,'JUNE (물량흐름)'!$AC$13:$AC$502),0)</f>
        <v>20</v>
      </c>
      <c r="AW233" s="58">
        <f t="shared" si="116"/>
        <v>612863</v>
      </c>
      <c r="AX233" s="376">
        <f t="shared" si="117"/>
        <v>0</v>
      </c>
      <c r="AY233" s="377">
        <f t="shared" si="118"/>
        <v>0</v>
      </c>
      <c r="AZ233" s="377">
        <f t="shared" si="119"/>
        <v>0</v>
      </c>
      <c r="BA233" s="377">
        <f t="shared" si="120"/>
        <v>0</v>
      </c>
      <c r="BB233" s="377"/>
      <c r="BC233" s="377">
        <f t="shared" si="121"/>
        <v>0</v>
      </c>
      <c r="BD233" s="377">
        <f t="shared" si="122"/>
        <v>0</v>
      </c>
      <c r="BE233" s="377"/>
      <c r="BF233" s="377">
        <f t="shared" si="123"/>
        <v>0</v>
      </c>
      <c r="BG233" s="433">
        <f t="shared" si="124"/>
        <v>0</v>
      </c>
      <c r="BH233" s="434">
        <f t="shared" si="125"/>
        <v>0</v>
      </c>
    </row>
    <row r="234" spans="1:60" s="378" customFormat="1">
      <c r="A234" s="167">
        <v>224</v>
      </c>
      <c r="B234" s="253">
        <f>VLOOKUP(A234,'JUNE (물량흐름)'!$A$13:$C$493,3,0)</f>
        <v>452546</v>
      </c>
      <c r="C234" s="57" t="str">
        <f>VLOOKUP(A234,'JUNE (물량흐름)'!$A$13:$C$493,2,0)</f>
        <v>ANN TAYLOR</v>
      </c>
      <c r="D234" s="58">
        <f>IFERROR(VLOOKUP(B234,O.B.JUNE!$V$7:$Y$448,2,0),0)</f>
        <v>0</v>
      </c>
      <c r="E234" s="58">
        <f>IFERROR(VLOOKUP(B234,O.B.JUNE!$V$7:$X$448,3,0),0)</f>
        <v>0</v>
      </c>
      <c r="F234" s="58">
        <f>IFERROR(VLOOKUP(B234,O.B.JUNE!$V$7:$Y$448,4,0),0)</f>
        <v>0</v>
      </c>
      <c r="G234" s="58">
        <f>SUMIF('JUNE (물량흐름)'!$C$13:$C$493,'In-out-bal products (155)(완성제품)'!B234,'JUNE (물량흐름)'!$V$13:$V$493)</f>
        <v>0</v>
      </c>
      <c r="H234" s="58">
        <f>SUMIF('JUNE (물량흐름)'!$C$13:$C$493,'In-out-bal products (155)(완성제품)'!B234,'JUNE (물량흐름)'!$T$13:$T$493)-SUMIF('JUNE (물량흐름)'!$C$13:$C$493,'In-out-bal products (155)(완성제품)'!B234,'JUNE (물량흐름)'!$Y$13:$Y$493)+SUMIF('JUNE (물량흐름)'!$C$13:$C$493,'In-out-bal products (155)(완성제품)'!B234,'JUNE (물량흐름)'!$U$13:$U$493)</f>
        <v>569</v>
      </c>
      <c r="I234" s="58">
        <f t="shared" si="96"/>
        <v>36728.734622144111</v>
      </c>
      <c r="J234" s="58">
        <f>SUMIF('Direct labour(직접노무비)'!$C$12:$C$503,'In-out-bal products (155)(완성제품)'!B234,'Direct labour(직접노무비)'!$Q$12:$Q$503)</f>
        <v>8852167</v>
      </c>
      <c r="K234" s="59">
        <f>SUMIF('Overhead exp(제조경비)'!$C$12:$C$503,'In-out-bal products (155)(완성제품)'!B234,'Overhead exp(제조경비)'!$Q$12:$Q$503)</f>
        <v>12046483</v>
      </c>
      <c r="L234" s="58">
        <f t="shared" si="97"/>
        <v>20898650</v>
      </c>
      <c r="M234" s="58">
        <f>SUMIF('JUNE (물량흐름)'!$C$13:$C$488,'In-out-bal products (155)(완성제품)'!B234,'JUNE (물량흐름)'!$Y$13:$Y$488)</f>
        <v>0</v>
      </c>
      <c r="N234" s="58">
        <f t="shared" si="98"/>
        <v>0</v>
      </c>
      <c r="O234" s="58">
        <f>SUMIF('Direct labour(직접노무비)'!$C$12:$C$503,'In-out-bal products (155)(완성제품)'!B234,'Direct labour(직접노무비)'!$U$12:$U$503)+SUMIF('Overhead exp(제조경비)'!$C$12:$C$503,'In-out-bal products (155)(완성제품)'!B234,'Overhead exp(제조경비)'!$U$12:$U$503)</f>
        <v>0</v>
      </c>
      <c r="P234" s="60">
        <f t="shared" si="99"/>
        <v>569</v>
      </c>
      <c r="Q234" s="60">
        <f t="shared" si="100"/>
        <v>36728.734622144111</v>
      </c>
      <c r="R234" s="60">
        <f t="shared" si="101"/>
        <v>20898650</v>
      </c>
      <c r="S234" s="58">
        <v>0</v>
      </c>
      <c r="T234" s="58">
        <v>0</v>
      </c>
      <c r="U234" s="58">
        <v>0</v>
      </c>
      <c r="V234" s="58">
        <f>SUMIF('JUNE (물량흐름)'!$C$13:$C$493,'In-out-bal products (155)(완성제품)'!B234,'JUNE (물량흐름)'!$W$13:$W$493)</f>
        <v>0</v>
      </c>
      <c r="W234" s="58">
        <f t="shared" si="102"/>
        <v>0</v>
      </c>
      <c r="X234" s="58">
        <f t="shared" si="103"/>
        <v>0</v>
      </c>
      <c r="Y234" s="58">
        <f>SUMIF('JUNE (물량흐름)'!$C$13:$C$488,'In-out-bal products (155)(완성제품)'!B234,'JUNE (물량흐름)'!$X$13:$X$488)</f>
        <v>0</v>
      </c>
      <c r="Z234" s="58">
        <f t="shared" si="104"/>
        <v>0</v>
      </c>
      <c r="AA234" s="58">
        <f t="shared" si="105"/>
        <v>0</v>
      </c>
      <c r="AB234" s="58"/>
      <c r="AC234" s="58"/>
      <c r="AD234" s="61"/>
      <c r="AE234" s="58">
        <f t="shared" si="106"/>
        <v>0</v>
      </c>
      <c r="AF234" s="58">
        <f t="shared" si="107"/>
        <v>0</v>
      </c>
      <c r="AG234" s="61">
        <f t="shared" si="108"/>
        <v>0</v>
      </c>
      <c r="AH234" s="58">
        <v>0</v>
      </c>
      <c r="AI234" s="58">
        <v>0</v>
      </c>
      <c r="AJ234" s="61">
        <v>0</v>
      </c>
      <c r="AK234" s="58"/>
      <c r="AL234" s="58"/>
      <c r="AM234" s="61"/>
      <c r="AN234" s="61">
        <f t="shared" si="109"/>
        <v>0</v>
      </c>
      <c r="AO234" s="58">
        <f t="shared" si="110"/>
        <v>0</v>
      </c>
      <c r="AP234" s="61">
        <f t="shared" si="111"/>
        <v>0</v>
      </c>
      <c r="AQ234" s="58">
        <f t="shared" si="112"/>
        <v>569</v>
      </c>
      <c r="AR234" s="58">
        <f t="shared" si="113"/>
        <v>36728.734622144111</v>
      </c>
      <c r="AS234" s="58">
        <f t="shared" si="114"/>
        <v>20898650</v>
      </c>
      <c r="AT234" s="58">
        <f>ROUND(SUMIF('JUNE (물량흐름)'!$C$13:$C$502,'In-out-bal products (155)(완성제품)'!B234,'JUNE (물량흐름)'!$AB$13:$AB$502),0)</f>
        <v>0</v>
      </c>
      <c r="AU234" s="58">
        <f t="shared" si="115"/>
        <v>0</v>
      </c>
      <c r="AV234" s="58">
        <f>ROUND(SUMIF('JUNE (물량흐름)'!$C$13:$C$502,'In-out-bal products (155)(완성제품)'!B234,'JUNE (물량흐름)'!$AC$13:$AC$502),0)</f>
        <v>569</v>
      </c>
      <c r="AW234" s="58">
        <f t="shared" si="116"/>
        <v>20898650</v>
      </c>
      <c r="AX234" s="376">
        <f t="shared" si="117"/>
        <v>0</v>
      </c>
      <c r="AY234" s="377">
        <f t="shared" si="118"/>
        <v>0</v>
      </c>
      <c r="AZ234" s="377">
        <f t="shared" si="119"/>
        <v>0</v>
      </c>
      <c r="BA234" s="377">
        <f t="shared" si="120"/>
        <v>0</v>
      </c>
      <c r="BB234" s="377"/>
      <c r="BC234" s="377">
        <f t="shared" si="121"/>
        <v>0</v>
      </c>
      <c r="BD234" s="377">
        <f t="shared" si="122"/>
        <v>0</v>
      </c>
      <c r="BE234" s="377"/>
      <c r="BF234" s="377">
        <f t="shared" si="123"/>
        <v>0</v>
      </c>
      <c r="BG234" s="433">
        <f t="shared" si="124"/>
        <v>0</v>
      </c>
      <c r="BH234" s="434">
        <f t="shared" si="125"/>
        <v>0</v>
      </c>
    </row>
    <row r="235" spans="1:60" s="378" customFormat="1">
      <c r="A235" s="167">
        <v>225</v>
      </c>
      <c r="B235" s="253">
        <f>VLOOKUP(A235,'JUNE (물량흐름)'!$A$13:$C$493,3,0)</f>
        <v>457802</v>
      </c>
      <c r="C235" s="57" t="str">
        <f>VLOOKUP(A235,'JUNE (물량흐름)'!$A$13:$C$493,2,0)</f>
        <v>ANN TAYLOR</v>
      </c>
      <c r="D235" s="58">
        <f>IFERROR(VLOOKUP(B235,O.B.JUNE!$V$7:$Y$448,2,0),0)</f>
        <v>0</v>
      </c>
      <c r="E235" s="58">
        <f>IFERROR(VLOOKUP(B235,O.B.JUNE!$V$7:$X$448,3,0),0)</f>
        <v>0</v>
      </c>
      <c r="F235" s="58">
        <f>IFERROR(VLOOKUP(B235,O.B.JUNE!$V$7:$Y$448,4,0),0)</f>
        <v>0</v>
      </c>
      <c r="G235" s="58">
        <f>SUMIF('JUNE (물량흐름)'!$C$13:$C$493,'In-out-bal products (155)(완성제품)'!B235,'JUNE (물량흐름)'!$V$13:$V$493)</f>
        <v>0</v>
      </c>
      <c r="H235" s="58">
        <f>SUMIF('JUNE (물량흐름)'!$C$13:$C$493,'In-out-bal products (155)(완성제품)'!B235,'JUNE (물량흐름)'!$T$13:$T$493)-SUMIF('JUNE (물량흐름)'!$C$13:$C$493,'In-out-bal products (155)(완성제품)'!B235,'JUNE (물량흐름)'!$Y$13:$Y$493)+SUMIF('JUNE (물량흐름)'!$C$13:$C$493,'In-out-bal products (155)(완성제품)'!B235,'JUNE (물량흐름)'!$U$13:$U$493)</f>
        <v>0</v>
      </c>
      <c r="I235" s="58">
        <f t="shared" si="96"/>
        <v>0</v>
      </c>
      <c r="J235" s="58">
        <f>SUMIF('Direct labour(직접노무비)'!$C$12:$C$503,'In-out-bal products (155)(완성제품)'!B235,'Direct labour(직접노무비)'!$Q$12:$Q$503)</f>
        <v>0</v>
      </c>
      <c r="K235" s="59">
        <f>SUMIF('Overhead exp(제조경비)'!$C$12:$C$503,'In-out-bal products (155)(완성제품)'!B235,'Overhead exp(제조경비)'!$Q$12:$Q$503)</f>
        <v>0</v>
      </c>
      <c r="L235" s="58">
        <f t="shared" si="97"/>
        <v>0</v>
      </c>
      <c r="M235" s="58">
        <f>SUMIF('JUNE (물량흐름)'!$C$13:$C$488,'In-out-bal products (155)(완성제품)'!B235,'JUNE (물량흐름)'!$Y$13:$Y$488)</f>
        <v>0</v>
      </c>
      <c r="N235" s="58">
        <f t="shared" si="98"/>
        <v>0</v>
      </c>
      <c r="O235" s="58">
        <f>SUMIF('Direct labour(직접노무비)'!$C$12:$C$503,'In-out-bal products (155)(완성제품)'!B235,'Direct labour(직접노무비)'!$U$12:$U$503)+SUMIF('Overhead exp(제조경비)'!$C$12:$C$503,'In-out-bal products (155)(완성제품)'!B235,'Overhead exp(제조경비)'!$U$12:$U$503)</f>
        <v>0</v>
      </c>
      <c r="P235" s="60">
        <f t="shared" si="99"/>
        <v>0</v>
      </c>
      <c r="Q235" s="60">
        <f t="shared" si="100"/>
        <v>0</v>
      </c>
      <c r="R235" s="60">
        <f t="shared" si="101"/>
        <v>0</v>
      </c>
      <c r="S235" s="58">
        <v>0</v>
      </c>
      <c r="T235" s="58">
        <v>0</v>
      </c>
      <c r="U235" s="58">
        <v>0</v>
      </c>
      <c r="V235" s="58">
        <f>SUMIF('JUNE (물량흐름)'!$C$13:$C$493,'In-out-bal products (155)(완성제품)'!B235,'JUNE (물량흐름)'!$W$13:$W$493)</f>
        <v>0</v>
      </c>
      <c r="W235" s="58">
        <f t="shared" si="102"/>
        <v>0</v>
      </c>
      <c r="X235" s="58">
        <f t="shared" si="103"/>
        <v>0</v>
      </c>
      <c r="Y235" s="58">
        <f>SUMIF('JUNE (물량흐름)'!$C$13:$C$488,'In-out-bal products (155)(완성제품)'!B235,'JUNE (물량흐름)'!$X$13:$X$488)</f>
        <v>0</v>
      </c>
      <c r="Z235" s="58">
        <f t="shared" si="104"/>
        <v>0</v>
      </c>
      <c r="AA235" s="58">
        <f t="shared" si="105"/>
        <v>0</v>
      </c>
      <c r="AB235" s="58"/>
      <c r="AC235" s="58"/>
      <c r="AD235" s="61"/>
      <c r="AE235" s="58">
        <f t="shared" si="106"/>
        <v>0</v>
      </c>
      <c r="AF235" s="58">
        <f t="shared" si="107"/>
        <v>0</v>
      </c>
      <c r="AG235" s="61">
        <f t="shared" si="108"/>
        <v>0</v>
      </c>
      <c r="AH235" s="58">
        <v>0</v>
      </c>
      <c r="AI235" s="58">
        <v>0</v>
      </c>
      <c r="AJ235" s="61">
        <v>0</v>
      </c>
      <c r="AK235" s="58"/>
      <c r="AL235" s="58"/>
      <c r="AM235" s="61"/>
      <c r="AN235" s="61">
        <f t="shared" si="109"/>
        <v>0</v>
      </c>
      <c r="AO235" s="58">
        <f t="shared" si="110"/>
        <v>0</v>
      </c>
      <c r="AP235" s="61">
        <f t="shared" si="111"/>
        <v>0</v>
      </c>
      <c r="AQ235" s="58">
        <f t="shared" si="112"/>
        <v>0</v>
      </c>
      <c r="AR235" s="58">
        <f t="shared" si="113"/>
        <v>0</v>
      </c>
      <c r="AS235" s="58">
        <f t="shared" si="114"/>
        <v>0</v>
      </c>
      <c r="AT235" s="58">
        <f>ROUND(SUMIF('JUNE (물량흐름)'!$C$13:$C$502,'In-out-bal products (155)(완성제품)'!B235,'JUNE (물량흐름)'!$AB$13:$AB$502),0)</f>
        <v>0</v>
      </c>
      <c r="AU235" s="58">
        <f t="shared" si="115"/>
        <v>0</v>
      </c>
      <c r="AV235" s="58">
        <f>ROUND(SUMIF('JUNE (물량흐름)'!$C$13:$C$502,'In-out-bal products (155)(완성제품)'!B235,'JUNE (물량흐름)'!$AC$13:$AC$502),0)</f>
        <v>0</v>
      </c>
      <c r="AW235" s="58">
        <f t="shared" si="116"/>
        <v>0</v>
      </c>
      <c r="AX235" s="376">
        <f t="shared" si="117"/>
        <v>0</v>
      </c>
      <c r="AY235" s="377">
        <f t="shared" si="118"/>
        <v>0</v>
      </c>
      <c r="AZ235" s="377">
        <f t="shared" si="119"/>
        <v>0</v>
      </c>
      <c r="BA235" s="377">
        <f t="shared" si="120"/>
        <v>0</v>
      </c>
      <c r="BB235" s="377"/>
      <c r="BC235" s="377">
        <f t="shared" si="121"/>
        <v>0</v>
      </c>
      <c r="BD235" s="377">
        <f t="shared" si="122"/>
        <v>0</v>
      </c>
      <c r="BE235" s="377"/>
      <c r="BF235" s="377">
        <f t="shared" si="123"/>
        <v>0</v>
      </c>
      <c r="BG235" s="433">
        <f t="shared" si="124"/>
        <v>0</v>
      </c>
      <c r="BH235" s="434">
        <f t="shared" si="125"/>
        <v>0</v>
      </c>
    </row>
    <row r="236" spans="1:60" s="378" customFormat="1">
      <c r="A236" s="167">
        <v>226</v>
      </c>
      <c r="B236" s="253">
        <f>VLOOKUP(A236,'JUNE (물량흐름)'!$A$13:$C$493,3,0)</f>
        <v>457814</v>
      </c>
      <c r="C236" s="57" t="str">
        <f>VLOOKUP(A236,'JUNE (물량흐름)'!$A$13:$C$493,2,0)</f>
        <v>ANN TAYLOR</v>
      </c>
      <c r="D236" s="58">
        <f>IFERROR(VLOOKUP(B236,O.B.JUNE!$V$7:$Y$448,2,0),0)</f>
        <v>0</v>
      </c>
      <c r="E236" s="58">
        <f>IFERROR(VLOOKUP(B236,O.B.JUNE!$V$7:$X$448,3,0),0)</f>
        <v>0</v>
      </c>
      <c r="F236" s="58">
        <f>IFERROR(VLOOKUP(B236,O.B.JUNE!$V$7:$Y$448,4,0),0)</f>
        <v>0</v>
      </c>
      <c r="G236" s="58">
        <f>SUMIF('JUNE (물량흐름)'!$C$13:$C$493,'In-out-bal products (155)(완성제품)'!B236,'JUNE (물량흐름)'!$V$13:$V$493)</f>
        <v>0</v>
      </c>
      <c r="H236" s="58">
        <f>SUMIF('JUNE (물량흐름)'!$C$13:$C$493,'In-out-bal products (155)(완성제품)'!B236,'JUNE (물량흐름)'!$T$13:$T$493)-SUMIF('JUNE (물량흐름)'!$C$13:$C$493,'In-out-bal products (155)(완성제품)'!B236,'JUNE (물량흐름)'!$Y$13:$Y$493)+SUMIF('JUNE (물량흐름)'!$C$13:$C$493,'In-out-bal products (155)(완성제품)'!B236,'JUNE (물량흐름)'!$U$13:$U$493)</f>
        <v>0</v>
      </c>
      <c r="I236" s="58">
        <f t="shared" si="96"/>
        <v>0</v>
      </c>
      <c r="J236" s="58">
        <f>SUMIF('Direct labour(직접노무비)'!$C$12:$C$503,'In-out-bal products (155)(완성제품)'!B236,'Direct labour(직접노무비)'!$Q$12:$Q$503)</f>
        <v>0</v>
      </c>
      <c r="K236" s="59">
        <f>SUMIF('Overhead exp(제조경비)'!$C$12:$C$503,'In-out-bal products (155)(완성제품)'!B236,'Overhead exp(제조경비)'!$Q$12:$Q$503)</f>
        <v>0</v>
      </c>
      <c r="L236" s="58">
        <f t="shared" si="97"/>
        <v>0</v>
      </c>
      <c r="M236" s="58">
        <f>SUMIF('JUNE (물량흐름)'!$C$13:$C$488,'In-out-bal products (155)(완성제품)'!B236,'JUNE (물량흐름)'!$Y$13:$Y$488)</f>
        <v>0</v>
      </c>
      <c r="N236" s="58">
        <f t="shared" si="98"/>
        <v>0</v>
      </c>
      <c r="O236" s="58">
        <f>SUMIF('Direct labour(직접노무비)'!$C$12:$C$503,'In-out-bal products (155)(완성제품)'!B236,'Direct labour(직접노무비)'!$U$12:$U$503)+SUMIF('Overhead exp(제조경비)'!$C$12:$C$503,'In-out-bal products (155)(완성제품)'!B236,'Overhead exp(제조경비)'!$U$12:$U$503)</f>
        <v>0</v>
      </c>
      <c r="P236" s="60">
        <f t="shared" si="99"/>
        <v>0</v>
      </c>
      <c r="Q236" s="60">
        <f t="shared" si="100"/>
        <v>0</v>
      </c>
      <c r="R236" s="60">
        <f t="shared" si="101"/>
        <v>0</v>
      </c>
      <c r="S236" s="58">
        <v>0</v>
      </c>
      <c r="T236" s="58">
        <v>0</v>
      </c>
      <c r="U236" s="58">
        <v>0</v>
      </c>
      <c r="V236" s="58">
        <f>SUMIF('JUNE (물량흐름)'!$C$13:$C$493,'In-out-bal products (155)(완성제품)'!B236,'JUNE (물량흐름)'!$W$13:$W$493)</f>
        <v>0</v>
      </c>
      <c r="W236" s="58">
        <f t="shared" si="102"/>
        <v>0</v>
      </c>
      <c r="X236" s="58">
        <f t="shared" si="103"/>
        <v>0</v>
      </c>
      <c r="Y236" s="58">
        <f>SUMIF('JUNE (물량흐름)'!$C$13:$C$488,'In-out-bal products (155)(완성제품)'!B236,'JUNE (물량흐름)'!$X$13:$X$488)</f>
        <v>0</v>
      </c>
      <c r="Z236" s="58">
        <f t="shared" si="104"/>
        <v>0</v>
      </c>
      <c r="AA236" s="58">
        <f t="shared" si="105"/>
        <v>0</v>
      </c>
      <c r="AB236" s="58"/>
      <c r="AC236" s="58"/>
      <c r="AD236" s="61"/>
      <c r="AE236" s="58">
        <f t="shared" si="106"/>
        <v>0</v>
      </c>
      <c r="AF236" s="58">
        <f t="shared" si="107"/>
        <v>0</v>
      </c>
      <c r="AG236" s="61">
        <f t="shared" si="108"/>
        <v>0</v>
      </c>
      <c r="AH236" s="58">
        <v>0</v>
      </c>
      <c r="AI236" s="58">
        <v>0</v>
      </c>
      <c r="AJ236" s="61">
        <v>0</v>
      </c>
      <c r="AK236" s="58"/>
      <c r="AL236" s="58"/>
      <c r="AM236" s="61"/>
      <c r="AN236" s="61">
        <f t="shared" si="109"/>
        <v>0</v>
      </c>
      <c r="AO236" s="58">
        <f t="shared" si="110"/>
        <v>0</v>
      </c>
      <c r="AP236" s="61">
        <f t="shared" si="111"/>
        <v>0</v>
      </c>
      <c r="AQ236" s="58">
        <f t="shared" si="112"/>
        <v>0</v>
      </c>
      <c r="AR236" s="58">
        <f t="shared" si="113"/>
        <v>0</v>
      </c>
      <c r="AS236" s="58">
        <f t="shared" si="114"/>
        <v>0</v>
      </c>
      <c r="AT236" s="58">
        <f>ROUND(SUMIF('JUNE (물량흐름)'!$C$13:$C$502,'In-out-bal products (155)(완성제품)'!B236,'JUNE (물량흐름)'!$AB$13:$AB$502),0)</f>
        <v>0</v>
      </c>
      <c r="AU236" s="58">
        <f t="shared" si="115"/>
        <v>0</v>
      </c>
      <c r="AV236" s="58">
        <f>ROUND(SUMIF('JUNE (물량흐름)'!$C$13:$C$502,'In-out-bal products (155)(완성제품)'!B236,'JUNE (물량흐름)'!$AC$13:$AC$502),0)</f>
        <v>0</v>
      </c>
      <c r="AW236" s="58">
        <f t="shared" si="116"/>
        <v>0</v>
      </c>
      <c r="AX236" s="376">
        <f t="shared" si="117"/>
        <v>0</v>
      </c>
      <c r="AY236" s="377">
        <f t="shared" si="118"/>
        <v>0</v>
      </c>
      <c r="AZ236" s="377">
        <f t="shared" si="119"/>
        <v>0</v>
      </c>
      <c r="BA236" s="377">
        <f t="shared" si="120"/>
        <v>0</v>
      </c>
      <c r="BB236" s="377"/>
      <c r="BC236" s="377">
        <f t="shared" si="121"/>
        <v>0</v>
      </c>
      <c r="BD236" s="377">
        <f t="shared" si="122"/>
        <v>0</v>
      </c>
      <c r="BE236" s="377"/>
      <c r="BF236" s="377">
        <f t="shared" si="123"/>
        <v>0</v>
      </c>
      <c r="BG236" s="433">
        <f t="shared" si="124"/>
        <v>0</v>
      </c>
      <c r="BH236" s="434">
        <f t="shared" si="125"/>
        <v>0</v>
      </c>
    </row>
    <row r="237" spans="1:60" s="378" customFormat="1">
      <c r="A237" s="167">
        <v>227</v>
      </c>
      <c r="B237" s="253">
        <f>VLOOKUP(A237,'JUNE (물량흐름)'!$A$13:$C$493,3,0)</f>
        <v>457815</v>
      </c>
      <c r="C237" s="57" t="str">
        <f>VLOOKUP(A237,'JUNE (물량흐름)'!$A$13:$C$493,2,0)</f>
        <v>ANN TAYLOR</v>
      </c>
      <c r="D237" s="58">
        <f>IFERROR(VLOOKUP(B237,O.B.JUNE!$V$7:$Y$448,2,0),0)</f>
        <v>0</v>
      </c>
      <c r="E237" s="58">
        <f>IFERROR(VLOOKUP(B237,O.B.JUNE!$V$7:$X$448,3,0),0)</f>
        <v>0</v>
      </c>
      <c r="F237" s="58">
        <f>IFERROR(VLOOKUP(B237,O.B.JUNE!$V$7:$Y$448,4,0),0)</f>
        <v>0</v>
      </c>
      <c r="G237" s="58">
        <f>SUMIF('JUNE (물량흐름)'!$C$13:$C$493,'In-out-bal products (155)(완성제품)'!B237,'JUNE (물량흐름)'!$V$13:$V$493)</f>
        <v>0</v>
      </c>
      <c r="H237" s="58">
        <f>SUMIF('JUNE (물량흐름)'!$C$13:$C$493,'In-out-bal products (155)(완성제품)'!B237,'JUNE (물량흐름)'!$T$13:$T$493)-SUMIF('JUNE (물량흐름)'!$C$13:$C$493,'In-out-bal products (155)(완성제품)'!B237,'JUNE (물량흐름)'!$Y$13:$Y$493)+SUMIF('JUNE (물량흐름)'!$C$13:$C$493,'In-out-bal products (155)(완성제품)'!B237,'JUNE (물량흐름)'!$U$13:$U$493)</f>
        <v>0</v>
      </c>
      <c r="I237" s="58">
        <f t="shared" si="96"/>
        <v>0</v>
      </c>
      <c r="J237" s="58">
        <f>SUMIF('Direct labour(직접노무비)'!$C$12:$C$503,'In-out-bal products (155)(완성제품)'!B237,'Direct labour(직접노무비)'!$Q$12:$Q$503)</f>
        <v>0</v>
      </c>
      <c r="K237" s="59">
        <f>SUMIF('Overhead exp(제조경비)'!$C$12:$C$503,'In-out-bal products (155)(완성제품)'!B237,'Overhead exp(제조경비)'!$Q$12:$Q$503)</f>
        <v>0</v>
      </c>
      <c r="L237" s="58">
        <f t="shared" si="97"/>
        <v>0</v>
      </c>
      <c r="M237" s="58">
        <f>SUMIF('JUNE (물량흐름)'!$C$13:$C$488,'In-out-bal products (155)(완성제품)'!B237,'JUNE (물량흐름)'!$Y$13:$Y$488)</f>
        <v>0</v>
      </c>
      <c r="N237" s="58">
        <f t="shared" si="98"/>
        <v>0</v>
      </c>
      <c r="O237" s="58">
        <f>SUMIF('Direct labour(직접노무비)'!$C$12:$C$503,'In-out-bal products (155)(완성제품)'!B237,'Direct labour(직접노무비)'!$U$12:$U$503)+SUMIF('Overhead exp(제조경비)'!$C$12:$C$503,'In-out-bal products (155)(완성제품)'!B237,'Overhead exp(제조경비)'!$U$12:$U$503)</f>
        <v>0</v>
      </c>
      <c r="P237" s="60">
        <f t="shared" si="99"/>
        <v>0</v>
      </c>
      <c r="Q237" s="60">
        <f t="shared" si="100"/>
        <v>0</v>
      </c>
      <c r="R237" s="60">
        <f t="shared" si="101"/>
        <v>0</v>
      </c>
      <c r="S237" s="58">
        <v>0</v>
      </c>
      <c r="T237" s="58">
        <v>0</v>
      </c>
      <c r="U237" s="58">
        <v>0</v>
      </c>
      <c r="V237" s="58">
        <f>SUMIF('JUNE (물량흐름)'!$C$13:$C$493,'In-out-bal products (155)(완성제품)'!B237,'JUNE (물량흐름)'!$W$13:$W$493)</f>
        <v>0</v>
      </c>
      <c r="W237" s="58">
        <f t="shared" si="102"/>
        <v>0</v>
      </c>
      <c r="X237" s="58">
        <f t="shared" si="103"/>
        <v>0</v>
      </c>
      <c r="Y237" s="58">
        <f>SUMIF('JUNE (물량흐름)'!$C$13:$C$488,'In-out-bal products (155)(완성제품)'!B237,'JUNE (물량흐름)'!$X$13:$X$488)</f>
        <v>0</v>
      </c>
      <c r="Z237" s="58">
        <f t="shared" si="104"/>
        <v>0</v>
      </c>
      <c r="AA237" s="58">
        <f t="shared" si="105"/>
        <v>0</v>
      </c>
      <c r="AB237" s="58"/>
      <c r="AC237" s="58"/>
      <c r="AD237" s="61"/>
      <c r="AE237" s="58">
        <f t="shared" si="106"/>
        <v>0</v>
      </c>
      <c r="AF237" s="58">
        <f t="shared" si="107"/>
        <v>0</v>
      </c>
      <c r="AG237" s="61">
        <f t="shared" si="108"/>
        <v>0</v>
      </c>
      <c r="AH237" s="58">
        <v>0</v>
      </c>
      <c r="AI237" s="58">
        <v>0</v>
      </c>
      <c r="AJ237" s="61">
        <v>0</v>
      </c>
      <c r="AK237" s="58"/>
      <c r="AL237" s="58"/>
      <c r="AM237" s="61"/>
      <c r="AN237" s="61">
        <f t="shared" si="109"/>
        <v>0</v>
      </c>
      <c r="AO237" s="58">
        <f t="shared" si="110"/>
        <v>0</v>
      </c>
      <c r="AP237" s="61">
        <f t="shared" si="111"/>
        <v>0</v>
      </c>
      <c r="AQ237" s="58">
        <f t="shared" si="112"/>
        <v>0</v>
      </c>
      <c r="AR237" s="58">
        <f t="shared" si="113"/>
        <v>0</v>
      </c>
      <c r="AS237" s="58">
        <f t="shared" si="114"/>
        <v>0</v>
      </c>
      <c r="AT237" s="58">
        <f>ROUND(SUMIF('JUNE (물량흐름)'!$C$13:$C$502,'In-out-bal products (155)(완성제품)'!B237,'JUNE (물량흐름)'!$AB$13:$AB$502),0)</f>
        <v>0</v>
      </c>
      <c r="AU237" s="58">
        <f t="shared" si="115"/>
        <v>0</v>
      </c>
      <c r="AV237" s="58">
        <f>ROUND(SUMIF('JUNE (물량흐름)'!$C$13:$C$502,'In-out-bal products (155)(완성제품)'!B237,'JUNE (물량흐름)'!$AC$13:$AC$502),0)</f>
        <v>0</v>
      </c>
      <c r="AW237" s="58">
        <f t="shared" si="116"/>
        <v>0</v>
      </c>
      <c r="AX237" s="376">
        <f t="shared" si="117"/>
        <v>0</v>
      </c>
      <c r="AY237" s="377">
        <f t="shared" si="118"/>
        <v>0</v>
      </c>
      <c r="AZ237" s="377">
        <f t="shared" si="119"/>
        <v>0</v>
      </c>
      <c r="BA237" s="377">
        <f t="shared" si="120"/>
        <v>0</v>
      </c>
      <c r="BB237" s="377"/>
      <c r="BC237" s="377">
        <f t="shared" si="121"/>
        <v>0</v>
      </c>
      <c r="BD237" s="377">
        <f t="shared" si="122"/>
        <v>0</v>
      </c>
      <c r="BE237" s="377"/>
      <c r="BF237" s="377">
        <f t="shared" si="123"/>
        <v>0</v>
      </c>
      <c r="BG237" s="433">
        <f t="shared" si="124"/>
        <v>0</v>
      </c>
      <c r="BH237" s="434">
        <f t="shared" si="125"/>
        <v>0</v>
      </c>
    </row>
    <row r="238" spans="1:60" s="378" customFormat="1">
      <c r="A238" s="167">
        <v>228</v>
      </c>
      <c r="B238" s="253">
        <f>VLOOKUP(A238,'JUNE (물량흐름)'!$A$13:$C$493,3,0)</f>
        <v>459065</v>
      </c>
      <c r="C238" s="57" t="str">
        <f>VLOOKUP(A238,'JUNE (물량흐름)'!$A$13:$C$493,2,0)</f>
        <v>ANN TAYLOR</v>
      </c>
      <c r="D238" s="58">
        <f>IFERROR(VLOOKUP(B238,O.B.JUNE!$V$7:$Y$448,2,0),0)</f>
        <v>0</v>
      </c>
      <c r="E238" s="58">
        <f>IFERROR(VLOOKUP(B238,O.B.JUNE!$V$7:$X$448,3,0),0)</f>
        <v>0</v>
      </c>
      <c r="F238" s="58">
        <f>IFERROR(VLOOKUP(B238,O.B.JUNE!$V$7:$Y$448,4,0),0)</f>
        <v>0</v>
      </c>
      <c r="G238" s="58">
        <f>SUMIF('JUNE (물량흐름)'!$C$13:$C$493,'In-out-bal products (155)(완성제품)'!B238,'JUNE (물량흐름)'!$V$13:$V$493)</f>
        <v>0</v>
      </c>
      <c r="H238" s="58">
        <f>SUMIF('JUNE (물량흐름)'!$C$13:$C$493,'In-out-bal products (155)(완성제품)'!B238,'JUNE (물량흐름)'!$T$13:$T$493)-SUMIF('JUNE (물량흐름)'!$C$13:$C$493,'In-out-bal products (155)(완성제품)'!B238,'JUNE (물량흐름)'!$Y$13:$Y$493)+SUMIF('JUNE (물량흐름)'!$C$13:$C$493,'In-out-bal products (155)(완성제품)'!B238,'JUNE (물량흐름)'!$U$13:$U$493)</f>
        <v>0</v>
      </c>
      <c r="I238" s="58">
        <f t="shared" si="96"/>
        <v>0</v>
      </c>
      <c r="J238" s="58">
        <f>SUMIF('Direct labour(직접노무비)'!$C$12:$C$503,'In-out-bal products (155)(완성제품)'!B238,'Direct labour(직접노무비)'!$Q$12:$Q$503)</f>
        <v>0</v>
      </c>
      <c r="K238" s="59">
        <f>SUMIF('Overhead exp(제조경비)'!$C$12:$C$503,'In-out-bal products (155)(완성제품)'!B238,'Overhead exp(제조경비)'!$Q$12:$Q$503)</f>
        <v>0</v>
      </c>
      <c r="L238" s="58">
        <f t="shared" si="97"/>
        <v>0</v>
      </c>
      <c r="M238" s="58">
        <f>SUMIF('JUNE (물량흐름)'!$C$13:$C$488,'In-out-bal products (155)(완성제품)'!B238,'JUNE (물량흐름)'!$Y$13:$Y$488)</f>
        <v>0</v>
      </c>
      <c r="N238" s="58">
        <f t="shared" si="98"/>
        <v>0</v>
      </c>
      <c r="O238" s="58">
        <f>SUMIF('Direct labour(직접노무비)'!$C$12:$C$503,'In-out-bal products (155)(완성제품)'!B238,'Direct labour(직접노무비)'!$U$12:$U$503)+SUMIF('Overhead exp(제조경비)'!$C$12:$C$503,'In-out-bal products (155)(완성제품)'!B238,'Overhead exp(제조경비)'!$U$12:$U$503)</f>
        <v>0</v>
      </c>
      <c r="P238" s="60">
        <f t="shared" si="99"/>
        <v>0</v>
      </c>
      <c r="Q238" s="60">
        <f t="shared" si="100"/>
        <v>0</v>
      </c>
      <c r="R238" s="60">
        <f t="shared" si="101"/>
        <v>0</v>
      </c>
      <c r="S238" s="58">
        <v>0</v>
      </c>
      <c r="T238" s="58">
        <v>0</v>
      </c>
      <c r="U238" s="58">
        <v>0</v>
      </c>
      <c r="V238" s="58">
        <f>SUMIF('JUNE (물량흐름)'!$C$13:$C$493,'In-out-bal products (155)(완성제품)'!B238,'JUNE (물량흐름)'!$W$13:$W$493)</f>
        <v>0</v>
      </c>
      <c r="W238" s="58">
        <f t="shared" si="102"/>
        <v>0</v>
      </c>
      <c r="X238" s="58">
        <f t="shared" si="103"/>
        <v>0</v>
      </c>
      <c r="Y238" s="58">
        <f>SUMIF('JUNE (물량흐름)'!$C$13:$C$488,'In-out-bal products (155)(완성제품)'!B238,'JUNE (물량흐름)'!$X$13:$X$488)</f>
        <v>0</v>
      </c>
      <c r="Z238" s="58">
        <f t="shared" si="104"/>
        <v>0</v>
      </c>
      <c r="AA238" s="58">
        <f t="shared" si="105"/>
        <v>0</v>
      </c>
      <c r="AB238" s="58"/>
      <c r="AC238" s="58"/>
      <c r="AD238" s="61"/>
      <c r="AE238" s="58">
        <f t="shared" si="106"/>
        <v>0</v>
      </c>
      <c r="AF238" s="58">
        <f t="shared" si="107"/>
        <v>0</v>
      </c>
      <c r="AG238" s="61">
        <f t="shared" si="108"/>
        <v>0</v>
      </c>
      <c r="AH238" s="58">
        <v>0</v>
      </c>
      <c r="AI238" s="58">
        <v>0</v>
      </c>
      <c r="AJ238" s="61">
        <v>0</v>
      </c>
      <c r="AK238" s="58"/>
      <c r="AL238" s="58"/>
      <c r="AM238" s="61"/>
      <c r="AN238" s="61">
        <f t="shared" si="109"/>
        <v>0</v>
      </c>
      <c r="AO238" s="58">
        <f t="shared" si="110"/>
        <v>0</v>
      </c>
      <c r="AP238" s="61">
        <f t="shared" si="111"/>
        <v>0</v>
      </c>
      <c r="AQ238" s="58">
        <f t="shared" si="112"/>
        <v>0</v>
      </c>
      <c r="AR238" s="58">
        <f t="shared" si="113"/>
        <v>0</v>
      </c>
      <c r="AS238" s="58">
        <f t="shared" si="114"/>
        <v>0</v>
      </c>
      <c r="AT238" s="58">
        <f>ROUND(SUMIF('JUNE (물량흐름)'!$C$13:$C$502,'In-out-bal products (155)(완성제품)'!B238,'JUNE (물량흐름)'!$AB$13:$AB$502),0)</f>
        <v>0</v>
      </c>
      <c r="AU238" s="58">
        <f t="shared" si="115"/>
        <v>0</v>
      </c>
      <c r="AV238" s="58">
        <f>ROUND(SUMIF('JUNE (물량흐름)'!$C$13:$C$502,'In-out-bal products (155)(완성제품)'!B238,'JUNE (물량흐름)'!$AC$13:$AC$502),0)</f>
        <v>0</v>
      </c>
      <c r="AW238" s="58">
        <f t="shared" si="116"/>
        <v>0</v>
      </c>
      <c r="AX238" s="376">
        <f t="shared" si="117"/>
        <v>0</v>
      </c>
      <c r="AY238" s="377">
        <f t="shared" si="118"/>
        <v>0</v>
      </c>
      <c r="AZ238" s="377">
        <f t="shared" si="119"/>
        <v>0</v>
      </c>
      <c r="BA238" s="377">
        <f t="shared" si="120"/>
        <v>0</v>
      </c>
      <c r="BB238" s="377"/>
      <c r="BC238" s="377">
        <f t="shared" si="121"/>
        <v>0</v>
      </c>
      <c r="BD238" s="377">
        <f t="shared" si="122"/>
        <v>0</v>
      </c>
      <c r="BE238" s="377"/>
      <c r="BF238" s="377">
        <f t="shared" si="123"/>
        <v>0</v>
      </c>
      <c r="BG238" s="433">
        <f t="shared" si="124"/>
        <v>0</v>
      </c>
      <c r="BH238" s="434">
        <f t="shared" si="125"/>
        <v>0</v>
      </c>
    </row>
    <row r="239" spans="1:60" s="378" customFormat="1">
      <c r="A239" s="167">
        <v>229</v>
      </c>
      <c r="B239" s="253">
        <f>VLOOKUP(A239,'JUNE (물량흐름)'!$A$13:$C$493,3,0)</f>
        <v>460586</v>
      </c>
      <c r="C239" s="57" t="str">
        <f>VLOOKUP(A239,'JUNE (물량흐름)'!$A$13:$C$493,2,0)</f>
        <v>ANN TAYLOR</v>
      </c>
      <c r="D239" s="58">
        <f>IFERROR(VLOOKUP(B239,O.B.JUNE!$V$7:$Y$448,2,0),0)</f>
        <v>0</v>
      </c>
      <c r="E239" s="58">
        <f>IFERROR(VLOOKUP(B239,O.B.JUNE!$V$7:$X$448,3,0),0)</f>
        <v>0</v>
      </c>
      <c r="F239" s="58">
        <f>IFERROR(VLOOKUP(B239,O.B.JUNE!$V$7:$Y$448,4,0),0)</f>
        <v>0</v>
      </c>
      <c r="G239" s="58">
        <f>SUMIF('JUNE (물량흐름)'!$C$13:$C$493,'In-out-bal products (155)(완성제품)'!B239,'JUNE (물량흐름)'!$V$13:$V$493)</f>
        <v>0</v>
      </c>
      <c r="H239" s="58">
        <f>SUMIF('JUNE (물량흐름)'!$C$13:$C$493,'In-out-bal products (155)(완성제품)'!B239,'JUNE (물량흐름)'!$T$13:$T$493)-SUMIF('JUNE (물량흐름)'!$C$13:$C$493,'In-out-bal products (155)(완성제품)'!B239,'JUNE (물량흐름)'!$Y$13:$Y$493)+SUMIF('JUNE (물량흐름)'!$C$13:$C$493,'In-out-bal products (155)(완성제품)'!B239,'JUNE (물량흐름)'!$U$13:$U$493)</f>
        <v>0</v>
      </c>
      <c r="I239" s="58">
        <f t="shared" si="96"/>
        <v>0</v>
      </c>
      <c r="J239" s="58">
        <f>SUMIF('Direct labour(직접노무비)'!$C$12:$C$503,'In-out-bal products (155)(완성제품)'!B239,'Direct labour(직접노무비)'!$Q$12:$Q$503)</f>
        <v>0</v>
      </c>
      <c r="K239" s="59">
        <f>SUMIF('Overhead exp(제조경비)'!$C$12:$C$503,'In-out-bal products (155)(완성제품)'!B239,'Overhead exp(제조경비)'!$Q$12:$Q$503)</f>
        <v>0</v>
      </c>
      <c r="L239" s="58">
        <f t="shared" si="97"/>
        <v>0</v>
      </c>
      <c r="M239" s="58">
        <f>SUMIF('JUNE (물량흐름)'!$C$13:$C$488,'In-out-bal products (155)(완성제품)'!B239,'JUNE (물량흐름)'!$Y$13:$Y$488)</f>
        <v>0</v>
      </c>
      <c r="N239" s="58">
        <f t="shared" si="98"/>
        <v>0</v>
      </c>
      <c r="O239" s="58">
        <f>SUMIF('Direct labour(직접노무비)'!$C$12:$C$503,'In-out-bal products (155)(완성제품)'!B239,'Direct labour(직접노무비)'!$U$12:$U$503)+SUMIF('Overhead exp(제조경비)'!$C$12:$C$503,'In-out-bal products (155)(완성제품)'!B239,'Overhead exp(제조경비)'!$U$12:$U$503)</f>
        <v>0</v>
      </c>
      <c r="P239" s="60">
        <f t="shared" si="99"/>
        <v>0</v>
      </c>
      <c r="Q239" s="60">
        <f t="shared" si="100"/>
        <v>0</v>
      </c>
      <c r="R239" s="60">
        <f t="shared" si="101"/>
        <v>0</v>
      </c>
      <c r="S239" s="58">
        <v>0</v>
      </c>
      <c r="T239" s="58">
        <v>0</v>
      </c>
      <c r="U239" s="58">
        <v>0</v>
      </c>
      <c r="V239" s="58">
        <f>SUMIF('JUNE (물량흐름)'!$C$13:$C$493,'In-out-bal products (155)(완성제품)'!B239,'JUNE (물량흐름)'!$W$13:$W$493)</f>
        <v>0</v>
      </c>
      <c r="W239" s="58">
        <f t="shared" si="102"/>
        <v>0</v>
      </c>
      <c r="X239" s="58">
        <f t="shared" si="103"/>
        <v>0</v>
      </c>
      <c r="Y239" s="58">
        <f>SUMIF('JUNE (물량흐름)'!$C$13:$C$488,'In-out-bal products (155)(완성제품)'!B239,'JUNE (물량흐름)'!$X$13:$X$488)</f>
        <v>0</v>
      </c>
      <c r="Z239" s="58">
        <f t="shared" si="104"/>
        <v>0</v>
      </c>
      <c r="AA239" s="58">
        <f t="shared" si="105"/>
        <v>0</v>
      </c>
      <c r="AB239" s="58"/>
      <c r="AC239" s="58"/>
      <c r="AD239" s="61"/>
      <c r="AE239" s="58">
        <f t="shared" si="106"/>
        <v>0</v>
      </c>
      <c r="AF239" s="58">
        <f t="shared" si="107"/>
        <v>0</v>
      </c>
      <c r="AG239" s="61">
        <f t="shared" si="108"/>
        <v>0</v>
      </c>
      <c r="AH239" s="58">
        <v>0</v>
      </c>
      <c r="AI239" s="58">
        <v>0</v>
      </c>
      <c r="AJ239" s="61">
        <v>0</v>
      </c>
      <c r="AK239" s="58"/>
      <c r="AL239" s="58"/>
      <c r="AM239" s="61"/>
      <c r="AN239" s="61">
        <f t="shared" si="109"/>
        <v>0</v>
      </c>
      <c r="AO239" s="58">
        <f t="shared" si="110"/>
        <v>0</v>
      </c>
      <c r="AP239" s="61">
        <f t="shared" si="111"/>
        <v>0</v>
      </c>
      <c r="AQ239" s="58">
        <f t="shared" si="112"/>
        <v>0</v>
      </c>
      <c r="AR239" s="58">
        <f t="shared" si="113"/>
        <v>0</v>
      </c>
      <c r="AS239" s="58">
        <f t="shared" si="114"/>
        <v>0</v>
      </c>
      <c r="AT239" s="58">
        <f>ROUND(SUMIF('JUNE (물량흐름)'!$C$13:$C$502,'In-out-bal products (155)(완성제품)'!B239,'JUNE (물량흐름)'!$AB$13:$AB$502),0)</f>
        <v>0</v>
      </c>
      <c r="AU239" s="58">
        <f t="shared" si="115"/>
        <v>0</v>
      </c>
      <c r="AV239" s="58">
        <f>ROUND(SUMIF('JUNE (물량흐름)'!$C$13:$C$502,'In-out-bal products (155)(완성제품)'!B239,'JUNE (물량흐름)'!$AC$13:$AC$502),0)</f>
        <v>0</v>
      </c>
      <c r="AW239" s="58">
        <f t="shared" si="116"/>
        <v>0</v>
      </c>
      <c r="AX239" s="376">
        <f t="shared" si="117"/>
        <v>0</v>
      </c>
      <c r="AY239" s="377">
        <f t="shared" si="118"/>
        <v>0</v>
      </c>
      <c r="AZ239" s="377">
        <f t="shared" si="119"/>
        <v>0</v>
      </c>
      <c r="BA239" s="377">
        <f t="shared" si="120"/>
        <v>0</v>
      </c>
      <c r="BB239" s="377"/>
      <c r="BC239" s="377">
        <f t="shared" si="121"/>
        <v>0</v>
      </c>
      <c r="BD239" s="377">
        <f t="shared" si="122"/>
        <v>0</v>
      </c>
      <c r="BE239" s="377"/>
      <c r="BF239" s="377">
        <f t="shared" si="123"/>
        <v>0</v>
      </c>
      <c r="BG239" s="433">
        <f t="shared" si="124"/>
        <v>0</v>
      </c>
      <c r="BH239" s="434">
        <f t="shared" si="125"/>
        <v>0</v>
      </c>
    </row>
    <row r="240" spans="1:60" s="378" customFormat="1">
      <c r="A240" s="167">
        <v>230</v>
      </c>
      <c r="B240" s="253">
        <f>VLOOKUP(A240,'JUNE (물량흐름)'!$A$13:$C$493,3,0)</f>
        <v>460588</v>
      </c>
      <c r="C240" s="57" t="str">
        <f>VLOOKUP(A240,'JUNE (물량흐름)'!$A$13:$C$493,2,0)</f>
        <v>ANN TAYLOR</v>
      </c>
      <c r="D240" s="58">
        <f>IFERROR(VLOOKUP(B240,O.B.JUNE!$V$7:$Y$448,2,0),0)</f>
        <v>0</v>
      </c>
      <c r="E240" s="58">
        <f>IFERROR(VLOOKUP(B240,O.B.JUNE!$V$7:$X$448,3,0),0)</f>
        <v>0</v>
      </c>
      <c r="F240" s="58">
        <f>IFERROR(VLOOKUP(B240,O.B.JUNE!$V$7:$Y$448,4,0),0)</f>
        <v>0</v>
      </c>
      <c r="G240" s="58">
        <f>SUMIF('JUNE (물량흐름)'!$C$13:$C$493,'In-out-bal products (155)(완성제품)'!B240,'JUNE (물량흐름)'!$V$13:$V$493)</f>
        <v>0</v>
      </c>
      <c r="H240" s="58">
        <f>SUMIF('JUNE (물량흐름)'!$C$13:$C$493,'In-out-bal products (155)(완성제품)'!B240,'JUNE (물량흐름)'!$T$13:$T$493)-SUMIF('JUNE (물량흐름)'!$C$13:$C$493,'In-out-bal products (155)(완성제품)'!B240,'JUNE (물량흐름)'!$Y$13:$Y$493)+SUMIF('JUNE (물량흐름)'!$C$13:$C$493,'In-out-bal products (155)(완성제품)'!B240,'JUNE (물량흐름)'!$U$13:$U$493)</f>
        <v>0</v>
      </c>
      <c r="I240" s="58">
        <f t="shared" si="96"/>
        <v>0</v>
      </c>
      <c r="J240" s="58">
        <f>SUMIF('Direct labour(직접노무비)'!$C$12:$C$503,'In-out-bal products (155)(완성제품)'!B240,'Direct labour(직접노무비)'!$Q$12:$Q$503)</f>
        <v>0</v>
      </c>
      <c r="K240" s="59">
        <f>SUMIF('Overhead exp(제조경비)'!$C$12:$C$503,'In-out-bal products (155)(완성제품)'!B240,'Overhead exp(제조경비)'!$Q$12:$Q$503)</f>
        <v>0</v>
      </c>
      <c r="L240" s="58">
        <f t="shared" si="97"/>
        <v>0</v>
      </c>
      <c r="M240" s="58">
        <f>SUMIF('JUNE (물량흐름)'!$C$13:$C$488,'In-out-bal products (155)(완성제품)'!B240,'JUNE (물량흐름)'!$Y$13:$Y$488)</f>
        <v>0</v>
      </c>
      <c r="N240" s="58">
        <f t="shared" si="98"/>
        <v>0</v>
      </c>
      <c r="O240" s="58">
        <f>SUMIF('Direct labour(직접노무비)'!$C$12:$C$503,'In-out-bal products (155)(완성제품)'!B240,'Direct labour(직접노무비)'!$U$12:$U$503)+SUMIF('Overhead exp(제조경비)'!$C$12:$C$503,'In-out-bal products (155)(완성제품)'!B240,'Overhead exp(제조경비)'!$U$12:$U$503)</f>
        <v>0</v>
      </c>
      <c r="P240" s="60">
        <f t="shared" si="99"/>
        <v>0</v>
      </c>
      <c r="Q240" s="60">
        <f t="shared" si="100"/>
        <v>0</v>
      </c>
      <c r="R240" s="60">
        <f t="shared" si="101"/>
        <v>0</v>
      </c>
      <c r="S240" s="58">
        <v>0</v>
      </c>
      <c r="T240" s="58">
        <v>0</v>
      </c>
      <c r="U240" s="58">
        <v>0</v>
      </c>
      <c r="V240" s="58">
        <f>SUMIF('JUNE (물량흐름)'!$C$13:$C$493,'In-out-bal products (155)(완성제품)'!B240,'JUNE (물량흐름)'!$W$13:$W$493)</f>
        <v>0</v>
      </c>
      <c r="W240" s="58">
        <f t="shared" si="102"/>
        <v>0</v>
      </c>
      <c r="X240" s="58">
        <f t="shared" si="103"/>
        <v>0</v>
      </c>
      <c r="Y240" s="58">
        <f>SUMIF('JUNE (물량흐름)'!$C$13:$C$488,'In-out-bal products (155)(완성제품)'!B240,'JUNE (물량흐름)'!$X$13:$X$488)</f>
        <v>0</v>
      </c>
      <c r="Z240" s="58">
        <f t="shared" si="104"/>
        <v>0</v>
      </c>
      <c r="AA240" s="58">
        <f t="shared" si="105"/>
        <v>0</v>
      </c>
      <c r="AB240" s="58"/>
      <c r="AC240" s="58"/>
      <c r="AD240" s="61"/>
      <c r="AE240" s="58">
        <f t="shared" si="106"/>
        <v>0</v>
      </c>
      <c r="AF240" s="58">
        <f t="shared" si="107"/>
        <v>0</v>
      </c>
      <c r="AG240" s="61">
        <f t="shared" si="108"/>
        <v>0</v>
      </c>
      <c r="AH240" s="58">
        <v>0</v>
      </c>
      <c r="AI240" s="58">
        <v>0</v>
      </c>
      <c r="AJ240" s="61">
        <v>0</v>
      </c>
      <c r="AK240" s="58"/>
      <c r="AL240" s="58"/>
      <c r="AM240" s="61"/>
      <c r="AN240" s="61">
        <f t="shared" si="109"/>
        <v>0</v>
      </c>
      <c r="AO240" s="58">
        <f t="shared" si="110"/>
        <v>0</v>
      </c>
      <c r="AP240" s="61">
        <f t="shared" si="111"/>
        <v>0</v>
      </c>
      <c r="AQ240" s="58">
        <f t="shared" si="112"/>
        <v>0</v>
      </c>
      <c r="AR240" s="58">
        <f t="shared" si="113"/>
        <v>0</v>
      </c>
      <c r="AS240" s="58">
        <f t="shared" si="114"/>
        <v>0</v>
      </c>
      <c r="AT240" s="58">
        <f>ROUND(SUMIF('JUNE (물량흐름)'!$C$13:$C$502,'In-out-bal products (155)(완성제품)'!B240,'JUNE (물량흐름)'!$AB$13:$AB$502),0)</f>
        <v>0</v>
      </c>
      <c r="AU240" s="58">
        <f t="shared" si="115"/>
        <v>0</v>
      </c>
      <c r="AV240" s="58">
        <f>ROUND(SUMIF('JUNE (물량흐름)'!$C$13:$C$502,'In-out-bal products (155)(완성제품)'!B240,'JUNE (물량흐름)'!$AC$13:$AC$502),0)</f>
        <v>0</v>
      </c>
      <c r="AW240" s="58">
        <f t="shared" si="116"/>
        <v>0</v>
      </c>
      <c r="AX240" s="376">
        <f t="shared" si="117"/>
        <v>0</v>
      </c>
      <c r="AY240" s="377">
        <f t="shared" si="118"/>
        <v>0</v>
      </c>
      <c r="AZ240" s="377">
        <f t="shared" si="119"/>
        <v>0</v>
      </c>
      <c r="BA240" s="377">
        <f t="shared" si="120"/>
        <v>0</v>
      </c>
      <c r="BB240" s="377"/>
      <c r="BC240" s="377">
        <f t="shared" si="121"/>
        <v>0</v>
      </c>
      <c r="BD240" s="377">
        <f t="shared" si="122"/>
        <v>0</v>
      </c>
      <c r="BE240" s="377"/>
      <c r="BF240" s="377">
        <f t="shared" si="123"/>
        <v>0</v>
      </c>
      <c r="BG240" s="433">
        <f t="shared" si="124"/>
        <v>0</v>
      </c>
      <c r="BH240" s="434">
        <f t="shared" si="125"/>
        <v>0</v>
      </c>
    </row>
    <row r="241" spans="1:60" s="378" customFormat="1">
      <c r="A241" s="167">
        <v>231</v>
      </c>
      <c r="B241" s="253">
        <f>VLOOKUP(A241,'JUNE (물량흐름)'!$A$13:$C$493,3,0)</f>
        <v>460591</v>
      </c>
      <c r="C241" s="57" t="str">
        <f>VLOOKUP(A241,'JUNE (물량흐름)'!$A$13:$C$493,2,0)</f>
        <v>ANN TAYLOR</v>
      </c>
      <c r="D241" s="58">
        <f>IFERROR(VLOOKUP(B241,O.B.JUNE!$V$7:$Y$448,2,0),0)</f>
        <v>0</v>
      </c>
      <c r="E241" s="58">
        <f>IFERROR(VLOOKUP(B241,O.B.JUNE!$V$7:$X$448,3,0),0)</f>
        <v>0</v>
      </c>
      <c r="F241" s="58">
        <f>IFERROR(VLOOKUP(B241,O.B.JUNE!$V$7:$Y$448,4,0),0)</f>
        <v>0</v>
      </c>
      <c r="G241" s="58">
        <f>SUMIF('JUNE (물량흐름)'!$C$13:$C$493,'In-out-bal products (155)(완성제품)'!B241,'JUNE (물량흐름)'!$V$13:$V$493)</f>
        <v>0</v>
      </c>
      <c r="H241" s="58">
        <f>SUMIF('JUNE (물량흐름)'!$C$13:$C$493,'In-out-bal products (155)(완성제품)'!B241,'JUNE (물량흐름)'!$T$13:$T$493)-SUMIF('JUNE (물량흐름)'!$C$13:$C$493,'In-out-bal products (155)(완성제품)'!B241,'JUNE (물량흐름)'!$Y$13:$Y$493)+SUMIF('JUNE (물량흐름)'!$C$13:$C$493,'In-out-bal products (155)(완성제품)'!B241,'JUNE (물량흐름)'!$U$13:$U$493)</f>
        <v>0</v>
      </c>
      <c r="I241" s="58">
        <f t="shared" si="96"/>
        <v>0</v>
      </c>
      <c r="J241" s="58">
        <f>SUMIF('Direct labour(직접노무비)'!$C$12:$C$503,'In-out-bal products (155)(완성제품)'!B241,'Direct labour(직접노무비)'!$Q$12:$Q$503)</f>
        <v>0</v>
      </c>
      <c r="K241" s="59">
        <f>SUMIF('Overhead exp(제조경비)'!$C$12:$C$503,'In-out-bal products (155)(완성제품)'!B241,'Overhead exp(제조경비)'!$Q$12:$Q$503)</f>
        <v>0</v>
      </c>
      <c r="L241" s="58">
        <f t="shared" si="97"/>
        <v>0</v>
      </c>
      <c r="M241" s="58">
        <f>SUMIF('JUNE (물량흐름)'!$C$13:$C$488,'In-out-bal products (155)(완성제품)'!B241,'JUNE (물량흐름)'!$Y$13:$Y$488)</f>
        <v>0</v>
      </c>
      <c r="N241" s="58">
        <f t="shared" si="98"/>
        <v>0</v>
      </c>
      <c r="O241" s="58">
        <f>SUMIF('Direct labour(직접노무비)'!$C$12:$C$503,'In-out-bal products (155)(완성제품)'!B241,'Direct labour(직접노무비)'!$U$12:$U$503)+SUMIF('Overhead exp(제조경비)'!$C$12:$C$503,'In-out-bal products (155)(완성제품)'!B241,'Overhead exp(제조경비)'!$U$12:$U$503)</f>
        <v>0</v>
      </c>
      <c r="P241" s="60">
        <f t="shared" si="99"/>
        <v>0</v>
      </c>
      <c r="Q241" s="60">
        <f t="shared" si="100"/>
        <v>0</v>
      </c>
      <c r="R241" s="60">
        <f t="shared" si="101"/>
        <v>0</v>
      </c>
      <c r="S241" s="58">
        <v>0</v>
      </c>
      <c r="T241" s="58">
        <v>0</v>
      </c>
      <c r="U241" s="58">
        <v>0</v>
      </c>
      <c r="V241" s="58">
        <f>SUMIF('JUNE (물량흐름)'!$C$13:$C$493,'In-out-bal products (155)(완성제품)'!B241,'JUNE (물량흐름)'!$W$13:$W$493)</f>
        <v>0</v>
      </c>
      <c r="W241" s="58">
        <f t="shared" si="102"/>
        <v>0</v>
      </c>
      <c r="X241" s="58">
        <f t="shared" si="103"/>
        <v>0</v>
      </c>
      <c r="Y241" s="58">
        <f>SUMIF('JUNE (물량흐름)'!$C$13:$C$488,'In-out-bal products (155)(완성제품)'!B241,'JUNE (물량흐름)'!$X$13:$X$488)</f>
        <v>0</v>
      </c>
      <c r="Z241" s="58">
        <f t="shared" si="104"/>
        <v>0</v>
      </c>
      <c r="AA241" s="58">
        <f t="shared" si="105"/>
        <v>0</v>
      </c>
      <c r="AB241" s="58"/>
      <c r="AC241" s="58"/>
      <c r="AD241" s="61"/>
      <c r="AE241" s="58">
        <f t="shared" si="106"/>
        <v>0</v>
      </c>
      <c r="AF241" s="58">
        <f t="shared" si="107"/>
        <v>0</v>
      </c>
      <c r="AG241" s="61">
        <f t="shared" si="108"/>
        <v>0</v>
      </c>
      <c r="AH241" s="58">
        <v>0</v>
      </c>
      <c r="AI241" s="58">
        <v>0</v>
      </c>
      <c r="AJ241" s="61">
        <v>0</v>
      </c>
      <c r="AK241" s="58"/>
      <c r="AL241" s="58"/>
      <c r="AM241" s="61"/>
      <c r="AN241" s="61">
        <f t="shared" si="109"/>
        <v>0</v>
      </c>
      <c r="AO241" s="58">
        <f t="shared" si="110"/>
        <v>0</v>
      </c>
      <c r="AP241" s="61">
        <f t="shared" si="111"/>
        <v>0</v>
      </c>
      <c r="AQ241" s="58">
        <f t="shared" si="112"/>
        <v>0</v>
      </c>
      <c r="AR241" s="58">
        <f t="shared" si="113"/>
        <v>0</v>
      </c>
      <c r="AS241" s="58">
        <f t="shared" si="114"/>
        <v>0</v>
      </c>
      <c r="AT241" s="58">
        <f>ROUND(SUMIF('JUNE (물량흐름)'!$C$13:$C$502,'In-out-bal products (155)(완성제품)'!B241,'JUNE (물량흐름)'!$AB$13:$AB$502),0)</f>
        <v>0</v>
      </c>
      <c r="AU241" s="58">
        <f t="shared" si="115"/>
        <v>0</v>
      </c>
      <c r="AV241" s="58">
        <f>ROUND(SUMIF('JUNE (물량흐름)'!$C$13:$C$502,'In-out-bal products (155)(완성제품)'!B241,'JUNE (물량흐름)'!$AC$13:$AC$502),0)</f>
        <v>0</v>
      </c>
      <c r="AW241" s="58">
        <f t="shared" si="116"/>
        <v>0</v>
      </c>
      <c r="AX241" s="376">
        <f t="shared" si="117"/>
        <v>0</v>
      </c>
      <c r="AY241" s="377">
        <f t="shared" si="118"/>
        <v>0</v>
      </c>
      <c r="AZ241" s="377">
        <f t="shared" si="119"/>
        <v>0</v>
      </c>
      <c r="BA241" s="377">
        <f t="shared" si="120"/>
        <v>0</v>
      </c>
      <c r="BB241" s="377"/>
      <c r="BC241" s="377">
        <f t="shared" si="121"/>
        <v>0</v>
      </c>
      <c r="BD241" s="377">
        <f t="shared" si="122"/>
        <v>0</v>
      </c>
      <c r="BE241" s="377"/>
      <c r="BF241" s="377">
        <f t="shared" si="123"/>
        <v>0</v>
      </c>
      <c r="BG241" s="433">
        <f t="shared" si="124"/>
        <v>0</v>
      </c>
      <c r="BH241" s="434">
        <f t="shared" si="125"/>
        <v>0</v>
      </c>
    </row>
    <row r="242" spans="1:60" s="378" customFormat="1">
      <c r="A242" s="167">
        <v>232</v>
      </c>
      <c r="B242" s="253">
        <f>VLOOKUP(A242,'JUNE (물량흐름)'!$A$13:$C$493,3,0)</f>
        <v>460727</v>
      </c>
      <c r="C242" s="57" t="str">
        <f>VLOOKUP(A242,'JUNE (물량흐름)'!$A$13:$C$493,2,0)</f>
        <v>ANN TAYLOR</v>
      </c>
      <c r="D242" s="58">
        <f>IFERROR(VLOOKUP(B242,O.B.JUNE!$V$7:$Y$448,2,0),0)</f>
        <v>0</v>
      </c>
      <c r="E242" s="58">
        <f>IFERROR(VLOOKUP(B242,O.B.JUNE!$V$7:$X$448,3,0),0)</f>
        <v>0</v>
      </c>
      <c r="F242" s="58">
        <f>IFERROR(VLOOKUP(B242,O.B.JUNE!$V$7:$Y$448,4,0),0)</f>
        <v>0</v>
      </c>
      <c r="G242" s="58">
        <f>SUMIF('JUNE (물량흐름)'!$C$13:$C$493,'In-out-bal products (155)(완성제품)'!B242,'JUNE (물량흐름)'!$V$13:$V$493)</f>
        <v>0</v>
      </c>
      <c r="H242" s="58">
        <f>SUMIF('JUNE (물량흐름)'!$C$13:$C$493,'In-out-bal products (155)(완성제품)'!B242,'JUNE (물량흐름)'!$T$13:$T$493)-SUMIF('JUNE (물량흐름)'!$C$13:$C$493,'In-out-bal products (155)(완성제품)'!B242,'JUNE (물량흐름)'!$Y$13:$Y$493)+SUMIF('JUNE (물량흐름)'!$C$13:$C$493,'In-out-bal products (155)(완성제품)'!B242,'JUNE (물량흐름)'!$U$13:$U$493)</f>
        <v>0</v>
      </c>
      <c r="I242" s="58">
        <f t="shared" si="96"/>
        <v>0</v>
      </c>
      <c r="J242" s="58">
        <f>SUMIF('Direct labour(직접노무비)'!$C$12:$C$503,'In-out-bal products (155)(완성제품)'!B242,'Direct labour(직접노무비)'!$Q$12:$Q$503)</f>
        <v>0</v>
      </c>
      <c r="K242" s="59">
        <f>SUMIF('Overhead exp(제조경비)'!$C$12:$C$503,'In-out-bal products (155)(완성제품)'!B242,'Overhead exp(제조경비)'!$Q$12:$Q$503)</f>
        <v>0</v>
      </c>
      <c r="L242" s="58">
        <f t="shared" si="97"/>
        <v>0</v>
      </c>
      <c r="M242" s="58">
        <f>SUMIF('JUNE (물량흐름)'!$C$13:$C$488,'In-out-bal products (155)(완성제품)'!B242,'JUNE (물량흐름)'!$Y$13:$Y$488)</f>
        <v>0</v>
      </c>
      <c r="N242" s="58">
        <f t="shared" si="98"/>
        <v>0</v>
      </c>
      <c r="O242" s="58">
        <f>SUMIF('Direct labour(직접노무비)'!$C$12:$C$503,'In-out-bal products (155)(완성제품)'!B242,'Direct labour(직접노무비)'!$U$12:$U$503)+SUMIF('Overhead exp(제조경비)'!$C$12:$C$503,'In-out-bal products (155)(완성제품)'!B242,'Overhead exp(제조경비)'!$U$12:$U$503)</f>
        <v>0</v>
      </c>
      <c r="P242" s="60">
        <f t="shared" si="99"/>
        <v>0</v>
      </c>
      <c r="Q242" s="60">
        <f t="shared" si="100"/>
        <v>0</v>
      </c>
      <c r="R242" s="60">
        <f t="shared" si="101"/>
        <v>0</v>
      </c>
      <c r="S242" s="58">
        <v>0</v>
      </c>
      <c r="T242" s="58">
        <v>0</v>
      </c>
      <c r="U242" s="58">
        <v>0</v>
      </c>
      <c r="V242" s="58">
        <f>SUMIF('JUNE (물량흐름)'!$C$13:$C$493,'In-out-bal products (155)(완성제품)'!B242,'JUNE (물량흐름)'!$W$13:$W$493)</f>
        <v>0</v>
      </c>
      <c r="W242" s="58">
        <f t="shared" si="102"/>
        <v>0</v>
      </c>
      <c r="X242" s="58">
        <f t="shared" si="103"/>
        <v>0</v>
      </c>
      <c r="Y242" s="58">
        <f>SUMIF('JUNE (물량흐름)'!$C$13:$C$488,'In-out-bal products (155)(완성제품)'!B242,'JUNE (물량흐름)'!$X$13:$X$488)</f>
        <v>0</v>
      </c>
      <c r="Z242" s="58">
        <f t="shared" si="104"/>
        <v>0</v>
      </c>
      <c r="AA242" s="58">
        <f t="shared" si="105"/>
        <v>0</v>
      </c>
      <c r="AB242" s="58"/>
      <c r="AC242" s="58"/>
      <c r="AD242" s="61"/>
      <c r="AE242" s="58">
        <f t="shared" si="106"/>
        <v>0</v>
      </c>
      <c r="AF242" s="58">
        <f t="shared" si="107"/>
        <v>0</v>
      </c>
      <c r="AG242" s="61">
        <f t="shared" si="108"/>
        <v>0</v>
      </c>
      <c r="AH242" s="58">
        <v>0</v>
      </c>
      <c r="AI242" s="58">
        <v>0</v>
      </c>
      <c r="AJ242" s="61">
        <v>0</v>
      </c>
      <c r="AK242" s="58"/>
      <c r="AL242" s="58"/>
      <c r="AM242" s="61"/>
      <c r="AN242" s="61">
        <f t="shared" si="109"/>
        <v>0</v>
      </c>
      <c r="AO242" s="58">
        <f t="shared" si="110"/>
        <v>0</v>
      </c>
      <c r="AP242" s="61">
        <f t="shared" si="111"/>
        <v>0</v>
      </c>
      <c r="AQ242" s="58">
        <f t="shared" si="112"/>
        <v>0</v>
      </c>
      <c r="AR242" s="58">
        <f t="shared" si="113"/>
        <v>0</v>
      </c>
      <c r="AS242" s="58">
        <f t="shared" si="114"/>
        <v>0</v>
      </c>
      <c r="AT242" s="58">
        <f>ROUND(SUMIF('JUNE (물량흐름)'!$C$13:$C$502,'In-out-bal products (155)(완성제품)'!B242,'JUNE (물량흐름)'!$AB$13:$AB$502),0)</f>
        <v>0</v>
      </c>
      <c r="AU242" s="58">
        <f t="shared" si="115"/>
        <v>0</v>
      </c>
      <c r="AV242" s="58">
        <f>ROUND(SUMIF('JUNE (물량흐름)'!$C$13:$C$502,'In-out-bal products (155)(완성제품)'!B242,'JUNE (물량흐름)'!$AC$13:$AC$502),0)</f>
        <v>0</v>
      </c>
      <c r="AW242" s="58">
        <f t="shared" si="116"/>
        <v>0</v>
      </c>
      <c r="AX242" s="376">
        <f t="shared" si="117"/>
        <v>0</v>
      </c>
      <c r="AY242" s="377">
        <f t="shared" si="118"/>
        <v>0</v>
      </c>
      <c r="AZ242" s="377">
        <f t="shared" si="119"/>
        <v>0</v>
      </c>
      <c r="BA242" s="377">
        <f t="shared" si="120"/>
        <v>0</v>
      </c>
      <c r="BB242" s="377"/>
      <c r="BC242" s="377">
        <f t="shared" si="121"/>
        <v>0</v>
      </c>
      <c r="BD242" s="377">
        <f t="shared" si="122"/>
        <v>0</v>
      </c>
      <c r="BE242" s="377"/>
      <c r="BF242" s="377">
        <f t="shared" si="123"/>
        <v>0</v>
      </c>
      <c r="BG242" s="433">
        <f t="shared" si="124"/>
        <v>0</v>
      </c>
      <c r="BH242" s="434">
        <f t="shared" si="125"/>
        <v>0</v>
      </c>
    </row>
    <row r="243" spans="1:60" s="378" customFormat="1">
      <c r="A243" s="167">
        <v>233</v>
      </c>
      <c r="B243" s="253">
        <f>VLOOKUP(A243,'JUNE (물량흐름)'!$A$13:$C$493,3,0)</f>
        <v>461609</v>
      </c>
      <c r="C243" s="57" t="str">
        <f>VLOOKUP(A243,'JUNE (물량흐름)'!$A$13:$C$493,2,0)</f>
        <v>ANN TAYLOR</v>
      </c>
      <c r="D243" s="58">
        <f>IFERROR(VLOOKUP(B243,O.B.JUNE!$V$7:$Y$448,2,0),0)</f>
        <v>0</v>
      </c>
      <c r="E243" s="58">
        <f>IFERROR(VLOOKUP(B243,O.B.JUNE!$V$7:$X$448,3,0),0)</f>
        <v>0</v>
      </c>
      <c r="F243" s="58">
        <f>IFERROR(VLOOKUP(B243,O.B.JUNE!$V$7:$Y$448,4,0),0)</f>
        <v>0</v>
      </c>
      <c r="G243" s="58">
        <f>SUMIF('JUNE (물량흐름)'!$C$13:$C$493,'In-out-bal products (155)(완성제품)'!B243,'JUNE (물량흐름)'!$V$13:$V$493)</f>
        <v>0</v>
      </c>
      <c r="H243" s="58">
        <f>SUMIF('JUNE (물량흐름)'!$C$13:$C$493,'In-out-bal products (155)(완성제품)'!B243,'JUNE (물량흐름)'!$T$13:$T$493)-SUMIF('JUNE (물량흐름)'!$C$13:$C$493,'In-out-bal products (155)(완성제품)'!B243,'JUNE (물량흐름)'!$Y$13:$Y$493)+SUMIF('JUNE (물량흐름)'!$C$13:$C$493,'In-out-bal products (155)(완성제품)'!B243,'JUNE (물량흐름)'!$U$13:$U$493)</f>
        <v>0</v>
      </c>
      <c r="I243" s="58">
        <f t="shared" si="96"/>
        <v>0</v>
      </c>
      <c r="J243" s="58">
        <f>SUMIF('Direct labour(직접노무비)'!$C$12:$C$503,'In-out-bal products (155)(완성제품)'!B243,'Direct labour(직접노무비)'!$Q$12:$Q$503)</f>
        <v>0</v>
      </c>
      <c r="K243" s="59">
        <f>SUMIF('Overhead exp(제조경비)'!$C$12:$C$503,'In-out-bal products (155)(완성제품)'!B243,'Overhead exp(제조경비)'!$Q$12:$Q$503)</f>
        <v>0</v>
      </c>
      <c r="L243" s="58">
        <f t="shared" si="97"/>
        <v>0</v>
      </c>
      <c r="M243" s="58">
        <f>SUMIF('JUNE (물량흐름)'!$C$13:$C$488,'In-out-bal products (155)(완성제품)'!B243,'JUNE (물량흐름)'!$Y$13:$Y$488)</f>
        <v>0</v>
      </c>
      <c r="N243" s="58">
        <f t="shared" si="98"/>
        <v>0</v>
      </c>
      <c r="O243" s="58">
        <f>SUMIF('Direct labour(직접노무비)'!$C$12:$C$503,'In-out-bal products (155)(완성제품)'!B243,'Direct labour(직접노무비)'!$U$12:$U$503)+SUMIF('Overhead exp(제조경비)'!$C$12:$C$503,'In-out-bal products (155)(완성제품)'!B243,'Overhead exp(제조경비)'!$U$12:$U$503)</f>
        <v>0</v>
      </c>
      <c r="P243" s="60">
        <f t="shared" si="99"/>
        <v>0</v>
      </c>
      <c r="Q243" s="60">
        <f t="shared" si="100"/>
        <v>0</v>
      </c>
      <c r="R243" s="60">
        <f t="shared" si="101"/>
        <v>0</v>
      </c>
      <c r="S243" s="58">
        <v>0</v>
      </c>
      <c r="T243" s="58">
        <v>0</v>
      </c>
      <c r="U243" s="58">
        <v>0</v>
      </c>
      <c r="V243" s="58">
        <f>SUMIF('JUNE (물량흐름)'!$C$13:$C$493,'In-out-bal products (155)(완성제품)'!B243,'JUNE (물량흐름)'!$W$13:$W$493)</f>
        <v>0</v>
      </c>
      <c r="W243" s="58">
        <f t="shared" si="102"/>
        <v>0</v>
      </c>
      <c r="X243" s="58">
        <f t="shared" si="103"/>
        <v>0</v>
      </c>
      <c r="Y243" s="58">
        <f>SUMIF('JUNE (물량흐름)'!$C$13:$C$488,'In-out-bal products (155)(완성제품)'!B243,'JUNE (물량흐름)'!$X$13:$X$488)</f>
        <v>0</v>
      </c>
      <c r="Z243" s="58">
        <f t="shared" si="104"/>
        <v>0</v>
      </c>
      <c r="AA243" s="58">
        <f t="shared" si="105"/>
        <v>0</v>
      </c>
      <c r="AB243" s="58"/>
      <c r="AC243" s="58"/>
      <c r="AD243" s="61"/>
      <c r="AE243" s="58">
        <f t="shared" si="106"/>
        <v>0</v>
      </c>
      <c r="AF243" s="58">
        <f t="shared" si="107"/>
        <v>0</v>
      </c>
      <c r="AG243" s="61">
        <f t="shared" si="108"/>
        <v>0</v>
      </c>
      <c r="AH243" s="58">
        <v>0</v>
      </c>
      <c r="AI243" s="58">
        <v>0</v>
      </c>
      <c r="AJ243" s="61">
        <v>0</v>
      </c>
      <c r="AK243" s="58"/>
      <c r="AL243" s="58"/>
      <c r="AM243" s="61"/>
      <c r="AN243" s="61">
        <f t="shared" si="109"/>
        <v>0</v>
      </c>
      <c r="AO243" s="58">
        <f t="shared" si="110"/>
        <v>0</v>
      </c>
      <c r="AP243" s="61">
        <f t="shared" si="111"/>
        <v>0</v>
      </c>
      <c r="AQ243" s="58">
        <f t="shared" si="112"/>
        <v>0</v>
      </c>
      <c r="AR243" s="58">
        <f t="shared" si="113"/>
        <v>0</v>
      </c>
      <c r="AS243" s="58">
        <f t="shared" si="114"/>
        <v>0</v>
      </c>
      <c r="AT243" s="58">
        <f>ROUND(SUMIF('JUNE (물량흐름)'!$C$13:$C$502,'In-out-bal products (155)(완성제품)'!B243,'JUNE (물량흐름)'!$AB$13:$AB$502),0)</f>
        <v>0</v>
      </c>
      <c r="AU243" s="58">
        <f t="shared" si="115"/>
        <v>0</v>
      </c>
      <c r="AV243" s="58">
        <f>ROUND(SUMIF('JUNE (물량흐름)'!$C$13:$C$502,'In-out-bal products (155)(완성제품)'!B243,'JUNE (물량흐름)'!$AC$13:$AC$502),0)</f>
        <v>0</v>
      </c>
      <c r="AW243" s="58">
        <f t="shared" si="116"/>
        <v>0</v>
      </c>
      <c r="AX243" s="376">
        <f t="shared" si="117"/>
        <v>0</v>
      </c>
      <c r="AY243" s="377">
        <f t="shared" si="118"/>
        <v>0</v>
      </c>
      <c r="AZ243" s="377">
        <f t="shared" si="119"/>
        <v>0</v>
      </c>
      <c r="BA243" s="377">
        <f t="shared" si="120"/>
        <v>0</v>
      </c>
      <c r="BB243" s="377"/>
      <c r="BC243" s="377">
        <f t="shared" si="121"/>
        <v>0</v>
      </c>
      <c r="BD243" s="377">
        <f t="shared" si="122"/>
        <v>0</v>
      </c>
      <c r="BE243" s="377"/>
      <c r="BF243" s="377">
        <f t="shared" si="123"/>
        <v>0</v>
      </c>
      <c r="BG243" s="433">
        <f t="shared" si="124"/>
        <v>0</v>
      </c>
      <c r="BH243" s="434">
        <f t="shared" si="125"/>
        <v>0</v>
      </c>
    </row>
    <row r="244" spans="1:60" s="378" customFormat="1">
      <c r="A244" s="167">
        <v>234</v>
      </c>
      <c r="B244" s="253">
        <f>VLOOKUP(A244,'JUNE (물량흐름)'!$A$13:$C$493,3,0)</f>
        <v>464818</v>
      </c>
      <c r="C244" s="57" t="str">
        <f>VLOOKUP(A244,'JUNE (물량흐름)'!$A$13:$C$493,2,0)</f>
        <v>ANN TAYLOR</v>
      </c>
      <c r="D244" s="58">
        <f>IFERROR(VLOOKUP(B244,O.B.JUNE!$V$7:$Y$448,2,0),0)</f>
        <v>0</v>
      </c>
      <c r="E244" s="58">
        <f>IFERROR(VLOOKUP(B244,O.B.JUNE!$V$7:$X$448,3,0),0)</f>
        <v>0</v>
      </c>
      <c r="F244" s="58">
        <f>IFERROR(VLOOKUP(B244,O.B.JUNE!$V$7:$Y$448,4,0),0)</f>
        <v>0</v>
      </c>
      <c r="G244" s="58">
        <f>SUMIF('JUNE (물량흐름)'!$C$13:$C$493,'In-out-bal products (155)(완성제품)'!B244,'JUNE (물량흐름)'!$V$13:$V$493)</f>
        <v>0</v>
      </c>
      <c r="H244" s="58">
        <f>SUMIF('JUNE (물량흐름)'!$C$13:$C$493,'In-out-bal products (155)(완성제품)'!B244,'JUNE (물량흐름)'!$T$13:$T$493)-SUMIF('JUNE (물량흐름)'!$C$13:$C$493,'In-out-bal products (155)(완성제품)'!B244,'JUNE (물량흐름)'!$Y$13:$Y$493)+SUMIF('JUNE (물량흐름)'!$C$13:$C$493,'In-out-bal products (155)(완성제품)'!B244,'JUNE (물량흐름)'!$U$13:$U$493)</f>
        <v>0</v>
      </c>
      <c r="I244" s="58">
        <f t="shared" si="96"/>
        <v>0</v>
      </c>
      <c r="J244" s="58">
        <f>SUMIF('Direct labour(직접노무비)'!$C$12:$C$503,'In-out-bal products (155)(완성제품)'!B244,'Direct labour(직접노무비)'!$Q$12:$Q$503)</f>
        <v>0</v>
      </c>
      <c r="K244" s="59">
        <f>SUMIF('Overhead exp(제조경비)'!$C$12:$C$503,'In-out-bal products (155)(완성제품)'!B244,'Overhead exp(제조경비)'!$Q$12:$Q$503)</f>
        <v>0</v>
      </c>
      <c r="L244" s="58">
        <f t="shared" si="97"/>
        <v>0</v>
      </c>
      <c r="M244" s="58">
        <f>SUMIF('JUNE (물량흐름)'!$C$13:$C$488,'In-out-bal products (155)(완성제품)'!B244,'JUNE (물량흐름)'!$Y$13:$Y$488)</f>
        <v>0</v>
      </c>
      <c r="N244" s="58">
        <f t="shared" si="98"/>
        <v>0</v>
      </c>
      <c r="O244" s="58">
        <f>SUMIF('Direct labour(직접노무비)'!$C$12:$C$503,'In-out-bal products (155)(완성제품)'!B244,'Direct labour(직접노무비)'!$U$12:$U$503)+SUMIF('Overhead exp(제조경비)'!$C$12:$C$503,'In-out-bal products (155)(완성제품)'!B244,'Overhead exp(제조경비)'!$U$12:$U$503)</f>
        <v>0</v>
      </c>
      <c r="P244" s="60">
        <f t="shared" si="99"/>
        <v>0</v>
      </c>
      <c r="Q244" s="60">
        <f t="shared" si="100"/>
        <v>0</v>
      </c>
      <c r="R244" s="60">
        <f t="shared" si="101"/>
        <v>0</v>
      </c>
      <c r="S244" s="58">
        <v>0</v>
      </c>
      <c r="T244" s="58">
        <v>0</v>
      </c>
      <c r="U244" s="58">
        <v>0</v>
      </c>
      <c r="V244" s="58">
        <f>SUMIF('JUNE (물량흐름)'!$C$13:$C$493,'In-out-bal products (155)(완성제품)'!B244,'JUNE (물량흐름)'!$W$13:$W$493)</f>
        <v>0</v>
      </c>
      <c r="W244" s="58">
        <f t="shared" si="102"/>
        <v>0</v>
      </c>
      <c r="X244" s="58">
        <f t="shared" si="103"/>
        <v>0</v>
      </c>
      <c r="Y244" s="58">
        <f>SUMIF('JUNE (물량흐름)'!$C$13:$C$488,'In-out-bal products (155)(완성제품)'!B244,'JUNE (물량흐름)'!$X$13:$X$488)</f>
        <v>0</v>
      </c>
      <c r="Z244" s="58">
        <f t="shared" si="104"/>
        <v>0</v>
      </c>
      <c r="AA244" s="58">
        <f t="shared" si="105"/>
        <v>0</v>
      </c>
      <c r="AB244" s="58"/>
      <c r="AC244" s="58"/>
      <c r="AD244" s="61"/>
      <c r="AE244" s="58">
        <f t="shared" si="106"/>
        <v>0</v>
      </c>
      <c r="AF244" s="58">
        <f t="shared" si="107"/>
        <v>0</v>
      </c>
      <c r="AG244" s="61">
        <f t="shared" si="108"/>
        <v>0</v>
      </c>
      <c r="AH244" s="58">
        <v>0</v>
      </c>
      <c r="AI244" s="58">
        <v>0</v>
      </c>
      <c r="AJ244" s="61">
        <v>0</v>
      </c>
      <c r="AK244" s="58"/>
      <c r="AL244" s="58"/>
      <c r="AM244" s="61"/>
      <c r="AN244" s="61">
        <f t="shared" si="109"/>
        <v>0</v>
      </c>
      <c r="AO244" s="58">
        <f t="shared" si="110"/>
        <v>0</v>
      </c>
      <c r="AP244" s="61">
        <f t="shared" si="111"/>
        <v>0</v>
      </c>
      <c r="AQ244" s="58">
        <f t="shared" si="112"/>
        <v>0</v>
      </c>
      <c r="AR244" s="58">
        <f t="shared" si="113"/>
        <v>0</v>
      </c>
      <c r="AS244" s="58">
        <f t="shared" si="114"/>
        <v>0</v>
      </c>
      <c r="AT244" s="58">
        <f>ROUND(SUMIF('JUNE (물량흐름)'!$C$13:$C$502,'In-out-bal products (155)(완성제품)'!B244,'JUNE (물량흐름)'!$AB$13:$AB$502),0)</f>
        <v>0</v>
      </c>
      <c r="AU244" s="58">
        <f t="shared" si="115"/>
        <v>0</v>
      </c>
      <c r="AV244" s="58">
        <f>ROUND(SUMIF('JUNE (물량흐름)'!$C$13:$C$502,'In-out-bal products (155)(완성제품)'!B244,'JUNE (물량흐름)'!$AC$13:$AC$502),0)</f>
        <v>0</v>
      </c>
      <c r="AW244" s="58">
        <f t="shared" si="116"/>
        <v>0</v>
      </c>
      <c r="AX244" s="376">
        <f t="shared" si="117"/>
        <v>0</v>
      </c>
      <c r="AY244" s="377">
        <f t="shared" si="118"/>
        <v>0</v>
      </c>
      <c r="AZ244" s="377">
        <f t="shared" si="119"/>
        <v>0</v>
      </c>
      <c r="BA244" s="377">
        <f t="shared" si="120"/>
        <v>0</v>
      </c>
      <c r="BB244" s="377"/>
      <c r="BC244" s="377">
        <f t="shared" si="121"/>
        <v>0</v>
      </c>
      <c r="BD244" s="377">
        <f t="shared" si="122"/>
        <v>0</v>
      </c>
      <c r="BE244" s="377"/>
      <c r="BF244" s="377">
        <f t="shared" si="123"/>
        <v>0</v>
      </c>
      <c r="BG244" s="433">
        <f t="shared" si="124"/>
        <v>0</v>
      </c>
      <c r="BH244" s="434">
        <f t="shared" si="125"/>
        <v>0</v>
      </c>
    </row>
    <row r="245" spans="1:60" s="378" customFormat="1">
      <c r="A245" s="167">
        <v>235</v>
      </c>
      <c r="B245" s="253">
        <f>VLOOKUP(A245,'JUNE (물량흐름)'!$A$13:$C$493,3,0)</f>
        <v>465184</v>
      </c>
      <c r="C245" s="57" t="str">
        <f>VLOOKUP(A245,'JUNE (물량흐름)'!$A$13:$C$493,2,0)</f>
        <v>ANN TAYLOR</v>
      </c>
      <c r="D245" s="58">
        <f>IFERROR(VLOOKUP(B245,O.B.JUNE!$V$7:$Y$448,2,0),0)</f>
        <v>0</v>
      </c>
      <c r="E245" s="58">
        <f>IFERROR(VLOOKUP(B245,O.B.JUNE!$V$7:$X$448,3,0),0)</f>
        <v>0</v>
      </c>
      <c r="F245" s="58">
        <f>IFERROR(VLOOKUP(B245,O.B.JUNE!$V$7:$Y$448,4,0),0)</f>
        <v>0</v>
      </c>
      <c r="G245" s="58">
        <f>SUMIF('JUNE (물량흐름)'!$C$13:$C$493,'In-out-bal products (155)(완성제품)'!B245,'JUNE (물량흐름)'!$V$13:$V$493)</f>
        <v>0</v>
      </c>
      <c r="H245" s="58">
        <f>SUMIF('JUNE (물량흐름)'!$C$13:$C$493,'In-out-bal products (155)(완성제품)'!B245,'JUNE (물량흐름)'!$T$13:$T$493)-SUMIF('JUNE (물량흐름)'!$C$13:$C$493,'In-out-bal products (155)(완성제품)'!B245,'JUNE (물량흐름)'!$Y$13:$Y$493)+SUMIF('JUNE (물량흐름)'!$C$13:$C$493,'In-out-bal products (155)(완성제품)'!B245,'JUNE (물량흐름)'!$U$13:$U$493)</f>
        <v>0</v>
      </c>
      <c r="I245" s="58">
        <f t="shared" si="96"/>
        <v>0</v>
      </c>
      <c r="J245" s="58">
        <f>SUMIF('Direct labour(직접노무비)'!$C$12:$C$503,'In-out-bal products (155)(완성제품)'!B245,'Direct labour(직접노무비)'!$Q$12:$Q$503)</f>
        <v>0</v>
      </c>
      <c r="K245" s="59">
        <f>SUMIF('Overhead exp(제조경비)'!$C$12:$C$503,'In-out-bal products (155)(완성제품)'!B245,'Overhead exp(제조경비)'!$Q$12:$Q$503)</f>
        <v>0</v>
      </c>
      <c r="L245" s="58">
        <f t="shared" si="97"/>
        <v>0</v>
      </c>
      <c r="M245" s="58">
        <f>SUMIF('JUNE (물량흐름)'!$C$13:$C$488,'In-out-bal products (155)(완성제품)'!B245,'JUNE (물량흐름)'!$Y$13:$Y$488)</f>
        <v>0</v>
      </c>
      <c r="N245" s="58">
        <f t="shared" si="98"/>
        <v>0</v>
      </c>
      <c r="O245" s="58">
        <f>SUMIF('Direct labour(직접노무비)'!$C$12:$C$503,'In-out-bal products (155)(완성제품)'!B245,'Direct labour(직접노무비)'!$U$12:$U$503)+SUMIF('Overhead exp(제조경비)'!$C$12:$C$503,'In-out-bal products (155)(완성제품)'!B245,'Overhead exp(제조경비)'!$U$12:$U$503)</f>
        <v>0</v>
      </c>
      <c r="P245" s="60">
        <f t="shared" si="99"/>
        <v>0</v>
      </c>
      <c r="Q245" s="60">
        <f t="shared" si="100"/>
        <v>0</v>
      </c>
      <c r="R245" s="60">
        <f t="shared" si="101"/>
        <v>0</v>
      </c>
      <c r="S245" s="58">
        <v>0</v>
      </c>
      <c r="T245" s="58">
        <v>0</v>
      </c>
      <c r="U245" s="58">
        <v>0</v>
      </c>
      <c r="V245" s="58">
        <f>SUMIF('JUNE (물량흐름)'!$C$13:$C$493,'In-out-bal products (155)(완성제품)'!B245,'JUNE (물량흐름)'!$W$13:$W$493)</f>
        <v>0</v>
      </c>
      <c r="W245" s="58">
        <f t="shared" si="102"/>
        <v>0</v>
      </c>
      <c r="X245" s="58">
        <f t="shared" si="103"/>
        <v>0</v>
      </c>
      <c r="Y245" s="58">
        <f>SUMIF('JUNE (물량흐름)'!$C$13:$C$488,'In-out-bal products (155)(완성제품)'!B245,'JUNE (물량흐름)'!$X$13:$X$488)</f>
        <v>0</v>
      </c>
      <c r="Z245" s="58">
        <f t="shared" si="104"/>
        <v>0</v>
      </c>
      <c r="AA245" s="58">
        <f t="shared" si="105"/>
        <v>0</v>
      </c>
      <c r="AB245" s="58"/>
      <c r="AC245" s="58"/>
      <c r="AD245" s="61"/>
      <c r="AE245" s="58">
        <f t="shared" si="106"/>
        <v>0</v>
      </c>
      <c r="AF245" s="58">
        <f t="shared" si="107"/>
        <v>0</v>
      </c>
      <c r="AG245" s="61">
        <f t="shared" si="108"/>
        <v>0</v>
      </c>
      <c r="AH245" s="58">
        <v>0</v>
      </c>
      <c r="AI245" s="58">
        <v>0</v>
      </c>
      <c r="AJ245" s="61">
        <v>0</v>
      </c>
      <c r="AK245" s="58"/>
      <c r="AL245" s="58"/>
      <c r="AM245" s="61"/>
      <c r="AN245" s="61">
        <f t="shared" si="109"/>
        <v>0</v>
      </c>
      <c r="AO245" s="58">
        <f t="shared" si="110"/>
        <v>0</v>
      </c>
      <c r="AP245" s="61">
        <f t="shared" si="111"/>
        <v>0</v>
      </c>
      <c r="AQ245" s="58">
        <f t="shared" si="112"/>
        <v>0</v>
      </c>
      <c r="AR245" s="58">
        <f t="shared" si="113"/>
        <v>0</v>
      </c>
      <c r="AS245" s="58">
        <f t="shared" si="114"/>
        <v>0</v>
      </c>
      <c r="AT245" s="58">
        <f>ROUND(SUMIF('JUNE (물량흐름)'!$C$13:$C$502,'In-out-bal products (155)(완성제품)'!B245,'JUNE (물량흐름)'!$AB$13:$AB$502),0)</f>
        <v>0</v>
      </c>
      <c r="AU245" s="58">
        <f t="shared" si="115"/>
        <v>0</v>
      </c>
      <c r="AV245" s="58">
        <f>ROUND(SUMIF('JUNE (물량흐름)'!$C$13:$C$502,'In-out-bal products (155)(완성제품)'!B245,'JUNE (물량흐름)'!$AC$13:$AC$502),0)</f>
        <v>0</v>
      </c>
      <c r="AW245" s="58">
        <f t="shared" si="116"/>
        <v>0</v>
      </c>
      <c r="AX245" s="376">
        <f t="shared" si="117"/>
        <v>0</v>
      </c>
      <c r="AY245" s="377">
        <f t="shared" si="118"/>
        <v>0</v>
      </c>
      <c r="AZ245" s="377">
        <f t="shared" si="119"/>
        <v>0</v>
      </c>
      <c r="BA245" s="377">
        <f t="shared" si="120"/>
        <v>0</v>
      </c>
      <c r="BB245" s="377"/>
      <c r="BC245" s="377">
        <f t="shared" si="121"/>
        <v>0</v>
      </c>
      <c r="BD245" s="377">
        <f t="shared" si="122"/>
        <v>0</v>
      </c>
      <c r="BE245" s="377"/>
      <c r="BF245" s="377">
        <f t="shared" si="123"/>
        <v>0</v>
      </c>
      <c r="BG245" s="433">
        <f t="shared" si="124"/>
        <v>0</v>
      </c>
      <c r="BH245" s="434">
        <f t="shared" si="125"/>
        <v>0</v>
      </c>
    </row>
    <row r="246" spans="1:60" s="378" customFormat="1">
      <c r="A246" s="167">
        <v>236</v>
      </c>
      <c r="B246" s="253">
        <f>VLOOKUP(A246,'JUNE (물량흐름)'!$A$13:$C$493,3,0)</f>
        <v>465409</v>
      </c>
      <c r="C246" s="57" t="str">
        <f>VLOOKUP(A246,'JUNE (물량흐름)'!$A$13:$C$493,2,0)</f>
        <v>ANN TAYLOR</v>
      </c>
      <c r="D246" s="58">
        <f>IFERROR(VLOOKUP(B246,O.B.JUNE!$V$7:$Y$448,2,0),0)</f>
        <v>0</v>
      </c>
      <c r="E246" s="58">
        <f>IFERROR(VLOOKUP(B246,O.B.JUNE!$V$7:$X$448,3,0),0)</f>
        <v>0</v>
      </c>
      <c r="F246" s="58">
        <f>IFERROR(VLOOKUP(B246,O.B.JUNE!$V$7:$Y$448,4,0),0)</f>
        <v>0</v>
      </c>
      <c r="G246" s="58">
        <f>SUMIF('JUNE (물량흐름)'!$C$13:$C$493,'In-out-bal products (155)(완성제품)'!B246,'JUNE (물량흐름)'!$V$13:$V$493)</f>
        <v>0</v>
      </c>
      <c r="H246" s="58">
        <f>SUMIF('JUNE (물량흐름)'!$C$13:$C$493,'In-out-bal products (155)(완성제품)'!B246,'JUNE (물량흐름)'!$T$13:$T$493)-SUMIF('JUNE (물량흐름)'!$C$13:$C$493,'In-out-bal products (155)(완성제품)'!B246,'JUNE (물량흐름)'!$Y$13:$Y$493)+SUMIF('JUNE (물량흐름)'!$C$13:$C$493,'In-out-bal products (155)(완성제품)'!B246,'JUNE (물량흐름)'!$U$13:$U$493)</f>
        <v>0</v>
      </c>
      <c r="I246" s="58">
        <f t="shared" si="96"/>
        <v>0</v>
      </c>
      <c r="J246" s="58">
        <f>SUMIF('Direct labour(직접노무비)'!$C$12:$C$503,'In-out-bal products (155)(완성제품)'!B246,'Direct labour(직접노무비)'!$Q$12:$Q$503)</f>
        <v>0</v>
      </c>
      <c r="K246" s="59">
        <f>SUMIF('Overhead exp(제조경비)'!$C$12:$C$503,'In-out-bal products (155)(완성제품)'!B246,'Overhead exp(제조경비)'!$Q$12:$Q$503)</f>
        <v>0</v>
      </c>
      <c r="L246" s="58">
        <f t="shared" si="97"/>
        <v>0</v>
      </c>
      <c r="M246" s="58">
        <f>SUMIF('JUNE (물량흐름)'!$C$13:$C$488,'In-out-bal products (155)(완성제품)'!B246,'JUNE (물량흐름)'!$Y$13:$Y$488)</f>
        <v>0</v>
      </c>
      <c r="N246" s="58">
        <f t="shared" si="98"/>
        <v>0</v>
      </c>
      <c r="O246" s="58">
        <f>SUMIF('Direct labour(직접노무비)'!$C$12:$C$503,'In-out-bal products (155)(완성제품)'!B246,'Direct labour(직접노무비)'!$U$12:$U$503)+SUMIF('Overhead exp(제조경비)'!$C$12:$C$503,'In-out-bal products (155)(완성제품)'!B246,'Overhead exp(제조경비)'!$U$12:$U$503)</f>
        <v>0</v>
      </c>
      <c r="P246" s="60">
        <f t="shared" si="99"/>
        <v>0</v>
      </c>
      <c r="Q246" s="60">
        <f t="shared" si="100"/>
        <v>0</v>
      </c>
      <c r="R246" s="60">
        <f t="shared" si="101"/>
        <v>0</v>
      </c>
      <c r="S246" s="58">
        <v>0</v>
      </c>
      <c r="T246" s="58">
        <v>0</v>
      </c>
      <c r="U246" s="58">
        <v>0</v>
      </c>
      <c r="V246" s="58">
        <f>SUMIF('JUNE (물량흐름)'!$C$13:$C$493,'In-out-bal products (155)(완성제품)'!B246,'JUNE (물량흐름)'!$W$13:$W$493)</f>
        <v>0</v>
      </c>
      <c r="W246" s="58">
        <f t="shared" si="102"/>
        <v>0</v>
      </c>
      <c r="X246" s="58">
        <f t="shared" si="103"/>
        <v>0</v>
      </c>
      <c r="Y246" s="58">
        <f>SUMIF('JUNE (물량흐름)'!$C$13:$C$488,'In-out-bal products (155)(완성제품)'!B246,'JUNE (물량흐름)'!$X$13:$X$488)</f>
        <v>0</v>
      </c>
      <c r="Z246" s="58">
        <f t="shared" si="104"/>
        <v>0</v>
      </c>
      <c r="AA246" s="58">
        <f t="shared" si="105"/>
        <v>0</v>
      </c>
      <c r="AB246" s="58"/>
      <c r="AC246" s="58"/>
      <c r="AD246" s="61"/>
      <c r="AE246" s="58">
        <f t="shared" si="106"/>
        <v>0</v>
      </c>
      <c r="AF246" s="58">
        <f t="shared" si="107"/>
        <v>0</v>
      </c>
      <c r="AG246" s="61">
        <f t="shared" si="108"/>
        <v>0</v>
      </c>
      <c r="AH246" s="58">
        <v>0</v>
      </c>
      <c r="AI246" s="58">
        <v>0</v>
      </c>
      <c r="AJ246" s="61">
        <v>0</v>
      </c>
      <c r="AK246" s="58"/>
      <c r="AL246" s="58"/>
      <c r="AM246" s="61"/>
      <c r="AN246" s="61">
        <f t="shared" si="109"/>
        <v>0</v>
      </c>
      <c r="AO246" s="58">
        <f t="shared" si="110"/>
        <v>0</v>
      </c>
      <c r="AP246" s="61">
        <f t="shared" si="111"/>
        <v>0</v>
      </c>
      <c r="AQ246" s="58">
        <f t="shared" si="112"/>
        <v>0</v>
      </c>
      <c r="AR246" s="58">
        <f t="shared" si="113"/>
        <v>0</v>
      </c>
      <c r="AS246" s="58">
        <f t="shared" si="114"/>
        <v>0</v>
      </c>
      <c r="AT246" s="58">
        <f>ROUND(SUMIF('JUNE (물량흐름)'!$C$13:$C$502,'In-out-bal products (155)(완성제품)'!B246,'JUNE (물량흐름)'!$AB$13:$AB$502),0)</f>
        <v>0</v>
      </c>
      <c r="AU246" s="58">
        <f t="shared" si="115"/>
        <v>0</v>
      </c>
      <c r="AV246" s="58">
        <f>ROUND(SUMIF('JUNE (물량흐름)'!$C$13:$C$502,'In-out-bal products (155)(완성제품)'!B246,'JUNE (물량흐름)'!$AC$13:$AC$502),0)</f>
        <v>0</v>
      </c>
      <c r="AW246" s="58">
        <f t="shared" si="116"/>
        <v>0</v>
      </c>
      <c r="AX246" s="376">
        <f t="shared" si="117"/>
        <v>0</v>
      </c>
      <c r="AY246" s="377">
        <f t="shared" si="118"/>
        <v>0</v>
      </c>
      <c r="AZ246" s="377">
        <f t="shared" si="119"/>
        <v>0</v>
      </c>
      <c r="BA246" s="377">
        <f t="shared" si="120"/>
        <v>0</v>
      </c>
      <c r="BB246" s="377"/>
      <c r="BC246" s="377">
        <f t="shared" si="121"/>
        <v>0</v>
      </c>
      <c r="BD246" s="377">
        <f t="shared" si="122"/>
        <v>0</v>
      </c>
      <c r="BE246" s="377"/>
      <c r="BF246" s="377">
        <f t="shared" si="123"/>
        <v>0</v>
      </c>
      <c r="BG246" s="433">
        <f t="shared" si="124"/>
        <v>0</v>
      </c>
      <c r="BH246" s="434">
        <f t="shared" si="125"/>
        <v>0</v>
      </c>
    </row>
    <row r="247" spans="1:60" s="378" customFormat="1">
      <c r="A247" s="167">
        <v>237</v>
      </c>
      <c r="B247" s="253">
        <f>VLOOKUP(A247,'JUNE (물량흐름)'!$A$13:$C$493,3,0)</f>
        <v>100010055</v>
      </c>
      <c r="C247" s="57" t="str">
        <f>VLOOKUP(A247,'JUNE (물량흐름)'!$A$13:$C$493,2,0)</f>
        <v>CHARTER CLUB</v>
      </c>
      <c r="D247" s="58">
        <f>IFERROR(VLOOKUP(B247,O.B.JUNE!$V$7:$Y$448,2,0),0)</f>
        <v>0</v>
      </c>
      <c r="E247" s="58">
        <f>IFERROR(VLOOKUP(B247,O.B.JUNE!$V$7:$X$448,3,0),0)</f>
        <v>0</v>
      </c>
      <c r="F247" s="58">
        <f>IFERROR(VLOOKUP(B247,O.B.JUNE!$V$7:$Y$448,4,0),0)</f>
        <v>0</v>
      </c>
      <c r="G247" s="58">
        <f>SUMIF('JUNE (물량흐름)'!$C$13:$C$493,'In-out-bal products (155)(완성제품)'!B247,'JUNE (물량흐름)'!$V$13:$V$493)</f>
        <v>0</v>
      </c>
      <c r="H247" s="58">
        <f>SUMIF('JUNE (물량흐름)'!$C$13:$C$493,'In-out-bal products (155)(완성제품)'!B247,'JUNE (물량흐름)'!$T$13:$T$493)-SUMIF('JUNE (물량흐름)'!$C$13:$C$493,'In-out-bal products (155)(완성제품)'!B247,'JUNE (물량흐름)'!$Y$13:$Y$493)+SUMIF('JUNE (물량흐름)'!$C$13:$C$493,'In-out-bal products (155)(완성제품)'!B247,'JUNE (물량흐름)'!$U$13:$U$493)</f>
        <v>0</v>
      </c>
      <c r="I247" s="58">
        <f t="shared" si="96"/>
        <v>0</v>
      </c>
      <c r="J247" s="58">
        <f>SUMIF('Direct labour(직접노무비)'!$C$12:$C$503,'In-out-bal products (155)(완성제품)'!B247,'Direct labour(직접노무비)'!$Q$12:$Q$503)</f>
        <v>0</v>
      </c>
      <c r="K247" s="59">
        <f>SUMIF('Overhead exp(제조경비)'!$C$12:$C$503,'In-out-bal products (155)(완성제품)'!B247,'Overhead exp(제조경비)'!$Q$12:$Q$503)</f>
        <v>0</v>
      </c>
      <c r="L247" s="58">
        <f t="shared" si="97"/>
        <v>0</v>
      </c>
      <c r="M247" s="58">
        <f>SUMIF('JUNE (물량흐름)'!$C$13:$C$488,'In-out-bal products (155)(완성제품)'!B247,'JUNE (물량흐름)'!$Y$13:$Y$488)</f>
        <v>0</v>
      </c>
      <c r="N247" s="58">
        <f t="shared" si="98"/>
        <v>0</v>
      </c>
      <c r="O247" s="58">
        <f>SUMIF('Direct labour(직접노무비)'!$C$12:$C$503,'In-out-bal products (155)(완성제품)'!B247,'Direct labour(직접노무비)'!$U$12:$U$503)+SUMIF('Overhead exp(제조경비)'!$C$12:$C$503,'In-out-bal products (155)(완성제품)'!B247,'Overhead exp(제조경비)'!$U$12:$U$503)</f>
        <v>0</v>
      </c>
      <c r="P247" s="60">
        <f t="shared" si="99"/>
        <v>0</v>
      </c>
      <c r="Q247" s="60">
        <f t="shared" si="100"/>
        <v>0</v>
      </c>
      <c r="R247" s="60">
        <f t="shared" si="101"/>
        <v>0</v>
      </c>
      <c r="S247" s="58">
        <v>0</v>
      </c>
      <c r="T247" s="58">
        <v>0</v>
      </c>
      <c r="U247" s="58">
        <v>0</v>
      </c>
      <c r="V247" s="58">
        <f>SUMIF('JUNE (물량흐름)'!$C$13:$C$493,'In-out-bal products (155)(완성제품)'!B247,'JUNE (물량흐름)'!$W$13:$W$493)</f>
        <v>0</v>
      </c>
      <c r="W247" s="58">
        <f t="shared" si="102"/>
        <v>0</v>
      </c>
      <c r="X247" s="58">
        <f t="shared" si="103"/>
        <v>0</v>
      </c>
      <c r="Y247" s="58">
        <f>SUMIF('JUNE (물량흐름)'!$C$13:$C$488,'In-out-bal products (155)(완성제품)'!B247,'JUNE (물량흐름)'!$X$13:$X$488)</f>
        <v>0</v>
      </c>
      <c r="Z247" s="58">
        <f t="shared" si="104"/>
        <v>0</v>
      </c>
      <c r="AA247" s="58">
        <f t="shared" si="105"/>
        <v>0</v>
      </c>
      <c r="AB247" s="58"/>
      <c r="AC247" s="58"/>
      <c r="AD247" s="61"/>
      <c r="AE247" s="58">
        <f t="shared" si="106"/>
        <v>0</v>
      </c>
      <c r="AF247" s="58">
        <f t="shared" si="107"/>
        <v>0</v>
      </c>
      <c r="AG247" s="61">
        <f t="shared" si="108"/>
        <v>0</v>
      </c>
      <c r="AH247" s="58">
        <v>0</v>
      </c>
      <c r="AI247" s="58">
        <v>0</v>
      </c>
      <c r="AJ247" s="61">
        <v>0</v>
      </c>
      <c r="AK247" s="58"/>
      <c r="AL247" s="58"/>
      <c r="AM247" s="61"/>
      <c r="AN247" s="61">
        <f t="shared" si="109"/>
        <v>0</v>
      </c>
      <c r="AO247" s="58">
        <f t="shared" si="110"/>
        <v>0</v>
      </c>
      <c r="AP247" s="61">
        <f t="shared" si="111"/>
        <v>0</v>
      </c>
      <c r="AQ247" s="58">
        <f t="shared" si="112"/>
        <v>0</v>
      </c>
      <c r="AR247" s="58">
        <f t="shared" si="113"/>
        <v>0</v>
      </c>
      <c r="AS247" s="58">
        <f t="shared" si="114"/>
        <v>0</v>
      </c>
      <c r="AT247" s="58">
        <f>ROUND(SUMIF('JUNE (물량흐름)'!$C$13:$C$502,'In-out-bal products (155)(완성제품)'!B247,'JUNE (물량흐름)'!$AB$13:$AB$502),0)</f>
        <v>0</v>
      </c>
      <c r="AU247" s="58">
        <f t="shared" si="115"/>
        <v>0</v>
      </c>
      <c r="AV247" s="58">
        <f>ROUND(SUMIF('JUNE (물량흐름)'!$C$13:$C$502,'In-out-bal products (155)(완성제품)'!B247,'JUNE (물량흐름)'!$AC$13:$AC$502),0)</f>
        <v>0</v>
      </c>
      <c r="AW247" s="58">
        <f t="shared" si="116"/>
        <v>0</v>
      </c>
      <c r="AX247" s="376">
        <f t="shared" si="117"/>
        <v>0</v>
      </c>
      <c r="AY247" s="377">
        <f t="shared" si="118"/>
        <v>0</v>
      </c>
      <c r="AZ247" s="377">
        <f t="shared" si="119"/>
        <v>0</v>
      </c>
      <c r="BA247" s="377">
        <f t="shared" si="120"/>
        <v>0</v>
      </c>
      <c r="BB247" s="377"/>
      <c r="BC247" s="377">
        <f t="shared" si="121"/>
        <v>0</v>
      </c>
      <c r="BD247" s="377">
        <f t="shared" si="122"/>
        <v>0</v>
      </c>
      <c r="BE247" s="377"/>
      <c r="BF247" s="377">
        <f t="shared" si="123"/>
        <v>0</v>
      </c>
      <c r="BG247" s="433">
        <f t="shared" si="124"/>
        <v>0</v>
      </c>
      <c r="BH247" s="434">
        <f t="shared" si="125"/>
        <v>0</v>
      </c>
    </row>
    <row r="248" spans="1:60" s="378" customFormat="1">
      <c r="A248" s="167">
        <v>238</v>
      </c>
      <c r="B248" s="253">
        <f>VLOOKUP(A248,'JUNE (물량흐름)'!$A$13:$C$493,3,0)</f>
        <v>100013421</v>
      </c>
      <c r="C248" s="57" t="str">
        <f>VLOOKUP(A248,'JUNE (물량흐름)'!$A$13:$C$493,2,0)</f>
        <v>CHARTER CLUB</v>
      </c>
      <c r="D248" s="58">
        <f>IFERROR(VLOOKUP(B248,O.B.JUNE!$V$7:$Y$448,2,0),0)</f>
        <v>0</v>
      </c>
      <c r="E248" s="58">
        <f>IFERROR(VLOOKUP(B248,O.B.JUNE!$V$7:$X$448,3,0),0)</f>
        <v>0</v>
      </c>
      <c r="F248" s="58">
        <f>IFERROR(VLOOKUP(B248,O.B.JUNE!$V$7:$Y$448,4,0),0)</f>
        <v>0</v>
      </c>
      <c r="G248" s="58">
        <f>SUMIF('JUNE (물량흐름)'!$C$13:$C$493,'In-out-bal products (155)(완성제품)'!B248,'JUNE (물량흐름)'!$V$13:$V$493)</f>
        <v>0</v>
      </c>
      <c r="H248" s="58">
        <f>SUMIF('JUNE (물량흐름)'!$C$13:$C$493,'In-out-bal products (155)(완성제품)'!B248,'JUNE (물량흐름)'!$T$13:$T$493)-SUMIF('JUNE (물량흐름)'!$C$13:$C$493,'In-out-bal products (155)(완성제품)'!B248,'JUNE (물량흐름)'!$Y$13:$Y$493)+SUMIF('JUNE (물량흐름)'!$C$13:$C$493,'In-out-bal products (155)(완성제품)'!B248,'JUNE (물량흐름)'!$U$13:$U$493)</f>
        <v>0</v>
      </c>
      <c r="I248" s="58">
        <f t="shared" si="96"/>
        <v>0</v>
      </c>
      <c r="J248" s="58">
        <f>SUMIF('Direct labour(직접노무비)'!$C$12:$C$503,'In-out-bal products (155)(완성제품)'!B248,'Direct labour(직접노무비)'!$Q$12:$Q$503)</f>
        <v>0</v>
      </c>
      <c r="K248" s="59">
        <f>SUMIF('Overhead exp(제조경비)'!$C$12:$C$503,'In-out-bal products (155)(완성제품)'!B248,'Overhead exp(제조경비)'!$Q$12:$Q$503)</f>
        <v>0</v>
      </c>
      <c r="L248" s="58">
        <f t="shared" si="97"/>
        <v>0</v>
      </c>
      <c r="M248" s="58">
        <f>SUMIF('JUNE (물량흐름)'!$C$13:$C$488,'In-out-bal products (155)(완성제품)'!B248,'JUNE (물량흐름)'!$Y$13:$Y$488)</f>
        <v>0</v>
      </c>
      <c r="N248" s="58">
        <f t="shared" si="98"/>
        <v>0</v>
      </c>
      <c r="O248" s="58">
        <f>SUMIF('Direct labour(직접노무비)'!$C$12:$C$503,'In-out-bal products (155)(완성제품)'!B248,'Direct labour(직접노무비)'!$U$12:$U$503)+SUMIF('Overhead exp(제조경비)'!$C$12:$C$503,'In-out-bal products (155)(완성제품)'!B248,'Overhead exp(제조경비)'!$U$12:$U$503)</f>
        <v>0</v>
      </c>
      <c r="P248" s="60">
        <f t="shared" si="99"/>
        <v>0</v>
      </c>
      <c r="Q248" s="60">
        <f t="shared" si="100"/>
        <v>0</v>
      </c>
      <c r="R248" s="60">
        <f t="shared" si="101"/>
        <v>0</v>
      </c>
      <c r="S248" s="58">
        <v>0</v>
      </c>
      <c r="T248" s="58">
        <v>0</v>
      </c>
      <c r="U248" s="58">
        <v>0</v>
      </c>
      <c r="V248" s="58">
        <f>SUMIF('JUNE (물량흐름)'!$C$13:$C$493,'In-out-bal products (155)(완성제품)'!B248,'JUNE (물량흐름)'!$W$13:$W$493)</f>
        <v>0</v>
      </c>
      <c r="W248" s="58">
        <f t="shared" si="102"/>
        <v>0</v>
      </c>
      <c r="X248" s="58">
        <f t="shared" si="103"/>
        <v>0</v>
      </c>
      <c r="Y248" s="58">
        <f>SUMIF('JUNE (물량흐름)'!$C$13:$C$488,'In-out-bal products (155)(완성제품)'!B248,'JUNE (물량흐름)'!$X$13:$X$488)</f>
        <v>0</v>
      </c>
      <c r="Z248" s="58">
        <f t="shared" si="104"/>
        <v>0</v>
      </c>
      <c r="AA248" s="58">
        <f t="shared" si="105"/>
        <v>0</v>
      </c>
      <c r="AB248" s="58"/>
      <c r="AC248" s="58"/>
      <c r="AD248" s="61"/>
      <c r="AE248" s="58">
        <f t="shared" si="106"/>
        <v>0</v>
      </c>
      <c r="AF248" s="58">
        <f t="shared" si="107"/>
        <v>0</v>
      </c>
      <c r="AG248" s="61">
        <f t="shared" si="108"/>
        <v>0</v>
      </c>
      <c r="AH248" s="58">
        <v>0</v>
      </c>
      <c r="AI248" s="58">
        <v>0</v>
      </c>
      <c r="AJ248" s="61">
        <v>0</v>
      </c>
      <c r="AK248" s="58"/>
      <c r="AL248" s="58"/>
      <c r="AM248" s="61"/>
      <c r="AN248" s="61">
        <f t="shared" si="109"/>
        <v>0</v>
      </c>
      <c r="AO248" s="58">
        <f t="shared" si="110"/>
        <v>0</v>
      </c>
      <c r="AP248" s="61">
        <f t="shared" si="111"/>
        <v>0</v>
      </c>
      <c r="AQ248" s="58">
        <f t="shared" si="112"/>
        <v>0</v>
      </c>
      <c r="AR248" s="58">
        <f t="shared" si="113"/>
        <v>0</v>
      </c>
      <c r="AS248" s="58">
        <f t="shared" si="114"/>
        <v>0</v>
      </c>
      <c r="AT248" s="58">
        <f>ROUND(SUMIF('JUNE (물량흐름)'!$C$13:$C$502,'In-out-bal products (155)(완성제품)'!B248,'JUNE (물량흐름)'!$AB$13:$AB$502),0)</f>
        <v>0</v>
      </c>
      <c r="AU248" s="58">
        <f t="shared" si="115"/>
        <v>0</v>
      </c>
      <c r="AV248" s="58">
        <f>ROUND(SUMIF('JUNE (물량흐름)'!$C$13:$C$502,'In-out-bal products (155)(완성제품)'!B248,'JUNE (물량흐름)'!$AC$13:$AC$502),0)</f>
        <v>0</v>
      </c>
      <c r="AW248" s="58">
        <f t="shared" si="116"/>
        <v>0</v>
      </c>
      <c r="AX248" s="376">
        <f t="shared" si="117"/>
        <v>0</v>
      </c>
      <c r="AY248" s="377">
        <f t="shared" si="118"/>
        <v>0</v>
      </c>
      <c r="AZ248" s="377">
        <f t="shared" si="119"/>
        <v>0</v>
      </c>
      <c r="BA248" s="377">
        <f t="shared" si="120"/>
        <v>0</v>
      </c>
      <c r="BB248" s="377"/>
      <c r="BC248" s="377">
        <f t="shared" si="121"/>
        <v>0</v>
      </c>
      <c r="BD248" s="377">
        <f t="shared" si="122"/>
        <v>0</v>
      </c>
      <c r="BE248" s="377"/>
      <c r="BF248" s="377">
        <f t="shared" si="123"/>
        <v>0</v>
      </c>
      <c r="BG248" s="433">
        <f t="shared" si="124"/>
        <v>0</v>
      </c>
      <c r="BH248" s="434">
        <f t="shared" si="125"/>
        <v>0</v>
      </c>
    </row>
    <row r="249" spans="1:60" s="378" customFormat="1">
      <c r="A249" s="167">
        <v>239</v>
      </c>
      <c r="B249" s="253">
        <f>VLOOKUP(A249,'JUNE (물량흐름)'!$A$13:$C$493,3,0)</f>
        <v>100006969</v>
      </c>
      <c r="C249" s="57" t="str">
        <f>VLOOKUP(A249,'JUNE (물량흐름)'!$A$13:$C$493,2,0)</f>
        <v>INC</v>
      </c>
      <c r="D249" s="58">
        <f>IFERROR(VLOOKUP(B249,O.B.JUNE!$V$7:$Y$448,2,0),0)</f>
        <v>0</v>
      </c>
      <c r="E249" s="58">
        <f>IFERROR(VLOOKUP(B249,O.B.JUNE!$V$7:$X$448,3,0),0)</f>
        <v>0</v>
      </c>
      <c r="F249" s="58">
        <f>IFERROR(VLOOKUP(B249,O.B.JUNE!$V$7:$Y$448,4,0),0)</f>
        <v>0</v>
      </c>
      <c r="G249" s="58">
        <f>SUMIF('JUNE (물량흐름)'!$C$13:$C$493,'In-out-bal products (155)(완성제품)'!B249,'JUNE (물량흐름)'!$V$13:$V$493)</f>
        <v>0</v>
      </c>
      <c r="H249" s="58">
        <f>SUMIF('JUNE (물량흐름)'!$C$13:$C$493,'In-out-bal products (155)(완성제품)'!B249,'JUNE (물량흐름)'!$T$13:$T$493)-SUMIF('JUNE (물량흐름)'!$C$13:$C$493,'In-out-bal products (155)(완성제품)'!B249,'JUNE (물량흐름)'!$Y$13:$Y$493)+SUMIF('JUNE (물량흐름)'!$C$13:$C$493,'In-out-bal products (155)(완성제품)'!B249,'JUNE (물량흐름)'!$U$13:$U$493)</f>
        <v>0</v>
      </c>
      <c r="I249" s="58">
        <f t="shared" si="96"/>
        <v>0</v>
      </c>
      <c r="J249" s="58">
        <f>SUMIF('Direct labour(직접노무비)'!$C$12:$C$503,'In-out-bal products (155)(완성제품)'!B249,'Direct labour(직접노무비)'!$Q$12:$Q$503)</f>
        <v>0</v>
      </c>
      <c r="K249" s="59">
        <f>SUMIF('Overhead exp(제조경비)'!$C$12:$C$503,'In-out-bal products (155)(완성제품)'!B249,'Overhead exp(제조경비)'!$Q$12:$Q$503)</f>
        <v>0</v>
      </c>
      <c r="L249" s="58">
        <f t="shared" si="97"/>
        <v>0</v>
      </c>
      <c r="M249" s="58">
        <f>SUMIF('JUNE (물량흐름)'!$C$13:$C$488,'In-out-bal products (155)(완성제품)'!B249,'JUNE (물량흐름)'!$Y$13:$Y$488)</f>
        <v>0</v>
      </c>
      <c r="N249" s="58">
        <f t="shared" si="98"/>
        <v>0</v>
      </c>
      <c r="O249" s="58">
        <f>SUMIF('Direct labour(직접노무비)'!$C$12:$C$503,'In-out-bal products (155)(완성제품)'!B249,'Direct labour(직접노무비)'!$U$12:$U$503)+SUMIF('Overhead exp(제조경비)'!$C$12:$C$503,'In-out-bal products (155)(완성제품)'!B249,'Overhead exp(제조경비)'!$U$12:$U$503)</f>
        <v>0</v>
      </c>
      <c r="P249" s="60">
        <f t="shared" si="99"/>
        <v>0</v>
      </c>
      <c r="Q249" s="60">
        <f t="shared" si="100"/>
        <v>0</v>
      </c>
      <c r="R249" s="60">
        <f t="shared" si="101"/>
        <v>0</v>
      </c>
      <c r="S249" s="58">
        <v>0</v>
      </c>
      <c r="T249" s="58">
        <v>0</v>
      </c>
      <c r="U249" s="58">
        <v>0</v>
      </c>
      <c r="V249" s="58">
        <f>SUMIF('JUNE (물량흐름)'!$C$13:$C$493,'In-out-bal products (155)(완성제품)'!B249,'JUNE (물량흐름)'!$W$13:$W$493)</f>
        <v>0</v>
      </c>
      <c r="W249" s="58">
        <f t="shared" si="102"/>
        <v>0</v>
      </c>
      <c r="X249" s="58">
        <f t="shared" si="103"/>
        <v>0</v>
      </c>
      <c r="Y249" s="58">
        <f>SUMIF('JUNE (물량흐름)'!$C$13:$C$488,'In-out-bal products (155)(완성제품)'!B249,'JUNE (물량흐름)'!$X$13:$X$488)</f>
        <v>0</v>
      </c>
      <c r="Z249" s="58">
        <f t="shared" si="104"/>
        <v>0</v>
      </c>
      <c r="AA249" s="58">
        <f t="shared" si="105"/>
        <v>0</v>
      </c>
      <c r="AB249" s="58"/>
      <c r="AC249" s="58"/>
      <c r="AD249" s="61"/>
      <c r="AE249" s="58">
        <f t="shared" si="106"/>
        <v>0</v>
      </c>
      <c r="AF249" s="58">
        <f t="shared" si="107"/>
        <v>0</v>
      </c>
      <c r="AG249" s="61">
        <f t="shared" si="108"/>
        <v>0</v>
      </c>
      <c r="AH249" s="58">
        <v>0</v>
      </c>
      <c r="AI249" s="58">
        <v>0</v>
      </c>
      <c r="AJ249" s="61">
        <v>0</v>
      </c>
      <c r="AK249" s="58"/>
      <c r="AL249" s="58"/>
      <c r="AM249" s="61"/>
      <c r="AN249" s="61">
        <f t="shared" si="109"/>
        <v>0</v>
      </c>
      <c r="AO249" s="58">
        <f t="shared" si="110"/>
        <v>0</v>
      </c>
      <c r="AP249" s="61">
        <f t="shared" si="111"/>
        <v>0</v>
      </c>
      <c r="AQ249" s="58">
        <f t="shared" si="112"/>
        <v>0</v>
      </c>
      <c r="AR249" s="58">
        <f t="shared" si="113"/>
        <v>0</v>
      </c>
      <c r="AS249" s="58">
        <f t="shared" si="114"/>
        <v>0</v>
      </c>
      <c r="AT249" s="58">
        <f>ROUND(SUMIF('JUNE (물량흐름)'!$C$13:$C$502,'In-out-bal products (155)(완성제품)'!B249,'JUNE (물량흐름)'!$AB$13:$AB$502),0)</f>
        <v>0</v>
      </c>
      <c r="AU249" s="58">
        <f t="shared" si="115"/>
        <v>0</v>
      </c>
      <c r="AV249" s="58">
        <f>ROUND(SUMIF('JUNE (물량흐름)'!$C$13:$C$502,'In-out-bal products (155)(완성제품)'!B249,'JUNE (물량흐름)'!$AC$13:$AC$502),0)</f>
        <v>0</v>
      </c>
      <c r="AW249" s="58">
        <f t="shared" si="116"/>
        <v>0</v>
      </c>
      <c r="AX249" s="376">
        <f t="shared" si="117"/>
        <v>0</v>
      </c>
      <c r="AY249" s="377">
        <f t="shared" si="118"/>
        <v>0</v>
      </c>
      <c r="AZ249" s="377">
        <f t="shared" si="119"/>
        <v>0</v>
      </c>
      <c r="BA249" s="377">
        <f t="shared" si="120"/>
        <v>0</v>
      </c>
      <c r="BB249" s="377"/>
      <c r="BC249" s="377">
        <f t="shared" si="121"/>
        <v>0</v>
      </c>
      <c r="BD249" s="377">
        <f t="shared" si="122"/>
        <v>0</v>
      </c>
      <c r="BE249" s="377"/>
      <c r="BF249" s="377">
        <f t="shared" si="123"/>
        <v>0</v>
      </c>
      <c r="BG249" s="433">
        <f t="shared" si="124"/>
        <v>0</v>
      </c>
      <c r="BH249" s="434">
        <f t="shared" si="125"/>
        <v>0</v>
      </c>
    </row>
    <row r="250" spans="1:60" s="378" customFormat="1">
      <c r="A250" s="167">
        <v>240</v>
      </c>
      <c r="B250" s="253">
        <f>VLOOKUP(A250,'JUNE (물량흐름)'!$A$13:$C$493,3,0)</f>
        <v>100020548</v>
      </c>
      <c r="C250" s="57" t="str">
        <f>VLOOKUP(A250,'JUNE (물량흐름)'!$A$13:$C$493,2,0)</f>
        <v>INC</v>
      </c>
      <c r="D250" s="58">
        <f>IFERROR(VLOOKUP(B250,O.B.JUNE!$V$7:$Y$448,2,0),0)</f>
        <v>0</v>
      </c>
      <c r="E250" s="58">
        <f>IFERROR(VLOOKUP(B250,O.B.JUNE!$V$7:$X$448,3,0),0)</f>
        <v>0</v>
      </c>
      <c r="F250" s="58">
        <f>IFERROR(VLOOKUP(B250,O.B.JUNE!$V$7:$Y$448,4,0),0)</f>
        <v>0</v>
      </c>
      <c r="G250" s="58">
        <f>SUMIF('JUNE (물량흐름)'!$C$13:$C$493,'In-out-bal products (155)(완성제품)'!B250,'JUNE (물량흐름)'!$V$13:$V$493)</f>
        <v>0</v>
      </c>
      <c r="H250" s="58">
        <f>SUMIF('JUNE (물량흐름)'!$C$13:$C$493,'In-out-bal products (155)(완성제품)'!B250,'JUNE (물량흐름)'!$T$13:$T$493)-SUMIF('JUNE (물량흐름)'!$C$13:$C$493,'In-out-bal products (155)(완성제품)'!B250,'JUNE (물량흐름)'!$Y$13:$Y$493)+SUMIF('JUNE (물량흐름)'!$C$13:$C$493,'In-out-bal products (155)(완성제품)'!B250,'JUNE (물량흐름)'!$U$13:$U$493)</f>
        <v>0</v>
      </c>
      <c r="I250" s="58">
        <f t="shared" si="96"/>
        <v>0</v>
      </c>
      <c r="J250" s="58">
        <f>SUMIF('Direct labour(직접노무비)'!$C$12:$C$503,'In-out-bal products (155)(완성제품)'!B250,'Direct labour(직접노무비)'!$Q$12:$Q$503)</f>
        <v>0</v>
      </c>
      <c r="K250" s="59">
        <f>SUMIF('Overhead exp(제조경비)'!$C$12:$C$503,'In-out-bal products (155)(완성제품)'!B250,'Overhead exp(제조경비)'!$Q$12:$Q$503)</f>
        <v>0</v>
      </c>
      <c r="L250" s="58">
        <f t="shared" si="97"/>
        <v>0</v>
      </c>
      <c r="M250" s="58">
        <f>SUMIF('JUNE (물량흐름)'!$C$13:$C$488,'In-out-bal products (155)(완성제품)'!B250,'JUNE (물량흐름)'!$Y$13:$Y$488)</f>
        <v>0</v>
      </c>
      <c r="N250" s="58">
        <f t="shared" si="98"/>
        <v>0</v>
      </c>
      <c r="O250" s="58">
        <f>SUMIF('Direct labour(직접노무비)'!$C$12:$C$503,'In-out-bal products (155)(완성제품)'!B250,'Direct labour(직접노무비)'!$U$12:$U$503)+SUMIF('Overhead exp(제조경비)'!$C$12:$C$503,'In-out-bal products (155)(완성제품)'!B250,'Overhead exp(제조경비)'!$U$12:$U$503)</f>
        <v>0</v>
      </c>
      <c r="P250" s="60">
        <f t="shared" si="99"/>
        <v>0</v>
      </c>
      <c r="Q250" s="60">
        <f t="shared" si="100"/>
        <v>0</v>
      </c>
      <c r="R250" s="60">
        <f t="shared" si="101"/>
        <v>0</v>
      </c>
      <c r="S250" s="58">
        <v>0</v>
      </c>
      <c r="T250" s="58">
        <v>0</v>
      </c>
      <c r="U250" s="58">
        <v>0</v>
      </c>
      <c r="V250" s="58">
        <f>SUMIF('JUNE (물량흐름)'!$C$13:$C$493,'In-out-bal products (155)(완성제품)'!B250,'JUNE (물량흐름)'!$W$13:$W$493)</f>
        <v>0</v>
      </c>
      <c r="W250" s="58">
        <f t="shared" si="102"/>
        <v>0</v>
      </c>
      <c r="X250" s="58">
        <f t="shared" si="103"/>
        <v>0</v>
      </c>
      <c r="Y250" s="58">
        <f>SUMIF('JUNE (물량흐름)'!$C$13:$C$488,'In-out-bal products (155)(완성제품)'!B250,'JUNE (물량흐름)'!$X$13:$X$488)</f>
        <v>0</v>
      </c>
      <c r="Z250" s="58">
        <f t="shared" si="104"/>
        <v>0</v>
      </c>
      <c r="AA250" s="58">
        <f t="shared" si="105"/>
        <v>0</v>
      </c>
      <c r="AB250" s="58"/>
      <c r="AC250" s="58"/>
      <c r="AD250" s="61"/>
      <c r="AE250" s="58">
        <f t="shared" si="106"/>
        <v>0</v>
      </c>
      <c r="AF250" s="58">
        <f t="shared" si="107"/>
        <v>0</v>
      </c>
      <c r="AG250" s="61">
        <f t="shared" si="108"/>
        <v>0</v>
      </c>
      <c r="AH250" s="58">
        <v>0</v>
      </c>
      <c r="AI250" s="58">
        <v>0</v>
      </c>
      <c r="AJ250" s="61">
        <v>0</v>
      </c>
      <c r="AK250" s="58"/>
      <c r="AL250" s="58"/>
      <c r="AM250" s="61"/>
      <c r="AN250" s="61">
        <f t="shared" si="109"/>
        <v>0</v>
      </c>
      <c r="AO250" s="58">
        <f t="shared" si="110"/>
        <v>0</v>
      </c>
      <c r="AP250" s="61">
        <f t="shared" si="111"/>
        <v>0</v>
      </c>
      <c r="AQ250" s="58">
        <f t="shared" si="112"/>
        <v>0</v>
      </c>
      <c r="AR250" s="58">
        <f t="shared" si="113"/>
        <v>0</v>
      </c>
      <c r="AS250" s="58">
        <f t="shared" si="114"/>
        <v>0</v>
      </c>
      <c r="AT250" s="58">
        <f>ROUND(SUMIF('JUNE (물량흐름)'!$C$13:$C$502,'In-out-bal products (155)(완성제품)'!B250,'JUNE (물량흐름)'!$AB$13:$AB$502),0)</f>
        <v>0</v>
      </c>
      <c r="AU250" s="58">
        <f t="shared" si="115"/>
        <v>0</v>
      </c>
      <c r="AV250" s="58">
        <f>ROUND(SUMIF('JUNE (물량흐름)'!$C$13:$C$502,'In-out-bal products (155)(완성제품)'!B250,'JUNE (물량흐름)'!$AC$13:$AC$502),0)</f>
        <v>0</v>
      </c>
      <c r="AW250" s="58">
        <f t="shared" si="116"/>
        <v>0</v>
      </c>
      <c r="AX250" s="376">
        <f t="shared" si="117"/>
        <v>0</v>
      </c>
      <c r="AY250" s="377">
        <f t="shared" si="118"/>
        <v>0</v>
      </c>
      <c r="AZ250" s="377">
        <f t="shared" si="119"/>
        <v>0</v>
      </c>
      <c r="BA250" s="377">
        <f t="shared" si="120"/>
        <v>0</v>
      </c>
      <c r="BB250" s="377"/>
      <c r="BC250" s="377">
        <f t="shared" si="121"/>
        <v>0</v>
      </c>
      <c r="BD250" s="377">
        <f t="shared" si="122"/>
        <v>0</v>
      </c>
      <c r="BE250" s="377"/>
      <c r="BF250" s="377">
        <f t="shared" si="123"/>
        <v>0</v>
      </c>
      <c r="BG250" s="433">
        <f t="shared" si="124"/>
        <v>0</v>
      </c>
      <c r="BH250" s="434">
        <f t="shared" si="125"/>
        <v>0</v>
      </c>
    </row>
    <row r="251" spans="1:60" s="378" customFormat="1">
      <c r="A251" s="167">
        <v>241</v>
      </c>
      <c r="B251" s="253">
        <f>VLOOKUP(A251,'JUNE (물량흐름)'!$A$13:$C$493,3,0)</f>
        <v>77511</v>
      </c>
      <c r="C251" s="57" t="str">
        <f>VLOOKUP(A251,'JUNE (물량흐름)'!$A$13:$C$493,2,0)</f>
        <v>INC</v>
      </c>
      <c r="D251" s="58">
        <f>IFERROR(VLOOKUP(B251,O.B.JUNE!$V$7:$Y$448,2,0),0)</f>
        <v>0</v>
      </c>
      <c r="E251" s="58">
        <f>IFERROR(VLOOKUP(B251,O.B.JUNE!$V$7:$X$448,3,0),0)</f>
        <v>0</v>
      </c>
      <c r="F251" s="58">
        <f>IFERROR(VLOOKUP(B251,O.B.JUNE!$V$7:$Y$448,4,0),0)</f>
        <v>0</v>
      </c>
      <c r="G251" s="58">
        <f>SUMIF('JUNE (물량흐름)'!$C$13:$C$493,'In-out-bal products (155)(완성제품)'!B251,'JUNE (물량흐름)'!$V$13:$V$493)</f>
        <v>0</v>
      </c>
      <c r="H251" s="58">
        <f>SUMIF('JUNE (물량흐름)'!$C$13:$C$493,'In-out-bal products (155)(완성제품)'!B251,'JUNE (물량흐름)'!$T$13:$T$493)-SUMIF('JUNE (물량흐름)'!$C$13:$C$493,'In-out-bal products (155)(완성제품)'!B251,'JUNE (물량흐름)'!$Y$13:$Y$493)+SUMIF('JUNE (물량흐름)'!$C$13:$C$493,'In-out-bal products (155)(완성제품)'!B251,'JUNE (물량흐름)'!$U$13:$U$493)</f>
        <v>89</v>
      </c>
      <c r="I251" s="58">
        <f t="shared" si="96"/>
        <v>71666.078651685399</v>
      </c>
      <c r="J251" s="58">
        <f>SUMIF('Direct labour(직접노무비)'!$C$12:$C$503,'In-out-bal products (155)(완성제품)'!B251,'Direct labour(직접노무비)'!$Q$12:$Q$503)</f>
        <v>2584498</v>
      </c>
      <c r="K251" s="59">
        <f>SUMIF('Overhead exp(제조경비)'!$C$12:$C$503,'In-out-bal products (155)(완성제품)'!B251,'Overhead exp(제조경비)'!$Q$12:$Q$503)</f>
        <v>3793783</v>
      </c>
      <c r="L251" s="58">
        <f t="shared" si="97"/>
        <v>6378281</v>
      </c>
      <c r="M251" s="58">
        <f>SUMIF('JUNE (물량흐름)'!$C$13:$C$488,'In-out-bal products (155)(완성제품)'!B251,'JUNE (물량흐름)'!$Y$13:$Y$488)</f>
        <v>0</v>
      </c>
      <c r="N251" s="58">
        <f t="shared" si="98"/>
        <v>0</v>
      </c>
      <c r="O251" s="58">
        <f>SUMIF('Direct labour(직접노무비)'!$C$12:$C$503,'In-out-bal products (155)(완성제품)'!B251,'Direct labour(직접노무비)'!$U$12:$U$503)+SUMIF('Overhead exp(제조경비)'!$C$12:$C$503,'In-out-bal products (155)(완성제품)'!B251,'Overhead exp(제조경비)'!$U$12:$U$503)</f>
        <v>0</v>
      </c>
      <c r="P251" s="60">
        <f t="shared" si="99"/>
        <v>89</v>
      </c>
      <c r="Q251" s="60">
        <f t="shared" si="100"/>
        <v>71666.078651685399</v>
      </c>
      <c r="R251" s="60">
        <f t="shared" si="101"/>
        <v>6378281</v>
      </c>
      <c r="S251" s="58">
        <v>0</v>
      </c>
      <c r="T251" s="58">
        <v>0</v>
      </c>
      <c r="U251" s="58">
        <v>0</v>
      </c>
      <c r="V251" s="58">
        <f>SUMIF('JUNE (물량흐름)'!$C$13:$C$493,'In-out-bal products (155)(완성제품)'!B251,'JUNE (물량흐름)'!$W$13:$W$493)</f>
        <v>0</v>
      </c>
      <c r="W251" s="58">
        <f t="shared" si="102"/>
        <v>0</v>
      </c>
      <c r="X251" s="58">
        <f t="shared" si="103"/>
        <v>0</v>
      </c>
      <c r="Y251" s="58">
        <f>SUMIF('JUNE (물량흐름)'!$C$13:$C$488,'In-out-bal products (155)(완성제품)'!B251,'JUNE (물량흐름)'!$X$13:$X$488)</f>
        <v>0</v>
      </c>
      <c r="Z251" s="58">
        <f t="shared" si="104"/>
        <v>0</v>
      </c>
      <c r="AA251" s="58">
        <f t="shared" si="105"/>
        <v>0</v>
      </c>
      <c r="AB251" s="58"/>
      <c r="AC251" s="58"/>
      <c r="AD251" s="61"/>
      <c r="AE251" s="58">
        <f t="shared" si="106"/>
        <v>0</v>
      </c>
      <c r="AF251" s="58">
        <f t="shared" si="107"/>
        <v>0</v>
      </c>
      <c r="AG251" s="61">
        <f t="shared" si="108"/>
        <v>0</v>
      </c>
      <c r="AH251" s="58">
        <v>0</v>
      </c>
      <c r="AI251" s="58">
        <v>0</v>
      </c>
      <c r="AJ251" s="61">
        <v>0</v>
      </c>
      <c r="AK251" s="58"/>
      <c r="AL251" s="58"/>
      <c r="AM251" s="61"/>
      <c r="AN251" s="61">
        <f t="shared" si="109"/>
        <v>0</v>
      </c>
      <c r="AO251" s="58">
        <f t="shared" si="110"/>
        <v>0</v>
      </c>
      <c r="AP251" s="61">
        <f t="shared" si="111"/>
        <v>0</v>
      </c>
      <c r="AQ251" s="58">
        <f t="shared" si="112"/>
        <v>89</v>
      </c>
      <c r="AR251" s="58">
        <f t="shared" si="113"/>
        <v>71666.078651685399</v>
      </c>
      <c r="AS251" s="58">
        <f t="shared" si="114"/>
        <v>6378281</v>
      </c>
      <c r="AT251" s="58">
        <f>ROUND(SUMIF('JUNE (물량흐름)'!$C$13:$C$502,'In-out-bal products (155)(완성제품)'!B251,'JUNE (물량흐름)'!$AB$13:$AB$502),0)</f>
        <v>0</v>
      </c>
      <c r="AU251" s="58">
        <f t="shared" si="115"/>
        <v>0</v>
      </c>
      <c r="AV251" s="58">
        <f>ROUND(SUMIF('JUNE (물량흐름)'!$C$13:$C$502,'In-out-bal products (155)(완성제품)'!B251,'JUNE (물량흐름)'!$AC$13:$AC$502),0)</f>
        <v>89</v>
      </c>
      <c r="AW251" s="58">
        <f t="shared" si="116"/>
        <v>6378281</v>
      </c>
      <c r="AX251" s="376">
        <f t="shared" si="117"/>
        <v>0</v>
      </c>
      <c r="AY251" s="377">
        <f t="shared" si="118"/>
        <v>0</v>
      </c>
      <c r="AZ251" s="377">
        <f t="shared" si="119"/>
        <v>0</v>
      </c>
      <c r="BA251" s="377">
        <f t="shared" si="120"/>
        <v>0</v>
      </c>
      <c r="BB251" s="377"/>
      <c r="BC251" s="377">
        <f t="shared" si="121"/>
        <v>0</v>
      </c>
      <c r="BD251" s="377">
        <f t="shared" si="122"/>
        <v>0</v>
      </c>
      <c r="BE251" s="377"/>
      <c r="BF251" s="377">
        <f t="shared" si="123"/>
        <v>0</v>
      </c>
      <c r="BG251" s="433">
        <f t="shared" si="124"/>
        <v>0</v>
      </c>
      <c r="BH251" s="434">
        <f t="shared" si="125"/>
        <v>0</v>
      </c>
    </row>
    <row r="252" spans="1:60" s="378" customFormat="1">
      <c r="A252" s="167">
        <v>242</v>
      </c>
      <c r="B252" s="253" t="str">
        <f>VLOOKUP(A252,'JUNE (물량흐름)'!$A$13:$C$493,3,0)</f>
        <v>KTP118131</v>
      </c>
      <c r="C252" s="57" t="str">
        <f>VLOOKUP(A252,'JUNE (물량흐름)'!$A$13:$C$493,2,0)</f>
        <v>J JILL</v>
      </c>
      <c r="D252" s="58">
        <f>IFERROR(VLOOKUP(B252,O.B.JUNE!$V$7:$Y$448,2,0),0)</f>
        <v>0</v>
      </c>
      <c r="E252" s="58">
        <f>IFERROR(VLOOKUP(B252,O.B.JUNE!$V$7:$X$448,3,0),0)</f>
        <v>0</v>
      </c>
      <c r="F252" s="58">
        <f>IFERROR(VLOOKUP(B252,O.B.JUNE!$V$7:$Y$448,4,0),0)</f>
        <v>0</v>
      </c>
      <c r="G252" s="58">
        <f>SUMIF('JUNE (물량흐름)'!$C$13:$C$493,'In-out-bal products (155)(완성제품)'!B252,'JUNE (물량흐름)'!$V$13:$V$493)</f>
        <v>0</v>
      </c>
      <c r="H252" s="58">
        <f>SUMIF('JUNE (물량흐름)'!$C$13:$C$493,'In-out-bal products (155)(완성제품)'!B252,'JUNE (물량흐름)'!$T$13:$T$493)-SUMIF('JUNE (물량흐름)'!$C$13:$C$493,'In-out-bal products (155)(완성제품)'!B252,'JUNE (물량흐름)'!$Y$13:$Y$493)+SUMIF('JUNE (물량흐름)'!$C$13:$C$493,'In-out-bal products (155)(완성제품)'!B252,'JUNE (물량흐름)'!$U$13:$U$493)</f>
        <v>0</v>
      </c>
      <c r="I252" s="58">
        <f t="shared" si="96"/>
        <v>0</v>
      </c>
      <c r="J252" s="58">
        <f>SUMIF('Direct labour(직접노무비)'!$C$12:$C$503,'In-out-bal products (155)(완성제품)'!B252,'Direct labour(직접노무비)'!$Q$12:$Q$503)</f>
        <v>0</v>
      </c>
      <c r="K252" s="59">
        <f>SUMIF('Overhead exp(제조경비)'!$C$12:$C$503,'In-out-bal products (155)(완성제품)'!B252,'Overhead exp(제조경비)'!$Q$12:$Q$503)</f>
        <v>0</v>
      </c>
      <c r="L252" s="58">
        <f t="shared" si="97"/>
        <v>0</v>
      </c>
      <c r="M252" s="58">
        <f>SUMIF('JUNE (물량흐름)'!$C$13:$C$488,'In-out-bal products (155)(완성제품)'!B252,'JUNE (물량흐름)'!$Y$13:$Y$488)</f>
        <v>0</v>
      </c>
      <c r="N252" s="58">
        <f t="shared" si="98"/>
        <v>0</v>
      </c>
      <c r="O252" s="58">
        <f>SUMIF('Direct labour(직접노무비)'!$C$12:$C$503,'In-out-bal products (155)(완성제품)'!B252,'Direct labour(직접노무비)'!$U$12:$U$503)+SUMIF('Overhead exp(제조경비)'!$C$12:$C$503,'In-out-bal products (155)(완성제품)'!B252,'Overhead exp(제조경비)'!$U$12:$U$503)</f>
        <v>0</v>
      </c>
      <c r="P252" s="60">
        <f t="shared" si="99"/>
        <v>0</v>
      </c>
      <c r="Q252" s="60">
        <f t="shared" si="100"/>
        <v>0</v>
      </c>
      <c r="R252" s="60">
        <f t="shared" si="101"/>
        <v>0</v>
      </c>
      <c r="S252" s="58">
        <v>0</v>
      </c>
      <c r="T252" s="58">
        <v>0</v>
      </c>
      <c r="U252" s="58">
        <v>0</v>
      </c>
      <c r="V252" s="58">
        <f>SUMIF('JUNE (물량흐름)'!$C$13:$C$493,'In-out-bal products (155)(완성제품)'!B252,'JUNE (물량흐름)'!$W$13:$W$493)</f>
        <v>0</v>
      </c>
      <c r="W252" s="58">
        <f t="shared" si="102"/>
        <v>0</v>
      </c>
      <c r="X252" s="58">
        <f t="shared" si="103"/>
        <v>0</v>
      </c>
      <c r="Y252" s="58">
        <f>SUMIF('JUNE (물량흐름)'!$C$13:$C$488,'In-out-bal products (155)(완성제품)'!B252,'JUNE (물량흐름)'!$X$13:$X$488)</f>
        <v>0</v>
      </c>
      <c r="Z252" s="58">
        <f t="shared" si="104"/>
        <v>0</v>
      </c>
      <c r="AA252" s="58">
        <f t="shared" si="105"/>
        <v>0</v>
      </c>
      <c r="AB252" s="58"/>
      <c r="AC252" s="58"/>
      <c r="AD252" s="61"/>
      <c r="AE252" s="58">
        <f t="shared" si="106"/>
        <v>0</v>
      </c>
      <c r="AF252" s="58">
        <f t="shared" si="107"/>
        <v>0</v>
      </c>
      <c r="AG252" s="61">
        <f t="shared" si="108"/>
        <v>0</v>
      </c>
      <c r="AH252" s="58">
        <v>0</v>
      </c>
      <c r="AI252" s="58">
        <v>0</v>
      </c>
      <c r="AJ252" s="61">
        <v>0</v>
      </c>
      <c r="AK252" s="58"/>
      <c r="AL252" s="58"/>
      <c r="AM252" s="61"/>
      <c r="AN252" s="61">
        <f t="shared" si="109"/>
        <v>0</v>
      </c>
      <c r="AO252" s="58">
        <f t="shared" si="110"/>
        <v>0</v>
      </c>
      <c r="AP252" s="61">
        <f t="shared" si="111"/>
        <v>0</v>
      </c>
      <c r="AQ252" s="58">
        <f t="shared" si="112"/>
        <v>0</v>
      </c>
      <c r="AR252" s="58">
        <f t="shared" si="113"/>
        <v>0</v>
      </c>
      <c r="AS252" s="58">
        <f t="shared" si="114"/>
        <v>0</v>
      </c>
      <c r="AT252" s="58">
        <f>ROUND(SUMIF('JUNE (물량흐름)'!$C$13:$C$502,'In-out-bal products (155)(완성제품)'!B252,'JUNE (물량흐름)'!$AB$13:$AB$502),0)</f>
        <v>0</v>
      </c>
      <c r="AU252" s="58">
        <f t="shared" si="115"/>
        <v>0</v>
      </c>
      <c r="AV252" s="58">
        <f>ROUND(SUMIF('JUNE (물량흐름)'!$C$13:$C$502,'In-out-bal products (155)(완성제품)'!B252,'JUNE (물량흐름)'!$AC$13:$AC$502),0)</f>
        <v>0</v>
      </c>
      <c r="AW252" s="58">
        <f t="shared" si="116"/>
        <v>0</v>
      </c>
      <c r="AX252" s="376">
        <f t="shared" si="117"/>
        <v>0</v>
      </c>
      <c r="AY252" s="377">
        <f t="shared" si="118"/>
        <v>0</v>
      </c>
      <c r="AZ252" s="377">
        <f t="shared" si="119"/>
        <v>0</v>
      </c>
      <c r="BA252" s="377">
        <f t="shared" si="120"/>
        <v>0</v>
      </c>
      <c r="BB252" s="377"/>
      <c r="BC252" s="377">
        <f t="shared" si="121"/>
        <v>0</v>
      </c>
      <c r="BD252" s="377">
        <f t="shared" si="122"/>
        <v>0</v>
      </c>
      <c r="BE252" s="377"/>
      <c r="BF252" s="377">
        <f t="shared" si="123"/>
        <v>0</v>
      </c>
      <c r="BG252" s="433">
        <f t="shared" si="124"/>
        <v>0</v>
      </c>
      <c r="BH252" s="434">
        <f t="shared" si="125"/>
        <v>0</v>
      </c>
    </row>
    <row r="253" spans="1:60" s="378" customFormat="1">
      <c r="A253" s="167">
        <v>243</v>
      </c>
      <c r="B253" s="253" t="str">
        <f>VLOOKUP(A253,'JUNE (물량흐름)'!$A$13:$C$493,3,0)</f>
        <v>KTP121661</v>
      </c>
      <c r="C253" s="57" t="str">
        <f>VLOOKUP(A253,'JUNE (물량흐름)'!$A$13:$C$493,2,0)</f>
        <v>J JILL</v>
      </c>
      <c r="D253" s="58">
        <f>IFERROR(VLOOKUP(B253,O.B.JUNE!$V$7:$Y$448,2,0),0)</f>
        <v>0</v>
      </c>
      <c r="E253" s="58">
        <f>IFERROR(VLOOKUP(B253,O.B.JUNE!$V$7:$X$448,3,0),0)</f>
        <v>0</v>
      </c>
      <c r="F253" s="58">
        <f>IFERROR(VLOOKUP(B253,O.B.JUNE!$V$7:$Y$448,4,0),0)</f>
        <v>0</v>
      </c>
      <c r="G253" s="58">
        <f>SUMIF('JUNE (물량흐름)'!$C$13:$C$493,'In-out-bal products (155)(완성제품)'!B253,'JUNE (물량흐름)'!$V$13:$V$493)</f>
        <v>0</v>
      </c>
      <c r="H253" s="58">
        <f>SUMIF('JUNE (물량흐름)'!$C$13:$C$493,'In-out-bal products (155)(완성제품)'!B253,'JUNE (물량흐름)'!$T$13:$T$493)-SUMIF('JUNE (물량흐름)'!$C$13:$C$493,'In-out-bal products (155)(완성제품)'!B253,'JUNE (물량흐름)'!$Y$13:$Y$493)+SUMIF('JUNE (물량흐름)'!$C$13:$C$493,'In-out-bal products (155)(완성제품)'!B253,'JUNE (물량흐름)'!$U$13:$U$493)</f>
        <v>0</v>
      </c>
      <c r="I253" s="58">
        <f t="shared" si="96"/>
        <v>0</v>
      </c>
      <c r="J253" s="58">
        <f>SUMIF('Direct labour(직접노무비)'!$C$12:$C$503,'In-out-bal products (155)(완성제품)'!B253,'Direct labour(직접노무비)'!$Q$12:$Q$503)</f>
        <v>0</v>
      </c>
      <c r="K253" s="59">
        <f>SUMIF('Overhead exp(제조경비)'!$C$12:$C$503,'In-out-bal products (155)(완성제품)'!B253,'Overhead exp(제조경비)'!$Q$12:$Q$503)</f>
        <v>0</v>
      </c>
      <c r="L253" s="58">
        <f t="shared" si="97"/>
        <v>0</v>
      </c>
      <c r="M253" s="58">
        <f>SUMIF('JUNE (물량흐름)'!$C$13:$C$488,'In-out-bal products (155)(완성제품)'!B253,'JUNE (물량흐름)'!$Y$13:$Y$488)</f>
        <v>0</v>
      </c>
      <c r="N253" s="58">
        <f t="shared" si="98"/>
        <v>0</v>
      </c>
      <c r="O253" s="58">
        <f>SUMIF('Direct labour(직접노무비)'!$C$12:$C$503,'In-out-bal products (155)(완성제품)'!B253,'Direct labour(직접노무비)'!$U$12:$U$503)+SUMIF('Overhead exp(제조경비)'!$C$12:$C$503,'In-out-bal products (155)(완성제품)'!B253,'Overhead exp(제조경비)'!$U$12:$U$503)</f>
        <v>0</v>
      </c>
      <c r="P253" s="60">
        <f t="shared" si="99"/>
        <v>0</v>
      </c>
      <c r="Q253" s="60">
        <f t="shared" si="100"/>
        <v>0</v>
      </c>
      <c r="R253" s="60">
        <f t="shared" si="101"/>
        <v>0</v>
      </c>
      <c r="S253" s="58">
        <v>0</v>
      </c>
      <c r="T253" s="58">
        <v>0</v>
      </c>
      <c r="U253" s="58">
        <v>0</v>
      </c>
      <c r="V253" s="58">
        <f>SUMIF('JUNE (물량흐름)'!$C$13:$C$493,'In-out-bal products (155)(완성제품)'!B253,'JUNE (물량흐름)'!$W$13:$W$493)</f>
        <v>0</v>
      </c>
      <c r="W253" s="58">
        <f t="shared" si="102"/>
        <v>0</v>
      </c>
      <c r="X253" s="58">
        <f t="shared" si="103"/>
        <v>0</v>
      </c>
      <c r="Y253" s="58">
        <f>SUMIF('JUNE (물량흐름)'!$C$13:$C$488,'In-out-bal products (155)(완성제품)'!B253,'JUNE (물량흐름)'!$X$13:$X$488)</f>
        <v>0</v>
      </c>
      <c r="Z253" s="58">
        <f t="shared" si="104"/>
        <v>0</v>
      </c>
      <c r="AA253" s="58">
        <f t="shared" si="105"/>
        <v>0</v>
      </c>
      <c r="AB253" s="58"/>
      <c r="AC253" s="58"/>
      <c r="AD253" s="61"/>
      <c r="AE253" s="58">
        <f t="shared" si="106"/>
        <v>0</v>
      </c>
      <c r="AF253" s="58">
        <f t="shared" si="107"/>
        <v>0</v>
      </c>
      <c r="AG253" s="61">
        <f t="shared" si="108"/>
        <v>0</v>
      </c>
      <c r="AH253" s="58">
        <v>0</v>
      </c>
      <c r="AI253" s="58">
        <v>0</v>
      </c>
      <c r="AJ253" s="61">
        <v>0</v>
      </c>
      <c r="AK253" s="58"/>
      <c r="AL253" s="58"/>
      <c r="AM253" s="61"/>
      <c r="AN253" s="61">
        <f t="shared" si="109"/>
        <v>0</v>
      </c>
      <c r="AO253" s="58">
        <f t="shared" si="110"/>
        <v>0</v>
      </c>
      <c r="AP253" s="61">
        <f t="shared" si="111"/>
        <v>0</v>
      </c>
      <c r="AQ253" s="58">
        <f t="shared" si="112"/>
        <v>0</v>
      </c>
      <c r="AR253" s="58">
        <f t="shared" si="113"/>
        <v>0</v>
      </c>
      <c r="AS253" s="58">
        <f t="shared" si="114"/>
        <v>0</v>
      </c>
      <c r="AT253" s="58">
        <f>ROUND(SUMIF('JUNE (물량흐름)'!$C$13:$C$502,'In-out-bal products (155)(완성제품)'!B253,'JUNE (물량흐름)'!$AB$13:$AB$502),0)</f>
        <v>0</v>
      </c>
      <c r="AU253" s="58">
        <f t="shared" si="115"/>
        <v>0</v>
      </c>
      <c r="AV253" s="58">
        <f>ROUND(SUMIF('JUNE (물량흐름)'!$C$13:$C$502,'In-out-bal products (155)(완성제품)'!B253,'JUNE (물량흐름)'!$AC$13:$AC$502),0)</f>
        <v>0</v>
      </c>
      <c r="AW253" s="58">
        <f t="shared" si="116"/>
        <v>0</v>
      </c>
      <c r="AX253" s="376">
        <f t="shared" si="117"/>
        <v>0</v>
      </c>
      <c r="AY253" s="377">
        <f t="shared" si="118"/>
        <v>0</v>
      </c>
      <c r="AZ253" s="377">
        <f t="shared" si="119"/>
        <v>0</v>
      </c>
      <c r="BA253" s="377">
        <f t="shared" si="120"/>
        <v>0</v>
      </c>
      <c r="BB253" s="377"/>
      <c r="BC253" s="377">
        <f t="shared" si="121"/>
        <v>0</v>
      </c>
      <c r="BD253" s="377">
        <f t="shared" si="122"/>
        <v>0</v>
      </c>
      <c r="BE253" s="377"/>
      <c r="BF253" s="377">
        <f t="shared" si="123"/>
        <v>0</v>
      </c>
      <c r="BG253" s="433">
        <f t="shared" si="124"/>
        <v>0</v>
      </c>
      <c r="BH253" s="434">
        <f t="shared" si="125"/>
        <v>0</v>
      </c>
    </row>
    <row r="254" spans="1:60" s="378" customFormat="1">
      <c r="A254" s="167">
        <v>244</v>
      </c>
      <c r="B254" s="253">
        <f>VLOOKUP(A254,'JUNE (물량흐름)'!$A$13:$C$493,3,0)</f>
        <v>100015354</v>
      </c>
      <c r="C254" s="57" t="str">
        <f>VLOOKUP(A254,'JUNE (물량흐름)'!$A$13:$C$493,2,0)</f>
        <v>ALFANI</v>
      </c>
      <c r="D254" s="58">
        <f>IFERROR(VLOOKUP(B254,O.B.JUNE!$V$7:$Y$448,2,0),0)</f>
        <v>0</v>
      </c>
      <c r="E254" s="58">
        <f>IFERROR(VLOOKUP(B254,O.B.JUNE!$V$7:$X$448,3,0),0)</f>
        <v>0</v>
      </c>
      <c r="F254" s="58">
        <f>IFERROR(VLOOKUP(B254,O.B.JUNE!$V$7:$Y$448,4,0),0)</f>
        <v>0</v>
      </c>
      <c r="G254" s="58">
        <f>SUMIF('JUNE (물량흐름)'!$C$13:$C$493,'In-out-bal products (155)(완성제품)'!B254,'JUNE (물량흐름)'!$V$13:$V$493)</f>
        <v>0</v>
      </c>
      <c r="H254" s="58">
        <f>SUMIF('JUNE (물량흐름)'!$C$13:$C$493,'In-out-bal products (155)(완성제품)'!B254,'JUNE (물량흐름)'!$T$13:$T$493)-SUMIF('JUNE (물량흐름)'!$C$13:$C$493,'In-out-bal products (155)(완성제품)'!B254,'JUNE (물량흐름)'!$Y$13:$Y$493)+SUMIF('JUNE (물량흐름)'!$C$13:$C$493,'In-out-bal products (155)(완성제품)'!B254,'JUNE (물량흐름)'!$U$13:$U$493)</f>
        <v>0</v>
      </c>
      <c r="I254" s="58">
        <f t="shared" si="96"/>
        <v>0</v>
      </c>
      <c r="J254" s="58">
        <f>SUMIF('Direct labour(직접노무비)'!$C$12:$C$503,'In-out-bal products (155)(완성제품)'!B254,'Direct labour(직접노무비)'!$Q$12:$Q$503)</f>
        <v>0</v>
      </c>
      <c r="K254" s="59">
        <f>SUMIF('Overhead exp(제조경비)'!$C$12:$C$503,'In-out-bal products (155)(완성제품)'!B254,'Overhead exp(제조경비)'!$Q$12:$Q$503)</f>
        <v>0</v>
      </c>
      <c r="L254" s="58">
        <f t="shared" si="97"/>
        <v>0</v>
      </c>
      <c r="M254" s="58">
        <f>SUMIF('JUNE (물량흐름)'!$C$13:$C$488,'In-out-bal products (155)(완성제품)'!B254,'JUNE (물량흐름)'!$Y$13:$Y$488)</f>
        <v>0</v>
      </c>
      <c r="N254" s="58">
        <f t="shared" si="98"/>
        <v>0</v>
      </c>
      <c r="O254" s="58">
        <f>SUMIF('Direct labour(직접노무비)'!$C$12:$C$503,'In-out-bal products (155)(완성제품)'!B254,'Direct labour(직접노무비)'!$U$12:$U$503)+SUMIF('Overhead exp(제조경비)'!$C$12:$C$503,'In-out-bal products (155)(완성제품)'!B254,'Overhead exp(제조경비)'!$U$12:$U$503)</f>
        <v>0</v>
      </c>
      <c r="P254" s="60">
        <f t="shared" si="99"/>
        <v>0</v>
      </c>
      <c r="Q254" s="60">
        <f t="shared" si="100"/>
        <v>0</v>
      </c>
      <c r="R254" s="60">
        <f t="shared" si="101"/>
        <v>0</v>
      </c>
      <c r="S254" s="58">
        <v>0</v>
      </c>
      <c r="T254" s="58">
        <v>0</v>
      </c>
      <c r="U254" s="58">
        <v>0</v>
      </c>
      <c r="V254" s="58">
        <f>SUMIF('JUNE (물량흐름)'!$C$13:$C$493,'In-out-bal products (155)(완성제품)'!B254,'JUNE (물량흐름)'!$W$13:$W$493)</f>
        <v>0</v>
      </c>
      <c r="W254" s="58">
        <f t="shared" si="102"/>
        <v>0</v>
      </c>
      <c r="X254" s="58">
        <f t="shared" si="103"/>
        <v>0</v>
      </c>
      <c r="Y254" s="58">
        <f>SUMIF('JUNE (물량흐름)'!$C$13:$C$488,'In-out-bal products (155)(완성제품)'!B254,'JUNE (물량흐름)'!$X$13:$X$488)</f>
        <v>0</v>
      </c>
      <c r="Z254" s="58">
        <f t="shared" si="104"/>
        <v>0</v>
      </c>
      <c r="AA254" s="58">
        <f t="shared" si="105"/>
        <v>0</v>
      </c>
      <c r="AB254" s="58"/>
      <c r="AC254" s="58"/>
      <c r="AD254" s="61"/>
      <c r="AE254" s="58">
        <f t="shared" si="106"/>
        <v>0</v>
      </c>
      <c r="AF254" s="58">
        <f t="shared" si="107"/>
        <v>0</v>
      </c>
      <c r="AG254" s="61">
        <f t="shared" si="108"/>
        <v>0</v>
      </c>
      <c r="AH254" s="58">
        <v>0</v>
      </c>
      <c r="AI254" s="58">
        <v>0</v>
      </c>
      <c r="AJ254" s="61">
        <v>0</v>
      </c>
      <c r="AK254" s="58"/>
      <c r="AL254" s="58"/>
      <c r="AM254" s="61"/>
      <c r="AN254" s="61">
        <f t="shared" si="109"/>
        <v>0</v>
      </c>
      <c r="AO254" s="58">
        <f t="shared" si="110"/>
        <v>0</v>
      </c>
      <c r="AP254" s="61">
        <f t="shared" si="111"/>
        <v>0</v>
      </c>
      <c r="AQ254" s="58">
        <f t="shared" si="112"/>
        <v>0</v>
      </c>
      <c r="AR254" s="58">
        <f t="shared" si="113"/>
        <v>0</v>
      </c>
      <c r="AS254" s="58">
        <f t="shared" si="114"/>
        <v>0</v>
      </c>
      <c r="AT254" s="58">
        <f>ROUND(SUMIF('JUNE (물량흐름)'!$C$13:$C$502,'In-out-bal products (155)(완성제품)'!B254,'JUNE (물량흐름)'!$AB$13:$AB$502),0)</f>
        <v>0</v>
      </c>
      <c r="AU254" s="58">
        <f t="shared" si="115"/>
        <v>0</v>
      </c>
      <c r="AV254" s="58">
        <f>ROUND(SUMIF('JUNE (물량흐름)'!$C$13:$C$502,'In-out-bal products (155)(완성제품)'!B254,'JUNE (물량흐름)'!$AC$13:$AC$502),0)</f>
        <v>0</v>
      </c>
      <c r="AW254" s="58">
        <f t="shared" si="116"/>
        <v>0</v>
      </c>
      <c r="AX254" s="376">
        <f t="shared" si="117"/>
        <v>0</v>
      </c>
      <c r="AY254" s="377">
        <f t="shared" si="118"/>
        <v>0</v>
      </c>
      <c r="AZ254" s="377">
        <f t="shared" si="119"/>
        <v>0</v>
      </c>
      <c r="BA254" s="377">
        <f t="shared" si="120"/>
        <v>0</v>
      </c>
      <c r="BB254" s="377"/>
      <c r="BC254" s="377">
        <f t="shared" si="121"/>
        <v>0</v>
      </c>
      <c r="BD254" s="377">
        <f t="shared" si="122"/>
        <v>0</v>
      </c>
      <c r="BE254" s="377"/>
      <c r="BF254" s="377">
        <f t="shared" si="123"/>
        <v>0</v>
      </c>
      <c r="BG254" s="433">
        <f t="shared" si="124"/>
        <v>0</v>
      </c>
      <c r="BH254" s="434">
        <f t="shared" si="125"/>
        <v>0</v>
      </c>
    </row>
    <row r="255" spans="1:60" s="378" customFormat="1">
      <c r="A255" s="167">
        <v>245</v>
      </c>
      <c r="B255" s="253">
        <f>VLOOKUP(A255,'JUNE (물량흐름)'!$A$13:$C$493,3,0)</f>
        <v>468248</v>
      </c>
      <c r="C255" s="57" t="str">
        <f>VLOOKUP(A255,'JUNE (물량흐름)'!$A$13:$C$493,2,0)</f>
        <v>ANN TAYLOR</v>
      </c>
      <c r="D255" s="58">
        <f>IFERROR(VLOOKUP(B255,O.B.JUNE!$V$7:$Y$448,2,0),0)</f>
        <v>0</v>
      </c>
      <c r="E255" s="58">
        <f>IFERROR(VLOOKUP(B255,O.B.JUNE!$V$7:$X$448,3,0),0)</f>
        <v>0</v>
      </c>
      <c r="F255" s="58">
        <f>IFERROR(VLOOKUP(B255,O.B.JUNE!$V$7:$Y$448,4,0),0)</f>
        <v>0</v>
      </c>
      <c r="G255" s="58">
        <f>SUMIF('JUNE (물량흐름)'!$C$13:$C$493,'In-out-bal products (155)(완성제품)'!B255,'JUNE (물량흐름)'!$V$13:$V$493)</f>
        <v>0</v>
      </c>
      <c r="H255" s="58">
        <f>SUMIF('JUNE (물량흐름)'!$C$13:$C$493,'In-out-bal products (155)(완성제품)'!B255,'JUNE (물량흐름)'!$T$13:$T$493)-SUMIF('JUNE (물량흐름)'!$C$13:$C$493,'In-out-bal products (155)(완성제품)'!B255,'JUNE (물량흐름)'!$Y$13:$Y$493)+SUMIF('JUNE (물량흐름)'!$C$13:$C$493,'In-out-bal products (155)(완성제품)'!B255,'JUNE (물량흐름)'!$U$13:$U$493)</f>
        <v>0</v>
      </c>
      <c r="I255" s="58">
        <f t="shared" si="96"/>
        <v>0</v>
      </c>
      <c r="J255" s="58">
        <f>SUMIF('Direct labour(직접노무비)'!$C$12:$C$503,'In-out-bal products (155)(완성제품)'!B255,'Direct labour(직접노무비)'!$Q$12:$Q$503)</f>
        <v>0</v>
      </c>
      <c r="K255" s="59">
        <f>SUMIF('Overhead exp(제조경비)'!$C$12:$C$503,'In-out-bal products (155)(완성제품)'!B255,'Overhead exp(제조경비)'!$Q$12:$Q$503)</f>
        <v>0</v>
      </c>
      <c r="L255" s="58">
        <f t="shared" si="97"/>
        <v>0</v>
      </c>
      <c r="M255" s="58">
        <f>SUMIF('JUNE (물량흐름)'!$C$13:$C$488,'In-out-bal products (155)(완성제품)'!B255,'JUNE (물량흐름)'!$Y$13:$Y$488)</f>
        <v>0</v>
      </c>
      <c r="N255" s="58">
        <f t="shared" si="98"/>
        <v>0</v>
      </c>
      <c r="O255" s="58">
        <f>SUMIF('Direct labour(직접노무비)'!$C$12:$C$503,'In-out-bal products (155)(완성제품)'!B255,'Direct labour(직접노무비)'!$U$12:$U$503)+SUMIF('Overhead exp(제조경비)'!$C$12:$C$503,'In-out-bal products (155)(완성제품)'!B255,'Overhead exp(제조경비)'!$U$12:$U$503)</f>
        <v>0</v>
      </c>
      <c r="P255" s="60">
        <f t="shared" si="99"/>
        <v>0</v>
      </c>
      <c r="Q255" s="60">
        <f t="shared" si="100"/>
        <v>0</v>
      </c>
      <c r="R255" s="60">
        <f t="shared" si="101"/>
        <v>0</v>
      </c>
      <c r="S255" s="58">
        <v>0</v>
      </c>
      <c r="T255" s="58">
        <v>0</v>
      </c>
      <c r="U255" s="58">
        <v>0</v>
      </c>
      <c r="V255" s="58">
        <f>SUMIF('JUNE (물량흐름)'!$C$13:$C$493,'In-out-bal products (155)(완성제품)'!B255,'JUNE (물량흐름)'!$W$13:$W$493)</f>
        <v>0</v>
      </c>
      <c r="W255" s="58">
        <f t="shared" si="102"/>
        <v>0</v>
      </c>
      <c r="X255" s="58">
        <f t="shared" si="103"/>
        <v>0</v>
      </c>
      <c r="Y255" s="58">
        <f>SUMIF('JUNE (물량흐름)'!$C$13:$C$488,'In-out-bal products (155)(완성제품)'!B255,'JUNE (물량흐름)'!$X$13:$X$488)</f>
        <v>0</v>
      </c>
      <c r="Z255" s="58">
        <f t="shared" si="104"/>
        <v>0</v>
      </c>
      <c r="AA255" s="58">
        <f t="shared" si="105"/>
        <v>0</v>
      </c>
      <c r="AB255" s="58"/>
      <c r="AC255" s="58"/>
      <c r="AD255" s="61"/>
      <c r="AE255" s="58">
        <f t="shared" si="106"/>
        <v>0</v>
      </c>
      <c r="AF255" s="58">
        <f t="shared" si="107"/>
        <v>0</v>
      </c>
      <c r="AG255" s="61">
        <f t="shared" si="108"/>
        <v>0</v>
      </c>
      <c r="AH255" s="58">
        <v>0</v>
      </c>
      <c r="AI255" s="58">
        <v>0</v>
      </c>
      <c r="AJ255" s="61">
        <v>0</v>
      </c>
      <c r="AK255" s="58"/>
      <c r="AL255" s="58"/>
      <c r="AM255" s="61"/>
      <c r="AN255" s="61">
        <f t="shared" si="109"/>
        <v>0</v>
      </c>
      <c r="AO255" s="58">
        <f t="shared" si="110"/>
        <v>0</v>
      </c>
      <c r="AP255" s="61">
        <f t="shared" si="111"/>
        <v>0</v>
      </c>
      <c r="AQ255" s="58">
        <f t="shared" si="112"/>
        <v>0</v>
      </c>
      <c r="AR255" s="58">
        <f t="shared" si="113"/>
        <v>0</v>
      </c>
      <c r="AS255" s="58">
        <f t="shared" si="114"/>
        <v>0</v>
      </c>
      <c r="AT255" s="58">
        <f>ROUND(SUMIF('JUNE (물량흐름)'!$C$13:$C$502,'In-out-bal products (155)(완성제품)'!B255,'JUNE (물량흐름)'!$AB$13:$AB$502),0)</f>
        <v>0</v>
      </c>
      <c r="AU255" s="58">
        <f t="shared" si="115"/>
        <v>0</v>
      </c>
      <c r="AV255" s="58">
        <f>ROUND(SUMIF('JUNE (물량흐름)'!$C$13:$C$502,'In-out-bal products (155)(완성제품)'!B255,'JUNE (물량흐름)'!$AC$13:$AC$502),0)</f>
        <v>0</v>
      </c>
      <c r="AW255" s="58">
        <f t="shared" si="116"/>
        <v>0</v>
      </c>
      <c r="AX255" s="376">
        <f t="shared" si="117"/>
        <v>0</v>
      </c>
      <c r="AY255" s="377">
        <f t="shared" si="118"/>
        <v>0</v>
      </c>
      <c r="AZ255" s="377">
        <f t="shared" si="119"/>
        <v>0</v>
      </c>
      <c r="BA255" s="377">
        <f t="shared" si="120"/>
        <v>0</v>
      </c>
      <c r="BB255" s="377"/>
      <c r="BC255" s="377">
        <f t="shared" si="121"/>
        <v>0</v>
      </c>
      <c r="BD255" s="377">
        <f t="shared" si="122"/>
        <v>0</v>
      </c>
      <c r="BE255" s="377"/>
      <c r="BF255" s="377">
        <f t="shared" si="123"/>
        <v>0</v>
      </c>
      <c r="BG255" s="433">
        <f t="shared" si="124"/>
        <v>0</v>
      </c>
      <c r="BH255" s="434">
        <f t="shared" si="125"/>
        <v>0</v>
      </c>
    </row>
    <row r="256" spans="1:60" s="378" customFormat="1">
      <c r="A256" s="167">
        <v>246</v>
      </c>
      <c r="B256" s="253">
        <f>VLOOKUP(A256,'JUNE (물량흐름)'!$A$13:$C$493,3,0)</f>
        <v>100008608</v>
      </c>
      <c r="C256" s="57" t="str">
        <f>VLOOKUP(A256,'JUNE (물량흐름)'!$A$13:$C$493,2,0)</f>
        <v>ALFANI</v>
      </c>
      <c r="D256" s="58">
        <f>IFERROR(VLOOKUP(B256,O.B.JUNE!$V$7:$Y$448,2,0),0)</f>
        <v>0</v>
      </c>
      <c r="E256" s="58">
        <f>IFERROR(VLOOKUP(B256,O.B.JUNE!$V$7:$X$448,3,0),0)</f>
        <v>0</v>
      </c>
      <c r="F256" s="58">
        <f>IFERROR(VLOOKUP(B256,O.B.JUNE!$V$7:$Y$448,4,0),0)</f>
        <v>0</v>
      </c>
      <c r="G256" s="58">
        <f>SUMIF('JUNE (물량흐름)'!$C$13:$C$493,'In-out-bal products (155)(완성제품)'!B256,'JUNE (물량흐름)'!$V$13:$V$493)</f>
        <v>0</v>
      </c>
      <c r="H256" s="58">
        <f>SUMIF('JUNE (물량흐름)'!$C$13:$C$493,'In-out-bal products (155)(완성제품)'!B256,'JUNE (물량흐름)'!$T$13:$T$493)-SUMIF('JUNE (물량흐름)'!$C$13:$C$493,'In-out-bal products (155)(완성제품)'!B256,'JUNE (물량흐름)'!$Y$13:$Y$493)+SUMIF('JUNE (물량흐름)'!$C$13:$C$493,'In-out-bal products (155)(완성제품)'!B256,'JUNE (물량흐름)'!$U$13:$U$493)</f>
        <v>0</v>
      </c>
      <c r="I256" s="58">
        <f t="shared" si="96"/>
        <v>0</v>
      </c>
      <c r="J256" s="58">
        <f>SUMIF('Direct labour(직접노무비)'!$C$12:$C$503,'In-out-bal products (155)(완성제품)'!B256,'Direct labour(직접노무비)'!$Q$12:$Q$503)</f>
        <v>0</v>
      </c>
      <c r="K256" s="59">
        <f>SUMIF('Overhead exp(제조경비)'!$C$12:$C$503,'In-out-bal products (155)(완성제품)'!B256,'Overhead exp(제조경비)'!$Q$12:$Q$503)</f>
        <v>0</v>
      </c>
      <c r="L256" s="58">
        <f t="shared" si="97"/>
        <v>0</v>
      </c>
      <c r="M256" s="58">
        <f>SUMIF('JUNE (물량흐름)'!$C$13:$C$488,'In-out-bal products (155)(완성제품)'!B256,'JUNE (물량흐름)'!$Y$13:$Y$488)</f>
        <v>0</v>
      </c>
      <c r="N256" s="58">
        <f t="shared" si="98"/>
        <v>0</v>
      </c>
      <c r="O256" s="58">
        <f>SUMIF('Direct labour(직접노무비)'!$C$12:$C$503,'In-out-bal products (155)(완성제품)'!B256,'Direct labour(직접노무비)'!$U$12:$U$503)+SUMIF('Overhead exp(제조경비)'!$C$12:$C$503,'In-out-bal products (155)(완성제품)'!B256,'Overhead exp(제조경비)'!$U$12:$U$503)</f>
        <v>0</v>
      </c>
      <c r="P256" s="60">
        <f t="shared" si="99"/>
        <v>0</v>
      </c>
      <c r="Q256" s="60">
        <f t="shared" si="100"/>
        <v>0</v>
      </c>
      <c r="R256" s="60">
        <f t="shared" si="101"/>
        <v>0</v>
      </c>
      <c r="S256" s="58">
        <v>0</v>
      </c>
      <c r="T256" s="58">
        <v>0</v>
      </c>
      <c r="U256" s="58">
        <v>0</v>
      </c>
      <c r="V256" s="58">
        <f>SUMIF('JUNE (물량흐름)'!$C$13:$C$493,'In-out-bal products (155)(완성제품)'!B256,'JUNE (물량흐름)'!$W$13:$W$493)</f>
        <v>0</v>
      </c>
      <c r="W256" s="58">
        <f t="shared" si="102"/>
        <v>0</v>
      </c>
      <c r="X256" s="58">
        <f t="shared" si="103"/>
        <v>0</v>
      </c>
      <c r="Y256" s="58">
        <f>SUMIF('JUNE (물량흐름)'!$C$13:$C$488,'In-out-bal products (155)(완성제품)'!B256,'JUNE (물량흐름)'!$X$13:$X$488)</f>
        <v>0</v>
      </c>
      <c r="Z256" s="58">
        <f t="shared" si="104"/>
        <v>0</v>
      </c>
      <c r="AA256" s="58">
        <f t="shared" si="105"/>
        <v>0</v>
      </c>
      <c r="AB256" s="58"/>
      <c r="AC256" s="58"/>
      <c r="AD256" s="61"/>
      <c r="AE256" s="58">
        <f t="shared" si="106"/>
        <v>0</v>
      </c>
      <c r="AF256" s="58">
        <f t="shared" si="107"/>
        <v>0</v>
      </c>
      <c r="AG256" s="61">
        <f t="shared" si="108"/>
        <v>0</v>
      </c>
      <c r="AH256" s="58">
        <v>0</v>
      </c>
      <c r="AI256" s="58">
        <v>0</v>
      </c>
      <c r="AJ256" s="61">
        <v>0</v>
      </c>
      <c r="AK256" s="58"/>
      <c r="AL256" s="58"/>
      <c r="AM256" s="61"/>
      <c r="AN256" s="61">
        <f t="shared" si="109"/>
        <v>0</v>
      </c>
      <c r="AO256" s="58">
        <f t="shared" si="110"/>
        <v>0</v>
      </c>
      <c r="AP256" s="61">
        <f t="shared" si="111"/>
        <v>0</v>
      </c>
      <c r="AQ256" s="58">
        <f t="shared" si="112"/>
        <v>0</v>
      </c>
      <c r="AR256" s="58">
        <f t="shared" si="113"/>
        <v>0</v>
      </c>
      <c r="AS256" s="58">
        <f t="shared" si="114"/>
        <v>0</v>
      </c>
      <c r="AT256" s="58">
        <f>ROUND(SUMIF('JUNE (물량흐름)'!$C$13:$C$502,'In-out-bal products (155)(완성제품)'!B256,'JUNE (물량흐름)'!$AB$13:$AB$502),0)</f>
        <v>0</v>
      </c>
      <c r="AU256" s="58">
        <f t="shared" si="115"/>
        <v>0</v>
      </c>
      <c r="AV256" s="58">
        <f>ROUND(SUMIF('JUNE (물량흐름)'!$C$13:$C$502,'In-out-bal products (155)(완성제품)'!B256,'JUNE (물량흐름)'!$AC$13:$AC$502),0)</f>
        <v>0</v>
      </c>
      <c r="AW256" s="58">
        <f t="shared" si="116"/>
        <v>0</v>
      </c>
      <c r="AX256" s="376">
        <f t="shared" si="117"/>
        <v>0</v>
      </c>
      <c r="AY256" s="377">
        <f t="shared" si="118"/>
        <v>0</v>
      </c>
      <c r="AZ256" s="377">
        <f t="shared" si="119"/>
        <v>0</v>
      </c>
      <c r="BA256" s="377">
        <f t="shared" si="120"/>
        <v>0</v>
      </c>
      <c r="BB256" s="377"/>
      <c r="BC256" s="377">
        <f t="shared" si="121"/>
        <v>0</v>
      </c>
      <c r="BD256" s="377">
        <f t="shared" si="122"/>
        <v>0</v>
      </c>
      <c r="BE256" s="377"/>
      <c r="BF256" s="377">
        <f t="shared" si="123"/>
        <v>0</v>
      </c>
      <c r="BG256" s="433">
        <f t="shared" si="124"/>
        <v>0</v>
      </c>
      <c r="BH256" s="434">
        <f t="shared" si="125"/>
        <v>0</v>
      </c>
    </row>
    <row r="257" spans="1:60" s="378" customFormat="1">
      <c r="A257" s="167">
        <v>247</v>
      </c>
      <c r="B257" s="253">
        <f>VLOOKUP(A257,'JUNE (물량흐름)'!$A$13:$C$493,3,0)</f>
        <v>16661</v>
      </c>
      <c r="C257" s="57" t="str">
        <f>VLOOKUP(A257,'JUNE (물량흐름)'!$A$13:$C$493,2,0)</f>
        <v>CHARTER CLUB</v>
      </c>
      <c r="D257" s="58">
        <f>IFERROR(VLOOKUP(B257,O.B.JUNE!$V$7:$Y$448,2,0),0)</f>
        <v>0</v>
      </c>
      <c r="E257" s="58">
        <f>IFERROR(VLOOKUP(B257,O.B.JUNE!$V$7:$X$448,3,0),0)</f>
        <v>0</v>
      </c>
      <c r="F257" s="58">
        <f>IFERROR(VLOOKUP(B257,O.B.JUNE!$V$7:$Y$448,4,0),0)</f>
        <v>0</v>
      </c>
      <c r="G257" s="58">
        <f>SUMIF('JUNE (물량흐름)'!$C$13:$C$493,'In-out-bal products (155)(완성제품)'!B257,'JUNE (물량흐름)'!$V$13:$V$493)</f>
        <v>0</v>
      </c>
      <c r="H257" s="58">
        <f>SUMIF('JUNE (물량흐름)'!$C$13:$C$493,'In-out-bal products (155)(완성제품)'!B257,'JUNE (물량흐름)'!$T$13:$T$493)-SUMIF('JUNE (물량흐름)'!$C$13:$C$493,'In-out-bal products (155)(완성제품)'!B257,'JUNE (물량흐름)'!$Y$13:$Y$493)+SUMIF('JUNE (물량흐름)'!$C$13:$C$493,'In-out-bal products (155)(완성제품)'!B257,'JUNE (물량흐름)'!$U$13:$U$493)</f>
        <v>0</v>
      </c>
      <c r="I257" s="58">
        <f t="shared" si="96"/>
        <v>0</v>
      </c>
      <c r="J257" s="58">
        <f>SUMIF('Direct labour(직접노무비)'!$C$12:$C$503,'In-out-bal products (155)(완성제품)'!B257,'Direct labour(직접노무비)'!$Q$12:$Q$503)</f>
        <v>0</v>
      </c>
      <c r="K257" s="59">
        <f>SUMIF('Overhead exp(제조경비)'!$C$12:$C$503,'In-out-bal products (155)(완성제품)'!B257,'Overhead exp(제조경비)'!$Q$12:$Q$503)</f>
        <v>0</v>
      </c>
      <c r="L257" s="58">
        <f t="shared" si="97"/>
        <v>0</v>
      </c>
      <c r="M257" s="58">
        <f>SUMIF('JUNE (물량흐름)'!$C$13:$C$488,'In-out-bal products (155)(완성제품)'!B257,'JUNE (물량흐름)'!$Y$13:$Y$488)</f>
        <v>0</v>
      </c>
      <c r="N257" s="58">
        <f t="shared" si="98"/>
        <v>0</v>
      </c>
      <c r="O257" s="58">
        <f>SUMIF('Direct labour(직접노무비)'!$C$12:$C$503,'In-out-bal products (155)(완성제품)'!B257,'Direct labour(직접노무비)'!$U$12:$U$503)+SUMIF('Overhead exp(제조경비)'!$C$12:$C$503,'In-out-bal products (155)(완성제품)'!B257,'Overhead exp(제조경비)'!$U$12:$U$503)</f>
        <v>0</v>
      </c>
      <c r="P257" s="60">
        <f t="shared" si="99"/>
        <v>0</v>
      </c>
      <c r="Q257" s="60">
        <f t="shared" si="100"/>
        <v>0</v>
      </c>
      <c r="R257" s="60">
        <f t="shared" si="101"/>
        <v>0</v>
      </c>
      <c r="S257" s="58">
        <v>0</v>
      </c>
      <c r="T257" s="58">
        <v>0</v>
      </c>
      <c r="U257" s="58">
        <v>0</v>
      </c>
      <c r="V257" s="58">
        <f>SUMIF('JUNE (물량흐름)'!$C$13:$C$493,'In-out-bal products (155)(완성제품)'!B257,'JUNE (물량흐름)'!$W$13:$W$493)</f>
        <v>0</v>
      </c>
      <c r="W257" s="58">
        <f t="shared" si="102"/>
        <v>0</v>
      </c>
      <c r="X257" s="58">
        <f t="shared" si="103"/>
        <v>0</v>
      </c>
      <c r="Y257" s="58">
        <f>SUMIF('JUNE (물량흐름)'!$C$13:$C$488,'In-out-bal products (155)(완성제품)'!B257,'JUNE (물량흐름)'!$X$13:$X$488)</f>
        <v>0</v>
      </c>
      <c r="Z257" s="58">
        <f t="shared" si="104"/>
        <v>0</v>
      </c>
      <c r="AA257" s="58">
        <f t="shared" si="105"/>
        <v>0</v>
      </c>
      <c r="AB257" s="58"/>
      <c r="AC257" s="58"/>
      <c r="AD257" s="61"/>
      <c r="AE257" s="58">
        <f t="shared" si="106"/>
        <v>0</v>
      </c>
      <c r="AF257" s="58">
        <f t="shared" si="107"/>
        <v>0</v>
      </c>
      <c r="AG257" s="61">
        <f t="shared" si="108"/>
        <v>0</v>
      </c>
      <c r="AH257" s="58">
        <v>0</v>
      </c>
      <c r="AI257" s="58">
        <v>0</v>
      </c>
      <c r="AJ257" s="61">
        <v>0</v>
      </c>
      <c r="AK257" s="58"/>
      <c r="AL257" s="58"/>
      <c r="AM257" s="61"/>
      <c r="AN257" s="61">
        <f t="shared" si="109"/>
        <v>0</v>
      </c>
      <c r="AO257" s="58">
        <f t="shared" si="110"/>
        <v>0</v>
      </c>
      <c r="AP257" s="61">
        <f t="shared" si="111"/>
        <v>0</v>
      </c>
      <c r="AQ257" s="58">
        <f t="shared" si="112"/>
        <v>0</v>
      </c>
      <c r="AR257" s="58">
        <f t="shared" si="113"/>
        <v>0</v>
      </c>
      <c r="AS257" s="58">
        <f t="shared" si="114"/>
        <v>0</v>
      </c>
      <c r="AT257" s="58">
        <f>ROUND(SUMIF('JUNE (물량흐름)'!$C$13:$C$502,'In-out-bal products (155)(완성제품)'!B257,'JUNE (물량흐름)'!$AB$13:$AB$502),0)</f>
        <v>0</v>
      </c>
      <c r="AU257" s="58">
        <f t="shared" si="115"/>
        <v>0</v>
      </c>
      <c r="AV257" s="58">
        <f>ROUND(SUMIF('JUNE (물량흐름)'!$C$13:$C$502,'In-out-bal products (155)(완성제품)'!B257,'JUNE (물량흐름)'!$AC$13:$AC$502),0)</f>
        <v>0</v>
      </c>
      <c r="AW257" s="58">
        <f t="shared" si="116"/>
        <v>0</v>
      </c>
      <c r="AX257" s="376">
        <f t="shared" si="117"/>
        <v>0</v>
      </c>
      <c r="AY257" s="377">
        <f t="shared" si="118"/>
        <v>0</v>
      </c>
      <c r="AZ257" s="377">
        <f t="shared" si="119"/>
        <v>0</v>
      </c>
      <c r="BA257" s="377">
        <f t="shared" si="120"/>
        <v>0</v>
      </c>
      <c r="BB257" s="377"/>
      <c r="BC257" s="377">
        <f t="shared" si="121"/>
        <v>0</v>
      </c>
      <c r="BD257" s="377">
        <f t="shared" si="122"/>
        <v>0</v>
      </c>
      <c r="BE257" s="377"/>
      <c r="BF257" s="377">
        <f t="shared" si="123"/>
        <v>0</v>
      </c>
      <c r="BG257" s="433">
        <f t="shared" si="124"/>
        <v>0</v>
      </c>
      <c r="BH257" s="434">
        <f t="shared" si="125"/>
        <v>0</v>
      </c>
    </row>
    <row r="258" spans="1:60" s="378" customFormat="1">
      <c r="A258" s="167">
        <v>248</v>
      </c>
      <c r="B258" s="253">
        <f>VLOOKUP(A258,'JUNE (물량흐름)'!$A$13:$C$493,3,0)</f>
        <v>75740</v>
      </c>
      <c r="C258" s="57" t="str">
        <f>VLOOKUP(A258,'JUNE (물량흐름)'!$A$13:$C$493,2,0)</f>
        <v>ALFANI</v>
      </c>
      <c r="D258" s="58">
        <f>IFERROR(VLOOKUP(B258,O.B.JUNE!$V$7:$Y$448,2,0),0)</f>
        <v>0</v>
      </c>
      <c r="E258" s="58">
        <f>IFERROR(VLOOKUP(B258,O.B.JUNE!$V$7:$X$448,3,0),0)</f>
        <v>0</v>
      </c>
      <c r="F258" s="58">
        <f>IFERROR(VLOOKUP(B258,O.B.JUNE!$V$7:$Y$448,4,0),0)</f>
        <v>0</v>
      </c>
      <c r="G258" s="58">
        <f>SUMIF('JUNE (물량흐름)'!$C$13:$C$493,'In-out-bal products (155)(완성제품)'!B258,'JUNE (물량흐름)'!$V$13:$V$493)</f>
        <v>0</v>
      </c>
      <c r="H258" s="58">
        <f>SUMIF('JUNE (물량흐름)'!$C$13:$C$493,'In-out-bal products (155)(완성제품)'!B258,'JUNE (물량흐름)'!$T$13:$T$493)-SUMIF('JUNE (물량흐름)'!$C$13:$C$493,'In-out-bal products (155)(완성제품)'!B258,'JUNE (물량흐름)'!$Y$13:$Y$493)+SUMIF('JUNE (물량흐름)'!$C$13:$C$493,'In-out-bal products (155)(완성제품)'!B258,'JUNE (물량흐름)'!$U$13:$U$493)</f>
        <v>12</v>
      </c>
      <c r="I258" s="58">
        <f t="shared" si="96"/>
        <v>30264.833333333332</v>
      </c>
      <c r="J258" s="58">
        <f>SUMIF('Direct labour(직접노무비)'!$C$12:$C$503,'In-out-bal products (155)(완성제품)'!B258,'Direct labour(직접노무비)'!$Q$12:$Q$503)</f>
        <v>145915</v>
      </c>
      <c r="K258" s="59">
        <f>SUMIF('Overhead exp(제조경비)'!$C$12:$C$503,'In-out-bal products (155)(완성제품)'!B258,'Overhead exp(제조경비)'!$Q$12:$Q$503)</f>
        <v>217263</v>
      </c>
      <c r="L258" s="58">
        <f t="shared" si="97"/>
        <v>363178</v>
      </c>
      <c r="M258" s="58">
        <f>SUMIF('JUNE (물량흐름)'!$C$13:$C$488,'In-out-bal products (155)(완성제품)'!B258,'JUNE (물량흐름)'!$Y$13:$Y$488)</f>
        <v>0</v>
      </c>
      <c r="N258" s="58">
        <f t="shared" si="98"/>
        <v>0</v>
      </c>
      <c r="O258" s="58">
        <f>SUMIF('Direct labour(직접노무비)'!$C$12:$C$503,'In-out-bal products (155)(완성제품)'!B258,'Direct labour(직접노무비)'!$U$12:$U$503)+SUMIF('Overhead exp(제조경비)'!$C$12:$C$503,'In-out-bal products (155)(완성제품)'!B258,'Overhead exp(제조경비)'!$U$12:$U$503)</f>
        <v>0</v>
      </c>
      <c r="P258" s="60">
        <f t="shared" si="99"/>
        <v>12</v>
      </c>
      <c r="Q258" s="60">
        <f t="shared" si="100"/>
        <v>30264.833333333332</v>
      </c>
      <c r="R258" s="60">
        <f t="shared" si="101"/>
        <v>363178</v>
      </c>
      <c r="S258" s="58">
        <v>0</v>
      </c>
      <c r="T258" s="58">
        <v>0</v>
      </c>
      <c r="U258" s="58">
        <v>0</v>
      </c>
      <c r="V258" s="58">
        <f>SUMIF('JUNE (물량흐름)'!$C$13:$C$493,'In-out-bal products (155)(완성제품)'!B258,'JUNE (물량흐름)'!$W$13:$W$493)</f>
        <v>0</v>
      </c>
      <c r="W258" s="58">
        <f t="shared" si="102"/>
        <v>0</v>
      </c>
      <c r="X258" s="58">
        <f t="shared" si="103"/>
        <v>0</v>
      </c>
      <c r="Y258" s="58">
        <f>SUMIF('JUNE (물량흐름)'!$C$13:$C$488,'In-out-bal products (155)(완성제품)'!B258,'JUNE (물량흐름)'!$X$13:$X$488)</f>
        <v>0</v>
      </c>
      <c r="Z258" s="58">
        <f t="shared" si="104"/>
        <v>0</v>
      </c>
      <c r="AA258" s="58">
        <f t="shared" si="105"/>
        <v>0</v>
      </c>
      <c r="AB258" s="58"/>
      <c r="AC258" s="58"/>
      <c r="AD258" s="61"/>
      <c r="AE258" s="58">
        <f t="shared" si="106"/>
        <v>0</v>
      </c>
      <c r="AF258" s="58">
        <f t="shared" si="107"/>
        <v>0</v>
      </c>
      <c r="AG258" s="61">
        <f t="shared" si="108"/>
        <v>0</v>
      </c>
      <c r="AH258" s="58">
        <v>0</v>
      </c>
      <c r="AI258" s="58">
        <v>0</v>
      </c>
      <c r="AJ258" s="61">
        <v>0</v>
      </c>
      <c r="AK258" s="58"/>
      <c r="AL258" s="58"/>
      <c r="AM258" s="61"/>
      <c r="AN258" s="61">
        <f t="shared" si="109"/>
        <v>0</v>
      </c>
      <c r="AO258" s="58">
        <f t="shared" si="110"/>
        <v>0</v>
      </c>
      <c r="AP258" s="61">
        <f t="shared" si="111"/>
        <v>0</v>
      </c>
      <c r="AQ258" s="58">
        <f t="shared" si="112"/>
        <v>12</v>
      </c>
      <c r="AR258" s="58">
        <f t="shared" si="113"/>
        <v>30264.833333333332</v>
      </c>
      <c r="AS258" s="58">
        <f t="shared" si="114"/>
        <v>363178</v>
      </c>
      <c r="AT258" s="58">
        <f>ROUND(SUMIF('JUNE (물량흐름)'!$C$13:$C$502,'In-out-bal products (155)(완성제품)'!B258,'JUNE (물량흐름)'!$AB$13:$AB$502),0)</f>
        <v>0</v>
      </c>
      <c r="AU258" s="58">
        <f t="shared" si="115"/>
        <v>0</v>
      </c>
      <c r="AV258" s="58">
        <f>ROUND(SUMIF('JUNE (물량흐름)'!$C$13:$C$502,'In-out-bal products (155)(완성제품)'!B258,'JUNE (물량흐름)'!$AC$13:$AC$502),0)</f>
        <v>12</v>
      </c>
      <c r="AW258" s="58">
        <f t="shared" si="116"/>
        <v>363178</v>
      </c>
      <c r="AX258" s="376">
        <f t="shared" si="117"/>
        <v>0</v>
      </c>
      <c r="AY258" s="377">
        <f t="shared" si="118"/>
        <v>0</v>
      </c>
      <c r="AZ258" s="377">
        <f t="shared" si="119"/>
        <v>0</v>
      </c>
      <c r="BA258" s="377">
        <f t="shared" si="120"/>
        <v>0</v>
      </c>
      <c r="BB258" s="377"/>
      <c r="BC258" s="377">
        <f t="shared" si="121"/>
        <v>0</v>
      </c>
      <c r="BD258" s="377">
        <f t="shared" si="122"/>
        <v>0</v>
      </c>
      <c r="BE258" s="377"/>
      <c r="BF258" s="377">
        <f t="shared" si="123"/>
        <v>0</v>
      </c>
      <c r="BG258" s="433">
        <f t="shared" si="124"/>
        <v>0</v>
      </c>
      <c r="BH258" s="434">
        <f t="shared" si="125"/>
        <v>0</v>
      </c>
    </row>
    <row r="259" spans="1:60" s="378" customFormat="1">
      <c r="A259" s="167">
        <v>249</v>
      </c>
      <c r="B259" s="253">
        <f>VLOOKUP(A259,'JUNE (물량흐름)'!$A$13:$C$493,3,0)</f>
        <v>76733</v>
      </c>
      <c r="C259" s="57" t="str">
        <f>VLOOKUP(A259,'JUNE (물량흐름)'!$A$13:$C$493,2,0)</f>
        <v>ALFANI</v>
      </c>
      <c r="D259" s="58">
        <f>IFERROR(VLOOKUP(B259,O.B.JUNE!$V$7:$Y$448,2,0),0)</f>
        <v>0</v>
      </c>
      <c r="E259" s="58">
        <f>IFERROR(VLOOKUP(B259,O.B.JUNE!$V$7:$X$448,3,0),0)</f>
        <v>0</v>
      </c>
      <c r="F259" s="58">
        <f>IFERROR(VLOOKUP(B259,O.B.JUNE!$V$7:$Y$448,4,0),0)</f>
        <v>0</v>
      </c>
      <c r="G259" s="58">
        <f>SUMIF('JUNE (물량흐름)'!$C$13:$C$493,'In-out-bal products (155)(완성제품)'!B259,'JUNE (물량흐름)'!$V$13:$V$493)</f>
        <v>0</v>
      </c>
      <c r="H259" s="58">
        <f>SUMIF('JUNE (물량흐름)'!$C$13:$C$493,'In-out-bal products (155)(완성제품)'!B259,'JUNE (물량흐름)'!$T$13:$T$493)-SUMIF('JUNE (물량흐름)'!$C$13:$C$493,'In-out-bal products (155)(완성제품)'!B259,'JUNE (물량흐름)'!$Y$13:$Y$493)+SUMIF('JUNE (물량흐름)'!$C$13:$C$493,'In-out-bal products (155)(완성제품)'!B259,'JUNE (물량흐름)'!$U$13:$U$493)</f>
        <v>150</v>
      </c>
      <c r="I259" s="58">
        <f t="shared" si="96"/>
        <v>46591.58666666667</v>
      </c>
      <c r="J259" s="58">
        <f>SUMIF('Direct labour(직접노무비)'!$C$12:$C$503,'In-out-bal products (155)(완성제품)'!B259,'Direct labour(직접노무비)'!$Q$12:$Q$503)</f>
        <v>2802570</v>
      </c>
      <c r="K259" s="59">
        <f>SUMIF('Overhead exp(제조경비)'!$C$12:$C$503,'In-out-bal products (155)(완성제품)'!B259,'Overhead exp(제조경비)'!$Q$12:$Q$503)</f>
        <v>4186168</v>
      </c>
      <c r="L259" s="58">
        <f t="shared" si="97"/>
        <v>6988738</v>
      </c>
      <c r="M259" s="58">
        <f>SUMIF('JUNE (물량흐름)'!$C$13:$C$488,'In-out-bal products (155)(완성제품)'!B259,'JUNE (물량흐름)'!$Y$13:$Y$488)</f>
        <v>0</v>
      </c>
      <c r="N259" s="58">
        <f t="shared" si="98"/>
        <v>0</v>
      </c>
      <c r="O259" s="58">
        <f>SUMIF('Direct labour(직접노무비)'!$C$12:$C$503,'In-out-bal products (155)(완성제품)'!B259,'Direct labour(직접노무비)'!$U$12:$U$503)+SUMIF('Overhead exp(제조경비)'!$C$12:$C$503,'In-out-bal products (155)(완성제품)'!B259,'Overhead exp(제조경비)'!$U$12:$U$503)</f>
        <v>0</v>
      </c>
      <c r="P259" s="60">
        <f t="shared" si="99"/>
        <v>150</v>
      </c>
      <c r="Q259" s="60">
        <f t="shared" si="100"/>
        <v>46591.58666666667</v>
      </c>
      <c r="R259" s="60">
        <f t="shared" si="101"/>
        <v>6988738</v>
      </c>
      <c r="S259" s="58">
        <v>0</v>
      </c>
      <c r="T259" s="58">
        <v>0</v>
      </c>
      <c r="U259" s="58">
        <v>0</v>
      </c>
      <c r="V259" s="58">
        <f>SUMIF('JUNE (물량흐름)'!$C$13:$C$493,'In-out-bal products (155)(완성제품)'!B259,'JUNE (물량흐름)'!$W$13:$W$493)</f>
        <v>0</v>
      </c>
      <c r="W259" s="58">
        <f t="shared" si="102"/>
        <v>0</v>
      </c>
      <c r="X259" s="58">
        <f t="shared" si="103"/>
        <v>0</v>
      </c>
      <c r="Y259" s="58">
        <f>SUMIF('JUNE (물량흐름)'!$C$13:$C$488,'In-out-bal products (155)(완성제품)'!B259,'JUNE (물량흐름)'!$X$13:$X$488)</f>
        <v>0</v>
      </c>
      <c r="Z259" s="58">
        <f t="shared" si="104"/>
        <v>0</v>
      </c>
      <c r="AA259" s="58">
        <f t="shared" si="105"/>
        <v>0</v>
      </c>
      <c r="AB259" s="58"/>
      <c r="AC259" s="58"/>
      <c r="AD259" s="61"/>
      <c r="AE259" s="58">
        <f t="shared" si="106"/>
        <v>0</v>
      </c>
      <c r="AF259" s="58">
        <f t="shared" si="107"/>
        <v>0</v>
      </c>
      <c r="AG259" s="61">
        <f t="shared" si="108"/>
        <v>0</v>
      </c>
      <c r="AH259" s="58">
        <v>0</v>
      </c>
      <c r="AI259" s="58">
        <v>0</v>
      </c>
      <c r="AJ259" s="61">
        <v>0</v>
      </c>
      <c r="AK259" s="58"/>
      <c r="AL259" s="58"/>
      <c r="AM259" s="61"/>
      <c r="AN259" s="61">
        <f t="shared" si="109"/>
        <v>0</v>
      </c>
      <c r="AO259" s="58">
        <f t="shared" si="110"/>
        <v>0</v>
      </c>
      <c r="AP259" s="61">
        <f t="shared" si="111"/>
        <v>0</v>
      </c>
      <c r="AQ259" s="58">
        <f t="shared" si="112"/>
        <v>150</v>
      </c>
      <c r="AR259" s="58">
        <f t="shared" si="113"/>
        <v>46591.58666666667</v>
      </c>
      <c r="AS259" s="58">
        <f t="shared" si="114"/>
        <v>6988738</v>
      </c>
      <c r="AT259" s="58">
        <f>ROUND(SUMIF('JUNE (물량흐름)'!$C$13:$C$502,'In-out-bal products (155)(완성제품)'!B259,'JUNE (물량흐름)'!$AB$13:$AB$502),0)</f>
        <v>0</v>
      </c>
      <c r="AU259" s="58">
        <f t="shared" si="115"/>
        <v>0</v>
      </c>
      <c r="AV259" s="58">
        <f>ROUND(SUMIF('JUNE (물량흐름)'!$C$13:$C$502,'In-out-bal products (155)(완성제품)'!B259,'JUNE (물량흐름)'!$AC$13:$AC$502),0)</f>
        <v>150</v>
      </c>
      <c r="AW259" s="58">
        <f t="shared" si="116"/>
        <v>6988738</v>
      </c>
      <c r="AX259" s="376">
        <f t="shared" si="117"/>
        <v>0</v>
      </c>
      <c r="AY259" s="377">
        <f t="shared" si="118"/>
        <v>0</v>
      </c>
      <c r="AZ259" s="377">
        <f t="shared" si="119"/>
        <v>0</v>
      </c>
      <c r="BA259" s="377">
        <f t="shared" si="120"/>
        <v>0</v>
      </c>
      <c r="BB259" s="377"/>
      <c r="BC259" s="377">
        <f t="shared" si="121"/>
        <v>0</v>
      </c>
      <c r="BD259" s="377">
        <f t="shared" si="122"/>
        <v>0</v>
      </c>
      <c r="BE259" s="377"/>
      <c r="BF259" s="377">
        <f t="shared" si="123"/>
        <v>0</v>
      </c>
      <c r="BG259" s="433">
        <f t="shared" si="124"/>
        <v>0</v>
      </c>
      <c r="BH259" s="434">
        <f t="shared" si="125"/>
        <v>0</v>
      </c>
    </row>
    <row r="260" spans="1:60" s="378" customFormat="1">
      <c r="A260" s="167">
        <v>250</v>
      </c>
      <c r="B260" s="253">
        <f>VLOOKUP(A260,'JUNE (물량흐름)'!$A$13:$C$493,3,0)</f>
        <v>467914</v>
      </c>
      <c r="C260" s="57" t="str">
        <f>VLOOKUP(A260,'JUNE (물량흐름)'!$A$13:$C$493,2,0)</f>
        <v>ANN TAYLOR</v>
      </c>
      <c r="D260" s="58">
        <f>IFERROR(VLOOKUP(B260,O.B.JUNE!$V$7:$Y$448,2,0),0)</f>
        <v>0</v>
      </c>
      <c r="E260" s="58">
        <f>IFERROR(VLOOKUP(B260,O.B.JUNE!$V$7:$X$448,3,0),0)</f>
        <v>0</v>
      </c>
      <c r="F260" s="58">
        <f>IFERROR(VLOOKUP(B260,O.B.JUNE!$V$7:$Y$448,4,0),0)</f>
        <v>0</v>
      </c>
      <c r="G260" s="58">
        <f>SUMIF('JUNE (물량흐름)'!$C$13:$C$493,'In-out-bal products (155)(완성제품)'!B260,'JUNE (물량흐름)'!$V$13:$V$493)</f>
        <v>0</v>
      </c>
      <c r="H260" s="58">
        <f>SUMIF('JUNE (물량흐름)'!$C$13:$C$493,'In-out-bal products (155)(완성제품)'!B260,'JUNE (물량흐름)'!$T$13:$T$493)-SUMIF('JUNE (물량흐름)'!$C$13:$C$493,'In-out-bal products (155)(완성제품)'!B260,'JUNE (물량흐름)'!$Y$13:$Y$493)+SUMIF('JUNE (물량흐름)'!$C$13:$C$493,'In-out-bal products (155)(완성제품)'!B260,'JUNE (물량흐름)'!$U$13:$U$493)</f>
        <v>0</v>
      </c>
      <c r="I260" s="58">
        <f t="shared" si="96"/>
        <v>0</v>
      </c>
      <c r="J260" s="58">
        <f>SUMIF('Direct labour(직접노무비)'!$C$12:$C$503,'In-out-bal products (155)(완성제품)'!B260,'Direct labour(직접노무비)'!$Q$12:$Q$503)</f>
        <v>0</v>
      </c>
      <c r="K260" s="59">
        <f>SUMIF('Overhead exp(제조경비)'!$C$12:$C$503,'In-out-bal products (155)(완성제품)'!B260,'Overhead exp(제조경비)'!$Q$12:$Q$503)</f>
        <v>0</v>
      </c>
      <c r="L260" s="58">
        <f t="shared" si="97"/>
        <v>0</v>
      </c>
      <c r="M260" s="58">
        <f>SUMIF('JUNE (물량흐름)'!$C$13:$C$488,'In-out-bal products (155)(완성제품)'!B260,'JUNE (물량흐름)'!$Y$13:$Y$488)</f>
        <v>0</v>
      </c>
      <c r="N260" s="58">
        <f t="shared" si="98"/>
        <v>0</v>
      </c>
      <c r="O260" s="58">
        <f>SUMIF('Direct labour(직접노무비)'!$C$12:$C$503,'In-out-bal products (155)(완성제품)'!B260,'Direct labour(직접노무비)'!$U$12:$U$503)+SUMIF('Overhead exp(제조경비)'!$C$12:$C$503,'In-out-bal products (155)(완성제품)'!B260,'Overhead exp(제조경비)'!$U$12:$U$503)</f>
        <v>0</v>
      </c>
      <c r="P260" s="60">
        <f t="shared" si="99"/>
        <v>0</v>
      </c>
      <c r="Q260" s="60">
        <f t="shared" si="100"/>
        <v>0</v>
      </c>
      <c r="R260" s="60">
        <f t="shared" si="101"/>
        <v>0</v>
      </c>
      <c r="S260" s="58">
        <v>0</v>
      </c>
      <c r="T260" s="58">
        <v>0</v>
      </c>
      <c r="U260" s="58">
        <v>0</v>
      </c>
      <c r="V260" s="58">
        <f>SUMIF('JUNE (물량흐름)'!$C$13:$C$493,'In-out-bal products (155)(완성제품)'!B260,'JUNE (물량흐름)'!$W$13:$W$493)</f>
        <v>0</v>
      </c>
      <c r="W260" s="58">
        <f t="shared" si="102"/>
        <v>0</v>
      </c>
      <c r="X260" s="58">
        <f t="shared" si="103"/>
        <v>0</v>
      </c>
      <c r="Y260" s="58">
        <f>SUMIF('JUNE (물량흐름)'!$C$13:$C$488,'In-out-bal products (155)(완성제품)'!B260,'JUNE (물량흐름)'!$X$13:$X$488)</f>
        <v>0</v>
      </c>
      <c r="Z260" s="58">
        <f t="shared" si="104"/>
        <v>0</v>
      </c>
      <c r="AA260" s="58">
        <f t="shared" si="105"/>
        <v>0</v>
      </c>
      <c r="AB260" s="58"/>
      <c r="AC260" s="58"/>
      <c r="AD260" s="61"/>
      <c r="AE260" s="58">
        <f t="shared" si="106"/>
        <v>0</v>
      </c>
      <c r="AF260" s="58">
        <f t="shared" si="107"/>
        <v>0</v>
      </c>
      <c r="AG260" s="61">
        <f t="shared" si="108"/>
        <v>0</v>
      </c>
      <c r="AH260" s="58">
        <v>0</v>
      </c>
      <c r="AI260" s="58">
        <v>0</v>
      </c>
      <c r="AJ260" s="61">
        <v>0</v>
      </c>
      <c r="AK260" s="58"/>
      <c r="AL260" s="58"/>
      <c r="AM260" s="61"/>
      <c r="AN260" s="61">
        <f t="shared" si="109"/>
        <v>0</v>
      </c>
      <c r="AO260" s="58">
        <f t="shared" si="110"/>
        <v>0</v>
      </c>
      <c r="AP260" s="61">
        <f t="shared" si="111"/>
        <v>0</v>
      </c>
      <c r="AQ260" s="58">
        <f t="shared" si="112"/>
        <v>0</v>
      </c>
      <c r="AR260" s="58">
        <f t="shared" si="113"/>
        <v>0</v>
      </c>
      <c r="AS260" s="58">
        <f t="shared" si="114"/>
        <v>0</v>
      </c>
      <c r="AT260" s="58">
        <f>ROUND(SUMIF('JUNE (물량흐름)'!$C$13:$C$502,'In-out-bal products (155)(완성제품)'!B260,'JUNE (물량흐름)'!$AB$13:$AB$502),0)</f>
        <v>0</v>
      </c>
      <c r="AU260" s="58">
        <f t="shared" si="115"/>
        <v>0</v>
      </c>
      <c r="AV260" s="58">
        <f>ROUND(SUMIF('JUNE (물량흐름)'!$C$13:$C$502,'In-out-bal products (155)(완성제품)'!B260,'JUNE (물량흐름)'!$AC$13:$AC$502),0)</f>
        <v>0</v>
      </c>
      <c r="AW260" s="58">
        <f t="shared" si="116"/>
        <v>0</v>
      </c>
      <c r="AX260" s="376">
        <f t="shared" si="117"/>
        <v>0</v>
      </c>
      <c r="AY260" s="377">
        <f t="shared" si="118"/>
        <v>0</v>
      </c>
      <c r="AZ260" s="377">
        <f t="shared" si="119"/>
        <v>0</v>
      </c>
      <c r="BA260" s="377">
        <f t="shared" si="120"/>
        <v>0</v>
      </c>
      <c r="BB260" s="377"/>
      <c r="BC260" s="377">
        <f t="shared" si="121"/>
        <v>0</v>
      </c>
      <c r="BD260" s="377">
        <f t="shared" si="122"/>
        <v>0</v>
      </c>
      <c r="BE260" s="377"/>
      <c r="BF260" s="377">
        <f t="shared" si="123"/>
        <v>0</v>
      </c>
      <c r="BG260" s="433">
        <f t="shared" si="124"/>
        <v>0</v>
      </c>
      <c r="BH260" s="434">
        <f t="shared" si="125"/>
        <v>0</v>
      </c>
    </row>
    <row r="261" spans="1:60" s="378" customFormat="1">
      <c r="A261" s="167">
        <v>251</v>
      </c>
      <c r="B261" s="253">
        <f>VLOOKUP(A261,'JUNE (물량흐름)'!$A$13:$C$493,3,0)</f>
        <v>468229</v>
      </c>
      <c r="C261" s="57" t="str">
        <f>VLOOKUP(A261,'JUNE (물량흐름)'!$A$13:$C$493,2,0)</f>
        <v>ANN TAYLOR</v>
      </c>
      <c r="D261" s="58">
        <f>IFERROR(VLOOKUP(B261,O.B.JUNE!$V$7:$Y$448,2,0),0)</f>
        <v>0</v>
      </c>
      <c r="E261" s="58">
        <f>IFERROR(VLOOKUP(B261,O.B.JUNE!$V$7:$X$448,3,0),0)</f>
        <v>0</v>
      </c>
      <c r="F261" s="58">
        <f>IFERROR(VLOOKUP(B261,O.B.JUNE!$V$7:$Y$448,4,0),0)</f>
        <v>0</v>
      </c>
      <c r="G261" s="58">
        <f>SUMIF('JUNE (물량흐름)'!$C$13:$C$493,'In-out-bal products (155)(완성제품)'!B261,'JUNE (물량흐름)'!$V$13:$V$493)</f>
        <v>0</v>
      </c>
      <c r="H261" s="58">
        <f>SUMIF('JUNE (물량흐름)'!$C$13:$C$493,'In-out-bal products (155)(완성제품)'!B261,'JUNE (물량흐름)'!$T$13:$T$493)-SUMIF('JUNE (물량흐름)'!$C$13:$C$493,'In-out-bal products (155)(완성제품)'!B261,'JUNE (물량흐름)'!$Y$13:$Y$493)+SUMIF('JUNE (물량흐름)'!$C$13:$C$493,'In-out-bal products (155)(완성제품)'!B261,'JUNE (물량흐름)'!$U$13:$U$493)</f>
        <v>0</v>
      </c>
      <c r="I261" s="58">
        <f t="shared" si="96"/>
        <v>0</v>
      </c>
      <c r="J261" s="58">
        <f>SUMIF('Direct labour(직접노무비)'!$C$12:$C$503,'In-out-bal products (155)(완성제품)'!B261,'Direct labour(직접노무비)'!$Q$12:$Q$503)</f>
        <v>0</v>
      </c>
      <c r="K261" s="59">
        <f>SUMIF('Overhead exp(제조경비)'!$C$12:$C$503,'In-out-bal products (155)(완성제품)'!B261,'Overhead exp(제조경비)'!$Q$12:$Q$503)</f>
        <v>0</v>
      </c>
      <c r="L261" s="58">
        <f t="shared" si="97"/>
        <v>0</v>
      </c>
      <c r="M261" s="58">
        <f>SUMIF('JUNE (물량흐름)'!$C$13:$C$488,'In-out-bal products (155)(완성제품)'!B261,'JUNE (물량흐름)'!$Y$13:$Y$488)</f>
        <v>0</v>
      </c>
      <c r="N261" s="58">
        <f t="shared" si="98"/>
        <v>0</v>
      </c>
      <c r="O261" s="58">
        <f>SUMIF('Direct labour(직접노무비)'!$C$12:$C$503,'In-out-bal products (155)(완성제품)'!B261,'Direct labour(직접노무비)'!$U$12:$U$503)+SUMIF('Overhead exp(제조경비)'!$C$12:$C$503,'In-out-bal products (155)(완성제품)'!B261,'Overhead exp(제조경비)'!$U$12:$U$503)</f>
        <v>0</v>
      </c>
      <c r="P261" s="60">
        <f t="shared" si="99"/>
        <v>0</v>
      </c>
      <c r="Q261" s="60">
        <f t="shared" si="100"/>
        <v>0</v>
      </c>
      <c r="R261" s="60">
        <f t="shared" si="101"/>
        <v>0</v>
      </c>
      <c r="S261" s="58">
        <v>0</v>
      </c>
      <c r="T261" s="58">
        <v>0</v>
      </c>
      <c r="U261" s="58">
        <v>0</v>
      </c>
      <c r="V261" s="58">
        <f>SUMIF('JUNE (물량흐름)'!$C$13:$C$493,'In-out-bal products (155)(완성제품)'!B261,'JUNE (물량흐름)'!$W$13:$W$493)</f>
        <v>0</v>
      </c>
      <c r="W261" s="58">
        <f t="shared" si="102"/>
        <v>0</v>
      </c>
      <c r="X261" s="58">
        <f t="shared" si="103"/>
        <v>0</v>
      </c>
      <c r="Y261" s="58">
        <f>SUMIF('JUNE (물량흐름)'!$C$13:$C$488,'In-out-bal products (155)(완성제품)'!B261,'JUNE (물량흐름)'!$X$13:$X$488)</f>
        <v>0</v>
      </c>
      <c r="Z261" s="58">
        <f t="shared" si="104"/>
        <v>0</v>
      </c>
      <c r="AA261" s="58">
        <f t="shared" si="105"/>
        <v>0</v>
      </c>
      <c r="AB261" s="58"/>
      <c r="AC261" s="58"/>
      <c r="AD261" s="61"/>
      <c r="AE261" s="58">
        <f t="shared" si="106"/>
        <v>0</v>
      </c>
      <c r="AF261" s="58">
        <f t="shared" si="107"/>
        <v>0</v>
      </c>
      <c r="AG261" s="61">
        <f t="shared" si="108"/>
        <v>0</v>
      </c>
      <c r="AH261" s="58">
        <v>0</v>
      </c>
      <c r="AI261" s="58">
        <v>0</v>
      </c>
      <c r="AJ261" s="61">
        <v>0</v>
      </c>
      <c r="AK261" s="58"/>
      <c r="AL261" s="58"/>
      <c r="AM261" s="61"/>
      <c r="AN261" s="61">
        <f t="shared" si="109"/>
        <v>0</v>
      </c>
      <c r="AO261" s="58">
        <f t="shared" si="110"/>
        <v>0</v>
      </c>
      <c r="AP261" s="61">
        <f t="shared" si="111"/>
        <v>0</v>
      </c>
      <c r="AQ261" s="58">
        <f t="shared" si="112"/>
        <v>0</v>
      </c>
      <c r="AR261" s="58">
        <f t="shared" si="113"/>
        <v>0</v>
      </c>
      <c r="AS261" s="58">
        <f t="shared" si="114"/>
        <v>0</v>
      </c>
      <c r="AT261" s="58">
        <f>ROUND(SUMIF('JUNE (물량흐름)'!$C$13:$C$502,'In-out-bal products (155)(완성제품)'!B261,'JUNE (물량흐름)'!$AB$13:$AB$502),0)</f>
        <v>0</v>
      </c>
      <c r="AU261" s="58">
        <f t="shared" si="115"/>
        <v>0</v>
      </c>
      <c r="AV261" s="58">
        <f>ROUND(SUMIF('JUNE (물량흐름)'!$C$13:$C$502,'In-out-bal products (155)(완성제품)'!B261,'JUNE (물량흐름)'!$AC$13:$AC$502),0)</f>
        <v>0</v>
      </c>
      <c r="AW261" s="58">
        <f t="shared" si="116"/>
        <v>0</v>
      </c>
      <c r="AX261" s="376">
        <f t="shared" si="117"/>
        <v>0</v>
      </c>
      <c r="AY261" s="377">
        <f t="shared" si="118"/>
        <v>0</v>
      </c>
      <c r="AZ261" s="377">
        <f t="shared" si="119"/>
        <v>0</v>
      </c>
      <c r="BA261" s="377">
        <f t="shared" si="120"/>
        <v>0</v>
      </c>
      <c r="BB261" s="377"/>
      <c r="BC261" s="377">
        <f t="shared" si="121"/>
        <v>0</v>
      </c>
      <c r="BD261" s="377">
        <f t="shared" si="122"/>
        <v>0</v>
      </c>
      <c r="BE261" s="377"/>
      <c r="BF261" s="377">
        <f t="shared" si="123"/>
        <v>0</v>
      </c>
      <c r="BG261" s="433">
        <f t="shared" si="124"/>
        <v>0</v>
      </c>
      <c r="BH261" s="434">
        <f t="shared" si="125"/>
        <v>0</v>
      </c>
    </row>
    <row r="262" spans="1:60" s="378" customFormat="1">
      <c r="A262" s="167">
        <v>252</v>
      </c>
      <c r="B262" s="253">
        <f>VLOOKUP(A262,'JUNE (물량흐름)'!$A$13:$C$493,3,0)</f>
        <v>468230</v>
      </c>
      <c r="C262" s="57" t="str">
        <f>VLOOKUP(A262,'JUNE (물량흐름)'!$A$13:$C$493,2,0)</f>
        <v>ANN TAYLOR</v>
      </c>
      <c r="D262" s="58">
        <f>IFERROR(VLOOKUP(B262,O.B.JUNE!$V$7:$Y$448,2,0),0)</f>
        <v>0</v>
      </c>
      <c r="E262" s="58">
        <f>IFERROR(VLOOKUP(B262,O.B.JUNE!$V$7:$X$448,3,0),0)</f>
        <v>0</v>
      </c>
      <c r="F262" s="58">
        <f>IFERROR(VLOOKUP(B262,O.B.JUNE!$V$7:$Y$448,4,0),0)</f>
        <v>0</v>
      </c>
      <c r="G262" s="58">
        <f>SUMIF('JUNE (물량흐름)'!$C$13:$C$493,'In-out-bal products (155)(완성제품)'!B262,'JUNE (물량흐름)'!$V$13:$V$493)</f>
        <v>0</v>
      </c>
      <c r="H262" s="58">
        <f>SUMIF('JUNE (물량흐름)'!$C$13:$C$493,'In-out-bal products (155)(완성제품)'!B262,'JUNE (물량흐름)'!$T$13:$T$493)-SUMIF('JUNE (물량흐름)'!$C$13:$C$493,'In-out-bal products (155)(완성제품)'!B262,'JUNE (물량흐름)'!$Y$13:$Y$493)+SUMIF('JUNE (물량흐름)'!$C$13:$C$493,'In-out-bal products (155)(완성제품)'!B262,'JUNE (물량흐름)'!$U$13:$U$493)</f>
        <v>0</v>
      </c>
      <c r="I262" s="58">
        <f t="shared" si="96"/>
        <v>0</v>
      </c>
      <c r="J262" s="58">
        <f>SUMIF('Direct labour(직접노무비)'!$C$12:$C$503,'In-out-bal products (155)(완성제품)'!B262,'Direct labour(직접노무비)'!$Q$12:$Q$503)</f>
        <v>0</v>
      </c>
      <c r="K262" s="59">
        <f>SUMIF('Overhead exp(제조경비)'!$C$12:$C$503,'In-out-bal products (155)(완성제품)'!B262,'Overhead exp(제조경비)'!$Q$12:$Q$503)</f>
        <v>0</v>
      </c>
      <c r="L262" s="58">
        <f t="shared" si="97"/>
        <v>0</v>
      </c>
      <c r="M262" s="58">
        <f>SUMIF('JUNE (물량흐름)'!$C$13:$C$488,'In-out-bal products (155)(완성제품)'!B262,'JUNE (물량흐름)'!$Y$13:$Y$488)</f>
        <v>0</v>
      </c>
      <c r="N262" s="58">
        <f t="shared" si="98"/>
        <v>0</v>
      </c>
      <c r="O262" s="58">
        <f>SUMIF('Direct labour(직접노무비)'!$C$12:$C$503,'In-out-bal products (155)(완성제품)'!B262,'Direct labour(직접노무비)'!$U$12:$U$503)+SUMIF('Overhead exp(제조경비)'!$C$12:$C$503,'In-out-bal products (155)(완성제품)'!B262,'Overhead exp(제조경비)'!$U$12:$U$503)</f>
        <v>0</v>
      </c>
      <c r="P262" s="60">
        <f t="shared" si="99"/>
        <v>0</v>
      </c>
      <c r="Q262" s="60">
        <f t="shared" si="100"/>
        <v>0</v>
      </c>
      <c r="R262" s="60">
        <f t="shared" si="101"/>
        <v>0</v>
      </c>
      <c r="S262" s="58">
        <v>0</v>
      </c>
      <c r="T262" s="58">
        <v>0</v>
      </c>
      <c r="U262" s="58">
        <v>0</v>
      </c>
      <c r="V262" s="58">
        <f>SUMIF('JUNE (물량흐름)'!$C$13:$C$493,'In-out-bal products (155)(완성제품)'!B262,'JUNE (물량흐름)'!$W$13:$W$493)</f>
        <v>0</v>
      </c>
      <c r="W262" s="58">
        <f t="shared" si="102"/>
        <v>0</v>
      </c>
      <c r="X262" s="58">
        <f t="shared" si="103"/>
        <v>0</v>
      </c>
      <c r="Y262" s="58">
        <f>SUMIF('JUNE (물량흐름)'!$C$13:$C$488,'In-out-bal products (155)(완성제품)'!B262,'JUNE (물량흐름)'!$X$13:$X$488)</f>
        <v>0</v>
      </c>
      <c r="Z262" s="58">
        <f t="shared" si="104"/>
        <v>0</v>
      </c>
      <c r="AA262" s="58">
        <f t="shared" si="105"/>
        <v>0</v>
      </c>
      <c r="AB262" s="58"/>
      <c r="AC262" s="58"/>
      <c r="AD262" s="61"/>
      <c r="AE262" s="58">
        <f t="shared" si="106"/>
        <v>0</v>
      </c>
      <c r="AF262" s="58">
        <f t="shared" si="107"/>
        <v>0</v>
      </c>
      <c r="AG262" s="61">
        <f t="shared" si="108"/>
        <v>0</v>
      </c>
      <c r="AH262" s="58">
        <v>0</v>
      </c>
      <c r="AI262" s="58">
        <v>0</v>
      </c>
      <c r="AJ262" s="61">
        <v>0</v>
      </c>
      <c r="AK262" s="58"/>
      <c r="AL262" s="58"/>
      <c r="AM262" s="61"/>
      <c r="AN262" s="61">
        <f t="shared" si="109"/>
        <v>0</v>
      </c>
      <c r="AO262" s="58">
        <f t="shared" si="110"/>
        <v>0</v>
      </c>
      <c r="AP262" s="61">
        <f t="shared" si="111"/>
        <v>0</v>
      </c>
      <c r="AQ262" s="58">
        <f t="shared" si="112"/>
        <v>0</v>
      </c>
      <c r="AR262" s="58">
        <f t="shared" si="113"/>
        <v>0</v>
      </c>
      <c r="AS262" s="58">
        <f t="shared" si="114"/>
        <v>0</v>
      </c>
      <c r="AT262" s="58">
        <f>ROUND(SUMIF('JUNE (물량흐름)'!$C$13:$C$502,'In-out-bal products (155)(완성제품)'!B262,'JUNE (물량흐름)'!$AB$13:$AB$502),0)</f>
        <v>0</v>
      </c>
      <c r="AU262" s="58">
        <f t="shared" si="115"/>
        <v>0</v>
      </c>
      <c r="AV262" s="58">
        <f>ROUND(SUMIF('JUNE (물량흐름)'!$C$13:$C$502,'In-out-bal products (155)(완성제품)'!B262,'JUNE (물량흐름)'!$AC$13:$AC$502),0)</f>
        <v>0</v>
      </c>
      <c r="AW262" s="58">
        <f t="shared" si="116"/>
        <v>0</v>
      </c>
      <c r="AX262" s="376">
        <f t="shared" si="117"/>
        <v>0</v>
      </c>
      <c r="AY262" s="377">
        <f t="shared" si="118"/>
        <v>0</v>
      </c>
      <c r="AZ262" s="377">
        <f t="shared" si="119"/>
        <v>0</v>
      </c>
      <c r="BA262" s="377">
        <f t="shared" si="120"/>
        <v>0</v>
      </c>
      <c r="BB262" s="377"/>
      <c r="BC262" s="377">
        <f t="shared" si="121"/>
        <v>0</v>
      </c>
      <c r="BD262" s="377">
        <f t="shared" si="122"/>
        <v>0</v>
      </c>
      <c r="BE262" s="377"/>
      <c r="BF262" s="377">
        <f t="shared" si="123"/>
        <v>0</v>
      </c>
      <c r="BG262" s="433">
        <f t="shared" si="124"/>
        <v>0</v>
      </c>
      <c r="BH262" s="434">
        <f t="shared" si="125"/>
        <v>0</v>
      </c>
    </row>
    <row r="263" spans="1:60" s="378" customFormat="1">
      <c r="A263" s="167">
        <v>253</v>
      </c>
      <c r="B263" s="253">
        <f>VLOOKUP(A263,'JUNE (물량흐름)'!$A$13:$C$493,3,0)</f>
        <v>468249</v>
      </c>
      <c r="C263" s="57" t="str">
        <f>VLOOKUP(A263,'JUNE (물량흐름)'!$A$13:$C$493,2,0)</f>
        <v>ANN TAYLOR</v>
      </c>
      <c r="D263" s="58">
        <f>IFERROR(VLOOKUP(B263,O.B.JUNE!$V$7:$Y$448,2,0),0)</f>
        <v>0</v>
      </c>
      <c r="E263" s="58">
        <f>IFERROR(VLOOKUP(B263,O.B.JUNE!$V$7:$X$448,3,0),0)</f>
        <v>0</v>
      </c>
      <c r="F263" s="58">
        <f>IFERROR(VLOOKUP(B263,O.B.JUNE!$V$7:$Y$448,4,0),0)</f>
        <v>0</v>
      </c>
      <c r="G263" s="58">
        <f>SUMIF('JUNE (물량흐름)'!$C$13:$C$493,'In-out-bal products (155)(완성제품)'!B263,'JUNE (물량흐름)'!$V$13:$V$493)</f>
        <v>0</v>
      </c>
      <c r="H263" s="58">
        <f>SUMIF('JUNE (물량흐름)'!$C$13:$C$493,'In-out-bal products (155)(완성제품)'!B263,'JUNE (물량흐름)'!$T$13:$T$493)-SUMIF('JUNE (물량흐름)'!$C$13:$C$493,'In-out-bal products (155)(완성제품)'!B263,'JUNE (물량흐름)'!$Y$13:$Y$493)+SUMIF('JUNE (물량흐름)'!$C$13:$C$493,'In-out-bal products (155)(완성제품)'!B263,'JUNE (물량흐름)'!$U$13:$U$493)</f>
        <v>0</v>
      </c>
      <c r="I263" s="58">
        <f t="shared" si="96"/>
        <v>0</v>
      </c>
      <c r="J263" s="58">
        <f>SUMIF('Direct labour(직접노무비)'!$C$12:$C$503,'In-out-bal products (155)(완성제품)'!B263,'Direct labour(직접노무비)'!$Q$12:$Q$503)</f>
        <v>0</v>
      </c>
      <c r="K263" s="59">
        <f>SUMIF('Overhead exp(제조경비)'!$C$12:$C$503,'In-out-bal products (155)(완성제품)'!B263,'Overhead exp(제조경비)'!$Q$12:$Q$503)</f>
        <v>0</v>
      </c>
      <c r="L263" s="58">
        <f t="shared" si="97"/>
        <v>0</v>
      </c>
      <c r="M263" s="58">
        <f>SUMIF('JUNE (물량흐름)'!$C$13:$C$488,'In-out-bal products (155)(완성제품)'!B263,'JUNE (물량흐름)'!$Y$13:$Y$488)</f>
        <v>0</v>
      </c>
      <c r="N263" s="58">
        <f t="shared" si="98"/>
        <v>0</v>
      </c>
      <c r="O263" s="58">
        <f>SUMIF('Direct labour(직접노무비)'!$C$12:$C$503,'In-out-bal products (155)(완성제품)'!B263,'Direct labour(직접노무비)'!$U$12:$U$503)+SUMIF('Overhead exp(제조경비)'!$C$12:$C$503,'In-out-bal products (155)(완성제품)'!B263,'Overhead exp(제조경비)'!$U$12:$U$503)</f>
        <v>0</v>
      </c>
      <c r="P263" s="60">
        <f t="shared" si="99"/>
        <v>0</v>
      </c>
      <c r="Q263" s="60">
        <f t="shared" si="100"/>
        <v>0</v>
      </c>
      <c r="R263" s="60">
        <f t="shared" si="101"/>
        <v>0</v>
      </c>
      <c r="S263" s="58">
        <v>0</v>
      </c>
      <c r="T263" s="58">
        <v>0</v>
      </c>
      <c r="U263" s="58">
        <v>0</v>
      </c>
      <c r="V263" s="58">
        <f>SUMIF('JUNE (물량흐름)'!$C$13:$C$493,'In-out-bal products (155)(완성제품)'!B263,'JUNE (물량흐름)'!$W$13:$W$493)</f>
        <v>0</v>
      </c>
      <c r="W263" s="58">
        <f t="shared" si="102"/>
        <v>0</v>
      </c>
      <c r="X263" s="58">
        <f t="shared" si="103"/>
        <v>0</v>
      </c>
      <c r="Y263" s="58">
        <f>SUMIF('JUNE (물량흐름)'!$C$13:$C$488,'In-out-bal products (155)(완성제품)'!B263,'JUNE (물량흐름)'!$X$13:$X$488)</f>
        <v>0</v>
      </c>
      <c r="Z263" s="58">
        <f t="shared" si="104"/>
        <v>0</v>
      </c>
      <c r="AA263" s="58">
        <f t="shared" si="105"/>
        <v>0</v>
      </c>
      <c r="AB263" s="58"/>
      <c r="AC263" s="58"/>
      <c r="AD263" s="61"/>
      <c r="AE263" s="58">
        <f t="shared" si="106"/>
        <v>0</v>
      </c>
      <c r="AF263" s="58">
        <f t="shared" si="107"/>
        <v>0</v>
      </c>
      <c r="AG263" s="61">
        <f t="shared" si="108"/>
        <v>0</v>
      </c>
      <c r="AH263" s="58">
        <v>0</v>
      </c>
      <c r="AI263" s="58">
        <v>0</v>
      </c>
      <c r="AJ263" s="61">
        <v>0</v>
      </c>
      <c r="AK263" s="58"/>
      <c r="AL263" s="58"/>
      <c r="AM263" s="61"/>
      <c r="AN263" s="61">
        <f t="shared" si="109"/>
        <v>0</v>
      </c>
      <c r="AO263" s="58">
        <f t="shared" si="110"/>
        <v>0</v>
      </c>
      <c r="AP263" s="61">
        <f t="shared" si="111"/>
        <v>0</v>
      </c>
      <c r="AQ263" s="58">
        <f t="shared" si="112"/>
        <v>0</v>
      </c>
      <c r="AR263" s="58">
        <f t="shared" si="113"/>
        <v>0</v>
      </c>
      <c r="AS263" s="58">
        <f t="shared" si="114"/>
        <v>0</v>
      </c>
      <c r="AT263" s="58">
        <f>ROUND(SUMIF('JUNE (물량흐름)'!$C$13:$C$502,'In-out-bal products (155)(완성제품)'!B263,'JUNE (물량흐름)'!$AB$13:$AB$502),0)</f>
        <v>0</v>
      </c>
      <c r="AU263" s="58">
        <f t="shared" si="115"/>
        <v>0</v>
      </c>
      <c r="AV263" s="58">
        <f>ROUND(SUMIF('JUNE (물량흐름)'!$C$13:$C$502,'In-out-bal products (155)(완성제품)'!B263,'JUNE (물량흐름)'!$AC$13:$AC$502),0)</f>
        <v>0</v>
      </c>
      <c r="AW263" s="58">
        <f t="shared" si="116"/>
        <v>0</v>
      </c>
      <c r="AX263" s="376">
        <f t="shared" si="117"/>
        <v>0</v>
      </c>
      <c r="AY263" s="377">
        <f t="shared" si="118"/>
        <v>0</v>
      </c>
      <c r="AZ263" s="377">
        <f t="shared" si="119"/>
        <v>0</v>
      </c>
      <c r="BA263" s="377">
        <f t="shared" si="120"/>
        <v>0</v>
      </c>
      <c r="BB263" s="377"/>
      <c r="BC263" s="377">
        <f t="shared" si="121"/>
        <v>0</v>
      </c>
      <c r="BD263" s="377">
        <f t="shared" si="122"/>
        <v>0</v>
      </c>
      <c r="BE263" s="377"/>
      <c r="BF263" s="377">
        <f t="shared" si="123"/>
        <v>0</v>
      </c>
      <c r="BG263" s="433">
        <f t="shared" si="124"/>
        <v>0</v>
      </c>
      <c r="BH263" s="434">
        <f t="shared" si="125"/>
        <v>0</v>
      </c>
    </row>
    <row r="264" spans="1:60" s="378" customFormat="1">
      <c r="A264" s="167">
        <v>254</v>
      </c>
      <c r="B264" s="253">
        <f>VLOOKUP(A264,'JUNE (물량흐름)'!$A$13:$C$493,3,0)</f>
        <v>100013593</v>
      </c>
      <c r="C264" s="57" t="str">
        <f>VLOOKUP(A264,'JUNE (물량흐름)'!$A$13:$C$493,2,0)</f>
        <v>ALFANI</v>
      </c>
      <c r="D264" s="58">
        <f>IFERROR(VLOOKUP(B264,O.B.JUNE!$V$7:$Y$448,2,0),0)</f>
        <v>0</v>
      </c>
      <c r="E264" s="58">
        <f>IFERROR(VLOOKUP(B264,O.B.JUNE!$V$7:$X$448,3,0),0)</f>
        <v>0</v>
      </c>
      <c r="F264" s="58">
        <f>IFERROR(VLOOKUP(B264,O.B.JUNE!$V$7:$Y$448,4,0),0)</f>
        <v>0</v>
      </c>
      <c r="G264" s="58">
        <f>SUMIF('JUNE (물량흐름)'!$C$13:$C$493,'In-out-bal products (155)(완성제품)'!B264,'JUNE (물량흐름)'!$V$13:$V$493)</f>
        <v>0</v>
      </c>
      <c r="H264" s="58">
        <f>SUMIF('JUNE (물량흐름)'!$C$13:$C$493,'In-out-bal products (155)(완성제품)'!B264,'JUNE (물량흐름)'!$T$13:$T$493)-SUMIF('JUNE (물량흐름)'!$C$13:$C$493,'In-out-bal products (155)(완성제품)'!B264,'JUNE (물량흐름)'!$Y$13:$Y$493)+SUMIF('JUNE (물량흐름)'!$C$13:$C$493,'In-out-bal products (155)(완성제품)'!B264,'JUNE (물량흐름)'!$U$13:$U$493)</f>
        <v>0</v>
      </c>
      <c r="I264" s="58">
        <f t="shared" si="96"/>
        <v>0</v>
      </c>
      <c r="J264" s="58">
        <f>SUMIF('Direct labour(직접노무비)'!$C$12:$C$503,'In-out-bal products (155)(완성제품)'!B264,'Direct labour(직접노무비)'!$Q$12:$Q$503)</f>
        <v>0</v>
      </c>
      <c r="K264" s="59">
        <f>SUMIF('Overhead exp(제조경비)'!$C$12:$C$503,'In-out-bal products (155)(완성제품)'!B264,'Overhead exp(제조경비)'!$Q$12:$Q$503)</f>
        <v>0</v>
      </c>
      <c r="L264" s="58">
        <f t="shared" si="97"/>
        <v>0</v>
      </c>
      <c r="M264" s="58">
        <f>SUMIF('JUNE (물량흐름)'!$C$13:$C$488,'In-out-bal products (155)(완성제품)'!B264,'JUNE (물량흐름)'!$Y$13:$Y$488)</f>
        <v>0</v>
      </c>
      <c r="N264" s="58">
        <f t="shared" si="98"/>
        <v>0</v>
      </c>
      <c r="O264" s="58">
        <f>SUMIF('Direct labour(직접노무비)'!$C$12:$C$503,'In-out-bal products (155)(완성제품)'!B264,'Direct labour(직접노무비)'!$U$12:$U$503)+SUMIF('Overhead exp(제조경비)'!$C$12:$C$503,'In-out-bal products (155)(완성제품)'!B264,'Overhead exp(제조경비)'!$U$12:$U$503)</f>
        <v>0</v>
      </c>
      <c r="P264" s="60">
        <f t="shared" si="99"/>
        <v>0</v>
      </c>
      <c r="Q264" s="60">
        <f t="shared" si="100"/>
        <v>0</v>
      </c>
      <c r="R264" s="60">
        <f t="shared" si="101"/>
        <v>0</v>
      </c>
      <c r="S264" s="58">
        <v>0</v>
      </c>
      <c r="T264" s="58">
        <v>0</v>
      </c>
      <c r="U264" s="58">
        <v>0</v>
      </c>
      <c r="V264" s="58">
        <f>SUMIF('JUNE (물량흐름)'!$C$13:$C$493,'In-out-bal products (155)(완성제품)'!B264,'JUNE (물량흐름)'!$W$13:$W$493)</f>
        <v>0</v>
      </c>
      <c r="W264" s="58">
        <f t="shared" si="102"/>
        <v>0</v>
      </c>
      <c r="X264" s="58">
        <f t="shared" si="103"/>
        <v>0</v>
      </c>
      <c r="Y264" s="58">
        <f>SUMIF('JUNE (물량흐름)'!$C$13:$C$488,'In-out-bal products (155)(완성제품)'!B264,'JUNE (물량흐름)'!$X$13:$X$488)</f>
        <v>0</v>
      </c>
      <c r="Z264" s="58">
        <f t="shared" si="104"/>
        <v>0</v>
      </c>
      <c r="AA264" s="58">
        <f t="shared" si="105"/>
        <v>0</v>
      </c>
      <c r="AB264" s="58"/>
      <c r="AC264" s="58"/>
      <c r="AD264" s="61"/>
      <c r="AE264" s="58">
        <f t="shared" si="106"/>
        <v>0</v>
      </c>
      <c r="AF264" s="58">
        <f t="shared" si="107"/>
        <v>0</v>
      </c>
      <c r="AG264" s="61">
        <f t="shared" si="108"/>
        <v>0</v>
      </c>
      <c r="AH264" s="58">
        <v>0</v>
      </c>
      <c r="AI264" s="58">
        <v>0</v>
      </c>
      <c r="AJ264" s="61">
        <v>0</v>
      </c>
      <c r="AK264" s="58"/>
      <c r="AL264" s="58"/>
      <c r="AM264" s="61"/>
      <c r="AN264" s="61">
        <f t="shared" si="109"/>
        <v>0</v>
      </c>
      <c r="AO264" s="58">
        <f t="shared" si="110"/>
        <v>0</v>
      </c>
      <c r="AP264" s="61">
        <f t="shared" si="111"/>
        <v>0</v>
      </c>
      <c r="AQ264" s="58">
        <f t="shared" si="112"/>
        <v>0</v>
      </c>
      <c r="AR264" s="58">
        <f t="shared" si="113"/>
        <v>0</v>
      </c>
      <c r="AS264" s="58">
        <f t="shared" si="114"/>
        <v>0</v>
      </c>
      <c r="AT264" s="58">
        <f>ROUND(SUMIF('JUNE (물량흐름)'!$C$13:$C$502,'In-out-bal products (155)(완성제품)'!B264,'JUNE (물량흐름)'!$AB$13:$AB$502),0)</f>
        <v>0</v>
      </c>
      <c r="AU264" s="58">
        <f t="shared" si="115"/>
        <v>0</v>
      </c>
      <c r="AV264" s="58">
        <f>ROUND(SUMIF('JUNE (물량흐름)'!$C$13:$C$502,'In-out-bal products (155)(완성제품)'!B264,'JUNE (물량흐름)'!$AC$13:$AC$502),0)</f>
        <v>0</v>
      </c>
      <c r="AW264" s="58">
        <f t="shared" si="116"/>
        <v>0</v>
      </c>
      <c r="AX264" s="376">
        <f t="shared" si="117"/>
        <v>0</v>
      </c>
      <c r="AY264" s="377">
        <f t="shared" si="118"/>
        <v>0</v>
      </c>
      <c r="AZ264" s="377">
        <f t="shared" si="119"/>
        <v>0</v>
      </c>
      <c r="BA264" s="377">
        <f t="shared" si="120"/>
        <v>0</v>
      </c>
      <c r="BB264" s="377"/>
      <c r="BC264" s="377">
        <f t="shared" si="121"/>
        <v>0</v>
      </c>
      <c r="BD264" s="377">
        <f t="shared" si="122"/>
        <v>0</v>
      </c>
      <c r="BE264" s="377"/>
      <c r="BF264" s="377">
        <f t="shared" si="123"/>
        <v>0</v>
      </c>
      <c r="BG264" s="433">
        <f t="shared" si="124"/>
        <v>0</v>
      </c>
      <c r="BH264" s="434">
        <f t="shared" si="125"/>
        <v>0</v>
      </c>
    </row>
    <row r="265" spans="1:60" s="378" customFormat="1">
      <c r="A265" s="167">
        <v>255</v>
      </c>
      <c r="B265" s="253">
        <f>VLOOKUP(A265,'JUNE (물량흐름)'!$A$13:$C$493,3,0)</f>
        <v>100014855</v>
      </c>
      <c r="C265" s="57" t="str">
        <f>VLOOKUP(A265,'JUNE (물량흐름)'!$A$13:$C$493,2,0)</f>
        <v>ALFANI</v>
      </c>
      <c r="D265" s="58">
        <f>IFERROR(VLOOKUP(B265,O.B.JUNE!$V$7:$Y$448,2,0),0)</f>
        <v>0</v>
      </c>
      <c r="E265" s="58">
        <f>IFERROR(VLOOKUP(B265,O.B.JUNE!$V$7:$X$448,3,0),0)</f>
        <v>0</v>
      </c>
      <c r="F265" s="58">
        <f>IFERROR(VLOOKUP(B265,O.B.JUNE!$V$7:$Y$448,4,0),0)</f>
        <v>0</v>
      </c>
      <c r="G265" s="58">
        <f>SUMIF('JUNE (물량흐름)'!$C$13:$C$493,'In-out-bal products (155)(완성제품)'!B265,'JUNE (물량흐름)'!$V$13:$V$493)</f>
        <v>0</v>
      </c>
      <c r="H265" s="58">
        <f>SUMIF('JUNE (물량흐름)'!$C$13:$C$493,'In-out-bal products (155)(완성제품)'!B265,'JUNE (물량흐름)'!$T$13:$T$493)-SUMIF('JUNE (물량흐름)'!$C$13:$C$493,'In-out-bal products (155)(완성제품)'!B265,'JUNE (물량흐름)'!$Y$13:$Y$493)+SUMIF('JUNE (물량흐름)'!$C$13:$C$493,'In-out-bal products (155)(완성제품)'!B265,'JUNE (물량흐름)'!$U$13:$U$493)</f>
        <v>0</v>
      </c>
      <c r="I265" s="58">
        <f t="shared" si="96"/>
        <v>0</v>
      </c>
      <c r="J265" s="58">
        <f>SUMIF('Direct labour(직접노무비)'!$C$12:$C$503,'In-out-bal products (155)(완성제품)'!B265,'Direct labour(직접노무비)'!$Q$12:$Q$503)</f>
        <v>0</v>
      </c>
      <c r="K265" s="59">
        <f>SUMIF('Overhead exp(제조경비)'!$C$12:$C$503,'In-out-bal products (155)(완성제품)'!B265,'Overhead exp(제조경비)'!$Q$12:$Q$503)</f>
        <v>0</v>
      </c>
      <c r="L265" s="58">
        <f t="shared" si="97"/>
        <v>0</v>
      </c>
      <c r="M265" s="58">
        <f>SUMIF('JUNE (물량흐름)'!$C$13:$C$488,'In-out-bal products (155)(완성제품)'!B265,'JUNE (물량흐름)'!$Y$13:$Y$488)</f>
        <v>0</v>
      </c>
      <c r="N265" s="58">
        <f t="shared" si="98"/>
        <v>0</v>
      </c>
      <c r="O265" s="58">
        <f>SUMIF('Direct labour(직접노무비)'!$C$12:$C$503,'In-out-bal products (155)(완성제품)'!B265,'Direct labour(직접노무비)'!$U$12:$U$503)+SUMIF('Overhead exp(제조경비)'!$C$12:$C$503,'In-out-bal products (155)(완성제품)'!B265,'Overhead exp(제조경비)'!$U$12:$U$503)</f>
        <v>0</v>
      </c>
      <c r="P265" s="60">
        <f t="shared" si="99"/>
        <v>0</v>
      </c>
      <c r="Q265" s="60">
        <f t="shared" si="100"/>
        <v>0</v>
      </c>
      <c r="R265" s="60">
        <f t="shared" si="101"/>
        <v>0</v>
      </c>
      <c r="S265" s="58">
        <v>0</v>
      </c>
      <c r="T265" s="58">
        <v>0</v>
      </c>
      <c r="U265" s="58">
        <v>0</v>
      </c>
      <c r="V265" s="58">
        <f>SUMIF('JUNE (물량흐름)'!$C$13:$C$493,'In-out-bal products (155)(완성제품)'!B265,'JUNE (물량흐름)'!$W$13:$W$493)</f>
        <v>0</v>
      </c>
      <c r="W265" s="58">
        <f t="shared" si="102"/>
        <v>0</v>
      </c>
      <c r="X265" s="58">
        <f t="shared" si="103"/>
        <v>0</v>
      </c>
      <c r="Y265" s="58">
        <f>SUMIF('JUNE (물량흐름)'!$C$13:$C$488,'In-out-bal products (155)(완성제품)'!B265,'JUNE (물량흐름)'!$X$13:$X$488)</f>
        <v>0</v>
      </c>
      <c r="Z265" s="58">
        <f t="shared" si="104"/>
        <v>0</v>
      </c>
      <c r="AA265" s="58">
        <f t="shared" si="105"/>
        <v>0</v>
      </c>
      <c r="AB265" s="58"/>
      <c r="AC265" s="58"/>
      <c r="AD265" s="61"/>
      <c r="AE265" s="58">
        <f t="shared" si="106"/>
        <v>0</v>
      </c>
      <c r="AF265" s="58">
        <f t="shared" si="107"/>
        <v>0</v>
      </c>
      <c r="AG265" s="61">
        <f t="shared" si="108"/>
        <v>0</v>
      </c>
      <c r="AH265" s="58">
        <v>0</v>
      </c>
      <c r="AI265" s="58">
        <v>0</v>
      </c>
      <c r="AJ265" s="61">
        <v>0</v>
      </c>
      <c r="AK265" s="58"/>
      <c r="AL265" s="58"/>
      <c r="AM265" s="61"/>
      <c r="AN265" s="61">
        <f t="shared" si="109"/>
        <v>0</v>
      </c>
      <c r="AO265" s="58">
        <f t="shared" si="110"/>
        <v>0</v>
      </c>
      <c r="AP265" s="61">
        <f t="shared" si="111"/>
        <v>0</v>
      </c>
      <c r="AQ265" s="58">
        <f t="shared" si="112"/>
        <v>0</v>
      </c>
      <c r="AR265" s="58">
        <f t="shared" si="113"/>
        <v>0</v>
      </c>
      <c r="AS265" s="58">
        <f t="shared" si="114"/>
        <v>0</v>
      </c>
      <c r="AT265" s="58">
        <f>ROUND(SUMIF('JUNE (물량흐름)'!$C$13:$C$502,'In-out-bal products (155)(완성제품)'!B265,'JUNE (물량흐름)'!$AB$13:$AB$502),0)</f>
        <v>0</v>
      </c>
      <c r="AU265" s="58">
        <f t="shared" si="115"/>
        <v>0</v>
      </c>
      <c r="AV265" s="58">
        <f>ROUND(SUMIF('JUNE (물량흐름)'!$C$13:$C$502,'In-out-bal products (155)(완성제품)'!B265,'JUNE (물량흐름)'!$AC$13:$AC$502),0)</f>
        <v>0</v>
      </c>
      <c r="AW265" s="58">
        <f t="shared" si="116"/>
        <v>0</v>
      </c>
      <c r="AX265" s="376">
        <f t="shared" si="117"/>
        <v>0</v>
      </c>
      <c r="AY265" s="377">
        <f t="shared" si="118"/>
        <v>0</v>
      </c>
      <c r="AZ265" s="377">
        <f t="shared" si="119"/>
        <v>0</v>
      </c>
      <c r="BA265" s="377">
        <f t="shared" si="120"/>
        <v>0</v>
      </c>
      <c r="BB265" s="377"/>
      <c r="BC265" s="377">
        <f t="shared" si="121"/>
        <v>0</v>
      </c>
      <c r="BD265" s="377">
        <f t="shared" si="122"/>
        <v>0</v>
      </c>
      <c r="BE265" s="377"/>
      <c r="BF265" s="377">
        <f t="shared" si="123"/>
        <v>0</v>
      </c>
      <c r="BG265" s="433">
        <f t="shared" si="124"/>
        <v>0</v>
      </c>
      <c r="BH265" s="434">
        <f t="shared" si="125"/>
        <v>0</v>
      </c>
    </row>
    <row r="266" spans="1:60" s="378" customFormat="1">
      <c r="A266" s="167">
        <v>256</v>
      </c>
      <c r="B266" s="253">
        <f>VLOOKUP(A266,'JUNE (물량흐름)'!$A$13:$C$493,3,0)</f>
        <v>100015130</v>
      </c>
      <c r="C266" s="57" t="str">
        <f>VLOOKUP(A266,'JUNE (물량흐름)'!$A$13:$C$493,2,0)</f>
        <v>ALFANI</v>
      </c>
      <c r="D266" s="58">
        <f>IFERROR(VLOOKUP(B266,O.B.JUNE!$V$7:$Y$448,2,0),0)</f>
        <v>0</v>
      </c>
      <c r="E266" s="58">
        <f>IFERROR(VLOOKUP(B266,O.B.JUNE!$V$7:$X$448,3,0),0)</f>
        <v>0</v>
      </c>
      <c r="F266" s="58">
        <f>IFERROR(VLOOKUP(B266,O.B.JUNE!$V$7:$Y$448,4,0),0)</f>
        <v>0</v>
      </c>
      <c r="G266" s="58">
        <f>SUMIF('JUNE (물량흐름)'!$C$13:$C$493,'In-out-bal products (155)(완성제품)'!B266,'JUNE (물량흐름)'!$V$13:$V$493)</f>
        <v>0</v>
      </c>
      <c r="H266" s="58">
        <f>SUMIF('JUNE (물량흐름)'!$C$13:$C$493,'In-out-bal products (155)(완성제품)'!B266,'JUNE (물량흐름)'!$T$13:$T$493)-SUMIF('JUNE (물량흐름)'!$C$13:$C$493,'In-out-bal products (155)(완성제품)'!B266,'JUNE (물량흐름)'!$Y$13:$Y$493)+SUMIF('JUNE (물량흐름)'!$C$13:$C$493,'In-out-bal products (155)(완성제품)'!B266,'JUNE (물량흐름)'!$U$13:$U$493)</f>
        <v>0</v>
      </c>
      <c r="I266" s="58">
        <f t="shared" si="96"/>
        <v>0</v>
      </c>
      <c r="J266" s="58">
        <f>SUMIF('Direct labour(직접노무비)'!$C$12:$C$503,'In-out-bal products (155)(완성제품)'!B266,'Direct labour(직접노무비)'!$Q$12:$Q$503)</f>
        <v>0</v>
      </c>
      <c r="K266" s="59">
        <f>SUMIF('Overhead exp(제조경비)'!$C$12:$C$503,'In-out-bal products (155)(완성제품)'!B266,'Overhead exp(제조경비)'!$Q$12:$Q$503)</f>
        <v>0</v>
      </c>
      <c r="L266" s="58">
        <f t="shared" si="97"/>
        <v>0</v>
      </c>
      <c r="M266" s="58">
        <f>SUMIF('JUNE (물량흐름)'!$C$13:$C$488,'In-out-bal products (155)(완성제품)'!B266,'JUNE (물량흐름)'!$Y$13:$Y$488)</f>
        <v>0</v>
      </c>
      <c r="N266" s="58">
        <f t="shared" si="98"/>
        <v>0</v>
      </c>
      <c r="O266" s="58">
        <f>SUMIF('Direct labour(직접노무비)'!$C$12:$C$503,'In-out-bal products (155)(완성제품)'!B266,'Direct labour(직접노무비)'!$U$12:$U$503)+SUMIF('Overhead exp(제조경비)'!$C$12:$C$503,'In-out-bal products (155)(완성제품)'!B266,'Overhead exp(제조경비)'!$U$12:$U$503)</f>
        <v>0</v>
      </c>
      <c r="P266" s="60">
        <f t="shared" si="99"/>
        <v>0</v>
      </c>
      <c r="Q266" s="60">
        <f t="shared" si="100"/>
        <v>0</v>
      </c>
      <c r="R266" s="60">
        <f t="shared" si="101"/>
        <v>0</v>
      </c>
      <c r="S266" s="58">
        <v>0</v>
      </c>
      <c r="T266" s="58">
        <v>0</v>
      </c>
      <c r="U266" s="58">
        <v>0</v>
      </c>
      <c r="V266" s="58">
        <f>SUMIF('JUNE (물량흐름)'!$C$13:$C$493,'In-out-bal products (155)(완성제품)'!B266,'JUNE (물량흐름)'!$W$13:$W$493)</f>
        <v>0</v>
      </c>
      <c r="W266" s="58">
        <f t="shared" si="102"/>
        <v>0</v>
      </c>
      <c r="X266" s="58">
        <f t="shared" si="103"/>
        <v>0</v>
      </c>
      <c r="Y266" s="58">
        <f>SUMIF('JUNE (물량흐름)'!$C$13:$C$488,'In-out-bal products (155)(완성제품)'!B266,'JUNE (물량흐름)'!$X$13:$X$488)</f>
        <v>0</v>
      </c>
      <c r="Z266" s="58">
        <f t="shared" si="104"/>
        <v>0</v>
      </c>
      <c r="AA266" s="58">
        <f t="shared" si="105"/>
        <v>0</v>
      </c>
      <c r="AB266" s="58"/>
      <c r="AC266" s="58"/>
      <c r="AD266" s="61"/>
      <c r="AE266" s="58">
        <f t="shared" si="106"/>
        <v>0</v>
      </c>
      <c r="AF266" s="58">
        <f t="shared" si="107"/>
        <v>0</v>
      </c>
      <c r="AG266" s="61">
        <f t="shared" si="108"/>
        <v>0</v>
      </c>
      <c r="AH266" s="58">
        <v>0</v>
      </c>
      <c r="AI266" s="58">
        <v>0</v>
      </c>
      <c r="AJ266" s="61">
        <v>0</v>
      </c>
      <c r="AK266" s="58"/>
      <c r="AL266" s="58"/>
      <c r="AM266" s="61"/>
      <c r="AN266" s="61">
        <f t="shared" si="109"/>
        <v>0</v>
      </c>
      <c r="AO266" s="58">
        <f t="shared" si="110"/>
        <v>0</v>
      </c>
      <c r="AP266" s="61">
        <f t="shared" si="111"/>
        <v>0</v>
      </c>
      <c r="AQ266" s="58">
        <f t="shared" si="112"/>
        <v>0</v>
      </c>
      <c r="AR266" s="58">
        <f t="shared" si="113"/>
        <v>0</v>
      </c>
      <c r="AS266" s="58">
        <f t="shared" si="114"/>
        <v>0</v>
      </c>
      <c r="AT266" s="58">
        <f>ROUND(SUMIF('JUNE (물량흐름)'!$C$13:$C$502,'In-out-bal products (155)(완성제품)'!B266,'JUNE (물량흐름)'!$AB$13:$AB$502),0)</f>
        <v>0</v>
      </c>
      <c r="AU266" s="58">
        <f t="shared" si="115"/>
        <v>0</v>
      </c>
      <c r="AV266" s="58">
        <f>ROUND(SUMIF('JUNE (물량흐름)'!$C$13:$C$502,'In-out-bal products (155)(완성제품)'!B266,'JUNE (물량흐름)'!$AC$13:$AC$502),0)</f>
        <v>0</v>
      </c>
      <c r="AW266" s="58">
        <f t="shared" si="116"/>
        <v>0</v>
      </c>
      <c r="AX266" s="376">
        <f t="shared" si="117"/>
        <v>0</v>
      </c>
      <c r="AY266" s="377">
        <f t="shared" si="118"/>
        <v>0</v>
      </c>
      <c r="AZ266" s="377">
        <f t="shared" si="119"/>
        <v>0</v>
      </c>
      <c r="BA266" s="377">
        <f t="shared" si="120"/>
        <v>0</v>
      </c>
      <c r="BB266" s="377"/>
      <c r="BC266" s="377">
        <f t="shared" si="121"/>
        <v>0</v>
      </c>
      <c r="BD266" s="377">
        <f t="shared" si="122"/>
        <v>0</v>
      </c>
      <c r="BE266" s="377"/>
      <c r="BF266" s="377">
        <f t="shared" si="123"/>
        <v>0</v>
      </c>
      <c r="BG266" s="433">
        <f t="shared" si="124"/>
        <v>0</v>
      </c>
      <c r="BH266" s="434">
        <f t="shared" si="125"/>
        <v>0</v>
      </c>
    </row>
    <row r="267" spans="1:60" s="378" customFormat="1">
      <c r="A267" s="167">
        <v>257</v>
      </c>
      <c r="B267" s="253">
        <f>VLOOKUP(A267,'JUNE (물량흐름)'!$A$13:$C$493,3,0)</f>
        <v>100015136</v>
      </c>
      <c r="C267" s="57" t="str">
        <f>VLOOKUP(A267,'JUNE (물량흐름)'!$A$13:$C$493,2,0)</f>
        <v>ALFANI</v>
      </c>
      <c r="D267" s="58">
        <f>IFERROR(VLOOKUP(B267,O.B.JUNE!$V$7:$Y$448,2,0),0)</f>
        <v>0</v>
      </c>
      <c r="E267" s="58">
        <f>IFERROR(VLOOKUP(B267,O.B.JUNE!$V$7:$X$448,3,0),0)</f>
        <v>0</v>
      </c>
      <c r="F267" s="58">
        <f>IFERROR(VLOOKUP(B267,O.B.JUNE!$V$7:$Y$448,4,0),0)</f>
        <v>0</v>
      </c>
      <c r="G267" s="58">
        <f>SUMIF('JUNE (물량흐름)'!$C$13:$C$493,'In-out-bal products (155)(완성제품)'!B267,'JUNE (물량흐름)'!$V$13:$V$493)</f>
        <v>0</v>
      </c>
      <c r="H267" s="58">
        <f>SUMIF('JUNE (물량흐름)'!$C$13:$C$493,'In-out-bal products (155)(완성제품)'!B267,'JUNE (물량흐름)'!$T$13:$T$493)-SUMIF('JUNE (물량흐름)'!$C$13:$C$493,'In-out-bal products (155)(완성제품)'!B267,'JUNE (물량흐름)'!$Y$13:$Y$493)+SUMIF('JUNE (물량흐름)'!$C$13:$C$493,'In-out-bal products (155)(완성제품)'!B267,'JUNE (물량흐름)'!$U$13:$U$493)</f>
        <v>0</v>
      </c>
      <c r="I267" s="58">
        <f t="shared" si="96"/>
        <v>0</v>
      </c>
      <c r="J267" s="58">
        <f>SUMIF('Direct labour(직접노무비)'!$C$12:$C$503,'In-out-bal products (155)(완성제품)'!B267,'Direct labour(직접노무비)'!$Q$12:$Q$503)</f>
        <v>0</v>
      </c>
      <c r="K267" s="59">
        <f>SUMIF('Overhead exp(제조경비)'!$C$12:$C$503,'In-out-bal products (155)(완성제품)'!B267,'Overhead exp(제조경비)'!$Q$12:$Q$503)</f>
        <v>0</v>
      </c>
      <c r="L267" s="58">
        <f t="shared" si="97"/>
        <v>0</v>
      </c>
      <c r="M267" s="58">
        <f>SUMIF('JUNE (물량흐름)'!$C$13:$C$488,'In-out-bal products (155)(완성제품)'!B267,'JUNE (물량흐름)'!$Y$13:$Y$488)</f>
        <v>0</v>
      </c>
      <c r="N267" s="58">
        <f t="shared" si="98"/>
        <v>0</v>
      </c>
      <c r="O267" s="58">
        <f>SUMIF('Direct labour(직접노무비)'!$C$12:$C$503,'In-out-bal products (155)(완성제품)'!B267,'Direct labour(직접노무비)'!$U$12:$U$503)+SUMIF('Overhead exp(제조경비)'!$C$12:$C$503,'In-out-bal products (155)(완성제품)'!B267,'Overhead exp(제조경비)'!$U$12:$U$503)</f>
        <v>0</v>
      </c>
      <c r="P267" s="60">
        <f t="shared" si="99"/>
        <v>0</v>
      </c>
      <c r="Q267" s="60">
        <f t="shared" si="100"/>
        <v>0</v>
      </c>
      <c r="R267" s="60">
        <f t="shared" si="101"/>
        <v>0</v>
      </c>
      <c r="S267" s="58">
        <v>0</v>
      </c>
      <c r="T267" s="58">
        <v>0</v>
      </c>
      <c r="U267" s="58">
        <v>0</v>
      </c>
      <c r="V267" s="58">
        <f>SUMIF('JUNE (물량흐름)'!$C$13:$C$493,'In-out-bal products (155)(완성제품)'!B267,'JUNE (물량흐름)'!$W$13:$W$493)</f>
        <v>0</v>
      </c>
      <c r="W267" s="58">
        <f t="shared" si="102"/>
        <v>0</v>
      </c>
      <c r="X267" s="58">
        <f t="shared" si="103"/>
        <v>0</v>
      </c>
      <c r="Y267" s="58">
        <f>SUMIF('JUNE (물량흐름)'!$C$13:$C$488,'In-out-bal products (155)(완성제품)'!B267,'JUNE (물량흐름)'!$X$13:$X$488)</f>
        <v>0</v>
      </c>
      <c r="Z267" s="58">
        <f t="shared" si="104"/>
        <v>0</v>
      </c>
      <c r="AA267" s="58">
        <f t="shared" si="105"/>
        <v>0</v>
      </c>
      <c r="AB267" s="58"/>
      <c r="AC267" s="58"/>
      <c r="AD267" s="61"/>
      <c r="AE267" s="58">
        <f t="shared" si="106"/>
        <v>0</v>
      </c>
      <c r="AF267" s="58">
        <f t="shared" si="107"/>
        <v>0</v>
      </c>
      <c r="AG267" s="61">
        <f t="shared" si="108"/>
        <v>0</v>
      </c>
      <c r="AH267" s="58">
        <v>0</v>
      </c>
      <c r="AI267" s="58">
        <v>0</v>
      </c>
      <c r="AJ267" s="61">
        <v>0</v>
      </c>
      <c r="AK267" s="58"/>
      <c r="AL267" s="58"/>
      <c r="AM267" s="61"/>
      <c r="AN267" s="61">
        <f t="shared" si="109"/>
        <v>0</v>
      </c>
      <c r="AO267" s="58">
        <f t="shared" si="110"/>
        <v>0</v>
      </c>
      <c r="AP267" s="61">
        <f t="shared" si="111"/>
        <v>0</v>
      </c>
      <c r="AQ267" s="58">
        <f t="shared" si="112"/>
        <v>0</v>
      </c>
      <c r="AR267" s="58">
        <f t="shared" si="113"/>
        <v>0</v>
      </c>
      <c r="AS267" s="58">
        <f t="shared" si="114"/>
        <v>0</v>
      </c>
      <c r="AT267" s="58">
        <f>ROUND(SUMIF('JUNE (물량흐름)'!$C$13:$C$502,'In-out-bal products (155)(완성제품)'!B267,'JUNE (물량흐름)'!$AB$13:$AB$502),0)</f>
        <v>0</v>
      </c>
      <c r="AU267" s="58">
        <f t="shared" si="115"/>
        <v>0</v>
      </c>
      <c r="AV267" s="58">
        <f>ROUND(SUMIF('JUNE (물량흐름)'!$C$13:$C$502,'In-out-bal products (155)(완성제품)'!B267,'JUNE (물량흐름)'!$AC$13:$AC$502),0)</f>
        <v>0</v>
      </c>
      <c r="AW267" s="58">
        <f t="shared" si="116"/>
        <v>0</v>
      </c>
      <c r="AX267" s="376">
        <f t="shared" si="117"/>
        <v>0</v>
      </c>
      <c r="AY267" s="377">
        <f t="shared" si="118"/>
        <v>0</v>
      </c>
      <c r="AZ267" s="377">
        <f t="shared" si="119"/>
        <v>0</v>
      </c>
      <c r="BA267" s="377">
        <f t="shared" si="120"/>
        <v>0</v>
      </c>
      <c r="BB267" s="377"/>
      <c r="BC267" s="377">
        <f t="shared" si="121"/>
        <v>0</v>
      </c>
      <c r="BD267" s="377">
        <f t="shared" si="122"/>
        <v>0</v>
      </c>
      <c r="BE267" s="377"/>
      <c r="BF267" s="377">
        <f t="shared" si="123"/>
        <v>0</v>
      </c>
      <c r="BG267" s="433">
        <f t="shared" si="124"/>
        <v>0</v>
      </c>
      <c r="BH267" s="434">
        <f t="shared" si="125"/>
        <v>0</v>
      </c>
    </row>
    <row r="268" spans="1:60" s="378" customFormat="1">
      <c r="A268" s="167">
        <v>258</v>
      </c>
      <c r="B268" s="253">
        <f>VLOOKUP(A268,'JUNE (물량흐름)'!$A$13:$C$493,3,0)</f>
        <v>100015145</v>
      </c>
      <c r="C268" s="57" t="str">
        <f>VLOOKUP(A268,'JUNE (물량흐름)'!$A$13:$C$493,2,0)</f>
        <v>ALFANI</v>
      </c>
      <c r="D268" s="58">
        <f>IFERROR(VLOOKUP(B268,O.B.JUNE!$V$7:$Y$448,2,0),0)</f>
        <v>0</v>
      </c>
      <c r="E268" s="58">
        <f>IFERROR(VLOOKUP(B268,O.B.JUNE!$V$7:$X$448,3,0),0)</f>
        <v>0</v>
      </c>
      <c r="F268" s="58">
        <f>IFERROR(VLOOKUP(B268,O.B.JUNE!$V$7:$Y$448,4,0),0)</f>
        <v>0</v>
      </c>
      <c r="G268" s="58">
        <f>SUMIF('JUNE (물량흐름)'!$C$13:$C$493,'In-out-bal products (155)(완성제품)'!B268,'JUNE (물량흐름)'!$V$13:$V$493)</f>
        <v>0</v>
      </c>
      <c r="H268" s="58">
        <f>SUMIF('JUNE (물량흐름)'!$C$13:$C$493,'In-out-bal products (155)(완성제품)'!B268,'JUNE (물량흐름)'!$T$13:$T$493)-SUMIF('JUNE (물량흐름)'!$C$13:$C$493,'In-out-bal products (155)(완성제품)'!B268,'JUNE (물량흐름)'!$Y$13:$Y$493)+SUMIF('JUNE (물량흐름)'!$C$13:$C$493,'In-out-bal products (155)(완성제품)'!B268,'JUNE (물량흐름)'!$U$13:$U$493)</f>
        <v>0</v>
      </c>
      <c r="I268" s="58">
        <f t="shared" ref="I268:I327" si="126">(IF(ISERROR(L268/H268),0,L268/H268))</f>
        <v>0</v>
      </c>
      <c r="J268" s="58">
        <f>SUMIF('Direct labour(직접노무비)'!$C$12:$C$503,'In-out-bal products (155)(완성제품)'!B268,'Direct labour(직접노무비)'!$Q$12:$Q$503)</f>
        <v>0</v>
      </c>
      <c r="K268" s="59">
        <f>SUMIF('Overhead exp(제조경비)'!$C$12:$C$503,'In-out-bal products (155)(완성제품)'!B268,'Overhead exp(제조경비)'!$Q$12:$Q$503)</f>
        <v>0</v>
      </c>
      <c r="L268" s="58">
        <f t="shared" ref="L268:L327" si="127">ROUND(J268+K268,0)</f>
        <v>0</v>
      </c>
      <c r="M268" s="58">
        <f>SUMIF('JUNE (물량흐름)'!$C$13:$C$488,'In-out-bal products (155)(완성제품)'!B268,'JUNE (물량흐름)'!$Y$13:$Y$488)</f>
        <v>0</v>
      </c>
      <c r="N268" s="58">
        <f t="shared" ref="N268:N327" si="128">IFERROR(O268/M268,0)</f>
        <v>0</v>
      </c>
      <c r="O268" s="58">
        <f>SUMIF('Direct labour(직접노무비)'!$C$12:$C$503,'In-out-bal products (155)(완성제품)'!B268,'Direct labour(직접노무비)'!$U$12:$U$503)+SUMIF('Overhead exp(제조경비)'!$C$12:$C$503,'In-out-bal products (155)(완성제품)'!B268,'Overhead exp(제조경비)'!$U$12:$U$503)</f>
        <v>0</v>
      </c>
      <c r="P268" s="60">
        <f t="shared" ref="P268:P327" si="129">ROUND(H268+G268+M268,0)</f>
        <v>0</v>
      </c>
      <c r="Q268" s="60">
        <f t="shared" ref="Q268:Q327" si="130">(IF(ISERROR(R268/P268),0,R268/P268))</f>
        <v>0</v>
      </c>
      <c r="R268" s="60">
        <f t="shared" ref="R268:R327" si="131">ROUND(L268+O268,0)</f>
        <v>0</v>
      </c>
      <c r="S268" s="58">
        <v>0</v>
      </c>
      <c r="T268" s="58">
        <v>0</v>
      </c>
      <c r="U268" s="58">
        <v>0</v>
      </c>
      <c r="V268" s="58">
        <f>SUMIF('JUNE (물량흐름)'!$C$13:$C$493,'In-out-bal products (155)(완성제품)'!B268,'JUNE (물량흐름)'!$W$13:$W$493)</f>
        <v>0</v>
      </c>
      <c r="W268" s="58">
        <f t="shared" ref="W268:W327" si="132">(IF(V268=0,0,$X268/$V268))</f>
        <v>0</v>
      </c>
      <c r="X268" s="58">
        <f t="shared" ref="X268:X327" si="133">ROUND(IF(V268=0,0,V268*($F268+$L268)/($D268+$H268+$G268)),0)</f>
        <v>0</v>
      </c>
      <c r="Y268" s="58">
        <f>SUMIF('JUNE (물량흐름)'!$C$13:$C$488,'In-out-bal products (155)(완성제품)'!B268,'JUNE (물량흐름)'!$X$13:$X$488)</f>
        <v>0</v>
      </c>
      <c r="Z268" s="58">
        <f t="shared" ref="Z268:Z327" si="134">IF(Y268=0,0,$AA268/$Y268)</f>
        <v>0</v>
      </c>
      <c r="AA268" s="58">
        <f t="shared" ref="AA268:AA327" si="135">ROUND(IF(Y268=0,0,Y268*($F268+$L268)/($D268+$H268+$G268)),0)</f>
        <v>0</v>
      </c>
      <c r="AB268" s="58"/>
      <c r="AC268" s="58"/>
      <c r="AD268" s="61"/>
      <c r="AE268" s="58">
        <f t="shared" ref="AE268:AE327" si="136">M268</f>
        <v>0</v>
      </c>
      <c r="AF268" s="58">
        <f t="shared" ref="AF268:AF327" si="137">N268</f>
        <v>0</v>
      </c>
      <c r="AG268" s="61">
        <f t="shared" ref="AG268:AG327" si="138">O268</f>
        <v>0</v>
      </c>
      <c r="AH268" s="58">
        <v>0</v>
      </c>
      <c r="AI268" s="58">
        <v>0</v>
      </c>
      <c r="AJ268" s="61">
        <v>0</v>
      </c>
      <c r="AK268" s="58"/>
      <c r="AL268" s="58"/>
      <c r="AM268" s="61"/>
      <c r="AN268" s="61">
        <f t="shared" ref="AN268:AN331" si="139">ROUND(SUM(V268+Y268+AB268+AE268+AH268+AK268+S268),0)</f>
        <v>0</v>
      </c>
      <c r="AO268" s="58">
        <f t="shared" ref="AO268:AO327" si="140">(IF(ISERROR(AP268/AN268),0,AP268/AN268))</f>
        <v>0</v>
      </c>
      <c r="AP268" s="61">
        <f t="shared" ref="AP268:AP327" si="141">ROUND(X268+AA268+AD268+AG268+AJ268+AM268+U268,0)</f>
        <v>0</v>
      </c>
      <c r="AQ268" s="58">
        <f t="shared" ref="AQ268:AQ327" si="142">ROUND(D268+P268-AN268,0)</f>
        <v>0</v>
      </c>
      <c r="AR268" s="58">
        <f t="shared" ref="AR268:AR327" si="143">(IF(ISERROR(AS268/AQ268),0,AS268/AQ268))</f>
        <v>0</v>
      </c>
      <c r="AS268" s="58">
        <f t="shared" ref="AS268:AS327" si="144">ROUND(F268+R268-AP268,0)</f>
        <v>0</v>
      </c>
      <c r="AT268" s="58">
        <f>ROUND(SUMIF('JUNE (물량흐름)'!$C$13:$C$502,'In-out-bal products (155)(완성제품)'!B268,'JUNE (물량흐름)'!$AB$13:$AB$502),0)</f>
        <v>0</v>
      </c>
      <c r="AU268" s="58">
        <f t="shared" ref="AU268:AU327" si="145">+ROUND(AR268*AT268,0)</f>
        <v>0</v>
      </c>
      <c r="AV268" s="58">
        <f>ROUND(SUMIF('JUNE (물량흐름)'!$C$13:$C$502,'In-out-bal products (155)(완성제품)'!B268,'JUNE (물량흐름)'!$AC$13:$AC$502),0)</f>
        <v>0</v>
      </c>
      <c r="AW268" s="58">
        <f t="shared" ref="AW268:AW327" si="146">ROUND(AR268*AV268,0)</f>
        <v>0</v>
      </c>
      <c r="AX268" s="376">
        <f t="shared" ref="AX268:AX327" si="147">D268+P268-AN268-AQ268</f>
        <v>0</v>
      </c>
      <c r="AY268" s="377">
        <f t="shared" ref="AY268:AY327" si="148">F268+R268-AP268-AS268</f>
        <v>0</v>
      </c>
      <c r="AZ268" s="377">
        <f t="shared" ref="AZ268:AZ327" si="149">AQ268-AT268-AV268</f>
        <v>0</v>
      </c>
      <c r="BA268" s="377">
        <f t="shared" ref="BA268:BA327" si="150">AS268-AU268-AW268</f>
        <v>0</v>
      </c>
      <c r="BB268" s="377"/>
      <c r="BC268" s="377">
        <f t="shared" ref="BC268:BC327" si="151">F268+R268-AP268-AS268</f>
        <v>0</v>
      </c>
      <c r="BD268" s="377">
        <f t="shared" ref="BD268:BD327" si="152">D268+P268-AN268-AQ268</f>
        <v>0</v>
      </c>
      <c r="BE268" s="377"/>
      <c r="BF268" s="377">
        <f t="shared" ref="BF268:BF327" si="153">F268+R268-AP268-AS268</f>
        <v>0</v>
      </c>
      <c r="BG268" s="433">
        <f t="shared" ref="BG268:BG327" si="154">+X268+AA268+AD268+AG268+AJ268+AM268+U268</f>
        <v>0</v>
      </c>
      <c r="BH268" s="434">
        <f t="shared" ref="BH268:BH327" si="155">+BG268-AP268</f>
        <v>0</v>
      </c>
    </row>
    <row r="269" spans="1:60" s="378" customFormat="1">
      <c r="A269" s="167">
        <v>259</v>
      </c>
      <c r="B269" s="253">
        <f>VLOOKUP(A269,'JUNE (물량흐름)'!$A$13:$C$493,3,0)</f>
        <v>100015153</v>
      </c>
      <c r="C269" s="57" t="str">
        <f>VLOOKUP(A269,'JUNE (물량흐름)'!$A$13:$C$493,2,0)</f>
        <v>ALFANI</v>
      </c>
      <c r="D269" s="58">
        <f>IFERROR(VLOOKUP(B269,O.B.JUNE!$V$7:$Y$448,2,0),0)</f>
        <v>0</v>
      </c>
      <c r="E269" s="58">
        <f>IFERROR(VLOOKUP(B269,O.B.JUNE!$V$7:$X$448,3,0),0)</f>
        <v>0</v>
      </c>
      <c r="F269" s="58">
        <f>IFERROR(VLOOKUP(B269,O.B.JUNE!$V$7:$Y$448,4,0),0)</f>
        <v>0</v>
      </c>
      <c r="G269" s="58">
        <f>SUMIF('JUNE (물량흐름)'!$C$13:$C$493,'In-out-bal products (155)(완성제품)'!B269,'JUNE (물량흐름)'!$V$13:$V$493)</f>
        <v>0</v>
      </c>
      <c r="H269" s="58">
        <f>SUMIF('JUNE (물량흐름)'!$C$13:$C$493,'In-out-bal products (155)(완성제품)'!B269,'JUNE (물량흐름)'!$T$13:$T$493)-SUMIF('JUNE (물량흐름)'!$C$13:$C$493,'In-out-bal products (155)(완성제품)'!B269,'JUNE (물량흐름)'!$Y$13:$Y$493)+SUMIF('JUNE (물량흐름)'!$C$13:$C$493,'In-out-bal products (155)(완성제품)'!B269,'JUNE (물량흐름)'!$U$13:$U$493)</f>
        <v>0</v>
      </c>
      <c r="I269" s="58">
        <f t="shared" si="126"/>
        <v>0</v>
      </c>
      <c r="J269" s="58">
        <f>SUMIF('Direct labour(직접노무비)'!$C$12:$C$503,'In-out-bal products (155)(완성제품)'!B269,'Direct labour(직접노무비)'!$Q$12:$Q$503)</f>
        <v>0</v>
      </c>
      <c r="K269" s="59">
        <f>SUMIF('Overhead exp(제조경비)'!$C$12:$C$503,'In-out-bal products (155)(완성제품)'!B269,'Overhead exp(제조경비)'!$Q$12:$Q$503)</f>
        <v>0</v>
      </c>
      <c r="L269" s="58">
        <f t="shared" si="127"/>
        <v>0</v>
      </c>
      <c r="M269" s="58">
        <f>SUMIF('JUNE (물량흐름)'!$C$13:$C$488,'In-out-bal products (155)(완성제품)'!B269,'JUNE (물량흐름)'!$Y$13:$Y$488)</f>
        <v>0</v>
      </c>
      <c r="N269" s="58">
        <f t="shared" si="128"/>
        <v>0</v>
      </c>
      <c r="O269" s="58">
        <f>SUMIF('Direct labour(직접노무비)'!$C$12:$C$503,'In-out-bal products (155)(완성제품)'!B269,'Direct labour(직접노무비)'!$U$12:$U$503)+SUMIF('Overhead exp(제조경비)'!$C$12:$C$503,'In-out-bal products (155)(완성제품)'!B269,'Overhead exp(제조경비)'!$U$12:$U$503)</f>
        <v>0</v>
      </c>
      <c r="P269" s="60">
        <f t="shared" si="129"/>
        <v>0</v>
      </c>
      <c r="Q269" s="60">
        <f t="shared" si="130"/>
        <v>0</v>
      </c>
      <c r="R269" s="60">
        <f t="shared" si="131"/>
        <v>0</v>
      </c>
      <c r="S269" s="58">
        <v>0</v>
      </c>
      <c r="T269" s="58">
        <v>0</v>
      </c>
      <c r="U269" s="58">
        <v>0</v>
      </c>
      <c r="V269" s="58">
        <f>SUMIF('JUNE (물량흐름)'!$C$13:$C$493,'In-out-bal products (155)(완성제품)'!B269,'JUNE (물량흐름)'!$W$13:$W$493)</f>
        <v>0</v>
      </c>
      <c r="W269" s="58">
        <f t="shared" si="132"/>
        <v>0</v>
      </c>
      <c r="X269" s="58">
        <f t="shared" si="133"/>
        <v>0</v>
      </c>
      <c r="Y269" s="58">
        <f>SUMIF('JUNE (물량흐름)'!$C$13:$C$488,'In-out-bal products (155)(완성제품)'!B269,'JUNE (물량흐름)'!$X$13:$X$488)</f>
        <v>0</v>
      </c>
      <c r="Z269" s="58">
        <f t="shared" si="134"/>
        <v>0</v>
      </c>
      <c r="AA269" s="58">
        <f t="shared" si="135"/>
        <v>0</v>
      </c>
      <c r="AB269" s="58"/>
      <c r="AC269" s="58"/>
      <c r="AD269" s="61"/>
      <c r="AE269" s="58">
        <f t="shared" si="136"/>
        <v>0</v>
      </c>
      <c r="AF269" s="58">
        <f t="shared" si="137"/>
        <v>0</v>
      </c>
      <c r="AG269" s="61">
        <f t="shared" si="138"/>
        <v>0</v>
      </c>
      <c r="AH269" s="58">
        <v>0</v>
      </c>
      <c r="AI269" s="58">
        <v>0</v>
      </c>
      <c r="AJ269" s="61">
        <v>0</v>
      </c>
      <c r="AK269" s="58"/>
      <c r="AL269" s="58"/>
      <c r="AM269" s="61"/>
      <c r="AN269" s="61">
        <f t="shared" si="139"/>
        <v>0</v>
      </c>
      <c r="AO269" s="58">
        <f t="shared" si="140"/>
        <v>0</v>
      </c>
      <c r="AP269" s="61">
        <f t="shared" si="141"/>
        <v>0</v>
      </c>
      <c r="AQ269" s="58">
        <f t="shared" si="142"/>
        <v>0</v>
      </c>
      <c r="AR269" s="58">
        <f t="shared" si="143"/>
        <v>0</v>
      </c>
      <c r="AS269" s="58">
        <f t="shared" si="144"/>
        <v>0</v>
      </c>
      <c r="AT269" s="58">
        <f>ROUND(SUMIF('JUNE (물량흐름)'!$C$13:$C$502,'In-out-bal products (155)(완성제품)'!B269,'JUNE (물량흐름)'!$AB$13:$AB$502),0)</f>
        <v>0</v>
      </c>
      <c r="AU269" s="58">
        <f t="shared" si="145"/>
        <v>0</v>
      </c>
      <c r="AV269" s="58">
        <f>ROUND(SUMIF('JUNE (물량흐름)'!$C$13:$C$502,'In-out-bal products (155)(완성제품)'!B269,'JUNE (물량흐름)'!$AC$13:$AC$502),0)</f>
        <v>0</v>
      </c>
      <c r="AW269" s="58">
        <f t="shared" si="146"/>
        <v>0</v>
      </c>
      <c r="AX269" s="376">
        <f t="shared" si="147"/>
        <v>0</v>
      </c>
      <c r="AY269" s="377">
        <f t="shared" si="148"/>
        <v>0</v>
      </c>
      <c r="AZ269" s="377">
        <f t="shared" si="149"/>
        <v>0</v>
      </c>
      <c r="BA269" s="377">
        <f t="shared" si="150"/>
        <v>0</v>
      </c>
      <c r="BB269" s="377"/>
      <c r="BC269" s="377">
        <f t="shared" si="151"/>
        <v>0</v>
      </c>
      <c r="BD269" s="377">
        <f t="shared" si="152"/>
        <v>0</v>
      </c>
      <c r="BE269" s="377"/>
      <c r="BF269" s="377">
        <f t="shared" si="153"/>
        <v>0</v>
      </c>
      <c r="BG269" s="433">
        <f t="shared" si="154"/>
        <v>0</v>
      </c>
      <c r="BH269" s="434">
        <f t="shared" si="155"/>
        <v>0</v>
      </c>
    </row>
    <row r="270" spans="1:60" s="378" customFormat="1">
      <c r="A270" s="167">
        <v>260</v>
      </c>
      <c r="B270" s="253">
        <f>VLOOKUP(A270,'JUNE (물량흐름)'!$A$13:$C$493,3,0)</f>
        <v>100015224</v>
      </c>
      <c r="C270" s="57" t="str">
        <f>VLOOKUP(A270,'JUNE (물량흐름)'!$A$13:$C$493,2,0)</f>
        <v>ALFANI</v>
      </c>
      <c r="D270" s="58">
        <f>IFERROR(VLOOKUP(B270,O.B.JUNE!$V$7:$Y$448,2,0),0)</f>
        <v>0</v>
      </c>
      <c r="E270" s="58">
        <f>IFERROR(VLOOKUP(B270,O.B.JUNE!$V$7:$X$448,3,0),0)</f>
        <v>0</v>
      </c>
      <c r="F270" s="58">
        <f>IFERROR(VLOOKUP(B270,O.B.JUNE!$V$7:$Y$448,4,0),0)</f>
        <v>0</v>
      </c>
      <c r="G270" s="58">
        <f>SUMIF('JUNE (물량흐름)'!$C$13:$C$493,'In-out-bal products (155)(완성제품)'!B270,'JUNE (물량흐름)'!$V$13:$V$493)</f>
        <v>0</v>
      </c>
      <c r="H270" s="58">
        <f>SUMIF('JUNE (물량흐름)'!$C$13:$C$493,'In-out-bal products (155)(완성제품)'!B270,'JUNE (물량흐름)'!$T$13:$T$493)-SUMIF('JUNE (물량흐름)'!$C$13:$C$493,'In-out-bal products (155)(완성제품)'!B270,'JUNE (물량흐름)'!$Y$13:$Y$493)+SUMIF('JUNE (물량흐름)'!$C$13:$C$493,'In-out-bal products (155)(완성제품)'!B270,'JUNE (물량흐름)'!$U$13:$U$493)</f>
        <v>0</v>
      </c>
      <c r="I270" s="58">
        <f t="shared" si="126"/>
        <v>0</v>
      </c>
      <c r="J270" s="58">
        <f>SUMIF('Direct labour(직접노무비)'!$C$12:$C$503,'In-out-bal products (155)(완성제품)'!B270,'Direct labour(직접노무비)'!$Q$12:$Q$503)</f>
        <v>0</v>
      </c>
      <c r="K270" s="59">
        <f>SUMIF('Overhead exp(제조경비)'!$C$12:$C$503,'In-out-bal products (155)(완성제품)'!B270,'Overhead exp(제조경비)'!$Q$12:$Q$503)</f>
        <v>0</v>
      </c>
      <c r="L270" s="58">
        <f t="shared" si="127"/>
        <v>0</v>
      </c>
      <c r="M270" s="58">
        <f>SUMIF('JUNE (물량흐름)'!$C$13:$C$488,'In-out-bal products (155)(완성제품)'!B270,'JUNE (물량흐름)'!$Y$13:$Y$488)</f>
        <v>0</v>
      </c>
      <c r="N270" s="58">
        <f t="shared" si="128"/>
        <v>0</v>
      </c>
      <c r="O270" s="58">
        <f>SUMIF('Direct labour(직접노무비)'!$C$12:$C$503,'In-out-bal products (155)(완성제품)'!B270,'Direct labour(직접노무비)'!$U$12:$U$503)+SUMIF('Overhead exp(제조경비)'!$C$12:$C$503,'In-out-bal products (155)(완성제품)'!B270,'Overhead exp(제조경비)'!$U$12:$U$503)</f>
        <v>0</v>
      </c>
      <c r="P270" s="60">
        <f t="shared" si="129"/>
        <v>0</v>
      </c>
      <c r="Q270" s="60">
        <f t="shared" si="130"/>
        <v>0</v>
      </c>
      <c r="R270" s="60">
        <f t="shared" si="131"/>
        <v>0</v>
      </c>
      <c r="S270" s="58">
        <v>0</v>
      </c>
      <c r="T270" s="58">
        <v>0</v>
      </c>
      <c r="U270" s="58">
        <v>0</v>
      </c>
      <c r="V270" s="58">
        <f>SUMIF('JUNE (물량흐름)'!$C$13:$C$493,'In-out-bal products (155)(완성제품)'!B270,'JUNE (물량흐름)'!$W$13:$W$493)</f>
        <v>0</v>
      </c>
      <c r="W270" s="58">
        <f t="shared" si="132"/>
        <v>0</v>
      </c>
      <c r="X270" s="58">
        <f t="shared" si="133"/>
        <v>0</v>
      </c>
      <c r="Y270" s="58">
        <f>SUMIF('JUNE (물량흐름)'!$C$13:$C$488,'In-out-bal products (155)(완성제품)'!B270,'JUNE (물량흐름)'!$X$13:$X$488)</f>
        <v>0</v>
      </c>
      <c r="Z270" s="58">
        <f t="shared" si="134"/>
        <v>0</v>
      </c>
      <c r="AA270" s="58">
        <f t="shared" si="135"/>
        <v>0</v>
      </c>
      <c r="AB270" s="58"/>
      <c r="AC270" s="58"/>
      <c r="AD270" s="61"/>
      <c r="AE270" s="58">
        <f t="shared" si="136"/>
        <v>0</v>
      </c>
      <c r="AF270" s="58">
        <f t="shared" si="137"/>
        <v>0</v>
      </c>
      <c r="AG270" s="61">
        <f t="shared" si="138"/>
        <v>0</v>
      </c>
      <c r="AH270" s="58">
        <v>0</v>
      </c>
      <c r="AI270" s="58">
        <v>0</v>
      </c>
      <c r="AJ270" s="61">
        <v>0</v>
      </c>
      <c r="AK270" s="58"/>
      <c r="AL270" s="58"/>
      <c r="AM270" s="61"/>
      <c r="AN270" s="61">
        <f t="shared" si="139"/>
        <v>0</v>
      </c>
      <c r="AO270" s="58">
        <f t="shared" si="140"/>
        <v>0</v>
      </c>
      <c r="AP270" s="61">
        <f t="shared" si="141"/>
        <v>0</v>
      </c>
      <c r="AQ270" s="58">
        <f t="shared" si="142"/>
        <v>0</v>
      </c>
      <c r="AR270" s="58">
        <f t="shared" si="143"/>
        <v>0</v>
      </c>
      <c r="AS270" s="58">
        <f t="shared" si="144"/>
        <v>0</v>
      </c>
      <c r="AT270" s="58">
        <f>ROUND(SUMIF('JUNE (물량흐름)'!$C$13:$C$502,'In-out-bal products (155)(완성제품)'!B270,'JUNE (물량흐름)'!$AB$13:$AB$502),0)</f>
        <v>0</v>
      </c>
      <c r="AU270" s="58">
        <f t="shared" si="145"/>
        <v>0</v>
      </c>
      <c r="AV270" s="58">
        <f>ROUND(SUMIF('JUNE (물량흐름)'!$C$13:$C$502,'In-out-bal products (155)(완성제품)'!B270,'JUNE (물량흐름)'!$AC$13:$AC$502),0)</f>
        <v>0</v>
      </c>
      <c r="AW270" s="58">
        <f t="shared" si="146"/>
        <v>0</v>
      </c>
      <c r="AX270" s="376">
        <f t="shared" si="147"/>
        <v>0</v>
      </c>
      <c r="AY270" s="377">
        <f t="shared" si="148"/>
        <v>0</v>
      </c>
      <c r="AZ270" s="377">
        <f t="shared" si="149"/>
        <v>0</v>
      </c>
      <c r="BA270" s="377">
        <f t="shared" si="150"/>
        <v>0</v>
      </c>
      <c r="BB270" s="377"/>
      <c r="BC270" s="377">
        <f t="shared" si="151"/>
        <v>0</v>
      </c>
      <c r="BD270" s="377">
        <f t="shared" si="152"/>
        <v>0</v>
      </c>
      <c r="BE270" s="377"/>
      <c r="BF270" s="377">
        <f t="shared" si="153"/>
        <v>0</v>
      </c>
      <c r="BG270" s="433">
        <f t="shared" si="154"/>
        <v>0</v>
      </c>
      <c r="BH270" s="434">
        <f t="shared" si="155"/>
        <v>0</v>
      </c>
    </row>
    <row r="271" spans="1:60" s="378" customFormat="1">
      <c r="A271" s="167">
        <v>261</v>
      </c>
      <c r="B271" s="253">
        <f>VLOOKUP(A271,'JUNE (물량흐름)'!$A$13:$C$493,3,0)</f>
        <v>100015225</v>
      </c>
      <c r="C271" s="57" t="str">
        <f>VLOOKUP(A271,'JUNE (물량흐름)'!$A$13:$C$493,2,0)</f>
        <v>ALFANI</v>
      </c>
      <c r="D271" s="58">
        <f>IFERROR(VLOOKUP(B271,O.B.JUNE!$V$7:$Y$448,2,0),0)</f>
        <v>0</v>
      </c>
      <c r="E271" s="58">
        <f>IFERROR(VLOOKUP(B271,O.B.JUNE!$V$7:$X$448,3,0),0)</f>
        <v>0</v>
      </c>
      <c r="F271" s="58">
        <f>IFERROR(VLOOKUP(B271,O.B.JUNE!$V$7:$Y$448,4,0),0)</f>
        <v>0</v>
      </c>
      <c r="G271" s="58">
        <f>SUMIF('JUNE (물량흐름)'!$C$13:$C$493,'In-out-bal products (155)(완성제품)'!B271,'JUNE (물량흐름)'!$V$13:$V$493)</f>
        <v>0</v>
      </c>
      <c r="H271" s="58">
        <f>SUMIF('JUNE (물량흐름)'!$C$13:$C$493,'In-out-bal products (155)(완성제품)'!B271,'JUNE (물량흐름)'!$T$13:$T$493)-SUMIF('JUNE (물량흐름)'!$C$13:$C$493,'In-out-bal products (155)(완성제품)'!B271,'JUNE (물량흐름)'!$Y$13:$Y$493)+SUMIF('JUNE (물량흐름)'!$C$13:$C$493,'In-out-bal products (155)(완성제품)'!B271,'JUNE (물량흐름)'!$U$13:$U$493)</f>
        <v>0</v>
      </c>
      <c r="I271" s="58">
        <f t="shared" si="126"/>
        <v>0</v>
      </c>
      <c r="J271" s="58">
        <f>SUMIF('Direct labour(직접노무비)'!$C$12:$C$503,'In-out-bal products (155)(완성제품)'!B271,'Direct labour(직접노무비)'!$Q$12:$Q$503)</f>
        <v>0</v>
      </c>
      <c r="K271" s="59">
        <f>SUMIF('Overhead exp(제조경비)'!$C$12:$C$503,'In-out-bal products (155)(완성제품)'!B271,'Overhead exp(제조경비)'!$Q$12:$Q$503)</f>
        <v>0</v>
      </c>
      <c r="L271" s="58">
        <f t="shared" si="127"/>
        <v>0</v>
      </c>
      <c r="M271" s="58">
        <f>SUMIF('JUNE (물량흐름)'!$C$13:$C$488,'In-out-bal products (155)(완성제품)'!B271,'JUNE (물량흐름)'!$Y$13:$Y$488)</f>
        <v>0</v>
      </c>
      <c r="N271" s="58">
        <f t="shared" si="128"/>
        <v>0</v>
      </c>
      <c r="O271" s="58">
        <f>SUMIF('Direct labour(직접노무비)'!$C$12:$C$503,'In-out-bal products (155)(완성제품)'!B271,'Direct labour(직접노무비)'!$U$12:$U$503)+SUMIF('Overhead exp(제조경비)'!$C$12:$C$503,'In-out-bal products (155)(완성제품)'!B271,'Overhead exp(제조경비)'!$U$12:$U$503)</f>
        <v>0</v>
      </c>
      <c r="P271" s="60">
        <f t="shared" si="129"/>
        <v>0</v>
      </c>
      <c r="Q271" s="60">
        <f t="shared" si="130"/>
        <v>0</v>
      </c>
      <c r="R271" s="60">
        <f t="shared" si="131"/>
        <v>0</v>
      </c>
      <c r="S271" s="58">
        <v>0</v>
      </c>
      <c r="T271" s="58">
        <v>0</v>
      </c>
      <c r="U271" s="58">
        <v>0</v>
      </c>
      <c r="V271" s="58">
        <f>SUMIF('JUNE (물량흐름)'!$C$13:$C$493,'In-out-bal products (155)(완성제품)'!B271,'JUNE (물량흐름)'!$W$13:$W$493)</f>
        <v>0</v>
      </c>
      <c r="W271" s="58">
        <f t="shared" si="132"/>
        <v>0</v>
      </c>
      <c r="X271" s="58">
        <f t="shared" si="133"/>
        <v>0</v>
      </c>
      <c r="Y271" s="58">
        <f>SUMIF('JUNE (물량흐름)'!$C$13:$C$488,'In-out-bal products (155)(완성제품)'!B271,'JUNE (물량흐름)'!$X$13:$X$488)</f>
        <v>0</v>
      </c>
      <c r="Z271" s="58">
        <f t="shared" si="134"/>
        <v>0</v>
      </c>
      <c r="AA271" s="58">
        <f t="shared" si="135"/>
        <v>0</v>
      </c>
      <c r="AB271" s="58"/>
      <c r="AC271" s="58"/>
      <c r="AD271" s="61"/>
      <c r="AE271" s="58">
        <f t="shared" si="136"/>
        <v>0</v>
      </c>
      <c r="AF271" s="58">
        <f t="shared" si="137"/>
        <v>0</v>
      </c>
      <c r="AG271" s="61">
        <f t="shared" si="138"/>
        <v>0</v>
      </c>
      <c r="AH271" s="58">
        <v>0</v>
      </c>
      <c r="AI271" s="58">
        <v>0</v>
      </c>
      <c r="AJ271" s="61">
        <v>0</v>
      </c>
      <c r="AK271" s="58"/>
      <c r="AL271" s="58"/>
      <c r="AM271" s="61"/>
      <c r="AN271" s="61">
        <f t="shared" si="139"/>
        <v>0</v>
      </c>
      <c r="AO271" s="58">
        <f t="shared" si="140"/>
        <v>0</v>
      </c>
      <c r="AP271" s="61">
        <f t="shared" si="141"/>
        <v>0</v>
      </c>
      <c r="AQ271" s="58">
        <f t="shared" si="142"/>
        <v>0</v>
      </c>
      <c r="AR271" s="58">
        <f t="shared" si="143"/>
        <v>0</v>
      </c>
      <c r="AS271" s="58">
        <f t="shared" si="144"/>
        <v>0</v>
      </c>
      <c r="AT271" s="58">
        <f>ROUND(SUMIF('JUNE (물량흐름)'!$C$13:$C$502,'In-out-bal products (155)(완성제품)'!B271,'JUNE (물량흐름)'!$AB$13:$AB$502),0)</f>
        <v>0</v>
      </c>
      <c r="AU271" s="58">
        <f t="shared" si="145"/>
        <v>0</v>
      </c>
      <c r="AV271" s="58">
        <f>ROUND(SUMIF('JUNE (물량흐름)'!$C$13:$C$502,'In-out-bal products (155)(완성제품)'!B271,'JUNE (물량흐름)'!$AC$13:$AC$502),0)</f>
        <v>0</v>
      </c>
      <c r="AW271" s="58">
        <f t="shared" si="146"/>
        <v>0</v>
      </c>
      <c r="AX271" s="376">
        <f t="shared" si="147"/>
        <v>0</v>
      </c>
      <c r="AY271" s="377">
        <f t="shared" si="148"/>
        <v>0</v>
      </c>
      <c r="AZ271" s="377">
        <f t="shared" si="149"/>
        <v>0</v>
      </c>
      <c r="BA271" s="377">
        <f t="shared" si="150"/>
        <v>0</v>
      </c>
      <c r="BB271" s="377"/>
      <c r="BC271" s="377">
        <f t="shared" si="151"/>
        <v>0</v>
      </c>
      <c r="BD271" s="377">
        <f t="shared" si="152"/>
        <v>0</v>
      </c>
      <c r="BE271" s="377"/>
      <c r="BF271" s="377">
        <f t="shared" si="153"/>
        <v>0</v>
      </c>
      <c r="BG271" s="433">
        <f t="shared" si="154"/>
        <v>0</v>
      </c>
      <c r="BH271" s="434">
        <f t="shared" si="155"/>
        <v>0</v>
      </c>
    </row>
    <row r="272" spans="1:60" s="378" customFormat="1">
      <c r="A272" s="167">
        <v>262</v>
      </c>
      <c r="B272" s="253">
        <f>VLOOKUP(A272,'JUNE (물량흐름)'!$A$13:$C$493,3,0)</f>
        <v>100015357</v>
      </c>
      <c r="C272" s="57" t="str">
        <f>VLOOKUP(A272,'JUNE (물량흐름)'!$A$13:$C$493,2,0)</f>
        <v>ALFANI</v>
      </c>
      <c r="D272" s="58">
        <f>IFERROR(VLOOKUP(B272,O.B.JUNE!$V$7:$Y$448,2,0),0)</f>
        <v>0</v>
      </c>
      <c r="E272" s="58">
        <f>IFERROR(VLOOKUP(B272,O.B.JUNE!$V$7:$X$448,3,0),0)</f>
        <v>0</v>
      </c>
      <c r="F272" s="58">
        <f>IFERROR(VLOOKUP(B272,O.B.JUNE!$V$7:$Y$448,4,0),0)</f>
        <v>0</v>
      </c>
      <c r="G272" s="58">
        <f>SUMIF('JUNE (물량흐름)'!$C$13:$C$493,'In-out-bal products (155)(완성제품)'!B272,'JUNE (물량흐름)'!$V$13:$V$493)</f>
        <v>0</v>
      </c>
      <c r="H272" s="58">
        <f>SUMIF('JUNE (물량흐름)'!$C$13:$C$493,'In-out-bal products (155)(완성제품)'!B272,'JUNE (물량흐름)'!$T$13:$T$493)-SUMIF('JUNE (물량흐름)'!$C$13:$C$493,'In-out-bal products (155)(완성제품)'!B272,'JUNE (물량흐름)'!$Y$13:$Y$493)+SUMIF('JUNE (물량흐름)'!$C$13:$C$493,'In-out-bal products (155)(완성제품)'!B272,'JUNE (물량흐름)'!$U$13:$U$493)</f>
        <v>0</v>
      </c>
      <c r="I272" s="58">
        <f t="shared" si="126"/>
        <v>0</v>
      </c>
      <c r="J272" s="58">
        <f>SUMIF('Direct labour(직접노무비)'!$C$12:$C$503,'In-out-bal products (155)(완성제품)'!B272,'Direct labour(직접노무비)'!$Q$12:$Q$503)</f>
        <v>0</v>
      </c>
      <c r="K272" s="59">
        <f>SUMIF('Overhead exp(제조경비)'!$C$12:$C$503,'In-out-bal products (155)(완성제품)'!B272,'Overhead exp(제조경비)'!$Q$12:$Q$503)</f>
        <v>0</v>
      </c>
      <c r="L272" s="58">
        <f t="shared" si="127"/>
        <v>0</v>
      </c>
      <c r="M272" s="58">
        <f>SUMIF('JUNE (물량흐름)'!$C$13:$C$488,'In-out-bal products (155)(완성제품)'!B272,'JUNE (물량흐름)'!$Y$13:$Y$488)</f>
        <v>0</v>
      </c>
      <c r="N272" s="58">
        <f t="shared" si="128"/>
        <v>0</v>
      </c>
      <c r="O272" s="58">
        <f>SUMIF('Direct labour(직접노무비)'!$C$12:$C$503,'In-out-bal products (155)(완성제품)'!B272,'Direct labour(직접노무비)'!$U$12:$U$503)+SUMIF('Overhead exp(제조경비)'!$C$12:$C$503,'In-out-bal products (155)(완성제품)'!B272,'Overhead exp(제조경비)'!$U$12:$U$503)</f>
        <v>0</v>
      </c>
      <c r="P272" s="60">
        <f t="shared" si="129"/>
        <v>0</v>
      </c>
      <c r="Q272" s="60">
        <f t="shared" si="130"/>
        <v>0</v>
      </c>
      <c r="R272" s="60">
        <f t="shared" si="131"/>
        <v>0</v>
      </c>
      <c r="S272" s="58">
        <v>0</v>
      </c>
      <c r="T272" s="58">
        <v>0</v>
      </c>
      <c r="U272" s="58">
        <v>0</v>
      </c>
      <c r="V272" s="58">
        <f>SUMIF('JUNE (물량흐름)'!$C$13:$C$493,'In-out-bal products (155)(완성제품)'!B272,'JUNE (물량흐름)'!$W$13:$W$493)</f>
        <v>0</v>
      </c>
      <c r="W272" s="58">
        <f t="shared" si="132"/>
        <v>0</v>
      </c>
      <c r="X272" s="58">
        <f t="shared" si="133"/>
        <v>0</v>
      </c>
      <c r="Y272" s="58">
        <f>SUMIF('JUNE (물량흐름)'!$C$13:$C$488,'In-out-bal products (155)(완성제품)'!B272,'JUNE (물량흐름)'!$X$13:$X$488)</f>
        <v>0</v>
      </c>
      <c r="Z272" s="58">
        <f t="shared" si="134"/>
        <v>0</v>
      </c>
      <c r="AA272" s="58">
        <f t="shared" si="135"/>
        <v>0</v>
      </c>
      <c r="AB272" s="58"/>
      <c r="AC272" s="58"/>
      <c r="AD272" s="61"/>
      <c r="AE272" s="58">
        <f t="shared" si="136"/>
        <v>0</v>
      </c>
      <c r="AF272" s="58">
        <f t="shared" si="137"/>
        <v>0</v>
      </c>
      <c r="AG272" s="61">
        <f t="shared" si="138"/>
        <v>0</v>
      </c>
      <c r="AH272" s="58">
        <v>0</v>
      </c>
      <c r="AI272" s="58">
        <v>0</v>
      </c>
      <c r="AJ272" s="61">
        <v>0</v>
      </c>
      <c r="AK272" s="58"/>
      <c r="AL272" s="58"/>
      <c r="AM272" s="61"/>
      <c r="AN272" s="61">
        <f t="shared" si="139"/>
        <v>0</v>
      </c>
      <c r="AO272" s="58">
        <f t="shared" si="140"/>
        <v>0</v>
      </c>
      <c r="AP272" s="61">
        <f t="shared" si="141"/>
        <v>0</v>
      </c>
      <c r="AQ272" s="58">
        <f t="shared" si="142"/>
        <v>0</v>
      </c>
      <c r="AR272" s="58">
        <f t="shared" si="143"/>
        <v>0</v>
      </c>
      <c r="AS272" s="58">
        <f t="shared" si="144"/>
        <v>0</v>
      </c>
      <c r="AT272" s="58">
        <f>ROUND(SUMIF('JUNE (물량흐름)'!$C$13:$C$502,'In-out-bal products (155)(완성제품)'!B272,'JUNE (물량흐름)'!$AB$13:$AB$502),0)</f>
        <v>0</v>
      </c>
      <c r="AU272" s="58">
        <f t="shared" si="145"/>
        <v>0</v>
      </c>
      <c r="AV272" s="58">
        <f>ROUND(SUMIF('JUNE (물량흐름)'!$C$13:$C$502,'In-out-bal products (155)(완성제품)'!B272,'JUNE (물량흐름)'!$AC$13:$AC$502),0)</f>
        <v>0</v>
      </c>
      <c r="AW272" s="58">
        <f t="shared" si="146"/>
        <v>0</v>
      </c>
      <c r="AX272" s="376">
        <f t="shared" si="147"/>
        <v>0</v>
      </c>
      <c r="AY272" s="377">
        <f t="shared" si="148"/>
        <v>0</v>
      </c>
      <c r="AZ272" s="377">
        <f t="shared" si="149"/>
        <v>0</v>
      </c>
      <c r="BA272" s="377">
        <f t="shared" si="150"/>
        <v>0</v>
      </c>
      <c r="BB272" s="377"/>
      <c r="BC272" s="377">
        <f t="shared" si="151"/>
        <v>0</v>
      </c>
      <c r="BD272" s="377">
        <f t="shared" si="152"/>
        <v>0</v>
      </c>
      <c r="BE272" s="377"/>
      <c r="BF272" s="377">
        <f t="shared" si="153"/>
        <v>0</v>
      </c>
      <c r="BG272" s="433">
        <f t="shared" si="154"/>
        <v>0</v>
      </c>
      <c r="BH272" s="434">
        <f t="shared" si="155"/>
        <v>0</v>
      </c>
    </row>
    <row r="273" spans="1:60" s="378" customFormat="1">
      <c r="A273" s="167">
        <v>263</v>
      </c>
      <c r="B273" s="253">
        <f>VLOOKUP(A273,'JUNE (물량흐름)'!$A$13:$C$493,3,0)</f>
        <v>100022985</v>
      </c>
      <c r="C273" s="57" t="str">
        <f>VLOOKUP(A273,'JUNE (물량흐름)'!$A$13:$C$493,2,0)</f>
        <v>ALFANI</v>
      </c>
      <c r="D273" s="58">
        <f>IFERROR(VLOOKUP(B273,O.B.JUNE!$V$7:$Y$448,2,0),0)</f>
        <v>0</v>
      </c>
      <c r="E273" s="58">
        <f>IFERROR(VLOOKUP(B273,O.B.JUNE!$V$7:$X$448,3,0),0)</f>
        <v>0</v>
      </c>
      <c r="F273" s="58">
        <f>IFERROR(VLOOKUP(B273,O.B.JUNE!$V$7:$Y$448,4,0),0)</f>
        <v>0</v>
      </c>
      <c r="G273" s="58">
        <f>SUMIF('JUNE (물량흐름)'!$C$13:$C$493,'In-out-bal products (155)(완성제품)'!B273,'JUNE (물량흐름)'!$V$13:$V$493)</f>
        <v>0</v>
      </c>
      <c r="H273" s="58">
        <f>SUMIF('JUNE (물량흐름)'!$C$13:$C$493,'In-out-bal products (155)(완성제품)'!B273,'JUNE (물량흐름)'!$T$13:$T$493)-SUMIF('JUNE (물량흐름)'!$C$13:$C$493,'In-out-bal products (155)(완성제품)'!B273,'JUNE (물량흐름)'!$Y$13:$Y$493)+SUMIF('JUNE (물량흐름)'!$C$13:$C$493,'In-out-bal products (155)(완성제품)'!B273,'JUNE (물량흐름)'!$U$13:$U$493)</f>
        <v>0</v>
      </c>
      <c r="I273" s="58">
        <f t="shared" si="126"/>
        <v>0</v>
      </c>
      <c r="J273" s="58">
        <f>SUMIF('Direct labour(직접노무비)'!$C$12:$C$503,'In-out-bal products (155)(완성제품)'!B273,'Direct labour(직접노무비)'!$Q$12:$Q$503)</f>
        <v>0</v>
      </c>
      <c r="K273" s="59">
        <f>SUMIF('Overhead exp(제조경비)'!$C$12:$C$503,'In-out-bal products (155)(완성제품)'!B273,'Overhead exp(제조경비)'!$Q$12:$Q$503)</f>
        <v>0</v>
      </c>
      <c r="L273" s="58">
        <f t="shared" si="127"/>
        <v>0</v>
      </c>
      <c r="M273" s="58">
        <f>SUMIF('JUNE (물량흐름)'!$C$13:$C$488,'In-out-bal products (155)(완성제품)'!B273,'JUNE (물량흐름)'!$Y$13:$Y$488)</f>
        <v>0</v>
      </c>
      <c r="N273" s="58">
        <f t="shared" si="128"/>
        <v>0</v>
      </c>
      <c r="O273" s="58">
        <f>SUMIF('Direct labour(직접노무비)'!$C$12:$C$503,'In-out-bal products (155)(완성제품)'!B273,'Direct labour(직접노무비)'!$U$12:$U$503)+SUMIF('Overhead exp(제조경비)'!$C$12:$C$503,'In-out-bal products (155)(완성제품)'!B273,'Overhead exp(제조경비)'!$U$12:$U$503)</f>
        <v>0</v>
      </c>
      <c r="P273" s="60">
        <f t="shared" si="129"/>
        <v>0</v>
      </c>
      <c r="Q273" s="60">
        <f t="shared" si="130"/>
        <v>0</v>
      </c>
      <c r="R273" s="60">
        <f t="shared" si="131"/>
        <v>0</v>
      </c>
      <c r="S273" s="58">
        <v>0</v>
      </c>
      <c r="T273" s="58">
        <v>0</v>
      </c>
      <c r="U273" s="58">
        <v>0</v>
      </c>
      <c r="V273" s="58">
        <f>SUMIF('JUNE (물량흐름)'!$C$13:$C$493,'In-out-bal products (155)(완성제품)'!B273,'JUNE (물량흐름)'!$W$13:$W$493)</f>
        <v>0</v>
      </c>
      <c r="W273" s="58">
        <f t="shared" si="132"/>
        <v>0</v>
      </c>
      <c r="X273" s="58">
        <f t="shared" si="133"/>
        <v>0</v>
      </c>
      <c r="Y273" s="58">
        <f>SUMIF('JUNE (물량흐름)'!$C$13:$C$488,'In-out-bal products (155)(완성제품)'!B273,'JUNE (물량흐름)'!$X$13:$X$488)</f>
        <v>0</v>
      </c>
      <c r="Z273" s="58">
        <f t="shared" si="134"/>
        <v>0</v>
      </c>
      <c r="AA273" s="58">
        <f t="shared" si="135"/>
        <v>0</v>
      </c>
      <c r="AB273" s="58"/>
      <c r="AC273" s="58"/>
      <c r="AD273" s="61"/>
      <c r="AE273" s="58">
        <f t="shared" si="136"/>
        <v>0</v>
      </c>
      <c r="AF273" s="58">
        <f t="shared" si="137"/>
        <v>0</v>
      </c>
      <c r="AG273" s="61">
        <f t="shared" si="138"/>
        <v>0</v>
      </c>
      <c r="AH273" s="58">
        <v>0</v>
      </c>
      <c r="AI273" s="58">
        <v>0</v>
      </c>
      <c r="AJ273" s="61">
        <v>0</v>
      </c>
      <c r="AK273" s="58"/>
      <c r="AL273" s="58"/>
      <c r="AM273" s="61"/>
      <c r="AN273" s="61">
        <f t="shared" si="139"/>
        <v>0</v>
      </c>
      <c r="AO273" s="58">
        <f t="shared" si="140"/>
        <v>0</v>
      </c>
      <c r="AP273" s="61">
        <f t="shared" si="141"/>
        <v>0</v>
      </c>
      <c r="AQ273" s="58">
        <f t="shared" si="142"/>
        <v>0</v>
      </c>
      <c r="AR273" s="58">
        <f t="shared" si="143"/>
        <v>0</v>
      </c>
      <c r="AS273" s="58">
        <f t="shared" si="144"/>
        <v>0</v>
      </c>
      <c r="AT273" s="58">
        <f>ROUND(SUMIF('JUNE (물량흐름)'!$C$13:$C$502,'In-out-bal products (155)(완성제품)'!B273,'JUNE (물량흐름)'!$AB$13:$AB$502),0)</f>
        <v>0</v>
      </c>
      <c r="AU273" s="58">
        <f t="shared" si="145"/>
        <v>0</v>
      </c>
      <c r="AV273" s="58">
        <f>ROUND(SUMIF('JUNE (물량흐름)'!$C$13:$C$502,'In-out-bal products (155)(완성제품)'!B273,'JUNE (물량흐름)'!$AC$13:$AC$502),0)</f>
        <v>0</v>
      </c>
      <c r="AW273" s="58">
        <f t="shared" si="146"/>
        <v>0</v>
      </c>
      <c r="AX273" s="376">
        <f t="shared" si="147"/>
        <v>0</v>
      </c>
      <c r="AY273" s="377">
        <f t="shared" si="148"/>
        <v>0</v>
      </c>
      <c r="AZ273" s="377">
        <f t="shared" si="149"/>
        <v>0</v>
      </c>
      <c r="BA273" s="377">
        <f t="shared" si="150"/>
        <v>0</v>
      </c>
      <c r="BB273" s="377"/>
      <c r="BC273" s="377">
        <f t="shared" si="151"/>
        <v>0</v>
      </c>
      <c r="BD273" s="377">
        <f t="shared" si="152"/>
        <v>0</v>
      </c>
      <c r="BE273" s="377"/>
      <c r="BF273" s="377">
        <f t="shared" si="153"/>
        <v>0</v>
      </c>
      <c r="BG273" s="433">
        <f t="shared" si="154"/>
        <v>0</v>
      </c>
      <c r="BH273" s="434">
        <f t="shared" si="155"/>
        <v>0</v>
      </c>
    </row>
    <row r="274" spans="1:60" s="378" customFormat="1">
      <c r="A274" s="167">
        <v>264</v>
      </c>
      <c r="B274" s="253">
        <f>VLOOKUP(A274,'JUNE (물량흐름)'!$A$13:$C$493,3,0)</f>
        <v>100024114</v>
      </c>
      <c r="C274" s="57" t="str">
        <f>VLOOKUP(A274,'JUNE (물량흐름)'!$A$13:$C$493,2,0)</f>
        <v>ALFANI</v>
      </c>
      <c r="D274" s="58">
        <f>IFERROR(VLOOKUP(B274,O.B.JUNE!$V$7:$Y$448,2,0),0)</f>
        <v>0</v>
      </c>
      <c r="E274" s="58">
        <f>IFERROR(VLOOKUP(B274,O.B.JUNE!$V$7:$X$448,3,0),0)</f>
        <v>0</v>
      </c>
      <c r="F274" s="58">
        <f>IFERROR(VLOOKUP(B274,O.B.JUNE!$V$7:$Y$448,4,0),0)</f>
        <v>0</v>
      </c>
      <c r="G274" s="58">
        <f>SUMIF('JUNE (물량흐름)'!$C$13:$C$493,'In-out-bal products (155)(완성제품)'!B274,'JUNE (물량흐름)'!$V$13:$V$493)</f>
        <v>0</v>
      </c>
      <c r="H274" s="58">
        <f>SUMIF('JUNE (물량흐름)'!$C$13:$C$493,'In-out-bal products (155)(완성제품)'!B274,'JUNE (물량흐름)'!$T$13:$T$493)-SUMIF('JUNE (물량흐름)'!$C$13:$C$493,'In-out-bal products (155)(완성제품)'!B274,'JUNE (물량흐름)'!$Y$13:$Y$493)+SUMIF('JUNE (물량흐름)'!$C$13:$C$493,'In-out-bal products (155)(완성제품)'!B274,'JUNE (물량흐름)'!$U$13:$U$493)</f>
        <v>0</v>
      </c>
      <c r="I274" s="58">
        <f t="shared" si="126"/>
        <v>0</v>
      </c>
      <c r="J274" s="58">
        <f>SUMIF('Direct labour(직접노무비)'!$C$12:$C$503,'In-out-bal products (155)(완성제품)'!B274,'Direct labour(직접노무비)'!$Q$12:$Q$503)</f>
        <v>0</v>
      </c>
      <c r="K274" s="59">
        <f>SUMIF('Overhead exp(제조경비)'!$C$12:$C$503,'In-out-bal products (155)(완성제품)'!B274,'Overhead exp(제조경비)'!$Q$12:$Q$503)</f>
        <v>0</v>
      </c>
      <c r="L274" s="58">
        <f t="shared" si="127"/>
        <v>0</v>
      </c>
      <c r="M274" s="58">
        <f>SUMIF('JUNE (물량흐름)'!$C$13:$C$488,'In-out-bal products (155)(완성제품)'!B274,'JUNE (물량흐름)'!$Y$13:$Y$488)</f>
        <v>0</v>
      </c>
      <c r="N274" s="58">
        <f t="shared" si="128"/>
        <v>0</v>
      </c>
      <c r="O274" s="58">
        <f>SUMIF('Direct labour(직접노무비)'!$C$12:$C$503,'In-out-bal products (155)(완성제품)'!B274,'Direct labour(직접노무비)'!$U$12:$U$503)+SUMIF('Overhead exp(제조경비)'!$C$12:$C$503,'In-out-bal products (155)(완성제품)'!B274,'Overhead exp(제조경비)'!$U$12:$U$503)</f>
        <v>0</v>
      </c>
      <c r="P274" s="60">
        <f t="shared" si="129"/>
        <v>0</v>
      </c>
      <c r="Q274" s="60">
        <f t="shared" si="130"/>
        <v>0</v>
      </c>
      <c r="R274" s="60">
        <f t="shared" si="131"/>
        <v>0</v>
      </c>
      <c r="S274" s="58">
        <v>0</v>
      </c>
      <c r="T274" s="58">
        <v>0</v>
      </c>
      <c r="U274" s="58">
        <v>0</v>
      </c>
      <c r="V274" s="58">
        <f>SUMIF('JUNE (물량흐름)'!$C$13:$C$493,'In-out-bal products (155)(완성제품)'!B274,'JUNE (물량흐름)'!$W$13:$W$493)</f>
        <v>0</v>
      </c>
      <c r="W274" s="58">
        <f t="shared" si="132"/>
        <v>0</v>
      </c>
      <c r="X274" s="58">
        <f t="shared" si="133"/>
        <v>0</v>
      </c>
      <c r="Y274" s="58">
        <f>SUMIF('JUNE (물량흐름)'!$C$13:$C$488,'In-out-bal products (155)(완성제품)'!B274,'JUNE (물량흐름)'!$X$13:$X$488)</f>
        <v>0</v>
      </c>
      <c r="Z274" s="58">
        <f t="shared" si="134"/>
        <v>0</v>
      </c>
      <c r="AA274" s="58">
        <f t="shared" si="135"/>
        <v>0</v>
      </c>
      <c r="AB274" s="58"/>
      <c r="AC274" s="58"/>
      <c r="AD274" s="61"/>
      <c r="AE274" s="58">
        <f t="shared" si="136"/>
        <v>0</v>
      </c>
      <c r="AF274" s="58">
        <f t="shared" si="137"/>
        <v>0</v>
      </c>
      <c r="AG274" s="61">
        <f t="shared" si="138"/>
        <v>0</v>
      </c>
      <c r="AH274" s="58">
        <v>0</v>
      </c>
      <c r="AI274" s="58">
        <v>0</v>
      </c>
      <c r="AJ274" s="61">
        <v>0</v>
      </c>
      <c r="AK274" s="58"/>
      <c r="AL274" s="58"/>
      <c r="AM274" s="61"/>
      <c r="AN274" s="61">
        <f t="shared" si="139"/>
        <v>0</v>
      </c>
      <c r="AO274" s="58">
        <f t="shared" si="140"/>
        <v>0</v>
      </c>
      <c r="AP274" s="61">
        <f t="shared" si="141"/>
        <v>0</v>
      </c>
      <c r="AQ274" s="58">
        <f t="shared" si="142"/>
        <v>0</v>
      </c>
      <c r="AR274" s="58">
        <f t="shared" si="143"/>
        <v>0</v>
      </c>
      <c r="AS274" s="58">
        <f t="shared" si="144"/>
        <v>0</v>
      </c>
      <c r="AT274" s="58">
        <f>ROUND(SUMIF('JUNE (물량흐름)'!$C$13:$C$502,'In-out-bal products (155)(완성제품)'!B274,'JUNE (물량흐름)'!$AB$13:$AB$502),0)</f>
        <v>0</v>
      </c>
      <c r="AU274" s="58">
        <f t="shared" si="145"/>
        <v>0</v>
      </c>
      <c r="AV274" s="58">
        <f>ROUND(SUMIF('JUNE (물량흐름)'!$C$13:$C$502,'In-out-bal products (155)(완성제품)'!B274,'JUNE (물량흐름)'!$AC$13:$AC$502),0)</f>
        <v>0</v>
      </c>
      <c r="AW274" s="58">
        <f t="shared" si="146"/>
        <v>0</v>
      </c>
      <c r="AX274" s="376">
        <f t="shared" si="147"/>
        <v>0</v>
      </c>
      <c r="AY274" s="377">
        <f t="shared" si="148"/>
        <v>0</v>
      </c>
      <c r="AZ274" s="377">
        <f t="shared" si="149"/>
        <v>0</v>
      </c>
      <c r="BA274" s="377">
        <f t="shared" si="150"/>
        <v>0</v>
      </c>
      <c r="BB274" s="377"/>
      <c r="BC274" s="377">
        <f t="shared" si="151"/>
        <v>0</v>
      </c>
      <c r="BD274" s="377">
        <f t="shared" si="152"/>
        <v>0</v>
      </c>
      <c r="BE274" s="377"/>
      <c r="BF274" s="377">
        <f t="shared" si="153"/>
        <v>0</v>
      </c>
      <c r="BG274" s="433">
        <f t="shared" si="154"/>
        <v>0</v>
      </c>
      <c r="BH274" s="434">
        <f t="shared" si="155"/>
        <v>0</v>
      </c>
    </row>
    <row r="275" spans="1:60" s="378" customFormat="1">
      <c r="A275" s="167">
        <v>266</v>
      </c>
      <c r="B275" s="253">
        <f>VLOOKUP(A275,'JUNE (물량흐름)'!$A$13:$C$493,3,0)</f>
        <v>100021859</v>
      </c>
      <c r="C275" s="57" t="str">
        <f>VLOOKUP(A275,'JUNE (물량흐름)'!$A$13:$C$493,2,0)</f>
        <v>ALFANI</v>
      </c>
      <c r="D275" s="58">
        <f>IFERROR(VLOOKUP(B275,O.B.JUNE!$V$7:$Y$448,2,0),0)</f>
        <v>0</v>
      </c>
      <c r="E275" s="58">
        <f>IFERROR(VLOOKUP(B275,O.B.JUNE!$V$7:$X$448,3,0),0)</f>
        <v>0</v>
      </c>
      <c r="F275" s="58">
        <f>IFERROR(VLOOKUP(B275,O.B.JUNE!$V$7:$Y$448,4,0),0)</f>
        <v>0</v>
      </c>
      <c r="G275" s="58">
        <f>SUMIF('JUNE (물량흐름)'!$C$13:$C$493,'In-out-bal products (155)(완성제품)'!B275,'JUNE (물량흐름)'!$V$13:$V$493)</f>
        <v>0</v>
      </c>
      <c r="H275" s="58">
        <f>SUMIF('JUNE (물량흐름)'!$C$13:$C$493,'In-out-bal products (155)(완성제품)'!B275,'JUNE (물량흐름)'!$T$13:$T$493)-SUMIF('JUNE (물량흐름)'!$C$13:$C$493,'In-out-bal products (155)(완성제품)'!B275,'JUNE (물량흐름)'!$Y$13:$Y$493)+SUMIF('JUNE (물량흐름)'!$C$13:$C$493,'In-out-bal products (155)(완성제품)'!B275,'JUNE (물량흐름)'!$U$13:$U$493)</f>
        <v>0</v>
      </c>
      <c r="I275" s="58">
        <f t="shared" si="126"/>
        <v>0</v>
      </c>
      <c r="J275" s="58">
        <f>SUMIF('Direct labour(직접노무비)'!$C$12:$C$503,'In-out-bal products (155)(완성제품)'!B275,'Direct labour(직접노무비)'!$Q$12:$Q$503)</f>
        <v>0</v>
      </c>
      <c r="K275" s="59">
        <f>SUMIF('Overhead exp(제조경비)'!$C$12:$C$503,'In-out-bal products (155)(완성제품)'!B275,'Overhead exp(제조경비)'!$Q$12:$Q$503)</f>
        <v>0</v>
      </c>
      <c r="L275" s="58">
        <f t="shared" si="127"/>
        <v>0</v>
      </c>
      <c r="M275" s="58">
        <f>SUMIF('JUNE (물량흐름)'!$C$13:$C$488,'In-out-bal products (155)(완성제품)'!B275,'JUNE (물량흐름)'!$Y$13:$Y$488)</f>
        <v>0</v>
      </c>
      <c r="N275" s="58">
        <f t="shared" si="128"/>
        <v>0</v>
      </c>
      <c r="O275" s="58">
        <f>SUMIF('Direct labour(직접노무비)'!$C$12:$C$503,'In-out-bal products (155)(완성제품)'!B275,'Direct labour(직접노무비)'!$U$12:$U$503)+SUMIF('Overhead exp(제조경비)'!$C$12:$C$503,'In-out-bal products (155)(완성제품)'!B275,'Overhead exp(제조경비)'!$U$12:$U$503)</f>
        <v>0</v>
      </c>
      <c r="P275" s="60">
        <f t="shared" si="129"/>
        <v>0</v>
      </c>
      <c r="Q275" s="60">
        <f t="shared" si="130"/>
        <v>0</v>
      </c>
      <c r="R275" s="60">
        <f t="shared" si="131"/>
        <v>0</v>
      </c>
      <c r="S275" s="58">
        <v>0</v>
      </c>
      <c r="T275" s="58">
        <v>0</v>
      </c>
      <c r="U275" s="58">
        <v>0</v>
      </c>
      <c r="V275" s="58">
        <f>SUMIF('JUNE (물량흐름)'!$C$13:$C$493,'In-out-bal products (155)(완성제품)'!B275,'JUNE (물량흐름)'!$W$13:$W$493)</f>
        <v>0</v>
      </c>
      <c r="W275" s="58">
        <f t="shared" si="132"/>
        <v>0</v>
      </c>
      <c r="X275" s="58">
        <f t="shared" si="133"/>
        <v>0</v>
      </c>
      <c r="Y275" s="58">
        <f>SUMIF('JUNE (물량흐름)'!$C$13:$C$488,'In-out-bal products (155)(완성제품)'!B275,'JUNE (물량흐름)'!$X$13:$X$488)</f>
        <v>0</v>
      </c>
      <c r="Z275" s="58">
        <f t="shared" si="134"/>
        <v>0</v>
      </c>
      <c r="AA275" s="58">
        <f t="shared" si="135"/>
        <v>0</v>
      </c>
      <c r="AB275" s="58"/>
      <c r="AC275" s="58"/>
      <c r="AD275" s="61"/>
      <c r="AE275" s="58">
        <f t="shared" si="136"/>
        <v>0</v>
      </c>
      <c r="AF275" s="58">
        <f t="shared" si="137"/>
        <v>0</v>
      </c>
      <c r="AG275" s="61">
        <f t="shared" si="138"/>
        <v>0</v>
      </c>
      <c r="AH275" s="58">
        <v>0</v>
      </c>
      <c r="AI275" s="58">
        <v>0</v>
      </c>
      <c r="AJ275" s="61">
        <v>0</v>
      </c>
      <c r="AK275" s="58"/>
      <c r="AL275" s="58"/>
      <c r="AM275" s="61"/>
      <c r="AN275" s="61">
        <f t="shared" si="139"/>
        <v>0</v>
      </c>
      <c r="AO275" s="58">
        <f t="shared" si="140"/>
        <v>0</v>
      </c>
      <c r="AP275" s="61">
        <f t="shared" si="141"/>
        <v>0</v>
      </c>
      <c r="AQ275" s="58">
        <f t="shared" si="142"/>
        <v>0</v>
      </c>
      <c r="AR275" s="58">
        <f t="shared" si="143"/>
        <v>0</v>
      </c>
      <c r="AS275" s="58">
        <f t="shared" si="144"/>
        <v>0</v>
      </c>
      <c r="AT275" s="58">
        <f>ROUND(SUMIF('JUNE (물량흐름)'!$C$13:$C$502,'In-out-bal products (155)(완성제품)'!B275,'JUNE (물량흐름)'!$AB$13:$AB$502),0)</f>
        <v>0</v>
      </c>
      <c r="AU275" s="58">
        <f t="shared" si="145"/>
        <v>0</v>
      </c>
      <c r="AV275" s="58">
        <f>ROUND(SUMIF('JUNE (물량흐름)'!$C$13:$C$502,'In-out-bal products (155)(완성제품)'!B275,'JUNE (물량흐름)'!$AC$13:$AC$502),0)</f>
        <v>0</v>
      </c>
      <c r="AW275" s="58">
        <f t="shared" si="146"/>
        <v>0</v>
      </c>
      <c r="AX275" s="376">
        <f t="shared" si="147"/>
        <v>0</v>
      </c>
      <c r="AY275" s="377">
        <f t="shared" si="148"/>
        <v>0</v>
      </c>
      <c r="AZ275" s="377">
        <f t="shared" si="149"/>
        <v>0</v>
      </c>
      <c r="BA275" s="377">
        <f t="shared" si="150"/>
        <v>0</v>
      </c>
      <c r="BB275" s="377"/>
      <c r="BC275" s="377">
        <f t="shared" si="151"/>
        <v>0</v>
      </c>
      <c r="BD275" s="377">
        <f t="shared" si="152"/>
        <v>0</v>
      </c>
      <c r="BE275" s="377"/>
      <c r="BF275" s="377">
        <f t="shared" si="153"/>
        <v>0</v>
      </c>
      <c r="BG275" s="433">
        <f t="shared" si="154"/>
        <v>0</v>
      </c>
      <c r="BH275" s="434">
        <f t="shared" si="155"/>
        <v>0</v>
      </c>
    </row>
    <row r="276" spans="1:60" s="378" customFormat="1">
      <c r="A276" s="167">
        <v>268</v>
      </c>
      <c r="B276" s="253">
        <f>VLOOKUP(A276,'JUNE (물량흐름)'!$A$13:$C$493,3,0)</f>
        <v>182034355</v>
      </c>
      <c r="C276" s="57" t="str">
        <f>VLOOKUP(A276,'JUNE (물량흐름)'!$A$13:$C$493,2,0)</f>
        <v>TALBOTS</v>
      </c>
      <c r="D276" s="58">
        <f>IFERROR(VLOOKUP(B276,O.B.JUNE!$V$7:$Y$448,2,0),0)</f>
        <v>0</v>
      </c>
      <c r="E276" s="58">
        <f>IFERROR(VLOOKUP(B276,O.B.JUNE!$V$7:$X$448,3,0),0)</f>
        <v>0</v>
      </c>
      <c r="F276" s="58">
        <f>IFERROR(VLOOKUP(B276,O.B.JUNE!$V$7:$Y$448,4,0),0)</f>
        <v>0</v>
      </c>
      <c r="G276" s="58">
        <f>SUMIF('JUNE (물량흐름)'!$C$13:$C$493,'In-out-bal products (155)(완성제품)'!B276,'JUNE (물량흐름)'!$V$13:$V$493)</f>
        <v>0</v>
      </c>
      <c r="H276" s="58">
        <f>SUMIF('JUNE (물량흐름)'!$C$13:$C$493,'In-out-bal products (155)(완성제품)'!B276,'JUNE (물량흐름)'!$T$13:$T$493)-SUMIF('JUNE (물량흐름)'!$C$13:$C$493,'In-out-bal products (155)(완성제품)'!B276,'JUNE (물량흐름)'!$Y$13:$Y$493)+SUMIF('JUNE (물량흐름)'!$C$13:$C$493,'In-out-bal products (155)(완성제품)'!B276,'JUNE (물량흐름)'!$U$13:$U$493)</f>
        <v>0</v>
      </c>
      <c r="I276" s="58">
        <f t="shared" si="126"/>
        <v>0</v>
      </c>
      <c r="J276" s="58">
        <f>SUMIF('Direct labour(직접노무비)'!$C$12:$C$503,'In-out-bal products (155)(완성제품)'!B276,'Direct labour(직접노무비)'!$Q$12:$Q$503)</f>
        <v>0</v>
      </c>
      <c r="K276" s="59">
        <f>SUMIF('Overhead exp(제조경비)'!$C$12:$C$503,'In-out-bal products (155)(완성제품)'!B276,'Overhead exp(제조경비)'!$Q$12:$Q$503)</f>
        <v>0</v>
      </c>
      <c r="L276" s="58">
        <f t="shared" si="127"/>
        <v>0</v>
      </c>
      <c r="M276" s="58">
        <f>SUMIF('JUNE (물량흐름)'!$C$13:$C$488,'In-out-bal products (155)(완성제품)'!B276,'JUNE (물량흐름)'!$Y$13:$Y$488)</f>
        <v>0</v>
      </c>
      <c r="N276" s="58">
        <f t="shared" si="128"/>
        <v>0</v>
      </c>
      <c r="O276" s="58">
        <f>SUMIF('Direct labour(직접노무비)'!$C$12:$C$503,'In-out-bal products (155)(완성제품)'!B276,'Direct labour(직접노무비)'!$U$12:$U$503)+SUMIF('Overhead exp(제조경비)'!$C$12:$C$503,'In-out-bal products (155)(완성제품)'!B276,'Overhead exp(제조경비)'!$U$12:$U$503)</f>
        <v>0</v>
      </c>
      <c r="P276" s="60">
        <f t="shared" si="129"/>
        <v>0</v>
      </c>
      <c r="Q276" s="60">
        <f t="shared" si="130"/>
        <v>0</v>
      </c>
      <c r="R276" s="60">
        <f t="shared" si="131"/>
        <v>0</v>
      </c>
      <c r="S276" s="58">
        <v>0</v>
      </c>
      <c r="T276" s="58">
        <v>0</v>
      </c>
      <c r="U276" s="58">
        <v>0</v>
      </c>
      <c r="V276" s="58">
        <f>SUMIF('JUNE (물량흐름)'!$C$13:$C$493,'In-out-bal products (155)(완성제품)'!B276,'JUNE (물량흐름)'!$W$13:$W$493)</f>
        <v>0</v>
      </c>
      <c r="W276" s="58">
        <f t="shared" si="132"/>
        <v>0</v>
      </c>
      <c r="X276" s="58">
        <f t="shared" si="133"/>
        <v>0</v>
      </c>
      <c r="Y276" s="58">
        <f>SUMIF('JUNE (물량흐름)'!$C$13:$C$488,'In-out-bal products (155)(완성제품)'!B276,'JUNE (물량흐름)'!$X$13:$X$488)</f>
        <v>0</v>
      </c>
      <c r="Z276" s="58">
        <f t="shared" si="134"/>
        <v>0</v>
      </c>
      <c r="AA276" s="58">
        <f t="shared" si="135"/>
        <v>0</v>
      </c>
      <c r="AB276" s="58"/>
      <c r="AC276" s="58"/>
      <c r="AD276" s="61"/>
      <c r="AE276" s="58">
        <f t="shared" si="136"/>
        <v>0</v>
      </c>
      <c r="AF276" s="58">
        <f t="shared" si="137"/>
        <v>0</v>
      </c>
      <c r="AG276" s="61">
        <f t="shared" si="138"/>
        <v>0</v>
      </c>
      <c r="AH276" s="58">
        <v>0</v>
      </c>
      <c r="AI276" s="58">
        <v>0</v>
      </c>
      <c r="AJ276" s="61">
        <v>0</v>
      </c>
      <c r="AK276" s="58"/>
      <c r="AL276" s="58"/>
      <c r="AM276" s="61"/>
      <c r="AN276" s="61">
        <f t="shared" si="139"/>
        <v>0</v>
      </c>
      <c r="AO276" s="58">
        <f t="shared" si="140"/>
        <v>0</v>
      </c>
      <c r="AP276" s="61">
        <f t="shared" si="141"/>
        <v>0</v>
      </c>
      <c r="AQ276" s="58">
        <f t="shared" si="142"/>
        <v>0</v>
      </c>
      <c r="AR276" s="58">
        <f t="shared" si="143"/>
        <v>0</v>
      </c>
      <c r="AS276" s="58">
        <f t="shared" si="144"/>
        <v>0</v>
      </c>
      <c r="AT276" s="58">
        <f>ROUND(SUMIF('JUNE (물량흐름)'!$C$13:$C$502,'In-out-bal products (155)(완성제품)'!B276,'JUNE (물량흐름)'!$AB$13:$AB$502),0)</f>
        <v>0</v>
      </c>
      <c r="AU276" s="58">
        <f t="shared" si="145"/>
        <v>0</v>
      </c>
      <c r="AV276" s="58">
        <f>ROUND(SUMIF('JUNE (물량흐름)'!$C$13:$C$502,'In-out-bal products (155)(완성제품)'!B276,'JUNE (물량흐름)'!$AC$13:$AC$502),0)</f>
        <v>0</v>
      </c>
      <c r="AW276" s="58">
        <f t="shared" si="146"/>
        <v>0</v>
      </c>
      <c r="AX276" s="376">
        <f t="shared" si="147"/>
        <v>0</v>
      </c>
      <c r="AY276" s="377">
        <f t="shared" si="148"/>
        <v>0</v>
      </c>
      <c r="AZ276" s="377">
        <f t="shared" si="149"/>
        <v>0</v>
      </c>
      <c r="BA276" s="377">
        <f t="shared" si="150"/>
        <v>0</v>
      </c>
      <c r="BB276" s="377"/>
      <c r="BC276" s="377">
        <f t="shared" si="151"/>
        <v>0</v>
      </c>
      <c r="BD276" s="377">
        <f t="shared" si="152"/>
        <v>0</v>
      </c>
      <c r="BE276" s="377"/>
      <c r="BF276" s="377">
        <f t="shared" si="153"/>
        <v>0</v>
      </c>
      <c r="BG276" s="433">
        <f t="shared" si="154"/>
        <v>0</v>
      </c>
      <c r="BH276" s="434">
        <f t="shared" si="155"/>
        <v>0</v>
      </c>
    </row>
    <row r="277" spans="1:60" s="378" customFormat="1">
      <c r="A277" s="167">
        <v>269</v>
      </c>
      <c r="B277" s="253">
        <f>VLOOKUP(A277,'JUNE (물량흐름)'!$A$13:$C$493,3,0)</f>
        <v>182034365</v>
      </c>
      <c r="C277" s="57" t="str">
        <f>VLOOKUP(A277,'JUNE (물량흐름)'!$A$13:$C$493,2,0)</f>
        <v>TALBOTS</v>
      </c>
      <c r="D277" s="58">
        <f>IFERROR(VLOOKUP(B277,O.B.JUNE!$V$7:$Y$448,2,0),0)</f>
        <v>0</v>
      </c>
      <c r="E277" s="58">
        <f>IFERROR(VLOOKUP(B277,O.B.JUNE!$V$7:$X$448,3,0),0)</f>
        <v>0</v>
      </c>
      <c r="F277" s="58">
        <f>IFERROR(VLOOKUP(B277,O.B.JUNE!$V$7:$Y$448,4,0),0)</f>
        <v>0</v>
      </c>
      <c r="G277" s="58">
        <f>SUMIF('JUNE (물량흐름)'!$C$13:$C$493,'In-out-bal products (155)(완성제품)'!B277,'JUNE (물량흐름)'!$V$13:$V$493)</f>
        <v>0</v>
      </c>
      <c r="H277" s="58">
        <f>SUMIF('JUNE (물량흐름)'!$C$13:$C$493,'In-out-bal products (155)(완성제품)'!B277,'JUNE (물량흐름)'!$T$13:$T$493)-SUMIF('JUNE (물량흐름)'!$C$13:$C$493,'In-out-bal products (155)(완성제품)'!B277,'JUNE (물량흐름)'!$Y$13:$Y$493)+SUMIF('JUNE (물량흐름)'!$C$13:$C$493,'In-out-bal products (155)(완성제품)'!B277,'JUNE (물량흐름)'!$U$13:$U$493)</f>
        <v>0</v>
      </c>
      <c r="I277" s="58">
        <f t="shared" si="126"/>
        <v>0</v>
      </c>
      <c r="J277" s="58">
        <f>SUMIF('Direct labour(직접노무비)'!$C$12:$C$503,'In-out-bal products (155)(완성제품)'!B277,'Direct labour(직접노무비)'!$Q$12:$Q$503)</f>
        <v>0</v>
      </c>
      <c r="K277" s="59">
        <f>SUMIF('Overhead exp(제조경비)'!$C$12:$C$503,'In-out-bal products (155)(완성제품)'!B277,'Overhead exp(제조경비)'!$Q$12:$Q$503)</f>
        <v>0</v>
      </c>
      <c r="L277" s="58">
        <f t="shared" si="127"/>
        <v>0</v>
      </c>
      <c r="M277" s="58">
        <f>SUMIF('JUNE (물량흐름)'!$C$13:$C$488,'In-out-bal products (155)(완성제품)'!B277,'JUNE (물량흐름)'!$Y$13:$Y$488)</f>
        <v>0</v>
      </c>
      <c r="N277" s="58">
        <f t="shared" si="128"/>
        <v>0</v>
      </c>
      <c r="O277" s="58">
        <f>SUMIF('Direct labour(직접노무비)'!$C$12:$C$503,'In-out-bal products (155)(완성제품)'!B277,'Direct labour(직접노무비)'!$U$12:$U$503)+SUMIF('Overhead exp(제조경비)'!$C$12:$C$503,'In-out-bal products (155)(완성제품)'!B277,'Overhead exp(제조경비)'!$U$12:$U$503)</f>
        <v>0</v>
      </c>
      <c r="P277" s="60">
        <f t="shared" si="129"/>
        <v>0</v>
      </c>
      <c r="Q277" s="60">
        <f t="shared" si="130"/>
        <v>0</v>
      </c>
      <c r="R277" s="60">
        <f t="shared" si="131"/>
        <v>0</v>
      </c>
      <c r="S277" s="58">
        <v>0</v>
      </c>
      <c r="T277" s="58">
        <v>0</v>
      </c>
      <c r="U277" s="58">
        <v>0</v>
      </c>
      <c r="V277" s="58">
        <f>SUMIF('JUNE (물량흐름)'!$C$13:$C$493,'In-out-bal products (155)(완성제품)'!B277,'JUNE (물량흐름)'!$W$13:$W$493)</f>
        <v>0</v>
      </c>
      <c r="W277" s="58">
        <f t="shared" si="132"/>
        <v>0</v>
      </c>
      <c r="X277" s="58">
        <f t="shared" si="133"/>
        <v>0</v>
      </c>
      <c r="Y277" s="58">
        <f>SUMIF('JUNE (물량흐름)'!$C$13:$C$488,'In-out-bal products (155)(완성제품)'!B277,'JUNE (물량흐름)'!$X$13:$X$488)</f>
        <v>0</v>
      </c>
      <c r="Z277" s="58">
        <f t="shared" si="134"/>
        <v>0</v>
      </c>
      <c r="AA277" s="58">
        <f t="shared" si="135"/>
        <v>0</v>
      </c>
      <c r="AB277" s="58"/>
      <c r="AC277" s="58"/>
      <c r="AD277" s="61"/>
      <c r="AE277" s="58">
        <f t="shared" si="136"/>
        <v>0</v>
      </c>
      <c r="AF277" s="58">
        <f t="shared" si="137"/>
        <v>0</v>
      </c>
      <c r="AG277" s="61">
        <f t="shared" si="138"/>
        <v>0</v>
      </c>
      <c r="AH277" s="58">
        <v>0</v>
      </c>
      <c r="AI277" s="58">
        <v>0</v>
      </c>
      <c r="AJ277" s="61">
        <v>0</v>
      </c>
      <c r="AK277" s="58"/>
      <c r="AL277" s="58"/>
      <c r="AM277" s="61"/>
      <c r="AN277" s="61">
        <f t="shared" si="139"/>
        <v>0</v>
      </c>
      <c r="AO277" s="58">
        <f t="shared" si="140"/>
        <v>0</v>
      </c>
      <c r="AP277" s="61">
        <f t="shared" si="141"/>
        <v>0</v>
      </c>
      <c r="AQ277" s="58">
        <f t="shared" si="142"/>
        <v>0</v>
      </c>
      <c r="AR277" s="58">
        <f t="shared" si="143"/>
        <v>0</v>
      </c>
      <c r="AS277" s="58">
        <f t="shared" si="144"/>
        <v>0</v>
      </c>
      <c r="AT277" s="58">
        <f>ROUND(SUMIF('JUNE (물량흐름)'!$C$13:$C$502,'In-out-bal products (155)(완성제품)'!B277,'JUNE (물량흐름)'!$AB$13:$AB$502),0)</f>
        <v>0</v>
      </c>
      <c r="AU277" s="58">
        <f t="shared" si="145"/>
        <v>0</v>
      </c>
      <c r="AV277" s="58">
        <f>ROUND(SUMIF('JUNE (물량흐름)'!$C$13:$C$502,'In-out-bal products (155)(완성제품)'!B277,'JUNE (물량흐름)'!$AC$13:$AC$502),0)</f>
        <v>0</v>
      </c>
      <c r="AW277" s="58">
        <f t="shared" si="146"/>
        <v>0</v>
      </c>
      <c r="AX277" s="376">
        <f t="shared" si="147"/>
        <v>0</v>
      </c>
      <c r="AY277" s="377">
        <f t="shared" si="148"/>
        <v>0</v>
      </c>
      <c r="AZ277" s="377">
        <f t="shared" si="149"/>
        <v>0</v>
      </c>
      <c r="BA277" s="377">
        <f t="shared" si="150"/>
        <v>0</v>
      </c>
      <c r="BB277" s="377"/>
      <c r="BC277" s="377">
        <f t="shared" si="151"/>
        <v>0</v>
      </c>
      <c r="BD277" s="377">
        <f t="shared" si="152"/>
        <v>0</v>
      </c>
      <c r="BE277" s="377"/>
      <c r="BF277" s="377">
        <f t="shared" si="153"/>
        <v>0</v>
      </c>
      <c r="BG277" s="433">
        <f t="shared" si="154"/>
        <v>0</v>
      </c>
      <c r="BH277" s="434">
        <f t="shared" si="155"/>
        <v>0</v>
      </c>
    </row>
    <row r="278" spans="1:60" s="378" customFormat="1">
      <c r="A278" s="167">
        <v>270</v>
      </c>
      <c r="B278" s="253">
        <f>VLOOKUP(A278,'JUNE (물량흐름)'!$A$13:$C$493,3,0)</f>
        <v>463036</v>
      </c>
      <c r="C278" s="57" t="str">
        <f>VLOOKUP(A278,'JUNE (물량흐름)'!$A$13:$C$493,2,0)</f>
        <v>ANN TAYLOR</v>
      </c>
      <c r="D278" s="58">
        <f>IFERROR(VLOOKUP(B278,O.B.JUNE!$V$7:$Y$448,2,0),0)</f>
        <v>0</v>
      </c>
      <c r="E278" s="58">
        <f>IFERROR(VLOOKUP(B278,O.B.JUNE!$V$7:$X$448,3,0),0)</f>
        <v>0</v>
      </c>
      <c r="F278" s="58">
        <f>IFERROR(VLOOKUP(B278,O.B.JUNE!$V$7:$Y$448,4,0),0)</f>
        <v>0</v>
      </c>
      <c r="G278" s="58">
        <f>SUMIF('JUNE (물량흐름)'!$C$13:$C$493,'In-out-bal products (155)(완성제품)'!B278,'JUNE (물량흐름)'!$V$13:$V$493)</f>
        <v>0</v>
      </c>
      <c r="H278" s="58">
        <f>SUMIF('JUNE (물량흐름)'!$C$13:$C$493,'In-out-bal products (155)(완성제품)'!B278,'JUNE (물량흐름)'!$T$13:$T$493)-SUMIF('JUNE (물량흐름)'!$C$13:$C$493,'In-out-bal products (155)(완성제품)'!B278,'JUNE (물량흐름)'!$Y$13:$Y$493)+SUMIF('JUNE (물량흐름)'!$C$13:$C$493,'In-out-bal products (155)(완성제품)'!B278,'JUNE (물량흐름)'!$U$13:$U$493)</f>
        <v>0</v>
      </c>
      <c r="I278" s="58">
        <f t="shared" si="126"/>
        <v>0</v>
      </c>
      <c r="J278" s="58">
        <f>SUMIF('Direct labour(직접노무비)'!$C$12:$C$503,'In-out-bal products (155)(완성제품)'!B278,'Direct labour(직접노무비)'!$Q$12:$Q$503)</f>
        <v>0</v>
      </c>
      <c r="K278" s="59">
        <f>SUMIF('Overhead exp(제조경비)'!$C$12:$C$503,'In-out-bal products (155)(완성제품)'!B278,'Overhead exp(제조경비)'!$Q$12:$Q$503)</f>
        <v>0</v>
      </c>
      <c r="L278" s="58">
        <f t="shared" si="127"/>
        <v>0</v>
      </c>
      <c r="M278" s="58">
        <f>SUMIF('JUNE (물량흐름)'!$C$13:$C$488,'In-out-bal products (155)(완성제품)'!B278,'JUNE (물량흐름)'!$Y$13:$Y$488)</f>
        <v>0</v>
      </c>
      <c r="N278" s="58">
        <f t="shared" si="128"/>
        <v>0</v>
      </c>
      <c r="O278" s="58">
        <f>SUMIF('Direct labour(직접노무비)'!$C$12:$C$503,'In-out-bal products (155)(완성제품)'!B278,'Direct labour(직접노무비)'!$U$12:$U$503)+SUMIF('Overhead exp(제조경비)'!$C$12:$C$503,'In-out-bal products (155)(완성제품)'!B278,'Overhead exp(제조경비)'!$U$12:$U$503)</f>
        <v>0</v>
      </c>
      <c r="P278" s="60">
        <f t="shared" si="129"/>
        <v>0</v>
      </c>
      <c r="Q278" s="60">
        <f t="shared" si="130"/>
        <v>0</v>
      </c>
      <c r="R278" s="60">
        <f t="shared" si="131"/>
        <v>0</v>
      </c>
      <c r="S278" s="58">
        <v>0</v>
      </c>
      <c r="T278" s="58">
        <v>0</v>
      </c>
      <c r="U278" s="58">
        <v>0</v>
      </c>
      <c r="V278" s="58">
        <f>SUMIF('JUNE (물량흐름)'!$C$13:$C$493,'In-out-bal products (155)(완성제품)'!B278,'JUNE (물량흐름)'!$W$13:$W$493)</f>
        <v>0</v>
      </c>
      <c r="W278" s="58">
        <f t="shared" si="132"/>
        <v>0</v>
      </c>
      <c r="X278" s="58">
        <f t="shared" si="133"/>
        <v>0</v>
      </c>
      <c r="Y278" s="58">
        <f>SUMIF('JUNE (물량흐름)'!$C$13:$C$488,'In-out-bal products (155)(완성제품)'!B278,'JUNE (물량흐름)'!$X$13:$X$488)</f>
        <v>0</v>
      </c>
      <c r="Z278" s="58">
        <f t="shared" si="134"/>
        <v>0</v>
      </c>
      <c r="AA278" s="58">
        <f t="shared" si="135"/>
        <v>0</v>
      </c>
      <c r="AB278" s="58"/>
      <c r="AC278" s="58"/>
      <c r="AD278" s="61"/>
      <c r="AE278" s="58">
        <f t="shared" si="136"/>
        <v>0</v>
      </c>
      <c r="AF278" s="58">
        <f t="shared" si="137"/>
        <v>0</v>
      </c>
      <c r="AG278" s="61">
        <f t="shared" si="138"/>
        <v>0</v>
      </c>
      <c r="AH278" s="58">
        <v>0</v>
      </c>
      <c r="AI278" s="58">
        <v>0</v>
      </c>
      <c r="AJ278" s="61">
        <v>0</v>
      </c>
      <c r="AK278" s="58"/>
      <c r="AL278" s="58"/>
      <c r="AM278" s="61"/>
      <c r="AN278" s="61">
        <f t="shared" si="139"/>
        <v>0</v>
      </c>
      <c r="AO278" s="58">
        <f t="shared" si="140"/>
        <v>0</v>
      </c>
      <c r="AP278" s="61">
        <f t="shared" si="141"/>
        <v>0</v>
      </c>
      <c r="AQ278" s="58">
        <f t="shared" si="142"/>
        <v>0</v>
      </c>
      <c r="AR278" s="58">
        <f t="shared" si="143"/>
        <v>0</v>
      </c>
      <c r="AS278" s="58">
        <f t="shared" si="144"/>
        <v>0</v>
      </c>
      <c r="AT278" s="58">
        <f>ROUND(SUMIF('JUNE (물량흐름)'!$C$13:$C$502,'In-out-bal products (155)(완성제품)'!B278,'JUNE (물량흐름)'!$AB$13:$AB$502),0)</f>
        <v>0</v>
      </c>
      <c r="AU278" s="58">
        <f t="shared" si="145"/>
        <v>0</v>
      </c>
      <c r="AV278" s="58">
        <f>ROUND(SUMIF('JUNE (물량흐름)'!$C$13:$C$502,'In-out-bal products (155)(완성제품)'!B278,'JUNE (물량흐름)'!$AC$13:$AC$502),0)</f>
        <v>0</v>
      </c>
      <c r="AW278" s="58">
        <f t="shared" si="146"/>
        <v>0</v>
      </c>
      <c r="AX278" s="376">
        <f t="shared" si="147"/>
        <v>0</v>
      </c>
      <c r="AY278" s="377">
        <f t="shared" si="148"/>
        <v>0</v>
      </c>
      <c r="AZ278" s="377">
        <f t="shared" si="149"/>
        <v>0</v>
      </c>
      <c r="BA278" s="377">
        <f t="shared" si="150"/>
        <v>0</v>
      </c>
      <c r="BB278" s="377"/>
      <c r="BC278" s="377">
        <f t="shared" si="151"/>
        <v>0</v>
      </c>
      <c r="BD278" s="377">
        <f t="shared" si="152"/>
        <v>0</v>
      </c>
      <c r="BE278" s="377"/>
      <c r="BF278" s="377">
        <f t="shared" si="153"/>
        <v>0</v>
      </c>
      <c r="BG278" s="433">
        <f t="shared" si="154"/>
        <v>0</v>
      </c>
      <c r="BH278" s="434">
        <f t="shared" si="155"/>
        <v>0</v>
      </c>
    </row>
    <row r="279" spans="1:60" s="378" customFormat="1">
      <c r="A279" s="167">
        <v>271</v>
      </c>
      <c r="B279" s="253">
        <f>VLOOKUP(A279,'JUNE (물량흐름)'!$A$13:$C$493,3,0)</f>
        <v>468543</v>
      </c>
      <c r="C279" s="57" t="str">
        <f>VLOOKUP(A279,'JUNE (물량흐름)'!$A$13:$C$493,2,0)</f>
        <v>ANN TAYLOR</v>
      </c>
      <c r="D279" s="58">
        <f>IFERROR(VLOOKUP(B279,O.B.JUNE!$V$7:$Y$448,2,0),0)</f>
        <v>0</v>
      </c>
      <c r="E279" s="58">
        <f>IFERROR(VLOOKUP(B279,O.B.JUNE!$V$7:$X$448,3,0),0)</f>
        <v>0</v>
      </c>
      <c r="F279" s="58">
        <f>IFERROR(VLOOKUP(B279,O.B.JUNE!$V$7:$Y$448,4,0),0)</f>
        <v>0</v>
      </c>
      <c r="G279" s="58">
        <f>SUMIF('JUNE (물량흐름)'!$C$13:$C$493,'In-out-bal products (155)(완성제품)'!B279,'JUNE (물량흐름)'!$V$13:$V$493)</f>
        <v>0</v>
      </c>
      <c r="H279" s="58">
        <f>SUMIF('JUNE (물량흐름)'!$C$13:$C$493,'In-out-bal products (155)(완성제품)'!B279,'JUNE (물량흐름)'!$T$13:$T$493)-SUMIF('JUNE (물량흐름)'!$C$13:$C$493,'In-out-bal products (155)(완성제품)'!B279,'JUNE (물량흐름)'!$Y$13:$Y$493)+SUMIF('JUNE (물량흐름)'!$C$13:$C$493,'In-out-bal products (155)(완성제품)'!B279,'JUNE (물량흐름)'!$U$13:$U$493)</f>
        <v>0</v>
      </c>
      <c r="I279" s="58">
        <f t="shared" si="126"/>
        <v>0</v>
      </c>
      <c r="J279" s="58">
        <f>SUMIF('Direct labour(직접노무비)'!$C$12:$C$503,'In-out-bal products (155)(완성제품)'!B279,'Direct labour(직접노무비)'!$Q$12:$Q$503)</f>
        <v>0</v>
      </c>
      <c r="K279" s="59">
        <f>SUMIF('Overhead exp(제조경비)'!$C$12:$C$503,'In-out-bal products (155)(완성제품)'!B279,'Overhead exp(제조경비)'!$Q$12:$Q$503)</f>
        <v>0</v>
      </c>
      <c r="L279" s="58">
        <f t="shared" si="127"/>
        <v>0</v>
      </c>
      <c r="M279" s="58">
        <f>SUMIF('JUNE (물량흐름)'!$C$13:$C$488,'In-out-bal products (155)(완성제품)'!B279,'JUNE (물량흐름)'!$Y$13:$Y$488)</f>
        <v>0</v>
      </c>
      <c r="N279" s="58">
        <f t="shared" si="128"/>
        <v>0</v>
      </c>
      <c r="O279" s="58">
        <f>SUMIF('Direct labour(직접노무비)'!$C$12:$C$503,'In-out-bal products (155)(완성제품)'!B279,'Direct labour(직접노무비)'!$U$12:$U$503)+SUMIF('Overhead exp(제조경비)'!$C$12:$C$503,'In-out-bal products (155)(완성제품)'!B279,'Overhead exp(제조경비)'!$U$12:$U$503)</f>
        <v>0</v>
      </c>
      <c r="P279" s="60">
        <f t="shared" si="129"/>
        <v>0</v>
      </c>
      <c r="Q279" s="60">
        <f t="shared" si="130"/>
        <v>0</v>
      </c>
      <c r="R279" s="60">
        <f t="shared" si="131"/>
        <v>0</v>
      </c>
      <c r="S279" s="58">
        <v>0</v>
      </c>
      <c r="T279" s="58">
        <v>0</v>
      </c>
      <c r="U279" s="58">
        <v>0</v>
      </c>
      <c r="V279" s="58">
        <f>SUMIF('JUNE (물량흐름)'!$C$13:$C$493,'In-out-bal products (155)(완성제품)'!B279,'JUNE (물량흐름)'!$W$13:$W$493)</f>
        <v>0</v>
      </c>
      <c r="W279" s="58">
        <f t="shared" si="132"/>
        <v>0</v>
      </c>
      <c r="X279" s="58">
        <f t="shared" si="133"/>
        <v>0</v>
      </c>
      <c r="Y279" s="58">
        <f>SUMIF('JUNE (물량흐름)'!$C$13:$C$488,'In-out-bal products (155)(완성제품)'!B279,'JUNE (물량흐름)'!$X$13:$X$488)</f>
        <v>0</v>
      </c>
      <c r="Z279" s="58">
        <f t="shared" si="134"/>
        <v>0</v>
      </c>
      <c r="AA279" s="58">
        <f t="shared" si="135"/>
        <v>0</v>
      </c>
      <c r="AB279" s="58"/>
      <c r="AC279" s="58"/>
      <c r="AD279" s="61"/>
      <c r="AE279" s="58">
        <f t="shared" si="136"/>
        <v>0</v>
      </c>
      <c r="AF279" s="58">
        <f t="shared" si="137"/>
        <v>0</v>
      </c>
      <c r="AG279" s="61">
        <f t="shared" si="138"/>
        <v>0</v>
      </c>
      <c r="AH279" s="58">
        <v>0</v>
      </c>
      <c r="AI279" s="58">
        <v>0</v>
      </c>
      <c r="AJ279" s="61">
        <v>0</v>
      </c>
      <c r="AK279" s="58"/>
      <c r="AL279" s="58"/>
      <c r="AM279" s="61"/>
      <c r="AN279" s="61">
        <f t="shared" si="139"/>
        <v>0</v>
      </c>
      <c r="AO279" s="58">
        <f t="shared" si="140"/>
        <v>0</v>
      </c>
      <c r="AP279" s="61">
        <f t="shared" si="141"/>
        <v>0</v>
      </c>
      <c r="AQ279" s="58">
        <f t="shared" si="142"/>
        <v>0</v>
      </c>
      <c r="AR279" s="58">
        <f t="shared" si="143"/>
        <v>0</v>
      </c>
      <c r="AS279" s="58">
        <f t="shared" si="144"/>
        <v>0</v>
      </c>
      <c r="AT279" s="58">
        <f>ROUND(SUMIF('JUNE (물량흐름)'!$C$13:$C$502,'In-out-bal products (155)(완성제품)'!B279,'JUNE (물량흐름)'!$AB$13:$AB$502),0)</f>
        <v>0</v>
      </c>
      <c r="AU279" s="58">
        <f t="shared" si="145"/>
        <v>0</v>
      </c>
      <c r="AV279" s="58">
        <f>ROUND(SUMIF('JUNE (물량흐름)'!$C$13:$C$502,'In-out-bal products (155)(완성제품)'!B279,'JUNE (물량흐름)'!$AC$13:$AC$502),0)</f>
        <v>0</v>
      </c>
      <c r="AW279" s="58">
        <f t="shared" si="146"/>
        <v>0</v>
      </c>
      <c r="AX279" s="376">
        <f t="shared" si="147"/>
        <v>0</v>
      </c>
      <c r="AY279" s="377">
        <f t="shared" si="148"/>
        <v>0</v>
      </c>
      <c r="AZ279" s="377">
        <f t="shared" si="149"/>
        <v>0</v>
      </c>
      <c r="BA279" s="377">
        <f t="shared" si="150"/>
        <v>0</v>
      </c>
      <c r="BB279" s="377"/>
      <c r="BC279" s="377">
        <f t="shared" si="151"/>
        <v>0</v>
      </c>
      <c r="BD279" s="377">
        <f t="shared" si="152"/>
        <v>0</v>
      </c>
      <c r="BE279" s="377"/>
      <c r="BF279" s="377">
        <f t="shared" si="153"/>
        <v>0</v>
      </c>
      <c r="BG279" s="433">
        <f t="shared" si="154"/>
        <v>0</v>
      </c>
      <c r="BH279" s="434">
        <f t="shared" si="155"/>
        <v>0</v>
      </c>
    </row>
    <row r="280" spans="1:60" s="378" customFormat="1">
      <c r="A280" s="167">
        <v>272</v>
      </c>
      <c r="B280" s="253">
        <f>VLOOKUP(A280,'JUNE (물량흐름)'!$A$13:$C$493,3,0)</f>
        <v>73206</v>
      </c>
      <c r="C280" s="57" t="str">
        <f>VLOOKUP(A280,'JUNE (물량흐름)'!$A$13:$C$493,2,0)</f>
        <v>ALFANI</v>
      </c>
      <c r="D280" s="58">
        <f>IFERROR(VLOOKUP(B280,O.B.JUNE!$V$7:$Y$448,2,0),0)</f>
        <v>0</v>
      </c>
      <c r="E280" s="58">
        <f>IFERROR(VLOOKUP(B280,O.B.JUNE!$V$7:$X$448,3,0),0)</f>
        <v>0</v>
      </c>
      <c r="F280" s="58">
        <f>IFERROR(VLOOKUP(B280,O.B.JUNE!$V$7:$Y$448,4,0),0)</f>
        <v>0</v>
      </c>
      <c r="G280" s="58">
        <f>SUMIF('JUNE (물량흐름)'!$C$13:$C$493,'In-out-bal products (155)(완성제품)'!B280,'JUNE (물량흐름)'!$V$13:$V$493)</f>
        <v>0</v>
      </c>
      <c r="H280" s="58">
        <f>SUMIF('JUNE (물량흐름)'!$C$13:$C$493,'In-out-bal products (155)(완성제품)'!B280,'JUNE (물량흐름)'!$T$13:$T$493)-SUMIF('JUNE (물량흐름)'!$C$13:$C$493,'In-out-bal products (155)(완성제품)'!B280,'JUNE (물량흐름)'!$Y$13:$Y$493)+SUMIF('JUNE (물량흐름)'!$C$13:$C$493,'In-out-bal products (155)(완성제품)'!B280,'JUNE (물량흐름)'!$U$13:$U$493)</f>
        <v>34</v>
      </c>
      <c r="I280" s="58">
        <f t="shared" si="126"/>
        <v>17774.911764705881</v>
      </c>
      <c r="J280" s="58">
        <f>SUMIF('Direct labour(직접노무비)'!$C$12:$C$503,'In-out-bal products (155)(완성제품)'!B280,'Direct labour(직접노무비)'!$Q$12:$Q$503)</f>
        <v>244269</v>
      </c>
      <c r="K280" s="59">
        <f>SUMIF('Overhead exp(제조경비)'!$C$12:$C$503,'In-out-bal products (155)(완성제품)'!B280,'Overhead exp(제조경비)'!$Q$12:$Q$503)</f>
        <v>360078</v>
      </c>
      <c r="L280" s="58">
        <f t="shared" si="127"/>
        <v>604347</v>
      </c>
      <c r="M280" s="58">
        <f>SUMIF('JUNE (물량흐름)'!$C$13:$C$488,'In-out-bal products (155)(완성제품)'!B280,'JUNE (물량흐름)'!$Y$13:$Y$488)</f>
        <v>0</v>
      </c>
      <c r="N280" s="58">
        <f t="shared" si="128"/>
        <v>0</v>
      </c>
      <c r="O280" s="58">
        <f>SUMIF('Direct labour(직접노무비)'!$C$12:$C$503,'In-out-bal products (155)(완성제품)'!B280,'Direct labour(직접노무비)'!$U$12:$U$503)+SUMIF('Overhead exp(제조경비)'!$C$12:$C$503,'In-out-bal products (155)(완성제품)'!B280,'Overhead exp(제조경비)'!$U$12:$U$503)</f>
        <v>0</v>
      </c>
      <c r="P280" s="60">
        <f t="shared" si="129"/>
        <v>34</v>
      </c>
      <c r="Q280" s="60">
        <f t="shared" si="130"/>
        <v>17774.911764705881</v>
      </c>
      <c r="R280" s="60">
        <f t="shared" si="131"/>
        <v>604347</v>
      </c>
      <c r="S280" s="58">
        <v>0</v>
      </c>
      <c r="T280" s="58">
        <v>0</v>
      </c>
      <c r="U280" s="58">
        <v>0</v>
      </c>
      <c r="V280" s="58">
        <f>SUMIF('JUNE (물량흐름)'!$C$13:$C$493,'In-out-bal products (155)(완성제품)'!B280,'JUNE (물량흐름)'!$W$13:$W$493)</f>
        <v>0</v>
      </c>
      <c r="W280" s="58">
        <f t="shared" si="132"/>
        <v>0</v>
      </c>
      <c r="X280" s="58">
        <f t="shared" si="133"/>
        <v>0</v>
      </c>
      <c r="Y280" s="58">
        <f>SUMIF('JUNE (물량흐름)'!$C$13:$C$488,'In-out-bal products (155)(완성제품)'!B280,'JUNE (물량흐름)'!$X$13:$X$488)</f>
        <v>0</v>
      </c>
      <c r="Z280" s="58">
        <f t="shared" si="134"/>
        <v>0</v>
      </c>
      <c r="AA280" s="58">
        <f t="shared" si="135"/>
        <v>0</v>
      </c>
      <c r="AB280" s="58"/>
      <c r="AC280" s="58"/>
      <c r="AD280" s="61"/>
      <c r="AE280" s="58">
        <f t="shared" si="136"/>
        <v>0</v>
      </c>
      <c r="AF280" s="58">
        <f t="shared" si="137"/>
        <v>0</v>
      </c>
      <c r="AG280" s="61">
        <f t="shared" si="138"/>
        <v>0</v>
      </c>
      <c r="AH280" s="58">
        <v>0</v>
      </c>
      <c r="AI280" s="58">
        <v>0</v>
      </c>
      <c r="AJ280" s="61">
        <v>0</v>
      </c>
      <c r="AK280" s="58"/>
      <c r="AL280" s="58"/>
      <c r="AM280" s="61"/>
      <c r="AN280" s="61">
        <f t="shared" si="139"/>
        <v>0</v>
      </c>
      <c r="AO280" s="58">
        <f t="shared" si="140"/>
        <v>0</v>
      </c>
      <c r="AP280" s="61">
        <f t="shared" si="141"/>
        <v>0</v>
      </c>
      <c r="AQ280" s="58">
        <f t="shared" si="142"/>
        <v>34</v>
      </c>
      <c r="AR280" s="58">
        <f t="shared" si="143"/>
        <v>17774.911764705881</v>
      </c>
      <c r="AS280" s="58">
        <f t="shared" si="144"/>
        <v>604347</v>
      </c>
      <c r="AT280" s="58">
        <f>ROUND(SUMIF('JUNE (물량흐름)'!$C$13:$C$502,'In-out-bal products (155)(완성제품)'!B280,'JUNE (물량흐름)'!$AB$13:$AB$502),0)</f>
        <v>0</v>
      </c>
      <c r="AU280" s="58">
        <f t="shared" si="145"/>
        <v>0</v>
      </c>
      <c r="AV280" s="58">
        <f>ROUND(SUMIF('JUNE (물량흐름)'!$C$13:$C$502,'In-out-bal products (155)(완성제품)'!B280,'JUNE (물량흐름)'!$AC$13:$AC$502),0)</f>
        <v>34</v>
      </c>
      <c r="AW280" s="58">
        <f t="shared" si="146"/>
        <v>604347</v>
      </c>
      <c r="AX280" s="376">
        <f t="shared" si="147"/>
        <v>0</v>
      </c>
      <c r="AY280" s="377">
        <f t="shared" si="148"/>
        <v>0</v>
      </c>
      <c r="AZ280" s="377">
        <f t="shared" si="149"/>
        <v>0</v>
      </c>
      <c r="BA280" s="377">
        <f t="shared" si="150"/>
        <v>0</v>
      </c>
      <c r="BB280" s="377"/>
      <c r="BC280" s="377">
        <f t="shared" si="151"/>
        <v>0</v>
      </c>
      <c r="BD280" s="377">
        <f t="shared" si="152"/>
        <v>0</v>
      </c>
      <c r="BE280" s="377"/>
      <c r="BF280" s="377">
        <f t="shared" si="153"/>
        <v>0</v>
      </c>
      <c r="BG280" s="433">
        <f t="shared" si="154"/>
        <v>0</v>
      </c>
      <c r="BH280" s="434">
        <f t="shared" si="155"/>
        <v>0</v>
      </c>
    </row>
    <row r="281" spans="1:60" s="378" customFormat="1">
      <c r="A281" s="167">
        <v>273</v>
      </c>
      <c r="B281" s="253">
        <f>VLOOKUP(A281,'JUNE (물량흐름)'!$A$13:$C$493,3,0)</f>
        <v>76203</v>
      </c>
      <c r="C281" s="57" t="str">
        <f>VLOOKUP(A281,'JUNE (물량흐름)'!$A$13:$C$493,2,0)</f>
        <v>ALFANI</v>
      </c>
      <c r="D281" s="58">
        <f>IFERROR(VLOOKUP(B281,O.B.JUNE!$V$7:$Y$448,2,0),0)</f>
        <v>0</v>
      </c>
      <c r="E281" s="58">
        <f>IFERROR(VLOOKUP(B281,O.B.JUNE!$V$7:$X$448,3,0),0)</f>
        <v>0</v>
      </c>
      <c r="F281" s="58">
        <f>IFERROR(VLOOKUP(B281,O.B.JUNE!$V$7:$Y$448,4,0),0)</f>
        <v>0</v>
      </c>
      <c r="G281" s="58">
        <f>SUMIF('JUNE (물량흐름)'!$C$13:$C$493,'In-out-bal products (155)(완성제품)'!B281,'JUNE (물량흐름)'!$V$13:$V$493)</f>
        <v>0</v>
      </c>
      <c r="H281" s="58">
        <f>SUMIF('JUNE (물량흐름)'!$C$13:$C$493,'In-out-bal products (155)(완성제품)'!B281,'JUNE (물량흐름)'!$T$13:$T$493)-SUMIF('JUNE (물량흐름)'!$C$13:$C$493,'In-out-bal products (155)(완성제품)'!B281,'JUNE (물량흐름)'!$Y$13:$Y$493)+SUMIF('JUNE (물량흐름)'!$C$13:$C$493,'In-out-bal products (155)(완성제품)'!B281,'JUNE (물량흐름)'!$U$13:$U$493)</f>
        <v>0</v>
      </c>
      <c r="I281" s="58">
        <f t="shared" si="126"/>
        <v>0</v>
      </c>
      <c r="J281" s="58">
        <f>SUMIF('Direct labour(직접노무비)'!$C$12:$C$503,'In-out-bal products (155)(완성제품)'!B281,'Direct labour(직접노무비)'!$Q$12:$Q$503)</f>
        <v>0</v>
      </c>
      <c r="K281" s="59">
        <f>SUMIF('Overhead exp(제조경비)'!$C$12:$C$503,'In-out-bal products (155)(완성제품)'!B281,'Overhead exp(제조경비)'!$Q$12:$Q$503)</f>
        <v>0</v>
      </c>
      <c r="L281" s="58">
        <f t="shared" si="127"/>
        <v>0</v>
      </c>
      <c r="M281" s="58">
        <f>SUMIF('JUNE (물량흐름)'!$C$13:$C$488,'In-out-bal products (155)(완성제품)'!B281,'JUNE (물량흐름)'!$Y$13:$Y$488)</f>
        <v>0</v>
      </c>
      <c r="N281" s="58">
        <f t="shared" si="128"/>
        <v>0</v>
      </c>
      <c r="O281" s="58">
        <f>SUMIF('Direct labour(직접노무비)'!$C$12:$C$503,'In-out-bal products (155)(완성제품)'!B281,'Direct labour(직접노무비)'!$U$12:$U$503)+SUMIF('Overhead exp(제조경비)'!$C$12:$C$503,'In-out-bal products (155)(완성제품)'!B281,'Overhead exp(제조경비)'!$U$12:$U$503)</f>
        <v>0</v>
      </c>
      <c r="P281" s="60">
        <f t="shared" si="129"/>
        <v>0</v>
      </c>
      <c r="Q281" s="60">
        <f t="shared" si="130"/>
        <v>0</v>
      </c>
      <c r="R281" s="60">
        <f t="shared" si="131"/>
        <v>0</v>
      </c>
      <c r="S281" s="58">
        <v>0</v>
      </c>
      <c r="T281" s="58">
        <v>0</v>
      </c>
      <c r="U281" s="58">
        <v>0</v>
      </c>
      <c r="V281" s="58">
        <f>SUMIF('JUNE (물량흐름)'!$C$13:$C$493,'In-out-bal products (155)(완성제품)'!B281,'JUNE (물량흐름)'!$W$13:$W$493)</f>
        <v>0</v>
      </c>
      <c r="W281" s="58">
        <f t="shared" si="132"/>
        <v>0</v>
      </c>
      <c r="X281" s="58">
        <f t="shared" si="133"/>
        <v>0</v>
      </c>
      <c r="Y281" s="58">
        <f>SUMIF('JUNE (물량흐름)'!$C$13:$C$488,'In-out-bal products (155)(완성제품)'!B281,'JUNE (물량흐름)'!$X$13:$X$488)</f>
        <v>0</v>
      </c>
      <c r="Z281" s="58">
        <f t="shared" si="134"/>
        <v>0</v>
      </c>
      <c r="AA281" s="58">
        <f t="shared" si="135"/>
        <v>0</v>
      </c>
      <c r="AB281" s="58"/>
      <c r="AC281" s="58"/>
      <c r="AD281" s="61"/>
      <c r="AE281" s="58">
        <f t="shared" si="136"/>
        <v>0</v>
      </c>
      <c r="AF281" s="58">
        <f t="shared" si="137"/>
        <v>0</v>
      </c>
      <c r="AG281" s="61">
        <f t="shared" si="138"/>
        <v>0</v>
      </c>
      <c r="AH281" s="58">
        <v>0</v>
      </c>
      <c r="AI281" s="58">
        <v>0</v>
      </c>
      <c r="AJ281" s="61">
        <v>0</v>
      </c>
      <c r="AK281" s="58"/>
      <c r="AL281" s="58"/>
      <c r="AM281" s="61"/>
      <c r="AN281" s="61">
        <f t="shared" si="139"/>
        <v>0</v>
      </c>
      <c r="AO281" s="58">
        <f t="shared" si="140"/>
        <v>0</v>
      </c>
      <c r="AP281" s="61">
        <f t="shared" si="141"/>
        <v>0</v>
      </c>
      <c r="AQ281" s="58">
        <f t="shared" si="142"/>
        <v>0</v>
      </c>
      <c r="AR281" s="58">
        <f t="shared" si="143"/>
        <v>0</v>
      </c>
      <c r="AS281" s="58">
        <f t="shared" si="144"/>
        <v>0</v>
      </c>
      <c r="AT281" s="58">
        <f>ROUND(SUMIF('JUNE (물량흐름)'!$C$13:$C$502,'In-out-bal products (155)(완성제품)'!B281,'JUNE (물량흐름)'!$AB$13:$AB$502),0)</f>
        <v>0</v>
      </c>
      <c r="AU281" s="58">
        <f t="shared" si="145"/>
        <v>0</v>
      </c>
      <c r="AV281" s="58">
        <f>ROUND(SUMIF('JUNE (물량흐름)'!$C$13:$C$502,'In-out-bal products (155)(완성제품)'!B281,'JUNE (물량흐름)'!$AC$13:$AC$502),0)</f>
        <v>0</v>
      </c>
      <c r="AW281" s="58">
        <f t="shared" si="146"/>
        <v>0</v>
      </c>
      <c r="AX281" s="376">
        <f t="shared" si="147"/>
        <v>0</v>
      </c>
      <c r="AY281" s="377">
        <f t="shared" si="148"/>
        <v>0</v>
      </c>
      <c r="AZ281" s="377">
        <f t="shared" si="149"/>
        <v>0</v>
      </c>
      <c r="BA281" s="377">
        <f t="shared" si="150"/>
        <v>0</v>
      </c>
      <c r="BB281" s="377"/>
      <c r="BC281" s="377">
        <f t="shared" si="151"/>
        <v>0</v>
      </c>
      <c r="BD281" s="377">
        <f t="shared" si="152"/>
        <v>0</v>
      </c>
      <c r="BE281" s="377"/>
      <c r="BF281" s="377">
        <f t="shared" si="153"/>
        <v>0</v>
      </c>
      <c r="BG281" s="433">
        <f t="shared" si="154"/>
        <v>0</v>
      </c>
      <c r="BH281" s="434">
        <f t="shared" si="155"/>
        <v>0</v>
      </c>
    </row>
    <row r="282" spans="1:60" s="378" customFormat="1">
      <c r="A282" s="167">
        <v>274</v>
      </c>
      <c r="B282" s="253">
        <f>VLOOKUP(A282,'JUNE (물량흐름)'!$A$13:$C$493,3,0)</f>
        <v>457309</v>
      </c>
      <c r="C282" s="57" t="str">
        <f>VLOOKUP(A282,'JUNE (물량흐름)'!$A$13:$C$493,2,0)</f>
        <v>ANN TAYLOR</v>
      </c>
      <c r="D282" s="58">
        <f>IFERROR(VLOOKUP(B282,O.B.JUNE!$V$7:$Y$448,2,0),0)</f>
        <v>0</v>
      </c>
      <c r="E282" s="58">
        <f>IFERROR(VLOOKUP(B282,O.B.JUNE!$V$7:$X$448,3,0),0)</f>
        <v>0</v>
      </c>
      <c r="F282" s="58">
        <f>IFERROR(VLOOKUP(B282,O.B.JUNE!$V$7:$Y$448,4,0),0)</f>
        <v>0</v>
      </c>
      <c r="G282" s="58">
        <f>SUMIF('JUNE (물량흐름)'!$C$13:$C$493,'In-out-bal products (155)(완성제품)'!B282,'JUNE (물량흐름)'!$V$13:$V$493)</f>
        <v>0</v>
      </c>
      <c r="H282" s="58">
        <f>SUMIF('JUNE (물량흐름)'!$C$13:$C$493,'In-out-bal products (155)(완성제품)'!B282,'JUNE (물량흐름)'!$T$13:$T$493)-SUMIF('JUNE (물량흐름)'!$C$13:$C$493,'In-out-bal products (155)(완성제품)'!B282,'JUNE (물량흐름)'!$Y$13:$Y$493)+SUMIF('JUNE (물량흐름)'!$C$13:$C$493,'In-out-bal products (155)(완성제품)'!B282,'JUNE (물량흐름)'!$U$13:$U$493)</f>
        <v>0</v>
      </c>
      <c r="I282" s="58">
        <f t="shared" si="126"/>
        <v>0</v>
      </c>
      <c r="J282" s="58">
        <f>SUMIF('Direct labour(직접노무비)'!$C$12:$C$503,'In-out-bal products (155)(완성제품)'!B282,'Direct labour(직접노무비)'!$Q$12:$Q$503)</f>
        <v>0</v>
      </c>
      <c r="K282" s="59">
        <f>SUMIF('Overhead exp(제조경비)'!$C$12:$C$503,'In-out-bal products (155)(완성제품)'!B282,'Overhead exp(제조경비)'!$Q$12:$Q$503)</f>
        <v>0</v>
      </c>
      <c r="L282" s="58">
        <f t="shared" si="127"/>
        <v>0</v>
      </c>
      <c r="M282" s="58">
        <f>SUMIF('JUNE (물량흐름)'!$C$13:$C$488,'In-out-bal products (155)(완성제품)'!B282,'JUNE (물량흐름)'!$Y$13:$Y$488)</f>
        <v>0</v>
      </c>
      <c r="N282" s="58">
        <f t="shared" si="128"/>
        <v>0</v>
      </c>
      <c r="O282" s="58">
        <f>SUMIF('Direct labour(직접노무비)'!$C$12:$C$503,'In-out-bal products (155)(완성제품)'!B282,'Direct labour(직접노무비)'!$U$12:$U$503)+SUMIF('Overhead exp(제조경비)'!$C$12:$C$503,'In-out-bal products (155)(완성제품)'!B282,'Overhead exp(제조경비)'!$U$12:$U$503)</f>
        <v>0</v>
      </c>
      <c r="P282" s="60">
        <f t="shared" si="129"/>
        <v>0</v>
      </c>
      <c r="Q282" s="60">
        <f t="shared" si="130"/>
        <v>0</v>
      </c>
      <c r="R282" s="60">
        <f t="shared" si="131"/>
        <v>0</v>
      </c>
      <c r="S282" s="58">
        <v>0</v>
      </c>
      <c r="T282" s="58">
        <v>0</v>
      </c>
      <c r="U282" s="58">
        <v>0</v>
      </c>
      <c r="V282" s="58">
        <f>SUMIF('JUNE (물량흐름)'!$C$13:$C$493,'In-out-bal products (155)(완성제품)'!B282,'JUNE (물량흐름)'!$W$13:$W$493)</f>
        <v>0</v>
      </c>
      <c r="W282" s="58">
        <f t="shared" si="132"/>
        <v>0</v>
      </c>
      <c r="X282" s="58">
        <f t="shared" si="133"/>
        <v>0</v>
      </c>
      <c r="Y282" s="58">
        <f>SUMIF('JUNE (물량흐름)'!$C$13:$C$488,'In-out-bal products (155)(완성제품)'!B282,'JUNE (물량흐름)'!$X$13:$X$488)</f>
        <v>0</v>
      </c>
      <c r="Z282" s="58">
        <f t="shared" si="134"/>
        <v>0</v>
      </c>
      <c r="AA282" s="58">
        <f t="shared" si="135"/>
        <v>0</v>
      </c>
      <c r="AB282" s="58"/>
      <c r="AC282" s="58"/>
      <c r="AD282" s="61"/>
      <c r="AE282" s="58">
        <f t="shared" si="136"/>
        <v>0</v>
      </c>
      <c r="AF282" s="58">
        <f t="shared" si="137"/>
        <v>0</v>
      </c>
      <c r="AG282" s="61">
        <f t="shared" si="138"/>
        <v>0</v>
      </c>
      <c r="AH282" s="58">
        <v>0</v>
      </c>
      <c r="AI282" s="58">
        <v>0</v>
      </c>
      <c r="AJ282" s="61">
        <v>0</v>
      </c>
      <c r="AK282" s="58"/>
      <c r="AL282" s="58"/>
      <c r="AM282" s="61"/>
      <c r="AN282" s="61">
        <f t="shared" si="139"/>
        <v>0</v>
      </c>
      <c r="AO282" s="58">
        <f t="shared" si="140"/>
        <v>0</v>
      </c>
      <c r="AP282" s="61">
        <f t="shared" si="141"/>
        <v>0</v>
      </c>
      <c r="AQ282" s="58">
        <f t="shared" si="142"/>
        <v>0</v>
      </c>
      <c r="AR282" s="58">
        <f t="shared" si="143"/>
        <v>0</v>
      </c>
      <c r="AS282" s="58">
        <f t="shared" si="144"/>
        <v>0</v>
      </c>
      <c r="AT282" s="58">
        <f>ROUND(SUMIF('JUNE (물량흐름)'!$C$13:$C$502,'In-out-bal products (155)(완성제품)'!B282,'JUNE (물량흐름)'!$AB$13:$AB$502),0)</f>
        <v>0</v>
      </c>
      <c r="AU282" s="58">
        <f t="shared" si="145"/>
        <v>0</v>
      </c>
      <c r="AV282" s="58">
        <f>ROUND(SUMIF('JUNE (물량흐름)'!$C$13:$C$502,'In-out-bal products (155)(완성제품)'!B282,'JUNE (물량흐름)'!$AC$13:$AC$502),0)</f>
        <v>0</v>
      </c>
      <c r="AW282" s="58">
        <f t="shared" si="146"/>
        <v>0</v>
      </c>
      <c r="AX282" s="376">
        <f t="shared" si="147"/>
        <v>0</v>
      </c>
      <c r="AY282" s="377">
        <f t="shared" si="148"/>
        <v>0</v>
      </c>
      <c r="AZ282" s="377">
        <f t="shared" si="149"/>
        <v>0</v>
      </c>
      <c r="BA282" s="377">
        <f t="shared" si="150"/>
        <v>0</v>
      </c>
      <c r="BB282" s="377"/>
      <c r="BC282" s="377">
        <f t="shared" si="151"/>
        <v>0</v>
      </c>
      <c r="BD282" s="377">
        <f t="shared" si="152"/>
        <v>0</v>
      </c>
      <c r="BE282" s="377"/>
      <c r="BF282" s="377">
        <f t="shared" si="153"/>
        <v>0</v>
      </c>
      <c r="BG282" s="433">
        <f t="shared" si="154"/>
        <v>0</v>
      </c>
      <c r="BH282" s="434">
        <f t="shared" si="155"/>
        <v>0</v>
      </c>
    </row>
    <row r="283" spans="1:60" s="378" customFormat="1">
      <c r="A283" s="167">
        <v>275</v>
      </c>
      <c r="B283" s="253">
        <f>VLOOKUP(A283,'JUNE (물량흐름)'!$A$13:$C$493,3,0)</f>
        <v>462511</v>
      </c>
      <c r="C283" s="57" t="str">
        <f>VLOOKUP(A283,'JUNE (물량흐름)'!$A$13:$C$493,2,0)</f>
        <v>ANN TAYLOR</v>
      </c>
      <c r="D283" s="58">
        <f>IFERROR(VLOOKUP(B283,O.B.JUNE!$V$7:$Y$448,2,0),0)</f>
        <v>0</v>
      </c>
      <c r="E283" s="58">
        <f>IFERROR(VLOOKUP(B283,O.B.JUNE!$V$7:$X$448,3,0),0)</f>
        <v>0</v>
      </c>
      <c r="F283" s="58">
        <f>IFERROR(VLOOKUP(B283,O.B.JUNE!$V$7:$Y$448,4,0),0)</f>
        <v>0</v>
      </c>
      <c r="G283" s="58">
        <f>SUMIF('JUNE (물량흐름)'!$C$13:$C$493,'In-out-bal products (155)(완성제품)'!B283,'JUNE (물량흐름)'!$V$13:$V$493)</f>
        <v>0</v>
      </c>
      <c r="H283" s="58">
        <f>SUMIF('JUNE (물량흐름)'!$C$13:$C$493,'In-out-bal products (155)(완성제품)'!B283,'JUNE (물량흐름)'!$T$13:$T$493)-SUMIF('JUNE (물량흐름)'!$C$13:$C$493,'In-out-bal products (155)(완성제품)'!B283,'JUNE (물량흐름)'!$Y$13:$Y$493)+SUMIF('JUNE (물량흐름)'!$C$13:$C$493,'In-out-bal products (155)(완성제품)'!B283,'JUNE (물량흐름)'!$U$13:$U$493)</f>
        <v>0</v>
      </c>
      <c r="I283" s="58">
        <f t="shared" si="126"/>
        <v>0</v>
      </c>
      <c r="J283" s="58">
        <f>SUMIF('Direct labour(직접노무비)'!$C$12:$C$503,'In-out-bal products (155)(완성제품)'!B283,'Direct labour(직접노무비)'!$Q$12:$Q$503)</f>
        <v>0</v>
      </c>
      <c r="K283" s="59">
        <f>SUMIF('Overhead exp(제조경비)'!$C$12:$C$503,'In-out-bal products (155)(완성제품)'!B283,'Overhead exp(제조경비)'!$Q$12:$Q$503)</f>
        <v>0</v>
      </c>
      <c r="L283" s="58">
        <f t="shared" si="127"/>
        <v>0</v>
      </c>
      <c r="M283" s="58">
        <f>SUMIF('JUNE (물량흐름)'!$C$13:$C$488,'In-out-bal products (155)(완성제품)'!B283,'JUNE (물량흐름)'!$Y$13:$Y$488)</f>
        <v>0</v>
      </c>
      <c r="N283" s="58">
        <f t="shared" si="128"/>
        <v>0</v>
      </c>
      <c r="O283" s="58">
        <f>SUMIF('Direct labour(직접노무비)'!$C$12:$C$503,'In-out-bal products (155)(완성제품)'!B283,'Direct labour(직접노무비)'!$U$12:$U$503)+SUMIF('Overhead exp(제조경비)'!$C$12:$C$503,'In-out-bal products (155)(완성제품)'!B283,'Overhead exp(제조경비)'!$U$12:$U$503)</f>
        <v>0</v>
      </c>
      <c r="P283" s="60">
        <f t="shared" si="129"/>
        <v>0</v>
      </c>
      <c r="Q283" s="60">
        <f t="shared" si="130"/>
        <v>0</v>
      </c>
      <c r="R283" s="60">
        <f t="shared" si="131"/>
        <v>0</v>
      </c>
      <c r="S283" s="58">
        <v>0</v>
      </c>
      <c r="T283" s="58">
        <v>0</v>
      </c>
      <c r="U283" s="58">
        <v>0</v>
      </c>
      <c r="V283" s="58">
        <f>SUMIF('JUNE (물량흐름)'!$C$13:$C$493,'In-out-bal products (155)(완성제품)'!B283,'JUNE (물량흐름)'!$W$13:$W$493)</f>
        <v>0</v>
      </c>
      <c r="W283" s="58">
        <f t="shared" si="132"/>
        <v>0</v>
      </c>
      <c r="X283" s="58">
        <f t="shared" si="133"/>
        <v>0</v>
      </c>
      <c r="Y283" s="58">
        <f>SUMIF('JUNE (물량흐름)'!$C$13:$C$488,'In-out-bal products (155)(완성제품)'!B283,'JUNE (물량흐름)'!$X$13:$X$488)</f>
        <v>0</v>
      </c>
      <c r="Z283" s="58">
        <f t="shared" si="134"/>
        <v>0</v>
      </c>
      <c r="AA283" s="58">
        <f t="shared" si="135"/>
        <v>0</v>
      </c>
      <c r="AB283" s="58"/>
      <c r="AC283" s="58"/>
      <c r="AD283" s="61"/>
      <c r="AE283" s="58">
        <f t="shared" si="136"/>
        <v>0</v>
      </c>
      <c r="AF283" s="58">
        <f t="shared" si="137"/>
        <v>0</v>
      </c>
      <c r="AG283" s="61">
        <f t="shared" si="138"/>
        <v>0</v>
      </c>
      <c r="AH283" s="58">
        <v>0</v>
      </c>
      <c r="AI283" s="58">
        <v>0</v>
      </c>
      <c r="AJ283" s="61">
        <v>0</v>
      </c>
      <c r="AK283" s="58"/>
      <c r="AL283" s="58"/>
      <c r="AM283" s="61"/>
      <c r="AN283" s="61">
        <f t="shared" si="139"/>
        <v>0</v>
      </c>
      <c r="AO283" s="58">
        <f t="shared" si="140"/>
        <v>0</v>
      </c>
      <c r="AP283" s="61">
        <f t="shared" si="141"/>
        <v>0</v>
      </c>
      <c r="AQ283" s="58">
        <f t="shared" si="142"/>
        <v>0</v>
      </c>
      <c r="AR283" s="58">
        <f t="shared" si="143"/>
        <v>0</v>
      </c>
      <c r="AS283" s="58">
        <f t="shared" si="144"/>
        <v>0</v>
      </c>
      <c r="AT283" s="58">
        <f>ROUND(SUMIF('JUNE (물량흐름)'!$C$13:$C$502,'In-out-bal products (155)(완성제품)'!B283,'JUNE (물량흐름)'!$AB$13:$AB$502),0)</f>
        <v>0</v>
      </c>
      <c r="AU283" s="58">
        <f t="shared" si="145"/>
        <v>0</v>
      </c>
      <c r="AV283" s="58">
        <f>ROUND(SUMIF('JUNE (물량흐름)'!$C$13:$C$502,'In-out-bal products (155)(완성제품)'!B283,'JUNE (물량흐름)'!$AC$13:$AC$502),0)</f>
        <v>0</v>
      </c>
      <c r="AW283" s="58">
        <f t="shared" si="146"/>
        <v>0</v>
      </c>
      <c r="AX283" s="376">
        <f t="shared" si="147"/>
        <v>0</v>
      </c>
      <c r="AY283" s="377">
        <f t="shared" si="148"/>
        <v>0</v>
      </c>
      <c r="AZ283" s="377">
        <f t="shared" si="149"/>
        <v>0</v>
      </c>
      <c r="BA283" s="377">
        <f t="shared" si="150"/>
        <v>0</v>
      </c>
      <c r="BB283" s="377"/>
      <c r="BC283" s="377">
        <f t="shared" si="151"/>
        <v>0</v>
      </c>
      <c r="BD283" s="377">
        <f t="shared" si="152"/>
        <v>0</v>
      </c>
      <c r="BE283" s="377"/>
      <c r="BF283" s="377">
        <f t="shared" si="153"/>
        <v>0</v>
      </c>
      <c r="BG283" s="433">
        <f t="shared" si="154"/>
        <v>0</v>
      </c>
      <c r="BH283" s="434">
        <f t="shared" si="155"/>
        <v>0</v>
      </c>
    </row>
    <row r="284" spans="1:60" s="378" customFormat="1">
      <c r="A284" s="167">
        <v>276</v>
      </c>
      <c r="B284" s="253">
        <f>VLOOKUP(A284,'JUNE (물량흐름)'!$A$13:$C$493,3,0)</f>
        <v>462516</v>
      </c>
      <c r="C284" s="57" t="str">
        <f>VLOOKUP(A284,'JUNE (물량흐름)'!$A$13:$C$493,2,0)</f>
        <v>ANN TAYLOR</v>
      </c>
      <c r="D284" s="58">
        <f>IFERROR(VLOOKUP(B284,O.B.JUNE!$V$7:$Y$448,2,0),0)</f>
        <v>771</v>
      </c>
      <c r="E284" s="58">
        <f>IFERROR(VLOOKUP(B284,O.B.JUNE!$V$7:$X$448,3,0),0)</f>
        <v>32524.520103761348</v>
      </c>
      <c r="F284" s="58">
        <f>IFERROR(VLOOKUP(B284,O.B.JUNE!$V$7:$Y$448,4,0),0)</f>
        <v>25076405</v>
      </c>
      <c r="G284" s="58">
        <f>SUMIF('JUNE (물량흐름)'!$C$13:$C$493,'In-out-bal products (155)(완성제품)'!B284,'JUNE (물량흐름)'!$V$13:$V$493)</f>
        <v>0</v>
      </c>
      <c r="H284" s="58">
        <f>SUMIF('JUNE (물량흐름)'!$C$13:$C$493,'In-out-bal products (155)(완성제품)'!B284,'JUNE (물량흐름)'!$T$13:$T$493)-SUMIF('JUNE (물량흐름)'!$C$13:$C$493,'In-out-bal products (155)(완성제품)'!B284,'JUNE (물량흐름)'!$Y$13:$Y$493)+SUMIF('JUNE (물량흐름)'!$C$13:$C$493,'In-out-bal products (155)(완성제품)'!B284,'JUNE (물량흐름)'!$U$13:$U$493)</f>
        <v>0</v>
      </c>
      <c r="I284" s="58">
        <f t="shared" si="126"/>
        <v>0</v>
      </c>
      <c r="J284" s="58">
        <f>SUMIF('Direct labour(직접노무비)'!$C$12:$C$503,'In-out-bal products (155)(완성제품)'!B284,'Direct labour(직접노무비)'!$Q$12:$Q$503)</f>
        <v>0</v>
      </c>
      <c r="K284" s="59">
        <f>SUMIF('Overhead exp(제조경비)'!$C$12:$C$503,'In-out-bal products (155)(완성제품)'!B284,'Overhead exp(제조경비)'!$Q$12:$Q$503)</f>
        <v>0</v>
      </c>
      <c r="L284" s="58">
        <f t="shared" si="127"/>
        <v>0</v>
      </c>
      <c r="M284" s="58">
        <f>SUMIF('JUNE (물량흐름)'!$C$13:$C$488,'In-out-bal products (155)(완성제품)'!B284,'JUNE (물량흐름)'!$Y$13:$Y$488)</f>
        <v>2</v>
      </c>
      <c r="N284" s="58">
        <f t="shared" si="128"/>
        <v>24772.5</v>
      </c>
      <c r="O284" s="58">
        <f>SUMIF('Direct labour(직접노무비)'!$C$12:$C$503,'In-out-bal products (155)(완성제품)'!B284,'Direct labour(직접노무비)'!$U$12:$U$503)+SUMIF('Overhead exp(제조경비)'!$C$12:$C$503,'In-out-bal products (155)(완성제품)'!B284,'Overhead exp(제조경비)'!$U$12:$U$503)</f>
        <v>49545</v>
      </c>
      <c r="P284" s="60">
        <f t="shared" si="129"/>
        <v>2</v>
      </c>
      <c r="Q284" s="60">
        <f t="shared" si="130"/>
        <v>24772.5</v>
      </c>
      <c r="R284" s="60">
        <f t="shared" si="131"/>
        <v>49545</v>
      </c>
      <c r="S284" s="58">
        <v>0</v>
      </c>
      <c r="T284" s="58">
        <v>0</v>
      </c>
      <c r="U284" s="58">
        <v>0</v>
      </c>
      <c r="V284" s="58">
        <f>SUMIF('JUNE (물량흐름)'!$C$13:$C$493,'In-out-bal products (155)(완성제품)'!B284,'JUNE (물량흐름)'!$W$13:$W$493)</f>
        <v>0</v>
      </c>
      <c r="W284" s="58">
        <f t="shared" si="132"/>
        <v>0</v>
      </c>
      <c r="X284" s="58">
        <f t="shared" si="133"/>
        <v>0</v>
      </c>
      <c r="Y284" s="58">
        <f>SUMIF('JUNE (물량흐름)'!$C$13:$C$488,'In-out-bal products (155)(완성제품)'!B284,'JUNE (물량흐름)'!$X$13:$X$488)</f>
        <v>0</v>
      </c>
      <c r="Z284" s="58">
        <f t="shared" si="134"/>
        <v>0</v>
      </c>
      <c r="AA284" s="58">
        <f t="shared" si="135"/>
        <v>0</v>
      </c>
      <c r="AB284" s="58"/>
      <c r="AC284" s="58"/>
      <c r="AD284" s="61"/>
      <c r="AE284" s="58">
        <f t="shared" si="136"/>
        <v>2</v>
      </c>
      <c r="AF284" s="58">
        <f t="shared" si="137"/>
        <v>24772.5</v>
      </c>
      <c r="AG284" s="61">
        <f t="shared" si="138"/>
        <v>49545</v>
      </c>
      <c r="AH284" s="58">
        <v>0</v>
      </c>
      <c r="AI284" s="58">
        <v>0</v>
      </c>
      <c r="AJ284" s="61">
        <v>0</v>
      </c>
      <c r="AK284" s="58"/>
      <c r="AL284" s="58"/>
      <c r="AM284" s="61"/>
      <c r="AN284" s="61">
        <f t="shared" si="139"/>
        <v>2</v>
      </c>
      <c r="AO284" s="58">
        <f t="shared" si="140"/>
        <v>24772.5</v>
      </c>
      <c r="AP284" s="61">
        <f t="shared" si="141"/>
        <v>49545</v>
      </c>
      <c r="AQ284" s="58">
        <f t="shared" si="142"/>
        <v>771</v>
      </c>
      <c r="AR284" s="58">
        <f t="shared" si="143"/>
        <v>32524.520103761348</v>
      </c>
      <c r="AS284" s="58">
        <f t="shared" si="144"/>
        <v>25076405</v>
      </c>
      <c r="AT284" s="58">
        <f>ROUND(SUMIF('JUNE (물량흐름)'!$C$13:$C$502,'In-out-bal products (155)(완성제품)'!B284,'JUNE (물량흐름)'!$AB$13:$AB$502),0)</f>
        <v>0</v>
      </c>
      <c r="AU284" s="58">
        <f t="shared" si="145"/>
        <v>0</v>
      </c>
      <c r="AV284" s="58">
        <f>ROUND(SUMIF('JUNE (물량흐름)'!$C$13:$C$502,'In-out-bal products (155)(완성제품)'!B284,'JUNE (물량흐름)'!$AC$13:$AC$502),0)</f>
        <v>771</v>
      </c>
      <c r="AW284" s="58">
        <f t="shared" si="146"/>
        <v>25076405</v>
      </c>
      <c r="AX284" s="376">
        <f t="shared" si="147"/>
        <v>0</v>
      </c>
      <c r="AY284" s="377">
        <f t="shared" si="148"/>
        <v>0</v>
      </c>
      <c r="AZ284" s="377">
        <f t="shared" si="149"/>
        <v>0</v>
      </c>
      <c r="BA284" s="377">
        <f t="shared" si="150"/>
        <v>0</v>
      </c>
      <c r="BB284" s="377"/>
      <c r="BC284" s="377">
        <f t="shared" si="151"/>
        <v>0</v>
      </c>
      <c r="BD284" s="377">
        <f t="shared" si="152"/>
        <v>0</v>
      </c>
      <c r="BE284" s="377"/>
      <c r="BF284" s="377">
        <f t="shared" si="153"/>
        <v>0</v>
      </c>
      <c r="BG284" s="433">
        <f t="shared" si="154"/>
        <v>49545</v>
      </c>
      <c r="BH284" s="434">
        <f t="shared" si="155"/>
        <v>0</v>
      </c>
    </row>
    <row r="285" spans="1:60" s="378" customFormat="1">
      <c r="A285" s="167">
        <v>277</v>
      </c>
      <c r="B285" s="253">
        <f>VLOOKUP(A285,'JUNE (물량흐름)'!$A$13:$C$493,3,0)</f>
        <v>464101</v>
      </c>
      <c r="C285" s="57" t="str">
        <f>VLOOKUP(A285,'JUNE (물량흐름)'!$A$13:$C$493,2,0)</f>
        <v>ANN TAYLOR</v>
      </c>
      <c r="D285" s="58">
        <f>IFERROR(VLOOKUP(B285,O.B.JUNE!$V$7:$Y$448,2,0),0)</f>
        <v>147</v>
      </c>
      <c r="E285" s="58">
        <f>IFERROR(VLOOKUP(B285,O.B.JUNE!$V$7:$X$448,3,0),0)</f>
        <v>27048.78231292517</v>
      </c>
      <c r="F285" s="58">
        <f>IFERROR(VLOOKUP(B285,O.B.JUNE!$V$7:$Y$448,4,0),0)</f>
        <v>3976171</v>
      </c>
      <c r="G285" s="58">
        <f>SUMIF('JUNE (물량흐름)'!$C$13:$C$493,'In-out-bal products (155)(완성제품)'!B285,'JUNE (물량흐름)'!$V$13:$V$493)</f>
        <v>0</v>
      </c>
      <c r="H285" s="58">
        <f>SUMIF('JUNE (물량흐름)'!$C$13:$C$493,'In-out-bal products (155)(완성제품)'!B285,'JUNE (물량흐름)'!$T$13:$T$493)-SUMIF('JUNE (물량흐름)'!$C$13:$C$493,'In-out-bal products (155)(완성제품)'!B285,'JUNE (물량흐름)'!$Y$13:$Y$493)+SUMIF('JUNE (물량흐름)'!$C$13:$C$493,'In-out-bal products (155)(완성제품)'!B285,'JUNE (물량흐름)'!$U$13:$U$493)</f>
        <v>0</v>
      </c>
      <c r="I285" s="58">
        <f t="shared" si="126"/>
        <v>0</v>
      </c>
      <c r="J285" s="58">
        <f>SUMIF('Direct labour(직접노무비)'!$C$12:$C$503,'In-out-bal products (155)(완성제품)'!B285,'Direct labour(직접노무비)'!$Q$12:$Q$503)</f>
        <v>0</v>
      </c>
      <c r="K285" s="59">
        <f>SUMIF('Overhead exp(제조경비)'!$C$12:$C$503,'In-out-bal products (155)(완성제품)'!B285,'Overhead exp(제조경비)'!$Q$12:$Q$503)</f>
        <v>0</v>
      </c>
      <c r="L285" s="58">
        <f t="shared" si="127"/>
        <v>0</v>
      </c>
      <c r="M285" s="58">
        <f>SUMIF('JUNE (물량흐름)'!$C$13:$C$488,'In-out-bal products (155)(완성제품)'!B285,'JUNE (물량흐름)'!$Y$13:$Y$488)</f>
        <v>0</v>
      </c>
      <c r="N285" s="58">
        <f t="shared" si="128"/>
        <v>0</v>
      </c>
      <c r="O285" s="58">
        <f>SUMIF('Direct labour(직접노무비)'!$C$12:$C$503,'In-out-bal products (155)(완성제품)'!B285,'Direct labour(직접노무비)'!$U$12:$U$503)+SUMIF('Overhead exp(제조경비)'!$C$12:$C$503,'In-out-bal products (155)(완성제품)'!B285,'Overhead exp(제조경비)'!$U$12:$U$503)</f>
        <v>0</v>
      </c>
      <c r="P285" s="60">
        <f t="shared" si="129"/>
        <v>0</v>
      </c>
      <c r="Q285" s="60">
        <f t="shared" si="130"/>
        <v>0</v>
      </c>
      <c r="R285" s="60">
        <f t="shared" si="131"/>
        <v>0</v>
      </c>
      <c r="S285" s="58">
        <v>0</v>
      </c>
      <c r="T285" s="58">
        <v>0</v>
      </c>
      <c r="U285" s="58">
        <v>0</v>
      </c>
      <c r="V285" s="58">
        <f>SUMIF('JUNE (물량흐름)'!$C$13:$C$493,'In-out-bal products (155)(완성제품)'!B285,'JUNE (물량흐름)'!$W$13:$W$493)</f>
        <v>0</v>
      </c>
      <c r="W285" s="58">
        <f t="shared" si="132"/>
        <v>0</v>
      </c>
      <c r="X285" s="58">
        <f t="shared" si="133"/>
        <v>0</v>
      </c>
      <c r="Y285" s="58">
        <f>SUMIF('JUNE (물량흐름)'!$C$13:$C$488,'In-out-bal products (155)(완성제품)'!B285,'JUNE (물량흐름)'!$X$13:$X$488)</f>
        <v>0</v>
      </c>
      <c r="Z285" s="58">
        <f t="shared" si="134"/>
        <v>0</v>
      </c>
      <c r="AA285" s="58">
        <f t="shared" si="135"/>
        <v>0</v>
      </c>
      <c r="AB285" s="58"/>
      <c r="AC285" s="58"/>
      <c r="AD285" s="61"/>
      <c r="AE285" s="58">
        <f t="shared" si="136"/>
        <v>0</v>
      </c>
      <c r="AF285" s="58">
        <f t="shared" si="137"/>
        <v>0</v>
      </c>
      <c r="AG285" s="61">
        <f t="shared" si="138"/>
        <v>0</v>
      </c>
      <c r="AH285" s="58">
        <v>0</v>
      </c>
      <c r="AI285" s="58">
        <v>0</v>
      </c>
      <c r="AJ285" s="61">
        <v>0</v>
      </c>
      <c r="AK285" s="58"/>
      <c r="AL285" s="58"/>
      <c r="AM285" s="61"/>
      <c r="AN285" s="61">
        <f t="shared" si="139"/>
        <v>0</v>
      </c>
      <c r="AO285" s="58">
        <f t="shared" si="140"/>
        <v>0</v>
      </c>
      <c r="AP285" s="61">
        <f t="shared" si="141"/>
        <v>0</v>
      </c>
      <c r="AQ285" s="58">
        <f t="shared" si="142"/>
        <v>147</v>
      </c>
      <c r="AR285" s="58">
        <f t="shared" si="143"/>
        <v>27048.78231292517</v>
      </c>
      <c r="AS285" s="58">
        <f t="shared" si="144"/>
        <v>3976171</v>
      </c>
      <c r="AT285" s="58">
        <f>ROUND(SUMIF('JUNE (물량흐름)'!$C$13:$C$502,'In-out-bal products (155)(완성제품)'!B285,'JUNE (물량흐름)'!$AB$13:$AB$502),0)</f>
        <v>0</v>
      </c>
      <c r="AU285" s="58">
        <f t="shared" si="145"/>
        <v>0</v>
      </c>
      <c r="AV285" s="58">
        <f>ROUND(SUMIF('JUNE (물량흐름)'!$C$13:$C$502,'In-out-bal products (155)(완성제품)'!B285,'JUNE (물량흐름)'!$AC$13:$AC$502),0)</f>
        <v>147</v>
      </c>
      <c r="AW285" s="58">
        <f t="shared" si="146"/>
        <v>3976171</v>
      </c>
      <c r="AX285" s="376">
        <f t="shared" si="147"/>
        <v>0</v>
      </c>
      <c r="AY285" s="377">
        <f t="shared" si="148"/>
        <v>0</v>
      </c>
      <c r="AZ285" s="377">
        <f t="shared" si="149"/>
        <v>0</v>
      </c>
      <c r="BA285" s="377">
        <f t="shared" si="150"/>
        <v>0</v>
      </c>
      <c r="BB285" s="377"/>
      <c r="BC285" s="377">
        <f t="shared" si="151"/>
        <v>0</v>
      </c>
      <c r="BD285" s="377">
        <f t="shared" si="152"/>
        <v>0</v>
      </c>
      <c r="BE285" s="377"/>
      <c r="BF285" s="377">
        <f t="shared" si="153"/>
        <v>0</v>
      </c>
      <c r="BG285" s="433">
        <f t="shared" si="154"/>
        <v>0</v>
      </c>
      <c r="BH285" s="434">
        <f t="shared" si="155"/>
        <v>0</v>
      </c>
    </row>
    <row r="286" spans="1:60" s="378" customFormat="1">
      <c r="A286" s="167">
        <v>278</v>
      </c>
      <c r="B286" s="253">
        <f>VLOOKUP(A286,'JUNE (물량흐름)'!$A$13:$C$493,3,0)</f>
        <v>469135</v>
      </c>
      <c r="C286" s="57" t="str">
        <f>VLOOKUP(A286,'JUNE (물량흐름)'!$A$13:$C$493,2,0)</f>
        <v>ANN TAYLOR</v>
      </c>
      <c r="D286" s="58">
        <f>IFERROR(VLOOKUP(B286,O.B.JUNE!$V$7:$Y$448,2,0),0)</f>
        <v>0</v>
      </c>
      <c r="E286" s="58">
        <f>IFERROR(VLOOKUP(B286,O.B.JUNE!$V$7:$X$448,3,0),0)</f>
        <v>0</v>
      </c>
      <c r="F286" s="58">
        <f>IFERROR(VLOOKUP(B286,O.B.JUNE!$V$7:$Y$448,4,0),0)</f>
        <v>0</v>
      </c>
      <c r="G286" s="58">
        <f>SUMIF('JUNE (물량흐름)'!$C$13:$C$493,'In-out-bal products (155)(완성제품)'!B286,'JUNE (물량흐름)'!$V$13:$V$493)</f>
        <v>0</v>
      </c>
      <c r="H286" s="58">
        <f>SUMIF('JUNE (물량흐름)'!$C$13:$C$493,'In-out-bal products (155)(완성제품)'!B286,'JUNE (물량흐름)'!$T$13:$T$493)-SUMIF('JUNE (물량흐름)'!$C$13:$C$493,'In-out-bal products (155)(완성제품)'!B286,'JUNE (물량흐름)'!$Y$13:$Y$493)+SUMIF('JUNE (물량흐름)'!$C$13:$C$493,'In-out-bal products (155)(완성제품)'!B286,'JUNE (물량흐름)'!$U$13:$U$493)</f>
        <v>0</v>
      </c>
      <c r="I286" s="58">
        <f t="shared" si="126"/>
        <v>0</v>
      </c>
      <c r="J286" s="58">
        <f>SUMIF('Direct labour(직접노무비)'!$C$12:$C$503,'In-out-bal products (155)(완성제품)'!B286,'Direct labour(직접노무비)'!$Q$12:$Q$503)</f>
        <v>0</v>
      </c>
      <c r="K286" s="59">
        <f>SUMIF('Overhead exp(제조경비)'!$C$12:$C$503,'In-out-bal products (155)(완성제품)'!B286,'Overhead exp(제조경비)'!$Q$12:$Q$503)</f>
        <v>0</v>
      </c>
      <c r="L286" s="58">
        <f t="shared" si="127"/>
        <v>0</v>
      </c>
      <c r="M286" s="58">
        <f>SUMIF('JUNE (물량흐름)'!$C$13:$C$488,'In-out-bal products (155)(완성제품)'!B286,'JUNE (물량흐름)'!$Y$13:$Y$488)</f>
        <v>0</v>
      </c>
      <c r="N286" s="58">
        <f t="shared" si="128"/>
        <v>0</v>
      </c>
      <c r="O286" s="58">
        <f>SUMIF('Direct labour(직접노무비)'!$C$12:$C$503,'In-out-bal products (155)(완성제품)'!B286,'Direct labour(직접노무비)'!$U$12:$U$503)+SUMIF('Overhead exp(제조경비)'!$C$12:$C$503,'In-out-bal products (155)(완성제품)'!B286,'Overhead exp(제조경비)'!$U$12:$U$503)</f>
        <v>0</v>
      </c>
      <c r="P286" s="60">
        <f t="shared" si="129"/>
        <v>0</v>
      </c>
      <c r="Q286" s="60">
        <f t="shared" si="130"/>
        <v>0</v>
      </c>
      <c r="R286" s="60">
        <f t="shared" si="131"/>
        <v>0</v>
      </c>
      <c r="S286" s="58">
        <v>0</v>
      </c>
      <c r="T286" s="58">
        <v>0</v>
      </c>
      <c r="U286" s="58">
        <v>0</v>
      </c>
      <c r="V286" s="58">
        <f>SUMIF('JUNE (물량흐름)'!$C$13:$C$493,'In-out-bal products (155)(완성제품)'!B286,'JUNE (물량흐름)'!$W$13:$W$493)</f>
        <v>0</v>
      </c>
      <c r="W286" s="58">
        <f t="shared" si="132"/>
        <v>0</v>
      </c>
      <c r="X286" s="58">
        <f t="shared" si="133"/>
        <v>0</v>
      </c>
      <c r="Y286" s="58">
        <f>SUMIF('JUNE (물량흐름)'!$C$13:$C$488,'In-out-bal products (155)(완성제품)'!B286,'JUNE (물량흐름)'!$X$13:$X$488)</f>
        <v>0</v>
      </c>
      <c r="Z286" s="58">
        <f t="shared" si="134"/>
        <v>0</v>
      </c>
      <c r="AA286" s="58">
        <f t="shared" si="135"/>
        <v>0</v>
      </c>
      <c r="AB286" s="58"/>
      <c r="AC286" s="58"/>
      <c r="AD286" s="61"/>
      <c r="AE286" s="58">
        <f t="shared" si="136"/>
        <v>0</v>
      </c>
      <c r="AF286" s="58">
        <f t="shared" si="137"/>
        <v>0</v>
      </c>
      <c r="AG286" s="61">
        <f t="shared" si="138"/>
        <v>0</v>
      </c>
      <c r="AH286" s="58">
        <v>0</v>
      </c>
      <c r="AI286" s="58">
        <v>0</v>
      </c>
      <c r="AJ286" s="61">
        <v>0</v>
      </c>
      <c r="AK286" s="58"/>
      <c r="AL286" s="58"/>
      <c r="AM286" s="61"/>
      <c r="AN286" s="61">
        <f t="shared" si="139"/>
        <v>0</v>
      </c>
      <c r="AO286" s="58">
        <f t="shared" si="140"/>
        <v>0</v>
      </c>
      <c r="AP286" s="61">
        <f t="shared" si="141"/>
        <v>0</v>
      </c>
      <c r="AQ286" s="58">
        <f t="shared" si="142"/>
        <v>0</v>
      </c>
      <c r="AR286" s="58">
        <f t="shared" si="143"/>
        <v>0</v>
      </c>
      <c r="AS286" s="58">
        <f t="shared" si="144"/>
        <v>0</v>
      </c>
      <c r="AT286" s="58">
        <f>ROUND(SUMIF('JUNE (물량흐름)'!$C$13:$C$502,'In-out-bal products (155)(완성제품)'!B286,'JUNE (물량흐름)'!$AB$13:$AB$502),0)</f>
        <v>0</v>
      </c>
      <c r="AU286" s="58">
        <f t="shared" si="145"/>
        <v>0</v>
      </c>
      <c r="AV286" s="58">
        <f>ROUND(SUMIF('JUNE (물량흐름)'!$C$13:$C$502,'In-out-bal products (155)(완성제품)'!B286,'JUNE (물량흐름)'!$AC$13:$AC$502),0)</f>
        <v>0</v>
      </c>
      <c r="AW286" s="58">
        <f t="shared" si="146"/>
        <v>0</v>
      </c>
      <c r="AX286" s="376">
        <f t="shared" si="147"/>
        <v>0</v>
      </c>
      <c r="AY286" s="377">
        <f t="shared" si="148"/>
        <v>0</v>
      </c>
      <c r="AZ286" s="377">
        <f t="shared" si="149"/>
        <v>0</v>
      </c>
      <c r="BA286" s="377">
        <f t="shared" si="150"/>
        <v>0</v>
      </c>
      <c r="BB286" s="377"/>
      <c r="BC286" s="377">
        <f t="shared" si="151"/>
        <v>0</v>
      </c>
      <c r="BD286" s="377">
        <f t="shared" si="152"/>
        <v>0</v>
      </c>
      <c r="BE286" s="377"/>
      <c r="BF286" s="377">
        <f t="shared" si="153"/>
        <v>0</v>
      </c>
      <c r="BG286" s="433">
        <f t="shared" si="154"/>
        <v>0</v>
      </c>
      <c r="BH286" s="434">
        <f t="shared" si="155"/>
        <v>0</v>
      </c>
    </row>
    <row r="287" spans="1:60" s="378" customFormat="1">
      <c r="A287" s="167">
        <v>279</v>
      </c>
      <c r="B287" s="253">
        <f>VLOOKUP(A287,'JUNE (물량흐름)'!$A$13:$C$493,3,0)</f>
        <v>469615</v>
      </c>
      <c r="C287" s="57" t="str">
        <f>VLOOKUP(A287,'JUNE (물량흐름)'!$A$13:$C$493,2,0)</f>
        <v>ANN TAYLOR</v>
      </c>
      <c r="D287" s="58">
        <f>IFERROR(VLOOKUP(B287,O.B.JUNE!$V$7:$Y$448,2,0),0)</f>
        <v>0</v>
      </c>
      <c r="E287" s="58">
        <f>IFERROR(VLOOKUP(B287,O.B.JUNE!$V$7:$X$448,3,0),0)</f>
        <v>0</v>
      </c>
      <c r="F287" s="58">
        <f>IFERROR(VLOOKUP(B287,O.B.JUNE!$V$7:$Y$448,4,0),0)</f>
        <v>0</v>
      </c>
      <c r="G287" s="58">
        <f>SUMIF('JUNE (물량흐름)'!$C$13:$C$493,'In-out-bal products (155)(완성제품)'!B287,'JUNE (물량흐름)'!$V$13:$V$493)</f>
        <v>0</v>
      </c>
      <c r="H287" s="58">
        <f>SUMIF('JUNE (물량흐름)'!$C$13:$C$493,'In-out-bal products (155)(완성제품)'!B287,'JUNE (물량흐름)'!$T$13:$T$493)-SUMIF('JUNE (물량흐름)'!$C$13:$C$493,'In-out-bal products (155)(완성제품)'!B287,'JUNE (물량흐름)'!$Y$13:$Y$493)+SUMIF('JUNE (물량흐름)'!$C$13:$C$493,'In-out-bal products (155)(완성제품)'!B287,'JUNE (물량흐름)'!$U$13:$U$493)</f>
        <v>0</v>
      </c>
      <c r="I287" s="58">
        <f t="shared" si="126"/>
        <v>0</v>
      </c>
      <c r="J287" s="58">
        <f>SUMIF('Direct labour(직접노무비)'!$C$12:$C$503,'In-out-bal products (155)(완성제품)'!B287,'Direct labour(직접노무비)'!$Q$12:$Q$503)</f>
        <v>0</v>
      </c>
      <c r="K287" s="59">
        <f>SUMIF('Overhead exp(제조경비)'!$C$12:$C$503,'In-out-bal products (155)(완성제품)'!B287,'Overhead exp(제조경비)'!$Q$12:$Q$503)</f>
        <v>0</v>
      </c>
      <c r="L287" s="58">
        <f t="shared" si="127"/>
        <v>0</v>
      </c>
      <c r="M287" s="58">
        <f>SUMIF('JUNE (물량흐름)'!$C$13:$C$488,'In-out-bal products (155)(완성제품)'!B287,'JUNE (물량흐름)'!$Y$13:$Y$488)</f>
        <v>0</v>
      </c>
      <c r="N287" s="58">
        <f t="shared" si="128"/>
        <v>0</v>
      </c>
      <c r="O287" s="58">
        <f>SUMIF('Direct labour(직접노무비)'!$C$12:$C$503,'In-out-bal products (155)(완성제품)'!B287,'Direct labour(직접노무비)'!$U$12:$U$503)+SUMIF('Overhead exp(제조경비)'!$C$12:$C$503,'In-out-bal products (155)(완성제품)'!B287,'Overhead exp(제조경비)'!$U$12:$U$503)</f>
        <v>0</v>
      </c>
      <c r="P287" s="60">
        <f t="shared" si="129"/>
        <v>0</v>
      </c>
      <c r="Q287" s="60">
        <f t="shared" si="130"/>
        <v>0</v>
      </c>
      <c r="R287" s="60">
        <f t="shared" si="131"/>
        <v>0</v>
      </c>
      <c r="S287" s="58">
        <v>0</v>
      </c>
      <c r="T287" s="58">
        <v>0</v>
      </c>
      <c r="U287" s="58">
        <v>0</v>
      </c>
      <c r="V287" s="58">
        <f>SUMIF('JUNE (물량흐름)'!$C$13:$C$493,'In-out-bal products (155)(완성제품)'!B287,'JUNE (물량흐름)'!$W$13:$W$493)</f>
        <v>0</v>
      </c>
      <c r="W287" s="58">
        <f t="shared" si="132"/>
        <v>0</v>
      </c>
      <c r="X287" s="58">
        <f t="shared" si="133"/>
        <v>0</v>
      </c>
      <c r="Y287" s="58">
        <f>SUMIF('JUNE (물량흐름)'!$C$13:$C$488,'In-out-bal products (155)(완성제품)'!B287,'JUNE (물량흐름)'!$X$13:$X$488)</f>
        <v>0</v>
      </c>
      <c r="Z287" s="58">
        <f t="shared" si="134"/>
        <v>0</v>
      </c>
      <c r="AA287" s="58">
        <f t="shared" si="135"/>
        <v>0</v>
      </c>
      <c r="AB287" s="58"/>
      <c r="AC287" s="58"/>
      <c r="AD287" s="61"/>
      <c r="AE287" s="58">
        <f t="shared" si="136"/>
        <v>0</v>
      </c>
      <c r="AF287" s="58">
        <f t="shared" si="137"/>
        <v>0</v>
      </c>
      <c r="AG287" s="61">
        <f t="shared" si="138"/>
        <v>0</v>
      </c>
      <c r="AH287" s="58">
        <v>0</v>
      </c>
      <c r="AI287" s="58">
        <v>0</v>
      </c>
      <c r="AJ287" s="61">
        <v>0</v>
      </c>
      <c r="AK287" s="58"/>
      <c r="AL287" s="58"/>
      <c r="AM287" s="61"/>
      <c r="AN287" s="61">
        <f t="shared" si="139"/>
        <v>0</v>
      </c>
      <c r="AO287" s="58">
        <f t="shared" si="140"/>
        <v>0</v>
      </c>
      <c r="AP287" s="61">
        <f t="shared" si="141"/>
        <v>0</v>
      </c>
      <c r="AQ287" s="58">
        <f t="shared" si="142"/>
        <v>0</v>
      </c>
      <c r="AR287" s="58">
        <f t="shared" si="143"/>
        <v>0</v>
      </c>
      <c r="AS287" s="58">
        <f t="shared" si="144"/>
        <v>0</v>
      </c>
      <c r="AT287" s="58">
        <f>ROUND(SUMIF('JUNE (물량흐름)'!$C$13:$C$502,'In-out-bal products (155)(완성제품)'!B287,'JUNE (물량흐름)'!$AB$13:$AB$502),0)</f>
        <v>0</v>
      </c>
      <c r="AU287" s="58">
        <f t="shared" si="145"/>
        <v>0</v>
      </c>
      <c r="AV287" s="58">
        <f>ROUND(SUMIF('JUNE (물량흐름)'!$C$13:$C$502,'In-out-bal products (155)(완성제품)'!B287,'JUNE (물량흐름)'!$AC$13:$AC$502),0)</f>
        <v>0</v>
      </c>
      <c r="AW287" s="58">
        <f t="shared" si="146"/>
        <v>0</v>
      </c>
      <c r="AX287" s="376">
        <f t="shared" si="147"/>
        <v>0</v>
      </c>
      <c r="AY287" s="377">
        <f t="shared" si="148"/>
        <v>0</v>
      </c>
      <c r="AZ287" s="377">
        <f t="shared" si="149"/>
        <v>0</v>
      </c>
      <c r="BA287" s="377">
        <f t="shared" si="150"/>
        <v>0</v>
      </c>
      <c r="BB287" s="377"/>
      <c r="BC287" s="377">
        <f t="shared" si="151"/>
        <v>0</v>
      </c>
      <c r="BD287" s="377">
        <f t="shared" si="152"/>
        <v>0</v>
      </c>
      <c r="BE287" s="377"/>
      <c r="BF287" s="377">
        <f t="shared" si="153"/>
        <v>0</v>
      </c>
      <c r="BG287" s="433">
        <f t="shared" si="154"/>
        <v>0</v>
      </c>
      <c r="BH287" s="434">
        <f t="shared" si="155"/>
        <v>0</v>
      </c>
    </row>
    <row r="288" spans="1:60" s="378" customFormat="1">
      <c r="A288" s="167">
        <v>280</v>
      </c>
      <c r="B288" s="253">
        <f>VLOOKUP(A288,'JUNE (물량흐름)'!$A$13:$C$493,3,0)</f>
        <v>471355</v>
      </c>
      <c r="C288" s="57" t="str">
        <f>VLOOKUP(A288,'JUNE (물량흐름)'!$A$13:$C$493,2,0)</f>
        <v>ANN TAYLOR</v>
      </c>
      <c r="D288" s="58">
        <f>IFERROR(VLOOKUP(B288,O.B.JUNE!$V$7:$Y$448,2,0),0)</f>
        <v>0</v>
      </c>
      <c r="E288" s="58">
        <f>IFERROR(VLOOKUP(B288,O.B.JUNE!$V$7:$X$448,3,0),0)</f>
        <v>0</v>
      </c>
      <c r="F288" s="58">
        <f>IFERROR(VLOOKUP(B288,O.B.JUNE!$V$7:$Y$448,4,0),0)</f>
        <v>0</v>
      </c>
      <c r="G288" s="58">
        <f>SUMIF('JUNE (물량흐름)'!$C$13:$C$493,'In-out-bal products (155)(완성제품)'!B288,'JUNE (물량흐름)'!$V$13:$V$493)</f>
        <v>0</v>
      </c>
      <c r="H288" s="58">
        <f>SUMIF('JUNE (물량흐름)'!$C$13:$C$493,'In-out-bal products (155)(완성제품)'!B288,'JUNE (물량흐름)'!$T$13:$T$493)-SUMIF('JUNE (물량흐름)'!$C$13:$C$493,'In-out-bal products (155)(완성제품)'!B288,'JUNE (물량흐름)'!$Y$13:$Y$493)+SUMIF('JUNE (물량흐름)'!$C$13:$C$493,'In-out-bal products (155)(완성제품)'!B288,'JUNE (물량흐름)'!$U$13:$U$493)</f>
        <v>0</v>
      </c>
      <c r="I288" s="58">
        <f t="shared" si="126"/>
        <v>0</v>
      </c>
      <c r="J288" s="58">
        <f>SUMIF('Direct labour(직접노무비)'!$C$12:$C$503,'In-out-bal products (155)(완성제품)'!B288,'Direct labour(직접노무비)'!$Q$12:$Q$503)</f>
        <v>0</v>
      </c>
      <c r="K288" s="59">
        <f>SUMIF('Overhead exp(제조경비)'!$C$12:$C$503,'In-out-bal products (155)(완성제품)'!B288,'Overhead exp(제조경비)'!$Q$12:$Q$503)</f>
        <v>0</v>
      </c>
      <c r="L288" s="58">
        <f t="shared" si="127"/>
        <v>0</v>
      </c>
      <c r="M288" s="58">
        <f>SUMIF('JUNE (물량흐름)'!$C$13:$C$488,'In-out-bal products (155)(완성제품)'!B288,'JUNE (물량흐름)'!$Y$13:$Y$488)</f>
        <v>0</v>
      </c>
      <c r="N288" s="58">
        <f t="shared" si="128"/>
        <v>0</v>
      </c>
      <c r="O288" s="58">
        <f>SUMIF('Direct labour(직접노무비)'!$C$12:$C$503,'In-out-bal products (155)(완성제품)'!B288,'Direct labour(직접노무비)'!$U$12:$U$503)+SUMIF('Overhead exp(제조경비)'!$C$12:$C$503,'In-out-bal products (155)(완성제품)'!B288,'Overhead exp(제조경비)'!$U$12:$U$503)</f>
        <v>0</v>
      </c>
      <c r="P288" s="60">
        <f t="shared" si="129"/>
        <v>0</v>
      </c>
      <c r="Q288" s="60">
        <f t="shared" si="130"/>
        <v>0</v>
      </c>
      <c r="R288" s="60">
        <f t="shared" si="131"/>
        <v>0</v>
      </c>
      <c r="S288" s="58">
        <v>0</v>
      </c>
      <c r="T288" s="58">
        <v>0</v>
      </c>
      <c r="U288" s="58">
        <v>0</v>
      </c>
      <c r="V288" s="58">
        <f>SUMIF('JUNE (물량흐름)'!$C$13:$C$493,'In-out-bal products (155)(완성제품)'!B288,'JUNE (물량흐름)'!$W$13:$W$493)</f>
        <v>0</v>
      </c>
      <c r="W288" s="58">
        <f t="shared" si="132"/>
        <v>0</v>
      </c>
      <c r="X288" s="58">
        <f t="shared" si="133"/>
        <v>0</v>
      </c>
      <c r="Y288" s="58">
        <f>SUMIF('JUNE (물량흐름)'!$C$13:$C$488,'In-out-bal products (155)(완성제품)'!B288,'JUNE (물량흐름)'!$X$13:$X$488)</f>
        <v>0</v>
      </c>
      <c r="Z288" s="58">
        <f t="shared" si="134"/>
        <v>0</v>
      </c>
      <c r="AA288" s="58">
        <f t="shared" si="135"/>
        <v>0</v>
      </c>
      <c r="AB288" s="58"/>
      <c r="AC288" s="58"/>
      <c r="AD288" s="61"/>
      <c r="AE288" s="58">
        <f t="shared" si="136"/>
        <v>0</v>
      </c>
      <c r="AF288" s="58">
        <f t="shared" si="137"/>
        <v>0</v>
      </c>
      <c r="AG288" s="61">
        <f t="shared" si="138"/>
        <v>0</v>
      </c>
      <c r="AH288" s="58">
        <v>0</v>
      </c>
      <c r="AI288" s="58">
        <v>0</v>
      </c>
      <c r="AJ288" s="61">
        <v>0</v>
      </c>
      <c r="AK288" s="58"/>
      <c r="AL288" s="58"/>
      <c r="AM288" s="61"/>
      <c r="AN288" s="61">
        <f t="shared" si="139"/>
        <v>0</v>
      </c>
      <c r="AO288" s="58">
        <f t="shared" si="140"/>
        <v>0</v>
      </c>
      <c r="AP288" s="61">
        <f t="shared" si="141"/>
        <v>0</v>
      </c>
      <c r="AQ288" s="58">
        <f t="shared" si="142"/>
        <v>0</v>
      </c>
      <c r="AR288" s="58">
        <f t="shared" si="143"/>
        <v>0</v>
      </c>
      <c r="AS288" s="58">
        <f t="shared" si="144"/>
        <v>0</v>
      </c>
      <c r="AT288" s="58">
        <f>ROUND(SUMIF('JUNE (물량흐름)'!$C$13:$C$502,'In-out-bal products (155)(완성제품)'!B288,'JUNE (물량흐름)'!$AB$13:$AB$502),0)</f>
        <v>0</v>
      </c>
      <c r="AU288" s="58">
        <f t="shared" si="145"/>
        <v>0</v>
      </c>
      <c r="AV288" s="58">
        <f>ROUND(SUMIF('JUNE (물량흐름)'!$C$13:$C$502,'In-out-bal products (155)(완성제품)'!B288,'JUNE (물량흐름)'!$AC$13:$AC$502),0)</f>
        <v>0</v>
      </c>
      <c r="AW288" s="58">
        <f t="shared" si="146"/>
        <v>0</v>
      </c>
      <c r="AX288" s="376">
        <f t="shared" si="147"/>
        <v>0</v>
      </c>
      <c r="AY288" s="377">
        <f t="shared" si="148"/>
        <v>0</v>
      </c>
      <c r="AZ288" s="377">
        <f t="shared" si="149"/>
        <v>0</v>
      </c>
      <c r="BA288" s="377">
        <f t="shared" si="150"/>
        <v>0</v>
      </c>
      <c r="BB288" s="377"/>
      <c r="BC288" s="377">
        <f t="shared" si="151"/>
        <v>0</v>
      </c>
      <c r="BD288" s="377">
        <f t="shared" si="152"/>
        <v>0</v>
      </c>
      <c r="BE288" s="377"/>
      <c r="BF288" s="377">
        <f t="shared" si="153"/>
        <v>0</v>
      </c>
      <c r="BG288" s="433">
        <f t="shared" si="154"/>
        <v>0</v>
      </c>
      <c r="BH288" s="434">
        <f t="shared" si="155"/>
        <v>0</v>
      </c>
    </row>
    <row r="289" spans="1:60" s="378" customFormat="1">
      <c r="A289" s="167">
        <v>283</v>
      </c>
      <c r="B289" s="253">
        <f>VLOOKUP(A289,'JUNE (물량흐름)'!$A$13:$C$493,3,0)</f>
        <v>100014860</v>
      </c>
      <c r="C289" s="57" t="str">
        <f>VLOOKUP(A289,'JUNE (물량흐름)'!$A$13:$C$493,2,0)</f>
        <v>ALFANI</v>
      </c>
      <c r="D289" s="58">
        <f>IFERROR(VLOOKUP(B289,O.B.JUNE!$V$7:$Y$448,2,0),0)</f>
        <v>0</v>
      </c>
      <c r="E289" s="58">
        <f>IFERROR(VLOOKUP(B289,O.B.JUNE!$V$7:$X$448,3,0),0)</f>
        <v>0</v>
      </c>
      <c r="F289" s="58">
        <f>IFERROR(VLOOKUP(B289,O.B.JUNE!$V$7:$Y$448,4,0),0)</f>
        <v>0</v>
      </c>
      <c r="G289" s="58">
        <f>SUMIF('JUNE (물량흐름)'!$C$13:$C$493,'In-out-bal products (155)(완성제품)'!B289,'JUNE (물량흐름)'!$V$13:$V$493)</f>
        <v>0</v>
      </c>
      <c r="H289" s="58">
        <f>SUMIF('JUNE (물량흐름)'!$C$13:$C$493,'In-out-bal products (155)(완성제품)'!B289,'JUNE (물량흐름)'!$T$13:$T$493)-SUMIF('JUNE (물량흐름)'!$C$13:$C$493,'In-out-bal products (155)(완성제품)'!B289,'JUNE (물량흐름)'!$Y$13:$Y$493)+SUMIF('JUNE (물량흐름)'!$C$13:$C$493,'In-out-bal products (155)(완성제품)'!B289,'JUNE (물량흐름)'!$U$13:$U$493)</f>
        <v>0</v>
      </c>
      <c r="I289" s="58">
        <f t="shared" si="126"/>
        <v>0</v>
      </c>
      <c r="J289" s="58">
        <f>SUMIF('Direct labour(직접노무비)'!$C$12:$C$503,'In-out-bal products (155)(완성제품)'!B289,'Direct labour(직접노무비)'!$Q$12:$Q$503)</f>
        <v>0</v>
      </c>
      <c r="K289" s="59">
        <f>SUMIF('Overhead exp(제조경비)'!$C$12:$C$503,'In-out-bal products (155)(완성제품)'!B289,'Overhead exp(제조경비)'!$Q$12:$Q$503)</f>
        <v>0</v>
      </c>
      <c r="L289" s="58">
        <f t="shared" si="127"/>
        <v>0</v>
      </c>
      <c r="M289" s="58">
        <f>SUMIF('JUNE (물량흐름)'!$C$13:$C$488,'In-out-bal products (155)(완성제품)'!B289,'JUNE (물량흐름)'!$Y$13:$Y$488)</f>
        <v>0</v>
      </c>
      <c r="N289" s="58">
        <f t="shared" si="128"/>
        <v>0</v>
      </c>
      <c r="O289" s="58">
        <f>SUMIF('Direct labour(직접노무비)'!$C$12:$C$503,'In-out-bal products (155)(완성제품)'!B289,'Direct labour(직접노무비)'!$U$12:$U$503)+SUMIF('Overhead exp(제조경비)'!$C$12:$C$503,'In-out-bal products (155)(완성제품)'!B289,'Overhead exp(제조경비)'!$U$12:$U$503)</f>
        <v>0</v>
      </c>
      <c r="P289" s="60">
        <f t="shared" si="129"/>
        <v>0</v>
      </c>
      <c r="Q289" s="60">
        <f t="shared" si="130"/>
        <v>0</v>
      </c>
      <c r="R289" s="60">
        <f t="shared" si="131"/>
        <v>0</v>
      </c>
      <c r="S289" s="58">
        <v>0</v>
      </c>
      <c r="T289" s="58">
        <v>0</v>
      </c>
      <c r="U289" s="58">
        <v>0</v>
      </c>
      <c r="V289" s="58">
        <f>SUMIF('JUNE (물량흐름)'!$C$13:$C$493,'In-out-bal products (155)(완성제품)'!B289,'JUNE (물량흐름)'!$W$13:$W$493)</f>
        <v>0</v>
      </c>
      <c r="W289" s="58">
        <f t="shared" si="132"/>
        <v>0</v>
      </c>
      <c r="X289" s="58">
        <f t="shared" si="133"/>
        <v>0</v>
      </c>
      <c r="Y289" s="58">
        <f>SUMIF('JUNE (물량흐름)'!$C$13:$C$488,'In-out-bal products (155)(완성제품)'!B289,'JUNE (물량흐름)'!$X$13:$X$488)</f>
        <v>0</v>
      </c>
      <c r="Z289" s="58">
        <f t="shared" si="134"/>
        <v>0</v>
      </c>
      <c r="AA289" s="58">
        <f t="shared" si="135"/>
        <v>0</v>
      </c>
      <c r="AB289" s="58"/>
      <c r="AC289" s="58"/>
      <c r="AD289" s="61"/>
      <c r="AE289" s="58">
        <f t="shared" si="136"/>
        <v>0</v>
      </c>
      <c r="AF289" s="58">
        <f t="shared" si="137"/>
        <v>0</v>
      </c>
      <c r="AG289" s="61">
        <f t="shared" si="138"/>
        <v>0</v>
      </c>
      <c r="AH289" s="58">
        <v>0</v>
      </c>
      <c r="AI289" s="58">
        <v>0</v>
      </c>
      <c r="AJ289" s="61">
        <v>0</v>
      </c>
      <c r="AK289" s="58"/>
      <c r="AL289" s="58"/>
      <c r="AM289" s="61"/>
      <c r="AN289" s="61">
        <f t="shared" si="139"/>
        <v>0</v>
      </c>
      <c r="AO289" s="58">
        <f t="shared" si="140"/>
        <v>0</v>
      </c>
      <c r="AP289" s="61">
        <f t="shared" si="141"/>
        <v>0</v>
      </c>
      <c r="AQ289" s="58">
        <f t="shared" si="142"/>
        <v>0</v>
      </c>
      <c r="AR289" s="58">
        <f t="shared" si="143"/>
        <v>0</v>
      </c>
      <c r="AS289" s="58">
        <f t="shared" si="144"/>
        <v>0</v>
      </c>
      <c r="AT289" s="58">
        <f>ROUND(SUMIF('JUNE (물량흐름)'!$C$13:$C$502,'In-out-bal products (155)(완성제품)'!B289,'JUNE (물량흐름)'!$AB$13:$AB$502),0)</f>
        <v>0</v>
      </c>
      <c r="AU289" s="58">
        <f t="shared" si="145"/>
        <v>0</v>
      </c>
      <c r="AV289" s="58">
        <f>ROUND(SUMIF('JUNE (물량흐름)'!$C$13:$C$502,'In-out-bal products (155)(완성제품)'!B289,'JUNE (물량흐름)'!$AC$13:$AC$502),0)</f>
        <v>0</v>
      </c>
      <c r="AW289" s="58">
        <f t="shared" si="146"/>
        <v>0</v>
      </c>
      <c r="AX289" s="376">
        <f t="shared" si="147"/>
        <v>0</v>
      </c>
      <c r="AY289" s="377">
        <f t="shared" si="148"/>
        <v>0</v>
      </c>
      <c r="AZ289" s="377">
        <f t="shared" si="149"/>
        <v>0</v>
      </c>
      <c r="BA289" s="377">
        <f t="shared" si="150"/>
        <v>0</v>
      </c>
      <c r="BB289" s="377"/>
      <c r="BC289" s="377">
        <f t="shared" si="151"/>
        <v>0</v>
      </c>
      <c r="BD289" s="377">
        <f t="shared" si="152"/>
        <v>0</v>
      </c>
      <c r="BE289" s="377"/>
      <c r="BF289" s="377">
        <f t="shared" si="153"/>
        <v>0</v>
      </c>
      <c r="BG289" s="433">
        <f t="shared" si="154"/>
        <v>0</v>
      </c>
      <c r="BH289" s="434">
        <f t="shared" si="155"/>
        <v>0</v>
      </c>
    </row>
    <row r="290" spans="1:60" s="378" customFormat="1">
      <c r="A290" s="167">
        <v>284</v>
      </c>
      <c r="B290" s="253">
        <f>VLOOKUP(A290,'JUNE (물량흐름)'!$A$13:$C$493,3,0)</f>
        <v>100014861</v>
      </c>
      <c r="C290" s="57" t="str">
        <f>VLOOKUP(A290,'JUNE (물량흐름)'!$A$13:$C$493,2,0)</f>
        <v>ALFANI</v>
      </c>
      <c r="D290" s="58">
        <f>IFERROR(VLOOKUP(B290,O.B.JUNE!$V$7:$Y$448,2,0),0)</f>
        <v>0</v>
      </c>
      <c r="E290" s="58">
        <f>IFERROR(VLOOKUP(B290,O.B.JUNE!$V$7:$X$448,3,0),0)</f>
        <v>0</v>
      </c>
      <c r="F290" s="58">
        <f>IFERROR(VLOOKUP(B290,O.B.JUNE!$V$7:$Y$448,4,0),0)</f>
        <v>0</v>
      </c>
      <c r="G290" s="58">
        <f>SUMIF('JUNE (물량흐름)'!$C$13:$C$493,'In-out-bal products (155)(완성제품)'!B290,'JUNE (물량흐름)'!$V$13:$V$493)</f>
        <v>0</v>
      </c>
      <c r="H290" s="58">
        <f>SUMIF('JUNE (물량흐름)'!$C$13:$C$493,'In-out-bal products (155)(완성제품)'!B290,'JUNE (물량흐름)'!$T$13:$T$493)-SUMIF('JUNE (물량흐름)'!$C$13:$C$493,'In-out-bal products (155)(완성제품)'!B290,'JUNE (물량흐름)'!$Y$13:$Y$493)+SUMIF('JUNE (물량흐름)'!$C$13:$C$493,'In-out-bal products (155)(완성제품)'!B290,'JUNE (물량흐름)'!$U$13:$U$493)</f>
        <v>0</v>
      </c>
      <c r="I290" s="58">
        <f t="shared" si="126"/>
        <v>0</v>
      </c>
      <c r="J290" s="58">
        <f>SUMIF('Direct labour(직접노무비)'!$C$12:$C$503,'In-out-bal products (155)(완성제품)'!B290,'Direct labour(직접노무비)'!$Q$12:$Q$503)</f>
        <v>0</v>
      </c>
      <c r="K290" s="59">
        <f>SUMIF('Overhead exp(제조경비)'!$C$12:$C$503,'In-out-bal products (155)(완성제품)'!B290,'Overhead exp(제조경비)'!$Q$12:$Q$503)</f>
        <v>0</v>
      </c>
      <c r="L290" s="58">
        <f t="shared" si="127"/>
        <v>0</v>
      </c>
      <c r="M290" s="58">
        <f>SUMIF('JUNE (물량흐름)'!$C$13:$C$488,'In-out-bal products (155)(완성제품)'!B290,'JUNE (물량흐름)'!$Y$13:$Y$488)</f>
        <v>0</v>
      </c>
      <c r="N290" s="58">
        <f t="shared" si="128"/>
        <v>0</v>
      </c>
      <c r="O290" s="58">
        <f>SUMIF('Direct labour(직접노무비)'!$C$12:$C$503,'In-out-bal products (155)(완성제품)'!B290,'Direct labour(직접노무비)'!$U$12:$U$503)+SUMIF('Overhead exp(제조경비)'!$C$12:$C$503,'In-out-bal products (155)(완성제품)'!B290,'Overhead exp(제조경비)'!$U$12:$U$503)</f>
        <v>0</v>
      </c>
      <c r="P290" s="60">
        <f t="shared" si="129"/>
        <v>0</v>
      </c>
      <c r="Q290" s="60">
        <f t="shared" si="130"/>
        <v>0</v>
      </c>
      <c r="R290" s="60">
        <f t="shared" si="131"/>
        <v>0</v>
      </c>
      <c r="S290" s="58">
        <v>0</v>
      </c>
      <c r="T290" s="58">
        <v>0</v>
      </c>
      <c r="U290" s="58">
        <v>0</v>
      </c>
      <c r="V290" s="58">
        <f>SUMIF('JUNE (물량흐름)'!$C$13:$C$493,'In-out-bal products (155)(완성제품)'!B290,'JUNE (물량흐름)'!$W$13:$W$493)</f>
        <v>0</v>
      </c>
      <c r="W290" s="58">
        <f t="shared" si="132"/>
        <v>0</v>
      </c>
      <c r="X290" s="58">
        <f t="shared" si="133"/>
        <v>0</v>
      </c>
      <c r="Y290" s="58">
        <f>SUMIF('JUNE (물량흐름)'!$C$13:$C$488,'In-out-bal products (155)(완성제품)'!B290,'JUNE (물량흐름)'!$X$13:$X$488)</f>
        <v>0</v>
      </c>
      <c r="Z290" s="58">
        <f t="shared" si="134"/>
        <v>0</v>
      </c>
      <c r="AA290" s="58">
        <f t="shared" si="135"/>
        <v>0</v>
      </c>
      <c r="AB290" s="58"/>
      <c r="AC290" s="58"/>
      <c r="AD290" s="61"/>
      <c r="AE290" s="58">
        <f t="shared" si="136"/>
        <v>0</v>
      </c>
      <c r="AF290" s="58">
        <f t="shared" si="137"/>
        <v>0</v>
      </c>
      <c r="AG290" s="61">
        <f t="shared" si="138"/>
        <v>0</v>
      </c>
      <c r="AH290" s="58">
        <v>0</v>
      </c>
      <c r="AI290" s="58">
        <v>0</v>
      </c>
      <c r="AJ290" s="61">
        <v>0</v>
      </c>
      <c r="AK290" s="58"/>
      <c r="AL290" s="58"/>
      <c r="AM290" s="61"/>
      <c r="AN290" s="61">
        <f t="shared" si="139"/>
        <v>0</v>
      </c>
      <c r="AO290" s="58">
        <f t="shared" si="140"/>
        <v>0</v>
      </c>
      <c r="AP290" s="61">
        <f t="shared" si="141"/>
        <v>0</v>
      </c>
      <c r="AQ290" s="58">
        <f t="shared" si="142"/>
        <v>0</v>
      </c>
      <c r="AR290" s="58">
        <f t="shared" si="143"/>
        <v>0</v>
      </c>
      <c r="AS290" s="58">
        <f t="shared" si="144"/>
        <v>0</v>
      </c>
      <c r="AT290" s="58">
        <f>ROUND(SUMIF('JUNE (물량흐름)'!$C$13:$C$502,'In-out-bal products (155)(완성제품)'!B290,'JUNE (물량흐름)'!$AB$13:$AB$502),0)</f>
        <v>0</v>
      </c>
      <c r="AU290" s="58">
        <f t="shared" si="145"/>
        <v>0</v>
      </c>
      <c r="AV290" s="58">
        <f>ROUND(SUMIF('JUNE (물량흐름)'!$C$13:$C$502,'In-out-bal products (155)(완성제품)'!B290,'JUNE (물량흐름)'!$AC$13:$AC$502),0)</f>
        <v>0</v>
      </c>
      <c r="AW290" s="58">
        <f t="shared" si="146"/>
        <v>0</v>
      </c>
      <c r="AX290" s="376">
        <f t="shared" si="147"/>
        <v>0</v>
      </c>
      <c r="AY290" s="377">
        <f t="shared" si="148"/>
        <v>0</v>
      </c>
      <c r="AZ290" s="377">
        <f t="shared" si="149"/>
        <v>0</v>
      </c>
      <c r="BA290" s="377">
        <f t="shared" si="150"/>
        <v>0</v>
      </c>
      <c r="BB290" s="377"/>
      <c r="BC290" s="377">
        <f t="shared" si="151"/>
        <v>0</v>
      </c>
      <c r="BD290" s="377">
        <f t="shared" si="152"/>
        <v>0</v>
      </c>
      <c r="BE290" s="377"/>
      <c r="BF290" s="377">
        <f t="shared" si="153"/>
        <v>0</v>
      </c>
      <c r="BG290" s="433">
        <f t="shared" si="154"/>
        <v>0</v>
      </c>
      <c r="BH290" s="434">
        <f t="shared" si="155"/>
        <v>0</v>
      </c>
    </row>
    <row r="291" spans="1:60" s="378" customFormat="1">
      <c r="A291" s="167">
        <v>285</v>
      </c>
      <c r="B291" s="253">
        <f>VLOOKUP(A291,'JUNE (물량흐름)'!$A$13:$C$493,3,0)</f>
        <v>100014862</v>
      </c>
      <c r="C291" s="57" t="str">
        <f>VLOOKUP(A291,'JUNE (물량흐름)'!$A$13:$C$493,2,0)</f>
        <v>ALFANI</v>
      </c>
      <c r="D291" s="58">
        <f>IFERROR(VLOOKUP(B291,O.B.JUNE!$V$7:$Y$448,2,0),0)</f>
        <v>0</v>
      </c>
      <c r="E291" s="58">
        <f>IFERROR(VLOOKUP(B291,O.B.JUNE!$V$7:$X$448,3,0),0)</f>
        <v>0</v>
      </c>
      <c r="F291" s="58">
        <f>IFERROR(VLOOKUP(B291,O.B.JUNE!$V$7:$Y$448,4,0),0)</f>
        <v>0</v>
      </c>
      <c r="G291" s="58">
        <f>SUMIF('JUNE (물량흐름)'!$C$13:$C$493,'In-out-bal products (155)(완성제품)'!B291,'JUNE (물량흐름)'!$V$13:$V$493)</f>
        <v>0</v>
      </c>
      <c r="H291" s="58">
        <f>SUMIF('JUNE (물량흐름)'!$C$13:$C$493,'In-out-bal products (155)(완성제품)'!B291,'JUNE (물량흐름)'!$T$13:$T$493)-SUMIF('JUNE (물량흐름)'!$C$13:$C$493,'In-out-bal products (155)(완성제품)'!B291,'JUNE (물량흐름)'!$Y$13:$Y$493)+SUMIF('JUNE (물량흐름)'!$C$13:$C$493,'In-out-bal products (155)(완성제품)'!B291,'JUNE (물량흐름)'!$U$13:$U$493)</f>
        <v>0</v>
      </c>
      <c r="I291" s="58">
        <f t="shared" si="126"/>
        <v>0</v>
      </c>
      <c r="J291" s="58">
        <f>SUMIF('Direct labour(직접노무비)'!$C$12:$C$503,'In-out-bal products (155)(완성제품)'!B291,'Direct labour(직접노무비)'!$Q$12:$Q$503)</f>
        <v>0</v>
      </c>
      <c r="K291" s="59">
        <f>SUMIF('Overhead exp(제조경비)'!$C$12:$C$503,'In-out-bal products (155)(완성제품)'!B291,'Overhead exp(제조경비)'!$Q$12:$Q$503)</f>
        <v>0</v>
      </c>
      <c r="L291" s="58">
        <f t="shared" si="127"/>
        <v>0</v>
      </c>
      <c r="M291" s="58">
        <f>SUMIF('JUNE (물량흐름)'!$C$13:$C$488,'In-out-bal products (155)(완성제품)'!B291,'JUNE (물량흐름)'!$Y$13:$Y$488)</f>
        <v>0</v>
      </c>
      <c r="N291" s="58">
        <f t="shared" si="128"/>
        <v>0</v>
      </c>
      <c r="O291" s="58">
        <f>SUMIF('Direct labour(직접노무비)'!$C$12:$C$503,'In-out-bal products (155)(완성제품)'!B291,'Direct labour(직접노무비)'!$U$12:$U$503)+SUMIF('Overhead exp(제조경비)'!$C$12:$C$503,'In-out-bal products (155)(완성제품)'!B291,'Overhead exp(제조경비)'!$U$12:$U$503)</f>
        <v>0</v>
      </c>
      <c r="P291" s="60">
        <f t="shared" si="129"/>
        <v>0</v>
      </c>
      <c r="Q291" s="60">
        <f t="shared" si="130"/>
        <v>0</v>
      </c>
      <c r="R291" s="60">
        <f t="shared" si="131"/>
        <v>0</v>
      </c>
      <c r="S291" s="58">
        <v>0</v>
      </c>
      <c r="T291" s="58">
        <v>0</v>
      </c>
      <c r="U291" s="58">
        <v>0</v>
      </c>
      <c r="V291" s="58">
        <f>SUMIF('JUNE (물량흐름)'!$C$13:$C$493,'In-out-bal products (155)(완성제품)'!B291,'JUNE (물량흐름)'!$W$13:$W$493)</f>
        <v>0</v>
      </c>
      <c r="W291" s="58">
        <f t="shared" si="132"/>
        <v>0</v>
      </c>
      <c r="X291" s="58">
        <f t="shared" si="133"/>
        <v>0</v>
      </c>
      <c r="Y291" s="58">
        <f>SUMIF('JUNE (물량흐름)'!$C$13:$C$488,'In-out-bal products (155)(완성제품)'!B291,'JUNE (물량흐름)'!$X$13:$X$488)</f>
        <v>0</v>
      </c>
      <c r="Z291" s="58">
        <f t="shared" si="134"/>
        <v>0</v>
      </c>
      <c r="AA291" s="58">
        <f t="shared" si="135"/>
        <v>0</v>
      </c>
      <c r="AB291" s="58"/>
      <c r="AC291" s="58"/>
      <c r="AD291" s="61"/>
      <c r="AE291" s="58">
        <f t="shared" si="136"/>
        <v>0</v>
      </c>
      <c r="AF291" s="58">
        <f t="shared" si="137"/>
        <v>0</v>
      </c>
      <c r="AG291" s="61">
        <f t="shared" si="138"/>
        <v>0</v>
      </c>
      <c r="AH291" s="58">
        <v>0</v>
      </c>
      <c r="AI291" s="58">
        <v>0</v>
      </c>
      <c r="AJ291" s="61">
        <v>0</v>
      </c>
      <c r="AK291" s="58"/>
      <c r="AL291" s="58"/>
      <c r="AM291" s="61"/>
      <c r="AN291" s="61">
        <f t="shared" si="139"/>
        <v>0</v>
      </c>
      <c r="AO291" s="58">
        <f t="shared" si="140"/>
        <v>0</v>
      </c>
      <c r="AP291" s="61">
        <f t="shared" si="141"/>
        <v>0</v>
      </c>
      <c r="AQ291" s="58">
        <f t="shared" si="142"/>
        <v>0</v>
      </c>
      <c r="AR291" s="58">
        <f t="shared" si="143"/>
        <v>0</v>
      </c>
      <c r="AS291" s="58">
        <f t="shared" si="144"/>
        <v>0</v>
      </c>
      <c r="AT291" s="58">
        <f>ROUND(SUMIF('JUNE (물량흐름)'!$C$13:$C$502,'In-out-bal products (155)(완성제품)'!B291,'JUNE (물량흐름)'!$AB$13:$AB$502),0)</f>
        <v>0</v>
      </c>
      <c r="AU291" s="58">
        <f t="shared" si="145"/>
        <v>0</v>
      </c>
      <c r="AV291" s="58">
        <f>ROUND(SUMIF('JUNE (물량흐름)'!$C$13:$C$502,'In-out-bal products (155)(완성제품)'!B291,'JUNE (물량흐름)'!$AC$13:$AC$502),0)</f>
        <v>0</v>
      </c>
      <c r="AW291" s="58">
        <f t="shared" si="146"/>
        <v>0</v>
      </c>
      <c r="AX291" s="376">
        <f t="shared" si="147"/>
        <v>0</v>
      </c>
      <c r="AY291" s="377">
        <f t="shared" si="148"/>
        <v>0</v>
      </c>
      <c r="AZ291" s="377">
        <f t="shared" si="149"/>
        <v>0</v>
      </c>
      <c r="BA291" s="377">
        <f t="shared" si="150"/>
        <v>0</v>
      </c>
      <c r="BB291" s="377"/>
      <c r="BC291" s="377">
        <f t="shared" si="151"/>
        <v>0</v>
      </c>
      <c r="BD291" s="377">
        <f t="shared" si="152"/>
        <v>0</v>
      </c>
      <c r="BE291" s="377"/>
      <c r="BF291" s="377">
        <f t="shared" si="153"/>
        <v>0</v>
      </c>
      <c r="BG291" s="433">
        <f t="shared" si="154"/>
        <v>0</v>
      </c>
      <c r="BH291" s="434">
        <f t="shared" si="155"/>
        <v>0</v>
      </c>
    </row>
    <row r="292" spans="1:60" s="378" customFormat="1">
      <c r="A292" s="167">
        <v>286</v>
      </c>
      <c r="B292" s="253">
        <f>VLOOKUP(A292,'JUNE (물량흐름)'!$A$13:$C$493,3,0)</f>
        <v>100014863</v>
      </c>
      <c r="C292" s="57" t="str">
        <f>VLOOKUP(A292,'JUNE (물량흐름)'!$A$13:$C$493,2,0)</f>
        <v>ALFANI</v>
      </c>
      <c r="D292" s="58">
        <f>IFERROR(VLOOKUP(B292,O.B.JUNE!$V$7:$Y$448,2,0),0)</f>
        <v>0</v>
      </c>
      <c r="E292" s="58">
        <f>IFERROR(VLOOKUP(B292,O.B.JUNE!$V$7:$X$448,3,0),0)</f>
        <v>0</v>
      </c>
      <c r="F292" s="58">
        <f>IFERROR(VLOOKUP(B292,O.B.JUNE!$V$7:$Y$448,4,0),0)</f>
        <v>0</v>
      </c>
      <c r="G292" s="58">
        <f>SUMIF('JUNE (물량흐름)'!$C$13:$C$493,'In-out-bal products (155)(완성제품)'!B292,'JUNE (물량흐름)'!$V$13:$V$493)</f>
        <v>0</v>
      </c>
      <c r="H292" s="58">
        <f>SUMIF('JUNE (물량흐름)'!$C$13:$C$493,'In-out-bal products (155)(완성제품)'!B292,'JUNE (물량흐름)'!$T$13:$T$493)-SUMIF('JUNE (물량흐름)'!$C$13:$C$493,'In-out-bal products (155)(완성제품)'!B292,'JUNE (물량흐름)'!$Y$13:$Y$493)+SUMIF('JUNE (물량흐름)'!$C$13:$C$493,'In-out-bal products (155)(완성제품)'!B292,'JUNE (물량흐름)'!$U$13:$U$493)</f>
        <v>0</v>
      </c>
      <c r="I292" s="58">
        <f t="shared" si="126"/>
        <v>0</v>
      </c>
      <c r="J292" s="58">
        <f>SUMIF('Direct labour(직접노무비)'!$C$12:$C$503,'In-out-bal products (155)(완성제품)'!B292,'Direct labour(직접노무비)'!$Q$12:$Q$503)</f>
        <v>0</v>
      </c>
      <c r="K292" s="59">
        <f>SUMIF('Overhead exp(제조경비)'!$C$12:$C$503,'In-out-bal products (155)(완성제품)'!B292,'Overhead exp(제조경비)'!$Q$12:$Q$503)</f>
        <v>0</v>
      </c>
      <c r="L292" s="58">
        <f t="shared" si="127"/>
        <v>0</v>
      </c>
      <c r="M292" s="58">
        <f>SUMIF('JUNE (물량흐름)'!$C$13:$C$488,'In-out-bal products (155)(완성제품)'!B292,'JUNE (물량흐름)'!$Y$13:$Y$488)</f>
        <v>0</v>
      </c>
      <c r="N292" s="58">
        <f t="shared" si="128"/>
        <v>0</v>
      </c>
      <c r="O292" s="58">
        <f>SUMIF('Direct labour(직접노무비)'!$C$12:$C$503,'In-out-bal products (155)(완성제품)'!B292,'Direct labour(직접노무비)'!$U$12:$U$503)+SUMIF('Overhead exp(제조경비)'!$C$12:$C$503,'In-out-bal products (155)(완성제품)'!B292,'Overhead exp(제조경비)'!$U$12:$U$503)</f>
        <v>0</v>
      </c>
      <c r="P292" s="60">
        <f t="shared" si="129"/>
        <v>0</v>
      </c>
      <c r="Q292" s="60">
        <f t="shared" si="130"/>
        <v>0</v>
      </c>
      <c r="R292" s="60">
        <f t="shared" si="131"/>
        <v>0</v>
      </c>
      <c r="S292" s="58">
        <v>0</v>
      </c>
      <c r="T292" s="58">
        <v>0</v>
      </c>
      <c r="U292" s="58">
        <v>0</v>
      </c>
      <c r="V292" s="58">
        <f>SUMIF('JUNE (물량흐름)'!$C$13:$C$493,'In-out-bal products (155)(완성제품)'!B292,'JUNE (물량흐름)'!$W$13:$W$493)</f>
        <v>0</v>
      </c>
      <c r="W292" s="58">
        <f t="shared" si="132"/>
        <v>0</v>
      </c>
      <c r="X292" s="58">
        <f t="shared" si="133"/>
        <v>0</v>
      </c>
      <c r="Y292" s="58">
        <f>SUMIF('JUNE (물량흐름)'!$C$13:$C$488,'In-out-bal products (155)(완성제품)'!B292,'JUNE (물량흐름)'!$X$13:$X$488)</f>
        <v>0</v>
      </c>
      <c r="Z292" s="58">
        <f t="shared" si="134"/>
        <v>0</v>
      </c>
      <c r="AA292" s="58">
        <f t="shared" si="135"/>
        <v>0</v>
      </c>
      <c r="AB292" s="58"/>
      <c r="AC292" s="58"/>
      <c r="AD292" s="61"/>
      <c r="AE292" s="58">
        <f t="shared" si="136"/>
        <v>0</v>
      </c>
      <c r="AF292" s="58">
        <f t="shared" si="137"/>
        <v>0</v>
      </c>
      <c r="AG292" s="61">
        <f t="shared" si="138"/>
        <v>0</v>
      </c>
      <c r="AH292" s="58">
        <v>0</v>
      </c>
      <c r="AI292" s="58">
        <v>0</v>
      </c>
      <c r="AJ292" s="61">
        <v>0</v>
      </c>
      <c r="AK292" s="58"/>
      <c r="AL292" s="58"/>
      <c r="AM292" s="61"/>
      <c r="AN292" s="61">
        <f t="shared" si="139"/>
        <v>0</v>
      </c>
      <c r="AO292" s="58">
        <f t="shared" si="140"/>
        <v>0</v>
      </c>
      <c r="AP292" s="61">
        <f t="shared" si="141"/>
        <v>0</v>
      </c>
      <c r="AQ292" s="58">
        <f t="shared" si="142"/>
        <v>0</v>
      </c>
      <c r="AR292" s="58">
        <f t="shared" si="143"/>
        <v>0</v>
      </c>
      <c r="AS292" s="58">
        <f t="shared" si="144"/>
        <v>0</v>
      </c>
      <c r="AT292" s="58">
        <f>ROUND(SUMIF('JUNE (물량흐름)'!$C$13:$C$502,'In-out-bal products (155)(완성제품)'!B292,'JUNE (물량흐름)'!$AB$13:$AB$502),0)</f>
        <v>0</v>
      </c>
      <c r="AU292" s="58">
        <f t="shared" si="145"/>
        <v>0</v>
      </c>
      <c r="AV292" s="58">
        <f>ROUND(SUMIF('JUNE (물량흐름)'!$C$13:$C$502,'In-out-bal products (155)(완성제품)'!B292,'JUNE (물량흐름)'!$AC$13:$AC$502),0)</f>
        <v>0</v>
      </c>
      <c r="AW292" s="58">
        <f t="shared" si="146"/>
        <v>0</v>
      </c>
      <c r="AX292" s="376">
        <f t="shared" si="147"/>
        <v>0</v>
      </c>
      <c r="AY292" s="377">
        <f t="shared" si="148"/>
        <v>0</v>
      </c>
      <c r="AZ292" s="377">
        <f t="shared" si="149"/>
        <v>0</v>
      </c>
      <c r="BA292" s="377">
        <f t="shared" si="150"/>
        <v>0</v>
      </c>
      <c r="BB292" s="377"/>
      <c r="BC292" s="377">
        <f t="shared" si="151"/>
        <v>0</v>
      </c>
      <c r="BD292" s="377">
        <f t="shared" si="152"/>
        <v>0</v>
      </c>
      <c r="BE292" s="377"/>
      <c r="BF292" s="377">
        <f t="shared" si="153"/>
        <v>0</v>
      </c>
      <c r="BG292" s="433">
        <f t="shared" si="154"/>
        <v>0</v>
      </c>
      <c r="BH292" s="434">
        <f t="shared" si="155"/>
        <v>0</v>
      </c>
    </row>
    <row r="293" spans="1:60" s="378" customFormat="1">
      <c r="A293" s="167">
        <v>287</v>
      </c>
      <c r="B293" s="253">
        <f>VLOOKUP(A293,'JUNE (물량흐름)'!$A$13:$C$493,3,0)</f>
        <v>100014864</v>
      </c>
      <c r="C293" s="57" t="str">
        <f>VLOOKUP(A293,'JUNE (물량흐름)'!$A$13:$C$493,2,0)</f>
        <v>ALFANI</v>
      </c>
      <c r="D293" s="58">
        <f>IFERROR(VLOOKUP(B293,O.B.JUNE!$V$7:$Y$448,2,0),0)</f>
        <v>0</v>
      </c>
      <c r="E293" s="58">
        <f>IFERROR(VLOOKUP(B293,O.B.JUNE!$V$7:$X$448,3,0),0)</f>
        <v>0</v>
      </c>
      <c r="F293" s="58">
        <f>IFERROR(VLOOKUP(B293,O.B.JUNE!$V$7:$Y$448,4,0),0)</f>
        <v>0</v>
      </c>
      <c r="G293" s="58">
        <f>SUMIF('JUNE (물량흐름)'!$C$13:$C$493,'In-out-bal products (155)(완성제품)'!B293,'JUNE (물량흐름)'!$V$13:$V$493)</f>
        <v>0</v>
      </c>
      <c r="H293" s="58">
        <f>SUMIF('JUNE (물량흐름)'!$C$13:$C$493,'In-out-bal products (155)(완성제품)'!B293,'JUNE (물량흐름)'!$T$13:$T$493)-SUMIF('JUNE (물량흐름)'!$C$13:$C$493,'In-out-bal products (155)(완성제품)'!B293,'JUNE (물량흐름)'!$Y$13:$Y$493)+SUMIF('JUNE (물량흐름)'!$C$13:$C$493,'In-out-bal products (155)(완성제품)'!B293,'JUNE (물량흐름)'!$U$13:$U$493)</f>
        <v>0</v>
      </c>
      <c r="I293" s="58">
        <f t="shared" si="126"/>
        <v>0</v>
      </c>
      <c r="J293" s="58">
        <f>SUMIF('Direct labour(직접노무비)'!$C$12:$C$503,'In-out-bal products (155)(완성제품)'!B293,'Direct labour(직접노무비)'!$Q$12:$Q$503)</f>
        <v>0</v>
      </c>
      <c r="K293" s="59">
        <f>SUMIF('Overhead exp(제조경비)'!$C$12:$C$503,'In-out-bal products (155)(완성제품)'!B293,'Overhead exp(제조경비)'!$Q$12:$Q$503)</f>
        <v>0</v>
      </c>
      <c r="L293" s="58">
        <f t="shared" si="127"/>
        <v>0</v>
      </c>
      <c r="M293" s="58">
        <f>SUMIF('JUNE (물량흐름)'!$C$13:$C$488,'In-out-bal products (155)(완성제품)'!B293,'JUNE (물량흐름)'!$Y$13:$Y$488)</f>
        <v>0</v>
      </c>
      <c r="N293" s="58">
        <f t="shared" si="128"/>
        <v>0</v>
      </c>
      <c r="O293" s="58">
        <f>SUMIF('Direct labour(직접노무비)'!$C$12:$C$503,'In-out-bal products (155)(완성제품)'!B293,'Direct labour(직접노무비)'!$U$12:$U$503)+SUMIF('Overhead exp(제조경비)'!$C$12:$C$503,'In-out-bal products (155)(완성제품)'!B293,'Overhead exp(제조경비)'!$U$12:$U$503)</f>
        <v>0</v>
      </c>
      <c r="P293" s="60">
        <f t="shared" si="129"/>
        <v>0</v>
      </c>
      <c r="Q293" s="60">
        <f t="shared" si="130"/>
        <v>0</v>
      </c>
      <c r="R293" s="60">
        <f t="shared" si="131"/>
        <v>0</v>
      </c>
      <c r="S293" s="58">
        <v>0</v>
      </c>
      <c r="T293" s="58">
        <v>0</v>
      </c>
      <c r="U293" s="58">
        <v>0</v>
      </c>
      <c r="V293" s="58">
        <f>SUMIF('JUNE (물량흐름)'!$C$13:$C$493,'In-out-bal products (155)(완성제품)'!B293,'JUNE (물량흐름)'!$W$13:$W$493)</f>
        <v>0</v>
      </c>
      <c r="W293" s="58">
        <f t="shared" si="132"/>
        <v>0</v>
      </c>
      <c r="X293" s="58">
        <f t="shared" si="133"/>
        <v>0</v>
      </c>
      <c r="Y293" s="58">
        <f>SUMIF('JUNE (물량흐름)'!$C$13:$C$488,'In-out-bal products (155)(완성제품)'!B293,'JUNE (물량흐름)'!$X$13:$X$488)</f>
        <v>0</v>
      </c>
      <c r="Z293" s="58">
        <f t="shared" si="134"/>
        <v>0</v>
      </c>
      <c r="AA293" s="58">
        <f t="shared" si="135"/>
        <v>0</v>
      </c>
      <c r="AB293" s="58"/>
      <c r="AC293" s="58"/>
      <c r="AD293" s="61"/>
      <c r="AE293" s="58">
        <f t="shared" si="136"/>
        <v>0</v>
      </c>
      <c r="AF293" s="58">
        <f t="shared" si="137"/>
        <v>0</v>
      </c>
      <c r="AG293" s="61">
        <f t="shared" si="138"/>
        <v>0</v>
      </c>
      <c r="AH293" s="58">
        <v>0</v>
      </c>
      <c r="AI293" s="58">
        <v>0</v>
      </c>
      <c r="AJ293" s="61">
        <v>0</v>
      </c>
      <c r="AK293" s="58"/>
      <c r="AL293" s="58"/>
      <c r="AM293" s="61"/>
      <c r="AN293" s="61">
        <f t="shared" si="139"/>
        <v>0</v>
      </c>
      <c r="AO293" s="58">
        <f t="shared" si="140"/>
        <v>0</v>
      </c>
      <c r="AP293" s="61">
        <f t="shared" si="141"/>
        <v>0</v>
      </c>
      <c r="AQ293" s="58">
        <f t="shared" si="142"/>
        <v>0</v>
      </c>
      <c r="AR293" s="58">
        <f t="shared" si="143"/>
        <v>0</v>
      </c>
      <c r="AS293" s="58">
        <f t="shared" si="144"/>
        <v>0</v>
      </c>
      <c r="AT293" s="58">
        <f>ROUND(SUMIF('JUNE (물량흐름)'!$C$13:$C$502,'In-out-bal products (155)(완성제품)'!B293,'JUNE (물량흐름)'!$AB$13:$AB$502),0)</f>
        <v>0</v>
      </c>
      <c r="AU293" s="58">
        <f t="shared" si="145"/>
        <v>0</v>
      </c>
      <c r="AV293" s="58">
        <f>ROUND(SUMIF('JUNE (물량흐름)'!$C$13:$C$502,'In-out-bal products (155)(완성제품)'!B293,'JUNE (물량흐름)'!$AC$13:$AC$502),0)</f>
        <v>0</v>
      </c>
      <c r="AW293" s="58">
        <f t="shared" si="146"/>
        <v>0</v>
      </c>
      <c r="AX293" s="376">
        <f t="shared" si="147"/>
        <v>0</v>
      </c>
      <c r="AY293" s="377">
        <f t="shared" si="148"/>
        <v>0</v>
      </c>
      <c r="AZ293" s="377">
        <f t="shared" si="149"/>
        <v>0</v>
      </c>
      <c r="BA293" s="377">
        <f t="shared" si="150"/>
        <v>0</v>
      </c>
      <c r="BB293" s="377"/>
      <c r="BC293" s="377">
        <f t="shared" si="151"/>
        <v>0</v>
      </c>
      <c r="BD293" s="377">
        <f t="shared" si="152"/>
        <v>0</v>
      </c>
      <c r="BE293" s="377"/>
      <c r="BF293" s="377">
        <f t="shared" si="153"/>
        <v>0</v>
      </c>
      <c r="BG293" s="433">
        <f t="shared" si="154"/>
        <v>0</v>
      </c>
      <c r="BH293" s="434">
        <f t="shared" si="155"/>
        <v>0</v>
      </c>
    </row>
    <row r="294" spans="1:60" s="378" customFormat="1">
      <c r="A294" s="167">
        <v>288</v>
      </c>
      <c r="B294" s="253">
        <f>VLOOKUP(A294,'JUNE (물량흐름)'!$A$13:$C$493,3,0)</f>
        <v>100014869</v>
      </c>
      <c r="C294" s="57" t="str">
        <f>VLOOKUP(A294,'JUNE (물량흐름)'!$A$13:$C$493,2,0)</f>
        <v>ALFANI</v>
      </c>
      <c r="D294" s="58">
        <f>IFERROR(VLOOKUP(B294,O.B.JUNE!$V$7:$Y$448,2,0),0)</f>
        <v>0</v>
      </c>
      <c r="E294" s="58">
        <f>IFERROR(VLOOKUP(B294,O.B.JUNE!$V$7:$X$448,3,0),0)</f>
        <v>0</v>
      </c>
      <c r="F294" s="58">
        <f>IFERROR(VLOOKUP(B294,O.B.JUNE!$V$7:$Y$448,4,0),0)</f>
        <v>0</v>
      </c>
      <c r="G294" s="58">
        <f>SUMIF('JUNE (물량흐름)'!$C$13:$C$493,'In-out-bal products (155)(완성제품)'!B294,'JUNE (물량흐름)'!$V$13:$V$493)</f>
        <v>0</v>
      </c>
      <c r="H294" s="58">
        <f>SUMIF('JUNE (물량흐름)'!$C$13:$C$493,'In-out-bal products (155)(완성제품)'!B294,'JUNE (물량흐름)'!$T$13:$T$493)-SUMIF('JUNE (물량흐름)'!$C$13:$C$493,'In-out-bal products (155)(완성제품)'!B294,'JUNE (물량흐름)'!$Y$13:$Y$493)+SUMIF('JUNE (물량흐름)'!$C$13:$C$493,'In-out-bal products (155)(완성제품)'!B294,'JUNE (물량흐름)'!$U$13:$U$493)</f>
        <v>0</v>
      </c>
      <c r="I294" s="58">
        <f t="shared" si="126"/>
        <v>0</v>
      </c>
      <c r="J294" s="58">
        <f>SUMIF('Direct labour(직접노무비)'!$C$12:$C$503,'In-out-bal products (155)(완성제품)'!B294,'Direct labour(직접노무비)'!$Q$12:$Q$503)</f>
        <v>0</v>
      </c>
      <c r="K294" s="59">
        <f>SUMIF('Overhead exp(제조경비)'!$C$12:$C$503,'In-out-bal products (155)(완성제품)'!B294,'Overhead exp(제조경비)'!$Q$12:$Q$503)</f>
        <v>0</v>
      </c>
      <c r="L294" s="58">
        <f t="shared" si="127"/>
        <v>0</v>
      </c>
      <c r="M294" s="58">
        <f>SUMIF('JUNE (물량흐름)'!$C$13:$C$488,'In-out-bal products (155)(완성제품)'!B294,'JUNE (물량흐름)'!$Y$13:$Y$488)</f>
        <v>0</v>
      </c>
      <c r="N294" s="58">
        <f t="shared" si="128"/>
        <v>0</v>
      </c>
      <c r="O294" s="58">
        <f>SUMIF('Direct labour(직접노무비)'!$C$12:$C$503,'In-out-bal products (155)(완성제품)'!B294,'Direct labour(직접노무비)'!$U$12:$U$503)+SUMIF('Overhead exp(제조경비)'!$C$12:$C$503,'In-out-bal products (155)(완성제품)'!B294,'Overhead exp(제조경비)'!$U$12:$U$503)</f>
        <v>0</v>
      </c>
      <c r="P294" s="60">
        <f t="shared" si="129"/>
        <v>0</v>
      </c>
      <c r="Q294" s="60">
        <f t="shared" si="130"/>
        <v>0</v>
      </c>
      <c r="R294" s="60">
        <f t="shared" si="131"/>
        <v>0</v>
      </c>
      <c r="S294" s="58">
        <v>0</v>
      </c>
      <c r="T294" s="58">
        <v>0</v>
      </c>
      <c r="U294" s="58">
        <v>0</v>
      </c>
      <c r="V294" s="58">
        <f>SUMIF('JUNE (물량흐름)'!$C$13:$C$493,'In-out-bal products (155)(완성제품)'!B294,'JUNE (물량흐름)'!$W$13:$W$493)</f>
        <v>0</v>
      </c>
      <c r="W294" s="58">
        <f t="shared" si="132"/>
        <v>0</v>
      </c>
      <c r="X294" s="58">
        <f t="shared" si="133"/>
        <v>0</v>
      </c>
      <c r="Y294" s="58">
        <f>SUMIF('JUNE (물량흐름)'!$C$13:$C$488,'In-out-bal products (155)(완성제품)'!B294,'JUNE (물량흐름)'!$X$13:$X$488)</f>
        <v>0</v>
      </c>
      <c r="Z294" s="58">
        <f t="shared" si="134"/>
        <v>0</v>
      </c>
      <c r="AA294" s="58">
        <f t="shared" si="135"/>
        <v>0</v>
      </c>
      <c r="AB294" s="58"/>
      <c r="AC294" s="58"/>
      <c r="AD294" s="61"/>
      <c r="AE294" s="58">
        <f t="shared" si="136"/>
        <v>0</v>
      </c>
      <c r="AF294" s="58">
        <f t="shared" si="137"/>
        <v>0</v>
      </c>
      <c r="AG294" s="61">
        <f t="shared" si="138"/>
        <v>0</v>
      </c>
      <c r="AH294" s="58">
        <v>0</v>
      </c>
      <c r="AI294" s="58">
        <v>0</v>
      </c>
      <c r="AJ294" s="61">
        <v>0</v>
      </c>
      <c r="AK294" s="58"/>
      <c r="AL294" s="58"/>
      <c r="AM294" s="61"/>
      <c r="AN294" s="61">
        <f t="shared" si="139"/>
        <v>0</v>
      </c>
      <c r="AO294" s="58">
        <f t="shared" si="140"/>
        <v>0</v>
      </c>
      <c r="AP294" s="61">
        <f t="shared" si="141"/>
        <v>0</v>
      </c>
      <c r="AQ294" s="58">
        <f t="shared" si="142"/>
        <v>0</v>
      </c>
      <c r="AR294" s="58">
        <f t="shared" si="143"/>
        <v>0</v>
      </c>
      <c r="AS294" s="58">
        <f t="shared" si="144"/>
        <v>0</v>
      </c>
      <c r="AT294" s="58">
        <f>ROUND(SUMIF('JUNE (물량흐름)'!$C$13:$C$502,'In-out-bal products (155)(완성제품)'!B294,'JUNE (물량흐름)'!$AB$13:$AB$502),0)</f>
        <v>0</v>
      </c>
      <c r="AU294" s="58">
        <f t="shared" si="145"/>
        <v>0</v>
      </c>
      <c r="AV294" s="58">
        <f>ROUND(SUMIF('JUNE (물량흐름)'!$C$13:$C$502,'In-out-bal products (155)(완성제품)'!B294,'JUNE (물량흐름)'!$AC$13:$AC$502),0)</f>
        <v>0</v>
      </c>
      <c r="AW294" s="58">
        <f t="shared" si="146"/>
        <v>0</v>
      </c>
      <c r="AX294" s="376">
        <f t="shared" si="147"/>
        <v>0</v>
      </c>
      <c r="AY294" s="377">
        <f t="shared" si="148"/>
        <v>0</v>
      </c>
      <c r="AZ294" s="377">
        <f t="shared" si="149"/>
        <v>0</v>
      </c>
      <c r="BA294" s="377">
        <f t="shared" si="150"/>
        <v>0</v>
      </c>
      <c r="BB294" s="377"/>
      <c r="BC294" s="377">
        <f t="shared" si="151"/>
        <v>0</v>
      </c>
      <c r="BD294" s="377">
        <f t="shared" si="152"/>
        <v>0</v>
      </c>
      <c r="BE294" s="377"/>
      <c r="BF294" s="377">
        <f t="shared" si="153"/>
        <v>0</v>
      </c>
      <c r="BG294" s="433">
        <f t="shared" si="154"/>
        <v>0</v>
      </c>
      <c r="BH294" s="434">
        <f t="shared" si="155"/>
        <v>0</v>
      </c>
    </row>
    <row r="295" spans="1:60" s="378" customFormat="1">
      <c r="A295" s="167">
        <v>289</v>
      </c>
      <c r="B295" s="253">
        <f>VLOOKUP(A295,'JUNE (물량흐름)'!$A$13:$C$493,3,0)</f>
        <v>100015148</v>
      </c>
      <c r="C295" s="57" t="str">
        <f>VLOOKUP(A295,'JUNE (물량흐름)'!$A$13:$C$493,2,0)</f>
        <v>ALFANI</v>
      </c>
      <c r="D295" s="58">
        <f>IFERROR(VLOOKUP(B295,O.B.JUNE!$V$7:$Y$448,2,0),0)</f>
        <v>0</v>
      </c>
      <c r="E295" s="58">
        <f>IFERROR(VLOOKUP(B295,O.B.JUNE!$V$7:$X$448,3,0),0)</f>
        <v>0</v>
      </c>
      <c r="F295" s="58">
        <f>IFERROR(VLOOKUP(B295,O.B.JUNE!$V$7:$Y$448,4,0),0)</f>
        <v>0</v>
      </c>
      <c r="G295" s="58">
        <f>SUMIF('JUNE (물량흐름)'!$C$13:$C$493,'In-out-bal products (155)(완성제품)'!B295,'JUNE (물량흐름)'!$V$13:$V$493)</f>
        <v>0</v>
      </c>
      <c r="H295" s="58">
        <f>SUMIF('JUNE (물량흐름)'!$C$13:$C$493,'In-out-bal products (155)(완성제품)'!B295,'JUNE (물량흐름)'!$T$13:$T$493)-SUMIF('JUNE (물량흐름)'!$C$13:$C$493,'In-out-bal products (155)(완성제품)'!B295,'JUNE (물량흐름)'!$Y$13:$Y$493)+SUMIF('JUNE (물량흐름)'!$C$13:$C$493,'In-out-bal products (155)(완성제품)'!B295,'JUNE (물량흐름)'!$U$13:$U$493)</f>
        <v>0</v>
      </c>
      <c r="I295" s="58">
        <f t="shared" si="126"/>
        <v>0</v>
      </c>
      <c r="J295" s="58">
        <f>SUMIF('Direct labour(직접노무비)'!$C$12:$C$503,'In-out-bal products (155)(완성제품)'!B295,'Direct labour(직접노무비)'!$Q$12:$Q$503)</f>
        <v>0</v>
      </c>
      <c r="K295" s="59">
        <f>SUMIF('Overhead exp(제조경비)'!$C$12:$C$503,'In-out-bal products (155)(완성제품)'!B295,'Overhead exp(제조경비)'!$Q$12:$Q$503)</f>
        <v>0</v>
      </c>
      <c r="L295" s="58">
        <f t="shared" si="127"/>
        <v>0</v>
      </c>
      <c r="M295" s="58">
        <f>SUMIF('JUNE (물량흐름)'!$C$13:$C$488,'In-out-bal products (155)(완성제품)'!B295,'JUNE (물량흐름)'!$Y$13:$Y$488)</f>
        <v>0</v>
      </c>
      <c r="N295" s="58">
        <f t="shared" si="128"/>
        <v>0</v>
      </c>
      <c r="O295" s="58">
        <f>SUMIF('Direct labour(직접노무비)'!$C$12:$C$503,'In-out-bal products (155)(완성제품)'!B295,'Direct labour(직접노무비)'!$U$12:$U$503)+SUMIF('Overhead exp(제조경비)'!$C$12:$C$503,'In-out-bal products (155)(완성제품)'!B295,'Overhead exp(제조경비)'!$U$12:$U$503)</f>
        <v>0</v>
      </c>
      <c r="P295" s="60">
        <f t="shared" si="129"/>
        <v>0</v>
      </c>
      <c r="Q295" s="60">
        <f t="shared" si="130"/>
        <v>0</v>
      </c>
      <c r="R295" s="60">
        <f t="shared" si="131"/>
        <v>0</v>
      </c>
      <c r="S295" s="58">
        <v>0</v>
      </c>
      <c r="T295" s="58">
        <v>0</v>
      </c>
      <c r="U295" s="58">
        <v>0</v>
      </c>
      <c r="V295" s="58">
        <f>SUMIF('JUNE (물량흐름)'!$C$13:$C$493,'In-out-bal products (155)(완성제품)'!B295,'JUNE (물량흐름)'!$W$13:$W$493)</f>
        <v>0</v>
      </c>
      <c r="W295" s="58">
        <f t="shared" si="132"/>
        <v>0</v>
      </c>
      <c r="X295" s="58">
        <f t="shared" si="133"/>
        <v>0</v>
      </c>
      <c r="Y295" s="58">
        <f>SUMIF('JUNE (물량흐름)'!$C$13:$C$488,'In-out-bal products (155)(완성제품)'!B295,'JUNE (물량흐름)'!$X$13:$X$488)</f>
        <v>0</v>
      </c>
      <c r="Z295" s="58">
        <f t="shared" si="134"/>
        <v>0</v>
      </c>
      <c r="AA295" s="58">
        <f t="shared" si="135"/>
        <v>0</v>
      </c>
      <c r="AB295" s="58"/>
      <c r="AC295" s="58"/>
      <c r="AD295" s="61"/>
      <c r="AE295" s="58">
        <f t="shared" si="136"/>
        <v>0</v>
      </c>
      <c r="AF295" s="58">
        <f t="shared" si="137"/>
        <v>0</v>
      </c>
      <c r="AG295" s="61">
        <f t="shared" si="138"/>
        <v>0</v>
      </c>
      <c r="AH295" s="58">
        <v>0</v>
      </c>
      <c r="AI295" s="58">
        <v>0</v>
      </c>
      <c r="AJ295" s="61">
        <v>0</v>
      </c>
      <c r="AK295" s="58"/>
      <c r="AL295" s="58"/>
      <c r="AM295" s="61"/>
      <c r="AN295" s="61">
        <f t="shared" si="139"/>
        <v>0</v>
      </c>
      <c r="AO295" s="58">
        <f t="shared" si="140"/>
        <v>0</v>
      </c>
      <c r="AP295" s="61">
        <f t="shared" si="141"/>
        <v>0</v>
      </c>
      <c r="AQ295" s="58">
        <f t="shared" si="142"/>
        <v>0</v>
      </c>
      <c r="AR295" s="58">
        <f t="shared" si="143"/>
        <v>0</v>
      </c>
      <c r="AS295" s="58">
        <f t="shared" si="144"/>
        <v>0</v>
      </c>
      <c r="AT295" s="58">
        <f>ROUND(SUMIF('JUNE (물량흐름)'!$C$13:$C$502,'In-out-bal products (155)(완성제품)'!B295,'JUNE (물량흐름)'!$AB$13:$AB$502),0)</f>
        <v>0</v>
      </c>
      <c r="AU295" s="58">
        <f t="shared" si="145"/>
        <v>0</v>
      </c>
      <c r="AV295" s="58">
        <f>ROUND(SUMIF('JUNE (물량흐름)'!$C$13:$C$502,'In-out-bal products (155)(완성제품)'!B295,'JUNE (물량흐름)'!$AC$13:$AC$502),0)</f>
        <v>0</v>
      </c>
      <c r="AW295" s="58">
        <f t="shared" si="146"/>
        <v>0</v>
      </c>
      <c r="AX295" s="376">
        <f t="shared" si="147"/>
        <v>0</v>
      </c>
      <c r="AY295" s="377">
        <f t="shared" si="148"/>
        <v>0</v>
      </c>
      <c r="AZ295" s="377">
        <f t="shared" si="149"/>
        <v>0</v>
      </c>
      <c r="BA295" s="377">
        <f t="shared" si="150"/>
        <v>0</v>
      </c>
      <c r="BB295" s="377"/>
      <c r="BC295" s="377">
        <f t="shared" si="151"/>
        <v>0</v>
      </c>
      <c r="BD295" s="377">
        <f t="shared" si="152"/>
        <v>0</v>
      </c>
      <c r="BE295" s="377"/>
      <c r="BF295" s="377">
        <f t="shared" si="153"/>
        <v>0</v>
      </c>
      <c r="BG295" s="433">
        <f t="shared" si="154"/>
        <v>0</v>
      </c>
      <c r="BH295" s="434">
        <f t="shared" si="155"/>
        <v>0</v>
      </c>
    </row>
    <row r="296" spans="1:60" s="378" customFormat="1">
      <c r="A296" s="167">
        <v>290</v>
      </c>
      <c r="B296" s="253">
        <f>VLOOKUP(A296,'JUNE (물량흐름)'!$A$13:$C$493,3,0)</f>
        <v>100015173</v>
      </c>
      <c r="C296" s="57" t="str">
        <f>VLOOKUP(A296,'JUNE (물량흐름)'!$A$13:$C$493,2,0)</f>
        <v>ALFANI</v>
      </c>
      <c r="D296" s="58">
        <f>IFERROR(VLOOKUP(B296,O.B.JUNE!$V$7:$Y$448,2,0),0)</f>
        <v>0</v>
      </c>
      <c r="E296" s="58">
        <f>IFERROR(VLOOKUP(B296,O.B.JUNE!$V$7:$X$448,3,0),0)</f>
        <v>0</v>
      </c>
      <c r="F296" s="58">
        <f>IFERROR(VLOOKUP(B296,O.B.JUNE!$V$7:$Y$448,4,0),0)</f>
        <v>0</v>
      </c>
      <c r="G296" s="58">
        <f>SUMIF('JUNE (물량흐름)'!$C$13:$C$493,'In-out-bal products (155)(완성제품)'!B296,'JUNE (물량흐름)'!$V$13:$V$493)</f>
        <v>0</v>
      </c>
      <c r="H296" s="58">
        <f>SUMIF('JUNE (물량흐름)'!$C$13:$C$493,'In-out-bal products (155)(완성제품)'!B296,'JUNE (물량흐름)'!$T$13:$T$493)-SUMIF('JUNE (물량흐름)'!$C$13:$C$493,'In-out-bal products (155)(완성제품)'!B296,'JUNE (물량흐름)'!$Y$13:$Y$493)+SUMIF('JUNE (물량흐름)'!$C$13:$C$493,'In-out-bal products (155)(완성제품)'!B296,'JUNE (물량흐름)'!$U$13:$U$493)</f>
        <v>0</v>
      </c>
      <c r="I296" s="58">
        <f t="shared" si="126"/>
        <v>0</v>
      </c>
      <c r="J296" s="58">
        <f>SUMIF('Direct labour(직접노무비)'!$C$12:$C$503,'In-out-bal products (155)(완성제품)'!B296,'Direct labour(직접노무비)'!$Q$12:$Q$503)</f>
        <v>0</v>
      </c>
      <c r="K296" s="59">
        <f>SUMIF('Overhead exp(제조경비)'!$C$12:$C$503,'In-out-bal products (155)(완성제품)'!B296,'Overhead exp(제조경비)'!$Q$12:$Q$503)</f>
        <v>0</v>
      </c>
      <c r="L296" s="58">
        <f t="shared" si="127"/>
        <v>0</v>
      </c>
      <c r="M296" s="58">
        <f>SUMIF('JUNE (물량흐름)'!$C$13:$C$488,'In-out-bal products (155)(완성제품)'!B296,'JUNE (물량흐름)'!$Y$13:$Y$488)</f>
        <v>0</v>
      </c>
      <c r="N296" s="58">
        <f t="shared" si="128"/>
        <v>0</v>
      </c>
      <c r="O296" s="58">
        <f>SUMIF('Direct labour(직접노무비)'!$C$12:$C$503,'In-out-bal products (155)(완성제품)'!B296,'Direct labour(직접노무비)'!$U$12:$U$503)+SUMIF('Overhead exp(제조경비)'!$C$12:$C$503,'In-out-bal products (155)(완성제품)'!B296,'Overhead exp(제조경비)'!$U$12:$U$503)</f>
        <v>0</v>
      </c>
      <c r="P296" s="60">
        <f t="shared" si="129"/>
        <v>0</v>
      </c>
      <c r="Q296" s="60">
        <f t="shared" si="130"/>
        <v>0</v>
      </c>
      <c r="R296" s="60">
        <f t="shared" si="131"/>
        <v>0</v>
      </c>
      <c r="S296" s="58">
        <v>0</v>
      </c>
      <c r="T296" s="58">
        <v>0</v>
      </c>
      <c r="U296" s="58">
        <v>0</v>
      </c>
      <c r="V296" s="58">
        <f>SUMIF('JUNE (물량흐름)'!$C$13:$C$493,'In-out-bal products (155)(완성제품)'!B296,'JUNE (물량흐름)'!$W$13:$W$493)</f>
        <v>0</v>
      </c>
      <c r="W296" s="58">
        <f t="shared" si="132"/>
        <v>0</v>
      </c>
      <c r="X296" s="58">
        <f t="shared" si="133"/>
        <v>0</v>
      </c>
      <c r="Y296" s="58">
        <f>SUMIF('JUNE (물량흐름)'!$C$13:$C$488,'In-out-bal products (155)(완성제품)'!B296,'JUNE (물량흐름)'!$X$13:$X$488)</f>
        <v>0</v>
      </c>
      <c r="Z296" s="58">
        <f t="shared" si="134"/>
        <v>0</v>
      </c>
      <c r="AA296" s="58">
        <f t="shared" si="135"/>
        <v>0</v>
      </c>
      <c r="AB296" s="58"/>
      <c r="AC296" s="58"/>
      <c r="AD296" s="61"/>
      <c r="AE296" s="58">
        <f t="shared" si="136"/>
        <v>0</v>
      </c>
      <c r="AF296" s="58">
        <f t="shared" si="137"/>
        <v>0</v>
      </c>
      <c r="AG296" s="61">
        <f t="shared" si="138"/>
        <v>0</v>
      </c>
      <c r="AH296" s="58">
        <v>0</v>
      </c>
      <c r="AI296" s="58">
        <v>0</v>
      </c>
      <c r="AJ296" s="61">
        <v>0</v>
      </c>
      <c r="AK296" s="58"/>
      <c r="AL296" s="58"/>
      <c r="AM296" s="61"/>
      <c r="AN296" s="61">
        <f t="shared" si="139"/>
        <v>0</v>
      </c>
      <c r="AO296" s="58">
        <f t="shared" si="140"/>
        <v>0</v>
      </c>
      <c r="AP296" s="61">
        <f t="shared" si="141"/>
        <v>0</v>
      </c>
      <c r="AQ296" s="58">
        <f t="shared" si="142"/>
        <v>0</v>
      </c>
      <c r="AR296" s="58">
        <f t="shared" si="143"/>
        <v>0</v>
      </c>
      <c r="AS296" s="58">
        <f t="shared" si="144"/>
        <v>0</v>
      </c>
      <c r="AT296" s="58">
        <f>ROUND(SUMIF('JUNE (물량흐름)'!$C$13:$C$502,'In-out-bal products (155)(완성제품)'!B296,'JUNE (물량흐름)'!$AB$13:$AB$502),0)</f>
        <v>0</v>
      </c>
      <c r="AU296" s="58">
        <f t="shared" si="145"/>
        <v>0</v>
      </c>
      <c r="AV296" s="58">
        <f>ROUND(SUMIF('JUNE (물량흐름)'!$C$13:$C$502,'In-out-bal products (155)(완성제품)'!B296,'JUNE (물량흐름)'!$AC$13:$AC$502),0)</f>
        <v>0</v>
      </c>
      <c r="AW296" s="58">
        <f t="shared" si="146"/>
        <v>0</v>
      </c>
      <c r="AX296" s="376">
        <f t="shared" si="147"/>
        <v>0</v>
      </c>
      <c r="AY296" s="377">
        <f t="shared" si="148"/>
        <v>0</v>
      </c>
      <c r="AZ296" s="377">
        <f t="shared" si="149"/>
        <v>0</v>
      </c>
      <c r="BA296" s="377">
        <f t="shared" si="150"/>
        <v>0</v>
      </c>
      <c r="BB296" s="377"/>
      <c r="BC296" s="377">
        <f t="shared" si="151"/>
        <v>0</v>
      </c>
      <c r="BD296" s="377">
        <f t="shared" si="152"/>
        <v>0</v>
      </c>
      <c r="BE296" s="377"/>
      <c r="BF296" s="377">
        <f t="shared" si="153"/>
        <v>0</v>
      </c>
      <c r="BG296" s="433">
        <f t="shared" si="154"/>
        <v>0</v>
      </c>
      <c r="BH296" s="434">
        <f t="shared" si="155"/>
        <v>0</v>
      </c>
    </row>
    <row r="297" spans="1:60" s="378" customFormat="1">
      <c r="A297" s="167">
        <v>291</v>
      </c>
      <c r="B297" s="253">
        <f>VLOOKUP(A297,'JUNE (물량흐름)'!$A$13:$C$493,3,0)</f>
        <v>100015180</v>
      </c>
      <c r="C297" s="57" t="str">
        <f>VLOOKUP(A297,'JUNE (물량흐름)'!$A$13:$C$493,2,0)</f>
        <v>ALFANI</v>
      </c>
      <c r="D297" s="58">
        <f>IFERROR(VLOOKUP(B297,O.B.JUNE!$V$7:$Y$448,2,0),0)</f>
        <v>0</v>
      </c>
      <c r="E297" s="58">
        <f>IFERROR(VLOOKUP(B297,O.B.JUNE!$V$7:$X$448,3,0),0)</f>
        <v>0</v>
      </c>
      <c r="F297" s="58">
        <f>IFERROR(VLOOKUP(B297,O.B.JUNE!$V$7:$Y$448,4,0),0)</f>
        <v>0</v>
      </c>
      <c r="G297" s="58">
        <f>SUMIF('JUNE (물량흐름)'!$C$13:$C$493,'In-out-bal products (155)(완성제품)'!B297,'JUNE (물량흐름)'!$V$13:$V$493)</f>
        <v>0</v>
      </c>
      <c r="H297" s="58">
        <f>SUMIF('JUNE (물량흐름)'!$C$13:$C$493,'In-out-bal products (155)(완성제품)'!B297,'JUNE (물량흐름)'!$T$13:$T$493)-SUMIF('JUNE (물량흐름)'!$C$13:$C$493,'In-out-bal products (155)(완성제품)'!B297,'JUNE (물량흐름)'!$Y$13:$Y$493)+SUMIF('JUNE (물량흐름)'!$C$13:$C$493,'In-out-bal products (155)(완성제품)'!B297,'JUNE (물량흐름)'!$U$13:$U$493)</f>
        <v>0</v>
      </c>
      <c r="I297" s="58">
        <f t="shared" si="126"/>
        <v>0</v>
      </c>
      <c r="J297" s="58">
        <f>SUMIF('Direct labour(직접노무비)'!$C$12:$C$503,'In-out-bal products (155)(완성제품)'!B297,'Direct labour(직접노무비)'!$Q$12:$Q$503)</f>
        <v>0</v>
      </c>
      <c r="K297" s="59">
        <f>SUMIF('Overhead exp(제조경비)'!$C$12:$C$503,'In-out-bal products (155)(완성제품)'!B297,'Overhead exp(제조경비)'!$Q$12:$Q$503)</f>
        <v>0</v>
      </c>
      <c r="L297" s="58">
        <f t="shared" si="127"/>
        <v>0</v>
      </c>
      <c r="M297" s="58">
        <f>SUMIF('JUNE (물량흐름)'!$C$13:$C$488,'In-out-bal products (155)(완성제품)'!B297,'JUNE (물량흐름)'!$Y$13:$Y$488)</f>
        <v>0</v>
      </c>
      <c r="N297" s="58">
        <f t="shared" si="128"/>
        <v>0</v>
      </c>
      <c r="O297" s="58">
        <f>SUMIF('Direct labour(직접노무비)'!$C$12:$C$503,'In-out-bal products (155)(완성제품)'!B297,'Direct labour(직접노무비)'!$U$12:$U$503)+SUMIF('Overhead exp(제조경비)'!$C$12:$C$503,'In-out-bal products (155)(완성제품)'!B297,'Overhead exp(제조경비)'!$U$12:$U$503)</f>
        <v>0</v>
      </c>
      <c r="P297" s="60">
        <f t="shared" si="129"/>
        <v>0</v>
      </c>
      <c r="Q297" s="60">
        <f t="shared" si="130"/>
        <v>0</v>
      </c>
      <c r="R297" s="60">
        <f t="shared" si="131"/>
        <v>0</v>
      </c>
      <c r="S297" s="58">
        <v>0</v>
      </c>
      <c r="T297" s="58">
        <v>0</v>
      </c>
      <c r="U297" s="58">
        <v>0</v>
      </c>
      <c r="V297" s="58">
        <f>SUMIF('JUNE (물량흐름)'!$C$13:$C$493,'In-out-bal products (155)(완성제품)'!B297,'JUNE (물량흐름)'!$W$13:$W$493)</f>
        <v>0</v>
      </c>
      <c r="W297" s="58">
        <f t="shared" si="132"/>
        <v>0</v>
      </c>
      <c r="X297" s="58">
        <f t="shared" si="133"/>
        <v>0</v>
      </c>
      <c r="Y297" s="58">
        <f>SUMIF('JUNE (물량흐름)'!$C$13:$C$488,'In-out-bal products (155)(완성제품)'!B297,'JUNE (물량흐름)'!$X$13:$X$488)</f>
        <v>0</v>
      </c>
      <c r="Z297" s="58">
        <f t="shared" si="134"/>
        <v>0</v>
      </c>
      <c r="AA297" s="58">
        <f t="shared" si="135"/>
        <v>0</v>
      </c>
      <c r="AB297" s="58"/>
      <c r="AC297" s="58"/>
      <c r="AD297" s="61"/>
      <c r="AE297" s="58">
        <f t="shared" si="136"/>
        <v>0</v>
      </c>
      <c r="AF297" s="58">
        <f t="shared" si="137"/>
        <v>0</v>
      </c>
      <c r="AG297" s="61">
        <f t="shared" si="138"/>
        <v>0</v>
      </c>
      <c r="AH297" s="58">
        <v>0</v>
      </c>
      <c r="AI297" s="58">
        <v>0</v>
      </c>
      <c r="AJ297" s="61">
        <v>0</v>
      </c>
      <c r="AK297" s="58"/>
      <c r="AL297" s="58"/>
      <c r="AM297" s="61"/>
      <c r="AN297" s="61">
        <f t="shared" si="139"/>
        <v>0</v>
      </c>
      <c r="AO297" s="58">
        <f t="shared" si="140"/>
        <v>0</v>
      </c>
      <c r="AP297" s="61">
        <f t="shared" si="141"/>
        <v>0</v>
      </c>
      <c r="AQ297" s="58">
        <f t="shared" si="142"/>
        <v>0</v>
      </c>
      <c r="AR297" s="58">
        <f t="shared" si="143"/>
        <v>0</v>
      </c>
      <c r="AS297" s="58">
        <f t="shared" si="144"/>
        <v>0</v>
      </c>
      <c r="AT297" s="58">
        <f>ROUND(SUMIF('JUNE (물량흐름)'!$C$13:$C$502,'In-out-bal products (155)(완성제품)'!B297,'JUNE (물량흐름)'!$AB$13:$AB$502),0)</f>
        <v>0</v>
      </c>
      <c r="AU297" s="58">
        <f t="shared" si="145"/>
        <v>0</v>
      </c>
      <c r="AV297" s="58">
        <f>ROUND(SUMIF('JUNE (물량흐름)'!$C$13:$C$502,'In-out-bal products (155)(완성제품)'!B297,'JUNE (물량흐름)'!$AC$13:$AC$502),0)</f>
        <v>0</v>
      </c>
      <c r="AW297" s="58">
        <f t="shared" si="146"/>
        <v>0</v>
      </c>
      <c r="AX297" s="376">
        <f t="shared" si="147"/>
        <v>0</v>
      </c>
      <c r="AY297" s="377">
        <f t="shared" si="148"/>
        <v>0</v>
      </c>
      <c r="AZ297" s="377">
        <f t="shared" si="149"/>
        <v>0</v>
      </c>
      <c r="BA297" s="377">
        <f t="shared" si="150"/>
        <v>0</v>
      </c>
      <c r="BB297" s="377"/>
      <c r="BC297" s="377">
        <f t="shared" si="151"/>
        <v>0</v>
      </c>
      <c r="BD297" s="377">
        <f t="shared" si="152"/>
        <v>0</v>
      </c>
      <c r="BE297" s="377"/>
      <c r="BF297" s="377">
        <f t="shared" si="153"/>
        <v>0</v>
      </c>
      <c r="BG297" s="433">
        <f t="shared" si="154"/>
        <v>0</v>
      </c>
      <c r="BH297" s="434">
        <f t="shared" si="155"/>
        <v>0</v>
      </c>
    </row>
    <row r="298" spans="1:60" s="378" customFormat="1">
      <c r="A298" s="167">
        <v>292</v>
      </c>
      <c r="B298" s="253">
        <f>VLOOKUP(A298,'JUNE (물량흐름)'!$A$13:$C$493,3,0)</f>
        <v>100015249</v>
      </c>
      <c r="C298" s="57" t="str">
        <f>VLOOKUP(A298,'JUNE (물량흐름)'!$A$13:$C$493,2,0)</f>
        <v>ALFANI</v>
      </c>
      <c r="D298" s="58">
        <f>IFERROR(VLOOKUP(B298,O.B.JUNE!$V$7:$Y$448,2,0),0)</f>
        <v>0</v>
      </c>
      <c r="E298" s="58">
        <f>IFERROR(VLOOKUP(B298,O.B.JUNE!$V$7:$X$448,3,0),0)</f>
        <v>0</v>
      </c>
      <c r="F298" s="58">
        <f>IFERROR(VLOOKUP(B298,O.B.JUNE!$V$7:$Y$448,4,0),0)</f>
        <v>0</v>
      </c>
      <c r="G298" s="58">
        <f>SUMIF('JUNE (물량흐름)'!$C$13:$C$493,'In-out-bal products (155)(완성제품)'!B298,'JUNE (물량흐름)'!$V$13:$V$493)</f>
        <v>0</v>
      </c>
      <c r="H298" s="58">
        <f>SUMIF('JUNE (물량흐름)'!$C$13:$C$493,'In-out-bal products (155)(완성제품)'!B298,'JUNE (물량흐름)'!$T$13:$T$493)-SUMIF('JUNE (물량흐름)'!$C$13:$C$493,'In-out-bal products (155)(완성제품)'!B298,'JUNE (물량흐름)'!$Y$13:$Y$493)+SUMIF('JUNE (물량흐름)'!$C$13:$C$493,'In-out-bal products (155)(완성제품)'!B298,'JUNE (물량흐름)'!$U$13:$U$493)</f>
        <v>0</v>
      </c>
      <c r="I298" s="58">
        <f t="shared" si="126"/>
        <v>0</v>
      </c>
      <c r="J298" s="58">
        <f>SUMIF('Direct labour(직접노무비)'!$C$12:$C$503,'In-out-bal products (155)(완성제품)'!B298,'Direct labour(직접노무비)'!$Q$12:$Q$503)</f>
        <v>0</v>
      </c>
      <c r="K298" s="59">
        <f>SUMIF('Overhead exp(제조경비)'!$C$12:$C$503,'In-out-bal products (155)(완성제품)'!B298,'Overhead exp(제조경비)'!$Q$12:$Q$503)</f>
        <v>0</v>
      </c>
      <c r="L298" s="58">
        <f t="shared" si="127"/>
        <v>0</v>
      </c>
      <c r="M298" s="58">
        <f>SUMIF('JUNE (물량흐름)'!$C$13:$C$488,'In-out-bal products (155)(완성제품)'!B298,'JUNE (물량흐름)'!$Y$13:$Y$488)</f>
        <v>0</v>
      </c>
      <c r="N298" s="58">
        <f t="shared" si="128"/>
        <v>0</v>
      </c>
      <c r="O298" s="58">
        <f>SUMIF('Direct labour(직접노무비)'!$C$12:$C$503,'In-out-bal products (155)(완성제품)'!B298,'Direct labour(직접노무비)'!$U$12:$U$503)+SUMIF('Overhead exp(제조경비)'!$C$12:$C$503,'In-out-bal products (155)(완성제품)'!B298,'Overhead exp(제조경비)'!$U$12:$U$503)</f>
        <v>0</v>
      </c>
      <c r="P298" s="60">
        <f t="shared" si="129"/>
        <v>0</v>
      </c>
      <c r="Q298" s="60">
        <f t="shared" si="130"/>
        <v>0</v>
      </c>
      <c r="R298" s="60">
        <f t="shared" si="131"/>
        <v>0</v>
      </c>
      <c r="S298" s="58">
        <v>0</v>
      </c>
      <c r="T298" s="58">
        <v>0</v>
      </c>
      <c r="U298" s="58">
        <v>0</v>
      </c>
      <c r="V298" s="58">
        <f>SUMIF('JUNE (물량흐름)'!$C$13:$C$493,'In-out-bal products (155)(완성제품)'!B298,'JUNE (물량흐름)'!$W$13:$W$493)</f>
        <v>0</v>
      </c>
      <c r="W298" s="58">
        <f t="shared" si="132"/>
        <v>0</v>
      </c>
      <c r="X298" s="58">
        <f t="shared" si="133"/>
        <v>0</v>
      </c>
      <c r="Y298" s="58">
        <f>SUMIF('JUNE (물량흐름)'!$C$13:$C$488,'In-out-bal products (155)(완성제품)'!B298,'JUNE (물량흐름)'!$X$13:$X$488)</f>
        <v>0</v>
      </c>
      <c r="Z298" s="58">
        <f t="shared" si="134"/>
        <v>0</v>
      </c>
      <c r="AA298" s="58">
        <f t="shared" si="135"/>
        <v>0</v>
      </c>
      <c r="AB298" s="58"/>
      <c r="AC298" s="58"/>
      <c r="AD298" s="61"/>
      <c r="AE298" s="58">
        <f t="shared" si="136"/>
        <v>0</v>
      </c>
      <c r="AF298" s="58">
        <f t="shared" si="137"/>
        <v>0</v>
      </c>
      <c r="AG298" s="61">
        <f t="shared" si="138"/>
        <v>0</v>
      </c>
      <c r="AH298" s="58">
        <v>0</v>
      </c>
      <c r="AI298" s="58">
        <v>0</v>
      </c>
      <c r="AJ298" s="61">
        <v>0</v>
      </c>
      <c r="AK298" s="58"/>
      <c r="AL298" s="58"/>
      <c r="AM298" s="61"/>
      <c r="AN298" s="61">
        <f t="shared" si="139"/>
        <v>0</v>
      </c>
      <c r="AO298" s="58">
        <f t="shared" si="140"/>
        <v>0</v>
      </c>
      <c r="AP298" s="61">
        <f t="shared" si="141"/>
        <v>0</v>
      </c>
      <c r="AQ298" s="58">
        <f t="shared" si="142"/>
        <v>0</v>
      </c>
      <c r="AR298" s="58">
        <f t="shared" si="143"/>
        <v>0</v>
      </c>
      <c r="AS298" s="58">
        <f t="shared" si="144"/>
        <v>0</v>
      </c>
      <c r="AT298" s="58">
        <f>ROUND(SUMIF('JUNE (물량흐름)'!$C$13:$C$502,'In-out-bal products (155)(완성제품)'!B298,'JUNE (물량흐름)'!$AB$13:$AB$502),0)</f>
        <v>0</v>
      </c>
      <c r="AU298" s="58">
        <f t="shared" si="145"/>
        <v>0</v>
      </c>
      <c r="AV298" s="58">
        <f>ROUND(SUMIF('JUNE (물량흐름)'!$C$13:$C$502,'In-out-bal products (155)(완성제품)'!B298,'JUNE (물량흐름)'!$AC$13:$AC$502),0)</f>
        <v>0</v>
      </c>
      <c r="AW298" s="58">
        <f t="shared" si="146"/>
        <v>0</v>
      </c>
      <c r="AX298" s="376">
        <f t="shared" si="147"/>
        <v>0</v>
      </c>
      <c r="AY298" s="377">
        <f t="shared" si="148"/>
        <v>0</v>
      </c>
      <c r="AZ298" s="377">
        <f t="shared" si="149"/>
        <v>0</v>
      </c>
      <c r="BA298" s="377">
        <f t="shared" si="150"/>
        <v>0</v>
      </c>
      <c r="BB298" s="377"/>
      <c r="BC298" s="377">
        <f t="shared" si="151"/>
        <v>0</v>
      </c>
      <c r="BD298" s="377">
        <f t="shared" si="152"/>
        <v>0</v>
      </c>
      <c r="BE298" s="377"/>
      <c r="BF298" s="377">
        <f t="shared" si="153"/>
        <v>0</v>
      </c>
      <c r="BG298" s="433">
        <f t="shared" si="154"/>
        <v>0</v>
      </c>
      <c r="BH298" s="434">
        <f t="shared" si="155"/>
        <v>0</v>
      </c>
    </row>
    <row r="299" spans="1:60" s="378" customFormat="1">
      <c r="A299" s="167">
        <v>293</v>
      </c>
      <c r="B299" s="253">
        <f>VLOOKUP(A299,'JUNE (물량흐름)'!$A$13:$C$493,3,0)</f>
        <v>100015301</v>
      </c>
      <c r="C299" s="57" t="str">
        <f>VLOOKUP(A299,'JUNE (물량흐름)'!$A$13:$C$493,2,0)</f>
        <v>ALFANI</v>
      </c>
      <c r="D299" s="58">
        <f>IFERROR(VLOOKUP(B299,O.B.JUNE!$V$7:$Y$448,2,0),0)</f>
        <v>0</v>
      </c>
      <c r="E299" s="58">
        <f>IFERROR(VLOOKUP(B299,O.B.JUNE!$V$7:$X$448,3,0),0)</f>
        <v>0</v>
      </c>
      <c r="F299" s="58">
        <f>IFERROR(VLOOKUP(B299,O.B.JUNE!$V$7:$Y$448,4,0),0)</f>
        <v>0</v>
      </c>
      <c r="G299" s="58">
        <f>SUMIF('JUNE (물량흐름)'!$C$13:$C$493,'In-out-bal products (155)(완성제품)'!B299,'JUNE (물량흐름)'!$V$13:$V$493)</f>
        <v>0</v>
      </c>
      <c r="H299" s="58">
        <f>SUMIF('JUNE (물량흐름)'!$C$13:$C$493,'In-out-bal products (155)(완성제품)'!B299,'JUNE (물량흐름)'!$T$13:$T$493)-SUMIF('JUNE (물량흐름)'!$C$13:$C$493,'In-out-bal products (155)(완성제품)'!B299,'JUNE (물량흐름)'!$Y$13:$Y$493)+SUMIF('JUNE (물량흐름)'!$C$13:$C$493,'In-out-bal products (155)(완성제품)'!B299,'JUNE (물량흐름)'!$U$13:$U$493)</f>
        <v>0</v>
      </c>
      <c r="I299" s="58">
        <f t="shared" si="126"/>
        <v>0</v>
      </c>
      <c r="J299" s="58">
        <f>SUMIF('Direct labour(직접노무비)'!$C$12:$C$503,'In-out-bal products (155)(완성제품)'!B299,'Direct labour(직접노무비)'!$Q$12:$Q$503)</f>
        <v>0</v>
      </c>
      <c r="K299" s="59">
        <f>SUMIF('Overhead exp(제조경비)'!$C$12:$C$503,'In-out-bal products (155)(완성제품)'!B299,'Overhead exp(제조경비)'!$Q$12:$Q$503)</f>
        <v>0</v>
      </c>
      <c r="L299" s="58">
        <f t="shared" si="127"/>
        <v>0</v>
      </c>
      <c r="M299" s="58">
        <f>SUMIF('JUNE (물량흐름)'!$C$13:$C$488,'In-out-bal products (155)(완성제품)'!B299,'JUNE (물량흐름)'!$Y$13:$Y$488)</f>
        <v>0</v>
      </c>
      <c r="N299" s="58">
        <f t="shared" si="128"/>
        <v>0</v>
      </c>
      <c r="O299" s="58">
        <f>SUMIF('Direct labour(직접노무비)'!$C$12:$C$503,'In-out-bal products (155)(완성제품)'!B299,'Direct labour(직접노무비)'!$U$12:$U$503)+SUMIF('Overhead exp(제조경비)'!$C$12:$C$503,'In-out-bal products (155)(완성제품)'!B299,'Overhead exp(제조경비)'!$U$12:$U$503)</f>
        <v>0</v>
      </c>
      <c r="P299" s="60">
        <f t="shared" si="129"/>
        <v>0</v>
      </c>
      <c r="Q299" s="60">
        <f t="shared" si="130"/>
        <v>0</v>
      </c>
      <c r="R299" s="60">
        <f t="shared" si="131"/>
        <v>0</v>
      </c>
      <c r="S299" s="58">
        <v>0</v>
      </c>
      <c r="T299" s="58">
        <v>0</v>
      </c>
      <c r="U299" s="58">
        <v>0</v>
      </c>
      <c r="V299" s="58">
        <f>SUMIF('JUNE (물량흐름)'!$C$13:$C$493,'In-out-bal products (155)(완성제품)'!B299,'JUNE (물량흐름)'!$W$13:$W$493)</f>
        <v>0</v>
      </c>
      <c r="W299" s="58">
        <f t="shared" si="132"/>
        <v>0</v>
      </c>
      <c r="X299" s="58">
        <f t="shared" si="133"/>
        <v>0</v>
      </c>
      <c r="Y299" s="58">
        <f>SUMIF('JUNE (물량흐름)'!$C$13:$C$488,'In-out-bal products (155)(완성제품)'!B299,'JUNE (물량흐름)'!$X$13:$X$488)</f>
        <v>0</v>
      </c>
      <c r="Z299" s="58">
        <f t="shared" si="134"/>
        <v>0</v>
      </c>
      <c r="AA299" s="58">
        <f t="shared" si="135"/>
        <v>0</v>
      </c>
      <c r="AB299" s="58"/>
      <c r="AC299" s="58"/>
      <c r="AD299" s="61"/>
      <c r="AE299" s="58">
        <f t="shared" si="136"/>
        <v>0</v>
      </c>
      <c r="AF299" s="58">
        <f t="shared" si="137"/>
        <v>0</v>
      </c>
      <c r="AG299" s="61">
        <f t="shared" si="138"/>
        <v>0</v>
      </c>
      <c r="AH299" s="58">
        <v>0</v>
      </c>
      <c r="AI299" s="58">
        <v>0</v>
      </c>
      <c r="AJ299" s="61">
        <v>0</v>
      </c>
      <c r="AK299" s="58"/>
      <c r="AL299" s="58"/>
      <c r="AM299" s="61"/>
      <c r="AN299" s="61">
        <f t="shared" si="139"/>
        <v>0</v>
      </c>
      <c r="AO299" s="58">
        <f t="shared" si="140"/>
        <v>0</v>
      </c>
      <c r="AP299" s="61">
        <f t="shared" si="141"/>
        <v>0</v>
      </c>
      <c r="AQ299" s="58">
        <f t="shared" si="142"/>
        <v>0</v>
      </c>
      <c r="AR299" s="58">
        <f t="shared" si="143"/>
        <v>0</v>
      </c>
      <c r="AS299" s="58">
        <f t="shared" si="144"/>
        <v>0</v>
      </c>
      <c r="AT299" s="58">
        <f>ROUND(SUMIF('JUNE (물량흐름)'!$C$13:$C$502,'In-out-bal products (155)(완성제품)'!B299,'JUNE (물량흐름)'!$AB$13:$AB$502),0)</f>
        <v>0</v>
      </c>
      <c r="AU299" s="58">
        <f t="shared" si="145"/>
        <v>0</v>
      </c>
      <c r="AV299" s="58">
        <f>ROUND(SUMIF('JUNE (물량흐름)'!$C$13:$C$502,'In-out-bal products (155)(완성제품)'!B299,'JUNE (물량흐름)'!$AC$13:$AC$502),0)</f>
        <v>0</v>
      </c>
      <c r="AW299" s="58">
        <f t="shared" si="146"/>
        <v>0</v>
      </c>
      <c r="AX299" s="376">
        <f t="shared" si="147"/>
        <v>0</v>
      </c>
      <c r="AY299" s="377">
        <f t="shared" si="148"/>
        <v>0</v>
      </c>
      <c r="AZ299" s="377">
        <f t="shared" si="149"/>
        <v>0</v>
      </c>
      <c r="BA299" s="377">
        <f t="shared" si="150"/>
        <v>0</v>
      </c>
      <c r="BB299" s="377"/>
      <c r="BC299" s="377">
        <f t="shared" si="151"/>
        <v>0</v>
      </c>
      <c r="BD299" s="377">
        <f t="shared" si="152"/>
        <v>0</v>
      </c>
      <c r="BE299" s="377"/>
      <c r="BF299" s="377">
        <f t="shared" si="153"/>
        <v>0</v>
      </c>
      <c r="BG299" s="433">
        <f t="shared" si="154"/>
        <v>0</v>
      </c>
      <c r="BH299" s="434">
        <f t="shared" si="155"/>
        <v>0</v>
      </c>
    </row>
    <row r="300" spans="1:60" s="378" customFormat="1">
      <c r="A300" s="167">
        <v>294</v>
      </c>
      <c r="B300" s="253">
        <f>VLOOKUP(A300,'JUNE (물량흐름)'!$A$13:$C$493,3,0)</f>
        <v>100015303</v>
      </c>
      <c r="C300" s="57" t="str">
        <f>VLOOKUP(A300,'JUNE (물량흐름)'!$A$13:$C$493,2,0)</f>
        <v>ALFANI</v>
      </c>
      <c r="D300" s="58">
        <f>IFERROR(VLOOKUP(B300,O.B.JUNE!$V$7:$Y$448,2,0),0)</f>
        <v>0</v>
      </c>
      <c r="E300" s="58">
        <f>IFERROR(VLOOKUP(B300,O.B.JUNE!$V$7:$X$448,3,0),0)</f>
        <v>0</v>
      </c>
      <c r="F300" s="58">
        <f>IFERROR(VLOOKUP(B300,O.B.JUNE!$V$7:$Y$448,4,0),0)</f>
        <v>0</v>
      </c>
      <c r="G300" s="58">
        <f>SUMIF('JUNE (물량흐름)'!$C$13:$C$493,'In-out-bal products (155)(완성제품)'!B300,'JUNE (물량흐름)'!$V$13:$V$493)</f>
        <v>0</v>
      </c>
      <c r="H300" s="58">
        <f>SUMIF('JUNE (물량흐름)'!$C$13:$C$493,'In-out-bal products (155)(완성제품)'!B300,'JUNE (물량흐름)'!$T$13:$T$493)-SUMIF('JUNE (물량흐름)'!$C$13:$C$493,'In-out-bal products (155)(완성제품)'!B300,'JUNE (물량흐름)'!$Y$13:$Y$493)+SUMIF('JUNE (물량흐름)'!$C$13:$C$493,'In-out-bal products (155)(완성제품)'!B300,'JUNE (물량흐름)'!$U$13:$U$493)</f>
        <v>0</v>
      </c>
      <c r="I300" s="58">
        <f t="shared" si="126"/>
        <v>0</v>
      </c>
      <c r="J300" s="58">
        <f>SUMIF('Direct labour(직접노무비)'!$C$12:$C$503,'In-out-bal products (155)(완성제품)'!B300,'Direct labour(직접노무비)'!$Q$12:$Q$503)</f>
        <v>0</v>
      </c>
      <c r="K300" s="59">
        <f>SUMIF('Overhead exp(제조경비)'!$C$12:$C$503,'In-out-bal products (155)(완성제품)'!B300,'Overhead exp(제조경비)'!$Q$12:$Q$503)</f>
        <v>0</v>
      </c>
      <c r="L300" s="58">
        <f t="shared" si="127"/>
        <v>0</v>
      </c>
      <c r="M300" s="58">
        <f>SUMIF('JUNE (물량흐름)'!$C$13:$C$488,'In-out-bal products (155)(완성제품)'!B300,'JUNE (물량흐름)'!$Y$13:$Y$488)</f>
        <v>0</v>
      </c>
      <c r="N300" s="58">
        <f t="shared" si="128"/>
        <v>0</v>
      </c>
      <c r="O300" s="58">
        <f>SUMIF('Direct labour(직접노무비)'!$C$12:$C$503,'In-out-bal products (155)(완성제품)'!B300,'Direct labour(직접노무비)'!$U$12:$U$503)+SUMIF('Overhead exp(제조경비)'!$C$12:$C$503,'In-out-bal products (155)(완성제품)'!B300,'Overhead exp(제조경비)'!$U$12:$U$503)</f>
        <v>0</v>
      </c>
      <c r="P300" s="60">
        <f t="shared" si="129"/>
        <v>0</v>
      </c>
      <c r="Q300" s="60">
        <f t="shared" si="130"/>
        <v>0</v>
      </c>
      <c r="R300" s="60">
        <f t="shared" si="131"/>
        <v>0</v>
      </c>
      <c r="S300" s="58">
        <v>0</v>
      </c>
      <c r="T300" s="58">
        <v>0</v>
      </c>
      <c r="U300" s="58">
        <v>0</v>
      </c>
      <c r="V300" s="58">
        <f>SUMIF('JUNE (물량흐름)'!$C$13:$C$493,'In-out-bal products (155)(완성제품)'!B300,'JUNE (물량흐름)'!$W$13:$W$493)</f>
        <v>0</v>
      </c>
      <c r="W300" s="58">
        <f t="shared" si="132"/>
        <v>0</v>
      </c>
      <c r="X300" s="58">
        <f t="shared" si="133"/>
        <v>0</v>
      </c>
      <c r="Y300" s="58">
        <f>SUMIF('JUNE (물량흐름)'!$C$13:$C$488,'In-out-bal products (155)(완성제품)'!B300,'JUNE (물량흐름)'!$X$13:$X$488)</f>
        <v>0</v>
      </c>
      <c r="Z300" s="58">
        <f t="shared" si="134"/>
        <v>0</v>
      </c>
      <c r="AA300" s="58">
        <f t="shared" si="135"/>
        <v>0</v>
      </c>
      <c r="AB300" s="58"/>
      <c r="AC300" s="58"/>
      <c r="AD300" s="61"/>
      <c r="AE300" s="58">
        <f t="shared" si="136"/>
        <v>0</v>
      </c>
      <c r="AF300" s="58">
        <f t="shared" si="137"/>
        <v>0</v>
      </c>
      <c r="AG300" s="61">
        <f t="shared" si="138"/>
        <v>0</v>
      </c>
      <c r="AH300" s="58">
        <v>0</v>
      </c>
      <c r="AI300" s="58">
        <v>0</v>
      </c>
      <c r="AJ300" s="61">
        <v>0</v>
      </c>
      <c r="AK300" s="58"/>
      <c r="AL300" s="58"/>
      <c r="AM300" s="61"/>
      <c r="AN300" s="61">
        <f t="shared" si="139"/>
        <v>0</v>
      </c>
      <c r="AO300" s="58">
        <f t="shared" si="140"/>
        <v>0</v>
      </c>
      <c r="AP300" s="61">
        <f t="shared" si="141"/>
        <v>0</v>
      </c>
      <c r="AQ300" s="58">
        <f t="shared" si="142"/>
        <v>0</v>
      </c>
      <c r="AR300" s="58">
        <f t="shared" si="143"/>
        <v>0</v>
      </c>
      <c r="AS300" s="58">
        <f t="shared" si="144"/>
        <v>0</v>
      </c>
      <c r="AT300" s="58">
        <f>ROUND(SUMIF('JUNE (물량흐름)'!$C$13:$C$502,'In-out-bal products (155)(완성제품)'!B300,'JUNE (물량흐름)'!$AB$13:$AB$502),0)</f>
        <v>0</v>
      </c>
      <c r="AU300" s="58">
        <f t="shared" si="145"/>
        <v>0</v>
      </c>
      <c r="AV300" s="58">
        <f>ROUND(SUMIF('JUNE (물량흐름)'!$C$13:$C$502,'In-out-bal products (155)(완성제품)'!B300,'JUNE (물량흐름)'!$AC$13:$AC$502),0)</f>
        <v>0</v>
      </c>
      <c r="AW300" s="58">
        <f t="shared" si="146"/>
        <v>0</v>
      </c>
      <c r="AX300" s="376">
        <f t="shared" si="147"/>
        <v>0</v>
      </c>
      <c r="AY300" s="377">
        <f t="shared" si="148"/>
        <v>0</v>
      </c>
      <c r="AZ300" s="377">
        <f t="shared" si="149"/>
        <v>0</v>
      </c>
      <c r="BA300" s="377">
        <f t="shared" si="150"/>
        <v>0</v>
      </c>
      <c r="BB300" s="377"/>
      <c r="BC300" s="377">
        <f t="shared" si="151"/>
        <v>0</v>
      </c>
      <c r="BD300" s="377">
        <f t="shared" si="152"/>
        <v>0</v>
      </c>
      <c r="BE300" s="377"/>
      <c r="BF300" s="377">
        <f t="shared" si="153"/>
        <v>0</v>
      </c>
      <c r="BG300" s="433">
        <f t="shared" si="154"/>
        <v>0</v>
      </c>
      <c r="BH300" s="434">
        <f t="shared" si="155"/>
        <v>0</v>
      </c>
    </row>
    <row r="301" spans="1:60" s="378" customFormat="1">
      <c r="A301" s="167">
        <v>295</v>
      </c>
      <c r="B301" s="253">
        <f>VLOOKUP(A301,'JUNE (물량흐름)'!$A$13:$C$493,3,0)</f>
        <v>100015304</v>
      </c>
      <c r="C301" s="57" t="str">
        <f>VLOOKUP(A301,'JUNE (물량흐름)'!$A$13:$C$493,2,0)</f>
        <v>ALFANI</v>
      </c>
      <c r="D301" s="58">
        <f>IFERROR(VLOOKUP(B301,O.B.JUNE!$V$7:$Y$448,2,0),0)</f>
        <v>0</v>
      </c>
      <c r="E301" s="58">
        <f>IFERROR(VLOOKUP(B301,O.B.JUNE!$V$7:$X$448,3,0),0)</f>
        <v>0</v>
      </c>
      <c r="F301" s="58">
        <f>IFERROR(VLOOKUP(B301,O.B.JUNE!$V$7:$Y$448,4,0),0)</f>
        <v>0</v>
      </c>
      <c r="G301" s="58">
        <f>SUMIF('JUNE (물량흐름)'!$C$13:$C$493,'In-out-bal products (155)(완성제품)'!B301,'JUNE (물량흐름)'!$V$13:$V$493)</f>
        <v>0</v>
      </c>
      <c r="H301" s="58">
        <f>SUMIF('JUNE (물량흐름)'!$C$13:$C$493,'In-out-bal products (155)(완성제품)'!B301,'JUNE (물량흐름)'!$T$13:$T$493)-SUMIF('JUNE (물량흐름)'!$C$13:$C$493,'In-out-bal products (155)(완성제품)'!B301,'JUNE (물량흐름)'!$Y$13:$Y$493)+SUMIF('JUNE (물량흐름)'!$C$13:$C$493,'In-out-bal products (155)(완성제품)'!B301,'JUNE (물량흐름)'!$U$13:$U$493)</f>
        <v>0</v>
      </c>
      <c r="I301" s="58">
        <f t="shared" si="126"/>
        <v>0</v>
      </c>
      <c r="J301" s="58">
        <f>SUMIF('Direct labour(직접노무비)'!$C$12:$C$503,'In-out-bal products (155)(완성제품)'!B301,'Direct labour(직접노무비)'!$Q$12:$Q$503)</f>
        <v>0</v>
      </c>
      <c r="K301" s="59">
        <f>SUMIF('Overhead exp(제조경비)'!$C$12:$C$503,'In-out-bal products (155)(완성제품)'!B301,'Overhead exp(제조경비)'!$Q$12:$Q$503)</f>
        <v>0</v>
      </c>
      <c r="L301" s="58">
        <f t="shared" si="127"/>
        <v>0</v>
      </c>
      <c r="M301" s="58">
        <f>SUMIF('JUNE (물량흐름)'!$C$13:$C$488,'In-out-bal products (155)(완성제품)'!B301,'JUNE (물량흐름)'!$Y$13:$Y$488)</f>
        <v>0</v>
      </c>
      <c r="N301" s="58">
        <f t="shared" si="128"/>
        <v>0</v>
      </c>
      <c r="O301" s="58">
        <f>SUMIF('Direct labour(직접노무비)'!$C$12:$C$503,'In-out-bal products (155)(완성제품)'!B301,'Direct labour(직접노무비)'!$U$12:$U$503)+SUMIF('Overhead exp(제조경비)'!$C$12:$C$503,'In-out-bal products (155)(완성제품)'!B301,'Overhead exp(제조경비)'!$U$12:$U$503)</f>
        <v>0</v>
      </c>
      <c r="P301" s="60">
        <f t="shared" si="129"/>
        <v>0</v>
      </c>
      <c r="Q301" s="60">
        <f t="shared" si="130"/>
        <v>0</v>
      </c>
      <c r="R301" s="60">
        <f t="shared" si="131"/>
        <v>0</v>
      </c>
      <c r="S301" s="58">
        <v>0</v>
      </c>
      <c r="T301" s="58">
        <v>0</v>
      </c>
      <c r="U301" s="58">
        <v>0</v>
      </c>
      <c r="V301" s="58">
        <f>SUMIF('JUNE (물량흐름)'!$C$13:$C$493,'In-out-bal products (155)(완성제품)'!B301,'JUNE (물량흐름)'!$W$13:$W$493)</f>
        <v>0</v>
      </c>
      <c r="W301" s="58">
        <f t="shared" si="132"/>
        <v>0</v>
      </c>
      <c r="X301" s="58">
        <f t="shared" si="133"/>
        <v>0</v>
      </c>
      <c r="Y301" s="58">
        <f>SUMIF('JUNE (물량흐름)'!$C$13:$C$488,'In-out-bal products (155)(완성제품)'!B301,'JUNE (물량흐름)'!$X$13:$X$488)</f>
        <v>0</v>
      </c>
      <c r="Z301" s="58">
        <f t="shared" si="134"/>
        <v>0</v>
      </c>
      <c r="AA301" s="58">
        <f t="shared" si="135"/>
        <v>0</v>
      </c>
      <c r="AB301" s="58"/>
      <c r="AC301" s="58"/>
      <c r="AD301" s="61"/>
      <c r="AE301" s="58">
        <f t="shared" si="136"/>
        <v>0</v>
      </c>
      <c r="AF301" s="58">
        <f t="shared" si="137"/>
        <v>0</v>
      </c>
      <c r="AG301" s="61">
        <f t="shared" si="138"/>
        <v>0</v>
      </c>
      <c r="AH301" s="58">
        <v>0</v>
      </c>
      <c r="AI301" s="58">
        <v>0</v>
      </c>
      <c r="AJ301" s="61">
        <v>0</v>
      </c>
      <c r="AK301" s="58"/>
      <c r="AL301" s="58"/>
      <c r="AM301" s="61"/>
      <c r="AN301" s="61">
        <f t="shared" si="139"/>
        <v>0</v>
      </c>
      <c r="AO301" s="58">
        <f t="shared" si="140"/>
        <v>0</v>
      </c>
      <c r="AP301" s="61">
        <f t="shared" si="141"/>
        <v>0</v>
      </c>
      <c r="AQ301" s="58">
        <f t="shared" si="142"/>
        <v>0</v>
      </c>
      <c r="AR301" s="58">
        <f t="shared" si="143"/>
        <v>0</v>
      </c>
      <c r="AS301" s="58">
        <f t="shared" si="144"/>
        <v>0</v>
      </c>
      <c r="AT301" s="58">
        <f>ROUND(SUMIF('JUNE (물량흐름)'!$C$13:$C$502,'In-out-bal products (155)(완성제품)'!B301,'JUNE (물량흐름)'!$AB$13:$AB$502),0)</f>
        <v>0</v>
      </c>
      <c r="AU301" s="58">
        <f t="shared" si="145"/>
        <v>0</v>
      </c>
      <c r="AV301" s="58">
        <f>ROUND(SUMIF('JUNE (물량흐름)'!$C$13:$C$502,'In-out-bal products (155)(완성제품)'!B301,'JUNE (물량흐름)'!$AC$13:$AC$502),0)</f>
        <v>0</v>
      </c>
      <c r="AW301" s="58">
        <f t="shared" si="146"/>
        <v>0</v>
      </c>
      <c r="AX301" s="376">
        <f t="shared" si="147"/>
        <v>0</v>
      </c>
      <c r="AY301" s="377">
        <f t="shared" si="148"/>
        <v>0</v>
      </c>
      <c r="AZ301" s="377">
        <f t="shared" si="149"/>
        <v>0</v>
      </c>
      <c r="BA301" s="377">
        <f t="shared" si="150"/>
        <v>0</v>
      </c>
      <c r="BB301" s="377"/>
      <c r="BC301" s="377">
        <f t="shared" si="151"/>
        <v>0</v>
      </c>
      <c r="BD301" s="377">
        <f t="shared" si="152"/>
        <v>0</v>
      </c>
      <c r="BE301" s="377"/>
      <c r="BF301" s="377">
        <f t="shared" si="153"/>
        <v>0</v>
      </c>
      <c r="BG301" s="433">
        <f t="shared" si="154"/>
        <v>0</v>
      </c>
      <c r="BH301" s="434">
        <f t="shared" si="155"/>
        <v>0</v>
      </c>
    </row>
    <row r="302" spans="1:60" s="378" customFormat="1">
      <c r="A302" s="167">
        <v>296</v>
      </c>
      <c r="B302" s="253">
        <f>VLOOKUP(A302,'JUNE (물량흐름)'!$A$13:$C$493,3,0)</f>
        <v>100015356</v>
      </c>
      <c r="C302" s="57" t="str">
        <f>VLOOKUP(A302,'JUNE (물량흐름)'!$A$13:$C$493,2,0)</f>
        <v>ALFANI</v>
      </c>
      <c r="D302" s="58">
        <f>IFERROR(VLOOKUP(B302,O.B.JUNE!$V$7:$Y$448,2,0),0)</f>
        <v>0</v>
      </c>
      <c r="E302" s="58">
        <f>IFERROR(VLOOKUP(B302,O.B.JUNE!$V$7:$X$448,3,0),0)</f>
        <v>0</v>
      </c>
      <c r="F302" s="58">
        <f>IFERROR(VLOOKUP(B302,O.B.JUNE!$V$7:$Y$448,4,0),0)</f>
        <v>0</v>
      </c>
      <c r="G302" s="58">
        <f>SUMIF('JUNE (물량흐름)'!$C$13:$C$493,'In-out-bal products (155)(완성제품)'!B302,'JUNE (물량흐름)'!$V$13:$V$493)</f>
        <v>0</v>
      </c>
      <c r="H302" s="58">
        <f>SUMIF('JUNE (물량흐름)'!$C$13:$C$493,'In-out-bal products (155)(완성제품)'!B302,'JUNE (물량흐름)'!$T$13:$T$493)-SUMIF('JUNE (물량흐름)'!$C$13:$C$493,'In-out-bal products (155)(완성제품)'!B302,'JUNE (물량흐름)'!$Y$13:$Y$493)+SUMIF('JUNE (물량흐름)'!$C$13:$C$493,'In-out-bal products (155)(완성제품)'!B302,'JUNE (물량흐름)'!$U$13:$U$493)</f>
        <v>0</v>
      </c>
      <c r="I302" s="58">
        <f t="shared" si="126"/>
        <v>0</v>
      </c>
      <c r="J302" s="58">
        <f>SUMIF('Direct labour(직접노무비)'!$C$12:$C$503,'In-out-bal products (155)(완성제품)'!B302,'Direct labour(직접노무비)'!$Q$12:$Q$503)</f>
        <v>0</v>
      </c>
      <c r="K302" s="59">
        <f>SUMIF('Overhead exp(제조경비)'!$C$12:$C$503,'In-out-bal products (155)(완성제품)'!B302,'Overhead exp(제조경비)'!$Q$12:$Q$503)</f>
        <v>0</v>
      </c>
      <c r="L302" s="58">
        <f t="shared" si="127"/>
        <v>0</v>
      </c>
      <c r="M302" s="58">
        <f>SUMIF('JUNE (물량흐름)'!$C$13:$C$488,'In-out-bal products (155)(완성제품)'!B302,'JUNE (물량흐름)'!$Y$13:$Y$488)</f>
        <v>0</v>
      </c>
      <c r="N302" s="58">
        <f t="shared" si="128"/>
        <v>0</v>
      </c>
      <c r="O302" s="58">
        <f>SUMIF('Direct labour(직접노무비)'!$C$12:$C$503,'In-out-bal products (155)(완성제품)'!B302,'Direct labour(직접노무비)'!$U$12:$U$503)+SUMIF('Overhead exp(제조경비)'!$C$12:$C$503,'In-out-bal products (155)(완성제품)'!B302,'Overhead exp(제조경비)'!$U$12:$U$503)</f>
        <v>0</v>
      </c>
      <c r="P302" s="60">
        <f t="shared" si="129"/>
        <v>0</v>
      </c>
      <c r="Q302" s="60">
        <f t="shared" si="130"/>
        <v>0</v>
      </c>
      <c r="R302" s="60">
        <f t="shared" si="131"/>
        <v>0</v>
      </c>
      <c r="S302" s="58">
        <v>0</v>
      </c>
      <c r="T302" s="58">
        <v>0</v>
      </c>
      <c r="U302" s="58">
        <v>0</v>
      </c>
      <c r="V302" s="58">
        <f>SUMIF('JUNE (물량흐름)'!$C$13:$C$493,'In-out-bal products (155)(완성제품)'!B302,'JUNE (물량흐름)'!$W$13:$W$493)</f>
        <v>0</v>
      </c>
      <c r="W302" s="58">
        <f t="shared" si="132"/>
        <v>0</v>
      </c>
      <c r="X302" s="58">
        <f t="shared" si="133"/>
        <v>0</v>
      </c>
      <c r="Y302" s="58">
        <f>SUMIF('JUNE (물량흐름)'!$C$13:$C$488,'In-out-bal products (155)(완성제품)'!B302,'JUNE (물량흐름)'!$X$13:$X$488)</f>
        <v>0</v>
      </c>
      <c r="Z302" s="58">
        <f t="shared" si="134"/>
        <v>0</v>
      </c>
      <c r="AA302" s="58">
        <f t="shared" si="135"/>
        <v>0</v>
      </c>
      <c r="AB302" s="58"/>
      <c r="AC302" s="58"/>
      <c r="AD302" s="61"/>
      <c r="AE302" s="58">
        <f t="shared" si="136"/>
        <v>0</v>
      </c>
      <c r="AF302" s="58">
        <f t="shared" si="137"/>
        <v>0</v>
      </c>
      <c r="AG302" s="61">
        <f t="shared" si="138"/>
        <v>0</v>
      </c>
      <c r="AH302" s="58">
        <v>0</v>
      </c>
      <c r="AI302" s="58">
        <v>0</v>
      </c>
      <c r="AJ302" s="61">
        <v>0</v>
      </c>
      <c r="AK302" s="58"/>
      <c r="AL302" s="58"/>
      <c r="AM302" s="61"/>
      <c r="AN302" s="61">
        <f t="shared" si="139"/>
        <v>0</v>
      </c>
      <c r="AO302" s="58">
        <f t="shared" si="140"/>
        <v>0</v>
      </c>
      <c r="AP302" s="61">
        <f t="shared" si="141"/>
        <v>0</v>
      </c>
      <c r="AQ302" s="58">
        <f t="shared" si="142"/>
        <v>0</v>
      </c>
      <c r="AR302" s="58">
        <f t="shared" si="143"/>
        <v>0</v>
      </c>
      <c r="AS302" s="58">
        <f t="shared" si="144"/>
        <v>0</v>
      </c>
      <c r="AT302" s="58">
        <f>ROUND(SUMIF('JUNE (물량흐름)'!$C$13:$C$502,'In-out-bal products (155)(완성제품)'!B302,'JUNE (물량흐름)'!$AB$13:$AB$502),0)</f>
        <v>0</v>
      </c>
      <c r="AU302" s="58">
        <f t="shared" si="145"/>
        <v>0</v>
      </c>
      <c r="AV302" s="58">
        <f>ROUND(SUMIF('JUNE (물량흐름)'!$C$13:$C$502,'In-out-bal products (155)(완성제품)'!B302,'JUNE (물량흐름)'!$AC$13:$AC$502),0)</f>
        <v>0</v>
      </c>
      <c r="AW302" s="58">
        <f t="shared" si="146"/>
        <v>0</v>
      </c>
      <c r="AX302" s="376">
        <f t="shared" si="147"/>
        <v>0</v>
      </c>
      <c r="AY302" s="377">
        <f t="shared" si="148"/>
        <v>0</v>
      </c>
      <c r="AZ302" s="377">
        <f t="shared" si="149"/>
        <v>0</v>
      </c>
      <c r="BA302" s="377">
        <f t="shared" si="150"/>
        <v>0</v>
      </c>
      <c r="BB302" s="377"/>
      <c r="BC302" s="377">
        <f t="shared" si="151"/>
        <v>0</v>
      </c>
      <c r="BD302" s="377">
        <f t="shared" si="152"/>
        <v>0</v>
      </c>
      <c r="BE302" s="377"/>
      <c r="BF302" s="377">
        <f t="shared" si="153"/>
        <v>0</v>
      </c>
      <c r="BG302" s="433">
        <f t="shared" si="154"/>
        <v>0</v>
      </c>
      <c r="BH302" s="434">
        <f t="shared" si="155"/>
        <v>0</v>
      </c>
    </row>
    <row r="303" spans="1:60" s="378" customFormat="1">
      <c r="A303" s="167">
        <v>297</v>
      </c>
      <c r="B303" s="253">
        <f>VLOOKUP(A303,'JUNE (물량흐름)'!$A$13:$C$493,3,0)</f>
        <v>100015404</v>
      </c>
      <c r="C303" s="57" t="str">
        <f>VLOOKUP(A303,'JUNE (물량흐름)'!$A$13:$C$493,2,0)</f>
        <v>ALFANI</v>
      </c>
      <c r="D303" s="58">
        <f>IFERROR(VLOOKUP(B303,O.B.JUNE!$V$7:$Y$448,2,0),0)</f>
        <v>0</v>
      </c>
      <c r="E303" s="58">
        <f>IFERROR(VLOOKUP(B303,O.B.JUNE!$V$7:$X$448,3,0),0)</f>
        <v>0</v>
      </c>
      <c r="F303" s="58">
        <f>IFERROR(VLOOKUP(B303,O.B.JUNE!$V$7:$Y$448,4,0),0)</f>
        <v>0</v>
      </c>
      <c r="G303" s="58">
        <f>SUMIF('JUNE (물량흐름)'!$C$13:$C$493,'In-out-bal products (155)(완성제품)'!B303,'JUNE (물량흐름)'!$V$13:$V$493)</f>
        <v>0</v>
      </c>
      <c r="H303" s="58">
        <f>SUMIF('JUNE (물량흐름)'!$C$13:$C$493,'In-out-bal products (155)(완성제품)'!B303,'JUNE (물량흐름)'!$T$13:$T$493)-SUMIF('JUNE (물량흐름)'!$C$13:$C$493,'In-out-bal products (155)(완성제품)'!B303,'JUNE (물량흐름)'!$Y$13:$Y$493)+SUMIF('JUNE (물량흐름)'!$C$13:$C$493,'In-out-bal products (155)(완성제품)'!B303,'JUNE (물량흐름)'!$U$13:$U$493)</f>
        <v>0</v>
      </c>
      <c r="I303" s="58">
        <f t="shared" si="126"/>
        <v>0</v>
      </c>
      <c r="J303" s="58">
        <f>SUMIF('Direct labour(직접노무비)'!$C$12:$C$503,'In-out-bal products (155)(완성제품)'!B303,'Direct labour(직접노무비)'!$Q$12:$Q$503)</f>
        <v>0</v>
      </c>
      <c r="K303" s="59">
        <f>SUMIF('Overhead exp(제조경비)'!$C$12:$C$503,'In-out-bal products (155)(완성제품)'!B303,'Overhead exp(제조경비)'!$Q$12:$Q$503)</f>
        <v>0</v>
      </c>
      <c r="L303" s="58">
        <f t="shared" si="127"/>
        <v>0</v>
      </c>
      <c r="M303" s="58">
        <f>SUMIF('JUNE (물량흐름)'!$C$13:$C$488,'In-out-bal products (155)(완성제품)'!B303,'JUNE (물량흐름)'!$Y$13:$Y$488)</f>
        <v>0</v>
      </c>
      <c r="N303" s="58">
        <f t="shared" si="128"/>
        <v>0</v>
      </c>
      <c r="O303" s="58">
        <f>SUMIF('Direct labour(직접노무비)'!$C$12:$C$503,'In-out-bal products (155)(완성제품)'!B303,'Direct labour(직접노무비)'!$U$12:$U$503)+SUMIF('Overhead exp(제조경비)'!$C$12:$C$503,'In-out-bal products (155)(완성제품)'!B303,'Overhead exp(제조경비)'!$U$12:$U$503)</f>
        <v>0</v>
      </c>
      <c r="P303" s="60">
        <f t="shared" si="129"/>
        <v>0</v>
      </c>
      <c r="Q303" s="60">
        <f t="shared" si="130"/>
        <v>0</v>
      </c>
      <c r="R303" s="60">
        <f t="shared" si="131"/>
        <v>0</v>
      </c>
      <c r="S303" s="58">
        <v>0</v>
      </c>
      <c r="T303" s="58">
        <v>0</v>
      </c>
      <c r="U303" s="58">
        <v>0</v>
      </c>
      <c r="V303" s="58">
        <f>SUMIF('JUNE (물량흐름)'!$C$13:$C$493,'In-out-bal products (155)(완성제품)'!B303,'JUNE (물량흐름)'!$W$13:$W$493)</f>
        <v>0</v>
      </c>
      <c r="W303" s="58">
        <f t="shared" si="132"/>
        <v>0</v>
      </c>
      <c r="X303" s="58">
        <f t="shared" si="133"/>
        <v>0</v>
      </c>
      <c r="Y303" s="58">
        <f>SUMIF('JUNE (물량흐름)'!$C$13:$C$488,'In-out-bal products (155)(완성제품)'!B303,'JUNE (물량흐름)'!$X$13:$X$488)</f>
        <v>0</v>
      </c>
      <c r="Z303" s="58">
        <f t="shared" si="134"/>
        <v>0</v>
      </c>
      <c r="AA303" s="58">
        <f t="shared" si="135"/>
        <v>0</v>
      </c>
      <c r="AB303" s="58"/>
      <c r="AC303" s="58"/>
      <c r="AD303" s="61"/>
      <c r="AE303" s="58">
        <f t="shared" si="136"/>
        <v>0</v>
      </c>
      <c r="AF303" s="58">
        <f t="shared" si="137"/>
        <v>0</v>
      </c>
      <c r="AG303" s="61">
        <f t="shared" si="138"/>
        <v>0</v>
      </c>
      <c r="AH303" s="58">
        <v>0</v>
      </c>
      <c r="AI303" s="58">
        <v>0</v>
      </c>
      <c r="AJ303" s="61">
        <v>0</v>
      </c>
      <c r="AK303" s="58"/>
      <c r="AL303" s="58"/>
      <c r="AM303" s="61"/>
      <c r="AN303" s="61">
        <f t="shared" si="139"/>
        <v>0</v>
      </c>
      <c r="AO303" s="58">
        <f t="shared" si="140"/>
        <v>0</v>
      </c>
      <c r="AP303" s="61">
        <f t="shared" si="141"/>
        <v>0</v>
      </c>
      <c r="AQ303" s="58">
        <f t="shared" si="142"/>
        <v>0</v>
      </c>
      <c r="AR303" s="58">
        <f t="shared" si="143"/>
        <v>0</v>
      </c>
      <c r="AS303" s="58">
        <f t="shared" si="144"/>
        <v>0</v>
      </c>
      <c r="AT303" s="58">
        <f>ROUND(SUMIF('JUNE (물량흐름)'!$C$13:$C$502,'In-out-bal products (155)(완성제품)'!B303,'JUNE (물량흐름)'!$AB$13:$AB$502),0)</f>
        <v>0</v>
      </c>
      <c r="AU303" s="58">
        <f t="shared" si="145"/>
        <v>0</v>
      </c>
      <c r="AV303" s="58">
        <f>ROUND(SUMIF('JUNE (물량흐름)'!$C$13:$C$502,'In-out-bal products (155)(완성제품)'!B303,'JUNE (물량흐름)'!$AC$13:$AC$502),0)</f>
        <v>0</v>
      </c>
      <c r="AW303" s="58">
        <f t="shared" si="146"/>
        <v>0</v>
      </c>
      <c r="AX303" s="376">
        <f t="shared" si="147"/>
        <v>0</v>
      </c>
      <c r="AY303" s="377">
        <f t="shared" si="148"/>
        <v>0</v>
      </c>
      <c r="AZ303" s="377">
        <f t="shared" si="149"/>
        <v>0</v>
      </c>
      <c r="BA303" s="377">
        <f t="shared" si="150"/>
        <v>0</v>
      </c>
      <c r="BB303" s="377"/>
      <c r="BC303" s="377">
        <f t="shared" si="151"/>
        <v>0</v>
      </c>
      <c r="BD303" s="377">
        <f t="shared" si="152"/>
        <v>0</v>
      </c>
      <c r="BE303" s="377"/>
      <c r="BF303" s="377">
        <f t="shared" si="153"/>
        <v>0</v>
      </c>
      <c r="BG303" s="433">
        <f t="shared" si="154"/>
        <v>0</v>
      </c>
      <c r="BH303" s="434">
        <f t="shared" si="155"/>
        <v>0</v>
      </c>
    </row>
    <row r="304" spans="1:60" s="378" customFormat="1">
      <c r="A304" s="167">
        <v>298</v>
      </c>
      <c r="B304" s="253">
        <f>VLOOKUP(A304,'JUNE (물량흐름)'!$A$13:$C$493,3,0)</f>
        <v>100015437</v>
      </c>
      <c r="C304" s="57" t="str">
        <f>VLOOKUP(A304,'JUNE (물량흐름)'!$A$13:$C$493,2,0)</f>
        <v>ALFANI</v>
      </c>
      <c r="D304" s="58">
        <f>IFERROR(VLOOKUP(B304,O.B.JUNE!$V$7:$Y$448,2,0),0)</f>
        <v>0</v>
      </c>
      <c r="E304" s="58">
        <f>IFERROR(VLOOKUP(B304,O.B.JUNE!$V$7:$X$448,3,0),0)</f>
        <v>0</v>
      </c>
      <c r="F304" s="58">
        <f>IFERROR(VLOOKUP(B304,O.B.JUNE!$V$7:$Y$448,4,0),0)</f>
        <v>0</v>
      </c>
      <c r="G304" s="58">
        <f>SUMIF('JUNE (물량흐름)'!$C$13:$C$493,'In-out-bal products (155)(완성제품)'!B304,'JUNE (물량흐름)'!$V$13:$V$493)</f>
        <v>0</v>
      </c>
      <c r="H304" s="58">
        <f>SUMIF('JUNE (물량흐름)'!$C$13:$C$493,'In-out-bal products (155)(완성제품)'!B304,'JUNE (물량흐름)'!$T$13:$T$493)-SUMIF('JUNE (물량흐름)'!$C$13:$C$493,'In-out-bal products (155)(완성제품)'!B304,'JUNE (물량흐름)'!$Y$13:$Y$493)+SUMIF('JUNE (물량흐름)'!$C$13:$C$493,'In-out-bal products (155)(완성제품)'!B304,'JUNE (물량흐름)'!$U$13:$U$493)</f>
        <v>0</v>
      </c>
      <c r="I304" s="58">
        <f t="shared" si="126"/>
        <v>0</v>
      </c>
      <c r="J304" s="58">
        <f>SUMIF('Direct labour(직접노무비)'!$C$12:$C$503,'In-out-bal products (155)(완성제품)'!B304,'Direct labour(직접노무비)'!$Q$12:$Q$503)</f>
        <v>0</v>
      </c>
      <c r="K304" s="59">
        <f>SUMIF('Overhead exp(제조경비)'!$C$12:$C$503,'In-out-bal products (155)(완성제품)'!B304,'Overhead exp(제조경비)'!$Q$12:$Q$503)</f>
        <v>0</v>
      </c>
      <c r="L304" s="58">
        <f t="shared" si="127"/>
        <v>0</v>
      </c>
      <c r="M304" s="58">
        <f>SUMIF('JUNE (물량흐름)'!$C$13:$C$488,'In-out-bal products (155)(완성제품)'!B304,'JUNE (물량흐름)'!$Y$13:$Y$488)</f>
        <v>0</v>
      </c>
      <c r="N304" s="58">
        <f t="shared" si="128"/>
        <v>0</v>
      </c>
      <c r="O304" s="58">
        <f>SUMIF('Direct labour(직접노무비)'!$C$12:$C$503,'In-out-bal products (155)(완성제품)'!B304,'Direct labour(직접노무비)'!$U$12:$U$503)+SUMIF('Overhead exp(제조경비)'!$C$12:$C$503,'In-out-bal products (155)(완성제품)'!B304,'Overhead exp(제조경비)'!$U$12:$U$503)</f>
        <v>0</v>
      </c>
      <c r="P304" s="60">
        <f t="shared" si="129"/>
        <v>0</v>
      </c>
      <c r="Q304" s="60">
        <f t="shared" si="130"/>
        <v>0</v>
      </c>
      <c r="R304" s="60">
        <f t="shared" si="131"/>
        <v>0</v>
      </c>
      <c r="S304" s="58">
        <v>0</v>
      </c>
      <c r="T304" s="58">
        <v>0</v>
      </c>
      <c r="U304" s="58">
        <v>0</v>
      </c>
      <c r="V304" s="58">
        <f>SUMIF('JUNE (물량흐름)'!$C$13:$C$493,'In-out-bal products (155)(완성제품)'!B304,'JUNE (물량흐름)'!$W$13:$W$493)</f>
        <v>0</v>
      </c>
      <c r="W304" s="58">
        <f t="shared" si="132"/>
        <v>0</v>
      </c>
      <c r="X304" s="58">
        <f t="shared" si="133"/>
        <v>0</v>
      </c>
      <c r="Y304" s="58">
        <f>SUMIF('JUNE (물량흐름)'!$C$13:$C$488,'In-out-bal products (155)(완성제품)'!B304,'JUNE (물량흐름)'!$X$13:$X$488)</f>
        <v>0</v>
      </c>
      <c r="Z304" s="58">
        <f t="shared" si="134"/>
        <v>0</v>
      </c>
      <c r="AA304" s="58">
        <f t="shared" si="135"/>
        <v>0</v>
      </c>
      <c r="AB304" s="58"/>
      <c r="AC304" s="58"/>
      <c r="AD304" s="61"/>
      <c r="AE304" s="58">
        <f t="shared" si="136"/>
        <v>0</v>
      </c>
      <c r="AF304" s="58">
        <f t="shared" si="137"/>
        <v>0</v>
      </c>
      <c r="AG304" s="61">
        <f t="shared" si="138"/>
        <v>0</v>
      </c>
      <c r="AH304" s="58">
        <v>0</v>
      </c>
      <c r="AI304" s="58">
        <v>0</v>
      </c>
      <c r="AJ304" s="61">
        <v>0</v>
      </c>
      <c r="AK304" s="58"/>
      <c r="AL304" s="58"/>
      <c r="AM304" s="61"/>
      <c r="AN304" s="61">
        <f t="shared" si="139"/>
        <v>0</v>
      </c>
      <c r="AO304" s="58">
        <f t="shared" si="140"/>
        <v>0</v>
      </c>
      <c r="AP304" s="61">
        <f t="shared" si="141"/>
        <v>0</v>
      </c>
      <c r="AQ304" s="58">
        <f t="shared" si="142"/>
        <v>0</v>
      </c>
      <c r="AR304" s="58">
        <f t="shared" si="143"/>
        <v>0</v>
      </c>
      <c r="AS304" s="58">
        <f t="shared" si="144"/>
        <v>0</v>
      </c>
      <c r="AT304" s="58">
        <f>ROUND(SUMIF('JUNE (물량흐름)'!$C$13:$C$502,'In-out-bal products (155)(완성제품)'!B304,'JUNE (물량흐름)'!$AB$13:$AB$502),0)</f>
        <v>0</v>
      </c>
      <c r="AU304" s="58">
        <f t="shared" si="145"/>
        <v>0</v>
      </c>
      <c r="AV304" s="58">
        <f>ROUND(SUMIF('JUNE (물량흐름)'!$C$13:$C$502,'In-out-bal products (155)(완성제품)'!B304,'JUNE (물량흐름)'!$AC$13:$AC$502),0)</f>
        <v>0</v>
      </c>
      <c r="AW304" s="58">
        <f t="shared" si="146"/>
        <v>0</v>
      </c>
      <c r="AX304" s="376">
        <f t="shared" si="147"/>
        <v>0</v>
      </c>
      <c r="AY304" s="377">
        <f t="shared" si="148"/>
        <v>0</v>
      </c>
      <c r="AZ304" s="377">
        <f t="shared" si="149"/>
        <v>0</v>
      </c>
      <c r="BA304" s="377">
        <f t="shared" si="150"/>
        <v>0</v>
      </c>
      <c r="BB304" s="377"/>
      <c r="BC304" s="377">
        <f t="shared" si="151"/>
        <v>0</v>
      </c>
      <c r="BD304" s="377">
        <f t="shared" si="152"/>
        <v>0</v>
      </c>
      <c r="BE304" s="377"/>
      <c r="BF304" s="377">
        <f t="shared" si="153"/>
        <v>0</v>
      </c>
      <c r="BG304" s="433">
        <f t="shared" si="154"/>
        <v>0</v>
      </c>
      <c r="BH304" s="434">
        <f t="shared" si="155"/>
        <v>0</v>
      </c>
    </row>
    <row r="305" spans="1:60" s="378" customFormat="1">
      <c r="A305" s="167">
        <v>299</v>
      </c>
      <c r="B305" s="253">
        <f>VLOOKUP(A305,'JUNE (물량흐름)'!$A$13:$C$493,3,0)</f>
        <v>100016367</v>
      </c>
      <c r="C305" s="57" t="str">
        <f>VLOOKUP(A305,'JUNE (물량흐름)'!$A$13:$C$493,2,0)</f>
        <v>ALFANI</v>
      </c>
      <c r="D305" s="58">
        <f>IFERROR(VLOOKUP(B305,O.B.JUNE!$V$7:$Y$448,2,0),0)</f>
        <v>0</v>
      </c>
      <c r="E305" s="58">
        <f>IFERROR(VLOOKUP(B305,O.B.JUNE!$V$7:$X$448,3,0),0)</f>
        <v>0</v>
      </c>
      <c r="F305" s="58">
        <f>IFERROR(VLOOKUP(B305,O.B.JUNE!$V$7:$Y$448,4,0),0)</f>
        <v>0</v>
      </c>
      <c r="G305" s="58">
        <f>SUMIF('JUNE (물량흐름)'!$C$13:$C$493,'In-out-bal products (155)(완성제품)'!B305,'JUNE (물량흐름)'!$V$13:$V$493)</f>
        <v>0</v>
      </c>
      <c r="H305" s="58">
        <f>SUMIF('JUNE (물량흐름)'!$C$13:$C$493,'In-out-bal products (155)(완성제품)'!B305,'JUNE (물량흐름)'!$T$13:$T$493)-SUMIF('JUNE (물량흐름)'!$C$13:$C$493,'In-out-bal products (155)(완성제품)'!B305,'JUNE (물량흐름)'!$Y$13:$Y$493)+SUMIF('JUNE (물량흐름)'!$C$13:$C$493,'In-out-bal products (155)(완성제품)'!B305,'JUNE (물량흐름)'!$U$13:$U$493)</f>
        <v>0</v>
      </c>
      <c r="I305" s="58">
        <f t="shared" si="126"/>
        <v>0</v>
      </c>
      <c r="J305" s="58">
        <f>SUMIF('Direct labour(직접노무비)'!$C$12:$C$503,'In-out-bal products (155)(완성제품)'!B305,'Direct labour(직접노무비)'!$Q$12:$Q$503)</f>
        <v>0</v>
      </c>
      <c r="K305" s="59">
        <f>SUMIF('Overhead exp(제조경비)'!$C$12:$C$503,'In-out-bal products (155)(완성제품)'!B305,'Overhead exp(제조경비)'!$Q$12:$Q$503)</f>
        <v>0</v>
      </c>
      <c r="L305" s="58">
        <f t="shared" si="127"/>
        <v>0</v>
      </c>
      <c r="M305" s="58">
        <f>SUMIF('JUNE (물량흐름)'!$C$13:$C$488,'In-out-bal products (155)(완성제품)'!B305,'JUNE (물량흐름)'!$Y$13:$Y$488)</f>
        <v>0</v>
      </c>
      <c r="N305" s="58">
        <f t="shared" si="128"/>
        <v>0</v>
      </c>
      <c r="O305" s="58">
        <f>SUMIF('Direct labour(직접노무비)'!$C$12:$C$503,'In-out-bal products (155)(완성제품)'!B305,'Direct labour(직접노무비)'!$U$12:$U$503)+SUMIF('Overhead exp(제조경비)'!$C$12:$C$503,'In-out-bal products (155)(완성제품)'!B305,'Overhead exp(제조경비)'!$U$12:$U$503)</f>
        <v>0</v>
      </c>
      <c r="P305" s="60">
        <f t="shared" si="129"/>
        <v>0</v>
      </c>
      <c r="Q305" s="60">
        <f t="shared" si="130"/>
        <v>0</v>
      </c>
      <c r="R305" s="60">
        <f t="shared" si="131"/>
        <v>0</v>
      </c>
      <c r="S305" s="58">
        <v>0</v>
      </c>
      <c r="T305" s="58">
        <v>0</v>
      </c>
      <c r="U305" s="58">
        <v>0</v>
      </c>
      <c r="V305" s="58">
        <f>SUMIF('JUNE (물량흐름)'!$C$13:$C$493,'In-out-bal products (155)(완성제품)'!B305,'JUNE (물량흐름)'!$W$13:$W$493)</f>
        <v>0</v>
      </c>
      <c r="W305" s="58">
        <f t="shared" si="132"/>
        <v>0</v>
      </c>
      <c r="X305" s="58">
        <f t="shared" si="133"/>
        <v>0</v>
      </c>
      <c r="Y305" s="58">
        <f>SUMIF('JUNE (물량흐름)'!$C$13:$C$488,'In-out-bal products (155)(완성제품)'!B305,'JUNE (물량흐름)'!$X$13:$X$488)</f>
        <v>0</v>
      </c>
      <c r="Z305" s="58">
        <f t="shared" si="134"/>
        <v>0</v>
      </c>
      <c r="AA305" s="58">
        <f t="shared" si="135"/>
        <v>0</v>
      </c>
      <c r="AB305" s="58"/>
      <c r="AC305" s="58"/>
      <c r="AD305" s="61"/>
      <c r="AE305" s="58">
        <f t="shared" si="136"/>
        <v>0</v>
      </c>
      <c r="AF305" s="58">
        <f t="shared" si="137"/>
        <v>0</v>
      </c>
      <c r="AG305" s="61">
        <f t="shared" si="138"/>
        <v>0</v>
      </c>
      <c r="AH305" s="58">
        <v>0</v>
      </c>
      <c r="AI305" s="58">
        <v>0</v>
      </c>
      <c r="AJ305" s="61">
        <v>0</v>
      </c>
      <c r="AK305" s="58"/>
      <c r="AL305" s="58"/>
      <c r="AM305" s="61"/>
      <c r="AN305" s="61">
        <f t="shared" si="139"/>
        <v>0</v>
      </c>
      <c r="AO305" s="58">
        <f t="shared" si="140"/>
        <v>0</v>
      </c>
      <c r="AP305" s="61">
        <f t="shared" si="141"/>
        <v>0</v>
      </c>
      <c r="AQ305" s="58">
        <f t="shared" si="142"/>
        <v>0</v>
      </c>
      <c r="AR305" s="58">
        <f t="shared" si="143"/>
        <v>0</v>
      </c>
      <c r="AS305" s="58">
        <f t="shared" si="144"/>
        <v>0</v>
      </c>
      <c r="AT305" s="58">
        <f>ROUND(SUMIF('JUNE (물량흐름)'!$C$13:$C$502,'In-out-bal products (155)(완성제품)'!B305,'JUNE (물량흐름)'!$AB$13:$AB$502),0)</f>
        <v>0</v>
      </c>
      <c r="AU305" s="58">
        <f t="shared" si="145"/>
        <v>0</v>
      </c>
      <c r="AV305" s="58">
        <f>ROUND(SUMIF('JUNE (물량흐름)'!$C$13:$C$502,'In-out-bal products (155)(완성제품)'!B305,'JUNE (물량흐름)'!$AC$13:$AC$502),0)</f>
        <v>0</v>
      </c>
      <c r="AW305" s="58">
        <f t="shared" si="146"/>
        <v>0</v>
      </c>
      <c r="AX305" s="376">
        <f t="shared" si="147"/>
        <v>0</v>
      </c>
      <c r="AY305" s="377">
        <f t="shared" si="148"/>
        <v>0</v>
      </c>
      <c r="AZ305" s="377">
        <f t="shared" si="149"/>
        <v>0</v>
      </c>
      <c r="BA305" s="377">
        <f t="shared" si="150"/>
        <v>0</v>
      </c>
      <c r="BB305" s="377"/>
      <c r="BC305" s="377">
        <f t="shared" si="151"/>
        <v>0</v>
      </c>
      <c r="BD305" s="377">
        <f t="shared" si="152"/>
        <v>0</v>
      </c>
      <c r="BE305" s="377"/>
      <c r="BF305" s="377">
        <f t="shared" si="153"/>
        <v>0</v>
      </c>
      <c r="BG305" s="433">
        <f t="shared" si="154"/>
        <v>0</v>
      </c>
      <c r="BH305" s="434">
        <f t="shared" si="155"/>
        <v>0</v>
      </c>
    </row>
    <row r="306" spans="1:60" s="378" customFormat="1">
      <c r="A306" s="167">
        <v>300</v>
      </c>
      <c r="B306" s="253">
        <f>VLOOKUP(A306,'JUNE (물량흐름)'!$A$13:$C$493,3,0)</f>
        <v>100016575</v>
      </c>
      <c r="C306" s="57" t="str">
        <f>VLOOKUP(A306,'JUNE (물량흐름)'!$A$13:$C$493,2,0)</f>
        <v>CHARTER CLUB</v>
      </c>
      <c r="D306" s="58">
        <f>IFERROR(VLOOKUP(B306,O.B.JUNE!$V$7:$Y$448,2,0),0)</f>
        <v>0</v>
      </c>
      <c r="E306" s="58">
        <f>IFERROR(VLOOKUP(B306,O.B.JUNE!$V$7:$X$448,3,0),0)</f>
        <v>0</v>
      </c>
      <c r="F306" s="58">
        <f>IFERROR(VLOOKUP(B306,O.B.JUNE!$V$7:$Y$448,4,0),0)</f>
        <v>0</v>
      </c>
      <c r="G306" s="58">
        <f>SUMIF('JUNE (물량흐름)'!$C$13:$C$493,'In-out-bal products (155)(완성제품)'!B306,'JUNE (물량흐름)'!$V$13:$V$493)</f>
        <v>0</v>
      </c>
      <c r="H306" s="58">
        <f>SUMIF('JUNE (물량흐름)'!$C$13:$C$493,'In-out-bal products (155)(완성제품)'!B306,'JUNE (물량흐름)'!$T$13:$T$493)-SUMIF('JUNE (물량흐름)'!$C$13:$C$493,'In-out-bal products (155)(완성제품)'!B306,'JUNE (물량흐름)'!$Y$13:$Y$493)+SUMIF('JUNE (물량흐름)'!$C$13:$C$493,'In-out-bal products (155)(완성제품)'!B306,'JUNE (물량흐름)'!$U$13:$U$493)</f>
        <v>0</v>
      </c>
      <c r="I306" s="58">
        <f t="shared" si="126"/>
        <v>0</v>
      </c>
      <c r="J306" s="58">
        <f>SUMIF('Direct labour(직접노무비)'!$C$12:$C$503,'In-out-bal products (155)(완성제품)'!B306,'Direct labour(직접노무비)'!$Q$12:$Q$503)</f>
        <v>0</v>
      </c>
      <c r="K306" s="59">
        <f>SUMIF('Overhead exp(제조경비)'!$C$12:$C$503,'In-out-bal products (155)(완성제품)'!B306,'Overhead exp(제조경비)'!$Q$12:$Q$503)</f>
        <v>0</v>
      </c>
      <c r="L306" s="58">
        <f t="shared" si="127"/>
        <v>0</v>
      </c>
      <c r="M306" s="58">
        <f>SUMIF('JUNE (물량흐름)'!$C$13:$C$488,'In-out-bal products (155)(완성제품)'!B306,'JUNE (물량흐름)'!$Y$13:$Y$488)</f>
        <v>0</v>
      </c>
      <c r="N306" s="58">
        <f t="shared" si="128"/>
        <v>0</v>
      </c>
      <c r="O306" s="58">
        <f>SUMIF('Direct labour(직접노무비)'!$C$12:$C$503,'In-out-bal products (155)(완성제품)'!B306,'Direct labour(직접노무비)'!$U$12:$U$503)+SUMIF('Overhead exp(제조경비)'!$C$12:$C$503,'In-out-bal products (155)(완성제품)'!B306,'Overhead exp(제조경비)'!$U$12:$U$503)</f>
        <v>0</v>
      </c>
      <c r="P306" s="60">
        <f t="shared" si="129"/>
        <v>0</v>
      </c>
      <c r="Q306" s="60">
        <f t="shared" si="130"/>
        <v>0</v>
      </c>
      <c r="R306" s="60">
        <f t="shared" si="131"/>
        <v>0</v>
      </c>
      <c r="S306" s="58">
        <v>0</v>
      </c>
      <c r="T306" s="58">
        <v>0</v>
      </c>
      <c r="U306" s="58">
        <v>0</v>
      </c>
      <c r="V306" s="58">
        <f>SUMIF('JUNE (물량흐름)'!$C$13:$C$493,'In-out-bal products (155)(완성제품)'!B306,'JUNE (물량흐름)'!$W$13:$W$493)</f>
        <v>0</v>
      </c>
      <c r="W306" s="58">
        <f t="shared" si="132"/>
        <v>0</v>
      </c>
      <c r="X306" s="58">
        <f t="shared" si="133"/>
        <v>0</v>
      </c>
      <c r="Y306" s="58">
        <f>SUMIF('JUNE (물량흐름)'!$C$13:$C$488,'In-out-bal products (155)(완성제품)'!B306,'JUNE (물량흐름)'!$X$13:$X$488)</f>
        <v>0</v>
      </c>
      <c r="Z306" s="58">
        <f t="shared" si="134"/>
        <v>0</v>
      </c>
      <c r="AA306" s="58">
        <f t="shared" si="135"/>
        <v>0</v>
      </c>
      <c r="AB306" s="58"/>
      <c r="AC306" s="58"/>
      <c r="AD306" s="61"/>
      <c r="AE306" s="58">
        <f t="shared" si="136"/>
        <v>0</v>
      </c>
      <c r="AF306" s="58">
        <f t="shared" si="137"/>
        <v>0</v>
      </c>
      <c r="AG306" s="61">
        <f t="shared" si="138"/>
        <v>0</v>
      </c>
      <c r="AH306" s="58">
        <v>0</v>
      </c>
      <c r="AI306" s="58">
        <v>0</v>
      </c>
      <c r="AJ306" s="61">
        <v>0</v>
      </c>
      <c r="AK306" s="58"/>
      <c r="AL306" s="58"/>
      <c r="AM306" s="61"/>
      <c r="AN306" s="61">
        <f t="shared" si="139"/>
        <v>0</v>
      </c>
      <c r="AO306" s="58">
        <f t="shared" si="140"/>
        <v>0</v>
      </c>
      <c r="AP306" s="61">
        <f t="shared" si="141"/>
        <v>0</v>
      </c>
      <c r="AQ306" s="58">
        <f t="shared" si="142"/>
        <v>0</v>
      </c>
      <c r="AR306" s="58">
        <f t="shared" si="143"/>
        <v>0</v>
      </c>
      <c r="AS306" s="58">
        <f t="shared" si="144"/>
        <v>0</v>
      </c>
      <c r="AT306" s="58">
        <f>ROUND(SUMIF('JUNE (물량흐름)'!$C$13:$C$502,'In-out-bal products (155)(완성제품)'!B306,'JUNE (물량흐름)'!$AB$13:$AB$502),0)</f>
        <v>0</v>
      </c>
      <c r="AU306" s="58">
        <f t="shared" si="145"/>
        <v>0</v>
      </c>
      <c r="AV306" s="58">
        <f>ROUND(SUMIF('JUNE (물량흐름)'!$C$13:$C$502,'In-out-bal products (155)(완성제품)'!B306,'JUNE (물량흐름)'!$AC$13:$AC$502),0)</f>
        <v>0</v>
      </c>
      <c r="AW306" s="58">
        <f t="shared" si="146"/>
        <v>0</v>
      </c>
      <c r="AX306" s="376">
        <f t="shared" si="147"/>
        <v>0</v>
      </c>
      <c r="AY306" s="377">
        <f t="shared" si="148"/>
        <v>0</v>
      </c>
      <c r="AZ306" s="377">
        <f t="shared" si="149"/>
        <v>0</v>
      </c>
      <c r="BA306" s="377">
        <f t="shared" si="150"/>
        <v>0</v>
      </c>
      <c r="BB306" s="377"/>
      <c r="BC306" s="377">
        <f t="shared" si="151"/>
        <v>0</v>
      </c>
      <c r="BD306" s="377">
        <f t="shared" si="152"/>
        <v>0</v>
      </c>
      <c r="BE306" s="377"/>
      <c r="BF306" s="377">
        <f t="shared" si="153"/>
        <v>0</v>
      </c>
      <c r="BG306" s="433">
        <f t="shared" si="154"/>
        <v>0</v>
      </c>
      <c r="BH306" s="434">
        <f t="shared" si="155"/>
        <v>0</v>
      </c>
    </row>
    <row r="307" spans="1:60" s="378" customFormat="1">
      <c r="A307" s="167">
        <v>301</v>
      </c>
      <c r="B307" s="253">
        <f>VLOOKUP(A307,'JUNE (물량흐름)'!$A$13:$C$493,3,0)</f>
        <v>100019839</v>
      </c>
      <c r="C307" s="57" t="str">
        <f>VLOOKUP(A307,'JUNE (물량흐름)'!$A$13:$C$493,2,0)</f>
        <v>ALFANI</v>
      </c>
      <c r="D307" s="58">
        <f>IFERROR(VLOOKUP(B307,O.B.JUNE!$V$7:$Y$448,2,0),0)</f>
        <v>0</v>
      </c>
      <c r="E307" s="58">
        <f>IFERROR(VLOOKUP(B307,O.B.JUNE!$V$7:$X$448,3,0),0)</f>
        <v>0</v>
      </c>
      <c r="F307" s="58">
        <f>IFERROR(VLOOKUP(B307,O.B.JUNE!$V$7:$Y$448,4,0),0)</f>
        <v>0</v>
      </c>
      <c r="G307" s="58">
        <f>SUMIF('JUNE (물량흐름)'!$C$13:$C$493,'In-out-bal products (155)(완성제품)'!B307,'JUNE (물량흐름)'!$V$13:$V$493)</f>
        <v>0</v>
      </c>
      <c r="H307" s="58">
        <f>SUMIF('JUNE (물량흐름)'!$C$13:$C$493,'In-out-bal products (155)(완성제품)'!B307,'JUNE (물량흐름)'!$T$13:$T$493)-SUMIF('JUNE (물량흐름)'!$C$13:$C$493,'In-out-bal products (155)(완성제품)'!B307,'JUNE (물량흐름)'!$Y$13:$Y$493)+SUMIF('JUNE (물량흐름)'!$C$13:$C$493,'In-out-bal products (155)(완성제품)'!B307,'JUNE (물량흐름)'!$U$13:$U$493)</f>
        <v>0</v>
      </c>
      <c r="I307" s="58">
        <f t="shared" si="126"/>
        <v>0</v>
      </c>
      <c r="J307" s="58">
        <f>SUMIF('Direct labour(직접노무비)'!$C$12:$C$503,'In-out-bal products (155)(완성제품)'!B307,'Direct labour(직접노무비)'!$Q$12:$Q$503)</f>
        <v>0</v>
      </c>
      <c r="K307" s="59">
        <f>SUMIF('Overhead exp(제조경비)'!$C$12:$C$503,'In-out-bal products (155)(완성제품)'!B307,'Overhead exp(제조경비)'!$Q$12:$Q$503)</f>
        <v>0</v>
      </c>
      <c r="L307" s="58">
        <f t="shared" si="127"/>
        <v>0</v>
      </c>
      <c r="M307" s="58">
        <f>SUMIF('JUNE (물량흐름)'!$C$13:$C$488,'In-out-bal products (155)(완성제품)'!B307,'JUNE (물량흐름)'!$Y$13:$Y$488)</f>
        <v>0</v>
      </c>
      <c r="N307" s="58">
        <f t="shared" si="128"/>
        <v>0</v>
      </c>
      <c r="O307" s="58">
        <f>SUMIF('Direct labour(직접노무비)'!$C$12:$C$503,'In-out-bal products (155)(완성제품)'!B307,'Direct labour(직접노무비)'!$U$12:$U$503)+SUMIF('Overhead exp(제조경비)'!$C$12:$C$503,'In-out-bal products (155)(완성제품)'!B307,'Overhead exp(제조경비)'!$U$12:$U$503)</f>
        <v>0</v>
      </c>
      <c r="P307" s="60">
        <f t="shared" si="129"/>
        <v>0</v>
      </c>
      <c r="Q307" s="60">
        <f t="shared" si="130"/>
        <v>0</v>
      </c>
      <c r="R307" s="60">
        <f t="shared" si="131"/>
        <v>0</v>
      </c>
      <c r="S307" s="58">
        <v>0</v>
      </c>
      <c r="T307" s="58">
        <v>0</v>
      </c>
      <c r="U307" s="58">
        <v>0</v>
      </c>
      <c r="V307" s="58">
        <f>SUMIF('JUNE (물량흐름)'!$C$13:$C$493,'In-out-bal products (155)(완성제품)'!B307,'JUNE (물량흐름)'!$W$13:$W$493)</f>
        <v>0</v>
      </c>
      <c r="W307" s="58">
        <f t="shared" si="132"/>
        <v>0</v>
      </c>
      <c r="X307" s="58">
        <f t="shared" si="133"/>
        <v>0</v>
      </c>
      <c r="Y307" s="58">
        <f>SUMIF('JUNE (물량흐름)'!$C$13:$C$488,'In-out-bal products (155)(완성제품)'!B307,'JUNE (물량흐름)'!$X$13:$X$488)</f>
        <v>0</v>
      </c>
      <c r="Z307" s="58">
        <f t="shared" si="134"/>
        <v>0</v>
      </c>
      <c r="AA307" s="58">
        <f t="shared" si="135"/>
        <v>0</v>
      </c>
      <c r="AB307" s="58"/>
      <c r="AC307" s="58"/>
      <c r="AD307" s="61"/>
      <c r="AE307" s="58">
        <f t="shared" si="136"/>
        <v>0</v>
      </c>
      <c r="AF307" s="58">
        <f t="shared" si="137"/>
        <v>0</v>
      </c>
      <c r="AG307" s="61">
        <f t="shared" si="138"/>
        <v>0</v>
      </c>
      <c r="AH307" s="58">
        <v>0</v>
      </c>
      <c r="AI307" s="58">
        <v>0</v>
      </c>
      <c r="AJ307" s="61">
        <v>0</v>
      </c>
      <c r="AK307" s="58"/>
      <c r="AL307" s="58"/>
      <c r="AM307" s="61"/>
      <c r="AN307" s="61">
        <f t="shared" si="139"/>
        <v>0</v>
      </c>
      <c r="AO307" s="58">
        <f t="shared" si="140"/>
        <v>0</v>
      </c>
      <c r="AP307" s="61">
        <f t="shared" si="141"/>
        <v>0</v>
      </c>
      <c r="AQ307" s="58">
        <f t="shared" si="142"/>
        <v>0</v>
      </c>
      <c r="AR307" s="58">
        <f t="shared" si="143"/>
        <v>0</v>
      </c>
      <c r="AS307" s="58">
        <f t="shared" si="144"/>
        <v>0</v>
      </c>
      <c r="AT307" s="58">
        <f>ROUND(SUMIF('JUNE (물량흐름)'!$C$13:$C$502,'In-out-bal products (155)(완성제품)'!B307,'JUNE (물량흐름)'!$AB$13:$AB$502),0)</f>
        <v>0</v>
      </c>
      <c r="AU307" s="58">
        <f t="shared" si="145"/>
        <v>0</v>
      </c>
      <c r="AV307" s="58">
        <f>ROUND(SUMIF('JUNE (물량흐름)'!$C$13:$C$502,'In-out-bal products (155)(완성제품)'!B307,'JUNE (물량흐름)'!$AC$13:$AC$502),0)</f>
        <v>0</v>
      </c>
      <c r="AW307" s="58">
        <f t="shared" si="146"/>
        <v>0</v>
      </c>
      <c r="AX307" s="376">
        <f t="shared" si="147"/>
        <v>0</v>
      </c>
      <c r="AY307" s="377">
        <f t="shared" si="148"/>
        <v>0</v>
      </c>
      <c r="AZ307" s="377">
        <f t="shared" si="149"/>
        <v>0</v>
      </c>
      <c r="BA307" s="377">
        <f t="shared" si="150"/>
        <v>0</v>
      </c>
      <c r="BB307" s="377"/>
      <c r="BC307" s="377">
        <f t="shared" si="151"/>
        <v>0</v>
      </c>
      <c r="BD307" s="377">
        <f t="shared" si="152"/>
        <v>0</v>
      </c>
      <c r="BE307" s="377"/>
      <c r="BF307" s="377">
        <f t="shared" si="153"/>
        <v>0</v>
      </c>
      <c r="BG307" s="433">
        <f t="shared" si="154"/>
        <v>0</v>
      </c>
      <c r="BH307" s="434">
        <f t="shared" si="155"/>
        <v>0</v>
      </c>
    </row>
    <row r="308" spans="1:60" s="378" customFormat="1">
      <c r="A308" s="167">
        <v>302</v>
      </c>
      <c r="B308" s="253">
        <f>VLOOKUP(A308,'JUNE (물량흐름)'!$A$13:$C$493,3,0)</f>
        <v>100021862</v>
      </c>
      <c r="C308" s="57" t="str">
        <f>VLOOKUP(A308,'JUNE (물량흐름)'!$A$13:$C$493,2,0)</f>
        <v>CHARTER CLUB</v>
      </c>
      <c r="D308" s="58">
        <f>IFERROR(VLOOKUP(B308,O.B.JUNE!$V$7:$Y$448,2,0),0)</f>
        <v>0</v>
      </c>
      <c r="E308" s="58">
        <f>IFERROR(VLOOKUP(B308,O.B.JUNE!$V$7:$X$448,3,0),0)</f>
        <v>0</v>
      </c>
      <c r="F308" s="58">
        <f>IFERROR(VLOOKUP(B308,O.B.JUNE!$V$7:$Y$448,4,0),0)</f>
        <v>0</v>
      </c>
      <c r="G308" s="58">
        <f>SUMIF('JUNE (물량흐름)'!$C$13:$C$493,'In-out-bal products (155)(완성제품)'!B308,'JUNE (물량흐름)'!$V$13:$V$493)</f>
        <v>0</v>
      </c>
      <c r="H308" s="58">
        <f>SUMIF('JUNE (물량흐름)'!$C$13:$C$493,'In-out-bal products (155)(완성제품)'!B308,'JUNE (물량흐름)'!$T$13:$T$493)-SUMIF('JUNE (물량흐름)'!$C$13:$C$493,'In-out-bal products (155)(완성제품)'!B308,'JUNE (물량흐름)'!$Y$13:$Y$493)+SUMIF('JUNE (물량흐름)'!$C$13:$C$493,'In-out-bal products (155)(완성제품)'!B308,'JUNE (물량흐름)'!$U$13:$U$493)</f>
        <v>0</v>
      </c>
      <c r="I308" s="58">
        <f t="shared" si="126"/>
        <v>0</v>
      </c>
      <c r="J308" s="58">
        <f>SUMIF('Direct labour(직접노무비)'!$C$12:$C$503,'In-out-bal products (155)(완성제품)'!B308,'Direct labour(직접노무비)'!$Q$12:$Q$503)</f>
        <v>0</v>
      </c>
      <c r="K308" s="59">
        <f>SUMIF('Overhead exp(제조경비)'!$C$12:$C$503,'In-out-bal products (155)(완성제품)'!B308,'Overhead exp(제조경비)'!$Q$12:$Q$503)</f>
        <v>0</v>
      </c>
      <c r="L308" s="58">
        <f t="shared" si="127"/>
        <v>0</v>
      </c>
      <c r="M308" s="58">
        <f>SUMIF('JUNE (물량흐름)'!$C$13:$C$488,'In-out-bal products (155)(완성제품)'!B308,'JUNE (물량흐름)'!$Y$13:$Y$488)</f>
        <v>0</v>
      </c>
      <c r="N308" s="58">
        <f t="shared" si="128"/>
        <v>0</v>
      </c>
      <c r="O308" s="58">
        <f>SUMIF('Direct labour(직접노무비)'!$C$12:$C$503,'In-out-bal products (155)(완성제품)'!B308,'Direct labour(직접노무비)'!$U$12:$U$503)+SUMIF('Overhead exp(제조경비)'!$C$12:$C$503,'In-out-bal products (155)(완성제품)'!B308,'Overhead exp(제조경비)'!$U$12:$U$503)</f>
        <v>0</v>
      </c>
      <c r="P308" s="60">
        <f t="shared" si="129"/>
        <v>0</v>
      </c>
      <c r="Q308" s="60">
        <f t="shared" si="130"/>
        <v>0</v>
      </c>
      <c r="R308" s="60">
        <f t="shared" si="131"/>
        <v>0</v>
      </c>
      <c r="S308" s="58">
        <v>0</v>
      </c>
      <c r="T308" s="58">
        <v>0</v>
      </c>
      <c r="U308" s="58">
        <v>0</v>
      </c>
      <c r="V308" s="58">
        <f>SUMIF('JUNE (물량흐름)'!$C$13:$C$493,'In-out-bal products (155)(완성제품)'!B308,'JUNE (물량흐름)'!$W$13:$W$493)</f>
        <v>0</v>
      </c>
      <c r="W308" s="58">
        <f t="shared" si="132"/>
        <v>0</v>
      </c>
      <c r="X308" s="58">
        <f t="shared" si="133"/>
        <v>0</v>
      </c>
      <c r="Y308" s="58">
        <f>SUMIF('JUNE (물량흐름)'!$C$13:$C$488,'In-out-bal products (155)(완성제품)'!B308,'JUNE (물량흐름)'!$X$13:$X$488)</f>
        <v>0</v>
      </c>
      <c r="Z308" s="58">
        <f t="shared" si="134"/>
        <v>0</v>
      </c>
      <c r="AA308" s="58">
        <f t="shared" si="135"/>
        <v>0</v>
      </c>
      <c r="AB308" s="58"/>
      <c r="AC308" s="58"/>
      <c r="AD308" s="61"/>
      <c r="AE308" s="58">
        <f t="shared" si="136"/>
        <v>0</v>
      </c>
      <c r="AF308" s="58">
        <f t="shared" si="137"/>
        <v>0</v>
      </c>
      <c r="AG308" s="61">
        <f t="shared" si="138"/>
        <v>0</v>
      </c>
      <c r="AH308" s="58">
        <v>0</v>
      </c>
      <c r="AI308" s="58">
        <v>0</v>
      </c>
      <c r="AJ308" s="61">
        <v>0</v>
      </c>
      <c r="AK308" s="58"/>
      <c r="AL308" s="58"/>
      <c r="AM308" s="61"/>
      <c r="AN308" s="61">
        <f t="shared" si="139"/>
        <v>0</v>
      </c>
      <c r="AO308" s="58">
        <f t="shared" si="140"/>
        <v>0</v>
      </c>
      <c r="AP308" s="61">
        <f t="shared" si="141"/>
        <v>0</v>
      </c>
      <c r="AQ308" s="58">
        <f t="shared" si="142"/>
        <v>0</v>
      </c>
      <c r="AR308" s="58">
        <f t="shared" si="143"/>
        <v>0</v>
      </c>
      <c r="AS308" s="58">
        <f t="shared" si="144"/>
        <v>0</v>
      </c>
      <c r="AT308" s="58">
        <f>ROUND(SUMIF('JUNE (물량흐름)'!$C$13:$C$502,'In-out-bal products (155)(완성제품)'!B308,'JUNE (물량흐름)'!$AB$13:$AB$502),0)</f>
        <v>0</v>
      </c>
      <c r="AU308" s="58">
        <f t="shared" si="145"/>
        <v>0</v>
      </c>
      <c r="AV308" s="58">
        <f>ROUND(SUMIF('JUNE (물량흐름)'!$C$13:$C$502,'In-out-bal products (155)(완성제품)'!B308,'JUNE (물량흐름)'!$AC$13:$AC$502),0)</f>
        <v>0</v>
      </c>
      <c r="AW308" s="58">
        <f t="shared" si="146"/>
        <v>0</v>
      </c>
      <c r="AX308" s="376">
        <f t="shared" si="147"/>
        <v>0</v>
      </c>
      <c r="AY308" s="377">
        <f t="shared" si="148"/>
        <v>0</v>
      </c>
      <c r="AZ308" s="377">
        <f t="shared" si="149"/>
        <v>0</v>
      </c>
      <c r="BA308" s="377">
        <f t="shared" si="150"/>
        <v>0</v>
      </c>
      <c r="BB308" s="377"/>
      <c r="BC308" s="377">
        <f t="shared" si="151"/>
        <v>0</v>
      </c>
      <c r="BD308" s="377">
        <f t="shared" si="152"/>
        <v>0</v>
      </c>
      <c r="BE308" s="377"/>
      <c r="BF308" s="377">
        <f t="shared" si="153"/>
        <v>0</v>
      </c>
      <c r="BG308" s="433">
        <f t="shared" si="154"/>
        <v>0</v>
      </c>
      <c r="BH308" s="434">
        <f t="shared" si="155"/>
        <v>0</v>
      </c>
    </row>
    <row r="309" spans="1:60" s="378" customFormat="1">
      <c r="A309" s="167">
        <v>303</v>
      </c>
      <c r="B309" s="253">
        <f>VLOOKUP(A309,'JUNE (물량흐름)'!$A$13:$C$493,3,0)</f>
        <v>100025244</v>
      </c>
      <c r="C309" s="57" t="str">
        <f>VLOOKUP(A309,'JUNE (물량흐름)'!$A$13:$C$493,2,0)</f>
        <v>ALFANI</v>
      </c>
      <c r="D309" s="58">
        <f>IFERROR(VLOOKUP(B309,O.B.JUNE!$V$7:$Y$448,2,0),0)</f>
        <v>0</v>
      </c>
      <c r="E309" s="58">
        <f>IFERROR(VLOOKUP(B309,O.B.JUNE!$V$7:$X$448,3,0),0)</f>
        <v>0</v>
      </c>
      <c r="F309" s="58">
        <f>IFERROR(VLOOKUP(B309,O.B.JUNE!$V$7:$Y$448,4,0),0)</f>
        <v>0</v>
      </c>
      <c r="G309" s="58">
        <f>SUMIF('JUNE (물량흐름)'!$C$13:$C$493,'In-out-bal products (155)(완성제품)'!B309,'JUNE (물량흐름)'!$V$13:$V$493)</f>
        <v>0</v>
      </c>
      <c r="H309" s="58">
        <f>SUMIF('JUNE (물량흐름)'!$C$13:$C$493,'In-out-bal products (155)(완성제품)'!B309,'JUNE (물량흐름)'!$T$13:$T$493)-SUMIF('JUNE (물량흐름)'!$C$13:$C$493,'In-out-bal products (155)(완성제품)'!B309,'JUNE (물량흐름)'!$Y$13:$Y$493)+SUMIF('JUNE (물량흐름)'!$C$13:$C$493,'In-out-bal products (155)(완성제품)'!B309,'JUNE (물량흐름)'!$U$13:$U$493)</f>
        <v>0</v>
      </c>
      <c r="I309" s="58">
        <f t="shared" si="126"/>
        <v>0</v>
      </c>
      <c r="J309" s="58">
        <f>SUMIF('Direct labour(직접노무비)'!$C$12:$C$503,'In-out-bal products (155)(완성제품)'!B309,'Direct labour(직접노무비)'!$Q$12:$Q$503)</f>
        <v>0</v>
      </c>
      <c r="K309" s="59">
        <f>SUMIF('Overhead exp(제조경비)'!$C$12:$C$503,'In-out-bal products (155)(완성제품)'!B309,'Overhead exp(제조경비)'!$Q$12:$Q$503)</f>
        <v>0</v>
      </c>
      <c r="L309" s="58">
        <f t="shared" si="127"/>
        <v>0</v>
      </c>
      <c r="M309" s="58">
        <f>SUMIF('JUNE (물량흐름)'!$C$13:$C$488,'In-out-bal products (155)(완성제품)'!B309,'JUNE (물량흐름)'!$Y$13:$Y$488)</f>
        <v>0</v>
      </c>
      <c r="N309" s="58">
        <f t="shared" si="128"/>
        <v>0</v>
      </c>
      <c r="O309" s="58">
        <f>SUMIF('Direct labour(직접노무비)'!$C$12:$C$503,'In-out-bal products (155)(완성제품)'!B309,'Direct labour(직접노무비)'!$U$12:$U$503)+SUMIF('Overhead exp(제조경비)'!$C$12:$C$503,'In-out-bal products (155)(완성제품)'!B309,'Overhead exp(제조경비)'!$U$12:$U$503)</f>
        <v>0</v>
      </c>
      <c r="P309" s="60">
        <f t="shared" si="129"/>
        <v>0</v>
      </c>
      <c r="Q309" s="60">
        <f t="shared" si="130"/>
        <v>0</v>
      </c>
      <c r="R309" s="60">
        <f t="shared" si="131"/>
        <v>0</v>
      </c>
      <c r="S309" s="58">
        <v>0</v>
      </c>
      <c r="T309" s="58">
        <v>0</v>
      </c>
      <c r="U309" s="58">
        <v>0</v>
      </c>
      <c r="V309" s="58">
        <f>SUMIF('JUNE (물량흐름)'!$C$13:$C$493,'In-out-bal products (155)(완성제품)'!B309,'JUNE (물량흐름)'!$W$13:$W$493)</f>
        <v>0</v>
      </c>
      <c r="W309" s="58">
        <f t="shared" si="132"/>
        <v>0</v>
      </c>
      <c r="X309" s="58">
        <f t="shared" si="133"/>
        <v>0</v>
      </c>
      <c r="Y309" s="58">
        <f>SUMIF('JUNE (물량흐름)'!$C$13:$C$488,'In-out-bal products (155)(완성제품)'!B309,'JUNE (물량흐름)'!$X$13:$X$488)</f>
        <v>0</v>
      </c>
      <c r="Z309" s="58">
        <f t="shared" si="134"/>
        <v>0</v>
      </c>
      <c r="AA309" s="58">
        <f t="shared" si="135"/>
        <v>0</v>
      </c>
      <c r="AB309" s="58"/>
      <c r="AC309" s="58"/>
      <c r="AD309" s="61"/>
      <c r="AE309" s="58">
        <f t="shared" si="136"/>
        <v>0</v>
      </c>
      <c r="AF309" s="58">
        <f t="shared" si="137"/>
        <v>0</v>
      </c>
      <c r="AG309" s="61">
        <f t="shared" si="138"/>
        <v>0</v>
      </c>
      <c r="AH309" s="58">
        <v>0</v>
      </c>
      <c r="AI309" s="58">
        <v>0</v>
      </c>
      <c r="AJ309" s="61">
        <v>0</v>
      </c>
      <c r="AK309" s="58"/>
      <c r="AL309" s="58"/>
      <c r="AM309" s="61"/>
      <c r="AN309" s="61">
        <f t="shared" si="139"/>
        <v>0</v>
      </c>
      <c r="AO309" s="58">
        <f t="shared" si="140"/>
        <v>0</v>
      </c>
      <c r="AP309" s="61">
        <f t="shared" si="141"/>
        <v>0</v>
      </c>
      <c r="AQ309" s="58">
        <f t="shared" si="142"/>
        <v>0</v>
      </c>
      <c r="AR309" s="58">
        <f t="shared" si="143"/>
        <v>0</v>
      </c>
      <c r="AS309" s="58">
        <f t="shared" si="144"/>
        <v>0</v>
      </c>
      <c r="AT309" s="58">
        <f>ROUND(SUMIF('JUNE (물량흐름)'!$C$13:$C$502,'In-out-bal products (155)(완성제품)'!B309,'JUNE (물량흐름)'!$AB$13:$AB$502),0)</f>
        <v>0</v>
      </c>
      <c r="AU309" s="58">
        <f t="shared" si="145"/>
        <v>0</v>
      </c>
      <c r="AV309" s="58">
        <f>ROUND(SUMIF('JUNE (물량흐름)'!$C$13:$C$502,'In-out-bal products (155)(완성제품)'!B309,'JUNE (물량흐름)'!$AC$13:$AC$502),0)</f>
        <v>0</v>
      </c>
      <c r="AW309" s="58">
        <f t="shared" si="146"/>
        <v>0</v>
      </c>
      <c r="AX309" s="376">
        <f t="shared" si="147"/>
        <v>0</v>
      </c>
      <c r="AY309" s="377">
        <f t="shared" si="148"/>
        <v>0</v>
      </c>
      <c r="AZ309" s="377">
        <f t="shared" si="149"/>
        <v>0</v>
      </c>
      <c r="BA309" s="377">
        <f t="shared" si="150"/>
        <v>0</v>
      </c>
      <c r="BB309" s="377"/>
      <c r="BC309" s="377">
        <f t="shared" si="151"/>
        <v>0</v>
      </c>
      <c r="BD309" s="377">
        <f t="shared" si="152"/>
        <v>0</v>
      </c>
      <c r="BE309" s="377"/>
      <c r="BF309" s="377">
        <f t="shared" si="153"/>
        <v>0</v>
      </c>
      <c r="BG309" s="433">
        <f t="shared" si="154"/>
        <v>0</v>
      </c>
      <c r="BH309" s="434">
        <f t="shared" si="155"/>
        <v>0</v>
      </c>
    </row>
    <row r="310" spans="1:60" s="378" customFormat="1">
      <c r="A310" s="167">
        <v>304</v>
      </c>
      <c r="B310" s="253">
        <f>VLOOKUP(A310,'JUNE (물량흐름)'!$A$13:$C$493,3,0)</f>
        <v>100025245</v>
      </c>
      <c r="C310" s="57" t="str">
        <f>VLOOKUP(A310,'JUNE (물량흐름)'!$A$13:$C$493,2,0)</f>
        <v>ALFANI</v>
      </c>
      <c r="D310" s="58">
        <f>IFERROR(VLOOKUP(B310,O.B.JUNE!$V$7:$Y$448,2,0),0)</f>
        <v>0</v>
      </c>
      <c r="E310" s="58">
        <f>IFERROR(VLOOKUP(B310,O.B.JUNE!$V$7:$X$448,3,0),0)</f>
        <v>0</v>
      </c>
      <c r="F310" s="58">
        <f>IFERROR(VLOOKUP(B310,O.B.JUNE!$V$7:$Y$448,4,0),0)</f>
        <v>0</v>
      </c>
      <c r="G310" s="58">
        <f>SUMIF('JUNE (물량흐름)'!$C$13:$C$493,'In-out-bal products (155)(완성제품)'!B310,'JUNE (물량흐름)'!$V$13:$V$493)</f>
        <v>0</v>
      </c>
      <c r="H310" s="58">
        <f>SUMIF('JUNE (물량흐름)'!$C$13:$C$493,'In-out-bal products (155)(완성제품)'!B310,'JUNE (물량흐름)'!$T$13:$T$493)-SUMIF('JUNE (물량흐름)'!$C$13:$C$493,'In-out-bal products (155)(완성제품)'!B310,'JUNE (물량흐름)'!$Y$13:$Y$493)+SUMIF('JUNE (물량흐름)'!$C$13:$C$493,'In-out-bal products (155)(완성제품)'!B310,'JUNE (물량흐름)'!$U$13:$U$493)</f>
        <v>0</v>
      </c>
      <c r="I310" s="58">
        <f t="shared" si="126"/>
        <v>0</v>
      </c>
      <c r="J310" s="58">
        <f>SUMIF('Direct labour(직접노무비)'!$C$12:$C$503,'In-out-bal products (155)(완성제품)'!B310,'Direct labour(직접노무비)'!$Q$12:$Q$503)</f>
        <v>0</v>
      </c>
      <c r="K310" s="59">
        <f>SUMIF('Overhead exp(제조경비)'!$C$12:$C$503,'In-out-bal products (155)(완성제품)'!B310,'Overhead exp(제조경비)'!$Q$12:$Q$503)</f>
        <v>0</v>
      </c>
      <c r="L310" s="58">
        <f t="shared" si="127"/>
        <v>0</v>
      </c>
      <c r="M310" s="58">
        <f>SUMIF('JUNE (물량흐름)'!$C$13:$C$488,'In-out-bal products (155)(완성제품)'!B310,'JUNE (물량흐름)'!$Y$13:$Y$488)</f>
        <v>0</v>
      </c>
      <c r="N310" s="58">
        <f t="shared" si="128"/>
        <v>0</v>
      </c>
      <c r="O310" s="58">
        <f>SUMIF('Direct labour(직접노무비)'!$C$12:$C$503,'In-out-bal products (155)(완성제품)'!B310,'Direct labour(직접노무비)'!$U$12:$U$503)+SUMIF('Overhead exp(제조경비)'!$C$12:$C$503,'In-out-bal products (155)(완성제품)'!B310,'Overhead exp(제조경비)'!$U$12:$U$503)</f>
        <v>0</v>
      </c>
      <c r="P310" s="60">
        <f t="shared" si="129"/>
        <v>0</v>
      </c>
      <c r="Q310" s="60">
        <f t="shared" si="130"/>
        <v>0</v>
      </c>
      <c r="R310" s="60">
        <f t="shared" si="131"/>
        <v>0</v>
      </c>
      <c r="S310" s="58">
        <v>0</v>
      </c>
      <c r="T310" s="58">
        <v>0</v>
      </c>
      <c r="U310" s="58">
        <v>0</v>
      </c>
      <c r="V310" s="58">
        <f>SUMIF('JUNE (물량흐름)'!$C$13:$C$493,'In-out-bal products (155)(완성제품)'!B310,'JUNE (물량흐름)'!$W$13:$W$493)</f>
        <v>0</v>
      </c>
      <c r="W310" s="58">
        <f t="shared" si="132"/>
        <v>0</v>
      </c>
      <c r="X310" s="58">
        <f t="shared" si="133"/>
        <v>0</v>
      </c>
      <c r="Y310" s="58">
        <f>SUMIF('JUNE (물량흐름)'!$C$13:$C$488,'In-out-bal products (155)(완성제품)'!B310,'JUNE (물량흐름)'!$X$13:$X$488)</f>
        <v>0</v>
      </c>
      <c r="Z310" s="58">
        <f t="shared" si="134"/>
        <v>0</v>
      </c>
      <c r="AA310" s="58">
        <f t="shared" si="135"/>
        <v>0</v>
      </c>
      <c r="AB310" s="58"/>
      <c r="AC310" s="58"/>
      <c r="AD310" s="61"/>
      <c r="AE310" s="58">
        <f t="shared" si="136"/>
        <v>0</v>
      </c>
      <c r="AF310" s="58">
        <f t="shared" si="137"/>
        <v>0</v>
      </c>
      <c r="AG310" s="61">
        <f t="shared" si="138"/>
        <v>0</v>
      </c>
      <c r="AH310" s="58">
        <v>0</v>
      </c>
      <c r="AI310" s="58">
        <v>0</v>
      </c>
      <c r="AJ310" s="61">
        <v>0</v>
      </c>
      <c r="AK310" s="58"/>
      <c r="AL310" s="58"/>
      <c r="AM310" s="61"/>
      <c r="AN310" s="61">
        <f t="shared" si="139"/>
        <v>0</v>
      </c>
      <c r="AO310" s="58">
        <f t="shared" si="140"/>
        <v>0</v>
      </c>
      <c r="AP310" s="61">
        <f t="shared" si="141"/>
        <v>0</v>
      </c>
      <c r="AQ310" s="58">
        <f t="shared" si="142"/>
        <v>0</v>
      </c>
      <c r="AR310" s="58">
        <f t="shared" si="143"/>
        <v>0</v>
      </c>
      <c r="AS310" s="58">
        <f t="shared" si="144"/>
        <v>0</v>
      </c>
      <c r="AT310" s="58">
        <f>ROUND(SUMIF('JUNE (물량흐름)'!$C$13:$C$502,'In-out-bal products (155)(완성제품)'!B310,'JUNE (물량흐름)'!$AB$13:$AB$502),0)</f>
        <v>0</v>
      </c>
      <c r="AU310" s="58">
        <f t="shared" si="145"/>
        <v>0</v>
      </c>
      <c r="AV310" s="58">
        <f>ROUND(SUMIF('JUNE (물량흐름)'!$C$13:$C$502,'In-out-bal products (155)(완성제품)'!B310,'JUNE (물량흐름)'!$AC$13:$AC$502),0)</f>
        <v>0</v>
      </c>
      <c r="AW310" s="58">
        <f t="shared" si="146"/>
        <v>0</v>
      </c>
      <c r="AX310" s="376">
        <f t="shared" si="147"/>
        <v>0</v>
      </c>
      <c r="AY310" s="377">
        <f t="shared" si="148"/>
        <v>0</v>
      </c>
      <c r="AZ310" s="377">
        <f t="shared" si="149"/>
        <v>0</v>
      </c>
      <c r="BA310" s="377">
        <f t="shared" si="150"/>
        <v>0</v>
      </c>
      <c r="BB310" s="377"/>
      <c r="BC310" s="377">
        <f t="shared" si="151"/>
        <v>0</v>
      </c>
      <c r="BD310" s="377">
        <f t="shared" si="152"/>
        <v>0</v>
      </c>
      <c r="BE310" s="377"/>
      <c r="BF310" s="377">
        <f t="shared" si="153"/>
        <v>0</v>
      </c>
      <c r="BG310" s="433">
        <f t="shared" si="154"/>
        <v>0</v>
      </c>
      <c r="BH310" s="434">
        <f t="shared" si="155"/>
        <v>0</v>
      </c>
    </row>
    <row r="311" spans="1:60" s="378" customFormat="1">
      <c r="A311" s="167">
        <v>305</v>
      </c>
      <c r="B311" s="253">
        <f>VLOOKUP(A311,'JUNE (물량흐름)'!$A$13:$C$493,3,0)</f>
        <v>182013373</v>
      </c>
      <c r="C311" s="57" t="str">
        <f>VLOOKUP(A311,'JUNE (물량흐름)'!$A$13:$C$493,2,0)</f>
        <v>TALBOTS</v>
      </c>
      <c r="D311" s="58">
        <f>IFERROR(VLOOKUP(B311,O.B.JUNE!$V$7:$Y$448,2,0),0)</f>
        <v>0</v>
      </c>
      <c r="E311" s="58">
        <f>IFERROR(VLOOKUP(B311,O.B.JUNE!$V$7:$X$448,3,0),0)</f>
        <v>0</v>
      </c>
      <c r="F311" s="58">
        <f>IFERROR(VLOOKUP(B311,O.B.JUNE!$V$7:$Y$448,4,0),0)</f>
        <v>0</v>
      </c>
      <c r="G311" s="58">
        <f>SUMIF('JUNE (물량흐름)'!$C$13:$C$493,'In-out-bal products (155)(완성제품)'!B311,'JUNE (물량흐름)'!$V$13:$V$493)</f>
        <v>0</v>
      </c>
      <c r="H311" s="58">
        <f>SUMIF('JUNE (물량흐름)'!$C$13:$C$493,'In-out-bal products (155)(완성제품)'!B311,'JUNE (물량흐름)'!$T$13:$T$493)-SUMIF('JUNE (물량흐름)'!$C$13:$C$493,'In-out-bal products (155)(완성제품)'!B311,'JUNE (물량흐름)'!$Y$13:$Y$493)+SUMIF('JUNE (물량흐름)'!$C$13:$C$493,'In-out-bal products (155)(완성제품)'!B311,'JUNE (물량흐름)'!$U$13:$U$493)</f>
        <v>0</v>
      </c>
      <c r="I311" s="58">
        <f t="shared" si="126"/>
        <v>0</v>
      </c>
      <c r="J311" s="58">
        <f>SUMIF('Direct labour(직접노무비)'!$C$12:$C$503,'In-out-bal products (155)(완성제품)'!B311,'Direct labour(직접노무비)'!$Q$12:$Q$503)</f>
        <v>0</v>
      </c>
      <c r="K311" s="59">
        <f>SUMIF('Overhead exp(제조경비)'!$C$12:$C$503,'In-out-bal products (155)(완성제품)'!B311,'Overhead exp(제조경비)'!$Q$12:$Q$503)</f>
        <v>0</v>
      </c>
      <c r="L311" s="58">
        <f t="shared" si="127"/>
        <v>0</v>
      </c>
      <c r="M311" s="58">
        <f>SUMIF('JUNE (물량흐름)'!$C$13:$C$488,'In-out-bal products (155)(완성제품)'!B311,'JUNE (물량흐름)'!$Y$13:$Y$488)</f>
        <v>0</v>
      </c>
      <c r="N311" s="58">
        <f t="shared" si="128"/>
        <v>0</v>
      </c>
      <c r="O311" s="58">
        <f>SUMIF('Direct labour(직접노무비)'!$C$12:$C$503,'In-out-bal products (155)(완성제품)'!B311,'Direct labour(직접노무비)'!$U$12:$U$503)+SUMIF('Overhead exp(제조경비)'!$C$12:$C$503,'In-out-bal products (155)(완성제품)'!B311,'Overhead exp(제조경비)'!$U$12:$U$503)</f>
        <v>0</v>
      </c>
      <c r="P311" s="60">
        <f t="shared" si="129"/>
        <v>0</v>
      </c>
      <c r="Q311" s="60">
        <f t="shared" si="130"/>
        <v>0</v>
      </c>
      <c r="R311" s="60">
        <f t="shared" si="131"/>
        <v>0</v>
      </c>
      <c r="S311" s="58">
        <v>0</v>
      </c>
      <c r="T311" s="58">
        <v>0</v>
      </c>
      <c r="U311" s="58">
        <v>0</v>
      </c>
      <c r="V311" s="58">
        <f>SUMIF('JUNE (물량흐름)'!$C$13:$C$493,'In-out-bal products (155)(완성제품)'!B311,'JUNE (물량흐름)'!$W$13:$W$493)</f>
        <v>0</v>
      </c>
      <c r="W311" s="58">
        <f t="shared" si="132"/>
        <v>0</v>
      </c>
      <c r="X311" s="58">
        <f t="shared" si="133"/>
        <v>0</v>
      </c>
      <c r="Y311" s="58">
        <f>SUMIF('JUNE (물량흐름)'!$C$13:$C$488,'In-out-bal products (155)(완성제품)'!B311,'JUNE (물량흐름)'!$X$13:$X$488)</f>
        <v>0</v>
      </c>
      <c r="Z311" s="58">
        <f t="shared" si="134"/>
        <v>0</v>
      </c>
      <c r="AA311" s="58">
        <f t="shared" si="135"/>
        <v>0</v>
      </c>
      <c r="AB311" s="58"/>
      <c r="AC311" s="58"/>
      <c r="AD311" s="61"/>
      <c r="AE311" s="58">
        <f t="shared" si="136"/>
        <v>0</v>
      </c>
      <c r="AF311" s="58">
        <f t="shared" si="137"/>
        <v>0</v>
      </c>
      <c r="AG311" s="61">
        <f t="shared" si="138"/>
        <v>0</v>
      </c>
      <c r="AH311" s="58">
        <v>0</v>
      </c>
      <c r="AI311" s="58">
        <v>0</v>
      </c>
      <c r="AJ311" s="61">
        <v>0</v>
      </c>
      <c r="AK311" s="58"/>
      <c r="AL311" s="58"/>
      <c r="AM311" s="61"/>
      <c r="AN311" s="61">
        <f t="shared" si="139"/>
        <v>0</v>
      </c>
      <c r="AO311" s="58">
        <f t="shared" si="140"/>
        <v>0</v>
      </c>
      <c r="AP311" s="61">
        <f t="shared" si="141"/>
        <v>0</v>
      </c>
      <c r="AQ311" s="58">
        <f t="shared" si="142"/>
        <v>0</v>
      </c>
      <c r="AR311" s="58">
        <f t="shared" si="143"/>
        <v>0</v>
      </c>
      <c r="AS311" s="58">
        <f t="shared" si="144"/>
        <v>0</v>
      </c>
      <c r="AT311" s="58">
        <f>ROUND(SUMIF('JUNE (물량흐름)'!$C$13:$C$502,'In-out-bal products (155)(완성제품)'!B311,'JUNE (물량흐름)'!$AB$13:$AB$502),0)</f>
        <v>0</v>
      </c>
      <c r="AU311" s="58">
        <f t="shared" si="145"/>
        <v>0</v>
      </c>
      <c r="AV311" s="58">
        <f>ROUND(SUMIF('JUNE (물량흐름)'!$C$13:$C$502,'In-out-bal products (155)(완성제품)'!B311,'JUNE (물량흐름)'!$AC$13:$AC$502),0)</f>
        <v>0</v>
      </c>
      <c r="AW311" s="58">
        <f t="shared" si="146"/>
        <v>0</v>
      </c>
      <c r="AX311" s="376">
        <f t="shared" si="147"/>
        <v>0</v>
      </c>
      <c r="AY311" s="377">
        <f t="shared" si="148"/>
        <v>0</v>
      </c>
      <c r="AZ311" s="377">
        <f t="shared" si="149"/>
        <v>0</v>
      </c>
      <c r="BA311" s="377">
        <f t="shared" si="150"/>
        <v>0</v>
      </c>
      <c r="BB311" s="377"/>
      <c r="BC311" s="377">
        <f t="shared" si="151"/>
        <v>0</v>
      </c>
      <c r="BD311" s="377">
        <f t="shared" si="152"/>
        <v>0</v>
      </c>
      <c r="BE311" s="377"/>
      <c r="BF311" s="377">
        <f t="shared" si="153"/>
        <v>0</v>
      </c>
      <c r="BG311" s="433">
        <f t="shared" si="154"/>
        <v>0</v>
      </c>
      <c r="BH311" s="434">
        <f t="shared" si="155"/>
        <v>0</v>
      </c>
    </row>
    <row r="312" spans="1:60" s="378" customFormat="1">
      <c r="A312" s="167">
        <v>306</v>
      </c>
      <c r="B312" s="253">
        <f>VLOOKUP(A312,'JUNE (물량흐름)'!$A$13:$C$493,3,0)</f>
        <v>182013374</v>
      </c>
      <c r="C312" s="57" t="str">
        <f>VLOOKUP(A312,'JUNE (물량흐름)'!$A$13:$C$493,2,0)</f>
        <v>TALBOTS</v>
      </c>
      <c r="D312" s="58">
        <f>IFERROR(VLOOKUP(B312,O.B.JUNE!$V$7:$Y$448,2,0),0)</f>
        <v>0</v>
      </c>
      <c r="E312" s="58">
        <f>IFERROR(VLOOKUP(B312,O.B.JUNE!$V$7:$X$448,3,0),0)</f>
        <v>0</v>
      </c>
      <c r="F312" s="58">
        <f>IFERROR(VLOOKUP(B312,O.B.JUNE!$V$7:$Y$448,4,0),0)</f>
        <v>0</v>
      </c>
      <c r="G312" s="58">
        <f>SUMIF('JUNE (물량흐름)'!$C$13:$C$493,'In-out-bal products (155)(완성제품)'!B312,'JUNE (물량흐름)'!$V$13:$V$493)</f>
        <v>0</v>
      </c>
      <c r="H312" s="58">
        <f>SUMIF('JUNE (물량흐름)'!$C$13:$C$493,'In-out-bal products (155)(완성제품)'!B312,'JUNE (물량흐름)'!$T$13:$T$493)-SUMIF('JUNE (물량흐름)'!$C$13:$C$493,'In-out-bal products (155)(완성제품)'!B312,'JUNE (물량흐름)'!$Y$13:$Y$493)+SUMIF('JUNE (물량흐름)'!$C$13:$C$493,'In-out-bal products (155)(완성제품)'!B312,'JUNE (물량흐름)'!$U$13:$U$493)</f>
        <v>0</v>
      </c>
      <c r="I312" s="58">
        <f t="shared" si="126"/>
        <v>0</v>
      </c>
      <c r="J312" s="58">
        <f>SUMIF('Direct labour(직접노무비)'!$C$12:$C$503,'In-out-bal products (155)(완성제품)'!B312,'Direct labour(직접노무비)'!$Q$12:$Q$503)</f>
        <v>0</v>
      </c>
      <c r="K312" s="59">
        <f>SUMIF('Overhead exp(제조경비)'!$C$12:$C$503,'In-out-bal products (155)(완성제품)'!B312,'Overhead exp(제조경비)'!$Q$12:$Q$503)</f>
        <v>0</v>
      </c>
      <c r="L312" s="58">
        <f t="shared" si="127"/>
        <v>0</v>
      </c>
      <c r="M312" s="58">
        <f>SUMIF('JUNE (물량흐름)'!$C$13:$C$488,'In-out-bal products (155)(완성제품)'!B312,'JUNE (물량흐름)'!$Y$13:$Y$488)</f>
        <v>0</v>
      </c>
      <c r="N312" s="58">
        <f t="shared" si="128"/>
        <v>0</v>
      </c>
      <c r="O312" s="58">
        <f>SUMIF('Direct labour(직접노무비)'!$C$12:$C$503,'In-out-bal products (155)(완성제품)'!B312,'Direct labour(직접노무비)'!$U$12:$U$503)+SUMIF('Overhead exp(제조경비)'!$C$12:$C$503,'In-out-bal products (155)(완성제품)'!B312,'Overhead exp(제조경비)'!$U$12:$U$503)</f>
        <v>0</v>
      </c>
      <c r="P312" s="60">
        <f t="shared" si="129"/>
        <v>0</v>
      </c>
      <c r="Q312" s="60">
        <f t="shared" si="130"/>
        <v>0</v>
      </c>
      <c r="R312" s="60">
        <f t="shared" si="131"/>
        <v>0</v>
      </c>
      <c r="S312" s="58">
        <v>0</v>
      </c>
      <c r="T312" s="58">
        <v>0</v>
      </c>
      <c r="U312" s="58">
        <v>0</v>
      </c>
      <c r="V312" s="58">
        <f>SUMIF('JUNE (물량흐름)'!$C$13:$C$493,'In-out-bal products (155)(완성제품)'!B312,'JUNE (물량흐름)'!$W$13:$W$493)</f>
        <v>0</v>
      </c>
      <c r="W312" s="58">
        <f t="shared" si="132"/>
        <v>0</v>
      </c>
      <c r="X312" s="58">
        <f t="shared" si="133"/>
        <v>0</v>
      </c>
      <c r="Y312" s="58">
        <f>SUMIF('JUNE (물량흐름)'!$C$13:$C$488,'In-out-bal products (155)(완성제품)'!B312,'JUNE (물량흐름)'!$X$13:$X$488)</f>
        <v>0</v>
      </c>
      <c r="Z312" s="58">
        <f t="shared" si="134"/>
        <v>0</v>
      </c>
      <c r="AA312" s="58">
        <f t="shared" si="135"/>
        <v>0</v>
      </c>
      <c r="AB312" s="58"/>
      <c r="AC312" s="58"/>
      <c r="AD312" s="61"/>
      <c r="AE312" s="58">
        <f t="shared" si="136"/>
        <v>0</v>
      </c>
      <c r="AF312" s="58">
        <f t="shared" si="137"/>
        <v>0</v>
      </c>
      <c r="AG312" s="61">
        <f t="shared" si="138"/>
        <v>0</v>
      </c>
      <c r="AH312" s="58">
        <v>0</v>
      </c>
      <c r="AI312" s="58">
        <v>0</v>
      </c>
      <c r="AJ312" s="61">
        <v>0</v>
      </c>
      <c r="AK312" s="58"/>
      <c r="AL312" s="58"/>
      <c r="AM312" s="61"/>
      <c r="AN312" s="61">
        <f t="shared" si="139"/>
        <v>0</v>
      </c>
      <c r="AO312" s="58">
        <f t="shared" si="140"/>
        <v>0</v>
      </c>
      <c r="AP312" s="61">
        <f t="shared" si="141"/>
        <v>0</v>
      </c>
      <c r="AQ312" s="58">
        <f t="shared" si="142"/>
        <v>0</v>
      </c>
      <c r="AR312" s="58">
        <f t="shared" si="143"/>
        <v>0</v>
      </c>
      <c r="AS312" s="58">
        <f t="shared" si="144"/>
        <v>0</v>
      </c>
      <c r="AT312" s="58">
        <f>ROUND(SUMIF('JUNE (물량흐름)'!$C$13:$C$502,'In-out-bal products (155)(완성제품)'!B312,'JUNE (물량흐름)'!$AB$13:$AB$502),0)</f>
        <v>0</v>
      </c>
      <c r="AU312" s="58">
        <f t="shared" si="145"/>
        <v>0</v>
      </c>
      <c r="AV312" s="58">
        <f>ROUND(SUMIF('JUNE (물량흐름)'!$C$13:$C$502,'In-out-bal products (155)(완성제품)'!B312,'JUNE (물량흐름)'!$AC$13:$AC$502),0)</f>
        <v>0</v>
      </c>
      <c r="AW312" s="58">
        <f t="shared" si="146"/>
        <v>0</v>
      </c>
      <c r="AX312" s="376">
        <f t="shared" si="147"/>
        <v>0</v>
      </c>
      <c r="AY312" s="377">
        <f t="shared" si="148"/>
        <v>0</v>
      </c>
      <c r="AZ312" s="377">
        <f t="shared" si="149"/>
        <v>0</v>
      </c>
      <c r="BA312" s="377">
        <f t="shared" si="150"/>
        <v>0</v>
      </c>
      <c r="BB312" s="377"/>
      <c r="BC312" s="377">
        <f t="shared" si="151"/>
        <v>0</v>
      </c>
      <c r="BD312" s="377">
        <f t="shared" si="152"/>
        <v>0</v>
      </c>
      <c r="BE312" s="377"/>
      <c r="BF312" s="377">
        <f t="shared" si="153"/>
        <v>0</v>
      </c>
      <c r="BG312" s="433">
        <f t="shared" si="154"/>
        <v>0</v>
      </c>
      <c r="BH312" s="434">
        <f t="shared" si="155"/>
        <v>0</v>
      </c>
    </row>
    <row r="313" spans="1:60" s="378" customFormat="1">
      <c r="A313" s="167">
        <v>307</v>
      </c>
      <c r="B313" s="253">
        <f>VLOOKUP(A313,'JUNE (물량흐름)'!$A$13:$C$493,3,0)</f>
        <v>182034338</v>
      </c>
      <c r="C313" s="57" t="str">
        <f>VLOOKUP(A313,'JUNE (물량흐름)'!$A$13:$C$493,2,0)</f>
        <v>TALBOTS</v>
      </c>
      <c r="D313" s="58">
        <f>IFERROR(VLOOKUP(B313,O.B.JUNE!$V$7:$Y$448,2,0),0)</f>
        <v>0</v>
      </c>
      <c r="E313" s="58">
        <f>IFERROR(VLOOKUP(B313,O.B.JUNE!$V$7:$X$448,3,0),0)</f>
        <v>0</v>
      </c>
      <c r="F313" s="58">
        <f>IFERROR(VLOOKUP(B313,O.B.JUNE!$V$7:$Y$448,4,0),0)</f>
        <v>0</v>
      </c>
      <c r="G313" s="58">
        <f>SUMIF('JUNE (물량흐름)'!$C$13:$C$493,'In-out-bal products (155)(완성제품)'!B313,'JUNE (물량흐름)'!$V$13:$V$493)</f>
        <v>0</v>
      </c>
      <c r="H313" s="58">
        <f>SUMIF('JUNE (물량흐름)'!$C$13:$C$493,'In-out-bal products (155)(완성제품)'!B313,'JUNE (물량흐름)'!$T$13:$T$493)-SUMIF('JUNE (물량흐름)'!$C$13:$C$493,'In-out-bal products (155)(완성제품)'!B313,'JUNE (물량흐름)'!$Y$13:$Y$493)+SUMIF('JUNE (물량흐름)'!$C$13:$C$493,'In-out-bal products (155)(완성제품)'!B313,'JUNE (물량흐름)'!$U$13:$U$493)</f>
        <v>0</v>
      </c>
      <c r="I313" s="58">
        <f t="shared" si="126"/>
        <v>0</v>
      </c>
      <c r="J313" s="58">
        <f>SUMIF('Direct labour(직접노무비)'!$C$12:$C$503,'In-out-bal products (155)(완성제품)'!B313,'Direct labour(직접노무비)'!$Q$12:$Q$503)</f>
        <v>0</v>
      </c>
      <c r="K313" s="59">
        <f>SUMIF('Overhead exp(제조경비)'!$C$12:$C$503,'In-out-bal products (155)(완성제품)'!B313,'Overhead exp(제조경비)'!$Q$12:$Q$503)</f>
        <v>0</v>
      </c>
      <c r="L313" s="58">
        <f t="shared" si="127"/>
        <v>0</v>
      </c>
      <c r="M313" s="58">
        <f>SUMIF('JUNE (물량흐름)'!$C$13:$C$488,'In-out-bal products (155)(완성제품)'!B313,'JUNE (물량흐름)'!$Y$13:$Y$488)</f>
        <v>0</v>
      </c>
      <c r="N313" s="58">
        <f t="shared" si="128"/>
        <v>0</v>
      </c>
      <c r="O313" s="58">
        <f>SUMIF('Direct labour(직접노무비)'!$C$12:$C$503,'In-out-bal products (155)(완성제품)'!B313,'Direct labour(직접노무비)'!$U$12:$U$503)+SUMIF('Overhead exp(제조경비)'!$C$12:$C$503,'In-out-bal products (155)(완성제품)'!B313,'Overhead exp(제조경비)'!$U$12:$U$503)</f>
        <v>0</v>
      </c>
      <c r="P313" s="60">
        <f t="shared" si="129"/>
        <v>0</v>
      </c>
      <c r="Q313" s="60">
        <f t="shared" si="130"/>
        <v>0</v>
      </c>
      <c r="R313" s="60">
        <f t="shared" si="131"/>
        <v>0</v>
      </c>
      <c r="S313" s="58">
        <v>0</v>
      </c>
      <c r="T313" s="58">
        <v>0</v>
      </c>
      <c r="U313" s="58">
        <v>0</v>
      </c>
      <c r="V313" s="58">
        <f>SUMIF('JUNE (물량흐름)'!$C$13:$C$493,'In-out-bal products (155)(완성제품)'!B313,'JUNE (물량흐름)'!$W$13:$W$493)</f>
        <v>0</v>
      </c>
      <c r="W313" s="58">
        <f t="shared" si="132"/>
        <v>0</v>
      </c>
      <c r="X313" s="58">
        <f t="shared" si="133"/>
        <v>0</v>
      </c>
      <c r="Y313" s="58">
        <f>SUMIF('JUNE (물량흐름)'!$C$13:$C$488,'In-out-bal products (155)(완성제품)'!B313,'JUNE (물량흐름)'!$X$13:$X$488)</f>
        <v>0</v>
      </c>
      <c r="Z313" s="58">
        <f t="shared" si="134"/>
        <v>0</v>
      </c>
      <c r="AA313" s="58">
        <f t="shared" si="135"/>
        <v>0</v>
      </c>
      <c r="AB313" s="58"/>
      <c r="AC313" s="58"/>
      <c r="AD313" s="61"/>
      <c r="AE313" s="58">
        <f t="shared" si="136"/>
        <v>0</v>
      </c>
      <c r="AF313" s="58">
        <f t="shared" si="137"/>
        <v>0</v>
      </c>
      <c r="AG313" s="61">
        <f t="shared" si="138"/>
        <v>0</v>
      </c>
      <c r="AH313" s="58">
        <v>0</v>
      </c>
      <c r="AI313" s="58">
        <v>0</v>
      </c>
      <c r="AJ313" s="61">
        <v>0</v>
      </c>
      <c r="AK313" s="58"/>
      <c r="AL313" s="58"/>
      <c r="AM313" s="61"/>
      <c r="AN313" s="61">
        <f t="shared" si="139"/>
        <v>0</v>
      </c>
      <c r="AO313" s="58">
        <f t="shared" si="140"/>
        <v>0</v>
      </c>
      <c r="AP313" s="61">
        <f t="shared" si="141"/>
        <v>0</v>
      </c>
      <c r="AQ313" s="58">
        <f t="shared" si="142"/>
        <v>0</v>
      </c>
      <c r="AR313" s="58">
        <f t="shared" si="143"/>
        <v>0</v>
      </c>
      <c r="AS313" s="58">
        <f t="shared" si="144"/>
        <v>0</v>
      </c>
      <c r="AT313" s="58">
        <f>ROUND(SUMIF('JUNE (물량흐름)'!$C$13:$C$502,'In-out-bal products (155)(완성제품)'!B313,'JUNE (물량흐름)'!$AB$13:$AB$502),0)</f>
        <v>0</v>
      </c>
      <c r="AU313" s="58">
        <f t="shared" si="145"/>
        <v>0</v>
      </c>
      <c r="AV313" s="58">
        <f>ROUND(SUMIF('JUNE (물량흐름)'!$C$13:$C$502,'In-out-bal products (155)(완성제품)'!B313,'JUNE (물량흐름)'!$AC$13:$AC$502),0)</f>
        <v>0</v>
      </c>
      <c r="AW313" s="58">
        <f t="shared" si="146"/>
        <v>0</v>
      </c>
      <c r="AX313" s="376">
        <f t="shared" si="147"/>
        <v>0</v>
      </c>
      <c r="AY313" s="377">
        <f t="shared" si="148"/>
        <v>0</v>
      </c>
      <c r="AZ313" s="377">
        <f t="shared" si="149"/>
        <v>0</v>
      </c>
      <c r="BA313" s="377">
        <f t="shared" si="150"/>
        <v>0</v>
      </c>
      <c r="BB313" s="377"/>
      <c r="BC313" s="377">
        <f t="shared" si="151"/>
        <v>0</v>
      </c>
      <c r="BD313" s="377">
        <f t="shared" si="152"/>
        <v>0</v>
      </c>
      <c r="BE313" s="377"/>
      <c r="BF313" s="377">
        <f t="shared" si="153"/>
        <v>0</v>
      </c>
      <c r="BG313" s="433">
        <f t="shared" si="154"/>
        <v>0</v>
      </c>
      <c r="BH313" s="434">
        <f t="shared" si="155"/>
        <v>0</v>
      </c>
    </row>
    <row r="314" spans="1:60" s="378" customFormat="1">
      <c r="A314" s="167">
        <v>308</v>
      </c>
      <c r="B314" s="253">
        <f>VLOOKUP(A314,'JUNE (물량흐름)'!$A$13:$C$493,3,0)</f>
        <v>100015358</v>
      </c>
      <c r="C314" s="57" t="str">
        <f>VLOOKUP(A314,'JUNE (물량흐름)'!$A$13:$C$493,2,0)</f>
        <v>ALFANI</v>
      </c>
      <c r="D314" s="58">
        <f>IFERROR(VLOOKUP(B314,O.B.JUNE!$V$7:$Y$448,2,0),0)</f>
        <v>0</v>
      </c>
      <c r="E314" s="58">
        <f>IFERROR(VLOOKUP(B314,O.B.JUNE!$V$7:$X$448,3,0),0)</f>
        <v>0</v>
      </c>
      <c r="F314" s="58">
        <f>IFERROR(VLOOKUP(B314,O.B.JUNE!$V$7:$Y$448,4,0),0)</f>
        <v>0</v>
      </c>
      <c r="G314" s="58">
        <f>SUMIF('JUNE (물량흐름)'!$C$13:$C$493,'In-out-bal products (155)(완성제품)'!B314,'JUNE (물량흐름)'!$V$13:$V$493)</f>
        <v>0</v>
      </c>
      <c r="H314" s="58">
        <f>SUMIF('JUNE (물량흐름)'!$C$13:$C$493,'In-out-bal products (155)(완성제품)'!B314,'JUNE (물량흐름)'!$T$13:$T$493)-SUMIF('JUNE (물량흐름)'!$C$13:$C$493,'In-out-bal products (155)(완성제품)'!B314,'JUNE (물량흐름)'!$Y$13:$Y$493)+SUMIF('JUNE (물량흐름)'!$C$13:$C$493,'In-out-bal products (155)(완성제품)'!B314,'JUNE (물량흐름)'!$U$13:$U$493)</f>
        <v>0</v>
      </c>
      <c r="I314" s="58">
        <f t="shared" si="126"/>
        <v>0</v>
      </c>
      <c r="J314" s="58">
        <f>SUMIF('Direct labour(직접노무비)'!$C$12:$C$503,'In-out-bal products (155)(완성제품)'!B314,'Direct labour(직접노무비)'!$Q$12:$Q$503)</f>
        <v>0</v>
      </c>
      <c r="K314" s="59">
        <f>SUMIF('Overhead exp(제조경비)'!$C$12:$C$503,'In-out-bal products (155)(완성제품)'!B314,'Overhead exp(제조경비)'!$Q$12:$Q$503)</f>
        <v>0</v>
      </c>
      <c r="L314" s="58">
        <f t="shared" si="127"/>
        <v>0</v>
      </c>
      <c r="M314" s="58">
        <f>SUMIF('JUNE (물량흐름)'!$C$13:$C$488,'In-out-bal products (155)(완성제품)'!B314,'JUNE (물량흐름)'!$Y$13:$Y$488)</f>
        <v>0</v>
      </c>
      <c r="N314" s="58">
        <f t="shared" si="128"/>
        <v>0</v>
      </c>
      <c r="O314" s="58">
        <f>SUMIF('Direct labour(직접노무비)'!$C$12:$C$503,'In-out-bal products (155)(완성제품)'!B314,'Direct labour(직접노무비)'!$U$12:$U$503)+SUMIF('Overhead exp(제조경비)'!$C$12:$C$503,'In-out-bal products (155)(완성제품)'!B314,'Overhead exp(제조경비)'!$U$12:$U$503)</f>
        <v>0</v>
      </c>
      <c r="P314" s="60">
        <f t="shared" si="129"/>
        <v>0</v>
      </c>
      <c r="Q314" s="60">
        <f t="shared" si="130"/>
        <v>0</v>
      </c>
      <c r="R314" s="60">
        <f t="shared" si="131"/>
        <v>0</v>
      </c>
      <c r="S314" s="58">
        <v>0</v>
      </c>
      <c r="T314" s="58">
        <v>0</v>
      </c>
      <c r="U314" s="58">
        <v>0</v>
      </c>
      <c r="V314" s="58">
        <f>SUMIF('JUNE (물량흐름)'!$C$13:$C$493,'In-out-bal products (155)(완성제품)'!B314,'JUNE (물량흐름)'!$W$13:$W$493)</f>
        <v>0</v>
      </c>
      <c r="W314" s="58">
        <f t="shared" si="132"/>
        <v>0</v>
      </c>
      <c r="X314" s="58">
        <f t="shared" si="133"/>
        <v>0</v>
      </c>
      <c r="Y314" s="58">
        <f>SUMIF('JUNE (물량흐름)'!$C$13:$C$488,'In-out-bal products (155)(완성제품)'!B314,'JUNE (물량흐름)'!$X$13:$X$488)</f>
        <v>0</v>
      </c>
      <c r="Z314" s="58">
        <f t="shared" si="134"/>
        <v>0</v>
      </c>
      <c r="AA314" s="58">
        <f t="shared" si="135"/>
        <v>0</v>
      </c>
      <c r="AB314" s="58"/>
      <c r="AC314" s="58"/>
      <c r="AD314" s="61"/>
      <c r="AE314" s="58">
        <f t="shared" si="136"/>
        <v>0</v>
      </c>
      <c r="AF314" s="58">
        <f t="shared" si="137"/>
        <v>0</v>
      </c>
      <c r="AG314" s="61">
        <f t="shared" si="138"/>
        <v>0</v>
      </c>
      <c r="AH314" s="58">
        <v>0</v>
      </c>
      <c r="AI314" s="58">
        <v>0</v>
      </c>
      <c r="AJ314" s="61">
        <v>0</v>
      </c>
      <c r="AK314" s="58"/>
      <c r="AL314" s="58"/>
      <c r="AM314" s="61"/>
      <c r="AN314" s="61">
        <f t="shared" si="139"/>
        <v>0</v>
      </c>
      <c r="AO314" s="58">
        <f t="shared" si="140"/>
        <v>0</v>
      </c>
      <c r="AP314" s="61">
        <f t="shared" si="141"/>
        <v>0</v>
      </c>
      <c r="AQ314" s="58">
        <f t="shared" si="142"/>
        <v>0</v>
      </c>
      <c r="AR314" s="58">
        <f t="shared" si="143"/>
        <v>0</v>
      </c>
      <c r="AS314" s="58">
        <f t="shared" si="144"/>
        <v>0</v>
      </c>
      <c r="AT314" s="58">
        <f>ROUND(SUMIF('JUNE (물량흐름)'!$C$13:$C$502,'In-out-bal products (155)(완성제품)'!B314,'JUNE (물량흐름)'!$AB$13:$AB$502),0)</f>
        <v>0</v>
      </c>
      <c r="AU314" s="58">
        <f t="shared" si="145"/>
        <v>0</v>
      </c>
      <c r="AV314" s="58">
        <f>ROUND(SUMIF('JUNE (물량흐름)'!$C$13:$C$502,'In-out-bal products (155)(완성제품)'!B314,'JUNE (물량흐름)'!$AC$13:$AC$502),0)</f>
        <v>0</v>
      </c>
      <c r="AW314" s="58">
        <f t="shared" si="146"/>
        <v>0</v>
      </c>
      <c r="AX314" s="376">
        <f t="shared" si="147"/>
        <v>0</v>
      </c>
      <c r="AY314" s="377">
        <f t="shared" si="148"/>
        <v>0</v>
      </c>
      <c r="AZ314" s="377">
        <f t="shared" si="149"/>
        <v>0</v>
      </c>
      <c r="BA314" s="377">
        <f t="shared" si="150"/>
        <v>0</v>
      </c>
      <c r="BB314" s="377"/>
      <c r="BC314" s="377">
        <f t="shared" si="151"/>
        <v>0</v>
      </c>
      <c r="BD314" s="377">
        <f t="shared" si="152"/>
        <v>0</v>
      </c>
      <c r="BE314" s="377"/>
      <c r="BF314" s="377">
        <f t="shared" si="153"/>
        <v>0</v>
      </c>
      <c r="BG314" s="433">
        <f t="shared" si="154"/>
        <v>0</v>
      </c>
      <c r="BH314" s="434">
        <f t="shared" si="155"/>
        <v>0</v>
      </c>
    </row>
    <row r="315" spans="1:60" s="378" customFormat="1">
      <c r="A315" s="167">
        <v>309</v>
      </c>
      <c r="B315" s="253">
        <f>VLOOKUP(A315,'JUNE (물량흐름)'!$A$13:$C$493,3,0)</f>
        <v>100022090</v>
      </c>
      <c r="C315" s="57" t="str">
        <f>VLOOKUP(A315,'JUNE (물량흐름)'!$A$13:$C$493,2,0)</f>
        <v>ALFANI</v>
      </c>
      <c r="D315" s="58">
        <f>IFERROR(VLOOKUP(B315,O.B.JUNE!$V$7:$Y$448,2,0),0)</f>
        <v>0</v>
      </c>
      <c r="E315" s="58">
        <f>IFERROR(VLOOKUP(B315,O.B.JUNE!$V$7:$X$448,3,0),0)</f>
        <v>0</v>
      </c>
      <c r="F315" s="58">
        <f>IFERROR(VLOOKUP(B315,O.B.JUNE!$V$7:$Y$448,4,0),0)</f>
        <v>0</v>
      </c>
      <c r="G315" s="58">
        <f>SUMIF('JUNE (물량흐름)'!$C$13:$C$493,'In-out-bal products (155)(완성제품)'!B315,'JUNE (물량흐름)'!$V$13:$V$493)</f>
        <v>0</v>
      </c>
      <c r="H315" s="58">
        <f>SUMIF('JUNE (물량흐름)'!$C$13:$C$493,'In-out-bal products (155)(완성제품)'!B315,'JUNE (물량흐름)'!$T$13:$T$493)-SUMIF('JUNE (물량흐름)'!$C$13:$C$493,'In-out-bal products (155)(완성제품)'!B315,'JUNE (물량흐름)'!$Y$13:$Y$493)+SUMIF('JUNE (물량흐름)'!$C$13:$C$493,'In-out-bal products (155)(완성제품)'!B315,'JUNE (물량흐름)'!$U$13:$U$493)</f>
        <v>0</v>
      </c>
      <c r="I315" s="58">
        <f t="shared" si="126"/>
        <v>0</v>
      </c>
      <c r="J315" s="58">
        <f>SUMIF('Direct labour(직접노무비)'!$C$12:$C$503,'In-out-bal products (155)(완성제품)'!B315,'Direct labour(직접노무비)'!$Q$12:$Q$503)</f>
        <v>0</v>
      </c>
      <c r="K315" s="59">
        <f>SUMIF('Overhead exp(제조경비)'!$C$12:$C$503,'In-out-bal products (155)(완성제품)'!B315,'Overhead exp(제조경비)'!$Q$12:$Q$503)</f>
        <v>0</v>
      </c>
      <c r="L315" s="58">
        <f t="shared" si="127"/>
        <v>0</v>
      </c>
      <c r="M315" s="58">
        <f>SUMIF('JUNE (물량흐름)'!$C$13:$C$488,'In-out-bal products (155)(완성제품)'!B315,'JUNE (물량흐름)'!$Y$13:$Y$488)</f>
        <v>0</v>
      </c>
      <c r="N315" s="58">
        <f t="shared" si="128"/>
        <v>0</v>
      </c>
      <c r="O315" s="58">
        <f>SUMIF('Direct labour(직접노무비)'!$C$12:$C$503,'In-out-bal products (155)(완성제품)'!B315,'Direct labour(직접노무비)'!$U$12:$U$503)+SUMIF('Overhead exp(제조경비)'!$C$12:$C$503,'In-out-bal products (155)(완성제품)'!B315,'Overhead exp(제조경비)'!$U$12:$U$503)</f>
        <v>0</v>
      </c>
      <c r="P315" s="60">
        <f t="shared" si="129"/>
        <v>0</v>
      </c>
      <c r="Q315" s="60">
        <f t="shared" si="130"/>
        <v>0</v>
      </c>
      <c r="R315" s="60">
        <f t="shared" si="131"/>
        <v>0</v>
      </c>
      <c r="S315" s="58">
        <v>0</v>
      </c>
      <c r="T315" s="58">
        <v>0</v>
      </c>
      <c r="U315" s="58">
        <v>0</v>
      </c>
      <c r="V315" s="58">
        <f>SUMIF('JUNE (물량흐름)'!$C$13:$C$493,'In-out-bal products (155)(완성제품)'!B315,'JUNE (물량흐름)'!$W$13:$W$493)</f>
        <v>0</v>
      </c>
      <c r="W315" s="58">
        <f t="shared" si="132"/>
        <v>0</v>
      </c>
      <c r="X315" s="58">
        <f t="shared" si="133"/>
        <v>0</v>
      </c>
      <c r="Y315" s="58">
        <f>SUMIF('JUNE (물량흐름)'!$C$13:$C$488,'In-out-bal products (155)(완성제품)'!B315,'JUNE (물량흐름)'!$X$13:$X$488)</f>
        <v>0</v>
      </c>
      <c r="Z315" s="58">
        <f t="shared" si="134"/>
        <v>0</v>
      </c>
      <c r="AA315" s="58">
        <f t="shared" si="135"/>
        <v>0</v>
      </c>
      <c r="AB315" s="58"/>
      <c r="AC315" s="58"/>
      <c r="AD315" s="61"/>
      <c r="AE315" s="58">
        <f t="shared" si="136"/>
        <v>0</v>
      </c>
      <c r="AF315" s="58">
        <f t="shared" si="137"/>
        <v>0</v>
      </c>
      <c r="AG315" s="61">
        <f t="shared" si="138"/>
        <v>0</v>
      </c>
      <c r="AH315" s="58">
        <v>0</v>
      </c>
      <c r="AI315" s="58">
        <v>0</v>
      </c>
      <c r="AJ315" s="61">
        <v>0</v>
      </c>
      <c r="AK315" s="58"/>
      <c r="AL315" s="58"/>
      <c r="AM315" s="61"/>
      <c r="AN315" s="61">
        <f t="shared" si="139"/>
        <v>0</v>
      </c>
      <c r="AO315" s="58">
        <f t="shared" si="140"/>
        <v>0</v>
      </c>
      <c r="AP315" s="61">
        <f t="shared" si="141"/>
        <v>0</v>
      </c>
      <c r="AQ315" s="58">
        <f t="shared" si="142"/>
        <v>0</v>
      </c>
      <c r="AR315" s="58">
        <f t="shared" si="143"/>
        <v>0</v>
      </c>
      <c r="AS315" s="58">
        <f t="shared" si="144"/>
        <v>0</v>
      </c>
      <c r="AT315" s="58">
        <f>ROUND(SUMIF('JUNE (물량흐름)'!$C$13:$C$502,'In-out-bal products (155)(완성제품)'!B315,'JUNE (물량흐름)'!$AB$13:$AB$502),0)</f>
        <v>0</v>
      </c>
      <c r="AU315" s="58">
        <f t="shared" si="145"/>
        <v>0</v>
      </c>
      <c r="AV315" s="58">
        <f>ROUND(SUMIF('JUNE (물량흐름)'!$C$13:$C$502,'In-out-bal products (155)(완성제품)'!B315,'JUNE (물량흐름)'!$AC$13:$AC$502),0)</f>
        <v>0</v>
      </c>
      <c r="AW315" s="58">
        <f t="shared" si="146"/>
        <v>0</v>
      </c>
      <c r="AX315" s="376">
        <f t="shared" si="147"/>
        <v>0</v>
      </c>
      <c r="AY315" s="377">
        <f t="shared" si="148"/>
        <v>0</v>
      </c>
      <c r="AZ315" s="377">
        <f t="shared" si="149"/>
        <v>0</v>
      </c>
      <c r="BA315" s="377">
        <f t="shared" si="150"/>
        <v>0</v>
      </c>
      <c r="BB315" s="377"/>
      <c r="BC315" s="377">
        <f t="shared" si="151"/>
        <v>0</v>
      </c>
      <c r="BD315" s="377">
        <f t="shared" si="152"/>
        <v>0</v>
      </c>
      <c r="BE315" s="377"/>
      <c r="BF315" s="377">
        <f t="shared" si="153"/>
        <v>0</v>
      </c>
      <c r="BG315" s="433">
        <f t="shared" si="154"/>
        <v>0</v>
      </c>
      <c r="BH315" s="434">
        <f t="shared" si="155"/>
        <v>0</v>
      </c>
    </row>
    <row r="316" spans="1:60" s="378" customFormat="1">
      <c r="A316" s="167">
        <v>310</v>
      </c>
      <c r="B316" s="253">
        <f>VLOOKUP(A316,'JUNE (물량흐름)'!$A$13:$C$493,3,0)</f>
        <v>182034820</v>
      </c>
      <c r="C316" s="57" t="str">
        <f>VLOOKUP(A316,'JUNE (물량흐름)'!$A$13:$C$493,2,0)</f>
        <v>TALBOTS</v>
      </c>
      <c r="D316" s="58">
        <f>IFERROR(VLOOKUP(B316,O.B.JUNE!$V$7:$Y$448,2,0),0)</f>
        <v>234</v>
      </c>
      <c r="E316" s="58">
        <f>IFERROR(VLOOKUP(B316,O.B.JUNE!$V$7:$X$448,3,0),0)</f>
        <v>47698.952991452992</v>
      </c>
      <c r="F316" s="58">
        <f>IFERROR(VLOOKUP(B316,O.B.JUNE!$V$7:$Y$448,4,0),0)</f>
        <v>11161555</v>
      </c>
      <c r="G316" s="58">
        <f>SUMIF('JUNE (물량흐름)'!$C$13:$C$493,'In-out-bal products (155)(완성제품)'!B316,'JUNE (물량흐름)'!$V$13:$V$493)</f>
        <v>0</v>
      </c>
      <c r="H316" s="58">
        <f>SUMIF('JUNE (물량흐름)'!$C$13:$C$493,'In-out-bal products (155)(완성제품)'!B316,'JUNE (물량흐름)'!$T$13:$T$493)-SUMIF('JUNE (물량흐름)'!$C$13:$C$493,'In-out-bal products (155)(완성제품)'!B316,'JUNE (물량흐름)'!$Y$13:$Y$493)+SUMIF('JUNE (물량흐름)'!$C$13:$C$493,'In-out-bal products (155)(완성제품)'!B316,'JUNE (물량흐름)'!$U$13:$U$493)</f>
        <v>0</v>
      </c>
      <c r="I316" s="58">
        <f t="shared" si="126"/>
        <v>0</v>
      </c>
      <c r="J316" s="58">
        <f>SUMIF('Direct labour(직접노무비)'!$C$12:$C$503,'In-out-bal products (155)(완성제품)'!B316,'Direct labour(직접노무비)'!$Q$12:$Q$503)</f>
        <v>0</v>
      </c>
      <c r="K316" s="59">
        <f>SUMIF('Overhead exp(제조경비)'!$C$12:$C$503,'In-out-bal products (155)(완성제품)'!B316,'Overhead exp(제조경비)'!$Q$12:$Q$503)</f>
        <v>0</v>
      </c>
      <c r="L316" s="58">
        <f t="shared" si="127"/>
        <v>0</v>
      </c>
      <c r="M316" s="58">
        <f>SUMIF('JUNE (물량흐름)'!$C$13:$C$488,'In-out-bal products (155)(완성제품)'!B316,'JUNE (물량흐름)'!$Y$13:$Y$488)</f>
        <v>0</v>
      </c>
      <c r="N316" s="58">
        <f t="shared" si="128"/>
        <v>0</v>
      </c>
      <c r="O316" s="58">
        <f>SUMIF('Direct labour(직접노무비)'!$C$12:$C$503,'In-out-bal products (155)(완성제품)'!B316,'Direct labour(직접노무비)'!$U$12:$U$503)+SUMIF('Overhead exp(제조경비)'!$C$12:$C$503,'In-out-bal products (155)(완성제품)'!B316,'Overhead exp(제조경비)'!$U$12:$U$503)</f>
        <v>0</v>
      </c>
      <c r="P316" s="60">
        <f t="shared" si="129"/>
        <v>0</v>
      </c>
      <c r="Q316" s="60">
        <f t="shared" si="130"/>
        <v>0</v>
      </c>
      <c r="R316" s="60">
        <f t="shared" si="131"/>
        <v>0</v>
      </c>
      <c r="S316" s="58">
        <v>0</v>
      </c>
      <c r="T316" s="58">
        <v>0</v>
      </c>
      <c r="U316" s="58">
        <v>0</v>
      </c>
      <c r="V316" s="58">
        <f>SUMIF('JUNE (물량흐름)'!$C$13:$C$493,'In-out-bal products (155)(완성제품)'!B316,'JUNE (물량흐름)'!$W$13:$W$493)</f>
        <v>0</v>
      </c>
      <c r="W316" s="58">
        <f t="shared" si="132"/>
        <v>0</v>
      </c>
      <c r="X316" s="58">
        <f t="shared" si="133"/>
        <v>0</v>
      </c>
      <c r="Y316" s="58">
        <f>SUMIF('JUNE (물량흐름)'!$C$13:$C$488,'In-out-bal products (155)(완성제품)'!B316,'JUNE (물량흐름)'!$X$13:$X$488)</f>
        <v>0</v>
      </c>
      <c r="Z316" s="58">
        <f t="shared" si="134"/>
        <v>0</v>
      </c>
      <c r="AA316" s="58">
        <f t="shared" si="135"/>
        <v>0</v>
      </c>
      <c r="AB316" s="58"/>
      <c r="AC316" s="58"/>
      <c r="AD316" s="61"/>
      <c r="AE316" s="58">
        <f t="shared" si="136"/>
        <v>0</v>
      </c>
      <c r="AF316" s="58">
        <f t="shared" si="137"/>
        <v>0</v>
      </c>
      <c r="AG316" s="61">
        <f t="shared" si="138"/>
        <v>0</v>
      </c>
      <c r="AH316" s="58">
        <v>0</v>
      </c>
      <c r="AI316" s="58">
        <v>0</v>
      </c>
      <c r="AJ316" s="61">
        <v>0</v>
      </c>
      <c r="AK316" s="58"/>
      <c r="AL316" s="58"/>
      <c r="AM316" s="61"/>
      <c r="AN316" s="61">
        <f t="shared" si="139"/>
        <v>0</v>
      </c>
      <c r="AO316" s="58">
        <f t="shared" si="140"/>
        <v>0</v>
      </c>
      <c r="AP316" s="61">
        <f t="shared" si="141"/>
        <v>0</v>
      </c>
      <c r="AQ316" s="58">
        <f t="shared" si="142"/>
        <v>234</v>
      </c>
      <c r="AR316" s="58">
        <f t="shared" si="143"/>
        <v>47698.952991452992</v>
      </c>
      <c r="AS316" s="58">
        <f t="shared" si="144"/>
        <v>11161555</v>
      </c>
      <c r="AT316" s="58">
        <f>ROUND(SUMIF('JUNE (물량흐름)'!$C$13:$C$502,'In-out-bal products (155)(완성제품)'!B316,'JUNE (물량흐름)'!$AB$13:$AB$502),0)</f>
        <v>0</v>
      </c>
      <c r="AU316" s="58">
        <f t="shared" si="145"/>
        <v>0</v>
      </c>
      <c r="AV316" s="58">
        <f>ROUND(SUMIF('JUNE (물량흐름)'!$C$13:$C$502,'In-out-bal products (155)(완성제품)'!B316,'JUNE (물량흐름)'!$AC$13:$AC$502),0)</f>
        <v>234</v>
      </c>
      <c r="AW316" s="58">
        <f t="shared" si="146"/>
        <v>11161555</v>
      </c>
      <c r="AX316" s="376">
        <f t="shared" si="147"/>
        <v>0</v>
      </c>
      <c r="AY316" s="377">
        <f t="shared" si="148"/>
        <v>0</v>
      </c>
      <c r="AZ316" s="377">
        <f t="shared" si="149"/>
        <v>0</v>
      </c>
      <c r="BA316" s="377">
        <f t="shared" si="150"/>
        <v>0</v>
      </c>
      <c r="BB316" s="377"/>
      <c r="BC316" s="377">
        <f t="shared" si="151"/>
        <v>0</v>
      </c>
      <c r="BD316" s="377">
        <f t="shared" si="152"/>
        <v>0</v>
      </c>
      <c r="BE316" s="377"/>
      <c r="BF316" s="377">
        <f t="shared" si="153"/>
        <v>0</v>
      </c>
      <c r="BG316" s="433">
        <f t="shared" si="154"/>
        <v>0</v>
      </c>
      <c r="BH316" s="434">
        <f t="shared" si="155"/>
        <v>0</v>
      </c>
    </row>
    <row r="317" spans="1:60" s="378" customFormat="1">
      <c r="A317" s="167">
        <v>311</v>
      </c>
      <c r="B317" s="253">
        <f>VLOOKUP(A317,'JUNE (물량흐름)'!$A$13:$C$493,3,0)</f>
        <v>457223</v>
      </c>
      <c r="C317" s="57" t="str">
        <f>VLOOKUP(A317,'JUNE (물량흐름)'!$A$13:$C$493,2,0)</f>
        <v>ANN TAYLOR</v>
      </c>
      <c r="D317" s="58">
        <f>IFERROR(VLOOKUP(B317,O.B.JUNE!$V$7:$Y$448,2,0),0)</f>
        <v>0</v>
      </c>
      <c r="E317" s="58">
        <f>IFERROR(VLOOKUP(B317,O.B.JUNE!$V$7:$X$448,3,0),0)</f>
        <v>0</v>
      </c>
      <c r="F317" s="58">
        <f>IFERROR(VLOOKUP(B317,O.B.JUNE!$V$7:$Y$448,4,0),0)</f>
        <v>0</v>
      </c>
      <c r="G317" s="58">
        <f>SUMIF('JUNE (물량흐름)'!$C$13:$C$493,'In-out-bal products (155)(완성제품)'!B317,'JUNE (물량흐름)'!$V$13:$V$493)</f>
        <v>0</v>
      </c>
      <c r="H317" s="58">
        <f>SUMIF('JUNE (물량흐름)'!$C$13:$C$493,'In-out-bal products (155)(완성제품)'!B317,'JUNE (물량흐름)'!$T$13:$T$493)-SUMIF('JUNE (물량흐름)'!$C$13:$C$493,'In-out-bal products (155)(완성제품)'!B317,'JUNE (물량흐름)'!$Y$13:$Y$493)+SUMIF('JUNE (물량흐름)'!$C$13:$C$493,'In-out-bal products (155)(완성제품)'!B317,'JUNE (물량흐름)'!$U$13:$U$493)</f>
        <v>0</v>
      </c>
      <c r="I317" s="58">
        <f t="shared" si="126"/>
        <v>0</v>
      </c>
      <c r="J317" s="58">
        <f>SUMIF('Direct labour(직접노무비)'!$C$12:$C$503,'In-out-bal products (155)(완성제품)'!B317,'Direct labour(직접노무비)'!$Q$12:$Q$503)</f>
        <v>0</v>
      </c>
      <c r="K317" s="59">
        <f>SUMIF('Overhead exp(제조경비)'!$C$12:$C$503,'In-out-bal products (155)(완성제품)'!B317,'Overhead exp(제조경비)'!$Q$12:$Q$503)</f>
        <v>0</v>
      </c>
      <c r="L317" s="58">
        <f t="shared" si="127"/>
        <v>0</v>
      </c>
      <c r="M317" s="58">
        <f>SUMIF('JUNE (물량흐름)'!$C$13:$C$488,'In-out-bal products (155)(완성제품)'!B317,'JUNE (물량흐름)'!$Y$13:$Y$488)</f>
        <v>0</v>
      </c>
      <c r="N317" s="58">
        <f t="shared" si="128"/>
        <v>0</v>
      </c>
      <c r="O317" s="58">
        <f>SUMIF('Direct labour(직접노무비)'!$C$12:$C$503,'In-out-bal products (155)(완성제품)'!B317,'Direct labour(직접노무비)'!$U$12:$U$503)+SUMIF('Overhead exp(제조경비)'!$C$12:$C$503,'In-out-bal products (155)(완성제품)'!B317,'Overhead exp(제조경비)'!$U$12:$U$503)</f>
        <v>0</v>
      </c>
      <c r="P317" s="60">
        <f t="shared" si="129"/>
        <v>0</v>
      </c>
      <c r="Q317" s="60">
        <f t="shared" si="130"/>
        <v>0</v>
      </c>
      <c r="R317" s="60">
        <f t="shared" si="131"/>
        <v>0</v>
      </c>
      <c r="S317" s="58">
        <v>0</v>
      </c>
      <c r="T317" s="58">
        <v>0</v>
      </c>
      <c r="U317" s="58">
        <v>0</v>
      </c>
      <c r="V317" s="58">
        <f>SUMIF('JUNE (물량흐름)'!$C$13:$C$493,'In-out-bal products (155)(완성제품)'!B317,'JUNE (물량흐름)'!$W$13:$W$493)</f>
        <v>0</v>
      </c>
      <c r="W317" s="58">
        <f t="shared" si="132"/>
        <v>0</v>
      </c>
      <c r="X317" s="58">
        <f t="shared" si="133"/>
        <v>0</v>
      </c>
      <c r="Y317" s="58">
        <f>SUMIF('JUNE (물량흐름)'!$C$13:$C$488,'In-out-bal products (155)(완성제품)'!B317,'JUNE (물량흐름)'!$X$13:$X$488)</f>
        <v>0</v>
      </c>
      <c r="Z317" s="58">
        <f t="shared" si="134"/>
        <v>0</v>
      </c>
      <c r="AA317" s="58">
        <f t="shared" si="135"/>
        <v>0</v>
      </c>
      <c r="AB317" s="58"/>
      <c r="AC317" s="58"/>
      <c r="AD317" s="61"/>
      <c r="AE317" s="58">
        <f t="shared" si="136"/>
        <v>0</v>
      </c>
      <c r="AF317" s="58">
        <f t="shared" si="137"/>
        <v>0</v>
      </c>
      <c r="AG317" s="61">
        <f t="shared" si="138"/>
        <v>0</v>
      </c>
      <c r="AH317" s="58">
        <v>0</v>
      </c>
      <c r="AI317" s="58">
        <v>0</v>
      </c>
      <c r="AJ317" s="61">
        <v>0</v>
      </c>
      <c r="AK317" s="58"/>
      <c r="AL317" s="58"/>
      <c r="AM317" s="61"/>
      <c r="AN317" s="61">
        <f t="shared" si="139"/>
        <v>0</v>
      </c>
      <c r="AO317" s="58">
        <f t="shared" si="140"/>
        <v>0</v>
      </c>
      <c r="AP317" s="61">
        <f t="shared" si="141"/>
        <v>0</v>
      </c>
      <c r="AQ317" s="58">
        <f t="shared" si="142"/>
        <v>0</v>
      </c>
      <c r="AR317" s="58">
        <f t="shared" si="143"/>
        <v>0</v>
      </c>
      <c r="AS317" s="58">
        <f t="shared" si="144"/>
        <v>0</v>
      </c>
      <c r="AT317" s="58">
        <f>ROUND(SUMIF('JUNE (물량흐름)'!$C$13:$C$502,'In-out-bal products (155)(완성제품)'!B317,'JUNE (물량흐름)'!$AB$13:$AB$502),0)</f>
        <v>0</v>
      </c>
      <c r="AU317" s="58">
        <f t="shared" si="145"/>
        <v>0</v>
      </c>
      <c r="AV317" s="58">
        <f>ROUND(SUMIF('JUNE (물량흐름)'!$C$13:$C$502,'In-out-bal products (155)(완성제품)'!B317,'JUNE (물량흐름)'!$AC$13:$AC$502),0)</f>
        <v>0</v>
      </c>
      <c r="AW317" s="58">
        <f t="shared" si="146"/>
        <v>0</v>
      </c>
      <c r="AX317" s="376">
        <f t="shared" si="147"/>
        <v>0</v>
      </c>
      <c r="AY317" s="377">
        <f t="shared" si="148"/>
        <v>0</v>
      </c>
      <c r="AZ317" s="377">
        <f t="shared" si="149"/>
        <v>0</v>
      </c>
      <c r="BA317" s="377">
        <f t="shared" si="150"/>
        <v>0</v>
      </c>
      <c r="BB317" s="377"/>
      <c r="BC317" s="377">
        <f t="shared" si="151"/>
        <v>0</v>
      </c>
      <c r="BD317" s="377">
        <f t="shared" si="152"/>
        <v>0</v>
      </c>
      <c r="BE317" s="377"/>
      <c r="BF317" s="377">
        <f t="shared" si="153"/>
        <v>0</v>
      </c>
      <c r="BG317" s="433">
        <f t="shared" si="154"/>
        <v>0</v>
      </c>
      <c r="BH317" s="434">
        <f t="shared" si="155"/>
        <v>0</v>
      </c>
    </row>
    <row r="318" spans="1:60" s="378" customFormat="1">
      <c r="A318" s="167">
        <v>312</v>
      </c>
      <c r="B318" s="253">
        <f>VLOOKUP(A318,'JUNE (물량흐름)'!$A$13:$C$493,3,0)</f>
        <v>461186</v>
      </c>
      <c r="C318" s="57" t="str">
        <f>VLOOKUP(A318,'JUNE (물량흐름)'!$A$13:$C$493,2,0)</f>
        <v>ANN TAYLOR</v>
      </c>
      <c r="D318" s="58">
        <f>IFERROR(VLOOKUP(B318,O.B.JUNE!$V$7:$Y$448,2,0),0)</f>
        <v>0</v>
      </c>
      <c r="E318" s="58">
        <f>IFERROR(VLOOKUP(B318,O.B.JUNE!$V$7:$X$448,3,0),0)</f>
        <v>0</v>
      </c>
      <c r="F318" s="58">
        <f>IFERROR(VLOOKUP(B318,O.B.JUNE!$V$7:$Y$448,4,0),0)</f>
        <v>0</v>
      </c>
      <c r="G318" s="58">
        <f>SUMIF('JUNE (물량흐름)'!$C$13:$C$493,'In-out-bal products (155)(완성제품)'!B318,'JUNE (물량흐름)'!$V$13:$V$493)</f>
        <v>0</v>
      </c>
      <c r="H318" s="58">
        <f>SUMIF('JUNE (물량흐름)'!$C$13:$C$493,'In-out-bal products (155)(완성제품)'!B318,'JUNE (물량흐름)'!$T$13:$T$493)-SUMIF('JUNE (물량흐름)'!$C$13:$C$493,'In-out-bal products (155)(완성제품)'!B318,'JUNE (물량흐름)'!$Y$13:$Y$493)+SUMIF('JUNE (물량흐름)'!$C$13:$C$493,'In-out-bal products (155)(완성제품)'!B318,'JUNE (물량흐름)'!$U$13:$U$493)</f>
        <v>0</v>
      </c>
      <c r="I318" s="58">
        <f t="shared" si="126"/>
        <v>0</v>
      </c>
      <c r="J318" s="58">
        <f>SUMIF('Direct labour(직접노무비)'!$C$12:$C$503,'In-out-bal products (155)(완성제품)'!B318,'Direct labour(직접노무비)'!$Q$12:$Q$503)</f>
        <v>0</v>
      </c>
      <c r="K318" s="59">
        <f>SUMIF('Overhead exp(제조경비)'!$C$12:$C$503,'In-out-bal products (155)(완성제품)'!B318,'Overhead exp(제조경비)'!$Q$12:$Q$503)</f>
        <v>0</v>
      </c>
      <c r="L318" s="58">
        <f t="shared" si="127"/>
        <v>0</v>
      </c>
      <c r="M318" s="58">
        <f>SUMIF('JUNE (물량흐름)'!$C$13:$C$488,'In-out-bal products (155)(완성제품)'!B318,'JUNE (물량흐름)'!$Y$13:$Y$488)</f>
        <v>0</v>
      </c>
      <c r="N318" s="58">
        <f t="shared" si="128"/>
        <v>0</v>
      </c>
      <c r="O318" s="58">
        <f>SUMIF('Direct labour(직접노무비)'!$C$12:$C$503,'In-out-bal products (155)(완성제품)'!B318,'Direct labour(직접노무비)'!$U$12:$U$503)+SUMIF('Overhead exp(제조경비)'!$C$12:$C$503,'In-out-bal products (155)(완성제품)'!B318,'Overhead exp(제조경비)'!$U$12:$U$503)</f>
        <v>0</v>
      </c>
      <c r="P318" s="60">
        <f t="shared" si="129"/>
        <v>0</v>
      </c>
      <c r="Q318" s="60">
        <f t="shared" si="130"/>
        <v>0</v>
      </c>
      <c r="R318" s="60">
        <f t="shared" si="131"/>
        <v>0</v>
      </c>
      <c r="S318" s="58">
        <v>0</v>
      </c>
      <c r="T318" s="58">
        <v>0</v>
      </c>
      <c r="U318" s="58">
        <v>0</v>
      </c>
      <c r="V318" s="58">
        <f>SUMIF('JUNE (물량흐름)'!$C$13:$C$493,'In-out-bal products (155)(완성제품)'!B318,'JUNE (물량흐름)'!$W$13:$W$493)</f>
        <v>0</v>
      </c>
      <c r="W318" s="58">
        <f t="shared" si="132"/>
        <v>0</v>
      </c>
      <c r="X318" s="58">
        <f t="shared" si="133"/>
        <v>0</v>
      </c>
      <c r="Y318" s="58">
        <f>SUMIF('JUNE (물량흐름)'!$C$13:$C$488,'In-out-bal products (155)(완성제품)'!B318,'JUNE (물량흐름)'!$X$13:$X$488)</f>
        <v>0</v>
      </c>
      <c r="Z318" s="58">
        <f t="shared" si="134"/>
        <v>0</v>
      </c>
      <c r="AA318" s="58">
        <f t="shared" si="135"/>
        <v>0</v>
      </c>
      <c r="AB318" s="58"/>
      <c r="AC318" s="58"/>
      <c r="AD318" s="61"/>
      <c r="AE318" s="58">
        <f t="shared" si="136"/>
        <v>0</v>
      </c>
      <c r="AF318" s="58">
        <f t="shared" si="137"/>
        <v>0</v>
      </c>
      <c r="AG318" s="61">
        <f t="shared" si="138"/>
        <v>0</v>
      </c>
      <c r="AH318" s="58">
        <v>0</v>
      </c>
      <c r="AI318" s="58">
        <v>0</v>
      </c>
      <c r="AJ318" s="61">
        <v>0</v>
      </c>
      <c r="AK318" s="58"/>
      <c r="AL318" s="58"/>
      <c r="AM318" s="61"/>
      <c r="AN318" s="61">
        <f t="shared" si="139"/>
        <v>0</v>
      </c>
      <c r="AO318" s="58">
        <f t="shared" si="140"/>
        <v>0</v>
      </c>
      <c r="AP318" s="61">
        <f t="shared" si="141"/>
        <v>0</v>
      </c>
      <c r="AQ318" s="58">
        <f t="shared" si="142"/>
        <v>0</v>
      </c>
      <c r="AR318" s="58">
        <f t="shared" si="143"/>
        <v>0</v>
      </c>
      <c r="AS318" s="58">
        <f t="shared" si="144"/>
        <v>0</v>
      </c>
      <c r="AT318" s="58">
        <f>ROUND(SUMIF('JUNE (물량흐름)'!$C$13:$C$502,'In-out-bal products (155)(완성제품)'!B318,'JUNE (물량흐름)'!$AB$13:$AB$502),0)</f>
        <v>0</v>
      </c>
      <c r="AU318" s="58">
        <f t="shared" si="145"/>
        <v>0</v>
      </c>
      <c r="AV318" s="58">
        <f>ROUND(SUMIF('JUNE (물량흐름)'!$C$13:$C$502,'In-out-bal products (155)(완성제품)'!B318,'JUNE (물량흐름)'!$AC$13:$AC$502),0)</f>
        <v>0</v>
      </c>
      <c r="AW318" s="58">
        <f t="shared" si="146"/>
        <v>0</v>
      </c>
      <c r="AX318" s="376">
        <f t="shared" si="147"/>
        <v>0</v>
      </c>
      <c r="AY318" s="377">
        <f t="shared" si="148"/>
        <v>0</v>
      </c>
      <c r="AZ318" s="377">
        <f t="shared" si="149"/>
        <v>0</v>
      </c>
      <c r="BA318" s="377">
        <f t="shared" si="150"/>
        <v>0</v>
      </c>
      <c r="BB318" s="377"/>
      <c r="BC318" s="377">
        <f t="shared" si="151"/>
        <v>0</v>
      </c>
      <c r="BD318" s="377">
        <f t="shared" si="152"/>
        <v>0</v>
      </c>
      <c r="BE318" s="377"/>
      <c r="BF318" s="377">
        <f t="shared" si="153"/>
        <v>0</v>
      </c>
      <c r="BG318" s="433">
        <f t="shared" si="154"/>
        <v>0</v>
      </c>
      <c r="BH318" s="434">
        <f t="shared" si="155"/>
        <v>0</v>
      </c>
    </row>
    <row r="319" spans="1:60" s="378" customFormat="1">
      <c r="A319" s="167">
        <v>313</v>
      </c>
      <c r="B319" s="253">
        <f>VLOOKUP(A319,'JUNE (물량흐름)'!$A$13:$C$493,3,0)</f>
        <v>461795</v>
      </c>
      <c r="C319" s="57" t="str">
        <f>VLOOKUP(A319,'JUNE (물량흐름)'!$A$13:$C$493,2,0)</f>
        <v>ANN TAYLOR</v>
      </c>
      <c r="D319" s="58">
        <f>IFERROR(VLOOKUP(B319,O.B.JUNE!$V$7:$Y$448,2,0),0)</f>
        <v>0</v>
      </c>
      <c r="E319" s="58">
        <f>IFERROR(VLOOKUP(B319,O.B.JUNE!$V$7:$X$448,3,0),0)</f>
        <v>0</v>
      </c>
      <c r="F319" s="58">
        <f>IFERROR(VLOOKUP(B319,O.B.JUNE!$V$7:$Y$448,4,0),0)</f>
        <v>0</v>
      </c>
      <c r="G319" s="58">
        <f>SUMIF('JUNE (물량흐름)'!$C$13:$C$493,'In-out-bal products (155)(완성제품)'!B319,'JUNE (물량흐름)'!$V$13:$V$493)</f>
        <v>0</v>
      </c>
      <c r="H319" s="58">
        <f>SUMIF('JUNE (물량흐름)'!$C$13:$C$493,'In-out-bal products (155)(완성제품)'!B319,'JUNE (물량흐름)'!$T$13:$T$493)-SUMIF('JUNE (물량흐름)'!$C$13:$C$493,'In-out-bal products (155)(완성제품)'!B319,'JUNE (물량흐름)'!$Y$13:$Y$493)+SUMIF('JUNE (물량흐름)'!$C$13:$C$493,'In-out-bal products (155)(완성제품)'!B319,'JUNE (물량흐름)'!$U$13:$U$493)</f>
        <v>0</v>
      </c>
      <c r="I319" s="58">
        <f t="shared" si="126"/>
        <v>0</v>
      </c>
      <c r="J319" s="58">
        <f>SUMIF('Direct labour(직접노무비)'!$C$12:$C$503,'In-out-bal products (155)(완성제품)'!B319,'Direct labour(직접노무비)'!$Q$12:$Q$503)</f>
        <v>0</v>
      </c>
      <c r="K319" s="59">
        <f>SUMIF('Overhead exp(제조경비)'!$C$12:$C$503,'In-out-bal products (155)(완성제품)'!B319,'Overhead exp(제조경비)'!$Q$12:$Q$503)</f>
        <v>0</v>
      </c>
      <c r="L319" s="58">
        <f t="shared" si="127"/>
        <v>0</v>
      </c>
      <c r="M319" s="58">
        <f>SUMIF('JUNE (물량흐름)'!$C$13:$C$488,'In-out-bal products (155)(완성제품)'!B319,'JUNE (물량흐름)'!$Y$13:$Y$488)</f>
        <v>0</v>
      </c>
      <c r="N319" s="58">
        <f t="shared" si="128"/>
        <v>0</v>
      </c>
      <c r="O319" s="58">
        <f>SUMIF('Direct labour(직접노무비)'!$C$12:$C$503,'In-out-bal products (155)(완성제품)'!B319,'Direct labour(직접노무비)'!$U$12:$U$503)+SUMIF('Overhead exp(제조경비)'!$C$12:$C$503,'In-out-bal products (155)(완성제품)'!B319,'Overhead exp(제조경비)'!$U$12:$U$503)</f>
        <v>0</v>
      </c>
      <c r="P319" s="60">
        <f t="shared" si="129"/>
        <v>0</v>
      </c>
      <c r="Q319" s="60">
        <f t="shared" si="130"/>
        <v>0</v>
      </c>
      <c r="R319" s="60">
        <f t="shared" si="131"/>
        <v>0</v>
      </c>
      <c r="S319" s="58">
        <v>0</v>
      </c>
      <c r="T319" s="58">
        <v>0</v>
      </c>
      <c r="U319" s="58">
        <v>0</v>
      </c>
      <c r="V319" s="58">
        <f>SUMIF('JUNE (물량흐름)'!$C$13:$C$493,'In-out-bal products (155)(완성제품)'!B319,'JUNE (물량흐름)'!$W$13:$W$493)</f>
        <v>0</v>
      </c>
      <c r="W319" s="58">
        <f t="shared" si="132"/>
        <v>0</v>
      </c>
      <c r="X319" s="58">
        <f t="shared" si="133"/>
        <v>0</v>
      </c>
      <c r="Y319" s="58">
        <f>SUMIF('JUNE (물량흐름)'!$C$13:$C$488,'In-out-bal products (155)(완성제품)'!B319,'JUNE (물량흐름)'!$X$13:$X$488)</f>
        <v>0</v>
      </c>
      <c r="Z319" s="58">
        <f t="shared" si="134"/>
        <v>0</v>
      </c>
      <c r="AA319" s="58">
        <f t="shared" si="135"/>
        <v>0</v>
      </c>
      <c r="AB319" s="58"/>
      <c r="AC319" s="58"/>
      <c r="AD319" s="61"/>
      <c r="AE319" s="58">
        <f t="shared" si="136"/>
        <v>0</v>
      </c>
      <c r="AF319" s="58">
        <f t="shared" si="137"/>
        <v>0</v>
      </c>
      <c r="AG319" s="61">
        <f t="shared" si="138"/>
        <v>0</v>
      </c>
      <c r="AH319" s="58">
        <v>0</v>
      </c>
      <c r="AI319" s="58">
        <v>0</v>
      </c>
      <c r="AJ319" s="61">
        <v>0</v>
      </c>
      <c r="AK319" s="58"/>
      <c r="AL319" s="58"/>
      <c r="AM319" s="61"/>
      <c r="AN319" s="61">
        <f t="shared" si="139"/>
        <v>0</v>
      </c>
      <c r="AO319" s="58">
        <f t="shared" si="140"/>
        <v>0</v>
      </c>
      <c r="AP319" s="61">
        <f t="shared" si="141"/>
        <v>0</v>
      </c>
      <c r="AQ319" s="58">
        <f t="shared" si="142"/>
        <v>0</v>
      </c>
      <c r="AR319" s="58">
        <f t="shared" si="143"/>
        <v>0</v>
      </c>
      <c r="AS319" s="58">
        <f t="shared" si="144"/>
        <v>0</v>
      </c>
      <c r="AT319" s="58">
        <f>ROUND(SUMIF('JUNE (물량흐름)'!$C$13:$C$502,'In-out-bal products (155)(완성제품)'!B319,'JUNE (물량흐름)'!$AB$13:$AB$502),0)</f>
        <v>0</v>
      </c>
      <c r="AU319" s="58">
        <f t="shared" si="145"/>
        <v>0</v>
      </c>
      <c r="AV319" s="58">
        <f>ROUND(SUMIF('JUNE (물량흐름)'!$C$13:$C$502,'In-out-bal products (155)(완성제품)'!B319,'JUNE (물량흐름)'!$AC$13:$AC$502),0)</f>
        <v>0</v>
      </c>
      <c r="AW319" s="58">
        <f t="shared" si="146"/>
        <v>0</v>
      </c>
      <c r="AX319" s="376">
        <f t="shared" si="147"/>
        <v>0</v>
      </c>
      <c r="AY319" s="377">
        <f t="shared" si="148"/>
        <v>0</v>
      </c>
      <c r="AZ319" s="377">
        <f t="shared" si="149"/>
        <v>0</v>
      </c>
      <c r="BA319" s="377">
        <f t="shared" si="150"/>
        <v>0</v>
      </c>
      <c r="BB319" s="377"/>
      <c r="BC319" s="377">
        <f t="shared" si="151"/>
        <v>0</v>
      </c>
      <c r="BD319" s="377">
        <f t="shared" si="152"/>
        <v>0</v>
      </c>
      <c r="BE319" s="377"/>
      <c r="BF319" s="377">
        <f t="shared" si="153"/>
        <v>0</v>
      </c>
      <c r="BG319" s="433">
        <f t="shared" si="154"/>
        <v>0</v>
      </c>
      <c r="BH319" s="434">
        <f t="shared" si="155"/>
        <v>0</v>
      </c>
    </row>
    <row r="320" spans="1:60" s="378" customFormat="1">
      <c r="A320" s="167">
        <v>314</v>
      </c>
      <c r="B320" s="253">
        <f>VLOOKUP(A320,'JUNE (물량흐름)'!$A$13:$C$493,3,0)</f>
        <v>463022</v>
      </c>
      <c r="C320" s="57" t="str">
        <f>VLOOKUP(A320,'JUNE (물량흐름)'!$A$13:$C$493,2,0)</f>
        <v>ANN TAYLOR</v>
      </c>
      <c r="D320" s="58">
        <f>IFERROR(VLOOKUP(B320,O.B.JUNE!$V$7:$Y$448,2,0),0)</f>
        <v>0</v>
      </c>
      <c r="E320" s="58">
        <f>IFERROR(VLOOKUP(B320,O.B.JUNE!$V$7:$X$448,3,0),0)</f>
        <v>0</v>
      </c>
      <c r="F320" s="58">
        <f>IFERROR(VLOOKUP(B320,O.B.JUNE!$V$7:$Y$448,4,0),0)</f>
        <v>0</v>
      </c>
      <c r="G320" s="58">
        <f>SUMIF('JUNE (물량흐름)'!$C$13:$C$493,'In-out-bal products (155)(완성제품)'!B320,'JUNE (물량흐름)'!$V$13:$V$493)</f>
        <v>0</v>
      </c>
      <c r="H320" s="58">
        <f>SUMIF('JUNE (물량흐름)'!$C$13:$C$493,'In-out-bal products (155)(완성제품)'!B320,'JUNE (물량흐름)'!$T$13:$T$493)-SUMIF('JUNE (물량흐름)'!$C$13:$C$493,'In-out-bal products (155)(완성제품)'!B320,'JUNE (물량흐름)'!$Y$13:$Y$493)+SUMIF('JUNE (물량흐름)'!$C$13:$C$493,'In-out-bal products (155)(완성제품)'!B320,'JUNE (물량흐름)'!$U$13:$U$493)</f>
        <v>0</v>
      </c>
      <c r="I320" s="58">
        <f t="shared" si="126"/>
        <v>0</v>
      </c>
      <c r="J320" s="58">
        <f>SUMIF('Direct labour(직접노무비)'!$C$12:$C$503,'In-out-bal products (155)(완성제품)'!B320,'Direct labour(직접노무비)'!$Q$12:$Q$503)</f>
        <v>0</v>
      </c>
      <c r="K320" s="59">
        <f>SUMIF('Overhead exp(제조경비)'!$C$12:$C$503,'In-out-bal products (155)(완성제품)'!B320,'Overhead exp(제조경비)'!$Q$12:$Q$503)</f>
        <v>0</v>
      </c>
      <c r="L320" s="58">
        <f t="shared" si="127"/>
        <v>0</v>
      </c>
      <c r="M320" s="58">
        <f>SUMIF('JUNE (물량흐름)'!$C$13:$C$488,'In-out-bal products (155)(완성제품)'!B320,'JUNE (물량흐름)'!$Y$13:$Y$488)</f>
        <v>0</v>
      </c>
      <c r="N320" s="58">
        <f t="shared" si="128"/>
        <v>0</v>
      </c>
      <c r="O320" s="58">
        <f>SUMIF('Direct labour(직접노무비)'!$C$12:$C$503,'In-out-bal products (155)(완성제품)'!B320,'Direct labour(직접노무비)'!$U$12:$U$503)+SUMIF('Overhead exp(제조경비)'!$C$12:$C$503,'In-out-bal products (155)(완성제품)'!B320,'Overhead exp(제조경비)'!$U$12:$U$503)</f>
        <v>0</v>
      </c>
      <c r="P320" s="60">
        <f t="shared" si="129"/>
        <v>0</v>
      </c>
      <c r="Q320" s="60">
        <f t="shared" si="130"/>
        <v>0</v>
      </c>
      <c r="R320" s="60">
        <f t="shared" si="131"/>
        <v>0</v>
      </c>
      <c r="S320" s="58">
        <v>0</v>
      </c>
      <c r="T320" s="58">
        <v>0</v>
      </c>
      <c r="U320" s="58">
        <v>0</v>
      </c>
      <c r="V320" s="58">
        <f>SUMIF('JUNE (물량흐름)'!$C$13:$C$493,'In-out-bal products (155)(완성제품)'!B320,'JUNE (물량흐름)'!$W$13:$W$493)</f>
        <v>0</v>
      </c>
      <c r="W320" s="58">
        <f t="shared" si="132"/>
        <v>0</v>
      </c>
      <c r="X320" s="58">
        <f t="shared" si="133"/>
        <v>0</v>
      </c>
      <c r="Y320" s="58">
        <f>SUMIF('JUNE (물량흐름)'!$C$13:$C$488,'In-out-bal products (155)(완성제품)'!B320,'JUNE (물량흐름)'!$X$13:$X$488)</f>
        <v>0</v>
      </c>
      <c r="Z320" s="58">
        <f t="shared" si="134"/>
        <v>0</v>
      </c>
      <c r="AA320" s="58">
        <f t="shared" si="135"/>
        <v>0</v>
      </c>
      <c r="AB320" s="58"/>
      <c r="AC320" s="58"/>
      <c r="AD320" s="61"/>
      <c r="AE320" s="58">
        <f t="shared" si="136"/>
        <v>0</v>
      </c>
      <c r="AF320" s="58">
        <f t="shared" si="137"/>
        <v>0</v>
      </c>
      <c r="AG320" s="61">
        <f t="shared" si="138"/>
        <v>0</v>
      </c>
      <c r="AH320" s="58">
        <v>0</v>
      </c>
      <c r="AI320" s="58">
        <v>0</v>
      </c>
      <c r="AJ320" s="61">
        <v>0</v>
      </c>
      <c r="AK320" s="58"/>
      <c r="AL320" s="58"/>
      <c r="AM320" s="61"/>
      <c r="AN320" s="61">
        <f t="shared" si="139"/>
        <v>0</v>
      </c>
      <c r="AO320" s="58">
        <f t="shared" si="140"/>
        <v>0</v>
      </c>
      <c r="AP320" s="61">
        <f t="shared" si="141"/>
        <v>0</v>
      </c>
      <c r="AQ320" s="58">
        <f t="shared" si="142"/>
        <v>0</v>
      </c>
      <c r="AR320" s="58">
        <f t="shared" si="143"/>
        <v>0</v>
      </c>
      <c r="AS320" s="58">
        <f t="shared" si="144"/>
        <v>0</v>
      </c>
      <c r="AT320" s="58">
        <f>ROUND(SUMIF('JUNE (물량흐름)'!$C$13:$C$502,'In-out-bal products (155)(완성제품)'!B320,'JUNE (물량흐름)'!$AB$13:$AB$502),0)</f>
        <v>0</v>
      </c>
      <c r="AU320" s="58">
        <f t="shared" si="145"/>
        <v>0</v>
      </c>
      <c r="AV320" s="58">
        <f>ROUND(SUMIF('JUNE (물량흐름)'!$C$13:$C$502,'In-out-bal products (155)(완성제품)'!B320,'JUNE (물량흐름)'!$AC$13:$AC$502),0)</f>
        <v>0</v>
      </c>
      <c r="AW320" s="58">
        <f t="shared" si="146"/>
        <v>0</v>
      </c>
      <c r="AX320" s="376">
        <f t="shared" si="147"/>
        <v>0</v>
      </c>
      <c r="AY320" s="377">
        <f t="shared" si="148"/>
        <v>0</v>
      </c>
      <c r="AZ320" s="377">
        <f t="shared" si="149"/>
        <v>0</v>
      </c>
      <c r="BA320" s="377">
        <f t="shared" si="150"/>
        <v>0</v>
      </c>
      <c r="BB320" s="377"/>
      <c r="BC320" s="377">
        <f t="shared" si="151"/>
        <v>0</v>
      </c>
      <c r="BD320" s="377">
        <f t="shared" si="152"/>
        <v>0</v>
      </c>
      <c r="BE320" s="377"/>
      <c r="BF320" s="377">
        <f t="shared" si="153"/>
        <v>0</v>
      </c>
      <c r="BG320" s="433">
        <f t="shared" si="154"/>
        <v>0</v>
      </c>
      <c r="BH320" s="434">
        <f t="shared" si="155"/>
        <v>0</v>
      </c>
    </row>
    <row r="321" spans="1:60" s="378" customFormat="1">
      <c r="A321" s="167">
        <v>315</v>
      </c>
      <c r="B321" s="253">
        <f>VLOOKUP(A321,'JUNE (물량흐름)'!$A$13:$C$493,3,0)</f>
        <v>463024</v>
      </c>
      <c r="C321" s="57" t="str">
        <f>VLOOKUP(A321,'JUNE (물량흐름)'!$A$13:$C$493,2,0)</f>
        <v>ANN TAYLOR</v>
      </c>
      <c r="D321" s="58">
        <f>IFERROR(VLOOKUP(B321,O.B.JUNE!$V$7:$Y$448,2,0),0)</f>
        <v>0</v>
      </c>
      <c r="E321" s="58">
        <f>IFERROR(VLOOKUP(B321,O.B.JUNE!$V$7:$X$448,3,0),0)</f>
        <v>0</v>
      </c>
      <c r="F321" s="58">
        <f>IFERROR(VLOOKUP(B321,O.B.JUNE!$V$7:$Y$448,4,0),0)</f>
        <v>0</v>
      </c>
      <c r="G321" s="58">
        <f>SUMIF('JUNE (물량흐름)'!$C$13:$C$493,'In-out-bal products (155)(완성제품)'!B321,'JUNE (물량흐름)'!$V$13:$V$493)</f>
        <v>0</v>
      </c>
      <c r="H321" s="58">
        <f>SUMIF('JUNE (물량흐름)'!$C$13:$C$493,'In-out-bal products (155)(완성제품)'!B321,'JUNE (물량흐름)'!$T$13:$T$493)-SUMIF('JUNE (물량흐름)'!$C$13:$C$493,'In-out-bal products (155)(완성제품)'!B321,'JUNE (물량흐름)'!$Y$13:$Y$493)+SUMIF('JUNE (물량흐름)'!$C$13:$C$493,'In-out-bal products (155)(완성제품)'!B321,'JUNE (물량흐름)'!$U$13:$U$493)</f>
        <v>0</v>
      </c>
      <c r="I321" s="58">
        <f t="shared" si="126"/>
        <v>0</v>
      </c>
      <c r="J321" s="58">
        <f>SUMIF('Direct labour(직접노무비)'!$C$12:$C$503,'In-out-bal products (155)(완성제품)'!B321,'Direct labour(직접노무비)'!$Q$12:$Q$503)</f>
        <v>0</v>
      </c>
      <c r="K321" s="59">
        <f>SUMIF('Overhead exp(제조경비)'!$C$12:$C$503,'In-out-bal products (155)(완성제품)'!B321,'Overhead exp(제조경비)'!$Q$12:$Q$503)</f>
        <v>0</v>
      </c>
      <c r="L321" s="58">
        <f t="shared" si="127"/>
        <v>0</v>
      </c>
      <c r="M321" s="58">
        <f>SUMIF('JUNE (물량흐름)'!$C$13:$C$488,'In-out-bal products (155)(완성제품)'!B321,'JUNE (물량흐름)'!$Y$13:$Y$488)</f>
        <v>0</v>
      </c>
      <c r="N321" s="58">
        <f t="shared" si="128"/>
        <v>0</v>
      </c>
      <c r="O321" s="58">
        <f>SUMIF('Direct labour(직접노무비)'!$C$12:$C$503,'In-out-bal products (155)(완성제품)'!B321,'Direct labour(직접노무비)'!$U$12:$U$503)+SUMIF('Overhead exp(제조경비)'!$C$12:$C$503,'In-out-bal products (155)(완성제품)'!B321,'Overhead exp(제조경비)'!$U$12:$U$503)</f>
        <v>0</v>
      </c>
      <c r="P321" s="60">
        <f t="shared" si="129"/>
        <v>0</v>
      </c>
      <c r="Q321" s="60">
        <f t="shared" si="130"/>
        <v>0</v>
      </c>
      <c r="R321" s="60">
        <f t="shared" si="131"/>
        <v>0</v>
      </c>
      <c r="S321" s="58">
        <v>0</v>
      </c>
      <c r="T321" s="58">
        <v>0</v>
      </c>
      <c r="U321" s="58">
        <v>0</v>
      </c>
      <c r="V321" s="58">
        <f>SUMIF('JUNE (물량흐름)'!$C$13:$C$493,'In-out-bal products (155)(완성제품)'!B321,'JUNE (물량흐름)'!$W$13:$W$493)</f>
        <v>0</v>
      </c>
      <c r="W321" s="58">
        <f t="shared" si="132"/>
        <v>0</v>
      </c>
      <c r="X321" s="58">
        <f t="shared" si="133"/>
        <v>0</v>
      </c>
      <c r="Y321" s="58">
        <f>SUMIF('JUNE (물량흐름)'!$C$13:$C$488,'In-out-bal products (155)(완성제품)'!B321,'JUNE (물량흐름)'!$X$13:$X$488)</f>
        <v>0</v>
      </c>
      <c r="Z321" s="58">
        <f t="shared" si="134"/>
        <v>0</v>
      </c>
      <c r="AA321" s="58">
        <f t="shared" si="135"/>
        <v>0</v>
      </c>
      <c r="AB321" s="58"/>
      <c r="AC321" s="58"/>
      <c r="AD321" s="61"/>
      <c r="AE321" s="58">
        <f t="shared" si="136"/>
        <v>0</v>
      </c>
      <c r="AF321" s="58">
        <f t="shared" si="137"/>
        <v>0</v>
      </c>
      <c r="AG321" s="61">
        <f t="shared" si="138"/>
        <v>0</v>
      </c>
      <c r="AH321" s="58">
        <v>0</v>
      </c>
      <c r="AI321" s="58">
        <v>0</v>
      </c>
      <c r="AJ321" s="61">
        <v>0</v>
      </c>
      <c r="AK321" s="58"/>
      <c r="AL321" s="58"/>
      <c r="AM321" s="61"/>
      <c r="AN321" s="61">
        <f t="shared" si="139"/>
        <v>0</v>
      </c>
      <c r="AO321" s="58">
        <f t="shared" si="140"/>
        <v>0</v>
      </c>
      <c r="AP321" s="61">
        <f t="shared" si="141"/>
        <v>0</v>
      </c>
      <c r="AQ321" s="58">
        <f t="shared" si="142"/>
        <v>0</v>
      </c>
      <c r="AR321" s="58">
        <f t="shared" si="143"/>
        <v>0</v>
      </c>
      <c r="AS321" s="58">
        <f t="shared" si="144"/>
        <v>0</v>
      </c>
      <c r="AT321" s="58">
        <f>ROUND(SUMIF('JUNE (물량흐름)'!$C$13:$C$502,'In-out-bal products (155)(완성제품)'!B321,'JUNE (물량흐름)'!$AB$13:$AB$502),0)</f>
        <v>0</v>
      </c>
      <c r="AU321" s="58">
        <f t="shared" si="145"/>
        <v>0</v>
      </c>
      <c r="AV321" s="58">
        <f>ROUND(SUMIF('JUNE (물량흐름)'!$C$13:$C$502,'In-out-bal products (155)(완성제품)'!B321,'JUNE (물량흐름)'!$AC$13:$AC$502),0)</f>
        <v>0</v>
      </c>
      <c r="AW321" s="58">
        <f t="shared" si="146"/>
        <v>0</v>
      </c>
      <c r="AX321" s="376">
        <f t="shared" si="147"/>
        <v>0</v>
      </c>
      <c r="AY321" s="377">
        <f t="shared" si="148"/>
        <v>0</v>
      </c>
      <c r="AZ321" s="377">
        <f t="shared" si="149"/>
        <v>0</v>
      </c>
      <c r="BA321" s="377">
        <f t="shared" si="150"/>
        <v>0</v>
      </c>
      <c r="BB321" s="377"/>
      <c r="BC321" s="377">
        <f t="shared" si="151"/>
        <v>0</v>
      </c>
      <c r="BD321" s="377">
        <f t="shared" si="152"/>
        <v>0</v>
      </c>
      <c r="BE321" s="377"/>
      <c r="BF321" s="377">
        <f t="shared" si="153"/>
        <v>0</v>
      </c>
      <c r="BG321" s="433">
        <f t="shared" si="154"/>
        <v>0</v>
      </c>
      <c r="BH321" s="434">
        <f t="shared" si="155"/>
        <v>0</v>
      </c>
    </row>
    <row r="322" spans="1:60" s="378" customFormat="1">
      <c r="A322" s="167">
        <v>316</v>
      </c>
      <c r="B322" s="253">
        <f>VLOOKUP(A322,'JUNE (물량흐름)'!$A$13:$C$493,3,0)</f>
        <v>463029</v>
      </c>
      <c r="C322" s="57" t="str">
        <f>VLOOKUP(A322,'JUNE (물량흐름)'!$A$13:$C$493,2,0)</f>
        <v>ANN TAYLOR</v>
      </c>
      <c r="D322" s="58">
        <f>IFERROR(VLOOKUP(B322,O.B.JUNE!$V$7:$Y$448,2,0),0)</f>
        <v>0</v>
      </c>
      <c r="E322" s="58">
        <f>IFERROR(VLOOKUP(B322,O.B.JUNE!$V$7:$X$448,3,0),0)</f>
        <v>0</v>
      </c>
      <c r="F322" s="58">
        <f>IFERROR(VLOOKUP(B322,O.B.JUNE!$V$7:$Y$448,4,0),0)</f>
        <v>0</v>
      </c>
      <c r="G322" s="58">
        <f>SUMIF('JUNE (물량흐름)'!$C$13:$C$493,'In-out-bal products (155)(완성제품)'!B322,'JUNE (물량흐름)'!$V$13:$V$493)</f>
        <v>0</v>
      </c>
      <c r="H322" s="58">
        <f>SUMIF('JUNE (물량흐름)'!$C$13:$C$493,'In-out-bal products (155)(완성제품)'!B322,'JUNE (물량흐름)'!$T$13:$T$493)-SUMIF('JUNE (물량흐름)'!$C$13:$C$493,'In-out-bal products (155)(완성제품)'!B322,'JUNE (물량흐름)'!$Y$13:$Y$493)+SUMIF('JUNE (물량흐름)'!$C$13:$C$493,'In-out-bal products (155)(완성제품)'!B322,'JUNE (물량흐름)'!$U$13:$U$493)</f>
        <v>0</v>
      </c>
      <c r="I322" s="58">
        <f t="shared" si="126"/>
        <v>0</v>
      </c>
      <c r="J322" s="58">
        <f>SUMIF('Direct labour(직접노무비)'!$C$12:$C$503,'In-out-bal products (155)(완성제품)'!B322,'Direct labour(직접노무비)'!$Q$12:$Q$503)</f>
        <v>0</v>
      </c>
      <c r="K322" s="59">
        <f>SUMIF('Overhead exp(제조경비)'!$C$12:$C$503,'In-out-bal products (155)(완성제품)'!B322,'Overhead exp(제조경비)'!$Q$12:$Q$503)</f>
        <v>0</v>
      </c>
      <c r="L322" s="58">
        <f t="shared" si="127"/>
        <v>0</v>
      </c>
      <c r="M322" s="58">
        <f>SUMIF('JUNE (물량흐름)'!$C$13:$C$488,'In-out-bal products (155)(완성제품)'!B322,'JUNE (물량흐름)'!$Y$13:$Y$488)</f>
        <v>0</v>
      </c>
      <c r="N322" s="58">
        <f t="shared" si="128"/>
        <v>0</v>
      </c>
      <c r="O322" s="58">
        <f>SUMIF('Direct labour(직접노무비)'!$C$12:$C$503,'In-out-bal products (155)(완성제품)'!B322,'Direct labour(직접노무비)'!$U$12:$U$503)+SUMIF('Overhead exp(제조경비)'!$C$12:$C$503,'In-out-bal products (155)(완성제품)'!B322,'Overhead exp(제조경비)'!$U$12:$U$503)</f>
        <v>0</v>
      </c>
      <c r="P322" s="60">
        <f t="shared" si="129"/>
        <v>0</v>
      </c>
      <c r="Q322" s="60">
        <f t="shared" si="130"/>
        <v>0</v>
      </c>
      <c r="R322" s="60">
        <f t="shared" si="131"/>
        <v>0</v>
      </c>
      <c r="S322" s="58">
        <v>0</v>
      </c>
      <c r="T322" s="58">
        <v>0</v>
      </c>
      <c r="U322" s="58">
        <v>0</v>
      </c>
      <c r="V322" s="58">
        <f>SUMIF('JUNE (물량흐름)'!$C$13:$C$493,'In-out-bal products (155)(완성제품)'!B322,'JUNE (물량흐름)'!$W$13:$W$493)</f>
        <v>0</v>
      </c>
      <c r="W322" s="58">
        <f t="shared" si="132"/>
        <v>0</v>
      </c>
      <c r="X322" s="58">
        <f t="shared" si="133"/>
        <v>0</v>
      </c>
      <c r="Y322" s="58">
        <f>SUMIF('JUNE (물량흐름)'!$C$13:$C$488,'In-out-bal products (155)(완성제품)'!B322,'JUNE (물량흐름)'!$X$13:$X$488)</f>
        <v>0</v>
      </c>
      <c r="Z322" s="58">
        <f t="shared" si="134"/>
        <v>0</v>
      </c>
      <c r="AA322" s="58">
        <f t="shared" si="135"/>
        <v>0</v>
      </c>
      <c r="AB322" s="58"/>
      <c r="AC322" s="58"/>
      <c r="AD322" s="61"/>
      <c r="AE322" s="58">
        <f t="shared" si="136"/>
        <v>0</v>
      </c>
      <c r="AF322" s="58">
        <f t="shared" si="137"/>
        <v>0</v>
      </c>
      <c r="AG322" s="61">
        <f t="shared" si="138"/>
        <v>0</v>
      </c>
      <c r="AH322" s="58">
        <v>0</v>
      </c>
      <c r="AI322" s="58">
        <v>0</v>
      </c>
      <c r="AJ322" s="61">
        <v>0</v>
      </c>
      <c r="AK322" s="58"/>
      <c r="AL322" s="58"/>
      <c r="AM322" s="61"/>
      <c r="AN322" s="61">
        <f t="shared" si="139"/>
        <v>0</v>
      </c>
      <c r="AO322" s="58">
        <f t="shared" si="140"/>
        <v>0</v>
      </c>
      <c r="AP322" s="61">
        <f t="shared" si="141"/>
        <v>0</v>
      </c>
      <c r="AQ322" s="58">
        <f t="shared" si="142"/>
        <v>0</v>
      </c>
      <c r="AR322" s="58">
        <f t="shared" si="143"/>
        <v>0</v>
      </c>
      <c r="AS322" s="58">
        <f t="shared" si="144"/>
        <v>0</v>
      </c>
      <c r="AT322" s="58">
        <f>ROUND(SUMIF('JUNE (물량흐름)'!$C$13:$C$502,'In-out-bal products (155)(완성제품)'!B322,'JUNE (물량흐름)'!$AB$13:$AB$502),0)</f>
        <v>0</v>
      </c>
      <c r="AU322" s="58">
        <f t="shared" si="145"/>
        <v>0</v>
      </c>
      <c r="AV322" s="58">
        <f>ROUND(SUMIF('JUNE (물량흐름)'!$C$13:$C$502,'In-out-bal products (155)(완성제품)'!B322,'JUNE (물량흐름)'!$AC$13:$AC$502),0)</f>
        <v>0</v>
      </c>
      <c r="AW322" s="58">
        <f t="shared" si="146"/>
        <v>0</v>
      </c>
      <c r="AX322" s="376">
        <f t="shared" si="147"/>
        <v>0</v>
      </c>
      <c r="AY322" s="377">
        <f t="shared" si="148"/>
        <v>0</v>
      </c>
      <c r="AZ322" s="377">
        <f t="shared" si="149"/>
        <v>0</v>
      </c>
      <c r="BA322" s="377">
        <f t="shared" si="150"/>
        <v>0</v>
      </c>
      <c r="BB322" s="377"/>
      <c r="BC322" s="377">
        <f t="shared" si="151"/>
        <v>0</v>
      </c>
      <c r="BD322" s="377">
        <f t="shared" si="152"/>
        <v>0</v>
      </c>
      <c r="BE322" s="377"/>
      <c r="BF322" s="377">
        <f t="shared" si="153"/>
        <v>0</v>
      </c>
      <c r="BG322" s="433">
        <f t="shared" si="154"/>
        <v>0</v>
      </c>
      <c r="BH322" s="434">
        <f t="shared" si="155"/>
        <v>0</v>
      </c>
    </row>
    <row r="323" spans="1:60" s="378" customFormat="1">
      <c r="A323" s="167">
        <v>317</v>
      </c>
      <c r="B323" s="253">
        <f>VLOOKUP(A323,'JUNE (물량흐름)'!$A$13:$C$493,3,0)</f>
        <v>463030</v>
      </c>
      <c r="C323" s="57" t="str">
        <f>VLOOKUP(A323,'JUNE (물량흐름)'!$A$13:$C$493,2,0)</f>
        <v>ANN TAYLOR</v>
      </c>
      <c r="D323" s="58">
        <f>IFERROR(VLOOKUP(B323,O.B.JUNE!$V$7:$Y$448,2,0),0)</f>
        <v>0</v>
      </c>
      <c r="E323" s="58">
        <f>IFERROR(VLOOKUP(B323,O.B.JUNE!$V$7:$X$448,3,0),0)</f>
        <v>0</v>
      </c>
      <c r="F323" s="58">
        <f>IFERROR(VLOOKUP(B323,O.B.JUNE!$V$7:$Y$448,4,0),0)</f>
        <v>0</v>
      </c>
      <c r="G323" s="58">
        <f>SUMIF('JUNE (물량흐름)'!$C$13:$C$493,'In-out-bal products (155)(완성제품)'!B323,'JUNE (물량흐름)'!$V$13:$V$493)</f>
        <v>0</v>
      </c>
      <c r="H323" s="58">
        <f>SUMIF('JUNE (물량흐름)'!$C$13:$C$493,'In-out-bal products (155)(완성제품)'!B323,'JUNE (물량흐름)'!$T$13:$T$493)-SUMIF('JUNE (물량흐름)'!$C$13:$C$493,'In-out-bal products (155)(완성제품)'!B323,'JUNE (물량흐름)'!$Y$13:$Y$493)+SUMIF('JUNE (물량흐름)'!$C$13:$C$493,'In-out-bal products (155)(완성제품)'!B323,'JUNE (물량흐름)'!$U$13:$U$493)</f>
        <v>0</v>
      </c>
      <c r="I323" s="58">
        <f t="shared" si="126"/>
        <v>0</v>
      </c>
      <c r="J323" s="58">
        <f>SUMIF('Direct labour(직접노무비)'!$C$12:$C$503,'In-out-bal products (155)(완성제품)'!B323,'Direct labour(직접노무비)'!$Q$12:$Q$503)</f>
        <v>0</v>
      </c>
      <c r="K323" s="59">
        <f>SUMIF('Overhead exp(제조경비)'!$C$12:$C$503,'In-out-bal products (155)(완성제품)'!B323,'Overhead exp(제조경비)'!$Q$12:$Q$503)</f>
        <v>0</v>
      </c>
      <c r="L323" s="58">
        <f t="shared" si="127"/>
        <v>0</v>
      </c>
      <c r="M323" s="58">
        <f>SUMIF('JUNE (물량흐름)'!$C$13:$C$488,'In-out-bal products (155)(완성제품)'!B323,'JUNE (물량흐름)'!$Y$13:$Y$488)</f>
        <v>0</v>
      </c>
      <c r="N323" s="58">
        <f t="shared" si="128"/>
        <v>0</v>
      </c>
      <c r="O323" s="58">
        <f>SUMIF('Direct labour(직접노무비)'!$C$12:$C$503,'In-out-bal products (155)(완성제품)'!B323,'Direct labour(직접노무비)'!$U$12:$U$503)+SUMIF('Overhead exp(제조경비)'!$C$12:$C$503,'In-out-bal products (155)(완성제품)'!B323,'Overhead exp(제조경비)'!$U$12:$U$503)</f>
        <v>0</v>
      </c>
      <c r="P323" s="60">
        <f t="shared" si="129"/>
        <v>0</v>
      </c>
      <c r="Q323" s="60">
        <f t="shared" si="130"/>
        <v>0</v>
      </c>
      <c r="R323" s="60">
        <f t="shared" si="131"/>
        <v>0</v>
      </c>
      <c r="S323" s="58">
        <v>0</v>
      </c>
      <c r="T323" s="58">
        <v>0</v>
      </c>
      <c r="U323" s="58">
        <v>0</v>
      </c>
      <c r="V323" s="58">
        <f>SUMIF('JUNE (물량흐름)'!$C$13:$C$493,'In-out-bal products (155)(완성제품)'!B323,'JUNE (물량흐름)'!$W$13:$W$493)</f>
        <v>0</v>
      </c>
      <c r="W323" s="58">
        <f t="shared" si="132"/>
        <v>0</v>
      </c>
      <c r="X323" s="58">
        <f t="shared" si="133"/>
        <v>0</v>
      </c>
      <c r="Y323" s="58">
        <f>SUMIF('JUNE (물량흐름)'!$C$13:$C$488,'In-out-bal products (155)(완성제품)'!B323,'JUNE (물량흐름)'!$X$13:$X$488)</f>
        <v>0</v>
      </c>
      <c r="Z323" s="58">
        <f t="shared" si="134"/>
        <v>0</v>
      </c>
      <c r="AA323" s="58">
        <f t="shared" si="135"/>
        <v>0</v>
      </c>
      <c r="AB323" s="58"/>
      <c r="AC323" s="58"/>
      <c r="AD323" s="61"/>
      <c r="AE323" s="58">
        <f t="shared" si="136"/>
        <v>0</v>
      </c>
      <c r="AF323" s="58">
        <f t="shared" si="137"/>
        <v>0</v>
      </c>
      <c r="AG323" s="61">
        <f t="shared" si="138"/>
        <v>0</v>
      </c>
      <c r="AH323" s="58">
        <v>0</v>
      </c>
      <c r="AI323" s="58">
        <v>0</v>
      </c>
      <c r="AJ323" s="61">
        <v>0</v>
      </c>
      <c r="AK323" s="58"/>
      <c r="AL323" s="58"/>
      <c r="AM323" s="61"/>
      <c r="AN323" s="61">
        <f t="shared" si="139"/>
        <v>0</v>
      </c>
      <c r="AO323" s="58">
        <f t="shared" si="140"/>
        <v>0</v>
      </c>
      <c r="AP323" s="61">
        <f t="shared" si="141"/>
        <v>0</v>
      </c>
      <c r="AQ323" s="58">
        <f t="shared" si="142"/>
        <v>0</v>
      </c>
      <c r="AR323" s="58">
        <f t="shared" si="143"/>
        <v>0</v>
      </c>
      <c r="AS323" s="58">
        <f t="shared" si="144"/>
        <v>0</v>
      </c>
      <c r="AT323" s="58">
        <f>ROUND(SUMIF('JUNE (물량흐름)'!$C$13:$C$502,'In-out-bal products (155)(완성제품)'!B323,'JUNE (물량흐름)'!$AB$13:$AB$502),0)</f>
        <v>0</v>
      </c>
      <c r="AU323" s="58">
        <f t="shared" si="145"/>
        <v>0</v>
      </c>
      <c r="AV323" s="58">
        <f>ROUND(SUMIF('JUNE (물량흐름)'!$C$13:$C$502,'In-out-bal products (155)(완성제품)'!B323,'JUNE (물량흐름)'!$AC$13:$AC$502),0)</f>
        <v>0</v>
      </c>
      <c r="AW323" s="58">
        <f t="shared" si="146"/>
        <v>0</v>
      </c>
      <c r="AX323" s="376">
        <f t="shared" si="147"/>
        <v>0</v>
      </c>
      <c r="AY323" s="377">
        <f t="shared" si="148"/>
        <v>0</v>
      </c>
      <c r="AZ323" s="377">
        <f t="shared" si="149"/>
        <v>0</v>
      </c>
      <c r="BA323" s="377">
        <f t="shared" si="150"/>
        <v>0</v>
      </c>
      <c r="BB323" s="377"/>
      <c r="BC323" s="377">
        <f t="shared" si="151"/>
        <v>0</v>
      </c>
      <c r="BD323" s="377">
        <f t="shared" si="152"/>
        <v>0</v>
      </c>
      <c r="BE323" s="377"/>
      <c r="BF323" s="377">
        <f t="shared" si="153"/>
        <v>0</v>
      </c>
      <c r="BG323" s="433">
        <f t="shared" si="154"/>
        <v>0</v>
      </c>
      <c r="BH323" s="434">
        <f t="shared" si="155"/>
        <v>0</v>
      </c>
    </row>
    <row r="324" spans="1:60" s="378" customFormat="1">
      <c r="A324" s="167">
        <v>318</v>
      </c>
      <c r="B324" s="253">
        <f>VLOOKUP(A324,'JUNE (물량흐름)'!$A$13:$C$493,3,0)</f>
        <v>466459</v>
      </c>
      <c r="C324" s="57" t="str">
        <f>VLOOKUP(A324,'JUNE (물량흐름)'!$A$13:$C$493,2,0)</f>
        <v>ANN TAYLOR</v>
      </c>
      <c r="D324" s="58">
        <f>IFERROR(VLOOKUP(B324,O.B.JUNE!$V$7:$Y$448,2,0),0)</f>
        <v>0</v>
      </c>
      <c r="E324" s="58">
        <f>IFERROR(VLOOKUP(B324,O.B.JUNE!$V$7:$X$448,3,0),0)</f>
        <v>0</v>
      </c>
      <c r="F324" s="58">
        <f>IFERROR(VLOOKUP(B324,O.B.JUNE!$V$7:$Y$448,4,0),0)</f>
        <v>0</v>
      </c>
      <c r="G324" s="58">
        <f>SUMIF('JUNE (물량흐름)'!$C$13:$C$493,'In-out-bal products (155)(완성제품)'!B324,'JUNE (물량흐름)'!$V$13:$V$493)</f>
        <v>0</v>
      </c>
      <c r="H324" s="58">
        <f>SUMIF('JUNE (물량흐름)'!$C$13:$C$493,'In-out-bal products (155)(완성제품)'!B324,'JUNE (물량흐름)'!$T$13:$T$493)-SUMIF('JUNE (물량흐름)'!$C$13:$C$493,'In-out-bal products (155)(완성제품)'!B324,'JUNE (물량흐름)'!$Y$13:$Y$493)+SUMIF('JUNE (물량흐름)'!$C$13:$C$493,'In-out-bal products (155)(완성제품)'!B324,'JUNE (물량흐름)'!$U$13:$U$493)</f>
        <v>0</v>
      </c>
      <c r="I324" s="58">
        <f t="shared" si="126"/>
        <v>0</v>
      </c>
      <c r="J324" s="58">
        <f>SUMIF('Direct labour(직접노무비)'!$C$12:$C$503,'In-out-bal products (155)(완성제품)'!B324,'Direct labour(직접노무비)'!$Q$12:$Q$503)</f>
        <v>0</v>
      </c>
      <c r="K324" s="59">
        <f>SUMIF('Overhead exp(제조경비)'!$C$12:$C$503,'In-out-bal products (155)(완성제품)'!B324,'Overhead exp(제조경비)'!$Q$12:$Q$503)</f>
        <v>0</v>
      </c>
      <c r="L324" s="58">
        <f t="shared" si="127"/>
        <v>0</v>
      </c>
      <c r="M324" s="58">
        <f>SUMIF('JUNE (물량흐름)'!$C$13:$C$488,'In-out-bal products (155)(완성제품)'!B324,'JUNE (물량흐름)'!$Y$13:$Y$488)</f>
        <v>0</v>
      </c>
      <c r="N324" s="58">
        <f t="shared" si="128"/>
        <v>0</v>
      </c>
      <c r="O324" s="58">
        <f>SUMIF('Direct labour(직접노무비)'!$C$12:$C$503,'In-out-bal products (155)(완성제품)'!B324,'Direct labour(직접노무비)'!$U$12:$U$503)+SUMIF('Overhead exp(제조경비)'!$C$12:$C$503,'In-out-bal products (155)(완성제품)'!B324,'Overhead exp(제조경비)'!$U$12:$U$503)</f>
        <v>0</v>
      </c>
      <c r="P324" s="60">
        <f t="shared" si="129"/>
        <v>0</v>
      </c>
      <c r="Q324" s="60">
        <f t="shared" si="130"/>
        <v>0</v>
      </c>
      <c r="R324" s="60">
        <f t="shared" si="131"/>
        <v>0</v>
      </c>
      <c r="S324" s="58">
        <v>0</v>
      </c>
      <c r="T324" s="58">
        <v>0</v>
      </c>
      <c r="U324" s="58">
        <v>0</v>
      </c>
      <c r="V324" s="58">
        <f>SUMIF('JUNE (물량흐름)'!$C$13:$C$493,'In-out-bal products (155)(완성제품)'!B324,'JUNE (물량흐름)'!$W$13:$W$493)</f>
        <v>0</v>
      </c>
      <c r="W324" s="58">
        <f t="shared" si="132"/>
        <v>0</v>
      </c>
      <c r="X324" s="58">
        <f t="shared" si="133"/>
        <v>0</v>
      </c>
      <c r="Y324" s="58">
        <f>SUMIF('JUNE (물량흐름)'!$C$13:$C$488,'In-out-bal products (155)(완성제품)'!B324,'JUNE (물량흐름)'!$X$13:$X$488)</f>
        <v>0</v>
      </c>
      <c r="Z324" s="58">
        <f t="shared" si="134"/>
        <v>0</v>
      </c>
      <c r="AA324" s="58">
        <f t="shared" si="135"/>
        <v>0</v>
      </c>
      <c r="AB324" s="58"/>
      <c r="AC324" s="58"/>
      <c r="AD324" s="61"/>
      <c r="AE324" s="58">
        <f t="shared" si="136"/>
        <v>0</v>
      </c>
      <c r="AF324" s="58">
        <f t="shared" si="137"/>
        <v>0</v>
      </c>
      <c r="AG324" s="61">
        <f t="shared" si="138"/>
        <v>0</v>
      </c>
      <c r="AH324" s="58">
        <v>0</v>
      </c>
      <c r="AI324" s="58">
        <v>0</v>
      </c>
      <c r="AJ324" s="61">
        <v>0</v>
      </c>
      <c r="AK324" s="58"/>
      <c r="AL324" s="58"/>
      <c r="AM324" s="61"/>
      <c r="AN324" s="61">
        <f t="shared" si="139"/>
        <v>0</v>
      </c>
      <c r="AO324" s="58">
        <f t="shared" si="140"/>
        <v>0</v>
      </c>
      <c r="AP324" s="61">
        <f t="shared" si="141"/>
        <v>0</v>
      </c>
      <c r="AQ324" s="58">
        <f t="shared" si="142"/>
        <v>0</v>
      </c>
      <c r="AR324" s="58">
        <f t="shared" si="143"/>
        <v>0</v>
      </c>
      <c r="AS324" s="58">
        <f t="shared" si="144"/>
        <v>0</v>
      </c>
      <c r="AT324" s="58">
        <f>ROUND(SUMIF('JUNE (물량흐름)'!$C$13:$C$502,'In-out-bal products (155)(완성제품)'!B324,'JUNE (물량흐름)'!$AB$13:$AB$502),0)</f>
        <v>0</v>
      </c>
      <c r="AU324" s="58">
        <f t="shared" si="145"/>
        <v>0</v>
      </c>
      <c r="AV324" s="58">
        <f>ROUND(SUMIF('JUNE (물량흐름)'!$C$13:$C$502,'In-out-bal products (155)(완성제품)'!B324,'JUNE (물량흐름)'!$AC$13:$AC$502),0)</f>
        <v>0</v>
      </c>
      <c r="AW324" s="58">
        <f t="shared" si="146"/>
        <v>0</v>
      </c>
      <c r="AX324" s="376">
        <f t="shared" si="147"/>
        <v>0</v>
      </c>
      <c r="AY324" s="377">
        <f t="shared" si="148"/>
        <v>0</v>
      </c>
      <c r="AZ324" s="377">
        <f t="shared" si="149"/>
        <v>0</v>
      </c>
      <c r="BA324" s="377">
        <f t="shared" si="150"/>
        <v>0</v>
      </c>
      <c r="BB324" s="377"/>
      <c r="BC324" s="377">
        <f t="shared" si="151"/>
        <v>0</v>
      </c>
      <c r="BD324" s="377">
        <f t="shared" si="152"/>
        <v>0</v>
      </c>
      <c r="BE324" s="377"/>
      <c r="BF324" s="377">
        <f t="shared" si="153"/>
        <v>0</v>
      </c>
      <c r="BG324" s="433">
        <f t="shared" si="154"/>
        <v>0</v>
      </c>
      <c r="BH324" s="434">
        <f t="shared" si="155"/>
        <v>0</v>
      </c>
    </row>
    <row r="325" spans="1:60" s="378" customFormat="1">
      <c r="A325" s="167">
        <v>319</v>
      </c>
      <c r="B325" s="253">
        <f>VLOOKUP(A325,'JUNE (물량흐름)'!$A$13:$C$493,3,0)</f>
        <v>467476</v>
      </c>
      <c r="C325" s="57" t="str">
        <f>VLOOKUP(A325,'JUNE (물량흐름)'!$A$13:$C$493,2,0)</f>
        <v>ANN TAYLOR</v>
      </c>
      <c r="D325" s="58">
        <f>IFERROR(VLOOKUP(B325,O.B.JUNE!$V$7:$Y$448,2,0),0)</f>
        <v>0</v>
      </c>
      <c r="E325" s="58">
        <f>IFERROR(VLOOKUP(B325,O.B.JUNE!$V$7:$X$448,3,0),0)</f>
        <v>0</v>
      </c>
      <c r="F325" s="58">
        <f>IFERROR(VLOOKUP(B325,O.B.JUNE!$V$7:$Y$448,4,0),0)</f>
        <v>0</v>
      </c>
      <c r="G325" s="58">
        <f>SUMIF('JUNE (물량흐름)'!$C$13:$C$493,'In-out-bal products (155)(완성제품)'!B325,'JUNE (물량흐름)'!$V$13:$V$493)</f>
        <v>0</v>
      </c>
      <c r="H325" s="58">
        <f>SUMIF('JUNE (물량흐름)'!$C$13:$C$493,'In-out-bal products (155)(완성제품)'!B325,'JUNE (물량흐름)'!$T$13:$T$493)-SUMIF('JUNE (물량흐름)'!$C$13:$C$493,'In-out-bal products (155)(완성제품)'!B325,'JUNE (물량흐름)'!$Y$13:$Y$493)+SUMIF('JUNE (물량흐름)'!$C$13:$C$493,'In-out-bal products (155)(완성제품)'!B325,'JUNE (물량흐름)'!$U$13:$U$493)</f>
        <v>0</v>
      </c>
      <c r="I325" s="58">
        <f t="shared" si="126"/>
        <v>0</v>
      </c>
      <c r="J325" s="58">
        <f>SUMIF('Direct labour(직접노무비)'!$C$12:$C$503,'In-out-bal products (155)(완성제품)'!B325,'Direct labour(직접노무비)'!$Q$12:$Q$503)</f>
        <v>0</v>
      </c>
      <c r="K325" s="59">
        <f>SUMIF('Overhead exp(제조경비)'!$C$12:$C$503,'In-out-bal products (155)(완성제품)'!B325,'Overhead exp(제조경비)'!$Q$12:$Q$503)</f>
        <v>0</v>
      </c>
      <c r="L325" s="58">
        <f t="shared" si="127"/>
        <v>0</v>
      </c>
      <c r="M325" s="58">
        <f>SUMIF('JUNE (물량흐름)'!$C$13:$C$488,'In-out-bal products (155)(완성제품)'!B325,'JUNE (물량흐름)'!$Y$13:$Y$488)</f>
        <v>0</v>
      </c>
      <c r="N325" s="58">
        <f t="shared" si="128"/>
        <v>0</v>
      </c>
      <c r="O325" s="58">
        <f>SUMIF('Direct labour(직접노무비)'!$C$12:$C$503,'In-out-bal products (155)(완성제품)'!B325,'Direct labour(직접노무비)'!$U$12:$U$503)+SUMIF('Overhead exp(제조경비)'!$C$12:$C$503,'In-out-bal products (155)(완성제품)'!B325,'Overhead exp(제조경비)'!$U$12:$U$503)</f>
        <v>0</v>
      </c>
      <c r="P325" s="60">
        <f t="shared" si="129"/>
        <v>0</v>
      </c>
      <c r="Q325" s="60">
        <f t="shared" si="130"/>
        <v>0</v>
      </c>
      <c r="R325" s="60">
        <f t="shared" si="131"/>
        <v>0</v>
      </c>
      <c r="S325" s="58">
        <v>0</v>
      </c>
      <c r="T325" s="58">
        <v>0</v>
      </c>
      <c r="U325" s="58">
        <v>0</v>
      </c>
      <c r="V325" s="58">
        <f>SUMIF('JUNE (물량흐름)'!$C$13:$C$493,'In-out-bal products (155)(완성제품)'!B325,'JUNE (물량흐름)'!$W$13:$W$493)</f>
        <v>0</v>
      </c>
      <c r="W325" s="58">
        <f t="shared" si="132"/>
        <v>0</v>
      </c>
      <c r="X325" s="58">
        <f t="shared" si="133"/>
        <v>0</v>
      </c>
      <c r="Y325" s="58">
        <f>SUMIF('JUNE (물량흐름)'!$C$13:$C$488,'In-out-bal products (155)(완성제품)'!B325,'JUNE (물량흐름)'!$X$13:$X$488)</f>
        <v>0</v>
      </c>
      <c r="Z325" s="58">
        <f t="shared" si="134"/>
        <v>0</v>
      </c>
      <c r="AA325" s="58">
        <f t="shared" si="135"/>
        <v>0</v>
      </c>
      <c r="AB325" s="58"/>
      <c r="AC325" s="58"/>
      <c r="AD325" s="61"/>
      <c r="AE325" s="58">
        <f t="shared" si="136"/>
        <v>0</v>
      </c>
      <c r="AF325" s="58">
        <f t="shared" si="137"/>
        <v>0</v>
      </c>
      <c r="AG325" s="61">
        <f t="shared" si="138"/>
        <v>0</v>
      </c>
      <c r="AH325" s="58">
        <v>0</v>
      </c>
      <c r="AI325" s="58">
        <v>0</v>
      </c>
      <c r="AJ325" s="61">
        <v>0</v>
      </c>
      <c r="AK325" s="58"/>
      <c r="AL325" s="58"/>
      <c r="AM325" s="61"/>
      <c r="AN325" s="61">
        <f t="shared" si="139"/>
        <v>0</v>
      </c>
      <c r="AO325" s="58">
        <f t="shared" si="140"/>
        <v>0</v>
      </c>
      <c r="AP325" s="61">
        <f t="shared" si="141"/>
        <v>0</v>
      </c>
      <c r="AQ325" s="58">
        <f t="shared" si="142"/>
        <v>0</v>
      </c>
      <c r="AR325" s="58">
        <f t="shared" si="143"/>
        <v>0</v>
      </c>
      <c r="AS325" s="58">
        <f t="shared" si="144"/>
        <v>0</v>
      </c>
      <c r="AT325" s="58">
        <f>ROUND(SUMIF('JUNE (물량흐름)'!$C$13:$C$502,'In-out-bal products (155)(완성제품)'!B325,'JUNE (물량흐름)'!$AB$13:$AB$502),0)</f>
        <v>0</v>
      </c>
      <c r="AU325" s="58">
        <f t="shared" si="145"/>
        <v>0</v>
      </c>
      <c r="AV325" s="58">
        <f>ROUND(SUMIF('JUNE (물량흐름)'!$C$13:$C$502,'In-out-bal products (155)(완성제품)'!B325,'JUNE (물량흐름)'!$AC$13:$AC$502),0)</f>
        <v>0</v>
      </c>
      <c r="AW325" s="58">
        <f t="shared" si="146"/>
        <v>0</v>
      </c>
      <c r="AX325" s="376">
        <f t="shared" si="147"/>
        <v>0</v>
      </c>
      <c r="AY325" s="377">
        <f t="shared" si="148"/>
        <v>0</v>
      </c>
      <c r="AZ325" s="377">
        <f t="shared" si="149"/>
        <v>0</v>
      </c>
      <c r="BA325" s="377">
        <f t="shared" si="150"/>
        <v>0</v>
      </c>
      <c r="BB325" s="377"/>
      <c r="BC325" s="377">
        <f t="shared" si="151"/>
        <v>0</v>
      </c>
      <c r="BD325" s="377">
        <f t="shared" si="152"/>
        <v>0</v>
      </c>
      <c r="BE325" s="377"/>
      <c r="BF325" s="377">
        <f t="shared" si="153"/>
        <v>0</v>
      </c>
      <c r="BG325" s="433">
        <f t="shared" si="154"/>
        <v>0</v>
      </c>
      <c r="BH325" s="434">
        <f t="shared" si="155"/>
        <v>0</v>
      </c>
    </row>
    <row r="326" spans="1:60" s="378" customFormat="1">
      <c r="A326" s="167">
        <v>320</v>
      </c>
      <c r="B326" s="253">
        <f>VLOOKUP(A326,'JUNE (물량흐름)'!$A$13:$C$493,3,0)</f>
        <v>468585</v>
      </c>
      <c r="C326" s="57" t="str">
        <f>VLOOKUP(A326,'JUNE (물량흐름)'!$A$13:$C$493,2,0)</f>
        <v>ANN TAYLOR</v>
      </c>
      <c r="D326" s="58">
        <f>IFERROR(VLOOKUP(B326,O.B.JUNE!$V$7:$Y$448,2,0),0)</f>
        <v>0</v>
      </c>
      <c r="E326" s="58">
        <f>IFERROR(VLOOKUP(B326,O.B.JUNE!$V$7:$X$448,3,0),0)</f>
        <v>0</v>
      </c>
      <c r="F326" s="58">
        <f>IFERROR(VLOOKUP(B326,O.B.JUNE!$V$7:$Y$448,4,0),0)</f>
        <v>0</v>
      </c>
      <c r="G326" s="58">
        <f>SUMIF('JUNE (물량흐름)'!$C$13:$C$493,'In-out-bal products (155)(완성제품)'!B326,'JUNE (물량흐름)'!$V$13:$V$493)</f>
        <v>0</v>
      </c>
      <c r="H326" s="58">
        <f>SUMIF('JUNE (물량흐름)'!$C$13:$C$493,'In-out-bal products (155)(완성제품)'!B326,'JUNE (물량흐름)'!$T$13:$T$493)-SUMIF('JUNE (물량흐름)'!$C$13:$C$493,'In-out-bal products (155)(완성제품)'!B326,'JUNE (물량흐름)'!$Y$13:$Y$493)+SUMIF('JUNE (물량흐름)'!$C$13:$C$493,'In-out-bal products (155)(완성제품)'!B326,'JUNE (물량흐름)'!$U$13:$U$493)</f>
        <v>0</v>
      </c>
      <c r="I326" s="58">
        <f t="shared" si="126"/>
        <v>0</v>
      </c>
      <c r="J326" s="58">
        <f>SUMIF('Direct labour(직접노무비)'!$C$12:$C$503,'In-out-bal products (155)(완성제품)'!B326,'Direct labour(직접노무비)'!$Q$12:$Q$503)</f>
        <v>0</v>
      </c>
      <c r="K326" s="59">
        <f>SUMIF('Overhead exp(제조경비)'!$C$12:$C$503,'In-out-bal products (155)(완성제품)'!B326,'Overhead exp(제조경비)'!$Q$12:$Q$503)</f>
        <v>0</v>
      </c>
      <c r="L326" s="58">
        <f t="shared" si="127"/>
        <v>0</v>
      </c>
      <c r="M326" s="58">
        <f>SUMIF('JUNE (물량흐름)'!$C$13:$C$488,'In-out-bal products (155)(완성제품)'!B326,'JUNE (물량흐름)'!$Y$13:$Y$488)</f>
        <v>0</v>
      </c>
      <c r="N326" s="58">
        <f t="shared" si="128"/>
        <v>0</v>
      </c>
      <c r="O326" s="58">
        <f>SUMIF('Direct labour(직접노무비)'!$C$12:$C$503,'In-out-bal products (155)(완성제품)'!B326,'Direct labour(직접노무비)'!$U$12:$U$503)+SUMIF('Overhead exp(제조경비)'!$C$12:$C$503,'In-out-bal products (155)(완성제품)'!B326,'Overhead exp(제조경비)'!$U$12:$U$503)</f>
        <v>0</v>
      </c>
      <c r="P326" s="60">
        <f t="shared" si="129"/>
        <v>0</v>
      </c>
      <c r="Q326" s="60">
        <f t="shared" si="130"/>
        <v>0</v>
      </c>
      <c r="R326" s="60">
        <f t="shared" si="131"/>
        <v>0</v>
      </c>
      <c r="S326" s="58">
        <v>0</v>
      </c>
      <c r="T326" s="58">
        <v>0</v>
      </c>
      <c r="U326" s="58">
        <v>0</v>
      </c>
      <c r="V326" s="58">
        <f>SUMIF('JUNE (물량흐름)'!$C$13:$C$493,'In-out-bal products (155)(완성제품)'!B326,'JUNE (물량흐름)'!$W$13:$W$493)</f>
        <v>0</v>
      </c>
      <c r="W326" s="58">
        <f t="shared" si="132"/>
        <v>0</v>
      </c>
      <c r="X326" s="58">
        <f t="shared" si="133"/>
        <v>0</v>
      </c>
      <c r="Y326" s="58">
        <f>SUMIF('JUNE (물량흐름)'!$C$13:$C$488,'In-out-bal products (155)(완성제품)'!B326,'JUNE (물량흐름)'!$X$13:$X$488)</f>
        <v>0</v>
      </c>
      <c r="Z326" s="58">
        <f t="shared" si="134"/>
        <v>0</v>
      </c>
      <c r="AA326" s="58">
        <f t="shared" si="135"/>
        <v>0</v>
      </c>
      <c r="AB326" s="58"/>
      <c r="AC326" s="58"/>
      <c r="AD326" s="61"/>
      <c r="AE326" s="58">
        <f t="shared" si="136"/>
        <v>0</v>
      </c>
      <c r="AF326" s="58">
        <f t="shared" si="137"/>
        <v>0</v>
      </c>
      <c r="AG326" s="61">
        <f t="shared" si="138"/>
        <v>0</v>
      </c>
      <c r="AH326" s="58">
        <v>0</v>
      </c>
      <c r="AI326" s="58">
        <v>0</v>
      </c>
      <c r="AJ326" s="61">
        <v>0</v>
      </c>
      <c r="AK326" s="58"/>
      <c r="AL326" s="58"/>
      <c r="AM326" s="61"/>
      <c r="AN326" s="61">
        <f t="shared" si="139"/>
        <v>0</v>
      </c>
      <c r="AO326" s="58">
        <f t="shared" si="140"/>
        <v>0</v>
      </c>
      <c r="AP326" s="61">
        <f t="shared" si="141"/>
        <v>0</v>
      </c>
      <c r="AQ326" s="58">
        <f t="shared" si="142"/>
        <v>0</v>
      </c>
      <c r="AR326" s="58">
        <f t="shared" si="143"/>
        <v>0</v>
      </c>
      <c r="AS326" s="58">
        <f t="shared" si="144"/>
        <v>0</v>
      </c>
      <c r="AT326" s="58">
        <f>ROUND(SUMIF('JUNE (물량흐름)'!$C$13:$C$502,'In-out-bal products (155)(완성제품)'!B326,'JUNE (물량흐름)'!$AB$13:$AB$502),0)</f>
        <v>0</v>
      </c>
      <c r="AU326" s="58">
        <f t="shared" si="145"/>
        <v>0</v>
      </c>
      <c r="AV326" s="58">
        <f>ROUND(SUMIF('JUNE (물량흐름)'!$C$13:$C$502,'In-out-bal products (155)(완성제품)'!B326,'JUNE (물량흐름)'!$AC$13:$AC$502),0)</f>
        <v>0</v>
      </c>
      <c r="AW326" s="58">
        <f t="shared" si="146"/>
        <v>0</v>
      </c>
      <c r="AX326" s="376">
        <f t="shared" si="147"/>
        <v>0</v>
      </c>
      <c r="AY326" s="377">
        <f t="shared" si="148"/>
        <v>0</v>
      </c>
      <c r="AZ326" s="377">
        <f t="shared" si="149"/>
        <v>0</v>
      </c>
      <c r="BA326" s="377">
        <f t="shared" si="150"/>
        <v>0</v>
      </c>
      <c r="BB326" s="377"/>
      <c r="BC326" s="377">
        <f t="shared" si="151"/>
        <v>0</v>
      </c>
      <c r="BD326" s="377">
        <f t="shared" si="152"/>
        <v>0</v>
      </c>
      <c r="BE326" s="377"/>
      <c r="BF326" s="377">
        <f t="shared" si="153"/>
        <v>0</v>
      </c>
      <c r="BG326" s="433">
        <f t="shared" si="154"/>
        <v>0</v>
      </c>
      <c r="BH326" s="434">
        <f t="shared" si="155"/>
        <v>0</v>
      </c>
    </row>
    <row r="327" spans="1:60" s="378" customFormat="1">
      <c r="A327" s="167">
        <v>321</v>
      </c>
      <c r="B327" s="253">
        <f>VLOOKUP(A327,'JUNE (물량흐름)'!$A$13:$C$493,3,0)</f>
        <v>471857</v>
      </c>
      <c r="C327" s="57" t="str">
        <f>VLOOKUP(A327,'JUNE (물량흐름)'!$A$13:$C$493,2,0)</f>
        <v>ANN TAYLOR</v>
      </c>
      <c r="D327" s="58">
        <f>IFERROR(VLOOKUP(B327,O.B.JUNE!$V$7:$Y$448,2,0),0)</f>
        <v>29</v>
      </c>
      <c r="E327" s="58">
        <f>IFERROR(VLOOKUP(B327,O.B.JUNE!$V$7:$X$448,3,0),0)</f>
        <v>33875.103448275862</v>
      </c>
      <c r="F327" s="58">
        <f>IFERROR(VLOOKUP(B327,O.B.JUNE!$V$7:$Y$448,4,0),0)</f>
        <v>982378</v>
      </c>
      <c r="G327" s="58">
        <f>SUMIF('JUNE (물량흐름)'!$C$13:$C$493,'In-out-bal products (155)(완성제품)'!B327,'JUNE (물량흐름)'!$V$13:$V$493)</f>
        <v>0</v>
      </c>
      <c r="H327" s="58">
        <f>SUMIF('JUNE (물량흐름)'!$C$13:$C$493,'In-out-bal products (155)(완성제품)'!B327,'JUNE (물량흐름)'!$T$13:$T$493)-SUMIF('JUNE (물량흐름)'!$C$13:$C$493,'In-out-bal products (155)(완성제품)'!B327,'JUNE (물량흐름)'!$Y$13:$Y$493)+SUMIF('JUNE (물량흐름)'!$C$13:$C$493,'In-out-bal products (155)(완성제품)'!B327,'JUNE (물량흐름)'!$U$13:$U$493)</f>
        <v>0</v>
      </c>
      <c r="I327" s="58">
        <f t="shared" si="126"/>
        <v>0</v>
      </c>
      <c r="J327" s="58">
        <f>SUMIF('Direct labour(직접노무비)'!$C$12:$C$503,'In-out-bal products (155)(완성제품)'!B327,'Direct labour(직접노무비)'!$Q$12:$Q$503)</f>
        <v>0</v>
      </c>
      <c r="K327" s="59">
        <f>SUMIF('Overhead exp(제조경비)'!$C$12:$C$503,'In-out-bal products (155)(완성제품)'!B327,'Overhead exp(제조경비)'!$Q$12:$Q$503)</f>
        <v>0</v>
      </c>
      <c r="L327" s="58">
        <f t="shared" si="127"/>
        <v>0</v>
      </c>
      <c r="M327" s="58">
        <f>SUMIF('JUNE (물량흐름)'!$C$13:$C$488,'In-out-bal products (155)(완성제품)'!B327,'JUNE (물량흐름)'!$Y$13:$Y$488)</f>
        <v>1</v>
      </c>
      <c r="N327" s="58">
        <f t="shared" si="128"/>
        <v>33875</v>
      </c>
      <c r="O327" s="58">
        <f>SUMIF('Direct labour(직접노무비)'!$C$12:$C$503,'In-out-bal products (155)(완성제품)'!B327,'Direct labour(직접노무비)'!$U$12:$U$503)+SUMIF('Overhead exp(제조경비)'!$C$12:$C$503,'In-out-bal products (155)(완성제품)'!B327,'Overhead exp(제조경비)'!$U$12:$U$503)</f>
        <v>33875</v>
      </c>
      <c r="P327" s="60">
        <f t="shared" si="129"/>
        <v>1</v>
      </c>
      <c r="Q327" s="60">
        <f t="shared" si="130"/>
        <v>33875</v>
      </c>
      <c r="R327" s="60">
        <f t="shared" si="131"/>
        <v>33875</v>
      </c>
      <c r="S327" s="58">
        <v>0</v>
      </c>
      <c r="T327" s="58">
        <v>0</v>
      </c>
      <c r="U327" s="58">
        <v>0</v>
      </c>
      <c r="V327" s="58">
        <f>SUMIF('JUNE (물량흐름)'!$C$13:$C$493,'In-out-bal products (155)(완성제품)'!B327,'JUNE (물량흐름)'!$W$13:$W$493)</f>
        <v>0</v>
      </c>
      <c r="W327" s="58">
        <f t="shared" si="132"/>
        <v>0</v>
      </c>
      <c r="X327" s="58">
        <f t="shared" si="133"/>
        <v>0</v>
      </c>
      <c r="Y327" s="58">
        <f>SUMIF('JUNE (물량흐름)'!$C$13:$C$488,'In-out-bal products (155)(완성제품)'!B327,'JUNE (물량흐름)'!$X$13:$X$488)</f>
        <v>0</v>
      </c>
      <c r="Z327" s="58">
        <f t="shared" si="134"/>
        <v>0</v>
      </c>
      <c r="AA327" s="58">
        <f t="shared" si="135"/>
        <v>0</v>
      </c>
      <c r="AB327" s="58"/>
      <c r="AC327" s="58"/>
      <c r="AD327" s="61"/>
      <c r="AE327" s="58">
        <f t="shared" si="136"/>
        <v>1</v>
      </c>
      <c r="AF327" s="58">
        <f t="shared" si="137"/>
        <v>33875</v>
      </c>
      <c r="AG327" s="61">
        <f t="shared" si="138"/>
        <v>33875</v>
      </c>
      <c r="AH327" s="58">
        <v>0</v>
      </c>
      <c r="AI327" s="58">
        <v>0</v>
      </c>
      <c r="AJ327" s="61">
        <v>0</v>
      </c>
      <c r="AK327" s="58"/>
      <c r="AL327" s="58"/>
      <c r="AM327" s="61"/>
      <c r="AN327" s="61">
        <f t="shared" si="139"/>
        <v>1</v>
      </c>
      <c r="AO327" s="58">
        <f t="shared" si="140"/>
        <v>33875</v>
      </c>
      <c r="AP327" s="61">
        <f t="shared" si="141"/>
        <v>33875</v>
      </c>
      <c r="AQ327" s="58">
        <f t="shared" si="142"/>
        <v>29</v>
      </c>
      <c r="AR327" s="58">
        <f t="shared" si="143"/>
        <v>33875.103448275862</v>
      </c>
      <c r="AS327" s="58">
        <f t="shared" si="144"/>
        <v>982378</v>
      </c>
      <c r="AT327" s="58">
        <f>ROUND(SUMIF('JUNE (물량흐름)'!$C$13:$C$502,'In-out-bal products (155)(완성제품)'!B327,'JUNE (물량흐름)'!$AB$13:$AB$502),0)</f>
        <v>0</v>
      </c>
      <c r="AU327" s="58">
        <f t="shared" si="145"/>
        <v>0</v>
      </c>
      <c r="AV327" s="58">
        <f>ROUND(SUMIF('JUNE (물량흐름)'!$C$13:$C$502,'In-out-bal products (155)(완성제품)'!B327,'JUNE (물량흐름)'!$AC$13:$AC$502),0)</f>
        <v>29</v>
      </c>
      <c r="AW327" s="58">
        <f t="shared" si="146"/>
        <v>982378</v>
      </c>
      <c r="AX327" s="376">
        <f t="shared" si="147"/>
        <v>0</v>
      </c>
      <c r="AY327" s="377">
        <f t="shared" si="148"/>
        <v>0</v>
      </c>
      <c r="AZ327" s="377">
        <f t="shared" si="149"/>
        <v>0</v>
      </c>
      <c r="BA327" s="377">
        <f t="shared" si="150"/>
        <v>0</v>
      </c>
      <c r="BB327" s="377"/>
      <c r="BC327" s="377">
        <f t="shared" si="151"/>
        <v>0</v>
      </c>
      <c r="BD327" s="377">
        <f t="shared" si="152"/>
        <v>0</v>
      </c>
      <c r="BE327" s="377"/>
      <c r="BF327" s="377">
        <f t="shared" si="153"/>
        <v>0</v>
      </c>
      <c r="BG327" s="433">
        <f t="shared" si="154"/>
        <v>33875</v>
      </c>
      <c r="BH327" s="434">
        <f t="shared" si="155"/>
        <v>0</v>
      </c>
    </row>
    <row r="328" spans="1:60" s="378" customFormat="1">
      <c r="A328" s="167">
        <v>322</v>
      </c>
      <c r="B328" s="253" t="str">
        <f>VLOOKUP(A328,'JUNE (물량흐름)'!$A$13:$C$493,3,0)</f>
        <v>KTP122131</v>
      </c>
      <c r="C328" s="57" t="str">
        <f>VLOOKUP(A328,'JUNE (물량흐름)'!$A$13:$C$493,2,0)</f>
        <v>J JILL</v>
      </c>
      <c r="D328" s="58">
        <f>IFERROR(VLOOKUP(B328,O.B.JUNE!$V$7:$Y$448,2,0),0)</f>
        <v>0</v>
      </c>
      <c r="E328" s="58">
        <f>IFERROR(VLOOKUP(B328,O.B.JUNE!$V$7:$X$448,3,0),0)</f>
        <v>0</v>
      </c>
      <c r="F328" s="58">
        <f>IFERROR(VLOOKUP(B328,O.B.JUNE!$V$7:$Y$448,4,0),0)</f>
        <v>0</v>
      </c>
      <c r="G328" s="58">
        <f>SUMIF('JUNE (물량흐름)'!$C$13:$C$493,'In-out-bal products (155)(완성제품)'!B328,'JUNE (물량흐름)'!$V$13:$V$493)</f>
        <v>0</v>
      </c>
      <c r="H328" s="58">
        <f>SUMIF('JUNE (물량흐름)'!$C$13:$C$493,'In-out-bal products (155)(완성제품)'!B328,'JUNE (물량흐름)'!$T$13:$T$493)-SUMIF('JUNE (물량흐름)'!$C$13:$C$493,'In-out-bal products (155)(완성제품)'!B328,'JUNE (물량흐름)'!$Y$13:$Y$493)+SUMIF('JUNE (물량흐름)'!$C$13:$C$493,'In-out-bal products (155)(완성제품)'!B328,'JUNE (물량흐름)'!$U$13:$U$493)</f>
        <v>0</v>
      </c>
      <c r="I328" s="58">
        <f t="shared" ref="I328:I388" si="156">(IF(ISERROR(L328/H328),0,L328/H328))</f>
        <v>0</v>
      </c>
      <c r="J328" s="58">
        <f>SUMIF('Direct labour(직접노무비)'!$C$12:$C$503,'In-out-bal products (155)(완성제품)'!B328,'Direct labour(직접노무비)'!$Q$12:$Q$503)</f>
        <v>0</v>
      </c>
      <c r="K328" s="59">
        <f>SUMIF('Overhead exp(제조경비)'!$C$12:$C$503,'In-out-bal products (155)(완성제품)'!B328,'Overhead exp(제조경비)'!$Q$12:$Q$503)</f>
        <v>0</v>
      </c>
      <c r="L328" s="58">
        <f t="shared" ref="L328:L388" si="157">ROUND(J328+K328,0)</f>
        <v>0</v>
      </c>
      <c r="M328" s="58">
        <f>SUMIF('JUNE (물량흐름)'!$C$13:$C$488,'In-out-bal products (155)(완성제품)'!B328,'JUNE (물량흐름)'!$Y$13:$Y$488)</f>
        <v>0</v>
      </c>
      <c r="N328" s="58">
        <f t="shared" ref="N328:N388" si="158">IFERROR(O328/M328,0)</f>
        <v>0</v>
      </c>
      <c r="O328" s="58">
        <f>SUMIF('Direct labour(직접노무비)'!$C$12:$C$503,'In-out-bal products (155)(완성제품)'!B328,'Direct labour(직접노무비)'!$U$12:$U$503)+SUMIF('Overhead exp(제조경비)'!$C$12:$C$503,'In-out-bal products (155)(완성제품)'!B328,'Overhead exp(제조경비)'!$U$12:$U$503)</f>
        <v>0</v>
      </c>
      <c r="P328" s="60">
        <f t="shared" ref="P328:P388" si="159">ROUND(H328+G328+M328,0)</f>
        <v>0</v>
      </c>
      <c r="Q328" s="60">
        <f t="shared" ref="Q328:Q388" si="160">(IF(ISERROR(R328/P328),0,R328/P328))</f>
        <v>0</v>
      </c>
      <c r="R328" s="60">
        <f t="shared" ref="R328:R388" si="161">ROUND(L328+O328,0)</f>
        <v>0</v>
      </c>
      <c r="S328" s="58">
        <v>0</v>
      </c>
      <c r="T328" s="58">
        <v>0</v>
      </c>
      <c r="U328" s="58">
        <v>0</v>
      </c>
      <c r="V328" s="58">
        <f>SUMIF('JUNE (물량흐름)'!$C$13:$C$493,'In-out-bal products (155)(완성제품)'!B328,'JUNE (물량흐름)'!$W$13:$W$493)</f>
        <v>0</v>
      </c>
      <c r="W328" s="58">
        <f t="shared" ref="W328:W388" si="162">(IF(V328=0,0,$X328/$V328))</f>
        <v>0</v>
      </c>
      <c r="X328" s="58">
        <f t="shared" ref="X328:X388" si="163">ROUND(IF(V328=0,0,V328*($F328+$L328)/($D328+$H328+$G328)),0)</f>
        <v>0</v>
      </c>
      <c r="Y328" s="58">
        <f>SUMIF('JUNE (물량흐름)'!$C$13:$C$488,'In-out-bal products (155)(완성제품)'!B328,'JUNE (물량흐름)'!$X$13:$X$488)</f>
        <v>0</v>
      </c>
      <c r="Z328" s="58">
        <f t="shared" ref="Z328:Z388" si="164">IF(Y328=0,0,$AA328/$Y328)</f>
        <v>0</v>
      </c>
      <c r="AA328" s="58">
        <f t="shared" ref="AA328:AA388" si="165">ROUND(IF(Y328=0,0,Y328*($F328+$L328)/($D328+$H328+$G328)),0)</f>
        <v>0</v>
      </c>
      <c r="AB328" s="58"/>
      <c r="AC328" s="58"/>
      <c r="AD328" s="61"/>
      <c r="AE328" s="58">
        <f t="shared" ref="AE328:AE388" si="166">M328</f>
        <v>0</v>
      </c>
      <c r="AF328" s="58">
        <f t="shared" ref="AF328:AF388" si="167">N328</f>
        <v>0</v>
      </c>
      <c r="AG328" s="61">
        <f t="shared" ref="AG328:AG388" si="168">O328</f>
        <v>0</v>
      </c>
      <c r="AH328" s="58">
        <v>0</v>
      </c>
      <c r="AI328" s="58">
        <v>0</v>
      </c>
      <c r="AJ328" s="61">
        <v>0</v>
      </c>
      <c r="AK328" s="58"/>
      <c r="AL328" s="58"/>
      <c r="AM328" s="61"/>
      <c r="AN328" s="61">
        <f t="shared" si="139"/>
        <v>0</v>
      </c>
      <c r="AO328" s="58">
        <f t="shared" ref="AO328:AO388" si="169">(IF(ISERROR(AP328/AN328),0,AP328/AN328))</f>
        <v>0</v>
      </c>
      <c r="AP328" s="61">
        <f t="shared" ref="AP328:AP388" si="170">ROUND(X328+AA328+AD328+AG328+AJ328+AM328+U328,0)</f>
        <v>0</v>
      </c>
      <c r="AQ328" s="58">
        <f t="shared" ref="AQ328:AQ388" si="171">ROUND(D328+P328-AN328,0)</f>
        <v>0</v>
      </c>
      <c r="AR328" s="58">
        <f t="shared" ref="AR328:AR388" si="172">(IF(ISERROR(AS328/AQ328),0,AS328/AQ328))</f>
        <v>0</v>
      </c>
      <c r="AS328" s="58">
        <f t="shared" ref="AS328:AS388" si="173">ROUND(F328+R328-AP328,0)</f>
        <v>0</v>
      </c>
      <c r="AT328" s="58">
        <f>ROUND(SUMIF('JUNE (물량흐름)'!$C$13:$C$502,'In-out-bal products (155)(완성제품)'!B328,'JUNE (물량흐름)'!$AB$13:$AB$502),0)</f>
        <v>0</v>
      </c>
      <c r="AU328" s="58">
        <f t="shared" ref="AU328:AU388" si="174">+ROUND(AR328*AT328,0)</f>
        <v>0</v>
      </c>
      <c r="AV328" s="58">
        <f>ROUND(SUMIF('JUNE (물량흐름)'!$C$13:$C$502,'In-out-bal products (155)(완성제품)'!B328,'JUNE (물량흐름)'!$AC$13:$AC$502),0)</f>
        <v>0</v>
      </c>
      <c r="AW328" s="58">
        <f t="shared" ref="AW328:AW388" si="175">ROUND(AR328*AV328,0)</f>
        <v>0</v>
      </c>
      <c r="AX328" s="376">
        <f t="shared" ref="AX328:AX388" si="176">D328+P328-AN328-AQ328</f>
        <v>0</v>
      </c>
      <c r="AY328" s="377">
        <f t="shared" ref="AY328:AY388" si="177">F328+R328-AP328-AS328</f>
        <v>0</v>
      </c>
      <c r="AZ328" s="377">
        <f t="shared" ref="AZ328:AZ388" si="178">AQ328-AT328-AV328</f>
        <v>0</v>
      </c>
      <c r="BA328" s="377">
        <f t="shared" ref="BA328:BA388" si="179">AS328-AU328-AW328</f>
        <v>0</v>
      </c>
      <c r="BB328" s="377"/>
      <c r="BC328" s="377">
        <f t="shared" ref="BC328:BC388" si="180">F328+R328-AP328-AS328</f>
        <v>0</v>
      </c>
      <c r="BD328" s="377">
        <f t="shared" ref="BD328:BD388" si="181">D328+P328-AN328-AQ328</f>
        <v>0</v>
      </c>
      <c r="BE328" s="377"/>
      <c r="BF328" s="377">
        <f t="shared" ref="BF328:BF388" si="182">F328+R328-AP328-AS328</f>
        <v>0</v>
      </c>
      <c r="BG328" s="433">
        <f t="shared" ref="BG328:BG388" si="183">+X328+AA328+AD328+AG328+AJ328+AM328+U328</f>
        <v>0</v>
      </c>
      <c r="BH328" s="434">
        <f t="shared" ref="BH328:BH388" si="184">+BG328-AP328</f>
        <v>0</v>
      </c>
    </row>
    <row r="329" spans="1:60" s="378" customFormat="1">
      <c r="A329" s="167">
        <v>323</v>
      </c>
      <c r="B329" s="253" t="str">
        <f>VLOOKUP(A329,'JUNE (물량흐름)'!$A$13:$C$493,3,0)</f>
        <v>KTP124011</v>
      </c>
      <c r="C329" s="57" t="str">
        <f>VLOOKUP(A329,'JUNE (물량흐름)'!$A$13:$C$493,2,0)</f>
        <v>J JILL</v>
      </c>
      <c r="D329" s="58">
        <f>IFERROR(VLOOKUP(B329,O.B.JUNE!$V$7:$Y$448,2,0),0)</f>
        <v>0</v>
      </c>
      <c r="E329" s="58">
        <f>IFERROR(VLOOKUP(B329,O.B.JUNE!$V$7:$X$448,3,0),0)</f>
        <v>0</v>
      </c>
      <c r="F329" s="58">
        <f>IFERROR(VLOOKUP(B329,O.B.JUNE!$V$7:$Y$448,4,0),0)</f>
        <v>0</v>
      </c>
      <c r="G329" s="58">
        <f>SUMIF('JUNE (물량흐름)'!$C$13:$C$493,'In-out-bal products (155)(완성제품)'!B329,'JUNE (물량흐름)'!$V$13:$V$493)</f>
        <v>0</v>
      </c>
      <c r="H329" s="58">
        <f>SUMIF('JUNE (물량흐름)'!$C$13:$C$493,'In-out-bal products (155)(완성제품)'!B329,'JUNE (물량흐름)'!$T$13:$T$493)-SUMIF('JUNE (물량흐름)'!$C$13:$C$493,'In-out-bal products (155)(완성제품)'!B329,'JUNE (물량흐름)'!$Y$13:$Y$493)+SUMIF('JUNE (물량흐름)'!$C$13:$C$493,'In-out-bal products (155)(완성제품)'!B329,'JUNE (물량흐름)'!$U$13:$U$493)</f>
        <v>0</v>
      </c>
      <c r="I329" s="58">
        <f t="shared" si="156"/>
        <v>0</v>
      </c>
      <c r="J329" s="58">
        <f>SUMIF('Direct labour(직접노무비)'!$C$12:$C$503,'In-out-bal products (155)(완성제품)'!B329,'Direct labour(직접노무비)'!$Q$12:$Q$503)</f>
        <v>0</v>
      </c>
      <c r="K329" s="59">
        <f>SUMIF('Overhead exp(제조경비)'!$C$12:$C$503,'In-out-bal products (155)(완성제품)'!B329,'Overhead exp(제조경비)'!$Q$12:$Q$503)</f>
        <v>0</v>
      </c>
      <c r="L329" s="58">
        <f t="shared" si="157"/>
        <v>0</v>
      </c>
      <c r="M329" s="58">
        <f>SUMIF('JUNE (물량흐름)'!$C$13:$C$488,'In-out-bal products (155)(완성제품)'!B329,'JUNE (물량흐름)'!$Y$13:$Y$488)</f>
        <v>0</v>
      </c>
      <c r="N329" s="58">
        <f t="shared" si="158"/>
        <v>0</v>
      </c>
      <c r="O329" s="58">
        <f>SUMIF('Direct labour(직접노무비)'!$C$12:$C$503,'In-out-bal products (155)(완성제품)'!B329,'Direct labour(직접노무비)'!$U$12:$U$503)+SUMIF('Overhead exp(제조경비)'!$C$12:$C$503,'In-out-bal products (155)(완성제품)'!B329,'Overhead exp(제조경비)'!$U$12:$U$503)</f>
        <v>0</v>
      </c>
      <c r="P329" s="60">
        <f t="shared" si="159"/>
        <v>0</v>
      </c>
      <c r="Q329" s="60">
        <f t="shared" si="160"/>
        <v>0</v>
      </c>
      <c r="R329" s="60">
        <f t="shared" si="161"/>
        <v>0</v>
      </c>
      <c r="S329" s="58">
        <v>0</v>
      </c>
      <c r="T329" s="58">
        <v>0</v>
      </c>
      <c r="U329" s="58">
        <v>0</v>
      </c>
      <c r="V329" s="58">
        <f>SUMIF('JUNE (물량흐름)'!$C$13:$C$493,'In-out-bal products (155)(완성제품)'!B329,'JUNE (물량흐름)'!$W$13:$W$493)</f>
        <v>0</v>
      </c>
      <c r="W329" s="58">
        <f t="shared" si="162"/>
        <v>0</v>
      </c>
      <c r="X329" s="58">
        <f t="shared" si="163"/>
        <v>0</v>
      </c>
      <c r="Y329" s="58">
        <f>SUMIF('JUNE (물량흐름)'!$C$13:$C$488,'In-out-bal products (155)(완성제품)'!B329,'JUNE (물량흐름)'!$X$13:$X$488)</f>
        <v>0</v>
      </c>
      <c r="Z329" s="58">
        <f t="shared" si="164"/>
        <v>0</v>
      </c>
      <c r="AA329" s="58">
        <f t="shared" si="165"/>
        <v>0</v>
      </c>
      <c r="AB329" s="58"/>
      <c r="AC329" s="58"/>
      <c r="AD329" s="61"/>
      <c r="AE329" s="58">
        <f t="shared" si="166"/>
        <v>0</v>
      </c>
      <c r="AF329" s="58">
        <f t="shared" si="167"/>
        <v>0</v>
      </c>
      <c r="AG329" s="61">
        <f t="shared" si="168"/>
        <v>0</v>
      </c>
      <c r="AH329" s="58">
        <v>0</v>
      </c>
      <c r="AI329" s="58">
        <v>0</v>
      </c>
      <c r="AJ329" s="61">
        <v>0</v>
      </c>
      <c r="AK329" s="58"/>
      <c r="AL329" s="58"/>
      <c r="AM329" s="61"/>
      <c r="AN329" s="61">
        <f t="shared" si="139"/>
        <v>0</v>
      </c>
      <c r="AO329" s="58">
        <f t="shared" si="169"/>
        <v>0</v>
      </c>
      <c r="AP329" s="61">
        <f t="shared" si="170"/>
        <v>0</v>
      </c>
      <c r="AQ329" s="58">
        <f t="shared" si="171"/>
        <v>0</v>
      </c>
      <c r="AR329" s="58">
        <f t="shared" si="172"/>
        <v>0</v>
      </c>
      <c r="AS329" s="58">
        <f t="shared" si="173"/>
        <v>0</v>
      </c>
      <c r="AT329" s="58">
        <f>ROUND(SUMIF('JUNE (물량흐름)'!$C$13:$C$502,'In-out-bal products (155)(완성제품)'!B329,'JUNE (물량흐름)'!$AB$13:$AB$502),0)</f>
        <v>0</v>
      </c>
      <c r="AU329" s="58">
        <f t="shared" si="174"/>
        <v>0</v>
      </c>
      <c r="AV329" s="58">
        <f>ROUND(SUMIF('JUNE (물량흐름)'!$C$13:$C$502,'In-out-bal products (155)(완성제품)'!B329,'JUNE (물량흐름)'!$AC$13:$AC$502),0)</f>
        <v>0</v>
      </c>
      <c r="AW329" s="58">
        <f t="shared" si="175"/>
        <v>0</v>
      </c>
      <c r="AX329" s="376">
        <f t="shared" si="176"/>
        <v>0</v>
      </c>
      <c r="AY329" s="377">
        <f t="shared" si="177"/>
        <v>0</v>
      </c>
      <c r="AZ329" s="377">
        <f t="shared" si="178"/>
        <v>0</v>
      </c>
      <c r="BA329" s="377">
        <f t="shared" si="179"/>
        <v>0</v>
      </c>
      <c r="BB329" s="377"/>
      <c r="BC329" s="377">
        <f t="shared" si="180"/>
        <v>0</v>
      </c>
      <c r="BD329" s="377">
        <f t="shared" si="181"/>
        <v>0</v>
      </c>
      <c r="BE329" s="377"/>
      <c r="BF329" s="377">
        <f t="shared" si="182"/>
        <v>0</v>
      </c>
      <c r="BG329" s="433">
        <f t="shared" si="183"/>
        <v>0</v>
      </c>
      <c r="BH329" s="434">
        <f t="shared" si="184"/>
        <v>0</v>
      </c>
    </row>
    <row r="330" spans="1:60" s="378" customFormat="1">
      <c r="A330" s="167">
        <v>324</v>
      </c>
      <c r="B330" s="253" t="str">
        <f>VLOOKUP(A330,'JUNE (물량흐름)'!$A$13:$C$493,3,0)</f>
        <v>KTP124021</v>
      </c>
      <c r="C330" s="57" t="str">
        <f>VLOOKUP(A330,'JUNE (물량흐름)'!$A$13:$C$493,2,0)</f>
        <v>J JILL</v>
      </c>
      <c r="D330" s="58">
        <f>IFERROR(VLOOKUP(B330,O.B.JUNE!$V$7:$Y$448,2,0),0)</f>
        <v>0</v>
      </c>
      <c r="E330" s="58">
        <f>IFERROR(VLOOKUP(B330,O.B.JUNE!$V$7:$X$448,3,0),0)</f>
        <v>0</v>
      </c>
      <c r="F330" s="58">
        <f>IFERROR(VLOOKUP(B330,O.B.JUNE!$V$7:$Y$448,4,0),0)</f>
        <v>0</v>
      </c>
      <c r="G330" s="58">
        <f>SUMIF('JUNE (물량흐름)'!$C$13:$C$493,'In-out-bal products (155)(완성제품)'!B330,'JUNE (물량흐름)'!$V$13:$V$493)</f>
        <v>0</v>
      </c>
      <c r="H330" s="58">
        <f>SUMIF('JUNE (물량흐름)'!$C$13:$C$493,'In-out-bal products (155)(완성제품)'!B330,'JUNE (물량흐름)'!$T$13:$T$493)-SUMIF('JUNE (물량흐름)'!$C$13:$C$493,'In-out-bal products (155)(완성제품)'!B330,'JUNE (물량흐름)'!$Y$13:$Y$493)+SUMIF('JUNE (물량흐름)'!$C$13:$C$493,'In-out-bal products (155)(완성제품)'!B330,'JUNE (물량흐름)'!$U$13:$U$493)</f>
        <v>0</v>
      </c>
      <c r="I330" s="58">
        <f t="shared" si="156"/>
        <v>0</v>
      </c>
      <c r="J330" s="58">
        <f>SUMIF('Direct labour(직접노무비)'!$C$12:$C$503,'In-out-bal products (155)(완성제품)'!B330,'Direct labour(직접노무비)'!$Q$12:$Q$503)</f>
        <v>0</v>
      </c>
      <c r="K330" s="59">
        <f>SUMIF('Overhead exp(제조경비)'!$C$12:$C$503,'In-out-bal products (155)(완성제품)'!B330,'Overhead exp(제조경비)'!$Q$12:$Q$503)</f>
        <v>0</v>
      </c>
      <c r="L330" s="58">
        <f t="shared" si="157"/>
        <v>0</v>
      </c>
      <c r="M330" s="58">
        <f>SUMIF('JUNE (물량흐름)'!$C$13:$C$488,'In-out-bal products (155)(완성제품)'!B330,'JUNE (물량흐름)'!$Y$13:$Y$488)</f>
        <v>0</v>
      </c>
      <c r="N330" s="58">
        <f t="shared" si="158"/>
        <v>0</v>
      </c>
      <c r="O330" s="58">
        <f>SUMIF('Direct labour(직접노무비)'!$C$12:$C$503,'In-out-bal products (155)(완성제품)'!B330,'Direct labour(직접노무비)'!$U$12:$U$503)+SUMIF('Overhead exp(제조경비)'!$C$12:$C$503,'In-out-bal products (155)(완성제품)'!B330,'Overhead exp(제조경비)'!$U$12:$U$503)</f>
        <v>0</v>
      </c>
      <c r="P330" s="60">
        <f t="shared" si="159"/>
        <v>0</v>
      </c>
      <c r="Q330" s="60">
        <f t="shared" si="160"/>
        <v>0</v>
      </c>
      <c r="R330" s="60">
        <f t="shared" si="161"/>
        <v>0</v>
      </c>
      <c r="S330" s="58">
        <v>0</v>
      </c>
      <c r="T330" s="58">
        <v>0</v>
      </c>
      <c r="U330" s="58">
        <v>0</v>
      </c>
      <c r="V330" s="58">
        <f>SUMIF('JUNE (물량흐름)'!$C$13:$C$493,'In-out-bal products (155)(완성제품)'!B330,'JUNE (물량흐름)'!$W$13:$W$493)</f>
        <v>0</v>
      </c>
      <c r="W330" s="58">
        <f t="shared" si="162"/>
        <v>0</v>
      </c>
      <c r="X330" s="58">
        <f t="shared" si="163"/>
        <v>0</v>
      </c>
      <c r="Y330" s="58">
        <f>SUMIF('JUNE (물량흐름)'!$C$13:$C$488,'In-out-bal products (155)(완성제품)'!B330,'JUNE (물량흐름)'!$X$13:$X$488)</f>
        <v>0</v>
      </c>
      <c r="Z330" s="58">
        <f t="shared" si="164"/>
        <v>0</v>
      </c>
      <c r="AA330" s="58">
        <f t="shared" si="165"/>
        <v>0</v>
      </c>
      <c r="AB330" s="58"/>
      <c r="AC330" s="58"/>
      <c r="AD330" s="61"/>
      <c r="AE330" s="58">
        <f t="shared" si="166"/>
        <v>0</v>
      </c>
      <c r="AF330" s="58">
        <f t="shared" si="167"/>
        <v>0</v>
      </c>
      <c r="AG330" s="61">
        <f t="shared" si="168"/>
        <v>0</v>
      </c>
      <c r="AH330" s="58">
        <v>0</v>
      </c>
      <c r="AI330" s="58">
        <v>0</v>
      </c>
      <c r="AJ330" s="61">
        <v>0</v>
      </c>
      <c r="AK330" s="58"/>
      <c r="AL330" s="58"/>
      <c r="AM330" s="61"/>
      <c r="AN330" s="61">
        <f t="shared" si="139"/>
        <v>0</v>
      </c>
      <c r="AO330" s="58">
        <f t="shared" si="169"/>
        <v>0</v>
      </c>
      <c r="AP330" s="61">
        <f t="shared" si="170"/>
        <v>0</v>
      </c>
      <c r="AQ330" s="58">
        <f t="shared" si="171"/>
        <v>0</v>
      </c>
      <c r="AR330" s="58">
        <f t="shared" si="172"/>
        <v>0</v>
      </c>
      <c r="AS330" s="58">
        <f t="shared" si="173"/>
        <v>0</v>
      </c>
      <c r="AT330" s="58">
        <f>ROUND(SUMIF('JUNE (물량흐름)'!$C$13:$C$502,'In-out-bal products (155)(완성제품)'!B330,'JUNE (물량흐름)'!$AB$13:$AB$502),0)</f>
        <v>0</v>
      </c>
      <c r="AU330" s="58">
        <f t="shared" si="174"/>
        <v>0</v>
      </c>
      <c r="AV330" s="58">
        <f>ROUND(SUMIF('JUNE (물량흐름)'!$C$13:$C$502,'In-out-bal products (155)(완성제품)'!B330,'JUNE (물량흐름)'!$AC$13:$AC$502),0)</f>
        <v>0</v>
      </c>
      <c r="AW330" s="58">
        <f t="shared" si="175"/>
        <v>0</v>
      </c>
      <c r="AX330" s="376">
        <f t="shared" si="176"/>
        <v>0</v>
      </c>
      <c r="AY330" s="377">
        <f t="shared" si="177"/>
        <v>0</v>
      </c>
      <c r="AZ330" s="377">
        <f t="shared" si="178"/>
        <v>0</v>
      </c>
      <c r="BA330" s="377">
        <f t="shared" si="179"/>
        <v>0</v>
      </c>
      <c r="BB330" s="377"/>
      <c r="BC330" s="377">
        <f t="shared" si="180"/>
        <v>0</v>
      </c>
      <c r="BD330" s="377">
        <f t="shared" si="181"/>
        <v>0</v>
      </c>
      <c r="BE330" s="377"/>
      <c r="BF330" s="377">
        <f t="shared" si="182"/>
        <v>0</v>
      </c>
      <c r="BG330" s="433">
        <f t="shared" si="183"/>
        <v>0</v>
      </c>
      <c r="BH330" s="434">
        <f t="shared" si="184"/>
        <v>0</v>
      </c>
    </row>
    <row r="331" spans="1:60" s="378" customFormat="1">
      <c r="A331" s="167">
        <v>325</v>
      </c>
      <c r="B331" s="253">
        <f>VLOOKUP(A331,'JUNE (물량흐름)'!$A$13:$C$493,3,0)</f>
        <v>100023338</v>
      </c>
      <c r="C331" s="57" t="str">
        <f>VLOOKUP(A331,'JUNE (물량흐름)'!$A$13:$C$493,2,0)</f>
        <v>INC</v>
      </c>
      <c r="D331" s="58">
        <f>IFERROR(VLOOKUP(B331,O.B.JUNE!$V$7:$Y$448,2,0),0)</f>
        <v>0</v>
      </c>
      <c r="E331" s="58">
        <f>IFERROR(VLOOKUP(B331,O.B.JUNE!$V$7:$X$448,3,0),0)</f>
        <v>0</v>
      </c>
      <c r="F331" s="58">
        <f>IFERROR(VLOOKUP(B331,O.B.JUNE!$V$7:$Y$448,4,0),0)</f>
        <v>0</v>
      </c>
      <c r="G331" s="58">
        <f>SUMIF('JUNE (물량흐름)'!$C$13:$C$493,'In-out-bal products (155)(완성제품)'!B331,'JUNE (물량흐름)'!$V$13:$V$493)</f>
        <v>0</v>
      </c>
      <c r="H331" s="58">
        <f>SUMIF('JUNE (물량흐름)'!$C$13:$C$493,'In-out-bal products (155)(완성제품)'!B331,'JUNE (물량흐름)'!$T$13:$T$493)-SUMIF('JUNE (물량흐름)'!$C$13:$C$493,'In-out-bal products (155)(완성제품)'!B331,'JUNE (물량흐름)'!$Y$13:$Y$493)+SUMIF('JUNE (물량흐름)'!$C$13:$C$493,'In-out-bal products (155)(완성제품)'!B331,'JUNE (물량흐름)'!$U$13:$U$493)</f>
        <v>0</v>
      </c>
      <c r="I331" s="58">
        <f t="shared" si="156"/>
        <v>0</v>
      </c>
      <c r="J331" s="58">
        <f>SUMIF('Direct labour(직접노무비)'!$C$12:$C$503,'In-out-bal products (155)(완성제품)'!B331,'Direct labour(직접노무비)'!$Q$12:$Q$503)</f>
        <v>0</v>
      </c>
      <c r="K331" s="59">
        <f>SUMIF('Overhead exp(제조경비)'!$C$12:$C$503,'In-out-bal products (155)(완성제품)'!B331,'Overhead exp(제조경비)'!$Q$12:$Q$503)</f>
        <v>0</v>
      </c>
      <c r="L331" s="58">
        <f t="shared" si="157"/>
        <v>0</v>
      </c>
      <c r="M331" s="58">
        <f>SUMIF('JUNE (물량흐름)'!$C$13:$C$488,'In-out-bal products (155)(완성제품)'!B331,'JUNE (물량흐름)'!$Y$13:$Y$488)</f>
        <v>0</v>
      </c>
      <c r="N331" s="58">
        <f t="shared" si="158"/>
        <v>0</v>
      </c>
      <c r="O331" s="58">
        <f>SUMIF('Direct labour(직접노무비)'!$C$12:$C$503,'In-out-bal products (155)(완성제품)'!B331,'Direct labour(직접노무비)'!$U$12:$U$503)+SUMIF('Overhead exp(제조경비)'!$C$12:$C$503,'In-out-bal products (155)(완성제품)'!B331,'Overhead exp(제조경비)'!$U$12:$U$503)</f>
        <v>0</v>
      </c>
      <c r="P331" s="60">
        <f t="shared" si="159"/>
        <v>0</v>
      </c>
      <c r="Q331" s="60">
        <f t="shared" si="160"/>
        <v>0</v>
      </c>
      <c r="R331" s="60">
        <f t="shared" si="161"/>
        <v>0</v>
      </c>
      <c r="S331" s="58">
        <v>0</v>
      </c>
      <c r="T331" s="58">
        <v>0</v>
      </c>
      <c r="U331" s="58">
        <v>0</v>
      </c>
      <c r="V331" s="58">
        <f>SUMIF('JUNE (물량흐름)'!$C$13:$C$493,'In-out-bal products (155)(완성제품)'!B331,'JUNE (물량흐름)'!$W$13:$W$493)</f>
        <v>0</v>
      </c>
      <c r="W331" s="58">
        <f t="shared" si="162"/>
        <v>0</v>
      </c>
      <c r="X331" s="58">
        <f t="shared" si="163"/>
        <v>0</v>
      </c>
      <c r="Y331" s="58">
        <f>SUMIF('JUNE (물량흐름)'!$C$13:$C$488,'In-out-bal products (155)(완성제품)'!B331,'JUNE (물량흐름)'!$X$13:$X$488)</f>
        <v>0</v>
      </c>
      <c r="Z331" s="58">
        <f t="shared" si="164"/>
        <v>0</v>
      </c>
      <c r="AA331" s="58">
        <f t="shared" si="165"/>
        <v>0</v>
      </c>
      <c r="AB331" s="58"/>
      <c r="AC331" s="58"/>
      <c r="AD331" s="61"/>
      <c r="AE331" s="58">
        <f t="shared" si="166"/>
        <v>0</v>
      </c>
      <c r="AF331" s="58">
        <f t="shared" si="167"/>
        <v>0</v>
      </c>
      <c r="AG331" s="61">
        <f t="shared" si="168"/>
        <v>0</v>
      </c>
      <c r="AH331" s="58">
        <v>0</v>
      </c>
      <c r="AI331" s="58">
        <v>0</v>
      </c>
      <c r="AJ331" s="61">
        <v>0</v>
      </c>
      <c r="AK331" s="58"/>
      <c r="AL331" s="58"/>
      <c r="AM331" s="61"/>
      <c r="AN331" s="61">
        <f t="shared" si="139"/>
        <v>0</v>
      </c>
      <c r="AO331" s="58">
        <f t="shared" si="169"/>
        <v>0</v>
      </c>
      <c r="AP331" s="61">
        <f t="shared" si="170"/>
        <v>0</v>
      </c>
      <c r="AQ331" s="58">
        <f t="shared" si="171"/>
        <v>0</v>
      </c>
      <c r="AR331" s="58">
        <f t="shared" si="172"/>
        <v>0</v>
      </c>
      <c r="AS331" s="58">
        <f t="shared" si="173"/>
        <v>0</v>
      </c>
      <c r="AT331" s="58">
        <f>ROUND(SUMIF('JUNE (물량흐름)'!$C$13:$C$502,'In-out-bal products (155)(완성제품)'!B331,'JUNE (물량흐름)'!$AB$13:$AB$502),0)</f>
        <v>0</v>
      </c>
      <c r="AU331" s="58">
        <f t="shared" si="174"/>
        <v>0</v>
      </c>
      <c r="AV331" s="58">
        <f>ROUND(SUMIF('JUNE (물량흐름)'!$C$13:$C$502,'In-out-bal products (155)(완성제품)'!B331,'JUNE (물량흐름)'!$AC$13:$AC$502),0)</f>
        <v>0</v>
      </c>
      <c r="AW331" s="58">
        <f t="shared" si="175"/>
        <v>0</v>
      </c>
      <c r="AX331" s="376">
        <f t="shared" si="176"/>
        <v>0</v>
      </c>
      <c r="AY331" s="377">
        <f t="shared" si="177"/>
        <v>0</v>
      </c>
      <c r="AZ331" s="377">
        <f t="shared" si="178"/>
        <v>0</v>
      </c>
      <c r="BA331" s="377">
        <f t="shared" si="179"/>
        <v>0</v>
      </c>
      <c r="BB331" s="377"/>
      <c r="BC331" s="377">
        <f t="shared" si="180"/>
        <v>0</v>
      </c>
      <c r="BD331" s="377">
        <f t="shared" si="181"/>
        <v>0</v>
      </c>
      <c r="BE331" s="377"/>
      <c r="BF331" s="377">
        <f t="shared" si="182"/>
        <v>0</v>
      </c>
      <c r="BG331" s="433">
        <f t="shared" si="183"/>
        <v>0</v>
      </c>
      <c r="BH331" s="434">
        <f t="shared" si="184"/>
        <v>0</v>
      </c>
    </row>
    <row r="332" spans="1:60" s="378" customFormat="1">
      <c r="A332" s="167">
        <v>327</v>
      </c>
      <c r="B332" s="253">
        <f>VLOOKUP(A332,'JUNE (물량흐름)'!$A$13:$C$493,3,0)</f>
        <v>100025351</v>
      </c>
      <c r="C332" s="57" t="str">
        <f>VLOOKUP(A332,'JUNE (물량흐름)'!$A$13:$C$493,2,0)</f>
        <v>CHARTER CLUB</v>
      </c>
      <c r="D332" s="58">
        <f>IFERROR(VLOOKUP(B332,O.B.JUNE!$V$7:$Y$448,2,0),0)</f>
        <v>0</v>
      </c>
      <c r="E332" s="58">
        <f>IFERROR(VLOOKUP(B332,O.B.JUNE!$V$7:$X$448,3,0),0)</f>
        <v>0</v>
      </c>
      <c r="F332" s="58">
        <f>IFERROR(VLOOKUP(B332,O.B.JUNE!$V$7:$Y$448,4,0),0)</f>
        <v>0</v>
      </c>
      <c r="G332" s="58">
        <f>SUMIF('JUNE (물량흐름)'!$C$13:$C$493,'In-out-bal products (155)(완성제품)'!B332,'JUNE (물량흐름)'!$V$13:$V$493)</f>
        <v>0</v>
      </c>
      <c r="H332" s="58">
        <f>SUMIF('JUNE (물량흐름)'!$C$13:$C$493,'In-out-bal products (155)(완성제품)'!B332,'JUNE (물량흐름)'!$T$13:$T$493)-SUMIF('JUNE (물량흐름)'!$C$13:$C$493,'In-out-bal products (155)(완성제품)'!B332,'JUNE (물량흐름)'!$Y$13:$Y$493)+SUMIF('JUNE (물량흐름)'!$C$13:$C$493,'In-out-bal products (155)(완성제품)'!B332,'JUNE (물량흐름)'!$U$13:$U$493)</f>
        <v>0</v>
      </c>
      <c r="I332" s="58">
        <f t="shared" si="156"/>
        <v>0</v>
      </c>
      <c r="J332" s="58">
        <f>SUMIF('Direct labour(직접노무비)'!$C$12:$C$503,'In-out-bal products (155)(완성제품)'!B332,'Direct labour(직접노무비)'!$Q$12:$Q$503)</f>
        <v>0</v>
      </c>
      <c r="K332" s="59">
        <f>SUMIF('Overhead exp(제조경비)'!$C$12:$C$503,'In-out-bal products (155)(완성제품)'!B332,'Overhead exp(제조경비)'!$Q$12:$Q$503)</f>
        <v>0</v>
      </c>
      <c r="L332" s="58">
        <f t="shared" si="157"/>
        <v>0</v>
      </c>
      <c r="M332" s="58">
        <f>SUMIF('JUNE (물량흐름)'!$C$13:$C$488,'In-out-bal products (155)(완성제품)'!B332,'JUNE (물량흐름)'!$Y$13:$Y$488)</f>
        <v>0</v>
      </c>
      <c r="N332" s="58">
        <f t="shared" si="158"/>
        <v>0</v>
      </c>
      <c r="O332" s="58">
        <f>SUMIF('Direct labour(직접노무비)'!$C$12:$C$503,'In-out-bal products (155)(완성제품)'!B332,'Direct labour(직접노무비)'!$U$12:$U$503)+SUMIF('Overhead exp(제조경비)'!$C$12:$C$503,'In-out-bal products (155)(완성제품)'!B332,'Overhead exp(제조경비)'!$U$12:$U$503)</f>
        <v>0</v>
      </c>
      <c r="P332" s="60">
        <f t="shared" si="159"/>
        <v>0</v>
      </c>
      <c r="Q332" s="60">
        <f t="shared" si="160"/>
        <v>0</v>
      </c>
      <c r="R332" s="60">
        <f t="shared" si="161"/>
        <v>0</v>
      </c>
      <c r="S332" s="58">
        <v>0</v>
      </c>
      <c r="T332" s="58">
        <v>0</v>
      </c>
      <c r="U332" s="58">
        <v>0</v>
      </c>
      <c r="V332" s="58">
        <f>SUMIF('JUNE (물량흐름)'!$C$13:$C$493,'In-out-bal products (155)(완성제품)'!B332,'JUNE (물량흐름)'!$W$13:$W$493)</f>
        <v>0</v>
      </c>
      <c r="W332" s="58">
        <f t="shared" si="162"/>
        <v>0</v>
      </c>
      <c r="X332" s="58">
        <f t="shared" si="163"/>
        <v>0</v>
      </c>
      <c r="Y332" s="58">
        <f>SUMIF('JUNE (물량흐름)'!$C$13:$C$488,'In-out-bal products (155)(완성제품)'!B332,'JUNE (물량흐름)'!$X$13:$X$488)</f>
        <v>0</v>
      </c>
      <c r="Z332" s="58">
        <f t="shared" si="164"/>
        <v>0</v>
      </c>
      <c r="AA332" s="58">
        <f t="shared" si="165"/>
        <v>0</v>
      </c>
      <c r="AB332" s="58"/>
      <c r="AC332" s="58"/>
      <c r="AD332" s="61"/>
      <c r="AE332" s="58">
        <f t="shared" si="166"/>
        <v>0</v>
      </c>
      <c r="AF332" s="58">
        <f t="shared" si="167"/>
        <v>0</v>
      </c>
      <c r="AG332" s="61">
        <f t="shared" si="168"/>
        <v>0</v>
      </c>
      <c r="AH332" s="58">
        <v>0</v>
      </c>
      <c r="AI332" s="58">
        <v>0</v>
      </c>
      <c r="AJ332" s="61">
        <v>0</v>
      </c>
      <c r="AK332" s="58"/>
      <c r="AL332" s="58"/>
      <c r="AM332" s="61"/>
      <c r="AN332" s="61">
        <f t="shared" ref="AN332:AN395" si="185">ROUND(SUM(V332+Y332+AB332+AE332+AH332+AK332+S332),0)</f>
        <v>0</v>
      </c>
      <c r="AO332" s="58">
        <f t="shared" si="169"/>
        <v>0</v>
      </c>
      <c r="AP332" s="61">
        <f t="shared" si="170"/>
        <v>0</v>
      </c>
      <c r="AQ332" s="58">
        <f t="shared" si="171"/>
        <v>0</v>
      </c>
      <c r="AR332" s="58">
        <f t="shared" si="172"/>
        <v>0</v>
      </c>
      <c r="AS332" s="58">
        <f t="shared" si="173"/>
        <v>0</v>
      </c>
      <c r="AT332" s="58">
        <f>ROUND(SUMIF('JUNE (물량흐름)'!$C$13:$C$502,'In-out-bal products (155)(완성제품)'!B332,'JUNE (물량흐름)'!$AB$13:$AB$502),0)</f>
        <v>0</v>
      </c>
      <c r="AU332" s="58">
        <f t="shared" si="174"/>
        <v>0</v>
      </c>
      <c r="AV332" s="58">
        <f>ROUND(SUMIF('JUNE (물량흐름)'!$C$13:$C$502,'In-out-bal products (155)(완성제품)'!B332,'JUNE (물량흐름)'!$AC$13:$AC$502),0)</f>
        <v>0</v>
      </c>
      <c r="AW332" s="58">
        <f t="shared" si="175"/>
        <v>0</v>
      </c>
      <c r="AX332" s="376">
        <f t="shared" si="176"/>
        <v>0</v>
      </c>
      <c r="AY332" s="377">
        <f t="shared" si="177"/>
        <v>0</v>
      </c>
      <c r="AZ332" s="377">
        <f t="shared" si="178"/>
        <v>0</v>
      </c>
      <c r="BA332" s="377">
        <f t="shared" si="179"/>
        <v>0</v>
      </c>
      <c r="BB332" s="377"/>
      <c r="BC332" s="377">
        <f t="shared" si="180"/>
        <v>0</v>
      </c>
      <c r="BD332" s="377">
        <f t="shared" si="181"/>
        <v>0</v>
      </c>
      <c r="BE332" s="377"/>
      <c r="BF332" s="377">
        <f t="shared" si="182"/>
        <v>0</v>
      </c>
      <c r="BG332" s="433">
        <f t="shared" si="183"/>
        <v>0</v>
      </c>
      <c r="BH332" s="434">
        <f t="shared" si="184"/>
        <v>0</v>
      </c>
    </row>
    <row r="333" spans="1:60" s="378" customFormat="1">
      <c r="A333" s="167">
        <v>328</v>
      </c>
      <c r="B333" s="253">
        <f>VLOOKUP(A333,'JUNE (물량흐름)'!$A$13:$C$493,3,0)</f>
        <v>182034821</v>
      </c>
      <c r="C333" s="57" t="str">
        <f>VLOOKUP(A333,'JUNE (물량흐름)'!$A$13:$C$493,2,0)</f>
        <v>TALBOTS</v>
      </c>
      <c r="D333" s="58">
        <f>IFERROR(VLOOKUP(B333,O.B.JUNE!$V$7:$Y$448,2,0),0)</f>
        <v>173</v>
      </c>
      <c r="E333" s="58">
        <f>IFERROR(VLOOKUP(B333,O.B.JUNE!$V$7:$X$448,3,0),0)</f>
        <v>66185.87861271677</v>
      </c>
      <c r="F333" s="58">
        <f>IFERROR(VLOOKUP(B333,O.B.JUNE!$V$7:$Y$448,4,0),0)</f>
        <v>11450157</v>
      </c>
      <c r="G333" s="58">
        <f>SUMIF('JUNE (물량흐름)'!$C$13:$C$493,'In-out-bal products (155)(완성제품)'!B333,'JUNE (물량흐름)'!$V$13:$V$493)</f>
        <v>0</v>
      </c>
      <c r="H333" s="58">
        <f>SUMIF('JUNE (물량흐름)'!$C$13:$C$493,'In-out-bal products (155)(완성제품)'!B333,'JUNE (물량흐름)'!$T$13:$T$493)-SUMIF('JUNE (물량흐름)'!$C$13:$C$493,'In-out-bal products (155)(완성제품)'!B333,'JUNE (물량흐름)'!$Y$13:$Y$493)+SUMIF('JUNE (물량흐름)'!$C$13:$C$493,'In-out-bal products (155)(완성제품)'!B333,'JUNE (물량흐름)'!$U$13:$U$493)</f>
        <v>0</v>
      </c>
      <c r="I333" s="58">
        <f t="shared" si="156"/>
        <v>0</v>
      </c>
      <c r="J333" s="58">
        <f>SUMIF('Direct labour(직접노무비)'!$C$12:$C$503,'In-out-bal products (155)(완성제품)'!B333,'Direct labour(직접노무비)'!$Q$12:$Q$503)</f>
        <v>0</v>
      </c>
      <c r="K333" s="59">
        <f>SUMIF('Overhead exp(제조경비)'!$C$12:$C$503,'In-out-bal products (155)(완성제품)'!B333,'Overhead exp(제조경비)'!$Q$12:$Q$503)</f>
        <v>0</v>
      </c>
      <c r="L333" s="58">
        <f t="shared" si="157"/>
        <v>0</v>
      </c>
      <c r="M333" s="58">
        <f>SUMIF('JUNE (물량흐름)'!$C$13:$C$488,'In-out-bal products (155)(완성제품)'!B333,'JUNE (물량흐름)'!$Y$13:$Y$488)</f>
        <v>0</v>
      </c>
      <c r="N333" s="58">
        <f t="shared" si="158"/>
        <v>0</v>
      </c>
      <c r="O333" s="58">
        <f>SUMIF('Direct labour(직접노무비)'!$C$12:$C$503,'In-out-bal products (155)(완성제품)'!B333,'Direct labour(직접노무비)'!$U$12:$U$503)+SUMIF('Overhead exp(제조경비)'!$C$12:$C$503,'In-out-bal products (155)(완성제품)'!B333,'Overhead exp(제조경비)'!$U$12:$U$503)</f>
        <v>0</v>
      </c>
      <c r="P333" s="60">
        <f t="shared" si="159"/>
        <v>0</v>
      </c>
      <c r="Q333" s="60">
        <f t="shared" si="160"/>
        <v>0</v>
      </c>
      <c r="R333" s="60">
        <f t="shared" si="161"/>
        <v>0</v>
      </c>
      <c r="S333" s="58">
        <v>0</v>
      </c>
      <c r="T333" s="58">
        <v>0</v>
      </c>
      <c r="U333" s="58">
        <v>0</v>
      </c>
      <c r="V333" s="58">
        <f>SUMIF('JUNE (물량흐름)'!$C$13:$C$493,'In-out-bal products (155)(완성제품)'!B333,'JUNE (물량흐름)'!$W$13:$W$493)</f>
        <v>0</v>
      </c>
      <c r="W333" s="58">
        <f t="shared" si="162"/>
        <v>0</v>
      </c>
      <c r="X333" s="58">
        <f t="shared" si="163"/>
        <v>0</v>
      </c>
      <c r="Y333" s="58">
        <f>SUMIF('JUNE (물량흐름)'!$C$13:$C$488,'In-out-bal products (155)(완성제품)'!B333,'JUNE (물량흐름)'!$X$13:$X$488)</f>
        <v>0</v>
      </c>
      <c r="Z333" s="58">
        <f t="shared" si="164"/>
        <v>0</v>
      </c>
      <c r="AA333" s="58">
        <f t="shared" si="165"/>
        <v>0</v>
      </c>
      <c r="AB333" s="58"/>
      <c r="AC333" s="58"/>
      <c r="AD333" s="61"/>
      <c r="AE333" s="58">
        <f t="shared" si="166"/>
        <v>0</v>
      </c>
      <c r="AF333" s="58">
        <f t="shared" si="167"/>
        <v>0</v>
      </c>
      <c r="AG333" s="61">
        <f t="shared" si="168"/>
        <v>0</v>
      </c>
      <c r="AH333" s="58">
        <v>0</v>
      </c>
      <c r="AI333" s="58">
        <v>0</v>
      </c>
      <c r="AJ333" s="61">
        <v>0</v>
      </c>
      <c r="AK333" s="58"/>
      <c r="AL333" s="58"/>
      <c r="AM333" s="61"/>
      <c r="AN333" s="61">
        <f t="shared" si="185"/>
        <v>0</v>
      </c>
      <c r="AO333" s="58">
        <f t="shared" si="169"/>
        <v>0</v>
      </c>
      <c r="AP333" s="61">
        <f t="shared" si="170"/>
        <v>0</v>
      </c>
      <c r="AQ333" s="58">
        <f t="shared" si="171"/>
        <v>173</v>
      </c>
      <c r="AR333" s="58">
        <f t="shared" si="172"/>
        <v>66185.87861271677</v>
      </c>
      <c r="AS333" s="58">
        <f t="shared" si="173"/>
        <v>11450157</v>
      </c>
      <c r="AT333" s="58">
        <f>ROUND(SUMIF('JUNE (물량흐름)'!$C$13:$C$502,'In-out-bal products (155)(완성제품)'!B333,'JUNE (물량흐름)'!$AB$13:$AB$502),0)</f>
        <v>0</v>
      </c>
      <c r="AU333" s="58">
        <f t="shared" si="174"/>
        <v>0</v>
      </c>
      <c r="AV333" s="58">
        <f>ROUND(SUMIF('JUNE (물량흐름)'!$C$13:$C$502,'In-out-bal products (155)(완성제품)'!B333,'JUNE (물량흐름)'!$AC$13:$AC$502),0)</f>
        <v>173</v>
      </c>
      <c r="AW333" s="58">
        <f t="shared" si="175"/>
        <v>11450157</v>
      </c>
      <c r="AX333" s="376">
        <f t="shared" si="176"/>
        <v>0</v>
      </c>
      <c r="AY333" s="377">
        <f t="shared" si="177"/>
        <v>0</v>
      </c>
      <c r="AZ333" s="377">
        <f t="shared" si="178"/>
        <v>0</v>
      </c>
      <c r="BA333" s="377">
        <f t="shared" si="179"/>
        <v>0</v>
      </c>
      <c r="BB333" s="377"/>
      <c r="BC333" s="377">
        <f t="shared" si="180"/>
        <v>0</v>
      </c>
      <c r="BD333" s="377">
        <f t="shared" si="181"/>
        <v>0</v>
      </c>
      <c r="BE333" s="377"/>
      <c r="BF333" s="377">
        <f t="shared" si="182"/>
        <v>0</v>
      </c>
      <c r="BG333" s="433">
        <f t="shared" si="183"/>
        <v>0</v>
      </c>
      <c r="BH333" s="434">
        <f t="shared" si="184"/>
        <v>0</v>
      </c>
    </row>
    <row r="334" spans="1:60" s="378" customFormat="1">
      <c r="A334" s="167">
        <v>329</v>
      </c>
      <c r="B334" s="253">
        <f>VLOOKUP(A334,'JUNE (물량흐름)'!$A$13:$C$493,3,0)</f>
        <v>182034836</v>
      </c>
      <c r="C334" s="57" t="str">
        <f>VLOOKUP(A334,'JUNE (물량흐름)'!$A$13:$C$493,2,0)</f>
        <v>TALBOTS</v>
      </c>
      <c r="D334" s="58">
        <f>IFERROR(VLOOKUP(B334,O.B.JUNE!$V$7:$Y$448,2,0),0)</f>
        <v>0</v>
      </c>
      <c r="E334" s="58">
        <f>IFERROR(VLOOKUP(B334,O.B.JUNE!$V$7:$X$448,3,0),0)</f>
        <v>0</v>
      </c>
      <c r="F334" s="58">
        <f>IFERROR(VLOOKUP(B334,O.B.JUNE!$V$7:$Y$448,4,0),0)</f>
        <v>0</v>
      </c>
      <c r="G334" s="58">
        <f>SUMIF('JUNE (물량흐름)'!$C$13:$C$493,'In-out-bal products (155)(완성제품)'!B334,'JUNE (물량흐름)'!$V$13:$V$493)</f>
        <v>0</v>
      </c>
      <c r="H334" s="58">
        <f>SUMIF('JUNE (물량흐름)'!$C$13:$C$493,'In-out-bal products (155)(완성제품)'!B334,'JUNE (물량흐름)'!$T$13:$T$493)-SUMIF('JUNE (물량흐름)'!$C$13:$C$493,'In-out-bal products (155)(완성제품)'!B334,'JUNE (물량흐름)'!$Y$13:$Y$493)+SUMIF('JUNE (물량흐름)'!$C$13:$C$493,'In-out-bal products (155)(완성제품)'!B334,'JUNE (물량흐름)'!$U$13:$U$493)</f>
        <v>0</v>
      </c>
      <c r="I334" s="58">
        <f t="shared" si="156"/>
        <v>0</v>
      </c>
      <c r="J334" s="58">
        <f>SUMIF('Direct labour(직접노무비)'!$C$12:$C$503,'In-out-bal products (155)(완성제품)'!B334,'Direct labour(직접노무비)'!$Q$12:$Q$503)</f>
        <v>0</v>
      </c>
      <c r="K334" s="59">
        <f>SUMIF('Overhead exp(제조경비)'!$C$12:$C$503,'In-out-bal products (155)(완성제품)'!B334,'Overhead exp(제조경비)'!$Q$12:$Q$503)</f>
        <v>0</v>
      </c>
      <c r="L334" s="58">
        <f t="shared" si="157"/>
        <v>0</v>
      </c>
      <c r="M334" s="58">
        <f>SUMIF('JUNE (물량흐름)'!$C$13:$C$488,'In-out-bal products (155)(완성제품)'!B334,'JUNE (물량흐름)'!$Y$13:$Y$488)</f>
        <v>0</v>
      </c>
      <c r="N334" s="58">
        <f t="shared" si="158"/>
        <v>0</v>
      </c>
      <c r="O334" s="58">
        <f>SUMIF('Direct labour(직접노무비)'!$C$12:$C$503,'In-out-bal products (155)(완성제품)'!B334,'Direct labour(직접노무비)'!$U$12:$U$503)+SUMIF('Overhead exp(제조경비)'!$C$12:$C$503,'In-out-bal products (155)(완성제품)'!B334,'Overhead exp(제조경비)'!$U$12:$U$503)</f>
        <v>0</v>
      </c>
      <c r="P334" s="60">
        <f t="shared" si="159"/>
        <v>0</v>
      </c>
      <c r="Q334" s="60">
        <f t="shared" si="160"/>
        <v>0</v>
      </c>
      <c r="R334" s="60">
        <f t="shared" si="161"/>
        <v>0</v>
      </c>
      <c r="S334" s="58">
        <v>0</v>
      </c>
      <c r="T334" s="58">
        <v>0</v>
      </c>
      <c r="U334" s="58">
        <v>0</v>
      </c>
      <c r="V334" s="58">
        <f>SUMIF('JUNE (물량흐름)'!$C$13:$C$493,'In-out-bal products (155)(완성제품)'!B334,'JUNE (물량흐름)'!$W$13:$W$493)</f>
        <v>0</v>
      </c>
      <c r="W334" s="58">
        <f t="shared" si="162"/>
        <v>0</v>
      </c>
      <c r="X334" s="58">
        <f t="shared" si="163"/>
        <v>0</v>
      </c>
      <c r="Y334" s="58">
        <f>SUMIF('JUNE (물량흐름)'!$C$13:$C$488,'In-out-bal products (155)(완성제품)'!B334,'JUNE (물량흐름)'!$X$13:$X$488)</f>
        <v>0</v>
      </c>
      <c r="Z334" s="58">
        <f t="shared" si="164"/>
        <v>0</v>
      </c>
      <c r="AA334" s="58">
        <f t="shared" si="165"/>
        <v>0</v>
      </c>
      <c r="AB334" s="58"/>
      <c r="AC334" s="58"/>
      <c r="AD334" s="61"/>
      <c r="AE334" s="58">
        <f t="shared" si="166"/>
        <v>0</v>
      </c>
      <c r="AF334" s="58">
        <f t="shared" si="167"/>
        <v>0</v>
      </c>
      <c r="AG334" s="61">
        <f t="shared" si="168"/>
        <v>0</v>
      </c>
      <c r="AH334" s="58">
        <v>0</v>
      </c>
      <c r="AI334" s="58">
        <v>0</v>
      </c>
      <c r="AJ334" s="61">
        <v>0</v>
      </c>
      <c r="AK334" s="58"/>
      <c r="AL334" s="58"/>
      <c r="AM334" s="61"/>
      <c r="AN334" s="61">
        <f t="shared" si="185"/>
        <v>0</v>
      </c>
      <c r="AO334" s="58">
        <f t="shared" si="169"/>
        <v>0</v>
      </c>
      <c r="AP334" s="61">
        <f t="shared" si="170"/>
        <v>0</v>
      </c>
      <c r="AQ334" s="58">
        <f t="shared" si="171"/>
        <v>0</v>
      </c>
      <c r="AR334" s="58">
        <f t="shared" si="172"/>
        <v>0</v>
      </c>
      <c r="AS334" s="58">
        <f t="shared" si="173"/>
        <v>0</v>
      </c>
      <c r="AT334" s="58">
        <f>ROUND(SUMIF('JUNE (물량흐름)'!$C$13:$C$502,'In-out-bal products (155)(완성제품)'!B334,'JUNE (물량흐름)'!$AB$13:$AB$502),0)</f>
        <v>0</v>
      </c>
      <c r="AU334" s="58">
        <f t="shared" si="174"/>
        <v>0</v>
      </c>
      <c r="AV334" s="58">
        <f>ROUND(SUMIF('JUNE (물량흐름)'!$C$13:$C$502,'In-out-bal products (155)(완성제품)'!B334,'JUNE (물량흐름)'!$AC$13:$AC$502),0)</f>
        <v>0</v>
      </c>
      <c r="AW334" s="58">
        <f t="shared" si="175"/>
        <v>0</v>
      </c>
      <c r="AX334" s="376">
        <f t="shared" si="176"/>
        <v>0</v>
      </c>
      <c r="AY334" s="377">
        <f t="shared" si="177"/>
        <v>0</v>
      </c>
      <c r="AZ334" s="377">
        <f t="shared" si="178"/>
        <v>0</v>
      </c>
      <c r="BA334" s="377">
        <f t="shared" si="179"/>
        <v>0</v>
      </c>
      <c r="BB334" s="377"/>
      <c r="BC334" s="377">
        <f t="shared" si="180"/>
        <v>0</v>
      </c>
      <c r="BD334" s="377">
        <f t="shared" si="181"/>
        <v>0</v>
      </c>
      <c r="BE334" s="377"/>
      <c r="BF334" s="377">
        <f t="shared" si="182"/>
        <v>0</v>
      </c>
      <c r="BG334" s="433">
        <f t="shared" si="183"/>
        <v>0</v>
      </c>
      <c r="BH334" s="434">
        <f t="shared" si="184"/>
        <v>0</v>
      </c>
    </row>
    <row r="335" spans="1:60" s="378" customFormat="1">
      <c r="A335" s="167">
        <v>330</v>
      </c>
      <c r="B335" s="253">
        <f>VLOOKUP(A335,'JUNE (물량흐름)'!$A$13:$C$493,3,0)</f>
        <v>182034837</v>
      </c>
      <c r="C335" s="57" t="str">
        <f>VLOOKUP(A335,'JUNE (물량흐름)'!$A$13:$C$493,2,0)</f>
        <v>TALBOTS</v>
      </c>
      <c r="D335" s="58">
        <f>IFERROR(VLOOKUP(B335,O.B.JUNE!$V$7:$Y$448,2,0),0)</f>
        <v>0</v>
      </c>
      <c r="E335" s="58">
        <f>IFERROR(VLOOKUP(B335,O.B.JUNE!$V$7:$X$448,3,0),0)</f>
        <v>0</v>
      </c>
      <c r="F335" s="58">
        <f>IFERROR(VLOOKUP(B335,O.B.JUNE!$V$7:$Y$448,4,0),0)</f>
        <v>0</v>
      </c>
      <c r="G335" s="58">
        <f>SUMIF('JUNE (물량흐름)'!$C$13:$C$493,'In-out-bal products (155)(완성제품)'!B335,'JUNE (물량흐름)'!$V$13:$V$493)</f>
        <v>0</v>
      </c>
      <c r="H335" s="58">
        <f>SUMIF('JUNE (물량흐름)'!$C$13:$C$493,'In-out-bal products (155)(완성제품)'!B335,'JUNE (물량흐름)'!$T$13:$T$493)-SUMIF('JUNE (물량흐름)'!$C$13:$C$493,'In-out-bal products (155)(완성제품)'!B335,'JUNE (물량흐름)'!$Y$13:$Y$493)+SUMIF('JUNE (물량흐름)'!$C$13:$C$493,'In-out-bal products (155)(완성제품)'!B335,'JUNE (물량흐름)'!$U$13:$U$493)</f>
        <v>0</v>
      </c>
      <c r="I335" s="58">
        <f t="shared" si="156"/>
        <v>0</v>
      </c>
      <c r="J335" s="58">
        <f>SUMIF('Direct labour(직접노무비)'!$C$12:$C$503,'In-out-bal products (155)(완성제품)'!B335,'Direct labour(직접노무비)'!$Q$12:$Q$503)</f>
        <v>0</v>
      </c>
      <c r="K335" s="59">
        <f>SUMIF('Overhead exp(제조경비)'!$C$12:$C$503,'In-out-bal products (155)(완성제품)'!B335,'Overhead exp(제조경비)'!$Q$12:$Q$503)</f>
        <v>0</v>
      </c>
      <c r="L335" s="58">
        <f t="shared" si="157"/>
        <v>0</v>
      </c>
      <c r="M335" s="58">
        <f>SUMIF('JUNE (물량흐름)'!$C$13:$C$488,'In-out-bal products (155)(완성제품)'!B335,'JUNE (물량흐름)'!$Y$13:$Y$488)</f>
        <v>0</v>
      </c>
      <c r="N335" s="58">
        <f t="shared" si="158"/>
        <v>0</v>
      </c>
      <c r="O335" s="58">
        <f>SUMIF('Direct labour(직접노무비)'!$C$12:$C$503,'In-out-bal products (155)(완성제품)'!B335,'Direct labour(직접노무비)'!$U$12:$U$503)+SUMIF('Overhead exp(제조경비)'!$C$12:$C$503,'In-out-bal products (155)(완성제품)'!B335,'Overhead exp(제조경비)'!$U$12:$U$503)</f>
        <v>0</v>
      </c>
      <c r="P335" s="60">
        <f t="shared" si="159"/>
        <v>0</v>
      </c>
      <c r="Q335" s="60">
        <f t="shared" si="160"/>
        <v>0</v>
      </c>
      <c r="R335" s="60">
        <f t="shared" si="161"/>
        <v>0</v>
      </c>
      <c r="S335" s="58">
        <v>0</v>
      </c>
      <c r="T335" s="58">
        <v>0</v>
      </c>
      <c r="U335" s="58">
        <v>0</v>
      </c>
      <c r="V335" s="58">
        <f>SUMIF('JUNE (물량흐름)'!$C$13:$C$493,'In-out-bal products (155)(완성제품)'!B335,'JUNE (물량흐름)'!$W$13:$W$493)</f>
        <v>0</v>
      </c>
      <c r="W335" s="58">
        <f t="shared" si="162"/>
        <v>0</v>
      </c>
      <c r="X335" s="58">
        <f t="shared" si="163"/>
        <v>0</v>
      </c>
      <c r="Y335" s="58">
        <f>SUMIF('JUNE (물량흐름)'!$C$13:$C$488,'In-out-bal products (155)(완성제품)'!B335,'JUNE (물량흐름)'!$X$13:$X$488)</f>
        <v>0</v>
      </c>
      <c r="Z335" s="58">
        <f t="shared" si="164"/>
        <v>0</v>
      </c>
      <c r="AA335" s="58">
        <f t="shared" si="165"/>
        <v>0</v>
      </c>
      <c r="AB335" s="58"/>
      <c r="AC335" s="58"/>
      <c r="AD335" s="61"/>
      <c r="AE335" s="58">
        <f t="shared" si="166"/>
        <v>0</v>
      </c>
      <c r="AF335" s="58">
        <f t="shared" si="167"/>
        <v>0</v>
      </c>
      <c r="AG335" s="61">
        <f t="shared" si="168"/>
        <v>0</v>
      </c>
      <c r="AH335" s="58">
        <v>0</v>
      </c>
      <c r="AI335" s="58">
        <v>0</v>
      </c>
      <c r="AJ335" s="61">
        <v>0</v>
      </c>
      <c r="AK335" s="58"/>
      <c r="AL335" s="58"/>
      <c r="AM335" s="61"/>
      <c r="AN335" s="61">
        <f t="shared" si="185"/>
        <v>0</v>
      </c>
      <c r="AO335" s="58">
        <f t="shared" si="169"/>
        <v>0</v>
      </c>
      <c r="AP335" s="61">
        <f t="shared" si="170"/>
        <v>0</v>
      </c>
      <c r="AQ335" s="58">
        <f t="shared" si="171"/>
        <v>0</v>
      </c>
      <c r="AR335" s="58">
        <f t="shared" si="172"/>
        <v>0</v>
      </c>
      <c r="AS335" s="58">
        <f t="shared" si="173"/>
        <v>0</v>
      </c>
      <c r="AT335" s="58">
        <f>ROUND(SUMIF('JUNE (물량흐름)'!$C$13:$C$502,'In-out-bal products (155)(완성제품)'!B335,'JUNE (물량흐름)'!$AB$13:$AB$502),0)</f>
        <v>0</v>
      </c>
      <c r="AU335" s="58">
        <f t="shared" si="174"/>
        <v>0</v>
      </c>
      <c r="AV335" s="58">
        <f>ROUND(SUMIF('JUNE (물량흐름)'!$C$13:$C$502,'In-out-bal products (155)(완성제품)'!B335,'JUNE (물량흐름)'!$AC$13:$AC$502),0)</f>
        <v>0</v>
      </c>
      <c r="AW335" s="58">
        <f t="shared" si="175"/>
        <v>0</v>
      </c>
      <c r="AX335" s="376">
        <f t="shared" si="176"/>
        <v>0</v>
      </c>
      <c r="AY335" s="377">
        <f t="shared" si="177"/>
        <v>0</v>
      </c>
      <c r="AZ335" s="377">
        <f t="shared" si="178"/>
        <v>0</v>
      </c>
      <c r="BA335" s="377">
        <f t="shared" si="179"/>
        <v>0</v>
      </c>
      <c r="BB335" s="377"/>
      <c r="BC335" s="377">
        <f t="shared" si="180"/>
        <v>0</v>
      </c>
      <c r="BD335" s="377">
        <f t="shared" si="181"/>
        <v>0</v>
      </c>
      <c r="BE335" s="377"/>
      <c r="BF335" s="377">
        <f t="shared" si="182"/>
        <v>0</v>
      </c>
      <c r="BG335" s="433">
        <f t="shared" si="183"/>
        <v>0</v>
      </c>
      <c r="BH335" s="434">
        <f t="shared" si="184"/>
        <v>0</v>
      </c>
    </row>
    <row r="336" spans="1:60" s="378" customFormat="1">
      <c r="A336" s="167">
        <v>331</v>
      </c>
      <c r="B336" s="253" t="str">
        <f>VLOOKUP(A336,'JUNE (물량흐름)'!$A$13:$C$493,3,0)</f>
        <v>KPT122931</v>
      </c>
      <c r="C336" s="57" t="str">
        <f>VLOOKUP(A336,'JUNE (물량흐름)'!$A$13:$C$493,2,0)</f>
        <v>J JILL</v>
      </c>
      <c r="D336" s="58">
        <f>IFERROR(VLOOKUP(B336,O.B.JUNE!$V$7:$Y$448,2,0),0)</f>
        <v>2490</v>
      </c>
      <c r="E336" s="58">
        <f>IFERROR(VLOOKUP(B336,O.B.JUNE!$V$7:$X$448,3,0),0)</f>
        <v>36609.563052208832</v>
      </c>
      <c r="F336" s="58">
        <f>IFERROR(VLOOKUP(B336,O.B.JUNE!$V$7:$Y$448,4,0),0)</f>
        <v>91157812</v>
      </c>
      <c r="G336" s="58">
        <f>SUMIF('JUNE (물량흐름)'!$C$13:$C$493,'In-out-bal products (155)(완성제품)'!B336,'JUNE (물량흐름)'!$V$13:$V$493)</f>
        <v>0</v>
      </c>
      <c r="H336" s="58">
        <f>SUMIF('JUNE (물량흐름)'!$C$13:$C$493,'In-out-bal products (155)(완성제품)'!B336,'JUNE (물량흐름)'!$T$13:$T$493)-SUMIF('JUNE (물량흐름)'!$C$13:$C$493,'In-out-bal products (155)(완성제품)'!B336,'JUNE (물량흐름)'!$Y$13:$Y$493)+SUMIF('JUNE (물량흐름)'!$C$13:$C$493,'In-out-bal products (155)(완성제품)'!B336,'JUNE (물량흐름)'!$U$13:$U$493)</f>
        <v>78</v>
      </c>
      <c r="I336" s="58">
        <f t="shared" si="156"/>
        <v>34246.48717948718</v>
      </c>
      <c r="J336" s="58">
        <f>SUMIF('Direct labour(직접노무비)'!$C$12:$C$503,'In-out-bal products (155)(완성제품)'!B336,'Direct labour(직접노무비)'!$Q$12:$Q$503)</f>
        <v>926765</v>
      </c>
      <c r="K336" s="59">
        <f>SUMIF('Overhead exp(제조경비)'!$C$12:$C$503,'In-out-bal products (155)(완성제품)'!B336,'Overhead exp(제조경비)'!$Q$12:$Q$503)</f>
        <v>1744461</v>
      </c>
      <c r="L336" s="58">
        <f t="shared" si="157"/>
        <v>2671226</v>
      </c>
      <c r="M336" s="58">
        <f>SUMIF('JUNE (물량흐름)'!$C$13:$C$488,'In-out-bal products (155)(완성제품)'!B336,'JUNE (물량흐름)'!$Y$13:$Y$488)</f>
        <v>9</v>
      </c>
      <c r="N336" s="58">
        <f t="shared" si="158"/>
        <v>34246.444444444445</v>
      </c>
      <c r="O336" s="58">
        <f>SUMIF('Direct labour(직접노무비)'!$C$12:$C$503,'In-out-bal products (155)(완성제품)'!B336,'Direct labour(직접노무비)'!$U$12:$U$503)+SUMIF('Overhead exp(제조경비)'!$C$12:$C$503,'In-out-bal products (155)(완성제품)'!B336,'Overhead exp(제조경비)'!$U$12:$U$503)</f>
        <v>308218</v>
      </c>
      <c r="P336" s="60">
        <f>ROUND(H336+G336+M336,0)</f>
        <v>87</v>
      </c>
      <c r="Q336" s="60">
        <f t="shared" si="160"/>
        <v>34246.482758620688</v>
      </c>
      <c r="R336" s="60">
        <f>ROUND(L336+O336,0)</f>
        <v>2979444</v>
      </c>
      <c r="S336" s="58">
        <v>0</v>
      </c>
      <c r="T336" s="58">
        <v>0</v>
      </c>
      <c r="U336" s="58">
        <v>0</v>
      </c>
      <c r="V336" s="58">
        <f>SUMIF('JUNE (물량흐름)'!$C$13:$C$493,'In-out-bal products (155)(완성제품)'!B336,'JUNE (물량흐름)'!$W$13:$W$493)</f>
        <v>2568</v>
      </c>
      <c r="W336" s="58">
        <f t="shared" si="162"/>
        <v>36537.787383177572</v>
      </c>
      <c r="X336" s="58">
        <f t="shared" si="163"/>
        <v>93829038</v>
      </c>
      <c r="Y336" s="58">
        <f>SUMIF('JUNE (물량흐름)'!$C$13:$C$488,'In-out-bal products (155)(완성제품)'!B336,'JUNE (물량흐름)'!$X$13:$X$488)</f>
        <v>0</v>
      </c>
      <c r="Z336" s="58">
        <f t="shared" si="164"/>
        <v>0</v>
      </c>
      <c r="AA336" s="58">
        <f t="shared" si="165"/>
        <v>0</v>
      </c>
      <c r="AB336" s="58"/>
      <c r="AC336" s="58"/>
      <c r="AD336" s="61"/>
      <c r="AE336" s="58">
        <f t="shared" si="166"/>
        <v>9</v>
      </c>
      <c r="AF336" s="58">
        <f t="shared" si="167"/>
        <v>34246.444444444445</v>
      </c>
      <c r="AG336" s="61">
        <f>O336</f>
        <v>308218</v>
      </c>
      <c r="AH336" s="58">
        <v>0</v>
      </c>
      <c r="AI336" s="58">
        <v>0</v>
      </c>
      <c r="AJ336" s="61">
        <v>0</v>
      </c>
      <c r="AK336" s="58"/>
      <c r="AL336" s="58"/>
      <c r="AM336" s="61"/>
      <c r="AN336" s="61">
        <f t="shared" si="185"/>
        <v>2577</v>
      </c>
      <c r="AO336" s="58">
        <f t="shared" si="169"/>
        <v>36529.78502134265</v>
      </c>
      <c r="AP336" s="61">
        <f t="shared" si="170"/>
        <v>94137256</v>
      </c>
      <c r="AQ336" s="58">
        <f t="shared" si="171"/>
        <v>0</v>
      </c>
      <c r="AR336" s="58">
        <f t="shared" si="172"/>
        <v>0</v>
      </c>
      <c r="AS336" s="58">
        <f>ROUND(F336+R336-AP336,0)</f>
        <v>0</v>
      </c>
      <c r="AT336" s="58">
        <f>ROUND(SUMIF('JUNE (물량흐름)'!$C$13:$C$502,'In-out-bal products (155)(완성제품)'!B336,'JUNE (물량흐름)'!$AB$13:$AB$502),0)</f>
        <v>0</v>
      </c>
      <c r="AU336" s="58">
        <f t="shared" si="174"/>
        <v>0</v>
      </c>
      <c r="AV336" s="58">
        <f>ROUND(SUMIF('JUNE (물량흐름)'!$C$13:$C$502,'In-out-bal products (155)(완성제품)'!B336,'JUNE (물량흐름)'!$AC$13:$AC$502),0)</f>
        <v>0</v>
      </c>
      <c r="AW336" s="58">
        <f t="shared" si="175"/>
        <v>0</v>
      </c>
      <c r="AX336" s="376">
        <f t="shared" si="176"/>
        <v>0</v>
      </c>
      <c r="AY336" s="377">
        <f t="shared" si="177"/>
        <v>0</v>
      </c>
      <c r="AZ336" s="377">
        <f t="shared" si="178"/>
        <v>0</v>
      </c>
      <c r="BA336" s="377">
        <f t="shared" si="179"/>
        <v>0</v>
      </c>
      <c r="BB336" s="377"/>
      <c r="BC336" s="377">
        <f t="shared" si="180"/>
        <v>0</v>
      </c>
      <c r="BD336" s="377">
        <f t="shared" si="181"/>
        <v>0</v>
      </c>
      <c r="BE336" s="377"/>
      <c r="BF336" s="377">
        <f t="shared" si="182"/>
        <v>0</v>
      </c>
      <c r="BG336" s="433">
        <f t="shared" si="183"/>
        <v>94137256</v>
      </c>
      <c r="BH336" s="434">
        <f t="shared" si="184"/>
        <v>0</v>
      </c>
    </row>
    <row r="337" spans="1:60" s="378" customFormat="1">
      <c r="A337" s="167">
        <v>332</v>
      </c>
      <c r="B337" s="253">
        <f>VLOOKUP(A337,'JUNE (물량흐름)'!$A$13:$C$493,3,0)</f>
        <v>465318</v>
      </c>
      <c r="C337" s="57" t="str">
        <f>VLOOKUP(A337,'JUNE (물량흐름)'!$A$13:$C$493,2,0)</f>
        <v>ANN TAYLOR</v>
      </c>
      <c r="D337" s="58">
        <f>IFERROR(VLOOKUP(B337,O.B.JUNE!$V$7:$Y$448,2,0),0)</f>
        <v>115</v>
      </c>
      <c r="E337" s="58">
        <f>IFERROR(VLOOKUP(B337,O.B.JUNE!$V$7:$X$448,3,0),0)</f>
        <v>22866.91304347826</v>
      </c>
      <c r="F337" s="58">
        <f>IFERROR(VLOOKUP(B337,O.B.JUNE!$V$7:$Y$448,4,0),0)</f>
        <v>2629695</v>
      </c>
      <c r="G337" s="58">
        <f>SUMIF('JUNE (물량흐름)'!$C$13:$C$493,'In-out-bal products (155)(완성제품)'!B337,'JUNE (물량흐름)'!$V$13:$V$493)</f>
        <v>0</v>
      </c>
      <c r="H337" s="58">
        <f>SUMIF('JUNE (물량흐름)'!$C$13:$C$493,'In-out-bal products (155)(완성제품)'!B337,'JUNE (물량흐름)'!$T$13:$T$493)-SUMIF('JUNE (물량흐름)'!$C$13:$C$493,'In-out-bal products (155)(완성제품)'!B337,'JUNE (물량흐름)'!$Y$13:$Y$493)+SUMIF('JUNE (물량흐름)'!$C$13:$C$493,'In-out-bal products (155)(완성제품)'!B337,'JUNE (물량흐름)'!$U$13:$U$493)</f>
        <v>0</v>
      </c>
      <c r="I337" s="58">
        <f t="shared" si="156"/>
        <v>0</v>
      </c>
      <c r="J337" s="58">
        <f>SUMIF('Direct labour(직접노무비)'!$C$12:$C$503,'In-out-bal products (155)(완성제품)'!B337,'Direct labour(직접노무비)'!$Q$12:$Q$503)</f>
        <v>0</v>
      </c>
      <c r="K337" s="59">
        <f>SUMIF('Overhead exp(제조경비)'!$C$12:$C$503,'In-out-bal products (155)(완성제품)'!B337,'Overhead exp(제조경비)'!$Q$12:$Q$503)</f>
        <v>0</v>
      </c>
      <c r="L337" s="58">
        <f t="shared" si="157"/>
        <v>0</v>
      </c>
      <c r="M337" s="58">
        <f>SUMIF('JUNE (물량흐름)'!$C$13:$C$488,'In-out-bal products (155)(완성제품)'!B337,'JUNE (물량흐름)'!$Y$13:$Y$488)</f>
        <v>8</v>
      </c>
      <c r="N337" s="58">
        <f t="shared" si="158"/>
        <v>22148.5</v>
      </c>
      <c r="O337" s="58">
        <f>SUMIF('Direct labour(직접노무비)'!$C$12:$C$503,'In-out-bal products (155)(완성제품)'!B337,'Direct labour(직접노무비)'!$U$12:$U$503)+SUMIF('Overhead exp(제조경비)'!$C$12:$C$503,'In-out-bal products (155)(완성제품)'!B337,'Overhead exp(제조경비)'!$U$12:$U$503)</f>
        <v>177188</v>
      </c>
      <c r="P337" s="60">
        <f t="shared" si="159"/>
        <v>8</v>
      </c>
      <c r="Q337" s="60">
        <f t="shared" si="160"/>
        <v>22148.5</v>
      </c>
      <c r="R337" s="60">
        <f t="shared" si="161"/>
        <v>177188</v>
      </c>
      <c r="S337" s="58">
        <v>0</v>
      </c>
      <c r="T337" s="58">
        <v>0</v>
      </c>
      <c r="U337" s="58">
        <v>0</v>
      </c>
      <c r="V337" s="58">
        <f>SUMIF('JUNE (물량흐름)'!$C$13:$C$493,'In-out-bal products (155)(완성제품)'!B337,'JUNE (물량흐름)'!$W$13:$W$493)</f>
        <v>0</v>
      </c>
      <c r="W337" s="58">
        <f t="shared" si="162"/>
        <v>0</v>
      </c>
      <c r="X337" s="58">
        <f t="shared" si="163"/>
        <v>0</v>
      </c>
      <c r="Y337" s="58">
        <f>SUMIF('JUNE (물량흐름)'!$C$13:$C$488,'In-out-bal products (155)(완성제품)'!B337,'JUNE (물량흐름)'!$X$13:$X$488)</f>
        <v>0</v>
      </c>
      <c r="Z337" s="58">
        <f t="shared" si="164"/>
        <v>0</v>
      </c>
      <c r="AA337" s="58">
        <f t="shared" si="165"/>
        <v>0</v>
      </c>
      <c r="AB337" s="58"/>
      <c r="AC337" s="58"/>
      <c r="AD337" s="61"/>
      <c r="AE337" s="58">
        <f t="shared" si="166"/>
        <v>8</v>
      </c>
      <c r="AF337" s="58">
        <f t="shared" si="167"/>
        <v>22148.5</v>
      </c>
      <c r="AG337" s="61">
        <f t="shared" si="168"/>
        <v>177188</v>
      </c>
      <c r="AH337" s="58">
        <v>0</v>
      </c>
      <c r="AI337" s="58">
        <v>0</v>
      </c>
      <c r="AJ337" s="61">
        <v>0</v>
      </c>
      <c r="AK337" s="58"/>
      <c r="AL337" s="58"/>
      <c r="AM337" s="61"/>
      <c r="AN337" s="61">
        <f t="shared" si="185"/>
        <v>8</v>
      </c>
      <c r="AO337" s="58">
        <f t="shared" si="169"/>
        <v>22148.5</v>
      </c>
      <c r="AP337" s="61">
        <f t="shared" si="170"/>
        <v>177188</v>
      </c>
      <c r="AQ337" s="58">
        <f t="shared" si="171"/>
        <v>115</v>
      </c>
      <c r="AR337" s="58">
        <f t="shared" si="172"/>
        <v>22866.91304347826</v>
      </c>
      <c r="AS337" s="58">
        <f t="shared" si="173"/>
        <v>2629695</v>
      </c>
      <c r="AT337" s="58">
        <f>ROUND(SUMIF('JUNE (물량흐름)'!$C$13:$C$502,'In-out-bal products (155)(완성제품)'!B337,'JUNE (물량흐름)'!$AB$13:$AB$502),0)</f>
        <v>0</v>
      </c>
      <c r="AU337" s="58">
        <f t="shared" si="174"/>
        <v>0</v>
      </c>
      <c r="AV337" s="58">
        <f>ROUND(SUMIF('JUNE (물량흐름)'!$C$13:$C$502,'In-out-bal products (155)(완성제품)'!B337,'JUNE (물량흐름)'!$AC$13:$AC$502),0)</f>
        <v>115</v>
      </c>
      <c r="AW337" s="58">
        <f t="shared" si="175"/>
        <v>2629695</v>
      </c>
      <c r="AX337" s="376">
        <f t="shared" si="176"/>
        <v>0</v>
      </c>
      <c r="AY337" s="377">
        <f t="shared" si="177"/>
        <v>0</v>
      </c>
      <c r="AZ337" s="377">
        <f t="shared" si="178"/>
        <v>0</v>
      </c>
      <c r="BA337" s="377">
        <f t="shared" si="179"/>
        <v>0</v>
      </c>
      <c r="BB337" s="377"/>
      <c r="BC337" s="377">
        <f t="shared" si="180"/>
        <v>0</v>
      </c>
      <c r="BD337" s="377">
        <f t="shared" si="181"/>
        <v>0</v>
      </c>
      <c r="BE337" s="377"/>
      <c r="BF337" s="377">
        <f t="shared" si="182"/>
        <v>0</v>
      </c>
      <c r="BG337" s="433">
        <f t="shared" si="183"/>
        <v>177188</v>
      </c>
      <c r="BH337" s="434">
        <f t="shared" si="184"/>
        <v>0</v>
      </c>
    </row>
    <row r="338" spans="1:60" s="378" customFormat="1">
      <c r="A338" s="167">
        <v>333</v>
      </c>
      <c r="B338" s="253">
        <f>VLOOKUP(A338,'JUNE (물량흐름)'!$A$13:$C$493,3,0)</f>
        <v>465985</v>
      </c>
      <c r="C338" s="57" t="str">
        <f>VLOOKUP(A338,'JUNE (물량흐름)'!$A$13:$C$493,2,0)</f>
        <v>ANN TAYLOR</v>
      </c>
      <c r="D338" s="58">
        <f>IFERROR(VLOOKUP(B338,O.B.JUNE!$V$7:$Y$448,2,0),0)</f>
        <v>123</v>
      </c>
      <c r="E338" s="58">
        <f>IFERROR(VLOOKUP(B338,O.B.JUNE!$V$7:$X$448,3,0),0)</f>
        <v>61100.097560975613</v>
      </c>
      <c r="F338" s="58">
        <f>IFERROR(VLOOKUP(B338,O.B.JUNE!$V$7:$Y$448,4,0),0)</f>
        <v>7515312</v>
      </c>
      <c r="G338" s="58">
        <f>SUMIF('JUNE (물량흐름)'!$C$13:$C$493,'In-out-bal products (155)(완성제품)'!B338,'JUNE (물량흐름)'!$V$13:$V$493)</f>
        <v>0</v>
      </c>
      <c r="H338" s="58">
        <f>SUMIF('JUNE (물량흐름)'!$C$13:$C$493,'In-out-bal products (155)(완성제품)'!B338,'JUNE (물량흐름)'!$T$13:$T$493)-SUMIF('JUNE (물량흐름)'!$C$13:$C$493,'In-out-bal products (155)(완성제품)'!B338,'JUNE (물량흐름)'!$Y$13:$Y$493)+SUMIF('JUNE (물량흐름)'!$C$13:$C$493,'In-out-bal products (155)(완성제품)'!B338,'JUNE (물량흐름)'!$U$13:$U$493)</f>
        <v>0</v>
      </c>
      <c r="I338" s="58">
        <f t="shared" si="156"/>
        <v>0</v>
      </c>
      <c r="J338" s="58">
        <f>SUMIF('Direct labour(직접노무비)'!$C$12:$C$503,'In-out-bal products (155)(완성제품)'!B338,'Direct labour(직접노무비)'!$Q$12:$Q$503)</f>
        <v>0</v>
      </c>
      <c r="K338" s="59">
        <f>SUMIF('Overhead exp(제조경비)'!$C$12:$C$503,'In-out-bal products (155)(완성제품)'!B338,'Overhead exp(제조경비)'!$Q$12:$Q$503)</f>
        <v>0</v>
      </c>
      <c r="L338" s="58">
        <f t="shared" si="157"/>
        <v>0</v>
      </c>
      <c r="M338" s="58">
        <f>SUMIF('JUNE (물량흐름)'!$C$13:$C$488,'In-out-bal products (155)(완성제품)'!B338,'JUNE (물량흐름)'!$Y$13:$Y$488)</f>
        <v>8</v>
      </c>
      <c r="N338" s="58">
        <f t="shared" si="158"/>
        <v>61279.875</v>
      </c>
      <c r="O338" s="58">
        <f>SUMIF('Direct labour(직접노무비)'!$C$12:$C$503,'In-out-bal products (155)(완성제품)'!B338,'Direct labour(직접노무비)'!$U$12:$U$503)+SUMIF('Overhead exp(제조경비)'!$C$12:$C$503,'In-out-bal products (155)(완성제품)'!B338,'Overhead exp(제조경비)'!$U$12:$U$503)</f>
        <v>490239</v>
      </c>
      <c r="P338" s="60">
        <f t="shared" si="159"/>
        <v>8</v>
      </c>
      <c r="Q338" s="60">
        <f t="shared" si="160"/>
        <v>61279.875</v>
      </c>
      <c r="R338" s="60">
        <f t="shared" si="161"/>
        <v>490239</v>
      </c>
      <c r="S338" s="58">
        <v>0</v>
      </c>
      <c r="T338" s="58">
        <v>0</v>
      </c>
      <c r="U338" s="58">
        <v>0</v>
      </c>
      <c r="V338" s="58">
        <f>SUMIF('JUNE (물량흐름)'!$C$13:$C$493,'In-out-bal products (155)(완성제품)'!B338,'JUNE (물량흐름)'!$W$13:$W$493)</f>
        <v>0</v>
      </c>
      <c r="W338" s="58">
        <f t="shared" si="162"/>
        <v>0</v>
      </c>
      <c r="X338" s="58">
        <f t="shared" si="163"/>
        <v>0</v>
      </c>
      <c r="Y338" s="58">
        <f>SUMIF('JUNE (물량흐름)'!$C$13:$C$488,'In-out-bal products (155)(완성제품)'!B338,'JUNE (물량흐름)'!$X$13:$X$488)</f>
        <v>0</v>
      </c>
      <c r="Z338" s="58">
        <f t="shared" si="164"/>
        <v>0</v>
      </c>
      <c r="AA338" s="58">
        <f t="shared" si="165"/>
        <v>0</v>
      </c>
      <c r="AB338" s="58"/>
      <c r="AC338" s="58"/>
      <c r="AD338" s="61"/>
      <c r="AE338" s="58">
        <f t="shared" si="166"/>
        <v>8</v>
      </c>
      <c r="AF338" s="58">
        <f t="shared" si="167"/>
        <v>61279.875</v>
      </c>
      <c r="AG338" s="61">
        <f t="shared" si="168"/>
        <v>490239</v>
      </c>
      <c r="AH338" s="58">
        <v>0</v>
      </c>
      <c r="AI338" s="58">
        <v>0</v>
      </c>
      <c r="AJ338" s="61">
        <v>0</v>
      </c>
      <c r="AK338" s="58"/>
      <c r="AL338" s="58"/>
      <c r="AM338" s="61"/>
      <c r="AN338" s="61">
        <f t="shared" si="185"/>
        <v>8</v>
      </c>
      <c r="AO338" s="58">
        <f t="shared" si="169"/>
        <v>61279.875</v>
      </c>
      <c r="AP338" s="61">
        <f t="shared" si="170"/>
        <v>490239</v>
      </c>
      <c r="AQ338" s="58">
        <f t="shared" si="171"/>
        <v>123</v>
      </c>
      <c r="AR338" s="58">
        <f t="shared" si="172"/>
        <v>61100.097560975613</v>
      </c>
      <c r="AS338" s="58">
        <f t="shared" si="173"/>
        <v>7515312</v>
      </c>
      <c r="AT338" s="58">
        <f>ROUND(SUMIF('JUNE (물량흐름)'!$C$13:$C$502,'In-out-bal products (155)(완성제품)'!B338,'JUNE (물량흐름)'!$AB$13:$AB$502),0)</f>
        <v>0</v>
      </c>
      <c r="AU338" s="58">
        <f t="shared" si="174"/>
        <v>0</v>
      </c>
      <c r="AV338" s="58">
        <f>ROUND(SUMIF('JUNE (물량흐름)'!$C$13:$C$502,'In-out-bal products (155)(완성제품)'!B338,'JUNE (물량흐름)'!$AC$13:$AC$502),0)</f>
        <v>123</v>
      </c>
      <c r="AW338" s="58">
        <f t="shared" si="175"/>
        <v>7515312</v>
      </c>
      <c r="AX338" s="376">
        <f t="shared" si="176"/>
        <v>0</v>
      </c>
      <c r="AY338" s="377">
        <f t="shared" si="177"/>
        <v>0</v>
      </c>
      <c r="AZ338" s="377">
        <f t="shared" si="178"/>
        <v>0</v>
      </c>
      <c r="BA338" s="377">
        <f t="shared" si="179"/>
        <v>0</v>
      </c>
      <c r="BB338" s="377"/>
      <c r="BC338" s="377">
        <f t="shared" si="180"/>
        <v>0</v>
      </c>
      <c r="BD338" s="377">
        <f t="shared" si="181"/>
        <v>0</v>
      </c>
      <c r="BE338" s="377"/>
      <c r="BF338" s="377">
        <f t="shared" si="182"/>
        <v>0</v>
      </c>
      <c r="BG338" s="433">
        <f t="shared" si="183"/>
        <v>490239</v>
      </c>
      <c r="BH338" s="434">
        <f t="shared" si="184"/>
        <v>0</v>
      </c>
    </row>
    <row r="339" spans="1:60" s="378" customFormat="1">
      <c r="A339" s="167">
        <v>334</v>
      </c>
      <c r="B339" s="253">
        <f>VLOOKUP(A339,'JUNE (물량흐름)'!$A$13:$C$493,3,0)</f>
        <v>466092</v>
      </c>
      <c r="C339" s="57" t="str">
        <f>VLOOKUP(A339,'JUNE (물량흐름)'!$A$13:$C$493,2,0)</f>
        <v>ANN TAYLOR</v>
      </c>
      <c r="D339" s="58">
        <f>IFERROR(VLOOKUP(B339,O.B.JUNE!$V$7:$Y$448,2,0),0)</f>
        <v>0</v>
      </c>
      <c r="E339" s="58">
        <f>IFERROR(VLOOKUP(B339,O.B.JUNE!$V$7:$X$448,3,0),0)</f>
        <v>0</v>
      </c>
      <c r="F339" s="58">
        <f>IFERROR(VLOOKUP(B339,O.B.JUNE!$V$7:$Y$448,4,0),0)</f>
        <v>0</v>
      </c>
      <c r="G339" s="58">
        <f>SUMIF('JUNE (물량흐름)'!$C$13:$C$493,'In-out-bal products (155)(완성제품)'!B339,'JUNE (물량흐름)'!$V$13:$V$493)</f>
        <v>0</v>
      </c>
      <c r="H339" s="58">
        <f>SUMIF('JUNE (물량흐름)'!$C$13:$C$493,'In-out-bal products (155)(완성제품)'!B339,'JUNE (물량흐름)'!$T$13:$T$493)-SUMIF('JUNE (물량흐름)'!$C$13:$C$493,'In-out-bal products (155)(완성제품)'!B339,'JUNE (물량흐름)'!$Y$13:$Y$493)+SUMIF('JUNE (물량흐름)'!$C$13:$C$493,'In-out-bal products (155)(완성제품)'!B339,'JUNE (물량흐름)'!$U$13:$U$493)</f>
        <v>0</v>
      </c>
      <c r="I339" s="58">
        <f t="shared" si="156"/>
        <v>0</v>
      </c>
      <c r="J339" s="58">
        <f>SUMIF('Direct labour(직접노무비)'!$C$12:$C$503,'In-out-bal products (155)(완성제품)'!B339,'Direct labour(직접노무비)'!$Q$12:$Q$503)</f>
        <v>0</v>
      </c>
      <c r="K339" s="59">
        <f>SUMIF('Overhead exp(제조경비)'!$C$12:$C$503,'In-out-bal products (155)(완성제품)'!B339,'Overhead exp(제조경비)'!$Q$12:$Q$503)</f>
        <v>0</v>
      </c>
      <c r="L339" s="58">
        <f t="shared" si="157"/>
        <v>0</v>
      </c>
      <c r="M339" s="58">
        <f>SUMIF('JUNE (물량흐름)'!$C$13:$C$488,'In-out-bal products (155)(완성제품)'!B339,'JUNE (물량흐름)'!$Y$13:$Y$488)</f>
        <v>0</v>
      </c>
      <c r="N339" s="58">
        <f t="shared" si="158"/>
        <v>0</v>
      </c>
      <c r="O339" s="58">
        <f>SUMIF('Direct labour(직접노무비)'!$C$12:$C$503,'In-out-bal products (155)(완성제품)'!B339,'Direct labour(직접노무비)'!$U$12:$U$503)+SUMIF('Overhead exp(제조경비)'!$C$12:$C$503,'In-out-bal products (155)(완성제품)'!B339,'Overhead exp(제조경비)'!$U$12:$U$503)</f>
        <v>0</v>
      </c>
      <c r="P339" s="60">
        <f t="shared" si="159"/>
        <v>0</v>
      </c>
      <c r="Q339" s="60">
        <f t="shared" si="160"/>
        <v>0</v>
      </c>
      <c r="R339" s="60">
        <f t="shared" si="161"/>
        <v>0</v>
      </c>
      <c r="S339" s="58">
        <v>0</v>
      </c>
      <c r="T339" s="58">
        <v>0</v>
      </c>
      <c r="U339" s="58">
        <v>0</v>
      </c>
      <c r="V339" s="58">
        <f>SUMIF('JUNE (물량흐름)'!$C$13:$C$493,'In-out-bal products (155)(완성제품)'!B339,'JUNE (물량흐름)'!$W$13:$W$493)</f>
        <v>0</v>
      </c>
      <c r="W339" s="58">
        <f t="shared" si="162"/>
        <v>0</v>
      </c>
      <c r="X339" s="58">
        <f t="shared" si="163"/>
        <v>0</v>
      </c>
      <c r="Y339" s="58">
        <f>SUMIF('JUNE (물량흐름)'!$C$13:$C$488,'In-out-bal products (155)(완성제품)'!B339,'JUNE (물량흐름)'!$X$13:$X$488)</f>
        <v>0</v>
      </c>
      <c r="Z339" s="58">
        <f t="shared" si="164"/>
        <v>0</v>
      </c>
      <c r="AA339" s="58">
        <f t="shared" si="165"/>
        <v>0</v>
      </c>
      <c r="AB339" s="58"/>
      <c r="AC339" s="58"/>
      <c r="AD339" s="61"/>
      <c r="AE339" s="58">
        <f t="shared" si="166"/>
        <v>0</v>
      </c>
      <c r="AF339" s="58">
        <f t="shared" si="167"/>
        <v>0</v>
      </c>
      <c r="AG339" s="61">
        <f t="shared" si="168"/>
        <v>0</v>
      </c>
      <c r="AH339" s="58">
        <v>0</v>
      </c>
      <c r="AI339" s="58">
        <v>0</v>
      </c>
      <c r="AJ339" s="61">
        <v>0</v>
      </c>
      <c r="AK339" s="58"/>
      <c r="AL339" s="58"/>
      <c r="AM339" s="61"/>
      <c r="AN339" s="61">
        <f t="shared" si="185"/>
        <v>0</v>
      </c>
      <c r="AO339" s="58">
        <f t="shared" si="169"/>
        <v>0</v>
      </c>
      <c r="AP339" s="61">
        <f t="shared" si="170"/>
        <v>0</v>
      </c>
      <c r="AQ339" s="58">
        <f t="shared" si="171"/>
        <v>0</v>
      </c>
      <c r="AR339" s="58">
        <f t="shared" si="172"/>
        <v>0</v>
      </c>
      <c r="AS339" s="58">
        <f t="shared" si="173"/>
        <v>0</v>
      </c>
      <c r="AT339" s="58">
        <f>ROUND(SUMIF('JUNE (물량흐름)'!$C$13:$C$502,'In-out-bal products (155)(완성제품)'!B339,'JUNE (물량흐름)'!$AB$13:$AB$502),0)</f>
        <v>0</v>
      </c>
      <c r="AU339" s="58">
        <f t="shared" si="174"/>
        <v>0</v>
      </c>
      <c r="AV339" s="58">
        <f>ROUND(SUMIF('JUNE (물량흐름)'!$C$13:$C$502,'In-out-bal products (155)(완성제품)'!B339,'JUNE (물량흐름)'!$AC$13:$AC$502),0)</f>
        <v>0</v>
      </c>
      <c r="AW339" s="58">
        <f t="shared" si="175"/>
        <v>0</v>
      </c>
      <c r="AX339" s="376">
        <f t="shared" si="176"/>
        <v>0</v>
      </c>
      <c r="AY339" s="377">
        <f t="shared" si="177"/>
        <v>0</v>
      </c>
      <c r="AZ339" s="377">
        <f t="shared" si="178"/>
        <v>0</v>
      </c>
      <c r="BA339" s="377">
        <f t="shared" si="179"/>
        <v>0</v>
      </c>
      <c r="BB339" s="377"/>
      <c r="BC339" s="377">
        <f t="shared" si="180"/>
        <v>0</v>
      </c>
      <c r="BD339" s="377">
        <f t="shared" si="181"/>
        <v>0</v>
      </c>
      <c r="BE339" s="377"/>
      <c r="BF339" s="377">
        <f t="shared" si="182"/>
        <v>0</v>
      </c>
      <c r="BG339" s="433">
        <f t="shared" si="183"/>
        <v>0</v>
      </c>
      <c r="BH339" s="434">
        <f t="shared" si="184"/>
        <v>0</v>
      </c>
    </row>
    <row r="340" spans="1:60" s="378" customFormat="1">
      <c r="A340" s="167">
        <v>335</v>
      </c>
      <c r="B340" s="253">
        <f>VLOOKUP(A340,'JUNE (물량흐름)'!$A$13:$C$493,3,0)</f>
        <v>470322</v>
      </c>
      <c r="C340" s="57" t="str">
        <f>VLOOKUP(A340,'JUNE (물량흐름)'!$A$13:$C$493,2,0)</f>
        <v>ANN TAYLOR</v>
      </c>
      <c r="D340" s="58">
        <f>IFERROR(VLOOKUP(B340,O.B.JUNE!$V$7:$Y$448,2,0),0)</f>
        <v>0</v>
      </c>
      <c r="E340" s="58">
        <f>IFERROR(VLOOKUP(B340,O.B.JUNE!$V$7:$X$448,3,0),0)</f>
        <v>0</v>
      </c>
      <c r="F340" s="58">
        <f>IFERROR(VLOOKUP(B340,O.B.JUNE!$V$7:$Y$448,4,0),0)</f>
        <v>0</v>
      </c>
      <c r="G340" s="58">
        <f>SUMIF('JUNE (물량흐름)'!$C$13:$C$493,'In-out-bal products (155)(완성제품)'!B340,'JUNE (물량흐름)'!$V$13:$V$493)</f>
        <v>0</v>
      </c>
      <c r="H340" s="58">
        <f>SUMIF('JUNE (물량흐름)'!$C$13:$C$493,'In-out-bal products (155)(완성제품)'!B340,'JUNE (물량흐름)'!$T$13:$T$493)-SUMIF('JUNE (물량흐름)'!$C$13:$C$493,'In-out-bal products (155)(완성제품)'!B340,'JUNE (물량흐름)'!$Y$13:$Y$493)+SUMIF('JUNE (물량흐름)'!$C$13:$C$493,'In-out-bal products (155)(완성제품)'!B340,'JUNE (물량흐름)'!$U$13:$U$493)</f>
        <v>0</v>
      </c>
      <c r="I340" s="58">
        <f t="shared" si="156"/>
        <v>0</v>
      </c>
      <c r="J340" s="58">
        <f>SUMIF('Direct labour(직접노무비)'!$C$12:$C$503,'In-out-bal products (155)(완성제품)'!B340,'Direct labour(직접노무비)'!$Q$12:$Q$503)</f>
        <v>0</v>
      </c>
      <c r="K340" s="59">
        <f>SUMIF('Overhead exp(제조경비)'!$C$12:$C$503,'In-out-bal products (155)(완성제품)'!B340,'Overhead exp(제조경비)'!$Q$12:$Q$503)</f>
        <v>0</v>
      </c>
      <c r="L340" s="58">
        <f t="shared" si="157"/>
        <v>0</v>
      </c>
      <c r="M340" s="58">
        <f>SUMIF('JUNE (물량흐름)'!$C$13:$C$488,'In-out-bal products (155)(완성제품)'!B340,'JUNE (물량흐름)'!$Y$13:$Y$488)</f>
        <v>1</v>
      </c>
      <c r="N340" s="58">
        <f t="shared" si="158"/>
        <v>26185</v>
      </c>
      <c r="O340" s="58">
        <f>SUMIF('Direct labour(직접노무비)'!$C$12:$C$503,'In-out-bal products (155)(완성제품)'!B340,'Direct labour(직접노무비)'!$U$12:$U$503)+SUMIF('Overhead exp(제조경비)'!$C$12:$C$503,'In-out-bal products (155)(완성제품)'!B340,'Overhead exp(제조경비)'!$U$12:$U$503)</f>
        <v>26185</v>
      </c>
      <c r="P340" s="60">
        <f t="shared" si="159"/>
        <v>1</v>
      </c>
      <c r="Q340" s="60">
        <f t="shared" si="160"/>
        <v>26185</v>
      </c>
      <c r="R340" s="60">
        <f t="shared" si="161"/>
        <v>26185</v>
      </c>
      <c r="S340" s="58">
        <v>0</v>
      </c>
      <c r="T340" s="58">
        <v>0</v>
      </c>
      <c r="U340" s="58">
        <v>0</v>
      </c>
      <c r="V340" s="58">
        <f>SUMIF('JUNE (물량흐름)'!$C$13:$C$493,'In-out-bal products (155)(완성제품)'!B340,'JUNE (물량흐름)'!$W$13:$W$493)</f>
        <v>0</v>
      </c>
      <c r="W340" s="58">
        <f t="shared" si="162"/>
        <v>0</v>
      </c>
      <c r="X340" s="58">
        <f t="shared" si="163"/>
        <v>0</v>
      </c>
      <c r="Y340" s="58">
        <f>SUMIF('JUNE (물량흐름)'!$C$13:$C$488,'In-out-bal products (155)(완성제품)'!B340,'JUNE (물량흐름)'!$X$13:$X$488)</f>
        <v>0</v>
      </c>
      <c r="Z340" s="58">
        <f t="shared" si="164"/>
        <v>0</v>
      </c>
      <c r="AA340" s="58">
        <f t="shared" si="165"/>
        <v>0</v>
      </c>
      <c r="AB340" s="58"/>
      <c r="AC340" s="58"/>
      <c r="AD340" s="61"/>
      <c r="AE340" s="58">
        <f t="shared" si="166"/>
        <v>1</v>
      </c>
      <c r="AF340" s="58">
        <f t="shared" si="167"/>
        <v>26185</v>
      </c>
      <c r="AG340" s="61">
        <f t="shared" si="168"/>
        <v>26185</v>
      </c>
      <c r="AH340" s="58">
        <v>0</v>
      </c>
      <c r="AI340" s="58">
        <v>0</v>
      </c>
      <c r="AJ340" s="61">
        <v>0</v>
      </c>
      <c r="AK340" s="58"/>
      <c r="AL340" s="58"/>
      <c r="AM340" s="61"/>
      <c r="AN340" s="61">
        <f t="shared" si="185"/>
        <v>1</v>
      </c>
      <c r="AO340" s="58">
        <f t="shared" si="169"/>
        <v>26185</v>
      </c>
      <c r="AP340" s="61">
        <f t="shared" si="170"/>
        <v>26185</v>
      </c>
      <c r="AQ340" s="58">
        <f t="shared" si="171"/>
        <v>0</v>
      </c>
      <c r="AR340" s="58">
        <f t="shared" si="172"/>
        <v>0</v>
      </c>
      <c r="AS340" s="58">
        <f t="shared" si="173"/>
        <v>0</v>
      </c>
      <c r="AT340" s="58">
        <f>ROUND(SUMIF('JUNE (물량흐름)'!$C$13:$C$502,'In-out-bal products (155)(완성제품)'!B340,'JUNE (물량흐름)'!$AB$13:$AB$502),0)</f>
        <v>0</v>
      </c>
      <c r="AU340" s="58">
        <f t="shared" si="174"/>
        <v>0</v>
      </c>
      <c r="AV340" s="58">
        <f>ROUND(SUMIF('JUNE (물량흐름)'!$C$13:$C$502,'In-out-bal products (155)(완성제품)'!B340,'JUNE (물량흐름)'!$AC$13:$AC$502),0)</f>
        <v>0</v>
      </c>
      <c r="AW340" s="58">
        <f t="shared" si="175"/>
        <v>0</v>
      </c>
      <c r="AX340" s="376">
        <f t="shared" si="176"/>
        <v>0</v>
      </c>
      <c r="AY340" s="377">
        <f t="shared" si="177"/>
        <v>0</v>
      </c>
      <c r="AZ340" s="377">
        <f t="shared" si="178"/>
        <v>0</v>
      </c>
      <c r="BA340" s="377">
        <f t="shared" si="179"/>
        <v>0</v>
      </c>
      <c r="BB340" s="377"/>
      <c r="BC340" s="377">
        <f t="shared" si="180"/>
        <v>0</v>
      </c>
      <c r="BD340" s="377">
        <f t="shared" si="181"/>
        <v>0</v>
      </c>
      <c r="BE340" s="377"/>
      <c r="BF340" s="377">
        <f t="shared" si="182"/>
        <v>0</v>
      </c>
      <c r="BG340" s="433">
        <f t="shared" si="183"/>
        <v>26185</v>
      </c>
      <c r="BH340" s="434">
        <f t="shared" si="184"/>
        <v>0</v>
      </c>
    </row>
    <row r="341" spans="1:60" s="378" customFormat="1">
      <c r="A341" s="167">
        <v>336</v>
      </c>
      <c r="B341" s="253">
        <f>VLOOKUP(A341,'JUNE (물량흐름)'!$A$13:$C$493,3,0)</f>
        <v>471823</v>
      </c>
      <c r="C341" s="57" t="str">
        <f>VLOOKUP(A341,'JUNE (물량흐름)'!$A$13:$C$493,2,0)</f>
        <v>ANN TAYLOR</v>
      </c>
      <c r="D341" s="58">
        <f>IFERROR(VLOOKUP(B341,O.B.JUNE!$V$7:$Y$448,2,0),0)</f>
        <v>100</v>
      </c>
      <c r="E341" s="58">
        <f>IFERROR(VLOOKUP(B341,O.B.JUNE!$V$7:$X$448,3,0),0)</f>
        <v>41184.35</v>
      </c>
      <c r="F341" s="58">
        <f>IFERROR(VLOOKUP(B341,O.B.JUNE!$V$7:$Y$448,4,0),0)</f>
        <v>4118435</v>
      </c>
      <c r="G341" s="58">
        <f>SUMIF('JUNE (물량흐름)'!$C$13:$C$493,'In-out-bal products (155)(완성제품)'!B341,'JUNE (물량흐름)'!$V$13:$V$493)</f>
        <v>0</v>
      </c>
      <c r="H341" s="58">
        <f>SUMIF('JUNE (물량흐름)'!$C$13:$C$493,'In-out-bal products (155)(완성제품)'!B341,'JUNE (물량흐름)'!$T$13:$T$493)-SUMIF('JUNE (물량흐름)'!$C$13:$C$493,'In-out-bal products (155)(완성제품)'!B341,'JUNE (물량흐름)'!$Y$13:$Y$493)+SUMIF('JUNE (물량흐름)'!$C$13:$C$493,'In-out-bal products (155)(완성제품)'!B341,'JUNE (물량흐름)'!$U$13:$U$493)</f>
        <v>0</v>
      </c>
      <c r="I341" s="58">
        <f t="shared" si="156"/>
        <v>0</v>
      </c>
      <c r="J341" s="58">
        <f>SUMIF('Direct labour(직접노무비)'!$C$12:$C$503,'In-out-bal products (155)(완성제품)'!B341,'Direct labour(직접노무비)'!$Q$12:$Q$503)</f>
        <v>0</v>
      </c>
      <c r="K341" s="59">
        <f>SUMIF('Overhead exp(제조경비)'!$C$12:$C$503,'In-out-bal products (155)(완성제품)'!B341,'Overhead exp(제조경비)'!$Q$12:$Q$503)</f>
        <v>0</v>
      </c>
      <c r="L341" s="58">
        <f t="shared" si="157"/>
        <v>0</v>
      </c>
      <c r="M341" s="58">
        <f>SUMIF('JUNE (물량흐름)'!$C$13:$C$488,'In-out-bal products (155)(완성제품)'!B341,'JUNE (물량흐름)'!$Y$13:$Y$488)</f>
        <v>0</v>
      </c>
      <c r="N341" s="58">
        <f t="shared" si="158"/>
        <v>0</v>
      </c>
      <c r="O341" s="58">
        <f>SUMIF('Direct labour(직접노무비)'!$C$12:$C$503,'In-out-bal products (155)(완성제품)'!B341,'Direct labour(직접노무비)'!$U$12:$U$503)+SUMIF('Overhead exp(제조경비)'!$C$12:$C$503,'In-out-bal products (155)(완성제품)'!B341,'Overhead exp(제조경비)'!$U$12:$U$503)</f>
        <v>0</v>
      </c>
      <c r="P341" s="60">
        <f t="shared" si="159"/>
        <v>0</v>
      </c>
      <c r="Q341" s="60">
        <f t="shared" si="160"/>
        <v>0</v>
      </c>
      <c r="R341" s="60">
        <f t="shared" si="161"/>
        <v>0</v>
      </c>
      <c r="S341" s="58">
        <v>0</v>
      </c>
      <c r="T341" s="58">
        <v>0</v>
      </c>
      <c r="U341" s="58">
        <v>0</v>
      </c>
      <c r="V341" s="58">
        <f>SUMIF('JUNE (물량흐름)'!$C$13:$C$493,'In-out-bal products (155)(완성제품)'!B341,'JUNE (물량흐름)'!$W$13:$W$493)</f>
        <v>0</v>
      </c>
      <c r="W341" s="58">
        <f t="shared" si="162"/>
        <v>0</v>
      </c>
      <c r="X341" s="58">
        <f t="shared" si="163"/>
        <v>0</v>
      </c>
      <c r="Y341" s="58">
        <f>SUMIF('JUNE (물량흐름)'!$C$13:$C$488,'In-out-bal products (155)(완성제품)'!B341,'JUNE (물량흐름)'!$X$13:$X$488)</f>
        <v>0</v>
      </c>
      <c r="Z341" s="58">
        <f t="shared" si="164"/>
        <v>0</v>
      </c>
      <c r="AA341" s="58">
        <f t="shared" si="165"/>
        <v>0</v>
      </c>
      <c r="AB341" s="58"/>
      <c r="AC341" s="58"/>
      <c r="AD341" s="61"/>
      <c r="AE341" s="58">
        <f t="shared" si="166"/>
        <v>0</v>
      </c>
      <c r="AF341" s="58">
        <f t="shared" si="167"/>
        <v>0</v>
      </c>
      <c r="AG341" s="61">
        <f t="shared" si="168"/>
        <v>0</v>
      </c>
      <c r="AH341" s="58">
        <v>0</v>
      </c>
      <c r="AI341" s="58">
        <v>0</v>
      </c>
      <c r="AJ341" s="61">
        <v>0</v>
      </c>
      <c r="AK341" s="58"/>
      <c r="AL341" s="58"/>
      <c r="AM341" s="61"/>
      <c r="AN341" s="61">
        <f t="shared" si="185"/>
        <v>0</v>
      </c>
      <c r="AO341" s="58">
        <f t="shared" si="169"/>
        <v>0</v>
      </c>
      <c r="AP341" s="61">
        <f t="shared" si="170"/>
        <v>0</v>
      </c>
      <c r="AQ341" s="58">
        <f t="shared" si="171"/>
        <v>100</v>
      </c>
      <c r="AR341" s="58">
        <f t="shared" si="172"/>
        <v>41184.35</v>
      </c>
      <c r="AS341" s="58">
        <f t="shared" si="173"/>
        <v>4118435</v>
      </c>
      <c r="AT341" s="58">
        <f>ROUND(SUMIF('JUNE (물량흐름)'!$C$13:$C$502,'In-out-bal products (155)(완성제품)'!B341,'JUNE (물량흐름)'!$AB$13:$AB$502),0)</f>
        <v>0</v>
      </c>
      <c r="AU341" s="58">
        <f t="shared" si="174"/>
        <v>0</v>
      </c>
      <c r="AV341" s="58">
        <f>ROUND(SUMIF('JUNE (물량흐름)'!$C$13:$C$502,'In-out-bal products (155)(완성제품)'!B341,'JUNE (물량흐름)'!$AC$13:$AC$502),0)</f>
        <v>100</v>
      </c>
      <c r="AW341" s="58">
        <f t="shared" si="175"/>
        <v>4118435</v>
      </c>
      <c r="AX341" s="376">
        <f t="shared" si="176"/>
        <v>0</v>
      </c>
      <c r="AY341" s="377">
        <f t="shared" si="177"/>
        <v>0</v>
      </c>
      <c r="AZ341" s="377">
        <f t="shared" si="178"/>
        <v>0</v>
      </c>
      <c r="BA341" s="377">
        <f t="shared" si="179"/>
        <v>0</v>
      </c>
      <c r="BB341" s="377"/>
      <c r="BC341" s="377">
        <f t="shared" si="180"/>
        <v>0</v>
      </c>
      <c r="BD341" s="377">
        <f t="shared" si="181"/>
        <v>0</v>
      </c>
      <c r="BE341" s="377"/>
      <c r="BF341" s="377">
        <f t="shared" si="182"/>
        <v>0</v>
      </c>
      <c r="BG341" s="433">
        <f t="shared" si="183"/>
        <v>0</v>
      </c>
      <c r="BH341" s="434">
        <f t="shared" si="184"/>
        <v>0</v>
      </c>
    </row>
    <row r="342" spans="1:60" s="378" customFormat="1">
      <c r="A342" s="167">
        <v>337</v>
      </c>
      <c r="B342" s="253">
        <f>VLOOKUP(A342,'JUNE (물량흐름)'!$A$13:$C$493,3,0)</f>
        <v>471825</v>
      </c>
      <c r="C342" s="57" t="str">
        <f>VLOOKUP(A342,'JUNE (물량흐름)'!$A$13:$C$493,2,0)</f>
        <v>ANN TAYLOR</v>
      </c>
      <c r="D342" s="58">
        <f>IFERROR(VLOOKUP(B342,O.B.JUNE!$V$7:$Y$448,2,0),0)</f>
        <v>5</v>
      </c>
      <c r="E342" s="58">
        <f>IFERROR(VLOOKUP(B342,O.B.JUNE!$V$7:$X$448,3,0),0)</f>
        <v>57300.4</v>
      </c>
      <c r="F342" s="58">
        <f>IFERROR(VLOOKUP(B342,O.B.JUNE!$V$7:$Y$448,4,0),0)</f>
        <v>286502</v>
      </c>
      <c r="G342" s="58">
        <f>SUMIF('JUNE (물량흐름)'!$C$13:$C$493,'In-out-bal products (155)(완성제품)'!B342,'JUNE (물량흐름)'!$V$13:$V$493)</f>
        <v>0</v>
      </c>
      <c r="H342" s="58">
        <f>SUMIF('JUNE (물량흐름)'!$C$13:$C$493,'In-out-bal products (155)(완성제품)'!B342,'JUNE (물량흐름)'!$T$13:$T$493)-SUMIF('JUNE (물량흐름)'!$C$13:$C$493,'In-out-bal products (155)(완성제품)'!B342,'JUNE (물량흐름)'!$Y$13:$Y$493)+SUMIF('JUNE (물량흐름)'!$C$13:$C$493,'In-out-bal products (155)(완성제품)'!B342,'JUNE (물량흐름)'!$U$13:$U$493)</f>
        <v>0</v>
      </c>
      <c r="I342" s="58">
        <f t="shared" si="156"/>
        <v>0</v>
      </c>
      <c r="J342" s="58">
        <f>SUMIF('Direct labour(직접노무비)'!$C$12:$C$503,'In-out-bal products (155)(완성제품)'!B342,'Direct labour(직접노무비)'!$Q$12:$Q$503)</f>
        <v>0</v>
      </c>
      <c r="K342" s="59">
        <f>SUMIF('Overhead exp(제조경비)'!$C$12:$C$503,'In-out-bal products (155)(완성제품)'!B342,'Overhead exp(제조경비)'!$Q$12:$Q$503)</f>
        <v>0</v>
      </c>
      <c r="L342" s="58">
        <f t="shared" si="157"/>
        <v>0</v>
      </c>
      <c r="M342" s="58">
        <f>SUMIF('JUNE (물량흐름)'!$C$13:$C$488,'In-out-bal products (155)(완성제품)'!B342,'JUNE (물량흐름)'!$Y$13:$Y$488)</f>
        <v>11</v>
      </c>
      <c r="N342" s="58">
        <f t="shared" si="158"/>
        <v>36491.545454545456</v>
      </c>
      <c r="O342" s="58">
        <f>SUMIF('Direct labour(직접노무비)'!$C$12:$C$503,'In-out-bal products (155)(완성제품)'!B342,'Direct labour(직접노무비)'!$U$12:$U$503)+SUMIF('Overhead exp(제조경비)'!$C$12:$C$503,'In-out-bal products (155)(완성제품)'!B342,'Overhead exp(제조경비)'!$U$12:$U$503)</f>
        <v>401407</v>
      </c>
      <c r="P342" s="60">
        <f t="shared" si="159"/>
        <v>11</v>
      </c>
      <c r="Q342" s="60">
        <f t="shared" si="160"/>
        <v>36491.545454545456</v>
      </c>
      <c r="R342" s="60">
        <f t="shared" si="161"/>
        <v>401407</v>
      </c>
      <c r="S342" s="58">
        <v>0</v>
      </c>
      <c r="T342" s="58">
        <v>0</v>
      </c>
      <c r="U342" s="58">
        <v>0</v>
      </c>
      <c r="V342" s="58">
        <f>SUMIF('JUNE (물량흐름)'!$C$13:$C$493,'In-out-bal products (155)(완성제품)'!B342,'JUNE (물량흐름)'!$W$13:$W$493)</f>
        <v>0</v>
      </c>
      <c r="W342" s="58">
        <f t="shared" si="162"/>
        <v>0</v>
      </c>
      <c r="X342" s="58">
        <f t="shared" si="163"/>
        <v>0</v>
      </c>
      <c r="Y342" s="58">
        <f>SUMIF('JUNE (물량흐름)'!$C$13:$C$488,'In-out-bal products (155)(완성제품)'!B342,'JUNE (물량흐름)'!$X$13:$X$488)</f>
        <v>0</v>
      </c>
      <c r="Z342" s="58">
        <f t="shared" si="164"/>
        <v>0</v>
      </c>
      <c r="AA342" s="58">
        <f t="shared" si="165"/>
        <v>0</v>
      </c>
      <c r="AB342" s="58"/>
      <c r="AC342" s="58"/>
      <c r="AD342" s="61"/>
      <c r="AE342" s="58">
        <f t="shared" si="166"/>
        <v>11</v>
      </c>
      <c r="AF342" s="58">
        <f t="shared" si="167"/>
        <v>36491.545454545456</v>
      </c>
      <c r="AG342" s="61">
        <f t="shared" si="168"/>
        <v>401407</v>
      </c>
      <c r="AH342" s="58">
        <v>0</v>
      </c>
      <c r="AI342" s="58">
        <v>0</v>
      </c>
      <c r="AJ342" s="61">
        <v>0</v>
      </c>
      <c r="AK342" s="58"/>
      <c r="AL342" s="58"/>
      <c r="AM342" s="61"/>
      <c r="AN342" s="61">
        <f t="shared" si="185"/>
        <v>11</v>
      </c>
      <c r="AO342" s="58">
        <f t="shared" si="169"/>
        <v>36491.545454545456</v>
      </c>
      <c r="AP342" s="61">
        <f t="shared" si="170"/>
        <v>401407</v>
      </c>
      <c r="AQ342" s="58">
        <f t="shared" si="171"/>
        <v>5</v>
      </c>
      <c r="AR342" s="58">
        <f t="shared" si="172"/>
        <v>57300.4</v>
      </c>
      <c r="AS342" s="58">
        <f t="shared" si="173"/>
        <v>286502</v>
      </c>
      <c r="AT342" s="58">
        <f>ROUND(SUMIF('JUNE (물량흐름)'!$C$13:$C$502,'In-out-bal products (155)(완성제품)'!B342,'JUNE (물량흐름)'!$AB$13:$AB$502),0)</f>
        <v>0</v>
      </c>
      <c r="AU342" s="58">
        <f t="shared" si="174"/>
        <v>0</v>
      </c>
      <c r="AV342" s="58">
        <f>ROUND(SUMIF('JUNE (물량흐름)'!$C$13:$C$502,'In-out-bal products (155)(완성제품)'!B342,'JUNE (물량흐름)'!$AC$13:$AC$502),0)</f>
        <v>5</v>
      </c>
      <c r="AW342" s="58">
        <f t="shared" si="175"/>
        <v>286502</v>
      </c>
      <c r="AX342" s="376">
        <f t="shared" si="176"/>
        <v>0</v>
      </c>
      <c r="AY342" s="377">
        <f t="shared" si="177"/>
        <v>0</v>
      </c>
      <c r="AZ342" s="377">
        <f t="shared" si="178"/>
        <v>0</v>
      </c>
      <c r="BA342" s="377">
        <f t="shared" si="179"/>
        <v>0</v>
      </c>
      <c r="BB342" s="377"/>
      <c r="BC342" s="377">
        <f t="shared" si="180"/>
        <v>0</v>
      </c>
      <c r="BD342" s="377">
        <f t="shared" si="181"/>
        <v>0</v>
      </c>
      <c r="BE342" s="377"/>
      <c r="BF342" s="377">
        <f t="shared" si="182"/>
        <v>0</v>
      </c>
      <c r="BG342" s="433">
        <f t="shared" si="183"/>
        <v>401407</v>
      </c>
      <c r="BH342" s="434">
        <f t="shared" si="184"/>
        <v>0</v>
      </c>
    </row>
    <row r="343" spans="1:60" s="378" customFormat="1">
      <c r="A343" s="167">
        <v>338</v>
      </c>
      <c r="B343" s="253">
        <f>VLOOKUP(A343,'JUNE (물량흐름)'!$A$13:$C$493,3,0)</f>
        <v>472140</v>
      </c>
      <c r="C343" s="57" t="str">
        <f>VLOOKUP(A343,'JUNE (물량흐름)'!$A$13:$C$493,2,0)</f>
        <v>ANN TAYLOR</v>
      </c>
      <c r="D343" s="58">
        <f>IFERROR(VLOOKUP(B343,O.B.JUNE!$V$7:$Y$448,2,0),0)</f>
        <v>52</v>
      </c>
      <c r="E343" s="58">
        <f>IFERROR(VLOOKUP(B343,O.B.JUNE!$V$7:$X$448,3,0),0)</f>
        <v>60079.403846153844</v>
      </c>
      <c r="F343" s="58">
        <f>IFERROR(VLOOKUP(B343,O.B.JUNE!$V$7:$Y$448,4,0),0)</f>
        <v>3124129</v>
      </c>
      <c r="G343" s="58">
        <f>SUMIF('JUNE (물량흐름)'!$C$13:$C$493,'In-out-bal products (155)(완성제품)'!B343,'JUNE (물량흐름)'!$V$13:$V$493)</f>
        <v>0</v>
      </c>
      <c r="H343" s="58">
        <f>SUMIF('JUNE (물량흐름)'!$C$13:$C$493,'In-out-bal products (155)(완성제품)'!B343,'JUNE (물량흐름)'!$T$13:$T$493)-SUMIF('JUNE (물량흐름)'!$C$13:$C$493,'In-out-bal products (155)(완성제품)'!B343,'JUNE (물량흐름)'!$Y$13:$Y$493)+SUMIF('JUNE (물량흐름)'!$C$13:$C$493,'In-out-bal products (155)(완성제품)'!B343,'JUNE (물량흐름)'!$U$13:$U$493)</f>
        <v>0</v>
      </c>
      <c r="I343" s="58">
        <f t="shared" si="156"/>
        <v>0</v>
      </c>
      <c r="J343" s="58">
        <f>SUMIF('Direct labour(직접노무비)'!$C$12:$C$503,'In-out-bal products (155)(완성제품)'!B343,'Direct labour(직접노무비)'!$Q$12:$Q$503)</f>
        <v>0</v>
      </c>
      <c r="K343" s="59">
        <f>SUMIF('Overhead exp(제조경비)'!$C$12:$C$503,'In-out-bal products (155)(완성제품)'!B343,'Overhead exp(제조경비)'!$Q$12:$Q$503)</f>
        <v>0</v>
      </c>
      <c r="L343" s="58">
        <f t="shared" si="157"/>
        <v>0</v>
      </c>
      <c r="M343" s="58">
        <f>SUMIF('JUNE (물량흐름)'!$C$13:$C$488,'In-out-bal products (155)(완성제품)'!B343,'JUNE (물량흐름)'!$Y$13:$Y$488)</f>
        <v>0</v>
      </c>
      <c r="N343" s="58">
        <f t="shared" si="158"/>
        <v>0</v>
      </c>
      <c r="O343" s="58">
        <f>SUMIF('Direct labour(직접노무비)'!$C$12:$C$503,'In-out-bal products (155)(완성제품)'!B343,'Direct labour(직접노무비)'!$U$12:$U$503)+SUMIF('Overhead exp(제조경비)'!$C$12:$C$503,'In-out-bal products (155)(완성제품)'!B343,'Overhead exp(제조경비)'!$U$12:$U$503)</f>
        <v>0</v>
      </c>
      <c r="P343" s="60">
        <f t="shared" si="159"/>
        <v>0</v>
      </c>
      <c r="Q343" s="60">
        <f t="shared" si="160"/>
        <v>0</v>
      </c>
      <c r="R343" s="60">
        <f t="shared" si="161"/>
        <v>0</v>
      </c>
      <c r="S343" s="58">
        <v>0</v>
      </c>
      <c r="T343" s="58">
        <v>0</v>
      </c>
      <c r="U343" s="58">
        <v>0</v>
      </c>
      <c r="V343" s="58">
        <f>SUMIF('JUNE (물량흐름)'!$C$13:$C$493,'In-out-bal products (155)(완성제품)'!B343,'JUNE (물량흐름)'!$W$13:$W$493)</f>
        <v>0</v>
      </c>
      <c r="W343" s="58">
        <f t="shared" si="162"/>
        <v>0</v>
      </c>
      <c r="X343" s="58">
        <f t="shared" si="163"/>
        <v>0</v>
      </c>
      <c r="Y343" s="58">
        <f>SUMIF('JUNE (물량흐름)'!$C$13:$C$488,'In-out-bal products (155)(완성제품)'!B343,'JUNE (물량흐름)'!$X$13:$X$488)</f>
        <v>0</v>
      </c>
      <c r="Z343" s="58">
        <f t="shared" si="164"/>
        <v>0</v>
      </c>
      <c r="AA343" s="58">
        <f t="shared" si="165"/>
        <v>0</v>
      </c>
      <c r="AB343" s="58"/>
      <c r="AC343" s="58"/>
      <c r="AD343" s="61"/>
      <c r="AE343" s="58">
        <f t="shared" si="166"/>
        <v>0</v>
      </c>
      <c r="AF343" s="58">
        <f t="shared" si="167"/>
        <v>0</v>
      </c>
      <c r="AG343" s="61">
        <f t="shared" si="168"/>
        <v>0</v>
      </c>
      <c r="AH343" s="58">
        <v>0</v>
      </c>
      <c r="AI343" s="58">
        <v>0</v>
      </c>
      <c r="AJ343" s="61">
        <v>0</v>
      </c>
      <c r="AK343" s="58"/>
      <c r="AL343" s="58"/>
      <c r="AM343" s="61"/>
      <c r="AN343" s="61">
        <f t="shared" si="185"/>
        <v>0</v>
      </c>
      <c r="AO343" s="58">
        <f t="shared" si="169"/>
        <v>0</v>
      </c>
      <c r="AP343" s="61">
        <f t="shared" si="170"/>
        <v>0</v>
      </c>
      <c r="AQ343" s="58">
        <f t="shared" si="171"/>
        <v>52</v>
      </c>
      <c r="AR343" s="58">
        <f t="shared" si="172"/>
        <v>60079.403846153844</v>
      </c>
      <c r="AS343" s="58">
        <f t="shared" si="173"/>
        <v>3124129</v>
      </c>
      <c r="AT343" s="58">
        <f>ROUND(SUMIF('JUNE (물량흐름)'!$C$13:$C$502,'In-out-bal products (155)(완성제품)'!B343,'JUNE (물량흐름)'!$AB$13:$AB$502),0)</f>
        <v>0</v>
      </c>
      <c r="AU343" s="58">
        <f t="shared" si="174"/>
        <v>0</v>
      </c>
      <c r="AV343" s="58">
        <f>ROUND(SUMIF('JUNE (물량흐름)'!$C$13:$C$502,'In-out-bal products (155)(완성제품)'!B343,'JUNE (물량흐름)'!$AC$13:$AC$502),0)</f>
        <v>52</v>
      </c>
      <c r="AW343" s="58">
        <f t="shared" si="175"/>
        <v>3124129</v>
      </c>
      <c r="AX343" s="376">
        <f t="shared" si="176"/>
        <v>0</v>
      </c>
      <c r="AY343" s="377">
        <f t="shared" si="177"/>
        <v>0</v>
      </c>
      <c r="AZ343" s="377">
        <f t="shared" si="178"/>
        <v>0</v>
      </c>
      <c r="BA343" s="377">
        <f t="shared" si="179"/>
        <v>0</v>
      </c>
      <c r="BB343" s="377"/>
      <c r="BC343" s="377">
        <f t="shared" si="180"/>
        <v>0</v>
      </c>
      <c r="BD343" s="377">
        <f t="shared" si="181"/>
        <v>0</v>
      </c>
      <c r="BE343" s="377"/>
      <c r="BF343" s="377">
        <f t="shared" si="182"/>
        <v>0</v>
      </c>
      <c r="BG343" s="433">
        <f t="shared" si="183"/>
        <v>0</v>
      </c>
      <c r="BH343" s="434">
        <f t="shared" si="184"/>
        <v>0</v>
      </c>
    </row>
    <row r="344" spans="1:60" s="378" customFormat="1">
      <c r="A344" s="167">
        <v>339</v>
      </c>
      <c r="B344" s="253">
        <f>VLOOKUP(A344,'JUNE (물량흐름)'!$A$13:$C$493,3,0)</f>
        <v>472629</v>
      </c>
      <c r="C344" s="57" t="str">
        <f>VLOOKUP(A344,'JUNE (물량흐름)'!$A$13:$C$493,2,0)</f>
        <v>ANN TAYLOR</v>
      </c>
      <c r="D344" s="58">
        <f>IFERROR(VLOOKUP(B344,O.B.JUNE!$V$7:$Y$448,2,0),0)</f>
        <v>68</v>
      </c>
      <c r="E344" s="58">
        <f>IFERROR(VLOOKUP(B344,O.B.JUNE!$V$7:$X$448,3,0),0)</f>
        <v>25169.014705882353</v>
      </c>
      <c r="F344" s="58">
        <f>IFERROR(VLOOKUP(B344,O.B.JUNE!$V$7:$Y$448,4,0),0)</f>
        <v>1711493</v>
      </c>
      <c r="G344" s="58">
        <f>SUMIF('JUNE (물량흐름)'!$C$13:$C$493,'In-out-bal products (155)(완성제품)'!B344,'JUNE (물량흐름)'!$V$13:$V$493)</f>
        <v>0</v>
      </c>
      <c r="H344" s="58">
        <f>SUMIF('JUNE (물량흐름)'!$C$13:$C$493,'In-out-bal products (155)(완성제품)'!B344,'JUNE (물량흐름)'!$T$13:$T$493)-SUMIF('JUNE (물량흐름)'!$C$13:$C$493,'In-out-bal products (155)(완성제품)'!B344,'JUNE (물량흐름)'!$Y$13:$Y$493)+SUMIF('JUNE (물량흐름)'!$C$13:$C$493,'In-out-bal products (155)(완성제품)'!B344,'JUNE (물량흐름)'!$U$13:$U$493)</f>
        <v>0</v>
      </c>
      <c r="I344" s="58">
        <f t="shared" si="156"/>
        <v>0</v>
      </c>
      <c r="J344" s="58">
        <f>SUMIF('Direct labour(직접노무비)'!$C$12:$C$503,'In-out-bal products (155)(완성제품)'!B344,'Direct labour(직접노무비)'!$Q$12:$Q$503)</f>
        <v>0</v>
      </c>
      <c r="K344" s="59">
        <f>SUMIF('Overhead exp(제조경비)'!$C$12:$C$503,'In-out-bal products (155)(완성제품)'!B344,'Overhead exp(제조경비)'!$Q$12:$Q$503)</f>
        <v>0</v>
      </c>
      <c r="L344" s="58">
        <f t="shared" si="157"/>
        <v>0</v>
      </c>
      <c r="M344" s="58">
        <f>SUMIF('JUNE (물량흐름)'!$C$13:$C$488,'In-out-bal products (155)(완성제품)'!B344,'JUNE (물량흐름)'!$Y$13:$Y$488)</f>
        <v>0</v>
      </c>
      <c r="N344" s="58">
        <f t="shared" si="158"/>
        <v>0</v>
      </c>
      <c r="O344" s="58">
        <f>SUMIF('Direct labour(직접노무비)'!$C$12:$C$503,'In-out-bal products (155)(완성제품)'!B344,'Direct labour(직접노무비)'!$U$12:$U$503)+SUMIF('Overhead exp(제조경비)'!$C$12:$C$503,'In-out-bal products (155)(완성제품)'!B344,'Overhead exp(제조경비)'!$U$12:$U$503)</f>
        <v>0</v>
      </c>
      <c r="P344" s="60">
        <f t="shared" si="159"/>
        <v>0</v>
      </c>
      <c r="Q344" s="60">
        <f t="shared" si="160"/>
        <v>0</v>
      </c>
      <c r="R344" s="60">
        <f t="shared" si="161"/>
        <v>0</v>
      </c>
      <c r="S344" s="58">
        <v>0</v>
      </c>
      <c r="T344" s="58">
        <v>0</v>
      </c>
      <c r="U344" s="58">
        <v>0</v>
      </c>
      <c r="V344" s="58">
        <f>SUMIF('JUNE (물량흐름)'!$C$13:$C$493,'In-out-bal products (155)(완성제품)'!B344,'JUNE (물량흐름)'!$W$13:$W$493)</f>
        <v>0</v>
      </c>
      <c r="W344" s="58">
        <f t="shared" si="162"/>
        <v>0</v>
      </c>
      <c r="X344" s="58">
        <f t="shared" si="163"/>
        <v>0</v>
      </c>
      <c r="Y344" s="58">
        <f>SUMIF('JUNE (물량흐름)'!$C$13:$C$488,'In-out-bal products (155)(완성제품)'!B344,'JUNE (물량흐름)'!$X$13:$X$488)</f>
        <v>0</v>
      </c>
      <c r="Z344" s="58">
        <f t="shared" si="164"/>
        <v>0</v>
      </c>
      <c r="AA344" s="58">
        <f t="shared" si="165"/>
        <v>0</v>
      </c>
      <c r="AB344" s="58"/>
      <c r="AC344" s="58"/>
      <c r="AD344" s="61"/>
      <c r="AE344" s="58">
        <f t="shared" si="166"/>
        <v>0</v>
      </c>
      <c r="AF344" s="58">
        <f t="shared" si="167"/>
        <v>0</v>
      </c>
      <c r="AG344" s="61">
        <f t="shared" si="168"/>
        <v>0</v>
      </c>
      <c r="AH344" s="58">
        <v>0</v>
      </c>
      <c r="AI344" s="58">
        <v>0</v>
      </c>
      <c r="AJ344" s="61">
        <v>0</v>
      </c>
      <c r="AK344" s="58"/>
      <c r="AL344" s="58"/>
      <c r="AM344" s="61"/>
      <c r="AN344" s="61">
        <f t="shared" si="185"/>
        <v>0</v>
      </c>
      <c r="AO344" s="58">
        <f t="shared" si="169"/>
        <v>0</v>
      </c>
      <c r="AP344" s="61">
        <f t="shared" si="170"/>
        <v>0</v>
      </c>
      <c r="AQ344" s="58">
        <f t="shared" si="171"/>
        <v>68</v>
      </c>
      <c r="AR344" s="58">
        <f t="shared" si="172"/>
        <v>25169.014705882353</v>
      </c>
      <c r="AS344" s="58">
        <f t="shared" si="173"/>
        <v>1711493</v>
      </c>
      <c r="AT344" s="58">
        <f>ROUND(SUMIF('JUNE (물량흐름)'!$C$13:$C$502,'In-out-bal products (155)(완성제품)'!B344,'JUNE (물량흐름)'!$AB$13:$AB$502),0)</f>
        <v>0</v>
      </c>
      <c r="AU344" s="58">
        <f t="shared" si="174"/>
        <v>0</v>
      </c>
      <c r="AV344" s="58">
        <f>ROUND(SUMIF('JUNE (물량흐름)'!$C$13:$C$502,'In-out-bal products (155)(완성제품)'!B344,'JUNE (물량흐름)'!$AC$13:$AC$502),0)</f>
        <v>68</v>
      </c>
      <c r="AW344" s="58">
        <f t="shared" si="175"/>
        <v>1711493</v>
      </c>
      <c r="AX344" s="376">
        <f t="shared" si="176"/>
        <v>0</v>
      </c>
      <c r="AY344" s="377">
        <f t="shared" si="177"/>
        <v>0</v>
      </c>
      <c r="AZ344" s="377">
        <f t="shared" si="178"/>
        <v>0</v>
      </c>
      <c r="BA344" s="377">
        <f t="shared" si="179"/>
        <v>0</v>
      </c>
      <c r="BB344" s="377"/>
      <c r="BC344" s="377">
        <f t="shared" si="180"/>
        <v>0</v>
      </c>
      <c r="BD344" s="377">
        <f t="shared" si="181"/>
        <v>0</v>
      </c>
      <c r="BE344" s="377"/>
      <c r="BF344" s="377">
        <f t="shared" si="182"/>
        <v>0</v>
      </c>
      <c r="BG344" s="433">
        <f t="shared" si="183"/>
        <v>0</v>
      </c>
      <c r="BH344" s="434">
        <f t="shared" si="184"/>
        <v>0</v>
      </c>
    </row>
    <row r="345" spans="1:60" s="378" customFormat="1">
      <c r="A345" s="167">
        <v>340</v>
      </c>
      <c r="B345" s="253">
        <f>VLOOKUP(A345,'JUNE (물량흐름)'!$A$13:$C$493,3,0)</f>
        <v>100015200</v>
      </c>
      <c r="C345" s="57" t="str">
        <f>VLOOKUP(A345,'JUNE (물량흐름)'!$A$13:$C$493,2,0)</f>
        <v>ALFANI</v>
      </c>
      <c r="D345" s="58">
        <f>IFERROR(VLOOKUP(B345,O.B.JUNE!$V$7:$Y$448,2,0),0)</f>
        <v>33</v>
      </c>
      <c r="E345" s="58">
        <f>IFERROR(VLOOKUP(B345,O.B.JUNE!$V$7:$X$448,3,0),0)</f>
        <v>79521.333333333328</v>
      </c>
      <c r="F345" s="58">
        <f>IFERROR(VLOOKUP(B345,O.B.JUNE!$V$7:$Y$448,4,0),0)</f>
        <v>2624204</v>
      </c>
      <c r="G345" s="58">
        <f>SUMIF('JUNE (물량흐름)'!$C$13:$C$493,'In-out-bal products (155)(완성제품)'!B345,'JUNE (물량흐름)'!$V$13:$V$493)</f>
        <v>0</v>
      </c>
      <c r="H345" s="58">
        <f>SUMIF('JUNE (물량흐름)'!$C$13:$C$493,'In-out-bal products (155)(완성제품)'!B345,'JUNE (물량흐름)'!$T$13:$T$493)-SUMIF('JUNE (물량흐름)'!$C$13:$C$493,'In-out-bal products (155)(완성제품)'!B345,'JUNE (물량흐름)'!$Y$13:$Y$493)+SUMIF('JUNE (물량흐름)'!$C$13:$C$493,'In-out-bal products (155)(완성제품)'!B345,'JUNE (물량흐름)'!$U$13:$U$493)</f>
        <v>0</v>
      </c>
      <c r="I345" s="58">
        <f t="shared" si="156"/>
        <v>0</v>
      </c>
      <c r="J345" s="58">
        <f>SUMIF('Direct labour(직접노무비)'!$C$12:$C$503,'In-out-bal products (155)(완성제품)'!B345,'Direct labour(직접노무비)'!$Q$12:$Q$503)</f>
        <v>0</v>
      </c>
      <c r="K345" s="59">
        <f>SUMIF('Overhead exp(제조경비)'!$C$12:$C$503,'In-out-bal products (155)(완성제품)'!B345,'Overhead exp(제조경비)'!$Q$12:$Q$503)</f>
        <v>0</v>
      </c>
      <c r="L345" s="58">
        <f t="shared" si="157"/>
        <v>0</v>
      </c>
      <c r="M345" s="58">
        <f>SUMIF('JUNE (물량흐름)'!$C$13:$C$488,'In-out-bal products (155)(완성제품)'!B345,'JUNE (물량흐름)'!$Y$13:$Y$488)</f>
        <v>0</v>
      </c>
      <c r="N345" s="58">
        <f t="shared" si="158"/>
        <v>0</v>
      </c>
      <c r="O345" s="58">
        <f>SUMIF('Direct labour(직접노무비)'!$C$12:$C$503,'In-out-bal products (155)(완성제품)'!B345,'Direct labour(직접노무비)'!$U$12:$U$503)+SUMIF('Overhead exp(제조경비)'!$C$12:$C$503,'In-out-bal products (155)(완성제품)'!B345,'Overhead exp(제조경비)'!$U$12:$U$503)</f>
        <v>0</v>
      </c>
      <c r="P345" s="60">
        <f t="shared" si="159"/>
        <v>0</v>
      </c>
      <c r="Q345" s="60">
        <f t="shared" si="160"/>
        <v>0</v>
      </c>
      <c r="R345" s="60">
        <f t="shared" si="161"/>
        <v>0</v>
      </c>
      <c r="S345" s="58">
        <v>0</v>
      </c>
      <c r="T345" s="58">
        <v>0</v>
      </c>
      <c r="U345" s="58">
        <v>0</v>
      </c>
      <c r="V345" s="58">
        <f>SUMIF('JUNE (물량흐름)'!$C$13:$C$493,'In-out-bal products (155)(완성제품)'!B345,'JUNE (물량흐름)'!$W$13:$W$493)</f>
        <v>0</v>
      </c>
      <c r="W345" s="58">
        <f t="shared" si="162"/>
        <v>0</v>
      </c>
      <c r="X345" s="58">
        <f t="shared" si="163"/>
        <v>0</v>
      </c>
      <c r="Y345" s="58">
        <f>SUMIF('JUNE (물량흐름)'!$C$13:$C$488,'In-out-bal products (155)(완성제품)'!B345,'JUNE (물량흐름)'!$X$13:$X$488)</f>
        <v>0</v>
      </c>
      <c r="Z345" s="58">
        <f t="shared" si="164"/>
        <v>0</v>
      </c>
      <c r="AA345" s="58">
        <f t="shared" si="165"/>
        <v>0</v>
      </c>
      <c r="AB345" s="58"/>
      <c r="AC345" s="58"/>
      <c r="AD345" s="61"/>
      <c r="AE345" s="58">
        <f t="shared" si="166"/>
        <v>0</v>
      </c>
      <c r="AF345" s="58">
        <f t="shared" si="167"/>
        <v>0</v>
      </c>
      <c r="AG345" s="61">
        <f t="shared" si="168"/>
        <v>0</v>
      </c>
      <c r="AH345" s="58">
        <v>0</v>
      </c>
      <c r="AI345" s="58">
        <v>0</v>
      </c>
      <c r="AJ345" s="61">
        <v>0</v>
      </c>
      <c r="AK345" s="58"/>
      <c r="AL345" s="58"/>
      <c r="AM345" s="61"/>
      <c r="AN345" s="61">
        <f t="shared" si="185"/>
        <v>0</v>
      </c>
      <c r="AO345" s="58">
        <f t="shared" si="169"/>
        <v>0</v>
      </c>
      <c r="AP345" s="61">
        <f t="shared" si="170"/>
        <v>0</v>
      </c>
      <c r="AQ345" s="58">
        <f t="shared" si="171"/>
        <v>33</v>
      </c>
      <c r="AR345" s="58">
        <f t="shared" si="172"/>
        <v>79521.333333333328</v>
      </c>
      <c r="AS345" s="58">
        <f t="shared" si="173"/>
        <v>2624204</v>
      </c>
      <c r="AT345" s="58">
        <f>ROUND(SUMIF('JUNE (물량흐름)'!$C$13:$C$502,'In-out-bal products (155)(완성제품)'!B345,'JUNE (물량흐름)'!$AB$13:$AB$502),0)</f>
        <v>0</v>
      </c>
      <c r="AU345" s="58">
        <f t="shared" si="174"/>
        <v>0</v>
      </c>
      <c r="AV345" s="58">
        <f>ROUND(SUMIF('JUNE (물량흐름)'!$C$13:$C$502,'In-out-bal products (155)(완성제품)'!B345,'JUNE (물량흐름)'!$AC$13:$AC$502),0)</f>
        <v>33</v>
      </c>
      <c r="AW345" s="58">
        <f t="shared" si="175"/>
        <v>2624204</v>
      </c>
      <c r="AX345" s="376">
        <f t="shared" si="176"/>
        <v>0</v>
      </c>
      <c r="AY345" s="377">
        <f t="shared" si="177"/>
        <v>0</v>
      </c>
      <c r="AZ345" s="377">
        <f t="shared" si="178"/>
        <v>0</v>
      </c>
      <c r="BA345" s="377">
        <f t="shared" si="179"/>
        <v>0</v>
      </c>
      <c r="BB345" s="377"/>
      <c r="BC345" s="377">
        <f t="shared" si="180"/>
        <v>0</v>
      </c>
      <c r="BD345" s="377">
        <f t="shared" si="181"/>
        <v>0</v>
      </c>
      <c r="BE345" s="377"/>
      <c r="BF345" s="377">
        <f t="shared" si="182"/>
        <v>0</v>
      </c>
      <c r="BG345" s="433">
        <f t="shared" si="183"/>
        <v>0</v>
      </c>
      <c r="BH345" s="434">
        <f t="shared" si="184"/>
        <v>0</v>
      </c>
    </row>
    <row r="346" spans="1:60" s="378" customFormat="1">
      <c r="A346" s="167">
        <v>341</v>
      </c>
      <c r="B346" s="253">
        <f>VLOOKUP(A346,'JUNE (물량흐름)'!$A$13:$C$493,3,0)</f>
        <v>100015306</v>
      </c>
      <c r="C346" s="57" t="str">
        <f>VLOOKUP(A346,'JUNE (물량흐름)'!$A$13:$C$493,2,0)</f>
        <v>ALFANI</v>
      </c>
      <c r="D346" s="58">
        <f>IFERROR(VLOOKUP(B346,O.B.JUNE!$V$7:$Y$448,2,0),0)</f>
        <v>0</v>
      </c>
      <c r="E346" s="58">
        <f>IFERROR(VLOOKUP(B346,O.B.JUNE!$V$7:$X$448,3,0),0)</f>
        <v>0</v>
      </c>
      <c r="F346" s="58">
        <f>IFERROR(VLOOKUP(B346,O.B.JUNE!$V$7:$Y$448,4,0),0)</f>
        <v>0</v>
      </c>
      <c r="G346" s="58">
        <f>SUMIF('JUNE (물량흐름)'!$C$13:$C$493,'In-out-bal products (155)(완성제품)'!B346,'JUNE (물량흐름)'!$V$13:$V$493)</f>
        <v>0</v>
      </c>
      <c r="H346" s="58">
        <f>SUMIF('JUNE (물량흐름)'!$C$13:$C$493,'In-out-bal products (155)(완성제품)'!B346,'JUNE (물량흐름)'!$T$13:$T$493)-SUMIF('JUNE (물량흐름)'!$C$13:$C$493,'In-out-bal products (155)(완성제품)'!B346,'JUNE (물량흐름)'!$Y$13:$Y$493)+SUMIF('JUNE (물량흐름)'!$C$13:$C$493,'In-out-bal products (155)(완성제품)'!B346,'JUNE (물량흐름)'!$U$13:$U$493)</f>
        <v>0</v>
      </c>
      <c r="I346" s="58">
        <f t="shared" si="156"/>
        <v>0</v>
      </c>
      <c r="J346" s="58">
        <f>SUMIF('Direct labour(직접노무비)'!$C$12:$C$503,'In-out-bal products (155)(완성제품)'!B346,'Direct labour(직접노무비)'!$Q$12:$Q$503)</f>
        <v>0</v>
      </c>
      <c r="K346" s="59">
        <f>SUMIF('Overhead exp(제조경비)'!$C$12:$C$503,'In-out-bal products (155)(완성제품)'!B346,'Overhead exp(제조경비)'!$Q$12:$Q$503)</f>
        <v>0</v>
      </c>
      <c r="L346" s="58">
        <f t="shared" si="157"/>
        <v>0</v>
      </c>
      <c r="M346" s="58">
        <f>SUMIF('JUNE (물량흐름)'!$C$13:$C$488,'In-out-bal products (155)(완성제품)'!B346,'JUNE (물량흐름)'!$Y$13:$Y$488)</f>
        <v>0</v>
      </c>
      <c r="N346" s="58">
        <f t="shared" si="158"/>
        <v>0</v>
      </c>
      <c r="O346" s="58">
        <f>SUMIF('Direct labour(직접노무비)'!$C$12:$C$503,'In-out-bal products (155)(완성제품)'!B346,'Direct labour(직접노무비)'!$U$12:$U$503)+SUMIF('Overhead exp(제조경비)'!$C$12:$C$503,'In-out-bal products (155)(완성제품)'!B346,'Overhead exp(제조경비)'!$U$12:$U$503)</f>
        <v>0</v>
      </c>
      <c r="P346" s="60">
        <f t="shared" si="159"/>
        <v>0</v>
      </c>
      <c r="Q346" s="60">
        <f t="shared" si="160"/>
        <v>0</v>
      </c>
      <c r="R346" s="60">
        <f t="shared" si="161"/>
        <v>0</v>
      </c>
      <c r="S346" s="58">
        <v>0</v>
      </c>
      <c r="T346" s="58">
        <v>0</v>
      </c>
      <c r="U346" s="58">
        <v>0</v>
      </c>
      <c r="V346" s="58">
        <f>SUMIF('JUNE (물량흐름)'!$C$13:$C$493,'In-out-bal products (155)(완성제품)'!B346,'JUNE (물량흐름)'!$W$13:$W$493)</f>
        <v>0</v>
      </c>
      <c r="W346" s="58">
        <f t="shared" si="162"/>
        <v>0</v>
      </c>
      <c r="X346" s="58">
        <f t="shared" si="163"/>
        <v>0</v>
      </c>
      <c r="Y346" s="58">
        <f>SUMIF('JUNE (물량흐름)'!$C$13:$C$488,'In-out-bal products (155)(완성제품)'!B346,'JUNE (물량흐름)'!$X$13:$X$488)</f>
        <v>0</v>
      </c>
      <c r="Z346" s="58">
        <f t="shared" si="164"/>
        <v>0</v>
      </c>
      <c r="AA346" s="58">
        <f t="shared" si="165"/>
        <v>0</v>
      </c>
      <c r="AB346" s="58"/>
      <c r="AC346" s="58"/>
      <c r="AD346" s="61"/>
      <c r="AE346" s="58">
        <f t="shared" si="166"/>
        <v>0</v>
      </c>
      <c r="AF346" s="58">
        <f t="shared" si="167"/>
        <v>0</v>
      </c>
      <c r="AG346" s="61">
        <f t="shared" si="168"/>
        <v>0</v>
      </c>
      <c r="AH346" s="58">
        <v>0</v>
      </c>
      <c r="AI346" s="58">
        <v>0</v>
      </c>
      <c r="AJ346" s="61">
        <v>0</v>
      </c>
      <c r="AK346" s="58"/>
      <c r="AL346" s="58"/>
      <c r="AM346" s="61"/>
      <c r="AN346" s="61">
        <f t="shared" si="185"/>
        <v>0</v>
      </c>
      <c r="AO346" s="58">
        <f t="shared" si="169"/>
        <v>0</v>
      </c>
      <c r="AP346" s="61">
        <f t="shared" si="170"/>
        <v>0</v>
      </c>
      <c r="AQ346" s="58">
        <f t="shared" si="171"/>
        <v>0</v>
      </c>
      <c r="AR346" s="58">
        <f t="shared" si="172"/>
        <v>0</v>
      </c>
      <c r="AS346" s="58">
        <f t="shared" si="173"/>
        <v>0</v>
      </c>
      <c r="AT346" s="58">
        <f>ROUND(SUMIF('JUNE (물량흐름)'!$C$13:$C$502,'In-out-bal products (155)(완성제품)'!B346,'JUNE (물량흐름)'!$AB$13:$AB$502),0)</f>
        <v>0</v>
      </c>
      <c r="AU346" s="58">
        <f t="shared" si="174"/>
        <v>0</v>
      </c>
      <c r="AV346" s="58">
        <f>ROUND(SUMIF('JUNE (물량흐름)'!$C$13:$C$502,'In-out-bal products (155)(완성제품)'!B346,'JUNE (물량흐름)'!$AC$13:$AC$502),0)</f>
        <v>0</v>
      </c>
      <c r="AW346" s="58">
        <f t="shared" si="175"/>
        <v>0</v>
      </c>
      <c r="AX346" s="376">
        <f t="shared" si="176"/>
        <v>0</v>
      </c>
      <c r="AY346" s="377">
        <f t="shared" si="177"/>
        <v>0</v>
      </c>
      <c r="AZ346" s="377">
        <f t="shared" si="178"/>
        <v>0</v>
      </c>
      <c r="BA346" s="377">
        <f t="shared" si="179"/>
        <v>0</v>
      </c>
      <c r="BB346" s="377"/>
      <c r="BC346" s="377">
        <f t="shared" si="180"/>
        <v>0</v>
      </c>
      <c r="BD346" s="377">
        <f t="shared" si="181"/>
        <v>0</v>
      </c>
      <c r="BE346" s="377"/>
      <c r="BF346" s="377">
        <f t="shared" si="182"/>
        <v>0</v>
      </c>
      <c r="BG346" s="433">
        <f t="shared" si="183"/>
        <v>0</v>
      </c>
      <c r="BH346" s="434">
        <f t="shared" si="184"/>
        <v>0</v>
      </c>
    </row>
    <row r="347" spans="1:60" s="378" customFormat="1">
      <c r="A347" s="167">
        <v>342</v>
      </c>
      <c r="B347" s="253">
        <f>VLOOKUP(A347,'JUNE (물량흐름)'!$A$13:$C$493,3,0)</f>
        <v>100016101</v>
      </c>
      <c r="C347" s="57" t="str">
        <f>VLOOKUP(A347,'JUNE (물량흐름)'!$A$13:$C$493,2,0)</f>
        <v>ALFANI</v>
      </c>
      <c r="D347" s="58">
        <f>IFERROR(VLOOKUP(B347,O.B.JUNE!$V$7:$Y$448,2,0),0)</f>
        <v>1395</v>
      </c>
      <c r="E347" s="58">
        <f>IFERROR(VLOOKUP(B347,O.B.JUNE!$V$7:$X$448,3,0),0)</f>
        <v>27523.490322580645</v>
      </c>
      <c r="F347" s="58">
        <f>IFERROR(VLOOKUP(B347,O.B.JUNE!$V$7:$Y$448,4,0),0)</f>
        <v>38395269</v>
      </c>
      <c r="G347" s="58">
        <f>SUMIF('JUNE (물량흐름)'!$C$13:$C$493,'In-out-bal products (155)(완성제품)'!B347,'JUNE (물량흐름)'!$V$13:$V$493)</f>
        <v>0</v>
      </c>
      <c r="H347" s="58">
        <f>SUMIF('JUNE (물량흐름)'!$C$13:$C$493,'In-out-bal products (155)(완성제품)'!B347,'JUNE (물량흐름)'!$T$13:$T$493)-SUMIF('JUNE (물량흐름)'!$C$13:$C$493,'In-out-bal products (155)(완성제품)'!B347,'JUNE (물량흐름)'!$Y$13:$Y$493)+SUMIF('JUNE (물량흐름)'!$C$13:$C$493,'In-out-bal products (155)(완성제품)'!B347,'JUNE (물량흐름)'!$U$13:$U$493)</f>
        <v>25</v>
      </c>
      <c r="I347" s="58">
        <f t="shared" si="156"/>
        <v>22812.959999999999</v>
      </c>
      <c r="J347" s="58">
        <f>SUMIF('Direct labour(직접노무비)'!$C$12:$C$503,'In-out-bal products (155)(완성제품)'!B347,'Direct labour(직접노무비)'!$Q$12:$Q$503)</f>
        <v>203844</v>
      </c>
      <c r="K347" s="59">
        <f>SUMIF('Overhead exp(제조경비)'!$C$12:$C$503,'In-out-bal products (155)(완성제품)'!B347,'Overhead exp(제조경비)'!$Q$12:$Q$503)</f>
        <v>366480</v>
      </c>
      <c r="L347" s="58">
        <f t="shared" si="157"/>
        <v>570324</v>
      </c>
      <c r="M347" s="58">
        <f>SUMIF('JUNE (물량흐름)'!$C$13:$C$488,'In-out-bal products (155)(완성제품)'!B347,'JUNE (물량흐름)'!$Y$13:$Y$488)</f>
        <v>5</v>
      </c>
      <c r="N347" s="58">
        <f t="shared" si="158"/>
        <v>22813</v>
      </c>
      <c r="O347" s="58">
        <f>SUMIF('Direct labour(직접노무비)'!$C$12:$C$503,'In-out-bal products (155)(완성제품)'!B347,'Direct labour(직접노무비)'!$U$12:$U$503)+SUMIF('Overhead exp(제조경비)'!$C$12:$C$503,'In-out-bal products (155)(완성제품)'!B347,'Overhead exp(제조경비)'!$U$12:$U$503)</f>
        <v>114065</v>
      </c>
      <c r="P347" s="60">
        <f t="shared" si="159"/>
        <v>30</v>
      </c>
      <c r="Q347" s="60">
        <f t="shared" si="160"/>
        <v>22812.966666666667</v>
      </c>
      <c r="R347" s="60">
        <f t="shared" si="161"/>
        <v>684389</v>
      </c>
      <c r="S347" s="58">
        <v>0</v>
      </c>
      <c r="T347" s="58">
        <v>0</v>
      </c>
      <c r="U347" s="58">
        <v>0</v>
      </c>
      <c r="V347" s="58">
        <f>SUMIF('JUNE (물량흐름)'!$C$13:$C$493,'In-out-bal products (155)(완성제품)'!B347,'JUNE (물량흐름)'!$W$13:$W$493)</f>
        <v>1352</v>
      </c>
      <c r="W347" s="58">
        <f t="shared" si="162"/>
        <v>27440.558431952664</v>
      </c>
      <c r="X347" s="58">
        <f t="shared" si="163"/>
        <v>37099635</v>
      </c>
      <c r="Y347" s="58">
        <f>SUMIF('JUNE (물량흐름)'!$C$13:$C$488,'In-out-bal products (155)(완성제품)'!B347,'JUNE (물량흐름)'!$X$13:$X$488)</f>
        <v>0</v>
      </c>
      <c r="Z347" s="58">
        <f t="shared" si="164"/>
        <v>0</v>
      </c>
      <c r="AA347" s="58">
        <f t="shared" si="165"/>
        <v>0</v>
      </c>
      <c r="AB347" s="58"/>
      <c r="AC347" s="58"/>
      <c r="AD347" s="61"/>
      <c r="AE347" s="58">
        <f t="shared" si="166"/>
        <v>5</v>
      </c>
      <c r="AF347" s="58">
        <f t="shared" si="167"/>
        <v>22813</v>
      </c>
      <c r="AG347" s="61">
        <f t="shared" si="168"/>
        <v>114065</v>
      </c>
      <c r="AH347" s="58">
        <v>0</v>
      </c>
      <c r="AI347" s="58">
        <v>0</v>
      </c>
      <c r="AJ347" s="61">
        <v>0</v>
      </c>
      <c r="AK347" s="58"/>
      <c r="AL347" s="58"/>
      <c r="AM347" s="61"/>
      <c r="AN347" s="61">
        <f t="shared" si="185"/>
        <v>1357</v>
      </c>
      <c r="AO347" s="58">
        <f t="shared" si="169"/>
        <v>27423.507737656597</v>
      </c>
      <c r="AP347" s="61">
        <f t="shared" si="170"/>
        <v>37213700</v>
      </c>
      <c r="AQ347" s="58">
        <f t="shared" si="171"/>
        <v>68</v>
      </c>
      <c r="AR347" s="58">
        <f t="shared" si="172"/>
        <v>27440.558823529413</v>
      </c>
      <c r="AS347" s="58">
        <f t="shared" si="173"/>
        <v>1865958</v>
      </c>
      <c r="AT347" s="58">
        <f>ROUND(SUMIF('JUNE (물량흐름)'!$C$13:$C$502,'In-out-bal products (155)(완성제품)'!B347,'JUNE (물량흐름)'!$AB$13:$AB$502),0)</f>
        <v>0</v>
      </c>
      <c r="AU347" s="58">
        <f t="shared" si="174"/>
        <v>0</v>
      </c>
      <c r="AV347" s="58">
        <f>ROUND(SUMIF('JUNE (물량흐름)'!$C$13:$C$502,'In-out-bal products (155)(완성제품)'!B347,'JUNE (물량흐름)'!$AC$13:$AC$502),0)</f>
        <v>68</v>
      </c>
      <c r="AW347" s="58">
        <f t="shared" si="175"/>
        <v>1865958</v>
      </c>
      <c r="AX347" s="376">
        <f t="shared" si="176"/>
        <v>0</v>
      </c>
      <c r="AY347" s="377">
        <f t="shared" si="177"/>
        <v>0</v>
      </c>
      <c r="AZ347" s="377">
        <f t="shared" si="178"/>
        <v>0</v>
      </c>
      <c r="BA347" s="377">
        <f t="shared" si="179"/>
        <v>0</v>
      </c>
      <c r="BB347" s="377"/>
      <c r="BC347" s="377">
        <f t="shared" si="180"/>
        <v>0</v>
      </c>
      <c r="BD347" s="377">
        <f t="shared" si="181"/>
        <v>0</v>
      </c>
      <c r="BE347" s="377"/>
      <c r="BF347" s="377">
        <f t="shared" si="182"/>
        <v>0</v>
      </c>
      <c r="BG347" s="433">
        <f t="shared" si="183"/>
        <v>37213700</v>
      </c>
      <c r="BH347" s="434">
        <f t="shared" si="184"/>
        <v>0</v>
      </c>
    </row>
    <row r="348" spans="1:60" s="378" customFormat="1">
      <c r="A348" s="167">
        <v>343</v>
      </c>
      <c r="B348" s="253">
        <f>VLOOKUP(A348,'JUNE (물량흐름)'!$A$13:$C$493,3,0)</f>
        <v>100017974</v>
      </c>
      <c r="C348" s="57" t="str">
        <f>VLOOKUP(A348,'JUNE (물량흐름)'!$A$13:$C$493,2,0)</f>
        <v>ALFANI</v>
      </c>
      <c r="D348" s="58">
        <f>IFERROR(VLOOKUP(B348,O.B.JUNE!$V$7:$Y$448,2,0),0)</f>
        <v>58</v>
      </c>
      <c r="E348" s="58">
        <f>IFERROR(VLOOKUP(B348,O.B.JUNE!$V$7:$X$448,3,0),0)</f>
        <v>27794.879310344826</v>
      </c>
      <c r="F348" s="58">
        <f>IFERROR(VLOOKUP(B348,O.B.JUNE!$V$7:$Y$448,4,0),0)</f>
        <v>1612103</v>
      </c>
      <c r="G348" s="58">
        <f>SUMIF('JUNE (물량흐름)'!$C$13:$C$493,'In-out-bal products (155)(완성제품)'!B348,'JUNE (물량흐름)'!$V$13:$V$493)</f>
        <v>0</v>
      </c>
      <c r="H348" s="58">
        <f>SUMIF('JUNE (물량흐름)'!$C$13:$C$493,'In-out-bal products (155)(완성제품)'!B348,'JUNE (물량흐름)'!$T$13:$T$493)-SUMIF('JUNE (물량흐름)'!$C$13:$C$493,'In-out-bal products (155)(완성제품)'!B348,'JUNE (물량흐름)'!$Y$13:$Y$493)+SUMIF('JUNE (물량흐름)'!$C$13:$C$493,'In-out-bal products (155)(완성제품)'!B348,'JUNE (물량흐름)'!$U$13:$U$493)</f>
        <v>0</v>
      </c>
      <c r="I348" s="58">
        <f t="shared" si="156"/>
        <v>0</v>
      </c>
      <c r="J348" s="58">
        <f>SUMIF('Direct labour(직접노무비)'!$C$12:$C$503,'In-out-bal products (155)(완성제품)'!B348,'Direct labour(직접노무비)'!$Q$12:$Q$503)</f>
        <v>0</v>
      </c>
      <c r="K348" s="59">
        <f>SUMIF('Overhead exp(제조경비)'!$C$12:$C$503,'In-out-bal products (155)(완성제품)'!B348,'Overhead exp(제조경비)'!$Q$12:$Q$503)</f>
        <v>0</v>
      </c>
      <c r="L348" s="58">
        <f t="shared" si="157"/>
        <v>0</v>
      </c>
      <c r="M348" s="58">
        <f>SUMIF('JUNE (물량흐름)'!$C$13:$C$488,'In-out-bal products (155)(완성제품)'!B348,'JUNE (물량흐름)'!$Y$13:$Y$488)</f>
        <v>0</v>
      </c>
      <c r="N348" s="58">
        <f t="shared" si="158"/>
        <v>0</v>
      </c>
      <c r="O348" s="58">
        <f>SUMIF('Direct labour(직접노무비)'!$C$12:$C$503,'In-out-bal products (155)(완성제품)'!B348,'Direct labour(직접노무비)'!$U$12:$U$503)+SUMIF('Overhead exp(제조경비)'!$C$12:$C$503,'In-out-bal products (155)(완성제품)'!B348,'Overhead exp(제조경비)'!$U$12:$U$503)</f>
        <v>0</v>
      </c>
      <c r="P348" s="60">
        <f t="shared" si="159"/>
        <v>0</v>
      </c>
      <c r="Q348" s="60">
        <f t="shared" si="160"/>
        <v>0</v>
      </c>
      <c r="R348" s="60">
        <f t="shared" si="161"/>
        <v>0</v>
      </c>
      <c r="S348" s="58">
        <v>0</v>
      </c>
      <c r="T348" s="58">
        <v>0</v>
      </c>
      <c r="U348" s="58">
        <v>0</v>
      </c>
      <c r="V348" s="58">
        <f>SUMIF('JUNE (물량흐름)'!$C$13:$C$493,'In-out-bal products (155)(완성제품)'!B348,'JUNE (물량흐름)'!$W$13:$W$493)</f>
        <v>0</v>
      </c>
      <c r="W348" s="58">
        <f t="shared" si="162"/>
        <v>0</v>
      </c>
      <c r="X348" s="58">
        <f t="shared" si="163"/>
        <v>0</v>
      </c>
      <c r="Y348" s="58">
        <f>SUMIF('JUNE (물량흐름)'!$C$13:$C$488,'In-out-bal products (155)(완성제품)'!B348,'JUNE (물량흐름)'!$X$13:$X$488)</f>
        <v>0</v>
      </c>
      <c r="Z348" s="58">
        <f t="shared" si="164"/>
        <v>0</v>
      </c>
      <c r="AA348" s="58">
        <f t="shared" si="165"/>
        <v>0</v>
      </c>
      <c r="AB348" s="58"/>
      <c r="AC348" s="58"/>
      <c r="AD348" s="61"/>
      <c r="AE348" s="58">
        <f t="shared" si="166"/>
        <v>0</v>
      </c>
      <c r="AF348" s="58">
        <f t="shared" si="167"/>
        <v>0</v>
      </c>
      <c r="AG348" s="61">
        <f t="shared" si="168"/>
        <v>0</v>
      </c>
      <c r="AH348" s="58">
        <v>0</v>
      </c>
      <c r="AI348" s="58">
        <v>0</v>
      </c>
      <c r="AJ348" s="61">
        <v>0</v>
      </c>
      <c r="AK348" s="58"/>
      <c r="AL348" s="58"/>
      <c r="AM348" s="61"/>
      <c r="AN348" s="61">
        <f t="shared" si="185"/>
        <v>0</v>
      </c>
      <c r="AO348" s="58">
        <f t="shared" si="169"/>
        <v>0</v>
      </c>
      <c r="AP348" s="61">
        <f t="shared" si="170"/>
        <v>0</v>
      </c>
      <c r="AQ348" s="58">
        <f t="shared" si="171"/>
        <v>58</v>
      </c>
      <c r="AR348" s="58">
        <f t="shared" si="172"/>
        <v>27794.879310344826</v>
      </c>
      <c r="AS348" s="58">
        <f t="shared" si="173"/>
        <v>1612103</v>
      </c>
      <c r="AT348" s="58">
        <f>ROUND(SUMIF('JUNE (물량흐름)'!$C$13:$C$502,'In-out-bal products (155)(완성제품)'!B348,'JUNE (물량흐름)'!$AB$13:$AB$502),0)</f>
        <v>0</v>
      </c>
      <c r="AU348" s="58">
        <f t="shared" si="174"/>
        <v>0</v>
      </c>
      <c r="AV348" s="58">
        <f>ROUND(SUMIF('JUNE (물량흐름)'!$C$13:$C$502,'In-out-bal products (155)(완성제품)'!B348,'JUNE (물량흐름)'!$AC$13:$AC$502),0)</f>
        <v>58</v>
      </c>
      <c r="AW348" s="58">
        <f t="shared" si="175"/>
        <v>1612103</v>
      </c>
      <c r="AX348" s="376">
        <f t="shared" si="176"/>
        <v>0</v>
      </c>
      <c r="AY348" s="377">
        <f t="shared" si="177"/>
        <v>0</v>
      </c>
      <c r="AZ348" s="377">
        <f t="shared" si="178"/>
        <v>0</v>
      </c>
      <c r="BA348" s="377">
        <f t="shared" si="179"/>
        <v>0</v>
      </c>
      <c r="BB348" s="377"/>
      <c r="BC348" s="377">
        <f t="shared" si="180"/>
        <v>0</v>
      </c>
      <c r="BD348" s="377">
        <f t="shared" si="181"/>
        <v>0</v>
      </c>
      <c r="BE348" s="377"/>
      <c r="BF348" s="377">
        <f t="shared" si="182"/>
        <v>0</v>
      </c>
      <c r="BG348" s="433">
        <f t="shared" si="183"/>
        <v>0</v>
      </c>
      <c r="BH348" s="434">
        <f t="shared" si="184"/>
        <v>0</v>
      </c>
    </row>
    <row r="349" spans="1:60" s="378" customFormat="1">
      <c r="A349" s="167">
        <v>344</v>
      </c>
      <c r="B349" s="253">
        <f>VLOOKUP(A349,'JUNE (물량흐름)'!$A$13:$C$493,3,0)</f>
        <v>100018139</v>
      </c>
      <c r="C349" s="57" t="str">
        <f>VLOOKUP(A349,'JUNE (물량흐름)'!$A$13:$C$493,2,0)</f>
        <v>ALFANI</v>
      </c>
      <c r="D349" s="58">
        <f>IFERROR(VLOOKUP(B349,O.B.JUNE!$V$7:$Y$448,2,0),0)</f>
        <v>7536</v>
      </c>
      <c r="E349" s="58">
        <f>IFERROR(VLOOKUP(B349,O.B.JUNE!$V$7:$X$448,3,0),0)</f>
        <v>37614.368232484077</v>
      </c>
      <c r="F349" s="58">
        <f>IFERROR(VLOOKUP(B349,O.B.JUNE!$V$7:$Y$448,4,0),0)</f>
        <v>283461879</v>
      </c>
      <c r="G349" s="58">
        <f>SUMIF('JUNE (물량흐름)'!$C$13:$C$493,'In-out-bal products (155)(완성제품)'!B349,'JUNE (물량흐름)'!$V$13:$V$493)</f>
        <v>0</v>
      </c>
      <c r="H349" s="58">
        <f>SUMIF('JUNE (물량흐름)'!$C$13:$C$493,'In-out-bal products (155)(완성제품)'!B349,'JUNE (물량흐름)'!$T$13:$T$493)-SUMIF('JUNE (물량흐름)'!$C$13:$C$493,'In-out-bal products (155)(완성제품)'!B349,'JUNE (물량흐름)'!$Y$13:$Y$493)+SUMIF('JUNE (물량흐름)'!$C$13:$C$493,'In-out-bal products (155)(완성제품)'!B349,'JUNE (물량흐름)'!$U$13:$U$493)</f>
        <v>427</v>
      </c>
      <c r="I349" s="58">
        <f t="shared" si="156"/>
        <v>36001.571428571428</v>
      </c>
      <c r="J349" s="58">
        <f>SUMIF('Direct labour(직접노무비)'!$C$12:$C$503,'In-out-bal products (155)(완성제품)'!B349,'Direct labour(직접노무비)'!$Q$12:$Q$503)</f>
        <v>5393654</v>
      </c>
      <c r="K349" s="59">
        <f>SUMIF('Overhead exp(제조경비)'!$C$12:$C$503,'In-out-bal products (155)(완성제품)'!B349,'Overhead exp(제조경비)'!$Q$12:$Q$503)</f>
        <v>9979017</v>
      </c>
      <c r="L349" s="58">
        <f t="shared" si="157"/>
        <v>15372671</v>
      </c>
      <c r="M349" s="58">
        <f>SUMIF('JUNE (물량흐름)'!$C$13:$C$488,'In-out-bal products (155)(완성제품)'!B349,'JUNE (물량흐름)'!$Y$13:$Y$488)</f>
        <v>2</v>
      </c>
      <c r="N349" s="58">
        <f t="shared" si="158"/>
        <v>36001.5</v>
      </c>
      <c r="O349" s="58">
        <f>SUMIF('Direct labour(직접노무비)'!$C$12:$C$503,'In-out-bal products (155)(완성제품)'!B349,'Direct labour(직접노무비)'!$U$12:$U$503)+SUMIF('Overhead exp(제조경비)'!$C$12:$C$503,'In-out-bal products (155)(완성제품)'!B349,'Overhead exp(제조경비)'!$U$12:$U$503)</f>
        <v>72003</v>
      </c>
      <c r="P349" s="60">
        <f t="shared" si="159"/>
        <v>429</v>
      </c>
      <c r="Q349" s="60">
        <f t="shared" si="160"/>
        <v>36001.571095571097</v>
      </c>
      <c r="R349" s="60">
        <f t="shared" si="161"/>
        <v>15444674</v>
      </c>
      <c r="S349" s="58">
        <v>0</v>
      </c>
      <c r="T349" s="58">
        <v>0</v>
      </c>
      <c r="U349" s="58">
        <v>0</v>
      </c>
      <c r="V349" s="58">
        <f>SUMIF('JUNE (물량흐름)'!$C$13:$C$493,'In-out-bal products (155)(완성제품)'!B349,'JUNE (물량흐름)'!$W$13:$W$493)</f>
        <v>7871</v>
      </c>
      <c r="W349" s="58">
        <f t="shared" si="162"/>
        <v>37527.885275060347</v>
      </c>
      <c r="X349" s="58">
        <f t="shared" si="163"/>
        <v>295381985</v>
      </c>
      <c r="Y349" s="58">
        <f>SUMIF('JUNE (물량흐름)'!$C$13:$C$488,'In-out-bal products (155)(완성제품)'!B349,'JUNE (물량흐름)'!$X$13:$X$488)</f>
        <v>0</v>
      </c>
      <c r="Z349" s="58">
        <f t="shared" si="164"/>
        <v>0</v>
      </c>
      <c r="AA349" s="58">
        <f t="shared" si="165"/>
        <v>0</v>
      </c>
      <c r="AB349" s="58"/>
      <c r="AC349" s="58"/>
      <c r="AD349" s="61"/>
      <c r="AE349" s="58">
        <f t="shared" si="166"/>
        <v>2</v>
      </c>
      <c r="AF349" s="58">
        <f t="shared" si="167"/>
        <v>36001.5</v>
      </c>
      <c r="AG349" s="61">
        <f t="shared" si="168"/>
        <v>72003</v>
      </c>
      <c r="AH349" s="58">
        <v>0</v>
      </c>
      <c r="AI349" s="58">
        <v>0</v>
      </c>
      <c r="AJ349" s="61">
        <v>0</v>
      </c>
      <c r="AK349" s="58"/>
      <c r="AL349" s="58"/>
      <c r="AM349" s="61"/>
      <c r="AN349" s="61">
        <f t="shared" si="185"/>
        <v>7873</v>
      </c>
      <c r="AO349" s="58">
        <f t="shared" si="169"/>
        <v>37527.497523180493</v>
      </c>
      <c r="AP349" s="61">
        <f t="shared" si="170"/>
        <v>295453988</v>
      </c>
      <c r="AQ349" s="58">
        <f t="shared" si="171"/>
        <v>92</v>
      </c>
      <c r="AR349" s="58">
        <f t="shared" si="172"/>
        <v>37527.880434782608</v>
      </c>
      <c r="AS349" s="58">
        <f t="shared" si="173"/>
        <v>3452565</v>
      </c>
      <c r="AT349" s="58">
        <f>ROUND(SUMIF('JUNE (물량흐름)'!$C$13:$C$502,'In-out-bal products (155)(완성제품)'!B349,'JUNE (물량흐름)'!$AB$13:$AB$502),0)</f>
        <v>0</v>
      </c>
      <c r="AU349" s="58">
        <f t="shared" si="174"/>
        <v>0</v>
      </c>
      <c r="AV349" s="58">
        <f>ROUND(SUMIF('JUNE (물량흐름)'!$C$13:$C$502,'In-out-bal products (155)(완성제품)'!B349,'JUNE (물량흐름)'!$AC$13:$AC$502),0)</f>
        <v>92</v>
      </c>
      <c r="AW349" s="58">
        <f t="shared" si="175"/>
        <v>3452565</v>
      </c>
      <c r="AX349" s="376">
        <f t="shared" si="176"/>
        <v>0</v>
      </c>
      <c r="AY349" s="377">
        <f t="shared" si="177"/>
        <v>0</v>
      </c>
      <c r="AZ349" s="377">
        <f t="shared" si="178"/>
        <v>0</v>
      </c>
      <c r="BA349" s="377">
        <f t="shared" si="179"/>
        <v>0</v>
      </c>
      <c r="BB349" s="377"/>
      <c r="BC349" s="377">
        <f t="shared" si="180"/>
        <v>0</v>
      </c>
      <c r="BD349" s="377">
        <f t="shared" si="181"/>
        <v>0</v>
      </c>
      <c r="BE349" s="377"/>
      <c r="BF349" s="377">
        <f t="shared" si="182"/>
        <v>0</v>
      </c>
      <c r="BG349" s="433">
        <f t="shared" si="183"/>
        <v>295453988</v>
      </c>
      <c r="BH349" s="434">
        <f t="shared" si="184"/>
        <v>0</v>
      </c>
    </row>
    <row r="350" spans="1:60" s="378" customFormat="1">
      <c r="A350" s="167">
        <v>345</v>
      </c>
      <c r="B350" s="253">
        <f>VLOOKUP(A350,'JUNE (물량흐름)'!$A$13:$C$493,3,0)</f>
        <v>100018175</v>
      </c>
      <c r="C350" s="57" t="str">
        <f>VLOOKUP(A350,'JUNE (물량흐름)'!$A$13:$C$493,2,0)</f>
        <v>ALFANI</v>
      </c>
      <c r="D350" s="58">
        <f>IFERROR(VLOOKUP(B350,O.B.JUNE!$V$7:$Y$448,2,0),0)</f>
        <v>291</v>
      </c>
      <c r="E350" s="58">
        <f>IFERROR(VLOOKUP(B350,O.B.JUNE!$V$7:$X$448,3,0),0)</f>
        <v>36788.621993127148</v>
      </c>
      <c r="F350" s="58">
        <f>IFERROR(VLOOKUP(B350,O.B.JUNE!$V$7:$Y$448,4,0),0)</f>
        <v>10705489</v>
      </c>
      <c r="G350" s="58">
        <f>SUMIF('JUNE (물량흐름)'!$C$13:$C$493,'In-out-bal products (155)(완성제품)'!B350,'JUNE (물량흐름)'!$V$13:$V$493)</f>
        <v>0</v>
      </c>
      <c r="H350" s="58">
        <f>SUMIF('JUNE (물량흐름)'!$C$13:$C$493,'In-out-bal products (155)(완성제품)'!B350,'JUNE (물량흐름)'!$T$13:$T$493)-SUMIF('JUNE (물량흐름)'!$C$13:$C$493,'In-out-bal products (155)(완성제품)'!B350,'JUNE (물량흐름)'!$Y$13:$Y$493)+SUMIF('JUNE (물량흐름)'!$C$13:$C$493,'In-out-bal products (155)(완성제품)'!B350,'JUNE (물량흐름)'!$U$13:$U$493)</f>
        <v>0</v>
      </c>
      <c r="I350" s="58">
        <f t="shared" si="156"/>
        <v>0</v>
      </c>
      <c r="J350" s="58">
        <f>SUMIF('Direct labour(직접노무비)'!$C$12:$C$503,'In-out-bal products (155)(완성제품)'!B350,'Direct labour(직접노무비)'!$Q$12:$Q$503)</f>
        <v>0</v>
      </c>
      <c r="K350" s="59">
        <f>SUMIF('Overhead exp(제조경비)'!$C$12:$C$503,'In-out-bal products (155)(완성제품)'!B350,'Overhead exp(제조경비)'!$Q$12:$Q$503)</f>
        <v>0</v>
      </c>
      <c r="L350" s="58">
        <f t="shared" si="157"/>
        <v>0</v>
      </c>
      <c r="M350" s="58">
        <f>SUMIF('JUNE (물량흐름)'!$C$13:$C$488,'In-out-bal products (155)(완성제품)'!B350,'JUNE (물량흐름)'!$Y$13:$Y$488)</f>
        <v>0</v>
      </c>
      <c r="N350" s="58">
        <f t="shared" si="158"/>
        <v>0</v>
      </c>
      <c r="O350" s="58">
        <f>SUMIF('Direct labour(직접노무비)'!$C$12:$C$503,'In-out-bal products (155)(완성제품)'!B350,'Direct labour(직접노무비)'!$U$12:$U$503)+SUMIF('Overhead exp(제조경비)'!$C$12:$C$503,'In-out-bal products (155)(완성제품)'!B350,'Overhead exp(제조경비)'!$U$12:$U$503)</f>
        <v>0</v>
      </c>
      <c r="P350" s="60">
        <f t="shared" si="159"/>
        <v>0</v>
      </c>
      <c r="Q350" s="60">
        <f t="shared" si="160"/>
        <v>0</v>
      </c>
      <c r="R350" s="60">
        <f t="shared" si="161"/>
        <v>0</v>
      </c>
      <c r="S350" s="58">
        <v>0</v>
      </c>
      <c r="T350" s="58">
        <v>0</v>
      </c>
      <c r="U350" s="58">
        <v>0</v>
      </c>
      <c r="V350" s="58">
        <f>SUMIF('JUNE (물량흐름)'!$C$13:$C$493,'In-out-bal products (155)(완성제품)'!B350,'JUNE (물량흐름)'!$W$13:$W$493)</f>
        <v>0</v>
      </c>
      <c r="W350" s="58">
        <f t="shared" si="162"/>
        <v>0</v>
      </c>
      <c r="X350" s="58">
        <f t="shared" si="163"/>
        <v>0</v>
      </c>
      <c r="Y350" s="58">
        <f>SUMIF('JUNE (물량흐름)'!$C$13:$C$488,'In-out-bal products (155)(완성제품)'!B350,'JUNE (물량흐름)'!$X$13:$X$488)</f>
        <v>0</v>
      </c>
      <c r="Z350" s="58">
        <f t="shared" si="164"/>
        <v>0</v>
      </c>
      <c r="AA350" s="58">
        <f t="shared" si="165"/>
        <v>0</v>
      </c>
      <c r="AB350" s="58"/>
      <c r="AC350" s="58"/>
      <c r="AD350" s="61"/>
      <c r="AE350" s="58">
        <f t="shared" si="166"/>
        <v>0</v>
      </c>
      <c r="AF350" s="58">
        <f t="shared" si="167"/>
        <v>0</v>
      </c>
      <c r="AG350" s="61">
        <f t="shared" si="168"/>
        <v>0</v>
      </c>
      <c r="AH350" s="58">
        <v>0</v>
      </c>
      <c r="AI350" s="58">
        <v>0</v>
      </c>
      <c r="AJ350" s="61">
        <v>0</v>
      </c>
      <c r="AK350" s="58"/>
      <c r="AL350" s="58"/>
      <c r="AM350" s="61"/>
      <c r="AN350" s="61">
        <f t="shared" si="185"/>
        <v>0</v>
      </c>
      <c r="AO350" s="58">
        <f t="shared" si="169"/>
        <v>0</v>
      </c>
      <c r="AP350" s="61">
        <f t="shared" si="170"/>
        <v>0</v>
      </c>
      <c r="AQ350" s="58">
        <f t="shared" si="171"/>
        <v>291</v>
      </c>
      <c r="AR350" s="58">
        <f t="shared" si="172"/>
        <v>36788.621993127148</v>
      </c>
      <c r="AS350" s="58">
        <f t="shared" si="173"/>
        <v>10705489</v>
      </c>
      <c r="AT350" s="58">
        <f>ROUND(SUMIF('JUNE (물량흐름)'!$C$13:$C$502,'In-out-bal products (155)(완성제품)'!B350,'JUNE (물량흐름)'!$AB$13:$AB$502),0)</f>
        <v>0</v>
      </c>
      <c r="AU350" s="58">
        <f t="shared" si="174"/>
        <v>0</v>
      </c>
      <c r="AV350" s="58">
        <f>ROUND(SUMIF('JUNE (물량흐름)'!$C$13:$C$502,'In-out-bal products (155)(완성제품)'!B350,'JUNE (물량흐름)'!$AC$13:$AC$502),0)</f>
        <v>291</v>
      </c>
      <c r="AW350" s="58">
        <f t="shared" si="175"/>
        <v>10705489</v>
      </c>
      <c r="AX350" s="376">
        <f t="shared" si="176"/>
        <v>0</v>
      </c>
      <c r="AY350" s="377">
        <f t="shared" si="177"/>
        <v>0</v>
      </c>
      <c r="AZ350" s="377">
        <f t="shared" si="178"/>
        <v>0</v>
      </c>
      <c r="BA350" s="377">
        <f t="shared" si="179"/>
        <v>0</v>
      </c>
      <c r="BB350" s="377"/>
      <c r="BC350" s="377">
        <f t="shared" si="180"/>
        <v>0</v>
      </c>
      <c r="BD350" s="377">
        <f t="shared" si="181"/>
        <v>0</v>
      </c>
      <c r="BE350" s="377"/>
      <c r="BF350" s="377">
        <f t="shared" si="182"/>
        <v>0</v>
      </c>
      <c r="BG350" s="433">
        <f t="shared" si="183"/>
        <v>0</v>
      </c>
      <c r="BH350" s="434">
        <f t="shared" si="184"/>
        <v>0</v>
      </c>
    </row>
    <row r="351" spans="1:60" s="378" customFormat="1">
      <c r="A351" s="167">
        <v>346</v>
      </c>
      <c r="B351" s="253">
        <f>VLOOKUP(A351,'JUNE (물량흐름)'!$A$13:$C$493,3,0)</f>
        <v>100018176</v>
      </c>
      <c r="C351" s="57" t="str">
        <f>VLOOKUP(A351,'JUNE (물량흐름)'!$A$13:$C$493,2,0)</f>
        <v>ALFANI</v>
      </c>
      <c r="D351" s="58">
        <f>IFERROR(VLOOKUP(B351,O.B.JUNE!$V$7:$Y$448,2,0),0)</f>
        <v>0</v>
      </c>
      <c r="E351" s="58">
        <f>IFERROR(VLOOKUP(B351,O.B.JUNE!$V$7:$X$448,3,0),0)</f>
        <v>0</v>
      </c>
      <c r="F351" s="58">
        <f>IFERROR(VLOOKUP(B351,O.B.JUNE!$V$7:$Y$448,4,0),0)</f>
        <v>0</v>
      </c>
      <c r="G351" s="58">
        <f>SUMIF('JUNE (물량흐름)'!$C$13:$C$493,'In-out-bal products (155)(완성제품)'!B351,'JUNE (물량흐름)'!$V$13:$V$493)</f>
        <v>0</v>
      </c>
      <c r="H351" s="58">
        <f>SUMIF('JUNE (물량흐름)'!$C$13:$C$493,'In-out-bal products (155)(완성제품)'!B351,'JUNE (물량흐름)'!$T$13:$T$493)-SUMIF('JUNE (물량흐름)'!$C$13:$C$493,'In-out-bal products (155)(완성제품)'!B351,'JUNE (물량흐름)'!$Y$13:$Y$493)+SUMIF('JUNE (물량흐름)'!$C$13:$C$493,'In-out-bal products (155)(완성제품)'!B351,'JUNE (물량흐름)'!$U$13:$U$493)</f>
        <v>0</v>
      </c>
      <c r="I351" s="58">
        <f t="shared" si="156"/>
        <v>0</v>
      </c>
      <c r="J351" s="58">
        <f>SUMIF('Direct labour(직접노무비)'!$C$12:$C$503,'In-out-bal products (155)(완성제품)'!B351,'Direct labour(직접노무비)'!$Q$12:$Q$503)</f>
        <v>0</v>
      </c>
      <c r="K351" s="59">
        <f>SUMIF('Overhead exp(제조경비)'!$C$12:$C$503,'In-out-bal products (155)(완성제품)'!B351,'Overhead exp(제조경비)'!$Q$12:$Q$503)</f>
        <v>0</v>
      </c>
      <c r="L351" s="58">
        <f t="shared" si="157"/>
        <v>0</v>
      </c>
      <c r="M351" s="58">
        <f>SUMIF('JUNE (물량흐름)'!$C$13:$C$488,'In-out-bal products (155)(완성제품)'!B351,'JUNE (물량흐름)'!$Y$13:$Y$488)</f>
        <v>0</v>
      </c>
      <c r="N351" s="58">
        <f t="shared" si="158"/>
        <v>0</v>
      </c>
      <c r="O351" s="58">
        <f>SUMIF('Direct labour(직접노무비)'!$C$12:$C$503,'In-out-bal products (155)(완성제품)'!B351,'Direct labour(직접노무비)'!$U$12:$U$503)+SUMIF('Overhead exp(제조경비)'!$C$12:$C$503,'In-out-bal products (155)(완성제품)'!B351,'Overhead exp(제조경비)'!$U$12:$U$503)</f>
        <v>0</v>
      </c>
      <c r="P351" s="60">
        <f t="shared" si="159"/>
        <v>0</v>
      </c>
      <c r="Q351" s="60">
        <f t="shared" si="160"/>
        <v>0</v>
      </c>
      <c r="R351" s="60">
        <f t="shared" si="161"/>
        <v>0</v>
      </c>
      <c r="S351" s="58">
        <v>0</v>
      </c>
      <c r="T351" s="58">
        <v>0</v>
      </c>
      <c r="U351" s="58">
        <v>0</v>
      </c>
      <c r="V351" s="58">
        <f>SUMIF('JUNE (물량흐름)'!$C$13:$C$493,'In-out-bal products (155)(완성제품)'!B351,'JUNE (물량흐름)'!$W$13:$W$493)</f>
        <v>0</v>
      </c>
      <c r="W351" s="58">
        <f t="shared" si="162"/>
        <v>0</v>
      </c>
      <c r="X351" s="58">
        <f t="shared" si="163"/>
        <v>0</v>
      </c>
      <c r="Y351" s="58">
        <f>SUMIF('JUNE (물량흐름)'!$C$13:$C$488,'In-out-bal products (155)(완성제품)'!B351,'JUNE (물량흐름)'!$X$13:$X$488)</f>
        <v>0</v>
      </c>
      <c r="Z351" s="58">
        <f t="shared" si="164"/>
        <v>0</v>
      </c>
      <c r="AA351" s="58">
        <f t="shared" si="165"/>
        <v>0</v>
      </c>
      <c r="AB351" s="58"/>
      <c r="AC351" s="58"/>
      <c r="AD351" s="61"/>
      <c r="AE351" s="58">
        <f t="shared" si="166"/>
        <v>0</v>
      </c>
      <c r="AF351" s="58">
        <f t="shared" si="167"/>
        <v>0</v>
      </c>
      <c r="AG351" s="61">
        <f t="shared" si="168"/>
        <v>0</v>
      </c>
      <c r="AH351" s="58">
        <v>0</v>
      </c>
      <c r="AI351" s="58">
        <v>0</v>
      </c>
      <c r="AJ351" s="61">
        <v>0</v>
      </c>
      <c r="AK351" s="58"/>
      <c r="AL351" s="58"/>
      <c r="AM351" s="61"/>
      <c r="AN351" s="61">
        <f t="shared" si="185"/>
        <v>0</v>
      </c>
      <c r="AO351" s="58">
        <f t="shared" si="169"/>
        <v>0</v>
      </c>
      <c r="AP351" s="61">
        <f t="shared" si="170"/>
        <v>0</v>
      </c>
      <c r="AQ351" s="58">
        <f t="shared" si="171"/>
        <v>0</v>
      </c>
      <c r="AR351" s="58">
        <f t="shared" si="172"/>
        <v>0</v>
      </c>
      <c r="AS351" s="58">
        <f t="shared" si="173"/>
        <v>0</v>
      </c>
      <c r="AT351" s="58">
        <f>ROUND(SUMIF('JUNE (물량흐름)'!$C$13:$C$502,'In-out-bal products (155)(완성제품)'!B351,'JUNE (물량흐름)'!$AB$13:$AB$502),0)</f>
        <v>0</v>
      </c>
      <c r="AU351" s="58">
        <f t="shared" si="174"/>
        <v>0</v>
      </c>
      <c r="AV351" s="58">
        <f>ROUND(SUMIF('JUNE (물량흐름)'!$C$13:$C$502,'In-out-bal products (155)(완성제품)'!B351,'JUNE (물량흐름)'!$AC$13:$AC$502),0)</f>
        <v>0</v>
      </c>
      <c r="AW351" s="58">
        <f t="shared" si="175"/>
        <v>0</v>
      </c>
      <c r="AX351" s="376">
        <f t="shared" si="176"/>
        <v>0</v>
      </c>
      <c r="AY351" s="377">
        <f t="shared" si="177"/>
        <v>0</v>
      </c>
      <c r="AZ351" s="377">
        <f t="shared" si="178"/>
        <v>0</v>
      </c>
      <c r="BA351" s="377">
        <f t="shared" si="179"/>
        <v>0</v>
      </c>
      <c r="BB351" s="377"/>
      <c r="BC351" s="377">
        <f t="shared" si="180"/>
        <v>0</v>
      </c>
      <c r="BD351" s="377">
        <f t="shared" si="181"/>
        <v>0</v>
      </c>
      <c r="BE351" s="377"/>
      <c r="BF351" s="377">
        <f t="shared" si="182"/>
        <v>0</v>
      </c>
      <c r="BG351" s="433">
        <f t="shared" si="183"/>
        <v>0</v>
      </c>
      <c r="BH351" s="434">
        <f t="shared" si="184"/>
        <v>0</v>
      </c>
    </row>
    <row r="352" spans="1:60" s="378" customFormat="1">
      <c r="A352" s="167">
        <v>347</v>
      </c>
      <c r="B352" s="253">
        <f>VLOOKUP(A352,'JUNE (물량흐름)'!$A$13:$C$493,3,0)</f>
        <v>100018178</v>
      </c>
      <c r="C352" s="57" t="str">
        <f>VLOOKUP(A352,'JUNE (물량흐름)'!$A$13:$C$493,2,0)</f>
        <v>ALFANI</v>
      </c>
      <c r="D352" s="58">
        <f>IFERROR(VLOOKUP(B352,O.B.JUNE!$V$7:$Y$448,2,0),0)</f>
        <v>22</v>
      </c>
      <c r="E352" s="58">
        <f>IFERROR(VLOOKUP(B352,O.B.JUNE!$V$7:$X$448,3,0),0)</f>
        <v>26304.363636363636</v>
      </c>
      <c r="F352" s="58">
        <f>IFERROR(VLOOKUP(B352,O.B.JUNE!$V$7:$Y$448,4,0),0)</f>
        <v>578696</v>
      </c>
      <c r="G352" s="58">
        <f>SUMIF('JUNE (물량흐름)'!$C$13:$C$493,'In-out-bal products (155)(완성제품)'!B352,'JUNE (물량흐름)'!$V$13:$V$493)</f>
        <v>0</v>
      </c>
      <c r="H352" s="58">
        <f>SUMIF('JUNE (물량흐름)'!$C$13:$C$493,'In-out-bal products (155)(완성제품)'!B352,'JUNE (물량흐름)'!$T$13:$T$493)-SUMIF('JUNE (물량흐름)'!$C$13:$C$493,'In-out-bal products (155)(완성제품)'!B352,'JUNE (물량흐름)'!$Y$13:$Y$493)+SUMIF('JUNE (물량흐름)'!$C$13:$C$493,'In-out-bal products (155)(완성제품)'!B352,'JUNE (물량흐름)'!$U$13:$U$493)</f>
        <v>0</v>
      </c>
      <c r="I352" s="58">
        <f t="shared" si="156"/>
        <v>0</v>
      </c>
      <c r="J352" s="58">
        <f>SUMIF('Direct labour(직접노무비)'!$C$12:$C$503,'In-out-bal products (155)(완성제품)'!B352,'Direct labour(직접노무비)'!$Q$12:$Q$503)</f>
        <v>0</v>
      </c>
      <c r="K352" s="59">
        <f>SUMIF('Overhead exp(제조경비)'!$C$12:$C$503,'In-out-bal products (155)(완성제품)'!B352,'Overhead exp(제조경비)'!$Q$12:$Q$503)</f>
        <v>0</v>
      </c>
      <c r="L352" s="58">
        <f t="shared" si="157"/>
        <v>0</v>
      </c>
      <c r="M352" s="58">
        <f>SUMIF('JUNE (물량흐름)'!$C$13:$C$488,'In-out-bal products (155)(완성제품)'!B352,'JUNE (물량흐름)'!$Y$13:$Y$488)</f>
        <v>0</v>
      </c>
      <c r="N352" s="58">
        <f t="shared" si="158"/>
        <v>0</v>
      </c>
      <c r="O352" s="58">
        <f>SUMIF('Direct labour(직접노무비)'!$C$12:$C$503,'In-out-bal products (155)(완성제품)'!B352,'Direct labour(직접노무비)'!$U$12:$U$503)+SUMIF('Overhead exp(제조경비)'!$C$12:$C$503,'In-out-bal products (155)(완성제품)'!B352,'Overhead exp(제조경비)'!$U$12:$U$503)</f>
        <v>0</v>
      </c>
      <c r="P352" s="60">
        <f t="shared" si="159"/>
        <v>0</v>
      </c>
      <c r="Q352" s="60">
        <f t="shared" si="160"/>
        <v>0</v>
      </c>
      <c r="R352" s="60">
        <f t="shared" si="161"/>
        <v>0</v>
      </c>
      <c r="S352" s="58">
        <v>0</v>
      </c>
      <c r="T352" s="58">
        <v>0</v>
      </c>
      <c r="U352" s="58">
        <v>0</v>
      </c>
      <c r="V352" s="58">
        <f>SUMIF('JUNE (물량흐름)'!$C$13:$C$493,'In-out-bal products (155)(완성제품)'!B352,'JUNE (물량흐름)'!$W$13:$W$493)</f>
        <v>0</v>
      </c>
      <c r="W352" s="58">
        <f t="shared" si="162"/>
        <v>0</v>
      </c>
      <c r="X352" s="58">
        <f t="shared" si="163"/>
        <v>0</v>
      </c>
      <c r="Y352" s="58">
        <f>SUMIF('JUNE (물량흐름)'!$C$13:$C$488,'In-out-bal products (155)(완성제품)'!B352,'JUNE (물량흐름)'!$X$13:$X$488)</f>
        <v>0</v>
      </c>
      <c r="Z352" s="58">
        <f t="shared" si="164"/>
        <v>0</v>
      </c>
      <c r="AA352" s="58">
        <f t="shared" si="165"/>
        <v>0</v>
      </c>
      <c r="AB352" s="58"/>
      <c r="AC352" s="58"/>
      <c r="AD352" s="61"/>
      <c r="AE352" s="58">
        <f t="shared" si="166"/>
        <v>0</v>
      </c>
      <c r="AF352" s="58">
        <f t="shared" si="167"/>
        <v>0</v>
      </c>
      <c r="AG352" s="61">
        <f t="shared" si="168"/>
        <v>0</v>
      </c>
      <c r="AH352" s="58">
        <v>0</v>
      </c>
      <c r="AI352" s="58">
        <v>0</v>
      </c>
      <c r="AJ352" s="61">
        <v>0</v>
      </c>
      <c r="AK352" s="58"/>
      <c r="AL352" s="58"/>
      <c r="AM352" s="61"/>
      <c r="AN352" s="61">
        <f t="shared" si="185"/>
        <v>0</v>
      </c>
      <c r="AO352" s="58">
        <f t="shared" si="169"/>
        <v>0</v>
      </c>
      <c r="AP352" s="61">
        <f t="shared" si="170"/>
        <v>0</v>
      </c>
      <c r="AQ352" s="58">
        <f t="shared" si="171"/>
        <v>22</v>
      </c>
      <c r="AR352" s="58">
        <f t="shared" si="172"/>
        <v>26304.363636363636</v>
      </c>
      <c r="AS352" s="58">
        <f t="shared" si="173"/>
        <v>578696</v>
      </c>
      <c r="AT352" s="58">
        <f>ROUND(SUMIF('JUNE (물량흐름)'!$C$13:$C$502,'In-out-bal products (155)(완성제품)'!B352,'JUNE (물량흐름)'!$AB$13:$AB$502),0)</f>
        <v>0</v>
      </c>
      <c r="AU352" s="58">
        <f t="shared" si="174"/>
        <v>0</v>
      </c>
      <c r="AV352" s="58">
        <f>ROUND(SUMIF('JUNE (물량흐름)'!$C$13:$C$502,'In-out-bal products (155)(완성제품)'!B352,'JUNE (물량흐름)'!$AC$13:$AC$502),0)</f>
        <v>22</v>
      </c>
      <c r="AW352" s="58">
        <f t="shared" si="175"/>
        <v>578696</v>
      </c>
      <c r="AX352" s="376">
        <f t="shared" si="176"/>
        <v>0</v>
      </c>
      <c r="AY352" s="377">
        <f t="shared" si="177"/>
        <v>0</v>
      </c>
      <c r="AZ352" s="377">
        <f t="shared" si="178"/>
        <v>0</v>
      </c>
      <c r="BA352" s="377">
        <f t="shared" si="179"/>
        <v>0</v>
      </c>
      <c r="BB352" s="377"/>
      <c r="BC352" s="377">
        <f t="shared" si="180"/>
        <v>0</v>
      </c>
      <c r="BD352" s="377">
        <f t="shared" si="181"/>
        <v>0</v>
      </c>
      <c r="BE352" s="377"/>
      <c r="BF352" s="377">
        <f t="shared" si="182"/>
        <v>0</v>
      </c>
      <c r="BG352" s="433">
        <f t="shared" si="183"/>
        <v>0</v>
      </c>
      <c r="BH352" s="434">
        <f t="shared" si="184"/>
        <v>0</v>
      </c>
    </row>
    <row r="353" spans="1:60" s="378" customFormat="1">
      <c r="A353" s="167">
        <v>348</v>
      </c>
      <c r="B353" s="253">
        <f>VLOOKUP(A353,'JUNE (물량흐름)'!$A$13:$C$493,3,0)</f>
        <v>100018179</v>
      </c>
      <c r="C353" s="57" t="str">
        <f>VLOOKUP(A353,'JUNE (물량흐름)'!$A$13:$C$493,2,0)</f>
        <v>ALFANI</v>
      </c>
      <c r="D353" s="58">
        <f>IFERROR(VLOOKUP(B353,O.B.JUNE!$V$7:$Y$448,2,0),0)</f>
        <v>20</v>
      </c>
      <c r="E353" s="58">
        <f>IFERROR(VLOOKUP(B353,O.B.JUNE!$V$7:$X$448,3,0),0)</f>
        <v>51712.45</v>
      </c>
      <c r="F353" s="58">
        <f>IFERROR(VLOOKUP(B353,O.B.JUNE!$V$7:$Y$448,4,0),0)</f>
        <v>1034249</v>
      </c>
      <c r="G353" s="58">
        <f>SUMIF('JUNE (물량흐름)'!$C$13:$C$493,'In-out-bal products (155)(완성제품)'!B353,'JUNE (물량흐름)'!$V$13:$V$493)</f>
        <v>0</v>
      </c>
      <c r="H353" s="58">
        <f>SUMIF('JUNE (물량흐름)'!$C$13:$C$493,'In-out-bal products (155)(완성제품)'!B353,'JUNE (물량흐름)'!$T$13:$T$493)-SUMIF('JUNE (물량흐름)'!$C$13:$C$493,'In-out-bal products (155)(완성제품)'!B353,'JUNE (물량흐름)'!$Y$13:$Y$493)+SUMIF('JUNE (물량흐름)'!$C$13:$C$493,'In-out-bal products (155)(완성제품)'!B353,'JUNE (물량흐름)'!$U$13:$U$493)</f>
        <v>0</v>
      </c>
      <c r="I353" s="58">
        <f t="shared" si="156"/>
        <v>0</v>
      </c>
      <c r="J353" s="58">
        <f>SUMIF('Direct labour(직접노무비)'!$C$12:$C$503,'In-out-bal products (155)(완성제품)'!B353,'Direct labour(직접노무비)'!$Q$12:$Q$503)</f>
        <v>0</v>
      </c>
      <c r="K353" s="59">
        <f>SUMIF('Overhead exp(제조경비)'!$C$12:$C$503,'In-out-bal products (155)(완성제품)'!B353,'Overhead exp(제조경비)'!$Q$12:$Q$503)</f>
        <v>0</v>
      </c>
      <c r="L353" s="58">
        <f t="shared" si="157"/>
        <v>0</v>
      </c>
      <c r="M353" s="58">
        <f>SUMIF('JUNE (물량흐름)'!$C$13:$C$488,'In-out-bal products (155)(완성제품)'!B353,'JUNE (물량흐름)'!$Y$13:$Y$488)</f>
        <v>0</v>
      </c>
      <c r="N353" s="58">
        <f t="shared" si="158"/>
        <v>0</v>
      </c>
      <c r="O353" s="58">
        <f>SUMIF('Direct labour(직접노무비)'!$C$12:$C$503,'In-out-bal products (155)(완성제품)'!B353,'Direct labour(직접노무비)'!$U$12:$U$503)+SUMIF('Overhead exp(제조경비)'!$C$12:$C$503,'In-out-bal products (155)(완성제품)'!B353,'Overhead exp(제조경비)'!$U$12:$U$503)</f>
        <v>0</v>
      </c>
      <c r="P353" s="60">
        <f t="shared" si="159"/>
        <v>0</v>
      </c>
      <c r="Q353" s="60">
        <f t="shared" si="160"/>
        <v>0</v>
      </c>
      <c r="R353" s="60">
        <f t="shared" si="161"/>
        <v>0</v>
      </c>
      <c r="S353" s="58">
        <v>0</v>
      </c>
      <c r="T353" s="58">
        <v>0</v>
      </c>
      <c r="U353" s="58">
        <v>0</v>
      </c>
      <c r="V353" s="58">
        <f>SUMIF('JUNE (물량흐름)'!$C$13:$C$493,'In-out-bal products (155)(완성제품)'!B353,'JUNE (물량흐름)'!$W$13:$W$493)</f>
        <v>0</v>
      </c>
      <c r="W353" s="58">
        <f t="shared" si="162"/>
        <v>0</v>
      </c>
      <c r="X353" s="58">
        <f t="shared" si="163"/>
        <v>0</v>
      </c>
      <c r="Y353" s="58">
        <f>SUMIF('JUNE (물량흐름)'!$C$13:$C$488,'In-out-bal products (155)(완성제품)'!B353,'JUNE (물량흐름)'!$X$13:$X$488)</f>
        <v>0</v>
      </c>
      <c r="Z353" s="58">
        <f t="shared" si="164"/>
        <v>0</v>
      </c>
      <c r="AA353" s="58">
        <f t="shared" si="165"/>
        <v>0</v>
      </c>
      <c r="AB353" s="58"/>
      <c r="AC353" s="58"/>
      <c r="AD353" s="61"/>
      <c r="AE353" s="58">
        <f t="shared" si="166"/>
        <v>0</v>
      </c>
      <c r="AF353" s="58">
        <f t="shared" si="167"/>
        <v>0</v>
      </c>
      <c r="AG353" s="61">
        <f t="shared" si="168"/>
        <v>0</v>
      </c>
      <c r="AH353" s="58">
        <v>0</v>
      </c>
      <c r="AI353" s="58">
        <v>0</v>
      </c>
      <c r="AJ353" s="61">
        <v>0</v>
      </c>
      <c r="AK353" s="58"/>
      <c r="AL353" s="58"/>
      <c r="AM353" s="61"/>
      <c r="AN353" s="61">
        <f t="shared" si="185"/>
        <v>0</v>
      </c>
      <c r="AO353" s="58">
        <f t="shared" si="169"/>
        <v>0</v>
      </c>
      <c r="AP353" s="61">
        <f t="shared" si="170"/>
        <v>0</v>
      </c>
      <c r="AQ353" s="58">
        <f t="shared" si="171"/>
        <v>20</v>
      </c>
      <c r="AR353" s="58">
        <f t="shared" si="172"/>
        <v>51712.45</v>
      </c>
      <c r="AS353" s="58">
        <f t="shared" si="173"/>
        <v>1034249</v>
      </c>
      <c r="AT353" s="58">
        <f>ROUND(SUMIF('JUNE (물량흐름)'!$C$13:$C$502,'In-out-bal products (155)(완성제품)'!B353,'JUNE (물량흐름)'!$AB$13:$AB$502),0)</f>
        <v>0</v>
      </c>
      <c r="AU353" s="58">
        <f t="shared" si="174"/>
        <v>0</v>
      </c>
      <c r="AV353" s="58">
        <f>ROUND(SUMIF('JUNE (물량흐름)'!$C$13:$C$502,'In-out-bal products (155)(완성제품)'!B353,'JUNE (물량흐름)'!$AC$13:$AC$502),0)</f>
        <v>20</v>
      </c>
      <c r="AW353" s="58">
        <f t="shared" si="175"/>
        <v>1034249</v>
      </c>
      <c r="AX353" s="376">
        <f t="shared" si="176"/>
        <v>0</v>
      </c>
      <c r="AY353" s="377">
        <f t="shared" si="177"/>
        <v>0</v>
      </c>
      <c r="AZ353" s="377">
        <f t="shared" si="178"/>
        <v>0</v>
      </c>
      <c r="BA353" s="377">
        <f t="shared" si="179"/>
        <v>0</v>
      </c>
      <c r="BB353" s="377"/>
      <c r="BC353" s="377">
        <f t="shared" si="180"/>
        <v>0</v>
      </c>
      <c r="BD353" s="377">
        <f t="shared" si="181"/>
        <v>0</v>
      </c>
      <c r="BE353" s="377"/>
      <c r="BF353" s="377">
        <f t="shared" si="182"/>
        <v>0</v>
      </c>
      <c r="BG353" s="433">
        <f t="shared" si="183"/>
        <v>0</v>
      </c>
      <c r="BH353" s="434">
        <f t="shared" si="184"/>
        <v>0</v>
      </c>
    </row>
    <row r="354" spans="1:60" s="378" customFormat="1">
      <c r="A354" s="167">
        <v>349</v>
      </c>
      <c r="B354" s="253">
        <f>VLOOKUP(A354,'JUNE (물량흐름)'!$A$13:$C$493,3,0)</f>
        <v>100018235</v>
      </c>
      <c r="C354" s="57" t="str">
        <f>VLOOKUP(A354,'JUNE (물량흐름)'!$A$13:$C$493,2,0)</f>
        <v>ALFANI</v>
      </c>
      <c r="D354" s="58">
        <f>IFERROR(VLOOKUP(B354,O.B.JUNE!$V$7:$Y$448,2,0),0)</f>
        <v>67</v>
      </c>
      <c r="E354" s="58">
        <f>IFERROR(VLOOKUP(B354,O.B.JUNE!$V$7:$X$448,3,0),0)</f>
        <v>20240.208955223879</v>
      </c>
      <c r="F354" s="58">
        <f>IFERROR(VLOOKUP(B354,O.B.JUNE!$V$7:$Y$448,4,0),0)</f>
        <v>1356094</v>
      </c>
      <c r="G354" s="58">
        <f>SUMIF('JUNE (물량흐름)'!$C$13:$C$493,'In-out-bal products (155)(완성제품)'!B354,'JUNE (물량흐름)'!$V$13:$V$493)</f>
        <v>0</v>
      </c>
      <c r="H354" s="58">
        <f>SUMIF('JUNE (물량흐름)'!$C$13:$C$493,'In-out-bal products (155)(완성제품)'!B354,'JUNE (물량흐름)'!$T$13:$T$493)-SUMIF('JUNE (물량흐름)'!$C$13:$C$493,'In-out-bal products (155)(완성제품)'!B354,'JUNE (물량흐름)'!$Y$13:$Y$493)+SUMIF('JUNE (물량흐름)'!$C$13:$C$493,'In-out-bal products (155)(완성제품)'!B354,'JUNE (물량흐름)'!$U$13:$U$493)</f>
        <v>0</v>
      </c>
      <c r="I354" s="58">
        <f t="shared" si="156"/>
        <v>0</v>
      </c>
      <c r="J354" s="58">
        <f>SUMIF('Direct labour(직접노무비)'!$C$12:$C$503,'In-out-bal products (155)(완성제품)'!B354,'Direct labour(직접노무비)'!$Q$12:$Q$503)</f>
        <v>0</v>
      </c>
      <c r="K354" s="59">
        <f>SUMIF('Overhead exp(제조경비)'!$C$12:$C$503,'In-out-bal products (155)(완성제품)'!B354,'Overhead exp(제조경비)'!$Q$12:$Q$503)</f>
        <v>0</v>
      </c>
      <c r="L354" s="58">
        <f t="shared" si="157"/>
        <v>0</v>
      </c>
      <c r="M354" s="58">
        <f>SUMIF('JUNE (물량흐름)'!$C$13:$C$488,'In-out-bal products (155)(완성제품)'!B354,'JUNE (물량흐름)'!$Y$13:$Y$488)</f>
        <v>0</v>
      </c>
      <c r="N354" s="58">
        <f t="shared" si="158"/>
        <v>0</v>
      </c>
      <c r="O354" s="58">
        <f>SUMIF('Direct labour(직접노무비)'!$C$12:$C$503,'In-out-bal products (155)(완성제품)'!B354,'Direct labour(직접노무비)'!$U$12:$U$503)+SUMIF('Overhead exp(제조경비)'!$C$12:$C$503,'In-out-bal products (155)(완성제품)'!B354,'Overhead exp(제조경비)'!$U$12:$U$503)</f>
        <v>0</v>
      </c>
      <c r="P354" s="60">
        <f t="shared" si="159"/>
        <v>0</v>
      </c>
      <c r="Q354" s="60">
        <f t="shared" si="160"/>
        <v>0</v>
      </c>
      <c r="R354" s="60">
        <f t="shared" si="161"/>
        <v>0</v>
      </c>
      <c r="S354" s="58">
        <v>0</v>
      </c>
      <c r="T354" s="58">
        <v>0</v>
      </c>
      <c r="U354" s="58">
        <v>0</v>
      </c>
      <c r="V354" s="58">
        <f>SUMIF('JUNE (물량흐름)'!$C$13:$C$493,'In-out-bal products (155)(완성제품)'!B354,'JUNE (물량흐름)'!$W$13:$W$493)</f>
        <v>0</v>
      </c>
      <c r="W354" s="58">
        <f t="shared" si="162"/>
        <v>0</v>
      </c>
      <c r="X354" s="58">
        <f t="shared" si="163"/>
        <v>0</v>
      </c>
      <c r="Y354" s="58">
        <f>SUMIF('JUNE (물량흐름)'!$C$13:$C$488,'In-out-bal products (155)(완성제품)'!B354,'JUNE (물량흐름)'!$X$13:$X$488)</f>
        <v>0</v>
      </c>
      <c r="Z354" s="58">
        <f t="shared" si="164"/>
        <v>0</v>
      </c>
      <c r="AA354" s="58">
        <f t="shared" si="165"/>
        <v>0</v>
      </c>
      <c r="AB354" s="58"/>
      <c r="AC354" s="58"/>
      <c r="AD354" s="61"/>
      <c r="AE354" s="58">
        <f t="shared" si="166"/>
        <v>0</v>
      </c>
      <c r="AF354" s="58">
        <f t="shared" si="167"/>
        <v>0</v>
      </c>
      <c r="AG354" s="61">
        <f t="shared" si="168"/>
        <v>0</v>
      </c>
      <c r="AH354" s="58">
        <v>0</v>
      </c>
      <c r="AI354" s="58">
        <v>0</v>
      </c>
      <c r="AJ354" s="61">
        <v>0</v>
      </c>
      <c r="AK354" s="58"/>
      <c r="AL354" s="58"/>
      <c r="AM354" s="61"/>
      <c r="AN354" s="61">
        <f t="shared" si="185"/>
        <v>0</v>
      </c>
      <c r="AO354" s="58">
        <f t="shared" si="169"/>
        <v>0</v>
      </c>
      <c r="AP354" s="61">
        <f t="shared" si="170"/>
        <v>0</v>
      </c>
      <c r="AQ354" s="58">
        <f t="shared" si="171"/>
        <v>67</v>
      </c>
      <c r="AR354" s="58">
        <f t="shared" si="172"/>
        <v>20240.208955223879</v>
      </c>
      <c r="AS354" s="58">
        <f t="shared" si="173"/>
        <v>1356094</v>
      </c>
      <c r="AT354" s="58">
        <f>ROUND(SUMIF('JUNE (물량흐름)'!$C$13:$C$502,'In-out-bal products (155)(완성제품)'!B354,'JUNE (물량흐름)'!$AB$13:$AB$502),0)</f>
        <v>0</v>
      </c>
      <c r="AU354" s="58">
        <f t="shared" si="174"/>
        <v>0</v>
      </c>
      <c r="AV354" s="58">
        <f>ROUND(SUMIF('JUNE (물량흐름)'!$C$13:$C$502,'In-out-bal products (155)(완성제품)'!B354,'JUNE (물량흐름)'!$AC$13:$AC$502),0)</f>
        <v>67</v>
      </c>
      <c r="AW354" s="58">
        <f t="shared" si="175"/>
        <v>1356094</v>
      </c>
      <c r="AX354" s="376">
        <f t="shared" si="176"/>
        <v>0</v>
      </c>
      <c r="AY354" s="377">
        <f t="shared" si="177"/>
        <v>0</v>
      </c>
      <c r="AZ354" s="377">
        <f t="shared" si="178"/>
        <v>0</v>
      </c>
      <c r="BA354" s="377">
        <f t="shared" si="179"/>
        <v>0</v>
      </c>
      <c r="BB354" s="377"/>
      <c r="BC354" s="377">
        <f t="shared" si="180"/>
        <v>0</v>
      </c>
      <c r="BD354" s="377">
        <f t="shared" si="181"/>
        <v>0</v>
      </c>
      <c r="BE354" s="377"/>
      <c r="BF354" s="377">
        <f t="shared" si="182"/>
        <v>0</v>
      </c>
      <c r="BG354" s="433">
        <f t="shared" si="183"/>
        <v>0</v>
      </c>
      <c r="BH354" s="434">
        <f t="shared" si="184"/>
        <v>0</v>
      </c>
    </row>
    <row r="355" spans="1:60" s="378" customFormat="1">
      <c r="A355" s="167">
        <v>350</v>
      </c>
      <c r="B355" s="253">
        <f>VLOOKUP(A355,'JUNE (물량흐름)'!$A$13:$C$493,3,0)</f>
        <v>100018237</v>
      </c>
      <c r="C355" s="57" t="str">
        <f>VLOOKUP(A355,'JUNE (물량흐름)'!$A$13:$C$493,2,0)</f>
        <v>ALFANI</v>
      </c>
      <c r="D355" s="58">
        <f>IFERROR(VLOOKUP(B355,O.B.JUNE!$V$7:$Y$448,2,0),0)</f>
        <v>112</v>
      </c>
      <c r="E355" s="58">
        <f>IFERROR(VLOOKUP(B355,O.B.JUNE!$V$7:$X$448,3,0),0)</f>
        <v>13345.357142857143</v>
      </c>
      <c r="F355" s="58">
        <f>IFERROR(VLOOKUP(B355,O.B.JUNE!$V$7:$Y$448,4,0),0)</f>
        <v>1494680</v>
      </c>
      <c r="G355" s="58">
        <f>SUMIF('JUNE (물량흐름)'!$C$13:$C$493,'In-out-bal products (155)(완성제품)'!B355,'JUNE (물량흐름)'!$V$13:$V$493)</f>
        <v>0</v>
      </c>
      <c r="H355" s="58">
        <f>SUMIF('JUNE (물량흐름)'!$C$13:$C$493,'In-out-bal products (155)(완성제품)'!B355,'JUNE (물량흐름)'!$T$13:$T$493)-SUMIF('JUNE (물량흐름)'!$C$13:$C$493,'In-out-bal products (155)(완성제품)'!B355,'JUNE (물량흐름)'!$Y$13:$Y$493)+SUMIF('JUNE (물량흐름)'!$C$13:$C$493,'In-out-bal products (155)(완성제품)'!B355,'JUNE (물량흐름)'!$U$13:$U$493)</f>
        <v>0</v>
      </c>
      <c r="I355" s="58">
        <f t="shared" si="156"/>
        <v>0</v>
      </c>
      <c r="J355" s="58">
        <f>SUMIF('Direct labour(직접노무비)'!$C$12:$C$503,'In-out-bal products (155)(완성제품)'!B355,'Direct labour(직접노무비)'!$Q$12:$Q$503)</f>
        <v>0</v>
      </c>
      <c r="K355" s="59">
        <f>SUMIF('Overhead exp(제조경비)'!$C$12:$C$503,'In-out-bal products (155)(완성제품)'!B355,'Overhead exp(제조경비)'!$Q$12:$Q$503)</f>
        <v>0</v>
      </c>
      <c r="L355" s="58">
        <f t="shared" si="157"/>
        <v>0</v>
      </c>
      <c r="M355" s="58">
        <f>SUMIF('JUNE (물량흐름)'!$C$13:$C$488,'In-out-bal products (155)(완성제품)'!B355,'JUNE (물량흐름)'!$Y$13:$Y$488)</f>
        <v>0</v>
      </c>
      <c r="N355" s="58">
        <f t="shared" si="158"/>
        <v>0</v>
      </c>
      <c r="O355" s="58">
        <f>SUMIF('Direct labour(직접노무비)'!$C$12:$C$503,'In-out-bal products (155)(완성제품)'!B355,'Direct labour(직접노무비)'!$U$12:$U$503)+SUMIF('Overhead exp(제조경비)'!$C$12:$C$503,'In-out-bal products (155)(완성제품)'!B355,'Overhead exp(제조경비)'!$U$12:$U$503)</f>
        <v>0</v>
      </c>
      <c r="P355" s="60">
        <f t="shared" si="159"/>
        <v>0</v>
      </c>
      <c r="Q355" s="60">
        <f t="shared" si="160"/>
        <v>0</v>
      </c>
      <c r="R355" s="60">
        <f t="shared" si="161"/>
        <v>0</v>
      </c>
      <c r="S355" s="58">
        <v>0</v>
      </c>
      <c r="T355" s="58">
        <v>0</v>
      </c>
      <c r="U355" s="58">
        <v>0</v>
      </c>
      <c r="V355" s="58">
        <f>SUMIF('JUNE (물량흐름)'!$C$13:$C$493,'In-out-bal products (155)(완성제품)'!B355,'JUNE (물량흐름)'!$W$13:$W$493)</f>
        <v>0</v>
      </c>
      <c r="W355" s="58">
        <f t="shared" si="162"/>
        <v>0</v>
      </c>
      <c r="X355" s="58">
        <f t="shared" si="163"/>
        <v>0</v>
      </c>
      <c r="Y355" s="58">
        <f>SUMIF('JUNE (물량흐름)'!$C$13:$C$488,'In-out-bal products (155)(완성제품)'!B355,'JUNE (물량흐름)'!$X$13:$X$488)</f>
        <v>0</v>
      </c>
      <c r="Z355" s="58">
        <f t="shared" si="164"/>
        <v>0</v>
      </c>
      <c r="AA355" s="58">
        <f t="shared" si="165"/>
        <v>0</v>
      </c>
      <c r="AB355" s="58"/>
      <c r="AC355" s="58"/>
      <c r="AD355" s="61"/>
      <c r="AE355" s="58">
        <f t="shared" si="166"/>
        <v>0</v>
      </c>
      <c r="AF355" s="58">
        <f t="shared" si="167"/>
        <v>0</v>
      </c>
      <c r="AG355" s="61">
        <f t="shared" si="168"/>
        <v>0</v>
      </c>
      <c r="AH355" s="58">
        <v>0</v>
      </c>
      <c r="AI355" s="58">
        <v>0</v>
      </c>
      <c r="AJ355" s="61">
        <v>0</v>
      </c>
      <c r="AK355" s="58"/>
      <c r="AL355" s="58"/>
      <c r="AM355" s="61"/>
      <c r="AN355" s="61">
        <f t="shared" si="185"/>
        <v>0</v>
      </c>
      <c r="AO355" s="58">
        <f t="shared" si="169"/>
        <v>0</v>
      </c>
      <c r="AP355" s="61">
        <f t="shared" si="170"/>
        <v>0</v>
      </c>
      <c r="AQ355" s="58">
        <f t="shared" si="171"/>
        <v>112</v>
      </c>
      <c r="AR355" s="58">
        <f t="shared" si="172"/>
        <v>13345.357142857143</v>
      </c>
      <c r="AS355" s="58">
        <f t="shared" si="173"/>
        <v>1494680</v>
      </c>
      <c r="AT355" s="58">
        <f>ROUND(SUMIF('JUNE (물량흐름)'!$C$13:$C$502,'In-out-bal products (155)(완성제품)'!B355,'JUNE (물량흐름)'!$AB$13:$AB$502),0)</f>
        <v>0</v>
      </c>
      <c r="AU355" s="58">
        <f t="shared" si="174"/>
        <v>0</v>
      </c>
      <c r="AV355" s="58">
        <f>ROUND(SUMIF('JUNE (물량흐름)'!$C$13:$C$502,'In-out-bal products (155)(완성제품)'!B355,'JUNE (물량흐름)'!$AC$13:$AC$502),0)</f>
        <v>112</v>
      </c>
      <c r="AW355" s="58">
        <f t="shared" si="175"/>
        <v>1494680</v>
      </c>
      <c r="AX355" s="376">
        <f t="shared" si="176"/>
        <v>0</v>
      </c>
      <c r="AY355" s="377">
        <f t="shared" si="177"/>
        <v>0</v>
      </c>
      <c r="AZ355" s="377">
        <f t="shared" si="178"/>
        <v>0</v>
      </c>
      <c r="BA355" s="377">
        <f t="shared" si="179"/>
        <v>0</v>
      </c>
      <c r="BB355" s="377"/>
      <c r="BC355" s="377">
        <f t="shared" si="180"/>
        <v>0</v>
      </c>
      <c r="BD355" s="377">
        <f t="shared" si="181"/>
        <v>0</v>
      </c>
      <c r="BE355" s="377"/>
      <c r="BF355" s="377">
        <f t="shared" si="182"/>
        <v>0</v>
      </c>
      <c r="BG355" s="433">
        <f t="shared" si="183"/>
        <v>0</v>
      </c>
      <c r="BH355" s="434">
        <f t="shared" si="184"/>
        <v>0</v>
      </c>
    </row>
    <row r="356" spans="1:60" s="378" customFormat="1">
      <c r="A356" s="167">
        <v>351</v>
      </c>
      <c r="B356" s="253">
        <f>VLOOKUP(A356,'JUNE (물량흐름)'!$A$13:$C$493,3,0)</f>
        <v>100018239</v>
      </c>
      <c r="C356" s="57" t="str">
        <f>VLOOKUP(A356,'JUNE (물량흐름)'!$A$13:$C$493,2,0)</f>
        <v>ALFANI</v>
      </c>
      <c r="D356" s="58">
        <f>IFERROR(VLOOKUP(B356,O.B.JUNE!$V$7:$Y$448,2,0),0)</f>
        <v>62</v>
      </c>
      <c r="E356" s="58">
        <f>IFERROR(VLOOKUP(B356,O.B.JUNE!$V$7:$X$448,3,0),0)</f>
        <v>19281.177419354837</v>
      </c>
      <c r="F356" s="58">
        <f>IFERROR(VLOOKUP(B356,O.B.JUNE!$V$7:$Y$448,4,0),0)</f>
        <v>1195433</v>
      </c>
      <c r="G356" s="58">
        <f>SUMIF('JUNE (물량흐름)'!$C$13:$C$493,'In-out-bal products (155)(완성제품)'!B356,'JUNE (물량흐름)'!$V$13:$V$493)</f>
        <v>0</v>
      </c>
      <c r="H356" s="58">
        <f>SUMIF('JUNE (물량흐름)'!$C$13:$C$493,'In-out-bal products (155)(완성제품)'!B356,'JUNE (물량흐름)'!$T$13:$T$493)-SUMIF('JUNE (물량흐름)'!$C$13:$C$493,'In-out-bal products (155)(완성제품)'!B356,'JUNE (물량흐름)'!$Y$13:$Y$493)+SUMIF('JUNE (물량흐름)'!$C$13:$C$493,'In-out-bal products (155)(완성제품)'!B356,'JUNE (물량흐름)'!$U$13:$U$493)</f>
        <v>0</v>
      </c>
      <c r="I356" s="58">
        <f t="shared" si="156"/>
        <v>0</v>
      </c>
      <c r="J356" s="58">
        <f>SUMIF('Direct labour(직접노무비)'!$C$12:$C$503,'In-out-bal products (155)(완성제품)'!B356,'Direct labour(직접노무비)'!$Q$12:$Q$503)</f>
        <v>0</v>
      </c>
      <c r="K356" s="59">
        <f>SUMIF('Overhead exp(제조경비)'!$C$12:$C$503,'In-out-bal products (155)(완성제품)'!B356,'Overhead exp(제조경비)'!$Q$12:$Q$503)</f>
        <v>0</v>
      </c>
      <c r="L356" s="58">
        <f t="shared" si="157"/>
        <v>0</v>
      </c>
      <c r="M356" s="58">
        <f>SUMIF('JUNE (물량흐름)'!$C$13:$C$488,'In-out-bal products (155)(완성제품)'!B356,'JUNE (물량흐름)'!$Y$13:$Y$488)</f>
        <v>0</v>
      </c>
      <c r="N356" s="58">
        <f t="shared" si="158"/>
        <v>0</v>
      </c>
      <c r="O356" s="58">
        <f>SUMIF('Direct labour(직접노무비)'!$C$12:$C$503,'In-out-bal products (155)(완성제품)'!B356,'Direct labour(직접노무비)'!$U$12:$U$503)+SUMIF('Overhead exp(제조경비)'!$C$12:$C$503,'In-out-bal products (155)(완성제품)'!B356,'Overhead exp(제조경비)'!$U$12:$U$503)</f>
        <v>0</v>
      </c>
      <c r="P356" s="60">
        <f t="shared" si="159"/>
        <v>0</v>
      </c>
      <c r="Q356" s="60">
        <f t="shared" si="160"/>
        <v>0</v>
      </c>
      <c r="R356" s="60">
        <f t="shared" si="161"/>
        <v>0</v>
      </c>
      <c r="S356" s="58">
        <v>0</v>
      </c>
      <c r="T356" s="58">
        <v>0</v>
      </c>
      <c r="U356" s="58">
        <v>0</v>
      </c>
      <c r="V356" s="58">
        <f>SUMIF('JUNE (물량흐름)'!$C$13:$C$493,'In-out-bal products (155)(완성제품)'!B356,'JUNE (물량흐름)'!$W$13:$W$493)</f>
        <v>0</v>
      </c>
      <c r="W356" s="58">
        <f t="shared" si="162"/>
        <v>0</v>
      </c>
      <c r="X356" s="58">
        <f t="shared" si="163"/>
        <v>0</v>
      </c>
      <c r="Y356" s="58">
        <f>SUMIF('JUNE (물량흐름)'!$C$13:$C$488,'In-out-bal products (155)(완성제품)'!B356,'JUNE (물량흐름)'!$X$13:$X$488)</f>
        <v>0</v>
      </c>
      <c r="Z356" s="58">
        <f t="shared" si="164"/>
        <v>0</v>
      </c>
      <c r="AA356" s="58">
        <f t="shared" si="165"/>
        <v>0</v>
      </c>
      <c r="AB356" s="58"/>
      <c r="AC356" s="58"/>
      <c r="AD356" s="61"/>
      <c r="AE356" s="58">
        <f t="shared" si="166"/>
        <v>0</v>
      </c>
      <c r="AF356" s="58">
        <f t="shared" si="167"/>
        <v>0</v>
      </c>
      <c r="AG356" s="61">
        <f t="shared" si="168"/>
        <v>0</v>
      </c>
      <c r="AH356" s="58">
        <v>0</v>
      </c>
      <c r="AI356" s="58">
        <v>0</v>
      </c>
      <c r="AJ356" s="61">
        <v>0</v>
      </c>
      <c r="AK356" s="58"/>
      <c r="AL356" s="58"/>
      <c r="AM356" s="61"/>
      <c r="AN356" s="61">
        <f t="shared" si="185"/>
        <v>0</v>
      </c>
      <c r="AO356" s="58">
        <f t="shared" si="169"/>
        <v>0</v>
      </c>
      <c r="AP356" s="61">
        <f t="shared" si="170"/>
        <v>0</v>
      </c>
      <c r="AQ356" s="58">
        <f t="shared" si="171"/>
        <v>62</v>
      </c>
      <c r="AR356" s="58">
        <f t="shared" si="172"/>
        <v>19281.177419354837</v>
      </c>
      <c r="AS356" s="58">
        <f t="shared" si="173"/>
        <v>1195433</v>
      </c>
      <c r="AT356" s="58">
        <f>ROUND(SUMIF('JUNE (물량흐름)'!$C$13:$C$502,'In-out-bal products (155)(완성제품)'!B356,'JUNE (물량흐름)'!$AB$13:$AB$502),0)</f>
        <v>0</v>
      </c>
      <c r="AU356" s="58">
        <f t="shared" si="174"/>
        <v>0</v>
      </c>
      <c r="AV356" s="58">
        <f>ROUND(SUMIF('JUNE (물량흐름)'!$C$13:$C$502,'In-out-bal products (155)(완성제품)'!B356,'JUNE (물량흐름)'!$AC$13:$AC$502),0)</f>
        <v>62</v>
      </c>
      <c r="AW356" s="58">
        <f t="shared" si="175"/>
        <v>1195433</v>
      </c>
      <c r="AX356" s="376">
        <f t="shared" si="176"/>
        <v>0</v>
      </c>
      <c r="AY356" s="377">
        <f t="shared" si="177"/>
        <v>0</v>
      </c>
      <c r="AZ356" s="377">
        <f t="shared" si="178"/>
        <v>0</v>
      </c>
      <c r="BA356" s="377">
        <f t="shared" si="179"/>
        <v>0</v>
      </c>
      <c r="BB356" s="377"/>
      <c r="BC356" s="377">
        <f t="shared" si="180"/>
        <v>0</v>
      </c>
      <c r="BD356" s="377">
        <f t="shared" si="181"/>
        <v>0</v>
      </c>
      <c r="BE356" s="377"/>
      <c r="BF356" s="377">
        <f t="shared" si="182"/>
        <v>0</v>
      </c>
      <c r="BG356" s="433">
        <f t="shared" si="183"/>
        <v>0</v>
      </c>
      <c r="BH356" s="434">
        <f t="shared" si="184"/>
        <v>0</v>
      </c>
    </row>
    <row r="357" spans="1:60" s="378" customFormat="1">
      <c r="A357" s="167">
        <v>352</v>
      </c>
      <c r="B357" s="253">
        <f>VLOOKUP(A357,'JUNE (물량흐름)'!$A$13:$C$493,3,0)</f>
        <v>100018240</v>
      </c>
      <c r="C357" s="57" t="str">
        <f>VLOOKUP(A357,'JUNE (물량흐름)'!$A$13:$C$493,2,0)</f>
        <v>ALFANI</v>
      </c>
      <c r="D357" s="58">
        <f>IFERROR(VLOOKUP(B357,O.B.JUNE!$V$7:$Y$448,2,0),0)</f>
        <v>0</v>
      </c>
      <c r="E357" s="58">
        <f>IFERROR(VLOOKUP(B357,O.B.JUNE!$V$7:$X$448,3,0),0)</f>
        <v>0</v>
      </c>
      <c r="F357" s="58">
        <f>IFERROR(VLOOKUP(B357,O.B.JUNE!$V$7:$Y$448,4,0),0)</f>
        <v>0</v>
      </c>
      <c r="G357" s="58">
        <f>SUMIF('JUNE (물량흐름)'!$C$13:$C$493,'In-out-bal products (155)(완성제품)'!B357,'JUNE (물량흐름)'!$V$13:$V$493)</f>
        <v>0</v>
      </c>
      <c r="H357" s="58">
        <f>SUMIF('JUNE (물량흐름)'!$C$13:$C$493,'In-out-bal products (155)(완성제품)'!B357,'JUNE (물량흐름)'!$T$13:$T$493)-SUMIF('JUNE (물량흐름)'!$C$13:$C$493,'In-out-bal products (155)(완성제품)'!B357,'JUNE (물량흐름)'!$Y$13:$Y$493)+SUMIF('JUNE (물량흐름)'!$C$13:$C$493,'In-out-bal products (155)(완성제품)'!B357,'JUNE (물량흐름)'!$U$13:$U$493)</f>
        <v>0</v>
      </c>
      <c r="I357" s="58">
        <f t="shared" si="156"/>
        <v>0</v>
      </c>
      <c r="J357" s="58">
        <f>SUMIF('Direct labour(직접노무비)'!$C$12:$C$503,'In-out-bal products (155)(완성제품)'!B357,'Direct labour(직접노무비)'!$Q$12:$Q$503)</f>
        <v>0</v>
      </c>
      <c r="K357" s="59">
        <f>SUMIF('Overhead exp(제조경비)'!$C$12:$C$503,'In-out-bal products (155)(완성제품)'!B357,'Overhead exp(제조경비)'!$Q$12:$Q$503)</f>
        <v>0</v>
      </c>
      <c r="L357" s="58">
        <f t="shared" si="157"/>
        <v>0</v>
      </c>
      <c r="M357" s="58">
        <f>SUMIF('JUNE (물량흐름)'!$C$13:$C$488,'In-out-bal products (155)(완성제품)'!B357,'JUNE (물량흐름)'!$Y$13:$Y$488)</f>
        <v>0</v>
      </c>
      <c r="N357" s="58">
        <f t="shared" si="158"/>
        <v>0</v>
      </c>
      <c r="O357" s="58">
        <f>SUMIF('Direct labour(직접노무비)'!$C$12:$C$503,'In-out-bal products (155)(완성제품)'!B357,'Direct labour(직접노무비)'!$U$12:$U$503)+SUMIF('Overhead exp(제조경비)'!$C$12:$C$503,'In-out-bal products (155)(완성제품)'!B357,'Overhead exp(제조경비)'!$U$12:$U$503)</f>
        <v>0</v>
      </c>
      <c r="P357" s="60">
        <f t="shared" si="159"/>
        <v>0</v>
      </c>
      <c r="Q357" s="60">
        <f t="shared" si="160"/>
        <v>0</v>
      </c>
      <c r="R357" s="60">
        <f t="shared" si="161"/>
        <v>0</v>
      </c>
      <c r="S357" s="58">
        <v>0</v>
      </c>
      <c r="T357" s="58">
        <v>0</v>
      </c>
      <c r="U357" s="58">
        <v>0</v>
      </c>
      <c r="V357" s="58">
        <f>SUMIF('JUNE (물량흐름)'!$C$13:$C$493,'In-out-bal products (155)(완성제품)'!B357,'JUNE (물량흐름)'!$W$13:$W$493)</f>
        <v>0</v>
      </c>
      <c r="W357" s="58">
        <f t="shared" si="162"/>
        <v>0</v>
      </c>
      <c r="X357" s="58">
        <f t="shared" si="163"/>
        <v>0</v>
      </c>
      <c r="Y357" s="58">
        <f>SUMIF('JUNE (물량흐름)'!$C$13:$C$488,'In-out-bal products (155)(완성제품)'!B357,'JUNE (물량흐름)'!$X$13:$X$488)</f>
        <v>0</v>
      </c>
      <c r="Z357" s="58">
        <f t="shared" si="164"/>
        <v>0</v>
      </c>
      <c r="AA357" s="58">
        <f t="shared" si="165"/>
        <v>0</v>
      </c>
      <c r="AB357" s="58"/>
      <c r="AC357" s="58"/>
      <c r="AD357" s="61"/>
      <c r="AE357" s="58">
        <f t="shared" si="166"/>
        <v>0</v>
      </c>
      <c r="AF357" s="58">
        <f t="shared" si="167"/>
        <v>0</v>
      </c>
      <c r="AG357" s="61">
        <f t="shared" si="168"/>
        <v>0</v>
      </c>
      <c r="AH357" s="58">
        <v>0</v>
      </c>
      <c r="AI357" s="58">
        <v>0</v>
      </c>
      <c r="AJ357" s="61">
        <v>0</v>
      </c>
      <c r="AK357" s="58"/>
      <c r="AL357" s="58"/>
      <c r="AM357" s="61"/>
      <c r="AN357" s="61">
        <f t="shared" si="185"/>
        <v>0</v>
      </c>
      <c r="AO357" s="58">
        <f t="shared" si="169"/>
        <v>0</v>
      </c>
      <c r="AP357" s="61">
        <f t="shared" si="170"/>
        <v>0</v>
      </c>
      <c r="AQ357" s="58">
        <f t="shared" si="171"/>
        <v>0</v>
      </c>
      <c r="AR357" s="58">
        <f t="shared" si="172"/>
        <v>0</v>
      </c>
      <c r="AS357" s="58">
        <f t="shared" si="173"/>
        <v>0</v>
      </c>
      <c r="AT357" s="58">
        <f>ROUND(SUMIF('JUNE (물량흐름)'!$C$13:$C$502,'In-out-bal products (155)(완성제품)'!B357,'JUNE (물량흐름)'!$AB$13:$AB$502),0)</f>
        <v>0</v>
      </c>
      <c r="AU357" s="58">
        <f t="shared" si="174"/>
        <v>0</v>
      </c>
      <c r="AV357" s="58">
        <f>ROUND(SUMIF('JUNE (물량흐름)'!$C$13:$C$502,'In-out-bal products (155)(완성제품)'!B357,'JUNE (물량흐름)'!$AC$13:$AC$502),0)</f>
        <v>0</v>
      </c>
      <c r="AW357" s="58">
        <f t="shared" si="175"/>
        <v>0</v>
      </c>
      <c r="AX357" s="376">
        <f t="shared" si="176"/>
        <v>0</v>
      </c>
      <c r="AY357" s="377">
        <f t="shared" si="177"/>
        <v>0</v>
      </c>
      <c r="AZ357" s="377">
        <f t="shared" si="178"/>
        <v>0</v>
      </c>
      <c r="BA357" s="377">
        <f t="shared" si="179"/>
        <v>0</v>
      </c>
      <c r="BB357" s="377"/>
      <c r="BC357" s="377">
        <f t="shared" si="180"/>
        <v>0</v>
      </c>
      <c r="BD357" s="377">
        <f t="shared" si="181"/>
        <v>0</v>
      </c>
      <c r="BE357" s="377"/>
      <c r="BF357" s="377">
        <f t="shared" si="182"/>
        <v>0</v>
      </c>
      <c r="BG357" s="433">
        <f t="shared" si="183"/>
        <v>0</v>
      </c>
      <c r="BH357" s="434">
        <f t="shared" si="184"/>
        <v>0</v>
      </c>
    </row>
    <row r="358" spans="1:60" s="378" customFormat="1">
      <c r="A358" s="167">
        <v>353</v>
      </c>
      <c r="B358" s="253">
        <f>VLOOKUP(A358,'JUNE (물량흐름)'!$A$13:$C$493,3,0)</f>
        <v>100018242</v>
      </c>
      <c r="C358" s="57" t="str">
        <f>VLOOKUP(A358,'JUNE (물량흐름)'!$A$13:$C$493,2,0)</f>
        <v>ALFANI</v>
      </c>
      <c r="D358" s="58">
        <f>IFERROR(VLOOKUP(B358,O.B.JUNE!$V$7:$Y$448,2,0),0)</f>
        <v>31</v>
      </c>
      <c r="E358" s="58">
        <f>IFERROR(VLOOKUP(B358,O.B.JUNE!$V$7:$X$448,3,0),0)</f>
        <v>20160.483870967742</v>
      </c>
      <c r="F358" s="58">
        <f>IFERROR(VLOOKUP(B358,O.B.JUNE!$V$7:$Y$448,4,0),0)</f>
        <v>624975</v>
      </c>
      <c r="G358" s="58">
        <f>SUMIF('JUNE (물량흐름)'!$C$13:$C$493,'In-out-bal products (155)(완성제품)'!B358,'JUNE (물량흐름)'!$V$13:$V$493)</f>
        <v>0</v>
      </c>
      <c r="H358" s="58">
        <f>SUMIF('JUNE (물량흐름)'!$C$13:$C$493,'In-out-bal products (155)(완성제품)'!B358,'JUNE (물량흐름)'!$T$13:$T$493)-SUMIF('JUNE (물량흐름)'!$C$13:$C$493,'In-out-bal products (155)(완성제품)'!B358,'JUNE (물량흐름)'!$Y$13:$Y$493)+SUMIF('JUNE (물량흐름)'!$C$13:$C$493,'In-out-bal products (155)(완성제품)'!B358,'JUNE (물량흐름)'!$U$13:$U$493)</f>
        <v>0</v>
      </c>
      <c r="I358" s="58">
        <f t="shared" si="156"/>
        <v>0</v>
      </c>
      <c r="J358" s="58">
        <f>SUMIF('Direct labour(직접노무비)'!$C$12:$C$503,'In-out-bal products (155)(완성제품)'!B358,'Direct labour(직접노무비)'!$Q$12:$Q$503)</f>
        <v>0</v>
      </c>
      <c r="K358" s="59">
        <f>SUMIF('Overhead exp(제조경비)'!$C$12:$C$503,'In-out-bal products (155)(완성제품)'!B358,'Overhead exp(제조경비)'!$Q$12:$Q$503)</f>
        <v>0</v>
      </c>
      <c r="L358" s="58">
        <f t="shared" si="157"/>
        <v>0</v>
      </c>
      <c r="M358" s="58">
        <f>SUMIF('JUNE (물량흐름)'!$C$13:$C$488,'In-out-bal products (155)(완성제품)'!B358,'JUNE (물량흐름)'!$Y$13:$Y$488)</f>
        <v>0</v>
      </c>
      <c r="N358" s="58">
        <f t="shared" si="158"/>
        <v>0</v>
      </c>
      <c r="O358" s="58">
        <f>SUMIF('Direct labour(직접노무비)'!$C$12:$C$503,'In-out-bal products (155)(완성제품)'!B358,'Direct labour(직접노무비)'!$U$12:$U$503)+SUMIF('Overhead exp(제조경비)'!$C$12:$C$503,'In-out-bal products (155)(완성제품)'!B358,'Overhead exp(제조경비)'!$U$12:$U$503)</f>
        <v>0</v>
      </c>
      <c r="P358" s="60">
        <f t="shared" si="159"/>
        <v>0</v>
      </c>
      <c r="Q358" s="60">
        <f t="shared" si="160"/>
        <v>0</v>
      </c>
      <c r="R358" s="60">
        <f t="shared" si="161"/>
        <v>0</v>
      </c>
      <c r="S358" s="58">
        <v>0</v>
      </c>
      <c r="T358" s="58">
        <v>0</v>
      </c>
      <c r="U358" s="58">
        <v>0</v>
      </c>
      <c r="V358" s="58">
        <f>SUMIF('JUNE (물량흐름)'!$C$13:$C$493,'In-out-bal products (155)(완성제품)'!B358,'JUNE (물량흐름)'!$W$13:$W$493)</f>
        <v>0</v>
      </c>
      <c r="W358" s="58">
        <f t="shared" si="162"/>
        <v>0</v>
      </c>
      <c r="X358" s="58">
        <f t="shared" si="163"/>
        <v>0</v>
      </c>
      <c r="Y358" s="58">
        <f>SUMIF('JUNE (물량흐름)'!$C$13:$C$488,'In-out-bal products (155)(완성제품)'!B358,'JUNE (물량흐름)'!$X$13:$X$488)</f>
        <v>0</v>
      </c>
      <c r="Z358" s="58">
        <f t="shared" si="164"/>
        <v>0</v>
      </c>
      <c r="AA358" s="58">
        <f t="shared" si="165"/>
        <v>0</v>
      </c>
      <c r="AB358" s="58"/>
      <c r="AC358" s="58"/>
      <c r="AD358" s="61"/>
      <c r="AE358" s="58">
        <f t="shared" si="166"/>
        <v>0</v>
      </c>
      <c r="AF358" s="58">
        <f t="shared" si="167"/>
        <v>0</v>
      </c>
      <c r="AG358" s="61">
        <f t="shared" si="168"/>
        <v>0</v>
      </c>
      <c r="AH358" s="58">
        <v>0</v>
      </c>
      <c r="AI358" s="58">
        <v>0</v>
      </c>
      <c r="AJ358" s="61">
        <v>0</v>
      </c>
      <c r="AK358" s="58"/>
      <c r="AL358" s="58"/>
      <c r="AM358" s="61"/>
      <c r="AN358" s="61">
        <f t="shared" si="185"/>
        <v>0</v>
      </c>
      <c r="AO358" s="58">
        <f t="shared" si="169"/>
        <v>0</v>
      </c>
      <c r="AP358" s="61">
        <f t="shared" si="170"/>
        <v>0</v>
      </c>
      <c r="AQ358" s="58">
        <f t="shared" si="171"/>
        <v>31</v>
      </c>
      <c r="AR358" s="58">
        <f t="shared" si="172"/>
        <v>20160.483870967742</v>
      </c>
      <c r="AS358" s="58">
        <f t="shared" si="173"/>
        <v>624975</v>
      </c>
      <c r="AT358" s="58">
        <f>ROUND(SUMIF('JUNE (물량흐름)'!$C$13:$C$502,'In-out-bal products (155)(완성제품)'!B358,'JUNE (물량흐름)'!$AB$13:$AB$502),0)</f>
        <v>0</v>
      </c>
      <c r="AU358" s="58">
        <f t="shared" si="174"/>
        <v>0</v>
      </c>
      <c r="AV358" s="58">
        <f>ROUND(SUMIF('JUNE (물량흐름)'!$C$13:$C$502,'In-out-bal products (155)(완성제품)'!B358,'JUNE (물량흐름)'!$AC$13:$AC$502),0)</f>
        <v>31</v>
      </c>
      <c r="AW358" s="58">
        <f t="shared" si="175"/>
        <v>624975</v>
      </c>
      <c r="AX358" s="376">
        <f t="shared" si="176"/>
        <v>0</v>
      </c>
      <c r="AY358" s="377">
        <f t="shared" si="177"/>
        <v>0</v>
      </c>
      <c r="AZ358" s="377">
        <f t="shared" si="178"/>
        <v>0</v>
      </c>
      <c r="BA358" s="377">
        <f t="shared" si="179"/>
        <v>0</v>
      </c>
      <c r="BB358" s="377"/>
      <c r="BC358" s="377">
        <f t="shared" si="180"/>
        <v>0</v>
      </c>
      <c r="BD358" s="377">
        <f t="shared" si="181"/>
        <v>0</v>
      </c>
      <c r="BE358" s="377"/>
      <c r="BF358" s="377">
        <f t="shared" si="182"/>
        <v>0</v>
      </c>
      <c r="BG358" s="433">
        <f t="shared" si="183"/>
        <v>0</v>
      </c>
      <c r="BH358" s="434">
        <f t="shared" si="184"/>
        <v>0</v>
      </c>
    </row>
    <row r="359" spans="1:60" s="378" customFormat="1">
      <c r="A359" s="167">
        <v>354</v>
      </c>
      <c r="B359" s="253">
        <f>VLOOKUP(A359,'JUNE (물량흐름)'!$A$13:$C$493,3,0)</f>
        <v>100019044</v>
      </c>
      <c r="C359" s="57" t="str">
        <f>VLOOKUP(A359,'JUNE (물량흐름)'!$A$13:$C$493,2,0)</f>
        <v>ALFANI</v>
      </c>
      <c r="D359" s="58">
        <f>IFERROR(VLOOKUP(B359,O.B.JUNE!$V$7:$Y$448,2,0),0)</f>
        <v>89</v>
      </c>
      <c r="E359" s="58">
        <f>IFERROR(VLOOKUP(B359,O.B.JUNE!$V$7:$X$448,3,0),0)</f>
        <v>38414.089887640446</v>
      </c>
      <c r="F359" s="58">
        <f>IFERROR(VLOOKUP(B359,O.B.JUNE!$V$7:$Y$448,4,0),0)</f>
        <v>3418854</v>
      </c>
      <c r="G359" s="58">
        <f>SUMIF('JUNE (물량흐름)'!$C$13:$C$493,'In-out-bal products (155)(완성제품)'!B359,'JUNE (물량흐름)'!$V$13:$V$493)</f>
        <v>0</v>
      </c>
      <c r="H359" s="58">
        <f>SUMIF('JUNE (물량흐름)'!$C$13:$C$493,'In-out-bal products (155)(완성제품)'!B359,'JUNE (물량흐름)'!$T$13:$T$493)-SUMIF('JUNE (물량흐름)'!$C$13:$C$493,'In-out-bal products (155)(완성제품)'!B359,'JUNE (물량흐름)'!$Y$13:$Y$493)+SUMIF('JUNE (물량흐름)'!$C$13:$C$493,'In-out-bal products (155)(완성제품)'!B359,'JUNE (물량흐름)'!$U$13:$U$493)</f>
        <v>0</v>
      </c>
      <c r="I359" s="58">
        <f t="shared" si="156"/>
        <v>0</v>
      </c>
      <c r="J359" s="58">
        <f>SUMIF('Direct labour(직접노무비)'!$C$12:$C$503,'In-out-bal products (155)(완성제품)'!B359,'Direct labour(직접노무비)'!$Q$12:$Q$503)</f>
        <v>0</v>
      </c>
      <c r="K359" s="59">
        <f>SUMIF('Overhead exp(제조경비)'!$C$12:$C$503,'In-out-bal products (155)(완성제품)'!B359,'Overhead exp(제조경비)'!$Q$12:$Q$503)</f>
        <v>0</v>
      </c>
      <c r="L359" s="58">
        <f t="shared" si="157"/>
        <v>0</v>
      </c>
      <c r="M359" s="58">
        <f>SUMIF('JUNE (물량흐름)'!$C$13:$C$488,'In-out-bal products (155)(완성제품)'!B359,'JUNE (물량흐름)'!$Y$13:$Y$488)</f>
        <v>0</v>
      </c>
      <c r="N359" s="58">
        <f t="shared" si="158"/>
        <v>0</v>
      </c>
      <c r="O359" s="58">
        <f>SUMIF('Direct labour(직접노무비)'!$C$12:$C$503,'In-out-bal products (155)(완성제품)'!B359,'Direct labour(직접노무비)'!$U$12:$U$503)+SUMIF('Overhead exp(제조경비)'!$C$12:$C$503,'In-out-bal products (155)(완성제품)'!B359,'Overhead exp(제조경비)'!$U$12:$U$503)</f>
        <v>0</v>
      </c>
      <c r="P359" s="60">
        <f t="shared" si="159"/>
        <v>0</v>
      </c>
      <c r="Q359" s="60">
        <f t="shared" si="160"/>
        <v>0</v>
      </c>
      <c r="R359" s="60">
        <f t="shared" si="161"/>
        <v>0</v>
      </c>
      <c r="S359" s="58">
        <v>0</v>
      </c>
      <c r="T359" s="58">
        <v>0</v>
      </c>
      <c r="U359" s="58">
        <v>0</v>
      </c>
      <c r="V359" s="58">
        <f>SUMIF('JUNE (물량흐름)'!$C$13:$C$493,'In-out-bal products (155)(완성제품)'!B359,'JUNE (물량흐름)'!$W$13:$W$493)</f>
        <v>0</v>
      </c>
      <c r="W359" s="58">
        <f t="shared" si="162"/>
        <v>0</v>
      </c>
      <c r="X359" s="58">
        <f t="shared" si="163"/>
        <v>0</v>
      </c>
      <c r="Y359" s="58">
        <f>SUMIF('JUNE (물량흐름)'!$C$13:$C$488,'In-out-bal products (155)(완성제품)'!B359,'JUNE (물량흐름)'!$X$13:$X$488)</f>
        <v>0</v>
      </c>
      <c r="Z359" s="58">
        <f t="shared" si="164"/>
        <v>0</v>
      </c>
      <c r="AA359" s="58">
        <f t="shared" si="165"/>
        <v>0</v>
      </c>
      <c r="AB359" s="58"/>
      <c r="AC359" s="58"/>
      <c r="AD359" s="61"/>
      <c r="AE359" s="58">
        <f t="shared" si="166"/>
        <v>0</v>
      </c>
      <c r="AF359" s="58">
        <f t="shared" si="167"/>
        <v>0</v>
      </c>
      <c r="AG359" s="61">
        <f t="shared" si="168"/>
        <v>0</v>
      </c>
      <c r="AH359" s="58">
        <v>0</v>
      </c>
      <c r="AI359" s="58">
        <v>0</v>
      </c>
      <c r="AJ359" s="61">
        <v>0</v>
      </c>
      <c r="AK359" s="58"/>
      <c r="AL359" s="58"/>
      <c r="AM359" s="61"/>
      <c r="AN359" s="61">
        <f t="shared" si="185"/>
        <v>0</v>
      </c>
      <c r="AO359" s="58">
        <f t="shared" si="169"/>
        <v>0</v>
      </c>
      <c r="AP359" s="61">
        <f t="shared" si="170"/>
        <v>0</v>
      </c>
      <c r="AQ359" s="58">
        <f t="shared" si="171"/>
        <v>89</v>
      </c>
      <c r="AR359" s="58">
        <f t="shared" si="172"/>
        <v>38414.089887640446</v>
      </c>
      <c r="AS359" s="58">
        <f t="shared" si="173"/>
        <v>3418854</v>
      </c>
      <c r="AT359" s="58">
        <f>ROUND(SUMIF('JUNE (물량흐름)'!$C$13:$C$502,'In-out-bal products (155)(완성제품)'!B359,'JUNE (물량흐름)'!$AB$13:$AB$502),0)</f>
        <v>0</v>
      </c>
      <c r="AU359" s="58">
        <f t="shared" si="174"/>
        <v>0</v>
      </c>
      <c r="AV359" s="58">
        <f>ROUND(SUMIF('JUNE (물량흐름)'!$C$13:$C$502,'In-out-bal products (155)(완성제품)'!B359,'JUNE (물량흐름)'!$AC$13:$AC$502),0)</f>
        <v>89</v>
      </c>
      <c r="AW359" s="58">
        <f t="shared" si="175"/>
        <v>3418854</v>
      </c>
      <c r="AX359" s="376">
        <f t="shared" si="176"/>
        <v>0</v>
      </c>
      <c r="AY359" s="377">
        <f t="shared" si="177"/>
        <v>0</v>
      </c>
      <c r="AZ359" s="377">
        <f t="shared" si="178"/>
        <v>0</v>
      </c>
      <c r="BA359" s="377">
        <f t="shared" si="179"/>
        <v>0</v>
      </c>
      <c r="BB359" s="377"/>
      <c r="BC359" s="377">
        <f t="shared" si="180"/>
        <v>0</v>
      </c>
      <c r="BD359" s="377">
        <f t="shared" si="181"/>
        <v>0</v>
      </c>
      <c r="BE359" s="377"/>
      <c r="BF359" s="377">
        <f t="shared" si="182"/>
        <v>0</v>
      </c>
      <c r="BG359" s="433">
        <f t="shared" si="183"/>
        <v>0</v>
      </c>
      <c r="BH359" s="434">
        <f t="shared" si="184"/>
        <v>0</v>
      </c>
    </row>
    <row r="360" spans="1:60" s="378" customFormat="1">
      <c r="A360" s="167">
        <v>355</v>
      </c>
      <c r="B360" s="253">
        <f>VLOOKUP(A360,'JUNE (물량흐름)'!$A$13:$C$493,3,0)</f>
        <v>100023527</v>
      </c>
      <c r="C360" s="57" t="str">
        <f>VLOOKUP(A360,'JUNE (물량흐름)'!$A$13:$C$493,2,0)</f>
        <v>ALFANI</v>
      </c>
      <c r="D360" s="58">
        <f>IFERROR(VLOOKUP(B360,O.B.JUNE!$V$7:$Y$448,2,0),0)</f>
        <v>32</v>
      </c>
      <c r="E360" s="58">
        <f>IFERROR(VLOOKUP(B360,O.B.JUNE!$V$7:$X$448,3,0),0)</f>
        <v>18387.78125</v>
      </c>
      <c r="F360" s="58">
        <f>IFERROR(VLOOKUP(B360,O.B.JUNE!$V$7:$Y$448,4,0),0)</f>
        <v>588409</v>
      </c>
      <c r="G360" s="58">
        <f>SUMIF('JUNE (물량흐름)'!$C$13:$C$493,'In-out-bal products (155)(완성제품)'!B360,'JUNE (물량흐름)'!$V$13:$V$493)</f>
        <v>0</v>
      </c>
      <c r="H360" s="58">
        <f>SUMIF('JUNE (물량흐름)'!$C$13:$C$493,'In-out-bal products (155)(완성제품)'!B360,'JUNE (물량흐름)'!$T$13:$T$493)-SUMIF('JUNE (물량흐름)'!$C$13:$C$493,'In-out-bal products (155)(완성제품)'!B360,'JUNE (물량흐름)'!$Y$13:$Y$493)+SUMIF('JUNE (물량흐름)'!$C$13:$C$493,'In-out-bal products (155)(완성제품)'!B360,'JUNE (물량흐름)'!$U$13:$U$493)</f>
        <v>0</v>
      </c>
      <c r="I360" s="58">
        <f t="shared" si="156"/>
        <v>0</v>
      </c>
      <c r="J360" s="58">
        <f>SUMIF('Direct labour(직접노무비)'!$C$12:$C$503,'In-out-bal products (155)(완성제품)'!B360,'Direct labour(직접노무비)'!$Q$12:$Q$503)</f>
        <v>0</v>
      </c>
      <c r="K360" s="59">
        <f>SUMIF('Overhead exp(제조경비)'!$C$12:$C$503,'In-out-bal products (155)(완성제품)'!B360,'Overhead exp(제조경비)'!$Q$12:$Q$503)</f>
        <v>0</v>
      </c>
      <c r="L360" s="58">
        <f t="shared" si="157"/>
        <v>0</v>
      </c>
      <c r="M360" s="58">
        <f>SUMIF('JUNE (물량흐름)'!$C$13:$C$488,'In-out-bal products (155)(완성제품)'!B360,'JUNE (물량흐름)'!$Y$13:$Y$488)</f>
        <v>0</v>
      </c>
      <c r="N360" s="58">
        <f t="shared" si="158"/>
        <v>0</v>
      </c>
      <c r="O360" s="58">
        <f>SUMIF('Direct labour(직접노무비)'!$C$12:$C$503,'In-out-bal products (155)(완성제품)'!B360,'Direct labour(직접노무비)'!$U$12:$U$503)+SUMIF('Overhead exp(제조경비)'!$C$12:$C$503,'In-out-bal products (155)(완성제품)'!B360,'Overhead exp(제조경비)'!$U$12:$U$503)</f>
        <v>0</v>
      </c>
      <c r="P360" s="60">
        <f t="shared" si="159"/>
        <v>0</v>
      </c>
      <c r="Q360" s="60">
        <f t="shared" si="160"/>
        <v>0</v>
      </c>
      <c r="R360" s="60">
        <f t="shared" si="161"/>
        <v>0</v>
      </c>
      <c r="S360" s="58">
        <v>0</v>
      </c>
      <c r="T360" s="58">
        <v>0</v>
      </c>
      <c r="U360" s="58">
        <v>0</v>
      </c>
      <c r="V360" s="58">
        <f>SUMIF('JUNE (물량흐름)'!$C$13:$C$493,'In-out-bal products (155)(완성제품)'!B360,'JUNE (물량흐름)'!$W$13:$W$493)</f>
        <v>0</v>
      </c>
      <c r="W360" s="58">
        <f t="shared" si="162"/>
        <v>0</v>
      </c>
      <c r="X360" s="58">
        <f t="shared" si="163"/>
        <v>0</v>
      </c>
      <c r="Y360" s="58">
        <f>SUMIF('JUNE (물량흐름)'!$C$13:$C$488,'In-out-bal products (155)(완성제품)'!B360,'JUNE (물량흐름)'!$X$13:$X$488)</f>
        <v>0</v>
      </c>
      <c r="Z360" s="58">
        <f t="shared" si="164"/>
        <v>0</v>
      </c>
      <c r="AA360" s="58">
        <f t="shared" si="165"/>
        <v>0</v>
      </c>
      <c r="AB360" s="58"/>
      <c r="AC360" s="58"/>
      <c r="AD360" s="61"/>
      <c r="AE360" s="58">
        <f t="shared" si="166"/>
        <v>0</v>
      </c>
      <c r="AF360" s="58">
        <f t="shared" si="167"/>
        <v>0</v>
      </c>
      <c r="AG360" s="61">
        <f t="shared" si="168"/>
        <v>0</v>
      </c>
      <c r="AH360" s="58">
        <v>0</v>
      </c>
      <c r="AI360" s="58">
        <v>0</v>
      </c>
      <c r="AJ360" s="61">
        <v>0</v>
      </c>
      <c r="AK360" s="58"/>
      <c r="AL360" s="58"/>
      <c r="AM360" s="61"/>
      <c r="AN360" s="61">
        <f t="shared" si="185"/>
        <v>0</v>
      </c>
      <c r="AO360" s="58">
        <f t="shared" si="169"/>
        <v>0</v>
      </c>
      <c r="AP360" s="61">
        <f t="shared" si="170"/>
        <v>0</v>
      </c>
      <c r="AQ360" s="58">
        <f>ROUND(D360+P360-AN360,0)</f>
        <v>32</v>
      </c>
      <c r="AR360" s="58">
        <f t="shared" si="172"/>
        <v>18387.78125</v>
      </c>
      <c r="AS360" s="58">
        <f t="shared" si="173"/>
        <v>588409</v>
      </c>
      <c r="AT360" s="58">
        <f>ROUND(SUMIF('JUNE (물량흐름)'!$C$13:$C$502,'In-out-bal products (155)(완성제품)'!B360,'JUNE (물량흐름)'!$AB$13:$AB$502),0)</f>
        <v>0</v>
      </c>
      <c r="AU360" s="58">
        <f t="shared" si="174"/>
        <v>0</v>
      </c>
      <c r="AV360" s="58">
        <f>ROUND(SUMIF('JUNE (물량흐름)'!$C$13:$C$502,'In-out-bal products (155)(완성제품)'!B360,'JUNE (물량흐름)'!$AC$13:$AC$502),0)</f>
        <v>32</v>
      </c>
      <c r="AW360" s="58">
        <f t="shared" si="175"/>
        <v>588409</v>
      </c>
      <c r="AX360" s="376">
        <f t="shared" si="176"/>
        <v>0</v>
      </c>
      <c r="AY360" s="377">
        <f t="shared" si="177"/>
        <v>0</v>
      </c>
      <c r="AZ360" s="377">
        <f t="shared" si="178"/>
        <v>0</v>
      </c>
      <c r="BA360" s="377">
        <f t="shared" si="179"/>
        <v>0</v>
      </c>
      <c r="BB360" s="377"/>
      <c r="BC360" s="377">
        <f t="shared" si="180"/>
        <v>0</v>
      </c>
      <c r="BD360" s="377">
        <f t="shared" si="181"/>
        <v>0</v>
      </c>
      <c r="BE360" s="377"/>
      <c r="BF360" s="377">
        <f t="shared" si="182"/>
        <v>0</v>
      </c>
      <c r="BG360" s="433">
        <f t="shared" si="183"/>
        <v>0</v>
      </c>
      <c r="BH360" s="434">
        <f t="shared" si="184"/>
        <v>0</v>
      </c>
    </row>
    <row r="361" spans="1:60" s="378" customFormat="1">
      <c r="A361" s="167">
        <v>356</v>
      </c>
      <c r="B361" s="253">
        <f>VLOOKUP(A361,'JUNE (물량흐름)'!$A$13:$C$493,3,0)</f>
        <v>100024705</v>
      </c>
      <c r="C361" s="57" t="str">
        <f>VLOOKUP(A361,'JUNE (물량흐름)'!$A$13:$C$493,2,0)</f>
        <v>ALFANI</v>
      </c>
      <c r="D361" s="58">
        <f>IFERROR(VLOOKUP(B361,O.B.JUNE!$V$7:$Y$448,2,0),0)</f>
        <v>0</v>
      </c>
      <c r="E361" s="58">
        <f>IFERROR(VLOOKUP(B361,O.B.JUNE!$V$7:$X$448,3,0),0)</f>
        <v>0</v>
      </c>
      <c r="F361" s="58">
        <f>IFERROR(VLOOKUP(B361,O.B.JUNE!$V$7:$Y$448,4,0),0)</f>
        <v>0</v>
      </c>
      <c r="G361" s="58">
        <f>SUMIF('JUNE (물량흐름)'!$C$13:$C$493,'In-out-bal products (155)(완성제품)'!B361,'JUNE (물량흐름)'!$V$13:$V$493)</f>
        <v>0</v>
      </c>
      <c r="H361" s="58">
        <f>SUMIF('JUNE (물량흐름)'!$C$13:$C$493,'In-out-bal products (155)(완성제품)'!B361,'JUNE (물량흐름)'!$T$13:$T$493)-SUMIF('JUNE (물량흐름)'!$C$13:$C$493,'In-out-bal products (155)(완성제품)'!B361,'JUNE (물량흐름)'!$Y$13:$Y$493)+SUMIF('JUNE (물량흐름)'!$C$13:$C$493,'In-out-bal products (155)(완성제품)'!B361,'JUNE (물량흐름)'!$U$13:$U$493)</f>
        <v>0</v>
      </c>
      <c r="I361" s="58">
        <f t="shared" si="156"/>
        <v>0</v>
      </c>
      <c r="J361" s="58">
        <f>SUMIF('Direct labour(직접노무비)'!$C$12:$C$503,'In-out-bal products (155)(완성제품)'!B361,'Direct labour(직접노무비)'!$Q$12:$Q$503)</f>
        <v>0</v>
      </c>
      <c r="K361" s="59">
        <f>SUMIF('Overhead exp(제조경비)'!$C$12:$C$503,'In-out-bal products (155)(완성제품)'!B361,'Overhead exp(제조경비)'!$Q$12:$Q$503)</f>
        <v>0</v>
      </c>
      <c r="L361" s="58">
        <f t="shared" si="157"/>
        <v>0</v>
      </c>
      <c r="M361" s="58">
        <f>SUMIF('JUNE (물량흐름)'!$C$13:$C$488,'In-out-bal products (155)(완성제품)'!B361,'JUNE (물량흐름)'!$Y$13:$Y$488)</f>
        <v>0</v>
      </c>
      <c r="N361" s="58">
        <f t="shared" si="158"/>
        <v>0</v>
      </c>
      <c r="O361" s="58">
        <f>SUMIF('Direct labour(직접노무비)'!$C$12:$C$503,'In-out-bal products (155)(완성제품)'!B361,'Direct labour(직접노무비)'!$U$12:$U$503)+SUMIF('Overhead exp(제조경비)'!$C$12:$C$503,'In-out-bal products (155)(완성제품)'!B361,'Overhead exp(제조경비)'!$U$12:$U$503)</f>
        <v>0</v>
      </c>
      <c r="P361" s="60">
        <f t="shared" si="159"/>
        <v>0</v>
      </c>
      <c r="Q361" s="60">
        <f t="shared" si="160"/>
        <v>0</v>
      </c>
      <c r="R361" s="60">
        <f t="shared" si="161"/>
        <v>0</v>
      </c>
      <c r="S361" s="58">
        <v>0</v>
      </c>
      <c r="T361" s="58">
        <v>0</v>
      </c>
      <c r="U361" s="58">
        <v>0</v>
      </c>
      <c r="V361" s="58">
        <f>SUMIF('JUNE (물량흐름)'!$C$13:$C$493,'In-out-bal products (155)(완성제품)'!B361,'JUNE (물량흐름)'!$W$13:$W$493)</f>
        <v>0</v>
      </c>
      <c r="W361" s="58">
        <f t="shared" si="162"/>
        <v>0</v>
      </c>
      <c r="X361" s="58">
        <f t="shared" si="163"/>
        <v>0</v>
      </c>
      <c r="Y361" s="58">
        <f>SUMIF('JUNE (물량흐름)'!$C$13:$C$488,'In-out-bal products (155)(완성제품)'!B361,'JUNE (물량흐름)'!$X$13:$X$488)</f>
        <v>0</v>
      </c>
      <c r="Z361" s="58">
        <f t="shared" si="164"/>
        <v>0</v>
      </c>
      <c r="AA361" s="58">
        <f t="shared" si="165"/>
        <v>0</v>
      </c>
      <c r="AB361" s="58"/>
      <c r="AC361" s="58"/>
      <c r="AD361" s="61"/>
      <c r="AE361" s="58">
        <f t="shared" si="166"/>
        <v>0</v>
      </c>
      <c r="AF361" s="58">
        <f t="shared" si="167"/>
        <v>0</v>
      </c>
      <c r="AG361" s="61">
        <f t="shared" si="168"/>
        <v>0</v>
      </c>
      <c r="AH361" s="58">
        <v>0</v>
      </c>
      <c r="AI361" s="58">
        <v>0</v>
      </c>
      <c r="AJ361" s="61">
        <v>0</v>
      </c>
      <c r="AK361" s="58"/>
      <c r="AL361" s="58"/>
      <c r="AM361" s="61"/>
      <c r="AN361" s="61">
        <f t="shared" si="185"/>
        <v>0</v>
      </c>
      <c r="AO361" s="58">
        <f t="shared" si="169"/>
        <v>0</v>
      </c>
      <c r="AP361" s="61">
        <f t="shared" si="170"/>
        <v>0</v>
      </c>
      <c r="AQ361" s="58">
        <f t="shared" si="171"/>
        <v>0</v>
      </c>
      <c r="AR361" s="58">
        <f t="shared" si="172"/>
        <v>0</v>
      </c>
      <c r="AS361" s="58">
        <f t="shared" si="173"/>
        <v>0</v>
      </c>
      <c r="AT361" s="58">
        <f>ROUND(SUMIF('JUNE (물량흐름)'!$C$13:$C$502,'In-out-bal products (155)(완성제품)'!B361,'JUNE (물량흐름)'!$AB$13:$AB$502),0)</f>
        <v>0</v>
      </c>
      <c r="AU361" s="58">
        <f t="shared" si="174"/>
        <v>0</v>
      </c>
      <c r="AV361" s="58">
        <f>ROUND(SUMIF('JUNE (물량흐름)'!$C$13:$C$502,'In-out-bal products (155)(완성제품)'!B361,'JUNE (물량흐름)'!$AC$13:$AC$502),0)</f>
        <v>0</v>
      </c>
      <c r="AW361" s="58">
        <f t="shared" si="175"/>
        <v>0</v>
      </c>
      <c r="AX361" s="376">
        <f t="shared" si="176"/>
        <v>0</v>
      </c>
      <c r="AY361" s="377">
        <f t="shared" si="177"/>
        <v>0</v>
      </c>
      <c r="AZ361" s="377">
        <f t="shared" si="178"/>
        <v>0</v>
      </c>
      <c r="BA361" s="377">
        <f t="shared" si="179"/>
        <v>0</v>
      </c>
      <c r="BB361" s="377"/>
      <c r="BC361" s="377">
        <f t="shared" si="180"/>
        <v>0</v>
      </c>
      <c r="BD361" s="377">
        <f t="shared" si="181"/>
        <v>0</v>
      </c>
      <c r="BE361" s="377"/>
      <c r="BF361" s="377">
        <f t="shared" si="182"/>
        <v>0</v>
      </c>
      <c r="BG361" s="433">
        <f t="shared" si="183"/>
        <v>0</v>
      </c>
      <c r="BH361" s="434">
        <f t="shared" si="184"/>
        <v>0</v>
      </c>
    </row>
    <row r="362" spans="1:60" s="378" customFormat="1">
      <c r="A362" s="167">
        <v>357</v>
      </c>
      <c r="B362" s="253">
        <f>VLOOKUP(A362,'JUNE (물량흐름)'!$A$13:$C$493,3,0)</f>
        <v>100027400</v>
      </c>
      <c r="C362" s="57" t="str">
        <f>VLOOKUP(A362,'JUNE (물량흐름)'!$A$13:$C$493,2,0)</f>
        <v>ALFANI</v>
      </c>
      <c r="D362" s="58">
        <f>IFERROR(VLOOKUP(B362,O.B.JUNE!$V$7:$Y$448,2,0),0)</f>
        <v>0</v>
      </c>
      <c r="E362" s="58">
        <f>IFERROR(VLOOKUP(B362,O.B.JUNE!$V$7:$X$448,3,0),0)</f>
        <v>0</v>
      </c>
      <c r="F362" s="58">
        <f>IFERROR(VLOOKUP(B362,O.B.JUNE!$V$7:$Y$448,4,0),0)</f>
        <v>0</v>
      </c>
      <c r="G362" s="58">
        <f>SUMIF('JUNE (물량흐름)'!$C$13:$C$493,'In-out-bal products (155)(완성제품)'!B362,'JUNE (물량흐름)'!$V$13:$V$493)</f>
        <v>0</v>
      </c>
      <c r="H362" s="58">
        <f>SUMIF('JUNE (물량흐름)'!$C$13:$C$493,'In-out-bal products (155)(완성제품)'!B362,'JUNE (물량흐름)'!$T$13:$T$493)-SUMIF('JUNE (물량흐름)'!$C$13:$C$493,'In-out-bal products (155)(완성제품)'!B362,'JUNE (물량흐름)'!$Y$13:$Y$493)+SUMIF('JUNE (물량흐름)'!$C$13:$C$493,'In-out-bal products (155)(완성제품)'!B362,'JUNE (물량흐름)'!$U$13:$U$493)</f>
        <v>0</v>
      </c>
      <c r="I362" s="58">
        <f t="shared" si="156"/>
        <v>0</v>
      </c>
      <c r="J362" s="58">
        <f>SUMIF('Direct labour(직접노무비)'!$C$12:$C$503,'In-out-bal products (155)(완성제품)'!B362,'Direct labour(직접노무비)'!$Q$12:$Q$503)</f>
        <v>0</v>
      </c>
      <c r="K362" s="59">
        <f>SUMIF('Overhead exp(제조경비)'!$C$12:$C$503,'In-out-bal products (155)(완성제품)'!B362,'Overhead exp(제조경비)'!$Q$12:$Q$503)</f>
        <v>0</v>
      </c>
      <c r="L362" s="58">
        <f t="shared" si="157"/>
        <v>0</v>
      </c>
      <c r="M362" s="58">
        <f>SUMIF('JUNE (물량흐름)'!$C$13:$C$488,'In-out-bal products (155)(완성제품)'!B362,'JUNE (물량흐름)'!$Y$13:$Y$488)</f>
        <v>0</v>
      </c>
      <c r="N362" s="58">
        <f t="shared" si="158"/>
        <v>0</v>
      </c>
      <c r="O362" s="58">
        <f>SUMIF('Direct labour(직접노무비)'!$C$12:$C$503,'In-out-bal products (155)(완성제품)'!B362,'Direct labour(직접노무비)'!$U$12:$U$503)+SUMIF('Overhead exp(제조경비)'!$C$12:$C$503,'In-out-bal products (155)(완성제품)'!B362,'Overhead exp(제조경비)'!$U$12:$U$503)</f>
        <v>0</v>
      </c>
      <c r="P362" s="60">
        <f t="shared" si="159"/>
        <v>0</v>
      </c>
      <c r="Q362" s="60">
        <f t="shared" si="160"/>
        <v>0</v>
      </c>
      <c r="R362" s="60">
        <f t="shared" si="161"/>
        <v>0</v>
      </c>
      <c r="S362" s="58">
        <v>0</v>
      </c>
      <c r="T362" s="58">
        <v>0</v>
      </c>
      <c r="U362" s="58">
        <v>0</v>
      </c>
      <c r="V362" s="58">
        <f>SUMIF('JUNE (물량흐름)'!$C$13:$C$493,'In-out-bal products (155)(완성제품)'!B362,'JUNE (물량흐름)'!$W$13:$W$493)</f>
        <v>0</v>
      </c>
      <c r="W362" s="58">
        <f t="shared" si="162"/>
        <v>0</v>
      </c>
      <c r="X362" s="58">
        <f t="shared" si="163"/>
        <v>0</v>
      </c>
      <c r="Y362" s="58">
        <f>SUMIF('JUNE (물량흐름)'!$C$13:$C$488,'In-out-bal products (155)(완성제품)'!B362,'JUNE (물량흐름)'!$X$13:$X$488)</f>
        <v>0</v>
      </c>
      <c r="Z362" s="58">
        <f t="shared" si="164"/>
        <v>0</v>
      </c>
      <c r="AA362" s="58">
        <f t="shared" si="165"/>
        <v>0</v>
      </c>
      <c r="AB362" s="58"/>
      <c r="AC362" s="58"/>
      <c r="AD362" s="61"/>
      <c r="AE362" s="58">
        <f t="shared" si="166"/>
        <v>0</v>
      </c>
      <c r="AF362" s="58">
        <f t="shared" si="167"/>
        <v>0</v>
      </c>
      <c r="AG362" s="61">
        <f t="shared" si="168"/>
        <v>0</v>
      </c>
      <c r="AH362" s="58">
        <v>0</v>
      </c>
      <c r="AI362" s="58">
        <v>0</v>
      </c>
      <c r="AJ362" s="61">
        <v>0</v>
      </c>
      <c r="AK362" s="58"/>
      <c r="AL362" s="58"/>
      <c r="AM362" s="61"/>
      <c r="AN362" s="61">
        <f t="shared" si="185"/>
        <v>0</v>
      </c>
      <c r="AO362" s="58">
        <f t="shared" si="169"/>
        <v>0</v>
      </c>
      <c r="AP362" s="61">
        <f t="shared" si="170"/>
        <v>0</v>
      </c>
      <c r="AQ362" s="58">
        <f t="shared" si="171"/>
        <v>0</v>
      </c>
      <c r="AR362" s="58">
        <f t="shared" si="172"/>
        <v>0</v>
      </c>
      <c r="AS362" s="58">
        <f t="shared" si="173"/>
        <v>0</v>
      </c>
      <c r="AT362" s="58">
        <f>ROUND(SUMIF('JUNE (물량흐름)'!$C$13:$C$502,'In-out-bal products (155)(완성제품)'!B362,'JUNE (물량흐름)'!$AB$13:$AB$502),0)</f>
        <v>0</v>
      </c>
      <c r="AU362" s="58">
        <f t="shared" si="174"/>
        <v>0</v>
      </c>
      <c r="AV362" s="58">
        <f>ROUND(SUMIF('JUNE (물량흐름)'!$C$13:$C$502,'In-out-bal products (155)(완성제품)'!B362,'JUNE (물량흐름)'!$AC$13:$AC$502),0)</f>
        <v>0</v>
      </c>
      <c r="AW362" s="58">
        <f t="shared" si="175"/>
        <v>0</v>
      </c>
      <c r="AX362" s="376">
        <f t="shared" si="176"/>
        <v>0</v>
      </c>
      <c r="AY362" s="377">
        <f t="shared" si="177"/>
        <v>0</v>
      </c>
      <c r="AZ362" s="377">
        <f t="shared" si="178"/>
        <v>0</v>
      </c>
      <c r="BA362" s="377">
        <f t="shared" si="179"/>
        <v>0</v>
      </c>
      <c r="BB362" s="377"/>
      <c r="BC362" s="377">
        <f t="shared" si="180"/>
        <v>0</v>
      </c>
      <c r="BD362" s="377">
        <f t="shared" si="181"/>
        <v>0</v>
      </c>
      <c r="BE362" s="377"/>
      <c r="BF362" s="377">
        <f t="shared" si="182"/>
        <v>0</v>
      </c>
      <c r="BG362" s="433">
        <f t="shared" si="183"/>
        <v>0</v>
      </c>
      <c r="BH362" s="434">
        <f t="shared" si="184"/>
        <v>0</v>
      </c>
    </row>
    <row r="363" spans="1:60" s="378" customFormat="1">
      <c r="A363" s="167">
        <v>358</v>
      </c>
      <c r="B363" s="253">
        <f>VLOOKUP(A363,'JUNE (물량흐름)'!$A$13:$C$493,3,0)</f>
        <v>100027987</v>
      </c>
      <c r="C363" s="57" t="str">
        <f>VLOOKUP(A363,'JUNE (물량흐름)'!$A$13:$C$493,2,0)</f>
        <v>ALFANI</v>
      </c>
      <c r="D363" s="58">
        <f>IFERROR(VLOOKUP(B363,O.B.JUNE!$V$7:$Y$448,2,0),0)</f>
        <v>0</v>
      </c>
      <c r="E363" s="58">
        <f>IFERROR(VLOOKUP(B363,O.B.JUNE!$V$7:$X$448,3,0),0)</f>
        <v>0</v>
      </c>
      <c r="F363" s="58">
        <f>IFERROR(VLOOKUP(B363,O.B.JUNE!$V$7:$Y$448,4,0),0)</f>
        <v>0</v>
      </c>
      <c r="G363" s="58">
        <f>SUMIF('JUNE (물량흐름)'!$C$13:$C$493,'In-out-bal products (155)(완성제품)'!B363,'JUNE (물량흐름)'!$V$13:$V$493)</f>
        <v>0</v>
      </c>
      <c r="H363" s="58">
        <f>SUMIF('JUNE (물량흐름)'!$C$13:$C$493,'In-out-bal products (155)(완성제품)'!B363,'JUNE (물량흐름)'!$T$13:$T$493)-SUMIF('JUNE (물량흐름)'!$C$13:$C$493,'In-out-bal products (155)(완성제품)'!B363,'JUNE (물량흐름)'!$Y$13:$Y$493)+SUMIF('JUNE (물량흐름)'!$C$13:$C$493,'In-out-bal products (155)(완성제품)'!B363,'JUNE (물량흐름)'!$U$13:$U$493)</f>
        <v>0</v>
      </c>
      <c r="I363" s="58">
        <f t="shared" si="156"/>
        <v>0</v>
      </c>
      <c r="J363" s="58">
        <f>SUMIF('Direct labour(직접노무비)'!$C$12:$C$503,'In-out-bal products (155)(완성제품)'!B363,'Direct labour(직접노무비)'!$Q$12:$Q$503)</f>
        <v>0</v>
      </c>
      <c r="K363" s="59">
        <f>SUMIF('Overhead exp(제조경비)'!$C$12:$C$503,'In-out-bal products (155)(완성제품)'!B363,'Overhead exp(제조경비)'!$Q$12:$Q$503)</f>
        <v>0</v>
      </c>
      <c r="L363" s="58">
        <f t="shared" si="157"/>
        <v>0</v>
      </c>
      <c r="M363" s="58">
        <f>SUMIF('JUNE (물량흐름)'!$C$13:$C$488,'In-out-bal products (155)(완성제품)'!B363,'JUNE (물량흐름)'!$Y$13:$Y$488)</f>
        <v>0</v>
      </c>
      <c r="N363" s="58">
        <f t="shared" si="158"/>
        <v>0</v>
      </c>
      <c r="O363" s="58">
        <f>SUMIF('Direct labour(직접노무비)'!$C$12:$C$503,'In-out-bal products (155)(완성제품)'!B363,'Direct labour(직접노무비)'!$U$12:$U$503)+SUMIF('Overhead exp(제조경비)'!$C$12:$C$503,'In-out-bal products (155)(완성제품)'!B363,'Overhead exp(제조경비)'!$U$12:$U$503)</f>
        <v>0</v>
      </c>
      <c r="P363" s="60">
        <f t="shared" si="159"/>
        <v>0</v>
      </c>
      <c r="Q363" s="60">
        <f t="shared" si="160"/>
        <v>0</v>
      </c>
      <c r="R363" s="60">
        <f t="shared" si="161"/>
        <v>0</v>
      </c>
      <c r="S363" s="58">
        <v>0</v>
      </c>
      <c r="T363" s="58">
        <v>0</v>
      </c>
      <c r="U363" s="58">
        <v>0</v>
      </c>
      <c r="V363" s="58">
        <f>SUMIF('JUNE (물량흐름)'!$C$13:$C$493,'In-out-bal products (155)(완성제품)'!B363,'JUNE (물량흐름)'!$W$13:$W$493)</f>
        <v>0</v>
      </c>
      <c r="W363" s="58">
        <f t="shared" si="162"/>
        <v>0</v>
      </c>
      <c r="X363" s="58">
        <f t="shared" si="163"/>
        <v>0</v>
      </c>
      <c r="Y363" s="58">
        <f>SUMIF('JUNE (물량흐름)'!$C$13:$C$488,'In-out-bal products (155)(완성제품)'!B363,'JUNE (물량흐름)'!$X$13:$X$488)</f>
        <v>0</v>
      </c>
      <c r="Z363" s="58">
        <f t="shared" si="164"/>
        <v>0</v>
      </c>
      <c r="AA363" s="58">
        <f t="shared" si="165"/>
        <v>0</v>
      </c>
      <c r="AB363" s="58"/>
      <c r="AC363" s="58"/>
      <c r="AD363" s="61"/>
      <c r="AE363" s="58">
        <f t="shared" si="166"/>
        <v>0</v>
      </c>
      <c r="AF363" s="58">
        <f t="shared" si="167"/>
        <v>0</v>
      </c>
      <c r="AG363" s="61">
        <f t="shared" si="168"/>
        <v>0</v>
      </c>
      <c r="AH363" s="58">
        <v>0</v>
      </c>
      <c r="AI363" s="58">
        <v>0</v>
      </c>
      <c r="AJ363" s="61">
        <v>0</v>
      </c>
      <c r="AK363" s="58"/>
      <c r="AL363" s="58"/>
      <c r="AM363" s="61"/>
      <c r="AN363" s="61">
        <f t="shared" si="185"/>
        <v>0</v>
      </c>
      <c r="AO363" s="58">
        <f t="shared" si="169"/>
        <v>0</v>
      </c>
      <c r="AP363" s="61">
        <f t="shared" si="170"/>
        <v>0</v>
      </c>
      <c r="AQ363" s="58">
        <f t="shared" si="171"/>
        <v>0</v>
      </c>
      <c r="AR363" s="58">
        <f t="shared" si="172"/>
        <v>0</v>
      </c>
      <c r="AS363" s="58">
        <f t="shared" si="173"/>
        <v>0</v>
      </c>
      <c r="AT363" s="58">
        <f>ROUND(SUMIF('JUNE (물량흐름)'!$C$13:$C$502,'In-out-bal products (155)(완성제품)'!B363,'JUNE (물량흐름)'!$AB$13:$AB$502),0)</f>
        <v>0</v>
      </c>
      <c r="AU363" s="58">
        <f t="shared" si="174"/>
        <v>0</v>
      </c>
      <c r="AV363" s="58">
        <f>ROUND(SUMIF('JUNE (물량흐름)'!$C$13:$C$502,'In-out-bal products (155)(완성제품)'!B363,'JUNE (물량흐름)'!$AC$13:$AC$502),0)</f>
        <v>0</v>
      </c>
      <c r="AW363" s="58">
        <f t="shared" si="175"/>
        <v>0</v>
      </c>
      <c r="AX363" s="376">
        <f t="shared" si="176"/>
        <v>0</v>
      </c>
      <c r="AY363" s="377">
        <f t="shared" si="177"/>
        <v>0</v>
      </c>
      <c r="AZ363" s="377">
        <f t="shared" si="178"/>
        <v>0</v>
      </c>
      <c r="BA363" s="377">
        <f t="shared" si="179"/>
        <v>0</v>
      </c>
      <c r="BB363" s="377"/>
      <c r="BC363" s="377">
        <f t="shared" si="180"/>
        <v>0</v>
      </c>
      <c r="BD363" s="377">
        <f t="shared" si="181"/>
        <v>0</v>
      </c>
      <c r="BE363" s="377"/>
      <c r="BF363" s="377">
        <f t="shared" si="182"/>
        <v>0</v>
      </c>
      <c r="BG363" s="433">
        <f t="shared" si="183"/>
        <v>0</v>
      </c>
      <c r="BH363" s="434">
        <f t="shared" si="184"/>
        <v>0</v>
      </c>
    </row>
    <row r="364" spans="1:60" s="378" customFormat="1">
      <c r="A364" s="167">
        <v>359</v>
      </c>
      <c r="B364" s="253">
        <f>VLOOKUP(A364,'JUNE (물량흐름)'!$A$13:$C$493,3,0)</f>
        <v>100028764</v>
      </c>
      <c r="C364" s="57" t="str">
        <f>VLOOKUP(A364,'JUNE (물량흐름)'!$A$13:$C$493,2,0)</f>
        <v>ALFANI</v>
      </c>
      <c r="D364" s="58">
        <f>IFERROR(VLOOKUP(B364,O.B.JUNE!$V$7:$Y$448,2,0),0)</f>
        <v>4688</v>
      </c>
      <c r="E364" s="58">
        <f>IFERROR(VLOOKUP(B364,O.B.JUNE!$V$7:$X$448,3,0),0)</f>
        <v>39998.686646757676</v>
      </c>
      <c r="F364" s="58">
        <f>IFERROR(VLOOKUP(B364,O.B.JUNE!$V$7:$Y$448,4,0),0)</f>
        <v>187513843</v>
      </c>
      <c r="G364" s="58">
        <f>SUMIF('JUNE (물량흐름)'!$C$13:$C$493,'In-out-bal products (155)(완성제품)'!B364,'JUNE (물량흐름)'!$V$13:$V$493)</f>
        <v>0</v>
      </c>
      <c r="H364" s="58">
        <f>SUMIF('JUNE (물량흐름)'!$C$13:$C$493,'In-out-bal products (155)(완성제품)'!B364,'JUNE (물량흐름)'!$T$13:$T$493)-SUMIF('JUNE (물량흐름)'!$C$13:$C$493,'In-out-bal products (155)(완성제품)'!B364,'JUNE (물량흐름)'!$Y$13:$Y$493)+SUMIF('JUNE (물량흐름)'!$C$13:$C$493,'In-out-bal products (155)(완성제품)'!B364,'JUNE (물량흐름)'!$U$13:$U$493)</f>
        <v>361</v>
      </c>
      <c r="I364" s="58">
        <f t="shared" si="156"/>
        <v>40839.044321329638</v>
      </c>
      <c r="J364" s="58">
        <f>SUMIF('Direct labour(직접노무비)'!$C$12:$C$503,'In-out-bal products (155)(완성제품)'!B364,'Direct labour(직접노무비)'!$Q$12:$Q$503)</f>
        <v>5038589</v>
      </c>
      <c r="K364" s="59">
        <f>SUMIF('Overhead exp(제조경비)'!$C$12:$C$503,'In-out-bal products (155)(완성제품)'!B364,'Overhead exp(제조경비)'!$Q$12:$Q$503)</f>
        <v>9704306</v>
      </c>
      <c r="L364" s="58">
        <f t="shared" si="157"/>
        <v>14742895</v>
      </c>
      <c r="M364" s="58">
        <f>SUMIF('JUNE (물량흐름)'!$C$13:$C$488,'In-out-bal products (155)(완성제품)'!B364,'JUNE (물량흐름)'!$Y$13:$Y$488)</f>
        <v>0</v>
      </c>
      <c r="N364" s="58">
        <f t="shared" si="158"/>
        <v>0</v>
      </c>
      <c r="O364" s="58">
        <f>SUMIF('Direct labour(직접노무비)'!$C$12:$C$503,'In-out-bal products (155)(완성제품)'!B364,'Direct labour(직접노무비)'!$U$12:$U$503)+SUMIF('Overhead exp(제조경비)'!$C$12:$C$503,'In-out-bal products (155)(완성제품)'!B364,'Overhead exp(제조경비)'!$U$12:$U$503)</f>
        <v>0</v>
      </c>
      <c r="P364" s="60">
        <f t="shared" si="159"/>
        <v>361</v>
      </c>
      <c r="Q364" s="60">
        <f t="shared" si="160"/>
        <v>40839.044321329638</v>
      </c>
      <c r="R364" s="60">
        <f t="shared" si="161"/>
        <v>14742895</v>
      </c>
      <c r="S364" s="58">
        <v>0</v>
      </c>
      <c r="T364" s="58">
        <v>0</v>
      </c>
      <c r="U364" s="58">
        <v>0</v>
      </c>
      <c r="V364" s="58">
        <f>SUMIF('JUNE (물량흐름)'!$C$13:$C$493,'In-out-bal products (155)(완성제품)'!B364,'JUNE (물량흐름)'!$W$13:$W$493)</f>
        <v>5049</v>
      </c>
      <c r="W364" s="58">
        <f t="shared" si="162"/>
        <v>40058.771637948106</v>
      </c>
      <c r="X364" s="58">
        <f t="shared" si="163"/>
        <v>202256738</v>
      </c>
      <c r="Y364" s="58">
        <f>SUMIF('JUNE (물량흐름)'!$C$13:$C$488,'In-out-bal products (155)(완성제품)'!B364,'JUNE (물량흐름)'!$X$13:$X$488)</f>
        <v>0</v>
      </c>
      <c r="Z364" s="58">
        <f t="shared" si="164"/>
        <v>0</v>
      </c>
      <c r="AA364" s="58">
        <f t="shared" si="165"/>
        <v>0</v>
      </c>
      <c r="AB364" s="58"/>
      <c r="AC364" s="58"/>
      <c r="AD364" s="61"/>
      <c r="AE364" s="58">
        <f t="shared" si="166"/>
        <v>0</v>
      </c>
      <c r="AF364" s="58">
        <f t="shared" si="167"/>
        <v>0</v>
      </c>
      <c r="AG364" s="61">
        <f t="shared" si="168"/>
        <v>0</v>
      </c>
      <c r="AH364" s="58">
        <v>0</v>
      </c>
      <c r="AI364" s="58">
        <v>0</v>
      </c>
      <c r="AJ364" s="61">
        <v>0</v>
      </c>
      <c r="AK364" s="58"/>
      <c r="AL364" s="58"/>
      <c r="AM364" s="61"/>
      <c r="AN364" s="61">
        <f t="shared" si="185"/>
        <v>5049</v>
      </c>
      <c r="AO364" s="58">
        <f t="shared" si="169"/>
        <v>40058.771637948106</v>
      </c>
      <c r="AP364" s="61">
        <f t="shared" si="170"/>
        <v>202256738</v>
      </c>
      <c r="AQ364" s="58">
        <f t="shared" si="171"/>
        <v>0</v>
      </c>
      <c r="AR364" s="58">
        <f t="shared" si="172"/>
        <v>0</v>
      </c>
      <c r="AS364" s="58">
        <f t="shared" si="173"/>
        <v>0</v>
      </c>
      <c r="AT364" s="58">
        <f>ROUND(SUMIF('JUNE (물량흐름)'!$C$13:$C$502,'In-out-bal products (155)(완성제품)'!B364,'JUNE (물량흐름)'!$AB$13:$AB$502),0)</f>
        <v>0</v>
      </c>
      <c r="AU364" s="58">
        <f t="shared" si="174"/>
        <v>0</v>
      </c>
      <c r="AV364" s="58">
        <f>ROUND(SUMIF('JUNE (물량흐름)'!$C$13:$C$502,'In-out-bal products (155)(완성제품)'!B364,'JUNE (물량흐름)'!$AC$13:$AC$502),0)</f>
        <v>0</v>
      </c>
      <c r="AW364" s="58">
        <f t="shared" si="175"/>
        <v>0</v>
      </c>
      <c r="AX364" s="376">
        <f t="shared" si="176"/>
        <v>0</v>
      </c>
      <c r="AY364" s="377">
        <f t="shared" si="177"/>
        <v>0</v>
      </c>
      <c r="AZ364" s="377">
        <f t="shared" si="178"/>
        <v>0</v>
      </c>
      <c r="BA364" s="377">
        <f t="shared" si="179"/>
        <v>0</v>
      </c>
      <c r="BB364" s="377"/>
      <c r="BC364" s="377">
        <f t="shared" si="180"/>
        <v>0</v>
      </c>
      <c r="BD364" s="377">
        <f t="shared" si="181"/>
        <v>0</v>
      </c>
      <c r="BE364" s="377"/>
      <c r="BF364" s="377">
        <f t="shared" si="182"/>
        <v>0</v>
      </c>
      <c r="BG364" s="433">
        <f t="shared" si="183"/>
        <v>202256738</v>
      </c>
      <c r="BH364" s="434">
        <f t="shared" si="184"/>
        <v>0</v>
      </c>
    </row>
    <row r="365" spans="1:60" s="378" customFormat="1">
      <c r="A365" s="167">
        <v>360</v>
      </c>
      <c r="B365" s="253">
        <f>VLOOKUP(A365,'JUNE (물량흐름)'!$A$13:$C$493,3,0)</f>
        <v>100033322</v>
      </c>
      <c r="C365" s="57" t="str">
        <f>VLOOKUP(A365,'JUNE (물량흐름)'!$A$13:$C$493,2,0)</f>
        <v>ALFANI</v>
      </c>
      <c r="D365" s="58">
        <f>IFERROR(VLOOKUP(B365,O.B.JUNE!$V$7:$Y$448,2,0),0)</f>
        <v>16</v>
      </c>
      <c r="E365" s="58">
        <f>IFERROR(VLOOKUP(B365,O.B.JUNE!$V$7:$X$448,3,0),0)</f>
        <v>23136.3125</v>
      </c>
      <c r="F365" s="58">
        <f>IFERROR(VLOOKUP(B365,O.B.JUNE!$V$7:$Y$448,4,0),0)</f>
        <v>370181</v>
      </c>
      <c r="G365" s="58">
        <f>SUMIF('JUNE (물량흐름)'!$C$13:$C$493,'In-out-bal products (155)(완성제품)'!B365,'JUNE (물량흐름)'!$V$13:$V$493)</f>
        <v>0</v>
      </c>
      <c r="H365" s="58">
        <f>SUMIF('JUNE (물량흐름)'!$C$13:$C$493,'In-out-bal products (155)(완성제품)'!B365,'JUNE (물량흐름)'!$T$13:$T$493)-SUMIF('JUNE (물량흐름)'!$C$13:$C$493,'In-out-bal products (155)(완성제품)'!B365,'JUNE (물량흐름)'!$Y$13:$Y$493)+SUMIF('JUNE (물량흐름)'!$C$13:$C$493,'In-out-bal products (155)(완성제품)'!B365,'JUNE (물량흐름)'!$U$13:$U$493)</f>
        <v>0</v>
      </c>
      <c r="I365" s="58">
        <f t="shared" si="156"/>
        <v>0</v>
      </c>
      <c r="J365" s="58">
        <f>SUMIF('Direct labour(직접노무비)'!$C$12:$C$503,'In-out-bal products (155)(완성제품)'!B365,'Direct labour(직접노무비)'!$Q$12:$Q$503)</f>
        <v>0</v>
      </c>
      <c r="K365" s="59">
        <f>SUMIF('Overhead exp(제조경비)'!$C$12:$C$503,'In-out-bal products (155)(완성제품)'!B365,'Overhead exp(제조경비)'!$Q$12:$Q$503)</f>
        <v>0</v>
      </c>
      <c r="L365" s="58">
        <f t="shared" si="157"/>
        <v>0</v>
      </c>
      <c r="M365" s="58">
        <f>SUMIF('JUNE (물량흐름)'!$C$13:$C$488,'In-out-bal products (155)(완성제품)'!B365,'JUNE (물량흐름)'!$Y$13:$Y$488)</f>
        <v>0</v>
      </c>
      <c r="N365" s="58">
        <f t="shared" si="158"/>
        <v>0</v>
      </c>
      <c r="O365" s="58">
        <f>SUMIF('Direct labour(직접노무비)'!$C$12:$C$503,'In-out-bal products (155)(완성제품)'!B365,'Direct labour(직접노무비)'!$U$12:$U$503)+SUMIF('Overhead exp(제조경비)'!$C$12:$C$503,'In-out-bal products (155)(완성제품)'!B365,'Overhead exp(제조경비)'!$U$12:$U$503)</f>
        <v>0</v>
      </c>
      <c r="P365" s="60">
        <f t="shared" si="159"/>
        <v>0</v>
      </c>
      <c r="Q365" s="60">
        <f t="shared" si="160"/>
        <v>0</v>
      </c>
      <c r="R365" s="60">
        <f t="shared" si="161"/>
        <v>0</v>
      </c>
      <c r="S365" s="58">
        <v>0</v>
      </c>
      <c r="T365" s="58">
        <v>0</v>
      </c>
      <c r="U365" s="58">
        <v>0</v>
      </c>
      <c r="V365" s="58">
        <f>SUMIF('JUNE (물량흐름)'!$C$13:$C$493,'In-out-bal products (155)(완성제품)'!B365,'JUNE (물량흐름)'!$W$13:$W$493)</f>
        <v>0</v>
      </c>
      <c r="W365" s="58">
        <f t="shared" si="162"/>
        <v>0</v>
      </c>
      <c r="X365" s="58">
        <f t="shared" si="163"/>
        <v>0</v>
      </c>
      <c r="Y365" s="58">
        <f>SUMIF('JUNE (물량흐름)'!$C$13:$C$488,'In-out-bal products (155)(완성제품)'!B365,'JUNE (물량흐름)'!$X$13:$X$488)</f>
        <v>0</v>
      </c>
      <c r="Z365" s="58">
        <f t="shared" si="164"/>
        <v>0</v>
      </c>
      <c r="AA365" s="58">
        <f t="shared" si="165"/>
        <v>0</v>
      </c>
      <c r="AB365" s="58"/>
      <c r="AC365" s="58"/>
      <c r="AD365" s="61"/>
      <c r="AE365" s="58">
        <f t="shared" si="166"/>
        <v>0</v>
      </c>
      <c r="AF365" s="58">
        <f t="shared" si="167"/>
        <v>0</v>
      </c>
      <c r="AG365" s="61">
        <f t="shared" si="168"/>
        <v>0</v>
      </c>
      <c r="AH365" s="58">
        <v>0</v>
      </c>
      <c r="AI365" s="58">
        <v>0</v>
      </c>
      <c r="AJ365" s="61">
        <v>0</v>
      </c>
      <c r="AK365" s="58"/>
      <c r="AL365" s="58"/>
      <c r="AM365" s="61"/>
      <c r="AN365" s="61">
        <f t="shared" si="185"/>
        <v>0</v>
      </c>
      <c r="AO365" s="58">
        <f t="shared" si="169"/>
        <v>0</v>
      </c>
      <c r="AP365" s="61">
        <f t="shared" si="170"/>
        <v>0</v>
      </c>
      <c r="AQ365" s="58">
        <f t="shared" si="171"/>
        <v>16</v>
      </c>
      <c r="AR365" s="58">
        <f t="shared" si="172"/>
        <v>23136.3125</v>
      </c>
      <c r="AS365" s="58">
        <f t="shared" si="173"/>
        <v>370181</v>
      </c>
      <c r="AT365" s="58">
        <f>ROUND(SUMIF('JUNE (물량흐름)'!$C$13:$C$502,'In-out-bal products (155)(완성제품)'!B365,'JUNE (물량흐름)'!$AB$13:$AB$502),0)</f>
        <v>0</v>
      </c>
      <c r="AU365" s="58">
        <f t="shared" si="174"/>
        <v>0</v>
      </c>
      <c r="AV365" s="58">
        <f>ROUND(SUMIF('JUNE (물량흐름)'!$C$13:$C$502,'In-out-bal products (155)(완성제품)'!B365,'JUNE (물량흐름)'!$AC$13:$AC$502),0)</f>
        <v>16</v>
      </c>
      <c r="AW365" s="58">
        <f t="shared" si="175"/>
        <v>370181</v>
      </c>
      <c r="AX365" s="376">
        <f t="shared" si="176"/>
        <v>0</v>
      </c>
      <c r="AY365" s="377">
        <f t="shared" si="177"/>
        <v>0</v>
      </c>
      <c r="AZ365" s="377">
        <f t="shared" si="178"/>
        <v>0</v>
      </c>
      <c r="BA365" s="377">
        <f t="shared" si="179"/>
        <v>0</v>
      </c>
      <c r="BB365" s="377"/>
      <c r="BC365" s="377">
        <f t="shared" si="180"/>
        <v>0</v>
      </c>
      <c r="BD365" s="377">
        <f t="shared" si="181"/>
        <v>0</v>
      </c>
      <c r="BE365" s="377"/>
      <c r="BF365" s="377">
        <f t="shared" si="182"/>
        <v>0</v>
      </c>
      <c r="BG365" s="433">
        <f t="shared" si="183"/>
        <v>0</v>
      </c>
      <c r="BH365" s="434">
        <f t="shared" si="184"/>
        <v>0</v>
      </c>
    </row>
    <row r="366" spans="1:60" s="378" customFormat="1">
      <c r="A366" s="167">
        <v>361</v>
      </c>
      <c r="B366" s="253">
        <f>VLOOKUP(A366,'JUNE (물량흐름)'!$A$13:$C$493,3,0)</f>
        <v>100034173</v>
      </c>
      <c r="C366" s="57" t="str">
        <f>VLOOKUP(A366,'JUNE (물량흐름)'!$A$13:$C$493,2,0)</f>
        <v>INC</v>
      </c>
      <c r="D366" s="58">
        <f>IFERROR(VLOOKUP(B366,O.B.JUNE!$V$7:$Y$448,2,0),0)</f>
        <v>12</v>
      </c>
      <c r="E366" s="58">
        <f>IFERROR(VLOOKUP(B366,O.B.JUNE!$V$7:$X$448,3,0),0)</f>
        <v>20251.25</v>
      </c>
      <c r="F366" s="58">
        <f>IFERROR(VLOOKUP(B366,O.B.JUNE!$V$7:$Y$448,4,0),0)</f>
        <v>243015</v>
      </c>
      <c r="G366" s="58">
        <f>SUMIF('JUNE (물량흐름)'!$C$13:$C$493,'In-out-bal products (155)(완성제품)'!B366,'JUNE (물량흐름)'!$V$13:$V$493)</f>
        <v>0</v>
      </c>
      <c r="H366" s="58">
        <f>SUMIF('JUNE (물량흐름)'!$C$13:$C$493,'In-out-bal products (155)(완성제품)'!B366,'JUNE (물량흐름)'!$T$13:$T$493)-SUMIF('JUNE (물량흐름)'!$C$13:$C$493,'In-out-bal products (155)(완성제품)'!B366,'JUNE (물량흐름)'!$Y$13:$Y$493)+SUMIF('JUNE (물량흐름)'!$C$13:$C$493,'In-out-bal products (155)(완성제품)'!B366,'JUNE (물량흐름)'!$U$13:$U$493)</f>
        <v>0</v>
      </c>
      <c r="I366" s="58">
        <f t="shared" si="156"/>
        <v>0</v>
      </c>
      <c r="J366" s="58">
        <f>SUMIF('Direct labour(직접노무비)'!$C$12:$C$503,'In-out-bal products (155)(완성제품)'!B366,'Direct labour(직접노무비)'!$Q$12:$Q$503)</f>
        <v>0</v>
      </c>
      <c r="K366" s="59">
        <f>SUMIF('Overhead exp(제조경비)'!$C$12:$C$503,'In-out-bal products (155)(완성제품)'!B366,'Overhead exp(제조경비)'!$Q$12:$Q$503)</f>
        <v>0</v>
      </c>
      <c r="L366" s="58">
        <f t="shared" si="157"/>
        <v>0</v>
      </c>
      <c r="M366" s="58">
        <f>SUMIF('JUNE (물량흐름)'!$C$13:$C$488,'In-out-bal products (155)(완성제품)'!B366,'JUNE (물량흐름)'!$Y$13:$Y$488)</f>
        <v>0</v>
      </c>
      <c r="N366" s="58">
        <f t="shared" si="158"/>
        <v>0</v>
      </c>
      <c r="O366" s="58">
        <f>SUMIF('Direct labour(직접노무비)'!$C$12:$C$503,'In-out-bal products (155)(완성제품)'!B366,'Direct labour(직접노무비)'!$U$12:$U$503)+SUMIF('Overhead exp(제조경비)'!$C$12:$C$503,'In-out-bal products (155)(완성제품)'!B366,'Overhead exp(제조경비)'!$U$12:$U$503)</f>
        <v>0</v>
      </c>
      <c r="P366" s="60">
        <f t="shared" si="159"/>
        <v>0</v>
      </c>
      <c r="Q366" s="60">
        <f t="shared" si="160"/>
        <v>0</v>
      </c>
      <c r="R366" s="60">
        <f t="shared" si="161"/>
        <v>0</v>
      </c>
      <c r="S366" s="58">
        <v>0</v>
      </c>
      <c r="T366" s="58">
        <v>0</v>
      </c>
      <c r="U366" s="58">
        <v>0</v>
      </c>
      <c r="V366" s="58">
        <f>SUMIF('JUNE (물량흐름)'!$C$13:$C$493,'In-out-bal products (155)(완성제품)'!B366,'JUNE (물량흐름)'!$W$13:$W$493)</f>
        <v>12</v>
      </c>
      <c r="W366" s="58">
        <f t="shared" si="162"/>
        <v>20251.25</v>
      </c>
      <c r="X366" s="58">
        <f t="shared" si="163"/>
        <v>243015</v>
      </c>
      <c r="Y366" s="58">
        <f>SUMIF('JUNE (물량흐름)'!$C$13:$C$488,'In-out-bal products (155)(완성제품)'!B366,'JUNE (물량흐름)'!$X$13:$X$488)</f>
        <v>0</v>
      </c>
      <c r="Z366" s="58">
        <f t="shared" si="164"/>
        <v>0</v>
      </c>
      <c r="AA366" s="58">
        <f t="shared" si="165"/>
        <v>0</v>
      </c>
      <c r="AB366" s="58"/>
      <c r="AC366" s="58"/>
      <c r="AD366" s="61"/>
      <c r="AE366" s="58">
        <f t="shared" si="166"/>
        <v>0</v>
      </c>
      <c r="AF366" s="58">
        <f t="shared" si="167"/>
        <v>0</v>
      </c>
      <c r="AG366" s="61">
        <f t="shared" si="168"/>
        <v>0</v>
      </c>
      <c r="AH366" s="58">
        <v>0</v>
      </c>
      <c r="AI366" s="58">
        <v>0</v>
      </c>
      <c r="AJ366" s="61">
        <v>0</v>
      </c>
      <c r="AK366" s="58"/>
      <c r="AL366" s="58"/>
      <c r="AM366" s="61"/>
      <c r="AN366" s="61">
        <f t="shared" si="185"/>
        <v>12</v>
      </c>
      <c r="AO366" s="58">
        <f t="shared" si="169"/>
        <v>20251.25</v>
      </c>
      <c r="AP366" s="61">
        <f t="shared" si="170"/>
        <v>243015</v>
      </c>
      <c r="AQ366" s="58">
        <f t="shared" si="171"/>
        <v>0</v>
      </c>
      <c r="AR366" s="58">
        <f t="shared" si="172"/>
        <v>0</v>
      </c>
      <c r="AS366" s="58">
        <f t="shared" si="173"/>
        <v>0</v>
      </c>
      <c r="AT366" s="58">
        <f>ROUND(SUMIF('JUNE (물량흐름)'!$C$13:$C$502,'In-out-bal products (155)(완성제품)'!B366,'JUNE (물량흐름)'!$AB$13:$AB$502),0)</f>
        <v>0</v>
      </c>
      <c r="AU366" s="58">
        <f t="shared" si="174"/>
        <v>0</v>
      </c>
      <c r="AV366" s="58">
        <f>ROUND(SUMIF('JUNE (물량흐름)'!$C$13:$C$502,'In-out-bal products (155)(완성제품)'!B366,'JUNE (물량흐름)'!$AC$13:$AC$502),0)</f>
        <v>0</v>
      </c>
      <c r="AW366" s="58">
        <f t="shared" si="175"/>
        <v>0</v>
      </c>
      <c r="AX366" s="376">
        <f t="shared" si="176"/>
        <v>0</v>
      </c>
      <c r="AY366" s="377">
        <f t="shared" si="177"/>
        <v>0</v>
      </c>
      <c r="AZ366" s="377">
        <f t="shared" si="178"/>
        <v>0</v>
      </c>
      <c r="BA366" s="377">
        <f t="shared" si="179"/>
        <v>0</v>
      </c>
      <c r="BB366" s="377"/>
      <c r="BC366" s="377">
        <f t="shared" si="180"/>
        <v>0</v>
      </c>
      <c r="BD366" s="377">
        <f t="shared" si="181"/>
        <v>0</v>
      </c>
      <c r="BE366" s="377"/>
      <c r="BF366" s="377">
        <f t="shared" si="182"/>
        <v>0</v>
      </c>
      <c r="BG366" s="433">
        <f t="shared" si="183"/>
        <v>243015</v>
      </c>
      <c r="BH366" s="434">
        <f t="shared" si="184"/>
        <v>0</v>
      </c>
    </row>
    <row r="367" spans="1:60" s="378" customFormat="1">
      <c r="A367" s="167">
        <v>362</v>
      </c>
      <c r="B367" s="253">
        <f>VLOOKUP(A367,'JUNE (물량흐름)'!$A$13:$C$493,3,0)</f>
        <v>182034833</v>
      </c>
      <c r="C367" s="57" t="str">
        <f>VLOOKUP(A367,'JUNE (물량흐름)'!$A$13:$C$493,2,0)</f>
        <v>TALBOTS</v>
      </c>
      <c r="D367" s="58">
        <f>IFERROR(VLOOKUP(B367,O.B.JUNE!$V$7:$Y$448,2,0),0)</f>
        <v>2912</v>
      </c>
      <c r="E367" s="58">
        <f>IFERROR(VLOOKUP(B367,O.B.JUNE!$V$7:$X$448,3,0),0)</f>
        <v>89528.8801510989</v>
      </c>
      <c r="F367" s="58">
        <f>IFERROR(VLOOKUP(B367,O.B.JUNE!$V$7:$Y$448,4,0),0)</f>
        <v>260708099</v>
      </c>
      <c r="G367" s="58">
        <f>SUMIF('JUNE (물량흐름)'!$C$13:$C$493,'In-out-bal products (155)(완성제품)'!B367,'JUNE (물량흐름)'!$V$13:$V$493)</f>
        <v>0</v>
      </c>
      <c r="H367" s="58">
        <f>SUMIF('JUNE (물량흐름)'!$C$13:$C$493,'In-out-bal products (155)(완성제품)'!B367,'JUNE (물량흐름)'!$T$13:$T$493)-SUMIF('JUNE (물량흐름)'!$C$13:$C$493,'In-out-bal products (155)(완성제품)'!B367,'JUNE (물량흐름)'!$Y$13:$Y$493)+SUMIF('JUNE (물량흐름)'!$C$13:$C$493,'In-out-bal products (155)(완성제품)'!B367,'JUNE (물량흐름)'!$U$13:$U$493)</f>
        <v>0</v>
      </c>
      <c r="I367" s="58">
        <f t="shared" si="156"/>
        <v>0</v>
      </c>
      <c r="J367" s="58">
        <f>SUMIF('Direct labour(직접노무비)'!$C$12:$C$503,'In-out-bal products (155)(완성제품)'!B367,'Direct labour(직접노무비)'!$Q$12:$Q$503)</f>
        <v>0</v>
      </c>
      <c r="K367" s="59">
        <f>SUMIF('Overhead exp(제조경비)'!$C$12:$C$503,'In-out-bal products (155)(완성제품)'!B367,'Overhead exp(제조경비)'!$Q$12:$Q$503)</f>
        <v>0</v>
      </c>
      <c r="L367" s="58">
        <f t="shared" si="157"/>
        <v>0</v>
      </c>
      <c r="M367" s="58">
        <f>SUMIF('JUNE (물량흐름)'!$C$13:$C$488,'In-out-bal products (155)(완성제품)'!B367,'JUNE (물량흐름)'!$Y$13:$Y$488)</f>
        <v>3</v>
      </c>
      <c r="N367" s="58">
        <f t="shared" si="158"/>
        <v>90177.333333333328</v>
      </c>
      <c r="O367" s="58">
        <f>SUMIF('Direct labour(직접노무비)'!$C$12:$C$503,'In-out-bal products (155)(완성제품)'!B367,'Direct labour(직접노무비)'!$U$12:$U$503)+SUMIF('Overhead exp(제조경비)'!$C$12:$C$503,'In-out-bal products (155)(완성제품)'!B367,'Overhead exp(제조경비)'!$U$12:$U$503)</f>
        <v>270532</v>
      </c>
      <c r="P367" s="60">
        <f t="shared" si="159"/>
        <v>3</v>
      </c>
      <c r="Q367" s="60">
        <f t="shared" si="160"/>
        <v>90177.333333333328</v>
      </c>
      <c r="R367" s="60">
        <f t="shared" si="161"/>
        <v>270532</v>
      </c>
      <c r="S367" s="58">
        <v>0</v>
      </c>
      <c r="T367" s="58">
        <v>0</v>
      </c>
      <c r="U367" s="58">
        <v>0</v>
      </c>
      <c r="V367" s="58">
        <f>SUMIF('JUNE (물량흐름)'!$C$13:$C$493,'In-out-bal products (155)(완성제품)'!B367,'JUNE (물량흐름)'!$W$13:$W$493)</f>
        <v>2845</v>
      </c>
      <c r="W367" s="58">
        <f t="shared" si="162"/>
        <v>89528.880140597539</v>
      </c>
      <c r="X367" s="58">
        <f t="shared" si="163"/>
        <v>254709664</v>
      </c>
      <c r="Y367" s="58">
        <f>SUMIF('JUNE (물량흐름)'!$C$13:$C$488,'In-out-bal products (155)(완성제품)'!B367,'JUNE (물량흐름)'!$X$13:$X$488)</f>
        <v>0</v>
      </c>
      <c r="Z367" s="58">
        <f t="shared" si="164"/>
        <v>0</v>
      </c>
      <c r="AA367" s="58">
        <f t="shared" si="165"/>
        <v>0</v>
      </c>
      <c r="AB367" s="58"/>
      <c r="AC367" s="58"/>
      <c r="AD367" s="61"/>
      <c r="AE367" s="58">
        <f t="shared" si="166"/>
        <v>3</v>
      </c>
      <c r="AF367" s="58">
        <f t="shared" si="167"/>
        <v>90177.333333333328</v>
      </c>
      <c r="AG367" s="61">
        <f t="shared" si="168"/>
        <v>270532</v>
      </c>
      <c r="AH367" s="58">
        <v>0</v>
      </c>
      <c r="AI367" s="58">
        <v>0</v>
      </c>
      <c r="AJ367" s="61">
        <v>0</v>
      </c>
      <c r="AK367" s="58"/>
      <c r="AL367" s="58"/>
      <c r="AM367" s="61"/>
      <c r="AN367" s="61">
        <f t="shared" si="185"/>
        <v>2848</v>
      </c>
      <c r="AO367" s="58">
        <f t="shared" si="169"/>
        <v>89529.563202247198</v>
      </c>
      <c r="AP367" s="61">
        <f t="shared" si="170"/>
        <v>254980196</v>
      </c>
      <c r="AQ367" s="58">
        <f t="shared" si="171"/>
        <v>67</v>
      </c>
      <c r="AR367" s="58">
        <f t="shared" si="172"/>
        <v>89528.880597014926</v>
      </c>
      <c r="AS367" s="58">
        <f t="shared" si="173"/>
        <v>5998435</v>
      </c>
      <c r="AT367" s="58">
        <f>ROUND(SUMIF('JUNE (물량흐름)'!$C$13:$C$502,'In-out-bal products (155)(완성제품)'!B367,'JUNE (물량흐름)'!$AB$13:$AB$502),0)</f>
        <v>0</v>
      </c>
      <c r="AU367" s="58">
        <f t="shared" si="174"/>
        <v>0</v>
      </c>
      <c r="AV367" s="58">
        <f>ROUND(SUMIF('JUNE (물량흐름)'!$C$13:$C$502,'In-out-bal products (155)(완성제품)'!B367,'JUNE (물량흐름)'!$AC$13:$AC$502),0)</f>
        <v>67</v>
      </c>
      <c r="AW367" s="58">
        <f t="shared" si="175"/>
        <v>5998435</v>
      </c>
      <c r="AX367" s="376">
        <f t="shared" si="176"/>
        <v>0</v>
      </c>
      <c r="AY367" s="377">
        <f t="shared" si="177"/>
        <v>0</v>
      </c>
      <c r="AZ367" s="377">
        <f t="shared" si="178"/>
        <v>0</v>
      </c>
      <c r="BA367" s="377">
        <f t="shared" si="179"/>
        <v>0</v>
      </c>
      <c r="BB367" s="377"/>
      <c r="BC367" s="377">
        <f t="shared" si="180"/>
        <v>0</v>
      </c>
      <c r="BD367" s="377">
        <f t="shared" si="181"/>
        <v>0</v>
      </c>
      <c r="BE367" s="377"/>
      <c r="BF367" s="377">
        <f t="shared" si="182"/>
        <v>0</v>
      </c>
      <c r="BG367" s="433">
        <f t="shared" si="183"/>
        <v>254980196</v>
      </c>
      <c r="BH367" s="434">
        <f t="shared" si="184"/>
        <v>0</v>
      </c>
    </row>
    <row r="368" spans="1:60" s="378" customFormat="1">
      <c r="A368" s="167">
        <v>363</v>
      </c>
      <c r="B368" s="253">
        <f>VLOOKUP(A368,'JUNE (물량흐름)'!$A$13:$C$493,3,0)</f>
        <v>464035</v>
      </c>
      <c r="C368" s="57" t="str">
        <f>VLOOKUP(A368,'JUNE (물량흐름)'!$A$13:$C$493,2,0)</f>
        <v>ANN TAYLOR</v>
      </c>
      <c r="D368" s="58">
        <f>IFERROR(VLOOKUP(B368,O.B.JUNE!$V$7:$Y$448,2,0),0)</f>
        <v>519</v>
      </c>
      <c r="E368" s="58">
        <f>IFERROR(VLOOKUP(B368,O.B.JUNE!$V$7:$X$448,3,0),0)</f>
        <v>42711.169556840076</v>
      </c>
      <c r="F368" s="58">
        <f>IFERROR(VLOOKUP(B368,O.B.JUNE!$V$7:$Y$448,4,0),0)</f>
        <v>22167097</v>
      </c>
      <c r="G368" s="58">
        <f>SUMIF('JUNE (물량흐름)'!$C$13:$C$493,'In-out-bal products (155)(완성제품)'!B368,'JUNE (물량흐름)'!$V$13:$V$493)</f>
        <v>0</v>
      </c>
      <c r="H368" s="58">
        <f>SUMIF('JUNE (물량흐름)'!$C$13:$C$493,'In-out-bal products (155)(완성제품)'!B368,'JUNE (물량흐름)'!$T$13:$T$493)-SUMIF('JUNE (물량흐름)'!$C$13:$C$493,'In-out-bal products (155)(완성제품)'!B368,'JUNE (물량흐름)'!$Y$13:$Y$493)+SUMIF('JUNE (물량흐름)'!$C$13:$C$493,'In-out-bal products (155)(완성제품)'!B368,'JUNE (물량흐름)'!$U$13:$U$493)</f>
        <v>0</v>
      </c>
      <c r="I368" s="58">
        <f t="shared" si="156"/>
        <v>0</v>
      </c>
      <c r="J368" s="58">
        <f>SUMIF('Direct labour(직접노무비)'!$C$12:$C$503,'In-out-bal products (155)(완성제품)'!B368,'Direct labour(직접노무비)'!$Q$12:$Q$503)</f>
        <v>0</v>
      </c>
      <c r="K368" s="59">
        <f>SUMIF('Overhead exp(제조경비)'!$C$12:$C$503,'In-out-bal products (155)(완성제품)'!B368,'Overhead exp(제조경비)'!$Q$12:$Q$503)</f>
        <v>0</v>
      </c>
      <c r="L368" s="58">
        <f t="shared" si="157"/>
        <v>0</v>
      </c>
      <c r="M368" s="58">
        <f>SUMIF('JUNE (물량흐름)'!$C$13:$C$488,'In-out-bal products (155)(완성제품)'!B368,'JUNE (물량흐름)'!$Y$13:$Y$488)</f>
        <v>20</v>
      </c>
      <c r="N368" s="58">
        <f t="shared" si="158"/>
        <v>44041.75</v>
      </c>
      <c r="O368" s="58">
        <f>SUMIF('Direct labour(직접노무비)'!$C$12:$C$503,'In-out-bal products (155)(완성제품)'!B368,'Direct labour(직접노무비)'!$U$12:$U$503)+SUMIF('Overhead exp(제조경비)'!$C$12:$C$503,'In-out-bal products (155)(완성제품)'!B368,'Overhead exp(제조경비)'!$U$12:$U$503)</f>
        <v>880835</v>
      </c>
      <c r="P368" s="60">
        <f t="shared" si="159"/>
        <v>20</v>
      </c>
      <c r="Q368" s="60">
        <f t="shared" si="160"/>
        <v>44041.75</v>
      </c>
      <c r="R368" s="60">
        <f t="shared" si="161"/>
        <v>880835</v>
      </c>
      <c r="S368" s="58">
        <v>0</v>
      </c>
      <c r="T368" s="58">
        <v>0</v>
      </c>
      <c r="U368" s="58">
        <v>0</v>
      </c>
      <c r="V368" s="58">
        <f>SUMIF('JUNE (물량흐름)'!$C$13:$C$493,'In-out-bal products (155)(완성제품)'!B368,'JUNE (물량흐름)'!$W$13:$W$493)</f>
        <v>0</v>
      </c>
      <c r="W368" s="58">
        <f t="shared" si="162"/>
        <v>0</v>
      </c>
      <c r="X368" s="58">
        <f t="shared" si="163"/>
        <v>0</v>
      </c>
      <c r="Y368" s="58">
        <f>SUMIF('JUNE (물량흐름)'!$C$13:$C$488,'In-out-bal products (155)(완성제품)'!B368,'JUNE (물량흐름)'!$X$13:$X$488)</f>
        <v>0</v>
      </c>
      <c r="Z368" s="58">
        <f t="shared" si="164"/>
        <v>0</v>
      </c>
      <c r="AA368" s="58">
        <f t="shared" si="165"/>
        <v>0</v>
      </c>
      <c r="AB368" s="58"/>
      <c r="AC368" s="58"/>
      <c r="AD368" s="61"/>
      <c r="AE368" s="58">
        <f t="shared" si="166"/>
        <v>20</v>
      </c>
      <c r="AF368" s="58">
        <f t="shared" si="167"/>
        <v>44041.75</v>
      </c>
      <c r="AG368" s="61">
        <f t="shared" si="168"/>
        <v>880835</v>
      </c>
      <c r="AH368" s="58">
        <v>0</v>
      </c>
      <c r="AI368" s="58">
        <v>0</v>
      </c>
      <c r="AJ368" s="61">
        <v>0</v>
      </c>
      <c r="AK368" s="58"/>
      <c r="AL368" s="58"/>
      <c r="AM368" s="61"/>
      <c r="AN368" s="61">
        <f t="shared" si="185"/>
        <v>20</v>
      </c>
      <c r="AO368" s="58">
        <f t="shared" si="169"/>
        <v>44041.75</v>
      </c>
      <c r="AP368" s="61">
        <f t="shared" si="170"/>
        <v>880835</v>
      </c>
      <c r="AQ368" s="58">
        <f t="shared" si="171"/>
        <v>519</v>
      </c>
      <c r="AR368" s="58">
        <f t="shared" si="172"/>
        <v>42711.169556840076</v>
      </c>
      <c r="AS368" s="58">
        <f t="shared" si="173"/>
        <v>22167097</v>
      </c>
      <c r="AT368" s="58">
        <f>ROUND(SUMIF('JUNE (물량흐름)'!$C$13:$C$502,'In-out-bal products (155)(완성제품)'!B368,'JUNE (물량흐름)'!$AB$13:$AB$502),0)</f>
        <v>0</v>
      </c>
      <c r="AU368" s="58">
        <f t="shared" si="174"/>
        <v>0</v>
      </c>
      <c r="AV368" s="58">
        <f>ROUND(SUMIF('JUNE (물량흐름)'!$C$13:$C$502,'In-out-bal products (155)(완성제품)'!B368,'JUNE (물량흐름)'!$AC$13:$AC$502),0)</f>
        <v>519</v>
      </c>
      <c r="AW368" s="58">
        <f t="shared" si="175"/>
        <v>22167097</v>
      </c>
      <c r="AX368" s="376">
        <f t="shared" si="176"/>
        <v>0</v>
      </c>
      <c r="AY368" s="377">
        <f t="shared" si="177"/>
        <v>0</v>
      </c>
      <c r="AZ368" s="377">
        <f t="shared" si="178"/>
        <v>0</v>
      </c>
      <c r="BA368" s="377">
        <f t="shared" si="179"/>
        <v>0</v>
      </c>
      <c r="BB368" s="377"/>
      <c r="BC368" s="377">
        <f t="shared" si="180"/>
        <v>0</v>
      </c>
      <c r="BD368" s="377">
        <f t="shared" si="181"/>
        <v>0</v>
      </c>
      <c r="BE368" s="377"/>
      <c r="BF368" s="377">
        <f t="shared" si="182"/>
        <v>0</v>
      </c>
      <c r="BG368" s="433">
        <f t="shared" si="183"/>
        <v>880835</v>
      </c>
      <c r="BH368" s="434">
        <f t="shared" si="184"/>
        <v>0</v>
      </c>
    </row>
    <row r="369" spans="1:60" s="378" customFormat="1">
      <c r="A369" s="167">
        <v>364</v>
      </c>
      <c r="B369" s="253">
        <f>VLOOKUP(A369,'JUNE (물량흐름)'!$A$13:$C$493,3,0)</f>
        <v>464354</v>
      </c>
      <c r="C369" s="57" t="str">
        <f>VLOOKUP(A369,'JUNE (물량흐름)'!$A$13:$C$493,2,0)</f>
        <v>ANN TAYLOR</v>
      </c>
      <c r="D369" s="58">
        <f>IFERROR(VLOOKUP(B369,O.B.JUNE!$V$7:$Y$448,2,0),0)</f>
        <v>197</v>
      </c>
      <c r="E369" s="58">
        <f>IFERROR(VLOOKUP(B369,O.B.JUNE!$V$7:$X$448,3,0),0)</f>
        <v>27824.329949238578</v>
      </c>
      <c r="F369" s="58">
        <f>IFERROR(VLOOKUP(B369,O.B.JUNE!$V$7:$Y$448,4,0),0)</f>
        <v>5481393</v>
      </c>
      <c r="G369" s="58">
        <f>SUMIF('JUNE (물량흐름)'!$C$13:$C$493,'In-out-bal products (155)(완성제품)'!B369,'JUNE (물량흐름)'!$V$13:$V$493)</f>
        <v>0</v>
      </c>
      <c r="H369" s="58">
        <f>SUMIF('JUNE (물량흐름)'!$C$13:$C$493,'In-out-bal products (155)(완성제품)'!B369,'JUNE (물량흐름)'!$T$13:$T$493)-SUMIF('JUNE (물량흐름)'!$C$13:$C$493,'In-out-bal products (155)(완성제품)'!B369,'JUNE (물량흐름)'!$Y$13:$Y$493)+SUMIF('JUNE (물량흐름)'!$C$13:$C$493,'In-out-bal products (155)(완성제품)'!B369,'JUNE (물량흐름)'!$U$13:$U$493)</f>
        <v>0</v>
      </c>
      <c r="I369" s="58">
        <f t="shared" si="156"/>
        <v>0</v>
      </c>
      <c r="J369" s="58">
        <f>SUMIF('Direct labour(직접노무비)'!$C$12:$C$503,'In-out-bal products (155)(완성제품)'!B369,'Direct labour(직접노무비)'!$Q$12:$Q$503)</f>
        <v>0</v>
      </c>
      <c r="K369" s="59">
        <f>SUMIF('Overhead exp(제조경비)'!$C$12:$C$503,'In-out-bal products (155)(완성제품)'!B369,'Overhead exp(제조경비)'!$Q$12:$Q$503)</f>
        <v>0</v>
      </c>
      <c r="L369" s="58">
        <f t="shared" si="157"/>
        <v>0</v>
      </c>
      <c r="M369" s="58">
        <f>SUMIF('JUNE (물량흐름)'!$C$13:$C$488,'In-out-bal products (155)(완성제품)'!B369,'JUNE (물량흐름)'!$Y$13:$Y$488)</f>
        <v>0</v>
      </c>
      <c r="N369" s="58">
        <f t="shared" si="158"/>
        <v>0</v>
      </c>
      <c r="O369" s="58">
        <f>SUMIF('Direct labour(직접노무비)'!$C$12:$C$503,'In-out-bal products (155)(완성제품)'!B369,'Direct labour(직접노무비)'!$U$12:$U$503)+SUMIF('Overhead exp(제조경비)'!$C$12:$C$503,'In-out-bal products (155)(완성제품)'!B369,'Overhead exp(제조경비)'!$U$12:$U$503)</f>
        <v>0</v>
      </c>
      <c r="P369" s="60">
        <f t="shared" si="159"/>
        <v>0</v>
      </c>
      <c r="Q369" s="60">
        <f t="shared" si="160"/>
        <v>0</v>
      </c>
      <c r="R369" s="60">
        <f t="shared" si="161"/>
        <v>0</v>
      </c>
      <c r="S369" s="58">
        <v>0</v>
      </c>
      <c r="T369" s="58">
        <v>0</v>
      </c>
      <c r="U369" s="58">
        <v>0</v>
      </c>
      <c r="V369" s="58">
        <f>SUMIF('JUNE (물량흐름)'!$C$13:$C$493,'In-out-bal products (155)(완성제품)'!B369,'JUNE (물량흐름)'!$W$13:$W$493)</f>
        <v>0</v>
      </c>
      <c r="W369" s="58">
        <f t="shared" si="162"/>
        <v>0</v>
      </c>
      <c r="X369" s="58">
        <f t="shared" si="163"/>
        <v>0</v>
      </c>
      <c r="Y369" s="58">
        <f>SUMIF('JUNE (물량흐름)'!$C$13:$C$488,'In-out-bal products (155)(완성제품)'!B369,'JUNE (물량흐름)'!$X$13:$X$488)</f>
        <v>0</v>
      </c>
      <c r="Z369" s="58">
        <f t="shared" si="164"/>
        <v>0</v>
      </c>
      <c r="AA369" s="58">
        <f t="shared" si="165"/>
        <v>0</v>
      </c>
      <c r="AB369" s="58"/>
      <c r="AC369" s="58"/>
      <c r="AD369" s="61"/>
      <c r="AE369" s="58">
        <f t="shared" si="166"/>
        <v>0</v>
      </c>
      <c r="AF369" s="58">
        <f t="shared" si="167"/>
        <v>0</v>
      </c>
      <c r="AG369" s="61">
        <f t="shared" si="168"/>
        <v>0</v>
      </c>
      <c r="AH369" s="58">
        <v>0</v>
      </c>
      <c r="AI369" s="58">
        <v>0</v>
      </c>
      <c r="AJ369" s="61">
        <v>0</v>
      </c>
      <c r="AK369" s="58"/>
      <c r="AL369" s="58"/>
      <c r="AM369" s="61"/>
      <c r="AN369" s="61">
        <f t="shared" si="185"/>
        <v>0</v>
      </c>
      <c r="AO369" s="58">
        <f t="shared" si="169"/>
        <v>0</v>
      </c>
      <c r="AP369" s="61">
        <f t="shared" si="170"/>
        <v>0</v>
      </c>
      <c r="AQ369" s="58">
        <f t="shared" si="171"/>
        <v>197</v>
      </c>
      <c r="AR369" s="58">
        <f t="shared" si="172"/>
        <v>27824.329949238578</v>
      </c>
      <c r="AS369" s="58">
        <f t="shared" si="173"/>
        <v>5481393</v>
      </c>
      <c r="AT369" s="58">
        <f>ROUND(SUMIF('JUNE (물량흐름)'!$C$13:$C$502,'In-out-bal products (155)(완성제품)'!B369,'JUNE (물량흐름)'!$AB$13:$AB$502),0)</f>
        <v>0</v>
      </c>
      <c r="AU369" s="58">
        <f t="shared" si="174"/>
        <v>0</v>
      </c>
      <c r="AV369" s="58">
        <f>ROUND(SUMIF('JUNE (물량흐름)'!$C$13:$C$502,'In-out-bal products (155)(완성제품)'!B369,'JUNE (물량흐름)'!$AC$13:$AC$502),0)</f>
        <v>197</v>
      </c>
      <c r="AW369" s="58">
        <f t="shared" si="175"/>
        <v>5481393</v>
      </c>
      <c r="AX369" s="376">
        <f t="shared" si="176"/>
        <v>0</v>
      </c>
      <c r="AY369" s="377">
        <f t="shared" si="177"/>
        <v>0</v>
      </c>
      <c r="AZ369" s="377">
        <f t="shared" si="178"/>
        <v>0</v>
      </c>
      <c r="BA369" s="377">
        <f t="shared" si="179"/>
        <v>0</v>
      </c>
      <c r="BB369" s="377"/>
      <c r="BC369" s="377">
        <f t="shared" si="180"/>
        <v>0</v>
      </c>
      <c r="BD369" s="377">
        <f t="shared" si="181"/>
        <v>0</v>
      </c>
      <c r="BE369" s="377"/>
      <c r="BF369" s="377">
        <f t="shared" si="182"/>
        <v>0</v>
      </c>
      <c r="BG369" s="433">
        <f t="shared" si="183"/>
        <v>0</v>
      </c>
      <c r="BH369" s="434">
        <f t="shared" si="184"/>
        <v>0</v>
      </c>
    </row>
    <row r="370" spans="1:60" s="378" customFormat="1">
      <c r="A370" s="167">
        <v>365</v>
      </c>
      <c r="B370" s="253">
        <f>VLOOKUP(A370,'JUNE (물량흐름)'!$A$13:$C$493,3,0)</f>
        <v>469491</v>
      </c>
      <c r="C370" s="57" t="str">
        <f>VLOOKUP(A370,'JUNE (물량흐름)'!$A$13:$C$493,2,0)</f>
        <v>ANN TAYLOR</v>
      </c>
      <c r="D370" s="58">
        <f>IFERROR(VLOOKUP(B370,O.B.JUNE!$V$7:$Y$448,2,0),0)</f>
        <v>91</v>
      </c>
      <c r="E370" s="58">
        <f>IFERROR(VLOOKUP(B370,O.B.JUNE!$V$7:$X$448,3,0),0)</f>
        <v>25671.956043956045</v>
      </c>
      <c r="F370" s="58">
        <f>IFERROR(VLOOKUP(B370,O.B.JUNE!$V$7:$Y$448,4,0),0)</f>
        <v>2336148</v>
      </c>
      <c r="G370" s="58">
        <f>SUMIF('JUNE (물량흐름)'!$C$13:$C$493,'In-out-bal products (155)(완성제품)'!B370,'JUNE (물량흐름)'!$V$13:$V$493)</f>
        <v>0</v>
      </c>
      <c r="H370" s="58">
        <f>SUMIF('JUNE (물량흐름)'!$C$13:$C$493,'In-out-bal products (155)(완성제품)'!B370,'JUNE (물량흐름)'!$T$13:$T$493)-SUMIF('JUNE (물량흐름)'!$C$13:$C$493,'In-out-bal products (155)(완성제품)'!B370,'JUNE (물량흐름)'!$Y$13:$Y$493)+SUMIF('JUNE (물량흐름)'!$C$13:$C$493,'In-out-bal products (155)(완성제품)'!B370,'JUNE (물량흐름)'!$U$13:$U$493)</f>
        <v>0</v>
      </c>
      <c r="I370" s="58">
        <f t="shared" si="156"/>
        <v>0</v>
      </c>
      <c r="J370" s="58">
        <f>SUMIF('Direct labour(직접노무비)'!$C$12:$C$503,'In-out-bal products (155)(완성제품)'!B370,'Direct labour(직접노무비)'!$Q$12:$Q$503)</f>
        <v>0</v>
      </c>
      <c r="K370" s="59">
        <f>SUMIF('Overhead exp(제조경비)'!$C$12:$C$503,'In-out-bal products (155)(완성제품)'!B370,'Overhead exp(제조경비)'!$Q$12:$Q$503)</f>
        <v>0</v>
      </c>
      <c r="L370" s="58">
        <f t="shared" si="157"/>
        <v>0</v>
      </c>
      <c r="M370" s="58">
        <f>SUMIF('JUNE (물량흐름)'!$C$13:$C$488,'In-out-bal products (155)(완성제품)'!B370,'JUNE (물량흐름)'!$Y$13:$Y$488)</f>
        <v>0</v>
      </c>
      <c r="N370" s="58">
        <f t="shared" si="158"/>
        <v>0</v>
      </c>
      <c r="O370" s="58">
        <f>SUMIF('Direct labour(직접노무비)'!$C$12:$C$503,'In-out-bal products (155)(완성제품)'!B370,'Direct labour(직접노무비)'!$U$12:$U$503)+SUMIF('Overhead exp(제조경비)'!$C$12:$C$503,'In-out-bal products (155)(완성제품)'!B370,'Overhead exp(제조경비)'!$U$12:$U$503)</f>
        <v>0</v>
      </c>
      <c r="P370" s="60">
        <f t="shared" si="159"/>
        <v>0</v>
      </c>
      <c r="Q370" s="60">
        <f t="shared" si="160"/>
        <v>0</v>
      </c>
      <c r="R370" s="60">
        <f t="shared" si="161"/>
        <v>0</v>
      </c>
      <c r="S370" s="58">
        <v>0</v>
      </c>
      <c r="T370" s="58">
        <v>0</v>
      </c>
      <c r="U370" s="58">
        <v>0</v>
      </c>
      <c r="V370" s="58">
        <f>SUMIF('JUNE (물량흐름)'!$C$13:$C$493,'In-out-bal products (155)(완성제품)'!B370,'JUNE (물량흐름)'!$W$13:$W$493)</f>
        <v>0</v>
      </c>
      <c r="W370" s="58">
        <f t="shared" si="162"/>
        <v>0</v>
      </c>
      <c r="X370" s="58">
        <f t="shared" si="163"/>
        <v>0</v>
      </c>
      <c r="Y370" s="58">
        <f>SUMIF('JUNE (물량흐름)'!$C$13:$C$488,'In-out-bal products (155)(완성제품)'!B370,'JUNE (물량흐름)'!$X$13:$X$488)</f>
        <v>0</v>
      </c>
      <c r="Z370" s="58">
        <f t="shared" si="164"/>
        <v>0</v>
      </c>
      <c r="AA370" s="58">
        <f t="shared" si="165"/>
        <v>0</v>
      </c>
      <c r="AB370" s="58"/>
      <c r="AC370" s="58"/>
      <c r="AD370" s="61"/>
      <c r="AE370" s="58">
        <f t="shared" si="166"/>
        <v>0</v>
      </c>
      <c r="AF370" s="58">
        <f t="shared" si="167"/>
        <v>0</v>
      </c>
      <c r="AG370" s="61">
        <f t="shared" si="168"/>
        <v>0</v>
      </c>
      <c r="AH370" s="58">
        <v>0</v>
      </c>
      <c r="AI370" s="58">
        <v>0</v>
      </c>
      <c r="AJ370" s="61">
        <v>0</v>
      </c>
      <c r="AK370" s="58"/>
      <c r="AL370" s="58"/>
      <c r="AM370" s="61"/>
      <c r="AN370" s="61">
        <f t="shared" si="185"/>
        <v>0</v>
      </c>
      <c r="AO370" s="58">
        <f t="shared" si="169"/>
        <v>0</v>
      </c>
      <c r="AP370" s="61">
        <f t="shared" si="170"/>
        <v>0</v>
      </c>
      <c r="AQ370" s="58">
        <f t="shared" si="171"/>
        <v>91</v>
      </c>
      <c r="AR370" s="58">
        <f t="shared" si="172"/>
        <v>25671.956043956045</v>
      </c>
      <c r="AS370" s="58">
        <f t="shared" si="173"/>
        <v>2336148</v>
      </c>
      <c r="AT370" s="58">
        <f>ROUND(SUMIF('JUNE (물량흐름)'!$C$13:$C$502,'In-out-bal products (155)(완성제품)'!B370,'JUNE (물량흐름)'!$AB$13:$AB$502),0)</f>
        <v>0</v>
      </c>
      <c r="AU370" s="58">
        <f t="shared" si="174"/>
        <v>0</v>
      </c>
      <c r="AV370" s="58">
        <f>ROUND(SUMIF('JUNE (물량흐름)'!$C$13:$C$502,'In-out-bal products (155)(완성제품)'!B370,'JUNE (물량흐름)'!$AC$13:$AC$502),0)</f>
        <v>91</v>
      </c>
      <c r="AW370" s="58">
        <f t="shared" si="175"/>
        <v>2336148</v>
      </c>
      <c r="AX370" s="376">
        <f t="shared" si="176"/>
        <v>0</v>
      </c>
      <c r="AY370" s="377">
        <f t="shared" si="177"/>
        <v>0</v>
      </c>
      <c r="AZ370" s="377">
        <f t="shared" si="178"/>
        <v>0</v>
      </c>
      <c r="BA370" s="377">
        <f t="shared" si="179"/>
        <v>0</v>
      </c>
      <c r="BB370" s="377"/>
      <c r="BC370" s="377">
        <f t="shared" si="180"/>
        <v>0</v>
      </c>
      <c r="BD370" s="377">
        <f t="shared" si="181"/>
        <v>0</v>
      </c>
      <c r="BE370" s="377"/>
      <c r="BF370" s="377">
        <f t="shared" si="182"/>
        <v>0</v>
      </c>
      <c r="BG370" s="433">
        <f t="shared" si="183"/>
        <v>0</v>
      </c>
      <c r="BH370" s="434">
        <f t="shared" si="184"/>
        <v>0</v>
      </c>
    </row>
    <row r="371" spans="1:60" s="378" customFormat="1">
      <c r="A371" s="167">
        <v>366</v>
      </c>
      <c r="B371" s="253">
        <f>VLOOKUP(A371,'JUNE (물량흐름)'!$A$13:$C$493,3,0)</f>
        <v>474304</v>
      </c>
      <c r="C371" s="57" t="str">
        <f>VLOOKUP(A371,'JUNE (물량흐름)'!$A$13:$C$493,2,0)</f>
        <v>ANN TAYLOR</v>
      </c>
      <c r="D371" s="58">
        <f>IFERROR(VLOOKUP(B371,O.B.JUNE!$V$7:$Y$448,2,0),0)</f>
        <v>179</v>
      </c>
      <c r="E371" s="58">
        <f>IFERROR(VLOOKUP(B371,O.B.JUNE!$V$7:$X$448,3,0),0)</f>
        <v>32410.798882681564</v>
      </c>
      <c r="F371" s="58">
        <f>IFERROR(VLOOKUP(B371,O.B.JUNE!$V$7:$Y$448,4,0),0)</f>
        <v>5801533</v>
      </c>
      <c r="G371" s="58">
        <f>SUMIF('JUNE (물량흐름)'!$C$13:$C$493,'In-out-bal products (155)(완성제품)'!B371,'JUNE (물량흐름)'!$V$13:$V$493)</f>
        <v>0</v>
      </c>
      <c r="H371" s="58">
        <f>SUMIF('JUNE (물량흐름)'!$C$13:$C$493,'In-out-bal products (155)(완성제품)'!B371,'JUNE (물량흐름)'!$T$13:$T$493)-SUMIF('JUNE (물량흐름)'!$C$13:$C$493,'In-out-bal products (155)(완성제품)'!B371,'JUNE (물량흐름)'!$Y$13:$Y$493)+SUMIF('JUNE (물량흐름)'!$C$13:$C$493,'In-out-bal products (155)(완성제품)'!B371,'JUNE (물량흐름)'!$U$13:$U$493)</f>
        <v>0</v>
      </c>
      <c r="I371" s="58">
        <f t="shared" si="156"/>
        <v>0</v>
      </c>
      <c r="J371" s="58">
        <f>SUMIF('Direct labour(직접노무비)'!$C$12:$C$503,'In-out-bal products (155)(완성제품)'!B371,'Direct labour(직접노무비)'!$Q$12:$Q$503)</f>
        <v>0</v>
      </c>
      <c r="K371" s="59">
        <f>SUMIF('Overhead exp(제조경비)'!$C$12:$C$503,'In-out-bal products (155)(완성제품)'!B371,'Overhead exp(제조경비)'!$Q$12:$Q$503)</f>
        <v>0</v>
      </c>
      <c r="L371" s="58">
        <f t="shared" si="157"/>
        <v>0</v>
      </c>
      <c r="M371" s="58">
        <f>SUMIF('JUNE (물량흐름)'!$C$13:$C$488,'In-out-bal products (155)(완성제품)'!B371,'JUNE (물량흐름)'!$Y$13:$Y$488)</f>
        <v>1</v>
      </c>
      <c r="N371" s="58">
        <f t="shared" si="158"/>
        <v>23975</v>
      </c>
      <c r="O371" s="58">
        <f>SUMIF('Direct labour(직접노무비)'!$C$12:$C$503,'In-out-bal products (155)(완성제품)'!B371,'Direct labour(직접노무비)'!$U$12:$U$503)+SUMIF('Overhead exp(제조경비)'!$C$12:$C$503,'In-out-bal products (155)(완성제품)'!B371,'Overhead exp(제조경비)'!$U$12:$U$503)</f>
        <v>23975</v>
      </c>
      <c r="P371" s="60">
        <f t="shared" si="159"/>
        <v>1</v>
      </c>
      <c r="Q371" s="60">
        <f t="shared" si="160"/>
        <v>23975</v>
      </c>
      <c r="R371" s="60">
        <f t="shared" si="161"/>
        <v>23975</v>
      </c>
      <c r="S371" s="58">
        <v>0</v>
      </c>
      <c r="T371" s="58">
        <v>0</v>
      </c>
      <c r="U371" s="58">
        <v>0</v>
      </c>
      <c r="V371" s="58">
        <f>SUMIF('JUNE (물량흐름)'!$C$13:$C$493,'In-out-bal products (155)(완성제품)'!B371,'JUNE (물량흐름)'!$W$13:$W$493)</f>
        <v>0</v>
      </c>
      <c r="W371" s="58">
        <f t="shared" si="162"/>
        <v>0</v>
      </c>
      <c r="X371" s="58">
        <f t="shared" si="163"/>
        <v>0</v>
      </c>
      <c r="Y371" s="58">
        <f>SUMIF('JUNE (물량흐름)'!$C$13:$C$488,'In-out-bal products (155)(완성제품)'!B371,'JUNE (물량흐름)'!$X$13:$X$488)</f>
        <v>0</v>
      </c>
      <c r="Z371" s="58">
        <f t="shared" si="164"/>
        <v>0</v>
      </c>
      <c r="AA371" s="58">
        <f t="shared" si="165"/>
        <v>0</v>
      </c>
      <c r="AB371" s="58"/>
      <c r="AC371" s="58"/>
      <c r="AD371" s="61"/>
      <c r="AE371" s="58">
        <f t="shared" si="166"/>
        <v>1</v>
      </c>
      <c r="AF371" s="58">
        <f t="shared" si="167"/>
        <v>23975</v>
      </c>
      <c r="AG371" s="61">
        <f t="shared" si="168"/>
        <v>23975</v>
      </c>
      <c r="AH371" s="58">
        <v>0</v>
      </c>
      <c r="AI371" s="58">
        <v>0</v>
      </c>
      <c r="AJ371" s="61">
        <v>0</v>
      </c>
      <c r="AK371" s="58"/>
      <c r="AL371" s="58"/>
      <c r="AM371" s="61"/>
      <c r="AN371" s="61">
        <f t="shared" si="185"/>
        <v>1</v>
      </c>
      <c r="AO371" s="58">
        <f t="shared" si="169"/>
        <v>23975</v>
      </c>
      <c r="AP371" s="61">
        <f t="shared" si="170"/>
        <v>23975</v>
      </c>
      <c r="AQ371" s="58">
        <f t="shared" si="171"/>
        <v>179</v>
      </c>
      <c r="AR371" s="58">
        <f t="shared" si="172"/>
        <v>32410.798882681564</v>
      </c>
      <c r="AS371" s="58">
        <f t="shared" si="173"/>
        <v>5801533</v>
      </c>
      <c r="AT371" s="58">
        <f>ROUND(SUMIF('JUNE (물량흐름)'!$C$13:$C$502,'In-out-bal products (155)(완성제품)'!B371,'JUNE (물량흐름)'!$AB$13:$AB$502),0)</f>
        <v>0</v>
      </c>
      <c r="AU371" s="58">
        <f t="shared" si="174"/>
        <v>0</v>
      </c>
      <c r="AV371" s="58">
        <f>ROUND(SUMIF('JUNE (물량흐름)'!$C$13:$C$502,'In-out-bal products (155)(완성제품)'!B371,'JUNE (물량흐름)'!$AC$13:$AC$502),0)</f>
        <v>179</v>
      </c>
      <c r="AW371" s="58">
        <f t="shared" si="175"/>
        <v>5801533</v>
      </c>
      <c r="AX371" s="376">
        <f t="shared" si="176"/>
        <v>0</v>
      </c>
      <c r="AY371" s="377">
        <f t="shared" si="177"/>
        <v>0</v>
      </c>
      <c r="AZ371" s="377">
        <f t="shared" si="178"/>
        <v>0</v>
      </c>
      <c r="BA371" s="377">
        <f t="shared" si="179"/>
        <v>0</v>
      </c>
      <c r="BB371" s="377"/>
      <c r="BC371" s="377">
        <f t="shared" si="180"/>
        <v>0</v>
      </c>
      <c r="BD371" s="377">
        <f t="shared" si="181"/>
        <v>0</v>
      </c>
      <c r="BE371" s="377"/>
      <c r="BF371" s="377">
        <f t="shared" si="182"/>
        <v>0</v>
      </c>
      <c r="BG371" s="433">
        <f t="shared" si="183"/>
        <v>23975</v>
      </c>
      <c r="BH371" s="434">
        <f t="shared" si="184"/>
        <v>0</v>
      </c>
    </row>
    <row r="372" spans="1:60" s="378" customFormat="1">
      <c r="A372" s="167">
        <v>367</v>
      </c>
      <c r="B372" s="253" t="str">
        <f>VLOOKUP(A372,'JUNE (물량흐름)'!$A$13:$C$493,3,0)</f>
        <v>7X211</v>
      </c>
      <c r="C372" s="57" t="str">
        <f>VLOOKUP(A372,'JUNE (물량흐름)'!$A$13:$C$493,2,0)</f>
        <v>ALFANI</v>
      </c>
      <c r="D372" s="58">
        <f>IFERROR(VLOOKUP(B372,O.B.JUNE!$V$7:$Y$448,2,0),0)</f>
        <v>3</v>
      </c>
      <c r="E372" s="58">
        <f>IFERROR(VLOOKUP(B372,O.B.JUNE!$V$7:$X$448,3,0),0)</f>
        <v>24446</v>
      </c>
      <c r="F372" s="58">
        <f>IFERROR(VLOOKUP(B372,O.B.JUNE!$V$7:$Y$448,4,0),0)</f>
        <v>73338</v>
      </c>
      <c r="G372" s="58">
        <f>SUMIF('JUNE (물량흐름)'!$C$13:$C$493,'In-out-bal products (155)(완성제품)'!B372,'JUNE (물량흐름)'!$V$13:$V$493)</f>
        <v>0</v>
      </c>
      <c r="H372" s="58">
        <f>SUMIF('JUNE (물량흐름)'!$C$13:$C$493,'In-out-bal products (155)(완성제품)'!B372,'JUNE (물량흐름)'!$T$13:$T$493)-SUMIF('JUNE (물량흐름)'!$C$13:$C$493,'In-out-bal products (155)(완성제품)'!B372,'JUNE (물량흐름)'!$Y$13:$Y$493)+SUMIF('JUNE (물량흐름)'!$C$13:$C$493,'In-out-bal products (155)(완성제품)'!B372,'JUNE (물량흐름)'!$U$13:$U$493)</f>
        <v>49</v>
      </c>
      <c r="I372" s="58">
        <f t="shared" si="156"/>
        <v>19762.265306122448</v>
      </c>
      <c r="J372" s="58">
        <f>SUMIF('Direct labour(직접노무비)'!$C$12:$C$503,'In-out-bal products (155)(완성제품)'!B372,'Direct labour(직접노무비)'!$Q$12:$Q$503)</f>
        <v>346106</v>
      </c>
      <c r="K372" s="59">
        <f>SUMIF('Overhead exp(제조경비)'!$C$12:$C$503,'In-out-bal products (155)(완성제품)'!B372,'Overhead exp(제조경비)'!$Q$12:$Q$503)</f>
        <v>622245</v>
      </c>
      <c r="L372" s="58">
        <f t="shared" si="157"/>
        <v>968351</v>
      </c>
      <c r="M372" s="58">
        <f>SUMIF('JUNE (물량흐름)'!$C$13:$C$488,'In-out-bal products (155)(완성제품)'!B372,'JUNE (물량흐름)'!$Y$13:$Y$488)</f>
        <v>0</v>
      </c>
      <c r="N372" s="58">
        <f t="shared" si="158"/>
        <v>0</v>
      </c>
      <c r="O372" s="58">
        <f>SUMIF('Direct labour(직접노무비)'!$C$12:$C$503,'In-out-bal products (155)(완성제품)'!B372,'Direct labour(직접노무비)'!$U$12:$U$503)+SUMIF('Overhead exp(제조경비)'!$C$12:$C$503,'In-out-bal products (155)(완성제품)'!B372,'Overhead exp(제조경비)'!$U$12:$U$503)</f>
        <v>0</v>
      </c>
      <c r="P372" s="60">
        <f t="shared" si="159"/>
        <v>49</v>
      </c>
      <c r="Q372" s="60">
        <f t="shared" si="160"/>
        <v>19762.265306122448</v>
      </c>
      <c r="R372" s="60">
        <f t="shared" si="161"/>
        <v>968351</v>
      </c>
      <c r="S372" s="58">
        <v>0</v>
      </c>
      <c r="T372" s="58">
        <v>0</v>
      </c>
      <c r="U372" s="58">
        <v>0</v>
      </c>
      <c r="V372" s="58">
        <f>SUMIF('JUNE (물량흐름)'!$C$13:$C$493,'In-out-bal products (155)(완성제품)'!B372,'JUNE (물량흐름)'!$W$13:$W$493)</f>
        <v>0</v>
      </c>
      <c r="W372" s="58">
        <f t="shared" si="162"/>
        <v>0</v>
      </c>
      <c r="X372" s="58">
        <f t="shared" si="163"/>
        <v>0</v>
      </c>
      <c r="Y372" s="58">
        <f>SUMIF('JUNE (물량흐름)'!$C$13:$C$488,'In-out-bal products (155)(완성제품)'!B372,'JUNE (물량흐름)'!$X$13:$X$488)</f>
        <v>0</v>
      </c>
      <c r="Z372" s="58">
        <f t="shared" si="164"/>
        <v>0</v>
      </c>
      <c r="AA372" s="58">
        <f t="shared" si="165"/>
        <v>0</v>
      </c>
      <c r="AB372" s="58"/>
      <c r="AC372" s="58"/>
      <c r="AD372" s="61"/>
      <c r="AE372" s="58">
        <f t="shared" si="166"/>
        <v>0</v>
      </c>
      <c r="AF372" s="58">
        <f t="shared" si="167"/>
        <v>0</v>
      </c>
      <c r="AG372" s="61">
        <f t="shared" si="168"/>
        <v>0</v>
      </c>
      <c r="AH372" s="58">
        <v>0</v>
      </c>
      <c r="AI372" s="58">
        <v>0</v>
      </c>
      <c r="AJ372" s="61">
        <v>0</v>
      </c>
      <c r="AK372" s="58"/>
      <c r="AL372" s="58"/>
      <c r="AM372" s="61"/>
      <c r="AN372" s="61">
        <f t="shared" si="185"/>
        <v>0</v>
      </c>
      <c r="AO372" s="58">
        <f t="shared" si="169"/>
        <v>0</v>
      </c>
      <c r="AP372" s="61">
        <f t="shared" si="170"/>
        <v>0</v>
      </c>
      <c r="AQ372" s="58">
        <f t="shared" si="171"/>
        <v>52</v>
      </c>
      <c r="AR372" s="58">
        <f t="shared" si="172"/>
        <v>20032.48076923077</v>
      </c>
      <c r="AS372" s="58">
        <f t="shared" si="173"/>
        <v>1041689</v>
      </c>
      <c r="AT372" s="58">
        <f>ROUND(SUMIF('JUNE (물량흐름)'!$C$13:$C$502,'In-out-bal products (155)(완성제품)'!B372,'JUNE (물량흐름)'!$AB$13:$AB$502),0)</f>
        <v>0</v>
      </c>
      <c r="AU372" s="58">
        <f t="shared" si="174"/>
        <v>0</v>
      </c>
      <c r="AV372" s="58">
        <f>ROUND(SUMIF('JUNE (물량흐름)'!$C$13:$C$502,'In-out-bal products (155)(완성제품)'!B372,'JUNE (물량흐름)'!$AC$13:$AC$502),0)</f>
        <v>52</v>
      </c>
      <c r="AW372" s="58">
        <f t="shared" si="175"/>
        <v>1041689</v>
      </c>
      <c r="AX372" s="376">
        <f t="shared" si="176"/>
        <v>0</v>
      </c>
      <c r="AY372" s="377">
        <f t="shared" si="177"/>
        <v>0</v>
      </c>
      <c r="AZ372" s="377">
        <f t="shared" si="178"/>
        <v>0</v>
      </c>
      <c r="BA372" s="377">
        <f t="shared" si="179"/>
        <v>0</v>
      </c>
      <c r="BB372" s="377"/>
      <c r="BC372" s="377">
        <f t="shared" si="180"/>
        <v>0</v>
      </c>
      <c r="BD372" s="377">
        <f t="shared" si="181"/>
        <v>0</v>
      </c>
      <c r="BE372" s="377"/>
      <c r="BF372" s="377">
        <f t="shared" si="182"/>
        <v>0</v>
      </c>
      <c r="BG372" s="433">
        <f t="shared" si="183"/>
        <v>0</v>
      </c>
      <c r="BH372" s="434">
        <f t="shared" si="184"/>
        <v>0</v>
      </c>
    </row>
    <row r="373" spans="1:60" s="378" customFormat="1">
      <c r="A373" s="167">
        <v>368</v>
      </c>
      <c r="B373" s="253" t="str">
        <f>VLOOKUP(A373,'JUNE (물량흐름)'!$A$13:$C$493,3,0)</f>
        <v>KPT116131</v>
      </c>
      <c r="C373" s="57" t="str">
        <f>VLOOKUP(A373,'JUNE (물량흐름)'!$A$13:$C$493,2,0)</f>
        <v>J JILL</v>
      </c>
      <c r="D373" s="58">
        <f>IFERROR(VLOOKUP(B373,O.B.JUNE!$V$7:$Y$448,2,0),0)</f>
        <v>9273</v>
      </c>
      <c r="E373" s="58">
        <f>IFERROR(VLOOKUP(B373,O.B.JUNE!$V$7:$X$448,3,0),0)</f>
        <v>25649.388978755527</v>
      </c>
      <c r="F373" s="58">
        <f>IFERROR(VLOOKUP(B373,O.B.JUNE!$V$7:$Y$448,4,0),0)</f>
        <v>237846784</v>
      </c>
      <c r="G373" s="58">
        <f>SUMIF('JUNE (물량흐름)'!$C$13:$C$493,'In-out-bal products (155)(완성제품)'!B373,'JUNE (물량흐름)'!$V$13:$V$493)</f>
        <v>0</v>
      </c>
      <c r="H373" s="58">
        <f>SUMIF('JUNE (물량흐름)'!$C$13:$C$493,'In-out-bal products (155)(완성제품)'!B373,'JUNE (물량흐름)'!$T$13:$T$493)-SUMIF('JUNE (물량흐름)'!$C$13:$C$493,'In-out-bal products (155)(완성제품)'!B373,'JUNE (물량흐름)'!$Y$13:$Y$493)+SUMIF('JUNE (물량흐름)'!$C$13:$C$493,'In-out-bal products (155)(완성제품)'!B373,'JUNE (물량흐름)'!$U$13:$U$493)</f>
        <v>10238</v>
      </c>
      <c r="I373" s="58">
        <f t="shared" si="156"/>
        <v>31425.683238913851</v>
      </c>
      <c r="J373" s="58">
        <f>SUMIF('Direct labour(직접노무비)'!$C$12:$C$503,'In-out-bal products (155)(완성제품)'!B373,'Direct labour(직접노무비)'!$Q$12:$Q$503)</f>
        <v>108995871</v>
      </c>
      <c r="K373" s="59">
        <f>SUMIF('Overhead exp(제조경비)'!$C$12:$C$503,'In-out-bal products (155)(완성제품)'!B373,'Overhead exp(제조경비)'!$Q$12:$Q$503)</f>
        <v>212740274</v>
      </c>
      <c r="L373" s="58">
        <f t="shared" si="157"/>
        <v>321736145</v>
      </c>
      <c r="M373" s="58">
        <f>SUMIF('JUNE (물량흐름)'!$C$13:$C$488,'In-out-bal products (155)(완성제품)'!B373,'JUNE (물량흐름)'!$Y$13:$Y$488)</f>
        <v>7</v>
      </c>
      <c r="N373" s="58">
        <f t="shared" si="158"/>
        <v>31425.571428571428</v>
      </c>
      <c r="O373" s="58">
        <f>SUMIF('Direct labour(직접노무비)'!$C$12:$C$503,'In-out-bal products (155)(완성제품)'!B373,'Direct labour(직접노무비)'!$U$12:$U$503)+SUMIF('Overhead exp(제조경비)'!$C$12:$C$503,'In-out-bal products (155)(완성제품)'!B373,'Overhead exp(제조경비)'!$U$12:$U$503)</f>
        <v>219979</v>
      </c>
      <c r="P373" s="60">
        <f t="shared" si="159"/>
        <v>10245</v>
      </c>
      <c r="Q373" s="60">
        <f t="shared" si="160"/>
        <v>31425.6831625183</v>
      </c>
      <c r="R373" s="60">
        <f t="shared" si="161"/>
        <v>321956124</v>
      </c>
      <c r="S373" s="58">
        <v>0</v>
      </c>
      <c r="T373" s="58">
        <v>0</v>
      </c>
      <c r="U373" s="58">
        <v>0</v>
      </c>
      <c r="V373" s="58">
        <f>SUMIF('JUNE (물량흐름)'!$C$13:$C$493,'In-out-bal products (155)(완성제품)'!B373,'JUNE (물량흐름)'!$W$13:$W$493)</f>
        <v>9329</v>
      </c>
      <c r="W373" s="58">
        <f t="shared" si="162"/>
        <v>28680.381820130777</v>
      </c>
      <c r="X373" s="58">
        <f t="shared" si="163"/>
        <v>267559282</v>
      </c>
      <c r="Y373" s="58">
        <f>SUMIF('JUNE (물량흐름)'!$C$13:$C$488,'In-out-bal products (155)(완성제품)'!B373,'JUNE (물량흐름)'!$X$13:$X$488)</f>
        <v>0</v>
      </c>
      <c r="Z373" s="58">
        <f t="shared" si="164"/>
        <v>0</v>
      </c>
      <c r="AA373" s="58">
        <f t="shared" si="165"/>
        <v>0</v>
      </c>
      <c r="AB373" s="58"/>
      <c r="AC373" s="58"/>
      <c r="AD373" s="61"/>
      <c r="AE373" s="58">
        <f t="shared" si="166"/>
        <v>7</v>
      </c>
      <c r="AF373" s="58">
        <f t="shared" si="167"/>
        <v>31425.571428571428</v>
      </c>
      <c r="AG373" s="61">
        <f t="shared" si="168"/>
        <v>219979</v>
      </c>
      <c r="AH373" s="58">
        <v>0</v>
      </c>
      <c r="AI373" s="58">
        <v>0</v>
      </c>
      <c r="AJ373" s="61">
        <v>0</v>
      </c>
      <c r="AK373" s="58"/>
      <c r="AL373" s="58"/>
      <c r="AM373" s="61"/>
      <c r="AN373" s="61">
        <f t="shared" si="185"/>
        <v>9336</v>
      </c>
      <c r="AO373" s="58">
        <f t="shared" si="169"/>
        <v>28682.440124250214</v>
      </c>
      <c r="AP373" s="61">
        <f t="shared" si="170"/>
        <v>267779261</v>
      </c>
      <c r="AQ373" s="58">
        <f t="shared" si="171"/>
        <v>10182</v>
      </c>
      <c r="AR373" s="58">
        <f t="shared" si="172"/>
        <v>28680.381752111571</v>
      </c>
      <c r="AS373" s="58">
        <f t="shared" si="173"/>
        <v>292023647</v>
      </c>
      <c r="AT373" s="58">
        <f>ROUND(SUMIF('JUNE (물량흐름)'!$C$13:$C$502,'In-out-bal products (155)(완성제품)'!B373,'JUNE (물량흐름)'!$AB$13:$AB$502),0)</f>
        <v>10182</v>
      </c>
      <c r="AU373" s="58">
        <f t="shared" si="174"/>
        <v>292023647</v>
      </c>
      <c r="AV373" s="58">
        <f>ROUND(SUMIF('JUNE (물량흐름)'!$C$13:$C$502,'In-out-bal products (155)(완성제품)'!B373,'JUNE (물량흐름)'!$AC$13:$AC$502),0)</f>
        <v>0</v>
      </c>
      <c r="AW373" s="58">
        <f t="shared" si="175"/>
        <v>0</v>
      </c>
      <c r="AX373" s="376">
        <f t="shared" si="176"/>
        <v>0</v>
      </c>
      <c r="AY373" s="377">
        <f t="shared" si="177"/>
        <v>0</v>
      </c>
      <c r="AZ373" s="377">
        <f t="shared" si="178"/>
        <v>0</v>
      </c>
      <c r="BA373" s="377">
        <f t="shared" si="179"/>
        <v>0</v>
      </c>
      <c r="BB373" s="377"/>
      <c r="BC373" s="377">
        <f t="shared" si="180"/>
        <v>0</v>
      </c>
      <c r="BD373" s="377">
        <f t="shared" si="181"/>
        <v>0</v>
      </c>
      <c r="BE373" s="377"/>
      <c r="BF373" s="377">
        <f t="shared" si="182"/>
        <v>0</v>
      </c>
      <c r="BG373" s="433">
        <f t="shared" si="183"/>
        <v>267779261</v>
      </c>
      <c r="BH373" s="434">
        <f t="shared" si="184"/>
        <v>0</v>
      </c>
    </row>
    <row r="374" spans="1:60" s="378" customFormat="1">
      <c r="A374" s="167">
        <v>369</v>
      </c>
      <c r="B374" s="253">
        <f>VLOOKUP(A374,'JUNE (물량흐름)'!$A$13:$C$493,3,0)</f>
        <v>100019047</v>
      </c>
      <c r="C374" s="57" t="str">
        <f>VLOOKUP(A374,'JUNE (물량흐름)'!$A$13:$C$493,2,0)</f>
        <v>ALFANI</v>
      </c>
      <c r="D374" s="58">
        <f>IFERROR(VLOOKUP(B374,O.B.JUNE!$V$7:$Y$448,2,0),0)</f>
        <v>0</v>
      </c>
      <c r="E374" s="58">
        <f>IFERROR(VLOOKUP(B374,O.B.JUNE!$V$7:$X$448,3,0),0)</f>
        <v>0</v>
      </c>
      <c r="F374" s="58">
        <f>IFERROR(VLOOKUP(B374,O.B.JUNE!$V$7:$Y$448,4,0),0)</f>
        <v>0</v>
      </c>
      <c r="G374" s="58">
        <f>SUMIF('JUNE (물량흐름)'!$C$13:$C$493,'In-out-bal products (155)(완성제품)'!B374,'JUNE (물량흐름)'!$V$13:$V$493)</f>
        <v>0</v>
      </c>
      <c r="H374" s="58">
        <f>SUMIF('JUNE (물량흐름)'!$C$13:$C$493,'In-out-bal products (155)(완성제품)'!B374,'JUNE (물량흐름)'!$T$13:$T$493)-SUMIF('JUNE (물량흐름)'!$C$13:$C$493,'In-out-bal products (155)(완성제품)'!B374,'JUNE (물량흐름)'!$Y$13:$Y$493)+SUMIF('JUNE (물량흐름)'!$C$13:$C$493,'In-out-bal products (155)(완성제품)'!B374,'JUNE (물량흐름)'!$U$13:$U$493)</f>
        <v>9264</v>
      </c>
      <c r="I374" s="58">
        <f t="shared" si="156"/>
        <v>55780.090241796199</v>
      </c>
      <c r="J374" s="58">
        <f>SUMIF('Direct labour(직접노무비)'!$C$12:$C$503,'In-out-bal products (155)(완성제품)'!B374,'Direct labour(직접노무비)'!$Q$12:$Q$503)</f>
        <v>177029979</v>
      </c>
      <c r="K374" s="59">
        <f>SUMIF('Overhead exp(제조경비)'!$C$12:$C$503,'In-out-bal products (155)(완성제품)'!B374,'Overhead exp(제조경비)'!$Q$12:$Q$503)</f>
        <v>339716777</v>
      </c>
      <c r="L374" s="58">
        <f t="shared" si="157"/>
        <v>516746756</v>
      </c>
      <c r="M374" s="58">
        <f>SUMIF('JUNE (물량흐름)'!$C$13:$C$488,'In-out-bal products (155)(완성제품)'!B374,'JUNE (물량흐름)'!$Y$13:$Y$488)</f>
        <v>0</v>
      </c>
      <c r="N374" s="58">
        <f t="shared" si="158"/>
        <v>0</v>
      </c>
      <c r="O374" s="58">
        <f>SUMIF('Direct labour(직접노무비)'!$C$12:$C$503,'In-out-bal products (155)(완성제품)'!B374,'Direct labour(직접노무비)'!$U$12:$U$503)+SUMIF('Overhead exp(제조경비)'!$C$12:$C$503,'In-out-bal products (155)(완성제품)'!B374,'Overhead exp(제조경비)'!$U$12:$U$503)</f>
        <v>0</v>
      </c>
      <c r="P374" s="60">
        <f t="shared" si="159"/>
        <v>9264</v>
      </c>
      <c r="Q374" s="60">
        <f t="shared" si="160"/>
        <v>55780.090241796199</v>
      </c>
      <c r="R374" s="60">
        <f t="shared" si="161"/>
        <v>516746756</v>
      </c>
      <c r="S374" s="58">
        <v>0</v>
      </c>
      <c r="T374" s="58">
        <v>0</v>
      </c>
      <c r="U374" s="58">
        <v>0</v>
      </c>
      <c r="V374" s="58">
        <f>SUMIF('JUNE (물량흐름)'!$C$13:$C$493,'In-out-bal products (155)(완성제품)'!B374,'JUNE (물량흐름)'!$W$13:$W$493)</f>
        <v>9264</v>
      </c>
      <c r="W374" s="58">
        <f t="shared" si="162"/>
        <v>55780.090241796199</v>
      </c>
      <c r="X374" s="58">
        <f t="shared" si="163"/>
        <v>516746756</v>
      </c>
      <c r="Y374" s="58">
        <f>SUMIF('JUNE (물량흐름)'!$C$13:$C$488,'In-out-bal products (155)(완성제품)'!B374,'JUNE (물량흐름)'!$X$13:$X$488)</f>
        <v>0</v>
      </c>
      <c r="Z374" s="58">
        <f t="shared" si="164"/>
        <v>0</v>
      </c>
      <c r="AA374" s="58">
        <f t="shared" si="165"/>
        <v>0</v>
      </c>
      <c r="AB374" s="58"/>
      <c r="AC374" s="58"/>
      <c r="AD374" s="61"/>
      <c r="AE374" s="58">
        <f t="shared" si="166"/>
        <v>0</v>
      </c>
      <c r="AF374" s="58">
        <f t="shared" si="167"/>
        <v>0</v>
      </c>
      <c r="AG374" s="61">
        <f t="shared" si="168"/>
        <v>0</v>
      </c>
      <c r="AH374" s="58">
        <v>0</v>
      </c>
      <c r="AI374" s="58">
        <v>0</v>
      </c>
      <c r="AJ374" s="61">
        <v>0</v>
      </c>
      <c r="AK374" s="58"/>
      <c r="AL374" s="58"/>
      <c r="AM374" s="61"/>
      <c r="AN374" s="61">
        <f t="shared" si="185"/>
        <v>9264</v>
      </c>
      <c r="AO374" s="58">
        <f t="shared" si="169"/>
        <v>55780.090241796199</v>
      </c>
      <c r="AP374" s="61">
        <f t="shared" si="170"/>
        <v>516746756</v>
      </c>
      <c r="AQ374" s="58">
        <f t="shared" si="171"/>
        <v>0</v>
      </c>
      <c r="AR374" s="58">
        <f t="shared" si="172"/>
        <v>0</v>
      </c>
      <c r="AS374" s="58">
        <f t="shared" si="173"/>
        <v>0</v>
      </c>
      <c r="AT374" s="58">
        <f>ROUND(SUMIF('JUNE (물량흐름)'!$C$13:$C$502,'In-out-bal products (155)(완성제품)'!B374,'JUNE (물량흐름)'!$AB$13:$AB$502),0)</f>
        <v>0</v>
      </c>
      <c r="AU374" s="58">
        <f t="shared" si="174"/>
        <v>0</v>
      </c>
      <c r="AV374" s="58">
        <f>ROUND(SUMIF('JUNE (물량흐름)'!$C$13:$C$502,'In-out-bal products (155)(완성제품)'!B374,'JUNE (물량흐름)'!$AC$13:$AC$502),0)</f>
        <v>0</v>
      </c>
      <c r="AW374" s="58">
        <f t="shared" si="175"/>
        <v>0</v>
      </c>
      <c r="AX374" s="376">
        <f t="shared" si="176"/>
        <v>0</v>
      </c>
      <c r="AY374" s="377">
        <f t="shared" si="177"/>
        <v>0</v>
      </c>
      <c r="AZ374" s="377">
        <f t="shared" si="178"/>
        <v>0</v>
      </c>
      <c r="BA374" s="377">
        <f t="shared" si="179"/>
        <v>0</v>
      </c>
      <c r="BB374" s="377"/>
      <c r="BC374" s="377">
        <f t="shared" si="180"/>
        <v>0</v>
      </c>
      <c r="BD374" s="377">
        <f t="shared" si="181"/>
        <v>0</v>
      </c>
      <c r="BE374" s="377"/>
      <c r="BF374" s="377">
        <f t="shared" si="182"/>
        <v>0</v>
      </c>
      <c r="BG374" s="433">
        <f t="shared" si="183"/>
        <v>516746756</v>
      </c>
      <c r="BH374" s="434">
        <f t="shared" si="184"/>
        <v>0</v>
      </c>
    </row>
    <row r="375" spans="1:60" s="378" customFormat="1">
      <c r="A375" s="167">
        <v>370</v>
      </c>
      <c r="B375" s="253">
        <f>VLOOKUP(A375,'JUNE (물량흐름)'!$A$13:$C$493,3,0)</f>
        <v>466798</v>
      </c>
      <c r="C375" s="57" t="str">
        <f>VLOOKUP(A375,'JUNE (물량흐름)'!$A$13:$C$493,2,0)</f>
        <v>ANN TAYLOR</v>
      </c>
      <c r="D375" s="58">
        <f>IFERROR(VLOOKUP(B375,O.B.JUNE!$V$7:$Y$448,2,0),0)</f>
        <v>137</v>
      </c>
      <c r="E375" s="58">
        <f>IFERROR(VLOOKUP(B375,O.B.JUNE!$V$7:$X$448,3,0),0)</f>
        <v>59913.518248175184</v>
      </c>
      <c r="F375" s="58">
        <f>IFERROR(VLOOKUP(B375,O.B.JUNE!$V$7:$Y$448,4,0),0)</f>
        <v>8208152</v>
      </c>
      <c r="G375" s="58">
        <f>SUMIF('JUNE (물량흐름)'!$C$13:$C$493,'In-out-bal products (155)(완성제품)'!B375,'JUNE (물량흐름)'!$V$13:$V$493)</f>
        <v>0</v>
      </c>
      <c r="H375" s="58">
        <f>SUMIF('JUNE (물량흐름)'!$C$13:$C$493,'In-out-bal products (155)(완성제품)'!B375,'JUNE (물량흐름)'!$T$13:$T$493)-SUMIF('JUNE (물량흐름)'!$C$13:$C$493,'In-out-bal products (155)(완성제품)'!B375,'JUNE (물량흐름)'!$Y$13:$Y$493)+SUMIF('JUNE (물량흐름)'!$C$13:$C$493,'In-out-bal products (155)(완성제품)'!B375,'JUNE (물량흐름)'!$U$13:$U$493)</f>
        <v>455</v>
      </c>
      <c r="I375" s="58">
        <f t="shared" si="156"/>
        <v>59913.520879120879</v>
      </c>
      <c r="J375" s="58">
        <f>SUMIF('Direct labour(직접노무비)'!$C$12:$C$503,'In-out-bal products (155)(완성제품)'!B375,'Direct labour(직접노무비)'!$Q$12:$Q$503)</f>
        <v>9285734</v>
      </c>
      <c r="K375" s="59">
        <f>SUMIF('Overhead exp(제조경비)'!$C$12:$C$503,'In-out-bal products (155)(완성제품)'!B375,'Overhead exp(제조경비)'!$Q$12:$Q$503)</f>
        <v>17974918</v>
      </c>
      <c r="L375" s="58">
        <f t="shared" si="157"/>
        <v>27260652</v>
      </c>
      <c r="M375" s="58">
        <f>SUMIF('JUNE (물량흐름)'!$C$13:$C$488,'In-out-bal products (155)(완성제품)'!B375,'JUNE (물량흐름)'!$Y$13:$Y$488)</f>
        <v>0</v>
      </c>
      <c r="N375" s="58">
        <f t="shared" si="158"/>
        <v>0</v>
      </c>
      <c r="O375" s="58">
        <f>SUMIF('Direct labour(직접노무비)'!$C$12:$C$503,'In-out-bal products (155)(완성제품)'!B375,'Direct labour(직접노무비)'!$U$12:$U$503)+SUMIF('Overhead exp(제조경비)'!$C$12:$C$503,'In-out-bal products (155)(완성제품)'!B375,'Overhead exp(제조경비)'!$U$12:$U$503)</f>
        <v>0</v>
      </c>
      <c r="P375" s="60">
        <f t="shared" si="159"/>
        <v>455</v>
      </c>
      <c r="Q375" s="60">
        <f t="shared" si="160"/>
        <v>59913.520879120879</v>
      </c>
      <c r="R375" s="60">
        <f t="shared" si="161"/>
        <v>27260652</v>
      </c>
      <c r="S375" s="58">
        <v>0</v>
      </c>
      <c r="T375" s="58">
        <v>0</v>
      </c>
      <c r="U375" s="58">
        <v>0</v>
      </c>
      <c r="V375" s="58">
        <f>SUMIF('JUNE (물량흐름)'!$C$13:$C$493,'In-out-bal products (155)(완성제품)'!B375,'JUNE (물량흐름)'!$W$13:$W$493)</f>
        <v>579</v>
      </c>
      <c r="W375" s="58">
        <f t="shared" si="162"/>
        <v>59913.51986183074</v>
      </c>
      <c r="X375" s="58">
        <f t="shared" si="163"/>
        <v>34689928</v>
      </c>
      <c r="Y375" s="58">
        <f>SUMIF('JUNE (물량흐름)'!$C$13:$C$488,'In-out-bal products (155)(완성제품)'!B375,'JUNE (물량흐름)'!$X$13:$X$488)</f>
        <v>0</v>
      </c>
      <c r="Z375" s="58">
        <f t="shared" si="164"/>
        <v>0</v>
      </c>
      <c r="AA375" s="58">
        <f t="shared" si="165"/>
        <v>0</v>
      </c>
      <c r="AB375" s="58"/>
      <c r="AC375" s="58"/>
      <c r="AD375" s="61"/>
      <c r="AE375" s="58">
        <f t="shared" si="166"/>
        <v>0</v>
      </c>
      <c r="AF375" s="58">
        <f t="shared" si="167"/>
        <v>0</v>
      </c>
      <c r="AG375" s="61">
        <f t="shared" si="168"/>
        <v>0</v>
      </c>
      <c r="AH375" s="58">
        <v>0</v>
      </c>
      <c r="AI375" s="58">
        <v>0</v>
      </c>
      <c r="AJ375" s="61">
        <v>0</v>
      </c>
      <c r="AK375" s="58"/>
      <c r="AL375" s="58"/>
      <c r="AM375" s="61"/>
      <c r="AN375" s="61">
        <f t="shared" si="185"/>
        <v>579</v>
      </c>
      <c r="AO375" s="58">
        <f t="shared" si="169"/>
        <v>59913.51986183074</v>
      </c>
      <c r="AP375" s="61">
        <f t="shared" si="170"/>
        <v>34689928</v>
      </c>
      <c r="AQ375" s="58">
        <f t="shared" si="171"/>
        <v>13</v>
      </c>
      <c r="AR375" s="58">
        <f t="shared" si="172"/>
        <v>59913.538461538461</v>
      </c>
      <c r="AS375" s="58">
        <f t="shared" si="173"/>
        <v>778876</v>
      </c>
      <c r="AT375" s="58">
        <f>ROUND(SUMIF('JUNE (물량흐름)'!$C$13:$C$502,'In-out-bal products (155)(완성제품)'!B375,'JUNE (물량흐름)'!$AB$13:$AB$502),0)</f>
        <v>0</v>
      </c>
      <c r="AU375" s="58">
        <f t="shared" si="174"/>
        <v>0</v>
      </c>
      <c r="AV375" s="58">
        <f>ROUND(SUMIF('JUNE (물량흐름)'!$C$13:$C$502,'In-out-bal products (155)(완성제품)'!B375,'JUNE (물량흐름)'!$AC$13:$AC$502),0)</f>
        <v>13</v>
      </c>
      <c r="AW375" s="58">
        <f t="shared" si="175"/>
        <v>778876</v>
      </c>
      <c r="AX375" s="376">
        <f t="shared" si="176"/>
        <v>0</v>
      </c>
      <c r="AY375" s="377">
        <f t="shared" si="177"/>
        <v>0</v>
      </c>
      <c r="AZ375" s="377">
        <f t="shared" si="178"/>
        <v>0</v>
      </c>
      <c r="BA375" s="377">
        <f t="shared" si="179"/>
        <v>0</v>
      </c>
      <c r="BB375" s="377"/>
      <c r="BC375" s="377">
        <f t="shared" si="180"/>
        <v>0</v>
      </c>
      <c r="BD375" s="377">
        <f t="shared" si="181"/>
        <v>0</v>
      </c>
      <c r="BE375" s="377"/>
      <c r="BF375" s="377">
        <f t="shared" si="182"/>
        <v>0</v>
      </c>
      <c r="BG375" s="433">
        <f t="shared" si="183"/>
        <v>34689928</v>
      </c>
      <c r="BH375" s="434">
        <f t="shared" si="184"/>
        <v>0</v>
      </c>
    </row>
    <row r="376" spans="1:60" s="378" customFormat="1">
      <c r="A376" s="167">
        <v>371</v>
      </c>
      <c r="B376" s="253">
        <f>VLOOKUP(A376,'JUNE (물량흐름)'!$A$13:$C$493,3,0)</f>
        <v>468921</v>
      </c>
      <c r="C376" s="57" t="str">
        <f>VLOOKUP(A376,'JUNE (물량흐름)'!$A$13:$C$493,2,0)</f>
        <v>ANN TAYLOR</v>
      </c>
      <c r="D376" s="58">
        <f>IFERROR(VLOOKUP(B376,O.B.JUNE!$V$7:$Y$448,2,0),0)</f>
        <v>1428</v>
      </c>
      <c r="E376" s="58">
        <f>IFERROR(VLOOKUP(B376,O.B.JUNE!$V$7:$X$448,3,0),0)</f>
        <v>63854.731092436974</v>
      </c>
      <c r="F376" s="58">
        <f>IFERROR(VLOOKUP(B376,O.B.JUNE!$V$7:$Y$448,4,0),0)</f>
        <v>91184556</v>
      </c>
      <c r="G376" s="58">
        <f>SUMIF('JUNE (물량흐름)'!$C$13:$C$493,'In-out-bal products (155)(완성제품)'!B376,'JUNE (물량흐름)'!$V$13:$V$493)</f>
        <v>0</v>
      </c>
      <c r="H376" s="58">
        <f>SUMIF('JUNE (물량흐름)'!$C$13:$C$493,'In-out-bal products (155)(완성제품)'!B376,'JUNE (물량흐름)'!$T$13:$T$493)-SUMIF('JUNE (물량흐름)'!$C$13:$C$493,'In-out-bal products (155)(완성제품)'!B376,'JUNE (물량흐름)'!$Y$13:$Y$493)+SUMIF('JUNE (물량흐름)'!$C$13:$C$493,'In-out-bal products (155)(완성제품)'!B376,'JUNE (물량흐름)'!$U$13:$U$493)</f>
        <v>87</v>
      </c>
      <c r="I376" s="58">
        <f t="shared" si="156"/>
        <v>63854.735632183911</v>
      </c>
      <c r="J376" s="58">
        <f>SUMIF('Direct labour(직접노무비)'!$C$12:$C$503,'In-out-bal products (155)(완성제품)'!B376,'Direct labour(직접노무비)'!$Q$12:$Q$503)</f>
        <v>1884431</v>
      </c>
      <c r="K376" s="59">
        <f>SUMIF('Overhead exp(제조경비)'!$C$12:$C$503,'In-out-bal products (155)(완성제품)'!B376,'Overhead exp(제조경비)'!$Q$12:$Q$503)</f>
        <v>3670931</v>
      </c>
      <c r="L376" s="58">
        <f t="shared" si="157"/>
        <v>5555362</v>
      </c>
      <c r="M376" s="58">
        <f>SUMIF('JUNE (물량흐름)'!$C$13:$C$488,'In-out-bal products (155)(완성제품)'!B376,'JUNE (물량흐름)'!$Y$13:$Y$488)</f>
        <v>11</v>
      </c>
      <c r="N376" s="58">
        <f t="shared" si="158"/>
        <v>63854.727272727272</v>
      </c>
      <c r="O376" s="58">
        <f>SUMIF('Direct labour(직접노무비)'!$C$12:$C$503,'In-out-bal products (155)(완성제품)'!B376,'Direct labour(직접노무비)'!$U$12:$U$503)+SUMIF('Overhead exp(제조경비)'!$C$12:$C$503,'In-out-bal products (155)(완성제품)'!B376,'Overhead exp(제조경비)'!$U$12:$U$503)</f>
        <v>702402</v>
      </c>
      <c r="P376" s="60">
        <f t="shared" si="159"/>
        <v>98</v>
      </c>
      <c r="Q376" s="60">
        <f t="shared" si="160"/>
        <v>63854.734693877552</v>
      </c>
      <c r="R376" s="60">
        <f t="shared" si="161"/>
        <v>6257764</v>
      </c>
      <c r="S376" s="58">
        <v>0</v>
      </c>
      <c r="T376" s="58">
        <v>0</v>
      </c>
      <c r="U376" s="58">
        <v>0</v>
      </c>
      <c r="V376" s="58">
        <f>SUMIF('JUNE (물량흐름)'!$C$13:$C$493,'In-out-bal products (155)(완성제품)'!B376,'JUNE (물량흐름)'!$W$13:$W$493)</f>
        <v>1469</v>
      </c>
      <c r="W376" s="58">
        <f t="shared" si="162"/>
        <v>63854.731109598368</v>
      </c>
      <c r="X376" s="58">
        <f t="shared" si="163"/>
        <v>93802600</v>
      </c>
      <c r="Y376" s="58">
        <f>SUMIF('JUNE (물량흐름)'!$C$13:$C$488,'In-out-bal products (155)(완성제품)'!B376,'JUNE (물량흐름)'!$X$13:$X$488)</f>
        <v>0</v>
      </c>
      <c r="Z376" s="58">
        <f t="shared" si="164"/>
        <v>0</v>
      </c>
      <c r="AA376" s="58">
        <f t="shared" si="165"/>
        <v>0</v>
      </c>
      <c r="AB376" s="58"/>
      <c r="AC376" s="58"/>
      <c r="AD376" s="61"/>
      <c r="AE376" s="58">
        <f t="shared" si="166"/>
        <v>11</v>
      </c>
      <c r="AF376" s="58">
        <f t="shared" si="167"/>
        <v>63854.727272727272</v>
      </c>
      <c r="AG376" s="61">
        <f t="shared" si="168"/>
        <v>702402</v>
      </c>
      <c r="AH376" s="58">
        <v>0</v>
      </c>
      <c r="AI376" s="58">
        <v>0</v>
      </c>
      <c r="AJ376" s="61">
        <v>0</v>
      </c>
      <c r="AK376" s="58"/>
      <c r="AL376" s="58"/>
      <c r="AM376" s="61"/>
      <c r="AN376" s="61">
        <f t="shared" si="185"/>
        <v>1480</v>
      </c>
      <c r="AO376" s="58">
        <f t="shared" si="169"/>
        <v>63854.731081081081</v>
      </c>
      <c r="AP376" s="61">
        <f t="shared" si="170"/>
        <v>94505002</v>
      </c>
      <c r="AQ376" s="58">
        <f t="shared" si="171"/>
        <v>46</v>
      </c>
      <c r="AR376" s="58">
        <f t="shared" si="172"/>
        <v>63854.739130434784</v>
      </c>
      <c r="AS376" s="58">
        <f t="shared" si="173"/>
        <v>2937318</v>
      </c>
      <c r="AT376" s="58">
        <f>ROUND(SUMIF('JUNE (물량흐름)'!$C$13:$C$502,'In-out-bal products (155)(완성제품)'!B376,'JUNE (물량흐름)'!$AB$13:$AB$502),0)</f>
        <v>0</v>
      </c>
      <c r="AU376" s="58">
        <f t="shared" si="174"/>
        <v>0</v>
      </c>
      <c r="AV376" s="58">
        <f>ROUND(SUMIF('JUNE (물량흐름)'!$C$13:$C$502,'In-out-bal products (155)(완성제품)'!B376,'JUNE (물량흐름)'!$AC$13:$AC$502),0)</f>
        <v>46</v>
      </c>
      <c r="AW376" s="58">
        <f t="shared" si="175"/>
        <v>2937318</v>
      </c>
      <c r="AX376" s="376">
        <f t="shared" si="176"/>
        <v>0</v>
      </c>
      <c r="AY376" s="377">
        <f t="shared" si="177"/>
        <v>0</v>
      </c>
      <c r="AZ376" s="377">
        <f t="shared" si="178"/>
        <v>0</v>
      </c>
      <c r="BA376" s="377">
        <f t="shared" si="179"/>
        <v>0</v>
      </c>
      <c r="BB376" s="377"/>
      <c r="BC376" s="377">
        <f t="shared" si="180"/>
        <v>0</v>
      </c>
      <c r="BD376" s="377">
        <f t="shared" si="181"/>
        <v>0</v>
      </c>
      <c r="BE376" s="377"/>
      <c r="BF376" s="377">
        <f t="shared" si="182"/>
        <v>0</v>
      </c>
      <c r="BG376" s="433">
        <f t="shared" si="183"/>
        <v>94505002</v>
      </c>
      <c r="BH376" s="434">
        <f t="shared" si="184"/>
        <v>0</v>
      </c>
    </row>
    <row r="377" spans="1:60" s="378" customFormat="1">
      <c r="A377" s="167">
        <v>372</v>
      </c>
      <c r="B377" s="253">
        <f>VLOOKUP(A377,'JUNE (물량흐름)'!$A$13:$C$493,3,0)</f>
        <v>469052</v>
      </c>
      <c r="C377" s="57" t="str">
        <f>VLOOKUP(A377,'JUNE (물량흐름)'!$A$13:$C$493,2,0)</f>
        <v>ANN TAYLOR</v>
      </c>
      <c r="D377" s="58">
        <f>IFERROR(VLOOKUP(B377,O.B.JUNE!$V$7:$Y$448,2,0),0)</f>
        <v>615</v>
      </c>
      <c r="E377" s="58">
        <f>IFERROR(VLOOKUP(B377,O.B.JUNE!$V$7:$X$448,3,0),0)</f>
        <v>28855.967479674797</v>
      </c>
      <c r="F377" s="58">
        <f>IFERROR(VLOOKUP(B377,O.B.JUNE!$V$7:$Y$448,4,0),0)</f>
        <v>17746420</v>
      </c>
      <c r="G377" s="58">
        <f>SUMIF('JUNE (물량흐름)'!$C$13:$C$493,'In-out-bal products (155)(완성제품)'!B377,'JUNE (물량흐름)'!$V$13:$V$493)</f>
        <v>0</v>
      </c>
      <c r="H377" s="58">
        <f>SUMIF('JUNE (물량흐름)'!$C$13:$C$493,'In-out-bal products (155)(완성제품)'!B377,'JUNE (물량흐름)'!$T$13:$T$493)-SUMIF('JUNE (물량흐름)'!$C$13:$C$493,'In-out-bal products (155)(완성제품)'!B377,'JUNE (물량흐름)'!$Y$13:$Y$493)+SUMIF('JUNE (물량흐름)'!$C$13:$C$493,'In-out-bal products (155)(완성제품)'!B377,'JUNE (물량흐름)'!$U$13:$U$493)</f>
        <v>1</v>
      </c>
      <c r="I377" s="58">
        <f t="shared" si="156"/>
        <v>28856</v>
      </c>
      <c r="J377" s="58">
        <f>SUMIF('Direct labour(직접노무비)'!$C$12:$C$503,'In-out-bal products (155)(완성제품)'!B377,'Direct labour(직접노무비)'!$Q$12:$Q$503)</f>
        <v>9819</v>
      </c>
      <c r="K377" s="59">
        <f>SUMIF('Overhead exp(제조경비)'!$C$12:$C$503,'In-out-bal products (155)(완성제품)'!B377,'Overhead exp(제조경비)'!$Q$12:$Q$503)</f>
        <v>19037</v>
      </c>
      <c r="L377" s="58">
        <f t="shared" si="157"/>
        <v>28856</v>
      </c>
      <c r="M377" s="58">
        <f>SUMIF('JUNE (물량흐름)'!$C$13:$C$488,'In-out-bal products (155)(완성제품)'!B377,'JUNE (물량흐름)'!$Y$13:$Y$488)</f>
        <v>10</v>
      </c>
      <c r="N377" s="58">
        <f t="shared" si="158"/>
        <v>28855.9</v>
      </c>
      <c r="O377" s="58">
        <f>SUMIF('Direct labour(직접노무비)'!$C$12:$C$503,'In-out-bal products (155)(완성제품)'!B377,'Direct labour(직접노무비)'!$U$12:$U$503)+SUMIF('Overhead exp(제조경비)'!$C$12:$C$503,'In-out-bal products (155)(완성제품)'!B377,'Overhead exp(제조경비)'!$U$12:$U$503)</f>
        <v>288559</v>
      </c>
      <c r="P377" s="60">
        <f t="shared" si="159"/>
        <v>11</v>
      </c>
      <c r="Q377" s="60">
        <f t="shared" si="160"/>
        <v>28855.909090909092</v>
      </c>
      <c r="R377" s="60">
        <f t="shared" si="161"/>
        <v>317415</v>
      </c>
      <c r="S377" s="58">
        <v>0</v>
      </c>
      <c r="T377" s="58">
        <v>0</v>
      </c>
      <c r="U377" s="58">
        <v>0</v>
      </c>
      <c r="V377" s="58">
        <f>SUMIF('JUNE (물량흐름)'!$C$13:$C$493,'In-out-bal products (155)(완성제품)'!B377,'JUNE (물량흐름)'!$W$13:$W$493)</f>
        <v>616</v>
      </c>
      <c r="W377" s="58">
        <f t="shared" si="162"/>
        <v>28855.967532467534</v>
      </c>
      <c r="X377" s="58">
        <f t="shared" si="163"/>
        <v>17775276</v>
      </c>
      <c r="Y377" s="58">
        <f>SUMIF('JUNE (물량흐름)'!$C$13:$C$488,'In-out-bal products (155)(완성제품)'!B377,'JUNE (물량흐름)'!$X$13:$X$488)</f>
        <v>0</v>
      </c>
      <c r="Z377" s="58">
        <f t="shared" si="164"/>
        <v>0</v>
      </c>
      <c r="AA377" s="58">
        <f t="shared" si="165"/>
        <v>0</v>
      </c>
      <c r="AB377" s="58"/>
      <c r="AC377" s="58"/>
      <c r="AD377" s="61"/>
      <c r="AE377" s="58">
        <f t="shared" si="166"/>
        <v>10</v>
      </c>
      <c r="AF377" s="58">
        <f t="shared" si="167"/>
        <v>28855.9</v>
      </c>
      <c r="AG377" s="61">
        <f t="shared" si="168"/>
        <v>288559</v>
      </c>
      <c r="AH377" s="58">
        <v>0</v>
      </c>
      <c r="AI377" s="58">
        <v>0</v>
      </c>
      <c r="AJ377" s="61">
        <v>0</v>
      </c>
      <c r="AK377" s="58"/>
      <c r="AL377" s="58"/>
      <c r="AM377" s="61"/>
      <c r="AN377" s="61">
        <f t="shared" si="185"/>
        <v>626</v>
      </c>
      <c r="AO377" s="58">
        <f t="shared" si="169"/>
        <v>28855.966453674122</v>
      </c>
      <c r="AP377" s="61">
        <f t="shared" si="170"/>
        <v>18063835</v>
      </c>
      <c r="AQ377" s="58">
        <f t="shared" si="171"/>
        <v>0</v>
      </c>
      <c r="AR377" s="58">
        <f t="shared" si="172"/>
        <v>0</v>
      </c>
      <c r="AS377" s="58">
        <f t="shared" si="173"/>
        <v>0</v>
      </c>
      <c r="AT377" s="58">
        <f>ROUND(SUMIF('JUNE (물량흐름)'!$C$13:$C$502,'In-out-bal products (155)(완성제품)'!B377,'JUNE (물량흐름)'!$AB$13:$AB$502),0)</f>
        <v>0</v>
      </c>
      <c r="AU377" s="58">
        <f t="shared" si="174"/>
        <v>0</v>
      </c>
      <c r="AV377" s="58">
        <f>ROUND(SUMIF('JUNE (물량흐름)'!$C$13:$C$502,'In-out-bal products (155)(완성제품)'!B377,'JUNE (물량흐름)'!$AC$13:$AC$502),0)</f>
        <v>0</v>
      </c>
      <c r="AW377" s="58">
        <f t="shared" si="175"/>
        <v>0</v>
      </c>
      <c r="AX377" s="376">
        <f t="shared" si="176"/>
        <v>0</v>
      </c>
      <c r="AY377" s="377">
        <f t="shared" si="177"/>
        <v>0</v>
      </c>
      <c r="AZ377" s="377">
        <f t="shared" si="178"/>
        <v>0</v>
      </c>
      <c r="BA377" s="377">
        <f t="shared" si="179"/>
        <v>0</v>
      </c>
      <c r="BB377" s="377"/>
      <c r="BC377" s="377">
        <f t="shared" si="180"/>
        <v>0</v>
      </c>
      <c r="BD377" s="377">
        <f t="shared" si="181"/>
        <v>0</v>
      </c>
      <c r="BE377" s="377"/>
      <c r="BF377" s="377">
        <f t="shared" si="182"/>
        <v>0</v>
      </c>
      <c r="BG377" s="433">
        <f t="shared" si="183"/>
        <v>18063835</v>
      </c>
      <c r="BH377" s="434">
        <f t="shared" si="184"/>
        <v>0</v>
      </c>
    </row>
    <row r="378" spans="1:60" s="378" customFormat="1">
      <c r="A378" s="167">
        <v>373</v>
      </c>
      <c r="B378" s="253">
        <f>VLOOKUP(A378,'JUNE (물량흐름)'!$A$13:$C$493,3,0)</f>
        <v>469493</v>
      </c>
      <c r="C378" s="57" t="str">
        <f>VLOOKUP(A378,'JUNE (물량흐름)'!$A$13:$C$493,2,0)</f>
        <v>ANN TAYLOR</v>
      </c>
      <c r="D378" s="58">
        <f>IFERROR(VLOOKUP(B378,O.B.JUNE!$V$7:$Y$448,2,0),0)</f>
        <v>230</v>
      </c>
      <c r="E378" s="58">
        <f>IFERROR(VLOOKUP(B378,O.B.JUNE!$V$7:$X$448,3,0),0)</f>
        <v>60252.169565217395</v>
      </c>
      <c r="F378" s="58">
        <f>IFERROR(VLOOKUP(B378,O.B.JUNE!$V$7:$Y$448,4,0),0)</f>
        <v>13857999</v>
      </c>
      <c r="G378" s="58">
        <f>SUMIF('JUNE (물량흐름)'!$C$13:$C$493,'In-out-bal products (155)(완성제품)'!B378,'JUNE (물량흐름)'!$V$13:$V$493)</f>
        <v>0</v>
      </c>
      <c r="H378" s="58">
        <f>SUMIF('JUNE (물량흐름)'!$C$13:$C$493,'In-out-bal products (155)(완성제품)'!B378,'JUNE (물량흐름)'!$T$13:$T$493)-SUMIF('JUNE (물량흐름)'!$C$13:$C$493,'In-out-bal products (155)(완성제품)'!B378,'JUNE (물량흐름)'!$Y$13:$Y$493)+SUMIF('JUNE (물량흐름)'!$C$13:$C$493,'In-out-bal products (155)(완성제품)'!B378,'JUNE (물량흐름)'!$U$13:$U$493)</f>
        <v>386</v>
      </c>
      <c r="I378" s="58">
        <f t="shared" si="156"/>
        <v>60252.168393782384</v>
      </c>
      <c r="J378" s="58">
        <f>SUMIF('Direct labour(직접노무비)'!$C$12:$C$503,'In-out-bal products (155)(완성제품)'!B378,'Direct labour(직접노무비)'!$Q$12:$Q$503)</f>
        <v>7894838</v>
      </c>
      <c r="K378" s="59">
        <f>SUMIF('Overhead exp(제조경비)'!$C$12:$C$503,'In-out-bal products (155)(완성제품)'!B378,'Overhead exp(제조경비)'!$Q$12:$Q$503)</f>
        <v>15362499</v>
      </c>
      <c r="L378" s="58">
        <f t="shared" si="157"/>
        <v>23257337</v>
      </c>
      <c r="M378" s="58">
        <f>SUMIF('JUNE (물량흐름)'!$C$13:$C$488,'In-out-bal products (155)(완성제품)'!B378,'JUNE (물량흐름)'!$Y$13:$Y$488)</f>
        <v>6</v>
      </c>
      <c r="N378" s="58">
        <f t="shared" si="158"/>
        <v>60252.166666666664</v>
      </c>
      <c r="O378" s="58">
        <f>SUMIF('Direct labour(직접노무비)'!$C$12:$C$503,'In-out-bal products (155)(완성제품)'!B378,'Direct labour(직접노무비)'!$U$12:$U$503)+SUMIF('Overhead exp(제조경비)'!$C$12:$C$503,'In-out-bal products (155)(완성제품)'!B378,'Overhead exp(제조경비)'!$U$12:$U$503)</f>
        <v>361513</v>
      </c>
      <c r="P378" s="60">
        <f t="shared" si="159"/>
        <v>392</v>
      </c>
      <c r="Q378" s="60">
        <f t="shared" si="160"/>
        <v>60252.168367346938</v>
      </c>
      <c r="R378" s="60">
        <f t="shared" si="161"/>
        <v>23618850</v>
      </c>
      <c r="S378" s="58">
        <v>0</v>
      </c>
      <c r="T378" s="58">
        <v>0</v>
      </c>
      <c r="U378" s="58">
        <v>0</v>
      </c>
      <c r="V378" s="58">
        <f>SUMIF('JUNE (물량흐름)'!$C$13:$C$493,'In-out-bal products (155)(완성제품)'!B378,'JUNE (물량흐름)'!$W$13:$W$493)</f>
        <v>600</v>
      </c>
      <c r="W378" s="58">
        <f t="shared" si="162"/>
        <v>60252.168333333335</v>
      </c>
      <c r="X378" s="58">
        <f t="shared" si="163"/>
        <v>36151301</v>
      </c>
      <c r="Y378" s="58">
        <f>SUMIF('JUNE (물량흐름)'!$C$13:$C$488,'In-out-bal products (155)(완성제품)'!B378,'JUNE (물량흐름)'!$X$13:$X$488)</f>
        <v>0</v>
      </c>
      <c r="Z378" s="58">
        <f t="shared" si="164"/>
        <v>0</v>
      </c>
      <c r="AA378" s="58">
        <f t="shared" si="165"/>
        <v>0</v>
      </c>
      <c r="AB378" s="58"/>
      <c r="AC378" s="58"/>
      <c r="AD378" s="61"/>
      <c r="AE378" s="58">
        <f t="shared" si="166"/>
        <v>6</v>
      </c>
      <c r="AF378" s="58">
        <f t="shared" si="167"/>
        <v>60252.166666666664</v>
      </c>
      <c r="AG378" s="61">
        <f t="shared" si="168"/>
        <v>361513</v>
      </c>
      <c r="AH378" s="58">
        <v>0</v>
      </c>
      <c r="AI378" s="58">
        <v>0</v>
      </c>
      <c r="AJ378" s="61">
        <v>0</v>
      </c>
      <c r="AK378" s="58"/>
      <c r="AL378" s="58"/>
      <c r="AM378" s="61"/>
      <c r="AN378" s="61">
        <f t="shared" si="185"/>
        <v>606</v>
      </c>
      <c r="AO378" s="58">
        <f t="shared" si="169"/>
        <v>60252.168316831681</v>
      </c>
      <c r="AP378" s="61">
        <f t="shared" si="170"/>
        <v>36512814</v>
      </c>
      <c r="AQ378" s="58">
        <f t="shared" si="171"/>
        <v>16</v>
      </c>
      <c r="AR378" s="58">
        <f t="shared" si="172"/>
        <v>60252.1875</v>
      </c>
      <c r="AS378" s="58">
        <f t="shared" si="173"/>
        <v>964035</v>
      </c>
      <c r="AT378" s="58">
        <f>ROUND(SUMIF('JUNE (물량흐름)'!$C$13:$C$502,'In-out-bal products (155)(완성제품)'!B378,'JUNE (물량흐름)'!$AB$13:$AB$502),0)</f>
        <v>0</v>
      </c>
      <c r="AU378" s="58">
        <f t="shared" si="174"/>
        <v>0</v>
      </c>
      <c r="AV378" s="58">
        <f>ROUND(SUMIF('JUNE (물량흐름)'!$C$13:$C$502,'In-out-bal products (155)(완성제품)'!B378,'JUNE (물량흐름)'!$AC$13:$AC$502),0)</f>
        <v>16</v>
      </c>
      <c r="AW378" s="58">
        <f t="shared" si="175"/>
        <v>964035</v>
      </c>
      <c r="AX378" s="376">
        <f t="shared" si="176"/>
        <v>0</v>
      </c>
      <c r="AY378" s="377">
        <f t="shared" si="177"/>
        <v>0</v>
      </c>
      <c r="AZ378" s="377">
        <f t="shared" si="178"/>
        <v>0</v>
      </c>
      <c r="BA378" s="377">
        <f t="shared" si="179"/>
        <v>0</v>
      </c>
      <c r="BB378" s="377"/>
      <c r="BC378" s="377">
        <f t="shared" si="180"/>
        <v>0</v>
      </c>
      <c r="BD378" s="377">
        <f t="shared" si="181"/>
        <v>0</v>
      </c>
      <c r="BE378" s="377"/>
      <c r="BF378" s="377">
        <f t="shared" si="182"/>
        <v>0</v>
      </c>
      <c r="BG378" s="433">
        <f t="shared" si="183"/>
        <v>36512814</v>
      </c>
      <c r="BH378" s="434">
        <f t="shared" si="184"/>
        <v>0</v>
      </c>
    </row>
    <row r="379" spans="1:60" s="378" customFormat="1">
      <c r="A379" s="167">
        <v>374</v>
      </c>
      <c r="B379" s="253">
        <f>VLOOKUP(A379,'JUNE (물량흐름)'!$A$13:$C$493,3,0)</f>
        <v>470238</v>
      </c>
      <c r="C379" s="57" t="str">
        <f>VLOOKUP(A379,'JUNE (물량흐름)'!$A$13:$C$493,2,0)</f>
        <v>ANN TAYLOR</v>
      </c>
      <c r="D379" s="58">
        <f>IFERROR(VLOOKUP(B379,O.B.JUNE!$V$7:$Y$448,2,0),0)</f>
        <v>366</v>
      </c>
      <c r="E379" s="58">
        <f>IFERROR(VLOOKUP(B379,O.B.JUNE!$V$7:$X$448,3,0),0)</f>
        <v>28170.822404371585</v>
      </c>
      <c r="F379" s="58">
        <f>IFERROR(VLOOKUP(B379,O.B.JUNE!$V$7:$Y$448,4,0),0)</f>
        <v>10310521</v>
      </c>
      <c r="G379" s="58">
        <f>SUMIF('JUNE (물량흐름)'!$C$13:$C$493,'In-out-bal products (155)(완성제품)'!B379,'JUNE (물량흐름)'!$V$13:$V$493)</f>
        <v>0</v>
      </c>
      <c r="H379" s="58">
        <f>SUMIF('JUNE (물량흐름)'!$C$13:$C$493,'In-out-bal products (155)(완성제품)'!B379,'JUNE (물량흐름)'!$T$13:$T$493)-SUMIF('JUNE (물량흐름)'!$C$13:$C$493,'In-out-bal products (155)(완성제품)'!B379,'JUNE (물량흐름)'!$Y$13:$Y$493)+SUMIF('JUNE (물량흐름)'!$C$13:$C$493,'In-out-bal products (155)(완성제품)'!B379,'JUNE (물량흐름)'!$U$13:$U$493)</f>
        <v>0</v>
      </c>
      <c r="I379" s="58">
        <f t="shared" si="156"/>
        <v>0</v>
      </c>
      <c r="J379" s="58">
        <f>SUMIF('Direct labour(직접노무비)'!$C$12:$C$503,'In-out-bal products (155)(완성제품)'!B379,'Direct labour(직접노무비)'!$Q$12:$Q$503)</f>
        <v>0</v>
      </c>
      <c r="K379" s="59">
        <f>SUMIF('Overhead exp(제조경비)'!$C$12:$C$503,'In-out-bal products (155)(완성제품)'!B379,'Overhead exp(제조경비)'!$Q$12:$Q$503)</f>
        <v>0</v>
      </c>
      <c r="L379" s="58">
        <f t="shared" si="157"/>
        <v>0</v>
      </c>
      <c r="M379" s="58">
        <f>SUMIF('JUNE (물량흐름)'!$C$13:$C$488,'In-out-bal products (155)(완성제품)'!B379,'JUNE (물량흐름)'!$Y$13:$Y$488)</f>
        <v>12</v>
      </c>
      <c r="N379" s="58">
        <f t="shared" si="158"/>
        <v>28170.833333333332</v>
      </c>
      <c r="O379" s="58">
        <f>SUMIF('Direct labour(직접노무비)'!$C$12:$C$503,'In-out-bal products (155)(완성제품)'!B379,'Direct labour(직접노무비)'!$U$12:$U$503)+SUMIF('Overhead exp(제조경비)'!$C$12:$C$503,'In-out-bal products (155)(완성제품)'!B379,'Overhead exp(제조경비)'!$U$12:$U$503)</f>
        <v>338050</v>
      </c>
      <c r="P379" s="60">
        <f t="shared" si="159"/>
        <v>12</v>
      </c>
      <c r="Q379" s="60">
        <f t="shared" si="160"/>
        <v>28170.833333333332</v>
      </c>
      <c r="R379" s="60">
        <f t="shared" si="161"/>
        <v>338050</v>
      </c>
      <c r="S379" s="58">
        <v>0</v>
      </c>
      <c r="T379" s="58">
        <v>0</v>
      </c>
      <c r="U379" s="58">
        <v>0</v>
      </c>
      <c r="V379" s="58">
        <f>SUMIF('JUNE (물량흐름)'!$C$13:$C$493,'In-out-bal products (155)(완성제품)'!B379,'JUNE (물량흐름)'!$W$13:$W$493)</f>
        <v>300</v>
      </c>
      <c r="W379" s="58">
        <f t="shared" si="162"/>
        <v>28170.823333333334</v>
      </c>
      <c r="X379" s="58">
        <f t="shared" si="163"/>
        <v>8451247</v>
      </c>
      <c r="Y379" s="58">
        <f>SUMIF('JUNE (물량흐름)'!$C$13:$C$488,'In-out-bal products (155)(완성제품)'!B379,'JUNE (물량흐름)'!$X$13:$X$488)</f>
        <v>0</v>
      </c>
      <c r="Z379" s="58">
        <f t="shared" si="164"/>
        <v>0</v>
      </c>
      <c r="AA379" s="58">
        <f t="shared" si="165"/>
        <v>0</v>
      </c>
      <c r="AB379" s="58"/>
      <c r="AC379" s="58"/>
      <c r="AD379" s="61"/>
      <c r="AE379" s="58">
        <f t="shared" si="166"/>
        <v>12</v>
      </c>
      <c r="AF379" s="58">
        <f t="shared" si="167"/>
        <v>28170.833333333332</v>
      </c>
      <c r="AG379" s="61">
        <f t="shared" si="168"/>
        <v>338050</v>
      </c>
      <c r="AH379" s="58">
        <v>0</v>
      </c>
      <c r="AI379" s="58">
        <v>0</v>
      </c>
      <c r="AJ379" s="61">
        <v>0</v>
      </c>
      <c r="AK379" s="58"/>
      <c r="AL379" s="58"/>
      <c r="AM379" s="61"/>
      <c r="AN379" s="61">
        <f t="shared" si="185"/>
        <v>312</v>
      </c>
      <c r="AO379" s="58">
        <f t="shared" si="169"/>
        <v>28170.823717948719</v>
      </c>
      <c r="AP379" s="61">
        <f t="shared" si="170"/>
        <v>8789297</v>
      </c>
      <c r="AQ379" s="58">
        <f t="shared" si="171"/>
        <v>66</v>
      </c>
      <c r="AR379" s="58">
        <f t="shared" si="172"/>
        <v>28170.81818181818</v>
      </c>
      <c r="AS379" s="58">
        <f t="shared" si="173"/>
        <v>1859274</v>
      </c>
      <c r="AT379" s="58">
        <f>ROUND(SUMIF('JUNE (물량흐름)'!$C$13:$C$502,'In-out-bal products (155)(완성제품)'!B379,'JUNE (물량흐름)'!$AB$13:$AB$502),0)</f>
        <v>0</v>
      </c>
      <c r="AU379" s="58">
        <f t="shared" si="174"/>
        <v>0</v>
      </c>
      <c r="AV379" s="58">
        <f>ROUND(SUMIF('JUNE (물량흐름)'!$C$13:$C$502,'In-out-bal products (155)(완성제품)'!B379,'JUNE (물량흐름)'!$AC$13:$AC$502),0)</f>
        <v>66</v>
      </c>
      <c r="AW379" s="58">
        <f t="shared" si="175"/>
        <v>1859274</v>
      </c>
      <c r="AX379" s="376">
        <f t="shared" si="176"/>
        <v>0</v>
      </c>
      <c r="AY379" s="377">
        <f t="shared" si="177"/>
        <v>0</v>
      </c>
      <c r="AZ379" s="377">
        <f t="shared" si="178"/>
        <v>0</v>
      </c>
      <c r="BA379" s="377">
        <f t="shared" si="179"/>
        <v>0</v>
      </c>
      <c r="BB379" s="377"/>
      <c r="BC379" s="377">
        <f t="shared" si="180"/>
        <v>0</v>
      </c>
      <c r="BD379" s="377">
        <f t="shared" si="181"/>
        <v>0</v>
      </c>
      <c r="BE379" s="377"/>
      <c r="BF379" s="377">
        <f t="shared" si="182"/>
        <v>0</v>
      </c>
      <c r="BG379" s="433">
        <f t="shared" si="183"/>
        <v>8789297</v>
      </c>
      <c r="BH379" s="434">
        <f t="shared" si="184"/>
        <v>0</v>
      </c>
    </row>
    <row r="380" spans="1:60" s="378" customFormat="1">
      <c r="A380" s="167">
        <v>375</v>
      </c>
      <c r="B380" s="253">
        <f>VLOOKUP(A380,'JUNE (물량흐름)'!$A$13:$C$493,3,0)</f>
        <v>470342</v>
      </c>
      <c r="C380" s="57" t="str">
        <f>VLOOKUP(A380,'JUNE (물량흐름)'!$A$13:$C$493,2,0)</f>
        <v>ANN TAYLOR</v>
      </c>
      <c r="D380" s="58">
        <f>IFERROR(VLOOKUP(B380,O.B.JUNE!$V$7:$Y$448,2,0),0)</f>
        <v>1125</v>
      </c>
      <c r="E380" s="58">
        <f>IFERROR(VLOOKUP(B380,O.B.JUNE!$V$7:$X$448,3,0),0)</f>
        <v>29476.066666666666</v>
      </c>
      <c r="F380" s="58">
        <f>IFERROR(VLOOKUP(B380,O.B.JUNE!$V$7:$Y$448,4,0),0)</f>
        <v>33160575</v>
      </c>
      <c r="G380" s="58">
        <f>SUMIF('JUNE (물량흐름)'!$C$13:$C$493,'In-out-bal products (155)(완성제품)'!B380,'JUNE (물량흐름)'!$V$13:$V$493)</f>
        <v>0</v>
      </c>
      <c r="H380" s="58">
        <f>SUMIF('JUNE (물량흐름)'!$C$13:$C$493,'In-out-bal products (155)(완성제품)'!B380,'JUNE (물량흐름)'!$T$13:$T$493)-SUMIF('JUNE (물량흐름)'!$C$13:$C$493,'In-out-bal products (155)(완성제품)'!B380,'JUNE (물량흐름)'!$Y$13:$Y$493)+SUMIF('JUNE (물량흐름)'!$C$13:$C$493,'In-out-bal products (155)(완성제품)'!B380,'JUNE (물량흐름)'!$U$13:$U$493)</f>
        <v>0</v>
      </c>
      <c r="I380" s="58">
        <f t="shared" si="156"/>
        <v>0</v>
      </c>
      <c r="J380" s="58">
        <f>SUMIF('Direct labour(직접노무비)'!$C$12:$C$503,'In-out-bal products (155)(완성제품)'!B380,'Direct labour(직접노무비)'!$Q$12:$Q$503)</f>
        <v>0</v>
      </c>
      <c r="K380" s="59">
        <f>SUMIF('Overhead exp(제조경비)'!$C$12:$C$503,'In-out-bal products (155)(완성제품)'!B380,'Overhead exp(제조경비)'!$Q$12:$Q$503)</f>
        <v>0</v>
      </c>
      <c r="L380" s="58">
        <f t="shared" si="157"/>
        <v>0</v>
      </c>
      <c r="M380" s="58">
        <f>SUMIF('JUNE (물량흐름)'!$C$13:$C$488,'In-out-bal products (155)(완성제품)'!B380,'JUNE (물량흐름)'!$Y$13:$Y$488)</f>
        <v>0</v>
      </c>
      <c r="N380" s="58">
        <f t="shared" si="158"/>
        <v>0</v>
      </c>
      <c r="O380" s="58">
        <f>SUMIF('Direct labour(직접노무비)'!$C$12:$C$503,'In-out-bal products (155)(완성제품)'!B380,'Direct labour(직접노무비)'!$U$12:$U$503)+SUMIF('Overhead exp(제조경비)'!$C$12:$C$503,'In-out-bal products (155)(완성제품)'!B380,'Overhead exp(제조경비)'!$U$12:$U$503)</f>
        <v>0</v>
      </c>
      <c r="P380" s="60">
        <f t="shared" si="159"/>
        <v>0</v>
      </c>
      <c r="Q380" s="60">
        <f t="shared" si="160"/>
        <v>0</v>
      </c>
      <c r="R380" s="60">
        <f t="shared" si="161"/>
        <v>0</v>
      </c>
      <c r="S380" s="58">
        <v>0</v>
      </c>
      <c r="T380" s="58">
        <v>0</v>
      </c>
      <c r="U380" s="58">
        <v>0</v>
      </c>
      <c r="V380" s="58">
        <f>SUMIF('JUNE (물량흐름)'!$C$13:$C$493,'In-out-bal products (155)(완성제품)'!B380,'JUNE (물량흐름)'!$W$13:$W$493)</f>
        <v>732</v>
      </c>
      <c r="W380" s="58">
        <f t="shared" si="162"/>
        <v>29476.066939890712</v>
      </c>
      <c r="X380" s="58">
        <f t="shared" si="163"/>
        <v>21576481</v>
      </c>
      <c r="Y380" s="58">
        <f>SUMIF('JUNE (물량흐름)'!$C$13:$C$488,'In-out-bal products (155)(완성제품)'!B380,'JUNE (물량흐름)'!$X$13:$X$488)</f>
        <v>0</v>
      </c>
      <c r="Z380" s="58">
        <f t="shared" si="164"/>
        <v>0</v>
      </c>
      <c r="AA380" s="58">
        <f t="shared" si="165"/>
        <v>0</v>
      </c>
      <c r="AB380" s="58"/>
      <c r="AC380" s="58"/>
      <c r="AD380" s="61"/>
      <c r="AE380" s="58">
        <f t="shared" si="166"/>
        <v>0</v>
      </c>
      <c r="AF380" s="58">
        <f t="shared" si="167"/>
        <v>0</v>
      </c>
      <c r="AG380" s="61">
        <f t="shared" si="168"/>
        <v>0</v>
      </c>
      <c r="AH380" s="58">
        <v>0</v>
      </c>
      <c r="AI380" s="58">
        <v>0</v>
      </c>
      <c r="AJ380" s="61">
        <v>0</v>
      </c>
      <c r="AK380" s="58"/>
      <c r="AL380" s="58"/>
      <c r="AM380" s="61"/>
      <c r="AN380" s="61">
        <f t="shared" si="185"/>
        <v>732</v>
      </c>
      <c r="AO380" s="58">
        <f t="shared" si="169"/>
        <v>29476.066939890712</v>
      </c>
      <c r="AP380" s="61">
        <f t="shared" si="170"/>
        <v>21576481</v>
      </c>
      <c r="AQ380" s="58">
        <f t="shared" si="171"/>
        <v>393</v>
      </c>
      <c r="AR380" s="58">
        <f t="shared" si="172"/>
        <v>29476.066157760815</v>
      </c>
      <c r="AS380" s="58">
        <f t="shared" si="173"/>
        <v>11584094</v>
      </c>
      <c r="AT380" s="58">
        <f>ROUND(SUMIF('JUNE (물량흐름)'!$C$13:$C$502,'In-out-bal products (155)(완성제품)'!B380,'JUNE (물량흐름)'!$AB$13:$AB$502),0)</f>
        <v>0</v>
      </c>
      <c r="AU380" s="58">
        <f t="shared" si="174"/>
        <v>0</v>
      </c>
      <c r="AV380" s="58">
        <f>ROUND(SUMIF('JUNE (물량흐름)'!$C$13:$C$502,'In-out-bal products (155)(완성제품)'!B380,'JUNE (물량흐름)'!$AC$13:$AC$502),0)</f>
        <v>393</v>
      </c>
      <c r="AW380" s="58">
        <f t="shared" si="175"/>
        <v>11584094</v>
      </c>
      <c r="AX380" s="376">
        <f t="shared" si="176"/>
        <v>0</v>
      </c>
      <c r="AY380" s="377">
        <f t="shared" si="177"/>
        <v>0</v>
      </c>
      <c r="AZ380" s="377">
        <f t="shared" si="178"/>
        <v>0</v>
      </c>
      <c r="BA380" s="377">
        <f t="shared" si="179"/>
        <v>0</v>
      </c>
      <c r="BB380" s="377"/>
      <c r="BC380" s="377">
        <f t="shared" si="180"/>
        <v>0</v>
      </c>
      <c r="BD380" s="377">
        <f t="shared" si="181"/>
        <v>0</v>
      </c>
      <c r="BE380" s="377"/>
      <c r="BF380" s="377">
        <f t="shared" si="182"/>
        <v>0</v>
      </c>
      <c r="BG380" s="433">
        <f t="shared" si="183"/>
        <v>21576481</v>
      </c>
      <c r="BH380" s="434">
        <f t="shared" si="184"/>
        <v>0</v>
      </c>
    </row>
    <row r="381" spans="1:60" s="378" customFormat="1">
      <c r="A381" s="167">
        <v>376</v>
      </c>
      <c r="B381" s="253">
        <f>VLOOKUP(A381,'JUNE (물량흐름)'!$A$13:$C$493,3,0)</f>
        <v>474049</v>
      </c>
      <c r="C381" s="57" t="str">
        <f>VLOOKUP(A381,'JUNE (물량흐름)'!$A$13:$C$493,2,0)</f>
        <v>ANN TAYLOR</v>
      </c>
      <c r="D381" s="58">
        <f>IFERROR(VLOOKUP(B381,O.B.JUNE!$V$7:$Y$448,2,0),0)</f>
        <v>107</v>
      </c>
      <c r="E381" s="58">
        <f>IFERROR(VLOOKUP(B381,O.B.JUNE!$V$7:$X$448,3,0),0)</f>
        <v>44169.93457943925</v>
      </c>
      <c r="F381" s="58">
        <f>IFERROR(VLOOKUP(B381,O.B.JUNE!$V$7:$Y$448,4,0),0)</f>
        <v>4726183</v>
      </c>
      <c r="G381" s="58">
        <f>SUMIF('JUNE (물량흐름)'!$C$13:$C$493,'In-out-bal products (155)(완성제품)'!B381,'JUNE (물량흐름)'!$V$13:$V$493)</f>
        <v>0</v>
      </c>
      <c r="H381" s="58">
        <f>SUMIF('JUNE (물량흐름)'!$C$13:$C$493,'In-out-bal products (155)(완성제품)'!B381,'JUNE (물량흐름)'!$T$13:$T$493)-SUMIF('JUNE (물량흐름)'!$C$13:$C$493,'In-out-bal products (155)(완성제품)'!B381,'JUNE (물량흐름)'!$Y$13:$Y$493)+SUMIF('JUNE (물량흐름)'!$C$13:$C$493,'In-out-bal products (155)(완성제품)'!B381,'JUNE (물량흐름)'!$U$13:$U$493)</f>
        <v>0</v>
      </c>
      <c r="I381" s="58">
        <f t="shared" si="156"/>
        <v>0</v>
      </c>
      <c r="J381" s="58">
        <f>SUMIF('Direct labour(직접노무비)'!$C$12:$C$503,'In-out-bal products (155)(완성제품)'!B381,'Direct labour(직접노무비)'!$Q$12:$Q$503)</f>
        <v>0</v>
      </c>
      <c r="K381" s="59">
        <f>SUMIF('Overhead exp(제조경비)'!$C$12:$C$503,'In-out-bal products (155)(완성제품)'!B381,'Overhead exp(제조경비)'!$Q$12:$Q$503)</f>
        <v>0</v>
      </c>
      <c r="L381" s="58">
        <f t="shared" si="157"/>
        <v>0</v>
      </c>
      <c r="M381" s="58">
        <f>SUMIF('JUNE (물량흐름)'!$C$13:$C$488,'In-out-bal products (155)(완성제품)'!B381,'JUNE (물량흐름)'!$Y$13:$Y$488)</f>
        <v>0</v>
      </c>
      <c r="N381" s="58">
        <f t="shared" si="158"/>
        <v>0</v>
      </c>
      <c r="O381" s="58">
        <f>SUMIF('Direct labour(직접노무비)'!$C$12:$C$503,'In-out-bal products (155)(완성제품)'!B381,'Direct labour(직접노무비)'!$U$12:$U$503)+SUMIF('Overhead exp(제조경비)'!$C$12:$C$503,'In-out-bal products (155)(완성제품)'!B381,'Overhead exp(제조경비)'!$U$12:$U$503)</f>
        <v>0</v>
      </c>
      <c r="P381" s="60">
        <f t="shared" si="159"/>
        <v>0</v>
      </c>
      <c r="Q381" s="60">
        <f t="shared" si="160"/>
        <v>0</v>
      </c>
      <c r="R381" s="60">
        <f t="shared" si="161"/>
        <v>0</v>
      </c>
      <c r="S381" s="58">
        <v>0</v>
      </c>
      <c r="T381" s="58">
        <v>0</v>
      </c>
      <c r="U381" s="58">
        <v>0</v>
      </c>
      <c r="V381" s="58">
        <f>SUMIF('JUNE (물량흐름)'!$C$13:$C$493,'In-out-bal products (155)(완성제품)'!B381,'JUNE (물량흐름)'!$W$13:$W$493)</f>
        <v>0</v>
      </c>
      <c r="W381" s="58">
        <f t="shared" si="162"/>
        <v>0</v>
      </c>
      <c r="X381" s="58">
        <f t="shared" si="163"/>
        <v>0</v>
      </c>
      <c r="Y381" s="58">
        <f>SUMIF('JUNE (물량흐름)'!$C$13:$C$488,'In-out-bal products (155)(완성제품)'!B381,'JUNE (물량흐름)'!$X$13:$X$488)</f>
        <v>0</v>
      </c>
      <c r="Z381" s="58">
        <f t="shared" si="164"/>
        <v>0</v>
      </c>
      <c r="AA381" s="58">
        <f t="shared" si="165"/>
        <v>0</v>
      </c>
      <c r="AB381" s="58"/>
      <c r="AC381" s="58"/>
      <c r="AD381" s="61"/>
      <c r="AE381" s="58">
        <f t="shared" si="166"/>
        <v>0</v>
      </c>
      <c r="AF381" s="58">
        <f t="shared" si="167"/>
        <v>0</v>
      </c>
      <c r="AG381" s="61">
        <f t="shared" si="168"/>
        <v>0</v>
      </c>
      <c r="AH381" s="58">
        <v>0</v>
      </c>
      <c r="AI381" s="58">
        <v>0</v>
      </c>
      <c r="AJ381" s="61">
        <v>0</v>
      </c>
      <c r="AK381" s="58"/>
      <c r="AL381" s="58"/>
      <c r="AM381" s="61"/>
      <c r="AN381" s="61">
        <f t="shared" si="185"/>
        <v>0</v>
      </c>
      <c r="AO381" s="58">
        <f t="shared" si="169"/>
        <v>0</v>
      </c>
      <c r="AP381" s="61">
        <f t="shared" si="170"/>
        <v>0</v>
      </c>
      <c r="AQ381" s="58">
        <f t="shared" si="171"/>
        <v>107</v>
      </c>
      <c r="AR381" s="58">
        <f t="shared" si="172"/>
        <v>44169.93457943925</v>
      </c>
      <c r="AS381" s="58">
        <f t="shared" si="173"/>
        <v>4726183</v>
      </c>
      <c r="AT381" s="58">
        <f>ROUND(SUMIF('JUNE (물량흐름)'!$C$13:$C$502,'In-out-bal products (155)(완성제품)'!B381,'JUNE (물량흐름)'!$AB$13:$AB$502),0)</f>
        <v>0</v>
      </c>
      <c r="AU381" s="58">
        <f t="shared" si="174"/>
        <v>0</v>
      </c>
      <c r="AV381" s="58">
        <f>ROUND(SUMIF('JUNE (물량흐름)'!$C$13:$C$502,'In-out-bal products (155)(완성제품)'!B381,'JUNE (물량흐름)'!$AC$13:$AC$502),0)</f>
        <v>107</v>
      </c>
      <c r="AW381" s="58">
        <f t="shared" si="175"/>
        <v>4726183</v>
      </c>
      <c r="AX381" s="376">
        <f t="shared" si="176"/>
        <v>0</v>
      </c>
      <c r="AY381" s="377">
        <f t="shared" si="177"/>
        <v>0</v>
      </c>
      <c r="AZ381" s="377">
        <f t="shared" si="178"/>
        <v>0</v>
      </c>
      <c r="BA381" s="377">
        <f t="shared" si="179"/>
        <v>0</v>
      </c>
      <c r="BB381" s="377"/>
      <c r="BC381" s="377">
        <f t="shared" si="180"/>
        <v>0</v>
      </c>
      <c r="BD381" s="377">
        <f t="shared" si="181"/>
        <v>0</v>
      </c>
      <c r="BE381" s="377"/>
      <c r="BF381" s="377">
        <f t="shared" si="182"/>
        <v>0</v>
      </c>
      <c r="BG381" s="433">
        <f t="shared" si="183"/>
        <v>0</v>
      </c>
      <c r="BH381" s="434">
        <f t="shared" si="184"/>
        <v>0</v>
      </c>
    </row>
    <row r="382" spans="1:60" s="378" customFormat="1">
      <c r="A382" s="167">
        <v>377</v>
      </c>
      <c r="B382" s="253">
        <f>VLOOKUP(A382,'JUNE (물량흐름)'!$A$13:$C$493,3,0)</f>
        <v>474816</v>
      </c>
      <c r="C382" s="57" t="str">
        <f>VLOOKUP(A382,'JUNE (물량흐름)'!$A$13:$C$493,2,0)</f>
        <v>ANN TAYLOR</v>
      </c>
      <c r="D382" s="58">
        <f>IFERROR(VLOOKUP(B382,O.B.JUNE!$V$7:$Y$448,2,0),0)</f>
        <v>891</v>
      </c>
      <c r="E382" s="58">
        <f>IFERROR(VLOOKUP(B382,O.B.JUNE!$V$7:$X$448,3,0),0)</f>
        <v>58839.878787878784</v>
      </c>
      <c r="F382" s="58">
        <f>IFERROR(VLOOKUP(B382,O.B.JUNE!$V$7:$Y$448,4,0),0)</f>
        <v>52426332</v>
      </c>
      <c r="G382" s="58">
        <f>SUMIF('JUNE (물량흐름)'!$C$13:$C$493,'In-out-bal products (155)(완성제품)'!B382,'JUNE (물량흐름)'!$V$13:$V$493)</f>
        <v>0</v>
      </c>
      <c r="H382" s="58">
        <f>SUMIF('JUNE (물량흐름)'!$C$13:$C$493,'In-out-bal products (155)(완성제품)'!B382,'JUNE (물량흐름)'!$T$13:$T$493)-SUMIF('JUNE (물량흐름)'!$C$13:$C$493,'In-out-bal products (155)(완성제품)'!B382,'JUNE (물량흐름)'!$Y$13:$Y$493)+SUMIF('JUNE (물량흐름)'!$C$13:$C$493,'In-out-bal products (155)(완성제품)'!B382,'JUNE (물량흐름)'!$U$13:$U$493)</f>
        <v>178</v>
      </c>
      <c r="I382" s="58">
        <f t="shared" si="156"/>
        <v>58839.876404494382</v>
      </c>
      <c r="J382" s="58">
        <f>SUMIF('Direct labour(직접노무비)'!$C$12:$C$503,'In-out-bal products (155)(완성제품)'!B382,'Direct labour(직접노무비)'!$Q$12:$Q$503)</f>
        <v>3645981</v>
      </c>
      <c r="K382" s="59">
        <f>SUMIF('Overhead exp(제조경비)'!$C$12:$C$503,'In-out-bal products (155)(완성제품)'!B382,'Overhead exp(제조경비)'!$Q$12:$Q$503)</f>
        <v>6827517</v>
      </c>
      <c r="L382" s="58">
        <f t="shared" si="157"/>
        <v>10473498</v>
      </c>
      <c r="M382" s="58">
        <f>SUMIF('JUNE (물량흐름)'!$C$13:$C$488,'In-out-bal products (155)(완성제품)'!B382,'JUNE (물량흐름)'!$Y$13:$Y$488)</f>
        <v>12</v>
      </c>
      <c r="N382" s="58">
        <f t="shared" si="158"/>
        <v>58839.833333333336</v>
      </c>
      <c r="O382" s="58">
        <f>SUMIF('Direct labour(직접노무비)'!$C$12:$C$503,'In-out-bal products (155)(완성제품)'!B382,'Direct labour(직접노무비)'!$U$12:$U$503)+SUMIF('Overhead exp(제조경비)'!$C$12:$C$503,'In-out-bal products (155)(완성제품)'!B382,'Overhead exp(제조경비)'!$U$12:$U$503)</f>
        <v>706078</v>
      </c>
      <c r="P382" s="60">
        <f t="shared" si="159"/>
        <v>190</v>
      </c>
      <c r="Q382" s="60">
        <f t="shared" si="160"/>
        <v>58839.873684210528</v>
      </c>
      <c r="R382" s="60">
        <f t="shared" si="161"/>
        <v>11179576</v>
      </c>
      <c r="S382" s="58">
        <v>0</v>
      </c>
      <c r="T382" s="58">
        <v>0</v>
      </c>
      <c r="U382" s="58">
        <v>0</v>
      </c>
      <c r="V382" s="58">
        <f>SUMIF('JUNE (물량흐름)'!$C$13:$C$493,'In-out-bal products (155)(완성제품)'!B382,'JUNE (물량흐름)'!$W$13:$W$493)</f>
        <v>1000</v>
      </c>
      <c r="W382" s="58">
        <f t="shared" si="162"/>
        <v>58839.877999999997</v>
      </c>
      <c r="X382" s="58">
        <f t="shared" si="163"/>
        <v>58839878</v>
      </c>
      <c r="Y382" s="58">
        <f>SUMIF('JUNE (물량흐름)'!$C$13:$C$488,'In-out-bal products (155)(완성제품)'!B382,'JUNE (물량흐름)'!$X$13:$X$488)</f>
        <v>0</v>
      </c>
      <c r="Z382" s="58">
        <f t="shared" si="164"/>
        <v>0</v>
      </c>
      <c r="AA382" s="58">
        <f t="shared" si="165"/>
        <v>0</v>
      </c>
      <c r="AB382" s="58"/>
      <c r="AC382" s="58"/>
      <c r="AD382" s="61"/>
      <c r="AE382" s="58">
        <f t="shared" si="166"/>
        <v>12</v>
      </c>
      <c r="AF382" s="58">
        <f t="shared" si="167"/>
        <v>58839.833333333336</v>
      </c>
      <c r="AG382" s="61">
        <f t="shared" si="168"/>
        <v>706078</v>
      </c>
      <c r="AH382" s="58">
        <v>0</v>
      </c>
      <c r="AI382" s="58">
        <v>0</v>
      </c>
      <c r="AJ382" s="61">
        <v>0</v>
      </c>
      <c r="AK382" s="58"/>
      <c r="AL382" s="58"/>
      <c r="AM382" s="61"/>
      <c r="AN382" s="61">
        <f t="shared" si="185"/>
        <v>1012</v>
      </c>
      <c r="AO382" s="58">
        <f t="shared" si="169"/>
        <v>58839.877470355728</v>
      </c>
      <c r="AP382" s="61">
        <f t="shared" si="170"/>
        <v>59545956</v>
      </c>
      <c r="AQ382" s="58">
        <f t="shared" si="171"/>
        <v>69</v>
      </c>
      <c r="AR382" s="58">
        <f t="shared" si="172"/>
        <v>58839.884057971016</v>
      </c>
      <c r="AS382" s="58">
        <f t="shared" si="173"/>
        <v>4059952</v>
      </c>
      <c r="AT382" s="58">
        <f>ROUND(SUMIF('JUNE (물량흐름)'!$C$13:$C$502,'In-out-bal products (155)(완성제품)'!B382,'JUNE (물량흐름)'!$AB$13:$AB$502),0)</f>
        <v>0</v>
      </c>
      <c r="AU382" s="58">
        <f t="shared" si="174"/>
        <v>0</v>
      </c>
      <c r="AV382" s="58">
        <f>ROUND(SUMIF('JUNE (물량흐름)'!$C$13:$C$502,'In-out-bal products (155)(완성제품)'!B382,'JUNE (물량흐름)'!$AC$13:$AC$502),0)</f>
        <v>69</v>
      </c>
      <c r="AW382" s="58">
        <f t="shared" si="175"/>
        <v>4059952</v>
      </c>
      <c r="AX382" s="376">
        <f t="shared" si="176"/>
        <v>0</v>
      </c>
      <c r="AY382" s="377">
        <f t="shared" si="177"/>
        <v>0</v>
      </c>
      <c r="AZ382" s="377">
        <f t="shared" si="178"/>
        <v>0</v>
      </c>
      <c r="BA382" s="377">
        <f t="shared" si="179"/>
        <v>0</v>
      </c>
      <c r="BB382" s="377"/>
      <c r="BC382" s="377">
        <f t="shared" si="180"/>
        <v>0</v>
      </c>
      <c r="BD382" s="377">
        <f t="shared" si="181"/>
        <v>0</v>
      </c>
      <c r="BE382" s="377"/>
      <c r="BF382" s="377">
        <f t="shared" si="182"/>
        <v>0</v>
      </c>
      <c r="BG382" s="433">
        <f t="shared" si="183"/>
        <v>59545956</v>
      </c>
      <c r="BH382" s="434">
        <f t="shared" si="184"/>
        <v>0</v>
      </c>
    </row>
    <row r="383" spans="1:60" s="378" customFormat="1">
      <c r="A383" s="167">
        <v>378</v>
      </c>
      <c r="B383" s="253">
        <f>VLOOKUP(A383,'JUNE (물량흐름)'!$A$13:$C$493,3,0)</f>
        <v>471157</v>
      </c>
      <c r="C383" s="57" t="str">
        <f>VLOOKUP(A383,'JUNE (물량흐름)'!$A$13:$C$493,2,0)</f>
        <v>ANN TAYLOR</v>
      </c>
      <c r="D383" s="58">
        <f>IFERROR(VLOOKUP(B383,O.B.JUNE!$V$7:$Y$448,2,0),0)</f>
        <v>28</v>
      </c>
      <c r="E383" s="58">
        <f>IFERROR(VLOOKUP(B383,O.B.JUNE!$V$7:$X$448,3,0),0)</f>
        <v>53502.357142857145</v>
      </c>
      <c r="F383" s="58">
        <f>IFERROR(VLOOKUP(B383,O.B.JUNE!$V$7:$Y$448,4,0),0)</f>
        <v>1498066</v>
      </c>
      <c r="G383" s="58">
        <f>SUMIF('JUNE (물량흐름)'!$C$13:$C$493,'In-out-bal products (155)(완성제품)'!B383,'JUNE (물량흐름)'!$V$13:$V$493)</f>
        <v>0</v>
      </c>
      <c r="H383" s="58">
        <f>SUMIF('JUNE (물량흐름)'!$C$13:$C$493,'In-out-bal products (155)(완성제품)'!B383,'JUNE (물량흐름)'!$T$13:$T$493)-SUMIF('JUNE (물량흐름)'!$C$13:$C$493,'In-out-bal products (155)(완성제품)'!B383,'JUNE (물량흐름)'!$Y$13:$Y$493)+SUMIF('JUNE (물량흐름)'!$C$13:$C$493,'In-out-bal products (155)(완성제품)'!B383,'JUNE (물량흐름)'!$U$13:$U$493)</f>
        <v>0</v>
      </c>
      <c r="I383" s="58">
        <f t="shared" si="156"/>
        <v>0</v>
      </c>
      <c r="J383" s="58">
        <f>SUMIF('Direct labour(직접노무비)'!$C$12:$C$503,'In-out-bal products (155)(완성제품)'!B383,'Direct labour(직접노무비)'!$Q$12:$Q$503)</f>
        <v>0</v>
      </c>
      <c r="K383" s="59">
        <f>SUMIF('Overhead exp(제조경비)'!$C$12:$C$503,'In-out-bal products (155)(완성제품)'!B383,'Overhead exp(제조경비)'!$Q$12:$Q$503)</f>
        <v>0</v>
      </c>
      <c r="L383" s="58">
        <f t="shared" si="157"/>
        <v>0</v>
      </c>
      <c r="M383" s="58">
        <f>SUMIF('JUNE (물량흐름)'!$C$13:$C$488,'In-out-bal products (155)(완성제품)'!B383,'JUNE (물량흐름)'!$Y$13:$Y$488)</f>
        <v>0</v>
      </c>
      <c r="N383" s="58">
        <f t="shared" si="158"/>
        <v>0</v>
      </c>
      <c r="O383" s="58">
        <f>SUMIF('Direct labour(직접노무비)'!$C$12:$C$503,'In-out-bal products (155)(완성제품)'!B383,'Direct labour(직접노무비)'!$U$12:$U$503)+SUMIF('Overhead exp(제조경비)'!$C$12:$C$503,'In-out-bal products (155)(완성제품)'!B383,'Overhead exp(제조경비)'!$U$12:$U$503)</f>
        <v>0</v>
      </c>
      <c r="P383" s="60">
        <f t="shared" si="159"/>
        <v>0</v>
      </c>
      <c r="Q383" s="60">
        <f t="shared" si="160"/>
        <v>0</v>
      </c>
      <c r="R383" s="60">
        <f t="shared" si="161"/>
        <v>0</v>
      </c>
      <c r="S383" s="58">
        <v>0</v>
      </c>
      <c r="T383" s="58">
        <v>0</v>
      </c>
      <c r="U383" s="58">
        <v>0</v>
      </c>
      <c r="V383" s="58">
        <f>SUMIF('JUNE (물량흐름)'!$C$13:$C$493,'In-out-bal products (155)(완성제품)'!B383,'JUNE (물량흐름)'!$W$13:$W$493)</f>
        <v>0</v>
      </c>
      <c r="W383" s="58">
        <f t="shared" si="162"/>
        <v>0</v>
      </c>
      <c r="X383" s="58">
        <f t="shared" si="163"/>
        <v>0</v>
      </c>
      <c r="Y383" s="58">
        <f>SUMIF('JUNE (물량흐름)'!$C$13:$C$488,'In-out-bal products (155)(완성제품)'!B383,'JUNE (물량흐름)'!$X$13:$X$488)</f>
        <v>0</v>
      </c>
      <c r="Z383" s="58">
        <f t="shared" si="164"/>
        <v>0</v>
      </c>
      <c r="AA383" s="58">
        <f t="shared" si="165"/>
        <v>0</v>
      </c>
      <c r="AB383" s="58"/>
      <c r="AC383" s="58"/>
      <c r="AD383" s="61"/>
      <c r="AE383" s="58">
        <f t="shared" si="166"/>
        <v>0</v>
      </c>
      <c r="AF383" s="58">
        <f t="shared" si="167"/>
        <v>0</v>
      </c>
      <c r="AG383" s="61">
        <f t="shared" si="168"/>
        <v>0</v>
      </c>
      <c r="AH383" s="58">
        <v>0</v>
      </c>
      <c r="AI383" s="58">
        <v>0</v>
      </c>
      <c r="AJ383" s="61">
        <v>0</v>
      </c>
      <c r="AK383" s="58"/>
      <c r="AL383" s="58"/>
      <c r="AM383" s="61"/>
      <c r="AN383" s="61">
        <f t="shared" si="185"/>
        <v>0</v>
      </c>
      <c r="AO383" s="58">
        <f t="shared" si="169"/>
        <v>0</v>
      </c>
      <c r="AP383" s="61">
        <f t="shared" si="170"/>
        <v>0</v>
      </c>
      <c r="AQ383" s="58">
        <f t="shared" si="171"/>
        <v>28</v>
      </c>
      <c r="AR383" s="58">
        <f t="shared" si="172"/>
        <v>53502.357142857145</v>
      </c>
      <c r="AS383" s="58">
        <f t="shared" si="173"/>
        <v>1498066</v>
      </c>
      <c r="AT383" s="58">
        <f>ROUND(SUMIF('JUNE (물량흐름)'!$C$13:$C$502,'In-out-bal products (155)(완성제품)'!B383,'JUNE (물량흐름)'!$AB$13:$AB$502),0)</f>
        <v>0</v>
      </c>
      <c r="AU383" s="58">
        <f t="shared" si="174"/>
        <v>0</v>
      </c>
      <c r="AV383" s="58">
        <f>ROUND(SUMIF('JUNE (물량흐름)'!$C$13:$C$502,'In-out-bal products (155)(완성제품)'!B383,'JUNE (물량흐름)'!$AC$13:$AC$502),0)</f>
        <v>28</v>
      </c>
      <c r="AW383" s="58">
        <f t="shared" si="175"/>
        <v>1498066</v>
      </c>
      <c r="AX383" s="376">
        <f t="shared" si="176"/>
        <v>0</v>
      </c>
      <c r="AY383" s="377">
        <f t="shared" si="177"/>
        <v>0</v>
      </c>
      <c r="AZ383" s="377">
        <f t="shared" si="178"/>
        <v>0</v>
      </c>
      <c r="BA383" s="377">
        <f t="shared" si="179"/>
        <v>0</v>
      </c>
      <c r="BB383" s="377"/>
      <c r="BC383" s="377">
        <f t="shared" si="180"/>
        <v>0</v>
      </c>
      <c r="BD383" s="377">
        <f t="shared" si="181"/>
        <v>0</v>
      </c>
      <c r="BE383" s="377"/>
      <c r="BF383" s="377">
        <f t="shared" si="182"/>
        <v>0</v>
      </c>
      <c r="BG383" s="433">
        <f t="shared" si="183"/>
        <v>0</v>
      </c>
      <c r="BH383" s="434">
        <f t="shared" si="184"/>
        <v>0</v>
      </c>
    </row>
    <row r="384" spans="1:60" s="378" customFormat="1">
      <c r="A384" s="167">
        <v>379</v>
      </c>
      <c r="B384" s="253">
        <f>VLOOKUP(A384,'JUNE (물량흐름)'!$A$13:$C$493,3,0)</f>
        <v>482924</v>
      </c>
      <c r="C384" s="57" t="str">
        <f>VLOOKUP(A384,'JUNE (물량흐름)'!$A$13:$C$493,2,0)</f>
        <v>ANN TAYLOR</v>
      </c>
      <c r="D384" s="58">
        <f>IFERROR(VLOOKUP(B384,O.B.JUNE!$V$7:$Y$448,2,0),0)</f>
        <v>114</v>
      </c>
      <c r="E384" s="58">
        <f>IFERROR(VLOOKUP(B384,O.B.JUNE!$V$7:$X$448,3,0),0)</f>
        <v>53815.508771929824</v>
      </c>
      <c r="F384" s="58">
        <f>IFERROR(VLOOKUP(B384,O.B.JUNE!$V$7:$Y$448,4,0),0)</f>
        <v>6134968</v>
      </c>
      <c r="G384" s="58">
        <f>SUMIF('JUNE (물량흐름)'!$C$13:$C$493,'In-out-bal products (155)(완성제품)'!B384,'JUNE (물량흐름)'!$V$13:$V$493)</f>
        <v>0</v>
      </c>
      <c r="H384" s="58">
        <f>SUMIF('JUNE (물량흐름)'!$C$13:$C$493,'In-out-bal products (155)(완성제품)'!B384,'JUNE (물량흐름)'!$T$13:$T$493)-SUMIF('JUNE (물량흐름)'!$C$13:$C$493,'In-out-bal products (155)(완성제품)'!B384,'JUNE (물량흐름)'!$Y$13:$Y$493)+SUMIF('JUNE (물량흐름)'!$C$13:$C$493,'In-out-bal products (155)(완성제품)'!B384,'JUNE (물량흐름)'!$U$13:$U$493)</f>
        <v>0</v>
      </c>
      <c r="I384" s="58">
        <f t="shared" si="156"/>
        <v>0</v>
      </c>
      <c r="J384" s="58">
        <f>SUMIF('Direct labour(직접노무비)'!$C$12:$C$503,'In-out-bal products (155)(완성제품)'!B384,'Direct labour(직접노무비)'!$Q$12:$Q$503)</f>
        <v>0</v>
      </c>
      <c r="K384" s="59">
        <f>SUMIF('Overhead exp(제조경비)'!$C$12:$C$503,'In-out-bal products (155)(완성제품)'!B384,'Overhead exp(제조경비)'!$Q$12:$Q$503)</f>
        <v>0</v>
      </c>
      <c r="L384" s="58">
        <f t="shared" si="157"/>
        <v>0</v>
      </c>
      <c r="M384" s="58">
        <f>SUMIF('JUNE (물량흐름)'!$C$13:$C$488,'In-out-bal products (155)(완성제품)'!B384,'JUNE (물량흐름)'!$Y$13:$Y$488)</f>
        <v>8</v>
      </c>
      <c r="N384" s="58">
        <f t="shared" si="158"/>
        <v>53815.625</v>
      </c>
      <c r="O384" s="58">
        <f>SUMIF('Direct labour(직접노무비)'!$C$12:$C$503,'In-out-bal products (155)(완성제품)'!B384,'Direct labour(직접노무비)'!$U$12:$U$503)+SUMIF('Overhead exp(제조경비)'!$C$12:$C$503,'In-out-bal products (155)(완성제품)'!B384,'Overhead exp(제조경비)'!$U$12:$U$503)</f>
        <v>430525</v>
      </c>
      <c r="P384" s="60">
        <f t="shared" si="159"/>
        <v>8</v>
      </c>
      <c r="Q384" s="60">
        <f t="shared" si="160"/>
        <v>53815.625</v>
      </c>
      <c r="R384" s="60">
        <f t="shared" si="161"/>
        <v>430525</v>
      </c>
      <c r="S384" s="58">
        <v>0</v>
      </c>
      <c r="T384" s="58">
        <v>0</v>
      </c>
      <c r="U384" s="58">
        <v>0</v>
      </c>
      <c r="V384" s="58">
        <f>SUMIF('JUNE (물량흐름)'!$C$13:$C$493,'In-out-bal products (155)(완성제품)'!B384,'JUNE (물량흐름)'!$W$13:$W$493)</f>
        <v>0</v>
      </c>
      <c r="W384" s="58">
        <f t="shared" si="162"/>
        <v>0</v>
      </c>
      <c r="X384" s="58">
        <f t="shared" si="163"/>
        <v>0</v>
      </c>
      <c r="Y384" s="58">
        <f>SUMIF('JUNE (물량흐름)'!$C$13:$C$488,'In-out-bal products (155)(완성제품)'!B384,'JUNE (물량흐름)'!$X$13:$X$488)</f>
        <v>0</v>
      </c>
      <c r="Z384" s="58">
        <f t="shared" si="164"/>
        <v>0</v>
      </c>
      <c r="AA384" s="58">
        <f t="shared" si="165"/>
        <v>0</v>
      </c>
      <c r="AB384" s="58"/>
      <c r="AC384" s="58"/>
      <c r="AD384" s="61"/>
      <c r="AE384" s="58">
        <f t="shared" si="166"/>
        <v>8</v>
      </c>
      <c r="AF384" s="58">
        <f t="shared" si="167"/>
        <v>53815.625</v>
      </c>
      <c r="AG384" s="61">
        <f t="shared" si="168"/>
        <v>430525</v>
      </c>
      <c r="AH384" s="58">
        <v>0</v>
      </c>
      <c r="AI384" s="58">
        <v>0</v>
      </c>
      <c r="AJ384" s="61">
        <v>0</v>
      </c>
      <c r="AK384" s="58"/>
      <c r="AL384" s="58"/>
      <c r="AM384" s="61"/>
      <c r="AN384" s="61">
        <f t="shared" si="185"/>
        <v>8</v>
      </c>
      <c r="AO384" s="58">
        <f t="shared" si="169"/>
        <v>53815.625</v>
      </c>
      <c r="AP384" s="61">
        <f t="shared" si="170"/>
        <v>430525</v>
      </c>
      <c r="AQ384" s="58">
        <f t="shared" si="171"/>
        <v>114</v>
      </c>
      <c r="AR384" s="58">
        <f t="shared" si="172"/>
        <v>53815.508771929824</v>
      </c>
      <c r="AS384" s="58">
        <f t="shared" si="173"/>
        <v>6134968</v>
      </c>
      <c r="AT384" s="58">
        <f>ROUND(SUMIF('JUNE (물량흐름)'!$C$13:$C$502,'In-out-bal products (155)(완성제품)'!B384,'JUNE (물량흐름)'!$AB$13:$AB$502),0)</f>
        <v>0</v>
      </c>
      <c r="AU384" s="58">
        <f t="shared" si="174"/>
        <v>0</v>
      </c>
      <c r="AV384" s="58">
        <f>ROUND(SUMIF('JUNE (물량흐름)'!$C$13:$C$502,'In-out-bal products (155)(완성제품)'!B384,'JUNE (물량흐름)'!$AC$13:$AC$502),0)</f>
        <v>114</v>
      </c>
      <c r="AW384" s="58">
        <f t="shared" si="175"/>
        <v>6134968</v>
      </c>
      <c r="AX384" s="376">
        <f t="shared" si="176"/>
        <v>0</v>
      </c>
      <c r="AY384" s="377">
        <f t="shared" si="177"/>
        <v>0</v>
      </c>
      <c r="AZ384" s="377">
        <f t="shared" si="178"/>
        <v>0</v>
      </c>
      <c r="BA384" s="377">
        <f t="shared" si="179"/>
        <v>0</v>
      </c>
      <c r="BB384" s="377"/>
      <c r="BC384" s="377">
        <f t="shared" si="180"/>
        <v>0</v>
      </c>
      <c r="BD384" s="377">
        <f t="shared" si="181"/>
        <v>0</v>
      </c>
      <c r="BE384" s="377"/>
      <c r="BF384" s="377">
        <f t="shared" si="182"/>
        <v>0</v>
      </c>
      <c r="BG384" s="433">
        <f t="shared" si="183"/>
        <v>430525</v>
      </c>
      <c r="BH384" s="434">
        <f t="shared" si="184"/>
        <v>0</v>
      </c>
    </row>
    <row r="385" spans="1:60" s="378" customFormat="1">
      <c r="A385" s="167">
        <v>380</v>
      </c>
      <c r="B385" s="253">
        <f>VLOOKUP(A385,'JUNE (물량흐름)'!$A$13:$C$493,3,0)</f>
        <v>466742</v>
      </c>
      <c r="C385" s="57" t="str">
        <f>VLOOKUP(A385,'JUNE (물량흐름)'!$A$13:$C$493,2,0)</f>
        <v>ANN TAYLOR</v>
      </c>
      <c r="D385" s="58">
        <f>IFERROR(VLOOKUP(B385,O.B.JUNE!$V$7:$Y$448,2,0),0)</f>
        <v>17628</v>
      </c>
      <c r="E385" s="58">
        <f>IFERROR(VLOOKUP(B385,O.B.JUNE!$V$7:$X$448,3,0),0)</f>
        <v>30320.795155434535</v>
      </c>
      <c r="F385" s="58">
        <f>IFERROR(VLOOKUP(B385,O.B.JUNE!$V$7:$Y$448,4,0),0)</f>
        <v>534494977</v>
      </c>
      <c r="G385" s="58">
        <f>SUMIF('JUNE (물량흐름)'!$C$13:$C$493,'In-out-bal products (155)(완성제품)'!B385,'JUNE (물량흐름)'!$V$13:$V$493)</f>
        <v>0</v>
      </c>
      <c r="H385" s="58">
        <f>SUMIF('JUNE (물량흐름)'!$C$13:$C$493,'In-out-bal products (155)(완성제품)'!B385,'JUNE (물량흐름)'!$T$13:$T$493)-SUMIF('JUNE (물량흐름)'!$C$13:$C$493,'In-out-bal products (155)(완성제품)'!B385,'JUNE (물량흐름)'!$Y$13:$Y$493)+SUMIF('JUNE (물량흐름)'!$C$13:$C$493,'In-out-bal products (155)(완성제품)'!B385,'JUNE (물량흐름)'!$U$13:$U$493)</f>
        <v>551</v>
      </c>
      <c r="I385" s="58">
        <f t="shared" si="156"/>
        <v>30564.549909255897</v>
      </c>
      <c r="J385" s="58">
        <f>SUMIF('Direct labour(직접노무비)'!$C$12:$C$503,'In-out-bal products (155)(완성제품)'!B385,'Direct labour(직접노무비)'!$Q$12:$Q$503)</f>
        <v>5742486</v>
      </c>
      <c r="K385" s="59">
        <f>SUMIF('Overhead exp(제조경비)'!$C$12:$C$503,'In-out-bal products (155)(완성제품)'!B385,'Overhead exp(제조경비)'!$Q$12:$Q$503)</f>
        <v>11098581</v>
      </c>
      <c r="L385" s="58">
        <f t="shared" si="157"/>
        <v>16841067</v>
      </c>
      <c r="M385" s="58">
        <f>SUMIF('JUNE (물량흐름)'!$C$13:$C$488,'In-out-bal products (155)(완성제품)'!B385,'JUNE (물량흐름)'!$Y$13:$Y$488)</f>
        <v>20</v>
      </c>
      <c r="N385" s="58">
        <f t="shared" si="158"/>
        <v>30564.55</v>
      </c>
      <c r="O385" s="58">
        <f>SUMIF('Direct labour(직접노무비)'!$C$12:$C$503,'In-out-bal products (155)(완성제품)'!B385,'Direct labour(직접노무비)'!$U$12:$U$503)+SUMIF('Overhead exp(제조경비)'!$C$12:$C$503,'In-out-bal products (155)(완성제품)'!B385,'Overhead exp(제조경비)'!$U$12:$U$503)</f>
        <v>611291</v>
      </c>
      <c r="P385" s="60">
        <f t="shared" si="159"/>
        <v>571</v>
      </c>
      <c r="Q385" s="60">
        <f t="shared" si="160"/>
        <v>30564.549912434326</v>
      </c>
      <c r="R385" s="60">
        <f t="shared" si="161"/>
        <v>17452358</v>
      </c>
      <c r="S385" s="58">
        <v>0</v>
      </c>
      <c r="T385" s="58">
        <v>0</v>
      </c>
      <c r="U385" s="58">
        <v>0</v>
      </c>
      <c r="V385" s="58">
        <f>SUMIF('JUNE (물량흐름)'!$C$13:$C$493,'In-out-bal products (155)(완성제품)'!B385,'JUNE (물량흐름)'!$W$13:$W$493)</f>
        <v>17958</v>
      </c>
      <c r="W385" s="58">
        <f t="shared" si="162"/>
        <v>30328.183260942198</v>
      </c>
      <c r="X385" s="58">
        <f t="shared" si="163"/>
        <v>544633515</v>
      </c>
      <c r="Y385" s="58">
        <f>SUMIF('JUNE (물량흐름)'!$C$13:$C$488,'In-out-bal products (155)(완성제품)'!B385,'JUNE (물량흐름)'!$X$13:$X$488)</f>
        <v>0</v>
      </c>
      <c r="Z385" s="58">
        <f t="shared" si="164"/>
        <v>0</v>
      </c>
      <c r="AA385" s="58">
        <f t="shared" si="165"/>
        <v>0</v>
      </c>
      <c r="AB385" s="58"/>
      <c r="AC385" s="58"/>
      <c r="AD385" s="61"/>
      <c r="AE385" s="58">
        <f t="shared" si="166"/>
        <v>20</v>
      </c>
      <c r="AF385" s="58">
        <f t="shared" si="167"/>
        <v>30564.55</v>
      </c>
      <c r="AG385" s="61">
        <f t="shared" si="168"/>
        <v>611291</v>
      </c>
      <c r="AH385" s="58">
        <v>0</v>
      </c>
      <c r="AI385" s="58">
        <v>0</v>
      </c>
      <c r="AJ385" s="61">
        <v>0</v>
      </c>
      <c r="AK385" s="58"/>
      <c r="AL385" s="58"/>
      <c r="AM385" s="61"/>
      <c r="AN385" s="61">
        <f t="shared" si="185"/>
        <v>17978</v>
      </c>
      <c r="AO385" s="58">
        <f t="shared" si="169"/>
        <v>30328.446212036935</v>
      </c>
      <c r="AP385" s="61">
        <f t="shared" si="170"/>
        <v>545244806</v>
      </c>
      <c r="AQ385" s="58">
        <f t="shared" si="171"/>
        <v>221</v>
      </c>
      <c r="AR385" s="58">
        <f t="shared" si="172"/>
        <v>30328.185520361993</v>
      </c>
      <c r="AS385" s="58">
        <f t="shared" si="173"/>
        <v>6702529</v>
      </c>
      <c r="AT385" s="58">
        <f>ROUND(SUMIF('JUNE (물량흐름)'!$C$13:$C$502,'In-out-bal products (155)(완성제품)'!B385,'JUNE (물량흐름)'!$AB$13:$AB$502),0)</f>
        <v>0</v>
      </c>
      <c r="AU385" s="58">
        <f t="shared" si="174"/>
        <v>0</v>
      </c>
      <c r="AV385" s="58">
        <f>ROUND(SUMIF('JUNE (물량흐름)'!$C$13:$C$502,'In-out-bal products (155)(완성제품)'!B385,'JUNE (물량흐름)'!$AC$13:$AC$502),0)</f>
        <v>221</v>
      </c>
      <c r="AW385" s="58">
        <f t="shared" si="175"/>
        <v>6702529</v>
      </c>
      <c r="AX385" s="376">
        <f t="shared" si="176"/>
        <v>0</v>
      </c>
      <c r="AY385" s="377">
        <f t="shared" si="177"/>
        <v>0</v>
      </c>
      <c r="AZ385" s="377">
        <f t="shared" si="178"/>
        <v>0</v>
      </c>
      <c r="BA385" s="377">
        <f t="shared" si="179"/>
        <v>0</v>
      </c>
      <c r="BB385" s="377"/>
      <c r="BC385" s="377">
        <f t="shared" si="180"/>
        <v>0</v>
      </c>
      <c r="BD385" s="377">
        <f t="shared" si="181"/>
        <v>0</v>
      </c>
      <c r="BE385" s="377"/>
      <c r="BF385" s="377">
        <f t="shared" si="182"/>
        <v>0</v>
      </c>
      <c r="BG385" s="433">
        <f t="shared" si="183"/>
        <v>545244806</v>
      </c>
      <c r="BH385" s="434">
        <f t="shared" si="184"/>
        <v>0</v>
      </c>
    </row>
    <row r="386" spans="1:60" s="378" customFormat="1">
      <c r="A386" s="167">
        <v>381</v>
      </c>
      <c r="B386" s="253">
        <f>VLOOKUP(A386,'JUNE (물량흐름)'!$A$13:$C$493,3,0)</f>
        <v>100018226</v>
      </c>
      <c r="C386" s="57" t="str">
        <f>VLOOKUP(A386,'JUNE (물량흐름)'!$A$13:$C$493,2,0)</f>
        <v>ALFANI</v>
      </c>
      <c r="D386" s="58">
        <f>IFERROR(VLOOKUP(B386,O.B.JUNE!$V$7:$Y$448,2,0),0)</f>
        <v>0</v>
      </c>
      <c r="E386" s="58">
        <f>IFERROR(VLOOKUP(B386,O.B.JUNE!$V$7:$X$448,3,0),0)</f>
        <v>0</v>
      </c>
      <c r="F386" s="58">
        <f>IFERROR(VLOOKUP(B386,O.B.JUNE!$V$7:$Y$448,4,0),0)</f>
        <v>0</v>
      </c>
      <c r="G386" s="58">
        <f>SUMIF('JUNE (물량흐름)'!$C$13:$C$493,'In-out-bal products (155)(완성제품)'!B386,'JUNE (물량흐름)'!$V$13:$V$493)</f>
        <v>0</v>
      </c>
      <c r="H386" s="58">
        <f>SUMIF('JUNE (물량흐름)'!$C$13:$C$493,'In-out-bal products (155)(완성제품)'!B386,'JUNE (물량흐름)'!$T$13:$T$493)-SUMIF('JUNE (물량흐름)'!$C$13:$C$493,'In-out-bal products (155)(완성제품)'!B386,'JUNE (물량흐름)'!$Y$13:$Y$493)+SUMIF('JUNE (물량흐름)'!$C$13:$C$493,'In-out-bal products (155)(완성제품)'!B386,'JUNE (물량흐름)'!$U$13:$U$493)</f>
        <v>0</v>
      </c>
      <c r="I386" s="58">
        <f t="shared" si="156"/>
        <v>0</v>
      </c>
      <c r="J386" s="58">
        <f>SUMIF('Direct labour(직접노무비)'!$C$12:$C$503,'In-out-bal products (155)(완성제품)'!B386,'Direct labour(직접노무비)'!$Q$12:$Q$503)</f>
        <v>0</v>
      </c>
      <c r="K386" s="59">
        <f>SUMIF('Overhead exp(제조경비)'!$C$12:$C$503,'In-out-bal products (155)(완성제품)'!B386,'Overhead exp(제조경비)'!$Q$12:$Q$503)</f>
        <v>0</v>
      </c>
      <c r="L386" s="58">
        <f t="shared" si="157"/>
        <v>0</v>
      </c>
      <c r="M386" s="58">
        <f>SUMIF('JUNE (물량흐름)'!$C$13:$C$488,'In-out-bal products (155)(완성제품)'!B386,'JUNE (물량흐름)'!$Y$13:$Y$488)</f>
        <v>2</v>
      </c>
      <c r="N386" s="58">
        <f t="shared" si="158"/>
        <v>56156.5</v>
      </c>
      <c r="O386" s="58">
        <f>SUMIF('Direct labour(직접노무비)'!$C$12:$C$503,'In-out-bal products (155)(완성제품)'!B386,'Direct labour(직접노무비)'!$U$12:$U$503)+SUMIF('Overhead exp(제조경비)'!$C$12:$C$503,'In-out-bal products (155)(완성제품)'!B386,'Overhead exp(제조경비)'!$U$12:$U$503)</f>
        <v>112313</v>
      </c>
      <c r="P386" s="60">
        <f t="shared" si="159"/>
        <v>2</v>
      </c>
      <c r="Q386" s="60">
        <f t="shared" si="160"/>
        <v>56156.5</v>
      </c>
      <c r="R386" s="60">
        <f t="shared" si="161"/>
        <v>112313</v>
      </c>
      <c r="S386" s="58">
        <v>0</v>
      </c>
      <c r="T386" s="58">
        <v>0</v>
      </c>
      <c r="U386" s="58">
        <v>0</v>
      </c>
      <c r="V386" s="58">
        <f>SUMIF('JUNE (물량흐름)'!$C$13:$C$493,'In-out-bal products (155)(완성제품)'!B386,'JUNE (물량흐름)'!$W$13:$W$493)</f>
        <v>0</v>
      </c>
      <c r="W386" s="58">
        <f t="shared" si="162"/>
        <v>0</v>
      </c>
      <c r="X386" s="58">
        <f t="shared" si="163"/>
        <v>0</v>
      </c>
      <c r="Y386" s="58">
        <f>SUMIF('JUNE (물량흐름)'!$C$13:$C$488,'In-out-bal products (155)(완성제품)'!B386,'JUNE (물량흐름)'!$X$13:$X$488)</f>
        <v>0</v>
      </c>
      <c r="Z386" s="58">
        <f t="shared" si="164"/>
        <v>0</v>
      </c>
      <c r="AA386" s="58">
        <f t="shared" si="165"/>
        <v>0</v>
      </c>
      <c r="AB386" s="58"/>
      <c r="AC386" s="58"/>
      <c r="AD386" s="61"/>
      <c r="AE386" s="58">
        <f t="shared" si="166"/>
        <v>2</v>
      </c>
      <c r="AF386" s="58">
        <f t="shared" si="167"/>
        <v>56156.5</v>
      </c>
      <c r="AG386" s="61">
        <f t="shared" si="168"/>
        <v>112313</v>
      </c>
      <c r="AH386" s="58">
        <v>0</v>
      </c>
      <c r="AI386" s="58">
        <v>0</v>
      </c>
      <c r="AJ386" s="61">
        <v>0</v>
      </c>
      <c r="AK386" s="58"/>
      <c r="AL386" s="58"/>
      <c r="AM386" s="61"/>
      <c r="AN386" s="61">
        <f t="shared" si="185"/>
        <v>2</v>
      </c>
      <c r="AO386" s="58">
        <f t="shared" si="169"/>
        <v>56156.5</v>
      </c>
      <c r="AP386" s="61">
        <f t="shared" si="170"/>
        <v>112313</v>
      </c>
      <c r="AQ386" s="58">
        <f t="shared" si="171"/>
        <v>0</v>
      </c>
      <c r="AR386" s="58">
        <f t="shared" si="172"/>
        <v>0</v>
      </c>
      <c r="AS386" s="58">
        <f t="shared" si="173"/>
        <v>0</v>
      </c>
      <c r="AT386" s="58">
        <f>ROUND(SUMIF('JUNE (물량흐름)'!$C$13:$C$502,'In-out-bal products (155)(완성제품)'!B386,'JUNE (물량흐름)'!$AB$13:$AB$502),0)</f>
        <v>0</v>
      </c>
      <c r="AU386" s="58">
        <f t="shared" si="174"/>
        <v>0</v>
      </c>
      <c r="AV386" s="58">
        <f>ROUND(SUMIF('JUNE (물량흐름)'!$C$13:$C$502,'In-out-bal products (155)(완성제품)'!B386,'JUNE (물량흐름)'!$AC$13:$AC$502),0)</f>
        <v>0</v>
      </c>
      <c r="AW386" s="58">
        <f t="shared" si="175"/>
        <v>0</v>
      </c>
      <c r="AX386" s="376">
        <f t="shared" si="176"/>
        <v>0</v>
      </c>
      <c r="AY386" s="377">
        <f t="shared" si="177"/>
        <v>0</v>
      </c>
      <c r="AZ386" s="377">
        <f t="shared" si="178"/>
        <v>0</v>
      </c>
      <c r="BA386" s="377">
        <f t="shared" si="179"/>
        <v>0</v>
      </c>
      <c r="BB386" s="377"/>
      <c r="BC386" s="377">
        <f t="shared" si="180"/>
        <v>0</v>
      </c>
      <c r="BD386" s="377">
        <f t="shared" si="181"/>
        <v>0</v>
      </c>
      <c r="BE386" s="377"/>
      <c r="BF386" s="377">
        <f t="shared" si="182"/>
        <v>0</v>
      </c>
      <c r="BG386" s="433">
        <f t="shared" si="183"/>
        <v>112313</v>
      </c>
      <c r="BH386" s="434">
        <f t="shared" si="184"/>
        <v>0</v>
      </c>
    </row>
    <row r="387" spans="1:60" s="378" customFormat="1">
      <c r="A387" s="167">
        <v>382</v>
      </c>
      <c r="B387" s="253">
        <f>VLOOKUP(A387,'JUNE (물량흐름)'!$A$13:$C$493,3,0)</f>
        <v>100034888</v>
      </c>
      <c r="C387" s="57" t="str">
        <f>VLOOKUP(A387,'JUNE (물량흐름)'!$A$13:$C$493,2,0)</f>
        <v>BAR III</v>
      </c>
      <c r="D387" s="58">
        <f>IFERROR(VLOOKUP(B387,O.B.JUNE!$V$7:$Y$448,2,0),0)</f>
        <v>73</v>
      </c>
      <c r="E387" s="58">
        <f>IFERROR(VLOOKUP(B387,O.B.JUNE!$V$7:$X$448,3,0),0)</f>
        <v>50459.794520547948</v>
      </c>
      <c r="F387" s="58">
        <f>IFERROR(VLOOKUP(B387,O.B.JUNE!$V$7:$Y$448,4,0),0)</f>
        <v>3683565</v>
      </c>
      <c r="G387" s="58">
        <f>SUMIF('JUNE (물량흐름)'!$C$13:$C$493,'In-out-bal products (155)(완성제품)'!B387,'JUNE (물량흐름)'!$V$13:$V$493)</f>
        <v>0</v>
      </c>
      <c r="H387" s="58">
        <f>SUMIF('JUNE (물량흐름)'!$C$13:$C$493,'In-out-bal products (155)(완성제품)'!B387,'JUNE (물량흐름)'!$T$13:$T$493)-SUMIF('JUNE (물량흐름)'!$C$13:$C$493,'In-out-bal products (155)(완성제품)'!B387,'JUNE (물량흐름)'!$Y$13:$Y$493)+SUMIF('JUNE (물량흐름)'!$C$13:$C$493,'In-out-bal products (155)(완성제품)'!B387,'JUNE (물량흐름)'!$U$13:$U$493)</f>
        <v>105</v>
      </c>
      <c r="I387" s="58">
        <f t="shared" si="156"/>
        <v>25949.571428571428</v>
      </c>
      <c r="J387" s="58">
        <f>SUMIF('Direct labour(직접노무비)'!$C$12:$C$503,'In-out-bal products (155)(완성제품)'!B387,'Direct labour(직접노무비)'!$Q$12:$Q$503)</f>
        <v>922460</v>
      </c>
      <c r="K387" s="59">
        <f>SUMIF('Overhead exp(제조경비)'!$C$12:$C$503,'In-out-bal products (155)(완성제품)'!B387,'Overhead exp(제조경비)'!$Q$12:$Q$503)</f>
        <v>1802245</v>
      </c>
      <c r="L387" s="58">
        <f t="shared" si="157"/>
        <v>2724705</v>
      </c>
      <c r="M387" s="58">
        <f>SUMIF('JUNE (물량흐름)'!$C$13:$C$488,'In-out-bal products (155)(완성제품)'!B387,'JUNE (물량흐름)'!$Y$13:$Y$488)</f>
        <v>18</v>
      </c>
      <c r="N387" s="58">
        <f t="shared" si="158"/>
        <v>25949.555555555555</v>
      </c>
      <c r="O387" s="58">
        <f>SUMIF('Direct labour(직접노무비)'!$C$12:$C$503,'In-out-bal products (155)(완성제품)'!B387,'Direct labour(직접노무비)'!$U$12:$U$503)+SUMIF('Overhead exp(제조경비)'!$C$12:$C$503,'In-out-bal products (155)(완성제품)'!B387,'Overhead exp(제조경비)'!$U$12:$U$503)</f>
        <v>467092</v>
      </c>
      <c r="P387" s="60">
        <f t="shared" si="159"/>
        <v>123</v>
      </c>
      <c r="Q387" s="60">
        <f t="shared" si="160"/>
        <v>25949.569105691058</v>
      </c>
      <c r="R387" s="60">
        <f t="shared" si="161"/>
        <v>3191797</v>
      </c>
      <c r="S387" s="58">
        <v>0</v>
      </c>
      <c r="T387" s="58">
        <v>0</v>
      </c>
      <c r="U387" s="58">
        <v>0</v>
      </c>
      <c r="V387" s="58">
        <f>SUMIF('JUNE (물량흐름)'!$C$13:$C$493,'In-out-bal products (155)(완성제품)'!B387,'JUNE (물량흐름)'!$W$13:$W$493)</f>
        <v>0</v>
      </c>
      <c r="W387" s="58">
        <f t="shared" si="162"/>
        <v>0</v>
      </c>
      <c r="X387" s="58">
        <f t="shared" si="163"/>
        <v>0</v>
      </c>
      <c r="Y387" s="58">
        <f>SUMIF('JUNE (물량흐름)'!$C$13:$C$488,'In-out-bal products (155)(완성제품)'!B387,'JUNE (물량흐름)'!$X$13:$X$488)</f>
        <v>0</v>
      </c>
      <c r="Z387" s="58">
        <f t="shared" si="164"/>
        <v>0</v>
      </c>
      <c r="AA387" s="58">
        <f t="shared" si="165"/>
        <v>0</v>
      </c>
      <c r="AB387" s="58"/>
      <c r="AC387" s="58"/>
      <c r="AD387" s="61"/>
      <c r="AE387" s="58">
        <f t="shared" si="166"/>
        <v>18</v>
      </c>
      <c r="AF387" s="58">
        <f t="shared" si="167"/>
        <v>25949.555555555555</v>
      </c>
      <c r="AG387" s="61">
        <f t="shared" si="168"/>
        <v>467092</v>
      </c>
      <c r="AH387" s="58">
        <v>0</v>
      </c>
      <c r="AI387" s="58">
        <v>0</v>
      </c>
      <c r="AJ387" s="61">
        <v>0</v>
      </c>
      <c r="AK387" s="58"/>
      <c r="AL387" s="58"/>
      <c r="AM387" s="61"/>
      <c r="AN387" s="61">
        <f t="shared" si="185"/>
        <v>18</v>
      </c>
      <c r="AO387" s="58">
        <f t="shared" si="169"/>
        <v>25949.555555555555</v>
      </c>
      <c r="AP387" s="61">
        <f t="shared" si="170"/>
        <v>467092</v>
      </c>
      <c r="AQ387" s="58">
        <f t="shared" si="171"/>
        <v>178</v>
      </c>
      <c r="AR387" s="58">
        <f t="shared" si="172"/>
        <v>36001.516853932582</v>
      </c>
      <c r="AS387" s="58">
        <f t="shared" si="173"/>
        <v>6408270</v>
      </c>
      <c r="AT387" s="58">
        <f>ROUND(SUMIF('JUNE (물량흐름)'!$C$13:$C$502,'In-out-bal products (155)(완성제품)'!B387,'JUNE (물량흐름)'!$AB$13:$AB$502),0)</f>
        <v>169</v>
      </c>
      <c r="AU387" s="58">
        <f t="shared" si="174"/>
        <v>6084256</v>
      </c>
      <c r="AV387" s="58">
        <f>ROUND(SUMIF('JUNE (물량흐름)'!$C$13:$C$502,'In-out-bal products (155)(완성제품)'!B387,'JUNE (물량흐름)'!$AC$13:$AC$502),0)</f>
        <v>9</v>
      </c>
      <c r="AW387" s="58">
        <f t="shared" si="175"/>
        <v>324014</v>
      </c>
      <c r="AX387" s="376">
        <f t="shared" si="176"/>
        <v>0</v>
      </c>
      <c r="AY387" s="377">
        <f t="shared" si="177"/>
        <v>0</v>
      </c>
      <c r="AZ387" s="377">
        <f t="shared" si="178"/>
        <v>0</v>
      </c>
      <c r="BA387" s="377">
        <f t="shared" si="179"/>
        <v>0</v>
      </c>
      <c r="BB387" s="377"/>
      <c r="BC387" s="377">
        <f t="shared" si="180"/>
        <v>0</v>
      </c>
      <c r="BD387" s="377">
        <f t="shared" si="181"/>
        <v>0</v>
      </c>
      <c r="BE387" s="377"/>
      <c r="BF387" s="377">
        <f t="shared" si="182"/>
        <v>0</v>
      </c>
      <c r="BG387" s="433">
        <f t="shared" si="183"/>
        <v>467092</v>
      </c>
      <c r="BH387" s="434">
        <f t="shared" si="184"/>
        <v>0</v>
      </c>
    </row>
    <row r="388" spans="1:60" s="378" customFormat="1">
      <c r="A388" s="167">
        <v>383</v>
      </c>
      <c r="B388" s="253">
        <f>VLOOKUP(A388,'JUNE (물량흐름)'!$A$13:$C$493,3,0)</f>
        <v>100035009</v>
      </c>
      <c r="C388" s="57" t="str">
        <f>VLOOKUP(A388,'JUNE (물량흐름)'!$A$13:$C$493,2,0)</f>
        <v>BAR III</v>
      </c>
      <c r="D388" s="58">
        <f>IFERROR(VLOOKUP(B388,O.B.JUNE!$V$7:$Y$448,2,0),0)</f>
        <v>5</v>
      </c>
      <c r="E388" s="58">
        <f>IFERROR(VLOOKUP(B388,O.B.JUNE!$V$7:$X$448,3,0),0)</f>
        <v>33414.400000000001</v>
      </c>
      <c r="F388" s="58">
        <f>IFERROR(VLOOKUP(B388,O.B.JUNE!$V$7:$Y$448,4,0),0)</f>
        <v>167072</v>
      </c>
      <c r="G388" s="58">
        <f>SUMIF('JUNE (물량흐름)'!$C$13:$C$493,'In-out-bal products (155)(완성제품)'!B388,'JUNE (물량흐름)'!$V$13:$V$493)</f>
        <v>0</v>
      </c>
      <c r="H388" s="58">
        <f>SUMIF('JUNE (물량흐름)'!$C$13:$C$493,'In-out-bal products (155)(완성제품)'!B388,'JUNE (물량흐름)'!$T$13:$T$493)-SUMIF('JUNE (물량흐름)'!$C$13:$C$493,'In-out-bal products (155)(완성제품)'!B388,'JUNE (물량흐름)'!$Y$13:$Y$493)+SUMIF('JUNE (물량흐름)'!$C$13:$C$493,'In-out-bal products (155)(완성제품)'!B388,'JUNE (물량흐름)'!$U$13:$U$493)</f>
        <v>3972</v>
      </c>
      <c r="I388" s="58">
        <f t="shared" si="156"/>
        <v>48748.09894259819</v>
      </c>
      <c r="J388" s="58">
        <f>SUMIF('Direct labour(직접노무비)'!$C$12:$C$503,'In-out-bal products (155)(완성제품)'!B388,'Direct labour(직접노무비)'!$Q$12:$Q$503)</f>
        <v>65553350</v>
      </c>
      <c r="K388" s="59">
        <f>SUMIF('Overhead exp(제조경비)'!$C$12:$C$503,'In-out-bal products (155)(완성제품)'!B388,'Overhead exp(제조경비)'!$Q$12:$Q$503)</f>
        <v>128074099</v>
      </c>
      <c r="L388" s="58">
        <f t="shared" si="157"/>
        <v>193627449</v>
      </c>
      <c r="M388" s="58">
        <f>SUMIF('JUNE (물량흐름)'!$C$13:$C$488,'In-out-bal products (155)(완성제품)'!B388,'JUNE (물량흐름)'!$Y$13:$Y$488)</f>
        <v>3</v>
      </c>
      <c r="N388" s="58">
        <f t="shared" si="158"/>
        <v>48748.333333333336</v>
      </c>
      <c r="O388" s="58">
        <f>SUMIF('Direct labour(직접노무비)'!$C$12:$C$503,'In-out-bal products (155)(완성제품)'!B388,'Direct labour(직접노무비)'!$U$12:$U$503)+SUMIF('Overhead exp(제조경비)'!$C$12:$C$503,'In-out-bal products (155)(완성제품)'!B388,'Overhead exp(제조경비)'!$U$12:$U$503)</f>
        <v>146245</v>
      </c>
      <c r="P388" s="60">
        <f t="shared" si="159"/>
        <v>3975</v>
      </c>
      <c r="Q388" s="60">
        <f t="shared" si="160"/>
        <v>48748.099119496852</v>
      </c>
      <c r="R388" s="60">
        <f t="shared" si="161"/>
        <v>193773694</v>
      </c>
      <c r="S388" s="58">
        <v>0</v>
      </c>
      <c r="T388" s="58">
        <v>0</v>
      </c>
      <c r="U388" s="58">
        <v>0</v>
      </c>
      <c r="V388" s="58">
        <f>SUMIF('JUNE (물량흐름)'!$C$13:$C$493,'In-out-bal products (155)(완성제품)'!B388,'JUNE (물량흐름)'!$W$13:$W$493)</f>
        <v>3917</v>
      </c>
      <c r="W388" s="58">
        <f t="shared" si="162"/>
        <v>48728.821036507528</v>
      </c>
      <c r="X388" s="58">
        <f t="shared" si="163"/>
        <v>190870792</v>
      </c>
      <c r="Y388" s="58">
        <f>SUMIF('JUNE (물량흐름)'!$C$13:$C$488,'In-out-bal products (155)(완성제품)'!B388,'JUNE (물량흐름)'!$X$13:$X$488)</f>
        <v>0</v>
      </c>
      <c r="Z388" s="58">
        <f t="shared" si="164"/>
        <v>0</v>
      </c>
      <c r="AA388" s="58">
        <f t="shared" si="165"/>
        <v>0</v>
      </c>
      <c r="AB388" s="58"/>
      <c r="AC388" s="58"/>
      <c r="AD388" s="61"/>
      <c r="AE388" s="58">
        <f t="shared" si="166"/>
        <v>3</v>
      </c>
      <c r="AF388" s="58">
        <f t="shared" si="167"/>
        <v>48748.333333333336</v>
      </c>
      <c r="AG388" s="61">
        <f t="shared" si="168"/>
        <v>146245</v>
      </c>
      <c r="AH388" s="58">
        <v>0</v>
      </c>
      <c r="AI388" s="58">
        <v>0</v>
      </c>
      <c r="AJ388" s="61">
        <v>0</v>
      </c>
      <c r="AK388" s="58"/>
      <c r="AL388" s="58"/>
      <c r="AM388" s="61"/>
      <c r="AN388" s="61">
        <f t="shared" si="185"/>
        <v>3920</v>
      </c>
      <c r="AO388" s="58">
        <f t="shared" si="169"/>
        <v>48728.835969387757</v>
      </c>
      <c r="AP388" s="61">
        <f t="shared" si="170"/>
        <v>191017037</v>
      </c>
      <c r="AQ388" s="58">
        <f t="shared" si="171"/>
        <v>60</v>
      </c>
      <c r="AR388" s="58">
        <f t="shared" si="172"/>
        <v>48728.816666666666</v>
      </c>
      <c r="AS388" s="58">
        <f t="shared" si="173"/>
        <v>2923729</v>
      </c>
      <c r="AT388" s="58">
        <f>ROUND(SUMIF('JUNE (물량흐름)'!$C$13:$C$502,'In-out-bal products (155)(완성제품)'!B388,'JUNE (물량흐름)'!$AB$13:$AB$502),0)</f>
        <v>0</v>
      </c>
      <c r="AU388" s="58">
        <f t="shared" si="174"/>
        <v>0</v>
      </c>
      <c r="AV388" s="58">
        <f>ROUND(SUMIF('JUNE (물량흐름)'!$C$13:$C$502,'In-out-bal products (155)(완성제품)'!B388,'JUNE (물량흐름)'!$AC$13:$AC$502),0)</f>
        <v>60</v>
      </c>
      <c r="AW388" s="58">
        <f t="shared" si="175"/>
        <v>2923729</v>
      </c>
      <c r="AX388" s="376">
        <f t="shared" si="176"/>
        <v>0</v>
      </c>
      <c r="AY388" s="377">
        <f t="shared" si="177"/>
        <v>0</v>
      </c>
      <c r="AZ388" s="377">
        <f t="shared" si="178"/>
        <v>0</v>
      </c>
      <c r="BA388" s="377">
        <f t="shared" si="179"/>
        <v>0</v>
      </c>
      <c r="BB388" s="377"/>
      <c r="BC388" s="377">
        <f t="shared" si="180"/>
        <v>0</v>
      </c>
      <c r="BD388" s="377">
        <f t="shared" si="181"/>
        <v>0</v>
      </c>
      <c r="BE388" s="377"/>
      <c r="BF388" s="377">
        <f t="shared" si="182"/>
        <v>0</v>
      </c>
      <c r="BG388" s="433">
        <f t="shared" si="183"/>
        <v>191017037</v>
      </c>
      <c r="BH388" s="434">
        <f t="shared" si="184"/>
        <v>0</v>
      </c>
    </row>
    <row r="389" spans="1:60" s="378" customFormat="1">
      <c r="A389" s="167">
        <v>387</v>
      </c>
      <c r="B389" s="253">
        <f>VLOOKUP(A389,'JUNE (물량흐름)'!$A$13:$C$493,3,0)</f>
        <v>174034865</v>
      </c>
      <c r="C389" s="57" t="str">
        <f>VLOOKUP(A389,'JUNE (물량흐름)'!$A$13:$C$493,2,0)</f>
        <v>TALBOTS</v>
      </c>
      <c r="D389" s="58">
        <f>IFERROR(VLOOKUP(B389,O.B.JUNE!$V$7:$Y$448,2,0),0)</f>
        <v>275</v>
      </c>
      <c r="E389" s="58">
        <f>IFERROR(VLOOKUP(B389,O.B.JUNE!$V$7:$X$448,3,0),0)</f>
        <v>47884.509090909094</v>
      </c>
      <c r="F389" s="58">
        <f>IFERROR(VLOOKUP(B389,O.B.JUNE!$V$7:$Y$448,4,0),0)</f>
        <v>13168240</v>
      </c>
      <c r="G389" s="58">
        <f>SUMIF('JUNE (물량흐름)'!$C$13:$C$493,'In-out-bal products (155)(완성제품)'!B389,'JUNE (물량흐름)'!$V$13:$V$493)</f>
        <v>0</v>
      </c>
      <c r="H389" s="58">
        <f>SUMIF('JUNE (물량흐름)'!$C$13:$C$493,'In-out-bal products (155)(완성제품)'!B389,'JUNE (물량흐름)'!$T$13:$T$493)-SUMIF('JUNE (물량흐름)'!$C$13:$C$493,'In-out-bal products (155)(완성제품)'!B389,'JUNE (물량흐름)'!$Y$13:$Y$493)+SUMIF('JUNE (물량흐름)'!$C$13:$C$493,'In-out-bal products (155)(완성제품)'!B389,'JUNE (물량흐름)'!$U$13:$U$493)</f>
        <v>0</v>
      </c>
      <c r="I389" s="58">
        <f t="shared" ref="I389:I432" si="186">(IF(ISERROR(L389/H389),0,L389/H389))</f>
        <v>0</v>
      </c>
      <c r="J389" s="58">
        <f>SUMIF('Direct labour(직접노무비)'!$C$12:$C$503,'In-out-bal products (155)(완성제품)'!B389,'Direct labour(직접노무비)'!$Q$12:$Q$503)</f>
        <v>0</v>
      </c>
      <c r="K389" s="59">
        <f>SUMIF('Overhead exp(제조경비)'!$C$12:$C$503,'In-out-bal products (155)(완성제품)'!B389,'Overhead exp(제조경비)'!$Q$12:$Q$503)</f>
        <v>0</v>
      </c>
      <c r="L389" s="58">
        <f t="shared" ref="L389:L432" si="187">ROUND(J389+K389,0)</f>
        <v>0</v>
      </c>
      <c r="M389" s="58">
        <f>SUMIF('JUNE (물량흐름)'!$C$13:$C$488,'In-out-bal products (155)(완성제품)'!B389,'JUNE (물량흐름)'!$Y$13:$Y$488)</f>
        <v>11</v>
      </c>
      <c r="N389" s="58">
        <f t="shared" ref="N389:N432" si="188">IFERROR(O389/M389,0)</f>
        <v>47884.545454545456</v>
      </c>
      <c r="O389" s="58">
        <f>SUMIF('Direct labour(직접노무비)'!$C$12:$C$503,'In-out-bal products (155)(완성제품)'!B389,'Direct labour(직접노무비)'!$U$12:$U$503)+SUMIF('Overhead exp(제조경비)'!$C$12:$C$503,'In-out-bal products (155)(완성제품)'!B389,'Overhead exp(제조경비)'!$U$12:$U$503)</f>
        <v>526730</v>
      </c>
      <c r="P389" s="60">
        <f t="shared" ref="P389:P432" si="189">ROUND(H389+G389+M389,0)</f>
        <v>11</v>
      </c>
      <c r="Q389" s="60">
        <f t="shared" ref="Q389:Q432" si="190">(IF(ISERROR(R389/P389),0,R389/P389))</f>
        <v>47884.545454545456</v>
      </c>
      <c r="R389" s="60">
        <f t="shared" ref="R389:R432" si="191">ROUND(L389+O389,0)</f>
        <v>526730</v>
      </c>
      <c r="S389" s="58">
        <v>0</v>
      </c>
      <c r="T389" s="58">
        <v>0</v>
      </c>
      <c r="U389" s="58">
        <v>0</v>
      </c>
      <c r="V389" s="58">
        <f>SUMIF('JUNE (물량흐름)'!$C$13:$C$493,'In-out-bal products (155)(완성제품)'!B389,'JUNE (물량흐름)'!$W$13:$W$493)</f>
        <v>0</v>
      </c>
      <c r="W389" s="58">
        <f t="shared" ref="W389:W432" si="192">(IF(V389=0,0,$X389/$V389))</f>
        <v>0</v>
      </c>
      <c r="X389" s="58">
        <f t="shared" ref="X389:X439" si="193">ROUND(IF(V389=0,0,V389*($F389+$L389)/($D389+$H389+$G389)),0)</f>
        <v>0</v>
      </c>
      <c r="Y389" s="58">
        <f>SUMIF('JUNE (물량흐름)'!$C$13:$C$488,'In-out-bal products (155)(완성제품)'!B389,'JUNE (물량흐름)'!$X$13:$X$488)</f>
        <v>0</v>
      </c>
      <c r="Z389" s="58">
        <f t="shared" ref="Z389:Z432" si="194">IF(Y389=0,0,$AA389/$Y389)</f>
        <v>0</v>
      </c>
      <c r="AA389" s="58">
        <f t="shared" ref="AA389:AA432" si="195">ROUND(IF(Y389=0,0,Y389*($F389+$L389)/($D389+$H389+$G389)),0)</f>
        <v>0</v>
      </c>
      <c r="AB389" s="58"/>
      <c r="AC389" s="58"/>
      <c r="AD389" s="61"/>
      <c r="AE389" s="58">
        <f t="shared" ref="AE389:AE432" si="196">M389</f>
        <v>11</v>
      </c>
      <c r="AF389" s="58">
        <f t="shared" ref="AF389:AF432" si="197">N389</f>
        <v>47884.545454545456</v>
      </c>
      <c r="AG389" s="61">
        <f t="shared" ref="AG389:AG432" si="198">O389</f>
        <v>526730</v>
      </c>
      <c r="AH389" s="58">
        <v>0</v>
      </c>
      <c r="AI389" s="58">
        <v>0</v>
      </c>
      <c r="AJ389" s="61">
        <v>0</v>
      </c>
      <c r="AK389" s="58"/>
      <c r="AL389" s="58"/>
      <c r="AM389" s="61"/>
      <c r="AN389" s="61">
        <f t="shared" si="185"/>
        <v>11</v>
      </c>
      <c r="AO389" s="58">
        <f t="shared" ref="AO389:AO439" si="199">(IF(ISERROR(AP389/AN389),0,AP389/AN389))</f>
        <v>47884.545454545456</v>
      </c>
      <c r="AP389" s="61">
        <f t="shared" ref="AP389:AP439" si="200">ROUND(X389+AA389+AD389+AG389+AJ389+AM389+U389,0)</f>
        <v>526730</v>
      </c>
      <c r="AQ389" s="58">
        <f t="shared" ref="AQ389:AQ432" si="201">ROUND(D389+P389-AN389,0)</f>
        <v>275</v>
      </c>
      <c r="AR389" s="58">
        <f t="shared" ref="AR389:AR432" si="202">(IF(ISERROR(AS389/AQ389),0,AS389/AQ389))</f>
        <v>47884.509090909094</v>
      </c>
      <c r="AS389" s="58">
        <f t="shared" ref="AS389:AS432" si="203">ROUND(F389+R389-AP389,0)</f>
        <v>13168240</v>
      </c>
      <c r="AT389" s="58">
        <f>ROUND(SUMIF('JUNE (물량흐름)'!$C$13:$C$502,'In-out-bal products (155)(완성제품)'!B389,'JUNE (물량흐름)'!$AB$13:$AB$502),0)</f>
        <v>0</v>
      </c>
      <c r="AU389" s="58">
        <f t="shared" ref="AU389:AU432" si="204">+ROUND(AR389*AT389,0)</f>
        <v>0</v>
      </c>
      <c r="AV389" s="58">
        <f>ROUND(SUMIF('JUNE (물량흐름)'!$C$13:$C$502,'In-out-bal products (155)(완성제품)'!B389,'JUNE (물량흐름)'!$AC$13:$AC$502),0)</f>
        <v>275</v>
      </c>
      <c r="AW389" s="58">
        <f t="shared" ref="AW389:AW432" si="205">ROUND(AR389*AV389,0)</f>
        <v>13168240</v>
      </c>
      <c r="AX389" s="376">
        <f t="shared" ref="AX389:AX439" si="206">D389+P389-AN389-AQ389</f>
        <v>0</v>
      </c>
      <c r="AY389" s="377">
        <f t="shared" ref="AY389:AY439" si="207">F389+R389-AP389-AS389</f>
        <v>0</v>
      </c>
      <c r="AZ389" s="377">
        <f t="shared" ref="AZ389:AZ439" si="208">AQ389-AT389-AV389</f>
        <v>0</v>
      </c>
      <c r="BA389" s="377">
        <f t="shared" ref="BA389:BA439" si="209">AS389-AU389-AW389</f>
        <v>0</v>
      </c>
      <c r="BB389" s="377"/>
      <c r="BC389" s="377">
        <f t="shared" ref="BC389:BC439" si="210">F389+R389-AP389-AS389</f>
        <v>0</v>
      </c>
      <c r="BD389" s="377">
        <f t="shared" ref="BD389:BD439" si="211">D389+P389-AN389-AQ389</f>
        <v>0</v>
      </c>
      <c r="BE389" s="377"/>
      <c r="BF389" s="377">
        <f t="shared" ref="BF389:BF439" si="212">F389+R389-AP389-AS389</f>
        <v>0</v>
      </c>
      <c r="BG389" s="433">
        <f t="shared" ref="BG389:BG426" si="213">+X389+AA389+AD389+AG389+AJ389+AM389+U389</f>
        <v>526730</v>
      </c>
      <c r="BH389" s="434">
        <f t="shared" ref="BH389:BH426" si="214">+BG389-AP389</f>
        <v>0</v>
      </c>
    </row>
    <row r="390" spans="1:60" s="378" customFormat="1">
      <c r="A390" s="167">
        <v>388</v>
      </c>
      <c r="B390" s="253">
        <f>VLOOKUP(A390,'JUNE (물량흐름)'!$A$13:$C$493,3,0)</f>
        <v>183034522</v>
      </c>
      <c r="C390" s="57" t="str">
        <f>VLOOKUP(A390,'JUNE (물량흐름)'!$A$13:$C$493,2,0)</f>
        <v>TALBOTS</v>
      </c>
      <c r="D390" s="58">
        <f>IFERROR(VLOOKUP(B390,O.B.JUNE!$V$7:$Y$448,2,0),0)</f>
        <v>5667</v>
      </c>
      <c r="E390" s="58">
        <f>IFERROR(VLOOKUP(B390,O.B.JUNE!$V$7:$X$448,3,0),0)</f>
        <v>51153.691371095818</v>
      </c>
      <c r="F390" s="58">
        <f>IFERROR(VLOOKUP(B390,O.B.JUNE!$V$7:$Y$448,4,0),0)</f>
        <v>289887969</v>
      </c>
      <c r="G390" s="58">
        <f>SUMIF('JUNE (물량흐름)'!$C$13:$C$493,'In-out-bal products (155)(완성제품)'!B390,'JUNE (물량흐름)'!$V$13:$V$493)</f>
        <v>0</v>
      </c>
      <c r="H390" s="58">
        <f>SUMIF('JUNE (물량흐름)'!$C$13:$C$493,'In-out-bal products (155)(완성제품)'!B390,'JUNE (물량흐름)'!$T$13:$T$493)-SUMIF('JUNE (물량흐름)'!$C$13:$C$493,'In-out-bal products (155)(완성제품)'!B390,'JUNE (물량흐름)'!$Y$13:$Y$493)+SUMIF('JUNE (물량흐름)'!$C$13:$C$493,'In-out-bal products (155)(완성제품)'!B390,'JUNE (물량흐름)'!$U$13:$U$493)</f>
        <v>0</v>
      </c>
      <c r="I390" s="58">
        <f t="shared" si="186"/>
        <v>0</v>
      </c>
      <c r="J390" s="58">
        <f>SUMIF('Direct labour(직접노무비)'!$C$12:$C$503,'In-out-bal products (155)(완성제품)'!B390,'Direct labour(직접노무비)'!$Q$12:$Q$503)</f>
        <v>0</v>
      </c>
      <c r="K390" s="59">
        <f>SUMIF('Overhead exp(제조경비)'!$C$12:$C$503,'In-out-bal products (155)(완성제품)'!B390,'Overhead exp(제조경비)'!$Q$12:$Q$503)</f>
        <v>0</v>
      </c>
      <c r="L390" s="58">
        <f t="shared" si="187"/>
        <v>0</v>
      </c>
      <c r="M390" s="58">
        <f>SUMIF('JUNE (물량흐름)'!$C$13:$C$488,'In-out-bal products (155)(완성제품)'!B390,'JUNE (물량흐름)'!$Y$13:$Y$488)</f>
        <v>0</v>
      </c>
      <c r="N390" s="58">
        <f t="shared" si="188"/>
        <v>0</v>
      </c>
      <c r="O390" s="58">
        <f>SUMIF('Direct labour(직접노무비)'!$C$12:$C$503,'In-out-bal products (155)(완성제품)'!B390,'Direct labour(직접노무비)'!$U$12:$U$503)+SUMIF('Overhead exp(제조경비)'!$C$12:$C$503,'In-out-bal products (155)(완성제품)'!B390,'Overhead exp(제조경비)'!$U$12:$U$503)</f>
        <v>0</v>
      </c>
      <c r="P390" s="60">
        <f t="shared" si="189"/>
        <v>0</v>
      </c>
      <c r="Q390" s="60">
        <f t="shared" si="190"/>
        <v>0</v>
      </c>
      <c r="R390" s="60">
        <f t="shared" si="191"/>
        <v>0</v>
      </c>
      <c r="S390" s="58">
        <v>0</v>
      </c>
      <c r="T390" s="58">
        <v>0</v>
      </c>
      <c r="U390" s="58">
        <v>0</v>
      </c>
      <c r="V390" s="58">
        <f>SUMIF('JUNE (물량흐름)'!$C$13:$C$493,'In-out-bal products (155)(완성제품)'!B390,'JUNE (물량흐름)'!$W$13:$W$493)</f>
        <v>5330</v>
      </c>
      <c r="W390" s="58">
        <f t="shared" si="192"/>
        <v>51153.691369606007</v>
      </c>
      <c r="X390" s="58">
        <f t="shared" si="193"/>
        <v>272649175</v>
      </c>
      <c r="Y390" s="58">
        <f>SUMIF('JUNE (물량흐름)'!$C$13:$C$488,'In-out-bal products (155)(완성제품)'!B390,'JUNE (물량흐름)'!$X$13:$X$488)</f>
        <v>0</v>
      </c>
      <c r="Z390" s="58">
        <f t="shared" si="194"/>
        <v>0</v>
      </c>
      <c r="AA390" s="58">
        <f t="shared" si="195"/>
        <v>0</v>
      </c>
      <c r="AB390" s="58"/>
      <c r="AC390" s="58"/>
      <c r="AD390" s="61"/>
      <c r="AE390" s="58">
        <f t="shared" si="196"/>
        <v>0</v>
      </c>
      <c r="AF390" s="58">
        <f t="shared" si="197"/>
        <v>0</v>
      </c>
      <c r="AG390" s="61">
        <f t="shared" si="198"/>
        <v>0</v>
      </c>
      <c r="AH390" s="58">
        <v>0</v>
      </c>
      <c r="AI390" s="58">
        <v>0</v>
      </c>
      <c r="AJ390" s="61">
        <v>0</v>
      </c>
      <c r="AK390" s="58"/>
      <c r="AL390" s="58"/>
      <c r="AM390" s="61"/>
      <c r="AN390" s="61">
        <f t="shared" si="185"/>
        <v>5330</v>
      </c>
      <c r="AO390" s="58">
        <f t="shared" si="199"/>
        <v>51153.691369606007</v>
      </c>
      <c r="AP390" s="61">
        <f t="shared" si="200"/>
        <v>272649175</v>
      </c>
      <c r="AQ390" s="58">
        <f t="shared" si="201"/>
        <v>337</v>
      </c>
      <c r="AR390" s="58">
        <f t="shared" si="202"/>
        <v>51153.691394658752</v>
      </c>
      <c r="AS390" s="58">
        <f t="shared" si="203"/>
        <v>17238794</v>
      </c>
      <c r="AT390" s="58">
        <f>ROUND(SUMIF('JUNE (물량흐름)'!$C$13:$C$502,'In-out-bal products (155)(완성제품)'!B390,'JUNE (물량흐름)'!$AB$13:$AB$502),0)</f>
        <v>0</v>
      </c>
      <c r="AU390" s="58">
        <f t="shared" si="204"/>
        <v>0</v>
      </c>
      <c r="AV390" s="58">
        <f>ROUND(SUMIF('JUNE (물량흐름)'!$C$13:$C$502,'In-out-bal products (155)(완성제품)'!B390,'JUNE (물량흐름)'!$AC$13:$AC$502),0)</f>
        <v>337</v>
      </c>
      <c r="AW390" s="58">
        <f t="shared" si="205"/>
        <v>17238794</v>
      </c>
      <c r="AX390" s="376">
        <f t="shared" si="206"/>
        <v>0</v>
      </c>
      <c r="AY390" s="377">
        <f t="shared" si="207"/>
        <v>0</v>
      </c>
      <c r="AZ390" s="377">
        <f t="shared" si="208"/>
        <v>0</v>
      </c>
      <c r="BA390" s="377">
        <f t="shared" si="209"/>
        <v>0</v>
      </c>
      <c r="BB390" s="377"/>
      <c r="BC390" s="377">
        <f t="shared" si="210"/>
        <v>0</v>
      </c>
      <c r="BD390" s="377">
        <f t="shared" si="211"/>
        <v>0</v>
      </c>
      <c r="BE390" s="377"/>
      <c r="BF390" s="377">
        <f t="shared" si="212"/>
        <v>0</v>
      </c>
      <c r="BG390" s="433">
        <f t="shared" si="213"/>
        <v>272649175</v>
      </c>
      <c r="BH390" s="434">
        <f t="shared" si="214"/>
        <v>0</v>
      </c>
    </row>
    <row r="391" spans="1:60" s="378" customFormat="1">
      <c r="A391" s="167">
        <v>400</v>
      </c>
      <c r="B391" s="253">
        <f>VLOOKUP(A391,'JUNE (물량흐름)'!$A$13:$C$493,3,0)</f>
        <v>464202</v>
      </c>
      <c r="C391" s="57" t="str">
        <f>VLOOKUP(A391,'JUNE (물량흐름)'!$A$13:$C$493,2,0)</f>
        <v>ANN TAYLOR</v>
      </c>
      <c r="D391" s="58">
        <f>IFERROR(VLOOKUP(B391,O.B.JUNE!$V$7:$Y$448,2,0),0)</f>
        <v>509</v>
      </c>
      <c r="E391" s="58">
        <f>IFERROR(VLOOKUP(B391,O.B.JUNE!$V$7:$X$448,3,0),0)</f>
        <v>70837.589390962676</v>
      </c>
      <c r="F391" s="58">
        <f>IFERROR(VLOOKUP(B391,O.B.JUNE!$V$7:$Y$448,4,0),0)</f>
        <v>36056333</v>
      </c>
      <c r="G391" s="58">
        <f>SUMIF('JUNE (물량흐름)'!$C$13:$C$493,'In-out-bal products (155)(완성제품)'!B391,'JUNE (물량흐름)'!$V$13:$V$493)</f>
        <v>0</v>
      </c>
      <c r="H391" s="58">
        <f>SUMIF('JUNE (물량흐름)'!$C$13:$C$493,'In-out-bal products (155)(완성제품)'!B391,'JUNE (물량흐름)'!$T$13:$T$493)-SUMIF('JUNE (물량흐름)'!$C$13:$C$493,'In-out-bal products (155)(완성제품)'!B391,'JUNE (물량흐름)'!$Y$13:$Y$493)+SUMIF('JUNE (물량흐름)'!$C$13:$C$493,'In-out-bal products (155)(완성제품)'!B391,'JUNE (물량흐름)'!$U$13:$U$493)</f>
        <v>603</v>
      </c>
      <c r="I391" s="58">
        <f t="shared" si="186"/>
        <v>88038.25704809287</v>
      </c>
      <c r="J391" s="58">
        <f>SUMIF('Direct labour(직접노무비)'!$C$12:$C$503,'In-out-bal products (155)(완성제품)'!B391,'Direct labour(직접노무비)'!$Q$12:$Q$503)</f>
        <v>17972840</v>
      </c>
      <c r="K391" s="59">
        <f>SUMIF('Overhead exp(제조경비)'!$C$12:$C$503,'In-out-bal products (155)(완성제품)'!B391,'Overhead exp(제조경비)'!$Q$12:$Q$503)</f>
        <v>35114229</v>
      </c>
      <c r="L391" s="58">
        <f t="shared" si="187"/>
        <v>53087069</v>
      </c>
      <c r="M391" s="58">
        <f>SUMIF('JUNE (물량흐름)'!$C$13:$C$488,'In-out-bal products (155)(완성제품)'!B391,'JUNE (물량흐름)'!$Y$13:$Y$488)</f>
        <v>9</v>
      </c>
      <c r="N391" s="58">
        <f t="shared" si="188"/>
        <v>88038.222222222219</v>
      </c>
      <c r="O391" s="58">
        <f>SUMIF('Direct labour(직접노무비)'!$C$12:$C$503,'In-out-bal products (155)(완성제품)'!B391,'Direct labour(직접노무비)'!$U$12:$U$503)+SUMIF('Overhead exp(제조경비)'!$C$12:$C$503,'In-out-bal products (155)(완성제품)'!B391,'Overhead exp(제조경비)'!$U$12:$U$503)</f>
        <v>792344</v>
      </c>
      <c r="P391" s="60">
        <f t="shared" si="189"/>
        <v>612</v>
      </c>
      <c r="Q391" s="60">
        <f t="shared" si="190"/>
        <v>88038.256535947716</v>
      </c>
      <c r="R391" s="60">
        <f t="shared" si="191"/>
        <v>53879413</v>
      </c>
      <c r="S391" s="58">
        <v>0</v>
      </c>
      <c r="T391" s="58">
        <v>0</v>
      </c>
      <c r="U391" s="58">
        <v>0</v>
      </c>
      <c r="V391" s="58">
        <f>SUMIF('JUNE (물량흐름)'!$C$13:$C$493,'In-out-bal products (155)(완성제품)'!B391,'JUNE (물량흐름)'!$W$13:$W$493)</f>
        <v>1090</v>
      </c>
      <c r="W391" s="58">
        <f t="shared" si="192"/>
        <v>80164.930275229359</v>
      </c>
      <c r="X391" s="58">
        <f t="shared" si="193"/>
        <v>87379774</v>
      </c>
      <c r="Y391" s="58">
        <f>SUMIF('JUNE (물량흐름)'!$C$13:$C$488,'In-out-bal products (155)(완성제품)'!B391,'JUNE (물량흐름)'!$X$13:$X$488)</f>
        <v>0</v>
      </c>
      <c r="Z391" s="58">
        <f t="shared" si="194"/>
        <v>0</v>
      </c>
      <c r="AA391" s="58">
        <f t="shared" si="195"/>
        <v>0</v>
      </c>
      <c r="AB391" s="58"/>
      <c r="AC391" s="58"/>
      <c r="AD391" s="61"/>
      <c r="AE391" s="58">
        <f t="shared" si="196"/>
        <v>9</v>
      </c>
      <c r="AF391" s="58">
        <f t="shared" si="197"/>
        <v>88038.222222222219</v>
      </c>
      <c r="AG391" s="61">
        <f t="shared" si="198"/>
        <v>792344</v>
      </c>
      <c r="AH391" s="58">
        <v>0</v>
      </c>
      <c r="AI391" s="58">
        <v>0</v>
      </c>
      <c r="AJ391" s="61">
        <v>0</v>
      </c>
      <c r="AK391" s="58"/>
      <c r="AL391" s="58"/>
      <c r="AM391" s="61"/>
      <c r="AN391" s="61">
        <f t="shared" si="185"/>
        <v>1099</v>
      </c>
      <c r="AO391" s="58">
        <f t="shared" si="199"/>
        <v>80229.406733393989</v>
      </c>
      <c r="AP391" s="61">
        <f t="shared" si="200"/>
        <v>88172118</v>
      </c>
      <c r="AQ391" s="58">
        <f t="shared" si="201"/>
        <v>22</v>
      </c>
      <c r="AR391" s="58">
        <f t="shared" si="202"/>
        <v>80164.909090909088</v>
      </c>
      <c r="AS391" s="58">
        <f t="shared" si="203"/>
        <v>1763628</v>
      </c>
      <c r="AT391" s="58">
        <f>ROUND(SUMIF('JUNE (물량흐름)'!$C$13:$C$502,'In-out-bal products (155)(완성제품)'!B391,'JUNE (물량흐름)'!$AB$13:$AB$502),0)</f>
        <v>0</v>
      </c>
      <c r="AU391" s="58">
        <f t="shared" si="204"/>
        <v>0</v>
      </c>
      <c r="AV391" s="58">
        <f>ROUND(SUMIF('JUNE (물량흐름)'!$C$13:$C$502,'In-out-bal products (155)(완성제품)'!B391,'JUNE (물량흐름)'!$AC$13:$AC$502),0)</f>
        <v>22</v>
      </c>
      <c r="AW391" s="58">
        <f t="shared" si="205"/>
        <v>1763628</v>
      </c>
      <c r="AX391" s="376">
        <f t="shared" si="206"/>
        <v>0</v>
      </c>
      <c r="AY391" s="377">
        <f t="shared" si="207"/>
        <v>0</v>
      </c>
      <c r="AZ391" s="377">
        <f t="shared" si="208"/>
        <v>0</v>
      </c>
      <c r="BA391" s="377">
        <f t="shared" si="209"/>
        <v>0</v>
      </c>
      <c r="BB391" s="377"/>
      <c r="BC391" s="377">
        <f t="shared" si="210"/>
        <v>0</v>
      </c>
      <c r="BD391" s="377">
        <f t="shared" si="211"/>
        <v>0</v>
      </c>
      <c r="BE391" s="377"/>
      <c r="BF391" s="377">
        <f t="shared" si="212"/>
        <v>0</v>
      </c>
      <c r="BG391" s="433">
        <f t="shared" si="213"/>
        <v>88172118</v>
      </c>
      <c r="BH391" s="434">
        <f t="shared" si="214"/>
        <v>0</v>
      </c>
    </row>
    <row r="392" spans="1:60" s="378" customFormat="1">
      <c r="A392" s="167">
        <v>401</v>
      </c>
      <c r="B392" s="253">
        <f>VLOOKUP(A392,'JUNE (물량흐름)'!$A$13:$C$493,3,0)</f>
        <v>464618</v>
      </c>
      <c r="C392" s="57" t="str">
        <f>VLOOKUP(A392,'JUNE (물량흐름)'!$A$13:$C$493,2,0)</f>
        <v>ANN TAYLOR</v>
      </c>
      <c r="D392" s="58">
        <f>IFERROR(VLOOKUP(B392,O.B.JUNE!$V$7:$Y$448,2,0),0)</f>
        <v>109</v>
      </c>
      <c r="E392" s="58">
        <f>IFERROR(VLOOKUP(B392,O.B.JUNE!$V$7:$X$448,3,0),0)</f>
        <v>71891.926605504588</v>
      </c>
      <c r="F392" s="58">
        <f>IFERROR(VLOOKUP(B392,O.B.JUNE!$V$7:$Y$448,4,0),0)</f>
        <v>7836220</v>
      </c>
      <c r="G392" s="58">
        <f>SUMIF('JUNE (물량흐름)'!$C$13:$C$493,'In-out-bal products (155)(완성제품)'!B392,'JUNE (물량흐름)'!$V$13:$V$493)</f>
        <v>0</v>
      </c>
      <c r="H392" s="58">
        <f>SUMIF('JUNE (물량흐름)'!$C$13:$C$493,'In-out-bal products (155)(완성제품)'!B392,'JUNE (물량흐름)'!$T$13:$T$493)-SUMIF('JUNE (물량흐름)'!$C$13:$C$493,'In-out-bal products (155)(완성제품)'!B392,'JUNE (물량흐름)'!$Y$13:$Y$493)+SUMIF('JUNE (물량흐름)'!$C$13:$C$493,'In-out-bal products (155)(완성제품)'!B392,'JUNE (물량흐름)'!$U$13:$U$493)</f>
        <v>0</v>
      </c>
      <c r="I392" s="58">
        <f t="shared" si="186"/>
        <v>0</v>
      </c>
      <c r="J392" s="58">
        <f>SUMIF('Direct labour(직접노무비)'!$C$12:$C$503,'In-out-bal products (155)(완성제품)'!B392,'Direct labour(직접노무비)'!$Q$12:$Q$503)</f>
        <v>0</v>
      </c>
      <c r="K392" s="59">
        <f>SUMIF('Overhead exp(제조경비)'!$C$12:$C$503,'In-out-bal products (155)(완성제품)'!B392,'Overhead exp(제조경비)'!$Q$12:$Q$503)</f>
        <v>0</v>
      </c>
      <c r="L392" s="58">
        <f t="shared" si="187"/>
        <v>0</v>
      </c>
      <c r="M392" s="58">
        <f>SUMIF('JUNE (물량흐름)'!$C$13:$C$488,'In-out-bal products (155)(완성제품)'!B392,'JUNE (물량흐름)'!$Y$13:$Y$488)</f>
        <v>0</v>
      </c>
      <c r="N392" s="58">
        <f t="shared" si="188"/>
        <v>0</v>
      </c>
      <c r="O392" s="58">
        <f>SUMIF('Direct labour(직접노무비)'!$C$12:$C$503,'In-out-bal products (155)(완성제품)'!B392,'Direct labour(직접노무비)'!$U$12:$U$503)+SUMIF('Overhead exp(제조경비)'!$C$12:$C$503,'In-out-bal products (155)(완성제품)'!B392,'Overhead exp(제조경비)'!$U$12:$U$503)</f>
        <v>0</v>
      </c>
      <c r="P392" s="60">
        <f t="shared" si="189"/>
        <v>0</v>
      </c>
      <c r="Q392" s="60">
        <f t="shared" si="190"/>
        <v>0</v>
      </c>
      <c r="R392" s="60">
        <f t="shared" si="191"/>
        <v>0</v>
      </c>
      <c r="S392" s="58">
        <v>0</v>
      </c>
      <c r="T392" s="58">
        <v>0</v>
      </c>
      <c r="U392" s="58">
        <v>0</v>
      </c>
      <c r="V392" s="58">
        <f>SUMIF('JUNE (물량흐름)'!$C$13:$C$493,'In-out-bal products (155)(완성제품)'!B392,'JUNE (물량흐름)'!$W$13:$W$493)</f>
        <v>0</v>
      </c>
      <c r="W392" s="58">
        <f t="shared" si="192"/>
        <v>0</v>
      </c>
      <c r="X392" s="58">
        <f t="shared" si="193"/>
        <v>0</v>
      </c>
      <c r="Y392" s="58">
        <f>SUMIF('JUNE (물량흐름)'!$C$13:$C$488,'In-out-bal products (155)(완성제품)'!B392,'JUNE (물량흐름)'!$X$13:$X$488)</f>
        <v>0</v>
      </c>
      <c r="Z392" s="58">
        <f t="shared" si="194"/>
        <v>0</v>
      </c>
      <c r="AA392" s="58">
        <f t="shared" si="195"/>
        <v>0</v>
      </c>
      <c r="AB392" s="58"/>
      <c r="AC392" s="58"/>
      <c r="AD392" s="61"/>
      <c r="AE392" s="58">
        <f t="shared" si="196"/>
        <v>0</v>
      </c>
      <c r="AF392" s="58">
        <f t="shared" si="197"/>
        <v>0</v>
      </c>
      <c r="AG392" s="61">
        <f t="shared" si="198"/>
        <v>0</v>
      </c>
      <c r="AH392" s="58">
        <v>0</v>
      </c>
      <c r="AI392" s="58">
        <v>0</v>
      </c>
      <c r="AJ392" s="61">
        <v>0</v>
      </c>
      <c r="AK392" s="58"/>
      <c r="AL392" s="58"/>
      <c r="AM392" s="61"/>
      <c r="AN392" s="61">
        <f t="shared" si="185"/>
        <v>0</v>
      </c>
      <c r="AO392" s="58">
        <f t="shared" si="199"/>
        <v>0</v>
      </c>
      <c r="AP392" s="61">
        <f t="shared" si="200"/>
        <v>0</v>
      </c>
      <c r="AQ392" s="58">
        <f t="shared" si="201"/>
        <v>109</v>
      </c>
      <c r="AR392" s="58">
        <f t="shared" si="202"/>
        <v>71891.926605504588</v>
      </c>
      <c r="AS392" s="58">
        <f t="shared" si="203"/>
        <v>7836220</v>
      </c>
      <c r="AT392" s="58">
        <f>ROUND(SUMIF('JUNE (물량흐름)'!$C$13:$C$502,'In-out-bal products (155)(완성제품)'!B392,'JUNE (물량흐름)'!$AB$13:$AB$502),0)</f>
        <v>0</v>
      </c>
      <c r="AU392" s="58">
        <f t="shared" si="204"/>
        <v>0</v>
      </c>
      <c r="AV392" s="58">
        <f>ROUND(SUMIF('JUNE (물량흐름)'!$C$13:$C$502,'In-out-bal products (155)(완성제품)'!B392,'JUNE (물량흐름)'!$AC$13:$AC$502),0)</f>
        <v>109</v>
      </c>
      <c r="AW392" s="58">
        <f t="shared" si="205"/>
        <v>7836220</v>
      </c>
      <c r="AX392" s="376">
        <f t="shared" si="206"/>
        <v>0</v>
      </c>
      <c r="AY392" s="377">
        <f t="shared" si="207"/>
        <v>0</v>
      </c>
      <c r="AZ392" s="377">
        <f t="shared" si="208"/>
        <v>0</v>
      </c>
      <c r="BA392" s="377">
        <f t="shared" si="209"/>
        <v>0</v>
      </c>
      <c r="BB392" s="377"/>
      <c r="BC392" s="377">
        <f t="shared" si="210"/>
        <v>0</v>
      </c>
      <c r="BD392" s="377">
        <f t="shared" si="211"/>
        <v>0</v>
      </c>
      <c r="BE392" s="377"/>
      <c r="BF392" s="377">
        <f t="shared" si="212"/>
        <v>0</v>
      </c>
      <c r="BG392" s="433">
        <f t="shared" si="213"/>
        <v>0</v>
      </c>
      <c r="BH392" s="434">
        <f t="shared" si="214"/>
        <v>0</v>
      </c>
    </row>
    <row r="393" spans="1:60" s="378" customFormat="1">
      <c r="A393" s="167">
        <v>402</v>
      </c>
      <c r="B393" s="253">
        <f>VLOOKUP(A393,'JUNE (물량흐름)'!$A$13:$C$493,3,0)</f>
        <v>466748</v>
      </c>
      <c r="C393" s="57" t="str">
        <f>VLOOKUP(A393,'JUNE (물량흐름)'!$A$13:$C$493,2,0)</f>
        <v>ANN TAYLOR</v>
      </c>
      <c r="D393" s="58">
        <f>IFERROR(VLOOKUP(B393,O.B.JUNE!$V$7:$Y$448,2,0),0)</f>
        <v>748</v>
      </c>
      <c r="E393" s="58">
        <f>IFERROR(VLOOKUP(B393,O.B.JUNE!$V$7:$X$448,3,0),0)</f>
        <v>29668.268716577539</v>
      </c>
      <c r="F393" s="58">
        <f>IFERROR(VLOOKUP(B393,O.B.JUNE!$V$7:$Y$448,4,0),0)</f>
        <v>22191865</v>
      </c>
      <c r="G393" s="58">
        <f>SUMIF('JUNE (물량흐름)'!$C$13:$C$493,'In-out-bal products (155)(완성제품)'!B393,'JUNE (물량흐름)'!$V$13:$V$493)</f>
        <v>0</v>
      </c>
      <c r="H393" s="58">
        <f>SUMIF('JUNE (물량흐름)'!$C$13:$C$493,'In-out-bal products (155)(완성제품)'!B393,'JUNE (물량흐름)'!$T$13:$T$493)-SUMIF('JUNE (물량흐름)'!$C$13:$C$493,'In-out-bal products (155)(완성제품)'!B393,'JUNE (물량흐름)'!$Y$13:$Y$493)+SUMIF('JUNE (물량흐름)'!$C$13:$C$493,'In-out-bal products (155)(완성제품)'!B393,'JUNE (물량흐름)'!$U$13:$U$493)</f>
        <v>411</v>
      </c>
      <c r="I393" s="58">
        <f t="shared" si="186"/>
        <v>29668.267639902675</v>
      </c>
      <c r="J393" s="58">
        <f>SUMIF('Direct labour(직접노무비)'!$C$12:$C$503,'In-out-bal products (155)(완성제품)'!B393,'Direct labour(직접노무비)'!$Q$12:$Q$503)</f>
        <v>4128212</v>
      </c>
      <c r="K393" s="59">
        <f>SUMIF('Overhead exp(제조경비)'!$C$12:$C$503,'In-out-bal products (155)(완성제품)'!B393,'Overhead exp(제조경비)'!$Q$12:$Q$503)</f>
        <v>8065446</v>
      </c>
      <c r="L393" s="58">
        <f t="shared" si="187"/>
        <v>12193658</v>
      </c>
      <c r="M393" s="58">
        <f>SUMIF('JUNE (물량흐름)'!$C$13:$C$488,'In-out-bal products (155)(완성제품)'!B393,'JUNE (물량흐름)'!$Y$13:$Y$488)</f>
        <v>13</v>
      </c>
      <c r="N393" s="58">
        <f t="shared" si="188"/>
        <v>29668.23076923077</v>
      </c>
      <c r="O393" s="58">
        <f>SUMIF('Direct labour(직접노무비)'!$C$12:$C$503,'In-out-bal products (155)(완성제품)'!B393,'Direct labour(직접노무비)'!$U$12:$U$503)+SUMIF('Overhead exp(제조경비)'!$C$12:$C$503,'In-out-bal products (155)(완성제품)'!B393,'Overhead exp(제조경비)'!$U$12:$U$503)</f>
        <v>385687</v>
      </c>
      <c r="P393" s="60">
        <f t="shared" si="189"/>
        <v>424</v>
      </c>
      <c r="Q393" s="60">
        <f t="shared" si="190"/>
        <v>29668.266509433961</v>
      </c>
      <c r="R393" s="60">
        <f t="shared" si="191"/>
        <v>12579345</v>
      </c>
      <c r="S393" s="58">
        <v>0</v>
      </c>
      <c r="T393" s="58">
        <v>0</v>
      </c>
      <c r="U393" s="58">
        <v>0</v>
      </c>
      <c r="V393" s="58">
        <f>SUMIF('JUNE (물량흐름)'!$C$13:$C$493,'In-out-bal products (155)(완성제품)'!B393,'JUNE (물량흐름)'!$W$13:$W$493)</f>
        <v>748</v>
      </c>
      <c r="W393" s="58">
        <f t="shared" si="192"/>
        <v>29668.268716577539</v>
      </c>
      <c r="X393" s="58">
        <f t="shared" si="193"/>
        <v>22191865</v>
      </c>
      <c r="Y393" s="58">
        <f>SUMIF('JUNE (물량흐름)'!$C$13:$C$488,'In-out-bal products (155)(완성제품)'!B393,'JUNE (물량흐름)'!$X$13:$X$488)</f>
        <v>0</v>
      </c>
      <c r="Z393" s="58">
        <f t="shared" si="194"/>
        <v>0</v>
      </c>
      <c r="AA393" s="58">
        <f t="shared" si="195"/>
        <v>0</v>
      </c>
      <c r="AB393" s="58"/>
      <c r="AC393" s="58"/>
      <c r="AD393" s="61"/>
      <c r="AE393" s="58">
        <f t="shared" si="196"/>
        <v>13</v>
      </c>
      <c r="AF393" s="58">
        <f t="shared" si="197"/>
        <v>29668.23076923077</v>
      </c>
      <c r="AG393" s="61">
        <f t="shared" si="198"/>
        <v>385687</v>
      </c>
      <c r="AH393" s="58">
        <v>0</v>
      </c>
      <c r="AI393" s="58">
        <v>0</v>
      </c>
      <c r="AJ393" s="61">
        <v>0</v>
      </c>
      <c r="AK393" s="58"/>
      <c r="AL393" s="58"/>
      <c r="AM393" s="61"/>
      <c r="AN393" s="61">
        <f t="shared" si="185"/>
        <v>761</v>
      </c>
      <c r="AO393" s="58">
        <f t="shared" si="199"/>
        <v>29668.268068331145</v>
      </c>
      <c r="AP393" s="61">
        <f t="shared" si="200"/>
        <v>22577552</v>
      </c>
      <c r="AQ393" s="58">
        <f t="shared" si="201"/>
        <v>411</v>
      </c>
      <c r="AR393" s="58">
        <f t="shared" si="202"/>
        <v>29668.267639902675</v>
      </c>
      <c r="AS393" s="58">
        <f t="shared" si="203"/>
        <v>12193658</v>
      </c>
      <c r="AT393" s="58">
        <f>ROUND(SUMIF('JUNE (물량흐름)'!$C$13:$C$502,'In-out-bal products (155)(완성제품)'!B393,'JUNE (물량흐름)'!$AB$13:$AB$502),0)</f>
        <v>0</v>
      </c>
      <c r="AU393" s="58">
        <f t="shared" si="204"/>
        <v>0</v>
      </c>
      <c r="AV393" s="58">
        <f>ROUND(SUMIF('JUNE (물량흐름)'!$C$13:$C$502,'In-out-bal products (155)(완성제품)'!B393,'JUNE (물량흐름)'!$AC$13:$AC$502),0)</f>
        <v>411</v>
      </c>
      <c r="AW393" s="58">
        <f t="shared" si="205"/>
        <v>12193658</v>
      </c>
      <c r="AX393" s="376">
        <f t="shared" si="206"/>
        <v>0</v>
      </c>
      <c r="AY393" s="377">
        <f t="shared" si="207"/>
        <v>0</v>
      </c>
      <c r="AZ393" s="377">
        <f t="shared" si="208"/>
        <v>0</v>
      </c>
      <c r="BA393" s="377">
        <f t="shared" si="209"/>
        <v>0</v>
      </c>
      <c r="BB393" s="377"/>
      <c r="BC393" s="377">
        <f t="shared" si="210"/>
        <v>0</v>
      </c>
      <c r="BD393" s="377">
        <f t="shared" si="211"/>
        <v>0</v>
      </c>
      <c r="BE393" s="377"/>
      <c r="BF393" s="377">
        <f t="shared" si="212"/>
        <v>0</v>
      </c>
      <c r="BG393" s="433">
        <f t="shared" si="213"/>
        <v>22577552</v>
      </c>
      <c r="BH393" s="434">
        <f t="shared" si="214"/>
        <v>0</v>
      </c>
    </row>
    <row r="394" spans="1:60" s="378" customFormat="1">
      <c r="A394" s="167">
        <v>403</v>
      </c>
      <c r="B394" s="253">
        <f>VLOOKUP(A394,'JUNE (물량흐름)'!$A$13:$C$493,3,0)</f>
        <v>468918</v>
      </c>
      <c r="C394" s="57" t="str">
        <f>VLOOKUP(A394,'JUNE (물량흐름)'!$A$13:$C$493,2,0)</f>
        <v>ANN TAYLOR</v>
      </c>
      <c r="D394" s="58">
        <f>IFERROR(VLOOKUP(B394,O.B.JUNE!$V$7:$Y$448,2,0),0)</f>
        <v>330</v>
      </c>
      <c r="E394" s="58">
        <f>IFERROR(VLOOKUP(B394,O.B.JUNE!$V$7:$X$448,3,0),0)</f>
        <v>70321.8</v>
      </c>
      <c r="F394" s="58">
        <f>IFERROR(VLOOKUP(B394,O.B.JUNE!$V$7:$Y$448,4,0),0)</f>
        <v>23206194</v>
      </c>
      <c r="G394" s="58">
        <f>SUMIF('JUNE (물량흐름)'!$C$13:$C$493,'In-out-bal products (155)(완성제품)'!B394,'JUNE (물량흐름)'!$V$13:$V$493)</f>
        <v>0</v>
      </c>
      <c r="H394" s="58">
        <f>SUMIF('JUNE (물량흐름)'!$C$13:$C$493,'In-out-bal products (155)(완성제품)'!B394,'JUNE (물량흐름)'!$T$13:$T$493)-SUMIF('JUNE (물량흐름)'!$C$13:$C$493,'In-out-bal products (155)(완성제품)'!B394,'JUNE (물량흐름)'!$Y$13:$Y$493)+SUMIF('JUNE (물량흐름)'!$C$13:$C$493,'In-out-bal products (155)(완성제품)'!B394,'JUNE (물량흐름)'!$U$13:$U$493)</f>
        <v>0</v>
      </c>
      <c r="I394" s="58">
        <f t="shared" si="186"/>
        <v>0</v>
      </c>
      <c r="J394" s="58">
        <f>SUMIF('Direct labour(직접노무비)'!$C$12:$C$503,'In-out-bal products (155)(완성제품)'!B394,'Direct labour(직접노무비)'!$Q$12:$Q$503)</f>
        <v>0</v>
      </c>
      <c r="K394" s="59">
        <f>SUMIF('Overhead exp(제조경비)'!$C$12:$C$503,'In-out-bal products (155)(완성제품)'!B394,'Overhead exp(제조경비)'!$Q$12:$Q$503)</f>
        <v>0</v>
      </c>
      <c r="L394" s="58">
        <f t="shared" si="187"/>
        <v>0</v>
      </c>
      <c r="M394" s="58">
        <f>SUMIF('JUNE (물량흐름)'!$C$13:$C$488,'In-out-bal products (155)(완성제품)'!B394,'JUNE (물량흐름)'!$Y$13:$Y$488)</f>
        <v>10</v>
      </c>
      <c r="N394" s="58">
        <f t="shared" si="188"/>
        <v>70321.8</v>
      </c>
      <c r="O394" s="58">
        <f>SUMIF('Direct labour(직접노무비)'!$C$12:$C$503,'In-out-bal products (155)(완성제품)'!B394,'Direct labour(직접노무비)'!$U$12:$U$503)+SUMIF('Overhead exp(제조경비)'!$C$12:$C$503,'In-out-bal products (155)(완성제품)'!B394,'Overhead exp(제조경비)'!$U$12:$U$503)</f>
        <v>703218</v>
      </c>
      <c r="P394" s="60">
        <f t="shared" si="189"/>
        <v>10</v>
      </c>
      <c r="Q394" s="60">
        <f t="shared" si="190"/>
        <v>70321.8</v>
      </c>
      <c r="R394" s="60">
        <f t="shared" si="191"/>
        <v>703218</v>
      </c>
      <c r="S394" s="58">
        <v>0</v>
      </c>
      <c r="T394" s="58">
        <v>0</v>
      </c>
      <c r="U394" s="58">
        <v>0</v>
      </c>
      <c r="V394" s="58">
        <f>SUMIF('JUNE (물량흐름)'!$C$13:$C$493,'In-out-bal products (155)(완성제품)'!B394,'JUNE (물량흐름)'!$W$13:$W$493)</f>
        <v>300</v>
      </c>
      <c r="W394" s="58">
        <f t="shared" si="192"/>
        <v>70321.8</v>
      </c>
      <c r="X394" s="58">
        <f t="shared" si="193"/>
        <v>21096540</v>
      </c>
      <c r="Y394" s="58">
        <f>SUMIF('JUNE (물량흐름)'!$C$13:$C$488,'In-out-bal products (155)(완성제품)'!B394,'JUNE (물량흐름)'!$X$13:$X$488)</f>
        <v>0</v>
      </c>
      <c r="Z394" s="58">
        <f t="shared" si="194"/>
        <v>0</v>
      </c>
      <c r="AA394" s="58">
        <f t="shared" si="195"/>
        <v>0</v>
      </c>
      <c r="AB394" s="58"/>
      <c r="AC394" s="58"/>
      <c r="AD394" s="61"/>
      <c r="AE394" s="58">
        <f t="shared" si="196"/>
        <v>10</v>
      </c>
      <c r="AF394" s="58">
        <f t="shared" si="197"/>
        <v>70321.8</v>
      </c>
      <c r="AG394" s="61">
        <f t="shared" si="198"/>
        <v>703218</v>
      </c>
      <c r="AH394" s="58">
        <v>0</v>
      </c>
      <c r="AI394" s="58">
        <v>0</v>
      </c>
      <c r="AJ394" s="61">
        <v>0</v>
      </c>
      <c r="AK394" s="58"/>
      <c r="AL394" s="58"/>
      <c r="AM394" s="61"/>
      <c r="AN394" s="61">
        <f t="shared" si="185"/>
        <v>310</v>
      </c>
      <c r="AO394" s="58">
        <f t="shared" si="199"/>
        <v>70321.8</v>
      </c>
      <c r="AP394" s="61">
        <f t="shared" si="200"/>
        <v>21799758</v>
      </c>
      <c r="AQ394" s="58">
        <f t="shared" si="201"/>
        <v>30</v>
      </c>
      <c r="AR394" s="58">
        <f t="shared" si="202"/>
        <v>70321.8</v>
      </c>
      <c r="AS394" s="58">
        <f t="shared" si="203"/>
        <v>2109654</v>
      </c>
      <c r="AT394" s="58">
        <f>ROUND(SUMIF('JUNE (물량흐름)'!$C$13:$C$502,'In-out-bal products (155)(완성제품)'!B394,'JUNE (물량흐름)'!$AB$13:$AB$502),0)</f>
        <v>0</v>
      </c>
      <c r="AU394" s="58">
        <f t="shared" si="204"/>
        <v>0</v>
      </c>
      <c r="AV394" s="58">
        <f>ROUND(SUMIF('JUNE (물량흐름)'!$C$13:$C$502,'In-out-bal products (155)(완성제품)'!B394,'JUNE (물량흐름)'!$AC$13:$AC$502),0)</f>
        <v>30</v>
      </c>
      <c r="AW394" s="58">
        <f t="shared" si="205"/>
        <v>2109654</v>
      </c>
      <c r="AX394" s="376">
        <f t="shared" si="206"/>
        <v>0</v>
      </c>
      <c r="AY394" s="377">
        <f t="shared" si="207"/>
        <v>0</v>
      </c>
      <c r="AZ394" s="377">
        <f t="shared" si="208"/>
        <v>0</v>
      </c>
      <c r="BA394" s="377">
        <f t="shared" si="209"/>
        <v>0</v>
      </c>
      <c r="BB394" s="377"/>
      <c r="BC394" s="377">
        <f t="shared" si="210"/>
        <v>0</v>
      </c>
      <c r="BD394" s="377">
        <f t="shared" si="211"/>
        <v>0</v>
      </c>
      <c r="BE394" s="377"/>
      <c r="BF394" s="377">
        <f t="shared" si="212"/>
        <v>0</v>
      </c>
      <c r="BG394" s="433">
        <f t="shared" si="213"/>
        <v>21799758</v>
      </c>
      <c r="BH394" s="434">
        <f t="shared" si="214"/>
        <v>0</v>
      </c>
    </row>
    <row r="395" spans="1:60" s="378" customFormat="1">
      <c r="A395" s="167">
        <v>404</v>
      </c>
      <c r="B395" s="253">
        <f>VLOOKUP(A395,'JUNE (물량흐름)'!$A$13:$C$493,3,0)</f>
        <v>469040</v>
      </c>
      <c r="C395" s="57" t="str">
        <f>VLOOKUP(A395,'JUNE (물량흐름)'!$A$13:$C$493,2,0)</f>
        <v>ANN TAYLOR</v>
      </c>
      <c r="D395" s="58">
        <f>IFERROR(VLOOKUP(B395,O.B.JUNE!$V$7:$Y$448,2,0),0)</f>
        <v>4418</v>
      </c>
      <c r="E395" s="58">
        <f>IFERROR(VLOOKUP(B395,O.B.JUNE!$V$7:$X$448,3,0),0)</f>
        <v>28550.418515165235</v>
      </c>
      <c r="F395" s="58">
        <f>IFERROR(VLOOKUP(B395,O.B.JUNE!$V$7:$Y$448,4,0),0)</f>
        <v>126135749</v>
      </c>
      <c r="G395" s="58">
        <f>SUMIF('JUNE (물량흐름)'!$C$13:$C$493,'In-out-bal products (155)(완성제품)'!B395,'JUNE (물량흐름)'!$V$13:$V$493)</f>
        <v>0</v>
      </c>
      <c r="H395" s="58">
        <f>SUMIF('JUNE (물량흐름)'!$C$13:$C$493,'In-out-bal products (155)(완성제품)'!B395,'JUNE (물량흐름)'!$T$13:$T$493)-SUMIF('JUNE (물량흐름)'!$C$13:$C$493,'In-out-bal products (155)(완성제품)'!B395,'JUNE (물량흐름)'!$Y$13:$Y$493)+SUMIF('JUNE (물량흐름)'!$C$13:$C$493,'In-out-bal products (155)(완성제품)'!B395,'JUNE (물량흐름)'!$U$13:$U$493)</f>
        <v>2132</v>
      </c>
      <c r="I395" s="58">
        <f t="shared" si="186"/>
        <v>32043.512195121952</v>
      </c>
      <c r="J395" s="58">
        <f>SUMIF('Direct labour(직접노무비)'!$C$12:$C$503,'In-out-bal products (155)(완성제품)'!B395,'Direct labour(직접노무비)'!$Q$12:$Q$503)</f>
        <v>23128916</v>
      </c>
      <c r="K395" s="59">
        <f>SUMIF('Overhead exp(제조경비)'!$C$12:$C$503,'In-out-bal products (155)(완성제품)'!B395,'Overhead exp(제조경비)'!$Q$12:$Q$503)</f>
        <v>45187852</v>
      </c>
      <c r="L395" s="58">
        <f t="shared" si="187"/>
        <v>68316768</v>
      </c>
      <c r="M395" s="58">
        <f>SUMIF('JUNE (물량흐름)'!$C$13:$C$488,'In-out-bal products (155)(완성제품)'!B395,'JUNE (물량흐름)'!$Y$13:$Y$488)</f>
        <v>0</v>
      </c>
      <c r="N395" s="58">
        <f t="shared" si="188"/>
        <v>0</v>
      </c>
      <c r="O395" s="58">
        <f>SUMIF('Direct labour(직접노무비)'!$C$12:$C$503,'In-out-bal products (155)(완성제품)'!B395,'Direct labour(직접노무비)'!$U$12:$U$503)+SUMIF('Overhead exp(제조경비)'!$C$12:$C$503,'In-out-bal products (155)(완성제품)'!B395,'Overhead exp(제조경비)'!$U$12:$U$503)</f>
        <v>0</v>
      </c>
      <c r="P395" s="60">
        <f t="shared" si="189"/>
        <v>2132</v>
      </c>
      <c r="Q395" s="60">
        <f t="shared" si="190"/>
        <v>32043.512195121952</v>
      </c>
      <c r="R395" s="60">
        <f t="shared" si="191"/>
        <v>68316768</v>
      </c>
      <c r="S395" s="58">
        <v>0</v>
      </c>
      <c r="T395" s="58">
        <v>0</v>
      </c>
      <c r="U395" s="58">
        <v>0</v>
      </c>
      <c r="V395" s="58">
        <f>SUMIF('JUNE (물량흐름)'!$C$13:$C$493,'In-out-bal products (155)(완성제품)'!B395,'JUNE (물량흐름)'!$W$13:$W$493)</f>
        <v>6550</v>
      </c>
      <c r="W395" s="58">
        <f t="shared" si="192"/>
        <v>29687.40717557252</v>
      </c>
      <c r="X395" s="58">
        <f t="shared" si="193"/>
        <v>194452517</v>
      </c>
      <c r="Y395" s="58">
        <f>SUMIF('JUNE (물량흐름)'!$C$13:$C$488,'In-out-bal products (155)(완성제품)'!B395,'JUNE (물량흐름)'!$X$13:$X$488)</f>
        <v>0</v>
      </c>
      <c r="Z395" s="58">
        <f t="shared" si="194"/>
        <v>0</v>
      </c>
      <c r="AA395" s="58">
        <f t="shared" si="195"/>
        <v>0</v>
      </c>
      <c r="AB395" s="58"/>
      <c r="AC395" s="58"/>
      <c r="AD395" s="61"/>
      <c r="AE395" s="58">
        <f t="shared" si="196"/>
        <v>0</v>
      </c>
      <c r="AF395" s="58">
        <f t="shared" si="197"/>
        <v>0</v>
      </c>
      <c r="AG395" s="61">
        <f t="shared" si="198"/>
        <v>0</v>
      </c>
      <c r="AH395" s="58">
        <v>0</v>
      </c>
      <c r="AI395" s="58">
        <v>0</v>
      </c>
      <c r="AJ395" s="61">
        <v>0</v>
      </c>
      <c r="AK395" s="58"/>
      <c r="AL395" s="58"/>
      <c r="AM395" s="61"/>
      <c r="AN395" s="61">
        <f t="shared" si="185"/>
        <v>6550</v>
      </c>
      <c r="AO395" s="58">
        <f t="shared" si="199"/>
        <v>29687.40717557252</v>
      </c>
      <c r="AP395" s="61">
        <f t="shared" si="200"/>
        <v>194452517</v>
      </c>
      <c r="AQ395" s="58">
        <f t="shared" si="201"/>
        <v>0</v>
      </c>
      <c r="AR395" s="58">
        <f t="shared" si="202"/>
        <v>0</v>
      </c>
      <c r="AS395" s="58">
        <f t="shared" si="203"/>
        <v>0</v>
      </c>
      <c r="AT395" s="58">
        <f>ROUND(SUMIF('JUNE (물량흐름)'!$C$13:$C$502,'In-out-bal products (155)(완성제품)'!B395,'JUNE (물량흐름)'!$AB$13:$AB$502),0)</f>
        <v>0</v>
      </c>
      <c r="AU395" s="58">
        <f t="shared" si="204"/>
        <v>0</v>
      </c>
      <c r="AV395" s="58">
        <f>ROUND(SUMIF('JUNE (물량흐름)'!$C$13:$C$502,'In-out-bal products (155)(완성제품)'!B395,'JUNE (물량흐름)'!$AC$13:$AC$502),0)</f>
        <v>0</v>
      </c>
      <c r="AW395" s="58">
        <f t="shared" si="205"/>
        <v>0</v>
      </c>
      <c r="AX395" s="376">
        <f t="shared" si="206"/>
        <v>0</v>
      </c>
      <c r="AY395" s="377">
        <f t="shared" si="207"/>
        <v>0</v>
      </c>
      <c r="AZ395" s="377">
        <f t="shared" si="208"/>
        <v>0</v>
      </c>
      <c r="BA395" s="377">
        <f t="shared" si="209"/>
        <v>0</v>
      </c>
      <c r="BB395" s="377"/>
      <c r="BC395" s="377">
        <f t="shared" si="210"/>
        <v>0</v>
      </c>
      <c r="BD395" s="377">
        <f t="shared" si="211"/>
        <v>0</v>
      </c>
      <c r="BE395" s="377"/>
      <c r="BF395" s="377">
        <f t="shared" si="212"/>
        <v>0</v>
      </c>
      <c r="BG395" s="433">
        <f t="shared" si="213"/>
        <v>194452517</v>
      </c>
      <c r="BH395" s="434">
        <f t="shared" si="214"/>
        <v>0</v>
      </c>
    </row>
    <row r="396" spans="1:60" s="378" customFormat="1">
      <c r="A396" s="167">
        <v>405</v>
      </c>
      <c r="B396" s="253">
        <f>VLOOKUP(A396,'JUNE (물량흐름)'!$A$13:$C$493,3,0)</f>
        <v>469041</v>
      </c>
      <c r="C396" s="57" t="str">
        <f>VLOOKUP(A396,'JUNE (물량흐름)'!$A$13:$C$493,2,0)</f>
        <v>ANN TAYLOR</v>
      </c>
      <c r="D396" s="58">
        <f>IFERROR(VLOOKUP(B396,O.B.JUNE!$V$7:$Y$448,2,0),0)</f>
        <v>117</v>
      </c>
      <c r="E396" s="58">
        <f>IFERROR(VLOOKUP(B396,O.B.JUNE!$V$7:$X$448,3,0),0)</f>
        <v>30772.683760683762</v>
      </c>
      <c r="F396" s="58">
        <f>IFERROR(VLOOKUP(B396,O.B.JUNE!$V$7:$Y$448,4,0),0)</f>
        <v>3600404</v>
      </c>
      <c r="G396" s="58">
        <f>SUMIF('JUNE (물량흐름)'!$C$13:$C$493,'In-out-bal products (155)(완성제품)'!B396,'JUNE (물량흐름)'!$V$13:$V$493)</f>
        <v>0</v>
      </c>
      <c r="H396" s="58">
        <f>SUMIF('JUNE (물량흐름)'!$C$13:$C$493,'In-out-bal products (155)(완성제품)'!B396,'JUNE (물량흐름)'!$T$13:$T$493)-SUMIF('JUNE (물량흐름)'!$C$13:$C$493,'In-out-bal products (155)(완성제품)'!B396,'JUNE (물량흐름)'!$Y$13:$Y$493)+SUMIF('JUNE (물량흐름)'!$C$13:$C$493,'In-out-bal products (155)(완성제품)'!B396,'JUNE (물량흐름)'!$U$13:$U$493)</f>
        <v>322</v>
      </c>
      <c r="I396" s="58">
        <f t="shared" si="186"/>
        <v>31662.341614906833</v>
      </c>
      <c r="J396" s="58">
        <f>SUMIF('Direct labour(직접노무비)'!$C$12:$C$503,'In-out-bal products (155)(완성제품)'!B396,'Direct labour(직접노무비)'!$Q$12:$Q$503)</f>
        <v>3451651</v>
      </c>
      <c r="K396" s="59">
        <f>SUMIF('Overhead exp(제조경비)'!$C$12:$C$503,'In-out-bal products (155)(완성제품)'!B396,'Overhead exp(제조경비)'!$Q$12:$Q$503)</f>
        <v>6743623</v>
      </c>
      <c r="L396" s="58">
        <f t="shared" si="187"/>
        <v>10195274</v>
      </c>
      <c r="M396" s="58">
        <f>SUMIF('JUNE (물량흐름)'!$C$13:$C$488,'In-out-bal products (155)(완성제품)'!B396,'JUNE (물량흐름)'!$Y$13:$Y$488)</f>
        <v>0</v>
      </c>
      <c r="N396" s="58">
        <f t="shared" si="188"/>
        <v>0</v>
      </c>
      <c r="O396" s="58">
        <f>SUMIF('Direct labour(직접노무비)'!$C$12:$C$503,'In-out-bal products (155)(완성제품)'!B396,'Direct labour(직접노무비)'!$U$12:$U$503)+SUMIF('Overhead exp(제조경비)'!$C$12:$C$503,'In-out-bal products (155)(완성제품)'!B396,'Overhead exp(제조경비)'!$U$12:$U$503)</f>
        <v>0</v>
      </c>
      <c r="P396" s="60">
        <f t="shared" si="189"/>
        <v>322</v>
      </c>
      <c r="Q396" s="60">
        <f t="shared" si="190"/>
        <v>31662.341614906833</v>
      </c>
      <c r="R396" s="60">
        <f t="shared" si="191"/>
        <v>10195274</v>
      </c>
      <c r="S396" s="58">
        <v>0</v>
      </c>
      <c r="T396" s="58">
        <v>0</v>
      </c>
      <c r="U396" s="58">
        <v>0</v>
      </c>
      <c r="V396" s="58">
        <f>SUMIF('JUNE (물량흐름)'!$C$13:$C$493,'In-out-bal products (155)(완성제품)'!B396,'JUNE (물량흐름)'!$W$13:$W$493)</f>
        <v>403</v>
      </c>
      <c r="W396" s="58">
        <f t="shared" si="192"/>
        <v>31425.235732009925</v>
      </c>
      <c r="X396" s="58">
        <f t="shared" si="193"/>
        <v>12664370</v>
      </c>
      <c r="Y396" s="58">
        <f>SUMIF('JUNE (물량흐름)'!$C$13:$C$488,'In-out-bal products (155)(완성제품)'!B396,'JUNE (물량흐름)'!$X$13:$X$488)</f>
        <v>0</v>
      </c>
      <c r="Z396" s="58">
        <f t="shared" si="194"/>
        <v>0</v>
      </c>
      <c r="AA396" s="58">
        <f t="shared" si="195"/>
        <v>0</v>
      </c>
      <c r="AB396" s="58"/>
      <c r="AC396" s="58"/>
      <c r="AD396" s="61"/>
      <c r="AE396" s="58">
        <f t="shared" si="196"/>
        <v>0</v>
      </c>
      <c r="AF396" s="58">
        <f t="shared" si="197"/>
        <v>0</v>
      </c>
      <c r="AG396" s="61">
        <f t="shared" si="198"/>
        <v>0</v>
      </c>
      <c r="AH396" s="58">
        <v>0</v>
      </c>
      <c r="AI396" s="58">
        <v>0</v>
      </c>
      <c r="AJ396" s="61">
        <v>0</v>
      </c>
      <c r="AK396" s="58"/>
      <c r="AL396" s="58"/>
      <c r="AM396" s="61"/>
      <c r="AN396" s="61">
        <f t="shared" ref="AN396:AN459" si="215">ROUND(SUM(V396+Y396+AB396+AE396+AH396+AK396+S396),0)</f>
        <v>403</v>
      </c>
      <c r="AO396" s="58">
        <f t="shared" si="199"/>
        <v>31425.235732009925</v>
      </c>
      <c r="AP396" s="61">
        <f t="shared" si="200"/>
        <v>12664370</v>
      </c>
      <c r="AQ396" s="58">
        <f t="shared" si="201"/>
        <v>36</v>
      </c>
      <c r="AR396" s="58">
        <f t="shared" si="202"/>
        <v>31425.222222222223</v>
      </c>
      <c r="AS396" s="58">
        <f t="shared" si="203"/>
        <v>1131308</v>
      </c>
      <c r="AT396" s="58">
        <f>ROUND(SUMIF('JUNE (물량흐름)'!$C$13:$C$502,'In-out-bal products (155)(완성제품)'!B396,'JUNE (물량흐름)'!$AB$13:$AB$502),0)</f>
        <v>0</v>
      </c>
      <c r="AU396" s="58">
        <f t="shared" si="204"/>
        <v>0</v>
      </c>
      <c r="AV396" s="58">
        <f>ROUND(SUMIF('JUNE (물량흐름)'!$C$13:$C$502,'In-out-bal products (155)(완성제품)'!B396,'JUNE (물량흐름)'!$AC$13:$AC$502),0)</f>
        <v>36</v>
      </c>
      <c r="AW396" s="58">
        <f t="shared" si="205"/>
        <v>1131308</v>
      </c>
      <c r="AX396" s="376">
        <f t="shared" si="206"/>
        <v>0</v>
      </c>
      <c r="AY396" s="377">
        <f t="shared" si="207"/>
        <v>0</v>
      </c>
      <c r="AZ396" s="377">
        <f t="shared" si="208"/>
        <v>0</v>
      </c>
      <c r="BA396" s="377">
        <f t="shared" si="209"/>
        <v>0</v>
      </c>
      <c r="BB396" s="377"/>
      <c r="BC396" s="377">
        <f t="shared" si="210"/>
        <v>0</v>
      </c>
      <c r="BD396" s="377">
        <f t="shared" si="211"/>
        <v>0</v>
      </c>
      <c r="BE396" s="377"/>
      <c r="BF396" s="377">
        <f t="shared" si="212"/>
        <v>0</v>
      </c>
      <c r="BG396" s="433">
        <f t="shared" si="213"/>
        <v>12664370</v>
      </c>
      <c r="BH396" s="434">
        <f t="shared" si="214"/>
        <v>0</v>
      </c>
    </row>
    <row r="397" spans="1:60" s="378" customFormat="1">
      <c r="A397" s="167">
        <v>406</v>
      </c>
      <c r="B397" s="253">
        <f>VLOOKUP(A397,'JUNE (물량흐름)'!$A$13:$C$493,3,0)</f>
        <v>469042</v>
      </c>
      <c r="C397" s="57" t="str">
        <f>VLOOKUP(A397,'JUNE (물량흐름)'!$A$13:$C$493,2,0)</f>
        <v>ANN TAYLOR</v>
      </c>
      <c r="D397" s="58">
        <f>IFERROR(VLOOKUP(B397,O.B.JUNE!$V$7:$Y$448,2,0),0)</f>
        <v>5071</v>
      </c>
      <c r="E397" s="58">
        <f>IFERROR(VLOOKUP(B397,O.B.JUNE!$V$7:$X$448,3,0),0)</f>
        <v>29130.23052652337</v>
      </c>
      <c r="F397" s="58">
        <f>IFERROR(VLOOKUP(B397,O.B.JUNE!$V$7:$Y$448,4,0),0)</f>
        <v>147719399</v>
      </c>
      <c r="G397" s="58">
        <f>SUMIF('JUNE (물량흐름)'!$C$13:$C$493,'In-out-bal products (155)(완성제품)'!B397,'JUNE (물량흐름)'!$V$13:$V$493)</f>
        <v>0</v>
      </c>
      <c r="H397" s="58">
        <f>SUMIF('JUNE (물량흐름)'!$C$13:$C$493,'In-out-bal products (155)(완성제품)'!B397,'JUNE (물량흐름)'!$T$13:$T$493)-SUMIF('JUNE (물량흐름)'!$C$13:$C$493,'In-out-bal products (155)(완성제품)'!B397,'JUNE (물량흐름)'!$Y$13:$Y$493)+SUMIF('JUNE (물량흐름)'!$C$13:$C$493,'In-out-bal products (155)(완성제품)'!B397,'JUNE (물량흐름)'!$U$13:$U$493)</f>
        <v>393</v>
      </c>
      <c r="I397" s="58">
        <f t="shared" si="186"/>
        <v>29130.231552162852</v>
      </c>
      <c r="J397" s="58">
        <f>SUMIF('Direct labour(직접노무비)'!$C$12:$C$503,'In-out-bal products (155)(완성제품)'!B397,'Direct labour(직접노무비)'!$Q$12:$Q$503)</f>
        <v>3875828</v>
      </c>
      <c r="K397" s="59">
        <f>SUMIF('Overhead exp(제조경비)'!$C$12:$C$503,'In-out-bal products (155)(완성제품)'!B397,'Overhead exp(제조경비)'!$Q$12:$Q$503)</f>
        <v>7572353</v>
      </c>
      <c r="L397" s="58">
        <f t="shared" si="187"/>
        <v>11448181</v>
      </c>
      <c r="M397" s="58">
        <f>SUMIF('JUNE (물량흐름)'!$C$13:$C$488,'In-out-bal products (155)(완성제품)'!B397,'JUNE (물량흐름)'!$Y$13:$Y$488)</f>
        <v>17</v>
      </c>
      <c r="N397" s="58">
        <f t="shared" si="188"/>
        <v>29130.235294117647</v>
      </c>
      <c r="O397" s="58">
        <f>SUMIF('Direct labour(직접노무비)'!$C$12:$C$503,'In-out-bal products (155)(완성제품)'!B397,'Direct labour(직접노무비)'!$U$12:$U$503)+SUMIF('Overhead exp(제조경비)'!$C$12:$C$503,'In-out-bal products (155)(완성제품)'!B397,'Overhead exp(제조경비)'!$U$12:$U$503)</f>
        <v>495214</v>
      </c>
      <c r="P397" s="60">
        <f t="shared" si="189"/>
        <v>410</v>
      </c>
      <c r="Q397" s="60">
        <f t="shared" si="190"/>
        <v>29130.231707317074</v>
      </c>
      <c r="R397" s="60">
        <f t="shared" si="191"/>
        <v>11943395</v>
      </c>
      <c r="S397" s="58">
        <v>0</v>
      </c>
      <c r="T397" s="58">
        <v>0</v>
      </c>
      <c r="U397" s="58">
        <v>0</v>
      </c>
      <c r="V397" s="58">
        <f>SUMIF('JUNE (물량흐름)'!$C$13:$C$493,'In-out-bal products (155)(완성제품)'!B397,'JUNE (물량흐름)'!$W$13:$W$493)</f>
        <v>5394</v>
      </c>
      <c r="W397" s="58">
        <f t="shared" si="192"/>
        <v>29130.230626622171</v>
      </c>
      <c r="X397" s="58">
        <f t="shared" si="193"/>
        <v>157128464</v>
      </c>
      <c r="Y397" s="58">
        <f>SUMIF('JUNE (물량흐름)'!$C$13:$C$488,'In-out-bal products (155)(완성제품)'!B397,'JUNE (물량흐름)'!$X$13:$X$488)</f>
        <v>0</v>
      </c>
      <c r="Z397" s="58">
        <f t="shared" si="194"/>
        <v>0</v>
      </c>
      <c r="AA397" s="58">
        <f t="shared" si="195"/>
        <v>0</v>
      </c>
      <c r="AB397" s="58"/>
      <c r="AC397" s="58"/>
      <c r="AD397" s="61"/>
      <c r="AE397" s="58">
        <f t="shared" si="196"/>
        <v>17</v>
      </c>
      <c r="AF397" s="58">
        <f t="shared" si="197"/>
        <v>29130.235294117647</v>
      </c>
      <c r="AG397" s="61">
        <f t="shared" si="198"/>
        <v>495214</v>
      </c>
      <c r="AH397" s="58">
        <v>0</v>
      </c>
      <c r="AI397" s="58">
        <v>0</v>
      </c>
      <c r="AJ397" s="61">
        <v>0</v>
      </c>
      <c r="AK397" s="58"/>
      <c r="AL397" s="58"/>
      <c r="AM397" s="61"/>
      <c r="AN397" s="61">
        <f t="shared" si="215"/>
        <v>5411</v>
      </c>
      <c r="AO397" s="58">
        <f t="shared" si="199"/>
        <v>29130.230641286267</v>
      </c>
      <c r="AP397" s="61">
        <f t="shared" si="200"/>
        <v>157623678</v>
      </c>
      <c r="AQ397" s="58">
        <f t="shared" si="201"/>
        <v>70</v>
      </c>
      <c r="AR397" s="58">
        <f t="shared" si="202"/>
        <v>29130.228571428572</v>
      </c>
      <c r="AS397" s="58">
        <f t="shared" si="203"/>
        <v>2039116</v>
      </c>
      <c r="AT397" s="58">
        <f>ROUND(SUMIF('JUNE (물량흐름)'!$C$13:$C$502,'In-out-bal products (155)(완성제품)'!B397,'JUNE (물량흐름)'!$AB$13:$AB$502),0)</f>
        <v>0</v>
      </c>
      <c r="AU397" s="58">
        <f t="shared" si="204"/>
        <v>0</v>
      </c>
      <c r="AV397" s="58">
        <f>ROUND(SUMIF('JUNE (물량흐름)'!$C$13:$C$502,'In-out-bal products (155)(완성제품)'!B397,'JUNE (물량흐름)'!$AC$13:$AC$502),0)</f>
        <v>70</v>
      </c>
      <c r="AW397" s="58">
        <f t="shared" si="205"/>
        <v>2039116</v>
      </c>
      <c r="AX397" s="376">
        <f t="shared" si="206"/>
        <v>0</v>
      </c>
      <c r="AY397" s="377">
        <f t="shared" si="207"/>
        <v>0</v>
      </c>
      <c r="AZ397" s="377">
        <f t="shared" si="208"/>
        <v>0</v>
      </c>
      <c r="BA397" s="377">
        <f t="shared" si="209"/>
        <v>0</v>
      </c>
      <c r="BB397" s="377"/>
      <c r="BC397" s="377">
        <f t="shared" si="210"/>
        <v>0</v>
      </c>
      <c r="BD397" s="377">
        <f t="shared" si="211"/>
        <v>0</v>
      </c>
      <c r="BE397" s="377"/>
      <c r="BF397" s="377">
        <f t="shared" si="212"/>
        <v>0</v>
      </c>
      <c r="BG397" s="433">
        <f t="shared" si="213"/>
        <v>157623678</v>
      </c>
      <c r="BH397" s="434">
        <f t="shared" si="214"/>
        <v>0</v>
      </c>
    </row>
    <row r="398" spans="1:60" s="378" customFormat="1">
      <c r="A398" s="167">
        <v>407</v>
      </c>
      <c r="B398" s="253">
        <f>VLOOKUP(A398,'JUNE (물량흐름)'!$A$13:$C$493,3,0)</f>
        <v>470341</v>
      </c>
      <c r="C398" s="57" t="str">
        <f>VLOOKUP(A398,'JUNE (물량흐름)'!$A$13:$C$493,2,0)</f>
        <v>ANN TAYLOR</v>
      </c>
      <c r="D398" s="58">
        <f>IFERROR(VLOOKUP(B398,O.B.JUNE!$V$7:$Y$448,2,0),0)</f>
        <v>334</v>
      </c>
      <c r="E398" s="58">
        <f>IFERROR(VLOOKUP(B398,O.B.JUNE!$V$7:$X$448,3,0),0)</f>
        <v>29976.359281437126</v>
      </c>
      <c r="F398" s="58">
        <f>IFERROR(VLOOKUP(B398,O.B.JUNE!$V$7:$Y$448,4,0),0)</f>
        <v>10012104</v>
      </c>
      <c r="G398" s="58">
        <f>SUMIF('JUNE (물량흐름)'!$C$13:$C$493,'In-out-bal products (155)(완성제품)'!B398,'JUNE (물량흐름)'!$V$13:$V$493)</f>
        <v>0</v>
      </c>
      <c r="H398" s="58">
        <f>SUMIF('JUNE (물량흐름)'!$C$13:$C$493,'In-out-bal products (155)(완성제품)'!B398,'JUNE (물량흐름)'!$T$13:$T$493)-SUMIF('JUNE (물량흐름)'!$C$13:$C$493,'In-out-bal products (155)(완성제품)'!B398,'JUNE (물량흐름)'!$Y$13:$Y$493)+SUMIF('JUNE (물량흐름)'!$C$13:$C$493,'In-out-bal products (155)(완성제품)'!B398,'JUNE (물량흐름)'!$U$13:$U$493)</f>
        <v>283</v>
      </c>
      <c r="I398" s="58">
        <f t="shared" si="186"/>
        <v>29976.363957597172</v>
      </c>
      <c r="J398" s="58">
        <f>SUMIF('Direct labour(직접노무비)'!$C$12:$C$503,'In-out-bal products (155)(완성제품)'!B398,'Direct labour(직접노무비)'!$Q$12:$Q$503)</f>
        <v>2872059</v>
      </c>
      <c r="K398" s="59">
        <f>SUMIF('Overhead exp(제조경비)'!$C$12:$C$503,'In-out-bal products (155)(완성제품)'!B398,'Overhead exp(제조경비)'!$Q$12:$Q$503)</f>
        <v>5611252</v>
      </c>
      <c r="L398" s="58">
        <f t="shared" si="187"/>
        <v>8483311</v>
      </c>
      <c r="M398" s="58">
        <f>SUMIF('JUNE (물량흐름)'!$C$13:$C$488,'In-out-bal products (155)(완성제품)'!B398,'JUNE (물량흐름)'!$Y$13:$Y$488)</f>
        <v>6</v>
      </c>
      <c r="N398" s="58">
        <f t="shared" si="188"/>
        <v>29976.333333333332</v>
      </c>
      <c r="O398" s="58">
        <f>SUMIF('Direct labour(직접노무비)'!$C$12:$C$503,'In-out-bal products (155)(완성제품)'!B398,'Direct labour(직접노무비)'!$U$12:$U$503)+SUMIF('Overhead exp(제조경비)'!$C$12:$C$503,'In-out-bal products (155)(완성제품)'!B398,'Overhead exp(제조경비)'!$U$12:$U$503)</f>
        <v>179858</v>
      </c>
      <c r="P398" s="60">
        <f t="shared" si="189"/>
        <v>289</v>
      </c>
      <c r="Q398" s="60">
        <f t="shared" si="190"/>
        <v>29976.363321799308</v>
      </c>
      <c r="R398" s="60">
        <f t="shared" si="191"/>
        <v>8663169</v>
      </c>
      <c r="S398" s="58">
        <v>0</v>
      </c>
      <c r="T398" s="58">
        <v>0</v>
      </c>
      <c r="U398" s="58">
        <v>0</v>
      </c>
      <c r="V398" s="58">
        <f>SUMIF('JUNE (물량흐름)'!$C$13:$C$493,'In-out-bal products (155)(완성제품)'!B398,'JUNE (물량흐름)'!$W$13:$W$493)</f>
        <v>432</v>
      </c>
      <c r="W398" s="58">
        <f t="shared" si="192"/>
        <v>29976.361111111109</v>
      </c>
      <c r="X398" s="58">
        <f t="shared" si="193"/>
        <v>12949788</v>
      </c>
      <c r="Y398" s="58">
        <f>SUMIF('JUNE (물량흐름)'!$C$13:$C$488,'In-out-bal products (155)(완성제품)'!B398,'JUNE (물량흐름)'!$X$13:$X$488)</f>
        <v>0</v>
      </c>
      <c r="Z398" s="58">
        <f t="shared" si="194"/>
        <v>0</v>
      </c>
      <c r="AA398" s="58">
        <f t="shared" si="195"/>
        <v>0</v>
      </c>
      <c r="AB398" s="58"/>
      <c r="AC398" s="58"/>
      <c r="AD398" s="61"/>
      <c r="AE398" s="58">
        <f t="shared" si="196"/>
        <v>6</v>
      </c>
      <c r="AF398" s="58">
        <f t="shared" si="197"/>
        <v>29976.333333333332</v>
      </c>
      <c r="AG398" s="61">
        <f t="shared" si="198"/>
        <v>179858</v>
      </c>
      <c r="AH398" s="58">
        <v>0</v>
      </c>
      <c r="AI398" s="58">
        <v>0</v>
      </c>
      <c r="AJ398" s="61">
        <v>0</v>
      </c>
      <c r="AK398" s="58"/>
      <c r="AL398" s="58"/>
      <c r="AM398" s="61"/>
      <c r="AN398" s="61">
        <f t="shared" si="215"/>
        <v>438</v>
      </c>
      <c r="AO398" s="58">
        <f t="shared" si="199"/>
        <v>29976.360730593606</v>
      </c>
      <c r="AP398" s="61">
        <f t="shared" si="200"/>
        <v>13129646</v>
      </c>
      <c r="AQ398" s="58">
        <f t="shared" si="201"/>
        <v>185</v>
      </c>
      <c r="AR398" s="58">
        <f t="shared" si="202"/>
        <v>29976.362162162161</v>
      </c>
      <c r="AS398" s="58">
        <f t="shared" si="203"/>
        <v>5545627</v>
      </c>
      <c r="AT398" s="58">
        <f>ROUND(SUMIF('JUNE (물량흐름)'!$C$13:$C$502,'In-out-bal products (155)(완성제품)'!B398,'JUNE (물량흐름)'!$AB$13:$AB$502),0)</f>
        <v>0</v>
      </c>
      <c r="AU398" s="58">
        <f t="shared" si="204"/>
        <v>0</v>
      </c>
      <c r="AV398" s="58">
        <f>ROUND(SUMIF('JUNE (물량흐름)'!$C$13:$C$502,'In-out-bal products (155)(완성제품)'!B398,'JUNE (물량흐름)'!$AC$13:$AC$502),0)</f>
        <v>185</v>
      </c>
      <c r="AW398" s="58">
        <f t="shared" si="205"/>
        <v>5545627</v>
      </c>
      <c r="AX398" s="376">
        <f t="shared" si="206"/>
        <v>0</v>
      </c>
      <c r="AY398" s="377">
        <f t="shared" si="207"/>
        <v>0</v>
      </c>
      <c r="AZ398" s="377">
        <f t="shared" si="208"/>
        <v>0</v>
      </c>
      <c r="BA398" s="377">
        <f t="shared" si="209"/>
        <v>0</v>
      </c>
      <c r="BB398" s="377"/>
      <c r="BC398" s="377">
        <f t="shared" si="210"/>
        <v>0</v>
      </c>
      <c r="BD398" s="377">
        <f t="shared" si="211"/>
        <v>0</v>
      </c>
      <c r="BE398" s="377"/>
      <c r="BF398" s="377">
        <f t="shared" si="212"/>
        <v>0</v>
      </c>
      <c r="BG398" s="433">
        <f t="shared" si="213"/>
        <v>13129646</v>
      </c>
      <c r="BH398" s="434">
        <f t="shared" si="214"/>
        <v>0</v>
      </c>
    </row>
    <row r="399" spans="1:60" s="378" customFormat="1">
      <c r="A399" s="167">
        <v>408</v>
      </c>
      <c r="B399" s="253">
        <f>VLOOKUP(A399,'JUNE (물량흐름)'!$A$13:$C$493,3,0)</f>
        <v>471140</v>
      </c>
      <c r="C399" s="57" t="str">
        <f>VLOOKUP(A399,'JUNE (물량흐름)'!$A$13:$C$493,2,0)</f>
        <v>ANN TAYLOR</v>
      </c>
      <c r="D399" s="58">
        <f>IFERROR(VLOOKUP(B399,O.B.JUNE!$V$7:$Y$448,2,0),0)</f>
        <v>154</v>
      </c>
      <c r="E399" s="58">
        <f>IFERROR(VLOOKUP(B399,O.B.JUNE!$V$7:$X$448,3,0),0)</f>
        <v>36675.006493506495</v>
      </c>
      <c r="F399" s="58">
        <f>IFERROR(VLOOKUP(B399,O.B.JUNE!$V$7:$Y$448,4,0),0)</f>
        <v>5647951</v>
      </c>
      <c r="G399" s="58">
        <f>SUMIF('JUNE (물량흐름)'!$C$13:$C$493,'In-out-bal products (155)(완성제품)'!B399,'JUNE (물량흐름)'!$V$13:$V$493)</f>
        <v>0</v>
      </c>
      <c r="H399" s="58">
        <f>SUMIF('JUNE (물량흐름)'!$C$13:$C$493,'In-out-bal products (155)(완성제품)'!B399,'JUNE (물량흐름)'!$T$13:$T$493)-SUMIF('JUNE (물량흐름)'!$C$13:$C$493,'In-out-bal products (155)(완성제품)'!B399,'JUNE (물량흐름)'!$Y$13:$Y$493)+SUMIF('JUNE (물량흐름)'!$C$13:$C$493,'In-out-bal products (155)(완성제품)'!B399,'JUNE (물량흐름)'!$U$13:$U$493)</f>
        <v>13</v>
      </c>
      <c r="I399" s="58">
        <f t="shared" si="186"/>
        <v>36675</v>
      </c>
      <c r="J399" s="58">
        <f>SUMIF('Direct labour(직접노무비)'!$C$12:$C$503,'In-out-bal products (155)(완성제품)'!B399,'Direct labour(직접노무비)'!$Q$12:$Q$503)</f>
        <v>161414</v>
      </c>
      <c r="K399" s="59">
        <f>SUMIF('Overhead exp(제조경비)'!$C$12:$C$503,'In-out-bal products (155)(완성제품)'!B399,'Overhead exp(제조경비)'!$Q$12:$Q$503)</f>
        <v>315361</v>
      </c>
      <c r="L399" s="58">
        <f t="shared" si="187"/>
        <v>476775</v>
      </c>
      <c r="M399" s="58">
        <f>SUMIF('JUNE (물량흐름)'!$C$13:$C$488,'In-out-bal products (155)(완성제품)'!B399,'JUNE (물량흐름)'!$Y$13:$Y$488)</f>
        <v>33</v>
      </c>
      <c r="N399" s="58">
        <f t="shared" si="188"/>
        <v>36675.030303030304</v>
      </c>
      <c r="O399" s="58">
        <f>SUMIF('Direct labour(직접노무비)'!$C$12:$C$503,'In-out-bal products (155)(완성제품)'!B399,'Direct labour(직접노무비)'!$U$12:$U$503)+SUMIF('Overhead exp(제조경비)'!$C$12:$C$503,'In-out-bal products (155)(완성제품)'!B399,'Overhead exp(제조경비)'!$U$12:$U$503)</f>
        <v>1210276</v>
      </c>
      <c r="P399" s="60">
        <f t="shared" si="189"/>
        <v>46</v>
      </c>
      <c r="Q399" s="60">
        <f t="shared" si="190"/>
        <v>36675.021739130432</v>
      </c>
      <c r="R399" s="60">
        <f t="shared" si="191"/>
        <v>1687051</v>
      </c>
      <c r="S399" s="58">
        <v>0</v>
      </c>
      <c r="T399" s="58">
        <v>0</v>
      </c>
      <c r="U399" s="58">
        <v>0</v>
      </c>
      <c r="V399" s="58">
        <f>SUMIF('JUNE (물량흐름)'!$C$13:$C$493,'In-out-bal products (155)(완성제품)'!B399,'JUNE (물량흐름)'!$W$13:$W$493)</f>
        <v>0</v>
      </c>
      <c r="W399" s="58">
        <f t="shared" si="192"/>
        <v>0</v>
      </c>
      <c r="X399" s="58">
        <f t="shared" si="193"/>
        <v>0</v>
      </c>
      <c r="Y399" s="58">
        <f>SUMIF('JUNE (물량흐름)'!$C$13:$C$488,'In-out-bal products (155)(완성제품)'!B399,'JUNE (물량흐름)'!$X$13:$X$488)</f>
        <v>0</v>
      </c>
      <c r="Z399" s="58">
        <f t="shared" si="194"/>
        <v>0</v>
      </c>
      <c r="AA399" s="58">
        <f t="shared" si="195"/>
        <v>0</v>
      </c>
      <c r="AB399" s="58"/>
      <c r="AC399" s="58"/>
      <c r="AD399" s="61"/>
      <c r="AE399" s="58">
        <f t="shared" si="196"/>
        <v>33</v>
      </c>
      <c r="AF399" s="58">
        <f t="shared" si="197"/>
        <v>36675.030303030304</v>
      </c>
      <c r="AG399" s="61">
        <f t="shared" si="198"/>
        <v>1210276</v>
      </c>
      <c r="AH399" s="58">
        <v>0</v>
      </c>
      <c r="AI399" s="58">
        <v>0</v>
      </c>
      <c r="AJ399" s="61">
        <v>0</v>
      </c>
      <c r="AK399" s="58"/>
      <c r="AL399" s="58"/>
      <c r="AM399" s="61"/>
      <c r="AN399" s="61">
        <f t="shared" si="215"/>
        <v>33</v>
      </c>
      <c r="AO399" s="58">
        <f t="shared" si="199"/>
        <v>36675.030303030304</v>
      </c>
      <c r="AP399" s="61">
        <f t="shared" si="200"/>
        <v>1210276</v>
      </c>
      <c r="AQ399" s="58">
        <f t="shared" si="201"/>
        <v>167</v>
      </c>
      <c r="AR399" s="58">
        <f t="shared" si="202"/>
        <v>36675.00598802395</v>
      </c>
      <c r="AS399" s="58">
        <f t="shared" si="203"/>
        <v>6124726</v>
      </c>
      <c r="AT399" s="58">
        <f>ROUND(SUMIF('JUNE (물량흐름)'!$C$13:$C$502,'In-out-bal products (155)(완성제품)'!B399,'JUNE (물량흐름)'!$AB$13:$AB$502),0)</f>
        <v>0</v>
      </c>
      <c r="AU399" s="58">
        <f t="shared" si="204"/>
        <v>0</v>
      </c>
      <c r="AV399" s="58">
        <f>ROUND(SUMIF('JUNE (물량흐름)'!$C$13:$C$502,'In-out-bal products (155)(완성제품)'!B399,'JUNE (물량흐름)'!$AC$13:$AC$502),0)</f>
        <v>167</v>
      </c>
      <c r="AW399" s="58">
        <f t="shared" si="205"/>
        <v>6124726</v>
      </c>
      <c r="AX399" s="376">
        <f t="shared" si="206"/>
        <v>0</v>
      </c>
      <c r="AY399" s="377">
        <f t="shared" si="207"/>
        <v>0</v>
      </c>
      <c r="AZ399" s="377">
        <f t="shared" si="208"/>
        <v>0</v>
      </c>
      <c r="BA399" s="377">
        <f t="shared" si="209"/>
        <v>0</v>
      </c>
      <c r="BB399" s="377"/>
      <c r="BC399" s="377">
        <f t="shared" si="210"/>
        <v>0</v>
      </c>
      <c r="BD399" s="377">
        <f t="shared" si="211"/>
        <v>0</v>
      </c>
      <c r="BE399" s="377"/>
      <c r="BF399" s="377">
        <f t="shared" si="212"/>
        <v>0</v>
      </c>
      <c r="BG399" s="433">
        <f t="shared" si="213"/>
        <v>1210276</v>
      </c>
      <c r="BH399" s="434">
        <f t="shared" si="214"/>
        <v>0</v>
      </c>
    </row>
    <row r="400" spans="1:60" s="378" customFormat="1">
      <c r="A400" s="167">
        <v>409</v>
      </c>
      <c r="B400" s="253">
        <f>VLOOKUP(A400,'JUNE (물량흐름)'!$A$13:$C$493,3,0)</f>
        <v>473551</v>
      </c>
      <c r="C400" s="57" t="str">
        <f>VLOOKUP(A400,'JUNE (물량흐름)'!$A$13:$C$493,2,0)</f>
        <v>ANN TAYLOR</v>
      </c>
      <c r="D400" s="58">
        <f>IFERROR(VLOOKUP(B400,O.B.JUNE!$V$7:$Y$448,2,0),0)</f>
        <v>381</v>
      </c>
      <c r="E400" s="58">
        <f>IFERROR(VLOOKUP(B400,O.B.JUNE!$V$7:$X$448,3,0),0)</f>
        <v>45097.910761154853</v>
      </c>
      <c r="F400" s="58">
        <f>IFERROR(VLOOKUP(B400,O.B.JUNE!$V$7:$Y$448,4,0),0)</f>
        <v>17182304</v>
      </c>
      <c r="G400" s="58">
        <f>SUMIF('JUNE (물량흐름)'!$C$13:$C$493,'In-out-bal products (155)(완성제품)'!B400,'JUNE (물량흐름)'!$V$13:$V$493)</f>
        <v>0</v>
      </c>
      <c r="H400" s="58">
        <f>SUMIF('JUNE (물량흐름)'!$C$13:$C$493,'In-out-bal products (155)(완성제품)'!B400,'JUNE (물량흐름)'!$T$13:$T$493)-SUMIF('JUNE (물량흐름)'!$C$13:$C$493,'In-out-bal products (155)(완성제품)'!B400,'JUNE (물량흐름)'!$Y$13:$Y$493)+SUMIF('JUNE (물량흐름)'!$C$13:$C$493,'In-out-bal products (155)(완성제품)'!B400,'JUNE (물량흐름)'!$U$13:$U$493)</f>
        <v>0</v>
      </c>
      <c r="I400" s="58">
        <f t="shared" si="186"/>
        <v>0</v>
      </c>
      <c r="J400" s="58">
        <f>SUMIF('Direct labour(직접노무비)'!$C$12:$C$503,'In-out-bal products (155)(완성제품)'!B400,'Direct labour(직접노무비)'!$Q$12:$Q$503)</f>
        <v>0</v>
      </c>
      <c r="K400" s="59">
        <f>SUMIF('Overhead exp(제조경비)'!$C$12:$C$503,'In-out-bal products (155)(완성제품)'!B400,'Overhead exp(제조경비)'!$Q$12:$Q$503)</f>
        <v>0</v>
      </c>
      <c r="L400" s="58">
        <f t="shared" si="187"/>
        <v>0</v>
      </c>
      <c r="M400" s="58">
        <f>SUMIF('JUNE (물량흐름)'!$C$13:$C$488,'In-out-bal products (155)(완성제품)'!B400,'JUNE (물량흐름)'!$Y$13:$Y$488)</f>
        <v>20</v>
      </c>
      <c r="N400" s="58">
        <f t="shared" si="188"/>
        <v>45097.95</v>
      </c>
      <c r="O400" s="58">
        <f>SUMIF('Direct labour(직접노무비)'!$C$12:$C$503,'In-out-bal products (155)(완성제품)'!B400,'Direct labour(직접노무비)'!$U$12:$U$503)+SUMIF('Overhead exp(제조경비)'!$C$12:$C$503,'In-out-bal products (155)(완성제품)'!B400,'Overhead exp(제조경비)'!$U$12:$U$503)</f>
        <v>901959</v>
      </c>
      <c r="P400" s="60">
        <f t="shared" si="189"/>
        <v>20</v>
      </c>
      <c r="Q400" s="60">
        <f t="shared" si="190"/>
        <v>45097.95</v>
      </c>
      <c r="R400" s="60">
        <f t="shared" si="191"/>
        <v>901959</v>
      </c>
      <c r="S400" s="58">
        <v>0</v>
      </c>
      <c r="T400" s="58">
        <v>0</v>
      </c>
      <c r="U400" s="58">
        <v>0</v>
      </c>
      <c r="V400" s="58">
        <f>SUMIF('JUNE (물량흐름)'!$C$13:$C$493,'In-out-bal products (155)(완성제품)'!B400,'JUNE (물량흐름)'!$W$13:$W$493)</f>
        <v>0</v>
      </c>
      <c r="W400" s="58">
        <f t="shared" si="192"/>
        <v>0</v>
      </c>
      <c r="X400" s="58">
        <f t="shared" si="193"/>
        <v>0</v>
      </c>
      <c r="Y400" s="58">
        <f>SUMIF('JUNE (물량흐름)'!$C$13:$C$488,'In-out-bal products (155)(완성제품)'!B400,'JUNE (물량흐름)'!$X$13:$X$488)</f>
        <v>0</v>
      </c>
      <c r="Z400" s="58">
        <f t="shared" si="194"/>
        <v>0</v>
      </c>
      <c r="AA400" s="58">
        <f t="shared" si="195"/>
        <v>0</v>
      </c>
      <c r="AB400" s="58"/>
      <c r="AC400" s="58"/>
      <c r="AD400" s="61"/>
      <c r="AE400" s="58">
        <f t="shared" si="196"/>
        <v>20</v>
      </c>
      <c r="AF400" s="58">
        <f t="shared" si="197"/>
        <v>45097.95</v>
      </c>
      <c r="AG400" s="61">
        <f t="shared" si="198"/>
        <v>901959</v>
      </c>
      <c r="AH400" s="58">
        <v>0</v>
      </c>
      <c r="AI400" s="58">
        <v>0</v>
      </c>
      <c r="AJ400" s="61">
        <v>0</v>
      </c>
      <c r="AK400" s="58"/>
      <c r="AL400" s="58"/>
      <c r="AM400" s="61"/>
      <c r="AN400" s="61">
        <f t="shared" si="215"/>
        <v>20</v>
      </c>
      <c r="AO400" s="58">
        <f t="shared" si="199"/>
        <v>45097.95</v>
      </c>
      <c r="AP400" s="61">
        <f t="shared" si="200"/>
        <v>901959</v>
      </c>
      <c r="AQ400" s="58">
        <f t="shared" si="201"/>
        <v>381</v>
      </c>
      <c r="AR400" s="58">
        <f t="shared" si="202"/>
        <v>45097.910761154853</v>
      </c>
      <c r="AS400" s="58">
        <f t="shared" si="203"/>
        <v>17182304</v>
      </c>
      <c r="AT400" s="58">
        <f>ROUND(SUMIF('JUNE (물량흐름)'!$C$13:$C$502,'In-out-bal products (155)(완성제품)'!B400,'JUNE (물량흐름)'!$AB$13:$AB$502),0)</f>
        <v>0</v>
      </c>
      <c r="AU400" s="58">
        <f t="shared" si="204"/>
        <v>0</v>
      </c>
      <c r="AV400" s="58">
        <f>ROUND(SUMIF('JUNE (물량흐름)'!$C$13:$C$502,'In-out-bal products (155)(완성제품)'!B400,'JUNE (물량흐름)'!$AC$13:$AC$502),0)</f>
        <v>381</v>
      </c>
      <c r="AW400" s="58">
        <f t="shared" si="205"/>
        <v>17182304</v>
      </c>
      <c r="AX400" s="376">
        <f t="shared" si="206"/>
        <v>0</v>
      </c>
      <c r="AY400" s="377">
        <f t="shared" si="207"/>
        <v>0</v>
      </c>
      <c r="AZ400" s="377">
        <f t="shared" si="208"/>
        <v>0</v>
      </c>
      <c r="BA400" s="377">
        <f t="shared" si="209"/>
        <v>0</v>
      </c>
      <c r="BB400" s="377"/>
      <c r="BC400" s="377">
        <f t="shared" si="210"/>
        <v>0</v>
      </c>
      <c r="BD400" s="377">
        <f t="shared" si="211"/>
        <v>0</v>
      </c>
      <c r="BE400" s="377"/>
      <c r="BF400" s="377">
        <f t="shared" si="212"/>
        <v>0</v>
      </c>
      <c r="BG400" s="433">
        <f t="shared" si="213"/>
        <v>901959</v>
      </c>
      <c r="BH400" s="434">
        <f t="shared" si="214"/>
        <v>0</v>
      </c>
    </row>
    <row r="401" spans="1:60" s="378" customFormat="1">
      <c r="A401" s="167">
        <v>410</v>
      </c>
      <c r="B401" s="253">
        <f>VLOOKUP(A401,'JUNE (물량흐름)'!$A$13:$C$493,3,0)</f>
        <v>474753</v>
      </c>
      <c r="C401" s="57" t="str">
        <f>VLOOKUP(A401,'JUNE (물량흐름)'!$A$13:$C$493,2,0)</f>
        <v>ANN TAYLOR</v>
      </c>
      <c r="D401" s="58">
        <f>IFERROR(VLOOKUP(B401,O.B.JUNE!$V$7:$Y$448,2,0),0)</f>
        <v>323</v>
      </c>
      <c r="E401" s="58">
        <f>IFERROR(VLOOKUP(B401,O.B.JUNE!$V$7:$X$448,3,0),0)</f>
        <v>39554.532507739939</v>
      </c>
      <c r="F401" s="58">
        <f>IFERROR(VLOOKUP(B401,O.B.JUNE!$V$7:$Y$448,4,0),0)</f>
        <v>12776114</v>
      </c>
      <c r="G401" s="58">
        <f>SUMIF('JUNE (물량흐름)'!$C$13:$C$493,'In-out-bal products (155)(완성제품)'!B401,'JUNE (물량흐름)'!$V$13:$V$493)</f>
        <v>0</v>
      </c>
      <c r="H401" s="58">
        <f>SUMIF('JUNE (물량흐름)'!$C$13:$C$493,'In-out-bal products (155)(완성제품)'!B401,'JUNE (물량흐름)'!$T$13:$T$493)-SUMIF('JUNE (물량흐름)'!$C$13:$C$493,'In-out-bal products (155)(완성제품)'!B401,'JUNE (물량흐름)'!$Y$13:$Y$493)+SUMIF('JUNE (물량흐름)'!$C$13:$C$493,'In-out-bal products (155)(완성제품)'!B401,'JUNE (물량흐름)'!$U$13:$U$493)</f>
        <v>0</v>
      </c>
      <c r="I401" s="58">
        <f t="shared" si="186"/>
        <v>0</v>
      </c>
      <c r="J401" s="58">
        <f>SUMIF('Direct labour(직접노무비)'!$C$12:$C$503,'In-out-bal products (155)(완성제품)'!B401,'Direct labour(직접노무비)'!$Q$12:$Q$503)</f>
        <v>0</v>
      </c>
      <c r="K401" s="59">
        <f>SUMIF('Overhead exp(제조경비)'!$C$12:$C$503,'In-out-bal products (155)(완성제품)'!B401,'Overhead exp(제조경비)'!$Q$12:$Q$503)</f>
        <v>0</v>
      </c>
      <c r="L401" s="58">
        <f t="shared" si="187"/>
        <v>0</v>
      </c>
      <c r="M401" s="58">
        <f>SUMIF('JUNE (물량흐름)'!$C$13:$C$488,'In-out-bal products (155)(완성제품)'!B401,'JUNE (물량흐름)'!$Y$13:$Y$488)</f>
        <v>0</v>
      </c>
      <c r="N401" s="58">
        <f t="shared" si="188"/>
        <v>0</v>
      </c>
      <c r="O401" s="58">
        <f>SUMIF('Direct labour(직접노무비)'!$C$12:$C$503,'In-out-bal products (155)(완성제품)'!B401,'Direct labour(직접노무비)'!$U$12:$U$503)+SUMIF('Overhead exp(제조경비)'!$C$12:$C$503,'In-out-bal products (155)(완성제품)'!B401,'Overhead exp(제조경비)'!$U$12:$U$503)</f>
        <v>0</v>
      </c>
      <c r="P401" s="60">
        <f t="shared" si="189"/>
        <v>0</v>
      </c>
      <c r="Q401" s="60">
        <f t="shared" si="190"/>
        <v>0</v>
      </c>
      <c r="R401" s="60">
        <f t="shared" si="191"/>
        <v>0</v>
      </c>
      <c r="S401" s="58">
        <v>0</v>
      </c>
      <c r="T401" s="58">
        <v>0</v>
      </c>
      <c r="U401" s="58">
        <v>0</v>
      </c>
      <c r="V401" s="58">
        <f>SUMIF('JUNE (물량흐름)'!$C$13:$C$493,'In-out-bal products (155)(완성제품)'!B401,'JUNE (물량흐름)'!$W$13:$W$493)</f>
        <v>63</v>
      </c>
      <c r="W401" s="58">
        <f t="shared" si="192"/>
        <v>39554.539682539682</v>
      </c>
      <c r="X401" s="58">
        <f t="shared" si="193"/>
        <v>2491936</v>
      </c>
      <c r="Y401" s="58">
        <f>SUMIF('JUNE (물량흐름)'!$C$13:$C$488,'In-out-bal products (155)(완성제품)'!B401,'JUNE (물량흐름)'!$X$13:$X$488)</f>
        <v>0</v>
      </c>
      <c r="Z401" s="58">
        <f t="shared" si="194"/>
        <v>0</v>
      </c>
      <c r="AA401" s="58">
        <f t="shared" si="195"/>
        <v>0</v>
      </c>
      <c r="AB401" s="58"/>
      <c r="AC401" s="58"/>
      <c r="AD401" s="61"/>
      <c r="AE401" s="58">
        <f t="shared" si="196"/>
        <v>0</v>
      </c>
      <c r="AF401" s="58">
        <f t="shared" si="197"/>
        <v>0</v>
      </c>
      <c r="AG401" s="61">
        <f t="shared" si="198"/>
        <v>0</v>
      </c>
      <c r="AH401" s="58">
        <v>0</v>
      </c>
      <c r="AI401" s="58">
        <v>0</v>
      </c>
      <c r="AJ401" s="61">
        <v>0</v>
      </c>
      <c r="AK401" s="58"/>
      <c r="AL401" s="58"/>
      <c r="AM401" s="61"/>
      <c r="AN401" s="61">
        <f t="shared" si="215"/>
        <v>63</v>
      </c>
      <c r="AO401" s="58">
        <f t="shared" si="199"/>
        <v>39554.539682539682</v>
      </c>
      <c r="AP401" s="61">
        <f t="shared" si="200"/>
        <v>2491936</v>
      </c>
      <c r="AQ401" s="58">
        <f t="shared" si="201"/>
        <v>260</v>
      </c>
      <c r="AR401" s="58">
        <f t="shared" si="202"/>
        <v>39554.530769230769</v>
      </c>
      <c r="AS401" s="58">
        <f t="shared" si="203"/>
        <v>10284178</v>
      </c>
      <c r="AT401" s="58">
        <f>ROUND(SUMIF('JUNE (물량흐름)'!$C$13:$C$502,'In-out-bal products (155)(완성제품)'!B401,'JUNE (물량흐름)'!$AB$13:$AB$502),0)</f>
        <v>0</v>
      </c>
      <c r="AU401" s="58">
        <f t="shared" si="204"/>
        <v>0</v>
      </c>
      <c r="AV401" s="58">
        <f>ROUND(SUMIF('JUNE (물량흐름)'!$C$13:$C$502,'In-out-bal products (155)(완성제품)'!B401,'JUNE (물량흐름)'!$AC$13:$AC$502),0)</f>
        <v>260</v>
      </c>
      <c r="AW401" s="58">
        <f t="shared" si="205"/>
        <v>10284178</v>
      </c>
      <c r="AX401" s="376">
        <f t="shared" si="206"/>
        <v>0</v>
      </c>
      <c r="AY401" s="377">
        <f t="shared" si="207"/>
        <v>0</v>
      </c>
      <c r="AZ401" s="377">
        <f t="shared" si="208"/>
        <v>0</v>
      </c>
      <c r="BA401" s="377">
        <f t="shared" si="209"/>
        <v>0</v>
      </c>
      <c r="BB401" s="377"/>
      <c r="BC401" s="377">
        <f t="shared" si="210"/>
        <v>0</v>
      </c>
      <c r="BD401" s="377">
        <f t="shared" si="211"/>
        <v>0</v>
      </c>
      <c r="BE401" s="377"/>
      <c r="BF401" s="377">
        <f t="shared" si="212"/>
        <v>0</v>
      </c>
      <c r="BG401" s="433">
        <f t="shared" si="213"/>
        <v>2491936</v>
      </c>
      <c r="BH401" s="434">
        <f t="shared" si="214"/>
        <v>0</v>
      </c>
    </row>
    <row r="402" spans="1:60" s="378" customFormat="1">
      <c r="A402" s="167">
        <v>411</v>
      </c>
      <c r="B402" s="253">
        <f>VLOOKUP(A402,'JUNE (물량흐름)'!$A$13:$C$493,3,0)</f>
        <v>474874</v>
      </c>
      <c r="C402" s="57" t="str">
        <f>VLOOKUP(A402,'JUNE (물량흐름)'!$A$13:$C$493,2,0)</f>
        <v>ANN TAYLOR</v>
      </c>
      <c r="D402" s="58">
        <f>IFERROR(VLOOKUP(B402,O.B.JUNE!$V$7:$Y$448,2,0),0)</f>
        <v>0</v>
      </c>
      <c r="E402" s="58">
        <f>IFERROR(VLOOKUP(B402,O.B.JUNE!$V$7:$X$448,3,0),0)</f>
        <v>0</v>
      </c>
      <c r="F402" s="58">
        <f>IFERROR(VLOOKUP(B402,O.B.JUNE!$V$7:$Y$448,4,0),0)</f>
        <v>0</v>
      </c>
      <c r="G402" s="58">
        <f>SUMIF('JUNE (물량흐름)'!$C$13:$C$493,'In-out-bal products (155)(완성제품)'!B402,'JUNE (물량흐름)'!$V$13:$V$493)</f>
        <v>0</v>
      </c>
      <c r="H402" s="58">
        <f>SUMIF('JUNE (물량흐름)'!$C$13:$C$493,'In-out-bal products (155)(완성제품)'!B402,'JUNE (물량흐름)'!$T$13:$T$493)-SUMIF('JUNE (물량흐름)'!$C$13:$C$493,'In-out-bal products (155)(완성제품)'!B402,'JUNE (물량흐름)'!$Y$13:$Y$493)+SUMIF('JUNE (물량흐름)'!$C$13:$C$493,'In-out-bal products (155)(완성제품)'!B402,'JUNE (물량흐름)'!$U$13:$U$493)</f>
        <v>0</v>
      </c>
      <c r="I402" s="58">
        <f t="shared" si="186"/>
        <v>0</v>
      </c>
      <c r="J402" s="58">
        <f>SUMIF('Direct labour(직접노무비)'!$C$12:$C$503,'In-out-bal products (155)(완성제품)'!B402,'Direct labour(직접노무비)'!$Q$12:$Q$503)</f>
        <v>0</v>
      </c>
      <c r="K402" s="59">
        <f>SUMIF('Overhead exp(제조경비)'!$C$12:$C$503,'In-out-bal products (155)(완성제품)'!B402,'Overhead exp(제조경비)'!$Q$12:$Q$503)</f>
        <v>0</v>
      </c>
      <c r="L402" s="58">
        <f t="shared" si="187"/>
        <v>0</v>
      </c>
      <c r="M402" s="58">
        <f>SUMIF('JUNE (물량흐름)'!$C$13:$C$488,'In-out-bal products (155)(완성제품)'!B402,'JUNE (물량흐름)'!$Y$13:$Y$488)</f>
        <v>6</v>
      </c>
      <c r="N402" s="58">
        <f t="shared" si="188"/>
        <v>39157.166666666664</v>
      </c>
      <c r="O402" s="58">
        <f>SUMIF('Direct labour(직접노무비)'!$C$12:$C$503,'In-out-bal products (155)(완성제품)'!B402,'Direct labour(직접노무비)'!$U$12:$U$503)+SUMIF('Overhead exp(제조경비)'!$C$12:$C$503,'In-out-bal products (155)(완성제품)'!B402,'Overhead exp(제조경비)'!$U$12:$U$503)</f>
        <v>234943</v>
      </c>
      <c r="P402" s="60">
        <f t="shared" si="189"/>
        <v>6</v>
      </c>
      <c r="Q402" s="60">
        <f t="shared" si="190"/>
        <v>39157.166666666664</v>
      </c>
      <c r="R402" s="60">
        <f t="shared" si="191"/>
        <v>234943</v>
      </c>
      <c r="S402" s="58">
        <v>0</v>
      </c>
      <c r="T402" s="58">
        <v>0</v>
      </c>
      <c r="U402" s="58">
        <v>0</v>
      </c>
      <c r="V402" s="58">
        <f>SUMIF('JUNE (물량흐름)'!$C$13:$C$493,'In-out-bal products (155)(완성제품)'!B402,'JUNE (물량흐름)'!$W$13:$W$493)</f>
        <v>0</v>
      </c>
      <c r="W402" s="58">
        <f t="shared" si="192"/>
        <v>0</v>
      </c>
      <c r="X402" s="58">
        <f t="shared" si="193"/>
        <v>0</v>
      </c>
      <c r="Y402" s="58">
        <f>SUMIF('JUNE (물량흐름)'!$C$13:$C$488,'In-out-bal products (155)(완성제품)'!B402,'JUNE (물량흐름)'!$X$13:$X$488)</f>
        <v>0</v>
      </c>
      <c r="Z402" s="58">
        <f t="shared" si="194"/>
        <v>0</v>
      </c>
      <c r="AA402" s="58">
        <f t="shared" si="195"/>
        <v>0</v>
      </c>
      <c r="AB402" s="58"/>
      <c r="AC402" s="58"/>
      <c r="AD402" s="61"/>
      <c r="AE402" s="58">
        <f t="shared" si="196"/>
        <v>6</v>
      </c>
      <c r="AF402" s="58">
        <f t="shared" si="197"/>
        <v>39157.166666666664</v>
      </c>
      <c r="AG402" s="61">
        <f t="shared" si="198"/>
        <v>234943</v>
      </c>
      <c r="AH402" s="58">
        <v>0</v>
      </c>
      <c r="AI402" s="58">
        <v>0</v>
      </c>
      <c r="AJ402" s="61">
        <v>0</v>
      </c>
      <c r="AK402" s="58"/>
      <c r="AL402" s="58"/>
      <c r="AM402" s="61"/>
      <c r="AN402" s="61">
        <f t="shared" si="215"/>
        <v>6</v>
      </c>
      <c r="AO402" s="58">
        <f t="shared" si="199"/>
        <v>39157.166666666664</v>
      </c>
      <c r="AP402" s="61">
        <f t="shared" si="200"/>
        <v>234943</v>
      </c>
      <c r="AQ402" s="58">
        <f t="shared" si="201"/>
        <v>0</v>
      </c>
      <c r="AR402" s="58">
        <f t="shared" si="202"/>
        <v>0</v>
      </c>
      <c r="AS402" s="58">
        <f t="shared" si="203"/>
        <v>0</v>
      </c>
      <c r="AT402" s="58">
        <f>ROUND(SUMIF('JUNE (물량흐름)'!$C$13:$C$502,'In-out-bal products (155)(완성제품)'!B402,'JUNE (물량흐름)'!$AB$13:$AB$502),0)</f>
        <v>0</v>
      </c>
      <c r="AU402" s="58">
        <f t="shared" si="204"/>
        <v>0</v>
      </c>
      <c r="AV402" s="58">
        <f>ROUND(SUMIF('JUNE (물량흐름)'!$C$13:$C$502,'In-out-bal products (155)(완성제품)'!B402,'JUNE (물량흐름)'!$AC$13:$AC$502),0)</f>
        <v>0</v>
      </c>
      <c r="AW402" s="58">
        <f t="shared" si="205"/>
        <v>0</v>
      </c>
      <c r="AX402" s="376">
        <f t="shared" si="206"/>
        <v>0</v>
      </c>
      <c r="AY402" s="377">
        <f t="shared" si="207"/>
        <v>0</v>
      </c>
      <c r="AZ402" s="377">
        <f t="shared" si="208"/>
        <v>0</v>
      </c>
      <c r="BA402" s="377">
        <f t="shared" si="209"/>
        <v>0</v>
      </c>
      <c r="BB402" s="377"/>
      <c r="BC402" s="377">
        <f t="shared" si="210"/>
        <v>0</v>
      </c>
      <c r="BD402" s="377">
        <f t="shared" si="211"/>
        <v>0</v>
      </c>
      <c r="BE402" s="377"/>
      <c r="BF402" s="377">
        <f t="shared" si="212"/>
        <v>0</v>
      </c>
      <c r="BG402" s="433">
        <f t="shared" si="213"/>
        <v>234943</v>
      </c>
      <c r="BH402" s="434">
        <f t="shared" si="214"/>
        <v>0</v>
      </c>
    </row>
    <row r="403" spans="1:60" s="378" customFormat="1">
      <c r="A403" s="167">
        <v>412</v>
      </c>
      <c r="B403" s="253">
        <f>VLOOKUP(A403,'JUNE (물량흐름)'!$A$13:$C$493,3,0)</f>
        <v>475746</v>
      </c>
      <c r="C403" s="57" t="str">
        <f>VLOOKUP(A403,'JUNE (물량흐름)'!$A$13:$C$493,2,0)</f>
        <v>ANN TAYLOR</v>
      </c>
      <c r="D403" s="58">
        <f>IFERROR(VLOOKUP(B403,O.B.JUNE!$V$7:$Y$448,2,0),0)</f>
        <v>32</v>
      </c>
      <c r="E403" s="58">
        <f>IFERROR(VLOOKUP(B403,O.B.JUNE!$V$7:$X$448,3,0),0)</f>
        <v>44514.28125</v>
      </c>
      <c r="F403" s="58">
        <f>IFERROR(VLOOKUP(B403,O.B.JUNE!$V$7:$Y$448,4,0),0)</f>
        <v>1424457</v>
      </c>
      <c r="G403" s="58">
        <f>SUMIF('JUNE (물량흐름)'!$C$13:$C$493,'In-out-bal products (155)(완성제품)'!B403,'JUNE (물량흐름)'!$V$13:$V$493)</f>
        <v>0</v>
      </c>
      <c r="H403" s="58">
        <f>SUMIF('JUNE (물량흐름)'!$C$13:$C$493,'In-out-bal products (155)(완성제품)'!B403,'JUNE (물량흐름)'!$T$13:$T$493)-SUMIF('JUNE (물량흐름)'!$C$13:$C$493,'In-out-bal products (155)(완성제품)'!B403,'JUNE (물량흐름)'!$Y$13:$Y$493)+SUMIF('JUNE (물량흐름)'!$C$13:$C$493,'In-out-bal products (155)(완성제품)'!B403,'JUNE (물량흐름)'!$U$13:$U$493)</f>
        <v>0</v>
      </c>
      <c r="I403" s="58">
        <f t="shared" si="186"/>
        <v>0</v>
      </c>
      <c r="J403" s="58">
        <f>SUMIF('Direct labour(직접노무비)'!$C$12:$C$503,'In-out-bal products (155)(완성제품)'!B403,'Direct labour(직접노무비)'!$Q$12:$Q$503)</f>
        <v>0</v>
      </c>
      <c r="K403" s="59">
        <f>SUMIF('Overhead exp(제조경비)'!$C$12:$C$503,'In-out-bal products (155)(완성제품)'!B403,'Overhead exp(제조경비)'!$Q$12:$Q$503)</f>
        <v>0</v>
      </c>
      <c r="L403" s="58">
        <f t="shared" si="187"/>
        <v>0</v>
      </c>
      <c r="M403" s="58">
        <f>SUMIF('JUNE (물량흐름)'!$C$13:$C$488,'In-out-bal products (155)(완성제품)'!B403,'JUNE (물량흐름)'!$Y$13:$Y$488)</f>
        <v>9</v>
      </c>
      <c r="N403" s="58">
        <f t="shared" si="188"/>
        <v>44514.333333333336</v>
      </c>
      <c r="O403" s="58">
        <f>SUMIF('Direct labour(직접노무비)'!$C$12:$C$503,'In-out-bal products (155)(완성제품)'!B403,'Direct labour(직접노무비)'!$U$12:$U$503)+SUMIF('Overhead exp(제조경비)'!$C$12:$C$503,'In-out-bal products (155)(완성제품)'!B403,'Overhead exp(제조경비)'!$U$12:$U$503)</f>
        <v>400629</v>
      </c>
      <c r="P403" s="60">
        <f t="shared" si="189"/>
        <v>9</v>
      </c>
      <c r="Q403" s="60">
        <f t="shared" si="190"/>
        <v>44514.333333333336</v>
      </c>
      <c r="R403" s="60">
        <f t="shared" si="191"/>
        <v>400629</v>
      </c>
      <c r="S403" s="58">
        <v>0</v>
      </c>
      <c r="T403" s="58">
        <v>0</v>
      </c>
      <c r="U403" s="58">
        <v>0</v>
      </c>
      <c r="V403" s="58">
        <f>SUMIF('JUNE (물량흐름)'!$C$13:$C$493,'In-out-bal products (155)(완성제품)'!B403,'JUNE (물량흐름)'!$W$13:$W$493)</f>
        <v>0</v>
      </c>
      <c r="W403" s="58">
        <f t="shared" si="192"/>
        <v>0</v>
      </c>
      <c r="X403" s="58">
        <f t="shared" si="193"/>
        <v>0</v>
      </c>
      <c r="Y403" s="58">
        <f>SUMIF('JUNE (물량흐름)'!$C$13:$C$488,'In-out-bal products (155)(완성제품)'!B403,'JUNE (물량흐름)'!$X$13:$X$488)</f>
        <v>0</v>
      </c>
      <c r="Z403" s="58">
        <f t="shared" si="194"/>
        <v>0</v>
      </c>
      <c r="AA403" s="58">
        <f t="shared" si="195"/>
        <v>0</v>
      </c>
      <c r="AB403" s="58"/>
      <c r="AC403" s="58"/>
      <c r="AD403" s="61"/>
      <c r="AE403" s="58">
        <f t="shared" si="196"/>
        <v>9</v>
      </c>
      <c r="AF403" s="58">
        <f t="shared" si="197"/>
        <v>44514.333333333336</v>
      </c>
      <c r="AG403" s="61">
        <f t="shared" si="198"/>
        <v>400629</v>
      </c>
      <c r="AH403" s="58">
        <v>0</v>
      </c>
      <c r="AI403" s="58">
        <v>0</v>
      </c>
      <c r="AJ403" s="61">
        <v>0</v>
      </c>
      <c r="AK403" s="58"/>
      <c r="AL403" s="58"/>
      <c r="AM403" s="61"/>
      <c r="AN403" s="61">
        <f t="shared" si="215"/>
        <v>9</v>
      </c>
      <c r="AO403" s="58">
        <f t="shared" si="199"/>
        <v>44514.333333333336</v>
      </c>
      <c r="AP403" s="61">
        <f t="shared" si="200"/>
        <v>400629</v>
      </c>
      <c r="AQ403" s="58">
        <f t="shared" si="201"/>
        <v>32</v>
      </c>
      <c r="AR403" s="58">
        <f t="shared" si="202"/>
        <v>44514.28125</v>
      </c>
      <c r="AS403" s="58">
        <f t="shared" si="203"/>
        <v>1424457</v>
      </c>
      <c r="AT403" s="58">
        <f>ROUND(SUMIF('JUNE (물량흐름)'!$C$13:$C$502,'In-out-bal products (155)(완성제품)'!B403,'JUNE (물량흐름)'!$AB$13:$AB$502),0)</f>
        <v>0</v>
      </c>
      <c r="AU403" s="58">
        <f t="shared" si="204"/>
        <v>0</v>
      </c>
      <c r="AV403" s="58">
        <f>ROUND(SUMIF('JUNE (물량흐름)'!$C$13:$C$502,'In-out-bal products (155)(완성제품)'!B403,'JUNE (물량흐름)'!$AC$13:$AC$502),0)</f>
        <v>32</v>
      </c>
      <c r="AW403" s="58">
        <f t="shared" si="205"/>
        <v>1424457</v>
      </c>
      <c r="AX403" s="376">
        <f t="shared" si="206"/>
        <v>0</v>
      </c>
      <c r="AY403" s="377">
        <f t="shared" si="207"/>
        <v>0</v>
      </c>
      <c r="AZ403" s="377">
        <f t="shared" si="208"/>
        <v>0</v>
      </c>
      <c r="BA403" s="377">
        <f t="shared" si="209"/>
        <v>0</v>
      </c>
      <c r="BB403" s="377"/>
      <c r="BC403" s="377">
        <f t="shared" si="210"/>
        <v>0</v>
      </c>
      <c r="BD403" s="377">
        <f t="shared" si="211"/>
        <v>0</v>
      </c>
      <c r="BE403" s="377"/>
      <c r="BF403" s="377">
        <f t="shared" si="212"/>
        <v>0</v>
      </c>
      <c r="BG403" s="433">
        <f t="shared" si="213"/>
        <v>400629</v>
      </c>
      <c r="BH403" s="434">
        <f t="shared" si="214"/>
        <v>0</v>
      </c>
    </row>
    <row r="404" spans="1:60" s="378" customFormat="1">
      <c r="A404" s="167">
        <v>414</v>
      </c>
      <c r="B404" s="253">
        <f>VLOOKUP(A404,'JUNE (물량흐름)'!$A$13:$C$493,3,0)</f>
        <v>472085</v>
      </c>
      <c r="C404" s="57" t="str">
        <f>VLOOKUP(A404,'JUNE (물량흐름)'!$A$13:$C$493,2,0)</f>
        <v>ANN TAYLOR</v>
      </c>
      <c r="D404" s="58">
        <f>IFERROR(VLOOKUP(B404,O.B.JUNE!$V$7:$Y$448,2,0),0)</f>
        <v>0</v>
      </c>
      <c r="E404" s="58">
        <f>IFERROR(VLOOKUP(B404,O.B.JUNE!$V$7:$X$448,3,0),0)</f>
        <v>0</v>
      </c>
      <c r="F404" s="58">
        <f>IFERROR(VLOOKUP(B404,O.B.JUNE!$V$7:$Y$448,4,0),0)</f>
        <v>0</v>
      </c>
      <c r="G404" s="58">
        <f>SUMIF('JUNE (물량흐름)'!$C$13:$C$493,'In-out-bal products (155)(완성제품)'!B404,'JUNE (물량흐름)'!$V$13:$V$493)</f>
        <v>0</v>
      </c>
      <c r="H404" s="58">
        <f>SUMIF('JUNE (물량흐름)'!$C$13:$C$493,'In-out-bal products (155)(완성제품)'!B404,'JUNE (물량흐름)'!$T$13:$T$493)-SUMIF('JUNE (물량흐름)'!$C$13:$C$493,'In-out-bal products (155)(완성제품)'!B404,'JUNE (물량흐름)'!$Y$13:$Y$493)+SUMIF('JUNE (물량흐름)'!$C$13:$C$493,'In-out-bal products (155)(완성제품)'!B404,'JUNE (물량흐름)'!$U$13:$U$493)</f>
        <v>8044</v>
      </c>
      <c r="I404" s="58">
        <f t="shared" si="186"/>
        <v>23184.788289408254</v>
      </c>
      <c r="J404" s="58">
        <f>SUMIF('Direct labour(직접노무비)'!$C$12:$C$503,'In-out-bal products (155)(완성제품)'!B404,'Direct labour(직접노무비)'!$Q$12:$Q$503)</f>
        <v>63139795</v>
      </c>
      <c r="K404" s="59">
        <f>SUMIF('Overhead exp(제조경비)'!$C$12:$C$503,'In-out-bal products (155)(완성제품)'!B404,'Overhead exp(제조경비)'!$Q$12:$Q$503)</f>
        <v>123358642</v>
      </c>
      <c r="L404" s="58">
        <f t="shared" si="187"/>
        <v>186498437</v>
      </c>
      <c r="M404" s="58">
        <f>SUMIF('JUNE (물량흐름)'!$C$13:$C$488,'In-out-bal products (155)(완성제품)'!B404,'JUNE (물량흐름)'!$Y$13:$Y$488)</f>
        <v>0</v>
      </c>
      <c r="N404" s="58">
        <f t="shared" si="188"/>
        <v>0</v>
      </c>
      <c r="O404" s="58">
        <f>SUMIF('Direct labour(직접노무비)'!$C$12:$C$503,'In-out-bal products (155)(완성제품)'!B404,'Direct labour(직접노무비)'!$U$12:$U$503)+SUMIF('Overhead exp(제조경비)'!$C$12:$C$503,'In-out-bal products (155)(완성제품)'!B404,'Overhead exp(제조경비)'!$U$12:$U$503)</f>
        <v>0</v>
      </c>
      <c r="P404" s="60">
        <f t="shared" si="189"/>
        <v>8044</v>
      </c>
      <c r="Q404" s="60">
        <f t="shared" si="190"/>
        <v>23184.788289408254</v>
      </c>
      <c r="R404" s="60">
        <f t="shared" si="191"/>
        <v>186498437</v>
      </c>
      <c r="S404" s="58">
        <v>0</v>
      </c>
      <c r="T404" s="58">
        <v>0</v>
      </c>
      <c r="U404" s="58">
        <v>0</v>
      </c>
      <c r="V404" s="58">
        <f>SUMIF('JUNE (물량흐름)'!$C$13:$C$493,'In-out-bal products (155)(완성제품)'!B404,'JUNE (물량흐름)'!$W$13:$W$493)</f>
        <v>0</v>
      </c>
      <c r="W404" s="58">
        <f t="shared" si="192"/>
        <v>0</v>
      </c>
      <c r="X404" s="58">
        <f t="shared" si="193"/>
        <v>0</v>
      </c>
      <c r="Y404" s="58">
        <f>SUMIF('JUNE (물량흐름)'!$C$13:$C$488,'In-out-bal products (155)(완성제품)'!B404,'JUNE (물량흐름)'!$X$13:$X$488)</f>
        <v>0</v>
      </c>
      <c r="Z404" s="58">
        <f t="shared" si="194"/>
        <v>0</v>
      </c>
      <c r="AA404" s="58">
        <f t="shared" si="195"/>
        <v>0</v>
      </c>
      <c r="AB404" s="58"/>
      <c r="AC404" s="58"/>
      <c r="AD404" s="61"/>
      <c r="AE404" s="58">
        <f t="shared" si="196"/>
        <v>0</v>
      </c>
      <c r="AF404" s="58">
        <f t="shared" si="197"/>
        <v>0</v>
      </c>
      <c r="AG404" s="61">
        <f t="shared" si="198"/>
        <v>0</v>
      </c>
      <c r="AH404" s="58">
        <v>0</v>
      </c>
      <c r="AI404" s="58">
        <v>0</v>
      </c>
      <c r="AJ404" s="61">
        <v>0</v>
      </c>
      <c r="AK404" s="58"/>
      <c r="AL404" s="58"/>
      <c r="AM404" s="61"/>
      <c r="AN404" s="61">
        <f t="shared" si="215"/>
        <v>0</v>
      </c>
      <c r="AO404" s="58">
        <f t="shared" si="199"/>
        <v>0</v>
      </c>
      <c r="AP404" s="61">
        <f t="shared" si="200"/>
        <v>0</v>
      </c>
      <c r="AQ404" s="58">
        <f t="shared" si="201"/>
        <v>8044</v>
      </c>
      <c r="AR404" s="58">
        <f t="shared" si="202"/>
        <v>23184.788289408254</v>
      </c>
      <c r="AS404" s="58">
        <f t="shared" si="203"/>
        <v>186498437</v>
      </c>
      <c r="AT404" s="58">
        <f>ROUND(SUMIF('JUNE (물량흐름)'!$C$13:$C$502,'In-out-bal products (155)(완성제품)'!B404,'JUNE (물량흐름)'!$AB$13:$AB$502),0)</f>
        <v>8044</v>
      </c>
      <c r="AU404" s="58">
        <f t="shared" si="204"/>
        <v>186498437</v>
      </c>
      <c r="AV404" s="58">
        <f>ROUND(SUMIF('JUNE (물량흐름)'!$C$13:$C$502,'In-out-bal products (155)(완성제품)'!B404,'JUNE (물량흐름)'!$AC$13:$AC$502),0)</f>
        <v>0</v>
      </c>
      <c r="AW404" s="58">
        <f t="shared" si="205"/>
        <v>0</v>
      </c>
      <c r="AX404" s="376">
        <f t="shared" si="206"/>
        <v>0</v>
      </c>
      <c r="AY404" s="377">
        <f t="shared" si="207"/>
        <v>0</v>
      </c>
      <c r="AZ404" s="377">
        <f t="shared" si="208"/>
        <v>0</v>
      </c>
      <c r="BA404" s="377">
        <f t="shared" si="209"/>
        <v>0</v>
      </c>
      <c r="BB404" s="377"/>
      <c r="BC404" s="377">
        <f t="shared" si="210"/>
        <v>0</v>
      </c>
      <c r="BD404" s="377">
        <f t="shared" si="211"/>
        <v>0</v>
      </c>
      <c r="BE404" s="377"/>
      <c r="BF404" s="377">
        <f t="shared" si="212"/>
        <v>0</v>
      </c>
      <c r="BG404" s="433">
        <f t="shared" si="213"/>
        <v>0</v>
      </c>
      <c r="BH404" s="434">
        <f t="shared" si="214"/>
        <v>0</v>
      </c>
    </row>
    <row r="405" spans="1:60" s="378" customFormat="1">
      <c r="A405" s="167">
        <v>415</v>
      </c>
      <c r="B405" s="253">
        <f>VLOOKUP(A405,'JUNE (물량흐름)'!$A$13:$C$493,3,0)</f>
        <v>472371</v>
      </c>
      <c r="C405" s="57" t="str">
        <f>VLOOKUP(A405,'JUNE (물량흐름)'!$A$13:$C$493,2,0)</f>
        <v>ANN TAYLOR</v>
      </c>
      <c r="D405" s="58">
        <f>IFERROR(VLOOKUP(B405,O.B.JUNE!$V$7:$Y$448,2,0),0)</f>
        <v>0</v>
      </c>
      <c r="E405" s="58">
        <f>IFERROR(VLOOKUP(B405,O.B.JUNE!$V$7:$X$448,3,0),0)</f>
        <v>0</v>
      </c>
      <c r="F405" s="58">
        <f>IFERROR(VLOOKUP(B405,O.B.JUNE!$V$7:$Y$448,4,0),0)</f>
        <v>0</v>
      </c>
      <c r="G405" s="58">
        <f>SUMIF('JUNE (물량흐름)'!$C$13:$C$493,'In-out-bal products (155)(완성제품)'!B405,'JUNE (물량흐름)'!$V$13:$V$493)</f>
        <v>0</v>
      </c>
      <c r="H405" s="58">
        <f>SUMIF('JUNE (물량흐름)'!$C$13:$C$493,'In-out-bal products (155)(완성제품)'!B405,'JUNE (물량흐름)'!$T$13:$T$493)-SUMIF('JUNE (물량흐름)'!$C$13:$C$493,'In-out-bal products (155)(완성제품)'!B405,'JUNE (물량흐름)'!$Y$13:$Y$493)+SUMIF('JUNE (물량흐름)'!$C$13:$C$493,'In-out-bal products (155)(완성제품)'!B405,'JUNE (물량흐름)'!$U$13:$U$493)</f>
        <v>6262</v>
      </c>
      <c r="I405" s="58">
        <f t="shared" si="186"/>
        <v>72695.798307250079</v>
      </c>
      <c r="J405" s="58">
        <f>SUMIF('Direct labour(직접노무비)'!$C$12:$C$503,'In-out-bal products (155)(완성제품)'!B405,'Direct labour(직접노무비)'!$Q$12:$Q$503)</f>
        <v>154116928</v>
      </c>
      <c r="K405" s="59">
        <f>SUMIF('Overhead exp(제조경비)'!$C$12:$C$503,'In-out-bal products (155)(완성제품)'!B405,'Overhead exp(제조경비)'!$Q$12:$Q$503)</f>
        <v>301104161</v>
      </c>
      <c r="L405" s="58">
        <f t="shared" si="187"/>
        <v>455221089</v>
      </c>
      <c r="M405" s="58">
        <f>SUMIF('JUNE (물량흐름)'!$C$13:$C$488,'In-out-bal products (155)(완성제품)'!B405,'JUNE (물량흐름)'!$Y$13:$Y$488)</f>
        <v>23</v>
      </c>
      <c r="N405" s="58">
        <f t="shared" si="188"/>
        <v>72695.782608695648</v>
      </c>
      <c r="O405" s="58">
        <f>SUMIF('Direct labour(직접노무비)'!$C$12:$C$503,'In-out-bal products (155)(완성제품)'!B405,'Direct labour(직접노무비)'!$U$12:$U$503)+SUMIF('Overhead exp(제조경비)'!$C$12:$C$503,'In-out-bal products (155)(완성제품)'!B405,'Overhead exp(제조경비)'!$U$12:$U$503)</f>
        <v>1672003</v>
      </c>
      <c r="P405" s="60">
        <f t="shared" si="189"/>
        <v>6285</v>
      </c>
      <c r="Q405" s="60">
        <f t="shared" si="190"/>
        <v>72695.798249801112</v>
      </c>
      <c r="R405" s="60">
        <f t="shared" si="191"/>
        <v>456893092</v>
      </c>
      <c r="S405" s="58">
        <v>0</v>
      </c>
      <c r="T405" s="58">
        <v>0</v>
      </c>
      <c r="U405" s="58">
        <v>0</v>
      </c>
      <c r="V405" s="58">
        <f>SUMIF('JUNE (물량흐름)'!$C$13:$C$493,'In-out-bal products (155)(완성제품)'!B405,'JUNE (물량흐름)'!$W$13:$W$493)</f>
        <v>6155</v>
      </c>
      <c r="W405" s="58">
        <f t="shared" si="192"/>
        <v>72695.798375304628</v>
      </c>
      <c r="X405" s="58">
        <f t="shared" si="193"/>
        <v>447442639</v>
      </c>
      <c r="Y405" s="58">
        <f>SUMIF('JUNE (물량흐름)'!$C$13:$C$488,'In-out-bal products (155)(완성제품)'!B405,'JUNE (물량흐름)'!$X$13:$X$488)</f>
        <v>0</v>
      </c>
      <c r="Z405" s="58">
        <f t="shared" si="194"/>
        <v>0</v>
      </c>
      <c r="AA405" s="58">
        <f t="shared" si="195"/>
        <v>0</v>
      </c>
      <c r="AB405" s="58"/>
      <c r="AC405" s="58"/>
      <c r="AD405" s="61"/>
      <c r="AE405" s="58">
        <f t="shared" si="196"/>
        <v>23</v>
      </c>
      <c r="AF405" s="58">
        <f t="shared" si="197"/>
        <v>72695.782608695648</v>
      </c>
      <c r="AG405" s="61">
        <f t="shared" si="198"/>
        <v>1672003</v>
      </c>
      <c r="AH405" s="58">
        <v>0</v>
      </c>
      <c r="AI405" s="58">
        <v>0</v>
      </c>
      <c r="AJ405" s="61">
        <v>0</v>
      </c>
      <c r="AK405" s="58"/>
      <c r="AL405" s="58"/>
      <c r="AM405" s="61"/>
      <c r="AN405" s="61">
        <f t="shared" si="215"/>
        <v>6178</v>
      </c>
      <c r="AO405" s="58">
        <f t="shared" si="199"/>
        <v>72695.79831660731</v>
      </c>
      <c r="AP405" s="61">
        <f t="shared" si="200"/>
        <v>449114642</v>
      </c>
      <c r="AQ405" s="58">
        <f t="shared" si="201"/>
        <v>107</v>
      </c>
      <c r="AR405" s="58">
        <f t="shared" si="202"/>
        <v>72695.79439252337</v>
      </c>
      <c r="AS405" s="58">
        <f t="shared" si="203"/>
        <v>7778450</v>
      </c>
      <c r="AT405" s="58">
        <f>ROUND(SUMIF('JUNE (물량흐름)'!$C$13:$C$502,'In-out-bal products (155)(완성제품)'!B405,'JUNE (물량흐름)'!$AB$13:$AB$502),0)</f>
        <v>0</v>
      </c>
      <c r="AU405" s="58">
        <f t="shared" si="204"/>
        <v>0</v>
      </c>
      <c r="AV405" s="58">
        <f>ROUND(SUMIF('JUNE (물량흐름)'!$C$13:$C$502,'In-out-bal products (155)(완성제품)'!B405,'JUNE (물량흐름)'!$AC$13:$AC$502),0)</f>
        <v>107</v>
      </c>
      <c r="AW405" s="58">
        <f t="shared" si="205"/>
        <v>7778450</v>
      </c>
      <c r="AX405" s="376">
        <f t="shared" si="206"/>
        <v>0</v>
      </c>
      <c r="AY405" s="377">
        <f t="shared" si="207"/>
        <v>0</v>
      </c>
      <c r="AZ405" s="377">
        <f t="shared" si="208"/>
        <v>0</v>
      </c>
      <c r="BA405" s="377">
        <f t="shared" si="209"/>
        <v>0</v>
      </c>
      <c r="BB405" s="377"/>
      <c r="BC405" s="377">
        <f t="shared" si="210"/>
        <v>0</v>
      </c>
      <c r="BD405" s="377">
        <f t="shared" si="211"/>
        <v>0</v>
      </c>
      <c r="BE405" s="377"/>
      <c r="BF405" s="377">
        <f t="shared" si="212"/>
        <v>0</v>
      </c>
      <c r="BG405" s="433">
        <f t="shared" si="213"/>
        <v>449114642</v>
      </c>
      <c r="BH405" s="434">
        <f t="shared" si="214"/>
        <v>0</v>
      </c>
    </row>
    <row r="406" spans="1:60" s="378" customFormat="1">
      <c r="A406" s="167">
        <v>416</v>
      </c>
      <c r="B406" s="253">
        <f>VLOOKUP(A406,'JUNE (물량흐름)'!$A$13:$C$493,3,0)</f>
        <v>474932</v>
      </c>
      <c r="C406" s="57" t="str">
        <f>VLOOKUP(A406,'JUNE (물량흐름)'!$A$13:$C$493,2,0)</f>
        <v>ANN TAYLOR</v>
      </c>
      <c r="D406" s="58">
        <f>IFERROR(VLOOKUP(B406,O.B.JUNE!$V$7:$Y$448,2,0),0)</f>
        <v>0</v>
      </c>
      <c r="E406" s="58">
        <f>IFERROR(VLOOKUP(B406,O.B.JUNE!$V$7:$X$448,3,0),0)</f>
        <v>0</v>
      </c>
      <c r="F406" s="58">
        <f>IFERROR(VLOOKUP(B406,O.B.JUNE!$V$7:$Y$448,4,0),0)</f>
        <v>0</v>
      </c>
      <c r="G406" s="58">
        <f>SUMIF('JUNE (물량흐름)'!$C$13:$C$493,'In-out-bal products (155)(완성제품)'!B406,'JUNE (물량흐름)'!$V$13:$V$493)</f>
        <v>0</v>
      </c>
      <c r="H406" s="58">
        <f>SUMIF('JUNE (물량흐름)'!$C$13:$C$493,'In-out-bal products (155)(완성제품)'!B406,'JUNE (물량흐름)'!$T$13:$T$493)-SUMIF('JUNE (물량흐름)'!$C$13:$C$493,'In-out-bal products (155)(완성제품)'!B406,'JUNE (물량흐름)'!$Y$13:$Y$493)+SUMIF('JUNE (물량흐름)'!$C$13:$C$493,'In-out-bal products (155)(완성제품)'!B406,'JUNE (물량흐름)'!$U$13:$U$493)</f>
        <v>25256</v>
      </c>
      <c r="I406" s="58">
        <f t="shared" si="186"/>
        <v>34083.775657269558</v>
      </c>
      <c r="J406" s="58">
        <f>SUMIF('Direct labour(직접노무비)'!$C$12:$C$503,'In-out-bal products (155)(완성제품)'!B406,'Direct labour(직접노무비)'!$Q$12:$Q$503)</f>
        <v>291434012</v>
      </c>
      <c r="K406" s="59">
        <f>SUMIF('Overhead exp(제조경비)'!$C$12:$C$503,'In-out-bal products (155)(완성제품)'!B406,'Overhead exp(제조경비)'!$Q$12:$Q$503)</f>
        <v>569385826</v>
      </c>
      <c r="L406" s="58">
        <f t="shared" si="187"/>
        <v>860819838</v>
      </c>
      <c r="M406" s="58">
        <f>SUMIF('JUNE (물량흐름)'!$C$13:$C$488,'In-out-bal products (155)(완성제품)'!B406,'JUNE (물량흐름)'!$Y$13:$Y$488)</f>
        <v>7</v>
      </c>
      <c r="N406" s="58">
        <f t="shared" si="188"/>
        <v>34083.714285714283</v>
      </c>
      <c r="O406" s="58">
        <f>SUMIF('Direct labour(직접노무비)'!$C$12:$C$503,'In-out-bal products (155)(완성제품)'!B406,'Direct labour(직접노무비)'!$U$12:$U$503)+SUMIF('Overhead exp(제조경비)'!$C$12:$C$503,'In-out-bal products (155)(완성제품)'!B406,'Overhead exp(제조경비)'!$U$12:$U$503)</f>
        <v>238586</v>
      </c>
      <c r="P406" s="60">
        <f t="shared" si="189"/>
        <v>25263</v>
      </c>
      <c r="Q406" s="60">
        <f t="shared" si="190"/>
        <v>34083.775640264415</v>
      </c>
      <c r="R406" s="60">
        <f t="shared" si="191"/>
        <v>861058424</v>
      </c>
      <c r="S406" s="58">
        <v>0</v>
      </c>
      <c r="T406" s="58">
        <v>0</v>
      </c>
      <c r="U406" s="58">
        <v>0</v>
      </c>
      <c r="V406" s="58">
        <f>SUMIF('JUNE (물량흐름)'!$C$13:$C$493,'In-out-bal products (155)(완성제품)'!B406,'JUNE (물량흐름)'!$W$13:$W$493)</f>
        <v>22960</v>
      </c>
      <c r="W406" s="58">
        <f t="shared" si="192"/>
        <v>34083.775653310106</v>
      </c>
      <c r="X406" s="58">
        <f t="shared" si="193"/>
        <v>782563489</v>
      </c>
      <c r="Y406" s="58">
        <f>SUMIF('JUNE (물량흐름)'!$C$13:$C$488,'In-out-bal products (155)(완성제품)'!B406,'JUNE (물량흐름)'!$X$13:$X$488)</f>
        <v>0</v>
      </c>
      <c r="Z406" s="58">
        <f t="shared" si="194"/>
        <v>0</v>
      </c>
      <c r="AA406" s="58">
        <f t="shared" si="195"/>
        <v>0</v>
      </c>
      <c r="AB406" s="58"/>
      <c r="AC406" s="58"/>
      <c r="AD406" s="61"/>
      <c r="AE406" s="58">
        <f t="shared" si="196"/>
        <v>7</v>
      </c>
      <c r="AF406" s="58">
        <f t="shared" si="197"/>
        <v>34083.714285714283</v>
      </c>
      <c r="AG406" s="61">
        <f t="shared" si="198"/>
        <v>238586</v>
      </c>
      <c r="AH406" s="58">
        <v>0</v>
      </c>
      <c r="AI406" s="58">
        <v>0</v>
      </c>
      <c r="AJ406" s="61">
        <v>0</v>
      </c>
      <c r="AK406" s="58"/>
      <c r="AL406" s="58"/>
      <c r="AM406" s="61"/>
      <c r="AN406" s="61">
        <f t="shared" si="215"/>
        <v>22967</v>
      </c>
      <c r="AO406" s="58">
        <f t="shared" si="199"/>
        <v>34083.775634606172</v>
      </c>
      <c r="AP406" s="61">
        <f t="shared" si="200"/>
        <v>782802075</v>
      </c>
      <c r="AQ406" s="58">
        <f t="shared" si="201"/>
        <v>2296</v>
      </c>
      <c r="AR406" s="58">
        <f t="shared" si="202"/>
        <v>34083.775696864112</v>
      </c>
      <c r="AS406" s="58">
        <f t="shared" si="203"/>
        <v>78256349</v>
      </c>
      <c r="AT406" s="58">
        <f>ROUND(SUMIF('JUNE (물량흐름)'!$C$13:$C$502,'In-out-bal products (155)(완성제품)'!B406,'JUNE (물량흐름)'!$AB$13:$AB$502),0)</f>
        <v>2296</v>
      </c>
      <c r="AU406" s="58">
        <f t="shared" si="204"/>
        <v>78256349</v>
      </c>
      <c r="AV406" s="58">
        <f>ROUND(SUMIF('JUNE (물량흐름)'!$C$13:$C$502,'In-out-bal products (155)(완성제품)'!B406,'JUNE (물량흐름)'!$AC$13:$AC$502),0)</f>
        <v>0</v>
      </c>
      <c r="AW406" s="58">
        <f t="shared" si="205"/>
        <v>0</v>
      </c>
      <c r="AX406" s="376">
        <f t="shared" si="206"/>
        <v>0</v>
      </c>
      <c r="AY406" s="377">
        <f t="shared" si="207"/>
        <v>0</v>
      </c>
      <c r="AZ406" s="377">
        <f t="shared" si="208"/>
        <v>0</v>
      </c>
      <c r="BA406" s="377">
        <f t="shared" si="209"/>
        <v>0</v>
      </c>
      <c r="BB406" s="377"/>
      <c r="BC406" s="377">
        <f t="shared" si="210"/>
        <v>0</v>
      </c>
      <c r="BD406" s="377">
        <f t="shared" si="211"/>
        <v>0</v>
      </c>
      <c r="BE406" s="377"/>
      <c r="BF406" s="377">
        <f t="shared" si="212"/>
        <v>0</v>
      </c>
      <c r="BG406" s="433">
        <f t="shared" si="213"/>
        <v>782802075</v>
      </c>
      <c r="BH406" s="434">
        <f t="shared" si="214"/>
        <v>0</v>
      </c>
    </row>
    <row r="407" spans="1:60" s="378" customFormat="1">
      <c r="A407" s="167">
        <v>417</v>
      </c>
      <c r="B407" s="253">
        <f>VLOOKUP(A407,'JUNE (물량흐름)'!$A$13:$C$493,3,0)</f>
        <v>476091</v>
      </c>
      <c r="C407" s="57" t="str">
        <f>VLOOKUP(A407,'JUNE (물량흐름)'!$A$13:$C$493,2,0)</f>
        <v>ANN TAYLOR</v>
      </c>
      <c r="D407" s="58">
        <f>IFERROR(VLOOKUP(B407,O.B.JUNE!$V$7:$Y$448,2,0),0)</f>
        <v>0</v>
      </c>
      <c r="E407" s="58">
        <f>IFERROR(VLOOKUP(B407,O.B.JUNE!$V$7:$X$448,3,0),0)</f>
        <v>0</v>
      </c>
      <c r="F407" s="58">
        <f>IFERROR(VLOOKUP(B407,O.B.JUNE!$V$7:$Y$448,4,0),0)</f>
        <v>0</v>
      </c>
      <c r="G407" s="58">
        <f>SUMIF('JUNE (물량흐름)'!$C$13:$C$493,'In-out-bal products (155)(완성제품)'!B407,'JUNE (물량흐름)'!$V$13:$V$493)</f>
        <v>0</v>
      </c>
      <c r="H407" s="58">
        <f>SUMIF('JUNE (물량흐름)'!$C$13:$C$493,'In-out-bal products (155)(완성제품)'!B407,'JUNE (물량흐름)'!$T$13:$T$493)-SUMIF('JUNE (물량흐름)'!$C$13:$C$493,'In-out-bal products (155)(완성제품)'!B407,'JUNE (물량흐름)'!$Y$13:$Y$493)+SUMIF('JUNE (물량흐름)'!$C$13:$C$493,'In-out-bal products (155)(완성제품)'!B407,'JUNE (물량흐름)'!$U$13:$U$493)</f>
        <v>7953</v>
      </c>
      <c r="I407" s="58">
        <f t="shared" si="186"/>
        <v>38890.232616622656</v>
      </c>
      <c r="J407" s="58">
        <f>SUMIF('Direct labour(직접노무비)'!$C$12:$C$503,'In-out-bal products (155)(완성제품)'!B407,'Direct labour(직접노무비)'!$Q$12:$Q$503)</f>
        <v>104712732</v>
      </c>
      <c r="K407" s="59">
        <f>SUMIF('Overhead exp(제조경비)'!$C$12:$C$503,'In-out-bal products (155)(완성제품)'!B407,'Overhead exp(제조경비)'!$Q$12:$Q$503)</f>
        <v>204581288</v>
      </c>
      <c r="L407" s="58">
        <f t="shared" si="187"/>
        <v>309294020</v>
      </c>
      <c r="M407" s="58">
        <f>SUMIF('JUNE (물량흐름)'!$C$13:$C$488,'In-out-bal products (155)(완성제품)'!B407,'JUNE (물량흐름)'!$Y$13:$Y$488)</f>
        <v>29</v>
      </c>
      <c r="N407" s="58">
        <f t="shared" si="188"/>
        <v>38890.241379310348</v>
      </c>
      <c r="O407" s="58">
        <f>SUMIF('Direct labour(직접노무비)'!$C$12:$C$503,'In-out-bal products (155)(완성제품)'!B407,'Direct labour(직접노무비)'!$U$12:$U$503)+SUMIF('Overhead exp(제조경비)'!$C$12:$C$503,'In-out-bal products (155)(완성제품)'!B407,'Overhead exp(제조경비)'!$U$12:$U$503)</f>
        <v>1127817</v>
      </c>
      <c r="P407" s="60">
        <f t="shared" si="189"/>
        <v>7982</v>
      </c>
      <c r="Q407" s="60">
        <f t="shared" si="190"/>
        <v>38890.23264845903</v>
      </c>
      <c r="R407" s="60">
        <f t="shared" si="191"/>
        <v>310421837</v>
      </c>
      <c r="S407" s="58">
        <v>0</v>
      </c>
      <c r="T407" s="58">
        <v>0</v>
      </c>
      <c r="U407" s="58">
        <v>0</v>
      </c>
      <c r="V407" s="58">
        <f>SUMIF('JUNE (물량흐름)'!$C$13:$C$493,'In-out-bal products (155)(완성제품)'!B407,'JUNE (물량흐름)'!$W$13:$W$493)</f>
        <v>7953</v>
      </c>
      <c r="W407" s="58">
        <f t="shared" si="192"/>
        <v>38890.232616622656</v>
      </c>
      <c r="X407" s="58">
        <f t="shared" si="193"/>
        <v>309294020</v>
      </c>
      <c r="Y407" s="58">
        <f>SUMIF('JUNE (물량흐름)'!$C$13:$C$488,'In-out-bal products (155)(완성제품)'!B407,'JUNE (물량흐름)'!$X$13:$X$488)</f>
        <v>0</v>
      </c>
      <c r="Z407" s="58">
        <f t="shared" si="194"/>
        <v>0</v>
      </c>
      <c r="AA407" s="58">
        <f t="shared" si="195"/>
        <v>0</v>
      </c>
      <c r="AB407" s="58"/>
      <c r="AC407" s="58"/>
      <c r="AD407" s="61"/>
      <c r="AE407" s="58">
        <f t="shared" si="196"/>
        <v>29</v>
      </c>
      <c r="AF407" s="58">
        <f t="shared" si="197"/>
        <v>38890.241379310348</v>
      </c>
      <c r="AG407" s="61">
        <f t="shared" si="198"/>
        <v>1127817</v>
      </c>
      <c r="AH407" s="58">
        <v>0</v>
      </c>
      <c r="AI407" s="58">
        <v>0</v>
      </c>
      <c r="AJ407" s="61">
        <v>0</v>
      </c>
      <c r="AK407" s="58"/>
      <c r="AL407" s="58"/>
      <c r="AM407" s="61"/>
      <c r="AN407" s="61">
        <f t="shared" si="215"/>
        <v>7982</v>
      </c>
      <c r="AO407" s="58">
        <f t="shared" si="199"/>
        <v>38890.23264845903</v>
      </c>
      <c r="AP407" s="61">
        <f t="shared" si="200"/>
        <v>310421837</v>
      </c>
      <c r="AQ407" s="58">
        <f t="shared" si="201"/>
        <v>0</v>
      </c>
      <c r="AR407" s="58">
        <f t="shared" si="202"/>
        <v>0</v>
      </c>
      <c r="AS407" s="58">
        <f t="shared" si="203"/>
        <v>0</v>
      </c>
      <c r="AT407" s="58">
        <f>ROUND(SUMIF('JUNE (물량흐름)'!$C$13:$C$502,'In-out-bal products (155)(완성제품)'!B407,'JUNE (물량흐름)'!$AB$13:$AB$502),0)</f>
        <v>0</v>
      </c>
      <c r="AU407" s="58">
        <f t="shared" si="204"/>
        <v>0</v>
      </c>
      <c r="AV407" s="58">
        <f>ROUND(SUMIF('JUNE (물량흐름)'!$C$13:$C$502,'In-out-bal products (155)(완성제품)'!B407,'JUNE (물량흐름)'!$AC$13:$AC$502),0)</f>
        <v>0</v>
      </c>
      <c r="AW407" s="58">
        <f t="shared" si="205"/>
        <v>0</v>
      </c>
      <c r="AX407" s="376">
        <f t="shared" si="206"/>
        <v>0</v>
      </c>
      <c r="AY407" s="377">
        <f t="shared" si="207"/>
        <v>0</v>
      </c>
      <c r="AZ407" s="377">
        <f t="shared" si="208"/>
        <v>0</v>
      </c>
      <c r="BA407" s="377">
        <f t="shared" si="209"/>
        <v>0</v>
      </c>
      <c r="BB407" s="377"/>
      <c r="BC407" s="377">
        <f t="shared" si="210"/>
        <v>0</v>
      </c>
      <c r="BD407" s="377">
        <f t="shared" si="211"/>
        <v>0</v>
      </c>
      <c r="BE407" s="377"/>
      <c r="BF407" s="377">
        <f t="shared" si="212"/>
        <v>0</v>
      </c>
      <c r="BG407" s="433">
        <f t="shared" si="213"/>
        <v>310421837</v>
      </c>
      <c r="BH407" s="434">
        <f t="shared" si="214"/>
        <v>0</v>
      </c>
    </row>
    <row r="408" spans="1:60" s="378" customFormat="1">
      <c r="A408" s="167">
        <v>418</v>
      </c>
      <c r="B408" s="253">
        <f>VLOOKUP(A408,'JUNE (물량흐름)'!$A$13:$C$493,3,0)</f>
        <v>100018130</v>
      </c>
      <c r="C408" s="57" t="str">
        <f>VLOOKUP(A408,'JUNE (물량흐름)'!$A$13:$C$493,2,0)</f>
        <v>ALFANI</v>
      </c>
      <c r="D408" s="58">
        <f>IFERROR(VLOOKUP(B408,O.B.JUNE!$V$7:$Y$448,2,0),0)</f>
        <v>0</v>
      </c>
      <c r="E408" s="58">
        <f>IFERROR(VLOOKUP(B408,O.B.JUNE!$V$7:$X$448,3,0),0)</f>
        <v>0</v>
      </c>
      <c r="F408" s="58">
        <f>IFERROR(VLOOKUP(B408,O.B.JUNE!$V$7:$Y$448,4,0),0)</f>
        <v>0</v>
      </c>
      <c r="G408" s="58">
        <f>SUMIF('JUNE (물량흐름)'!$C$13:$C$493,'In-out-bal products (155)(완성제품)'!B408,'JUNE (물량흐름)'!$V$13:$V$493)</f>
        <v>0</v>
      </c>
      <c r="H408" s="58">
        <f>SUMIF('JUNE (물량흐름)'!$C$13:$C$493,'In-out-bal products (155)(완성제품)'!B408,'JUNE (물량흐름)'!$T$13:$T$493)-SUMIF('JUNE (물량흐름)'!$C$13:$C$493,'In-out-bal products (155)(완성제품)'!B408,'JUNE (물량흐름)'!$Y$13:$Y$493)+SUMIF('JUNE (물량흐름)'!$C$13:$C$493,'In-out-bal products (155)(완성제품)'!B408,'JUNE (물량흐름)'!$U$13:$U$493)</f>
        <v>7944</v>
      </c>
      <c r="I408" s="58">
        <f t="shared" si="186"/>
        <v>44643.927995971804</v>
      </c>
      <c r="J408" s="58">
        <f>SUMIF('Direct labour(직접노무비)'!$C$12:$C$503,'In-out-bal products (155)(완성제품)'!B408,'Direct labour(직접노무비)'!$Q$12:$Q$503)</f>
        <v>120068643</v>
      </c>
      <c r="K408" s="59">
        <f>SUMIF('Overhead exp(제조경비)'!$C$12:$C$503,'In-out-bal products (155)(완성제품)'!B408,'Overhead exp(제조경비)'!$Q$12:$Q$503)</f>
        <v>234582721</v>
      </c>
      <c r="L408" s="58">
        <f t="shared" si="187"/>
        <v>354651364</v>
      </c>
      <c r="M408" s="58">
        <f>SUMIF('JUNE (물량흐름)'!$C$13:$C$488,'In-out-bal products (155)(완성제품)'!B408,'JUNE (물량흐름)'!$Y$13:$Y$488)</f>
        <v>2</v>
      </c>
      <c r="N408" s="58">
        <f t="shared" si="188"/>
        <v>44644</v>
      </c>
      <c r="O408" s="58">
        <f>SUMIF('Direct labour(직접노무비)'!$C$12:$C$503,'In-out-bal products (155)(완성제품)'!B408,'Direct labour(직접노무비)'!$U$12:$U$503)+SUMIF('Overhead exp(제조경비)'!$C$12:$C$503,'In-out-bal products (155)(완성제품)'!B408,'Overhead exp(제조경비)'!$U$12:$U$503)</f>
        <v>89288</v>
      </c>
      <c r="P408" s="60">
        <f t="shared" si="189"/>
        <v>7946</v>
      </c>
      <c r="Q408" s="60">
        <f t="shared" si="190"/>
        <v>44643.928014095145</v>
      </c>
      <c r="R408" s="60">
        <f t="shared" si="191"/>
        <v>354740652</v>
      </c>
      <c r="S408" s="58">
        <v>0</v>
      </c>
      <c r="T408" s="58">
        <v>0</v>
      </c>
      <c r="U408" s="58">
        <v>0</v>
      </c>
      <c r="V408" s="58">
        <f>SUMIF('JUNE (물량흐름)'!$C$13:$C$493,'In-out-bal products (155)(완성제품)'!B408,'JUNE (물량흐름)'!$W$13:$W$493)</f>
        <v>7855</v>
      </c>
      <c r="W408" s="58">
        <f t="shared" si="192"/>
        <v>44643.927943984723</v>
      </c>
      <c r="X408" s="58">
        <f t="shared" si="193"/>
        <v>350678054</v>
      </c>
      <c r="Y408" s="58">
        <f>SUMIF('JUNE (물량흐름)'!$C$13:$C$488,'In-out-bal products (155)(완성제품)'!B408,'JUNE (물량흐름)'!$X$13:$X$488)</f>
        <v>0</v>
      </c>
      <c r="Z408" s="58">
        <f t="shared" si="194"/>
        <v>0</v>
      </c>
      <c r="AA408" s="58">
        <f t="shared" si="195"/>
        <v>0</v>
      </c>
      <c r="AB408" s="58"/>
      <c r="AC408" s="58"/>
      <c r="AD408" s="61"/>
      <c r="AE408" s="58">
        <f t="shared" si="196"/>
        <v>2</v>
      </c>
      <c r="AF408" s="58">
        <f t="shared" si="197"/>
        <v>44644</v>
      </c>
      <c r="AG408" s="61">
        <f t="shared" si="198"/>
        <v>89288</v>
      </c>
      <c r="AH408" s="58">
        <v>0</v>
      </c>
      <c r="AI408" s="58">
        <v>0</v>
      </c>
      <c r="AJ408" s="61">
        <v>0</v>
      </c>
      <c r="AK408" s="58"/>
      <c r="AL408" s="58"/>
      <c r="AM408" s="61"/>
      <c r="AN408" s="61">
        <f t="shared" si="215"/>
        <v>7857</v>
      </c>
      <c r="AO408" s="58">
        <f t="shared" si="199"/>
        <v>44643.92796232659</v>
      </c>
      <c r="AP408" s="61">
        <f t="shared" si="200"/>
        <v>350767342</v>
      </c>
      <c r="AQ408" s="58">
        <f t="shared" si="201"/>
        <v>89</v>
      </c>
      <c r="AR408" s="58">
        <f t="shared" si="202"/>
        <v>44643.932584269663</v>
      </c>
      <c r="AS408" s="58">
        <f t="shared" si="203"/>
        <v>3973310</v>
      </c>
      <c r="AT408" s="58">
        <f>ROUND(SUMIF('JUNE (물량흐름)'!$C$13:$C$502,'In-out-bal products (155)(완성제품)'!B408,'JUNE (물량흐름)'!$AB$13:$AB$502),0)</f>
        <v>0</v>
      </c>
      <c r="AU408" s="58">
        <f t="shared" si="204"/>
        <v>0</v>
      </c>
      <c r="AV408" s="58">
        <f>ROUND(SUMIF('JUNE (물량흐름)'!$C$13:$C$502,'In-out-bal products (155)(완성제품)'!B408,'JUNE (물량흐름)'!$AC$13:$AC$502),0)</f>
        <v>89</v>
      </c>
      <c r="AW408" s="58">
        <f t="shared" si="205"/>
        <v>3973310</v>
      </c>
      <c r="AX408" s="376">
        <f t="shared" si="206"/>
        <v>0</v>
      </c>
      <c r="AY408" s="377">
        <f t="shared" si="207"/>
        <v>0</v>
      </c>
      <c r="AZ408" s="377">
        <f t="shared" si="208"/>
        <v>0</v>
      </c>
      <c r="BA408" s="377">
        <f t="shared" si="209"/>
        <v>0</v>
      </c>
      <c r="BB408" s="377"/>
      <c r="BC408" s="377">
        <f t="shared" si="210"/>
        <v>0</v>
      </c>
      <c r="BD408" s="377">
        <f t="shared" si="211"/>
        <v>0</v>
      </c>
      <c r="BE408" s="377"/>
      <c r="BF408" s="377">
        <f t="shared" si="212"/>
        <v>0</v>
      </c>
      <c r="BG408" s="433">
        <f t="shared" si="213"/>
        <v>350767342</v>
      </c>
      <c r="BH408" s="434">
        <f t="shared" si="214"/>
        <v>0</v>
      </c>
    </row>
    <row r="409" spans="1:60" s="378" customFormat="1">
      <c r="A409" s="167">
        <v>419</v>
      </c>
      <c r="B409" s="253">
        <f>VLOOKUP(A409,'JUNE (물량흐름)'!$A$13:$C$493,3,0)</f>
        <v>100018197</v>
      </c>
      <c r="C409" s="57" t="str">
        <f>VLOOKUP(A409,'JUNE (물량흐름)'!$A$13:$C$493,2,0)</f>
        <v>ALFANI</v>
      </c>
      <c r="D409" s="58">
        <f>IFERROR(VLOOKUP(B409,O.B.JUNE!$V$7:$Y$448,2,0),0)</f>
        <v>225</v>
      </c>
      <c r="E409" s="58">
        <f>IFERROR(VLOOKUP(B409,O.B.JUNE!$V$7:$X$448,3,0),0)</f>
        <v>26467.493333333332</v>
      </c>
      <c r="F409" s="58">
        <f>IFERROR(VLOOKUP(B409,O.B.JUNE!$V$7:$Y$448,4,0),0)</f>
        <v>5955186</v>
      </c>
      <c r="G409" s="58">
        <f>SUMIF('JUNE (물량흐름)'!$C$13:$C$493,'In-out-bal products (155)(완성제품)'!B409,'JUNE (물량흐름)'!$V$13:$V$493)</f>
        <v>0</v>
      </c>
      <c r="H409" s="58">
        <f>SUMIF('JUNE (물량흐름)'!$C$13:$C$493,'In-out-bal products (155)(완성제품)'!B409,'JUNE (물량흐름)'!$T$13:$T$493)-SUMIF('JUNE (물량흐름)'!$C$13:$C$493,'In-out-bal products (155)(완성제품)'!B409,'JUNE (물량흐름)'!$Y$13:$Y$493)+SUMIF('JUNE (물량흐름)'!$C$13:$C$493,'In-out-bal products (155)(완성제품)'!B409,'JUNE (물량흐름)'!$U$13:$U$493)</f>
        <v>0</v>
      </c>
      <c r="I409" s="58">
        <f t="shared" si="186"/>
        <v>0</v>
      </c>
      <c r="J409" s="58">
        <f>SUMIF('Direct labour(직접노무비)'!$C$12:$C$503,'In-out-bal products (155)(완성제품)'!B409,'Direct labour(직접노무비)'!$Q$12:$Q$503)</f>
        <v>0</v>
      </c>
      <c r="K409" s="59">
        <f>SUMIF('Overhead exp(제조경비)'!$C$12:$C$503,'In-out-bal products (155)(완성제품)'!B409,'Overhead exp(제조경비)'!$Q$12:$Q$503)</f>
        <v>0</v>
      </c>
      <c r="L409" s="58">
        <f t="shared" si="187"/>
        <v>0</v>
      </c>
      <c r="M409" s="58">
        <f>SUMIF('JUNE (물량흐름)'!$C$13:$C$488,'In-out-bal products (155)(완성제품)'!B409,'JUNE (물량흐름)'!$Y$13:$Y$488)</f>
        <v>0</v>
      </c>
      <c r="N409" s="58">
        <f t="shared" si="188"/>
        <v>0</v>
      </c>
      <c r="O409" s="58">
        <f>SUMIF('Direct labour(직접노무비)'!$C$12:$C$503,'In-out-bal products (155)(완성제품)'!B409,'Direct labour(직접노무비)'!$U$12:$U$503)+SUMIF('Overhead exp(제조경비)'!$C$12:$C$503,'In-out-bal products (155)(완성제품)'!B409,'Overhead exp(제조경비)'!$U$12:$U$503)</f>
        <v>0</v>
      </c>
      <c r="P409" s="60">
        <f t="shared" si="189"/>
        <v>0</v>
      </c>
      <c r="Q409" s="60">
        <f t="shared" si="190"/>
        <v>0</v>
      </c>
      <c r="R409" s="60">
        <f t="shared" si="191"/>
        <v>0</v>
      </c>
      <c r="S409" s="58">
        <v>0</v>
      </c>
      <c r="T409" s="58">
        <v>0</v>
      </c>
      <c r="U409" s="58">
        <v>0</v>
      </c>
      <c r="V409" s="58">
        <f>SUMIF('JUNE (물량흐름)'!$C$13:$C$493,'In-out-bal products (155)(완성제품)'!B409,'JUNE (물량흐름)'!$W$13:$W$493)</f>
        <v>0</v>
      </c>
      <c r="W409" s="58">
        <f t="shared" si="192"/>
        <v>0</v>
      </c>
      <c r="X409" s="58">
        <f t="shared" si="193"/>
        <v>0</v>
      </c>
      <c r="Y409" s="58">
        <f>SUMIF('JUNE (물량흐름)'!$C$13:$C$488,'In-out-bal products (155)(완성제품)'!B409,'JUNE (물량흐름)'!$X$13:$X$488)</f>
        <v>0</v>
      </c>
      <c r="Z409" s="58">
        <f t="shared" si="194"/>
        <v>0</v>
      </c>
      <c r="AA409" s="58">
        <f t="shared" si="195"/>
        <v>0</v>
      </c>
      <c r="AB409" s="58"/>
      <c r="AC409" s="58"/>
      <c r="AD409" s="61"/>
      <c r="AE409" s="58">
        <f t="shared" si="196"/>
        <v>0</v>
      </c>
      <c r="AF409" s="58">
        <f t="shared" si="197"/>
        <v>0</v>
      </c>
      <c r="AG409" s="61">
        <f t="shared" si="198"/>
        <v>0</v>
      </c>
      <c r="AH409" s="58">
        <v>0</v>
      </c>
      <c r="AI409" s="58">
        <v>0</v>
      </c>
      <c r="AJ409" s="61">
        <v>0</v>
      </c>
      <c r="AK409" s="58"/>
      <c r="AL409" s="58"/>
      <c r="AM409" s="61"/>
      <c r="AN409" s="61">
        <f t="shared" si="215"/>
        <v>0</v>
      </c>
      <c r="AO409" s="58">
        <f t="shared" si="199"/>
        <v>0</v>
      </c>
      <c r="AP409" s="61">
        <f t="shared" si="200"/>
        <v>0</v>
      </c>
      <c r="AQ409" s="58">
        <f t="shared" si="201"/>
        <v>225</v>
      </c>
      <c r="AR409" s="58">
        <f t="shared" si="202"/>
        <v>26467.493333333332</v>
      </c>
      <c r="AS409" s="58">
        <f t="shared" si="203"/>
        <v>5955186</v>
      </c>
      <c r="AT409" s="58">
        <f>ROUND(SUMIF('JUNE (물량흐름)'!$C$13:$C$502,'In-out-bal products (155)(완성제품)'!B409,'JUNE (물량흐름)'!$AB$13:$AB$502),0)</f>
        <v>0</v>
      </c>
      <c r="AU409" s="58">
        <f t="shared" si="204"/>
        <v>0</v>
      </c>
      <c r="AV409" s="58">
        <f>ROUND(SUMIF('JUNE (물량흐름)'!$C$13:$C$502,'In-out-bal products (155)(완성제품)'!B409,'JUNE (물량흐름)'!$AC$13:$AC$502),0)</f>
        <v>225</v>
      </c>
      <c r="AW409" s="58">
        <f t="shared" si="205"/>
        <v>5955186</v>
      </c>
      <c r="AX409" s="376">
        <f t="shared" si="206"/>
        <v>0</v>
      </c>
      <c r="AY409" s="377">
        <f t="shared" si="207"/>
        <v>0</v>
      </c>
      <c r="AZ409" s="377">
        <f t="shared" si="208"/>
        <v>0</v>
      </c>
      <c r="BA409" s="377">
        <f t="shared" si="209"/>
        <v>0</v>
      </c>
      <c r="BB409" s="377"/>
      <c r="BC409" s="377">
        <f t="shared" si="210"/>
        <v>0</v>
      </c>
      <c r="BD409" s="377">
        <f t="shared" si="211"/>
        <v>0</v>
      </c>
      <c r="BE409" s="377"/>
      <c r="BF409" s="377">
        <f t="shared" si="212"/>
        <v>0</v>
      </c>
      <c r="BG409" s="433">
        <f t="shared" si="213"/>
        <v>0</v>
      </c>
      <c r="BH409" s="434">
        <f t="shared" si="214"/>
        <v>0</v>
      </c>
    </row>
    <row r="410" spans="1:60" s="378" customFormat="1">
      <c r="A410" s="167">
        <v>420</v>
      </c>
      <c r="B410" s="253">
        <f>VLOOKUP(A410,'JUNE (물량흐름)'!$A$13:$C$493,3,0)</f>
        <v>100018200</v>
      </c>
      <c r="C410" s="57" t="str">
        <f>VLOOKUP(A410,'JUNE (물량흐름)'!$A$13:$C$493,2,0)</f>
        <v>ALFANI</v>
      </c>
      <c r="D410" s="58">
        <f>IFERROR(VLOOKUP(B410,O.B.JUNE!$V$7:$Y$448,2,0),0)</f>
        <v>2285</v>
      </c>
      <c r="E410" s="58">
        <f>IFERROR(VLOOKUP(B410,O.B.JUNE!$V$7:$X$448,3,0),0)</f>
        <v>34130.444638949673</v>
      </c>
      <c r="F410" s="58">
        <f>IFERROR(VLOOKUP(B410,O.B.JUNE!$V$7:$Y$448,4,0),0)</f>
        <v>77988066</v>
      </c>
      <c r="G410" s="58">
        <f>SUMIF('JUNE (물량흐름)'!$C$13:$C$493,'In-out-bal products (155)(완성제품)'!B410,'JUNE (물량흐름)'!$V$13:$V$493)</f>
        <v>0</v>
      </c>
      <c r="H410" s="58">
        <f>SUMIF('JUNE (물량흐름)'!$C$13:$C$493,'In-out-bal products (155)(완성제품)'!B410,'JUNE (물량흐름)'!$T$13:$T$493)-SUMIF('JUNE (물량흐름)'!$C$13:$C$493,'In-out-bal products (155)(완성제품)'!B410,'JUNE (물량흐름)'!$Y$13:$Y$493)+SUMIF('JUNE (물량흐름)'!$C$13:$C$493,'In-out-bal products (155)(완성제품)'!B410,'JUNE (물량흐름)'!$U$13:$U$493)</f>
        <v>1753</v>
      </c>
      <c r="I410" s="58">
        <f t="shared" si="186"/>
        <v>34130.444951511694</v>
      </c>
      <c r="J410" s="58">
        <f>SUMIF('Direct labour(직접노무비)'!$C$12:$C$503,'In-out-bal products (155)(완성제품)'!B410,'Direct labour(직접노무비)'!$Q$12:$Q$503)</f>
        <v>20255913</v>
      </c>
      <c r="K410" s="59">
        <f>SUMIF('Overhead exp(제조경비)'!$C$12:$C$503,'In-out-bal products (155)(완성제품)'!B410,'Overhead exp(제조경비)'!$Q$12:$Q$503)</f>
        <v>39574757</v>
      </c>
      <c r="L410" s="58">
        <f t="shared" si="187"/>
        <v>59830670</v>
      </c>
      <c r="M410" s="58">
        <f>SUMIF('JUNE (물량흐름)'!$C$13:$C$488,'In-out-bal products (155)(완성제품)'!B410,'JUNE (물량흐름)'!$Y$13:$Y$488)</f>
        <v>4</v>
      </c>
      <c r="N410" s="58">
        <f t="shared" si="188"/>
        <v>34130.5</v>
      </c>
      <c r="O410" s="58">
        <f>SUMIF('Direct labour(직접노무비)'!$C$12:$C$503,'In-out-bal products (155)(완성제품)'!B410,'Direct labour(직접노무비)'!$U$12:$U$503)+SUMIF('Overhead exp(제조경비)'!$C$12:$C$503,'In-out-bal products (155)(완성제품)'!B410,'Overhead exp(제조경비)'!$U$12:$U$503)</f>
        <v>136522</v>
      </c>
      <c r="P410" s="60">
        <f t="shared" si="189"/>
        <v>1757</v>
      </c>
      <c r="Q410" s="60">
        <f t="shared" si="190"/>
        <v>34130.445076835516</v>
      </c>
      <c r="R410" s="60">
        <f t="shared" si="191"/>
        <v>59967192</v>
      </c>
      <c r="S410" s="58">
        <v>0</v>
      </c>
      <c r="T410" s="58">
        <v>0</v>
      </c>
      <c r="U410" s="58">
        <v>0</v>
      </c>
      <c r="V410" s="58">
        <f>SUMIF('JUNE (물량흐름)'!$C$13:$C$493,'In-out-bal products (155)(완성제품)'!B410,'JUNE (물량흐름)'!$W$13:$W$493)</f>
        <v>3966</v>
      </c>
      <c r="W410" s="58">
        <f t="shared" si="192"/>
        <v>34130.4447806354</v>
      </c>
      <c r="X410" s="58">
        <f t="shared" si="193"/>
        <v>135361344</v>
      </c>
      <c r="Y410" s="58">
        <f>SUMIF('JUNE (물량흐름)'!$C$13:$C$488,'In-out-bal products (155)(완성제품)'!B410,'JUNE (물량흐름)'!$X$13:$X$488)</f>
        <v>0</v>
      </c>
      <c r="Z410" s="58">
        <f t="shared" si="194"/>
        <v>0</v>
      </c>
      <c r="AA410" s="58">
        <f t="shared" si="195"/>
        <v>0</v>
      </c>
      <c r="AB410" s="58"/>
      <c r="AC410" s="58"/>
      <c r="AD410" s="61"/>
      <c r="AE410" s="58">
        <f t="shared" si="196"/>
        <v>4</v>
      </c>
      <c r="AF410" s="58">
        <f t="shared" si="197"/>
        <v>34130.5</v>
      </c>
      <c r="AG410" s="61">
        <f t="shared" si="198"/>
        <v>136522</v>
      </c>
      <c r="AH410" s="58">
        <v>0</v>
      </c>
      <c r="AI410" s="58">
        <v>0</v>
      </c>
      <c r="AJ410" s="61">
        <v>0</v>
      </c>
      <c r="AK410" s="58"/>
      <c r="AL410" s="58"/>
      <c r="AM410" s="61"/>
      <c r="AN410" s="61">
        <f t="shared" si="215"/>
        <v>3970</v>
      </c>
      <c r="AO410" s="58">
        <f t="shared" si="199"/>
        <v>34130.444836272043</v>
      </c>
      <c r="AP410" s="61">
        <f t="shared" si="200"/>
        <v>135497866</v>
      </c>
      <c r="AQ410" s="58">
        <f t="shared" si="201"/>
        <v>72</v>
      </c>
      <c r="AR410" s="58">
        <f t="shared" si="202"/>
        <v>34130.444444444445</v>
      </c>
      <c r="AS410" s="58">
        <f t="shared" si="203"/>
        <v>2457392</v>
      </c>
      <c r="AT410" s="58">
        <f>ROUND(SUMIF('JUNE (물량흐름)'!$C$13:$C$502,'In-out-bal products (155)(완성제품)'!B410,'JUNE (물량흐름)'!$AB$13:$AB$502),0)</f>
        <v>0</v>
      </c>
      <c r="AU410" s="58">
        <f t="shared" si="204"/>
        <v>0</v>
      </c>
      <c r="AV410" s="58">
        <f>ROUND(SUMIF('JUNE (물량흐름)'!$C$13:$C$502,'In-out-bal products (155)(완성제품)'!B410,'JUNE (물량흐름)'!$AC$13:$AC$502),0)</f>
        <v>72</v>
      </c>
      <c r="AW410" s="58">
        <f t="shared" si="205"/>
        <v>2457392</v>
      </c>
      <c r="AX410" s="376">
        <f t="shared" si="206"/>
        <v>0</v>
      </c>
      <c r="AY410" s="377">
        <f t="shared" si="207"/>
        <v>0</v>
      </c>
      <c r="AZ410" s="377">
        <f t="shared" si="208"/>
        <v>0</v>
      </c>
      <c r="BA410" s="377">
        <f t="shared" si="209"/>
        <v>0</v>
      </c>
      <c r="BB410" s="377"/>
      <c r="BC410" s="377">
        <f t="shared" si="210"/>
        <v>0</v>
      </c>
      <c r="BD410" s="377">
        <f t="shared" si="211"/>
        <v>0</v>
      </c>
      <c r="BE410" s="377"/>
      <c r="BF410" s="377">
        <f t="shared" si="212"/>
        <v>0</v>
      </c>
      <c r="BG410" s="433">
        <f t="shared" si="213"/>
        <v>135497866</v>
      </c>
      <c r="BH410" s="434">
        <f t="shared" si="214"/>
        <v>0</v>
      </c>
    </row>
    <row r="411" spans="1:60" s="378" customFormat="1">
      <c r="A411" s="167">
        <v>421</v>
      </c>
      <c r="B411" s="253">
        <f>VLOOKUP(A411,'JUNE (물량흐름)'!$A$13:$C$493,3,0)</f>
        <v>100018207</v>
      </c>
      <c r="C411" s="57" t="str">
        <f>VLOOKUP(A411,'JUNE (물량흐름)'!$A$13:$C$493,2,0)</f>
        <v>ALFANI</v>
      </c>
      <c r="D411" s="58">
        <f>IFERROR(VLOOKUP(B411,O.B.JUNE!$V$7:$Y$448,2,0),0)</f>
        <v>0</v>
      </c>
      <c r="E411" s="58">
        <f>IFERROR(VLOOKUP(B411,O.B.JUNE!$V$7:$X$448,3,0),0)</f>
        <v>0</v>
      </c>
      <c r="F411" s="58">
        <f>IFERROR(VLOOKUP(B411,O.B.JUNE!$V$7:$Y$448,4,0),0)</f>
        <v>0</v>
      </c>
      <c r="G411" s="58">
        <f>SUMIF('JUNE (물량흐름)'!$C$13:$C$493,'In-out-bal products (155)(완성제품)'!B411,'JUNE (물량흐름)'!$V$13:$V$493)</f>
        <v>0</v>
      </c>
      <c r="H411" s="58">
        <f>SUMIF('JUNE (물량흐름)'!$C$13:$C$493,'In-out-bal products (155)(완성제품)'!B411,'JUNE (물량흐름)'!$T$13:$T$493)-SUMIF('JUNE (물량흐름)'!$C$13:$C$493,'In-out-bal products (155)(완성제품)'!B411,'JUNE (물량흐름)'!$Y$13:$Y$493)+SUMIF('JUNE (물량흐름)'!$C$13:$C$493,'In-out-bal products (155)(완성제품)'!B411,'JUNE (물량흐름)'!$U$13:$U$493)</f>
        <v>3058</v>
      </c>
      <c r="I411" s="58">
        <f t="shared" si="186"/>
        <v>62094.17135382603</v>
      </c>
      <c r="J411" s="58">
        <f>SUMIF('Direct labour(직접노무비)'!$C$12:$C$503,'In-out-bal products (155)(완성제품)'!B411,'Direct labour(직접노무비)'!$Q$12:$Q$503)</f>
        <v>64285983</v>
      </c>
      <c r="K411" s="59">
        <f>SUMIF('Overhead exp(제조경비)'!$C$12:$C$503,'In-out-bal products (155)(완성제품)'!B411,'Overhead exp(제조경비)'!$Q$12:$Q$503)</f>
        <v>125597993</v>
      </c>
      <c r="L411" s="58">
        <f t="shared" si="187"/>
        <v>189883976</v>
      </c>
      <c r="M411" s="58">
        <f>SUMIF('JUNE (물량흐름)'!$C$13:$C$488,'In-out-bal products (155)(완성제품)'!B411,'JUNE (물량흐름)'!$Y$13:$Y$488)</f>
        <v>0</v>
      </c>
      <c r="N411" s="58">
        <f t="shared" si="188"/>
        <v>0</v>
      </c>
      <c r="O411" s="58">
        <f>SUMIF('Direct labour(직접노무비)'!$C$12:$C$503,'In-out-bal products (155)(완성제품)'!B411,'Direct labour(직접노무비)'!$U$12:$U$503)+SUMIF('Overhead exp(제조경비)'!$C$12:$C$503,'In-out-bal products (155)(완성제품)'!B411,'Overhead exp(제조경비)'!$U$12:$U$503)</f>
        <v>0</v>
      </c>
      <c r="P411" s="60">
        <f t="shared" si="189"/>
        <v>3058</v>
      </c>
      <c r="Q411" s="60">
        <f t="shared" si="190"/>
        <v>62094.17135382603</v>
      </c>
      <c r="R411" s="60">
        <f t="shared" si="191"/>
        <v>189883976</v>
      </c>
      <c r="S411" s="58">
        <v>0</v>
      </c>
      <c r="T411" s="58">
        <v>0</v>
      </c>
      <c r="U411" s="58">
        <v>0</v>
      </c>
      <c r="V411" s="58">
        <f>SUMIF('JUNE (물량흐름)'!$C$13:$C$493,'In-out-bal products (155)(완성제품)'!B411,'JUNE (물량흐름)'!$W$13:$W$493)</f>
        <v>3038</v>
      </c>
      <c r="W411" s="58">
        <f t="shared" si="192"/>
        <v>62094.171494404211</v>
      </c>
      <c r="X411" s="58">
        <f t="shared" si="193"/>
        <v>188642093</v>
      </c>
      <c r="Y411" s="58">
        <f>SUMIF('JUNE (물량흐름)'!$C$13:$C$488,'In-out-bal products (155)(완성제품)'!B411,'JUNE (물량흐름)'!$X$13:$X$488)</f>
        <v>0</v>
      </c>
      <c r="Z411" s="58">
        <f t="shared" si="194"/>
        <v>0</v>
      </c>
      <c r="AA411" s="58">
        <f t="shared" si="195"/>
        <v>0</v>
      </c>
      <c r="AB411" s="58"/>
      <c r="AC411" s="58"/>
      <c r="AD411" s="61"/>
      <c r="AE411" s="58">
        <f t="shared" si="196"/>
        <v>0</v>
      </c>
      <c r="AF411" s="58">
        <f t="shared" si="197"/>
        <v>0</v>
      </c>
      <c r="AG411" s="61">
        <f t="shared" si="198"/>
        <v>0</v>
      </c>
      <c r="AH411" s="58">
        <v>0</v>
      </c>
      <c r="AI411" s="58">
        <v>0</v>
      </c>
      <c r="AJ411" s="61">
        <v>0</v>
      </c>
      <c r="AK411" s="58"/>
      <c r="AL411" s="58"/>
      <c r="AM411" s="61"/>
      <c r="AN411" s="61">
        <f t="shared" si="215"/>
        <v>3038</v>
      </c>
      <c r="AO411" s="58">
        <f t="shared" si="199"/>
        <v>62094.171494404211</v>
      </c>
      <c r="AP411" s="61">
        <f t="shared" si="200"/>
        <v>188642093</v>
      </c>
      <c r="AQ411" s="58">
        <f t="shared" si="201"/>
        <v>20</v>
      </c>
      <c r="AR411" s="58">
        <f t="shared" si="202"/>
        <v>62094.15</v>
      </c>
      <c r="AS411" s="58">
        <f t="shared" si="203"/>
        <v>1241883</v>
      </c>
      <c r="AT411" s="58">
        <f>ROUND(SUMIF('JUNE (물량흐름)'!$C$13:$C$502,'In-out-bal products (155)(완성제품)'!B411,'JUNE (물량흐름)'!$AB$13:$AB$502),0)</f>
        <v>0</v>
      </c>
      <c r="AU411" s="58">
        <f t="shared" si="204"/>
        <v>0</v>
      </c>
      <c r="AV411" s="58">
        <f>ROUND(SUMIF('JUNE (물량흐름)'!$C$13:$C$502,'In-out-bal products (155)(완성제품)'!B411,'JUNE (물량흐름)'!$AC$13:$AC$502),0)</f>
        <v>20</v>
      </c>
      <c r="AW411" s="58">
        <f t="shared" si="205"/>
        <v>1241883</v>
      </c>
      <c r="AX411" s="376">
        <f t="shared" si="206"/>
        <v>0</v>
      </c>
      <c r="AY411" s="377">
        <f t="shared" si="207"/>
        <v>0</v>
      </c>
      <c r="AZ411" s="377">
        <f t="shared" si="208"/>
        <v>0</v>
      </c>
      <c r="BA411" s="377">
        <f t="shared" si="209"/>
        <v>0</v>
      </c>
      <c r="BB411" s="377"/>
      <c r="BC411" s="377">
        <f t="shared" si="210"/>
        <v>0</v>
      </c>
      <c r="BD411" s="377">
        <f t="shared" si="211"/>
        <v>0</v>
      </c>
      <c r="BE411" s="377"/>
      <c r="BF411" s="377">
        <f t="shared" si="212"/>
        <v>0</v>
      </c>
      <c r="BG411" s="433">
        <f t="shared" si="213"/>
        <v>188642093</v>
      </c>
      <c r="BH411" s="434">
        <f t="shared" si="214"/>
        <v>0</v>
      </c>
    </row>
    <row r="412" spans="1:60" s="378" customFormat="1">
      <c r="A412" s="167">
        <v>422</v>
      </c>
      <c r="B412" s="253">
        <f>VLOOKUP(A412,'JUNE (물량흐름)'!$A$13:$C$493,3,0)</f>
        <v>100018224</v>
      </c>
      <c r="C412" s="57" t="str">
        <f>VLOOKUP(A412,'JUNE (물량흐름)'!$A$13:$C$493,2,0)</f>
        <v>ALFANI</v>
      </c>
      <c r="D412" s="58">
        <f>IFERROR(VLOOKUP(B412,O.B.JUNE!$V$7:$Y$448,2,0),0)</f>
        <v>2669</v>
      </c>
      <c r="E412" s="58">
        <f>IFERROR(VLOOKUP(B412,O.B.JUNE!$V$7:$X$448,3,0),0)</f>
        <v>49066.846009741479</v>
      </c>
      <c r="F412" s="58">
        <f>IFERROR(VLOOKUP(B412,O.B.JUNE!$V$7:$Y$448,4,0),0)</f>
        <v>130959412</v>
      </c>
      <c r="G412" s="58">
        <f>SUMIF('JUNE (물량흐름)'!$C$13:$C$493,'In-out-bal products (155)(완성제품)'!B412,'JUNE (물량흐름)'!$V$13:$V$493)</f>
        <v>0</v>
      </c>
      <c r="H412" s="58">
        <f>SUMIF('JUNE (물량흐름)'!$C$13:$C$493,'In-out-bal products (155)(완성제품)'!B412,'JUNE (물량흐름)'!$T$13:$T$493)-SUMIF('JUNE (물량흐름)'!$C$13:$C$493,'In-out-bal products (155)(완성제품)'!B412,'JUNE (물량흐름)'!$Y$13:$Y$493)+SUMIF('JUNE (물량흐름)'!$C$13:$C$493,'In-out-bal products (155)(완성제품)'!B412,'JUNE (물량흐름)'!$U$13:$U$493)</f>
        <v>0</v>
      </c>
      <c r="I412" s="58">
        <f t="shared" si="186"/>
        <v>0</v>
      </c>
      <c r="J412" s="58">
        <f>SUMIF('Direct labour(직접노무비)'!$C$12:$C$503,'In-out-bal products (155)(완성제품)'!B412,'Direct labour(직접노무비)'!$Q$12:$Q$503)</f>
        <v>0</v>
      </c>
      <c r="K412" s="59">
        <f>SUMIF('Overhead exp(제조경비)'!$C$12:$C$503,'In-out-bal products (155)(완성제품)'!B412,'Overhead exp(제조경비)'!$Q$12:$Q$503)</f>
        <v>0</v>
      </c>
      <c r="L412" s="58">
        <f t="shared" si="187"/>
        <v>0</v>
      </c>
      <c r="M412" s="58">
        <f>SUMIF('JUNE (물량흐름)'!$C$13:$C$488,'In-out-bal products (155)(완성제품)'!B412,'JUNE (물량흐름)'!$Y$13:$Y$488)</f>
        <v>0</v>
      </c>
      <c r="N412" s="58">
        <f t="shared" si="188"/>
        <v>0</v>
      </c>
      <c r="O412" s="58">
        <f>SUMIF('Direct labour(직접노무비)'!$C$12:$C$503,'In-out-bal products (155)(완성제품)'!B412,'Direct labour(직접노무비)'!$U$12:$U$503)+SUMIF('Overhead exp(제조경비)'!$C$12:$C$503,'In-out-bal products (155)(완성제품)'!B412,'Overhead exp(제조경비)'!$U$12:$U$503)</f>
        <v>0</v>
      </c>
      <c r="P412" s="60">
        <f t="shared" si="189"/>
        <v>0</v>
      </c>
      <c r="Q412" s="60">
        <f t="shared" si="190"/>
        <v>0</v>
      </c>
      <c r="R412" s="60">
        <f t="shared" si="191"/>
        <v>0</v>
      </c>
      <c r="S412" s="58">
        <v>0</v>
      </c>
      <c r="T412" s="58">
        <v>0</v>
      </c>
      <c r="U412" s="58">
        <v>0</v>
      </c>
      <c r="V412" s="58">
        <f>SUMIF('JUNE (물량흐름)'!$C$13:$C$493,'In-out-bal products (155)(완성제품)'!B412,'JUNE (물량흐름)'!$W$13:$W$493)</f>
        <v>2643</v>
      </c>
      <c r="W412" s="58">
        <f t="shared" si="192"/>
        <v>49066.846008323875</v>
      </c>
      <c r="X412" s="58">
        <f t="shared" si="193"/>
        <v>129683674</v>
      </c>
      <c r="Y412" s="58">
        <f>SUMIF('JUNE (물량흐름)'!$C$13:$C$488,'In-out-bal products (155)(완성제품)'!B412,'JUNE (물량흐름)'!$X$13:$X$488)</f>
        <v>0</v>
      </c>
      <c r="Z412" s="58">
        <f t="shared" si="194"/>
        <v>0</v>
      </c>
      <c r="AA412" s="58">
        <f t="shared" si="195"/>
        <v>0</v>
      </c>
      <c r="AB412" s="58"/>
      <c r="AC412" s="58"/>
      <c r="AD412" s="61"/>
      <c r="AE412" s="58">
        <f t="shared" si="196"/>
        <v>0</v>
      </c>
      <c r="AF412" s="58">
        <f t="shared" si="197"/>
        <v>0</v>
      </c>
      <c r="AG412" s="61">
        <f t="shared" si="198"/>
        <v>0</v>
      </c>
      <c r="AH412" s="58">
        <v>0</v>
      </c>
      <c r="AI412" s="58">
        <v>0</v>
      </c>
      <c r="AJ412" s="61">
        <v>0</v>
      </c>
      <c r="AK412" s="58"/>
      <c r="AL412" s="58"/>
      <c r="AM412" s="61"/>
      <c r="AN412" s="61">
        <f t="shared" si="215"/>
        <v>2643</v>
      </c>
      <c r="AO412" s="58">
        <f t="shared" si="199"/>
        <v>49066.846008323875</v>
      </c>
      <c r="AP412" s="61">
        <f t="shared" si="200"/>
        <v>129683674</v>
      </c>
      <c r="AQ412" s="58">
        <f t="shared" si="201"/>
        <v>26</v>
      </c>
      <c r="AR412" s="58">
        <f t="shared" si="202"/>
        <v>49066.846153846156</v>
      </c>
      <c r="AS412" s="58">
        <f t="shared" si="203"/>
        <v>1275738</v>
      </c>
      <c r="AT412" s="58">
        <f>ROUND(SUMIF('JUNE (물량흐름)'!$C$13:$C$502,'In-out-bal products (155)(완성제품)'!B412,'JUNE (물량흐름)'!$AB$13:$AB$502),0)</f>
        <v>0</v>
      </c>
      <c r="AU412" s="58">
        <f t="shared" si="204"/>
        <v>0</v>
      </c>
      <c r="AV412" s="58">
        <f>ROUND(SUMIF('JUNE (물량흐름)'!$C$13:$C$502,'In-out-bal products (155)(완성제품)'!B412,'JUNE (물량흐름)'!$AC$13:$AC$502),0)</f>
        <v>26</v>
      </c>
      <c r="AW412" s="58">
        <f t="shared" si="205"/>
        <v>1275738</v>
      </c>
      <c r="AX412" s="376">
        <f t="shared" si="206"/>
        <v>0</v>
      </c>
      <c r="AY412" s="377">
        <f t="shared" si="207"/>
        <v>0</v>
      </c>
      <c r="AZ412" s="377">
        <f t="shared" si="208"/>
        <v>0</v>
      </c>
      <c r="BA412" s="377">
        <f t="shared" si="209"/>
        <v>0</v>
      </c>
      <c r="BB412" s="377"/>
      <c r="BC412" s="377">
        <f t="shared" si="210"/>
        <v>0</v>
      </c>
      <c r="BD412" s="377">
        <f t="shared" si="211"/>
        <v>0</v>
      </c>
      <c r="BE412" s="377"/>
      <c r="BF412" s="377">
        <f t="shared" si="212"/>
        <v>0</v>
      </c>
      <c r="BG412" s="433">
        <f t="shared" si="213"/>
        <v>129683674</v>
      </c>
      <c r="BH412" s="434">
        <f t="shared" si="214"/>
        <v>0</v>
      </c>
    </row>
    <row r="413" spans="1:60" s="378" customFormat="1">
      <c r="A413" s="167">
        <v>423</v>
      </c>
      <c r="B413" s="253">
        <f>VLOOKUP(A413,'JUNE (물량흐름)'!$A$13:$C$493,3,0)</f>
        <v>100018229</v>
      </c>
      <c r="C413" s="57" t="str">
        <f>VLOOKUP(A413,'JUNE (물량흐름)'!$A$13:$C$493,2,0)</f>
        <v>ALFANI</v>
      </c>
      <c r="D413" s="58">
        <f>IFERROR(VLOOKUP(B413,O.B.JUNE!$V$7:$Y$448,2,0),0)</f>
        <v>8157</v>
      </c>
      <c r="E413" s="58">
        <f>IFERROR(VLOOKUP(B413,O.B.JUNE!$V$7:$X$448,3,0),0)</f>
        <v>50241.301581463777</v>
      </c>
      <c r="F413" s="58">
        <f>IFERROR(VLOOKUP(B413,O.B.JUNE!$V$7:$Y$448,4,0),0)</f>
        <v>409818297</v>
      </c>
      <c r="G413" s="58">
        <f>SUMIF('JUNE (물량흐름)'!$C$13:$C$493,'In-out-bal products (155)(완성제품)'!B413,'JUNE (물량흐름)'!$V$13:$V$493)</f>
        <v>0</v>
      </c>
      <c r="H413" s="58">
        <f>SUMIF('JUNE (물량흐름)'!$C$13:$C$493,'In-out-bal products (155)(완성제품)'!B413,'JUNE (물량흐름)'!$T$13:$T$493)-SUMIF('JUNE (물량흐름)'!$C$13:$C$493,'In-out-bal products (155)(완성제품)'!B413,'JUNE (물량흐름)'!$Y$13:$Y$493)+SUMIF('JUNE (물량흐름)'!$C$13:$C$493,'In-out-bal products (155)(완성제품)'!B413,'JUNE (물량흐름)'!$U$13:$U$493)</f>
        <v>1377</v>
      </c>
      <c r="I413" s="58">
        <f t="shared" si="186"/>
        <v>72274.127814088599</v>
      </c>
      <c r="J413" s="58">
        <f>SUMIF('Direct labour(직접노무비)'!$C$12:$C$503,'In-out-bal products (155)(완성제품)'!B413,'Direct labour(직접노무비)'!$Q$12:$Q$503)</f>
        <v>33693395</v>
      </c>
      <c r="K413" s="59">
        <f>SUMIF('Overhead exp(제조경비)'!$C$12:$C$503,'In-out-bal products (155)(완성제품)'!B413,'Overhead exp(제조경비)'!$Q$12:$Q$503)</f>
        <v>65828079</v>
      </c>
      <c r="L413" s="58">
        <f t="shared" si="187"/>
        <v>99521474</v>
      </c>
      <c r="M413" s="58">
        <f>SUMIF('JUNE (물량흐름)'!$C$13:$C$488,'In-out-bal products (155)(완성제품)'!B413,'JUNE (물량흐름)'!$Y$13:$Y$488)</f>
        <v>4</v>
      </c>
      <c r="N413" s="58">
        <f t="shared" si="188"/>
        <v>72274.25</v>
      </c>
      <c r="O413" s="58">
        <f>SUMIF('Direct labour(직접노무비)'!$C$12:$C$503,'In-out-bal products (155)(완성제품)'!B413,'Direct labour(직접노무비)'!$U$12:$U$503)+SUMIF('Overhead exp(제조경비)'!$C$12:$C$503,'In-out-bal products (155)(완성제품)'!B413,'Overhead exp(제조경비)'!$U$12:$U$503)</f>
        <v>289097</v>
      </c>
      <c r="P413" s="60">
        <f t="shared" si="189"/>
        <v>1381</v>
      </c>
      <c r="Q413" s="60">
        <f t="shared" si="190"/>
        <v>72274.128167994204</v>
      </c>
      <c r="R413" s="60">
        <f t="shared" si="191"/>
        <v>99810571</v>
      </c>
      <c r="S413" s="58">
        <v>0</v>
      </c>
      <c r="T413" s="58">
        <v>0</v>
      </c>
      <c r="U413" s="58">
        <v>0</v>
      </c>
      <c r="V413" s="58">
        <f>SUMIF('JUNE (물량흐름)'!$C$13:$C$493,'In-out-bal products (155)(완성제품)'!B413,'JUNE (물량흐름)'!$W$13:$W$493)</f>
        <v>9428</v>
      </c>
      <c r="W413" s="58">
        <f t="shared" si="192"/>
        <v>53423.512834111156</v>
      </c>
      <c r="X413" s="58">
        <f t="shared" si="193"/>
        <v>503676879</v>
      </c>
      <c r="Y413" s="58">
        <f>SUMIF('JUNE (물량흐름)'!$C$13:$C$488,'In-out-bal products (155)(완성제품)'!B413,'JUNE (물량흐름)'!$X$13:$X$488)</f>
        <v>0</v>
      </c>
      <c r="Z413" s="58">
        <f t="shared" si="194"/>
        <v>0</v>
      </c>
      <c r="AA413" s="58">
        <f t="shared" si="195"/>
        <v>0</v>
      </c>
      <c r="AB413" s="58"/>
      <c r="AC413" s="58"/>
      <c r="AD413" s="61"/>
      <c r="AE413" s="58">
        <f t="shared" si="196"/>
        <v>4</v>
      </c>
      <c r="AF413" s="58">
        <f t="shared" si="197"/>
        <v>72274.25</v>
      </c>
      <c r="AG413" s="61">
        <f t="shared" si="198"/>
        <v>289097</v>
      </c>
      <c r="AH413" s="58">
        <v>0</v>
      </c>
      <c r="AI413" s="58">
        <v>0</v>
      </c>
      <c r="AJ413" s="61">
        <v>0</v>
      </c>
      <c r="AK413" s="58"/>
      <c r="AL413" s="58"/>
      <c r="AM413" s="61"/>
      <c r="AN413" s="61">
        <f t="shared" si="215"/>
        <v>9432</v>
      </c>
      <c r="AO413" s="58">
        <f t="shared" si="199"/>
        <v>53431.507209499578</v>
      </c>
      <c r="AP413" s="61">
        <f t="shared" si="200"/>
        <v>503965976</v>
      </c>
      <c r="AQ413" s="58">
        <f t="shared" si="201"/>
        <v>106</v>
      </c>
      <c r="AR413" s="58">
        <f t="shared" si="202"/>
        <v>53423.509433962266</v>
      </c>
      <c r="AS413" s="58">
        <f t="shared" si="203"/>
        <v>5662892</v>
      </c>
      <c r="AT413" s="58">
        <f>ROUND(SUMIF('JUNE (물량흐름)'!$C$13:$C$502,'In-out-bal products (155)(완성제품)'!B413,'JUNE (물량흐름)'!$AB$13:$AB$502),0)</f>
        <v>0</v>
      </c>
      <c r="AU413" s="58">
        <f t="shared" si="204"/>
        <v>0</v>
      </c>
      <c r="AV413" s="58">
        <f>ROUND(SUMIF('JUNE (물량흐름)'!$C$13:$C$502,'In-out-bal products (155)(완성제품)'!B413,'JUNE (물량흐름)'!$AC$13:$AC$502),0)</f>
        <v>106</v>
      </c>
      <c r="AW413" s="58">
        <f t="shared" si="205"/>
        <v>5662892</v>
      </c>
      <c r="AX413" s="376">
        <f t="shared" si="206"/>
        <v>0</v>
      </c>
      <c r="AY413" s="377">
        <f t="shared" si="207"/>
        <v>0</v>
      </c>
      <c r="AZ413" s="377">
        <f t="shared" si="208"/>
        <v>0</v>
      </c>
      <c r="BA413" s="377">
        <f t="shared" si="209"/>
        <v>0</v>
      </c>
      <c r="BB413" s="377"/>
      <c r="BC413" s="377">
        <f t="shared" si="210"/>
        <v>0</v>
      </c>
      <c r="BD413" s="377">
        <f t="shared" si="211"/>
        <v>0</v>
      </c>
      <c r="BE413" s="377"/>
      <c r="BF413" s="377">
        <f t="shared" si="212"/>
        <v>0</v>
      </c>
      <c r="BG413" s="433">
        <f t="shared" si="213"/>
        <v>503965976</v>
      </c>
      <c r="BH413" s="434">
        <f t="shared" si="214"/>
        <v>0</v>
      </c>
    </row>
    <row r="414" spans="1:60" s="378" customFormat="1">
      <c r="A414" s="167">
        <v>424</v>
      </c>
      <c r="B414" s="253">
        <f>VLOOKUP(A414,'JUNE (물량흐름)'!$A$13:$C$493,3,0)</f>
        <v>100018250</v>
      </c>
      <c r="C414" s="57" t="str">
        <f>VLOOKUP(A414,'JUNE (물량흐름)'!$A$13:$C$493,2,0)</f>
        <v>ALFANI</v>
      </c>
      <c r="D414" s="58">
        <f>IFERROR(VLOOKUP(B414,O.B.JUNE!$V$7:$Y$448,2,0),0)</f>
        <v>7165</v>
      </c>
      <c r="E414" s="58">
        <f>IFERROR(VLOOKUP(B414,O.B.JUNE!$V$7:$X$448,3,0),0)</f>
        <v>20897.177948360084</v>
      </c>
      <c r="F414" s="58">
        <f>IFERROR(VLOOKUP(B414,O.B.JUNE!$V$7:$Y$448,4,0),0)</f>
        <v>149728280</v>
      </c>
      <c r="G414" s="58">
        <f>SUMIF('JUNE (물량흐름)'!$C$13:$C$493,'In-out-bal products (155)(완성제품)'!B414,'JUNE (물량흐름)'!$V$13:$V$493)</f>
        <v>0</v>
      </c>
      <c r="H414" s="58">
        <f>SUMIF('JUNE (물량흐름)'!$C$13:$C$493,'In-out-bal products (155)(완성제품)'!B414,'JUNE (물량흐름)'!$T$13:$T$493)-SUMIF('JUNE (물량흐름)'!$C$13:$C$493,'In-out-bal products (155)(완성제품)'!B414,'JUNE (물량흐름)'!$Y$13:$Y$493)+SUMIF('JUNE (물량흐름)'!$C$13:$C$493,'In-out-bal products (155)(완성제품)'!B414,'JUNE (물량흐름)'!$U$13:$U$493)</f>
        <v>603</v>
      </c>
      <c r="I414" s="58">
        <f t="shared" si="186"/>
        <v>20897.179104477611</v>
      </c>
      <c r="J414" s="58">
        <f>SUMIF('Direct labour(직접노무비)'!$C$12:$C$503,'In-out-bal products (155)(완성제품)'!B414,'Direct labour(직접노무비)'!$Q$12:$Q$503)</f>
        <v>4266119</v>
      </c>
      <c r="K414" s="59">
        <f>SUMIF('Overhead exp(제조경비)'!$C$12:$C$503,'In-out-bal products (155)(완성제품)'!B414,'Overhead exp(제조경비)'!$Q$12:$Q$503)</f>
        <v>8334880</v>
      </c>
      <c r="L414" s="58">
        <f t="shared" si="187"/>
        <v>12600999</v>
      </c>
      <c r="M414" s="58">
        <f>SUMIF('JUNE (물량흐름)'!$C$13:$C$488,'In-out-bal products (155)(완성제품)'!B414,'JUNE (물량흐름)'!$Y$13:$Y$488)</f>
        <v>0</v>
      </c>
      <c r="N414" s="58">
        <f t="shared" si="188"/>
        <v>0</v>
      </c>
      <c r="O414" s="58">
        <f>SUMIF('Direct labour(직접노무비)'!$C$12:$C$503,'In-out-bal products (155)(완성제품)'!B414,'Direct labour(직접노무비)'!$U$12:$U$503)+SUMIF('Overhead exp(제조경비)'!$C$12:$C$503,'In-out-bal products (155)(완성제품)'!B414,'Overhead exp(제조경비)'!$U$12:$U$503)</f>
        <v>0</v>
      </c>
      <c r="P414" s="60">
        <f t="shared" si="189"/>
        <v>603</v>
      </c>
      <c r="Q414" s="60">
        <f t="shared" si="190"/>
        <v>20897.179104477611</v>
      </c>
      <c r="R414" s="60">
        <f t="shared" si="191"/>
        <v>12600999</v>
      </c>
      <c r="S414" s="58">
        <v>0</v>
      </c>
      <c r="T414" s="58">
        <v>0</v>
      </c>
      <c r="U414" s="58">
        <v>0</v>
      </c>
      <c r="V414" s="58">
        <f>SUMIF('JUNE (물량흐름)'!$C$13:$C$493,'In-out-bal products (155)(완성제품)'!B414,'JUNE (물량흐름)'!$W$13:$W$493)</f>
        <v>7768</v>
      </c>
      <c r="W414" s="58">
        <f t="shared" si="192"/>
        <v>20897.178038105045</v>
      </c>
      <c r="X414" s="58">
        <f t="shared" si="193"/>
        <v>162329279</v>
      </c>
      <c r="Y414" s="58">
        <f>SUMIF('JUNE (물량흐름)'!$C$13:$C$488,'In-out-bal products (155)(완성제품)'!B414,'JUNE (물량흐름)'!$X$13:$X$488)</f>
        <v>0</v>
      </c>
      <c r="Z414" s="58">
        <f t="shared" si="194"/>
        <v>0</v>
      </c>
      <c r="AA414" s="58">
        <f t="shared" si="195"/>
        <v>0</v>
      </c>
      <c r="AB414" s="58"/>
      <c r="AC414" s="58"/>
      <c r="AD414" s="61"/>
      <c r="AE414" s="58">
        <f t="shared" si="196"/>
        <v>0</v>
      </c>
      <c r="AF414" s="58">
        <f t="shared" si="197"/>
        <v>0</v>
      </c>
      <c r="AG414" s="61">
        <f t="shared" si="198"/>
        <v>0</v>
      </c>
      <c r="AH414" s="58">
        <v>0</v>
      </c>
      <c r="AI414" s="58">
        <v>0</v>
      </c>
      <c r="AJ414" s="61">
        <v>0</v>
      </c>
      <c r="AK414" s="58"/>
      <c r="AL414" s="58"/>
      <c r="AM414" s="61"/>
      <c r="AN414" s="61">
        <f t="shared" si="215"/>
        <v>7768</v>
      </c>
      <c r="AO414" s="58">
        <f t="shared" si="199"/>
        <v>20897.178038105045</v>
      </c>
      <c r="AP414" s="61">
        <f t="shared" si="200"/>
        <v>162329279</v>
      </c>
      <c r="AQ414" s="58">
        <f t="shared" si="201"/>
        <v>0</v>
      </c>
      <c r="AR414" s="58">
        <f t="shared" si="202"/>
        <v>0</v>
      </c>
      <c r="AS414" s="58">
        <f t="shared" si="203"/>
        <v>0</v>
      </c>
      <c r="AT414" s="58">
        <f>ROUND(SUMIF('JUNE (물량흐름)'!$C$13:$C$502,'In-out-bal products (155)(완성제품)'!B414,'JUNE (물량흐름)'!$AB$13:$AB$502),0)</f>
        <v>0</v>
      </c>
      <c r="AU414" s="58">
        <f t="shared" si="204"/>
        <v>0</v>
      </c>
      <c r="AV414" s="58">
        <f>ROUND(SUMIF('JUNE (물량흐름)'!$C$13:$C$502,'In-out-bal products (155)(완성제품)'!B414,'JUNE (물량흐름)'!$AC$13:$AC$502),0)</f>
        <v>0</v>
      </c>
      <c r="AW414" s="58">
        <f t="shared" si="205"/>
        <v>0</v>
      </c>
      <c r="AX414" s="376">
        <f t="shared" si="206"/>
        <v>0</v>
      </c>
      <c r="AY414" s="377">
        <f t="shared" si="207"/>
        <v>0</v>
      </c>
      <c r="AZ414" s="377">
        <f t="shared" si="208"/>
        <v>0</v>
      </c>
      <c r="BA414" s="377">
        <f t="shared" si="209"/>
        <v>0</v>
      </c>
      <c r="BB414" s="377"/>
      <c r="BC414" s="377">
        <f t="shared" si="210"/>
        <v>0</v>
      </c>
      <c r="BD414" s="377">
        <f t="shared" si="211"/>
        <v>0</v>
      </c>
      <c r="BE414" s="377"/>
      <c r="BF414" s="377">
        <f t="shared" si="212"/>
        <v>0</v>
      </c>
      <c r="BG414" s="433">
        <f t="shared" si="213"/>
        <v>162329279</v>
      </c>
      <c r="BH414" s="434">
        <f t="shared" si="214"/>
        <v>0</v>
      </c>
    </row>
    <row r="415" spans="1:60" s="378" customFormat="1">
      <c r="A415" s="167">
        <v>425</v>
      </c>
      <c r="B415" s="253">
        <f>VLOOKUP(A415,'JUNE (물량흐름)'!$A$13:$C$493,3,0)</f>
        <v>100018251</v>
      </c>
      <c r="C415" s="57" t="str">
        <f>VLOOKUP(A415,'JUNE (물량흐름)'!$A$13:$C$493,2,0)</f>
        <v>ALFANI</v>
      </c>
      <c r="D415" s="58">
        <f>IFERROR(VLOOKUP(B415,O.B.JUNE!$V$7:$Y$448,2,0),0)</f>
        <v>3166</v>
      </c>
      <c r="E415" s="58">
        <f>IFERROR(VLOOKUP(B415,O.B.JUNE!$V$7:$X$448,3,0),0)</f>
        <v>21358.305116866708</v>
      </c>
      <c r="F415" s="58">
        <f>IFERROR(VLOOKUP(B415,O.B.JUNE!$V$7:$Y$448,4,0),0)</f>
        <v>67620394</v>
      </c>
      <c r="G415" s="58">
        <f>SUMIF('JUNE (물량흐름)'!$C$13:$C$493,'In-out-bal products (155)(완성제품)'!B415,'JUNE (물량흐름)'!$V$13:$V$493)</f>
        <v>0</v>
      </c>
      <c r="H415" s="58">
        <f>SUMIF('JUNE (물량흐름)'!$C$13:$C$493,'In-out-bal products (155)(완성제품)'!B415,'JUNE (물량흐름)'!$T$13:$T$493)-SUMIF('JUNE (물량흐름)'!$C$13:$C$493,'In-out-bal products (155)(완성제품)'!B415,'JUNE (물량흐름)'!$Y$13:$Y$493)+SUMIF('JUNE (물량흐름)'!$C$13:$C$493,'In-out-bal products (155)(완성제품)'!B415,'JUNE (물량흐름)'!$U$13:$U$493)</f>
        <v>207</v>
      </c>
      <c r="I415" s="58">
        <f t="shared" si="186"/>
        <v>21969.270531400965</v>
      </c>
      <c r="J415" s="58">
        <f>SUMIF('Direct labour(직접노무비)'!$C$12:$C$503,'In-out-bal products (155)(완성제품)'!B415,'Direct labour(직접노무비)'!$Q$12:$Q$503)</f>
        <v>1539621</v>
      </c>
      <c r="K415" s="59">
        <f>SUMIF('Overhead exp(제조경비)'!$C$12:$C$503,'In-out-bal products (155)(완성제품)'!B415,'Overhead exp(제조경비)'!$Q$12:$Q$503)</f>
        <v>3008018</v>
      </c>
      <c r="L415" s="58">
        <f t="shared" si="187"/>
        <v>4547639</v>
      </c>
      <c r="M415" s="58">
        <f>SUMIF('JUNE (물량흐름)'!$C$13:$C$488,'In-out-bal products (155)(완성제품)'!B415,'JUNE (물량흐름)'!$Y$13:$Y$488)</f>
        <v>0</v>
      </c>
      <c r="N415" s="58">
        <f t="shared" si="188"/>
        <v>0</v>
      </c>
      <c r="O415" s="58">
        <f>SUMIF('Direct labour(직접노무비)'!$C$12:$C$503,'In-out-bal products (155)(완성제품)'!B415,'Direct labour(직접노무비)'!$U$12:$U$503)+SUMIF('Overhead exp(제조경비)'!$C$12:$C$503,'In-out-bal products (155)(완성제품)'!B415,'Overhead exp(제조경비)'!$U$12:$U$503)</f>
        <v>0</v>
      </c>
      <c r="P415" s="60">
        <f t="shared" si="189"/>
        <v>207</v>
      </c>
      <c r="Q415" s="60">
        <f t="shared" si="190"/>
        <v>21969.270531400965</v>
      </c>
      <c r="R415" s="60">
        <f t="shared" si="191"/>
        <v>4547639</v>
      </c>
      <c r="S415" s="58">
        <v>0</v>
      </c>
      <c r="T415" s="58">
        <v>0</v>
      </c>
      <c r="U415" s="58">
        <v>0</v>
      </c>
      <c r="V415" s="58">
        <f>SUMIF('JUNE (물량흐름)'!$C$13:$C$493,'In-out-bal products (155)(완성제품)'!B415,'JUNE (물량흐름)'!$W$13:$W$493)</f>
        <v>3335</v>
      </c>
      <c r="W415" s="58">
        <f t="shared" si="192"/>
        <v>21395.8</v>
      </c>
      <c r="X415" s="58">
        <f t="shared" si="193"/>
        <v>71354993</v>
      </c>
      <c r="Y415" s="58">
        <f>SUMIF('JUNE (물량흐름)'!$C$13:$C$488,'In-out-bal products (155)(완성제품)'!B415,'JUNE (물량흐름)'!$X$13:$X$488)</f>
        <v>0</v>
      </c>
      <c r="Z415" s="58">
        <f t="shared" si="194"/>
        <v>0</v>
      </c>
      <c r="AA415" s="58">
        <f t="shared" si="195"/>
        <v>0</v>
      </c>
      <c r="AB415" s="58"/>
      <c r="AC415" s="58"/>
      <c r="AD415" s="61"/>
      <c r="AE415" s="58">
        <f t="shared" si="196"/>
        <v>0</v>
      </c>
      <c r="AF415" s="58">
        <f t="shared" si="197"/>
        <v>0</v>
      </c>
      <c r="AG415" s="61">
        <f t="shared" si="198"/>
        <v>0</v>
      </c>
      <c r="AH415" s="58">
        <v>0</v>
      </c>
      <c r="AI415" s="58">
        <v>0</v>
      </c>
      <c r="AJ415" s="61">
        <v>0</v>
      </c>
      <c r="AK415" s="58"/>
      <c r="AL415" s="58"/>
      <c r="AM415" s="61"/>
      <c r="AN415" s="61">
        <f t="shared" si="215"/>
        <v>3335</v>
      </c>
      <c r="AO415" s="58">
        <f t="shared" si="199"/>
        <v>21395.8</v>
      </c>
      <c r="AP415" s="61">
        <f t="shared" si="200"/>
        <v>71354993</v>
      </c>
      <c r="AQ415" s="58">
        <f t="shared" si="201"/>
        <v>38</v>
      </c>
      <c r="AR415" s="58">
        <f t="shared" si="202"/>
        <v>21395.78947368421</v>
      </c>
      <c r="AS415" s="58">
        <f t="shared" si="203"/>
        <v>813040</v>
      </c>
      <c r="AT415" s="58">
        <f>ROUND(SUMIF('JUNE (물량흐름)'!$C$13:$C$502,'In-out-bal products (155)(완성제품)'!B415,'JUNE (물량흐름)'!$AB$13:$AB$502),0)</f>
        <v>0</v>
      </c>
      <c r="AU415" s="58">
        <f t="shared" si="204"/>
        <v>0</v>
      </c>
      <c r="AV415" s="58">
        <f>ROUND(SUMIF('JUNE (물량흐름)'!$C$13:$C$502,'In-out-bal products (155)(완성제품)'!B415,'JUNE (물량흐름)'!$AC$13:$AC$502),0)</f>
        <v>38</v>
      </c>
      <c r="AW415" s="58">
        <f t="shared" si="205"/>
        <v>813040</v>
      </c>
      <c r="AX415" s="376">
        <f t="shared" si="206"/>
        <v>0</v>
      </c>
      <c r="AY415" s="377">
        <f t="shared" si="207"/>
        <v>0</v>
      </c>
      <c r="AZ415" s="377">
        <f t="shared" si="208"/>
        <v>0</v>
      </c>
      <c r="BA415" s="377">
        <f t="shared" si="209"/>
        <v>0</v>
      </c>
      <c r="BB415" s="377"/>
      <c r="BC415" s="377">
        <f t="shared" si="210"/>
        <v>0</v>
      </c>
      <c r="BD415" s="377">
        <f t="shared" si="211"/>
        <v>0</v>
      </c>
      <c r="BE415" s="377"/>
      <c r="BF415" s="377">
        <f t="shared" si="212"/>
        <v>0</v>
      </c>
      <c r="BG415" s="433">
        <f t="shared" si="213"/>
        <v>71354993</v>
      </c>
      <c r="BH415" s="434">
        <f t="shared" si="214"/>
        <v>0</v>
      </c>
    </row>
    <row r="416" spans="1:60" s="378" customFormat="1">
      <c r="A416" s="167">
        <v>426</v>
      </c>
      <c r="B416" s="253">
        <f>VLOOKUP(A416,'JUNE (물량흐름)'!$A$13:$C$493,3,0)</f>
        <v>100018252</v>
      </c>
      <c r="C416" s="57" t="str">
        <f>VLOOKUP(A416,'JUNE (물량흐름)'!$A$13:$C$493,2,0)</f>
        <v>ALFANI</v>
      </c>
      <c r="D416" s="58">
        <f>IFERROR(VLOOKUP(B416,O.B.JUNE!$V$7:$Y$448,2,0),0)</f>
        <v>2346</v>
      </c>
      <c r="E416" s="58">
        <f>IFERROR(VLOOKUP(B416,O.B.JUNE!$V$7:$X$448,3,0),0)</f>
        <v>21559.694799658995</v>
      </c>
      <c r="F416" s="58">
        <f>IFERROR(VLOOKUP(B416,O.B.JUNE!$V$7:$Y$448,4,0),0)</f>
        <v>50579044</v>
      </c>
      <c r="G416" s="58">
        <f>SUMIF('JUNE (물량흐름)'!$C$13:$C$493,'In-out-bal products (155)(완성제품)'!B416,'JUNE (물량흐름)'!$V$13:$V$493)</f>
        <v>0</v>
      </c>
      <c r="H416" s="58">
        <f>SUMIF('JUNE (물량흐름)'!$C$13:$C$493,'In-out-bal products (155)(완성제품)'!B416,'JUNE (물량흐름)'!$T$13:$T$493)-SUMIF('JUNE (물량흐름)'!$C$13:$C$493,'In-out-bal products (155)(완성제품)'!B416,'JUNE (물량흐름)'!$Y$13:$Y$493)+SUMIF('JUNE (물량흐름)'!$C$13:$C$493,'In-out-bal products (155)(완성제품)'!B416,'JUNE (물량흐름)'!$U$13:$U$493)</f>
        <v>45</v>
      </c>
      <c r="I416" s="58">
        <f t="shared" si="186"/>
        <v>21559.711111111112</v>
      </c>
      <c r="J416" s="58">
        <f>SUMIF('Direct labour(직접노무비)'!$C$12:$C$503,'In-out-bal products (155)(완성제품)'!B416,'Direct labour(직접노무비)'!$Q$12:$Q$503)</f>
        <v>328461</v>
      </c>
      <c r="K416" s="59">
        <f>SUMIF('Overhead exp(제조경비)'!$C$12:$C$503,'In-out-bal products (155)(완성제품)'!B416,'Overhead exp(제조경비)'!$Q$12:$Q$503)</f>
        <v>641726</v>
      </c>
      <c r="L416" s="58">
        <f t="shared" si="187"/>
        <v>970187</v>
      </c>
      <c r="M416" s="58">
        <f>SUMIF('JUNE (물량흐름)'!$C$13:$C$488,'In-out-bal products (155)(완성제품)'!B416,'JUNE (물량흐름)'!$Y$13:$Y$488)</f>
        <v>2</v>
      </c>
      <c r="N416" s="58">
        <f t="shared" si="188"/>
        <v>21559.5</v>
      </c>
      <c r="O416" s="58">
        <f>SUMIF('Direct labour(직접노무비)'!$C$12:$C$503,'In-out-bal products (155)(완성제품)'!B416,'Direct labour(직접노무비)'!$U$12:$U$503)+SUMIF('Overhead exp(제조경비)'!$C$12:$C$503,'In-out-bal products (155)(완성제품)'!B416,'Overhead exp(제조경비)'!$U$12:$U$503)</f>
        <v>43119</v>
      </c>
      <c r="P416" s="60">
        <f t="shared" si="189"/>
        <v>47</v>
      </c>
      <c r="Q416" s="60">
        <f t="shared" si="190"/>
        <v>21559.702127659573</v>
      </c>
      <c r="R416" s="60">
        <f t="shared" si="191"/>
        <v>1013306</v>
      </c>
      <c r="S416" s="58">
        <v>0</v>
      </c>
      <c r="T416" s="58">
        <v>0</v>
      </c>
      <c r="U416" s="58">
        <v>0</v>
      </c>
      <c r="V416" s="58">
        <f>SUMIF('JUNE (물량흐름)'!$C$13:$C$493,'In-out-bal products (155)(완성제품)'!B416,'JUNE (물량흐름)'!$W$13:$W$493)</f>
        <v>2354</v>
      </c>
      <c r="W416" s="58">
        <f t="shared" si="192"/>
        <v>21559.694987255734</v>
      </c>
      <c r="X416" s="58">
        <f t="shared" si="193"/>
        <v>50751522</v>
      </c>
      <c r="Y416" s="58">
        <f>SUMIF('JUNE (물량흐름)'!$C$13:$C$488,'In-out-bal products (155)(완성제품)'!B416,'JUNE (물량흐름)'!$X$13:$X$488)</f>
        <v>0</v>
      </c>
      <c r="Z416" s="58">
        <f t="shared" si="194"/>
        <v>0</v>
      </c>
      <c r="AA416" s="58">
        <f t="shared" si="195"/>
        <v>0</v>
      </c>
      <c r="AB416" s="58"/>
      <c r="AC416" s="58"/>
      <c r="AD416" s="61"/>
      <c r="AE416" s="58">
        <f t="shared" si="196"/>
        <v>2</v>
      </c>
      <c r="AF416" s="58">
        <f t="shared" si="197"/>
        <v>21559.5</v>
      </c>
      <c r="AG416" s="61">
        <f t="shared" si="198"/>
        <v>43119</v>
      </c>
      <c r="AH416" s="58">
        <v>0</v>
      </c>
      <c r="AI416" s="58">
        <v>0</v>
      </c>
      <c r="AJ416" s="61">
        <v>0</v>
      </c>
      <c r="AK416" s="58"/>
      <c r="AL416" s="58"/>
      <c r="AM416" s="61"/>
      <c r="AN416" s="61">
        <f t="shared" si="215"/>
        <v>2356</v>
      </c>
      <c r="AO416" s="58">
        <f t="shared" si="199"/>
        <v>21559.694821731748</v>
      </c>
      <c r="AP416" s="61">
        <f t="shared" si="200"/>
        <v>50794641</v>
      </c>
      <c r="AQ416" s="58">
        <f t="shared" si="201"/>
        <v>37</v>
      </c>
      <c r="AR416" s="58">
        <f t="shared" si="202"/>
        <v>21559.702702702703</v>
      </c>
      <c r="AS416" s="58">
        <f t="shared" si="203"/>
        <v>797709</v>
      </c>
      <c r="AT416" s="58">
        <f>ROUND(SUMIF('JUNE (물량흐름)'!$C$13:$C$502,'In-out-bal products (155)(완성제품)'!B416,'JUNE (물량흐름)'!$AB$13:$AB$502),0)</f>
        <v>0</v>
      </c>
      <c r="AU416" s="58">
        <f t="shared" si="204"/>
        <v>0</v>
      </c>
      <c r="AV416" s="58">
        <f>ROUND(SUMIF('JUNE (물량흐름)'!$C$13:$C$502,'In-out-bal products (155)(완성제품)'!B416,'JUNE (물량흐름)'!$AC$13:$AC$502),0)</f>
        <v>37</v>
      </c>
      <c r="AW416" s="58">
        <f t="shared" si="205"/>
        <v>797709</v>
      </c>
      <c r="AX416" s="376">
        <f t="shared" si="206"/>
        <v>0</v>
      </c>
      <c r="AY416" s="377">
        <f t="shared" si="207"/>
        <v>0</v>
      </c>
      <c r="AZ416" s="377">
        <f t="shared" si="208"/>
        <v>0</v>
      </c>
      <c r="BA416" s="377">
        <f t="shared" si="209"/>
        <v>0</v>
      </c>
      <c r="BB416" s="377"/>
      <c r="BC416" s="377">
        <f t="shared" si="210"/>
        <v>0</v>
      </c>
      <c r="BD416" s="377">
        <f t="shared" si="211"/>
        <v>0</v>
      </c>
      <c r="BE416" s="377"/>
      <c r="BF416" s="377">
        <f t="shared" si="212"/>
        <v>0</v>
      </c>
      <c r="BG416" s="433">
        <f t="shared" si="213"/>
        <v>50794641</v>
      </c>
      <c r="BH416" s="434">
        <f t="shared" si="214"/>
        <v>0</v>
      </c>
    </row>
    <row r="417" spans="1:60" s="378" customFormat="1">
      <c r="A417" s="167">
        <v>427</v>
      </c>
      <c r="B417" s="253">
        <f>VLOOKUP(A417,'JUNE (물량흐름)'!$A$13:$C$493,3,0)</f>
        <v>100018257</v>
      </c>
      <c r="C417" s="57" t="str">
        <f>VLOOKUP(A417,'JUNE (물량흐름)'!$A$13:$C$493,2,0)</f>
        <v>ALFANI</v>
      </c>
      <c r="D417" s="58">
        <f>IFERROR(VLOOKUP(B417,O.B.JUNE!$V$7:$Y$448,2,0),0)</f>
        <v>1892</v>
      </c>
      <c r="E417" s="58">
        <f>IFERROR(VLOOKUP(B417,O.B.JUNE!$V$7:$X$448,3,0),0)</f>
        <v>31069.54069767442</v>
      </c>
      <c r="F417" s="58">
        <f>IFERROR(VLOOKUP(B417,O.B.JUNE!$V$7:$Y$448,4,0),0)</f>
        <v>58783571</v>
      </c>
      <c r="G417" s="58">
        <f>SUMIF('JUNE (물량흐름)'!$C$13:$C$493,'In-out-bal products (155)(완성제품)'!B417,'JUNE (물량흐름)'!$V$13:$V$493)</f>
        <v>0</v>
      </c>
      <c r="H417" s="58">
        <f>SUMIF('JUNE (물량흐름)'!$C$13:$C$493,'In-out-bal products (155)(완성제품)'!B417,'JUNE (물량흐름)'!$T$13:$T$493)-SUMIF('JUNE (물량흐름)'!$C$13:$C$493,'In-out-bal products (155)(완성제품)'!B417,'JUNE (물량흐름)'!$Y$13:$Y$493)+SUMIF('JUNE (물량흐름)'!$C$13:$C$493,'In-out-bal products (155)(완성제품)'!B417,'JUNE (물량흐름)'!$U$13:$U$493)</f>
        <v>2580</v>
      </c>
      <c r="I417" s="58">
        <f t="shared" si="186"/>
        <v>39177.832558139533</v>
      </c>
      <c r="J417" s="58">
        <f>SUMIF('Direct labour(직접노무비)'!$C$12:$C$503,'In-out-bal products (155)(완성제품)'!B417,'Direct labour(직접노무비)'!$Q$12:$Q$503)</f>
        <v>34220636</v>
      </c>
      <c r="K417" s="59">
        <f>SUMIF('Overhead exp(제조경비)'!$C$12:$C$503,'In-out-bal products (155)(완성제품)'!B417,'Overhead exp(제조경비)'!$Q$12:$Q$503)</f>
        <v>66858172</v>
      </c>
      <c r="L417" s="58">
        <f t="shared" si="187"/>
        <v>101078808</v>
      </c>
      <c r="M417" s="58">
        <f>SUMIF('JUNE (물량흐름)'!$C$13:$C$488,'In-out-bal products (155)(완성제품)'!B417,'JUNE (물량흐름)'!$Y$13:$Y$488)</f>
        <v>0</v>
      </c>
      <c r="N417" s="58">
        <f t="shared" si="188"/>
        <v>0</v>
      </c>
      <c r="O417" s="58">
        <f>SUMIF('Direct labour(직접노무비)'!$C$12:$C$503,'In-out-bal products (155)(완성제품)'!B417,'Direct labour(직접노무비)'!$U$12:$U$503)+SUMIF('Overhead exp(제조경비)'!$C$12:$C$503,'In-out-bal products (155)(완성제품)'!B417,'Overhead exp(제조경비)'!$U$12:$U$503)</f>
        <v>0</v>
      </c>
      <c r="P417" s="60">
        <f t="shared" si="189"/>
        <v>2580</v>
      </c>
      <c r="Q417" s="60">
        <f t="shared" si="190"/>
        <v>39177.832558139533</v>
      </c>
      <c r="R417" s="60">
        <f t="shared" si="191"/>
        <v>101078808</v>
      </c>
      <c r="S417" s="58">
        <v>0</v>
      </c>
      <c r="T417" s="58">
        <v>0</v>
      </c>
      <c r="U417" s="58">
        <v>0</v>
      </c>
      <c r="V417" s="58">
        <f>SUMIF('JUNE (물량흐름)'!$C$13:$C$493,'In-out-bal products (155)(완성제품)'!B417,'JUNE (물량흐름)'!$W$13:$W$493)</f>
        <v>4416</v>
      </c>
      <c r="W417" s="58">
        <f t="shared" si="192"/>
        <v>35747.401494565216</v>
      </c>
      <c r="X417" s="58">
        <f t="shared" si="193"/>
        <v>157860525</v>
      </c>
      <c r="Y417" s="58">
        <f>SUMIF('JUNE (물량흐름)'!$C$13:$C$488,'In-out-bal products (155)(완성제품)'!B417,'JUNE (물량흐름)'!$X$13:$X$488)</f>
        <v>0</v>
      </c>
      <c r="Z417" s="58">
        <f t="shared" si="194"/>
        <v>0</v>
      </c>
      <c r="AA417" s="58">
        <f t="shared" si="195"/>
        <v>0</v>
      </c>
      <c r="AB417" s="58"/>
      <c r="AC417" s="58"/>
      <c r="AD417" s="61"/>
      <c r="AE417" s="58">
        <f t="shared" si="196"/>
        <v>0</v>
      </c>
      <c r="AF417" s="58">
        <f t="shared" si="197"/>
        <v>0</v>
      </c>
      <c r="AG417" s="61">
        <f t="shared" si="198"/>
        <v>0</v>
      </c>
      <c r="AH417" s="58">
        <v>0</v>
      </c>
      <c r="AI417" s="58">
        <v>0</v>
      </c>
      <c r="AJ417" s="61">
        <v>0</v>
      </c>
      <c r="AK417" s="58"/>
      <c r="AL417" s="58"/>
      <c r="AM417" s="61"/>
      <c r="AN417" s="61">
        <f t="shared" si="215"/>
        <v>4416</v>
      </c>
      <c r="AO417" s="58">
        <f t="shared" si="199"/>
        <v>35747.401494565216</v>
      </c>
      <c r="AP417" s="61">
        <f t="shared" si="200"/>
        <v>157860525</v>
      </c>
      <c r="AQ417" s="58">
        <f t="shared" si="201"/>
        <v>56</v>
      </c>
      <c r="AR417" s="58">
        <f t="shared" si="202"/>
        <v>35747.392857142855</v>
      </c>
      <c r="AS417" s="58">
        <f t="shared" si="203"/>
        <v>2001854</v>
      </c>
      <c r="AT417" s="58">
        <f>ROUND(SUMIF('JUNE (물량흐름)'!$C$13:$C$502,'In-out-bal products (155)(완성제품)'!B417,'JUNE (물량흐름)'!$AB$13:$AB$502),0)</f>
        <v>0</v>
      </c>
      <c r="AU417" s="58">
        <f t="shared" si="204"/>
        <v>0</v>
      </c>
      <c r="AV417" s="58">
        <f>ROUND(SUMIF('JUNE (물량흐름)'!$C$13:$C$502,'In-out-bal products (155)(완성제품)'!B417,'JUNE (물량흐름)'!$AC$13:$AC$502),0)</f>
        <v>56</v>
      </c>
      <c r="AW417" s="58">
        <f t="shared" si="205"/>
        <v>2001854</v>
      </c>
      <c r="AX417" s="376">
        <f t="shared" si="206"/>
        <v>0</v>
      </c>
      <c r="AY417" s="377">
        <f t="shared" si="207"/>
        <v>0</v>
      </c>
      <c r="AZ417" s="377">
        <f t="shared" si="208"/>
        <v>0</v>
      </c>
      <c r="BA417" s="377">
        <f t="shared" si="209"/>
        <v>0</v>
      </c>
      <c r="BB417" s="377"/>
      <c r="BC417" s="377">
        <f t="shared" si="210"/>
        <v>0</v>
      </c>
      <c r="BD417" s="377">
        <f t="shared" si="211"/>
        <v>0</v>
      </c>
      <c r="BE417" s="377"/>
      <c r="BF417" s="377">
        <f t="shared" si="212"/>
        <v>0</v>
      </c>
      <c r="BG417" s="433">
        <f t="shared" si="213"/>
        <v>157860525</v>
      </c>
      <c r="BH417" s="434">
        <f t="shared" si="214"/>
        <v>0</v>
      </c>
    </row>
    <row r="418" spans="1:60" s="378" customFormat="1">
      <c r="A418" s="167">
        <v>428</v>
      </c>
      <c r="B418" s="253">
        <f>VLOOKUP(A418,'JUNE (물량흐름)'!$A$13:$C$493,3,0)</f>
        <v>100018258</v>
      </c>
      <c r="C418" s="57" t="str">
        <f>VLOOKUP(A418,'JUNE (물량흐름)'!$A$13:$C$493,2,0)</f>
        <v>ALFANI</v>
      </c>
      <c r="D418" s="58">
        <f>IFERROR(VLOOKUP(B418,O.B.JUNE!$V$7:$Y$448,2,0),0)</f>
        <v>5854</v>
      </c>
      <c r="E418" s="58">
        <f>IFERROR(VLOOKUP(B418,O.B.JUNE!$V$7:$X$448,3,0),0)</f>
        <v>34107.080116159894</v>
      </c>
      <c r="F418" s="58">
        <f>IFERROR(VLOOKUP(B418,O.B.JUNE!$V$7:$Y$448,4,0),0)</f>
        <v>199662847</v>
      </c>
      <c r="G418" s="58">
        <f>SUMIF('JUNE (물량흐름)'!$C$13:$C$493,'In-out-bal products (155)(완성제품)'!B418,'JUNE (물량흐름)'!$V$13:$V$493)</f>
        <v>0</v>
      </c>
      <c r="H418" s="58">
        <f>SUMIF('JUNE (물량흐름)'!$C$13:$C$493,'In-out-bal products (155)(완성제품)'!B418,'JUNE (물량흐름)'!$T$13:$T$493)-SUMIF('JUNE (물량흐름)'!$C$13:$C$493,'In-out-bal products (155)(완성제품)'!B418,'JUNE (물량흐름)'!$Y$13:$Y$493)+SUMIF('JUNE (물량흐름)'!$C$13:$C$493,'In-out-bal products (155)(완성제품)'!B418,'JUNE (물량흐름)'!$U$13:$U$493)</f>
        <v>500</v>
      </c>
      <c r="I418" s="58">
        <f t="shared" si="186"/>
        <v>34107.082000000002</v>
      </c>
      <c r="J418" s="58">
        <f>SUMIF('Direct labour(직접노무비)'!$C$12:$C$503,'In-out-bal products (155)(완성제품)'!B418,'Direct labour(직접노무비)'!$Q$12:$Q$503)</f>
        <v>5773545</v>
      </c>
      <c r="K418" s="59">
        <f>SUMIF('Overhead exp(제조경비)'!$C$12:$C$503,'In-out-bal products (155)(완성제품)'!B418,'Overhead exp(제조경비)'!$Q$12:$Q$503)</f>
        <v>11279996</v>
      </c>
      <c r="L418" s="58">
        <f t="shared" si="187"/>
        <v>17053541</v>
      </c>
      <c r="M418" s="58">
        <f>SUMIF('JUNE (물량흐름)'!$C$13:$C$488,'In-out-bal products (155)(완성제품)'!B418,'JUNE (물량흐름)'!$Y$13:$Y$488)</f>
        <v>1</v>
      </c>
      <c r="N418" s="58">
        <f t="shared" si="188"/>
        <v>34107</v>
      </c>
      <c r="O418" s="58">
        <f>SUMIF('Direct labour(직접노무비)'!$C$12:$C$503,'In-out-bal products (155)(완성제품)'!B418,'Direct labour(직접노무비)'!$U$12:$U$503)+SUMIF('Overhead exp(제조경비)'!$C$12:$C$503,'In-out-bal products (155)(완성제품)'!B418,'Overhead exp(제조경비)'!$U$12:$U$503)</f>
        <v>34107</v>
      </c>
      <c r="P418" s="60">
        <f t="shared" si="189"/>
        <v>501</v>
      </c>
      <c r="Q418" s="60">
        <f t="shared" si="190"/>
        <v>34107.081836327343</v>
      </c>
      <c r="R418" s="60">
        <f t="shared" si="191"/>
        <v>17087648</v>
      </c>
      <c r="S418" s="58">
        <v>0</v>
      </c>
      <c r="T418" s="58">
        <v>0</v>
      </c>
      <c r="U418" s="58">
        <v>0</v>
      </c>
      <c r="V418" s="58">
        <f>SUMIF('JUNE (물량흐름)'!$C$13:$C$493,'In-out-bal products (155)(완성제품)'!B418,'JUNE (물량흐름)'!$W$13:$W$493)</f>
        <v>6348</v>
      </c>
      <c r="W418" s="58">
        <f t="shared" si="192"/>
        <v>34107.080340264649</v>
      </c>
      <c r="X418" s="58">
        <f t="shared" si="193"/>
        <v>216511746</v>
      </c>
      <c r="Y418" s="58">
        <f>SUMIF('JUNE (물량흐름)'!$C$13:$C$488,'In-out-bal products (155)(완성제품)'!B418,'JUNE (물량흐름)'!$X$13:$X$488)</f>
        <v>0</v>
      </c>
      <c r="Z418" s="58">
        <f t="shared" si="194"/>
        <v>0</v>
      </c>
      <c r="AA418" s="58">
        <f t="shared" si="195"/>
        <v>0</v>
      </c>
      <c r="AB418" s="58"/>
      <c r="AC418" s="58"/>
      <c r="AD418" s="61"/>
      <c r="AE418" s="58">
        <f t="shared" si="196"/>
        <v>1</v>
      </c>
      <c r="AF418" s="58">
        <f t="shared" si="197"/>
        <v>34107</v>
      </c>
      <c r="AG418" s="61">
        <f t="shared" si="198"/>
        <v>34107</v>
      </c>
      <c r="AH418" s="58">
        <v>0</v>
      </c>
      <c r="AI418" s="58">
        <v>0</v>
      </c>
      <c r="AJ418" s="61">
        <v>0</v>
      </c>
      <c r="AK418" s="58"/>
      <c r="AL418" s="58"/>
      <c r="AM418" s="61"/>
      <c r="AN418" s="61">
        <f t="shared" si="215"/>
        <v>6349</v>
      </c>
      <c r="AO418" s="58">
        <f t="shared" si="199"/>
        <v>34107.080327610645</v>
      </c>
      <c r="AP418" s="61">
        <f t="shared" si="200"/>
        <v>216545853</v>
      </c>
      <c r="AQ418" s="58">
        <f t="shared" si="201"/>
        <v>6</v>
      </c>
      <c r="AR418" s="58">
        <f t="shared" si="202"/>
        <v>34107</v>
      </c>
      <c r="AS418" s="58">
        <f t="shared" si="203"/>
        <v>204642</v>
      </c>
      <c r="AT418" s="58">
        <f>ROUND(SUMIF('JUNE (물량흐름)'!$C$13:$C$502,'In-out-bal products (155)(완성제품)'!B418,'JUNE (물량흐름)'!$AB$13:$AB$502),0)</f>
        <v>0</v>
      </c>
      <c r="AU418" s="58">
        <f t="shared" si="204"/>
        <v>0</v>
      </c>
      <c r="AV418" s="58">
        <f>ROUND(SUMIF('JUNE (물량흐름)'!$C$13:$C$502,'In-out-bal products (155)(완성제품)'!B418,'JUNE (물량흐름)'!$AC$13:$AC$502),0)</f>
        <v>6</v>
      </c>
      <c r="AW418" s="58">
        <f t="shared" si="205"/>
        <v>204642</v>
      </c>
      <c r="AX418" s="376">
        <f t="shared" si="206"/>
        <v>0</v>
      </c>
      <c r="AY418" s="377">
        <f t="shared" si="207"/>
        <v>0</v>
      </c>
      <c r="AZ418" s="377">
        <f t="shared" si="208"/>
        <v>0</v>
      </c>
      <c r="BA418" s="377">
        <f t="shared" si="209"/>
        <v>0</v>
      </c>
      <c r="BB418" s="377"/>
      <c r="BC418" s="377">
        <f t="shared" si="210"/>
        <v>0</v>
      </c>
      <c r="BD418" s="377">
        <f t="shared" si="211"/>
        <v>0</v>
      </c>
      <c r="BE418" s="377"/>
      <c r="BF418" s="377">
        <f t="shared" si="212"/>
        <v>0</v>
      </c>
      <c r="BG418" s="433">
        <f t="shared" si="213"/>
        <v>216545853</v>
      </c>
      <c r="BH418" s="434">
        <f t="shared" si="214"/>
        <v>0</v>
      </c>
    </row>
    <row r="419" spans="1:60" s="378" customFormat="1">
      <c r="A419" s="167">
        <v>429</v>
      </c>
      <c r="B419" s="253">
        <f>VLOOKUP(A419,'JUNE (물량흐름)'!$A$13:$C$493,3,0)</f>
        <v>100018259</v>
      </c>
      <c r="C419" s="57" t="str">
        <f>VLOOKUP(A419,'JUNE (물량흐름)'!$A$13:$C$493,2,0)</f>
        <v>ALFANI</v>
      </c>
      <c r="D419" s="58">
        <f>IFERROR(VLOOKUP(B419,O.B.JUNE!$V$7:$Y$448,2,0),0)</f>
        <v>1255</v>
      </c>
      <c r="E419" s="58">
        <f>IFERROR(VLOOKUP(B419,O.B.JUNE!$V$7:$X$448,3,0),0)</f>
        <v>34822.984860557772</v>
      </c>
      <c r="F419" s="58">
        <f>IFERROR(VLOOKUP(B419,O.B.JUNE!$V$7:$Y$448,4,0),0)</f>
        <v>43702846</v>
      </c>
      <c r="G419" s="58">
        <f>SUMIF('JUNE (물량흐름)'!$C$13:$C$493,'In-out-bal products (155)(완성제품)'!B419,'JUNE (물량흐름)'!$V$13:$V$493)</f>
        <v>0</v>
      </c>
      <c r="H419" s="58">
        <f>SUMIF('JUNE (물량흐름)'!$C$13:$C$493,'In-out-bal products (155)(완성제품)'!B419,'JUNE (물량흐름)'!$T$13:$T$493)-SUMIF('JUNE (물량흐름)'!$C$13:$C$493,'In-out-bal products (155)(완성제품)'!B419,'JUNE (물량흐름)'!$Y$13:$Y$493)+SUMIF('JUNE (물량흐름)'!$C$13:$C$493,'In-out-bal products (155)(완성제품)'!B419,'JUNE (물량흐름)'!$U$13:$U$493)</f>
        <v>0</v>
      </c>
      <c r="I419" s="58">
        <f t="shared" si="186"/>
        <v>0</v>
      </c>
      <c r="J419" s="58">
        <f>SUMIF('Direct labour(직접노무비)'!$C$12:$C$503,'In-out-bal products (155)(완성제품)'!B419,'Direct labour(직접노무비)'!$Q$12:$Q$503)</f>
        <v>0</v>
      </c>
      <c r="K419" s="59">
        <f>SUMIF('Overhead exp(제조경비)'!$C$12:$C$503,'In-out-bal products (155)(완성제품)'!B419,'Overhead exp(제조경비)'!$Q$12:$Q$503)</f>
        <v>0</v>
      </c>
      <c r="L419" s="58">
        <f t="shared" si="187"/>
        <v>0</v>
      </c>
      <c r="M419" s="58">
        <f>SUMIF('JUNE (물량흐름)'!$C$13:$C$488,'In-out-bal products (155)(완성제품)'!B419,'JUNE (물량흐름)'!$Y$13:$Y$488)</f>
        <v>0</v>
      </c>
      <c r="N419" s="58">
        <f t="shared" si="188"/>
        <v>0</v>
      </c>
      <c r="O419" s="58">
        <f>SUMIF('Direct labour(직접노무비)'!$C$12:$C$503,'In-out-bal products (155)(완성제품)'!B419,'Direct labour(직접노무비)'!$U$12:$U$503)+SUMIF('Overhead exp(제조경비)'!$C$12:$C$503,'In-out-bal products (155)(완성제품)'!B419,'Overhead exp(제조경비)'!$U$12:$U$503)</f>
        <v>0</v>
      </c>
      <c r="P419" s="60">
        <f t="shared" si="189"/>
        <v>0</v>
      </c>
      <c r="Q419" s="60">
        <f t="shared" si="190"/>
        <v>0</v>
      </c>
      <c r="R419" s="60">
        <f t="shared" si="191"/>
        <v>0</v>
      </c>
      <c r="S419" s="58">
        <v>0</v>
      </c>
      <c r="T419" s="58">
        <v>0</v>
      </c>
      <c r="U419" s="58">
        <v>0</v>
      </c>
      <c r="V419" s="58">
        <f>SUMIF('JUNE (물량흐름)'!$C$13:$C$493,'In-out-bal products (155)(완성제품)'!B419,'JUNE (물량흐름)'!$W$13:$W$493)</f>
        <v>1239</v>
      </c>
      <c r="W419" s="58">
        <f t="shared" si="192"/>
        <v>34822.984665052463</v>
      </c>
      <c r="X419" s="58">
        <f t="shared" si="193"/>
        <v>43145678</v>
      </c>
      <c r="Y419" s="58">
        <f>SUMIF('JUNE (물량흐름)'!$C$13:$C$488,'In-out-bal products (155)(완성제품)'!B419,'JUNE (물량흐름)'!$X$13:$X$488)</f>
        <v>0</v>
      </c>
      <c r="Z419" s="58">
        <f t="shared" si="194"/>
        <v>0</v>
      </c>
      <c r="AA419" s="58">
        <f t="shared" si="195"/>
        <v>0</v>
      </c>
      <c r="AB419" s="58"/>
      <c r="AC419" s="58"/>
      <c r="AD419" s="61"/>
      <c r="AE419" s="58">
        <f t="shared" si="196"/>
        <v>0</v>
      </c>
      <c r="AF419" s="58">
        <f t="shared" si="197"/>
        <v>0</v>
      </c>
      <c r="AG419" s="61">
        <f t="shared" si="198"/>
        <v>0</v>
      </c>
      <c r="AH419" s="58">
        <v>0</v>
      </c>
      <c r="AI419" s="58">
        <v>0</v>
      </c>
      <c r="AJ419" s="61">
        <v>0</v>
      </c>
      <c r="AK419" s="58"/>
      <c r="AL419" s="58"/>
      <c r="AM419" s="61"/>
      <c r="AN419" s="61">
        <f t="shared" si="215"/>
        <v>1239</v>
      </c>
      <c r="AO419" s="58">
        <f t="shared" si="199"/>
        <v>34822.984665052463</v>
      </c>
      <c r="AP419" s="61">
        <f t="shared" si="200"/>
        <v>43145678</v>
      </c>
      <c r="AQ419" s="58">
        <f t="shared" si="201"/>
        <v>16</v>
      </c>
      <c r="AR419" s="58">
        <f t="shared" si="202"/>
        <v>34823</v>
      </c>
      <c r="AS419" s="58">
        <f t="shared" si="203"/>
        <v>557168</v>
      </c>
      <c r="AT419" s="58">
        <f>ROUND(SUMIF('JUNE (물량흐름)'!$C$13:$C$502,'In-out-bal products (155)(완성제품)'!B419,'JUNE (물량흐름)'!$AB$13:$AB$502),0)</f>
        <v>0</v>
      </c>
      <c r="AU419" s="58">
        <f t="shared" si="204"/>
        <v>0</v>
      </c>
      <c r="AV419" s="58">
        <f>ROUND(SUMIF('JUNE (물량흐름)'!$C$13:$C$502,'In-out-bal products (155)(완성제품)'!B419,'JUNE (물량흐름)'!$AC$13:$AC$502),0)</f>
        <v>16</v>
      </c>
      <c r="AW419" s="58">
        <f t="shared" si="205"/>
        <v>557168</v>
      </c>
      <c r="AX419" s="376">
        <f t="shared" si="206"/>
        <v>0</v>
      </c>
      <c r="AY419" s="377">
        <f t="shared" si="207"/>
        <v>0</v>
      </c>
      <c r="AZ419" s="377">
        <f t="shared" si="208"/>
        <v>0</v>
      </c>
      <c r="BA419" s="377">
        <f t="shared" si="209"/>
        <v>0</v>
      </c>
      <c r="BB419" s="377"/>
      <c r="BC419" s="377">
        <f t="shared" si="210"/>
        <v>0</v>
      </c>
      <c r="BD419" s="377">
        <f t="shared" si="211"/>
        <v>0</v>
      </c>
      <c r="BE419" s="377"/>
      <c r="BF419" s="377">
        <f t="shared" si="212"/>
        <v>0</v>
      </c>
      <c r="BG419" s="433">
        <f t="shared" si="213"/>
        <v>43145678</v>
      </c>
      <c r="BH419" s="434">
        <f t="shared" si="214"/>
        <v>0</v>
      </c>
    </row>
    <row r="420" spans="1:60" s="378" customFormat="1">
      <c r="A420" s="167">
        <v>430</v>
      </c>
      <c r="B420" s="253">
        <f>VLOOKUP(A420,'JUNE (물량흐름)'!$A$13:$C$493,3,0)</f>
        <v>100018260</v>
      </c>
      <c r="C420" s="57" t="str">
        <f>VLOOKUP(A420,'JUNE (물량흐름)'!$A$13:$C$493,2,0)</f>
        <v>ALFANI</v>
      </c>
      <c r="D420" s="58">
        <f>IFERROR(VLOOKUP(B420,O.B.JUNE!$V$7:$Y$448,2,0),0)</f>
        <v>0</v>
      </c>
      <c r="E420" s="58">
        <f>IFERROR(VLOOKUP(B420,O.B.JUNE!$V$7:$X$448,3,0),0)</f>
        <v>0</v>
      </c>
      <c r="F420" s="58">
        <f>IFERROR(VLOOKUP(B420,O.B.JUNE!$V$7:$Y$448,4,0),0)</f>
        <v>0</v>
      </c>
      <c r="G420" s="58">
        <f>SUMIF('JUNE (물량흐름)'!$C$13:$C$493,'In-out-bal products (155)(완성제품)'!B420,'JUNE (물량흐름)'!$V$13:$V$493)</f>
        <v>0</v>
      </c>
      <c r="H420" s="58">
        <f>SUMIF('JUNE (물량흐름)'!$C$13:$C$493,'In-out-bal products (155)(완성제품)'!B420,'JUNE (물량흐름)'!$T$13:$T$493)-SUMIF('JUNE (물량흐름)'!$C$13:$C$493,'In-out-bal products (155)(완성제품)'!B420,'JUNE (물량흐름)'!$Y$13:$Y$493)+SUMIF('JUNE (물량흐름)'!$C$13:$C$493,'In-out-bal products (155)(완성제품)'!B420,'JUNE (물량흐름)'!$U$13:$U$493)</f>
        <v>1310</v>
      </c>
      <c r="I420" s="58">
        <f t="shared" si="186"/>
        <v>21600.251908396946</v>
      </c>
      <c r="J420" s="58">
        <f>SUMIF('Direct labour(직접노무비)'!$C$12:$C$503,'In-out-bal products (155)(완성제품)'!B420,'Direct labour(직접노무비)'!$Q$12:$Q$503)</f>
        <v>9579836</v>
      </c>
      <c r="K420" s="59">
        <f>SUMIF('Overhead exp(제조경비)'!$C$12:$C$503,'In-out-bal products (155)(완성제품)'!B420,'Overhead exp(제조경비)'!$Q$12:$Q$503)</f>
        <v>18716494</v>
      </c>
      <c r="L420" s="58">
        <f t="shared" si="187"/>
        <v>28296330</v>
      </c>
      <c r="M420" s="58">
        <f>SUMIF('JUNE (물량흐름)'!$C$13:$C$488,'In-out-bal products (155)(완성제품)'!B420,'JUNE (물량흐름)'!$Y$13:$Y$488)</f>
        <v>0</v>
      </c>
      <c r="N420" s="58">
        <f t="shared" si="188"/>
        <v>0</v>
      </c>
      <c r="O420" s="58">
        <f>SUMIF('Direct labour(직접노무비)'!$C$12:$C$503,'In-out-bal products (155)(완성제품)'!B420,'Direct labour(직접노무비)'!$U$12:$U$503)+SUMIF('Overhead exp(제조경비)'!$C$12:$C$503,'In-out-bal products (155)(완성제품)'!B420,'Overhead exp(제조경비)'!$U$12:$U$503)</f>
        <v>0</v>
      </c>
      <c r="P420" s="60">
        <f t="shared" si="189"/>
        <v>1310</v>
      </c>
      <c r="Q420" s="60">
        <f t="shared" si="190"/>
        <v>21600.251908396946</v>
      </c>
      <c r="R420" s="60">
        <f t="shared" si="191"/>
        <v>28296330</v>
      </c>
      <c r="S420" s="58">
        <v>0</v>
      </c>
      <c r="T420" s="58">
        <v>0</v>
      </c>
      <c r="U420" s="58">
        <v>0</v>
      </c>
      <c r="V420" s="58">
        <f>SUMIF('JUNE (물량흐름)'!$C$13:$C$493,'In-out-bal products (155)(완성제품)'!B420,'JUNE (물량흐름)'!$W$13:$W$493)</f>
        <v>1293</v>
      </c>
      <c r="W420" s="58">
        <f t="shared" si="192"/>
        <v>21600.252126836815</v>
      </c>
      <c r="X420" s="58">
        <f t="shared" si="193"/>
        <v>27929126</v>
      </c>
      <c r="Y420" s="58">
        <f>SUMIF('JUNE (물량흐름)'!$C$13:$C$488,'In-out-bal products (155)(완성제품)'!B420,'JUNE (물량흐름)'!$X$13:$X$488)</f>
        <v>0</v>
      </c>
      <c r="Z420" s="58">
        <f t="shared" si="194"/>
        <v>0</v>
      </c>
      <c r="AA420" s="58">
        <f t="shared" si="195"/>
        <v>0</v>
      </c>
      <c r="AB420" s="58"/>
      <c r="AC420" s="58"/>
      <c r="AD420" s="61"/>
      <c r="AE420" s="58">
        <f t="shared" si="196"/>
        <v>0</v>
      </c>
      <c r="AF420" s="58">
        <f t="shared" si="197"/>
        <v>0</v>
      </c>
      <c r="AG420" s="61">
        <f t="shared" si="198"/>
        <v>0</v>
      </c>
      <c r="AH420" s="58">
        <v>0</v>
      </c>
      <c r="AI420" s="58">
        <v>0</v>
      </c>
      <c r="AJ420" s="61">
        <v>0</v>
      </c>
      <c r="AK420" s="58"/>
      <c r="AL420" s="58"/>
      <c r="AM420" s="61"/>
      <c r="AN420" s="61">
        <f t="shared" si="215"/>
        <v>1293</v>
      </c>
      <c r="AO420" s="58">
        <f t="shared" si="199"/>
        <v>21600.252126836815</v>
      </c>
      <c r="AP420" s="61">
        <f t="shared" si="200"/>
        <v>27929126</v>
      </c>
      <c r="AQ420" s="58">
        <f t="shared" si="201"/>
        <v>17</v>
      </c>
      <c r="AR420" s="58">
        <f t="shared" si="202"/>
        <v>21600.235294117647</v>
      </c>
      <c r="AS420" s="58">
        <f t="shared" si="203"/>
        <v>367204</v>
      </c>
      <c r="AT420" s="58">
        <f>ROUND(SUMIF('JUNE (물량흐름)'!$C$13:$C$502,'In-out-bal products (155)(완성제품)'!B420,'JUNE (물량흐름)'!$AB$13:$AB$502),0)</f>
        <v>0</v>
      </c>
      <c r="AU420" s="58">
        <f t="shared" si="204"/>
        <v>0</v>
      </c>
      <c r="AV420" s="58">
        <f>ROUND(SUMIF('JUNE (물량흐름)'!$C$13:$C$502,'In-out-bal products (155)(완성제품)'!B420,'JUNE (물량흐름)'!$AC$13:$AC$502),0)</f>
        <v>17</v>
      </c>
      <c r="AW420" s="58">
        <f t="shared" si="205"/>
        <v>367204</v>
      </c>
      <c r="AX420" s="376">
        <f t="shared" si="206"/>
        <v>0</v>
      </c>
      <c r="AY420" s="377">
        <f t="shared" si="207"/>
        <v>0</v>
      </c>
      <c r="AZ420" s="377">
        <f t="shared" si="208"/>
        <v>0</v>
      </c>
      <c r="BA420" s="377">
        <f t="shared" si="209"/>
        <v>0</v>
      </c>
      <c r="BB420" s="377"/>
      <c r="BC420" s="377">
        <f t="shared" si="210"/>
        <v>0</v>
      </c>
      <c r="BD420" s="377">
        <f t="shared" si="211"/>
        <v>0</v>
      </c>
      <c r="BE420" s="377"/>
      <c r="BF420" s="377">
        <f t="shared" si="212"/>
        <v>0</v>
      </c>
      <c r="BG420" s="433">
        <f t="shared" si="213"/>
        <v>27929126</v>
      </c>
      <c r="BH420" s="434">
        <f t="shared" si="214"/>
        <v>0</v>
      </c>
    </row>
    <row r="421" spans="1:60" s="378" customFormat="1">
      <c r="A421" s="167">
        <v>431</v>
      </c>
      <c r="B421" s="253">
        <f>VLOOKUP(A421,'JUNE (물량흐름)'!$A$13:$C$493,3,0)</f>
        <v>100024706</v>
      </c>
      <c r="C421" s="57" t="str">
        <f>VLOOKUP(A421,'JUNE (물량흐름)'!$A$13:$C$493,2,0)</f>
        <v>ALFANI</v>
      </c>
      <c r="D421" s="58">
        <f>IFERROR(VLOOKUP(B421,O.B.JUNE!$V$7:$Y$448,2,0),0)</f>
        <v>3457</v>
      </c>
      <c r="E421" s="58">
        <f>IFERROR(VLOOKUP(B421,O.B.JUNE!$V$7:$X$448,3,0),0)</f>
        <v>19544.907723459648</v>
      </c>
      <c r="F421" s="58">
        <f>IFERROR(VLOOKUP(B421,O.B.JUNE!$V$7:$Y$448,4,0),0)</f>
        <v>67566746</v>
      </c>
      <c r="G421" s="58">
        <f>SUMIF('JUNE (물량흐름)'!$C$13:$C$493,'In-out-bal products (155)(완성제품)'!B421,'JUNE (물량흐름)'!$V$13:$V$493)</f>
        <v>0</v>
      </c>
      <c r="H421" s="58">
        <f>SUMIF('JUNE (물량흐름)'!$C$13:$C$493,'In-out-bal products (155)(완성제품)'!B421,'JUNE (물량흐름)'!$T$13:$T$493)-SUMIF('JUNE (물량흐름)'!$C$13:$C$493,'In-out-bal products (155)(완성제품)'!B421,'JUNE (물량흐름)'!$Y$13:$Y$493)+SUMIF('JUNE (물량흐름)'!$C$13:$C$493,'In-out-bal products (155)(완성제품)'!B421,'JUNE (물량흐름)'!$U$13:$U$493)</f>
        <v>0</v>
      </c>
      <c r="I421" s="58">
        <f t="shared" si="186"/>
        <v>0</v>
      </c>
      <c r="J421" s="58">
        <f>SUMIF('Direct labour(직접노무비)'!$C$12:$C$503,'In-out-bal products (155)(완성제품)'!B421,'Direct labour(직접노무비)'!$Q$12:$Q$503)</f>
        <v>0</v>
      </c>
      <c r="K421" s="59">
        <f>SUMIF('Overhead exp(제조경비)'!$C$12:$C$503,'In-out-bal products (155)(완성제품)'!B421,'Overhead exp(제조경비)'!$Q$12:$Q$503)</f>
        <v>0</v>
      </c>
      <c r="L421" s="58">
        <f t="shared" si="187"/>
        <v>0</v>
      </c>
      <c r="M421" s="58">
        <f>SUMIF('JUNE (물량흐름)'!$C$13:$C$488,'In-out-bal products (155)(완성제품)'!B421,'JUNE (물량흐름)'!$Y$13:$Y$488)</f>
        <v>0</v>
      </c>
      <c r="N421" s="58">
        <f t="shared" si="188"/>
        <v>0</v>
      </c>
      <c r="O421" s="58">
        <f>SUMIF('Direct labour(직접노무비)'!$C$12:$C$503,'In-out-bal products (155)(완성제품)'!B421,'Direct labour(직접노무비)'!$U$12:$U$503)+SUMIF('Overhead exp(제조경비)'!$C$12:$C$503,'In-out-bal products (155)(완성제품)'!B421,'Overhead exp(제조경비)'!$U$12:$U$503)</f>
        <v>0</v>
      </c>
      <c r="P421" s="60">
        <f t="shared" si="189"/>
        <v>0</v>
      </c>
      <c r="Q421" s="60">
        <f t="shared" si="190"/>
        <v>0</v>
      </c>
      <c r="R421" s="60">
        <f t="shared" si="191"/>
        <v>0</v>
      </c>
      <c r="S421" s="58">
        <v>0</v>
      </c>
      <c r="T421" s="58">
        <v>0</v>
      </c>
      <c r="U421" s="58">
        <v>0</v>
      </c>
      <c r="V421" s="58">
        <f>SUMIF('JUNE (물량흐름)'!$C$13:$C$493,'In-out-bal products (155)(완성제품)'!B421,'JUNE (물량흐름)'!$W$13:$W$493)</f>
        <v>3399</v>
      </c>
      <c r="W421" s="58">
        <f t="shared" si="192"/>
        <v>19544.907619888203</v>
      </c>
      <c r="X421" s="58">
        <f t="shared" si="193"/>
        <v>66433141</v>
      </c>
      <c r="Y421" s="58">
        <f>SUMIF('JUNE (물량흐름)'!$C$13:$C$488,'In-out-bal products (155)(완성제품)'!B421,'JUNE (물량흐름)'!$X$13:$X$488)</f>
        <v>0</v>
      </c>
      <c r="Z421" s="58">
        <f t="shared" si="194"/>
        <v>0</v>
      </c>
      <c r="AA421" s="58">
        <f t="shared" si="195"/>
        <v>0</v>
      </c>
      <c r="AB421" s="58"/>
      <c r="AC421" s="58"/>
      <c r="AD421" s="61"/>
      <c r="AE421" s="58">
        <f t="shared" si="196"/>
        <v>0</v>
      </c>
      <c r="AF421" s="58">
        <f t="shared" si="197"/>
        <v>0</v>
      </c>
      <c r="AG421" s="61">
        <f t="shared" si="198"/>
        <v>0</v>
      </c>
      <c r="AH421" s="58">
        <v>0</v>
      </c>
      <c r="AI421" s="58">
        <v>0</v>
      </c>
      <c r="AJ421" s="61">
        <v>0</v>
      </c>
      <c r="AK421" s="58"/>
      <c r="AL421" s="58"/>
      <c r="AM421" s="61"/>
      <c r="AN421" s="61">
        <f t="shared" si="215"/>
        <v>3399</v>
      </c>
      <c r="AO421" s="58">
        <f t="shared" si="199"/>
        <v>19544.907619888203</v>
      </c>
      <c r="AP421" s="61">
        <f t="shared" si="200"/>
        <v>66433141</v>
      </c>
      <c r="AQ421" s="58">
        <f t="shared" si="201"/>
        <v>58</v>
      </c>
      <c r="AR421" s="58">
        <f t="shared" si="202"/>
        <v>19544.913793103449</v>
      </c>
      <c r="AS421" s="58">
        <f t="shared" si="203"/>
        <v>1133605</v>
      </c>
      <c r="AT421" s="58">
        <f>ROUND(SUMIF('JUNE (물량흐름)'!$C$13:$C$502,'In-out-bal products (155)(완성제품)'!B421,'JUNE (물량흐름)'!$AB$13:$AB$502),0)</f>
        <v>0</v>
      </c>
      <c r="AU421" s="58">
        <f t="shared" si="204"/>
        <v>0</v>
      </c>
      <c r="AV421" s="58">
        <f>ROUND(SUMIF('JUNE (물량흐름)'!$C$13:$C$502,'In-out-bal products (155)(완성제품)'!B421,'JUNE (물량흐름)'!$AC$13:$AC$502),0)</f>
        <v>58</v>
      </c>
      <c r="AW421" s="58">
        <f t="shared" si="205"/>
        <v>1133605</v>
      </c>
      <c r="AX421" s="376">
        <f t="shared" si="206"/>
        <v>0</v>
      </c>
      <c r="AY421" s="377">
        <f t="shared" si="207"/>
        <v>0</v>
      </c>
      <c r="AZ421" s="377">
        <f t="shared" si="208"/>
        <v>0</v>
      </c>
      <c r="BA421" s="377">
        <f t="shared" si="209"/>
        <v>0</v>
      </c>
      <c r="BB421" s="377"/>
      <c r="BC421" s="377">
        <f t="shared" si="210"/>
        <v>0</v>
      </c>
      <c r="BD421" s="377">
        <f t="shared" si="211"/>
        <v>0</v>
      </c>
      <c r="BE421" s="377"/>
      <c r="BF421" s="377">
        <f t="shared" si="212"/>
        <v>0</v>
      </c>
      <c r="BG421" s="433">
        <f t="shared" si="213"/>
        <v>66433141</v>
      </c>
      <c r="BH421" s="434">
        <f t="shared" si="214"/>
        <v>0</v>
      </c>
    </row>
    <row r="422" spans="1:60" s="378" customFormat="1">
      <c r="A422" s="167">
        <v>432</v>
      </c>
      <c r="B422" s="253">
        <f>VLOOKUP(A422,'JUNE (물량흐름)'!$A$13:$C$493,3,0)</f>
        <v>100027409</v>
      </c>
      <c r="C422" s="57" t="str">
        <f>VLOOKUP(A422,'JUNE (물량흐름)'!$A$13:$C$493,2,0)</f>
        <v>ALFANI</v>
      </c>
      <c r="D422" s="58">
        <f>IFERROR(VLOOKUP(B422,O.B.JUNE!$V$7:$Y$448,2,0),0)</f>
        <v>4131</v>
      </c>
      <c r="E422" s="58">
        <f>IFERROR(VLOOKUP(B422,O.B.JUNE!$V$7:$X$448,3,0),0)</f>
        <v>34332.677317840717</v>
      </c>
      <c r="F422" s="58">
        <f>IFERROR(VLOOKUP(B422,O.B.JUNE!$V$7:$Y$448,4,0),0)</f>
        <v>141828290</v>
      </c>
      <c r="G422" s="58">
        <f>SUMIF('JUNE (물량흐름)'!$C$13:$C$493,'In-out-bal products (155)(완성제품)'!B422,'JUNE (물량흐름)'!$V$13:$V$493)</f>
        <v>0</v>
      </c>
      <c r="H422" s="58">
        <f>SUMIF('JUNE (물량흐름)'!$C$13:$C$493,'In-out-bal products (155)(완성제품)'!B422,'JUNE (물량흐름)'!$T$13:$T$493)-SUMIF('JUNE (물량흐름)'!$C$13:$C$493,'In-out-bal products (155)(완성제품)'!B422,'JUNE (물량흐름)'!$Y$13:$Y$493)+SUMIF('JUNE (물량흐름)'!$C$13:$C$493,'In-out-bal products (155)(완성제품)'!B422,'JUNE (물량흐름)'!$U$13:$U$493)</f>
        <v>65</v>
      </c>
      <c r="I422" s="58">
        <f t="shared" si="186"/>
        <v>34332.676923076921</v>
      </c>
      <c r="J422" s="58">
        <f>SUMIF('Direct labour(직접노무비)'!$C$12:$C$503,'In-out-bal products (155)(완성제품)'!B422,'Direct labour(직접노무비)'!$Q$12:$Q$503)</f>
        <v>755525</v>
      </c>
      <c r="K422" s="59">
        <f>SUMIF('Overhead exp(제조경비)'!$C$12:$C$503,'In-out-bal products (155)(완성제품)'!B422,'Overhead exp(제조경비)'!$Q$12:$Q$503)</f>
        <v>1476099</v>
      </c>
      <c r="L422" s="58">
        <f t="shared" si="187"/>
        <v>2231624</v>
      </c>
      <c r="M422" s="58">
        <f>SUMIF('JUNE (물량흐름)'!$C$13:$C$488,'In-out-bal products (155)(완성제품)'!B422,'JUNE (물량흐름)'!$Y$13:$Y$488)</f>
        <v>0</v>
      </c>
      <c r="N422" s="58">
        <f t="shared" si="188"/>
        <v>0</v>
      </c>
      <c r="O422" s="58">
        <f>SUMIF('Direct labour(직접노무비)'!$C$12:$C$503,'In-out-bal products (155)(완성제품)'!B422,'Direct labour(직접노무비)'!$U$12:$U$503)+SUMIF('Overhead exp(제조경비)'!$C$12:$C$503,'In-out-bal products (155)(완성제품)'!B422,'Overhead exp(제조경비)'!$U$12:$U$503)</f>
        <v>0</v>
      </c>
      <c r="P422" s="60">
        <f t="shared" si="189"/>
        <v>65</v>
      </c>
      <c r="Q422" s="60">
        <f t="shared" si="190"/>
        <v>34332.676923076921</v>
      </c>
      <c r="R422" s="60">
        <f t="shared" si="191"/>
        <v>2231624</v>
      </c>
      <c r="S422" s="58">
        <v>0</v>
      </c>
      <c r="T422" s="58">
        <v>0</v>
      </c>
      <c r="U422" s="58">
        <v>0</v>
      </c>
      <c r="V422" s="58">
        <f>SUMIF('JUNE (물량흐름)'!$C$13:$C$493,'In-out-bal products (155)(완성제품)'!B422,'JUNE (물량흐름)'!$W$13:$W$493)</f>
        <v>4127</v>
      </c>
      <c r="W422" s="58">
        <f t="shared" si="192"/>
        <v>34332.677247395201</v>
      </c>
      <c r="X422" s="58">
        <f t="shared" si="193"/>
        <v>141690959</v>
      </c>
      <c r="Y422" s="58">
        <f>SUMIF('JUNE (물량흐름)'!$C$13:$C$488,'In-out-bal products (155)(완성제품)'!B422,'JUNE (물량흐름)'!$X$13:$X$488)</f>
        <v>0</v>
      </c>
      <c r="Z422" s="58">
        <f t="shared" si="194"/>
        <v>0</v>
      </c>
      <c r="AA422" s="58">
        <f t="shared" si="195"/>
        <v>0</v>
      </c>
      <c r="AB422" s="58"/>
      <c r="AC422" s="58"/>
      <c r="AD422" s="61"/>
      <c r="AE422" s="58">
        <f t="shared" si="196"/>
        <v>0</v>
      </c>
      <c r="AF422" s="58">
        <f t="shared" si="197"/>
        <v>0</v>
      </c>
      <c r="AG422" s="61">
        <f t="shared" si="198"/>
        <v>0</v>
      </c>
      <c r="AH422" s="58">
        <v>0</v>
      </c>
      <c r="AI422" s="58">
        <v>0</v>
      </c>
      <c r="AJ422" s="61">
        <v>0</v>
      </c>
      <c r="AK422" s="58"/>
      <c r="AL422" s="58"/>
      <c r="AM422" s="61"/>
      <c r="AN422" s="61">
        <f t="shared" si="215"/>
        <v>4127</v>
      </c>
      <c r="AO422" s="58">
        <f t="shared" si="199"/>
        <v>34332.677247395201</v>
      </c>
      <c r="AP422" s="61">
        <f t="shared" si="200"/>
        <v>141690959</v>
      </c>
      <c r="AQ422" s="58">
        <f t="shared" si="201"/>
        <v>69</v>
      </c>
      <c r="AR422" s="58">
        <f t="shared" si="202"/>
        <v>34332.681159420288</v>
      </c>
      <c r="AS422" s="58">
        <f t="shared" si="203"/>
        <v>2368955</v>
      </c>
      <c r="AT422" s="58">
        <f>ROUND(SUMIF('JUNE (물량흐름)'!$C$13:$C$502,'In-out-bal products (155)(완성제품)'!B422,'JUNE (물량흐름)'!$AB$13:$AB$502),0)</f>
        <v>0</v>
      </c>
      <c r="AU422" s="58">
        <f t="shared" si="204"/>
        <v>0</v>
      </c>
      <c r="AV422" s="58">
        <f>ROUND(SUMIF('JUNE (물량흐름)'!$C$13:$C$502,'In-out-bal products (155)(완성제품)'!B422,'JUNE (물량흐름)'!$AC$13:$AC$502),0)</f>
        <v>69</v>
      </c>
      <c r="AW422" s="58">
        <f t="shared" si="205"/>
        <v>2368955</v>
      </c>
      <c r="AX422" s="376">
        <f t="shared" si="206"/>
        <v>0</v>
      </c>
      <c r="AY422" s="377">
        <f t="shared" si="207"/>
        <v>0</v>
      </c>
      <c r="AZ422" s="377">
        <f t="shared" si="208"/>
        <v>0</v>
      </c>
      <c r="BA422" s="377">
        <f t="shared" si="209"/>
        <v>0</v>
      </c>
      <c r="BB422" s="377"/>
      <c r="BC422" s="377">
        <f t="shared" si="210"/>
        <v>0</v>
      </c>
      <c r="BD422" s="377">
        <f t="shared" si="211"/>
        <v>0</v>
      </c>
      <c r="BE422" s="377"/>
      <c r="BF422" s="377">
        <f t="shared" si="212"/>
        <v>0</v>
      </c>
      <c r="BG422" s="433">
        <f t="shared" si="213"/>
        <v>141690959</v>
      </c>
      <c r="BH422" s="434">
        <f t="shared" si="214"/>
        <v>0</v>
      </c>
    </row>
    <row r="423" spans="1:60" s="378" customFormat="1">
      <c r="A423" s="167">
        <v>433</v>
      </c>
      <c r="B423" s="253">
        <f>VLOOKUP(A423,'JUNE (물량흐름)'!$A$13:$C$493,3,0)</f>
        <v>100034267</v>
      </c>
      <c r="C423" s="57" t="str">
        <f>VLOOKUP(A423,'JUNE (물량흐름)'!$A$13:$C$493,2,0)</f>
        <v>BAR III</v>
      </c>
      <c r="D423" s="58">
        <f>IFERROR(VLOOKUP(B423,O.B.JUNE!$V$7:$Y$448,2,0),0)</f>
        <v>0</v>
      </c>
      <c r="E423" s="58">
        <f>IFERROR(VLOOKUP(B423,O.B.JUNE!$V$7:$X$448,3,0),0)</f>
        <v>0</v>
      </c>
      <c r="F423" s="58">
        <f>IFERROR(VLOOKUP(B423,O.B.JUNE!$V$7:$Y$448,4,0),0)</f>
        <v>0</v>
      </c>
      <c r="G423" s="58">
        <f>SUMIF('JUNE (물량흐름)'!$C$13:$C$493,'In-out-bal products (155)(완성제품)'!B423,'JUNE (물량흐름)'!$V$13:$V$493)</f>
        <v>0</v>
      </c>
      <c r="H423" s="58">
        <f>SUMIF('JUNE (물량흐름)'!$C$13:$C$493,'In-out-bal products (155)(완성제품)'!B423,'JUNE (물량흐름)'!$T$13:$T$493)-SUMIF('JUNE (물량흐름)'!$C$13:$C$493,'In-out-bal products (155)(완성제품)'!B423,'JUNE (물량흐름)'!$Y$13:$Y$493)+SUMIF('JUNE (물량흐름)'!$C$13:$C$493,'In-out-bal products (155)(완성제품)'!B423,'JUNE (물량흐름)'!$U$13:$U$493)</f>
        <v>2170</v>
      </c>
      <c r="I423" s="58">
        <f t="shared" si="186"/>
        <v>60028.826728110602</v>
      </c>
      <c r="J423" s="58">
        <f>SUMIF('Direct labour(직접노무비)'!$C$12:$C$503,'In-out-bal products (155)(완성제품)'!B423,'Direct labour(직접노무비)'!$Q$12:$Q$503)</f>
        <v>44100911</v>
      </c>
      <c r="K423" s="59">
        <f>SUMIF('Overhead exp(제조경비)'!$C$12:$C$503,'In-out-bal products (155)(완성제품)'!B423,'Overhead exp(제조경비)'!$Q$12:$Q$503)</f>
        <v>86161643</v>
      </c>
      <c r="L423" s="58">
        <f t="shared" si="187"/>
        <v>130262554</v>
      </c>
      <c r="M423" s="58">
        <f>SUMIF('JUNE (물량흐름)'!$C$13:$C$488,'In-out-bal products (155)(완성제품)'!B423,'JUNE (물량흐름)'!$Y$13:$Y$488)</f>
        <v>0</v>
      </c>
      <c r="N423" s="58">
        <f t="shared" si="188"/>
        <v>0</v>
      </c>
      <c r="O423" s="58">
        <f>SUMIF('Direct labour(직접노무비)'!$C$12:$C$503,'In-out-bal products (155)(완성제품)'!B423,'Direct labour(직접노무비)'!$U$12:$U$503)+SUMIF('Overhead exp(제조경비)'!$C$12:$C$503,'In-out-bal products (155)(완성제품)'!B423,'Overhead exp(제조경비)'!$U$12:$U$503)</f>
        <v>0</v>
      </c>
      <c r="P423" s="60">
        <f t="shared" si="189"/>
        <v>2170</v>
      </c>
      <c r="Q423" s="60">
        <f t="shared" si="190"/>
        <v>60028.826728110602</v>
      </c>
      <c r="R423" s="60">
        <f t="shared" si="191"/>
        <v>130262554</v>
      </c>
      <c r="S423" s="58">
        <v>0</v>
      </c>
      <c r="T423" s="58">
        <v>0</v>
      </c>
      <c r="U423" s="58">
        <v>0</v>
      </c>
      <c r="V423" s="58">
        <f>SUMIF('JUNE (물량흐름)'!$C$13:$C$493,'In-out-bal products (155)(완성제품)'!B423,'JUNE (물량흐름)'!$W$13:$W$493)</f>
        <v>2160</v>
      </c>
      <c r="W423" s="58">
        <f t="shared" si="192"/>
        <v>60028.826851851853</v>
      </c>
      <c r="X423" s="58">
        <f t="shared" si="193"/>
        <v>129662266</v>
      </c>
      <c r="Y423" s="58">
        <f>SUMIF('JUNE (물량흐름)'!$C$13:$C$488,'In-out-bal products (155)(완성제품)'!B423,'JUNE (물량흐름)'!$X$13:$X$488)</f>
        <v>0</v>
      </c>
      <c r="Z423" s="58">
        <f t="shared" si="194"/>
        <v>0</v>
      </c>
      <c r="AA423" s="58">
        <f t="shared" si="195"/>
        <v>0</v>
      </c>
      <c r="AB423" s="58"/>
      <c r="AC423" s="58"/>
      <c r="AD423" s="61"/>
      <c r="AE423" s="58">
        <f t="shared" si="196"/>
        <v>0</v>
      </c>
      <c r="AF423" s="58">
        <f t="shared" si="197"/>
        <v>0</v>
      </c>
      <c r="AG423" s="61">
        <f t="shared" si="198"/>
        <v>0</v>
      </c>
      <c r="AH423" s="58">
        <v>0</v>
      </c>
      <c r="AI423" s="58">
        <v>0</v>
      </c>
      <c r="AJ423" s="61">
        <v>0</v>
      </c>
      <c r="AK423" s="58"/>
      <c r="AL423" s="58"/>
      <c r="AM423" s="61"/>
      <c r="AN423" s="61">
        <f t="shared" si="215"/>
        <v>2160</v>
      </c>
      <c r="AO423" s="58">
        <f t="shared" si="199"/>
        <v>60028.826851851853</v>
      </c>
      <c r="AP423" s="61">
        <f t="shared" si="200"/>
        <v>129662266</v>
      </c>
      <c r="AQ423" s="58">
        <f t="shared" si="201"/>
        <v>10</v>
      </c>
      <c r="AR423" s="58">
        <f t="shared" si="202"/>
        <v>60028.800000000003</v>
      </c>
      <c r="AS423" s="58">
        <f t="shared" si="203"/>
        <v>600288</v>
      </c>
      <c r="AT423" s="58">
        <f>ROUND(SUMIF('JUNE (물량흐름)'!$C$13:$C$502,'In-out-bal products (155)(완성제품)'!B423,'JUNE (물량흐름)'!$AB$13:$AB$502),0)</f>
        <v>10</v>
      </c>
      <c r="AU423" s="58">
        <f t="shared" si="204"/>
        <v>600288</v>
      </c>
      <c r="AV423" s="58">
        <f>ROUND(SUMIF('JUNE (물량흐름)'!$C$13:$C$502,'In-out-bal products (155)(완성제품)'!B423,'JUNE (물량흐름)'!$AC$13:$AC$502),0)</f>
        <v>0</v>
      </c>
      <c r="AW423" s="58">
        <f t="shared" si="205"/>
        <v>0</v>
      </c>
      <c r="AX423" s="376">
        <f t="shared" si="206"/>
        <v>0</v>
      </c>
      <c r="AY423" s="377">
        <f t="shared" si="207"/>
        <v>0</v>
      </c>
      <c r="AZ423" s="377">
        <f t="shared" si="208"/>
        <v>0</v>
      </c>
      <c r="BA423" s="377">
        <f t="shared" si="209"/>
        <v>0</v>
      </c>
      <c r="BB423" s="377"/>
      <c r="BC423" s="377">
        <f t="shared" si="210"/>
        <v>0</v>
      </c>
      <c r="BD423" s="377">
        <f t="shared" si="211"/>
        <v>0</v>
      </c>
      <c r="BE423" s="377"/>
      <c r="BF423" s="377">
        <f t="shared" si="212"/>
        <v>0</v>
      </c>
      <c r="BG423" s="433">
        <f t="shared" si="213"/>
        <v>129662266</v>
      </c>
      <c r="BH423" s="434">
        <f t="shared" si="214"/>
        <v>0</v>
      </c>
    </row>
    <row r="424" spans="1:60" s="378" customFormat="1">
      <c r="A424" s="167">
        <v>434</v>
      </c>
      <c r="B424" s="253">
        <f>VLOOKUP(A424,'JUNE (물량흐름)'!$A$13:$C$493,3,0)</f>
        <v>183034591</v>
      </c>
      <c r="C424" s="57" t="str">
        <f>VLOOKUP(A424,'JUNE (물량흐름)'!$A$13:$C$493,2,0)</f>
        <v>TALBOTS</v>
      </c>
      <c r="D424" s="58">
        <f>IFERROR(VLOOKUP(B424,O.B.JUNE!$V$7:$Y$448,2,0),0)</f>
        <v>4188</v>
      </c>
      <c r="E424" s="58">
        <f>IFERROR(VLOOKUP(B424,O.B.JUNE!$V$7:$X$448,3,0),0)</f>
        <v>102490.39923591213</v>
      </c>
      <c r="F424" s="58">
        <f>IFERROR(VLOOKUP(B424,O.B.JUNE!$V$7:$Y$448,4,0),0)</f>
        <v>429229792</v>
      </c>
      <c r="G424" s="58">
        <f>SUMIF('JUNE (물량흐름)'!$C$13:$C$493,'In-out-bal products (155)(완성제품)'!B424,'JUNE (물량흐름)'!$V$13:$V$493)</f>
        <v>0</v>
      </c>
      <c r="H424" s="58">
        <f>SUMIF('JUNE (물량흐름)'!$C$13:$C$493,'In-out-bal products (155)(완성제품)'!B424,'JUNE (물량흐름)'!$T$13:$T$493)-SUMIF('JUNE (물량흐름)'!$C$13:$C$493,'In-out-bal products (155)(완성제품)'!B424,'JUNE (물량흐름)'!$Y$13:$Y$493)+SUMIF('JUNE (물량흐름)'!$C$13:$C$493,'In-out-bal products (155)(완성제품)'!B424,'JUNE (물량흐름)'!$U$13:$U$493)</f>
        <v>0</v>
      </c>
      <c r="I424" s="58">
        <f t="shared" si="186"/>
        <v>0</v>
      </c>
      <c r="J424" s="58">
        <f>SUMIF('Direct labour(직접노무비)'!$C$12:$C$503,'In-out-bal products (155)(완성제품)'!B424,'Direct labour(직접노무비)'!$Q$12:$Q$503)</f>
        <v>0</v>
      </c>
      <c r="K424" s="59">
        <f>SUMIF('Overhead exp(제조경비)'!$C$12:$C$503,'In-out-bal products (155)(완성제품)'!B424,'Overhead exp(제조경비)'!$Q$12:$Q$503)</f>
        <v>0</v>
      </c>
      <c r="L424" s="58">
        <f t="shared" si="187"/>
        <v>0</v>
      </c>
      <c r="M424" s="58">
        <f>SUMIF('JUNE (물량흐름)'!$C$13:$C$488,'In-out-bal products (155)(완성제품)'!B424,'JUNE (물량흐름)'!$Y$13:$Y$488)</f>
        <v>0</v>
      </c>
      <c r="N424" s="58">
        <f t="shared" si="188"/>
        <v>0</v>
      </c>
      <c r="O424" s="58">
        <f>SUMIF('Direct labour(직접노무비)'!$C$12:$C$503,'In-out-bal products (155)(완성제품)'!B424,'Direct labour(직접노무비)'!$U$12:$U$503)+SUMIF('Overhead exp(제조경비)'!$C$12:$C$503,'In-out-bal products (155)(완성제품)'!B424,'Overhead exp(제조경비)'!$U$12:$U$503)</f>
        <v>0</v>
      </c>
      <c r="P424" s="60">
        <f t="shared" si="189"/>
        <v>0</v>
      </c>
      <c r="Q424" s="60">
        <f t="shared" si="190"/>
        <v>0</v>
      </c>
      <c r="R424" s="60">
        <f t="shared" si="191"/>
        <v>0</v>
      </c>
      <c r="S424" s="58">
        <v>0</v>
      </c>
      <c r="T424" s="58">
        <v>0</v>
      </c>
      <c r="U424" s="58">
        <v>0</v>
      </c>
      <c r="V424" s="58">
        <f>SUMIF('JUNE (물량흐름)'!$C$13:$C$493,'In-out-bal products (155)(완성제품)'!B424,'JUNE (물량흐름)'!$W$13:$W$493)</f>
        <v>4130</v>
      </c>
      <c r="W424" s="58">
        <f t="shared" si="192"/>
        <v>102490.39927360775</v>
      </c>
      <c r="X424" s="58">
        <f t="shared" si="193"/>
        <v>423285349</v>
      </c>
      <c r="Y424" s="58">
        <f>SUMIF('JUNE (물량흐름)'!$C$13:$C$488,'In-out-bal products (155)(완성제품)'!B424,'JUNE (물량흐름)'!$X$13:$X$488)</f>
        <v>0</v>
      </c>
      <c r="Z424" s="58">
        <f t="shared" si="194"/>
        <v>0</v>
      </c>
      <c r="AA424" s="58">
        <f t="shared" si="195"/>
        <v>0</v>
      </c>
      <c r="AB424" s="58"/>
      <c r="AC424" s="58"/>
      <c r="AD424" s="61"/>
      <c r="AE424" s="58">
        <f t="shared" si="196"/>
        <v>0</v>
      </c>
      <c r="AF424" s="58">
        <f t="shared" si="197"/>
        <v>0</v>
      </c>
      <c r="AG424" s="61">
        <f t="shared" si="198"/>
        <v>0</v>
      </c>
      <c r="AH424" s="58">
        <v>0</v>
      </c>
      <c r="AI424" s="58">
        <v>0</v>
      </c>
      <c r="AJ424" s="61">
        <v>0</v>
      </c>
      <c r="AK424" s="58"/>
      <c r="AL424" s="58"/>
      <c r="AM424" s="61"/>
      <c r="AN424" s="61">
        <f t="shared" si="215"/>
        <v>4130</v>
      </c>
      <c r="AO424" s="58">
        <f t="shared" si="199"/>
        <v>102490.39927360775</v>
      </c>
      <c r="AP424" s="61">
        <f t="shared" si="200"/>
        <v>423285349</v>
      </c>
      <c r="AQ424" s="58">
        <f t="shared" si="201"/>
        <v>58</v>
      </c>
      <c r="AR424" s="58">
        <f t="shared" si="202"/>
        <v>102490.39655172414</v>
      </c>
      <c r="AS424" s="58">
        <f t="shared" si="203"/>
        <v>5944443</v>
      </c>
      <c r="AT424" s="58">
        <f>ROUND(SUMIF('JUNE (물량흐름)'!$C$13:$C$502,'In-out-bal products (155)(완성제품)'!B424,'JUNE (물량흐름)'!$AB$13:$AB$502),0)</f>
        <v>0</v>
      </c>
      <c r="AU424" s="58">
        <f t="shared" si="204"/>
        <v>0</v>
      </c>
      <c r="AV424" s="58">
        <f>ROUND(SUMIF('JUNE (물량흐름)'!$C$13:$C$502,'In-out-bal products (155)(완성제품)'!B424,'JUNE (물량흐름)'!$AC$13:$AC$502),0)</f>
        <v>58</v>
      </c>
      <c r="AW424" s="58">
        <f t="shared" si="205"/>
        <v>5944443</v>
      </c>
      <c r="AX424" s="376">
        <f t="shared" si="206"/>
        <v>0</v>
      </c>
      <c r="AY424" s="377">
        <f t="shared" si="207"/>
        <v>0</v>
      </c>
      <c r="AZ424" s="377">
        <f t="shared" si="208"/>
        <v>0</v>
      </c>
      <c r="BA424" s="377">
        <f t="shared" si="209"/>
        <v>0</v>
      </c>
      <c r="BB424" s="377"/>
      <c r="BC424" s="377">
        <f t="shared" si="210"/>
        <v>0</v>
      </c>
      <c r="BD424" s="377">
        <f t="shared" si="211"/>
        <v>0</v>
      </c>
      <c r="BE424" s="377"/>
      <c r="BF424" s="377">
        <f t="shared" si="212"/>
        <v>0</v>
      </c>
      <c r="BG424" s="433">
        <f t="shared" si="213"/>
        <v>423285349</v>
      </c>
      <c r="BH424" s="434">
        <f t="shared" si="214"/>
        <v>0</v>
      </c>
    </row>
    <row r="425" spans="1:60" s="378" customFormat="1">
      <c r="A425" s="167">
        <v>435</v>
      </c>
      <c r="B425" s="253" t="str">
        <f>VLOOKUP(A425,'JUNE (물량흐름)'!$A$13:$C$493,3,0)</f>
        <v xml:space="preserve">7X727 </v>
      </c>
      <c r="C425" s="57" t="str">
        <f>VLOOKUP(A425,'JUNE (물량흐름)'!$A$13:$C$493,2,0)</f>
        <v>ALFANI</v>
      </c>
      <c r="D425" s="58">
        <f>IFERROR(VLOOKUP(B425,O.B.JUNE!$V$7:$Y$448,2,0),0)</f>
        <v>0</v>
      </c>
      <c r="E425" s="58">
        <f>IFERROR(VLOOKUP(B425,O.B.JUNE!$V$7:$X$448,3,0),0)</f>
        <v>0</v>
      </c>
      <c r="F425" s="58">
        <f>IFERROR(VLOOKUP(B425,O.B.JUNE!$V$7:$Y$448,4,0),0)</f>
        <v>0</v>
      </c>
      <c r="G425" s="58">
        <f>SUMIF('JUNE (물량흐름)'!$C$13:$C$493,'In-out-bal products (155)(완성제품)'!B425,'JUNE (물량흐름)'!$V$13:$V$493)</f>
        <v>0</v>
      </c>
      <c r="H425" s="58">
        <f>SUMIF('JUNE (물량흐름)'!$C$13:$C$493,'In-out-bal products (155)(완성제품)'!B425,'JUNE (물량흐름)'!$T$13:$T$493)-SUMIF('JUNE (물량흐름)'!$C$13:$C$493,'In-out-bal products (155)(완성제품)'!B425,'JUNE (물량흐름)'!$Y$13:$Y$493)+SUMIF('JUNE (물량흐름)'!$C$13:$C$493,'In-out-bal products (155)(완성제품)'!B425,'JUNE (물량흐름)'!$U$13:$U$493)</f>
        <v>0</v>
      </c>
      <c r="I425" s="58">
        <f t="shared" si="186"/>
        <v>0</v>
      </c>
      <c r="J425" s="58">
        <f>SUMIF('Direct labour(직접노무비)'!$C$12:$C$503,'In-out-bal products (155)(완성제품)'!B425,'Direct labour(직접노무비)'!$Q$12:$Q$503)</f>
        <v>0</v>
      </c>
      <c r="K425" s="59">
        <f>SUMIF('Overhead exp(제조경비)'!$C$12:$C$503,'In-out-bal products (155)(완성제품)'!B425,'Overhead exp(제조경비)'!$Q$12:$Q$503)</f>
        <v>0</v>
      </c>
      <c r="L425" s="58">
        <f t="shared" si="187"/>
        <v>0</v>
      </c>
      <c r="M425" s="58">
        <f>SUMIF('JUNE (물량흐름)'!$C$13:$C$488,'In-out-bal products (155)(완성제품)'!B425,'JUNE (물량흐름)'!$Y$13:$Y$488)</f>
        <v>0</v>
      </c>
      <c r="N425" s="58">
        <f t="shared" si="188"/>
        <v>0</v>
      </c>
      <c r="O425" s="58">
        <f>SUMIF('Direct labour(직접노무비)'!$C$12:$C$503,'In-out-bal products (155)(완성제품)'!B425,'Direct labour(직접노무비)'!$U$12:$U$503)+SUMIF('Overhead exp(제조경비)'!$C$12:$C$503,'In-out-bal products (155)(완성제품)'!B425,'Overhead exp(제조경비)'!$U$12:$U$503)</f>
        <v>0</v>
      </c>
      <c r="P425" s="60">
        <f t="shared" si="189"/>
        <v>0</v>
      </c>
      <c r="Q425" s="60">
        <f t="shared" si="190"/>
        <v>0</v>
      </c>
      <c r="R425" s="60">
        <f t="shared" si="191"/>
        <v>0</v>
      </c>
      <c r="S425" s="58">
        <v>0</v>
      </c>
      <c r="T425" s="58">
        <v>0</v>
      </c>
      <c r="U425" s="58">
        <v>0</v>
      </c>
      <c r="V425" s="58">
        <f>SUMIF('JUNE (물량흐름)'!$C$13:$C$493,'In-out-bal products (155)(완성제품)'!B425,'JUNE (물량흐름)'!$W$13:$W$493)</f>
        <v>0</v>
      </c>
      <c r="W425" s="58">
        <f t="shared" si="192"/>
        <v>0</v>
      </c>
      <c r="X425" s="58">
        <f t="shared" si="193"/>
        <v>0</v>
      </c>
      <c r="Y425" s="58">
        <f>SUMIF('JUNE (물량흐름)'!$C$13:$C$488,'In-out-bal products (155)(완성제품)'!B425,'JUNE (물량흐름)'!$X$13:$X$488)</f>
        <v>0</v>
      </c>
      <c r="Z425" s="58">
        <f t="shared" si="194"/>
        <v>0</v>
      </c>
      <c r="AA425" s="58">
        <f t="shared" si="195"/>
        <v>0</v>
      </c>
      <c r="AB425" s="58"/>
      <c r="AC425" s="58"/>
      <c r="AD425" s="61"/>
      <c r="AE425" s="58">
        <f t="shared" si="196"/>
        <v>0</v>
      </c>
      <c r="AF425" s="58">
        <f t="shared" si="197"/>
        <v>0</v>
      </c>
      <c r="AG425" s="61">
        <f t="shared" si="198"/>
        <v>0</v>
      </c>
      <c r="AH425" s="58">
        <v>0</v>
      </c>
      <c r="AI425" s="58">
        <v>0</v>
      </c>
      <c r="AJ425" s="61">
        <v>0</v>
      </c>
      <c r="AK425" s="58"/>
      <c r="AL425" s="58"/>
      <c r="AM425" s="61"/>
      <c r="AN425" s="61">
        <f t="shared" si="215"/>
        <v>0</v>
      </c>
      <c r="AO425" s="58">
        <f t="shared" si="199"/>
        <v>0</v>
      </c>
      <c r="AP425" s="61">
        <f t="shared" si="200"/>
        <v>0</v>
      </c>
      <c r="AQ425" s="58">
        <f t="shared" si="201"/>
        <v>0</v>
      </c>
      <c r="AR425" s="58">
        <f t="shared" si="202"/>
        <v>0</v>
      </c>
      <c r="AS425" s="58">
        <f t="shared" si="203"/>
        <v>0</v>
      </c>
      <c r="AT425" s="58">
        <f>ROUND(SUMIF('JUNE (물량흐름)'!$C$13:$C$502,'In-out-bal products (155)(완성제품)'!B425,'JUNE (물량흐름)'!$AB$13:$AB$502),0)</f>
        <v>0</v>
      </c>
      <c r="AU425" s="58">
        <f t="shared" si="204"/>
        <v>0</v>
      </c>
      <c r="AV425" s="58">
        <f>ROUND(SUMIF('JUNE (물량흐름)'!$C$13:$C$502,'In-out-bal products (155)(완성제품)'!B425,'JUNE (물량흐름)'!$AC$13:$AC$502),0)</f>
        <v>0</v>
      </c>
      <c r="AW425" s="58">
        <f t="shared" si="205"/>
        <v>0</v>
      </c>
      <c r="AX425" s="376">
        <f t="shared" si="206"/>
        <v>0</v>
      </c>
      <c r="AY425" s="377">
        <f t="shared" si="207"/>
        <v>0</v>
      </c>
      <c r="AZ425" s="377">
        <f t="shared" si="208"/>
        <v>0</v>
      </c>
      <c r="BA425" s="377">
        <f t="shared" si="209"/>
        <v>0</v>
      </c>
      <c r="BB425" s="377"/>
      <c r="BC425" s="377">
        <f t="shared" si="210"/>
        <v>0</v>
      </c>
      <c r="BD425" s="377">
        <f t="shared" si="211"/>
        <v>0</v>
      </c>
      <c r="BE425" s="377"/>
      <c r="BF425" s="377">
        <f t="shared" si="212"/>
        <v>0</v>
      </c>
      <c r="BG425" s="433">
        <f t="shared" si="213"/>
        <v>0</v>
      </c>
      <c r="BH425" s="434">
        <f t="shared" si="214"/>
        <v>0</v>
      </c>
    </row>
    <row r="426" spans="1:60" s="378" customFormat="1">
      <c r="A426" s="167">
        <v>436</v>
      </c>
      <c r="B426" s="253" t="str">
        <f>VLOOKUP(A426,'JUNE (물량흐름)'!$A$13:$C$493,3,0)</f>
        <v>EESOQ-T4577</v>
      </c>
      <c r="C426" s="57" t="str">
        <f>VLOOKUP(A426,'JUNE (물량흐름)'!$A$13:$C$493,2,0)</f>
        <v>EILEEN FISHER</v>
      </c>
      <c r="D426" s="58">
        <f>IFERROR(VLOOKUP(B426,O.B.JUNE!$V$7:$Y$448,2,0),0)</f>
        <v>437</v>
      </c>
      <c r="E426" s="58">
        <f>IFERROR(VLOOKUP(B426,O.B.JUNE!$V$7:$X$448,3,0),0)</f>
        <v>86862.624713958809</v>
      </c>
      <c r="F426" s="58">
        <f>IFERROR(VLOOKUP(B426,O.B.JUNE!$V$7:$Y$448,4,0),0)</f>
        <v>37958967</v>
      </c>
      <c r="G426" s="58">
        <f>SUMIF('JUNE (물량흐름)'!$C$13:$C$493,'In-out-bal products (155)(완성제품)'!B426,'JUNE (물량흐름)'!$V$13:$V$493)</f>
        <v>0</v>
      </c>
      <c r="H426" s="58">
        <f>SUMIF('JUNE (물량흐름)'!$C$13:$C$493,'In-out-bal products (155)(완성제품)'!B426,'JUNE (물량흐름)'!$T$13:$T$493)-SUMIF('JUNE (물량흐름)'!$C$13:$C$493,'In-out-bal products (155)(완성제품)'!B426,'JUNE (물량흐름)'!$Y$13:$Y$493)+SUMIF('JUNE (물량흐름)'!$C$13:$C$493,'In-out-bal products (155)(완성제품)'!B426,'JUNE (물량흐름)'!$U$13:$U$493)</f>
        <v>571</v>
      </c>
      <c r="I426" s="58">
        <f t="shared" si="186"/>
        <v>86862.625218914181</v>
      </c>
      <c r="J426" s="58">
        <f>SUMIF('Direct labour(직접노무비)'!$C$12:$C$503,'In-out-bal products (155)(완성제품)'!B426,'Direct labour(직접노무비)'!$Q$12:$Q$503)</f>
        <v>16791791</v>
      </c>
      <c r="K426" s="59">
        <f>SUMIF('Overhead exp(제조경비)'!$C$12:$C$503,'In-out-bal products (155)(완성제품)'!B426,'Overhead exp(제조경비)'!$Q$12:$Q$503)</f>
        <v>32806768</v>
      </c>
      <c r="L426" s="58">
        <f t="shared" si="187"/>
        <v>49598559</v>
      </c>
      <c r="M426" s="58">
        <f>SUMIF('JUNE (물량흐름)'!$C$13:$C$488,'In-out-bal products (155)(완성제품)'!B426,'JUNE (물량흐름)'!$Y$13:$Y$488)</f>
        <v>2</v>
      </c>
      <c r="N426" s="58">
        <f t="shared" si="188"/>
        <v>86862.5</v>
      </c>
      <c r="O426" s="58">
        <f>SUMIF('Direct labour(직접노무비)'!$C$12:$C$503,'In-out-bal products (155)(완성제품)'!B426,'Direct labour(직접노무비)'!$U$12:$U$503)+SUMIF('Overhead exp(제조경비)'!$C$12:$C$503,'In-out-bal products (155)(완성제품)'!B426,'Overhead exp(제조경비)'!$U$12:$U$503)</f>
        <v>173725</v>
      </c>
      <c r="P426" s="60">
        <f t="shared" si="189"/>
        <v>573</v>
      </c>
      <c r="Q426" s="60">
        <f t="shared" si="190"/>
        <v>86862.624781849911</v>
      </c>
      <c r="R426" s="60">
        <f t="shared" si="191"/>
        <v>49772284</v>
      </c>
      <c r="S426" s="58">
        <v>0</v>
      </c>
      <c r="T426" s="58">
        <v>0</v>
      </c>
      <c r="U426" s="58">
        <v>0</v>
      </c>
      <c r="V426" s="58">
        <f>SUMIF('JUNE (물량흐름)'!$C$13:$C$493,'In-out-bal products (155)(완성제품)'!B426,'JUNE (물량흐름)'!$W$13:$W$493)</f>
        <v>1008</v>
      </c>
      <c r="W426" s="58">
        <f t="shared" si="192"/>
        <v>86862.625</v>
      </c>
      <c r="X426" s="58">
        <f t="shared" si="193"/>
        <v>87557526</v>
      </c>
      <c r="Y426" s="58">
        <f>SUMIF('JUNE (물량흐름)'!$C$13:$C$488,'In-out-bal products (155)(완성제품)'!B426,'JUNE (물량흐름)'!$X$13:$X$488)</f>
        <v>0</v>
      </c>
      <c r="Z426" s="58">
        <f t="shared" si="194"/>
        <v>0</v>
      </c>
      <c r="AA426" s="58">
        <f t="shared" si="195"/>
        <v>0</v>
      </c>
      <c r="AB426" s="58"/>
      <c r="AC426" s="58"/>
      <c r="AD426" s="61"/>
      <c r="AE426" s="58">
        <f t="shared" si="196"/>
        <v>2</v>
      </c>
      <c r="AF426" s="58">
        <f t="shared" si="197"/>
        <v>86862.5</v>
      </c>
      <c r="AG426" s="61">
        <f t="shared" si="198"/>
        <v>173725</v>
      </c>
      <c r="AH426" s="58">
        <v>0</v>
      </c>
      <c r="AI426" s="58">
        <v>0</v>
      </c>
      <c r="AJ426" s="61">
        <v>0</v>
      </c>
      <c r="AK426" s="58"/>
      <c r="AL426" s="58"/>
      <c r="AM426" s="61"/>
      <c r="AN426" s="61">
        <f t="shared" si="215"/>
        <v>1010</v>
      </c>
      <c r="AO426" s="58">
        <f t="shared" si="199"/>
        <v>86862.624752475254</v>
      </c>
      <c r="AP426" s="61">
        <f t="shared" si="200"/>
        <v>87731251</v>
      </c>
      <c r="AQ426" s="58">
        <f t="shared" si="201"/>
        <v>0</v>
      </c>
      <c r="AR426" s="58">
        <f t="shared" si="202"/>
        <v>0</v>
      </c>
      <c r="AS426" s="58">
        <f t="shared" si="203"/>
        <v>0</v>
      </c>
      <c r="AT426" s="58">
        <f>ROUND(SUMIF('JUNE (물량흐름)'!$C$13:$C$502,'In-out-bal products (155)(완성제품)'!B426,'JUNE (물량흐름)'!$AB$13:$AB$502),0)</f>
        <v>0</v>
      </c>
      <c r="AU426" s="58">
        <f t="shared" si="204"/>
        <v>0</v>
      </c>
      <c r="AV426" s="58">
        <f>ROUND(SUMIF('JUNE (물량흐름)'!$C$13:$C$502,'In-out-bal products (155)(완성제품)'!B426,'JUNE (물량흐름)'!$AC$13:$AC$502),0)</f>
        <v>0</v>
      </c>
      <c r="AW426" s="58">
        <f t="shared" si="205"/>
        <v>0</v>
      </c>
      <c r="AX426" s="376">
        <f t="shared" si="206"/>
        <v>0</v>
      </c>
      <c r="AY426" s="377">
        <f t="shared" si="207"/>
        <v>0</v>
      </c>
      <c r="AZ426" s="377">
        <f t="shared" si="208"/>
        <v>0</v>
      </c>
      <c r="BA426" s="377">
        <f t="shared" si="209"/>
        <v>0</v>
      </c>
      <c r="BB426" s="377"/>
      <c r="BC426" s="377">
        <f t="shared" si="210"/>
        <v>0</v>
      </c>
      <c r="BD426" s="377">
        <f t="shared" si="211"/>
        <v>0</v>
      </c>
      <c r="BE426" s="377"/>
      <c r="BF426" s="377">
        <f t="shared" si="212"/>
        <v>0</v>
      </c>
      <c r="BG426" s="433">
        <f t="shared" si="213"/>
        <v>87731251</v>
      </c>
      <c r="BH426" s="434">
        <f t="shared" si="214"/>
        <v>0</v>
      </c>
    </row>
    <row r="427" spans="1:60" s="378" customFormat="1">
      <c r="A427" s="167">
        <v>437</v>
      </c>
      <c r="B427" s="253" t="str">
        <f>VLOOKUP(A427,'JUNE (물량흐름)'!$A$13:$C$493,3,0)</f>
        <v>F8SOQ-T4578M</v>
      </c>
      <c r="C427" s="57" t="str">
        <f>VLOOKUP(A427,'JUNE (물량흐름)'!$A$13:$C$493,2,0)</f>
        <v>EILEEN FISHER</v>
      </c>
      <c r="D427" s="58">
        <f>IFERROR(VLOOKUP(B427,O.B.JUNE!$V$7:$Y$448,2,0),0)</f>
        <v>1171</v>
      </c>
      <c r="E427" s="58">
        <f>IFERROR(VLOOKUP(B427,O.B.JUNE!$V$7:$X$448,3,0),0)</f>
        <v>97523.01878736123</v>
      </c>
      <c r="F427" s="58">
        <f>IFERROR(VLOOKUP(B427,O.B.JUNE!$V$7:$Y$448,4,0),0)</f>
        <v>114199455</v>
      </c>
      <c r="G427" s="58">
        <f>SUMIF('JUNE (물량흐름)'!$C$13:$C$493,'In-out-bal products (155)(완성제품)'!B427,'JUNE (물량흐름)'!$V$13:$V$493)</f>
        <v>0</v>
      </c>
      <c r="H427" s="58">
        <f>SUMIF('JUNE (물량흐름)'!$C$13:$C$493,'In-out-bal products (155)(완성제품)'!B427,'JUNE (물량흐름)'!$T$13:$T$493)-SUMIF('JUNE (물량흐름)'!$C$13:$C$493,'In-out-bal products (155)(완성제품)'!B427,'JUNE (물량흐름)'!$Y$13:$Y$493)+SUMIF('JUNE (물량흐름)'!$C$13:$C$493,'In-out-bal products (155)(완성제품)'!B427,'JUNE (물량흐름)'!$U$13:$U$493)</f>
        <v>62</v>
      </c>
      <c r="I427" s="58">
        <f t="shared" si="186"/>
        <v>97523.016129032258</v>
      </c>
      <c r="J427" s="58">
        <f>SUMIF('Direct labour(직접노무비)'!$C$12:$C$503,'In-out-bal products (155)(완성제품)'!B427,'Direct labour(직접노무비)'!$Q$12:$Q$503)</f>
        <v>2047042</v>
      </c>
      <c r="K427" s="59">
        <f>SUMIF('Overhead exp(제조경비)'!$C$12:$C$503,'In-out-bal products (155)(완성제품)'!B427,'Overhead exp(제조경비)'!$Q$12:$Q$503)</f>
        <v>3999385</v>
      </c>
      <c r="L427" s="58">
        <f t="shared" si="187"/>
        <v>6046427</v>
      </c>
      <c r="M427" s="58">
        <f>SUMIF('JUNE (물량흐름)'!$C$13:$C$488,'In-out-bal products (155)(완성제품)'!B427,'JUNE (물량흐름)'!$Y$13:$Y$488)</f>
        <v>2</v>
      </c>
      <c r="N427" s="58">
        <f t="shared" si="188"/>
        <v>97523</v>
      </c>
      <c r="O427" s="58">
        <f>SUMIF('Direct labour(직접노무비)'!$C$12:$C$503,'In-out-bal products (155)(완성제품)'!B427,'Direct labour(직접노무비)'!$U$12:$U$503)+SUMIF('Overhead exp(제조경비)'!$C$12:$C$503,'In-out-bal products (155)(완성제품)'!B427,'Overhead exp(제조경비)'!$U$12:$U$503)</f>
        <v>195046</v>
      </c>
      <c r="P427" s="60">
        <f t="shared" si="189"/>
        <v>64</v>
      </c>
      <c r="Q427" s="60">
        <f t="shared" si="190"/>
        <v>97523.015625</v>
      </c>
      <c r="R427" s="60">
        <f t="shared" si="191"/>
        <v>6241473</v>
      </c>
      <c r="S427" s="58">
        <v>0</v>
      </c>
      <c r="T427" s="58">
        <v>0</v>
      </c>
      <c r="U427" s="58">
        <v>0</v>
      </c>
      <c r="V427" s="58">
        <f>SUMIF('JUNE (물량흐름)'!$C$13:$C$493,'In-out-bal products (155)(완성제품)'!B427,'JUNE (물량흐름)'!$W$13:$W$493)</f>
        <v>1233</v>
      </c>
      <c r="W427" s="58">
        <f t="shared" si="192"/>
        <v>97523.018653690189</v>
      </c>
      <c r="X427" s="58">
        <f t="shared" si="193"/>
        <v>120245882</v>
      </c>
      <c r="Y427" s="58">
        <f>SUMIF('JUNE (물량흐름)'!$C$13:$C$488,'In-out-bal products (155)(완성제품)'!B427,'JUNE (물량흐름)'!$X$13:$X$488)</f>
        <v>0</v>
      </c>
      <c r="Z427" s="58">
        <f t="shared" si="194"/>
        <v>0</v>
      </c>
      <c r="AA427" s="58">
        <f t="shared" si="195"/>
        <v>0</v>
      </c>
      <c r="AB427" s="58"/>
      <c r="AC427" s="58"/>
      <c r="AD427" s="61"/>
      <c r="AE427" s="58">
        <f t="shared" si="196"/>
        <v>2</v>
      </c>
      <c r="AF427" s="58">
        <f t="shared" si="197"/>
        <v>97523</v>
      </c>
      <c r="AG427" s="61">
        <f t="shared" si="198"/>
        <v>195046</v>
      </c>
      <c r="AH427" s="58">
        <v>0</v>
      </c>
      <c r="AI427" s="58">
        <v>0</v>
      </c>
      <c r="AJ427" s="61">
        <v>0</v>
      </c>
      <c r="AK427" s="58"/>
      <c r="AL427" s="58"/>
      <c r="AM427" s="61"/>
      <c r="AN427" s="61">
        <f t="shared" si="215"/>
        <v>1235</v>
      </c>
      <c r="AO427" s="58">
        <f t="shared" si="199"/>
        <v>97523.018623481781</v>
      </c>
      <c r="AP427" s="61">
        <f t="shared" si="200"/>
        <v>120440928</v>
      </c>
      <c r="AQ427" s="58">
        <f t="shared" si="201"/>
        <v>0</v>
      </c>
      <c r="AR427" s="58">
        <f t="shared" si="202"/>
        <v>0</v>
      </c>
      <c r="AS427" s="58">
        <f t="shared" si="203"/>
        <v>0</v>
      </c>
      <c r="AT427" s="58">
        <f>ROUND(SUMIF('JUNE (물량흐름)'!$C$13:$C$502,'In-out-bal products (155)(완성제품)'!B427,'JUNE (물량흐름)'!$AB$13:$AB$502),0)</f>
        <v>0</v>
      </c>
      <c r="AU427" s="58">
        <f t="shared" si="204"/>
        <v>0</v>
      </c>
      <c r="AV427" s="58">
        <f>ROUND(SUMIF('JUNE (물량흐름)'!$C$13:$C$502,'In-out-bal products (155)(완성제품)'!B427,'JUNE (물량흐름)'!$AC$13:$AC$502),0)</f>
        <v>0</v>
      </c>
      <c r="AW427" s="58">
        <f t="shared" si="205"/>
        <v>0</v>
      </c>
      <c r="AX427" s="376">
        <f t="shared" si="206"/>
        <v>0</v>
      </c>
      <c r="AY427" s="377">
        <f t="shared" si="207"/>
        <v>0</v>
      </c>
      <c r="AZ427" s="377">
        <f t="shared" si="208"/>
        <v>0</v>
      </c>
      <c r="BA427" s="377">
        <f t="shared" si="209"/>
        <v>0</v>
      </c>
      <c r="BB427" s="377"/>
      <c r="BC427" s="377">
        <f t="shared" si="210"/>
        <v>0</v>
      </c>
      <c r="BD427" s="377">
        <f t="shared" si="211"/>
        <v>0</v>
      </c>
      <c r="BE427" s="377"/>
      <c r="BF427" s="377">
        <f t="shared" si="212"/>
        <v>0</v>
      </c>
      <c r="BG427" s="433"/>
      <c r="BH427" s="434"/>
    </row>
    <row r="428" spans="1:60" s="378" customFormat="1">
      <c r="A428" s="167">
        <v>438</v>
      </c>
      <c r="B428" s="253">
        <f>VLOOKUP(A428,'JUNE (물량흐름)'!$A$13:$C$493,3,0)</f>
        <v>100034276</v>
      </c>
      <c r="C428" s="57" t="str">
        <f>VLOOKUP(A428,'JUNE (물량흐름)'!$A$13:$C$493,2,0)</f>
        <v>INC</v>
      </c>
      <c r="D428" s="58">
        <f>IFERROR(VLOOKUP(B428,O.B.JUNE!$V$7:$Y$448,2,0),0)</f>
        <v>4298</v>
      </c>
      <c r="E428" s="58">
        <f>IFERROR(VLOOKUP(B428,O.B.JUNE!$V$7:$X$448,3,0),0)</f>
        <v>39537.934853420193</v>
      </c>
      <c r="F428" s="58">
        <f>IFERROR(VLOOKUP(B428,O.B.JUNE!$V$7:$Y$448,4,0),0)</f>
        <v>169934044</v>
      </c>
      <c r="G428" s="58">
        <f>SUMIF('JUNE (물량흐름)'!$C$13:$C$493,'In-out-bal products (155)(완성제품)'!B428,'JUNE (물량흐름)'!$V$13:$V$493)</f>
        <v>0</v>
      </c>
      <c r="H428" s="58">
        <f>SUMIF('JUNE (물량흐름)'!$C$13:$C$493,'In-out-bal products (155)(완성제품)'!B428,'JUNE (물량흐름)'!$T$13:$T$493)-SUMIF('JUNE (물량흐름)'!$C$13:$C$493,'In-out-bal products (155)(완성제품)'!B428,'JUNE (물량흐름)'!$Y$13:$Y$493)+SUMIF('JUNE (물량흐름)'!$C$13:$C$493,'In-out-bal products (155)(완성제품)'!B428,'JUNE (물량흐름)'!$U$13:$U$493)</f>
        <v>1528</v>
      </c>
      <c r="I428" s="58">
        <f t="shared" si="186"/>
        <v>39537.934554973821</v>
      </c>
      <c r="J428" s="58">
        <f>SUMIF('Direct labour(직접노무비)'!$C$12:$C$503,'In-out-bal products (155)(완성제품)'!B428,'Direct labour(직접노무비)'!$Q$12:$Q$503)</f>
        <v>20453390</v>
      </c>
      <c r="K428" s="59">
        <f>SUMIF('Overhead exp(제조경비)'!$C$12:$C$503,'In-out-bal products (155)(완성제품)'!B428,'Overhead exp(제조경비)'!$Q$12:$Q$503)</f>
        <v>39960574</v>
      </c>
      <c r="L428" s="58">
        <f t="shared" si="187"/>
        <v>60413964</v>
      </c>
      <c r="M428" s="58">
        <f>SUMIF('JUNE (물량흐름)'!$C$13:$C$488,'In-out-bal products (155)(완성제품)'!B428,'JUNE (물량흐름)'!$Y$13:$Y$488)</f>
        <v>4</v>
      </c>
      <c r="N428" s="58">
        <f t="shared" si="188"/>
        <v>39538</v>
      </c>
      <c r="O428" s="58">
        <f>SUMIF('Direct labour(직접노무비)'!$C$12:$C$503,'In-out-bal products (155)(완성제품)'!B428,'Direct labour(직접노무비)'!$U$12:$U$503)+SUMIF('Overhead exp(제조경비)'!$C$12:$C$503,'In-out-bal products (155)(완성제품)'!B428,'Overhead exp(제조경비)'!$U$12:$U$503)</f>
        <v>158152</v>
      </c>
      <c r="P428" s="60">
        <f t="shared" si="189"/>
        <v>1532</v>
      </c>
      <c r="Q428" s="60">
        <f t="shared" si="190"/>
        <v>39537.934725848565</v>
      </c>
      <c r="R428" s="60">
        <f t="shared" si="191"/>
        <v>60572116</v>
      </c>
      <c r="S428" s="58">
        <v>0</v>
      </c>
      <c r="T428" s="58">
        <v>0</v>
      </c>
      <c r="U428" s="58">
        <v>0</v>
      </c>
      <c r="V428" s="58">
        <f>SUMIF('JUNE (물량흐름)'!$C$13:$C$493,'In-out-bal products (155)(완성제품)'!B428,'JUNE (물량흐름)'!$W$13:$W$493)</f>
        <v>5826</v>
      </c>
      <c r="W428" s="58">
        <f t="shared" si="192"/>
        <v>39537.934775145899</v>
      </c>
      <c r="X428" s="58">
        <f t="shared" si="193"/>
        <v>230348008</v>
      </c>
      <c r="Y428" s="58">
        <f>SUMIF('JUNE (물량흐름)'!$C$13:$C$488,'In-out-bal products (155)(완성제품)'!B428,'JUNE (물량흐름)'!$X$13:$X$488)</f>
        <v>0</v>
      </c>
      <c r="Z428" s="58">
        <f t="shared" si="194"/>
        <v>0</v>
      </c>
      <c r="AA428" s="58">
        <f t="shared" si="195"/>
        <v>0</v>
      </c>
      <c r="AB428" s="58"/>
      <c r="AC428" s="58"/>
      <c r="AD428" s="61"/>
      <c r="AE428" s="58">
        <f t="shared" si="196"/>
        <v>4</v>
      </c>
      <c r="AF428" s="58">
        <f t="shared" si="197"/>
        <v>39538</v>
      </c>
      <c r="AG428" s="61">
        <f t="shared" si="198"/>
        <v>158152</v>
      </c>
      <c r="AH428" s="58">
        <v>0</v>
      </c>
      <c r="AI428" s="58">
        <v>0</v>
      </c>
      <c r="AJ428" s="61">
        <v>0</v>
      </c>
      <c r="AK428" s="58"/>
      <c r="AL428" s="58"/>
      <c r="AM428" s="61"/>
      <c r="AN428" s="61">
        <f t="shared" si="215"/>
        <v>5830</v>
      </c>
      <c r="AO428" s="58">
        <f t="shared" si="199"/>
        <v>39537.934819897084</v>
      </c>
      <c r="AP428" s="61">
        <f t="shared" si="200"/>
        <v>230506160</v>
      </c>
      <c r="AQ428" s="58">
        <f t="shared" si="201"/>
        <v>0</v>
      </c>
      <c r="AR428" s="58">
        <f t="shared" si="202"/>
        <v>0</v>
      </c>
      <c r="AS428" s="58">
        <f t="shared" si="203"/>
        <v>0</v>
      </c>
      <c r="AT428" s="58">
        <f>ROUND(SUMIF('JUNE (물량흐름)'!$C$13:$C$502,'In-out-bal products (155)(완성제품)'!B428,'JUNE (물량흐름)'!$AB$13:$AB$502),0)</f>
        <v>0</v>
      </c>
      <c r="AU428" s="58">
        <f t="shared" si="204"/>
        <v>0</v>
      </c>
      <c r="AV428" s="58">
        <f>ROUND(SUMIF('JUNE (물량흐름)'!$C$13:$C$502,'In-out-bal products (155)(완성제품)'!B428,'JUNE (물량흐름)'!$AC$13:$AC$502),0)</f>
        <v>0</v>
      </c>
      <c r="AW428" s="58">
        <f t="shared" si="205"/>
        <v>0</v>
      </c>
      <c r="AX428" s="376">
        <f t="shared" si="206"/>
        <v>0</v>
      </c>
      <c r="AY428" s="377">
        <f t="shared" si="207"/>
        <v>0</v>
      </c>
      <c r="AZ428" s="377">
        <f t="shared" si="208"/>
        <v>0</v>
      </c>
      <c r="BA428" s="377">
        <f t="shared" si="209"/>
        <v>0</v>
      </c>
      <c r="BB428" s="377"/>
      <c r="BC428" s="377">
        <f t="shared" si="210"/>
        <v>0</v>
      </c>
      <c r="BD428" s="377">
        <f t="shared" si="211"/>
        <v>0</v>
      </c>
      <c r="BE428" s="377"/>
      <c r="BF428" s="377">
        <f t="shared" si="212"/>
        <v>0</v>
      </c>
      <c r="BG428" s="433"/>
      <c r="BH428" s="434"/>
    </row>
    <row r="429" spans="1:60" s="378" customFormat="1">
      <c r="A429" s="167">
        <v>439</v>
      </c>
      <c r="B429" s="253">
        <f>VLOOKUP(A429,'JUNE (물량흐름)'!$A$13:$C$493,3,0)</f>
        <v>183033602</v>
      </c>
      <c r="C429" s="57" t="str">
        <f>VLOOKUP(A429,'JUNE (물량흐름)'!$A$13:$C$493,2,0)</f>
        <v>TALBOTS</v>
      </c>
      <c r="D429" s="58">
        <f>IFERROR(VLOOKUP(B429,O.B.JUNE!$V$7:$Y$448,2,0),0)</f>
        <v>368</v>
      </c>
      <c r="E429" s="58">
        <f>IFERROR(VLOOKUP(B429,O.B.JUNE!$V$7:$X$448,3,0),0)</f>
        <v>16296.032608695652</v>
      </c>
      <c r="F429" s="58">
        <f>IFERROR(VLOOKUP(B429,O.B.JUNE!$V$7:$Y$448,4,0),0)</f>
        <v>5996940</v>
      </c>
      <c r="G429" s="58">
        <f>SUMIF('JUNE (물량흐름)'!$C$13:$C$493,'In-out-bal products (155)(완성제품)'!B429,'JUNE (물량흐름)'!$V$13:$V$493)</f>
        <v>0</v>
      </c>
      <c r="H429" s="58">
        <f>SUMIF('JUNE (물량흐름)'!$C$13:$C$493,'In-out-bal products (155)(완성제품)'!B429,'JUNE (물량흐름)'!$T$13:$T$493)-SUMIF('JUNE (물량흐름)'!$C$13:$C$493,'In-out-bal products (155)(완성제품)'!B429,'JUNE (물량흐름)'!$Y$13:$Y$493)+SUMIF('JUNE (물량흐름)'!$C$13:$C$493,'In-out-bal products (155)(완성제품)'!B429,'JUNE (물량흐름)'!$U$13:$U$493)</f>
        <v>34605</v>
      </c>
      <c r="I429" s="58">
        <f t="shared" si="186"/>
        <v>45628.746221644273</v>
      </c>
      <c r="J429" s="58">
        <f>SUMIF('Direct labour(직접노무비)'!$C$12:$C$503,'In-out-bal products (155)(완성제품)'!B429,'Direct labour(직접노무비)'!$Q$12:$Q$503)</f>
        <v>534570955</v>
      </c>
      <c r="K429" s="59">
        <f>SUMIF('Overhead exp(제조경비)'!$C$12:$C$503,'In-out-bal products (155)(완성제품)'!B429,'Overhead exp(제조경비)'!$Q$12:$Q$503)</f>
        <v>1044411808</v>
      </c>
      <c r="L429" s="58">
        <f t="shared" si="187"/>
        <v>1578982763</v>
      </c>
      <c r="M429" s="58">
        <f>SUMIF('JUNE (물량흐름)'!$C$13:$C$488,'In-out-bal products (155)(완성제품)'!B429,'JUNE (물량흐름)'!$Y$13:$Y$488)</f>
        <v>0</v>
      </c>
      <c r="N429" s="58">
        <f t="shared" si="188"/>
        <v>0</v>
      </c>
      <c r="O429" s="58">
        <f>SUMIF('Direct labour(직접노무비)'!$C$12:$C$503,'In-out-bal products (155)(완성제품)'!B429,'Direct labour(직접노무비)'!$U$12:$U$503)+SUMIF('Overhead exp(제조경비)'!$C$12:$C$503,'In-out-bal products (155)(완성제품)'!B429,'Overhead exp(제조경비)'!$U$12:$U$503)</f>
        <v>0</v>
      </c>
      <c r="P429" s="60">
        <f t="shared" si="189"/>
        <v>34605</v>
      </c>
      <c r="Q429" s="60">
        <f t="shared" si="190"/>
        <v>45628.746221644273</v>
      </c>
      <c r="R429" s="60">
        <f t="shared" si="191"/>
        <v>1578982763</v>
      </c>
      <c r="S429" s="58">
        <v>0</v>
      </c>
      <c r="T429" s="58">
        <v>0</v>
      </c>
      <c r="U429" s="58">
        <v>0</v>
      </c>
      <c r="V429" s="58">
        <f>SUMIF('JUNE (물량흐름)'!$C$13:$C$493,'In-out-bal products (155)(완성제품)'!B429,'JUNE (물량흐름)'!$W$13:$W$493)</f>
        <v>0</v>
      </c>
      <c r="W429" s="58">
        <f t="shared" si="192"/>
        <v>0</v>
      </c>
      <c r="X429" s="58">
        <f t="shared" si="193"/>
        <v>0</v>
      </c>
      <c r="Y429" s="58">
        <f>SUMIF('JUNE (물량흐름)'!$C$13:$C$488,'In-out-bal products (155)(완성제품)'!B429,'JUNE (물량흐름)'!$X$13:$X$488)</f>
        <v>0</v>
      </c>
      <c r="Z429" s="58">
        <f t="shared" si="194"/>
        <v>0</v>
      </c>
      <c r="AA429" s="58">
        <f t="shared" si="195"/>
        <v>0</v>
      </c>
      <c r="AB429" s="58"/>
      <c r="AC429" s="58"/>
      <c r="AD429" s="61"/>
      <c r="AE429" s="58">
        <f t="shared" si="196"/>
        <v>0</v>
      </c>
      <c r="AF429" s="58">
        <f t="shared" si="197"/>
        <v>0</v>
      </c>
      <c r="AG429" s="61">
        <f t="shared" si="198"/>
        <v>0</v>
      </c>
      <c r="AH429" s="58">
        <v>0</v>
      </c>
      <c r="AI429" s="58">
        <v>0</v>
      </c>
      <c r="AJ429" s="61">
        <v>0</v>
      </c>
      <c r="AK429" s="58"/>
      <c r="AL429" s="58"/>
      <c r="AM429" s="61"/>
      <c r="AN429" s="61">
        <f t="shared" si="215"/>
        <v>0</v>
      </c>
      <c r="AO429" s="58">
        <f t="shared" si="199"/>
        <v>0</v>
      </c>
      <c r="AP429" s="61">
        <f t="shared" si="200"/>
        <v>0</v>
      </c>
      <c r="AQ429" s="58">
        <f t="shared" si="201"/>
        <v>34973</v>
      </c>
      <c r="AR429" s="58">
        <f t="shared" si="202"/>
        <v>45320.095588025048</v>
      </c>
      <c r="AS429" s="58">
        <f t="shared" si="203"/>
        <v>1584979703</v>
      </c>
      <c r="AT429" s="58">
        <f>ROUND(SUMIF('JUNE (물량흐름)'!$C$13:$C$502,'In-out-bal products (155)(완성제품)'!B429,'JUNE (물량흐름)'!$AB$13:$AB$502),0)</f>
        <v>34973</v>
      </c>
      <c r="AU429" s="58">
        <f t="shared" si="204"/>
        <v>1584979703</v>
      </c>
      <c r="AV429" s="58">
        <f>ROUND(SUMIF('JUNE (물량흐름)'!$C$13:$C$502,'In-out-bal products (155)(완성제품)'!B429,'JUNE (물량흐름)'!$AC$13:$AC$502),0)</f>
        <v>0</v>
      </c>
      <c r="AW429" s="58">
        <f t="shared" si="205"/>
        <v>0</v>
      </c>
      <c r="AX429" s="376">
        <f t="shared" si="206"/>
        <v>0</v>
      </c>
      <c r="AY429" s="377">
        <f t="shared" si="207"/>
        <v>0</v>
      </c>
      <c r="AZ429" s="377">
        <f t="shared" si="208"/>
        <v>0</v>
      </c>
      <c r="BA429" s="377">
        <f t="shared" si="209"/>
        <v>0</v>
      </c>
      <c r="BB429" s="377"/>
      <c r="BC429" s="377">
        <f t="shared" si="210"/>
        <v>0</v>
      </c>
      <c r="BD429" s="377">
        <f t="shared" si="211"/>
        <v>0</v>
      </c>
      <c r="BE429" s="377"/>
      <c r="BF429" s="377">
        <f t="shared" si="212"/>
        <v>0</v>
      </c>
      <c r="BG429" s="433"/>
      <c r="BH429" s="434"/>
    </row>
    <row r="430" spans="1:60" s="378" customFormat="1">
      <c r="A430" s="167">
        <v>440</v>
      </c>
      <c r="B430" s="253">
        <f>VLOOKUP(A430,'JUNE (물량흐름)'!$A$13:$C$493,3,0)</f>
        <v>183034592</v>
      </c>
      <c r="C430" s="57" t="str">
        <f>VLOOKUP(A430,'JUNE (물량흐름)'!$A$13:$C$493,2,0)</f>
        <v>TALBOTS</v>
      </c>
      <c r="D430" s="58">
        <f>IFERROR(VLOOKUP(B430,O.B.JUNE!$V$7:$Y$448,2,0),0)</f>
        <v>140</v>
      </c>
      <c r="E430" s="58">
        <f>IFERROR(VLOOKUP(B430,O.B.JUNE!$V$7:$X$448,3,0),0)</f>
        <v>87349.957142857136</v>
      </c>
      <c r="F430" s="58">
        <f>IFERROR(VLOOKUP(B430,O.B.JUNE!$V$7:$Y$448,4,0),0)</f>
        <v>12228994</v>
      </c>
      <c r="G430" s="58">
        <f>SUMIF('JUNE (물량흐름)'!$C$13:$C$493,'In-out-bal products (155)(완성제품)'!B430,'JUNE (물량흐름)'!$V$13:$V$493)</f>
        <v>0</v>
      </c>
      <c r="H430" s="58">
        <f>SUMIF('JUNE (물량흐름)'!$C$13:$C$493,'In-out-bal products (155)(완성제품)'!B430,'JUNE (물량흐름)'!$T$13:$T$493)-SUMIF('JUNE (물량흐름)'!$C$13:$C$493,'In-out-bal products (155)(완성제품)'!B430,'JUNE (물량흐름)'!$Y$13:$Y$493)+SUMIF('JUNE (물량흐름)'!$C$13:$C$493,'In-out-bal products (155)(완성제품)'!B430,'JUNE (물량흐름)'!$U$13:$U$493)</f>
        <v>1483</v>
      </c>
      <c r="I430" s="58">
        <f t="shared" si="186"/>
        <v>113159.6129467296</v>
      </c>
      <c r="J430" s="58">
        <f>SUMIF('Direct labour(직접노무비)'!$C$12:$C$503,'In-out-bal products (155)(완성제품)'!B430,'Direct labour(직접노무비)'!$Q$12:$Q$503)</f>
        <v>56814681</v>
      </c>
      <c r="K430" s="59">
        <f>SUMIF('Overhead exp(제조경비)'!$C$12:$C$503,'In-out-bal products (155)(완성제품)'!B430,'Overhead exp(제조경비)'!$Q$12:$Q$503)</f>
        <v>111001025</v>
      </c>
      <c r="L430" s="58">
        <f t="shared" si="187"/>
        <v>167815706</v>
      </c>
      <c r="M430" s="58">
        <f>SUMIF('JUNE (물량흐름)'!$C$13:$C$488,'In-out-bal products (155)(완성제품)'!B430,'JUNE (물량흐름)'!$Y$13:$Y$488)</f>
        <v>4</v>
      </c>
      <c r="N430" s="58">
        <f t="shared" si="188"/>
        <v>113159.75</v>
      </c>
      <c r="O430" s="58">
        <f>SUMIF('Direct labour(직접노무비)'!$C$12:$C$503,'In-out-bal products (155)(완성제품)'!B430,'Direct labour(직접노무비)'!$U$12:$U$503)+SUMIF('Overhead exp(제조경비)'!$C$12:$C$503,'In-out-bal products (155)(완성제품)'!B430,'Overhead exp(제조경비)'!$U$12:$U$503)</f>
        <v>452639</v>
      </c>
      <c r="P430" s="60">
        <f t="shared" si="189"/>
        <v>1487</v>
      </c>
      <c r="Q430" s="60">
        <f t="shared" si="190"/>
        <v>113159.61331540013</v>
      </c>
      <c r="R430" s="60">
        <f t="shared" si="191"/>
        <v>168268345</v>
      </c>
      <c r="S430" s="58">
        <v>0</v>
      </c>
      <c r="T430" s="58">
        <v>0</v>
      </c>
      <c r="U430" s="58">
        <v>0</v>
      </c>
      <c r="V430" s="58">
        <f>SUMIF('JUNE (물량흐름)'!$C$13:$C$493,'In-out-bal products (155)(완성제품)'!B430,'JUNE (물량흐름)'!$W$13:$W$493)</f>
        <v>1599</v>
      </c>
      <c r="W430" s="58">
        <f t="shared" si="192"/>
        <v>110933.27141963727</v>
      </c>
      <c r="X430" s="58">
        <f t="shared" si="193"/>
        <v>177382301</v>
      </c>
      <c r="Y430" s="58">
        <f>SUMIF('JUNE (물량흐름)'!$C$13:$C$488,'In-out-bal products (155)(완성제품)'!B430,'JUNE (물량흐름)'!$X$13:$X$488)</f>
        <v>0</v>
      </c>
      <c r="Z430" s="58">
        <f t="shared" si="194"/>
        <v>0</v>
      </c>
      <c r="AA430" s="58">
        <f t="shared" si="195"/>
        <v>0</v>
      </c>
      <c r="AB430" s="58"/>
      <c r="AC430" s="58"/>
      <c r="AD430" s="61"/>
      <c r="AE430" s="58">
        <f t="shared" si="196"/>
        <v>4</v>
      </c>
      <c r="AF430" s="58">
        <f t="shared" si="197"/>
        <v>113159.75</v>
      </c>
      <c r="AG430" s="61">
        <f t="shared" si="198"/>
        <v>452639</v>
      </c>
      <c r="AH430" s="58">
        <v>0</v>
      </c>
      <c r="AI430" s="58">
        <v>0</v>
      </c>
      <c r="AJ430" s="61">
        <v>0</v>
      </c>
      <c r="AK430" s="58"/>
      <c r="AL430" s="58"/>
      <c r="AM430" s="61"/>
      <c r="AN430" s="61">
        <f t="shared" si="215"/>
        <v>1603</v>
      </c>
      <c r="AO430" s="58">
        <f t="shared" si="199"/>
        <v>110938.82719900187</v>
      </c>
      <c r="AP430" s="61">
        <f t="shared" si="200"/>
        <v>177834940</v>
      </c>
      <c r="AQ430" s="58">
        <f t="shared" si="201"/>
        <v>24</v>
      </c>
      <c r="AR430" s="58">
        <f t="shared" si="202"/>
        <v>110933.29166666667</v>
      </c>
      <c r="AS430" s="58">
        <f t="shared" si="203"/>
        <v>2662399</v>
      </c>
      <c r="AT430" s="58">
        <f>ROUND(SUMIF('JUNE (물량흐름)'!$C$13:$C$502,'In-out-bal products (155)(완성제품)'!B430,'JUNE (물량흐름)'!$AB$13:$AB$502),0)</f>
        <v>0</v>
      </c>
      <c r="AU430" s="58">
        <f t="shared" si="204"/>
        <v>0</v>
      </c>
      <c r="AV430" s="58">
        <f>ROUND(SUMIF('JUNE (물량흐름)'!$C$13:$C$502,'In-out-bal products (155)(완성제품)'!B430,'JUNE (물량흐름)'!$AC$13:$AC$502),0)</f>
        <v>24</v>
      </c>
      <c r="AW430" s="58">
        <f t="shared" si="205"/>
        <v>2662399</v>
      </c>
      <c r="AX430" s="376">
        <f t="shared" si="206"/>
        <v>0</v>
      </c>
      <c r="AY430" s="377">
        <f t="shared" si="207"/>
        <v>0</v>
      </c>
      <c r="AZ430" s="377">
        <f t="shared" si="208"/>
        <v>0</v>
      </c>
      <c r="BA430" s="377">
        <f t="shared" si="209"/>
        <v>0</v>
      </c>
      <c r="BB430" s="377"/>
      <c r="BC430" s="377">
        <f t="shared" si="210"/>
        <v>0</v>
      </c>
      <c r="BD430" s="377">
        <f t="shared" si="211"/>
        <v>0</v>
      </c>
      <c r="BE430" s="377"/>
      <c r="BF430" s="377">
        <f t="shared" si="212"/>
        <v>0</v>
      </c>
      <c r="BG430" s="433"/>
      <c r="BH430" s="434"/>
    </row>
    <row r="431" spans="1:60" s="378" customFormat="1">
      <c r="A431" s="167">
        <v>441</v>
      </c>
      <c r="B431" s="253">
        <f>VLOOKUP(A431,'JUNE (물량흐름)'!$A$13:$C$493,3,0)</f>
        <v>476154</v>
      </c>
      <c r="C431" s="57" t="str">
        <f>VLOOKUP(A431,'JUNE (물량흐름)'!$A$13:$C$493,2,0)</f>
        <v>ANN TAYLOR</v>
      </c>
      <c r="D431" s="58">
        <f>IFERROR(VLOOKUP(B431,O.B.JUNE!$V$7:$Y$448,2,0),0)</f>
        <v>0</v>
      </c>
      <c r="E431" s="58">
        <f>IFERROR(VLOOKUP(B431,O.B.JUNE!$V$7:$X$448,3,0),0)</f>
        <v>0</v>
      </c>
      <c r="F431" s="58">
        <f>IFERROR(VLOOKUP(B431,O.B.JUNE!$V$7:$Y$448,4,0),0)</f>
        <v>0</v>
      </c>
      <c r="G431" s="58">
        <f>SUMIF('JUNE (물량흐름)'!$C$13:$C$493,'In-out-bal products (155)(완성제품)'!B431,'JUNE (물량흐름)'!$V$13:$V$493)</f>
        <v>0</v>
      </c>
      <c r="H431" s="58">
        <f>SUMIF('JUNE (물량흐름)'!$C$13:$C$493,'In-out-bal products (155)(완성제품)'!B431,'JUNE (물량흐름)'!$T$13:$T$493)-SUMIF('JUNE (물량흐름)'!$C$13:$C$493,'In-out-bal products (155)(완성제품)'!B431,'JUNE (물량흐름)'!$Y$13:$Y$493)+SUMIF('JUNE (물량흐름)'!$C$13:$C$493,'In-out-bal products (155)(완성제품)'!B431,'JUNE (물량흐름)'!$U$13:$U$493)</f>
        <v>9170</v>
      </c>
      <c r="I431" s="58">
        <f t="shared" si="186"/>
        <v>40258.728462377316</v>
      </c>
      <c r="J431" s="58">
        <f>SUMIF('Direct labour(직접노무비)'!$C$12:$C$503,'In-out-bal products (155)(완성제품)'!B431,'Direct labour(직접노무비)'!$Q$12:$Q$503)</f>
        <v>124984846</v>
      </c>
      <c r="K431" s="59">
        <f>SUMIF('Overhead exp(제조경비)'!$C$12:$C$503,'In-out-bal products (155)(완성제품)'!B431,'Overhead exp(제조경비)'!$Q$12:$Q$503)</f>
        <v>244187694</v>
      </c>
      <c r="L431" s="58">
        <f t="shared" si="187"/>
        <v>369172540</v>
      </c>
      <c r="M431" s="58">
        <f>SUMIF('JUNE (물량흐름)'!$C$13:$C$488,'In-out-bal products (155)(완성제품)'!B431,'JUNE (물량흐름)'!$Y$13:$Y$488)</f>
        <v>20</v>
      </c>
      <c r="N431" s="58">
        <f t="shared" si="188"/>
        <v>40258.699999999997</v>
      </c>
      <c r="O431" s="58">
        <f>SUMIF('Direct labour(직접노무비)'!$C$12:$C$503,'In-out-bal products (155)(완성제품)'!B431,'Direct labour(직접노무비)'!$U$12:$U$503)+SUMIF('Overhead exp(제조경비)'!$C$12:$C$503,'In-out-bal products (155)(완성제품)'!B431,'Overhead exp(제조경비)'!$U$12:$U$503)</f>
        <v>805174</v>
      </c>
      <c r="P431" s="60">
        <f t="shared" si="189"/>
        <v>9190</v>
      </c>
      <c r="Q431" s="60">
        <f t="shared" si="190"/>
        <v>40258.728400435255</v>
      </c>
      <c r="R431" s="60">
        <f t="shared" si="191"/>
        <v>369977714</v>
      </c>
      <c r="S431" s="58">
        <v>0</v>
      </c>
      <c r="T431" s="58">
        <v>0</v>
      </c>
      <c r="U431" s="58">
        <v>0</v>
      </c>
      <c r="V431" s="58">
        <f>SUMIF('JUNE (물량흐름)'!$C$13:$C$493,'In-out-bal products (155)(완성제품)'!B431,'JUNE (물량흐름)'!$W$13:$W$493)</f>
        <v>9000</v>
      </c>
      <c r="W431" s="58">
        <f t="shared" si="192"/>
        <v>40258.728444444445</v>
      </c>
      <c r="X431" s="58">
        <f t="shared" si="193"/>
        <v>362328556</v>
      </c>
      <c r="Y431" s="58">
        <f>SUMIF('JUNE (물량흐름)'!$C$13:$C$488,'In-out-bal products (155)(완성제품)'!B431,'JUNE (물량흐름)'!$X$13:$X$488)</f>
        <v>0</v>
      </c>
      <c r="Z431" s="58">
        <f t="shared" si="194"/>
        <v>0</v>
      </c>
      <c r="AA431" s="58">
        <f t="shared" si="195"/>
        <v>0</v>
      </c>
      <c r="AB431" s="58"/>
      <c r="AC431" s="58"/>
      <c r="AD431" s="61"/>
      <c r="AE431" s="58">
        <f t="shared" si="196"/>
        <v>20</v>
      </c>
      <c r="AF431" s="58">
        <f t="shared" si="197"/>
        <v>40258.699999999997</v>
      </c>
      <c r="AG431" s="61">
        <f t="shared" si="198"/>
        <v>805174</v>
      </c>
      <c r="AH431" s="58">
        <v>0</v>
      </c>
      <c r="AI431" s="58">
        <v>0</v>
      </c>
      <c r="AJ431" s="61">
        <v>0</v>
      </c>
      <c r="AK431" s="58"/>
      <c r="AL431" s="58"/>
      <c r="AM431" s="61"/>
      <c r="AN431" s="61">
        <f t="shared" si="215"/>
        <v>9020</v>
      </c>
      <c r="AO431" s="58">
        <f t="shared" si="199"/>
        <v>40258.72838137472</v>
      </c>
      <c r="AP431" s="61">
        <f t="shared" si="200"/>
        <v>363133730</v>
      </c>
      <c r="AQ431" s="58">
        <f t="shared" si="201"/>
        <v>170</v>
      </c>
      <c r="AR431" s="58">
        <f t="shared" si="202"/>
        <v>40258.729411764703</v>
      </c>
      <c r="AS431" s="58">
        <f t="shared" si="203"/>
        <v>6843984</v>
      </c>
      <c r="AT431" s="58">
        <f>ROUND(SUMIF('JUNE (물량흐름)'!$C$13:$C$502,'In-out-bal products (155)(완성제품)'!B431,'JUNE (물량흐름)'!$AB$13:$AB$502),0)</f>
        <v>0</v>
      </c>
      <c r="AU431" s="58">
        <f t="shared" si="204"/>
        <v>0</v>
      </c>
      <c r="AV431" s="58">
        <f>ROUND(SUMIF('JUNE (물량흐름)'!$C$13:$C$502,'In-out-bal products (155)(완성제품)'!B431,'JUNE (물량흐름)'!$AC$13:$AC$502),0)</f>
        <v>170</v>
      </c>
      <c r="AW431" s="58">
        <f t="shared" si="205"/>
        <v>6843984</v>
      </c>
      <c r="AX431" s="376">
        <f t="shared" si="206"/>
        <v>0</v>
      </c>
      <c r="AY431" s="377">
        <f t="shared" si="207"/>
        <v>0</v>
      </c>
      <c r="AZ431" s="377">
        <f t="shared" si="208"/>
        <v>0</v>
      </c>
      <c r="BA431" s="377">
        <f t="shared" si="209"/>
        <v>0</v>
      </c>
      <c r="BB431" s="377"/>
      <c r="BC431" s="377">
        <f t="shared" si="210"/>
        <v>0</v>
      </c>
      <c r="BD431" s="377">
        <f t="shared" si="211"/>
        <v>0</v>
      </c>
      <c r="BE431" s="377"/>
      <c r="BF431" s="377">
        <f t="shared" si="212"/>
        <v>0</v>
      </c>
      <c r="BG431" s="433"/>
      <c r="BH431" s="434"/>
    </row>
    <row r="432" spans="1:60" s="378" customFormat="1">
      <c r="A432" s="167">
        <v>442</v>
      </c>
      <c r="B432" s="253">
        <f>VLOOKUP(A432,'JUNE (물량흐름)'!$A$13:$C$493,3,0)</f>
        <v>483830</v>
      </c>
      <c r="C432" s="57" t="str">
        <f>VLOOKUP(A432,'JUNE (물량흐름)'!$A$13:$C$493,2,0)</f>
        <v>ANN TAYLOR</v>
      </c>
      <c r="D432" s="58">
        <f>IFERROR(VLOOKUP(B432,O.B.JUNE!$V$7:$Y$448,2,0),0)</f>
        <v>4100</v>
      </c>
      <c r="E432" s="58">
        <f>IFERROR(VLOOKUP(B432,O.B.JUNE!$V$7:$X$448,3,0),0)</f>
        <v>23079.060243902441</v>
      </c>
      <c r="F432" s="58">
        <f>IFERROR(VLOOKUP(B432,O.B.JUNE!$V$7:$Y$448,4,0),0)</f>
        <v>94624147</v>
      </c>
      <c r="G432" s="58">
        <f>SUMIF('JUNE (물량흐름)'!$C$13:$C$493,'In-out-bal products (155)(완성제품)'!B432,'JUNE (물량흐름)'!$V$13:$V$493)</f>
        <v>0</v>
      </c>
      <c r="H432" s="58">
        <f>SUMIF('JUNE (물량흐름)'!$C$13:$C$493,'In-out-bal products (155)(완성제품)'!B432,'JUNE (물량흐름)'!$T$13:$T$493)-SUMIF('JUNE (물량흐름)'!$C$13:$C$493,'In-out-bal products (155)(완성제품)'!B432,'JUNE (물량흐름)'!$Y$13:$Y$493)+SUMIF('JUNE (물량흐름)'!$C$13:$C$493,'In-out-bal products (155)(완성제품)'!B432,'JUNE (물량흐름)'!$U$13:$U$493)</f>
        <v>35092</v>
      </c>
      <c r="I432" s="58">
        <f t="shared" si="186"/>
        <v>38333.480764846689</v>
      </c>
      <c r="J432" s="58">
        <f>SUMIF('Direct labour(직접노무비)'!$C$12:$C$503,'In-out-bal products (155)(완성제품)'!B432,'Direct labour(직접노무비)'!$Q$12:$Q$503)</f>
        <v>455422356</v>
      </c>
      <c r="K432" s="59">
        <f>SUMIF('Overhead exp(제조경비)'!$C$12:$C$503,'In-out-bal products (155)(완성제품)'!B432,'Overhead exp(제조경비)'!$Q$12:$Q$503)</f>
        <v>889776151</v>
      </c>
      <c r="L432" s="58">
        <f t="shared" si="187"/>
        <v>1345198507</v>
      </c>
      <c r="M432" s="58">
        <f>SUMIF('JUNE (물량흐름)'!$C$13:$C$488,'In-out-bal products (155)(완성제품)'!B432,'JUNE (물량흐름)'!$Y$13:$Y$488)</f>
        <v>74</v>
      </c>
      <c r="N432" s="58">
        <f t="shared" si="188"/>
        <v>38333.486486486487</v>
      </c>
      <c r="O432" s="58">
        <f>SUMIF('Direct labour(직접노무비)'!$C$12:$C$503,'In-out-bal products (155)(완성제품)'!B432,'Direct labour(직접노무비)'!$U$12:$U$503)+SUMIF('Overhead exp(제조경비)'!$C$12:$C$503,'In-out-bal products (155)(완성제품)'!B432,'Overhead exp(제조경비)'!$U$12:$U$503)</f>
        <v>2836678</v>
      </c>
      <c r="P432" s="60">
        <f t="shared" si="189"/>
        <v>35166</v>
      </c>
      <c r="Q432" s="60">
        <f t="shared" si="190"/>
        <v>38333.480776886769</v>
      </c>
      <c r="R432" s="60">
        <f t="shared" si="191"/>
        <v>1348035185</v>
      </c>
      <c r="S432" s="58">
        <v>0</v>
      </c>
      <c r="T432" s="58">
        <v>0</v>
      </c>
      <c r="U432" s="58">
        <v>0</v>
      </c>
      <c r="V432" s="58">
        <f>SUMIF('JUNE (물량흐름)'!$C$13:$C$493,'In-out-bal products (155)(완성제품)'!B432,'JUNE (물량흐름)'!$W$13:$W$493)</f>
        <v>29292</v>
      </c>
      <c r="W432" s="58">
        <f t="shared" si="192"/>
        <v>36737.66721289089</v>
      </c>
      <c r="X432" s="58">
        <f t="shared" si="193"/>
        <v>1076119748</v>
      </c>
      <c r="Y432" s="58">
        <f>SUMIF('JUNE (물량흐름)'!$C$13:$C$488,'In-out-bal products (155)(완성제품)'!B432,'JUNE (물량흐름)'!$X$13:$X$488)</f>
        <v>0</v>
      </c>
      <c r="Z432" s="58">
        <f t="shared" si="194"/>
        <v>0</v>
      </c>
      <c r="AA432" s="58">
        <f t="shared" si="195"/>
        <v>0</v>
      </c>
      <c r="AB432" s="58"/>
      <c r="AC432" s="58"/>
      <c r="AD432" s="61"/>
      <c r="AE432" s="58">
        <f t="shared" si="196"/>
        <v>74</v>
      </c>
      <c r="AF432" s="58">
        <f t="shared" si="197"/>
        <v>38333.486486486487</v>
      </c>
      <c r="AG432" s="61">
        <f t="shared" si="198"/>
        <v>2836678</v>
      </c>
      <c r="AH432" s="58">
        <v>0</v>
      </c>
      <c r="AI432" s="58">
        <v>0</v>
      </c>
      <c r="AJ432" s="61">
        <v>0</v>
      </c>
      <c r="AK432" s="58"/>
      <c r="AL432" s="58"/>
      <c r="AM432" s="61"/>
      <c r="AN432" s="61">
        <f t="shared" si="215"/>
        <v>29366</v>
      </c>
      <c r="AO432" s="58">
        <f t="shared" si="199"/>
        <v>36741.68855138596</v>
      </c>
      <c r="AP432" s="61">
        <f t="shared" si="200"/>
        <v>1078956426</v>
      </c>
      <c r="AQ432" s="58">
        <f t="shared" si="201"/>
        <v>9900</v>
      </c>
      <c r="AR432" s="58">
        <f t="shared" si="202"/>
        <v>36737.667272727274</v>
      </c>
      <c r="AS432" s="58">
        <f t="shared" si="203"/>
        <v>363702906</v>
      </c>
      <c r="AT432" s="58">
        <f>ROUND(SUMIF('JUNE (물량흐름)'!$C$13:$C$502,'In-out-bal products (155)(완성제품)'!B432,'JUNE (물량흐름)'!$AB$13:$AB$502),0)</f>
        <v>9900</v>
      </c>
      <c r="AU432" s="58">
        <f t="shared" si="204"/>
        <v>363702906</v>
      </c>
      <c r="AV432" s="58">
        <f>ROUND(SUMIF('JUNE (물량흐름)'!$C$13:$C$502,'In-out-bal products (155)(완성제품)'!B432,'JUNE (물량흐름)'!$AC$13:$AC$502),0)</f>
        <v>0</v>
      </c>
      <c r="AW432" s="58">
        <f t="shared" si="205"/>
        <v>0</v>
      </c>
      <c r="AX432" s="376">
        <f t="shared" si="206"/>
        <v>0</v>
      </c>
      <c r="AY432" s="377">
        <f t="shared" si="207"/>
        <v>0</v>
      </c>
      <c r="AZ432" s="377">
        <f t="shared" si="208"/>
        <v>0</v>
      </c>
      <c r="BA432" s="377">
        <f t="shared" si="209"/>
        <v>0</v>
      </c>
      <c r="BB432" s="377"/>
      <c r="BC432" s="377">
        <f t="shared" si="210"/>
        <v>0</v>
      </c>
      <c r="BD432" s="377">
        <f t="shared" si="211"/>
        <v>0</v>
      </c>
      <c r="BE432" s="377"/>
      <c r="BF432" s="377">
        <f t="shared" si="212"/>
        <v>0</v>
      </c>
      <c r="BG432" s="433"/>
      <c r="BH432" s="434"/>
    </row>
    <row r="433" spans="1:60" s="378" customFormat="1">
      <c r="A433" s="167">
        <v>443</v>
      </c>
      <c r="B433" s="253">
        <f>VLOOKUP(A433,'JUNE (물량흐름)'!$A$13:$C$493,3,0)</f>
        <v>79718</v>
      </c>
      <c r="C433" s="57" t="str">
        <f>VLOOKUP(A433,'JUNE (물량흐름)'!$A$13:$C$493,2,0)</f>
        <v>ALFANI</v>
      </c>
      <c r="D433" s="58">
        <f>IFERROR(VLOOKUP(B433,O.B.JUNE!$V$7:$Y$448,2,0),0)</f>
        <v>0</v>
      </c>
      <c r="E433" s="58">
        <f>IFERROR(VLOOKUP(B433,O.B.JUNE!$V$7:$X$448,3,0),0)</f>
        <v>0</v>
      </c>
      <c r="F433" s="58">
        <f>IFERROR(VLOOKUP(B433,O.B.JUNE!$V$7:$Y$448,4,0),0)</f>
        <v>0</v>
      </c>
      <c r="G433" s="58">
        <f>SUMIF('JUNE (물량흐름)'!$C$13:$C$493,'In-out-bal products (155)(완성제품)'!B433,'JUNE (물량흐름)'!$V$13:$V$493)</f>
        <v>0</v>
      </c>
      <c r="H433" s="58">
        <f>SUMIF('JUNE (물량흐름)'!$C$13:$C$493,'In-out-bal products (155)(완성제품)'!B433,'JUNE (물량흐름)'!$T$13:$T$493)-SUMIF('JUNE (물량흐름)'!$C$13:$C$493,'In-out-bal products (155)(완성제품)'!B433,'JUNE (물량흐름)'!$Y$13:$Y$493)+SUMIF('JUNE (물량흐름)'!$C$13:$C$493,'In-out-bal products (155)(완성제품)'!B433,'JUNE (물량흐름)'!$U$13:$U$493)</f>
        <v>3120</v>
      </c>
      <c r="I433" s="58">
        <f t="shared" ref="I433:I487" si="216">(IF(ISERROR(L433/H433),0,L433/H433))</f>
        <v>44207.475320512822</v>
      </c>
      <c r="J433" s="58">
        <f>SUMIF('Direct labour(직접노무비)'!$C$12:$C$503,'In-out-bal products (155)(완성제품)'!B433,'Direct labour(직접노무비)'!$Q$12:$Q$503)</f>
        <v>46695849</v>
      </c>
      <c r="K433" s="59">
        <f>SUMIF('Overhead exp(제조경비)'!$C$12:$C$503,'In-out-bal products (155)(완성제품)'!B433,'Overhead exp(제조경비)'!$Q$12:$Q$503)</f>
        <v>91231474</v>
      </c>
      <c r="L433" s="58">
        <f t="shared" ref="L433:L487" si="217">ROUND(J433+K433,0)</f>
        <v>137927323</v>
      </c>
      <c r="M433" s="58">
        <f>SUMIF('JUNE (물량흐름)'!$C$13:$C$488,'In-out-bal products (155)(완성제품)'!B433,'JUNE (물량흐름)'!$Y$13:$Y$488)</f>
        <v>0</v>
      </c>
      <c r="N433" s="58">
        <f t="shared" ref="N433:N487" si="218">IFERROR(O433/M433,0)</f>
        <v>0</v>
      </c>
      <c r="O433" s="58">
        <f>SUMIF('Direct labour(직접노무비)'!$C$12:$C$503,'In-out-bal products (155)(완성제품)'!B433,'Direct labour(직접노무비)'!$U$12:$U$503)+SUMIF('Overhead exp(제조경비)'!$C$12:$C$503,'In-out-bal products (155)(완성제품)'!B433,'Overhead exp(제조경비)'!$U$12:$U$503)</f>
        <v>0</v>
      </c>
      <c r="P433" s="60">
        <f t="shared" ref="P433:P487" si="219">ROUND(H433+G433+M433,0)</f>
        <v>3120</v>
      </c>
      <c r="Q433" s="60">
        <f t="shared" ref="Q433:Q487" si="220">(IF(ISERROR(R433/P433),0,R433/P433))</f>
        <v>44207.475320512822</v>
      </c>
      <c r="R433" s="60">
        <f t="shared" ref="R433:R487" si="221">ROUND(L433+O433,0)</f>
        <v>137927323</v>
      </c>
      <c r="S433" s="58">
        <v>0</v>
      </c>
      <c r="T433" s="58">
        <v>0</v>
      </c>
      <c r="U433" s="58">
        <v>0</v>
      </c>
      <c r="V433" s="58">
        <f>SUMIF('JUNE (물량흐름)'!$C$13:$C$493,'In-out-bal products (155)(완성제품)'!B433,'JUNE (물량흐름)'!$W$13:$W$493)</f>
        <v>0</v>
      </c>
      <c r="W433" s="58">
        <f t="shared" ref="W433:W487" si="222">(IF(V433=0,0,$X433/$V433))</f>
        <v>0</v>
      </c>
      <c r="X433" s="58">
        <f t="shared" si="193"/>
        <v>0</v>
      </c>
      <c r="Y433" s="58">
        <f>SUMIF('JUNE (물량흐름)'!$C$13:$C$488,'In-out-bal products (155)(완성제품)'!B433,'JUNE (물량흐름)'!$X$13:$X$488)</f>
        <v>0</v>
      </c>
      <c r="Z433" s="58">
        <f t="shared" ref="Z433:Z487" si="223">IF(Y433=0,0,$AA433/$Y433)</f>
        <v>0</v>
      </c>
      <c r="AA433" s="58">
        <f t="shared" ref="AA433:AA487" si="224">ROUND(IF(Y433=0,0,Y433*($F433+$L433)/($D433+$H433+$G433)),0)</f>
        <v>0</v>
      </c>
      <c r="AB433" s="58"/>
      <c r="AC433" s="58"/>
      <c r="AD433" s="61"/>
      <c r="AE433" s="58">
        <f t="shared" ref="AE433:AE487" si="225">M433</f>
        <v>0</v>
      </c>
      <c r="AF433" s="58">
        <f t="shared" ref="AF433:AF487" si="226">N433</f>
        <v>0</v>
      </c>
      <c r="AG433" s="61">
        <f t="shared" ref="AG433:AG487" si="227">O433</f>
        <v>0</v>
      </c>
      <c r="AH433" s="58">
        <v>0</v>
      </c>
      <c r="AI433" s="58">
        <v>0</v>
      </c>
      <c r="AJ433" s="61">
        <v>0</v>
      </c>
      <c r="AK433" s="58"/>
      <c r="AL433" s="58"/>
      <c r="AM433" s="61"/>
      <c r="AN433" s="61">
        <f t="shared" si="215"/>
        <v>0</v>
      </c>
      <c r="AO433" s="58">
        <f t="shared" si="199"/>
        <v>0</v>
      </c>
      <c r="AP433" s="61">
        <f t="shared" si="200"/>
        <v>0</v>
      </c>
      <c r="AQ433" s="58">
        <f t="shared" ref="AQ433:AQ487" si="228">ROUND(D433+P433-AN433,0)</f>
        <v>3120</v>
      </c>
      <c r="AR433" s="58">
        <f t="shared" ref="AR433:AR487" si="229">(IF(ISERROR(AS433/AQ433),0,AS433/AQ433))</f>
        <v>44207.475320512822</v>
      </c>
      <c r="AS433" s="58">
        <f t="shared" ref="AS433:AS487" si="230">ROUND(F433+R433-AP433,0)</f>
        <v>137927323</v>
      </c>
      <c r="AT433" s="58">
        <f>ROUND(SUMIF('JUNE (물량흐름)'!$C$13:$C$502,'In-out-bal products (155)(완성제품)'!B433,'JUNE (물량흐름)'!$AB$13:$AB$502),0)</f>
        <v>3120</v>
      </c>
      <c r="AU433" s="58">
        <f t="shared" ref="AU433:AU487" si="231">+ROUND(AR433*AT433,0)</f>
        <v>137927323</v>
      </c>
      <c r="AV433" s="58">
        <f>ROUND(SUMIF('JUNE (물량흐름)'!$C$13:$C$502,'In-out-bal products (155)(완성제품)'!B433,'JUNE (물량흐름)'!$AC$13:$AC$502),0)</f>
        <v>0</v>
      </c>
      <c r="AW433" s="58">
        <f t="shared" ref="AW433:AW487" si="232">ROUND(AR433*AV433,0)</f>
        <v>0</v>
      </c>
      <c r="AX433" s="376">
        <f t="shared" si="206"/>
        <v>0</v>
      </c>
      <c r="AY433" s="377">
        <f t="shared" si="207"/>
        <v>0</v>
      </c>
      <c r="AZ433" s="377">
        <f t="shared" si="208"/>
        <v>0</v>
      </c>
      <c r="BA433" s="377">
        <f t="shared" si="209"/>
        <v>0</v>
      </c>
      <c r="BB433" s="377"/>
      <c r="BC433" s="377">
        <f t="shared" si="210"/>
        <v>0</v>
      </c>
      <c r="BD433" s="377">
        <f t="shared" si="211"/>
        <v>0</v>
      </c>
      <c r="BE433" s="377"/>
      <c r="BF433" s="377">
        <f t="shared" si="212"/>
        <v>0</v>
      </c>
      <c r="BG433" s="433"/>
      <c r="BH433" s="434"/>
    </row>
    <row r="434" spans="1:60" s="378" customFormat="1">
      <c r="A434" s="167">
        <v>444</v>
      </c>
      <c r="B434" s="253">
        <f>VLOOKUP(A434,'JUNE (물량흐름)'!$A$13:$C$493,3,0)</f>
        <v>470392</v>
      </c>
      <c r="C434" s="57" t="str">
        <f>VLOOKUP(A434,'JUNE (물량흐름)'!$A$13:$C$493,2,0)</f>
        <v>ANN TAYLOR</v>
      </c>
      <c r="D434" s="58">
        <f>IFERROR(VLOOKUP(B434,O.B.JUNE!$V$7:$Y$448,2,0),0)</f>
        <v>0</v>
      </c>
      <c r="E434" s="58">
        <f>IFERROR(VLOOKUP(B434,O.B.JUNE!$V$7:$X$448,3,0),0)</f>
        <v>0</v>
      </c>
      <c r="F434" s="58">
        <f>IFERROR(VLOOKUP(B434,O.B.JUNE!$V$7:$Y$448,4,0),0)</f>
        <v>0</v>
      </c>
      <c r="G434" s="58">
        <f>SUMIF('JUNE (물량흐름)'!$C$13:$C$493,'In-out-bal products (155)(완성제품)'!B434,'JUNE (물량흐름)'!$V$13:$V$493)</f>
        <v>0</v>
      </c>
      <c r="H434" s="58">
        <f>SUMIF('JUNE (물량흐름)'!$C$13:$C$493,'In-out-bal products (155)(완성제품)'!B434,'JUNE (물량흐름)'!$T$13:$T$493)-SUMIF('JUNE (물량흐름)'!$C$13:$C$493,'In-out-bal products (155)(완성제품)'!B434,'JUNE (물량흐름)'!$Y$13:$Y$493)+SUMIF('JUNE (물량흐름)'!$C$13:$C$493,'In-out-bal products (155)(완성제품)'!B434,'JUNE (물량흐름)'!$U$13:$U$493)</f>
        <v>0</v>
      </c>
      <c r="I434" s="58">
        <f t="shared" si="216"/>
        <v>0</v>
      </c>
      <c r="J434" s="58">
        <f>SUMIF('Direct labour(직접노무비)'!$C$12:$C$503,'In-out-bal products (155)(완성제품)'!B434,'Direct labour(직접노무비)'!$Q$12:$Q$503)</f>
        <v>0</v>
      </c>
      <c r="K434" s="59">
        <f>SUMIF('Overhead exp(제조경비)'!$C$12:$C$503,'In-out-bal products (155)(완성제품)'!B434,'Overhead exp(제조경비)'!$Q$12:$Q$503)</f>
        <v>0</v>
      </c>
      <c r="L434" s="58">
        <f t="shared" si="217"/>
        <v>0</v>
      </c>
      <c r="M434" s="58">
        <f>SUMIF('JUNE (물량흐름)'!$C$13:$C$488,'In-out-bal products (155)(완성제품)'!B434,'JUNE (물량흐름)'!$Y$13:$Y$488)</f>
        <v>0</v>
      </c>
      <c r="N434" s="58">
        <f t="shared" si="218"/>
        <v>0</v>
      </c>
      <c r="O434" s="58">
        <f>SUMIF('Direct labour(직접노무비)'!$C$12:$C$503,'In-out-bal products (155)(완성제품)'!B434,'Direct labour(직접노무비)'!$U$12:$U$503)+SUMIF('Overhead exp(제조경비)'!$C$12:$C$503,'In-out-bal products (155)(완성제품)'!B434,'Overhead exp(제조경비)'!$U$12:$U$503)</f>
        <v>0</v>
      </c>
      <c r="P434" s="60">
        <f t="shared" si="219"/>
        <v>0</v>
      </c>
      <c r="Q434" s="60">
        <f t="shared" si="220"/>
        <v>0</v>
      </c>
      <c r="R434" s="60">
        <f t="shared" si="221"/>
        <v>0</v>
      </c>
      <c r="S434" s="58">
        <v>0</v>
      </c>
      <c r="T434" s="58">
        <v>0</v>
      </c>
      <c r="U434" s="58">
        <v>0</v>
      </c>
      <c r="V434" s="58">
        <f>SUMIF('JUNE (물량흐름)'!$C$13:$C$493,'In-out-bal products (155)(완성제품)'!B434,'JUNE (물량흐름)'!$W$13:$W$493)</f>
        <v>0</v>
      </c>
      <c r="W434" s="58">
        <f t="shared" si="222"/>
        <v>0</v>
      </c>
      <c r="X434" s="58">
        <f t="shared" si="193"/>
        <v>0</v>
      </c>
      <c r="Y434" s="58">
        <f>SUMIF('JUNE (물량흐름)'!$C$13:$C$488,'In-out-bal products (155)(완성제품)'!B434,'JUNE (물량흐름)'!$X$13:$X$488)</f>
        <v>0</v>
      </c>
      <c r="Z434" s="58">
        <f t="shared" si="223"/>
        <v>0</v>
      </c>
      <c r="AA434" s="58">
        <f t="shared" si="224"/>
        <v>0</v>
      </c>
      <c r="AB434" s="58"/>
      <c r="AC434" s="58"/>
      <c r="AD434" s="61"/>
      <c r="AE434" s="58">
        <f t="shared" si="225"/>
        <v>0</v>
      </c>
      <c r="AF434" s="58">
        <f t="shared" si="226"/>
        <v>0</v>
      </c>
      <c r="AG434" s="61">
        <f t="shared" si="227"/>
        <v>0</v>
      </c>
      <c r="AH434" s="58">
        <v>0</v>
      </c>
      <c r="AI434" s="58">
        <v>0</v>
      </c>
      <c r="AJ434" s="61">
        <v>0</v>
      </c>
      <c r="AK434" s="58"/>
      <c r="AL434" s="58"/>
      <c r="AM434" s="61"/>
      <c r="AN434" s="61">
        <f t="shared" si="215"/>
        <v>0</v>
      </c>
      <c r="AO434" s="58">
        <f t="shared" si="199"/>
        <v>0</v>
      </c>
      <c r="AP434" s="61">
        <f t="shared" si="200"/>
        <v>0</v>
      </c>
      <c r="AQ434" s="58">
        <f t="shared" si="228"/>
        <v>0</v>
      </c>
      <c r="AR434" s="58">
        <f t="shared" si="229"/>
        <v>0</v>
      </c>
      <c r="AS434" s="58">
        <f t="shared" si="230"/>
        <v>0</v>
      </c>
      <c r="AT434" s="58">
        <f>ROUND(SUMIF('JUNE (물량흐름)'!$C$13:$C$502,'In-out-bal products (155)(완성제품)'!B434,'JUNE (물량흐름)'!$AB$13:$AB$502),0)</f>
        <v>0</v>
      </c>
      <c r="AU434" s="58">
        <f t="shared" si="231"/>
        <v>0</v>
      </c>
      <c r="AV434" s="58">
        <f>ROUND(SUMIF('JUNE (물량흐름)'!$C$13:$C$502,'In-out-bal products (155)(완성제품)'!B434,'JUNE (물량흐름)'!$AC$13:$AC$502),0)</f>
        <v>0</v>
      </c>
      <c r="AW434" s="58">
        <f t="shared" si="232"/>
        <v>0</v>
      </c>
      <c r="AX434" s="376">
        <f t="shared" si="206"/>
        <v>0</v>
      </c>
      <c r="AY434" s="377">
        <f t="shared" si="207"/>
        <v>0</v>
      </c>
      <c r="AZ434" s="377">
        <f t="shared" si="208"/>
        <v>0</v>
      </c>
      <c r="BA434" s="377">
        <f t="shared" si="209"/>
        <v>0</v>
      </c>
      <c r="BB434" s="377"/>
      <c r="BC434" s="377">
        <f t="shared" si="210"/>
        <v>0</v>
      </c>
      <c r="BD434" s="377">
        <f t="shared" si="211"/>
        <v>0</v>
      </c>
      <c r="BE434" s="377"/>
      <c r="BF434" s="377">
        <f t="shared" si="212"/>
        <v>0</v>
      </c>
      <c r="BG434" s="433"/>
      <c r="BH434" s="434"/>
    </row>
    <row r="435" spans="1:60" s="378" customFormat="1">
      <c r="A435" s="167">
        <v>445</v>
      </c>
      <c r="B435" s="253">
        <f>VLOOKUP(A435,'JUNE (물량흐름)'!$A$13:$C$493,3,0)</f>
        <v>471300</v>
      </c>
      <c r="C435" s="57" t="str">
        <f>VLOOKUP(A435,'JUNE (물량흐름)'!$A$13:$C$493,2,0)</f>
        <v>ANN TAYLOR</v>
      </c>
      <c r="D435" s="58">
        <f>IFERROR(VLOOKUP(B435,O.B.JUNE!$V$7:$Y$448,2,0),0)</f>
        <v>0</v>
      </c>
      <c r="E435" s="58">
        <f>IFERROR(VLOOKUP(B435,O.B.JUNE!$V$7:$X$448,3,0),0)</f>
        <v>0</v>
      </c>
      <c r="F435" s="58">
        <f>IFERROR(VLOOKUP(B435,O.B.JUNE!$V$7:$Y$448,4,0),0)</f>
        <v>0</v>
      </c>
      <c r="G435" s="58">
        <f>SUMIF('JUNE (물량흐름)'!$C$13:$C$493,'In-out-bal products (155)(완성제품)'!B435,'JUNE (물량흐름)'!$V$13:$V$493)</f>
        <v>0</v>
      </c>
      <c r="H435" s="58">
        <f>SUMIF('JUNE (물량흐름)'!$C$13:$C$493,'In-out-bal products (155)(완성제품)'!B435,'JUNE (물량흐름)'!$T$13:$T$493)-SUMIF('JUNE (물량흐름)'!$C$13:$C$493,'In-out-bal products (155)(완성제품)'!B435,'JUNE (물량흐름)'!$Y$13:$Y$493)+SUMIF('JUNE (물량흐름)'!$C$13:$C$493,'In-out-bal products (155)(완성제품)'!B435,'JUNE (물량흐름)'!$U$13:$U$493)</f>
        <v>1143</v>
      </c>
      <c r="I435" s="58">
        <f t="shared" si="216"/>
        <v>72253.261592300958</v>
      </c>
      <c r="J435" s="58">
        <f>SUMIF('Direct labour(직접노무비)'!$C$12:$C$503,'In-out-bal products (155)(완성제품)'!B435,'Direct labour(직접노무비)'!$Q$12:$Q$503)</f>
        <v>27959645</v>
      </c>
      <c r="K435" s="59">
        <f>SUMIF('Overhead exp(제조경비)'!$C$12:$C$503,'In-out-bal products (155)(완성제품)'!B435,'Overhead exp(제조경비)'!$Q$12:$Q$503)</f>
        <v>54625833</v>
      </c>
      <c r="L435" s="58">
        <f t="shared" si="217"/>
        <v>82585478</v>
      </c>
      <c r="M435" s="58">
        <f>SUMIF('JUNE (물량흐름)'!$C$13:$C$488,'In-out-bal products (155)(완성제품)'!B435,'JUNE (물량흐름)'!$Y$13:$Y$488)</f>
        <v>12</v>
      </c>
      <c r="N435" s="58">
        <f t="shared" si="218"/>
        <v>72253.333333333328</v>
      </c>
      <c r="O435" s="58">
        <f>SUMIF('Direct labour(직접노무비)'!$C$12:$C$503,'In-out-bal products (155)(완성제품)'!B435,'Direct labour(직접노무비)'!$U$12:$U$503)+SUMIF('Overhead exp(제조경비)'!$C$12:$C$503,'In-out-bal products (155)(완성제품)'!B435,'Overhead exp(제조경비)'!$U$12:$U$503)</f>
        <v>867040</v>
      </c>
      <c r="P435" s="60">
        <f t="shared" si="219"/>
        <v>1155</v>
      </c>
      <c r="Q435" s="60">
        <f t="shared" si="220"/>
        <v>72253.262337662338</v>
      </c>
      <c r="R435" s="60">
        <f t="shared" si="221"/>
        <v>83452518</v>
      </c>
      <c r="S435" s="58">
        <v>0</v>
      </c>
      <c r="T435" s="58">
        <v>0</v>
      </c>
      <c r="U435" s="58">
        <v>0</v>
      </c>
      <c r="V435" s="58">
        <f>SUMIF('JUNE (물량흐름)'!$C$13:$C$493,'In-out-bal products (155)(완성제품)'!B435,'JUNE (물량흐름)'!$W$13:$W$493)</f>
        <v>1143</v>
      </c>
      <c r="W435" s="58">
        <f t="shared" si="222"/>
        <v>72253.261592300958</v>
      </c>
      <c r="X435" s="58">
        <f t="shared" si="193"/>
        <v>82585478</v>
      </c>
      <c r="Y435" s="58">
        <f>SUMIF('JUNE (물량흐름)'!$C$13:$C$488,'In-out-bal products (155)(완성제품)'!B435,'JUNE (물량흐름)'!$X$13:$X$488)</f>
        <v>0</v>
      </c>
      <c r="Z435" s="58">
        <f t="shared" si="223"/>
        <v>0</v>
      </c>
      <c r="AA435" s="58">
        <f t="shared" si="224"/>
        <v>0</v>
      </c>
      <c r="AB435" s="58"/>
      <c r="AC435" s="58"/>
      <c r="AD435" s="61"/>
      <c r="AE435" s="58">
        <f t="shared" si="225"/>
        <v>12</v>
      </c>
      <c r="AF435" s="58">
        <f t="shared" si="226"/>
        <v>72253.333333333328</v>
      </c>
      <c r="AG435" s="61">
        <f t="shared" si="227"/>
        <v>867040</v>
      </c>
      <c r="AH435" s="58">
        <v>0</v>
      </c>
      <c r="AI435" s="58">
        <v>0</v>
      </c>
      <c r="AJ435" s="61">
        <v>0</v>
      </c>
      <c r="AK435" s="58"/>
      <c r="AL435" s="58"/>
      <c r="AM435" s="61"/>
      <c r="AN435" s="61">
        <f t="shared" si="215"/>
        <v>1155</v>
      </c>
      <c r="AO435" s="58">
        <f t="shared" si="199"/>
        <v>72253.262337662338</v>
      </c>
      <c r="AP435" s="61">
        <f t="shared" si="200"/>
        <v>83452518</v>
      </c>
      <c r="AQ435" s="58">
        <f t="shared" si="228"/>
        <v>0</v>
      </c>
      <c r="AR435" s="58">
        <f t="shared" si="229"/>
        <v>0</v>
      </c>
      <c r="AS435" s="58">
        <f t="shared" si="230"/>
        <v>0</v>
      </c>
      <c r="AT435" s="58">
        <f>ROUND(SUMIF('JUNE (물량흐름)'!$C$13:$C$502,'In-out-bal products (155)(완성제품)'!B435,'JUNE (물량흐름)'!$AB$13:$AB$502),0)</f>
        <v>0</v>
      </c>
      <c r="AU435" s="58">
        <f t="shared" si="231"/>
        <v>0</v>
      </c>
      <c r="AV435" s="58">
        <f>ROUND(SUMIF('JUNE (물량흐름)'!$C$13:$C$502,'In-out-bal products (155)(완성제품)'!B435,'JUNE (물량흐름)'!$AC$13:$AC$502),0)</f>
        <v>0</v>
      </c>
      <c r="AW435" s="58">
        <f t="shared" si="232"/>
        <v>0</v>
      </c>
      <c r="AX435" s="376">
        <f t="shared" si="206"/>
        <v>0</v>
      </c>
      <c r="AY435" s="377">
        <f t="shared" si="207"/>
        <v>0</v>
      </c>
      <c r="AZ435" s="377">
        <f t="shared" si="208"/>
        <v>0</v>
      </c>
      <c r="BA435" s="377">
        <f t="shared" si="209"/>
        <v>0</v>
      </c>
      <c r="BB435" s="377"/>
      <c r="BC435" s="377">
        <f t="shared" si="210"/>
        <v>0</v>
      </c>
      <c r="BD435" s="377">
        <f t="shared" si="211"/>
        <v>0</v>
      </c>
      <c r="BE435" s="377"/>
      <c r="BF435" s="377">
        <f t="shared" si="212"/>
        <v>0</v>
      </c>
      <c r="BG435" s="433"/>
      <c r="BH435" s="434"/>
    </row>
    <row r="436" spans="1:60" s="378" customFormat="1">
      <c r="A436" s="167">
        <v>446</v>
      </c>
      <c r="B436" s="253">
        <f>VLOOKUP(A436,'JUNE (물량흐름)'!$A$13:$C$493,3,0)</f>
        <v>474934</v>
      </c>
      <c r="C436" s="57" t="str">
        <f>VLOOKUP(A436,'JUNE (물량흐름)'!$A$13:$C$493,2,0)</f>
        <v>ANN TAYLOR</v>
      </c>
      <c r="D436" s="58">
        <f>IFERROR(VLOOKUP(B436,O.B.JUNE!$V$7:$Y$448,2,0),0)</f>
        <v>0</v>
      </c>
      <c r="E436" s="58">
        <f>IFERROR(VLOOKUP(B436,O.B.JUNE!$V$7:$X$448,3,0),0)</f>
        <v>0</v>
      </c>
      <c r="F436" s="58">
        <f>IFERROR(VLOOKUP(B436,O.B.JUNE!$V$7:$Y$448,4,0),0)</f>
        <v>0</v>
      </c>
      <c r="G436" s="58">
        <f>SUMIF('JUNE (물량흐름)'!$C$13:$C$493,'In-out-bal products (155)(완성제품)'!B436,'JUNE (물량흐름)'!$V$13:$V$493)</f>
        <v>0</v>
      </c>
      <c r="H436" s="58">
        <f>SUMIF('JUNE (물량흐름)'!$C$13:$C$493,'In-out-bal products (155)(완성제품)'!B436,'JUNE (물량흐름)'!$T$13:$T$493)-SUMIF('JUNE (물량흐름)'!$C$13:$C$493,'In-out-bal products (155)(완성제품)'!B436,'JUNE (물량흐름)'!$Y$13:$Y$493)+SUMIF('JUNE (물량흐름)'!$C$13:$C$493,'In-out-bal products (155)(완성제품)'!B436,'JUNE (물량흐름)'!$U$13:$U$493)</f>
        <v>1573</v>
      </c>
      <c r="I436" s="58">
        <f t="shared" si="216"/>
        <v>20466.363000635727</v>
      </c>
      <c r="J436" s="58">
        <f>SUMIF('Direct labour(직접노무비)'!$C$12:$C$503,'In-out-bal products (155)(완성제품)'!B436,'Direct labour(직접노무비)'!$Q$12:$Q$503)</f>
        <v>10899269</v>
      </c>
      <c r="K436" s="59">
        <f>SUMIF('Overhead exp(제조경비)'!$C$12:$C$503,'In-out-bal products (155)(완성제품)'!B436,'Overhead exp(제조경비)'!$Q$12:$Q$503)</f>
        <v>21294320</v>
      </c>
      <c r="L436" s="58">
        <f t="shared" si="217"/>
        <v>32193589</v>
      </c>
      <c r="M436" s="58">
        <f>SUMIF('JUNE (물량흐름)'!$C$13:$C$488,'In-out-bal products (155)(완성제품)'!B436,'JUNE (물량흐름)'!$Y$13:$Y$488)</f>
        <v>0</v>
      </c>
      <c r="N436" s="58">
        <f t="shared" si="218"/>
        <v>0</v>
      </c>
      <c r="O436" s="58">
        <f>SUMIF('Direct labour(직접노무비)'!$C$12:$C$503,'In-out-bal products (155)(완성제품)'!B436,'Direct labour(직접노무비)'!$U$12:$U$503)+SUMIF('Overhead exp(제조경비)'!$C$12:$C$503,'In-out-bal products (155)(완성제품)'!B436,'Overhead exp(제조경비)'!$U$12:$U$503)</f>
        <v>0</v>
      </c>
      <c r="P436" s="60">
        <f t="shared" si="219"/>
        <v>1573</v>
      </c>
      <c r="Q436" s="60">
        <f t="shared" si="220"/>
        <v>20466.363000635727</v>
      </c>
      <c r="R436" s="60">
        <f t="shared" si="221"/>
        <v>32193589</v>
      </c>
      <c r="S436" s="58">
        <v>0</v>
      </c>
      <c r="T436" s="58">
        <v>0</v>
      </c>
      <c r="U436" s="58">
        <v>0</v>
      </c>
      <c r="V436" s="58">
        <f>SUMIF('JUNE (물량흐름)'!$C$13:$C$493,'In-out-bal products (155)(완성제품)'!B436,'JUNE (물량흐름)'!$W$13:$W$493)</f>
        <v>1270</v>
      </c>
      <c r="W436" s="58">
        <f t="shared" si="222"/>
        <v>20466.362992125985</v>
      </c>
      <c r="X436" s="58">
        <f t="shared" si="193"/>
        <v>25992281</v>
      </c>
      <c r="Y436" s="58">
        <f>SUMIF('JUNE (물량흐름)'!$C$13:$C$488,'In-out-bal products (155)(완성제품)'!B436,'JUNE (물량흐름)'!$X$13:$X$488)</f>
        <v>0</v>
      </c>
      <c r="Z436" s="58">
        <f t="shared" si="223"/>
        <v>0</v>
      </c>
      <c r="AA436" s="58">
        <f t="shared" si="224"/>
        <v>0</v>
      </c>
      <c r="AB436" s="58"/>
      <c r="AC436" s="58"/>
      <c r="AD436" s="61"/>
      <c r="AE436" s="58">
        <f t="shared" si="225"/>
        <v>0</v>
      </c>
      <c r="AF436" s="58">
        <f t="shared" si="226"/>
        <v>0</v>
      </c>
      <c r="AG436" s="61">
        <f t="shared" si="227"/>
        <v>0</v>
      </c>
      <c r="AH436" s="58">
        <v>0</v>
      </c>
      <c r="AI436" s="58">
        <v>0</v>
      </c>
      <c r="AJ436" s="61">
        <v>0</v>
      </c>
      <c r="AK436" s="58"/>
      <c r="AL436" s="58"/>
      <c r="AM436" s="61"/>
      <c r="AN436" s="61">
        <f t="shared" si="215"/>
        <v>1270</v>
      </c>
      <c r="AO436" s="58">
        <f t="shared" si="199"/>
        <v>20466.362992125985</v>
      </c>
      <c r="AP436" s="61">
        <f t="shared" si="200"/>
        <v>25992281</v>
      </c>
      <c r="AQ436" s="58">
        <f t="shared" si="228"/>
        <v>303</v>
      </c>
      <c r="AR436" s="58">
        <f t="shared" si="229"/>
        <v>20466.363036303632</v>
      </c>
      <c r="AS436" s="58">
        <f t="shared" si="230"/>
        <v>6201308</v>
      </c>
      <c r="AT436" s="58">
        <f>ROUND(SUMIF('JUNE (물량흐름)'!$C$13:$C$502,'In-out-bal products (155)(완성제품)'!B436,'JUNE (물량흐름)'!$AB$13:$AB$502),0)</f>
        <v>303</v>
      </c>
      <c r="AU436" s="58">
        <f t="shared" si="231"/>
        <v>6201308</v>
      </c>
      <c r="AV436" s="58">
        <f>ROUND(SUMIF('JUNE (물량흐름)'!$C$13:$C$502,'In-out-bal products (155)(완성제품)'!B436,'JUNE (물량흐름)'!$AC$13:$AC$502),0)</f>
        <v>0</v>
      </c>
      <c r="AW436" s="58">
        <f t="shared" si="232"/>
        <v>0</v>
      </c>
      <c r="AX436" s="376">
        <f t="shared" si="206"/>
        <v>0</v>
      </c>
      <c r="AY436" s="377">
        <f t="shared" si="207"/>
        <v>0</v>
      </c>
      <c r="AZ436" s="377">
        <f t="shared" si="208"/>
        <v>0</v>
      </c>
      <c r="BA436" s="377">
        <f t="shared" si="209"/>
        <v>0</v>
      </c>
      <c r="BB436" s="377"/>
      <c r="BC436" s="377">
        <f t="shared" si="210"/>
        <v>0</v>
      </c>
      <c r="BD436" s="377">
        <f t="shared" si="211"/>
        <v>0</v>
      </c>
      <c r="BE436" s="377"/>
      <c r="BF436" s="377">
        <f t="shared" si="212"/>
        <v>0</v>
      </c>
      <c r="BG436" s="433"/>
      <c r="BH436" s="434"/>
    </row>
    <row r="437" spans="1:60" s="378" customFormat="1">
      <c r="A437" s="167">
        <v>447</v>
      </c>
      <c r="B437" s="253">
        <f>VLOOKUP(A437,'JUNE (물량흐름)'!$A$13:$C$493,3,0)</f>
        <v>474935</v>
      </c>
      <c r="C437" s="57" t="str">
        <f>VLOOKUP(A437,'JUNE (물량흐름)'!$A$13:$C$493,2,0)</f>
        <v>ANN TAYLOR</v>
      </c>
      <c r="D437" s="58">
        <f>IFERROR(VLOOKUP(B437,O.B.JUNE!$V$7:$Y$448,2,0),0)</f>
        <v>0</v>
      </c>
      <c r="E437" s="58">
        <f>IFERROR(VLOOKUP(B437,O.B.JUNE!$V$7:$X$448,3,0),0)</f>
        <v>0</v>
      </c>
      <c r="F437" s="58">
        <f>IFERROR(VLOOKUP(B437,O.B.JUNE!$V$7:$Y$448,4,0),0)</f>
        <v>0</v>
      </c>
      <c r="G437" s="58">
        <f>SUMIF('JUNE (물량흐름)'!$C$13:$C$493,'In-out-bal products (155)(완성제품)'!B437,'JUNE (물량흐름)'!$V$13:$V$493)</f>
        <v>0</v>
      </c>
      <c r="H437" s="58">
        <f>SUMIF('JUNE (물량흐름)'!$C$13:$C$493,'In-out-bal products (155)(완성제품)'!B437,'JUNE (물량흐름)'!$T$13:$T$493)-SUMIF('JUNE (물량흐름)'!$C$13:$C$493,'In-out-bal products (155)(완성제품)'!B437,'JUNE (물량흐름)'!$Y$13:$Y$493)+SUMIF('JUNE (물량흐름)'!$C$13:$C$493,'In-out-bal products (155)(완성제품)'!B437,'JUNE (물량흐름)'!$U$13:$U$493)</f>
        <v>10844</v>
      </c>
      <c r="I437" s="58">
        <f t="shared" si="216"/>
        <v>34530.670970121726</v>
      </c>
      <c r="J437" s="58">
        <f>SUMIF('Direct labour(직접노무비)'!$C$12:$C$503,'In-out-bal products (155)(완성제품)'!B437,'Direct labour(직접노무비)'!$Q$12:$Q$503)</f>
        <v>126771753</v>
      </c>
      <c r="K437" s="59">
        <f>SUMIF('Overhead exp(제조경비)'!$C$12:$C$503,'In-out-bal products (155)(완성제품)'!B437,'Overhead exp(제조경비)'!$Q$12:$Q$503)</f>
        <v>247678843</v>
      </c>
      <c r="L437" s="58">
        <f t="shared" si="217"/>
        <v>374450596</v>
      </c>
      <c r="M437" s="58">
        <f>SUMIF('JUNE (물량흐름)'!$C$13:$C$488,'In-out-bal products (155)(완성제품)'!B437,'JUNE (물량흐름)'!$Y$13:$Y$488)</f>
        <v>20</v>
      </c>
      <c r="N437" s="58">
        <f t="shared" si="218"/>
        <v>34530.65</v>
      </c>
      <c r="O437" s="58">
        <f>SUMIF('Direct labour(직접노무비)'!$C$12:$C$503,'In-out-bal products (155)(완성제품)'!B437,'Direct labour(직접노무비)'!$U$12:$U$503)+SUMIF('Overhead exp(제조경비)'!$C$12:$C$503,'In-out-bal products (155)(완성제품)'!B437,'Overhead exp(제조경비)'!$U$12:$U$503)</f>
        <v>690613</v>
      </c>
      <c r="P437" s="60">
        <f t="shared" si="219"/>
        <v>10864</v>
      </c>
      <c r="Q437" s="60">
        <f t="shared" si="220"/>
        <v>34530.670931516936</v>
      </c>
      <c r="R437" s="60">
        <f t="shared" si="221"/>
        <v>375141209</v>
      </c>
      <c r="S437" s="58">
        <v>0</v>
      </c>
      <c r="T437" s="58">
        <v>0</v>
      </c>
      <c r="U437" s="58">
        <v>0</v>
      </c>
      <c r="V437" s="58">
        <f>SUMIF('JUNE (물량흐름)'!$C$13:$C$493,'In-out-bal products (155)(완성제품)'!B437,'JUNE (물량흐름)'!$W$13:$W$493)</f>
        <v>9600</v>
      </c>
      <c r="W437" s="58">
        <f t="shared" si="222"/>
        <v>34530.670937499999</v>
      </c>
      <c r="X437" s="58">
        <f t="shared" si="193"/>
        <v>331494441</v>
      </c>
      <c r="Y437" s="58">
        <f>SUMIF('JUNE (물량흐름)'!$C$13:$C$488,'In-out-bal products (155)(완성제품)'!B437,'JUNE (물량흐름)'!$X$13:$X$488)</f>
        <v>0</v>
      </c>
      <c r="Z437" s="58">
        <f t="shared" si="223"/>
        <v>0</v>
      </c>
      <c r="AA437" s="58">
        <f t="shared" si="224"/>
        <v>0</v>
      </c>
      <c r="AB437" s="58"/>
      <c r="AC437" s="58"/>
      <c r="AD437" s="61"/>
      <c r="AE437" s="58">
        <f t="shared" si="225"/>
        <v>20</v>
      </c>
      <c r="AF437" s="58">
        <f t="shared" si="226"/>
        <v>34530.65</v>
      </c>
      <c r="AG437" s="61">
        <f t="shared" si="227"/>
        <v>690613</v>
      </c>
      <c r="AH437" s="58">
        <v>0</v>
      </c>
      <c r="AI437" s="58">
        <v>0</v>
      </c>
      <c r="AJ437" s="61">
        <v>0</v>
      </c>
      <c r="AK437" s="58"/>
      <c r="AL437" s="58"/>
      <c r="AM437" s="61"/>
      <c r="AN437" s="61">
        <f t="shared" si="215"/>
        <v>9620</v>
      </c>
      <c r="AO437" s="58">
        <f t="shared" si="199"/>
        <v>34530.670893970891</v>
      </c>
      <c r="AP437" s="61">
        <f t="shared" si="200"/>
        <v>332185054</v>
      </c>
      <c r="AQ437" s="58">
        <f t="shared" si="228"/>
        <v>1244</v>
      </c>
      <c r="AR437" s="58">
        <f t="shared" si="229"/>
        <v>34530.671221864948</v>
      </c>
      <c r="AS437" s="58">
        <f t="shared" si="230"/>
        <v>42956155</v>
      </c>
      <c r="AT437" s="58">
        <f>ROUND(SUMIF('JUNE (물량흐름)'!$C$13:$C$502,'In-out-bal products (155)(완성제품)'!B437,'JUNE (물량흐름)'!$AB$13:$AB$502),0)</f>
        <v>1244</v>
      </c>
      <c r="AU437" s="58">
        <f t="shared" si="231"/>
        <v>42956155</v>
      </c>
      <c r="AV437" s="58">
        <f>ROUND(SUMIF('JUNE (물량흐름)'!$C$13:$C$502,'In-out-bal products (155)(완성제품)'!B437,'JUNE (물량흐름)'!$AC$13:$AC$502),0)</f>
        <v>0</v>
      </c>
      <c r="AW437" s="58">
        <f t="shared" si="232"/>
        <v>0</v>
      </c>
      <c r="AX437" s="376">
        <f t="shared" si="206"/>
        <v>0</v>
      </c>
      <c r="AY437" s="377">
        <f t="shared" si="207"/>
        <v>0</v>
      </c>
      <c r="AZ437" s="377">
        <f t="shared" si="208"/>
        <v>0</v>
      </c>
      <c r="BA437" s="377">
        <f t="shared" si="209"/>
        <v>0</v>
      </c>
      <c r="BB437" s="377"/>
      <c r="BC437" s="377">
        <f t="shared" si="210"/>
        <v>0</v>
      </c>
      <c r="BD437" s="377">
        <f t="shared" si="211"/>
        <v>0</v>
      </c>
      <c r="BE437" s="377"/>
      <c r="BF437" s="377">
        <f t="shared" si="212"/>
        <v>0</v>
      </c>
      <c r="BG437" s="433"/>
      <c r="BH437" s="434"/>
    </row>
    <row r="438" spans="1:60" s="378" customFormat="1">
      <c r="A438" s="167">
        <v>448</v>
      </c>
      <c r="B438" s="253">
        <f>VLOOKUP(A438,'JUNE (물량흐름)'!$A$13:$C$493,3,0)</f>
        <v>474937</v>
      </c>
      <c r="C438" s="57" t="str">
        <f>VLOOKUP(A438,'JUNE (물량흐름)'!$A$13:$C$493,2,0)</f>
        <v>ANN TAYLOR</v>
      </c>
      <c r="D438" s="58">
        <f>IFERROR(VLOOKUP(B438,O.B.JUNE!$V$7:$Y$448,2,0),0)</f>
        <v>0</v>
      </c>
      <c r="E438" s="58">
        <f>IFERROR(VLOOKUP(B438,O.B.JUNE!$V$7:$X$448,3,0),0)</f>
        <v>0</v>
      </c>
      <c r="F438" s="58">
        <f>IFERROR(VLOOKUP(B438,O.B.JUNE!$V$7:$Y$448,4,0),0)</f>
        <v>0</v>
      </c>
      <c r="G438" s="58">
        <f>SUMIF('JUNE (물량흐름)'!$C$13:$C$493,'In-out-bal products (155)(완성제품)'!B438,'JUNE (물량흐름)'!$V$13:$V$493)</f>
        <v>0</v>
      </c>
      <c r="H438" s="58">
        <f>SUMIF('JUNE (물량흐름)'!$C$13:$C$493,'In-out-bal products (155)(완성제품)'!B438,'JUNE (물량흐름)'!$T$13:$T$493)-SUMIF('JUNE (물량흐름)'!$C$13:$C$493,'In-out-bal products (155)(완성제품)'!B438,'JUNE (물량흐름)'!$Y$13:$Y$493)+SUMIF('JUNE (물량흐름)'!$C$13:$C$493,'In-out-bal products (155)(완성제품)'!B438,'JUNE (물량흐름)'!$U$13:$U$493)</f>
        <v>7124</v>
      </c>
      <c r="I438" s="58">
        <f t="shared" si="216"/>
        <v>27934.369736103312</v>
      </c>
      <c r="J438" s="58">
        <f>SUMIF('Direct labour(직접노무비)'!$C$12:$C$503,'In-out-bal products (155)(완성제품)'!B438,'Direct labour(직접노무비)'!$Q$12:$Q$503)</f>
        <v>67373756</v>
      </c>
      <c r="K438" s="59">
        <f>SUMIF('Overhead exp(제조경비)'!$C$12:$C$503,'In-out-bal products (155)(완성제품)'!B438,'Overhead exp(제조경비)'!$Q$12:$Q$503)</f>
        <v>131630694</v>
      </c>
      <c r="L438" s="58">
        <f t="shared" si="217"/>
        <v>199004450</v>
      </c>
      <c r="M438" s="58">
        <f>SUMIF('JUNE (물량흐름)'!$C$13:$C$488,'In-out-bal products (155)(완성제품)'!B438,'JUNE (물량흐름)'!$Y$13:$Y$488)</f>
        <v>0</v>
      </c>
      <c r="N438" s="58">
        <f t="shared" si="218"/>
        <v>0</v>
      </c>
      <c r="O438" s="58">
        <f>SUMIF('Direct labour(직접노무비)'!$C$12:$C$503,'In-out-bal products (155)(완성제품)'!B438,'Direct labour(직접노무비)'!$U$12:$U$503)+SUMIF('Overhead exp(제조경비)'!$C$12:$C$503,'In-out-bal products (155)(완성제품)'!B438,'Overhead exp(제조경비)'!$U$12:$U$503)</f>
        <v>0</v>
      </c>
      <c r="P438" s="60">
        <f t="shared" si="219"/>
        <v>7124</v>
      </c>
      <c r="Q438" s="60">
        <f t="shared" si="220"/>
        <v>27934.369736103312</v>
      </c>
      <c r="R438" s="60">
        <f t="shared" si="221"/>
        <v>199004450</v>
      </c>
      <c r="S438" s="58">
        <v>0</v>
      </c>
      <c r="T438" s="58">
        <v>0</v>
      </c>
      <c r="U438" s="58">
        <v>0</v>
      </c>
      <c r="V438" s="58">
        <f>SUMIF('JUNE (물량흐름)'!$C$13:$C$493,'In-out-bal products (155)(완성제품)'!B438,'JUNE (물량흐름)'!$W$13:$W$493)</f>
        <v>0</v>
      </c>
      <c r="W438" s="58">
        <f t="shared" si="222"/>
        <v>0</v>
      </c>
      <c r="X438" s="58">
        <f t="shared" si="193"/>
        <v>0</v>
      </c>
      <c r="Y438" s="58">
        <f>SUMIF('JUNE (물량흐름)'!$C$13:$C$488,'In-out-bal products (155)(완성제품)'!B438,'JUNE (물량흐름)'!$X$13:$X$488)</f>
        <v>0</v>
      </c>
      <c r="Z438" s="58">
        <f t="shared" si="223"/>
        <v>0</v>
      </c>
      <c r="AA438" s="58">
        <f t="shared" si="224"/>
        <v>0</v>
      </c>
      <c r="AB438" s="58"/>
      <c r="AC438" s="58"/>
      <c r="AD438" s="61"/>
      <c r="AE438" s="58">
        <f t="shared" si="225"/>
        <v>0</v>
      </c>
      <c r="AF438" s="58">
        <f t="shared" si="226"/>
        <v>0</v>
      </c>
      <c r="AG438" s="61">
        <f t="shared" si="227"/>
        <v>0</v>
      </c>
      <c r="AH438" s="58">
        <v>0</v>
      </c>
      <c r="AI438" s="58">
        <v>0</v>
      </c>
      <c r="AJ438" s="61">
        <v>0</v>
      </c>
      <c r="AK438" s="58"/>
      <c r="AL438" s="58"/>
      <c r="AM438" s="61"/>
      <c r="AN438" s="61">
        <f t="shared" si="215"/>
        <v>0</v>
      </c>
      <c r="AO438" s="58">
        <f t="shared" si="199"/>
        <v>0</v>
      </c>
      <c r="AP438" s="61">
        <f t="shared" si="200"/>
        <v>0</v>
      </c>
      <c r="AQ438" s="58">
        <f t="shared" si="228"/>
        <v>7124</v>
      </c>
      <c r="AR438" s="58">
        <f t="shared" si="229"/>
        <v>27934.369736103312</v>
      </c>
      <c r="AS438" s="58">
        <f t="shared" si="230"/>
        <v>199004450</v>
      </c>
      <c r="AT438" s="58">
        <f>ROUND(SUMIF('JUNE (물량흐름)'!$C$13:$C$502,'In-out-bal products (155)(완성제품)'!B438,'JUNE (물량흐름)'!$AB$13:$AB$502),0)</f>
        <v>7124</v>
      </c>
      <c r="AU438" s="58">
        <f t="shared" si="231"/>
        <v>199004450</v>
      </c>
      <c r="AV438" s="58">
        <f>ROUND(SUMIF('JUNE (물량흐름)'!$C$13:$C$502,'In-out-bal products (155)(완성제품)'!B438,'JUNE (물량흐름)'!$AC$13:$AC$502),0)</f>
        <v>0</v>
      </c>
      <c r="AW438" s="58">
        <f t="shared" si="232"/>
        <v>0</v>
      </c>
      <c r="AX438" s="376">
        <f t="shared" si="206"/>
        <v>0</v>
      </c>
      <c r="AY438" s="377">
        <f t="shared" si="207"/>
        <v>0</v>
      </c>
      <c r="AZ438" s="377">
        <f t="shared" si="208"/>
        <v>0</v>
      </c>
      <c r="BA438" s="377">
        <f t="shared" si="209"/>
        <v>0</v>
      </c>
      <c r="BB438" s="377"/>
      <c r="BC438" s="377">
        <f t="shared" si="210"/>
        <v>0</v>
      </c>
      <c r="BD438" s="377">
        <f t="shared" si="211"/>
        <v>0</v>
      </c>
      <c r="BE438" s="377"/>
      <c r="BF438" s="377">
        <f t="shared" si="212"/>
        <v>0</v>
      </c>
      <c r="BG438" s="433"/>
      <c r="BH438" s="434"/>
    </row>
    <row r="439" spans="1:60" s="378" customFormat="1">
      <c r="A439" s="167">
        <v>449</v>
      </c>
      <c r="B439" s="253">
        <f>VLOOKUP(A439,'JUNE (물량흐름)'!$A$13:$C$493,3,0)</f>
        <v>476557</v>
      </c>
      <c r="C439" s="57" t="str">
        <f>VLOOKUP(A439,'JUNE (물량흐름)'!$A$13:$C$493,2,0)</f>
        <v>ANN TAYLOR</v>
      </c>
      <c r="D439" s="58">
        <f>IFERROR(VLOOKUP(B439,O.B.JUNE!$V$7:$Y$448,2,0),0)</f>
        <v>0</v>
      </c>
      <c r="E439" s="58">
        <f>IFERROR(VLOOKUP(B439,O.B.JUNE!$V$7:$X$448,3,0),0)</f>
        <v>0</v>
      </c>
      <c r="F439" s="58">
        <f>IFERROR(VLOOKUP(B439,O.B.JUNE!$V$7:$Y$448,4,0),0)</f>
        <v>0</v>
      </c>
      <c r="G439" s="58">
        <f>SUMIF('JUNE (물량흐름)'!$C$13:$C$493,'In-out-bal products (155)(완성제품)'!B439,'JUNE (물량흐름)'!$V$13:$V$493)</f>
        <v>0</v>
      </c>
      <c r="H439" s="58">
        <f>SUMIF('JUNE (물량흐름)'!$C$13:$C$493,'In-out-bal products (155)(완성제품)'!B439,'JUNE (물량흐름)'!$T$13:$T$493)-SUMIF('JUNE (물량흐름)'!$C$13:$C$493,'In-out-bal products (155)(완성제품)'!B439,'JUNE (물량흐름)'!$Y$13:$Y$493)+SUMIF('JUNE (물량흐름)'!$C$13:$C$493,'In-out-bal products (155)(완성제품)'!B439,'JUNE (물량흐름)'!$U$13:$U$493)</f>
        <v>199</v>
      </c>
      <c r="I439" s="58">
        <f t="shared" si="216"/>
        <v>25544.703517587939</v>
      </c>
      <c r="J439" s="58">
        <f>SUMIF('Direct labour(직접노무비)'!$C$12:$C$503,'In-out-bal products (155)(완성제품)'!B439,'Direct labour(직접노무비)'!$Q$12:$Q$503)</f>
        <v>1721004</v>
      </c>
      <c r="K439" s="59">
        <f>SUMIF('Overhead exp(제조경비)'!$C$12:$C$503,'In-out-bal products (155)(완성제품)'!B439,'Overhead exp(제조경비)'!$Q$12:$Q$503)</f>
        <v>3362392</v>
      </c>
      <c r="L439" s="58">
        <f t="shared" si="217"/>
        <v>5083396</v>
      </c>
      <c r="M439" s="58">
        <f>SUMIF('JUNE (물량흐름)'!$C$13:$C$488,'In-out-bal products (155)(완성제품)'!B439,'JUNE (물량흐름)'!$Y$13:$Y$488)</f>
        <v>0</v>
      </c>
      <c r="N439" s="58">
        <f t="shared" si="218"/>
        <v>0</v>
      </c>
      <c r="O439" s="58">
        <f>SUMIF('Direct labour(직접노무비)'!$C$12:$C$503,'In-out-bal products (155)(완성제품)'!B439,'Direct labour(직접노무비)'!$U$12:$U$503)+SUMIF('Overhead exp(제조경비)'!$C$12:$C$503,'In-out-bal products (155)(완성제품)'!B439,'Overhead exp(제조경비)'!$U$12:$U$503)</f>
        <v>0</v>
      </c>
      <c r="P439" s="60">
        <f t="shared" si="219"/>
        <v>199</v>
      </c>
      <c r="Q439" s="60">
        <f t="shared" si="220"/>
        <v>25544.703517587939</v>
      </c>
      <c r="R439" s="60">
        <f t="shared" si="221"/>
        <v>5083396</v>
      </c>
      <c r="S439" s="58">
        <v>0</v>
      </c>
      <c r="T439" s="58">
        <v>0</v>
      </c>
      <c r="U439" s="58">
        <v>0</v>
      </c>
      <c r="V439" s="58">
        <f>SUMIF('JUNE (물량흐름)'!$C$13:$C$493,'In-out-bal products (155)(완성제품)'!B439,'JUNE (물량흐름)'!$W$13:$W$493)</f>
        <v>0</v>
      </c>
      <c r="W439" s="58">
        <f t="shared" si="222"/>
        <v>0</v>
      </c>
      <c r="X439" s="58">
        <f t="shared" si="193"/>
        <v>0</v>
      </c>
      <c r="Y439" s="58">
        <f>SUMIF('JUNE (물량흐름)'!$C$13:$C$488,'In-out-bal products (155)(완성제품)'!B439,'JUNE (물량흐름)'!$X$13:$X$488)</f>
        <v>0</v>
      </c>
      <c r="Z439" s="58">
        <f t="shared" si="223"/>
        <v>0</v>
      </c>
      <c r="AA439" s="58">
        <f t="shared" si="224"/>
        <v>0</v>
      </c>
      <c r="AB439" s="58"/>
      <c r="AC439" s="58"/>
      <c r="AD439" s="61"/>
      <c r="AE439" s="58">
        <f t="shared" si="225"/>
        <v>0</v>
      </c>
      <c r="AF439" s="58">
        <f t="shared" si="226"/>
        <v>0</v>
      </c>
      <c r="AG439" s="61">
        <f t="shared" si="227"/>
        <v>0</v>
      </c>
      <c r="AH439" s="58">
        <v>0</v>
      </c>
      <c r="AI439" s="58">
        <v>0</v>
      </c>
      <c r="AJ439" s="61">
        <v>0</v>
      </c>
      <c r="AK439" s="58"/>
      <c r="AL439" s="58"/>
      <c r="AM439" s="61"/>
      <c r="AN439" s="61">
        <f t="shared" si="215"/>
        <v>0</v>
      </c>
      <c r="AO439" s="58">
        <f t="shared" si="199"/>
        <v>0</v>
      </c>
      <c r="AP439" s="61">
        <f t="shared" si="200"/>
        <v>0</v>
      </c>
      <c r="AQ439" s="58">
        <f t="shared" si="228"/>
        <v>199</v>
      </c>
      <c r="AR439" s="58">
        <f t="shared" si="229"/>
        <v>25544.703517587939</v>
      </c>
      <c r="AS439" s="58">
        <f t="shared" si="230"/>
        <v>5083396</v>
      </c>
      <c r="AT439" s="58">
        <f>ROUND(SUMIF('JUNE (물량흐름)'!$C$13:$C$502,'In-out-bal products (155)(완성제품)'!B439,'JUNE (물량흐름)'!$AB$13:$AB$502),0)</f>
        <v>199</v>
      </c>
      <c r="AU439" s="58">
        <f t="shared" si="231"/>
        <v>5083396</v>
      </c>
      <c r="AV439" s="58">
        <f>ROUND(SUMIF('JUNE (물량흐름)'!$C$13:$C$502,'In-out-bal products (155)(완성제품)'!B439,'JUNE (물량흐름)'!$AC$13:$AC$502),0)</f>
        <v>0</v>
      </c>
      <c r="AW439" s="58">
        <f t="shared" si="232"/>
        <v>0</v>
      </c>
      <c r="AX439" s="376">
        <f t="shared" si="206"/>
        <v>0</v>
      </c>
      <c r="AY439" s="377">
        <f t="shared" si="207"/>
        <v>0</v>
      </c>
      <c r="AZ439" s="377">
        <f t="shared" si="208"/>
        <v>0</v>
      </c>
      <c r="BA439" s="377">
        <f t="shared" si="209"/>
        <v>0</v>
      </c>
      <c r="BB439" s="377"/>
      <c r="BC439" s="377">
        <f t="shared" si="210"/>
        <v>0</v>
      </c>
      <c r="BD439" s="377">
        <f t="shared" si="211"/>
        <v>0</v>
      </c>
      <c r="BE439" s="377"/>
      <c r="BF439" s="377">
        <f t="shared" si="212"/>
        <v>0</v>
      </c>
      <c r="BG439" s="433"/>
      <c r="BH439" s="434"/>
    </row>
    <row r="440" spans="1:60" s="378" customFormat="1">
      <c r="A440" s="167">
        <v>450</v>
      </c>
      <c r="B440" s="253">
        <f>VLOOKUP(A440,'JUNE (물량흐름)'!$A$13:$C$493,3,0)</f>
        <v>100018225</v>
      </c>
      <c r="C440" s="57" t="str">
        <f>VLOOKUP(A440,'JUNE (물량흐름)'!$A$13:$C$493,2,0)</f>
        <v>ALFANI</v>
      </c>
      <c r="D440" s="58">
        <f>IFERROR(VLOOKUP(B440,O.B.JUNE!$V$7:$Y$448,2,0),0)</f>
        <v>0</v>
      </c>
      <c r="E440" s="58">
        <f>IFERROR(VLOOKUP(B440,O.B.JUNE!$V$7:$X$448,3,0),0)</f>
        <v>0</v>
      </c>
      <c r="F440" s="58">
        <f>IFERROR(VLOOKUP(B440,O.B.JUNE!$V$7:$Y$448,4,0),0)</f>
        <v>0</v>
      </c>
      <c r="G440" s="58">
        <f>SUMIF('JUNE (물량흐름)'!$C$13:$C$493,'In-out-bal products (155)(완성제품)'!B440,'JUNE (물량흐름)'!$V$13:$V$493)</f>
        <v>0</v>
      </c>
      <c r="H440" s="58">
        <f>SUMIF('JUNE (물량흐름)'!$C$13:$C$493,'In-out-bal products (155)(완성제품)'!B440,'JUNE (물량흐름)'!$T$13:$T$493)-SUMIF('JUNE (물량흐름)'!$C$13:$C$493,'In-out-bal products (155)(완성제품)'!B440,'JUNE (물량흐름)'!$Y$13:$Y$493)+SUMIF('JUNE (물량흐름)'!$C$13:$C$493,'In-out-bal products (155)(완성제품)'!B440,'JUNE (물량흐름)'!$U$13:$U$493)</f>
        <v>255</v>
      </c>
      <c r="I440" s="58">
        <f t="shared" si="216"/>
        <v>42017.156862745098</v>
      </c>
      <c r="J440" s="58">
        <f>SUMIF('Direct labour(직접노무비)'!$C$12:$C$503,'In-out-bal products (155)(완성제품)'!B440,'Direct labour(직접노무비)'!$Q$12:$Q$503)</f>
        <v>3627395</v>
      </c>
      <c r="K440" s="59">
        <f>SUMIF('Overhead exp(제조경비)'!$C$12:$C$503,'In-out-bal products (155)(완성제품)'!B440,'Overhead exp(제조경비)'!$Q$12:$Q$503)</f>
        <v>7086980</v>
      </c>
      <c r="L440" s="58">
        <f t="shared" si="217"/>
        <v>10714375</v>
      </c>
      <c r="M440" s="58">
        <f>SUMIF('JUNE (물량흐름)'!$C$13:$C$488,'In-out-bal products (155)(완성제품)'!B440,'JUNE (물량흐름)'!$Y$13:$Y$488)</f>
        <v>0</v>
      </c>
      <c r="N440" s="58">
        <f t="shared" si="218"/>
        <v>0</v>
      </c>
      <c r="O440" s="58">
        <f>SUMIF('Direct labour(직접노무비)'!$C$12:$C$503,'In-out-bal products (155)(완성제품)'!B440,'Direct labour(직접노무비)'!$U$12:$U$503)+SUMIF('Overhead exp(제조경비)'!$C$12:$C$503,'In-out-bal products (155)(완성제품)'!B440,'Overhead exp(제조경비)'!$U$12:$U$503)</f>
        <v>0</v>
      </c>
      <c r="P440" s="60">
        <f t="shared" si="219"/>
        <v>255</v>
      </c>
      <c r="Q440" s="60">
        <f t="shared" si="220"/>
        <v>42017.156862745098</v>
      </c>
      <c r="R440" s="60">
        <f t="shared" si="221"/>
        <v>10714375</v>
      </c>
      <c r="S440" s="58">
        <v>0</v>
      </c>
      <c r="T440" s="58">
        <v>0</v>
      </c>
      <c r="U440" s="58">
        <v>0</v>
      </c>
      <c r="V440" s="58">
        <f>SUMIF('JUNE (물량흐름)'!$C$13:$C$493,'In-out-bal products (155)(완성제품)'!B440,'JUNE (물량흐름)'!$W$13:$W$493)</f>
        <v>0</v>
      </c>
      <c r="W440" s="58">
        <f t="shared" si="222"/>
        <v>0</v>
      </c>
      <c r="X440" s="58">
        <f t="shared" ref="X440:X492" si="233">ROUND(IF(V440=0,0,V440*($F440+$L440)/($D440+$H440+$G440)),0)</f>
        <v>0</v>
      </c>
      <c r="Y440" s="58">
        <f>SUMIF('JUNE (물량흐름)'!$C$13:$C$488,'In-out-bal products (155)(완성제품)'!B440,'JUNE (물량흐름)'!$X$13:$X$488)</f>
        <v>0</v>
      </c>
      <c r="Z440" s="58">
        <f t="shared" si="223"/>
        <v>0</v>
      </c>
      <c r="AA440" s="58">
        <f t="shared" si="224"/>
        <v>0</v>
      </c>
      <c r="AB440" s="58"/>
      <c r="AC440" s="58"/>
      <c r="AD440" s="61"/>
      <c r="AE440" s="58">
        <f t="shared" si="225"/>
        <v>0</v>
      </c>
      <c r="AF440" s="58">
        <f t="shared" si="226"/>
        <v>0</v>
      </c>
      <c r="AG440" s="61">
        <f t="shared" si="227"/>
        <v>0</v>
      </c>
      <c r="AH440" s="58">
        <v>0</v>
      </c>
      <c r="AI440" s="58">
        <v>0</v>
      </c>
      <c r="AJ440" s="61">
        <v>0</v>
      </c>
      <c r="AK440" s="58"/>
      <c r="AL440" s="58"/>
      <c r="AM440" s="61"/>
      <c r="AN440" s="61">
        <f t="shared" si="215"/>
        <v>0</v>
      </c>
      <c r="AO440" s="58">
        <f t="shared" ref="AO440:AO492" si="234">(IF(ISERROR(AP440/AN440),0,AP440/AN440))</f>
        <v>0</v>
      </c>
      <c r="AP440" s="61">
        <f t="shared" ref="AP440:AP491" si="235">ROUND(X440+AA440+AD440+AG440+AJ440+AM440+U440,0)</f>
        <v>0</v>
      </c>
      <c r="AQ440" s="58">
        <f t="shared" si="228"/>
        <v>255</v>
      </c>
      <c r="AR440" s="58">
        <f t="shared" si="229"/>
        <v>42017.156862745098</v>
      </c>
      <c r="AS440" s="58">
        <f t="shared" si="230"/>
        <v>10714375</v>
      </c>
      <c r="AT440" s="58">
        <f>ROUND(SUMIF('JUNE (물량흐름)'!$C$13:$C$502,'In-out-bal products (155)(완성제품)'!B440,'JUNE (물량흐름)'!$AB$13:$AB$502),0)</f>
        <v>255</v>
      </c>
      <c r="AU440" s="58">
        <f t="shared" si="231"/>
        <v>10714375</v>
      </c>
      <c r="AV440" s="58">
        <f>ROUND(SUMIF('JUNE (물량흐름)'!$C$13:$C$502,'In-out-bal products (155)(완성제품)'!B440,'JUNE (물량흐름)'!$AC$13:$AC$502),0)</f>
        <v>0</v>
      </c>
      <c r="AW440" s="58">
        <f t="shared" si="232"/>
        <v>0</v>
      </c>
      <c r="AX440" s="376">
        <f t="shared" ref="AX440:AX492" si="236">D440+P440-AN440-AQ440</f>
        <v>0</v>
      </c>
      <c r="AY440" s="377">
        <f t="shared" ref="AY440:AY492" si="237">F440+R440-AP440-AS440</f>
        <v>0</v>
      </c>
      <c r="AZ440" s="377">
        <f t="shared" ref="AZ440:AZ492" si="238">AQ440-AT440-AV440</f>
        <v>0</v>
      </c>
      <c r="BA440" s="377">
        <f t="shared" ref="BA440:BA492" si="239">AS440-AU440-AW440</f>
        <v>0</v>
      </c>
      <c r="BB440" s="377"/>
      <c r="BC440" s="377">
        <f t="shared" ref="BC440:BC492" si="240">F440+R440-AP440-AS440</f>
        <v>0</v>
      </c>
      <c r="BD440" s="377">
        <f t="shared" ref="BD440:BD492" si="241">D440+P440-AN440-AQ440</f>
        <v>0</v>
      </c>
      <c r="BE440" s="377"/>
      <c r="BF440" s="377">
        <f t="shared" ref="BF440:BF492" si="242">F440+R440-AP440-AS440</f>
        <v>0</v>
      </c>
      <c r="BG440" s="433"/>
      <c r="BH440" s="434"/>
    </row>
    <row r="441" spans="1:60" s="378" customFormat="1">
      <c r="A441" s="167">
        <v>451</v>
      </c>
      <c r="B441" s="253">
        <f>VLOOKUP(A441,'JUNE (물량흐름)'!$A$13:$C$493,3,0)</f>
        <v>100018230</v>
      </c>
      <c r="C441" s="57" t="str">
        <f>VLOOKUP(A441,'JUNE (물량흐름)'!$A$13:$C$493,2,0)</f>
        <v>ALFANI</v>
      </c>
      <c r="D441" s="58">
        <f>IFERROR(VLOOKUP(B441,O.B.JUNE!$V$7:$Y$448,2,0),0)</f>
        <v>0</v>
      </c>
      <c r="E441" s="58">
        <f>IFERROR(VLOOKUP(B441,O.B.JUNE!$V$7:$X$448,3,0),0)</f>
        <v>0</v>
      </c>
      <c r="F441" s="58">
        <f>IFERROR(VLOOKUP(B441,O.B.JUNE!$V$7:$Y$448,4,0),0)</f>
        <v>0</v>
      </c>
      <c r="G441" s="58">
        <f>SUMIF('JUNE (물량흐름)'!$C$13:$C$493,'In-out-bal products (155)(완성제품)'!B441,'JUNE (물량흐름)'!$V$13:$V$493)</f>
        <v>0</v>
      </c>
      <c r="H441" s="58">
        <f>SUMIF('JUNE (물량흐름)'!$C$13:$C$493,'In-out-bal products (155)(완성제품)'!B441,'JUNE (물량흐름)'!$T$13:$T$493)-SUMIF('JUNE (물량흐름)'!$C$13:$C$493,'In-out-bal products (155)(완성제품)'!B441,'JUNE (물량흐름)'!$Y$13:$Y$493)+SUMIF('JUNE (물량흐름)'!$C$13:$C$493,'In-out-bal products (155)(완성제품)'!B441,'JUNE (물량흐름)'!$U$13:$U$493)</f>
        <v>4877</v>
      </c>
      <c r="I441" s="58">
        <f t="shared" si="216"/>
        <v>42168.573098216119</v>
      </c>
      <c r="J441" s="58">
        <f>SUMIF('Direct labour(직접노무비)'!$C$12:$C$503,'In-out-bal products (155)(완성제품)'!B441,'Direct labour(직접노무비)'!$Q$12:$Q$503)</f>
        <v>69625709</v>
      </c>
      <c r="K441" s="59">
        <f>SUMIF('Overhead exp(제조경비)'!$C$12:$C$503,'In-out-bal products (155)(완성제품)'!B441,'Overhead exp(제조경비)'!$Q$12:$Q$503)</f>
        <v>136030422</v>
      </c>
      <c r="L441" s="58">
        <f t="shared" si="217"/>
        <v>205656131</v>
      </c>
      <c r="M441" s="58">
        <f>SUMIF('JUNE (물량흐름)'!$C$13:$C$488,'In-out-bal products (155)(완성제품)'!B441,'JUNE (물량흐름)'!$Y$13:$Y$488)</f>
        <v>4</v>
      </c>
      <c r="N441" s="58">
        <f t="shared" si="218"/>
        <v>42168.5</v>
      </c>
      <c r="O441" s="58">
        <f>SUMIF('Direct labour(직접노무비)'!$C$12:$C$503,'In-out-bal products (155)(완성제품)'!B441,'Direct labour(직접노무비)'!$U$12:$U$503)+SUMIF('Overhead exp(제조경비)'!$C$12:$C$503,'In-out-bal products (155)(완성제품)'!B441,'Overhead exp(제조경비)'!$U$12:$U$503)</f>
        <v>168674</v>
      </c>
      <c r="P441" s="60">
        <f t="shared" si="219"/>
        <v>4881</v>
      </c>
      <c r="Q441" s="60">
        <f t="shared" si="220"/>
        <v>42168.573038311821</v>
      </c>
      <c r="R441" s="60">
        <f t="shared" si="221"/>
        <v>205824805</v>
      </c>
      <c r="S441" s="58">
        <v>0</v>
      </c>
      <c r="T441" s="58">
        <v>0</v>
      </c>
      <c r="U441" s="58">
        <v>0</v>
      </c>
      <c r="V441" s="58">
        <f>SUMIF('JUNE (물량흐름)'!$C$13:$C$493,'In-out-bal products (155)(완성제품)'!B441,'JUNE (물량흐름)'!$W$13:$W$493)</f>
        <v>4797</v>
      </c>
      <c r="W441" s="58">
        <f t="shared" si="222"/>
        <v>42168.573066499899</v>
      </c>
      <c r="X441" s="58">
        <f t="shared" si="233"/>
        <v>202282645</v>
      </c>
      <c r="Y441" s="58">
        <f>SUMIF('JUNE (물량흐름)'!$C$13:$C$488,'In-out-bal products (155)(완성제품)'!B441,'JUNE (물량흐름)'!$X$13:$X$488)</f>
        <v>0</v>
      </c>
      <c r="Z441" s="58">
        <f t="shared" si="223"/>
        <v>0</v>
      </c>
      <c r="AA441" s="58">
        <f t="shared" si="224"/>
        <v>0</v>
      </c>
      <c r="AB441" s="58"/>
      <c r="AC441" s="58"/>
      <c r="AD441" s="61"/>
      <c r="AE441" s="58">
        <f t="shared" si="225"/>
        <v>4</v>
      </c>
      <c r="AF441" s="58">
        <f t="shared" si="226"/>
        <v>42168.5</v>
      </c>
      <c r="AG441" s="61">
        <f t="shared" si="227"/>
        <v>168674</v>
      </c>
      <c r="AH441" s="58">
        <v>0</v>
      </c>
      <c r="AI441" s="58">
        <v>0</v>
      </c>
      <c r="AJ441" s="61">
        <v>0</v>
      </c>
      <c r="AK441" s="58"/>
      <c r="AL441" s="58"/>
      <c r="AM441" s="61"/>
      <c r="AN441" s="61">
        <f t="shared" si="215"/>
        <v>4801</v>
      </c>
      <c r="AO441" s="58">
        <f t="shared" si="234"/>
        <v>42168.573005623832</v>
      </c>
      <c r="AP441" s="61">
        <f t="shared" si="235"/>
        <v>202451319</v>
      </c>
      <c r="AQ441" s="58">
        <f t="shared" si="228"/>
        <v>80</v>
      </c>
      <c r="AR441" s="58">
        <f t="shared" si="229"/>
        <v>42168.574999999997</v>
      </c>
      <c r="AS441" s="58">
        <f t="shared" si="230"/>
        <v>3373486</v>
      </c>
      <c r="AT441" s="58">
        <f>ROUND(SUMIF('JUNE (물량흐름)'!$C$13:$C$502,'In-out-bal products (155)(완성제품)'!B441,'JUNE (물량흐름)'!$AB$13:$AB$502),0)</f>
        <v>0</v>
      </c>
      <c r="AU441" s="58">
        <f t="shared" si="231"/>
        <v>0</v>
      </c>
      <c r="AV441" s="58">
        <f>ROUND(SUMIF('JUNE (물량흐름)'!$C$13:$C$502,'In-out-bal products (155)(완성제품)'!B441,'JUNE (물량흐름)'!$AC$13:$AC$502),0)</f>
        <v>80</v>
      </c>
      <c r="AW441" s="58">
        <f t="shared" si="232"/>
        <v>3373486</v>
      </c>
      <c r="AX441" s="376">
        <f t="shared" si="236"/>
        <v>0</v>
      </c>
      <c r="AY441" s="377">
        <f t="shared" si="237"/>
        <v>0</v>
      </c>
      <c r="AZ441" s="377">
        <f t="shared" si="238"/>
        <v>0</v>
      </c>
      <c r="BA441" s="377">
        <f t="shared" si="239"/>
        <v>0</v>
      </c>
      <c r="BB441" s="377"/>
      <c r="BC441" s="377">
        <f t="shared" si="240"/>
        <v>0</v>
      </c>
      <c r="BD441" s="377">
        <f t="shared" si="241"/>
        <v>0</v>
      </c>
      <c r="BE441" s="377"/>
      <c r="BF441" s="377">
        <f t="shared" si="242"/>
        <v>0</v>
      </c>
      <c r="BG441" s="433"/>
      <c r="BH441" s="434"/>
    </row>
    <row r="442" spans="1:60" s="378" customFormat="1">
      <c r="A442" s="167">
        <v>452</v>
      </c>
      <c r="B442" s="253">
        <f>VLOOKUP(A442,'JUNE (물량흐름)'!$A$13:$C$493,3,0)</f>
        <v>100024454</v>
      </c>
      <c r="C442" s="57" t="str">
        <f>VLOOKUP(A442,'JUNE (물량흐름)'!$A$13:$C$493,2,0)</f>
        <v>ALFANI</v>
      </c>
      <c r="D442" s="58">
        <f>IFERROR(VLOOKUP(B442,O.B.JUNE!$V$7:$Y$448,2,0),0)</f>
        <v>0</v>
      </c>
      <c r="E442" s="58">
        <f>IFERROR(VLOOKUP(B442,O.B.JUNE!$V$7:$X$448,3,0),0)</f>
        <v>0</v>
      </c>
      <c r="F442" s="58">
        <f>IFERROR(VLOOKUP(B442,O.B.JUNE!$V$7:$Y$448,4,0),0)</f>
        <v>0</v>
      </c>
      <c r="G442" s="58">
        <f>SUMIF('JUNE (물량흐름)'!$C$13:$C$493,'In-out-bal products (155)(완성제품)'!B442,'JUNE (물량흐름)'!$V$13:$V$493)</f>
        <v>0</v>
      </c>
      <c r="H442" s="58">
        <f>SUMIF('JUNE (물량흐름)'!$C$13:$C$493,'In-out-bal products (155)(완성제품)'!B442,'JUNE (물량흐름)'!$T$13:$T$493)-SUMIF('JUNE (물량흐름)'!$C$13:$C$493,'In-out-bal products (155)(완성제품)'!B442,'JUNE (물량흐름)'!$Y$13:$Y$493)+SUMIF('JUNE (물량흐름)'!$C$13:$C$493,'In-out-bal products (155)(완성제품)'!B442,'JUNE (물량흐름)'!$U$13:$U$493)</f>
        <v>1043</v>
      </c>
      <c r="I442" s="58">
        <f t="shared" si="216"/>
        <v>25033.839884947269</v>
      </c>
      <c r="J442" s="58">
        <f>SUMIF('Direct labour(직접노무비)'!$C$12:$C$503,'In-out-bal products (155)(완성제품)'!B442,'Direct labour(직접노무비)'!$Q$12:$Q$503)</f>
        <v>8839745</v>
      </c>
      <c r="K442" s="59">
        <f>SUMIF('Overhead exp(제조경비)'!$C$12:$C$503,'In-out-bal products (155)(완성제품)'!B442,'Overhead exp(제조경비)'!$Q$12:$Q$503)</f>
        <v>17270550</v>
      </c>
      <c r="L442" s="58">
        <f t="shared" si="217"/>
        <v>26110295</v>
      </c>
      <c r="M442" s="58">
        <f>SUMIF('JUNE (물량흐름)'!$C$13:$C$488,'In-out-bal products (155)(완성제품)'!B442,'JUNE (물량흐름)'!$Y$13:$Y$488)</f>
        <v>0</v>
      </c>
      <c r="N442" s="58">
        <f t="shared" si="218"/>
        <v>0</v>
      </c>
      <c r="O442" s="58">
        <f>SUMIF('Direct labour(직접노무비)'!$C$12:$C$503,'In-out-bal products (155)(완성제품)'!B442,'Direct labour(직접노무비)'!$U$12:$U$503)+SUMIF('Overhead exp(제조경비)'!$C$12:$C$503,'In-out-bal products (155)(완성제품)'!B442,'Overhead exp(제조경비)'!$U$12:$U$503)</f>
        <v>0</v>
      </c>
      <c r="P442" s="60">
        <f t="shared" si="219"/>
        <v>1043</v>
      </c>
      <c r="Q442" s="60">
        <f t="shared" si="220"/>
        <v>25033.839884947269</v>
      </c>
      <c r="R442" s="60">
        <f t="shared" si="221"/>
        <v>26110295</v>
      </c>
      <c r="S442" s="58">
        <v>0</v>
      </c>
      <c r="T442" s="58">
        <v>0</v>
      </c>
      <c r="U442" s="58">
        <v>0</v>
      </c>
      <c r="V442" s="58">
        <f>SUMIF('JUNE (물량흐름)'!$C$13:$C$493,'In-out-bal products (155)(완성제품)'!B442,'JUNE (물량흐름)'!$W$13:$W$493)</f>
        <v>0</v>
      </c>
      <c r="W442" s="58">
        <f t="shared" si="222"/>
        <v>0</v>
      </c>
      <c r="X442" s="58">
        <f t="shared" si="233"/>
        <v>0</v>
      </c>
      <c r="Y442" s="58">
        <f>SUMIF('JUNE (물량흐름)'!$C$13:$C$488,'In-out-bal products (155)(완성제품)'!B442,'JUNE (물량흐름)'!$X$13:$X$488)</f>
        <v>0</v>
      </c>
      <c r="Z442" s="58">
        <f t="shared" si="223"/>
        <v>0</v>
      </c>
      <c r="AA442" s="58">
        <f t="shared" si="224"/>
        <v>0</v>
      </c>
      <c r="AB442" s="58"/>
      <c r="AC442" s="58"/>
      <c r="AD442" s="61"/>
      <c r="AE442" s="58">
        <f t="shared" si="225"/>
        <v>0</v>
      </c>
      <c r="AF442" s="58">
        <f t="shared" si="226"/>
        <v>0</v>
      </c>
      <c r="AG442" s="61">
        <f t="shared" si="227"/>
        <v>0</v>
      </c>
      <c r="AH442" s="58">
        <v>0</v>
      </c>
      <c r="AI442" s="58">
        <v>0</v>
      </c>
      <c r="AJ442" s="61">
        <v>0</v>
      </c>
      <c r="AK442" s="58"/>
      <c r="AL442" s="58"/>
      <c r="AM442" s="61"/>
      <c r="AN442" s="61">
        <f t="shared" si="215"/>
        <v>0</v>
      </c>
      <c r="AO442" s="58">
        <f t="shared" si="234"/>
        <v>0</v>
      </c>
      <c r="AP442" s="61">
        <f t="shared" si="235"/>
        <v>0</v>
      </c>
      <c r="AQ442" s="58">
        <f t="shared" si="228"/>
        <v>1043</v>
      </c>
      <c r="AR442" s="58">
        <f t="shared" si="229"/>
        <v>25033.839884947269</v>
      </c>
      <c r="AS442" s="58">
        <f t="shared" si="230"/>
        <v>26110295</v>
      </c>
      <c r="AT442" s="58">
        <f>ROUND(SUMIF('JUNE (물량흐름)'!$C$13:$C$502,'In-out-bal products (155)(완성제품)'!B442,'JUNE (물량흐름)'!$AB$13:$AB$502),0)</f>
        <v>1043</v>
      </c>
      <c r="AU442" s="58">
        <f t="shared" si="231"/>
        <v>26110295</v>
      </c>
      <c r="AV442" s="58">
        <f>ROUND(SUMIF('JUNE (물량흐름)'!$C$13:$C$502,'In-out-bal products (155)(완성제품)'!B442,'JUNE (물량흐름)'!$AC$13:$AC$502),0)</f>
        <v>0</v>
      </c>
      <c r="AW442" s="58">
        <f t="shared" si="232"/>
        <v>0</v>
      </c>
      <c r="AX442" s="376">
        <f t="shared" si="236"/>
        <v>0</v>
      </c>
      <c r="AY442" s="377">
        <f t="shared" si="237"/>
        <v>0</v>
      </c>
      <c r="AZ442" s="377">
        <f t="shared" si="238"/>
        <v>0</v>
      </c>
      <c r="BA442" s="377">
        <f t="shared" si="239"/>
        <v>0</v>
      </c>
      <c r="BB442" s="377"/>
      <c r="BC442" s="377">
        <f t="shared" si="240"/>
        <v>0</v>
      </c>
      <c r="BD442" s="377">
        <f t="shared" si="241"/>
        <v>0</v>
      </c>
      <c r="BE442" s="377"/>
      <c r="BF442" s="377">
        <f t="shared" si="242"/>
        <v>0</v>
      </c>
      <c r="BG442" s="433"/>
      <c r="BH442" s="434"/>
    </row>
    <row r="443" spans="1:60" s="378" customFormat="1">
      <c r="A443" s="167">
        <v>453</v>
      </c>
      <c r="B443" s="253">
        <f>VLOOKUP(A443,'JUNE (물량흐름)'!$A$13:$C$493,3,0)</f>
        <v>100024455</v>
      </c>
      <c r="C443" s="57" t="str">
        <f>VLOOKUP(A443,'JUNE (물량흐름)'!$A$13:$C$493,2,0)</f>
        <v>ALFANI</v>
      </c>
      <c r="D443" s="58">
        <f>IFERROR(VLOOKUP(B443,O.B.JUNE!$V$7:$Y$448,2,0),0)</f>
        <v>0</v>
      </c>
      <c r="E443" s="58">
        <f>IFERROR(VLOOKUP(B443,O.B.JUNE!$V$7:$X$448,3,0),0)</f>
        <v>0</v>
      </c>
      <c r="F443" s="58">
        <f>IFERROR(VLOOKUP(B443,O.B.JUNE!$V$7:$Y$448,4,0),0)</f>
        <v>0</v>
      </c>
      <c r="G443" s="58">
        <f>SUMIF('JUNE (물량흐름)'!$C$13:$C$493,'In-out-bal products (155)(완성제품)'!B443,'JUNE (물량흐름)'!$V$13:$V$493)</f>
        <v>0</v>
      </c>
      <c r="H443" s="58">
        <f>SUMIF('JUNE (물량흐름)'!$C$13:$C$493,'In-out-bal products (155)(완성제품)'!B443,'JUNE (물량흐름)'!$T$13:$T$493)-SUMIF('JUNE (물량흐름)'!$C$13:$C$493,'In-out-bal products (155)(완성제품)'!B443,'JUNE (물량흐름)'!$Y$13:$Y$493)+SUMIF('JUNE (물량흐름)'!$C$13:$C$493,'In-out-bal products (155)(완성제품)'!B443,'JUNE (물량흐름)'!$U$13:$U$493)</f>
        <v>402</v>
      </c>
      <c r="I443" s="58">
        <f t="shared" si="216"/>
        <v>17435.666666666668</v>
      </c>
      <c r="J443" s="58">
        <f>SUMIF('Direct labour(직접노무비)'!$C$12:$C$503,'In-out-bal products (155)(완성제품)'!B443,'Direct labour(직접노무비)'!$Q$12:$Q$503)</f>
        <v>2372972</v>
      </c>
      <c r="K443" s="59">
        <f>SUMIF('Overhead exp(제조경비)'!$C$12:$C$503,'In-out-bal products (155)(완성제품)'!B443,'Overhead exp(제조경비)'!$Q$12:$Q$503)</f>
        <v>4636166</v>
      </c>
      <c r="L443" s="58">
        <f t="shared" si="217"/>
        <v>7009138</v>
      </c>
      <c r="M443" s="58">
        <f>SUMIF('JUNE (물량흐름)'!$C$13:$C$488,'In-out-bal products (155)(완성제품)'!B443,'JUNE (물량흐름)'!$Y$13:$Y$488)</f>
        <v>0</v>
      </c>
      <c r="N443" s="58">
        <f t="shared" si="218"/>
        <v>0</v>
      </c>
      <c r="O443" s="58">
        <f>SUMIF('Direct labour(직접노무비)'!$C$12:$C$503,'In-out-bal products (155)(완성제품)'!B443,'Direct labour(직접노무비)'!$U$12:$U$503)+SUMIF('Overhead exp(제조경비)'!$C$12:$C$503,'In-out-bal products (155)(완성제품)'!B443,'Overhead exp(제조경비)'!$U$12:$U$503)</f>
        <v>0</v>
      </c>
      <c r="P443" s="60">
        <f t="shared" si="219"/>
        <v>402</v>
      </c>
      <c r="Q443" s="60">
        <f t="shared" si="220"/>
        <v>17435.666666666668</v>
      </c>
      <c r="R443" s="60">
        <f t="shared" si="221"/>
        <v>7009138</v>
      </c>
      <c r="S443" s="58">
        <v>0</v>
      </c>
      <c r="T443" s="58">
        <v>0</v>
      </c>
      <c r="U443" s="58">
        <v>0</v>
      </c>
      <c r="V443" s="58">
        <f>SUMIF('JUNE (물량흐름)'!$C$13:$C$493,'In-out-bal products (155)(완성제품)'!B443,'JUNE (물량흐름)'!$W$13:$W$493)</f>
        <v>0</v>
      </c>
      <c r="W443" s="58">
        <f t="shared" si="222"/>
        <v>0</v>
      </c>
      <c r="X443" s="58">
        <f t="shared" si="233"/>
        <v>0</v>
      </c>
      <c r="Y443" s="58">
        <f>SUMIF('JUNE (물량흐름)'!$C$13:$C$488,'In-out-bal products (155)(완성제품)'!B443,'JUNE (물량흐름)'!$X$13:$X$488)</f>
        <v>0</v>
      </c>
      <c r="Z443" s="58">
        <f t="shared" si="223"/>
        <v>0</v>
      </c>
      <c r="AA443" s="58">
        <f t="shared" si="224"/>
        <v>0</v>
      </c>
      <c r="AB443" s="58"/>
      <c r="AC443" s="58"/>
      <c r="AD443" s="61"/>
      <c r="AE443" s="58">
        <f t="shared" si="225"/>
        <v>0</v>
      </c>
      <c r="AF443" s="58">
        <f t="shared" si="226"/>
        <v>0</v>
      </c>
      <c r="AG443" s="61">
        <f t="shared" si="227"/>
        <v>0</v>
      </c>
      <c r="AH443" s="58">
        <v>0</v>
      </c>
      <c r="AI443" s="58">
        <v>0</v>
      </c>
      <c r="AJ443" s="61">
        <v>0</v>
      </c>
      <c r="AK443" s="58"/>
      <c r="AL443" s="58"/>
      <c r="AM443" s="61"/>
      <c r="AN443" s="61">
        <f t="shared" si="215"/>
        <v>0</v>
      </c>
      <c r="AO443" s="58">
        <f t="shared" si="234"/>
        <v>0</v>
      </c>
      <c r="AP443" s="61">
        <f t="shared" si="235"/>
        <v>0</v>
      </c>
      <c r="AQ443" s="58">
        <f t="shared" si="228"/>
        <v>402</v>
      </c>
      <c r="AR443" s="58">
        <f t="shared" si="229"/>
        <v>17435.666666666668</v>
      </c>
      <c r="AS443" s="58">
        <f t="shared" si="230"/>
        <v>7009138</v>
      </c>
      <c r="AT443" s="58">
        <f>ROUND(SUMIF('JUNE (물량흐름)'!$C$13:$C$502,'In-out-bal products (155)(완성제품)'!B443,'JUNE (물량흐름)'!$AB$13:$AB$502),0)</f>
        <v>402</v>
      </c>
      <c r="AU443" s="58">
        <f t="shared" si="231"/>
        <v>7009138</v>
      </c>
      <c r="AV443" s="58">
        <f>ROUND(SUMIF('JUNE (물량흐름)'!$C$13:$C$502,'In-out-bal products (155)(완성제품)'!B443,'JUNE (물량흐름)'!$AC$13:$AC$502),0)</f>
        <v>0</v>
      </c>
      <c r="AW443" s="58">
        <f t="shared" si="232"/>
        <v>0</v>
      </c>
      <c r="AX443" s="376">
        <f t="shared" si="236"/>
        <v>0</v>
      </c>
      <c r="AY443" s="377">
        <f t="shared" si="237"/>
        <v>0</v>
      </c>
      <c r="AZ443" s="377">
        <f t="shared" si="238"/>
        <v>0</v>
      </c>
      <c r="BA443" s="377">
        <f t="shared" si="239"/>
        <v>0</v>
      </c>
      <c r="BB443" s="377"/>
      <c r="BC443" s="377">
        <f t="shared" si="240"/>
        <v>0</v>
      </c>
      <c r="BD443" s="377">
        <f t="shared" si="241"/>
        <v>0</v>
      </c>
      <c r="BE443" s="377"/>
      <c r="BF443" s="377">
        <f t="shared" si="242"/>
        <v>0</v>
      </c>
      <c r="BG443" s="433"/>
      <c r="BH443" s="434"/>
    </row>
    <row r="444" spans="1:60" s="378" customFormat="1">
      <c r="A444" s="167">
        <v>454</v>
      </c>
      <c r="B444" s="253">
        <f>VLOOKUP(A444,'JUNE (물량흐름)'!$A$13:$C$493,3,0)</f>
        <v>100024464</v>
      </c>
      <c r="C444" s="57" t="str">
        <f>VLOOKUP(A444,'JUNE (물량흐름)'!$A$13:$C$493,2,0)</f>
        <v>ALFANI</v>
      </c>
      <c r="D444" s="58">
        <f>IFERROR(VLOOKUP(B444,O.B.JUNE!$V$7:$Y$448,2,0),0)</f>
        <v>0</v>
      </c>
      <c r="E444" s="58">
        <f>IFERROR(VLOOKUP(B444,O.B.JUNE!$V$7:$X$448,3,0),0)</f>
        <v>0</v>
      </c>
      <c r="F444" s="58">
        <f>IFERROR(VLOOKUP(B444,O.B.JUNE!$V$7:$Y$448,4,0),0)</f>
        <v>0</v>
      </c>
      <c r="G444" s="58">
        <f>SUMIF('JUNE (물량흐름)'!$C$13:$C$493,'In-out-bal products (155)(완성제품)'!B444,'JUNE (물량흐름)'!$V$13:$V$493)</f>
        <v>0</v>
      </c>
      <c r="H444" s="58">
        <f>SUMIF('JUNE (물량흐름)'!$C$13:$C$493,'In-out-bal products (155)(완성제품)'!B444,'JUNE (물량흐름)'!$T$13:$T$493)-SUMIF('JUNE (물량흐름)'!$C$13:$C$493,'In-out-bal products (155)(완성제품)'!B444,'JUNE (물량흐름)'!$Y$13:$Y$493)+SUMIF('JUNE (물량흐름)'!$C$13:$C$493,'In-out-bal products (155)(완성제품)'!B444,'JUNE (물량흐름)'!$U$13:$U$493)</f>
        <v>2065</v>
      </c>
      <c r="I444" s="58">
        <f t="shared" si="216"/>
        <v>35818.16464891041</v>
      </c>
      <c r="J444" s="58">
        <f>SUMIF('Direct labour(직접노무비)'!$C$12:$C$503,'In-out-bal products (155)(완성제품)'!B444,'Direct labour(직접노무비)'!$Q$12:$Q$503)</f>
        <v>25040982</v>
      </c>
      <c r="K444" s="59">
        <f>SUMIF('Overhead exp(제조경비)'!$C$12:$C$503,'In-out-bal products (155)(완성제품)'!B444,'Overhead exp(제조경비)'!$Q$12:$Q$503)</f>
        <v>48923528</v>
      </c>
      <c r="L444" s="58">
        <f t="shared" si="217"/>
        <v>73964510</v>
      </c>
      <c r="M444" s="58">
        <f>SUMIF('JUNE (물량흐름)'!$C$13:$C$488,'In-out-bal products (155)(완성제품)'!B444,'JUNE (물량흐름)'!$Y$13:$Y$488)</f>
        <v>0</v>
      </c>
      <c r="N444" s="58">
        <f t="shared" si="218"/>
        <v>0</v>
      </c>
      <c r="O444" s="58">
        <f>SUMIF('Direct labour(직접노무비)'!$C$12:$C$503,'In-out-bal products (155)(완성제품)'!B444,'Direct labour(직접노무비)'!$U$12:$U$503)+SUMIF('Overhead exp(제조경비)'!$C$12:$C$503,'In-out-bal products (155)(완성제품)'!B444,'Overhead exp(제조경비)'!$U$12:$U$503)</f>
        <v>0</v>
      </c>
      <c r="P444" s="60">
        <f t="shared" si="219"/>
        <v>2065</v>
      </c>
      <c r="Q444" s="60">
        <f t="shared" si="220"/>
        <v>35818.16464891041</v>
      </c>
      <c r="R444" s="60">
        <f t="shared" si="221"/>
        <v>73964510</v>
      </c>
      <c r="S444" s="58">
        <v>0</v>
      </c>
      <c r="T444" s="58">
        <v>0</v>
      </c>
      <c r="U444" s="58">
        <v>0</v>
      </c>
      <c r="V444" s="58">
        <f>SUMIF('JUNE (물량흐름)'!$C$13:$C$493,'In-out-bal products (155)(완성제품)'!B444,'JUNE (물량흐름)'!$W$13:$W$493)</f>
        <v>0</v>
      </c>
      <c r="W444" s="58">
        <f t="shared" si="222"/>
        <v>0</v>
      </c>
      <c r="X444" s="58">
        <f t="shared" si="233"/>
        <v>0</v>
      </c>
      <c r="Y444" s="58">
        <f>SUMIF('JUNE (물량흐름)'!$C$13:$C$488,'In-out-bal products (155)(완성제품)'!B444,'JUNE (물량흐름)'!$X$13:$X$488)</f>
        <v>0</v>
      </c>
      <c r="Z444" s="58">
        <f t="shared" si="223"/>
        <v>0</v>
      </c>
      <c r="AA444" s="58">
        <f t="shared" si="224"/>
        <v>0</v>
      </c>
      <c r="AB444" s="58"/>
      <c r="AC444" s="58"/>
      <c r="AD444" s="61"/>
      <c r="AE444" s="58">
        <f t="shared" si="225"/>
        <v>0</v>
      </c>
      <c r="AF444" s="58">
        <f t="shared" si="226"/>
        <v>0</v>
      </c>
      <c r="AG444" s="61">
        <f t="shared" si="227"/>
        <v>0</v>
      </c>
      <c r="AH444" s="58">
        <v>0</v>
      </c>
      <c r="AI444" s="58">
        <v>0</v>
      </c>
      <c r="AJ444" s="61">
        <v>0</v>
      </c>
      <c r="AK444" s="58"/>
      <c r="AL444" s="58"/>
      <c r="AM444" s="61"/>
      <c r="AN444" s="61">
        <f t="shared" si="215"/>
        <v>0</v>
      </c>
      <c r="AO444" s="58">
        <f t="shared" si="234"/>
        <v>0</v>
      </c>
      <c r="AP444" s="61">
        <f t="shared" si="235"/>
        <v>0</v>
      </c>
      <c r="AQ444" s="58">
        <f t="shared" si="228"/>
        <v>2065</v>
      </c>
      <c r="AR444" s="58">
        <f t="shared" si="229"/>
        <v>35818.16464891041</v>
      </c>
      <c r="AS444" s="58">
        <f t="shared" si="230"/>
        <v>73964510</v>
      </c>
      <c r="AT444" s="58">
        <f>ROUND(SUMIF('JUNE (물량흐름)'!$C$13:$C$502,'In-out-bal products (155)(완성제품)'!B444,'JUNE (물량흐름)'!$AB$13:$AB$502),0)</f>
        <v>2065</v>
      </c>
      <c r="AU444" s="58">
        <f t="shared" si="231"/>
        <v>73964510</v>
      </c>
      <c r="AV444" s="58">
        <f>ROUND(SUMIF('JUNE (물량흐름)'!$C$13:$C$502,'In-out-bal products (155)(완성제품)'!B444,'JUNE (물량흐름)'!$AC$13:$AC$502),0)</f>
        <v>0</v>
      </c>
      <c r="AW444" s="58">
        <f t="shared" si="232"/>
        <v>0</v>
      </c>
      <c r="AX444" s="376">
        <f t="shared" si="236"/>
        <v>0</v>
      </c>
      <c r="AY444" s="377">
        <f t="shared" si="237"/>
        <v>0</v>
      </c>
      <c r="AZ444" s="377">
        <f t="shared" si="238"/>
        <v>0</v>
      </c>
      <c r="BA444" s="377">
        <f t="shared" si="239"/>
        <v>0</v>
      </c>
      <c r="BB444" s="377"/>
      <c r="BC444" s="377">
        <f t="shared" si="240"/>
        <v>0</v>
      </c>
      <c r="BD444" s="377">
        <f t="shared" si="241"/>
        <v>0</v>
      </c>
      <c r="BE444" s="377"/>
      <c r="BF444" s="377">
        <f t="shared" si="242"/>
        <v>0</v>
      </c>
      <c r="BG444" s="433"/>
      <c r="BH444" s="434"/>
    </row>
    <row r="445" spans="1:60" s="378" customFormat="1">
      <c r="A445" s="167">
        <v>455</v>
      </c>
      <c r="B445" s="253">
        <f>VLOOKUP(A445,'JUNE (물량흐름)'!$A$13:$C$493,3,0)</f>
        <v>100024758</v>
      </c>
      <c r="C445" s="57" t="str">
        <f>VLOOKUP(A445,'JUNE (물량흐름)'!$A$13:$C$493,2,0)</f>
        <v>ALFANI</v>
      </c>
      <c r="D445" s="58">
        <f>IFERROR(VLOOKUP(B445,O.B.JUNE!$V$7:$Y$448,2,0),0)</f>
        <v>0</v>
      </c>
      <c r="E445" s="58">
        <f>IFERROR(VLOOKUP(B445,O.B.JUNE!$V$7:$X$448,3,0),0)</f>
        <v>0</v>
      </c>
      <c r="F445" s="58">
        <f>IFERROR(VLOOKUP(B445,O.B.JUNE!$V$7:$Y$448,4,0),0)</f>
        <v>0</v>
      </c>
      <c r="G445" s="58">
        <f>SUMIF('JUNE (물량흐름)'!$C$13:$C$493,'In-out-bal products (155)(완성제품)'!B445,'JUNE (물량흐름)'!$V$13:$V$493)</f>
        <v>0</v>
      </c>
      <c r="H445" s="58">
        <f>SUMIF('JUNE (물량흐름)'!$C$13:$C$493,'In-out-bal products (155)(완성제품)'!B445,'JUNE (물량흐름)'!$T$13:$T$493)-SUMIF('JUNE (물량흐름)'!$C$13:$C$493,'In-out-bal products (155)(완성제품)'!B445,'JUNE (물량흐름)'!$Y$13:$Y$493)+SUMIF('JUNE (물량흐름)'!$C$13:$C$493,'In-out-bal products (155)(완성제품)'!B445,'JUNE (물량흐름)'!$U$13:$U$493)</f>
        <v>0</v>
      </c>
      <c r="I445" s="58">
        <f t="shared" si="216"/>
        <v>0</v>
      </c>
      <c r="J445" s="58">
        <f>SUMIF('Direct labour(직접노무비)'!$C$12:$C$503,'In-out-bal products (155)(완성제품)'!B445,'Direct labour(직접노무비)'!$Q$12:$Q$503)</f>
        <v>0</v>
      </c>
      <c r="K445" s="59">
        <f>SUMIF('Overhead exp(제조경비)'!$C$12:$C$503,'In-out-bal products (155)(완성제품)'!B445,'Overhead exp(제조경비)'!$Q$12:$Q$503)</f>
        <v>0</v>
      </c>
      <c r="L445" s="58">
        <f t="shared" si="217"/>
        <v>0</v>
      </c>
      <c r="M445" s="58">
        <f>SUMIF('JUNE (물량흐름)'!$C$13:$C$488,'In-out-bal products (155)(완성제품)'!B445,'JUNE (물량흐름)'!$Y$13:$Y$488)</f>
        <v>0</v>
      </c>
      <c r="N445" s="58">
        <f t="shared" si="218"/>
        <v>0</v>
      </c>
      <c r="O445" s="58">
        <f>SUMIF('Direct labour(직접노무비)'!$C$12:$C$503,'In-out-bal products (155)(완성제품)'!B445,'Direct labour(직접노무비)'!$U$12:$U$503)+SUMIF('Overhead exp(제조경비)'!$C$12:$C$503,'In-out-bal products (155)(완성제품)'!B445,'Overhead exp(제조경비)'!$U$12:$U$503)</f>
        <v>0</v>
      </c>
      <c r="P445" s="60">
        <f t="shared" si="219"/>
        <v>0</v>
      </c>
      <c r="Q445" s="60">
        <f t="shared" si="220"/>
        <v>0</v>
      </c>
      <c r="R445" s="60">
        <f t="shared" si="221"/>
        <v>0</v>
      </c>
      <c r="S445" s="58">
        <v>0</v>
      </c>
      <c r="T445" s="58">
        <v>0</v>
      </c>
      <c r="U445" s="58">
        <v>0</v>
      </c>
      <c r="V445" s="58">
        <f>SUMIF('JUNE (물량흐름)'!$C$13:$C$493,'In-out-bal products (155)(완성제품)'!B445,'JUNE (물량흐름)'!$W$13:$W$493)</f>
        <v>0</v>
      </c>
      <c r="W445" s="58">
        <f t="shared" si="222"/>
        <v>0</v>
      </c>
      <c r="X445" s="58">
        <f t="shared" si="233"/>
        <v>0</v>
      </c>
      <c r="Y445" s="58">
        <f>SUMIF('JUNE (물량흐름)'!$C$13:$C$488,'In-out-bal products (155)(완성제품)'!B445,'JUNE (물량흐름)'!$X$13:$X$488)</f>
        <v>0</v>
      </c>
      <c r="Z445" s="58">
        <f t="shared" si="223"/>
        <v>0</v>
      </c>
      <c r="AA445" s="58">
        <f t="shared" si="224"/>
        <v>0</v>
      </c>
      <c r="AB445" s="58"/>
      <c r="AC445" s="58"/>
      <c r="AD445" s="61"/>
      <c r="AE445" s="58">
        <f t="shared" si="225"/>
        <v>0</v>
      </c>
      <c r="AF445" s="58">
        <f t="shared" si="226"/>
        <v>0</v>
      </c>
      <c r="AG445" s="61">
        <f t="shared" si="227"/>
        <v>0</v>
      </c>
      <c r="AH445" s="58">
        <v>0</v>
      </c>
      <c r="AI445" s="58">
        <v>0</v>
      </c>
      <c r="AJ445" s="61">
        <v>0</v>
      </c>
      <c r="AK445" s="58"/>
      <c r="AL445" s="58"/>
      <c r="AM445" s="61"/>
      <c r="AN445" s="61">
        <f t="shared" si="215"/>
        <v>0</v>
      </c>
      <c r="AO445" s="58">
        <f t="shared" si="234"/>
        <v>0</v>
      </c>
      <c r="AP445" s="61">
        <f t="shared" si="235"/>
        <v>0</v>
      </c>
      <c r="AQ445" s="58">
        <f t="shared" si="228"/>
        <v>0</v>
      </c>
      <c r="AR445" s="58">
        <f t="shared" si="229"/>
        <v>0</v>
      </c>
      <c r="AS445" s="58">
        <f t="shared" si="230"/>
        <v>0</v>
      </c>
      <c r="AT445" s="58">
        <f>ROUND(SUMIF('JUNE (물량흐름)'!$C$13:$C$502,'In-out-bal products (155)(완성제품)'!B445,'JUNE (물량흐름)'!$AB$13:$AB$502),0)</f>
        <v>0</v>
      </c>
      <c r="AU445" s="58">
        <f t="shared" si="231"/>
        <v>0</v>
      </c>
      <c r="AV445" s="58">
        <f>ROUND(SUMIF('JUNE (물량흐름)'!$C$13:$C$502,'In-out-bal products (155)(완성제품)'!B445,'JUNE (물량흐름)'!$AC$13:$AC$502),0)</f>
        <v>0</v>
      </c>
      <c r="AW445" s="58">
        <f t="shared" si="232"/>
        <v>0</v>
      </c>
      <c r="AX445" s="376">
        <f t="shared" si="236"/>
        <v>0</v>
      </c>
      <c r="AY445" s="377">
        <f t="shared" si="237"/>
        <v>0</v>
      </c>
      <c r="AZ445" s="377">
        <f t="shared" si="238"/>
        <v>0</v>
      </c>
      <c r="BA445" s="377">
        <f t="shared" si="239"/>
        <v>0</v>
      </c>
      <c r="BB445" s="377"/>
      <c r="BC445" s="377">
        <f t="shared" si="240"/>
        <v>0</v>
      </c>
      <c r="BD445" s="377">
        <f t="shared" si="241"/>
        <v>0</v>
      </c>
      <c r="BE445" s="377"/>
      <c r="BF445" s="377">
        <f t="shared" si="242"/>
        <v>0</v>
      </c>
      <c r="BG445" s="433"/>
      <c r="BH445" s="434"/>
    </row>
    <row r="446" spans="1:60" s="378" customFormat="1">
      <c r="A446" s="167">
        <v>456</v>
      </c>
      <c r="B446" s="253">
        <f>VLOOKUP(A446,'JUNE (물량흐름)'!$A$13:$C$493,3,0)</f>
        <v>100024806</v>
      </c>
      <c r="C446" s="57" t="str">
        <f>VLOOKUP(A446,'JUNE (물량흐름)'!$A$13:$C$493,2,0)</f>
        <v>ALFANI</v>
      </c>
      <c r="D446" s="58">
        <f>IFERROR(VLOOKUP(B446,O.B.JUNE!$V$7:$Y$448,2,0),0)</f>
        <v>0</v>
      </c>
      <c r="E446" s="58">
        <f>IFERROR(VLOOKUP(B446,O.B.JUNE!$V$7:$X$448,3,0),0)</f>
        <v>0</v>
      </c>
      <c r="F446" s="58">
        <f>IFERROR(VLOOKUP(B446,O.B.JUNE!$V$7:$Y$448,4,0),0)</f>
        <v>0</v>
      </c>
      <c r="G446" s="58">
        <f>SUMIF('JUNE (물량흐름)'!$C$13:$C$493,'In-out-bal products (155)(완성제품)'!B446,'JUNE (물량흐름)'!$V$13:$V$493)</f>
        <v>0</v>
      </c>
      <c r="H446" s="58">
        <f>SUMIF('JUNE (물량흐름)'!$C$13:$C$493,'In-out-bal products (155)(완성제품)'!B446,'JUNE (물량흐름)'!$T$13:$T$493)-SUMIF('JUNE (물량흐름)'!$C$13:$C$493,'In-out-bal products (155)(완성제품)'!B446,'JUNE (물량흐름)'!$Y$13:$Y$493)+SUMIF('JUNE (물량흐름)'!$C$13:$C$493,'In-out-bal products (155)(완성제품)'!B446,'JUNE (물량흐름)'!$U$13:$U$493)</f>
        <v>2630</v>
      </c>
      <c r="I446" s="58">
        <f t="shared" si="216"/>
        <v>42792.733460076044</v>
      </c>
      <c r="J446" s="58">
        <f>SUMIF('Direct labour(직접노무비)'!$C$12:$C$503,'In-out-bal products (155)(완성제품)'!B446,'Direct labour(직접노무비)'!$Q$12:$Q$503)</f>
        <v>38102524</v>
      </c>
      <c r="K446" s="59">
        <f>SUMIF('Overhead exp(제조경비)'!$C$12:$C$503,'In-out-bal products (155)(완성제품)'!B446,'Overhead exp(제조경비)'!$Q$12:$Q$503)</f>
        <v>74442365</v>
      </c>
      <c r="L446" s="58">
        <f t="shared" si="217"/>
        <v>112544889</v>
      </c>
      <c r="M446" s="58">
        <f>SUMIF('JUNE (물량흐름)'!$C$13:$C$488,'In-out-bal products (155)(완성제품)'!B446,'JUNE (물량흐름)'!$Y$13:$Y$488)</f>
        <v>0</v>
      </c>
      <c r="N446" s="58">
        <f t="shared" si="218"/>
        <v>0</v>
      </c>
      <c r="O446" s="58">
        <f>SUMIF('Direct labour(직접노무비)'!$C$12:$C$503,'In-out-bal products (155)(완성제품)'!B446,'Direct labour(직접노무비)'!$U$12:$U$503)+SUMIF('Overhead exp(제조경비)'!$C$12:$C$503,'In-out-bal products (155)(완성제품)'!B446,'Overhead exp(제조경비)'!$U$12:$U$503)</f>
        <v>0</v>
      </c>
      <c r="P446" s="60">
        <f t="shared" si="219"/>
        <v>2630</v>
      </c>
      <c r="Q446" s="60">
        <f t="shared" si="220"/>
        <v>42792.733460076044</v>
      </c>
      <c r="R446" s="60">
        <f t="shared" si="221"/>
        <v>112544889</v>
      </c>
      <c r="S446" s="58">
        <v>0</v>
      </c>
      <c r="T446" s="58">
        <v>0</v>
      </c>
      <c r="U446" s="58">
        <v>0</v>
      </c>
      <c r="V446" s="58">
        <f>SUMIF('JUNE (물량흐름)'!$C$13:$C$493,'In-out-bal products (155)(완성제품)'!B446,'JUNE (물량흐름)'!$W$13:$W$493)</f>
        <v>0</v>
      </c>
      <c r="W446" s="58">
        <f t="shared" si="222"/>
        <v>0</v>
      </c>
      <c r="X446" s="58">
        <f t="shared" si="233"/>
        <v>0</v>
      </c>
      <c r="Y446" s="58">
        <f>SUMIF('JUNE (물량흐름)'!$C$13:$C$488,'In-out-bal products (155)(완성제품)'!B446,'JUNE (물량흐름)'!$X$13:$X$488)</f>
        <v>0</v>
      </c>
      <c r="Z446" s="58">
        <f t="shared" si="223"/>
        <v>0</v>
      </c>
      <c r="AA446" s="58">
        <f t="shared" si="224"/>
        <v>0</v>
      </c>
      <c r="AB446" s="58"/>
      <c r="AC446" s="58"/>
      <c r="AD446" s="61"/>
      <c r="AE446" s="58">
        <f t="shared" si="225"/>
        <v>0</v>
      </c>
      <c r="AF446" s="58">
        <f t="shared" si="226"/>
        <v>0</v>
      </c>
      <c r="AG446" s="61">
        <f t="shared" si="227"/>
        <v>0</v>
      </c>
      <c r="AH446" s="58">
        <v>0</v>
      </c>
      <c r="AI446" s="58">
        <v>0</v>
      </c>
      <c r="AJ446" s="61">
        <v>0</v>
      </c>
      <c r="AK446" s="58"/>
      <c r="AL446" s="58"/>
      <c r="AM446" s="61"/>
      <c r="AN446" s="61">
        <f t="shared" si="215"/>
        <v>0</v>
      </c>
      <c r="AO446" s="58">
        <f t="shared" si="234"/>
        <v>0</v>
      </c>
      <c r="AP446" s="61">
        <f t="shared" si="235"/>
        <v>0</v>
      </c>
      <c r="AQ446" s="58">
        <f t="shared" si="228"/>
        <v>2630</v>
      </c>
      <c r="AR446" s="58">
        <f t="shared" si="229"/>
        <v>42792.733460076044</v>
      </c>
      <c r="AS446" s="58">
        <f t="shared" si="230"/>
        <v>112544889</v>
      </c>
      <c r="AT446" s="58">
        <f>ROUND(SUMIF('JUNE (물량흐름)'!$C$13:$C$502,'In-out-bal products (155)(완성제품)'!B446,'JUNE (물량흐름)'!$AB$13:$AB$502),0)</f>
        <v>2630</v>
      </c>
      <c r="AU446" s="58">
        <f t="shared" si="231"/>
        <v>112544889</v>
      </c>
      <c r="AV446" s="58">
        <f>ROUND(SUMIF('JUNE (물량흐름)'!$C$13:$C$502,'In-out-bal products (155)(완성제품)'!B446,'JUNE (물량흐름)'!$AC$13:$AC$502),0)</f>
        <v>0</v>
      </c>
      <c r="AW446" s="58">
        <f t="shared" si="232"/>
        <v>0</v>
      </c>
      <c r="AX446" s="376">
        <f t="shared" si="236"/>
        <v>0</v>
      </c>
      <c r="AY446" s="377">
        <f t="shared" si="237"/>
        <v>0</v>
      </c>
      <c r="AZ446" s="377">
        <f t="shared" si="238"/>
        <v>0</v>
      </c>
      <c r="BA446" s="377">
        <f t="shared" si="239"/>
        <v>0</v>
      </c>
      <c r="BB446" s="377"/>
      <c r="BC446" s="377">
        <f t="shared" si="240"/>
        <v>0</v>
      </c>
      <c r="BD446" s="377">
        <f t="shared" si="241"/>
        <v>0</v>
      </c>
      <c r="BE446" s="377"/>
      <c r="BF446" s="377">
        <f t="shared" si="242"/>
        <v>0</v>
      </c>
      <c r="BG446" s="433"/>
      <c r="BH446" s="434"/>
    </row>
    <row r="447" spans="1:60" s="378" customFormat="1">
      <c r="A447" s="167">
        <v>457</v>
      </c>
      <c r="B447" s="253">
        <f>VLOOKUP(A447,'JUNE (물량흐름)'!$A$13:$C$493,3,0)</f>
        <v>100024819</v>
      </c>
      <c r="C447" s="57" t="str">
        <f>VLOOKUP(A447,'JUNE (물량흐름)'!$A$13:$C$493,2,0)</f>
        <v>ALFANI</v>
      </c>
      <c r="D447" s="58">
        <f>IFERROR(VLOOKUP(B447,O.B.JUNE!$V$7:$Y$448,2,0),0)</f>
        <v>0</v>
      </c>
      <c r="E447" s="58">
        <f>IFERROR(VLOOKUP(B447,O.B.JUNE!$V$7:$X$448,3,0),0)</f>
        <v>0</v>
      </c>
      <c r="F447" s="58">
        <f>IFERROR(VLOOKUP(B447,O.B.JUNE!$V$7:$Y$448,4,0),0)</f>
        <v>0</v>
      </c>
      <c r="G447" s="58">
        <f>SUMIF('JUNE (물량흐름)'!$C$13:$C$493,'In-out-bal products (155)(완성제품)'!B447,'JUNE (물량흐름)'!$V$13:$V$493)</f>
        <v>0</v>
      </c>
      <c r="H447" s="58">
        <f>SUMIF('JUNE (물량흐름)'!$C$13:$C$493,'In-out-bal products (155)(완성제품)'!B447,'JUNE (물량흐름)'!$T$13:$T$493)-SUMIF('JUNE (물량흐름)'!$C$13:$C$493,'In-out-bal products (155)(완성제품)'!B447,'JUNE (물량흐름)'!$Y$13:$Y$493)+SUMIF('JUNE (물량흐름)'!$C$13:$C$493,'In-out-bal products (155)(완성제품)'!B447,'JUNE (물량흐름)'!$U$13:$U$493)</f>
        <v>345</v>
      </c>
      <c r="I447" s="58">
        <f t="shared" si="216"/>
        <v>40937.481159420291</v>
      </c>
      <c r="J447" s="58">
        <f>SUMIF('Direct labour(직접노무비)'!$C$12:$C$503,'In-out-bal products (155)(완성제품)'!B447,'Direct labour(직접노무비)'!$Q$12:$Q$503)</f>
        <v>4781544</v>
      </c>
      <c r="K447" s="59">
        <f>SUMIF('Overhead exp(제조경비)'!$C$12:$C$503,'In-out-bal products (155)(완성제품)'!B447,'Overhead exp(제조경비)'!$Q$12:$Q$503)</f>
        <v>9341887</v>
      </c>
      <c r="L447" s="58">
        <f t="shared" si="217"/>
        <v>14123431</v>
      </c>
      <c r="M447" s="58">
        <f>SUMIF('JUNE (물량흐름)'!$C$13:$C$488,'In-out-bal products (155)(완성제품)'!B447,'JUNE (물량흐름)'!$Y$13:$Y$488)</f>
        <v>0</v>
      </c>
      <c r="N447" s="58">
        <f t="shared" si="218"/>
        <v>0</v>
      </c>
      <c r="O447" s="58">
        <f>SUMIF('Direct labour(직접노무비)'!$C$12:$C$503,'In-out-bal products (155)(완성제품)'!B447,'Direct labour(직접노무비)'!$U$12:$U$503)+SUMIF('Overhead exp(제조경비)'!$C$12:$C$503,'In-out-bal products (155)(완성제품)'!B447,'Overhead exp(제조경비)'!$U$12:$U$503)</f>
        <v>0</v>
      </c>
      <c r="P447" s="60">
        <f t="shared" si="219"/>
        <v>345</v>
      </c>
      <c r="Q447" s="60">
        <f t="shared" si="220"/>
        <v>40937.481159420291</v>
      </c>
      <c r="R447" s="60">
        <f t="shared" si="221"/>
        <v>14123431</v>
      </c>
      <c r="S447" s="58">
        <v>0</v>
      </c>
      <c r="T447" s="58">
        <v>0</v>
      </c>
      <c r="U447" s="58">
        <v>0</v>
      </c>
      <c r="V447" s="58">
        <f>SUMIF('JUNE (물량흐름)'!$C$13:$C$493,'In-out-bal products (155)(완성제품)'!B447,'JUNE (물량흐름)'!$W$13:$W$493)</f>
        <v>0</v>
      </c>
      <c r="W447" s="58">
        <f t="shared" si="222"/>
        <v>0</v>
      </c>
      <c r="X447" s="58">
        <f t="shared" si="233"/>
        <v>0</v>
      </c>
      <c r="Y447" s="58">
        <f>SUMIF('JUNE (물량흐름)'!$C$13:$C$488,'In-out-bal products (155)(완성제품)'!B447,'JUNE (물량흐름)'!$X$13:$X$488)</f>
        <v>0</v>
      </c>
      <c r="Z447" s="58">
        <f t="shared" si="223"/>
        <v>0</v>
      </c>
      <c r="AA447" s="58">
        <f t="shared" si="224"/>
        <v>0</v>
      </c>
      <c r="AB447" s="58"/>
      <c r="AC447" s="58"/>
      <c r="AD447" s="61"/>
      <c r="AE447" s="58">
        <f t="shared" si="225"/>
        <v>0</v>
      </c>
      <c r="AF447" s="58">
        <f t="shared" si="226"/>
        <v>0</v>
      </c>
      <c r="AG447" s="61">
        <f t="shared" si="227"/>
        <v>0</v>
      </c>
      <c r="AH447" s="58">
        <v>0</v>
      </c>
      <c r="AI447" s="58">
        <v>0</v>
      </c>
      <c r="AJ447" s="61">
        <v>0</v>
      </c>
      <c r="AK447" s="58"/>
      <c r="AL447" s="58"/>
      <c r="AM447" s="61"/>
      <c r="AN447" s="61">
        <f t="shared" si="215"/>
        <v>0</v>
      </c>
      <c r="AO447" s="58">
        <f t="shared" si="234"/>
        <v>0</v>
      </c>
      <c r="AP447" s="61">
        <f t="shared" si="235"/>
        <v>0</v>
      </c>
      <c r="AQ447" s="58">
        <f t="shared" si="228"/>
        <v>345</v>
      </c>
      <c r="AR447" s="58">
        <f t="shared" si="229"/>
        <v>40937.481159420291</v>
      </c>
      <c r="AS447" s="58">
        <f t="shared" si="230"/>
        <v>14123431</v>
      </c>
      <c r="AT447" s="58">
        <f>ROUND(SUMIF('JUNE (물량흐름)'!$C$13:$C$502,'In-out-bal products (155)(완성제품)'!B447,'JUNE (물량흐름)'!$AB$13:$AB$502),0)</f>
        <v>345</v>
      </c>
      <c r="AU447" s="58">
        <f t="shared" si="231"/>
        <v>14123431</v>
      </c>
      <c r="AV447" s="58">
        <f>ROUND(SUMIF('JUNE (물량흐름)'!$C$13:$C$502,'In-out-bal products (155)(완성제품)'!B447,'JUNE (물량흐름)'!$AC$13:$AC$502),0)</f>
        <v>0</v>
      </c>
      <c r="AW447" s="58">
        <f t="shared" si="232"/>
        <v>0</v>
      </c>
      <c r="AX447" s="376">
        <f t="shared" si="236"/>
        <v>0</v>
      </c>
      <c r="AY447" s="377">
        <f t="shared" si="237"/>
        <v>0</v>
      </c>
      <c r="AZ447" s="377">
        <f t="shared" si="238"/>
        <v>0</v>
      </c>
      <c r="BA447" s="377">
        <f t="shared" si="239"/>
        <v>0</v>
      </c>
      <c r="BB447" s="377"/>
      <c r="BC447" s="377">
        <f t="shared" si="240"/>
        <v>0</v>
      </c>
      <c r="BD447" s="377">
        <f t="shared" si="241"/>
        <v>0</v>
      </c>
      <c r="BE447" s="377"/>
      <c r="BF447" s="377">
        <f t="shared" si="242"/>
        <v>0</v>
      </c>
      <c r="BG447" s="433"/>
      <c r="BH447" s="434"/>
    </row>
    <row r="448" spans="1:60" s="378" customFormat="1">
      <c r="A448" s="167">
        <v>458</v>
      </c>
      <c r="B448" s="253">
        <f>VLOOKUP(A448,'JUNE (물량흐름)'!$A$13:$C$493,3,0)</f>
        <v>100024820</v>
      </c>
      <c r="C448" s="57" t="str">
        <f>VLOOKUP(A448,'JUNE (물량흐름)'!$A$13:$C$493,2,0)</f>
        <v>ALFANI</v>
      </c>
      <c r="D448" s="58">
        <f>IFERROR(VLOOKUP(B448,O.B.JUNE!$V$7:$Y$448,2,0),0)</f>
        <v>0</v>
      </c>
      <c r="E448" s="58">
        <f>IFERROR(VLOOKUP(B448,O.B.JUNE!$V$7:$X$448,3,0),0)</f>
        <v>0</v>
      </c>
      <c r="F448" s="58">
        <f>IFERROR(VLOOKUP(B448,O.B.JUNE!$V$7:$Y$448,4,0),0)</f>
        <v>0</v>
      </c>
      <c r="G448" s="58">
        <f>SUMIF('JUNE (물량흐름)'!$C$13:$C$493,'In-out-bal products (155)(완성제품)'!B448,'JUNE (물량흐름)'!$V$13:$V$493)</f>
        <v>0</v>
      </c>
      <c r="H448" s="58">
        <f>SUMIF('JUNE (물량흐름)'!$C$13:$C$493,'In-out-bal products (155)(완성제품)'!B448,'JUNE (물량흐름)'!$T$13:$T$493)-SUMIF('JUNE (물량흐름)'!$C$13:$C$493,'In-out-bal products (155)(완성제품)'!B448,'JUNE (물량흐름)'!$Y$13:$Y$493)+SUMIF('JUNE (물량흐름)'!$C$13:$C$493,'In-out-bal products (155)(완성제품)'!B448,'JUNE (물량흐름)'!$U$13:$U$493)</f>
        <v>8839</v>
      </c>
      <c r="I448" s="58">
        <f t="shared" si="216"/>
        <v>34491.591356488294</v>
      </c>
      <c r="J448" s="58">
        <f>SUMIF('Direct labour(직접노무비)'!$C$12:$C$503,'In-out-bal products (155)(완성제품)'!B448,'Direct labour(직접노무비)'!$Q$12:$Q$503)</f>
        <v>103215361</v>
      </c>
      <c r="K448" s="59">
        <f>SUMIF('Overhead exp(제조경비)'!$C$12:$C$503,'In-out-bal products (155)(완성제품)'!B448,'Overhead exp(제조경비)'!$Q$12:$Q$503)</f>
        <v>201655815</v>
      </c>
      <c r="L448" s="58">
        <f t="shared" si="217"/>
        <v>304871176</v>
      </c>
      <c r="M448" s="58">
        <f>SUMIF('JUNE (물량흐름)'!$C$13:$C$488,'In-out-bal products (155)(완성제품)'!B448,'JUNE (물량흐름)'!$Y$13:$Y$488)</f>
        <v>0</v>
      </c>
      <c r="N448" s="58">
        <f t="shared" si="218"/>
        <v>0</v>
      </c>
      <c r="O448" s="58">
        <f>SUMIF('Direct labour(직접노무비)'!$C$12:$C$503,'In-out-bal products (155)(완성제품)'!B448,'Direct labour(직접노무비)'!$U$12:$U$503)+SUMIF('Overhead exp(제조경비)'!$C$12:$C$503,'In-out-bal products (155)(완성제품)'!B448,'Overhead exp(제조경비)'!$U$12:$U$503)</f>
        <v>0</v>
      </c>
      <c r="P448" s="60">
        <f t="shared" si="219"/>
        <v>8839</v>
      </c>
      <c r="Q448" s="60">
        <f t="shared" si="220"/>
        <v>34491.591356488294</v>
      </c>
      <c r="R448" s="60">
        <f t="shared" si="221"/>
        <v>304871176</v>
      </c>
      <c r="S448" s="58">
        <v>0</v>
      </c>
      <c r="T448" s="58">
        <v>0</v>
      </c>
      <c r="U448" s="58">
        <v>0</v>
      </c>
      <c r="V448" s="58">
        <f>SUMIF('JUNE (물량흐름)'!$C$13:$C$493,'In-out-bal products (155)(완성제품)'!B448,'JUNE (물량흐름)'!$W$13:$W$493)</f>
        <v>0</v>
      </c>
      <c r="W448" s="58">
        <f t="shared" si="222"/>
        <v>0</v>
      </c>
      <c r="X448" s="58">
        <f t="shared" si="233"/>
        <v>0</v>
      </c>
      <c r="Y448" s="58">
        <f>SUMIF('JUNE (물량흐름)'!$C$13:$C$488,'In-out-bal products (155)(완성제품)'!B448,'JUNE (물량흐름)'!$X$13:$X$488)</f>
        <v>0</v>
      </c>
      <c r="Z448" s="58">
        <f t="shared" si="223"/>
        <v>0</v>
      </c>
      <c r="AA448" s="58">
        <f t="shared" si="224"/>
        <v>0</v>
      </c>
      <c r="AB448" s="58"/>
      <c r="AC448" s="58"/>
      <c r="AD448" s="61"/>
      <c r="AE448" s="58">
        <f t="shared" si="225"/>
        <v>0</v>
      </c>
      <c r="AF448" s="58">
        <f t="shared" si="226"/>
        <v>0</v>
      </c>
      <c r="AG448" s="61">
        <f t="shared" si="227"/>
        <v>0</v>
      </c>
      <c r="AH448" s="58">
        <v>0</v>
      </c>
      <c r="AI448" s="58">
        <v>0</v>
      </c>
      <c r="AJ448" s="61">
        <v>0</v>
      </c>
      <c r="AK448" s="58"/>
      <c r="AL448" s="58"/>
      <c r="AM448" s="61"/>
      <c r="AN448" s="61">
        <f t="shared" si="215"/>
        <v>0</v>
      </c>
      <c r="AO448" s="58">
        <f t="shared" si="234"/>
        <v>0</v>
      </c>
      <c r="AP448" s="61">
        <f t="shared" si="235"/>
        <v>0</v>
      </c>
      <c r="AQ448" s="58">
        <f t="shared" si="228"/>
        <v>8839</v>
      </c>
      <c r="AR448" s="58">
        <f t="shared" si="229"/>
        <v>34491.591356488294</v>
      </c>
      <c r="AS448" s="58">
        <f t="shared" si="230"/>
        <v>304871176</v>
      </c>
      <c r="AT448" s="58">
        <f>ROUND(SUMIF('JUNE (물량흐름)'!$C$13:$C$502,'In-out-bal products (155)(완성제품)'!B448,'JUNE (물량흐름)'!$AB$13:$AB$502),0)</f>
        <v>8839</v>
      </c>
      <c r="AU448" s="58">
        <f t="shared" si="231"/>
        <v>304871176</v>
      </c>
      <c r="AV448" s="58">
        <f>ROUND(SUMIF('JUNE (물량흐름)'!$C$13:$C$502,'In-out-bal products (155)(완성제품)'!B448,'JUNE (물량흐름)'!$AC$13:$AC$502),0)</f>
        <v>0</v>
      </c>
      <c r="AW448" s="58">
        <f t="shared" si="232"/>
        <v>0</v>
      </c>
      <c r="AX448" s="376">
        <f t="shared" si="236"/>
        <v>0</v>
      </c>
      <c r="AY448" s="377">
        <f t="shared" si="237"/>
        <v>0</v>
      </c>
      <c r="AZ448" s="377">
        <f t="shared" si="238"/>
        <v>0</v>
      </c>
      <c r="BA448" s="377">
        <f t="shared" si="239"/>
        <v>0</v>
      </c>
      <c r="BB448" s="377"/>
      <c r="BC448" s="377">
        <f t="shared" si="240"/>
        <v>0</v>
      </c>
      <c r="BD448" s="377">
        <f t="shared" si="241"/>
        <v>0</v>
      </c>
      <c r="BE448" s="377"/>
      <c r="BF448" s="377">
        <f t="shared" si="242"/>
        <v>0</v>
      </c>
      <c r="BG448" s="433"/>
      <c r="BH448" s="434"/>
    </row>
    <row r="449" spans="1:60" s="378" customFormat="1">
      <c r="A449" s="167">
        <v>459</v>
      </c>
      <c r="B449" s="253">
        <f>VLOOKUP(A449,'JUNE (물량흐름)'!$A$13:$C$493,3,0)</f>
        <v>100024824</v>
      </c>
      <c r="C449" s="57" t="str">
        <f>VLOOKUP(A449,'JUNE (물량흐름)'!$A$13:$C$493,2,0)</f>
        <v>ALFANI</v>
      </c>
      <c r="D449" s="58">
        <f>IFERROR(VLOOKUP(B449,O.B.JUNE!$V$7:$Y$448,2,0),0)</f>
        <v>0</v>
      </c>
      <c r="E449" s="58">
        <f>IFERROR(VLOOKUP(B449,O.B.JUNE!$V$7:$X$448,3,0),0)</f>
        <v>0</v>
      </c>
      <c r="F449" s="58">
        <f>IFERROR(VLOOKUP(B449,O.B.JUNE!$V$7:$Y$448,4,0),0)</f>
        <v>0</v>
      </c>
      <c r="G449" s="58">
        <f>SUMIF('JUNE (물량흐름)'!$C$13:$C$493,'In-out-bal products (155)(완성제품)'!B449,'JUNE (물량흐름)'!$V$13:$V$493)</f>
        <v>0</v>
      </c>
      <c r="H449" s="58">
        <f>SUMIF('JUNE (물량흐름)'!$C$13:$C$493,'In-out-bal products (155)(완성제품)'!B449,'JUNE (물량흐름)'!$T$13:$T$493)-SUMIF('JUNE (물량흐름)'!$C$13:$C$493,'In-out-bal products (155)(완성제품)'!B449,'JUNE (물량흐름)'!$Y$13:$Y$493)+SUMIF('JUNE (물량흐름)'!$C$13:$C$493,'In-out-bal products (155)(완성제품)'!B449,'JUNE (물량흐름)'!$U$13:$U$493)</f>
        <v>1052</v>
      </c>
      <c r="I449" s="58">
        <f t="shared" si="216"/>
        <v>80482.577946768055</v>
      </c>
      <c r="J449" s="58">
        <f>SUMIF('Direct labour(직접노무비)'!$C$12:$C$503,'In-out-bal products (155)(완성제품)'!B449,'Direct labour(직접노무비)'!$Q$12:$Q$503)</f>
        <v>28664581</v>
      </c>
      <c r="K449" s="59">
        <f>SUMIF('Overhead exp(제조경비)'!$C$12:$C$503,'In-out-bal products (155)(완성제품)'!B449,'Overhead exp(제조경비)'!$Q$12:$Q$503)</f>
        <v>56003091</v>
      </c>
      <c r="L449" s="58">
        <f t="shared" si="217"/>
        <v>84667672</v>
      </c>
      <c r="M449" s="58">
        <f>SUMIF('JUNE (물량흐름)'!$C$13:$C$488,'In-out-bal products (155)(완성제품)'!B449,'JUNE (물량흐름)'!$Y$13:$Y$488)</f>
        <v>0</v>
      </c>
      <c r="N449" s="58">
        <f t="shared" si="218"/>
        <v>0</v>
      </c>
      <c r="O449" s="58">
        <f>SUMIF('Direct labour(직접노무비)'!$C$12:$C$503,'In-out-bal products (155)(완성제품)'!B449,'Direct labour(직접노무비)'!$U$12:$U$503)+SUMIF('Overhead exp(제조경비)'!$C$12:$C$503,'In-out-bal products (155)(완성제품)'!B449,'Overhead exp(제조경비)'!$U$12:$U$503)</f>
        <v>0</v>
      </c>
      <c r="P449" s="60">
        <f t="shared" si="219"/>
        <v>1052</v>
      </c>
      <c r="Q449" s="60">
        <f t="shared" si="220"/>
        <v>80482.577946768055</v>
      </c>
      <c r="R449" s="60">
        <f t="shared" si="221"/>
        <v>84667672</v>
      </c>
      <c r="S449" s="58">
        <v>0</v>
      </c>
      <c r="T449" s="58">
        <v>0</v>
      </c>
      <c r="U449" s="58">
        <v>0</v>
      </c>
      <c r="V449" s="58">
        <f>SUMIF('JUNE (물량흐름)'!$C$13:$C$493,'In-out-bal products (155)(완성제품)'!B449,'JUNE (물량흐름)'!$W$13:$W$493)</f>
        <v>0</v>
      </c>
      <c r="W449" s="58">
        <f t="shared" si="222"/>
        <v>0</v>
      </c>
      <c r="X449" s="58">
        <f t="shared" si="233"/>
        <v>0</v>
      </c>
      <c r="Y449" s="58">
        <f>SUMIF('JUNE (물량흐름)'!$C$13:$C$488,'In-out-bal products (155)(완성제품)'!B449,'JUNE (물량흐름)'!$X$13:$X$488)</f>
        <v>0</v>
      </c>
      <c r="Z449" s="58">
        <f t="shared" si="223"/>
        <v>0</v>
      </c>
      <c r="AA449" s="58">
        <f t="shared" si="224"/>
        <v>0</v>
      </c>
      <c r="AB449" s="58"/>
      <c r="AC449" s="58"/>
      <c r="AD449" s="61"/>
      <c r="AE449" s="58">
        <f t="shared" si="225"/>
        <v>0</v>
      </c>
      <c r="AF449" s="58">
        <f t="shared" si="226"/>
        <v>0</v>
      </c>
      <c r="AG449" s="61">
        <f t="shared" si="227"/>
        <v>0</v>
      </c>
      <c r="AH449" s="58">
        <v>0</v>
      </c>
      <c r="AI449" s="58">
        <v>0</v>
      </c>
      <c r="AJ449" s="61">
        <v>0</v>
      </c>
      <c r="AK449" s="58"/>
      <c r="AL449" s="58"/>
      <c r="AM449" s="61"/>
      <c r="AN449" s="61">
        <f t="shared" si="215"/>
        <v>0</v>
      </c>
      <c r="AO449" s="58">
        <f t="shared" si="234"/>
        <v>0</v>
      </c>
      <c r="AP449" s="61">
        <f t="shared" si="235"/>
        <v>0</v>
      </c>
      <c r="AQ449" s="58">
        <f t="shared" si="228"/>
        <v>1052</v>
      </c>
      <c r="AR449" s="58">
        <f t="shared" si="229"/>
        <v>80482.577946768055</v>
      </c>
      <c r="AS449" s="58">
        <f t="shared" si="230"/>
        <v>84667672</v>
      </c>
      <c r="AT449" s="58">
        <f>ROUND(SUMIF('JUNE (물량흐름)'!$C$13:$C$502,'In-out-bal products (155)(완성제품)'!B449,'JUNE (물량흐름)'!$AB$13:$AB$502),0)</f>
        <v>1052</v>
      </c>
      <c r="AU449" s="58">
        <f t="shared" si="231"/>
        <v>84667672</v>
      </c>
      <c r="AV449" s="58">
        <f>ROUND(SUMIF('JUNE (물량흐름)'!$C$13:$C$502,'In-out-bal products (155)(완성제품)'!B449,'JUNE (물량흐름)'!$AC$13:$AC$502),0)</f>
        <v>0</v>
      </c>
      <c r="AW449" s="58">
        <f t="shared" si="232"/>
        <v>0</v>
      </c>
      <c r="AX449" s="376">
        <f t="shared" si="236"/>
        <v>0</v>
      </c>
      <c r="AY449" s="377">
        <f t="shared" si="237"/>
        <v>0</v>
      </c>
      <c r="AZ449" s="377">
        <f t="shared" si="238"/>
        <v>0</v>
      </c>
      <c r="BA449" s="377">
        <f t="shared" si="239"/>
        <v>0</v>
      </c>
      <c r="BB449" s="377"/>
      <c r="BC449" s="377">
        <f t="shared" si="240"/>
        <v>0</v>
      </c>
      <c r="BD449" s="377">
        <f t="shared" si="241"/>
        <v>0</v>
      </c>
      <c r="BE449" s="377"/>
      <c r="BF449" s="377">
        <f t="shared" si="242"/>
        <v>0</v>
      </c>
      <c r="BG449" s="433"/>
      <c r="BH449" s="434"/>
    </row>
    <row r="450" spans="1:60" s="378" customFormat="1">
      <c r="A450" s="167">
        <v>460</v>
      </c>
      <c r="B450" s="253">
        <f>VLOOKUP(A450,'JUNE (물량흐름)'!$A$13:$C$493,3,0)</f>
        <v>100024853</v>
      </c>
      <c r="C450" s="57" t="str">
        <f>VLOOKUP(A450,'JUNE (물량흐름)'!$A$13:$C$493,2,0)</f>
        <v>ALFANI</v>
      </c>
      <c r="D450" s="58">
        <f>IFERROR(VLOOKUP(B450,O.B.JUNE!$V$7:$Y$448,2,0),0)</f>
        <v>0</v>
      </c>
      <c r="E450" s="58">
        <f>IFERROR(VLOOKUP(B450,O.B.JUNE!$V$7:$X$448,3,0),0)</f>
        <v>0</v>
      </c>
      <c r="F450" s="58">
        <f>IFERROR(VLOOKUP(B450,O.B.JUNE!$V$7:$Y$448,4,0),0)</f>
        <v>0</v>
      </c>
      <c r="G450" s="58">
        <f>SUMIF('JUNE (물량흐름)'!$C$13:$C$493,'In-out-bal products (155)(완성제품)'!B450,'JUNE (물량흐름)'!$V$13:$V$493)</f>
        <v>0</v>
      </c>
      <c r="H450" s="58">
        <f>SUMIF('JUNE (물량흐름)'!$C$13:$C$493,'In-out-bal products (155)(완성제품)'!B450,'JUNE (물량흐름)'!$T$13:$T$493)-SUMIF('JUNE (물량흐름)'!$C$13:$C$493,'In-out-bal products (155)(완성제품)'!B450,'JUNE (물량흐름)'!$Y$13:$Y$493)+SUMIF('JUNE (물량흐름)'!$C$13:$C$493,'In-out-bal products (155)(완성제품)'!B450,'JUNE (물량흐름)'!$U$13:$U$493)</f>
        <v>6948</v>
      </c>
      <c r="I450" s="58">
        <f t="shared" si="216"/>
        <v>37899.370178468627</v>
      </c>
      <c r="J450" s="58">
        <f>SUMIF('Direct labour(직접노무비)'!$C$12:$C$503,'In-out-bal products (155)(완성제품)'!B450,'Direct labour(직접노무비)'!$Q$12:$Q$503)</f>
        <v>89149676</v>
      </c>
      <c r="K450" s="59">
        <f>SUMIF('Overhead exp(제조경비)'!$C$12:$C$503,'In-out-bal products (155)(완성제품)'!B450,'Overhead exp(제조경비)'!$Q$12:$Q$503)</f>
        <v>174175148</v>
      </c>
      <c r="L450" s="58">
        <f t="shared" si="217"/>
        <v>263324824</v>
      </c>
      <c r="M450" s="58">
        <f>SUMIF('JUNE (물량흐름)'!$C$13:$C$488,'In-out-bal products (155)(완성제품)'!B450,'JUNE (물량흐름)'!$Y$13:$Y$488)</f>
        <v>0</v>
      </c>
      <c r="N450" s="58">
        <f t="shared" si="218"/>
        <v>0</v>
      </c>
      <c r="O450" s="58">
        <f>SUMIF('Direct labour(직접노무비)'!$C$12:$C$503,'In-out-bal products (155)(완성제품)'!B450,'Direct labour(직접노무비)'!$U$12:$U$503)+SUMIF('Overhead exp(제조경비)'!$C$12:$C$503,'In-out-bal products (155)(완성제품)'!B450,'Overhead exp(제조경비)'!$U$12:$U$503)</f>
        <v>0</v>
      </c>
      <c r="P450" s="60">
        <f t="shared" si="219"/>
        <v>6948</v>
      </c>
      <c r="Q450" s="60">
        <f t="shared" si="220"/>
        <v>37899.370178468627</v>
      </c>
      <c r="R450" s="60">
        <f t="shared" si="221"/>
        <v>263324824</v>
      </c>
      <c r="S450" s="58">
        <v>0</v>
      </c>
      <c r="T450" s="58">
        <v>0</v>
      </c>
      <c r="U450" s="58">
        <v>0</v>
      </c>
      <c r="V450" s="58">
        <f>SUMIF('JUNE (물량흐름)'!$C$13:$C$493,'In-out-bal products (155)(완성제품)'!B450,'JUNE (물량흐름)'!$W$13:$W$493)</f>
        <v>0</v>
      </c>
      <c r="W450" s="58">
        <f t="shared" si="222"/>
        <v>0</v>
      </c>
      <c r="X450" s="58">
        <f t="shared" si="233"/>
        <v>0</v>
      </c>
      <c r="Y450" s="58">
        <f>SUMIF('JUNE (물량흐름)'!$C$13:$C$488,'In-out-bal products (155)(완성제품)'!B450,'JUNE (물량흐름)'!$X$13:$X$488)</f>
        <v>0</v>
      </c>
      <c r="Z450" s="58">
        <f t="shared" si="223"/>
        <v>0</v>
      </c>
      <c r="AA450" s="58">
        <f t="shared" si="224"/>
        <v>0</v>
      </c>
      <c r="AB450" s="58"/>
      <c r="AC450" s="58"/>
      <c r="AD450" s="61"/>
      <c r="AE450" s="58">
        <f t="shared" si="225"/>
        <v>0</v>
      </c>
      <c r="AF450" s="58">
        <f t="shared" si="226"/>
        <v>0</v>
      </c>
      <c r="AG450" s="61">
        <f t="shared" si="227"/>
        <v>0</v>
      </c>
      <c r="AH450" s="58">
        <v>0</v>
      </c>
      <c r="AI450" s="58">
        <v>0</v>
      </c>
      <c r="AJ450" s="61">
        <v>0</v>
      </c>
      <c r="AK450" s="58"/>
      <c r="AL450" s="58"/>
      <c r="AM450" s="61"/>
      <c r="AN450" s="61">
        <f t="shared" si="215"/>
        <v>0</v>
      </c>
      <c r="AO450" s="58">
        <f t="shared" si="234"/>
        <v>0</v>
      </c>
      <c r="AP450" s="61">
        <f t="shared" si="235"/>
        <v>0</v>
      </c>
      <c r="AQ450" s="58">
        <f t="shared" si="228"/>
        <v>6948</v>
      </c>
      <c r="AR450" s="58">
        <f t="shared" si="229"/>
        <v>37899.370178468627</v>
      </c>
      <c r="AS450" s="58">
        <f t="shared" si="230"/>
        <v>263324824</v>
      </c>
      <c r="AT450" s="58">
        <f>ROUND(SUMIF('JUNE (물량흐름)'!$C$13:$C$502,'In-out-bal products (155)(완성제품)'!B450,'JUNE (물량흐름)'!$AB$13:$AB$502),0)</f>
        <v>6948</v>
      </c>
      <c r="AU450" s="58">
        <f t="shared" si="231"/>
        <v>263324824</v>
      </c>
      <c r="AV450" s="58">
        <f>ROUND(SUMIF('JUNE (물량흐름)'!$C$13:$C$502,'In-out-bal products (155)(완성제품)'!B450,'JUNE (물량흐름)'!$AC$13:$AC$502),0)</f>
        <v>0</v>
      </c>
      <c r="AW450" s="58">
        <f t="shared" si="232"/>
        <v>0</v>
      </c>
      <c r="AX450" s="376">
        <f t="shared" si="236"/>
        <v>0</v>
      </c>
      <c r="AY450" s="377">
        <f t="shared" si="237"/>
        <v>0</v>
      </c>
      <c r="AZ450" s="377">
        <f t="shared" si="238"/>
        <v>0</v>
      </c>
      <c r="BA450" s="377">
        <f t="shared" si="239"/>
        <v>0</v>
      </c>
      <c r="BB450" s="377"/>
      <c r="BC450" s="377">
        <f t="shared" si="240"/>
        <v>0</v>
      </c>
      <c r="BD450" s="377">
        <f t="shared" si="241"/>
        <v>0</v>
      </c>
      <c r="BE450" s="377"/>
      <c r="BF450" s="377">
        <f t="shared" si="242"/>
        <v>0</v>
      </c>
      <c r="BG450" s="433"/>
      <c r="BH450" s="434"/>
    </row>
    <row r="451" spans="1:60" s="378" customFormat="1">
      <c r="A451" s="167">
        <v>461</v>
      </c>
      <c r="B451" s="253">
        <f>VLOOKUP(A451,'JUNE (물량흐름)'!$A$13:$C$493,3,0)</f>
        <v>100025038</v>
      </c>
      <c r="C451" s="57" t="str">
        <f>VLOOKUP(A451,'JUNE (물량흐름)'!$A$13:$C$493,2,0)</f>
        <v>ALFANI</v>
      </c>
      <c r="D451" s="58">
        <f>IFERROR(VLOOKUP(B451,O.B.JUNE!$V$7:$Y$448,2,0),0)</f>
        <v>0</v>
      </c>
      <c r="E451" s="58">
        <f>IFERROR(VLOOKUP(B451,O.B.JUNE!$V$7:$X$448,3,0),0)</f>
        <v>0</v>
      </c>
      <c r="F451" s="58">
        <f>IFERROR(VLOOKUP(B451,O.B.JUNE!$V$7:$Y$448,4,0),0)</f>
        <v>0</v>
      </c>
      <c r="G451" s="58">
        <f>SUMIF('JUNE (물량흐름)'!$C$13:$C$493,'In-out-bal products (155)(완성제품)'!B451,'JUNE (물량흐름)'!$V$13:$V$493)</f>
        <v>0</v>
      </c>
      <c r="H451" s="58">
        <f>SUMIF('JUNE (물량흐름)'!$C$13:$C$493,'In-out-bal products (155)(완성제품)'!B451,'JUNE (물량흐름)'!$T$13:$T$493)-SUMIF('JUNE (물량흐름)'!$C$13:$C$493,'In-out-bal products (155)(완성제품)'!B451,'JUNE (물량흐름)'!$Y$13:$Y$493)+SUMIF('JUNE (물량흐름)'!$C$13:$C$493,'In-out-bal products (155)(완성제품)'!B451,'JUNE (물량흐름)'!$U$13:$U$493)</f>
        <v>0</v>
      </c>
      <c r="I451" s="58">
        <f t="shared" si="216"/>
        <v>0</v>
      </c>
      <c r="J451" s="58">
        <f>SUMIF('Direct labour(직접노무비)'!$C$12:$C$503,'In-out-bal products (155)(완성제품)'!B451,'Direct labour(직접노무비)'!$Q$12:$Q$503)</f>
        <v>0</v>
      </c>
      <c r="K451" s="59">
        <f>SUMIF('Overhead exp(제조경비)'!$C$12:$C$503,'In-out-bal products (155)(완성제품)'!B451,'Overhead exp(제조경비)'!$Q$12:$Q$503)</f>
        <v>0</v>
      </c>
      <c r="L451" s="58">
        <f t="shared" si="217"/>
        <v>0</v>
      </c>
      <c r="M451" s="58">
        <f>SUMIF('JUNE (물량흐름)'!$C$13:$C$488,'In-out-bal products (155)(완성제품)'!B451,'JUNE (물량흐름)'!$Y$13:$Y$488)</f>
        <v>0</v>
      </c>
      <c r="N451" s="58">
        <f t="shared" si="218"/>
        <v>0</v>
      </c>
      <c r="O451" s="58">
        <f>SUMIF('Direct labour(직접노무비)'!$C$12:$C$503,'In-out-bal products (155)(완성제품)'!B451,'Direct labour(직접노무비)'!$U$12:$U$503)+SUMIF('Overhead exp(제조경비)'!$C$12:$C$503,'In-out-bal products (155)(완성제품)'!B451,'Overhead exp(제조경비)'!$U$12:$U$503)</f>
        <v>0</v>
      </c>
      <c r="P451" s="60">
        <f t="shared" si="219"/>
        <v>0</v>
      </c>
      <c r="Q451" s="60">
        <f t="shared" si="220"/>
        <v>0</v>
      </c>
      <c r="R451" s="60">
        <f t="shared" si="221"/>
        <v>0</v>
      </c>
      <c r="S451" s="58">
        <v>0</v>
      </c>
      <c r="T451" s="58">
        <v>0</v>
      </c>
      <c r="U451" s="58">
        <v>0</v>
      </c>
      <c r="V451" s="58">
        <f>SUMIF('JUNE (물량흐름)'!$C$13:$C$493,'In-out-bal products (155)(완성제품)'!B451,'JUNE (물량흐름)'!$W$13:$W$493)</f>
        <v>0</v>
      </c>
      <c r="W451" s="58">
        <f t="shared" si="222"/>
        <v>0</v>
      </c>
      <c r="X451" s="58">
        <f t="shared" si="233"/>
        <v>0</v>
      </c>
      <c r="Y451" s="58">
        <f>SUMIF('JUNE (물량흐름)'!$C$13:$C$488,'In-out-bal products (155)(완성제품)'!B451,'JUNE (물량흐름)'!$X$13:$X$488)</f>
        <v>0</v>
      </c>
      <c r="Z451" s="58">
        <f t="shared" si="223"/>
        <v>0</v>
      </c>
      <c r="AA451" s="58">
        <f t="shared" si="224"/>
        <v>0</v>
      </c>
      <c r="AB451" s="58"/>
      <c r="AC451" s="58"/>
      <c r="AD451" s="61"/>
      <c r="AE451" s="58">
        <f t="shared" si="225"/>
        <v>0</v>
      </c>
      <c r="AF451" s="58">
        <f t="shared" si="226"/>
        <v>0</v>
      </c>
      <c r="AG451" s="61">
        <f t="shared" si="227"/>
        <v>0</v>
      </c>
      <c r="AH451" s="58">
        <v>0</v>
      </c>
      <c r="AI451" s="58">
        <v>0</v>
      </c>
      <c r="AJ451" s="61">
        <v>0</v>
      </c>
      <c r="AK451" s="58"/>
      <c r="AL451" s="58"/>
      <c r="AM451" s="61"/>
      <c r="AN451" s="61">
        <f t="shared" si="215"/>
        <v>0</v>
      </c>
      <c r="AO451" s="58">
        <f t="shared" si="234"/>
        <v>0</v>
      </c>
      <c r="AP451" s="61">
        <f t="shared" si="235"/>
        <v>0</v>
      </c>
      <c r="AQ451" s="58">
        <f t="shared" si="228"/>
        <v>0</v>
      </c>
      <c r="AR451" s="58">
        <f t="shared" si="229"/>
        <v>0</v>
      </c>
      <c r="AS451" s="58">
        <f t="shared" si="230"/>
        <v>0</v>
      </c>
      <c r="AT451" s="58">
        <f>ROUND(SUMIF('JUNE (물량흐름)'!$C$13:$C$502,'In-out-bal products (155)(완성제품)'!B451,'JUNE (물량흐름)'!$AB$13:$AB$502),0)</f>
        <v>0</v>
      </c>
      <c r="AU451" s="58">
        <f t="shared" si="231"/>
        <v>0</v>
      </c>
      <c r="AV451" s="58">
        <f>ROUND(SUMIF('JUNE (물량흐름)'!$C$13:$C$502,'In-out-bal products (155)(완성제품)'!B451,'JUNE (물량흐름)'!$AC$13:$AC$502),0)</f>
        <v>0</v>
      </c>
      <c r="AW451" s="58">
        <f t="shared" si="232"/>
        <v>0</v>
      </c>
      <c r="AX451" s="376">
        <f t="shared" si="236"/>
        <v>0</v>
      </c>
      <c r="AY451" s="377">
        <f t="shared" si="237"/>
        <v>0</v>
      </c>
      <c r="AZ451" s="377">
        <f t="shared" si="238"/>
        <v>0</v>
      </c>
      <c r="BA451" s="377">
        <f t="shared" si="239"/>
        <v>0</v>
      </c>
      <c r="BB451" s="377"/>
      <c r="BC451" s="377">
        <f t="shared" si="240"/>
        <v>0</v>
      </c>
      <c r="BD451" s="377">
        <f t="shared" si="241"/>
        <v>0</v>
      </c>
      <c r="BE451" s="377"/>
      <c r="BF451" s="377">
        <f t="shared" si="242"/>
        <v>0</v>
      </c>
      <c r="BG451" s="433"/>
      <c r="BH451" s="434"/>
    </row>
    <row r="452" spans="1:60" s="378" customFormat="1">
      <c r="A452" s="167">
        <v>462</v>
      </c>
      <c r="B452" s="253">
        <f>VLOOKUP(A452,'JUNE (물량흐름)'!$A$13:$C$493,3,0)</f>
        <v>100025039</v>
      </c>
      <c r="C452" s="57" t="str">
        <f>VLOOKUP(A452,'JUNE (물량흐름)'!$A$13:$C$493,2,0)</f>
        <v>ALFANI</v>
      </c>
      <c r="D452" s="58">
        <f>IFERROR(VLOOKUP(B452,O.B.JUNE!$V$7:$Y$448,2,0),0)</f>
        <v>0</v>
      </c>
      <c r="E452" s="58">
        <f>IFERROR(VLOOKUP(B452,O.B.JUNE!$V$7:$X$448,3,0),0)</f>
        <v>0</v>
      </c>
      <c r="F452" s="58">
        <f>IFERROR(VLOOKUP(B452,O.B.JUNE!$V$7:$Y$448,4,0),0)</f>
        <v>0</v>
      </c>
      <c r="G452" s="58">
        <f>SUMIF('JUNE (물량흐름)'!$C$13:$C$493,'In-out-bal products (155)(완성제품)'!B452,'JUNE (물량흐름)'!$V$13:$V$493)</f>
        <v>0</v>
      </c>
      <c r="H452" s="58">
        <f>SUMIF('JUNE (물량흐름)'!$C$13:$C$493,'In-out-bal products (155)(완성제품)'!B452,'JUNE (물량흐름)'!$T$13:$T$493)-SUMIF('JUNE (물량흐름)'!$C$13:$C$493,'In-out-bal products (155)(완성제품)'!B452,'JUNE (물량흐름)'!$Y$13:$Y$493)+SUMIF('JUNE (물량흐름)'!$C$13:$C$493,'In-out-bal products (155)(완성제품)'!B452,'JUNE (물량흐름)'!$U$13:$U$493)</f>
        <v>3687</v>
      </c>
      <c r="I452" s="58">
        <f t="shared" si="216"/>
        <v>66796.903715758075</v>
      </c>
      <c r="J452" s="58">
        <f>SUMIF('Direct labour(직접노무비)'!$C$12:$C$503,'In-out-bal products (155)(완성제품)'!B452,'Direct labour(직접노무비)'!$Q$12:$Q$503)</f>
        <v>83379145</v>
      </c>
      <c r="K452" s="59">
        <f>SUMIF('Overhead exp(제조경비)'!$C$12:$C$503,'In-out-bal products (155)(완성제품)'!B452,'Overhead exp(제조경비)'!$Q$12:$Q$503)</f>
        <v>162901039</v>
      </c>
      <c r="L452" s="58">
        <f t="shared" si="217"/>
        <v>246280184</v>
      </c>
      <c r="M452" s="58">
        <f>SUMIF('JUNE (물량흐름)'!$C$13:$C$488,'In-out-bal products (155)(완성제품)'!B452,'JUNE (물량흐름)'!$Y$13:$Y$488)</f>
        <v>0</v>
      </c>
      <c r="N452" s="58">
        <f t="shared" si="218"/>
        <v>0</v>
      </c>
      <c r="O452" s="58">
        <f>SUMIF('Direct labour(직접노무비)'!$C$12:$C$503,'In-out-bal products (155)(완성제품)'!B452,'Direct labour(직접노무비)'!$U$12:$U$503)+SUMIF('Overhead exp(제조경비)'!$C$12:$C$503,'In-out-bal products (155)(완성제품)'!B452,'Overhead exp(제조경비)'!$U$12:$U$503)</f>
        <v>0</v>
      </c>
      <c r="P452" s="60">
        <f t="shared" si="219"/>
        <v>3687</v>
      </c>
      <c r="Q452" s="60">
        <f t="shared" si="220"/>
        <v>66796.903715758075</v>
      </c>
      <c r="R452" s="60">
        <f t="shared" si="221"/>
        <v>246280184</v>
      </c>
      <c r="S452" s="58">
        <v>0</v>
      </c>
      <c r="T452" s="58">
        <v>0</v>
      </c>
      <c r="U452" s="58">
        <v>0</v>
      </c>
      <c r="V452" s="58">
        <f>SUMIF('JUNE (물량흐름)'!$C$13:$C$493,'In-out-bal products (155)(완성제품)'!B452,'JUNE (물량흐름)'!$W$13:$W$493)</f>
        <v>0</v>
      </c>
      <c r="W452" s="58">
        <f t="shared" si="222"/>
        <v>0</v>
      </c>
      <c r="X452" s="58">
        <f t="shared" si="233"/>
        <v>0</v>
      </c>
      <c r="Y452" s="58">
        <f>SUMIF('JUNE (물량흐름)'!$C$13:$C$488,'In-out-bal products (155)(완성제품)'!B452,'JUNE (물량흐름)'!$X$13:$X$488)</f>
        <v>0</v>
      </c>
      <c r="Z452" s="58">
        <f t="shared" si="223"/>
        <v>0</v>
      </c>
      <c r="AA452" s="58">
        <f t="shared" si="224"/>
        <v>0</v>
      </c>
      <c r="AB452" s="58"/>
      <c r="AC452" s="58"/>
      <c r="AD452" s="61"/>
      <c r="AE452" s="58">
        <f t="shared" si="225"/>
        <v>0</v>
      </c>
      <c r="AF452" s="58">
        <f t="shared" si="226"/>
        <v>0</v>
      </c>
      <c r="AG452" s="61">
        <f t="shared" si="227"/>
        <v>0</v>
      </c>
      <c r="AH452" s="58">
        <v>0</v>
      </c>
      <c r="AI452" s="58">
        <v>0</v>
      </c>
      <c r="AJ452" s="61">
        <v>0</v>
      </c>
      <c r="AK452" s="58"/>
      <c r="AL452" s="58"/>
      <c r="AM452" s="61"/>
      <c r="AN452" s="61">
        <f t="shared" si="215"/>
        <v>0</v>
      </c>
      <c r="AO452" s="58">
        <f t="shared" si="234"/>
        <v>0</v>
      </c>
      <c r="AP452" s="61">
        <f t="shared" si="235"/>
        <v>0</v>
      </c>
      <c r="AQ452" s="58">
        <f t="shared" si="228"/>
        <v>3687</v>
      </c>
      <c r="AR452" s="58">
        <f t="shared" si="229"/>
        <v>66796.903715758075</v>
      </c>
      <c r="AS452" s="58">
        <f t="shared" si="230"/>
        <v>246280184</v>
      </c>
      <c r="AT452" s="58">
        <f>ROUND(SUMIF('JUNE (물량흐름)'!$C$13:$C$502,'In-out-bal products (155)(완성제품)'!B452,'JUNE (물량흐름)'!$AB$13:$AB$502),0)</f>
        <v>3687</v>
      </c>
      <c r="AU452" s="58">
        <f t="shared" si="231"/>
        <v>246280184</v>
      </c>
      <c r="AV452" s="58">
        <f>ROUND(SUMIF('JUNE (물량흐름)'!$C$13:$C$502,'In-out-bal products (155)(완성제품)'!B452,'JUNE (물량흐름)'!$AC$13:$AC$502),0)</f>
        <v>0</v>
      </c>
      <c r="AW452" s="58">
        <f t="shared" si="232"/>
        <v>0</v>
      </c>
      <c r="AX452" s="376">
        <f t="shared" si="236"/>
        <v>0</v>
      </c>
      <c r="AY452" s="377">
        <f t="shared" si="237"/>
        <v>0</v>
      </c>
      <c r="AZ452" s="377">
        <f t="shared" si="238"/>
        <v>0</v>
      </c>
      <c r="BA452" s="377">
        <f t="shared" si="239"/>
        <v>0</v>
      </c>
      <c r="BB452" s="377"/>
      <c r="BC452" s="377">
        <f t="shared" si="240"/>
        <v>0</v>
      </c>
      <c r="BD452" s="377">
        <f t="shared" si="241"/>
        <v>0</v>
      </c>
      <c r="BE452" s="377"/>
      <c r="BF452" s="377">
        <f t="shared" si="242"/>
        <v>0</v>
      </c>
      <c r="BG452" s="433"/>
      <c r="BH452" s="434"/>
    </row>
    <row r="453" spans="1:60" s="378" customFormat="1">
      <c r="A453" s="167">
        <v>463</v>
      </c>
      <c r="B453" s="253">
        <f>VLOOKUP(A453,'JUNE (물량흐름)'!$A$13:$C$493,3,0)</f>
        <v>100027487</v>
      </c>
      <c r="C453" s="57" t="str">
        <f>VLOOKUP(A453,'JUNE (물량흐름)'!$A$13:$C$493,2,0)</f>
        <v>ALFANI</v>
      </c>
      <c r="D453" s="58">
        <f>IFERROR(VLOOKUP(B453,O.B.JUNE!$V$7:$Y$448,2,0),0)</f>
        <v>0</v>
      </c>
      <c r="E453" s="58">
        <f>IFERROR(VLOOKUP(B453,O.B.JUNE!$V$7:$X$448,3,0),0)</f>
        <v>0</v>
      </c>
      <c r="F453" s="58">
        <f>IFERROR(VLOOKUP(B453,O.B.JUNE!$V$7:$Y$448,4,0),0)</f>
        <v>0</v>
      </c>
      <c r="G453" s="58">
        <f>SUMIF('JUNE (물량흐름)'!$C$13:$C$493,'In-out-bal products (155)(완성제품)'!B453,'JUNE (물량흐름)'!$V$13:$V$493)</f>
        <v>0</v>
      </c>
      <c r="H453" s="58">
        <f>SUMIF('JUNE (물량흐름)'!$C$13:$C$493,'In-out-bal products (155)(완성제품)'!B453,'JUNE (물량흐름)'!$T$13:$T$493)-SUMIF('JUNE (물량흐름)'!$C$13:$C$493,'In-out-bal products (155)(완성제품)'!B453,'JUNE (물량흐름)'!$Y$13:$Y$493)+SUMIF('JUNE (물량흐름)'!$C$13:$C$493,'In-out-bal products (155)(완성제품)'!B453,'JUNE (물량흐름)'!$U$13:$U$493)</f>
        <v>1205</v>
      </c>
      <c r="I453" s="58">
        <f t="shared" si="216"/>
        <v>39829.865560165978</v>
      </c>
      <c r="J453" s="58">
        <f>SUMIF('Direct labour(직접노무비)'!$C$12:$C$503,'In-out-bal products (155)(완성제품)'!B453,'Direct labour(직접노무비)'!$Q$12:$Q$503)</f>
        <v>16248896</v>
      </c>
      <c r="K453" s="59">
        <f>SUMIF('Overhead exp(제조경비)'!$C$12:$C$503,'In-out-bal products (155)(완성제품)'!B453,'Overhead exp(제조경비)'!$Q$12:$Q$503)</f>
        <v>31746092</v>
      </c>
      <c r="L453" s="58">
        <f t="shared" si="217"/>
        <v>47994988</v>
      </c>
      <c r="M453" s="58">
        <f>SUMIF('JUNE (물량흐름)'!$C$13:$C$488,'In-out-bal products (155)(완성제품)'!B453,'JUNE (물량흐름)'!$Y$13:$Y$488)</f>
        <v>0</v>
      </c>
      <c r="N453" s="58">
        <f t="shared" si="218"/>
        <v>0</v>
      </c>
      <c r="O453" s="58">
        <f>SUMIF('Direct labour(직접노무비)'!$C$12:$C$503,'In-out-bal products (155)(완성제품)'!B453,'Direct labour(직접노무비)'!$U$12:$U$503)+SUMIF('Overhead exp(제조경비)'!$C$12:$C$503,'In-out-bal products (155)(완성제품)'!B453,'Overhead exp(제조경비)'!$U$12:$U$503)</f>
        <v>0</v>
      </c>
      <c r="P453" s="60">
        <f t="shared" si="219"/>
        <v>1205</v>
      </c>
      <c r="Q453" s="60">
        <f t="shared" si="220"/>
        <v>39829.865560165978</v>
      </c>
      <c r="R453" s="60">
        <f t="shared" si="221"/>
        <v>47994988</v>
      </c>
      <c r="S453" s="58">
        <v>0</v>
      </c>
      <c r="T453" s="58">
        <v>0</v>
      </c>
      <c r="U453" s="58">
        <v>0</v>
      </c>
      <c r="V453" s="58">
        <f>SUMIF('JUNE (물량흐름)'!$C$13:$C$493,'In-out-bal products (155)(완성제품)'!B453,'JUNE (물량흐름)'!$W$13:$W$493)</f>
        <v>1172</v>
      </c>
      <c r="W453" s="58">
        <f t="shared" si="222"/>
        <v>39829.865187713309</v>
      </c>
      <c r="X453" s="58">
        <f t="shared" si="233"/>
        <v>46680602</v>
      </c>
      <c r="Y453" s="58">
        <f>SUMIF('JUNE (물량흐름)'!$C$13:$C$488,'In-out-bal products (155)(완성제품)'!B453,'JUNE (물량흐름)'!$X$13:$X$488)</f>
        <v>0</v>
      </c>
      <c r="Z453" s="58">
        <f t="shared" si="223"/>
        <v>0</v>
      </c>
      <c r="AA453" s="58">
        <f t="shared" si="224"/>
        <v>0</v>
      </c>
      <c r="AB453" s="58"/>
      <c r="AC453" s="58"/>
      <c r="AD453" s="61"/>
      <c r="AE453" s="58">
        <f t="shared" si="225"/>
        <v>0</v>
      </c>
      <c r="AF453" s="58">
        <f t="shared" si="226"/>
        <v>0</v>
      </c>
      <c r="AG453" s="61">
        <f t="shared" si="227"/>
        <v>0</v>
      </c>
      <c r="AH453" s="58">
        <v>0</v>
      </c>
      <c r="AI453" s="58">
        <v>0</v>
      </c>
      <c r="AJ453" s="61">
        <v>0</v>
      </c>
      <c r="AK453" s="58"/>
      <c r="AL453" s="58"/>
      <c r="AM453" s="61"/>
      <c r="AN453" s="61">
        <f t="shared" si="215"/>
        <v>1172</v>
      </c>
      <c r="AO453" s="58">
        <f t="shared" si="234"/>
        <v>39829.865187713309</v>
      </c>
      <c r="AP453" s="61">
        <f t="shared" si="235"/>
        <v>46680602</v>
      </c>
      <c r="AQ453" s="58">
        <f t="shared" si="228"/>
        <v>33</v>
      </c>
      <c r="AR453" s="58">
        <f t="shared" si="229"/>
        <v>39829.878787878784</v>
      </c>
      <c r="AS453" s="58">
        <f t="shared" si="230"/>
        <v>1314386</v>
      </c>
      <c r="AT453" s="58">
        <f>ROUND(SUMIF('JUNE (물량흐름)'!$C$13:$C$502,'In-out-bal products (155)(완성제품)'!B453,'JUNE (물량흐름)'!$AB$13:$AB$502),0)</f>
        <v>0</v>
      </c>
      <c r="AU453" s="58">
        <f t="shared" si="231"/>
        <v>0</v>
      </c>
      <c r="AV453" s="58">
        <f>ROUND(SUMIF('JUNE (물량흐름)'!$C$13:$C$502,'In-out-bal products (155)(완성제품)'!B453,'JUNE (물량흐름)'!$AC$13:$AC$502),0)</f>
        <v>33</v>
      </c>
      <c r="AW453" s="58">
        <f t="shared" si="232"/>
        <v>1314386</v>
      </c>
      <c r="AX453" s="376">
        <f t="shared" si="236"/>
        <v>0</v>
      </c>
      <c r="AY453" s="377">
        <f t="shared" si="237"/>
        <v>0</v>
      </c>
      <c r="AZ453" s="377">
        <f t="shared" si="238"/>
        <v>0</v>
      </c>
      <c r="BA453" s="377">
        <f t="shared" si="239"/>
        <v>0</v>
      </c>
      <c r="BB453" s="377"/>
      <c r="BC453" s="377">
        <f t="shared" si="240"/>
        <v>0</v>
      </c>
      <c r="BD453" s="377">
        <f t="shared" si="241"/>
        <v>0</v>
      </c>
      <c r="BE453" s="377"/>
      <c r="BF453" s="377">
        <f t="shared" si="242"/>
        <v>0</v>
      </c>
      <c r="BG453" s="433"/>
      <c r="BH453" s="434"/>
    </row>
    <row r="454" spans="1:60" s="378" customFormat="1">
      <c r="A454" s="167">
        <v>464</v>
      </c>
      <c r="B454" s="253">
        <f>VLOOKUP(A454,'JUNE (물량흐름)'!$A$13:$C$493,3,0)</f>
        <v>100033970</v>
      </c>
      <c r="C454" s="57" t="str">
        <f>VLOOKUP(A454,'JUNE (물량흐름)'!$A$13:$C$493,2,0)</f>
        <v>ALFANI</v>
      </c>
      <c r="D454" s="58">
        <f>IFERROR(VLOOKUP(B454,O.B.JUNE!$V$7:$Y$448,2,0),0)</f>
        <v>0</v>
      </c>
      <c r="E454" s="58">
        <f>IFERROR(VLOOKUP(B454,O.B.JUNE!$V$7:$X$448,3,0),0)</f>
        <v>0</v>
      </c>
      <c r="F454" s="58">
        <f>IFERROR(VLOOKUP(B454,O.B.JUNE!$V$7:$Y$448,4,0),0)</f>
        <v>0</v>
      </c>
      <c r="G454" s="58">
        <f>SUMIF('JUNE (물량흐름)'!$C$13:$C$493,'In-out-bal products (155)(완성제품)'!B454,'JUNE (물량흐름)'!$V$13:$V$493)</f>
        <v>0</v>
      </c>
      <c r="H454" s="58">
        <f>SUMIF('JUNE (물량흐름)'!$C$13:$C$493,'In-out-bal products (155)(완성제품)'!B454,'JUNE (물량흐름)'!$T$13:$T$493)-SUMIF('JUNE (물량흐름)'!$C$13:$C$493,'In-out-bal products (155)(완성제품)'!B454,'JUNE (물량흐름)'!$Y$13:$Y$493)+SUMIF('JUNE (물량흐름)'!$C$13:$C$493,'In-out-bal products (155)(완성제품)'!B454,'JUNE (물량흐름)'!$U$13:$U$493)</f>
        <v>0</v>
      </c>
      <c r="I454" s="58">
        <f t="shared" si="216"/>
        <v>0</v>
      </c>
      <c r="J454" s="58">
        <f>SUMIF('Direct labour(직접노무비)'!$C$12:$C$503,'In-out-bal products (155)(완성제품)'!B454,'Direct labour(직접노무비)'!$Q$12:$Q$503)</f>
        <v>0</v>
      </c>
      <c r="K454" s="59">
        <f>SUMIF('Overhead exp(제조경비)'!$C$12:$C$503,'In-out-bal products (155)(완성제품)'!B454,'Overhead exp(제조경비)'!$Q$12:$Q$503)</f>
        <v>0</v>
      </c>
      <c r="L454" s="58">
        <f t="shared" si="217"/>
        <v>0</v>
      </c>
      <c r="M454" s="58">
        <f>SUMIF('JUNE (물량흐름)'!$C$13:$C$488,'In-out-bal products (155)(완성제품)'!B454,'JUNE (물량흐름)'!$Y$13:$Y$488)</f>
        <v>0</v>
      </c>
      <c r="N454" s="58">
        <f t="shared" si="218"/>
        <v>0</v>
      </c>
      <c r="O454" s="58">
        <f>SUMIF('Direct labour(직접노무비)'!$C$12:$C$503,'In-out-bal products (155)(완성제품)'!B454,'Direct labour(직접노무비)'!$U$12:$U$503)+SUMIF('Overhead exp(제조경비)'!$C$12:$C$503,'In-out-bal products (155)(완성제품)'!B454,'Overhead exp(제조경비)'!$U$12:$U$503)</f>
        <v>0</v>
      </c>
      <c r="P454" s="60">
        <f t="shared" si="219"/>
        <v>0</v>
      </c>
      <c r="Q454" s="60">
        <f t="shared" si="220"/>
        <v>0</v>
      </c>
      <c r="R454" s="60">
        <f t="shared" si="221"/>
        <v>0</v>
      </c>
      <c r="S454" s="58">
        <v>0</v>
      </c>
      <c r="T454" s="58">
        <v>0</v>
      </c>
      <c r="U454" s="58">
        <v>0</v>
      </c>
      <c r="V454" s="58">
        <f>SUMIF('JUNE (물량흐름)'!$C$13:$C$493,'In-out-bal products (155)(완성제품)'!B454,'JUNE (물량흐름)'!$W$13:$W$493)</f>
        <v>0</v>
      </c>
      <c r="W454" s="58">
        <f t="shared" si="222"/>
        <v>0</v>
      </c>
      <c r="X454" s="58">
        <f t="shared" si="233"/>
        <v>0</v>
      </c>
      <c r="Y454" s="58">
        <f>SUMIF('JUNE (물량흐름)'!$C$13:$C$488,'In-out-bal products (155)(완성제품)'!B454,'JUNE (물량흐름)'!$X$13:$X$488)</f>
        <v>0</v>
      </c>
      <c r="Z454" s="58">
        <f t="shared" si="223"/>
        <v>0</v>
      </c>
      <c r="AA454" s="58">
        <f t="shared" si="224"/>
        <v>0</v>
      </c>
      <c r="AB454" s="58"/>
      <c r="AC454" s="58"/>
      <c r="AD454" s="61"/>
      <c r="AE454" s="58">
        <f t="shared" si="225"/>
        <v>0</v>
      </c>
      <c r="AF454" s="58">
        <f t="shared" si="226"/>
        <v>0</v>
      </c>
      <c r="AG454" s="61">
        <f t="shared" si="227"/>
        <v>0</v>
      </c>
      <c r="AH454" s="58">
        <v>0</v>
      </c>
      <c r="AI454" s="58">
        <v>0</v>
      </c>
      <c r="AJ454" s="61">
        <v>0</v>
      </c>
      <c r="AK454" s="58"/>
      <c r="AL454" s="58"/>
      <c r="AM454" s="61"/>
      <c r="AN454" s="61">
        <f t="shared" si="215"/>
        <v>0</v>
      </c>
      <c r="AO454" s="58">
        <f t="shared" si="234"/>
        <v>0</v>
      </c>
      <c r="AP454" s="61">
        <f t="shared" si="235"/>
        <v>0</v>
      </c>
      <c r="AQ454" s="58">
        <f t="shared" si="228"/>
        <v>0</v>
      </c>
      <c r="AR454" s="58">
        <f t="shared" si="229"/>
        <v>0</v>
      </c>
      <c r="AS454" s="58">
        <f t="shared" si="230"/>
        <v>0</v>
      </c>
      <c r="AT454" s="58">
        <f>ROUND(SUMIF('JUNE (물량흐름)'!$C$13:$C$502,'In-out-bal products (155)(완성제품)'!B454,'JUNE (물량흐름)'!$AB$13:$AB$502),0)</f>
        <v>0</v>
      </c>
      <c r="AU454" s="58">
        <f t="shared" si="231"/>
        <v>0</v>
      </c>
      <c r="AV454" s="58">
        <f>ROUND(SUMIF('JUNE (물량흐름)'!$C$13:$C$502,'In-out-bal products (155)(완성제품)'!B454,'JUNE (물량흐름)'!$AC$13:$AC$502),0)</f>
        <v>0</v>
      </c>
      <c r="AW454" s="58">
        <f t="shared" si="232"/>
        <v>0</v>
      </c>
      <c r="AX454" s="376">
        <f t="shared" si="236"/>
        <v>0</v>
      </c>
      <c r="AY454" s="377">
        <f t="shared" si="237"/>
        <v>0</v>
      </c>
      <c r="AZ454" s="377">
        <f t="shared" si="238"/>
        <v>0</v>
      </c>
      <c r="BA454" s="377">
        <f t="shared" si="239"/>
        <v>0</v>
      </c>
      <c r="BB454" s="377"/>
      <c r="BC454" s="377">
        <f t="shared" si="240"/>
        <v>0</v>
      </c>
      <c r="BD454" s="377">
        <f t="shared" si="241"/>
        <v>0</v>
      </c>
      <c r="BE454" s="377"/>
      <c r="BF454" s="377">
        <f t="shared" si="242"/>
        <v>0</v>
      </c>
      <c r="BG454" s="433"/>
      <c r="BH454" s="434"/>
    </row>
    <row r="455" spans="1:60" s="378" customFormat="1">
      <c r="A455" s="167">
        <v>465</v>
      </c>
      <c r="B455" s="253">
        <f>VLOOKUP(A455,'JUNE (물량흐름)'!$A$13:$C$493,3,0)</f>
        <v>100037213</v>
      </c>
      <c r="C455" s="57" t="str">
        <f>VLOOKUP(A455,'JUNE (물량흐름)'!$A$13:$C$493,2,0)</f>
        <v>ALFANI</v>
      </c>
      <c r="D455" s="58">
        <f>IFERROR(VLOOKUP(B455,O.B.JUNE!$V$7:$Y$448,2,0),0)</f>
        <v>0</v>
      </c>
      <c r="E455" s="58">
        <f>IFERROR(VLOOKUP(B455,O.B.JUNE!$V$7:$X$448,3,0),0)</f>
        <v>0</v>
      </c>
      <c r="F455" s="58">
        <f>IFERROR(VLOOKUP(B455,O.B.JUNE!$V$7:$Y$448,4,0),0)</f>
        <v>0</v>
      </c>
      <c r="G455" s="58">
        <f>SUMIF('JUNE (물량흐름)'!$C$13:$C$493,'In-out-bal products (155)(완성제품)'!B455,'JUNE (물량흐름)'!$V$13:$V$493)</f>
        <v>0</v>
      </c>
      <c r="H455" s="58">
        <f>SUMIF('JUNE (물량흐름)'!$C$13:$C$493,'In-out-bal products (155)(완성제품)'!B455,'JUNE (물량흐름)'!$T$13:$T$493)-SUMIF('JUNE (물량흐름)'!$C$13:$C$493,'In-out-bal products (155)(완성제품)'!B455,'JUNE (물량흐름)'!$Y$13:$Y$493)+SUMIF('JUNE (물량흐름)'!$C$13:$C$493,'In-out-bal products (155)(완성제품)'!B455,'JUNE (물량흐름)'!$U$13:$U$493)</f>
        <v>1276</v>
      </c>
      <c r="I455" s="58">
        <f t="shared" si="216"/>
        <v>30919.652037617554</v>
      </c>
      <c r="J455" s="58">
        <f>SUMIF('Direct labour(직접노무비)'!$C$12:$C$503,'In-out-bal products (155)(완성제품)'!B455,'Direct labour(직접노무비)'!$Q$12:$Q$503)</f>
        <v>13357133</v>
      </c>
      <c r="K455" s="59">
        <f>SUMIF('Overhead exp(제조경비)'!$C$12:$C$503,'In-out-bal products (155)(완성제품)'!B455,'Overhead exp(제조경비)'!$Q$12:$Q$503)</f>
        <v>26096343</v>
      </c>
      <c r="L455" s="58">
        <f t="shared" si="217"/>
        <v>39453476</v>
      </c>
      <c r="M455" s="58">
        <f>SUMIF('JUNE (물량흐름)'!$C$13:$C$488,'In-out-bal products (155)(완성제품)'!B455,'JUNE (물량흐름)'!$Y$13:$Y$488)</f>
        <v>0</v>
      </c>
      <c r="N455" s="58">
        <f t="shared" si="218"/>
        <v>0</v>
      </c>
      <c r="O455" s="58">
        <f>SUMIF('Direct labour(직접노무비)'!$C$12:$C$503,'In-out-bal products (155)(완성제품)'!B455,'Direct labour(직접노무비)'!$U$12:$U$503)+SUMIF('Overhead exp(제조경비)'!$C$12:$C$503,'In-out-bal products (155)(완성제품)'!B455,'Overhead exp(제조경비)'!$U$12:$U$503)</f>
        <v>0</v>
      </c>
      <c r="P455" s="60">
        <f t="shared" si="219"/>
        <v>1276</v>
      </c>
      <c r="Q455" s="60">
        <f t="shared" si="220"/>
        <v>30919.652037617554</v>
      </c>
      <c r="R455" s="60">
        <f t="shared" si="221"/>
        <v>39453476</v>
      </c>
      <c r="S455" s="58">
        <v>0</v>
      </c>
      <c r="T455" s="58">
        <v>0</v>
      </c>
      <c r="U455" s="58">
        <v>0</v>
      </c>
      <c r="V455" s="58">
        <f>SUMIF('JUNE (물량흐름)'!$C$13:$C$493,'In-out-bal products (155)(완성제품)'!B455,'JUNE (물량흐름)'!$W$13:$W$493)</f>
        <v>0</v>
      </c>
      <c r="W455" s="58">
        <f t="shared" si="222"/>
        <v>0</v>
      </c>
      <c r="X455" s="58">
        <f t="shared" si="233"/>
        <v>0</v>
      </c>
      <c r="Y455" s="58">
        <f>SUMIF('JUNE (물량흐름)'!$C$13:$C$488,'In-out-bal products (155)(완성제품)'!B455,'JUNE (물량흐름)'!$X$13:$X$488)</f>
        <v>0</v>
      </c>
      <c r="Z455" s="58">
        <f t="shared" si="223"/>
        <v>0</v>
      </c>
      <c r="AA455" s="58">
        <f t="shared" si="224"/>
        <v>0</v>
      </c>
      <c r="AB455" s="58"/>
      <c r="AC455" s="58"/>
      <c r="AD455" s="61"/>
      <c r="AE455" s="58">
        <f t="shared" si="225"/>
        <v>0</v>
      </c>
      <c r="AF455" s="58">
        <f t="shared" si="226"/>
        <v>0</v>
      </c>
      <c r="AG455" s="61">
        <f t="shared" si="227"/>
        <v>0</v>
      </c>
      <c r="AH455" s="58">
        <v>0</v>
      </c>
      <c r="AI455" s="58">
        <v>0</v>
      </c>
      <c r="AJ455" s="61">
        <v>0</v>
      </c>
      <c r="AK455" s="58"/>
      <c r="AL455" s="58"/>
      <c r="AM455" s="61"/>
      <c r="AN455" s="61">
        <f t="shared" si="215"/>
        <v>0</v>
      </c>
      <c r="AO455" s="58">
        <f t="shared" si="234"/>
        <v>0</v>
      </c>
      <c r="AP455" s="61">
        <f t="shared" si="235"/>
        <v>0</v>
      </c>
      <c r="AQ455" s="58">
        <f t="shared" si="228"/>
        <v>1276</v>
      </c>
      <c r="AR455" s="58">
        <f t="shared" si="229"/>
        <v>30919.652037617554</v>
      </c>
      <c r="AS455" s="58">
        <f t="shared" si="230"/>
        <v>39453476</v>
      </c>
      <c r="AT455" s="58">
        <f>ROUND(SUMIF('JUNE (물량흐름)'!$C$13:$C$502,'In-out-bal products (155)(완성제품)'!B455,'JUNE (물량흐름)'!$AB$13:$AB$502),0)</f>
        <v>1276</v>
      </c>
      <c r="AU455" s="58">
        <f t="shared" si="231"/>
        <v>39453476</v>
      </c>
      <c r="AV455" s="58">
        <f>ROUND(SUMIF('JUNE (물량흐름)'!$C$13:$C$502,'In-out-bal products (155)(완성제품)'!B455,'JUNE (물량흐름)'!$AC$13:$AC$502),0)</f>
        <v>0</v>
      </c>
      <c r="AW455" s="58">
        <f t="shared" si="232"/>
        <v>0</v>
      </c>
      <c r="AX455" s="376">
        <f t="shared" si="236"/>
        <v>0</v>
      </c>
      <c r="AY455" s="377">
        <f t="shared" si="237"/>
        <v>0</v>
      </c>
      <c r="AZ455" s="377">
        <f t="shared" si="238"/>
        <v>0</v>
      </c>
      <c r="BA455" s="377">
        <f t="shared" si="239"/>
        <v>0</v>
      </c>
      <c r="BB455" s="377"/>
      <c r="BC455" s="377">
        <f t="shared" si="240"/>
        <v>0</v>
      </c>
      <c r="BD455" s="377">
        <f t="shared" si="241"/>
        <v>0</v>
      </c>
      <c r="BE455" s="377"/>
      <c r="BF455" s="377">
        <f t="shared" si="242"/>
        <v>0</v>
      </c>
      <c r="BG455" s="433"/>
      <c r="BH455" s="434"/>
    </row>
    <row r="456" spans="1:60" s="378" customFormat="1">
      <c r="A456" s="167">
        <v>466</v>
      </c>
      <c r="B456" s="253">
        <f>VLOOKUP(A456,'JUNE (물량흐름)'!$A$13:$C$493,3,0)</f>
        <v>100037673</v>
      </c>
      <c r="C456" s="57" t="str">
        <f>VLOOKUP(A456,'JUNE (물량흐름)'!$A$13:$C$493,2,0)</f>
        <v>ALFANI</v>
      </c>
      <c r="D456" s="58">
        <f>IFERROR(VLOOKUP(B456,O.B.JUNE!$V$7:$Y$448,2,0),0)</f>
        <v>0</v>
      </c>
      <c r="E456" s="58">
        <f>IFERROR(VLOOKUP(B456,O.B.JUNE!$V$7:$X$448,3,0),0)</f>
        <v>0</v>
      </c>
      <c r="F456" s="58">
        <f>IFERROR(VLOOKUP(B456,O.B.JUNE!$V$7:$Y$448,4,0),0)</f>
        <v>0</v>
      </c>
      <c r="G456" s="58">
        <f>SUMIF('JUNE (물량흐름)'!$C$13:$C$493,'In-out-bal products (155)(완성제품)'!B456,'JUNE (물량흐름)'!$V$13:$V$493)</f>
        <v>0</v>
      </c>
      <c r="H456" s="58">
        <f>SUMIF('JUNE (물량흐름)'!$C$13:$C$493,'In-out-bal products (155)(완성제품)'!B456,'JUNE (물량흐름)'!$T$13:$T$493)-SUMIF('JUNE (물량흐름)'!$C$13:$C$493,'In-out-bal products (155)(완성제품)'!B456,'JUNE (물량흐름)'!$Y$13:$Y$493)+SUMIF('JUNE (물량흐름)'!$C$13:$C$493,'In-out-bal products (155)(완성제품)'!B456,'JUNE (물량흐름)'!$U$13:$U$493)</f>
        <v>1698</v>
      </c>
      <c r="I456" s="58">
        <f t="shared" si="216"/>
        <v>34677.114840989401</v>
      </c>
      <c r="J456" s="58">
        <f>SUMIF('Direct labour(직접노무비)'!$C$12:$C$503,'In-out-bal products (155)(완성제품)'!B456,'Direct labour(직접노무비)'!$Q$12:$Q$503)</f>
        <v>19934650</v>
      </c>
      <c r="K456" s="59">
        <f>SUMIF('Overhead exp(제조경비)'!$C$12:$C$503,'In-out-bal products (155)(완성제품)'!B456,'Overhead exp(제조경비)'!$Q$12:$Q$503)</f>
        <v>38947091</v>
      </c>
      <c r="L456" s="58">
        <f t="shared" si="217"/>
        <v>58881741</v>
      </c>
      <c r="M456" s="58">
        <f>SUMIF('JUNE (물량흐름)'!$C$13:$C$488,'In-out-bal products (155)(완성제품)'!B456,'JUNE (물량흐름)'!$Y$13:$Y$488)</f>
        <v>0</v>
      </c>
      <c r="N456" s="58">
        <f t="shared" si="218"/>
        <v>0</v>
      </c>
      <c r="O456" s="58">
        <f>SUMIF('Direct labour(직접노무비)'!$C$12:$C$503,'In-out-bal products (155)(완성제품)'!B456,'Direct labour(직접노무비)'!$U$12:$U$503)+SUMIF('Overhead exp(제조경비)'!$C$12:$C$503,'In-out-bal products (155)(완성제품)'!B456,'Overhead exp(제조경비)'!$U$12:$U$503)</f>
        <v>0</v>
      </c>
      <c r="P456" s="60">
        <f t="shared" si="219"/>
        <v>1698</v>
      </c>
      <c r="Q456" s="60">
        <f t="shared" si="220"/>
        <v>34677.114840989401</v>
      </c>
      <c r="R456" s="60">
        <f t="shared" si="221"/>
        <v>58881741</v>
      </c>
      <c r="S456" s="58">
        <v>0</v>
      </c>
      <c r="T456" s="58">
        <v>0</v>
      </c>
      <c r="U456" s="58">
        <v>0</v>
      </c>
      <c r="V456" s="58">
        <f>SUMIF('JUNE (물량흐름)'!$C$13:$C$493,'In-out-bal products (155)(완성제품)'!B456,'JUNE (물량흐름)'!$W$13:$W$493)</f>
        <v>0</v>
      </c>
      <c r="W456" s="58">
        <f t="shared" si="222"/>
        <v>0</v>
      </c>
      <c r="X456" s="58">
        <f t="shared" si="233"/>
        <v>0</v>
      </c>
      <c r="Y456" s="58">
        <f>SUMIF('JUNE (물량흐름)'!$C$13:$C$488,'In-out-bal products (155)(완성제품)'!B456,'JUNE (물량흐름)'!$X$13:$X$488)</f>
        <v>0</v>
      </c>
      <c r="Z456" s="58">
        <f t="shared" si="223"/>
        <v>0</v>
      </c>
      <c r="AA456" s="58">
        <f t="shared" si="224"/>
        <v>0</v>
      </c>
      <c r="AB456" s="58"/>
      <c r="AC456" s="58"/>
      <c r="AD456" s="61"/>
      <c r="AE456" s="58">
        <f t="shared" si="225"/>
        <v>0</v>
      </c>
      <c r="AF456" s="58">
        <f t="shared" si="226"/>
        <v>0</v>
      </c>
      <c r="AG456" s="61">
        <f t="shared" si="227"/>
        <v>0</v>
      </c>
      <c r="AH456" s="58">
        <v>0</v>
      </c>
      <c r="AI456" s="58">
        <v>0</v>
      </c>
      <c r="AJ456" s="61">
        <v>0</v>
      </c>
      <c r="AK456" s="58"/>
      <c r="AL456" s="58"/>
      <c r="AM456" s="61"/>
      <c r="AN456" s="61">
        <f t="shared" si="215"/>
        <v>0</v>
      </c>
      <c r="AO456" s="58">
        <f t="shared" si="234"/>
        <v>0</v>
      </c>
      <c r="AP456" s="61">
        <f t="shared" si="235"/>
        <v>0</v>
      </c>
      <c r="AQ456" s="58">
        <f t="shared" si="228"/>
        <v>1698</v>
      </c>
      <c r="AR456" s="58">
        <f t="shared" si="229"/>
        <v>34677.114840989401</v>
      </c>
      <c r="AS456" s="58">
        <f t="shared" si="230"/>
        <v>58881741</v>
      </c>
      <c r="AT456" s="58">
        <f>ROUND(SUMIF('JUNE (물량흐름)'!$C$13:$C$502,'In-out-bal products (155)(완성제품)'!B456,'JUNE (물량흐름)'!$AB$13:$AB$502),0)</f>
        <v>1698</v>
      </c>
      <c r="AU456" s="58">
        <f t="shared" si="231"/>
        <v>58881741</v>
      </c>
      <c r="AV456" s="58">
        <f>ROUND(SUMIF('JUNE (물량흐름)'!$C$13:$C$502,'In-out-bal products (155)(완성제품)'!B456,'JUNE (물량흐름)'!$AC$13:$AC$502),0)</f>
        <v>0</v>
      </c>
      <c r="AW456" s="58">
        <f t="shared" si="232"/>
        <v>0</v>
      </c>
      <c r="AX456" s="376">
        <f t="shared" si="236"/>
        <v>0</v>
      </c>
      <c r="AY456" s="377">
        <f t="shared" si="237"/>
        <v>0</v>
      </c>
      <c r="AZ456" s="377">
        <f t="shared" si="238"/>
        <v>0</v>
      </c>
      <c r="BA456" s="377">
        <f t="shared" si="239"/>
        <v>0</v>
      </c>
      <c r="BB456" s="377"/>
      <c r="BC456" s="377">
        <f t="shared" si="240"/>
        <v>0</v>
      </c>
      <c r="BD456" s="377">
        <f t="shared" si="241"/>
        <v>0</v>
      </c>
      <c r="BE456" s="377"/>
      <c r="BF456" s="377">
        <f t="shared" si="242"/>
        <v>0</v>
      </c>
      <c r="BG456" s="433"/>
      <c r="BH456" s="434"/>
    </row>
    <row r="457" spans="1:60" s="378" customFormat="1">
      <c r="A457" s="167">
        <v>467</v>
      </c>
      <c r="B457" s="253">
        <f>VLOOKUP(A457,'JUNE (물량흐름)'!$A$13:$C$493,3,0)</f>
        <v>100038686</v>
      </c>
      <c r="C457" s="57" t="str">
        <f>VLOOKUP(A457,'JUNE (물량흐름)'!$A$13:$C$493,2,0)</f>
        <v>ALFANI</v>
      </c>
      <c r="D457" s="58">
        <f>IFERROR(VLOOKUP(B457,O.B.JUNE!$V$7:$Y$448,2,0),0)</f>
        <v>0</v>
      </c>
      <c r="E457" s="58">
        <f>IFERROR(VLOOKUP(B457,O.B.JUNE!$V$7:$X$448,3,0),0)</f>
        <v>0</v>
      </c>
      <c r="F457" s="58">
        <f>IFERROR(VLOOKUP(B457,O.B.JUNE!$V$7:$Y$448,4,0),0)</f>
        <v>0</v>
      </c>
      <c r="G457" s="58">
        <f>SUMIF('JUNE (물량흐름)'!$C$13:$C$493,'In-out-bal products (155)(완성제품)'!B457,'JUNE (물량흐름)'!$V$13:$V$493)</f>
        <v>0</v>
      </c>
      <c r="H457" s="58">
        <f>SUMIF('JUNE (물량흐름)'!$C$13:$C$493,'In-out-bal products (155)(완성제품)'!B457,'JUNE (물량흐름)'!$T$13:$T$493)-SUMIF('JUNE (물량흐름)'!$C$13:$C$493,'In-out-bal products (155)(완성제품)'!B457,'JUNE (물량흐름)'!$Y$13:$Y$493)+SUMIF('JUNE (물량흐름)'!$C$13:$C$493,'In-out-bal products (155)(완성제품)'!B457,'JUNE (물량흐름)'!$U$13:$U$493)</f>
        <v>322</v>
      </c>
      <c r="I457" s="58">
        <f t="shared" si="216"/>
        <v>14045.630434782608</v>
      </c>
      <c r="J457" s="58">
        <f>SUMIF('Direct labour(직접노무비)'!$C$12:$C$503,'In-out-bal products (155)(완성제품)'!B457,'Direct labour(직접노무비)'!$Q$12:$Q$503)</f>
        <v>1531176</v>
      </c>
      <c r="K457" s="59">
        <f>SUMIF('Overhead exp(제조경비)'!$C$12:$C$503,'In-out-bal products (155)(완성제품)'!B457,'Overhead exp(제조경비)'!$Q$12:$Q$503)</f>
        <v>2991517</v>
      </c>
      <c r="L457" s="58">
        <f t="shared" si="217"/>
        <v>4522693</v>
      </c>
      <c r="M457" s="58">
        <f>SUMIF('JUNE (물량흐름)'!$C$13:$C$488,'In-out-bal products (155)(완성제품)'!B457,'JUNE (물량흐름)'!$Y$13:$Y$488)</f>
        <v>0</v>
      </c>
      <c r="N457" s="58">
        <f t="shared" si="218"/>
        <v>0</v>
      </c>
      <c r="O457" s="58">
        <f>SUMIF('Direct labour(직접노무비)'!$C$12:$C$503,'In-out-bal products (155)(완성제품)'!B457,'Direct labour(직접노무비)'!$U$12:$U$503)+SUMIF('Overhead exp(제조경비)'!$C$12:$C$503,'In-out-bal products (155)(완성제품)'!B457,'Overhead exp(제조경비)'!$U$12:$U$503)</f>
        <v>0</v>
      </c>
      <c r="P457" s="60">
        <f t="shared" si="219"/>
        <v>322</v>
      </c>
      <c r="Q457" s="60">
        <f t="shared" si="220"/>
        <v>14045.630434782608</v>
      </c>
      <c r="R457" s="60">
        <f t="shared" si="221"/>
        <v>4522693</v>
      </c>
      <c r="S457" s="58">
        <v>0</v>
      </c>
      <c r="T457" s="58">
        <v>0</v>
      </c>
      <c r="U457" s="58">
        <v>0</v>
      </c>
      <c r="V457" s="58">
        <f>SUMIF('JUNE (물량흐름)'!$C$13:$C$493,'In-out-bal products (155)(완성제품)'!B457,'JUNE (물량흐름)'!$W$13:$W$493)</f>
        <v>0</v>
      </c>
      <c r="W457" s="58">
        <f t="shared" si="222"/>
        <v>0</v>
      </c>
      <c r="X457" s="58">
        <f t="shared" si="233"/>
        <v>0</v>
      </c>
      <c r="Y457" s="58">
        <f>SUMIF('JUNE (물량흐름)'!$C$13:$C$488,'In-out-bal products (155)(완성제품)'!B457,'JUNE (물량흐름)'!$X$13:$X$488)</f>
        <v>0</v>
      </c>
      <c r="Z457" s="58">
        <f t="shared" si="223"/>
        <v>0</v>
      </c>
      <c r="AA457" s="58">
        <f t="shared" si="224"/>
        <v>0</v>
      </c>
      <c r="AB457" s="58"/>
      <c r="AC457" s="58"/>
      <c r="AD457" s="61"/>
      <c r="AE457" s="58">
        <f t="shared" si="225"/>
        <v>0</v>
      </c>
      <c r="AF457" s="58">
        <f t="shared" si="226"/>
        <v>0</v>
      </c>
      <c r="AG457" s="61">
        <f t="shared" si="227"/>
        <v>0</v>
      </c>
      <c r="AH457" s="58">
        <v>0</v>
      </c>
      <c r="AI457" s="58">
        <v>0</v>
      </c>
      <c r="AJ457" s="61">
        <v>0</v>
      </c>
      <c r="AK457" s="58"/>
      <c r="AL457" s="58"/>
      <c r="AM457" s="61"/>
      <c r="AN457" s="61">
        <f t="shared" si="215"/>
        <v>0</v>
      </c>
      <c r="AO457" s="58">
        <f t="shared" si="234"/>
        <v>0</v>
      </c>
      <c r="AP457" s="61">
        <f t="shared" si="235"/>
        <v>0</v>
      </c>
      <c r="AQ457" s="58">
        <f t="shared" si="228"/>
        <v>322</v>
      </c>
      <c r="AR457" s="58">
        <f t="shared" si="229"/>
        <v>14045.630434782608</v>
      </c>
      <c r="AS457" s="58">
        <f t="shared" si="230"/>
        <v>4522693</v>
      </c>
      <c r="AT457" s="58">
        <f>ROUND(SUMIF('JUNE (물량흐름)'!$C$13:$C$502,'In-out-bal products (155)(완성제품)'!B457,'JUNE (물량흐름)'!$AB$13:$AB$502),0)</f>
        <v>322</v>
      </c>
      <c r="AU457" s="58">
        <f t="shared" si="231"/>
        <v>4522693</v>
      </c>
      <c r="AV457" s="58">
        <f>ROUND(SUMIF('JUNE (물량흐름)'!$C$13:$C$502,'In-out-bal products (155)(완성제품)'!B457,'JUNE (물량흐름)'!$AC$13:$AC$502),0)</f>
        <v>0</v>
      </c>
      <c r="AW457" s="58">
        <f t="shared" si="232"/>
        <v>0</v>
      </c>
      <c r="AX457" s="376">
        <f t="shared" si="236"/>
        <v>0</v>
      </c>
      <c r="AY457" s="377">
        <f t="shared" si="237"/>
        <v>0</v>
      </c>
      <c r="AZ457" s="377">
        <f t="shared" si="238"/>
        <v>0</v>
      </c>
      <c r="BA457" s="377">
        <f t="shared" si="239"/>
        <v>0</v>
      </c>
      <c r="BB457" s="377"/>
      <c r="BC457" s="377">
        <f t="shared" si="240"/>
        <v>0</v>
      </c>
      <c r="BD457" s="377">
        <f t="shared" si="241"/>
        <v>0</v>
      </c>
      <c r="BE457" s="377"/>
      <c r="BF457" s="377">
        <f t="shared" si="242"/>
        <v>0</v>
      </c>
      <c r="BG457" s="433"/>
      <c r="BH457" s="434"/>
    </row>
    <row r="458" spans="1:60" s="378" customFormat="1">
      <c r="A458" s="167">
        <v>468</v>
      </c>
      <c r="B458" s="253">
        <f>VLOOKUP(A458,'JUNE (물량흐름)'!$A$13:$C$493,3,0)</f>
        <v>183034540</v>
      </c>
      <c r="C458" s="57" t="str">
        <f>VLOOKUP(A458,'JUNE (물량흐름)'!$A$13:$C$493,2,0)</f>
        <v>TALBOTS</v>
      </c>
      <c r="D458" s="58">
        <f>IFERROR(VLOOKUP(B458,O.B.JUNE!$V$7:$Y$448,2,0),0)</f>
        <v>0</v>
      </c>
      <c r="E458" s="58">
        <f>IFERROR(VLOOKUP(B458,O.B.JUNE!$V$7:$X$448,3,0),0)</f>
        <v>0</v>
      </c>
      <c r="F458" s="58">
        <f>IFERROR(VLOOKUP(B458,O.B.JUNE!$V$7:$Y$448,4,0),0)</f>
        <v>0</v>
      </c>
      <c r="G458" s="58">
        <f>SUMIF('JUNE (물량흐름)'!$C$13:$C$493,'In-out-bal products (155)(완성제품)'!B458,'JUNE (물량흐름)'!$V$13:$V$493)</f>
        <v>0</v>
      </c>
      <c r="H458" s="58">
        <f>SUMIF('JUNE (물량흐름)'!$C$13:$C$493,'In-out-bal products (155)(완성제품)'!B458,'JUNE (물량흐름)'!$T$13:$T$493)-SUMIF('JUNE (물량흐름)'!$C$13:$C$493,'In-out-bal products (155)(완성제품)'!B458,'JUNE (물량흐름)'!$Y$13:$Y$493)+SUMIF('JUNE (물량흐름)'!$C$13:$C$493,'In-out-bal products (155)(완성제품)'!B458,'JUNE (물량흐름)'!$U$13:$U$493)</f>
        <v>1105</v>
      </c>
      <c r="I458" s="58">
        <f t="shared" si="216"/>
        <v>132706.88325791855</v>
      </c>
      <c r="J458" s="58">
        <f>SUMIF('Direct labour(직접노무비)'!$C$12:$C$503,'In-out-bal products (155)(완성제품)'!B458,'Direct labour(직접노무비)'!$Q$12:$Q$503)</f>
        <v>49645935</v>
      </c>
      <c r="K458" s="59">
        <f>SUMIF('Overhead exp(제조경비)'!$C$12:$C$503,'In-out-bal products (155)(완성제품)'!B458,'Overhead exp(제조경비)'!$Q$12:$Q$503)</f>
        <v>96995171</v>
      </c>
      <c r="L458" s="58">
        <f t="shared" si="217"/>
        <v>146641106</v>
      </c>
      <c r="M458" s="58">
        <f>SUMIF('JUNE (물량흐름)'!$C$13:$C$488,'In-out-bal products (155)(완성제품)'!B458,'JUNE (물량흐름)'!$Y$13:$Y$488)</f>
        <v>0</v>
      </c>
      <c r="N458" s="58">
        <f t="shared" si="218"/>
        <v>0</v>
      </c>
      <c r="O458" s="58">
        <f>SUMIF('Direct labour(직접노무비)'!$C$12:$C$503,'In-out-bal products (155)(완성제품)'!B458,'Direct labour(직접노무비)'!$U$12:$U$503)+SUMIF('Overhead exp(제조경비)'!$C$12:$C$503,'In-out-bal products (155)(완성제품)'!B458,'Overhead exp(제조경비)'!$U$12:$U$503)</f>
        <v>0</v>
      </c>
      <c r="P458" s="60">
        <f t="shared" si="219"/>
        <v>1105</v>
      </c>
      <c r="Q458" s="60">
        <f t="shared" si="220"/>
        <v>132706.88325791855</v>
      </c>
      <c r="R458" s="60">
        <f t="shared" si="221"/>
        <v>146641106</v>
      </c>
      <c r="S458" s="58">
        <v>0</v>
      </c>
      <c r="T458" s="58">
        <v>0</v>
      </c>
      <c r="U458" s="58">
        <v>0</v>
      </c>
      <c r="V458" s="58">
        <f>SUMIF('JUNE (물량흐름)'!$C$13:$C$493,'In-out-bal products (155)(완성제품)'!B458,'JUNE (물량흐름)'!$W$13:$W$493)</f>
        <v>800</v>
      </c>
      <c r="W458" s="58">
        <f t="shared" si="222"/>
        <v>132706.88375000001</v>
      </c>
      <c r="X458" s="58">
        <f t="shared" si="233"/>
        <v>106165507</v>
      </c>
      <c r="Y458" s="58">
        <f>SUMIF('JUNE (물량흐름)'!$C$13:$C$488,'In-out-bal products (155)(완성제품)'!B458,'JUNE (물량흐름)'!$X$13:$X$488)</f>
        <v>0</v>
      </c>
      <c r="Z458" s="58">
        <f t="shared" si="223"/>
        <v>0</v>
      </c>
      <c r="AA458" s="58">
        <f t="shared" si="224"/>
        <v>0</v>
      </c>
      <c r="AB458" s="58"/>
      <c r="AC458" s="58"/>
      <c r="AD458" s="61"/>
      <c r="AE458" s="58">
        <f t="shared" si="225"/>
        <v>0</v>
      </c>
      <c r="AF458" s="58">
        <f t="shared" si="226"/>
        <v>0</v>
      </c>
      <c r="AG458" s="61">
        <f t="shared" si="227"/>
        <v>0</v>
      </c>
      <c r="AH458" s="58">
        <v>0</v>
      </c>
      <c r="AI458" s="58">
        <v>0</v>
      </c>
      <c r="AJ458" s="61">
        <v>0</v>
      </c>
      <c r="AK458" s="58"/>
      <c r="AL458" s="58"/>
      <c r="AM458" s="61"/>
      <c r="AN458" s="61">
        <f t="shared" si="215"/>
        <v>800</v>
      </c>
      <c r="AO458" s="58">
        <f t="shared" si="234"/>
        <v>132706.88375000001</v>
      </c>
      <c r="AP458" s="61">
        <f t="shared" si="235"/>
        <v>106165507</v>
      </c>
      <c r="AQ458" s="58">
        <f t="shared" si="228"/>
        <v>305</v>
      </c>
      <c r="AR458" s="58">
        <f t="shared" si="229"/>
        <v>132706.88196721312</v>
      </c>
      <c r="AS458" s="58">
        <f t="shared" si="230"/>
        <v>40475599</v>
      </c>
      <c r="AT458" s="58">
        <f>ROUND(SUMIF('JUNE (물량흐름)'!$C$13:$C$502,'In-out-bal products (155)(완성제품)'!B458,'JUNE (물량흐름)'!$AB$13:$AB$502),0)</f>
        <v>305</v>
      </c>
      <c r="AU458" s="58">
        <f t="shared" si="231"/>
        <v>40475599</v>
      </c>
      <c r="AV458" s="58">
        <f>ROUND(SUMIF('JUNE (물량흐름)'!$C$13:$C$502,'In-out-bal products (155)(완성제품)'!B458,'JUNE (물량흐름)'!$AC$13:$AC$502),0)</f>
        <v>0</v>
      </c>
      <c r="AW458" s="58">
        <f t="shared" si="232"/>
        <v>0</v>
      </c>
      <c r="AX458" s="376">
        <f t="shared" si="236"/>
        <v>0</v>
      </c>
      <c r="AY458" s="377">
        <f t="shared" si="237"/>
        <v>0</v>
      </c>
      <c r="AZ458" s="377">
        <f t="shared" si="238"/>
        <v>0</v>
      </c>
      <c r="BA458" s="377">
        <f t="shared" si="239"/>
        <v>0</v>
      </c>
      <c r="BB458" s="377"/>
      <c r="BC458" s="377">
        <f t="shared" si="240"/>
        <v>0</v>
      </c>
      <c r="BD458" s="377">
        <f t="shared" si="241"/>
        <v>0</v>
      </c>
      <c r="BE458" s="377"/>
      <c r="BF458" s="377">
        <f t="shared" si="242"/>
        <v>0</v>
      </c>
      <c r="BG458" s="433"/>
      <c r="BH458" s="434"/>
    </row>
    <row r="459" spans="1:60" s="378" customFormat="1">
      <c r="A459" s="167">
        <v>469</v>
      </c>
      <c r="B459" s="253">
        <f>VLOOKUP(A459,'JUNE (물량흐름)'!$A$13:$C$493,3,0)</f>
        <v>100033058</v>
      </c>
      <c r="C459" s="57" t="str">
        <f>VLOOKUP(A459,'JUNE (물량흐름)'!$A$13:$C$493,2,0)</f>
        <v>BAR III</v>
      </c>
      <c r="D459" s="58">
        <f>IFERROR(VLOOKUP(B459,O.B.JUNE!$V$7:$Y$448,2,0),0)</f>
        <v>0</v>
      </c>
      <c r="E459" s="58">
        <f>IFERROR(VLOOKUP(B459,O.B.JUNE!$V$7:$X$448,3,0),0)</f>
        <v>0</v>
      </c>
      <c r="F459" s="58">
        <f>IFERROR(VLOOKUP(B459,O.B.JUNE!$V$7:$Y$448,4,0),0)</f>
        <v>0</v>
      </c>
      <c r="G459" s="58">
        <f>SUMIF('JUNE (물량흐름)'!$C$13:$C$493,'In-out-bal products (155)(완성제품)'!B459,'JUNE (물량흐름)'!$V$13:$V$493)</f>
        <v>0</v>
      </c>
      <c r="H459" s="58">
        <f>SUMIF('JUNE (물량흐름)'!$C$13:$C$493,'In-out-bal products (155)(완성제품)'!B459,'JUNE (물량흐름)'!$T$13:$T$493)-SUMIF('JUNE (물량흐름)'!$C$13:$C$493,'In-out-bal products (155)(완성제품)'!B459,'JUNE (물량흐름)'!$Y$13:$Y$493)+SUMIF('JUNE (물량흐름)'!$C$13:$C$493,'In-out-bal products (155)(완성제품)'!B459,'JUNE (물량흐름)'!$U$13:$U$493)</f>
        <v>1057</v>
      </c>
      <c r="I459" s="58">
        <f t="shared" si="216"/>
        <v>51748.79564806055</v>
      </c>
      <c r="J459" s="58">
        <f>SUMIF('Direct labour(직접노무비)'!$C$12:$C$503,'In-out-bal products (155)(완성제품)'!B459,'Direct labour(직접노무비)'!$Q$12:$Q$503)</f>
        <v>18518389</v>
      </c>
      <c r="K459" s="59">
        <f>SUMIF('Overhead exp(제조경비)'!$C$12:$C$503,'In-out-bal products (155)(완성제품)'!B459,'Overhead exp(제조경비)'!$Q$12:$Q$503)</f>
        <v>36180088</v>
      </c>
      <c r="L459" s="58">
        <f t="shared" si="217"/>
        <v>54698477</v>
      </c>
      <c r="M459" s="58">
        <f>SUMIF('JUNE (물량흐름)'!$C$13:$C$488,'In-out-bal products (155)(완성제품)'!B459,'JUNE (물량흐름)'!$Y$13:$Y$488)</f>
        <v>3</v>
      </c>
      <c r="N459" s="58">
        <f t="shared" si="218"/>
        <v>51748.666666666664</v>
      </c>
      <c r="O459" s="58">
        <f>SUMIF('Direct labour(직접노무비)'!$C$12:$C$503,'In-out-bal products (155)(완성제품)'!B459,'Direct labour(직접노무비)'!$U$12:$U$503)+SUMIF('Overhead exp(제조경비)'!$C$12:$C$503,'In-out-bal products (155)(완성제품)'!B459,'Overhead exp(제조경비)'!$U$12:$U$503)</f>
        <v>155246</v>
      </c>
      <c r="P459" s="60">
        <f t="shared" si="219"/>
        <v>1060</v>
      </c>
      <c r="Q459" s="60">
        <f t="shared" si="220"/>
        <v>51748.795283018866</v>
      </c>
      <c r="R459" s="60">
        <f t="shared" si="221"/>
        <v>54853723</v>
      </c>
      <c r="S459" s="58">
        <v>0</v>
      </c>
      <c r="T459" s="58">
        <v>0</v>
      </c>
      <c r="U459" s="58">
        <v>0</v>
      </c>
      <c r="V459" s="58">
        <f>SUMIF('JUNE (물량흐름)'!$C$13:$C$493,'In-out-bal products (155)(완성제품)'!B459,'JUNE (물량흐름)'!$W$13:$W$493)</f>
        <v>1057</v>
      </c>
      <c r="W459" s="58">
        <f t="shared" si="222"/>
        <v>51748.79564806055</v>
      </c>
      <c r="X459" s="58">
        <f t="shared" si="233"/>
        <v>54698477</v>
      </c>
      <c r="Y459" s="58">
        <f>SUMIF('JUNE (물량흐름)'!$C$13:$C$488,'In-out-bal products (155)(완성제품)'!B459,'JUNE (물량흐름)'!$X$13:$X$488)</f>
        <v>0</v>
      </c>
      <c r="Z459" s="58">
        <f t="shared" si="223"/>
        <v>0</v>
      </c>
      <c r="AA459" s="58">
        <f t="shared" si="224"/>
        <v>0</v>
      </c>
      <c r="AB459" s="58"/>
      <c r="AC459" s="58"/>
      <c r="AD459" s="61"/>
      <c r="AE459" s="58">
        <f t="shared" si="225"/>
        <v>3</v>
      </c>
      <c r="AF459" s="58">
        <f t="shared" si="226"/>
        <v>51748.666666666664</v>
      </c>
      <c r="AG459" s="61">
        <f t="shared" si="227"/>
        <v>155246</v>
      </c>
      <c r="AH459" s="58">
        <v>0</v>
      </c>
      <c r="AI459" s="58">
        <v>0</v>
      </c>
      <c r="AJ459" s="61">
        <v>0</v>
      </c>
      <c r="AK459" s="58"/>
      <c r="AL459" s="58"/>
      <c r="AM459" s="61"/>
      <c r="AN459" s="61">
        <f t="shared" si="215"/>
        <v>1060</v>
      </c>
      <c r="AO459" s="58">
        <f t="shared" si="234"/>
        <v>51748.795283018866</v>
      </c>
      <c r="AP459" s="61">
        <f>ROUND(X459+AA459+AD459+AG459+AJ459+AM459+U459,0)</f>
        <v>54853723</v>
      </c>
      <c r="AQ459" s="58">
        <f t="shared" si="228"/>
        <v>0</v>
      </c>
      <c r="AR459" s="58">
        <f t="shared" si="229"/>
        <v>0</v>
      </c>
      <c r="AS459" s="58">
        <f>ROUND(F459+R459-AP459,0)</f>
        <v>0</v>
      </c>
      <c r="AT459" s="58">
        <f>ROUND(SUMIF('JUNE (물량흐름)'!$C$13:$C$502,'In-out-bal products (155)(완성제품)'!B459,'JUNE (물량흐름)'!$AB$13:$AB$502),0)</f>
        <v>0</v>
      </c>
      <c r="AU459" s="58">
        <f t="shared" si="231"/>
        <v>0</v>
      </c>
      <c r="AV459" s="58">
        <f>ROUND(SUMIF('JUNE (물량흐름)'!$C$13:$C$502,'In-out-bal products (155)(완성제품)'!B459,'JUNE (물량흐름)'!$AC$13:$AC$502),0)</f>
        <v>0</v>
      </c>
      <c r="AW459" s="58">
        <f t="shared" si="232"/>
        <v>0</v>
      </c>
      <c r="AX459" s="376">
        <f t="shared" si="236"/>
        <v>0</v>
      </c>
      <c r="AY459" s="377">
        <f t="shared" si="237"/>
        <v>0</v>
      </c>
      <c r="AZ459" s="377">
        <f t="shared" si="238"/>
        <v>0</v>
      </c>
      <c r="BA459" s="377">
        <f t="shared" si="239"/>
        <v>0</v>
      </c>
      <c r="BB459" s="377"/>
      <c r="BC459" s="377">
        <f t="shared" si="240"/>
        <v>0</v>
      </c>
      <c r="BD459" s="377">
        <f t="shared" si="241"/>
        <v>0</v>
      </c>
      <c r="BE459" s="377"/>
      <c r="BF459" s="377">
        <f t="shared" si="242"/>
        <v>0</v>
      </c>
      <c r="BG459" s="433"/>
      <c r="BH459" s="434"/>
    </row>
    <row r="460" spans="1:60" s="378" customFormat="1">
      <c r="A460" s="167">
        <v>470</v>
      </c>
      <c r="B460" s="253">
        <f>VLOOKUP(A460,'JUNE (물량흐름)'!$A$13:$C$493,3,0)</f>
        <v>100033483</v>
      </c>
      <c r="C460" s="57" t="str">
        <f>VLOOKUP(A460,'JUNE (물량흐름)'!$A$13:$C$493,2,0)</f>
        <v>INC</v>
      </c>
      <c r="D460" s="58">
        <f>IFERROR(VLOOKUP(B460,O.B.JUNE!$V$7:$Y$448,2,0),0)</f>
        <v>0</v>
      </c>
      <c r="E460" s="58">
        <f>IFERROR(VLOOKUP(B460,O.B.JUNE!$V$7:$X$448,3,0),0)</f>
        <v>0</v>
      </c>
      <c r="F460" s="58">
        <f>IFERROR(VLOOKUP(B460,O.B.JUNE!$V$7:$Y$448,4,0),0)</f>
        <v>0</v>
      </c>
      <c r="G460" s="58">
        <f>SUMIF('JUNE (물량흐름)'!$C$13:$C$493,'In-out-bal products (155)(완성제품)'!B460,'JUNE (물량흐름)'!$V$13:$V$493)</f>
        <v>0</v>
      </c>
      <c r="H460" s="58">
        <f>SUMIF('JUNE (물량흐름)'!$C$13:$C$493,'In-out-bal products (155)(완성제품)'!B460,'JUNE (물량흐름)'!$T$13:$T$493)-SUMIF('JUNE (물량흐름)'!$C$13:$C$493,'In-out-bal products (155)(완성제품)'!B460,'JUNE (물량흐름)'!$Y$13:$Y$493)+SUMIF('JUNE (물량흐름)'!$C$13:$C$493,'In-out-bal products (155)(완성제품)'!B460,'JUNE (물량흐름)'!$U$13:$U$493)</f>
        <v>0</v>
      </c>
      <c r="I460" s="58">
        <f t="shared" si="216"/>
        <v>0</v>
      </c>
      <c r="J460" s="58">
        <f>SUMIF('Direct labour(직접노무비)'!$C$12:$C$503,'In-out-bal products (155)(완성제품)'!B460,'Direct labour(직접노무비)'!$Q$12:$Q$503)</f>
        <v>0</v>
      </c>
      <c r="K460" s="59">
        <f>SUMIF('Overhead exp(제조경비)'!$C$12:$C$503,'In-out-bal products (155)(완성제품)'!B460,'Overhead exp(제조경비)'!$Q$12:$Q$503)</f>
        <v>0</v>
      </c>
      <c r="L460" s="58">
        <f t="shared" si="217"/>
        <v>0</v>
      </c>
      <c r="M460" s="58">
        <f>SUMIF('JUNE (물량흐름)'!$C$13:$C$488,'In-out-bal products (155)(완성제품)'!B460,'JUNE (물량흐름)'!$Y$13:$Y$488)</f>
        <v>0</v>
      </c>
      <c r="N460" s="58">
        <f t="shared" si="218"/>
        <v>0</v>
      </c>
      <c r="O460" s="58">
        <f>SUMIF('Direct labour(직접노무비)'!$C$12:$C$503,'In-out-bal products (155)(완성제품)'!B460,'Direct labour(직접노무비)'!$U$12:$U$503)+SUMIF('Overhead exp(제조경비)'!$C$12:$C$503,'In-out-bal products (155)(완성제품)'!B460,'Overhead exp(제조경비)'!$U$12:$U$503)</f>
        <v>0</v>
      </c>
      <c r="P460" s="60">
        <f t="shared" si="219"/>
        <v>0</v>
      </c>
      <c r="Q460" s="60">
        <f t="shared" si="220"/>
        <v>0</v>
      </c>
      <c r="R460" s="60">
        <f t="shared" si="221"/>
        <v>0</v>
      </c>
      <c r="S460" s="58">
        <v>0</v>
      </c>
      <c r="T460" s="58">
        <v>0</v>
      </c>
      <c r="U460" s="58">
        <v>0</v>
      </c>
      <c r="V460" s="58">
        <f>SUMIF('JUNE (물량흐름)'!$C$13:$C$493,'In-out-bal products (155)(완성제품)'!B460,'JUNE (물량흐름)'!$W$13:$W$493)</f>
        <v>0</v>
      </c>
      <c r="W460" s="58">
        <f t="shared" si="222"/>
        <v>0</v>
      </c>
      <c r="X460" s="58">
        <f t="shared" si="233"/>
        <v>0</v>
      </c>
      <c r="Y460" s="58">
        <f>SUMIF('JUNE (물량흐름)'!$C$13:$C$488,'In-out-bal products (155)(완성제품)'!B460,'JUNE (물량흐름)'!$X$13:$X$488)</f>
        <v>0</v>
      </c>
      <c r="Z460" s="58">
        <f t="shared" si="223"/>
        <v>0</v>
      </c>
      <c r="AA460" s="58">
        <f t="shared" si="224"/>
        <v>0</v>
      </c>
      <c r="AB460" s="58"/>
      <c r="AC460" s="58"/>
      <c r="AD460" s="61"/>
      <c r="AE460" s="58">
        <f t="shared" si="225"/>
        <v>0</v>
      </c>
      <c r="AF460" s="58">
        <f t="shared" si="226"/>
        <v>0</v>
      </c>
      <c r="AG460" s="61">
        <f t="shared" si="227"/>
        <v>0</v>
      </c>
      <c r="AH460" s="58">
        <v>0</v>
      </c>
      <c r="AI460" s="58">
        <v>0</v>
      </c>
      <c r="AJ460" s="61">
        <v>0</v>
      </c>
      <c r="AK460" s="58"/>
      <c r="AL460" s="58"/>
      <c r="AM460" s="61"/>
      <c r="AN460" s="61">
        <f t="shared" ref="AN460:AN492" si="243">ROUND(SUM(V460+Y460+AB460+AE460+AH460+AK460+S460),0)</f>
        <v>0</v>
      </c>
      <c r="AO460" s="58">
        <f t="shared" si="234"/>
        <v>0</v>
      </c>
      <c r="AP460" s="61">
        <f t="shared" si="235"/>
        <v>0</v>
      </c>
      <c r="AQ460" s="58">
        <f t="shared" si="228"/>
        <v>0</v>
      </c>
      <c r="AR460" s="58">
        <f t="shared" si="229"/>
        <v>0</v>
      </c>
      <c r="AS460" s="58">
        <f t="shared" si="230"/>
        <v>0</v>
      </c>
      <c r="AT460" s="58">
        <f>ROUND(SUMIF('JUNE (물량흐름)'!$C$13:$C$502,'In-out-bal products (155)(완성제품)'!B460,'JUNE (물량흐름)'!$AB$13:$AB$502),0)</f>
        <v>0</v>
      </c>
      <c r="AU460" s="58">
        <f t="shared" si="231"/>
        <v>0</v>
      </c>
      <c r="AV460" s="58">
        <f>ROUND(SUMIF('JUNE (물량흐름)'!$C$13:$C$502,'In-out-bal products (155)(완성제품)'!B460,'JUNE (물량흐름)'!$AC$13:$AC$502),0)</f>
        <v>0</v>
      </c>
      <c r="AW460" s="58">
        <f t="shared" si="232"/>
        <v>0</v>
      </c>
      <c r="AX460" s="376">
        <f t="shared" si="236"/>
        <v>0</v>
      </c>
      <c r="AY460" s="377">
        <f t="shared" si="237"/>
        <v>0</v>
      </c>
      <c r="AZ460" s="377">
        <f t="shared" si="238"/>
        <v>0</v>
      </c>
      <c r="BA460" s="377">
        <f t="shared" si="239"/>
        <v>0</v>
      </c>
      <c r="BB460" s="377"/>
      <c r="BC460" s="377">
        <f t="shared" si="240"/>
        <v>0</v>
      </c>
      <c r="BD460" s="377">
        <f t="shared" si="241"/>
        <v>0</v>
      </c>
      <c r="BE460" s="377"/>
      <c r="BF460" s="377">
        <f t="shared" si="242"/>
        <v>0</v>
      </c>
      <c r="BG460" s="433"/>
      <c r="BH460" s="434"/>
    </row>
    <row r="461" spans="1:60" s="378" customFormat="1">
      <c r="A461" s="167">
        <v>471</v>
      </c>
      <c r="B461" s="253">
        <f>VLOOKUP(A461,'JUNE (물량흐름)'!$A$13:$C$493,3,0)</f>
        <v>100034352</v>
      </c>
      <c r="C461" s="57" t="str">
        <f>VLOOKUP(A461,'JUNE (물량흐름)'!$A$13:$C$493,2,0)</f>
        <v>INC</v>
      </c>
      <c r="D461" s="58">
        <f>IFERROR(VLOOKUP(B461,O.B.JUNE!$V$7:$Y$448,2,0),0)</f>
        <v>0</v>
      </c>
      <c r="E461" s="58">
        <f>IFERROR(VLOOKUP(B461,O.B.JUNE!$V$7:$X$448,3,0),0)</f>
        <v>0</v>
      </c>
      <c r="F461" s="58">
        <f>IFERROR(VLOOKUP(B461,O.B.JUNE!$V$7:$Y$448,4,0),0)</f>
        <v>0</v>
      </c>
      <c r="G461" s="58">
        <f>SUMIF('JUNE (물량흐름)'!$C$13:$C$493,'In-out-bal products (155)(완성제품)'!B461,'JUNE (물량흐름)'!$V$13:$V$493)</f>
        <v>0</v>
      </c>
      <c r="H461" s="58">
        <f>SUMIF('JUNE (물량흐름)'!$C$13:$C$493,'In-out-bal products (155)(완성제품)'!B461,'JUNE (물량흐름)'!$T$13:$T$493)-SUMIF('JUNE (물량흐름)'!$C$13:$C$493,'In-out-bal products (155)(완성제품)'!B461,'JUNE (물량흐름)'!$Y$13:$Y$493)+SUMIF('JUNE (물량흐름)'!$C$13:$C$493,'In-out-bal products (155)(완성제품)'!B461,'JUNE (물량흐름)'!$U$13:$U$493)</f>
        <v>5891</v>
      </c>
      <c r="I461" s="58">
        <f t="shared" si="216"/>
        <v>40968.053131896115</v>
      </c>
      <c r="J461" s="58">
        <f>SUMIF('Direct labour(직접노무비)'!$C$12:$C$503,'In-out-bal products (155)(완성제품)'!B461,'Direct labour(직접노무비)'!$Q$12:$Q$503)</f>
        <v>81707574</v>
      </c>
      <c r="K461" s="59">
        <f>SUMIF('Overhead exp(제조경비)'!$C$12:$C$503,'In-out-bal products (155)(완성제품)'!B461,'Overhead exp(제조경비)'!$Q$12:$Q$503)</f>
        <v>159635227</v>
      </c>
      <c r="L461" s="58">
        <f t="shared" si="217"/>
        <v>241342801</v>
      </c>
      <c r="M461" s="58">
        <f>SUMIF('JUNE (물량흐름)'!$C$13:$C$488,'In-out-bal products (155)(완성제품)'!B461,'JUNE (물량흐름)'!$Y$13:$Y$488)</f>
        <v>3</v>
      </c>
      <c r="N461" s="58">
        <f t="shared" si="218"/>
        <v>40968</v>
      </c>
      <c r="O461" s="58">
        <f>SUMIF('Direct labour(직접노무비)'!$C$12:$C$503,'In-out-bal products (155)(완성제품)'!B461,'Direct labour(직접노무비)'!$U$12:$U$503)+SUMIF('Overhead exp(제조경비)'!$C$12:$C$503,'In-out-bal products (155)(완성제품)'!B461,'Overhead exp(제조경비)'!$U$12:$U$503)</f>
        <v>122904</v>
      </c>
      <c r="P461" s="60">
        <f t="shared" si="219"/>
        <v>5894</v>
      </c>
      <c r="Q461" s="60">
        <f t="shared" si="220"/>
        <v>40968.053104852392</v>
      </c>
      <c r="R461" s="60">
        <f t="shared" si="221"/>
        <v>241465705</v>
      </c>
      <c r="S461" s="58">
        <v>0</v>
      </c>
      <c r="T461" s="58">
        <v>0</v>
      </c>
      <c r="U461" s="58">
        <v>0</v>
      </c>
      <c r="V461" s="58">
        <f>SUMIF('JUNE (물량흐름)'!$C$13:$C$493,'In-out-bal products (155)(완성제품)'!B461,'JUNE (물량흐름)'!$W$13:$W$493)</f>
        <v>5844</v>
      </c>
      <c r="W461" s="58">
        <f t="shared" si="222"/>
        <v>40968.053216974673</v>
      </c>
      <c r="X461" s="58">
        <f t="shared" si="233"/>
        <v>239417303</v>
      </c>
      <c r="Y461" s="58">
        <f>SUMIF('JUNE (물량흐름)'!$C$13:$C$488,'In-out-bal products (155)(완성제품)'!B461,'JUNE (물량흐름)'!$X$13:$X$488)</f>
        <v>0</v>
      </c>
      <c r="Z461" s="58">
        <f t="shared" si="223"/>
        <v>0</v>
      </c>
      <c r="AA461" s="58">
        <f t="shared" si="224"/>
        <v>0</v>
      </c>
      <c r="AB461" s="58"/>
      <c r="AC461" s="58"/>
      <c r="AD461" s="61"/>
      <c r="AE461" s="58">
        <f t="shared" si="225"/>
        <v>3</v>
      </c>
      <c r="AF461" s="58">
        <f t="shared" si="226"/>
        <v>40968</v>
      </c>
      <c r="AG461" s="61">
        <f t="shared" si="227"/>
        <v>122904</v>
      </c>
      <c r="AH461" s="58">
        <v>0</v>
      </c>
      <c r="AI461" s="58">
        <v>0</v>
      </c>
      <c r="AJ461" s="61">
        <v>0</v>
      </c>
      <c r="AK461" s="58"/>
      <c r="AL461" s="58"/>
      <c r="AM461" s="61"/>
      <c r="AN461" s="61">
        <f t="shared" si="243"/>
        <v>5847</v>
      </c>
      <c r="AO461" s="58">
        <f t="shared" si="234"/>
        <v>40968.053189669918</v>
      </c>
      <c r="AP461" s="61">
        <f t="shared" si="235"/>
        <v>239540207</v>
      </c>
      <c r="AQ461" s="58">
        <f t="shared" si="228"/>
        <v>47</v>
      </c>
      <c r="AR461" s="58">
        <f t="shared" si="229"/>
        <v>40968.042553191488</v>
      </c>
      <c r="AS461" s="58">
        <f t="shared" si="230"/>
        <v>1925498</v>
      </c>
      <c r="AT461" s="58">
        <f>ROUND(SUMIF('JUNE (물량흐름)'!$C$13:$C$502,'In-out-bal products (155)(완성제품)'!B461,'JUNE (물량흐름)'!$AB$13:$AB$502),0)</f>
        <v>0</v>
      </c>
      <c r="AU461" s="58">
        <f t="shared" si="231"/>
        <v>0</v>
      </c>
      <c r="AV461" s="58">
        <f>ROUND(SUMIF('JUNE (물량흐름)'!$C$13:$C$502,'In-out-bal products (155)(완성제품)'!B461,'JUNE (물량흐름)'!$AC$13:$AC$502),0)</f>
        <v>47</v>
      </c>
      <c r="AW461" s="58">
        <f t="shared" si="232"/>
        <v>1925498</v>
      </c>
      <c r="AX461" s="376">
        <f t="shared" si="236"/>
        <v>0</v>
      </c>
      <c r="AY461" s="377">
        <f t="shared" si="237"/>
        <v>0</v>
      </c>
      <c r="AZ461" s="377">
        <f t="shared" si="238"/>
        <v>0</v>
      </c>
      <c r="BA461" s="377">
        <f t="shared" si="239"/>
        <v>0</v>
      </c>
      <c r="BB461" s="377"/>
      <c r="BC461" s="377">
        <f t="shared" si="240"/>
        <v>0</v>
      </c>
      <c r="BD461" s="377">
        <f t="shared" si="241"/>
        <v>0</v>
      </c>
      <c r="BE461" s="377"/>
      <c r="BF461" s="377">
        <f t="shared" si="242"/>
        <v>0</v>
      </c>
      <c r="BG461" s="433"/>
      <c r="BH461" s="434"/>
    </row>
    <row r="462" spans="1:60" s="378" customFormat="1">
      <c r="A462" s="167">
        <v>472</v>
      </c>
      <c r="B462" s="253">
        <f>VLOOKUP(A462,'JUNE (물량흐름)'!$A$13:$C$493,3,0)</f>
        <v>100041571</v>
      </c>
      <c r="C462" s="57" t="str">
        <f>VLOOKUP(A462,'JUNE (물량흐름)'!$A$13:$C$493,2,0)</f>
        <v>ALFANI</v>
      </c>
      <c r="D462" s="58">
        <f>IFERROR(VLOOKUP(B462,O.B.JUNE!$V$7:$Y$448,2,0),0)</f>
        <v>0</v>
      </c>
      <c r="E462" s="58">
        <f>IFERROR(VLOOKUP(B462,O.B.JUNE!$V$7:$X$448,3,0),0)</f>
        <v>0</v>
      </c>
      <c r="F462" s="58">
        <f>IFERROR(VLOOKUP(B462,O.B.JUNE!$V$7:$Y$448,4,0),0)</f>
        <v>0</v>
      </c>
      <c r="G462" s="58">
        <f>SUMIF('JUNE (물량흐름)'!$C$13:$C$493,'In-out-bal products (155)(완성제품)'!B462,'JUNE (물량흐름)'!$V$13:$V$493)</f>
        <v>0</v>
      </c>
      <c r="H462" s="58">
        <f>SUMIF('JUNE (물량흐름)'!$C$13:$C$493,'In-out-bal products (155)(완성제품)'!B462,'JUNE (물량흐름)'!$T$13:$T$493)-SUMIF('JUNE (물량흐름)'!$C$13:$C$493,'In-out-bal products (155)(완성제품)'!B462,'JUNE (물량흐름)'!$Y$13:$Y$493)+SUMIF('JUNE (물량흐름)'!$C$13:$C$493,'In-out-bal products (155)(완성제품)'!B462,'JUNE (물량흐름)'!$U$13:$U$493)</f>
        <v>0</v>
      </c>
      <c r="I462" s="58">
        <f t="shared" si="216"/>
        <v>0</v>
      </c>
      <c r="J462" s="58">
        <f>SUMIF('Direct labour(직접노무비)'!$C$12:$C$503,'In-out-bal products (155)(완성제품)'!B462,'Direct labour(직접노무비)'!$Q$12:$Q$503)</f>
        <v>0</v>
      </c>
      <c r="K462" s="59">
        <f>SUMIF('Overhead exp(제조경비)'!$C$12:$C$503,'In-out-bal products (155)(완성제품)'!B462,'Overhead exp(제조경비)'!$Q$12:$Q$503)</f>
        <v>0</v>
      </c>
      <c r="L462" s="58">
        <f t="shared" si="217"/>
        <v>0</v>
      </c>
      <c r="M462" s="58">
        <f>SUMIF('JUNE (물량흐름)'!$C$13:$C$488,'In-out-bal products (155)(완성제품)'!B462,'JUNE (물량흐름)'!$Y$13:$Y$488)</f>
        <v>0</v>
      </c>
      <c r="N462" s="58">
        <f t="shared" si="218"/>
        <v>0</v>
      </c>
      <c r="O462" s="58">
        <f>SUMIF('Direct labour(직접노무비)'!$C$12:$C$503,'In-out-bal products (155)(완성제품)'!B462,'Direct labour(직접노무비)'!$U$12:$U$503)+SUMIF('Overhead exp(제조경비)'!$C$12:$C$503,'In-out-bal products (155)(완성제품)'!B462,'Overhead exp(제조경비)'!$U$12:$U$503)</f>
        <v>0</v>
      </c>
      <c r="P462" s="60">
        <f t="shared" si="219"/>
        <v>0</v>
      </c>
      <c r="Q462" s="60">
        <f t="shared" si="220"/>
        <v>0</v>
      </c>
      <c r="R462" s="60">
        <f t="shared" si="221"/>
        <v>0</v>
      </c>
      <c r="S462" s="58">
        <v>0</v>
      </c>
      <c r="T462" s="58">
        <v>0</v>
      </c>
      <c r="U462" s="58">
        <v>0</v>
      </c>
      <c r="V462" s="58">
        <f>SUMIF('JUNE (물량흐름)'!$C$13:$C$493,'In-out-bal products (155)(완성제품)'!B462,'JUNE (물량흐름)'!$W$13:$W$493)</f>
        <v>0</v>
      </c>
      <c r="W462" s="58">
        <f t="shared" si="222"/>
        <v>0</v>
      </c>
      <c r="X462" s="58">
        <f t="shared" si="233"/>
        <v>0</v>
      </c>
      <c r="Y462" s="58">
        <f>SUMIF('JUNE (물량흐름)'!$C$13:$C$488,'In-out-bal products (155)(완성제품)'!B462,'JUNE (물량흐름)'!$X$13:$X$488)</f>
        <v>0</v>
      </c>
      <c r="Z462" s="58">
        <f t="shared" si="223"/>
        <v>0</v>
      </c>
      <c r="AA462" s="58">
        <f t="shared" si="224"/>
        <v>0</v>
      </c>
      <c r="AB462" s="58"/>
      <c r="AC462" s="58"/>
      <c r="AD462" s="61"/>
      <c r="AE462" s="58">
        <f t="shared" si="225"/>
        <v>0</v>
      </c>
      <c r="AF462" s="58">
        <f t="shared" si="226"/>
        <v>0</v>
      </c>
      <c r="AG462" s="61">
        <f t="shared" si="227"/>
        <v>0</v>
      </c>
      <c r="AH462" s="58">
        <v>0</v>
      </c>
      <c r="AI462" s="58">
        <v>0</v>
      </c>
      <c r="AJ462" s="61">
        <v>0</v>
      </c>
      <c r="AK462" s="58"/>
      <c r="AL462" s="58"/>
      <c r="AM462" s="61"/>
      <c r="AN462" s="61">
        <f t="shared" si="243"/>
        <v>0</v>
      </c>
      <c r="AO462" s="58">
        <f t="shared" si="234"/>
        <v>0</v>
      </c>
      <c r="AP462" s="61">
        <f t="shared" si="235"/>
        <v>0</v>
      </c>
      <c r="AQ462" s="58">
        <f t="shared" si="228"/>
        <v>0</v>
      </c>
      <c r="AR462" s="58">
        <f t="shared" si="229"/>
        <v>0</v>
      </c>
      <c r="AS462" s="58">
        <f t="shared" si="230"/>
        <v>0</v>
      </c>
      <c r="AT462" s="58">
        <f>ROUND(SUMIF('JUNE (물량흐름)'!$C$13:$C$502,'In-out-bal products (155)(완성제품)'!B462,'JUNE (물량흐름)'!$AB$13:$AB$502),0)</f>
        <v>0</v>
      </c>
      <c r="AU462" s="58">
        <f t="shared" si="231"/>
        <v>0</v>
      </c>
      <c r="AV462" s="58">
        <f>ROUND(SUMIF('JUNE (물량흐름)'!$C$13:$C$502,'In-out-bal products (155)(완성제품)'!B462,'JUNE (물량흐름)'!$AC$13:$AC$502),0)</f>
        <v>0</v>
      </c>
      <c r="AW462" s="58">
        <f t="shared" si="232"/>
        <v>0</v>
      </c>
      <c r="AX462" s="376">
        <f t="shared" si="236"/>
        <v>0</v>
      </c>
      <c r="AY462" s="377">
        <f t="shared" si="237"/>
        <v>0</v>
      </c>
      <c r="AZ462" s="377">
        <f t="shared" si="238"/>
        <v>0</v>
      </c>
      <c r="BA462" s="377">
        <f t="shared" si="239"/>
        <v>0</v>
      </c>
      <c r="BB462" s="377"/>
      <c r="BC462" s="377">
        <f t="shared" si="240"/>
        <v>0</v>
      </c>
      <c r="BD462" s="377">
        <f t="shared" si="241"/>
        <v>0</v>
      </c>
      <c r="BE462" s="377"/>
      <c r="BF462" s="377">
        <f t="shared" si="242"/>
        <v>0</v>
      </c>
      <c r="BG462" s="433"/>
      <c r="BH462" s="434"/>
    </row>
    <row r="463" spans="1:60" s="378" customFormat="1">
      <c r="A463" s="167">
        <v>473</v>
      </c>
      <c r="B463" s="253">
        <f>VLOOKUP(A463,'JUNE (물량흐름)'!$A$13:$C$493,3,0)</f>
        <v>183013461</v>
      </c>
      <c r="C463" s="57" t="str">
        <f>VLOOKUP(A463,'JUNE (물량흐름)'!$A$13:$C$493,2,0)</f>
        <v>TALBOTS</v>
      </c>
      <c r="D463" s="58">
        <f>IFERROR(VLOOKUP(B463,O.B.JUNE!$V$7:$Y$448,2,0),0)</f>
        <v>0</v>
      </c>
      <c r="E463" s="58">
        <f>IFERROR(VLOOKUP(B463,O.B.JUNE!$V$7:$X$448,3,0),0)</f>
        <v>0</v>
      </c>
      <c r="F463" s="58">
        <f>IFERROR(VLOOKUP(B463,O.B.JUNE!$V$7:$Y$448,4,0),0)</f>
        <v>0</v>
      </c>
      <c r="G463" s="58">
        <f>SUMIF('JUNE (물량흐름)'!$C$13:$C$493,'In-out-bal products (155)(완성제품)'!B463,'JUNE (물량흐름)'!$V$13:$V$493)</f>
        <v>0</v>
      </c>
      <c r="H463" s="58">
        <f>SUMIF('JUNE (물량흐름)'!$C$13:$C$493,'In-out-bal products (155)(완성제품)'!B463,'JUNE (물량흐름)'!$T$13:$T$493)-SUMIF('JUNE (물량흐름)'!$C$13:$C$493,'In-out-bal products (155)(완성제품)'!B463,'JUNE (물량흐름)'!$Y$13:$Y$493)+SUMIF('JUNE (물량흐름)'!$C$13:$C$493,'In-out-bal products (155)(완성제품)'!B463,'JUNE (물량흐름)'!$U$13:$U$493)</f>
        <v>1252</v>
      </c>
      <c r="I463" s="58">
        <f t="shared" si="216"/>
        <v>73378.263578274767</v>
      </c>
      <c r="J463" s="58">
        <f>SUMIF('Direct labour(직접노무비)'!$C$12:$C$503,'In-out-bal products (155)(완성제품)'!B463,'Direct labour(직접노무비)'!$Q$12:$Q$503)</f>
        <v>31102817</v>
      </c>
      <c r="K463" s="59">
        <f>SUMIF('Overhead exp(제조경비)'!$C$12:$C$503,'In-out-bal products (155)(완성제품)'!B463,'Overhead exp(제조경비)'!$Q$12:$Q$503)</f>
        <v>60766769</v>
      </c>
      <c r="L463" s="58">
        <f t="shared" si="217"/>
        <v>91869586</v>
      </c>
      <c r="M463" s="58">
        <f>SUMIF('JUNE (물량흐름)'!$C$13:$C$488,'In-out-bal products (155)(완성제품)'!B463,'JUNE (물량흐름)'!$Y$13:$Y$488)</f>
        <v>0</v>
      </c>
      <c r="N463" s="58">
        <f t="shared" si="218"/>
        <v>0</v>
      </c>
      <c r="O463" s="58">
        <f>SUMIF('Direct labour(직접노무비)'!$C$12:$C$503,'In-out-bal products (155)(완성제품)'!B463,'Direct labour(직접노무비)'!$U$12:$U$503)+SUMIF('Overhead exp(제조경비)'!$C$12:$C$503,'In-out-bal products (155)(완성제품)'!B463,'Overhead exp(제조경비)'!$U$12:$U$503)</f>
        <v>0</v>
      </c>
      <c r="P463" s="60">
        <f t="shared" si="219"/>
        <v>1252</v>
      </c>
      <c r="Q463" s="60">
        <f t="shared" si="220"/>
        <v>73378.263578274767</v>
      </c>
      <c r="R463" s="60">
        <f t="shared" si="221"/>
        <v>91869586</v>
      </c>
      <c r="S463" s="58">
        <v>0</v>
      </c>
      <c r="T463" s="58">
        <v>0</v>
      </c>
      <c r="U463" s="58">
        <v>0</v>
      </c>
      <c r="V463" s="58">
        <f>SUMIF('JUNE (물량흐름)'!$C$13:$C$493,'In-out-bal products (155)(완성제품)'!B463,'JUNE (물량흐름)'!$W$13:$W$493)</f>
        <v>1115</v>
      </c>
      <c r="W463" s="58">
        <f t="shared" si="222"/>
        <v>73378.263677130046</v>
      </c>
      <c r="X463" s="58">
        <f t="shared" si="233"/>
        <v>81816764</v>
      </c>
      <c r="Y463" s="58">
        <f>SUMIF('JUNE (물량흐름)'!$C$13:$C$488,'In-out-bal products (155)(완성제품)'!B463,'JUNE (물량흐름)'!$X$13:$X$488)</f>
        <v>0</v>
      </c>
      <c r="Z463" s="58">
        <f t="shared" si="223"/>
        <v>0</v>
      </c>
      <c r="AA463" s="58">
        <f t="shared" si="224"/>
        <v>0</v>
      </c>
      <c r="AB463" s="58"/>
      <c r="AC463" s="58"/>
      <c r="AD463" s="61"/>
      <c r="AE463" s="58">
        <f t="shared" si="225"/>
        <v>0</v>
      </c>
      <c r="AF463" s="58">
        <f t="shared" si="226"/>
        <v>0</v>
      </c>
      <c r="AG463" s="61">
        <f t="shared" si="227"/>
        <v>0</v>
      </c>
      <c r="AH463" s="58">
        <v>0</v>
      </c>
      <c r="AI463" s="58">
        <v>0</v>
      </c>
      <c r="AJ463" s="61">
        <v>0</v>
      </c>
      <c r="AK463" s="58"/>
      <c r="AL463" s="58"/>
      <c r="AM463" s="61"/>
      <c r="AN463" s="61">
        <f t="shared" si="243"/>
        <v>1115</v>
      </c>
      <c r="AO463" s="58">
        <f t="shared" si="234"/>
        <v>73378.263677130046</v>
      </c>
      <c r="AP463" s="61">
        <f t="shared" si="235"/>
        <v>81816764</v>
      </c>
      <c r="AQ463" s="58">
        <f t="shared" si="228"/>
        <v>137</v>
      </c>
      <c r="AR463" s="58">
        <f t="shared" si="229"/>
        <v>73378.262773722628</v>
      </c>
      <c r="AS463" s="58">
        <f t="shared" si="230"/>
        <v>10052822</v>
      </c>
      <c r="AT463" s="58">
        <f>ROUND(SUMIF('JUNE (물량흐름)'!$C$13:$C$502,'In-out-bal products (155)(완성제품)'!B463,'JUNE (물량흐름)'!$AB$13:$AB$502),0)</f>
        <v>137</v>
      </c>
      <c r="AU463" s="58">
        <f t="shared" si="231"/>
        <v>10052822</v>
      </c>
      <c r="AV463" s="58">
        <f>ROUND(SUMIF('JUNE (물량흐름)'!$C$13:$C$502,'In-out-bal products (155)(완성제품)'!B463,'JUNE (물량흐름)'!$AC$13:$AC$502),0)</f>
        <v>0</v>
      </c>
      <c r="AW463" s="58">
        <f t="shared" si="232"/>
        <v>0</v>
      </c>
      <c r="AX463" s="376">
        <f t="shared" si="236"/>
        <v>0</v>
      </c>
      <c r="AY463" s="377">
        <f t="shared" si="237"/>
        <v>0</v>
      </c>
      <c r="AZ463" s="377">
        <f t="shared" si="238"/>
        <v>0</v>
      </c>
      <c r="BA463" s="377">
        <f t="shared" si="239"/>
        <v>0</v>
      </c>
      <c r="BB463" s="377"/>
      <c r="BC463" s="377">
        <f t="shared" si="240"/>
        <v>0</v>
      </c>
      <c r="BD463" s="377">
        <f t="shared" si="241"/>
        <v>0</v>
      </c>
      <c r="BE463" s="377"/>
      <c r="BF463" s="377">
        <f t="shared" si="242"/>
        <v>0</v>
      </c>
      <c r="BG463" s="433"/>
      <c r="BH463" s="434"/>
    </row>
    <row r="464" spans="1:60" s="378" customFormat="1">
      <c r="A464" s="167">
        <v>474</v>
      </c>
      <c r="B464" s="253">
        <f>VLOOKUP(A464,'JUNE (물량흐름)'!$A$13:$C$493,3,0)</f>
        <v>183034538</v>
      </c>
      <c r="C464" s="57" t="str">
        <f>VLOOKUP(A464,'JUNE (물량흐름)'!$A$13:$C$493,2,0)</f>
        <v>TALBOTS</v>
      </c>
      <c r="D464" s="58">
        <f>IFERROR(VLOOKUP(B464,O.B.JUNE!$V$7:$Y$448,2,0),0)</f>
        <v>0</v>
      </c>
      <c r="E464" s="58">
        <f>IFERROR(VLOOKUP(B464,O.B.JUNE!$V$7:$X$448,3,0),0)</f>
        <v>0</v>
      </c>
      <c r="F464" s="58">
        <f>IFERROR(VLOOKUP(B464,O.B.JUNE!$V$7:$Y$448,4,0),0)</f>
        <v>0</v>
      </c>
      <c r="G464" s="58">
        <f>SUMIF('JUNE (물량흐름)'!$C$13:$C$493,'In-out-bal products (155)(완성제품)'!B464,'JUNE (물량흐름)'!$V$13:$V$493)</f>
        <v>0</v>
      </c>
      <c r="H464" s="58">
        <f>SUMIF('JUNE (물량흐름)'!$C$13:$C$493,'In-out-bal products (155)(완성제품)'!B464,'JUNE (물량흐름)'!$T$13:$T$493)-SUMIF('JUNE (물량흐름)'!$C$13:$C$493,'In-out-bal products (155)(완성제품)'!B464,'JUNE (물량흐름)'!$Y$13:$Y$493)+SUMIF('JUNE (물량흐름)'!$C$13:$C$493,'In-out-bal products (155)(완성제품)'!B464,'JUNE (물량흐름)'!$U$13:$U$493)</f>
        <v>7514</v>
      </c>
      <c r="I464" s="58">
        <f t="shared" si="216"/>
        <v>73026.525685387271</v>
      </c>
      <c r="J464" s="58">
        <f>SUMIF('Direct labour(직접노무비)'!$C$12:$C$503,'In-out-bal products (155)(완성제품)'!B464,'Direct labour(직접노무비)'!$Q$12:$Q$503)</f>
        <v>185771804</v>
      </c>
      <c r="K464" s="59">
        <f>SUMIF('Overhead exp(제조경비)'!$C$12:$C$503,'In-out-bal products (155)(완성제품)'!B464,'Overhead exp(제조경비)'!$Q$12:$Q$503)</f>
        <v>362949510</v>
      </c>
      <c r="L464" s="58">
        <f t="shared" si="217"/>
        <v>548721314</v>
      </c>
      <c r="M464" s="58">
        <f>SUMIF('JUNE (물량흐름)'!$C$13:$C$488,'In-out-bal products (155)(완성제품)'!B464,'JUNE (물량흐름)'!$Y$13:$Y$488)</f>
        <v>0</v>
      </c>
      <c r="N464" s="58">
        <f t="shared" si="218"/>
        <v>0</v>
      </c>
      <c r="O464" s="58">
        <f>SUMIF('Direct labour(직접노무비)'!$C$12:$C$503,'In-out-bal products (155)(완성제품)'!B464,'Direct labour(직접노무비)'!$U$12:$U$503)+SUMIF('Overhead exp(제조경비)'!$C$12:$C$503,'In-out-bal products (155)(완성제품)'!B464,'Overhead exp(제조경비)'!$U$12:$U$503)</f>
        <v>0</v>
      </c>
      <c r="P464" s="60">
        <f t="shared" si="219"/>
        <v>7514</v>
      </c>
      <c r="Q464" s="60">
        <f t="shared" si="220"/>
        <v>73026.525685387271</v>
      </c>
      <c r="R464" s="60">
        <f t="shared" si="221"/>
        <v>548721314</v>
      </c>
      <c r="S464" s="58">
        <v>0</v>
      </c>
      <c r="T464" s="58">
        <v>0</v>
      </c>
      <c r="U464" s="58">
        <v>0</v>
      </c>
      <c r="V464" s="58">
        <f>SUMIF('JUNE (물량흐름)'!$C$13:$C$493,'In-out-bal products (155)(완성제품)'!B464,'JUNE (물량흐름)'!$W$13:$W$493)</f>
        <v>0</v>
      </c>
      <c r="W464" s="58">
        <f t="shared" si="222"/>
        <v>0</v>
      </c>
      <c r="X464" s="58">
        <f t="shared" si="233"/>
        <v>0</v>
      </c>
      <c r="Y464" s="58">
        <f>SUMIF('JUNE (물량흐름)'!$C$13:$C$488,'In-out-bal products (155)(완성제품)'!B464,'JUNE (물량흐름)'!$X$13:$X$488)</f>
        <v>0</v>
      </c>
      <c r="Z464" s="58">
        <f t="shared" si="223"/>
        <v>0</v>
      </c>
      <c r="AA464" s="58">
        <f t="shared" si="224"/>
        <v>0</v>
      </c>
      <c r="AB464" s="58"/>
      <c r="AC464" s="58"/>
      <c r="AD464" s="61"/>
      <c r="AE464" s="58">
        <f t="shared" si="225"/>
        <v>0</v>
      </c>
      <c r="AF464" s="58">
        <f t="shared" si="226"/>
        <v>0</v>
      </c>
      <c r="AG464" s="61">
        <f t="shared" si="227"/>
        <v>0</v>
      </c>
      <c r="AH464" s="58">
        <v>0</v>
      </c>
      <c r="AI464" s="58">
        <v>0</v>
      </c>
      <c r="AJ464" s="61">
        <v>0</v>
      </c>
      <c r="AK464" s="58"/>
      <c r="AL464" s="58"/>
      <c r="AM464" s="61"/>
      <c r="AN464" s="61">
        <f t="shared" si="243"/>
        <v>0</v>
      </c>
      <c r="AO464" s="58">
        <f t="shared" si="234"/>
        <v>0</v>
      </c>
      <c r="AP464" s="61">
        <f t="shared" si="235"/>
        <v>0</v>
      </c>
      <c r="AQ464" s="58">
        <f t="shared" si="228"/>
        <v>7514</v>
      </c>
      <c r="AR464" s="58">
        <f t="shared" si="229"/>
        <v>73026.525685387271</v>
      </c>
      <c r="AS464" s="58">
        <f t="shared" si="230"/>
        <v>548721314</v>
      </c>
      <c r="AT464" s="58">
        <f>ROUND(SUMIF('JUNE (물량흐름)'!$C$13:$C$502,'In-out-bal products (155)(완성제품)'!B464,'JUNE (물량흐름)'!$AB$13:$AB$502),0)</f>
        <v>7514</v>
      </c>
      <c r="AU464" s="58">
        <f t="shared" si="231"/>
        <v>548721314</v>
      </c>
      <c r="AV464" s="58">
        <f>ROUND(SUMIF('JUNE (물량흐름)'!$C$13:$C$502,'In-out-bal products (155)(완성제품)'!B464,'JUNE (물량흐름)'!$AC$13:$AC$502),0)</f>
        <v>0</v>
      </c>
      <c r="AW464" s="58">
        <f t="shared" si="232"/>
        <v>0</v>
      </c>
      <c r="AX464" s="376">
        <f t="shared" si="236"/>
        <v>0</v>
      </c>
      <c r="AY464" s="377">
        <f t="shared" si="237"/>
        <v>0</v>
      </c>
      <c r="AZ464" s="377">
        <f t="shared" si="238"/>
        <v>0</v>
      </c>
      <c r="BA464" s="377">
        <f t="shared" si="239"/>
        <v>0</v>
      </c>
      <c r="BB464" s="377"/>
      <c r="BC464" s="377">
        <f t="shared" si="240"/>
        <v>0</v>
      </c>
      <c r="BD464" s="377">
        <f t="shared" si="241"/>
        <v>0</v>
      </c>
      <c r="BE464" s="377"/>
      <c r="BF464" s="377">
        <f t="shared" si="242"/>
        <v>0</v>
      </c>
      <c r="BG464" s="433"/>
      <c r="BH464" s="434"/>
    </row>
    <row r="465" spans="1:60" s="378" customFormat="1">
      <c r="A465" s="167">
        <v>475</v>
      </c>
      <c r="B465" s="253">
        <f>VLOOKUP(A465,'JUNE (물량흐름)'!$A$13:$C$493,3,0)</f>
        <v>466315</v>
      </c>
      <c r="C465" s="57" t="str">
        <f>VLOOKUP(A465,'JUNE (물량흐름)'!$A$13:$C$493,2,0)</f>
        <v>ANN TAYLOR</v>
      </c>
      <c r="D465" s="58">
        <f>IFERROR(VLOOKUP(B465,O.B.JUNE!$V$7:$Y$448,2,0),0)</f>
        <v>0</v>
      </c>
      <c r="E465" s="58">
        <f>IFERROR(VLOOKUP(B465,O.B.JUNE!$V$7:$X$448,3,0),0)</f>
        <v>0</v>
      </c>
      <c r="F465" s="58">
        <f>IFERROR(VLOOKUP(B465,O.B.JUNE!$V$7:$Y$448,4,0),0)</f>
        <v>0</v>
      </c>
      <c r="G465" s="58">
        <f>SUMIF('JUNE (물량흐름)'!$C$13:$C$493,'In-out-bal products (155)(완성제품)'!B465,'JUNE (물량흐름)'!$V$13:$V$493)</f>
        <v>0</v>
      </c>
      <c r="H465" s="58">
        <f>SUMIF('JUNE (물량흐름)'!$C$13:$C$493,'In-out-bal products (155)(완성제품)'!B465,'JUNE (물량흐름)'!$T$13:$T$493)-SUMIF('JUNE (물량흐름)'!$C$13:$C$493,'In-out-bal products (155)(완성제품)'!B465,'JUNE (물량흐름)'!$Y$13:$Y$493)+SUMIF('JUNE (물량흐름)'!$C$13:$C$493,'In-out-bal products (155)(완성제품)'!B465,'JUNE (물량흐름)'!$U$13:$U$493)</f>
        <v>5018</v>
      </c>
      <c r="I465" s="58">
        <f t="shared" si="216"/>
        <v>81596.032084495819</v>
      </c>
      <c r="J465" s="58">
        <f>SUMIF('Direct labour(직접노무비)'!$C$12:$C$503,'In-out-bal products (155)(완성제품)'!B465,'Direct labour(직접노무비)'!$Q$12:$Q$503)</f>
        <v>138620565</v>
      </c>
      <c r="K465" s="59">
        <f>SUMIF('Overhead exp(제조경비)'!$C$12:$C$503,'In-out-bal products (155)(완성제품)'!B465,'Overhead exp(제조경비)'!$Q$12:$Q$503)</f>
        <v>270828324</v>
      </c>
      <c r="L465" s="58">
        <f t="shared" si="217"/>
        <v>409448889</v>
      </c>
      <c r="M465" s="58">
        <f>SUMIF('JUNE (물량흐름)'!$C$13:$C$488,'In-out-bal products (155)(완성제품)'!B465,'JUNE (물량흐름)'!$Y$13:$Y$488)</f>
        <v>2</v>
      </c>
      <c r="N465" s="58">
        <f t="shared" si="218"/>
        <v>81596</v>
      </c>
      <c r="O465" s="58">
        <f>SUMIF('Direct labour(직접노무비)'!$C$12:$C$503,'In-out-bal products (155)(완성제품)'!B465,'Direct labour(직접노무비)'!$U$12:$U$503)+SUMIF('Overhead exp(제조경비)'!$C$12:$C$503,'In-out-bal products (155)(완성제품)'!B465,'Overhead exp(제조경비)'!$U$12:$U$503)</f>
        <v>163192</v>
      </c>
      <c r="P465" s="60">
        <f t="shared" si="219"/>
        <v>5020</v>
      </c>
      <c r="Q465" s="60">
        <f t="shared" si="220"/>
        <v>81596.032071713154</v>
      </c>
      <c r="R465" s="60">
        <f t="shared" si="221"/>
        <v>409612081</v>
      </c>
      <c r="S465" s="58">
        <v>0</v>
      </c>
      <c r="T465" s="58">
        <v>0</v>
      </c>
      <c r="U465" s="58">
        <v>0</v>
      </c>
      <c r="V465" s="58">
        <f>SUMIF('JUNE (물량흐름)'!$C$13:$C$493,'In-out-bal products (155)(완성제품)'!B465,'JUNE (물량흐름)'!$W$13:$W$493)</f>
        <v>1610</v>
      </c>
      <c r="W465" s="58">
        <f t="shared" si="222"/>
        <v>81596.032298136648</v>
      </c>
      <c r="X465" s="58">
        <f t="shared" si="233"/>
        <v>131369612</v>
      </c>
      <c r="Y465" s="58">
        <f>SUMIF('JUNE (물량흐름)'!$C$13:$C$488,'In-out-bal products (155)(완성제품)'!B465,'JUNE (물량흐름)'!$X$13:$X$488)</f>
        <v>0</v>
      </c>
      <c r="Z465" s="58">
        <f t="shared" si="223"/>
        <v>0</v>
      </c>
      <c r="AA465" s="58">
        <f t="shared" si="224"/>
        <v>0</v>
      </c>
      <c r="AB465" s="58"/>
      <c r="AC465" s="58"/>
      <c r="AD465" s="61"/>
      <c r="AE465" s="58">
        <f t="shared" si="225"/>
        <v>2</v>
      </c>
      <c r="AF465" s="58">
        <f t="shared" si="226"/>
        <v>81596</v>
      </c>
      <c r="AG465" s="61">
        <f t="shared" si="227"/>
        <v>163192</v>
      </c>
      <c r="AH465" s="58">
        <v>0</v>
      </c>
      <c r="AI465" s="58">
        <v>0</v>
      </c>
      <c r="AJ465" s="61">
        <v>0</v>
      </c>
      <c r="AK465" s="58"/>
      <c r="AL465" s="58"/>
      <c r="AM465" s="61"/>
      <c r="AN465" s="61">
        <f t="shared" si="243"/>
        <v>1612</v>
      </c>
      <c r="AO465" s="58">
        <f t="shared" si="234"/>
        <v>81596.032258064515</v>
      </c>
      <c r="AP465" s="61">
        <f t="shared" si="235"/>
        <v>131532804</v>
      </c>
      <c r="AQ465" s="58">
        <f t="shared" si="228"/>
        <v>3408</v>
      </c>
      <c r="AR465" s="58">
        <f t="shared" si="229"/>
        <v>81596.031983568071</v>
      </c>
      <c r="AS465" s="58">
        <f t="shared" si="230"/>
        <v>278079277</v>
      </c>
      <c r="AT465" s="58">
        <f>ROUND(SUMIF('JUNE (물량흐름)'!$C$13:$C$502,'In-out-bal products (155)(완성제품)'!B465,'JUNE (물량흐름)'!$AB$13:$AB$502),0)</f>
        <v>3408</v>
      </c>
      <c r="AU465" s="58">
        <f t="shared" si="231"/>
        <v>278079277</v>
      </c>
      <c r="AV465" s="58">
        <f>ROUND(SUMIF('JUNE (물량흐름)'!$C$13:$C$502,'In-out-bal products (155)(완성제품)'!B465,'JUNE (물량흐름)'!$AC$13:$AC$502),0)</f>
        <v>0</v>
      </c>
      <c r="AW465" s="58">
        <f t="shared" si="232"/>
        <v>0</v>
      </c>
      <c r="AX465" s="376">
        <f t="shared" si="236"/>
        <v>0</v>
      </c>
      <c r="AY465" s="377">
        <f t="shared" si="237"/>
        <v>0</v>
      </c>
      <c r="AZ465" s="377">
        <f t="shared" si="238"/>
        <v>0</v>
      </c>
      <c r="BA465" s="377">
        <f t="shared" si="239"/>
        <v>0</v>
      </c>
      <c r="BB465" s="377"/>
      <c r="BC465" s="377">
        <f t="shared" si="240"/>
        <v>0</v>
      </c>
      <c r="BD465" s="377">
        <f t="shared" si="241"/>
        <v>0</v>
      </c>
      <c r="BE465" s="377"/>
      <c r="BF465" s="377">
        <f t="shared" si="242"/>
        <v>0</v>
      </c>
      <c r="BG465" s="433"/>
      <c r="BH465" s="434"/>
    </row>
    <row r="466" spans="1:60" s="378" customFormat="1">
      <c r="A466" s="167">
        <v>476</v>
      </c>
      <c r="B466" s="253">
        <f>VLOOKUP(A466,'JUNE (물량흐름)'!$A$13:$C$493,3,0)</f>
        <v>467791</v>
      </c>
      <c r="C466" s="57" t="str">
        <f>VLOOKUP(A466,'JUNE (물량흐름)'!$A$13:$C$493,2,0)</f>
        <v>ANN TAYLOR</v>
      </c>
      <c r="D466" s="58">
        <f>IFERROR(VLOOKUP(B466,O.B.JUNE!$V$7:$Y$448,2,0),0)</f>
        <v>0</v>
      </c>
      <c r="E466" s="58">
        <f>IFERROR(VLOOKUP(B466,O.B.JUNE!$V$7:$X$448,3,0),0)</f>
        <v>0</v>
      </c>
      <c r="F466" s="58">
        <f>IFERROR(VLOOKUP(B466,O.B.JUNE!$V$7:$Y$448,4,0),0)</f>
        <v>0</v>
      </c>
      <c r="G466" s="58">
        <f>SUMIF('JUNE (물량흐름)'!$C$13:$C$493,'In-out-bal products (155)(완성제품)'!B466,'JUNE (물량흐름)'!$V$13:$V$493)</f>
        <v>0</v>
      </c>
      <c r="H466" s="58">
        <f>SUMIF('JUNE (물량흐름)'!$C$13:$C$493,'In-out-bal products (155)(완성제품)'!B466,'JUNE (물량흐름)'!$T$13:$T$493)-SUMIF('JUNE (물량흐름)'!$C$13:$C$493,'In-out-bal products (155)(완성제품)'!B466,'JUNE (물량흐름)'!$Y$13:$Y$493)+SUMIF('JUNE (물량흐름)'!$C$13:$C$493,'In-out-bal products (155)(완성제품)'!B466,'JUNE (물량흐름)'!$U$13:$U$493)</f>
        <v>2245</v>
      </c>
      <c r="I466" s="58">
        <f t="shared" si="216"/>
        <v>25654.895768374165</v>
      </c>
      <c r="J466" s="58">
        <f>SUMIF('Direct labour(직접노무비)'!$C$12:$C$503,'In-out-bal products (155)(완성제품)'!B466,'Direct labour(직접노무비)'!$Q$12:$Q$503)</f>
        <v>19499100</v>
      </c>
      <c r="K466" s="59">
        <f>SUMIF('Overhead exp(제조경비)'!$C$12:$C$503,'In-out-bal products (155)(완성제품)'!B466,'Overhead exp(제조경비)'!$Q$12:$Q$503)</f>
        <v>38096141</v>
      </c>
      <c r="L466" s="58">
        <f t="shared" si="217"/>
        <v>57595241</v>
      </c>
      <c r="M466" s="58">
        <f>SUMIF('JUNE (물량흐름)'!$C$13:$C$488,'In-out-bal products (155)(완성제품)'!B466,'JUNE (물량흐름)'!$Y$13:$Y$488)</f>
        <v>0</v>
      </c>
      <c r="N466" s="58">
        <f t="shared" si="218"/>
        <v>0</v>
      </c>
      <c r="O466" s="58">
        <f>SUMIF('Direct labour(직접노무비)'!$C$12:$C$503,'In-out-bal products (155)(완성제품)'!B466,'Direct labour(직접노무비)'!$U$12:$U$503)+SUMIF('Overhead exp(제조경비)'!$C$12:$C$503,'In-out-bal products (155)(완성제품)'!B466,'Overhead exp(제조경비)'!$U$12:$U$503)</f>
        <v>0</v>
      </c>
      <c r="P466" s="60">
        <f t="shared" si="219"/>
        <v>2245</v>
      </c>
      <c r="Q466" s="60">
        <f t="shared" si="220"/>
        <v>25654.895768374165</v>
      </c>
      <c r="R466" s="60">
        <f t="shared" si="221"/>
        <v>57595241</v>
      </c>
      <c r="S466" s="58">
        <v>0</v>
      </c>
      <c r="T466" s="58">
        <v>0</v>
      </c>
      <c r="U466" s="58">
        <v>0</v>
      </c>
      <c r="V466" s="58">
        <f>SUMIF('JUNE (물량흐름)'!$C$13:$C$493,'In-out-bal products (155)(완성제품)'!B466,'JUNE (물량흐름)'!$W$13:$W$493)</f>
        <v>0</v>
      </c>
      <c r="W466" s="58">
        <f t="shared" si="222"/>
        <v>0</v>
      </c>
      <c r="X466" s="58">
        <f t="shared" si="233"/>
        <v>0</v>
      </c>
      <c r="Y466" s="58">
        <f>SUMIF('JUNE (물량흐름)'!$C$13:$C$488,'In-out-bal products (155)(완성제품)'!B466,'JUNE (물량흐름)'!$X$13:$X$488)</f>
        <v>0</v>
      </c>
      <c r="Z466" s="58">
        <f t="shared" si="223"/>
        <v>0</v>
      </c>
      <c r="AA466" s="58">
        <f t="shared" si="224"/>
        <v>0</v>
      </c>
      <c r="AB466" s="58"/>
      <c r="AC466" s="58"/>
      <c r="AD466" s="61"/>
      <c r="AE466" s="58">
        <f t="shared" si="225"/>
        <v>0</v>
      </c>
      <c r="AF466" s="58">
        <f t="shared" si="226"/>
        <v>0</v>
      </c>
      <c r="AG466" s="61">
        <f t="shared" si="227"/>
        <v>0</v>
      </c>
      <c r="AH466" s="58">
        <v>0</v>
      </c>
      <c r="AI466" s="58">
        <v>0</v>
      </c>
      <c r="AJ466" s="61">
        <v>0</v>
      </c>
      <c r="AK466" s="58"/>
      <c r="AL466" s="58"/>
      <c r="AM466" s="61"/>
      <c r="AN466" s="61">
        <f t="shared" si="243"/>
        <v>0</v>
      </c>
      <c r="AO466" s="58">
        <f t="shared" si="234"/>
        <v>0</v>
      </c>
      <c r="AP466" s="61">
        <f t="shared" si="235"/>
        <v>0</v>
      </c>
      <c r="AQ466" s="58">
        <f t="shared" si="228"/>
        <v>2245</v>
      </c>
      <c r="AR466" s="58">
        <f t="shared" si="229"/>
        <v>25654.895768374165</v>
      </c>
      <c r="AS466" s="58">
        <f t="shared" si="230"/>
        <v>57595241</v>
      </c>
      <c r="AT466" s="58">
        <f>ROUND(SUMIF('JUNE (물량흐름)'!$C$13:$C$502,'In-out-bal products (155)(완성제품)'!B466,'JUNE (물량흐름)'!$AB$13:$AB$502),0)</f>
        <v>2245</v>
      </c>
      <c r="AU466" s="58">
        <f t="shared" si="231"/>
        <v>57595241</v>
      </c>
      <c r="AV466" s="58">
        <f>ROUND(SUMIF('JUNE (물량흐름)'!$C$13:$C$502,'In-out-bal products (155)(완성제품)'!B466,'JUNE (물량흐름)'!$AC$13:$AC$502),0)</f>
        <v>0</v>
      </c>
      <c r="AW466" s="58">
        <f t="shared" si="232"/>
        <v>0</v>
      </c>
      <c r="AX466" s="376">
        <f t="shared" si="236"/>
        <v>0</v>
      </c>
      <c r="AY466" s="377">
        <f t="shared" si="237"/>
        <v>0</v>
      </c>
      <c r="AZ466" s="377">
        <f t="shared" si="238"/>
        <v>0</v>
      </c>
      <c r="BA466" s="377">
        <f t="shared" si="239"/>
        <v>0</v>
      </c>
      <c r="BB466" s="377"/>
      <c r="BC466" s="377">
        <f t="shared" si="240"/>
        <v>0</v>
      </c>
      <c r="BD466" s="377">
        <f t="shared" si="241"/>
        <v>0</v>
      </c>
      <c r="BE466" s="377"/>
      <c r="BF466" s="377">
        <f t="shared" si="242"/>
        <v>0</v>
      </c>
      <c r="BG466" s="433"/>
      <c r="BH466" s="434"/>
    </row>
    <row r="467" spans="1:60" s="378" customFormat="1">
      <c r="A467" s="167">
        <v>477</v>
      </c>
      <c r="B467" s="253">
        <f>VLOOKUP(A467,'JUNE (물량흐름)'!$A$13:$C$493,3,0)</f>
        <v>468564</v>
      </c>
      <c r="C467" s="57" t="str">
        <f>VLOOKUP(A467,'JUNE (물량흐름)'!$A$13:$C$493,2,0)</f>
        <v>ANN TAYLOR</v>
      </c>
      <c r="D467" s="58">
        <f>IFERROR(VLOOKUP(B467,O.B.JUNE!$V$7:$Y$448,2,0),0)</f>
        <v>0</v>
      </c>
      <c r="E467" s="58">
        <f>IFERROR(VLOOKUP(B467,O.B.JUNE!$V$7:$X$448,3,0),0)</f>
        <v>0</v>
      </c>
      <c r="F467" s="58">
        <f>IFERROR(VLOOKUP(B467,O.B.JUNE!$V$7:$Y$448,4,0),0)</f>
        <v>0</v>
      </c>
      <c r="G467" s="58">
        <f>SUMIF('JUNE (물량흐름)'!$C$13:$C$493,'In-out-bal products (155)(완성제품)'!B467,'JUNE (물량흐름)'!$V$13:$V$493)</f>
        <v>0</v>
      </c>
      <c r="H467" s="58">
        <f>SUMIF('JUNE (물량흐름)'!$C$13:$C$493,'In-out-bal products (155)(완성제품)'!B467,'JUNE (물량흐름)'!$T$13:$T$493)-SUMIF('JUNE (물량흐름)'!$C$13:$C$493,'In-out-bal products (155)(완성제품)'!B467,'JUNE (물량흐름)'!$Y$13:$Y$493)+SUMIF('JUNE (물량흐름)'!$C$13:$C$493,'In-out-bal products (155)(완성제품)'!B467,'JUNE (물량흐름)'!$U$13:$U$493)</f>
        <v>0</v>
      </c>
      <c r="I467" s="58">
        <f t="shared" si="216"/>
        <v>0</v>
      </c>
      <c r="J467" s="58">
        <f>SUMIF('Direct labour(직접노무비)'!$C$12:$C$503,'In-out-bal products (155)(완성제품)'!B467,'Direct labour(직접노무비)'!$Q$12:$Q$503)</f>
        <v>0</v>
      </c>
      <c r="K467" s="59">
        <f>SUMIF('Overhead exp(제조경비)'!$C$12:$C$503,'In-out-bal products (155)(완성제품)'!B467,'Overhead exp(제조경비)'!$Q$12:$Q$503)</f>
        <v>0</v>
      </c>
      <c r="L467" s="58">
        <f t="shared" si="217"/>
        <v>0</v>
      </c>
      <c r="M467" s="58">
        <f>SUMIF('JUNE (물량흐름)'!$C$13:$C$488,'In-out-bal products (155)(완성제품)'!B467,'JUNE (물량흐름)'!$Y$13:$Y$488)</f>
        <v>0</v>
      </c>
      <c r="N467" s="58">
        <f t="shared" si="218"/>
        <v>0</v>
      </c>
      <c r="O467" s="58">
        <f>SUMIF('Direct labour(직접노무비)'!$C$12:$C$503,'In-out-bal products (155)(완성제품)'!B467,'Direct labour(직접노무비)'!$U$12:$U$503)+SUMIF('Overhead exp(제조경비)'!$C$12:$C$503,'In-out-bal products (155)(완성제품)'!B467,'Overhead exp(제조경비)'!$U$12:$U$503)</f>
        <v>0</v>
      </c>
      <c r="P467" s="60">
        <f t="shared" si="219"/>
        <v>0</v>
      </c>
      <c r="Q467" s="60">
        <f t="shared" si="220"/>
        <v>0</v>
      </c>
      <c r="R467" s="60">
        <f t="shared" si="221"/>
        <v>0</v>
      </c>
      <c r="S467" s="58">
        <v>0</v>
      </c>
      <c r="T467" s="58">
        <v>0</v>
      </c>
      <c r="U467" s="58">
        <v>0</v>
      </c>
      <c r="V467" s="58">
        <f>SUMIF('JUNE (물량흐름)'!$C$13:$C$493,'In-out-bal products (155)(완성제품)'!B467,'JUNE (물량흐름)'!$W$13:$W$493)</f>
        <v>0</v>
      </c>
      <c r="W467" s="58">
        <f t="shared" si="222"/>
        <v>0</v>
      </c>
      <c r="X467" s="58">
        <f t="shared" si="233"/>
        <v>0</v>
      </c>
      <c r="Y467" s="58">
        <f>SUMIF('JUNE (물량흐름)'!$C$13:$C$488,'In-out-bal products (155)(완성제품)'!B467,'JUNE (물량흐름)'!$X$13:$X$488)</f>
        <v>0</v>
      </c>
      <c r="Z467" s="58">
        <f t="shared" si="223"/>
        <v>0</v>
      </c>
      <c r="AA467" s="58">
        <f t="shared" si="224"/>
        <v>0</v>
      </c>
      <c r="AB467" s="58"/>
      <c r="AC467" s="58"/>
      <c r="AD467" s="61"/>
      <c r="AE467" s="58">
        <f t="shared" si="225"/>
        <v>0</v>
      </c>
      <c r="AF467" s="58">
        <f t="shared" si="226"/>
        <v>0</v>
      </c>
      <c r="AG467" s="61">
        <f t="shared" si="227"/>
        <v>0</v>
      </c>
      <c r="AH467" s="58">
        <v>0</v>
      </c>
      <c r="AI467" s="58">
        <v>0</v>
      </c>
      <c r="AJ467" s="61">
        <v>0</v>
      </c>
      <c r="AK467" s="58"/>
      <c r="AL467" s="58"/>
      <c r="AM467" s="61"/>
      <c r="AN467" s="61">
        <f t="shared" si="243"/>
        <v>0</v>
      </c>
      <c r="AO467" s="58">
        <f t="shared" si="234"/>
        <v>0</v>
      </c>
      <c r="AP467" s="61">
        <f t="shared" si="235"/>
        <v>0</v>
      </c>
      <c r="AQ467" s="58">
        <f t="shared" si="228"/>
        <v>0</v>
      </c>
      <c r="AR467" s="58">
        <f t="shared" si="229"/>
        <v>0</v>
      </c>
      <c r="AS467" s="58">
        <f t="shared" si="230"/>
        <v>0</v>
      </c>
      <c r="AT467" s="58">
        <f>ROUND(SUMIF('JUNE (물량흐름)'!$C$13:$C$502,'In-out-bal products (155)(완성제품)'!B467,'JUNE (물량흐름)'!$AB$13:$AB$502),0)</f>
        <v>0</v>
      </c>
      <c r="AU467" s="58">
        <f t="shared" si="231"/>
        <v>0</v>
      </c>
      <c r="AV467" s="58">
        <f>ROUND(SUMIF('JUNE (물량흐름)'!$C$13:$C$502,'In-out-bal products (155)(완성제품)'!B467,'JUNE (물량흐름)'!$AC$13:$AC$502),0)</f>
        <v>0</v>
      </c>
      <c r="AW467" s="58">
        <f t="shared" si="232"/>
        <v>0</v>
      </c>
      <c r="AX467" s="376">
        <f t="shared" si="236"/>
        <v>0</v>
      </c>
      <c r="AY467" s="377">
        <f t="shared" si="237"/>
        <v>0</v>
      </c>
      <c r="AZ467" s="377">
        <f t="shared" si="238"/>
        <v>0</v>
      </c>
      <c r="BA467" s="377">
        <f t="shared" si="239"/>
        <v>0</v>
      </c>
      <c r="BB467" s="377"/>
      <c r="BC467" s="377">
        <f t="shared" si="240"/>
        <v>0</v>
      </c>
      <c r="BD467" s="377">
        <f t="shared" si="241"/>
        <v>0</v>
      </c>
      <c r="BE467" s="377"/>
      <c r="BF467" s="377">
        <f t="shared" si="242"/>
        <v>0</v>
      </c>
      <c r="BG467" s="433"/>
      <c r="BH467" s="434"/>
    </row>
    <row r="468" spans="1:60" s="378" customFormat="1">
      <c r="A468" s="167">
        <v>478</v>
      </c>
      <c r="B468" s="253">
        <f>VLOOKUP(A468,'JUNE (물량흐름)'!$A$13:$C$493,3,0)</f>
        <v>468568</v>
      </c>
      <c r="C468" s="57" t="str">
        <f>VLOOKUP(A468,'JUNE (물량흐름)'!$A$13:$C$493,2,0)</f>
        <v>ANN TAYLOR</v>
      </c>
      <c r="D468" s="58">
        <f>IFERROR(VLOOKUP(B468,O.B.JUNE!$V$7:$Y$448,2,0),0)</f>
        <v>0</v>
      </c>
      <c r="E468" s="58">
        <f>IFERROR(VLOOKUP(B468,O.B.JUNE!$V$7:$X$448,3,0),0)</f>
        <v>0</v>
      </c>
      <c r="F468" s="58">
        <f>IFERROR(VLOOKUP(B468,O.B.JUNE!$V$7:$Y$448,4,0),0)</f>
        <v>0</v>
      </c>
      <c r="G468" s="58">
        <f>SUMIF('JUNE (물량흐름)'!$C$13:$C$493,'In-out-bal products (155)(완성제품)'!B468,'JUNE (물량흐름)'!$V$13:$V$493)</f>
        <v>0</v>
      </c>
      <c r="H468" s="58">
        <f>SUMIF('JUNE (물량흐름)'!$C$13:$C$493,'In-out-bal products (155)(완성제품)'!B468,'JUNE (물량흐름)'!$T$13:$T$493)-SUMIF('JUNE (물량흐름)'!$C$13:$C$493,'In-out-bal products (155)(완성제품)'!B468,'JUNE (물량흐름)'!$Y$13:$Y$493)+SUMIF('JUNE (물량흐름)'!$C$13:$C$493,'In-out-bal products (155)(완성제품)'!B468,'JUNE (물량흐름)'!$U$13:$U$493)</f>
        <v>0</v>
      </c>
      <c r="I468" s="58">
        <f t="shared" si="216"/>
        <v>0</v>
      </c>
      <c r="J468" s="58">
        <f>SUMIF('Direct labour(직접노무비)'!$C$12:$C$503,'In-out-bal products (155)(완성제품)'!B468,'Direct labour(직접노무비)'!$Q$12:$Q$503)</f>
        <v>0</v>
      </c>
      <c r="K468" s="59">
        <f>SUMIF('Overhead exp(제조경비)'!$C$12:$C$503,'In-out-bal products (155)(완성제품)'!B468,'Overhead exp(제조경비)'!$Q$12:$Q$503)</f>
        <v>0</v>
      </c>
      <c r="L468" s="58">
        <f t="shared" si="217"/>
        <v>0</v>
      </c>
      <c r="M468" s="58">
        <f>SUMIF('JUNE (물량흐름)'!$C$13:$C$488,'In-out-bal products (155)(완성제품)'!B468,'JUNE (물량흐름)'!$Y$13:$Y$488)</f>
        <v>0</v>
      </c>
      <c r="N468" s="58">
        <f t="shared" si="218"/>
        <v>0</v>
      </c>
      <c r="O468" s="58">
        <f>SUMIF('Direct labour(직접노무비)'!$C$12:$C$503,'In-out-bal products (155)(완성제품)'!B468,'Direct labour(직접노무비)'!$U$12:$U$503)+SUMIF('Overhead exp(제조경비)'!$C$12:$C$503,'In-out-bal products (155)(완성제품)'!B468,'Overhead exp(제조경비)'!$U$12:$U$503)</f>
        <v>0</v>
      </c>
      <c r="P468" s="60">
        <f t="shared" si="219"/>
        <v>0</v>
      </c>
      <c r="Q468" s="60">
        <f t="shared" si="220"/>
        <v>0</v>
      </c>
      <c r="R468" s="60">
        <f t="shared" si="221"/>
        <v>0</v>
      </c>
      <c r="S468" s="58">
        <v>0</v>
      </c>
      <c r="T468" s="58">
        <v>0</v>
      </c>
      <c r="U468" s="58">
        <v>0</v>
      </c>
      <c r="V468" s="58">
        <f>SUMIF('JUNE (물량흐름)'!$C$13:$C$493,'In-out-bal products (155)(완성제품)'!B468,'JUNE (물량흐름)'!$W$13:$W$493)</f>
        <v>0</v>
      </c>
      <c r="W468" s="58">
        <f t="shared" si="222"/>
        <v>0</v>
      </c>
      <c r="X468" s="58">
        <f t="shared" si="233"/>
        <v>0</v>
      </c>
      <c r="Y468" s="58">
        <f>SUMIF('JUNE (물량흐름)'!$C$13:$C$488,'In-out-bal products (155)(완성제품)'!B468,'JUNE (물량흐름)'!$X$13:$X$488)</f>
        <v>0</v>
      </c>
      <c r="Z468" s="58">
        <f t="shared" si="223"/>
        <v>0</v>
      </c>
      <c r="AA468" s="58">
        <f t="shared" si="224"/>
        <v>0</v>
      </c>
      <c r="AB468" s="58"/>
      <c r="AC468" s="58"/>
      <c r="AD468" s="61"/>
      <c r="AE468" s="58">
        <f t="shared" si="225"/>
        <v>0</v>
      </c>
      <c r="AF468" s="58">
        <f t="shared" si="226"/>
        <v>0</v>
      </c>
      <c r="AG468" s="61">
        <f t="shared" si="227"/>
        <v>0</v>
      </c>
      <c r="AH468" s="58">
        <v>0</v>
      </c>
      <c r="AI468" s="58">
        <v>0</v>
      </c>
      <c r="AJ468" s="61">
        <v>0</v>
      </c>
      <c r="AK468" s="58"/>
      <c r="AL468" s="58"/>
      <c r="AM468" s="61"/>
      <c r="AN468" s="61">
        <f t="shared" si="243"/>
        <v>0</v>
      </c>
      <c r="AO468" s="58">
        <f t="shared" si="234"/>
        <v>0</v>
      </c>
      <c r="AP468" s="61">
        <f t="shared" si="235"/>
        <v>0</v>
      </c>
      <c r="AQ468" s="58">
        <f t="shared" si="228"/>
        <v>0</v>
      </c>
      <c r="AR468" s="58">
        <f t="shared" si="229"/>
        <v>0</v>
      </c>
      <c r="AS468" s="58">
        <f t="shared" si="230"/>
        <v>0</v>
      </c>
      <c r="AT468" s="58">
        <f>ROUND(SUMIF('JUNE (물량흐름)'!$C$13:$C$502,'In-out-bal products (155)(완성제품)'!B468,'JUNE (물량흐름)'!$AB$13:$AB$502),0)</f>
        <v>0</v>
      </c>
      <c r="AU468" s="58">
        <f t="shared" si="231"/>
        <v>0</v>
      </c>
      <c r="AV468" s="58">
        <f>ROUND(SUMIF('JUNE (물량흐름)'!$C$13:$C$502,'In-out-bal products (155)(완성제품)'!B468,'JUNE (물량흐름)'!$AC$13:$AC$502),0)</f>
        <v>0</v>
      </c>
      <c r="AW468" s="58">
        <f t="shared" si="232"/>
        <v>0</v>
      </c>
      <c r="AX468" s="376">
        <f t="shared" si="236"/>
        <v>0</v>
      </c>
      <c r="AY468" s="377">
        <f t="shared" si="237"/>
        <v>0</v>
      </c>
      <c r="AZ468" s="377">
        <f t="shared" si="238"/>
        <v>0</v>
      </c>
      <c r="BA468" s="377">
        <f t="shared" si="239"/>
        <v>0</v>
      </c>
      <c r="BB468" s="377"/>
      <c r="BC468" s="377">
        <f t="shared" si="240"/>
        <v>0</v>
      </c>
      <c r="BD468" s="377">
        <f t="shared" si="241"/>
        <v>0</v>
      </c>
      <c r="BE468" s="377"/>
      <c r="BF468" s="377">
        <f t="shared" si="242"/>
        <v>0</v>
      </c>
      <c r="BG468" s="433"/>
      <c r="BH468" s="434"/>
    </row>
    <row r="469" spans="1:60" s="378" customFormat="1">
      <c r="A469" s="167">
        <v>480</v>
      </c>
      <c r="B469" s="253">
        <f>VLOOKUP(A469,'JUNE (물량흐름)'!$A$13:$C$493,3,0)</f>
        <v>470390</v>
      </c>
      <c r="C469" s="57" t="str">
        <f>VLOOKUP(A469,'JUNE (물량흐름)'!$A$13:$C$493,2,0)</f>
        <v>ANN TAYLOR</v>
      </c>
      <c r="D469" s="58">
        <f>IFERROR(VLOOKUP(B469,O.B.JUNE!$V$7:$Y$448,2,0),0)</f>
        <v>0</v>
      </c>
      <c r="E469" s="58">
        <f>IFERROR(VLOOKUP(B469,O.B.JUNE!$V$7:$X$448,3,0),0)</f>
        <v>0</v>
      </c>
      <c r="F469" s="58">
        <f>IFERROR(VLOOKUP(B469,O.B.JUNE!$V$7:$Y$448,4,0),0)</f>
        <v>0</v>
      </c>
      <c r="G469" s="58">
        <f>SUMIF('JUNE (물량흐름)'!$C$13:$C$493,'In-out-bal products (155)(완성제품)'!B469,'JUNE (물량흐름)'!$V$13:$V$493)</f>
        <v>0</v>
      </c>
      <c r="H469" s="58">
        <f>SUMIF('JUNE (물량흐름)'!$C$13:$C$493,'In-out-bal products (155)(완성제품)'!B469,'JUNE (물량흐름)'!$T$13:$T$493)-SUMIF('JUNE (물량흐름)'!$C$13:$C$493,'In-out-bal products (155)(완성제품)'!B469,'JUNE (물량흐름)'!$Y$13:$Y$493)+SUMIF('JUNE (물량흐름)'!$C$13:$C$493,'In-out-bal products (155)(완성제품)'!B469,'JUNE (물량흐름)'!$U$13:$U$493)</f>
        <v>351</v>
      </c>
      <c r="I469" s="58">
        <f t="shared" si="216"/>
        <v>32636.709401709402</v>
      </c>
      <c r="J469" s="58">
        <f>SUMIF('Direct labour(직접노무비)'!$C$12:$C$503,'In-out-bal products (155)(완성제품)'!B469,'Direct labour(직접노무비)'!$Q$12:$Q$503)</f>
        <v>3878300</v>
      </c>
      <c r="K469" s="59">
        <f>SUMIF('Overhead exp(제조경비)'!$C$12:$C$503,'In-out-bal products (155)(완성제품)'!B469,'Overhead exp(제조경비)'!$Q$12:$Q$503)</f>
        <v>7577185</v>
      </c>
      <c r="L469" s="58">
        <f t="shared" si="217"/>
        <v>11455485</v>
      </c>
      <c r="M469" s="58">
        <f>SUMIF('JUNE (물량흐름)'!$C$13:$C$488,'In-out-bal products (155)(완성제품)'!B469,'JUNE (물량흐름)'!$Y$13:$Y$488)</f>
        <v>0</v>
      </c>
      <c r="N469" s="58">
        <f t="shared" si="218"/>
        <v>0</v>
      </c>
      <c r="O469" s="58">
        <f>SUMIF('Direct labour(직접노무비)'!$C$12:$C$503,'In-out-bal products (155)(완성제품)'!B469,'Direct labour(직접노무비)'!$U$12:$U$503)+SUMIF('Overhead exp(제조경비)'!$C$12:$C$503,'In-out-bal products (155)(완성제품)'!B469,'Overhead exp(제조경비)'!$U$12:$U$503)</f>
        <v>0</v>
      </c>
      <c r="P469" s="60">
        <f t="shared" si="219"/>
        <v>351</v>
      </c>
      <c r="Q469" s="60">
        <f t="shared" si="220"/>
        <v>32636.709401709402</v>
      </c>
      <c r="R469" s="60">
        <f t="shared" si="221"/>
        <v>11455485</v>
      </c>
      <c r="S469" s="58">
        <v>0</v>
      </c>
      <c r="T469" s="58">
        <v>0</v>
      </c>
      <c r="U469" s="58">
        <v>0</v>
      </c>
      <c r="V469" s="58">
        <f>SUMIF('JUNE (물량흐름)'!$C$13:$C$493,'In-out-bal products (155)(완성제품)'!B469,'JUNE (물량흐름)'!$W$13:$W$493)</f>
        <v>0</v>
      </c>
      <c r="W469" s="58">
        <f t="shared" si="222"/>
        <v>0</v>
      </c>
      <c r="X469" s="58">
        <f t="shared" si="233"/>
        <v>0</v>
      </c>
      <c r="Y469" s="58">
        <f>SUMIF('JUNE (물량흐름)'!$C$13:$C$488,'In-out-bal products (155)(완성제품)'!B469,'JUNE (물량흐름)'!$X$13:$X$488)</f>
        <v>0</v>
      </c>
      <c r="Z469" s="58">
        <f t="shared" si="223"/>
        <v>0</v>
      </c>
      <c r="AA469" s="58">
        <f t="shared" si="224"/>
        <v>0</v>
      </c>
      <c r="AB469" s="58"/>
      <c r="AC469" s="58"/>
      <c r="AD469" s="61"/>
      <c r="AE469" s="58">
        <f t="shared" si="225"/>
        <v>0</v>
      </c>
      <c r="AF469" s="58">
        <f t="shared" si="226"/>
        <v>0</v>
      </c>
      <c r="AG469" s="61">
        <f t="shared" si="227"/>
        <v>0</v>
      </c>
      <c r="AH469" s="58">
        <v>0</v>
      </c>
      <c r="AI469" s="58">
        <v>0</v>
      </c>
      <c r="AJ469" s="61">
        <v>0</v>
      </c>
      <c r="AK469" s="58"/>
      <c r="AL469" s="58"/>
      <c r="AM469" s="61"/>
      <c r="AN469" s="61">
        <f t="shared" si="243"/>
        <v>0</v>
      </c>
      <c r="AO469" s="58">
        <f t="shared" si="234"/>
        <v>0</v>
      </c>
      <c r="AP469" s="61">
        <f t="shared" si="235"/>
        <v>0</v>
      </c>
      <c r="AQ469" s="58">
        <f t="shared" si="228"/>
        <v>351</v>
      </c>
      <c r="AR469" s="58">
        <f t="shared" si="229"/>
        <v>32636.709401709402</v>
      </c>
      <c r="AS469" s="58">
        <f t="shared" si="230"/>
        <v>11455485</v>
      </c>
      <c r="AT469" s="58">
        <f>ROUND(SUMIF('JUNE (물량흐름)'!$C$13:$C$502,'In-out-bal products (155)(완성제품)'!B469,'JUNE (물량흐름)'!$AB$13:$AB$502),0)</f>
        <v>351</v>
      </c>
      <c r="AU469" s="58">
        <f t="shared" si="231"/>
        <v>11455485</v>
      </c>
      <c r="AV469" s="58">
        <f>ROUND(SUMIF('JUNE (물량흐름)'!$C$13:$C$502,'In-out-bal products (155)(완성제품)'!B469,'JUNE (물량흐름)'!$AC$13:$AC$502),0)</f>
        <v>0</v>
      </c>
      <c r="AW469" s="58">
        <f t="shared" si="232"/>
        <v>0</v>
      </c>
      <c r="AX469" s="376">
        <f t="shared" si="236"/>
        <v>0</v>
      </c>
      <c r="AY469" s="377">
        <f t="shared" si="237"/>
        <v>0</v>
      </c>
      <c r="AZ469" s="377">
        <f t="shared" si="238"/>
        <v>0</v>
      </c>
      <c r="BA469" s="377">
        <f t="shared" si="239"/>
        <v>0</v>
      </c>
      <c r="BB469" s="377"/>
      <c r="BC469" s="377">
        <f t="shared" si="240"/>
        <v>0</v>
      </c>
      <c r="BD469" s="377">
        <f t="shared" si="241"/>
        <v>0</v>
      </c>
      <c r="BE469" s="377"/>
      <c r="BF469" s="377">
        <f t="shared" si="242"/>
        <v>0</v>
      </c>
      <c r="BG469" s="433"/>
      <c r="BH469" s="434"/>
    </row>
    <row r="470" spans="1:60" s="378" customFormat="1">
      <c r="A470" s="167">
        <v>481</v>
      </c>
      <c r="B470" s="253">
        <f>VLOOKUP(A470,'JUNE (물량흐름)'!$A$13:$C$493,3,0)</f>
        <v>471627</v>
      </c>
      <c r="C470" s="57" t="str">
        <f>VLOOKUP(A470,'JUNE (물량흐름)'!$A$13:$C$493,2,0)</f>
        <v>ANN TAYLOR</v>
      </c>
      <c r="D470" s="58">
        <f>IFERROR(VLOOKUP(B470,O.B.JUNE!$V$7:$Y$448,2,0),0)</f>
        <v>0</v>
      </c>
      <c r="E470" s="58">
        <f>IFERROR(VLOOKUP(B470,O.B.JUNE!$V$7:$X$448,3,0),0)</f>
        <v>0</v>
      </c>
      <c r="F470" s="58">
        <f>IFERROR(VLOOKUP(B470,O.B.JUNE!$V$7:$Y$448,4,0),0)</f>
        <v>0</v>
      </c>
      <c r="G470" s="58">
        <f>SUMIF('JUNE (물량흐름)'!$C$13:$C$493,'In-out-bal products (155)(완성제품)'!B470,'JUNE (물량흐름)'!$V$13:$V$493)</f>
        <v>0</v>
      </c>
      <c r="H470" s="58">
        <f>SUMIF('JUNE (물량흐름)'!$C$13:$C$493,'In-out-bal products (155)(완성제품)'!B470,'JUNE (물량흐름)'!$T$13:$T$493)-SUMIF('JUNE (물량흐름)'!$C$13:$C$493,'In-out-bal products (155)(완성제품)'!B470,'JUNE (물량흐름)'!$Y$13:$Y$493)+SUMIF('JUNE (물량흐름)'!$C$13:$C$493,'In-out-bal products (155)(완성제품)'!B470,'JUNE (물량흐름)'!$U$13:$U$493)</f>
        <v>3065</v>
      </c>
      <c r="I470" s="58">
        <f t="shared" si="216"/>
        <v>20983.753996737356</v>
      </c>
      <c r="J470" s="58">
        <f>SUMIF('Direct labour(직접노무비)'!$C$12:$C$503,'In-out-bal products (155)(완성제품)'!B470,'Direct labour(직접노무비)'!$Q$12:$Q$503)</f>
        <v>21774171</v>
      </c>
      <c r="K470" s="59">
        <f>SUMIF('Overhead exp(제조경비)'!$C$12:$C$503,'In-out-bal products (155)(완성제품)'!B470,'Overhead exp(제조경비)'!$Q$12:$Q$503)</f>
        <v>42541035</v>
      </c>
      <c r="L470" s="58">
        <f t="shared" si="217"/>
        <v>64315206</v>
      </c>
      <c r="M470" s="58">
        <f>SUMIF('JUNE (물량흐름)'!$C$13:$C$488,'In-out-bal products (155)(완성제품)'!B470,'JUNE (물량흐름)'!$Y$13:$Y$488)</f>
        <v>0</v>
      </c>
      <c r="N470" s="58">
        <f t="shared" si="218"/>
        <v>0</v>
      </c>
      <c r="O470" s="58">
        <f>SUMIF('Direct labour(직접노무비)'!$C$12:$C$503,'In-out-bal products (155)(완성제품)'!B470,'Direct labour(직접노무비)'!$U$12:$U$503)+SUMIF('Overhead exp(제조경비)'!$C$12:$C$503,'In-out-bal products (155)(완성제품)'!B470,'Overhead exp(제조경비)'!$U$12:$U$503)</f>
        <v>0</v>
      </c>
      <c r="P470" s="60">
        <f t="shared" si="219"/>
        <v>3065</v>
      </c>
      <c r="Q470" s="60">
        <f t="shared" si="220"/>
        <v>20983.753996737356</v>
      </c>
      <c r="R470" s="60">
        <f t="shared" si="221"/>
        <v>64315206</v>
      </c>
      <c r="S470" s="58">
        <v>0</v>
      </c>
      <c r="T470" s="58">
        <v>0</v>
      </c>
      <c r="U470" s="58">
        <v>0</v>
      </c>
      <c r="V470" s="58">
        <f>SUMIF('JUNE (물량흐름)'!$C$13:$C$493,'In-out-bal products (155)(완성제품)'!B470,'JUNE (물량흐름)'!$W$13:$W$493)</f>
        <v>0</v>
      </c>
      <c r="W470" s="58">
        <f t="shared" si="222"/>
        <v>0</v>
      </c>
      <c r="X470" s="58">
        <f t="shared" si="233"/>
        <v>0</v>
      </c>
      <c r="Y470" s="58">
        <f>SUMIF('JUNE (물량흐름)'!$C$13:$C$488,'In-out-bal products (155)(완성제품)'!B470,'JUNE (물량흐름)'!$X$13:$X$488)</f>
        <v>0</v>
      </c>
      <c r="Z470" s="58">
        <f t="shared" si="223"/>
        <v>0</v>
      </c>
      <c r="AA470" s="58">
        <f t="shared" si="224"/>
        <v>0</v>
      </c>
      <c r="AB470" s="58"/>
      <c r="AC470" s="58"/>
      <c r="AD470" s="61"/>
      <c r="AE470" s="58">
        <f t="shared" si="225"/>
        <v>0</v>
      </c>
      <c r="AF470" s="58">
        <f t="shared" si="226"/>
        <v>0</v>
      </c>
      <c r="AG470" s="61">
        <f t="shared" si="227"/>
        <v>0</v>
      </c>
      <c r="AH470" s="58">
        <v>0</v>
      </c>
      <c r="AI470" s="58">
        <v>0</v>
      </c>
      <c r="AJ470" s="61">
        <v>0</v>
      </c>
      <c r="AK470" s="58"/>
      <c r="AL470" s="58"/>
      <c r="AM470" s="61"/>
      <c r="AN470" s="61">
        <f t="shared" si="243"/>
        <v>0</v>
      </c>
      <c r="AO470" s="58">
        <f t="shared" si="234"/>
        <v>0</v>
      </c>
      <c r="AP470" s="61">
        <f t="shared" si="235"/>
        <v>0</v>
      </c>
      <c r="AQ470" s="58">
        <f t="shared" si="228"/>
        <v>3065</v>
      </c>
      <c r="AR470" s="58">
        <f t="shared" si="229"/>
        <v>20983.753996737356</v>
      </c>
      <c r="AS470" s="58">
        <f t="shared" si="230"/>
        <v>64315206</v>
      </c>
      <c r="AT470" s="58">
        <f>ROUND(SUMIF('JUNE (물량흐름)'!$C$13:$C$502,'In-out-bal products (155)(완성제품)'!B470,'JUNE (물량흐름)'!$AB$13:$AB$502),0)</f>
        <v>3065</v>
      </c>
      <c r="AU470" s="58">
        <f t="shared" si="231"/>
        <v>64315206</v>
      </c>
      <c r="AV470" s="58">
        <f>ROUND(SUMIF('JUNE (물량흐름)'!$C$13:$C$502,'In-out-bal products (155)(완성제품)'!B470,'JUNE (물량흐름)'!$AC$13:$AC$502),0)</f>
        <v>0</v>
      </c>
      <c r="AW470" s="58">
        <f t="shared" si="232"/>
        <v>0</v>
      </c>
      <c r="AX470" s="376">
        <f t="shared" si="236"/>
        <v>0</v>
      </c>
      <c r="AY470" s="377">
        <f t="shared" si="237"/>
        <v>0</v>
      </c>
      <c r="AZ470" s="377">
        <f t="shared" si="238"/>
        <v>0</v>
      </c>
      <c r="BA470" s="377">
        <f t="shared" si="239"/>
        <v>0</v>
      </c>
      <c r="BB470" s="377"/>
      <c r="BC470" s="377">
        <f t="shared" si="240"/>
        <v>0</v>
      </c>
      <c r="BD470" s="377">
        <f t="shared" si="241"/>
        <v>0</v>
      </c>
      <c r="BE470" s="377"/>
      <c r="BF470" s="377">
        <f t="shared" si="242"/>
        <v>0</v>
      </c>
      <c r="BG470" s="433"/>
      <c r="BH470" s="434"/>
    </row>
    <row r="471" spans="1:60" s="378" customFormat="1">
      <c r="A471" s="167">
        <v>482</v>
      </c>
      <c r="B471" s="253" t="str">
        <f>VLOOKUP(A471,'JUNE (물량흐름)'!$A$13:$C$493,3,0)</f>
        <v>472379 (483561)</v>
      </c>
      <c r="C471" s="57" t="str">
        <f>VLOOKUP(A471,'JUNE (물량흐름)'!$A$13:$C$493,2,0)</f>
        <v>ANN TAYLOR</v>
      </c>
      <c r="D471" s="58">
        <f>IFERROR(VLOOKUP(B471,O.B.JUNE!$V$7:$Y$448,2,0),0)</f>
        <v>0</v>
      </c>
      <c r="E471" s="58">
        <f>IFERROR(VLOOKUP(B471,O.B.JUNE!$V$7:$X$448,3,0),0)</f>
        <v>0</v>
      </c>
      <c r="F471" s="58">
        <f>IFERROR(VLOOKUP(B471,O.B.JUNE!$V$7:$Y$448,4,0),0)</f>
        <v>0</v>
      </c>
      <c r="G471" s="58">
        <f>SUMIF('JUNE (물량흐름)'!$C$13:$C$493,'In-out-bal products (155)(완성제품)'!B471,'JUNE (물량흐름)'!$V$13:$V$493)</f>
        <v>0</v>
      </c>
      <c r="H471" s="58">
        <f>SUMIF('JUNE (물량흐름)'!$C$13:$C$493,'In-out-bal products (155)(완성제품)'!B471,'JUNE (물량흐름)'!$T$13:$T$493)-SUMIF('JUNE (물량흐름)'!$C$13:$C$493,'In-out-bal products (155)(완성제품)'!B471,'JUNE (물량흐름)'!$Y$13:$Y$493)+SUMIF('JUNE (물량흐름)'!$C$13:$C$493,'In-out-bal products (155)(완성제품)'!B471,'JUNE (물량흐름)'!$U$13:$U$493)</f>
        <v>2688</v>
      </c>
      <c r="I471" s="58">
        <f t="shared" si="216"/>
        <v>75343.228050595237</v>
      </c>
      <c r="J471" s="58">
        <f>SUMIF('Direct labour(직접노무비)'!$C$12:$C$503,'In-out-bal products (155)(완성제품)'!B471,'Direct labour(직접노무비)'!$Q$12:$Q$503)</f>
        <v>68564838</v>
      </c>
      <c r="K471" s="59">
        <f>SUMIF('Overhead exp(제조경비)'!$C$12:$C$503,'In-out-bal products (155)(완성제품)'!B471,'Overhead exp(제조경비)'!$Q$12:$Q$503)</f>
        <v>133957759</v>
      </c>
      <c r="L471" s="58">
        <f t="shared" si="217"/>
        <v>202522597</v>
      </c>
      <c r="M471" s="58">
        <f>SUMIF('JUNE (물량흐름)'!$C$13:$C$488,'In-out-bal products (155)(완성제품)'!B471,'JUNE (물량흐름)'!$Y$13:$Y$488)</f>
        <v>16</v>
      </c>
      <c r="N471" s="58">
        <f t="shared" si="218"/>
        <v>75343.25</v>
      </c>
      <c r="O471" s="58">
        <f>SUMIF('Direct labour(직접노무비)'!$C$12:$C$503,'In-out-bal products (155)(완성제품)'!B471,'Direct labour(직접노무비)'!$U$12:$U$503)+SUMIF('Overhead exp(제조경비)'!$C$12:$C$503,'In-out-bal products (155)(완성제품)'!B471,'Overhead exp(제조경비)'!$U$12:$U$503)</f>
        <v>1205492</v>
      </c>
      <c r="P471" s="60">
        <f t="shared" si="219"/>
        <v>2704</v>
      </c>
      <c r="Q471" s="60">
        <f t="shared" si="220"/>
        <v>75343.228180473379</v>
      </c>
      <c r="R471" s="60">
        <f t="shared" si="221"/>
        <v>203728089</v>
      </c>
      <c r="S471" s="58">
        <v>0</v>
      </c>
      <c r="T471" s="58">
        <v>0</v>
      </c>
      <c r="U471" s="58">
        <v>0</v>
      </c>
      <c r="V471" s="58">
        <f>SUMIF('JUNE (물량흐름)'!$C$13:$C$493,'In-out-bal products (155)(완성제품)'!B471,'JUNE (물량흐름)'!$W$13:$W$493)</f>
        <v>2627</v>
      </c>
      <c r="W471" s="58">
        <f t="shared" si="222"/>
        <v>75343.228016749141</v>
      </c>
      <c r="X471" s="58">
        <f t="shared" si="233"/>
        <v>197926660</v>
      </c>
      <c r="Y471" s="58">
        <f>SUMIF('JUNE (물량흐름)'!$C$13:$C$488,'In-out-bal products (155)(완성제품)'!B471,'JUNE (물량흐름)'!$X$13:$X$488)</f>
        <v>0</v>
      </c>
      <c r="Z471" s="58">
        <f t="shared" si="223"/>
        <v>0</v>
      </c>
      <c r="AA471" s="58">
        <f t="shared" si="224"/>
        <v>0</v>
      </c>
      <c r="AB471" s="58"/>
      <c r="AC471" s="58"/>
      <c r="AD471" s="61"/>
      <c r="AE471" s="58">
        <f t="shared" si="225"/>
        <v>16</v>
      </c>
      <c r="AF471" s="58">
        <f t="shared" si="226"/>
        <v>75343.25</v>
      </c>
      <c r="AG471" s="61">
        <f t="shared" si="227"/>
        <v>1205492</v>
      </c>
      <c r="AH471" s="58">
        <v>0</v>
      </c>
      <c r="AI471" s="58">
        <v>0</v>
      </c>
      <c r="AJ471" s="61">
        <v>0</v>
      </c>
      <c r="AK471" s="58"/>
      <c r="AL471" s="58"/>
      <c r="AM471" s="61"/>
      <c r="AN471" s="61">
        <f t="shared" si="243"/>
        <v>2643</v>
      </c>
      <c r="AO471" s="58">
        <f t="shared" si="234"/>
        <v>75343.228149829738</v>
      </c>
      <c r="AP471" s="61">
        <f t="shared" si="235"/>
        <v>199132152</v>
      </c>
      <c r="AQ471" s="58">
        <f t="shared" si="228"/>
        <v>61</v>
      </c>
      <c r="AR471" s="58">
        <f t="shared" si="229"/>
        <v>75343.229508196717</v>
      </c>
      <c r="AS471" s="58">
        <f t="shared" si="230"/>
        <v>4595937</v>
      </c>
      <c r="AT471" s="58">
        <f>ROUND(SUMIF('JUNE (물량흐름)'!$C$13:$C$502,'In-out-bal products (155)(완성제품)'!B471,'JUNE (물량흐름)'!$AB$13:$AB$502),0)</f>
        <v>0</v>
      </c>
      <c r="AU471" s="58">
        <f t="shared" si="231"/>
        <v>0</v>
      </c>
      <c r="AV471" s="58">
        <f>ROUND(SUMIF('JUNE (물량흐름)'!$C$13:$C$502,'In-out-bal products (155)(완성제품)'!B471,'JUNE (물량흐름)'!$AC$13:$AC$502),0)</f>
        <v>61</v>
      </c>
      <c r="AW471" s="58">
        <f t="shared" si="232"/>
        <v>4595937</v>
      </c>
      <c r="AX471" s="376">
        <f t="shared" si="236"/>
        <v>0</v>
      </c>
      <c r="AY471" s="377">
        <f t="shared" si="237"/>
        <v>0</v>
      </c>
      <c r="AZ471" s="377">
        <f t="shared" si="238"/>
        <v>0</v>
      </c>
      <c r="BA471" s="377">
        <f t="shared" si="239"/>
        <v>0</v>
      </c>
      <c r="BB471" s="377"/>
      <c r="BC471" s="377">
        <f t="shared" si="240"/>
        <v>0</v>
      </c>
      <c r="BD471" s="377">
        <f t="shared" si="241"/>
        <v>0</v>
      </c>
      <c r="BE471" s="377"/>
      <c r="BF471" s="377">
        <f t="shared" si="242"/>
        <v>0</v>
      </c>
      <c r="BG471" s="433"/>
      <c r="BH471" s="434"/>
    </row>
    <row r="472" spans="1:60" s="378" customFormat="1">
      <c r="A472" s="167">
        <v>483</v>
      </c>
      <c r="B472" s="253">
        <f>VLOOKUP(A472,'JUNE (물량흐름)'!$A$13:$C$493,3,0)</f>
        <v>473781</v>
      </c>
      <c r="C472" s="57" t="str">
        <f>VLOOKUP(A472,'JUNE (물량흐름)'!$A$13:$C$493,2,0)</f>
        <v>ANN TAYLOR</v>
      </c>
      <c r="D472" s="58">
        <f>IFERROR(VLOOKUP(B472,O.B.JUNE!$V$7:$Y$448,2,0),0)</f>
        <v>0</v>
      </c>
      <c r="E472" s="58">
        <f>IFERROR(VLOOKUP(B472,O.B.JUNE!$V$7:$X$448,3,0),0)</f>
        <v>0</v>
      </c>
      <c r="F472" s="58">
        <f>IFERROR(VLOOKUP(B472,O.B.JUNE!$V$7:$Y$448,4,0),0)</f>
        <v>0</v>
      </c>
      <c r="G472" s="58">
        <f>SUMIF('JUNE (물량흐름)'!$C$13:$C$493,'In-out-bal products (155)(완성제품)'!B472,'JUNE (물량흐름)'!$V$13:$V$493)</f>
        <v>0</v>
      </c>
      <c r="H472" s="58">
        <f>SUMIF('JUNE (물량흐름)'!$C$13:$C$493,'In-out-bal products (155)(완성제품)'!B472,'JUNE (물량흐름)'!$T$13:$T$493)-SUMIF('JUNE (물량흐름)'!$C$13:$C$493,'In-out-bal products (155)(완성제품)'!B472,'JUNE (물량흐름)'!$Y$13:$Y$493)+SUMIF('JUNE (물량흐름)'!$C$13:$C$493,'In-out-bal products (155)(완성제품)'!B472,'JUNE (물량흐름)'!$U$13:$U$493)</f>
        <v>0</v>
      </c>
      <c r="I472" s="58">
        <f t="shared" si="216"/>
        <v>0</v>
      </c>
      <c r="J472" s="58">
        <f>SUMIF('Direct labour(직접노무비)'!$C$12:$C$503,'In-out-bal products (155)(완성제품)'!B472,'Direct labour(직접노무비)'!$Q$12:$Q$503)</f>
        <v>0</v>
      </c>
      <c r="K472" s="59">
        <f>SUMIF('Overhead exp(제조경비)'!$C$12:$C$503,'In-out-bal products (155)(완성제품)'!B472,'Overhead exp(제조경비)'!$Q$12:$Q$503)</f>
        <v>0</v>
      </c>
      <c r="L472" s="58">
        <f t="shared" si="217"/>
        <v>0</v>
      </c>
      <c r="M472" s="58">
        <f>SUMIF('JUNE (물량흐름)'!$C$13:$C$488,'In-out-bal products (155)(완성제품)'!B472,'JUNE (물량흐름)'!$Y$13:$Y$488)</f>
        <v>0</v>
      </c>
      <c r="N472" s="58">
        <f t="shared" si="218"/>
        <v>0</v>
      </c>
      <c r="O472" s="58">
        <f>SUMIF('Direct labour(직접노무비)'!$C$12:$C$503,'In-out-bal products (155)(완성제품)'!B472,'Direct labour(직접노무비)'!$U$12:$U$503)+SUMIF('Overhead exp(제조경비)'!$C$12:$C$503,'In-out-bal products (155)(완성제품)'!B472,'Overhead exp(제조경비)'!$U$12:$U$503)</f>
        <v>0</v>
      </c>
      <c r="P472" s="60">
        <f t="shared" si="219"/>
        <v>0</v>
      </c>
      <c r="Q472" s="60">
        <f t="shared" si="220"/>
        <v>0</v>
      </c>
      <c r="R472" s="60">
        <f t="shared" si="221"/>
        <v>0</v>
      </c>
      <c r="S472" s="58">
        <v>0</v>
      </c>
      <c r="T472" s="58">
        <v>0</v>
      </c>
      <c r="U472" s="58">
        <v>0</v>
      </c>
      <c r="V472" s="58">
        <f>SUMIF('JUNE (물량흐름)'!$C$13:$C$493,'In-out-bal products (155)(완성제품)'!B472,'JUNE (물량흐름)'!$W$13:$W$493)</f>
        <v>0</v>
      </c>
      <c r="W472" s="58">
        <f t="shared" si="222"/>
        <v>0</v>
      </c>
      <c r="X472" s="58">
        <f t="shared" si="233"/>
        <v>0</v>
      </c>
      <c r="Y472" s="58">
        <f>SUMIF('JUNE (물량흐름)'!$C$13:$C$488,'In-out-bal products (155)(완성제품)'!B472,'JUNE (물량흐름)'!$X$13:$X$488)</f>
        <v>0</v>
      </c>
      <c r="Z472" s="58">
        <f t="shared" si="223"/>
        <v>0</v>
      </c>
      <c r="AA472" s="58">
        <f t="shared" si="224"/>
        <v>0</v>
      </c>
      <c r="AB472" s="58"/>
      <c r="AC472" s="58"/>
      <c r="AD472" s="61"/>
      <c r="AE472" s="58">
        <f t="shared" si="225"/>
        <v>0</v>
      </c>
      <c r="AF472" s="58">
        <f t="shared" si="226"/>
        <v>0</v>
      </c>
      <c r="AG472" s="61">
        <f t="shared" si="227"/>
        <v>0</v>
      </c>
      <c r="AH472" s="58">
        <v>0</v>
      </c>
      <c r="AI472" s="58">
        <v>0</v>
      </c>
      <c r="AJ472" s="61">
        <v>0</v>
      </c>
      <c r="AK472" s="58"/>
      <c r="AL472" s="58"/>
      <c r="AM472" s="61"/>
      <c r="AN472" s="61">
        <f t="shared" si="243"/>
        <v>0</v>
      </c>
      <c r="AO472" s="58">
        <f t="shared" si="234"/>
        <v>0</v>
      </c>
      <c r="AP472" s="61">
        <f t="shared" si="235"/>
        <v>0</v>
      </c>
      <c r="AQ472" s="58">
        <f t="shared" si="228"/>
        <v>0</v>
      </c>
      <c r="AR472" s="58">
        <f t="shared" si="229"/>
        <v>0</v>
      </c>
      <c r="AS472" s="58">
        <f t="shared" si="230"/>
        <v>0</v>
      </c>
      <c r="AT472" s="58">
        <f>ROUND(SUMIF('JUNE (물량흐름)'!$C$13:$C$502,'In-out-bal products (155)(완성제품)'!B472,'JUNE (물량흐름)'!$AB$13:$AB$502),0)</f>
        <v>0</v>
      </c>
      <c r="AU472" s="58">
        <f t="shared" si="231"/>
        <v>0</v>
      </c>
      <c r="AV472" s="58">
        <f>ROUND(SUMIF('JUNE (물량흐름)'!$C$13:$C$502,'In-out-bal products (155)(완성제품)'!B472,'JUNE (물량흐름)'!$AC$13:$AC$502),0)</f>
        <v>0</v>
      </c>
      <c r="AW472" s="58">
        <f t="shared" si="232"/>
        <v>0</v>
      </c>
      <c r="AX472" s="376">
        <f t="shared" si="236"/>
        <v>0</v>
      </c>
      <c r="AY472" s="377">
        <f t="shared" si="237"/>
        <v>0</v>
      </c>
      <c r="AZ472" s="377">
        <f t="shared" si="238"/>
        <v>0</v>
      </c>
      <c r="BA472" s="377">
        <f t="shared" si="239"/>
        <v>0</v>
      </c>
      <c r="BB472" s="377"/>
      <c r="BC472" s="377">
        <f t="shared" si="240"/>
        <v>0</v>
      </c>
      <c r="BD472" s="377">
        <f t="shared" si="241"/>
        <v>0</v>
      </c>
      <c r="BE472" s="377"/>
      <c r="BF472" s="377">
        <f t="shared" si="242"/>
        <v>0</v>
      </c>
      <c r="BG472" s="433"/>
      <c r="BH472" s="434"/>
    </row>
    <row r="473" spans="1:60" s="378" customFormat="1">
      <c r="A473" s="167">
        <v>484</v>
      </c>
      <c r="B473" s="253">
        <f>VLOOKUP(A473,'JUNE (물량흐름)'!$A$13:$C$493,3,0)</f>
        <v>475813</v>
      </c>
      <c r="C473" s="57" t="str">
        <f>VLOOKUP(A473,'JUNE (물량흐름)'!$A$13:$C$493,2,0)</f>
        <v>ANN TAYLOR</v>
      </c>
      <c r="D473" s="58">
        <f>IFERROR(VLOOKUP(B473,O.B.JUNE!$V$7:$Y$448,2,0),0)</f>
        <v>0</v>
      </c>
      <c r="E473" s="58">
        <f>IFERROR(VLOOKUP(B473,O.B.JUNE!$V$7:$X$448,3,0),0)</f>
        <v>0</v>
      </c>
      <c r="F473" s="58">
        <f>IFERROR(VLOOKUP(B473,O.B.JUNE!$V$7:$Y$448,4,0),0)</f>
        <v>0</v>
      </c>
      <c r="G473" s="58">
        <f>SUMIF('JUNE (물량흐름)'!$C$13:$C$493,'In-out-bal products (155)(완성제품)'!B473,'JUNE (물량흐름)'!$V$13:$V$493)</f>
        <v>0</v>
      </c>
      <c r="H473" s="58">
        <f>SUMIF('JUNE (물량흐름)'!$C$13:$C$493,'In-out-bal products (155)(완성제품)'!B473,'JUNE (물량흐름)'!$T$13:$T$493)-SUMIF('JUNE (물량흐름)'!$C$13:$C$493,'In-out-bal products (155)(완성제품)'!B473,'JUNE (물량흐름)'!$Y$13:$Y$493)+SUMIF('JUNE (물량흐름)'!$C$13:$C$493,'In-out-bal products (155)(완성제품)'!B473,'JUNE (물량흐름)'!$U$13:$U$493)</f>
        <v>8383</v>
      </c>
      <c r="I473" s="58">
        <f t="shared" si="216"/>
        <v>47784.271740427052</v>
      </c>
      <c r="J473" s="58">
        <f>SUMIF('Direct labour(직접노무비)'!$C$12:$C$503,'In-out-bal products (155)(완성제품)'!B473,'Direct labour(직접노무비)'!$Q$12:$Q$503)</f>
        <v>135616461</v>
      </c>
      <c r="K473" s="59">
        <f>SUMIF('Overhead exp(제조경비)'!$C$12:$C$503,'In-out-bal products (155)(완성제품)'!B473,'Overhead exp(제조경비)'!$Q$12:$Q$503)</f>
        <v>264959089</v>
      </c>
      <c r="L473" s="58">
        <f t="shared" si="217"/>
        <v>400575550</v>
      </c>
      <c r="M473" s="58">
        <f>SUMIF('JUNE (물량흐름)'!$C$13:$C$488,'In-out-bal products (155)(완성제품)'!B473,'JUNE (물량흐름)'!$Y$13:$Y$488)</f>
        <v>0</v>
      </c>
      <c r="N473" s="58">
        <f t="shared" si="218"/>
        <v>0</v>
      </c>
      <c r="O473" s="58">
        <f>SUMIF('Direct labour(직접노무비)'!$C$12:$C$503,'In-out-bal products (155)(완성제품)'!B473,'Direct labour(직접노무비)'!$U$12:$U$503)+SUMIF('Overhead exp(제조경비)'!$C$12:$C$503,'In-out-bal products (155)(완성제품)'!B473,'Overhead exp(제조경비)'!$U$12:$U$503)</f>
        <v>0</v>
      </c>
      <c r="P473" s="60">
        <f t="shared" si="219"/>
        <v>8383</v>
      </c>
      <c r="Q473" s="60">
        <f t="shared" si="220"/>
        <v>47784.271740427052</v>
      </c>
      <c r="R473" s="60">
        <f t="shared" si="221"/>
        <v>400575550</v>
      </c>
      <c r="S473" s="58">
        <v>0</v>
      </c>
      <c r="T473" s="58">
        <v>0</v>
      </c>
      <c r="U473" s="58">
        <v>0</v>
      </c>
      <c r="V473" s="58">
        <f>SUMIF('JUNE (물량흐름)'!$C$13:$C$493,'In-out-bal products (155)(완성제품)'!B473,'JUNE (물량흐름)'!$W$13:$W$493)</f>
        <v>5744</v>
      </c>
      <c r="W473" s="58">
        <f t="shared" si="222"/>
        <v>47784.271761838441</v>
      </c>
      <c r="X473" s="58">
        <f t="shared" si="233"/>
        <v>274472857</v>
      </c>
      <c r="Y473" s="58">
        <f>SUMIF('JUNE (물량흐름)'!$C$13:$C$488,'In-out-bal products (155)(완성제품)'!B473,'JUNE (물량흐름)'!$X$13:$X$488)</f>
        <v>0</v>
      </c>
      <c r="Z473" s="58">
        <f t="shared" si="223"/>
        <v>0</v>
      </c>
      <c r="AA473" s="58">
        <f t="shared" si="224"/>
        <v>0</v>
      </c>
      <c r="AB473" s="58"/>
      <c r="AC473" s="58"/>
      <c r="AD473" s="61"/>
      <c r="AE473" s="58">
        <f t="shared" si="225"/>
        <v>0</v>
      </c>
      <c r="AF473" s="58">
        <f t="shared" si="226"/>
        <v>0</v>
      </c>
      <c r="AG473" s="61">
        <f t="shared" si="227"/>
        <v>0</v>
      </c>
      <c r="AH473" s="58">
        <v>0</v>
      </c>
      <c r="AI473" s="58">
        <v>0</v>
      </c>
      <c r="AJ473" s="61">
        <v>0</v>
      </c>
      <c r="AK473" s="58"/>
      <c r="AL473" s="58"/>
      <c r="AM473" s="61"/>
      <c r="AN473" s="61">
        <f t="shared" si="243"/>
        <v>5744</v>
      </c>
      <c r="AO473" s="58">
        <f t="shared" si="234"/>
        <v>47784.271761838441</v>
      </c>
      <c r="AP473" s="61">
        <f t="shared" si="235"/>
        <v>274472857</v>
      </c>
      <c r="AQ473" s="58">
        <f t="shared" si="228"/>
        <v>2639</v>
      </c>
      <c r="AR473" s="58">
        <f t="shared" si="229"/>
        <v>47784.271693823415</v>
      </c>
      <c r="AS473" s="58">
        <f t="shared" si="230"/>
        <v>126102693</v>
      </c>
      <c r="AT473" s="58">
        <f>ROUND(SUMIF('JUNE (물량흐름)'!$C$13:$C$502,'In-out-bal products (155)(완성제품)'!B473,'JUNE (물량흐름)'!$AB$13:$AB$502),0)</f>
        <v>2639</v>
      </c>
      <c r="AU473" s="58">
        <f t="shared" si="231"/>
        <v>126102693</v>
      </c>
      <c r="AV473" s="58">
        <f>ROUND(SUMIF('JUNE (물량흐름)'!$C$13:$C$502,'In-out-bal products (155)(완성제품)'!B473,'JUNE (물량흐름)'!$AC$13:$AC$502),0)</f>
        <v>0</v>
      </c>
      <c r="AW473" s="58">
        <f t="shared" si="232"/>
        <v>0</v>
      </c>
      <c r="AX473" s="376">
        <f t="shared" si="236"/>
        <v>0</v>
      </c>
      <c r="AY473" s="377">
        <f t="shared" si="237"/>
        <v>0</v>
      </c>
      <c r="AZ473" s="377">
        <f t="shared" si="238"/>
        <v>0</v>
      </c>
      <c r="BA473" s="377">
        <f t="shared" si="239"/>
        <v>0</v>
      </c>
      <c r="BB473" s="377"/>
      <c r="BC473" s="377">
        <f t="shared" si="240"/>
        <v>0</v>
      </c>
      <c r="BD473" s="377">
        <f t="shared" si="241"/>
        <v>0</v>
      </c>
      <c r="BE473" s="377"/>
      <c r="BF473" s="377">
        <f t="shared" si="242"/>
        <v>0</v>
      </c>
      <c r="BG473" s="433"/>
      <c r="BH473" s="434"/>
    </row>
    <row r="474" spans="1:60" s="378" customFormat="1">
      <c r="A474" s="167">
        <v>485</v>
      </c>
      <c r="B474" s="253">
        <f>VLOOKUP(A474,'JUNE (물량흐름)'!$A$13:$C$493,3,0)</f>
        <v>476148</v>
      </c>
      <c r="C474" s="57" t="str">
        <f>VLOOKUP(A474,'JUNE (물량흐름)'!$A$13:$C$493,2,0)</f>
        <v>ANN TAYLOR</v>
      </c>
      <c r="D474" s="58">
        <f>IFERROR(VLOOKUP(B474,O.B.JUNE!$V$7:$Y$448,2,0),0)</f>
        <v>0</v>
      </c>
      <c r="E474" s="58">
        <f>IFERROR(VLOOKUP(B474,O.B.JUNE!$V$7:$X$448,3,0),0)</f>
        <v>0</v>
      </c>
      <c r="F474" s="58">
        <f>IFERROR(VLOOKUP(B474,O.B.JUNE!$V$7:$Y$448,4,0),0)</f>
        <v>0</v>
      </c>
      <c r="G474" s="58">
        <f>SUMIF('JUNE (물량흐름)'!$C$13:$C$493,'In-out-bal products (155)(완성제품)'!B474,'JUNE (물량흐름)'!$V$13:$V$493)</f>
        <v>0</v>
      </c>
      <c r="H474" s="58">
        <f>SUMIF('JUNE (물량흐름)'!$C$13:$C$493,'In-out-bal products (155)(완성제품)'!B474,'JUNE (물량흐름)'!$T$13:$T$493)-SUMIF('JUNE (물량흐름)'!$C$13:$C$493,'In-out-bal products (155)(완성제품)'!B474,'JUNE (물량흐름)'!$Y$13:$Y$493)+SUMIF('JUNE (물량흐름)'!$C$13:$C$493,'In-out-bal products (155)(완성제품)'!B474,'JUNE (물량흐름)'!$U$13:$U$493)</f>
        <v>9416</v>
      </c>
      <c r="I474" s="58">
        <f t="shared" si="216"/>
        <v>55885.240760407818</v>
      </c>
      <c r="J474" s="58">
        <f>SUMIF('Direct labour(직접노무비)'!$C$12:$C$503,'In-out-bal products (155)(완성제품)'!B474,'Direct labour(직접노무비)'!$Q$12:$Q$503)</f>
        <v>178152346</v>
      </c>
      <c r="K474" s="59">
        <f>SUMIF('Overhead exp(제조경비)'!$C$12:$C$503,'In-out-bal products (155)(완성제품)'!B474,'Overhead exp(제조경비)'!$Q$12:$Q$503)</f>
        <v>348063081</v>
      </c>
      <c r="L474" s="58">
        <f t="shared" si="217"/>
        <v>526215427</v>
      </c>
      <c r="M474" s="58">
        <f>SUMIF('JUNE (물량흐름)'!$C$13:$C$488,'In-out-bal products (155)(완성제품)'!B474,'JUNE (물량흐름)'!$Y$13:$Y$488)</f>
        <v>0</v>
      </c>
      <c r="N474" s="58">
        <f t="shared" si="218"/>
        <v>0</v>
      </c>
      <c r="O474" s="58">
        <f>SUMIF('Direct labour(직접노무비)'!$C$12:$C$503,'In-out-bal products (155)(완성제품)'!B474,'Direct labour(직접노무비)'!$U$12:$U$503)+SUMIF('Overhead exp(제조경비)'!$C$12:$C$503,'In-out-bal products (155)(완성제품)'!B474,'Overhead exp(제조경비)'!$U$12:$U$503)</f>
        <v>0</v>
      </c>
      <c r="P474" s="60">
        <f t="shared" si="219"/>
        <v>9416</v>
      </c>
      <c r="Q474" s="60">
        <f t="shared" si="220"/>
        <v>55885.240760407818</v>
      </c>
      <c r="R474" s="60">
        <f t="shared" si="221"/>
        <v>526215427</v>
      </c>
      <c r="S474" s="58">
        <v>0</v>
      </c>
      <c r="T474" s="58">
        <v>0</v>
      </c>
      <c r="U474" s="58">
        <v>0</v>
      </c>
      <c r="V474" s="58">
        <f>SUMIF('JUNE (물량흐름)'!$C$13:$C$493,'In-out-bal products (155)(완성제품)'!B474,'JUNE (물량흐름)'!$W$13:$W$493)</f>
        <v>7916</v>
      </c>
      <c r="W474" s="58">
        <f t="shared" si="222"/>
        <v>55885.240778170795</v>
      </c>
      <c r="X474" s="58">
        <f t="shared" si="233"/>
        <v>442387566</v>
      </c>
      <c r="Y474" s="58">
        <f>SUMIF('JUNE (물량흐름)'!$C$13:$C$488,'In-out-bal products (155)(완성제품)'!B474,'JUNE (물량흐름)'!$X$13:$X$488)</f>
        <v>0</v>
      </c>
      <c r="Z474" s="58">
        <f t="shared" si="223"/>
        <v>0</v>
      </c>
      <c r="AA474" s="58">
        <f t="shared" si="224"/>
        <v>0</v>
      </c>
      <c r="AB474" s="58"/>
      <c r="AC474" s="58"/>
      <c r="AD474" s="61"/>
      <c r="AE474" s="58">
        <f t="shared" si="225"/>
        <v>0</v>
      </c>
      <c r="AF474" s="58">
        <f t="shared" si="226"/>
        <v>0</v>
      </c>
      <c r="AG474" s="61">
        <f t="shared" si="227"/>
        <v>0</v>
      </c>
      <c r="AH474" s="58">
        <v>0</v>
      </c>
      <c r="AI474" s="58">
        <v>0</v>
      </c>
      <c r="AJ474" s="61">
        <v>0</v>
      </c>
      <c r="AK474" s="58"/>
      <c r="AL474" s="58"/>
      <c r="AM474" s="61"/>
      <c r="AN474" s="61">
        <f t="shared" si="243"/>
        <v>7916</v>
      </c>
      <c r="AO474" s="58">
        <f t="shared" si="234"/>
        <v>55885.240778170795</v>
      </c>
      <c r="AP474" s="61">
        <f t="shared" si="235"/>
        <v>442387566</v>
      </c>
      <c r="AQ474" s="58">
        <f t="shared" si="228"/>
        <v>1500</v>
      </c>
      <c r="AR474" s="58">
        <f t="shared" si="229"/>
        <v>55885.240666666665</v>
      </c>
      <c r="AS474" s="58">
        <f t="shared" si="230"/>
        <v>83827861</v>
      </c>
      <c r="AT474" s="58">
        <f>ROUND(SUMIF('JUNE (물량흐름)'!$C$13:$C$502,'In-out-bal products (155)(완성제품)'!B474,'JUNE (물량흐름)'!$AB$13:$AB$502),0)</f>
        <v>1500</v>
      </c>
      <c r="AU474" s="58">
        <f t="shared" si="231"/>
        <v>83827861</v>
      </c>
      <c r="AV474" s="58">
        <f>ROUND(SUMIF('JUNE (물량흐름)'!$C$13:$C$502,'In-out-bal products (155)(완성제품)'!B474,'JUNE (물량흐름)'!$AC$13:$AC$502),0)</f>
        <v>0</v>
      </c>
      <c r="AW474" s="58">
        <f t="shared" si="232"/>
        <v>0</v>
      </c>
      <c r="AX474" s="376">
        <f t="shared" si="236"/>
        <v>0</v>
      </c>
      <c r="AY474" s="377">
        <f t="shared" si="237"/>
        <v>0</v>
      </c>
      <c r="AZ474" s="377">
        <f t="shared" si="238"/>
        <v>0</v>
      </c>
      <c r="BA474" s="377">
        <f t="shared" si="239"/>
        <v>0</v>
      </c>
      <c r="BB474" s="377"/>
      <c r="BC474" s="377">
        <f t="shared" si="240"/>
        <v>0</v>
      </c>
      <c r="BD474" s="377">
        <f t="shared" si="241"/>
        <v>0</v>
      </c>
      <c r="BE474" s="377"/>
      <c r="BF474" s="377">
        <f t="shared" si="242"/>
        <v>0</v>
      </c>
      <c r="BG474" s="433"/>
      <c r="BH474" s="434"/>
    </row>
    <row r="475" spans="1:60" s="378" customFormat="1">
      <c r="A475" s="167">
        <v>486</v>
      </c>
      <c r="B475" s="253">
        <f>VLOOKUP(A475,'JUNE (물량흐름)'!$A$13:$C$493,3,0)</f>
        <v>476239</v>
      </c>
      <c r="C475" s="57" t="str">
        <f>VLOOKUP(A475,'JUNE (물량흐름)'!$A$13:$C$493,2,0)</f>
        <v>ANN TAYLOR</v>
      </c>
      <c r="D475" s="58">
        <f>IFERROR(VLOOKUP(B475,O.B.JUNE!$V$7:$Y$448,2,0),0)</f>
        <v>0</v>
      </c>
      <c r="E475" s="58">
        <f>IFERROR(VLOOKUP(B475,O.B.JUNE!$V$7:$X$448,3,0),0)</f>
        <v>0</v>
      </c>
      <c r="F475" s="58">
        <f>IFERROR(VLOOKUP(B475,O.B.JUNE!$V$7:$Y$448,4,0),0)</f>
        <v>0</v>
      </c>
      <c r="G475" s="58">
        <f>SUMIF('JUNE (물량흐름)'!$C$13:$C$493,'In-out-bal products (155)(완성제품)'!B475,'JUNE (물량흐름)'!$V$13:$V$493)</f>
        <v>0</v>
      </c>
      <c r="H475" s="58">
        <f>SUMIF('JUNE (물량흐름)'!$C$13:$C$493,'In-out-bal products (155)(완성제품)'!B475,'JUNE (물량흐름)'!$T$13:$T$493)-SUMIF('JUNE (물량흐름)'!$C$13:$C$493,'In-out-bal products (155)(완성제품)'!B475,'JUNE (물량흐름)'!$Y$13:$Y$493)+SUMIF('JUNE (물량흐름)'!$C$13:$C$493,'In-out-bal products (155)(완성제품)'!B475,'JUNE (물량흐름)'!$U$13:$U$493)</f>
        <v>2329</v>
      </c>
      <c r="I475" s="58">
        <f t="shared" si="216"/>
        <v>55980.932159725206</v>
      </c>
      <c r="J475" s="58">
        <f>SUMIF('Direct labour(직접노무비)'!$C$12:$C$503,'In-out-bal products (155)(완성제품)'!B475,'Direct labour(직접노무비)'!$Q$12:$Q$503)</f>
        <v>44140534</v>
      </c>
      <c r="K475" s="59">
        <f>SUMIF('Overhead exp(제조경비)'!$C$12:$C$503,'In-out-bal products (155)(완성제품)'!B475,'Overhead exp(제조경비)'!$Q$12:$Q$503)</f>
        <v>86239057</v>
      </c>
      <c r="L475" s="58">
        <f t="shared" si="217"/>
        <v>130379591</v>
      </c>
      <c r="M475" s="58">
        <f>SUMIF('JUNE (물량흐름)'!$C$13:$C$488,'In-out-bal products (155)(완성제품)'!B475,'JUNE (물량흐름)'!$Y$13:$Y$488)</f>
        <v>0</v>
      </c>
      <c r="N475" s="58">
        <f t="shared" si="218"/>
        <v>0</v>
      </c>
      <c r="O475" s="58">
        <f>SUMIF('Direct labour(직접노무비)'!$C$12:$C$503,'In-out-bal products (155)(완성제품)'!B475,'Direct labour(직접노무비)'!$U$12:$U$503)+SUMIF('Overhead exp(제조경비)'!$C$12:$C$503,'In-out-bal products (155)(완성제품)'!B475,'Overhead exp(제조경비)'!$U$12:$U$503)</f>
        <v>0</v>
      </c>
      <c r="P475" s="60">
        <f t="shared" si="219"/>
        <v>2329</v>
      </c>
      <c r="Q475" s="60">
        <f t="shared" si="220"/>
        <v>55980.932159725206</v>
      </c>
      <c r="R475" s="60">
        <f t="shared" si="221"/>
        <v>130379591</v>
      </c>
      <c r="S475" s="58">
        <v>0</v>
      </c>
      <c r="T475" s="58">
        <v>0</v>
      </c>
      <c r="U475" s="58">
        <v>0</v>
      </c>
      <c r="V475" s="58">
        <f>SUMIF('JUNE (물량흐름)'!$C$13:$C$493,'In-out-bal products (155)(완성제품)'!B475,'JUNE (물량흐름)'!$W$13:$W$493)</f>
        <v>0</v>
      </c>
      <c r="W475" s="58">
        <f t="shared" si="222"/>
        <v>0</v>
      </c>
      <c r="X475" s="58">
        <f t="shared" si="233"/>
        <v>0</v>
      </c>
      <c r="Y475" s="58">
        <f>SUMIF('JUNE (물량흐름)'!$C$13:$C$488,'In-out-bal products (155)(완성제품)'!B475,'JUNE (물량흐름)'!$X$13:$X$488)</f>
        <v>0</v>
      </c>
      <c r="Z475" s="58">
        <f t="shared" si="223"/>
        <v>0</v>
      </c>
      <c r="AA475" s="58">
        <f t="shared" si="224"/>
        <v>0</v>
      </c>
      <c r="AB475" s="58"/>
      <c r="AC475" s="58"/>
      <c r="AD475" s="61"/>
      <c r="AE475" s="58">
        <f t="shared" si="225"/>
        <v>0</v>
      </c>
      <c r="AF475" s="58">
        <f t="shared" si="226"/>
        <v>0</v>
      </c>
      <c r="AG475" s="61">
        <f t="shared" si="227"/>
        <v>0</v>
      </c>
      <c r="AH475" s="58">
        <v>0</v>
      </c>
      <c r="AI475" s="58">
        <v>0</v>
      </c>
      <c r="AJ475" s="61">
        <v>0</v>
      </c>
      <c r="AK475" s="58"/>
      <c r="AL475" s="58"/>
      <c r="AM475" s="61"/>
      <c r="AN475" s="61">
        <f t="shared" si="243"/>
        <v>0</v>
      </c>
      <c r="AO475" s="58">
        <f t="shared" si="234"/>
        <v>0</v>
      </c>
      <c r="AP475" s="61">
        <f t="shared" si="235"/>
        <v>0</v>
      </c>
      <c r="AQ475" s="58">
        <f t="shared" si="228"/>
        <v>2329</v>
      </c>
      <c r="AR475" s="58">
        <f t="shared" si="229"/>
        <v>55980.932159725206</v>
      </c>
      <c r="AS475" s="58">
        <f t="shared" si="230"/>
        <v>130379591</v>
      </c>
      <c r="AT475" s="58">
        <f>ROUND(SUMIF('JUNE (물량흐름)'!$C$13:$C$502,'In-out-bal products (155)(완성제품)'!B475,'JUNE (물량흐름)'!$AB$13:$AB$502),0)</f>
        <v>2329</v>
      </c>
      <c r="AU475" s="58">
        <f t="shared" si="231"/>
        <v>130379591</v>
      </c>
      <c r="AV475" s="58">
        <f>ROUND(SUMIF('JUNE (물량흐름)'!$C$13:$C$502,'In-out-bal products (155)(완성제품)'!B475,'JUNE (물량흐름)'!$AC$13:$AC$502),0)</f>
        <v>0</v>
      </c>
      <c r="AW475" s="58">
        <f t="shared" si="232"/>
        <v>0</v>
      </c>
      <c r="AX475" s="376">
        <f t="shared" si="236"/>
        <v>0</v>
      </c>
      <c r="AY475" s="377">
        <f t="shared" si="237"/>
        <v>0</v>
      </c>
      <c r="AZ475" s="377">
        <f t="shared" si="238"/>
        <v>0</v>
      </c>
      <c r="BA475" s="377">
        <f t="shared" si="239"/>
        <v>0</v>
      </c>
      <c r="BB475" s="377"/>
      <c r="BC475" s="377">
        <f t="shared" si="240"/>
        <v>0</v>
      </c>
      <c r="BD475" s="377">
        <f t="shared" si="241"/>
        <v>0</v>
      </c>
      <c r="BE475" s="377"/>
      <c r="BF475" s="377">
        <f t="shared" si="242"/>
        <v>0</v>
      </c>
      <c r="BG475" s="433"/>
      <c r="BH475" s="434"/>
    </row>
    <row r="476" spans="1:60" s="378" customFormat="1">
      <c r="A476" s="167">
        <v>487</v>
      </c>
      <c r="B476" s="253">
        <f>VLOOKUP(A476,'JUNE (물량흐름)'!$A$13:$C$493,3,0)</f>
        <v>476545</v>
      </c>
      <c r="C476" s="57" t="str">
        <f>VLOOKUP(A476,'JUNE (물량흐름)'!$A$13:$C$493,2,0)</f>
        <v>ANN TAYLOR</v>
      </c>
      <c r="D476" s="58">
        <f>IFERROR(VLOOKUP(B476,O.B.JUNE!$V$7:$Y$448,2,0),0)</f>
        <v>0</v>
      </c>
      <c r="E476" s="58">
        <f>IFERROR(VLOOKUP(B476,O.B.JUNE!$V$7:$X$448,3,0),0)</f>
        <v>0</v>
      </c>
      <c r="F476" s="58">
        <f>IFERROR(VLOOKUP(B476,O.B.JUNE!$V$7:$Y$448,4,0),0)</f>
        <v>0</v>
      </c>
      <c r="G476" s="58">
        <f>SUMIF('JUNE (물량흐름)'!$C$13:$C$493,'In-out-bal products (155)(완성제품)'!B476,'JUNE (물량흐름)'!$V$13:$V$493)</f>
        <v>0</v>
      </c>
      <c r="H476" s="58">
        <f>SUMIF('JUNE (물량흐름)'!$C$13:$C$493,'In-out-bal products (155)(완성제품)'!B476,'JUNE (물량흐름)'!$T$13:$T$493)-SUMIF('JUNE (물량흐름)'!$C$13:$C$493,'In-out-bal products (155)(완성제품)'!B476,'JUNE (물량흐름)'!$Y$13:$Y$493)+SUMIF('JUNE (물량흐름)'!$C$13:$C$493,'In-out-bal products (155)(완성제품)'!B476,'JUNE (물량흐름)'!$U$13:$U$493)</f>
        <v>0</v>
      </c>
      <c r="I476" s="58">
        <f t="shared" si="216"/>
        <v>0</v>
      </c>
      <c r="J476" s="58">
        <f>SUMIF('Direct labour(직접노무비)'!$C$12:$C$503,'In-out-bal products (155)(완성제품)'!B476,'Direct labour(직접노무비)'!$Q$12:$Q$503)</f>
        <v>0</v>
      </c>
      <c r="K476" s="59">
        <f>SUMIF('Overhead exp(제조경비)'!$C$12:$C$503,'In-out-bal products (155)(완성제품)'!B476,'Overhead exp(제조경비)'!$Q$12:$Q$503)</f>
        <v>0</v>
      </c>
      <c r="L476" s="58">
        <f t="shared" si="217"/>
        <v>0</v>
      </c>
      <c r="M476" s="58">
        <f>SUMIF('JUNE (물량흐름)'!$C$13:$C$488,'In-out-bal products (155)(완성제품)'!B476,'JUNE (물량흐름)'!$Y$13:$Y$488)</f>
        <v>0</v>
      </c>
      <c r="N476" s="58">
        <f t="shared" si="218"/>
        <v>0</v>
      </c>
      <c r="O476" s="58">
        <f>SUMIF('Direct labour(직접노무비)'!$C$12:$C$503,'In-out-bal products (155)(완성제품)'!B476,'Direct labour(직접노무비)'!$U$12:$U$503)+SUMIF('Overhead exp(제조경비)'!$C$12:$C$503,'In-out-bal products (155)(완성제품)'!B476,'Overhead exp(제조경비)'!$U$12:$U$503)</f>
        <v>0</v>
      </c>
      <c r="P476" s="60">
        <f t="shared" si="219"/>
        <v>0</v>
      </c>
      <c r="Q476" s="60">
        <f t="shared" si="220"/>
        <v>0</v>
      </c>
      <c r="R476" s="60">
        <f t="shared" si="221"/>
        <v>0</v>
      </c>
      <c r="S476" s="58">
        <v>0</v>
      </c>
      <c r="T476" s="58">
        <v>0</v>
      </c>
      <c r="U476" s="58">
        <v>0</v>
      </c>
      <c r="V476" s="58">
        <f>SUMIF('JUNE (물량흐름)'!$C$13:$C$493,'In-out-bal products (155)(완성제품)'!B476,'JUNE (물량흐름)'!$W$13:$W$493)</f>
        <v>0</v>
      </c>
      <c r="W476" s="58">
        <f t="shared" si="222"/>
        <v>0</v>
      </c>
      <c r="X476" s="58">
        <f t="shared" si="233"/>
        <v>0</v>
      </c>
      <c r="Y476" s="58">
        <f>SUMIF('JUNE (물량흐름)'!$C$13:$C$488,'In-out-bal products (155)(완성제품)'!B476,'JUNE (물량흐름)'!$X$13:$X$488)</f>
        <v>0</v>
      </c>
      <c r="Z476" s="58">
        <f t="shared" si="223"/>
        <v>0</v>
      </c>
      <c r="AA476" s="58">
        <f t="shared" si="224"/>
        <v>0</v>
      </c>
      <c r="AB476" s="58"/>
      <c r="AC476" s="58"/>
      <c r="AD476" s="61"/>
      <c r="AE476" s="58">
        <f t="shared" si="225"/>
        <v>0</v>
      </c>
      <c r="AF476" s="58">
        <f t="shared" si="226"/>
        <v>0</v>
      </c>
      <c r="AG476" s="61">
        <f t="shared" si="227"/>
        <v>0</v>
      </c>
      <c r="AH476" s="58">
        <v>0</v>
      </c>
      <c r="AI476" s="58">
        <v>0</v>
      </c>
      <c r="AJ476" s="61">
        <v>0</v>
      </c>
      <c r="AK476" s="58"/>
      <c r="AL476" s="58"/>
      <c r="AM476" s="61"/>
      <c r="AN476" s="61">
        <f t="shared" si="243"/>
        <v>0</v>
      </c>
      <c r="AO476" s="58">
        <f t="shared" si="234"/>
        <v>0</v>
      </c>
      <c r="AP476" s="61">
        <f t="shared" si="235"/>
        <v>0</v>
      </c>
      <c r="AQ476" s="58">
        <f t="shared" si="228"/>
        <v>0</v>
      </c>
      <c r="AR476" s="58">
        <f t="shared" si="229"/>
        <v>0</v>
      </c>
      <c r="AS476" s="58">
        <f t="shared" si="230"/>
        <v>0</v>
      </c>
      <c r="AT476" s="58">
        <f>ROUND(SUMIF('JUNE (물량흐름)'!$C$13:$C$502,'In-out-bal products (155)(완성제품)'!B476,'JUNE (물량흐름)'!$AB$13:$AB$502),0)</f>
        <v>0</v>
      </c>
      <c r="AU476" s="58">
        <f t="shared" si="231"/>
        <v>0</v>
      </c>
      <c r="AV476" s="58">
        <f>ROUND(SUMIF('JUNE (물량흐름)'!$C$13:$C$502,'In-out-bal products (155)(완성제품)'!B476,'JUNE (물량흐름)'!$AC$13:$AC$502),0)</f>
        <v>0</v>
      </c>
      <c r="AW476" s="58">
        <f t="shared" si="232"/>
        <v>0</v>
      </c>
      <c r="AX476" s="376">
        <f t="shared" si="236"/>
        <v>0</v>
      </c>
      <c r="AY476" s="377">
        <f t="shared" si="237"/>
        <v>0</v>
      </c>
      <c r="AZ476" s="377">
        <f t="shared" si="238"/>
        <v>0</v>
      </c>
      <c r="BA476" s="377">
        <f t="shared" si="239"/>
        <v>0</v>
      </c>
      <c r="BB476" s="377"/>
      <c r="BC476" s="377">
        <f t="shared" si="240"/>
        <v>0</v>
      </c>
      <c r="BD476" s="377">
        <f t="shared" si="241"/>
        <v>0</v>
      </c>
      <c r="BE476" s="377"/>
      <c r="BF476" s="377">
        <f t="shared" si="242"/>
        <v>0</v>
      </c>
      <c r="BG476" s="433"/>
      <c r="BH476" s="434"/>
    </row>
    <row r="477" spans="1:60" s="378" customFormat="1">
      <c r="A477" s="167">
        <v>488</v>
      </c>
      <c r="B477" s="253">
        <f>VLOOKUP(A477,'JUNE (물량흐름)'!$A$13:$C$493,3,0)</f>
        <v>477891</v>
      </c>
      <c r="C477" s="57" t="str">
        <f>VLOOKUP(A477,'JUNE (물량흐름)'!$A$13:$C$493,2,0)</f>
        <v>ANN TAYLOR</v>
      </c>
      <c r="D477" s="58">
        <f>IFERROR(VLOOKUP(B477,O.B.JUNE!$V$7:$Y$448,2,0),0)</f>
        <v>0</v>
      </c>
      <c r="E477" s="58">
        <f>IFERROR(VLOOKUP(B477,O.B.JUNE!$V$7:$X$448,3,0),0)</f>
        <v>0</v>
      </c>
      <c r="F477" s="58">
        <f>IFERROR(VLOOKUP(B477,O.B.JUNE!$V$7:$Y$448,4,0),0)</f>
        <v>0</v>
      </c>
      <c r="G477" s="58">
        <f>SUMIF('JUNE (물량흐름)'!$C$13:$C$493,'In-out-bal products (155)(완성제품)'!B477,'JUNE (물량흐름)'!$V$13:$V$493)</f>
        <v>0</v>
      </c>
      <c r="H477" s="58">
        <f>SUMIF('JUNE (물량흐름)'!$C$13:$C$493,'In-out-bal products (155)(완성제품)'!B477,'JUNE (물량흐름)'!$T$13:$T$493)-SUMIF('JUNE (물량흐름)'!$C$13:$C$493,'In-out-bal products (155)(완성제품)'!B477,'JUNE (물량흐름)'!$Y$13:$Y$493)+SUMIF('JUNE (물량흐름)'!$C$13:$C$493,'In-out-bal products (155)(완성제품)'!B477,'JUNE (물량흐름)'!$U$13:$U$493)</f>
        <v>0</v>
      </c>
      <c r="I477" s="58">
        <f t="shared" si="216"/>
        <v>0</v>
      </c>
      <c r="J477" s="58">
        <f>SUMIF('Direct labour(직접노무비)'!$C$12:$C$503,'In-out-bal products (155)(완성제품)'!B477,'Direct labour(직접노무비)'!$Q$12:$Q$503)</f>
        <v>0</v>
      </c>
      <c r="K477" s="59">
        <f>SUMIF('Overhead exp(제조경비)'!$C$12:$C$503,'In-out-bal products (155)(완성제품)'!B477,'Overhead exp(제조경비)'!$Q$12:$Q$503)</f>
        <v>0</v>
      </c>
      <c r="L477" s="58">
        <f t="shared" si="217"/>
        <v>0</v>
      </c>
      <c r="M477" s="58">
        <f>SUMIF('JUNE (물량흐름)'!$C$13:$C$488,'In-out-bal products (155)(완성제품)'!B477,'JUNE (물량흐름)'!$Y$13:$Y$488)</f>
        <v>0</v>
      </c>
      <c r="N477" s="58">
        <f t="shared" si="218"/>
        <v>0</v>
      </c>
      <c r="O477" s="58">
        <f>SUMIF('Direct labour(직접노무비)'!$C$12:$C$503,'In-out-bal products (155)(완성제품)'!B477,'Direct labour(직접노무비)'!$U$12:$U$503)+SUMIF('Overhead exp(제조경비)'!$C$12:$C$503,'In-out-bal products (155)(완성제품)'!B477,'Overhead exp(제조경비)'!$U$12:$U$503)</f>
        <v>0</v>
      </c>
      <c r="P477" s="60">
        <f t="shared" si="219"/>
        <v>0</v>
      </c>
      <c r="Q477" s="60">
        <f t="shared" si="220"/>
        <v>0</v>
      </c>
      <c r="R477" s="60">
        <f t="shared" si="221"/>
        <v>0</v>
      </c>
      <c r="S477" s="58">
        <v>0</v>
      </c>
      <c r="T477" s="58">
        <v>0</v>
      </c>
      <c r="U477" s="58">
        <v>0</v>
      </c>
      <c r="V477" s="58">
        <f>SUMIF('JUNE (물량흐름)'!$C$13:$C$493,'In-out-bal products (155)(완성제품)'!B477,'JUNE (물량흐름)'!$W$13:$W$493)</f>
        <v>0</v>
      </c>
      <c r="W477" s="58">
        <f t="shared" si="222"/>
        <v>0</v>
      </c>
      <c r="X477" s="58">
        <f t="shared" si="233"/>
        <v>0</v>
      </c>
      <c r="Y477" s="58">
        <f>SUMIF('JUNE (물량흐름)'!$C$13:$C$488,'In-out-bal products (155)(완성제품)'!B477,'JUNE (물량흐름)'!$X$13:$X$488)</f>
        <v>0</v>
      </c>
      <c r="Z477" s="58">
        <f t="shared" si="223"/>
        <v>0</v>
      </c>
      <c r="AA477" s="58">
        <f t="shared" si="224"/>
        <v>0</v>
      </c>
      <c r="AB477" s="58"/>
      <c r="AC477" s="58"/>
      <c r="AD477" s="61"/>
      <c r="AE477" s="58">
        <f t="shared" si="225"/>
        <v>0</v>
      </c>
      <c r="AF477" s="58">
        <f t="shared" si="226"/>
        <v>0</v>
      </c>
      <c r="AG477" s="61">
        <f t="shared" si="227"/>
        <v>0</v>
      </c>
      <c r="AH477" s="58">
        <v>0</v>
      </c>
      <c r="AI477" s="58">
        <v>0</v>
      </c>
      <c r="AJ477" s="61">
        <v>0</v>
      </c>
      <c r="AK477" s="58"/>
      <c r="AL477" s="58"/>
      <c r="AM477" s="61"/>
      <c r="AN477" s="61">
        <f t="shared" si="243"/>
        <v>0</v>
      </c>
      <c r="AO477" s="58">
        <f t="shared" si="234"/>
        <v>0</v>
      </c>
      <c r="AP477" s="61">
        <f t="shared" si="235"/>
        <v>0</v>
      </c>
      <c r="AQ477" s="58">
        <f t="shared" si="228"/>
        <v>0</v>
      </c>
      <c r="AR477" s="58">
        <f t="shared" si="229"/>
        <v>0</v>
      </c>
      <c r="AS477" s="58">
        <f t="shared" si="230"/>
        <v>0</v>
      </c>
      <c r="AT477" s="58">
        <f>ROUND(SUMIF('JUNE (물량흐름)'!$C$13:$C$502,'In-out-bal products (155)(완성제품)'!B477,'JUNE (물량흐름)'!$AB$13:$AB$502),0)</f>
        <v>0</v>
      </c>
      <c r="AU477" s="58">
        <f t="shared" si="231"/>
        <v>0</v>
      </c>
      <c r="AV477" s="58">
        <f>ROUND(SUMIF('JUNE (물량흐름)'!$C$13:$C$502,'In-out-bal products (155)(완성제품)'!B477,'JUNE (물량흐름)'!$AC$13:$AC$502),0)</f>
        <v>0</v>
      </c>
      <c r="AW477" s="58">
        <f t="shared" si="232"/>
        <v>0</v>
      </c>
      <c r="AX477" s="376">
        <f t="shared" si="236"/>
        <v>0</v>
      </c>
      <c r="AY477" s="377">
        <f t="shared" si="237"/>
        <v>0</v>
      </c>
      <c r="AZ477" s="377">
        <f t="shared" si="238"/>
        <v>0</v>
      </c>
      <c r="BA477" s="377">
        <f t="shared" si="239"/>
        <v>0</v>
      </c>
      <c r="BB477" s="377"/>
      <c r="BC477" s="377">
        <f t="shared" si="240"/>
        <v>0</v>
      </c>
      <c r="BD477" s="377">
        <f t="shared" si="241"/>
        <v>0</v>
      </c>
      <c r="BE477" s="377"/>
      <c r="BF477" s="377">
        <f t="shared" si="242"/>
        <v>0</v>
      </c>
      <c r="BG477" s="433"/>
      <c r="BH477" s="434"/>
    </row>
    <row r="478" spans="1:60" s="378" customFormat="1">
      <c r="A478" s="167">
        <v>489</v>
      </c>
      <c r="B478" s="253" t="str">
        <f>VLOOKUP(A478,'JUNE (물량흐름)'!$A$13:$C$493,3,0)</f>
        <v>6X717</v>
      </c>
      <c r="C478" s="57" t="str">
        <f>VLOOKUP(A478,'JUNE (물량흐름)'!$A$13:$C$493,2,0)</f>
        <v>ALFANI</v>
      </c>
      <c r="D478" s="58">
        <f>IFERROR(VLOOKUP(B478,O.B.JUNE!$V$7:$Y$448,2,0),0)</f>
        <v>0</v>
      </c>
      <c r="E478" s="58">
        <f>IFERROR(VLOOKUP(B478,O.B.JUNE!$V$7:$X$448,3,0),0)</f>
        <v>0</v>
      </c>
      <c r="F478" s="58">
        <f>IFERROR(VLOOKUP(B478,O.B.JUNE!$V$7:$Y$448,4,0),0)</f>
        <v>0</v>
      </c>
      <c r="G478" s="58">
        <f>SUMIF('JUNE (물량흐름)'!$C$13:$C$493,'In-out-bal products (155)(완성제품)'!B478,'JUNE (물량흐름)'!$V$13:$V$493)</f>
        <v>0</v>
      </c>
      <c r="H478" s="58">
        <f>SUMIF('JUNE (물량흐름)'!$C$13:$C$493,'In-out-bal products (155)(완성제품)'!B478,'JUNE (물량흐름)'!$T$13:$T$493)-SUMIF('JUNE (물량흐름)'!$C$13:$C$493,'In-out-bal products (155)(완성제품)'!B478,'JUNE (물량흐름)'!$Y$13:$Y$493)+SUMIF('JUNE (물량흐름)'!$C$13:$C$493,'In-out-bal products (155)(완성제품)'!B478,'JUNE (물량흐름)'!$U$13:$U$493)</f>
        <v>6817</v>
      </c>
      <c r="I478" s="58">
        <f t="shared" si="216"/>
        <v>36471.811060583837</v>
      </c>
      <c r="J478" s="58">
        <f>SUMIF('Direct labour(직접노무비)'!$C$12:$C$503,'In-out-bal products (155)(완성제품)'!B478,'Direct labour(직접노무비)'!$Q$12:$Q$503)</f>
        <v>84174122</v>
      </c>
      <c r="K478" s="59">
        <f>SUMIF('Overhead exp(제조경비)'!$C$12:$C$503,'In-out-bal products (155)(완성제품)'!B478,'Overhead exp(제조경비)'!$Q$12:$Q$503)</f>
        <v>164454214</v>
      </c>
      <c r="L478" s="58">
        <f t="shared" si="217"/>
        <v>248628336</v>
      </c>
      <c r="M478" s="58">
        <f>SUMIF('JUNE (물량흐름)'!$C$13:$C$488,'In-out-bal products (155)(완성제품)'!B478,'JUNE (물량흐름)'!$Y$13:$Y$488)</f>
        <v>0</v>
      </c>
      <c r="N478" s="58">
        <f t="shared" si="218"/>
        <v>0</v>
      </c>
      <c r="O478" s="58">
        <f>SUMIF('Direct labour(직접노무비)'!$C$12:$C$503,'In-out-bal products (155)(완성제품)'!B478,'Direct labour(직접노무비)'!$U$12:$U$503)+SUMIF('Overhead exp(제조경비)'!$C$12:$C$503,'In-out-bal products (155)(완성제품)'!B478,'Overhead exp(제조경비)'!$U$12:$U$503)</f>
        <v>0</v>
      </c>
      <c r="P478" s="60">
        <f t="shared" si="219"/>
        <v>6817</v>
      </c>
      <c r="Q478" s="60">
        <f t="shared" si="220"/>
        <v>36471.811060583837</v>
      </c>
      <c r="R478" s="60">
        <f t="shared" si="221"/>
        <v>248628336</v>
      </c>
      <c r="S478" s="58">
        <v>0</v>
      </c>
      <c r="T478" s="58">
        <v>0</v>
      </c>
      <c r="U478" s="58">
        <v>0</v>
      </c>
      <c r="V478" s="58">
        <f>SUMIF('JUNE (물량흐름)'!$C$13:$C$493,'In-out-bal products (155)(완성제품)'!B478,'JUNE (물량흐름)'!$W$13:$W$493)</f>
        <v>0</v>
      </c>
      <c r="W478" s="58">
        <f t="shared" si="222"/>
        <v>0</v>
      </c>
      <c r="X478" s="58">
        <f t="shared" si="233"/>
        <v>0</v>
      </c>
      <c r="Y478" s="58">
        <f>SUMIF('JUNE (물량흐름)'!$C$13:$C$488,'In-out-bal products (155)(완성제품)'!B478,'JUNE (물량흐름)'!$X$13:$X$488)</f>
        <v>0</v>
      </c>
      <c r="Z478" s="58">
        <f t="shared" si="223"/>
        <v>0</v>
      </c>
      <c r="AA478" s="58">
        <f t="shared" si="224"/>
        <v>0</v>
      </c>
      <c r="AB478" s="58"/>
      <c r="AC478" s="58"/>
      <c r="AD478" s="61"/>
      <c r="AE478" s="58">
        <f t="shared" si="225"/>
        <v>0</v>
      </c>
      <c r="AF478" s="58">
        <f t="shared" si="226"/>
        <v>0</v>
      </c>
      <c r="AG478" s="61">
        <f t="shared" si="227"/>
        <v>0</v>
      </c>
      <c r="AH478" s="58">
        <v>0</v>
      </c>
      <c r="AI478" s="58">
        <v>0</v>
      </c>
      <c r="AJ478" s="61">
        <v>0</v>
      </c>
      <c r="AK478" s="58"/>
      <c r="AL478" s="58"/>
      <c r="AM478" s="61"/>
      <c r="AN478" s="61">
        <f t="shared" si="243"/>
        <v>0</v>
      </c>
      <c r="AO478" s="58">
        <f t="shared" si="234"/>
        <v>0</v>
      </c>
      <c r="AP478" s="61">
        <f t="shared" si="235"/>
        <v>0</v>
      </c>
      <c r="AQ478" s="58">
        <f t="shared" si="228"/>
        <v>6817</v>
      </c>
      <c r="AR478" s="58">
        <f t="shared" si="229"/>
        <v>36471.811060583837</v>
      </c>
      <c r="AS478" s="58">
        <f t="shared" si="230"/>
        <v>248628336</v>
      </c>
      <c r="AT478" s="58">
        <f>ROUND(SUMIF('JUNE (물량흐름)'!$C$13:$C$502,'In-out-bal products (155)(완성제품)'!B478,'JUNE (물량흐름)'!$AB$13:$AB$502),0)</f>
        <v>6817</v>
      </c>
      <c r="AU478" s="58">
        <f t="shared" si="231"/>
        <v>248628336</v>
      </c>
      <c r="AV478" s="58">
        <f>ROUND(SUMIF('JUNE (물량흐름)'!$C$13:$C$502,'In-out-bal products (155)(완성제품)'!B478,'JUNE (물량흐름)'!$AC$13:$AC$502),0)</f>
        <v>0</v>
      </c>
      <c r="AW478" s="58">
        <f t="shared" si="232"/>
        <v>0</v>
      </c>
      <c r="AX478" s="376">
        <f t="shared" si="236"/>
        <v>0</v>
      </c>
      <c r="AY478" s="377">
        <f t="shared" si="237"/>
        <v>0</v>
      </c>
      <c r="AZ478" s="377">
        <f t="shared" si="238"/>
        <v>0</v>
      </c>
      <c r="BA478" s="377">
        <f t="shared" si="239"/>
        <v>0</v>
      </c>
      <c r="BB478" s="377"/>
      <c r="BC478" s="377">
        <f t="shared" si="240"/>
        <v>0</v>
      </c>
      <c r="BD478" s="377">
        <f t="shared" si="241"/>
        <v>0</v>
      </c>
      <c r="BE478" s="377"/>
      <c r="BF478" s="377">
        <f t="shared" si="242"/>
        <v>0</v>
      </c>
      <c r="BG478" s="433"/>
      <c r="BH478" s="434"/>
    </row>
    <row r="479" spans="1:60" s="378" customFormat="1">
      <c r="A479" s="167">
        <v>490</v>
      </c>
      <c r="B479" s="253" t="str">
        <f>VLOOKUP(A479,'JUNE (물량흐름)'!$A$13:$C$493,3,0)</f>
        <v>7X721</v>
      </c>
      <c r="C479" s="57" t="str">
        <f>VLOOKUP(A479,'JUNE (물량흐름)'!$A$13:$C$493,2,0)</f>
        <v>ALFANI</v>
      </c>
      <c r="D479" s="58">
        <f>IFERROR(VLOOKUP(B479,O.B.JUNE!$V$7:$Y$448,2,0),0)</f>
        <v>0</v>
      </c>
      <c r="E479" s="58">
        <f>IFERROR(VLOOKUP(B479,O.B.JUNE!$V$7:$X$448,3,0),0)</f>
        <v>0</v>
      </c>
      <c r="F479" s="58">
        <f>IFERROR(VLOOKUP(B479,O.B.JUNE!$V$7:$Y$448,4,0),0)</f>
        <v>0</v>
      </c>
      <c r="G479" s="58">
        <f>SUMIF('JUNE (물량흐름)'!$C$13:$C$493,'In-out-bal products (155)(완성제품)'!B479,'JUNE (물량흐름)'!$V$13:$V$493)</f>
        <v>0</v>
      </c>
      <c r="H479" s="58">
        <f>SUMIF('JUNE (물량흐름)'!$C$13:$C$493,'In-out-bal products (155)(완성제품)'!B479,'JUNE (물량흐름)'!$T$13:$T$493)-SUMIF('JUNE (물량흐름)'!$C$13:$C$493,'In-out-bal products (155)(완성제품)'!B479,'JUNE (물량흐름)'!$Y$13:$Y$493)+SUMIF('JUNE (물량흐름)'!$C$13:$C$493,'In-out-bal products (155)(완성제품)'!B479,'JUNE (물량흐름)'!$U$13:$U$493)</f>
        <v>1331</v>
      </c>
      <c r="I479" s="58">
        <f t="shared" si="216"/>
        <v>44153.77385424493</v>
      </c>
      <c r="J479" s="58">
        <f>SUMIF('Direct labour(직접노무비)'!$C$12:$C$503,'In-out-bal products (155)(완성제품)'!B479,'Direct labour(직접노무비)'!$Q$12:$Q$503)</f>
        <v>19896370</v>
      </c>
      <c r="K479" s="59">
        <f>SUMIF('Overhead exp(제조경비)'!$C$12:$C$503,'In-out-bal products (155)(완성제품)'!B479,'Overhead exp(제조경비)'!$Q$12:$Q$503)</f>
        <v>38872303</v>
      </c>
      <c r="L479" s="58">
        <f t="shared" si="217"/>
        <v>58768673</v>
      </c>
      <c r="M479" s="58">
        <f>SUMIF('JUNE (물량흐름)'!$C$13:$C$488,'In-out-bal products (155)(완성제품)'!B479,'JUNE (물량흐름)'!$Y$13:$Y$488)</f>
        <v>0</v>
      </c>
      <c r="N479" s="58">
        <f t="shared" si="218"/>
        <v>0</v>
      </c>
      <c r="O479" s="58">
        <f>SUMIF('Direct labour(직접노무비)'!$C$12:$C$503,'In-out-bal products (155)(완성제품)'!B479,'Direct labour(직접노무비)'!$U$12:$U$503)+SUMIF('Overhead exp(제조경비)'!$C$12:$C$503,'In-out-bal products (155)(완성제품)'!B479,'Overhead exp(제조경비)'!$U$12:$U$503)</f>
        <v>0</v>
      </c>
      <c r="P479" s="60">
        <f t="shared" si="219"/>
        <v>1331</v>
      </c>
      <c r="Q479" s="60">
        <f t="shared" si="220"/>
        <v>44153.77385424493</v>
      </c>
      <c r="R479" s="60">
        <f t="shared" si="221"/>
        <v>58768673</v>
      </c>
      <c r="S479" s="58">
        <v>0</v>
      </c>
      <c r="T479" s="58">
        <v>0</v>
      </c>
      <c r="U479" s="58">
        <v>0</v>
      </c>
      <c r="V479" s="58">
        <f>SUMIF('JUNE (물량흐름)'!$C$13:$C$493,'In-out-bal products (155)(완성제품)'!B479,'JUNE (물량흐름)'!$W$13:$W$493)</f>
        <v>0</v>
      </c>
      <c r="W479" s="58">
        <f t="shared" si="222"/>
        <v>0</v>
      </c>
      <c r="X479" s="58">
        <f t="shared" si="233"/>
        <v>0</v>
      </c>
      <c r="Y479" s="58">
        <f>SUMIF('JUNE (물량흐름)'!$C$13:$C$488,'In-out-bal products (155)(완성제품)'!B479,'JUNE (물량흐름)'!$X$13:$X$488)</f>
        <v>0</v>
      </c>
      <c r="Z479" s="58">
        <f t="shared" si="223"/>
        <v>0</v>
      </c>
      <c r="AA479" s="58">
        <f t="shared" si="224"/>
        <v>0</v>
      </c>
      <c r="AB479" s="58"/>
      <c r="AC479" s="58"/>
      <c r="AD479" s="61"/>
      <c r="AE479" s="58">
        <f t="shared" si="225"/>
        <v>0</v>
      </c>
      <c r="AF479" s="58">
        <f t="shared" si="226"/>
        <v>0</v>
      </c>
      <c r="AG479" s="61">
        <f t="shared" si="227"/>
        <v>0</v>
      </c>
      <c r="AH479" s="58">
        <v>0</v>
      </c>
      <c r="AI479" s="58">
        <v>0</v>
      </c>
      <c r="AJ479" s="61">
        <v>0</v>
      </c>
      <c r="AK479" s="58"/>
      <c r="AL479" s="58"/>
      <c r="AM479" s="61"/>
      <c r="AN479" s="61">
        <f t="shared" si="243"/>
        <v>0</v>
      </c>
      <c r="AO479" s="58">
        <f t="shared" si="234"/>
        <v>0</v>
      </c>
      <c r="AP479" s="61">
        <f t="shared" si="235"/>
        <v>0</v>
      </c>
      <c r="AQ479" s="58">
        <f t="shared" si="228"/>
        <v>1331</v>
      </c>
      <c r="AR479" s="58">
        <f t="shared" si="229"/>
        <v>44153.77385424493</v>
      </c>
      <c r="AS479" s="58">
        <f t="shared" si="230"/>
        <v>58768673</v>
      </c>
      <c r="AT479" s="58">
        <f>ROUND(SUMIF('JUNE (물량흐름)'!$C$13:$C$502,'In-out-bal products (155)(완성제품)'!B479,'JUNE (물량흐름)'!$AB$13:$AB$502),0)</f>
        <v>1331</v>
      </c>
      <c r="AU479" s="58">
        <f t="shared" si="231"/>
        <v>58768673</v>
      </c>
      <c r="AV479" s="58">
        <f>ROUND(SUMIF('JUNE (물량흐름)'!$C$13:$C$502,'In-out-bal products (155)(완성제품)'!B479,'JUNE (물량흐름)'!$AC$13:$AC$502),0)</f>
        <v>0</v>
      </c>
      <c r="AW479" s="58">
        <f t="shared" si="232"/>
        <v>0</v>
      </c>
      <c r="AX479" s="376">
        <f t="shared" si="236"/>
        <v>0</v>
      </c>
      <c r="AY479" s="377">
        <f t="shared" si="237"/>
        <v>0</v>
      </c>
      <c r="AZ479" s="377">
        <f t="shared" si="238"/>
        <v>0</v>
      </c>
      <c r="BA479" s="377">
        <f t="shared" si="239"/>
        <v>0</v>
      </c>
      <c r="BB479" s="377"/>
      <c r="BC479" s="377">
        <f t="shared" si="240"/>
        <v>0</v>
      </c>
      <c r="BD479" s="377">
        <f t="shared" si="241"/>
        <v>0</v>
      </c>
      <c r="BE479" s="377"/>
      <c r="BF479" s="377">
        <f t="shared" si="242"/>
        <v>0</v>
      </c>
      <c r="BG479" s="433"/>
      <c r="BH479" s="434"/>
    </row>
    <row r="480" spans="1:60" s="378" customFormat="1">
      <c r="A480" s="167">
        <v>491</v>
      </c>
      <c r="B480" s="253">
        <f>VLOOKUP(A480,'JUNE (물량흐름)'!$A$13:$C$493,3,0)</f>
        <v>100035724</v>
      </c>
      <c r="C480" s="57" t="str">
        <f>VLOOKUP(A480,'JUNE (물량흐름)'!$A$13:$C$493,2,0)</f>
        <v>BAR III</v>
      </c>
      <c r="D480" s="58">
        <f>IFERROR(VLOOKUP(B480,O.B.JUNE!$V$7:$Y$448,2,0),0)</f>
        <v>0</v>
      </c>
      <c r="E480" s="58">
        <f>IFERROR(VLOOKUP(B480,O.B.JUNE!$V$7:$X$448,3,0),0)</f>
        <v>0</v>
      </c>
      <c r="F480" s="58">
        <f>IFERROR(VLOOKUP(B480,O.B.JUNE!$V$7:$Y$448,4,0),0)</f>
        <v>0</v>
      </c>
      <c r="G480" s="58">
        <f>SUMIF('JUNE (물량흐름)'!$C$13:$C$493,'In-out-bal products (155)(완성제품)'!B480,'JUNE (물량흐름)'!$V$13:$V$493)</f>
        <v>0</v>
      </c>
      <c r="H480" s="58">
        <f>SUMIF('JUNE (물량흐름)'!$C$13:$C$493,'In-out-bal products (155)(완성제품)'!B480,'JUNE (물량흐름)'!$T$13:$T$493)-SUMIF('JUNE (물량흐름)'!$C$13:$C$493,'In-out-bal products (155)(완성제품)'!B480,'JUNE (물량흐름)'!$Y$13:$Y$493)+SUMIF('JUNE (물량흐름)'!$C$13:$C$493,'In-out-bal products (155)(완성제품)'!B480,'JUNE (물량흐름)'!$U$13:$U$493)</f>
        <v>0</v>
      </c>
      <c r="I480" s="58">
        <f t="shared" si="216"/>
        <v>0</v>
      </c>
      <c r="J480" s="58">
        <f>SUMIF('Direct labour(직접노무비)'!$C$12:$C$503,'In-out-bal products (155)(완성제품)'!B480,'Direct labour(직접노무비)'!$Q$12:$Q$503)</f>
        <v>0</v>
      </c>
      <c r="K480" s="59">
        <f>SUMIF('Overhead exp(제조경비)'!$C$12:$C$503,'In-out-bal products (155)(완성제품)'!B480,'Overhead exp(제조경비)'!$Q$12:$Q$503)</f>
        <v>0</v>
      </c>
      <c r="L480" s="58">
        <f t="shared" si="217"/>
        <v>0</v>
      </c>
      <c r="M480" s="58">
        <f>SUMIF('JUNE (물량흐름)'!$C$13:$C$488,'In-out-bal products (155)(완성제품)'!B480,'JUNE (물량흐름)'!$Y$13:$Y$488)</f>
        <v>0</v>
      </c>
      <c r="N480" s="58">
        <f t="shared" si="218"/>
        <v>0</v>
      </c>
      <c r="O480" s="58">
        <f>SUMIF('Direct labour(직접노무비)'!$C$12:$C$503,'In-out-bal products (155)(완성제품)'!B480,'Direct labour(직접노무비)'!$U$12:$U$503)+SUMIF('Overhead exp(제조경비)'!$C$12:$C$503,'In-out-bal products (155)(완성제품)'!B480,'Overhead exp(제조경비)'!$U$12:$U$503)</f>
        <v>0</v>
      </c>
      <c r="P480" s="60">
        <f t="shared" si="219"/>
        <v>0</v>
      </c>
      <c r="Q480" s="60">
        <f t="shared" si="220"/>
        <v>0</v>
      </c>
      <c r="R480" s="60">
        <f t="shared" si="221"/>
        <v>0</v>
      </c>
      <c r="S480" s="58">
        <v>0</v>
      </c>
      <c r="T480" s="58">
        <v>0</v>
      </c>
      <c r="U480" s="58">
        <v>0</v>
      </c>
      <c r="V480" s="58">
        <f>SUMIF('JUNE (물량흐름)'!$C$13:$C$493,'In-out-bal products (155)(완성제품)'!B480,'JUNE (물량흐름)'!$W$13:$W$493)</f>
        <v>0</v>
      </c>
      <c r="W480" s="58">
        <f t="shared" si="222"/>
        <v>0</v>
      </c>
      <c r="X480" s="58">
        <f t="shared" si="233"/>
        <v>0</v>
      </c>
      <c r="Y480" s="58">
        <f>SUMIF('JUNE (물량흐름)'!$C$13:$C$488,'In-out-bal products (155)(완성제품)'!B480,'JUNE (물량흐름)'!$X$13:$X$488)</f>
        <v>0</v>
      </c>
      <c r="Z480" s="58">
        <f t="shared" si="223"/>
        <v>0</v>
      </c>
      <c r="AA480" s="58">
        <f t="shared" si="224"/>
        <v>0</v>
      </c>
      <c r="AB480" s="58"/>
      <c r="AC480" s="58"/>
      <c r="AD480" s="61"/>
      <c r="AE480" s="58">
        <f t="shared" si="225"/>
        <v>0</v>
      </c>
      <c r="AF480" s="58">
        <f t="shared" si="226"/>
        <v>0</v>
      </c>
      <c r="AG480" s="61">
        <f t="shared" si="227"/>
        <v>0</v>
      </c>
      <c r="AH480" s="58">
        <v>0</v>
      </c>
      <c r="AI480" s="58">
        <v>0</v>
      </c>
      <c r="AJ480" s="61">
        <v>0</v>
      </c>
      <c r="AK480" s="58"/>
      <c r="AL480" s="58"/>
      <c r="AM480" s="61"/>
      <c r="AN480" s="61">
        <f t="shared" si="243"/>
        <v>0</v>
      </c>
      <c r="AO480" s="58">
        <f t="shared" si="234"/>
        <v>0</v>
      </c>
      <c r="AP480" s="61">
        <f t="shared" si="235"/>
        <v>0</v>
      </c>
      <c r="AQ480" s="58">
        <f t="shared" si="228"/>
        <v>0</v>
      </c>
      <c r="AR480" s="58">
        <f t="shared" si="229"/>
        <v>0</v>
      </c>
      <c r="AS480" s="58">
        <f t="shared" si="230"/>
        <v>0</v>
      </c>
      <c r="AT480" s="58">
        <f>ROUND(SUMIF('JUNE (물량흐름)'!$C$13:$C$502,'In-out-bal products (155)(완성제품)'!B480,'JUNE (물량흐름)'!$AB$13:$AB$502),0)</f>
        <v>0</v>
      </c>
      <c r="AU480" s="58">
        <f t="shared" si="231"/>
        <v>0</v>
      </c>
      <c r="AV480" s="58">
        <f>ROUND(SUMIF('JUNE (물량흐름)'!$C$13:$C$502,'In-out-bal products (155)(완성제품)'!B480,'JUNE (물량흐름)'!$AC$13:$AC$502),0)</f>
        <v>0</v>
      </c>
      <c r="AW480" s="58">
        <f t="shared" si="232"/>
        <v>0</v>
      </c>
      <c r="AX480" s="376">
        <f t="shared" si="236"/>
        <v>0</v>
      </c>
      <c r="AY480" s="377">
        <f t="shared" si="237"/>
        <v>0</v>
      </c>
      <c r="AZ480" s="377">
        <f t="shared" si="238"/>
        <v>0</v>
      </c>
      <c r="BA480" s="377">
        <f t="shared" si="239"/>
        <v>0</v>
      </c>
      <c r="BB480" s="377"/>
      <c r="BC480" s="377">
        <f t="shared" si="240"/>
        <v>0</v>
      </c>
      <c r="BD480" s="377">
        <f t="shared" si="241"/>
        <v>0</v>
      </c>
      <c r="BE480" s="377"/>
      <c r="BF480" s="377">
        <f t="shared" si="242"/>
        <v>0</v>
      </c>
      <c r="BG480" s="433"/>
      <c r="BH480" s="434"/>
    </row>
    <row r="481" spans="1:60" s="378" customFormat="1">
      <c r="A481" s="167">
        <v>492</v>
      </c>
      <c r="B481" s="253" t="str">
        <f>VLOOKUP(A481,'JUNE (물량흐름)'!$A$13:$C$493,3,0)</f>
        <v>F8SOQ-T4368</v>
      </c>
      <c r="C481" s="57" t="str">
        <f>VLOOKUP(A481,'JUNE (물량흐름)'!$A$13:$C$493,2,0)</f>
        <v>EILEEN FISHER</v>
      </c>
      <c r="D481" s="58">
        <f>IFERROR(VLOOKUP(B481,O.B.JUNE!$V$7:$Y$448,2,0),0)</f>
        <v>0</v>
      </c>
      <c r="E481" s="58">
        <f>IFERROR(VLOOKUP(B481,O.B.JUNE!$V$7:$X$448,3,0),0)</f>
        <v>0</v>
      </c>
      <c r="F481" s="58">
        <f>IFERROR(VLOOKUP(B481,O.B.JUNE!$V$7:$Y$448,4,0),0)</f>
        <v>0</v>
      </c>
      <c r="G481" s="58">
        <f>SUMIF('JUNE (물량흐름)'!$C$13:$C$493,'In-out-bal products (155)(완성제품)'!B481,'JUNE (물량흐름)'!$V$13:$V$493)</f>
        <v>0</v>
      </c>
      <c r="H481" s="58">
        <f>SUMIF('JUNE (물량흐름)'!$C$13:$C$493,'In-out-bal products (155)(완성제품)'!B481,'JUNE (물량흐름)'!$T$13:$T$493)-SUMIF('JUNE (물량흐름)'!$C$13:$C$493,'In-out-bal products (155)(완성제품)'!B481,'JUNE (물량흐름)'!$Y$13:$Y$493)+SUMIF('JUNE (물량흐름)'!$C$13:$C$493,'In-out-bal products (155)(완성제품)'!B481,'JUNE (물량흐름)'!$U$13:$U$493)</f>
        <v>6317</v>
      </c>
      <c r="I481" s="58">
        <f t="shared" si="216"/>
        <v>52842.538230172548</v>
      </c>
      <c r="J481" s="58">
        <f>SUMIF('Direct labour(직접노무비)'!$C$12:$C$503,'In-out-bal products (155)(완성제품)'!B481,'Direct labour(직접노무비)'!$Q$12:$Q$503)</f>
        <v>113011468</v>
      </c>
      <c r="K481" s="59">
        <f>SUMIF('Overhead exp(제조경비)'!$C$12:$C$503,'In-out-bal products (155)(완성제품)'!B481,'Overhead exp(제조경비)'!$Q$12:$Q$503)</f>
        <v>220794846</v>
      </c>
      <c r="L481" s="58">
        <f t="shared" si="217"/>
        <v>333806314</v>
      </c>
      <c r="M481" s="58">
        <f>SUMIF('JUNE (물량흐름)'!$C$13:$C$488,'In-out-bal products (155)(완성제품)'!B481,'JUNE (물량흐름)'!$Y$13:$Y$488)</f>
        <v>1</v>
      </c>
      <c r="N481" s="58">
        <f t="shared" si="218"/>
        <v>52842</v>
      </c>
      <c r="O481" s="58">
        <f>SUMIF('Direct labour(직접노무비)'!$C$12:$C$503,'In-out-bal products (155)(완성제품)'!B481,'Direct labour(직접노무비)'!$U$12:$U$503)+SUMIF('Overhead exp(제조경비)'!$C$12:$C$503,'In-out-bal products (155)(완성제품)'!B481,'Overhead exp(제조경비)'!$U$12:$U$503)</f>
        <v>52842</v>
      </c>
      <c r="P481" s="60">
        <f t="shared" si="219"/>
        <v>6318</v>
      </c>
      <c r="Q481" s="60">
        <f t="shared" si="220"/>
        <v>52842.538144982587</v>
      </c>
      <c r="R481" s="60">
        <f t="shared" si="221"/>
        <v>333859156</v>
      </c>
      <c r="S481" s="58">
        <v>0</v>
      </c>
      <c r="T481" s="58">
        <v>0</v>
      </c>
      <c r="U481" s="58">
        <v>0</v>
      </c>
      <c r="V481" s="58">
        <f>SUMIF('JUNE (물량흐름)'!$C$13:$C$493,'In-out-bal products (155)(완성제품)'!B481,'JUNE (물량흐름)'!$W$13:$W$493)</f>
        <v>4972</v>
      </c>
      <c r="W481" s="58">
        <f t="shared" si="222"/>
        <v>52842.538213998392</v>
      </c>
      <c r="X481" s="58">
        <f t="shared" si="233"/>
        <v>262733100</v>
      </c>
      <c r="Y481" s="58">
        <f>SUMIF('JUNE (물량흐름)'!$C$13:$C$488,'In-out-bal products (155)(완성제품)'!B481,'JUNE (물량흐름)'!$X$13:$X$488)</f>
        <v>0</v>
      </c>
      <c r="Z481" s="58">
        <f t="shared" si="223"/>
        <v>0</v>
      </c>
      <c r="AA481" s="58">
        <f t="shared" si="224"/>
        <v>0</v>
      </c>
      <c r="AB481" s="58"/>
      <c r="AC481" s="58"/>
      <c r="AD481" s="61"/>
      <c r="AE481" s="58">
        <f t="shared" si="225"/>
        <v>1</v>
      </c>
      <c r="AF481" s="58">
        <f t="shared" si="226"/>
        <v>52842</v>
      </c>
      <c r="AG481" s="61">
        <f t="shared" si="227"/>
        <v>52842</v>
      </c>
      <c r="AH481" s="58">
        <v>0</v>
      </c>
      <c r="AI481" s="58">
        <v>0</v>
      </c>
      <c r="AJ481" s="61">
        <v>0</v>
      </c>
      <c r="AK481" s="58"/>
      <c r="AL481" s="58"/>
      <c r="AM481" s="61"/>
      <c r="AN481" s="61">
        <f t="shared" si="243"/>
        <v>4973</v>
      </c>
      <c r="AO481" s="58">
        <f t="shared" si="234"/>
        <v>52842.538105771164</v>
      </c>
      <c r="AP481" s="61">
        <f t="shared" si="235"/>
        <v>262785942</v>
      </c>
      <c r="AQ481" s="58">
        <f t="shared" si="228"/>
        <v>1345</v>
      </c>
      <c r="AR481" s="58">
        <f t="shared" si="229"/>
        <v>52842.538289962824</v>
      </c>
      <c r="AS481" s="58">
        <f t="shared" si="230"/>
        <v>71073214</v>
      </c>
      <c r="AT481" s="58">
        <f>ROUND(SUMIF('JUNE (물량흐름)'!$C$13:$C$502,'In-out-bal products (155)(완성제품)'!B481,'JUNE (물량흐름)'!$AB$13:$AB$502),0)</f>
        <v>1345</v>
      </c>
      <c r="AU481" s="58">
        <f t="shared" si="231"/>
        <v>71073214</v>
      </c>
      <c r="AV481" s="58">
        <f>ROUND(SUMIF('JUNE (물량흐름)'!$C$13:$C$502,'In-out-bal products (155)(완성제품)'!B481,'JUNE (물량흐름)'!$AC$13:$AC$502),0)</f>
        <v>0</v>
      </c>
      <c r="AW481" s="58">
        <f t="shared" si="232"/>
        <v>0</v>
      </c>
      <c r="AX481" s="376">
        <f t="shared" si="236"/>
        <v>0</v>
      </c>
      <c r="AY481" s="377">
        <f t="shared" si="237"/>
        <v>0</v>
      </c>
      <c r="AZ481" s="377">
        <f t="shared" si="238"/>
        <v>0</v>
      </c>
      <c r="BA481" s="377">
        <f t="shared" si="239"/>
        <v>0</v>
      </c>
      <c r="BB481" s="377"/>
      <c r="BC481" s="377">
        <f t="shared" si="240"/>
        <v>0</v>
      </c>
      <c r="BD481" s="377">
        <f t="shared" si="241"/>
        <v>0</v>
      </c>
      <c r="BE481" s="377"/>
      <c r="BF481" s="377">
        <f t="shared" si="242"/>
        <v>0</v>
      </c>
      <c r="BG481" s="433"/>
      <c r="BH481" s="434"/>
    </row>
    <row r="482" spans="1:60" s="378" customFormat="1">
      <c r="A482" s="167">
        <v>493</v>
      </c>
      <c r="B482" s="253" t="str">
        <f>VLOOKUP(A482,'JUNE (물량흐름)'!$A$13:$C$493,3,0)</f>
        <v>EESOQ-T4607</v>
      </c>
      <c r="C482" s="57" t="str">
        <f>VLOOKUP(A482,'JUNE (물량흐름)'!$A$13:$C$493,2,0)</f>
        <v>EILEEN FISHER</v>
      </c>
      <c r="D482" s="58">
        <f>IFERROR(VLOOKUP(B482,O.B.JUNE!$V$7:$Y$448,2,0),0)</f>
        <v>0</v>
      </c>
      <c r="E482" s="58">
        <f>IFERROR(VLOOKUP(B482,O.B.JUNE!$V$7:$X$448,3,0),0)</f>
        <v>0</v>
      </c>
      <c r="F482" s="58">
        <f>IFERROR(VLOOKUP(B482,O.B.JUNE!$V$7:$Y$448,4,0),0)</f>
        <v>0</v>
      </c>
      <c r="G482" s="58">
        <f>SUMIF('JUNE (물량흐름)'!$C$13:$C$493,'In-out-bal products (155)(완성제품)'!B482,'JUNE (물량흐름)'!$V$13:$V$493)</f>
        <v>0</v>
      </c>
      <c r="H482" s="58">
        <f>SUMIF('JUNE (물량흐름)'!$C$13:$C$493,'In-out-bal products (155)(완성제품)'!B482,'JUNE (물량흐름)'!$T$13:$T$493)-SUMIF('JUNE (물량흐름)'!$C$13:$C$493,'In-out-bal products (155)(완성제품)'!B482,'JUNE (물량흐름)'!$Y$13:$Y$493)+SUMIF('JUNE (물량흐름)'!$C$13:$C$493,'In-out-bal products (155)(완성제품)'!B482,'JUNE (물량흐름)'!$U$13:$U$493)</f>
        <v>804</v>
      </c>
      <c r="I482" s="58">
        <f t="shared" si="216"/>
        <v>127127.96393034825</v>
      </c>
      <c r="J482" s="58">
        <f>SUMIF('Direct labour(직접노무비)'!$C$12:$C$503,'In-out-bal products (155)(완성제품)'!B482,'Direct labour(직접노무비)'!$Q$12:$Q$503)</f>
        <v>34603905</v>
      </c>
      <c r="K482" s="59">
        <f>SUMIF('Overhead exp(제조경비)'!$C$12:$C$503,'In-out-bal products (155)(완성제품)'!B482,'Overhead exp(제조경비)'!$Q$12:$Q$503)</f>
        <v>67606978</v>
      </c>
      <c r="L482" s="58">
        <f t="shared" si="217"/>
        <v>102210883</v>
      </c>
      <c r="M482" s="58">
        <f>SUMIF('JUNE (물량흐름)'!$C$13:$C$488,'In-out-bal products (155)(완성제품)'!B482,'JUNE (물량흐름)'!$Y$13:$Y$488)</f>
        <v>21</v>
      </c>
      <c r="N482" s="58">
        <f t="shared" si="218"/>
        <v>127127.95238095238</v>
      </c>
      <c r="O482" s="58">
        <f>SUMIF('Direct labour(직접노무비)'!$C$12:$C$503,'In-out-bal products (155)(완성제품)'!B482,'Direct labour(직접노무비)'!$U$12:$U$503)+SUMIF('Overhead exp(제조경비)'!$C$12:$C$503,'In-out-bal products (155)(완성제품)'!B482,'Overhead exp(제조경비)'!$U$12:$U$503)</f>
        <v>2669687</v>
      </c>
      <c r="P482" s="60">
        <f t="shared" si="219"/>
        <v>825</v>
      </c>
      <c r="Q482" s="60">
        <f t="shared" si="220"/>
        <v>127127.96363636364</v>
      </c>
      <c r="R482" s="60">
        <f t="shared" si="221"/>
        <v>104880570</v>
      </c>
      <c r="S482" s="58">
        <v>0</v>
      </c>
      <c r="T482" s="58">
        <v>0</v>
      </c>
      <c r="U482" s="58">
        <v>0</v>
      </c>
      <c r="V482" s="58">
        <f>SUMIF('JUNE (물량흐름)'!$C$13:$C$493,'In-out-bal products (155)(완성제품)'!B482,'JUNE (물량흐름)'!$W$13:$W$493)</f>
        <v>804</v>
      </c>
      <c r="W482" s="58">
        <f t="shared" si="222"/>
        <v>127127.96393034825</v>
      </c>
      <c r="X482" s="58">
        <f t="shared" si="233"/>
        <v>102210883</v>
      </c>
      <c r="Y482" s="58">
        <f>SUMIF('JUNE (물량흐름)'!$C$13:$C$488,'In-out-bal products (155)(완성제품)'!B482,'JUNE (물량흐름)'!$X$13:$X$488)</f>
        <v>0</v>
      </c>
      <c r="Z482" s="58">
        <f t="shared" si="223"/>
        <v>0</v>
      </c>
      <c r="AA482" s="58">
        <f t="shared" si="224"/>
        <v>0</v>
      </c>
      <c r="AB482" s="58"/>
      <c r="AC482" s="58"/>
      <c r="AD482" s="61"/>
      <c r="AE482" s="58">
        <f t="shared" si="225"/>
        <v>21</v>
      </c>
      <c r="AF482" s="58">
        <f t="shared" si="226"/>
        <v>127127.95238095238</v>
      </c>
      <c r="AG482" s="61">
        <f t="shared" si="227"/>
        <v>2669687</v>
      </c>
      <c r="AH482" s="58">
        <v>0</v>
      </c>
      <c r="AI482" s="58">
        <v>0</v>
      </c>
      <c r="AJ482" s="61">
        <v>0</v>
      </c>
      <c r="AK482" s="58"/>
      <c r="AL482" s="58"/>
      <c r="AM482" s="61"/>
      <c r="AN482" s="61">
        <f t="shared" si="243"/>
        <v>825</v>
      </c>
      <c r="AO482" s="58">
        <f t="shared" si="234"/>
        <v>127127.96363636364</v>
      </c>
      <c r="AP482" s="61">
        <f t="shared" si="235"/>
        <v>104880570</v>
      </c>
      <c r="AQ482" s="58">
        <f t="shared" si="228"/>
        <v>0</v>
      </c>
      <c r="AR482" s="58">
        <f t="shared" si="229"/>
        <v>0</v>
      </c>
      <c r="AS482" s="58">
        <f t="shared" si="230"/>
        <v>0</v>
      </c>
      <c r="AT482" s="58">
        <f>ROUND(SUMIF('JUNE (물량흐름)'!$C$13:$C$502,'In-out-bal products (155)(완성제품)'!B482,'JUNE (물량흐름)'!$AB$13:$AB$502),0)</f>
        <v>0</v>
      </c>
      <c r="AU482" s="58">
        <f t="shared" si="231"/>
        <v>0</v>
      </c>
      <c r="AV482" s="58">
        <f>ROUND(SUMIF('JUNE (물량흐름)'!$C$13:$C$502,'In-out-bal products (155)(완성제품)'!B482,'JUNE (물량흐름)'!$AC$13:$AC$502),0)</f>
        <v>0</v>
      </c>
      <c r="AW482" s="58">
        <f t="shared" si="232"/>
        <v>0</v>
      </c>
      <c r="AX482" s="376">
        <f t="shared" si="236"/>
        <v>0</v>
      </c>
      <c r="AY482" s="377">
        <f t="shared" si="237"/>
        <v>0</v>
      </c>
      <c r="AZ482" s="377">
        <f t="shared" si="238"/>
        <v>0</v>
      </c>
      <c r="BA482" s="377">
        <f t="shared" si="239"/>
        <v>0</v>
      </c>
      <c r="BB482" s="377"/>
      <c r="BC482" s="377">
        <f t="shared" si="240"/>
        <v>0</v>
      </c>
      <c r="BD482" s="377">
        <f t="shared" si="241"/>
        <v>0</v>
      </c>
      <c r="BE482" s="377"/>
      <c r="BF482" s="377">
        <f t="shared" si="242"/>
        <v>0</v>
      </c>
      <c r="BG482" s="433"/>
      <c r="BH482" s="434"/>
    </row>
    <row r="483" spans="1:60" s="378" customFormat="1">
      <c r="A483" s="167">
        <v>494</v>
      </c>
      <c r="B483" s="253" t="str">
        <f>VLOOKUP(A483,'JUNE (물량흐름)'!$A$13:$C$493,3,0)</f>
        <v>KDR132731</v>
      </c>
      <c r="C483" s="57" t="str">
        <f>VLOOKUP(A483,'JUNE (물량흐름)'!$A$13:$C$493,2,0)</f>
        <v>J JILL</v>
      </c>
      <c r="D483" s="58">
        <f>IFERROR(VLOOKUP(B483,O.B.JUNE!$V$7:$Y$448,2,0),0)</f>
        <v>0</v>
      </c>
      <c r="E483" s="58">
        <f>IFERROR(VLOOKUP(B483,O.B.JUNE!$V$7:$X$448,3,0),0)</f>
        <v>0</v>
      </c>
      <c r="F483" s="58">
        <f>IFERROR(VLOOKUP(B483,O.B.JUNE!$V$7:$Y$448,4,0),0)</f>
        <v>0</v>
      </c>
      <c r="G483" s="58">
        <f>SUMIF('JUNE (물량흐름)'!$C$13:$C$493,'In-out-bal products (155)(완성제품)'!B483,'JUNE (물량흐름)'!$V$13:$V$493)</f>
        <v>0</v>
      </c>
      <c r="H483" s="58">
        <f>SUMIF('JUNE (물량흐름)'!$C$13:$C$493,'In-out-bal products (155)(완성제품)'!B483,'JUNE (물량흐름)'!$T$13:$T$493)-SUMIF('JUNE (물량흐름)'!$C$13:$C$493,'In-out-bal products (155)(완성제품)'!B483,'JUNE (물량흐름)'!$Y$13:$Y$493)+SUMIF('JUNE (물량흐름)'!$C$13:$C$493,'In-out-bal products (155)(완성제품)'!B483,'JUNE (물량흐름)'!$U$13:$U$493)</f>
        <v>2600</v>
      </c>
      <c r="I483" s="58">
        <f t="shared" si="216"/>
        <v>53273.551153846151</v>
      </c>
      <c r="J483" s="58">
        <f>SUMIF('Direct labour(직접노무비)'!$C$12:$C$503,'In-out-bal products (155)(완성제품)'!B483,'Direct labour(직접노무비)'!$Q$12:$Q$503)</f>
        <v>46893534</v>
      </c>
      <c r="K483" s="59">
        <f>SUMIF('Overhead exp(제조경비)'!$C$12:$C$503,'In-out-bal products (155)(완성제품)'!B483,'Overhead exp(제조경비)'!$Q$12:$Q$503)</f>
        <v>91617699</v>
      </c>
      <c r="L483" s="58">
        <f t="shared" si="217"/>
        <v>138511233</v>
      </c>
      <c r="M483" s="58">
        <f>SUMIF('JUNE (물량흐름)'!$C$13:$C$488,'In-out-bal products (155)(완성제품)'!B483,'JUNE (물량흐름)'!$Y$13:$Y$488)</f>
        <v>0</v>
      </c>
      <c r="N483" s="58">
        <f t="shared" si="218"/>
        <v>0</v>
      </c>
      <c r="O483" s="58">
        <f>SUMIF('Direct labour(직접노무비)'!$C$12:$C$503,'In-out-bal products (155)(완성제품)'!B483,'Direct labour(직접노무비)'!$U$12:$U$503)+SUMIF('Overhead exp(제조경비)'!$C$12:$C$503,'In-out-bal products (155)(완성제품)'!B483,'Overhead exp(제조경비)'!$U$12:$U$503)</f>
        <v>0</v>
      </c>
      <c r="P483" s="60">
        <f t="shared" si="219"/>
        <v>2600</v>
      </c>
      <c r="Q483" s="60">
        <f t="shared" si="220"/>
        <v>53273.551153846151</v>
      </c>
      <c r="R483" s="60">
        <f t="shared" si="221"/>
        <v>138511233</v>
      </c>
      <c r="S483" s="58">
        <v>0</v>
      </c>
      <c r="T483" s="58">
        <v>0</v>
      </c>
      <c r="U483" s="58">
        <v>0</v>
      </c>
      <c r="V483" s="58">
        <f>SUMIF('JUNE (물량흐름)'!$C$13:$C$493,'In-out-bal products (155)(완성제품)'!B483,'JUNE (물량흐름)'!$W$13:$W$493)</f>
        <v>0</v>
      </c>
      <c r="W483" s="58">
        <f t="shared" si="222"/>
        <v>0</v>
      </c>
      <c r="X483" s="58">
        <f t="shared" si="233"/>
        <v>0</v>
      </c>
      <c r="Y483" s="58">
        <f>SUMIF('JUNE (물량흐름)'!$C$13:$C$488,'In-out-bal products (155)(완성제품)'!B483,'JUNE (물량흐름)'!$X$13:$X$488)</f>
        <v>0</v>
      </c>
      <c r="Z483" s="58">
        <f t="shared" si="223"/>
        <v>0</v>
      </c>
      <c r="AA483" s="58">
        <f t="shared" si="224"/>
        <v>0</v>
      </c>
      <c r="AB483" s="58"/>
      <c r="AC483" s="58"/>
      <c r="AD483" s="61"/>
      <c r="AE483" s="58">
        <f t="shared" si="225"/>
        <v>0</v>
      </c>
      <c r="AF483" s="58">
        <f t="shared" si="226"/>
        <v>0</v>
      </c>
      <c r="AG483" s="61">
        <f t="shared" si="227"/>
        <v>0</v>
      </c>
      <c r="AH483" s="58">
        <v>0</v>
      </c>
      <c r="AI483" s="58">
        <v>0</v>
      </c>
      <c r="AJ483" s="61">
        <v>0</v>
      </c>
      <c r="AK483" s="58"/>
      <c r="AL483" s="58"/>
      <c r="AM483" s="61"/>
      <c r="AN483" s="61">
        <f t="shared" si="243"/>
        <v>0</v>
      </c>
      <c r="AO483" s="58">
        <f t="shared" si="234"/>
        <v>0</v>
      </c>
      <c r="AP483" s="61">
        <f t="shared" si="235"/>
        <v>0</v>
      </c>
      <c r="AQ483" s="58">
        <f t="shared" si="228"/>
        <v>2600</v>
      </c>
      <c r="AR483" s="58">
        <f t="shared" si="229"/>
        <v>53273.551153846151</v>
      </c>
      <c r="AS483" s="58">
        <f t="shared" si="230"/>
        <v>138511233</v>
      </c>
      <c r="AT483" s="58">
        <f>ROUND(SUMIF('JUNE (물량흐름)'!$C$13:$C$502,'In-out-bal products (155)(완성제품)'!B483,'JUNE (물량흐름)'!$AB$13:$AB$502),0)</f>
        <v>2600</v>
      </c>
      <c r="AU483" s="58">
        <f t="shared" si="231"/>
        <v>138511233</v>
      </c>
      <c r="AV483" s="58">
        <f>ROUND(SUMIF('JUNE (물량흐름)'!$C$13:$C$502,'In-out-bal products (155)(완성제품)'!B483,'JUNE (물량흐름)'!$AC$13:$AC$502),0)</f>
        <v>0</v>
      </c>
      <c r="AW483" s="58">
        <f t="shared" si="232"/>
        <v>0</v>
      </c>
      <c r="AX483" s="376">
        <f t="shared" si="236"/>
        <v>0</v>
      </c>
      <c r="AY483" s="377">
        <f t="shared" si="237"/>
        <v>0</v>
      </c>
      <c r="AZ483" s="377">
        <f t="shared" si="238"/>
        <v>0</v>
      </c>
      <c r="BA483" s="377">
        <f t="shared" si="239"/>
        <v>0</v>
      </c>
      <c r="BB483" s="377"/>
      <c r="BC483" s="377">
        <f t="shared" si="240"/>
        <v>0</v>
      </c>
      <c r="BD483" s="377">
        <f t="shared" si="241"/>
        <v>0</v>
      </c>
      <c r="BE483" s="377"/>
      <c r="BF483" s="377">
        <f t="shared" si="242"/>
        <v>0</v>
      </c>
      <c r="BG483" s="433"/>
      <c r="BH483" s="434"/>
    </row>
    <row r="484" spans="1:60" s="378" customFormat="1">
      <c r="A484" s="167">
        <v>495</v>
      </c>
      <c r="B484" s="253" t="str">
        <f>VLOOKUP(A484,'JUNE (물량흐름)'!$A$13:$C$493,3,0)</f>
        <v>KJT138251</v>
      </c>
      <c r="C484" s="57" t="str">
        <f>VLOOKUP(A484,'JUNE (물량흐름)'!$A$13:$C$493,2,0)</f>
        <v>J JILL</v>
      </c>
      <c r="D484" s="58">
        <f>IFERROR(VLOOKUP(B484,O.B.JUNE!$V$7:$Y$448,2,0),0)</f>
        <v>0</v>
      </c>
      <c r="E484" s="58">
        <f>IFERROR(VLOOKUP(B484,O.B.JUNE!$V$7:$X$448,3,0),0)</f>
        <v>0</v>
      </c>
      <c r="F484" s="58">
        <f>IFERROR(VLOOKUP(B484,O.B.JUNE!$V$7:$Y$448,4,0),0)</f>
        <v>0</v>
      </c>
      <c r="G484" s="58">
        <f>SUMIF('JUNE (물량흐름)'!$C$13:$C$493,'In-out-bal products (155)(완성제품)'!B484,'JUNE (물량흐름)'!$V$13:$V$493)</f>
        <v>0</v>
      </c>
      <c r="H484" s="58">
        <f>SUMIF('JUNE (물량흐름)'!$C$13:$C$493,'In-out-bal products (155)(완성제품)'!B484,'JUNE (물량흐름)'!$T$13:$T$493)-SUMIF('JUNE (물량흐름)'!$C$13:$C$493,'In-out-bal products (155)(완성제품)'!B484,'JUNE (물량흐름)'!$Y$13:$Y$493)+SUMIF('JUNE (물량흐름)'!$C$13:$C$493,'In-out-bal products (155)(완성제품)'!B484,'JUNE (물량흐름)'!$U$13:$U$493)</f>
        <v>0</v>
      </c>
      <c r="I484" s="58">
        <f t="shared" si="216"/>
        <v>0</v>
      </c>
      <c r="J484" s="58">
        <f>SUMIF('Direct labour(직접노무비)'!$C$12:$C$503,'In-out-bal products (155)(완성제품)'!B484,'Direct labour(직접노무비)'!$Q$12:$Q$503)</f>
        <v>0</v>
      </c>
      <c r="K484" s="59">
        <f>SUMIF('Overhead exp(제조경비)'!$C$12:$C$503,'In-out-bal products (155)(완성제품)'!B484,'Overhead exp(제조경비)'!$Q$12:$Q$503)</f>
        <v>0</v>
      </c>
      <c r="L484" s="58">
        <f t="shared" si="217"/>
        <v>0</v>
      </c>
      <c r="M484" s="58">
        <f>SUMIF('JUNE (물량흐름)'!$C$13:$C$488,'In-out-bal products (155)(완성제품)'!B484,'JUNE (물량흐름)'!$Y$13:$Y$488)</f>
        <v>0</v>
      </c>
      <c r="N484" s="58">
        <f t="shared" si="218"/>
        <v>0</v>
      </c>
      <c r="O484" s="58">
        <f>SUMIF('Direct labour(직접노무비)'!$C$12:$C$503,'In-out-bal products (155)(완성제품)'!B484,'Direct labour(직접노무비)'!$U$12:$U$503)+SUMIF('Overhead exp(제조경비)'!$C$12:$C$503,'In-out-bal products (155)(완성제품)'!B484,'Overhead exp(제조경비)'!$U$12:$U$503)</f>
        <v>0</v>
      </c>
      <c r="P484" s="60">
        <f t="shared" si="219"/>
        <v>0</v>
      </c>
      <c r="Q484" s="60">
        <f t="shared" si="220"/>
        <v>0</v>
      </c>
      <c r="R484" s="60">
        <f t="shared" si="221"/>
        <v>0</v>
      </c>
      <c r="S484" s="58">
        <v>0</v>
      </c>
      <c r="T484" s="58">
        <v>0</v>
      </c>
      <c r="U484" s="58">
        <v>0</v>
      </c>
      <c r="V484" s="58">
        <f>SUMIF('JUNE (물량흐름)'!$C$13:$C$493,'In-out-bal products (155)(완성제품)'!B484,'JUNE (물량흐름)'!$W$13:$W$493)</f>
        <v>0</v>
      </c>
      <c r="W484" s="58">
        <f t="shared" si="222"/>
        <v>0</v>
      </c>
      <c r="X484" s="58">
        <f t="shared" si="233"/>
        <v>0</v>
      </c>
      <c r="Y484" s="58">
        <f>SUMIF('JUNE (물량흐름)'!$C$13:$C$488,'In-out-bal products (155)(완성제품)'!B484,'JUNE (물량흐름)'!$X$13:$X$488)</f>
        <v>0</v>
      </c>
      <c r="Z484" s="58">
        <f t="shared" si="223"/>
        <v>0</v>
      </c>
      <c r="AA484" s="58">
        <f t="shared" si="224"/>
        <v>0</v>
      </c>
      <c r="AB484" s="58"/>
      <c r="AC484" s="58"/>
      <c r="AD484" s="61"/>
      <c r="AE484" s="58">
        <f t="shared" si="225"/>
        <v>0</v>
      </c>
      <c r="AF484" s="58">
        <f t="shared" si="226"/>
        <v>0</v>
      </c>
      <c r="AG484" s="61">
        <f t="shared" si="227"/>
        <v>0</v>
      </c>
      <c r="AH484" s="58">
        <v>0</v>
      </c>
      <c r="AI484" s="58">
        <v>0</v>
      </c>
      <c r="AJ484" s="61">
        <v>0</v>
      </c>
      <c r="AK484" s="58"/>
      <c r="AL484" s="58"/>
      <c r="AM484" s="61"/>
      <c r="AN484" s="61">
        <f t="shared" si="243"/>
        <v>0</v>
      </c>
      <c r="AO484" s="58">
        <f t="shared" si="234"/>
        <v>0</v>
      </c>
      <c r="AP484" s="61">
        <f t="shared" si="235"/>
        <v>0</v>
      </c>
      <c r="AQ484" s="58">
        <f t="shared" si="228"/>
        <v>0</v>
      </c>
      <c r="AR484" s="58">
        <f t="shared" si="229"/>
        <v>0</v>
      </c>
      <c r="AS484" s="58">
        <f t="shared" si="230"/>
        <v>0</v>
      </c>
      <c r="AT484" s="58">
        <f>ROUND(SUMIF('JUNE (물량흐름)'!$C$13:$C$502,'In-out-bal products (155)(완성제품)'!B484,'JUNE (물량흐름)'!$AB$13:$AB$502),0)</f>
        <v>0</v>
      </c>
      <c r="AU484" s="58">
        <f t="shared" si="231"/>
        <v>0</v>
      </c>
      <c r="AV484" s="58">
        <f>ROUND(SUMIF('JUNE (물량흐름)'!$C$13:$C$502,'In-out-bal products (155)(완성제품)'!B484,'JUNE (물량흐름)'!$AC$13:$AC$502),0)</f>
        <v>0</v>
      </c>
      <c r="AW484" s="58">
        <f t="shared" si="232"/>
        <v>0</v>
      </c>
      <c r="AX484" s="376">
        <f t="shared" si="236"/>
        <v>0</v>
      </c>
      <c r="AY484" s="377">
        <f t="shared" si="237"/>
        <v>0</v>
      </c>
      <c r="AZ484" s="377">
        <f t="shared" si="238"/>
        <v>0</v>
      </c>
      <c r="BA484" s="377">
        <f t="shared" si="239"/>
        <v>0</v>
      </c>
      <c r="BB484" s="377"/>
      <c r="BC484" s="377">
        <f t="shared" si="240"/>
        <v>0</v>
      </c>
      <c r="BD484" s="377">
        <f t="shared" si="241"/>
        <v>0</v>
      </c>
      <c r="BE484" s="377"/>
      <c r="BF484" s="377">
        <f t="shared" si="242"/>
        <v>0</v>
      </c>
      <c r="BG484" s="433"/>
      <c r="BH484" s="434"/>
    </row>
    <row r="485" spans="1:60" s="378" customFormat="1">
      <c r="A485" s="167">
        <v>496</v>
      </c>
      <c r="B485" s="253" t="str">
        <f>VLOOKUP(A485,'JUNE (물량흐름)'!$A$13:$C$493,3,0)</f>
        <v>KPT130311</v>
      </c>
      <c r="C485" s="57" t="str">
        <f>VLOOKUP(A485,'JUNE (물량흐름)'!$A$13:$C$493,2,0)</f>
        <v>J JILL</v>
      </c>
      <c r="D485" s="58">
        <f>IFERROR(VLOOKUP(B485,O.B.JUNE!$V$7:$Y$448,2,0),0)</f>
        <v>0</v>
      </c>
      <c r="E485" s="58">
        <f>IFERROR(VLOOKUP(B485,O.B.JUNE!$V$7:$X$448,3,0),0)</f>
        <v>0</v>
      </c>
      <c r="F485" s="58">
        <f>IFERROR(VLOOKUP(B485,O.B.JUNE!$V$7:$Y$448,4,0),0)</f>
        <v>0</v>
      </c>
      <c r="G485" s="58">
        <f>SUMIF('JUNE (물량흐름)'!$C$13:$C$493,'In-out-bal products (155)(완성제품)'!B485,'JUNE (물량흐름)'!$V$13:$V$493)</f>
        <v>0</v>
      </c>
      <c r="H485" s="58">
        <f>SUMIF('JUNE (물량흐름)'!$C$13:$C$493,'In-out-bal products (155)(완성제품)'!B485,'JUNE (물량흐름)'!$T$13:$T$493)-SUMIF('JUNE (물량흐름)'!$C$13:$C$493,'In-out-bal products (155)(완성제품)'!B485,'JUNE (물량흐름)'!$Y$13:$Y$493)+SUMIF('JUNE (물량흐름)'!$C$13:$C$493,'In-out-bal products (155)(완성제품)'!B485,'JUNE (물량흐름)'!$U$13:$U$493)</f>
        <v>1379</v>
      </c>
      <c r="I485" s="58">
        <f t="shared" si="216"/>
        <v>28434.69108049311</v>
      </c>
      <c r="J485" s="58">
        <f>SUMIF('Direct labour(직접노무비)'!$C$12:$C$503,'In-out-bal products (155)(완성제품)'!B485,'Direct labour(직접노무비)'!$Q$12:$Q$503)</f>
        <v>13275190</v>
      </c>
      <c r="K485" s="59">
        <f>SUMIF('Overhead exp(제조경비)'!$C$12:$C$503,'In-out-bal products (155)(완성제품)'!B485,'Overhead exp(제조경비)'!$Q$12:$Q$503)</f>
        <v>25936249</v>
      </c>
      <c r="L485" s="58">
        <f t="shared" si="217"/>
        <v>39211439</v>
      </c>
      <c r="M485" s="58">
        <f>SUMIF('JUNE (물량흐름)'!$C$13:$C$488,'In-out-bal products (155)(완성제품)'!B485,'JUNE (물량흐름)'!$Y$13:$Y$488)</f>
        <v>0</v>
      </c>
      <c r="N485" s="58">
        <f t="shared" si="218"/>
        <v>0</v>
      </c>
      <c r="O485" s="58">
        <f>SUMIF('Direct labour(직접노무비)'!$C$12:$C$503,'In-out-bal products (155)(완성제품)'!B485,'Direct labour(직접노무비)'!$U$12:$U$503)+SUMIF('Overhead exp(제조경비)'!$C$12:$C$503,'In-out-bal products (155)(완성제품)'!B485,'Overhead exp(제조경비)'!$U$12:$U$503)</f>
        <v>0</v>
      </c>
      <c r="P485" s="60">
        <f t="shared" si="219"/>
        <v>1379</v>
      </c>
      <c r="Q485" s="60">
        <f t="shared" si="220"/>
        <v>28434.69108049311</v>
      </c>
      <c r="R485" s="60">
        <f t="shared" si="221"/>
        <v>39211439</v>
      </c>
      <c r="S485" s="58">
        <v>0</v>
      </c>
      <c r="T485" s="58">
        <v>0</v>
      </c>
      <c r="U485" s="58">
        <v>0</v>
      </c>
      <c r="V485" s="58">
        <f>SUMIF('JUNE (물량흐름)'!$C$13:$C$493,'In-out-bal products (155)(완성제품)'!B485,'JUNE (물량흐름)'!$W$13:$W$493)</f>
        <v>0</v>
      </c>
      <c r="W485" s="58">
        <f t="shared" si="222"/>
        <v>0</v>
      </c>
      <c r="X485" s="58">
        <f t="shared" si="233"/>
        <v>0</v>
      </c>
      <c r="Y485" s="58">
        <f>SUMIF('JUNE (물량흐름)'!$C$13:$C$488,'In-out-bal products (155)(완성제품)'!B485,'JUNE (물량흐름)'!$X$13:$X$488)</f>
        <v>0</v>
      </c>
      <c r="Z485" s="58">
        <f t="shared" si="223"/>
        <v>0</v>
      </c>
      <c r="AA485" s="58">
        <f t="shared" si="224"/>
        <v>0</v>
      </c>
      <c r="AB485" s="58"/>
      <c r="AC485" s="58"/>
      <c r="AD485" s="61"/>
      <c r="AE485" s="58">
        <f t="shared" si="225"/>
        <v>0</v>
      </c>
      <c r="AF485" s="58">
        <f t="shared" si="226"/>
        <v>0</v>
      </c>
      <c r="AG485" s="61">
        <f t="shared" si="227"/>
        <v>0</v>
      </c>
      <c r="AH485" s="58">
        <v>0</v>
      </c>
      <c r="AI485" s="58">
        <v>0</v>
      </c>
      <c r="AJ485" s="61">
        <v>0</v>
      </c>
      <c r="AK485" s="58"/>
      <c r="AL485" s="58"/>
      <c r="AM485" s="61"/>
      <c r="AN485" s="61">
        <f t="shared" si="243"/>
        <v>0</v>
      </c>
      <c r="AO485" s="58">
        <f t="shared" si="234"/>
        <v>0</v>
      </c>
      <c r="AP485" s="61">
        <f t="shared" si="235"/>
        <v>0</v>
      </c>
      <c r="AQ485" s="58">
        <f t="shared" si="228"/>
        <v>1379</v>
      </c>
      <c r="AR485" s="58">
        <f t="shared" si="229"/>
        <v>28434.69108049311</v>
      </c>
      <c r="AS485" s="58">
        <f t="shared" si="230"/>
        <v>39211439</v>
      </c>
      <c r="AT485" s="58">
        <f>ROUND(SUMIF('JUNE (물량흐름)'!$C$13:$C$502,'In-out-bal products (155)(완성제품)'!B485,'JUNE (물량흐름)'!$AB$13:$AB$502),0)</f>
        <v>1379</v>
      </c>
      <c r="AU485" s="58">
        <f t="shared" si="231"/>
        <v>39211439</v>
      </c>
      <c r="AV485" s="58">
        <f>ROUND(SUMIF('JUNE (물량흐름)'!$C$13:$C$502,'In-out-bal products (155)(완성제품)'!B485,'JUNE (물량흐름)'!$AC$13:$AC$502),0)</f>
        <v>0</v>
      </c>
      <c r="AW485" s="58">
        <f t="shared" si="232"/>
        <v>0</v>
      </c>
      <c r="AX485" s="376">
        <f t="shared" si="236"/>
        <v>0</v>
      </c>
      <c r="AY485" s="377">
        <f t="shared" si="237"/>
        <v>0</v>
      </c>
      <c r="AZ485" s="377">
        <f t="shared" si="238"/>
        <v>0</v>
      </c>
      <c r="BA485" s="377">
        <f t="shared" si="239"/>
        <v>0</v>
      </c>
      <c r="BB485" s="377"/>
      <c r="BC485" s="377">
        <f t="shared" si="240"/>
        <v>0</v>
      </c>
      <c r="BD485" s="377">
        <f t="shared" si="241"/>
        <v>0</v>
      </c>
      <c r="BE485" s="377"/>
      <c r="BF485" s="377">
        <f t="shared" si="242"/>
        <v>0</v>
      </c>
      <c r="BG485" s="433"/>
      <c r="BH485" s="434"/>
    </row>
    <row r="486" spans="1:60" s="378" customFormat="1">
      <c r="A486" s="167">
        <v>497</v>
      </c>
      <c r="B486" s="253" t="str">
        <f>VLOOKUP(A486,'JUNE (물량흐름)'!$A$13:$C$493,3,0)</f>
        <v>KTP134791</v>
      </c>
      <c r="C486" s="57" t="str">
        <f>VLOOKUP(A486,'JUNE (물량흐름)'!$A$13:$C$493,2,0)</f>
        <v>J JILL</v>
      </c>
      <c r="D486" s="58">
        <f>IFERROR(VLOOKUP(B486,O.B.JUNE!$V$7:$Y$448,2,0),0)</f>
        <v>0</v>
      </c>
      <c r="E486" s="58">
        <f>IFERROR(VLOOKUP(B486,O.B.JUNE!$V$7:$X$448,3,0),0)</f>
        <v>0</v>
      </c>
      <c r="F486" s="58">
        <f>IFERROR(VLOOKUP(B486,O.B.JUNE!$V$7:$Y$448,4,0),0)</f>
        <v>0</v>
      </c>
      <c r="G486" s="58">
        <f>SUMIF('JUNE (물량흐름)'!$C$13:$C$493,'In-out-bal products (155)(완성제품)'!B486,'JUNE (물량흐름)'!$V$13:$V$493)</f>
        <v>0</v>
      </c>
      <c r="H486" s="58">
        <f>SUMIF('JUNE (물량흐름)'!$C$13:$C$493,'In-out-bal products (155)(완성제품)'!B486,'JUNE (물량흐름)'!$T$13:$T$493)-SUMIF('JUNE (물량흐름)'!$C$13:$C$493,'In-out-bal products (155)(완성제품)'!B486,'JUNE (물량흐름)'!$Y$13:$Y$493)+SUMIF('JUNE (물량흐름)'!$C$13:$C$493,'In-out-bal products (155)(완성제품)'!B486,'JUNE (물량흐름)'!$U$13:$U$493)</f>
        <v>2793</v>
      </c>
      <c r="I486" s="58">
        <f t="shared" si="216"/>
        <v>43371.73970640888</v>
      </c>
      <c r="J486" s="58">
        <f>SUMIF('Direct labour(직접노무비)'!$C$12:$C$503,'In-out-bal products (155)(완성제품)'!B486,'Direct labour(직접노무비)'!$Q$12:$Q$503)</f>
        <v>41011509</v>
      </c>
      <c r="K486" s="59">
        <f>SUMIF('Overhead exp(제조경비)'!$C$12:$C$503,'In-out-bal products (155)(완성제품)'!B486,'Overhead exp(제조경비)'!$Q$12:$Q$503)</f>
        <v>80125760</v>
      </c>
      <c r="L486" s="58">
        <f t="shared" si="217"/>
        <v>121137269</v>
      </c>
      <c r="M486" s="58">
        <f>SUMIF('JUNE (물량흐름)'!$C$13:$C$488,'In-out-bal products (155)(완성제품)'!B486,'JUNE (물량흐름)'!$Y$13:$Y$488)</f>
        <v>0</v>
      </c>
      <c r="N486" s="58">
        <f t="shared" si="218"/>
        <v>0</v>
      </c>
      <c r="O486" s="58">
        <f>SUMIF('Direct labour(직접노무비)'!$C$12:$C$503,'In-out-bal products (155)(완성제품)'!B486,'Direct labour(직접노무비)'!$U$12:$U$503)+SUMIF('Overhead exp(제조경비)'!$C$12:$C$503,'In-out-bal products (155)(완성제품)'!B486,'Overhead exp(제조경비)'!$U$12:$U$503)</f>
        <v>0</v>
      </c>
      <c r="P486" s="60">
        <f t="shared" si="219"/>
        <v>2793</v>
      </c>
      <c r="Q486" s="60">
        <f t="shared" si="220"/>
        <v>43371.73970640888</v>
      </c>
      <c r="R486" s="60">
        <f t="shared" si="221"/>
        <v>121137269</v>
      </c>
      <c r="S486" s="58">
        <v>0</v>
      </c>
      <c r="T486" s="58">
        <v>0</v>
      </c>
      <c r="U486" s="58">
        <v>0</v>
      </c>
      <c r="V486" s="58">
        <f>SUMIF('JUNE (물량흐름)'!$C$13:$C$493,'In-out-bal products (155)(완성제품)'!B486,'JUNE (물량흐름)'!$W$13:$W$493)</f>
        <v>0</v>
      </c>
      <c r="W486" s="58">
        <f t="shared" si="222"/>
        <v>0</v>
      </c>
      <c r="X486" s="58">
        <f t="shared" si="233"/>
        <v>0</v>
      </c>
      <c r="Y486" s="58">
        <f>SUMIF('JUNE (물량흐름)'!$C$13:$C$488,'In-out-bal products (155)(완성제품)'!B486,'JUNE (물량흐름)'!$X$13:$X$488)</f>
        <v>0</v>
      </c>
      <c r="Z486" s="58">
        <f t="shared" si="223"/>
        <v>0</v>
      </c>
      <c r="AA486" s="58">
        <f t="shared" si="224"/>
        <v>0</v>
      </c>
      <c r="AB486" s="58"/>
      <c r="AC486" s="58"/>
      <c r="AD486" s="61"/>
      <c r="AE486" s="58">
        <f t="shared" si="225"/>
        <v>0</v>
      </c>
      <c r="AF486" s="58">
        <f t="shared" si="226"/>
        <v>0</v>
      </c>
      <c r="AG486" s="61">
        <f t="shared" si="227"/>
        <v>0</v>
      </c>
      <c r="AH486" s="58">
        <v>0</v>
      </c>
      <c r="AI486" s="58">
        <v>0</v>
      </c>
      <c r="AJ486" s="61">
        <v>0</v>
      </c>
      <c r="AK486" s="58"/>
      <c r="AL486" s="58"/>
      <c r="AM486" s="61"/>
      <c r="AN486" s="61">
        <f t="shared" si="243"/>
        <v>0</v>
      </c>
      <c r="AO486" s="58">
        <f t="shared" si="234"/>
        <v>0</v>
      </c>
      <c r="AP486" s="61">
        <f t="shared" si="235"/>
        <v>0</v>
      </c>
      <c r="AQ486" s="58">
        <f t="shared" si="228"/>
        <v>2793</v>
      </c>
      <c r="AR486" s="58">
        <f t="shared" si="229"/>
        <v>43371.73970640888</v>
      </c>
      <c r="AS486" s="58">
        <f t="shared" si="230"/>
        <v>121137269</v>
      </c>
      <c r="AT486" s="58">
        <f>ROUND(SUMIF('JUNE (물량흐름)'!$C$13:$C$502,'In-out-bal products (155)(완성제품)'!B486,'JUNE (물량흐름)'!$AB$13:$AB$502),0)</f>
        <v>2793</v>
      </c>
      <c r="AU486" s="58">
        <f t="shared" si="231"/>
        <v>121137269</v>
      </c>
      <c r="AV486" s="58">
        <f>ROUND(SUMIF('JUNE (물량흐름)'!$C$13:$C$502,'In-out-bal products (155)(완성제품)'!B486,'JUNE (물량흐름)'!$AC$13:$AC$502),0)</f>
        <v>0</v>
      </c>
      <c r="AW486" s="58">
        <f t="shared" si="232"/>
        <v>0</v>
      </c>
      <c r="AX486" s="376">
        <f t="shared" si="236"/>
        <v>0</v>
      </c>
      <c r="AY486" s="377">
        <f t="shared" si="237"/>
        <v>0</v>
      </c>
      <c r="AZ486" s="377">
        <f t="shared" si="238"/>
        <v>0</v>
      </c>
      <c r="BA486" s="377">
        <f t="shared" si="239"/>
        <v>0</v>
      </c>
      <c r="BB486" s="377"/>
      <c r="BC486" s="377">
        <f t="shared" si="240"/>
        <v>0</v>
      </c>
      <c r="BD486" s="377">
        <f t="shared" si="241"/>
        <v>0</v>
      </c>
      <c r="BE486" s="377"/>
      <c r="BF486" s="377">
        <f t="shared" si="242"/>
        <v>0</v>
      </c>
      <c r="BG486" s="433"/>
      <c r="BH486" s="434"/>
    </row>
    <row r="487" spans="1:60" s="378" customFormat="1">
      <c r="A487" s="167">
        <v>498</v>
      </c>
      <c r="B487" s="253" t="str">
        <f>VLOOKUP(A487,'JUNE (물량흐름)'!$A$13:$C$493,3,0)</f>
        <v>KTP142391</v>
      </c>
      <c r="C487" s="57" t="str">
        <f>VLOOKUP(A487,'JUNE (물량흐름)'!$A$13:$C$493,2,0)</f>
        <v>J JILL</v>
      </c>
      <c r="D487" s="58">
        <f>IFERROR(VLOOKUP(B487,O.B.JUNE!$V$7:$Y$448,2,0),0)</f>
        <v>0</v>
      </c>
      <c r="E487" s="58">
        <f>IFERROR(VLOOKUP(B487,O.B.JUNE!$V$7:$X$448,3,0),0)</f>
        <v>0</v>
      </c>
      <c r="F487" s="58">
        <f>IFERROR(VLOOKUP(B487,O.B.JUNE!$V$7:$Y$448,4,0),0)</f>
        <v>0</v>
      </c>
      <c r="G487" s="58">
        <f>SUMIF('JUNE (물량흐름)'!$C$13:$C$493,'In-out-bal products (155)(완성제품)'!B487,'JUNE (물량흐름)'!$V$13:$V$493)</f>
        <v>0</v>
      </c>
      <c r="H487" s="58">
        <f>SUMIF('JUNE (물량흐름)'!$C$13:$C$493,'In-out-bal products (155)(완성제품)'!B487,'JUNE (물량흐름)'!$T$13:$T$493)-SUMIF('JUNE (물량흐름)'!$C$13:$C$493,'In-out-bal products (155)(완성제품)'!B487,'JUNE (물량흐름)'!$Y$13:$Y$493)+SUMIF('JUNE (물량흐름)'!$C$13:$C$493,'In-out-bal products (155)(완성제품)'!B487,'JUNE (물량흐름)'!$U$13:$U$493)</f>
        <v>10468</v>
      </c>
      <c r="I487" s="58">
        <f t="shared" si="216"/>
        <v>38062.855941918227</v>
      </c>
      <c r="J487" s="58">
        <f>SUMIF('Direct labour(직접노무비)'!$C$12:$C$503,'In-out-bal products (155)(완성제품)'!B487,'Direct labour(직접노무비)'!$Q$12:$Q$503)</f>
        <v>134894131</v>
      </c>
      <c r="K487" s="59">
        <f>SUMIF('Overhead exp(제조경비)'!$C$12:$C$503,'In-out-bal products (155)(완성제품)'!B487,'Overhead exp(제조경비)'!$Q$12:$Q$503)</f>
        <v>263547845</v>
      </c>
      <c r="L487" s="58">
        <f t="shared" si="217"/>
        <v>398441976</v>
      </c>
      <c r="M487" s="58">
        <f>SUMIF('JUNE (물량흐름)'!$C$13:$C$488,'In-out-bal products (155)(완성제품)'!B487,'JUNE (물량흐름)'!$Y$13:$Y$488)</f>
        <v>0</v>
      </c>
      <c r="N487" s="58">
        <f t="shared" si="218"/>
        <v>0</v>
      </c>
      <c r="O487" s="58">
        <f>SUMIF('Direct labour(직접노무비)'!$C$12:$C$503,'In-out-bal products (155)(완성제품)'!B487,'Direct labour(직접노무비)'!$U$12:$U$503)+SUMIF('Overhead exp(제조경비)'!$C$12:$C$503,'In-out-bal products (155)(완성제품)'!B487,'Overhead exp(제조경비)'!$U$12:$U$503)</f>
        <v>0</v>
      </c>
      <c r="P487" s="60">
        <f t="shared" si="219"/>
        <v>10468</v>
      </c>
      <c r="Q487" s="60">
        <f t="shared" si="220"/>
        <v>38062.855941918227</v>
      </c>
      <c r="R487" s="60">
        <f t="shared" si="221"/>
        <v>398441976</v>
      </c>
      <c r="S487" s="58">
        <v>0</v>
      </c>
      <c r="T487" s="58">
        <v>0</v>
      </c>
      <c r="U487" s="58">
        <v>0</v>
      </c>
      <c r="V487" s="58">
        <f>SUMIF('JUNE (물량흐름)'!$C$13:$C$493,'In-out-bal products (155)(완성제품)'!B487,'JUNE (물량흐름)'!$W$13:$W$493)</f>
        <v>0</v>
      </c>
      <c r="W487" s="58">
        <f t="shared" si="222"/>
        <v>0</v>
      </c>
      <c r="X487" s="58">
        <f t="shared" si="233"/>
        <v>0</v>
      </c>
      <c r="Y487" s="58">
        <f>SUMIF('JUNE (물량흐름)'!$C$13:$C$488,'In-out-bal products (155)(완성제품)'!B487,'JUNE (물량흐름)'!$X$13:$X$488)</f>
        <v>0</v>
      </c>
      <c r="Z487" s="58">
        <f t="shared" si="223"/>
        <v>0</v>
      </c>
      <c r="AA487" s="58">
        <f t="shared" si="224"/>
        <v>0</v>
      </c>
      <c r="AB487" s="58"/>
      <c r="AC487" s="58"/>
      <c r="AD487" s="61"/>
      <c r="AE487" s="58">
        <f t="shared" si="225"/>
        <v>0</v>
      </c>
      <c r="AF487" s="58">
        <f t="shared" si="226"/>
        <v>0</v>
      </c>
      <c r="AG487" s="61">
        <f t="shared" si="227"/>
        <v>0</v>
      </c>
      <c r="AH487" s="58">
        <v>0</v>
      </c>
      <c r="AI487" s="58">
        <v>0</v>
      </c>
      <c r="AJ487" s="61">
        <v>0</v>
      </c>
      <c r="AK487" s="58"/>
      <c r="AL487" s="58"/>
      <c r="AM487" s="61"/>
      <c r="AN487" s="61">
        <f t="shared" si="243"/>
        <v>0</v>
      </c>
      <c r="AO487" s="58">
        <f t="shared" si="234"/>
        <v>0</v>
      </c>
      <c r="AP487" s="61">
        <f t="shared" si="235"/>
        <v>0</v>
      </c>
      <c r="AQ487" s="58">
        <f t="shared" si="228"/>
        <v>10468</v>
      </c>
      <c r="AR487" s="58">
        <f t="shared" si="229"/>
        <v>38062.855941918227</v>
      </c>
      <c r="AS487" s="58">
        <f t="shared" si="230"/>
        <v>398441976</v>
      </c>
      <c r="AT487" s="58">
        <f>ROUND(SUMIF('JUNE (물량흐름)'!$C$13:$C$502,'In-out-bal products (155)(완성제품)'!B487,'JUNE (물량흐름)'!$AB$13:$AB$502),0)</f>
        <v>10468</v>
      </c>
      <c r="AU487" s="58">
        <f t="shared" si="231"/>
        <v>398441976</v>
      </c>
      <c r="AV487" s="58">
        <f>ROUND(SUMIF('JUNE (물량흐름)'!$C$13:$C$502,'In-out-bal products (155)(완성제품)'!B487,'JUNE (물량흐름)'!$AC$13:$AC$502),0)</f>
        <v>0</v>
      </c>
      <c r="AW487" s="58">
        <f t="shared" si="232"/>
        <v>0</v>
      </c>
      <c r="AX487" s="376">
        <f t="shared" si="236"/>
        <v>0</v>
      </c>
      <c r="AY487" s="377">
        <f t="shared" si="237"/>
        <v>0</v>
      </c>
      <c r="AZ487" s="377">
        <f t="shared" si="238"/>
        <v>0</v>
      </c>
      <c r="BA487" s="377">
        <f t="shared" si="239"/>
        <v>0</v>
      </c>
      <c r="BB487" s="377"/>
      <c r="BC487" s="377">
        <f t="shared" si="240"/>
        <v>0</v>
      </c>
      <c r="BD487" s="377">
        <f t="shared" si="241"/>
        <v>0</v>
      </c>
      <c r="BE487" s="377"/>
      <c r="BF487" s="377">
        <f t="shared" si="242"/>
        <v>0</v>
      </c>
      <c r="BG487" s="433"/>
      <c r="BH487" s="434"/>
    </row>
    <row r="488" spans="1:60" s="378" customFormat="1">
      <c r="A488" s="167">
        <v>499</v>
      </c>
      <c r="B488" s="253" t="str">
        <f>VLOOKUP(A488,'JUNE (물량흐름)'!$A$13:$C$493,3,0)</f>
        <v>HA385921MI</v>
      </c>
      <c r="C488" s="57" t="str">
        <f>VLOOKUP(A488,'JUNE (물량흐름)'!$A$13:$C$493,2,0)</f>
        <v>NORDSTROM</v>
      </c>
      <c r="D488" s="58">
        <f>IFERROR(VLOOKUP(B488,O.B.JUNE!$V$7:$Y$448,2,0),0)</f>
        <v>0</v>
      </c>
      <c r="E488" s="58">
        <f>IFERROR(VLOOKUP(B488,O.B.JUNE!$V$7:$X$448,3,0),0)</f>
        <v>0</v>
      </c>
      <c r="F488" s="58">
        <f>IFERROR(VLOOKUP(B488,O.B.JUNE!$V$7:$Y$448,4,0),0)</f>
        <v>0</v>
      </c>
      <c r="G488" s="58">
        <f>SUMIF('JUNE (물량흐름)'!$C$13:$C$493,'In-out-bal products (155)(완성제품)'!B488,'JUNE (물량흐름)'!$V$13:$V$493)</f>
        <v>2592</v>
      </c>
      <c r="H488" s="58">
        <f>SUMIF('JUNE (물량흐름)'!$C$13:$C$493,'In-out-bal products (155)(완성제품)'!B488,'JUNE (물량흐름)'!$T$13:$T$493)-SUMIF('JUNE (물량흐름)'!$C$13:$C$493,'In-out-bal products (155)(완성제품)'!B488,'JUNE (물량흐름)'!$Y$13:$Y$493)+SUMIF('JUNE (물량흐름)'!$C$13:$C$493,'In-out-bal products (155)(완성제품)'!B488,'JUNE (물량흐름)'!$U$13:$U$493)</f>
        <v>0</v>
      </c>
      <c r="I488" s="58">
        <f t="shared" ref="I488:I492" si="244">(IF(ISERROR(L488/H488),0,L488/H488))</f>
        <v>0</v>
      </c>
      <c r="J488" s="58">
        <f>SUMIF('Direct labour(직접노무비)'!$C$12:$C$503,'In-out-bal products (155)(완성제품)'!B488,'Direct labour(직접노무비)'!$Q$12:$Q$503)</f>
        <v>29083406</v>
      </c>
      <c r="K488" s="59">
        <f>SUMIF('Overhead exp(제조경비)'!$C$12:$C$503,'In-out-bal products (155)(완성제품)'!B488,'Overhead exp(제조경비)'!$Q$12:$Q$503)</f>
        <v>56821368</v>
      </c>
      <c r="L488" s="58">
        <f t="shared" ref="L488:L492" si="245">ROUND(J488+K488,0)</f>
        <v>85904774</v>
      </c>
      <c r="M488" s="58">
        <f>SUMIF('JUNE (물량흐름)'!$C$13:$C$488,'In-out-bal products (155)(완성제품)'!B488,'JUNE (물량흐름)'!$Y$13:$Y$488)</f>
        <v>0</v>
      </c>
      <c r="N488" s="58">
        <f t="shared" ref="N488:N492" si="246">IFERROR(O488/M488,0)</f>
        <v>0</v>
      </c>
      <c r="O488" s="58">
        <f>SUMIF('Direct labour(직접노무비)'!$C$12:$C$503,'In-out-bal products (155)(완성제품)'!B488,'Direct labour(직접노무비)'!$U$12:$U$503)+SUMIF('Overhead exp(제조경비)'!$C$12:$C$503,'In-out-bal products (155)(완성제품)'!B488,'Overhead exp(제조경비)'!$U$12:$U$503)</f>
        <v>0</v>
      </c>
      <c r="P488" s="60">
        <f t="shared" ref="P488:P492" si="247">ROUND(H488+G488+M488,0)</f>
        <v>2592</v>
      </c>
      <c r="Q488" s="60">
        <f t="shared" ref="Q488:Q492" si="248">(IF(ISERROR(R488/P488),0,R488/P488))</f>
        <v>33142.27391975309</v>
      </c>
      <c r="R488" s="60">
        <f t="shared" ref="R488:R492" si="249">ROUND(L488+O488,0)</f>
        <v>85904774</v>
      </c>
      <c r="S488" s="58">
        <v>0</v>
      </c>
      <c r="T488" s="58">
        <v>0</v>
      </c>
      <c r="U488" s="58">
        <v>0</v>
      </c>
      <c r="V488" s="58">
        <f>SUMIF('JUNE (물량흐름)'!$C$13:$C$493,'In-out-bal products (155)(완성제품)'!B488,'JUNE (물량흐름)'!$W$13:$W$493)</f>
        <v>2592</v>
      </c>
      <c r="W488" s="58">
        <f t="shared" ref="W488:W492" si="250">(IF(V488=0,0,$X488/$V488))</f>
        <v>33142.27391975309</v>
      </c>
      <c r="X488" s="58">
        <f t="shared" si="233"/>
        <v>85904774</v>
      </c>
      <c r="Y488" s="58">
        <f>SUMIF('JUNE (물량흐름)'!$C$13:$C$488,'In-out-bal products (155)(완성제품)'!B488,'JUNE (물량흐름)'!$X$13:$X$488)</f>
        <v>0</v>
      </c>
      <c r="Z488" s="58">
        <f t="shared" ref="Z488:Z492" si="251">IF(Y488=0,0,$AA488/$Y488)</f>
        <v>0</v>
      </c>
      <c r="AA488" s="58">
        <f t="shared" ref="AA488:AA492" si="252">ROUND(IF(Y488=0,0,Y488*($F488+$L488)/($D488+$H488+$G488)),0)</f>
        <v>0</v>
      </c>
      <c r="AB488" s="58"/>
      <c r="AC488" s="58"/>
      <c r="AD488" s="61"/>
      <c r="AE488" s="58">
        <f t="shared" ref="AE488:AE492" si="253">M488</f>
        <v>0</v>
      </c>
      <c r="AF488" s="58">
        <f t="shared" ref="AF488:AF492" si="254">N488</f>
        <v>0</v>
      </c>
      <c r="AG488" s="61">
        <f t="shared" ref="AG488:AG492" si="255">O488</f>
        <v>0</v>
      </c>
      <c r="AH488" s="58">
        <v>0</v>
      </c>
      <c r="AI488" s="58">
        <v>0</v>
      </c>
      <c r="AJ488" s="61">
        <v>0</v>
      </c>
      <c r="AK488" s="58"/>
      <c r="AL488" s="58"/>
      <c r="AM488" s="61"/>
      <c r="AN488" s="61">
        <f t="shared" si="243"/>
        <v>2592</v>
      </c>
      <c r="AO488" s="58">
        <f t="shared" si="234"/>
        <v>33142.27391975309</v>
      </c>
      <c r="AP488" s="61">
        <f t="shared" si="235"/>
        <v>85904774</v>
      </c>
      <c r="AQ488" s="58">
        <f t="shared" ref="AQ488:AQ492" si="256">ROUND(D488+P488-AN488,0)</f>
        <v>0</v>
      </c>
      <c r="AR488" s="58">
        <f t="shared" ref="AR488:AR492" si="257">(IF(ISERROR(AS488/AQ488),0,AS488/AQ488))</f>
        <v>0</v>
      </c>
      <c r="AS488" s="58">
        <f t="shared" ref="AS488:AS492" si="258">ROUND(F488+R488-AP488,0)</f>
        <v>0</v>
      </c>
      <c r="AT488" s="58">
        <f>ROUND(SUMIF('JUNE (물량흐름)'!$C$13:$C$502,'In-out-bal products (155)(완성제품)'!B488,'JUNE (물량흐름)'!$AB$13:$AB$502),0)</f>
        <v>0</v>
      </c>
      <c r="AU488" s="58">
        <f t="shared" ref="AU488:AU492" si="259">+ROUND(AR488*AT488,0)</f>
        <v>0</v>
      </c>
      <c r="AV488" s="58">
        <f>ROUND(SUMIF('JUNE (물량흐름)'!$C$13:$C$502,'In-out-bal products (155)(완성제품)'!B488,'JUNE (물량흐름)'!$AC$13:$AC$502),0)</f>
        <v>0</v>
      </c>
      <c r="AW488" s="58">
        <f t="shared" ref="AW488:AW492" si="260">ROUND(AR488*AV488,0)</f>
        <v>0</v>
      </c>
      <c r="AX488" s="376">
        <f t="shared" si="236"/>
        <v>0</v>
      </c>
      <c r="AY488" s="377">
        <f t="shared" si="237"/>
        <v>0</v>
      </c>
      <c r="AZ488" s="377">
        <f t="shared" si="238"/>
        <v>0</v>
      </c>
      <c r="BA488" s="377">
        <f t="shared" si="239"/>
        <v>0</v>
      </c>
      <c r="BB488" s="377"/>
      <c r="BC488" s="377">
        <f t="shared" si="240"/>
        <v>0</v>
      </c>
      <c r="BD488" s="377">
        <f t="shared" si="241"/>
        <v>0</v>
      </c>
      <c r="BE488" s="377"/>
      <c r="BF488" s="377">
        <f t="shared" si="242"/>
        <v>0</v>
      </c>
      <c r="BG488" s="433"/>
      <c r="BH488" s="434"/>
    </row>
    <row r="489" spans="1:60" s="378" customFormat="1">
      <c r="A489" s="167">
        <v>500</v>
      </c>
      <c r="B489" s="253" t="str">
        <f>VLOOKUP(A489,'JUNE (물량흐름)'!$A$13:$C$493,3,0)</f>
        <v>HA385921MP</v>
      </c>
      <c r="C489" s="57" t="str">
        <f>VLOOKUP(A489,'JUNE (물량흐름)'!$A$13:$C$493,2,0)</f>
        <v>NORDSTROM</v>
      </c>
      <c r="D489" s="58">
        <f>IFERROR(VLOOKUP(B489,O.B.JUNE!$V$7:$Y$448,2,0),0)</f>
        <v>0</v>
      </c>
      <c r="E489" s="58">
        <f>IFERROR(VLOOKUP(B489,O.B.JUNE!$V$7:$X$448,3,0),0)</f>
        <v>0</v>
      </c>
      <c r="F489" s="58">
        <f>IFERROR(VLOOKUP(B489,O.B.JUNE!$V$7:$Y$448,4,0),0)</f>
        <v>0</v>
      </c>
      <c r="G489" s="58">
        <f>SUMIF('JUNE (물량흐름)'!$C$13:$C$493,'In-out-bal products (155)(완성제품)'!B489,'JUNE (물량흐름)'!$V$13:$V$493)</f>
        <v>196</v>
      </c>
      <c r="H489" s="58">
        <f>SUMIF('JUNE (물량흐름)'!$C$13:$C$493,'In-out-bal products (155)(완성제품)'!B489,'JUNE (물량흐름)'!$T$13:$T$493)-SUMIF('JUNE (물량흐름)'!$C$13:$C$493,'In-out-bal products (155)(완성제품)'!B489,'JUNE (물량흐름)'!$Y$13:$Y$493)+SUMIF('JUNE (물량흐름)'!$C$13:$C$493,'In-out-bal products (155)(완성제품)'!B489,'JUNE (물량흐름)'!$U$13:$U$493)</f>
        <v>0</v>
      </c>
      <c r="I489" s="58">
        <f t="shared" si="244"/>
        <v>0</v>
      </c>
      <c r="J489" s="58">
        <f>SUMIF('Direct labour(직접노무비)'!$C$12:$C$503,'In-out-bal products (155)(완성제품)'!B489,'Direct labour(직접노무비)'!$Q$12:$Q$503)</f>
        <v>2199208</v>
      </c>
      <c r="K489" s="59">
        <f>SUMIF('Overhead exp(제조경비)'!$C$12:$C$503,'In-out-bal products (155)(완성제품)'!B489,'Overhead exp(제조경비)'!$Q$12:$Q$503)</f>
        <v>4296678</v>
      </c>
      <c r="L489" s="58">
        <f t="shared" si="245"/>
        <v>6495886</v>
      </c>
      <c r="M489" s="58">
        <f>SUMIF('JUNE (물량흐름)'!$C$13:$C$488,'In-out-bal products (155)(완성제품)'!B489,'JUNE (물량흐름)'!$Y$13:$Y$488)</f>
        <v>0</v>
      </c>
      <c r="N489" s="58">
        <f t="shared" si="246"/>
        <v>0</v>
      </c>
      <c r="O489" s="58">
        <f>SUMIF('Direct labour(직접노무비)'!$C$12:$C$503,'In-out-bal products (155)(완성제품)'!B489,'Direct labour(직접노무비)'!$U$12:$U$503)+SUMIF('Overhead exp(제조경비)'!$C$12:$C$503,'In-out-bal products (155)(완성제품)'!B489,'Overhead exp(제조경비)'!$U$12:$U$503)</f>
        <v>0</v>
      </c>
      <c r="P489" s="60">
        <f t="shared" si="247"/>
        <v>196</v>
      </c>
      <c r="Q489" s="60">
        <f t="shared" si="248"/>
        <v>33142.275510204083</v>
      </c>
      <c r="R489" s="60">
        <f t="shared" si="249"/>
        <v>6495886</v>
      </c>
      <c r="S489" s="58">
        <v>0</v>
      </c>
      <c r="T489" s="58">
        <v>0</v>
      </c>
      <c r="U489" s="58">
        <v>0</v>
      </c>
      <c r="V489" s="58">
        <f>SUMIF('JUNE (물량흐름)'!$C$13:$C$493,'In-out-bal products (155)(완성제품)'!B489,'JUNE (물량흐름)'!$W$13:$W$493)</f>
        <v>196</v>
      </c>
      <c r="W489" s="58">
        <f t="shared" si="250"/>
        <v>33142.275510204083</v>
      </c>
      <c r="X489" s="58">
        <f t="shared" si="233"/>
        <v>6495886</v>
      </c>
      <c r="Y489" s="58">
        <f>SUMIF('JUNE (물량흐름)'!$C$13:$C$488,'In-out-bal products (155)(완성제품)'!B489,'JUNE (물량흐름)'!$X$13:$X$488)</f>
        <v>0</v>
      </c>
      <c r="Z489" s="58">
        <f t="shared" si="251"/>
        <v>0</v>
      </c>
      <c r="AA489" s="58">
        <f t="shared" si="252"/>
        <v>0</v>
      </c>
      <c r="AB489" s="58"/>
      <c r="AC489" s="58"/>
      <c r="AD489" s="61"/>
      <c r="AE489" s="58">
        <f t="shared" si="253"/>
        <v>0</v>
      </c>
      <c r="AF489" s="58">
        <f t="shared" si="254"/>
        <v>0</v>
      </c>
      <c r="AG489" s="61">
        <f t="shared" si="255"/>
        <v>0</v>
      </c>
      <c r="AH489" s="58">
        <v>0</v>
      </c>
      <c r="AI489" s="58">
        <v>0</v>
      </c>
      <c r="AJ489" s="61">
        <v>0</v>
      </c>
      <c r="AK489" s="58"/>
      <c r="AL489" s="58"/>
      <c r="AM489" s="61"/>
      <c r="AN489" s="61">
        <f t="shared" si="243"/>
        <v>196</v>
      </c>
      <c r="AO489" s="58">
        <f t="shared" si="234"/>
        <v>33142.275510204083</v>
      </c>
      <c r="AP489" s="61">
        <f t="shared" si="235"/>
        <v>6495886</v>
      </c>
      <c r="AQ489" s="58">
        <f t="shared" si="256"/>
        <v>0</v>
      </c>
      <c r="AR489" s="58">
        <f t="shared" si="257"/>
        <v>0</v>
      </c>
      <c r="AS489" s="58">
        <f t="shared" si="258"/>
        <v>0</v>
      </c>
      <c r="AT489" s="58">
        <f>ROUND(SUMIF('JUNE (물량흐름)'!$C$13:$C$502,'In-out-bal products (155)(완성제품)'!B489,'JUNE (물량흐름)'!$AB$13:$AB$502),0)</f>
        <v>0</v>
      </c>
      <c r="AU489" s="58">
        <f t="shared" si="259"/>
        <v>0</v>
      </c>
      <c r="AV489" s="58">
        <f>ROUND(SUMIF('JUNE (물량흐름)'!$C$13:$C$502,'In-out-bal products (155)(완성제품)'!B489,'JUNE (물량흐름)'!$AC$13:$AC$502),0)</f>
        <v>0</v>
      </c>
      <c r="AW489" s="58">
        <f t="shared" si="260"/>
        <v>0</v>
      </c>
      <c r="AX489" s="376">
        <f t="shared" si="236"/>
        <v>0</v>
      </c>
      <c r="AY489" s="377">
        <f t="shared" si="237"/>
        <v>0</v>
      </c>
      <c r="AZ489" s="377">
        <f t="shared" si="238"/>
        <v>0</v>
      </c>
      <c r="BA489" s="377">
        <f t="shared" si="239"/>
        <v>0</v>
      </c>
      <c r="BB489" s="377"/>
      <c r="BC489" s="377">
        <f t="shared" si="240"/>
        <v>0</v>
      </c>
      <c r="BD489" s="377">
        <f t="shared" si="241"/>
        <v>0</v>
      </c>
      <c r="BE489" s="377"/>
      <c r="BF489" s="377">
        <f t="shared" si="242"/>
        <v>0</v>
      </c>
      <c r="BG489" s="433"/>
      <c r="BH489" s="434"/>
    </row>
    <row r="490" spans="1:60" s="378" customFormat="1">
      <c r="A490" s="167">
        <v>501</v>
      </c>
      <c r="B490" s="253" t="str">
        <f>VLOOKUP(A490,'JUNE (물량흐름)'!$A$13:$C$493,3,0)</f>
        <v>SJ301654WN</v>
      </c>
      <c r="C490" s="57" t="str">
        <f>VLOOKUP(A490,'JUNE (물량흐름)'!$A$13:$C$493,2,0)</f>
        <v>NORDSTROM</v>
      </c>
      <c r="D490" s="58">
        <f>IFERROR(VLOOKUP(B490,O.B.JUNE!$V$7:$Y$448,2,0),0)</f>
        <v>0</v>
      </c>
      <c r="E490" s="58">
        <f>IFERROR(VLOOKUP(B490,O.B.JUNE!$V$7:$X$448,3,0),0)</f>
        <v>0</v>
      </c>
      <c r="F490" s="58">
        <f>IFERROR(VLOOKUP(B490,O.B.JUNE!$V$7:$Y$448,4,0),0)</f>
        <v>0</v>
      </c>
      <c r="G490" s="58">
        <f>SUMIF('JUNE (물량흐름)'!$C$13:$C$493,'In-out-bal products (155)(완성제품)'!B490,'JUNE (물량흐름)'!$V$13:$V$493)</f>
        <v>3250</v>
      </c>
      <c r="H490" s="58">
        <f>SUMIF('JUNE (물량흐름)'!$C$13:$C$493,'In-out-bal products (155)(완성제품)'!B490,'JUNE (물량흐름)'!$T$13:$T$493)-SUMIF('JUNE (물량흐름)'!$C$13:$C$493,'In-out-bal products (155)(완성제품)'!B490,'JUNE (물량흐름)'!$Y$13:$Y$493)+SUMIF('JUNE (물량흐름)'!$C$13:$C$493,'In-out-bal products (155)(완성제품)'!B490,'JUNE (물량흐름)'!$U$13:$U$493)</f>
        <v>0</v>
      </c>
      <c r="I490" s="58">
        <f t="shared" si="244"/>
        <v>0</v>
      </c>
      <c r="J490" s="58">
        <f>SUMIF('Direct labour(직접노무비)'!$C$12:$C$503,'In-out-bal products (155)(완성제품)'!B490,'Direct labour(직접노무비)'!$Q$12:$Q$503)</f>
        <v>18233231</v>
      </c>
      <c r="K490" s="59">
        <f>SUMIF('Overhead exp(제조경비)'!$C$12:$C$503,'In-out-bal products (155)(완성제품)'!B490,'Overhead exp(제조경비)'!$Q$12:$Q$503)</f>
        <v>35622964</v>
      </c>
      <c r="L490" s="58">
        <f t="shared" si="245"/>
        <v>53856195</v>
      </c>
      <c r="M490" s="58">
        <f>SUMIF('JUNE (물량흐름)'!$C$13:$C$488,'In-out-bal products (155)(완성제품)'!B490,'JUNE (물량흐름)'!$Y$13:$Y$488)</f>
        <v>0</v>
      </c>
      <c r="N490" s="58">
        <f t="shared" si="246"/>
        <v>0</v>
      </c>
      <c r="O490" s="58">
        <f>SUMIF('Direct labour(직접노무비)'!$C$12:$C$503,'In-out-bal products (155)(완성제품)'!B490,'Direct labour(직접노무비)'!$U$12:$U$503)+SUMIF('Overhead exp(제조경비)'!$C$12:$C$503,'In-out-bal products (155)(완성제품)'!B490,'Overhead exp(제조경비)'!$U$12:$U$503)</f>
        <v>0</v>
      </c>
      <c r="P490" s="60">
        <f t="shared" si="247"/>
        <v>3250</v>
      </c>
      <c r="Q490" s="60">
        <f t="shared" si="248"/>
        <v>16571.136923076923</v>
      </c>
      <c r="R490" s="60">
        <f t="shared" si="249"/>
        <v>53856195</v>
      </c>
      <c r="S490" s="58">
        <v>0</v>
      </c>
      <c r="T490" s="58">
        <v>0</v>
      </c>
      <c r="U490" s="58">
        <v>0</v>
      </c>
      <c r="V490" s="58">
        <f>SUMIF('JUNE (물량흐름)'!$C$13:$C$493,'In-out-bal products (155)(완성제품)'!B490,'JUNE (물량흐름)'!$W$13:$W$493)</f>
        <v>3250</v>
      </c>
      <c r="W490" s="58">
        <f t="shared" si="250"/>
        <v>16571.136923076923</v>
      </c>
      <c r="X490" s="58">
        <f t="shared" si="233"/>
        <v>53856195</v>
      </c>
      <c r="Y490" s="58">
        <f>SUMIF('JUNE (물량흐름)'!$C$13:$C$488,'In-out-bal products (155)(완성제품)'!B490,'JUNE (물량흐름)'!$X$13:$X$488)</f>
        <v>0</v>
      </c>
      <c r="Z490" s="58">
        <f t="shared" si="251"/>
        <v>0</v>
      </c>
      <c r="AA490" s="58">
        <f t="shared" si="252"/>
        <v>0</v>
      </c>
      <c r="AB490" s="58"/>
      <c r="AC490" s="58"/>
      <c r="AD490" s="61"/>
      <c r="AE490" s="58">
        <f t="shared" si="253"/>
        <v>0</v>
      </c>
      <c r="AF490" s="58">
        <f t="shared" si="254"/>
        <v>0</v>
      </c>
      <c r="AG490" s="61">
        <f t="shared" si="255"/>
        <v>0</v>
      </c>
      <c r="AH490" s="58">
        <v>0</v>
      </c>
      <c r="AI490" s="58">
        <v>0</v>
      </c>
      <c r="AJ490" s="61">
        <v>0</v>
      </c>
      <c r="AK490" s="58"/>
      <c r="AL490" s="58"/>
      <c r="AM490" s="61"/>
      <c r="AN490" s="61">
        <f t="shared" si="243"/>
        <v>3250</v>
      </c>
      <c r="AO490" s="58">
        <f t="shared" si="234"/>
        <v>16571.136923076923</v>
      </c>
      <c r="AP490" s="61">
        <f t="shared" si="235"/>
        <v>53856195</v>
      </c>
      <c r="AQ490" s="58">
        <f t="shared" si="256"/>
        <v>0</v>
      </c>
      <c r="AR490" s="58">
        <f t="shared" si="257"/>
        <v>0</v>
      </c>
      <c r="AS490" s="58">
        <f t="shared" si="258"/>
        <v>0</v>
      </c>
      <c r="AT490" s="58">
        <f>ROUND(SUMIF('JUNE (물량흐름)'!$C$13:$C$502,'In-out-bal products (155)(완성제품)'!B490,'JUNE (물량흐름)'!$AB$13:$AB$502),0)</f>
        <v>0</v>
      </c>
      <c r="AU490" s="58">
        <f t="shared" si="259"/>
        <v>0</v>
      </c>
      <c r="AV490" s="58">
        <f>ROUND(SUMIF('JUNE (물량흐름)'!$C$13:$C$502,'In-out-bal products (155)(완성제품)'!B490,'JUNE (물량흐름)'!$AC$13:$AC$502),0)</f>
        <v>0</v>
      </c>
      <c r="AW490" s="58">
        <f t="shared" si="260"/>
        <v>0</v>
      </c>
      <c r="AX490" s="376">
        <f t="shared" si="236"/>
        <v>0</v>
      </c>
      <c r="AY490" s="377">
        <f t="shared" si="237"/>
        <v>0</v>
      </c>
      <c r="AZ490" s="377">
        <f t="shared" si="238"/>
        <v>0</v>
      </c>
      <c r="BA490" s="377">
        <f t="shared" si="239"/>
        <v>0</v>
      </c>
      <c r="BB490" s="377"/>
      <c r="BC490" s="377">
        <f t="shared" si="240"/>
        <v>0</v>
      </c>
      <c r="BD490" s="377">
        <f t="shared" si="241"/>
        <v>0</v>
      </c>
      <c r="BE490" s="377"/>
      <c r="BF490" s="377">
        <f t="shared" si="242"/>
        <v>0</v>
      </c>
      <c r="BG490" s="433"/>
      <c r="BH490" s="434"/>
    </row>
    <row r="491" spans="1:60" s="378" customFormat="1">
      <c r="A491" s="167">
        <v>502</v>
      </c>
      <c r="B491" s="253" t="str">
        <f>VLOOKUP(A491,'JUNE (물량흐름)'!$A$13:$C$493,3,0)</f>
        <v>TL298630MI</v>
      </c>
      <c r="C491" s="57" t="str">
        <f>VLOOKUP(A491,'JUNE (물량흐름)'!$A$13:$C$493,2,0)</f>
        <v>NORDSTROM</v>
      </c>
      <c r="D491" s="58">
        <f>IFERROR(VLOOKUP(B491,O.B.JUNE!$V$7:$Y$448,2,0),0)</f>
        <v>0</v>
      </c>
      <c r="E491" s="58">
        <f>IFERROR(VLOOKUP(B491,O.B.JUNE!$V$7:$X$448,3,0),0)</f>
        <v>0</v>
      </c>
      <c r="F491" s="58">
        <f>IFERROR(VLOOKUP(B491,O.B.JUNE!$V$7:$Y$448,4,0),0)</f>
        <v>0</v>
      </c>
      <c r="G491" s="58">
        <f>SUMIF('JUNE (물량흐름)'!$C$13:$C$493,'In-out-bal products (155)(완성제품)'!B491,'JUNE (물량흐름)'!$V$13:$V$493)</f>
        <v>6933</v>
      </c>
      <c r="H491" s="58">
        <f>SUMIF('JUNE (물량흐름)'!$C$13:$C$493,'In-out-bal products (155)(완성제품)'!B491,'JUNE (물량흐름)'!$T$13:$T$493)-SUMIF('JUNE (물량흐름)'!$C$13:$C$493,'In-out-bal products (155)(완성제품)'!B491,'JUNE (물량흐름)'!$Y$13:$Y$493)+SUMIF('JUNE (물량흐름)'!$C$13:$C$493,'In-out-bal products (155)(완성제품)'!B491,'JUNE (물량흐름)'!$U$13:$U$493)</f>
        <v>0</v>
      </c>
      <c r="I491" s="58">
        <f t="shared" si="244"/>
        <v>0</v>
      </c>
      <c r="J491" s="58">
        <f>SUMIF('Direct labour(직접노무비)'!$C$12:$C$503,'In-out-bal products (155)(완성제품)'!B491,'Direct labour(직접노무비)'!$Q$12:$Q$503)</f>
        <v>92377263</v>
      </c>
      <c r="K491" s="59">
        <f>SUMIF('Overhead exp(제조경비)'!$C$12:$C$503,'In-out-bal products (155)(완성제품)'!B491,'Overhead exp(제조경비)'!$Q$12:$Q$503)</f>
        <v>180481008</v>
      </c>
      <c r="L491" s="58">
        <f t="shared" si="245"/>
        <v>272858271</v>
      </c>
      <c r="M491" s="58">
        <f>SUMIF('JUNE (물량흐름)'!$C$13:$C$488,'In-out-bal products (155)(완성제품)'!B491,'JUNE (물량흐름)'!$Y$13:$Y$488)</f>
        <v>0</v>
      </c>
      <c r="N491" s="58">
        <f t="shared" si="246"/>
        <v>0</v>
      </c>
      <c r="O491" s="58">
        <f>SUMIF('Direct labour(직접노무비)'!$C$12:$C$503,'In-out-bal products (155)(완성제품)'!B491,'Direct labour(직접노무비)'!$U$12:$U$503)+SUMIF('Overhead exp(제조경비)'!$C$12:$C$503,'In-out-bal products (155)(완성제품)'!B491,'Overhead exp(제조경비)'!$U$12:$U$503)</f>
        <v>0</v>
      </c>
      <c r="P491" s="60">
        <f t="shared" si="247"/>
        <v>6933</v>
      </c>
      <c r="Q491" s="60">
        <f t="shared" si="248"/>
        <v>39356.450454348764</v>
      </c>
      <c r="R491" s="60">
        <f t="shared" si="249"/>
        <v>272858271</v>
      </c>
      <c r="S491" s="58">
        <v>0</v>
      </c>
      <c r="T491" s="58">
        <v>0</v>
      </c>
      <c r="U491" s="58">
        <v>0</v>
      </c>
      <c r="V491" s="58">
        <f>SUMIF('JUNE (물량흐름)'!$C$13:$C$493,'In-out-bal products (155)(완성제품)'!B491,'JUNE (물량흐름)'!$W$13:$W$493)</f>
        <v>6933</v>
      </c>
      <c r="W491" s="58">
        <f t="shared" si="250"/>
        <v>39356.450454348764</v>
      </c>
      <c r="X491" s="58">
        <f t="shared" si="233"/>
        <v>272858271</v>
      </c>
      <c r="Y491" s="58">
        <f>SUMIF('JUNE (물량흐름)'!$C$13:$C$488,'In-out-bal products (155)(완성제품)'!B491,'JUNE (물량흐름)'!$X$13:$X$488)</f>
        <v>0</v>
      </c>
      <c r="Z491" s="58">
        <f t="shared" si="251"/>
        <v>0</v>
      </c>
      <c r="AA491" s="58">
        <f t="shared" si="252"/>
        <v>0</v>
      </c>
      <c r="AB491" s="58"/>
      <c r="AC491" s="58"/>
      <c r="AD491" s="61"/>
      <c r="AE491" s="58">
        <f t="shared" si="253"/>
        <v>0</v>
      </c>
      <c r="AF491" s="58">
        <f t="shared" si="254"/>
        <v>0</v>
      </c>
      <c r="AG491" s="61">
        <f t="shared" si="255"/>
        <v>0</v>
      </c>
      <c r="AH491" s="58">
        <v>0</v>
      </c>
      <c r="AI491" s="58">
        <v>0</v>
      </c>
      <c r="AJ491" s="61">
        <v>0</v>
      </c>
      <c r="AK491" s="58"/>
      <c r="AL491" s="58"/>
      <c r="AM491" s="61"/>
      <c r="AN491" s="61">
        <f t="shared" si="243"/>
        <v>6933</v>
      </c>
      <c r="AO491" s="58">
        <f t="shared" si="234"/>
        <v>39356.450454348764</v>
      </c>
      <c r="AP491" s="61">
        <f t="shared" si="235"/>
        <v>272858271</v>
      </c>
      <c r="AQ491" s="58">
        <f t="shared" si="256"/>
        <v>0</v>
      </c>
      <c r="AR491" s="58">
        <f t="shared" si="257"/>
        <v>0</v>
      </c>
      <c r="AS491" s="58">
        <f t="shared" si="258"/>
        <v>0</v>
      </c>
      <c r="AT491" s="58">
        <f>ROUND(SUMIF('JUNE (물량흐름)'!$C$13:$C$502,'In-out-bal products (155)(완성제품)'!B491,'JUNE (물량흐름)'!$AB$13:$AB$502),0)</f>
        <v>0</v>
      </c>
      <c r="AU491" s="58">
        <f t="shared" si="259"/>
        <v>0</v>
      </c>
      <c r="AV491" s="58">
        <f>ROUND(SUMIF('JUNE (물량흐름)'!$C$13:$C$502,'In-out-bal products (155)(완성제품)'!B491,'JUNE (물량흐름)'!$AC$13:$AC$502),0)</f>
        <v>0</v>
      </c>
      <c r="AW491" s="58">
        <f t="shared" si="260"/>
        <v>0</v>
      </c>
      <c r="AX491" s="376">
        <f t="shared" si="236"/>
        <v>0</v>
      </c>
      <c r="AY491" s="377">
        <f t="shared" si="237"/>
        <v>0</v>
      </c>
      <c r="AZ491" s="377">
        <f t="shared" si="238"/>
        <v>0</v>
      </c>
      <c r="BA491" s="377">
        <f t="shared" si="239"/>
        <v>0</v>
      </c>
      <c r="BB491" s="377"/>
      <c r="BC491" s="377">
        <f t="shared" si="240"/>
        <v>0</v>
      </c>
      <c r="BD491" s="377">
        <f t="shared" si="241"/>
        <v>0</v>
      </c>
      <c r="BE491" s="377"/>
      <c r="BF491" s="377">
        <f t="shared" si="242"/>
        <v>0</v>
      </c>
      <c r="BG491" s="433"/>
      <c r="BH491" s="434"/>
    </row>
    <row r="492" spans="1:60" s="378" customFormat="1">
      <c r="A492" s="167">
        <v>503</v>
      </c>
      <c r="B492" s="253">
        <f>VLOOKUP(A492,'JUNE (물량흐름)'!$A$13:$C$493,3,0)</f>
        <v>183034537</v>
      </c>
      <c r="C492" s="57" t="str">
        <f>VLOOKUP(A492,'JUNE (물량흐름)'!$A$13:$C$493,2,0)</f>
        <v xml:space="preserve">TALBOTS </v>
      </c>
      <c r="D492" s="58">
        <f>IFERROR(VLOOKUP(B492,O.B.JUNE!$V$7:$Y$448,2,0),0)</f>
        <v>0</v>
      </c>
      <c r="E492" s="58">
        <f>IFERROR(VLOOKUP(B492,O.B.JUNE!$V$7:$X$448,3,0),0)</f>
        <v>0</v>
      </c>
      <c r="F492" s="58">
        <f>IFERROR(VLOOKUP(B492,O.B.JUNE!$V$7:$Y$448,4,0),0)</f>
        <v>0</v>
      </c>
      <c r="G492" s="58">
        <f>SUMIF('JUNE (물량흐름)'!$C$13:$C$493,'In-out-bal products (155)(완성제품)'!B492,'JUNE (물량흐름)'!$V$13:$V$493)</f>
        <v>17819</v>
      </c>
      <c r="H492" s="58">
        <f>SUMIF('JUNE (물량흐름)'!$C$13:$C$493,'In-out-bal products (155)(완성제품)'!B492,'JUNE (물량흐름)'!$T$13:$T$493)-SUMIF('JUNE (물량흐름)'!$C$13:$C$493,'In-out-bal products (155)(완성제품)'!B492,'JUNE (물량흐름)'!$Y$13:$Y$493)+SUMIF('JUNE (물량흐름)'!$C$13:$C$493,'In-out-bal products (155)(완성제품)'!B492,'JUNE (물량흐름)'!$U$13:$U$493)</f>
        <v>0</v>
      </c>
      <c r="I492" s="58">
        <f t="shared" si="244"/>
        <v>0</v>
      </c>
      <c r="J492" s="58">
        <f>SUMIF('Direct labour(직접노무비)'!$C$12:$C$503,'In-out-bal products (155)(완성제품)'!B492,'Direct labour(직접노무비)'!$Q$12:$Q$503)</f>
        <v>323109645</v>
      </c>
      <c r="K492" s="59">
        <f>SUMIF('Overhead exp(제조경비)'!$C$12:$C$503,'In-out-bal products (155)(완성제품)'!B492,'Overhead exp(제조경비)'!$Q$12:$Q$503)</f>
        <v>631271725</v>
      </c>
      <c r="L492" s="58">
        <f t="shared" si="245"/>
        <v>954381370</v>
      </c>
      <c r="M492" s="58">
        <f>SUMIF('JUNE (물량흐름)'!$C$13:$C$488,'In-out-bal products (155)(완성제품)'!B492,'JUNE (물량흐름)'!$Y$13:$Y$488)</f>
        <v>0</v>
      </c>
      <c r="N492" s="58">
        <f t="shared" si="246"/>
        <v>0</v>
      </c>
      <c r="O492" s="58">
        <f>SUMIF('Direct labour(직접노무비)'!$C$12:$C$503,'In-out-bal products (155)(완성제품)'!B492,'Direct labour(직접노무비)'!$U$12:$U$503)+SUMIF('Overhead exp(제조경비)'!$C$12:$C$503,'In-out-bal products (155)(완성제품)'!B492,'Overhead exp(제조경비)'!$U$12:$U$503)</f>
        <v>0</v>
      </c>
      <c r="P492" s="60">
        <f t="shared" si="247"/>
        <v>17819</v>
      </c>
      <c r="Q492" s="60">
        <f t="shared" si="248"/>
        <v>53559.760368146359</v>
      </c>
      <c r="R492" s="60">
        <f t="shared" si="249"/>
        <v>954381370</v>
      </c>
      <c r="S492" s="58">
        <v>0</v>
      </c>
      <c r="T492" s="58">
        <v>0</v>
      </c>
      <c r="U492" s="58">
        <v>0</v>
      </c>
      <c r="V492" s="58">
        <f>SUMIF('JUNE (물량흐름)'!$C$13:$C$493,'In-out-bal products (155)(완성제품)'!B492,'JUNE (물량흐름)'!$W$13:$W$493)</f>
        <v>17819</v>
      </c>
      <c r="W492" s="58">
        <f t="shared" si="250"/>
        <v>53559.760368146359</v>
      </c>
      <c r="X492" s="58">
        <f t="shared" si="233"/>
        <v>954381370</v>
      </c>
      <c r="Y492" s="58">
        <f>SUMIF('JUNE (물량흐름)'!$C$13:$C$488,'In-out-bal products (155)(완성제품)'!B492,'JUNE (물량흐름)'!$X$13:$X$488)</f>
        <v>0</v>
      </c>
      <c r="Z492" s="58">
        <f t="shared" si="251"/>
        <v>0</v>
      </c>
      <c r="AA492" s="58">
        <f t="shared" si="252"/>
        <v>0</v>
      </c>
      <c r="AB492" s="58"/>
      <c r="AC492" s="58"/>
      <c r="AD492" s="61"/>
      <c r="AE492" s="58">
        <f t="shared" si="253"/>
        <v>0</v>
      </c>
      <c r="AF492" s="58">
        <f t="shared" si="254"/>
        <v>0</v>
      </c>
      <c r="AG492" s="61">
        <f t="shared" si="255"/>
        <v>0</v>
      </c>
      <c r="AH492" s="58">
        <v>0</v>
      </c>
      <c r="AI492" s="58">
        <v>0</v>
      </c>
      <c r="AJ492" s="61">
        <v>0</v>
      </c>
      <c r="AK492" s="58"/>
      <c r="AL492" s="58"/>
      <c r="AM492" s="61"/>
      <c r="AN492" s="61">
        <f t="shared" si="243"/>
        <v>17819</v>
      </c>
      <c r="AO492" s="58">
        <f t="shared" si="234"/>
        <v>53559.760368146359</v>
      </c>
      <c r="AP492" s="61">
        <f>ROUND(X492+AA492+AD492+AG492+AJ492+AM492+U492,0)</f>
        <v>954381370</v>
      </c>
      <c r="AQ492" s="58">
        <f t="shared" si="256"/>
        <v>0</v>
      </c>
      <c r="AR492" s="58">
        <f t="shared" si="257"/>
        <v>0</v>
      </c>
      <c r="AS492" s="58">
        <f t="shared" si="258"/>
        <v>0</v>
      </c>
      <c r="AT492" s="58">
        <f>ROUND(SUMIF('JUNE (물량흐름)'!$C$13:$C$502,'In-out-bal products (155)(완성제품)'!B492,'JUNE (물량흐름)'!$AB$13:$AB$502),0)</f>
        <v>0</v>
      </c>
      <c r="AU492" s="58">
        <f t="shared" si="259"/>
        <v>0</v>
      </c>
      <c r="AV492" s="58">
        <f>ROUND(SUMIF('JUNE (물량흐름)'!$C$13:$C$502,'In-out-bal products (155)(완성제품)'!B492,'JUNE (물량흐름)'!$AC$13:$AC$502),0)</f>
        <v>0</v>
      </c>
      <c r="AW492" s="58">
        <f t="shared" si="260"/>
        <v>0</v>
      </c>
      <c r="AX492" s="376">
        <f t="shared" si="236"/>
        <v>0</v>
      </c>
      <c r="AY492" s="377">
        <f t="shared" si="237"/>
        <v>0</v>
      </c>
      <c r="AZ492" s="377">
        <f t="shared" si="238"/>
        <v>0</v>
      </c>
      <c r="BA492" s="377">
        <f t="shared" si="239"/>
        <v>0</v>
      </c>
      <c r="BB492" s="377"/>
      <c r="BC492" s="377">
        <f t="shared" si="240"/>
        <v>0</v>
      </c>
      <c r="BD492" s="377">
        <f t="shared" si="241"/>
        <v>0</v>
      </c>
      <c r="BE492" s="377"/>
      <c r="BF492" s="377">
        <f t="shared" si="242"/>
        <v>0</v>
      </c>
      <c r="BG492" s="433"/>
      <c r="BH492" s="434"/>
    </row>
    <row r="493" spans="1:60">
      <c r="A493" s="541" t="s">
        <v>0</v>
      </c>
      <c r="B493" s="542"/>
      <c r="C493" s="542"/>
      <c r="D493" s="63">
        <f>SUBTOTAL(9,D12:D492)</f>
        <v>173116</v>
      </c>
      <c r="E493" s="63">
        <f t="shared" ref="E493:AW493" si="261">SUBTOTAL(9,E12:E492)</f>
        <v>3971446.5589615949</v>
      </c>
      <c r="F493" s="63">
        <f t="shared" si="261"/>
        <v>6043796522</v>
      </c>
      <c r="G493" s="63">
        <f t="shared" si="261"/>
        <v>30790</v>
      </c>
      <c r="H493" s="63">
        <f t="shared" si="261"/>
        <v>414771</v>
      </c>
      <c r="I493" s="63">
        <f t="shared" si="261"/>
        <v>8054891.9361899653</v>
      </c>
      <c r="J493" s="63">
        <f t="shared" si="261"/>
        <v>6260644579</v>
      </c>
      <c r="K493" s="63">
        <f t="shared" si="261"/>
        <v>12031157198</v>
      </c>
      <c r="L493" s="63">
        <f t="shared" si="261"/>
        <v>18291801777</v>
      </c>
      <c r="M493" s="63">
        <f t="shared" si="261"/>
        <v>605</v>
      </c>
      <c r="N493" s="63">
        <f t="shared" si="261"/>
        <v>2835809.9837995339</v>
      </c>
      <c r="O493" s="63">
        <f t="shared" si="261"/>
        <v>28190139</v>
      </c>
      <c r="P493" s="63">
        <f t="shared" si="261"/>
        <v>446166</v>
      </c>
      <c r="Q493" s="63">
        <f t="shared" si="261"/>
        <v>8978729.0063697752</v>
      </c>
      <c r="R493" s="63">
        <f t="shared" si="261"/>
        <v>18319991916</v>
      </c>
      <c r="S493" s="63">
        <f t="shared" si="261"/>
        <v>0</v>
      </c>
      <c r="T493" s="63">
        <f t="shared" si="261"/>
        <v>0</v>
      </c>
      <c r="U493" s="63">
        <f t="shared" si="261"/>
        <v>0</v>
      </c>
      <c r="V493" s="63">
        <f t="shared" si="261"/>
        <v>392031</v>
      </c>
      <c r="W493" s="63">
        <f t="shared" si="261"/>
        <v>3759571.7969357544</v>
      </c>
      <c r="X493" s="63">
        <f t="shared" si="261"/>
        <v>15788962803</v>
      </c>
      <c r="Y493" s="63">
        <f t="shared" si="261"/>
        <v>0</v>
      </c>
      <c r="Z493" s="63">
        <f t="shared" si="261"/>
        <v>0</v>
      </c>
      <c r="AA493" s="63">
        <f t="shared" si="261"/>
        <v>0</v>
      </c>
      <c r="AB493" s="63">
        <f t="shared" si="261"/>
        <v>0</v>
      </c>
      <c r="AC493" s="63">
        <f t="shared" si="261"/>
        <v>0</v>
      </c>
      <c r="AD493" s="63">
        <f t="shared" si="261"/>
        <v>0</v>
      </c>
      <c r="AE493" s="63">
        <f t="shared" si="261"/>
        <v>605</v>
      </c>
      <c r="AF493" s="63">
        <f t="shared" si="261"/>
        <v>2835809.9837995339</v>
      </c>
      <c r="AG493" s="63">
        <f t="shared" si="261"/>
        <v>28190139</v>
      </c>
      <c r="AH493" s="63">
        <f t="shared" si="261"/>
        <v>0</v>
      </c>
      <c r="AI493" s="63">
        <f t="shared" si="261"/>
        <v>0</v>
      </c>
      <c r="AJ493" s="63">
        <f t="shared" si="261"/>
        <v>0</v>
      </c>
      <c r="AK493" s="63">
        <f t="shared" si="261"/>
        <v>0</v>
      </c>
      <c r="AL493" s="63">
        <f t="shared" si="261"/>
        <v>0</v>
      </c>
      <c r="AM493" s="63">
        <f t="shared" si="261"/>
        <v>0</v>
      </c>
      <c r="AN493" s="63">
        <f t="shared" si="261"/>
        <v>392636</v>
      </c>
      <c r="AO493" s="63">
        <f t="shared" si="261"/>
        <v>4381667.0876942351</v>
      </c>
      <c r="AP493" s="63">
        <f t="shared" si="261"/>
        <v>15817152942</v>
      </c>
      <c r="AQ493" s="63">
        <f t="shared" si="261"/>
        <v>226646</v>
      </c>
      <c r="AR493" s="63">
        <f t="shared" si="261"/>
        <v>9382595.6621543076</v>
      </c>
      <c r="AS493" s="63">
        <f t="shared" si="261"/>
        <v>8546635496</v>
      </c>
      <c r="AT493" s="63">
        <f t="shared" si="261"/>
        <v>184933</v>
      </c>
      <c r="AU493" s="63">
        <f t="shared" si="261"/>
        <v>7306633775</v>
      </c>
      <c r="AV493" s="63">
        <f t="shared" si="261"/>
        <v>41713</v>
      </c>
      <c r="AW493" s="63">
        <f t="shared" si="261"/>
        <v>1240001721</v>
      </c>
      <c r="AX493" s="376">
        <f t="shared" ref="AX493" si="262">D493+P493-AN493-AQ493</f>
        <v>0</v>
      </c>
      <c r="AY493" s="377">
        <f t="shared" ref="AY493" si="263">F493+R493-AP493-AS493</f>
        <v>0</v>
      </c>
      <c r="AZ493" s="377">
        <f t="shared" ref="AZ493" si="264">AQ493-AT493-AV493</f>
        <v>0</v>
      </c>
      <c r="BA493" s="377">
        <f t="shared" ref="BA493" si="265">AS493-AU493-AW493</f>
        <v>0</v>
      </c>
      <c r="BB493" s="377"/>
      <c r="BC493" s="377">
        <f t="shared" ref="BC493" si="266">F493+R493-AP493-AS493</f>
        <v>0</v>
      </c>
      <c r="BH493" s="359"/>
    </row>
    <row r="494" spans="1:60">
      <c r="BH494" s="359"/>
    </row>
    <row r="495" spans="1:60">
      <c r="BH495" s="359"/>
    </row>
    <row r="496" spans="1:60">
      <c r="BH496" s="359"/>
    </row>
    <row r="497" spans="41:60">
      <c r="BH497" s="359"/>
    </row>
    <row r="498" spans="41:60">
      <c r="BH498" s="359"/>
    </row>
    <row r="499" spans="41:60">
      <c r="BH499" s="359"/>
    </row>
    <row r="500" spans="41:60">
      <c r="BH500" s="359"/>
    </row>
    <row r="501" spans="41:60">
      <c r="BH501" s="359"/>
    </row>
    <row r="502" spans="41:60">
      <c r="BH502" s="359"/>
    </row>
    <row r="503" spans="41:60">
      <c r="BH503" s="359"/>
    </row>
    <row r="504" spans="41:60">
      <c r="BH504" s="359"/>
    </row>
    <row r="505" spans="41:60">
      <c r="AO505" s="64">
        <f>R220-X220</f>
        <v>0</v>
      </c>
    </row>
  </sheetData>
  <autoFilter ref="A10:BF492" xr:uid="{00000000-0009-0000-0000-000004000000}"/>
  <mergeCells count="26">
    <mergeCell ref="AV9:AW9"/>
    <mergeCell ref="P8:R9"/>
    <mergeCell ref="AN8:AP9"/>
    <mergeCell ref="AV8:AW8"/>
    <mergeCell ref="AH9:AJ9"/>
    <mergeCell ref="V8:AM8"/>
    <mergeCell ref="AT9:AU9"/>
    <mergeCell ref="S8:U8"/>
    <mergeCell ref="S9:U9"/>
    <mergeCell ref="AK9:AM9"/>
    <mergeCell ref="AT8:AU8"/>
    <mergeCell ref="AQ8:AS8"/>
    <mergeCell ref="AE9:AG9"/>
    <mergeCell ref="AQ9:AS9"/>
    <mergeCell ref="V9:X9"/>
    <mergeCell ref="Y9:AA9"/>
    <mergeCell ref="A493:C493"/>
    <mergeCell ref="AB9:AD9"/>
    <mergeCell ref="A8:A9"/>
    <mergeCell ref="B8:B9"/>
    <mergeCell ref="H8:K8"/>
    <mergeCell ref="H9:K9"/>
    <mergeCell ref="M9:O9"/>
    <mergeCell ref="M8:O8"/>
    <mergeCell ref="D9:F9"/>
    <mergeCell ref="D8:F8"/>
  </mergeCells>
  <phoneticPr fontId="0" type="noConversion"/>
  <conditionalFormatting sqref="AR9:AS10 C4:C10 AT9:AV9 AQ8:AQ10 L8:M9 P8:AP9 AT10:AW10 AT8:AW8 A4:B7 A10:B10 D10:AP10 D8:H9 A494:AY64588 AZ505:IS1048576 AX8:IS11 A11:AW11 A493 AZ494:BG504 D4:IS7 BH12:IS504 B12:BH492 D493:BG493">
    <cfRule type="cellIs" dxfId="14" priority="178" stopIfTrue="1" operator="lessThan">
      <formula>0</formula>
    </cfRule>
  </conditionalFormatting>
  <conditionalFormatting sqref="M1:O2">
    <cfRule type="cellIs" dxfId="13" priority="65" stopIfTrue="1" operator="lessThan">
      <formula>0</formula>
    </cfRule>
  </conditionalFormatting>
  <printOptions horizontalCentered="1"/>
  <pageMargins left="0" right="0" top="0.25" bottom="0" header="0.3" footer="0"/>
  <pageSetup paperSize="8" scale="40" fitToHeight="0" orientation="landscape" r:id="rId1"/>
  <headerFooter alignWithMargins="0"/>
  <colBreaks count="1" manualBreakCount="1">
    <brk id="49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2"/>
  <dimension ref="A1:Q497"/>
  <sheetViews>
    <sheetView view="pageBreakPreview" zoomScale="85" zoomScaleNormal="100" zoomScaleSheetLayoutView="85" workbookViewId="0">
      <pane xSplit="4" ySplit="8" topLeftCell="E375" activePane="bottomRight" state="frozen"/>
      <selection pane="topRight" activeCell="E1" sqref="E1"/>
      <selection pane="bottomLeft" activeCell="A9" sqref="A9"/>
      <selection pane="bottomRight"/>
    </sheetView>
  </sheetViews>
  <sheetFormatPr defaultColWidth="9.140625" defaultRowHeight="12.75"/>
  <cols>
    <col min="1" max="1" width="6.28515625" style="223" customWidth="1"/>
    <col min="2" max="2" width="8.5703125" style="223" customWidth="1"/>
    <col min="3" max="3" width="15.42578125" style="68" customWidth="1"/>
    <col min="4" max="4" width="17.5703125" style="69" customWidth="1"/>
    <col min="5" max="5" width="16.5703125" style="70" customWidth="1"/>
    <col min="6" max="6" width="23" style="71" customWidth="1"/>
    <col min="7" max="7" width="18.140625" style="70" customWidth="1"/>
    <col min="8" max="8" width="12.42578125" style="70" customWidth="1"/>
    <col min="9" max="9" width="13.7109375" style="68" customWidth="1"/>
    <col min="10" max="10" width="18" style="68" customWidth="1"/>
    <col min="11" max="11" width="10.42578125" style="71" bestFit="1" customWidth="1"/>
    <col min="12" max="14" width="9.42578125" style="70" customWidth="1"/>
    <col min="15" max="15" width="12.85546875" style="71" customWidth="1"/>
    <col min="16" max="16" width="21.85546875" style="68" customWidth="1"/>
    <col min="17" max="17" width="22" style="68" customWidth="1"/>
    <col min="18" max="19" width="9.140625" style="68"/>
    <col min="20" max="20" width="28.140625" style="68" customWidth="1"/>
    <col min="21" max="16384" width="9.140625" style="68"/>
  </cols>
  <sheetData>
    <row r="1" spans="1:17">
      <c r="A1" s="222"/>
    </row>
    <row r="3" spans="1:17" ht="15.75">
      <c r="A3" s="580" t="s">
        <v>297</v>
      </c>
      <c r="B3" s="580"/>
      <c r="C3" s="580"/>
      <c r="G3" s="44"/>
    </row>
    <row r="4" spans="1:17">
      <c r="A4" s="581" t="str">
        <f>'COGS(매출원가+재공품+완성제품)'!A3</f>
        <v>For the month of JUNE 2018</v>
      </c>
      <c r="B4" s="581"/>
      <c r="C4" s="581"/>
    </row>
    <row r="5" spans="1:17" s="67" customFormat="1">
      <c r="A5" s="222"/>
      <c r="B5" s="222"/>
      <c r="D5" s="72"/>
      <c r="E5" s="73">
        <f t="shared" ref="E5:O5" si="0">SUBTOTAL(9,E9:E491)</f>
        <v>392031</v>
      </c>
      <c r="F5" s="73">
        <f t="shared" si="0"/>
        <v>19607773243</v>
      </c>
      <c r="G5" s="73">
        <f t="shared" si="0"/>
        <v>15788962803</v>
      </c>
      <c r="H5" s="73">
        <f t="shared" si="0"/>
        <v>33.703852902638204</v>
      </c>
      <c r="I5" s="73">
        <f t="shared" si="0"/>
        <v>740195.48403557402</v>
      </c>
      <c r="J5" s="73">
        <f t="shared" si="0"/>
        <v>1673756002.9999998</v>
      </c>
      <c r="K5" s="73">
        <f t="shared" si="0"/>
        <v>614.98789544822102</v>
      </c>
      <c r="L5" s="73">
        <f t="shared" si="0"/>
        <v>180.84031793191133</v>
      </c>
      <c r="M5" s="73">
        <f t="shared" si="0"/>
        <v>416.09183682230474</v>
      </c>
      <c r="N5" s="73">
        <f t="shared" si="0"/>
        <v>18.055740694004406</v>
      </c>
      <c r="O5" s="476">
        <f t="shared" si="0"/>
        <v>864612.24999999953</v>
      </c>
      <c r="P5" s="476"/>
      <c r="Q5" s="73">
        <f>SUBTOTAL(9,Q9:Q491)</f>
        <v>0</v>
      </c>
    </row>
    <row r="6" spans="1:17" ht="25.5" customHeight="1">
      <c r="A6" s="584" t="s">
        <v>37</v>
      </c>
      <c r="B6" s="584" t="s">
        <v>145</v>
      </c>
      <c r="C6" s="590" t="s">
        <v>4</v>
      </c>
      <c r="D6" s="592" t="s">
        <v>38</v>
      </c>
      <c r="E6" s="592" t="s">
        <v>147</v>
      </c>
      <c r="F6" s="74" t="s">
        <v>39</v>
      </c>
      <c r="G6" s="75" t="s">
        <v>40</v>
      </c>
      <c r="H6" s="586" t="s">
        <v>298</v>
      </c>
      <c r="I6" s="587"/>
      <c r="J6" s="164" t="s">
        <v>177</v>
      </c>
      <c r="K6" s="588" t="s">
        <v>146</v>
      </c>
      <c r="L6" s="582" t="s">
        <v>173</v>
      </c>
      <c r="M6" s="573" t="s">
        <v>299</v>
      </c>
      <c r="N6" s="578" t="s">
        <v>178</v>
      </c>
    </row>
    <row r="7" spans="1:17" ht="27" customHeight="1">
      <c r="A7" s="585"/>
      <c r="B7" s="585"/>
      <c r="C7" s="591"/>
      <c r="D7" s="593"/>
      <c r="E7" s="593"/>
      <c r="F7" s="76" t="s">
        <v>41</v>
      </c>
      <c r="G7" s="77" t="s">
        <v>41</v>
      </c>
      <c r="H7" s="77" t="s">
        <v>143</v>
      </c>
      <c r="I7" s="77" t="s">
        <v>144</v>
      </c>
      <c r="J7" s="77" t="s">
        <v>144</v>
      </c>
      <c r="K7" s="589"/>
      <c r="L7" s="583"/>
      <c r="M7" s="574"/>
      <c r="N7" s="579"/>
      <c r="O7" s="78" t="s">
        <v>150</v>
      </c>
    </row>
    <row r="8" spans="1:17" s="223" customFormat="1">
      <c r="A8" s="224">
        <v>1</v>
      </c>
      <c r="B8" s="225">
        <v>3</v>
      </c>
      <c r="C8" s="225">
        <v>4</v>
      </c>
      <c r="D8" s="225">
        <v>5</v>
      </c>
      <c r="E8" s="225">
        <v>6</v>
      </c>
      <c r="F8" s="226">
        <v>7</v>
      </c>
      <c r="G8" s="225">
        <v>8</v>
      </c>
      <c r="H8" s="225">
        <v>9</v>
      </c>
      <c r="I8" s="225">
        <v>10</v>
      </c>
      <c r="J8" s="225"/>
      <c r="K8" s="226">
        <v>11</v>
      </c>
      <c r="L8" s="227">
        <v>12</v>
      </c>
      <c r="M8" s="228"/>
      <c r="N8" s="228"/>
      <c r="O8" s="229"/>
    </row>
    <row r="9" spans="1:17" s="417" customFormat="1" ht="14.25" customHeight="1">
      <c r="A9" s="167">
        <v>1</v>
      </c>
      <c r="B9" s="409">
        <v>22675</v>
      </c>
      <c r="C9" s="20" t="str">
        <f>VLOOKUP(A9,'JUNE (물량흐름)'!$A$13:$C$502,2,0)</f>
        <v>ALFANI</v>
      </c>
      <c r="D9" s="282">
        <f>VLOOKUP(A9,'JUNE (물량흐름)'!$A$13:$C$502,3,0)</f>
        <v>69717</v>
      </c>
      <c r="E9" s="6">
        <f>VLOOKUP(D9,'JUNE (물량흐름)'!$C$13:$W$502,21,0)</f>
        <v>2370</v>
      </c>
      <c r="F9" s="6">
        <f>IFERROR(ROUND(E9*K9*B9,0),0)</f>
        <v>111241283</v>
      </c>
      <c r="G9" s="6">
        <f>ROUND(SUMIF('In-out-bal products (155)(완성제품)'!$B$12:$B$493,'Sales profit (스타일 별 매출이익)'!D9,'In-out-bal products (155)(완성제품)'!$X$12:$X$493) + SUMIF('In-out-bal products (155)(완성제품)'!$B$12:$B$493,'Sales profit (스타일 별 매출이익)'!D9,'In-out-bal products (155)(완성제품)'!$AA$12:$AA$493),0)</f>
        <v>28738021</v>
      </c>
      <c r="H9" s="283">
        <f t="shared" ref="H9" si="1">IFERROR(I9/B9,0)</f>
        <v>1.535237175461367</v>
      </c>
      <c r="I9" s="284">
        <f t="shared" ref="I9" si="2">IFERROR((F9-G9)/E9,0)</f>
        <v>34811.502953586496</v>
      </c>
      <c r="J9" s="284">
        <f t="shared" ref="J9:J40" si="3">IFERROR(F9*$J$492/$F$492,0)</f>
        <v>9495762.8739990741</v>
      </c>
      <c r="K9" s="283">
        <v>2.0699999999999998</v>
      </c>
      <c r="L9" s="285">
        <f t="shared" ref="L9" si="4">IFERROR(G9/E9/B9,0)</f>
        <v>0.53476283384273282</v>
      </c>
      <c r="M9" s="285">
        <f t="shared" ref="M9" si="5">K9-L9-N9</f>
        <v>1.3585381142636672</v>
      </c>
      <c r="N9" s="285">
        <f t="shared" ref="N9" si="6">IFERROR(J9/E9/B9,0)</f>
        <v>0.17669905189359969</v>
      </c>
      <c r="O9" s="416">
        <f>ROUND(K9*E9,2)</f>
        <v>4905.8999999999996</v>
      </c>
      <c r="P9" s="417">
        <f>+B9*K9</f>
        <v>46937.25</v>
      </c>
      <c r="Q9" s="441"/>
    </row>
    <row r="10" spans="1:17" s="417" customFormat="1" ht="14.25" customHeight="1">
      <c r="A10" s="167">
        <v>2</v>
      </c>
      <c r="B10" s="409">
        <v>22675</v>
      </c>
      <c r="C10" s="20" t="str">
        <f>VLOOKUP(A10,'JUNE (물량흐름)'!$A$13:$C$502,2,0)</f>
        <v>ALFANI</v>
      </c>
      <c r="D10" s="282">
        <f>VLOOKUP(A10,'JUNE (물량흐름)'!$A$13:$C$502,3,0)</f>
        <v>73738</v>
      </c>
      <c r="E10" s="6">
        <f>VLOOKUP(D10,'JUNE (물량흐름)'!$C$13:$W$502,21,0)</f>
        <v>0</v>
      </c>
      <c r="F10" s="6">
        <f t="shared" ref="F10:F73" si="7">IFERROR(ROUND(E10*K10*B10,0),0)</f>
        <v>0</v>
      </c>
      <c r="G10" s="6">
        <f>ROUND(SUMIF('In-out-bal products (155)(완성제품)'!$B$12:$B$493,'Sales profit (스타일 별 매출이익)'!D10,'In-out-bal products (155)(완성제품)'!$X$12:$X$493) + SUMIF('In-out-bal products (155)(완성제품)'!$B$12:$B$493,'Sales profit (스타일 별 매출이익)'!D10,'In-out-bal products (155)(완성제품)'!$AA$12:$AA$493),0)</f>
        <v>0</v>
      </c>
      <c r="H10" s="283">
        <f t="shared" ref="H10:H73" si="8">IFERROR(I10/B10,0)</f>
        <v>0</v>
      </c>
      <c r="I10" s="284">
        <f t="shared" ref="I10:I73" si="9">IFERROR((F10-G10)/E10,0)</f>
        <v>0</v>
      </c>
      <c r="J10" s="284">
        <f t="shared" si="3"/>
        <v>0</v>
      </c>
      <c r="K10" s="283">
        <v>1.8</v>
      </c>
      <c r="L10" s="285">
        <f t="shared" ref="L10:L73" si="10">IFERROR(G10/E10/B10,0)</f>
        <v>0</v>
      </c>
      <c r="M10" s="285">
        <f t="shared" ref="M10:M73" si="11">K10-L10-N10</f>
        <v>1.8</v>
      </c>
      <c r="N10" s="285">
        <f t="shared" ref="N10:N73" si="12">IFERROR(J10/E10/B10,0)</f>
        <v>0</v>
      </c>
      <c r="O10" s="416">
        <f t="shared" ref="O10:O73" si="13">ROUND(K10*E10,2)</f>
        <v>0</v>
      </c>
      <c r="P10" s="417">
        <f t="shared" ref="P10:P73" si="14">+B10*K10</f>
        <v>40815</v>
      </c>
      <c r="Q10" s="441"/>
    </row>
    <row r="11" spans="1:17" s="417" customFormat="1" ht="14.25" customHeight="1">
      <c r="A11" s="167">
        <v>3</v>
      </c>
      <c r="B11" s="409">
        <v>22675</v>
      </c>
      <c r="C11" s="20" t="str">
        <f>VLOOKUP(A11,'JUNE (물량흐름)'!$A$13:$C$502,2,0)</f>
        <v>ALFANI</v>
      </c>
      <c r="D11" s="282">
        <f>VLOOKUP(A11,'JUNE (물량흐름)'!$A$13:$C$502,3,0)</f>
        <v>73746</v>
      </c>
      <c r="E11" s="6">
        <f>VLOOKUP(D11,'JUNE (물량흐름)'!$C$13:$W$502,21,0)</f>
        <v>0</v>
      </c>
      <c r="F11" s="6">
        <f t="shared" si="7"/>
        <v>0</v>
      </c>
      <c r="G11" s="6">
        <f>ROUND(SUMIF('In-out-bal products (155)(완성제품)'!$B$12:$B$493,'Sales profit (스타일 별 매출이익)'!D11,'In-out-bal products (155)(완성제품)'!$X$12:$X$493) + SUMIF('In-out-bal products (155)(완성제품)'!$B$12:$B$493,'Sales profit (스타일 별 매출이익)'!D11,'In-out-bal products (155)(완성제품)'!$AA$12:$AA$493),0)</f>
        <v>0</v>
      </c>
      <c r="H11" s="283">
        <f t="shared" si="8"/>
        <v>0</v>
      </c>
      <c r="I11" s="284">
        <f t="shared" si="9"/>
        <v>0</v>
      </c>
      <c r="J11" s="284">
        <f t="shared" si="3"/>
        <v>0</v>
      </c>
      <c r="K11" s="283">
        <v>0.35</v>
      </c>
      <c r="L11" s="285">
        <f t="shared" si="10"/>
        <v>0</v>
      </c>
      <c r="M11" s="285">
        <f t="shared" si="11"/>
        <v>0.35</v>
      </c>
      <c r="N11" s="285">
        <f t="shared" si="12"/>
        <v>0</v>
      </c>
      <c r="O11" s="416">
        <f t="shared" si="13"/>
        <v>0</v>
      </c>
      <c r="P11" s="417">
        <f t="shared" si="14"/>
        <v>7936.2499999999991</v>
      </c>
      <c r="Q11" s="441"/>
    </row>
    <row r="12" spans="1:17" s="417" customFormat="1" ht="14.25" customHeight="1">
      <c r="A12" s="167">
        <v>4</v>
      </c>
      <c r="B12" s="409">
        <v>22675</v>
      </c>
      <c r="C12" s="20" t="str">
        <f>VLOOKUP(A12,'JUNE (물량흐름)'!$A$13:$C$502,2,0)</f>
        <v>ALFANI</v>
      </c>
      <c r="D12" s="282">
        <f>VLOOKUP(A12,'JUNE (물량흐름)'!$A$13:$C$502,3,0)</f>
        <v>74211</v>
      </c>
      <c r="E12" s="6">
        <f>VLOOKUP(D12,'JUNE (물량흐름)'!$C$13:$W$502,21,0)</f>
        <v>0</v>
      </c>
      <c r="F12" s="6">
        <f t="shared" si="7"/>
        <v>0</v>
      </c>
      <c r="G12" s="6">
        <f>ROUND(SUMIF('In-out-bal products (155)(완성제품)'!$B$12:$B$493,'Sales profit (스타일 별 매출이익)'!D12,'In-out-bal products (155)(완성제품)'!$X$12:$X$493) + SUMIF('In-out-bal products (155)(완성제품)'!$B$12:$B$493,'Sales profit (스타일 별 매출이익)'!D12,'In-out-bal products (155)(완성제품)'!$AA$12:$AA$493),0)</f>
        <v>0</v>
      </c>
      <c r="H12" s="283">
        <f t="shared" si="8"/>
        <v>0</v>
      </c>
      <c r="I12" s="284">
        <f t="shared" si="9"/>
        <v>0</v>
      </c>
      <c r="J12" s="284">
        <f t="shared" si="3"/>
        <v>0</v>
      </c>
      <c r="K12" s="283">
        <v>2</v>
      </c>
      <c r="L12" s="285">
        <f t="shared" si="10"/>
        <v>0</v>
      </c>
      <c r="M12" s="285">
        <f t="shared" si="11"/>
        <v>2</v>
      </c>
      <c r="N12" s="285">
        <f t="shared" si="12"/>
        <v>0</v>
      </c>
      <c r="O12" s="416">
        <f t="shared" si="13"/>
        <v>0</v>
      </c>
      <c r="P12" s="417">
        <f t="shared" si="14"/>
        <v>45350</v>
      </c>
      <c r="Q12" s="441"/>
    </row>
    <row r="13" spans="1:17" s="417" customFormat="1" ht="14.25" customHeight="1">
      <c r="A13" s="167">
        <v>5</v>
      </c>
      <c r="B13" s="409">
        <v>22675</v>
      </c>
      <c r="C13" s="20" t="str">
        <f>VLOOKUP(A13,'JUNE (물량흐름)'!$A$13:$C$502,2,0)</f>
        <v>ALFANI</v>
      </c>
      <c r="D13" s="282">
        <f>VLOOKUP(A13,'JUNE (물량흐름)'!$A$13:$C$502,3,0)</f>
        <v>2072</v>
      </c>
      <c r="E13" s="6">
        <f>VLOOKUP(D13,'JUNE (물량흐름)'!$C$13:$W$502,21,0)</f>
        <v>11304</v>
      </c>
      <c r="F13" s="6">
        <f t="shared" si="7"/>
        <v>322960932</v>
      </c>
      <c r="G13" s="6">
        <f>ROUND(SUMIF('In-out-bal products (155)(완성제품)'!$B$12:$B$493,'Sales profit (스타일 별 매출이익)'!D13,'In-out-bal products (155)(완성제품)'!$X$12:$X$493) + SUMIF('In-out-bal products (155)(완성제품)'!$B$12:$B$493,'Sales profit (스타일 별 매출이익)'!D13,'In-out-bal products (155)(완성제품)'!$AA$12:$AA$493),0)</f>
        <v>279591439</v>
      </c>
      <c r="H13" s="283">
        <f t="shared" si="8"/>
        <v>0.16920176951929281</v>
      </c>
      <c r="I13" s="284">
        <f t="shared" si="9"/>
        <v>3836.6501238499645</v>
      </c>
      <c r="J13" s="284">
        <f t="shared" si="3"/>
        <v>27568546.003175277</v>
      </c>
      <c r="K13" s="283">
        <v>1.26</v>
      </c>
      <c r="L13" s="285">
        <f t="shared" si="10"/>
        <v>1.0907982304807071</v>
      </c>
      <c r="M13" s="285">
        <f t="shared" si="11"/>
        <v>6.1645825371841503E-2</v>
      </c>
      <c r="N13" s="285">
        <f t="shared" si="12"/>
        <v>0.10755594414745138</v>
      </c>
      <c r="O13" s="416">
        <f t="shared" si="13"/>
        <v>14243.04</v>
      </c>
      <c r="P13" s="417">
        <f t="shared" si="14"/>
        <v>28570.5</v>
      </c>
      <c r="Q13" s="441"/>
    </row>
    <row r="14" spans="1:17" s="417" customFormat="1" ht="14.25" customHeight="1">
      <c r="A14" s="167">
        <v>6</v>
      </c>
      <c r="B14" s="409">
        <v>22675</v>
      </c>
      <c r="C14" s="20" t="str">
        <f>VLOOKUP(A14,'JUNE (물량흐름)'!$A$13:$C$502,2,0)</f>
        <v>J JILL</v>
      </c>
      <c r="D14" s="282" t="str">
        <f>VLOOKUP(A14,'JUNE (물량흐름)'!$A$13:$C$502,3,0)</f>
        <v>KPT001611</v>
      </c>
      <c r="E14" s="6">
        <f>VLOOKUP(D14,'JUNE (물량흐름)'!$C$13:$W$502,21,0)</f>
        <v>0</v>
      </c>
      <c r="F14" s="6">
        <f t="shared" si="7"/>
        <v>0</v>
      </c>
      <c r="G14" s="6">
        <f>ROUND(SUMIF('In-out-bal products (155)(완성제품)'!$B$12:$B$493,'Sales profit (스타일 별 매출이익)'!D14,'In-out-bal products (155)(완성제품)'!$X$12:$X$493) + SUMIF('In-out-bal products (155)(완성제품)'!$B$12:$B$493,'Sales profit (스타일 별 매출이익)'!D14,'In-out-bal products (155)(완성제품)'!$AA$12:$AA$493),0)</f>
        <v>0</v>
      </c>
      <c r="H14" s="283">
        <f t="shared" si="8"/>
        <v>0</v>
      </c>
      <c r="I14" s="284">
        <f t="shared" si="9"/>
        <v>0</v>
      </c>
      <c r="J14" s="284">
        <f t="shared" si="3"/>
        <v>0</v>
      </c>
      <c r="K14" s="283">
        <v>1.26</v>
      </c>
      <c r="L14" s="285">
        <f t="shared" si="10"/>
        <v>0</v>
      </c>
      <c r="M14" s="285">
        <f t="shared" si="11"/>
        <v>1.26</v>
      </c>
      <c r="N14" s="285">
        <f t="shared" si="12"/>
        <v>0</v>
      </c>
      <c r="O14" s="416">
        <f t="shared" si="13"/>
        <v>0</v>
      </c>
      <c r="P14" s="417">
        <f t="shared" si="14"/>
        <v>28570.5</v>
      </c>
      <c r="Q14" s="441"/>
    </row>
    <row r="15" spans="1:17" s="417" customFormat="1" ht="14.25" customHeight="1">
      <c r="A15" s="167">
        <v>7</v>
      </c>
      <c r="B15" s="409">
        <v>22675</v>
      </c>
      <c r="C15" s="20" t="str">
        <f>VLOOKUP(A15,'JUNE (물량흐름)'!$A$13:$C$502,2,0)</f>
        <v>J JILL</v>
      </c>
      <c r="D15" s="282" t="str">
        <f>VLOOKUP(A15,'JUNE (물량흐름)'!$A$13:$C$502,3,0)</f>
        <v>KPT101081</v>
      </c>
      <c r="E15" s="6">
        <f>VLOOKUP(D15,'JUNE (물량흐름)'!$C$13:$W$502,21,0)</f>
        <v>5407</v>
      </c>
      <c r="F15" s="6">
        <f t="shared" si="7"/>
        <v>190035774</v>
      </c>
      <c r="G15" s="6">
        <f>ROUND(SUMIF('In-out-bal products (155)(완성제품)'!$B$12:$B$493,'Sales profit (스타일 별 매출이익)'!D15,'In-out-bal products (155)(완성제품)'!$X$12:$X$493) + SUMIF('In-out-bal products (155)(완성제품)'!$B$12:$B$493,'Sales profit (스타일 별 매출이익)'!D15,'In-out-bal products (155)(완성제품)'!$AA$12:$AA$493),0)</f>
        <v>161105077</v>
      </c>
      <c r="H15" s="283">
        <f t="shared" si="8"/>
        <v>0.23596915183449768</v>
      </c>
      <c r="I15" s="284">
        <f t="shared" si="9"/>
        <v>5350.6005178472351</v>
      </c>
      <c r="J15" s="284">
        <f t="shared" si="3"/>
        <v>16221807.217747379</v>
      </c>
      <c r="K15" s="283">
        <v>1.55</v>
      </c>
      <c r="L15" s="285">
        <f t="shared" si="10"/>
        <v>1.3140308502045921</v>
      </c>
      <c r="M15" s="285">
        <f t="shared" si="11"/>
        <v>0.10365826594789532</v>
      </c>
      <c r="N15" s="285">
        <f t="shared" si="12"/>
        <v>0.13231088384751263</v>
      </c>
      <c r="O15" s="416">
        <f t="shared" si="13"/>
        <v>8380.85</v>
      </c>
      <c r="P15" s="417">
        <f t="shared" si="14"/>
        <v>35146.25</v>
      </c>
      <c r="Q15" s="441"/>
    </row>
    <row r="16" spans="1:17" s="417" customFormat="1" ht="14.25" customHeight="1">
      <c r="A16" s="167">
        <v>8</v>
      </c>
      <c r="B16" s="409">
        <v>22675</v>
      </c>
      <c r="C16" s="20" t="str">
        <f>VLOOKUP(A16,'JUNE (물량흐름)'!$A$13:$C$502,2,0)</f>
        <v>ALFANI</v>
      </c>
      <c r="D16" s="282">
        <f>VLOOKUP(A16,'JUNE (물량흐름)'!$A$13:$C$502,3,0)</f>
        <v>7285</v>
      </c>
      <c r="E16" s="6">
        <f>VLOOKUP(D16,'JUNE (물량흐름)'!$C$13:$W$502,21,0)</f>
        <v>0</v>
      </c>
      <c r="F16" s="6">
        <f t="shared" si="7"/>
        <v>0</v>
      </c>
      <c r="G16" s="6">
        <f>ROUND(SUMIF('In-out-bal products (155)(완성제품)'!$B$12:$B$493,'Sales profit (스타일 별 매출이익)'!D16,'In-out-bal products (155)(완성제품)'!$X$12:$X$493) + SUMIF('In-out-bal products (155)(완성제품)'!$B$12:$B$493,'Sales profit (스타일 별 매출이익)'!D16,'In-out-bal products (155)(완성제품)'!$AA$12:$AA$493),0)</f>
        <v>0</v>
      </c>
      <c r="H16" s="283">
        <f t="shared" si="8"/>
        <v>0</v>
      </c>
      <c r="I16" s="284">
        <f t="shared" si="9"/>
        <v>0</v>
      </c>
      <c r="J16" s="284">
        <f t="shared" si="3"/>
        <v>0</v>
      </c>
      <c r="K16" s="283">
        <v>1.55</v>
      </c>
      <c r="L16" s="285">
        <f t="shared" si="10"/>
        <v>0</v>
      </c>
      <c r="M16" s="285">
        <f t="shared" si="11"/>
        <v>1.55</v>
      </c>
      <c r="N16" s="285">
        <f t="shared" si="12"/>
        <v>0</v>
      </c>
      <c r="O16" s="416">
        <f t="shared" si="13"/>
        <v>0</v>
      </c>
      <c r="P16" s="417">
        <f t="shared" si="14"/>
        <v>35146.25</v>
      </c>
      <c r="Q16" s="441"/>
    </row>
    <row r="17" spans="1:17" s="417" customFormat="1" ht="14.25" customHeight="1">
      <c r="A17" s="167">
        <v>9</v>
      </c>
      <c r="B17" s="409">
        <v>22675</v>
      </c>
      <c r="C17" s="20" t="str">
        <f>VLOOKUP(A17,'JUNE (물량흐름)'!$A$13:$C$502,2,0)</f>
        <v>ALFANI</v>
      </c>
      <c r="D17" s="282">
        <f>VLOOKUP(A17,'JUNE (물량흐름)'!$A$13:$C$502,3,0)</f>
        <v>100004407</v>
      </c>
      <c r="E17" s="6">
        <f>VLOOKUP(D17,'JUNE (물량흐름)'!$C$13:$W$502,21,0)</f>
        <v>0</v>
      </c>
      <c r="F17" s="6">
        <f t="shared" si="7"/>
        <v>0</v>
      </c>
      <c r="G17" s="6">
        <f>ROUND(SUMIF('In-out-bal products (155)(완성제품)'!$B$12:$B$493,'Sales profit (스타일 별 매출이익)'!D17,'In-out-bal products (155)(완성제품)'!$X$12:$X$493) + SUMIF('In-out-bal products (155)(완성제품)'!$B$12:$B$493,'Sales profit (스타일 별 매출이익)'!D17,'In-out-bal products (155)(완성제품)'!$AA$12:$AA$493),0)</f>
        <v>0</v>
      </c>
      <c r="H17" s="283">
        <f t="shared" si="8"/>
        <v>0</v>
      </c>
      <c r="I17" s="284">
        <f t="shared" si="9"/>
        <v>0</v>
      </c>
      <c r="J17" s="284">
        <f t="shared" si="3"/>
        <v>0</v>
      </c>
      <c r="K17" s="283">
        <v>0.35</v>
      </c>
      <c r="L17" s="285">
        <f t="shared" si="10"/>
        <v>0</v>
      </c>
      <c r="M17" s="285">
        <f t="shared" si="11"/>
        <v>0.35</v>
      </c>
      <c r="N17" s="285">
        <f t="shared" si="12"/>
        <v>0</v>
      </c>
      <c r="O17" s="416">
        <f t="shared" si="13"/>
        <v>0</v>
      </c>
      <c r="P17" s="417">
        <f t="shared" si="14"/>
        <v>7936.2499999999991</v>
      </c>
      <c r="Q17" s="441"/>
    </row>
    <row r="18" spans="1:17" s="417" customFormat="1" ht="14.25" customHeight="1">
      <c r="A18" s="167">
        <v>10</v>
      </c>
      <c r="B18" s="409">
        <v>22675</v>
      </c>
      <c r="C18" s="20" t="str">
        <f>VLOOKUP(A18,'JUNE (물량흐름)'!$A$13:$C$502,2,0)</f>
        <v>ANN TAYLOR</v>
      </c>
      <c r="D18" s="282">
        <f>VLOOKUP(A18,'JUNE (물량흐름)'!$A$13:$C$502,3,0)</f>
        <v>446749</v>
      </c>
      <c r="E18" s="6">
        <f>VLOOKUP(D18,'JUNE (물량흐름)'!$C$13:$W$502,21,0)</f>
        <v>0</v>
      </c>
      <c r="F18" s="6">
        <f t="shared" si="7"/>
        <v>0</v>
      </c>
      <c r="G18" s="6">
        <f>ROUND(SUMIF('In-out-bal products (155)(완성제품)'!$B$12:$B$493,'Sales profit (스타일 별 매출이익)'!D18,'In-out-bal products (155)(완성제품)'!$X$12:$X$493) + SUMIF('In-out-bal products (155)(완성제품)'!$B$12:$B$493,'Sales profit (스타일 별 매출이익)'!D18,'In-out-bal products (155)(완성제품)'!$AA$12:$AA$493),0)</f>
        <v>0</v>
      </c>
      <c r="H18" s="283">
        <f t="shared" si="8"/>
        <v>0</v>
      </c>
      <c r="I18" s="284">
        <f t="shared" si="9"/>
        <v>0</v>
      </c>
      <c r="J18" s="284">
        <f t="shared" si="3"/>
        <v>0</v>
      </c>
      <c r="K18" s="283">
        <v>0.35</v>
      </c>
      <c r="L18" s="285">
        <f t="shared" si="10"/>
        <v>0</v>
      </c>
      <c r="M18" s="285">
        <f t="shared" si="11"/>
        <v>0.35</v>
      </c>
      <c r="N18" s="285">
        <f>IFERROR(J18/E18/B18,0)</f>
        <v>0</v>
      </c>
      <c r="O18" s="416">
        <f t="shared" si="13"/>
        <v>0</v>
      </c>
      <c r="P18" s="417">
        <f t="shared" si="14"/>
        <v>7936.2499999999991</v>
      </c>
      <c r="Q18" s="441"/>
    </row>
    <row r="19" spans="1:17" s="417" customFormat="1" ht="14.25" customHeight="1">
      <c r="A19" s="167">
        <v>11</v>
      </c>
      <c r="B19" s="409">
        <v>22675</v>
      </c>
      <c r="C19" s="20" t="str">
        <f>VLOOKUP(A19,'JUNE (물량흐름)'!$A$13:$C$502,2,0)</f>
        <v>ANN TAYLOR</v>
      </c>
      <c r="D19" s="282">
        <f>VLOOKUP(A19,'JUNE (물량흐름)'!$A$13:$C$502,3,0)</f>
        <v>446053</v>
      </c>
      <c r="E19" s="6">
        <f>VLOOKUP(D19,'JUNE (물량흐름)'!$C$13:$W$502,21,0)</f>
        <v>0</v>
      </c>
      <c r="F19" s="6">
        <f t="shared" si="7"/>
        <v>0</v>
      </c>
      <c r="G19" s="6">
        <f>ROUND(SUMIF('In-out-bal products (155)(완성제품)'!$B$12:$B$493,'Sales profit (스타일 별 매출이익)'!D19,'In-out-bal products (155)(완성제품)'!$X$12:$X$493) + SUMIF('In-out-bal products (155)(완성제품)'!$B$12:$B$493,'Sales profit (스타일 별 매출이익)'!D19,'In-out-bal products (155)(완성제품)'!$AA$12:$AA$493),0)</f>
        <v>0</v>
      </c>
      <c r="H19" s="283">
        <f t="shared" si="8"/>
        <v>0</v>
      </c>
      <c r="I19" s="284">
        <f t="shared" si="9"/>
        <v>0</v>
      </c>
      <c r="J19" s="284">
        <f t="shared" si="3"/>
        <v>0</v>
      </c>
      <c r="K19" s="283">
        <v>1.8</v>
      </c>
      <c r="L19" s="285">
        <f t="shared" si="10"/>
        <v>0</v>
      </c>
      <c r="M19" s="285">
        <f t="shared" si="11"/>
        <v>1.8</v>
      </c>
      <c r="N19" s="285">
        <f t="shared" si="12"/>
        <v>0</v>
      </c>
      <c r="O19" s="416">
        <f t="shared" si="13"/>
        <v>0</v>
      </c>
      <c r="P19" s="417">
        <f t="shared" si="14"/>
        <v>40815</v>
      </c>
      <c r="Q19" s="441"/>
    </row>
    <row r="20" spans="1:17" s="417" customFormat="1" ht="14.25" customHeight="1">
      <c r="A20" s="167">
        <v>12</v>
      </c>
      <c r="B20" s="409">
        <v>22675</v>
      </c>
      <c r="C20" s="20" t="str">
        <f>VLOOKUP(A20,'JUNE (물량흐름)'!$A$13:$C$502,2,0)</f>
        <v>ALFANI</v>
      </c>
      <c r="D20" s="282">
        <f>VLOOKUP(A20,'JUNE (물량흐름)'!$A$13:$C$502,3,0)</f>
        <v>100004405</v>
      </c>
      <c r="E20" s="6">
        <f>VLOOKUP(D20,'JUNE (물량흐름)'!$C$13:$W$502,21,0)</f>
        <v>0</v>
      </c>
      <c r="F20" s="6">
        <f t="shared" si="7"/>
        <v>0</v>
      </c>
      <c r="G20" s="6">
        <f>ROUND(SUMIF('In-out-bal products (155)(완성제품)'!$B$12:$B$493,'Sales profit (스타일 별 매출이익)'!D20,'In-out-bal products (155)(완성제품)'!$X$12:$X$493) + SUMIF('In-out-bal products (155)(완성제품)'!$B$12:$B$493,'Sales profit (스타일 별 매출이익)'!D20,'In-out-bal products (155)(완성제품)'!$AA$12:$AA$493),0)</f>
        <v>0</v>
      </c>
      <c r="H20" s="283">
        <f t="shared" si="8"/>
        <v>0</v>
      </c>
      <c r="I20" s="284">
        <f t="shared" si="9"/>
        <v>0</v>
      </c>
      <c r="J20" s="284">
        <f t="shared" si="3"/>
        <v>0</v>
      </c>
      <c r="K20" s="283">
        <v>0.35</v>
      </c>
      <c r="L20" s="285">
        <f t="shared" si="10"/>
        <v>0</v>
      </c>
      <c r="M20" s="285">
        <f t="shared" si="11"/>
        <v>0.35</v>
      </c>
      <c r="N20" s="285">
        <f t="shared" si="12"/>
        <v>0</v>
      </c>
      <c r="O20" s="416">
        <f t="shared" si="13"/>
        <v>0</v>
      </c>
      <c r="P20" s="417">
        <f t="shared" si="14"/>
        <v>7936.2499999999991</v>
      </c>
      <c r="Q20" s="441"/>
    </row>
    <row r="21" spans="1:17" s="417" customFormat="1" ht="14.25" customHeight="1">
      <c r="A21" s="167">
        <v>13</v>
      </c>
      <c r="B21" s="409">
        <v>22675</v>
      </c>
      <c r="C21" s="20" t="str">
        <f>VLOOKUP(A21,'JUNE (물량흐름)'!$A$13:$C$502,2,0)</f>
        <v>ALFANI</v>
      </c>
      <c r="D21" s="282">
        <f>VLOOKUP(A21,'JUNE (물량흐름)'!$A$13:$C$502,3,0)</f>
        <v>100003246</v>
      </c>
      <c r="E21" s="6">
        <f>VLOOKUP(D21,'JUNE (물량흐름)'!$C$13:$W$502,21,0)</f>
        <v>0</v>
      </c>
      <c r="F21" s="6">
        <f t="shared" si="7"/>
        <v>0</v>
      </c>
      <c r="G21" s="6">
        <f>ROUND(SUMIF('In-out-bal products (155)(완성제품)'!$B$12:$B$493,'Sales profit (스타일 별 매출이익)'!D21,'In-out-bal products (155)(완성제품)'!$X$12:$X$493) + SUMIF('In-out-bal products (155)(완성제품)'!$B$12:$B$493,'Sales profit (스타일 별 매출이익)'!D21,'In-out-bal products (155)(완성제품)'!$AA$12:$AA$493),0)</f>
        <v>0</v>
      </c>
      <c r="H21" s="283">
        <f t="shared" si="8"/>
        <v>0</v>
      </c>
      <c r="I21" s="284">
        <f t="shared" si="9"/>
        <v>0</v>
      </c>
      <c r="J21" s="284">
        <f t="shared" si="3"/>
        <v>0</v>
      </c>
      <c r="K21" s="283">
        <v>0.35</v>
      </c>
      <c r="L21" s="285">
        <f t="shared" si="10"/>
        <v>0</v>
      </c>
      <c r="M21" s="285">
        <f t="shared" si="11"/>
        <v>0.35</v>
      </c>
      <c r="N21" s="285">
        <f t="shared" si="12"/>
        <v>0</v>
      </c>
      <c r="O21" s="416">
        <f t="shared" si="13"/>
        <v>0</v>
      </c>
      <c r="P21" s="417">
        <f t="shared" si="14"/>
        <v>7936.2499999999991</v>
      </c>
      <c r="Q21" s="441"/>
    </row>
    <row r="22" spans="1:17" s="417" customFormat="1" ht="14.25" customHeight="1">
      <c r="A22" s="167">
        <v>14</v>
      </c>
      <c r="B22" s="409">
        <v>22675</v>
      </c>
      <c r="C22" s="20" t="str">
        <f>VLOOKUP(A22,'JUNE (물량흐름)'!$A$13:$C$502,2,0)</f>
        <v>ALFANI</v>
      </c>
      <c r="D22" s="282">
        <f>VLOOKUP(A22,'JUNE (물량흐름)'!$A$13:$C$502,3,0)</f>
        <v>100001802</v>
      </c>
      <c r="E22" s="6">
        <f>VLOOKUP(D22,'JUNE (물량흐름)'!$C$13:$W$502,21,0)</f>
        <v>0</v>
      </c>
      <c r="F22" s="6">
        <f t="shared" si="7"/>
        <v>0</v>
      </c>
      <c r="G22" s="6">
        <f>ROUND(SUMIF('In-out-bal products (155)(완성제품)'!$B$12:$B$493,'Sales profit (스타일 별 매출이익)'!D22,'In-out-bal products (155)(완성제품)'!$X$12:$X$493) + SUMIF('In-out-bal products (155)(완성제품)'!$B$12:$B$493,'Sales profit (스타일 별 매출이익)'!D22,'In-out-bal products (155)(완성제품)'!$AA$12:$AA$493),0)</f>
        <v>0</v>
      </c>
      <c r="H22" s="283">
        <f t="shared" si="8"/>
        <v>0</v>
      </c>
      <c r="I22" s="284">
        <f>IFERROR((F22-G22)/E22,0)</f>
        <v>0</v>
      </c>
      <c r="J22" s="284">
        <f t="shared" si="3"/>
        <v>0</v>
      </c>
      <c r="K22" s="283">
        <v>0.35</v>
      </c>
      <c r="L22" s="285">
        <f t="shared" si="10"/>
        <v>0</v>
      </c>
      <c r="M22" s="285">
        <f t="shared" si="11"/>
        <v>0.35</v>
      </c>
      <c r="N22" s="285">
        <f t="shared" si="12"/>
        <v>0</v>
      </c>
      <c r="O22" s="416">
        <f t="shared" si="13"/>
        <v>0</v>
      </c>
      <c r="P22" s="417">
        <f t="shared" si="14"/>
        <v>7936.2499999999991</v>
      </c>
      <c r="Q22" s="441"/>
    </row>
    <row r="23" spans="1:17" s="417" customFormat="1" ht="14.25" customHeight="1">
      <c r="A23" s="167">
        <v>15</v>
      </c>
      <c r="B23" s="409">
        <v>22675</v>
      </c>
      <c r="C23" s="20" t="str">
        <f>VLOOKUP(A23,'JUNE (물량흐름)'!$A$13:$C$502,2,0)</f>
        <v>ALFANI</v>
      </c>
      <c r="D23" s="282">
        <f>VLOOKUP(A23,'JUNE (물량흐름)'!$A$13:$C$502,3,0)</f>
        <v>68416</v>
      </c>
      <c r="E23" s="6">
        <f>VLOOKUP(D23,'JUNE (물량흐름)'!$C$13:$W$502,21,0)</f>
        <v>864</v>
      </c>
      <c r="F23" s="6">
        <f t="shared" si="7"/>
        <v>40553784</v>
      </c>
      <c r="G23" s="6">
        <f>ROUND(SUMIF('In-out-bal products (155)(완성제품)'!$B$12:$B$493,'Sales profit (스타일 별 매출이익)'!D23,'In-out-bal products (155)(완성제품)'!$X$12:$X$493) + SUMIF('In-out-bal products (155)(완성제품)'!$B$12:$B$493,'Sales profit (스타일 별 매출이익)'!D23,'In-out-bal products (155)(완성제품)'!$AA$12:$AA$493),0)</f>
        <v>22529587</v>
      </c>
      <c r="H23" s="283">
        <f t="shared" si="8"/>
        <v>0.92001495569439329</v>
      </c>
      <c r="I23" s="284">
        <f t="shared" si="9"/>
        <v>20861.339120370369</v>
      </c>
      <c r="J23" s="284">
        <f t="shared" si="3"/>
        <v>3461746.4498982606</v>
      </c>
      <c r="K23" s="283">
        <v>2.0699999999999998</v>
      </c>
      <c r="L23" s="285">
        <f t="shared" si="10"/>
        <v>1.1499850443056068</v>
      </c>
      <c r="M23" s="285">
        <f t="shared" si="11"/>
        <v>0.74331590459500863</v>
      </c>
      <c r="N23" s="285">
        <f>IFERROR(J23/E23/B23,0)</f>
        <v>0.17669905109938447</v>
      </c>
      <c r="O23" s="416">
        <f t="shared" si="13"/>
        <v>1788.48</v>
      </c>
      <c r="P23" s="417">
        <f t="shared" si="14"/>
        <v>46937.25</v>
      </c>
      <c r="Q23" s="441"/>
    </row>
    <row r="24" spans="1:17" s="417" customFormat="1" ht="14.25" customHeight="1">
      <c r="A24" s="167">
        <v>16</v>
      </c>
      <c r="B24" s="409">
        <v>22675</v>
      </c>
      <c r="C24" s="20" t="str">
        <f>VLOOKUP(A24,'JUNE (물량흐름)'!$A$13:$C$502,2,0)</f>
        <v>ALFANI</v>
      </c>
      <c r="D24" s="282" t="str">
        <f>VLOOKUP(A24,'JUNE (물량흐름)'!$A$13:$C$502,3,0)</f>
        <v>7X408</v>
      </c>
      <c r="E24" s="6">
        <f>VLOOKUP(D24,'JUNE (물량흐름)'!$C$13:$W$502,21,0)</f>
        <v>0</v>
      </c>
      <c r="F24" s="6">
        <f t="shared" si="7"/>
        <v>0</v>
      </c>
      <c r="G24" s="6">
        <f>ROUND(SUMIF('In-out-bal products (155)(완성제품)'!$B$12:$B$493,'Sales profit (스타일 별 매출이익)'!D24,'In-out-bal products (155)(완성제품)'!$X$12:$X$493) + SUMIF('In-out-bal products (155)(완성제품)'!$B$12:$B$493,'Sales profit (스타일 별 매출이익)'!D24,'In-out-bal products (155)(완성제품)'!$AA$12:$AA$493),0)</f>
        <v>0</v>
      </c>
      <c r="H24" s="283">
        <f t="shared" si="8"/>
        <v>0</v>
      </c>
      <c r="I24" s="284">
        <f t="shared" si="9"/>
        <v>0</v>
      </c>
      <c r="J24" s="284">
        <f t="shared" si="3"/>
        <v>0</v>
      </c>
      <c r="K24" s="283">
        <v>0.35</v>
      </c>
      <c r="L24" s="285">
        <f t="shared" si="10"/>
        <v>0</v>
      </c>
      <c r="M24" s="285">
        <f>K24-L24-N24</f>
        <v>0.35</v>
      </c>
      <c r="N24" s="285">
        <f t="shared" si="12"/>
        <v>0</v>
      </c>
      <c r="O24" s="416">
        <f t="shared" si="13"/>
        <v>0</v>
      </c>
      <c r="P24" s="417">
        <f t="shared" si="14"/>
        <v>7936.2499999999991</v>
      </c>
      <c r="Q24" s="441"/>
    </row>
    <row r="25" spans="1:17" s="417" customFormat="1" ht="14.25" customHeight="1">
      <c r="A25" s="167">
        <v>17</v>
      </c>
      <c r="B25" s="409">
        <v>22675</v>
      </c>
      <c r="C25" s="20" t="str">
        <f>VLOOKUP(A25,'JUNE (물량흐름)'!$A$13:$C$502,2,0)</f>
        <v>ALFANI</v>
      </c>
      <c r="D25" s="282" t="str">
        <f>VLOOKUP(A25,'JUNE (물량흐름)'!$A$13:$C$502,3,0)</f>
        <v>7X708</v>
      </c>
      <c r="E25" s="6">
        <f>VLOOKUP(D25,'JUNE (물량흐름)'!$C$13:$W$502,21,0)</f>
        <v>0</v>
      </c>
      <c r="F25" s="6">
        <f t="shared" si="7"/>
        <v>0</v>
      </c>
      <c r="G25" s="6">
        <f>ROUND(SUMIF('In-out-bal products (155)(완성제품)'!$B$12:$B$493,'Sales profit (스타일 별 매출이익)'!D25,'In-out-bal products (155)(완성제품)'!$X$12:$X$493) + SUMIF('In-out-bal products (155)(완성제품)'!$B$12:$B$493,'Sales profit (스타일 별 매출이익)'!D25,'In-out-bal products (155)(완성제품)'!$AA$12:$AA$493),0)</f>
        <v>0</v>
      </c>
      <c r="H25" s="283">
        <f t="shared" si="8"/>
        <v>0</v>
      </c>
      <c r="I25" s="284">
        <f t="shared" si="9"/>
        <v>0</v>
      </c>
      <c r="J25" s="284">
        <f t="shared" si="3"/>
        <v>0</v>
      </c>
      <c r="K25" s="283">
        <v>2.65</v>
      </c>
      <c r="L25" s="285">
        <f t="shared" si="10"/>
        <v>0</v>
      </c>
      <c r="M25" s="285">
        <f t="shared" si="11"/>
        <v>2.65</v>
      </c>
      <c r="N25" s="285">
        <f t="shared" si="12"/>
        <v>0</v>
      </c>
      <c r="O25" s="416">
        <f t="shared" si="13"/>
        <v>0</v>
      </c>
      <c r="P25" s="417">
        <f t="shared" si="14"/>
        <v>60088.75</v>
      </c>
      <c r="Q25" s="441"/>
    </row>
    <row r="26" spans="1:17" s="417" customFormat="1" ht="14.25" customHeight="1">
      <c r="A26" s="167">
        <v>18</v>
      </c>
      <c r="B26" s="409">
        <v>22675</v>
      </c>
      <c r="C26" s="20" t="str">
        <f>VLOOKUP(A26,'JUNE (물량흐름)'!$A$13:$C$502,2,0)</f>
        <v>ALFANI</v>
      </c>
      <c r="D26" s="282" t="str">
        <f>VLOOKUP(A26,'JUNE (물량흐름)'!$A$13:$C$502,3,0)</f>
        <v>7N900</v>
      </c>
      <c r="E26" s="6">
        <f>VLOOKUP(D26,'JUNE (물량흐름)'!$C$13:$W$502,21,0)</f>
        <v>0</v>
      </c>
      <c r="F26" s="6">
        <f t="shared" si="7"/>
        <v>0</v>
      </c>
      <c r="G26" s="6">
        <f>ROUND(SUMIF('In-out-bal products (155)(완성제품)'!$B$12:$B$493,'Sales profit (스타일 별 매출이익)'!D26,'In-out-bal products (155)(완성제품)'!$X$12:$X$493) + SUMIF('In-out-bal products (155)(완성제품)'!$B$12:$B$493,'Sales profit (스타일 별 매출이익)'!D26,'In-out-bal products (155)(완성제품)'!$AA$12:$AA$493),0)</f>
        <v>0</v>
      </c>
      <c r="H26" s="283">
        <f t="shared" si="8"/>
        <v>0</v>
      </c>
      <c r="I26" s="284">
        <f t="shared" si="9"/>
        <v>0</v>
      </c>
      <c r="J26" s="284">
        <f t="shared" si="3"/>
        <v>0</v>
      </c>
      <c r="K26" s="283">
        <v>0.35</v>
      </c>
      <c r="L26" s="285">
        <f t="shared" si="10"/>
        <v>0</v>
      </c>
      <c r="M26" s="285">
        <f t="shared" si="11"/>
        <v>0.35</v>
      </c>
      <c r="N26" s="285">
        <f t="shared" si="12"/>
        <v>0</v>
      </c>
      <c r="O26" s="416">
        <f t="shared" si="13"/>
        <v>0</v>
      </c>
      <c r="P26" s="417">
        <f t="shared" si="14"/>
        <v>7936.2499999999991</v>
      </c>
      <c r="Q26" s="441"/>
    </row>
    <row r="27" spans="1:17" s="417" customFormat="1" ht="14.25" customHeight="1">
      <c r="A27" s="167">
        <v>19</v>
      </c>
      <c r="B27" s="409">
        <v>22675</v>
      </c>
      <c r="C27" s="20" t="str">
        <f>VLOOKUP(A27,'JUNE (물량흐름)'!$A$13:$C$502,2,0)</f>
        <v>ALFANI</v>
      </c>
      <c r="D27" s="282">
        <f>VLOOKUP(A27,'JUNE (물량흐름)'!$A$13:$C$502,3,0)</f>
        <v>100004400</v>
      </c>
      <c r="E27" s="6">
        <f>VLOOKUP(D27,'JUNE (물량흐름)'!$C$13:$W$502,21,0)</f>
        <v>0</v>
      </c>
      <c r="F27" s="6">
        <f t="shared" si="7"/>
        <v>0</v>
      </c>
      <c r="G27" s="6">
        <f>ROUND(SUMIF('In-out-bal products (155)(완성제품)'!$B$12:$B$493,'Sales profit (스타일 별 매출이익)'!D27,'In-out-bal products (155)(완성제품)'!$X$12:$X$493) + SUMIF('In-out-bal products (155)(완성제품)'!$B$12:$B$493,'Sales profit (스타일 별 매출이익)'!D27,'In-out-bal products (155)(완성제품)'!$AA$12:$AA$493),0)</f>
        <v>0</v>
      </c>
      <c r="H27" s="283">
        <f t="shared" si="8"/>
        <v>0</v>
      </c>
      <c r="I27" s="284">
        <f t="shared" si="9"/>
        <v>0</v>
      </c>
      <c r="J27" s="284">
        <f t="shared" si="3"/>
        <v>0</v>
      </c>
      <c r="K27" s="283">
        <v>0.36</v>
      </c>
      <c r="L27" s="285">
        <f t="shared" si="10"/>
        <v>0</v>
      </c>
      <c r="M27" s="285">
        <f t="shared" si="11"/>
        <v>0.36</v>
      </c>
      <c r="N27" s="285">
        <f t="shared" si="12"/>
        <v>0</v>
      </c>
      <c r="O27" s="416">
        <f t="shared" si="13"/>
        <v>0</v>
      </c>
      <c r="P27" s="417">
        <f t="shared" si="14"/>
        <v>8163</v>
      </c>
      <c r="Q27" s="441"/>
    </row>
    <row r="28" spans="1:17" s="417" customFormat="1" ht="14.25" customHeight="1">
      <c r="A28" s="167">
        <v>20</v>
      </c>
      <c r="B28" s="409">
        <v>22675</v>
      </c>
      <c r="C28" s="20" t="str">
        <f>VLOOKUP(A28,'JUNE (물량흐름)'!$A$13:$C$502,2,0)</f>
        <v>ALFANI</v>
      </c>
      <c r="D28" s="282">
        <f>VLOOKUP(A28,'JUNE (물량흐름)'!$A$13:$C$502,3,0)</f>
        <v>100008889</v>
      </c>
      <c r="E28" s="6">
        <f>VLOOKUP(D28,'JUNE (물량흐름)'!$C$13:$W$502,21,0)</f>
        <v>0</v>
      </c>
      <c r="F28" s="6">
        <f t="shared" si="7"/>
        <v>0</v>
      </c>
      <c r="G28" s="6">
        <f>ROUND(SUMIF('In-out-bal products (155)(완성제품)'!$B$12:$B$493,'Sales profit (스타일 별 매출이익)'!D28,'In-out-bal products (155)(완성제품)'!$X$12:$X$493) + SUMIF('In-out-bal products (155)(완성제품)'!$B$12:$B$493,'Sales profit (스타일 별 매출이익)'!D28,'In-out-bal products (155)(완성제품)'!$AA$12:$AA$493),0)</f>
        <v>0</v>
      </c>
      <c r="H28" s="283">
        <f t="shared" si="8"/>
        <v>0</v>
      </c>
      <c r="I28" s="284">
        <f t="shared" si="9"/>
        <v>0</v>
      </c>
      <c r="J28" s="284">
        <f t="shared" si="3"/>
        <v>0</v>
      </c>
      <c r="K28" s="283">
        <v>0.36</v>
      </c>
      <c r="L28" s="285">
        <f t="shared" si="10"/>
        <v>0</v>
      </c>
      <c r="M28" s="285">
        <f t="shared" si="11"/>
        <v>0.36</v>
      </c>
      <c r="N28" s="285">
        <f t="shared" si="12"/>
        <v>0</v>
      </c>
      <c r="O28" s="416">
        <f t="shared" si="13"/>
        <v>0</v>
      </c>
      <c r="P28" s="417">
        <f t="shared" si="14"/>
        <v>8163</v>
      </c>
      <c r="Q28" s="441"/>
    </row>
    <row r="29" spans="1:17" s="417" customFormat="1" ht="14.25" customHeight="1">
      <c r="A29" s="167">
        <v>21</v>
      </c>
      <c r="B29" s="409">
        <v>22675</v>
      </c>
      <c r="C29" s="20" t="str">
        <f>VLOOKUP(A29,'JUNE (물량흐름)'!$A$13:$C$502,2,0)</f>
        <v>ALFANI</v>
      </c>
      <c r="D29" s="282">
        <f>VLOOKUP(A29,'JUNE (물량흐름)'!$A$13:$C$502,3,0)</f>
        <v>100010579</v>
      </c>
      <c r="E29" s="6">
        <f>VLOOKUP(D29,'JUNE (물량흐름)'!$C$13:$W$502,21,0)</f>
        <v>9137</v>
      </c>
      <c r="F29" s="6">
        <f t="shared" si="7"/>
        <v>410219321</v>
      </c>
      <c r="G29" s="6">
        <f>ROUND(SUMIF('In-out-bal products (155)(완성제품)'!$B$12:$B$493,'Sales profit (스타일 별 매출이익)'!D29,'In-out-bal products (155)(완성제품)'!$X$12:$X$493) + SUMIF('In-out-bal products (155)(완성제품)'!$B$12:$B$493,'Sales profit (스타일 별 매출이익)'!D29,'In-out-bal products (155)(완성제품)'!$AA$12:$AA$493),0)</f>
        <v>361859695</v>
      </c>
      <c r="H29" s="283">
        <f t="shared" si="8"/>
        <v>0.23341674732260692</v>
      </c>
      <c r="I29" s="284">
        <f t="shared" si="9"/>
        <v>5292.7247455401121</v>
      </c>
      <c r="J29" s="284">
        <f t="shared" si="3"/>
        <v>35017084.426731296</v>
      </c>
      <c r="K29" s="283">
        <v>1.98</v>
      </c>
      <c r="L29" s="285">
        <f t="shared" si="10"/>
        <v>1.7465832550907361</v>
      </c>
      <c r="M29" s="285">
        <f t="shared" si="11"/>
        <v>6.4400261042975665E-2</v>
      </c>
      <c r="N29" s="285">
        <f t="shared" si="12"/>
        <v>0.16901648386628823</v>
      </c>
      <c r="O29" s="416">
        <f t="shared" si="13"/>
        <v>18091.259999999998</v>
      </c>
      <c r="P29" s="417">
        <f t="shared" si="14"/>
        <v>44896.5</v>
      </c>
      <c r="Q29" s="441"/>
    </row>
    <row r="30" spans="1:17" s="417" customFormat="1" ht="14.25" customHeight="1">
      <c r="A30" s="167">
        <v>22</v>
      </c>
      <c r="B30" s="409">
        <v>22675</v>
      </c>
      <c r="C30" s="20" t="str">
        <f>VLOOKUP(A30,'JUNE (물량흐름)'!$A$13:$C$502,2,0)</f>
        <v>TALBOTS</v>
      </c>
      <c r="D30" s="282">
        <f>VLOOKUP(A30,'JUNE (물량흐름)'!$A$13:$C$502,3,0)</f>
        <v>174034722</v>
      </c>
      <c r="E30" s="6">
        <f>VLOOKUP(D30,'JUNE (물량흐름)'!$C$13:$W$502,21,0)</f>
        <v>0</v>
      </c>
      <c r="F30" s="6">
        <f t="shared" si="7"/>
        <v>0</v>
      </c>
      <c r="G30" s="6">
        <f>ROUND(SUMIF('In-out-bal products (155)(완성제품)'!$B$12:$B$493,'Sales profit (스타일 별 매출이익)'!D30,'In-out-bal products (155)(완성제품)'!$X$12:$X$493) + SUMIF('In-out-bal products (155)(완성제품)'!$B$12:$B$493,'Sales profit (스타일 별 매출이익)'!D30,'In-out-bal products (155)(완성제품)'!$AA$12:$AA$493),0)</f>
        <v>0</v>
      </c>
      <c r="H30" s="283">
        <f t="shared" si="8"/>
        <v>0</v>
      </c>
      <c r="I30" s="284">
        <f t="shared" si="9"/>
        <v>0</v>
      </c>
      <c r="J30" s="284">
        <f t="shared" si="3"/>
        <v>0</v>
      </c>
      <c r="K30" s="283">
        <v>0.35</v>
      </c>
      <c r="L30" s="285">
        <f t="shared" si="10"/>
        <v>0</v>
      </c>
      <c r="M30" s="285">
        <f t="shared" si="11"/>
        <v>0.35</v>
      </c>
      <c r="N30" s="285">
        <f t="shared" si="12"/>
        <v>0</v>
      </c>
      <c r="O30" s="416">
        <f t="shared" si="13"/>
        <v>0</v>
      </c>
      <c r="P30" s="417">
        <f t="shared" si="14"/>
        <v>7936.2499999999991</v>
      </c>
      <c r="Q30" s="441"/>
    </row>
    <row r="31" spans="1:17" s="417" customFormat="1" ht="14.25" customHeight="1">
      <c r="A31" s="167">
        <v>23</v>
      </c>
      <c r="B31" s="409">
        <v>22675</v>
      </c>
      <c r="C31" s="20" t="str">
        <f>VLOOKUP(A31,'JUNE (물량흐름)'!$A$13:$C$502,2,0)</f>
        <v>TALBOTS</v>
      </c>
      <c r="D31" s="282">
        <f>VLOOKUP(A31,'JUNE (물량흐름)'!$A$13:$C$502,3,0)</f>
        <v>174034719</v>
      </c>
      <c r="E31" s="6">
        <f>VLOOKUP(D31,'JUNE (물량흐름)'!$C$13:$W$502,21,0)</f>
        <v>0</v>
      </c>
      <c r="F31" s="6">
        <f t="shared" si="7"/>
        <v>0</v>
      </c>
      <c r="G31" s="6">
        <f>ROUND(SUMIF('In-out-bal products (155)(완성제품)'!$B$12:$B$493,'Sales profit (스타일 별 매출이익)'!D31,'In-out-bal products (155)(완성제품)'!$X$12:$X$493) + SUMIF('In-out-bal products (155)(완성제품)'!$B$12:$B$493,'Sales profit (스타일 별 매출이익)'!D31,'In-out-bal products (155)(완성제품)'!$AA$12:$AA$493),0)</f>
        <v>0</v>
      </c>
      <c r="H31" s="283">
        <f t="shared" si="8"/>
        <v>0</v>
      </c>
      <c r="I31" s="284">
        <f t="shared" si="9"/>
        <v>0</v>
      </c>
      <c r="J31" s="284">
        <f t="shared" si="3"/>
        <v>0</v>
      </c>
      <c r="K31" s="283">
        <v>0.35</v>
      </c>
      <c r="L31" s="285">
        <f t="shared" si="10"/>
        <v>0</v>
      </c>
      <c r="M31" s="285">
        <f t="shared" si="11"/>
        <v>0.35</v>
      </c>
      <c r="N31" s="285">
        <f t="shared" si="12"/>
        <v>0</v>
      </c>
      <c r="O31" s="416">
        <f t="shared" si="13"/>
        <v>0</v>
      </c>
      <c r="P31" s="417">
        <f t="shared" si="14"/>
        <v>7936.2499999999991</v>
      </c>
      <c r="Q31" s="441"/>
    </row>
    <row r="32" spans="1:17" s="417" customFormat="1" ht="14.25" customHeight="1">
      <c r="A32" s="167">
        <v>24</v>
      </c>
      <c r="B32" s="409">
        <v>22675</v>
      </c>
      <c r="C32" s="20" t="str">
        <f>VLOOKUP(A32,'JUNE (물량흐름)'!$A$13:$C$502,2,0)</f>
        <v>TALBOTS</v>
      </c>
      <c r="D32" s="282">
        <f>VLOOKUP(A32,'JUNE (물량흐름)'!$A$13:$C$502,3,0)</f>
        <v>174034721</v>
      </c>
      <c r="E32" s="6">
        <f>VLOOKUP(D32,'JUNE (물량흐름)'!$C$13:$W$502,21,0)</f>
        <v>0</v>
      </c>
      <c r="F32" s="6">
        <f t="shared" si="7"/>
        <v>0</v>
      </c>
      <c r="G32" s="6">
        <f>ROUND(SUMIF('In-out-bal products (155)(완성제품)'!$B$12:$B$493,'Sales profit (스타일 별 매출이익)'!D32,'In-out-bal products (155)(완성제품)'!$X$12:$X$493) + SUMIF('In-out-bal products (155)(완성제품)'!$B$12:$B$493,'Sales profit (스타일 별 매출이익)'!D32,'In-out-bal products (155)(완성제품)'!$AA$12:$AA$493),0)</f>
        <v>0</v>
      </c>
      <c r="H32" s="283">
        <f t="shared" si="8"/>
        <v>0</v>
      </c>
      <c r="I32" s="284">
        <f t="shared" si="9"/>
        <v>0</v>
      </c>
      <c r="J32" s="284">
        <f t="shared" si="3"/>
        <v>0</v>
      </c>
      <c r="K32" s="283">
        <v>0.35</v>
      </c>
      <c r="L32" s="285">
        <f t="shared" si="10"/>
        <v>0</v>
      </c>
      <c r="M32" s="285">
        <f t="shared" si="11"/>
        <v>0.35</v>
      </c>
      <c r="N32" s="285">
        <f t="shared" si="12"/>
        <v>0</v>
      </c>
      <c r="O32" s="416">
        <f t="shared" si="13"/>
        <v>0</v>
      </c>
      <c r="P32" s="417">
        <f t="shared" si="14"/>
        <v>7936.2499999999991</v>
      </c>
      <c r="Q32" s="441"/>
    </row>
    <row r="33" spans="1:17" s="417" customFormat="1" ht="14.25" customHeight="1">
      <c r="A33" s="167">
        <v>25</v>
      </c>
      <c r="B33" s="409">
        <v>22675</v>
      </c>
      <c r="C33" s="20" t="str">
        <f>VLOOKUP(A33,'JUNE (물량흐름)'!$A$13:$C$502,2,0)</f>
        <v>ALFANI</v>
      </c>
      <c r="D33" s="282">
        <f>VLOOKUP(A33,'JUNE (물량흐름)'!$A$13:$C$502,3,0)</f>
        <v>100003226</v>
      </c>
      <c r="E33" s="6">
        <f>VLOOKUP(D33,'JUNE (물량흐름)'!$C$13:$W$502,21,0)</f>
        <v>0</v>
      </c>
      <c r="F33" s="6">
        <f t="shared" si="7"/>
        <v>0</v>
      </c>
      <c r="G33" s="6">
        <f>ROUND(SUMIF('In-out-bal products (155)(완성제품)'!$B$12:$B$493,'Sales profit (스타일 별 매출이익)'!D33,'In-out-bal products (155)(완성제품)'!$X$12:$X$493) + SUMIF('In-out-bal products (155)(완성제품)'!$B$12:$B$493,'Sales profit (스타일 별 매출이익)'!D33,'In-out-bal products (155)(완성제품)'!$AA$12:$AA$493),0)</f>
        <v>0</v>
      </c>
      <c r="H33" s="283">
        <f t="shared" si="8"/>
        <v>0</v>
      </c>
      <c r="I33" s="284">
        <f t="shared" si="9"/>
        <v>0</v>
      </c>
      <c r="J33" s="284">
        <f t="shared" si="3"/>
        <v>0</v>
      </c>
      <c r="K33" s="283">
        <v>0.35</v>
      </c>
      <c r="L33" s="285">
        <f t="shared" si="10"/>
        <v>0</v>
      </c>
      <c r="M33" s="285">
        <f t="shared" si="11"/>
        <v>0.35</v>
      </c>
      <c r="N33" s="285">
        <f t="shared" si="12"/>
        <v>0</v>
      </c>
      <c r="O33" s="416">
        <f t="shared" si="13"/>
        <v>0</v>
      </c>
      <c r="P33" s="417">
        <f t="shared" si="14"/>
        <v>7936.2499999999991</v>
      </c>
      <c r="Q33" s="441"/>
    </row>
    <row r="34" spans="1:17" s="417" customFormat="1" ht="14.25" customHeight="1">
      <c r="A34" s="167">
        <v>26</v>
      </c>
      <c r="B34" s="409">
        <v>22675</v>
      </c>
      <c r="C34" s="20" t="str">
        <f>VLOOKUP(A34,'JUNE (물량흐름)'!$A$13:$C$502,2,0)</f>
        <v>TALBOTS</v>
      </c>
      <c r="D34" s="282">
        <f>VLOOKUP(A34,'JUNE (물량흐름)'!$A$13:$C$502,3,0)</f>
        <v>174034717</v>
      </c>
      <c r="E34" s="6">
        <f>VLOOKUP(D34,'JUNE (물량흐름)'!$C$13:$W$502,21,0)</f>
        <v>0</v>
      </c>
      <c r="F34" s="6">
        <f t="shared" si="7"/>
        <v>0</v>
      </c>
      <c r="G34" s="6">
        <f>ROUND(SUMIF('In-out-bal products (155)(완성제품)'!$B$12:$B$493,'Sales profit (스타일 별 매출이익)'!D34,'In-out-bal products (155)(완성제품)'!$X$12:$X$493) + SUMIF('In-out-bal products (155)(완성제품)'!$B$12:$B$493,'Sales profit (스타일 별 매출이익)'!D34,'In-out-bal products (155)(완성제품)'!$AA$12:$AA$493),0)</f>
        <v>0</v>
      </c>
      <c r="H34" s="283">
        <f t="shared" si="8"/>
        <v>0</v>
      </c>
      <c r="I34" s="284">
        <f t="shared" si="9"/>
        <v>0</v>
      </c>
      <c r="J34" s="284">
        <f t="shared" si="3"/>
        <v>0</v>
      </c>
      <c r="K34" s="283">
        <v>0.35</v>
      </c>
      <c r="L34" s="285">
        <f t="shared" si="10"/>
        <v>0</v>
      </c>
      <c r="M34" s="285">
        <f t="shared" si="11"/>
        <v>0.35</v>
      </c>
      <c r="N34" s="285">
        <f t="shared" si="12"/>
        <v>0</v>
      </c>
      <c r="O34" s="416">
        <f t="shared" si="13"/>
        <v>0</v>
      </c>
      <c r="P34" s="417">
        <f t="shared" si="14"/>
        <v>7936.2499999999991</v>
      </c>
      <c r="Q34" s="441"/>
    </row>
    <row r="35" spans="1:17" s="417" customFormat="1" ht="14.25" customHeight="1">
      <c r="A35" s="167">
        <v>27</v>
      </c>
      <c r="B35" s="409">
        <v>22675</v>
      </c>
      <c r="C35" s="20" t="str">
        <f>VLOOKUP(A35,'JUNE (물량흐름)'!$A$13:$C$502,2,0)</f>
        <v>ALFANI</v>
      </c>
      <c r="D35" s="282" t="str">
        <f>VLOOKUP(A35,'JUNE (물량흐름)'!$A$13:$C$502,3,0)</f>
        <v>7N713</v>
      </c>
      <c r="E35" s="6">
        <f>VLOOKUP(D35,'JUNE (물량흐름)'!$C$13:$W$502,21,0)</f>
        <v>0</v>
      </c>
      <c r="F35" s="6">
        <f t="shared" si="7"/>
        <v>0</v>
      </c>
      <c r="G35" s="6">
        <f>ROUND(SUMIF('In-out-bal products (155)(완성제품)'!$B$12:$B$493,'Sales profit (스타일 별 매출이익)'!D35,'In-out-bal products (155)(완성제품)'!$X$12:$X$493) + SUMIF('In-out-bal products (155)(완성제품)'!$B$12:$B$493,'Sales profit (스타일 별 매출이익)'!D35,'In-out-bal products (155)(완성제품)'!$AA$12:$AA$493),0)</f>
        <v>0</v>
      </c>
      <c r="H35" s="283">
        <f t="shared" si="8"/>
        <v>0</v>
      </c>
      <c r="I35" s="284">
        <f t="shared" si="9"/>
        <v>0</v>
      </c>
      <c r="J35" s="284">
        <f t="shared" si="3"/>
        <v>0</v>
      </c>
      <c r="K35" s="283">
        <v>0.35</v>
      </c>
      <c r="L35" s="285">
        <f t="shared" si="10"/>
        <v>0</v>
      </c>
      <c r="M35" s="285">
        <f t="shared" si="11"/>
        <v>0.35</v>
      </c>
      <c r="N35" s="285">
        <f t="shared" si="12"/>
        <v>0</v>
      </c>
      <c r="O35" s="416">
        <f t="shared" si="13"/>
        <v>0</v>
      </c>
      <c r="P35" s="417">
        <f t="shared" si="14"/>
        <v>7936.2499999999991</v>
      </c>
      <c r="Q35" s="441"/>
    </row>
    <row r="36" spans="1:17" s="417" customFormat="1" ht="14.25" customHeight="1">
      <c r="A36" s="167">
        <v>28</v>
      </c>
      <c r="B36" s="409">
        <v>22675</v>
      </c>
      <c r="C36" s="20" t="str">
        <f>VLOOKUP(A36,'JUNE (물량흐름)'!$A$13:$C$502,2,0)</f>
        <v>NORDSTROM</v>
      </c>
      <c r="D36" s="282" t="str">
        <f>VLOOKUP(A36,'JUNE (물량흐름)'!$A$13:$C$502,3,0)</f>
        <v>RK368419MI</v>
      </c>
      <c r="E36" s="6">
        <f>VLOOKUP(D36,'JUNE (물량흐름)'!$C$13:$W$502,21,0)</f>
        <v>0</v>
      </c>
      <c r="F36" s="6">
        <f t="shared" si="7"/>
        <v>0</v>
      </c>
      <c r="G36" s="6">
        <f>ROUND(SUMIF('In-out-bal products (155)(완성제품)'!$B$12:$B$493,'Sales profit (스타일 별 매출이익)'!D36,'In-out-bal products (155)(완성제품)'!$X$12:$X$493) + SUMIF('In-out-bal products (155)(완성제품)'!$B$12:$B$493,'Sales profit (스타일 별 매출이익)'!D36,'In-out-bal products (155)(완성제품)'!$AA$12:$AA$493),0)</f>
        <v>0</v>
      </c>
      <c r="H36" s="283">
        <f t="shared" si="8"/>
        <v>0</v>
      </c>
      <c r="I36" s="284">
        <f t="shared" si="9"/>
        <v>0</v>
      </c>
      <c r="J36" s="284">
        <f t="shared" si="3"/>
        <v>0</v>
      </c>
      <c r="K36" s="283">
        <v>0.35</v>
      </c>
      <c r="L36" s="285">
        <f t="shared" si="10"/>
        <v>0</v>
      </c>
      <c r="M36" s="285">
        <f t="shared" si="11"/>
        <v>0.35</v>
      </c>
      <c r="N36" s="285">
        <f t="shared" si="12"/>
        <v>0</v>
      </c>
      <c r="O36" s="416">
        <f t="shared" si="13"/>
        <v>0</v>
      </c>
      <c r="P36" s="417">
        <f t="shared" si="14"/>
        <v>7936.2499999999991</v>
      </c>
      <c r="Q36" s="441"/>
    </row>
    <row r="37" spans="1:17" s="417" customFormat="1" ht="14.25" customHeight="1">
      <c r="A37" s="167">
        <v>29</v>
      </c>
      <c r="B37" s="409">
        <v>22675</v>
      </c>
      <c r="C37" s="20" t="str">
        <f>VLOOKUP(A37,'JUNE (물량흐름)'!$A$13:$C$502,2,0)</f>
        <v>ANN TAYLOR</v>
      </c>
      <c r="D37" s="282">
        <f>VLOOKUP(A37,'JUNE (물량흐름)'!$A$13:$C$502,3,0)</f>
        <v>453280</v>
      </c>
      <c r="E37" s="6">
        <f>VLOOKUP(D37,'JUNE (물량흐름)'!$C$13:$W$502,21,0)</f>
        <v>0</v>
      </c>
      <c r="F37" s="6">
        <f t="shared" si="7"/>
        <v>0</v>
      </c>
      <c r="G37" s="6">
        <f>ROUND(SUMIF('In-out-bal products (155)(완성제품)'!$B$12:$B$493,'Sales profit (스타일 별 매출이익)'!D37,'In-out-bal products (155)(완성제품)'!$X$12:$X$493) + SUMIF('In-out-bal products (155)(완성제품)'!$B$12:$B$493,'Sales profit (스타일 별 매출이익)'!D37,'In-out-bal products (155)(완성제품)'!$AA$12:$AA$493),0)</f>
        <v>0</v>
      </c>
      <c r="H37" s="283">
        <f t="shared" si="8"/>
        <v>0</v>
      </c>
      <c r="I37" s="284">
        <f t="shared" si="9"/>
        <v>0</v>
      </c>
      <c r="J37" s="284">
        <f t="shared" si="3"/>
        <v>0</v>
      </c>
      <c r="K37" s="283">
        <v>0.35</v>
      </c>
      <c r="L37" s="285">
        <f t="shared" si="10"/>
        <v>0</v>
      </c>
      <c r="M37" s="285">
        <f t="shared" si="11"/>
        <v>0.35</v>
      </c>
      <c r="N37" s="285">
        <f t="shared" si="12"/>
        <v>0</v>
      </c>
      <c r="O37" s="416">
        <f t="shared" si="13"/>
        <v>0</v>
      </c>
      <c r="P37" s="417">
        <f t="shared" si="14"/>
        <v>7936.2499999999991</v>
      </c>
      <c r="Q37" s="441"/>
    </row>
    <row r="38" spans="1:17" s="417" customFormat="1" ht="14.25" customHeight="1">
      <c r="A38" s="167">
        <v>30</v>
      </c>
      <c r="B38" s="409">
        <v>22675</v>
      </c>
      <c r="C38" s="20" t="str">
        <f>VLOOKUP(A38,'JUNE (물량흐름)'!$A$13:$C$502,2,0)</f>
        <v>ALFANI</v>
      </c>
      <c r="D38" s="282">
        <f>VLOOKUP(A38,'JUNE (물량흐름)'!$A$13:$C$502,3,0)</f>
        <v>100003227</v>
      </c>
      <c r="E38" s="6">
        <f>VLOOKUP(D38,'JUNE (물량흐름)'!$C$13:$W$502,21,0)</f>
        <v>0</v>
      </c>
      <c r="F38" s="6">
        <f t="shared" si="7"/>
        <v>0</v>
      </c>
      <c r="G38" s="6">
        <f>ROUND(SUMIF('In-out-bal products (155)(완성제품)'!$B$12:$B$493,'Sales profit (스타일 별 매출이익)'!D38,'In-out-bal products (155)(완성제품)'!$X$12:$X$493) + SUMIF('In-out-bal products (155)(완성제품)'!$B$12:$B$493,'Sales profit (스타일 별 매출이익)'!D38,'In-out-bal products (155)(완성제품)'!$AA$12:$AA$493),0)</f>
        <v>0</v>
      </c>
      <c r="H38" s="283">
        <f t="shared" si="8"/>
        <v>0</v>
      </c>
      <c r="I38" s="284">
        <f t="shared" si="9"/>
        <v>0</v>
      </c>
      <c r="J38" s="284">
        <f t="shared" si="3"/>
        <v>0</v>
      </c>
      <c r="K38" s="283">
        <v>0.35</v>
      </c>
      <c r="L38" s="285">
        <f t="shared" si="10"/>
        <v>0</v>
      </c>
      <c r="M38" s="285">
        <f t="shared" si="11"/>
        <v>0.35</v>
      </c>
      <c r="N38" s="285">
        <f t="shared" si="12"/>
        <v>0</v>
      </c>
      <c r="O38" s="416">
        <f t="shared" si="13"/>
        <v>0</v>
      </c>
      <c r="P38" s="417">
        <f t="shared" si="14"/>
        <v>7936.2499999999991</v>
      </c>
      <c r="Q38" s="441"/>
    </row>
    <row r="39" spans="1:17" s="417" customFormat="1" ht="14.25" customHeight="1">
      <c r="A39" s="167">
        <v>31</v>
      </c>
      <c r="B39" s="409">
        <v>22675</v>
      </c>
      <c r="C39" s="20" t="str">
        <f>VLOOKUP(A39,'JUNE (물량흐름)'!$A$13:$C$502,2,0)</f>
        <v>ALFANI</v>
      </c>
      <c r="D39" s="282">
        <f>VLOOKUP(A39,'JUNE (물량흐름)'!$A$13:$C$502,3,0)</f>
        <v>100003486</v>
      </c>
      <c r="E39" s="6">
        <f>VLOOKUP(D39,'JUNE (물량흐름)'!$C$13:$W$502,21,0)</f>
        <v>0</v>
      </c>
      <c r="F39" s="6">
        <f t="shared" si="7"/>
        <v>0</v>
      </c>
      <c r="G39" s="6">
        <f>ROUND(SUMIF('In-out-bal products (155)(완성제품)'!$B$12:$B$493,'Sales profit (스타일 별 매출이익)'!D39,'In-out-bal products (155)(완성제품)'!$X$12:$X$493) + SUMIF('In-out-bal products (155)(완성제품)'!$B$12:$B$493,'Sales profit (스타일 별 매출이익)'!D39,'In-out-bal products (155)(완성제품)'!$AA$12:$AA$493),0)</f>
        <v>0</v>
      </c>
      <c r="H39" s="283">
        <f t="shared" si="8"/>
        <v>0</v>
      </c>
      <c r="I39" s="284">
        <f t="shared" si="9"/>
        <v>0</v>
      </c>
      <c r="J39" s="284">
        <f t="shared" si="3"/>
        <v>0</v>
      </c>
      <c r="K39" s="283">
        <v>1.98</v>
      </c>
      <c r="L39" s="285">
        <f t="shared" si="10"/>
        <v>0</v>
      </c>
      <c r="M39" s="285">
        <f t="shared" si="11"/>
        <v>1.98</v>
      </c>
      <c r="N39" s="285">
        <f t="shared" si="12"/>
        <v>0</v>
      </c>
      <c r="O39" s="416">
        <f t="shared" si="13"/>
        <v>0</v>
      </c>
      <c r="P39" s="417">
        <f t="shared" si="14"/>
        <v>44896.5</v>
      </c>
      <c r="Q39" s="441"/>
    </row>
    <row r="40" spans="1:17" s="417" customFormat="1" ht="14.25" customHeight="1">
      <c r="A40" s="167">
        <v>32</v>
      </c>
      <c r="B40" s="409">
        <v>22675</v>
      </c>
      <c r="C40" s="20" t="str">
        <f>VLOOKUP(A40,'JUNE (물량흐름)'!$A$13:$C$502,2,0)</f>
        <v>ALFANI</v>
      </c>
      <c r="D40" s="282">
        <f>VLOOKUP(A40,'JUNE (물량흐름)'!$A$13:$C$502,3,0)</f>
        <v>100003532</v>
      </c>
      <c r="E40" s="6">
        <f>VLOOKUP(D40,'JUNE (물량흐름)'!$C$13:$W$502,21,0)</f>
        <v>0</v>
      </c>
      <c r="F40" s="6">
        <f t="shared" si="7"/>
        <v>0</v>
      </c>
      <c r="G40" s="6">
        <f>ROUND(SUMIF('In-out-bal products (155)(완성제품)'!$B$12:$B$493,'Sales profit (스타일 별 매출이익)'!D40,'In-out-bal products (155)(완성제품)'!$X$12:$X$493) + SUMIF('In-out-bal products (155)(완성제품)'!$B$12:$B$493,'Sales profit (스타일 별 매출이익)'!D40,'In-out-bal products (155)(완성제품)'!$AA$12:$AA$493),0)</f>
        <v>0</v>
      </c>
      <c r="H40" s="283">
        <f t="shared" si="8"/>
        <v>0</v>
      </c>
      <c r="I40" s="284">
        <f t="shared" si="9"/>
        <v>0</v>
      </c>
      <c r="J40" s="284">
        <f t="shared" si="3"/>
        <v>0</v>
      </c>
      <c r="K40" s="283">
        <v>0.35</v>
      </c>
      <c r="L40" s="285">
        <f t="shared" si="10"/>
        <v>0</v>
      </c>
      <c r="M40" s="285">
        <f t="shared" si="11"/>
        <v>0.35</v>
      </c>
      <c r="N40" s="285">
        <f t="shared" si="12"/>
        <v>0</v>
      </c>
      <c r="O40" s="416">
        <f t="shared" si="13"/>
        <v>0</v>
      </c>
      <c r="P40" s="417">
        <f t="shared" si="14"/>
        <v>7936.2499999999991</v>
      </c>
      <c r="Q40" s="441"/>
    </row>
    <row r="41" spans="1:17" s="417" customFormat="1" ht="14.25" customHeight="1">
      <c r="A41" s="167">
        <v>33</v>
      </c>
      <c r="B41" s="409">
        <v>22675</v>
      </c>
      <c r="C41" s="20" t="str">
        <f>VLOOKUP(A41,'JUNE (물량흐름)'!$A$13:$C$502,2,0)</f>
        <v>ALFANI</v>
      </c>
      <c r="D41" s="282">
        <f>VLOOKUP(A41,'JUNE (물량흐름)'!$A$13:$C$502,3,0)</f>
        <v>100003576</v>
      </c>
      <c r="E41" s="6">
        <f>VLOOKUP(D41,'JUNE (물량흐름)'!$C$13:$W$502,21,0)</f>
        <v>0</v>
      </c>
      <c r="F41" s="6">
        <f t="shared" si="7"/>
        <v>0</v>
      </c>
      <c r="G41" s="6">
        <f>ROUND(SUMIF('In-out-bal products (155)(완성제품)'!$B$12:$B$493,'Sales profit (스타일 별 매출이익)'!D41,'In-out-bal products (155)(완성제품)'!$X$12:$X$493) + SUMIF('In-out-bal products (155)(완성제품)'!$B$12:$B$493,'Sales profit (스타일 별 매출이익)'!D41,'In-out-bal products (155)(완성제품)'!$AA$12:$AA$493),0)</f>
        <v>0</v>
      </c>
      <c r="H41" s="283">
        <f t="shared" si="8"/>
        <v>0</v>
      </c>
      <c r="I41" s="284">
        <f t="shared" si="9"/>
        <v>0</v>
      </c>
      <c r="J41" s="284">
        <f t="shared" ref="J41:J72" si="15">IFERROR(F41*$J$492/$F$492,0)</f>
        <v>0</v>
      </c>
      <c r="K41" s="283">
        <v>0.35</v>
      </c>
      <c r="L41" s="285">
        <f t="shared" si="10"/>
        <v>0</v>
      </c>
      <c r="M41" s="285">
        <f t="shared" si="11"/>
        <v>0.35</v>
      </c>
      <c r="N41" s="285">
        <f t="shared" si="12"/>
        <v>0</v>
      </c>
      <c r="O41" s="416">
        <f t="shared" si="13"/>
        <v>0</v>
      </c>
      <c r="P41" s="417">
        <f t="shared" si="14"/>
        <v>7936.2499999999991</v>
      </c>
      <c r="Q41" s="441"/>
    </row>
    <row r="42" spans="1:17" s="417" customFormat="1" ht="14.25" customHeight="1">
      <c r="A42" s="167">
        <v>34</v>
      </c>
      <c r="B42" s="409">
        <v>22675</v>
      </c>
      <c r="C42" s="20" t="str">
        <f>VLOOKUP(A42,'JUNE (물량흐름)'!$A$13:$C$502,2,0)</f>
        <v>ALFANI</v>
      </c>
      <c r="D42" s="282">
        <f>VLOOKUP(A42,'JUNE (물량흐름)'!$A$13:$C$502,3,0)</f>
        <v>100004422</v>
      </c>
      <c r="E42" s="6">
        <f>VLOOKUP(D42,'JUNE (물량흐름)'!$C$13:$W$502,21,0)</f>
        <v>0</v>
      </c>
      <c r="F42" s="6">
        <f t="shared" si="7"/>
        <v>0</v>
      </c>
      <c r="G42" s="6">
        <f>ROUND(SUMIF('In-out-bal products (155)(완성제품)'!$B$12:$B$493,'Sales profit (스타일 별 매출이익)'!D42,'In-out-bal products (155)(완성제품)'!$X$12:$X$493) + SUMIF('In-out-bal products (155)(완성제품)'!$B$12:$B$493,'Sales profit (스타일 별 매출이익)'!D42,'In-out-bal products (155)(완성제품)'!$AA$12:$AA$493),0)</f>
        <v>0</v>
      </c>
      <c r="H42" s="283">
        <f t="shared" si="8"/>
        <v>0</v>
      </c>
      <c r="I42" s="284">
        <f t="shared" si="9"/>
        <v>0</v>
      </c>
      <c r="J42" s="284">
        <f t="shared" si="15"/>
        <v>0</v>
      </c>
      <c r="K42" s="283">
        <v>0.35</v>
      </c>
      <c r="L42" s="285">
        <f t="shared" si="10"/>
        <v>0</v>
      </c>
      <c r="M42" s="285">
        <f t="shared" si="11"/>
        <v>0.35</v>
      </c>
      <c r="N42" s="285">
        <f t="shared" si="12"/>
        <v>0</v>
      </c>
      <c r="O42" s="416">
        <f t="shared" si="13"/>
        <v>0</v>
      </c>
      <c r="P42" s="417">
        <f t="shared" si="14"/>
        <v>7936.2499999999991</v>
      </c>
      <c r="Q42" s="441"/>
    </row>
    <row r="43" spans="1:17" s="417" customFormat="1" ht="14.25" customHeight="1">
      <c r="A43" s="167">
        <v>35</v>
      </c>
      <c r="B43" s="409">
        <v>22675</v>
      </c>
      <c r="C43" s="20" t="str">
        <f>VLOOKUP(A43,'JUNE (물량흐름)'!$A$13:$C$502,2,0)</f>
        <v>ALFANI</v>
      </c>
      <c r="D43" s="282">
        <f>VLOOKUP(A43,'JUNE (물량흐름)'!$A$13:$C$502,3,0)</f>
        <v>100004424</v>
      </c>
      <c r="E43" s="6">
        <f>VLOOKUP(D43,'JUNE (물량흐름)'!$C$13:$W$502,21,0)</f>
        <v>0</v>
      </c>
      <c r="F43" s="6">
        <f t="shared" si="7"/>
        <v>0</v>
      </c>
      <c r="G43" s="6">
        <f>ROUND(SUMIF('In-out-bal products (155)(완성제품)'!$B$12:$B$493,'Sales profit (스타일 별 매출이익)'!D43,'In-out-bal products (155)(완성제품)'!$X$12:$X$493) + SUMIF('In-out-bal products (155)(완성제품)'!$B$12:$B$493,'Sales profit (스타일 별 매출이익)'!D43,'In-out-bal products (155)(완성제품)'!$AA$12:$AA$493),0)</f>
        <v>0</v>
      </c>
      <c r="H43" s="283">
        <f t="shared" si="8"/>
        <v>0</v>
      </c>
      <c r="I43" s="284">
        <f t="shared" si="9"/>
        <v>0</v>
      </c>
      <c r="J43" s="284">
        <f t="shared" si="15"/>
        <v>0</v>
      </c>
      <c r="K43" s="283">
        <v>0.35</v>
      </c>
      <c r="L43" s="285">
        <f t="shared" si="10"/>
        <v>0</v>
      </c>
      <c r="M43" s="285">
        <f t="shared" si="11"/>
        <v>0.35</v>
      </c>
      <c r="N43" s="285">
        <f t="shared" si="12"/>
        <v>0</v>
      </c>
      <c r="O43" s="416">
        <f t="shared" si="13"/>
        <v>0</v>
      </c>
      <c r="P43" s="417">
        <f t="shared" si="14"/>
        <v>7936.2499999999991</v>
      </c>
      <c r="Q43" s="441"/>
    </row>
    <row r="44" spans="1:17" s="417" customFormat="1" ht="14.25" customHeight="1">
      <c r="A44" s="167">
        <v>36</v>
      </c>
      <c r="B44" s="409">
        <v>22675</v>
      </c>
      <c r="C44" s="20" t="str">
        <f>VLOOKUP(A44,'JUNE (물량흐름)'!$A$13:$C$502,2,0)</f>
        <v>ALFANI</v>
      </c>
      <c r="D44" s="282">
        <f>VLOOKUP(A44,'JUNE (물량흐름)'!$A$13:$C$502,3,0)</f>
        <v>100005621</v>
      </c>
      <c r="E44" s="6">
        <f>VLOOKUP(D44,'JUNE (물량흐름)'!$C$13:$W$502,21,0)</f>
        <v>0</v>
      </c>
      <c r="F44" s="6">
        <f t="shared" si="7"/>
        <v>0</v>
      </c>
      <c r="G44" s="6">
        <f>ROUND(SUMIF('In-out-bal products (155)(완성제품)'!$B$12:$B$493,'Sales profit (스타일 별 매출이익)'!D44,'In-out-bal products (155)(완성제품)'!$X$12:$X$493) + SUMIF('In-out-bal products (155)(완성제품)'!$B$12:$B$493,'Sales profit (스타일 별 매출이익)'!D44,'In-out-bal products (155)(완성제품)'!$AA$12:$AA$493),0)</f>
        <v>0</v>
      </c>
      <c r="H44" s="283">
        <f t="shared" si="8"/>
        <v>0</v>
      </c>
      <c r="I44" s="284">
        <f t="shared" si="9"/>
        <v>0</v>
      </c>
      <c r="J44" s="284">
        <f t="shared" si="15"/>
        <v>0</v>
      </c>
      <c r="K44" s="283">
        <v>0.35</v>
      </c>
      <c r="L44" s="285">
        <f t="shared" si="10"/>
        <v>0</v>
      </c>
      <c r="M44" s="285">
        <f t="shared" si="11"/>
        <v>0.35</v>
      </c>
      <c r="N44" s="285">
        <f t="shared" si="12"/>
        <v>0</v>
      </c>
      <c r="O44" s="416">
        <f t="shared" si="13"/>
        <v>0</v>
      </c>
      <c r="P44" s="417">
        <f t="shared" si="14"/>
        <v>7936.2499999999991</v>
      </c>
      <c r="Q44" s="441"/>
    </row>
    <row r="45" spans="1:17" s="417" customFormat="1" ht="14.25" customHeight="1">
      <c r="A45" s="167">
        <v>37</v>
      </c>
      <c r="B45" s="409">
        <v>22675</v>
      </c>
      <c r="C45" s="20" t="str">
        <f>VLOOKUP(A45,'JUNE (물량흐름)'!$A$13:$C$502,2,0)</f>
        <v>ALFANI</v>
      </c>
      <c r="D45" s="282">
        <f>VLOOKUP(A45,'JUNE (물량흐름)'!$A$13:$C$502,3,0)</f>
        <v>100005705</v>
      </c>
      <c r="E45" s="6">
        <f>VLOOKUP(D45,'JUNE (물량흐름)'!$C$13:$W$502,21,0)</f>
        <v>0</v>
      </c>
      <c r="F45" s="6">
        <f t="shared" si="7"/>
        <v>0</v>
      </c>
      <c r="G45" s="6">
        <f>ROUND(SUMIF('In-out-bal products (155)(완성제품)'!$B$12:$B$493,'Sales profit (스타일 별 매출이익)'!D45,'In-out-bal products (155)(완성제품)'!$X$12:$X$493) + SUMIF('In-out-bal products (155)(완성제품)'!$B$12:$B$493,'Sales profit (스타일 별 매출이익)'!D45,'In-out-bal products (155)(완성제품)'!$AA$12:$AA$493),0)</f>
        <v>0</v>
      </c>
      <c r="H45" s="283">
        <f t="shared" si="8"/>
        <v>0</v>
      </c>
      <c r="I45" s="284">
        <f t="shared" si="9"/>
        <v>0</v>
      </c>
      <c r="J45" s="284">
        <f t="shared" si="15"/>
        <v>0</v>
      </c>
      <c r="K45" s="283">
        <v>0.35</v>
      </c>
      <c r="L45" s="285">
        <f t="shared" si="10"/>
        <v>0</v>
      </c>
      <c r="M45" s="285">
        <f t="shared" si="11"/>
        <v>0.35</v>
      </c>
      <c r="N45" s="285">
        <f t="shared" si="12"/>
        <v>0</v>
      </c>
      <c r="O45" s="416">
        <f t="shared" si="13"/>
        <v>0</v>
      </c>
      <c r="P45" s="417">
        <f t="shared" si="14"/>
        <v>7936.2499999999991</v>
      </c>
      <c r="Q45" s="441"/>
    </row>
    <row r="46" spans="1:17" s="417" customFormat="1" ht="14.25" customHeight="1">
      <c r="A46" s="167">
        <v>38</v>
      </c>
      <c r="B46" s="409">
        <v>22675</v>
      </c>
      <c r="C46" s="20" t="str">
        <f>VLOOKUP(A46,'JUNE (물량흐름)'!$A$13:$C$502,2,0)</f>
        <v>ALFANI</v>
      </c>
      <c r="D46" s="282">
        <f>VLOOKUP(A46,'JUNE (물량흐름)'!$A$13:$C$502,3,0)</f>
        <v>100005710</v>
      </c>
      <c r="E46" s="6">
        <f>VLOOKUP(D46,'JUNE (물량흐름)'!$C$13:$W$502,21,0)</f>
        <v>0</v>
      </c>
      <c r="F46" s="6">
        <f t="shared" si="7"/>
        <v>0</v>
      </c>
      <c r="G46" s="6">
        <f>ROUND(SUMIF('In-out-bal products (155)(완성제품)'!$B$12:$B$493,'Sales profit (스타일 별 매출이익)'!D46,'In-out-bal products (155)(완성제품)'!$X$12:$X$493) + SUMIF('In-out-bal products (155)(완성제품)'!$B$12:$B$493,'Sales profit (스타일 별 매출이익)'!D46,'In-out-bal products (155)(완성제품)'!$AA$12:$AA$493),0)</f>
        <v>0</v>
      </c>
      <c r="H46" s="283">
        <f t="shared" si="8"/>
        <v>0</v>
      </c>
      <c r="I46" s="284">
        <f t="shared" si="9"/>
        <v>0</v>
      </c>
      <c r="J46" s="284">
        <f t="shared" si="15"/>
        <v>0</v>
      </c>
      <c r="K46" s="283">
        <v>0.35</v>
      </c>
      <c r="L46" s="285">
        <f t="shared" si="10"/>
        <v>0</v>
      </c>
      <c r="M46" s="285">
        <f t="shared" si="11"/>
        <v>0.35</v>
      </c>
      <c r="N46" s="285">
        <f t="shared" si="12"/>
        <v>0</v>
      </c>
      <c r="O46" s="416">
        <f t="shared" si="13"/>
        <v>0</v>
      </c>
      <c r="P46" s="417">
        <f t="shared" si="14"/>
        <v>7936.2499999999991</v>
      </c>
      <c r="Q46" s="441"/>
    </row>
    <row r="47" spans="1:17" s="417" customFormat="1" ht="14.25" customHeight="1">
      <c r="A47" s="167">
        <v>39</v>
      </c>
      <c r="B47" s="409">
        <v>22675</v>
      </c>
      <c r="C47" s="20" t="str">
        <f>VLOOKUP(A47,'JUNE (물량흐름)'!$A$13:$C$502,2,0)</f>
        <v>ALFANI</v>
      </c>
      <c r="D47" s="282">
        <f>VLOOKUP(A47,'JUNE (물량흐름)'!$A$13:$C$502,3,0)</f>
        <v>100008197</v>
      </c>
      <c r="E47" s="6">
        <f>VLOOKUP(D47,'JUNE (물량흐름)'!$C$13:$W$502,21,0)</f>
        <v>0</v>
      </c>
      <c r="F47" s="6">
        <f t="shared" si="7"/>
        <v>0</v>
      </c>
      <c r="G47" s="6">
        <f>ROUND(SUMIF('In-out-bal products (155)(완성제품)'!$B$12:$B$493,'Sales profit (스타일 별 매출이익)'!D47,'In-out-bal products (155)(완성제품)'!$X$12:$X$493) + SUMIF('In-out-bal products (155)(완성제품)'!$B$12:$B$493,'Sales profit (스타일 별 매출이익)'!D47,'In-out-bal products (155)(완성제품)'!$AA$12:$AA$493),0)</f>
        <v>0</v>
      </c>
      <c r="H47" s="283">
        <f t="shared" si="8"/>
        <v>0</v>
      </c>
      <c r="I47" s="284">
        <f t="shared" si="9"/>
        <v>0</v>
      </c>
      <c r="J47" s="284">
        <f t="shared" si="15"/>
        <v>0</v>
      </c>
      <c r="K47" s="283">
        <v>0.36</v>
      </c>
      <c r="L47" s="285">
        <f t="shared" si="10"/>
        <v>0</v>
      </c>
      <c r="M47" s="285">
        <f t="shared" si="11"/>
        <v>0.36</v>
      </c>
      <c r="N47" s="285">
        <f t="shared" si="12"/>
        <v>0</v>
      </c>
      <c r="O47" s="416">
        <f t="shared" si="13"/>
        <v>0</v>
      </c>
      <c r="P47" s="417">
        <f t="shared" si="14"/>
        <v>8163</v>
      </c>
      <c r="Q47" s="441"/>
    </row>
    <row r="48" spans="1:17" s="417" customFormat="1" ht="14.25" customHeight="1">
      <c r="A48" s="167">
        <v>40</v>
      </c>
      <c r="B48" s="409">
        <v>22675</v>
      </c>
      <c r="C48" s="20" t="str">
        <f>VLOOKUP(A48,'JUNE (물량흐름)'!$A$13:$C$502,2,0)</f>
        <v>ALFANI</v>
      </c>
      <c r="D48" s="282">
        <f>VLOOKUP(A48,'JUNE (물량흐름)'!$A$13:$C$502,3,0)</f>
        <v>100008887</v>
      </c>
      <c r="E48" s="6">
        <f>VLOOKUP(D48,'JUNE (물량흐름)'!$C$13:$W$502,21,0)</f>
        <v>0</v>
      </c>
      <c r="F48" s="6">
        <f t="shared" si="7"/>
        <v>0</v>
      </c>
      <c r="G48" s="6">
        <f>ROUND(SUMIF('In-out-bal products (155)(완성제품)'!$B$12:$B$493,'Sales profit (스타일 별 매출이익)'!D48,'In-out-bal products (155)(완성제품)'!$X$12:$X$493) + SUMIF('In-out-bal products (155)(완성제품)'!$B$12:$B$493,'Sales profit (스타일 별 매출이익)'!D48,'In-out-bal products (155)(완성제품)'!$AA$12:$AA$493),0)</f>
        <v>0</v>
      </c>
      <c r="H48" s="283">
        <f t="shared" si="8"/>
        <v>0</v>
      </c>
      <c r="I48" s="284">
        <f t="shared" si="9"/>
        <v>0</v>
      </c>
      <c r="J48" s="284">
        <f t="shared" si="15"/>
        <v>0</v>
      </c>
      <c r="K48" s="283">
        <v>0.36</v>
      </c>
      <c r="L48" s="285">
        <f t="shared" si="10"/>
        <v>0</v>
      </c>
      <c r="M48" s="285">
        <f t="shared" si="11"/>
        <v>0.36</v>
      </c>
      <c r="N48" s="285">
        <f t="shared" si="12"/>
        <v>0</v>
      </c>
      <c r="O48" s="416">
        <f t="shared" si="13"/>
        <v>0</v>
      </c>
      <c r="P48" s="417">
        <f t="shared" si="14"/>
        <v>8163</v>
      </c>
      <c r="Q48" s="441"/>
    </row>
    <row r="49" spans="1:17" s="417" customFormat="1" ht="14.25" customHeight="1">
      <c r="A49" s="167">
        <v>41</v>
      </c>
      <c r="B49" s="409">
        <v>22675</v>
      </c>
      <c r="C49" s="20" t="str">
        <f>VLOOKUP(A49,'JUNE (물량흐름)'!$A$13:$C$502,2,0)</f>
        <v>ALFANI</v>
      </c>
      <c r="D49" s="282">
        <f>VLOOKUP(A49,'JUNE (물량흐름)'!$A$13:$C$502,3,0)</f>
        <v>100010879</v>
      </c>
      <c r="E49" s="6">
        <f>VLOOKUP(D49,'JUNE (물량흐름)'!$C$13:$W$502,21,0)</f>
        <v>0</v>
      </c>
      <c r="F49" s="6">
        <f t="shared" si="7"/>
        <v>0</v>
      </c>
      <c r="G49" s="6">
        <f>ROUND(SUMIF('In-out-bal products (155)(완성제품)'!$B$12:$B$493,'Sales profit (스타일 별 매출이익)'!D49,'In-out-bal products (155)(완성제품)'!$X$12:$X$493) + SUMIF('In-out-bal products (155)(완성제품)'!$B$12:$B$493,'Sales profit (스타일 별 매출이익)'!D49,'In-out-bal products (155)(완성제품)'!$AA$12:$AA$493),0)</f>
        <v>0</v>
      </c>
      <c r="H49" s="283">
        <f t="shared" si="8"/>
        <v>0</v>
      </c>
      <c r="I49" s="284">
        <f t="shared" si="9"/>
        <v>0</v>
      </c>
      <c r="J49" s="284">
        <f t="shared" si="15"/>
        <v>0</v>
      </c>
      <c r="K49" s="283">
        <v>2</v>
      </c>
      <c r="L49" s="285">
        <f t="shared" si="10"/>
        <v>0</v>
      </c>
      <c r="M49" s="285">
        <f t="shared" si="11"/>
        <v>2</v>
      </c>
      <c r="N49" s="285">
        <f t="shared" si="12"/>
        <v>0</v>
      </c>
      <c r="O49" s="416">
        <f t="shared" si="13"/>
        <v>0</v>
      </c>
      <c r="P49" s="417">
        <f t="shared" si="14"/>
        <v>45350</v>
      </c>
      <c r="Q49" s="441"/>
    </row>
    <row r="50" spans="1:17" s="417" customFormat="1" ht="14.25" customHeight="1">
      <c r="A50" s="167">
        <v>42</v>
      </c>
      <c r="B50" s="409">
        <v>22675</v>
      </c>
      <c r="C50" s="20" t="str">
        <f>VLOOKUP(A50,'JUNE (물량흐름)'!$A$13:$C$502,2,0)</f>
        <v>ALFANI</v>
      </c>
      <c r="D50" s="282">
        <f>VLOOKUP(A50,'JUNE (물량흐름)'!$A$13:$C$502,3,0)</f>
        <v>100010914</v>
      </c>
      <c r="E50" s="6">
        <f>VLOOKUP(D50,'JUNE (물량흐름)'!$C$13:$W$502,21,0)</f>
        <v>0</v>
      </c>
      <c r="F50" s="6">
        <f t="shared" si="7"/>
        <v>0</v>
      </c>
      <c r="G50" s="6">
        <f>ROUND(SUMIF('In-out-bal products (155)(완성제품)'!$B$12:$B$493,'Sales profit (스타일 별 매출이익)'!D50,'In-out-bal products (155)(완성제품)'!$X$12:$X$493) + SUMIF('In-out-bal products (155)(완성제품)'!$B$12:$B$493,'Sales profit (스타일 별 매출이익)'!D50,'In-out-bal products (155)(완성제품)'!$AA$12:$AA$493),0)</f>
        <v>0</v>
      </c>
      <c r="H50" s="283">
        <f t="shared" si="8"/>
        <v>0</v>
      </c>
      <c r="I50" s="284">
        <f t="shared" si="9"/>
        <v>0</v>
      </c>
      <c r="J50" s="284">
        <f t="shared" si="15"/>
        <v>0</v>
      </c>
      <c r="K50" s="283">
        <v>0.35</v>
      </c>
      <c r="L50" s="285">
        <f t="shared" si="10"/>
        <v>0</v>
      </c>
      <c r="M50" s="285">
        <f t="shared" si="11"/>
        <v>0.35</v>
      </c>
      <c r="N50" s="285">
        <f t="shared" si="12"/>
        <v>0</v>
      </c>
      <c r="O50" s="416">
        <f t="shared" si="13"/>
        <v>0</v>
      </c>
      <c r="P50" s="417">
        <f t="shared" si="14"/>
        <v>7936.2499999999991</v>
      </c>
      <c r="Q50" s="441"/>
    </row>
    <row r="51" spans="1:17" s="417" customFormat="1" ht="14.25" customHeight="1">
      <c r="A51" s="167">
        <v>43</v>
      </c>
      <c r="B51" s="409">
        <v>22675</v>
      </c>
      <c r="C51" s="20" t="str">
        <f>VLOOKUP(A51,'JUNE (물량흐름)'!$A$13:$C$502,2,0)</f>
        <v>ALFANI</v>
      </c>
      <c r="D51" s="282">
        <f>VLOOKUP(A51,'JUNE (물량흐름)'!$A$13:$C$502,3,0)</f>
        <v>100011006</v>
      </c>
      <c r="E51" s="6">
        <f>VLOOKUP(D51,'JUNE (물량흐름)'!$C$13:$W$502,21,0)</f>
        <v>0</v>
      </c>
      <c r="F51" s="6">
        <f t="shared" si="7"/>
        <v>0</v>
      </c>
      <c r="G51" s="6">
        <f>ROUND(SUMIF('In-out-bal products (155)(완성제품)'!$B$12:$B$493,'Sales profit (스타일 별 매출이익)'!D51,'In-out-bal products (155)(완성제품)'!$X$12:$X$493) + SUMIF('In-out-bal products (155)(완성제품)'!$B$12:$B$493,'Sales profit (스타일 별 매출이익)'!D51,'In-out-bal products (155)(완성제품)'!$AA$12:$AA$493),0)</f>
        <v>0</v>
      </c>
      <c r="H51" s="283">
        <f t="shared" si="8"/>
        <v>0</v>
      </c>
      <c r="I51" s="284">
        <f t="shared" si="9"/>
        <v>0</v>
      </c>
      <c r="J51" s="284">
        <f t="shared" si="15"/>
        <v>0</v>
      </c>
      <c r="K51" s="283">
        <v>0.35</v>
      </c>
      <c r="L51" s="285">
        <f t="shared" si="10"/>
        <v>0</v>
      </c>
      <c r="M51" s="285">
        <f t="shared" si="11"/>
        <v>0.35</v>
      </c>
      <c r="N51" s="285">
        <f t="shared" si="12"/>
        <v>0</v>
      </c>
      <c r="O51" s="416">
        <f t="shared" si="13"/>
        <v>0</v>
      </c>
      <c r="P51" s="417">
        <f t="shared" si="14"/>
        <v>7936.2499999999991</v>
      </c>
      <c r="Q51" s="441"/>
    </row>
    <row r="52" spans="1:17" s="417" customFormat="1" ht="14.25" customHeight="1">
      <c r="A52" s="167">
        <v>44</v>
      </c>
      <c r="B52" s="409">
        <v>22675</v>
      </c>
      <c r="C52" s="20" t="str">
        <f>VLOOKUP(A52,'JUNE (물량흐름)'!$A$13:$C$502,2,0)</f>
        <v>ALFANI</v>
      </c>
      <c r="D52" s="282">
        <f>VLOOKUP(A52,'JUNE (물량흐름)'!$A$13:$C$502,3,0)</f>
        <v>100011101</v>
      </c>
      <c r="E52" s="6">
        <f>VLOOKUP(D52,'JUNE (물량흐름)'!$C$13:$W$502,21,0)</f>
        <v>0</v>
      </c>
      <c r="F52" s="6">
        <f t="shared" si="7"/>
        <v>0</v>
      </c>
      <c r="G52" s="6">
        <f>ROUND(SUMIF('In-out-bal products (155)(완성제품)'!$B$12:$B$493,'Sales profit (스타일 별 매출이익)'!D52,'In-out-bal products (155)(완성제품)'!$X$12:$X$493) + SUMIF('In-out-bal products (155)(완성제품)'!$B$12:$B$493,'Sales profit (스타일 별 매출이익)'!D52,'In-out-bal products (155)(완성제품)'!$AA$12:$AA$493),0)</f>
        <v>0</v>
      </c>
      <c r="H52" s="283">
        <f t="shared" si="8"/>
        <v>0</v>
      </c>
      <c r="I52" s="284">
        <f t="shared" si="9"/>
        <v>0</v>
      </c>
      <c r="J52" s="284">
        <f t="shared" si="15"/>
        <v>0</v>
      </c>
      <c r="K52" s="283">
        <v>0.36</v>
      </c>
      <c r="L52" s="285">
        <f t="shared" si="10"/>
        <v>0</v>
      </c>
      <c r="M52" s="285">
        <f t="shared" si="11"/>
        <v>0.36</v>
      </c>
      <c r="N52" s="285">
        <f t="shared" si="12"/>
        <v>0</v>
      </c>
      <c r="O52" s="416">
        <f t="shared" si="13"/>
        <v>0</v>
      </c>
      <c r="P52" s="417">
        <f t="shared" si="14"/>
        <v>8163</v>
      </c>
      <c r="Q52" s="441"/>
    </row>
    <row r="53" spans="1:17" s="417" customFormat="1" ht="14.25" customHeight="1">
      <c r="A53" s="167">
        <v>45</v>
      </c>
      <c r="B53" s="409">
        <v>22675</v>
      </c>
      <c r="C53" s="20" t="str">
        <f>VLOOKUP(A53,'JUNE (물량흐름)'!$A$13:$C$502,2,0)</f>
        <v>ALFANI</v>
      </c>
      <c r="D53" s="282">
        <f>VLOOKUP(A53,'JUNE (물량흐름)'!$A$13:$C$502,3,0)</f>
        <v>100011102</v>
      </c>
      <c r="E53" s="6">
        <f>VLOOKUP(D53,'JUNE (물량흐름)'!$C$13:$W$502,21,0)</f>
        <v>0</v>
      </c>
      <c r="F53" s="6">
        <f t="shared" si="7"/>
        <v>0</v>
      </c>
      <c r="G53" s="6">
        <f>ROUND(SUMIF('In-out-bal products (155)(완성제품)'!$B$12:$B$493,'Sales profit (스타일 별 매출이익)'!D53,'In-out-bal products (155)(완성제품)'!$X$12:$X$493) + SUMIF('In-out-bal products (155)(완성제품)'!$B$12:$B$493,'Sales profit (스타일 별 매출이익)'!D53,'In-out-bal products (155)(완성제품)'!$AA$12:$AA$493),0)</f>
        <v>0</v>
      </c>
      <c r="H53" s="283">
        <f t="shared" si="8"/>
        <v>0</v>
      </c>
      <c r="I53" s="284">
        <f t="shared" si="9"/>
        <v>0</v>
      </c>
      <c r="J53" s="284">
        <f t="shared" si="15"/>
        <v>0</v>
      </c>
      <c r="K53" s="283">
        <v>0.35</v>
      </c>
      <c r="L53" s="285">
        <f t="shared" si="10"/>
        <v>0</v>
      </c>
      <c r="M53" s="285">
        <f t="shared" si="11"/>
        <v>0.35</v>
      </c>
      <c r="N53" s="285">
        <f t="shared" si="12"/>
        <v>0</v>
      </c>
      <c r="O53" s="416">
        <f t="shared" si="13"/>
        <v>0</v>
      </c>
      <c r="P53" s="417">
        <f t="shared" si="14"/>
        <v>7936.2499999999991</v>
      </c>
      <c r="Q53" s="441"/>
    </row>
    <row r="54" spans="1:17" s="417" customFormat="1" ht="14.25" customHeight="1">
      <c r="A54" s="167">
        <v>46</v>
      </c>
      <c r="B54" s="409">
        <v>22675</v>
      </c>
      <c r="C54" s="20" t="str">
        <f>VLOOKUP(A54,'JUNE (물량흐름)'!$A$13:$C$502,2,0)</f>
        <v>ALFANI</v>
      </c>
      <c r="D54" s="282">
        <f>VLOOKUP(A54,'JUNE (물량흐름)'!$A$13:$C$502,3,0)</f>
        <v>2335</v>
      </c>
      <c r="E54" s="6">
        <f>VLOOKUP(D54,'JUNE (물량흐름)'!$C$13:$W$502,21,0)</f>
        <v>0</v>
      </c>
      <c r="F54" s="6">
        <f t="shared" si="7"/>
        <v>0</v>
      </c>
      <c r="G54" s="6">
        <f>ROUND(SUMIF('In-out-bal products (155)(완성제품)'!$B$12:$B$493,'Sales profit (스타일 별 매출이익)'!D54,'In-out-bal products (155)(완성제품)'!$X$12:$X$493) + SUMIF('In-out-bal products (155)(완성제품)'!$B$12:$B$493,'Sales profit (스타일 별 매출이익)'!D54,'In-out-bal products (155)(완성제품)'!$AA$12:$AA$493),0)</f>
        <v>0</v>
      </c>
      <c r="H54" s="283">
        <f t="shared" si="8"/>
        <v>0</v>
      </c>
      <c r="I54" s="284">
        <f t="shared" si="9"/>
        <v>0</v>
      </c>
      <c r="J54" s="284">
        <f t="shared" si="15"/>
        <v>0</v>
      </c>
      <c r="K54" s="283">
        <v>0.36</v>
      </c>
      <c r="L54" s="285">
        <f t="shared" si="10"/>
        <v>0</v>
      </c>
      <c r="M54" s="285">
        <f t="shared" si="11"/>
        <v>0.36</v>
      </c>
      <c r="N54" s="285">
        <f t="shared" si="12"/>
        <v>0</v>
      </c>
      <c r="O54" s="416">
        <f t="shared" si="13"/>
        <v>0</v>
      </c>
      <c r="P54" s="417">
        <f t="shared" si="14"/>
        <v>8163</v>
      </c>
      <c r="Q54" s="441"/>
    </row>
    <row r="55" spans="1:17" s="417" customFormat="1" ht="14.25" customHeight="1">
      <c r="A55" s="167">
        <v>47</v>
      </c>
      <c r="B55" s="409">
        <v>22675</v>
      </c>
      <c r="C55" s="20" t="str">
        <f>VLOOKUP(A55,'JUNE (물량흐름)'!$A$13:$C$502,2,0)</f>
        <v>ALFANI</v>
      </c>
      <c r="D55" s="282">
        <f>VLOOKUP(A55,'JUNE (물량흐름)'!$A$13:$C$502,3,0)</f>
        <v>7220</v>
      </c>
      <c r="E55" s="6">
        <f>VLOOKUP(D55,'JUNE (물량흐름)'!$C$13:$W$502,21,0)</f>
        <v>1116</v>
      </c>
      <c r="F55" s="6">
        <f t="shared" si="7"/>
        <v>57443031</v>
      </c>
      <c r="G55" s="6">
        <f>ROUND(SUMIF('In-out-bal products (155)(완성제품)'!$B$12:$B$493,'Sales profit (스타일 별 매출이익)'!D55,'In-out-bal products (155)(완성제품)'!$X$12:$X$493) + SUMIF('In-out-bal products (155)(완성제품)'!$B$12:$B$493,'Sales profit (스타일 별 매출이익)'!D55,'In-out-bal products (155)(완성제품)'!$AA$12:$AA$493),0)</f>
        <v>13112842</v>
      </c>
      <c r="H55" s="283">
        <f t="shared" si="8"/>
        <v>1.7518144025164688</v>
      </c>
      <c r="I55" s="284">
        <f t="shared" si="9"/>
        <v>39722.391577060931</v>
      </c>
      <c r="J55" s="284">
        <f t="shared" si="15"/>
        <v>4903443.9951558085</v>
      </c>
      <c r="K55" s="283">
        <v>2.27</v>
      </c>
      <c r="L55" s="285">
        <f t="shared" si="10"/>
        <v>0.5181855974835311</v>
      </c>
      <c r="M55" s="285">
        <f t="shared" si="11"/>
        <v>1.5580429793301875</v>
      </c>
      <c r="N55" s="285">
        <f t="shared" si="12"/>
        <v>0.19377142318628149</v>
      </c>
      <c r="O55" s="416">
        <f t="shared" si="13"/>
        <v>2533.3200000000002</v>
      </c>
      <c r="P55" s="417">
        <f t="shared" si="14"/>
        <v>51472.25</v>
      </c>
      <c r="Q55" s="441"/>
    </row>
    <row r="56" spans="1:17" s="417" customFormat="1" ht="14.25" customHeight="1">
      <c r="A56" s="167">
        <v>48</v>
      </c>
      <c r="B56" s="409">
        <v>22675</v>
      </c>
      <c r="C56" s="20" t="str">
        <f>VLOOKUP(A56,'JUNE (물량흐름)'!$A$13:$C$502,2,0)</f>
        <v>ALFANI</v>
      </c>
      <c r="D56" s="282" t="str">
        <f>VLOOKUP(A56,'JUNE (물량흐름)'!$A$13:$C$502,3,0)</f>
        <v>7D400</v>
      </c>
      <c r="E56" s="6">
        <f>VLOOKUP(D56,'JUNE (물량흐름)'!$C$13:$W$502,21,0)</f>
        <v>0</v>
      </c>
      <c r="F56" s="6">
        <f t="shared" si="7"/>
        <v>0</v>
      </c>
      <c r="G56" s="6">
        <f>ROUND(SUMIF('In-out-bal products (155)(완성제품)'!$B$12:$B$493,'Sales profit (스타일 별 매출이익)'!D56,'In-out-bal products (155)(완성제품)'!$X$12:$X$493) + SUMIF('In-out-bal products (155)(완성제품)'!$B$12:$B$493,'Sales profit (스타일 별 매출이익)'!D56,'In-out-bal products (155)(완성제품)'!$AA$12:$AA$493),0)</f>
        <v>0</v>
      </c>
      <c r="H56" s="283">
        <f t="shared" si="8"/>
        <v>0</v>
      </c>
      <c r="I56" s="284">
        <f t="shared" si="9"/>
        <v>0</v>
      </c>
      <c r="J56" s="284">
        <f t="shared" si="15"/>
        <v>0</v>
      </c>
      <c r="K56" s="283">
        <v>1.1000000000000001</v>
      </c>
      <c r="L56" s="285">
        <f t="shared" si="10"/>
        <v>0</v>
      </c>
      <c r="M56" s="285">
        <f t="shared" si="11"/>
        <v>1.1000000000000001</v>
      </c>
      <c r="N56" s="285">
        <f t="shared" si="12"/>
        <v>0</v>
      </c>
      <c r="O56" s="416">
        <f t="shared" si="13"/>
        <v>0</v>
      </c>
      <c r="P56" s="417">
        <f t="shared" si="14"/>
        <v>24942.500000000004</v>
      </c>
      <c r="Q56" s="441"/>
    </row>
    <row r="57" spans="1:17" s="417" customFormat="1" ht="14.25" customHeight="1">
      <c r="A57" s="167">
        <v>49</v>
      </c>
      <c r="B57" s="409">
        <v>22675</v>
      </c>
      <c r="C57" s="20" t="str">
        <f>VLOOKUP(A57,'JUNE (물량흐름)'!$A$13:$C$502,2,0)</f>
        <v>ALFANI</v>
      </c>
      <c r="D57" s="282" t="str">
        <f>VLOOKUP(A57,'JUNE (물량흐름)'!$A$13:$C$502,3,0)</f>
        <v>7D701</v>
      </c>
      <c r="E57" s="6">
        <f>VLOOKUP(D57,'JUNE (물량흐름)'!$C$13:$W$502,21,0)</f>
        <v>0</v>
      </c>
      <c r="F57" s="6">
        <f t="shared" si="7"/>
        <v>0</v>
      </c>
      <c r="G57" s="6">
        <f>ROUND(SUMIF('In-out-bal products (155)(완성제품)'!$B$12:$B$493,'Sales profit (스타일 별 매출이익)'!D57,'In-out-bal products (155)(완성제품)'!$X$12:$X$493) + SUMIF('In-out-bal products (155)(완성제품)'!$B$12:$B$493,'Sales profit (스타일 별 매출이익)'!D57,'In-out-bal products (155)(완성제품)'!$AA$12:$AA$493),0)</f>
        <v>0</v>
      </c>
      <c r="H57" s="283">
        <f t="shared" si="8"/>
        <v>0</v>
      </c>
      <c r="I57" s="284">
        <f t="shared" si="9"/>
        <v>0</v>
      </c>
      <c r="J57" s="284">
        <f t="shared" si="15"/>
        <v>0</v>
      </c>
      <c r="K57" s="283">
        <v>0.35</v>
      </c>
      <c r="L57" s="285">
        <f t="shared" si="10"/>
        <v>0</v>
      </c>
      <c r="M57" s="285">
        <f t="shared" si="11"/>
        <v>0.35</v>
      </c>
      <c r="N57" s="285">
        <f t="shared" si="12"/>
        <v>0</v>
      </c>
      <c r="O57" s="416">
        <f t="shared" si="13"/>
        <v>0</v>
      </c>
      <c r="P57" s="417">
        <f t="shared" si="14"/>
        <v>7936.2499999999991</v>
      </c>
      <c r="Q57" s="441"/>
    </row>
    <row r="58" spans="1:17" s="417" customFormat="1" ht="14.25" customHeight="1">
      <c r="A58" s="167">
        <v>50</v>
      </c>
      <c r="B58" s="409">
        <v>22675</v>
      </c>
      <c r="C58" s="20" t="str">
        <f>VLOOKUP(A58,'JUNE (물량흐름)'!$A$13:$C$502,2,0)</f>
        <v>ALFANI</v>
      </c>
      <c r="D58" s="282" t="str">
        <f>VLOOKUP(A58,'JUNE (물량흐름)'!$A$13:$C$502,3,0)</f>
        <v>7D707</v>
      </c>
      <c r="E58" s="6">
        <f>VLOOKUP(D58,'JUNE (물량흐름)'!$C$13:$W$502,21,0)</f>
        <v>0</v>
      </c>
      <c r="F58" s="6">
        <f t="shared" si="7"/>
        <v>0</v>
      </c>
      <c r="G58" s="6">
        <f>ROUND(SUMIF('In-out-bal products (155)(완성제품)'!$B$12:$B$493,'Sales profit (스타일 별 매출이익)'!D58,'In-out-bal products (155)(완성제품)'!$X$12:$X$493) + SUMIF('In-out-bal products (155)(완성제품)'!$B$12:$B$493,'Sales profit (스타일 별 매출이익)'!D58,'In-out-bal products (155)(완성제품)'!$AA$12:$AA$493),0)</f>
        <v>0</v>
      </c>
      <c r="H58" s="283">
        <f t="shared" si="8"/>
        <v>0</v>
      </c>
      <c r="I58" s="284">
        <f t="shared" si="9"/>
        <v>0</v>
      </c>
      <c r="J58" s="284">
        <f t="shared" si="15"/>
        <v>0</v>
      </c>
      <c r="K58" s="283">
        <v>0.35</v>
      </c>
      <c r="L58" s="285">
        <f t="shared" si="10"/>
        <v>0</v>
      </c>
      <c r="M58" s="285">
        <f t="shared" si="11"/>
        <v>0.35</v>
      </c>
      <c r="N58" s="285">
        <f t="shared" si="12"/>
        <v>0</v>
      </c>
      <c r="O58" s="416">
        <f t="shared" si="13"/>
        <v>0</v>
      </c>
      <c r="P58" s="417">
        <f t="shared" si="14"/>
        <v>7936.2499999999991</v>
      </c>
      <c r="Q58" s="441"/>
    </row>
    <row r="59" spans="1:17" s="417" customFormat="1" ht="14.25" customHeight="1">
      <c r="A59" s="167">
        <v>51</v>
      </c>
      <c r="B59" s="409">
        <v>22675</v>
      </c>
      <c r="C59" s="20" t="str">
        <f>VLOOKUP(A59,'JUNE (물량흐름)'!$A$13:$C$502,2,0)</f>
        <v>ALFANI</v>
      </c>
      <c r="D59" s="282" t="str">
        <f>VLOOKUP(A59,'JUNE (물량흐름)'!$A$13:$C$502,3,0)</f>
        <v>7D902</v>
      </c>
      <c r="E59" s="6">
        <f>VLOOKUP(D59,'JUNE (물량흐름)'!$C$13:$W$502,21,0)</f>
        <v>0</v>
      </c>
      <c r="F59" s="6">
        <f t="shared" si="7"/>
        <v>0</v>
      </c>
      <c r="G59" s="6">
        <f>ROUND(SUMIF('In-out-bal products (155)(완성제품)'!$B$12:$B$493,'Sales profit (스타일 별 매출이익)'!D59,'In-out-bal products (155)(완성제품)'!$X$12:$X$493) + SUMIF('In-out-bal products (155)(완성제품)'!$B$12:$B$493,'Sales profit (스타일 별 매출이익)'!D59,'In-out-bal products (155)(완성제품)'!$AA$12:$AA$493),0)</f>
        <v>0</v>
      </c>
      <c r="H59" s="283">
        <f t="shared" si="8"/>
        <v>0</v>
      </c>
      <c r="I59" s="284">
        <f t="shared" si="9"/>
        <v>0</v>
      </c>
      <c r="J59" s="284">
        <f t="shared" si="15"/>
        <v>0</v>
      </c>
      <c r="K59" s="283">
        <v>2.77</v>
      </c>
      <c r="L59" s="285">
        <f t="shared" si="10"/>
        <v>0</v>
      </c>
      <c r="M59" s="285">
        <f t="shared" si="11"/>
        <v>2.77</v>
      </c>
      <c r="N59" s="285">
        <f t="shared" si="12"/>
        <v>0</v>
      </c>
      <c r="O59" s="416">
        <f t="shared" si="13"/>
        <v>0</v>
      </c>
      <c r="P59" s="417">
        <f t="shared" si="14"/>
        <v>62809.75</v>
      </c>
      <c r="Q59" s="441"/>
    </row>
    <row r="60" spans="1:17" s="417" customFormat="1" ht="14.25" customHeight="1">
      <c r="A60" s="167">
        <v>52</v>
      </c>
      <c r="B60" s="409">
        <v>22675</v>
      </c>
      <c r="C60" s="20" t="str">
        <f>VLOOKUP(A60,'JUNE (물량흐름)'!$A$13:$C$502,2,0)</f>
        <v>ALFANI</v>
      </c>
      <c r="D60" s="282" t="str">
        <f>VLOOKUP(A60,'JUNE (물량흐름)'!$A$13:$C$502,3,0)</f>
        <v>7N714</v>
      </c>
      <c r="E60" s="6">
        <f>VLOOKUP(D60,'JUNE (물량흐름)'!$C$13:$W$502,21,0)</f>
        <v>0</v>
      </c>
      <c r="F60" s="6">
        <f t="shared" si="7"/>
        <v>0</v>
      </c>
      <c r="G60" s="6">
        <f>ROUND(SUMIF('In-out-bal products (155)(완성제품)'!$B$12:$B$493,'Sales profit (스타일 별 매출이익)'!D60,'In-out-bal products (155)(완성제품)'!$X$12:$X$493) + SUMIF('In-out-bal products (155)(완성제품)'!$B$12:$B$493,'Sales profit (스타일 별 매출이익)'!D60,'In-out-bal products (155)(완성제품)'!$AA$12:$AA$493),0)</f>
        <v>0</v>
      </c>
      <c r="H60" s="283">
        <f t="shared" si="8"/>
        <v>0</v>
      </c>
      <c r="I60" s="284">
        <f t="shared" si="9"/>
        <v>0</v>
      </c>
      <c r="J60" s="284">
        <f t="shared" si="15"/>
        <v>0</v>
      </c>
      <c r="K60" s="283">
        <v>0.36</v>
      </c>
      <c r="L60" s="285">
        <f t="shared" si="10"/>
        <v>0</v>
      </c>
      <c r="M60" s="285">
        <f t="shared" si="11"/>
        <v>0.36</v>
      </c>
      <c r="N60" s="285">
        <f t="shared" si="12"/>
        <v>0</v>
      </c>
      <c r="O60" s="416">
        <f t="shared" si="13"/>
        <v>0</v>
      </c>
      <c r="P60" s="417">
        <f t="shared" si="14"/>
        <v>8163</v>
      </c>
      <c r="Q60" s="441"/>
    </row>
    <row r="61" spans="1:17" s="417" customFormat="1" ht="14.25" customHeight="1">
      <c r="A61" s="167">
        <v>53</v>
      </c>
      <c r="B61" s="409">
        <v>22675</v>
      </c>
      <c r="C61" s="20" t="str">
        <f>VLOOKUP(A61,'JUNE (물량흐름)'!$A$13:$C$502,2,0)</f>
        <v>ANN TAYLOR</v>
      </c>
      <c r="D61" s="282">
        <f>VLOOKUP(A61,'JUNE (물량흐름)'!$A$13:$C$502,3,0)</f>
        <v>448556</v>
      </c>
      <c r="E61" s="6">
        <f>VLOOKUP(D61,'JUNE (물량흐름)'!$C$13:$W$502,21,0)</f>
        <v>0</v>
      </c>
      <c r="F61" s="6">
        <f t="shared" si="7"/>
        <v>0</v>
      </c>
      <c r="G61" s="6">
        <f>ROUND(SUMIF('In-out-bal products (155)(완성제품)'!$B$12:$B$493,'Sales profit (스타일 별 매출이익)'!D61,'In-out-bal products (155)(완성제품)'!$X$12:$X$493) + SUMIF('In-out-bal products (155)(완성제품)'!$B$12:$B$493,'Sales profit (스타일 별 매출이익)'!D61,'In-out-bal products (155)(완성제품)'!$AA$12:$AA$493),0)</f>
        <v>0</v>
      </c>
      <c r="H61" s="283">
        <f t="shared" si="8"/>
        <v>0</v>
      </c>
      <c r="I61" s="284">
        <f t="shared" si="9"/>
        <v>0</v>
      </c>
      <c r="J61" s="284">
        <f t="shared" si="15"/>
        <v>0</v>
      </c>
      <c r="K61" s="283">
        <v>0.36</v>
      </c>
      <c r="L61" s="285">
        <f t="shared" si="10"/>
        <v>0</v>
      </c>
      <c r="M61" s="285">
        <f t="shared" si="11"/>
        <v>0.36</v>
      </c>
      <c r="N61" s="285">
        <f t="shared" si="12"/>
        <v>0</v>
      </c>
      <c r="O61" s="416">
        <f t="shared" si="13"/>
        <v>0</v>
      </c>
      <c r="P61" s="417">
        <f t="shared" si="14"/>
        <v>8163</v>
      </c>
      <c r="Q61" s="441"/>
    </row>
    <row r="62" spans="1:17" s="417" customFormat="1" ht="14.25" customHeight="1">
      <c r="A62" s="167">
        <v>54</v>
      </c>
      <c r="B62" s="409">
        <v>22675</v>
      </c>
      <c r="C62" s="20" t="str">
        <f>VLOOKUP(A62,'JUNE (물량흐름)'!$A$13:$C$502,2,0)</f>
        <v>ANN TAYLOR</v>
      </c>
      <c r="D62" s="282">
        <f>VLOOKUP(A62,'JUNE (물량흐름)'!$A$13:$C$502,3,0)</f>
        <v>454819</v>
      </c>
      <c r="E62" s="6">
        <f>VLOOKUP(D62,'JUNE (물량흐름)'!$C$13:$W$502,21,0)</f>
        <v>0</v>
      </c>
      <c r="F62" s="6">
        <f t="shared" si="7"/>
        <v>0</v>
      </c>
      <c r="G62" s="6">
        <f>ROUND(SUMIF('In-out-bal products (155)(완성제품)'!$B$12:$B$493,'Sales profit (스타일 별 매출이익)'!D62,'In-out-bal products (155)(완성제품)'!$X$12:$X$493) + SUMIF('In-out-bal products (155)(완성제품)'!$B$12:$B$493,'Sales profit (스타일 별 매출이익)'!D62,'In-out-bal products (155)(완성제품)'!$AA$12:$AA$493),0)</f>
        <v>0</v>
      </c>
      <c r="H62" s="283">
        <f t="shared" si="8"/>
        <v>0</v>
      </c>
      <c r="I62" s="284">
        <f t="shared" si="9"/>
        <v>0</v>
      </c>
      <c r="J62" s="284">
        <f t="shared" si="15"/>
        <v>0</v>
      </c>
      <c r="K62" s="283">
        <v>0.35</v>
      </c>
      <c r="L62" s="285">
        <f t="shared" si="10"/>
        <v>0</v>
      </c>
      <c r="M62" s="285">
        <f t="shared" si="11"/>
        <v>0.35</v>
      </c>
      <c r="N62" s="285">
        <f t="shared" si="12"/>
        <v>0</v>
      </c>
      <c r="O62" s="416">
        <f t="shared" si="13"/>
        <v>0</v>
      </c>
      <c r="P62" s="417">
        <f t="shared" si="14"/>
        <v>7936.2499999999991</v>
      </c>
      <c r="Q62" s="441"/>
    </row>
    <row r="63" spans="1:17" s="417" customFormat="1" ht="14.25" customHeight="1">
      <c r="A63" s="167">
        <v>55</v>
      </c>
      <c r="B63" s="409">
        <v>22675</v>
      </c>
      <c r="C63" s="20" t="str">
        <f>VLOOKUP(A63,'JUNE (물량흐름)'!$A$13:$C$502,2,0)</f>
        <v>ANN TAYLOR</v>
      </c>
      <c r="D63" s="282">
        <f>VLOOKUP(A63,'JUNE (물량흐름)'!$A$13:$C$502,3,0)</f>
        <v>457050</v>
      </c>
      <c r="E63" s="6">
        <f>VLOOKUP(D63,'JUNE (물량흐름)'!$C$13:$W$502,21,0)</f>
        <v>0</v>
      </c>
      <c r="F63" s="6">
        <f t="shared" si="7"/>
        <v>0</v>
      </c>
      <c r="G63" s="6">
        <f>ROUND(SUMIF('In-out-bal products (155)(완성제품)'!$B$12:$B$493,'Sales profit (스타일 별 매출이익)'!D63,'In-out-bal products (155)(완성제품)'!$X$12:$X$493) + SUMIF('In-out-bal products (155)(완성제품)'!$B$12:$B$493,'Sales profit (스타일 별 매출이익)'!D63,'In-out-bal products (155)(완성제품)'!$AA$12:$AA$493),0)</f>
        <v>0</v>
      </c>
      <c r="H63" s="283">
        <f t="shared" si="8"/>
        <v>0</v>
      </c>
      <c r="I63" s="284">
        <f t="shared" si="9"/>
        <v>0</v>
      </c>
      <c r="J63" s="284">
        <f t="shared" si="15"/>
        <v>0</v>
      </c>
      <c r="K63" s="283">
        <v>0.35</v>
      </c>
      <c r="L63" s="285">
        <f t="shared" si="10"/>
        <v>0</v>
      </c>
      <c r="M63" s="285">
        <f t="shared" si="11"/>
        <v>0.35</v>
      </c>
      <c r="N63" s="285">
        <f t="shared" si="12"/>
        <v>0</v>
      </c>
      <c r="O63" s="416">
        <f t="shared" si="13"/>
        <v>0</v>
      </c>
      <c r="P63" s="417">
        <f t="shared" si="14"/>
        <v>7936.2499999999991</v>
      </c>
      <c r="Q63" s="441"/>
    </row>
    <row r="64" spans="1:17" s="417" customFormat="1" ht="14.25" customHeight="1">
      <c r="A64" s="167">
        <v>56</v>
      </c>
      <c r="B64" s="409">
        <v>22675</v>
      </c>
      <c r="C64" s="20" t="str">
        <f>VLOOKUP(A64,'JUNE (물량흐름)'!$A$13:$C$502,2,0)</f>
        <v>INC</v>
      </c>
      <c r="D64" s="282">
        <f>VLOOKUP(A64,'JUNE (물량흐름)'!$A$13:$C$502,3,0)</f>
        <v>100007750</v>
      </c>
      <c r="E64" s="6">
        <f>VLOOKUP(D64,'JUNE (물량흐름)'!$C$13:$W$502,21,0)</f>
        <v>0</v>
      </c>
      <c r="F64" s="6">
        <f t="shared" si="7"/>
        <v>0</v>
      </c>
      <c r="G64" s="6">
        <f>ROUND(SUMIF('In-out-bal products (155)(완성제품)'!$B$12:$B$493,'Sales profit (스타일 별 매출이익)'!D64,'In-out-bal products (155)(완성제품)'!$X$12:$X$493) + SUMIF('In-out-bal products (155)(완성제품)'!$B$12:$B$493,'Sales profit (스타일 별 매출이익)'!D64,'In-out-bal products (155)(완성제품)'!$AA$12:$AA$493),0)</f>
        <v>0</v>
      </c>
      <c r="H64" s="283">
        <f t="shared" si="8"/>
        <v>0</v>
      </c>
      <c r="I64" s="284">
        <f t="shared" si="9"/>
        <v>0</v>
      </c>
      <c r="J64" s="284">
        <f t="shared" si="15"/>
        <v>0</v>
      </c>
      <c r="K64" s="283">
        <v>0.35</v>
      </c>
      <c r="L64" s="285">
        <f t="shared" si="10"/>
        <v>0</v>
      </c>
      <c r="M64" s="285">
        <f t="shared" si="11"/>
        <v>0.35</v>
      </c>
      <c r="N64" s="285">
        <f t="shared" si="12"/>
        <v>0</v>
      </c>
      <c r="O64" s="416">
        <f t="shared" si="13"/>
        <v>0</v>
      </c>
      <c r="P64" s="417">
        <f t="shared" si="14"/>
        <v>7936.2499999999991</v>
      </c>
      <c r="Q64" s="441"/>
    </row>
    <row r="65" spans="1:17" s="417" customFormat="1" ht="14.25" customHeight="1">
      <c r="A65" s="167">
        <v>57</v>
      </c>
      <c r="B65" s="409">
        <v>22675</v>
      </c>
      <c r="C65" s="20" t="str">
        <f>VLOOKUP(A65,'JUNE (물량흐름)'!$A$13:$C$502,2,0)</f>
        <v>INC</v>
      </c>
      <c r="D65" s="282">
        <f>VLOOKUP(A65,'JUNE (물량흐름)'!$A$13:$C$502,3,0)</f>
        <v>100008168</v>
      </c>
      <c r="E65" s="6">
        <f>VLOOKUP(D65,'JUNE (물량흐름)'!$C$13:$W$502,21,0)</f>
        <v>0</v>
      </c>
      <c r="F65" s="6">
        <f t="shared" si="7"/>
        <v>0</v>
      </c>
      <c r="G65" s="6">
        <f>ROUND(SUMIF('In-out-bal products (155)(완성제품)'!$B$12:$B$493,'Sales profit (스타일 별 매출이익)'!D65,'In-out-bal products (155)(완성제품)'!$X$12:$X$493) + SUMIF('In-out-bal products (155)(완성제품)'!$B$12:$B$493,'Sales profit (스타일 별 매출이익)'!D65,'In-out-bal products (155)(완성제품)'!$AA$12:$AA$493),0)</f>
        <v>0</v>
      </c>
      <c r="H65" s="283">
        <f t="shared" si="8"/>
        <v>0</v>
      </c>
      <c r="I65" s="284">
        <f t="shared" si="9"/>
        <v>0</v>
      </c>
      <c r="J65" s="284">
        <f t="shared" si="15"/>
        <v>0</v>
      </c>
      <c r="K65" s="283">
        <v>2.2000000000000002</v>
      </c>
      <c r="L65" s="285">
        <f t="shared" si="10"/>
        <v>0</v>
      </c>
      <c r="M65" s="285">
        <f t="shared" si="11"/>
        <v>2.2000000000000002</v>
      </c>
      <c r="N65" s="285">
        <f t="shared" si="12"/>
        <v>0</v>
      </c>
      <c r="O65" s="416">
        <f t="shared" si="13"/>
        <v>0</v>
      </c>
      <c r="P65" s="417">
        <f t="shared" si="14"/>
        <v>49885.000000000007</v>
      </c>
      <c r="Q65" s="441"/>
    </row>
    <row r="66" spans="1:17" s="417" customFormat="1" ht="14.25" customHeight="1">
      <c r="A66" s="167">
        <v>58</v>
      </c>
      <c r="B66" s="409">
        <v>22675</v>
      </c>
      <c r="C66" s="20" t="str">
        <f>VLOOKUP(A66,'JUNE (물량흐름)'!$A$13:$C$502,2,0)</f>
        <v>INC</v>
      </c>
      <c r="D66" s="282" t="str">
        <f>VLOOKUP(A66,'JUNE (물량흐름)'!$A$13:$C$502,3,0)</f>
        <v>10010195(7D324)</v>
      </c>
      <c r="E66" s="6">
        <f>VLOOKUP(D66,'JUNE (물량흐름)'!$C$13:$W$502,21,0)</f>
        <v>0</v>
      </c>
      <c r="F66" s="6">
        <f t="shared" si="7"/>
        <v>0</v>
      </c>
      <c r="G66" s="6">
        <f>ROUND(SUMIF('In-out-bal products (155)(완성제품)'!$B$12:$B$493,'Sales profit (스타일 별 매출이익)'!D66,'In-out-bal products (155)(완성제품)'!$X$12:$X$493) + SUMIF('In-out-bal products (155)(완성제품)'!$B$12:$B$493,'Sales profit (스타일 별 매출이익)'!D66,'In-out-bal products (155)(완성제품)'!$AA$12:$AA$493),0)</f>
        <v>0</v>
      </c>
      <c r="H66" s="283">
        <f t="shared" si="8"/>
        <v>0</v>
      </c>
      <c r="I66" s="284">
        <f t="shared" si="9"/>
        <v>0</v>
      </c>
      <c r="J66" s="284">
        <f t="shared" si="15"/>
        <v>0</v>
      </c>
      <c r="K66" s="283">
        <v>0.35</v>
      </c>
      <c r="L66" s="285">
        <f t="shared" si="10"/>
        <v>0</v>
      </c>
      <c r="M66" s="285">
        <f t="shared" si="11"/>
        <v>0.35</v>
      </c>
      <c r="N66" s="285">
        <f t="shared" si="12"/>
        <v>0</v>
      </c>
      <c r="O66" s="416">
        <f t="shared" si="13"/>
        <v>0</v>
      </c>
      <c r="P66" s="417">
        <f t="shared" si="14"/>
        <v>7936.2499999999991</v>
      </c>
      <c r="Q66" s="441"/>
    </row>
    <row r="67" spans="1:17" s="417" customFormat="1" ht="14.25" customHeight="1">
      <c r="A67" s="167">
        <v>59</v>
      </c>
      <c r="B67" s="409">
        <v>22675</v>
      </c>
      <c r="C67" s="20" t="str">
        <f>VLOOKUP(A67,'JUNE (물량흐름)'!$A$13:$C$502,2,0)</f>
        <v>INC</v>
      </c>
      <c r="D67" s="282" t="str">
        <f>VLOOKUP(A67,'JUNE (물량흐름)'!$A$13:$C$502,3,0)</f>
        <v>6D398</v>
      </c>
      <c r="E67" s="6">
        <f>VLOOKUP(D67,'JUNE (물량흐름)'!$C$13:$W$502,21,0)</f>
        <v>9000</v>
      </c>
      <c r="F67" s="6">
        <f t="shared" si="7"/>
        <v>648958500</v>
      </c>
      <c r="G67" s="6">
        <f>ROUND(SUMIF('In-out-bal products (155)(완성제품)'!$B$12:$B$493,'Sales profit (스타일 별 매출이익)'!D67,'In-out-bal products (155)(완성제품)'!$X$12:$X$493) + SUMIF('In-out-bal products (155)(완성제품)'!$B$12:$B$493,'Sales profit (스타일 별 매출이익)'!D67,'In-out-bal products (155)(완성제품)'!$AA$12:$AA$493),0)</f>
        <v>541047350</v>
      </c>
      <c r="H67" s="283">
        <f t="shared" si="8"/>
        <v>0.52878182040916333</v>
      </c>
      <c r="I67" s="284">
        <f t="shared" si="9"/>
        <v>11990.127777777778</v>
      </c>
      <c r="J67" s="284">
        <f t="shared" si="15"/>
        <v>55396304.904772893</v>
      </c>
      <c r="K67" s="283">
        <v>3.18</v>
      </c>
      <c r="L67" s="285">
        <f t="shared" si="10"/>
        <v>2.6512181795908365</v>
      </c>
      <c r="M67" s="285">
        <f t="shared" si="11"/>
        <v>0.25733110422750061</v>
      </c>
      <c r="N67" s="285">
        <f t="shared" si="12"/>
        <v>0.27145071618166305</v>
      </c>
      <c r="O67" s="416">
        <f t="shared" si="13"/>
        <v>28620</v>
      </c>
      <c r="P67" s="417">
        <f t="shared" si="14"/>
        <v>72106.5</v>
      </c>
      <c r="Q67" s="441"/>
    </row>
    <row r="68" spans="1:17" s="417" customFormat="1" ht="14.25" customHeight="1">
      <c r="A68" s="167">
        <v>60</v>
      </c>
      <c r="B68" s="409">
        <v>22675</v>
      </c>
      <c r="C68" s="20" t="str">
        <f>VLOOKUP(A68,'JUNE (물량흐름)'!$A$13:$C$502,2,0)</f>
        <v>INC</v>
      </c>
      <c r="D68" s="282" t="str">
        <f>VLOOKUP(A68,'JUNE (물량흐름)'!$A$13:$C$502,3,0)</f>
        <v>7D320(100010192)</v>
      </c>
      <c r="E68" s="6">
        <f>VLOOKUP(D68,'JUNE (물량흐름)'!$C$13:$W$502,21,0)</f>
        <v>0</v>
      </c>
      <c r="F68" s="6">
        <f t="shared" si="7"/>
        <v>0</v>
      </c>
      <c r="G68" s="6">
        <f>ROUND(SUMIF('In-out-bal products (155)(완성제품)'!$B$12:$B$493,'Sales profit (스타일 별 매출이익)'!D68,'In-out-bal products (155)(완성제품)'!$X$12:$X$493) + SUMIF('In-out-bal products (155)(완성제품)'!$B$12:$B$493,'Sales profit (스타일 별 매출이익)'!D68,'In-out-bal products (155)(완성제품)'!$AA$12:$AA$493),0)</f>
        <v>0</v>
      </c>
      <c r="H68" s="283">
        <f t="shared" si="8"/>
        <v>0</v>
      </c>
      <c r="I68" s="284">
        <f t="shared" si="9"/>
        <v>0</v>
      </c>
      <c r="J68" s="284">
        <f t="shared" si="15"/>
        <v>0</v>
      </c>
      <c r="K68" s="283">
        <v>0.35</v>
      </c>
      <c r="L68" s="285">
        <f t="shared" si="10"/>
        <v>0</v>
      </c>
      <c r="M68" s="285">
        <f t="shared" si="11"/>
        <v>0.35</v>
      </c>
      <c r="N68" s="285">
        <f t="shared" si="12"/>
        <v>0</v>
      </c>
      <c r="O68" s="416">
        <f t="shared" si="13"/>
        <v>0</v>
      </c>
      <c r="P68" s="417">
        <f t="shared" si="14"/>
        <v>7936.2499999999991</v>
      </c>
      <c r="Q68" s="441"/>
    </row>
    <row r="69" spans="1:17" s="417" customFormat="1" ht="14.25" customHeight="1">
      <c r="A69" s="167">
        <v>61</v>
      </c>
      <c r="B69" s="409">
        <v>22675</v>
      </c>
      <c r="C69" s="20" t="str">
        <f>VLOOKUP(A69,'JUNE (물량흐름)'!$A$13:$C$502,2,0)</f>
        <v>INC</v>
      </c>
      <c r="D69" s="282" t="str">
        <f>VLOOKUP(A69,'JUNE (물량흐름)'!$A$13:$C$502,3,0)</f>
        <v>7D534(100010660)</v>
      </c>
      <c r="E69" s="6">
        <f>VLOOKUP(D69,'JUNE (물량흐름)'!$C$13:$W$502,21,0)</f>
        <v>0</v>
      </c>
      <c r="F69" s="6">
        <f t="shared" si="7"/>
        <v>0</v>
      </c>
      <c r="G69" s="6">
        <f>ROUND(SUMIF('In-out-bal products (155)(완성제품)'!$B$12:$B$493,'Sales profit (스타일 별 매출이익)'!D69,'In-out-bal products (155)(완성제품)'!$X$12:$X$493) + SUMIF('In-out-bal products (155)(완성제품)'!$B$12:$B$493,'Sales profit (스타일 별 매출이익)'!D69,'In-out-bal products (155)(완성제품)'!$AA$12:$AA$493),0)</f>
        <v>0</v>
      </c>
      <c r="H69" s="283">
        <f t="shared" si="8"/>
        <v>0</v>
      </c>
      <c r="I69" s="284">
        <f t="shared" si="9"/>
        <v>0</v>
      </c>
      <c r="J69" s="284">
        <f t="shared" si="15"/>
        <v>0</v>
      </c>
      <c r="K69" s="283">
        <v>0.35</v>
      </c>
      <c r="L69" s="285">
        <f t="shared" si="10"/>
        <v>0</v>
      </c>
      <c r="M69" s="285">
        <f t="shared" si="11"/>
        <v>0.35</v>
      </c>
      <c r="N69" s="285">
        <f t="shared" si="12"/>
        <v>0</v>
      </c>
      <c r="O69" s="416">
        <f t="shared" si="13"/>
        <v>0</v>
      </c>
      <c r="P69" s="417">
        <f t="shared" si="14"/>
        <v>7936.2499999999991</v>
      </c>
      <c r="Q69" s="441"/>
    </row>
    <row r="70" spans="1:17" s="417" customFormat="1" ht="14.25" customHeight="1">
      <c r="A70" s="167">
        <v>62</v>
      </c>
      <c r="B70" s="409">
        <v>22675</v>
      </c>
      <c r="C70" s="20" t="str">
        <f>VLOOKUP(A70,'JUNE (물량흐름)'!$A$13:$C$502,2,0)</f>
        <v>INC</v>
      </c>
      <c r="D70" s="282" t="str">
        <f>VLOOKUP(A70,'JUNE (물량흐름)'!$A$13:$C$502,3,0)</f>
        <v>7D650(100010275)</v>
      </c>
      <c r="E70" s="6">
        <f>VLOOKUP(D70,'JUNE (물량흐름)'!$C$13:$W$502,21,0)</f>
        <v>0</v>
      </c>
      <c r="F70" s="6">
        <f t="shared" si="7"/>
        <v>0</v>
      </c>
      <c r="G70" s="6">
        <f>ROUND(SUMIF('In-out-bal products (155)(완성제품)'!$B$12:$B$493,'Sales profit (스타일 별 매출이익)'!D70,'In-out-bal products (155)(완성제품)'!$X$12:$X$493) + SUMIF('In-out-bal products (155)(완성제품)'!$B$12:$B$493,'Sales profit (스타일 별 매출이익)'!D70,'In-out-bal products (155)(완성제품)'!$AA$12:$AA$493),0)</f>
        <v>0</v>
      </c>
      <c r="H70" s="283">
        <f t="shared" si="8"/>
        <v>0</v>
      </c>
      <c r="I70" s="284">
        <f t="shared" si="9"/>
        <v>0</v>
      </c>
      <c r="J70" s="284">
        <f t="shared" si="15"/>
        <v>0</v>
      </c>
      <c r="K70" s="283">
        <v>1.23</v>
      </c>
      <c r="L70" s="285">
        <f t="shared" si="10"/>
        <v>0</v>
      </c>
      <c r="M70" s="285">
        <f t="shared" si="11"/>
        <v>1.23</v>
      </c>
      <c r="N70" s="285">
        <f t="shared" si="12"/>
        <v>0</v>
      </c>
      <c r="O70" s="416">
        <f t="shared" si="13"/>
        <v>0</v>
      </c>
      <c r="P70" s="417">
        <f t="shared" si="14"/>
        <v>27890.25</v>
      </c>
      <c r="Q70" s="441"/>
    </row>
    <row r="71" spans="1:17" s="417" customFormat="1" ht="14.25" customHeight="1">
      <c r="A71" s="167">
        <v>63</v>
      </c>
      <c r="B71" s="409">
        <v>22675</v>
      </c>
      <c r="C71" s="20" t="str">
        <f>VLOOKUP(A71,'JUNE (물량흐름)'!$A$13:$C$502,2,0)</f>
        <v>INC</v>
      </c>
      <c r="D71" s="282" t="str">
        <f>VLOOKUP(A71,'JUNE (물량흐름)'!$A$13:$C$502,3,0)</f>
        <v>7D664(100007920)</v>
      </c>
      <c r="E71" s="6">
        <f>VLOOKUP(D71,'JUNE (물량흐름)'!$C$13:$W$502,21,0)</f>
        <v>0</v>
      </c>
      <c r="F71" s="6">
        <f t="shared" si="7"/>
        <v>0</v>
      </c>
      <c r="G71" s="6">
        <f>ROUND(SUMIF('In-out-bal products (155)(완성제품)'!$B$12:$B$493,'Sales profit (스타일 별 매출이익)'!D71,'In-out-bal products (155)(완성제품)'!$X$12:$X$493) + SUMIF('In-out-bal products (155)(완성제품)'!$B$12:$B$493,'Sales profit (스타일 별 매출이익)'!D71,'In-out-bal products (155)(완성제품)'!$AA$12:$AA$493),0)</f>
        <v>0</v>
      </c>
      <c r="H71" s="283">
        <f t="shared" si="8"/>
        <v>0</v>
      </c>
      <c r="I71" s="284">
        <f t="shared" si="9"/>
        <v>0</v>
      </c>
      <c r="J71" s="284">
        <f t="shared" si="15"/>
        <v>0</v>
      </c>
      <c r="K71" s="283">
        <v>0.36</v>
      </c>
      <c r="L71" s="285">
        <f t="shared" si="10"/>
        <v>0</v>
      </c>
      <c r="M71" s="285">
        <f t="shared" si="11"/>
        <v>0.36</v>
      </c>
      <c r="N71" s="285">
        <f t="shared" si="12"/>
        <v>0</v>
      </c>
      <c r="O71" s="416">
        <f t="shared" si="13"/>
        <v>0</v>
      </c>
      <c r="P71" s="417">
        <f t="shared" si="14"/>
        <v>8163</v>
      </c>
      <c r="Q71" s="441"/>
    </row>
    <row r="72" spans="1:17" s="417" customFormat="1" ht="14.25" customHeight="1">
      <c r="A72" s="167">
        <v>64</v>
      </c>
      <c r="B72" s="409">
        <v>22675</v>
      </c>
      <c r="C72" s="20" t="str">
        <f>VLOOKUP(A72,'JUNE (물량흐름)'!$A$13:$C$502,2,0)</f>
        <v>INC</v>
      </c>
      <c r="D72" s="282" t="str">
        <f>VLOOKUP(A72,'JUNE (물량흐름)'!$A$13:$C$502,3,0)</f>
        <v>7D670(10007909)</v>
      </c>
      <c r="E72" s="6">
        <f>VLOOKUP(D72,'JUNE (물량흐름)'!$C$13:$W$502,21,0)</f>
        <v>0</v>
      </c>
      <c r="F72" s="6">
        <f t="shared" si="7"/>
        <v>0</v>
      </c>
      <c r="G72" s="6">
        <f>ROUND(SUMIF('In-out-bal products (155)(완성제품)'!$B$12:$B$493,'Sales profit (스타일 별 매출이익)'!D72,'In-out-bal products (155)(완성제품)'!$X$12:$X$493) + SUMIF('In-out-bal products (155)(완성제품)'!$B$12:$B$493,'Sales profit (스타일 별 매출이익)'!D72,'In-out-bal products (155)(완성제품)'!$AA$12:$AA$493),0)</f>
        <v>0</v>
      </c>
      <c r="H72" s="283">
        <f t="shared" si="8"/>
        <v>0</v>
      </c>
      <c r="I72" s="284">
        <f t="shared" si="9"/>
        <v>0</v>
      </c>
      <c r="J72" s="284">
        <f t="shared" si="15"/>
        <v>0</v>
      </c>
      <c r="K72" s="283">
        <v>0.36</v>
      </c>
      <c r="L72" s="285">
        <f t="shared" si="10"/>
        <v>0</v>
      </c>
      <c r="M72" s="285">
        <f t="shared" si="11"/>
        <v>0.36</v>
      </c>
      <c r="N72" s="285">
        <f t="shared" si="12"/>
        <v>0</v>
      </c>
      <c r="O72" s="416">
        <f t="shared" si="13"/>
        <v>0</v>
      </c>
      <c r="P72" s="417">
        <f t="shared" si="14"/>
        <v>8163</v>
      </c>
      <c r="Q72" s="441"/>
    </row>
    <row r="73" spans="1:17" s="417" customFormat="1" ht="14.25" customHeight="1">
      <c r="A73" s="167">
        <v>65</v>
      </c>
      <c r="B73" s="409">
        <v>22675</v>
      </c>
      <c r="C73" s="20" t="str">
        <f>VLOOKUP(A73,'JUNE (물량흐름)'!$A$13:$C$502,2,0)</f>
        <v>ALFANI</v>
      </c>
      <c r="D73" s="282">
        <f>VLOOKUP(A73,'JUNE (물량흐름)'!$A$13:$C$502,3,0)</f>
        <v>100003487</v>
      </c>
      <c r="E73" s="6">
        <f>VLOOKUP(D73,'JUNE (물량흐름)'!$C$13:$W$502,21,0)</f>
        <v>0</v>
      </c>
      <c r="F73" s="6">
        <f t="shared" si="7"/>
        <v>0</v>
      </c>
      <c r="G73" s="6">
        <f>ROUND(SUMIF('In-out-bal products (155)(완성제품)'!$B$12:$B$493,'Sales profit (스타일 별 매출이익)'!D73,'In-out-bal products (155)(완성제품)'!$X$12:$X$493) + SUMIF('In-out-bal products (155)(완성제품)'!$B$12:$B$493,'Sales profit (스타일 별 매출이익)'!D73,'In-out-bal products (155)(완성제품)'!$AA$12:$AA$493),0)</f>
        <v>0</v>
      </c>
      <c r="H73" s="283">
        <f t="shared" si="8"/>
        <v>0</v>
      </c>
      <c r="I73" s="284">
        <f t="shared" si="9"/>
        <v>0</v>
      </c>
      <c r="J73" s="284">
        <f t="shared" ref="J73:J104" si="16">IFERROR(F73*$J$492/$F$492,0)</f>
        <v>0</v>
      </c>
      <c r="K73" s="283">
        <v>0.36</v>
      </c>
      <c r="L73" s="285">
        <f t="shared" si="10"/>
        <v>0</v>
      </c>
      <c r="M73" s="285">
        <f t="shared" si="11"/>
        <v>0.36</v>
      </c>
      <c r="N73" s="285">
        <f t="shared" si="12"/>
        <v>0</v>
      </c>
      <c r="O73" s="416">
        <f t="shared" si="13"/>
        <v>0</v>
      </c>
      <c r="P73" s="417">
        <f t="shared" si="14"/>
        <v>8163</v>
      </c>
      <c r="Q73" s="441"/>
    </row>
    <row r="74" spans="1:17" s="417" customFormat="1" ht="14.25" customHeight="1">
      <c r="A74" s="167">
        <v>66</v>
      </c>
      <c r="B74" s="409">
        <v>22675</v>
      </c>
      <c r="C74" s="20" t="str">
        <f>VLOOKUP(A74,'JUNE (물량흐름)'!$A$13:$C$502,2,0)</f>
        <v>ALFANI</v>
      </c>
      <c r="D74" s="282">
        <f>VLOOKUP(A74,'JUNE (물량흐름)'!$A$13:$C$502,3,0)</f>
        <v>100003506</v>
      </c>
      <c r="E74" s="6">
        <f>VLOOKUP(D74,'JUNE (물량흐름)'!$C$13:$W$502,21,0)</f>
        <v>0</v>
      </c>
      <c r="F74" s="6">
        <f t="shared" ref="F74:F136" si="17">IFERROR(ROUND(E74*K74*B74,0),0)</f>
        <v>0</v>
      </c>
      <c r="G74" s="6">
        <f>ROUND(SUMIF('In-out-bal products (155)(완성제품)'!$B$12:$B$493,'Sales profit (스타일 별 매출이익)'!D74,'In-out-bal products (155)(완성제품)'!$X$12:$X$493) + SUMIF('In-out-bal products (155)(완성제품)'!$B$12:$B$493,'Sales profit (스타일 별 매출이익)'!D74,'In-out-bal products (155)(완성제품)'!$AA$12:$AA$493),0)</f>
        <v>0</v>
      </c>
      <c r="H74" s="283">
        <f t="shared" ref="H74:H136" si="18">IFERROR(I74/B74,0)</f>
        <v>0</v>
      </c>
      <c r="I74" s="284">
        <f t="shared" ref="I74:I136" si="19">IFERROR((F74-G74)/E74,0)</f>
        <v>0</v>
      </c>
      <c r="J74" s="284">
        <f t="shared" si="16"/>
        <v>0</v>
      </c>
      <c r="K74" s="283">
        <v>0.36</v>
      </c>
      <c r="L74" s="285">
        <f t="shared" ref="L74:L136" si="20">IFERROR(G74/E74/B74,0)</f>
        <v>0</v>
      </c>
      <c r="M74" s="285">
        <f t="shared" ref="M74:M136" si="21">K74-L74-N74</f>
        <v>0.36</v>
      </c>
      <c r="N74" s="285">
        <f t="shared" ref="N74:N136" si="22">IFERROR(J74/E74/B74,0)</f>
        <v>0</v>
      </c>
      <c r="O74" s="416">
        <f t="shared" ref="O74:O136" si="23">ROUND(K74*E74,2)</f>
        <v>0</v>
      </c>
      <c r="P74" s="417">
        <f t="shared" ref="P74:P136" si="24">+B74*K74</f>
        <v>8163</v>
      </c>
      <c r="Q74" s="441"/>
    </row>
    <row r="75" spans="1:17" s="417" customFormat="1" ht="14.25" customHeight="1">
      <c r="A75" s="167">
        <v>67</v>
      </c>
      <c r="B75" s="409">
        <v>22675</v>
      </c>
      <c r="C75" s="20" t="str">
        <f>VLOOKUP(A75,'JUNE (물량흐름)'!$A$13:$C$502,2,0)</f>
        <v>ALFANI</v>
      </c>
      <c r="D75" s="282">
        <f>VLOOKUP(A75,'JUNE (물량흐름)'!$A$13:$C$502,3,0)</f>
        <v>100003522</v>
      </c>
      <c r="E75" s="6">
        <f>VLOOKUP(D75,'JUNE (물량흐름)'!$C$13:$W$502,21,0)</f>
        <v>0</v>
      </c>
      <c r="F75" s="6">
        <f t="shared" si="17"/>
        <v>0</v>
      </c>
      <c r="G75" s="6">
        <f>ROUND(SUMIF('In-out-bal products (155)(완성제품)'!$B$12:$B$493,'Sales profit (스타일 별 매출이익)'!D75,'In-out-bal products (155)(완성제품)'!$X$12:$X$493) + SUMIF('In-out-bal products (155)(완성제품)'!$B$12:$B$493,'Sales profit (스타일 별 매출이익)'!D75,'In-out-bal products (155)(완성제품)'!$AA$12:$AA$493),0)</f>
        <v>0</v>
      </c>
      <c r="H75" s="283">
        <f t="shared" si="18"/>
        <v>0</v>
      </c>
      <c r="I75" s="284">
        <f t="shared" si="19"/>
        <v>0</v>
      </c>
      <c r="J75" s="284">
        <f t="shared" si="16"/>
        <v>0</v>
      </c>
      <c r="K75" s="283">
        <v>0.35</v>
      </c>
      <c r="L75" s="285">
        <f t="shared" si="20"/>
        <v>0</v>
      </c>
      <c r="M75" s="285">
        <f t="shared" si="21"/>
        <v>0.35</v>
      </c>
      <c r="N75" s="285">
        <f t="shared" si="22"/>
        <v>0</v>
      </c>
      <c r="O75" s="416">
        <f t="shared" si="23"/>
        <v>0</v>
      </c>
      <c r="P75" s="417">
        <f t="shared" si="24"/>
        <v>7936.2499999999991</v>
      </c>
      <c r="Q75" s="441"/>
    </row>
    <row r="76" spans="1:17" s="417" customFormat="1" ht="14.25" customHeight="1">
      <c r="A76" s="167">
        <v>68</v>
      </c>
      <c r="B76" s="409">
        <v>22675</v>
      </c>
      <c r="C76" s="20" t="str">
        <f>VLOOKUP(A76,'JUNE (물량흐름)'!$A$13:$C$502,2,0)</f>
        <v>ALFANI</v>
      </c>
      <c r="D76" s="282">
        <f>VLOOKUP(A76,'JUNE (물량흐름)'!$A$13:$C$502,3,0)</f>
        <v>100003523</v>
      </c>
      <c r="E76" s="6">
        <f>VLOOKUP(D76,'JUNE (물량흐름)'!$C$13:$W$502,21,0)</f>
        <v>0</v>
      </c>
      <c r="F76" s="6">
        <f t="shared" si="17"/>
        <v>0</v>
      </c>
      <c r="G76" s="6">
        <f>ROUND(SUMIF('In-out-bal products (155)(완성제품)'!$B$12:$B$493,'Sales profit (스타일 별 매출이익)'!D76,'In-out-bal products (155)(완성제품)'!$X$12:$X$493) + SUMIF('In-out-bal products (155)(완성제품)'!$B$12:$B$493,'Sales profit (스타일 별 매출이익)'!D76,'In-out-bal products (155)(완성제품)'!$AA$12:$AA$493),0)</f>
        <v>0</v>
      </c>
      <c r="H76" s="283">
        <f t="shared" si="18"/>
        <v>0</v>
      </c>
      <c r="I76" s="284">
        <f t="shared" si="19"/>
        <v>0</v>
      </c>
      <c r="J76" s="284">
        <f t="shared" si="16"/>
        <v>0</v>
      </c>
      <c r="K76" s="283">
        <v>0.35</v>
      </c>
      <c r="L76" s="285">
        <f t="shared" si="20"/>
        <v>0</v>
      </c>
      <c r="M76" s="285">
        <f t="shared" si="21"/>
        <v>0.35</v>
      </c>
      <c r="N76" s="285">
        <f t="shared" si="22"/>
        <v>0</v>
      </c>
      <c r="O76" s="416">
        <f t="shared" si="23"/>
        <v>0</v>
      </c>
      <c r="P76" s="417">
        <f t="shared" si="24"/>
        <v>7936.2499999999991</v>
      </c>
      <c r="Q76" s="441"/>
    </row>
    <row r="77" spans="1:17" s="417" customFormat="1" ht="14.25" customHeight="1">
      <c r="A77" s="167">
        <v>69</v>
      </c>
      <c r="B77" s="409">
        <v>22675</v>
      </c>
      <c r="C77" s="20" t="str">
        <f>VLOOKUP(A77,'JUNE (물량흐름)'!$A$13:$C$502,2,0)</f>
        <v>ALFANI</v>
      </c>
      <c r="D77" s="282">
        <f>VLOOKUP(A77,'JUNE (물량흐름)'!$A$13:$C$502,3,0)</f>
        <v>100003547</v>
      </c>
      <c r="E77" s="6">
        <f>VLOOKUP(D77,'JUNE (물량흐름)'!$C$13:$W$502,21,0)</f>
        <v>0</v>
      </c>
      <c r="F77" s="6">
        <f t="shared" si="17"/>
        <v>0</v>
      </c>
      <c r="G77" s="6">
        <f>ROUND(SUMIF('In-out-bal products (155)(완성제품)'!$B$12:$B$493,'Sales profit (스타일 별 매출이익)'!D77,'In-out-bal products (155)(완성제품)'!$X$12:$X$493) + SUMIF('In-out-bal products (155)(완성제품)'!$B$12:$B$493,'Sales profit (스타일 별 매출이익)'!D77,'In-out-bal products (155)(완성제품)'!$AA$12:$AA$493),0)</f>
        <v>0</v>
      </c>
      <c r="H77" s="283">
        <f t="shared" si="18"/>
        <v>0</v>
      </c>
      <c r="I77" s="284">
        <f t="shared" si="19"/>
        <v>0</v>
      </c>
      <c r="J77" s="284">
        <f t="shared" si="16"/>
        <v>0</v>
      </c>
      <c r="K77" s="283">
        <v>0.35</v>
      </c>
      <c r="L77" s="285">
        <f t="shared" si="20"/>
        <v>0</v>
      </c>
      <c r="M77" s="285">
        <f t="shared" si="21"/>
        <v>0.35</v>
      </c>
      <c r="N77" s="285">
        <f t="shared" si="22"/>
        <v>0</v>
      </c>
      <c r="O77" s="416">
        <f t="shared" si="23"/>
        <v>0</v>
      </c>
      <c r="P77" s="417">
        <f t="shared" si="24"/>
        <v>7936.2499999999991</v>
      </c>
      <c r="Q77" s="441"/>
    </row>
    <row r="78" spans="1:17" s="417" customFormat="1" ht="14.25" customHeight="1">
      <c r="A78" s="167">
        <v>70</v>
      </c>
      <c r="B78" s="409">
        <v>22675</v>
      </c>
      <c r="C78" s="20" t="str">
        <f>VLOOKUP(A78,'JUNE (물량흐름)'!$A$13:$C$502,2,0)</f>
        <v>ALFANI</v>
      </c>
      <c r="D78" s="282">
        <f>VLOOKUP(A78,'JUNE (물량흐름)'!$A$13:$C$502,3,0)</f>
        <v>100003559</v>
      </c>
      <c r="E78" s="6">
        <f>VLOOKUP(D78,'JUNE (물량흐름)'!$C$13:$W$502,21,0)</f>
        <v>0</v>
      </c>
      <c r="F78" s="6">
        <f t="shared" si="17"/>
        <v>0</v>
      </c>
      <c r="G78" s="6">
        <f>ROUND(SUMIF('In-out-bal products (155)(완성제품)'!$B$12:$B$493,'Sales profit (스타일 별 매출이익)'!D78,'In-out-bal products (155)(완성제품)'!$X$12:$X$493) + SUMIF('In-out-bal products (155)(완성제품)'!$B$12:$B$493,'Sales profit (스타일 별 매출이익)'!D78,'In-out-bal products (155)(완성제품)'!$AA$12:$AA$493),0)</f>
        <v>0</v>
      </c>
      <c r="H78" s="283">
        <f t="shared" si="18"/>
        <v>0</v>
      </c>
      <c r="I78" s="284">
        <f t="shared" si="19"/>
        <v>0</v>
      </c>
      <c r="J78" s="284">
        <f t="shared" si="16"/>
        <v>0</v>
      </c>
      <c r="K78" s="283">
        <v>0.36</v>
      </c>
      <c r="L78" s="285">
        <f t="shared" si="20"/>
        <v>0</v>
      </c>
      <c r="M78" s="285">
        <f t="shared" si="21"/>
        <v>0.36</v>
      </c>
      <c r="N78" s="285">
        <f t="shared" si="22"/>
        <v>0</v>
      </c>
      <c r="O78" s="416">
        <f t="shared" si="23"/>
        <v>0</v>
      </c>
      <c r="P78" s="417">
        <f t="shared" si="24"/>
        <v>8163</v>
      </c>
      <c r="Q78" s="441"/>
    </row>
    <row r="79" spans="1:17" s="417" customFormat="1" ht="14.25" customHeight="1">
      <c r="A79" s="167">
        <v>71</v>
      </c>
      <c r="B79" s="409">
        <v>22675</v>
      </c>
      <c r="C79" s="20" t="str">
        <f>VLOOKUP(A79,'JUNE (물량흐름)'!$A$13:$C$502,2,0)</f>
        <v>ALFANI</v>
      </c>
      <c r="D79" s="282">
        <f>VLOOKUP(A79,'JUNE (물량흐름)'!$A$13:$C$502,3,0)</f>
        <v>100003582</v>
      </c>
      <c r="E79" s="6">
        <f>VLOOKUP(D79,'JUNE (물량흐름)'!$C$13:$W$502,21,0)</f>
        <v>0</v>
      </c>
      <c r="F79" s="6">
        <f t="shared" si="17"/>
        <v>0</v>
      </c>
      <c r="G79" s="6">
        <f>ROUND(SUMIF('In-out-bal products (155)(완성제품)'!$B$12:$B$493,'Sales profit (스타일 별 매출이익)'!D79,'In-out-bal products (155)(완성제품)'!$X$12:$X$493) + SUMIF('In-out-bal products (155)(완성제품)'!$B$12:$B$493,'Sales profit (스타일 별 매출이익)'!D79,'In-out-bal products (155)(완성제품)'!$AA$12:$AA$493),0)</f>
        <v>0</v>
      </c>
      <c r="H79" s="283">
        <f t="shared" si="18"/>
        <v>0</v>
      </c>
      <c r="I79" s="284">
        <f t="shared" si="19"/>
        <v>0</v>
      </c>
      <c r="J79" s="284">
        <f t="shared" si="16"/>
        <v>0</v>
      </c>
      <c r="K79" s="283">
        <v>0.36</v>
      </c>
      <c r="L79" s="285">
        <f t="shared" si="20"/>
        <v>0</v>
      </c>
      <c r="M79" s="285">
        <f t="shared" si="21"/>
        <v>0.36</v>
      </c>
      <c r="N79" s="285">
        <f t="shared" si="22"/>
        <v>0</v>
      </c>
      <c r="O79" s="416">
        <f t="shared" si="23"/>
        <v>0</v>
      </c>
      <c r="P79" s="417">
        <f t="shared" si="24"/>
        <v>8163</v>
      </c>
      <c r="Q79" s="441"/>
    </row>
    <row r="80" spans="1:17" s="417" customFormat="1" ht="14.25" customHeight="1">
      <c r="A80" s="167">
        <v>72</v>
      </c>
      <c r="B80" s="409">
        <v>22675</v>
      </c>
      <c r="C80" s="20" t="str">
        <f>VLOOKUP(A80,'JUNE (물량흐름)'!$A$13:$C$502,2,0)</f>
        <v>ALFANI</v>
      </c>
      <c r="D80" s="282">
        <f>VLOOKUP(A80,'JUNE (물량흐름)'!$A$13:$C$502,3,0)</f>
        <v>100003585</v>
      </c>
      <c r="E80" s="6">
        <f>VLOOKUP(D80,'JUNE (물량흐름)'!$C$13:$W$502,21,0)</f>
        <v>0</v>
      </c>
      <c r="F80" s="6">
        <f t="shared" si="17"/>
        <v>0</v>
      </c>
      <c r="G80" s="6">
        <f>ROUND(SUMIF('In-out-bal products (155)(완성제품)'!$B$12:$B$493,'Sales profit (스타일 별 매출이익)'!D80,'In-out-bal products (155)(완성제품)'!$X$12:$X$493) + SUMIF('In-out-bal products (155)(완성제품)'!$B$12:$B$493,'Sales profit (스타일 별 매출이익)'!D80,'In-out-bal products (155)(완성제품)'!$AA$12:$AA$493),0)</f>
        <v>0</v>
      </c>
      <c r="H80" s="283">
        <f t="shared" si="18"/>
        <v>0</v>
      </c>
      <c r="I80" s="284">
        <f t="shared" si="19"/>
        <v>0</v>
      </c>
      <c r="J80" s="284">
        <f t="shared" si="16"/>
        <v>0</v>
      </c>
      <c r="K80" s="283">
        <v>0.35</v>
      </c>
      <c r="L80" s="285">
        <f t="shared" si="20"/>
        <v>0</v>
      </c>
      <c r="M80" s="285">
        <f t="shared" si="21"/>
        <v>0.35</v>
      </c>
      <c r="N80" s="285">
        <f t="shared" si="22"/>
        <v>0</v>
      </c>
      <c r="O80" s="416">
        <f t="shared" si="23"/>
        <v>0</v>
      </c>
      <c r="P80" s="417">
        <f t="shared" si="24"/>
        <v>7936.2499999999991</v>
      </c>
      <c r="Q80" s="441"/>
    </row>
    <row r="81" spans="1:17" s="417" customFormat="1" ht="14.25" customHeight="1">
      <c r="A81" s="167">
        <v>73</v>
      </c>
      <c r="B81" s="409">
        <v>22675</v>
      </c>
      <c r="C81" s="20" t="str">
        <f>VLOOKUP(A81,'JUNE (물량흐름)'!$A$13:$C$502,2,0)</f>
        <v>ALFANI</v>
      </c>
      <c r="D81" s="282">
        <f>VLOOKUP(A81,'JUNE (물량흐름)'!$A$13:$C$502,3,0)</f>
        <v>100003592</v>
      </c>
      <c r="E81" s="6">
        <f>VLOOKUP(D81,'JUNE (물량흐름)'!$C$13:$W$502,21,0)</f>
        <v>0</v>
      </c>
      <c r="F81" s="6">
        <f t="shared" si="17"/>
        <v>0</v>
      </c>
      <c r="G81" s="6">
        <f>ROUND(SUMIF('In-out-bal products (155)(완성제품)'!$B$12:$B$493,'Sales profit (스타일 별 매출이익)'!D81,'In-out-bal products (155)(완성제품)'!$X$12:$X$493) + SUMIF('In-out-bal products (155)(완성제품)'!$B$12:$B$493,'Sales profit (스타일 별 매출이익)'!D81,'In-out-bal products (155)(완성제품)'!$AA$12:$AA$493),0)</f>
        <v>0</v>
      </c>
      <c r="H81" s="283">
        <f t="shared" si="18"/>
        <v>0</v>
      </c>
      <c r="I81" s="284">
        <f t="shared" si="19"/>
        <v>0</v>
      </c>
      <c r="J81" s="284">
        <f t="shared" si="16"/>
        <v>0</v>
      </c>
      <c r="K81" s="283">
        <v>3</v>
      </c>
      <c r="L81" s="285">
        <f t="shared" si="20"/>
        <v>0</v>
      </c>
      <c r="M81" s="285">
        <f t="shared" si="21"/>
        <v>3</v>
      </c>
      <c r="N81" s="285">
        <f t="shared" si="22"/>
        <v>0</v>
      </c>
      <c r="O81" s="416">
        <f t="shared" si="23"/>
        <v>0</v>
      </c>
      <c r="P81" s="417">
        <f t="shared" si="24"/>
        <v>68025</v>
      </c>
      <c r="Q81" s="441"/>
    </row>
    <row r="82" spans="1:17" s="417" customFormat="1" ht="14.25" customHeight="1">
      <c r="A82" s="167">
        <v>74</v>
      </c>
      <c r="B82" s="409">
        <v>22675</v>
      </c>
      <c r="C82" s="20" t="str">
        <f>VLOOKUP(A82,'JUNE (물량흐름)'!$A$13:$C$502,2,0)</f>
        <v>ALFANI</v>
      </c>
      <c r="D82" s="282">
        <f>VLOOKUP(A82,'JUNE (물량흐름)'!$A$13:$C$502,3,0)</f>
        <v>100004432</v>
      </c>
      <c r="E82" s="6">
        <f>VLOOKUP(D82,'JUNE (물량흐름)'!$C$13:$W$502,21,0)</f>
        <v>0</v>
      </c>
      <c r="F82" s="6">
        <f t="shared" si="17"/>
        <v>0</v>
      </c>
      <c r="G82" s="6">
        <f>ROUND(SUMIF('In-out-bal products (155)(완성제품)'!$B$12:$B$493,'Sales profit (스타일 별 매출이익)'!D82,'In-out-bal products (155)(완성제품)'!$X$12:$X$493) + SUMIF('In-out-bal products (155)(완성제품)'!$B$12:$B$493,'Sales profit (스타일 별 매출이익)'!D82,'In-out-bal products (155)(완성제품)'!$AA$12:$AA$493),0)</f>
        <v>0</v>
      </c>
      <c r="H82" s="283">
        <f t="shared" si="18"/>
        <v>0</v>
      </c>
      <c r="I82" s="284">
        <f t="shared" si="19"/>
        <v>0</v>
      </c>
      <c r="J82" s="284">
        <f t="shared" si="16"/>
        <v>0</v>
      </c>
      <c r="K82" s="283">
        <v>3.2</v>
      </c>
      <c r="L82" s="285">
        <f t="shared" si="20"/>
        <v>0</v>
      </c>
      <c r="M82" s="285">
        <f t="shared" si="21"/>
        <v>3.2</v>
      </c>
      <c r="N82" s="285">
        <f t="shared" si="22"/>
        <v>0</v>
      </c>
      <c r="O82" s="416">
        <f t="shared" si="23"/>
        <v>0</v>
      </c>
      <c r="P82" s="417">
        <f t="shared" si="24"/>
        <v>72560</v>
      </c>
      <c r="Q82" s="441"/>
    </row>
    <row r="83" spans="1:17" s="417" customFormat="1" ht="14.25" customHeight="1">
      <c r="A83" s="167">
        <v>75</v>
      </c>
      <c r="B83" s="409">
        <v>22675</v>
      </c>
      <c r="C83" s="20" t="str">
        <f>VLOOKUP(A83,'JUNE (물량흐름)'!$A$13:$C$502,2,0)</f>
        <v>ALFANI</v>
      </c>
      <c r="D83" s="282">
        <f>VLOOKUP(A83,'JUNE (물량흐름)'!$A$13:$C$502,3,0)</f>
        <v>100008196</v>
      </c>
      <c r="E83" s="6">
        <f>VLOOKUP(D83,'JUNE (물량흐름)'!$C$13:$W$502,21,0)</f>
        <v>0</v>
      </c>
      <c r="F83" s="6">
        <f t="shared" si="17"/>
        <v>0</v>
      </c>
      <c r="G83" s="6">
        <f>ROUND(SUMIF('In-out-bal products (155)(완성제품)'!$B$12:$B$493,'Sales profit (스타일 별 매출이익)'!D83,'In-out-bal products (155)(완성제품)'!$X$12:$X$493) + SUMIF('In-out-bal products (155)(완성제품)'!$B$12:$B$493,'Sales profit (스타일 별 매출이익)'!D83,'In-out-bal products (155)(완성제품)'!$AA$12:$AA$493),0)</f>
        <v>0</v>
      </c>
      <c r="H83" s="283">
        <f t="shared" si="18"/>
        <v>0</v>
      </c>
      <c r="I83" s="284">
        <f t="shared" si="19"/>
        <v>0</v>
      </c>
      <c r="J83" s="284">
        <f t="shared" si="16"/>
        <v>0</v>
      </c>
      <c r="K83" s="283">
        <v>4.2</v>
      </c>
      <c r="L83" s="285">
        <f t="shared" si="20"/>
        <v>0</v>
      </c>
      <c r="M83" s="285">
        <f t="shared" si="21"/>
        <v>4.2</v>
      </c>
      <c r="N83" s="285">
        <f t="shared" si="22"/>
        <v>0</v>
      </c>
      <c r="O83" s="416">
        <f t="shared" si="23"/>
        <v>0</v>
      </c>
      <c r="P83" s="417">
        <f t="shared" si="24"/>
        <v>95235</v>
      </c>
      <c r="Q83" s="441"/>
    </row>
    <row r="84" spans="1:17" s="417" customFormat="1" ht="14.25" customHeight="1">
      <c r="A84" s="167">
        <v>76</v>
      </c>
      <c r="B84" s="409">
        <v>22675</v>
      </c>
      <c r="C84" s="20" t="str">
        <f>VLOOKUP(A84,'JUNE (물량흐름)'!$A$13:$C$502,2,0)</f>
        <v>ALFANI</v>
      </c>
      <c r="D84" s="282">
        <f>VLOOKUP(A84,'JUNE (물량흐름)'!$A$13:$C$502,3,0)</f>
        <v>100008212</v>
      </c>
      <c r="E84" s="6">
        <f>VLOOKUP(D84,'JUNE (물량흐름)'!$C$13:$W$502,21,0)</f>
        <v>0</v>
      </c>
      <c r="F84" s="6">
        <f t="shared" si="17"/>
        <v>0</v>
      </c>
      <c r="G84" s="6">
        <f>ROUND(SUMIF('In-out-bal products (155)(완성제품)'!$B$12:$B$493,'Sales profit (스타일 별 매출이익)'!D84,'In-out-bal products (155)(완성제품)'!$X$12:$X$493) + SUMIF('In-out-bal products (155)(완성제품)'!$B$12:$B$493,'Sales profit (스타일 별 매출이익)'!D84,'In-out-bal products (155)(완성제품)'!$AA$12:$AA$493),0)</f>
        <v>0</v>
      </c>
      <c r="H84" s="283">
        <f t="shared" si="18"/>
        <v>0</v>
      </c>
      <c r="I84" s="284">
        <f t="shared" si="19"/>
        <v>0</v>
      </c>
      <c r="J84" s="284">
        <f t="shared" si="16"/>
        <v>0</v>
      </c>
      <c r="K84" s="283">
        <v>3.18</v>
      </c>
      <c r="L84" s="285">
        <f t="shared" si="20"/>
        <v>0</v>
      </c>
      <c r="M84" s="285">
        <f t="shared" si="21"/>
        <v>3.18</v>
      </c>
      <c r="N84" s="285">
        <f t="shared" si="22"/>
        <v>0</v>
      </c>
      <c r="O84" s="416">
        <f t="shared" si="23"/>
        <v>0</v>
      </c>
      <c r="P84" s="417">
        <f t="shared" si="24"/>
        <v>72106.5</v>
      </c>
      <c r="Q84" s="441"/>
    </row>
    <row r="85" spans="1:17" s="417" customFormat="1" ht="14.25" customHeight="1">
      <c r="A85" s="167">
        <v>77</v>
      </c>
      <c r="B85" s="409">
        <v>22675</v>
      </c>
      <c r="C85" s="20" t="str">
        <f>VLOOKUP(A85,'JUNE (물량흐름)'!$A$13:$C$502,2,0)</f>
        <v>ALFANI</v>
      </c>
      <c r="D85" s="282">
        <f>VLOOKUP(A85,'JUNE (물량흐름)'!$A$13:$C$502,3,0)</f>
        <v>100008214</v>
      </c>
      <c r="E85" s="6">
        <f>VLOOKUP(D85,'JUNE (물량흐름)'!$C$13:$W$502,21,0)</f>
        <v>0</v>
      </c>
      <c r="F85" s="6">
        <f t="shared" si="17"/>
        <v>0</v>
      </c>
      <c r="G85" s="6">
        <f>ROUND(SUMIF('In-out-bal products (155)(완성제품)'!$B$12:$B$493,'Sales profit (스타일 별 매출이익)'!D85,'In-out-bal products (155)(완성제품)'!$X$12:$X$493) + SUMIF('In-out-bal products (155)(완성제품)'!$B$12:$B$493,'Sales profit (스타일 별 매출이익)'!D85,'In-out-bal products (155)(완성제품)'!$AA$12:$AA$493),0)</f>
        <v>0</v>
      </c>
      <c r="H85" s="283">
        <f t="shared" si="18"/>
        <v>0</v>
      </c>
      <c r="I85" s="284">
        <f t="shared" si="19"/>
        <v>0</v>
      </c>
      <c r="J85" s="284">
        <f t="shared" si="16"/>
        <v>0</v>
      </c>
      <c r="K85" s="283">
        <v>0.35</v>
      </c>
      <c r="L85" s="285">
        <f t="shared" si="20"/>
        <v>0</v>
      </c>
      <c r="M85" s="285">
        <f t="shared" si="21"/>
        <v>0.35</v>
      </c>
      <c r="N85" s="285">
        <f t="shared" si="22"/>
        <v>0</v>
      </c>
      <c r="O85" s="416">
        <f t="shared" si="23"/>
        <v>0</v>
      </c>
      <c r="P85" s="417">
        <f t="shared" si="24"/>
        <v>7936.2499999999991</v>
      </c>
      <c r="Q85" s="441"/>
    </row>
    <row r="86" spans="1:17" s="417" customFormat="1" ht="14.25" customHeight="1">
      <c r="A86" s="167">
        <v>78</v>
      </c>
      <c r="B86" s="409">
        <v>22675</v>
      </c>
      <c r="C86" s="20" t="str">
        <f>VLOOKUP(A86,'JUNE (물량흐름)'!$A$13:$C$502,2,0)</f>
        <v>ALFANI</v>
      </c>
      <c r="D86" s="282">
        <f>VLOOKUP(A86,'JUNE (물량흐름)'!$A$13:$C$502,3,0)</f>
        <v>100008216</v>
      </c>
      <c r="E86" s="6">
        <f>VLOOKUP(D86,'JUNE (물량흐름)'!$C$13:$W$502,21,0)</f>
        <v>0</v>
      </c>
      <c r="F86" s="6">
        <f t="shared" si="17"/>
        <v>0</v>
      </c>
      <c r="G86" s="6">
        <f>ROUND(SUMIF('In-out-bal products (155)(완성제품)'!$B$12:$B$493,'Sales profit (스타일 별 매출이익)'!D86,'In-out-bal products (155)(완성제품)'!$X$12:$X$493) + SUMIF('In-out-bal products (155)(완성제품)'!$B$12:$B$493,'Sales profit (스타일 별 매출이익)'!D86,'In-out-bal products (155)(완성제품)'!$AA$12:$AA$493),0)</f>
        <v>0</v>
      </c>
      <c r="H86" s="283">
        <f t="shared" si="18"/>
        <v>0</v>
      </c>
      <c r="I86" s="284">
        <f t="shared" si="19"/>
        <v>0</v>
      </c>
      <c r="J86" s="284">
        <f t="shared" si="16"/>
        <v>0</v>
      </c>
      <c r="K86" s="283">
        <v>0.36</v>
      </c>
      <c r="L86" s="285">
        <f t="shared" si="20"/>
        <v>0</v>
      </c>
      <c r="M86" s="285">
        <f t="shared" si="21"/>
        <v>0.36</v>
      </c>
      <c r="N86" s="285">
        <f t="shared" si="22"/>
        <v>0</v>
      </c>
      <c r="O86" s="416">
        <f t="shared" si="23"/>
        <v>0</v>
      </c>
      <c r="P86" s="417">
        <f t="shared" si="24"/>
        <v>8163</v>
      </c>
      <c r="Q86" s="441"/>
    </row>
    <row r="87" spans="1:17" s="417" customFormat="1" ht="14.25" customHeight="1">
      <c r="A87" s="167">
        <v>79</v>
      </c>
      <c r="B87" s="409">
        <v>22675</v>
      </c>
      <c r="C87" s="20" t="str">
        <f>VLOOKUP(A87,'JUNE (물량흐름)'!$A$13:$C$502,2,0)</f>
        <v>ALFANI</v>
      </c>
      <c r="D87" s="282">
        <f>VLOOKUP(A87,'JUNE (물량흐름)'!$A$13:$C$502,3,0)</f>
        <v>100009597</v>
      </c>
      <c r="E87" s="6">
        <f>VLOOKUP(D87,'JUNE (물량흐름)'!$C$13:$W$502,21,0)</f>
        <v>0</v>
      </c>
      <c r="F87" s="6">
        <f t="shared" si="17"/>
        <v>0</v>
      </c>
      <c r="G87" s="6">
        <f>ROUND(SUMIF('In-out-bal products (155)(완성제품)'!$B$12:$B$493,'Sales profit (스타일 별 매출이익)'!D87,'In-out-bal products (155)(완성제품)'!$X$12:$X$493) + SUMIF('In-out-bal products (155)(완성제품)'!$B$12:$B$493,'Sales profit (스타일 별 매출이익)'!D87,'In-out-bal products (155)(완성제품)'!$AA$12:$AA$493),0)</f>
        <v>0</v>
      </c>
      <c r="H87" s="283">
        <f t="shared" si="18"/>
        <v>0</v>
      </c>
      <c r="I87" s="284">
        <f t="shared" si="19"/>
        <v>0</v>
      </c>
      <c r="J87" s="284">
        <f t="shared" si="16"/>
        <v>0</v>
      </c>
      <c r="K87" s="283">
        <v>0.36</v>
      </c>
      <c r="L87" s="285">
        <f t="shared" si="20"/>
        <v>0</v>
      </c>
      <c r="M87" s="285">
        <f t="shared" si="21"/>
        <v>0.36</v>
      </c>
      <c r="N87" s="285">
        <f t="shared" si="22"/>
        <v>0</v>
      </c>
      <c r="O87" s="416">
        <f t="shared" si="23"/>
        <v>0</v>
      </c>
      <c r="P87" s="417">
        <f t="shared" si="24"/>
        <v>8163</v>
      </c>
      <c r="Q87" s="441"/>
    </row>
    <row r="88" spans="1:17" s="417" customFormat="1" ht="14.25" customHeight="1">
      <c r="A88" s="167">
        <v>80</v>
      </c>
      <c r="B88" s="409">
        <v>22675</v>
      </c>
      <c r="C88" s="20" t="str">
        <f>VLOOKUP(A88,'JUNE (물량흐름)'!$A$13:$C$502,2,0)</f>
        <v>ALFANI</v>
      </c>
      <c r="D88" s="282">
        <f>VLOOKUP(A88,'JUNE (물량흐름)'!$A$13:$C$502,3,0)</f>
        <v>74401</v>
      </c>
      <c r="E88" s="6">
        <f>VLOOKUP(D88,'JUNE (물량흐름)'!$C$13:$W$502,21,0)</f>
        <v>10748</v>
      </c>
      <c r="F88" s="6">
        <f t="shared" si="17"/>
        <v>594654596</v>
      </c>
      <c r="G88" s="6">
        <f>ROUND(SUMIF('In-out-bal products (155)(완성제품)'!$B$12:$B$493,'Sales profit (스타일 별 매출이익)'!D88,'In-out-bal products (155)(완성제품)'!$X$12:$X$493) + SUMIF('In-out-bal products (155)(완성제품)'!$B$12:$B$493,'Sales profit (스타일 별 매출이익)'!D88,'In-out-bal products (155)(완성제품)'!$AA$12:$AA$493),0)</f>
        <v>118902449</v>
      </c>
      <c r="H88" s="283">
        <f t="shared" si="18"/>
        <v>1.9521168195595682</v>
      </c>
      <c r="I88" s="284">
        <f t="shared" si="19"/>
        <v>44264.24888351321</v>
      </c>
      <c r="J88" s="284">
        <f t="shared" si="16"/>
        <v>50760822.630477205</v>
      </c>
      <c r="K88" s="283">
        <v>2.44</v>
      </c>
      <c r="L88" s="285">
        <f t="shared" si="20"/>
        <v>0.48788318044043166</v>
      </c>
      <c r="M88" s="285">
        <f t="shared" si="21"/>
        <v>1.7438338800994244</v>
      </c>
      <c r="N88" s="285">
        <f t="shared" si="22"/>
        <v>0.20828293946014401</v>
      </c>
      <c r="O88" s="416">
        <f t="shared" si="23"/>
        <v>26225.119999999999</v>
      </c>
      <c r="P88" s="417">
        <f t="shared" si="24"/>
        <v>55327</v>
      </c>
      <c r="Q88" s="441"/>
    </row>
    <row r="89" spans="1:17" s="417" customFormat="1" ht="14.25" customHeight="1">
      <c r="A89" s="167">
        <v>81</v>
      </c>
      <c r="B89" s="409">
        <v>22675</v>
      </c>
      <c r="C89" s="20" t="str">
        <f>VLOOKUP(A89,'JUNE (물량흐름)'!$A$13:$C$502,2,0)</f>
        <v>ALFANI</v>
      </c>
      <c r="D89" s="282" t="str">
        <f>VLOOKUP(A89,'JUNE (물량흐름)'!$A$13:$C$502,3,0)</f>
        <v>7X733</v>
      </c>
      <c r="E89" s="6">
        <f>VLOOKUP(D89,'JUNE (물량흐름)'!$C$13:$W$502,21,0)</f>
        <v>0</v>
      </c>
      <c r="F89" s="6">
        <f t="shared" si="17"/>
        <v>0</v>
      </c>
      <c r="G89" s="6">
        <f>ROUND(SUMIF('In-out-bal products (155)(완성제품)'!$B$12:$B$493,'Sales profit (스타일 별 매출이익)'!D89,'In-out-bal products (155)(완성제품)'!$X$12:$X$493) + SUMIF('In-out-bal products (155)(완성제품)'!$B$12:$B$493,'Sales profit (스타일 별 매출이익)'!D89,'In-out-bal products (155)(완성제품)'!$AA$12:$AA$493),0)</f>
        <v>0</v>
      </c>
      <c r="H89" s="283">
        <f t="shared" si="18"/>
        <v>0</v>
      </c>
      <c r="I89" s="284">
        <f t="shared" si="19"/>
        <v>0</v>
      </c>
      <c r="J89" s="284">
        <f t="shared" si="16"/>
        <v>0</v>
      </c>
      <c r="K89" s="283">
        <v>1.8</v>
      </c>
      <c r="L89" s="285">
        <f t="shared" si="20"/>
        <v>0</v>
      </c>
      <c r="M89" s="285">
        <f t="shared" si="21"/>
        <v>1.8</v>
      </c>
      <c r="N89" s="285">
        <f t="shared" si="22"/>
        <v>0</v>
      </c>
      <c r="O89" s="416">
        <f t="shared" si="23"/>
        <v>0</v>
      </c>
      <c r="P89" s="417">
        <f t="shared" si="24"/>
        <v>40815</v>
      </c>
      <c r="Q89" s="441"/>
    </row>
    <row r="90" spans="1:17" s="417" customFormat="1" ht="14.25" customHeight="1">
      <c r="A90" s="167">
        <v>82</v>
      </c>
      <c r="B90" s="409">
        <v>22675</v>
      </c>
      <c r="C90" s="20" t="str">
        <f>VLOOKUP(A90,'JUNE (물량흐름)'!$A$13:$C$502,2,0)</f>
        <v>ANN TAYLOR</v>
      </c>
      <c r="D90" s="282" t="str">
        <f>VLOOKUP(A90,'JUNE (물량흐름)'!$A$13:$C$502,3,0)</f>
        <v>452172(456261)</v>
      </c>
      <c r="E90" s="6">
        <f>VLOOKUP(D90,'JUNE (물량흐름)'!$C$13:$W$502,21,0)</f>
        <v>0</v>
      </c>
      <c r="F90" s="6">
        <f t="shared" si="17"/>
        <v>0</v>
      </c>
      <c r="G90" s="6">
        <f>ROUND(SUMIF('In-out-bal products (155)(완성제품)'!$B$12:$B$493,'Sales profit (스타일 별 매출이익)'!D90,'In-out-bal products (155)(완성제품)'!$X$12:$X$493) + SUMIF('In-out-bal products (155)(완성제품)'!$B$12:$B$493,'Sales profit (스타일 별 매출이익)'!D90,'In-out-bal products (155)(완성제품)'!$AA$12:$AA$493),0)</f>
        <v>0</v>
      </c>
      <c r="H90" s="283">
        <f t="shared" si="18"/>
        <v>0</v>
      </c>
      <c r="I90" s="284">
        <f t="shared" si="19"/>
        <v>0</v>
      </c>
      <c r="J90" s="284">
        <f t="shared" si="16"/>
        <v>0</v>
      </c>
      <c r="K90" s="283">
        <v>1.85</v>
      </c>
      <c r="L90" s="285">
        <f t="shared" si="20"/>
        <v>0</v>
      </c>
      <c r="M90" s="285">
        <f t="shared" si="21"/>
        <v>1.85</v>
      </c>
      <c r="N90" s="285">
        <f t="shared" si="22"/>
        <v>0</v>
      </c>
      <c r="O90" s="416">
        <f t="shared" si="23"/>
        <v>0</v>
      </c>
      <c r="P90" s="417">
        <f t="shared" si="24"/>
        <v>41948.75</v>
      </c>
      <c r="Q90" s="441"/>
    </row>
    <row r="91" spans="1:17" s="417" customFormat="1" ht="14.25" customHeight="1">
      <c r="A91" s="167">
        <v>83</v>
      </c>
      <c r="B91" s="409">
        <v>22675</v>
      </c>
      <c r="C91" s="20" t="str">
        <f>VLOOKUP(A91,'JUNE (물량흐름)'!$A$13:$C$502,2,0)</f>
        <v>ANN TAYLOR</v>
      </c>
      <c r="D91" s="282" t="str">
        <f>VLOOKUP(A91,'JUNE (물량흐름)'!$A$13:$C$502,3,0)</f>
        <v>453516(456278)</v>
      </c>
      <c r="E91" s="6">
        <f>VLOOKUP(D91,'JUNE (물량흐름)'!$C$13:$W$502,21,0)</f>
        <v>0</v>
      </c>
      <c r="F91" s="6">
        <f t="shared" si="17"/>
        <v>0</v>
      </c>
      <c r="G91" s="6">
        <f>ROUND(SUMIF('In-out-bal products (155)(완성제품)'!$B$12:$B$493,'Sales profit (스타일 별 매출이익)'!D91,'In-out-bal products (155)(완성제품)'!$X$12:$X$493) + SUMIF('In-out-bal products (155)(완성제품)'!$B$12:$B$493,'Sales profit (스타일 별 매출이익)'!D91,'In-out-bal products (155)(완성제품)'!$AA$12:$AA$493),0)</f>
        <v>0</v>
      </c>
      <c r="H91" s="283">
        <f t="shared" si="18"/>
        <v>0</v>
      </c>
      <c r="I91" s="284">
        <f t="shared" si="19"/>
        <v>0</v>
      </c>
      <c r="J91" s="284">
        <f t="shared" si="16"/>
        <v>0</v>
      </c>
      <c r="K91" s="283">
        <v>0.35</v>
      </c>
      <c r="L91" s="285">
        <f t="shared" si="20"/>
        <v>0</v>
      </c>
      <c r="M91" s="285">
        <f t="shared" si="21"/>
        <v>0.35</v>
      </c>
      <c r="N91" s="285">
        <f t="shared" si="22"/>
        <v>0</v>
      </c>
      <c r="O91" s="416">
        <f t="shared" si="23"/>
        <v>0</v>
      </c>
      <c r="P91" s="417">
        <f t="shared" si="24"/>
        <v>7936.2499999999991</v>
      </c>
      <c r="Q91" s="441"/>
    </row>
    <row r="92" spans="1:17" s="417" customFormat="1" ht="14.25" customHeight="1">
      <c r="A92" s="167">
        <v>84</v>
      </c>
      <c r="B92" s="409">
        <v>22675</v>
      </c>
      <c r="C92" s="20" t="str">
        <f>VLOOKUP(A92,'JUNE (물량흐름)'!$A$13:$C$502,2,0)</f>
        <v>ANN TAYLOR</v>
      </c>
      <c r="D92" s="282">
        <f>VLOOKUP(A92,'JUNE (물량흐름)'!$A$13:$C$502,3,0)</f>
        <v>453609</v>
      </c>
      <c r="E92" s="6">
        <f>VLOOKUP(D92,'JUNE (물량흐름)'!$C$13:$W$502,21,0)</f>
        <v>0</v>
      </c>
      <c r="F92" s="6">
        <f t="shared" si="17"/>
        <v>0</v>
      </c>
      <c r="G92" s="6">
        <f>ROUND(SUMIF('In-out-bal products (155)(완성제품)'!$B$12:$B$493,'Sales profit (스타일 별 매출이익)'!D92,'In-out-bal products (155)(완성제품)'!$X$12:$X$493) + SUMIF('In-out-bal products (155)(완성제품)'!$B$12:$B$493,'Sales profit (스타일 별 매출이익)'!D92,'In-out-bal products (155)(완성제품)'!$AA$12:$AA$493),0)</f>
        <v>0</v>
      </c>
      <c r="H92" s="283">
        <f t="shared" si="18"/>
        <v>0</v>
      </c>
      <c r="I92" s="284">
        <f t="shared" si="19"/>
        <v>0</v>
      </c>
      <c r="J92" s="284">
        <f t="shared" si="16"/>
        <v>0</v>
      </c>
      <c r="K92" s="283">
        <v>1.1000000000000001</v>
      </c>
      <c r="L92" s="285">
        <f t="shared" si="20"/>
        <v>0</v>
      </c>
      <c r="M92" s="285">
        <f t="shared" si="21"/>
        <v>1.1000000000000001</v>
      </c>
      <c r="N92" s="285">
        <f t="shared" si="22"/>
        <v>0</v>
      </c>
      <c r="O92" s="416">
        <f t="shared" si="23"/>
        <v>0</v>
      </c>
      <c r="P92" s="417">
        <f t="shared" si="24"/>
        <v>24942.500000000004</v>
      </c>
      <c r="Q92" s="441"/>
    </row>
    <row r="93" spans="1:17" s="417" customFormat="1" ht="14.25" customHeight="1">
      <c r="A93" s="167">
        <v>85</v>
      </c>
      <c r="B93" s="409">
        <v>22675</v>
      </c>
      <c r="C93" s="20" t="str">
        <f>VLOOKUP(A93,'JUNE (물량흐름)'!$A$13:$C$502,2,0)</f>
        <v>ANN TAYLOR</v>
      </c>
      <c r="D93" s="282">
        <f>VLOOKUP(A93,'JUNE (물량흐름)'!$A$13:$C$502,3,0)</f>
        <v>455129</v>
      </c>
      <c r="E93" s="6">
        <f>VLOOKUP(D93,'JUNE (물량흐름)'!$C$13:$W$502,21,0)</f>
        <v>0</v>
      </c>
      <c r="F93" s="6">
        <f t="shared" si="17"/>
        <v>0</v>
      </c>
      <c r="G93" s="6">
        <f>ROUND(SUMIF('In-out-bal products (155)(완성제품)'!$B$12:$B$493,'Sales profit (스타일 별 매출이익)'!D93,'In-out-bal products (155)(완성제품)'!$X$12:$X$493) + SUMIF('In-out-bal products (155)(완성제품)'!$B$12:$B$493,'Sales profit (스타일 별 매출이익)'!D93,'In-out-bal products (155)(완성제품)'!$AA$12:$AA$493),0)</f>
        <v>0</v>
      </c>
      <c r="H93" s="283">
        <f t="shared" si="18"/>
        <v>0</v>
      </c>
      <c r="I93" s="284">
        <f t="shared" si="19"/>
        <v>0</v>
      </c>
      <c r="J93" s="284">
        <f t="shared" si="16"/>
        <v>0</v>
      </c>
      <c r="K93" s="283">
        <v>0.35</v>
      </c>
      <c r="L93" s="285">
        <f t="shared" si="20"/>
        <v>0</v>
      </c>
      <c r="M93" s="285">
        <f t="shared" si="21"/>
        <v>0.35</v>
      </c>
      <c r="N93" s="285">
        <f t="shared" si="22"/>
        <v>0</v>
      </c>
      <c r="O93" s="416">
        <f t="shared" si="23"/>
        <v>0</v>
      </c>
      <c r="P93" s="417">
        <f t="shared" si="24"/>
        <v>7936.2499999999991</v>
      </c>
      <c r="Q93" s="441"/>
    </row>
    <row r="94" spans="1:17" s="417" customFormat="1" ht="14.25" customHeight="1">
      <c r="A94" s="167">
        <v>86</v>
      </c>
      <c r="B94" s="409">
        <v>22675</v>
      </c>
      <c r="C94" s="20" t="str">
        <f>VLOOKUP(A94,'JUNE (물량흐름)'!$A$13:$C$502,2,0)</f>
        <v>ANN TAYLOR</v>
      </c>
      <c r="D94" s="282">
        <f>VLOOKUP(A94,'JUNE (물량흐름)'!$A$13:$C$502,3,0)</f>
        <v>455571</v>
      </c>
      <c r="E94" s="6">
        <f>VLOOKUP(D94,'JUNE (물량흐름)'!$C$13:$W$502,21,0)</f>
        <v>0</v>
      </c>
      <c r="F94" s="6">
        <f t="shared" si="17"/>
        <v>0</v>
      </c>
      <c r="G94" s="6">
        <f>ROUND(SUMIF('In-out-bal products (155)(완성제품)'!$B$12:$B$493,'Sales profit (스타일 별 매출이익)'!D94,'In-out-bal products (155)(완성제품)'!$X$12:$X$493) + SUMIF('In-out-bal products (155)(완성제품)'!$B$12:$B$493,'Sales profit (스타일 별 매출이익)'!D94,'In-out-bal products (155)(완성제품)'!$AA$12:$AA$493),0)</f>
        <v>0</v>
      </c>
      <c r="H94" s="283">
        <f t="shared" si="18"/>
        <v>0</v>
      </c>
      <c r="I94" s="284">
        <f t="shared" si="19"/>
        <v>0</v>
      </c>
      <c r="J94" s="284">
        <f t="shared" si="16"/>
        <v>0</v>
      </c>
      <c r="K94" s="283">
        <v>0.35</v>
      </c>
      <c r="L94" s="285">
        <f t="shared" si="20"/>
        <v>0</v>
      </c>
      <c r="M94" s="285">
        <f t="shared" si="21"/>
        <v>0.35</v>
      </c>
      <c r="N94" s="285">
        <f t="shared" si="22"/>
        <v>0</v>
      </c>
      <c r="O94" s="416">
        <f t="shared" si="23"/>
        <v>0</v>
      </c>
      <c r="P94" s="417">
        <f t="shared" si="24"/>
        <v>7936.2499999999991</v>
      </c>
      <c r="Q94" s="441"/>
    </row>
    <row r="95" spans="1:17" s="417" customFormat="1" ht="14.25" customHeight="1">
      <c r="A95" s="167">
        <v>87</v>
      </c>
      <c r="B95" s="409">
        <v>22675</v>
      </c>
      <c r="C95" s="20" t="str">
        <f>VLOOKUP(A95,'JUNE (물량흐름)'!$A$13:$C$502,2,0)</f>
        <v>ANN TAYLOR</v>
      </c>
      <c r="D95" s="282" t="str">
        <f>VLOOKUP(A95,'JUNE (물량흐름)'!$A$13:$C$502,3,0)</f>
        <v>456532(456692)</v>
      </c>
      <c r="E95" s="6">
        <f>VLOOKUP(D95,'JUNE (물량흐름)'!$C$13:$W$502,21,0)</f>
        <v>0</v>
      </c>
      <c r="F95" s="6">
        <f t="shared" si="17"/>
        <v>0</v>
      </c>
      <c r="G95" s="6">
        <f>ROUND(SUMIF('In-out-bal products (155)(완성제품)'!$B$12:$B$493,'Sales profit (스타일 별 매출이익)'!D95,'In-out-bal products (155)(완성제품)'!$X$12:$X$493) + SUMIF('In-out-bal products (155)(완성제품)'!$B$12:$B$493,'Sales profit (스타일 별 매출이익)'!D95,'In-out-bal products (155)(완성제품)'!$AA$12:$AA$493),0)</f>
        <v>0</v>
      </c>
      <c r="H95" s="283">
        <f t="shared" si="18"/>
        <v>0</v>
      </c>
      <c r="I95" s="284">
        <f t="shared" si="19"/>
        <v>0</v>
      </c>
      <c r="J95" s="284">
        <f t="shared" si="16"/>
        <v>0</v>
      </c>
      <c r="K95" s="283">
        <v>0.35</v>
      </c>
      <c r="L95" s="285">
        <f t="shared" si="20"/>
        <v>0</v>
      </c>
      <c r="M95" s="285">
        <f t="shared" si="21"/>
        <v>0.35</v>
      </c>
      <c r="N95" s="285">
        <f t="shared" si="22"/>
        <v>0</v>
      </c>
      <c r="O95" s="416">
        <f t="shared" si="23"/>
        <v>0</v>
      </c>
      <c r="P95" s="417">
        <f t="shared" si="24"/>
        <v>7936.2499999999991</v>
      </c>
      <c r="Q95" s="441"/>
    </row>
    <row r="96" spans="1:17" s="417" customFormat="1" ht="14.25" customHeight="1">
      <c r="A96" s="167">
        <v>88</v>
      </c>
      <c r="B96" s="409">
        <v>22675</v>
      </c>
      <c r="C96" s="20" t="str">
        <f>VLOOKUP(A96,'JUNE (물량흐름)'!$A$13:$C$502,2,0)</f>
        <v>BUFFALO</v>
      </c>
      <c r="D96" s="282" t="str">
        <f>VLOOKUP(A96,'JUNE (물량흐름)'!$A$13:$C$502,3,0)</f>
        <v>KCL0026</v>
      </c>
      <c r="E96" s="6">
        <f>VLOOKUP(D96,'JUNE (물량흐름)'!$C$13:$W$502,21,0)</f>
        <v>0</v>
      </c>
      <c r="F96" s="6">
        <f t="shared" si="17"/>
        <v>0</v>
      </c>
      <c r="G96" s="6">
        <f>ROUND(SUMIF('In-out-bal products (155)(완성제품)'!$B$12:$B$493,'Sales profit (스타일 별 매출이익)'!D96,'In-out-bal products (155)(완성제품)'!$X$12:$X$493) + SUMIF('In-out-bal products (155)(완성제품)'!$B$12:$B$493,'Sales profit (스타일 별 매출이익)'!D96,'In-out-bal products (155)(완성제품)'!$AA$12:$AA$493),0)</f>
        <v>0</v>
      </c>
      <c r="H96" s="283">
        <f t="shared" si="18"/>
        <v>0</v>
      </c>
      <c r="I96" s="284">
        <f t="shared" si="19"/>
        <v>0</v>
      </c>
      <c r="J96" s="284">
        <f t="shared" si="16"/>
        <v>0</v>
      </c>
      <c r="K96" s="283">
        <v>0.36</v>
      </c>
      <c r="L96" s="285">
        <f t="shared" si="20"/>
        <v>0</v>
      </c>
      <c r="M96" s="285">
        <f t="shared" si="21"/>
        <v>0.36</v>
      </c>
      <c r="N96" s="285">
        <f t="shared" si="22"/>
        <v>0</v>
      </c>
      <c r="O96" s="416">
        <f t="shared" si="23"/>
        <v>0</v>
      </c>
      <c r="P96" s="417">
        <f t="shared" si="24"/>
        <v>8163</v>
      </c>
      <c r="Q96" s="441"/>
    </row>
    <row r="97" spans="1:17" s="417" customFormat="1" ht="14.25" customHeight="1">
      <c r="A97" s="167">
        <v>89</v>
      </c>
      <c r="B97" s="409">
        <v>22675</v>
      </c>
      <c r="C97" s="20" t="str">
        <f>VLOOKUP(A97,'JUNE (물량흐름)'!$A$13:$C$502,2,0)</f>
        <v>INC</v>
      </c>
      <c r="D97" s="282">
        <f>VLOOKUP(A97,'JUNE (물량흐름)'!$A$13:$C$502,3,0)</f>
        <v>100007764</v>
      </c>
      <c r="E97" s="6">
        <f>VLOOKUP(D97,'JUNE (물량흐름)'!$C$13:$W$502,21,0)</f>
        <v>0</v>
      </c>
      <c r="F97" s="6">
        <f t="shared" si="17"/>
        <v>0</v>
      </c>
      <c r="G97" s="6">
        <f>ROUND(SUMIF('In-out-bal products (155)(완성제품)'!$B$12:$B$493,'Sales profit (스타일 별 매출이익)'!D97,'In-out-bal products (155)(완성제품)'!$X$12:$X$493) + SUMIF('In-out-bal products (155)(완성제품)'!$B$12:$B$493,'Sales profit (스타일 별 매출이익)'!D97,'In-out-bal products (155)(완성제품)'!$AA$12:$AA$493),0)</f>
        <v>0</v>
      </c>
      <c r="H97" s="283">
        <f t="shared" si="18"/>
        <v>0</v>
      </c>
      <c r="I97" s="284">
        <f t="shared" si="19"/>
        <v>0</v>
      </c>
      <c r="J97" s="284">
        <f t="shared" si="16"/>
        <v>0</v>
      </c>
      <c r="K97" s="283">
        <v>0.36</v>
      </c>
      <c r="L97" s="285">
        <f t="shared" si="20"/>
        <v>0</v>
      </c>
      <c r="M97" s="285">
        <f t="shared" si="21"/>
        <v>0.36</v>
      </c>
      <c r="N97" s="285">
        <f t="shared" si="22"/>
        <v>0</v>
      </c>
      <c r="O97" s="416">
        <f t="shared" si="23"/>
        <v>0</v>
      </c>
      <c r="P97" s="417">
        <f t="shared" si="24"/>
        <v>8163</v>
      </c>
      <c r="Q97" s="441"/>
    </row>
    <row r="98" spans="1:17" s="417" customFormat="1" ht="14.25" customHeight="1">
      <c r="A98" s="167">
        <v>90</v>
      </c>
      <c r="B98" s="409">
        <v>22675</v>
      </c>
      <c r="C98" s="20" t="str">
        <f>VLOOKUP(A98,'JUNE (물량흐름)'!$A$13:$C$502,2,0)</f>
        <v>INC</v>
      </c>
      <c r="D98" s="282">
        <f>VLOOKUP(A98,'JUNE (물량흐름)'!$A$13:$C$502,3,0)</f>
        <v>100007863</v>
      </c>
      <c r="E98" s="6">
        <f>VLOOKUP(D98,'JUNE (물량흐름)'!$C$13:$W$502,21,0)</f>
        <v>0</v>
      </c>
      <c r="F98" s="6">
        <f t="shared" si="17"/>
        <v>0</v>
      </c>
      <c r="G98" s="6">
        <f>ROUND(SUMIF('In-out-bal products (155)(완성제품)'!$B$12:$B$493,'Sales profit (스타일 별 매출이익)'!D98,'In-out-bal products (155)(완성제품)'!$X$12:$X$493) + SUMIF('In-out-bal products (155)(완성제품)'!$B$12:$B$493,'Sales profit (스타일 별 매출이익)'!D98,'In-out-bal products (155)(완성제품)'!$AA$12:$AA$493),0)</f>
        <v>0</v>
      </c>
      <c r="H98" s="283">
        <f t="shared" si="18"/>
        <v>0</v>
      </c>
      <c r="I98" s="284">
        <f t="shared" si="19"/>
        <v>0</v>
      </c>
      <c r="J98" s="284">
        <f t="shared" si="16"/>
        <v>0</v>
      </c>
      <c r="K98" s="283">
        <v>0.35</v>
      </c>
      <c r="L98" s="285">
        <f t="shared" si="20"/>
        <v>0</v>
      </c>
      <c r="M98" s="285">
        <f t="shared" si="21"/>
        <v>0.35</v>
      </c>
      <c r="N98" s="285">
        <f t="shared" si="22"/>
        <v>0</v>
      </c>
      <c r="O98" s="416">
        <f t="shared" si="23"/>
        <v>0</v>
      </c>
      <c r="P98" s="417">
        <f t="shared" si="24"/>
        <v>7936.2499999999991</v>
      </c>
      <c r="Q98" s="441"/>
    </row>
    <row r="99" spans="1:17" s="417" customFormat="1" ht="14.25" customHeight="1">
      <c r="A99" s="167">
        <v>91</v>
      </c>
      <c r="B99" s="409">
        <v>22675</v>
      </c>
      <c r="C99" s="20" t="str">
        <f>VLOOKUP(A99,'JUNE (물량흐름)'!$A$13:$C$502,2,0)</f>
        <v>INC</v>
      </c>
      <c r="D99" s="282">
        <f>VLOOKUP(A99,'JUNE (물량흐름)'!$A$13:$C$502,3,0)</f>
        <v>100009688</v>
      </c>
      <c r="E99" s="6">
        <f>VLOOKUP(D99,'JUNE (물량흐름)'!$C$13:$W$502,21,0)</f>
        <v>0</v>
      </c>
      <c r="F99" s="6">
        <f t="shared" si="17"/>
        <v>0</v>
      </c>
      <c r="G99" s="6">
        <f>ROUND(SUMIF('In-out-bal products (155)(완성제품)'!$B$12:$B$493,'Sales profit (스타일 별 매출이익)'!D99,'In-out-bal products (155)(완성제품)'!$X$12:$X$493) + SUMIF('In-out-bal products (155)(완성제품)'!$B$12:$B$493,'Sales profit (스타일 별 매출이익)'!D99,'In-out-bal products (155)(완성제품)'!$AA$12:$AA$493),0)</f>
        <v>0</v>
      </c>
      <c r="H99" s="283">
        <f t="shared" si="18"/>
        <v>0</v>
      </c>
      <c r="I99" s="284">
        <f t="shared" si="19"/>
        <v>0</v>
      </c>
      <c r="J99" s="284">
        <f t="shared" si="16"/>
        <v>0</v>
      </c>
      <c r="K99" s="283">
        <v>0.35</v>
      </c>
      <c r="L99" s="285">
        <f t="shared" si="20"/>
        <v>0</v>
      </c>
      <c r="M99" s="285">
        <f t="shared" si="21"/>
        <v>0.35</v>
      </c>
      <c r="N99" s="285">
        <f t="shared" si="22"/>
        <v>0</v>
      </c>
      <c r="O99" s="416">
        <f t="shared" si="23"/>
        <v>0</v>
      </c>
      <c r="P99" s="417">
        <f t="shared" si="24"/>
        <v>7936.2499999999991</v>
      </c>
      <c r="Q99" s="441"/>
    </row>
    <row r="100" spans="1:17" s="417" customFormat="1" ht="14.25" customHeight="1">
      <c r="A100" s="167">
        <v>92</v>
      </c>
      <c r="B100" s="409">
        <v>22675</v>
      </c>
      <c r="C100" s="20" t="str">
        <f>VLOOKUP(A100,'JUNE (물량흐름)'!$A$13:$C$502,2,0)</f>
        <v>INC</v>
      </c>
      <c r="D100" s="282">
        <f>VLOOKUP(A100,'JUNE (물량흐름)'!$A$13:$C$502,3,0)</f>
        <v>100012436</v>
      </c>
      <c r="E100" s="6">
        <f>VLOOKUP(D100,'JUNE (물량흐름)'!$C$13:$W$502,21,0)</f>
        <v>0</v>
      </c>
      <c r="F100" s="6">
        <f t="shared" si="17"/>
        <v>0</v>
      </c>
      <c r="G100" s="6">
        <f>ROUND(SUMIF('In-out-bal products (155)(완성제품)'!$B$12:$B$493,'Sales profit (스타일 별 매출이익)'!D100,'In-out-bal products (155)(완성제품)'!$X$12:$X$493) + SUMIF('In-out-bal products (155)(완성제품)'!$B$12:$B$493,'Sales profit (스타일 별 매출이익)'!D100,'In-out-bal products (155)(완성제품)'!$AA$12:$AA$493),0)</f>
        <v>0</v>
      </c>
      <c r="H100" s="283">
        <f t="shared" si="18"/>
        <v>0</v>
      </c>
      <c r="I100" s="284">
        <f t="shared" si="19"/>
        <v>0</v>
      </c>
      <c r="J100" s="284">
        <f t="shared" si="16"/>
        <v>0</v>
      </c>
      <c r="K100" s="283">
        <v>0.36</v>
      </c>
      <c r="L100" s="285">
        <f t="shared" si="20"/>
        <v>0</v>
      </c>
      <c r="M100" s="285">
        <f t="shared" si="21"/>
        <v>0.36</v>
      </c>
      <c r="N100" s="285">
        <f t="shared" si="22"/>
        <v>0</v>
      </c>
      <c r="O100" s="416">
        <f t="shared" si="23"/>
        <v>0</v>
      </c>
      <c r="P100" s="417">
        <f t="shared" si="24"/>
        <v>8163</v>
      </c>
      <c r="Q100" s="441"/>
    </row>
    <row r="101" spans="1:17" s="417" customFormat="1" ht="14.25" customHeight="1">
      <c r="A101" s="167">
        <v>93</v>
      </c>
      <c r="B101" s="409">
        <v>22675</v>
      </c>
      <c r="C101" s="20" t="str">
        <f>VLOOKUP(A101,'JUNE (물량흐름)'!$A$13:$C$502,2,0)</f>
        <v>INC</v>
      </c>
      <c r="D101" s="282">
        <f>VLOOKUP(A101,'JUNE (물량흐름)'!$A$13:$C$502,3,0)</f>
        <v>100012476</v>
      </c>
      <c r="E101" s="6">
        <f>VLOOKUP(D101,'JUNE (물량흐름)'!$C$13:$W$502,21,0)</f>
        <v>0</v>
      </c>
      <c r="F101" s="6">
        <f t="shared" si="17"/>
        <v>0</v>
      </c>
      <c r="G101" s="6">
        <f>ROUND(SUMIF('In-out-bal products (155)(완성제품)'!$B$12:$B$493,'Sales profit (스타일 별 매출이익)'!D101,'In-out-bal products (155)(완성제품)'!$X$12:$X$493) + SUMIF('In-out-bal products (155)(완성제품)'!$B$12:$B$493,'Sales profit (스타일 별 매출이익)'!D101,'In-out-bal products (155)(완성제품)'!$AA$12:$AA$493),0)</f>
        <v>0</v>
      </c>
      <c r="H101" s="283">
        <f t="shared" si="18"/>
        <v>0</v>
      </c>
      <c r="I101" s="284">
        <f t="shared" si="19"/>
        <v>0</v>
      </c>
      <c r="J101" s="284">
        <f t="shared" si="16"/>
        <v>0</v>
      </c>
      <c r="K101" s="283">
        <v>0.35</v>
      </c>
      <c r="L101" s="285">
        <f t="shared" si="20"/>
        <v>0</v>
      </c>
      <c r="M101" s="285">
        <f t="shared" si="21"/>
        <v>0.35</v>
      </c>
      <c r="N101" s="285">
        <f t="shared" si="22"/>
        <v>0</v>
      </c>
      <c r="O101" s="416">
        <f t="shared" si="23"/>
        <v>0</v>
      </c>
      <c r="P101" s="417">
        <f t="shared" si="24"/>
        <v>7936.2499999999991</v>
      </c>
      <c r="Q101" s="441"/>
    </row>
    <row r="102" spans="1:17" s="417" customFormat="1" ht="14.25" customHeight="1">
      <c r="A102" s="167">
        <v>94</v>
      </c>
      <c r="B102" s="409">
        <v>22675</v>
      </c>
      <c r="C102" s="20" t="str">
        <f>VLOOKUP(A102,'JUNE (물량흐름)'!$A$13:$C$502,2,0)</f>
        <v>INC</v>
      </c>
      <c r="D102" s="282">
        <f>VLOOKUP(A102,'JUNE (물량흐름)'!$A$13:$C$502,3,0)</f>
        <v>100013564</v>
      </c>
      <c r="E102" s="6">
        <f>VLOOKUP(D102,'JUNE (물량흐름)'!$C$13:$W$502,21,0)</f>
        <v>0</v>
      </c>
      <c r="F102" s="6">
        <f t="shared" si="17"/>
        <v>0</v>
      </c>
      <c r="G102" s="6">
        <f>ROUND(SUMIF('In-out-bal products (155)(완성제품)'!$B$12:$B$493,'Sales profit (스타일 별 매출이익)'!D102,'In-out-bal products (155)(완성제품)'!$X$12:$X$493) + SUMIF('In-out-bal products (155)(완성제품)'!$B$12:$B$493,'Sales profit (스타일 별 매출이익)'!D102,'In-out-bal products (155)(완성제품)'!$AA$12:$AA$493),0)</f>
        <v>0</v>
      </c>
      <c r="H102" s="283">
        <f t="shared" si="18"/>
        <v>0</v>
      </c>
      <c r="I102" s="284">
        <f t="shared" si="19"/>
        <v>0</v>
      </c>
      <c r="J102" s="284">
        <f t="shared" si="16"/>
        <v>0</v>
      </c>
      <c r="K102" s="283">
        <v>0.36</v>
      </c>
      <c r="L102" s="285">
        <f t="shared" si="20"/>
        <v>0</v>
      </c>
      <c r="M102" s="285">
        <f t="shared" si="21"/>
        <v>0.36</v>
      </c>
      <c r="N102" s="285">
        <f t="shared" si="22"/>
        <v>0</v>
      </c>
      <c r="O102" s="416">
        <f t="shared" si="23"/>
        <v>0</v>
      </c>
      <c r="P102" s="417">
        <f t="shared" si="24"/>
        <v>8163</v>
      </c>
      <c r="Q102" s="441"/>
    </row>
    <row r="103" spans="1:17" s="417" customFormat="1" ht="14.25" customHeight="1">
      <c r="A103" s="167">
        <v>95</v>
      </c>
      <c r="B103" s="409">
        <v>22675</v>
      </c>
      <c r="C103" s="20" t="str">
        <f>VLOOKUP(A103,'JUNE (물량흐름)'!$A$13:$C$502,2,0)</f>
        <v>J JILL</v>
      </c>
      <c r="D103" s="282" t="str">
        <f>VLOOKUP(A103,'JUNE (물량흐름)'!$A$13:$C$502,3,0)</f>
        <v>KDR112751</v>
      </c>
      <c r="E103" s="6">
        <f>VLOOKUP(D103,'JUNE (물량흐름)'!$C$13:$W$502,21,0)</f>
        <v>0</v>
      </c>
      <c r="F103" s="6">
        <f t="shared" si="17"/>
        <v>0</v>
      </c>
      <c r="G103" s="6">
        <f>ROUND(SUMIF('In-out-bal products (155)(완성제품)'!$B$12:$B$493,'Sales profit (스타일 별 매출이익)'!D103,'In-out-bal products (155)(완성제품)'!$X$12:$X$493) + SUMIF('In-out-bal products (155)(완성제품)'!$B$12:$B$493,'Sales profit (스타일 별 매출이익)'!D103,'In-out-bal products (155)(완성제품)'!$AA$12:$AA$493),0)</f>
        <v>0</v>
      </c>
      <c r="H103" s="283">
        <f t="shared" si="18"/>
        <v>0</v>
      </c>
      <c r="I103" s="284">
        <f t="shared" si="19"/>
        <v>0</v>
      </c>
      <c r="J103" s="284">
        <f t="shared" si="16"/>
        <v>0</v>
      </c>
      <c r="K103" s="283">
        <v>0.35</v>
      </c>
      <c r="L103" s="285">
        <f t="shared" si="20"/>
        <v>0</v>
      </c>
      <c r="M103" s="285">
        <f t="shared" si="21"/>
        <v>0.35</v>
      </c>
      <c r="N103" s="285">
        <f t="shared" si="22"/>
        <v>0</v>
      </c>
      <c r="O103" s="416">
        <f t="shared" si="23"/>
        <v>0</v>
      </c>
      <c r="P103" s="417">
        <f t="shared" si="24"/>
        <v>7936.2499999999991</v>
      </c>
      <c r="Q103" s="441"/>
    </row>
    <row r="104" spans="1:17" s="417" customFormat="1" ht="14.25" customHeight="1">
      <c r="A104" s="167">
        <v>96</v>
      </c>
      <c r="B104" s="409">
        <v>22675</v>
      </c>
      <c r="C104" s="20" t="str">
        <f>VLOOKUP(A104,'JUNE (물량흐름)'!$A$13:$C$502,2,0)</f>
        <v>J JILL</v>
      </c>
      <c r="D104" s="282" t="str">
        <f>VLOOKUP(A104,'JUNE (물량흐름)'!$A$13:$C$502,3,0)</f>
        <v>KJT112641</v>
      </c>
      <c r="E104" s="6">
        <f>VLOOKUP(D104,'JUNE (물량흐름)'!$C$13:$W$502,21,0)</f>
        <v>0</v>
      </c>
      <c r="F104" s="6">
        <f t="shared" si="17"/>
        <v>0</v>
      </c>
      <c r="G104" s="6">
        <f>ROUND(SUMIF('In-out-bal products (155)(완성제품)'!$B$12:$B$493,'Sales profit (스타일 별 매출이익)'!D104,'In-out-bal products (155)(완성제품)'!$X$12:$X$493) + SUMIF('In-out-bal products (155)(완성제품)'!$B$12:$B$493,'Sales profit (스타일 별 매출이익)'!D104,'In-out-bal products (155)(완성제품)'!$AA$12:$AA$493),0)</f>
        <v>0</v>
      </c>
      <c r="H104" s="283">
        <f t="shared" si="18"/>
        <v>0</v>
      </c>
      <c r="I104" s="284">
        <f t="shared" si="19"/>
        <v>0</v>
      </c>
      <c r="J104" s="284">
        <f t="shared" si="16"/>
        <v>0</v>
      </c>
      <c r="K104" s="283">
        <v>0.36</v>
      </c>
      <c r="L104" s="285">
        <f t="shared" si="20"/>
        <v>0</v>
      </c>
      <c r="M104" s="285">
        <f t="shared" si="21"/>
        <v>0.36</v>
      </c>
      <c r="N104" s="285">
        <f t="shared" si="22"/>
        <v>0</v>
      </c>
      <c r="O104" s="416">
        <f t="shared" si="23"/>
        <v>0</v>
      </c>
      <c r="P104" s="417">
        <f t="shared" si="24"/>
        <v>8163</v>
      </c>
      <c r="Q104" s="441"/>
    </row>
    <row r="105" spans="1:17" s="417" customFormat="1" ht="14.25" customHeight="1">
      <c r="A105" s="167">
        <v>97</v>
      </c>
      <c r="B105" s="409">
        <v>22675</v>
      </c>
      <c r="C105" s="20" t="str">
        <f>VLOOKUP(A105,'JUNE (물량흐름)'!$A$13:$C$502,2,0)</f>
        <v>J JILL</v>
      </c>
      <c r="D105" s="282" t="str">
        <f>VLOOKUP(A105,'JUNE (물량흐름)'!$A$13:$C$502,3,0)</f>
        <v>KJT113771</v>
      </c>
      <c r="E105" s="6">
        <f>VLOOKUP(D105,'JUNE (물량흐름)'!$C$13:$W$502,21,0)</f>
        <v>0</v>
      </c>
      <c r="F105" s="6">
        <f t="shared" si="17"/>
        <v>0</v>
      </c>
      <c r="G105" s="6">
        <f>ROUND(SUMIF('In-out-bal products (155)(완성제품)'!$B$12:$B$493,'Sales profit (스타일 별 매출이익)'!D105,'In-out-bal products (155)(완성제품)'!$X$12:$X$493) + SUMIF('In-out-bal products (155)(완성제품)'!$B$12:$B$493,'Sales profit (스타일 별 매출이익)'!D105,'In-out-bal products (155)(완성제품)'!$AA$12:$AA$493),0)</f>
        <v>0</v>
      </c>
      <c r="H105" s="283">
        <f t="shared" si="18"/>
        <v>0</v>
      </c>
      <c r="I105" s="284">
        <f t="shared" si="19"/>
        <v>0</v>
      </c>
      <c r="J105" s="284">
        <f t="shared" ref="J105:J135" si="25">IFERROR(F105*$J$492/$F$492,0)</f>
        <v>0</v>
      </c>
      <c r="K105" s="283">
        <v>0.36</v>
      </c>
      <c r="L105" s="285">
        <f t="shared" si="20"/>
        <v>0</v>
      </c>
      <c r="M105" s="285">
        <f t="shared" si="21"/>
        <v>0.36</v>
      </c>
      <c r="N105" s="285">
        <f t="shared" si="22"/>
        <v>0</v>
      </c>
      <c r="O105" s="416">
        <f t="shared" si="23"/>
        <v>0</v>
      </c>
      <c r="P105" s="417">
        <f t="shared" si="24"/>
        <v>8163</v>
      </c>
      <c r="Q105" s="441"/>
    </row>
    <row r="106" spans="1:17" s="417" customFormat="1" ht="14.25" customHeight="1">
      <c r="A106" s="167">
        <v>98</v>
      </c>
      <c r="B106" s="409">
        <v>22675</v>
      </c>
      <c r="C106" s="20" t="str">
        <f>VLOOKUP(A106,'JUNE (물량흐름)'!$A$13:$C$502,2,0)</f>
        <v>J JILL</v>
      </c>
      <c r="D106" s="282" t="str">
        <f>VLOOKUP(A106,'JUNE (물량흐름)'!$A$13:$C$502,3,0)</f>
        <v>KPT128561</v>
      </c>
      <c r="E106" s="6">
        <f>VLOOKUP(D106,'JUNE (물량흐름)'!$C$13:$W$502,21,0)</f>
        <v>7637</v>
      </c>
      <c r="F106" s="6">
        <f t="shared" si="17"/>
        <v>264948532</v>
      </c>
      <c r="G106" s="6">
        <f>ROUND(SUMIF('In-out-bal products (155)(완성제품)'!$B$12:$B$493,'Sales profit (스타일 별 매출이익)'!D106,'In-out-bal products (155)(완성제품)'!$X$12:$X$493) + SUMIF('In-out-bal products (155)(완성제품)'!$B$12:$B$493,'Sales profit (스타일 별 매출이익)'!D106,'In-out-bal products (155)(완성제품)'!$AA$12:$AA$493),0)</f>
        <v>225783579</v>
      </c>
      <c r="H106" s="283">
        <f t="shared" si="18"/>
        <v>0.22616610741040652</v>
      </c>
      <c r="I106" s="284">
        <f t="shared" si="19"/>
        <v>5128.3164855309678</v>
      </c>
      <c r="J106" s="284">
        <f t="shared" si="25"/>
        <v>22616499.610905744</v>
      </c>
      <c r="K106" s="283">
        <v>1.53</v>
      </c>
      <c r="L106" s="285">
        <f t="shared" si="20"/>
        <v>1.3038338940332701</v>
      </c>
      <c r="M106" s="285">
        <f t="shared" si="21"/>
        <v>9.5562459378732589E-2</v>
      </c>
      <c r="N106" s="285">
        <f t="shared" si="22"/>
        <v>0.13060364658799734</v>
      </c>
      <c r="O106" s="416">
        <f t="shared" si="23"/>
        <v>11684.61</v>
      </c>
      <c r="P106" s="417">
        <f t="shared" si="24"/>
        <v>34692.75</v>
      </c>
      <c r="Q106" s="441"/>
    </row>
    <row r="107" spans="1:17" s="417" customFormat="1" ht="14.25" customHeight="1">
      <c r="A107" s="167">
        <v>99</v>
      </c>
      <c r="B107" s="409">
        <v>22675</v>
      </c>
      <c r="C107" s="20" t="str">
        <f>VLOOKUP(A107,'JUNE (물량흐름)'!$A$13:$C$502,2,0)</f>
        <v>J JILL</v>
      </c>
      <c r="D107" s="282" t="str">
        <f>VLOOKUP(A107,'JUNE (물량흐름)'!$A$13:$C$502,3,0)</f>
        <v>KTP101721</v>
      </c>
      <c r="E107" s="6">
        <f>VLOOKUP(D107,'JUNE (물량흐름)'!$C$13:$W$502,21,0)</f>
        <v>0</v>
      </c>
      <c r="F107" s="6">
        <f t="shared" si="17"/>
        <v>0</v>
      </c>
      <c r="G107" s="6">
        <f>ROUND(SUMIF('In-out-bal products (155)(완성제품)'!$B$12:$B$493,'Sales profit (스타일 별 매출이익)'!D107,'In-out-bal products (155)(완성제품)'!$X$12:$X$493) + SUMIF('In-out-bal products (155)(완성제품)'!$B$12:$B$493,'Sales profit (스타일 별 매출이익)'!D107,'In-out-bal products (155)(완성제품)'!$AA$12:$AA$493),0)</f>
        <v>0</v>
      </c>
      <c r="H107" s="283">
        <f t="shared" si="18"/>
        <v>0</v>
      </c>
      <c r="I107" s="284">
        <f t="shared" si="19"/>
        <v>0</v>
      </c>
      <c r="J107" s="284">
        <f t="shared" si="25"/>
        <v>0</v>
      </c>
      <c r="K107" s="283">
        <v>2.15</v>
      </c>
      <c r="L107" s="285">
        <f t="shared" si="20"/>
        <v>0</v>
      </c>
      <c r="M107" s="285">
        <f t="shared" si="21"/>
        <v>2.15</v>
      </c>
      <c r="N107" s="285">
        <f t="shared" si="22"/>
        <v>0</v>
      </c>
      <c r="O107" s="416">
        <f t="shared" si="23"/>
        <v>0</v>
      </c>
      <c r="P107" s="417">
        <f t="shared" si="24"/>
        <v>48751.25</v>
      </c>
      <c r="Q107" s="441"/>
    </row>
    <row r="108" spans="1:17" s="417" customFormat="1" ht="14.25" customHeight="1">
      <c r="A108" s="167">
        <v>100</v>
      </c>
      <c r="B108" s="409">
        <v>22675</v>
      </c>
      <c r="C108" s="20" t="str">
        <f>VLOOKUP(A108,'JUNE (물량흐름)'!$A$13:$C$502,2,0)</f>
        <v>J JILL</v>
      </c>
      <c r="D108" s="282" t="str">
        <f>VLOOKUP(A108,'JUNE (물량흐름)'!$A$13:$C$502,3,0)</f>
        <v>KTP109571</v>
      </c>
      <c r="E108" s="6">
        <f>VLOOKUP(D108,'JUNE (물량흐름)'!$C$13:$W$502,21,0)</f>
        <v>0</v>
      </c>
      <c r="F108" s="6">
        <f t="shared" si="17"/>
        <v>0</v>
      </c>
      <c r="G108" s="6">
        <f>ROUND(SUMIF('In-out-bal products (155)(완성제품)'!$B$12:$B$493,'Sales profit (스타일 별 매출이익)'!D108,'In-out-bal products (155)(완성제품)'!$X$12:$X$493) + SUMIF('In-out-bal products (155)(완성제품)'!$B$12:$B$493,'Sales profit (스타일 별 매출이익)'!D108,'In-out-bal products (155)(완성제품)'!$AA$12:$AA$493),0)</f>
        <v>0</v>
      </c>
      <c r="H108" s="283">
        <f t="shared" si="18"/>
        <v>0</v>
      </c>
      <c r="I108" s="284">
        <f t="shared" si="19"/>
        <v>0</v>
      </c>
      <c r="J108" s="284">
        <f t="shared" si="25"/>
        <v>0</v>
      </c>
      <c r="K108" s="283">
        <v>1.75</v>
      </c>
      <c r="L108" s="285">
        <f t="shared" si="20"/>
        <v>0</v>
      </c>
      <c r="M108" s="285">
        <f t="shared" si="21"/>
        <v>1.75</v>
      </c>
      <c r="N108" s="285">
        <f t="shared" si="22"/>
        <v>0</v>
      </c>
      <c r="O108" s="416">
        <f t="shared" si="23"/>
        <v>0</v>
      </c>
      <c r="P108" s="417">
        <f t="shared" si="24"/>
        <v>39681.25</v>
      </c>
      <c r="Q108" s="441"/>
    </row>
    <row r="109" spans="1:17" s="417" customFormat="1" ht="14.25" customHeight="1">
      <c r="A109" s="167">
        <v>101</v>
      </c>
      <c r="B109" s="409">
        <v>22675</v>
      </c>
      <c r="C109" s="20" t="str">
        <f>VLOOKUP(A109,'JUNE (물량흐름)'!$A$13:$C$502,2,0)</f>
        <v>J JILL</v>
      </c>
      <c r="D109" s="282" t="str">
        <f>VLOOKUP(A109,'JUNE (물량흐름)'!$A$13:$C$502,3,0)</f>
        <v>KTP109581</v>
      </c>
      <c r="E109" s="6">
        <f>VLOOKUP(D109,'JUNE (물량흐름)'!$C$13:$W$502,21,0)</f>
        <v>0</v>
      </c>
      <c r="F109" s="6">
        <f t="shared" si="17"/>
        <v>0</v>
      </c>
      <c r="G109" s="6">
        <f>ROUND(SUMIF('In-out-bal products (155)(완성제품)'!$B$12:$B$493,'Sales profit (스타일 별 매출이익)'!D109,'In-out-bal products (155)(완성제품)'!$X$12:$X$493) + SUMIF('In-out-bal products (155)(완성제품)'!$B$12:$B$493,'Sales profit (스타일 별 매출이익)'!D109,'In-out-bal products (155)(완성제품)'!$AA$12:$AA$493),0)</f>
        <v>0</v>
      </c>
      <c r="H109" s="283">
        <f t="shared" si="18"/>
        <v>0</v>
      </c>
      <c r="I109" s="284">
        <f t="shared" si="19"/>
        <v>0</v>
      </c>
      <c r="J109" s="284">
        <f t="shared" si="25"/>
        <v>0</v>
      </c>
      <c r="K109" s="283">
        <v>1.75</v>
      </c>
      <c r="L109" s="285">
        <f t="shared" si="20"/>
        <v>0</v>
      </c>
      <c r="M109" s="285">
        <f t="shared" si="21"/>
        <v>1.75</v>
      </c>
      <c r="N109" s="285">
        <f t="shared" si="22"/>
        <v>0</v>
      </c>
      <c r="O109" s="416">
        <f t="shared" si="23"/>
        <v>0</v>
      </c>
      <c r="P109" s="417">
        <f t="shared" si="24"/>
        <v>39681.25</v>
      </c>
      <c r="Q109" s="441"/>
    </row>
    <row r="110" spans="1:17" s="417" customFormat="1" ht="14.25" customHeight="1">
      <c r="A110" s="167">
        <v>102</v>
      </c>
      <c r="B110" s="409">
        <v>22675</v>
      </c>
      <c r="C110" s="20" t="str">
        <f>VLOOKUP(A110,'JUNE (물량흐름)'!$A$13:$C$502,2,0)</f>
        <v>J JILL</v>
      </c>
      <c r="D110" s="282" t="str">
        <f>VLOOKUP(A110,'JUNE (물량흐름)'!$A$13:$C$502,3,0)</f>
        <v>KTP112701</v>
      </c>
      <c r="E110" s="6">
        <f>VLOOKUP(D110,'JUNE (물량흐름)'!$C$13:$W$502,21,0)</f>
        <v>0</v>
      </c>
      <c r="F110" s="6">
        <f t="shared" si="17"/>
        <v>0</v>
      </c>
      <c r="G110" s="6">
        <f>ROUND(SUMIF('In-out-bal products (155)(완성제품)'!$B$12:$B$493,'Sales profit (스타일 별 매출이익)'!D110,'In-out-bal products (155)(완성제품)'!$X$12:$X$493) + SUMIF('In-out-bal products (155)(완성제품)'!$B$12:$B$493,'Sales profit (스타일 별 매출이익)'!D110,'In-out-bal products (155)(완성제품)'!$AA$12:$AA$493),0)</f>
        <v>0</v>
      </c>
      <c r="H110" s="283">
        <f t="shared" si="18"/>
        <v>0</v>
      </c>
      <c r="I110" s="284">
        <f t="shared" si="19"/>
        <v>0</v>
      </c>
      <c r="J110" s="284">
        <f t="shared" si="25"/>
        <v>0</v>
      </c>
      <c r="K110" s="283">
        <v>0.35</v>
      </c>
      <c r="L110" s="285">
        <f t="shared" si="20"/>
        <v>0</v>
      </c>
      <c r="M110" s="285">
        <f t="shared" si="21"/>
        <v>0.35</v>
      </c>
      <c r="N110" s="285">
        <f t="shared" si="22"/>
        <v>0</v>
      </c>
      <c r="O110" s="416">
        <f t="shared" si="23"/>
        <v>0</v>
      </c>
      <c r="P110" s="417">
        <f t="shared" si="24"/>
        <v>7936.2499999999991</v>
      </c>
      <c r="Q110" s="441"/>
    </row>
    <row r="111" spans="1:17" s="417" customFormat="1" ht="14.25" customHeight="1">
      <c r="A111" s="167">
        <v>103</v>
      </c>
      <c r="B111" s="409">
        <v>22675</v>
      </c>
      <c r="C111" s="20" t="str">
        <f>VLOOKUP(A111,'JUNE (물량흐름)'!$A$13:$C$502,2,0)</f>
        <v>JONES NY</v>
      </c>
      <c r="D111" s="282" t="str">
        <f>VLOOKUP(A111,'JUNE (물량흐름)'!$A$13:$C$502,3,0)</f>
        <v>JMML9R1668</v>
      </c>
      <c r="E111" s="6">
        <f>VLOOKUP(D111,'JUNE (물량흐름)'!$C$13:$W$502,21,0)</f>
        <v>0</v>
      </c>
      <c r="F111" s="6">
        <f t="shared" si="17"/>
        <v>0</v>
      </c>
      <c r="G111" s="6">
        <f>ROUND(SUMIF('In-out-bal products (155)(완성제품)'!$B$12:$B$493,'Sales profit (스타일 별 매출이익)'!D111,'In-out-bal products (155)(완성제품)'!$X$12:$X$493) + SUMIF('In-out-bal products (155)(완성제품)'!$B$12:$B$493,'Sales profit (스타일 별 매출이익)'!D111,'In-out-bal products (155)(완성제품)'!$AA$12:$AA$493),0)</f>
        <v>0</v>
      </c>
      <c r="H111" s="283">
        <f t="shared" si="18"/>
        <v>0</v>
      </c>
      <c r="I111" s="284">
        <f t="shared" si="19"/>
        <v>0</v>
      </c>
      <c r="J111" s="284">
        <f t="shared" si="25"/>
        <v>0</v>
      </c>
      <c r="K111" s="283">
        <v>0.35</v>
      </c>
      <c r="L111" s="285">
        <f t="shared" si="20"/>
        <v>0</v>
      </c>
      <c r="M111" s="285">
        <f t="shared" si="21"/>
        <v>0.35</v>
      </c>
      <c r="N111" s="285">
        <f t="shared" si="22"/>
        <v>0</v>
      </c>
      <c r="O111" s="416">
        <f t="shared" si="23"/>
        <v>0</v>
      </c>
      <c r="P111" s="417">
        <f t="shared" si="24"/>
        <v>7936.2499999999991</v>
      </c>
      <c r="Q111" s="441"/>
    </row>
    <row r="112" spans="1:17" s="417" customFormat="1" ht="14.25" customHeight="1">
      <c r="A112" s="167">
        <v>104</v>
      </c>
      <c r="B112" s="409">
        <v>22675</v>
      </c>
      <c r="C112" s="20" t="str">
        <f>VLOOKUP(A112,'JUNE (물량흐름)'!$A$13:$C$502,2,0)</f>
        <v>JONES NY</v>
      </c>
      <c r="D112" s="282" t="str">
        <f>VLOOKUP(A112,'JUNE (물량흐름)'!$A$13:$C$502,3,0)</f>
        <v>JPMR8KT003</v>
      </c>
      <c r="E112" s="6">
        <f>VLOOKUP(D112,'JUNE (물량흐름)'!$C$13:$W$502,21,0)</f>
        <v>0</v>
      </c>
      <c r="F112" s="6">
        <f t="shared" si="17"/>
        <v>0</v>
      </c>
      <c r="G112" s="6">
        <f>ROUND(SUMIF('In-out-bal products (155)(완성제품)'!$B$12:$B$493,'Sales profit (스타일 별 매출이익)'!D112,'In-out-bal products (155)(완성제품)'!$X$12:$X$493) + SUMIF('In-out-bal products (155)(완성제품)'!$B$12:$B$493,'Sales profit (스타일 별 매출이익)'!D112,'In-out-bal products (155)(완성제품)'!$AA$12:$AA$493),0)</f>
        <v>0</v>
      </c>
      <c r="H112" s="283">
        <f t="shared" si="18"/>
        <v>0</v>
      </c>
      <c r="I112" s="284">
        <f t="shared" si="19"/>
        <v>0</v>
      </c>
      <c r="J112" s="284">
        <f t="shared" si="25"/>
        <v>0</v>
      </c>
      <c r="K112" s="283">
        <v>1.75</v>
      </c>
      <c r="L112" s="285">
        <f t="shared" si="20"/>
        <v>0</v>
      </c>
      <c r="M112" s="285">
        <f t="shared" si="21"/>
        <v>1.75</v>
      </c>
      <c r="N112" s="285">
        <f t="shared" si="22"/>
        <v>0</v>
      </c>
      <c r="O112" s="416">
        <f t="shared" si="23"/>
        <v>0</v>
      </c>
      <c r="P112" s="417">
        <f t="shared" si="24"/>
        <v>39681.25</v>
      </c>
      <c r="Q112" s="441"/>
    </row>
    <row r="113" spans="1:17" s="417" customFormat="1" ht="14.25" customHeight="1">
      <c r="A113" s="167">
        <v>105</v>
      </c>
      <c r="B113" s="409">
        <v>22675</v>
      </c>
      <c r="C113" s="20" t="str">
        <f>VLOOKUP(A113,'JUNE (물량흐름)'!$A$13:$C$502,2,0)</f>
        <v>NORDSTROM</v>
      </c>
      <c r="D113" s="282" t="str">
        <f>VLOOKUP(A113,'JUNE (물량흐름)'!$A$13:$C$502,3,0)</f>
        <v>RK381915MI</v>
      </c>
      <c r="E113" s="6">
        <f>VLOOKUP(D113,'JUNE (물량흐름)'!$C$13:$W$502,21,0)</f>
        <v>0</v>
      </c>
      <c r="F113" s="6">
        <f t="shared" si="17"/>
        <v>0</v>
      </c>
      <c r="G113" s="6">
        <f>ROUND(SUMIF('In-out-bal products (155)(완성제품)'!$B$12:$B$493,'Sales profit (스타일 별 매출이익)'!D113,'In-out-bal products (155)(완성제품)'!$X$12:$X$493) + SUMIF('In-out-bal products (155)(완성제품)'!$B$12:$B$493,'Sales profit (스타일 별 매출이익)'!D113,'In-out-bal products (155)(완성제품)'!$AA$12:$AA$493),0)</f>
        <v>0</v>
      </c>
      <c r="H113" s="283">
        <f t="shared" si="18"/>
        <v>0</v>
      </c>
      <c r="I113" s="284">
        <f t="shared" si="19"/>
        <v>0</v>
      </c>
      <c r="J113" s="284">
        <f t="shared" si="25"/>
        <v>0</v>
      </c>
      <c r="K113" s="283">
        <v>0.9</v>
      </c>
      <c r="L113" s="285">
        <f t="shared" si="20"/>
        <v>0</v>
      </c>
      <c r="M113" s="285">
        <f t="shared" si="21"/>
        <v>0.9</v>
      </c>
      <c r="N113" s="285">
        <f t="shared" si="22"/>
        <v>0</v>
      </c>
      <c r="O113" s="416">
        <f t="shared" si="23"/>
        <v>0</v>
      </c>
      <c r="P113" s="417">
        <f t="shared" si="24"/>
        <v>20407.5</v>
      </c>
      <c r="Q113" s="441"/>
    </row>
    <row r="114" spans="1:17" s="417" customFormat="1" ht="14.25" customHeight="1">
      <c r="A114" s="167">
        <v>106</v>
      </c>
      <c r="B114" s="409">
        <v>22675</v>
      </c>
      <c r="C114" s="20" t="str">
        <f>VLOOKUP(A114,'JUNE (물량흐름)'!$A$13:$C$502,2,0)</f>
        <v>NORDSTROM</v>
      </c>
      <c r="D114" s="282" t="str">
        <f>VLOOKUP(A114,'JUNE (물량흐름)'!$A$13:$C$502,3,0)</f>
        <v>BP381321MI</v>
      </c>
      <c r="E114" s="6">
        <f>VLOOKUP(D114,'JUNE (물량흐름)'!$C$13:$W$502,21,0)</f>
        <v>0</v>
      </c>
      <c r="F114" s="6">
        <f t="shared" si="17"/>
        <v>0</v>
      </c>
      <c r="G114" s="6">
        <f>ROUND(SUMIF('In-out-bal products (155)(완성제품)'!$B$12:$B$493,'Sales profit (스타일 별 매출이익)'!D114,'In-out-bal products (155)(완성제품)'!$X$12:$X$493) + SUMIF('In-out-bal products (155)(완성제품)'!$B$12:$B$493,'Sales profit (스타일 별 매출이익)'!D114,'In-out-bal products (155)(완성제품)'!$AA$12:$AA$493),0)</f>
        <v>0</v>
      </c>
      <c r="H114" s="283">
        <f t="shared" si="18"/>
        <v>0</v>
      </c>
      <c r="I114" s="284">
        <f t="shared" si="19"/>
        <v>0</v>
      </c>
      <c r="J114" s="284">
        <f t="shared" si="25"/>
        <v>0</v>
      </c>
      <c r="K114" s="283">
        <v>0.35</v>
      </c>
      <c r="L114" s="285">
        <f t="shared" si="20"/>
        <v>0</v>
      </c>
      <c r="M114" s="285">
        <f t="shared" si="21"/>
        <v>0.35</v>
      </c>
      <c r="N114" s="285">
        <f t="shared" si="22"/>
        <v>0</v>
      </c>
      <c r="O114" s="416">
        <f t="shared" si="23"/>
        <v>0</v>
      </c>
      <c r="P114" s="417">
        <f t="shared" si="24"/>
        <v>7936.2499999999991</v>
      </c>
      <c r="Q114" s="441"/>
    </row>
    <row r="115" spans="1:17" s="417" customFormat="1" ht="14.25" customHeight="1">
      <c r="A115" s="167">
        <v>107</v>
      </c>
      <c r="B115" s="409">
        <v>22675</v>
      </c>
      <c r="C115" s="20" t="str">
        <f>VLOOKUP(A115,'JUNE (물량흐름)'!$A$13:$C$502,2,0)</f>
        <v>NORDSTROM</v>
      </c>
      <c r="D115" s="282" t="str">
        <f>VLOOKUP(A115,'JUNE (물량흐름)'!$A$13:$C$502,3,0)</f>
        <v>HA372336MI</v>
      </c>
      <c r="E115" s="6">
        <f>VLOOKUP(D115,'JUNE (물량흐름)'!$C$13:$W$502,21,0)</f>
        <v>0</v>
      </c>
      <c r="F115" s="6">
        <f t="shared" si="17"/>
        <v>0</v>
      </c>
      <c r="G115" s="6">
        <f>ROUND(SUMIF('In-out-bal products (155)(완성제품)'!$B$12:$B$493,'Sales profit (스타일 별 매출이익)'!D115,'In-out-bal products (155)(완성제품)'!$X$12:$X$493) + SUMIF('In-out-bal products (155)(완성제품)'!$B$12:$B$493,'Sales profit (스타일 별 매출이익)'!D115,'In-out-bal products (155)(완성제품)'!$AA$12:$AA$493),0)</f>
        <v>0</v>
      </c>
      <c r="H115" s="283">
        <f t="shared" si="18"/>
        <v>0</v>
      </c>
      <c r="I115" s="284">
        <f t="shared" si="19"/>
        <v>0</v>
      </c>
      <c r="J115" s="284">
        <f t="shared" si="25"/>
        <v>0</v>
      </c>
      <c r="K115" s="283">
        <v>7</v>
      </c>
      <c r="L115" s="285">
        <f t="shared" si="20"/>
        <v>0</v>
      </c>
      <c r="M115" s="285">
        <f t="shared" si="21"/>
        <v>7</v>
      </c>
      <c r="N115" s="285">
        <f t="shared" si="22"/>
        <v>0</v>
      </c>
      <c r="O115" s="416">
        <f t="shared" si="23"/>
        <v>0</v>
      </c>
      <c r="P115" s="417">
        <f t="shared" si="24"/>
        <v>158725</v>
      </c>
      <c r="Q115" s="441"/>
    </row>
    <row r="116" spans="1:17" s="417" customFormat="1" ht="14.25" customHeight="1">
      <c r="A116" s="167">
        <v>108</v>
      </c>
      <c r="B116" s="409">
        <v>22675</v>
      </c>
      <c r="C116" s="20" t="str">
        <f>VLOOKUP(A116,'JUNE (물량흐름)'!$A$13:$C$502,2,0)</f>
        <v>NORDSTROM</v>
      </c>
      <c r="D116" s="282" t="str">
        <f>VLOOKUP(A116,'JUNE (물량흐름)'!$A$13:$C$502,3,0)</f>
        <v>RK381125MI</v>
      </c>
      <c r="E116" s="6">
        <f>VLOOKUP(D116,'JUNE (물량흐름)'!$C$13:$W$502,21,0)</f>
        <v>0</v>
      </c>
      <c r="F116" s="6">
        <f t="shared" si="17"/>
        <v>0</v>
      </c>
      <c r="G116" s="6">
        <f>ROUND(SUMIF('In-out-bal products (155)(완성제품)'!$B$12:$B$493,'Sales profit (스타일 별 매출이익)'!D116,'In-out-bal products (155)(완성제품)'!$X$12:$X$493) + SUMIF('In-out-bal products (155)(완성제품)'!$B$12:$B$493,'Sales profit (스타일 별 매출이익)'!D116,'In-out-bal products (155)(완성제품)'!$AA$12:$AA$493),0)</f>
        <v>0</v>
      </c>
      <c r="H116" s="283">
        <f t="shared" si="18"/>
        <v>0</v>
      </c>
      <c r="I116" s="284">
        <f t="shared" si="19"/>
        <v>0</v>
      </c>
      <c r="J116" s="284">
        <f t="shared" si="25"/>
        <v>0</v>
      </c>
      <c r="K116" s="283">
        <v>0.36</v>
      </c>
      <c r="L116" s="285">
        <f t="shared" si="20"/>
        <v>0</v>
      </c>
      <c r="M116" s="285">
        <f t="shared" si="21"/>
        <v>0.36</v>
      </c>
      <c r="N116" s="285">
        <f t="shared" si="22"/>
        <v>0</v>
      </c>
      <c r="O116" s="416">
        <f t="shared" si="23"/>
        <v>0</v>
      </c>
      <c r="P116" s="417">
        <f t="shared" si="24"/>
        <v>8163</v>
      </c>
      <c r="Q116" s="441"/>
    </row>
    <row r="117" spans="1:17" s="417" customFormat="1" ht="14.25" customHeight="1">
      <c r="A117" s="167">
        <v>109</v>
      </c>
      <c r="B117" s="409">
        <v>22675</v>
      </c>
      <c r="C117" s="20" t="str">
        <f>VLOOKUP(A117,'JUNE (물량흐름)'!$A$13:$C$502,2,0)</f>
        <v>ANN TAYLOR</v>
      </c>
      <c r="D117" s="282">
        <f>VLOOKUP(A117,'JUNE (물량흐름)'!$A$13:$C$502,3,0)</f>
        <v>444136</v>
      </c>
      <c r="E117" s="6">
        <f>VLOOKUP(D117,'JUNE (물량흐름)'!$C$13:$W$502,21,0)</f>
        <v>0</v>
      </c>
      <c r="F117" s="6">
        <f t="shared" si="17"/>
        <v>0</v>
      </c>
      <c r="G117" s="6">
        <f>ROUND(SUMIF('In-out-bal products (155)(완성제품)'!$B$12:$B$493,'Sales profit (스타일 별 매출이익)'!D117,'In-out-bal products (155)(완성제품)'!$X$12:$X$493) + SUMIF('In-out-bal products (155)(완성제품)'!$B$12:$B$493,'Sales profit (스타일 별 매출이익)'!D117,'In-out-bal products (155)(완성제품)'!$AA$12:$AA$493),0)</f>
        <v>0</v>
      </c>
      <c r="H117" s="283">
        <f t="shared" si="18"/>
        <v>0</v>
      </c>
      <c r="I117" s="284">
        <f t="shared" si="19"/>
        <v>0</v>
      </c>
      <c r="J117" s="284">
        <f t="shared" si="25"/>
        <v>0</v>
      </c>
      <c r="K117" s="283">
        <v>3.2</v>
      </c>
      <c r="L117" s="285">
        <f t="shared" si="20"/>
        <v>0</v>
      </c>
      <c r="M117" s="285">
        <f t="shared" si="21"/>
        <v>3.2</v>
      </c>
      <c r="N117" s="285">
        <f t="shared" si="22"/>
        <v>0</v>
      </c>
      <c r="O117" s="416">
        <f t="shared" si="23"/>
        <v>0</v>
      </c>
      <c r="P117" s="417">
        <f t="shared" si="24"/>
        <v>72560</v>
      </c>
      <c r="Q117" s="441"/>
    </row>
    <row r="118" spans="1:17" s="417" customFormat="1" ht="14.25" customHeight="1">
      <c r="A118" s="167">
        <v>110</v>
      </c>
      <c r="B118" s="409">
        <v>22675</v>
      </c>
      <c r="C118" s="20" t="str">
        <f>VLOOKUP(A118,'JUNE (물량흐름)'!$A$13:$C$502,2,0)</f>
        <v>NAMYANG</v>
      </c>
      <c r="D118" s="282" t="str">
        <f>VLOOKUP(A118,'JUNE (물량흐름)'!$A$13:$C$502,3,0)</f>
        <v>258G827</v>
      </c>
      <c r="E118" s="6">
        <f>VLOOKUP(D118,'JUNE (물량흐름)'!$C$13:$W$502,21,0)</f>
        <v>0</v>
      </c>
      <c r="F118" s="6">
        <f t="shared" si="17"/>
        <v>0</v>
      </c>
      <c r="G118" s="6">
        <f>ROUND(SUMIF('In-out-bal products (155)(완성제품)'!$B$12:$B$493,'Sales profit (스타일 별 매출이익)'!D118,'In-out-bal products (155)(완성제품)'!$X$12:$X$493) + SUMIF('In-out-bal products (155)(완성제품)'!$B$12:$B$493,'Sales profit (스타일 별 매출이익)'!D118,'In-out-bal products (155)(완성제품)'!$AA$12:$AA$493),0)</f>
        <v>0</v>
      </c>
      <c r="H118" s="283">
        <f t="shared" si="18"/>
        <v>0</v>
      </c>
      <c r="I118" s="284">
        <f t="shared" si="19"/>
        <v>0</v>
      </c>
      <c r="J118" s="284">
        <f t="shared" si="25"/>
        <v>0</v>
      </c>
      <c r="K118" s="283">
        <v>3.2</v>
      </c>
      <c r="L118" s="285">
        <f t="shared" si="20"/>
        <v>0</v>
      </c>
      <c r="M118" s="285">
        <f t="shared" si="21"/>
        <v>3.2</v>
      </c>
      <c r="N118" s="285">
        <f t="shared" si="22"/>
        <v>0</v>
      </c>
      <c r="O118" s="416">
        <f t="shared" si="23"/>
        <v>0</v>
      </c>
      <c r="P118" s="417">
        <f t="shared" si="24"/>
        <v>72560</v>
      </c>
      <c r="Q118" s="441"/>
    </row>
    <row r="119" spans="1:17" s="417" customFormat="1" ht="14.25" customHeight="1">
      <c r="A119" s="167">
        <v>111</v>
      </c>
      <c r="B119" s="409">
        <v>22675</v>
      </c>
      <c r="C119" s="20" t="str">
        <f>VLOOKUP(A119,'JUNE (물량흐름)'!$A$13:$C$502,2,0)</f>
        <v>TALBOTS</v>
      </c>
      <c r="D119" s="282">
        <f>VLOOKUP(A119,'JUNE (물량흐름)'!$A$13:$C$502,3,0)</f>
        <v>174034833</v>
      </c>
      <c r="E119" s="6">
        <f>VLOOKUP(D119,'JUNE (물량흐름)'!$C$13:$W$502,21,0)</f>
        <v>0</v>
      </c>
      <c r="F119" s="6">
        <f t="shared" si="17"/>
        <v>0</v>
      </c>
      <c r="G119" s="6">
        <f>ROUND(SUMIF('In-out-bal products (155)(완성제품)'!$B$12:$B$493,'Sales profit (스타일 별 매출이익)'!D119,'In-out-bal products (155)(완성제품)'!$X$12:$X$493) + SUMIF('In-out-bal products (155)(완성제품)'!$B$12:$B$493,'Sales profit (스타일 별 매출이익)'!D119,'In-out-bal products (155)(완성제품)'!$AA$12:$AA$493),0)</f>
        <v>0</v>
      </c>
      <c r="H119" s="283">
        <f t="shared" si="18"/>
        <v>0</v>
      </c>
      <c r="I119" s="284">
        <f t="shared" si="19"/>
        <v>0</v>
      </c>
      <c r="J119" s="284">
        <f t="shared" si="25"/>
        <v>0</v>
      </c>
      <c r="K119" s="283">
        <v>0.36</v>
      </c>
      <c r="L119" s="285">
        <f t="shared" si="20"/>
        <v>0</v>
      </c>
      <c r="M119" s="285">
        <f t="shared" si="21"/>
        <v>0.36</v>
      </c>
      <c r="N119" s="285">
        <f t="shared" si="22"/>
        <v>0</v>
      </c>
      <c r="O119" s="416">
        <f t="shared" si="23"/>
        <v>0</v>
      </c>
      <c r="P119" s="417">
        <f t="shared" si="24"/>
        <v>8163</v>
      </c>
      <c r="Q119" s="441"/>
    </row>
    <row r="120" spans="1:17" s="417" customFormat="1" ht="14.25" customHeight="1">
      <c r="A120" s="167">
        <v>112</v>
      </c>
      <c r="B120" s="409">
        <v>22675</v>
      </c>
      <c r="C120" s="20" t="str">
        <f>VLOOKUP(A120,'JUNE (물량흐름)'!$A$13:$C$502,2,0)</f>
        <v>TALBOTS</v>
      </c>
      <c r="D120" s="282">
        <f>VLOOKUP(A120,'JUNE (물량흐름)'!$A$13:$C$502,3,0)</f>
        <v>174034834</v>
      </c>
      <c r="E120" s="6">
        <f>VLOOKUP(D120,'JUNE (물량흐름)'!$C$13:$W$502,21,0)</f>
        <v>0</v>
      </c>
      <c r="F120" s="6">
        <f t="shared" si="17"/>
        <v>0</v>
      </c>
      <c r="G120" s="6">
        <f>ROUND(SUMIF('In-out-bal products (155)(완성제품)'!$B$12:$B$493,'Sales profit (스타일 별 매출이익)'!D120,'In-out-bal products (155)(완성제품)'!$X$12:$X$493) + SUMIF('In-out-bal products (155)(완성제품)'!$B$12:$B$493,'Sales profit (스타일 별 매출이익)'!D120,'In-out-bal products (155)(완성제품)'!$AA$12:$AA$493),0)</f>
        <v>0</v>
      </c>
      <c r="H120" s="283">
        <f t="shared" si="18"/>
        <v>0</v>
      </c>
      <c r="I120" s="284">
        <f t="shared" si="19"/>
        <v>0</v>
      </c>
      <c r="J120" s="284">
        <f t="shared" si="25"/>
        <v>0</v>
      </c>
      <c r="K120" s="283">
        <v>0.36</v>
      </c>
      <c r="L120" s="285">
        <f t="shared" si="20"/>
        <v>0</v>
      </c>
      <c r="M120" s="285">
        <f t="shared" si="21"/>
        <v>0.36</v>
      </c>
      <c r="N120" s="285">
        <f t="shared" si="22"/>
        <v>0</v>
      </c>
      <c r="O120" s="416">
        <f t="shared" si="23"/>
        <v>0</v>
      </c>
      <c r="P120" s="417">
        <f t="shared" si="24"/>
        <v>8163</v>
      </c>
      <c r="Q120" s="441"/>
    </row>
    <row r="121" spans="1:17" s="417" customFormat="1" ht="14.25" customHeight="1">
      <c r="A121" s="167">
        <v>113</v>
      </c>
      <c r="B121" s="409">
        <v>22675</v>
      </c>
      <c r="C121" s="20" t="str">
        <f>VLOOKUP(A121,'JUNE (물량흐름)'!$A$13:$C$502,2,0)</f>
        <v>TALBOTS</v>
      </c>
      <c r="D121" s="282">
        <f>VLOOKUP(A121,'JUNE (물량흐름)'!$A$13:$C$502,3,0)</f>
        <v>174034840</v>
      </c>
      <c r="E121" s="6">
        <f>VLOOKUP(D121,'JUNE (물량흐름)'!$C$13:$W$502,21,0)</f>
        <v>0</v>
      </c>
      <c r="F121" s="6">
        <f t="shared" si="17"/>
        <v>0</v>
      </c>
      <c r="G121" s="6">
        <f>ROUND(SUMIF('In-out-bal products (155)(완성제품)'!$B$12:$B$493,'Sales profit (스타일 별 매출이익)'!D121,'In-out-bal products (155)(완성제품)'!$X$12:$X$493) + SUMIF('In-out-bal products (155)(완성제품)'!$B$12:$B$493,'Sales profit (스타일 별 매출이익)'!D121,'In-out-bal products (155)(완성제품)'!$AA$12:$AA$493),0)</f>
        <v>0</v>
      </c>
      <c r="H121" s="283">
        <f t="shared" si="18"/>
        <v>0</v>
      </c>
      <c r="I121" s="284">
        <f t="shared" si="19"/>
        <v>0</v>
      </c>
      <c r="J121" s="284">
        <f t="shared" si="25"/>
        <v>0</v>
      </c>
      <c r="K121" s="283">
        <v>0.35</v>
      </c>
      <c r="L121" s="285">
        <f t="shared" si="20"/>
        <v>0</v>
      </c>
      <c r="M121" s="285">
        <f t="shared" si="21"/>
        <v>0.35</v>
      </c>
      <c r="N121" s="285">
        <f t="shared" si="22"/>
        <v>0</v>
      </c>
      <c r="O121" s="416">
        <f t="shared" si="23"/>
        <v>0</v>
      </c>
      <c r="P121" s="417">
        <f t="shared" si="24"/>
        <v>7936.2499999999991</v>
      </c>
      <c r="Q121" s="441"/>
    </row>
    <row r="122" spans="1:17" s="417" customFormat="1" ht="14.25" customHeight="1">
      <c r="A122" s="167">
        <v>114</v>
      </c>
      <c r="B122" s="409">
        <v>22675</v>
      </c>
      <c r="C122" s="20" t="str">
        <f>VLOOKUP(A122,'JUNE (물량흐름)'!$A$13:$C$502,2,0)</f>
        <v>TALBOTS</v>
      </c>
      <c r="D122" s="282">
        <f>VLOOKUP(A122,'JUNE (물량흐름)'!$A$13:$C$502,3,0)</f>
        <v>174034863</v>
      </c>
      <c r="E122" s="6">
        <f>VLOOKUP(D122,'JUNE (물량흐름)'!$C$13:$W$502,21,0)</f>
        <v>0</v>
      </c>
      <c r="F122" s="6">
        <f t="shared" si="17"/>
        <v>0</v>
      </c>
      <c r="G122" s="6">
        <f>ROUND(SUMIF('In-out-bal products (155)(완성제품)'!$B$12:$B$493,'Sales profit (스타일 별 매출이익)'!D122,'In-out-bal products (155)(완성제품)'!$X$12:$X$493) + SUMIF('In-out-bal products (155)(완성제품)'!$B$12:$B$493,'Sales profit (스타일 별 매출이익)'!D122,'In-out-bal products (155)(완성제품)'!$AA$12:$AA$493),0)</f>
        <v>0</v>
      </c>
      <c r="H122" s="283">
        <f t="shared" si="18"/>
        <v>0</v>
      </c>
      <c r="I122" s="284">
        <f t="shared" si="19"/>
        <v>0</v>
      </c>
      <c r="J122" s="284">
        <f t="shared" si="25"/>
        <v>0</v>
      </c>
      <c r="K122" s="283">
        <v>4.5999999999999996</v>
      </c>
      <c r="L122" s="285">
        <f t="shared" si="20"/>
        <v>0</v>
      </c>
      <c r="M122" s="285">
        <f t="shared" si="21"/>
        <v>4.5999999999999996</v>
      </c>
      <c r="N122" s="285">
        <f t="shared" si="22"/>
        <v>0</v>
      </c>
      <c r="O122" s="416">
        <f t="shared" si="23"/>
        <v>0</v>
      </c>
      <c r="P122" s="417">
        <f t="shared" si="24"/>
        <v>104304.99999999999</v>
      </c>
      <c r="Q122" s="441"/>
    </row>
    <row r="123" spans="1:17" s="417" customFormat="1" ht="14.25" customHeight="1">
      <c r="A123" s="167">
        <v>115</v>
      </c>
      <c r="B123" s="409">
        <v>22675</v>
      </c>
      <c r="C123" s="20" t="str">
        <f>VLOOKUP(A123,'JUNE (물량흐름)'!$A$13:$C$502,2,0)</f>
        <v>TALBOTS</v>
      </c>
      <c r="D123" s="282">
        <f>VLOOKUP(A123,'JUNE (물량흐름)'!$A$13:$C$502,3,0)</f>
        <v>181013004</v>
      </c>
      <c r="E123" s="6">
        <f>VLOOKUP(D123,'JUNE (물량흐름)'!$C$13:$W$502,21,0)</f>
        <v>0</v>
      </c>
      <c r="F123" s="6">
        <f t="shared" si="17"/>
        <v>0</v>
      </c>
      <c r="G123" s="6">
        <f>ROUND(SUMIF('In-out-bal products (155)(완성제품)'!$B$12:$B$493,'Sales profit (스타일 별 매출이익)'!D123,'In-out-bal products (155)(완성제품)'!$X$12:$X$493) + SUMIF('In-out-bal products (155)(완성제품)'!$B$12:$B$493,'Sales profit (스타일 별 매출이익)'!D123,'In-out-bal products (155)(완성제품)'!$AA$12:$AA$493),0)</f>
        <v>0</v>
      </c>
      <c r="H123" s="283">
        <f t="shared" si="18"/>
        <v>0</v>
      </c>
      <c r="I123" s="284">
        <f t="shared" si="19"/>
        <v>0</v>
      </c>
      <c r="J123" s="284">
        <f t="shared" si="25"/>
        <v>0</v>
      </c>
      <c r="K123" s="283">
        <v>1.53</v>
      </c>
      <c r="L123" s="285">
        <f t="shared" si="20"/>
        <v>0</v>
      </c>
      <c r="M123" s="285">
        <f t="shared" si="21"/>
        <v>1.53</v>
      </c>
      <c r="N123" s="285">
        <f t="shared" si="22"/>
        <v>0</v>
      </c>
      <c r="O123" s="416">
        <f t="shared" si="23"/>
        <v>0</v>
      </c>
      <c r="P123" s="417">
        <f t="shared" si="24"/>
        <v>34692.75</v>
      </c>
      <c r="Q123" s="441"/>
    </row>
    <row r="124" spans="1:17" s="417" customFormat="1" ht="14.25" customHeight="1">
      <c r="A124" s="167">
        <v>116</v>
      </c>
      <c r="B124" s="409">
        <v>22675</v>
      </c>
      <c r="C124" s="20" t="str">
        <f>VLOOKUP(A124,'JUNE (물량흐름)'!$A$13:$C$502,2,0)</f>
        <v>ALFANI</v>
      </c>
      <c r="D124" s="282">
        <f>VLOOKUP(A124,'JUNE (물량흐름)'!$A$13:$C$502,3,0)</f>
        <v>100003498</v>
      </c>
      <c r="E124" s="6">
        <f>VLOOKUP(D124,'JUNE (물량흐름)'!$C$13:$W$502,21,0)</f>
        <v>0</v>
      </c>
      <c r="F124" s="6">
        <f t="shared" si="17"/>
        <v>0</v>
      </c>
      <c r="G124" s="6">
        <f>ROUND(SUMIF('In-out-bal products (155)(완성제품)'!$B$12:$B$493,'Sales profit (스타일 별 매출이익)'!D124,'In-out-bal products (155)(완성제품)'!$X$12:$X$493) + SUMIF('In-out-bal products (155)(완성제품)'!$B$12:$B$493,'Sales profit (스타일 별 매출이익)'!D124,'In-out-bal products (155)(완성제품)'!$AA$12:$AA$493),0)</f>
        <v>0</v>
      </c>
      <c r="H124" s="283">
        <f t="shared" si="18"/>
        <v>0</v>
      </c>
      <c r="I124" s="284">
        <f t="shared" si="19"/>
        <v>0</v>
      </c>
      <c r="J124" s="284">
        <f t="shared" si="25"/>
        <v>0</v>
      </c>
      <c r="K124" s="283">
        <v>0.36</v>
      </c>
      <c r="L124" s="285">
        <f t="shared" si="20"/>
        <v>0</v>
      </c>
      <c r="M124" s="285">
        <f t="shared" si="21"/>
        <v>0.36</v>
      </c>
      <c r="N124" s="285">
        <f t="shared" si="22"/>
        <v>0</v>
      </c>
      <c r="O124" s="416">
        <f t="shared" si="23"/>
        <v>0</v>
      </c>
      <c r="P124" s="417">
        <f t="shared" si="24"/>
        <v>8163</v>
      </c>
      <c r="Q124" s="441"/>
    </row>
    <row r="125" spans="1:17" s="417" customFormat="1" ht="14.25" customHeight="1">
      <c r="A125" s="167">
        <v>117</v>
      </c>
      <c r="B125" s="409">
        <v>22675</v>
      </c>
      <c r="C125" s="20" t="str">
        <f>VLOOKUP(A125,'JUNE (물량흐름)'!$A$13:$C$502,2,0)</f>
        <v>ALFANI</v>
      </c>
      <c r="D125" s="282">
        <f>VLOOKUP(A125,'JUNE (물량흐름)'!$A$13:$C$502,3,0)</f>
        <v>100003560</v>
      </c>
      <c r="E125" s="6">
        <f>VLOOKUP(D125,'JUNE (물량흐름)'!$C$13:$W$502,21,0)</f>
        <v>0</v>
      </c>
      <c r="F125" s="6">
        <f t="shared" si="17"/>
        <v>0</v>
      </c>
      <c r="G125" s="6">
        <f>ROUND(SUMIF('In-out-bal products (155)(완성제품)'!$B$12:$B$493,'Sales profit (스타일 별 매출이익)'!D125,'In-out-bal products (155)(완성제품)'!$X$12:$X$493) + SUMIF('In-out-bal products (155)(완성제품)'!$B$12:$B$493,'Sales profit (스타일 별 매출이익)'!D125,'In-out-bal products (155)(완성제품)'!$AA$12:$AA$493),0)</f>
        <v>0</v>
      </c>
      <c r="H125" s="283">
        <f t="shared" si="18"/>
        <v>0</v>
      </c>
      <c r="I125" s="284">
        <f t="shared" si="19"/>
        <v>0</v>
      </c>
      <c r="J125" s="284">
        <f t="shared" si="25"/>
        <v>0</v>
      </c>
      <c r="K125" s="283">
        <v>0.35</v>
      </c>
      <c r="L125" s="285">
        <f t="shared" si="20"/>
        <v>0</v>
      </c>
      <c r="M125" s="285">
        <f t="shared" si="21"/>
        <v>0.35</v>
      </c>
      <c r="N125" s="285">
        <f t="shared" si="22"/>
        <v>0</v>
      </c>
      <c r="O125" s="416">
        <f t="shared" si="23"/>
        <v>0</v>
      </c>
      <c r="P125" s="417">
        <f t="shared" si="24"/>
        <v>7936.2499999999991</v>
      </c>
      <c r="Q125" s="441"/>
    </row>
    <row r="126" spans="1:17" s="417" customFormat="1" ht="14.25" customHeight="1">
      <c r="A126" s="167">
        <v>118</v>
      </c>
      <c r="B126" s="409">
        <v>22675</v>
      </c>
      <c r="C126" s="20" t="str">
        <f>VLOOKUP(A126,'JUNE (물량흐름)'!$A$13:$C$502,2,0)</f>
        <v>ALFANI</v>
      </c>
      <c r="D126" s="282">
        <f>VLOOKUP(A126,'JUNE (물량흐름)'!$A$13:$C$502,3,0)</f>
        <v>100003581</v>
      </c>
      <c r="E126" s="6">
        <f>VLOOKUP(D126,'JUNE (물량흐름)'!$C$13:$W$502,21,0)</f>
        <v>0</v>
      </c>
      <c r="F126" s="6">
        <f t="shared" si="17"/>
        <v>0</v>
      </c>
      <c r="G126" s="6">
        <f>ROUND(SUMIF('In-out-bal products (155)(완성제품)'!$B$12:$B$493,'Sales profit (스타일 별 매출이익)'!D126,'In-out-bal products (155)(완성제품)'!$X$12:$X$493) + SUMIF('In-out-bal products (155)(완성제품)'!$B$12:$B$493,'Sales profit (스타일 별 매출이익)'!D126,'In-out-bal products (155)(완성제품)'!$AA$12:$AA$493),0)</f>
        <v>0</v>
      </c>
      <c r="H126" s="283">
        <f t="shared" si="18"/>
        <v>0</v>
      </c>
      <c r="I126" s="284">
        <f t="shared" si="19"/>
        <v>0</v>
      </c>
      <c r="J126" s="284">
        <f t="shared" si="25"/>
        <v>0</v>
      </c>
      <c r="K126" s="283">
        <v>3.1</v>
      </c>
      <c r="L126" s="285">
        <f t="shared" si="20"/>
        <v>0</v>
      </c>
      <c r="M126" s="285">
        <f t="shared" si="21"/>
        <v>3.1</v>
      </c>
      <c r="N126" s="285">
        <f t="shared" si="22"/>
        <v>0</v>
      </c>
      <c r="O126" s="416">
        <f t="shared" si="23"/>
        <v>0</v>
      </c>
      <c r="P126" s="417">
        <f t="shared" si="24"/>
        <v>70292.5</v>
      </c>
      <c r="Q126" s="441"/>
    </row>
    <row r="127" spans="1:17" s="417" customFormat="1" ht="14.25" customHeight="1">
      <c r="A127" s="167">
        <v>119</v>
      </c>
      <c r="B127" s="409">
        <v>22675</v>
      </c>
      <c r="C127" s="20" t="str">
        <f>VLOOKUP(A127,'JUNE (물량흐름)'!$A$13:$C$502,2,0)</f>
        <v>ALFANI</v>
      </c>
      <c r="D127" s="282">
        <f>VLOOKUP(A127,'JUNE (물량흐름)'!$A$13:$C$502,3,0)</f>
        <v>100003599</v>
      </c>
      <c r="E127" s="6">
        <f>VLOOKUP(D127,'JUNE (물량흐름)'!$C$13:$W$502,21,0)</f>
        <v>0</v>
      </c>
      <c r="F127" s="6">
        <f t="shared" si="17"/>
        <v>0</v>
      </c>
      <c r="G127" s="6">
        <f>ROUND(SUMIF('In-out-bal products (155)(완성제품)'!$B$12:$B$493,'Sales profit (스타일 별 매출이익)'!D127,'In-out-bal products (155)(완성제품)'!$X$12:$X$493) + SUMIF('In-out-bal products (155)(완성제품)'!$B$12:$B$493,'Sales profit (스타일 별 매출이익)'!D127,'In-out-bal products (155)(완성제품)'!$AA$12:$AA$493),0)</f>
        <v>0</v>
      </c>
      <c r="H127" s="283">
        <f t="shared" si="18"/>
        <v>0</v>
      </c>
      <c r="I127" s="284">
        <f t="shared" si="19"/>
        <v>0</v>
      </c>
      <c r="J127" s="284">
        <f t="shared" si="25"/>
        <v>0</v>
      </c>
      <c r="K127" s="283">
        <v>0.36</v>
      </c>
      <c r="L127" s="285">
        <f t="shared" si="20"/>
        <v>0</v>
      </c>
      <c r="M127" s="285">
        <f t="shared" si="21"/>
        <v>0.36</v>
      </c>
      <c r="N127" s="285">
        <f t="shared" si="22"/>
        <v>0</v>
      </c>
      <c r="O127" s="416">
        <f t="shared" si="23"/>
        <v>0</v>
      </c>
      <c r="P127" s="417">
        <f t="shared" si="24"/>
        <v>8163</v>
      </c>
      <c r="Q127" s="441"/>
    </row>
    <row r="128" spans="1:17" s="417" customFormat="1" ht="14.25" customHeight="1">
      <c r="A128" s="167">
        <v>120</v>
      </c>
      <c r="B128" s="409">
        <v>22675</v>
      </c>
      <c r="C128" s="20" t="str">
        <f>VLOOKUP(A128,'JUNE (물량흐름)'!$A$13:$C$502,2,0)</f>
        <v>ALFANI</v>
      </c>
      <c r="D128" s="282">
        <f>VLOOKUP(A128,'JUNE (물량흐름)'!$A$13:$C$502,3,0)</f>
        <v>100016414</v>
      </c>
      <c r="E128" s="6">
        <f>VLOOKUP(D128,'JUNE (물량흐름)'!$C$13:$W$502,21,0)</f>
        <v>0</v>
      </c>
      <c r="F128" s="6">
        <f t="shared" si="17"/>
        <v>0</v>
      </c>
      <c r="G128" s="6">
        <f>ROUND(SUMIF('In-out-bal products (155)(완성제품)'!$B$12:$B$493,'Sales profit (스타일 별 매출이익)'!D128,'In-out-bal products (155)(완성제품)'!$X$12:$X$493) + SUMIF('In-out-bal products (155)(완성제품)'!$B$12:$B$493,'Sales profit (스타일 별 매출이익)'!D128,'In-out-bal products (155)(완성제품)'!$AA$12:$AA$493),0)</f>
        <v>0</v>
      </c>
      <c r="H128" s="283">
        <f t="shared" si="18"/>
        <v>0</v>
      </c>
      <c r="I128" s="284">
        <f t="shared" si="19"/>
        <v>0</v>
      </c>
      <c r="J128" s="284">
        <f t="shared" si="25"/>
        <v>0</v>
      </c>
      <c r="K128" s="283">
        <v>0.35</v>
      </c>
      <c r="L128" s="285">
        <f t="shared" si="20"/>
        <v>0</v>
      </c>
      <c r="M128" s="285">
        <f t="shared" si="21"/>
        <v>0.35</v>
      </c>
      <c r="N128" s="285">
        <f t="shared" si="22"/>
        <v>0</v>
      </c>
      <c r="O128" s="416">
        <f t="shared" si="23"/>
        <v>0</v>
      </c>
      <c r="P128" s="417">
        <f t="shared" si="24"/>
        <v>7936.2499999999991</v>
      </c>
      <c r="Q128" s="441"/>
    </row>
    <row r="129" spans="1:17" s="417" customFormat="1" ht="14.25" customHeight="1">
      <c r="A129" s="167">
        <v>121</v>
      </c>
      <c r="B129" s="409">
        <v>22675</v>
      </c>
      <c r="C129" s="20" t="str">
        <f>VLOOKUP(A129,'JUNE (물량흐름)'!$A$13:$C$502,2,0)</f>
        <v>ALFANI</v>
      </c>
      <c r="D129" s="282">
        <f>VLOOKUP(A129,'JUNE (물량흐름)'!$A$13:$C$502,3,0)</f>
        <v>69216</v>
      </c>
      <c r="E129" s="6">
        <f>VLOOKUP(D129,'JUNE (물량흐름)'!$C$13:$W$502,21,0)</f>
        <v>0</v>
      </c>
      <c r="F129" s="6">
        <f t="shared" si="17"/>
        <v>0</v>
      </c>
      <c r="G129" s="6">
        <f>ROUND(SUMIF('In-out-bal products (155)(완성제품)'!$B$12:$B$493,'Sales profit (스타일 별 매출이익)'!D129,'In-out-bal products (155)(완성제품)'!$X$12:$X$493) + SUMIF('In-out-bal products (155)(완성제품)'!$B$12:$B$493,'Sales profit (스타일 별 매출이익)'!D129,'In-out-bal products (155)(완성제품)'!$AA$12:$AA$493),0)</f>
        <v>0</v>
      </c>
      <c r="H129" s="283">
        <f t="shared" si="18"/>
        <v>0</v>
      </c>
      <c r="I129" s="284">
        <f t="shared" si="19"/>
        <v>0</v>
      </c>
      <c r="J129" s="284">
        <f t="shared" si="25"/>
        <v>0</v>
      </c>
      <c r="K129" s="283">
        <v>0.35</v>
      </c>
      <c r="L129" s="285">
        <f t="shared" si="20"/>
        <v>0</v>
      </c>
      <c r="M129" s="285">
        <f t="shared" si="21"/>
        <v>0.35</v>
      </c>
      <c r="N129" s="285">
        <f t="shared" si="22"/>
        <v>0</v>
      </c>
      <c r="O129" s="416">
        <f t="shared" si="23"/>
        <v>0</v>
      </c>
      <c r="P129" s="417">
        <f t="shared" si="24"/>
        <v>7936.2499999999991</v>
      </c>
      <c r="Q129" s="441"/>
    </row>
    <row r="130" spans="1:17" s="417" customFormat="1" ht="14.25" customHeight="1">
      <c r="A130" s="167">
        <v>123</v>
      </c>
      <c r="B130" s="409">
        <v>22675</v>
      </c>
      <c r="C130" s="20" t="str">
        <f>VLOOKUP(A130,'JUNE (물량흐름)'!$A$13:$C$502,2,0)</f>
        <v>ANN TAYLOR</v>
      </c>
      <c r="D130" s="282">
        <f>VLOOKUP(A130,'JUNE (물량흐름)'!$A$13:$C$502,3,0)</f>
        <v>451230</v>
      </c>
      <c r="E130" s="6">
        <f>VLOOKUP(D130,'JUNE (물량흐름)'!$C$13:$W$502,21,0)</f>
        <v>0</v>
      </c>
      <c r="F130" s="6">
        <f t="shared" si="17"/>
        <v>0</v>
      </c>
      <c r="G130" s="6">
        <f>ROUND(SUMIF('In-out-bal products (155)(완성제품)'!$B$12:$B$493,'Sales profit (스타일 별 매출이익)'!D130,'In-out-bal products (155)(완성제품)'!$X$12:$X$493) + SUMIF('In-out-bal products (155)(완성제품)'!$B$12:$B$493,'Sales profit (스타일 별 매출이익)'!D130,'In-out-bal products (155)(완성제품)'!$AA$12:$AA$493),0)</f>
        <v>0</v>
      </c>
      <c r="H130" s="283">
        <f t="shared" si="18"/>
        <v>0</v>
      </c>
      <c r="I130" s="284">
        <f t="shared" si="19"/>
        <v>0</v>
      </c>
      <c r="J130" s="284">
        <f t="shared" si="25"/>
        <v>0</v>
      </c>
      <c r="K130" s="283">
        <v>0.35</v>
      </c>
      <c r="L130" s="285">
        <f t="shared" si="20"/>
        <v>0</v>
      </c>
      <c r="M130" s="285">
        <f t="shared" si="21"/>
        <v>0.35</v>
      </c>
      <c r="N130" s="285">
        <f t="shared" si="22"/>
        <v>0</v>
      </c>
      <c r="O130" s="416">
        <f t="shared" si="23"/>
        <v>0</v>
      </c>
      <c r="P130" s="417">
        <f t="shared" si="24"/>
        <v>7936.2499999999991</v>
      </c>
      <c r="Q130" s="441"/>
    </row>
    <row r="131" spans="1:17" s="417" customFormat="1" ht="14.25" customHeight="1">
      <c r="A131" s="167">
        <v>124</v>
      </c>
      <c r="B131" s="409">
        <v>22675</v>
      </c>
      <c r="C131" s="20" t="str">
        <f>VLOOKUP(A131,'JUNE (물량흐름)'!$A$13:$C$502,2,0)</f>
        <v>ANN TAYLOR</v>
      </c>
      <c r="D131" s="282">
        <f>VLOOKUP(A131,'JUNE (물량흐름)'!$A$13:$C$502,3,0)</f>
        <v>451311</v>
      </c>
      <c r="E131" s="6">
        <f>VLOOKUP(D131,'JUNE (물량흐름)'!$C$13:$W$502,21,0)</f>
        <v>0</v>
      </c>
      <c r="F131" s="6">
        <f t="shared" si="17"/>
        <v>0</v>
      </c>
      <c r="G131" s="6">
        <f>ROUND(SUMIF('In-out-bal products (155)(완성제품)'!$B$12:$B$493,'Sales profit (스타일 별 매출이익)'!D131,'In-out-bal products (155)(완성제품)'!$X$12:$X$493) + SUMIF('In-out-bal products (155)(완성제품)'!$B$12:$B$493,'Sales profit (스타일 별 매출이익)'!D131,'In-out-bal products (155)(완성제품)'!$AA$12:$AA$493),0)</f>
        <v>0</v>
      </c>
      <c r="H131" s="283">
        <f t="shared" si="18"/>
        <v>0</v>
      </c>
      <c r="I131" s="284">
        <f t="shared" si="19"/>
        <v>0</v>
      </c>
      <c r="J131" s="284">
        <f t="shared" si="25"/>
        <v>0</v>
      </c>
      <c r="K131" s="283">
        <v>0.36</v>
      </c>
      <c r="L131" s="285">
        <f t="shared" si="20"/>
        <v>0</v>
      </c>
      <c r="M131" s="285">
        <f t="shared" si="21"/>
        <v>0.36</v>
      </c>
      <c r="N131" s="285">
        <f t="shared" si="22"/>
        <v>0</v>
      </c>
      <c r="O131" s="416">
        <f t="shared" si="23"/>
        <v>0</v>
      </c>
      <c r="P131" s="417">
        <f t="shared" si="24"/>
        <v>8163</v>
      </c>
      <c r="Q131" s="441"/>
    </row>
    <row r="132" spans="1:17" s="417" customFormat="1" ht="14.25" customHeight="1">
      <c r="A132" s="167">
        <v>125</v>
      </c>
      <c r="B132" s="409">
        <v>22675</v>
      </c>
      <c r="C132" s="20" t="str">
        <f>VLOOKUP(A132,'JUNE (물량흐름)'!$A$13:$C$502,2,0)</f>
        <v>ANN TAYLOR</v>
      </c>
      <c r="D132" s="282">
        <f>VLOOKUP(A132,'JUNE (물량흐름)'!$A$13:$C$502,3,0)</f>
        <v>451365</v>
      </c>
      <c r="E132" s="6">
        <f>VLOOKUP(D132,'JUNE (물량흐름)'!$C$13:$W$502,21,0)</f>
        <v>0</v>
      </c>
      <c r="F132" s="6">
        <f t="shared" si="17"/>
        <v>0</v>
      </c>
      <c r="G132" s="6">
        <f>ROUND(SUMIF('In-out-bal products (155)(완성제품)'!$B$12:$B$493,'Sales profit (스타일 별 매출이익)'!D132,'In-out-bal products (155)(완성제품)'!$X$12:$X$493) + SUMIF('In-out-bal products (155)(완성제품)'!$B$12:$B$493,'Sales profit (스타일 별 매출이익)'!D132,'In-out-bal products (155)(완성제품)'!$AA$12:$AA$493),0)</f>
        <v>0</v>
      </c>
      <c r="H132" s="283">
        <f t="shared" si="18"/>
        <v>0</v>
      </c>
      <c r="I132" s="284">
        <f t="shared" si="19"/>
        <v>0</v>
      </c>
      <c r="J132" s="284">
        <f t="shared" si="25"/>
        <v>0</v>
      </c>
      <c r="K132" s="283">
        <v>0.35</v>
      </c>
      <c r="L132" s="285">
        <f t="shared" si="20"/>
        <v>0</v>
      </c>
      <c r="M132" s="285">
        <f t="shared" si="21"/>
        <v>0.35</v>
      </c>
      <c r="N132" s="285">
        <f t="shared" si="22"/>
        <v>0</v>
      </c>
      <c r="O132" s="416">
        <f t="shared" si="23"/>
        <v>0</v>
      </c>
      <c r="P132" s="417">
        <f t="shared" si="24"/>
        <v>7936.2499999999991</v>
      </c>
      <c r="Q132" s="441"/>
    </row>
    <row r="133" spans="1:17" s="417" customFormat="1" ht="14.25" customHeight="1">
      <c r="A133" s="167">
        <v>126</v>
      </c>
      <c r="B133" s="409">
        <v>22675</v>
      </c>
      <c r="C133" s="20" t="str">
        <f>VLOOKUP(A133,'JUNE (물량흐름)'!$A$13:$C$502,2,0)</f>
        <v>ANN TAYLOR</v>
      </c>
      <c r="D133" s="282">
        <f>VLOOKUP(A133,'JUNE (물량흐름)'!$A$13:$C$502,3,0)</f>
        <v>453089</v>
      </c>
      <c r="E133" s="6">
        <f>VLOOKUP(D133,'JUNE (물량흐름)'!$C$13:$W$502,21,0)</f>
        <v>0</v>
      </c>
      <c r="F133" s="6">
        <f t="shared" si="17"/>
        <v>0</v>
      </c>
      <c r="G133" s="6">
        <f>ROUND(SUMIF('In-out-bal products (155)(완성제품)'!$B$12:$B$493,'Sales profit (스타일 별 매출이익)'!D133,'In-out-bal products (155)(완성제품)'!$X$12:$X$493) + SUMIF('In-out-bal products (155)(완성제품)'!$B$12:$B$493,'Sales profit (스타일 별 매출이익)'!D133,'In-out-bal products (155)(완성제품)'!$AA$12:$AA$493),0)</f>
        <v>0</v>
      </c>
      <c r="H133" s="283">
        <f t="shared" si="18"/>
        <v>0</v>
      </c>
      <c r="I133" s="284">
        <f t="shared" si="19"/>
        <v>0</v>
      </c>
      <c r="J133" s="284">
        <f t="shared" si="25"/>
        <v>0</v>
      </c>
      <c r="K133" s="283">
        <v>0.35</v>
      </c>
      <c r="L133" s="285">
        <f t="shared" si="20"/>
        <v>0</v>
      </c>
      <c r="M133" s="285">
        <f t="shared" si="21"/>
        <v>0.35</v>
      </c>
      <c r="N133" s="285">
        <f t="shared" si="22"/>
        <v>0</v>
      </c>
      <c r="O133" s="416">
        <f t="shared" si="23"/>
        <v>0</v>
      </c>
      <c r="P133" s="417">
        <f t="shared" si="24"/>
        <v>7936.2499999999991</v>
      </c>
      <c r="Q133" s="441"/>
    </row>
    <row r="134" spans="1:17" s="417" customFormat="1" ht="14.25" customHeight="1">
      <c r="A134" s="167">
        <v>127</v>
      </c>
      <c r="B134" s="409">
        <v>22675</v>
      </c>
      <c r="C134" s="20" t="str">
        <f>VLOOKUP(A134,'JUNE (물량흐름)'!$A$13:$C$502,2,0)</f>
        <v>ANN TAYLOR</v>
      </c>
      <c r="D134" s="282" t="str">
        <f>VLOOKUP(A134,'JUNE (물량흐름)'!$A$13:$C$502,3,0)</f>
        <v>453289(456581)</v>
      </c>
      <c r="E134" s="6">
        <f>VLOOKUP(D134,'JUNE (물량흐름)'!$C$13:$W$502,21,0)</f>
        <v>0</v>
      </c>
      <c r="F134" s="6">
        <f t="shared" si="17"/>
        <v>0</v>
      </c>
      <c r="G134" s="6">
        <f>ROUND(SUMIF('In-out-bal products (155)(완성제품)'!$B$12:$B$493,'Sales profit (스타일 별 매출이익)'!D134,'In-out-bal products (155)(완성제품)'!$X$12:$X$493) + SUMIF('In-out-bal products (155)(완성제품)'!$B$12:$B$493,'Sales profit (스타일 별 매출이익)'!D134,'In-out-bal products (155)(완성제품)'!$AA$12:$AA$493),0)</f>
        <v>0</v>
      </c>
      <c r="H134" s="283">
        <f t="shared" si="18"/>
        <v>0</v>
      </c>
      <c r="I134" s="284">
        <f t="shared" si="19"/>
        <v>0</v>
      </c>
      <c r="J134" s="284">
        <f t="shared" si="25"/>
        <v>0</v>
      </c>
      <c r="K134" s="283">
        <v>0.6</v>
      </c>
      <c r="L134" s="285">
        <f t="shared" si="20"/>
        <v>0</v>
      </c>
      <c r="M134" s="285">
        <f t="shared" si="21"/>
        <v>0.6</v>
      </c>
      <c r="N134" s="285">
        <f t="shared" si="22"/>
        <v>0</v>
      </c>
      <c r="O134" s="416">
        <f t="shared" si="23"/>
        <v>0</v>
      </c>
      <c r="P134" s="417">
        <f t="shared" si="24"/>
        <v>13605</v>
      </c>
      <c r="Q134" s="441"/>
    </row>
    <row r="135" spans="1:17" s="417" customFormat="1" ht="14.25" customHeight="1">
      <c r="A135" s="167">
        <v>128</v>
      </c>
      <c r="B135" s="409">
        <v>22675</v>
      </c>
      <c r="C135" s="20" t="str">
        <f>VLOOKUP(A135,'JUNE (물량흐름)'!$A$13:$C$502,2,0)</f>
        <v>ANN TAYLOR</v>
      </c>
      <c r="D135" s="282">
        <f>VLOOKUP(A135,'JUNE (물량흐름)'!$A$13:$C$502,3,0)</f>
        <v>453590</v>
      </c>
      <c r="E135" s="6">
        <f>VLOOKUP(D135,'JUNE (물량흐름)'!$C$13:$W$502,21,0)</f>
        <v>0</v>
      </c>
      <c r="F135" s="6">
        <f t="shared" si="17"/>
        <v>0</v>
      </c>
      <c r="G135" s="6">
        <f>ROUND(SUMIF('In-out-bal products (155)(완성제품)'!$B$12:$B$493,'Sales profit (스타일 별 매출이익)'!D135,'In-out-bal products (155)(완성제품)'!$X$12:$X$493) + SUMIF('In-out-bal products (155)(완성제품)'!$B$12:$B$493,'Sales profit (스타일 별 매출이익)'!D135,'In-out-bal products (155)(완성제품)'!$AA$12:$AA$493),0)</f>
        <v>0</v>
      </c>
      <c r="H135" s="283">
        <f t="shared" si="18"/>
        <v>0</v>
      </c>
      <c r="I135" s="284">
        <f t="shared" si="19"/>
        <v>0</v>
      </c>
      <c r="J135" s="284">
        <f t="shared" si="25"/>
        <v>0</v>
      </c>
      <c r="K135" s="283">
        <v>0.36</v>
      </c>
      <c r="L135" s="285">
        <f t="shared" si="20"/>
        <v>0</v>
      </c>
      <c r="M135" s="285">
        <f t="shared" si="21"/>
        <v>0.36</v>
      </c>
      <c r="N135" s="285">
        <f t="shared" si="22"/>
        <v>0</v>
      </c>
      <c r="O135" s="416">
        <f t="shared" si="23"/>
        <v>0</v>
      </c>
      <c r="P135" s="417">
        <f t="shared" si="24"/>
        <v>8163</v>
      </c>
      <c r="Q135" s="441"/>
    </row>
    <row r="136" spans="1:17" s="417" customFormat="1" ht="14.25" customHeight="1">
      <c r="A136" s="167">
        <v>129</v>
      </c>
      <c r="B136" s="409">
        <v>22675</v>
      </c>
      <c r="C136" s="20" t="str">
        <f>VLOOKUP(A136,'JUNE (물량흐름)'!$A$13:$C$502,2,0)</f>
        <v>ANN TAYLOR</v>
      </c>
      <c r="D136" s="282" t="str">
        <f>VLOOKUP(A136,'JUNE (물량흐름)'!$A$13:$C$502,3,0)</f>
        <v>453595(456582)</v>
      </c>
      <c r="E136" s="6">
        <f>VLOOKUP(D136,'JUNE (물량흐름)'!$C$13:$W$502,21,0)</f>
        <v>0</v>
      </c>
      <c r="F136" s="6">
        <f t="shared" si="17"/>
        <v>0</v>
      </c>
      <c r="G136" s="6">
        <f>ROUND(SUMIF('In-out-bal products (155)(완성제품)'!$B$12:$B$493,'Sales profit (스타일 별 매출이익)'!D136,'In-out-bal products (155)(완성제품)'!$X$12:$X$493) + SUMIF('In-out-bal products (155)(완성제품)'!$B$12:$B$493,'Sales profit (스타일 별 매출이익)'!D136,'In-out-bal products (155)(완성제품)'!$AA$12:$AA$493),0)</f>
        <v>0</v>
      </c>
      <c r="H136" s="283">
        <f t="shared" si="18"/>
        <v>0</v>
      </c>
      <c r="I136" s="284">
        <f t="shared" si="19"/>
        <v>0</v>
      </c>
      <c r="J136" s="284">
        <f t="shared" ref="J136:J199" si="26">IFERROR(F136*$J$492/$F$492,0)</f>
        <v>0</v>
      </c>
      <c r="K136" s="283">
        <v>0.35</v>
      </c>
      <c r="L136" s="285">
        <f t="shared" si="20"/>
        <v>0</v>
      </c>
      <c r="M136" s="285">
        <f t="shared" si="21"/>
        <v>0.35</v>
      </c>
      <c r="N136" s="285">
        <f t="shared" si="22"/>
        <v>0</v>
      </c>
      <c r="O136" s="416">
        <f t="shared" si="23"/>
        <v>0</v>
      </c>
      <c r="P136" s="417">
        <f t="shared" si="24"/>
        <v>7936.2499999999991</v>
      </c>
      <c r="Q136" s="441"/>
    </row>
    <row r="137" spans="1:17" s="417" customFormat="1" ht="14.25" customHeight="1">
      <c r="A137" s="167">
        <v>130</v>
      </c>
      <c r="B137" s="409">
        <v>22675</v>
      </c>
      <c r="C137" s="20" t="str">
        <f>VLOOKUP(A137,'JUNE (물량흐름)'!$A$13:$C$502,2,0)</f>
        <v>ANN TAYLOR</v>
      </c>
      <c r="D137" s="282" t="str">
        <f>VLOOKUP(A137,'JUNE (물량흐름)'!$A$13:$C$502,3,0)</f>
        <v>456729(456854)</v>
      </c>
      <c r="E137" s="6">
        <f>VLOOKUP(D137,'JUNE (물량흐름)'!$C$13:$W$502,21,0)</f>
        <v>0</v>
      </c>
      <c r="F137" s="6">
        <f t="shared" ref="F137:F200" si="27">IFERROR(ROUND(E137*K137*B137,0),0)</f>
        <v>0</v>
      </c>
      <c r="G137" s="6">
        <f>ROUND(SUMIF('In-out-bal products (155)(완성제품)'!$B$12:$B$493,'Sales profit (스타일 별 매출이익)'!D137,'In-out-bal products (155)(완성제품)'!$X$12:$X$493) + SUMIF('In-out-bal products (155)(완성제품)'!$B$12:$B$493,'Sales profit (스타일 별 매출이익)'!D137,'In-out-bal products (155)(완성제품)'!$AA$12:$AA$493),0)</f>
        <v>0</v>
      </c>
      <c r="H137" s="283">
        <f t="shared" ref="H137:H200" si="28">IFERROR(I137/B137,0)</f>
        <v>0</v>
      </c>
      <c r="I137" s="284">
        <f t="shared" ref="I137:I200" si="29">IFERROR((F137-G137)/E137,0)</f>
        <v>0</v>
      </c>
      <c r="J137" s="284">
        <f t="shared" si="26"/>
        <v>0</v>
      </c>
      <c r="K137" s="283">
        <v>0.36</v>
      </c>
      <c r="L137" s="285">
        <f t="shared" ref="L137:L200" si="30">IFERROR(G137/E137/B137,0)</f>
        <v>0</v>
      </c>
      <c r="M137" s="285">
        <f t="shared" ref="M137:M200" si="31">K137-L137-N137</f>
        <v>0.36</v>
      </c>
      <c r="N137" s="285">
        <f t="shared" ref="N137:N200" si="32">IFERROR(J137/E137/B137,0)</f>
        <v>0</v>
      </c>
      <c r="O137" s="416">
        <f t="shared" ref="O137:O200" si="33">ROUND(K137*E137,2)</f>
        <v>0</v>
      </c>
      <c r="P137" s="417">
        <f t="shared" ref="P137:P200" si="34">+B137*K137</f>
        <v>8163</v>
      </c>
      <c r="Q137" s="441"/>
    </row>
    <row r="138" spans="1:17" s="417" customFormat="1" ht="14.25" customHeight="1">
      <c r="A138" s="167">
        <v>131</v>
      </c>
      <c r="B138" s="409">
        <v>22675</v>
      </c>
      <c r="C138" s="20" t="str">
        <f>VLOOKUP(A138,'JUNE (물량흐름)'!$A$13:$C$502,2,0)</f>
        <v>ANN TAYLOR</v>
      </c>
      <c r="D138" s="282">
        <f>VLOOKUP(A138,'JUNE (물량흐름)'!$A$13:$C$502,3,0)</f>
        <v>457839</v>
      </c>
      <c r="E138" s="6">
        <f>VLOOKUP(D138,'JUNE (물량흐름)'!$C$13:$W$502,21,0)</f>
        <v>0</v>
      </c>
      <c r="F138" s="6">
        <f t="shared" si="27"/>
        <v>0</v>
      </c>
      <c r="G138" s="6">
        <f>ROUND(SUMIF('In-out-bal products (155)(완성제품)'!$B$12:$B$493,'Sales profit (스타일 별 매출이익)'!D138,'In-out-bal products (155)(완성제품)'!$X$12:$X$493) + SUMIF('In-out-bal products (155)(완성제품)'!$B$12:$B$493,'Sales profit (스타일 별 매출이익)'!D138,'In-out-bal products (155)(완성제품)'!$AA$12:$AA$493),0)</f>
        <v>0</v>
      </c>
      <c r="H138" s="283">
        <f t="shared" si="28"/>
        <v>0</v>
      </c>
      <c r="I138" s="284">
        <f t="shared" si="29"/>
        <v>0</v>
      </c>
      <c r="J138" s="284">
        <f t="shared" si="26"/>
        <v>0</v>
      </c>
      <c r="K138" s="283">
        <v>0.35</v>
      </c>
      <c r="L138" s="285">
        <f t="shared" si="30"/>
        <v>0</v>
      </c>
      <c r="M138" s="285">
        <f t="shared" si="31"/>
        <v>0.35</v>
      </c>
      <c r="N138" s="285">
        <f t="shared" si="32"/>
        <v>0</v>
      </c>
      <c r="O138" s="416">
        <f t="shared" si="33"/>
        <v>0</v>
      </c>
      <c r="P138" s="417">
        <f t="shared" si="34"/>
        <v>7936.2499999999991</v>
      </c>
      <c r="Q138" s="441"/>
    </row>
    <row r="139" spans="1:17" s="417" customFormat="1" ht="14.25" customHeight="1">
      <c r="A139" s="167">
        <v>132</v>
      </c>
      <c r="B139" s="409">
        <v>22675</v>
      </c>
      <c r="C139" s="20" t="str">
        <f>VLOOKUP(A139,'JUNE (물량흐름)'!$A$13:$C$502,2,0)</f>
        <v>ANN TAYLOR</v>
      </c>
      <c r="D139" s="282">
        <f>VLOOKUP(A139,'JUNE (물량흐름)'!$A$13:$C$502,3,0)</f>
        <v>457840</v>
      </c>
      <c r="E139" s="6">
        <f>VLOOKUP(D139,'JUNE (물량흐름)'!$C$13:$W$502,21,0)</f>
        <v>0</v>
      </c>
      <c r="F139" s="6">
        <f t="shared" si="27"/>
        <v>0</v>
      </c>
      <c r="G139" s="6">
        <f>ROUND(SUMIF('In-out-bal products (155)(완성제품)'!$B$12:$B$493,'Sales profit (스타일 별 매출이익)'!D139,'In-out-bal products (155)(완성제품)'!$X$12:$X$493) + SUMIF('In-out-bal products (155)(완성제품)'!$B$12:$B$493,'Sales profit (스타일 별 매출이익)'!D139,'In-out-bal products (155)(완성제품)'!$AA$12:$AA$493),0)</f>
        <v>0</v>
      </c>
      <c r="H139" s="283">
        <f t="shared" si="28"/>
        <v>0</v>
      </c>
      <c r="I139" s="284">
        <f t="shared" si="29"/>
        <v>0</v>
      </c>
      <c r="J139" s="284">
        <f t="shared" si="26"/>
        <v>0</v>
      </c>
      <c r="K139" s="283">
        <v>0.35</v>
      </c>
      <c r="L139" s="285">
        <f t="shared" si="30"/>
        <v>0</v>
      </c>
      <c r="M139" s="285">
        <f t="shared" si="31"/>
        <v>0.35</v>
      </c>
      <c r="N139" s="285">
        <f t="shared" si="32"/>
        <v>0</v>
      </c>
      <c r="O139" s="416">
        <f t="shared" si="33"/>
        <v>0</v>
      </c>
      <c r="P139" s="417">
        <f t="shared" si="34"/>
        <v>7936.2499999999991</v>
      </c>
      <c r="Q139" s="441"/>
    </row>
    <row r="140" spans="1:17" s="417" customFormat="1" ht="14.25" customHeight="1">
      <c r="A140" s="167">
        <v>133</v>
      </c>
      <c r="B140" s="409">
        <v>22675</v>
      </c>
      <c r="C140" s="20" t="str">
        <f>VLOOKUP(A140,'JUNE (물량흐름)'!$A$13:$C$502,2,0)</f>
        <v>ANN TAYLOR</v>
      </c>
      <c r="D140" s="282">
        <f>VLOOKUP(A140,'JUNE (물량흐름)'!$A$13:$C$502,3,0)</f>
        <v>457841</v>
      </c>
      <c r="E140" s="6">
        <f>VLOOKUP(D140,'JUNE (물량흐름)'!$C$13:$W$502,21,0)</f>
        <v>0</v>
      </c>
      <c r="F140" s="6">
        <f t="shared" si="27"/>
        <v>0</v>
      </c>
      <c r="G140" s="6">
        <f>ROUND(SUMIF('In-out-bal products (155)(완성제품)'!$B$12:$B$493,'Sales profit (스타일 별 매출이익)'!D140,'In-out-bal products (155)(완성제품)'!$X$12:$X$493) + SUMIF('In-out-bal products (155)(완성제품)'!$B$12:$B$493,'Sales profit (스타일 별 매출이익)'!D140,'In-out-bal products (155)(완성제품)'!$AA$12:$AA$493),0)</f>
        <v>0</v>
      </c>
      <c r="H140" s="283">
        <f t="shared" si="28"/>
        <v>0</v>
      </c>
      <c r="I140" s="284">
        <f t="shared" si="29"/>
        <v>0</v>
      </c>
      <c r="J140" s="284">
        <f t="shared" si="26"/>
        <v>0</v>
      </c>
      <c r="K140" s="283">
        <v>1.85</v>
      </c>
      <c r="L140" s="285">
        <f t="shared" si="30"/>
        <v>0</v>
      </c>
      <c r="M140" s="285">
        <f t="shared" si="31"/>
        <v>1.85</v>
      </c>
      <c r="N140" s="285">
        <f t="shared" si="32"/>
        <v>0</v>
      </c>
      <c r="O140" s="416">
        <f t="shared" si="33"/>
        <v>0</v>
      </c>
      <c r="P140" s="417">
        <f t="shared" si="34"/>
        <v>41948.75</v>
      </c>
      <c r="Q140" s="441"/>
    </row>
    <row r="141" spans="1:17" s="417" customFormat="1" ht="14.25" customHeight="1">
      <c r="A141" s="167">
        <v>134</v>
      </c>
      <c r="B141" s="409">
        <v>22675</v>
      </c>
      <c r="C141" s="20" t="str">
        <f>VLOOKUP(A141,'JUNE (물량흐름)'!$A$13:$C$502,2,0)</f>
        <v>ANN TAYLOR</v>
      </c>
      <c r="D141" s="282">
        <f>VLOOKUP(A141,'JUNE (물량흐름)'!$A$13:$C$502,3,0)</f>
        <v>457842</v>
      </c>
      <c r="E141" s="6">
        <f>VLOOKUP(D141,'JUNE (물량흐름)'!$C$13:$W$502,21,0)</f>
        <v>0</v>
      </c>
      <c r="F141" s="6">
        <f t="shared" si="27"/>
        <v>0</v>
      </c>
      <c r="G141" s="6">
        <f>ROUND(SUMIF('In-out-bal products (155)(완성제품)'!$B$12:$B$493,'Sales profit (스타일 별 매출이익)'!D141,'In-out-bal products (155)(완성제품)'!$X$12:$X$493) + SUMIF('In-out-bal products (155)(완성제품)'!$B$12:$B$493,'Sales profit (스타일 별 매출이익)'!D141,'In-out-bal products (155)(완성제품)'!$AA$12:$AA$493),0)</f>
        <v>0</v>
      </c>
      <c r="H141" s="283">
        <f t="shared" si="28"/>
        <v>0</v>
      </c>
      <c r="I141" s="284">
        <f t="shared" si="29"/>
        <v>0</v>
      </c>
      <c r="J141" s="284">
        <f t="shared" si="26"/>
        <v>0</v>
      </c>
      <c r="K141" s="283">
        <v>1.1000000000000001</v>
      </c>
      <c r="L141" s="285">
        <f t="shared" si="30"/>
        <v>0</v>
      </c>
      <c r="M141" s="285">
        <f t="shared" si="31"/>
        <v>1.1000000000000001</v>
      </c>
      <c r="N141" s="285">
        <f t="shared" si="32"/>
        <v>0</v>
      </c>
      <c r="O141" s="416">
        <f t="shared" si="33"/>
        <v>0</v>
      </c>
      <c r="P141" s="417">
        <f t="shared" si="34"/>
        <v>24942.500000000004</v>
      </c>
      <c r="Q141" s="441"/>
    </row>
    <row r="142" spans="1:17" s="417" customFormat="1" ht="14.25" customHeight="1">
      <c r="A142" s="167">
        <v>135</v>
      </c>
      <c r="B142" s="409">
        <v>22675</v>
      </c>
      <c r="C142" s="20" t="str">
        <f>VLOOKUP(A142,'JUNE (물량흐름)'!$A$13:$C$502,2,0)</f>
        <v>ANN TAYLOR</v>
      </c>
      <c r="D142" s="282" t="str">
        <f>VLOOKUP(A142,'JUNE (물량흐름)'!$A$13:$C$502,3,0)</f>
        <v>458244(458839)</v>
      </c>
      <c r="E142" s="6">
        <f>VLOOKUP(D142,'JUNE (물량흐름)'!$C$13:$W$502,21,0)</f>
        <v>0</v>
      </c>
      <c r="F142" s="6">
        <f t="shared" si="27"/>
        <v>0</v>
      </c>
      <c r="G142" s="6">
        <f>ROUND(SUMIF('In-out-bal products (155)(완성제품)'!$B$12:$B$493,'Sales profit (스타일 별 매출이익)'!D142,'In-out-bal products (155)(완성제품)'!$X$12:$X$493) + SUMIF('In-out-bal products (155)(완성제품)'!$B$12:$B$493,'Sales profit (스타일 별 매출이익)'!D142,'In-out-bal products (155)(완성제품)'!$AA$12:$AA$493),0)</f>
        <v>0</v>
      </c>
      <c r="H142" s="283">
        <f t="shared" si="28"/>
        <v>0</v>
      </c>
      <c r="I142" s="284">
        <f t="shared" si="29"/>
        <v>0</v>
      </c>
      <c r="J142" s="284">
        <f t="shared" si="26"/>
        <v>0</v>
      </c>
      <c r="K142" s="283">
        <v>0.35</v>
      </c>
      <c r="L142" s="285">
        <f t="shared" si="30"/>
        <v>0</v>
      </c>
      <c r="M142" s="285">
        <f t="shared" si="31"/>
        <v>0.35</v>
      </c>
      <c r="N142" s="285">
        <f t="shared" si="32"/>
        <v>0</v>
      </c>
      <c r="O142" s="416">
        <f t="shared" si="33"/>
        <v>0</v>
      </c>
      <c r="P142" s="417">
        <f t="shared" si="34"/>
        <v>7936.2499999999991</v>
      </c>
      <c r="Q142" s="441"/>
    </row>
    <row r="143" spans="1:17" s="417" customFormat="1" ht="14.25" customHeight="1">
      <c r="A143" s="167">
        <v>136</v>
      </c>
      <c r="B143" s="409">
        <v>22675</v>
      </c>
      <c r="C143" s="20" t="str">
        <f>VLOOKUP(A143,'JUNE (물량흐름)'!$A$13:$C$502,2,0)</f>
        <v>ANN TAYLOR</v>
      </c>
      <c r="D143" s="282">
        <f>VLOOKUP(A143,'JUNE (물량흐름)'!$A$13:$C$502,3,0)</f>
        <v>458624</v>
      </c>
      <c r="E143" s="6">
        <f>VLOOKUP(D143,'JUNE (물량흐름)'!$C$13:$W$502,21,0)</f>
        <v>0</v>
      </c>
      <c r="F143" s="6">
        <f t="shared" si="27"/>
        <v>0</v>
      </c>
      <c r="G143" s="6">
        <f>ROUND(SUMIF('In-out-bal products (155)(완성제품)'!$B$12:$B$493,'Sales profit (스타일 별 매출이익)'!D143,'In-out-bal products (155)(완성제품)'!$X$12:$X$493) + SUMIF('In-out-bal products (155)(완성제품)'!$B$12:$B$493,'Sales profit (스타일 별 매출이익)'!D143,'In-out-bal products (155)(완성제품)'!$AA$12:$AA$493),0)</f>
        <v>0</v>
      </c>
      <c r="H143" s="283">
        <f t="shared" si="28"/>
        <v>0</v>
      </c>
      <c r="I143" s="284">
        <f t="shared" si="29"/>
        <v>0</v>
      </c>
      <c r="J143" s="284">
        <f t="shared" si="26"/>
        <v>0</v>
      </c>
      <c r="K143" s="283">
        <v>0.35</v>
      </c>
      <c r="L143" s="285">
        <f t="shared" si="30"/>
        <v>0</v>
      </c>
      <c r="M143" s="285">
        <f t="shared" si="31"/>
        <v>0.35</v>
      </c>
      <c r="N143" s="285">
        <f t="shared" si="32"/>
        <v>0</v>
      </c>
      <c r="O143" s="416">
        <f t="shared" si="33"/>
        <v>0</v>
      </c>
      <c r="P143" s="417">
        <f t="shared" si="34"/>
        <v>7936.2499999999991</v>
      </c>
      <c r="Q143" s="441"/>
    </row>
    <row r="144" spans="1:17" s="417" customFormat="1" ht="14.25" customHeight="1">
      <c r="A144" s="167">
        <v>137</v>
      </c>
      <c r="B144" s="409">
        <v>22675</v>
      </c>
      <c r="C144" s="20" t="str">
        <f>VLOOKUP(A144,'JUNE (물량흐름)'!$A$13:$C$502,2,0)</f>
        <v>ANN TAYLOR</v>
      </c>
      <c r="D144" s="282">
        <f>VLOOKUP(A144,'JUNE (물량흐름)'!$A$13:$C$502,3,0)</f>
        <v>458626</v>
      </c>
      <c r="E144" s="6">
        <f>VLOOKUP(D144,'JUNE (물량흐름)'!$C$13:$W$502,21,0)</f>
        <v>0</v>
      </c>
      <c r="F144" s="6">
        <f t="shared" si="27"/>
        <v>0</v>
      </c>
      <c r="G144" s="6">
        <f>ROUND(SUMIF('In-out-bal products (155)(완성제품)'!$B$12:$B$493,'Sales profit (스타일 별 매출이익)'!D144,'In-out-bal products (155)(완성제품)'!$X$12:$X$493) + SUMIF('In-out-bal products (155)(완성제품)'!$B$12:$B$493,'Sales profit (스타일 별 매출이익)'!D144,'In-out-bal products (155)(완성제품)'!$AA$12:$AA$493),0)</f>
        <v>0</v>
      </c>
      <c r="H144" s="283">
        <f t="shared" si="28"/>
        <v>0</v>
      </c>
      <c r="I144" s="284">
        <f t="shared" si="29"/>
        <v>0</v>
      </c>
      <c r="J144" s="284">
        <f t="shared" si="26"/>
        <v>0</v>
      </c>
      <c r="K144" s="283">
        <v>0.35</v>
      </c>
      <c r="L144" s="285">
        <f t="shared" si="30"/>
        <v>0</v>
      </c>
      <c r="M144" s="285">
        <f t="shared" si="31"/>
        <v>0.35</v>
      </c>
      <c r="N144" s="285">
        <f t="shared" si="32"/>
        <v>0</v>
      </c>
      <c r="O144" s="416">
        <f t="shared" si="33"/>
        <v>0</v>
      </c>
      <c r="P144" s="417">
        <f t="shared" si="34"/>
        <v>7936.2499999999991</v>
      </c>
      <c r="Q144" s="441"/>
    </row>
    <row r="145" spans="1:17" s="417" customFormat="1" ht="14.25" customHeight="1">
      <c r="A145" s="167">
        <v>138</v>
      </c>
      <c r="B145" s="409">
        <v>22675</v>
      </c>
      <c r="C145" s="20" t="str">
        <f>VLOOKUP(A145,'JUNE (물량흐름)'!$A$13:$C$502,2,0)</f>
        <v>ANN TAYLOR</v>
      </c>
      <c r="D145" s="282">
        <f>VLOOKUP(A145,'JUNE (물량흐름)'!$A$13:$C$502,3,0)</f>
        <v>459044</v>
      </c>
      <c r="E145" s="6">
        <f>VLOOKUP(D145,'JUNE (물량흐름)'!$C$13:$W$502,21,0)</f>
        <v>0</v>
      </c>
      <c r="F145" s="6">
        <f t="shared" si="27"/>
        <v>0</v>
      </c>
      <c r="G145" s="6">
        <f>ROUND(SUMIF('In-out-bal products (155)(완성제품)'!$B$12:$B$493,'Sales profit (스타일 별 매출이익)'!D145,'In-out-bal products (155)(완성제품)'!$X$12:$X$493) + SUMIF('In-out-bal products (155)(완성제품)'!$B$12:$B$493,'Sales profit (스타일 별 매출이익)'!D145,'In-out-bal products (155)(완성제품)'!$AA$12:$AA$493),0)</f>
        <v>0</v>
      </c>
      <c r="H145" s="283">
        <f t="shared" si="28"/>
        <v>0</v>
      </c>
      <c r="I145" s="284">
        <f t="shared" si="29"/>
        <v>0</v>
      </c>
      <c r="J145" s="284">
        <f t="shared" si="26"/>
        <v>0</v>
      </c>
      <c r="K145" s="283">
        <v>0.35</v>
      </c>
      <c r="L145" s="285">
        <f t="shared" si="30"/>
        <v>0</v>
      </c>
      <c r="M145" s="285">
        <f t="shared" si="31"/>
        <v>0.35</v>
      </c>
      <c r="N145" s="285">
        <f t="shared" si="32"/>
        <v>0</v>
      </c>
      <c r="O145" s="416">
        <f t="shared" si="33"/>
        <v>0</v>
      </c>
      <c r="P145" s="417">
        <f t="shared" si="34"/>
        <v>7936.2499999999991</v>
      </c>
      <c r="Q145" s="441"/>
    </row>
    <row r="146" spans="1:17" s="417" customFormat="1" ht="14.25" customHeight="1">
      <c r="A146" s="167">
        <v>139</v>
      </c>
      <c r="B146" s="409">
        <v>22675</v>
      </c>
      <c r="C146" s="20" t="str">
        <f>VLOOKUP(A146,'JUNE (물량흐름)'!$A$13:$C$502,2,0)</f>
        <v>ANN TAYLOR</v>
      </c>
      <c r="D146" s="282">
        <f>VLOOKUP(A146,'JUNE (물량흐름)'!$A$13:$C$502,3,0)</f>
        <v>459046</v>
      </c>
      <c r="E146" s="6">
        <f>VLOOKUP(D146,'JUNE (물량흐름)'!$C$13:$W$502,21,0)</f>
        <v>0</v>
      </c>
      <c r="F146" s="6">
        <f t="shared" si="27"/>
        <v>0</v>
      </c>
      <c r="G146" s="6">
        <f>ROUND(SUMIF('In-out-bal products (155)(완성제품)'!$B$12:$B$493,'Sales profit (스타일 별 매출이익)'!D146,'In-out-bal products (155)(완성제품)'!$X$12:$X$493) + SUMIF('In-out-bal products (155)(완성제품)'!$B$12:$B$493,'Sales profit (스타일 별 매출이익)'!D146,'In-out-bal products (155)(완성제품)'!$AA$12:$AA$493),0)</f>
        <v>0</v>
      </c>
      <c r="H146" s="283">
        <f t="shared" si="28"/>
        <v>0</v>
      </c>
      <c r="I146" s="284">
        <f t="shared" si="29"/>
        <v>0</v>
      </c>
      <c r="J146" s="284">
        <f t="shared" si="26"/>
        <v>0</v>
      </c>
      <c r="K146" s="283">
        <v>1.6</v>
      </c>
      <c r="L146" s="285">
        <f t="shared" si="30"/>
        <v>0</v>
      </c>
      <c r="M146" s="285">
        <f t="shared" si="31"/>
        <v>1.6</v>
      </c>
      <c r="N146" s="285">
        <f t="shared" si="32"/>
        <v>0</v>
      </c>
      <c r="O146" s="416">
        <f t="shared" si="33"/>
        <v>0</v>
      </c>
      <c r="P146" s="417">
        <f t="shared" si="34"/>
        <v>36280</v>
      </c>
      <c r="Q146" s="441"/>
    </row>
    <row r="147" spans="1:17" s="417" customFormat="1" ht="14.25" customHeight="1">
      <c r="A147" s="167">
        <v>140</v>
      </c>
      <c r="B147" s="409">
        <v>22675</v>
      </c>
      <c r="C147" s="20" t="str">
        <f>VLOOKUP(A147,'JUNE (물량흐름)'!$A$13:$C$502,2,0)</f>
        <v>ANN TAYLOR</v>
      </c>
      <c r="D147" s="282">
        <f>VLOOKUP(A147,'JUNE (물량흐름)'!$A$13:$C$502,3,0)</f>
        <v>459199</v>
      </c>
      <c r="E147" s="6">
        <f>VLOOKUP(D147,'JUNE (물량흐름)'!$C$13:$W$502,21,0)</f>
        <v>0</v>
      </c>
      <c r="F147" s="6">
        <f t="shared" si="27"/>
        <v>0</v>
      </c>
      <c r="G147" s="6">
        <f>ROUND(SUMIF('In-out-bal products (155)(완성제품)'!$B$12:$B$493,'Sales profit (스타일 별 매출이익)'!D147,'In-out-bal products (155)(완성제품)'!$X$12:$X$493) + SUMIF('In-out-bal products (155)(완성제품)'!$B$12:$B$493,'Sales profit (스타일 별 매출이익)'!D147,'In-out-bal products (155)(완성제품)'!$AA$12:$AA$493),0)</f>
        <v>0</v>
      </c>
      <c r="H147" s="283">
        <f t="shared" si="28"/>
        <v>0</v>
      </c>
      <c r="I147" s="284">
        <f t="shared" si="29"/>
        <v>0</v>
      </c>
      <c r="J147" s="284">
        <f t="shared" si="26"/>
        <v>0</v>
      </c>
      <c r="K147" s="283">
        <v>0.35</v>
      </c>
      <c r="L147" s="285">
        <f t="shared" si="30"/>
        <v>0</v>
      </c>
      <c r="M147" s="285">
        <f t="shared" si="31"/>
        <v>0.35</v>
      </c>
      <c r="N147" s="285">
        <f t="shared" si="32"/>
        <v>0</v>
      </c>
      <c r="O147" s="416">
        <f t="shared" si="33"/>
        <v>0</v>
      </c>
      <c r="P147" s="417">
        <f t="shared" si="34"/>
        <v>7936.2499999999991</v>
      </c>
      <c r="Q147" s="441"/>
    </row>
    <row r="148" spans="1:17" s="417" customFormat="1" ht="14.25" customHeight="1">
      <c r="A148" s="167">
        <v>141</v>
      </c>
      <c r="B148" s="409">
        <v>22675</v>
      </c>
      <c r="C148" s="20" t="str">
        <f>VLOOKUP(A148,'JUNE (물량흐름)'!$A$13:$C$502,2,0)</f>
        <v>ANN TAYLOR</v>
      </c>
      <c r="D148" s="282">
        <f>VLOOKUP(A148,'JUNE (물량흐름)'!$A$13:$C$502,3,0)</f>
        <v>459200</v>
      </c>
      <c r="E148" s="6">
        <f>VLOOKUP(D148,'JUNE (물량흐름)'!$C$13:$W$502,21,0)</f>
        <v>0</v>
      </c>
      <c r="F148" s="6">
        <f t="shared" si="27"/>
        <v>0</v>
      </c>
      <c r="G148" s="6">
        <f>ROUND(SUMIF('In-out-bal products (155)(완성제품)'!$B$12:$B$493,'Sales profit (스타일 별 매출이익)'!D148,'In-out-bal products (155)(완성제품)'!$X$12:$X$493) + SUMIF('In-out-bal products (155)(완성제품)'!$B$12:$B$493,'Sales profit (스타일 별 매출이익)'!D148,'In-out-bal products (155)(완성제품)'!$AA$12:$AA$493),0)</f>
        <v>0</v>
      </c>
      <c r="H148" s="283">
        <f t="shared" si="28"/>
        <v>0</v>
      </c>
      <c r="I148" s="284">
        <f t="shared" si="29"/>
        <v>0</v>
      </c>
      <c r="J148" s="284">
        <f t="shared" si="26"/>
        <v>0</v>
      </c>
      <c r="K148" s="283">
        <v>0.35</v>
      </c>
      <c r="L148" s="285">
        <f t="shared" si="30"/>
        <v>0</v>
      </c>
      <c r="M148" s="285">
        <f t="shared" si="31"/>
        <v>0.35</v>
      </c>
      <c r="N148" s="285">
        <f t="shared" si="32"/>
        <v>0</v>
      </c>
      <c r="O148" s="416">
        <f t="shared" si="33"/>
        <v>0</v>
      </c>
      <c r="P148" s="417">
        <f t="shared" si="34"/>
        <v>7936.2499999999991</v>
      </c>
      <c r="Q148" s="441"/>
    </row>
    <row r="149" spans="1:17" s="417" customFormat="1" ht="14.25" customHeight="1">
      <c r="A149" s="167">
        <v>142</v>
      </c>
      <c r="B149" s="409">
        <v>22675</v>
      </c>
      <c r="C149" s="20" t="str">
        <f>VLOOKUP(A149,'JUNE (물량흐름)'!$A$13:$C$502,2,0)</f>
        <v>ANN TAYLOR</v>
      </c>
      <c r="D149" s="282">
        <f>VLOOKUP(A149,'JUNE (물량흐름)'!$A$13:$C$502,3,0)</f>
        <v>459648</v>
      </c>
      <c r="E149" s="6">
        <f>VLOOKUP(D149,'JUNE (물량흐름)'!$C$13:$W$502,21,0)</f>
        <v>0</v>
      </c>
      <c r="F149" s="6">
        <f t="shared" si="27"/>
        <v>0</v>
      </c>
      <c r="G149" s="6">
        <f>ROUND(SUMIF('In-out-bal products (155)(완성제품)'!$B$12:$B$493,'Sales profit (스타일 별 매출이익)'!D149,'In-out-bal products (155)(완성제품)'!$X$12:$X$493) + SUMIF('In-out-bal products (155)(완성제품)'!$B$12:$B$493,'Sales profit (스타일 별 매출이익)'!D149,'In-out-bal products (155)(완성제품)'!$AA$12:$AA$493),0)</f>
        <v>0</v>
      </c>
      <c r="H149" s="283">
        <f t="shared" si="28"/>
        <v>0</v>
      </c>
      <c r="I149" s="284">
        <f t="shared" si="29"/>
        <v>0</v>
      </c>
      <c r="J149" s="284">
        <f t="shared" si="26"/>
        <v>0</v>
      </c>
      <c r="K149" s="283">
        <v>0.35</v>
      </c>
      <c r="L149" s="285">
        <f t="shared" si="30"/>
        <v>0</v>
      </c>
      <c r="M149" s="285">
        <f t="shared" si="31"/>
        <v>0.35</v>
      </c>
      <c r="N149" s="285">
        <f t="shared" si="32"/>
        <v>0</v>
      </c>
      <c r="O149" s="416">
        <f t="shared" si="33"/>
        <v>0</v>
      </c>
      <c r="P149" s="417">
        <f t="shared" si="34"/>
        <v>7936.2499999999991</v>
      </c>
      <c r="Q149" s="441"/>
    </row>
    <row r="150" spans="1:17" s="417" customFormat="1" ht="14.25" customHeight="1">
      <c r="A150" s="167">
        <v>143</v>
      </c>
      <c r="B150" s="409">
        <v>22675</v>
      </c>
      <c r="C150" s="20" t="str">
        <f>VLOOKUP(A150,'JUNE (물량흐름)'!$A$13:$C$502,2,0)</f>
        <v>ANN TAYLOR</v>
      </c>
      <c r="D150" s="282">
        <f>VLOOKUP(A150,'JUNE (물량흐름)'!$A$13:$C$502,3,0)</f>
        <v>459700</v>
      </c>
      <c r="E150" s="6">
        <f>VLOOKUP(D150,'JUNE (물량흐름)'!$C$13:$W$502,21,0)</f>
        <v>0</v>
      </c>
      <c r="F150" s="6">
        <f t="shared" si="27"/>
        <v>0</v>
      </c>
      <c r="G150" s="6">
        <f>ROUND(SUMIF('In-out-bal products (155)(완성제품)'!$B$12:$B$493,'Sales profit (스타일 별 매출이익)'!D150,'In-out-bal products (155)(완성제품)'!$X$12:$X$493) + SUMIF('In-out-bal products (155)(완성제품)'!$B$12:$B$493,'Sales profit (스타일 별 매출이익)'!D150,'In-out-bal products (155)(완성제품)'!$AA$12:$AA$493),0)</f>
        <v>0</v>
      </c>
      <c r="H150" s="283">
        <f t="shared" si="28"/>
        <v>0</v>
      </c>
      <c r="I150" s="284">
        <f t="shared" si="29"/>
        <v>0</v>
      </c>
      <c r="J150" s="284">
        <f t="shared" si="26"/>
        <v>0</v>
      </c>
      <c r="K150" s="283">
        <v>1.45</v>
      </c>
      <c r="L150" s="285">
        <f t="shared" si="30"/>
        <v>0</v>
      </c>
      <c r="M150" s="285">
        <f t="shared" si="31"/>
        <v>1.45</v>
      </c>
      <c r="N150" s="285">
        <f t="shared" si="32"/>
        <v>0</v>
      </c>
      <c r="O150" s="416">
        <f t="shared" si="33"/>
        <v>0</v>
      </c>
      <c r="P150" s="417">
        <f t="shared" si="34"/>
        <v>32878.75</v>
      </c>
      <c r="Q150" s="441"/>
    </row>
    <row r="151" spans="1:17" s="417" customFormat="1" ht="14.25" customHeight="1">
      <c r="A151" s="167">
        <v>144</v>
      </c>
      <c r="B151" s="409">
        <v>22675</v>
      </c>
      <c r="C151" s="20" t="str">
        <f>VLOOKUP(A151,'JUNE (물량흐름)'!$A$13:$C$502,2,0)</f>
        <v>ANN TAYLOR</v>
      </c>
      <c r="D151" s="282">
        <f>VLOOKUP(A151,'JUNE (물량흐름)'!$A$13:$C$502,3,0)</f>
        <v>459701</v>
      </c>
      <c r="E151" s="6">
        <f>VLOOKUP(D151,'JUNE (물량흐름)'!$C$13:$W$502,21,0)</f>
        <v>0</v>
      </c>
      <c r="F151" s="6">
        <f t="shared" si="27"/>
        <v>0</v>
      </c>
      <c r="G151" s="6">
        <f>ROUND(SUMIF('In-out-bal products (155)(완성제품)'!$B$12:$B$493,'Sales profit (스타일 별 매출이익)'!D151,'In-out-bal products (155)(완성제품)'!$X$12:$X$493) + SUMIF('In-out-bal products (155)(완성제품)'!$B$12:$B$493,'Sales profit (스타일 별 매출이익)'!D151,'In-out-bal products (155)(완성제품)'!$AA$12:$AA$493),0)</f>
        <v>0</v>
      </c>
      <c r="H151" s="283">
        <f t="shared" si="28"/>
        <v>0</v>
      </c>
      <c r="I151" s="284">
        <f t="shared" si="29"/>
        <v>0</v>
      </c>
      <c r="J151" s="284">
        <f t="shared" si="26"/>
        <v>0</v>
      </c>
      <c r="K151" s="283">
        <v>1.5</v>
      </c>
      <c r="L151" s="285">
        <f t="shared" si="30"/>
        <v>0</v>
      </c>
      <c r="M151" s="285">
        <f t="shared" si="31"/>
        <v>1.5</v>
      </c>
      <c r="N151" s="285">
        <f t="shared" si="32"/>
        <v>0</v>
      </c>
      <c r="O151" s="416">
        <f t="shared" si="33"/>
        <v>0</v>
      </c>
      <c r="P151" s="417">
        <f t="shared" si="34"/>
        <v>34012.5</v>
      </c>
      <c r="Q151" s="441"/>
    </row>
    <row r="152" spans="1:17" s="417" customFormat="1" ht="14.25" customHeight="1">
      <c r="A152" s="167">
        <v>145</v>
      </c>
      <c r="B152" s="409">
        <v>22675</v>
      </c>
      <c r="C152" s="20" t="str">
        <f>VLOOKUP(A152,'JUNE (물량흐름)'!$A$13:$C$502,2,0)</f>
        <v>ANN TAYLOR</v>
      </c>
      <c r="D152" s="282">
        <f>VLOOKUP(A152,'JUNE (물량흐름)'!$A$13:$C$502,3,0)</f>
        <v>459702</v>
      </c>
      <c r="E152" s="6">
        <f>VLOOKUP(D152,'JUNE (물량흐름)'!$C$13:$W$502,21,0)</f>
        <v>0</v>
      </c>
      <c r="F152" s="6">
        <f t="shared" si="27"/>
        <v>0</v>
      </c>
      <c r="G152" s="6">
        <f>ROUND(SUMIF('In-out-bal products (155)(완성제품)'!$B$12:$B$493,'Sales profit (스타일 별 매출이익)'!D152,'In-out-bal products (155)(완성제품)'!$X$12:$X$493) + SUMIF('In-out-bal products (155)(완성제품)'!$B$12:$B$493,'Sales profit (스타일 별 매출이익)'!D152,'In-out-bal products (155)(완성제품)'!$AA$12:$AA$493),0)</f>
        <v>0</v>
      </c>
      <c r="H152" s="283">
        <f t="shared" si="28"/>
        <v>0</v>
      </c>
      <c r="I152" s="284">
        <f t="shared" si="29"/>
        <v>0</v>
      </c>
      <c r="J152" s="284">
        <f t="shared" si="26"/>
        <v>0</v>
      </c>
      <c r="K152" s="283">
        <v>0.36</v>
      </c>
      <c r="L152" s="285">
        <f t="shared" si="30"/>
        <v>0</v>
      </c>
      <c r="M152" s="285">
        <f t="shared" si="31"/>
        <v>0.36</v>
      </c>
      <c r="N152" s="285">
        <f t="shared" si="32"/>
        <v>0</v>
      </c>
      <c r="O152" s="416">
        <f t="shared" si="33"/>
        <v>0</v>
      </c>
      <c r="P152" s="417">
        <f t="shared" si="34"/>
        <v>8163</v>
      </c>
      <c r="Q152" s="441"/>
    </row>
    <row r="153" spans="1:17" s="417" customFormat="1" ht="14.25" customHeight="1">
      <c r="A153" s="167">
        <v>146</v>
      </c>
      <c r="B153" s="409">
        <v>22675</v>
      </c>
      <c r="C153" s="20" t="str">
        <f>VLOOKUP(A153,'JUNE (물량흐름)'!$A$13:$C$502,2,0)</f>
        <v>ANN TAYLOR</v>
      </c>
      <c r="D153" s="282">
        <f>VLOOKUP(A153,'JUNE (물량흐름)'!$A$13:$C$502,3,0)</f>
        <v>459703</v>
      </c>
      <c r="E153" s="6">
        <f>VLOOKUP(D153,'JUNE (물량흐름)'!$C$13:$W$502,21,0)</f>
        <v>0</v>
      </c>
      <c r="F153" s="6">
        <f t="shared" si="27"/>
        <v>0</v>
      </c>
      <c r="G153" s="6">
        <f>ROUND(SUMIF('In-out-bal products (155)(완성제품)'!$B$12:$B$493,'Sales profit (스타일 별 매출이익)'!D153,'In-out-bal products (155)(완성제품)'!$X$12:$X$493) + SUMIF('In-out-bal products (155)(완성제품)'!$B$12:$B$493,'Sales profit (스타일 별 매출이익)'!D153,'In-out-bal products (155)(완성제품)'!$AA$12:$AA$493),0)</f>
        <v>0</v>
      </c>
      <c r="H153" s="283">
        <f t="shared" si="28"/>
        <v>0</v>
      </c>
      <c r="I153" s="284">
        <f t="shared" si="29"/>
        <v>0</v>
      </c>
      <c r="J153" s="284">
        <f t="shared" si="26"/>
        <v>0</v>
      </c>
      <c r="K153" s="283">
        <v>1.5</v>
      </c>
      <c r="L153" s="285">
        <f t="shared" si="30"/>
        <v>0</v>
      </c>
      <c r="M153" s="285">
        <f t="shared" si="31"/>
        <v>1.5</v>
      </c>
      <c r="N153" s="285">
        <f t="shared" si="32"/>
        <v>0</v>
      </c>
      <c r="O153" s="416">
        <f t="shared" si="33"/>
        <v>0</v>
      </c>
      <c r="P153" s="417">
        <f t="shared" si="34"/>
        <v>34012.5</v>
      </c>
      <c r="Q153" s="441"/>
    </row>
    <row r="154" spans="1:17" s="417" customFormat="1" ht="14.25" customHeight="1">
      <c r="A154" s="167">
        <v>147</v>
      </c>
      <c r="B154" s="409">
        <v>22675</v>
      </c>
      <c r="C154" s="20" t="str">
        <f>VLOOKUP(A154,'JUNE (물량흐름)'!$A$13:$C$502,2,0)</f>
        <v>ANN TAYLOR</v>
      </c>
      <c r="D154" s="282">
        <f>VLOOKUP(A154,'JUNE (물량흐름)'!$A$13:$C$502,3,0)</f>
        <v>459704</v>
      </c>
      <c r="E154" s="6">
        <f>VLOOKUP(D154,'JUNE (물량흐름)'!$C$13:$W$502,21,0)</f>
        <v>0</v>
      </c>
      <c r="F154" s="6">
        <f t="shared" si="27"/>
        <v>0</v>
      </c>
      <c r="G154" s="6">
        <f>ROUND(SUMIF('In-out-bal products (155)(완성제품)'!$B$12:$B$493,'Sales profit (스타일 별 매출이익)'!D154,'In-out-bal products (155)(완성제품)'!$X$12:$X$493) + SUMIF('In-out-bal products (155)(완성제품)'!$B$12:$B$493,'Sales profit (스타일 별 매출이익)'!D154,'In-out-bal products (155)(완성제품)'!$AA$12:$AA$493),0)</f>
        <v>0</v>
      </c>
      <c r="H154" s="283">
        <f t="shared" si="28"/>
        <v>0</v>
      </c>
      <c r="I154" s="284">
        <f t="shared" si="29"/>
        <v>0</v>
      </c>
      <c r="J154" s="284">
        <f t="shared" si="26"/>
        <v>0</v>
      </c>
      <c r="K154" s="283">
        <v>1.85</v>
      </c>
      <c r="L154" s="285">
        <f t="shared" si="30"/>
        <v>0</v>
      </c>
      <c r="M154" s="285">
        <f t="shared" si="31"/>
        <v>1.85</v>
      </c>
      <c r="N154" s="285">
        <f t="shared" si="32"/>
        <v>0</v>
      </c>
      <c r="O154" s="416">
        <f t="shared" si="33"/>
        <v>0</v>
      </c>
      <c r="P154" s="417">
        <f t="shared" si="34"/>
        <v>41948.75</v>
      </c>
      <c r="Q154" s="441"/>
    </row>
    <row r="155" spans="1:17" s="417" customFormat="1" ht="14.25" customHeight="1">
      <c r="A155" s="167">
        <v>148</v>
      </c>
      <c r="B155" s="409">
        <v>22675</v>
      </c>
      <c r="C155" s="20" t="str">
        <f>VLOOKUP(A155,'JUNE (물량흐름)'!$A$13:$C$502,2,0)</f>
        <v>ANN TAYLOR</v>
      </c>
      <c r="D155" s="282">
        <f>VLOOKUP(A155,'JUNE (물량흐름)'!$A$13:$C$502,3,0)</f>
        <v>459715</v>
      </c>
      <c r="E155" s="6">
        <f>VLOOKUP(D155,'JUNE (물량흐름)'!$C$13:$W$502,21,0)</f>
        <v>0</v>
      </c>
      <c r="F155" s="6">
        <f t="shared" si="27"/>
        <v>0</v>
      </c>
      <c r="G155" s="6">
        <f>ROUND(SUMIF('In-out-bal products (155)(완성제품)'!$B$12:$B$493,'Sales profit (스타일 별 매출이익)'!D155,'In-out-bal products (155)(완성제품)'!$X$12:$X$493) + SUMIF('In-out-bal products (155)(완성제품)'!$B$12:$B$493,'Sales profit (스타일 별 매출이익)'!D155,'In-out-bal products (155)(완성제품)'!$AA$12:$AA$493),0)</f>
        <v>0</v>
      </c>
      <c r="H155" s="283">
        <f t="shared" si="28"/>
        <v>0</v>
      </c>
      <c r="I155" s="284">
        <f t="shared" si="29"/>
        <v>0</v>
      </c>
      <c r="J155" s="284">
        <f t="shared" si="26"/>
        <v>0</v>
      </c>
      <c r="K155" s="283">
        <v>0.35</v>
      </c>
      <c r="L155" s="285">
        <f t="shared" si="30"/>
        <v>0</v>
      </c>
      <c r="M155" s="285">
        <f t="shared" si="31"/>
        <v>0.35</v>
      </c>
      <c r="N155" s="285">
        <f t="shared" si="32"/>
        <v>0</v>
      </c>
      <c r="O155" s="416">
        <f t="shared" si="33"/>
        <v>0</v>
      </c>
      <c r="P155" s="417">
        <f t="shared" si="34"/>
        <v>7936.2499999999991</v>
      </c>
      <c r="Q155" s="441"/>
    </row>
    <row r="156" spans="1:17" s="417" customFormat="1" ht="14.25" customHeight="1">
      <c r="A156" s="167">
        <v>149</v>
      </c>
      <c r="B156" s="409">
        <v>22675</v>
      </c>
      <c r="C156" s="20" t="str">
        <f>VLOOKUP(A156,'JUNE (물량흐름)'!$A$13:$C$502,2,0)</f>
        <v>ANN TAYLOR</v>
      </c>
      <c r="D156" s="282">
        <f>VLOOKUP(A156,'JUNE (물량흐름)'!$A$13:$C$502,3,0)</f>
        <v>460424</v>
      </c>
      <c r="E156" s="6">
        <f>VLOOKUP(D156,'JUNE (물량흐름)'!$C$13:$W$502,21,0)</f>
        <v>0</v>
      </c>
      <c r="F156" s="6">
        <f t="shared" si="27"/>
        <v>0</v>
      </c>
      <c r="G156" s="6">
        <f>ROUND(SUMIF('In-out-bal products (155)(완성제품)'!$B$12:$B$493,'Sales profit (스타일 별 매출이익)'!D156,'In-out-bal products (155)(완성제품)'!$X$12:$X$493) + SUMIF('In-out-bal products (155)(완성제품)'!$B$12:$B$493,'Sales profit (스타일 별 매출이익)'!D156,'In-out-bal products (155)(완성제품)'!$AA$12:$AA$493),0)</f>
        <v>0</v>
      </c>
      <c r="H156" s="283">
        <f t="shared" si="28"/>
        <v>0</v>
      </c>
      <c r="I156" s="284">
        <f t="shared" si="29"/>
        <v>0</v>
      </c>
      <c r="J156" s="284">
        <f t="shared" si="26"/>
        <v>0</v>
      </c>
      <c r="K156" s="283">
        <v>0.35</v>
      </c>
      <c r="L156" s="285">
        <f t="shared" si="30"/>
        <v>0</v>
      </c>
      <c r="M156" s="285">
        <f t="shared" si="31"/>
        <v>0.35</v>
      </c>
      <c r="N156" s="285">
        <f t="shared" si="32"/>
        <v>0</v>
      </c>
      <c r="O156" s="416">
        <f t="shared" si="33"/>
        <v>0</v>
      </c>
      <c r="P156" s="417">
        <f t="shared" si="34"/>
        <v>7936.2499999999991</v>
      </c>
      <c r="Q156" s="441"/>
    </row>
    <row r="157" spans="1:17" s="417" customFormat="1" ht="14.25" customHeight="1">
      <c r="A157" s="167">
        <v>150</v>
      </c>
      <c r="B157" s="409">
        <v>22675</v>
      </c>
      <c r="C157" s="20" t="str">
        <f>VLOOKUP(A157,'JUNE (물량흐름)'!$A$13:$C$502,2,0)</f>
        <v>ANN TAYLOR</v>
      </c>
      <c r="D157" s="282">
        <f>VLOOKUP(A157,'JUNE (물량흐름)'!$A$13:$C$502,3,0)</f>
        <v>460886</v>
      </c>
      <c r="E157" s="6">
        <f>VLOOKUP(D157,'JUNE (물량흐름)'!$C$13:$W$502,21,0)</f>
        <v>0</v>
      </c>
      <c r="F157" s="6">
        <f t="shared" si="27"/>
        <v>0</v>
      </c>
      <c r="G157" s="6">
        <f>ROUND(SUMIF('In-out-bal products (155)(완성제품)'!$B$12:$B$493,'Sales profit (스타일 별 매출이익)'!D157,'In-out-bal products (155)(완성제품)'!$X$12:$X$493) + SUMIF('In-out-bal products (155)(완성제품)'!$B$12:$B$493,'Sales profit (스타일 별 매출이익)'!D157,'In-out-bal products (155)(완성제품)'!$AA$12:$AA$493),0)</f>
        <v>0</v>
      </c>
      <c r="H157" s="283">
        <f t="shared" si="28"/>
        <v>0</v>
      </c>
      <c r="I157" s="284">
        <f t="shared" si="29"/>
        <v>0</v>
      </c>
      <c r="J157" s="284">
        <f t="shared" si="26"/>
        <v>0</v>
      </c>
      <c r="K157" s="283">
        <v>0.35</v>
      </c>
      <c r="L157" s="285">
        <f t="shared" si="30"/>
        <v>0</v>
      </c>
      <c r="M157" s="285">
        <f t="shared" si="31"/>
        <v>0.35</v>
      </c>
      <c r="N157" s="285">
        <f t="shared" si="32"/>
        <v>0</v>
      </c>
      <c r="O157" s="416">
        <f t="shared" si="33"/>
        <v>0</v>
      </c>
      <c r="P157" s="417">
        <f t="shared" si="34"/>
        <v>7936.2499999999991</v>
      </c>
      <c r="Q157" s="441"/>
    </row>
    <row r="158" spans="1:17" s="417" customFormat="1" ht="14.25" customHeight="1">
      <c r="A158" s="167">
        <v>151</v>
      </c>
      <c r="B158" s="409">
        <v>22675</v>
      </c>
      <c r="C158" s="20" t="str">
        <f>VLOOKUP(A158,'JUNE (물량흐름)'!$A$13:$C$502,2,0)</f>
        <v>INC</v>
      </c>
      <c r="D158" s="282">
        <f>VLOOKUP(A158,'JUNE (물량흐름)'!$A$13:$C$502,3,0)</f>
        <v>100014612</v>
      </c>
      <c r="E158" s="6">
        <f>VLOOKUP(D158,'JUNE (물량흐름)'!$C$13:$W$502,21,0)</f>
        <v>0</v>
      </c>
      <c r="F158" s="6">
        <f t="shared" si="27"/>
        <v>0</v>
      </c>
      <c r="G158" s="6">
        <f>ROUND(SUMIF('In-out-bal products (155)(완성제품)'!$B$12:$B$493,'Sales profit (스타일 별 매출이익)'!D158,'In-out-bal products (155)(완성제품)'!$X$12:$X$493) + SUMIF('In-out-bal products (155)(완성제품)'!$B$12:$B$493,'Sales profit (스타일 별 매출이익)'!D158,'In-out-bal products (155)(완성제품)'!$AA$12:$AA$493),0)</f>
        <v>0</v>
      </c>
      <c r="H158" s="283">
        <f t="shared" si="28"/>
        <v>0</v>
      </c>
      <c r="I158" s="284">
        <f t="shared" si="29"/>
        <v>0</v>
      </c>
      <c r="J158" s="284">
        <f t="shared" si="26"/>
        <v>0</v>
      </c>
      <c r="K158" s="283">
        <v>0.36</v>
      </c>
      <c r="L158" s="285">
        <f t="shared" si="30"/>
        <v>0</v>
      </c>
      <c r="M158" s="285">
        <f t="shared" si="31"/>
        <v>0.36</v>
      </c>
      <c r="N158" s="285">
        <f t="shared" si="32"/>
        <v>0</v>
      </c>
      <c r="O158" s="416">
        <f t="shared" si="33"/>
        <v>0</v>
      </c>
      <c r="P158" s="417">
        <f t="shared" si="34"/>
        <v>8163</v>
      </c>
      <c r="Q158" s="441"/>
    </row>
    <row r="159" spans="1:17" s="417" customFormat="1" ht="16.5" customHeight="1">
      <c r="A159" s="167">
        <v>152</v>
      </c>
      <c r="B159" s="409">
        <v>22675</v>
      </c>
      <c r="C159" s="20" t="str">
        <f>VLOOKUP(A159,'JUNE (물량흐름)'!$A$13:$C$502,2,0)</f>
        <v>INC</v>
      </c>
      <c r="D159" s="282">
        <f>VLOOKUP(A159,'JUNE (물량흐름)'!$A$13:$C$502,3,0)</f>
        <v>100014882</v>
      </c>
      <c r="E159" s="6">
        <f>VLOOKUP(D159,'JUNE (물량흐름)'!$C$13:$W$502,21,0)</f>
        <v>0</v>
      </c>
      <c r="F159" s="6">
        <f t="shared" si="27"/>
        <v>0</v>
      </c>
      <c r="G159" s="6">
        <f>ROUND(SUMIF('In-out-bal products (155)(완성제품)'!$B$12:$B$493,'Sales profit (스타일 별 매출이익)'!D159,'In-out-bal products (155)(완성제품)'!$X$12:$X$493) + SUMIF('In-out-bal products (155)(완성제품)'!$B$12:$B$493,'Sales profit (스타일 별 매출이익)'!D159,'In-out-bal products (155)(완성제품)'!$AA$12:$AA$493),0)</f>
        <v>0</v>
      </c>
      <c r="H159" s="283">
        <f t="shared" si="28"/>
        <v>0</v>
      </c>
      <c r="I159" s="284">
        <f t="shared" si="29"/>
        <v>0</v>
      </c>
      <c r="J159" s="284">
        <f t="shared" si="26"/>
        <v>0</v>
      </c>
      <c r="K159" s="283">
        <v>3.15</v>
      </c>
      <c r="L159" s="285">
        <f t="shared" si="30"/>
        <v>0</v>
      </c>
      <c r="M159" s="285">
        <f t="shared" si="31"/>
        <v>3.15</v>
      </c>
      <c r="N159" s="285">
        <f t="shared" si="32"/>
        <v>0</v>
      </c>
      <c r="O159" s="416">
        <f t="shared" si="33"/>
        <v>0</v>
      </c>
      <c r="P159" s="417">
        <f t="shared" si="34"/>
        <v>71426.25</v>
      </c>
      <c r="Q159" s="441"/>
    </row>
    <row r="160" spans="1:17" s="417" customFormat="1" ht="14.25" customHeight="1">
      <c r="A160" s="167">
        <v>153</v>
      </c>
      <c r="B160" s="409">
        <v>22675</v>
      </c>
      <c r="C160" s="20" t="str">
        <f>VLOOKUP(A160,'JUNE (물량흐름)'!$A$13:$C$502,2,0)</f>
        <v>NORDSTROM</v>
      </c>
      <c r="D160" s="282" t="str">
        <f>VLOOKUP(A160,'JUNE (물량흐름)'!$A$13:$C$502,3,0)</f>
        <v>CN380880MI</v>
      </c>
      <c r="E160" s="6">
        <f>VLOOKUP(D160,'JUNE (물량흐름)'!$C$13:$W$502,21,0)</f>
        <v>0</v>
      </c>
      <c r="F160" s="6">
        <f t="shared" si="27"/>
        <v>0</v>
      </c>
      <c r="G160" s="6">
        <f>ROUND(SUMIF('In-out-bal products (155)(완성제품)'!$B$12:$B$493,'Sales profit (스타일 별 매출이익)'!D160,'In-out-bal products (155)(완성제품)'!$X$12:$X$493) + SUMIF('In-out-bal products (155)(완성제품)'!$B$12:$B$493,'Sales profit (스타일 별 매출이익)'!D160,'In-out-bal products (155)(완성제품)'!$AA$12:$AA$493),0)</f>
        <v>0</v>
      </c>
      <c r="H160" s="283">
        <f t="shared" si="28"/>
        <v>0</v>
      </c>
      <c r="I160" s="284">
        <f t="shared" si="29"/>
        <v>0</v>
      </c>
      <c r="J160" s="284">
        <f t="shared" si="26"/>
        <v>0</v>
      </c>
      <c r="K160" s="283">
        <v>1.35</v>
      </c>
      <c r="L160" s="285">
        <f t="shared" si="30"/>
        <v>0</v>
      </c>
      <c r="M160" s="285">
        <f t="shared" si="31"/>
        <v>1.35</v>
      </c>
      <c r="N160" s="285">
        <f t="shared" si="32"/>
        <v>0</v>
      </c>
      <c r="O160" s="416">
        <f t="shared" si="33"/>
        <v>0</v>
      </c>
      <c r="P160" s="417">
        <f t="shared" si="34"/>
        <v>30611.250000000004</v>
      </c>
      <c r="Q160" s="441"/>
    </row>
    <row r="161" spans="1:17" s="417" customFormat="1" ht="14.25" customHeight="1">
      <c r="A161" s="167">
        <v>154</v>
      </c>
      <c r="B161" s="409">
        <v>22675</v>
      </c>
      <c r="C161" s="20" t="str">
        <f>VLOOKUP(A161,'JUNE (물량흐름)'!$A$13:$C$502,2,0)</f>
        <v>NORDSTROM</v>
      </c>
      <c r="D161" s="282" t="str">
        <f>VLOOKUP(A161,'JUNE (물량흐름)'!$A$13:$C$502,3,0)</f>
        <v>RK381912MI</v>
      </c>
      <c r="E161" s="6">
        <f>VLOOKUP(D161,'JUNE (물량흐름)'!$C$13:$W$502,21,0)</f>
        <v>0</v>
      </c>
      <c r="F161" s="6">
        <f t="shared" si="27"/>
        <v>0</v>
      </c>
      <c r="G161" s="6">
        <f>ROUND(SUMIF('In-out-bal products (155)(완성제품)'!$B$12:$B$493,'Sales profit (스타일 별 매출이익)'!D161,'In-out-bal products (155)(완성제품)'!$X$12:$X$493) + SUMIF('In-out-bal products (155)(완성제품)'!$B$12:$B$493,'Sales profit (스타일 별 매출이익)'!D161,'In-out-bal products (155)(완성제품)'!$AA$12:$AA$493),0)</f>
        <v>0</v>
      </c>
      <c r="H161" s="283">
        <f t="shared" si="28"/>
        <v>0</v>
      </c>
      <c r="I161" s="284">
        <f t="shared" si="29"/>
        <v>0</v>
      </c>
      <c r="J161" s="284">
        <f t="shared" si="26"/>
        <v>0</v>
      </c>
      <c r="K161" s="283">
        <v>1.35</v>
      </c>
      <c r="L161" s="285">
        <f t="shared" si="30"/>
        <v>0</v>
      </c>
      <c r="M161" s="285">
        <f t="shared" si="31"/>
        <v>1.35</v>
      </c>
      <c r="N161" s="285">
        <f t="shared" si="32"/>
        <v>0</v>
      </c>
      <c r="O161" s="416">
        <f t="shared" si="33"/>
        <v>0</v>
      </c>
      <c r="P161" s="417">
        <f t="shared" si="34"/>
        <v>30611.250000000004</v>
      </c>
      <c r="Q161" s="441"/>
    </row>
    <row r="162" spans="1:17" s="417" customFormat="1" ht="14.25" customHeight="1">
      <c r="A162" s="167">
        <v>155</v>
      </c>
      <c r="B162" s="409">
        <v>22675</v>
      </c>
      <c r="C162" s="20" t="str">
        <f>VLOOKUP(A162,'JUNE (물량흐름)'!$A$13:$C$502,2,0)</f>
        <v>ALFANI</v>
      </c>
      <c r="D162" s="282">
        <f>VLOOKUP(A162,'JUNE (물량흐름)'!$A$13:$C$502,3,0)</f>
        <v>100008562</v>
      </c>
      <c r="E162" s="6">
        <f>VLOOKUP(D162,'JUNE (물량흐름)'!$C$13:$W$502,21,0)</f>
        <v>0</v>
      </c>
      <c r="F162" s="6">
        <f t="shared" si="27"/>
        <v>0</v>
      </c>
      <c r="G162" s="6">
        <f>ROUND(SUMIF('In-out-bal products (155)(완성제품)'!$B$12:$B$493,'Sales profit (스타일 별 매출이익)'!D162,'In-out-bal products (155)(완성제품)'!$X$12:$X$493) + SUMIF('In-out-bal products (155)(완성제품)'!$B$12:$B$493,'Sales profit (스타일 별 매출이익)'!D162,'In-out-bal products (155)(완성제품)'!$AA$12:$AA$493),0)</f>
        <v>0</v>
      </c>
      <c r="H162" s="283">
        <f t="shared" si="28"/>
        <v>0</v>
      </c>
      <c r="I162" s="284">
        <f t="shared" si="29"/>
        <v>0</v>
      </c>
      <c r="J162" s="284">
        <f t="shared" si="26"/>
        <v>0</v>
      </c>
      <c r="K162" s="283">
        <v>0.35</v>
      </c>
      <c r="L162" s="285">
        <f t="shared" si="30"/>
        <v>0</v>
      </c>
      <c r="M162" s="285">
        <f t="shared" si="31"/>
        <v>0.35</v>
      </c>
      <c r="N162" s="285">
        <f t="shared" si="32"/>
        <v>0</v>
      </c>
      <c r="O162" s="416">
        <f t="shared" si="33"/>
        <v>0</v>
      </c>
      <c r="P162" s="417">
        <f t="shared" si="34"/>
        <v>7936.2499999999991</v>
      </c>
      <c r="Q162" s="441"/>
    </row>
    <row r="163" spans="1:17" s="417" customFormat="1" ht="14.25" customHeight="1">
      <c r="A163" s="167">
        <v>156</v>
      </c>
      <c r="B163" s="409">
        <v>22675</v>
      </c>
      <c r="C163" s="20" t="str">
        <f>VLOOKUP(A163,'JUNE (물량흐름)'!$A$13:$C$502,2,0)</f>
        <v>ALFANI</v>
      </c>
      <c r="D163" s="282">
        <f>VLOOKUP(A163,'JUNE (물량흐름)'!$A$13:$C$502,3,0)</f>
        <v>100008572</v>
      </c>
      <c r="E163" s="6">
        <f>VLOOKUP(D163,'JUNE (물량흐름)'!$C$13:$W$502,21,0)</f>
        <v>0</v>
      </c>
      <c r="F163" s="6">
        <f t="shared" si="27"/>
        <v>0</v>
      </c>
      <c r="G163" s="6">
        <f>ROUND(SUMIF('In-out-bal products (155)(완성제품)'!$B$12:$B$493,'Sales profit (스타일 별 매출이익)'!D163,'In-out-bal products (155)(완성제품)'!$X$12:$X$493) + SUMIF('In-out-bal products (155)(완성제품)'!$B$12:$B$493,'Sales profit (스타일 별 매출이익)'!D163,'In-out-bal products (155)(완성제품)'!$AA$12:$AA$493),0)</f>
        <v>0</v>
      </c>
      <c r="H163" s="283">
        <f t="shared" si="28"/>
        <v>0</v>
      </c>
      <c r="I163" s="284">
        <f t="shared" si="29"/>
        <v>0</v>
      </c>
      <c r="J163" s="284">
        <f t="shared" si="26"/>
        <v>0</v>
      </c>
      <c r="K163" s="283">
        <v>1.35</v>
      </c>
      <c r="L163" s="285">
        <f t="shared" si="30"/>
        <v>0</v>
      </c>
      <c r="M163" s="285">
        <f t="shared" si="31"/>
        <v>1.35</v>
      </c>
      <c r="N163" s="285">
        <f t="shared" si="32"/>
        <v>0</v>
      </c>
      <c r="O163" s="416">
        <f t="shared" si="33"/>
        <v>0</v>
      </c>
      <c r="P163" s="417">
        <f t="shared" si="34"/>
        <v>30611.250000000004</v>
      </c>
      <c r="Q163" s="441"/>
    </row>
    <row r="164" spans="1:17" s="417" customFormat="1" ht="14.25" customHeight="1">
      <c r="A164" s="167">
        <v>157</v>
      </c>
      <c r="B164" s="409">
        <v>22675</v>
      </c>
      <c r="C164" s="20" t="str">
        <f>VLOOKUP(A164,'JUNE (물량흐름)'!$A$13:$C$502,2,0)</f>
        <v>ALFANI</v>
      </c>
      <c r="D164" s="282">
        <f>VLOOKUP(A164,'JUNE (물량흐름)'!$A$13:$C$502,3,0)</f>
        <v>100008587</v>
      </c>
      <c r="E164" s="6">
        <f>VLOOKUP(D164,'JUNE (물량흐름)'!$C$13:$W$502,21,0)</f>
        <v>0</v>
      </c>
      <c r="F164" s="6">
        <f t="shared" si="27"/>
        <v>0</v>
      </c>
      <c r="G164" s="6">
        <f>ROUND(SUMIF('In-out-bal products (155)(완성제품)'!$B$12:$B$493,'Sales profit (스타일 별 매출이익)'!D164,'In-out-bal products (155)(완성제품)'!$X$12:$X$493) + SUMIF('In-out-bal products (155)(완성제품)'!$B$12:$B$493,'Sales profit (스타일 별 매출이익)'!D164,'In-out-bal products (155)(완성제품)'!$AA$12:$AA$493),0)</f>
        <v>0</v>
      </c>
      <c r="H164" s="283">
        <f t="shared" si="28"/>
        <v>0</v>
      </c>
      <c r="I164" s="284">
        <f t="shared" si="29"/>
        <v>0</v>
      </c>
      <c r="J164" s="284">
        <f t="shared" si="26"/>
        <v>0</v>
      </c>
      <c r="K164" s="283">
        <v>0.35</v>
      </c>
      <c r="L164" s="285">
        <f t="shared" si="30"/>
        <v>0</v>
      </c>
      <c r="M164" s="285">
        <f t="shared" si="31"/>
        <v>0.35</v>
      </c>
      <c r="N164" s="285">
        <f t="shared" si="32"/>
        <v>0</v>
      </c>
      <c r="O164" s="416">
        <f t="shared" si="33"/>
        <v>0</v>
      </c>
      <c r="P164" s="417">
        <f t="shared" si="34"/>
        <v>7936.2499999999991</v>
      </c>
      <c r="Q164" s="441"/>
    </row>
    <row r="165" spans="1:17" s="417" customFormat="1" ht="14.25" customHeight="1">
      <c r="A165" s="167">
        <v>158</v>
      </c>
      <c r="B165" s="409">
        <v>22675</v>
      </c>
      <c r="C165" s="20" t="str">
        <f>VLOOKUP(A165,'JUNE (물량흐름)'!$A$13:$C$502,2,0)</f>
        <v>ALFANI</v>
      </c>
      <c r="D165" s="282">
        <f>VLOOKUP(A165,'JUNE (물량흐름)'!$A$13:$C$502,3,0)</f>
        <v>100008588</v>
      </c>
      <c r="E165" s="6">
        <f>VLOOKUP(D165,'JUNE (물량흐름)'!$C$13:$W$502,21,0)</f>
        <v>0</v>
      </c>
      <c r="F165" s="6">
        <f t="shared" si="27"/>
        <v>0</v>
      </c>
      <c r="G165" s="6">
        <f>ROUND(SUMIF('In-out-bal products (155)(완성제품)'!$B$12:$B$493,'Sales profit (스타일 별 매출이익)'!D165,'In-out-bal products (155)(완성제품)'!$X$12:$X$493) + SUMIF('In-out-bal products (155)(완성제품)'!$B$12:$B$493,'Sales profit (스타일 별 매출이익)'!D165,'In-out-bal products (155)(완성제품)'!$AA$12:$AA$493),0)</f>
        <v>0</v>
      </c>
      <c r="H165" s="283">
        <f t="shared" si="28"/>
        <v>0</v>
      </c>
      <c r="I165" s="284">
        <f t="shared" si="29"/>
        <v>0</v>
      </c>
      <c r="J165" s="284">
        <f t="shared" si="26"/>
        <v>0</v>
      </c>
      <c r="K165" s="283">
        <v>0.35</v>
      </c>
      <c r="L165" s="285">
        <f t="shared" si="30"/>
        <v>0</v>
      </c>
      <c r="M165" s="285">
        <f t="shared" si="31"/>
        <v>0.35</v>
      </c>
      <c r="N165" s="285">
        <f t="shared" si="32"/>
        <v>0</v>
      </c>
      <c r="O165" s="416">
        <f t="shared" si="33"/>
        <v>0</v>
      </c>
      <c r="P165" s="417">
        <f t="shared" si="34"/>
        <v>7936.2499999999991</v>
      </c>
      <c r="Q165" s="441"/>
    </row>
    <row r="166" spans="1:17" s="417" customFormat="1" ht="14.25" customHeight="1">
      <c r="A166" s="167">
        <v>159</v>
      </c>
      <c r="B166" s="409">
        <v>22675</v>
      </c>
      <c r="C166" s="20" t="str">
        <f>VLOOKUP(A166,'JUNE (물량흐름)'!$A$13:$C$502,2,0)</f>
        <v>ALFANI</v>
      </c>
      <c r="D166" s="282">
        <f>VLOOKUP(A166,'JUNE (물량흐름)'!$A$13:$C$502,3,0)</f>
        <v>100008624</v>
      </c>
      <c r="E166" s="6">
        <f>VLOOKUP(D166,'JUNE (물량흐름)'!$C$13:$W$502,21,0)</f>
        <v>0</v>
      </c>
      <c r="F166" s="6">
        <f t="shared" si="27"/>
        <v>0</v>
      </c>
      <c r="G166" s="6">
        <f>ROUND(SUMIF('In-out-bal products (155)(완성제품)'!$B$12:$B$493,'Sales profit (스타일 별 매출이익)'!D166,'In-out-bal products (155)(완성제품)'!$X$12:$X$493) + SUMIF('In-out-bal products (155)(완성제품)'!$B$12:$B$493,'Sales profit (스타일 별 매출이익)'!D166,'In-out-bal products (155)(완성제품)'!$AA$12:$AA$493),0)</f>
        <v>0</v>
      </c>
      <c r="H166" s="283">
        <f t="shared" si="28"/>
        <v>0</v>
      </c>
      <c r="I166" s="284">
        <f t="shared" si="29"/>
        <v>0</v>
      </c>
      <c r="J166" s="284">
        <f t="shared" si="26"/>
        <v>0</v>
      </c>
      <c r="K166" s="283">
        <v>1.35</v>
      </c>
      <c r="L166" s="285">
        <f t="shared" si="30"/>
        <v>0</v>
      </c>
      <c r="M166" s="285">
        <f t="shared" si="31"/>
        <v>1.35</v>
      </c>
      <c r="N166" s="285">
        <f t="shared" si="32"/>
        <v>0</v>
      </c>
      <c r="O166" s="416">
        <f t="shared" si="33"/>
        <v>0</v>
      </c>
      <c r="P166" s="417">
        <f t="shared" si="34"/>
        <v>30611.250000000004</v>
      </c>
      <c r="Q166" s="441"/>
    </row>
    <row r="167" spans="1:17" s="417" customFormat="1" ht="15" customHeight="1">
      <c r="A167" s="167">
        <v>160</v>
      </c>
      <c r="B167" s="409">
        <v>22675</v>
      </c>
      <c r="C167" s="20" t="str">
        <f>VLOOKUP(A167,'JUNE (물량흐름)'!$A$13:$C$502,2,0)</f>
        <v>ALFANI</v>
      </c>
      <c r="D167" s="282">
        <f>VLOOKUP(A167,'JUNE (물량흐름)'!$A$13:$C$502,3,0)</f>
        <v>100008652</v>
      </c>
      <c r="E167" s="6">
        <f>VLOOKUP(D167,'JUNE (물량흐름)'!$C$13:$W$502,21,0)</f>
        <v>0</v>
      </c>
      <c r="F167" s="6">
        <f t="shared" si="27"/>
        <v>0</v>
      </c>
      <c r="G167" s="6">
        <f>ROUND(SUMIF('In-out-bal products (155)(완성제품)'!$B$12:$B$493,'Sales profit (스타일 별 매출이익)'!D167,'In-out-bal products (155)(완성제품)'!$X$12:$X$493) + SUMIF('In-out-bal products (155)(완성제품)'!$B$12:$B$493,'Sales profit (스타일 별 매출이익)'!D167,'In-out-bal products (155)(완성제품)'!$AA$12:$AA$493),0)</f>
        <v>0</v>
      </c>
      <c r="H167" s="283">
        <f t="shared" si="28"/>
        <v>0</v>
      </c>
      <c r="I167" s="284">
        <f t="shared" si="29"/>
        <v>0</v>
      </c>
      <c r="J167" s="284">
        <f t="shared" si="26"/>
        <v>0</v>
      </c>
      <c r="K167" s="283">
        <v>1.35</v>
      </c>
      <c r="L167" s="285">
        <f t="shared" si="30"/>
        <v>0</v>
      </c>
      <c r="M167" s="285">
        <f t="shared" si="31"/>
        <v>1.35</v>
      </c>
      <c r="N167" s="285">
        <f t="shared" si="32"/>
        <v>0</v>
      </c>
      <c r="O167" s="416">
        <f t="shared" si="33"/>
        <v>0</v>
      </c>
      <c r="P167" s="417">
        <f t="shared" si="34"/>
        <v>30611.250000000004</v>
      </c>
      <c r="Q167" s="441"/>
    </row>
    <row r="168" spans="1:17" s="418" customFormat="1">
      <c r="A168" s="167">
        <v>161</v>
      </c>
      <c r="B168" s="409">
        <v>22675</v>
      </c>
      <c r="C168" s="20" t="str">
        <f>VLOOKUP(A168,'JUNE (물량흐름)'!$A$13:$C$502,2,0)</f>
        <v>ALFANI</v>
      </c>
      <c r="D168" s="282">
        <f>VLOOKUP(A168,'JUNE (물량흐름)'!$A$13:$C$502,3,0)</f>
        <v>100008653</v>
      </c>
      <c r="E168" s="6">
        <f>VLOOKUP(D168,'JUNE (물량흐름)'!$C$13:$W$502,21,0)</f>
        <v>0</v>
      </c>
      <c r="F168" s="6">
        <f t="shared" si="27"/>
        <v>0</v>
      </c>
      <c r="G168" s="6">
        <f>ROUND(SUMIF('In-out-bal products (155)(완성제품)'!$B$12:$B$493,'Sales profit (스타일 별 매출이익)'!D168,'In-out-bal products (155)(완성제품)'!$X$12:$X$493) + SUMIF('In-out-bal products (155)(완성제품)'!$B$12:$B$493,'Sales profit (스타일 별 매출이익)'!D168,'In-out-bal products (155)(완성제품)'!$AA$12:$AA$493),0)</f>
        <v>0</v>
      </c>
      <c r="H168" s="283">
        <f t="shared" si="28"/>
        <v>0</v>
      </c>
      <c r="I168" s="284">
        <f t="shared" si="29"/>
        <v>0</v>
      </c>
      <c r="J168" s="284">
        <f t="shared" si="26"/>
        <v>0</v>
      </c>
      <c r="K168" s="283">
        <v>1.35</v>
      </c>
      <c r="L168" s="285">
        <f t="shared" si="30"/>
        <v>0</v>
      </c>
      <c r="M168" s="285">
        <f t="shared" si="31"/>
        <v>1.35</v>
      </c>
      <c r="N168" s="285">
        <f t="shared" si="32"/>
        <v>0</v>
      </c>
      <c r="O168" s="416">
        <f t="shared" si="33"/>
        <v>0</v>
      </c>
      <c r="P168" s="417">
        <f t="shared" si="34"/>
        <v>30611.250000000004</v>
      </c>
      <c r="Q168" s="441"/>
    </row>
    <row r="169" spans="1:17" s="418" customFormat="1">
      <c r="A169" s="167">
        <v>162</v>
      </c>
      <c r="B169" s="409">
        <v>22675</v>
      </c>
      <c r="C169" s="20" t="str">
        <f>VLOOKUP(A169,'JUNE (물량흐름)'!$A$13:$C$502,2,0)</f>
        <v>ALFANI</v>
      </c>
      <c r="D169" s="282">
        <f>VLOOKUP(A169,'JUNE (물량흐름)'!$A$13:$C$502,3,0)</f>
        <v>100008702</v>
      </c>
      <c r="E169" s="6">
        <f>VLOOKUP(D169,'JUNE (물량흐름)'!$C$13:$W$502,21,0)</f>
        <v>0</v>
      </c>
      <c r="F169" s="6">
        <f t="shared" si="27"/>
        <v>0</v>
      </c>
      <c r="G169" s="6">
        <f>ROUND(SUMIF('In-out-bal products (155)(완성제품)'!$B$12:$B$493,'Sales profit (스타일 별 매출이익)'!D169,'In-out-bal products (155)(완성제품)'!$X$12:$X$493) + SUMIF('In-out-bal products (155)(완성제품)'!$B$12:$B$493,'Sales profit (스타일 별 매출이익)'!D169,'In-out-bal products (155)(완성제품)'!$AA$12:$AA$493),0)</f>
        <v>0</v>
      </c>
      <c r="H169" s="283">
        <f t="shared" si="28"/>
        <v>0</v>
      </c>
      <c r="I169" s="284">
        <f t="shared" si="29"/>
        <v>0</v>
      </c>
      <c r="J169" s="284">
        <f t="shared" si="26"/>
        <v>0</v>
      </c>
      <c r="K169" s="283">
        <v>1.35</v>
      </c>
      <c r="L169" s="285">
        <f t="shared" si="30"/>
        <v>0</v>
      </c>
      <c r="M169" s="285">
        <f t="shared" si="31"/>
        <v>1.35</v>
      </c>
      <c r="N169" s="285">
        <f t="shared" si="32"/>
        <v>0</v>
      </c>
      <c r="O169" s="416">
        <f t="shared" si="33"/>
        <v>0</v>
      </c>
      <c r="P169" s="417">
        <f t="shared" si="34"/>
        <v>30611.250000000004</v>
      </c>
      <c r="Q169" s="441"/>
    </row>
    <row r="170" spans="1:17" s="418" customFormat="1">
      <c r="A170" s="167">
        <v>163</v>
      </c>
      <c r="B170" s="409">
        <v>22675</v>
      </c>
      <c r="C170" s="20" t="str">
        <f>VLOOKUP(A170,'JUNE (물량흐름)'!$A$13:$C$502,2,0)</f>
        <v>ALFANI</v>
      </c>
      <c r="D170" s="282">
        <f>VLOOKUP(A170,'JUNE (물량흐름)'!$A$13:$C$502,3,0)</f>
        <v>100008703</v>
      </c>
      <c r="E170" s="6">
        <f>VLOOKUP(D170,'JUNE (물량흐름)'!$C$13:$W$502,21,0)</f>
        <v>0</v>
      </c>
      <c r="F170" s="6">
        <f t="shared" si="27"/>
        <v>0</v>
      </c>
      <c r="G170" s="6">
        <f>ROUND(SUMIF('In-out-bal products (155)(완성제품)'!$B$12:$B$493,'Sales profit (스타일 별 매출이익)'!D170,'In-out-bal products (155)(완성제품)'!$X$12:$X$493) + SUMIF('In-out-bal products (155)(완성제품)'!$B$12:$B$493,'Sales profit (스타일 별 매출이익)'!D170,'In-out-bal products (155)(완성제품)'!$AA$12:$AA$493),0)</f>
        <v>0</v>
      </c>
      <c r="H170" s="283">
        <f t="shared" si="28"/>
        <v>0</v>
      </c>
      <c r="I170" s="284">
        <f t="shared" si="29"/>
        <v>0</v>
      </c>
      <c r="J170" s="284">
        <f t="shared" si="26"/>
        <v>0</v>
      </c>
      <c r="K170" s="283">
        <v>0.35</v>
      </c>
      <c r="L170" s="285">
        <f t="shared" si="30"/>
        <v>0</v>
      </c>
      <c r="M170" s="285">
        <f t="shared" si="31"/>
        <v>0.35</v>
      </c>
      <c r="N170" s="285">
        <f t="shared" si="32"/>
        <v>0</v>
      </c>
      <c r="O170" s="416">
        <f t="shared" si="33"/>
        <v>0</v>
      </c>
      <c r="P170" s="417">
        <f t="shared" si="34"/>
        <v>7936.2499999999991</v>
      </c>
      <c r="Q170" s="441"/>
    </row>
    <row r="171" spans="1:17" s="417" customFormat="1">
      <c r="A171" s="167">
        <v>164</v>
      </c>
      <c r="B171" s="409">
        <v>22675</v>
      </c>
      <c r="C171" s="20" t="str">
        <f>VLOOKUP(A171,'JUNE (물량흐름)'!$A$13:$C$502,2,0)</f>
        <v>ALFANI</v>
      </c>
      <c r="D171" s="282">
        <f>VLOOKUP(A171,'JUNE (물량흐름)'!$A$13:$C$502,3,0)</f>
        <v>100008704</v>
      </c>
      <c r="E171" s="6">
        <f>VLOOKUP(D171,'JUNE (물량흐름)'!$C$13:$W$502,21,0)</f>
        <v>0</v>
      </c>
      <c r="F171" s="6">
        <f t="shared" si="27"/>
        <v>0</v>
      </c>
      <c r="G171" s="6">
        <f>ROUND(SUMIF('In-out-bal products (155)(완성제품)'!$B$12:$B$493,'Sales profit (스타일 별 매출이익)'!D171,'In-out-bal products (155)(완성제품)'!$X$12:$X$493) + SUMIF('In-out-bal products (155)(완성제품)'!$B$12:$B$493,'Sales profit (스타일 별 매출이익)'!D171,'In-out-bal products (155)(완성제품)'!$AA$12:$AA$493),0)</f>
        <v>0</v>
      </c>
      <c r="H171" s="283">
        <f t="shared" si="28"/>
        <v>0</v>
      </c>
      <c r="I171" s="284">
        <f t="shared" si="29"/>
        <v>0</v>
      </c>
      <c r="J171" s="284">
        <f t="shared" si="26"/>
        <v>0</v>
      </c>
      <c r="K171" s="283">
        <v>1.55</v>
      </c>
      <c r="L171" s="285">
        <f t="shared" si="30"/>
        <v>0</v>
      </c>
      <c r="M171" s="285">
        <f t="shared" si="31"/>
        <v>1.55</v>
      </c>
      <c r="N171" s="285">
        <f t="shared" si="32"/>
        <v>0</v>
      </c>
      <c r="O171" s="416">
        <f t="shared" si="33"/>
        <v>0</v>
      </c>
      <c r="P171" s="417">
        <f t="shared" si="34"/>
        <v>35146.25</v>
      </c>
      <c r="Q171" s="441"/>
    </row>
    <row r="172" spans="1:17" s="417" customFormat="1">
      <c r="A172" s="167">
        <v>165</v>
      </c>
      <c r="B172" s="409">
        <v>22675</v>
      </c>
      <c r="C172" s="20" t="str">
        <f>VLOOKUP(A172,'JUNE (물량흐름)'!$A$13:$C$502,2,0)</f>
        <v>ALFANI</v>
      </c>
      <c r="D172" s="282">
        <f>VLOOKUP(A172,'JUNE (물량흐름)'!$A$13:$C$502,3,0)</f>
        <v>100008706</v>
      </c>
      <c r="E172" s="6">
        <f>VLOOKUP(D172,'JUNE (물량흐름)'!$C$13:$W$502,21,0)</f>
        <v>0</v>
      </c>
      <c r="F172" s="6">
        <f t="shared" si="27"/>
        <v>0</v>
      </c>
      <c r="G172" s="6">
        <f>ROUND(SUMIF('In-out-bal products (155)(완성제품)'!$B$12:$B$493,'Sales profit (스타일 별 매출이익)'!D172,'In-out-bal products (155)(완성제품)'!$X$12:$X$493) + SUMIF('In-out-bal products (155)(완성제품)'!$B$12:$B$493,'Sales profit (스타일 별 매출이익)'!D172,'In-out-bal products (155)(완성제품)'!$AA$12:$AA$493),0)</f>
        <v>0</v>
      </c>
      <c r="H172" s="283">
        <f t="shared" si="28"/>
        <v>0</v>
      </c>
      <c r="I172" s="284">
        <f t="shared" si="29"/>
        <v>0</v>
      </c>
      <c r="J172" s="284">
        <f t="shared" si="26"/>
        <v>0</v>
      </c>
      <c r="K172" s="283">
        <v>1.35</v>
      </c>
      <c r="L172" s="285">
        <f t="shared" si="30"/>
        <v>0</v>
      </c>
      <c r="M172" s="285">
        <f t="shared" si="31"/>
        <v>1.35</v>
      </c>
      <c r="N172" s="285">
        <f t="shared" si="32"/>
        <v>0</v>
      </c>
      <c r="O172" s="416">
        <f t="shared" si="33"/>
        <v>0</v>
      </c>
      <c r="P172" s="417">
        <f t="shared" si="34"/>
        <v>30611.250000000004</v>
      </c>
      <c r="Q172" s="441"/>
    </row>
    <row r="173" spans="1:17" s="417" customFormat="1">
      <c r="A173" s="167">
        <v>166</v>
      </c>
      <c r="B173" s="409">
        <v>22675</v>
      </c>
      <c r="C173" s="20" t="str">
        <f>VLOOKUP(A173,'JUNE (물량흐름)'!$A$13:$C$502,2,0)</f>
        <v>ALFANI</v>
      </c>
      <c r="D173" s="282">
        <f>VLOOKUP(A173,'JUNE (물량흐름)'!$A$13:$C$502,3,0)</f>
        <v>100008707</v>
      </c>
      <c r="E173" s="6">
        <f>VLOOKUP(D173,'JUNE (물량흐름)'!$C$13:$W$502,21,0)</f>
        <v>0</v>
      </c>
      <c r="F173" s="6">
        <f t="shared" si="27"/>
        <v>0</v>
      </c>
      <c r="G173" s="6">
        <f>ROUND(SUMIF('In-out-bal products (155)(완성제품)'!$B$12:$B$493,'Sales profit (스타일 별 매출이익)'!D173,'In-out-bal products (155)(완성제품)'!$X$12:$X$493) + SUMIF('In-out-bal products (155)(완성제품)'!$B$12:$B$493,'Sales profit (스타일 별 매출이익)'!D173,'In-out-bal products (155)(완성제품)'!$AA$12:$AA$493),0)</f>
        <v>0</v>
      </c>
      <c r="H173" s="283">
        <f t="shared" si="28"/>
        <v>0</v>
      </c>
      <c r="I173" s="284">
        <f t="shared" si="29"/>
        <v>0</v>
      </c>
      <c r="J173" s="284">
        <f t="shared" si="26"/>
        <v>0</v>
      </c>
      <c r="K173" s="283">
        <v>0.36</v>
      </c>
      <c r="L173" s="285">
        <f t="shared" si="30"/>
        <v>0</v>
      </c>
      <c r="M173" s="285">
        <f t="shared" si="31"/>
        <v>0.36</v>
      </c>
      <c r="N173" s="285">
        <f t="shared" si="32"/>
        <v>0</v>
      </c>
      <c r="O173" s="416">
        <f t="shared" si="33"/>
        <v>0</v>
      </c>
      <c r="P173" s="417">
        <f t="shared" si="34"/>
        <v>8163</v>
      </c>
      <c r="Q173" s="441"/>
    </row>
    <row r="174" spans="1:17" s="417" customFormat="1">
      <c r="A174" s="167">
        <v>167</v>
      </c>
      <c r="B174" s="409">
        <v>22675</v>
      </c>
      <c r="C174" s="20" t="str">
        <f>VLOOKUP(A174,'JUNE (물량흐름)'!$A$13:$C$502,2,0)</f>
        <v>ALFANI</v>
      </c>
      <c r="D174" s="282">
        <f>VLOOKUP(A174,'JUNE (물량흐름)'!$A$13:$C$502,3,0)</f>
        <v>100008708</v>
      </c>
      <c r="E174" s="6">
        <f>VLOOKUP(D174,'JUNE (물량흐름)'!$C$13:$W$502,21,0)</f>
        <v>0</v>
      </c>
      <c r="F174" s="6">
        <f t="shared" si="27"/>
        <v>0</v>
      </c>
      <c r="G174" s="6">
        <f>ROUND(SUMIF('In-out-bal products (155)(완성제품)'!$B$12:$B$493,'Sales profit (스타일 별 매출이익)'!D174,'In-out-bal products (155)(완성제품)'!$X$12:$X$493) + SUMIF('In-out-bal products (155)(완성제품)'!$B$12:$B$493,'Sales profit (스타일 별 매출이익)'!D174,'In-out-bal products (155)(완성제품)'!$AA$12:$AA$493),0)</f>
        <v>0</v>
      </c>
      <c r="H174" s="283">
        <f t="shared" si="28"/>
        <v>0</v>
      </c>
      <c r="I174" s="284">
        <f t="shared" si="29"/>
        <v>0</v>
      </c>
      <c r="J174" s="284">
        <f t="shared" si="26"/>
        <v>0</v>
      </c>
      <c r="K174" s="283">
        <v>1.6</v>
      </c>
      <c r="L174" s="285">
        <f t="shared" si="30"/>
        <v>0</v>
      </c>
      <c r="M174" s="285">
        <f t="shared" si="31"/>
        <v>1.6</v>
      </c>
      <c r="N174" s="285">
        <f t="shared" si="32"/>
        <v>0</v>
      </c>
      <c r="O174" s="416">
        <f t="shared" si="33"/>
        <v>0</v>
      </c>
      <c r="P174" s="417">
        <f t="shared" si="34"/>
        <v>36280</v>
      </c>
      <c r="Q174" s="441"/>
    </row>
    <row r="175" spans="1:17" s="417" customFormat="1">
      <c r="A175" s="167">
        <v>168</v>
      </c>
      <c r="B175" s="409">
        <v>22675</v>
      </c>
      <c r="C175" s="20" t="str">
        <f>VLOOKUP(A175,'JUNE (물량흐름)'!$A$13:$C$502,2,0)</f>
        <v>ALFANI</v>
      </c>
      <c r="D175" s="282">
        <f>VLOOKUP(A175,'JUNE (물량흐름)'!$A$13:$C$502,3,0)</f>
        <v>100008709</v>
      </c>
      <c r="E175" s="6">
        <f>VLOOKUP(D175,'JUNE (물량흐름)'!$C$13:$W$502,21,0)</f>
        <v>0</v>
      </c>
      <c r="F175" s="6">
        <f t="shared" si="27"/>
        <v>0</v>
      </c>
      <c r="G175" s="6">
        <f>ROUND(SUMIF('In-out-bal products (155)(완성제품)'!$B$12:$B$493,'Sales profit (스타일 별 매출이익)'!D175,'In-out-bal products (155)(완성제품)'!$X$12:$X$493) + SUMIF('In-out-bal products (155)(완성제품)'!$B$12:$B$493,'Sales profit (스타일 별 매출이익)'!D175,'In-out-bal products (155)(완성제품)'!$AA$12:$AA$493),0)</f>
        <v>0</v>
      </c>
      <c r="H175" s="283">
        <f t="shared" si="28"/>
        <v>0</v>
      </c>
      <c r="I175" s="284">
        <f t="shared" si="29"/>
        <v>0</v>
      </c>
      <c r="J175" s="284">
        <f t="shared" si="26"/>
        <v>0</v>
      </c>
      <c r="K175" s="283">
        <v>0.35</v>
      </c>
      <c r="L175" s="285">
        <f t="shared" si="30"/>
        <v>0</v>
      </c>
      <c r="M175" s="285">
        <f t="shared" si="31"/>
        <v>0.35</v>
      </c>
      <c r="N175" s="285">
        <f t="shared" si="32"/>
        <v>0</v>
      </c>
      <c r="O175" s="416">
        <f t="shared" si="33"/>
        <v>0</v>
      </c>
      <c r="P175" s="417">
        <f t="shared" si="34"/>
        <v>7936.2499999999991</v>
      </c>
      <c r="Q175" s="441"/>
    </row>
    <row r="176" spans="1:17" s="417" customFormat="1">
      <c r="A176" s="167">
        <v>169</v>
      </c>
      <c r="B176" s="409">
        <v>22675</v>
      </c>
      <c r="C176" s="20" t="str">
        <f>VLOOKUP(A176,'JUNE (물량흐름)'!$A$13:$C$502,2,0)</f>
        <v>ALFANI</v>
      </c>
      <c r="D176" s="282">
        <f>VLOOKUP(A176,'JUNE (물량흐름)'!$A$13:$C$502,3,0)</f>
        <v>100008714</v>
      </c>
      <c r="E176" s="6">
        <f>VLOOKUP(D176,'JUNE (물량흐름)'!$C$13:$W$502,21,0)</f>
        <v>0</v>
      </c>
      <c r="F176" s="6">
        <f t="shared" si="27"/>
        <v>0</v>
      </c>
      <c r="G176" s="6">
        <f>ROUND(SUMIF('In-out-bal products (155)(완성제품)'!$B$12:$B$493,'Sales profit (스타일 별 매출이익)'!D176,'In-out-bal products (155)(완성제품)'!$X$12:$X$493) + SUMIF('In-out-bal products (155)(완성제품)'!$B$12:$B$493,'Sales profit (스타일 별 매출이익)'!D176,'In-out-bal products (155)(완성제품)'!$AA$12:$AA$493),0)</f>
        <v>0</v>
      </c>
      <c r="H176" s="283">
        <f t="shared" si="28"/>
        <v>0</v>
      </c>
      <c r="I176" s="284">
        <f t="shared" si="29"/>
        <v>0</v>
      </c>
      <c r="J176" s="284">
        <f t="shared" si="26"/>
        <v>0</v>
      </c>
      <c r="K176" s="283">
        <v>0.35</v>
      </c>
      <c r="L176" s="285">
        <f t="shared" si="30"/>
        <v>0</v>
      </c>
      <c r="M176" s="285">
        <f t="shared" si="31"/>
        <v>0.35</v>
      </c>
      <c r="N176" s="285">
        <f t="shared" si="32"/>
        <v>0</v>
      </c>
      <c r="O176" s="416">
        <f t="shared" si="33"/>
        <v>0</v>
      </c>
      <c r="P176" s="417">
        <f t="shared" si="34"/>
        <v>7936.2499999999991</v>
      </c>
      <c r="Q176" s="441"/>
    </row>
    <row r="177" spans="1:17" s="417" customFormat="1">
      <c r="A177" s="167">
        <v>170</v>
      </c>
      <c r="B177" s="409">
        <v>22675</v>
      </c>
      <c r="C177" s="20" t="str">
        <f>VLOOKUP(A177,'JUNE (물량흐름)'!$A$13:$C$502,2,0)</f>
        <v>ALFANI</v>
      </c>
      <c r="D177" s="282">
        <f>VLOOKUP(A177,'JUNE (물량흐름)'!$A$13:$C$502,3,0)</f>
        <v>100008716</v>
      </c>
      <c r="E177" s="6">
        <f>VLOOKUP(D177,'JUNE (물량흐름)'!$C$13:$W$502,21,0)</f>
        <v>0</v>
      </c>
      <c r="F177" s="6">
        <f t="shared" si="27"/>
        <v>0</v>
      </c>
      <c r="G177" s="6">
        <f>ROUND(SUMIF('In-out-bal products (155)(완성제품)'!$B$12:$B$493,'Sales profit (스타일 별 매출이익)'!D177,'In-out-bal products (155)(완성제품)'!$X$12:$X$493) + SUMIF('In-out-bal products (155)(완성제품)'!$B$12:$B$493,'Sales profit (스타일 별 매출이익)'!D177,'In-out-bal products (155)(완성제품)'!$AA$12:$AA$493),0)</f>
        <v>0</v>
      </c>
      <c r="H177" s="283">
        <f t="shared" si="28"/>
        <v>0</v>
      </c>
      <c r="I177" s="284">
        <f t="shared" si="29"/>
        <v>0</v>
      </c>
      <c r="J177" s="284">
        <f t="shared" si="26"/>
        <v>0</v>
      </c>
      <c r="K177" s="283">
        <v>0.35</v>
      </c>
      <c r="L177" s="285">
        <f t="shared" si="30"/>
        <v>0</v>
      </c>
      <c r="M177" s="285">
        <f t="shared" si="31"/>
        <v>0.35</v>
      </c>
      <c r="N177" s="285">
        <f t="shared" si="32"/>
        <v>0</v>
      </c>
      <c r="O177" s="416">
        <f t="shared" si="33"/>
        <v>0</v>
      </c>
      <c r="P177" s="417">
        <f t="shared" si="34"/>
        <v>7936.2499999999991</v>
      </c>
      <c r="Q177" s="441"/>
    </row>
    <row r="178" spans="1:17" s="417" customFormat="1">
      <c r="A178" s="167">
        <v>171</v>
      </c>
      <c r="B178" s="409">
        <v>22675</v>
      </c>
      <c r="C178" s="20" t="str">
        <f>VLOOKUP(A178,'JUNE (물량흐름)'!$A$13:$C$502,2,0)</f>
        <v>ALFANI</v>
      </c>
      <c r="D178" s="282">
        <f>VLOOKUP(A178,'JUNE (물량흐름)'!$A$13:$C$502,3,0)</f>
        <v>100008730</v>
      </c>
      <c r="E178" s="6">
        <f>VLOOKUP(D178,'JUNE (물량흐름)'!$C$13:$W$502,21,0)</f>
        <v>0</v>
      </c>
      <c r="F178" s="6">
        <f t="shared" si="27"/>
        <v>0</v>
      </c>
      <c r="G178" s="6">
        <f>ROUND(SUMIF('In-out-bal products (155)(완성제품)'!$B$12:$B$493,'Sales profit (스타일 별 매출이익)'!D178,'In-out-bal products (155)(완성제품)'!$X$12:$X$493) + SUMIF('In-out-bal products (155)(완성제품)'!$B$12:$B$493,'Sales profit (스타일 별 매출이익)'!D178,'In-out-bal products (155)(완성제품)'!$AA$12:$AA$493),0)</f>
        <v>0</v>
      </c>
      <c r="H178" s="283">
        <f t="shared" si="28"/>
        <v>0</v>
      </c>
      <c r="I178" s="284">
        <f t="shared" si="29"/>
        <v>0</v>
      </c>
      <c r="J178" s="284">
        <f t="shared" si="26"/>
        <v>0</v>
      </c>
      <c r="K178" s="283">
        <v>0.35</v>
      </c>
      <c r="L178" s="285">
        <f t="shared" si="30"/>
        <v>0</v>
      </c>
      <c r="M178" s="285">
        <f t="shared" si="31"/>
        <v>0.35</v>
      </c>
      <c r="N178" s="285">
        <f t="shared" si="32"/>
        <v>0</v>
      </c>
      <c r="O178" s="416">
        <f t="shared" si="33"/>
        <v>0</v>
      </c>
      <c r="P178" s="417">
        <f t="shared" si="34"/>
        <v>7936.2499999999991</v>
      </c>
      <c r="Q178" s="441"/>
    </row>
    <row r="179" spans="1:17" s="417" customFormat="1">
      <c r="A179" s="167">
        <v>172</v>
      </c>
      <c r="B179" s="409">
        <v>22675</v>
      </c>
      <c r="C179" s="20" t="str">
        <f>VLOOKUP(A179,'JUNE (물량흐름)'!$A$13:$C$502,2,0)</f>
        <v>ALFANI</v>
      </c>
      <c r="D179" s="282">
        <f>VLOOKUP(A179,'JUNE (물량흐름)'!$A$13:$C$502,3,0)</f>
        <v>100008747</v>
      </c>
      <c r="E179" s="6">
        <f>VLOOKUP(D179,'JUNE (물량흐름)'!$C$13:$W$502,21,0)</f>
        <v>0</v>
      </c>
      <c r="F179" s="6">
        <f t="shared" si="27"/>
        <v>0</v>
      </c>
      <c r="G179" s="6">
        <f>ROUND(SUMIF('In-out-bal products (155)(완성제품)'!$B$12:$B$493,'Sales profit (스타일 별 매출이익)'!D179,'In-out-bal products (155)(완성제품)'!$X$12:$X$493) + SUMIF('In-out-bal products (155)(완성제품)'!$B$12:$B$493,'Sales profit (스타일 별 매출이익)'!D179,'In-out-bal products (155)(완성제품)'!$AA$12:$AA$493),0)</f>
        <v>0</v>
      </c>
      <c r="H179" s="283">
        <f t="shared" si="28"/>
        <v>0</v>
      </c>
      <c r="I179" s="284">
        <f t="shared" si="29"/>
        <v>0</v>
      </c>
      <c r="J179" s="284">
        <f t="shared" si="26"/>
        <v>0</v>
      </c>
      <c r="K179" s="283">
        <v>0.35</v>
      </c>
      <c r="L179" s="285">
        <f t="shared" si="30"/>
        <v>0</v>
      </c>
      <c r="M179" s="285">
        <f t="shared" si="31"/>
        <v>0.35</v>
      </c>
      <c r="N179" s="285">
        <f t="shared" si="32"/>
        <v>0</v>
      </c>
      <c r="O179" s="416">
        <f t="shared" si="33"/>
        <v>0</v>
      </c>
      <c r="P179" s="417">
        <f t="shared" si="34"/>
        <v>7936.2499999999991</v>
      </c>
      <c r="Q179" s="441"/>
    </row>
    <row r="180" spans="1:17" s="417" customFormat="1">
      <c r="A180" s="167">
        <v>173</v>
      </c>
      <c r="B180" s="409">
        <v>22675</v>
      </c>
      <c r="C180" s="20" t="str">
        <f>VLOOKUP(A180,'JUNE (물량흐름)'!$A$13:$C$502,2,0)</f>
        <v>ALFANI</v>
      </c>
      <c r="D180" s="282">
        <f>VLOOKUP(A180,'JUNE (물량흐름)'!$A$13:$C$502,3,0)</f>
        <v>100008749</v>
      </c>
      <c r="E180" s="6">
        <f>VLOOKUP(D180,'JUNE (물량흐름)'!$C$13:$W$502,21,0)</f>
        <v>0</v>
      </c>
      <c r="F180" s="6">
        <f t="shared" si="27"/>
        <v>0</v>
      </c>
      <c r="G180" s="6">
        <f>ROUND(SUMIF('In-out-bal products (155)(완성제품)'!$B$12:$B$493,'Sales profit (스타일 별 매출이익)'!D180,'In-out-bal products (155)(완성제품)'!$X$12:$X$493) + SUMIF('In-out-bal products (155)(완성제품)'!$B$12:$B$493,'Sales profit (스타일 별 매출이익)'!D180,'In-out-bal products (155)(완성제품)'!$AA$12:$AA$493),0)</f>
        <v>0</v>
      </c>
      <c r="H180" s="283">
        <f t="shared" si="28"/>
        <v>0</v>
      </c>
      <c r="I180" s="284">
        <f t="shared" si="29"/>
        <v>0</v>
      </c>
      <c r="J180" s="284">
        <f t="shared" si="26"/>
        <v>0</v>
      </c>
      <c r="K180" s="283">
        <v>0.36</v>
      </c>
      <c r="L180" s="285">
        <f t="shared" si="30"/>
        <v>0</v>
      </c>
      <c r="M180" s="285">
        <f t="shared" si="31"/>
        <v>0.36</v>
      </c>
      <c r="N180" s="285">
        <f t="shared" si="32"/>
        <v>0</v>
      </c>
      <c r="O180" s="416">
        <f t="shared" si="33"/>
        <v>0</v>
      </c>
      <c r="P180" s="417">
        <f t="shared" si="34"/>
        <v>8163</v>
      </c>
      <c r="Q180" s="441"/>
    </row>
    <row r="181" spans="1:17" s="417" customFormat="1">
      <c r="A181" s="167">
        <v>174</v>
      </c>
      <c r="B181" s="409">
        <v>22675</v>
      </c>
      <c r="C181" s="20" t="str">
        <f>VLOOKUP(A181,'JUNE (물량흐름)'!$A$13:$C$502,2,0)</f>
        <v>ALFANI</v>
      </c>
      <c r="D181" s="282">
        <f>VLOOKUP(A181,'JUNE (물량흐름)'!$A$13:$C$502,3,0)</f>
        <v>100008773</v>
      </c>
      <c r="E181" s="6">
        <f>VLOOKUP(D181,'JUNE (물량흐름)'!$C$13:$W$502,21,0)</f>
        <v>0</v>
      </c>
      <c r="F181" s="6">
        <f t="shared" si="27"/>
        <v>0</v>
      </c>
      <c r="G181" s="6">
        <f>ROUND(SUMIF('In-out-bal products (155)(완성제품)'!$B$12:$B$493,'Sales profit (스타일 별 매출이익)'!D181,'In-out-bal products (155)(완성제품)'!$X$12:$X$493) + SUMIF('In-out-bal products (155)(완성제품)'!$B$12:$B$493,'Sales profit (스타일 별 매출이익)'!D181,'In-out-bal products (155)(완성제품)'!$AA$12:$AA$493),0)</f>
        <v>0</v>
      </c>
      <c r="H181" s="283">
        <f t="shared" si="28"/>
        <v>0</v>
      </c>
      <c r="I181" s="284">
        <f t="shared" si="29"/>
        <v>0</v>
      </c>
      <c r="J181" s="284">
        <f t="shared" si="26"/>
        <v>0</v>
      </c>
      <c r="K181" s="283">
        <v>0.36</v>
      </c>
      <c r="L181" s="285">
        <f t="shared" si="30"/>
        <v>0</v>
      </c>
      <c r="M181" s="285">
        <f t="shared" si="31"/>
        <v>0.36</v>
      </c>
      <c r="N181" s="285">
        <f t="shared" si="32"/>
        <v>0</v>
      </c>
      <c r="O181" s="416">
        <f t="shared" si="33"/>
        <v>0</v>
      </c>
      <c r="P181" s="417">
        <f t="shared" si="34"/>
        <v>8163</v>
      </c>
      <c r="Q181" s="441"/>
    </row>
    <row r="182" spans="1:17" s="417" customFormat="1">
      <c r="A182" s="167">
        <v>175</v>
      </c>
      <c r="B182" s="409">
        <v>22675</v>
      </c>
      <c r="C182" s="20" t="str">
        <f>VLOOKUP(A182,'JUNE (물량흐름)'!$A$13:$C$502,2,0)</f>
        <v>ALFANI</v>
      </c>
      <c r="D182" s="282">
        <f>VLOOKUP(A182,'JUNE (물량흐름)'!$A$13:$C$502,3,0)</f>
        <v>100009618</v>
      </c>
      <c r="E182" s="6">
        <f>VLOOKUP(D182,'JUNE (물량흐름)'!$C$13:$W$502,21,0)</f>
        <v>0</v>
      </c>
      <c r="F182" s="6">
        <f t="shared" si="27"/>
        <v>0</v>
      </c>
      <c r="G182" s="6">
        <f>ROUND(SUMIF('In-out-bal products (155)(완성제품)'!$B$12:$B$493,'Sales profit (스타일 별 매출이익)'!D182,'In-out-bal products (155)(완성제품)'!$X$12:$X$493) + SUMIF('In-out-bal products (155)(완성제품)'!$B$12:$B$493,'Sales profit (스타일 별 매출이익)'!D182,'In-out-bal products (155)(완성제품)'!$AA$12:$AA$493),0)</f>
        <v>0</v>
      </c>
      <c r="H182" s="283">
        <f t="shared" si="28"/>
        <v>0</v>
      </c>
      <c r="I182" s="284">
        <f t="shared" si="29"/>
        <v>0</v>
      </c>
      <c r="J182" s="284">
        <f t="shared" si="26"/>
        <v>0</v>
      </c>
      <c r="K182" s="283">
        <v>0.35</v>
      </c>
      <c r="L182" s="285">
        <f t="shared" si="30"/>
        <v>0</v>
      </c>
      <c r="M182" s="285">
        <f t="shared" si="31"/>
        <v>0.35</v>
      </c>
      <c r="N182" s="285">
        <f t="shared" si="32"/>
        <v>0</v>
      </c>
      <c r="O182" s="416">
        <f t="shared" si="33"/>
        <v>0</v>
      </c>
      <c r="P182" s="417">
        <f t="shared" si="34"/>
        <v>7936.2499999999991</v>
      </c>
      <c r="Q182" s="441"/>
    </row>
    <row r="183" spans="1:17" s="417" customFormat="1">
      <c r="A183" s="167">
        <v>176</v>
      </c>
      <c r="B183" s="409">
        <v>22675</v>
      </c>
      <c r="C183" s="20" t="str">
        <f>VLOOKUP(A183,'JUNE (물량흐름)'!$A$13:$C$502,2,0)</f>
        <v>ALFANI</v>
      </c>
      <c r="D183" s="282">
        <f>VLOOKUP(A183,'JUNE (물량흐름)'!$A$13:$C$502,3,0)</f>
        <v>100011932</v>
      </c>
      <c r="E183" s="6">
        <f>VLOOKUP(D183,'JUNE (물량흐름)'!$C$13:$W$502,21,0)</f>
        <v>0</v>
      </c>
      <c r="F183" s="6">
        <f t="shared" si="27"/>
        <v>0</v>
      </c>
      <c r="G183" s="6">
        <f>ROUND(SUMIF('In-out-bal products (155)(완성제품)'!$B$12:$B$493,'Sales profit (스타일 별 매출이익)'!D183,'In-out-bal products (155)(완성제품)'!$X$12:$X$493) + SUMIF('In-out-bal products (155)(완성제품)'!$B$12:$B$493,'Sales profit (스타일 별 매출이익)'!D183,'In-out-bal products (155)(완성제품)'!$AA$12:$AA$493),0)</f>
        <v>0</v>
      </c>
      <c r="H183" s="283">
        <f t="shared" si="28"/>
        <v>0</v>
      </c>
      <c r="I183" s="284">
        <f t="shared" si="29"/>
        <v>0</v>
      </c>
      <c r="J183" s="284">
        <f t="shared" si="26"/>
        <v>0</v>
      </c>
      <c r="K183" s="283">
        <v>0.35</v>
      </c>
      <c r="L183" s="285">
        <f t="shared" si="30"/>
        <v>0</v>
      </c>
      <c r="M183" s="285">
        <f t="shared" si="31"/>
        <v>0.35</v>
      </c>
      <c r="N183" s="285">
        <f t="shared" si="32"/>
        <v>0</v>
      </c>
      <c r="O183" s="416">
        <f t="shared" si="33"/>
        <v>0</v>
      </c>
      <c r="P183" s="417">
        <f t="shared" si="34"/>
        <v>7936.2499999999991</v>
      </c>
      <c r="Q183" s="441"/>
    </row>
    <row r="184" spans="1:17" s="417" customFormat="1">
      <c r="A184" s="167">
        <v>177</v>
      </c>
      <c r="B184" s="409">
        <v>22675</v>
      </c>
      <c r="C184" s="20" t="str">
        <f>VLOOKUP(A184,'JUNE (물량흐름)'!$A$13:$C$502,2,0)</f>
        <v>ALFANI</v>
      </c>
      <c r="D184" s="282">
        <f>VLOOKUP(A184,'JUNE (물량흐름)'!$A$13:$C$502,3,0)</f>
        <v>100011935</v>
      </c>
      <c r="E184" s="6">
        <f>VLOOKUP(D184,'JUNE (물량흐름)'!$C$13:$W$502,21,0)</f>
        <v>0</v>
      </c>
      <c r="F184" s="6">
        <f t="shared" si="27"/>
        <v>0</v>
      </c>
      <c r="G184" s="6">
        <f>ROUND(SUMIF('In-out-bal products (155)(완성제품)'!$B$12:$B$493,'Sales profit (스타일 별 매출이익)'!D184,'In-out-bal products (155)(완성제품)'!$X$12:$X$493) + SUMIF('In-out-bal products (155)(완성제품)'!$B$12:$B$493,'Sales profit (스타일 별 매출이익)'!D184,'In-out-bal products (155)(완성제품)'!$AA$12:$AA$493),0)</f>
        <v>0</v>
      </c>
      <c r="H184" s="283">
        <f t="shared" si="28"/>
        <v>0</v>
      </c>
      <c r="I184" s="284">
        <f t="shared" si="29"/>
        <v>0</v>
      </c>
      <c r="J184" s="284">
        <f t="shared" si="26"/>
        <v>0</v>
      </c>
      <c r="K184" s="283">
        <v>0.35</v>
      </c>
      <c r="L184" s="285">
        <f t="shared" si="30"/>
        <v>0</v>
      </c>
      <c r="M184" s="285">
        <f t="shared" si="31"/>
        <v>0.35</v>
      </c>
      <c r="N184" s="285">
        <f t="shared" si="32"/>
        <v>0</v>
      </c>
      <c r="O184" s="416">
        <f t="shared" si="33"/>
        <v>0</v>
      </c>
      <c r="P184" s="417">
        <f t="shared" si="34"/>
        <v>7936.2499999999991</v>
      </c>
      <c r="Q184" s="441"/>
    </row>
    <row r="185" spans="1:17" s="417" customFormat="1">
      <c r="A185" s="167">
        <v>178</v>
      </c>
      <c r="B185" s="409">
        <v>22675</v>
      </c>
      <c r="C185" s="20" t="str">
        <f>VLOOKUP(A185,'JUNE (물량흐름)'!$A$13:$C$502,2,0)</f>
        <v>ALFANI</v>
      </c>
      <c r="D185" s="282">
        <f>VLOOKUP(A185,'JUNE (물량흐름)'!$A$13:$C$502,3,0)</f>
        <v>100013594</v>
      </c>
      <c r="E185" s="6">
        <f>VLOOKUP(D185,'JUNE (물량흐름)'!$C$13:$W$502,21,0)</f>
        <v>0</v>
      </c>
      <c r="F185" s="6">
        <f t="shared" si="27"/>
        <v>0</v>
      </c>
      <c r="G185" s="6">
        <f>ROUND(SUMIF('In-out-bal products (155)(완성제품)'!$B$12:$B$493,'Sales profit (스타일 별 매출이익)'!D185,'In-out-bal products (155)(완성제품)'!$X$12:$X$493) + SUMIF('In-out-bal products (155)(완성제품)'!$B$12:$B$493,'Sales profit (스타일 별 매출이익)'!D185,'In-out-bal products (155)(완성제품)'!$AA$12:$AA$493),0)</f>
        <v>0</v>
      </c>
      <c r="H185" s="283">
        <f t="shared" si="28"/>
        <v>0</v>
      </c>
      <c r="I185" s="284">
        <f t="shared" si="29"/>
        <v>0</v>
      </c>
      <c r="J185" s="284">
        <f t="shared" si="26"/>
        <v>0</v>
      </c>
      <c r="K185" s="283">
        <v>0.35</v>
      </c>
      <c r="L185" s="285">
        <f t="shared" si="30"/>
        <v>0</v>
      </c>
      <c r="M185" s="285">
        <f t="shared" si="31"/>
        <v>0.35</v>
      </c>
      <c r="N185" s="285">
        <f t="shared" si="32"/>
        <v>0</v>
      </c>
      <c r="O185" s="416">
        <f t="shared" si="33"/>
        <v>0</v>
      </c>
      <c r="P185" s="417">
        <f t="shared" si="34"/>
        <v>7936.2499999999991</v>
      </c>
      <c r="Q185" s="441"/>
    </row>
    <row r="186" spans="1:17" s="417" customFormat="1">
      <c r="A186" s="167">
        <v>179</v>
      </c>
      <c r="B186" s="409">
        <v>22675</v>
      </c>
      <c r="C186" s="20" t="str">
        <f>VLOOKUP(A186,'JUNE (물량흐름)'!$A$13:$C$502,2,0)</f>
        <v>ALFANI</v>
      </c>
      <c r="D186" s="282">
        <f>VLOOKUP(A186,'JUNE (물량흐름)'!$A$13:$C$502,3,0)</f>
        <v>100016320</v>
      </c>
      <c r="E186" s="6">
        <f>VLOOKUP(D186,'JUNE (물량흐름)'!$C$13:$W$502,21,0)</f>
        <v>11291</v>
      </c>
      <c r="F186" s="6">
        <f t="shared" si="27"/>
        <v>532528724</v>
      </c>
      <c r="G186" s="6">
        <f>ROUND(SUMIF('In-out-bal products (155)(완성제품)'!$B$12:$B$493,'Sales profit (스타일 별 매출이익)'!D186,'In-out-bal products (155)(완성제품)'!$X$12:$X$493) + SUMIF('In-out-bal products (155)(완성제품)'!$B$12:$B$493,'Sales profit (스타일 별 매출이익)'!D186,'In-out-bal products (155)(완성제품)'!$AA$12:$AA$493),0)</f>
        <v>86931980</v>
      </c>
      <c r="H186" s="283">
        <f t="shared" si="28"/>
        <v>1.740453022999751</v>
      </c>
      <c r="I186" s="284">
        <f t="shared" si="29"/>
        <v>39464.772296519353</v>
      </c>
      <c r="J186" s="284">
        <f t="shared" si="26"/>
        <v>45457642.615442507</v>
      </c>
      <c r="K186" s="283">
        <v>2.08</v>
      </c>
      <c r="L186" s="285">
        <f t="shared" si="30"/>
        <v>0.33954697700024911</v>
      </c>
      <c r="M186" s="285">
        <f t="shared" si="31"/>
        <v>1.5629003532960217</v>
      </c>
      <c r="N186" s="285">
        <f t="shared" si="32"/>
        <v>0.17755266970372929</v>
      </c>
      <c r="O186" s="416">
        <f t="shared" si="33"/>
        <v>23485.279999999999</v>
      </c>
      <c r="P186" s="417">
        <f t="shared" si="34"/>
        <v>47164</v>
      </c>
      <c r="Q186" s="441"/>
    </row>
    <row r="187" spans="1:17" s="417" customFormat="1">
      <c r="A187" s="167">
        <v>180</v>
      </c>
      <c r="B187" s="409">
        <v>22675</v>
      </c>
      <c r="C187" s="20" t="str">
        <f>VLOOKUP(A187,'JUNE (물량흐름)'!$A$13:$C$502,2,0)</f>
        <v>ALFANI</v>
      </c>
      <c r="D187" s="282">
        <f>VLOOKUP(A187,'JUNE (물량흐름)'!$A$13:$C$502,3,0)</f>
        <v>100016323</v>
      </c>
      <c r="E187" s="6">
        <f>VLOOKUP(D187,'JUNE (물량흐름)'!$C$13:$W$502,21,0)</f>
        <v>0</v>
      </c>
      <c r="F187" s="6">
        <f t="shared" si="27"/>
        <v>0</v>
      </c>
      <c r="G187" s="6">
        <f>ROUND(SUMIF('In-out-bal products (155)(완성제품)'!$B$12:$B$493,'Sales profit (스타일 별 매출이익)'!D187,'In-out-bal products (155)(완성제품)'!$X$12:$X$493) + SUMIF('In-out-bal products (155)(완성제품)'!$B$12:$B$493,'Sales profit (스타일 별 매출이익)'!D187,'In-out-bal products (155)(완성제품)'!$AA$12:$AA$493),0)</f>
        <v>0</v>
      </c>
      <c r="H187" s="283">
        <f t="shared" si="28"/>
        <v>0</v>
      </c>
      <c r="I187" s="284">
        <f t="shared" si="29"/>
        <v>0</v>
      </c>
      <c r="J187" s="284">
        <f t="shared" si="26"/>
        <v>0</v>
      </c>
      <c r="K187" s="283">
        <v>0.35</v>
      </c>
      <c r="L187" s="285">
        <f t="shared" si="30"/>
        <v>0</v>
      </c>
      <c r="M187" s="285">
        <f t="shared" si="31"/>
        <v>0.35</v>
      </c>
      <c r="N187" s="285">
        <f t="shared" si="32"/>
        <v>0</v>
      </c>
      <c r="O187" s="416">
        <f t="shared" si="33"/>
        <v>0</v>
      </c>
      <c r="P187" s="417">
        <f t="shared" si="34"/>
        <v>7936.2499999999991</v>
      </c>
      <c r="Q187" s="441"/>
    </row>
    <row r="188" spans="1:17" s="417" customFormat="1">
      <c r="A188" s="167">
        <v>181</v>
      </c>
      <c r="B188" s="409">
        <v>22675</v>
      </c>
      <c r="C188" s="20" t="str">
        <f>VLOOKUP(A188,'JUNE (물량흐름)'!$A$13:$C$502,2,0)</f>
        <v>ALFANI</v>
      </c>
      <c r="D188" s="282">
        <f>VLOOKUP(A188,'JUNE (물량흐름)'!$A$13:$C$502,3,0)</f>
        <v>100016362</v>
      </c>
      <c r="E188" s="6">
        <f>VLOOKUP(D188,'JUNE (물량흐름)'!$C$13:$W$502,21,0)</f>
        <v>0</v>
      </c>
      <c r="F188" s="6">
        <f t="shared" si="27"/>
        <v>0</v>
      </c>
      <c r="G188" s="6">
        <f>ROUND(SUMIF('In-out-bal products (155)(완성제품)'!$B$12:$B$493,'Sales profit (스타일 별 매출이익)'!D188,'In-out-bal products (155)(완성제품)'!$X$12:$X$493) + SUMIF('In-out-bal products (155)(완성제품)'!$B$12:$B$493,'Sales profit (스타일 별 매출이익)'!D188,'In-out-bal products (155)(완성제품)'!$AA$12:$AA$493),0)</f>
        <v>0</v>
      </c>
      <c r="H188" s="283">
        <f t="shared" si="28"/>
        <v>0</v>
      </c>
      <c r="I188" s="284">
        <f t="shared" si="29"/>
        <v>0</v>
      </c>
      <c r="J188" s="284">
        <f t="shared" si="26"/>
        <v>0</v>
      </c>
      <c r="K188" s="283">
        <v>2.2999999999999998</v>
      </c>
      <c r="L188" s="285">
        <f t="shared" si="30"/>
        <v>0</v>
      </c>
      <c r="M188" s="285">
        <f t="shared" si="31"/>
        <v>2.2999999999999998</v>
      </c>
      <c r="N188" s="285">
        <f t="shared" si="32"/>
        <v>0</v>
      </c>
      <c r="O188" s="416">
        <f t="shared" si="33"/>
        <v>0</v>
      </c>
      <c r="P188" s="417">
        <f t="shared" si="34"/>
        <v>52152.499999999993</v>
      </c>
      <c r="Q188" s="441"/>
    </row>
    <row r="189" spans="1:17" s="417" customFormat="1">
      <c r="A189" s="167">
        <v>182</v>
      </c>
      <c r="B189" s="409">
        <v>22675</v>
      </c>
      <c r="C189" s="20" t="str">
        <f>VLOOKUP(A189,'JUNE (물량흐름)'!$A$13:$C$502,2,0)</f>
        <v>ALFANI</v>
      </c>
      <c r="D189" s="282">
        <f>VLOOKUP(A189,'JUNE (물량흐름)'!$A$13:$C$502,3,0)</f>
        <v>100017250</v>
      </c>
      <c r="E189" s="6">
        <f>VLOOKUP(D189,'JUNE (물량흐름)'!$C$13:$W$502,21,0)</f>
        <v>0</v>
      </c>
      <c r="F189" s="6">
        <f t="shared" si="27"/>
        <v>0</v>
      </c>
      <c r="G189" s="6">
        <f>ROUND(SUMIF('In-out-bal products (155)(완성제품)'!$B$12:$B$493,'Sales profit (스타일 별 매출이익)'!D189,'In-out-bal products (155)(완성제품)'!$X$12:$X$493) + SUMIF('In-out-bal products (155)(완성제품)'!$B$12:$B$493,'Sales profit (스타일 별 매출이익)'!D189,'In-out-bal products (155)(완성제품)'!$AA$12:$AA$493),0)</f>
        <v>0</v>
      </c>
      <c r="H189" s="283">
        <f t="shared" si="28"/>
        <v>0</v>
      </c>
      <c r="I189" s="284">
        <f t="shared" si="29"/>
        <v>0</v>
      </c>
      <c r="J189" s="284">
        <f t="shared" si="26"/>
        <v>0</v>
      </c>
      <c r="K189" s="283">
        <v>0.35</v>
      </c>
      <c r="L189" s="285">
        <f t="shared" si="30"/>
        <v>0</v>
      </c>
      <c r="M189" s="285">
        <f t="shared" si="31"/>
        <v>0.35</v>
      </c>
      <c r="N189" s="285">
        <f t="shared" si="32"/>
        <v>0</v>
      </c>
      <c r="O189" s="416">
        <f t="shared" si="33"/>
        <v>0</v>
      </c>
      <c r="P189" s="417">
        <f t="shared" si="34"/>
        <v>7936.2499999999991</v>
      </c>
      <c r="Q189" s="441"/>
    </row>
    <row r="190" spans="1:17" s="417" customFormat="1">
      <c r="A190" s="167">
        <v>183</v>
      </c>
      <c r="B190" s="409">
        <v>22675</v>
      </c>
      <c r="C190" s="20" t="str">
        <f>VLOOKUP(A190,'JUNE (물량흐름)'!$A$13:$C$502,2,0)</f>
        <v>ALFANI</v>
      </c>
      <c r="D190" s="282">
        <f>VLOOKUP(A190,'JUNE (물량흐름)'!$A$13:$C$502,3,0)</f>
        <v>100017251</v>
      </c>
      <c r="E190" s="6">
        <f>VLOOKUP(D190,'JUNE (물량흐름)'!$C$13:$W$502,21,0)</f>
        <v>0</v>
      </c>
      <c r="F190" s="6">
        <f t="shared" si="27"/>
        <v>0</v>
      </c>
      <c r="G190" s="6">
        <f>ROUND(SUMIF('In-out-bal products (155)(완성제품)'!$B$12:$B$493,'Sales profit (스타일 별 매출이익)'!D190,'In-out-bal products (155)(완성제품)'!$X$12:$X$493) + SUMIF('In-out-bal products (155)(완성제품)'!$B$12:$B$493,'Sales profit (스타일 별 매출이익)'!D190,'In-out-bal products (155)(완성제품)'!$AA$12:$AA$493),0)</f>
        <v>0</v>
      </c>
      <c r="H190" s="283">
        <f t="shared" si="28"/>
        <v>0</v>
      </c>
      <c r="I190" s="284">
        <f t="shared" si="29"/>
        <v>0</v>
      </c>
      <c r="J190" s="284">
        <f t="shared" si="26"/>
        <v>0</v>
      </c>
      <c r="K190" s="283">
        <v>0.35</v>
      </c>
      <c r="L190" s="285">
        <f t="shared" si="30"/>
        <v>0</v>
      </c>
      <c r="M190" s="285">
        <f t="shared" si="31"/>
        <v>0.35</v>
      </c>
      <c r="N190" s="285">
        <f t="shared" si="32"/>
        <v>0</v>
      </c>
      <c r="O190" s="416">
        <f t="shared" si="33"/>
        <v>0</v>
      </c>
      <c r="P190" s="417">
        <f t="shared" si="34"/>
        <v>7936.2499999999991</v>
      </c>
      <c r="Q190" s="441"/>
    </row>
    <row r="191" spans="1:17" s="417" customFormat="1">
      <c r="A191" s="167">
        <v>184</v>
      </c>
      <c r="B191" s="409">
        <v>22675</v>
      </c>
      <c r="C191" s="20" t="str">
        <f>VLOOKUP(A191,'JUNE (물량흐름)'!$A$13:$C$502,2,0)</f>
        <v>ALFANI</v>
      </c>
      <c r="D191" s="282">
        <f>VLOOKUP(A191,'JUNE (물량흐름)'!$A$13:$C$502,3,0)</f>
        <v>100017339</v>
      </c>
      <c r="E191" s="6">
        <f>VLOOKUP(D191,'JUNE (물량흐름)'!$C$13:$W$502,21,0)</f>
        <v>0</v>
      </c>
      <c r="F191" s="6">
        <f t="shared" si="27"/>
        <v>0</v>
      </c>
      <c r="G191" s="6">
        <f>ROUND(SUMIF('In-out-bal products (155)(완성제품)'!$B$12:$B$493,'Sales profit (스타일 별 매출이익)'!D191,'In-out-bal products (155)(완성제품)'!$X$12:$X$493) + SUMIF('In-out-bal products (155)(완성제품)'!$B$12:$B$493,'Sales profit (스타일 별 매출이익)'!D191,'In-out-bal products (155)(완성제품)'!$AA$12:$AA$493),0)</f>
        <v>0</v>
      </c>
      <c r="H191" s="283">
        <f t="shared" si="28"/>
        <v>0</v>
      </c>
      <c r="I191" s="284">
        <f t="shared" si="29"/>
        <v>0</v>
      </c>
      <c r="J191" s="284">
        <f t="shared" si="26"/>
        <v>0</v>
      </c>
      <c r="K191" s="283">
        <v>1.8</v>
      </c>
      <c r="L191" s="285">
        <f t="shared" si="30"/>
        <v>0</v>
      </c>
      <c r="M191" s="285">
        <f t="shared" si="31"/>
        <v>1.8</v>
      </c>
      <c r="N191" s="285">
        <f t="shared" si="32"/>
        <v>0</v>
      </c>
      <c r="O191" s="416">
        <f t="shared" si="33"/>
        <v>0</v>
      </c>
      <c r="P191" s="417">
        <f t="shared" si="34"/>
        <v>40815</v>
      </c>
      <c r="Q191" s="441"/>
    </row>
    <row r="192" spans="1:17" s="417" customFormat="1">
      <c r="A192" s="167">
        <v>185</v>
      </c>
      <c r="B192" s="409">
        <v>22675</v>
      </c>
      <c r="C192" s="20" t="str">
        <f>VLOOKUP(A192,'JUNE (물량흐름)'!$A$13:$C$502,2,0)</f>
        <v>ALFANI</v>
      </c>
      <c r="D192" s="282">
        <f>VLOOKUP(A192,'JUNE (물량흐름)'!$A$13:$C$502,3,0)</f>
        <v>100018342</v>
      </c>
      <c r="E192" s="6">
        <f>VLOOKUP(D192,'JUNE (물량흐름)'!$C$13:$W$502,21,0)</f>
        <v>0</v>
      </c>
      <c r="F192" s="6">
        <f t="shared" si="27"/>
        <v>0</v>
      </c>
      <c r="G192" s="6">
        <f>ROUND(SUMIF('In-out-bal products (155)(완성제품)'!$B$12:$B$493,'Sales profit (스타일 별 매출이익)'!D192,'In-out-bal products (155)(완성제품)'!$X$12:$X$493) + SUMIF('In-out-bal products (155)(완성제품)'!$B$12:$B$493,'Sales profit (스타일 별 매출이익)'!D192,'In-out-bal products (155)(완성제품)'!$AA$12:$AA$493),0)</f>
        <v>0</v>
      </c>
      <c r="H192" s="283">
        <f t="shared" si="28"/>
        <v>0</v>
      </c>
      <c r="I192" s="284">
        <f t="shared" si="29"/>
        <v>0</v>
      </c>
      <c r="J192" s="284">
        <f t="shared" si="26"/>
        <v>0</v>
      </c>
      <c r="K192" s="283">
        <v>0.35</v>
      </c>
      <c r="L192" s="285">
        <f t="shared" si="30"/>
        <v>0</v>
      </c>
      <c r="M192" s="285">
        <f t="shared" si="31"/>
        <v>0.35</v>
      </c>
      <c r="N192" s="285">
        <f t="shared" si="32"/>
        <v>0</v>
      </c>
      <c r="O192" s="416">
        <f t="shared" si="33"/>
        <v>0</v>
      </c>
      <c r="P192" s="417">
        <f t="shared" si="34"/>
        <v>7936.2499999999991</v>
      </c>
      <c r="Q192" s="441"/>
    </row>
    <row r="193" spans="1:17" s="417" customFormat="1">
      <c r="A193" s="167">
        <v>186</v>
      </c>
      <c r="B193" s="409">
        <v>22675</v>
      </c>
      <c r="C193" s="20" t="str">
        <f>VLOOKUP(A193,'JUNE (물량흐름)'!$A$13:$C$502,2,0)</f>
        <v>STOCK</v>
      </c>
      <c r="D193" s="282" t="str">
        <f>VLOOKUP(A193,'JUNE (물량흐름)'!$A$13:$C$502,3,0)</f>
        <v>S-69717</v>
      </c>
      <c r="E193" s="6">
        <f>VLOOKUP(D193,'JUNE (물량흐름)'!$C$13:$W$502,21,0)</f>
        <v>0</v>
      </c>
      <c r="F193" s="6">
        <f t="shared" si="27"/>
        <v>0</v>
      </c>
      <c r="G193" s="6">
        <f>ROUND(SUMIF('In-out-bal products (155)(완성제품)'!$B$12:$B$493,'Sales profit (스타일 별 매출이익)'!D193,'In-out-bal products (155)(완성제품)'!$X$12:$X$493) + SUMIF('In-out-bal products (155)(완성제품)'!$B$12:$B$493,'Sales profit (스타일 별 매출이익)'!D193,'In-out-bal products (155)(완성제품)'!$AA$12:$AA$493),0)</f>
        <v>0</v>
      </c>
      <c r="H193" s="283">
        <f t="shared" si="28"/>
        <v>0</v>
      </c>
      <c r="I193" s="284">
        <f t="shared" si="29"/>
        <v>0</v>
      </c>
      <c r="J193" s="284">
        <f t="shared" si="26"/>
        <v>0</v>
      </c>
      <c r="K193" s="283">
        <v>0.35</v>
      </c>
      <c r="L193" s="285">
        <f t="shared" si="30"/>
        <v>0</v>
      </c>
      <c r="M193" s="285">
        <f t="shared" si="31"/>
        <v>0.35</v>
      </c>
      <c r="N193" s="285">
        <f t="shared" si="32"/>
        <v>0</v>
      </c>
      <c r="O193" s="416">
        <f t="shared" si="33"/>
        <v>0</v>
      </c>
      <c r="P193" s="417">
        <f t="shared" si="34"/>
        <v>7936.2499999999991</v>
      </c>
      <c r="Q193" s="441"/>
    </row>
    <row r="194" spans="1:17" s="417" customFormat="1">
      <c r="A194" s="167">
        <v>187</v>
      </c>
      <c r="B194" s="409">
        <v>22675</v>
      </c>
      <c r="C194" s="20" t="str">
        <f>VLOOKUP(A194,'JUNE (물량흐름)'!$A$13:$C$502,2,0)</f>
        <v>ANN TAYLOR</v>
      </c>
      <c r="D194" s="282">
        <f>VLOOKUP(A194,'JUNE (물량흐름)'!$A$13:$C$502,3,0)</f>
        <v>453088</v>
      </c>
      <c r="E194" s="6">
        <f>VLOOKUP(D194,'JUNE (물량흐름)'!$C$13:$W$502,21,0)</f>
        <v>0</v>
      </c>
      <c r="F194" s="6">
        <f t="shared" si="27"/>
        <v>0</v>
      </c>
      <c r="G194" s="6">
        <f>ROUND(SUMIF('In-out-bal products (155)(완성제품)'!$B$12:$B$493,'Sales profit (스타일 별 매출이익)'!D194,'In-out-bal products (155)(완성제품)'!$X$12:$X$493) + SUMIF('In-out-bal products (155)(완성제품)'!$B$12:$B$493,'Sales profit (스타일 별 매출이익)'!D194,'In-out-bal products (155)(완성제품)'!$AA$12:$AA$493),0)</f>
        <v>0</v>
      </c>
      <c r="H194" s="283">
        <f t="shared" si="28"/>
        <v>0</v>
      </c>
      <c r="I194" s="284">
        <f t="shared" si="29"/>
        <v>0</v>
      </c>
      <c r="J194" s="284">
        <f t="shared" si="26"/>
        <v>0</v>
      </c>
      <c r="K194" s="283">
        <v>0.35</v>
      </c>
      <c r="L194" s="285">
        <f t="shared" si="30"/>
        <v>0</v>
      </c>
      <c r="M194" s="285">
        <f t="shared" si="31"/>
        <v>0.35</v>
      </c>
      <c r="N194" s="285">
        <f t="shared" si="32"/>
        <v>0</v>
      </c>
      <c r="O194" s="416">
        <f t="shared" si="33"/>
        <v>0</v>
      </c>
      <c r="P194" s="417">
        <f t="shared" si="34"/>
        <v>7936.2499999999991</v>
      </c>
      <c r="Q194" s="441"/>
    </row>
    <row r="195" spans="1:17" s="417" customFormat="1">
      <c r="A195" s="167">
        <v>188</v>
      </c>
      <c r="B195" s="409">
        <v>22675</v>
      </c>
      <c r="C195" s="20" t="str">
        <f>VLOOKUP(A195,'JUNE (물량흐름)'!$A$13:$C$502,2,0)</f>
        <v>ANN TAYLOR</v>
      </c>
      <c r="D195" s="282">
        <f>VLOOKUP(A195,'JUNE (물량흐름)'!$A$13:$C$502,3,0)</f>
        <v>453616</v>
      </c>
      <c r="E195" s="6">
        <f>VLOOKUP(D195,'JUNE (물량흐름)'!$C$13:$W$502,21,0)</f>
        <v>0</v>
      </c>
      <c r="F195" s="6">
        <f t="shared" si="27"/>
        <v>0</v>
      </c>
      <c r="G195" s="6">
        <f>ROUND(SUMIF('In-out-bal products (155)(완성제품)'!$B$12:$B$493,'Sales profit (스타일 별 매출이익)'!D195,'In-out-bal products (155)(완성제품)'!$X$12:$X$493) + SUMIF('In-out-bal products (155)(완성제품)'!$B$12:$B$493,'Sales profit (스타일 별 매출이익)'!D195,'In-out-bal products (155)(완성제품)'!$AA$12:$AA$493),0)</f>
        <v>0</v>
      </c>
      <c r="H195" s="283">
        <f t="shared" si="28"/>
        <v>0</v>
      </c>
      <c r="I195" s="284">
        <f t="shared" si="29"/>
        <v>0</v>
      </c>
      <c r="J195" s="284">
        <f t="shared" si="26"/>
        <v>0</v>
      </c>
      <c r="K195" s="283">
        <v>0.35</v>
      </c>
      <c r="L195" s="285">
        <f t="shared" si="30"/>
        <v>0</v>
      </c>
      <c r="M195" s="285">
        <f t="shared" si="31"/>
        <v>0.35</v>
      </c>
      <c r="N195" s="285">
        <f t="shared" si="32"/>
        <v>0</v>
      </c>
      <c r="O195" s="416">
        <f t="shared" si="33"/>
        <v>0</v>
      </c>
      <c r="P195" s="417">
        <f t="shared" si="34"/>
        <v>7936.2499999999991</v>
      </c>
      <c r="Q195" s="441"/>
    </row>
    <row r="196" spans="1:17" s="417" customFormat="1">
      <c r="A196" s="167">
        <v>189</v>
      </c>
      <c r="B196" s="409">
        <v>22675</v>
      </c>
      <c r="C196" s="20" t="str">
        <f>VLOOKUP(A196,'JUNE (물량흐름)'!$A$13:$C$502,2,0)</f>
        <v>ANN TAYLOR</v>
      </c>
      <c r="D196" s="282">
        <f>VLOOKUP(A196,'JUNE (물량흐름)'!$A$13:$C$502,3,0)</f>
        <v>453707</v>
      </c>
      <c r="E196" s="6">
        <f>VLOOKUP(D196,'JUNE (물량흐름)'!$C$13:$W$502,21,0)</f>
        <v>0</v>
      </c>
      <c r="F196" s="6">
        <f t="shared" si="27"/>
        <v>0</v>
      </c>
      <c r="G196" s="6">
        <f>ROUND(SUMIF('In-out-bal products (155)(완성제품)'!$B$12:$B$493,'Sales profit (스타일 별 매출이익)'!D196,'In-out-bal products (155)(완성제품)'!$X$12:$X$493) + SUMIF('In-out-bal products (155)(완성제품)'!$B$12:$B$493,'Sales profit (스타일 별 매출이익)'!D196,'In-out-bal products (155)(완성제품)'!$AA$12:$AA$493),0)</f>
        <v>0</v>
      </c>
      <c r="H196" s="283">
        <f t="shared" si="28"/>
        <v>0</v>
      </c>
      <c r="I196" s="284">
        <f t="shared" si="29"/>
        <v>0</v>
      </c>
      <c r="J196" s="284">
        <f t="shared" si="26"/>
        <v>0</v>
      </c>
      <c r="K196" s="283">
        <v>0.35</v>
      </c>
      <c r="L196" s="285">
        <f t="shared" si="30"/>
        <v>0</v>
      </c>
      <c r="M196" s="285">
        <f t="shared" si="31"/>
        <v>0.35</v>
      </c>
      <c r="N196" s="285">
        <f t="shared" si="32"/>
        <v>0</v>
      </c>
      <c r="O196" s="416">
        <f t="shared" si="33"/>
        <v>0</v>
      </c>
      <c r="P196" s="417">
        <f t="shared" si="34"/>
        <v>7936.2499999999991</v>
      </c>
      <c r="Q196" s="441"/>
    </row>
    <row r="197" spans="1:17" s="417" customFormat="1">
      <c r="A197" s="167">
        <v>190</v>
      </c>
      <c r="B197" s="409">
        <v>22675</v>
      </c>
      <c r="C197" s="20" t="str">
        <f>VLOOKUP(A197,'JUNE (물량흐름)'!$A$13:$C$502,2,0)</f>
        <v>ANN TAYLOR</v>
      </c>
      <c r="D197" s="282">
        <f>VLOOKUP(A197,'JUNE (물량흐름)'!$A$13:$C$502,3,0)</f>
        <v>454208</v>
      </c>
      <c r="E197" s="6">
        <f>VLOOKUP(D197,'JUNE (물량흐름)'!$C$13:$W$502,21,0)</f>
        <v>0</v>
      </c>
      <c r="F197" s="6">
        <f t="shared" si="27"/>
        <v>0</v>
      </c>
      <c r="G197" s="6">
        <f>ROUND(SUMIF('In-out-bal products (155)(완성제품)'!$B$12:$B$493,'Sales profit (스타일 별 매출이익)'!D197,'In-out-bal products (155)(완성제품)'!$X$12:$X$493) + SUMIF('In-out-bal products (155)(완성제품)'!$B$12:$B$493,'Sales profit (스타일 별 매출이익)'!D197,'In-out-bal products (155)(완성제품)'!$AA$12:$AA$493),0)</f>
        <v>0</v>
      </c>
      <c r="H197" s="283">
        <f t="shared" si="28"/>
        <v>0</v>
      </c>
      <c r="I197" s="284">
        <f t="shared" si="29"/>
        <v>0</v>
      </c>
      <c r="J197" s="284">
        <f t="shared" si="26"/>
        <v>0</v>
      </c>
      <c r="K197" s="283">
        <v>0.35</v>
      </c>
      <c r="L197" s="285">
        <f t="shared" si="30"/>
        <v>0</v>
      </c>
      <c r="M197" s="285">
        <f t="shared" si="31"/>
        <v>0.35</v>
      </c>
      <c r="N197" s="285">
        <f t="shared" si="32"/>
        <v>0</v>
      </c>
      <c r="O197" s="416">
        <f t="shared" si="33"/>
        <v>0</v>
      </c>
      <c r="P197" s="417">
        <f t="shared" si="34"/>
        <v>7936.2499999999991</v>
      </c>
      <c r="Q197" s="441"/>
    </row>
    <row r="198" spans="1:17" s="417" customFormat="1">
      <c r="A198" s="167">
        <v>191</v>
      </c>
      <c r="B198" s="409">
        <v>22675</v>
      </c>
      <c r="C198" s="20" t="str">
        <f>VLOOKUP(A198,'JUNE (물량흐름)'!$A$13:$C$502,2,0)</f>
        <v>ANN TAYLOR</v>
      </c>
      <c r="D198" s="282">
        <f>VLOOKUP(A198,'JUNE (물량흐름)'!$A$13:$C$502,3,0)</f>
        <v>455769</v>
      </c>
      <c r="E198" s="6">
        <f>VLOOKUP(D198,'JUNE (물량흐름)'!$C$13:$W$502,21,0)</f>
        <v>0</v>
      </c>
      <c r="F198" s="6">
        <f t="shared" si="27"/>
        <v>0</v>
      </c>
      <c r="G198" s="6">
        <f>ROUND(SUMIF('In-out-bal products (155)(완성제품)'!$B$12:$B$493,'Sales profit (스타일 별 매출이익)'!D198,'In-out-bal products (155)(완성제품)'!$X$12:$X$493) + SUMIF('In-out-bal products (155)(완성제품)'!$B$12:$B$493,'Sales profit (스타일 별 매출이익)'!D198,'In-out-bal products (155)(완성제품)'!$AA$12:$AA$493),0)</f>
        <v>0</v>
      </c>
      <c r="H198" s="283">
        <f t="shared" si="28"/>
        <v>0</v>
      </c>
      <c r="I198" s="284">
        <f t="shared" si="29"/>
        <v>0</v>
      </c>
      <c r="J198" s="284">
        <f t="shared" si="26"/>
        <v>0</v>
      </c>
      <c r="K198" s="283">
        <v>0.35</v>
      </c>
      <c r="L198" s="285">
        <f t="shared" si="30"/>
        <v>0</v>
      </c>
      <c r="M198" s="285">
        <f t="shared" si="31"/>
        <v>0.35</v>
      </c>
      <c r="N198" s="285">
        <f t="shared" si="32"/>
        <v>0</v>
      </c>
      <c r="O198" s="416">
        <f t="shared" si="33"/>
        <v>0</v>
      </c>
      <c r="P198" s="417">
        <f t="shared" si="34"/>
        <v>7936.2499999999991</v>
      </c>
      <c r="Q198" s="441"/>
    </row>
    <row r="199" spans="1:17" s="417" customFormat="1">
      <c r="A199" s="167">
        <v>192</v>
      </c>
      <c r="B199" s="409">
        <v>22675</v>
      </c>
      <c r="C199" s="20" t="str">
        <f>VLOOKUP(A199,'JUNE (물량흐름)'!$A$13:$C$502,2,0)</f>
        <v>ANN TAYLOR</v>
      </c>
      <c r="D199" s="282">
        <f>VLOOKUP(A199,'JUNE (물량흐름)'!$A$13:$C$502,3,0)</f>
        <v>455770</v>
      </c>
      <c r="E199" s="6">
        <f>VLOOKUP(D199,'JUNE (물량흐름)'!$C$13:$W$502,21,0)</f>
        <v>0</v>
      </c>
      <c r="F199" s="6">
        <f t="shared" si="27"/>
        <v>0</v>
      </c>
      <c r="G199" s="6">
        <f>ROUND(SUMIF('In-out-bal products (155)(완성제품)'!$B$12:$B$493,'Sales profit (스타일 별 매출이익)'!D199,'In-out-bal products (155)(완성제품)'!$X$12:$X$493) + SUMIF('In-out-bal products (155)(완성제품)'!$B$12:$B$493,'Sales profit (스타일 별 매출이익)'!D199,'In-out-bal products (155)(완성제품)'!$AA$12:$AA$493),0)</f>
        <v>0</v>
      </c>
      <c r="H199" s="283">
        <f t="shared" si="28"/>
        <v>0</v>
      </c>
      <c r="I199" s="284">
        <f t="shared" si="29"/>
        <v>0</v>
      </c>
      <c r="J199" s="284">
        <f t="shared" si="26"/>
        <v>0</v>
      </c>
      <c r="K199" s="283">
        <v>0.35</v>
      </c>
      <c r="L199" s="285">
        <f t="shared" si="30"/>
        <v>0</v>
      </c>
      <c r="M199" s="285">
        <f t="shared" si="31"/>
        <v>0.35</v>
      </c>
      <c r="N199" s="285">
        <f t="shared" si="32"/>
        <v>0</v>
      </c>
      <c r="O199" s="416">
        <f t="shared" si="33"/>
        <v>0</v>
      </c>
      <c r="P199" s="417">
        <f t="shared" si="34"/>
        <v>7936.2499999999991</v>
      </c>
      <c r="Q199" s="441"/>
    </row>
    <row r="200" spans="1:17" s="417" customFormat="1" ht="14.25" customHeight="1">
      <c r="A200" s="167">
        <v>193</v>
      </c>
      <c r="B200" s="409">
        <v>22675</v>
      </c>
      <c r="C200" s="20" t="str">
        <f>VLOOKUP(A200,'JUNE (물량흐름)'!$A$13:$C$502,2,0)</f>
        <v>ANN TAYLOR</v>
      </c>
      <c r="D200" s="282">
        <f>VLOOKUP(A200,'JUNE (물량흐름)'!$A$13:$C$502,3,0)</f>
        <v>456858</v>
      </c>
      <c r="E200" s="6">
        <f>VLOOKUP(D200,'JUNE (물량흐름)'!$C$13:$W$502,21,0)</f>
        <v>0</v>
      </c>
      <c r="F200" s="6">
        <f t="shared" si="27"/>
        <v>0</v>
      </c>
      <c r="G200" s="6">
        <f>ROUND(SUMIF('In-out-bal products (155)(완성제품)'!$B$12:$B$493,'Sales profit (스타일 별 매출이익)'!D200,'In-out-bal products (155)(완성제품)'!$X$12:$X$493) + SUMIF('In-out-bal products (155)(완성제품)'!$B$12:$B$493,'Sales profit (스타일 별 매출이익)'!D200,'In-out-bal products (155)(완성제품)'!$AA$12:$AA$493),0)</f>
        <v>0</v>
      </c>
      <c r="H200" s="283">
        <f t="shared" si="28"/>
        <v>0</v>
      </c>
      <c r="I200" s="284">
        <f t="shared" si="29"/>
        <v>0</v>
      </c>
      <c r="J200" s="284">
        <f t="shared" ref="J200:J263" si="35">IFERROR(F200*$J$492/$F$492,0)</f>
        <v>0</v>
      </c>
      <c r="K200" s="283">
        <v>0.35</v>
      </c>
      <c r="L200" s="285">
        <f t="shared" si="30"/>
        <v>0</v>
      </c>
      <c r="M200" s="285">
        <f t="shared" si="31"/>
        <v>0.35</v>
      </c>
      <c r="N200" s="285">
        <f t="shared" si="32"/>
        <v>0</v>
      </c>
      <c r="O200" s="416">
        <f t="shared" si="33"/>
        <v>0</v>
      </c>
      <c r="P200" s="417">
        <f t="shared" si="34"/>
        <v>7936.2499999999991</v>
      </c>
      <c r="Q200" s="441"/>
    </row>
    <row r="201" spans="1:17" s="417" customFormat="1">
      <c r="A201" s="167">
        <v>194</v>
      </c>
      <c r="B201" s="409">
        <v>22675</v>
      </c>
      <c r="C201" s="20" t="str">
        <f>VLOOKUP(A201,'JUNE (물량흐름)'!$A$13:$C$502,2,0)</f>
        <v>ANN TAYLOR</v>
      </c>
      <c r="D201" s="282">
        <f>VLOOKUP(A201,'JUNE (물량흐름)'!$A$13:$C$502,3,0)</f>
        <v>465443</v>
      </c>
      <c r="E201" s="6">
        <f>VLOOKUP(D201,'JUNE (물량흐름)'!$C$13:$W$502,21,0)</f>
        <v>0</v>
      </c>
      <c r="F201" s="6">
        <f t="shared" ref="F201:F264" si="36">IFERROR(ROUND(E201*K201*B201,0),0)</f>
        <v>0</v>
      </c>
      <c r="G201" s="6">
        <f>ROUND(SUMIF('In-out-bal products (155)(완성제품)'!$B$12:$B$493,'Sales profit (스타일 별 매출이익)'!D201,'In-out-bal products (155)(완성제품)'!$X$12:$X$493) + SUMIF('In-out-bal products (155)(완성제품)'!$B$12:$B$493,'Sales profit (스타일 별 매출이익)'!D201,'In-out-bal products (155)(완성제품)'!$AA$12:$AA$493),0)</f>
        <v>0</v>
      </c>
      <c r="H201" s="283">
        <f t="shared" ref="H201:H264" si="37">IFERROR(I201/B201,0)</f>
        <v>0</v>
      </c>
      <c r="I201" s="284">
        <f t="shared" ref="I201:I264" si="38">IFERROR((F201-G201)/E201,0)</f>
        <v>0</v>
      </c>
      <c r="J201" s="284">
        <f t="shared" si="35"/>
        <v>0</v>
      </c>
      <c r="K201" s="283">
        <v>0.35</v>
      </c>
      <c r="L201" s="285">
        <f t="shared" ref="L201:L264" si="39">IFERROR(G201/E201/B201,0)</f>
        <v>0</v>
      </c>
      <c r="M201" s="285">
        <f t="shared" ref="M201:M264" si="40">K201-L201-N201</f>
        <v>0.35</v>
      </c>
      <c r="N201" s="285">
        <f t="shared" ref="N201:N264" si="41">IFERROR(J201/E201/B201,0)</f>
        <v>0</v>
      </c>
      <c r="O201" s="416">
        <f t="shared" ref="O201:O264" si="42">ROUND(K201*E201,2)</f>
        <v>0</v>
      </c>
      <c r="P201" s="417">
        <f t="shared" ref="P201:P264" si="43">+B201*K201</f>
        <v>7936.2499999999991</v>
      </c>
      <c r="Q201" s="441"/>
    </row>
    <row r="202" spans="1:17" s="417" customFormat="1">
      <c r="A202" s="167">
        <v>195</v>
      </c>
      <c r="B202" s="409">
        <v>22675</v>
      </c>
      <c r="C202" s="20" t="str">
        <f>VLOOKUP(A202,'JUNE (물량흐름)'!$A$13:$C$502,2,0)</f>
        <v>ANN TAYLOR</v>
      </c>
      <c r="D202" s="282">
        <f>VLOOKUP(A202,'JUNE (물량흐름)'!$A$13:$C$502,3,0)</f>
        <v>465452</v>
      </c>
      <c r="E202" s="6">
        <f>VLOOKUP(D202,'JUNE (물량흐름)'!$C$13:$W$502,21,0)</f>
        <v>0</v>
      </c>
      <c r="F202" s="6">
        <f t="shared" si="36"/>
        <v>0</v>
      </c>
      <c r="G202" s="6">
        <f>ROUND(SUMIF('In-out-bal products (155)(완성제품)'!$B$12:$B$493,'Sales profit (스타일 별 매출이익)'!D202,'In-out-bal products (155)(완성제품)'!$X$12:$X$493) + SUMIF('In-out-bal products (155)(완성제품)'!$B$12:$B$493,'Sales profit (스타일 별 매출이익)'!D202,'In-out-bal products (155)(완성제품)'!$AA$12:$AA$493),0)</f>
        <v>0</v>
      </c>
      <c r="H202" s="283">
        <f t="shared" si="37"/>
        <v>0</v>
      </c>
      <c r="I202" s="284">
        <f t="shared" si="38"/>
        <v>0</v>
      </c>
      <c r="J202" s="284">
        <f t="shared" si="35"/>
        <v>0</v>
      </c>
      <c r="K202" s="283">
        <v>0.35</v>
      </c>
      <c r="L202" s="285">
        <f t="shared" si="39"/>
        <v>0</v>
      </c>
      <c r="M202" s="285">
        <f t="shared" si="40"/>
        <v>0.35</v>
      </c>
      <c r="N202" s="285">
        <f t="shared" si="41"/>
        <v>0</v>
      </c>
      <c r="O202" s="416">
        <f t="shared" si="42"/>
        <v>0</v>
      </c>
      <c r="P202" s="417">
        <f t="shared" si="43"/>
        <v>7936.2499999999991</v>
      </c>
      <c r="Q202" s="441"/>
    </row>
    <row r="203" spans="1:17" s="417" customFormat="1">
      <c r="A203" s="167">
        <v>196</v>
      </c>
      <c r="B203" s="409">
        <v>22675</v>
      </c>
      <c r="C203" s="20" t="str">
        <f>VLOOKUP(A203,'JUNE (물량흐름)'!$A$13:$C$502,2,0)</f>
        <v>ANN TAYLOR</v>
      </c>
      <c r="D203" s="282">
        <f>VLOOKUP(A203,'JUNE (물량흐름)'!$A$13:$C$502,3,0)</f>
        <v>465456</v>
      </c>
      <c r="E203" s="6">
        <f>VLOOKUP(D203,'JUNE (물량흐름)'!$C$13:$W$502,21,0)</f>
        <v>0</v>
      </c>
      <c r="F203" s="6">
        <f t="shared" si="36"/>
        <v>0</v>
      </c>
      <c r="G203" s="6">
        <f>ROUND(SUMIF('In-out-bal products (155)(완성제품)'!$B$12:$B$493,'Sales profit (스타일 별 매출이익)'!D203,'In-out-bal products (155)(완성제품)'!$X$12:$X$493) + SUMIF('In-out-bal products (155)(완성제품)'!$B$12:$B$493,'Sales profit (스타일 별 매출이익)'!D203,'In-out-bal products (155)(완성제품)'!$AA$12:$AA$493),0)</f>
        <v>0</v>
      </c>
      <c r="H203" s="283">
        <f t="shared" si="37"/>
        <v>0</v>
      </c>
      <c r="I203" s="284">
        <f t="shared" si="38"/>
        <v>0</v>
      </c>
      <c r="J203" s="284">
        <f t="shared" si="35"/>
        <v>0</v>
      </c>
      <c r="K203" s="283">
        <v>0.35</v>
      </c>
      <c r="L203" s="285">
        <f t="shared" si="39"/>
        <v>0</v>
      </c>
      <c r="M203" s="285">
        <f t="shared" si="40"/>
        <v>0.35</v>
      </c>
      <c r="N203" s="285">
        <f t="shared" si="41"/>
        <v>0</v>
      </c>
      <c r="O203" s="416">
        <f t="shared" si="42"/>
        <v>0</v>
      </c>
      <c r="P203" s="417">
        <f t="shared" si="43"/>
        <v>7936.2499999999991</v>
      </c>
      <c r="Q203" s="441"/>
    </row>
    <row r="204" spans="1:17" s="417" customFormat="1">
      <c r="A204" s="167">
        <v>197</v>
      </c>
      <c r="B204" s="409">
        <v>22675</v>
      </c>
      <c r="C204" s="20" t="str">
        <f>VLOOKUP(A204,'JUNE (물량흐름)'!$A$13:$C$502,2,0)</f>
        <v>INC</v>
      </c>
      <c r="D204" s="282">
        <f>VLOOKUP(A204,'JUNE (물량흐름)'!$A$13:$C$502,3,0)</f>
        <v>100003058</v>
      </c>
      <c r="E204" s="6">
        <f>VLOOKUP(D204,'JUNE (물량흐름)'!$C$13:$W$502,21,0)</f>
        <v>0</v>
      </c>
      <c r="F204" s="6">
        <f t="shared" si="36"/>
        <v>0</v>
      </c>
      <c r="G204" s="6">
        <f>ROUND(SUMIF('In-out-bal products (155)(완성제품)'!$B$12:$B$493,'Sales profit (스타일 별 매출이익)'!D204,'In-out-bal products (155)(완성제품)'!$X$12:$X$493) + SUMIF('In-out-bal products (155)(완성제품)'!$B$12:$B$493,'Sales profit (스타일 별 매출이익)'!D204,'In-out-bal products (155)(완성제품)'!$AA$12:$AA$493),0)</f>
        <v>0</v>
      </c>
      <c r="H204" s="283">
        <f t="shared" si="37"/>
        <v>0</v>
      </c>
      <c r="I204" s="284">
        <f t="shared" si="38"/>
        <v>0</v>
      </c>
      <c r="J204" s="284">
        <f t="shared" si="35"/>
        <v>0</v>
      </c>
      <c r="K204" s="283">
        <v>0.35</v>
      </c>
      <c r="L204" s="285">
        <f t="shared" si="39"/>
        <v>0</v>
      </c>
      <c r="M204" s="285">
        <f t="shared" si="40"/>
        <v>0.35</v>
      </c>
      <c r="N204" s="285">
        <f t="shared" si="41"/>
        <v>0</v>
      </c>
      <c r="O204" s="416">
        <f t="shared" si="42"/>
        <v>0</v>
      </c>
      <c r="P204" s="417">
        <f t="shared" si="43"/>
        <v>7936.2499999999991</v>
      </c>
      <c r="Q204" s="441"/>
    </row>
    <row r="205" spans="1:17" s="417" customFormat="1">
      <c r="A205" s="167">
        <v>198</v>
      </c>
      <c r="B205" s="409">
        <v>22675</v>
      </c>
      <c r="C205" s="20" t="str">
        <f>VLOOKUP(A205,'JUNE (물량흐름)'!$A$13:$C$502,2,0)</f>
        <v>INC</v>
      </c>
      <c r="D205" s="282">
        <f>VLOOKUP(A205,'JUNE (물량흐름)'!$A$13:$C$502,3,0)</f>
        <v>100014739</v>
      </c>
      <c r="E205" s="6">
        <f>VLOOKUP(D205,'JUNE (물량흐름)'!$C$13:$W$502,21,0)</f>
        <v>0</v>
      </c>
      <c r="F205" s="6">
        <f t="shared" si="36"/>
        <v>0</v>
      </c>
      <c r="G205" s="6">
        <f>ROUND(SUMIF('In-out-bal products (155)(완성제품)'!$B$12:$B$493,'Sales profit (스타일 별 매출이익)'!D205,'In-out-bal products (155)(완성제품)'!$X$12:$X$493) + SUMIF('In-out-bal products (155)(완성제품)'!$B$12:$B$493,'Sales profit (스타일 별 매출이익)'!D205,'In-out-bal products (155)(완성제품)'!$AA$12:$AA$493),0)</f>
        <v>0</v>
      </c>
      <c r="H205" s="283">
        <f t="shared" si="37"/>
        <v>0</v>
      </c>
      <c r="I205" s="284">
        <f t="shared" si="38"/>
        <v>0</v>
      </c>
      <c r="J205" s="284">
        <f t="shared" si="35"/>
        <v>0</v>
      </c>
      <c r="K205" s="283">
        <v>0.35</v>
      </c>
      <c r="L205" s="285">
        <f t="shared" si="39"/>
        <v>0</v>
      </c>
      <c r="M205" s="285">
        <f t="shared" si="40"/>
        <v>0.35</v>
      </c>
      <c r="N205" s="285">
        <f t="shared" si="41"/>
        <v>0</v>
      </c>
      <c r="O205" s="416">
        <f t="shared" si="42"/>
        <v>0</v>
      </c>
      <c r="P205" s="417">
        <f t="shared" si="43"/>
        <v>7936.2499999999991</v>
      </c>
      <c r="Q205" s="441"/>
    </row>
    <row r="206" spans="1:17" s="417" customFormat="1">
      <c r="A206" s="167">
        <v>199</v>
      </c>
      <c r="B206" s="409">
        <v>22675</v>
      </c>
      <c r="C206" s="20" t="str">
        <f>VLOOKUP(A206,'JUNE (물량흐름)'!$A$13:$C$502,2,0)</f>
        <v>J JILL</v>
      </c>
      <c r="D206" s="282" t="str">
        <f>VLOOKUP(A206,'JUNE (물량흐름)'!$A$13:$C$502,3,0)</f>
        <v>KPT128571</v>
      </c>
      <c r="E206" s="6">
        <f>VLOOKUP(D206,'JUNE (물량흐름)'!$C$13:$W$502,21,0)</f>
        <v>0</v>
      </c>
      <c r="F206" s="6">
        <f t="shared" si="36"/>
        <v>0</v>
      </c>
      <c r="G206" s="6">
        <f>ROUND(SUMIF('In-out-bal products (155)(완성제품)'!$B$12:$B$493,'Sales profit (스타일 별 매출이익)'!D206,'In-out-bal products (155)(완성제품)'!$X$12:$X$493) + SUMIF('In-out-bal products (155)(완성제품)'!$B$12:$B$493,'Sales profit (스타일 별 매출이익)'!D206,'In-out-bal products (155)(완성제품)'!$AA$12:$AA$493),0)</f>
        <v>0</v>
      </c>
      <c r="H206" s="283">
        <f t="shared" si="37"/>
        <v>0</v>
      </c>
      <c r="I206" s="284">
        <f t="shared" si="38"/>
        <v>0</v>
      </c>
      <c r="J206" s="284">
        <f t="shared" si="35"/>
        <v>0</v>
      </c>
      <c r="K206" s="283">
        <v>0.35</v>
      </c>
      <c r="L206" s="285">
        <f t="shared" si="39"/>
        <v>0</v>
      </c>
      <c r="M206" s="285">
        <f t="shared" si="40"/>
        <v>0.35</v>
      </c>
      <c r="N206" s="285">
        <f t="shared" si="41"/>
        <v>0</v>
      </c>
      <c r="O206" s="416">
        <f t="shared" si="42"/>
        <v>0</v>
      </c>
      <c r="P206" s="417">
        <f t="shared" si="43"/>
        <v>7936.2499999999991</v>
      </c>
      <c r="Q206" s="441"/>
    </row>
    <row r="207" spans="1:17" s="417" customFormat="1">
      <c r="A207" s="167">
        <v>200</v>
      </c>
      <c r="B207" s="409">
        <v>22675</v>
      </c>
      <c r="C207" s="20" t="str">
        <f>VLOOKUP(A207,'JUNE (물량흐름)'!$A$13:$C$502,2,0)</f>
        <v>J JILL</v>
      </c>
      <c r="D207" s="282" t="str">
        <f>VLOOKUP(A207,'JUNE (물량흐름)'!$A$13:$C$502,3,0)</f>
        <v>KPT128581</v>
      </c>
      <c r="E207" s="6">
        <f>VLOOKUP(D207,'JUNE (물량흐름)'!$C$13:$W$502,21,0)</f>
        <v>0</v>
      </c>
      <c r="F207" s="6">
        <f t="shared" si="36"/>
        <v>0</v>
      </c>
      <c r="G207" s="6">
        <f>ROUND(SUMIF('In-out-bal products (155)(완성제품)'!$B$12:$B$493,'Sales profit (스타일 별 매출이익)'!D207,'In-out-bal products (155)(완성제품)'!$X$12:$X$493) + SUMIF('In-out-bal products (155)(완성제품)'!$B$12:$B$493,'Sales profit (스타일 별 매출이익)'!D207,'In-out-bal products (155)(완성제품)'!$AA$12:$AA$493),0)</f>
        <v>0</v>
      </c>
      <c r="H207" s="283">
        <f t="shared" si="37"/>
        <v>0</v>
      </c>
      <c r="I207" s="284">
        <f t="shared" si="38"/>
        <v>0</v>
      </c>
      <c r="J207" s="284">
        <f t="shared" si="35"/>
        <v>0</v>
      </c>
      <c r="K207" s="283">
        <v>0.36</v>
      </c>
      <c r="L207" s="285">
        <f t="shared" si="39"/>
        <v>0</v>
      </c>
      <c r="M207" s="285">
        <f t="shared" si="40"/>
        <v>0.36</v>
      </c>
      <c r="N207" s="285">
        <f t="shared" si="41"/>
        <v>0</v>
      </c>
      <c r="O207" s="416">
        <f t="shared" si="42"/>
        <v>0</v>
      </c>
      <c r="P207" s="417">
        <f t="shared" si="43"/>
        <v>8163</v>
      </c>
      <c r="Q207" s="441"/>
    </row>
    <row r="208" spans="1:17" s="417" customFormat="1">
      <c r="A208" s="167">
        <v>201</v>
      </c>
      <c r="B208" s="409">
        <v>22675</v>
      </c>
      <c r="C208" s="20" t="str">
        <f>VLOOKUP(A208,'JUNE (물량흐름)'!$A$13:$C$502,2,0)</f>
        <v>J JILL</v>
      </c>
      <c r="D208" s="282" t="str">
        <f>VLOOKUP(A208,'JUNE (물량흐름)'!$A$13:$C$502,3,0)</f>
        <v>KTP115221</v>
      </c>
      <c r="E208" s="6">
        <f>VLOOKUP(D208,'JUNE (물량흐름)'!$C$13:$W$502,21,0)</f>
        <v>0</v>
      </c>
      <c r="F208" s="6">
        <f t="shared" si="36"/>
        <v>0</v>
      </c>
      <c r="G208" s="6">
        <f>ROUND(SUMIF('In-out-bal products (155)(완성제품)'!$B$12:$B$493,'Sales profit (스타일 별 매출이익)'!D208,'In-out-bal products (155)(완성제품)'!$X$12:$X$493) + SUMIF('In-out-bal products (155)(완성제품)'!$B$12:$B$493,'Sales profit (스타일 별 매출이익)'!D208,'In-out-bal products (155)(완성제품)'!$AA$12:$AA$493),0)</f>
        <v>0</v>
      </c>
      <c r="H208" s="283">
        <f t="shared" si="37"/>
        <v>0</v>
      </c>
      <c r="I208" s="284">
        <f t="shared" si="38"/>
        <v>0</v>
      </c>
      <c r="J208" s="284">
        <f t="shared" si="35"/>
        <v>0</v>
      </c>
      <c r="K208" s="283">
        <v>0.35</v>
      </c>
      <c r="L208" s="285">
        <f t="shared" si="39"/>
        <v>0</v>
      </c>
      <c r="M208" s="285">
        <f t="shared" si="40"/>
        <v>0.35</v>
      </c>
      <c r="N208" s="285">
        <f t="shared" si="41"/>
        <v>0</v>
      </c>
      <c r="O208" s="416">
        <f t="shared" si="42"/>
        <v>0</v>
      </c>
      <c r="P208" s="417">
        <f t="shared" si="43"/>
        <v>7936.2499999999991</v>
      </c>
      <c r="Q208" s="441"/>
    </row>
    <row r="209" spans="1:17" s="417" customFormat="1">
      <c r="A209" s="167">
        <v>202</v>
      </c>
      <c r="B209" s="409">
        <v>22675</v>
      </c>
      <c r="C209" s="20" t="str">
        <f>VLOOKUP(A209,'JUNE (물량흐름)'!$A$13:$C$502,2,0)</f>
        <v>TALBOTS</v>
      </c>
      <c r="D209" s="282">
        <f>VLOOKUP(A209,'JUNE (물량흐름)'!$A$13:$C$502,3,0)</f>
        <v>181034126</v>
      </c>
      <c r="E209" s="6">
        <f>VLOOKUP(D209,'JUNE (물량흐름)'!$C$13:$W$502,21,0)</f>
        <v>0</v>
      </c>
      <c r="F209" s="6">
        <f t="shared" si="36"/>
        <v>0</v>
      </c>
      <c r="G209" s="6">
        <f>ROUND(SUMIF('In-out-bal products (155)(완성제품)'!$B$12:$B$493,'Sales profit (스타일 별 매출이익)'!D209,'In-out-bal products (155)(완성제품)'!$X$12:$X$493) + SUMIF('In-out-bal products (155)(완성제품)'!$B$12:$B$493,'Sales profit (스타일 별 매출이익)'!D209,'In-out-bal products (155)(완성제품)'!$AA$12:$AA$493),0)</f>
        <v>0</v>
      </c>
      <c r="H209" s="283">
        <f t="shared" si="37"/>
        <v>0</v>
      </c>
      <c r="I209" s="284">
        <f t="shared" si="38"/>
        <v>0</v>
      </c>
      <c r="J209" s="284">
        <f t="shared" si="35"/>
        <v>0</v>
      </c>
      <c r="K209" s="283">
        <v>0.36</v>
      </c>
      <c r="L209" s="285">
        <f t="shared" si="39"/>
        <v>0</v>
      </c>
      <c r="M209" s="285">
        <f t="shared" si="40"/>
        <v>0.36</v>
      </c>
      <c r="N209" s="285">
        <f t="shared" si="41"/>
        <v>0</v>
      </c>
      <c r="O209" s="416">
        <f t="shared" si="42"/>
        <v>0</v>
      </c>
      <c r="P209" s="417">
        <f t="shared" si="43"/>
        <v>8163</v>
      </c>
      <c r="Q209" s="441"/>
    </row>
    <row r="210" spans="1:17" s="417" customFormat="1">
      <c r="A210" s="167">
        <v>203</v>
      </c>
      <c r="B210" s="409">
        <v>22675</v>
      </c>
      <c r="C210" s="20" t="str">
        <f>VLOOKUP(A210,'JUNE (물량흐름)'!$A$13:$C$502,2,0)</f>
        <v>TALBOTS</v>
      </c>
      <c r="D210" s="282">
        <f>VLOOKUP(A210,'JUNE (물량흐름)'!$A$13:$C$502,3,0)</f>
        <v>181034892</v>
      </c>
      <c r="E210" s="6">
        <f>VLOOKUP(D210,'JUNE (물량흐름)'!$C$13:$W$502,21,0)</f>
        <v>0</v>
      </c>
      <c r="F210" s="6">
        <f t="shared" si="36"/>
        <v>0</v>
      </c>
      <c r="G210" s="6">
        <f>ROUND(SUMIF('In-out-bal products (155)(완성제품)'!$B$12:$B$493,'Sales profit (스타일 별 매출이익)'!D210,'In-out-bal products (155)(완성제품)'!$X$12:$X$493) + SUMIF('In-out-bal products (155)(완성제품)'!$B$12:$B$493,'Sales profit (스타일 별 매출이익)'!D210,'In-out-bal products (155)(완성제품)'!$AA$12:$AA$493),0)</f>
        <v>0</v>
      </c>
      <c r="H210" s="283">
        <f t="shared" si="37"/>
        <v>0</v>
      </c>
      <c r="I210" s="284">
        <f t="shared" si="38"/>
        <v>0</v>
      </c>
      <c r="J210" s="284">
        <f t="shared" si="35"/>
        <v>0</v>
      </c>
      <c r="K210" s="283">
        <v>2.2999999999999998</v>
      </c>
      <c r="L210" s="285">
        <f t="shared" si="39"/>
        <v>0</v>
      </c>
      <c r="M210" s="285">
        <f t="shared" si="40"/>
        <v>2.2999999999999998</v>
      </c>
      <c r="N210" s="285">
        <f t="shared" si="41"/>
        <v>0</v>
      </c>
      <c r="O210" s="416">
        <f t="shared" si="42"/>
        <v>0</v>
      </c>
      <c r="P210" s="417">
        <f t="shared" si="43"/>
        <v>52152.499999999993</v>
      </c>
      <c r="Q210" s="441"/>
    </row>
    <row r="211" spans="1:17" s="417" customFormat="1">
      <c r="A211" s="167">
        <v>204</v>
      </c>
      <c r="B211" s="409">
        <v>22675</v>
      </c>
      <c r="C211" s="20" t="str">
        <f>VLOOKUP(A211,'JUNE (물량흐름)'!$A$13:$C$502,2,0)</f>
        <v>ANN TAYLOR</v>
      </c>
      <c r="D211" s="282">
        <f>VLOOKUP(A211,'JUNE (물량흐름)'!$A$13:$C$502,3,0)</f>
        <v>466852</v>
      </c>
      <c r="E211" s="6">
        <f>VLOOKUP(D211,'JUNE (물량흐름)'!$C$13:$W$502,21,0)</f>
        <v>0</v>
      </c>
      <c r="F211" s="6">
        <f t="shared" si="36"/>
        <v>0</v>
      </c>
      <c r="G211" s="6">
        <f>ROUND(SUMIF('In-out-bal products (155)(완성제품)'!$B$12:$B$493,'Sales profit (스타일 별 매출이익)'!D211,'In-out-bal products (155)(완성제품)'!$X$12:$X$493) + SUMIF('In-out-bal products (155)(완성제품)'!$B$12:$B$493,'Sales profit (스타일 별 매출이익)'!D211,'In-out-bal products (155)(완성제품)'!$AA$12:$AA$493),0)</f>
        <v>0</v>
      </c>
      <c r="H211" s="283">
        <f t="shared" si="37"/>
        <v>0</v>
      </c>
      <c r="I211" s="284">
        <f t="shared" si="38"/>
        <v>0</v>
      </c>
      <c r="J211" s="284">
        <f t="shared" si="35"/>
        <v>0</v>
      </c>
      <c r="K211" s="283">
        <v>0.35</v>
      </c>
      <c r="L211" s="285">
        <f t="shared" si="39"/>
        <v>0</v>
      </c>
      <c r="M211" s="285">
        <f t="shared" si="40"/>
        <v>0.35</v>
      </c>
      <c r="N211" s="285">
        <f t="shared" si="41"/>
        <v>0</v>
      </c>
      <c r="O211" s="416">
        <f t="shared" si="42"/>
        <v>0</v>
      </c>
      <c r="P211" s="417">
        <f t="shared" si="43"/>
        <v>7936.2499999999991</v>
      </c>
      <c r="Q211" s="441"/>
    </row>
    <row r="212" spans="1:17" s="417" customFormat="1">
      <c r="A212" s="167">
        <v>205</v>
      </c>
      <c r="B212" s="409">
        <v>22675</v>
      </c>
      <c r="C212" s="20" t="str">
        <f>VLOOKUP(A212,'JUNE (물량흐름)'!$A$13:$C$502,2,0)</f>
        <v>NORDSTROM</v>
      </c>
      <c r="D212" s="282" t="str">
        <f>VLOOKUP(A212,'JUNE (물량흐름)'!$A$13:$C$502,3,0)</f>
        <v>BP381295MI</v>
      </c>
      <c r="E212" s="6">
        <f>VLOOKUP(D212,'JUNE (물량흐름)'!$C$13:$W$502,21,0)</f>
        <v>0</v>
      </c>
      <c r="F212" s="6">
        <f t="shared" si="36"/>
        <v>0</v>
      </c>
      <c r="G212" s="6">
        <f>ROUND(SUMIF('In-out-bal products (155)(완성제품)'!$B$12:$B$493,'Sales profit (스타일 별 매출이익)'!D212,'In-out-bal products (155)(완성제품)'!$X$12:$X$493) + SUMIF('In-out-bal products (155)(완성제품)'!$B$12:$B$493,'Sales profit (스타일 별 매출이익)'!D212,'In-out-bal products (155)(완성제품)'!$AA$12:$AA$493),0)</f>
        <v>0</v>
      </c>
      <c r="H212" s="283">
        <f t="shared" si="37"/>
        <v>0</v>
      </c>
      <c r="I212" s="284">
        <f t="shared" si="38"/>
        <v>0</v>
      </c>
      <c r="J212" s="284">
        <f t="shared" si="35"/>
        <v>0</v>
      </c>
      <c r="K212" s="283">
        <v>1.2</v>
      </c>
      <c r="L212" s="285">
        <f t="shared" si="39"/>
        <v>0</v>
      </c>
      <c r="M212" s="285">
        <f t="shared" si="40"/>
        <v>1.2</v>
      </c>
      <c r="N212" s="285">
        <f t="shared" si="41"/>
        <v>0</v>
      </c>
      <c r="O212" s="416">
        <f t="shared" si="42"/>
        <v>0</v>
      </c>
      <c r="P212" s="417">
        <f t="shared" si="43"/>
        <v>27210</v>
      </c>
      <c r="Q212" s="441"/>
    </row>
    <row r="213" spans="1:17" s="417" customFormat="1">
      <c r="A213" s="167">
        <v>206</v>
      </c>
      <c r="B213" s="409">
        <v>22675</v>
      </c>
      <c r="C213" s="20" t="str">
        <f>VLOOKUP(A213,'JUNE (물량흐름)'!$A$13:$C$502,2,0)</f>
        <v>ALFANI</v>
      </c>
      <c r="D213" s="282">
        <f>VLOOKUP(A213,'JUNE (물량흐름)'!$A$13:$C$502,3,0)</f>
        <v>100008598</v>
      </c>
      <c r="E213" s="6">
        <f>VLOOKUP(D213,'JUNE (물량흐름)'!$C$13:$W$502,21,0)</f>
        <v>0</v>
      </c>
      <c r="F213" s="6">
        <f t="shared" si="36"/>
        <v>0</v>
      </c>
      <c r="G213" s="6">
        <f>ROUND(SUMIF('In-out-bal products (155)(완성제품)'!$B$12:$B$493,'Sales profit (스타일 별 매출이익)'!D213,'In-out-bal products (155)(완성제품)'!$X$12:$X$493) + SUMIF('In-out-bal products (155)(완성제품)'!$B$12:$B$493,'Sales profit (스타일 별 매출이익)'!D213,'In-out-bal products (155)(완성제품)'!$AA$12:$AA$493),0)</f>
        <v>0</v>
      </c>
      <c r="H213" s="283">
        <f t="shared" si="37"/>
        <v>0</v>
      </c>
      <c r="I213" s="284">
        <f t="shared" si="38"/>
        <v>0</v>
      </c>
      <c r="J213" s="284">
        <f t="shared" si="35"/>
        <v>0</v>
      </c>
      <c r="K213" s="283">
        <v>0.35</v>
      </c>
      <c r="L213" s="285">
        <f t="shared" si="39"/>
        <v>0</v>
      </c>
      <c r="M213" s="285">
        <f t="shared" si="40"/>
        <v>0.35</v>
      </c>
      <c r="N213" s="285">
        <f t="shared" si="41"/>
        <v>0</v>
      </c>
      <c r="O213" s="416">
        <f t="shared" si="42"/>
        <v>0</v>
      </c>
      <c r="P213" s="417">
        <f t="shared" si="43"/>
        <v>7936.2499999999991</v>
      </c>
      <c r="Q213" s="441"/>
    </row>
    <row r="214" spans="1:17" s="417" customFormat="1">
      <c r="A214" s="167">
        <v>207</v>
      </c>
      <c r="B214" s="409">
        <v>22675</v>
      </c>
      <c r="C214" s="20" t="str">
        <f>VLOOKUP(A214,'JUNE (물량흐름)'!$A$13:$C$502,2,0)</f>
        <v>ALFANI</v>
      </c>
      <c r="D214" s="282">
        <f>VLOOKUP(A214,'JUNE (물량흐름)'!$A$13:$C$502,3,0)</f>
        <v>100008604</v>
      </c>
      <c r="E214" s="6">
        <f>VLOOKUP(D214,'JUNE (물량흐름)'!$C$13:$W$502,21,0)</f>
        <v>0</v>
      </c>
      <c r="F214" s="6">
        <f t="shared" si="36"/>
        <v>0</v>
      </c>
      <c r="G214" s="6">
        <f>ROUND(SUMIF('In-out-bal products (155)(완성제품)'!$B$12:$B$493,'Sales profit (스타일 별 매출이익)'!D214,'In-out-bal products (155)(완성제품)'!$X$12:$X$493) + SUMIF('In-out-bal products (155)(완성제품)'!$B$12:$B$493,'Sales profit (스타일 별 매출이익)'!D214,'In-out-bal products (155)(완성제품)'!$AA$12:$AA$493),0)</f>
        <v>0</v>
      </c>
      <c r="H214" s="283">
        <f t="shared" si="37"/>
        <v>0</v>
      </c>
      <c r="I214" s="284">
        <f t="shared" si="38"/>
        <v>0</v>
      </c>
      <c r="J214" s="284">
        <f t="shared" si="35"/>
        <v>0</v>
      </c>
      <c r="K214" s="283">
        <v>0.35</v>
      </c>
      <c r="L214" s="285">
        <f t="shared" si="39"/>
        <v>0</v>
      </c>
      <c r="M214" s="285">
        <f t="shared" si="40"/>
        <v>0.35</v>
      </c>
      <c r="N214" s="285">
        <f t="shared" si="41"/>
        <v>0</v>
      </c>
      <c r="O214" s="416">
        <f t="shared" si="42"/>
        <v>0</v>
      </c>
      <c r="P214" s="417">
        <f t="shared" si="43"/>
        <v>7936.2499999999991</v>
      </c>
      <c r="Q214" s="441"/>
    </row>
    <row r="215" spans="1:17" s="417" customFormat="1">
      <c r="A215" s="167">
        <v>208</v>
      </c>
      <c r="B215" s="409">
        <v>22675</v>
      </c>
      <c r="C215" s="20" t="str">
        <f>VLOOKUP(A215,'JUNE (물량흐름)'!$A$13:$C$502,2,0)</f>
        <v>ALFANI</v>
      </c>
      <c r="D215" s="282">
        <f>VLOOKUP(A215,'JUNE (물량흐름)'!$A$13:$C$502,3,0)</f>
        <v>100008605</v>
      </c>
      <c r="E215" s="6">
        <f>VLOOKUP(D215,'JUNE (물량흐름)'!$C$13:$W$502,21,0)</f>
        <v>0</v>
      </c>
      <c r="F215" s="6">
        <f t="shared" si="36"/>
        <v>0</v>
      </c>
      <c r="G215" s="6">
        <f>ROUND(SUMIF('In-out-bal products (155)(완성제품)'!$B$12:$B$493,'Sales profit (스타일 별 매출이익)'!D215,'In-out-bal products (155)(완성제품)'!$X$12:$X$493) + SUMIF('In-out-bal products (155)(완성제품)'!$B$12:$B$493,'Sales profit (스타일 별 매출이익)'!D215,'In-out-bal products (155)(완성제품)'!$AA$12:$AA$493),0)</f>
        <v>0</v>
      </c>
      <c r="H215" s="283">
        <f t="shared" si="37"/>
        <v>0</v>
      </c>
      <c r="I215" s="284">
        <f t="shared" si="38"/>
        <v>0</v>
      </c>
      <c r="J215" s="284">
        <f t="shared" si="35"/>
        <v>0</v>
      </c>
      <c r="K215" s="283">
        <v>0.35</v>
      </c>
      <c r="L215" s="285">
        <f t="shared" si="39"/>
        <v>0</v>
      </c>
      <c r="M215" s="285">
        <f t="shared" si="40"/>
        <v>0.35</v>
      </c>
      <c r="N215" s="285">
        <f t="shared" si="41"/>
        <v>0</v>
      </c>
      <c r="O215" s="416">
        <f t="shared" si="42"/>
        <v>0</v>
      </c>
      <c r="P215" s="417">
        <f t="shared" si="43"/>
        <v>7936.2499999999991</v>
      </c>
      <c r="Q215" s="441"/>
    </row>
    <row r="216" spans="1:17" s="417" customFormat="1">
      <c r="A216" s="167">
        <v>209</v>
      </c>
      <c r="B216" s="409">
        <v>22675</v>
      </c>
      <c r="C216" s="20" t="str">
        <f>VLOOKUP(A216,'JUNE (물량흐름)'!$A$13:$C$502,2,0)</f>
        <v>ALFANI</v>
      </c>
      <c r="D216" s="282">
        <f>VLOOKUP(A216,'JUNE (물량흐름)'!$A$13:$C$502,3,0)</f>
        <v>100008607</v>
      </c>
      <c r="E216" s="6">
        <f>VLOOKUP(D216,'JUNE (물량흐름)'!$C$13:$W$502,21,0)</f>
        <v>0</v>
      </c>
      <c r="F216" s="6">
        <f t="shared" si="36"/>
        <v>0</v>
      </c>
      <c r="G216" s="6">
        <f>ROUND(SUMIF('In-out-bal products (155)(완성제품)'!$B$12:$B$493,'Sales profit (스타일 별 매출이익)'!D216,'In-out-bal products (155)(완성제품)'!$X$12:$X$493) + SUMIF('In-out-bal products (155)(완성제품)'!$B$12:$B$493,'Sales profit (스타일 별 매출이익)'!D216,'In-out-bal products (155)(완성제품)'!$AA$12:$AA$493),0)</f>
        <v>0</v>
      </c>
      <c r="H216" s="283">
        <f t="shared" si="37"/>
        <v>0</v>
      </c>
      <c r="I216" s="284">
        <f t="shared" si="38"/>
        <v>0</v>
      </c>
      <c r="J216" s="284">
        <f t="shared" si="35"/>
        <v>0</v>
      </c>
      <c r="K216" s="283">
        <v>0.35</v>
      </c>
      <c r="L216" s="285">
        <f t="shared" si="39"/>
        <v>0</v>
      </c>
      <c r="M216" s="285">
        <f t="shared" si="40"/>
        <v>0.35</v>
      </c>
      <c r="N216" s="285">
        <f t="shared" si="41"/>
        <v>0</v>
      </c>
      <c r="O216" s="416">
        <f t="shared" si="42"/>
        <v>0</v>
      </c>
      <c r="P216" s="417">
        <f t="shared" si="43"/>
        <v>7936.2499999999991</v>
      </c>
      <c r="Q216" s="441"/>
    </row>
    <row r="217" spans="1:17" s="417" customFormat="1">
      <c r="A217" s="167">
        <v>210</v>
      </c>
      <c r="B217" s="409">
        <v>22675</v>
      </c>
      <c r="C217" s="20" t="str">
        <f>VLOOKUP(A217,'JUNE (물량흐름)'!$A$13:$C$502,2,0)</f>
        <v>ALFANI</v>
      </c>
      <c r="D217" s="282">
        <f>VLOOKUP(A217,'JUNE (물량흐름)'!$A$13:$C$502,3,0)</f>
        <v>100008660</v>
      </c>
      <c r="E217" s="6">
        <f>VLOOKUP(D217,'JUNE (물량흐름)'!$C$13:$W$502,21,0)</f>
        <v>0</v>
      </c>
      <c r="F217" s="6">
        <f t="shared" si="36"/>
        <v>0</v>
      </c>
      <c r="G217" s="6">
        <f>ROUND(SUMIF('In-out-bal products (155)(완성제품)'!$B$12:$B$493,'Sales profit (스타일 별 매출이익)'!D217,'In-out-bal products (155)(완성제품)'!$X$12:$X$493) + SUMIF('In-out-bal products (155)(완성제품)'!$B$12:$B$493,'Sales profit (스타일 별 매출이익)'!D217,'In-out-bal products (155)(완성제품)'!$AA$12:$AA$493),0)</f>
        <v>0</v>
      </c>
      <c r="H217" s="283">
        <f t="shared" si="37"/>
        <v>0</v>
      </c>
      <c r="I217" s="284">
        <f t="shared" si="38"/>
        <v>0</v>
      </c>
      <c r="J217" s="284">
        <f t="shared" si="35"/>
        <v>0</v>
      </c>
      <c r="K217" s="283">
        <v>0.35</v>
      </c>
      <c r="L217" s="285">
        <f t="shared" si="39"/>
        <v>0</v>
      </c>
      <c r="M217" s="285">
        <f t="shared" si="40"/>
        <v>0.35</v>
      </c>
      <c r="N217" s="285">
        <f t="shared" si="41"/>
        <v>0</v>
      </c>
      <c r="O217" s="416">
        <f t="shared" si="42"/>
        <v>0</v>
      </c>
      <c r="P217" s="417">
        <f t="shared" si="43"/>
        <v>7936.2499999999991</v>
      </c>
      <c r="Q217" s="441"/>
    </row>
    <row r="218" spans="1:17" s="417" customFormat="1">
      <c r="A218" s="167">
        <v>211</v>
      </c>
      <c r="B218" s="409">
        <v>22675</v>
      </c>
      <c r="C218" s="20" t="str">
        <f>VLOOKUP(A218,'JUNE (물량흐름)'!$A$13:$C$502,2,0)</f>
        <v>ALFANI</v>
      </c>
      <c r="D218" s="282">
        <f>VLOOKUP(A218,'JUNE (물량흐름)'!$A$13:$C$502,3,0)</f>
        <v>100008746</v>
      </c>
      <c r="E218" s="6">
        <f>VLOOKUP(D218,'JUNE (물량흐름)'!$C$13:$W$502,21,0)</f>
        <v>0</v>
      </c>
      <c r="F218" s="6">
        <f t="shared" si="36"/>
        <v>0</v>
      </c>
      <c r="G218" s="6">
        <f>ROUND(SUMIF('In-out-bal products (155)(완성제품)'!$B$12:$B$493,'Sales profit (스타일 별 매출이익)'!D218,'In-out-bal products (155)(완성제품)'!$X$12:$X$493) + SUMIF('In-out-bal products (155)(완성제품)'!$B$12:$B$493,'Sales profit (스타일 별 매출이익)'!D218,'In-out-bal products (155)(완성제품)'!$AA$12:$AA$493),0)</f>
        <v>0</v>
      </c>
      <c r="H218" s="283">
        <f t="shared" si="37"/>
        <v>0</v>
      </c>
      <c r="I218" s="284">
        <f t="shared" si="38"/>
        <v>0</v>
      </c>
      <c r="J218" s="284">
        <f t="shared" si="35"/>
        <v>0</v>
      </c>
      <c r="K218" s="283">
        <v>0.35</v>
      </c>
      <c r="L218" s="285">
        <f t="shared" si="39"/>
        <v>0</v>
      </c>
      <c r="M218" s="285">
        <f t="shared" si="40"/>
        <v>0.35</v>
      </c>
      <c r="N218" s="285">
        <f t="shared" si="41"/>
        <v>0</v>
      </c>
      <c r="O218" s="416">
        <f t="shared" si="42"/>
        <v>0</v>
      </c>
      <c r="P218" s="417">
        <f t="shared" si="43"/>
        <v>7936.2499999999991</v>
      </c>
      <c r="Q218" s="441"/>
    </row>
    <row r="219" spans="1:17" s="417" customFormat="1">
      <c r="A219" s="167">
        <v>212</v>
      </c>
      <c r="B219" s="409">
        <v>22675</v>
      </c>
      <c r="C219" s="20" t="str">
        <f>VLOOKUP(A219,'JUNE (물량흐름)'!$A$13:$C$502,2,0)</f>
        <v>ALFANI</v>
      </c>
      <c r="D219" s="282">
        <f>VLOOKUP(A219,'JUNE (물량흐름)'!$A$13:$C$502,3,0)</f>
        <v>100009162</v>
      </c>
      <c r="E219" s="6">
        <f>VLOOKUP(D219,'JUNE (물량흐름)'!$C$13:$W$502,21,0)</f>
        <v>0</v>
      </c>
      <c r="F219" s="6">
        <f t="shared" si="36"/>
        <v>0</v>
      </c>
      <c r="G219" s="6">
        <f>ROUND(SUMIF('In-out-bal products (155)(완성제품)'!$B$12:$B$493,'Sales profit (스타일 별 매출이익)'!D219,'In-out-bal products (155)(완성제품)'!$X$12:$X$493) + SUMIF('In-out-bal products (155)(완성제품)'!$B$12:$B$493,'Sales profit (스타일 별 매출이익)'!D219,'In-out-bal products (155)(완성제품)'!$AA$12:$AA$493),0)</f>
        <v>0</v>
      </c>
      <c r="H219" s="283">
        <f t="shared" si="37"/>
        <v>0</v>
      </c>
      <c r="I219" s="284">
        <f t="shared" si="38"/>
        <v>0</v>
      </c>
      <c r="J219" s="284">
        <f t="shared" si="35"/>
        <v>0</v>
      </c>
      <c r="K219" s="283">
        <v>1.45</v>
      </c>
      <c r="L219" s="285">
        <f t="shared" si="39"/>
        <v>0</v>
      </c>
      <c r="M219" s="285">
        <f t="shared" si="40"/>
        <v>1.45</v>
      </c>
      <c r="N219" s="285">
        <f t="shared" si="41"/>
        <v>0</v>
      </c>
      <c r="O219" s="416">
        <f t="shared" si="42"/>
        <v>0</v>
      </c>
      <c r="P219" s="417">
        <f t="shared" si="43"/>
        <v>32878.75</v>
      </c>
      <c r="Q219" s="441"/>
    </row>
    <row r="220" spans="1:17" s="417" customFormat="1">
      <c r="A220" s="167">
        <v>213</v>
      </c>
      <c r="B220" s="409">
        <v>22675</v>
      </c>
      <c r="C220" s="20" t="str">
        <f>VLOOKUP(A220,'JUNE (물량흐름)'!$A$13:$C$502,2,0)</f>
        <v>ALFANI</v>
      </c>
      <c r="D220" s="282">
        <f>VLOOKUP(A220,'JUNE (물량흐름)'!$A$13:$C$502,3,0)</f>
        <v>100009622</v>
      </c>
      <c r="E220" s="6">
        <f>VLOOKUP(D220,'JUNE (물량흐름)'!$C$13:$W$502,21,0)</f>
        <v>0</v>
      </c>
      <c r="F220" s="6">
        <f t="shared" si="36"/>
        <v>0</v>
      </c>
      <c r="G220" s="6">
        <f>ROUND(SUMIF('In-out-bal products (155)(완성제품)'!$B$12:$B$493,'Sales profit (스타일 별 매출이익)'!D220,'In-out-bal products (155)(완성제품)'!$X$12:$X$493) + SUMIF('In-out-bal products (155)(완성제품)'!$B$12:$B$493,'Sales profit (스타일 별 매출이익)'!D220,'In-out-bal products (155)(완성제품)'!$AA$12:$AA$493),0)</f>
        <v>0</v>
      </c>
      <c r="H220" s="283">
        <f t="shared" si="37"/>
        <v>0</v>
      </c>
      <c r="I220" s="284">
        <f t="shared" si="38"/>
        <v>0</v>
      </c>
      <c r="J220" s="284">
        <f t="shared" si="35"/>
        <v>0</v>
      </c>
      <c r="K220" s="283">
        <v>1.35</v>
      </c>
      <c r="L220" s="285">
        <f t="shared" si="39"/>
        <v>0</v>
      </c>
      <c r="M220" s="285">
        <f t="shared" si="40"/>
        <v>1.35</v>
      </c>
      <c r="N220" s="285">
        <f t="shared" si="41"/>
        <v>0</v>
      </c>
      <c r="O220" s="416">
        <f t="shared" si="42"/>
        <v>0</v>
      </c>
      <c r="P220" s="417">
        <f t="shared" si="43"/>
        <v>30611.250000000004</v>
      </c>
      <c r="Q220" s="441"/>
    </row>
    <row r="221" spans="1:17" s="417" customFormat="1">
      <c r="A221" s="167">
        <v>214</v>
      </c>
      <c r="B221" s="409">
        <v>22675</v>
      </c>
      <c r="C221" s="20" t="str">
        <f>VLOOKUP(A221,'JUNE (물량흐름)'!$A$13:$C$502,2,0)</f>
        <v>ALFANI</v>
      </c>
      <c r="D221" s="282">
        <f>VLOOKUP(A221,'JUNE (물량흐름)'!$A$13:$C$502,3,0)</f>
        <v>100015352</v>
      </c>
      <c r="E221" s="6">
        <f>VLOOKUP(D221,'JUNE (물량흐름)'!$C$13:$W$502,21,0)</f>
        <v>0</v>
      </c>
      <c r="F221" s="6">
        <f t="shared" si="36"/>
        <v>0</v>
      </c>
      <c r="G221" s="6">
        <f>ROUND(SUMIF('In-out-bal products (155)(완성제품)'!$B$12:$B$493,'Sales profit (스타일 별 매출이익)'!D221,'In-out-bal products (155)(완성제품)'!$X$12:$X$493) + SUMIF('In-out-bal products (155)(완성제품)'!$B$12:$B$493,'Sales profit (스타일 별 매출이익)'!D221,'In-out-bal products (155)(완성제품)'!$AA$12:$AA$493),0)</f>
        <v>0</v>
      </c>
      <c r="H221" s="283">
        <f t="shared" si="37"/>
        <v>0</v>
      </c>
      <c r="I221" s="284">
        <f t="shared" si="38"/>
        <v>0</v>
      </c>
      <c r="J221" s="284">
        <f t="shared" si="35"/>
        <v>0</v>
      </c>
      <c r="K221" s="283">
        <v>1.35</v>
      </c>
      <c r="L221" s="285">
        <f t="shared" si="39"/>
        <v>0</v>
      </c>
      <c r="M221" s="285">
        <f t="shared" si="40"/>
        <v>1.35</v>
      </c>
      <c r="N221" s="285">
        <f t="shared" si="41"/>
        <v>0</v>
      </c>
      <c r="O221" s="416">
        <f t="shared" si="42"/>
        <v>0</v>
      </c>
      <c r="P221" s="417">
        <f t="shared" si="43"/>
        <v>30611.250000000004</v>
      </c>
      <c r="Q221" s="441"/>
    </row>
    <row r="222" spans="1:17" s="417" customFormat="1">
      <c r="A222" s="167">
        <v>215</v>
      </c>
      <c r="B222" s="409">
        <v>22675</v>
      </c>
      <c r="C222" s="20" t="str">
        <f>VLOOKUP(A222,'JUNE (물량흐름)'!$A$13:$C$502,2,0)</f>
        <v>ALFANI</v>
      </c>
      <c r="D222" s="282">
        <f>VLOOKUP(A222,'JUNE (물량흐름)'!$A$13:$C$502,3,0)</f>
        <v>100015355</v>
      </c>
      <c r="E222" s="6">
        <f>VLOOKUP(D222,'JUNE (물량흐름)'!$C$13:$W$502,21,0)</f>
        <v>0</v>
      </c>
      <c r="F222" s="6">
        <f t="shared" si="36"/>
        <v>0</v>
      </c>
      <c r="G222" s="6">
        <f>ROUND(SUMIF('In-out-bal products (155)(완성제품)'!$B$12:$B$493,'Sales profit (스타일 별 매출이익)'!D222,'In-out-bal products (155)(완성제품)'!$X$12:$X$493) + SUMIF('In-out-bal products (155)(완성제품)'!$B$12:$B$493,'Sales profit (스타일 별 매출이익)'!D222,'In-out-bal products (155)(완성제품)'!$AA$12:$AA$493),0)</f>
        <v>0</v>
      </c>
      <c r="H222" s="283">
        <f t="shared" si="37"/>
        <v>0</v>
      </c>
      <c r="I222" s="284">
        <f t="shared" si="38"/>
        <v>0</v>
      </c>
      <c r="J222" s="284">
        <f t="shared" si="35"/>
        <v>0</v>
      </c>
      <c r="K222" s="283">
        <v>1.6</v>
      </c>
      <c r="L222" s="285">
        <f t="shared" si="39"/>
        <v>0</v>
      </c>
      <c r="M222" s="285">
        <f t="shared" si="40"/>
        <v>1.6</v>
      </c>
      <c r="N222" s="285">
        <f t="shared" si="41"/>
        <v>0</v>
      </c>
      <c r="O222" s="416">
        <f t="shared" si="42"/>
        <v>0</v>
      </c>
      <c r="P222" s="417">
        <f t="shared" si="43"/>
        <v>36280</v>
      </c>
      <c r="Q222" s="441"/>
    </row>
    <row r="223" spans="1:17" s="417" customFormat="1">
      <c r="A223" s="167">
        <v>216</v>
      </c>
      <c r="B223" s="409">
        <v>22675</v>
      </c>
      <c r="C223" s="20" t="str">
        <f>VLOOKUP(A223,'JUNE (물량흐름)'!$A$13:$C$502,2,0)</f>
        <v>ALFANI</v>
      </c>
      <c r="D223" s="282">
        <f>VLOOKUP(A223,'JUNE (물량흐름)'!$A$13:$C$502,3,0)</f>
        <v>100015669</v>
      </c>
      <c r="E223" s="6">
        <f>VLOOKUP(D223,'JUNE (물량흐름)'!$C$13:$W$502,21,0)</f>
        <v>0</v>
      </c>
      <c r="F223" s="6">
        <f t="shared" si="36"/>
        <v>0</v>
      </c>
      <c r="G223" s="6">
        <f>ROUND(SUMIF('In-out-bal products (155)(완성제품)'!$B$12:$B$493,'Sales profit (스타일 별 매출이익)'!D223,'In-out-bal products (155)(완성제품)'!$X$12:$X$493) + SUMIF('In-out-bal products (155)(완성제품)'!$B$12:$B$493,'Sales profit (스타일 별 매출이익)'!D223,'In-out-bal products (155)(완성제품)'!$AA$12:$AA$493),0)</f>
        <v>0</v>
      </c>
      <c r="H223" s="283">
        <f t="shared" si="37"/>
        <v>0</v>
      </c>
      <c r="I223" s="284">
        <f t="shared" si="38"/>
        <v>0</v>
      </c>
      <c r="J223" s="284">
        <f t="shared" si="35"/>
        <v>0</v>
      </c>
      <c r="K223" s="283">
        <v>0.36</v>
      </c>
      <c r="L223" s="285">
        <f t="shared" si="39"/>
        <v>0</v>
      </c>
      <c r="M223" s="285">
        <f t="shared" si="40"/>
        <v>0.36</v>
      </c>
      <c r="N223" s="285">
        <f t="shared" si="41"/>
        <v>0</v>
      </c>
      <c r="O223" s="416">
        <f t="shared" si="42"/>
        <v>0</v>
      </c>
      <c r="P223" s="417">
        <f t="shared" si="43"/>
        <v>8163</v>
      </c>
      <c r="Q223" s="441"/>
    </row>
    <row r="224" spans="1:17" s="417" customFormat="1">
      <c r="A224" s="167">
        <v>217</v>
      </c>
      <c r="B224" s="409">
        <v>22675</v>
      </c>
      <c r="C224" s="20" t="str">
        <f>VLOOKUP(A224,'JUNE (물량흐름)'!$A$13:$C$502,2,0)</f>
        <v>ALFANI</v>
      </c>
      <c r="D224" s="282">
        <f>VLOOKUP(A224,'JUNE (물량흐름)'!$A$13:$C$502,3,0)</f>
        <v>100018310</v>
      </c>
      <c r="E224" s="6">
        <f>VLOOKUP(D224,'JUNE (물량흐름)'!$C$13:$W$502,21,0)</f>
        <v>0</v>
      </c>
      <c r="F224" s="6">
        <f t="shared" si="36"/>
        <v>0</v>
      </c>
      <c r="G224" s="6">
        <f>ROUND(SUMIF('In-out-bal products (155)(완성제품)'!$B$12:$B$493,'Sales profit (스타일 별 매출이익)'!D224,'In-out-bal products (155)(완성제품)'!$X$12:$X$493) + SUMIF('In-out-bal products (155)(완성제품)'!$B$12:$B$493,'Sales profit (스타일 별 매출이익)'!D224,'In-out-bal products (155)(완성제품)'!$AA$12:$AA$493),0)</f>
        <v>0</v>
      </c>
      <c r="H224" s="283">
        <f t="shared" si="37"/>
        <v>0</v>
      </c>
      <c r="I224" s="284">
        <f t="shared" si="38"/>
        <v>0</v>
      </c>
      <c r="J224" s="284">
        <f t="shared" si="35"/>
        <v>0</v>
      </c>
      <c r="K224" s="283">
        <v>0.35155555555555551</v>
      </c>
      <c r="L224" s="285">
        <f t="shared" si="39"/>
        <v>0</v>
      </c>
      <c r="M224" s="285">
        <f t="shared" si="40"/>
        <v>0.35155555555555551</v>
      </c>
      <c r="N224" s="285">
        <f t="shared" si="41"/>
        <v>0</v>
      </c>
      <c r="O224" s="416">
        <f t="shared" si="42"/>
        <v>0</v>
      </c>
      <c r="P224" s="417">
        <f t="shared" si="43"/>
        <v>7971.522222222221</v>
      </c>
      <c r="Q224" s="441"/>
    </row>
    <row r="225" spans="1:17" s="417" customFormat="1">
      <c r="A225" s="167">
        <v>218</v>
      </c>
      <c r="B225" s="409">
        <v>22675</v>
      </c>
      <c r="C225" s="20" t="str">
        <f>VLOOKUP(A225,'JUNE (물량흐름)'!$A$13:$C$502,2,0)</f>
        <v>ALFANI</v>
      </c>
      <c r="D225" s="282">
        <f>VLOOKUP(A225,'JUNE (물량흐름)'!$A$13:$C$502,3,0)</f>
        <v>100021064</v>
      </c>
      <c r="E225" s="6">
        <f>VLOOKUP(D225,'JUNE (물량흐름)'!$C$13:$W$502,21,0)</f>
        <v>0</v>
      </c>
      <c r="F225" s="6">
        <f t="shared" si="36"/>
        <v>0</v>
      </c>
      <c r="G225" s="6">
        <f>ROUND(SUMIF('In-out-bal products (155)(완성제품)'!$B$12:$B$493,'Sales profit (스타일 별 매출이익)'!D225,'In-out-bal products (155)(완성제품)'!$X$12:$X$493) + SUMIF('In-out-bal products (155)(완성제품)'!$B$12:$B$493,'Sales profit (스타일 별 매출이익)'!D225,'In-out-bal products (155)(완성제품)'!$AA$12:$AA$493),0)</f>
        <v>0</v>
      </c>
      <c r="H225" s="283">
        <f t="shared" si="37"/>
        <v>0</v>
      </c>
      <c r="I225" s="284">
        <f t="shared" si="38"/>
        <v>0</v>
      </c>
      <c r="J225" s="284">
        <f t="shared" si="35"/>
        <v>0</v>
      </c>
      <c r="K225" s="283">
        <v>1.36</v>
      </c>
      <c r="L225" s="285">
        <f t="shared" si="39"/>
        <v>0</v>
      </c>
      <c r="M225" s="285">
        <f t="shared" si="40"/>
        <v>1.36</v>
      </c>
      <c r="N225" s="285">
        <f t="shared" si="41"/>
        <v>0</v>
      </c>
      <c r="O225" s="416">
        <f t="shared" si="42"/>
        <v>0</v>
      </c>
      <c r="P225" s="417">
        <f t="shared" si="43"/>
        <v>30838.000000000004</v>
      </c>
      <c r="Q225" s="441"/>
    </row>
    <row r="226" spans="1:17" s="417" customFormat="1">
      <c r="A226" s="167">
        <v>219</v>
      </c>
      <c r="B226" s="409">
        <v>22675</v>
      </c>
      <c r="C226" s="20" t="str">
        <f>VLOOKUP(A226,'JUNE (물량흐름)'!$A$13:$C$502,2,0)</f>
        <v>ALFANI</v>
      </c>
      <c r="D226" s="282">
        <f>VLOOKUP(A226,'JUNE (물량흐름)'!$A$13:$C$502,3,0)</f>
        <v>73301</v>
      </c>
      <c r="E226" s="6">
        <f>VLOOKUP(D226,'JUNE (물량흐름)'!$C$13:$W$502,21,0)</f>
        <v>3600</v>
      </c>
      <c r="F226" s="6">
        <f t="shared" si="36"/>
        <v>159994800</v>
      </c>
      <c r="G226" s="6">
        <f>ROUND(SUMIF('In-out-bal products (155)(완성제품)'!$B$12:$B$493,'Sales profit (스타일 별 매출이익)'!D226,'In-out-bal products (155)(완성제품)'!$X$12:$X$493) + SUMIF('In-out-bal products (155)(완성제품)'!$B$12:$B$493,'Sales profit (스타일 별 매출이익)'!D226,'In-out-bal products (155)(완성제품)'!$AA$12:$AA$493),0)</f>
        <v>143729755</v>
      </c>
      <c r="H226" s="283">
        <f t="shared" si="37"/>
        <v>0.19925327698150189</v>
      </c>
      <c r="I226" s="284">
        <f t="shared" si="38"/>
        <v>4518.0680555555555</v>
      </c>
      <c r="J226" s="284">
        <f t="shared" si="35"/>
        <v>13657453.787843378</v>
      </c>
      <c r="K226" s="283">
        <v>1.96</v>
      </c>
      <c r="L226" s="285">
        <f t="shared" si="39"/>
        <v>1.7607467230184979</v>
      </c>
      <c r="M226" s="285">
        <f t="shared" si="40"/>
        <v>3.1944030529911016E-2</v>
      </c>
      <c r="N226" s="285">
        <f t="shared" si="41"/>
        <v>0.16730924645159106</v>
      </c>
      <c r="O226" s="416">
        <f t="shared" si="42"/>
        <v>7056</v>
      </c>
      <c r="P226" s="417">
        <f t="shared" si="43"/>
        <v>44443</v>
      </c>
      <c r="Q226" s="441"/>
    </row>
    <row r="227" spans="1:17" s="417" customFormat="1">
      <c r="A227" s="167">
        <v>220</v>
      </c>
      <c r="B227" s="409">
        <v>22675</v>
      </c>
      <c r="C227" s="20" t="str">
        <f>VLOOKUP(A227,'JUNE (물량흐름)'!$A$13:$C$502,2,0)</f>
        <v>ALFANI</v>
      </c>
      <c r="D227" s="282">
        <f>VLOOKUP(A227,'JUNE (물량흐름)'!$A$13:$C$502,3,0)</f>
        <v>74902</v>
      </c>
      <c r="E227" s="6">
        <f>VLOOKUP(D227,'JUNE (물량흐름)'!$C$13:$W$502,21,0)</f>
        <v>0</v>
      </c>
      <c r="F227" s="6">
        <f t="shared" si="36"/>
        <v>0</v>
      </c>
      <c r="G227" s="6">
        <f>ROUND(SUMIF('In-out-bal products (155)(완성제품)'!$B$12:$B$493,'Sales profit (스타일 별 매출이익)'!D227,'In-out-bal products (155)(완성제품)'!$X$12:$X$493) + SUMIF('In-out-bal products (155)(완성제품)'!$B$12:$B$493,'Sales profit (스타일 별 매출이익)'!D227,'In-out-bal products (155)(완성제품)'!$AA$12:$AA$493),0)</f>
        <v>0</v>
      </c>
      <c r="H227" s="283">
        <f t="shared" si="37"/>
        <v>0</v>
      </c>
      <c r="I227" s="284">
        <f t="shared" si="38"/>
        <v>0</v>
      </c>
      <c r="J227" s="284">
        <f t="shared" si="35"/>
        <v>0</v>
      </c>
      <c r="K227" s="283">
        <v>0.35</v>
      </c>
      <c r="L227" s="285">
        <f t="shared" si="39"/>
        <v>0</v>
      </c>
      <c r="M227" s="285">
        <f t="shared" si="40"/>
        <v>0.35</v>
      </c>
      <c r="N227" s="285">
        <f t="shared" si="41"/>
        <v>0</v>
      </c>
      <c r="O227" s="416">
        <f t="shared" si="42"/>
        <v>0</v>
      </c>
      <c r="P227" s="417">
        <f t="shared" si="43"/>
        <v>7936.2499999999991</v>
      </c>
      <c r="Q227" s="441"/>
    </row>
    <row r="228" spans="1:17" s="417" customFormat="1">
      <c r="A228" s="167">
        <v>221</v>
      </c>
      <c r="B228" s="409">
        <v>22675</v>
      </c>
      <c r="C228" s="20" t="str">
        <f>VLOOKUP(A228,'JUNE (물량흐름)'!$A$13:$C$502,2,0)</f>
        <v>ALFANI</v>
      </c>
      <c r="D228" s="282">
        <f>VLOOKUP(A228,'JUNE (물량흐름)'!$A$13:$C$502,3,0)</f>
        <v>75303</v>
      </c>
      <c r="E228" s="6">
        <f>VLOOKUP(D228,'JUNE (물량흐름)'!$C$13:$W$502,21,0)</f>
        <v>0</v>
      </c>
      <c r="F228" s="6">
        <f t="shared" si="36"/>
        <v>0</v>
      </c>
      <c r="G228" s="6">
        <f>ROUND(SUMIF('In-out-bal products (155)(완성제품)'!$B$12:$B$493,'Sales profit (스타일 별 매출이익)'!D228,'In-out-bal products (155)(완성제품)'!$X$12:$X$493) + SUMIF('In-out-bal products (155)(완성제품)'!$B$12:$B$493,'Sales profit (스타일 별 매출이익)'!D228,'In-out-bal products (155)(완성제품)'!$AA$12:$AA$493),0)</f>
        <v>0</v>
      </c>
      <c r="H228" s="283">
        <f t="shared" si="37"/>
        <v>0</v>
      </c>
      <c r="I228" s="284">
        <f t="shared" si="38"/>
        <v>0</v>
      </c>
      <c r="J228" s="284">
        <f t="shared" si="35"/>
        <v>0</v>
      </c>
      <c r="K228" s="283">
        <v>0.35</v>
      </c>
      <c r="L228" s="285">
        <f t="shared" si="39"/>
        <v>0</v>
      </c>
      <c r="M228" s="285">
        <f t="shared" si="40"/>
        <v>0.35</v>
      </c>
      <c r="N228" s="285">
        <f t="shared" si="41"/>
        <v>0</v>
      </c>
      <c r="O228" s="416">
        <f t="shared" si="42"/>
        <v>0</v>
      </c>
      <c r="P228" s="417">
        <f t="shared" si="43"/>
        <v>7936.2499999999991</v>
      </c>
      <c r="Q228" s="441"/>
    </row>
    <row r="229" spans="1:17" s="417" customFormat="1">
      <c r="A229" s="167">
        <v>222</v>
      </c>
      <c r="B229" s="409">
        <v>22675</v>
      </c>
      <c r="C229" s="20" t="str">
        <f>VLOOKUP(A229,'JUNE (물량흐름)'!$A$13:$C$502,2,0)</f>
        <v>ALFANI</v>
      </c>
      <c r="D229" s="282">
        <f>VLOOKUP(A229,'JUNE (물량흐름)'!$A$13:$C$502,3,0)</f>
        <v>7999</v>
      </c>
      <c r="E229" s="6">
        <f>VLOOKUP(D229,'JUNE (물량흐름)'!$C$13:$W$502,21,0)</f>
        <v>0</v>
      </c>
      <c r="F229" s="6">
        <f t="shared" si="36"/>
        <v>0</v>
      </c>
      <c r="G229" s="6">
        <f>ROUND(SUMIF('In-out-bal products (155)(완성제품)'!$B$12:$B$493,'Sales profit (스타일 별 매출이익)'!D229,'In-out-bal products (155)(완성제품)'!$X$12:$X$493) + SUMIF('In-out-bal products (155)(완성제품)'!$B$12:$B$493,'Sales profit (스타일 별 매출이익)'!D229,'In-out-bal products (155)(완성제품)'!$AA$12:$AA$493),0)</f>
        <v>0</v>
      </c>
      <c r="H229" s="283">
        <f t="shared" si="37"/>
        <v>0</v>
      </c>
      <c r="I229" s="284">
        <f t="shared" si="38"/>
        <v>0</v>
      </c>
      <c r="J229" s="284">
        <f t="shared" si="35"/>
        <v>0</v>
      </c>
      <c r="K229" s="283">
        <v>0.35</v>
      </c>
      <c r="L229" s="285">
        <f t="shared" si="39"/>
        <v>0</v>
      </c>
      <c r="M229" s="285">
        <f t="shared" si="40"/>
        <v>0.35</v>
      </c>
      <c r="N229" s="285">
        <f t="shared" si="41"/>
        <v>0</v>
      </c>
      <c r="O229" s="416">
        <f t="shared" si="42"/>
        <v>0</v>
      </c>
      <c r="P229" s="417">
        <f t="shared" si="43"/>
        <v>7936.2499999999991</v>
      </c>
      <c r="Q229" s="441"/>
    </row>
    <row r="230" spans="1:17" s="417" customFormat="1">
      <c r="A230" s="167">
        <v>223</v>
      </c>
      <c r="B230" s="409">
        <v>22675</v>
      </c>
      <c r="C230" s="20" t="str">
        <f>VLOOKUP(A230,'JUNE (물량흐름)'!$A$13:$C$502,2,0)</f>
        <v>ANN TAYLOR</v>
      </c>
      <c r="D230" s="282">
        <f>VLOOKUP(A230,'JUNE (물량흐름)'!$A$13:$C$502,3,0)</f>
        <v>460895</v>
      </c>
      <c r="E230" s="6">
        <f>VLOOKUP(D230,'JUNE (물량흐름)'!$C$13:$W$502,21,0)</f>
        <v>0</v>
      </c>
      <c r="F230" s="6">
        <f t="shared" si="36"/>
        <v>0</v>
      </c>
      <c r="G230" s="6">
        <f>ROUND(SUMIF('In-out-bal products (155)(완성제품)'!$B$12:$B$493,'Sales profit (스타일 별 매출이익)'!D230,'In-out-bal products (155)(완성제품)'!$X$12:$X$493) + SUMIF('In-out-bal products (155)(완성제품)'!$B$12:$B$493,'Sales profit (스타일 별 매출이익)'!D230,'In-out-bal products (155)(완성제품)'!$AA$12:$AA$493),0)</f>
        <v>0</v>
      </c>
      <c r="H230" s="283">
        <f t="shared" si="37"/>
        <v>0</v>
      </c>
      <c r="I230" s="284">
        <f t="shared" si="38"/>
        <v>0</v>
      </c>
      <c r="J230" s="284">
        <f t="shared" si="35"/>
        <v>0</v>
      </c>
      <c r="K230" s="283">
        <v>0.36</v>
      </c>
      <c r="L230" s="285">
        <f t="shared" si="39"/>
        <v>0</v>
      </c>
      <c r="M230" s="285">
        <f t="shared" si="40"/>
        <v>0.36</v>
      </c>
      <c r="N230" s="285">
        <f t="shared" si="41"/>
        <v>0</v>
      </c>
      <c r="O230" s="416">
        <f t="shared" si="42"/>
        <v>0</v>
      </c>
      <c r="P230" s="417">
        <f t="shared" si="43"/>
        <v>8163</v>
      </c>
      <c r="Q230" s="441"/>
    </row>
    <row r="231" spans="1:17" s="417" customFormat="1">
      <c r="A231" s="167">
        <v>224</v>
      </c>
      <c r="B231" s="409">
        <v>22675</v>
      </c>
      <c r="C231" s="20" t="str">
        <f>VLOOKUP(A231,'JUNE (물량흐름)'!$A$13:$C$502,2,0)</f>
        <v>ANN TAYLOR</v>
      </c>
      <c r="D231" s="282">
        <f>VLOOKUP(A231,'JUNE (물량흐름)'!$A$13:$C$502,3,0)</f>
        <v>452546</v>
      </c>
      <c r="E231" s="6">
        <f>VLOOKUP(D231,'JUNE (물량흐름)'!$C$13:$W$502,21,0)</f>
        <v>0</v>
      </c>
      <c r="F231" s="6">
        <f t="shared" si="36"/>
        <v>0</v>
      </c>
      <c r="G231" s="6">
        <f>ROUND(SUMIF('In-out-bal products (155)(완성제품)'!$B$12:$B$493,'Sales profit (스타일 별 매출이익)'!D231,'In-out-bal products (155)(완성제품)'!$X$12:$X$493) + SUMIF('In-out-bal products (155)(완성제품)'!$B$12:$B$493,'Sales profit (스타일 별 매출이익)'!D231,'In-out-bal products (155)(완성제품)'!$AA$12:$AA$493),0)</f>
        <v>0</v>
      </c>
      <c r="H231" s="283">
        <f t="shared" si="37"/>
        <v>0</v>
      </c>
      <c r="I231" s="284">
        <f t="shared" si="38"/>
        <v>0</v>
      </c>
      <c r="J231" s="284">
        <f t="shared" si="35"/>
        <v>0</v>
      </c>
      <c r="K231" s="283">
        <v>0.35</v>
      </c>
      <c r="L231" s="285">
        <f t="shared" si="39"/>
        <v>0</v>
      </c>
      <c r="M231" s="285">
        <f t="shared" si="40"/>
        <v>0.35</v>
      </c>
      <c r="N231" s="285">
        <f t="shared" si="41"/>
        <v>0</v>
      </c>
      <c r="O231" s="416">
        <f t="shared" si="42"/>
        <v>0</v>
      </c>
      <c r="P231" s="417">
        <f t="shared" si="43"/>
        <v>7936.2499999999991</v>
      </c>
      <c r="Q231" s="441"/>
    </row>
    <row r="232" spans="1:17" s="417" customFormat="1">
      <c r="A232" s="167">
        <v>225</v>
      </c>
      <c r="B232" s="409">
        <v>22675</v>
      </c>
      <c r="C232" s="20" t="str">
        <f>VLOOKUP(A232,'JUNE (물량흐름)'!$A$13:$C$502,2,0)</f>
        <v>ANN TAYLOR</v>
      </c>
      <c r="D232" s="282">
        <f>VLOOKUP(A232,'JUNE (물량흐름)'!$A$13:$C$502,3,0)</f>
        <v>457802</v>
      </c>
      <c r="E232" s="6">
        <f>VLOOKUP(D232,'JUNE (물량흐름)'!$C$13:$W$502,21,0)</f>
        <v>0</v>
      </c>
      <c r="F232" s="6">
        <f t="shared" si="36"/>
        <v>0</v>
      </c>
      <c r="G232" s="6">
        <f>ROUND(SUMIF('In-out-bal products (155)(완성제품)'!$B$12:$B$493,'Sales profit (스타일 별 매출이익)'!D232,'In-out-bal products (155)(완성제품)'!$X$12:$X$493) + SUMIF('In-out-bal products (155)(완성제품)'!$B$12:$B$493,'Sales profit (스타일 별 매출이익)'!D232,'In-out-bal products (155)(완성제품)'!$AA$12:$AA$493),0)</f>
        <v>0</v>
      </c>
      <c r="H232" s="283">
        <f t="shared" si="37"/>
        <v>0</v>
      </c>
      <c r="I232" s="284">
        <f t="shared" si="38"/>
        <v>0</v>
      </c>
      <c r="J232" s="284">
        <f t="shared" si="35"/>
        <v>0</v>
      </c>
      <c r="K232" s="283">
        <v>0.35</v>
      </c>
      <c r="L232" s="285">
        <f t="shared" si="39"/>
        <v>0</v>
      </c>
      <c r="M232" s="285">
        <f t="shared" si="40"/>
        <v>0.35</v>
      </c>
      <c r="N232" s="285">
        <f t="shared" si="41"/>
        <v>0</v>
      </c>
      <c r="O232" s="416">
        <f t="shared" si="42"/>
        <v>0</v>
      </c>
      <c r="P232" s="417">
        <f t="shared" si="43"/>
        <v>7936.2499999999991</v>
      </c>
      <c r="Q232" s="441"/>
    </row>
    <row r="233" spans="1:17" s="417" customFormat="1">
      <c r="A233" s="167">
        <v>226</v>
      </c>
      <c r="B233" s="409">
        <v>22675</v>
      </c>
      <c r="C233" s="20" t="str">
        <f>VLOOKUP(A233,'JUNE (물량흐름)'!$A$13:$C$502,2,0)</f>
        <v>ANN TAYLOR</v>
      </c>
      <c r="D233" s="282">
        <f>VLOOKUP(A233,'JUNE (물량흐름)'!$A$13:$C$502,3,0)</f>
        <v>457814</v>
      </c>
      <c r="E233" s="6">
        <f>VLOOKUP(D233,'JUNE (물량흐름)'!$C$13:$W$502,21,0)</f>
        <v>0</v>
      </c>
      <c r="F233" s="6">
        <f t="shared" si="36"/>
        <v>0</v>
      </c>
      <c r="G233" s="6">
        <f>ROUND(SUMIF('In-out-bal products (155)(완성제품)'!$B$12:$B$493,'Sales profit (스타일 별 매출이익)'!D233,'In-out-bal products (155)(완성제품)'!$X$12:$X$493) + SUMIF('In-out-bal products (155)(완성제품)'!$B$12:$B$493,'Sales profit (스타일 별 매출이익)'!D233,'In-out-bal products (155)(완성제품)'!$AA$12:$AA$493),0)</f>
        <v>0</v>
      </c>
      <c r="H233" s="283">
        <f t="shared" si="37"/>
        <v>0</v>
      </c>
      <c r="I233" s="284">
        <f t="shared" si="38"/>
        <v>0</v>
      </c>
      <c r="J233" s="284">
        <f t="shared" si="35"/>
        <v>0</v>
      </c>
      <c r="K233" s="283">
        <v>0.35</v>
      </c>
      <c r="L233" s="285">
        <f t="shared" si="39"/>
        <v>0</v>
      </c>
      <c r="M233" s="285">
        <f t="shared" si="40"/>
        <v>0.35</v>
      </c>
      <c r="N233" s="285">
        <f t="shared" si="41"/>
        <v>0</v>
      </c>
      <c r="O233" s="416">
        <f t="shared" si="42"/>
        <v>0</v>
      </c>
      <c r="P233" s="417">
        <f t="shared" si="43"/>
        <v>7936.2499999999991</v>
      </c>
      <c r="Q233" s="441"/>
    </row>
    <row r="234" spans="1:17" s="417" customFormat="1">
      <c r="A234" s="167">
        <v>227</v>
      </c>
      <c r="B234" s="409">
        <v>22675</v>
      </c>
      <c r="C234" s="20" t="str">
        <f>VLOOKUP(A234,'JUNE (물량흐름)'!$A$13:$C$502,2,0)</f>
        <v>ANN TAYLOR</v>
      </c>
      <c r="D234" s="282">
        <f>VLOOKUP(A234,'JUNE (물량흐름)'!$A$13:$C$502,3,0)</f>
        <v>457815</v>
      </c>
      <c r="E234" s="6">
        <f>VLOOKUP(D234,'JUNE (물량흐름)'!$C$13:$W$502,21,0)</f>
        <v>0</v>
      </c>
      <c r="F234" s="6">
        <f t="shared" si="36"/>
        <v>0</v>
      </c>
      <c r="G234" s="6">
        <f>ROUND(SUMIF('In-out-bal products (155)(완성제품)'!$B$12:$B$493,'Sales profit (스타일 별 매출이익)'!D234,'In-out-bal products (155)(완성제품)'!$X$12:$X$493) + SUMIF('In-out-bal products (155)(완성제품)'!$B$12:$B$493,'Sales profit (스타일 별 매출이익)'!D234,'In-out-bal products (155)(완성제품)'!$AA$12:$AA$493),0)</f>
        <v>0</v>
      </c>
      <c r="H234" s="283">
        <f t="shared" si="37"/>
        <v>0</v>
      </c>
      <c r="I234" s="284">
        <f t="shared" si="38"/>
        <v>0</v>
      </c>
      <c r="J234" s="284">
        <f t="shared" si="35"/>
        <v>0</v>
      </c>
      <c r="K234" s="283">
        <v>0.35</v>
      </c>
      <c r="L234" s="285">
        <f t="shared" si="39"/>
        <v>0</v>
      </c>
      <c r="M234" s="285">
        <f t="shared" si="40"/>
        <v>0.35</v>
      </c>
      <c r="N234" s="285">
        <f t="shared" si="41"/>
        <v>0</v>
      </c>
      <c r="O234" s="416">
        <f t="shared" si="42"/>
        <v>0</v>
      </c>
      <c r="P234" s="417">
        <f t="shared" si="43"/>
        <v>7936.2499999999991</v>
      </c>
      <c r="Q234" s="441"/>
    </row>
    <row r="235" spans="1:17" s="417" customFormat="1">
      <c r="A235" s="167">
        <v>228</v>
      </c>
      <c r="B235" s="409">
        <v>22675</v>
      </c>
      <c r="C235" s="20" t="str">
        <f>VLOOKUP(A235,'JUNE (물량흐름)'!$A$13:$C$502,2,0)</f>
        <v>ANN TAYLOR</v>
      </c>
      <c r="D235" s="282">
        <f>VLOOKUP(A235,'JUNE (물량흐름)'!$A$13:$C$502,3,0)</f>
        <v>459065</v>
      </c>
      <c r="E235" s="6">
        <f>VLOOKUP(D235,'JUNE (물량흐름)'!$C$13:$W$502,21,0)</f>
        <v>0</v>
      </c>
      <c r="F235" s="6">
        <f t="shared" si="36"/>
        <v>0</v>
      </c>
      <c r="G235" s="6">
        <f>ROUND(SUMIF('In-out-bal products (155)(완성제품)'!$B$12:$B$493,'Sales profit (스타일 별 매출이익)'!D235,'In-out-bal products (155)(완성제품)'!$X$12:$X$493) + SUMIF('In-out-bal products (155)(완성제품)'!$B$12:$B$493,'Sales profit (스타일 별 매출이익)'!D235,'In-out-bal products (155)(완성제품)'!$AA$12:$AA$493),0)</f>
        <v>0</v>
      </c>
      <c r="H235" s="283">
        <f t="shared" si="37"/>
        <v>0</v>
      </c>
      <c r="I235" s="284">
        <f t="shared" si="38"/>
        <v>0</v>
      </c>
      <c r="J235" s="284">
        <f t="shared" si="35"/>
        <v>0</v>
      </c>
      <c r="K235" s="283">
        <v>0.35</v>
      </c>
      <c r="L235" s="285">
        <f t="shared" si="39"/>
        <v>0</v>
      </c>
      <c r="M235" s="285">
        <f t="shared" si="40"/>
        <v>0.35</v>
      </c>
      <c r="N235" s="285">
        <f t="shared" si="41"/>
        <v>0</v>
      </c>
      <c r="O235" s="416">
        <f t="shared" si="42"/>
        <v>0</v>
      </c>
      <c r="P235" s="417">
        <f t="shared" si="43"/>
        <v>7936.2499999999991</v>
      </c>
      <c r="Q235" s="441"/>
    </row>
    <row r="236" spans="1:17" s="417" customFormat="1">
      <c r="A236" s="167">
        <v>229</v>
      </c>
      <c r="B236" s="409">
        <v>22675</v>
      </c>
      <c r="C236" s="20" t="str">
        <f>VLOOKUP(A236,'JUNE (물량흐름)'!$A$13:$C$502,2,0)</f>
        <v>ANN TAYLOR</v>
      </c>
      <c r="D236" s="282">
        <f>VLOOKUP(A236,'JUNE (물량흐름)'!$A$13:$C$502,3,0)</f>
        <v>460586</v>
      </c>
      <c r="E236" s="6">
        <f>VLOOKUP(D236,'JUNE (물량흐름)'!$C$13:$W$502,21,0)</f>
        <v>0</v>
      </c>
      <c r="F236" s="6">
        <f t="shared" si="36"/>
        <v>0</v>
      </c>
      <c r="G236" s="6">
        <f>ROUND(SUMIF('In-out-bal products (155)(완성제품)'!$B$12:$B$493,'Sales profit (스타일 별 매출이익)'!D236,'In-out-bal products (155)(완성제품)'!$X$12:$X$493) + SUMIF('In-out-bal products (155)(완성제품)'!$B$12:$B$493,'Sales profit (스타일 별 매출이익)'!D236,'In-out-bal products (155)(완성제품)'!$AA$12:$AA$493),0)</f>
        <v>0</v>
      </c>
      <c r="H236" s="283">
        <f t="shared" si="37"/>
        <v>0</v>
      </c>
      <c r="I236" s="284">
        <f t="shared" si="38"/>
        <v>0</v>
      </c>
      <c r="J236" s="284">
        <f t="shared" si="35"/>
        <v>0</v>
      </c>
      <c r="K236" s="283">
        <v>0.36</v>
      </c>
      <c r="L236" s="285">
        <f t="shared" si="39"/>
        <v>0</v>
      </c>
      <c r="M236" s="285">
        <f t="shared" si="40"/>
        <v>0.36</v>
      </c>
      <c r="N236" s="285">
        <f t="shared" si="41"/>
        <v>0</v>
      </c>
      <c r="O236" s="416">
        <f t="shared" si="42"/>
        <v>0</v>
      </c>
      <c r="P236" s="417">
        <f t="shared" si="43"/>
        <v>8163</v>
      </c>
      <c r="Q236" s="441"/>
    </row>
    <row r="237" spans="1:17" s="417" customFormat="1">
      <c r="A237" s="167">
        <v>230</v>
      </c>
      <c r="B237" s="409">
        <v>22675</v>
      </c>
      <c r="C237" s="20" t="str">
        <f>VLOOKUP(A237,'JUNE (물량흐름)'!$A$13:$C$502,2,0)</f>
        <v>ANN TAYLOR</v>
      </c>
      <c r="D237" s="282">
        <f>VLOOKUP(A237,'JUNE (물량흐름)'!$A$13:$C$502,3,0)</f>
        <v>460588</v>
      </c>
      <c r="E237" s="6">
        <f>VLOOKUP(D237,'JUNE (물량흐름)'!$C$13:$W$502,21,0)</f>
        <v>0</v>
      </c>
      <c r="F237" s="6">
        <f t="shared" si="36"/>
        <v>0</v>
      </c>
      <c r="G237" s="6">
        <f>ROUND(SUMIF('In-out-bal products (155)(완성제품)'!$B$12:$B$493,'Sales profit (스타일 별 매출이익)'!D237,'In-out-bal products (155)(완성제품)'!$X$12:$X$493) + SUMIF('In-out-bal products (155)(완성제품)'!$B$12:$B$493,'Sales profit (스타일 별 매출이익)'!D237,'In-out-bal products (155)(완성제품)'!$AA$12:$AA$493),0)</f>
        <v>0</v>
      </c>
      <c r="H237" s="283">
        <f t="shared" si="37"/>
        <v>0</v>
      </c>
      <c r="I237" s="284">
        <f t="shared" si="38"/>
        <v>0</v>
      </c>
      <c r="J237" s="284">
        <f t="shared" si="35"/>
        <v>0</v>
      </c>
      <c r="K237" s="283">
        <v>0.35</v>
      </c>
      <c r="L237" s="285">
        <f t="shared" si="39"/>
        <v>0</v>
      </c>
      <c r="M237" s="285">
        <f t="shared" si="40"/>
        <v>0.35</v>
      </c>
      <c r="N237" s="285">
        <f t="shared" si="41"/>
        <v>0</v>
      </c>
      <c r="O237" s="416">
        <f t="shared" si="42"/>
        <v>0</v>
      </c>
      <c r="P237" s="417">
        <f t="shared" si="43"/>
        <v>7936.2499999999991</v>
      </c>
      <c r="Q237" s="441"/>
    </row>
    <row r="238" spans="1:17" s="417" customFormat="1">
      <c r="A238" s="167">
        <v>231</v>
      </c>
      <c r="B238" s="409">
        <v>22675</v>
      </c>
      <c r="C238" s="20" t="str">
        <f>VLOOKUP(A238,'JUNE (물량흐름)'!$A$13:$C$502,2,0)</f>
        <v>ANN TAYLOR</v>
      </c>
      <c r="D238" s="282">
        <f>VLOOKUP(A238,'JUNE (물량흐름)'!$A$13:$C$502,3,0)</f>
        <v>460591</v>
      </c>
      <c r="E238" s="6">
        <f>VLOOKUP(D238,'JUNE (물량흐름)'!$C$13:$W$502,21,0)</f>
        <v>0</v>
      </c>
      <c r="F238" s="6">
        <f t="shared" si="36"/>
        <v>0</v>
      </c>
      <c r="G238" s="6">
        <f>ROUND(SUMIF('In-out-bal products (155)(완성제품)'!$B$12:$B$493,'Sales profit (스타일 별 매출이익)'!D238,'In-out-bal products (155)(완성제품)'!$X$12:$X$493) + SUMIF('In-out-bal products (155)(완성제품)'!$B$12:$B$493,'Sales profit (스타일 별 매출이익)'!D238,'In-out-bal products (155)(완성제품)'!$AA$12:$AA$493),0)</f>
        <v>0</v>
      </c>
      <c r="H238" s="283">
        <f t="shared" si="37"/>
        <v>0</v>
      </c>
      <c r="I238" s="284">
        <f t="shared" si="38"/>
        <v>0</v>
      </c>
      <c r="J238" s="284">
        <f t="shared" si="35"/>
        <v>0</v>
      </c>
      <c r="K238" s="283">
        <v>0.35</v>
      </c>
      <c r="L238" s="285">
        <f t="shared" si="39"/>
        <v>0</v>
      </c>
      <c r="M238" s="285">
        <f t="shared" si="40"/>
        <v>0.35</v>
      </c>
      <c r="N238" s="285">
        <f t="shared" si="41"/>
        <v>0</v>
      </c>
      <c r="O238" s="416">
        <f t="shared" si="42"/>
        <v>0</v>
      </c>
      <c r="P238" s="417">
        <f t="shared" si="43"/>
        <v>7936.2499999999991</v>
      </c>
      <c r="Q238" s="441"/>
    </row>
    <row r="239" spans="1:17" s="417" customFormat="1">
      <c r="A239" s="167">
        <v>232</v>
      </c>
      <c r="B239" s="409">
        <v>22675</v>
      </c>
      <c r="C239" s="20" t="str">
        <f>VLOOKUP(A239,'JUNE (물량흐름)'!$A$13:$C$502,2,0)</f>
        <v>ANN TAYLOR</v>
      </c>
      <c r="D239" s="282">
        <f>VLOOKUP(A239,'JUNE (물량흐름)'!$A$13:$C$502,3,0)</f>
        <v>460727</v>
      </c>
      <c r="E239" s="6">
        <f>VLOOKUP(D239,'JUNE (물량흐름)'!$C$13:$W$502,21,0)</f>
        <v>0</v>
      </c>
      <c r="F239" s="6">
        <f t="shared" si="36"/>
        <v>0</v>
      </c>
      <c r="G239" s="6">
        <f>ROUND(SUMIF('In-out-bal products (155)(완성제품)'!$B$12:$B$493,'Sales profit (스타일 별 매출이익)'!D239,'In-out-bal products (155)(완성제품)'!$X$12:$X$493) + SUMIF('In-out-bal products (155)(완성제품)'!$B$12:$B$493,'Sales profit (스타일 별 매출이익)'!D239,'In-out-bal products (155)(완성제품)'!$AA$12:$AA$493),0)</f>
        <v>0</v>
      </c>
      <c r="H239" s="283">
        <f t="shared" si="37"/>
        <v>0</v>
      </c>
      <c r="I239" s="284">
        <f t="shared" si="38"/>
        <v>0</v>
      </c>
      <c r="J239" s="284">
        <f t="shared" si="35"/>
        <v>0</v>
      </c>
      <c r="K239" s="283">
        <v>0.35</v>
      </c>
      <c r="L239" s="285">
        <f t="shared" si="39"/>
        <v>0</v>
      </c>
      <c r="M239" s="285">
        <f t="shared" si="40"/>
        <v>0.35</v>
      </c>
      <c r="N239" s="285">
        <f t="shared" si="41"/>
        <v>0</v>
      </c>
      <c r="O239" s="416">
        <f t="shared" si="42"/>
        <v>0</v>
      </c>
      <c r="P239" s="417">
        <f t="shared" si="43"/>
        <v>7936.2499999999991</v>
      </c>
      <c r="Q239" s="441"/>
    </row>
    <row r="240" spans="1:17" s="417" customFormat="1">
      <c r="A240" s="167">
        <v>233</v>
      </c>
      <c r="B240" s="409">
        <v>22675</v>
      </c>
      <c r="C240" s="20" t="str">
        <f>VLOOKUP(A240,'JUNE (물량흐름)'!$A$13:$C$502,2,0)</f>
        <v>ANN TAYLOR</v>
      </c>
      <c r="D240" s="282">
        <f>VLOOKUP(A240,'JUNE (물량흐름)'!$A$13:$C$502,3,0)</f>
        <v>461609</v>
      </c>
      <c r="E240" s="6">
        <f>VLOOKUP(D240,'JUNE (물량흐름)'!$C$13:$W$502,21,0)</f>
        <v>0</v>
      </c>
      <c r="F240" s="6">
        <f t="shared" si="36"/>
        <v>0</v>
      </c>
      <c r="G240" s="6">
        <f>ROUND(SUMIF('In-out-bal products (155)(완성제품)'!$B$12:$B$493,'Sales profit (스타일 별 매출이익)'!D240,'In-out-bal products (155)(완성제품)'!$X$12:$X$493) + SUMIF('In-out-bal products (155)(완성제품)'!$B$12:$B$493,'Sales profit (스타일 별 매출이익)'!D240,'In-out-bal products (155)(완성제품)'!$AA$12:$AA$493),0)</f>
        <v>0</v>
      </c>
      <c r="H240" s="283">
        <f t="shared" si="37"/>
        <v>0</v>
      </c>
      <c r="I240" s="284">
        <f t="shared" si="38"/>
        <v>0</v>
      </c>
      <c r="J240" s="284">
        <f t="shared" si="35"/>
        <v>0</v>
      </c>
      <c r="K240" s="283">
        <v>0.35</v>
      </c>
      <c r="L240" s="285">
        <f t="shared" si="39"/>
        <v>0</v>
      </c>
      <c r="M240" s="285">
        <f t="shared" si="40"/>
        <v>0.35</v>
      </c>
      <c r="N240" s="285">
        <f t="shared" si="41"/>
        <v>0</v>
      </c>
      <c r="O240" s="416">
        <f t="shared" si="42"/>
        <v>0</v>
      </c>
      <c r="P240" s="417">
        <f t="shared" si="43"/>
        <v>7936.2499999999991</v>
      </c>
      <c r="Q240" s="441"/>
    </row>
    <row r="241" spans="1:17" s="417" customFormat="1">
      <c r="A241" s="167">
        <v>234</v>
      </c>
      <c r="B241" s="409">
        <v>22675</v>
      </c>
      <c r="C241" s="20" t="str">
        <f>VLOOKUP(A241,'JUNE (물량흐름)'!$A$13:$C$502,2,0)</f>
        <v>ANN TAYLOR</v>
      </c>
      <c r="D241" s="282">
        <f>VLOOKUP(A241,'JUNE (물량흐름)'!$A$13:$C$502,3,0)</f>
        <v>464818</v>
      </c>
      <c r="E241" s="6">
        <f>VLOOKUP(D241,'JUNE (물량흐름)'!$C$13:$W$502,21,0)</f>
        <v>0</v>
      </c>
      <c r="F241" s="6">
        <f t="shared" si="36"/>
        <v>0</v>
      </c>
      <c r="G241" s="6">
        <f>ROUND(SUMIF('In-out-bal products (155)(완성제품)'!$B$12:$B$493,'Sales profit (스타일 별 매출이익)'!D241,'In-out-bal products (155)(완성제품)'!$X$12:$X$493) + SUMIF('In-out-bal products (155)(완성제품)'!$B$12:$B$493,'Sales profit (스타일 별 매출이익)'!D241,'In-out-bal products (155)(완성제품)'!$AA$12:$AA$493),0)</f>
        <v>0</v>
      </c>
      <c r="H241" s="283">
        <f t="shared" si="37"/>
        <v>0</v>
      </c>
      <c r="I241" s="284">
        <f t="shared" si="38"/>
        <v>0</v>
      </c>
      <c r="J241" s="284">
        <f t="shared" si="35"/>
        <v>0</v>
      </c>
      <c r="K241" s="283">
        <v>0.35</v>
      </c>
      <c r="L241" s="285">
        <f t="shared" si="39"/>
        <v>0</v>
      </c>
      <c r="M241" s="285">
        <f t="shared" si="40"/>
        <v>0.35</v>
      </c>
      <c r="N241" s="285">
        <f t="shared" si="41"/>
        <v>0</v>
      </c>
      <c r="O241" s="416">
        <f t="shared" si="42"/>
        <v>0</v>
      </c>
      <c r="P241" s="417">
        <f t="shared" si="43"/>
        <v>7936.2499999999991</v>
      </c>
      <c r="Q241" s="441"/>
    </row>
    <row r="242" spans="1:17" s="417" customFormat="1">
      <c r="A242" s="167">
        <v>235</v>
      </c>
      <c r="B242" s="409">
        <v>22675</v>
      </c>
      <c r="C242" s="20" t="str">
        <f>VLOOKUP(A242,'JUNE (물량흐름)'!$A$13:$C$502,2,0)</f>
        <v>ANN TAYLOR</v>
      </c>
      <c r="D242" s="282">
        <f>VLOOKUP(A242,'JUNE (물량흐름)'!$A$13:$C$502,3,0)</f>
        <v>465184</v>
      </c>
      <c r="E242" s="6">
        <f>VLOOKUP(D242,'JUNE (물량흐름)'!$C$13:$W$502,21,0)</f>
        <v>0</v>
      </c>
      <c r="F242" s="6">
        <f t="shared" si="36"/>
        <v>0</v>
      </c>
      <c r="G242" s="6">
        <f>ROUND(SUMIF('In-out-bal products (155)(완성제품)'!$B$12:$B$493,'Sales profit (스타일 별 매출이익)'!D242,'In-out-bal products (155)(완성제품)'!$X$12:$X$493) + SUMIF('In-out-bal products (155)(완성제품)'!$B$12:$B$493,'Sales profit (스타일 별 매출이익)'!D242,'In-out-bal products (155)(완성제품)'!$AA$12:$AA$493),0)</f>
        <v>0</v>
      </c>
      <c r="H242" s="283">
        <f t="shared" si="37"/>
        <v>0</v>
      </c>
      <c r="I242" s="284">
        <f t="shared" si="38"/>
        <v>0</v>
      </c>
      <c r="J242" s="284">
        <f t="shared" si="35"/>
        <v>0</v>
      </c>
      <c r="K242" s="283">
        <v>0.36</v>
      </c>
      <c r="L242" s="285">
        <f t="shared" si="39"/>
        <v>0</v>
      </c>
      <c r="M242" s="285">
        <f t="shared" si="40"/>
        <v>0.36</v>
      </c>
      <c r="N242" s="285">
        <f t="shared" si="41"/>
        <v>0</v>
      </c>
      <c r="O242" s="416">
        <f t="shared" si="42"/>
        <v>0</v>
      </c>
      <c r="P242" s="417">
        <f t="shared" si="43"/>
        <v>8163</v>
      </c>
      <c r="Q242" s="441"/>
    </row>
    <row r="243" spans="1:17" s="417" customFormat="1">
      <c r="A243" s="167">
        <v>236</v>
      </c>
      <c r="B243" s="409">
        <v>22675</v>
      </c>
      <c r="C243" s="20" t="str">
        <f>VLOOKUP(A243,'JUNE (물량흐름)'!$A$13:$C$502,2,0)</f>
        <v>ANN TAYLOR</v>
      </c>
      <c r="D243" s="282">
        <f>VLOOKUP(A243,'JUNE (물량흐름)'!$A$13:$C$502,3,0)</f>
        <v>465409</v>
      </c>
      <c r="E243" s="6">
        <f>VLOOKUP(D243,'JUNE (물량흐름)'!$C$13:$W$502,21,0)</f>
        <v>0</v>
      </c>
      <c r="F243" s="6">
        <f t="shared" si="36"/>
        <v>0</v>
      </c>
      <c r="G243" s="6">
        <f>ROUND(SUMIF('In-out-bal products (155)(완성제품)'!$B$12:$B$493,'Sales profit (스타일 별 매출이익)'!D243,'In-out-bal products (155)(완성제품)'!$X$12:$X$493) + SUMIF('In-out-bal products (155)(완성제품)'!$B$12:$B$493,'Sales profit (스타일 별 매출이익)'!D243,'In-out-bal products (155)(완성제품)'!$AA$12:$AA$493),0)</f>
        <v>0</v>
      </c>
      <c r="H243" s="283">
        <f t="shared" si="37"/>
        <v>0</v>
      </c>
      <c r="I243" s="284">
        <f t="shared" si="38"/>
        <v>0</v>
      </c>
      <c r="J243" s="284">
        <f t="shared" si="35"/>
        <v>0</v>
      </c>
      <c r="K243" s="283">
        <v>0.35</v>
      </c>
      <c r="L243" s="285">
        <f t="shared" si="39"/>
        <v>0</v>
      </c>
      <c r="M243" s="285">
        <f t="shared" si="40"/>
        <v>0.35</v>
      </c>
      <c r="N243" s="285">
        <f t="shared" si="41"/>
        <v>0</v>
      </c>
      <c r="O243" s="416">
        <f t="shared" si="42"/>
        <v>0</v>
      </c>
      <c r="P243" s="417">
        <f t="shared" si="43"/>
        <v>7936.2499999999991</v>
      </c>
      <c r="Q243" s="441"/>
    </row>
    <row r="244" spans="1:17" s="417" customFormat="1">
      <c r="A244" s="167">
        <v>237</v>
      </c>
      <c r="B244" s="409">
        <v>22675</v>
      </c>
      <c r="C244" s="20" t="str">
        <f>VLOOKUP(A244,'JUNE (물량흐름)'!$A$13:$C$502,2,0)</f>
        <v>CHARTER CLUB</v>
      </c>
      <c r="D244" s="282">
        <f>VLOOKUP(A244,'JUNE (물량흐름)'!$A$13:$C$502,3,0)</f>
        <v>100010055</v>
      </c>
      <c r="E244" s="6">
        <f>VLOOKUP(D244,'JUNE (물량흐름)'!$C$13:$W$502,21,0)</f>
        <v>0</v>
      </c>
      <c r="F244" s="6">
        <f t="shared" si="36"/>
        <v>0</v>
      </c>
      <c r="G244" s="6">
        <f>ROUND(SUMIF('In-out-bal products (155)(완성제품)'!$B$12:$B$493,'Sales profit (스타일 별 매출이익)'!D244,'In-out-bal products (155)(완성제품)'!$X$12:$X$493) + SUMIF('In-out-bal products (155)(완성제품)'!$B$12:$B$493,'Sales profit (스타일 별 매출이익)'!D244,'In-out-bal products (155)(완성제품)'!$AA$12:$AA$493),0)</f>
        <v>0</v>
      </c>
      <c r="H244" s="283">
        <f t="shared" si="37"/>
        <v>0</v>
      </c>
      <c r="I244" s="284">
        <f t="shared" si="38"/>
        <v>0</v>
      </c>
      <c r="J244" s="284">
        <f t="shared" si="35"/>
        <v>0</v>
      </c>
      <c r="K244" s="283">
        <v>0.35</v>
      </c>
      <c r="L244" s="285">
        <f t="shared" si="39"/>
        <v>0</v>
      </c>
      <c r="M244" s="285">
        <f t="shared" si="40"/>
        <v>0.35</v>
      </c>
      <c r="N244" s="285">
        <f t="shared" si="41"/>
        <v>0</v>
      </c>
      <c r="O244" s="416">
        <f t="shared" si="42"/>
        <v>0</v>
      </c>
      <c r="P244" s="417">
        <f t="shared" si="43"/>
        <v>7936.2499999999991</v>
      </c>
      <c r="Q244" s="441"/>
    </row>
    <row r="245" spans="1:17" s="417" customFormat="1">
      <c r="A245" s="167">
        <v>238</v>
      </c>
      <c r="B245" s="409">
        <v>22675</v>
      </c>
      <c r="C245" s="20" t="str">
        <f>VLOOKUP(A245,'JUNE (물량흐름)'!$A$13:$C$502,2,0)</f>
        <v>CHARTER CLUB</v>
      </c>
      <c r="D245" s="282">
        <f>VLOOKUP(A245,'JUNE (물량흐름)'!$A$13:$C$502,3,0)</f>
        <v>100013421</v>
      </c>
      <c r="E245" s="6">
        <f>VLOOKUP(D245,'JUNE (물량흐름)'!$C$13:$W$502,21,0)</f>
        <v>0</v>
      </c>
      <c r="F245" s="6">
        <f t="shared" si="36"/>
        <v>0</v>
      </c>
      <c r="G245" s="6">
        <f>ROUND(SUMIF('In-out-bal products (155)(완성제품)'!$B$12:$B$493,'Sales profit (스타일 별 매출이익)'!D245,'In-out-bal products (155)(완성제품)'!$X$12:$X$493) + SUMIF('In-out-bal products (155)(완성제품)'!$B$12:$B$493,'Sales profit (스타일 별 매출이익)'!D245,'In-out-bal products (155)(완성제품)'!$AA$12:$AA$493),0)</f>
        <v>0</v>
      </c>
      <c r="H245" s="283">
        <f t="shared" si="37"/>
        <v>0</v>
      </c>
      <c r="I245" s="284">
        <f t="shared" si="38"/>
        <v>0</v>
      </c>
      <c r="J245" s="284">
        <f t="shared" si="35"/>
        <v>0</v>
      </c>
      <c r="K245" s="283">
        <v>1.96</v>
      </c>
      <c r="L245" s="285">
        <v>1.96</v>
      </c>
      <c r="M245" s="285">
        <f t="shared" si="40"/>
        <v>0</v>
      </c>
      <c r="N245" s="285">
        <f t="shared" si="41"/>
        <v>0</v>
      </c>
      <c r="O245" s="416">
        <f t="shared" si="42"/>
        <v>0</v>
      </c>
      <c r="P245" s="417">
        <f t="shared" si="43"/>
        <v>44443</v>
      </c>
      <c r="Q245" s="441"/>
    </row>
    <row r="246" spans="1:17" s="417" customFormat="1">
      <c r="A246" s="167">
        <v>239</v>
      </c>
      <c r="B246" s="409">
        <v>22675</v>
      </c>
      <c r="C246" s="20" t="str">
        <f>VLOOKUP(A246,'JUNE (물량흐름)'!$A$13:$C$502,2,0)</f>
        <v>INC</v>
      </c>
      <c r="D246" s="282">
        <f>VLOOKUP(A246,'JUNE (물량흐름)'!$A$13:$C$502,3,0)</f>
        <v>100006969</v>
      </c>
      <c r="E246" s="6">
        <f>VLOOKUP(D246,'JUNE (물량흐름)'!$C$13:$W$502,21,0)</f>
        <v>0</v>
      </c>
      <c r="F246" s="6">
        <f t="shared" si="36"/>
        <v>0</v>
      </c>
      <c r="G246" s="6">
        <f>ROUND(SUMIF('In-out-bal products (155)(완성제품)'!$B$12:$B$493,'Sales profit (스타일 별 매출이익)'!D246,'In-out-bal products (155)(완성제품)'!$X$12:$X$493) + SUMIF('In-out-bal products (155)(완성제품)'!$B$12:$B$493,'Sales profit (스타일 별 매출이익)'!D246,'In-out-bal products (155)(완성제품)'!$AA$12:$AA$493),0)</f>
        <v>0</v>
      </c>
      <c r="H246" s="283">
        <f t="shared" si="37"/>
        <v>0</v>
      </c>
      <c r="I246" s="284">
        <f t="shared" si="38"/>
        <v>0</v>
      </c>
      <c r="J246" s="284">
        <f t="shared" si="35"/>
        <v>0</v>
      </c>
      <c r="K246" s="283">
        <v>1.96</v>
      </c>
      <c r="L246" s="285">
        <f t="shared" si="39"/>
        <v>0</v>
      </c>
      <c r="M246" s="285">
        <f t="shared" si="40"/>
        <v>1.96</v>
      </c>
      <c r="N246" s="285">
        <f t="shared" si="41"/>
        <v>0</v>
      </c>
      <c r="O246" s="416">
        <f t="shared" si="42"/>
        <v>0</v>
      </c>
      <c r="P246" s="417">
        <f t="shared" si="43"/>
        <v>44443</v>
      </c>
      <c r="Q246" s="441"/>
    </row>
    <row r="247" spans="1:17" s="417" customFormat="1">
      <c r="A247" s="167">
        <v>240</v>
      </c>
      <c r="B247" s="409">
        <v>22675</v>
      </c>
      <c r="C247" s="20" t="str">
        <f>VLOOKUP(A247,'JUNE (물량흐름)'!$A$13:$C$502,2,0)</f>
        <v>INC</v>
      </c>
      <c r="D247" s="282">
        <f>VLOOKUP(A247,'JUNE (물량흐름)'!$A$13:$C$502,3,0)</f>
        <v>100020548</v>
      </c>
      <c r="E247" s="6">
        <f>VLOOKUP(D247,'JUNE (물량흐름)'!$C$13:$W$502,21,0)</f>
        <v>0</v>
      </c>
      <c r="F247" s="6">
        <f t="shared" si="36"/>
        <v>0</v>
      </c>
      <c r="G247" s="6">
        <f>ROUND(SUMIF('In-out-bal products (155)(완성제품)'!$B$12:$B$493,'Sales profit (스타일 별 매출이익)'!D247,'In-out-bal products (155)(완성제품)'!$X$12:$X$493) + SUMIF('In-out-bal products (155)(완성제품)'!$B$12:$B$493,'Sales profit (스타일 별 매출이익)'!D247,'In-out-bal products (155)(완성제품)'!$AA$12:$AA$493),0)</f>
        <v>0</v>
      </c>
      <c r="H247" s="283">
        <f t="shared" si="37"/>
        <v>0</v>
      </c>
      <c r="I247" s="284">
        <f t="shared" si="38"/>
        <v>0</v>
      </c>
      <c r="J247" s="284">
        <f t="shared" si="35"/>
        <v>0</v>
      </c>
      <c r="K247" s="283">
        <v>0.35</v>
      </c>
      <c r="L247" s="285">
        <f t="shared" si="39"/>
        <v>0</v>
      </c>
      <c r="M247" s="285">
        <f t="shared" si="40"/>
        <v>0.35</v>
      </c>
      <c r="N247" s="285">
        <f t="shared" si="41"/>
        <v>0</v>
      </c>
      <c r="O247" s="416">
        <f t="shared" si="42"/>
        <v>0</v>
      </c>
      <c r="P247" s="417">
        <f t="shared" si="43"/>
        <v>7936.2499999999991</v>
      </c>
      <c r="Q247" s="441"/>
    </row>
    <row r="248" spans="1:17" s="417" customFormat="1">
      <c r="A248" s="167">
        <v>241</v>
      </c>
      <c r="B248" s="409">
        <v>22675</v>
      </c>
      <c r="C248" s="20" t="str">
        <f>VLOOKUP(A248,'JUNE (물량흐름)'!$A$13:$C$502,2,0)</f>
        <v>INC</v>
      </c>
      <c r="D248" s="282">
        <f>VLOOKUP(A248,'JUNE (물량흐름)'!$A$13:$C$502,3,0)</f>
        <v>77511</v>
      </c>
      <c r="E248" s="6">
        <f>VLOOKUP(D248,'JUNE (물량흐름)'!$C$13:$W$502,21,0)</f>
        <v>0</v>
      </c>
      <c r="F248" s="6">
        <f t="shared" si="36"/>
        <v>0</v>
      </c>
      <c r="G248" s="6">
        <f>ROUND(SUMIF('In-out-bal products (155)(완성제품)'!$B$12:$B$493,'Sales profit (스타일 별 매출이익)'!D248,'In-out-bal products (155)(완성제품)'!$X$12:$X$493) + SUMIF('In-out-bal products (155)(완성제품)'!$B$12:$B$493,'Sales profit (스타일 별 매출이익)'!D248,'In-out-bal products (155)(완성제품)'!$AA$12:$AA$493),0)</f>
        <v>0</v>
      </c>
      <c r="H248" s="283">
        <f t="shared" si="37"/>
        <v>0</v>
      </c>
      <c r="I248" s="284">
        <f t="shared" si="38"/>
        <v>0</v>
      </c>
      <c r="J248" s="284">
        <f t="shared" si="35"/>
        <v>0</v>
      </c>
      <c r="K248" s="283">
        <v>0.36</v>
      </c>
      <c r="L248" s="285">
        <f t="shared" si="39"/>
        <v>0</v>
      </c>
      <c r="M248" s="285">
        <f t="shared" si="40"/>
        <v>0.36</v>
      </c>
      <c r="N248" s="285">
        <f t="shared" si="41"/>
        <v>0</v>
      </c>
      <c r="O248" s="416">
        <f t="shared" si="42"/>
        <v>0</v>
      </c>
      <c r="P248" s="417">
        <f t="shared" si="43"/>
        <v>8163</v>
      </c>
      <c r="Q248" s="441"/>
    </row>
    <row r="249" spans="1:17" s="417" customFormat="1">
      <c r="A249" s="167">
        <v>242</v>
      </c>
      <c r="B249" s="409">
        <v>22675</v>
      </c>
      <c r="C249" s="20" t="str">
        <f>VLOOKUP(A249,'JUNE (물량흐름)'!$A$13:$C$502,2,0)</f>
        <v>J JILL</v>
      </c>
      <c r="D249" s="282" t="str">
        <f>VLOOKUP(A249,'JUNE (물량흐름)'!$A$13:$C$502,3,0)</f>
        <v>KTP118131</v>
      </c>
      <c r="E249" s="6">
        <f>VLOOKUP(D249,'JUNE (물량흐름)'!$C$13:$W$502,21,0)</f>
        <v>0</v>
      </c>
      <c r="F249" s="6">
        <f t="shared" si="36"/>
        <v>0</v>
      </c>
      <c r="G249" s="6">
        <f>ROUND(SUMIF('In-out-bal products (155)(완성제품)'!$B$12:$B$493,'Sales profit (스타일 별 매출이익)'!D249,'In-out-bal products (155)(완성제품)'!$X$12:$X$493) + SUMIF('In-out-bal products (155)(완성제품)'!$B$12:$B$493,'Sales profit (스타일 별 매출이익)'!D249,'In-out-bal products (155)(완성제품)'!$AA$12:$AA$493),0)</f>
        <v>0</v>
      </c>
      <c r="H249" s="283">
        <f t="shared" si="37"/>
        <v>0</v>
      </c>
      <c r="I249" s="284">
        <f t="shared" si="38"/>
        <v>0</v>
      </c>
      <c r="J249" s="284">
        <f t="shared" si="35"/>
        <v>0</v>
      </c>
      <c r="K249" s="283">
        <v>3.15</v>
      </c>
      <c r="L249" s="285">
        <f t="shared" si="39"/>
        <v>0</v>
      </c>
      <c r="M249" s="285">
        <f t="shared" si="40"/>
        <v>3.15</v>
      </c>
      <c r="N249" s="285">
        <f t="shared" si="41"/>
        <v>0</v>
      </c>
      <c r="O249" s="416">
        <f t="shared" si="42"/>
        <v>0</v>
      </c>
      <c r="P249" s="417">
        <f t="shared" si="43"/>
        <v>71426.25</v>
      </c>
      <c r="Q249" s="441"/>
    </row>
    <row r="250" spans="1:17" s="417" customFormat="1">
      <c r="A250" s="167">
        <v>243</v>
      </c>
      <c r="B250" s="409">
        <v>22675</v>
      </c>
      <c r="C250" s="20" t="str">
        <f>VLOOKUP(A250,'JUNE (물량흐름)'!$A$13:$C$502,2,0)</f>
        <v>J JILL</v>
      </c>
      <c r="D250" s="282" t="str">
        <f>VLOOKUP(A250,'JUNE (물량흐름)'!$A$13:$C$502,3,0)</f>
        <v>KTP121661</v>
      </c>
      <c r="E250" s="6">
        <f>VLOOKUP(D250,'JUNE (물량흐름)'!$C$13:$W$502,21,0)</f>
        <v>0</v>
      </c>
      <c r="F250" s="6">
        <f t="shared" si="36"/>
        <v>0</v>
      </c>
      <c r="G250" s="6">
        <f>ROUND(SUMIF('In-out-bal products (155)(완성제품)'!$B$12:$B$493,'Sales profit (스타일 별 매출이익)'!D250,'In-out-bal products (155)(완성제품)'!$X$12:$X$493) + SUMIF('In-out-bal products (155)(완성제품)'!$B$12:$B$493,'Sales profit (스타일 별 매출이익)'!D250,'In-out-bal products (155)(완성제품)'!$AA$12:$AA$493),0)</f>
        <v>0</v>
      </c>
      <c r="H250" s="283">
        <f t="shared" si="37"/>
        <v>0</v>
      </c>
      <c r="I250" s="284">
        <f t="shared" si="38"/>
        <v>0</v>
      </c>
      <c r="J250" s="284">
        <f t="shared" si="35"/>
        <v>0</v>
      </c>
      <c r="K250" s="283">
        <v>0.35</v>
      </c>
      <c r="L250" s="285">
        <f t="shared" si="39"/>
        <v>0</v>
      </c>
      <c r="M250" s="285">
        <f t="shared" si="40"/>
        <v>0.35</v>
      </c>
      <c r="N250" s="285">
        <f t="shared" si="41"/>
        <v>0</v>
      </c>
      <c r="O250" s="416">
        <f t="shared" si="42"/>
        <v>0</v>
      </c>
      <c r="P250" s="417">
        <f t="shared" si="43"/>
        <v>7936.2499999999991</v>
      </c>
      <c r="Q250" s="441"/>
    </row>
    <row r="251" spans="1:17" s="417" customFormat="1">
      <c r="A251" s="167">
        <v>244</v>
      </c>
      <c r="B251" s="409">
        <v>22675</v>
      </c>
      <c r="C251" s="20" t="str">
        <f>VLOOKUP(A251,'JUNE (물량흐름)'!$A$13:$C$502,2,0)</f>
        <v>ALFANI</v>
      </c>
      <c r="D251" s="282">
        <f>VLOOKUP(A251,'JUNE (물량흐름)'!$A$13:$C$502,3,0)</f>
        <v>100015354</v>
      </c>
      <c r="E251" s="6">
        <f>VLOOKUP(D251,'JUNE (물량흐름)'!$C$13:$W$502,21,0)</f>
        <v>0</v>
      </c>
      <c r="F251" s="6">
        <f t="shared" si="36"/>
        <v>0</v>
      </c>
      <c r="G251" s="6">
        <f>ROUND(SUMIF('In-out-bal products (155)(완성제품)'!$B$12:$B$493,'Sales profit (스타일 별 매출이익)'!D251,'In-out-bal products (155)(완성제품)'!$X$12:$X$493) + SUMIF('In-out-bal products (155)(완성제품)'!$B$12:$B$493,'Sales profit (스타일 별 매출이익)'!D251,'In-out-bal products (155)(완성제품)'!$AA$12:$AA$493),0)</f>
        <v>0</v>
      </c>
      <c r="H251" s="283">
        <f t="shared" si="37"/>
        <v>0</v>
      </c>
      <c r="I251" s="284">
        <f t="shared" si="38"/>
        <v>0</v>
      </c>
      <c r="J251" s="284">
        <f t="shared" si="35"/>
        <v>0</v>
      </c>
      <c r="K251" s="283">
        <v>0.35</v>
      </c>
      <c r="L251" s="285">
        <f t="shared" si="39"/>
        <v>0</v>
      </c>
      <c r="M251" s="285">
        <f t="shared" si="40"/>
        <v>0.35</v>
      </c>
      <c r="N251" s="285">
        <f t="shared" si="41"/>
        <v>0</v>
      </c>
      <c r="O251" s="416">
        <f t="shared" si="42"/>
        <v>0</v>
      </c>
      <c r="P251" s="417">
        <f t="shared" si="43"/>
        <v>7936.2499999999991</v>
      </c>
      <c r="Q251" s="441"/>
    </row>
    <row r="252" spans="1:17" s="417" customFormat="1">
      <c r="A252" s="167">
        <v>245</v>
      </c>
      <c r="B252" s="409">
        <v>22675</v>
      </c>
      <c r="C252" s="20" t="str">
        <f>VLOOKUP(A252,'JUNE (물량흐름)'!$A$13:$C$502,2,0)</f>
        <v>ANN TAYLOR</v>
      </c>
      <c r="D252" s="282">
        <f>VLOOKUP(A252,'JUNE (물량흐름)'!$A$13:$C$502,3,0)</f>
        <v>468248</v>
      </c>
      <c r="E252" s="6">
        <f>VLOOKUP(D252,'JUNE (물량흐름)'!$C$13:$W$502,21,0)</f>
        <v>0</v>
      </c>
      <c r="F252" s="6">
        <f t="shared" si="36"/>
        <v>0</v>
      </c>
      <c r="G252" s="6">
        <f>ROUND(SUMIF('In-out-bal products (155)(완성제품)'!$B$12:$B$493,'Sales profit (스타일 별 매출이익)'!D252,'In-out-bal products (155)(완성제품)'!$X$12:$X$493) + SUMIF('In-out-bal products (155)(완성제품)'!$B$12:$B$493,'Sales profit (스타일 별 매출이익)'!D252,'In-out-bal products (155)(완성제품)'!$AA$12:$AA$493),0)</f>
        <v>0</v>
      </c>
      <c r="H252" s="283">
        <f t="shared" si="37"/>
        <v>0</v>
      </c>
      <c r="I252" s="284">
        <f t="shared" si="38"/>
        <v>0</v>
      </c>
      <c r="J252" s="284">
        <f t="shared" si="35"/>
        <v>0</v>
      </c>
      <c r="K252" s="283">
        <v>0.36</v>
      </c>
      <c r="L252" s="285">
        <f t="shared" si="39"/>
        <v>0</v>
      </c>
      <c r="M252" s="285">
        <f t="shared" si="40"/>
        <v>0.36</v>
      </c>
      <c r="N252" s="285">
        <f t="shared" si="41"/>
        <v>0</v>
      </c>
      <c r="O252" s="416">
        <f t="shared" si="42"/>
        <v>0</v>
      </c>
      <c r="P252" s="417">
        <f t="shared" si="43"/>
        <v>8163</v>
      </c>
      <c r="Q252" s="441"/>
    </row>
    <row r="253" spans="1:17" s="417" customFormat="1">
      <c r="A253" s="167">
        <v>246</v>
      </c>
      <c r="B253" s="409">
        <v>22675</v>
      </c>
      <c r="C253" s="20" t="str">
        <f>VLOOKUP(A253,'JUNE (물량흐름)'!$A$13:$C$502,2,0)</f>
        <v>ALFANI</v>
      </c>
      <c r="D253" s="282">
        <f>VLOOKUP(A253,'JUNE (물량흐름)'!$A$13:$C$502,3,0)</f>
        <v>100008608</v>
      </c>
      <c r="E253" s="6">
        <f>VLOOKUP(D253,'JUNE (물량흐름)'!$C$13:$W$502,21,0)</f>
        <v>0</v>
      </c>
      <c r="F253" s="6">
        <f t="shared" si="36"/>
        <v>0</v>
      </c>
      <c r="G253" s="6">
        <f>ROUND(SUMIF('In-out-bal products (155)(완성제품)'!$B$12:$B$493,'Sales profit (스타일 별 매출이익)'!D253,'In-out-bal products (155)(완성제품)'!$X$12:$X$493) + SUMIF('In-out-bal products (155)(완성제품)'!$B$12:$B$493,'Sales profit (스타일 별 매출이익)'!D253,'In-out-bal products (155)(완성제품)'!$AA$12:$AA$493),0)</f>
        <v>0</v>
      </c>
      <c r="H253" s="283">
        <f t="shared" si="37"/>
        <v>0</v>
      </c>
      <c r="I253" s="284">
        <f t="shared" si="38"/>
        <v>0</v>
      </c>
      <c r="J253" s="284">
        <f t="shared" si="35"/>
        <v>0</v>
      </c>
      <c r="K253" s="283">
        <v>0.35</v>
      </c>
      <c r="L253" s="285">
        <f t="shared" si="39"/>
        <v>0</v>
      </c>
      <c r="M253" s="285">
        <f t="shared" si="40"/>
        <v>0.35</v>
      </c>
      <c r="N253" s="285">
        <f t="shared" si="41"/>
        <v>0</v>
      </c>
      <c r="O253" s="416">
        <f t="shared" si="42"/>
        <v>0</v>
      </c>
      <c r="P253" s="417">
        <f t="shared" si="43"/>
        <v>7936.2499999999991</v>
      </c>
      <c r="Q253" s="441"/>
    </row>
    <row r="254" spans="1:17" s="417" customFormat="1">
      <c r="A254" s="167">
        <v>247</v>
      </c>
      <c r="B254" s="409">
        <v>22675</v>
      </c>
      <c r="C254" s="20" t="str">
        <f>VLOOKUP(A254,'JUNE (물량흐름)'!$A$13:$C$502,2,0)</f>
        <v>CHARTER CLUB</v>
      </c>
      <c r="D254" s="282">
        <f>VLOOKUP(A254,'JUNE (물량흐름)'!$A$13:$C$502,3,0)</f>
        <v>16661</v>
      </c>
      <c r="E254" s="6">
        <f>VLOOKUP(D254,'JUNE (물량흐름)'!$C$13:$W$502,21,0)</f>
        <v>0</v>
      </c>
      <c r="F254" s="6">
        <f t="shared" si="36"/>
        <v>0</v>
      </c>
      <c r="G254" s="6">
        <f>ROUND(SUMIF('In-out-bal products (155)(완성제품)'!$B$12:$B$493,'Sales profit (스타일 별 매출이익)'!D254,'In-out-bal products (155)(완성제품)'!$X$12:$X$493) + SUMIF('In-out-bal products (155)(완성제품)'!$B$12:$B$493,'Sales profit (스타일 별 매출이익)'!D254,'In-out-bal products (155)(완성제품)'!$AA$12:$AA$493),0)</f>
        <v>0</v>
      </c>
      <c r="H254" s="283">
        <f t="shared" si="37"/>
        <v>0</v>
      </c>
      <c r="I254" s="284">
        <f t="shared" si="38"/>
        <v>0</v>
      </c>
      <c r="J254" s="284">
        <f t="shared" si="35"/>
        <v>0</v>
      </c>
      <c r="K254" s="283">
        <v>0.35</v>
      </c>
      <c r="L254" s="285">
        <f t="shared" si="39"/>
        <v>0</v>
      </c>
      <c r="M254" s="285">
        <f t="shared" si="40"/>
        <v>0.35</v>
      </c>
      <c r="N254" s="285">
        <f t="shared" si="41"/>
        <v>0</v>
      </c>
      <c r="O254" s="416">
        <f t="shared" si="42"/>
        <v>0</v>
      </c>
      <c r="P254" s="417">
        <f t="shared" si="43"/>
        <v>7936.2499999999991</v>
      </c>
      <c r="Q254" s="441"/>
    </row>
    <row r="255" spans="1:17" s="417" customFormat="1">
      <c r="A255" s="167">
        <v>248</v>
      </c>
      <c r="B255" s="409">
        <v>22675</v>
      </c>
      <c r="C255" s="20" t="str">
        <f>VLOOKUP(A255,'JUNE (물량흐름)'!$A$13:$C$502,2,0)</f>
        <v>ALFANI</v>
      </c>
      <c r="D255" s="282">
        <f>VLOOKUP(A255,'JUNE (물량흐름)'!$A$13:$C$502,3,0)</f>
        <v>75740</v>
      </c>
      <c r="E255" s="6">
        <f>VLOOKUP(D255,'JUNE (물량흐름)'!$C$13:$W$502,21,0)</f>
        <v>0</v>
      </c>
      <c r="F255" s="6">
        <f t="shared" si="36"/>
        <v>0</v>
      </c>
      <c r="G255" s="6">
        <f>ROUND(SUMIF('In-out-bal products (155)(완성제품)'!$B$12:$B$493,'Sales profit (스타일 별 매출이익)'!D255,'In-out-bal products (155)(완성제품)'!$X$12:$X$493) + SUMIF('In-out-bal products (155)(완성제품)'!$B$12:$B$493,'Sales profit (스타일 별 매출이익)'!D255,'In-out-bal products (155)(완성제품)'!$AA$12:$AA$493),0)</f>
        <v>0</v>
      </c>
      <c r="H255" s="283">
        <f t="shared" si="37"/>
        <v>0</v>
      </c>
      <c r="I255" s="284">
        <f t="shared" si="38"/>
        <v>0</v>
      </c>
      <c r="J255" s="284">
        <f t="shared" si="35"/>
        <v>0</v>
      </c>
      <c r="K255" s="283">
        <v>0.36</v>
      </c>
      <c r="L255" s="285">
        <f t="shared" si="39"/>
        <v>0</v>
      </c>
      <c r="M255" s="285">
        <f t="shared" si="40"/>
        <v>0.36</v>
      </c>
      <c r="N255" s="285">
        <f t="shared" si="41"/>
        <v>0</v>
      </c>
      <c r="O255" s="416">
        <f t="shared" si="42"/>
        <v>0</v>
      </c>
      <c r="P255" s="417">
        <f t="shared" si="43"/>
        <v>8163</v>
      </c>
      <c r="Q255" s="441"/>
    </row>
    <row r="256" spans="1:17" s="417" customFormat="1">
      <c r="A256" s="167">
        <v>249</v>
      </c>
      <c r="B256" s="409">
        <v>22675</v>
      </c>
      <c r="C256" s="20" t="str">
        <f>VLOOKUP(A256,'JUNE (물량흐름)'!$A$13:$C$502,2,0)</f>
        <v>ALFANI</v>
      </c>
      <c r="D256" s="282">
        <f>VLOOKUP(A256,'JUNE (물량흐름)'!$A$13:$C$502,3,0)</f>
        <v>76733</v>
      </c>
      <c r="E256" s="6">
        <f>VLOOKUP(D256,'JUNE (물량흐름)'!$C$13:$W$502,21,0)</f>
        <v>0</v>
      </c>
      <c r="F256" s="6">
        <f t="shared" si="36"/>
        <v>0</v>
      </c>
      <c r="G256" s="6">
        <f>ROUND(SUMIF('In-out-bal products (155)(완성제품)'!$B$12:$B$493,'Sales profit (스타일 별 매출이익)'!D256,'In-out-bal products (155)(완성제품)'!$X$12:$X$493) + SUMIF('In-out-bal products (155)(완성제품)'!$B$12:$B$493,'Sales profit (스타일 별 매출이익)'!D256,'In-out-bal products (155)(완성제품)'!$AA$12:$AA$493),0)</f>
        <v>0</v>
      </c>
      <c r="H256" s="283">
        <f t="shared" si="37"/>
        <v>0</v>
      </c>
      <c r="I256" s="284">
        <f t="shared" si="38"/>
        <v>0</v>
      </c>
      <c r="J256" s="284">
        <f t="shared" si="35"/>
        <v>0</v>
      </c>
      <c r="K256" s="283">
        <v>0.36</v>
      </c>
      <c r="L256" s="285">
        <f t="shared" si="39"/>
        <v>0</v>
      </c>
      <c r="M256" s="285">
        <f t="shared" si="40"/>
        <v>0.36</v>
      </c>
      <c r="N256" s="285">
        <f t="shared" si="41"/>
        <v>0</v>
      </c>
      <c r="O256" s="416">
        <f t="shared" si="42"/>
        <v>0</v>
      </c>
      <c r="P256" s="417">
        <f t="shared" si="43"/>
        <v>8163</v>
      </c>
      <c r="Q256" s="441"/>
    </row>
    <row r="257" spans="1:17" s="417" customFormat="1">
      <c r="A257" s="167">
        <v>250</v>
      </c>
      <c r="B257" s="409">
        <v>22675</v>
      </c>
      <c r="C257" s="20" t="str">
        <f>VLOOKUP(A257,'JUNE (물량흐름)'!$A$13:$C$502,2,0)</f>
        <v>ANN TAYLOR</v>
      </c>
      <c r="D257" s="282">
        <f>VLOOKUP(A257,'JUNE (물량흐름)'!$A$13:$C$502,3,0)</f>
        <v>467914</v>
      </c>
      <c r="E257" s="6">
        <f>VLOOKUP(D257,'JUNE (물량흐름)'!$C$13:$W$502,21,0)</f>
        <v>0</v>
      </c>
      <c r="F257" s="6">
        <f t="shared" si="36"/>
        <v>0</v>
      </c>
      <c r="G257" s="6">
        <f>ROUND(SUMIF('In-out-bal products (155)(완성제품)'!$B$12:$B$493,'Sales profit (스타일 별 매출이익)'!D257,'In-out-bal products (155)(완성제품)'!$X$12:$X$493) + SUMIF('In-out-bal products (155)(완성제품)'!$B$12:$B$493,'Sales profit (스타일 별 매출이익)'!D257,'In-out-bal products (155)(완성제품)'!$AA$12:$AA$493),0)</f>
        <v>0</v>
      </c>
      <c r="H257" s="283">
        <f t="shared" si="37"/>
        <v>0</v>
      </c>
      <c r="I257" s="284">
        <f t="shared" si="38"/>
        <v>0</v>
      </c>
      <c r="J257" s="284">
        <f t="shared" si="35"/>
        <v>0</v>
      </c>
      <c r="K257" s="283">
        <v>0.36</v>
      </c>
      <c r="L257" s="285">
        <f t="shared" si="39"/>
        <v>0</v>
      </c>
      <c r="M257" s="285">
        <f t="shared" si="40"/>
        <v>0.36</v>
      </c>
      <c r="N257" s="285">
        <f t="shared" si="41"/>
        <v>0</v>
      </c>
      <c r="O257" s="416">
        <f t="shared" si="42"/>
        <v>0</v>
      </c>
      <c r="P257" s="417">
        <f t="shared" si="43"/>
        <v>8163</v>
      </c>
      <c r="Q257" s="441"/>
    </row>
    <row r="258" spans="1:17" s="417" customFormat="1">
      <c r="A258" s="167">
        <v>251</v>
      </c>
      <c r="B258" s="409">
        <v>22675</v>
      </c>
      <c r="C258" s="20" t="str">
        <f>VLOOKUP(A258,'JUNE (물량흐름)'!$A$13:$C$502,2,0)</f>
        <v>ANN TAYLOR</v>
      </c>
      <c r="D258" s="282">
        <f>VLOOKUP(A258,'JUNE (물량흐름)'!$A$13:$C$502,3,0)</f>
        <v>468229</v>
      </c>
      <c r="E258" s="6">
        <f>VLOOKUP(D258,'JUNE (물량흐름)'!$C$13:$W$502,21,0)</f>
        <v>0</v>
      </c>
      <c r="F258" s="6">
        <f t="shared" si="36"/>
        <v>0</v>
      </c>
      <c r="G258" s="6">
        <f>ROUND(SUMIF('In-out-bal products (155)(완성제품)'!$B$12:$B$493,'Sales profit (스타일 별 매출이익)'!D258,'In-out-bal products (155)(완성제품)'!$X$12:$X$493) + SUMIF('In-out-bal products (155)(완성제품)'!$B$12:$B$493,'Sales profit (스타일 별 매출이익)'!D258,'In-out-bal products (155)(완성제품)'!$AA$12:$AA$493),0)</f>
        <v>0</v>
      </c>
      <c r="H258" s="283">
        <f t="shared" si="37"/>
        <v>0</v>
      </c>
      <c r="I258" s="284">
        <f t="shared" si="38"/>
        <v>0</v>
      </c>
      <c r="J258" s="284">
        <f t="shared" si="35"/>
        <v>0</v>
      </c>
      <c r="K258" s="283">
        <v>3.15</v>
      </c>
      <c r="L258" s="285">
        <f t="shared" si="39"/>
        <v>0</v>
      </c>
      <c r="M258" s="285">
        <f t="shared" si="40"/>
        <v>3.15</v>
      </c>
      <c r="N258" s="285">
        <f t="shared" si="41"/>
        <v>0</v>
      </c>
      <c r="O258" s="416">
        <f t="shared" si="42"/>
        <v>0</v>
      </c>
      <c r="P258" s="417">
        <f t="shared" si="43"/>
        <v>71426.25</v>
      </c>
      <c r="Q258" s="441"/>
    </row>
    <row r="259" spans="1:17" s="417" customFormat="1">
      <c r="A259" s="167">
        <v>252</v>
      </c>
      <c r="B259" s="409">
        <v>22675</v>
      </c>
      <c r="C259" s="20" t="str">
        <f>VLOOKUP(A259,'JUNE (물량흐름)'!$A$13:$C$502,2,0)</f>
        <v>ANN TAYLOR</v>
      </c>
      <c r="D259" s="282">
        <f>VLOOKUP(A259,'JUNE (물량흐름)'!$A$13:$C$502,3,0)</f>
        <v>468230</v>
      </c>
      <c r="E259" s="6">
        <f>VLOOKUP(D259,'JUNE (물량흐름)'!$C$13:$W$502,21,0)</f>
        <v>0</v>
      </c>
      <c r="F259" s="6">
        <f t="shared" si="36"/>
        <v>0</v>
      </c>
      <c r="G259" s="6">
        <f>ROUND(SUMIF('In-out-bal products (155)(완성제품)'!$B$12:$B$493,'Sales profit (스타일 별 매출이익)'!D259,'In-out-bal products (155)(완성제품)'!$X$12:$X$493) + SUMIF('In-out-bal products (155)(완성제품)'!$B$12:$B$493,'Sales profit (스타일 별 매출이익)'!D259,'In-out-bal products (155)(완성제품)'!$AA$12:$AA$493),0)</f>
        <v>0</v>
      </c>
      <c r="H259" s="283">
        <f t="shared" si="37"/>
        <v>0</v>
      </c>
      <c r="I259" s="284">
        <f t="shared" si="38"/>
        <v>0</v>
      </c>
      <c r="J259" s="284">
        <f t="shared" si="35"/>
        <v>0</v>
      </c>
      <c r="K259" s="283">
        <v>0.35</v>
      </c>
      <c r="L259" s="285">
        <f t="shared" si="39"/>
        <v>0</v>
      </c>
      <c r="M259" s="285">
        <f t="shared" si="40"/>
        <v>0.35</v>
      </c>
      <c r="N259" s="285">
        <f t="shared" si="41"/>
        <v>0</v>
      </c>
      <c r="O259" s="416">
        <f t="shared" si="42"/>
        <v>0</v>
      </c>
      <c r="P259" s="417">
        <f t="shared" si="43"/>
        <v>7936.2499999999991</v>
      </c>
      <c r="Q259" s="441"/>
    </row>
    <row r="260" spans="1:17" s="417" customFormat="1">
      <c r="A260" s="167">
        <v>253</v>
      </c>
      <c r="B260" s="409">
        <v>22675</v>
      </c>
      <c r="C260" s="20" t="str">
        <f>VLOOKUP(A260,'JUNE (물량흐름)'!$A$13:$C$502,2,0)</f>
        <v>ANN TAYLOR</v>
      </c>
      <c r="D260" s="282">
        <f>VLOOKUP(A260,'JUNE (물량흐름)'!$A$13:$C$502,3,0)</f>
        <v>468249</v>
      </c>
      <c r="E260" s="6">
        <f>VLOOKUP(D260,'JUNE (물량흐름)'!$C$13:$W$502,21,0)</f>
        <v>0</v>
      </c>
      <c r="F260" s="6">
        <f t="shared" si="36"/>
        <v>0</v>
      </c>
      <c r="G260" s="6">
        <f>ROUND(SUMIF('In-out-bal products (155)(완성제품)'!$B$12:$B$493,'Sales profit (스타일 별 매출이익)'!D260,'In-out-bal products (155)(완성제품)'!$X$12:$X$493) + SUMIF('In-out-bal products (155)(완성제품)'!$B$12:$B$493,'Sales profit (스타일 별 매출이익)'!D260,'In-out-bal products (155)(완성제품)'!$AA$12:$AA$493),0)</f>
        <v>0</v>
      </c>
      <c r="H260" s="283">
        <f t="shared" si="37"/>
        <v>0</v>
      </c>
      <c r="I260" s="284">
        <f t="shared" si="38"/>
        <v>0</v>
      </c>
      <c r="J260" s="284">
        <f t="shared" si="35"/>
        <v>0</v>
      </c>
      <c r="K260" s="283">
        <v>0.35</v>
      </c>
      <c r="L260" s="285">
        <f t="shared" si="39"/>
        <v>0</v>
      </c>
      <c r="M260" s="285">
        <f t="shared" si="40"/>
        <v>0.35</v>
      </c>
      <c r="N260" s="285">
        <f t="shared" si="41"/>
        <v>0</v>
      </c>
      <c r="O260" s="416">
        <f t="shared" si="42"/>
        <v>0</v>
      </c>
      <c r="P260" s="417">
        <f t="shared" si="43"/>
        <v>7936.2499999999991</v>
      </c>
      <c r="Q260" s="441"/>
    </row>
    <row r="261" spans="1:17" s="417" customFormat="1">
      <c r="A261" s="167">
        <v>254</v>
      </c>
      <c r="B261" s="409">
        <v>22675</v>
      </c>
      <c r="C261" s="20" t="str">
        <f>VLOOKUP(A261,'JUNE (물량흐름)'!$A$13:$C$502,2,0)</f>
        <v>ALFANI</v>
      </c>
      <c r="D261" s="282">
        <f>VLOOKUP(A261,'JUNE (물량흐름)'!$A$13:$C$502,3,0)</f>
        <v>100013593</v>
      </c>
      <c r="E261" s="6">
        <f>VLOOKUP(D261,'JUNE (물량흐름)'!$C$13:$W$502,21,0)</f>
        <v>0</v>
      </c>
      <c r="F261" s="6">
        <f t="shared" si="36"/>
        <v>0</v>
      </c>
      <c r="G261" s="6">
        <f>ROUND(SUMIF('In-out-bal products (155)(완성제품)'!$B$12:$B$493,'Sales profit (스타일 별 매출이익)'!D261,'In-out-bal products (155)(완성제품)'!$X$12:$X$493) + SUMIF('In-out-bal products (155)(완성제품)'!$B$12:$B$493,'Sales profit (스타일 별 매출이익)'!D261,'In-out-bal products (155)(완성제품)'!$AA$12:$AA$493),0)</f>
        <v>0</v>
      </c>
      <c r="H261" s="283">
        <f t="shared" si="37"/>
        <v>0</v>
      </c>
      <c r="I261" s="284">
        <f t="shared" si="38"/>
        <v>0</v>
      </c>
      <c r="J261" s="284">
        <f t="shared" si="35"/>
        <v>0</v>
      </c>
      <c r="K261" s="283">
        <v>0.35</v>
      </c>
      <c r="L261" s="285">
        <f t="shared" si="39"/>
        <v>0</v>
      </c>
      <c r="M261" s="285">
        <f t="shared" si="40"/>
        <v>0.35</v>
      </c>
      <c r="N261" s="285">
        <f t="shared" si="41"/>
        <v>0</v>
      </c>
      <c r="O261" s="416">
        <f t="shared" si="42"/>
        <v>0</v>
      </c>
      <c r="P261" s="417">
        <f t="shared" si="43"/>
        <v>7936.2499999999991</v>
      </c>
      <c r="Q261" s="441"/>
    </row>
    <row r="262" spans="1:17" s="417" customFormat="1">
      <c r="A262" s="167">
        <v>255</v>
      </c>
      <c r="B262" s="409">
        <v>22675</v>
      </c>
      <c r="C262" s="20" t="str">
        <f>VLOOKUP(A262,'JUNE (물량흐름)'!$A$13:$C$502,2,0)</f>
        <v>ALFANI</v>
      </c>
      <c r="D262" s="282">
        <f>VLOOKUP(A262,'JUNE (물량흐름)'!$A$13:$C$502,3,0)</f>
        <v>100014855</v>
      </c>
      <c r="E262" s="6">
        <f>VLOOKUP(D262,'JUNE (물량흐름)'!$C$13:$W$502,21,0)</f>
        <v>0</v>
      </c>
      <c r="F262" s="6">
        <f t="shared" si="36"/>
        <v>0</v>
      </c>
      <c r="G262" s="6">
        <f>ROUND(SUMIF('In-out-bal products (155)(완성제품)'!$B$12:$B$493,'Sales profit (스타일 별 매출이익)'!D262,'In-out-bal products (155)(완성제품)'!$X$12:$X$493) + SUMIF('In-out-bal products (155)(완성제품)'!$B$12:$B$493,'Sales profit (스타일 별 매출이익)'!D262,'In-out-bal products (155)(완성제품)'!$AA$12:$AA$493),0)</f>
        <v>0</v>
      </c>
      <c r="H262" s="283">
        <f t="shared" si="37"/>
        <v>0</v>
      </c>
      <c r="I262" s="284">
        <f t="shared" si="38"/>
        <v>0</v>
      </c>
      <c r="J262" s="284">
        <f t="shared" si="35"/>
        <v>0</v>
      </c>
      <c r="K262" s="283">
        <v>0.35</v>
      </c>
      <c r="L262" s="285">
        <f t="shared" si="39"/>
        <v>0</v>
      </c>
      <c r="M262" s="285">
        <f t="shared" si="40"/>
        <v>0.35</v>
      </c>
      <c r="N262" s="285">
        <f t="shared" si="41"/>
        <v>0</v>
      </c>
      <c r="O262" s="416">
        <f t="shared" si="42"/>
        <v>0</v>
      </c>
      <c r="P262" s="417">
        <f t="shared" si="43"/>
        <v>7936.2499999999991</v>
      </c>
      <c r="Q262" s="441"/>
    </row>
    <row r="263" spans="1:17" s="417" customFormat="1">
      <c r="A263" s="167">
        <v>256</v>
      </c>
      <c r="B263" s="409">
        <v>22675</v>
      </c>
      <c r="C263" s="20" t="str">
        <f>VLOOKUP(A263,'JUNE (물량흐름)'!$A$13:$C$502,2,0)</f>
        <v>ALFANI</v>
      </c>
      <c r="D263" s="282">
        <f>VLOOKUP(A263,'JUNE (물량흐름)'!$A$13:$C$502,3,0)</f>
        <v>100015130</v>
      </c>
      <c r="E263" s="6">
        <f>VLOOKUP(D263,'JUNE (물량흐름)'!$C$13:$W$502,21,0)</f>
        <v>0</v>
      </c>
      <c r="F263" s="6">
        <f t="shared" si="36"/>
        <v>0</v>
      </c>
      <c r="G263" s="6">
        <f>ROUND(SUMIF('In-out-bal products (155)(완성제품)'!$B$12:$B$493,'Sales profit (스타일 별 매출이익)'!D263,'In-out-bal products (155)(완성제품)'!$X$12:$X$493) + SUMIF('In-out-bal products (155)(완성제품)'!$B$12:$B$493,'Sales profit (스타일 별 매출이익)'!D263,'In-out-bal products (155)(완성제품)'!$AA$12:$AA$493),0)</f>
        <v>0</v>
      </c>
      <c r="H263" s="283">
        <f t="shared" si="37"/>
        <v>0</v>
      </c>
      <c r="I263" s="284">
        <f t="shared" si="38"/>
        <v>0</v>
      </c>
      <c r="J263" s="284">
        <f t="shared" si="35"/>
        <v>0</v>
      </c>
      <c r="K263" s="283">
        <v>0.36</v>
      </c>
      <c r="L263" s="285">
        <f t="shared" si="39"/>
        <v>0</v>
      </c>
      <c r="M263" s="285">
        <f t="shared" si="40"/>
        <v>0.36</v>
      </c>
      <c r="N263" s="285">
        <f t="shared" si="41"/>
        <v>0</v>
      </c>
      <c r="O263" s="416">
        <f t="shared" si="42"/>
        <v>0</v>
      </c>
      <c r="P263" s="417">
        <f t="shared" si="43"/>
        <v>8163</v>
      </c>
      <c r="Q263" s="441"/>
    </row>
    <row r="264" spans="1:17" s="417" customFormat="1">
      <c r="A264" s="167">
        <v>257</v>
      </c>
      <c r="B264" s="409">
        <v>22675</v>
      </c>
      <c r="C264" s="20" t="str">
        <f>VLOOKUP(A264,'JUNE (물량흐름)'!$A$13:$C$502,2,0)</f>
        <v>ALFANI</v>
      </c>
      <c r="D264" s="282">
        <f>VLOOKUP(A264,'JUNE (물량흐름)'!$A$13:$C$502,3,0)</f>
        <v>100015136</v>
      </c>
      <c r="E264" s="6">
        <f>VLOOKUP(D264,'JUNE (물량흐름)'!$C$13:$W$502,21,0)</f>
        <v>0</v>
      </c>
      <c r="F264" s="6">
        <f t="shared" si="36"/>
        <v>0</v>
      </c>
      <c r="G264" s="6">
        <f>ROUND(SUMIF('In-out-bal products (155)(완성제품)'!$B$12:$B$493,'Sales profit (스타일 별 매출이익)'!D264,'In-out-bal products (155)(완성제품)'!$X$12:$X$493) + SUMIF('In-out-bal products (155)(완성제품)'!$B$12:$B$493,'Sales profit (스타일 별 매출이익)'!D264,'In-out-bal products (155)(완성제품)'!$AA$12:$AA$493),0)</f>
        <v>0</v>
      </c>
      <c r="H264" s="283">
        <f t="shared" si="37"/>
        <v>0</v>
      </c>
      <c r="I264" s="284">
        <f t="shared" si="38"/>
        <v>0</v>
      </c>
      <c r="J264" s="284">
        <f t="shared" ref="J264:J327" si="44">IFERROR(F264*$J$492/$F$492,0)</f>
        <v>0</v>
      </c>
      <c r="K264" s="283">
        <v>0.35</v>
      </c>
      <c r="L264" s="285">
        <f t="shared" si="39"/>
        <v>0</v>
      </c>
      <c r="M264" s="285">
        <f t="shared" si="40"/>
        <v>0.35</v>
      </c>
      <c r="N264" s="285">
        <f t="shared" si="41"/>
        <v>0</v>
      </c>
      <c r="O264" s="416">
        <f t="shared" si="42"/>
        <v>0</v>
      </c>
      <c r="P264" s="417">
        <f t="shared" si="43"/>
        <v>7936.2499999999991</v>
      </c>
      <c r="Q264" s="441"/>
    </row>
    <row r="265" spans="1:17" s="417" customFormat="1">
      <c r="A265" s="167">
        <v>258</v>
      </c>
      <c r="B265" s="409">
        <v>22675</v>
      </c>
      <c r="C265" s="20" t="str">
        <f>VLOOKUP(A265,'JUNE (물량흐름)'!$A$13:$C$502,2,0)</f>
        <v>ALFANI</v>
      </c>
      <c r="D265" s="282">
        <f>VLOOKUP(A265,'JUNE (물량흐름)'!$A$13:$C$502,3,0)</f>
        <v>100015145</v>
      </c>
      <c r="E265" s="6">
        <f>VLOOKUP(D265,'JUNE (물량흐름)'!$C$13:$W$502,21,0)</f>
        <v>0</v>
      </c>
      <c r="F265" s="6">
        <f t="shared" ref="F265:F324" si="45">IFERROR(ROUND(E265*K265*B265,0),0)</f>
        <v>0</v>
      </c>
      <c r="G265" s="6">
        <f>ROUND(SUMIF('In-out-bal products (155)(완성제품)'!$B$12:$B$493,'Sales profit (스타일 별 매출이익)'!D265,'In-out-bal products (155)(완성제품)'!$X$12:$X$493) + SUMIF('In-out-bal products (155)(완성제품)'!$B$12:$B$493,'Sales profit (스타일 별 매출이익)'!D265,'In-out-bal products (155)(완성제품)'!$AA$12:$AA$493),0)</f>
        <v>0</v>
      </c>
      <c r="H265" s="283">
        <f t="shared" ref="H265:H324" si="46">IFERROR(I265/B265,0)</f>
        <v>0</v>
      </c>
      <c r="I265" s="284">
        <f t="shared" ref="I265:I324" si="47">IFERROR((F265-G265)/E265,0)</f>
        <v>0</v>
      </c>
      <c r="J265" s="284">
        <f t="shared" si="44"/>
        <v>0</v>
      </c>
      <c r="K265" s="283">
        <v>0.35615384615384615</v>
      </c>
      <c r="L265" s="285">
        <f t="shared" ref="L265:L324" si="48">IFERROR(G265/E265/B265,0)</f>
        <v>0</v>
      </c>
      <c r="M265" s="285">
        <f t="shared" ref="M265:M324" si="49">K265-L265-N265</f>
        <v>0.35615384615384615</v>
      </c>
      <c r="N265" s="285">
        <f t="shared" ref="N265:N324" si="50">IFERROR(J265/E265/B265,0)</f>
        <v>0</v>
      </c>
      <c r="O265" s="416">
        <f t="shared" ref="O265:O324" si="51">ROUND(K265*E265,2)</f>
        <v>0</v>
      </c>
      <c r="P265" s="417">
        <f t="shared" ref="P265:P324" si="52">+B265*K265</f>
        <v>8075.7884615384619</v>
      </c>
      <c r="Q265" s="441"/>
    </row>
    <row r="266" spans="1:17" s="417" customFormat="1">
      <c r="A266" s="167">
        <v>259</v>
      </c>
      <c r="B266" s="409">
        <v>22675</v>
      </c>
      <c r="C266" s="20" t="str">
        <f>VLOOKUP(A266,'JUNE (물량흐름)'!$A$13:$C$502,2,0)</f>
        <v>ALFANI</v>
      </c>
      <c r="D266" s="282">
        <f>VLOOKUP(A266,'JUNE (물량흐름)'!$A$13:$C$502,3,0)</f>
        <v>100015153</v>
      </c>
      <c r="E266" s="6">
        <f>VLOOKUP(D266,'JUNE (물량흐름)'!$C$13:$W$502,21,0)</f>
        <v>0</v>
      </c>
      <c r="F266" s="6">
        <f t="shared" si="45"/>
        <v>0</v>
      </c>
      <c r="G266" s="6">
        <f>ROUND(SUMIF('In-out-bal products (155)(완성제품)'!$B$12:$B$493,'Sales profit (스타일 별 매출이익)'!D266,'In-out-bal products (155)(완성제품)'!$X$12:$X$493) + SUMIF('In-out-bal products (155)(완성제품)'!$B$12:$B$493,'Sales profit (스타일 별 매출이익)'!D266,'In-out-bal products (155)(완성제품)'!$AA$12:$AA$493),0)</f>
        <v>0</v>
      </c>
      <c r="H266" s="283">
        <f t="shared" si="46"/>
        <v>0</v>
      </c>
      <c r="I266" s="284">
        <f t="shared" si="47"/>
        <v>0</v>
      </c>
      <c r="J266" s="284">
        <f t="shared" si="44"/>
        <v>0</v>
      </c>
      <c r="K266" s="283">
        <v>0.35</v>
      </c>
      <c r="L266" s="285">
        <f t="shared" si="48"/>
        <v>0</v>
      </c>
      <c r="M266" s="285">
        <f t="shared" si="49"/>
        <v>0.35</v>
      </c>
      <c r="N266" s="285">
        <f t="shared" si="50"/>
        <v>0</v>
      </c>
      <c r="O266" s="416">
        <f t="shared" si="51"/>
        <v>0</v>
      </c>
      <c r="P266" s="417">
        <f t="shared" si="52"/>
        <v>7936.2499999999991</v>
      </c>
      <c r="Q266" s="441"/>
    </row>
    <row r="267" spans="1:17" s="417" customFormat="1">
      <c r="A267" s="167">
        <v>260</v>
      </c>
      <c r="B267" s="409">
        <v>22675</v>
      </c>
      <c r="C267" s="20" t="str">
        <f>VLOOKUP(A267,'JUNE (물량흐름)'!$A$13:$C$502,2,0)</f>
        <v>ALFANI</v>
      </c>
      <c r="D267" s="282">
        <f>VLOOKUP(A267,'JUNE (물량흐름)'!$A$13:$C$502,3,0)</f>
        <v>100015224</v>
      </c>
      <c r="E267" s="6">
        <f>VLOOKUP(D267,'JUNE (물량흐름)'!$C$13:$W$502,21,0)</f>
        <v>0</v>
      </c>
      <c r="F267" s="6">
        <f t="shared" si="45"/>
        <v>0</v>
      </c>
      <c r="G267" s="6">
        <f>ROUND(SUMIF('In-out-bal products (155)(완성제품)'!$B$12:$B$493,'Sales profit (스타일 별 매출이익)'!D267,'In-out-bal products (155)(완성제품)'!$X$12:$X$493) + SUMIF('In-out-bal products (155)(완성제품)'!$B$12:$B$493,'Sales profit (스타일 별 매출이익)'!D267,'In-out-bal products (155)(완성제품)'!$AA$12:$AA$493),0)</f>
        <v>0</v>
      </c>
      <c r="H267" s="283">
        <f t="shared" si="46"/>
        <v>0</v>
      </c>
      <c r="I267" s="284">
        <f t="shared" si="47"/>
        <v>0</v>
      </c>
      <c r="J267" s="284">
        <f t="shared" si="44"/>
        <v>0</v>
      </c>
      <c r="K267" s="283">
        <v>0.36</v>
      </c>
      <c r="L267" s="285">
        <f t="shared" si="48"/>
        <v>0</v>
      </c>
      <c r="M267" s="285">
        <f t="shared" si="49"/>
        <v>0.36</v>
      </c>
      <c r="N267" s="285">
        <f t="shared" si="50"/>
        <v>0</v>
      </c>
      <c r="O267" s="416">
        <f t="shared" si="51"/>
        <v>0</v>
      </c>
      <c r="P267" s="417">
        <f t="shared" si="52"/>
        <v>8163</v>
      </c>
      <c r="Q267" s="441"/>
    </row>
    <row r="268" spans="1:17" s="417" customFormat="1">
      <c r="A268" s="167">
        <v>261</v>
      </c>
      <c r="B268" s="409">
        <v>22675</v>
      </c>
      <c r="C268" s="20" t="str">
        <f>VLOOKUP(A268,'JUNE (물량흐름)'!$A$13:$C$502,2,0)</f>
        <v>ALFANI</v>
      </c>
      <c r="D268" s="282">
        <f>VLOOKUP(A268,'JUNE (물량흐름)'!$A$13:$C$502,3,0)</f>
        <v>100015225</v>
      </c>
      <c r="E268" s="6">
        <f>VLOOKUP(D268,'JUNE (물량흐름)'!$C$13:$W$502,21,0)</f>
        <v>0</v>
      </c>
      <c r="F268" s="6">
        <f t="shared" si="45"/>
        <v>0</v>
      </c>
      <c r="G268" s="6">
        <f>ROUND(SUMIF('In-out-bal products (155)(완성제품)'!$B$12:$B$493,'Sales profit (스타일 별 매출이익)'!D268,'In-out-bal products (155)(완성제품)'!$X$12:$X$493) + SUMIF('In-out-bal products (155)(완성제품)'!$B$12:$B$493,'Sales profit (스타일 별 매출이익)'!D268,'In-out-bal products (155)(완성제품)'!$AA$12:$AA$493),0)</f>
        <v>0</v>
      </c>
      <c r="H268" s="283">
        <f t="shared" si="46"/>
        <v>0</v>
      </c>
      <c r="I268" s="284">
        <f t="shared" si="47"/>
        <v>0</v>
      </c>
      <c r="J268" s="284">
        <f t="shared" si="44"/>
        <v>0</v>
      </c>
      <c r="K268" s="283">
        <v>0.35018604651162788</v>
      </c>
      <c r="L268" s="285">
        <f t="shared" si="48"/>
        <v>0</v>
      </c>
      <c r="M268" s="285">
        <f t="shared" si="49"/>
        <v>0.35018604651162788</v>
      </c>
      <c r="N268" s="285">
        <f t="shared" si="50"/>
        <v>0</v>
      </c>
      <c r="O268" s="416">
        <f t="shared" si="51"/>
        <v>0</v>
      </c>
      <c r="P268" s="417">
        <f t="shared" si="52"/>
        <v>7940.4686046511624</v>
      </c>
      <c r="Q268" s="441"/>
    </row>
    <row r="269" spans="1:17" s="417" customFormat="1">
      <c r="A269" s="167">
        <v>262</v>
      </c>
      <c r="B269" s="409">
        <v>22675</v>
      </c>
      <c r="C269" s="20" t="str">
        <f>VLOOKUP(A269,'JUNE (물량흐름)'!$A$13:$C$502,2,0)</f>
        <v>ALFANI</v>
      </c>
      <c r="D269" s="282">
        <f>VLOOKUP(A269,'JUNE (물량흐름)'!$A$13:$C$502,3,0)</f>
        <v>100015357</v>
      </c>
      <c r="E269" s="6">
        <f>VLOOKUP(D269,'JUNE (물량흐름)'!$C$13:$W$502,21,0)</f>
        <v>0</v>
      </c>
      <c r="F269" s="6">
        <f t="shared" si="45"/>
        <v>0</v>
      </c>
      <c r="G269" s="6">
        <f>ROUND(SUMIF('In-out-bal products (155)(완성제품)'!$B$12:$B$493,'Sales profit (스타일 별 매출이익)'!D269,'In-out-bal products (155)(완성제품)'!$X$12:$X$493) + SUMIF('In-out-bal products (155)(완성제품)'!$B$12:$B$493,'Sales profit (스타일 별 매출이익)'!D269,'In-out-bal products (155)(완성제품)'!$AA$12:$AA$493),0)</f>
        <v>0</v>
      </c>
      <c r="H269" s="283">
        <f t="shared" si="46"/>
        <v>0</v>
      </c>
      <c r="I269" s="284">
        <f t="shared" si="47"/>
        <v>0</v>
      </c>
      <c r="J269" s="284">
        <f t="shared" si="44"/>
        <v>0</v>
      </c>
      <c r="K269" s="283">
        <v>2.4500000000000002</v>
      </c>
      <c r="L269" s="285">
        <f t="shared" si="48"/>
        <v>0</v>
      </c>
      <c r="M269" s="285">
        <f t="shared" si="49"/>
        <v>2.4500000000000002</v>
      </c>
      <c r="N269" s="285">
        <f t="shared" si="50"/>
        <v>0</v>
      </c>
      <c r="O269" s="416">
        <f t="shared" si="51"/>
        <v>0</v>
      </c>
      <c r="P269" s="417">
        <f t="shared" si="52"/>
        <v>55553.750000000007</v>
      </c>
      <c r="Q269" s="441"/>
    </row>
    <row r="270" spans="1:17" s="417" customFormat="1">
      <c r="A270" s="167">
        <v>263</v>
      </c>
      <c r="B270" s="409">
        <v>22675</v>
      </c>
      <c r="C270" s="20" t="str">
        <f>VLOOKUP(A270,'JUNE (물량흐름)'!$A$13:$C$502,2,0)</f>
        <v>ALFANI</v>
      </c>
      <c r="D270" s="282">
        <f>VLOOKUP(A270,'JUNE (물량흐름)'!$A$13:$C$502,3,0)</f>
        <v>100022985</v>
      </c>
      <c r="E270" s="6">
        <f>VLOOKUP(D270,'JUNE (물량흐름)'!$C$13:$W$502,21,0)</f>
        <v>0</v>
      </c>
      <c r="F270" s="6">
        <f t="shared" si="45"/>
        <v>0</v>
      </c>
      <c r="G270" s="6">
        <f>ROUND(SUMIF('In-out-bal products (155)(완성제품)'!$B$12:$B$493,'Sales profit (스타일 별 매출이익)'!D270,'In-out-bal products (155)(완성제품)'!$X$12:$X$493) + SUMIF('In-out-bal products (155)(완성제품)'!$B$12:$B$493,'Sales profit (스타일 별 매출이익)'!D270,'In-out-bal products (155)(완성제품)'!$AA$12:$AA$493),0)</f>
        <v>0</v>
      </c>
      <c r="H270" s="283">
        <f t="shared" si="46"/>
        <v>0</v>
      </c>
      <c r="I270" s="284">
        <f t="shared" si="47"/>
        <v>0</v>
      </c>
      <c r="J270" s="284">
        <f t="shared" si="44"/>
        <v>0</v>
      </c>
      <c r="K270" s="283">
        <v>0.36</v>
      </c>
      <c r="L270" s="285">
        <f t="shared" si="48"/>
        <v>0</v>
      </c>
      <c r="M270" s="285">
        <f t="shared" si="49"/>
        <v>0.36</v>
      </c>
      <c r="N270" s="285">
        <f t="shared" si="50"/>
        <v>0</v>
      </c>
      <c r="O270" s="416">
        <f t="shared" si="51"/>
        <v>0</v>
      </c>
      <c r="P270" s="417">
        <f t="shared" si="52"/>
        <v>8163</v>
      </c>
      <c r="Q270" s="441"/>
    </row>
    <row r="271" spans="1:17" s="417" customFormat="1">
      <c r="A271" s="167">
        <v>264</v>
      </c>
      <c r="B271" s="409">
        <v>22675</v>
      </c>
      <c r="C271" s="20" t="str">
        <f>VLOOKUP(A271,'JUNE (물량흐름)'!$A$13:$C$502,2,0)</f>
        <v>ALFANI</v>
      </c>
      <c r="D271" s="282">
        <f>VLOOKUP(A271,'JUNE (물량흐름)'!$A$13:$C$502,3,0)</f>
        <v>100024114</v>
      </c>
      <c r="E271" s="6">
        <f>VLOOKUP(D271,'JUNE (물량흐름)'!$C$13:$W$502,21,0)</f>
        <v>0</v>
      </c>
      <c r="F271" s="6">
        <f t="shared" si="45"/>
        <v>0</v>
      </c>
      <c r="G271" s="6">
        <f>ROUND(SUMIF('In-out-bal products (155)(완성제품)'!$B$12:$B$493,'Sales profit (스타일 별 매출이익)'!D271,'In-out-bal products (155)(완성제품)'!$X$12:$X$493) + SUMIF('In-out-bal products (155)(완성제품)'!$B$12:$B$493,'Sales profit (스타일 별 매출이익)'!D271,'In-out-bal products (155)(완성제품)'!$AA$12:$AA$493),0)</f>
        <v>0</v>
      </c>
      <c r="H271" s="283">
        <f t="shared" si="46"/>
        <v>0</v>
      </c>
      <c r="I271" s="284">
        <f t="shared" si="47"/>
        <v>0</v>
      </c>
      <c r="J271" s="284">
        <f t="shared" si="44"/>
        <v>0</v>
      </c>
      <c r="K271" s="283">
        <v>0.36</v>
      </c>
      <c r="L271" s="285">
        <f t="shared" si="48"/>
        <v>0</v>
      </c>
      <c r="M271" s="285">
        <f t="shared" si="49"/>
        <v>0.36</v>
      </c>
      <c r="N271" s="285">
        <f t="shared" si="50"/>
        <v>0</v>
      </c>
      <c r="O271" s="416">
        <f t="shared" si="51"/>
        <v>0</v>
      </c>
      <c r="P271" s="417">
        <f t="shared" si="52"/>
        <v>8163</v>
      </c>
      <c r="Q271" s="441"/>
    </row>
    <row r="272" spans="1:17" s="417" customFormat="1">
      <c r="A272" s="167">
        <v>266</v>
      </c>
      <c r="B272" s="409">
        <v>22675</v>
      </c>
      <c r="C272" s="20" t="str">
        <f>VLOOKUP(A272,'JUNE (물량흐름)'!$A$13:$C$502,2,0)</f>
        <v>ALFANI</v>
      </c>
      <c r="D272" s="282">
        <f>VLOOKUP(A272,'JUNE (물량흐름)'!$A$13:$C$502,3,0)</f>
        <v>100021859</v>
      </c>
      <c r="E272" s="6">
        <f>VLOOKUP(D272,'JUNE (물량흐름)'!$C$13:$W$502,21,0)</f>
        <v>0</v>
      </c>
      <c r="F272" s="6">
        <f t="shared" si="45"/>
        <v>0</v>
      </c>
      <c r="G272" s="6">
        <f>ROUND(SUMIF('In-out-bal products (155)(완성제품)'!$B$12:$B$493,'Sales profit (스타일 별 매출이익)'!D272,'In-out-bal products (155)(완성제품)'!$X$12:$X$493) + SUMIF('In-out-bal products (155)(완성제품)'!$B$12:$B$493,'Sales profit (스타일 별 매출이익)'!D272,'In-out-bal products (155)(완성제품)'!$AA$12:$AA$493),0)</f>
        <v>0</v>
      </c>
      <c r="H272" s="283">
        <f t="shared" si="46"/>
        <v>0</v>
      </c>
      <c r="I272" s="284">
        <f t="shared" si="47"/>
        <v>0</v>
      </c>
      <c r="J272" s="284">
        <f t="shared" si="44"/>
        <v>0</v>
      </c>
      <c r="K272" s="283">
        <v>0.35</v>
      </c>
      <c r="L272" s="285">
        <f t="shared" si="48"/>
        <v>0</v>
      </c>
      <c r="M272" s="285">
        <f t="shared" si="49"/>
        <v>0.35</v>
      </c>
      <c r="N272" s="285">
        <f t="shared" si="50"/>
        <v>0</v>
      </c>
      <c r="O272" s="416">
        <f t="shared" si="51"/>
        <v>0</v>
      </c>
      <c r="P272" s="417">
        <f t="shared" si="52"/>
        <v>7936.2499999999991</v>
      </c>
      <c r="Q272" s="441"/>
    </row>
    <row r="273" spans="1:17" s="417" customFormat="1">
      <c r="A273" s="167">
        <v>268</v>
      </c>
      <c r="B273" s="409">
        <v>22675</v>
      </c>
      <c r="C273" s="20" t="str">
        <f>VLOOKUP(A273,'JUNE (물량흐름)'!$A$13:$C$502,2,0)</f>
        <v>TALBOTS</v>
      </c>
      <c r="D273" s="282">
        <f>VLOOKUP(A273,'JUNE (물량흐름)'!$A$13:$C$502,3,0)</f>
        <v>182034355</v>
      </c>
      <c r="E273" s="6">
        <f>VLOOKUP(D273,'JUNE (물량흐름)'!$C$13:$W$502,21,0)</f>
        <v>0</v>
      </c>
      <c r="F273" s="6">
        <f t="shared" si="45"/>
        <v>0</v>
      </c>
      <c r="G273" s="6">
        <f>ROUND(SUMIF('In-out-bal products (155)(완성제품)'!$B$12:$B$493,'Sales profit (스타일 별 매출이익)'!D273,'In-out-bal products (155)(완성제품)'!$X$12:$X$493) + SUMIF('In-out-bal products (155)(완성제품)'!$B$12:$B$493,'Sales profit (스타일 별 매출이익)'!D273,'In-out-bal products (155)(완성제품)'!$AA$12:$AA$493),0)</f>
        <v>0</v>
      </c>
      <c r="H273" s="283">
        <f t="shared" si="46"/>
        <v>0</v>
      </c>
      <c r="I273" s="284">
        <f t="shared" si="47"/>
        <v>0</v>
      </c>
      <c r="J273" s="284">
        <f t="shared" si="44"/>
        <v>0</v>
      </c>
      <c r="K273" s="283">
        <v>0.36</v>
      </c>
      <c r="L273" s="285">
        <f t="shared" si="48"/>
        <v>0</v>
      </c>
      <c r="M273" s="285">
        <f t="shared" si="49"/>
        <v>0.36</v>
      </c>
      <c r="N273" s="285">
        <f t="shared" si="50"/>
        <v>0</v>
      </c>
      <c r="O273" s="416">
        <f t="shared" si="51"/>
        <v>0</v>
      </c>
      <c r="P273" s="417">
        <f t="shared" si="52"/>
        <v>8163</v>
      </c>
      <c r="Q273" s="441"/>
    </row>
    <row r="274" spans="1:17" s="417" customFormat="1">
      <c r="A274" s="167">
        <v>269</v>
      </c>
      <c r="B274" s="409">
        <v>22675</v>
      </c>
      <c r="C274" s="20" t="str">
        <f>VLOOKUP(A274,'JUNE (물량흐름)'!$A$13:$C$502,2,0)</f>
        <v>TALBOTS</v>
      </c>
      <c r="D274" s="282">
        <f>VLOOKUP(A274,'JUNE (물량흐름)'!$A$13:$C$502,3,0)</f>
        <v>182034365</v>
      </c>
      <c r="E274" s="6">
        <f>VLOOKUP(D274,'JUNE (물량흐름)'!$C$13:$W$502,21,0)</f>
        <v>0</v>
      </c>
      <c r="F274" s="6">
        <f t="shared" si="45"/>
        <v>0</v>
      </c>
      <c r="G274" s="6">
        <f>ROUND(SUMIF('In-out-bal products (155)(완성제품)'!$B$12:$B$493,'Sales profit (스타일 별 매출이익)'!D274,'In-out-bal products (155)(완성제품)'!$X$12:$X$493) + SUMIF('In-out-bal products (155)(완성제품)'!$B$12:$B$493,'Sales profit (스타일 별 매출이익)'!D274,'In-out-bal products (155)(완성제품)'!$AA$12:$AA$493),0)</f>
        <v>0</v>
      </c>
      <c r="H274" s="283">
        <f t="shared" si="46"/>
        <v>0</v>
      </c>
      <c r="I274" s="284">
        <f t="shared" si="47"/>
        <v>0</v>
      </c>
      <c r="J274" s="284">
        <f t="shared" si="44"/>
        <v>0</v>
      </c>
      <c r="K274" s="283">
        <v>0.36</v>
      </c>
      <c r="L274" s="285">
        <f t="shared" si="48"/>
        <v>0</v>
      </c>
      <c r="M274" s="285">
        <f t="shared" si="49"/>
        <v>0.36</v>
      </c>
      <c r="N274" s="285">
        <f t="shared" si="50"/>
        <v>0</v>
      </c>
      <c r="O274" s="416">
        <f t="shared" si="51"/>
        <v>0</v>
      </c>
      <c r="P274" s="417">
        <f t="shared" si="52"/>
        <v>8163</v>
      </c>
      <c r="Q274" s="441"/>
    </row>
    <row r="275" spans="1:17" s="417" customFormat="1">
      <c r="A275" s="167">
        <v>270</v>
      </c>
      <c r="B275" s="409">
        <v>22675</v>
      </c>
      <c r="C275" s="20" t="str">
        <f>VLOOKUP(A275,'JUNE (물량흐름)'!$A$13:$C$502,2,0)</f>
        <v>ANN TAYLOR</v>
      </c>
      <c r="D275" s="282">
        <f>VLOOKUP(A275,'JUNE (물량흐름)'!$A$13:$C$502,3,0)</f>
        <v>463036</v>
      </c>
      <c r="E275" s="6">
        <f>VLOOKUP(D275,'JUNE (물량흐름)'!$C$13:$W$502,21,0)</f>
        <v>0</v>
      </c>
      <c r="F275" s="6">
        <f t="shared" si="45"/>
        <v>0</v>
      </c>
      <c r="G275" s="6">
        <f>ROUND(SUMIF('In-out-bal products (155)(완성제품)'!$B$12:$B$493,'Sales profit (스타일 별 매출이익)'!D275,'In-out-bal products (155)(완성제품)'!$X$12:$X$493) + SUMIF('In-out-bal products (155)(완성제품)'!$B$12:$B$493,'Sales profit (스타일 별 매출이익)'!D275,'In-out-bal products (155)(완성제품)'!$AA$12:$AA$493),0)</f>
        <v>0</v>
      </c>
      <c r="H275" s="283">
        <f t="shared" si="46"/>
        <v>0</v>
      </c>
      <c r="I275" s="284">
        <f t="shared" si="47"/>
        <v>0</v>
      </c>
      <c r="J275" s="284">
        <f t="shared" si="44"/>
        <v>0</v>
      </c>
      <c r="K275" s="283">
        <v>0.35</v>
      </c>
      <c r="L275" s="285">
        <f t="shared" si="48"/>
        <v>0</v>
      </c>
      <c r="M275" s="285">
        <f t="shared" si="49"/>
        <v>0.35</v>
      </c>
      <c r="N275" s="285">
        <f t="shared" si="50"/>
        <v>0</v>
      </c>
      <c r="O275" s="416">
        <f t="shared" si="51"/>
        <v>0</v>
      </c>
      <c r="P275" s="417">
        <f t="shared" si="52"/>
        <v>7936.2499999999991</v>
      </c>
      <c r="Q275" s="441"/>
    </row>
    <row r="276" spans="1:17" s="417" customFormat="1">
      <c r="A276" s="167">
        <v>271</v>
      </c>
      <c r="B276" s="409">
        <v>22675</v>
      </c>
      <c r="C276" s="20" t="str">
        <f>VLOOKUP(A276,'JUNE (물량흐름)'!$A$13:$C$502,2,0)</f>
        <v>ANN TAYLOR</v>
      </c>
      <c r="D276" s="282">
        <f>VLOOKUP(A276,'JUNE (물량흐름)'!$A$13:$C$502,3,0)</f>
        <v>468543</v>
      </c>
      <c r="E276" s="6">
        <f>VLOOKUP(D276,'JUNE (물량흐름)'!$C$13:$W$502,21,0)</f>
        <v>0</v>
      </c>
      <c r="F276" s="6">
        <f t="shared" si="45"/>
        <v>0</v>
      </c>
      <c r="G276" s="6">
        <f>ROUND(SUMIF('In-out-bal products (155)(완성제품)'!$B$12:$B$493,'Sales profit (스타일 별 매출이익)'!D276,'In-out-bal products (155)(완성제품)'!$X$12:$X$493) + SUMIF('In-out-bal products (155)(완성제품)'!$B$12:$B$493,'Sales profit (스타일 별 매출이익)'!D276,'In-out-bal products (155)(완성제품)'!$AA$12:$AA$493),0)</f>
        <v>0</v>
      </c>
      <c r="H276" s="283">
        <f t="shared" si="46"/>
        <v>0</v>
      </c>
      <c r="I276" s="284">
        <f t="shared" si="47"/>
        <v>0</v>
      </c>
      <c r="J276" s="284">
        <f t="shared" si="44"/>
        <v>0</v>
      </c>
      <c r="K276" s="283">
        <v>1.65</v>
      </c>
      <c r="L276" s="285">
        <f t="shared" si="48"/>
        <v>0</v>
      </c>
      <c r="M276" s="285">
        <f t="shared" si="49"/>
        <v>1.65</v>
      </c>
      <c r="N276" s="285">
        <f t="shared" si="50"/>
        <v>0</v>
      </c>
      <c r="O276" s="416">
        <f t="shared" si="51"/>
        <v>0</v>
      </c>
      <c r="P276" s="417">
        <f t="shared" si="52"/>
        <v>37413.75</v>
      </c>
      <c r="Q276" s="441"/>
    </row>
    <row r="277" spans="1:17" s="417" customFormat="1">
      <c r="A277" s="167">
        <v>272</v>
      </c>
      <c r="B277" s="409">
        <v>22675</v>
      </c>
      <c r="C277" s="20" t="str">
        <f>VLOOKUP(A277,'JUNE (물량흐름)'!$A$13:$C$502,2,0)</f>
        <v>ALFANI</v>
      </c>
      <c r="D277" s="282">
        <f>VLOOKUP(A277,'JUNE (물량흐름)'!$A$13:$C$502,3,0)</f>
        <v>73206</v>
      </c>
      <c r="E277" s="6">
        <f>VLOOKUP(D277,'JUNE (물량흐름)'!$C$13:$W$502,21,0)</f>
        <v>0</v>
      </c>
      <c r="F277" s="6">
        <f t="shared" si="45"/>
        <v>0</v>
      </c>
      <c r="G277" s="6">
        <f>ROUND(SUMIF('In-out-bal products (155)(완성제품)'!$B$12:$B$493,'Sales profit (스타일 별 매출이익)'!D277,'In-out-bal products (155)(완성제품)'!$X$12:$X$493) + SUMIF('In-out-bal products (155)(완성제품)'!$B$12:$B$493,'Sales profit (스타일 별 매출이익)'!D277,'In-out-bal products (155)(완성제품)'!$AA$12:$AA$493),0)</f>
        <v>0</v>
      </c>
      <c r="H277" s="283">
        <f t="shared" si="46"/>
        <v>0</v>
      </c>
      <c r="I277" s="284">
        <f t="shared" si="47"/>
        <v>0</v>
      </c>
      <c r="J277" s="284">
        <f t="shared" si="44"/>
        <v>0</v>
      </c>
      <c r="K277" s="283">
        <v>0.35</v>
      </c>
      <c r="L277" s="285">
        <f t="shared" si="48"/>
        <v>0</v>
      </c>
      <c r="M277" s="285">
        <f t="shared" si="49"/>
        <v>0.35</v>
      </c>
      <c r="N277" s="285">
        <f t="shared" si="50"/>
        <v>0</v>
      </c>
      <c r="O277" s="416">
        <f t="shared" si="51"/>
        <v>0</v>
      </c>
      <c r="P277" s="417">
        <f t="shared" si="52"/>
        <v>7936.2499999999991</v>
      </c>
      <c r="Q277" s="441"/>
    </row>
    <row r="278" spans="1:17" s="417" customFormat="1">
      <c r="A278" s="167">
        <v>273</v>
      </c>
      <c r="B278" s="409">
        <v>22675</v>
      </c>
      <c r="C278" s="20" t="str">
        <f>VLOOKUP(A278,'JUNE (물량흐름)'!$A$13:$C$502,2,0)</f>
        <v>ALFANI</v>
      </c>
      <c r="D278" s="282">
        <f>VLOOKUP(A278,'JUNE (물량흐름)'!$A$13:$C$502,3,0)</f>
        <v>76203</v>
      </c>
      <c r="E278" s="6">
        <f>VLOOKUP(D278,'JUNE (물량흐름)'!$C$13:$W$502,21,0)</f>
        <v>0</v>
      </c>
      <c r="F278" s="6">
        <f t="shared" si="45"/>
        <v>0</v>
      </c>
      <c r="G278" s="6">
        <f>ROUND(SUMIF('In-out-bal products (155)(완성제품)'!$B$12:$B$493,'Sales profit (스타일 별 매출이익)'!D278,'In-out-bal products (155)(완성제품)'!$X$12:$X$493) + SUMIF('In-out-bal products (155)(완성제품)'!$B$12:$B$493,'Sales profit (스타일 별 매출이익)'!D278,'In-out-bal products (155)(완성제품)'!$AA$12:$AA$493),0)</f>
        <v>0</v>
      </c>
      <c r="H278" s="283">
        <f t="shared" si="46"/>
        <v>0</v>
      </c>
      <c r="I278" s="284">
        <f t="shared" si="47"/>
        <v>0</v>
      </c>
      <c r="J278" s="284">
        <f t="shared" si="44"/>
        <v>0</v>
      </c>
      <c r="K278" s="283">
        <v>0.36</v>
      </c>
      <c r="L278" s="285">
        <f t="shared" si="48"/>
        <v>0</v>
      </c>
      <c r="M278" s="285">
        <f t="shared" si="49"/>
        <v>0.36</v>
      </c>
      <c r="N278" s="285">
        <f t="shared" si="50"/>
        <v>0</v>
      </c>
      <c r="O278" s="416">
        <f t="shared" si="51"/>
        <v>0</v>
      </c>
      <c r="P278" s="417">
        <f t="shared" si="52"/>
        <v>8163</v>
      </c>
      <c r="Q278" s="441"/>
    </row>
    <row r="279" spans="1:17" s="417" customFormat="1">
      <c r="A279" s="167">
        <v>274</v>
      </c>
      <c r="B279" s="409">
        <v>22675</v>
      </c>
      <c r="C279" s="20" t="str">
        <f>VLOOKUP(A279,'JUNE (물량흐름)'!$A$13:$C$502,2,0)</f>
        <v>ANN TAYLOR</v>
      </c>
      <c r="D279" s="282">
        <f>VLOOKUP(A279,'JUNE (물량흐름)'!$A$13:$C$502,3,0)</f>
        <v>457309</v>
      </c>
      <c r="E279" s="6">
        <f>VLOOKUP(D279,'JUNE (물량흐름)'!$C$13:$W$502,21,0)</f>
        <v>0</v>
      </c>
      <c r="F279" s="6">
        <f t="shared" si="45"/>
        <v>0</v>
      </c>
      <c r="G279" s="6">
        <f>ROUND(SUMIF('In-out-bal products (155)(완성제품)'!$B$12:$B$493,'Sales profit (스타일 별 매출이익)'!D279,'In-out-bal products (155)(완성제품)'!$X$12:$X$493) + SUMIF('In-out-bal products (155)(완성제품)'!$B$12:$B$493,'Sales profit (스타일 별 매출이익)'!D279,'In-out-bal products (155)(완성제품)'!$AA$12:$AA$493),0)</f>
        <v>0</v>
      </c>
      <c r="H279" s="283">
        <f t="shared" si="46"/>
        <v>0</v>
      </c>
      <c r="I279" s="284">
        <f t="shared" si="47"/>
        <v>0</v>
      </c>
      <c r="J279" s="284">
        <f t="shared" si="44"/>
        <v>0</v>
      </c>
      <c r="K279" s="283">
        <v>0.35</v>
      </c>
      <c r="L279" s="285">
        <f t="shared" si="48"/>
        <v>0</v>
      </c>
      <c r="M279" s="285">
        <f t="shared" si="49"/>
        <v>0.35</v>
      </c>
      <c r="N279" s="285">
        <f t="shared" si="50"/>
        <v>0</v>
      </c>
      <c r="O279" s="416">
        <f t="shared" si="51"/>
        <v>0</v>
      </c>
      <c r="P279" s="417">
        <f t="shared" si="52"/>
        <v>7936.2499999999991</v>
      </c>
      <c r="Q279" s="441"/>
    </row>
    <row r="280" spans="1:17" s="417" customFormat="1">
      <c r="A280" s="167">
        <v>275</v>
      </c>
      <c r="B280" s="409">
        <v>22675</v>
      </c>
      <c r="C280" s="20" t="str">
        <f>VLOOKUP(A280,'JUNE (물량흐름)'!$A$13:$C$502,2,0)</f>
        <v>ANN TAYLOR</v>
      </c>
      <c r="D280" s="282">
        <f>VLOOKUP(A280,'JUNE (물량흐름)'!$A$13:$C$502,3,0)</f>
        <v>462511</v>
      </c>
      <c r="E280" s="6">
        <f>VLOOKUP(D280,'JUNE (물량흐름)'!$C$13:$W$502,21,0)</f>
        <v>0</v>
      </c>
      <c r="F280" s="6">
        <f t="shared" si="45"/>
        <v>0</v>
      </c>
      <c r="G280" s="6">
        <f>ROUND(SUMIF('In-out-bal products (155)(완성제품)'!$B$12:$B$493,'Sales profit (스타일 별 매출이익)'!D280,'In-out-bal products (155)(완성제품)'!$X$12:$X$493) + SUMIF('In-out-bal products (155)(완성제품)'!$B$12:$B$493,'Sales profit (스타일 별 매출이익)'!D280,'In-out-bal products (155)(완성제품)'!$AA$12:$AA$493),0)</f>
        <v>0</v>
      </c>
      <c r="H280" s="283">
        <f t="shared" si="46"/>
        <v>0</v>
      </c>
      <c r="I280" s="284">
        <f t="shared" si="47"/>
        <v>0</v>
      </c>
      <c r="J280" s="284">
        <f t="shared" si="44"/>
        <v>0</v>
      </c>
      <c r="K280" s="283">
        <v>0.35</v>
      </c>
      <c r="L280" s="285">
        <f t="shared" si="48"/>
        <v>0</v>
      </c>
      <c r="M280" s="285">
        <f t="shared" si="49"/>
        <v>0.35</v>
      </c>
      <c r="N280" s="285">
        <f t="shared" si="50"/>
        <v>0</v>
      </c>
      <c r="O280" s="416">
        <f t="shared" si="51"/>
        <v>0</v>
      </c>
      <c r="P280" s="417">
        <f t="shared" si="52"/>
        <v>7936.2499999999991</v>
      </c>
      <c r="Q280" s="441"/>
    </row>
    <row r="281" spans="1:17" s="417" customFormat="1">
      <c r="A281" s="167">
        <v>276</v>
      </c>
      <c r="B281" s="409">
        <v>22675</v>
      </c>
      <c r="C281" s="20" t="str">
        <f>VLOOKUP(A281,'JUNE (물량흐름)'!$A$13:$C$502,2,0)</f>
        <v>ANN TAYLOR</v>
      </c>
      <c r="D281" s="282">
        <f>VLOOKUP(A281,'JUNE (물량흐름)'!$A$13:$C$502,3,0)</f>
        <v>462516</v>
      </c>
      <c r="E281" s="6">
        <f>VLOOKUP(D281,'JUNE (물량흐름)'!$C$13:$W$502,21,0)</f>
        <v>0</v>
      </c>
      <c r="F281" s="6">
        <f t="shared" si="45"/>
        <v>0</v>
      </c>
      <c r="G281" s="6">
        <f>ROUND(SUMIF('In-out-bal products (155)(완성제품)'!$B$12:$B$493,'Sales profit (스타일 별 매출이익)'!D281,'In-out-bal products (155)(완성제품)'!$X$12:$X$493) + SUMIF('In-out-bal products (155)(완성제품)'!$B$12:$B$493,'Sales profit (스타일 별 매출이익)'!D281,'In-out-bal products (155)(완성제품)'!$AA$12:$AA$493),0)</f>
        <v>0</v>
      </c>
      <c r="H281" s="283">
        <f t="shared" si="46"/>
        <v>0</v>
      </c>
      <c r="I281" s="284">
        <f t="shared" si="47"/>
        <v>0</v>
      </c>
      <c r="J281" s="284">
        <f t="shared" si="44"/>
        <v>0</v>
      </c>
      <c r="K281" s="283">
        <v>0.35</v>
      </c>
      <c r="L281" s="285">
        <f t="shared" si="48"/>
        <v>0</v>
      </c>
      <c r="M281" s="285">
        <f t="shared" si="49"/>
        <v>0.35</v>
      </c>
      <c r="N281" s="285">
        <f t="shared" si="50"/>
        <v>0</v>
      </c>
      <c r="O281" s="416">
        <f t="shared" si="51"/>
        <v>0</v>
      </c>
      <c r="P281" s="417">
        <f t="shared" si="52"/>
        <v>7936.2499999999991</v>
      </c>
      <c r="Q281" s="441"/>
    </row>
    <row r="282" spans="1:17" s="417" customFormat="1">
      <c r="A282" s="167">
        <v>277</v>
      </c>
      <c r="B282" s="409">
        <v>22675</v>
      </c>
      <c r="C282" s="20" t="str">
        <f>VLOOKUP(A282,'JUNE (물량흐름)'!$A$13:$C$502,2,0)</f>
        <v>ANN TAYLOR</v>
      </c>
      <c r="D282" s="282">
        <f>VLOOKUP(A282,'JUNE (물량흐름)'!$A$13:$C$502,3,0)</f>
        <v>464101</v>
      </c>
      <c r="E282" s="6">
        <f>VLOOKUP(D282,'JUNE (물량흐름)'!$C$13:$W$502,21,0)</f>
        <v>0</v>
      </c>
      <c r="F282" s="6">
        <f t="shared" si="45"/>
        <v>0</v>
      </c>
      <c r="G282" s="6">
        <f>ROUND(SUMIF('In-out-bal products (155)(완성제품)'!$B$12:$B$493,'Sales profit (스타일 별 매출이익)'!D282,'In-out-bal products (155)(완성제품)'!$X$12:$X$493) + SUMIF('In-out-bal products (155)(완성제품)'!$B$12:$B$493,'Sales profit (스타일 별 매출이익)'!D282,'In-out-bal products (155)(완성제품)'!$AA$12:$AA$493),0)</f>
        <v>0</v>
      </c>
      <c r="H282" s="283">
        <f t="shared" si="46"/>
        <v>0</v>
      </c>
      <c r="I282" s="284">
        <f t="shared" si="47"/>
        <v>0</v>
      </c>
      <c r="J282" s="284">
        <f t="shared" si="44"/>
        <v>0</v>
      </c>
      <c r="K282" s="283">
        <v>0.35</v>
      </c>
      <c r="L282" s="285">
        <f t="shared" si="48"/>
        <v>0</v>
      </c>
      <c r="M282" s="285">
        <f t="shared" si="49"/>
        <v>0.35</v>
      </c>
      <c r="N282" s="285">
        <f t="shared" si="50"/>
        <v>0</v>
      </c>
      <c r="O282" s="416">
        <f t="shared" si="51"/>
        <v>0</v>
      </c>
      <c r="P282" s="417">
        <f t="shared" si="52"/>
        <v>7936.2499999999991</v>
      </c>
      <c r="Q282" s="441"/>
    </row>
    <row r="283" spans="1:17" s="417" customFormat="1">
      <c r="A283" s="167">
        <v>278</v>
      </c>
      <c r="B283" s="409">
        <v>22675</v>
      </c>
      <c r="C283" s="20" t="str">
        <f>VLOOKUP(A283,'JUNE (물량흐름)'!$A$13:$C$502,2,0)</f>
        <v>ANN TAYLOR</v>
      </c>
      <c r="D283" s="282">
        <f>VLOOKUP(A283,'JUNE (물량흐름)'!$A$13:$C$502,3,0)</f>
        <v>469135</v>
      </c>
      <c r="E283" s="6">
        <f>VLOOKUP(D283,'JUNE (물량흐름)'!$C$13:$W$502,21,0)</f>
        <v>0</v>
      </c>
      <c r="F283" s="6">
        <f t="shared" si="45"/>
        <v>0</v>
      </c>
      <c r="G283" s="6">
        <f>ROUND(SUMIF('In-out-bal products (155)(완성제품)'!$B$12:$B$493,'Sales profit (스타일 별 매출이익)'!D283,'In-out-bal products (155)(완성제품)'!$X$12:$X$493) + SUMIF('In-out-bal products (155)(완성제품)'!$B$12:$B$493,'Sales profit (스타일 별 매출이익)'!D283,'In-out-bal products (155)(완성제품)'!$AA$12:$AA$493),0)</f>
        <v>0</v>
      </c>
      <c r="H283" s="283">
        <f t="shared" si="46"/>
        <v>0</v>
      </c>
      <c r="I283" s="284">
        <f t="shared" si="47"/>
        <v>0</v>
      </c>
      <c r="J283" s="284">
        <f t="shared" si="44"/>
        <v>0</v>
      </c>
      <c r="K283" s="283">
        <v>0.35</v>
      </c>
      <c r="L283" s="285">
        <f t="shared" si="48"/>
        <v>0</v>
      </c>
      <c r="M283" s="285">
        <f t="shared" si="49"/>
        <v>0.35</v>
      </c>
      <c r="N283" s="285">
        <f t="shared" si="50"/>
        <v>0</v>
      </c>
      <c r="O283" s="416">
        <f t="shared" si="51"/>
        <v>0</v>
      </c>
      <c r="P283" s="417">
        <f t="shared" si="52"/>
        <v>7936.2499999999991</v>
      </c>
      <c r="Q283" s="441"/>
    </row>
    <row r="284" spans="1:17" s="417" customFormat="1">
      <c r="A284" s="167">
        <v>279</v>
      </c>
      <c r="B284" s="409">
        <v>22675</v>
      </c>
      <c r="C284" s="20" t="str">
        <f>VLOOKUP(A284,'JUNE (물량흐름)'!$A$13:$C$502,2,0)</f>
        <v>ANN TAYLOR</v>
      </c>
      <c r="D284" s="282">
        <f>VLOOKUP(A284,'JUNE (물량흐름)'!$A$13:$C$502,3,0)</f>
        <v>469615</v>
      </c>
      <c r="E284" s="6">
        <f>VLOOKUP(D284,'JUNE (물량흐름)'!$C$13:$W$502,21,0)</f>
        <v>0</v>
      </c>
      <c r="F284" s="6">
        <f t="shared" si="45"/>
        <v>0</v>
      </c>
      <c r="G284" s="6">
        <f>ROUND(SUMIF('In-out-bal products (155)(완성제품)'!$B$12:$B$493,'Sales profit (스타일 별 매출이익)'!D284,'In-out-bal products (155)(완성제품)'!$X$12:$X$493) + SUMIF('In-out-bal products (155)(완성제품)'!$B$12:$B$493,'Sales profit (스타일 별 매출이익)'!D284,'In-out-bal products (155)(완성제품)'!$AA$12:$AA$493),0)</f>
        <v>0</v>
      </c>
      <c r="H284" s="283">
        <f t="shared" si="46"/>
        <v>0</v>
      </c>
      <c r="I284" s="284">
        <f t="shared" si="47"/>
        <v>0</v>
      </c>
      <c r="J284" s="284">
        <f t="shared" si="44"/>
        <v>0</v>
      </c>
      <c r="K284" s="283">
        <v>0.35</v>
      </c>
      <c r="L284" s="285">
        <f t="shared" si="48"/>
        <v>0</v>
      </c>
      <c r="M284" s="285">
        <f t="shared" si="49"/>
        <v>0.35</v>
      </c>
      <c r="N284" s="285">
        <f t="shared" si="50"/>
        <v>0</v>
      </c>
      <c r="O284" s="416">
        <f t="shared" si="51"/>
        <v>0</v>
      </c>
      <c r="P284" s="417">
        <f t="shared" si="52"/>
        <v>7936.2499999999991</v>
      </c>
      <c r="Q284" s="441"/>
    </row>
    <row r="285" spans="1:17" s="417" customFormat="1">
      <c r="A285" s="167">
        <v>280</v>
      </c>
      <c r="B285" s="409">
        <v>22675</v>
      </c>
      <c r="C285" s="20" t="str">
        <f>VLOOKUP(A285,'JUNE (물량흐름)'!$A$13:$C$502,2,0)</f>
        <v>ANN TAYLOR</v>
      </c>
      <c r="D285" s="282">
        <f>VLOOKUP(A285,'JUNE (물량흐름)'!$A$13:$C$502,3,0)</f>
        <v>471355</v>
      </c>
      <c r="E285" s="6">
        <f>VLOOKUP(D285,'JUNE (물량흐름)'!$C$13:$W$502,21,0)</f>
        <v>0</v>
      </c>
      <c r="F285" s="6">
        <f t="shared" si="45"/>
        <v>0</v>
      </c>
      <c r="G285" s="6">
        <f>ROUND(SUMIF('In-out-bal products (155)(완성제품)'!$B$12:$B$493,'Sales profit (스타일 별 매출이익)'!D285,'In-out-bal products (155)(완성제품)'!$X$12:$X$493) + SUMIF('In-out-bal products (155)(완성제품)'!$B$12:$B$493,'Sales profit (스타일 별 매출이익)'!D285,'In-out-bal products (155)(완성제품)'!$AA$12:$AA$493),0)</f>
        <v>0</v>
      </c>
      <c r="H285" s="283">
        <f t="shared" si="46"/>
        <v>0</v>
      </c>
      <c r="I285" s="284">
        <f t="shared" si="47"/>
        <v>0</v>
      </c>
      <c r="J285" s="284">
        <f t="shared" si="44"/>
        <v>0</v>
      </c>
      <c r="K285" s="283">
        <v>0.35</v>
      </c>
      <c r="L285" s="285">
        <f t="shared" si="48"/>
        <v>0</v>
      </c>
      <c r="M285" s="285">
        <f t="shared" si="49"/>
        <v>0.35</v>
      </c>
      <c r="N285" s="285">
        <f t="shared" si="50"/>
        <v>0</v>
      </c>
      <c r="O285" s="416">
        <f t="shared" si="51"/>
        <v>0</v>
      </c>
      <c r="P285" s="417">
        <f t="shared" si="52"/>
        <v>7936.2499999999991</v>
      </c>
      <c r="Q285" s="441"/>
    </row>
    <row r="286" spans="1:17" s="417" customFormat="1">
      <c r="A286" s="167">
        <v>283</v>
      </c>
      <c r="B286" s="409">
        <v>22675</v>
      </c>
      <c r="C286" s="20" t="str">
        <f>VLOOKUP(A286,'JUNE (물량흐름)'!$A$13:$C$502,2,0)</f>
        <v>ALFANI</v>
      </c>
      <c r="D286" s="282">
        <f>VLOOKUP(A286,'JUNE (물량흐름)'!$A$13:$C$502,3,0)</f>
        <v>100014860</v>
      </c>
      <c r="E286" s="6">
        <f>VLOOKUP(D286,'JUNE (물량흐름)'!$C$13:$W$502,21,0)</f>
        <v>0</v>
      </c>
      <c r="F286" s="6">
        <f t="shared" si="45"/>
        <v>0</v>
      </c>
      <c r="G286" s="6">
        <f>ROUND(SUMIF('In-out-bal products (155)(완성제품)'!$B$12:$B$493,'Sales profit (스타일 별 매출이익)'!D286,'In-out-bal products (155)(완성제품)'!$X$12:$X$493) + SUMIF('In-out-bal products (155)(완성제품)'!$B$12:$B$493,'Sales profit (스타일 별 매출이익)'!D286,'In-out-bal products (155)(완성제품)'!$AA$12:$AA$493),0)</f>
        <v>0</v>
      </c>
      <c r="H286" s="283">
        <f t="shared" si="46"/>
        <v>0</v>
      </c>
      <c r="I286" s="284">
        <f t="shared" si="47"/>
        <v>0</v>
      </c>
      <c r="J286" s="284">
        <f t="shared" si="44"/>
        <v>0</v>
      </c>
      <c r="K286" s="283">
        <v>3.2</v>
      </c>
      <c r="L286" s="285">
        <f t="shared" si="48"/>
        <v>0</v>
      </c>
      <c r="M286" s="285">
        <f t="shared" si="49"/>
        <v>3.2</v>
      </c>
      <c r="N286" s="285">
        <f t="shared" si="50"/>
        <v>0</v>
      </c>
      <c r="O286" s="416">
        <f t="shared" si="51"/>
        <v>0</v>
      </c>
      <c r="P286" s="417">
        <f t="shared" si="52"/>
        <v>72560</v>
      </c>
      <c r="Q286" s="441"/>
    </row>
    <row r="287" spans="1:17" s="417" customFormat="1">
      <c r="A287" s="167">
        <v>284</v>
      </c>
      <c r="B287" s="409">
        <v>22675</v>
      </c>
      <c r="C287" s="20" t="str">
        <f>VLOOKUP(A287,'JUNE (물량흐름)'!$A$13:$C$502,2,0)</f>
        <v>ALFANI</v>
      </c>
      <c r="D287" s="282">
        <f>VLOOKUP(A287,'JUNE (물량흐름)'!$A$13:$C$502,3,0)</f>
        <v>100014861</v>
      </c>
      <c r="E287" s="6">
        <f>VLOOKUP(D287,'JUNE (물량흐름)'!$C$13:$W$502,21,0)</f>
        <v>0</v>
      </c>
      <c r="F287" s="6">
        <f t="shared" si="45"/>
        <v>0</v>
      </c>
      <c r="G287" s="6">
        <f>ROUND(SUMIF('In-out-bal products (155)(완성제품)'!$B$12:$B$493,'Sales profit (스타일 별 매출이익)'!D287,'In-out-bal products (155)(완성제품)'!$X$12:$X$493) + SUMIF('In-out-bal products (155)(완성제품)'!$B$12:$B$493,'Sales profit (스타일 별 매출이익)'!D287,'In-out-bal products (155)(완성제품)'!$AA$12:$AA$493),0)</f>
        <v>0</v>
      </c>
      <c r="H287" s="283">
        <f t="shared" si="46"/>
        <v>0</v>
      </c>
      <c r="I287" s="284">
        <f t="shared" si="47"/>
        <v>0</v>
      </c>
      <c r="J287" s="284">
        <f t="shared" si="44"/>
        <v>0</v>
      </c>
      <c r="K287" s="283">
        <v>0.35</v>
      </c>
      <c r="L287" s="285">
        <f t="shared" si="48"/>
        <v>0</v>
      </c>
      <c r="M287" s="285">
        <f t="shared" si="49"/>
        <v>0.35</v>
      </c>
      <c r="N287" s="285">
        <f t="shared" si="50"/>
        <v>0</v>
      </c>
      <c r="O287" s="416">
        <f t="shared" si="51"/>
        <v>0</v>
      </c>
      <c r="P287" s="417">
        <f t="shared" si="52"/>
        <v>7936.2499999999991</v>
      </c>
      <c r="Q287" s="441"/>
    </row>
    <row r="288" spans="1:17" s="417" customFormat="1">
      <c r="A288" s="167">
        <v>285</v>
      </c>
      <c r="B288" s="409">
        <v>22675</v>
      </c>
      <c r="C288" s="20" t="str">
        <f>VLOOKUP(A288,'JUNE (물량흐름)'!$A$13:$C$502,2,0)</f>
        <v>ALFANI</v>
      </c>
      <c r="D288" s="282">
        <f>VLOOKUP(A288,'JUNE (물량흐름)'!$A$13:$C$502,3,0)</f>
        <v>100014862</v>
      </c>
      <c r="E288" s="6">
        <f>VLOOKUP(D288,'JUNE (물량흐름)'!$C$13:$W$502,21,0)</f>
        <v>0</v>
      </c>
      <c r="F288" s="6">
        <f t="shared" si="45"/>
        <v>0</v>
      </c>
      <c r="G288" s="6">
        <f>ROUND(SUMIF('In-out-bal products (155)(완성제품)'!$B$12:$B$493,'Sales profit (스타일 별 매출이익)'!D288,'In-out-bal products (155)(완성제품)'!$X$12:$X$493) + SUMIF('In-out-bal products (155)(완성제품)'!$B$12:$B$493,'Sales profit (스타일 별 매출이익)'!D288,'In-out-bal products (155)(완성제품)'!$AA$12:$AA$493),0)</f>
        <v>0</v>
      </c>
      <c r="H288" s="283">
        <f t="shared" si="46"/>
        <v>0</v>
      </c>
      <c r="I288" s="284">
        <f t="shared" si="47"/>
        <v>0</v>
      </c>
      <c r="J288" s="284">
        <f t="shared" si="44"/>
        <v>0</v>
      </c>
      <c r="K288" s="283">
        <v>0.35</v>
      </c>
      <c r="L288" s="285">
        <f t="shared" si="48"/>
        <v>0</v>
      </c>
      <c r="M288" s="285">
        <f t="shared" si="49"/>
        <v>0.35</v>
      </c>
      <c r="N288" s="285">
        <f t="shared" si="50"/>
        <v>0</v>
      </c>
      <c r="O288" s="416">
        <f t="shared" si="51"/>
        <v>0</v>
      </c>
      <c r="P288" s="417">
        <f t="shared" si="52"/>
        <v>7936.2499999999991</v>
      </c>
      <c r="Q288" s="441"/>
    </row>
    <row r="289" spans="1:17" s="417" customFormat="1">
      <c r="A289" s="167">
        <v>286</v>
      </c>
      <c r="B289" s="409">
        <v>22675</v>
      </c>
      <c r="C289" s="20" t="str">
        <f>VLOOKUP(A289,'JUNE (물량흐름)'!$A$13:$C$502,2,0)</f>
        <v>ALFANI</v>
      </c>
      <c r="D289" s="282">
        <f>VLOOKUP(A289,'JUNE (물량흐름)'!$A$13:$C$502,3,0)</f>
        <v>100014863</v>
      </c>
      <c r="E289" s="6">
        <f>VLOOKUP(D289,'JUNE (물량흐름)'!$C$13:$W$502,21,0)</f>
        <v>0</v>
      </c>
      <c r="F289" s="6">
        <f t="shared" si="45"/>
        <v>0</v>
      </c>
      <c r="G289" s="6">
        <f>ROUND(SUMIF('In-out-bal products (155)(완성제품)'!$B$12:$B$493,'Sales profit (스타일 별 매출이익)'!D289,'In-out-bal products (155)(완성제품)'!$X$12:$X$493) + SUMIF('In-out-bal products (155)(완성제품)'!$B$12:$B$493,'Sales profit (스타일 별 매출이익)'!D289,'In-out-bal products (155)(완성제품)'!$AA$12:$AA$493),0)</f>
        <v>0</v>
      </c>
      <c r="H289" s="283">
        <f t="shared" si="46"/>
        <v>0</v>
      </c>
      <c r="I289" s="284">
        <f t="shared" si="47"/>
        <v>0</v>
      </c>
      <c r="J289" s="284">
        <f t="shared" si="44"/>
        <v>0</v>
      </c>
      <c r="K289" s="283">
        <v>0.35</v>
      </c>
      <c r="L289" s="285">
        <f t="shared" si="48"/>
        <v>0</v>
      </c>
      <c r="M289" s="285">
        <f t="shared" si="49"/>
        <v>0.35</v>
      </c>
      <c r="N289" s="285">
        <f t="shared" si="50"/>
        <v>0</v>
      </c>
      <c r="O289" s="416">
        <f t="shared" si="51"/>
        <v>0</v>
      </c>
      <c r="P289" s="417">
        <f t="shared" si="52"/>
        <v>7936.2499999999991</v>
      </c>
      <c r="Q289" s="441"/>
    </row>
    <row r="290" spans="1:17" s="417" customFormat="1">
      <c r="A290" s="167">
        <v>287</v>
      </c>
      <c r="B290" s="409">
        <v>22675</v>
      </c>
      <c r="C290" s="20" t="str">
        <f>VLOOKUP(A290,'JUNE (물량흐름)'!$A$13:$C$502,2,0)</f>
        <v>ALFANI</v>
      </c>
      <c r="D290" s="282">
        <f>VLOOKUP(A290,'JUNE (물량흐름)'!$A$13:$C$502,3,0)</f>
        <v>100014864</v>
      </c>
      <c r="E290" s="6">
        <f>VLOOKUP(D290,'JUNE (물량흐름)'!$C$13:$W$502,21,0)</f>
        <v>0</v>
      </c>
      <c r="F290" s="6">
        <f t="shared" si="45"/>
        <v>0</v>
      </c>
      <c r="G290" s="6">
        <f>ROUND(SUMIF('In-out-bal products (155)(완성제품)'!$B$12:$B$493,'Sales profit (스타일 별 매출이익)'!D290,'In-out-bal products (155)(완성제품)'!$X$12:$X$493) + SUMIF('In-out-bal products (155)(완성제품)'!$B$12:$B$493,'Sales profit (스타일 별 매출이익)'!D290,'In-out-bal products (155)(완성제품)'!$AA$12:$AA$493),0)</f>
        <v>0</v>
      </c>
      <c r="H290" s="283">
        <f t="shared" si="46"/>
        <v>0</v>
      </c>
      <c r="I290" s="284">
        <f t="shared" si="47"/>
        <v>0</v>
      </c>
      <c r="J290" s="284">
        <f t="shared" si="44"/>
        <v>0</v>
      </c>
      <c r="K290" s="283">
        <v>0.36</v>
      </c>
      <c r="L290" s="285">
        <f t="shared" si="48"/>
        <v>0</v>
      </c>
      <c r="M290" s="285">
        <f t="shared" si="49"/>
        <v>0.36</v>
      </c>
      <c r="N290" s="285">
        <f t="shared" si="50"/>
        <v>0</v>
      </c>
      <c r="O290" s="416">
        <f t="shared" si="51"/>
        <v>0</v>
      </c>
      <c r="P290" s="417">
        <f t="shared" si="52"/>
        <v>8163</v>
      </c>
      <c r="Q290" s="441"/>
    </row>
    <row r="291" spans="1:17" s="417" customFormat="1">
      <c r="A291" s="167">
        <v>288</v>
      </c>
      <c r="B291" s="409">
        <v>22675</v>
      </c>
      <c r="C291" s="20" t="str">
        <f>VLOOKUP(A291,'JUNE (물량흐름)'!$A$13:$C$502,2,0)</f>
        <v>ALFANI</v>
      </c>
      <c r="D291" s="282">
        <f>VLOOKUP(A291,'JUNE (물량흐름)'!$A$13:$C$502,3,0)</f>
        <v>100014869</v>
      </c>
      <c r="E291" s="6">
        <f>VLOOKUP(D291,'JUNE (물량흐름)'!$C$13:$W$502,21,0)</f>
        <v>0</v>
      </c>
      <c r="F291" s="6">
        <f t="shared" si="45"/>
        <v>0</v>
      </c>
      <c r="G291" s="6">
        <f>ROUND(SUMIF('In-out-bal products (155)(완성제품)'!$B$12:$B$493,'Sales profit (스타일 별 매출이익)'!D291,'In-out-bal products (155)(완성제품)'!$X$12:$X$493) + SUMIF('In-out-bal products (155)(완성제품)'!$B$12:$B$493,'Sales profit (스타일 별 매출이익)'!D291,'In-out-bal products (155)(완성제품)'!$AA$12:$AA$493),0)</f>
        <v>0</v>
      </c>
      <c r="H291" s="283">
        <f t="shared" si="46"/>
        <v>0</v>
      </c>
      <c r="I291" s="284">
        <f t="shared" si="47"/>
        <v>0</v>
      </c>
      <c r="J291" s="284">
        <f t="shared" si="44"/>
        <v>0</v>
      </c>
      <c r="K291" s="283">
        <v>0.35</v>
      </c>
      <c r="L291" s="285">
        <f t="shared" si="48"/>
        <v>0</v>
      </c>
      <c r="M291" s="285">
        <f t="shared" si="49"/>
        <v>0.35</v>
      </c>
      <c r="N291" s="285">
        <f t="shared" si="50"/>
        <v>0</v>
      </c>
      <c r="O291" s="416">
        <f t="shared" si="51"/>
        <v>0</v>
      </c>
      <c r="P291" s="417">
        <f t="shared" si="52"/>
        <v>7936.2499999999991</v>
      </c>
      <c r="Q291" s="441"/>
    </row>
    <row r="292" spans="1:17" s="417" customFormat="1">
      <c r="A292" s="167">
        <v>289</v>
      </c>
      <c r="B292" s="409">
        <v>22675</v>
      </c>
      <c r="C292" s="20" t="str">
        <f>VLOOKUP(A292,'JUNE (물량흐름)'!$A$13:$C$502,2,0)</f>
        <v>ALFANI</v>
      </c>
      <c r="D292" s="282">
        <f>VLOOKUP(A292,'JUNE (물량흐름)'!$A$13:$C$502,3,0)</f>
        <v>100015148</v>
      </c>
      <c r="E292" s="6">
        <f>VLOOKUP(D292,'JUNE (물량흐름)'!$C$13:$W$502,21,0)</f>
        <v>0</v>
      </c>
      <c r="F292" s="6">
        <f t="shared" si="45"/>
        <v>0</v>
      </c>
      <c r="G292" s="6">
        <f>ROUND(SUMIF('In-out-bal products (155)(완성제품)'!$B$12:$B$493,'Sales profit (스타일 별 매출이익)'!D292,'In-out-bal products (155)(완성제품)'!$X$12:$X$493) + SUMIF('In-out-bal products (155)(완성제품)'!$B$12:$B$493,'Sales profit (스타일 별 매출이익)'!D292,'In-out-bal products (155)(완성제품)'!$AA$12:$AA$493),0)</f>
        <v>0</v>
      </c>
      <c r="H292" s="283">
        <f t="shared" si="46"/>
        <v>0</v>
      </c>
      <c r="I292" s="284">
        <f t="shared" si="47"/>
        <v>0</v>
      </c>
      <c r="J292" s="284">
        <f t="shared" si="44"/>
        <v>0</v>
      </c>
      <c r="K292" s="283">
        <v>0.35</v>
      </c>
      <c r="L292" s="285">
        <f t="shared" si="48"/>
        <v>0</v>
      </c>
      <c r="M292" s="285">
        <f t="shared" si="49"/>
        <v>0.35</v>
      </c>
      <c r="N292" s="285">
        <f t="shared" si="50"/>
        <v>0</v>
      </c>
      <c r="O292" s="416">
        <f t="shared" si="51"/>
        <v>0</v>
      </c>
      <c r="P292" s="417">
        <f t="shared" si="52"/>
        <v>7936.2499999999991</v>
      </c>
      <c r="Q292" s="441"/>
    </row>
    <row r="293" spans="1:17" s="417" customFormat="1">
      <c r="A293" s="167">
        <v>290</v>
      </c>
      <c r="B293" s="409">
        <v>22675</v>
      </c>
      <c r="C293" s="20" t="str">
        <f>VLOOKUP(A293,'JUNE (물량흐름)'!$A$13:$C$502,2,0)</f>
        <v>ALFANI</v>
      </c>
      <c r="D293" s="282">
        <f>VLOOKUP(A293,'JUNE (물량흐름)'!$A$13:$C$502,3,0)</f>
        <v>100015173</v>
      </c>
      <c r="E293" s="6">
        <f>VLOOKUP(D293,'JUNE (물량흐름)'!$C$13:$W$502,21,0)</f>
        <v>0</v>
      </c>
      <c r="F293" s="6">
        <f t="shared" si="45"/>
        <v>0</v>
      </c>
      <c r="G293" s="6">
        <f>ROUND(SUMIF('In-out-bal products (155)(완성제품)'!$B$12:$B$493,'Sales profit (스타일 별 매출이익)'!D293,'In-out-bal products (155)(완성제품)'!$X$12:$X$493) + SUMIF('In-out-bal products (155)(완성제품)'!$B$12:$B$493,'Sales profit (스타일 별 매출이익)'!D293,'In-out-bal products (155)(완성제품)'!$AA$12:$AA$493),0)</f>
        <v>0</v>
      </c>
      <c r="H293" s="283">
        <f t="shared" si="46"/>
        <v>0</v>
      </c>
      <c r="I293" s="284">
        <f t="shared" si="47"/>
        <v>0</v>
      </c>
      <c r="J293" s="284">
        <f t="shared" si="44"/>
        <v>0</v>
      </c>
      <c r="K293" s="283">
        <v>0.35</v>
      </c>
      <c r="L293" s="285">
        <f t="shared" si="48"/>
        <v>0</v>
      </c>
      <c r="M293" s="285">
        <f t="shared" si="49"/>
        <v>0.35</v>
      </c>
      <c r="N293" s="285">
        <f t="shared" si="50"/>
        <v>0</v>
      </c>
      <c r="O293" s="416">
        <f t="shared" si="51"/>
        <v>0</v>
      </c>
      <c r="P293" s="417">
        <f t="shared" si="52"/>
        <v>7936.2499999999991</v>
      </c>
      <c r="Q293" s="441"/>
    </row>
    <row r="294" spans="1:17" s="417" customFormat="1">
      <c r="A294" s="167">
        <v>291</v>
      </c>
      <c r="B294" s="409">
        <v>22675</v>
      </c>
      <c r="C294" s="20" t="str">
        <f>VLOOKUP(A294,'JUNE (물량흐름)'!$A$13:$C$502,2,0)</f>
        <v>ALFANI</v>
      </c>
      <c r="D294" s="282">
        <f>VLOOKUP(A294,'JUNE (물량흐름)'!$A$13:$C$502,3,0)</f>
        <v>100015180</v>
      </c>
      <c r="E294" s="6">
        <f>VLOOKUP(D294,'JUNE (물량흐름)'!$C$13:$W$502,21,0)</f>
        <v>0</v>
      </c>
      <c r="F294" s="6">
        <f t="shared" si="45"/>
        <v>0</v>
      </c>
      <c r="G294" s="6">
        <f>ROUND(SUMIF('In-out-bal products (155)(완성제품)'!$B$12:$B$493,'Sales profit (스타일 별 매출이익)'!D294,'In-out-bal products (155)(완성제품)'!$X$12:$X$493) + SUMIF('In-out-bal products (155)(완성제품)'!$B$12:$B$493,'Sales profit (스타일 별 매출이익)'!D294,'In-out-bal products (155)(완성제품)'!$AA$12:$AA$493),0)</f>
        <v>0</v>
      </c>
      <c r="H294" s="283">
        <f t="shared" si="46"/>
        <v>0</v>
      </c>
      <c r="I294" s="284">
        <f t="shared" si="47"/>
        <v>0</v>
      </c>
      <c r="J294" s="284">
        <f t="shared" si="44"/>
        <v>0</v>
      </c>
      <c r="K294" s="283">
        <v>0.35</v>
      </c>
      <c r="L294" s="285">
        <f t="shared" si="48"/>
        <v>0</v>
      </c>
      <c r="M294" s="285">
        <f t="shared" si="49"/>
        <v>0.35</v>
      </c>
      <c r="N294" s="285">
        <f t="shared" si="50"/>
        <v>0</v>
      </c>
      <c r="O294" s="416">
        <f t="shared" si="51"/>
        <v>0</v>
      </c>
      <c r="P294" s="417">
        <f t="shared" si="52"/>
        <v>7936.2499999999991</v>
      </c>
      <c r="Q294" s="441"/>
    </row>
    <row r="295" spans="1:17" s="417" customFormat="1">
      <c r="A295" s="167">
        <v>292</v>
      </c>
      <c r="B295" s="409">
        <v>22675</v>
      </c>
      <c r="C295" s="20" t="str">
        <f>VLOOKUP(A295,'JUNE (물량흐름)'!$A$13:$C$502,2,0)</f>
        <v>ALFANI</v>
      </c>
      <c r="D295" s="282">
        <f>VLOOKUP(A295,'JUNE (물량흐름)'!$A$13:$C$502,3,0)</f>
        <v>100015249</v>
      </c>
      <c r="E295" s="6">
        <f>VLOOKUP(D295,'JUNE (물량흐름)'!$C$13:$W$502,21,0)</f>
        <v>0</v>
      </c>
      <c r="F295" s="6">
        <f t="shared" si="45"/>
        <v>0</v>
      </c>
      <c r="G295" s="6">
        <f>ROUND(SUMIF('In-out-bal products (155)(완성제품)'!$B$12:$B$493,'Sales profit (스타일 별 매출이익)'!D295,'In-out-bal products (155)(완성제품)'!$X$12:$X$493) + SUMIF('In-out-bal products (155)(완성제품)'!$B$12:$B$493,'Sales profit (스타일 별 매출이익)'!D295,'In-out-bal products (155)(완성제품)'!$AA$12:$AA$493),0)</f>
        <v>0</v>
      </c>
      <c r="H295" s="283">
        <f t="shared" si="46"/>
        <v>0</v>
      </c>
      <c r="I295" s="284">
        <f t="shared" si="47"/>
        <v>0</v>
      </c>
      <c r="J295" s="284">
        <f t="shared" si="44"/>
        <v>0</v>
      </c>
      <c r="K295" s="283">
        <v>1.25</v>
      </c>
      <c r="L295" s="285">
        <f t="shared" si="48"/>
        <v>0</v>
      </c>
      <c r="M295" s="285">
        <f t="shared" si="49"/>
        <v>1.25</v>
      </c>
      <c r="N295" s="285">
        <f t="shared" si="50"/>
        <v>0</v>
      </c>
      <c r="O295" s="416">
        <f t="shared" si="51"/>
        <v>0</v>
      </c>
      <c r="P295" s="417">
        <f t="shared" si="52"/>
        <v>28343.75</v>
      </c>
      <c r="Q295" s="441"/>
    </row>
    <row r="296" spans="1:17" s="417" customFormat="1">
      <c r="A296" s="167">
        <v>293</v>
      </c>
      <c r="B296" s="409">
        <v>22675</v>
      </c>
      <c r="C296" s="20" t="str">
        <f>VLOOKUP(A296,'JUNE (물량흐름)'!$A$13:$C$502,2,0)</f>
        <v>ALFANI</v>
      </c>
      <c r="D296" s="282">
        <f>VLOOKUP(A296,'JUNE (물량흐름)'!$A$13:$C$502,3,0)</f>
        <v>100015301</v>
      </c>
      <c r="E296" s="6">
        <f>VLOOKUP(D296,'JUNE (물량흐름)'!$C$13:$W$502,21,0)</f>
        <v>0</v>
      </c>
      <c r="F296" s="6">
        <f t="shared" si="45"/>
        <v>0</v>
      </c>
      <c r="G296" s="6">
        <f>ROUND(SUMIF('In-out-bal products (155)(완성제품)'!$B$12:$B$493,'Sales profit (스타일 별 매출이익)'!D296,'In-out-bal products (155)(완성제품)'!$X$12:$X$493) + SUMIF('In-out-bal products (155)(완성제품)'!$B$12:$B$493,'Sales profit (스타일 별 매출이익)'!D296,'In-out-bal products (155)(완성제품)'!$AA$12:$AA$493),0)</f>
        <v>0</v>
      </c>
      <c r="H296" s="283">
        <f t="shared" si="46"/>
        <v>0</v>
      </c>
      <c r="I296" s="284">
        <f t="shared" si="47"/>
        <v>0</v>
      </c>
      <c r="J296" s="284">
        <f t="shared" si="44"/>
        <v>0</v>
      </c>
      <c r="K296" s="283">
        <v>0.35</v>
      </c>
      <c r="L296" s="285">
        <f t="shared" si="48"/>
        <v>0</v>
      </c>
      <c r="M296" s="285">
        <f t="shared" si="49"/>
        <v>0.35</v>
      </c>
      <c r="N296" s="285">
        <f t="shared" si="50"/>
        <v>0</v>
      </c>
      <c r="O296" s="416">
        <f t="shared" si="51"/>
        <v>0</v>
      </c>
      <c r="P296" s="417">
        <f t="shared" si="52"/>
        <v>7936.2499999999991</v>
      </c>
      <c r="Q296" s="441"/>
    </row>
    <row r="297" spans="1:17" s="417" customFormat="1">
      <c r="A297" s="167">
        <v>294</v>
      </c>
      <c r="B297" s="409">
        <v>22675</v>
      </c>
      <c r="C297" s="20" t="str">
        <f>VLOOKUP(A297,'JUNE (물량흐름)'!$A$13:$C$502,2,0)</f>
        <v>ALFANI</v>
      </c>
      <c r="D297" s="282">
        <f>VLOOKUP(A297,'JUNE (물량흐름)'!$A$13:$C$502,3,0)</f>
        <v>100015303</v>
      </c>
      <c r="E297" s="6">
        <f>VLOOKUP(D297,'JUNE (물량흐름)'!$C$13:$W$502,21,0)</f>
        <v>0</v>
      </c>
      <c r="F297" s="6">
        <f t="shared" si="45"/>
        <v>0</v>
      </c>
      <c r="G297" s="6">
        <f>ROUND(SUMIF('In-out-bal products (155)(완성제품)'!$B$12:$B$493,'Sales profit (스타일 별 매출이익)'!D297,'In-out-bal products (155)(완성제품)'!$X$12:$X$493) + SUMIF('In-out-bal products (155)(완성제품)'!$B$12:$B$493,'Sales profit (스타일 별 매출이익)'!D297,'In-out-bal products (155)(완성제품)'!$AA$12:$AA$493),0)</f>
        <v>0</v>
      </c>
      <c r="H297" s="283">
        <f t="shared" si="46"/>
        <v>0</v>
      </c>
      <c r="I297" s="284">
        <f t="shared" si="47"/>
        <v>0</v>
      </c>
      <c r="J297" s="284">
        <f t="shared" si="44"/>
        <v>0</v>
      </c>
      <c r="K297" s="283">
        <v>0.35</v>
      </c>
      <c r="L297" s="285">
        <f t="shared" si="48"/>
        <v>0</v>
      </c>
      <c r="M297" s="285">
        <f t="shared" si="49"/>
        <v>0.35</v>
      </c>
      <c r="N297" s="285">
        <f t="shared" si="50"/>
        <v>0</v>
      </c>
      <c r="O297" s="416">
        <f t="shared" si="51"/>
        <v>0</v>
      </c>
      <c r="P297" s="417">
        <f t="shared" si="52"/>
        <v>7936.2499999999991</v>
      </c>
      <c r="Q297" s="441"/>
    </row>
    <row r="298" spans="1:17" s="417" customFormat="1">
      <c r="A298" s="167">
        <v>295</v>
      </c>
      <c r="B298" s="409">
        <v>22675</v>
      </c>
      <c r="C298" s="20" t="str">
        <f>VLOOKUP(A298,'JUNE (물량흐름)'!$A$13:$C$502,2,0)</f>
        <v>ALFANI</v>
      </c>
      <c r="D298" s="282">
        <f>VLOOKUP(A298,'JUNE (물량흐름)'!$A$13:$C$502,3,0)</f>
        <v>100015304</v>
      </c>
      <c r="E298" s="6">
        <f>VLOOKUP(D298,'JUNE (물량흐름)'!$C$13:$W$502,21,0)</f>
        <v>0</v>
      </c>
      <c r="F298" s="6">
        <f t="shared" si="45"/>
        <v>0</v>
      </c>
      <c r="G298" s="6">
        <f>ROUND(SUMIF('In-out-bal products (155)(완성제품)'!$B$12:$B$493,'Sales profit (스타일 별 매출이익)'!D298,'In-out-bal products (155)(완성제품)'!$X$12:$X$493) + SUMIF('In-out-bal products (155)(완성제품)'!$B$12:$B$493,'Sales profit (스타일 별 매출이익)'!D298,'In-out-bal products (155)(완성제품)'!$AA$12:$AA$493),0)</f>
        <v>0</v>
      </c>
      <c r="H298" s="283">
        <f t="shared" si="46"/>
        <v>0</v>
      </c>
      <c r="I298" s="284">
        <f t="shared" si="47"/>
        <v>0</v>
      </c>
      <c r="J298" s="284">
        <f t="shared" si="44"/>
        <v>0</v>
      </c>
      <c r="K298" s="283">
        <v>1.8</v>
      </c>
      <c r="L298" s="285">
        <f t="shared" si="48"/>
        <v>0</v>
      </c>
      <c r="M298" s="285">
        <f t="shared" si="49"/>
        <v>1.8</v>
      </c>
      <c r="N298" s="285">
        <f t="shared" si="50"/>
        <v>0</v>
      </c>
      <c r="O298" s="416">
        <f t="shared" si="51"/>
        <v>0</v>
      </c>
      <c r="P298" s="417">
        <f t="shared" si="52"/>
        <v>40815</v>
      </c>
      <c r="Q298" s="441"/>
    </row>
    <row r="299" spans="1:17" s="417" customFormat="1">
      <c r="A299" s="167">
        <v>296</v>
      </c>
      <c r="B299" s="409">
        <v>22675</v>
      </c>
      <c r="C299" s="20" t="str">
        <f>VLOOKUP(A299,'JUNE (물량흐름)'!$A$13:$C$502,2,0)</f>
        <v>ALFANI</v>
      </c>
      <c r="D299" s="282">
        <f>VLOOKUP(A299,'JUNE (물량흐름)'!$A$13:$C$502,3,0)</f>
        <v>100015356</v>
      </c>
      <c r="E299" s="6">
        <f>VLOOKUP(D299,'JUNE (물량흐름)'!$C$13:$W$502,21,0)</f>
        <v>0</v>
      </c>
      <c r="F299" s="6">
        <f t="shared" si="45"/>
        <v>0</v>
      </c>
      <c r="G299" s="6">
        <f>ROUND(SUMIF('In-out-bal products (155)(완성제품)'!$B$12:$B$493,'Sales profit (스타일 별 매출이익)'!D299,'In-out-bal products (155)(완성제품)'!$X$12:$X$493) + SUMIF('In-out-bal products (155)(완성제품)'!$B$12:$B$493,'Sales profit (스타일 별 매출이익)'!D299,'In-out-bal products (155)(완성제품)'!$AA$12:$AA$493),0)</f>
        <v>0</v>
      </c>
      <c r="H299" s="283">
        <f t="shared" si="46"/>
        <v>0</v>
      </c>
      <c r="I299" s="284">
        <f t="shared" si="47"/>
        <v>0</v>
      </c>
      <c r="J299" s="284">
        <f t="shared" si="44"/>
        <v>0</v>
      </c>
      <c r="K299" s="283">
        <v>1.73</v>
      </c>
      <c r="L299" s="285">
        <f t="shared" si="48"/>
        <v>0</v>
      </c>
      <c r="M299" s="285">
        <f t="shared" si="49"/>
        <v>1.73</v>
      </c>
      <c r="N299" s="285">
        <f t="shared" si="50"/>
        <v>0</v>
      </c>
      <c r="O299" s="416">
        <f t="shared" si="51"/>
        <v>0</v>
      </c>
      <c r="P299" s="417">
        <f t="shared" si="52"/>
        <v>39227.75</v>
      </c>
      <c r="Q299" s="441"/>
    </row>
    <row r="300" spans="1:17" s="417" customFormat="1">
      <c r="A300" s="167">
        <v>297</v>
      </c>
      <c r="B300" s="409">
        <v>22675</v>
      </c>
      <c r="C300" s="20" t="str">
        <f>VLOOKUP(A300,'JUNE (물량흐름)'!$A$13:$C$502,2,0)</f>
        <v>ALFANI</v>
      </c>
      <c r="D300" s="282">
        <f>VLOOKUP(A300,'JUNE (물량흐름)'!$A$13:$C$502,3,0)</f>
        <v>100015404</v>
      </c>
      <c r="E300" s="6">
        <f>VLOOKUP(D300,'JUNE (물량흐름)'!$C$13:$W$502,21,0)</f>
        <v>0</v>
      </c>
      <c r="F300" s="6">
        <f t="shared" si="45"/>
        <v>0</v>
      </c>
      <c r="G300" s="6">
        <f>ROUND(SUMIF('In-out-bal products (155)(완성제품)'!$B$12:$B$493,'Sales profit (스타일 별 매출이익)'!D300,'In-out-bal products (155)(완성제품)'!$X$12:$X$493) + SUMIF('In-out-bal products (155)(완성제품)'!$B$12:$B$493,'Sales profit (스타일 별 매출이익)'!D300,'In-out-bal products (155)(완성제품)'!$AA$12:$AA$493),0)</f>
        <v>0</v>
      </c>
      <c r="H300" s="283">
        <f t="shared" si="46"/>
        <v>0</v>
      </c>
      <c r="I300" s="284">
        <f t="shared" si="47"/>
        <v>0</v>
      </c>
      <c r="J300" s="284">
        <f t="shared" si="44"/>
        <v>0</v>
      </c>
      <c r="K300" s="283">
        <v>0.35</v>
      </c>
      <c r="L300" s="285">
        <f t="shared" si="48"/>
        <v>0</v>
      </c>
      <c r="M300" s="285">
        <f t="shared" si="49"/>
        <v>0.35</v>
      </c>
      <c r="N300" s="285">
        <f t="shared" si="50"/>
        <v>0</v>
      </c>
      <c r="O300" s="416">
        <f t="shared" si="51"/>
        <v>0</v>
      </c>
      <c r="P300" s="417">
        <f t="shared" si="52"/>
        <v>7936.2499999999991</v>
      </c>
      <c r="Q300" s="441"/>
    </row>
    <row r="301" spans="1:17" s="417" customFormat="1">
      <c r="A301" s="167">
        <v>298</v>
      </c>
      <c r="B301" s="409">
        <v>22675</v>
      </c>
      <c r="C301" s="20" t="str">
        <f>VLOOKUP(A301,'JUNE (물량흐름)'!$A$13:$C$502,2,0)</f>
        <v>ALFANI</v>
      </c>
      <c r="D301" s="282">
        <f>VLOOKUP(A301,'JUNE (물량흐름)'!$A$13:$C$502,3,0)</f>
        <v>100015437</v>
      </c>
      <c r="E301" s="6">
        <f>VLOOKUP(D301,'JUNE (물량흐름)'!$C$13:$W$502,21,0)</f>
        <v>0</v>
      </c>
      <c r="F301" s="6">
        <f t="shared" si="45"/>
        <v>0</v>
      </c>
      <c r="G301" s="6">
        <f>ROUND(SUMIF('In-out-bal products (155)(완성제품)'!$B$12:$B$493,'Sales profit (스타일 별 매출이익)'!D301,'In-out-bal products (155)(완성제품)'!$X$12:$X$493) + SUMIF('In-out-bal products (155)(완성제품)'!$B$12:$B$493,'Sales profit (스타일 별 매출이익)'!D301,'In-out-bal products (155)(완성제품)'!$AA$12:$AA$493),0)</f>
        <v>0</v>
      </c>
      <c r="H301" s="283">
        <f t="shared" si="46"/>
        <v>0</v>
      </c>
      <c r="I301" s="284">
        <f t="shared" si="47"/>
        <v>0</v>
      </c>
      <c r="J301" s="284">
        <f t="shared" si="44"/>
        <v>0</v>
      </c>
      <c r="K301" s="283">
        <v>0.35</v>
      </c>
      <c r="L301" s="285">
        <f t="shared" si="48"/>
        <v>0</v>
      </c>
      <c r="M301" s="285">
        <f t="shared" si="49"/>
        <v>0.35</v>
      </c>
      <c r="N301" s="285">
        <f t="shared" si="50"/>
        <v>0</v>
      </c>
      <c r="O301" s="416">
        <f t="shared" si="51"/>
        <v>0</v>
      </c>
      <c r="P301" s="417">
        <f t="shared" si="52"/>
        <v>7936.2499999999991</v>
      </c>
      <c r="Q301" s="441"/>
    </row>
    <row r="302" spans="1:17" s="417" customFormat="1">
      <c r="A302" s="167">
        <v>299</v>
      </c>
      <c r="B302" s="409">
        <v>22675</v>
      </c>
      <c r="C302" s="20" t="str">
        <f>VLOOKUP(A302,'JUNE (물량흐름)'!$A$13:$C$502,2,0)</f>
        <v>ALFANI</v>
      </c>
      <c r="D302" s="282">
        <f>VLOOKUP(A302,'JUNE (물량흐름)'!$A$13:$C$502,3,0)</f>
        <v>100016367</v>
      </c>
      <c r="E302" s="6">
        <f>VLOOKUP(D302,'JUNE (물량흐름)'!$C$13:$W$502,21,0)</f>
        <v>0</v>
      </c>
      <c r="F302" s="6">
        <f t="shared" si="45"/>
        <v>0</v>
      </c>
      <c r="G302" s="6">
        <f>ROUND(SUMIF('In-out-bal products (155)(완성제품)'!$B$12:$B$493,'Sales profit (스타일 별 매출이익)'!D302,'In-out-bal products (155)(완성제품)'!$X$12:$X$493) + SUMIF('In-out-bal products (155)(완성제품)'!$B$12:$B$493,'Sales profit (스타일 별 매출이익)'!D302,'In-out-bal products (155)(완성제품)'!$AA$12:$AA$493),0)</f>
        <v>0</v>
      </c>
      <c r="H302" s="283">
        <f t="shared" si="46"/>
        <v>0</v>
      </c>
      <c r="I302" s="284">
        <f t="shared" si="47"/>
        <v>0</v>
      </c>
      <c r="J302" s="284">
        <f t="shared" si="44"/>
        <v>0</v>
      </c>
      <c r="K302" s="283">
        <v>0.35</v>
      </c>
      <c r="L302" s="285">
        <f t="shared" si="48"/>
        <v>0</v>
      </c>
      <c r="M302" s="285">
        <f t="shared" si="49"/>
        <v>0.35</v>
      </c>
      <c r="N302" s="285">
        <f t="shared" si="50"/>
        <v>0</v>
      </c>
      <c r="O302" s="416">
        <f t="shared" si="51"/>
        <v>0</v>
      </c>
      <c r="P302" s="417">
        <f t="shared" si="52"/>
        <v>7936.2499999999991</v>
      </c>
      <c r="Q302" s="441"/>
    </row>
    <row r="303" spans="1:17" s="417" customFormat="1">
      <c r="A303" s="167">
        <v>300</v>
      </c>
      <c r="B303" s="409">
        <v>22675</v>
      </c>
      <c r="C303" s="20" t="str">
        <f>VLOOKUP(A303,'JUNE (물량흐름)'!$A$13:$C$502,2,0)</f>
        <v>CHARTER CLUB</v>
      </c>
      <c r="D303" s="282">
        <f>VLOOKUP(A303,'JUNE (물량흐름)'!$A$13:$C$502,3,0)</f>
        <v>100016575</v>
      </c>
      <c r="E303" s="6">
        <f>VLOOKUP(D303,'JUNE (물량흐름)'!$C$13:$W$502,21,0)</f>
        <v>0</v>
      </c>
      <c r="F303" s="6">
        <f t="shared" si="45"/>
        <v>0</v>
      </c>
      <c r="G303" s="6">
        <f>ROUND(SUMIF('In-out-bal products (155)(완성제품)'!$B$12:$B$493,'Sales profit (스타일 별 매출이익)'!D303,'In-out-bal products (155)(완성제품)'!$X$12:$X$493) + SUMIF('In-out-bal products (155)(완성제품)'!$B$12:$B$493,'Sales profit (스타일 별 매출이익)'!D303,'In-out-bal products (155)(완성제품)'!$AA$12:$AA$493),0)</f>
        <v>0</v>
      </c>
      <c r="H303" s="283">
        <f t="shared" si="46"/>
        <v>0</v>
      </c>
      <c r="I303" s="284">
        <f t="shared" si="47"/>
        <v>0</v>
      </c>
      <c r="J303" s="284">
        <f t="shared" si="44"/>
        <v>0</v>
      </c>
      <c r="K303" s="283">
        <v>0.35</v>
      </c>
      <c r="L303" s="285">
        <f t="shared" si="48"/>
        <v>0</v>
      </c>
      <c r="M303" s="285">
        <f t="shared" si="49"/>
        <v>0.35</v>
      </c>
      <c r="N303" s="285">
        <f t="shared" si="50"/>
        <v>0</v>
      </c>
      <c r="O303" s="416">
        <f t="shared" si="51"/>
        <v>0</v>
      </c>
      <c r="P303" s="417">
        <f t="shared" si="52"/>
        <v>7936.2499999999991</v>
      </c>
      <c r="Q303" s="441"/>
    </row>
    <row r="304" spans="1:17" s="417" customFormat="1">
      <c r="A304" s="167">
        <v>301</v>
      </c>
      <c r="B304" s="409">
        <v>22675</v>
      </c>
      <c r="C304" s="20" t="str">
        <f>VLOOKUP(A304,'JUNE (물량흐름)'!$A$13:$C$502,2,0)</f>
        <v>ALFANI</v>
      </c>
      <c r="D304" s="282">
        <f>VLOOKUP(A304,'JUNE (물량흐름)'!$A$13:$C$502,3,0)</f>
        <v>100019839</v>
      </c>
      <c r="E304" s="6">
        <f>VLOOKUP(D304,'JUNE (물량흐름)'!$C$13:$W$502,21,0)</f>
        <v>0</v>
      </c>
      <c r="F304" s="6">
        <f t="shared" si="45"/>
        <v>0</v>
      </c>
      <c r="G304" s="6">
        <f>ROUND(SUMIF('In-out-bal products (155)(완성제품)'!$B$12:$B$493,'Sales profit (스타일 별 매출이익)'!D304,'In-out-bal products (155)(완성제품)'!$X$12:$X$493) + SUMIF('In-out-bal products (155)(완성제품)'!$B$12:$B$493,'Sales profit (스타일 별 매출이익)'!D304,'In-out-bal products (155)(완성제품)'!$AA$12:$AA$493),0)</f>
        <v>0</v>
      </c>
      <c r="H304" s="283">
        <f t="shared" si="46"/>
        <v>0</v>
      </c>
      <c r="I304" s="284">
        <f t="shared" si="47"/>
        <v>0</v>
      </c>
      <c r="J304" s="284">
        <f t="shared" si="44"/>
        <v>0</v>
      </c>
      <c r="K304" s="283">
        <v>0.35</v>
      </c>
      <c r="L304" s="285">
        <f t="shared" si="48"/>
        <v>0</v>
      </c>
      <c r="M304" s="285">
        <f t="shared" si="49"/>
        <v>0.35</v>
      </c>
      <c r="N304" s="285">
        <f t="shared" si="50"/>
        <v>0</v>
      </c>
      <c r="O304" s="416">
        <f t="shared" si="51"/>
        <v>0</v>
      </c>
      <c r="P304" s="417">
        <f t="shared" si="52"/>
        <v>7936.2499999999991</v>
      </c>
      <c r="Q304" s="441"/>
    </row>
    <row r="305" spans="1:17" s="417" customFormat="1">
      <c r="A305" s="167">
        <v>302</v>
      </c>
      <c r="B305" s="409">
        <v>22675</v>
      </c>
      <c r="C305" s="20" t="str">
        <f>VLOOKUP(A305,'JUNE (물량흐름)'!$A$13:$C$502,2,0)</f>
        <v>CHARTER CLUB</v>
      </c>
      <c r="D305" s="282">
        <f>VLOOKUP(A305,'JUNE (물량흐름)'!$A$13:$C$502,3,0)</f>
        <v>100021862</v>
      </c>
      <c r="E305" s="6">
        <f>VLOOKUP(D305,'JUNE (물량흐름)'!$C$13:$W$502,21,0)</f>
        <v>0</v>
      </c>
      <c r="F305" s="6">
        <f t="shared" si="45"/>
        <v>0</v>
      </c>
      <c r="G305" s="6">
        <f>ROUND(SUMIF('In-out-bal products (155)(완성제품)'!$B$12:$B$493,'Sales profit (스타일 별 매출이익)'!D305,'In-out-bal products (155)(완성제품)'!$X$12:$X$493) + SUMIF('In-out-bal products (155)(완성제품)'!$B$12:$B$493,'Sales profit (스타일 별 매출이익)'!D305,'In-out-bal products (155)(완성제품)'!$AA$12:$AA$493),0)</f>
        <v>0</v>
      </c>
      <c r="H305" s="283">
        <f t="shared" si="46"/>
        <v>0</v>
      </c>
      <c r="I305" s="284">
        <f t="shared" si="47"/>
        <v>0</v>
      </c>
      <c r="J305" s="284">
        <f t="shared" si="44"/>
        <v>0</v>
      </c>
      <c r="K305" s="283">
        <v>0.36</v>
      </c>
      <c r="L305" s="285">
        <f t="shared" si="48"/>
        <v>0</v>
      </c>
      <c r="M305" s="285">
        <f t="shared" si="49"/>
        <v>0.36</v>
      </c>
      <c r="N305" s="285">
        <f t="shared" si="50"/>
        <v>0</v>
      </c>
      <c r="O305" s="416">
        <f t="shared" si="51"/>
        <v>0</v>
      </c>
      <c r="P305" s="417">
        <f t="shared" si="52"/>
        <v>8163</v>
      </c>
      <c r="Q305" s="441"/>
    </row>
    <row r="306" spans="1:17" s="417" customFormat="1">
      <c r="A306" s="167">
        <v>303</v>
      </c>
      <c r="B306" s="409">
        <v>22675</v>
      </c>
      <c r="C306" s="20" t="str">
        <f>VLOOKUP(A306,'JUNE (물량흐름)'!$A$13:$C$502,2,0)</f>
        <v>ALFANI</v>
      </c>
      <c r="D306" s="282">
        <f>VLOOKUP(A306,'JUNE (물량흐름)'!$A$13:$C$502,3,0)</f>
        <v>100025244</v>
      </c>
      <c r="E306" s="6">
        <f>VLOOKUP(D306,'JUNE (물량흐름)'!$C$13:$W$502,21,0)</f>
        <v>0</v>
      </c>
      <c r="F306" s="6">
        <f t="shared" si="45"/>
        <v>0</v>
      </c>
      <c r="G306" s="6">
        <f>ROUND(SUMIF('In-out-bal products (155)(완성제품)'!$B$12:$B$493,'Sales profit (스타일 별 매출이익)'!D306,'In-out-bal products (155)(완성제품)'!$X$12:$X$493) + SUMIF('In-out-bal products (155)(완성제품)'!$B$12:$B$493,'Sales profit (스타일 별 매출이익)'!D306,'In-out-bal products (155)(완성제품)'!$AA$12:$AA$493),0)</f>
        <v>0</v>
      </c>
      <c r="H306" s="283">
        <f t="shared" si="46"/>
        <v>0</v>
      </c>
      <c r="I306" s="284">
        <f t="shared" si="47"/>
        <v>0</v>
      </c>
      <c r="J306" s="284">
        <f t="shared" si="44"/>
        <v>0</v>
      </c>
      <c r="K306" s="283">
        <v>0.36</v>
      </c>
      <c r="L306" s="285">
        <f t="shared" si="48"/>
        <v>0</v>
      </c>
      <c r="M306" s="285">
        <f t="shared" si="49"/>
        <v>0.36</v>
      </c>
      <c r="N306" s="285">
        <f t="shared" si="50"/>
        <v>0</v>
      </c>
      <c r="O306" s="416">
        <f t="shared" si="51"/>
        <v>0</v>
      </c>
      <c r="P306" s="417">
        <f t="shared" si="52"/>
        <v>8163</v>
      </c>
      <c r="Q306" s="441"/>
    </row>
    <row r="307" spans="1:17" s="417" customFormat="1">
      <c r="A307" s="167">
        <v>304</v>
      </c>
      <c r="B307" s="409">
        <v>22675</v>
      </c>
      <c r="C307" s="20" t="str">
        <f>VLOOKUP(A307,'JUNE (물량흐름)'!$A$13:$C$502,2,0)</f>
        <v>ALFANI</v>
      </c>
      <c r="D307" s="282">
        <f>VLOOKUP(A307,'JUNE (물량흐름)'!$A$13:$C$502,3,0)</f>
        <v>100025245</v>
      </c>
      <c r="E307" s="6">
        <f>VLOOKUP(D307,'JUNE (물량흐름)'!$C$13:$W$502,21,0)</f>
        <v>0</v>
      </c>
      <c r="F307" s="6">
        <f t="shared" si="45"/>
        <v>0</v>
      </c>
      <c r="G307" s="6">
        <f>ROUND(SUMIF('In-out-bal products (155)(완성제품)'!$B$12:$B$493,'Sales profit (스타일 별 매출이익)'!D307,'In-out-bal products (155)(완성제품)'!$X$12:$X$493) + SUMIF('In-out-bal products (155)(완성제품)'!$B$12:$B$493,'Sales profit (스타일 별 매출이익)'!D307,'In-out-bal products (155)(완성제품)'!$AA$12:$AA$493),0)</f>
        <v>0</v>
      </c>
      <c r="H307" s="283">
        <f t="shared" si="46"/>
        <v>0</v>
      </c>
      <c r="I307" s="284">
        <f t="shared" si="47"/>
        <v>0</v>
      </c>
      <c r="J307" s="284">
        <f t="shared" si="44"/>
        <v>0</v>
      </c>
      <c r="K307" s="283">
        <v>0.36</v>
      </c>
      <c r="L307" s="285">
        <f t="shared" si="48"/>
        <v>0</v>
      </c>
      <c r="M307" s="285">
        <f t="shared" si="49"/>
        <v>0.36</v>
      </c>
      <c r="N307" s="285">
        <f t="shared" si="50"/>
        <v>0</v>
      </c>
      <c r="O307" s="416">
        <f t="shared" si="51"/>
        <v>0</v>
      </c>
      <c r="P307" s="417">
        <f t="shared" si="52"/>
        <v>8163</v>
      </c>
      <c r="Q307" s="441"/>
    </row>
    <row r="308" spans="1:17" s="417" customFormat="1">
      <c r="A308" s="167">
        <v>305</v>
      </c>
      <c r="B308" s="409">
        <v>22675</v>
      </c>
      <c r="C308" s="20" t="str">
        <f>VLOOKUP(A308,'JUNE (물량흐름)'!$A$13:$C$502,2,0)</f>
        <v>TALBOTS</v>
      </c>
      <c r="D308" s="282">
        <f>VLOOKUP(A308,'JUNE (물량흐름)'!$A$13:$C$502,3,0)</f>
        <v>182013373</v>
      </c>
      <c r="E308" s="6">
        <f>VLOOKUP(D308,'JUNE (물량흐름)'!$C$13:$W$502,21,0)</f>
        <v>0</v>
      </c>
      <c r="F308" s="6">
        <f t="shared" si="45"/>
        <v>0</v>
      </c>
      <c r="G308" s="6">
        <f>ROUND(SUMIF('In-out-bal products (155)(완성제품)'!$B$12:$B$493,'Sales profit (스타일 별 매출이익)'!D308,'In-out-bal products (155)(완성제품)'!$X$12:$X$493) + SUMIF('In-out-bal products (155)(완성제품)'!$B$12:$B$493,'Sales profit (스타일 별 매출이익)'!D308,'In-out-bal products (155)(완성제품)'!$AA$12:$AA$493),0)</f>
        <v>0</v>
      </c>
      <c r="H308" s="283">
        <f t="shared" si="46"/>
        <v>0</v>
      </c>
      <c r="I308" s="284">
        <f t="shared" si="47"/>
        <v>0</v>
      </c>
      <c r="J308" s="284">
        <f t="shared" si="44"/>
        <v>0</v>
      </c>
      <c r="K308" s="283">
        <v>0.35</v>
      </c>
      <c r="L308" s="285">
        <f t="shared" si="48"/>
        <v>0</v>
      </c>
      <c r="M308" s="285">
        <f t="shared" si="49"/>
        <v>0.35</v>
      </c>
      <c r="N308" s="285">
        <f t="shared" si="50"/>
        <v>0</v>
      </c>
      <c r="O308" s="416">
        <f t="shared" si="51"/>
        <v>0</v>
      </c>
      <c r="P308" s="417">
        <f t="shared" si="52"/>
        <v>7936.2499999999991</v>
      </c>
      <c r="Q308" s="441"/>
    </row>
    <row r="309" spans="1:17" s="417" customFormat="1">
      <c r="A309" s="167">
        <v>306</v>
      </c>
      <c r="B309" s="409">
        <v>22675</v>
      </c>
      <c r="C309" s="20" t="str">
        <f>VLOOKUP(A309,'JUNE (물량흐름)'!$A$13:$C$502,2,0)</f>
        <v>TALBOTS</v>
      </c>
      <c r="D309" s="282">
        <f>VLOOKUP(A309,'JUNE (물량흐름)'!$A$13:$C$502,3,0)</f>
        <v>182013374</v>
      </c>
      <c r="E309" s="6">
        <f>VLOOKUP(D309,'JUNE (물량흐름)'!$C$13:$W$502,21,0)</f>
        <v>0</v>
      </c>
      <c r="F309" s="6">
        <f t="shared" si="45"/>
        <v>0</v>
      </c>
      <c r="G309" s="6">
        <f>ROUND(SUMIF('In-out-bal products (155)(완성제품)'!$B$12:$B$493,'Sales profit (스타일 별 매출이익)'!D309,'In-out-bal products (155)(완성제품)'!$X$12:$X$493) + SUMIF('In-out-bal products (155)(완성제품)'!$B$12:$B$493,'Sales profit (스타일 별 매출이익)'!D309,'In-out-bal products (155)(완성제품)'!$AA$12:$AA$493),0)</f>
        <v>0</v>
      </c>
      <c r="H309" s="283">
        <f t="shared" si="46"/>
        <v>0</v>
      </c>
      <c r="I309" s="284">
        <f t="shared" si="47"/>
        <v>0</v>
      </c>
      <c r="J309" s="284">
        <f t="shared" si="44"/>
        <v>0</v>
      </c>
      <c r="K309" s="283">
        <v>0.35</v>
      </c>
      <c r="L309" s="285">
        <f t="shared" si="48"/>
        <v>0</v>
      </c>
      <c r="M309" s="285">
        <f t="shared" si="49"/>
        <v>0.35</v>
      </c>
      <c r="N309" s="285">
        <f t="shared" si="50"/>
        <v>0</v>
      </c>
      <c r="O309" s="416">
        <f t="shared" si="51"/>
        <v>0</v>
      </c>
      <c r="P309" s="417">
        <f t="shared" si="52"/>
        <v>7936.2499999999991</v>
      </c>
      <c r="Q309" s="441"/>
    </row>
    <row r="310" spans="1:17" s="417" customFormat="1">
      <c r="A310" s="167">
        <v>307</v>
      </c>
      <c r="B310" s="409">
        <v>22675</v>
      </c>
      <c r="C310" s="20" t="str">
        <f>VLOOKUP(A310,'JUNE (물량흐름)'!$A$13:$C$502,2,0)</f>
        <v>TALBOTS</v>
      </c>
      <c r="D310" s="282">
        <f>VLOOKUP(A310,'JUNE (물량흐름)'!$A$13:$C$502,3,0)</f>
        <v>182034338</v>
      </c>
      <c r="E310" s="6">
        <f>VLOOKUP(D310,'JUNE (물량흐름)'!$C$13:$W$502,21,0)</f>
        <v>0</v>
      </c>
      <c r="F310" s="6">
        <f t="shared" si="45"/>
        <v>0</v>
      </c>
      <c r="G310" s="6">
        <f>ROUND(SUMIF('In-out-bal products (155)(완성제품)'!$B$12:$B$493,'Sales profit (스타일 별 매출이익)'!D310,'In-out-bal products (155)(완성제품)'!$X$12:$X$493) + SUMIF('In-out-bal products (155)(완성제품)'!$B$12:$B$493,'Sales profit (스타일 별 매출이익)'!D310,'In-out-bal products (155)(완성제품)'!$AA$12:$AA$493),0)</f>
        <v>0</v>
      </c>
      <c r="H310" s="283">
        <f t="shared" si="46"/>
        <v>0</v>
      </c>
      <c r="I310" s="284">
        <f t="shared" si="47"/>
        <v>0</v>
      </c>
      <c r="J310" s="284">
        <f t="shared" si="44"/>
        <v>0</v>
      </c>
      <c r="K310" s="283">
        <v>0.35</v>
      </c>
      <c r="L310" s="285">
        <f t="shared" si="48"/>
        <v>0</v>
      </c>
      <c r="M310" s="285">
        <f t="shared" si="49"/>
        <v>0.35</v>
      </c>
      <c r="N310" s="285">
        <f t="shared" si="50"/>
        <v>0</v>
      </c>
      <c r="O310" s="416">
        <f t="shared" si="51"/>
        <v>0</v>
      </c>
      <c r="P310" s="417">
        <f t="shared" si="52"/>
        <v>7936.2499999999991</v>
      </c>
      <c r="Q310" s="441"/>
    </row>
    <row r="311" spans="1:17" s="417" customFormat="1">
      <c r="A311" s="167">
        <v>308</v>
      </c>
      <c r="B311" s="409">
        <v>22675</v>
      </c>
      <c r="C311" s="20" t="str">
        <f>VLOOKUP(A311,'JUNE (물량흐름)'!$A$13:$C$502,2,0)</f>
        <v>ALFANI</v>
      </c>
      <c r="D311" s="282">
        <f>VLOOKUP(A311,'JUNE (물량흐름)'!$A$13:$C$502,3,0)</f>
        <v>100015358</v>
      </c>
      <c r="E311" s="6">
        <f>VLOOKUP(D311,'JUNE (물량흐름)'!$C$13:$W$502,21,0)</f>
        <v>0</v>
      </c>
      <c r="F311" s="6">
        <f t="shared" si="45"/>
        <v>0</v>
      </c>
      <c r="G311" s="6">
        <f>ROUND(SUMIF('In-out-bal products (155)(완성제품)'!$B$12:$B$493,'Sales profit (스타일 별 매출이익)'!D311,'In-out-bal products (155)(완성제품)'!$X$12:$X$493) + SUMIF('In-out-bal products (155)(완성제품)'!$B$12:$B$493,'Sales profit (스타일 별 매출이익)'!D311,'In-out-bal products (155)(완성제품)'!$AA$12:$AA$493),0)</f>
        <v>0</v>
      </c>
      <c r="H311" s="283">
        <f t="shared" si="46"/>
        <v>0</v>
      </c>
      <c r="I311" s="284">
        <f t="shared" si="47"/>
        <v>0</v>
      </c>
      <c r="J311" s="284">
        <f t="shared" si="44"/>
        <v>0</v>
      </c>
      <c r="K311" s="283">
        <v>1.96</v>
      </c>
      <c r="L311" s="285">
        <f t="shared" si="48"/>
        <v>0</v>
      </c>
      <c r="M311" s="285">
        <f t="shared" si="49"/>
        <v>1.96</v>
      </c>
      <c r="N311" s="285">
        <f t="shared" si="50"/>
        <v>0</v>
      </c>
      <c r="O311" s="416">
        <f t="shared" si="51"/>
        <v>0</v>
      </c>
      <c r="P311" s="417">
        <f t="shared" si="52"/>
        <v>44443</v>
      </c>
      <c r="Q311" s="441"/>
    </row>
    <row r="312" spans="1:17" s="417" customFormat="1">
      <c r="A312" s="167">
        <v>309</v>
      </c>
      <c r="B312" s="409">
        <v>22675</v>
      </c>
      <c r="C312" s="20" t="str">
        <f>VLOOKUP(A312,'JUNE (물량흐름)'!$A$13:$C$502,2,0)</f>
        <v>ALFANI</v>
      </c>
      <c r="D312" s="282">
        <f>VLOOKUP(A312,'JUNE (물량흐름)'!$A$13:$C$502,3,0)</f>
        <v>100022090</v>
      </c>
      <c r="E312" s="6">
        <f>VLOOKUP(D312,'JUNE (물량흐름)'!$C$13:$W$502,21,0)</f>
        <v>0</v>
      </c>
      <c r="F312" s="6">
        <f t="shared" si="45"/>
        <v>0</v>
      </c>
      <c r="G312" s="6">
        <f>ROUND(SUMIF('In-out-bal products (155)(완성제품)'!$B$12:$B$493,'Sales profit (스타일 별 매출이익)'!D312,'In-out-bal products (155)(완성제품)'!$X$12:$X$493) + SUMIF('In-out-bal products (155)(완성제품)'!$B$12:$B$493,'Sales profit (스타일 별 매출이익)'!D312,'In-out-bal products (155)(완성제품)'!$AA$12:$AA$493),0)</f>
        <v>0</v>
      </c>
      <c r="H312" s="283">
        <f t="shared" si="46"/>
        <v>0</v>
      </c>
      <c r="I312" s="284">
        <f t="shared" si="47"/>
        <v>0</v>
      </c>
      <c r="J312" s="284">
        <f t="shared" si="44"/>
        <v>0</v>
      </c>
      <c r="K312" s="283">
        <v>0.35</v>
      </c>
      <c r="L312" s="285">
        <f t="shared" si="48"/>
        <v>0</v>
      </c>
      <c r="M312" s="285">
        <f t="shared" si="49"/>
        <v>0.35</v>
      </c>
      <c r="N312" s="285">
        <f t="shared" si="50"/>
        <v>0</v>
      </c>
      <c r="O312" s="416">
        <f t="shared" si="51"/>
        <v>0</v>
      </c>
      <c r="P312" s="417">
        <f t="shared" si="52"/>
        <v>7936.2499999999991</v>
      </c>
      <c r="Q312" s="441"/>
    </row>
    <row r="313" spans="1:17" s="417" customFormat="1">
      <c r="A313" s="167">
        <v>310</v>
      </c>
      <c r="B313" s="409">
        <v>22675</v>
      </c>
      <c r="C313" s="20" t="str">
        <f>VLOOKUP(A313,'JUNE (물량흐름)'!$A$13:$C$502,2,0)</f>
        <v>TALBOTS</v>
      </c>
      <c r="D313" s="282">
        <f>VLOOKUP(A313,'JUNE (물량흐름)'!$A$13:$C$502,3,0)</f>
        <v>182034820</v>
      </c>
      <c r="E313" s="6">
        <f>VLOOKUP(D313,'JUNE (물량흐름)'!$C$13:$W$502,21,0)</f>
        <v>0</v>
      </c>
      <c r="F313" s="6">
        <f t="shared" si="45"/>
        <v>0</v>
      </c>
      <c r="G313" s="6">
        <f>ROUND(SUMIF('In-out-bal products (155)(완성제품)'!$B$12:$B$493,'Sales profit (스타일 별 매출이익)'!D313,'In-out-bal products (155)(완성제품)'!$X$12:$X$493) + SUMIF('In-out-bal products (155)(완성제품)'!$B$12:$B$493,'Sales profit (스타일 별 매출이익)'!D313,'In-out-bal products (155)(완성제품)'!$AA$12:$AA$493),0)</f>
        <v>0</v>
      </c>
      <c r="H313" s="283">
        <f t="shared" si="46"/>
        <v>0</v>
      </c>
      <c r="I313" s="284">
        <f t="shared" si="47"/>
        <v>0</v>
      </c>
      <c r="J313" s="284">
        <f t="shared" si="44"/>
        <v>0</v>
      </c>
      <c r="K313" s="283">
        <v>0.36</v>
      </c>
      <c r="L313" s="285">
        <f t="shared" si="48"/>
        <v>0</v>
      </c>
      <c r="M313" s="285">
        <f t="shared" si="49"/>
        <v>0.36</v>
      </c>
      <c r="N313" s="285">
        <f t="shared" si="50"/>
        <v>0</v>
      </c>
      <c r="O313" s="416">
        <f t="shared" si="51"/>
        <v>0</v>
      </c>
      <c r="P313" s="417">
        <f t="shared" si="52"/>
        <v>8163</v>
      </c>
      <c r="Q313" s="441"/>
    </row>
    <row r="314" spans="1:17" s="417" customFormat="1">
      <c r="A314" s="167">
        <v>311</v>
      </c>
      <c r="B314" s="409">
        <v>22675</v>
      </c>
      <c r="C314" s="20" t="str">
        <f>VLOOKUP(A314,'JUNE (물량흐름)'!$A$13:$C$502,2,0)</f>
        <v>ANN TAYLOR</v>
      </c>
      <c r="D314" s="282">
        <f>VLOOKUP(A314,'JUNE (물량흐름)'!$A$13:$C$502,3,0)</f>
        <v>457223</v>
      </c>
      <c r="E314" s="6">
        <f>VLOOKUP(D314,'JUNE (물량흐름)'!$C$13:$W$502,21,0)</f>
        <v>0</v>
      </c>
      <c r="F314" s="6">
        <f t="shared" si="45"/>
        <v>0</v>
      </c>
      <c r="G314" s="6">
        <f>ROUND(SUMIF('In-out-bal products (155)(완성제품)'!$B$12:$B$493,'Sales profit (스타일 별 매출이익)'!D314,'In-out-bal products (155)(완성제품)'!$X$12:$X$493) + SUMIF('In-out-bal products (155)(완성제품)'!$B$12:$B$493,'Sales profit (스타일 별 매출이익)'!D314,'In-out-bal products (155)(완성제품)'!$AA$12:$AA$493),0)</f>
        <v>0</v>
      </c>
      <c r="H314" s="283">
        <f t="shared" si="46"/>
        <v>0</v>
      </c>
      <c r="I314" s="284">
        <f t="shared" si="47"/>
        <v>0</v>
      </c>
      <c r="J314" s="284">
        <f t="shared" si="44"/>
        <v>0</v>
      </c>
      <c r="K314" s="283">
        <v>0.36</v>
      </c>
      <c r="L314" s="285">
        <f t="shared" si="48"/>
        <v>0</v>
      </c>
      <c r="M314" s="285">
        <f t="shared" si="49"/>
        <v>0.36</v>
      </c>
      <c r="N314" s="285">
        <f t="shared" si="50"/>
        <v>0</v>
      </c>
      <c r="O314" s="416">
        <f t="shared" si="51"/>
        <v>0</v>
      </c>
      <c r="P314" s="417">
        <f t="shared" si="52"/>
        <v>8163</v>
      </c>
      <c r="Q314" s="441"/>
    </row>
    <row r="315" spans="1:17" s="417" customFormat="1">
      <c r="A315" s="167">
        <v>312</v>
      </c>
      <c r="B315" s="409">
        <v>22675</v>
      </c>
      <c r="C315" s="20" t="str">
        <f>VLOOKUP(A315,'JUNE (물량흐름)'!$A$13:$C$502,2,0)</f>
        <v>ANN TAYLOR</v>
      </c>
      <c r="D315" s="282">
        <f>VLOOKUP(A315,'JUNE (물량흐름)'!$A$13:$C$502,3,0)</f>
        <v>461186</v>
      </c>
      <c r="E315" s="6">
        <f>VLOOKUP(D315,'JUNE (물량흐름)'!$C$13:$W$502,21,0)</f>
        <v>0</v>
      </c>
      <c r="F315" s="6">
        <f t="shared" si="45"/>
        <v>0</v>
      </c>
      <c r="G315" s="6">
        <f>ROUND(SUMIF('In-out-bal products (155)(완성제품)'!$B$12:$B$493,'Sales profit (스타일 별 매출이익)'!D315,'In-out-bal products (155)(완성제품)'!$X$12:$X$493) + SUMIF('In-out-bal products (155)(완성제품)'!$B$12:$B$493,'Sales profit (스타일 별 매출이익)'!D315,'In-out-bal products (155)(완성제품)'!$AA$12:$AA$493),0)</f>
        <v>0</v>
      </c>
      <c r="H315" s="283">
        <f t="shared" si="46"/>
        <v>0</v>
      </c>
      <c r="I315" s="284">
        <f t="shared" si="47"/>
        <v>0</v>
      </c>
      <c r="J315" s="284">
        <f t="shared" si="44"/>
        <v>0</v>
      </c>
      <c r="K315" s="283">
        <v>1.93</v>
      </c>
      <c r="L315" s="285">
        <f t="shared" si="48"/>
        <v>0</v>
      </c>
      <c r="M315" s="285">
        <f t="shared" si="49"/>
        <v>1.93</v>
      </c>
      <c r="N315" s="285">
        <f t="shared" si="50"/>
        <v>0</v>
      </c>
      <c r="O315" s="416">
        <f t="shared" si="51"/>
        <v>0</v>
      </c>
      <c r="P315" s="417">
        <f t="shared" si="52"/>
        <v>43762.75</v>
      </c>
      <c r="Q315" s="441"/>
    </row>
    <row r="316" spans="1:17" s="417" customFormat="1">
      <c r="A316" s="167">
        <v>313</v>
      </c>
      <c r="B316" s="409">
        <v>22675</v>
      </c>
      <c r="C316" s="20" t="str">
        <f>VLOOKUP(A316,'JUNE (물량흐름)'!$A$13:$C$502,2,0)</f>
        <v>ANN TAYLOR</v>
      </c>
      <c r="D316" s="282">
        <f>VLOOKUP(A316,'JUNE (물량흐름)'!$A$13:$C$502,3,0)</f>
        <v>461795</v>
      </c>
      <c r="E316" s="6">
        <f>VLOOKUP(D316,'JUNE (물량흐름)'!$C$13:$W$502,21,0)</f>
        <v>0</v>
      </c>
      <c r="F316" s="6">
        <f t="shared" si="45"/>
        <v>0</v>
      </c>
      <c r="G316" s="6">
        <f>ROUND(SUMIF('In-out-bal products (155)(완성제품)'!$B$12:$B$493,'Sales profit (스타일 별 매출이익)'!D316,'In-out-bal products (155)(완성제품)'!$X$12:$X$493) + SUMIF('In-out-bal products (155)(완성제품)'!$B$12:$B$493,'Sales profit (스타일 별 매출이익)'!D316,'In-out-bal products (155)(완성제품)'!$AA$12:$AA$493),0)</f>
        <v>0</v>
      </c>
      <c r="H316" s="283">
        <f t="shared" si="46"/>
        <v>0</v>
      </c>
      <c r="I316" s="284">
        <f t="shared" si="47"/>
        <v>0</v>
      </c>
      <c r="J316" s="284">
        <f t="shared" si="44"/>
        <v>0</v>
      </c>
      <c r="K316" s="283">
        <v>0.35</v>
      </c>
      <c r="L316" s="285">
        <f t="shared" si="48"/>
        <v>0</v>
      </c>
      <c r="M316" s="285">
        <f t="shared" si="49"/>
        <v>0.35</v>
      </c>
      <c r="N316" s="285">
        <f t="shared" si="50"/>
        <v>0</v>
      </c>
      <c r="O316" s="416">
        <f t="shared" si="51"/>
        <v>0</v>
      </c>
      <c r="P316" s="417">
        <f t="shared" si="52"/>
        <v>7936.2499999999991</v>
      </c>
      <c r="Q316" s="441"/>
    </row>
    <row r="317" spans="1:17" s="417" customFormat="1">
      <c r="A317" s="167">
        <v>314</v>
      </c>
      <c r="B317" s="409">
        <v>22675</v>
      </c>
      <c r="C317" s="20" t="str">
        <f>VLOOKUP(A317,'JUNE (물량흐름)'!$A$13:$C$502,2,0)</f>
        <v>ANN TAYLOR</v>
      </c>
      <c r="D317" s="282">
        <f>VLOOKUP(A317,'JUNE (물량흐름)'!$A$13:$C$502,3,0)</f>
        <v>463022</v>
      </c>
      <c r="E317" s="6">
        <f>VLOOKUP(D317,'JUNE (물량흐름)'!$C$13:$W$502,21,0)</f>
        <v>0</v>
      </c>
      <c r="F317" s="6">
        <f t="shared" si="45"/>
        <v>0</v>
      </c>
      <c r="G317" s="6">
        <f>ROUND(SUMIF('In-out-bal products (155)(완성제품)'!$B$12:$B$493,'Sales profit (스타일 별 매출이익)'!D317,'In-out-bal products (155)(완성제품)'!$X$12:$X$493) + SUMIF('In-out-bal products (155)(완성제품)'!$B$12:$B$493,'Sales profit (스타일 별 매출이익)'!D317,'In-out-bal products (155)(완성제품)'!$AA$12:$AA$493),0)</f>
        <v>0</v>
      </c>
      <c r="H317" s="283">
        <f t="shared" si="46"/>
        <v>0</v>
      </c>
      <c r="I317" s="284">
        <f t="shared" si="47"/>
        <v>0</v>
      </c>
      <c r="J317" s="284">
        <f t="shared" si="44"/>
        <v>0</v>
      </c>
      <c r="K317" s="283">
        <v>0.35</v>
      </c>
      <c r="L317" s="285">
        <f t="shared" si="48"/>
        <v>0</v>
      </c>
      <c r="M317" s="285">
        <f t="shared" si="49"/>
        <v>0.35</v>
      </c>
      <c r="N317" s="285">
        <f t="shared" si="50"/>
        <v>0</v>
      </c>
      <c r="O317" s="416">
        <f t="shared" si="51"/>
        <v>0</v>
      </c>
      <c r="P317" s="417">
        <f t="shared" si="52"/>
        <v>7936.2499999999991</v>
      </c>
      <c r="Q317" s="441"/>
    </row>
    <row r="318" spans="1:17" s="417" customFormat="1">
      <c r="A318" s="167">
        <v>315</v>
      </c>
      <c r="B318" s="409">
        <v>22675</v>
      </c>
      <c r="C318" s="20" t="str">
        <f>VLOOKUP(A318,'JUNE (물량흐름)'!$A$13:$C$502,2,0)</f>
        <v>ANN TAYLOR</v>
      </c>
      <c r="D318" s="282">
        <f>VLOOKUP(A318,'JUNE (물량흐름)'!$A$13:$C$502,3,0)</f>
        <v>463024</v>
      </c>
      <c r="E318" s="6">
        <f>VLOOKUP(D318,'JUNE (물량흐름)'!$C$13:$W$502,21,0)</f>
        <v>0</v>
      </c>
      <c r="F318" s="6">
        <f t="shared" si="45"/>
        <v>0</v>
      </c>
      <c r="G318" s="6">
        <f>ROUND(SUMIF('In-out-bal products (155)(완성제품)'!$B$12:$B$493,'Sales profit (스타일 별 매출이익)'!D318,'In-out-bal products (155)(완성제품)'!$X$12:$X$493) + SUMIF('In-out-bal products (155)(완성제품)'!$B$12:$B$493,'Sales profit (스타일 별 매출이익)'!D318,'In-out-bal products (155)(완성제품)'!$AA$12:$AA$493),0)</f>
        <v>0</v>
      </c>
      <c r="H318" s="283">
        <f t="shared" si="46"/>
        <v>0</v>
      </c>
      <c r="I318" s="284">
        <f t="shared" si="47"/>
        <v>0</v>
      </c>
      <c r="J318" s="284">
        <f t="shared" si="44"/>
        <v>0</v>
      </c>
      <c r="K318" s="283">
        <v>0.35</v>
      </c>
      <c r="L318" s="285">
        <f t="shared" si="48"/>
        <v>0</v>
      </c>
      <c r="M318" s="285">
        <f t="shared" si="49"/>
        <v>0.35</v>
      </c>
      <c r="N318" s="285">
        <f t="shared" si="50"/>
        <v>0</v>
      </c>
      <c r="O318" s="416">
        <f t="shared" si="51"/>
        <v>0</v>
      </c>
      <c r="P318" s="417">
        <f t="shared" si="52"/>
        <v>7936.2499999999991</v>
      </c>
      <c r="Q318" s="441"/>
    </row>
    <row r="319" spans="1:17" s="417" customFormat="1">
      <c r="A319" s="167">
        <v>316</v>
      </c>
      <c r="B319" s="409">
        <v>22675</v>
      </c>
      <c r="C319" s="20" t="str">
        <f>VLOOKUP(A319,'JUNE (물량흐름)'!$A$13:$C$502,2,0)</f>
        <v>ANN TAYLOR</v>
      </c>
      <c r="D319" s="282">
        <f>VLOOKUP(A319,'JUNE (물량흐름)'!$A$13:$C$502,3,0)</f>
        <v>463029</v>
      </c>
      <c r="E319" s="6">
        <f>VLOOKUP(D319,'JUNE (물량흐름)'!$C$13:$W$502,21,0)</f>
        <v>0</v>
      </c>
      <c r="F319" s="6">
        <f t="shared" si="45"/>
        <v>0</v>
      </c>
      <c r="G319" s="6">
        <f>ROUND(SUMIF('In-out-bal products (155)(완성제품)'!$B$12:$B$493,'Sales profit (스타일 별 매출이익)'!D319,'In-out-bal products (155)(완성제품)'!$X$12:$X$493) + SUMIF('In-out-bal products (155)(완성제품)'!$B$12:$B$493,'Sales profit (스타일 별 매출이익)'!D319,'In-out-bal products (155)(완성제품)'!$AA$12:$AA$493),0)</f>
        <v>0</v>
      </c>
      <c r="H319" s="283">
        <f t="shared" si="46"/>
        <v>0</v>
      </c>
      <c r="I319" s="284">
        <f t="shared" si="47"/>
        <v>0</v>
      </c>
      <c r="J319" s="284">
        <f t="shared" si="44"/>
        <v>0</v>
      </c>
      <c r="K319" s="283">
        <v>0.35</v>
      </c>
      <c r="L319" s="285">
        <f t="shared" si="48"/>
        <v>0</v>
      </c>
      <c r="M319" s="285">
        <f t="shared" si="49"/>
        <v>0.35</v>
      </c>
      <c r="N319" s="285">
        <f t="shared" si="50"/>
        <v>0</v>
      </c>
      <c r="O319" s="416">
        <f t="shared" si="51"/>
        <v>0</v>
      </c>
      <c r="P319" s="417">
        <f t="shared" si="52"/>
        <v>7936.2499999999991</v>
      </c>
      <c r="Q319" s="441"/>
    </row>
    <row r="320" spans="1:17" s="417" customFormat="1">
      <c r="A320" s="167">
        <v>317</v>
      </c>
      <c r="B320" s="409">
        <v>22675</v>
      </c>
      <c r="C320" s="20" t="str">
        <f>VLOOKUP(A320,'JUNE (물량흐름)'!$A$13:$C$502,2,0)</f>
        <v>ANN TAYLOR</v>
      </c>
      <c r="D320" s="282">
        <f>VLOOKUP(A320,'JUNE (물량흐름)'!$A$13:$C$502,3,0)</f>
        <v>463030</v>
      </c>
      <c r="E320" s="6">
        <f>VLOOKUP(D320,'JUNE (물량흐름)'!$C$13:$W$502,21,0)</f>
        <v>0</v>
      </c>
      <c r="F320" s="6">
        <f t="shared" si="45"/>
        <v>0</v>
      </c>
      <c r="G320" s="6">
        <f>ROUND(SUMIF('In-out-bal products (155)(완성제품)'!$B$12:$B$493,'Sales profit (스타일 별 매출이익)'!D320,'In-out-bal products (155)(완성제품)'!$X$12:$X$493) + SUMIF('In-out-bal products (155)(완성제품)'!$B$12:$B$493,'Sales profit (스타일 별 매출이익)'!D320,'In-out-bal products (155)(완성제품)'!$AA$12:$AA$493),0)</f>
        <v>0</v>
      </c>
      <c r="H320" s="283">
        <f t="shared" si="46"/>
        <v>0</v>
      </c>
      <c r="I320" s="284">
        <f t="shared" si="47"/>
        <v>0</v>
      </c>
      <c r="J320" s="284">
        <f t="shared" si="44"/>
        <v>0</v>
      </c>
      <c r="K320" s="283">
        <v>0.36</v>
      </c>
      <c r="L320" s="285">
        <f t="shared" si="48"/>
        <v>0</v>
      </c>
      <c r="M320" s="285">
        <f t="shared" si="49"/>
        <v>0.36</v>
      </c>
      <c r="N320" s="285">
        <f t="shared" si="50"/>
        <v>0</v>
      </c>
      <c r="O320" s="416">
        <f t="shared" si="51"/>
        <v>0</v>
      </c>
      <c r="P320" s="417">
        <f t="shared" si="52"/>
        <v>8163</v>
      </c>
      <c r="Q320" s="441"/>
    </row>
    <row r="321" spans="1:17" s="417" customFormat="1">
      <c r="A321" s="167">
        <v>318</v>
      </c>
      <c r="B321" s="409">
        <v>22675</v>
      </c>
      <c r="C321" s="20" t="str">
        <f>VLOOKUP(A321,'JUNE (물량흐름)'!$A$13:$C$502,2,0)</f>
        <v>ANN TAYLOR</v>
      </c>
      <c r="D321" s="282">
        <f>VLOOKUP(A321,'JUNE (물량흐름)'!$A$13:$C$502,3,0)</f>
        <v>466459</v>
      </c>
      <c r="E321" s="6">
        <f>VLOOKUP(D321,'JUNE (물량흐름)'!$C$13:$W$502,21,0)</f>
        <v>0</v>
      </c>
      <c r="F321" s="6">
        <f t="shared" si="45"/>
        <v>0</v>
      </c>
      <c r="G321" s="6">
        <f>ROUND(SUMIF('In-out-bal products (155)(완성제품)'!$B$12:$B$493,'Sales profit (스타일 별 매출이익)'!D321,'In-out-bal products (155)(완성제품)'!$X$12:$X$493) + SUMIF('In-out-bal products (155)(완성제품)'!$B$12:$B$493,'Sales profit (스타일 별 매출이익)'!D321,'In-out-bal products (155)(완성제품)'!$AA$12:$AA$493),0)</f>
        <v>0</v>
      </c>
      <c r="H321" s="283">
        <f t="shared" si="46"/>
        <v>0</v>
      </c>
      <c r="I321" s="284">
        <f t="shared" si="47"/>
        <v>0</v>
      </c>
      <c r="J321" s="284">
        <f t="shared" si="44"/>
        <v>0</v>
      </c>
      <c r="K321" s="283">
        <v>0.35</v>
      </c>
      <c r="L321" s="285">
        <f t="shared" si="48"/>
        <v>0</v>
      </c>
      <c r="M321" s="285">
        <f t="shared" si="49"/>
        <v>0.35</v>
      </c>
      <c r="N321" s="285">
        <f t="shared" si="50"/>
        <v>0</v>
      </c>
      <c r="O321" s="416">
        <f t="shared" si="51"/>
        <v>0</v>
      </c>
      <c r="P321" s="417">
        <f t="shared" si="52"/>
        <v>7936.2499999999991</v>
      </c>
      <c r="Q321" s="441"/>
    </row>
    <row r="322" spans="1:17" s="417" customFormat="1">
      <c r="A322" s="167">
        <v>319</v>
      </c>
      <c r="B322" s="409">
        <v>22675</v>
      </c>
      <c r="C322" s="20" t="str">
        <f>VLOOKUP(A322,'JUNE (물량흐름)'!$A$13:$C$502,2,0)</f>
        <v>ANN TAYLOR</v>
      </c>
      <c r="D322" s="282">
        <f>VLOOKUP(A322,'JUNE (물량흐름)'!$A$13:$C$502,3,0)</f>
        <v>467476</v>
      </c>
      <c r="E322" s="6">
        <f>VLOOKUP(D322,'JUNE (물량흐름)'!$C$13:$W$502,21,0)</f>
        <v>0</v>
      </c>
      <c r="F322" s="6">
        <f t="shared" si="45"/>
        <v>0</v>
      </c>
      <c r="G322" s="6">
        <f>ROUND(SUMIF('In-out-bal products (155)(완성제품)'!$B$12:$B$493,'Sales profit (스타일 별 매출이익)'!D322,'In-out-bal products (155)(완성제품)'!$X$12:$X$493) + SUMIF('In-out-bal products (155)(완성제품)'!$B$12:$B$493,'Sales profit (스타일 별 매출이익)'!D322,'In-out-bal products (155)(완성제품)'!$AA$12:$AA$493),0)</f>
        <v>0</v>
      </c>
      <c r="H322" s="283">
        <f t="shared" si="46"/>
        <v>0</v>
      </c>
      <c r="I322" s="284">
        <f t="shared" si="47"/>
        <v>0</v>
      </c>
      <c r="J322" s="284">
        <f t="shared" si="44"/>
        <v>0</v>
      </c>
      <c r="K322" s="283">
        <v>0.35</v>
      </c>
      <c r="L322" s="285">
        <f t="shared" si="48"/>
        <v>0</v>
      </c>
      <c r="M322" s="285">
        <f t="shared" si="49"/>
        <v>0.35</v>
      </c>
      <c r="N322" s="285">
        <f t="shared" si="50"/>
        <v>0</v>
      </c>
      <c r="O322" s="416">
        <f t="shared" si="51"/>
        <v>0</v>
      </c>
      <c r="P322" s="417">
        <f t="shared" si="52"/>
        <v>7936.2499999999991</v>
      </c>
      <c r="Q322" s="441"/>
    </row>
    <row r="323" spans="1:17" s="417" customFormat="1">
      <c r="A323" s="167">
        <v>320</v>
      </c>
      <c r="B323" s="409">
        <v>22675</v>
      </c>
      <c r="C323" s="20" t="str">
        <f>VLOOKUP(A323,'JUNE (물량흐름)'!$A$13:$C$502,2,0)</f>
        <v>ANN TAYLOR</v>
      </c>
      <c r="D323" s="282">
        <f>VLOOKUP(A323,'JUNE (물량흐름)'!$A$13:$C$502,3,0)</f>
        <v>468585</v>
      </c>
      <c r="E323" s="6">
        <f>VLOOKUP(D323,'JUNE (물량흐름)'!$C$13:$W$502,21,0)</f>
        <v>0</v>
      </c>
      <c r="F323" s="6">
        <f t="shared" si="45"/>
        <v>0</v>
      </c>
      <c r="G323" s="6">
        <f>ROUND(SUMIF('In-out-bal products (155)(완성제품)'!$B$12:$B$493,'Sales profit (스타일 별 매출이익)'!D323,'In-out-bal products (155)(완성제품)'!$X$12:$X$493) + SUMIF('In-out-bal products (155)(완성제품)'!$B$12:$B$493,'Sales profit (스타일 별 매출이익)'!D323,'In-out-bal products (155)(완성제품)'!$AA$12:$AA$493),0)</f>
        <v>0</v>
      </c>
      <c r="H323" s="283">
        <f t="shared" si="46"/>
        <v>0</v>
      </c>
      <c r="I323" s="284">
        <f t="shared" si="47"/>
        <v>0</v>
      </c>
      <c r="J323" s="284">
        <f t="shared" si="44"/>
        <v>0</v>
      </c>
      <c r="K323" s="283">
        <v>0.35</v>
      </c>
      <c r="L323" s="285">
        <f t="shared" si="48"/>
        <v>0</v>
      </c>
      <c r="M323" s="285">
        <f t="shared" si="49"/>
        <v>0.35</v>
      </c>
      <c r="N323" s="285">
        <f t="shared" si="50"/>
        <v>0</v>
      </c>
      <c r="O323" s="416">
        <f t="shared" si="51"/>
        <v>0</v>
      </c>
      <c r="P323" s="417">
        <f t="shared" si="52"/>
        <v>7936.2499999999991</v>
      </c>
      <c r="Q323" s="441"/>
    </row>
    <row r="324" spans="1:17" s="417" customFormat="1">
      <c r="A324" s="167">
        <v>321</v>
      </c>
      <c r="B324" s="409">
        <v>22675</v>
      </c>
      <c r="C324" s="20" t="str">
        <f>VLOOKUP(A324,'JUNE (물량흐름)'!$A$13:$C$502,2,0)</f>
        <v>ANN TAYLOR</v>
      </c>
      <c r="D324" s="282">
        <f>VLOOKUP(A324,'JUNE (물량흐름)'!$A$13:$C$502,3,0)</f>
        <v>471857</v>
      </c>
      <c r="E324" s="6">
        <f>VLOOKUP(D324,'JUNE (물량흐름)'!$C$13:$W$502,21,0)</f>
        <v>0</v>
      </c>
      <c r="F324" s="6">
        <f t="shared" si="45"/>
        <v>0</v>
      </c>
      <c r="G324" s="6">
        <f>ROUND(SUMIF('In-out-bal products (155)(완성제품)'!$B$12:$B$493,'Sales profit (스타일 별 매출이익)'!D324,'In-out-bal products (155)(완성제품)'!$X$12:$X$493) + SUMIF('In-out-bal products (155)(완성제품)'!$B$12:$B$493,'Sales profit (스타일 별 매출이익)'!D324,'In-out-bal products (155)(완성제품)'!$AA$12:$AA$493),0)</f>
        <v>0</v>
      </c>
      <c r="H324" s="283">
        <f t="shared" si="46"/>
        <v>0</v>
      </c>
      <c r="I324" s="284">
        <f t="shared" si="47"/>
        <v>0</v>
      </c>
      <c r="J324" s="284">
        <f t="shared" si="44"/>
        <v>0</v>
      </c>
      <c r="K324" s="283">
        <v>0.35</v>
      </c>
      <c r="L324" s="285">
        <f t="shared" si="48"/>
        <v>0</v>
      </c>
      <c r="M324" s="285">
        <f t="shared" si="49"/>
        <v>0.35</v>
      </c>
      <c r="N324" s="285">
        <f t="shared" si="50"/>
        <v>0</v>
      </c>
      <c r="O324" s="416">
        <f t="shared" si="51"/>
        <v>0</v>
      </c>
      <c r="P324" s="417">
        <f t="shared" si="52"/>
        <v>7936.2499999999991</v>
      </c>
      <c r="Q324" s="441"/>
    </row>
    <row r="325" spans="1:17" s="417" customFormat="1">
      <c r="A325" s="167">
        <v>322</v>
      </c>
      <c r="B325" s="409">
        <v>22675</v>
      </c>
      <c r="C325" s="20" t="str">
        <f>VLOOKUP(A325,'JUNE (물량흐름)'!$A$13:$C$502,2,0)</f>
        <v>J JILL</v>
      </c>
      <c r="D325" s="282" t="str">
        <f>VLOOKUP(A325,'JUNE (물량흐름)'!$A$13:$C$502,3,0)</f>
        <v>KTP122131</v>
      </c>
      <c r="E325" s="6">
        <f>VLOOKUP(D325,'JUNE (물량흐름)'!$C$13:$W$502,21,0)</f>
        <v>0</v>
      </c>
      <c r="F325" s="6">
        <f t="shared" ref="F325:F385" si="53">IFERROR(ROUND(E325*K325*B325,0),0)</f>
        <v>0</v>
      </c>
      <c r="G325" s="6">
        <f>ROUND(SUMIF('In-out-bal products (155)(완성제품)'!$B$12:$B$493,'Sales profit (스타일 별 매출이익)'!D325,'In-out-bal products (155)(완성제품)'!$X$12:$X$493) + SUMIF('In-out-bal products (155)(완성제품)'!$B$12:$B$493,'Sales profit (스타일 별 매출이익)'!D325,'In-out-bal products (155)(완성제품)'!$AA$12:$AA$493),0)</f>
        <v>0</v>
      </c>
      <c r="H325" s="283">
        <f t="shared" ref="H325:H385" si="54">IFERROR(I325/B325,0)</f>
        <v>0</v>
      </c>
      <c r="I325" s="284">
        <f t="shared" ref="I325:I385" si="55">IFERROR((F325-G325)/E325,0)</f>
        <v>0</v>
      </c>
      <c r="J325" s="284">
        <f t="shared" si="44"/>
        <v>0</v>
      </c>
      <c r="K325" s="283">
        <v>0.36</v>
      </c>
      <c r="L325" s="285">
        <f t="shared" ref="L325:L385" si="56">IFERROR(G325/E325/B325,0)</f>
        <v>0</v>
      </c>
      <c r="M325" s="285">
        <f t="shared" ref="M325:M385" si="57">K325-L325-N325</f>
        <v>0.36</v>
      </c>
      <c r="N325" s="285">
        <f t="shared" ref="N325:N385" si="58">IFERROR(J325/E325/B325,0)</f>
        <v>0</v>
      </c>
      <c r="O325" s="416">
        <f t="shared" ref="O325:O385" si="59">ROUND(K325*E325,2)</f>
        <v>0</v>
      </c>
      <c r="P325" s="417">
        <f t="shared" ref="P325:P385" si="60">+B325*K325</f>
        <v>8163</v>
      </c>
      <c r="Q325" s="441"/>
    </row>
    <row r="326" spans="1:17" s="417" customFormat="1">
      <c r="A326" s="167">
        <v>323</v>
      </c>
      <c r="B326" s="409">
        <v>22675</v>
      </c>
      <c r="C326" s="20" t="str">
        <f>VLOOKUP(A326,'JUNE (물량흐름)'!$A$13:$C$502,2,0)</f>
        <v>J JILL</v>
      </c>
      <c r="D326" s="282" t="str">
        <f>VLOOKUP(A326,'JUNE (물량흐름)'!$A$13:$C$502,3,0)</f>
        <v>KTP124011</v>
      </c>
      <c r="E326" s="6">
        <f>VLOOKUP(D326,'JUNE (물량흐름)'!$C$13:$W$502,21,0)</f>
        <v>0</v>
      </c>
      <c r="F326" s="6">
        <f t="shared" si="53"/>
        <v>0</v>
      </c>
      <c r="G326" s="6">
        <f>ROUND(SUMIF('In-out-bal products (155)(완성제품)'!$B$12:$B$493,'Sales profit (스타일 별 매출이익)'!D326,'In-out-bal products (155)(완성제품)'!$X$12:$X$493) + SUMIF('In-out-bal products (155)(완성제품)'!$B$12:$B$493,'Sales profit (스타일 별 매출이익)'!D326,'In-out-bal products (155)(완성제품)'!$AA$12:$AA$493),0)</f>
        <v>0</v>
      </c>
      <c r="H326" s="283">
        <f t="shared" si="54"/>
        <v>0</v>
      </c>
      <c r="I326" s="284">
        <f t="shared" si="55"/>
        <v>0</v>
      </c>
      <c r="J326" s="284">
        <f t="shared" si="44"/>
        <v>0</v>
      </c>
      <c r="K326" s="283">
        <v>0.36</v>
      </c>
      <c r="L326" s="285">
        <f t="shared" si="56"/>
        <v>0</v>
      </c>
      <c r="M326" s="285">
        <f t="shared" si="57"/>
        <v>0.36</v>
      </c>
      <c r="N326" s="285">
        <f t="shared" si="58"/>
        <v>0</v>
      </c>
      <c r="O326" s="416">
        <f t="shared" si="59"/>
        <v>0</v>
      </c>
      <c r="P326" s="417">
        <f t="shared" si="60"/>
        <v>8163</v>
      </c>
      <c r="Q326" s="441"/>
    </row>
    <row r="327" spans="1:17" s="417" customFormat="1">
      <c r="A327" s="167">
        <v>324</v>
      </c>
      <c r="B327" s="409">
        <v>22675</v>
      </c>
      <c r="C327" s="20" t="str">
        <f>VLOOKUP(A327,'JUNE (물량흐름)'!$A$13:$C$502,2,0)</f>
        <v>J JILL</v>
      </c>
      <c r="D327" s="282" t="str">
        <f>VLOOKUP(A327,'JUNE (물량흐름)'!$A$13:$C$502,3,0)</f>
        <v>KTP124021</v>
      </c>
      <c r="E327" s="6">
        <f>VLOOKUP(D327,'JUNE (물량흐름)'!$C$13:$W$502,21,0)</f>
        <v>0</v>
      </c>
      <c r="F327" s="6">
        <f t="shared" si="53"/>
        <v>0</v>
      </c>
      <c r="G327" s="6">
        <f>ROUND(SUMIF('In-out-bal products (155)(완성제품)'!$B$12:$B$493,'Sales profit (스타일 별 매출이익)'!D327,'In-out-bal products (155)(완성제품)'!$X$12:$X$493) + SUMIF('In-out-bal products (155)(완성제품)'!$B$12:$B$493,'Sales profit (스타일 별 매출이익)'!D327,'In-out-bal products (155)(완성제품)'!$AA$12:$AA$493),0)</f>
        <v>0</v>
      </c>
      <c r="H327" s="283">
        <f t="shared" si="54"/>
        <v>0</v>
      </c>
      <c r="I327" s="284">
        <f t="shared" si="55"/>
        <v>0</v>
      </c>
      <c r="J327" s="284">
        <f t="shared" si="44"/>
        <v>0</v>
      </c>
      <c r="K327" s="283">
        <v>0.36</v>
      </c>
      <c r="L327" s="285">
        <f t="shared" si="56"/>
        <v>0</v>
      </c>
      <c r="M327" s="285">
        <f t="shared" si="57"/>
        <v>0.36</v>
      </c>
      <c r="N327" s="285">
        <f t="shared" si="58"/>
        <v>0</v>
      </c>
      <c r="O327" s="416">
        <f t="shared" si="59"/>
        <v>0</v>
      </c>
      <c r="P327" s="417">
        <f t="shared" si="60"/>
        <v>8163</v>
      </c>
      <c r="Q327" s="441"/>
    </row>
    <row r="328" spans="1:17" s="417" customFormat="1">
      <c r="A328" s="167">
        <v>325</v>
      </c>
      <c r="B328" s="409">
        <v>22675</v>
      </c>
      <c r="C328" s="20" t="str">
        <f>VLOOKUP(A328,'JUNE (물량흐름)'!$A$13:$C$502,2,0)</f>
        <v>INC</v>
      </c>
      <c r="D328" s="282">
        <f>VLOOKUP(A328,'JUNE (물량흐름)'!$A$13:$C$502,3,0)</f>
        <v>100023338</v>
      </c>
      <c r="E328" s="6">
        <f>VLOOKUP(D328,'JUNE (물량흐름)'!$C$13:$W$502,21,0)</f>
        <v>0</v>
      </c>
      <c r="F328" s="6">
        <f t="shared" si="53"/>
        <v>0</v>
      </c>
      <c r="G328" s="6">
        <f>ROUND(SUMIF('In-out-bal products (155)(완성제품)'!$B$12:$B$493,'Sales profit (스타일 별 매출이익)'!D328,'In-out-bal products (155)(완성제품)'!$X$12:$X$493) + SUMIF('In-out-bal products (155)(완성제품)'!$B$12:$B$493,'Sales profit (스타일 별 매출이익)'!D328,'In-out-bal products (155)(완성제품)'!$AA$12:$AA$493),0)</f>
        <v>0</v>
      </c>
      <c r="H328" s="283">
        <f t="shared" si="54"/>
        <v>0</v>
      </c>
      <c r="I328" s="284">
        <f t="shared" si="55"/>
        <v>0</v>
      </c>
      <c r="J328" s="284">
        <f t="shared" ref="J328:J391" si="61">IFERROR(F328*$J$492/$F$492,0)</f>
        <v>0</v>
      </c>
      <c r="K328" s="283">
        <v>1.26</v>
      </c>
      <c r="L328" s="285">
        <f t="shared" si="56"/>
        <v>0</v>
      </c>
      <c r="M328" s="285">
        <f t="shared" si="57"/>
        <v>1.26</v>
      </c>
      <c r="N328" s="285">
        <f t="shared" si="58"/>
        <v>0</v>
      </c>
      <c r="O328" s="416">
        <f t="shared" si="59"/>
        <v>0</v>
      </c>
      <c r="P328" s="417">
        <f t="shared" si="60"/>
        <v>28570.5</v>
      </c>
      <c r="Q328" s="441"/>
    </row>
    <row r="329" spans="1:17" s="417" customFormat="1">
      <c r="A329" s="167">
        <v>327</v>
      </c>
      <c r="B329" s="409">
        <v>22675</v>
      </c>
      <c r="C329" s="20" t="str">
        <f>VLOOKUP(A329,'JUNE (물량흐름)'!$A$13:$C$502,2,0)</f>
        <v>CHARTER CLUB</v>
      </c>
      <c r="D329" s="282">
        <f>VLOOKUP(A329,'JUNE (물량흐름)'!$A$13:$C$502,3,0)</f>
        <v>100025351</v>
      </c>
      <c r="E329" s="6">
        <f>VLOOKUP(D329,'JUNE (물량흐름)'!$C$13:$W$502,21,0)</f>
        <v>0</v>
      </c>
      <c r="F329" s="6">
        <f t="shared" si="53"/>
        <v>0</v>
      </c>
      <c r="G329" s="6">
        <f>ROUND(SUMIF('In-out-bal products (155)(완성제품)'!$B$12:$B$493,'Sales profit (스타일 별 매출이익)'!D329,'In-out-bal products (155)(완성제품)'!$X$12:$X$493) + SUMIF('In-out-bal products (155)(완성제품)'!$B$12:$B$493,'Sales profit (스타일 별 매출이익)'!D329,'In-out-bal products (155)(완성제품)'!$AA$12:$AA$493),0)</f>
        <v>0</v>
      </c>
      <c r="H329" s="283">
        <f t="shared" si="54"/>
        <v>0</v>
      </c>
      <c r="I329" s="284">
        <f t="shared" si="55"/>
        <v>0</v>
      </c>
      <c r="J329" s="284">
        <f t="shared" si="61"/>
        <v>0</v>
      </c>
      <c r="K329" s="283">
        <v>0.35</v>
      </c>
      <c r="L329" s="285">
        <f t="shared" si="56"/>
        <v>0</v>
      </c>
      <c r="M329" s="285">
        <f t="shared" si="57"/>
        <v>0.35</v>
      </c>
      <c r="N329" s="285">
        <f t="shared" si="58"/>
        <v>0</v>
      </c>
      <c r="O329" s="416">
        <f t="shared" si="59"/>
        <v>0</v>
      </c>
      <c r="P329" s="417">
        <f t="shared" si="60"/>
        <v>7936.2499999999991</v>
      </c>
      <c r="Q329" s="441"/>
    </row>
    <row r="330" spans="1:17" s="417" customFormat="1">
      <c r="A330" s="167">
        <v>328</v>
      </c>
      <c r="B330" s="409">
        <v>22675</v>
      </c>
      <c r="C330" s="20" t="str">
        <f>VLOOKUP(A330,'JUNE (물량흐름)'!$A$13:$C$502,2,0)</f>
        <v>TALBOTS</v>
      </c>
      <c r="D330" s="282">
        <f>VLOOKUP(A330,'JUNE (물량흐름)'!$A$13:$C$502,3,0)</f>
        <v>182034821</v>
      </c>
      <c r="E330" s="6">
        <f>VLOOKUP(D330,'JUNE (물량흐름)'!$C$13:$W$502,21,0)</f>
        <v>0</v>
      </c>
      <c r="F330" s="6">
        <f t="shared" si="53"/>
        <v>0</v>
      </c>
      <c r="G330" s="6">
        <f>ROUND(SUMIF('In-out-bal products (155)(완성제품)'!$B$12:$B$493,'Sales profit (스타일 별 매출이익)'!D330,'In-out-bal products (155)(완성제품)'!$X$12:$X$493) + SUMIF('In-out-bal products (155)(완성제품)'!$B$12:$B$493,'Sales profit (스타일 별 매출이익)'!D330,'In-out-bal products (155)(완성제품)'!$AA$12:$AA$493),0)</f>
        <v>0</v>
      </c>
      <c r="H330" s="283">
        <f t="shared" si="54"/>
        <v>0</v>
      </c>
      <c r="I330" s="284">
        <f t="shared" si="55"/>
        <v>0</v>
      </c>
      <c r="J330" s="284">
        <f t="shared" si="61"/>
        <v>0</v>
      </c>
      <c r="K330" s="283">
        <v>0.35</v>
      </c>
      <c r="L330" s="285">
        <f t="shared" si="56"/>
        <v>0</v>
      </c>
      <c r="M330" s="285">
        <f t="shared" si="57"/>
        <v>0.35</v>
      </c>
      <c r="N330" s="285">
        <f t="shared" si="58"/>
        <v>0</v>
      </c>
      <c r="O330" s="416">
        <f t="shared" si="59"/>
        <v>0</v>
      </c>
      <c r="P330" s="417">
        <f t="shared" si="60"/>
        <v>7936.2499999999991</v>
      </c>
      <c r="Q330" s="441"/>
    </row>
    <row r="331" spans="1:17" s="417" customFormat="1">
      <c r="A331" s="167">
        <v>329</v>
      </c>
      <c r="B331" s="409">
        <v>22675</v>
      </c>
      <c r="C331" s="20" t="str">
        <f>VLOOKUP(A331,'JUNE (물량흐름)'!$A$13:$C$502,2,0)</f>
        <v>TALBOTS</v>
      </c>
      <c r="D331" s="282">
        <f>VLOOKUP(A331,'JUNE (물량흐름)'!$A$13:$C$502,3,0)</f>
        <v>182034836</v>
      </c>
      <c r="E331" s="6">
        <f>VLOOKUP(D331,'JUNE (물량흐름)'!$C$13:$W$502,21,0)</f>
        <v>0</v>
      </c>
      <c r="F331" s="6">
        <f t="shared" si="53"/>
        <v>0</v>
      </c>
      <c r="G331" s="6">
        <f>ROUND(SUMIF('In-out-bal products (155)(완성제품)'!$B$12:$B$493,'Sales profit (스타일 별 매출이익)'!D331,'In-out-bal products (155)(완성제품)'!$X$12:$X$493) + SUMIF('In-out-bal products (155)(완성제품)'!$B$12:$B$493,'Sales profit (스타일 별 매출이익)'!D331,'In-out-bal products (155)(완성제품)'!$AA$12:$AA$493),0)</f>
        <v>0</v>
      </c>
      <c r="H331" s="283">
        <f t="shared" si="54"/>
        <v>0</v>
      </c>
      <c r="I331" s="284">
        <f t="shared" si="55"/>
        <v>0</v>
      </c>
      <c r="J331" s="284">
        <f t="shared" si="61"/>
        <v>0</v>
      </c>
      <c r="K331" s="283">
        <v>0.36</v>
      </c>
      <c r="L331" s="285">
        <f t="shared" si="56"/>
        <v>0</v>
      </c>
      <c r="M331" s="285">
        <f t="shared" si="57"/>
        <v>0.36</v>
      </c>
      <c r="N331" s="285">
        <f t="shared" si="58"/>
        <v>0</v>
      </c>
      <c r="O331" s="416">
        <f t="shared" si="59"/>
        <v>0</v>
      </c>
      <c r="P331" s="417">
        <f t="shared" si="60"/>
        <v>8163</v>
      </c>
      <c r="Q331" s="441"/>
    </row>
    <row r="332" spans="1:17" s="417" customFormat="1">
      <c r="A332" s="167">
        <v>330</v>
      </c>
      <c r="B332" s="409">
        <v>22675</v>
      </c>
      <c r="C332" s="20" t="str">
        <f>VLOOKUP(A332,'JUNE (물량흐름)'!$A$13:$C$502,2,0)</f>
        <v>TALBOTS</v>
      </c>
      <c r="D332" s="282">
        <f>VLOOKUP(A332,'JUNE (물량흐름)'!$A$13:$C$502,3,0)</f>
        <v>182034837</v>
      </c>
      <c r="E332" s="6">
        <f>VLOOKUP(D332,'JUNE (물량흐름)'!$C$13:$W$502,21,0)</f>
        <v>0</v>
      </c>
      <c r="F332" s="6">
        <f t="shared" si="53"/>
        <v>0</v>
      </c>
      <c r="G332" s="6">
        <f>ROUND(SUMIF('In-out-bal products (155)(완성제품)'!$B$12:$B$493,'Sales profit (스타일 별 매출이익)'!D332,'In-out-bal products (155)(완성제품)'!$X$12:$X$493) + SUMIF('In-out-bal products (155)(완성제품)'!$B$12:$B$493,'Sales profit (스타일 별 매출이익)'!D332,'In-out-bal products (155)(완성제품)'!$AA$12:$AA$493),0)</f>
        <v>0</v>
      </c>
      <c r="H332" s="283">
        <f t="shared" si="54"/>
        <v>0</v>
      </c>
      <c r="I332" s="284">
        <f t="shared" si="55"/>
        <v>0</v>
      </c>
      <c r="J332" s="284">
        <f t="shared" si="61"/>
        <v>0</v>
      </c>
      <c r="K332" s="283">
        <v>2.46</v>
      </c>
      <c r="L332" s="285">
        <f t="shared" si="56"/>
        <v>0</v>
      </c>
      <c r="M332" s="285">
        <f t="shared" si="57"/>
        <v>2.46</v>
      </c>
      <c r="N332" s="285">
        <f t="shared" si="58"/>
        <v>0</v>
      </c>
      <c r="O332" s="416">
        <f t="shared" si="59"/>
        <v>0</v>
      </c>
      <c r="P332" s="417">
        <f t="shared" si="60"/>
        <v>55780.5</v>
      </c>
      <c r="Q332" s="441"/>
    </row>
    <row r="333" spans="1:17" s="417" customFormat="1">
      <c r="A333" s="167">
        <v>331</v>
      </c>
      <c r="B333" s="409">
        <v>22675</v>
      </c>
      <c r="C333" s="20" t="str">
        <f>VLOOKUP(A333,'JUNE (물량흐름)'!$A$13:$C$502,2,0)</f>
        <v>J JILL</v>
      </c>
      <c r="D333" s="282" t="str">
        <f>VLOOKUP(A333,'JUNE (물량흐름)'!$A$13:$C$502,3,0)</f>
        <v>KPT122931</v>
      </c>
      <c r="E333" s="6">
        <f>VLOOKUP(D333,'JUNE (물량흐름)'!$C$13:$W$502,21,0)</f>
        <v>2568</v>
      </c>
      <c r="F333" s="6">
        <f t="shared" si="53"/>
        <v>155472498</v>
      </c>
      <c r="G333" s="6">
        <f>ROUND(SUMIF('In-out-bal products (155)(완성제품)'!$B$12:$B$493,'Sales profit (스타일 별 매출이익)'!D333,'In-out-bal products (155)(완성제품)'!$X$12:$X$493) + SUMIF('In-out-bal products (155)(완성제품)'!$B$12:$B$493,'Sales profit (스타일 별 매출이익)'!D333,'In-out-bal products (155)(완성제품)'!$AA$12:$AA$493),0)</f>
        <v>93829038</v>
      </c>
      <c r="H333" s="283">
        <f t="shared" si="54"/>
        <v>1.0586312069160939</v>
      </c>
      <c r="I333" s="284">
        <f t="shared" si="55"/>
        <v>24004.462616822431</v>
      </c>
      <c r="J333" s="284">
        <f t="shared" si="61"/>
        <v>13271421.675676785</v>
      </c>
      <c r="K333" s="283">
        <v>2.67</v>
      </c>
      <c r="L333" s="285">
        <f t="shared" si="56"/>
        <v>1.6113687930839062</v>
      </c>
      <c r="M333" s="285">
        <f t="shared" si="57"/>
        <v>0.83071503955601811</v>
      </c>
      <c r="N333" s="285">
        <f t="shared" si="58"/>
        <v>0.22791616736007558</v>
      </c>
      <c r="O333" s="416">
        <f t="shared" si="59"/>
        <v>6856.56</v>
      </c>
      <c r="P333" s="417">
        <f t="shared" si="60"/>
        <v>60542.25</v>
      </c>
      <c r="Q333" s="441"/>
    </row>
    <row r="334" spans="1:17" s="417" customFormat="1">
      <c r="A334" s="167">
        <v>332</v>
      </c>
      <c r="B334" s="409">
        <v>22675</v>
      </c>
      <c r="C334" s="20" t="str">
        <f>VLOOKUP(A334,'JUNE (물량흐름)'!$A$13:$C$502,2,0)</f>
        <v>ANN TAYLOR</v>
      </c>
      <c r="D334" s="282">
        <f>VLOOKUP(A334,'JUNE (물량흐름)'!$A$13:$C$502,3,0)</f>
        <v>465318</v>
      </c>
      <c r="E334" s="6">
        <f>VLOOKUP(D334,'JUNE (물량흐름)'!$C$13:$W$502,21,0)</f>
        <v>0</v>
      </c>
      <c r="F334" s="6">
        <f t="shared" si="53"/>
        <v>0</v>
      </c>
      <c r="G334" s="6">
        <f>ROUND(SUMIF('In-out-bal products (155)(완성제품)'!$B$12:$B$493,'Sales profit (스타일 별 매출이익)'!D334,'In-out-bal products (155)(완성제품)'!$X$12:$X$493) + SUMIF('In-out-bal products (155)(완성제품)'!$B$12:$B$493,'Sales profit (스타일 별 매출이익)'!D334,'In-out-bal products (155)(완성제품)'!$AA$12:$AA$493),0)</f>
        <v>0</v>
      </c>
      <c r="H334" s="283">
        <f t="shared" si="54"/>
        <v>0</v>
      </c>
      <c r="I334" s="284">
        <f t="shared" si="55"/>
        <v>0</v>
      </c>
      <c r="J334" s="284">
        <f t="shared" si="61"/>
        <v>0</v>
      </c>
      <c r="K334" s="283">
        <v>0.36</v>
      </c>
      <c r="L334" s="285">
        <f t="shared" si="56"/>
        <v>0</v>
      </c>
      <c r="M334" s="285">
        <f t="shared" si="57"/>
        <v>0.36</v>
      </c>
      <c r="N334" s="285">
        <f t="shared" si="58"/>
        <v>0</v>
      </c>
      <c r="O334" s="416">
        <f t="shared" si="59"/>
        <v>0</v>
      </c>
      <c r="P334" s="417">
        <f t="shared" si="60"/>
        <v>8163</v>
      </c>
      <c r="Q334" s="441"/>
    </row>
    <row r="335" spans="1:17" s="417" customFormat="1">
      <c r="A335" s="167">
        <v>333</v>
      </c>
      <c r="B335" s="409">
        <v>22675</v>
      </c>
      <c r="C335" s="20" t="str">
        <f>VLOOKUP(A335,'JUNE (물량흐름)'!$A$13:$C$502,2,0)</f>
        <v>ANN TAYLOR</v>
      </c>
      <c r="D335" s="282">
        <f>VLOOKUP(A335,'JUNE (물량흐름)'!$A$13:$C$502,3,0)</f>
        <v>465985</v>
      </c>
      <c r="E335" s="6">
        <f>VLOOKUP(D335,'JUNE (물량흐름)'!$C$13:$W$502,21,0)</f>
        <v>0</v>
      </c>
      <c r="F335" s="6">
        <f t="shared" si="53"/>
        <v>0</v>
      </c>
      <c r="G335" s="6">
        <f>ROUND(SUMIF('In-out-bal products (155)(완성제품)'!$B$12:$B$493,'Sales profit (스타일 별 매출이익)'!D335,'In-out-bal products (155)(완성제품)'!$X$12:$X$493) + SUMIF('In-out-bal products (155)(완성제품)'!$B$12:$B$493,'Sales profit (스타일 별 매출이익)'!D335,'In-out-bal products (155)(완성제품)'!$AA$12:$AA$493),0)</f>
        <v>0</v>
      </c>
      <c r="H335" s="283">
        <f t="shared" si="54"/>
        <v>0</v>
      </c>
      <c r="I335" s="284">
        <f t="shared" si="55"/>
        <v>0</v>
      </c>
      <c r="J335" s="284">
        <f t="shared" si="61"/>
        <v>0</v>
      </c>
      <c r="K335" s="283">
        <v>0.35</v>
      </c>
      <c r="L335" s="285">
        <f t="shared" si="56"/>
        <v>0</v>
      </c>
      <c r="M335" s="285">
        <f t="shared" si="57"/>
        <v>0.35</v>
      </c>
      <c r="N335" s="285">
        <f t="shared" si="58"/>
        <v>0</v>
      </c>
      <c r="O335" s="416">
        <f t="shared" si="59"/>
        <v>0</v>
      </c>
      <c r="P335" s="417">
        <f t="shared" si="60"/>
        <v>7936.2499999999991</v>
      </c>
      <c r="Q335" s="441"/>
    </row>
    <row r="336" spans="1:17" s="417" customFormat="1">
      <c r="A336" s="167">
        <v>334</v>
      </c>
      <c r="B336" s="409">
        <v>22675</v>
      </c>
      <c r="C336" s="20" t="str">
        <f>VLOOKUP(A336,'JUNE (물량흐름)'!$A$13:$C$502,2,0)</f>
        <v>ANN TAYLOR</v>
      </c>
      <c r="D336" s="282">
        <f>VLOOKUP(A336,'JUNE (물량흐름)'!$A$13:$C$502,3,0)</f>
        <v>466092</v>
      </c>
      <c r="E336" s="6">
        <f>VLOOKUP(D336,'JUNE (물량흐름)'!$C$13:$W$502,21,0)</f>
        <v>0</v>
      </c>
      <c r="F336" s="6">
        <f t="shared" si="53"/>
        <v>0</v>
      </c>
      <c r="G336" s="6">
        <f>ROUND(SUMIF('In-out-bal products (155)(완성제품)'!$B$12:$B$493,'Sales profit (스타일 별 매출이익)'!D336,'In-out-bal products (155)(완성제품)'!$X$12:$X$493) + SUMIF('In-out-bal products (155)(완성제품)'!$B$12:$B$493,'Sales profit (스타일 별 매출이익)'!D336,'In-out-bal products (155)(완성제품)'!$AA$12:$AA$493),0)</f>
        <v>0</v>
      </c>
      <c r="H336" s="283">
        <f t="shared" si="54"/>
        <v>0</v>
      </c>
      <c r="I336" s="284">
        <f t="shared" si="55"/>
        <v>0</v>
      </c>
      <c r="J336" s="284">
        <f t="shared" si="61"/>
        <v>0</v>
      </c>
      <c r="K336" s="283">
        <v>1.85</v>
      </c>
      <c r="L336" s="285">
        <f t="shared" si="56"/>
        <v>0</v>
      </c>
      <c r="M336" s="285">
        <f t="shared" si="57"/>
        <v>1.85</v>
      </c>
      <c r="N336" s="285">
        <f t="shared" si="58"/>
        <v>0</v>
      </c>
      <c r="O336" s="416">
        <f t="shared" si="59"/>
        <v>0</v>
      </c>
      <c r="P336" s="417">
        <f t="shared" si="60"/>
        <v>41948.75</v>
      </c>
      <c r="Q336" s="441"/>
    </row>
    <row r="337" spans="1:17" s="417" customFormat="1">
      <c r="A337" s="167">
        <v>335</v>
      </c>
      <c r="B337" s="409">
        <v>22675</v>
      </c>
      <c r="C337" s="20" t="str">
        <f>VLOOKUP(A337,'JUNE (물량흐름)'!$A$13:$C$502,2,0)</f>
        <v>ANN TAYLOR</v>
      </c>
      <c r="D337" s="282">
        <f>VLOOKUP(A337,'JUNE (물량흐름)'!$A$13:$C$502,3,0)</f>
        <v>470322</v>
      </c>
      <c r="E337" s="6">
        <f>VLOOKUP(D337,'JUNE (물량흐름)'!$C$13:$W$502,21,0)</f>
        <v>0</v>
      </c>
      <c r="F337" s="6">
        <f t="shared" si="53"/>
        <v>0</v>
      </c>
      <c r="G337" s="6">
        <f>ROUND(SUMIF('In-out-bal products (155)(완성제품)'!$B$12:$B$493,'Sales profit (스타일 별 매출이익)'!D337,'In-out-bal products (155)(완성제품)'!$X$12:$X$493) + SUMIF('In-out-bal products (155)(완성제품)'!$B$12:$B$493,'Sales profit (스타일 별 매출이익)'!D337,'In-out-bal products (155)(완성제품)'!$AA$12:$AA$493),0)</f>
        <v>0</v>
      </c>
      <c r="H337" s="283">
        <f t="shared" si="54"/>
        <v>0</v>
      </c>
      <c r="I337" s="284">
        <f t="shared" si="55"/>
        <v>0</v>
      </c>
      <c r="J337" s="284">
        <f t="shared" si="61"/>
        <v>0</v>
      </c>
      <c r="K337" s="283">
        <v>1.85</v>
      </c>
      <c r="L337" s="285">
        <f t="shared" si="56"/>
        <v>0</v>
      </c>
      <c r="M337" s="285">
        <f t="shared" si="57"/>
        <v>1.85</v>
      </c>
      <c r="N337" s="285">
        <f t="shared" si="58"/>
        <v>0</v>
      </c>
      <c r="O337" s="416">
        <f t="shared" si="59"/>
        <v>0</v>
      </c>
      <c r="P337" s="417">
        <f t="shared" si="60"/>
        <v>41948.75</v>
      </c>
      <c r="Q337" s="441"/>
    </row>
    <row r="338" spans="1:17" s="417" customFormat="1">
      <c r="A338" s="167">
        <v>336</v>
      </c>
      <c r="B338" s="409">
        <v>22675</v>
      </c>
      <c r="C338" s="20" t="str">
        <f>VLOOKUP(A338,'JUNE (물량흐름)'!$A$13:$C$502,2,0)</f>
        <v>ANN TAYLOR</v>
      </c>
      <c r="D338" s="282">
        <f>VLOOKUP(A338,'JUNE (물량흐름)'!$A$13:$C$502,3,0)</f>
        <v>471823</v>
      </c>
      <c r="E338" s="6">
        <f>VLOOKUP(D338,'JUNE (물량흐름)'!$C$13:$W$502,21,0)</f>
        <v>0</v>
      </c>
      <c r="F338" s="6">
        <f t="shared" si="53"/>
        <v>0</v>
      </c>
      <c r="G338" s="6">
        <f>ROUND(SUMIF('In-out-bal products (155)(완성제품)'!$B$12:$B$493,'Sales profit (스타일 별 매출이익)'!D338,'In-out-bal products (155)(완성제품)'!$X$12:$X$493) + SUMIF('In-out-bal products (155)(완성제품)'!$B$12:$B$493,'Sales profit (스타일 별 매출이익)'!D338,'In-out-bal products (155)(완성제품)'!$AA$12:$AA$493),0)</f>
        <v>0</v>
      </c>
      <c r="H338" s="283">
        <f t="shared" si="54"/>
        <v>0</v>
      </c>
      <c r="I338" s="284">
        <f t="shared" si="55"/>
        <v>0</v>
      </c>
      <c r="J338" s="284">
        <f t="shared" si="61"/>
        <v>0</v>
      </c>
      <c r="K338" s="283">
        <v>0.35</v>
      </c>
      <c r="L338" s="285">
        <f t="shared" si="56"/>
        <v>0</v>
      </c>
      <c r="M338" s="285">
        <f t="shared" si="57"/>
        <v>0.35</v>
      </c>
      <c r="N338" s="285">
        <f t="shared" si="58"/>
        <v>0</v>
      </c>
      <c r="O338" s="416">
        <f t="shared" si="59"/>
        <v>0</v>
      </c>
      <c r="P338" s="417">
        <f t="shared" si="60"/>
        <v>7936.2499999999991</v>
      </c>
      <c r="Q338" s="441"/>
    </row>
    <row r="339" spans="1:17" s="417" customFormat="1">
      <c r="A339" s="167">
        <v>337</v>
      </c>
      <c r="B339" s="409">
        <v>22675</v>
      </c>
      <c r="C339" s="20" t="str">
        <f>VLOOKUP(A339,'JUNE (물량흐름)'!$A$13:$C$502,2,0)</f>
        <v>ANN TAYLOR</v>
      </c>
      <c r="D339" s="282">
        <f>VLOOKUP(A339,'JUNE (물량흐름)'!$A$13:$C$502,3,0)</f>
        <v>471825</v>
      </c>
      <c r="E339" s="6">
        <f>VLOOKUP(D339,'JUNE (물량흐름)'!$C$13:$W$502,21,0)</f>
        <v>0</v>
      </c>
      <c r="F339" s="6">
        <f t="shared" si="53"/>
        <v>0</v>
      </c>
      <c r="G339" s="6">
        <f>ROUND(SUMIF('In-out-bal products (155)(완성제품)'!$B$12:$B$493,'Sales profit (스타일 별 매출이익)'!D339,'In-out-bal products (155)(완성제품)'!$X$12:$X$493) + SUMIF('In-out-bal products (155)(완성제품)'!$B$12:$B$493,'Sales profit (스타일 별 매출이익)'!D339,'In-out-bal products (155)(완성제품)'!$AA$12:$AA$493),0)</f>
        <v>0</v>
      </c>
      <c r="H339" s="283">
        <f t="shared" si="54"/>
        <v>0</v>
      </c>
      <c r="I339" s="284">
        <f t="shared" si="55"/>
        <v>0</v>
      </c>
      <c r="J339" s="284">
        <f t="shared" si="61"/>
        <v>0</v>
      </c>
      <c r="K339" s="283">
        <v>0.35</v>
      </c>
      <c r="L339" s="285">
        <f t="shared" si="56"/>
        <v>0</v>
      </c>
      <c r="M339" s="285">
        <f t="shared" si="57"/>
        <v>0.35</v>
      </c>
      <c r="N339" s="285">
        <f t="shared" si="58"/>
        <v>0</v>
      </c>
      <c r="O339" s="416">
        <f t="shared" si="59"/>
        <v>0</v>
      </c>
      <c r="P339" s="417">
        <f t="shared" si="60"/>
        <v>7936.2499999999991</v>
      </c>
      <c r="Q339" s="441"/>
    </row>
    <row r="340" spans="1:17" s="417" customFormat="1">
      <c r="A340" s="167">
        <v>338</v>
      </c>
      <c r="B340" s="409">
        <v>22675</v>
      </c>
      <c r="C340" s="20" t="str">
        <f>VLOOKUP(A340,'JUNE (물량흐름)'!$A$13:$C$502,2,0)</f>
        <v>ANN TAYLOR</v>
      </c>
      <c r="D340" s="282">
        <f>VLOOKUP(A340,'JUNE (물량흐름)'!$A$13:$C$502,3,0)</f>
        <v>472140</v>
      </c>
      <c r="E340" s="6">
        <f>VLOOKUP(D340,'JUNE (물량흐름)'!$C$13:$W$502,21,0)</f>
        <v>0</v>
      </c>
      <c r="F340" s="6">
        <f t="shared" si="53"/>
        <v>0</v>
      </c>
      <c r="G340" s="6">
        <f>ROUND(SUMIF('In-out-bal products (155)(완성제품)'!$B$12:$B$493,'Sales profit (스타일 별 매출이익)'!D340,'In-out-bal products (155)(완성제품)'!$X$12:$X$493) + SUMIF('In-out-bal products (155)(완성제품)'!$B$12:$B$493,'Sales profit (스타일 별 매출이익)'!D340,'In-out-bal products (155)(완성제품)'!$AA$12:$AA$493),0)</f>
        <v>0</v>
      </c>
      <c r="H340" s="283">
        <f t="shared" si="54"/>
        <v>0</v>
      </c>
      <c r="I340" s="284">
        <f t="shared" si="55"/>
        <v>0</v>
      </c>
      <c r="J340" s="284">
        <f t="shared" si="61"/>
        <v>0</v>
      </c>
      <c r="K340" s="283">
        <v>0.35</v>
      </c>
      <c r="L340" s="285">
        <f t="shared" si="56"/>
        <v>0</v>
      </c>
      <c r="M340" s="285">
        <f t="shared" si="57"/>
        <v>0.35</v>
      </c>
      <c r="N340" s="285">
        <f t="shared" si="58"/>
        <v>0</v>
      </c>
      <c r="O340" s="416">
        <f t="shared" si="59"/>
        <v>0</v>
      </c>
      <c r="P340" s="417">
        <f t="shared" si="60"/>
        <v>7936.2499999999991</v>
      </c>
      <c r="Q340" s="441"/>
    </row>
    <row r="341" spans="1:17" s="417" customFormat="1">
      <c r="A341" s="167">
        <v>339</v>
      </c>
      <c r="B341" s="409">
        <v>22675</v>
      </c>
      <c r="C341" s="20" t="str">
        <f>VLOOKUP(A341,'JUNE (물량흐름)'!$A$13:$C$502,2,0)</f>
        <v>ANN TAYLOR</v>
      </c>
      <c r="D341" s="282">
        <f>VLOOKUP(A341,'JUNE (물량흐름)'!$A$13:$C$502,3,0)</f>
        <v>472629</v>
      </c>
      <c r="E341" s="6">
        <f>VLOOKUP(D341,'JUNE (물량흐름)'!$C$13:$W$502,21,0)</f>
        <v>0</v>
      </c>
      <c r="F341" s="6">
        <f t="shared" si="53"/>
        <v>0</v>
      </c>
      <c r="G341" s="6">
        <f>ROUND(SUMIF('In-out-bal products (155)(완성제품)'!$B$12:$B$493,'Sales profit (스타일 별 매출이익)'!D341,'In-out-bal products (155)(완성제품)'!$X$12:$X$493) + SUMIF('In-out-bal products (155)(완성제품)'!$B$12:$B$493,'Sales profit (스타일 별 매출이익)'!D341,'In-out-bal products (155)(완성제품)'!$AA$12:$AA$493),0)</f>
        <v>0</v>
      </c>
      <c r="H341" s="283">
        <f t="shared" si="54"/>
        <v>0</v>
      </c>
      <c r="I341" s="284">
        <f t="shared" si="55"/>
        <v>0</v>
      </c>
      <c r="J341" s="284">
        <f t="shared" si="61"/>
        <v>0</v>
      </c>
      <c r="K341" s="283">
        <v>0.35</v>
      </c>
      <c r="L341" s="285">
        <f t="shared" si="56"/>
        <v>0</v>
      </c>
      <c r="M341" s="285">
        <f t="shared" si="57"/>
        <v>0.35</v>
      </c>
      <c r="N341" s="285">
        <f t="shared" si="58"/>
        <v>0</v>
      </c>
      <c r="O341" s="416">
        <f t="shared" si="59"/>
        <v>0</v>
      </c>
      <c r="P341" s="417">
        <f t="shared" si="60"/>
        <v>7936.2499999999991</v>
      </c>
      <c r="Q341" s="441"/>
    </row>
    <row r="342" spans="1:17" s="417" customFormat="1">
      <c r="A342" s="167">
        <v>340</v>
      </c>
      <c r="B342" s="409">
        <v>22675</v>
      </c>
      <c r="C342" s="20" t="str">
        <f>VLOOKUP(A342,'JUNE (물량흐름)'!$A$13:$C$502,2,0)</f>
        <v>ALFANI</v>
      </c>
      <c r="D342" s="282">
        <f>VLOOKUP(A342,'JUNE (물량흐름)'!$A$13:$C$502,3,0)</f>
        <v>100015200</v>
      </c>
      <c r="E342" s="6">
        <f>VLOOKUP(D342,'JUNE (물량흐름)'!$C$13:$W$502,21,0)</f>
        <v>0</v>
      </c>
      <c r="F342" s="6">
        <f t="shared" si="53"/>
        <v>0</v>
      </c>
      <c r="G342" s="6">
        <f>ROUND(SUMIF('In-out-bal products (155)(완성제품)'!$B$12:$B$493,'Sales profit (스타일 별 매출이익)'!D342,'In-out-bal products (155)(완성제품)'!$X$12:$X$493) + SUMIF('In-out-bal products (155)(완성제품)'!$B$12:$B$493,'Sales profit (스타일 별 매출이익)'!D342,'In-out-bal products (155)(완성제품)'!$AA$12:$AA$493),0)</f>
        <v>0</v>
      </c>
      <c r="H342" s="283">
        <f t="shared" si="54"/>
        <v>0</v>
      </c>
      <c r="I342" s="284">
        <f t="shared" si="55"/>
        <v>0</v>
      </c>
      <c r="J342" s="284">
        <f t="shared" si="61"/>
        <v>0</v>
      </c>
      <c r="K342" s="283">
        <v>0.35</v>
      </c>
      <c r="L342" s="285">
        <f t="shared" si="56"/>
        <v>0</v>
      </c>
      <c r="M342" s="285">
        <f t="shared" si="57"/>
        <v>0.35</v>
      </c>
      <c r="N342" s="285">
        <f t="shared" si="58"/>
        <v>0</v>
      </c>
      <c r="O342" s="416">
        <f t="shared" si="59"/>
        <v>0</v>
      </c>
      <c r="P342" s="417">
        <f t="shared" si="60"/>
        <v>7936.2499999999991</v>
      </c>
      <c r="Q342" s="441"/>
    </row>
    <row r="343" spans="1:17" s="417" customFormat="1">
      <c r="A343" s="167">
        <v>341</v>
      </c>
      <c r="B343" s="409">
        <v>22675</v>
      </c>
      <c r="C343" s="20" t="str">
        <f>VLOOKUP(A343,'JUNE (물량흐름)'!$A$13:$C$502,2,0)</f>
        <v>ALFANI</v>
      </c>
      <c r="D343" s="282">
        <f>VLOOKUP(A343,'JUNE (물량흐름)'!$A$13:$C$502,3,0)</f>
        <v>100015306</v>
      </c>
      <c r="E343" s="6">
        <f>VLOOKUP(D343,'JUNE (물량흐름)'!$C$13:$W$502,21,0)</f>
        <v>0</v>
      </c>
      <c r="F343" s="6">
        <f t="shared" si="53"/>
        <v>0</v>
      </c>
      <c r="G343" s="6">
        <f>ROUND(SUMIF('In-out-bal products (155)(완성제품)'!$B$12:$B$493,'Sales profit (스타일 별 매출이익)'!D343,'In-out-bal products (155)(완성제품)'!$X$12:$X$493) + SUMIF('In-out-bal products (155)(완성제품)'!$B$12:$B$493,'Sales profit (스타일 별 매출이익)'!D343,'In-out-bal products (155)(완성제품)'!$AA$12:$AA$493),0)</f>
        <v>0</v>
      </c>
      <c r="H343" s="283">
        <f t="shared" si="54"/>
        <v>0</v>
      </c>
      <c r="I343" s="284">
        <f t="shared" si="55"/>
        <v>0</v>
      </c>
      <c r="J343" s="284">
        <f t="shared" si="61"/>
        <v>0</v>
      </c>
      <c r="K343" s="283">
        <v>2.35</v>
      </c>
      <c r="L343" s="285">
        <f t="shared" si="56"/>
        <v>0</v>
      </c>
      <c r="M343" s="285">
        <f t="shared" si="57"/>
        <v>2.35</v>
      </c>
      <c r="N343" s="285">
        <f t="shared" si="58"/>
        <v>0</v>
      </c>
      <c r="O343" s="416">
        <f t="shared" si="59"/>
        <v>0</v>
      </c>
      <c r="P343" s="417">
        <f t="shared" si="60"/>
        <v>53286.25</v>
      </c>
      <c r="Q343" s="441"/>
    </row>
    <row r="344" spans="1:17" s="417" customFormat="1">
      <c r="A344" s="167">
        <v>342</v>
      </c>
      <c r="B344" s="409">
        <v>22675</v>
      </c>
      <c r="C344" s="20" t="str">
        <f>VLOOKUP(A344,'JUNE (물량흐름)'!$A$13:$C$502,2,0)</f>
        <v>ALFANI</v>
      </c>
      <c r="D344" s="282">
        <f>VLOOKUP(A344,'JUNE (물량흐름)'!$A$13:$C$502,3,0)</f>
        <v>100016101</v>
      </c>
      <c r="E344" s="6">
        <f>VLOOKUP(D344,'JUNE (물량흐름)'!$C$13:$W$502,21,0)</f>
        <v>1352</v>
      </c>
      <c r="F344" s="6">
        <f t="shared" si="53"/>
        <v>63152596</v>
      </c>
      <c r="G344" s="6">
        <f>ROUND(SUMIF('In-out-bal products (155)(완성제품)'!$B$12:$B$493,'Sales profit (스타일 별 매출이익)'!D344,'In-out-bal products (155)(완성제품)'!$X$12:$X$493) + SUMIF('In-out-bal products (155)(완성제품)'!$B$12:$B$493,'Sales profit (스타일 별 매출이익)'!D344,'In-out-bal products (155)(완성제품)'!$AA$12:$AA$493),0)</f>
        <v>37099635</v>
      </c>
      <c r="H344" s="283">
        <f t="shared" si="54"/>
        <v>0.84983204269227497</v>
      </c>
      <c r="I344" s="284">
        <f t="shared" si="55"/>
        <v>19269.941568047336</v>
      </c>
      <c r="J344" s="284">
        <f t="shared" si="61"/>
        <v>5390823.0858274307</v>
      </c>
      <c r="K344" s="283">
        <v>2.06</v>
      </c>
      <c r="L344" s="285">
        <f t="shared" si="56"/>
        <v>1.2101679573077251</v>
      </c>
      <c r="M344" s="285">
        <f t="shared" si="57"/>
        <v>0.67398661019723538</v>
      </c>
      <c r="N344" s="285">
        <f t="shared" si="58"/>
        <v>0.17584543249503959</v>
      </c>
      <c r="O344" s="416">
        <f t="shared" si="59"/>
        <v>2785.12</v>
      </c>
      <c r="P344" s="417">
        <f t="shared" si="60"/>
        <v>46710.5</v>
      </c>
      <c r="Q344" s="441"/>
    </row>
    <row r="345" spans="1:17" s="417" customFormat="1">
      <c r="A345" s="167">
        <v>343</v>
      </c>
      <c r="B345" s="409">
        <v>22675</v>
      </c>
      <c r="C345" s="20" t="str">
        <f>VLOOKUP(A345,'JUNE (물량흐름)'!$A$13:$C$502,2,0)</f>
        <v>ALFANI</v>
      </c>
      <c r="D345" s="282">
        <f>VLOOKUP(A345,'JUNE (물량흐름)'!$A$13:$C$502,3,0)</f>
        <v>100017974</v>
      </c>
      <c r="E345" s="6">
        <f>VLOOKUP(D345,'JUNE (물량흐름)'!$C$13:$W$502,21,0)</f>
        <v>0</v>
      </c>
      <c r="F345" s="6">
        <f t="shared" si="53"/>
        <v>0</v>
      </c>
      <c r="G345" s="6">
        <f>ROUND(SUMIF('In-out-bal products (155)(완성제품)'!$B$12:$B$493,'Sales profit (스타일 별 매출이익)'!D345,'In-out-bal products (155)(완성제품)'!$X$12:$X$493) + SUMIF('In-out-bal products (155)(완성제품)'!$B$12:$B$493,'Sales profit (스타일 별 매출이익)'!D345,'In-out-bal products (155)(완성제품)'!$AA$12:$AA$493),0)</f>
        <v>0</v>
      </c>
      <c r="H345" s="283">
        <f t="shared" si="54"/>
        <v>0</v>
      </c>
      <c r="I345" s="284">
        <f t="shared" si="55"/>
        <v>0</v>
      </c>
      <c r="J345" s="284">
        <f t="shared" si="61"/>
        <v>0</v>
      </c>
      <c r="K345" s="283">
        <v>2.0099999999999998</v>
      </c>
      <c r="L345" s="285">
        <f t="shared" si="56"/>
        <v>0</v>
      </c>
      <c r="M345" s="285">
        <f t="shared" si="57"/>
        <v>2.0099999999999998</v>
      </c>
      <c r="N345" s="285">
        <f t="shared" si="58"/>
        <v>0</v>
      </c>
      <c r="O345" s="416">
        <f t="shared" si="59"/>
        <v>0</v>
      </c>
      <c r="P345" s="417">
        <f t="shared" si="60"/>
        <v>45576.749999999993</v>
      </c>
      <c r="Q345" s="441"/>
    </row>
    <row r="346" spans="1:17" s="417" customFormat="1">
      <c r="A346" s="167">
        <v>344</v>
      </c>
      <c r="B346" s="409">
        <v>22675</v>
      </c>
      <c r="C346" s="20" t="str">
        <f>VLOOKUP(A346,'JUNE (물량흐름)'!$A$13:$C$502,2,0)</f>
        <v>ALFANI</v>
      </c>
      <c r="D346" s="282">
        <f>VLOOKUP(A346,'JUNE (물량흐름)'!$A$13:$C$502,3,0)</f>
        <v>100018139</v>
      </c>
      <c r="E346" s="6">
        <f>VLOOKUP(D346,'JUNE (물량흐름)'!$C$13:$W$502,21,0)</f>
        <v>7871</v>
      </c>
      <c r="F346" s="6">
        <f t="shared" si="53"/>
        <v>344456605</v>
      </c>
      <c r="G346" s="6">
        <f>ROUND(SUMIF('In-out-bal products (155)(완성제품)'!$B$12:$B$493,'Sales profit (스타일 별 매출이익)'!D346,'In-out-bal products (155)(완성제품)'!$X$12:$X$493) + SUMIF('In-out-bal products (155)(완성제품)'!$B$12:$B$493,'Sales profit (스타일 별 매출이익)'!D346,'In-out-bal products (155)(완성제품)'!$AA$12:$AA$493),0)</f>
        <v>295381985</v>
      </c>
      <c r="H346" s="283">
        <f t="shared" si="54"/>
        <v>0.27496646937938202</v>
      </c>
      <c r="I346" s="284">
        <f t="shared" si="55"/>
        <v>6234.8646931774874</v>
      </c>
      <c r="J346" s="284">
        <f t="shared" si="61"/>
        <v>29403456.641746607</v>
      </c>
      <c r="K346" s="283">
        <v>1.93</v>
      </c>
      <c r="L346" s="285">
        <f t="shared" si="56"/>
        <v>1.655033529219861</v>
      </c>
      <c r="M346" s="285">
        <f t="shared" si="57"/>
        <v>0.11021808026115365</v>
      </c>
      <c r="N346" s="285">
        <f t="shared" si="58"/>
        <v>0.16474839051898527</v>
      </c>
      <c r="O346" s="416">
        <f t="shared" si="59"/>
        <v>15191.03</v>
      </c>
      <c r="P346" s="417">
        <f t="shared" si="60"/>
        <v>43762.75</v>
      </c>
      <c r="Q346" s="441"/>
    </row>
    <row r="347" spans="1:17" s="417" customFormat="1">
      <c r="A347" s="167">
        <v>345</v>
      </c>
      <c r="B347" s="409">
        <v>22675</v>
      </c>
      <c r="C347" s="20" t="str">
        <f>VLOOKUP(A347,'JUNE (물량흐름)'!$A$13:$C$502,2,0)</f>
        <v>ALFANI</v>
      </c>
      <c r="D347" s="282">
        <f>VLOOKUP(A347,'JUNE (물량흐름)'!$A$13:$C$502,3,0)</f>
        <v>100018175</v>
      </c>
      <c r="E347" s="6">
        <f>VLOOKUP(D347,'JUNE (물량흐름)'!$C$13:$W$502,21,0)</f>
        <v>0</v>
      </c>
      <c r="F347" s="6">
        <f t="shared" si="53"/>
        <v>0</v>
      </c>
      <c r="G347" s="6">
        <f>ROUND(SUMIF('In-out-bal products (155)(완성제품)'!$B$12:$B$493,'Sales profit (스타일 별 매출이익)'!D347,'In-out-bal products (155)(완성제품)'!$X$12:$X$493) + SUMIF('In-out-bal products (155)(완성제품)'!$B$12:$B$493,'Sales profit (스타일 별 매출이익)'!D347,'In-out-bal products (155)(완성제품)'!$AA$12:$AA$493),0)</f>
        <v>0</v>
      </c>
      <c r="H347" s="283">
        <f t="shared" si="54"/>
        <v>0</v>
      </c>
      <c r="I347" s="284">
        <f t="shared" si="55"/>
        <v>0</v>
      </c>
      <c r="J347" s="284">
        <f t="shared" si="61"/>
        <v>0</v>
      </c>
      <c r="K347" s="283">
        <v>0.36</v>
      </c>
      <c r="L347" s="285">
        <f t="shared" si="56"/>
        <v>0</v>
      </c>
      <c r="M347" s="285">
        <f t="shared" si="57"/>
        <v>0.36</v>
      </c>
      <c r="N347" s="285">
        <f t="shared" si="58"/>
        <v>0</v>
      </c>
      <c r="O347" s="416">
        <f t="shared" si="59"/>
        <v>0</v>
      </c>
      <c r="P347" s="417">
        <f t="shared" si="60"/>
        <v>8163</v>
      </c>
      <c r="Q347" s="441"/>
    </row>
    <row r="348" spans="1:17" s="417" customFormat="1">
      <c r="A348" s="167">
        <v>346</v>
      </c>
      <c r="B348" s="409">
        <v>22675</v>
      </c>
      <c r="C348" s="20" t="str">
        <f>VLOOKUP(A348,'JUNE (물량흐름)'!$A$13:$C$502,2,0)</f>
        <v>ALFANI</v>
      </c>
      <c r="D348" s="282">
        <f>VLOOKUP(A348,'JUNE (물량흐름)'!$A$13:$C$502,3,0)</f>
        <v>100018176</v>
      </c>
      <c r="E348" s="6">
        <f>VLOOKUP(D348,'JUNE (물량흐름)'!$C$13:$W$502,21,0)</f>
        <v>0</v>
      </c>
      <c r="F348" s="6">
        <f t="shared" si="53"/>
        <v>0</v>
      </c>
      <c r="G348" s="6">
        <f>ROUND(SUMIF('In-out-bal products (155)(완성제품)'!$B$12:$B$493,'Sales profit (스타일 별 매출이익)'!D348,'In-out-bal products (155)(완성제품)'!$X$12:$X$493) + SUMIF('In-out-bal products (155)(완성제품)'!$B$12:$B$493,'Sales profit (스타일 별 매출이익)'!D348,'In-out-bal products (155)(완성제품)'!$AA$12:$AA$493),0)</f>
        <v>0</v>
      </c>
      <c r="H348" s="283">
        <f t="shared" si="54"/>
        <v>0</v>
      </c>
      <c r="I348" s="284">
        <f t="shared" si="55"/>
        <v>0</v>
      </c>
      <c r="J348" s="284">
        <f t="shared" si="61"/>
        <v>0</v>
      </c>
      <c r="K348" s="283">
        <v>1.26</v>
      </c>
      <c r="L348" s="285">
        <f t="shared" si="56"/>
        <v>0</v>
      </c>
      <c r="M348" s="285">
        <f t="shared" si="57"/>
        <v>1.26</v>
      </c>
      <c r="N348" s="285">
        <f t="shared" si="58"/>
        <v>0</v>
      </c>
      <c r="O348" s="416">
        <f t="shared" si="59"/>
        <v>0</v>
      </c>
      <c r="P348" s="417">
        <f t="shared" si="60"/>
        <v>28570.5</v>
      </c>
      <c r="Q348" s="441"/>
    </row>
    <row r="349" spans="1:17" s="417" customFormat="1">
      <c r="A349" s="167">
        <v>347</v>
      </c>
      <c r="B349" s="409">
        <v>22675</v>
      </c>
      <c r="C349" s="20" t="str">
        <f>VLOOKUP(A349,'JUNE (물량흐름)'!$A$13:$C$502,2,0)</f>
        <v>ALFANI</v>
      </c>
      <c r="D349" s="282">
        <f>VLOOKUP(A349,'JUNE (물량흐름)'!$A$13:$C$502,3,0)</f>
        <v>100018178</v>
      </c>
      <c r="E349" s="6">
        <f>VLOOKUP(D349,'JUNE (물량흐름)'!$C$13:$W$502,21,0)</f>
        <v>0</v>
      </c>
      <c r="F349" s="6">
        <f t="shared" si="53"/>
        <v>0</v>
      </c>
      <c r="G349" s="6">
        <f>ROUND(SUMIF('In-out-bal products (155)(완성제품)'!$B$12:$B$493,'Sales profit (스타일 별 매출이익)'!D349,'In-out-bal products (155)(완성제품)'!$X$12:$X$493) + SUMIF('In-out-bal products (155)(완성제품)'!$B$12:$B$493,'Sales profit (스타일 별 매출이익)'!D349,'In-out-bal products (155)(완성제품)'!$AA$12:$AA$493),0)</f>
        <v>0</v>
      </c>
      <c r="H349" s="283">
        <f t="shared" si="54"/>
        <v>0</v>
      </c>
      <c r="I349" s="284">
        <f t="shared" si="55"/>
        <v>0</v>
      </c>
      <c r="J349" s="284">
        <f t="shared" si="61"/>
        <v>0</v>
      </c>
      <c r="K349" s="283">
        <v>0.9</v>
      </c>
      <c r="L349" s="285">
        <f t="shared" si="56"/>
        <v>0</v>
      </c>
      <c r="M349" s="285">
        <f t="shared" si="57"/>
        <v>0.9</v>
      </c>
      <c r="N349" s="285">
        <f t="shared" si="58"/>
        <v>0</v>
      </c>
      <c r="O349" s="416">
        <f t="shared" si="59"/>
        <v>0</v>
      </c>
      <c r="P349" s="417">
        <f t="shared" si="60"/>
        <v>20407.5</v>
      </c>
      <c r="Q349" s="441"/>
    </row>
    <row r="350" spans="1:17" s="417" customFormat="1">
      <c r="A350" s="167">
        <v>348</v>
      </c>
      <c r="B350" s="409">
        <v>22675</v>
      </c>
      <c r="C350" s="20" t="str">
        <f>VLOOKUP(A350,'JUNE (물량흐름)'!$A$13:$C$502,2,0)</f>
        <v>ALFANI</v>
      </c>
      <c r="D350" s="282">
        <f>VLOOKUP(A350,'JUNE (물량흐름)'!$A$13:$C$502,3,0)</f>
        <v>100018179</v>
      </c>
      <c r="E350" s="6">
        <f>VLOOKUP(D350,'JUNE (물량흐름)'!$C$13:$W$502,21,0)</f>
        <v>0</v>
      </c>
      <c r="F350" s="6">
        <f t="shared" si="53"/>
        <v>0</v>
      </c>
      <c r="G350" s="6">
        <f>ROUND(SUMIF('In-out-bal products (155)(완성제품)'!$B$12:$B$493,'Sales profit (스타일 별 매출이익)'!D350,'In-out-bal products (155)(완성제품)'!$X$12:$X$493) + SUMIF('In-out-bal products (155)(완성제품)'!$B$12:$B$493,'Sales profit (스타일 별 매출이익)'!D350,'In-out-bal products (155)(완성제품)'!$AA$12:$AA$493),0)</f>
        <v>0</v>
      </c>
      <c r="H350" s="283">
        <f t="shared" si="54"/>
        <v>0</v>
      </c>
      <c r="I350" s="284">
        <f t="shared" si="55"/>
        <v>0</v>
      </c>
      <c r="J350" s="284">
        <f t="shared" si="61"/>
        <v>0</v>
      </c>
      <c r="K350" s="283">
        <v>1.9</v>
      </c>
      <c r="L350" s="285">
        <f t="shared" si="56"/>
        <v>0</v>
      </c>
      <c r="M350" s="285">
        <f t="shared" si="57"/>
        <v>1.9</v>
      </c>
      <c r="N350" s="285">
        <f t="shared" si="58"/>
        <v>0</v>
      </c>
      <c r="O350" s="416">
        <f t="shared" si="59"/>
        <v>0</v>
      </c>
      <c r="P350" s="417">
        <f t="shared" si="60"/>
        <v>43082.5</v>
      </c>
      <c r="Q350" s="441"/>
    </row>
    <row r="351" spans="1:17" s="417" customFormat="1">
      <c r="A351" s="167">
        <v>349</v>
      </c>
      <c r="B351" s="409">
        <v>22675</v>
      </c>
      <c r="C351" s="20" t="str">
        <f>VLOOKUP(A351,'JUNE (물량흐름)'!$A$13:$C$502,2,0)</f>
        <v>ALFANI</v>
      </c>
      <c r="D351" s="282">
        <f>VLOOKUP(A351,'JUNE (물량흐름)'!$A$13:$C$502,3,0)</f>
        <v>100018235</v>
      </c>
      <c r="E351" s="6">
        <f>VLOOKUP(D351,'JUNE (물량흐름)'!$C$13:$W$502,21,0)</f>
        <v>0</v>
      </c>
      <c r="F351" s="6">
        <f t="shared" si="53"/>
        <v>0</v>
      </c>
      <c r="G351" s="6">
        <f>ROUND(SUMIF('In-out-bal products (155)(완성제품)'!$B$12:$B$493,'Sales profit (스타일 별 매출이익)'!D351,'In-out-bal products (155)(완성제품)'!$X$12:$X$493) + SUMIF('In-out-bal products (155)(완성제품)'!$B$12:$B$493,'Sales profit (스타일 별 매출이익)'!D351,'In-out-bal products (155)(완성제품)'!$AA$12:$AA$493),0)</f>
        <v>0</v>
      </c>
      <c r="H351" s="283">
        <f t="shared" si="54"/>
        <v>0</v>
      </c>
      <c r="I351" s="284">
        <f t="shared" si="55"/>
        <v>0</v>
      </c>
      <c r="J351" s="284">
        <f t="shared" si="61"/>
        <v>0</v>
      </c>
      <c r="K351" s="283">
        <v>0.36</v>
      </c>
      <c r="L351" s="285">
        <f t="shared" si="56"/>
        <v>0</v>
      </c>
      <c r="M351" s="285">
        <f t="shared" si="57"/>
        <v>0.36</v>
      </c>
      <c r="N351" s="285">
        <f t="shared" si="58"/>
        <v>0</v>
      </c>
      <c r="O351" s="416">
        <f t="shared" si="59"/>
        <v>0</v>
      </c>
      <c r="P351" s="417">
        <f t="shared" si="60"/>
        <v>8163</v>
      </c>
      <c r="Q351" s="441"/>
    </row>
    <row r="352" spans="1:17" s="417" customFormat="1">
      <c r="A352" s="167">
        <v>350</v>
      </c>
      <c r="B352" s="409">
        <v>22675</v>
      </c>
      <c r="C352" s="20" t="str">
        <f>VLOOKUP(A352,'JUNE (물량흐름)'!$A$13:$C$502,2,0)</f>
        <v>ALFANI</v>
      </c>
      <c r="D352" s="282">
        <f>VLOOKUP(A352,'JUNE (물량흐름)'!$A$13:$C$502,3,0)</f>
        <v>100018237</v>
      </c>
      <c r="E352" s="6">
        <f>VLOOKUP(D352,'JUNE (물량흐름)'!$C$13:$W$502,21,0)</f>
        <v>0</v>
      </c>
      <c r="F352" s="6">
        <f t="shared" si="53"/>
        <v>0</v>
      </c>
      <c r="G352" s="6">
        <f>ROUND(SUMIF('In-out-bal products (155)(완성제품)'!$B$12:$B$493,'Sales profit (스타일 별 매출이익)'!D352,'In-out-bal products (155)(완성제품)'!$X$12:$X$493) + SUMIF('In-out-bal products (155)(완성제품)'!$B$12:$B$493,'Sales profit (스타일 별 매출이익)'!D352,'In-out-bal products (155)(완성제품)'!$AA$12:$AA$493),0)</f>
        <v>0</v>
      </c>
      <c r="H352" s="283">
        <f t="shared" si="54"/>
        <v>0</v>
      </c>
      <c r="I352" s="284">
        <f t="shared" si="55"/>
        <v>0</v>
      </c>
      <c r="J352" s="284">
        <f t="shared" si="61"/>
        <v>0</v>
      </c>
      <c r="K352" s="283">
        <v>3.46</v>
      </c>
      <c r="L352" s="285">
        <f t="shared" si="56"/>
        <v>0</v>
      </c>
      <c r="M352" s="285">
        <f t="shared" si="57"/>
        <v>3.46</v>
      </c>
      <c r="N352" s="285">
        <f t="shared" si="58"/>
        <v>0</v>
      </c>
      <c r="O352" s="416">
        <f t="shared" si="59"/>
        <v>0</v>
      </c>
      <c r="P352" s="417">
        <f t="shared" si="60"/>
        <v>78455.5</v>
      </c>
      <c r="Q352" s="441"/>
    </row>
    <row r="353" spans="1:17" s="417" customFormat="1">
      <c r="A353" s="167">
        <v>351</v>
      </c>
      <c r="B353" s="409">
        <v>22675</v>
      </c>
      <c r="C353" s="20" t="str">
        <f>VLOOKUP(A353,'JUNE (물량흐름)'!$A$13:$C$502,2,0)</f>
        <v>ALFANI</v>
      </c>
      <c r="D353" s="282">
        <f>VLOOKUP(A353,'JUNE (물량흐름)'!$A$13:$C$502,3,0)</f>
        <v>100018239</v>
      </c>
      <c r="E353" s="6">
        <f>VLOOKUP(D353,'JUNE (물량흐름)'!$C$13:$W$502,21,0)</f>
        <v>0</v>
      </c>
      <c r="F353" s="6">
        <f t="shared" si="53"/>
        <v>0</v>
      </c>
      <c r="G353" s="6">
        <f>ROUND(SUMIF('In-out-bal products (155)(완성제품)'!$B$12:$B$493,'Sales profit (스타일 별 매출이익)'!D353,'In-out-bal products (155)(완성제품)'!$X$12:$X$493) + SUMIF('In-out-bal products (155)(완성제품)'!$B$12:$B$493,'Sales profit (스타일 별 매출이익)'!D353,'In-out-bal products (155)(완성제품)'!$AA$12:$AA$493),0)</f>
        <v>0</v>
      </c>
      <c r="H353" s="283">
        <f t="shared" si="54"/>
        <v>0</v>
      </c>
      <c r="I353" s="284">
        <f t="shared" si="55"/>
        <v>0</v>
      </c>
      <c r="J353" s="284">
        <f t="shared" si="61"/>
        <v>0</v>
      </c>
      <c r="K353" s="283">
        <v>0.36</v>
      </c>
      <c r="L353" s="285">
        <f t="shared" si="56"/>
        <v>0</v>
      </c>
      <c r="M353" s="285">
        <f t="shared" si="57"/>
        <v>0.36</v>
      </c>
      <c r="N353" s="285">
        <f t="shared" si="58"/>
        <v>0</v>
      </c>
      <c r="O353" s="416">
        <f t="shared" si="59"/>
        <v>0</v>
      </c>
      <c r="P353" s="417">
        <f t="shared" si="60"/>
        <v>8163</v>
      </c>
      <c r="Q353" s="441"/>
    </row>
    <row r="354" spans="1:17" s="417" customFormat="1">
      <c r="A354" s="167">
        <v>352</v>
      </c>
      <c r="B354" s="409">
        <v>22675</v>
      </c>
      <c r="C354" s="20" t="str">
        <f>VLOOKUP(A354,'JUNE (물량흐름)'!$A$13:$C$502,2,0)</f>
        <v>ALFANI</v>
      </c>
      <c r="D354" s="282">
        <f>VLOOKUP(A354,'JUNE (물량흐름)'!$A$13:$C$502,3,0)</f>
        <v>100018240</v>
      </c>
      <c r="E354" s="6">
        <f>VLOOKUP(D354,'JUNE (물량흐름)'!$C$13:$W$502,21,0)</f>
        <v>0</v>
      </c>
      <c r="F354" s="6">
        <f t="shared" si="53"/>
        <v>0</v>
      </c>
      <c r="G354" s="6">
        <f>ROUND(SUMIF('In-out-bal products (155)(완성제품)'!$B$12:$B$493,'Sales profit (스타일 별 매출이익)'!D354,'In-out-bal products (155)(완성제품)'!$X$12:$X$493) + SUMIF('In-out-bal products (155)(완성제품)'!$B$12:$B$493,'Sales profit (스타일 별 매출이익)'!D354,'In-out-bal products (155)(완성제품)'!$AA$12:$AA$493),0)</f>
        <v>0</v>
      </c>
      <c r="H354" s="283">
        <f t="shared" si="54"/>
        <v>0</v>
      </c>
      <c r="I354" s="284">
        <f t="shared" si="55"/>
        <v>0</v>
      </c>
      <c r="J354" s="284">
        <f t="shared" si="61"/>
        <v>0</v>
      </c>
      <c r="K354" s="283">
        <v>4.16</v>
      </c>
      <c r="L354" s="285">
        <f t="shared" si="56"/>
        <v>0</v>
      </c>
      <c r="M354" s="285">
        <f t="shared" si="57"/>
        <v>4.16</v>
      </c>
      <c r="N354" s="285">
        <f t="shared" si="58"/>
        <v>0</v>
      </c>
      <c r="O354" s="416">
        <f t="shared" si="59"/>
        <v>0</v>
      </c>
      <c r="P354" s="417">
        <f t="shared" si="60"/>
        <v>94328</v>
      </c>
      <c r="Q354" s="441"/>
    </row>
    <row r="355" spans="1:17" s="417" customFormat="1">
      <c r="A355" s="167">
        <v>353</v>
      </c>
      <c r="B355" s="409">
        <v>22675</v>
      </c>
      <c r="C355" s="20" t="str">
        <f>VLOOKUP(A355,'JUNE (물량흐름)'!$A$13:$C$502,2,0)</f>
        <v>ALFANI</v>
      </c>
      <c r="D355" s="282">
        <f>VLOOKUP(A355,'JUNE (물량흐름)'!$A$13:$C$502,3,0)</f>
        <v>100018242</v>
      </c>
      <c r="E355" s="6">
        <f>VLOOKUP(D355,'JUNE (물량흐름)'!$C$13:$W$502,21,0)</f>
        <v>0</v>
      </c>
      <c r="F355" s="6">
        <f t="shared" si="53"/>
        <v>0</v>
      </c>
      <c r="G355" s="6">
        <f>ROUND(SUMIF('In-out-bal products (155)(완성제품)'!$B$12:$B$493,'Sales profit (스타일 별 매출이익)'!D355,'In-out-bal products (155)(완성제품)'!$X$12:$X$493) + SUMIF('In-out-bal products (155)(완성제품)'!$B$12:$B$493,'Sales profit (스타일 별 매출이익)'!D355,'In-out-bal products (155)(완성제품)'!$AA$12:$AA$493),0)</f>
        <v>0</v>
      </c>
      <c r="H355" s="283">
        <f t="shared" si="54"/>
        <v>0</v>
      </c>
      <c r="I355" s="284">
        <f t="shared" si="55"/>
        <v>0</v>
      </c>
      <c r="J355" s="284">
        <f t="shared" si="61"/>
        <v>0</v>
      </c>
      <c r="K355" s="283">
        <v>2.67</v>
      </c>
      <c r="L355" s="285">
        <f t="shared" si="56"/>
        <v>0</v>
      </c>
      <c r="M355" s="285">
        <f t="shared" si="57"/>
        <v>2.67</v>
      </c>
      <c r="N355" s="285">
        <f t="shared" si="58"/>
        <v>0</v>
      </c>
      <c r="O355" s="416">
        <f t="shared" si="59"/>
        <v>0</v>
      </c>
      <c r="P355" s="417">
        <f t="shared" si="60"/>
        <v>60542.25</v>
      </c>
      <c r="Q355" s="441"/>
    </row>
    <row r="356" spans="1:17" s="417" customFormat="1">
      <c r="A356" s="167">
        <v>354</v>
      </c>
      <c r="B356" s="409">
        <v>22675</v>
      </c>
      <c r="C356" s="20" t="str">
        <f>VLOOKUP(A356,'JUNE (물량흐름)'!$A$13:$C$502,2,0)</f>
        <v>ALFANI</v>
      </c>
      <c r="D356" s="282">
        <f>VLOOKUP(A356,'JUNE (물량흐름)'!$A$13:$C$502,3,0)</f>
        <v>100019044</v>
      </c>
      <c r="E356" s="6">
        <f>VLOOKUP(D356,'JUNE (물량흐름)'!$C$13:$W$502,21,0)</f>
        <v>0</v>
      </c>
      <c r="F356" s="6">
        <f t="shared" si="53"/>
        <v>0</v>
      </c>
      <c r="G356" s="6">
        <f>ROUND(SUMIF('In-out-bal products (155)(완성제품)'!$B$12:$B$493,'Sales profit (스타일 별 매출이익)'!D356,'In-out-bal products (155)(완성제품)'!$X$12:$X$493) + SUMIF('In-out-bal products (155)(완성제품)'!$B$12:$B$493,'Sales profit (스타일 별 매출이익)'!D356,'In-out-bal products (155)(완성제품)'!$AA$12:$AA$493),0)</f>
        <v>0</v>
      </c>
      <c r="H356" s="283">
        <f t="shared" si="54"/>
        <v>0</v>
      </c>
      <c r="I356" s="284">
        <f t="shared" si="55"/>
        <v>0</v>
      </c>
      <c r="J356" s="284">
        <f t="shared" si="61"/>
        <v>0</v>
      </c>
      <c r="K356" s="283">
        <v>1.65</v>
      </c>
      <c r="L356" s="285">
        <f t="shared" si="56"/>
        <v>0</v>
      </c>
      <c r="M356" s="285">
        <f t="shared" si="57"/>
        <v>1.65</v>
      </c>
      <c r="N356" s="285">
        <f t="shared" si="58"/>
        <v>0</v>
      </c>
      <c r="O356" s="416">
        <f t="shared" si="59"/>
        <v>0</v>
      </c>
      <c r="P356" s="417">
        <f t="shared" si="60"/>
        <v>37413.75</v>
      </c>
      <c r="Q356" s="441"/>
    </row>
    <row r="357" spans="1:17" s="417" customFormat="1">
      <c r="A357" s="167">
        <v>355</v>
      </c>
      <c r="B357" s="409">
        <v>22675</v>
      </c>
      <c r="C357" s="20" t="str">
        <f>VLOOKUP(A357,'JUNE (물량흐름)'!$A$13:$C$502,2,0)</f>
        <v>ALFANI</v>
      </c>
      <c r="D357" s="282">
        <f>VLOOKUP(A357,'JUNE (물량흐름)'!$A$13:$C$502,3,0)</f>
        <v>100023527</v>
      </c>
      <c r="E357" s="6">
        <f>VLOOKUP(D357,'JUNE (물량흐름)'!$C$13:$W$502,21,0)</f>
        <v>0</v>
      </c>
      <c r="F357" s="6">
        <f t="shared" si="53"/>
        <v>0</v>
      </c>
      <c r="G357" s="6">
        <f>ROUND(SUMIF('In-out-bal products (155)(완성제품)'!$B$12:$B$493,'Sales profit (스타일 별 매출이익)'!D357,'In-out-bal products (155)(완성제품)'!$X$12:$X$493) + SUMIF('In-out-bal products (155)(완성제품)'!$B$12:$B$493,'Sales profit (스타일 별 매출이익)'!D357,'In-out-bal products (155)(완성제품)'!$AA$12:$AA$493),0)</f>
        <v>0</v>
      </c>
      <c r="H357" s="283">
        <f t="shared" si="54"/>
        <v>0</v>
      </c>
      <c r="I357" s="284">
        <f t="shared" si="55"/>
        <v>0</v>
      </c>
      <c r="J357" s="284">
        <f t="shared" si="61"/>
        <v>0</v>
      </c>
      <c r="K357" s="283">
        <v>1.53</v>
      </c>
      <c r="L357" s="285">
        <f t="shared" si="56"/>
        <v>0</v>
      </c>
      <c r="M357" s="285">
        <f t="shared" si="57"/>
        <v>1.53</v>
      </c>
      <c r="N357" s="285">
        <f t="shared" si="58"/>
        <v>0</v>
      </c>
      <c r="O357" s="416">
        <f t="shared" si="59"/>
        <v>0</v>
      </c>
      <c r="P357" s="417">
        <f t="shared" si="60"/>
        <v>34692.75</v>
      </c>
      <c r="Q357" s="441"/>
    </row>
    <row r="358" spans="1:17" s="417" customFormat="1">
      <c r="A358" s="167">
        <v>356</v>
      </c>
      <c r="B358" s="409">
        <v>22675</v>
      </c>
      <c r="C358" s="20" t="str">
        <f>VLOOKUP(A358,'JUNE (물량흐름)'!$A$13:$C$502,2,0)</f>
        <v>ALFANI</v>
      </c>
      <c r="D358" s="282">
        <f>VLOOKUP(A358,'JUNE (물량흐름)'!$A$13:$C$502,3,0)</f>
        <v>100024705</v>
      </c>
      <c r="E358" s="6">
        <f>VLOOKUP(D358,'JUNE (물량흐름)'!$C$13:$W$502,21,0)</f>
        <v>0</v>
      </c>
      <c r="F358" s="6">
        <f t="shared" si="53"/>
        <v>0</v>
      </c>
      <c r="G358" s="6">
        <f>ROUND(SUMIF('In-out-bal products (155)(완성제품)'!$B$12:$B$493,'Sales profit (스타일 별 매출이익)'!D358,'In-out-bal products (155)(완성제품)'!$X$12:$X$493) + SUMIF('In-out-bal products (155)(완성제품)'!$B$12:$B$493,'Sales profit (스타일 별 매출이익)'!D358,'In-out-bal products (155)(완성제품)'!$AA$12:$AA$493),0)</f>
        <v>0</v>
      </c>
      <c r="H358" s="283">
        <f t="shared" si="54"/>
        <v>0</v>
      </c>
      <c r="I358" s="284">
        <f t="shared" si="55"/>
        <v>0</v>
      </c>
      <c r="J358" s="284">
        <f t="shared" si="61"/>
        <v>0</v>
      </c>
      <c r="K358" s="283">
        <v>3.24</v>
      </c>
      <c r="L358" s="285">
        <f t="shared" si="56"/>
        <v>0</v>
      </c>
      <c r="M358" s="285">
        <f t="shared" si="57"/>
        <v>3.24</v>
      </c>
      <c r="N358" s="285">
        <f t="shared" si="58"/>
        <v>0</v>
      </c>
      <c r="O358" s="416">
        <f t="shared" si="59"/>
        <v>0</v>
      </c>
      <c r="P358" s="417">
        <f t="shared" si="60"/>
        <v>73467</v>
      </c>
      <c r="Q358" s="441"/>
    </row>
    <row r="359" spans="1:17" s="417" customFormat="1">
      <c r="A359" s="167">
        <v>357</v>
      </c>
      <c r="B359" s="409">
        <v>22675</v>
      </c>
      <c r="C359" s="20" t="str">
        <f>VLOOKUP(A359,'JUNE (물량흐름)'!$A$13:$C$502,2,0)</f>
        <v>ALFANI</v>
      </c>
      <c r="D359" s="282">
        <f>VLOOKUP(A359,'JUNE (물량흐름)'!$A$13:$C$502,3,0)</f>
        <v>100027400</v>
      </c>
      <c r="E359" s="6">
        <f>VLOOKUP(D359,'JUNE (물량흐름)'!$C$13:$W$502,21,0)</f>
        <v>0</v>
      </c>
      <c r="F359" s="6">
        <f t="shared" si="53"/>
        <v>0</v>
      </c>
      <c r="G359" s="6">
        <f>ROUND(SUMIF('In-out-bal products (155)(완성제품)'!$B$12:$B$493,'Sales profit (스타일 별 매출이익)'!D359,'In-out-bal products (155)(완성제품)'!$X$12:$X$493) + SUMIF('In-out-bal products (155)(완성제품)'!$B$12:$B$493,'Sales profit (스타일 별 매출이익)'!D359,'In-out-bal products (155)(완성제품)'!$AA$12:$AA$493),0)</f>
        <v>0</v>
      </c>
      <c r="H359" s="283">
        <f t="shared" si="54"/>
        <v>0</v>
      </c>
      <c r="I359" s="284">
        <f t="shared" si="55"/>
        <v>0</v>
      </c>
      <c r="J359" s="284">
        <f t="shared" si="61"/>
        <v>0</v>
      </c>
      <c r="K359" s="283">
        <v>4.1500000000000004</v>
      </c>
      <c r="L359" s="285">
        <f t="shared" si="56"/>
        <v>0</v>
      </c>
      <c r="M359" s="285">
        <f t="shared" si="57"/>
        <v>4.1500000000000004</v>
      </c>
      <c r="N359" s="285">
        <f t="shared" si="58"/>
        <v>0</v>
      </c>
      <c r="O359" s="416">
        <f t="shared" si="59"/>
        <v>0</v>
      </c>
      <c r="P359" s="417">
        <f t="shared" si="60"/>
        <v>94101.250000000015</v>
      </c>
      <c r="Q359" s="441"/>
    </row>
    <row r="360" spans="1:17" s="417" customFormat="1">
      <c r="A360" s="167">
        <v>358</v>
      </c>
      <c r="B360" s="409">
        <v>22675</v>
      </c>
      <c r="C360" s="20" t="str">
        <f>VLOOKUP(A360,'JUNE (물량흐름)'!$A$13:$C$502,2,0)</f>
        <v>ALFANI</v>
      </c>
      <c r="D360" s="282">
        <f>VLOOKUP(A360,'JUNE (물량흐름)'!$A$13:$C$502,3,0)</f>
        <v>100027987</v>
      </c>
      <c r="E360" s="6">
        <f>VLOOKUP(D360,'JUNE (물량흐름)'!$C$13:$W$502,21,0)</f>
        <v>0</v>
      </c>
      <c r="F360" s="6">
        <f t="shared" si="53"/>
        <v>0</v>
      </c>
      <c r="G360" s="6">
        <f>ROUND(SUMIF('In-out-bal products (155)(완성제품)'!$B$12:$B$493,'Sales profit (스타일 별 매출이익)'!D360,'In-out-bal products (155)(완성제품)'!$X$12:$X$493) + SUMIF('In-out-bal products (155)(완성제품)'!$B$12:$B$493,'Sales profit (스타일 별 매출이익)'!D360,'In-out-bal products (155)(완성제품)'!$AA$12:$AA$493),0)</f>
        <v>0</v>
      </c>
      <c r="H360" s="283">
        <f t="shared" si="54"/>
        <v>0</v>
      </c>
      <c r="I360" s="284">
        <f t="shared" si="55"/>
        <v>0</v>
      </c>
      <c r="J360" s="284">
        <f t="shared" si="61"/>
        <v>0</v>
      </c>
      <c r="K360" s="283">
        <v>0.35</v>
      </c>
      <c r="L360" s="285">
        <f t="shared" si="56"/>
        <v>0</v>
      </c>
      <c r="M360" s="285">
        <f t="shared" si="57"/>
        <v>0.35</v>
      </c>
      <c r="N360" s="285">
        <f t="shared" si="58"/>
        <v>0</v>
      </c>
      <c r="O360" s="416">
        <f t="shared" si="59"/>
        <v>0</v>
      </c>
      <c r="P360" s="417">
        <f t="shared" si="60"/>
        <v>7936.2499999999991</v>
      </c>
      <c r="Q360" s="441"/>
    </row>
    <row r="361" spans="1:17" s="417" customFormat="1">
      <c r="A361" s="167">
        <v>359</v>
      </c>
      <c r="B361" s="409">
        <v>22675</v>
      </c>
      <c r="C361" s="20" t="str">
        <f>VLOOKUP(A361,'JUNE (물량흐름)'!$A$13:$C$502,2,0)</f>
        <v>ALFANI</v>
      </c>
      <c r="D361" s="282">
        <f>VLOOKUP(A361,'JUNE (물량흐름)'!$A$13:$C$502,3,0)</f>
        <v>100028764</v>
      </c>
      <c r="E361" s="6">
        <f>VLOOKUP(D361,'JUNE (물량흐름)'!$C$13:$W$502,21,0)</f>
        <v>5049</v>
      </c>
      <c r="F361" s="6">
        <f t="shared" si="53"/>
        <v>235841315</v>
      </c>
      <c r="G361" s="6">
        <f>ROUND(SUMIF('In-out-bal products (155)(완성제품)'!$B$12:$B$493,'Sales profit (스타일 별 매출이익)'!D361,'In-out-bal products (155)(완성제품)'!$X$12:$X$493) + SUMIF('In-out-bal products (155)(완성제품)'!$B$12:$B$493,'Sales profit (스타일 별 매출이익)'!D361,'In-out-bal products (155)(완성제품)'!$AA$12:$AA$493),0)</f>
        <v>202256738</v>
      </c>
      <c r="H361" s="283">
        <f t="shared" si="54"/>
        <v>0.29335075903335844</v>
      </c>
      <c r="I361" s="284">
        <f t="shared" si="55"/>
        <v>6651.7284610814022</v>
      </c>
      <c r="J361" s="284">
        <f t="shared" si="61"/>
        <v>20131853.415715471</v>
      </c>
      <c r="K361" s="283">
        <v>2.06</v>
      </c>
      <c r="L361" s="285">
        <f t="shared" si="56"/>
        <v>1.7666492453339848</v>
      </c>
      <c r="M361" s="285">
        <f t="shared" si="57"/>
        <v>0.11750532179817108</v>
      </c>
      <c r="N361" s="285">
        <f t="shared" si="58"/>
        <v>0.17584543286784415</v>
      </c>
      <c r="O361" s="416">
        <f t="shared" si="59"/>
        <v>10400.94</v>
      </c>
      <c r="P361" s="417">
        <f t="shared" si="60"/>
        <v>46710.5</v>
      </c>
      <c r="Q361" s="441"/>
    </row>
    <row r="362" spans="1:17" s="417" customFormat="1">
      <c r="A362" s="167">
        <v>360</v>
      </c>
      <c r="B362" s="409">
        <v>22675</v>
      </c>
      <c r="C362" s="20" t="str">
        <f>VLOOKUP(A362,'JUNE (물량흐름)'!$A$13:$C$502,2,0)</f>
        <v>ALFANI</v>
      </c>
      <c r="D362" s="282">
        <f>VLOOKUP(A362,'JUNE (물량흐름)'!$A$13:$C$502,3,0)</f>
        <v>100033322</v>
      </c>
      <c r="E362" s="6">
        <f>VLOOKUP(D362,'JUNE (물량흐름)'!$C$13:$W$502,21,0)</f>
        <v>0</v>
      </c>
      <c r="F362" s="6">
        <f t="shared" si="53"/>
        <v>0</v>
      </c>
      <c r="G362" s="6">
        <f>ROUND(SUMIF('In-out-bal products (155)(완성제품)'!$B$12:$B$493,'Sales profit (스타일 별 매출이익)'!D362,'In-out-bal products (155)(완성제품)'!$X$12:$X$493) + SUMIF('In-out-bal products (155)(완성제품)'!$B$12:$B$493,'Sales profit (스타일 별 매출이익)'!D362,'In-out-bal products (155)(완성제품)'!$AA$12:$AA$493),0)</f>
        <v>0</v>
      </c>
      <c r="H362" s="283">
        <f t="shared" si="54"/>
        <v>0</v>
      </c>
      <c r="I362" s="284">
        <f t="shared" si="55"/>
        <v>0</v>
      </c>
      <c r="J362" s="284">
        <f t="shared" si="61"/>
        <v>0</v>
      </c>
      <c r="K362" s="283">
        <v>2.65</v>
      </c>
      <c r="L362" s="285">
        <f t="shared" si="56"/>
        <v>0</v>
      </c>
      <c r="M362" s="285">
        <f t="shared" si="57"/>
        <v>2.65</v>
      </c>
      <c r="N362" s="285">
        <f t="shared" si="58"/>
        <v>0</v>
      </c>
      <c r="O362" s="416">
        <f t="shared" si="59"/>
        <v>0</v>
      </c>
      <c r="P362" s="417">
        <f t="shared" si="60"/>
        <v>60088.75</v>
      </c>
      <c r="Q362" s="441"/>
    </row>
    <row r="363" spans="1:17" s="417" customFormat="1">
      <c r="A363" s="167">
        <v>361</v>
      </c>
      <c r="B363" s="409">
        <v>22675</v>
      </c>
      <c r="C363" s="20" t="str">
        <f>VLOOKUP(A363,'JUNE (물량흐름)'!$A$13:$C$502,2,0)</f>
        <v>INC</v>
      </c>
      <c r="D363" s="282">
        <f>VLOOKUP(A363,'JUNE (물량흐름)'!$A$13:$C$502,3,0)</f>
        <v>100034173</v>
      </c>
      <c r="E363" s="6">
        <f>VLOOKUP(D363,'JUNE (물량흐름)'!$C$13:$W$502,21,0)</f>
        <v>12</v>
      </c>
      <c r="F363" s="6">
        <f t="shared" si="53"/>
        <v>595899</v>
      </c>
      <c r="G363" s="6">
        <f>ROUND(SUMIF('In-out-bal products (155)(완성제품)'!$B$12:$B$493,'Sales profit (스타일 별 매출이익)'!D363,'In-out-bal products (155)(완성제품)'!$X$12:$X$493) + SUMIF('In-out-bal products (155)(완성제품)'!$B$12:$B$493,'Sales profit (스타일 별 매출이익)'!D363,'In-out-bal products (155)(완성제품)'!$AA$12:$AA$493),0)</f>
        <v>243015</v>
      </c>
      <c r="H363" s="283">
        <f t="shared" si="54"/>
        <v>1.296890848952591</v>
      </c>
      <c r="I363" s="284">
        <f t="shared" si="55"/>
        <v>29407</v>
      </c>
      <c r="J363" s="284">
        <f t="shared" si="61"/>
        <v>50867.04727104932</v>
      </c>
      <c r="K363" s="283">
        <v>2.19</v>
      </c>
      <c r="L363" s="285">
        <f t="shared" si="56"/>
        <v>0.89310915104740907</v>
      </c>
      <c r="M363" s="285">
        <f t="shared" si="57"/>
        <v>1.1099483746010681</v>
      </c>
      <c r="N363" s="285">
        <f t="shared" si="58"/>
        <v>0.18694247435152267</v>
      </c>
      <c r="O363" s="416">
        <f t="shared" si="59"/>
        <v>26.28</v>
      </c>
      <c r="P363" s="417">
        <f t="shared" si="60"/>
        <v>49658.25</v>
      </c>
      <c r="Q363" s="441"/>
    </row>
    <row r="364" spans="1:17" s="417" customFormat="1">
      <c r="A364" s="167">
        <v>362</v>
      </c>
      <c r="B364" s="409">
        <v>22675</v>
      </c>
      <c r="C364" s="20" t="str">
        <f>VLOOKUP(A364,'JUNE (물량흐름)'!$A$13:$C$502,2,0)</f>
        <v>TALBOTS</v>
      </c>
      <c r="D364" s="282">
        <f>VLOOKUP(A364,'JUNE (물량흐름)'!$A$13:$C$502,3,0)</f>
        <v>182034833</v>
      </c>
      <c r="E364" s="6">
        <f>VLOOKUP(D364,'JUNE (물량흐름)'!$C$13:$W$502,21,0)</f>
        <v>2845</v>
      </c>
      <c r="F364" s="6">
        <f t="shared" si="53"/>
        <v>294167310</v>
      </c>
      <c r="G364" s="6">
        <f>ROUND(SUMIF('In-out-bal products (155)(완성제품)'!$B$12:$B$493,'Sales profit (스타일 별 매출이익)'!D364,'In-out-bal products (155)(완성제품)'!$X$12:$X$493) + SUMIF('In-out-bal products (155)(완성제품)'!$B$12:$B$493,'Sales profit (스타일 별 매출이익)'!D364,'In-out-bal products (155)(완성제품)'!$AA$12:$AA$493),0)</f>
        <v>254709664</v>
      </c>
      <c r="H364" s="283">
        <f t="shared" si="54"/>
        <v>0.61164806436174024</v>
      </c>
      <c r="I364" s="284">
        <f t="shared" si="55"/>
        <v>13869.119859402461</v>
      </c>
      <c r="J364" s="284">
        <f t="shared" si="61"/>
        <v>25110668.860607956</v>
      </c>
      <c r="K364" s="283">
        <v>4.5599999999999996</v>
      </c>
      <c r="L364" s="285">
        <f t="shared" si="56"/>
        <v>3.9483519356382599</v>
      </c>
      <c r="M364" s="285">
        <f t="shared" si="57"/>
        <v>0.222397980780487</v>
      </c>
      <c r="N364" s="285">
        <f t="shared" si="58"/>
        <v>0.38925008358125268</v>
      </c>
      <c r="O364" s="416">
        <f>ROUND(K364*E364,2)</f>
        <v>12973.2</v>
      </c>
      <c r="P364" s="417">
        <f t="shared" si="60"/>
        <v>103397.99999999999</v>
      </c>
      <c r="Q364" s="441"/>
    </row>
    <row r="365" spans="1:17" s="417" customFormat="1">
      <c r="A365" s="167">
        <v>363</v>
      </c>
      <c r="B365" s="409">
        <v>22675</v>
      </c>
      <c r="C365" s="20" t="str">
        <f>VLOOKUP(A365,'JUNE (물량흐름)'!$A$13:$C$502,2,0)</f>
        <v>ANN TAYLOR</v>
      </c>
      <c r="D365" s="282">
        <f>VLOOKUP(A365,'JUNE (물량흐름)'!$A$13:$C$502,3,0)</f>
        <v>464035</v>
      </c>
      <c r="E365" s="6">
        <f>VLOOKUP(D365,'JUNE (물량흐름)'!$C$13:$W$502,21,0)</f>
        <v>0</v>
      </c>
      <c r="F365" s="6">
        <f t="shared" si="53"/>
        <v>0</v>
      </c>
      <c r="G365" s="6">
        <f>ROUND(SUMIF('In-out-bal products (155)(완성제품)'!$B$12:$B$493,'Sales profit (스타일 별 매출이익)'!D365,'In-out-bal products (155)(완성제품)'!$X$12:$X$493) + SUMIF('In-out-bal products (155)(완성제품)'!$B$12:$B$493,'Sales profit (스타일 별 매출이익)'!D365,'In-out-bal products (155)(완성제품)'!$AA$12:$AA$493),0)</f>
        <v>0</v>
      </c>
      <c r="H365" s="283">
        <f t="shared" si="54"/>
        <v>0</v>
      </c>
      <c r="I365" s="284">
        <f t="shared" si="55"/>
        <v>0</v>
      </c>
      <c r="J365" s="284">
        <f t="shared" si="61"/>
        <v>0</v>
      </c>
      <c r="K365" s="283">
        <v>4.1100000000000003</v>
      </c>
      <c r="L365" s="285">
        <f t="shared" si="56"/>
        <v>0</v>
      </c>
      <c r="M365" s="285">
        <f t="shared" si="57"/>
        <v>4.1100000000000003</v>
      </c>
      <c r="N365" s="285">
        <f t="shared" si="58"/>
        <v>0</v>
      </c>
      <c r="O365" s="416">
        <f t="shared" si="59"/>
        <v>0</v>
      </c>
      <c r="P365" s="417">
        <f t="shared" si="60"/>
        <v>93194.25</v>
      </c>
      <c r="Q365" s="441"/>
    </row>
    <row r="366" spans="1:17" s="417" customFormat="1">
      <c r="A366" s="167">
        <v>364</v>
      </c>
      <c r="B366" s="409">
        <v>22675</v>
      </c>
      <c r="C366" s="20" t="str">
        <f>VLOOKUP(A366,'JUNE (물량흐름)'!$A$13:$C$502,2,0)</f>
        <v>ANN TAYLOR</v>
      </c>
      <c r="D366" s="282">
        <f>VLOOKUP(A366,'JUNE (물량흐름)'!$A$13:$C$502,3,0)</f>
        <v>464354</v>
      </c>
      <c r="E366" s="6">
        <f>VLOOKUP(D366,'JUNE (물량흐름)'!$C$13:$W$502,21,0)</f>
        <v>0</v>
      </c>
      <c r="F366" s="6">
        <f t="shared" si="53"/>
        <v>0</v>
      </c>
      <c r="G366" s="6">
        <f>ROUND(SUMIF('In-out-bal products (155)(완성제품)'!$B$12:$B$493,'Sales profit (스타일 별 매출이익)'!D366,'In-out-bal products (155)(완성제품)'!$X$12:$X$493) + SUMIF('In-out-bal products (155)(완성제품)'!$B$12:$B$493,'Sales profit (스타일 별 매출이익)'!D366,'In-out-bal products (155)(완성제품)'!$AA$12:$AA$493),0)</f>
        <v>0</v>
      </c>
      <c r="H366" s="283">
        <f t="shared" si="54"/>
        <v>0</v>
      </c>
      <c r="I366" s="284">
        <f t="shared" si="55"/>
        <v>0</v>
      </c>
      <c r="J366" s="284">
        <f t="shared" si="61"/>
        <v>0</v>
      </c>
      <c r="K366" s="283">
        <v>0.35</v>
      </c>
      <c r="L366" s="285">
        <f t="shared" si="56"/>
        <v>0</v>
      </c>
      <c r="M366" s="285">
        <f t="shared" si="57"/>
        <v>0.35</v>
      </c>
      <c r="N366" s="285">
        <f t="shared" si="58"/>
        <v>0</v>
      </c>
      <c r="O366" s="416">
        <f t="shared" si="59"/>
        <v>0</v>
      </c>
      <c r="P366" s="417">
        <f t="shared" si="60"/>
        <v>7936.2499999999991</v>
      </c>
      <c r="Q366" s="441"/>
    </row>
    <row r="367" spans="1:17" s="417" customFormat="1">
      <c r="A367" s="167">
        <v>365</v>
      </c>
      <c r="B367" s="409">
        <v>22675</v>
      </c>
      <c r="C367" s="20" t="str">
        <f>VLOOKUP(A367,'JUNE (물량흐름)'!$A$13:$C$502,2,0)</f>
        <v>ANN TAYLOR</v>
      </c>
      <c r="D367" s="282">
        <f>VLOOKUP(A367,'JUNE (물량흐름)'!$A$13:$C$502,3,0)</f>
        <v>469491</v>
      </c>
      <c r="E367" s="6">
        <f>VLOOKUP(D367,'JUNE (물량흐름)'!$C$13:$W$502,21,0)</f>
        <v>0</v>
      </c>
      <c r="F367" s="6">
        <f t="shared" si="53"/>
        <v>0</v>
      </c>
      <c r="G367" s="6">
        <f>ROUND(SUMIF('In-out-bal products (155)(완성제품)'!$B$12:$B$493,'Sales profit (스타일 별 매출이익)'!D367,'In-out-bal products (155)(완성제품)'!$X$12:$X$493) + SUMIF('In-out-bal products (155)(완성제품)'!$B$12:$B$493,'Sales profit (스타일 별 매출이익)'!D367,'In-out-bal products (155)(완성제품)'!$AA$12:$AA$493),0)</f>
        <v>0</v>
      </c>
      <c r="H367" s="283">
        <f t="shared" si="54"/>
        <v>0</v>
      </c>
      <c r="I367" s="284">
        <f t="shared" si="55"/>
        <v>0</v>
      </c>
      <c r="J367" s="284">
        <f t="shared" si="61"/>
        <v>0</v>
      </c>
      <c r="K367" s="283">
        <v>2.06</v>
      </c>
      <c r="L367" s="285">
        <f t="shared" si="56"/>
        <v>0</v>
      </c>
      <c r="M367" s="285">
        <f t="shared" si="57"/>
        <v>2.06</v>
      </c>
      <c r="N367" s="285">
        <f t="shared" si="58"/>
        <v>0</v>
      </c>
      <c r="O367" s="416">
        <f t="shared" si="59"/>
        <v>0</v>
      </c>
      <c r="P367" s="417">
        <f t="shared" si="60"/>
        <v>46710.5</v>
      </c>
      <c r="Q367" s="441"/>
    </row>
    <row r="368" spans="1:17" s="417" customFormat="1">
      <c r="A368" s="167">
        <v>366</v>
      </c>
      <c r="B368" s="409">
        <v>22675</v>
      </c>
      <c r="C368" s="20" t="str">
        <f>VLOOKUP(A368,'JUNE (물량흐름)'!$A$13:$C$502,2,0)</f>
        <v>ANN TAYLOR</v>
      </c>
      <c r="D368" s="282">
        <f>VLOOKUP(A368,'JUNE (물량흐름)'!$A$13:$C$502,3,0)</f>
        <v>474304</v>
      </c>
      <c r="E368" s="6">
        <f>VLOOKUP(D368,'JUNE (물량흐름)'!$C$13:$W$502,21,0)</f>
        <v>0</v>
      </c>
      <c r="F368" s="6">
        <f t="shared" si="53"/>
        <v>0</v>
      </c>
      <c r="G368" s="6">
        <f>ROUND(SUMIF('In-out-bal products (155)(완성제품)'!$B$12:$B$493,'Sales profit (스타일 별 매출이익)'!D368,'In-out-bal products (155)(완성제품)'!$X$12:$X$493) + SUMIF('In-out-bal products (155)(완성제품)'!$B$12:$B$493,'Sales profit (스타일 별 매출이익)'!D368,'In-out-bal products (155)(완성제품)'!$AA$12:$AA$493),0)</f>
        <v>0</v>
      </c>
      <c r="H368" s="283">
        <f t="shared" si="54"/>
        <v>0</v>
      </c>
      <c r="I368" s="284">
        <f t="shared" si="55"/>
        <v>0</v>
      </c>
      <c r="J368" s="284">
        <f t="shared" si="61"/>
        <v>0</v>
      </c>
      <c r="K368" s="283">
        <v>1.93</v>
      </c>
      <c r="L368" s="285">
        <f t="shared" si="56"/>
        <v>0</v>
      </c>
      <c r="M368" s="285">
        <f t="shared" si="57"/>
        <v>1.93</v>
      </c>
      <c r="N368" s="285">
        <f t="shared" si="58"/>
        <v>0</v>
      </c>
      <c r="O368" s="416">
        <f t="shared" si="59"/>
        <v>0</v>
      </c>
      <c r="P368" s="417">
        <f t="shared" si="60"/>
        <v>43762.75</v>
      </c>
      <c r="Q368" s="441"/>
    </row>
    <row r="369" spans="1:17" s="417" customFormat="1">
      <c r="A369" s="167">
        <v>367</v>
      </c>
      <c r="B369" s="409">
        <v>22675</v>
      </c>
      <c r="C369" s="20" t="str">
        <f>VLOOKUP(A369,'JUNE (물량흐름)'!$A$13:$C$502,2,0)</f>
        <v>ALFANI</v>
      </c>
      <c r="D369" s="282" t="str">
        <f>VLOOKUP(A369,'JUNE (물량흐름)'!$A$13:$C$502,3,0)</f>
        <v>7X211</v>
      </c>
      <c r="E369" s="6">
        <f>VLOOKUP(D369,'JUNE (물량흐름)'!$C$13:$W$502,21,0)</f>
        <v>0</v>
      </c>
      <c r="F369" s="6">
        <f t="shared" si="53"/>
        <v>0</v>
      </c>
      <c r="G369" s="6">
        <f>ROUND(SUMIF('In-out-bal products (155)(완성제품)'!$B$12:$B$493,'Sales profit (스타일 별 매출이익)'!D369,'In-out-bal products (155)(완성제품)'!$X$12:$X$493) + SUMIF('In-out-bal products (155)(완성제품)'!$B$12:$B$493,'Sales profit (스타일 별 매출이익)'!D369,'In-out-bal products (155)(완성제품)'!$AA$12:$AA$493),0)</f>
        <v>0</v>
      </c>
      <c r="H369" s="283">
        <f t="shared" si="54"/>
        <v>0</v>
      </c>
      <c r="I369" s="284">
        <f t="shared" si="55"/>
        <v>0</v>
      </c>
      <c r="J369" s="284">
        <f t="shared" si="61"/>
        <v>0</v>
      </c>
      <c r="K369" s="283">
        <v>3.15</v>
      </c>
      <c r="L369" s="285">
        <f t="shared" si="56"/>
        <v>0</v>
      </c>
      <c r="M369" s="285">
        <f t="shared" si="57"/>
        <v>3.15</v>
      </c>
      <c r="N369" s="285">
        <f t="shared" si="58"/>
        <v>0</v>
      </c>
      <c r="O369" s="416">
        <f t="shared" si="59"/>
        <v>0</v>
      </c>
      <c r="P369" s="417">
        <f t="shared" si="60"/>
        <v>71426.25</v>
      </c>
      <c r="Q369" s="441"/>
    </row>
    <row r="370" spans="1:17" s="417" customFormat="1">
      <c r="A370" s="167">
        <v>368</v>
      </c>
      <c r="B370" s="409">
        <v>22675</v>
      </c>
      <c r="C370" s="20" t="str">
        <f>VLOOKUP(A370,'JUNE (물량흐름)'!$A$13:$C$502,2,0)</f>
        <v>J JILL</v>
      </c>
      <c r="D370" s="282" t="str">
        <f>VLOOKUP(A370,'JUNE (물량흐름)'!$A$13:$C$502,3,0)</f>
        <v>KPT116131</v>
      </c>
      <c r="E370" s="6">
        <f>VLOOKUP(D370,'JUNE (물량흐름)'!$C$13:$W$502,21,0)</f>
        <v>9329</v>
      </c>
      <c r="F370" s="6">
        <f t="shared" si="53"/>
        <v>325764016</v>
      </c>
      <c r="G370" s="6">
        <f>ROUND(SUMIF('In-out-bal products (155)(완성제품)'!$B$12:$B$493,'Sales profit (스타일 별 매출이익)'!D370,'In-out-bal products (155)(완성제품)'!$X$12:$X$493) + SUMIF('In-out-bal products (155)(완성제품)'!$B$12:$B$493,'Sales profit (스타일 별 매출이익)'!D370,'In-out-bal products (155)(완성제품)'!$AA$12:$AA$493),0)</f>
        <v>267559282</v>
      </c>
      <c r="H370" s="283">
        <f t="shared" si="54"/>
        <v>0.27515405660266978</v>
      </c>
      <c r="I370" s="284">
        <f t="shared" si="55"/>
        <v>6239.1182334655377</v>
      </c>
      <c r="J370" s="284">
        <f t="shared" si="61"/>
        <v>27807822.468369417</v>
      </c>
      <c r="K370" s="283">
        <v>1.54</v>
      </c>
      <c r="L370" s="285">
        <f t="shared" si="56"/>
        <v>1.2648459457610044</v>
      </c>
      <c r="M370" s="285">
        <f t="shared" si="57"/>
        <v>0.14369678896812074</v>
      </c>
      <c r="N370" s="285">
        <f t="shared" si="58"/>
        <v>0.1314572652708749</v>
      </c>
      <c r="O370" s="416">
        <f t="shared" si="59"/>
        <v>14366.66</v>
      </c>
      <c r="P370" s="417">
        <f t="shared" si="60"/>
        <v>34919.5</v>
      </c>
      <c r="Q370" s="441"/>
    </row>
    <row r="371" spans="1:17" s="417" customFormat="1">
      <c r="A371" s="167">
        <v>369</v>
      </c>
      <c r="B371" s="409">
        <v>22675</v>
      </c>
      <c r="C371" s="20" t="str">
        <f>VLOOKUP(A371,'JUNE (물량흐름)'!$A$13:$C$502,2,0)</f>
        <v>ALFANI</v>
      </c>
      <c r="D371" s="282">
        <f>VLOOKUP(A371,'JUNE (물량흐름)'!$A$13:$C$502,3,0)</f>
        <v>100019047</v>
      </c>
      <c r="E371" s="6">
        <f>VLOOKUP(D371,'JUNE (물량흐름)'!$C$13:$W$502,21,0)</f>
        <v>9264</v>
      </c>
      <c r="F371" s="6">
        <f t="shared" si="53"/>
        <v>741516036</v>
      </c>
      <c r="G371" s="6">
        <f>ROUND(SUMIF('In-out-bal products (155)(완성제품)'!$B$12:$B$493,'Sales profit (스타일 별 매출이익)'!D371,'In-out-bal products (155)(완성제품)'!$X$12:$X$493) + SUMIF('In-out-bal products (155)(완성제품)'!$B$12:$B$493,'Sales profit (스타일 별 매출이익)'!D371,'In-out-bal products (155)(완성제품)'!$AA$12:$AA$493),0)</f>
        <v>516746756</v>
      </c>
      <c r="H371" s="283">
        <f t="shared" si="54"/>
        <v>1.0700180709240927</v>
      </c>
      <c r="I371" s="284">
        <f t="shared" si="55"/>
        <v>24262.659758203801</v>
      </c>
      <c r="J371" s="284">
        <f t="shared" si="61"/>
        <v>63297188.374964736</v>
      </c>
      <c r="K371" s="283">
        <v>3.53</v>
      </c>
      <c r="L371" s="285">
        <f t="shared" si="56"/>
        <v>2.4599819290759073</v>
      </c>
      <c r="M371" s="285">
        <f t="shared" si="57"/>
        <v>0.76869070359035963</v>
      </c>
      <c r="N371" s="285">
        <f t="shared" si="58"/>
        <v>0.30132736733373289</v>
      </c>
      <c r="O371" s="416">
        <f t="shared" si="59"/>
        <v>32701.919999999998</v>
      </c>
      <c r="P371" s="417">
        <f t="shared" si="60"/>
        <v>80042.75</v>
      </c>
      <c r="Q371" s="441"/>
    </row>
    <row r="372" spans="1:17" s="417" customFormat="1">
      <c r="A372" s="167">
        <v>370</v>
      </c>
      <c r="B372" s="409">
        <v>22675</v>
      </c>
      <c r="C372" s="20" t="str">
        <f>VLOOKUP(A372,'JUNE (물량흐름)'!$A$13:$C$502,2,0)</f>
        <v>ANN TAYLOR</v>
      </c>
      <c r="D372" s="282">
        <f>VLOOKUP(A372,'JUNE (물량흐름)'!$A$13:$C$502,3,0)</f>
        <v>466798</v>
      </c>
      <c r="E372" s="6">
        <f>VLOOKUP(D372,'JUNE (물량흐름)'!$C$13:$W$502,21,0)</f>
        <v>579</v>
      </c>
      <c r="F372" s="6">
        <f t="shared" si="53"/>
        <v>39649052</v>
      </c>
      <c r="G372" s="6">
        <f>ROUND(SUMIF('In-out-bal products (155)(완성제품)'!$B$12:$B$493,'Sales profit (스타일 별 매출이익)'!D372,'In-out-bal products (155)(완성제품)'!$X$12:$X$493) + SUMIF('In-out-bal products (155)(완성제품)'!$B$12:$B$493,'Sales profit (스타일 별 매출이익)'!D372,'In-out-bal products (155)(완성제품)'!$AA$12:$AA$493),0)</f>
        <v>34689928</v>
      </c>
      <c r="H372" s="283">
        <f t="shared" si="54"/>
        <v>0.37772793833416168</v>
      </c>
      <c r="I372" s="284">
        <f t="shared" si="55"/>
        <v>8564.9810017271157</v>
      </c>
      <c r="J372" s="284">
        <f t="shared" si="61"/>
        <v>3384516.8431836474</v>
      </c>
      <c r="K372" s="283">
        <v>3.02</v>
      </c>
      <c r="L372" s="285">
        <f t="shared" si="56"/>
        <v>2.6422720997499773</v>
      </c>
      <c r="M372" s="285">
        <f t="shared" si="57"/>
        <v>0.11993507848694429</v>
      </c>
      <c r="N372" s="285">
        <f t="shared" si="58"/>
        <v>0.25779282176307838</v>
      </c>
      <c r="O372" s="416">
        <f t="shared" si="59"/>
        <v>1748.58</v>
      </c>
      <c r="P372" s="417">
        <f t="shared" si="60"/>
        <v>68478.5</v>
      </c>
      <c r="Q372" s="441"/>
    </row>
    <row r="373" spans="1:17" s="417" customFormat="1">
      <c r="A373" s="167">
        <v>371</v>
      </c>
      <c r="B373" s="409">
        <v>22675</v>
      </c>
      <c r="C373" s="20" t="str">
        <f>VLOOKUP(A373,'JUNE (물량흐름)'!$A$13:$C$502,2,0)</f>
        <v>ANN TAYLOR</v>
      </c>
      <c r="D373" s="282">
        <f>VLOOKUP(A373,'JUNE (물량흐름)'!$A$13:$C$502,3,0)</f>
        <v>468921</v>
      </c>
      <c r="E373" s="6">
        <f>VLOOKUP(D373,'JUNE (물량흐름)'!$C$13:$W$502,21,0)</f>
        <v>1469</v>
      </c>
      <c r="F373" s="6">
        <f t="shared" si="53"/>
        <v>104925161</v>
      </c>
      <c r="G373" s="6">
        <f>ROUND(SUMIF('In-out-bal products (155)(완성제품)'!$B$12:$B$493,'Sales profit (스타일 별 매출이익)'!D373,'In-out-bal products (155)(완성제품)'!$X$12:$X$493) + SUMIF('In-out-bal products (155)(완성제품)'!$B$12:$B$493,'Sales profit (스타일 별 매출이익)'!D373,'In-out-bal products (155)(완성제품)'!$AA$12:$AA$493),0)</f>
        <v>93802600</v>
      </c>
      <c r="H373" s="283">
        <f t="shared" si="54"/>
        <v>0.33391482779350978</v>
      </c>
      <c r="I373" s="284">
        <f t="shared" si="55"/>
        <v>7571.5187202178349</v>
      </c>
      <c r="J373" s="284">
        <f t="shared" si="61"/>
        <v>8956606.9493478946</v>
      </c>
      <c r="K373" s="283">
        <v>3.15</v>
      </c>
      <c r="L373" s="285">
        <f t="shared" si="56"/>
        <v>2.8160851647011409</v>
      </c>
      <c r="M373" s="285">
        <f t="shared" si="57"/>
        <v>6.5024975570901089E-2</v>
      </c>
      <c r="N373" s="285">
        <f t="shared" si="58"/>
        <v>0.26888985972795793</v>
      </c>
      <c r="O373" s="416">
        <f t="shared" si="59"/>
        <v>4627.3500000000004</v>
      </c>
      <c r="P373" s="417">
        <f t="shared" si="60"/>
        <v>71426.25</v>
      </c>
      <c r="Q373" s="441"/>
    </row>
    <row r="374" spans="1:17" s="417" customFormat="1">
      <c r="A374" s="167">
        <v>372</v>
      </c>
      <c r="B374" s="409">
        <v>22675</v>
      </c>
      <c r="C374" s="20" t="str">
        <f>VLOOKUP(A374,'JUNE (물량흐름)'!$A$13:$C$502,2,0)</f>
        <v>ANN TAYLOR</v>
      </c>
      <c r="D374" s="282">
        <f>VLOOKUP(A374,'JUNE (물량흐름)'!$A$13:$C$502,3,0)</f>
        <v>469052</v>
      </c>
      <c r="E374" s="6">
        <f>VLOOKUP(D374,'JUNE (물량흐름)'!$C$13:$W$502,21,0)</f>
        <v>616</v>
      </c>
      <c r="F374" s="6">
        <f t="shared" si="53"/>
        <v>20672344</v>
      </c>
      <c r="G374" s="6">
        <f>ROUND(SUMIF('In-out-bal products (155)(완성제품)'!$B$12:$B$493,'Sales profit (스타일 별 매출이익)'!D374,'In-out-bal products (155)(완성제품)'!$X$12:$X$493) + SUMIF('In-out-bal products (155)(완성제품)'!$B$12:$B$493,'Sales profit (스타일 별 매출이익)'!D374,'In-out-bal products (155)(완성제품)'!$AA$12:$AA$493),0)</f>
        <v>17775276</v>
      </c>
      <c r="H374" s="283">
        <f t="shared" si="54"/>
        <v>0.2074104726585432</v>
      </c>
      <c r="I374" s="284">
        <f t="shared" si="55"/>
        <v>4703.0324675324673</v>
      </c>
      <c r="J374" s="284">
        <f t="shared" si="61"/>
        <v>1764629.7433816683</v>
      </c>
      <c r="K374" s="283">
        <v>1.48</v>
      </c>
      <c r="L374" s="285">
        <f t="shared" si="56"/>
        <v>1.2725895273414569</v>
      </c>
      <c r="M374" s="285">
        <f t="shared" si="57"/>
        <v>8.1074919215504915E-2</v>
      </c>
      <c r="N374" s="285">
        <f t="shared" si="58"/>
        <v>0.12633555344303815</v>
      </c>
      <c r="O374" s="416">
        <f t="shared" si="59"/>
        <v>911.68</v>
      </c>
      <c r="P374" s="417">
        <f t="shared" si="60"/>
        <v>33559</v>
      </c>
      <c r="Q374" s="441"/>
    </row>
    <row r="375" spans="1:17" s="417" customFormat="1">
      <c r="A375" s="167">
        <v>373</v>
      </c>
      <c r="B375" s="409">
        <v>22675</v>
      </c>
      <c r="C375" s="20" t="str">
        <f>VLOOKUP(A375,'JUNE (물량흐름)'!$A$13:$C$502,2,0)</f>
        <v>ANN TAYLOR</v>
      </c>
      <c r="D375" s="282">
        <f>VLOOKUP(A375,'JUNE (물량흐름)'!$A$13:$C$502,3,0)</f>
        <v>469493</v>
      </c>
      <c r="E375" s="6">
        <f>VLOOKUP(D375,'JUNE (물량흐름)'!$C$13:$W$502,21,0)</f>
        <v>600</v>
      </c>
      <c r="F375" s="6">
        <f t="shared" si="53"/>
        <v>41087100</v>
      </c>
      <c r="G375" s="6">
        <f>ROUND(SUMIF('In-out-bal products (155)(완성제품)'!$B$12:$B$493,'Sales profit (스타일 별 매출이익)'!D375,'In-out-bal products (155)(완성제품)'!$X$12:$X$493) + SUMIF('In-out-bal products (155)(완성제품)'!$B$12:$B$493,'Sales profit (스타일 별 매출이익)'!D375,'In-out-bal products (155)(완성제품)'!$AA$12:$AA$493),0)</f>
        <v>36151301</v>
      </c>
      <c r="H375" s="283">
        <f t="shared" si="54"/>
        <v>0.3627930172730614</v>
      </c>
      <c r="I375" s="284">
        <f t="shared" si="55"/>
        <v>8226.3316666666669</v>
      </c>
      <c r="J375" s="284">
        <f t="shared" si="61"/>
        <v>3507271.2958577382</v>
      </c>
      <c r="K375" s="283">
        <v>3.02</v>
      </c>
      <c r="L375" s="285">
        <f t="shared" si="56"/>
        <v>2.6572069827269389</v>
      </c>
      <c r="M375" s="285">
        <f t="shared" si="57"/>
        <v>0.10500019876091571</v>
      </c>
      <c r="N375" s="285">
        <f t="shared" si="58"/>
        <v>0.25779281851214542</v>
      </c>
      <c r="O375" s="416">
        <f t="shared" si="59"/>
        <v>1812</v>
      </c>
      <c r="P375" s="417">
        <f t="shared" si="60"/>
        <v>68478.5</v>
      </c>
      <c r="Q375" s="441"/>
    </row>
    <row r="376" spans="1:17" s="417" customFormat="1">
      <c r="A376" s="167">
        <v>374</v>
      </c>
      <c r="B376" s="409">
        <v>22675</v>
      </c>
      <c r="C376" s="20" t="str">
        <f>VLOOKUP(A376,'JUNE (물량흐름)'!$A$13:$C$502,2,0)</f>
        <v>ANN TAYLOR</v>
      </c>
      <c r="D376" s="282">
        <f>VLOOKUP(A376,'JUNE (물량흐름)'!$A$13:$C$502,3,0)</f>
        <v>470238</v>
      </c>
      <c r="E376" s="6">
        <f>VLOOKUP(D376,'JUNE (물량흐름)'!$C$13:$W$502,21,0)</f>
        <v>300</v>
      </c>
      <c r="F376" s="6">
        <f t="shared" si="53"/>
        <v>10407825</v>
      </c>
      <c r="G376" s="6">
        <f>ROUND(SUMIF('In-out-bal products (155)(완성제품)'!$B$12:$B$493,'Sales profit (스타일 별 매출이익)'!D376,'In-out-bal products (155)(완성제품)'!$X$12:$X$493) + SUMIF('In-out-bal products (155)(완성제품)'!$B$12:$B$493,'Sales profit (스타일 별 매출이익)'!D376,'In-out-bal products (155)(완성제품)'!$AA$12:$AA$493),0)</f>
        <v>8451247</v>
      </c>
      <c r="H376" s="283">
        <f t="shared" si="54"/>
        <v>0.28762631385520027</v>
      </c>
      <c r="I376" s="284">
        <f t="shared" si="55"/>
        <v>6521.9266666666663</v>
      </c>
      <c r="J376" s="284">
        <f t="shared" si="61"/>
        <v>888431.30507654638</v>
      </c>
      <c r="K376" s="283">
        <v>1.53</v>
      </c>
      <c r="L376" s="285">
        <f t="shared" si="56"/>
        <v>1.2423736861447998</v>
      </c>
      <c r="M376" s="285">
        <f t="shared" si="57"/>
        <v>0.1570226673904378</v>
      </c>
      <c r="N376" s="285">
        <f t="shared" si="58"/>
        <v>0.13060364646476241</v>
      </c>
      <c r="O376" s="416">
        <f t="shared" si="59"/>
        <v>459</v>
      </c>
      <c r="P376" s="417">
        <f t="shared" si="60"/>
        <v>34692.75</v>
      </c>
      <c r="Q376" s="441"/>
    </row>
    <row r="377" spans="1:17" s="417" customFormat="1">
      <c r="A377" s="167">
        <v>375</v>
      </c>
      <c r="B377" s="409">
        <v>22675</v>
      </c>
      <c r="C377" s="20" t="str">
        <f>VLOOKUP(A377,'JUNE (물량흐름)'!$A$13:$C$502,2,0)</f>
        <v>ANN TAYLOR</v>
      </c>
      <c r="D377" s="282">
        <f>VLOOKUP(A377,'JUNE (물량흐름)'!$A$13:$C$502,3,0)</f>
        <v>470342</v>
      </c>
      <c r="E377" s="6">
        <f>VLOOKUP(D377,'JUNE (물량흐름)'!$C$13:$W$502,21,0)</f>
        <v>732</v>
      </c>
      <c r="F377" s="6">
        <f t="shared" si="53"/>
        <v>24399207</v>
      </c>
      <c r="G377" s="6">
        <f>ROUND(SUMIF('In-out-bal products (155)(완성제품)'!$B$12:$B$493,'Sales profit (스타일 별 매출이익)'!D377,'In-out-bal products (155)(완성제품)'!$X$12:$X$493) + SUMIF('In-out-bal products (155)(완성제품)'!$B$12:$B$493,'Sales profit (스타일 별 매출이익)'!D377,'In-out-bal products (155)(완성제품)'!$AA$12:$AA$493),0)</f>
        <v>21576481</v>
      </c>
      <c r="H377" s="283">
        <f t="shared" si="54"/>
        <v>0.17006320000481984</v>
      </c>
      <c r="I377" s="284">
        <f t="shared" si="55"/>
        <v>3856.1830601092897</v>
      </c>
      <c r="J377" s="284">
        <f t="shared" si="61"/>
        <v>2082761.7026461153</v>
      </c>
      <c r="K377" s="283">
        <v>1.47</v>
      </c>
      <c r="L377" s="285">
        <f t="shared" si="56"/>
        <v>1.2999367999951803</v>
      </c>
      <c r="M377" s="285">
        <f t="shared" si="57"/>
        <v>4.4581265166126344E-2</v>
      </c>
      <c r="N377" s="285">
        <f t="shared" si="58"/>
        <v>0.12548193483869333</v>
      </c>
      <c r="O377" s="416">
        <f t="shared" si="59"/>
        <v>1076.04</v>
      </c>
      <c r="P377" s="417">
        <f t="shared" si="60"/>
        <v>33332.25</v>
      </c>
      <c r="Q377" s="441"/>
    </row>
    <row r="378" spans="1:17" s="417" customFormat="1">
      <c r="A378" s="167">
        <v>376</v>
      </c>
      <c r="B378" s="409">
        <v>22675</v>
      </c>
      <c r="C378" s="20" t="str">
        <f>VLOOKUP(A378,'JUNE (물량흐름)'!$A$13:$C$502,2,0)</f>
        <v>ANN TAYLOR</v>
      </c>
      <c r="D378" s="282">
        <f>VLOOKUP(A378,'JUNE (물량흐름)'!$A$13:$C$502,3,0)</f>
        <v>474049</v>
      </c>
      <c r="E378" s="6">
        <f>VLOOKUP(D378,'JUNE (물량흐름)'!$C$13:$W$502,21,0)</f>
        <v>0</v>
      </c>
      <c r="F378" s="6">
        <f t="shared" si="53"/>
        <v>0</v>
      </c>
      <c r="G378" s="6">
        <f>ROUND(SUMIF('In-out-bal products (155)(완성제품)'!$B$12:$B$493,'Sales profit (스타일 별 매출이익)'!D378,'In-out-bal products (155)(완성제품)'!$X$12:$X$493) + SUMIF('In-out-bal products (155)(완성제품)'!$B$12:$B$493,'Sales profit (스타일 별 매출이익)'!D378,'In-out-bal products (155)(완성제품)'!$AA$12:$AA$493),0)</f>
        <v>0</v>
      </c>
      <c r="H378" s="283">
        <f t="shared" si="54"/>
        <v>0</v>
      </c>
      <c r="I378" s="284">
        <f t="shared" si="55"/>
        <v>0</v>
      </c>
      <c r="J378" s="284">
        <f t="shared" si="61"/>
        <v>0</v>
      </c>
      <c r="K378" s="283">
        <v>1.66</v>
      </c>
      <c r="L378" s="285">
        <f t="shared" si="56"/>
        <v>0</v>
      </c>
      <c r="M378" s="285">
        <f t="shared" si="57"/>
        <v>1.66</v>
      </c>
      <c r="N378" s="285">
        <f t="shared" si="58"/>
        <v>0</v>
      </c>
      <c r="O378" s="416">
        <f t="shared" si="59"/>
        <v>0</v>
      </c>
      <c r="P378" s="417">
        <f t="shared" si="60"/>
        <v>37640.5</v>
      </c>
      <c r="Q378" s="441"/>
    </row>
    <row r="379" spans="1:17" s="417" customFormat="1">
      <c r="A379" s="167">
        <v>377</v>
      </c>
      <c r="B379" s="409">
        <v>22675</v>
      </c>
      <c r="C379" s="20" t="str">
        <f>VLOOKUP(A379,'JUNE (물량흐름)'!$A$13:$C$502,2,0)</f>
        <v>ANN TAYLOR</v>
      </c>
      <c r="D379" s="282">
        <f>VLOOKUP(A379,'JUNE (물량흐름)'!$A$13:$C$502,3,0)</f>
        <v>474816</v>
      </c>
      <c r="E379" s="6">
        <f>VLOOKUP(D379,'JUNE (물량흐름)'!$C$13:$W$502,21,0)</f>
        <v>1000</v>
      </c>
      <c r="F379" s="6">
        <f t="shared" si="53"/>
        <v>68478500</v>
      </c>
      <c r="G379" s="6">
        <f>ROUND(SUMIF('In-out-bal products (155)(완성제품)'!$B$12:$B$493,'Sales profit (스타일 별 매출이익)'!D379,'In-out-bal products (155)(완성제품)'!$X$12:$X$493) + SUMIF('In-out-bal products (155)(완성제품)'!$B$12:$B$493,'Sales profit (스타일 별 매출이익)'!D379,'In-out-bal products (155)(완성제품)'!$AA$12:$AA$493),0)</f>
        <v>58839878</v>
      </c>
      <c r="H379" s="283">
        <f t="shared" si="54"/>
        <v>0.42507704520396911</v>
      </c>
      <c r="I379" s="284">
        <f t="shared" si="55"/>
        <v>9638.6219999999994</v>
      </c>
      <c r="J379" s="284">
        <f t="shared" si="61"/>
        <v>5845452.1597628975</v>
      </c>
      <c r="K379" s="283">
        <v>3.02</v>
      </c>
      <c r="L379" s="285">
        <f t="shared" si="56"/>
        <v>2.5949229547960306</v>
      </c>
      <c r="M379" s="285">
        <f t="shared" si="57"/>
        <v>0.16728422669182397</v>
      </c>
      <c r="N379" s="285">
        <f t="shared" si="58"/>
        <v>0.25779281851214542</v>
      </c>
      <c r="O379" s="416">
        <f t="shared" si="59"/>
        <v>3020</v>
      </c>
      <c r="P379" s="417">
        <f t="shared" si="60"/>
        <v>68478.5</v>
      </c>
      <c r="Q379" s="441"/>
    </row>
    <row r="380" spans="1:17" s="417" customFormat="1">
      <c r="A380" s="167">
        <v>378</v>
      </c>
      <c r="B380" s="409">
        <v>22675</v>
      </c>
      <c r="C380" s="20" t="str">
        <f>VLOOKUP(A380,'JUNE (물량흐름)'!$A$13:$C$502,2,0)</f>
        <v>ANN TAYLOR</v>
      </c>
      <c r="D380" s="282">
        <f>VLOOKUP(A380,'JUNE (물량흐름)'!$A$13:$C$502,3,0)</f>
        <v>471157</v>
      </c>
      <c r="E380" s="6">
        <f>VLOOKUP(D380,'JUNE (물량흐름)'!$C$13:$W$502,21,0)</f>
        <v>0</v>
      </c>
      <c r="F380" s="6">
        <f t="shared" si="53"/>
        <v>0</v>
      </c>
      <c r="G380" s="6">
        <f>ROUND(SUMIF('In-out-bal products (155)(완성제품)'!$B$12:$B$493,'Sales profit (스타일 별 매출이익)'!D380,'In-out-bal products (155)(완성제품)'!$X$12:$X$493) + SUMIF('In-out-bal products (155)(완성제품)'!$B$12:$B$493,'Sales profit (스타일 별 매출이익)'!D380,'In-out-bal products (155)(완성제품)'!$AA$12:$AA$493),0)</f>
        <v>0</v>
      </c>
      <c r="H380" s="283">
        <f t="shared" si="54"/>
        <v>0</v>
      </c>
      <c r="I380" s="284">
        <f t="shared" si="55"/>
        <v>0</v>
      </c>
      <c r="J380" s="284">
        <f t="shared" si="61"/>
        <v>0</v>
      </c>
      <c r="K380" s="283">
        <v>1.31</v>
      </c>
      <c r="L380" s="285">
        <f t="shared" si="56"/>
        <v>0</v>
      </c>
      <c r="M380" s="285">
        <f t="shared" si="57"/>
        <v>1.31</v>
      </c>
      <c r="N380" s="285">
        <f t="shared" si="58"/>
        <v>0</v>
      </c>
      <c r="O380" s="416">
        <f t="shared" si="59"/>
        <v>0</v>
      </c>
      <c r="P380" s="417">
        <f t="shared" si="60"/>
        <v>29704.25</v>
      </c>
      <c r="Q380" s="441"/>
    </row>
    <row r="381" spans="1:17" s="417" customFormat="1">
      <c r="A381" s="167">
        <v>379</v>
      </c>
      <c r="B381" s="409">
        <v>22675</v>
      </c>
      <c r="C381" s="20" t="str">
        <f>VLOOKUP(A381,'JUNE (물량흐름)'!$A$13:$C$502,2,0)</f>
        <v>ANN TAYLOR</v>
      </c>
      <c r="D381" s="282">
        <f>VLOOKUP(A381,'JUNE (물량흐름)'!$A$13:$C$502,3,0)</f>
        <v>482924</v>
      </c>
      <c r="E381" s="6">
        <f>VLOOKUP(D381,'JUNE (물량흐름)'!$C$13:$W$502,21,0)</f>
        <v>0</v>
      </c>
      <c r="F381" s="6">
        <f t="shared" si="53"/>
        <v>0</v>
      </c>
      <c r="G381" s="6">
        <f>ROUND(SUMIF('In-out-bal products (155)(완성제품)'!$B$12:$B$493,'Sales profit (스타일 별 매출이익)'!D381,'In-out-bal products (155)(완성제품)'!$X$12:$X$493) + SUMIF('In-out-bal products (155)(완성제품)'!$B$12:$B$493,'Sales profit (스타일 별 매출이익)'!D381,'In-out-bal products (155)(완성제품)'!$AA$12:$AA$493),0)</f>
        <v>0</v>
      </c>
      <c r="H381" s="283">
        <f t="shared" si="54"/>
        <v>0</v>
      </c>
      <c r="I381" s="284">
        <f t="shared" si="55"/>
        <v>0</v>
      </c>
      <c r="J381" s="284">
        <f t="shared" si="61"/>
        <v>0</v>
      </c>
      <c r="K381" s="283">
        <v>1.24</v>
      </c>
      <c r="L381" s="285">
        <f t="shared" si="56"/>
        <v>0</v>
      </c>
      <c r="M381" s="285">
        <f t="shared" si="57"/>
        <v>1.24</v>
      </c>
      <c r="N381" s="285">
        <f t="shared" si="58"/>
        <v>0</v>
      </c>
      <c r="O381" s="416">
        <f t="shared" si="59"/>
        <v>0</v>
      </c>
      <c r="P381" s="417">
        <f t="shared" si="60"/>
        <v>28117</v>
      </c>
      <c r="Q381" s="441"/>
    </row>
    <row r="382" spans="1:17" s="417" customFormat="1">
      <c r="A382" s="167">
        <v>380</v>
      </c>
      <c r="B382" s="409">
        <v>22675</v>
      </c>
      <c r="C382" s="20" t="str">
        <f>VLOOKUP(A382,'JUNE (물량흐름)'!$A$13:$C$502,2,0)</f>
        <v>ANN TAYLOR</v>
      </c>
      <c r="D382" s="282">
        <f>VLOOKUP(A382,'JUNE (물량흐름)'!$A$13:$C$502,3,0)</f>
        <v>466742</v>
      </c>
      <c r="E382" s="6">
        <f>VLOOKUP(D382,'JUNE (물량흐름)'!$C$13:$W$502,21,0)</f>
        <v>17958</v>
      </c>
      <c r="F382" s="6">
        <f t="shared" si="53"/>
        <v>618940428</v>
      </c>
      <c r="G382" s="6">
        <f>ROUND(SUMIF('In-out-bal products (155)(완성제품)'!$B$12:$B$493,'Sales profit (스타일 별 매출이익)'!D382,'In-out-bal products (155)(완성제품)'!$X$12:$X$493) + SUMIF('In-out-bal products (155)(완성제품)'!$B$12:$B$493,'Sales profit (스타일 별 매출이익)'!D382,'In-out-bal products (155)(완성제품)'!$AA$12:$AA$493),0)</f>
        <v>544633515</v>
      </c>
      <c r="H382" s="283">
        <f t="shared" si="54"/>
        <v>0.18248364891103866</v>
      </c>
      <c r="I382" s="284">
        <f t="shared" si="55"/>
        <v>4137.8167390578019</v>
      </c>
      <c r="J382" s="284">
        <f t="shared" si="61"/>
        <v>52833906.432196558</v>
      </c>
      <c r="K382" s="283">
        <v>1.52</v>
      </c>
      <c r="L382" s="285">
        <f t="shared" si="56"/>
        <v>1.3375163510889614</v>
      </c>
      <c r="M382" s="285">
        <f t="shared" si="57"/>
        <v>5.2733621050621071E-2</v>
      </c>
      <c r="N382" s="285">
        <f t="shared" si="58"/>
        <v>0.12975002786041756</v>
      </c>
      <c r="O382" s="416">
        <f t="shared" si="59"/>
        <v>27296.16</v>
      </c>
      <c r="P382" s="417">
        <f t="shared" si="60"/>
        <v>34466</v>
      </c>
      <c r="Q382" s="441"/>
    </row>
    <row r="383" spans="1:17" s="417" customFormat="1">
      <c r="A383" s="167">
        <v>381</v>
      </c>
      <c r="B383" s="409">
        <v>22675</v>
      </c>
      <c r="C383" s="20" t="str">
        <f>VLOOKUP(A383,'JUNE (물량흐름)'!$A$13:$C$502,2,0)</f>
        <v>ALFANI</v>
      </c>
      <c r="D383" s="282">
        <f>VLOOKUP(A383,'JUNE (물량흐름)'!$A$13:$C$502,3,0)</f>
        <v>100018226</v>
      </c>
      <c r="E383" s="6">
        <f>VLOOKUP(D383,'JUNE (물량흐름)'!$C$13:$W$502,21,0)</f>
        <v>0</v>
      </c>
      <c r="F383" s="6">
        <f t="shared" si="53"/>
        <v>0</v>
      </c>
      <c r="G383" s="6">
        <f>ROUND(SUMIF('In-out-bal products (155)(완성제품)'!$B$12:$B$493,'Sales profit (스타일 별 매출이익)'!D383,'In-out-bal products (155)(완성제품)'!$X$12:$X$493) + SUMIF('In-out-bal products (155)(완성제품)'!$B$12:$B$493,'Sales profit (스타일 별 매출이익)'!D383,'In-out-bal products (155)(완성제품)'!$AA$12:$AA$493),0)</f>
        <v>0</v>
      </c>
      <c r="H383" s="283">
        <f t="shared" si="54"/>
        <v>0</v>
      </c>
      <c r="I383" s="284">
        <f t="shared" si="55"/>
        <v>0</v>
      </c>
      <c r="J383" s="284">
        <f t="shared" si="61"/>
        <v>0</v>
      </c>
      <c r="K383" s="283">
        <v>1.83</v>
      </c>
      <c r="L383" s="285">
        <f t="shared" si="56"/>
        <v>0</v>
      </c>
      <c r="M383" s="285">
        <f t="shared" si="57"/>
        <v>1.83</v>
      </c>
      <c r="N383" s="285">
        <f t="shared" si="58"/>
        <v>0</v>
      </c>
      <c r="O383" s="416">
        <f t="shared" si="59"/>
        <v>0</v>
      </c>
      <c r="P383" s="417">
        <f t="shared" si="60"/>
        <v>41495.25</v>
      </c>
      <c r="Q383" s="441"/>
    </row>
    <row r="384" spans="1:17" s="417" customFormat="1">
      <c r="A384" s="167">
        <v>382</v>
      </c>
      <c r="B384" s="409">
        <v>22675</v>
      </c>
      <c r="C384" s="20" t="str">
        <f>VLOOKUP(A384,'JUNE (물량흐름)'!$A$13:$C$502,2,0)</f>
        <v>BAR III</v>
      </c>
      <c r="D384" s="282">
        <f>VLOOKUP(A384,'JUNE (물량흐름)'!$A$13:$C$502,3,0)</f>
        <v>100034888</v>
      </c>
      <c r="E384" s="6">
        <f>VLOOKUP(D384,'JUNE (물량흐름)'!$C$13:$W$502,21,0)</f>
        <v>0</v>
      </c>
      <c r="F384" s="6">
        <f t="shared" si="53"/>
        <v>0</v>
      </c>
      <c r="G384" s="6">
        <f>ROUND(SUMIF('In-out-bal products (155)(완성제품)'!$B$12:$B$493,'Sales profit (스타일 별 매출이익)'!D384,'In-out-bal products (155)(완성제품)'!$X$12:$X$493) + SUMIF('In-out-bal products (155)(완성제품)'!$B$12:$B$493,'Sales profit (스타일 별 매출이익)'!D384,'In-out-bal products (155)(완성제품)'!$AA$12:$AA$493),0)</f>
        <v>0</v>
      </c>
      <c r="H384" s="283">
        <f t="shared" si="54"/>
        <v>0</v>
      </c>
      <c r="I384" s="284">
        <f t="shared" si="55"/>
        <v>0</v>
      </c>
      <c r="J384" s="284">
        <f t="shared" si="61"/>
        <v>0</v>
      </c>
      <c r="K384" s="283">
        <v>2</v>
      </c>
      <c r="L384" s="285">
        <f t="shared" si="56"/>
        <v>0</v>
      </c>
      <c r="M384" s="285">
        <f t="shared" si="57"/>
        <v>2</v>
      </c>
      <c r="N384" s="285">
        <f t="shared" si="58"/>
        <v>0</v>
      </c>
      <c r="O384" s="416">
        <f t="shared" si="59"/>
        <v>0</v>
      </c>
      <c r="P384" s="417">
        <f t="shared" si="60"/>
        <v>45350</v>
      </c>
      <c r="Q384" s="441"/>
    </row>
    <row r="385" spans="1:17" s="417" customFormat="1">
      <c r="A385" s="167">
        <v>383</v>
      </c>
      <c r="B385" s="409">
        <v>22675</v>
      </c>
      <c r="C385" s="20" t="str">
        <f>VLOOKUP(A385,'JUNE (물량흐름)'!$A$13:$C$502,2,0)</f>
        <v>BAR III</v>
      </c>
      <c r="D385" s="282">
        <f>VLOOKUP(A385,'JUNE (물량흐름)'!$A$13:$C$502,3,0)</f>
        <v>100035009</v>
      </c>
      <c r="E385" s="6">
        <f>VLOOKUP(D385,'JUNE (물량흐름)'!$C$13:$W$502,21,0)</f>
        <v>3917</v>
      </c>
      <c r="F385" s="6">
        <f t="shared" si="53"/>
        <v>183853208</v>
      </c>
      <c r="G385" s="6">
        <f>ROUND(SUMIF('In-out-bal products (155)(완성제품)'!$B$12:$B$493,'Sales profit (스타일 별 매출이익)'!D385,'In-out-bal products (155)(완성제품)'!$X$12:$X$493) + SUMIF('In-out-bal products (155)(완성제품)'!$B$12:$B$493,'Sales profit (스타일 별 매출이익)'!D385,'In-out-bal products (155)(완성제품)'!$AA$12:$AA$493),0)</f>
        <v>190870792</v>
      </c>
      <c r="H385" s="283">
        <f t="shared" si="54"/>
        <v>-7.901085337737096E-2</v>
      </c>
      <c r="I385" s="284">
        <f t="shared" si="55"/>
        <v>-1791.5711003318866</v>
      </c>
      <c r="J385" s="284">
        <f t="shared" si="61"/>
        <v>15694051.881728385</v>
      </c>
      <c r="K385" s="283">
        <v>2.0699999999999998</v>
      </c>
      <c r="L385" s="285">
        <f t="shared" si="56"/>
        <v>2.1490108505626253</v>
      </c>
      <c r="M385" s="285">
        <f t="shared" si="57"/>
        <v>-0.255709901421738</v>
      </c>
      <c r="N385" s="285">
        <f t="shared" si="58"/>
        <v>0.17669905085911253</v>
      </c>
      <c r="O385" s="416">
        <f t="shared" si="59"/>
        <v>8108.19</v>
      </c>
      <c r="P385" s="417">
        <f t="shared" si="60"/>
        <v>46937.25</v>
      </c>
      <c r="Q385" s="441"/>
    </row>
    <row r="386" spans="1:17" s="417" customFormat="1">
      <c r="A386" s="167">
        <v>387</v>
      </c>
      <c r="B386" s="409">
        <v>22675</v>
      </c>
      <c r="C386" s="20" t="str">
        <f>VLOOKUP(A386,'JUNE (물량흐름)'!$A$13:$C$502,2,0)</f>
        <v>TALBOTS</v>
      </c>
      <c r="D386" s="282">
        <f>VLOOKUP(A386,'JUNE (물량흐름)'!$A$13:$C$502,3,0)</f>
        <v>174034865</v>
      </c>
      <c r="E386" s="6">
        <f>VLOOKUP(D386,'JUNE (물량흐름)'!$C$13:$W$502,21,0)</f>
        <v>0</v>
      </c>
      <c r="F386" s="6">
        <f t="shared" ref="F386:F436" si="62">IFERROR(ROUND(E386*K386*B386,0),0)</f>
        <v>0</v>
      </c>
      <c r="G386" s="6">
        <f>ROUND(SUMIF('In-out-bal products (155)(완성제품)'!$B$12:$B$493,'Sales profit (스타일 별 매출이익)'!D386,'In-out-bal products (155)(완성제품)'!$X$12:$X$493) + SUMIF('In-out-bal products (155)(완성제품)'!$B$12:$B$493,'Sales profit (스타일 별 매출이익)'!D386,'In-out-bal products (155)(완성제품)'!$AA$12:$AA$493),0)</f>
        <v>0</v>
      </c>
      <c r="H386" s="283">
        <f t="shared" ref="H386:H430" si="63">IFERROR(I386/B386,0)</f>
        <v>0</v>
      </c>
      <c r="I386" s="284">
        <f t="shared" ref="I386:I430" si="64">IFERROR((F386-G386)/E386,0)</f>
        <v>0</v>
      </c>
      <c r="J386" s="284">
        <f t="shared" si="61"/>
        <v>0</v>
      </c>
      <c r="K386" s="283">
        <v>1.58</v>
      </c>
      <c r="L386" s="285">
        <f t="shared" ref="L386:L430" si="65">IFERROR(G386/E386/B386,0)</f>
        <v>0</v>
      </c>
      <c r="M386" s="285">
        <f t="shared" ref="M386:M430" si="66">K386-L386-N386</f>
        <v>1.58</v>
      </c>
      <c r="N386" s="285">
        <f t="shared" ref="N386:N430" si="67">IFERROR(J386/E386/B386,0)</f>
        <v>0</v>
      </c>
      <c r="O386" s="416">
        <f t="shared" ref="O386:O436" si="68">ROUND(K386*E386,2)</f>
        <v>0</v>
      </c>
      <c r="P386" s="417">
        <f t="shared" ref="P386:P436" si="69">+B386*K386</f>
        <v>35826.5</v>
      </c>
      <c r="Q386" s="441"/>
    </row>
    <row r="387" spans="1:17" s="417" customFormat="1">
      <c r="A387" s="167">
        <v>388</v>
      </c>
      <c r="B387" s="409">
        <v>22675</v>
      </c>
      <c r="C387" s="20" t="str">
        <f>VLOOKUP(A387,'JUNE (물량흐름)'!$A$13:$C$502,2,0)</f>
        <v>TALBOTS</v>
      </c>
      <c r="D387" s="282">
        <f>VLOOKUP(A387,'JUNE (물량흐름)'!$A$13:$C$502,3,0)</f>
        <v>183034522</v>
      </c>
      <c r="E387" s="6">
        <f>VLOOKUP(D387,'JUNE (물량흐름)'!$C$13:$W$502,21,0)</f>
        <v>5330</v>
      </c>
      <c r="F387" s="6">
        <f t="shared" si="62"/>
        <v>311812995</v>
      </c>
      <c r="G387" s="6">
        <f>ROUND(SUMIF('In-out-bal products (155)(완성제품)'!$B$12:$B$493,'Sales profit (스타일 별 매출이익)'!D387,'In-out-bal products (155)(완성제품)'!$X$12:$X$493) + SUMIF('In-out-bal products (155)(완성제품)'!$B$12:$B$493,'Sales profit (스타일 별 매출이익)'!D387,'In-out-bal products (155)(완성제품)'!$AA$12:$AA$493),0)</f>
        <v>272649175</v>
      </c>
      <c r="H387" s="283">
        <f t="shared" si="63"/>
        <v>0.32404889218937138</v>
      </c>
      <c r="I387" s="284">
        <f t="shared" si="64"/>
        <v>7347.8086303939963</v>
      </c>
      <c r="J387" s="284">
        <f t="shared" si="61"/>
        <v>26616937.360848844</v>
      </c>
      <c r="K387" s="283">
        <v>2.58</v>
      </c>
      <c r="L387" s="285">
        <f t="shared" si="65"/>
        <v>2.2559511078106289</v>
      </c>
      <c r="M387" s="285">
        <f t="shared" si="66"/>
        <v>0.10381529226839925</v>
      </c>
      <c r="N387" s="285">
        <f t="shared" si="67"/>
        <v>0.22023359992097191</v>
      </c>
      <c r="O387" s="416">
        <f>ROUND(K387*E387,2)</f>
        <v>13751.4</v>
      </c>
      <c r="P387" s="417">
        <f t="shared" si="69"/>
        <v>58501.5</v>
      </c>
      <c r="Q387" s="441"/>
    </row>
    <row r="388" spans="1:17" s="417" customFormat="1">
      <c r="A388" s="167">
        <v>400</v>
      </c>
      <c r="B388" s="409">
        <v>22675</v>
      </c>
      <c r="C388" s="20" t="str">
        <f>VLOOKUP(A388,'JUNE (물량흐름)'!$A$13:$C$502,2,0)</f>
        <v>ANN TAYLOR</v>
      </c>
      <c r="D388" s="282">
        <f>VLOOKUP(A388,'JUNE (물량흐름)'!$A$13:$C$502,3,0)</f>
        <v>464202</v>
      </c>
      <c r="E388" s="6">
        <f>VLOOKUP(D388,'JUNE (물량흐름)'!$C$13:$W$502,21,0)</f>
        <v>1090</v>
      </c>
      <c r="F388" s="6">
        <f t="shared" si="62"/>
        <v>92436905</v>
      </c>
      <c r="G388" s="6">
        <f>ROUND(SUMIF('In-out-bal products (155)(완성제품)'!$B$12:$B$493,'Sales profit (스타일 별 매출이익)'!D388,'In-out-bal products (155)(완성제품)'!$X$12:$X$493) + SUMIF('In-out-bal products (155)(완성제품)'!$B$12:$B$493,'Sales profit (스타일 별 매출이익)'!D388,'In-out-bal products (155)(완성제품)'!$AA$12:$AA$493),0)</f>
        <v>87379774</v>
      </c>
      <c r="H388" s="283">
        <f t="shared" si="63"/>
        <v>0.20461167474181444</v>
      </c>
      <c r="I388" s="284">
        <f t="shared" si="64"/>
        <v>4639.5697247706421</v>
      </c>
      <c r="J388" s="284">
        <f t="shared" si="61"/>
        <v>7890586.1836057706</v>
      </c>
      <c r="K388" s="283">
        <v>3.74</v>
      </c>
      <c r="L388" s="285">
        <f t="shared" si="65"/>
        <v>3.5353883252581855</v>
      </c>
      <c r="M388" s="285">
        <f t="shared" si="66"/>
        <v>-0.11464168328316005</v>
      </c>
      <c r="N388" s="285">
        <f t="shared" si="67"/>
        <v>0.31925335802497479</v>
      </c>
      <c r="O388" s="416">
        <f t="shared" si="68"/>
        <v>4076.6</v>
      </c>
      <c r="P388" s="417">
        <f t="shared" si="69"/>
        <v>84804.5</v>
      </c>
      <c r="Q388" s="441"/>
    </row>
    <row r="389" spans="1:17" s="417" customFormat="1">
      <c r="A389" s="167">
        <v>401</v>
      </c>
      <c r="B389" s="409">
        <v>22675</v>
      </c>
      <c r="C389" s="20" t="str">
        <f>VLOOKUP(A389,'JUNE (물량흐름)'!$A$13:$C$502,2,0)</f>
        <v>ANN TAYLOR</v>
      </c>
      <c r="D389" s="282">
        <f>VLOOKUP(A389,'JUNE (물량흐름)'!$A$13:$C$502,3,0)</f>
        <v>464618</v>
      </c>
      <c r="E389" s="6">
        <f>VLOOKUP(D389,'JUNE (물량흐름)'!$C$13:$W$502,21,0)</f>
        <v>0</v>
      </c>
      <c r="F389" s="6">
        <f t="shared" si="62"/>
        <v>0</v>
      </c>
      <c r="G389" s="6">
        <f>ROUND(SUMIF('In-out-bal products (155)(완성제품)'!$B$12:$B$493,'Sales profit (스타일 별 매출이익)'!D389,'In-out-bal products (155)(완성제품)'!$X$12:$X$493) + SUMIF('In-out-bal products (155)(완성제품)'!$B$12:$B$493,'Sales profit (스타일 별 매출이익)'!D389,'In-out-bal products (155)(완성제품)'!$AA$12:$AA$493),0)</f>
        <v>0</v>
      </c>
      <c r="H389" s="283">
        <f t="shared" si="63"/>
        <v>0</v>
      </c>
      <c r="I389" s="284">
        <f t="shared" si="64"/>
        <v>0</v>
      </c>
      <c r="J389" s="284">
        <f t="shared" si="61"/>
        <v>0</v>
      </c>
      <c r="K389" s="283">
        <v>2.73</v>
      </c>
      <c r="L389" s="285">
        <f t="shared" si="65"/>
        <v>0</v>
      </c>
      <c r="M389" s="285">
        <f t="shared" si="66"/>
        <v>2.73</v>
      </c>
      <c r="N389" s="285">
        <f t="shared" si="67"/>
        <v>0</v>
      </c>
      <c r="O389" s="416">
        <f t="shared" si="68"/>
        <v>0</v>
      </c>
      <c r="P389" s="417">
        <f t="shared" si="69"/>
        <v>61902.75</v>
      </c>
      <c r="Q389" s="441"/>
    </row>
    <row r="390" spans="1:17" s="417" customFormat="1">
      <c r="A390" s="167">
        <v>402</v>
      </c>
      <c r="B390" s="409">
        <v>22675</v>
      </c>
      <c r="C390" s="20" t="str">
        <f>VLOOKUP(A390,'JUNE (물량흐름)'!$A$13:$C$502,2,0)</f>
        <v>ANN TAYLOR</v>
      </c>
      <c r="D390" s="282">
        <f>VLOOKUP(A390,'JUNE (물량흐름)'!$A$13:$C$502,3,0)</f>
        <v>466748</v>
      </c>
      <c r="E390" s="6">
        <f>VLOOKUP(D390,'JUNE (물량흐름)'!$C$13:$W$502,21,0)</f>
        <v>748</v>
      </c>
      <c r="F390" s="6">
        <f t="shared" si="62"/>
        <v>24932523</v>
      </c>
      <c r="G390" s="6">
        <f>ROUND(SUMIF('In-out-bal products (155)(완성제품)'!$B$12:$B$493,'Sales profit (스타일 별 매출이익)'!D390,'In-out-bal products (155)(완성제품)'!$X$12:$X$493) + SUMIF('In-out-bal products (155)(완성제품)'!$B$12:$B$493,'Sales profit (스타일 별 매출이익)'!D390,'In-out-bal products (155)(완성제품)'!$AA$12:$AA$493),0)</f>
        <v>22191865</v>
      </c>
      <c r="H390" s="283">
        <f t="shared" si="63"/>
        <v>0.16158682617078104</v>
      </c>
      <c r="I390" s="284">
        <f t="shared" si="64"/>
        <v>3663.9812834224599</v>
      </c>
      <c r="J390" s="284">
        <f t="shared" si="61"/>
        <v>2128286.5486055929</v>
      </c>
      <c r="K390" s="283">
        <v>1.47</v>
      </c>
      <c r="L390" s="285">
        <f t="shared" si="65"/>
        <v>1.3084131738292188</v>
      </c>
      <c r="M390" s="285">
        <f t="shared" si="66"/>
        <v>3.610489133208783E-2</v>
      </c>
      <c r="N390" s="285">
        <f t="shared" si="67"/>
        <v>0.1254819348386933</v>
      </c>
      <c r="O390" s="416">
        <f t="shared" si="68"/>
        <v>1099.56</v>
      </c>
      <c r="P390" s="417">
        <f>+B390*K390</f>
        <v>33332.25</v>
      </c>
      <c r="Q390" s="441"/>
    </row>
    <row r="391" spans="1:17" s="417" customFormat="1">
      <c r="A391" s="167">
        <v>403</v>
      </c>
      <c r="B391" s="409">
        <v>22675</v>
      </c>
      <c r="C391" s="20" t="str">
        <f>VLOOKUP(A391,'JUNE (물량흐름)'!$A$13:$C$502,2,0)</f>
        <v>ANN TAYLOR</v>
      </c>
      <c r="D391" s="282">
        <f>VLOOKUP(A391,'JUNE (물량흐름)'!$A$13:$C$502,3,0)</f>
        <v>468918</v>
      </c>
      <c r="E391" s="6">
        <f>VLOOKUP(D391,'JUNE (물량흐름)'!$C$13:$W$502,21,0)</f>
        <v>300</v>
      </c>
      <c r="F391" s="6">
        <f t="shared" si="62"/>
        <v>23468625</v>
      </c>
      <c r="G391" s="6">
        <f>ROUND(SUMIF('In-out-bal products (155)(완성제품)'!$B$12:$B$493,'Sales profit (스타일 별 매출이익)'!D391,'In-out-bal products (155)(완성제품)'!$X$12:$X$493) + SUMIF('In-out-bal products (155)(완성제품)'!$B$12:$B$493,'Sales profit (스타일 별 매출이익)'!D391,'In-out-bal products (155)(완성제품)'!$AA$12:$AA$493),0)</f>
        <v>21096540</v>
      </c>
      <c r="H391" s="283">
        <f t="shared" si="63"/>
        <v>0.34870782800441014</v>
      </c>
      <c r="I391" s="284">
        <f t="shared" si="64"/>
        <v>7906.95</v>
      </c>
      <c r="J391" s="284">
        <f t="shared" si="61"/>
        <v>2003325.491839271</v>
      </c>
      <c r="K391" s="283">
        <v>3.45</v>
      </c>
      <c r="L391" s="285">
        <f t="shared" si="65"/>
        <v>3.1012921719955902</v>
      </c>
      <c r="M391" s="285">
        <f t="shared" si="66"/>
        <v>5.4209409505435957E-2</v>
      </c>
      <c r="N391" s="285">
        <f t="shared" si="67"/>
        <v>0.29449841849897407</v>
      </c>
      <c r="O391" s="416">
        <f t="shared" si="68"/>
        <v>1035</v>
      </c>
      <c r="P391" s="417">
        <f t="shared" si="69"/>
        <v>78228.75</v>
      </c>
      <c r="Q391" s="441"/>
    </row>
    <row r="392" spans="1:17" s="417" customFormat="1">
      <c r="A392" s="167">
        <v>404</v>
      </c>
      <c r="B392" s="409">
        <v>22675</v>
      </c>
      <c r="C392" s="20" t="str">
        <f>VLOOKUP(A392,'JUNE (물량흐름)'!$A$13:$C$502,2,0)</f>
        <v>ANN TAYLOR</v>
      </c>
      <c r="D392" s="282">
        <f>VLOOKUP(A392,'JUNE (물량흐름)'!$A$13:$C$502,3,0)</f>
        <v>469040</v>
      </c>
      <c r="E392" s="6">
        <f>VLOOKUP(D392,'JUNE (물량흐름)'!$C$13:$W$502,21,0)</f>
        <v>6550</v>
      </c>
      <c r="F392" s="6">
        <f t="shared" si="62"/>
        <v>225752300</v>
      </c>
      <c r="G392" s="6">
        <f>ROUND(SUMIF('In-out-bal products (155)(완성제품)'!$B$12:$B$493,'Sales profit (스타일 별 매출이익)'!D392,'In-out-bal products (155)(완성제품)'!$X$12:$X$493) + SUMIF('In-out-bal products (155)(완성제품)'!$B$12:$B$493,'Sales profit (스타일 별 매출이익)'!D392,'In-out-bal products (155)(완성제품)'!$AA$12:$AA$493),0)</f>
        <v>194452517</v>
      </c>
      <c r="H392" s="283">
        <f t="shared" si="63"/>
        <v>0.2107427926980146</v>
      </c>
      <c r="I392" s="284">
        <f t="shared" si="64"/>
        <v>4778.592824427481</v>
      </c>
      <c r="J392" s="284">
        <f t="shared" ref="J392:J434" si="70">IFERROR(F392*$J$492/$F$492,0)</f>
        <v>19270636.325364042</v>
      </c>
      <c r="K392" s="283">
        <v>1.52</v>
      </c>
      <c r="L392" s="285">
        <f t="shared" si="65"/>
        <v>1.3092572073019855</v>
      </c>
      <c r="M392" s="285">
        <f t="shared" si="66"/>
        <v>8.0992764837596987E-2</v>
      </c>
      <c r="N392" s="285">
        <f t="shared" si="67"/>
        <v>0.12975002786041756</v>
      </c>
      <c r="O392" s="416">
        <f t="shared" si="68"/>
        <v>9956</v>
      </c>
      <c r="P392" s="417">
        <f t="shared" si="69"/>
        <v>34466</v>
      </c>
      <c r="Q392" s="441"/>
    </row>
    <row r="393" spans="1:17" s="417" customFormat="1">
      <c r="A393" s="167">
        <v>405</v>
      </c>
      <c r="B393" s="409">
        <v>22675</v>
      </c>
      <c r="C393" s="20" t="str">
        <f>VLOOKUP(A393,'JUNE (물량흐름)'!$A$13:$C$502,2,0)</f>
        <v>ANN TAYLOR</v>
      </c>
      <c r="D393" s="282">
        <f>VLOOKUP(A393,'JUNE (물량흐름)'!$A$13:$C$502,3,0)</f>
        <v>469041</v>
      </c>
      <c r="E393" s="6">
        <f>VLOOKUP(D393,'JUNE (물량흐름)'!$C$13:$W$502,21,0)</f>
        <v>403</v>
      </c>
      <c r="F393" s="6">
        <f t="shared" si="62"/>
        <v>13889798</v>
      </c>
      <c r="G393" s="6">
        <f>ROUND(SUMIF('In-out-bal products (155)(완성제품)'!$B$12:$B$493,'Sales profit (스타일 별 매출이익)'!D393,'In-out-bal products (155)(완성제품)'!$X$12:$X$493) + SUMIF('In-out-bal products (155)(완성제품)'!$B$12:$B$493,'Sales profit (스타일 별 매출이익)'!D393,'In-out-bal products (155)(완성제품)'!$AA$12:$AA$493),0)</f>
        <v>12664370</v>
      </c>
      <c r="H393" s="283">
        <f t="shared" si="63"/>
        <v>0.13410206253539469</v>
      </c>
      <c r="I393" s="284">
        <f t="shared" si="64"/>
        <v>3040.7642679900746</v>
      </c>
      <c r="J393" s="284">
        <f t="shared" si="70"/>
        <v>1185658.998339192</v>
      </c>
      <c r="K393" s="283">
        <v>1.52</v>
      </c>
      <c r="L393" s="285">
        <f t="shared" si="65"/>
        <v>1.3858979374646052</v>
      </c>
      <c r="M393" s="285">
        <f t="shared" si="66"/>
        <v>4.3520346749772731E-3</v>
      </c>
      <c r="N393" s="285">
        <f t="shared" si="67"/>
        <v>0.12975002786041753</v>
      </c>
      <c r="O393" s="416">
        <f t="shared" si="68"/>
        <v>612.55999999999995</v>
      </c>
      <c r="P393" s="417">
        <f t="shared" si="69"/>
        <v>34466</v>
      </c>
      <c r="Q393" s="441"/>
    </row>
    <row r="394" spans="1:17" s="417" customFormat="1">
      <c r="A394" s="167">
        <v>406</v>
      </c>
      <c r="B394" s="409">
        <v>22675</v>
      </c>
      <c r="C394" s="20" t="str">
        <f>VLOOKUP(A394,'JUNE (물량흐름)'!$A$13:$C$502,2,0)</f>
        <v>ANN TAYLOR</v>
      </c>
      <c r="D394" s="282">
        <f>VLOOKUP(A394,'JUNE (물량흐름)'!$A$13:$C$502,3,0)</f>
        <v>469042</v>
      </c>
      <c r="E394" s="6">
        <f>VLOOKUP(D394,'JUNE (물량흐름)'!$C$13:$W$502,21,0)</f>
        <v>5394</v>
      </c>
      <c r="F394" s="6">
        <f t="shared" si="62"/>
        <v>185909604</v>
      </c>
      <c r="G394" s="6">
        <f>ROUND(SUMIF('In-out-bal products (155)(완성제품)'!$B$12:$B$493,'Sales profit (스타일 별 매출이익)'!D394,'In-out-bal products (155)(완성제품)'!$X$12:$X$493) + SUMIF('In-out-bal products (155)(완성제품)'!$B$12:$B$493,'Sales profit (스타일 별 매출이익)'!D394,'In-out-bal products (155)(완성제품)'!$AA$12:$AA$493),0)</f>
        <v>157128464</v>
      </c>
      <c r="H394" s="283">
        <f t="shared" si="63"/>
        <v>0.23531507710596811</v>
      </c>
      <c r="I394" s="284">
        <f t="shared" si="64"/>
        <v>5335.7693733778269</v>
      </c>
      <c r="J394" s="284">
        <f t="shared" si="70"/>
        <v>15869589.670078419</v>
      </c>
      <c r="K394" s="283">
        <v>1.52</v>
      </c>
      <c r="L394" s="285">
        <f t="shared" si="65"/>
        <v>1.2846849228940318</v>
      </c>
      <c r="M394" s="285">
        <f t="shared" si="66"/>
        <v>0.10556504924555066</v>
      </c>
      <c r="N394" s="285">
        <f t="shared" si="67"/>
        <v>0.12975002786041756</v>
      </c>
      <c r="O394" s="416">
        <f t="shared" si="68"/>
        <v>8198.8799999999992</v>
      </c>
      <c r="P394" s="417">
        <f t="shared" si="69"/>
        <v>34466</v>
      </c>
      <c r="Q394" s="441"/>
    </row>
    <row r="395" spans="1:17" s="417" customFormat="1">
      <c r="A395" s="167">
        <v>407</v>
      </c>
      <c r="B395" s="409">
        <v>22675</v>
      </c>
      <c r="C395" s="20" t="str">
        <f>VLOOKUP(A395,'JUNE (물량흐름)'!$A$13:$C$502,2,0)</f>
        <v>ANN TAYLOR</v>
      </c>
      <c r="D395" s="282">
        <f>VLOOKUP(A395,'JUNE (물량흐름)'!$A$13:$C$502,3,0)</f>
        <v>470341</v>
      </c>
      <c r="E395" s="6">
        <f>VLOOKUP(D395,'JUNE (물량흐름)'!$C$13:$W$502,21,0)</f>
        <v>432</v>
      </c>
      <c r="F395" s="6">
        <f t="shared" si="62"/>
        <v>14399532</v>
      </c>
      <c r="G395" s="6">
        <f>ROUND(SUMIF('In-out-bal products (155)(완성제품)'!$B$12:$B$493,'Sales profit (스타일 별 매출이익)'!D395,'In-out-bal products (155)(완성제품)'!$X$12:$X$493) + SUMIF('In-out-bal products (155)(완성제품)'!$B$12:$B$493,'Sales profit (스타일 별 매출이익)'!D395,'In-out-bal products (155)(완성제품)'!$AA$12:$AA$493),0)</f>
        <v>12949788</v>
      </c>
      <c r="H395" s="283">
        <f t="shared" si="63"/>
        <v>0.14799950998407446</v>
      </c>
      <c r="I395" s="284">
        <f t="shared" si="64"/>
        <v>3355.8888888888887</v>
      </c>
      <c r="J395" s="284">
        <f t="shared" si="70"/>
        <v>1229170.8409059041</v>
      </c>
      <c r="K395" s="283">
        <v>1.47</v>
      </c>
      <c r="L395" s="285">
        <f t="shared" si="65"/>
        <v>1.3220004900159255</v>
      </c>
      <c r="M395" s="285">
        <f t="shared" si="66"/>
        <v>2.2517575145381219E-2</v>
      </c>
      <c r="N395" s="285">
        <f t="shared" si="67"/>
        <v>0.1254819348386933</v>
      </c>
      <c r="O395" s="416">
        <f t="shared" si="68"/>
        <v>635.04</v>
      </c>
      <c r="P395" s="417">
        <f t="shared" si="69"/>
        <v>33332.25</v>
      </c>
      <c r="Q395" s="441"/>
    </row>
    <row r="396" spans="1:17" s="417" customFormat="1">
      <c r="A396" s="167">
        <v>408</v>
      </c>
      <c r="B396" s="409">
        <v>22675</v>
      </c>
      <c r="C396" s="20" t="str">
        <f>VLOOKUP(A396,'JUNE (물량흐름)'!$A$13:$C$502,2,0)</f>
        <v>ANN TAYLOR</v>
      </c>
      <c r="D396" s="282">
        <f>VLOOKUP(A396,'JUNE (물량흐름)'!$A$13:$C$502,3,0)</f>
        <v>471140</v>
      </c>
      <c r="E396" s="6">
        <f>VLOOKUP(D396,'JUNE (물량흐름)'!$C$13:$W$502,21,0)</f>
        <v>0</v>
      </c>
      <c r="F396" s="6">
        <f t="shared" si="62"/>
        <v>0</v>
      </c>
      <c r="G396" s="6">
        <f>ROUND(SUMIF('In-out-bal products (155)(완성제품)'!$B$12:$B$493,'Sales profit (스타일 별 매출이익)'!D396,'In-out-bal products (155)(완성제품)'!$X$12:$X$493) + SUMIF('In-out-bal products (155)(완성제품)'!$B$12:$B$493,'Sales profit (스타일 별 매출이익)'!D396,'In-out-bal products (155)(완성제품)'!$AA$12:$AA$493),0)</f>
        <v>0</v>
      </c>
      <c r="H396" s="283">
        <f t="shared" si="63"/>
        <v>0</v>
      </c>
      <c r="I396" s="284">
        <f t="shared" si="64"/>
        <v>0</v>
      </c>
      <c r="J396" s="284">
        <f t="shared" si="70"/>
        <v>0</v>
      </c>
      <c r="K396" s="283">
        <v>0.36</v>
      </c>
      <c r="L396" s="285">
        <f t="shared" si="65"/>
        <v>0</v>
      </c>
      <c r="M396" s="285">
        <f t="shared" si="66"/>
        <v>0.36</v>
      </c>
      <c r="N396" s="285">
        <f t="shared" si="67"/>
        <v>0</v>
      </c>
      <c r="O396" s="416">
        <f t="shared" si="68"/>
        <v>0</v>
      </c>
      <c r="P396" s="417">
        <f t="shared" si="69"/>
        <v>8163</v>
      </c>
      <c r="Q396" s="441"/>
    </row>
    <row r="397" spans="1:17" s="417" customFormat="1">
      <c r="A397" s="167">
        <v>409</v>
      </c>
      <c r="B397" s="409">
        <v>22675</v>
      </c>
      <c r="C397" s="20" t="str">
        <f>VLOOKUP(A397,'JUNE (물량흐름)'!$A$13:$C$502,2,0)</f>
        <v>ANN TAYLOR</v>
      </c>
      <c r="D397" s="282">
        <f>VLOOKUP(A397,'JUNE (물량흐름)'!$A$13:$C$502,3,0)</f>
        <v>473551</v>
      </c>
      <c r="E397" s="6">
        <f>VLOOKUP(D397,'JUNE (물량흐름)'!$C$13:$W$502,21,0)</f>
        <v>0</v>
      </c>
      <c r="F397" s="6">
        <f t="shared" si="62"/>
        <v>0</v>
      </c>
      <c r="G397" s="6">
        <f>ROUND(SUMIF('In-out-bal products (155)(완성제품)'!$B$12:$B$493,'Sales profit (스타일 별 매출이익)'!D397,'In-out-bal products (155)(완성제품)'!$X$12:$X$493) + SUMIF('In-out-bal products (155)(완성제품)'!$B$12:$B$493,'Sales profit (스타일 별 매출이익)'!D397,'In-out-bal products (155)(완성제품)'!$AA$12:$AA$493),0)</f>
        <v>0</v>
      </c>
      <c r="H397" s="283">
        <f t="shared" si="63"/>
        <v>0</v>
      </c>
      <c r="I397" s="284">
        <f t="shared" si="64"/>
        <v>0</v>
      </c>
      <c r="J397" s="284">
        <f t="shared" si="70"/>
        <v>0</v>
      </c>
      <c r="K397" s="283">
        <v>0.35</v>
      </c>
      <c r="L397" s="285">
        <f t="shared" si="65"/>
        <v>0</v>
      </c>
      <c r="M397" s="285">
        <f t="shared" si="66"/>
        <v>0.35</v>
      </c>
      <c r="N397" s="285">
        <f t="shared" si="67"/>
        <v>0</v>
      </c>
      <c r="O397" s="416">
        <f t="shared" si="68"/>
        <v>0</v>
      </c>
      <c r="P397" s="417">
        <f t="shared" si="69"/>
        <v>7936.2499999999991</v>
      </c>
      <c r="Q397" s="441"/>
    </row>
    <row r="398" spans="1:17" s="417" customFormat="1">
      <c r="A398" s="167">
        <v>410</v>
      </c>
      <c r="B398" s="409">
        <v>22675</v>
      </c>
      <c r="C398" s="20" t="str">
        <f>VLOOKUP(A398,'JUNE (물량흐름)'!$A$13:$C$502,2,0)</f>
        <v>ANN TAYLOR</v>
      </c>
      <c r="D398" s="282">
        <f>VLOOKUP(A398,'JUNE (물량흐름)'!$A$13:$C$502,3,0)</f>
        <v>474753</v>
      </c>
      <c r="E398" s="6">
        <f>VLOOKUP(D398,'JUNE (물량흐름)'!$C$13:$W$502,21,0)</f>
        <v>63</v>
      </c>
      <c r="F398" s="6">
        <f t="shared" si="62"/>
        <v>2757053</v>
      </c>
      <c r="G398" s="6">
        <f>ROUND(SUMIF('In-out-bal products (155)(완성제품)'!$B$12:$B$493,'Sales profit (스타일 별 매출이익)'!D398,'In-out-bal products (155)(완성제품)'!$X$12:$X$493) + SUMIF('In-out-bal products (155)(완성제품)'!$B$12:$B$493,'Sales profit (스타일 별 매출이익)'!D398,'In-out-bal products (155)(완성제품)'!$AA$12:$AA$493),0)</f>
        <v>2491936</v>
      </c>
      <c r="H398" s="283">
        <f t="shared" si="63"/>
        <v>0.18558793160777723</v>
      </c>
      <c r="I398" s="284">
        <f t="shared" si="64"/>
        <v>4208.2063492063489</v>
      </c>
      <c r="J398" s="284">
        <f t="shared" si="70"/>
        <v>235347.17339647881</v>
      </c>
      <c r="K398" s="283">
        <v>1.93</v>
      </c>
      <c r="L398" s="285">
        <f t="shared" si="65"/>
        <v>1.7444118933865351</v>
      </c>
      <c r="M398" s="285">
        <f t="shared" si="66"/>
        <v>2.0839730913719406E-2</v>
      </c>
      <c r="N398" s="285">
        <f t="shared" si="67"/>
        <v>0.1647483756997454</v>
      </c>
      <c r="O398" s="416">
        <f t="shared" si="68"/>
        <v>121.59</v>
      </c>
      <c r="P398" s="417">
        <f t="shared" si="69"/>
        <v>43762.75</v>
      </c>
      <c r="Q398" s="441"/>
    </row>
    <row r="399" spans="1:17" s="417" customFormat="1">
      <c r="A399" s="167">
        <v>411</v>
      </c>
      <c r="B399" s="409">
        <v>22675</v>
      </c>
      <c r="C399" s="20" t="str">
        <f>VLOOKUP(A399,'JUNE (물량흐름)'!$A$13:$C$502,2,0)</f>
        <v>ANN TAYLOR</v>
      </c>
      <c r="D399" s="282">
        <f>VLOOKUP(A399,'JUNE (물량흐름)'!$A$13:$C$502,3,0)</f>
        <v>474874</v>
      </c>
      <c r="E399" s="6">
        <f>VLOOKUP(D399,'JUNE (물량흐름)'!$C$13:$W$502,21,0)</f>
        <v>0</v>
      </c>
      <c r="F399" s="6">
        <f t="shared" si="62"/>
        <v>0</v>
      </c>
      <c r="G399" s="6">
        <f>ROUND(SUMIF('In-out-bal products (155)(완성제품)'!$B$12:$B$493,'Sales profit (스타일 별 매출이익)'!D399,'In-out-bal products (155)(완성제품)'!$X$12:$X$493) + SUMIF('In-out-bal products (155)(완성제품)'!$B$12:$B$493,'Sales profit (스타일 별 매출이익)'!D399,'In-out-bal products (155)(완성제품)'!$AA$12:$AA$493),0)</f>
        <v>0</v>
      </c>
      <c r="H399" s="283">
        <f t="shared" si="63"/>
        <v>0</v>
      </c>
      <c r="I399" s="284">
        <f t="shared" si="64"/>
        <v>0</v>
      </c>
      <c r="J399" s="284">
        <f t="shared" si="70"/>
        <v>0</v>
      </c>
      <c r="K399" s="283">
        <v>2.58</v>
      </c>
      <c r="L399" s="285">
        <f t="shared" si="65"/>
        <v>0</v>
      </c>
      <c r="M399" s="285">
        <f t="shared" si="66"/>
        <v>2.58</v>
      </c>
      <c r="N399" s="285">
        <f t="shared" si="67"/>
        <v>0</v>
      </c>
      <c r="O399" s="416">
        <f t="shared" si="68"/>
        <v>0</v>
      </c>
      <c r="P399" s="417">
        <f t="shared" si="69"/>
        <v>58501.5</v>
      </c>
      <c r="Q399" s="441"/>
    </row>
    <row r="400" spans="1:17" s="417" customFormat="1">
      <c r="A400" s="167">
        <v>412</v>
      </c>
      <c r="B400" s="409">
        <v>22675</v>
      </c>
      <c r="C400" s="20" t="str">
        <f>VLOOKUP(A400,'JUNE (물량흐름)'!$A$13:$C$502,2,0)</f>
        <v>ANN TAYLOR</v>
      </c>
      <c r="D400" s="282">
        <f>VLOOKUP(A400,'JUNE (물량흐름)'!$A$13:$C$502,3,0)</f>
        <v>475746</v>
      </c>
      <c r="E400" s="6">
        <f>VLOOKUP(D400,'JUNE (물량흐름)'!$C$13:$W$502,21,0)</f>
        <v>0</v>
      </c>
      <c r="F400" s="6">
        <f t="shared" si="62"/>
        <v>0</v>
      </c>
      <c r="G400" s="6">
        <f>ROUND(SUMIF('In-out-bal products (155)(완성제품)'!$B$12:$B$493,'Sales profit (스타일 별 매출이익)'!D400,'In-out-bal products (155)(완성제품)'!$X$12:$X$493) + SUMIF('In-out-bal products (155)(완성제품)'!$B$12:$B$493,'Sales profit (스타일 별 매출이익)'!D400,'In-out-bal products (155)(완성제품)'!$AA$12:$AA$493),0)</f>
        <v>0</v>
      </c>
      <c r="H400" s="283">
        <f t="shared" si="63"/>
        <v>0</v>
      </c>
      <c r="I400" s="284">
        <f t="shared" si="64"/>
        <v>0</v>
      </c>
      <c r="J400" s="284">
        <f t="shared" si="70"/>
        <v>0</v>
      </c>
      <c r="K400" s="283">
        <v>0.35</v>
      </c>
      <c r="L400" s="285">
        <f t="shared" si="65"/>
        <v>0</v>
      </c>
      <c r="M400" s="285">
        <f t="shared" si="66"/>
        <v>0.35</v>
      </c>
      <c r="N400" s="285">
        <f t="shared" si="67"/>
        <v>0</v>
      </c>
      <c r="O400" s="416">
        <f t="shared" si="68"/>
        <v>0</v>
      </c>
      <c r="P400" s="417">
        <f t="shared" si="69"/>
        <v>7936.2499999999991</v>
      </c>
      <c r="Q400" s="441"/>
    </row>
    <row r="401" spans="1:17" s="417" customFormat="1">
      <c r="A401" s="167">
        <v>414</v>
      </c>
      <c r="B401" s="409">
        <v>22675</v>
      </c>
      <c r="C401" s="20" t="str">
        <f>VLOOKUP(A401,'JUNE (물량흐름)'!$A$13:$C$502,2,0)</f>
        <v>ANN TAYLOR</v>
      </c>
      <c r="D401" s="282">
        <f>VLOOKUP(A401,'JUNE (물량흐름)'!$A$13:$C$502,3,0)</f>
        <v>472085</v>
      </c>
      <c r="E401" s="6">
        <f>VLOOKUP(D401,'JUNE (물량흐름)'!$C$13:$W$502,21,0)</f>
        <v>0</v>
      </c>
      <c r="F401" s="6">
        <f t="shared" si="62"/>
        <v>0</v>
      </c>
      <c r="G401" s="6">
        <f>ROUND(SUMIF('In-out-bal products (155)(완성제품)'!$B$12:$B$493,'Sales profit (스타일 별 매출이익)'!D401,'In-out-bal products (155)(완성제품)'!$X$12:$X$493) + SUMIF('In-out-bal products (155)(완성제품)'!$B$12:$B$493,'Sales profit (스타일 별 매출이익)'!D401,'In-out-bal products (155)(완성제품)'!$AA$12:$AA$493),0)</f>
        <v>0</v>
      </c>
      <c r="H401" s="283">
        <f t="shared" si="63"/>
        <v>0</v>
      </c>
      <c r="I401" s="284">
        <f t="shared" si="64"/>
        <v>0</v>
      </c>
      <c r="J401" s="284">
        <f t="shared" si="70"/>
        <v>0</v>
      </c>
      <c r="K401" s="283">
        <v>0.35</v>
      </c>
      <c r="L401" s="285">
        <f t="shared" si="65"/>
        <v>0</v>
      </c>
      <c r="M401" s="285">
        <f t="shared" si="66"/>
        <v>0.35</v>
      </c>
      <c r="N401" s="285">
        <f t="shared" si="67"/>
        <v>0</v>
      </c>
      <c r="O401" s="416">
        <f t="shared" si="68"/>
        <v>0</v>
      </c>
      <c r="P401" s="417">
        <f t="shared" si="69"/>
        <v>7936.2499999999991</v>
      </c>
      <c r="Q401" s="441"/>
    </row>
    <row r="402" spans="1:17" s="417" customFormat="1">
      <c r="A402" s="167">
        <v>415</v>
      </c>
      <c r="B402" s="409">
        <v>22675</v>
      </c>
      <c r="C402" s="20" t="str">
        <f>VLOOKUP(A402,'JUNE (물량흐름)'!$A$13:$C$502,2,0)</f>
        <v>ANN TAYLOR</v>
      </c>
      <c r="D402" s="282">
        <f>VLOOKUP(A402,'JUNE (물량흐름)'!$A$13:$C$502,3,0)</f>
        <v>472371</v>
      </c>
      <c r="E402" s="6">
        <f>VLOOKUP(D402,'JUNE (물량흐름)'!$C$13:$W$502,21,0)</f>
        <v>6155</v>
      </c>
      <c r="F402" s="6">
        <f t="shared" si="62"/>
        <v>509410881</v>
      </c>
      <c r="G402" s="6">
        <f>ROUND(SUMIF('In-out-bal products (155)(완성제품)'!$B$12:$B$493,'Sales profit (스타일 별 매출이익)'!D402,'In-out-bal products (155)(완성제품)'!$X$12:$X$493) + SUMIF('In-out-bal products (155)(완성제품)'!$B$12:$B$493,'Sales profit (스타일 별 매출이익)'!D402,'In-out-bal products (155)(완성제품)'!$AA$12:$AA$493),0)</f>
        <v>447442639</v>
      </c>
      <c r="H402" s="283">
        <f t="shared" si="63"/>
        <v>0.44401109521843379</v>
      </c>
      <c r="I402" s="284">
        <f t="shared" si="64"/>
        <v>10067.951584077986</v>
      </c>
      <c r="J402" s="284">
        <f t="shared" si="70"/>
        <v>43484260.527730167</v>
      </c>
      <c r="K402" s="283">
        <v>3.65</v>
      </c>
      <c r="L402" s="285">
        <f t="shared" si="65"/>
        <v>3.2059889029902813</v>
      </c>
      <c r="M402" s="285">
        <f t="shared" si="66"/>
        <v>0.13244030657675493</v>
      </c>
      <c r="N402" s="285">
        <f t="shared" si="67"/>
        <v>0.31157079043296371</v>
      </c>
      <c r="O402" s="416">
        <f t="shared" si="68"/>
        <v>22465.75</v>
      </c>
      <c r="P402" s="417">
        <f t="shared" si="69"/>
        <v>82763.75</v>
      </c>
      <c r="Q402" s="441"/>
    </row>
    <row r="403" spans="1:17" s="417" customFormat="1">
      <c r="A403" s="167">
        <v>416</v>
      </c>
      <c r="B403" s="409">
        <v>22675</v>
      </c>
      <c r="C403" s="20" t="str">
        <f>VLOOKUP(A403,'JUNE (물량흐름)'!$A$13:$C$502,2,0)</f>
        <v>ANN TAYLOR</v>
      </c>
      <c r="D403" s="282">
        <f>VLOOKUP(A403,'JUNE (물량흐름)'!$A$13:$C$502,3,0)</f>
        <v>474932</v>
      </c>
      <c r="E403" s="6">
        <f>VLOOKUP(D403,'JUNE (물량흐름)'!$C$13:$W$502,21,0)</f>
        <v>22960</v>
      </c>
      <c r="F403" s="6">
        <f t="shared" si="62"/>
        <v>890256780</v>
      </c>
      <c r="G403" s="6">
        <f>ROUND(SUMIF('In-out-bal products (155)(완성제품)'!$B$12:$B$493,'Sales profit (스타일 별 매출이익)'!D403,'In-out-bal products (155)(완성제품)'!$X$12:$X$493) + SUMIF('In-out-bal products (155)(완성제품)'!$B$12:$B$493,'Sales profit (스타일 별 매출이익)'!D403,'In-out-bal products (155)(완성제품)'!$AA$12:$AA$493),0)</f>
        <v>782563489</v>
      </c>
      <c r="H403" s="283">
        <f t="shared" si="63"/>
        <v>0.2068566415298741</v>
      </c>
      <c r="I403" s="284">
        <f t="shared" si="64"/>
        <v>4690.4743466898954</v>
      </c>
      <c r="J403" s="284">
        <f t="shared" si="70"/>
        <v>75993975.005214229</v>
      </c>
      <c r="K403" s="283">
        <v>1.71</v>
      </c>
      <c r="L403" s="285">
        <f t="shared" si="65"/>
        <v>1.5031433584701259</v>
      </c>
      <c r="M403" s="285">
        <f t="shared" si="66"/>
        <v>6.0887860186904286E-2</v>
      </c>
      <c r="N403" s="285">
        <f t="shared" si="67"/>
        <v>0.14596878134296976</v>
      </c>
      <c r="O403" s="416">
        <f t="shared" si="68"/>
        <v>39261.599999999999</v>
      </c>
      <c r="P403" s="417">
        <f t="shared" si="69"/>
        <v>38774.25</v>
      </c>
      <c r="Q403" s="441"/>
    </row>
    <row r="404" spans="1:17" s="417" customFormat="1">
      <c r="A404" s="167">
        <v>417</v>
      </c>
      <c r="B404" s="409">
        <v>22675</v>
      </c>
      <c r="C404" s="20" t="str">
        <f>VLOOKUP(A404,'JUNE (물량흐름)'!$A$13:$C$502,2,0)</f>
        <v>ANN TAYLOR</v>
      </c>
      <c r="D404" s="282">
        <f>VLOOKUP(A404,'JUNE (물량흐름)'!$A$13:$C$502,3,0)</f>
        <v>476091</v>
      </c>
      <c r="E404" s="6">
        <f>VLOOKUP(D404,'JUNE (물량흐름)'!$C$13:$W$502,21,0)</f>
        <v>7953</v>
      </c>
      <c r="F404" s="6">
        <f t="shared" si="62"/>
        <v>348045151</v>
      </c>
      <c r="G404" s="6">
        <f>ROUND(SUMIF('In-out-bal products (155)(완성제품)'!$B$12:$B$493,'Sales profit (스타일 별 매출이익)'!D404,'In-out-bal products (155)(완성제품)'!$X$12:$X$493) + SUMIF('In-out-bal products (155)(완성제품)'!$B$12:$B$493,'Sales profit (스타일 별 매출이익)'!D404,'In-out-bal products (155)(완성제품)'!$AA$12:$AA$493),0)</f>
        <v>309294020</v>
      </c>
      <c r="H404" s="283">
        <f t="shared" si="63"/>
        <v>0.21488500175576716</v>
      </c>
      <c r="I404" s="284">
        <f t="shared" si="64"/>
        <v>4872.5174148120204</v>
      </c>
      <c r="J404" s="284">
        <f t="shared" si="70"/>
        <v>29709781.604561336</v>
      </c>
      <c r="K404" s="283">
        <v>1.93</v>
      </c>
      <c r="L404" s="285">
        <f t="shared" si="65"/>
        <v>1.715114999630547</v>
      </c>
      <c r="M404" s="285">
        <f t="shared" si="66"/>
        <v>5.0136609612558031E-2</v>
      </c>
      <c r="N404" s="285">
        <f t="shared" si="67"/>
        <v>0.16474839075689487</v>
      </c>
      <c r="O404" s="416">
        <f t="shared" si="68"/>
        <v>15349.29</v>
      </c>
      <c r="P404" s="417">
        <f t="shared" si="69"/>
        <v>43762.75</v>
      </c>
      <c r="Q404" s="441"/>
    </row>
    <row r="405" spans="1:17" s="417" customFormat="1">
      <c r="A405" s="167">
        <v>418</v>
      </c>
      <c r="B405" s="409">
        <v>22675</v>
      </c>
      <c r="C405" s="20" t="str">
        <f>VLOOKUP(A405,'JUNE (물량흐름)'!$A$13:$C$502,2,0)</f>
        <v>ALFANI</v>
      </c>
      <c r="D405" s="282">
        <f>VLOOKUP(A405,'JUNE (물량흐름)'!$A$13:$C$502,3,0)</f>
        <v>100018130</v>
      </c>
      <c r="E405" s="6">
        <f>VLOOKUP(D405,'JUNE (물량흐름)'!$C$13:$W$502,21,0)</f>
        <v>7855</v>
      </c>
      <c r="F405" s="6">
        <f t="shared" si="62"/>
        <v>397190039</v>
      </c>
      <c r="G405" s="6">
        <f>ROUND(SUMIF('In-out-bal products (155)(완성제품)'!$B$12:$B$493,'Sales profit (스타일 별 매출이익)'!D405,'In-out-bal products (155)(완성제품)'!$X$12:$X$493) + SUMIF('In-out-bal products (155)(완성제품)'!$B$12:$B$493,'Sales profit (스타일 별 매출이익)'!D405,'In-out-bal products (155)(완성제품)'!$AA$12:$AA$493),0)</f>
        <v>350678054</v>
      </c>
      <c r="H405" s="283">
        <f t="shared" si="63"/>
        <v>0.26113879108454857</v>
      </c>
      <c r="I405" s="284">
        <f t="shared" si="64"/>
        <v>5921.3220878421389</v>
      </c>
      <c r="J405" s="284">
        <f t="shared" si="70"/>
        <v>33904880.675085753</v>
      </c>
      <c r="K405" s="283">
        <v>2.23</v>
      </c>
      <c r="L405" s="285">
        <f t="shared" si="65"/>
        <v>1.9688612103190617</v>
      </c>
      <c r="M405" s="285">
        <f t="shared" si="66"/>
        <v>7.0781840792221412E-2</v>
      </c>
      <c r="N405" s="285">
        <f t="shared" si="67"/>
        <v>0.19035694888871688</v>
      </c>
      <c r="O405" s="416">
        <f t="shared" si="68"/>
        <v>17516.650000000001</v>
      </c>
      <c r="P405" s="417">
        <f t="shared" si="69"/>
        <v>50565.25</v>
      </c>
      <c r="Q405" s="441"/>
    </row>
    <row r="406" spans="1:17" s="417" customFormat="1">
      <c r="A406" s="167">
        <v>419</v>
      </c>
      <c r="B406" s="409">
        <v>22675</v>
      </c>
      <c r="C406" s="20" t="str">
        <f>VLOOKUP(A406,'JUNE (물량흐름)'!$A$13:$C$502,2,0)</f>
        <v>ALFANI</v>
      </c>
      <c r="D406" s="282">
        <f>VLOOKUP(A406,'JUNE (물량흐름)'!$A$13:$C$502,3,0)</f>
        <v>100018197</v>
      </c>
      <c r="E406" s="6">
        <f>VLOOKUP(D406,'JUNE (물량흐름)'!$C$13:$W$502,21,0)</f>
        <v>0</v>
      </c>
      <c r="F406" s="6">
        <f t="shared" si="62"/>
        <v>0</v>
      </c>
      <c r="G406" s="6">
        <f>ROUND(SUMIF('In-out-bal products (155)(완성제품)'!$B$12:$B$493,'Sales profit (스타일 별 매출이익)'!D406,'In-out-bal products (155)(완성제품)'!$X$12:$X$493) + SUMIF('In-out-bal products (155)(완성제품)'!$B$12:$B$493,'Sales profit (스타일 별 매출이익)'!D406,'In-out-bal products (155)(완성제품)'!$AA$12:$AA$493),0)</f>
        <v>0</v>
      </c>
      <c r="H406" s="283">
        <f t="shared" si="63"/>
        <v>0</v>
      </c>
      <c r="I406" s="284">
        <f t="shared" si="64"/>
        <v>0</v>
      </c>
      <c r="J406" s="284">
        <f t="shared" si="70"/>
        <v>0</v>
      </c>
      <c r="K406" s="283">
        <v>0.35</v>
      </c>
      <c r="L406" s="285">
        <f t="shared" si="65"/>
        <v>0</v>
      </c>
      <c r="M406" s="285">
        <f t="shared" si="66"/>
        <v>0.35</v>
      </c>
      <c r="N406" s="285">
        <f t="shared" si="67"/>
        <v>0</v>
      </c>
      <c r="O406" s="416">
        <f t="shared" si="68"/>
        <v>0</v>
      </c>
      <c r="P406" s="417">
        <f t="shared" si="69"/>
        <v>7936.2499999999991</v>
      </c>
      <c r="Q406" s="441"/>
    </row>
    <row r="407" spans="1:17" s="417" customFormat="1">
      <c r="A407" s="167">
        <v>420</v>
      </c>
      <c r="B407" s="409">
        <v>22675</v>
      </c>
      <c r="C407" s="20" t="str">
        <f>VLOOKUP(A407,'JUNE (물량흐름)'!$A$13:$C$502,2,0)</f>
        <v>ALFANI</v>
      </c>
      <c r="D407" s="282">
        <f>VLOOKUP(A407,'JUNE (물량흐름)'!$A$13:$C$502,3,0)</f>
        <v>100018200</v>
      </c>
      <c r="E407" s="6">
        <f>VLOOKUP(D407,'JUNE (물량흐름)'!$C$13:$W$502,21,0)</f>
        <v>3966</v>
      </c>
      <c r="F407" s="6">
        <f t="shared" si="62"/>
        <v>203239653</v>
      </c>
      <c r="G407" s="6">
        <f>ROUND(SUMIF('In-out-bal products (155)(완성제품)'!$B$12:$B$493,'Sales profit (스타일 별 매출이익)'!D407,'In-out-bal products (155)(완성제품)'!$X$12:$X$493) + SUMIF('In-out-bal products (155)(완성제품)'!$B$12:$B$493,'Sales profit (스타일 별 매출이익)'!D407,'In-out-bal products (155)(완성제품)'!$AA$12:$AA$493),0)</f>
        <v>135361344</v>
      </c>
      <c r="H407" s="283">
        <f t="shared" si="63"/>
        <v>0.75479846612412793</v>
      </c>
      <c r="I407" s="284">
        <f t="shared" si="64"/>
        <v>17115.0552193646</v>
      </c>
      <c r="J407" s="284">
        <f t="shared" si="70"/>
        <v>17348914.894139208</v>
      </c>
      <c r="K407" s="283">
        <v>2.2599999999999998</v>
      </c>
      <c r="L407" s="285">
        <f t="shared" si="65"/>
        <v>1.5052015338758722</v>
      </c>
      <c r="M407" s="285">
        <f t="shared" si="66"/>
        <v>0.56188066154219096</v>
      </c>
      <c r="N407" s="285">
        <f t="shared" si="67"/>
        <v>0.19291780458193664</v>
      </c>
      <c r="O407" s="416">
        <f t="shared" si="68"/>
        <v>8963.16</v>
      </c>
      <c r="P407" s="417">
        <f t="shared" si="69"/>
        <v>51245.499999999993</v>
      </c>
      <c r="Q407" s="441"/>
    </row>
    <row r="408" spans="1:17" s="417" customFormat="1">
      <c r="A408" s="167">
        <v>421</v>
      </c>
      <c r="B408" s="409">
        <v>22675</v>
      </c>
      <c r="C408" s="20" t="str">
        <f>VLOOKUP(A408,'JUNE (물량흐름)'!$A$13:$C$502,2,0)</f>
        <v>ALFANI</v>
      </c>
      <c r="D408" s="282">
        <f>VLOOKUP(A408,'JUNE (물량흐름)'!$A$13:$C$502,3,0)</f>
        <v>100018207</v>
      </c>
      <c r="E408" s="6">
        <f>VLOOKUP(D408,'JUNE (물량흐름)'!$C$13:$W$502,21,0)</f>
        <v>3038</v>
      </c>
      <c r="F408" s="6">
        <f t="shared" si="62"/>
        <v>222503880</v>
      </c>
      <c r="G408" s="6">
        <f>ROUND(SUMIF('In-out-bal products (155)(완성제품)'!$B$12:$B$493,'Sales profit (스타일 별 매출이익)'!D408,'In-out-bal products (155)(완성제품)'!$X$12:$X$493) + SUMIF('In-out-bal products (155)(완성제품)'!$B$12:$B$493,'Sales profit (스타일 별 매출이익)'!D408,'In-out-bal products (155)(완성제품)'!$AA$12:$AA$493),0)</f>
        <v>188642093</v>
      </c>
      <c r="H408" s="283">
        <f t="shared" si="63"/>
        <v>0.49155804499130096</v>
      </c>
      <c r="I408" s="284">
        <f t="shared" si="64"/>
        <v>11146.078670177749</v>
      </c>
      <c r="J408" s="284">
        <f t="shared" si="70"/>
        <v>18993345.15069145</v>
      </c>
      <c r="K408" s="283">
        <v>3.23</v>
      </c>
      <c r="L408" s="285">
        <f t="shared" si="65"/>
        <v>2.7384419622669993</v>
      </c>
      <c r="M408" s="285">
        <f t="shared" si="66"/>
        <v>0.21583922791003129</v>
      </c>
      <c r="N408" s="285">
        <f t="shared" si="67"/>
        <v>0.27571880982296937</v>
      </c>
      <c r="O408" s="416">
        <f t="shared" si="68"/>
        <v>9812.74</v>
      </c>
      <c r="P408" s="417">
        <f t="shared" si="69"/>
        <v>73240.25</v>
      </c>
      <c r="Q408" s="441"/>
    </row>
    <row r="409" spans="1:17" s="417" customFormat="1">
      <c r="A409" s="167">
        <v>422</v>
      </c>
      <c r="B409" s="409">
        <v>22675</v>
      </c>
      <c r="C409" s="20" t="str">
        <f>VLOOKUP(A409,'JUNE (물량흐름)'!$A$13:$C$502,2,0)</f>
        <v>ALFANI</v>
      </c>
      <c r="D409" s="282">
        <f>VLOOKUP(A409,'JUNE (물량흐름)'!$A$13:$C$502,3,0)</f>
        <v>100018224</v>
      </c>
      <c r="E409" s="6">
        <f>VLOOKUP(D409,'JUNE (물량흐름)'!$C$13:$W$502,21,0)</f>
        <v>2643</v>
      </c>
      <c r="F409" s="6">
        <f t="shared" si="62"/>
        <v>158215266</v>
      </c>
      <c r="G409" s="6">
        <f>ROUND(SUMIF('In-out-bal products (155)(완성제품)'!$B$12:$B$493,'Sales profit (스타일 별 매출이익)'!D409,'In-out-bal products (155)(완성제품)'!$X$12:$X$493) + SUMIF('In-out-bal products (155)(완성제품)'!$B$12:$B$493,'Sales profit (스타일 별 매출이익)'!D409,'In-out-bal products (155)(완성제품)'!$AA$12:$AA$493),0)</f>
        <v>129683674</v>
      </c>
      <c r="H409" s="283">
        <f t="shared" si="63"/>
        <v>0.47608176369023703</v>
      </c>
      <c r="I409" s="284">
        <f t="shared" si="64"/>
        <v>10795.153991676125</v>
      </c>
      <c r="J409" s="284">
        <f t="shared" si="70"/>
        <v>13505549.454896957</v>
      </c>
      <c r="K409" s="283">
        <v>2.64</v>
      </c>
      <c r="L409" s="285">
        <f t="shared" si="65"/>
        <v>2.1639182363097631</v>
      </c>
      <c r="M409" s="285">
        <f t="shared" si="66"/>
        <v>0.250726452143196</v>
      </c>
      <c r="N409" s="285">
        <f t="shared" si="67"/>
        <v>0.22535531154704103</v>
      </c>
      <c r="O409" s="416">
        <f t="shared" si="68"/>
        <v>6977.52</v>
      </c>
      <c r="P409" s="417">
        <f t="shared" si="69"/>
        <v>59862</v>
      </c>
      <c r="Q409" s="441"/>
    </row>
    <row r="410" spans="1:17" s="417" customFormat="1">
      <c r="A410" s="167">
        <v>423</v>
      </c>
      <c r="B410" s="409">
        <v>22675</v>
      </c>
      <c r="C410" s="20" t="str">
        <f>VLOOKUP(A410,'JUNE (물량흐름)'!$A$13:$C$502,2,0)</f>
        <v>ALFANI</v>
      </c>
      <c r="D410" s="282">
        <f>VLOOKUP(A410,'JUNE (물량흐름)'!$A$13:$C$502,3,0)</f>
        <v>100018229</v>
      </c>
      <c r="E410" s="6">
        <f>VLOOKUP(D410,'JUNE (물량흐름)'!$C$13:$W$502,21,0)</f>
        <v>9428</v>
      </c>
      <c r="F410" s="6">
        <f t="shared" si="62"/>
        <v>622099509</v>
      </c>
      <c r="G410" s="6">
        <f>ROUND(SUMIF('In-out-bal products (155)(완성제품)'!$B$12:$B$493,'Sales profit (스타일 별 매출이익)'!D410,'In-out-bal products (155)(완성제품)'!$X$12:$X$493) + SUMIF('In-out-bal products (155)(완성제품)'!$B$12:$B$493,'Sales profit (스타일 별 매출이익)'!D410,'In-out-bal products (155)(완성제품)'!$AA$12:$AA$493),0)</f>
        <v>503676879</v>
      </c>
      <c r="H410" s="283">
        <f t="shared" si="63"/>
        <v>0.55394651227734693</v>
      </c>
      <c r="I410" s="284">
        <f t="shared" si="64"/>
        <v>12560.737165888842</v>
      </c>
      <c r="J410" s="284">
        <f t="shared" si="70"/>
        <v>53103571.463619791</v>
      </c>
      <c r="K410" s="283">
        <v>2.91</v>
      </c>
      <c r="L410" s="285">
        <f t="shared" si="65"/>
        <v>2.3560534877226531</v>
      </c>
      <c r="M410" s="285">
        <f t="shared" si="66"/>
        <v>0.305543498412995</v>
      </c>
      <c r="N410" s="285">
        <f t="shared" si="67"/>
        <v>0.24840301386435204</v>
      </c>
      <c r="O410" s="416">
        <f t="shared" si="68"/>
        <v>27435.48</v>
      </c>
      <c r="P410" s="417">
        <f t="shared" si="69"/>
        <v>65984.25</v>
      </c>
      <c r="Q410" s="441"/>
    </row>
    <row r="411" spans="1:17" s="417" customFormat="1">
      <c r="A411" s="167">
        <v>424</v>
      </c>
      <c r="B411" s="409">
        <v>22675</v>
      </c>
      <c r="C411" s="20" t="str">
        <f>VLOOKUP(A411,'JUNE (물량흐름)'!$A$13:$C$502,2,0)</f>
        <v>ALFANI</v>
      </c>
      <c r="D411" s="282">
        <f>VLOOKUP(A411,'JUNE (물량흐름)'!$A$13:$C$502,3,0)</f>
        <v>100018250</v>
      </c>
      <c r="E411" s="6">
        <f>VLOOKUP(D411,'JUNE (물량흐름)'!$C$13:$W$502,21,0)</f>
        <v>7768</v>
      </c>
      <c r="F411" s="6">
        <f t="shared" si="62"/>
        <v>230742614</v>
      </c>
      <c r="G411" s="6">
        <f>ROUND(SUMIF('In-out-bal products (155)(완성제품)'!$B$12:$B$493,'Sales profit (스타일 별 매출이익)'!D411,'In-out-bal products (155)(완성제품)'!$X$12:$X$493) + SUMIF('In-out-bal products (155)(완성제품)'!$B$12:$B$493,'Sales profit (스타일 별 매출이익)'!D411,'In-out-bal products (155)(완성제품)'!$AA$12:$AA$493),0)</f>
        <v>162329279</v>
      </c>
      <c r="H411" s="283">
        <f t="shared" si="63"/>
        <v>0.38840449666570909</v>
      </c>
      <c r="I411" s="284">
        <f t="shared" si="64"/>
        <v>8807.0719618949533</v>
      </c>
      <c r="J411" s="284">
        <f t="shared" si="70"/>
        <v>19696618.8125563</v>
      </c>
      <c r="K411" s="283">
        <v>1.31</v>
      </c>
      <c r="L411" s="285">
        <f t="shared" si="65"/>
        <v>0.92159550333429086</v>
      </c>
      <c r="M411" s="285">
        <f t="shared" si="66"/>
        <v>0.27658045949653354</v>
      </c>
      <c r="N411" s="285">
        <f t="shared" si="67"/>
        <v>0.11182403716917566</v>
      </c>
      <c r="O411" s="416">
        <f t="shared" si="68"/>
        <v>10176.08</v>
      </c>
      <c r="P411" s="417">
        <f t="shared" si="69"/>
        <v>29704.25</v>
      </c>
      <c r="Q411" s="441"/>
    </row>
    <row r="412" spans="1:17" s="417" customFormat="1">
      <c r="A412" s="167">
        <v>425</v>
      </c>
      <c r="B412" s="409">
        <v>22675</v>
      </c>
      <c r="C412" s="20" t="str">
        <f>VLOOKUP(A412,'JUNE (물량흐름)'!$A$13:$C$502,2,0)</f>
        <v>ALFANI</v>
      </c>
      <c r="D412" s="282">
        <f>VLOOKUP(A412,'JUNE (물량흐름)'!$A$13:$C$502,3,0)</f>
        <v>100018251</v>
      </c>
      <c r="E412" s="6">
        <f>VLOOKUP(D412,'JUNE (물량흐름)'!$C$13:$W$502,21,0)</f>
        <v>3335</v>
      </c>
      <c r="F412" s="6">
        <f t="shared" si="62"/>
        <v>97551251</v>
      </c>
      <c r="G412" s="6">
        <f>ROUND(SUMIF('In-out-bal products (155)(완성제품)'!$B$12:$B$493,'Sales profit (스타일 별 매출이익)'!D412,'In-out-bal products (155)(완성제품)'!$X$12:$X$493) + SUMIF('In-out-bal products (155)(완성제품)'!$B$12:$B$493,'Sales profit (스타일 별 매출이익)'!D412,'In-out-bal products (155)(완성제품)'!$AA$12:$AA$493),0)</f>
        <v>71354993</v>
      </c>
      <c r="H412" s="283">
        <f t="shared" si="63"/>
        <v>0.34641455016703332</v>
      </c>
      <c r="I412" s="284">
        <f t="shared" si="64"/>
        <v>7854.9499250374811</v>
      </c>
      <c r="J412" s="284">
        <f t="shared" si="70"/>
        <v>8327156.273071439</v>
      </c>
      <c r="K412" s="283">
        <v>1.29</v>
      </c>
      <c r="L412" s="285">
        <f t="shared" si="65"/>
        <v>0.94358544652701215</v>
      </c>
      <c r="M412" s="285">
        <f t="shared" si="66"/>
        <v>0.23629775379470436</v>
      </c>
      <c r="N412" s="285">
        <f t="shared" si="67"/>
        <v>0.11011679967828354</v>
      </c>
      <c r="O412" s="416">
        <f t="shared" si="68"/>
        <v>4302.1499999999996</v>
      </c>
      <c r="P412" s="417">
        <f t="shared" si="69"/>
        <v>29250.75</v>
      </c>
      <c r="Q412" s="441"/>
    </row>
    <row r="413" spans="1:17" s="417" customFormat="1">
      <c r="A413" s="167">
        <v>426</v>
      </c>
      <c r="B413" s="409">
        <v>22675</v>
      </c>
      <c r="C413" s="20" t="str">
        <f>VLOOKUP(A413,'JUNE (물량흐름)'!$A$13:$C$502,2,0)</f>
        <v>ALFANI</v>
      </c>
      <c r="D413" s="282">
        <f>VLOOKUP(A413,'JUNE (물량흐름)'!$A$13:$C$502,3,0)</f>
        <v>100018252</v>
      </c>
      <c r="E413" s="6">
        <f>VLOOKUP(D413,'JUNE (물량흐름)'!$C$13:$W$502,21,0)</f>
        <v>2354</v>
      </c>
      <c r="F413" s="6">
        <f t="shared" si="62"/>
        <v>68856266</v>
      </c>
      <c r="G413" s="6">
        <f>ROUND(SUMIF('In-out-bal products (155)(완성제품)'!$B$12:$B$493,'Sales profit (스타일 별 매출이익)'!D413,'In-out-bal products (155)(완성제품)'!$X$12:$X$493) + SUMIF('In-out-bal products (155)(완성제품)'!$B$12:$B$493,'Sales profit (스타일 별 매출이익)'!D413,'In-out-bal products (155)(완성제품)'!$AA$12:$AA$493),0)</f>
        <v>50751522</v>
      </c>
      <c r="H413" s="283">
        <f t="shared" si="63"/>
        <v>0.33918655899222416</v>
      </c>
      <c r="I413" s="284">
        <f t="shared" si="64"/>
        <v>7691.0552251486833</v>
      </c>
      <c r="J413" s="284">
        <f t="shared" si="70"/>
        <v>5877698.9683317915</v>
      </c>
      <c r="K413" s="283">
        <v>1.29</v>
      </c>
      <c r="L413" s="285">
        <f t="shared" si="65"/>
        <v>0.95081345037511511</v>
      </c>
      <c r="M413" s="285">
        <f t="shared" si="66"/>
        <v>0.22906974886478546</v>
      </c>
      <c r="N413" s="285">
        <f t="shared" si="67"/>
        <v>0.11011680076009947</v>
      </c>
      <c r="O413" s="416">
        <f t="shared" si="68"/>
        <v>3036.66</v>
      </c>
      <c r="P413" s="417">
        <f t="shared" si="69"/>
        <v>29250.75</v>
      </c>
      <c r="Q413" s="441"/>
    </row>
    <row r="414" spans="1:17" s="417" customFormat="1">
      <c r="A414" s="167">
        <v>427</v>
      </c>
      <c r="B414" s="409">
        <v>22675</v>
      </c>
      <c r="C414" s="20" t="str">
        <f>VLOOKUP(A414,'JUNE (물량흐름)'!$A$13:$C$502,2,0)</f>
        <v>ALFANI</v>
      </c>
      <c r="D414" s="282">
        <f>VLOOKUP(A414,'JUNE (물량흐름)'!$A$13:$C$502,3,0)</f>
        <v>100018257</v>
      </c>
      <c r="E414" s="6">
        <f>VLOOKUP(D414,'JUNE (물량흐름)'!$C$13:$W$502,21,0)</f>
        <v>4416</v>
      </c>
      <c r="F414" s="6">
        <f>IFERROR(ROUND(E414*K414*B414,0),0)</f>
        <v>196260288</v>
      </c>
      <c r="G414" s="6">
        <f>ROUND(SUMIF('In-out-bal products (155)(완성제품)'!$B$12:$B$493,'Sales profit (스타일 별 매출이익)'!D414,'In-out-bal products (155)(완성제품)'!$X$12:$X$493) + SUMIF('In-out-bal products (155)(완성제품)'!$B$12:$B$493,'Sales profit (스타일 별 매출이익)'!D414,'In-out-bal products (155)(완성제품)'!$AA$12:$AA$493),0)</f>
        <v>157860525</v>
      </c>
      <c r="H414" s="283">
        <f t="shared" si="63"/>
        <v>0.3834883574612914</v>
      </c>
      <c r="I414" s="284">
        <f t="shared" si="64"/>
        <v>8695.5985054347821</v>
      </c>
      <c r="J414" s="284">
        <f t="shared" si="70"/>
        <v>16753143.313087879</v>
      </c>
      <c r="K414" s="283">
        <v>1.96</v>
      </c>
      <c r="L414" s="285">
        <f t="shared" si="65"/>
        <v>1.5765116425387085</v>
      </c>
      <c r="M414" s="285">
        <f t="shared" si="66"/>
        <v>0.21617911100970044</v>
      </c>
      <c r="N414" s="285">
        <f t="shared" si="67"/>
        <v>0.16730924645159106</v>
      </c>
      <c r="O414" s="416">
        <f t="shared" si="68"/>
        <v>8655.36</v>
      </c>
      <c r="P414" s="417">
        <f t="shared" si="69"/>
        <v>44443</v>
      </c>
      <c r="Q414" s="441"/>
    </row>
    <row r="415" spans="1:17" s="417" customFormat="1">
      <c r="A415" s="167">
        <v>428</v>
      </c>
      <c r="B415" s="409">
        <v>22675</v>
      </c>
      <c r="C415" s="20" t="str">
        <f>VLOOKUP(A415,'JUNE (물량흐름)'!$A$13:$C$502,2,0)</f>
        <v>ALFANI</v>
      </c>
      <c r="D415" s="282">
        <f>VLOOKUP(A415,'JUNE (물량흐름)'!$A$13:$C$502,3,0)</f>
        <v>100018258</v>
      </c>
      <c r="E415" s="6">
        <f>VLOOKUP(D415,'JUNE (물량흐름)'!$C$13:$W$502,21,0)</f>
        <v>6348</v>
      </c>
      <c r="F415" s="6">
        <f t="shared" si="62"/>
        <v>282124164</v>
      </c>
      <c r="G415" s="6">
        <f>ROUND(SUMIF('In-out-bal products (155)(완성제품)'!$B$12:$B$493,'Sales profit (스타일 별 매출이익)'!D415,'In-out-bal products (155)(완성제품)'!$X$12:$X$493) + SUMIF('In-out-bal products (155)(완성제품)'!$B$12:$B$493,'Sales profit (스타일 별 매출이익)'!D415,'In-out-bal products (155)(완성제품)'!$AA$12:$AA$493),0)</f>
        <v>216511746</v>
      </c>
      <c r="H415" s="283">
        <v>1.52</v>
      </c>
      <c r="I415" s="284">
        <f t="shared" si="64"/>
        <v>10335.919659735349</v>
      </c>
      <c r="J415" s="284">
        <f t="shared" si="70"/>
        <v>24082643.512563825</v>
      </c>
      <c r="K415" s="283">
        <v>1.96</v>
      </c>
      <c r="L415" s="285">
        <f t="shared" si="65"/>
        <v>1.5041711285673494</v>
      </c>
      <c r="M415" s="285">
        <f t="shared" si="66"/>
        <v>0.28851962498105954</v>
      </c>
      <c r="N415" s="285">
        <f t="shared" si="67"/>
        <v>0.16730924645159106</v>
      </c>
      <c r="O415" s="416">
        <f t="shared" si="68"/>
        <v>12442.08</v>
      </c>
      <c r="P415" s="417">
        <f t="shared" si="69"/>
        <v>44443</v>
      </c>
      <c r="Q415" s="441"/>
    </row>
    <row r="416" spans="1:17" s="417" customFormat="1">
      <c r="A416" s="167">
        <v>429</v>
      </c>
      <c r="B416" s="409">
        <v>22675</v>
      </c>
      <c r="C416" s="20" t="str">
        <f>VLOOKUP(A416,'JUNE (물량흐름)'!$A$13:$C$502,2,0)</f>
        <v>ALFANI</v>
      </c>
      <c r="D416" s="282">
        <f>VLOOKUP(A416,'JUNE (물량흐름)'!$A$13:$C$502,3,0)</f>
        <v>100018259</v>
      </c>
      <c r="E416" s="6">
        <f>VLOOKUP(D416,'JUNE (물량흐름)'!$C$13:$W$502,21,0)</f>
        <v>1239</v>
      </c>
      <c r="F416" s="6">
        <f t="shared" si="62"/>
        <v>55345820</v>
      </c>
      <c r="G416" s="6">
        <f>ROUND(SUMIF('In-out-bal products (155)(완성제품)'!$B$12:$B$493,'Sales profit (스타일 별 매출이익)'!D416,'In-out-bal products (155)(완성제품)'!$X$12:$X$493) + SUMIF('In-out-bal products (155)(완성제품)'!$B$12:$B$493,'Sales profit (스타일 별 매출이익)'!D416,'In-out-bal products (155)(완성제품)'!$AA$12:$AA$493),0)</f>
        <v>43145678</v>
      </c>
      <c r="H416" s="283">
        <f t="shared" si="63"/>
        <v>0.43425645570769189</v>
      </c>
      <c r="I416" s="284">
        <f t="shared" si="64"/>
        <v>9846.7651331719135</v>
      </c>
      <c r="J416" s="284">
        <f t="shared" si="70"/>
        <v>4724422.1624721419</v>
      </c>
      <c r="K416" s="283">
        <v>1.97</v>
      </c>
      <c r="L416" s="285">
        <f t="shared" si="65"/>
        <v>1.5357435353937139</v>
      </c>
      <c r="M416" s="285">
        <f t="shared" si="66"/>
        <v>0.26609360030995072</v>
      </c>
      <c r="N416" s="285">
        <f t="shared" si="67"/>
        <v>0.16816286429633537</v>
      </c>
      <c r="O416" s="416">
        <f t="shared" si="68"/>
        <v>2440.83</v>
      </c>
      <c r="P416" s="417">
        <f t="shared" si="69"/>
        <v>44669.75</v>
      </c>
      <c r="Q416" s="441"/>
    </row>
    <row r="417" spans="1:17" s="417" customFormat="1">
      <c r="A417" s="167">
        <v>430</v>
      </c>
      <c r="B417" s="409">
        <v>22675</v>
      </c>
      <c r="C417" s="20" t="str">
        <f>VLOOKUP(A417,'JUNE (물량흐름)'!$A$13:$C$502,2,0)</f>
        <v>ALFANI</v>
      </c>
      <c r="D417" s="282">
        <f>VLOOKUP(A417,'JUNE (물량흐름)'!$A$13:$C$502,3,0)</f>
        <v>100018260</v>
      </c>
      <c r="E417" s="6">
        <f>VLOOKUP(D417,'JUNE (물량흐름)'!$C$13:$W$502,21,0)</f>
        <v>1293</v>
      </c>
      <c r="F417" s="6">
        <f t="shared" si="62"/>
        <v>60689864</v>
      </c>
      <c r="G417" s="6">
        <f>ROUND(SUMIF('In-out-bal products (155)(완성제품)'!$B$12:$B$493,'Sales profit (스타일 별 매출이익)'!D417,'In-out-bal products (155)(완성제품)'!$X$12:$X$493) + SUMIF('In-out-bal products (155)(완성제품)'!$B$12:$B$493,'Sales profit (스타일 별 매출이익)'!D417,'In-out-bal products (155)(완성제품)'!$AA$12:$AA$493),0)</f>
        <v>27929126</v>
      </c>
      <c r="H417" s="283">
        <f t="shared" si="63"/>
        <v>1.1173979131119904</v>
      </c>
      <c r="I417" s="284">
        <f t="shared" si="64"/>
        <v>25336.997679814383</v>
      </c>
      <c r="J417" s="284">
        <f t="shared" si="70"/>
        <v>5180599.7005558908</v>
      </c>
      <c r="K417" s="283">
        <v>2.0699999999999998</v>
      </c>
      <c r="L417" s="285">
        <f t="shared" si="65"/>
        <v>0.95260207836105026</v>
      </c>
      <c r="M417" s="285">
        <f t="shared" si="66"/>
        <v>0.94069887126744223</v>
      </c>
      <c r="N417" s="285">
        <f t="shared" si="67"/>
        <v>0.17669905037150738</v>
      </c>
      <c r="O417" s="416">
        <f t="shared" si="68"/>
        <v>2676.51</v>
      </c>
      <c r="P417" s="417">
        <f t="shared" si="69"/>
        <v>46937.25</v>
      </c>
      <c r="Q417" s="441"/>
    </row>
    <row r="418" spans="1:17" s="417" customFormat="1">
      <c r="A418" s="167">
        <v>431</v>
      </c>
      <c r="B418" s="409">
        <v>22675</v>
      </c>
      <c r="C418" s="20" t="str">
        <f>VLOOKUP(A418,'JUNE (물량흐름)'!$A$13:$C$502,2,0)</f>
        <v>ALFANI</v>
      </c>
      <c r="D418" s="282">
        <f>VLOOKUP(A418,'JUNE (물량흐름)'!$A$13:$C$502,3,0)</f>
        <v>100024706</v>
      </c>
      <c r="E418" s="6">
        <f>VLOOKUP(D418,'JUNE (물량흐름)'!$C$13:$W$502,21,0)</f>
        <v>3399</v>
      </c>
      <c r="F418" s="6">
        <f t="shared" si="62"/>
        <v>95569683</v>
      </c>
      <c r="G418" s="6">
        <f>ROUND(SUMIF('In-out-bal products (155)(완성제품)'!$B$12:$B$493,'Sales profit (스타일 별 매출이익)'!D418,'In-out-bal products (155)(완성제품)'!$X$12:$X$493) + SUMIF('In-out-bal products (155)(완성제품)'!$B$12:$B$493,'Sales profit (스타일 별 매출이익)'!D418,'In-out-bal products (155)(완성제품)'!$AA$12:$AA$493),0)</f>
        <v>66433141</v>
      </c>
      <c r="H418" s="283">
        <f t="shared" si="63"/>
        <v>0.37804156031364045</v>
      </c>
      <c r="I418" s="284">
        <f t="shared" si="64"/>
        <v>8572.092380111797</v>
      </c>
      <c r="J418" s="284">
        <f t="shared" si="70"/>
        <v>8158005.9420139967</v>
      </c>
      <c r="K418" s="283">
        <v>1.24</v>
      </c>
      <c r="L418" s="285">
        <f t="shared" si="65"/>
        <v>0.86195843968635955</v>
      </c>
      <c r="M418" s="285">
        <f t="shared" si="66"/>
        <v>0.27219285337487875</v>
      </c>
      <c r="N418" s="285">
        <f t="shared" si="67"/>
        <v>0.10584870693876171</v>
      </c>
      <c r="O418" s="416">
        <f t="shared" si="68"/>
        <v>4214.76</v>
      </c>
      <c r="P418" s="417">
        <f t="shared" si="69"/>
        <v>28117</v>
      </c>
      <c r="Q418" s="441"/>
    </row>
    <row r="419" spans="1:17" s="417" customFormat="1">
      <c r="A419" s="167">
        <v>432</v>
      </c>
      <c r="B419" s="409">
        <v>22675</v>
      </c>
      <c r="C419" s="20" t="str">
        <f>VLOOKUP(A419,'JUNE (물량흐름)'!$A$13:$C$502,2,0)</f>
        <v>ALFANI</v>
      </c>
      <c r="D419" s="282">
        <f>VLOOKUP(A419,'JUNE (물량흐름)'!$A$13:$C$502,3,0)</f>
        <v>100027409</v>
      </c>
      <c r="E419" s="6">
        <f>VLOOKUP(D419,'JUNE (물량흐름)'!$C$13:$W$502,21,0)</f>
        <v>4127</v>
      </c>
      <c r="F419" s="6">
        <f t="shared" si="62"/>
        <v>185287856</v>
      </c>
      <c r="G419" s="6">
        <f>ROUND(SUMIF('In-out-bal products (155)(완성제품)'!$B$12:$B$493,'Sales profit (스타일 별 매출이익)'!D419,'In-out-bal products (155)(완성제품)'!$X$12:$X$493) + SUMIF('In-out-bal products (155)(완성제품)'!$B$12:$B$493,'Sales profit (스타일 별 매출이익)'!D419,'In-out-bal products (155)(완성제품)'!$AA$12:$AA$493),0)</f>
        <v>141690959</v>
      </c>
      <c r="H419" s="283">
        <f t="shared" si="63"/>
        <v>0.46587972982395492</v>
      </c>
      <c r="I419" s="284">
        <f t="shared" si="64"/>
        <v>10563.822873758178</v>
      </c>
      <c r="J419" s="284">
        <f t="shared" si="70"/>
        <v>15816516.104076996</v>
      </c>
      <c r="K419" s="285">
        <v>1.98</v>
      </c>
      <c r="L419" s="285">
        <f t="shared" si="65"/>
        <v>1.5141202755190828</v>
      </c>
      <c r="M419" s="285">
        <f t="shared" si="66"/>
        <v>0.29686324036454481</v>
      </c>
      <c r="N419" s="285">
        <f t="shared" si="67"/>
        <v>0.16901648411637241</v>
      </c>
      <c r="O419" s="416">
        <f t="shared" si="68"/>
        <v>8171.46</v>
      </c>
      <c r="P419" s="417">
        <f t="shared" si="69"/>
        <v>44896.5</v>
      </c>
      <c r="Q419" s="441"/>
    </row>
    <row r="420" spans="1:17" s="417" customFormat="1">
      <c r="A420" s="167">
        <v>433</v>
      </c>
      <c r="B420" s="409">
        <v>22675</v>
      </c>
      <c r="C420" s="20" t="str">
        <f>VLOOKUP(A420,'JUNE (물량흐름)'!$A$13:$C$502,2,0)</f>
        <v>BAR III</v>
      </c>
      <c r="D420" s="282">
        <f>VLOOKUP(A420,'JUNE (물량흐름)'!$A$13:$C$502,3,0)</f>
        <v>100034267</v>
      </c>
      <c r="E420" s="6">
        <f>VLOOKUP(D420,'JUNE (물량흐름)'!$C$13:$W$502,21,0)</f>
        <v>2160</v>
      </c>
      <c r="F420" s="6">
        <f t="shared" si="62"/>
        <v>147913560</v>
      </c>
      <c r="G420" s="6">
        <f>ROUND(SUMIF('In-out-bal products (155)(완성제품)'!$B$12:$B$493,'Sales profit (스타일 별 매출이익)'!D420,'In-out-bal products (155)(완성제품)'!$X$12:$X$493) + SUMIF('In-out-bal products (155)(완성제품)'!$B$12:$B$493,'Sales profit (스타일 별 매출이익)'!D420,'In-out-bal products (155)(완성제품)'!$AA$12:$AA$493),0)</f>
        <v>129662266</v>
      </c>
      <c r="H420" s="283">
        <f t="shared" si="63"/>
        <v>0.37264269672097672</v>
      </c>
      <c r="I420" s="284">
        <f t="shared" si="64"/>
        <v>8449.6731481481474</v>
      </c>
      <c r="J420" s="284">
        <f t="shared" si="70"/>
        <v>12626176.665087858</v>
      </c>
      <c r="K420" s="285">
        <v>3.02</v>
      </c>
      <c r="L420" s="285">
        <f t="shared" si="65"/>
        <v>2.6473573032790232</v>
      </c>
      <c r="M420" s="285">
        <f t="shared" si="66"/>
        <v>0.11484987820883141</v>
      </c>
      <c r="N420" s="285">
        <f t="shared" si="67"/>
        <v>0.25779281851214542</v>
      </c>
      <c r="O420" s="416">
        <f t="shared" si="68"/>
        <v>6523.2</v>
      </c>
      <c r="P420" s="417">
        <f t="shared" si="69"/>
        <v>68478.5</v>
      </c>
      <c r="Q420" s="441"/>
    </row>
    <row r="421" spans="1:17" s="417" customFormat="1">
      <c r="A421" s="167">
        <v>434</v>
      </c>
      <c r="B421" s="409">
        <v>22675</v>
      </c>
      <c r="C421" s="20" t="str">
        <f>VLOOKUP(A421,'JUNE (물량흐름)'!$A$13:$C$502,2,0)</f>
        <v>TALBOTS</v>
      </c>
      <c r="D421" s="282">
        <f>VLOOKUP(A421,'JUNE (물량흐름)'!$A$13:$C$502,3,0)</f>
        <v>183034591</v>
      </c>
      <c r="E421" s="6">
        <f>VLOOKUP(D421,'JUNE (물량흐름)'!$C$13:$W$502,21,0)</f>
        <v>4130</v>
      </c>
      <c r="F421" s="6">
        <f t="shared" si="62"/>
        <v>350242585</v>
      </c>
      <c r="G421" s="6">
        <f>ROUND(SUMIF('In-out-bal products (155)(완성제품)'!$B$12:$B$493,'Sales profit (스타일 별 매출이익)'!D421,'In-out-bal products (155)(완성제품)'!$X$12:$X$493) + SUMIF('In-out-bal products (155)(완성제품)'!$B$12:$B$493,'Sales profit (스타일 별 매출이익)'!D421,'In-out-bal products (155)(완성제품)'!$AA$12:$AA$493),0)</f>
        <v>423285349</v>
      </c>
      <c r="H421" s="283">
        <f t="shared" si="63"/>
        <v>-0.77997350710508262</v>
      </c>
      <c r="I421" s="284">
        <f t="shared" si="64"/>
        <v>-17685.899273607749</v>
      </c>
      <c r="J421" s="284">
        <f t="shared" si="70"/>
        <v>29897358.658983331</v>
      </c>
      <c r="K421" s="285">
        <v>3.74</v>
      </c>
      <c r="L421" s="285">
        <f t="shared" si="65"/>
        <v>4.5199735071050826</v>
      </c>
      <c r="M421" s="285">
        <f t="shared" si="66"/>
        <v>-1.0992268651300572</v>
      </c>
      <c r="N421" s="285">
        <f t="shared" si="67"/>
        <v>0.31925335802497479</v>
      </c>
      <c r="O421" s="416">
        <f>ROUND(K421*E421,2)</f>
        <v>15446.2</v>
      </c>
      <c r="P421" s="417">
        <f t="shared" si="69"/>
        <v>84804.5</v>
      </c>
      <c r="Q421" s="441"/>
    </row>
    <row r="422" spans="1:17" s="417" customFormat="1">
      <c r="A422" s="167">
        <v>435</v>
      </c>
      <c r="B422" s="409">
        <v>22675</v>
      </c>
      <c r="C422" s="20" t="str">
        <f>VLOOKUP(A422,'JUNE (물량흐름)'!$A$13:$C$502,2,0)</f>
        <v>ALFANI</v>
      </c>
      <c r="D422" s="282" t="str">
        <f>VLOOKUP(A422,'JUNE (물량흐름)'!$A$13:$C$502,3,0)</f>
        <v xml:space="preserve">7X727 </v>
      </c>
      <c r="E422" s="6">
        <f>VLOOKUP(D422,'JUNE (물량흐름)'!$C$13:$W$502,21,0)</f>
        <v>0</v>
      </c>
      <c r="F422" s="6">
        <f t="shared" si="62"/>
        <v>0</v>
      </c>
      <c r="G422" s="6">
        <f>ROUND(SUMIF('In-out-bal products (155)(완성제품)'!$B$12:$B$493,'Sales profit (스타일 별 매출이익)'!D422,'In-out-bal products (155)(완성제품)'!$X$12:$X$493) + SUMIF('In-out-bal products (155)(완성제품)'!$B$12:$B$493,'Sales profit (스타일 별 매출이익)'!D422,'In-out-bal products (155)(완성제품)'!$AA$12:$AA$493),0)</f>
        <v>0</v>
      </c>
      <c r="H422" s="283">
        <f t="shared" si="63"/>
        <v>0</v>
      </c>
      <c r="I422" s="284">
        <f t="shared" si="64"/>
        <v>0</v>
      </c>
      <c r="J422" s="284">
        <f t="shared" si="70"/>
        <v>0</v>
      </c>
      <c r="K422" s="283">
        <v>2.23</v>
      </c>
      <c r="L422" s="285">
        <f t="shared" si="65"/>
        <v>0</v>
      </c>
      <c r="M422" s="285">
        <f t="shared" si="66"/>
        <v>2.23</v>
      </c>
      <c r="N422" s="285">
        <f t="shared" si="67"/>
        <v>0</v>
      </c>
      <c r="O422" s="416">
        <f t="shared" si="68"/>
        <v>0</v>
      </c>
      <c r="P422" s="417">
        <f t="shared" si="69"/>
        <v>50565.25</v>
      </c>
      <c r="Q422" s="441"/>
    </row>
    <row r="423" spans="1:17" s="417" customFormat="1">
      <c r="A423" s="167">
        <v>436</v>
      </c>
      <c r="B423" s="409">
        <v>22675</v>
      </c>
      <c r="C423" s="20" t="str">
        <f>VLOOKUP(A423,'JUNE (물량흐름)'!$A$13:$C$502,2,0)</f>
        <v>EILEEN FISHER</v>
      </c>
      <c r="D423" s="282" t="str">
        <f>VLOOKUP(A423,'JUNE (물량흐름)'!$A$13:$C$502,3,0)</f>
        <v>EESOQ-T4577</v>
      </c>
      <c r="E423" s="6">
        <f>VLOOKUP(D423,'JUNE (물량흐름)'!$C$13:$W$502,21,0)</f>
        <v>1008</v>
      </c>
      <c r="F423" s="6">
        <f t="shared" si="62"/>
        <v>140338296</v>
      </c>
      <c r="G423" s="6">
        <f>ROUND(SUMIF('In-out-bal products (155)(완성제품)'!$B$12:$B$493,'Sales profit (스타일 별 매출이익)'!D423,'In-out-bal products (155)(완성제품)'!$X$12:$X$493) + SUMIF('In-out-bal products (155)(완성제품)'!$B$12:$B$493,'Sales profit (스타일 별 매출이익)'!D423,'In-out-bal products (155)(완성제품)'!$AA$12:$AA$493),0)</f>
        <v>87557526</v>
      </c>
      <c r="H423" s="283">
        <f t="shared" si="63"/>
        <v>2.3092337375964718</v>
      </c>
      <c r="I423" s="284">
        <f t="shared" si="64"/>
        <v>52361.875</v>
      </c>
      <c r="J423" s="284">
        <f t="shared" si="70"/>
        <v>11979538.036765477</v>
      </c>
      <c r="K423" s="285">
        <v>6.14</v>
      </c>
      <c r="L423" s="285">
        <f t="shared" si="65"/>
        <v>3.8307662624035279</v>
      </c>
      <c r="M423" s="285">
        <f t="shared" si="66"/>
        <v>1.7851119145287324</v>
      </c>
      <c r="N423" s="285">
        <f t="shared" si="67"/>
        <v>0.52412182306773925</v>
      </c>
      <c r="O423" s="416">
        <f t="shared" si="68"/>
        <v>6189.12</v>
      </c>
      <c r="P423" s="417">
        <f t="shared" si="69"/>
        <v>139224.5</v>
      </c>
      <c r="Q423" s="441"/>
    </row>
    <row r="424" spans="1:17" s="417" customFormat="1">
      <c r="A424" s="167">
        <v>437</v>
      </c>
      <c r="B424" s="409">
        <v>22675</v>
      </c>
      <c r="C424" s="20" t="str">
        <f>VLOOKUP(A424,'JUNE (물량흐름)'!$A$13:$C$502,2,0)</f>
        <v>EILEEN FISHER</v>
      </c>
      <c r="D424" s="282" t="str">
        <f>VLOOKUP(A424,'JUNE (물량흐름)'!$A$13:$C$502,3,0)</f>
        <v>F8SOQ-T4578M</v>
      </c>
      <c r="E424" s="6">
        <f>VLOOKUP(D424,'JUNE (물량흐름)'!$C$13:$W$502,21,0)</f>
        <v>1233</v>
      </c>
      <c r="F424" s="6">
        <f t="shared" si="62"/>
        <v>143146368</v>
      </c>
      <c r="G424" s="6">
        <f>ROUND(SUMIF('In-out-bal products (155)(완성제품)'!$B$12:$B$493,'Sales profit (스타일 별 매출이익)'!D424,'In-out-bal products (155)(완성제품)'!$X$12:$X$493) + SUMIF('In-out-bal products (155)(완성제품)'!$B$12:$B$493,'Sales profit (스타일 별 매출이익)'!D424,'In-out-bal products (155)(완성제품)'!$AA$12:$AA$493),0)</f>
        <v>120245882</v>
      </c>
      <c r="H424" s="283">
        <f t="shared" si="63"/>
        <v>0.81909509796294666</v>
      </c>
      <c r="I424" s="284">
        <f t="shared" si="64"/>
        <v>18572.981346309814</v>
      </c>
      <c r="J424" s="284">
        <f t="shared" si="70"/>
        <v>12219240.286919463</v>
      </c>
      <c r="K424" s="285">
        <v>5.12</v>
      </c>
      <c r="L424" s="285">
        <f t="shared" si="65"/>
        <v>4.3009049020370531</v>
      </c>
      <c r="M424" s="285">
        <f t="shared" si="66"/>
        <v>0.38204237253838258</v>
      </c>
      <c r="N424" s="285">
        <f t="shared" si="67"/>
        <v>0.43705272542456441</v>
      </c>
      <c r="O424" s="416">
        <f t="shared" si="68"/>
        <v>6312.96</v>
      </c>
      <c r="P424" s="417">
        <f t="shared" si="69"/>
        <v>116096</v>
      </c>
      <c r="Q424" s="441"/>
    </row>
    <row r="425" spans="1:17" s="417" customFormat="1">
      <c r="A425" s="167">
        <v>438</v>
      </c>
      <c r="B425" s="409">
        <v>22675</v>
      </c>
      <c r="C425" s="20" t="str">
        <f>VLOOKUP(A425,'JUNE (물량흐름)'!$A$13:$C$502,2,0)</f>
        <v>INC</v>
      </c>
      <c r="D425" s="282">
        <f>VLOOKUP(A425,'JUNE (물량흐름)'!$A$13:$C$502,3,0)</f>
        <v>100034276</v>
      </c>
      <c r="E425" s="6">
        <f>VLOOKUP(D425,'JUNE (물량흐름)'!$C$13:$W$502,21,0)</f>
        <v>5826</v>
      </c>
      <c r="F425" s="6">
        <f t="shared" si="62"/>
        <v>314408829</v>
      </c>
      <c r="G425" s="6">
        <f>ROUND(SUMIF('In-out-bal products (155)(완성제품)'!$B$12:$B$493,'Sales profit (스타일 별 매출이익)'!D425,'In-out-bal products (155)(완성제품)'!$X$12:$X$493) + SUMIF('In-out-bal products (155)(완성제품)'!$B$12:$B$493,'Sales profit (스타일 별 매출이익)'!D425,'In-out-bal products (155)(완성제품)'!$AA$12:$AA$493),0)</f>
        <v>230348008</v>
      </c>
      <c r="H425" s="283">
        <f t="shared" si="63"/>
        <v>0.63632040682928792</v>
      </c>
      <c r="I425" s="284">
        <f t="shared" si="64"/>
        <v>14428.565224854103</v>
      </c>
      <c r="J425" s="284">
        <f t="shared" si="70"/>
        <v>26838522.580467932</v>
      </c>
      <c r="K425" s="285">
        <v>2.38</v>
      </c>
      <c r="L425" s="285">
        <f t="shared" si="65"/>
        <v>1.7436795931707123</v>
      </c>
      <c r="M425" s="285">
        <f t="shared" si="66"/>
        <v>0.43315917899521272</v>
      </c>
      <c r="N425" s="285">
        <f t="shared" si="67"/>
        <v>0.20316122783407484</v>
      </c>
      <c r="O425" s="416">
        <f t="shared" si="68"/>
        <v>13865.88</v>
      </c>
      <c r="P425" s="417">
        <f t="shared" si="69"/>
        <v>53966.5</v>
      </c>
      <c r="Q425" s="441"/>
    </row>
    <row r="426" spans="1:17" s="417" customFormat="1">
      <c r="A426" s="167">
        <v>439</v>
      </c>
      <c r="B426" s="409">
        <v>22675</v>
      </c>
      <c r="C426" s="20" t="str">
        <f>VLOOKUP(A426,'JUNE (물량흐름)'!$A$13:$C$502,2,0)</f>
        <v>TALBOTS</v>
      </c>
      <c r="D426" s="282">
        <f>VLOOKUP(A426,'JUNE (물량흐름)'!$A$13:$C$502,3,0)</f>
        <v>183033602</v>
      </c>
      <c r="E426" s="6">
        <f>VLOOKUP(D426,'JUNE (물량흐름)'!$C$13:$W$502,21,0)</f>
        <v>0</v>
      </c>
      <c r="F426" s="6">
        <f t="shared" si="62"/>
        <v>0</v>
      </c>
      <c r="G426" s="6">
        <f>ROUND(SUMIF('In-out-bal products (155)(완성제품)'!$B$12:$B$493,'Sales profit (스타일 별 매출이익)'!D426,'In-out-bal products (155)(완성제품)'!$X$12:$X$493) + SUMIF('In-out-bal products (155)(완성제품)'!$B$12:$B$493,'Sales profit (스타일 별 매출이익)'!D426,'In-out-bal products (155)(완성제품)'!$AA$12:$AA$493),0)</f>
        <v>0</v>
      </c>
      <c r="H426" s="283">
        <f t="shared" si="63"/>
        <v>0</v>
      </c>
      <c r="I426" s="284">
        <f t="shared" si="64"/>
        <v>0</v>
      </c>
      <c r="J426" s="284">
        <f t="shared" si="70"/>
        <v>0</v>
      </c>
      <c r="K426" s="283">
        <v>2.2799999999999998</v>
      </c>
      <c r="L426" s="285">
        <f t="shared" si="65"/>
        <v>0</v>
      </c>
      <c r="M426" s="285">
        <f t="shared" si="66"/>
        <v>2.2799999999999998</v>
      </c>
      <c r="N426" s="285">
        <f t="shared" si="67"/>
        <v>0</v>
      </c>
      <c r="O426" s="416">
        <f t="shared" si="68"/>
        <v>0</v>
      </c>
      <c r="P426" s="417">
        <f t="shared" si="69"/>
        <v>51698.999999999993</v>
      </c>
      <c r="Q426" s="441"/>
    </row>
    <row r="427" spans="1:17" s="417" customFormat="1">
      <c r="A427" s="167">
        <v>440</v>
      </c>
      <c r="B427" s="409">
        <v>22675</v>
      </c>
      <c r="C427" s="20" t="str">
        <f>VLOOKUP(A427,'JUNE (물량흐름)'!$A$13:$C$502,2,0)</f>
        <v>TALBOTS</v>
      </c>
      <c r="D427" s="282">
        <f>VLOOKUP(A427,'JUNE (물량흐름)'!$A$13:$C$502,3,0)</f>
        <v>183034592</v>
      </c>
      <c r="E427" s="6">
        <f>VLOOKUP(D427,'JUNE (물량흐름)'!$C$13:$W$502,21,0)</f>
        <v>1599</v>
      </c>
      <c r="F427" s="6">
        <f t="shared" si="62"/>
        <v>209567339</v>
      </c>
      <c r="G427" s="6">
        <f>ROUND(SUMIF('In-out-bal products (155)(완성제품)'!$B$12:$B$493,'Sales profit (스타일 별 매출이익)'!D427,'In-out-bal products (155)(완성제품)'!$X$12:$X$493) + SUMIF('In-out-bal products (155)(완성제품)'!$B$12:$B$493,'Sales profit (스타일 별 매출이익)'!D427,'In-out-bal products (155)(완성제품)'!$AA$12:$AA$493),0)</f>
        <v>177382301</v>
      </c>
      <c r="H427" s="283">
        <f t="shared" si="63"/>
        <v>0.88768374390554183</v>
      </c>
      <c r="I427" s="284">
        <f t="shared" si="64"/>
        <v>20128.22889305816</v>
      </c>
      <c r="J427" s="284">
        <f t="shared" si="70"/>
        <v>17889057.943344455</v>
      </c>
      <c r="K427" s="285">
        <v>5.78</v>
      </c>
      <c r="L427" s="285">
        <f t="shared" si="65"/>
        <v>4.8923162698847751</v>
      </c>
      <c r="M427" s="285">
        <f t="shared" si="66"/>
        <v>0.39429217562673335</v>
      </c>
      <c r="N427" s="285">
        <f t="shared" si="67"/>
        <v>0.49339155448849181</v>
      </c>
      <c r="O427" s="416">
        <f t="shared" si="68"/>
        <v>9242.2199999999993</v>
      </c>
      <c r="P427" s="417">
        <f t="shared" si="69"/>
        <v>131061.5</v>
      </c>
      <c r="Q427" s="441"/>
    </row>
    <row r="428" spans="1:17" s="417" customFormat="1">
      <c r="A428" s="167">
        <v>441</v>
      </c>
      <c r="B428" s="409">
        <v>22675</v>
      </c>
      <c r="C428" s="20" t="str">
        <f>VLOOKUP(A428,'JUNE (물량흐름)'!$A$13:$C$502,2,0)</f>
        <v>ANN TAYLOR</v>
      </c>
      <c r="D428" s="282">
        <f>VLOOKUP(A428,'JUNE (물량흐름)'!$A$13:$C$502,3,0)</f>
        <v>476154</v>
      </c>
      <c r="E428" s="6">
        <f>VLOOKUP(D428,'JUNE (물량흐름)'!$C$13:$W$502,21,0)</f>
        <v>9000</v>
      </c>
      <c r="F428" s="6">
        <f t="shared" si="62"/>
        <v>430598250</v>
      </c>
      <c r="G428" s="6">
        <f>ROUND(SUMIF('In-out-bal products (155)(완성제품)'!$B$12:$B$493,'Sales profit (스타일 별 매출이익)'!D428,'In-out-bal products (155)(완성제품)'!$X$12:$X$493) + SUMIF('In-out-bal products (155)(완성제품)'!$B$12:$B$493,'Sales profit (스타일 별 매출이익)'!D428,'In-out-bal products (155)(완성제품)'!$AA$12:$AA$493),0)</f>
        <v>362328556</v>
      </c>
      <c r="H428" s="283">
        <f t="shared" si="63"/>
        <v>0.33453237290211935</v>
      </c>
      <c r="I428" s="284">
        <f t="shared" si="64"/>
        <v>7585.521555555556</v>
      </c>
      <c r="J428" s="284">
        <f t="shared" si="70"/>
        <v>36756667.719833583</v>
      </c>
      <c r="K428" s="285">
        <v>2.11</v>
      </c>
      <c r="L428" s="285">
        <f t="shared" si="65"/>
        <v>1.7754676270978806</v>
      </c>
      <c r="M428" s="285">
        <f t="shared" si="66"/>
        <v>0.15441884738535538</v>
      </c>
      <c r="N428" s="285">
        <f t="shared" si="67"/>
        <v>0.18011352551676385</v>
      </c>
      <c r="O428" s="416">
        <f t="shared" si="68"/>
        <v>18990</v>
      </c>
      <c r="P428" s="417">
        <f t="shared" si="69"/>
        <v>47844.25</v>
      </c>
      <c r="Q428" s="441"/>
    </row>
    <row r="429" spans="1:17" s="417" customFormat="1">
      <c r="A429" s="167">
        <v>442</v>
      </c>
      <c r="B429" s="409">
        <v>22675</v>
      </c>
      <c r="C429" s="20" t="str">
        <f>VLOOKUP(A429,'JUNE (물량흐름)'!$A$13:$C$502,2,0)</f>
        <v>ANN TAYLOR</v>
      </c>
      <c r="D429" s="282">
        <f>VLOOKUP(A429,'JUNE (물량흐름)'!$A$13:$C$502,3,0)</f>
        <v>483830</v>
      </c>
      <c r="E429" s="6">
        <f>VLOOKUP(D429,'JUNE (물량흐름)'!$C$13:$W$502,21,0)</f>
        <v>29292</v>
      </c>
      <c r="F429" s="6">
        <f t="shared" si="62"/>
        <v>1275256512</v>
      </c>
      <c r="G429" s="6">
        <f>ROUND(SUMIF('In-out-bal products (155)(완성제품)'!$B$12:$B$493,'Sales profit (스타일 별 매출이익)'!D429,'In-out-bal products (155)(완성제품)'!$X$12:$X$493) + SUMIF('In-out-bal products (155)(완성제품)'!$B$12:$B$493,'Sales profit (스타일 별 매출이익)'!D429,'In-out-bal products (155)(완성제품)'!$AA$12:$AA$493),0)</f>
        <v>1076119748</v>
      </c>
      <c r="H429" s="283">
        <f t="shared" si="63"/>
        <v>0.2998162199386597</v>
      </c>
      <c r="I429" s="284">
        <f t="shared" si="64"/>
        <v>6798.3327871091087</v>
      </c>
      <c r="J429" s="284">
        <f t="shared" si="70"/>
        <v>108858268.39551245</v>
      </c>
      <c r="K429" s="285">
        <v>1.92</v>
      </c>
      <c r="L429" s="285">
        <f t="shared" si="65"/>
        <v>1.6201837800613403</v>
      </c>
      <c r="M429" s="285">
        <f t="shared" si="66"/>
        <v>0.13592144790444793</v>
      </c>
      <c r="N429" s="285">
        <f t="shared" si="67"/>
        <v>0.16389477203421166</v>
      </c>
      <c r="O429" s="416">
        <f t="shared" si="68"/>
        <v>56240.639999999999</v>
      </c>
      <c r="P429" s="417">
        <f t="shared" si="69"/>
        <v>43536</v>
      </c>
      <c r="Q429" s="441"/>
    </row>
    <row r="430" spans="1:17" s="417" customFormat="1">
      <c r="A430" s="167">
        <v>443</v>
      </c>
      <c r="B430" s="409">
        <v>22675</v>
      </c>
      <c r="C430" s="20" t="str">
        <f>VLOOKUP(A430,'JUNE (물량흐름)'!$A$13:$C$502,2,0)</f>
        <v>ALFANI</v>
      </c>
      <c r="D430" s="282">
        <f>VLOOKUP(A430,'JUNE (물량흐름)'!$A$13:$C$502,3,0)</f>
        <v>79718</v>
      </c>
      <c r="E430" s="6">
        <f>VLOOKUP(D430,'JUNE (물량흐름)'!$C$13:$W$502,21,0)</f>
        <v>0</v>
      </c>
      <c r="F430" s="6">
        <f t="shared" si="62"/>
        <v>0</v>
      </c>
      <c r="G430" s="6">
        <f>ROUND(SUMIF('In-out-bal products (155)(완성제품)'!$B$12:$B$493,'Sales profit (스타일 별 매출이익)'!D430,'In-out-bal products (155)(완성제품)'!$X$12:$X$493) + SUMIF('In-out-bal products (155)(완성제품)'!$B$12:$B$493,'Sales profit (스타일 별 매출이익)'!D430,'In-out-bal products (155)(완성제품)'!$AA$12:$AA$493),0)</f>
        <v>0</v>
      </c>
      <c r="H430" s="283">
        <f t="shared" si="63"/>
        <v>0</v>
      </c>
      <c r="I430" s="284">
        <f t="shared" si="64"/>
        <v>0</v>
      </c>
      <c r="J430" s="284">
        <f t="shared" si="70"/>
        <v>0</v>
      </c>
      <c r="K430" s="283">
        <v>2.5</v>
      </c>
      <c r="L430" s="285">
        <f t="shared" si="65"/>
        <v>0</v>
      </c>
      <c r="M430" s="285">
        <f t="shared" si="66"/>
        <v>2.5</v>
      </c>
      <c r="N430" s="285">
        <f t="shared" si="67"/>
        <v>0</v>
      </c>
      <c r="O430" s="416">
        <f t="shared" si="68"/>
        <v>0</v>
      </c>
      <c r="P430" s="417">
        <f t="shared" si="69"/>
        <v>56687.5</v>
      </c>
      <c r="Q430" s="441"/>
    </row>
    <row r="431" spans="1:17" s="417" customFormat="1">
      <c r="A431" s="167">
        <v>444</v>
      </c>
      <c r="B431" s="409">
        <v>22675</v>
      </c>
      <c r="C431" s="20" t="str">
        <f>VLOOKUP(A431,'JUNE (물량흐름)'!$A$13:$C$502,2,0)</f>
        <v>ANN TAYLOR</v>
      </c>
      <c r="D431" s="282">
        <f>VLOOKUP(A431,'JUNE (물량흐름)'!$A$13:$C$502,3,0)</f>
        <v>470392</v>
      </c>
      <c r="E431" s="6">
        <f>VLOOKUP(D431,'JUNE (물량흐름)'!$C$13:$W$502,21,0)</f>
        <v>0</v>
      </c>
      <c r="F431" s="6">
        <f t="shared" si="62"/>
        <v>0</v>
      </c>
      <c r="G431" s="6">
        <f>ROUND(SUMIF('In-out-bal products (155)(완성제품)'!$B$12:$B$493,'Sales profit (스타일 별 매출이익)'!D431,'In-out-bal products (155)(완성제품)'!$X$12:$X$493) + SUMIF('In-out-bal products (155)(완성제품)'!$B$12:$B$493,'Sales profit (스타일 별 매출이익)'!D431,'In-out-bal products (155)(완성제품)'!$AA$12:$AA$493),0)</f>
        <v>0</v>
      </c>
      <c r="H431" s="283">
        <f t="shared" ref="H431:H484" si="71">IFERROR(I431/B431,0)</f>
        <v>0</v>
      </c>
      <c r="I431" s="284">
        <f t="shared" ref="I431:I484" si="72">IFERROR((F431-G431)/E431,0)</f>
        <v>0</v>
      </c>
      <c r="J431" s="284">
        <f t="shared" si="70"/>
        <v>0</v>
      </c>
      <c r="K431" s="283">
        <v>2.15</v>
      </c>
      <c r="L431" s="285">
        <f t="shared" ref="L431:L489" si="73">IFERROR(G431/E431/B431,0)</f>
        <v>0</v>
      </c>
      <c r="M431" s="285">
        <f t="shared" ref="M431:M489" si="74">K431-L431-N431</f>
        <v>2.15</v>
      </c>
      <c r="N431" s="285">
        <f t="shared" ref="N431:N489" si="75">IFERROR(J431/E431/B431,0)</f>
        <v>0</v>
      </c>
      <c r="O431" s="416">
        <f t="shared" si="68"/>
        <v>0</v>
      </c>
      <c r="P431" s="417">
        <f t="shared" si="69"/>
        <v>48751.25</v>
      </c>
      <c r="Q431" s="441"/>
    </row>
    <row r="432" spans="1:17" s="417" customFormat="1">
      <c r="A432" s="167">
        <v>445</v>
      </c>
      <c r="B432" s="409">
        <v>22675</v>
      </c>
      <c r="C432" s="20" t="str">
        <f>VLOOKUP(A432,'JUNE (물량흐름)'!$A$13:$C$502,2,0)</f>
        <v>ANN TAYLOR</v>
      </c>
      <c r="D432" s="282">
        <f>VLOOKUP(A432,'JUNE (물량흐름)'!$A$13:$C$502,3,0)</f>
        <v>471300</v>
      </c>
      <c r="E432" s="6">
        <f>VLOOKUP(D432,'JUNE (물량흐름)'!$C$13:$W$502,21,0)</f>
        <v>1143</v>
      </c>
      <c r="F432" s="6">
        <f t="shared" si="62"/>
        <v>94598966</v>
      </c>
      <c r="G432" s="6">
        <f>ROUND(SUMIF('In-out-bal products (155)(완성제품)'!$B$12:$B$493,'Sales profit (스타일 별 매출이익)'!D432,'In-out-bal products (155)(완성제품)'!$X$12:$X$493) + SUMIF('In-out-bal products (155)(완성제품)'!$B$12:$B$493,'Sales profit (스타일 별 매출이익)'!D432,'In-out-bal products (155)(완성제품)'!$AA$12:$AA$493),0)</f>
        <v>82585478</v>
      </c>
      <c r="H432" s="283">
        <f t="shared" si="71"/>
        <v>0.46352759378065617</v>
      </c>
      <c r="I432" s="284">
        <f t="shared" si="72"/>
        <v>10510.488188976378</v>
      </c>
      <c r="J432" s="284">
        <f t="shared" si="70"/>
        <v>8075143.7329386137</v>
      </c>
      <c r="K432" s="285">
        <v>3.65</v>
      </c>
      <c r="L432" s="285">
        <f t="shared" si="73"/>
        <v>3.186472396573361</v>
      </c>
      <c r="M432" s="285">
        <f t="shared" si="74"/>
        <v>0.1519568136641668</v>
      </c>
      <c r="N432" s="285">
        <f t="shared" si="75"/>
        <v>0.3115707897624721</v>
      </c>
      <c r="O432" s="416">
        <f t="shared" si="68"/>
        <v>4171.95</v>
      </c>
      <c r="P432" s="417">
        <f t="shared" si="69"/>
        <v>82763.75</v>
      </c>
      <c r="Q432" s="441"/>
    </row>
    <row r="433" spans="1:17" s="417" customFormat="1">
      <c r="A433" s="167">
        <v>446</v>
      </c>
      <c r="B433" s="409">
        <v>22675</v>
      </c>
      <c r="C433" s="20" t="str">
        <f>VLOOKUP(A433,'JUNE (물량흐름)'!$A$13:$C$502,2,0)</f>
        <v>ANN TAYLOR</v>
      </c>
      <c r="D433" s="282">
        <f>VLOOKUP(A433,'JUNE (물량흐름)'!$A$13:$C$502,3,0)</f>
        <v>474934</v>
      </c>
      <c r="E433" s="6">
        <f>VLOOKUP(D433,'JUNE (물량흐름)'!$C$13:$W$502,21,0)</f>
        <v>1270</v>
      </c>
      <c r="F433" s="6">
        <f t="shared" si="62"/>
        <v>55002748</v>
      </c>
      <c r="G433" s="6">
        <f>ROUND(SUMIF('In-out-bal products (155)(완성제품)'!$B$12:$B$493,'Sales profit (스타일 별 매출이익)'!D433,'In-out-bal products (155)(완성제품)'!$X$12:$X$493) + SUMIF('In-out-bal products (155)(완성제품)'!$B$12:$B$493,'Sales profit (스타일 별 매출이익)'!D433,'In-out-bal products (155)(완성제품)'!$AA$12:$AA$493),0)</f>
        <v>25992281</v>
      </c>
      <c r="H433" s="283">
        <f t="shared" si="71"/>
        <v>1.0074040750418878</v>
      </c>
      <c r="I433" s="284">
        <f t="shared" si="72"/>
        <v>22842.887401574804</v>
      </c>
      <c r="J433" s="284">
        <f t="shared" si="70"/>
        <v>4695136.8982891617</v>
      </c>
      <c r="K433" s="285">
        <v>1.91</v>
      </c>
      <c r="L433" s="285">
        <f t="shared" si="73"/>
        <v>0.90259594232088136</v>
      </c>
      <c r="M433" s="285">
        <f t="shared" si="74"/>
        <v>0.84436290276713355</v>
      </c>
      <c r="N433" s="285">
        <f t="shared" si="75"/>
        <v>0.16304115491198506</v>
      </c>
      <c r="O433" s="416">
        <f t="shared" si="68"/>
        <v>2425.6999999999998</v>
      </c>
      <c r="P433" s="417">
        <f t="shared" si="69"/>
        <v>43309.25</v>
      </c>
      <c r="Q433" s="441"/>
    </row>
    <row r="434" spans="1:17" s="417" customFormat="1">
      <c r="A434" s="167">
        <v>447</v>
      </c>
      <c r="B434" s="409">
        <v>22675</v>
      </c>
      <c r="C434" s="20" t="str">
        <f>VLOOKUP(A434,'JUNE (물량흐름)'!$A$13:$C$502,2,0)</f>
        <v>ANN TAYLOR</v>
      </c>
      <c r="D434" s="282">
        <f>VLOOKUP(A434,'JUNE (물량흐름)'!$A$13:$C$502,3,0)</f>
        <v>474935</v>
      </c>
      <c r="E434" s="6">
        <f>VLOOKUP(D434,'JUNE (물량흐름)'!$C$13:$W$502,21,0)</f>
        <v>9600</v>
      </c>
      <c r="F434" s="6">
        <f t="shared" si="62"/>
        <v>372232800</v>
      </c>
      <c r="G434" s="6">
        <f>ROUND(SUMIF('In-out-bal products (155)(완성제품)'!$B$12:$B$493,'Sales profit (스타일 별 매출이익)'!D434,'In-out-bal products (155)(완성제품)'!$X$12:$X$493) + SUMIF('In-out-bal products (155)(완성제품)'!$B$12:$B$493,'Sales profit (스타일 별 매출이익)'!D434,'In-out-bal products (155)(완성제품)'!$AA$12:$AA$493),0)</f>
        <v>331494441</v>
      </c>
      <c r="H434" s="283">
        <f t="shared" si="71"/>
        <v>0.18714791896361632</v>
      </c>
      <c r="I434" s="284">
        <f t="shared" si="72"/>
        <v>4243.5790625</v>
      </c>
      <c r="J434" s="284">
        <f t="shared" si="70"/>
        <v>31774484.322737657</v>
      </c>
      <c r="K434" s="285">
        <v>1.71</v>
      </c>
      <c r="L434" s="285">
        <f t="shared" si="73"/>
        <v>1.5228520810363837</v>
      </c>
      <c r="M434" s="285">
        <f t="shared" si="74"/>
        <v>4.1179137620646511E-2</v>
      </c>
      <c r="N434" s="285">
        <f t="shared" si="75"/>
        <v>0.14596878134296976</v>
      </c>
      <c r="O434" s="416">
        <f t="shared" si="68"/>
        <v>16416</v>
      </c>
      <c r="P434" s="417">
        <f t="shared" si="69"/>
        <v>38774.25</v>
      </c>
      <c r="Q434" s="441"/>
    </row>
    <row r="435" spans="1:17" s="417" customFormat="1">
      <c r="A435" s="167">
        <v>448</v>
      </c>
      <c r="B435" s="409">
        <v>22675</v>
      </c>
      <c r="C435" s="20" t="str">
        <f>VLOOKUP(A435,'JUNE (물량흐름)'!$A$13:$C$502,2,0)</f>
        <v>ANN TAYLOR</v>
      </c>
      <c r="D435" s="282">
        <f>VLOOKUP(A435,'JUNE (물량흐름)'!$A$13:$C$502,3,0)</f>
        <v>474937</v>
      </c>
      <c r="E435" s="6">
        <f>VLOOKUP(D435,'JUNE (물량흐름)'!$C$13:$W$502,21,0)</f>
        <v>0</v>
      </c>
      <c r="F435" s="6">
        <f t="shared" si="62"/>
        <v>0</v>
      </c>
      <c r="G435" s="6">
        <f>ROUND(SUMIF('In-out-bal products (155)(완성제품)'!$B$12:$B$493,'Sales profit (스타일 별 매출이익)'!D435,'In-out-bal products (155)(완성제품)'!$X$12:$X$493) + SUMIF('In-out-bal products (155)(완성제품)'!$B$12:$B$493,'Sales profit (스타일 별 매출이익)'!D435,'In-out-bal products (155)(완성제품)'!$AA$12:$AA$493),0)</f>
        <v>0</v>
      </c>
      <c r="H435" s="283">
        <f t="shared" si="71"/>
        <v>0</v>
      </c>
      <c r="I435" s="284">
        <f t="shared" si="72"/>
        <v>0</v>
      </c>
      <c r="J435" s="284">
        <f t="shared" ref="J435:J484" si="76">IFERROR(F435*$J$492/$F$492,0)</f>
        <v>0</v>
      </c>
      <c r="K435" s="283">
        <v>1.65</v>
      </c>
      <c r="L435" s="285">
        <f t="shared" si="73"/>
        <v>0</v>
      </c>
      <c r="M435" s="285">
        <f t="shared" si="74"/>
        <v>1.65</v>
      </c>
      <c r="N435" s="285">
        <f t="shared" si="75"/>
        <v>0</v>
      </c>
      <c r="O435" s="416">
        <f t="shared" si="68"/>
        <v>0</v>
      </c>
      <c r="P435" s="417">
        <f t="shared" si="69"/>
        <v>37413.75</v>
      </c>
      <c r="Q435" s="441"/>
    </row>
    <row r="436" spans="1:17" s="417" customFormat="1">
      <c r="A436" s="167">
        <v>449</v>
      </c>
      <c r="B436" s="409">
        <v>22675</v>
      </c>
      <c r="C436" s="20" t="str">
        <f>VLOOKUP(A436,'JUNE (물량흐름)'!$A$13:$C$502,2,0)</f>
        <v>ANN TAYLOR</v>
      </c>
      <c r="D436" s="282">
        <f>VLOOKUP(A436,'JUNE (물량흐름)'!$A$13:$C$502,3,0)</f>
        <v>476557</v>
      </c>
      <c r="E436" s="6">
        <f>VLOOKUP(D436,'JUNE (물량흐름)'!$C$13:$W$502,21,0)</f>
        <v>0</v>
      </c>
      <c r="F436" s="6">
        <f t="shared" si="62"/>
        <v>0</v>
      </c>
      <c r="G436" s="6">
        <f>ROUND(SUMIF('In-out-bal products (155)(완성제품)'!$B$12:$B$493,'Sales profit (스타일 별 매출이익)'!D436,'In-out-bal products (155)(완성제품)'!$X$12:$X$493) + SUMIF('In-out-bal products (155)(완성제품)'!$B$12:$B$493,'Sales profit (스타일 별 매출이익)'!D436,'In-out-bal products (155)(완성제품)'!$AA$12:$AA$493),0)</f>
        <v>0</v>
      </c>
      <c r="H436" s="283">
        <f t="shared" si="71"/>
        <v>0</v>
      </c>
      <c r="I436" s="284">
        <f t="shared" si="72"/>
        <v>0</v>
      </c>
      <c r="J436" s="284">
        <f t="shared" si="76"/>
        <v>0</v>
      </c>
      <c r="K436" s="283">
        <v>1.5</v>
      </c>
      <c r="L436" s="285">
        <f t="shared" si="73"/>
        <v>0</v>
      </c>
      <c r="M436" s="285">
        <f t="shared" si="74"/>
        <v>1.5</v>
      </c>
      <c r="N436" s="285">
        <f t="shared" si="75"/>
        <v>0</v>
      </c>
      <c r="O436" s="416">
        <f t="shared" si="68"/>
        <v>0</v>
      </c>
      <c r="P436" s="417">
        <f t="shared" si="69"/>
        <v>34012.5</v>
      </c>
      <c r="Q436" s="441"/>
    </row>
    <row r="437" spans="1:17" s="417" customFormat="1">
      <c r="A437" s="167">
        <v>450</v>
      </c>
      <c r="B437" s="409">
        <v>22675</v>
      </c>
      <c r="C437" s="20" t="str">
        <f>VLOOKUP(A437,'JUNE (물량흐름)'!$A$13:$C$502,2,0)</f>
        <v>ALFANI</v>
      </c>
      <c r="D437" s="282">
        <f>VLOOKUP(A437,'JUNE (물량흐름)'!$A$13:$C$502,3,0)</f>
        <v>100018225</v>
      </c>
      <c r="E437" s="6">
        <f>VLOOKUP(D437,'JUNE (물량흐름)'!$C$13:$W$502,21,0)</f>
        <v>0</v>
      </c>
      <c r="F437" s="6">
        <f t="shared" ref="F437:F459" si="77">IFERROR(ROUND(E437*K437*B437,0),0)</f>
        <v>0</v>
      </c>
      <c r="G437" s="6">
        <f>ROUND(SUMIF('In-out-bal products (155)(완성제품)'!$B$12:$B$493,'Sales profit (스타일 별 매출이익)'!D437,'In-out-bal products (155)(완성제품)'!$X$12:$X$493) + SUMIF('In-out-bal products (155)(완성제품)'!$B$12:$B$493,'Sales profit (스타일 별 매출이익)'!D437,'In-out-bal products (155)(완성제품)'!$AA$12:$AA$493),0)</f>
        <v>0</v>
      </c>
      <c r="H437" s="283">
        <f t="shared" si="71"/>
        <v>0</v>
      </c>
      <c r="I437" s="284">
        <f t="shared" si="72"/>
        <v>0</v>
      </c>
      <c r="J437" s="284">
        <f t="shared" si="76"/>
        <v>0</v>
      </c>
      <c r="K437" s="283">
        <v>3.4</v>
      </c>
      <c r="L437" s="285">
        <f t="shared" si="73"/>
        <v>0</v>
      </c>
      <c r="M437" s="285">
        <f t="shared" si="74"/>
        <v>3.4</v>
      </c>
      <c r="N437" s="285">
        <f t="shared" si="75"/>
        <v>0</v>
      </c>
      <c r="O437" s="416">
        <f t="shared" ref="O437:O489" si="78">ROUND(K437*E437,2)</f>
        <v>0</v>
      </c>
      <c r="P437" s="417">
        <f t="shared" ref="P437:P489" si="79">+B437*K437</f>
        <v>77095</v>
      </c>
      <c r="Q437" s="441"/>
    </row>
    <row r="438" spans="1:17" s="417" customFormat="1">
      <c r="A438" s="167">
        <v>451</v>
      </c>
      <c r="B438" s="409">
        <v>22675</v>
      </c>
      <c r="C438" s="20" t="str">
        <f>VLOOKUP(A438,'JUNE (물량흐름)'!$A$13:$C$502,2,0)</f>
        <v>ALFANI</v>
      </c>
      <c r="D438" s="282">
        <f>VLOOKUP(A438,'JUNE (물량흐름)'!$A$13:$C$502,3,0)</f>
        <v>100018230</v>
      </c>
      <c r="E438" s="6">
        <f>VLOOKUP(D438,'JUNE (물량흐름)'!$C$13:$W$502,21,0)</f>
        <v>4797</v>
      </c>
      <c r="F438" s="6">
        <f t="shared" si="77"/>
        <v>224070269</v>
      </c>
      <c r="G438" s="6">
        <f>ROUND(SUMIF('In-out-bal products (155)(완성제품)'!$B$12:$B$493,'Sales profit (스타일 별 매출이익)'!D438,'In-out-bal products (155)(완성제품)'!$X$12:$X$493) + SUMIF('In-out-bal products (155)(완성제품)'!$B$12:$B$493,'Sales profit (스타일 별 매출이익)'!D438,'In-out-bal products (155)(완성제품)'!$AA$12:$AA$493),0)</f>
        <v>202282645</v>
      </c>
      <c r="H438" s="283">
        <f t="shared" si="71"/>
        <v>0.20030549229247696</v>
      </c>
      <c r="I438" s="284">
        <f t="shared" si="72"/>
        <v>4541.9270377319153</v>
      </c>
      <c r="J438" s="284">
        <f t="shared" si="76"/>
        <v>19127055.029895563</v>
      </c>
      <c r="K438" s="285">
        <v>2.06</v>
      </c>
      <c r="L438" s="285">
        <f t="shared" si="73"/>
        <v>1.8596945123042954</v>
      </c>
      <c r="M438" s="285">
        <f t="shared" si="74"/>
        <v>2.4460054808276066E-2</v>
      </c>
      <c r="N438" s="285">
        <f t="shared" si="75"/>
        <v>0.1758454328874286</v>
      </c>
      <c r="O438" s="416">
        <f t="shared" si="78"/>
        <v>9881.82</v>
      </c>
      <c r="P438" s="417">
        <f t="shared" si="79"/>
        <v>46710.5</v>
      </c>
      <c r="Q438" s="441"/>
    </row>
    <row r="439" spans="1:17" s="417" customFormat="1">
      <c r="A439" s="167">
        <v>452</v>
      </c>
      <c r="B439" s="409">
        <v>22675</v>
      </c>
      <c r="C439" s="20" t="str">
        <f>VLOOKUP(A439,'JUNE (물량흐름)'!$A$13:$C$502,2,0)</f>
        <v>ALFANI</v>
      </c>
      <c r="D439" s="282">
        <f>VLOOKUP(A439,'JUNE (물량흐름)'!$A$13:$C$502,3,0)</f>
        <v>100024454</v>
      </c>
      <c r="E439" s="6">
        <f>VLOOKUP(D439,'JUNE (물량흐름)'!$C$13:$W$502,21,0)</f>
        <v>0</v>
      </c>
      <c r="F439" s="6">
        <f t="shared" si="77"/>
        <v>0</v>
      </c>
      <c r="G439" s="6">
        <f>ROUND(SUMIF('In-out-bal products (155)(완성제품)'!$B$12:$B$493,'Sales profit (스타일 별 매출이익)'!D439,'In-out-bal products (155)(완성제품)'!$X$12:$X$493) + SUMIF('In-out-bal products (155)(완성제품)'!$B$12:$B$493,'Sales profit (스타일 별 매출이익)'!D439,'In-out-bal products (155)(완성제품)'!$AA$12:$AA$493),0)</f>
        <v>0</v>
      </c>
      <c r="H439" s="283">
        <f t="shared" si="71"/>
        <v>0</v>
      </c>
      <c r="I439" s="284">
        <f t="shared" si="72"/>
        <v>0</v>
      </c>
      <c r="J439" s="284">
        <f t="shared" si="76"/>
        <v>0</v>
      </c>
      <c r="K439" s="283">
        <v>1.25</v>
      </c>
      <c r="L439" s="285">
        <f t="shared" si="73"/>
        <v>0</v>
      </c>
      <c r="M439" s="285">
        <f t="shared" si="74"/>
        <v>1.25</v>
      </c>
      <c r="N439" s="285">
        <f t="shared" si="75"/>
        <v>0</v>
      </c>
      <c r="O439" s="416">
        <f t="shared" si="78"/>
        <v>0</v>
      </c>
      <c r="P439" s="417">
        <f t="shared" si="79"/>
        <v>28343.75</v>
      </c>
      <c r="Q439" s="441"/>
    </row>
    <row r="440" spans="1:17" s="417" customFormat="1">
      <c r="A440" s="167">
        <v>453</v>
      </c>
      <c r="B440" s="409">
        <v>22675</v>
      </c>
      <c r="C440" s="20" t="str">
        <f>VLOOKUP(A440,'JUNE (물량흐름)'!$A$13:$C$502,2,0)</f>
        <v>ALFANI</v>
      </c>
      <c r="D440" s="282">
        <f>VLOOKUP(A440,'JUNE (물량흐름)'!$A$13:$C$502,3,0)</f>
        <v>100024455</v>
      </c>
      <c r="E440" s="6">
        <f>VLOOKUP(D440,'JUNE (물량흐름)'!$C$13:$W$502,21,0)</f>
        <v>0</v>
      </c>
      <c r="F440" s="6">
        <f t="shared" si="77"/>
        <v>0</v>
      </c>
      <c r="G440" s="6">
        <f>ROUND(SUMIF('In-out-bal products (155)(완성제품)'!$B$12:$B$493,'Sales profit (스타일 별 매출이익)'!D440,'In-out-bal products (155)(완성제품)'!$X$12:$X$493) + SUMIF('In-out-bal products (155)(완성제품)'!$B$12:$B$493,'Sales profit (스타일 별 매출이익)'!D440,'In-out-bal products (155)(완성제품)'!$AA$12:$AA$493),0)</f>
        <v>0</v>
      </c>
      <c r="H440" s="283">
        <f t="shared" si="71"/>
        <v>0</v>
      </c>
      <c r="I440" s="284">
        <f t="shared" si="72"/>
        <v>0</v>
      </c>
      <c r="J440" s="284">
        <f t="shared" si="76"/>
        <v>0</v>
      </c>
      <c r="K440" s="283">
        <v>1.25</v>
      </c>
      <c r="L440" s="285">
        <f t="shared" si="73"/>
        <v>0</v>
      </c>
      <c r="M440" s="285">
        <f t="shared" si="74"/>
        <v>1.25</v>
      </c>
      <c r="N440" s="285">
        <f t="shared" si="75"/>
        <v>0</v>
      </c>
      <c r="O440" s="416">
        <f t="shared" si="78"/>
        <v>0</v>
      </c>
      <c r="P440" s="417">
        <f t="shared" si="79"/>
        <v>28343.75</v>
      </c>
      <c r="Q440" s="441"/>
    </row>
    <row r="441" spans="1:17" s="417" customFormat="1">
      <c r="A441" s="167">
        <v>454</v>
      </c>
      <c r="B441" s="409">
        <v>22675</v>
      </c>
      <c r="C441" s="20" t="str">
        <f>VLOOKUP(A441,'JUNE (물량흐름)'!$A$13:$C$502,2,0)</f>
        <v>ALFANI</v>
      </c>
      <c r="D441" s="282">
        <f>VLOOKUP(A441,'JUNE (물량흐름)'!$A$13:$C$502,3,0)</f>
        <v>100024464</v>
      </c>
      <c r="E441" s="6">
        <f>VLOOKUP(D441,'JUNE (물량흐름)'!$C$13:$W$502,21,0)</f>
        <v>0</v>
      </c>
      <c r="F441" s="6">
        <f t="shared" si="77"/>
        <v>0</v>
      </c>
      <c r="G441" s="6">
        <f>ROUND(SUMIF('In-out-bal products (155)(완성제품)'!$B$12:$B$493,'Sales profit (스타일 별 매출이익)'!D441,'In-out-bal products (155)(완성제품)'!$X$12:$X$493) + SUMIF('In-out-bal products (155)(완성제품)'!$B$12:$B$493,'Sales profit (스타일 별 매출이익)'!D441,'In-out-bal products (155)(완성제품)'!$AA$12:$AA$493),0)</f>
        <v>0</v>
      </c>
      <c r="H441" s="283">
        <f t="shared" si="71"/>
        <v>0</v>
      </c>
      <c r="I441" s="284">
        <f t="shared" si="72"/>
        <v>0</v>
      </c>
      <c r="J441" s="284">
        <f t="shared" si="76"/>
        <v>0</v>
      </c>
      <c r="K441" s="283">
        <v>1.9</v>
      </c>
      <c r="L441" s="285">
        <f t="shared" si="73"/>
        <v>0</v>
      </c>
      <c r="M441" s="285">
        <f t="shared" si="74"/>
        <v>1.9</v>
      </c>
      <c r="N441" s="285">
        <f t="shared" si="75"/>
        <v>0</v>
      </c>
      <c r="O441" s="416">
        <f t="shared" si="78"/>
        <v>0</v>
      </c>
      <c r="P441" s="417">
        <f t="shared" si="79"/>
        <v>43082.5</v>
      </c>
      <c r="Q441" s="441"/>
    </row>
    <row r="442" spans="1:17" s="417" customFormat="1">
      <c r="A442" s="167">
        <v>455</v>
      </c>
      <c r="B442" s="409">
        <v>22675</v>
      </c>
      <c r="C442" s="20" t="str">
        <f>VLOOKUP(A442,'JUNE (물량흐름)'!$A$13:$C$502,2,0)</f>
        <v>ALFANI</v>
      </c>
      <c r="D442" s="282">
        <f>VLOOKUP(A442,'JUNE (물량흐름)'!$A$13:$C$502,3,0)</f>
        <v>100024758</v>
      </c>
      <c r="E442" s="6">
        <f>VLOOKUP(D442,'JUNE (물량흐름)'!$C$13:$W$502,21,0)</f>
        <v>0</v>
      </c>
      <c r="F442" s="6">
        <f t="shared" si="77"/>
        <v>0</v>
      </c>
      <c r="G442" s="6">
        <f>ROUND(SUMIF('In-out-bal products (155)(완성제품)'!$B$12:$B$493,'Sales profit (스타일 별 매출이익)'!D442,'In-out-bal products (155)(완성제품)'!$X$12:$X$493) + SUMIF('In-out-bal products (155)(완성제품)'!$B$12:$B$493,'Sales profit (스타일 별 매출이익)'!D442,'In-out-bal products (155)(완성제품)'!$AA$12:$AA$493),0)</f>
        <v>0</v>
      </c>
      <c r="H442" s="283">
        <f t="shared" si="71"/>
        <v>0</v>
      </c>
      <c r="I442" s="284">
        <f t="shared" si="72"/>
        <v>0</v>
      </c>
      <c r="J442" s="284">
        <f t="shared" si="76"/>
        <v>0</v>
      </c>
      <c r="K442" s="283">
        <v>3</v>
      </c>
      <c r="L442" s="285">
        <f t="shared" si="73"/>
        <v>0</v>
      </c>
      <c r="M442" s="285">
        <f t="shared" si="74"/>
        <v>3</v>
      </c>
      <c r="N442" s="285">
        <f t="shared" si="75"/>
        <v>0</v>
      </c>
      <c r="O442" s="416">
        <f t="shared" si="78"/>
        <v>0</v>
      </c>
      <c r="P442" s="417">
        <f t="shared" si="79"/>
        <v>68025</v>
      </c>
      <c r="Q442" s="441"/>
    </row>
    <row r="443" spans="1:17" s="417" customFormat="1">
      <c r="A443" s="167">
        <v>456</v>
      </c>
      <c r="B443" s="409">
        <v>22675</v>
      </c>
      <c r="C443" s="20" t="str">
        <f>VLOOKUP(A443,'JUNE (물량흐름)'!$A$13:$C$502,2,0)</f>
        <v>ALFANI</v>
      </c>
      <c r="D443" s="282">
        <f>VLOOKUP(A443,'JUNE (물량흐름)'!$A$13:$C$502,3,0)</f>
        <v>100024806</v>
      </c>
      <c r="E443" s="6">
        <f>VLOOKUP(D443,'JUNE (물량흐름)'!$C$13:$W$502,21,0)</f>
        <v>0</v>
      </c>
      <c r="F443" s="6">
        <f t="shared" si="77"/>
        <v>0</v>
      </c>
      <c r="G443" s="6">
        <f>ROUND(SUMIF('In-out-bal products (155)(완성제품)'!$B$12:$B$493,'Sales profit (스타일 별 매출이익)'!D443,'In-out-bal products (155)(완성제품)'!$X$12:$X$493) + SUMIF('In-out-bal products (155)(완성제품)'!$B$12:$B$493,'Sales profit (스타일 별 매출이익)'!D443,'In-out-bal products (155)(완성제품)'!$AA$12:$AA$493),0)</f>
        <v>0</v>
      </c>
      <c r="H443" s="283">
        <f t="shared" si="71"/>
        <v>0</v>
      </c>
      <c r="I443" s="284">
        <f t="shared" si="72"/>
        <v>0</v>
      </c>
      <c r="J443" s="284">
        <f t="shared" si="76"/>
        <v>0</v>
      </c>
      <c r="K443" s="283">
        <v>2.15</v>
      </c>
      <c r="L443" s="285">
        <f t="shared" si="73"/>
        <v>0</v>
      </c>
      <c r="M443" s="285">
        <f t="shared" si="74"/>
        <v>2.15</v>
      </c>
      <c r="N443" s="285">
        <f t="shared" si="75"/>
        <v>0</v>
      </c>
      <c r="O443" s="416">
        <f t="shared" si="78"/>
        <v>0</v>
      </c>
      <c r="P443" s="417">
        <f t="shared" si="79"/>
        <v>48751.25</v>
      </c>
      <c r="Q443" s="441"/>
    </row>
    <row r="444" spans="1:17" s="417" customFormat="1">
      <c r="A444" s="167">
        <v>457</v>
      </c>
      <c r="B444" s="409">
        <v>22675</v>
      </c>
      <c r="C444" s="20" t="str">
        <f>VLOOKUP(A444,'JUNE (물량흐름)'!$A$13:$C$502,2,0)</f>
        <v>ALFANI</v>
      </c>
      <c r="D444" s="282">
        <f>VLOOKUP(A444,'JUNE (물량흐름)'!$A$13:$C$502,3,0)</f>
        <v>100024819</v>
      </c>
      <c r="E444" s="6">
        <f>VLOOKUP(D444,'JUNE (물량흐름)'!$C$13:$W$502,21,0)</f>
        <v>0</v>
      </c>
      <c r="F444" s="6">
        <f t="shared" si="77"/>
        <v>0</v>
      </c>
      <c r="G444" s="6">
        <f>ROUND(SUMIF('In-out-bal products (155)(완성제품)'!$B$12:$B$493,'Sales profit (스타일 별 매출이익)'!D444,'In-out-bal products (155)(완성제품)'!$X$12:$X$493) + SUMIF('In-out-bal products (155)(완성제품)'!$B$12:$B$493,'Sales profit (스타일 별 매출이익)'!D444,'In-out-bal products (155)(완성제품)'!$AA$12:$AA$493),0)</f>
        <v>0</v>
      </c>
      <c r="H444" s="283">
        <f t="shared" si="71"/>
        <v>0</v>
      </c>
      <c r="I444" s="284">
        <f t="shared" si="72"/>
        <v>0</v>
      </c>
      <c r="J444" s="284">
        <f t="shared" si="76"/>
        <v>0</v>
      </c>
      <c r="K444" s="283">
        <v>3.1</v>
      </c>
      <c r="L444" s="285">
        <f t="shared" si="73"/>
        <v>0</v>
      </c>
      <c r="M444" s="285">
        <f t="shared" si="74"/>
        <v>3.1</v>
      </c>
      <c r="N444" s="285">
        <f t="shared" si="75"/>
        <v>0</v>
      </c>
      <c r="O444" s="416">
        <f t="shared" si="78"/>
        <v>0</v>
      </c>
      <c r="P444" s="417">
        <f t="shared" si="79"/>
        <v>70292.5</v>
      </c>
      <c r="Q444" s="441"/>
    </row>
    <row r="445" spans="1:17" s="417" customFormat="1">
      <c r="A445" s="167">
        <v>458</v>
      </c>
      <c r="B445" s="409">
        <v>22675</v>
      </c>
      <c r="C445" s="20" t="str">
        <f>VLOOKUP(A445,'JUNE (물량흐름)'!$A$13:$C$502,2,0)</f>
        <v>ALFANI</v>
      </c>
      <c r="D445" s="282">
        <f>VLOOKUP(A445,'JUNE (물량흐름)'!$A$13:$C$502,3,0)</f>
        <v>100024820</v>
      </c>
      <c r="E445" s="6">
        <f>VLOOKUP(D445,'JUNE (물량흐름)'!$C$13:$W$502,21,0)</f>
        <v>0</v>
      </c>
      <c r="F445" s="6">
        <f t="shared" si="77"/>
        <v>0</v>
      </c>
      <c r="G445" s="6">
        <f>ROUND(SUMIF('In-out-bal products (155)(완성제품)'!$B$12:$B$493,'Sales profit (스타일 별 매출이익)'!D445,'In-out-bal products (155)(완성제품)'!$X$12:$X$493) + SUMIF('In-out-bal products (155)(완성제품)'!$B$12:$B$493,'Sales profit (스타일 별 매출이익)'!D445,'In-out-bal products (155)(완성제품)'!$AA$12:$AA$493),0)</f>
        <v>0</v>
      </c>
      <c r="H445" s="283">
        <f t="shared" si="71"/>
        <v>0</v>
      </c>
      <c r="I445" s="284">
        <f t="shared" si="72"/>
        <v>0</v>
      </c>
      <c r="J445" s="284">
        <f t="shared" si="76"/>
        <v>0</v>
      </c>
      <c r="K445" s="283">
        <v>1.7</v>
      </c>
      <c r="L445" s="285">
        <f t="shared" si="73"/>
        <v>0</v>
      </c>
      <c r="M445" s="285">
        <f t="shared" si="74"/>
        <v>1.7</v>
      </c>
      <c r="N445" s="285">
        <f t="shared" si="75"/>
        <v>0</v>
      </c>
      <c r="O445" s="416">
        <f t="shared" si="78"/>
        <v>0</v>
      </c>
      <c r="P445" s="417">
        <f t="shared" si="79"/>
        <v>38547.5</v>
      </c>
      <c r="Q445" s="441"/>
    </row>
    <row r="446" spans="1:17" s="417" customFormat="1">
      <c r="A446" s="167">
        <v>459</v>
      </c>
      <c r="B446" s="409">
        <v>22675</v>
      </c>
      <c r="C446" s="20" t="str">
        <f>VLOOKUP(A446,'JUNE (물량흐름)'!$A$13:$C$502,2,0)</f>
        <v>ALFANI</v>
      </c>
      <c r="D446" s="282">
        <f>VLOOKUP(A446,'JUNE (물량흐름)'!$A$13:$C$502,3,0)</f>
        <v>100024824</v>
      </c>
      <c r="E446" s="6">
        <f>VLOOKUP(D446,'JUNE (물량흐름)'!$C$13:$W$502,21,0)</f>
        <v>0</v>
      </c>
      <c r="F446" s="6">
        <f t="shared" si="77"/>
        <v>0</v>
      </c>
      <c r="G446" s="6">
        <f>ROUND(SUMIF('In-out-bal products (155)(완성제품)'!$B$12:$B$493,'Sales profit (스타일 별 매출이익)'!D446,'In-out-bal products (155)(완성제품)'!$X$12:$X$493) + SUMIF('In-out-bal products (155)(완성제품)'!$B$12:$B$493,'Sales profit (스타일 별 매출이익)'!D446,'In-out-bal products (155)(완성제품)'!$AA$12:$AA$493),0)</f>
        <v>0</v>
      </c>
      <c r="H446" s="283">
        <f t="shared" si="71"/>
        <v>0</v>
      </c>
      <c r="I446" s="284">
        <f t="shared" si="72"/>
        <v>0</v>
      </c>
      <c r="J446" s="284">
        <f t="shared" si="76"/>
        <v>0</v>
      </c>
      <c r="K446" s="283">
        <v>3.9</v>
      </c>
      <c r="L446" s="285">
        <f t="shared" si="73"/>
        <v>0</v>
      </c>
      <c r="M446" s="285">
        <f t="shared" si="74"/>
        <v>3.9</v>
      </c>
      <c r="N446" s="285">
        <f t="shared" si="75"/>
        <v>0</v>
      </c>
      <c r="O446" s="416">
        <f t="shared" si="78"/>
        <v>0</v>
      </c>
      <c r="P446" s="417">
        <f t="shared" si="79"/>
        <v>88432.5</v>
      </c>
      <c r="Q446" s="441"/>
    </row>
    <row r="447" spans="1:17" s="417" customFormat="1">
      <c r="A447" s="167">
        <v>460</v>
      </c>
      <c r="B447" s="409">
        <v>22675</v>
      </c>
      <c r="C447" s="20" t="str">
        <f>VLOOKUP(A447,'JUNE (물량흐름)'!$A$13:$C$502,2,0)</f>
        <v>ALFANI</v>
      </c>
      <c r="D447" s="282">
        <f>VLOOKUP(A447,'JUNE (물량흐름)'!$A$13:$C$502,3,0)</f>
        <v>100024853</v>
      </c>
      <c r="E447" s="6">
        <f>VLOOKUP(D447,'JUNE (물량흐름)'!$C$13:$W$502,21,0)</f>
        <v>0</v>
      </c>
      <c r="F447" s="6">
        <f t="shared" si="77"/>
        <v>0</v>
      </c>
      <c r="G447" s="6">
        <f>ROUND(SUMIF('In-out-bal products (155)(완성제품)'!$B$12:$B$493,'Sales profit (스타일 별 매출이익)'!D447,'In-out-bal products (155)(완성제품)'!$X$12:$X$493) + SUMIF('In-out-bal products (155)(완성제품)'!$B$12:$B$493,'Sales profit (스타일 별 매출이익)'!D447,'In-out-bal products (155)(완성제품)'!$AA$12:$AA$493),0)</f>
        <v>0</v>
      </c>
      <c r="H447" s="283">
        <f t="shared" si="71"/>
        <v>0</v>
      </c>
      <c r="I447" s="284">
        <f t="shared" si="72"/>
        <v>0</v>
      </c>
      <c r="J447" s="284">
        <f t="shared" si="76"/>
        <v>0</v>
      </c>
      <c r="K447" s="283">
        <v>1.9</v>
      </c>
      <c r="L447" s="285">
        <f t="shared" si="73"/>
        <v>0</v>
      </c>
      <c r="M447" s="285">
        <f t="shared" si="74"/>
        <v>1.9</v>
      </c>
      <c r="N447" s="285">
        <f t="shared" si="75"/>
        <v>0</v>
      </c>
      <c r="O447" s="416">
        <f t="shared" si="78"/>
        <v>0</v>
      </c>
      <c r="P447" s="417">
        <f t="shared" si="79"/>
        <v>43082.5</v>
      </c>
      <c r="Q447" s="441"/>
    </row>
    <row r="448" spans="1:17" s="417" customFormat="1">
      <c r="A448" s="167">
        <v>461</v>
      </c>
      <c r="B448" s="409">
        <v>22675</v>
      </c>
      <c r="C448" s="20" t="str">
        <f>VLOOKUP(A448,'JUNE (물량흐름)'!$A$13:$C$502,2,0)</f>
        <v>ALFANI</v>
      </c>
      <c r="D448" s="282">
        <f>VLOOKUP(A448,'JUNE (물량흐름)'!$A$13:$C$502,3,0)</f>
        <v>100025038</v>
      </c>
      <c r="E448" s="6">
        <f>VLOOKUP(D448,'JUNE (물량흐름)'!$C$13:$W$502,21,0)</f>
        <v>0</v>
      </c>
      <c r="F448" s="6">
        <f t="shared" si="77"/>
        <v>0</v>
      </c>
      <c r="G448" s="6">
        <f>ROUND(SUMIF('In-out-bal products (155)(완성제품)'!$B$12:$B$493,'Sales profit (스타일 별 매출이익)'!D448,'In-out-bal products (155)(완성제품)'!$X$12:$X$493) + SUMIF('In-out-bal products (155)(완성제품)'!$B$12:$B$493,'Sales profit (스타일 별 매출이익)'!D448,'In-out-bal products (155)(완성제품)'!$AA$12:$AA$493),0)</f>
        <v>0</v>
      </c>
      <c r="H448" s="283">
        <f t="shared" si="71"/>
        <v>0</v>
      </c>
      <c r="I448" s="284">
        <f t="shared" si="72"/>
        <v>0</v>
      </c>
      <c r="J448" s="284">
        <f t="shared" si="76"/>
        <v>0</v>
      </c>
      <c r="K448" s="283">
        <v>3.4</v>
      </c>
      <c r="L448" s="285">
        <f t="shared" si="73"/>
        <v>0</v>
      </c>
      <c r="M448" s="285">
        <f t="shared" si="74"/>
        <v>3.4</v>
      </c>
      <c r="N448" s="285">
        <f t="shared" si="75"/>
        <v>0</v>
      </c>
      <c r="O448" s="416">
        <f t="shared" si="78"/>
        <v>0</v>
      </c>
      <c r="P448" s="417">
        <f t="shared" si="79"/>
        <v>77095</v>
      </c>
      <c r="Q448" s="441"/>
    </row>
    <row r="449" spans="1:17" s="417" customFormat="1">
      <c r="A449" s="167">
        <v>462</v>
      </c>
      <c r="B449" s="409">
        <v>22675</v>
      </c>
      <c r="C449" s="20" t="str">
        <f>VLOOKUP(A449,'JUNE (물량흐름)'!$A$13:$C$502,2,0)</f>
        <v>ALFANI</v>
      </c>
      <c r="D449" s="282">
        <f>VLOOKUP(A449,'JUNE (물량흐름)'!$A$13:$C$502,3,0)</f>
        <v>100025039</v>
      </c>
      <c r="E449" s="6">
        <f>VLOOKUP(D449,'JUNE (물량흐름)'!$C$13:$W$502,21,0)</f>
        <v>0</v>
      </c>
      <c r="F449" s="6">
        <f t="shared" si="77"/>
        <v>0</v>
      </c>
      <c r="G449" s="6">
        <f>ROUND(SUMIF('In-out-bal products (155)(완성제품)'!$B$12:$B$493,'Sales profit (스타일 별 매출이익)'!D449,'In-out-bal products (155)(완성제품)'!$X$12:$X$493) + SUMIF('In-out-bal products (155)(완성제품)'!$B$12:$B$493,'Sales profit (스타일 별 매출이익)'!D449,'In-out-bal products (155)(완성제품)'!$AA$12:$AA$493),0)</f>
        <v>0</v>
      </c>
      <c r="H449" s="283">
        <f t="shared" si="71"/>
        <v>0</v>
      </c>
      <c r="I449" s="284">
        <f t="shared" si="72"/>
        <v>0</v>
      </c>
      <c r="J449" s="284">
        <f t="shared" si="76"/>
        <v>0</v>
      </c>
      <c r="K449" s="283">
        <v>3.4</v>
      </c>
      <c r="L449" s="285">
        <f t="shared" si="73"/>
        <v>0</v>
      </c>
      <c r="M449" s="285">
        <f t="shared" si="74"/>
        <v>3.4</v>
      </c>
      <c r="N449" s="285">
        <f t="shared" si="75"/>
        <v>0</v>
      </c>
      <c r="O449" s="416">
        <f t="shared" si="78"/>
        <v>0</v>
      </c>
      <c r="P449" s="417">
        <f t="shared" si="79"/>
        <v>77095</v>
      </c>
      <c r="Q449" s="441"/>
    </row>
    <row r="450" spans="1:17" s="417" customFormat="1">
      <c r="A450" s="167">
        <v>463</v>
      </c>
      <c r="B450" s="409">
        <v>22675</v>
      </c>
      <c r="C450" s="20" t="str">
        <f>VLOOKUP(A450,'JUNE (물량흐름)'!$A$13:$C$502,2,0)</f>
        <v>ALFANI</v>
      </c>
      <c r="D450" s="282">
        <f>VLOOKUP(A450,'JUNE (물량흐름)'!$A$13:$C$502,3,0)</f>
        <v>100027487</v>
      </c>
      <c r="E450" s="6">
        <f>VLOOKUP(D450,'JUNE (물량흐름)'!$C$13:$W$502,21,0)</f>
        <v>1172</v>
      </c>
      <c r="F450" s="6">
        <f t="shared" si="77"/>
        <v>52618698</v>
      </c>
      <c r="G450" s="6">
        <f>ROUND(SUMIF('In-out-bal products (155)(완성제품)'!$B$12:$B$493,'Sales profit (스타일 별 매출이익)'!D450,'In-out-bal products (155)(완성제품)'!$X$12:$X$493) + SUMIF('In-out-bal products (155)(완성제품)'!$B$12:$B$493,'Sales profit (스타일 별 매출이익)'!D450,'In-out-bal products (155)(완성제품)'!$AA$12:$AA$493),0)</f>
        <v>46680602</v>
      </c>
      <c r="H450" s="283">
        <f t="shared" si="71"/>
        <v>0.22344585721220239</v>
      </c>
      <c r="I450" s="284">
        <f t="shared" si="72"/>
        <v>5066.6348122866893</v>
      </c>
      <c r="J450" s="284">
        <f t="shared" si="76"/>
        <v>4491629.9549203273</v>
      </c>
      <c r="K450" s="285">
        <v>1.98</v>
      </c>
      <c r="L450" s="285">
        <f t="shared" si="73"/>
        <v>1.7565541427877975</v>
      </c>
      <c r="M450" s="285">
        <f t="shared" si="74"/>
        <v>5.4429373551921678E-2</v>
      </c>
      <c r="N450" s="285">
        <f t="shared" si="75"/>
        <v>0.16901648366028077</v>
      </c>
      <c r="O450" s="416">
        <f t="shared" si="78"/>
        <v>2320.56</v>
      </c>
      <c r="P450" s="417">
        <f t="shared" si="79"/>
        <v>44896.5</v>
      </c>
      <c r="Q450" s="441"/>
    </row>
    <row r="451" spans="1:17" s="417" customFormat="1">
      <c r="A451" s="167">
        <v>464</v>
      </c>
      <c r="B451" s="409">
        <v>22675</v>
      </c>
      <c r="C451" s="20" t="str">
        <f>VLOOKUP(A451,'JUNE (물량흐름)'!$A$13:$C$502,2,0)</f>
        <v>ALFANI</v>
      </c>
      <c r="D451" s="282">
        <f>VLOOKUP(A451,'JUNE (물량흐름)'!$A$13:$C$502,3,0)</f>
        <v>100033970</v>
      </c>
      <c r="E451" s="6">
        <f>VLOOKUP(D451,'JUNE (물량흐름)'!$C$13:$W$502,21,0)</f>
        <v>0</v>
      </c>
      <c r="F451" s="6">
        <f t="shared" si="77"/>
        <v>0</v>
      </c>
      <c r="G451" s="6">
        <f>ROUND(SUMIF('In-out-bal products (155)(완성제품)'!$B$12:$B$493,'Sales profit (스타일 별 매출이익)'!D451,'In-out-bal products (155)(완성제품)'!$X$12:$X$493) + SUMIF('In-out-bal products (155)(완성제품)'!$B$12:$B$493,'Sales profit (스타일 별 매출이익)'!D451,'In-out-bal products (155)(완성제품)'!$AA$12:$AA$493),0)</f>
        <v>0</v>
      </c>
      <c r="H451" s="283">
        <f t="shared" si="71"/>
        <v>0</v>
      </c>
      <c r="I451" s="284">
        <f t="shared" si="72"/>
        <v>0</v>
      </c>
      <c r="J451" s="284">
        <f t="shared" si="76"/>
        <v>0</v>
      </c>
      <c r="K451" s="283">
        <v>3.2</v>
      </c>
      <c r="L451" s="285">
        <f t="shared" si="73"/>
        <v>0</v>
      </c>
      <c r="M451" s="285">
        <f t="shared" si="74"/>
        <v>3.2</v>
      </c>
      <c r="N451" s="285">
        <f t="shared" si="75"/>
        <v>0</v>
      </c>
      <c r="O451" s="416">
        <f t="shared" si="78"/>
        <v>0</v>
      </c>
      <c r="P451" s="417">
        <f t="shared" si="79"/>
        <v>72560</v>
      </c>
      <c r="Q451" s="441"/>
    </row>
    <row r="452" spans="1:17" s="417" customFormat="1">
      <c r="A452" s="167">
        <v>465</v>
      </c>
      <c r="B452" s="409">
        <v>22675</v>
      </c>
      <c r="C452" s="20" t="str">
        <f>VLOOKUP(A452,'JUNE (물량흐름)'!$A$13:$C$502,2,0)</f>
        <v>ALFANI</v>
      </c>
      <c r="D452" s="282">
        <f>VLOOKUP(A452,'JUNE (물량흐름)'!$A$13:$C$502,3,0)</f>
        <v>100037213</v>
      </c>
      <c r="E452" s="6">
        <f>VLOOKUP(D452,'JUNE (물량흐름)'!$C$13:$W$502,21,0)</f>
        <v>0</v>
      </c>
      <c r="F452" s="6">
        <f t="shared" si="77"/>
        <v>0</v>
      </c>
      <c r="G452" s="6">
        <f>ROUND(SUMIF('In-out-bal products (155)(완성제품)'!$B$12:$B$493,'Sales profit (스타일 별 매출이익)'!D452,'In-out-bal products (155)(완성제품)'!$X$12:$X$493) + SUMIF('In-out-bal products (155)(완성제품)'!$B$12:$B$493,'Sales profit (스타일 별 매출이익)'!D452,'In-out-bal products (155)(완성제품)'!$AA$12:$AA$493),0)</f>
        <v>0</v>
      </c>
      <c r="H452" s="283">
        <f t="shared" si="71"/>
        <v>0</v>
      </c>
      <c r="I452" s="284">
        <f t="shared" si="72"/>
        <v>0</v>
      </c>
      <c r="J452" s="284">
        <f t="shared" si="76"/>
        <v>0</v>
      </c>
      <c r="K452" s="283">
        <v>1.8</v>
      </c>
      <c r="L452" s="285">
        <f t="shared" si="73"/>
        <v>0</v>
      </c>
      <c r="M452" s="285">
        <f t="shared" si="74"/>
        <v>1.8</v>
      </c>
      <c r="N452" s="285">
        <f t="shared" si="75"/>
        <v>0</v>
      </c>
      <c r="O452" s="416">
        <f t="shared" si="78"/>
        <v>0</v>
      </c>
      <c r="P452" s="417">
        <f t="shared" si="79"/>
        <v>40815</v>
      </c>
      <c r="Q452" s="441"/>
    </row>
    <row r="453" spans="1:17" s="417" customFormat="1">
      <c r="A453" s="167">
        <v>466</v>
      </c>
      <c r="B453" s="409">
        <v>22675</v>
      </c>
      <c r="C453" s="20" t="str">
        <f>VLOOKUP(A453,'JUNE (물량흐름)'!$A$13:$C$502,2,0)</f>
        <v>ALFANI</v>
      </c>
      <c r="D453" s="282">
        <f>VLOOKUP(A453,'JUNE (물량흐름)'!$A$13:$C$502,3,0)</f>
        <v>100037673</v>
      </c>
      <c r="E453" s="6">
        <f>VLOOKUP(D453,'JUNE (물량흐름)'!$C$13:$W$502,21,0)</f>
        <v>0</v>
      </c>
      <c r="F453" s="6">
        <f t="shared" si="77"/>
        <v>0</v>
      </c>
      <c r="G453" s="6">
        <f>ROUND(SUMIF('In-out-bal products (155)(완성제품)'!$B$12:$B$493,'Sales profit (스타일 별 매출이익)'!D453,'In-out-bal products (155)(완성제품)'!$X$12:$X$493) + SUMIF('In-out-bal products (155)(완성제품)'!$B$12:$B$493,'Sales profit (스타일 별 매출이익)'!D453,'In-out-bal products (155)(완성제품)'!$AA$12:$AA$493),0)</f>
        <v>0</v>
      </c>
      <c r="H453" s="283">
        <f t="shared" si="71"/>
        <v>0</v>
      </c>
      <c r="I453" s="284">
        <f t="shared" si="72"/>
        <v>0</v>
      </c>
      <c r="J453" s="284">
        <f t="shared" si="76"/>
        <v>0</v>
      </c>
      <c r="K453" s="283">
        <v>1.7</v>
      </c>
      <c r="L453" s="285">
        <f t="shared" si="73"/>
        <v>0</v>
      </c>
      <c r="M453" s="285">
        <f t="shared" si="74"/>
        <v>1.7</v>
      </c>
      <c r="N453" s="285">
        <f t="shared" si="75"/>
        <v>0</v>
      </c>
      <c r="O453" s="416">
        <f t="shared" si="78"/>
        <v>0</v>
      </c>
      <c r="P453" s="417">
        <f t="shared" si="79"/>
        <v>38547.5</v>
      </c>
      <c r="Q453" s="441"/>
    </row>
    <row r="454" spans="1:17" s="417" customFormat="1">
      <c r="A454" s="167">
        <v>467</v>
      </c>
      <c r="B454" s="409">
        <v>22675</v>
      </c>
      <c r="C454" s="20" t="str">
        <f>VLOOKUP(A454,'JUNE (물량흐름)'!$A$13:$C$502,2,0)</f>
        <v>ALFANI</v>
      </c>
      <c r="D454" s="282">
        <f>VLOOKUP(A454,'JUNE (물량흐름)'!$A$13:$C$502,3,0)</f>
        <v>100038686</v>
      </c>
      <c r="E454" s="6">
        <f>VLOOKUP(D454,'JUNE (물량흐름)'!$C$13:$W$502,21,0)</f>
        <v>0</v>
      </c>
      <c r="F454" s="6">
        <f t="shared" si="77"/>
        <v>0</v>
      </c>
      <c r="G454" s="6">
        <f>ROUND(SUMIF('In-out-bal products (155)(완성제품)'!$B$12:$B$493,'Sales profit (스타일 별 매출이익)'!D454,'In-out-bal products (155)(완성제품)'!$X$12:$X$493) + SUMIF('In-out-bal products (155)(완성제품)'!$B$12:$B$493,'Sales profit (스타일 별 매출이익)'!D454,'In-out-bal products (155)(완성제품)'!$AA$12:$AA$493),0)</f>
        <v>0</v>
      </c>
      <c r="H454" s="283">
        <f t="shared" si="71"/>
        <v>0</v>
      </c>
      <c r="I454" s="284">
        <f t="shared" si="72"/>
        <v>0</v>
      </c>
      <c r="J454" s="284">
        <f t="shared" si="76"/>
        <v>0</v>
      </c>
      <c r="K454" s="283">
        <v>1.17</v>
      </c>
      <c r="L454" s="285">
        <f t="shared" si="73"/>
        <v>0</v>
      </c>
      <c r="M454" s="285">
        <f t="shared" si="74"/>
        <v>1.17</v>
      </c>
      <c r="N454" s="285">
        <f t="shared" si="75"/>
        <v>0</v>
      </c>
      <c r="O454" s="416">
        <f t="shared" si="78"/>
        <v>0</v>
      </c>
      <c r="P454" s="417">
        <f t="shared" si="79"/>
        <v>26529.75</v>
      </c>
      <c r="Q454" s="441"/>
    </row>
    <row r="455" spans="1:17" s="417" customFormat="1">
      <c r="A455" s="167">
        <v>468</v>
      </c>
      <c r="B455" s="336">
        <v>22725</v>
      </c>
      <c r="C455" s="20" t="str">
        <f>VLOOKUP(A455,'JUNE (물량흐름)'!$A$13:$C$502,2,0)</f>
        <v>TALBOTS</v>
      </c>
      <c r="D455" s="282">
        <f>VLOOKUP(A455,'JUNE (물량흐름)'!$A$13:$C$502,3,0)</f>
        <v>183034540</v>
      </c>
      <c r="E455" s="6">
        <f>VLOOKUP(D455,'JUNE (물량흐름)'!$C$13:$W$502,21,0)</f>
        <v>800</v>
      </c>
      <c r="F455" s="6">
        <f t="shared" si="77"/>
        <v>119988000</v>
      </c>
      <c r="G455" s="6">
        <f>ROUND(SUMIF('In-out-bal products (155)(완성제품)'!$B$12:$B$493,'Sales profit (스타일 별 매출이익)'!D455,'In-out-bal products (155)(완성제품)'!$X$12:$X$493) + SUMIF('In-out-bal products (155)(완성제품)'!$B$12:$B$493,'Sales profit (스타일 별 매출이익)'!D455,'In-out-bal products (155)(완성제품)'!$AA$12:$AA$493),0)</f>
        <v>106165507</v>
      </c>
      <c r="H455" s="283">
        <f t="shared" si="71"/>
        <v>0.76031314631463143</v>
      </c>
      <c r="I455" s="284">
        <f t="shared" si="72"/>
        <v>17278.116249999999</v>
      </c>
      <c r="J455" s="284">
        <f t="shared" si="76"/>
        <v>10242398.909813015</v>
      </c>
      <c r="K455" s="285">
        <v>6.6</v>
      </c>
      <c r="L455" s="285">
        <f t="shared" si="73"/>
        <v>5.839686853685369</v>
      </c>
      <c r="M455" s="285">
        <f t="shared" si="74"/>
        <v>0.19692486744702808</v>
      </c>
      <c r="N455" s="285">
        <f t="shared" si="75"/>
        <v>0.56338827886760257</v>
      </c>
      <c r="O455" s="416">
        <f t="shared" si="78"/>
        <v>5280</v>
      </c>
      <c r="P455" s="417">
        <f>+B455*K455</f>
        <v>149985</v>
      </c>
      <c r="Q455" s="441"/>
    </row>
    <row r="456" spans="1:17" s="417" customFormat="1">
      <c r="A456" s="167">
        <v>469</v>
      </c>
      <c r="B456" s="409">
        <v>22675</v>
      </c>
      <c r="C456" s="20" t="str">
        <f>VLOOKUP(A456,'JUNE (물량흐름)'!$A$13:$C$502,2,0)</f>
        <v>BAR III</v>
      </c>
      <c r="D456" s="282">
        <f>VLOOKUP(A456,'JUNE (물량흐름)'!$A$13:$C$502,3,0)</f>
        <v>100033058</v>
      </c>
      <c r="E456" s="6">
        <f>VLOOKUP(D456,'JUNE (물량흐름)'!$C$13:$W$502,21,0)</f>
        <v>1057</v>
      </c>
      <c r="F456" s="6">
        <f>IFERROR(ROUND(E456*K456*B456,0),0)-5</f>
        <v>60637707</v>
      </c>
      <c r="G456" s="6">
        <f>ROUND(SUMIF('In-out-bal products (155)(완성제품)'!$B$12:$B$493,'Sales profit (스타일 별 매출이익)'!D456,'In-out-bal products (155)(완성제품)'!$X$12:$X$493) + SUMIF('In-out-bal products (155)(완성제품)'!$B$12:$B$493,'Sales profit (스타일 별 매출이익)'!D456,'In-out-bal products (155)(완성제품)'!$AA$12:$AA$493),0)</f>
        <v>54698477</v>
      </c>
      <c r="H456" s="283">
        <f t="shared" si="71"/>
        <v>0.24780374236334868</v>
      </c>
      <c r="I456" s="284">
        <f t="shared" si="72"/>
        <v>5618.9498580889313</v>
      </c>
      <c r="J456" s="284">
        <f t="shared" si="76"/>
        <v>5176147.4820012087</v>
      </c>
      <c r="K456" s="285">
        <v>2.5299999999999998</v>
      </c>
      <c r="L456" s="285">
        <f t="shared" si="73"/>
        <v>2.2821960594514024</v>
      </c>
      <c r="M456" s="285">
        <f t="shared" si="74"/>
        <v>3.1838450566811338E-2</v>
      </c>
      <c r="N456" s="285">
        <f t="shared" si="75"/>
        <v>0.21596548998178611</v>
      </c>
      <c r="O456" s="416">
        <f t="shared" si="78"/>
        <v>2674.21</v>
      </c>
      <c r="P456" s="417">
        <f t="shared" si="79"/>
        <v>57367.749999999993</v>
      </c>
      <c r="Q456" s="441"/>
    </row>
    <row r="457" spans="1:17" s="417" customFormat="1">
      <c r="A457" s="167">
        <v>470</v>
      </c>
      <c r="B457" s="409">
        <v>22675</v>
      </c>
      <c r="C457" s="20" t="str">
        <f>VLOOKUP(A457,'JUNE (물량흐름)'!$A$13:$C$502,2,0)</f>
        <v>INC</v>
      </c>
      <c r="D457" s="282">
        <f>VLOOKUP(A457,'JUNE (물량흐름)'!$A$13:$C$502,3,0)</f>
        <v>100033483</v>
      </c>
      <c r="E457" s="6">
        <f>VLOOKUP(D457,'JUNE (물량흐름)'!$C$13:$W$502,21,0)</f>
        <v>0</v>
      </c>
      <c r="F457" s="6">
        <f t="shared" si="77"/>
        <v>0</v>
      </c>
      <c r="G457" s="6">
        <f>ROUND(SUMIF('In-out-bal products (155)(완성제품)'!$B$12:$B$493,'Sales profit (스타일 별 매출이익)'!D457,'In-out-bal products (155)(완성제품)'!$X$12:$X$493) + SUMIF('In-out-bal products (155)(완성제품)'!$B$12:$B$493,'Sales profit (스타일 별 매출이익)'!D457,'In-out-bal products (155)(완성제품)'!$AA$12:$AA$493),0)</f>
        <v>0</v>
      </c>
      <c r="H457" s="283">
        <f t="shared" si="71"/>
        <v>0</v>
      </c>
      <c r="I457" s="284">
        <f t="shared" si="72"/>
        <v>0</v>
      </c>
      <c r="J457" s="284">
        <f t="shared" si="76"/>
        <v>0</v>
      </c>
      <c r="K457" s="283">
        <v>3.5</v>
      </c>
      <c r="L457" s="285">
        <f t="shared" si="73"/>
        <v>0</v>
      </c>
      <c r="M457" s="285">
        <f t="shared" si="74"/>
        <v>3.5</v>
      </c>
      <c r="N457" s="285">
        <f t="shared" si="75"/>
        <v>0</v>
      </c>
      <c r="O457" s="416">
        <f t="shared" si="78"/>
        <v>0</v>
      </c>
      <c r="P457" s="417">
        <f t="shared" si="79"/>
        <v>79362.5</v>
      </c>
      <c r="Q457" s="441"/>
    </row>
    <row r="458" spans="1:17" s="417" customFormat="1">
      <c r="A458" s="167">
        <v>471</v>
      </c>
      <c r="B458" s="409">
        <v>22675</v>
      </c>
      <c r="C458" s="20" t="str">
        <f>VLOOKUP(A458,'JUNE (물량흐름)'!$A$13:$C$502,2,0)</f>
        <v>INC</v>
      </c>
      <c r="D458" s="282">
        <f>VLOOKUP(A458,'JUNE (물량흐름)'!$A$13:$C$502,3,0)</f>
        <v>100034352</v>
      </c>
      <c r="E458" s="6">
        <f>VLOOKUP(D458,'JUNE (물량흐름)'!$C$13:$W$502,21,0)</f>
        <v>5844</v>
      </c>
      <c r="F458" s="6">
        <f t="shared" si="77"/>
        <v>270325908</v>
      </c>
      <c r="G458" s="6">
        <f>ROUND(SUMIF('In-out-bal products (155)(완성제품)'!$B$12:$B$493,'Sales profit (스타일 별 매출이익)'!D458,'In-out-bal products (155)(완성제품)'!$X$12:$X$493) + SUMIF('In-out-bal products (155)(완성제품)'!$B$12:$B$493,'Sales profit (스타일 별 매출이익)'!D458,'In-out-bal products (155)(완성제품)'!$AA$12:$AA$493),0)</f>
        <v>239417303</v>
      </c>
      <c r="H458" s="283">
        <f t="shared" si="71"/>
        <v>0.23325013376076406</v>
      </c>
      <c r="I458" s="284">
        <f t="shared" si="72"/>
        <v>5288.9467830253252</v>
      </c>
      <c r="J458" s="284">
        <f t="shared" si="76"/>
        <v>23075522.430521496</v>
      </c>
      <c r="K458" s="285">
        <v>2.04</v>
      </c>
      <c r="L458" s="285">
        <f t="shared" si="73"/>
        <v>1.8067498662392358</v>
      </c>
      <c r="M458" s="285">
        <f t="shared" si="74"/>
        <v>5.9111938474414316E-2</v>
      </c>
      <c r="N458" s="285">
        <f t="shared" si="75"/>
        <v>0.17413819528634988</v>
      </c>
      <c r="O458" s="416">
        <f t="shared" si="78"/>
        <v>11921.76</v>
      </c>
      <c r="P458" s="417">
        <f t="shared" si="79"/>
        <v>46257</v>
      </c>
      <c r="Q458" s="441"/>
    </row>
    <row r="459" spans="1:17" s="417" customFormat="1">
      <c r="A459" s="167">
        <v>472</v>
      </c>
      <c r="B459" s="409">
        <v>22675</v>
      </c>
      <c r="C459" s="20" t="str">
        <f>VLOOKUP(A459,'JUNE (물량흐름)'!$A$13:$C$502,2,0)</f>
        <v>ALFANI</v>
      </c>
      <c r="D459" s="282">
        <f>VLOOKUP(A459,'JUNE (물량흐름)'!$A$13:$C$502,3,0)</f>
        <v>100041571</v>
      </c>
      <c r="E459" s="6">
        <f>VLOOKUP(D459,'JUNE (물량흐름)'!$C$13:$W$502,21,0)</f>
        <v>0</v>
      </c>
      <c r="F459" s="6">
        <f t="shared" si="77"/>
        <v>0</v>
      </c>
      <c r="G459" s="6">
        <f>ROUND(SUMIF('In-out-bal products (155)(완성제품)'!$B$12:$B$493,'Sales profit (스타일 별 매출이익)'!D459,'In-out-bal products (155)(완성제품)'!$X$12:$X$493) + SUMIF('In-out-bal products (155)(완성제품)'!$B$12:$B$493,'Sales profit (스타일 별 매출이익)'!D459,'In-out-bal products (155)(완성제품)'!$AA$12:$AA$493),0)</f>
        <v>0</v>
      </c>
      <c r="H459" s="283">
        <f t="shared" si="71"/>
        <v>0</v>
      </c>
      <c r="I459" s="284">
        <f t="shared" si="72"/>
        <v>0</v>
      </c>
      <c r="J459" s="284">
        <f t="shared" si="76"/>
        <v>0</v>
      </c>
      <c r="K459" s="283">
        <v>4.5</v>
      </c>
      <c r="L459" s="285">
        <f t="shared" si="73"/>
        <v>0</v>
      </c>
      <c r="M459" s="285">
        <f t="shared" si="74"/>
        <v>4.5</v>
      </c>
      <c r="N459" s="285">
        <f t="shared" si="75"/>
        <v>0</v>
      </c>
      <c r="O459" s="416">
        <f t="shared" si="78"/>
        <v>0</v>
      </c>
      <c r="P459" s="417">
        <f t="shared" si="79"/>
        <v>102037.5</v>
      </c>
      <c r="Q459" s="441"/>
    </row>
    <row r="460" spans="1:17" s="417" customFormat="1">
      <c r="A460" s="167">
        <v>473</v>
      </c>
      <c r="B460" s="336">
        <v>22725</v>
      </c>
      <c r="C460" s="20" t="str">
        <f>VLOOKUP(A460,'JUNE (물량흐름)'!$A$13:$C$502,2,0)</f>
        <v>TALBOTS</v>
      </c>
      <c r="D460" s="479">
        <f>VLOOKUP(A460,'JUNE (물량흐름)'!$A$13:$C$502,3,0)</f>
        <v>183013461</v>
      </c>
      <c r="E460" s="6">
        <f>VLOOKUP(D460,'JUNE (물량흐름)'!$C$13:$W$502,21,0)-48</f>
        <v>1067</v>
      </c>
      <c r="F460" s="6">
        <f>IFERROR(ROUND(E460*K460*B460,0),0)</f>
        <v>90928406</v>
      </c>
      <c r="G460" s="6">
        <f>ROUND(SUMIF('In-out-bal products (155)(완성제품)'!$B$12:$B$493,'Sales profit (스타일 별 매출이익)'!D460,'In-out-bal products (155)(완성제품)'!$X$12:$X$493) + SUMIF('In-out-bal products (155)(완성제품)'!$B$12:$B$493,'Sales profit (스타일 별 매출이익)'!D460,'In-out-bal products (155)(완성제품)'!$AA$12:$AA$493),0)-8439010</f>
        <v>73377754</v>
      </c>
      <c r="H460" s="283">
        <f t="shared" si="71"/>
        <v>0.72381060786491025</v>
      </c>
      <c r="I460" s="284">
        <f t="shared" si="72"/>
        <v>16448.596063730085</v>
      </c>
      <c r="J460" s="284">
        <f t="shared" si="76"/>
        <v>7761817.9025022099</v>
      </c>
      <c r="K460" s="285">
        <v>3.75</v>
      </c>
      <c r="L460" s="285">
        <f t="shared" si="73"/>
        <v>3.0261893818247807</v>
      </c>
      <c r="M460" s="285">
        <f t="shared" si="74"/>
        <v>0.40370364242600687</v>
      </c>
      <c r="N460" s="285">
        <f t="shared" si="75"/>
        <v>0.32010697574921243</v>
      </c>
      <c r="O460" s="416">
        <f t="shared" si="78"/>
        <v>4001.25</v>
      </c>
      <c r="P460" s="417">
        <f t="shared" si="79"/>
        <v>85218.75</v>
      </c>
      <c r="Q460" s="441"/>
    </row>
    <row r="461" spans="1:17" s="417" customFormat="1">
      <c r="A461" s="167">
        <v>474</v>
      </c>
      <c r="B461" s="409">
        <v>22675</v>
      </c>
      <c r="C461" s="20" t="str">
        <f>VLOOKUP(A461,'JUNE (물량흐름)'!$A$13:$C$502,2,0)</f>
        <v>TALBOTS</v>
      </c>
      <c r="D461" s="282">
        <f>VLOOKUP(A461,'JUNE (물량흐름)'!$A$13:$C$502,3,0)</f>
        <v>183034538</v>
      </c>
      <c r="E461" s="6">
        <f>VLOOKUP(D461,'JUNE (물량흐름)'!$C$13:$W$502,21,0)</f>
        <v>0</v>
      </c>
      <c r="F461" s="6">
        <f t="shared" ref="F461:F491" si="80">IFERROR(ROUND(E461*K461*B461,0),0)</f>
        <v>0</v>
      </c>
      <c r="G461" s="6">
        <f>ROUND(SUMIF('In-out-bal products (155)(완성제품)'!$B$12:$B$493,'Sales profit (스타일 별 매출이익)'!D461,'In-out-bal products (155)(완성제품)'!$X$12:$X$493) + SUMIF('In-out-bal products (155)(완성제품)'!$B$12:$B$493,'Sales profit (스타일 별 매출이익)'!D461,'In-out-bal products (155)(완성제품)'!$AA$12:$AA$493),0)</f>
        <v>0</v>
      </c>
      <c r="H461" s="283">
        <f t="shared" si="71"/>
        <v>0</v>
      </c>
      <c r="I461" s="284">
        <f t="shared" si="72"/>
        <v>0</v>
      </c>
      <c r="J461" s="284">
        <f t="shared" si="76"/>
        <v>0</v>
      </c>
      <c r="K461" s="283">
        <v>4.46</v>
      </c>
      <c r="L461" s="285">
        <f t="shared" si="73"/>
        <v>0</v>
      </c>
      <c r="M461" s="285">
        <f t="shared" si="74"/>
        <v>4.46</v>
      </c>
      <c r="N461" s="285">
        <f t="shared" si="75"/>
        <v>0</v>
      </c>
      <c r="O461" s="416">
        <f t="shared" si="78"/>
        <v>0</v>
      </c>
      <c r="P461" s="417">
        <f t="shared" si="79"/>
        <v>101130.5</v>
      </c>
      <c r="Q461" s="441"/>
    </row>
    <row r="462" spans="1:17" s="417" customFormat="1">
      <c r="A462" s="167">
        <v>475</v>
      </c>
      <c r="B462" s="409">
        <v>22675</v>
      </c>
      <c r="C462" s="20" t="str">
        <f>VLOOKUP(A462,'JUNE (물량흐름)'!$A$13:$C$502,2,0)</f>
        <v>ANN TAYLOR</v>
      </c>
      <c r="D462" s="282">
        <f>VLOOKUP(A462,'JUNE (물량흐름)'!$A$13:$C$502,3,0)</f>
        <v>466315</v>
      </c>
      <c r="E462" s="6">
        <f>VLOOKUP(D462,'JUNE (물량흐름)'!$C$13:$W$502,21,0)</f>
        <v>1610</v>
      </c>
      <c r="F462" s="6">
        <f t="shared" si="80"/>
        <v>147487270</v>
      </c>
      <c r="G462" s="6">
        <f>ROUND(SUMIF('In-out-bal products (155)(완성제품)'!$B$12:$B$493,'Sales profit (스타일 별 매출이익)'!D462,'In-out-bal products (155)(완성제품)'!$X$12:$X$493) + SUMIF('In-out-bal products (155)(완성제품)'!$B$12:$B$493,'Sales profit (스타일 별 매출이익)'!D462,'In-out-bal products (155)(완성제품)'!$AA$12:$AA$493),0)</f>
        <v>131369612</v>
      </c>
      <c r="H462" s="283">
        <f t="shared" si="71"/>
        <v>0.44149802433796487</v>
      </c>
      <c r="I462" s="284">
        <f t="shared" si="72"/>
        <v>10010.967701863354</v>
      </c>
      <c r="J462" s="284">
        <f t="shared" si="76"/>
        <v>12589787.757603243</v>
      </c>
      <c r="K462" s="285">
        <v>4.04</v>
      </c>
      <c r="L462" s="285">
        <f t="shared" si="73"/>
        <v>3.5985019756620353</v>
      </c>
      <c r="M462" s="285">
        <f t="shared" si="74"/>
        <v>9.6636108182644342E-2</v>
      </c>
      <c r="N462" s="285">
        <f t="shared" si="75"/>
        <v>0.34486191615532036</v>
      </c>
      <c r="O462" s="416">
        <f t="shared" si="78"/>
        <v>6504.4</v>
      </c>
      <c r="P462" s="417">
        <f t="shared" si="79"/>
        <v>91607</v>
      </c>
      <c r="Q462" s="441"/>
    </row>
    <row r="463" spans="1:17" s="417" customFormat="1">
      <c r="A463" s="167">
        <v>476</v>
      </c>
      <c r="B463" s="409">
        <v>22675</v>
      </c>
      <c r="C463" s="20" t="str">
        <f>VLOOKUP(A463,'JUNE (물량흐름)'!$A$13:$C$502,2,0)</f>
        <v>ANN TAYLOR</v>
      </c>
      <c r="D463" s="282">
        <f>VLOOKUP(A463,'JUNE (물량흐름)'!$A$13:$C$502,3,0)</f>
        <v>467791</v>
      </c>
      <c r="E463" s="6">
        <f>VLOOKUP(D463,'JUNE (물량흐름)'!$C$13:$W$502,21,0)</f>
        <v>0</v>
      </c>
      <c r="F463" s="6">
        <f t="shared" si="80"/>
        <v>0</v>
      </c>
      <c r="G463" s="6">
        <f>ROUND(SUMIF('In-out-bal products (155)(완성제품)'!$B$12:$B$493,'Sales profit (스타일 별 매출이익)'!D463,'In-out-bal products (155)(완성제품)'!$X$12:$X$493) + SUMIF('In-out-bal products (155)(완성제품)'!$B$12:$B$493,'Sales profit (스타일 별 매출이익)'!D463,'In-out-bal products (155)(완성제품)'!$AA$12:$AA$493),0)</f>
        <v>0</v>
      </c>
      <c r="H463" s="283">
        <f t="shared" si="71"/>
        <v>0</v>
      </c>
      <c r="I463" s="284">
        <f t="shared" si="72"/>
        <v>0</v>
      </c>
      <c r="J463" s="284">
        <f t="shared" si="76"/>
        <v>0</v>
      </c>
      <c r="K463" s="283">
        <v>1.75</v>
      </c>
      <c r="L463" s="285">
        <f t="shared" si="73"/>
        <v>0</v>
      </c>
      <c r="M463" s="285">
        <f t="shared" si="74"/>
        <v>1.75</v>
      </c>
      <c r="N463" s="285">
        <f t="shared" si="75"/>
        <v>0</v>
      </c>
      <c r="O463" s="416">
        <f t="shared" si="78"/>
        <v>0</v>
      </c>
      <c r="P463" s="417">
        <f t="shared" si="79"/>
        <v>39681.25</v>
      </c>
      <c r="Q463" s="441"/>
    </row>
    <row r="464" spans="1:17" s="417" customFormat="1">
      <c r="A464" s="167">
        <v>477</v>
      </c>
      <c r="B464" s="409">
        <v>22675</v>
      </c>
      <c r="C464" s="20" t="str">
        <f>VLOOKUP(A464,'JUNE (물량흐름)'!$A$13:$C$502,2,0)</f>
        <v>ANN TAYLOR</v>
      </c>
      <c r="D464" s="282">
        <f>VLOOKUP(A464,'JUNE (물량흐름)'!$A$13:$C$502,3,0)</f>
        <v>468564</v>
      </c>
      <c r="E464" s="6">
        <f>VLOOKUP(D464,'JUNE (물량흐름)'!$C$13:$W$502,21,0)</f>
        <v>0</v>
      </c>
      <c r="F464" s="6">
        <f t="shared" si="80"/>
        <v>0</v>
      </c>
      <c r="G464" s="6">
        <f>ROUND(SUMIF('In-out-bal products (155)(완성제품)'!$B$12:$B$493,'Sales profit (스타일 별 매출이익)'!D464,'In-out-bal products (155)(완성제품)'!$X$12:$X$493) + SUMIF('In-out-bal products (155)(완성제품)'!$B$12:$B$493,'Sales profit (스타일 별 매출이익)'!D464,'In-out-bal products (155)(완성제품)'!$AA$12:$AA$493),0)</f>
        <v>0</v>
      </c>
      <c r="H464" s="283">
        <f t="shared" si="71"/>
        <v>0</v>
      </c>
      <c r="I464" s="284">
        <f t="shared" si="72"/>
        <v>0</v>
      </c>
      <c r="J464" s="284">
        <f t="shared" si="76"/>
        <v>0</v>
      </c>
      <c r="K464" s="283">
        <v>2.15</v>
      </c>
      <c r="L464" s="285">
        <f t="shared" si="73"/>
        <v>0</v>
      </c>
      <c r="M464" s="285">
        <f t="shared" si="74"/>
        <v>2.15</v>
      </c>
      <c r="N464" s="285">
        <f t="shared" si="75"/>
        <v>0</v>
      </c>
      <c r="O464" s="416">
        <f t="shared" si="78"/>
        <v>0</v>
      </c>
      <c r="P464" s="417">
        <f t="shared" si="79"/>
        <v>48751.25</v>
      </c>
      <c r="Q464" s="441"/>
    </row>
    <row r="465" spans="1:17" s="417" customFormat="1">
      <c r="A465" s="167">
        <v>478</v>
      </c>
      <c r="B465" s="409">
        <v>22675</v>
      </c>
      <c r="C465" s="20" t="str">
        <f>VLOOKUP(A465,'JUNE (물량흐름)'!$A$13:$C$502,2,0)</f>
        <v>ANN TAYLOR</v>
      </c>
      <c r="D465" s="282">
        <f>VLOOKUP(A465,'JUNE (물량흐름)'!$A$13:$C$502,3,0)</f>
        <v>468568</v>
      </c>
      <c r="E465" s="6">
        <f>VLOOKUP(D465,'JUNE (물량흐름)'!$C$13:$W$502,21,0)</f>
        <v>0</v>
      </c>
      <c r="F465" s="6">
        <f t="shared" si="80"/>
        <v>0</v>
      </c>
      <c r="G465" s="6">
        <f>ROUND(SUMIF('In-out-bal products (155)(완성제품)'!$B$12:$B$493,'Sales profit (스타일 별 매출이익)'!D465,'In-out-bal products (155)(완성제품)'!$X$12:$X$493) + SUMIF('In-out-bal products (155)(완성제품)'!$B$12:$B$493,'Sales profit (스타일 별 매출이익)'!D465,'In-out-bal products (155)(완성제품)'!$AA$12:$AA$493),0)</f>
        <v>0</v>
      </c>
      <c r="H465" s="283">
        <f t="shared" si="71"/>
        <v>0</v>
      </c>
      <c r="I465" s="284">
        <f t="shared" si="72"/>
        <v>0</v>
      </c>
      <c r="J465" s="284">
        <f t="shared" si="76"/>
        <v>0</v>
      </c>
      <c r="K465" s="283">
        <v>1.85</v>
      </c>
      <c r="L465" s="285">
        <f t="shared" si="73"/>
        <v>0</v>
      </c>
      <c r="M465" s="285">
        <f t="shared" si="74"/>
        <v>1.85</v>
      </c>
      <c r="N465" s="285">
        <f t="shared" si="75"/>
        <v>0</v>
      </c>
      <c r="O465" s="416">
        <f t="shared" si="78"/>
        <v>0</v>
      </c>
      <c r="P465" s="417">
        <f t="shared" si="79"/>
        <v>41948.75</v>
      </c>
      <c r="Q465" s="441"/>
    </row>
    <row r="466" spans="1:17" s="417" customFormat="1">
      <c r="A466" s="167">
        <v>480</v>
      </c>
      <c r="B466" s="409">
        <v>22675</v>
      </c>
      <c r="C466" s="20" t="str">
        <f>VLOOKUP(A466,'JUNE (물량흐름)'!$A$13:$C$502,2,0)</f>
        <v>ANN TAYLOR</v>
      </c>
      <c r="D466" s="282">
        <f>VLOOKUP(A466,'JUNE (물량흐름)'!$A$13:$C$502,3,0)</f>
        <v>470390</v>
      </c>
      <c r="E466" s="6">
        <f>VLOOKUP(D466,'JUNE (물량흐름)'!$C$13:$W$502,21,0)</f>
        <v>0</v>
      </c>
      <c r="F466" s="6">
        <f t="shared" si="80"/>
        <v>0</v>
      </c>
      <c r="G466" s="6">
        <f>ROUND(SUMIF('In-out-bal products (155)(완성제품)'!$B$12:$B$493,'Sales profit (스타일 별 매출이익)'!D466,'In-out-bal products (155)(완성제품)'!$X$12:$X$493) + SUMIF('In-out-bal products (155)(완성제품)'!$B$12:$B$493,'Sales profit (스타일 별 매출이익)'!D466,'In-out-bal products (155)(완성제품)'!$AA$12:$AA$493),0)</f>
        <v>0</v>
      </c>
      <c r="H466" s="283">
        <f t="shared" si="71"/>
        <v>0</v>
      </c>
      <c r="I466" s="284">
        <f t="shared" si="72"/>
        <v>0</v>
      </c>
      <c r="J466" s="284">
        <f t="shared" si="76"/>
        <v>0</v>
      </c>
      <c r="K466" s="283">
        <v>2.15</v>
      </c>
      <c r="L466" s="285">
        <f t="shared" si="73"/>
        <v>0</v>
      </c>
      <c r="M466" s="285">
        <f t="shared" si="74"/>
        <v>2.15</v>
      </c>
      <c r="N466" s="285">
        <f t="shared" si="75"/>
        <v>0</v>
      </c>
      <c r="O466" s="416">
        <f t="shared" si="78"/>
        <v>0</v>
      </c>
      <c r="P466" s="417">
        <f t="shared" si="79"/>
        <v>48751.25</v>
      </c>
      <c r="Q466" s="441"/>
    </row>
    <row r="467" spans="1:17" s="417" customFormat="1">
      <c r="A467" s="167">
        <v>481</v>
      </c>
      <c r="B467" s="409">
        <v>22675</v>
      </c>
      <c r="C467" s="20" t="str">
        <f>VLOOKUP(A467,'JUNE (물량흐름)'!$A$13:$C$502,2,0)</f>
        <v>ANN TAYLOR</v>
      </c>
      <c r="D467" s="282">
        <f>VLOOKUP(A467,'JUNE (물량흐름)'!$A$13:$C$502,3,0)</f>
        <v>471627</v>
      </c>
      <c r="E467" s="6">
        <f>VLOOKUP(D467,'JUNE (물량흐름)'!$C$13:$W$502,21,0)</f>
        <v>0</v>
      </c>
      <c r="F467" s="6">
        <f t="shared" si="80"/>
        <v>0</v>
      </c>
      <c r="G467" s="6">
        <f>ROUND(SUMIF('In-out-bal products (155)(완성제품)'!$B$12:$B$493,'Sales profit (스타일 별 매출이익)'!D467,'In-out-bal products (155)(완성제품)'!$X$12:$X$493) + SUMIF('In-out-bal products (155)(완성제품)'!$B$12:$B$493,'Sales profit (스타일 별 매출이익)'!D467,'In-out-bal products (155)(완성제품)'!$AA$12:$AA$493),0)</f>
        <v>0</v>
      </c>
      <c r="H467" s="283">
        <f t="shared" si="71"/>
        <v>0</v>
      </c>
      <c r="I467" s="284">
        <f t="shared" si="72"/>
        <v>0</v>
      </c>
      <c r="J467" s="284">
        <f t="shared" si="76"/>
        <v>0</v>
      </c>
      <c r="K467" s="283">
        <v>1.5</v>
      </c>
      <c r="L467" s="285">
        <f t="shared" si="73"/>
        <v>0</v>
      </c>
      <c r="M467" s="285">
        <f t="shared" si="74"/>
        <v>1.5</v>
      </c>
      <c r="N467" s="285">
        <f t="shared" si="75"/>
        <v>0</v>
      </c>
      <c r="O467" s="416">
        <f t="shared" si="78"/>
        <v>0</v>
      </c>
      <c r="P467" s="417">
        <f t="shared" si="79"/>
        <v>34012.5</v>
      </c>
      <c r="Q467" s="441"/>
    </row>
    <row r="468" spans="1:17" s="417" customFormat="1">
      <c r="A468" s="167">
        <v>482</v>
      </c>
      <c r="B468" s="409">
        <v>22675</v>
      </c>
      <c r="C468" s="20" t="str">
        <f>VLOOKUP(A468,'JUNE (물량흐름)'!$A$13:$C$502,2,0)</f>
        <v>ANN TAYLOR</v>
      </c>
      <c r="D468" s="282" t="str">
        <f>VLOOKUP(A468,'JUNE (물량흐름)'!$A$13:$C$502,3,0)</f>
        <v>472379 (483561)</v>
      </c>
      <c r="E468" s="6">
        <f>VLOOKUP(D468,'JUNE (물량흐름)'!$C$13:$W$502,21,0)</f>
        <v>2627</v>
      </c>
      <c r="F468" s="6">
        <f t="shared" si="80"/>
        <v>222781422</v>
      </c>
      <c r="G468" s="6">
        <f>ROUND(SUMIF('In-out-bal products (155)(완성제품)'!$B$12:$B$493,'Sales profit (스타일 별 매출이익)'!D468,'In-out-bal products (155)(완성제품)'!$X$12:$X$493) + SUMIF('In-out-bal products (155)(완성제품)'!$B$12:$B$493,'Sales profit (스타일 별 매출이익)'!D468,'In-out-bal products (155)(완성제품)'!$AA$12:$AA$493),0)</f>
        <v>197926660</v>
      </c>
      <c r="H468" s="283">
        <f t="shared" si="71"/>
        <v>0.41725566366403671</v>
      </c>
      <c r="I468" s="284">
        <f t="shared" si="72"/>
        <v>9461.2721735820323</v>
      </c>
      <c r="J468" s="284">
        <f t="shared" si="76"/>
        <v>19017036.65216016</v>
      </c>
      <c r="K468" s="285">
        <v>3.74</v>
      </c>
      <c r="L468" s="285">
        <f t="shared" si="73"/>
        <v>3.3227443447298408</v>
      </c>
      <c r="M468" s="285">
        <f t="shared" si="74"/>
        <v>9.8002296528667543E-2</v>
      </c>
      <c r="N468" s="285">
        <f t="shared" si="75"/>
        <v>0.31925335874149185</v>
      </c>
      <c r="O468" s="416">
        <f t="shared" si="78"/>
        <v>9824.98</v>
      </c>
      <c r="P468" s="417">
        <f t="shared" si="79"/>
        <v>84804.5</v>
      </c>
      <c r="Q468" s="441"/>
    </row>
    <row r="469" spans="1:17" s="417" customFormat="1">
      <c r="A469" s="167">
        <v>483</v>
      </c>
      <c r="B469" s="409">
        <v>22675</v>
      </c>
      <c r="C469" s="20" t="str">
        <f>VLOOKUP(A469,'JUNE (물량흐름)'!$A$13:$C$502,2,0)</f>
        <v>ANN TAYLOR</v>
      </c>
      <c r="D469" s="282">
        <f>VLOOKUP(A469,'JUNE (물량흐름)'!$A$13:$C$502,3,0)</f>
        <v>473781</v>
      </c>
      <c r="E469" s="6">
        <f>VLOOKUP(D469,'JUNE (물량흐름)'!$C$13:$W$502,21,0)</f>
        <v>0</v>
      </c>
      <c r="F469" s="6">
        <f t="shared" si="80"/>
        <v>0</v>
      </c>
      <c r="G469" s="6">
        <f>ROUND(SUMIF('In-out-bal products (155)(완성제품)'!$B$12:$B$493,'Sales profit (스타일 별 매출이익)'!D469,'In-out-bal products (155)(완성제품)'!$X$12:$X$493) + SUMIF('In-out-bal products (155)(완성제품)'!$B$12:$B$493,'Sales profit (스타일 별 매출이익)'!D469,'In-out-bal products (155)(완성제품)'!$AA$12:$AA$493),0)</f>
        <v>0</v>
      </c>
      <c r="H469" s="283">
        <f t="shared" si="71"/>
        <v>0</v>
      </c>
      <c r="I469" s="284">
        <f t="shared" si="72"/>
        <v>0</v>
      </c>
      <c r="J469" s="284">
        <f t="shared" si="76"/>
        <v>0</v>
      </c>
      <c r="K469" s="283">
        <v>2.4500000000000002</v>
      </c>
      <c r="L469" s="285">
        <f t="shared" si="73"/>
        <v>0</v>
      </c>
      <c r="M469" s="285">
        <f t="shared" si="74"/>
        <v>2.4500000000000002</v>
      </c>
      <c r="N469" s="285">
        <f t="shared" si="75"/>
        <v>0</v>
      </c>
      <c r="O469" s="416">
        <f t="shared" si="78"/>
        <v>0</v>
      </c>
      <c r="P469" s="417">
        <f t="shared" si="79"/>
        <v>55553.750000000007</v>
      </c>
      <c r="Q469" s="441"/>
    </row>
    <row r="470" spans="1:17" s="417" customFormat="1">
      <c r="A470" s="167">
        <v>484</v>
      </c>
      <c r="B470" s="409">
        <v>22675</v>
      </c>
      <c r="C470" s="20" t="str">
        <f>VLOOKUP(A470,'JUNE (물량흐름)'!$A$13:$C$502,2,0)</f>
        <v>ANN TAYLOR</v>
      </c>
      <c r="D470" s="282">
        <f>VLOOKUP(A470,'JUNE (물량흐름)'!$A$13:$C$502,3,0)</f>
        <v>475813</v>
      </c>
      <c r="E470" s="6">
        <f>VLOOKUP(D470,'JUNE (물량흐름)'!$C$13:$W$502,21,0)</f>
        <v>5744</v>
      </c>
      <c r="F470" s="6">
        <f t="shared" si="80"/>
        <v>345149780</v>
      </c>
      <c r="G470" s="6">
        <f>ROUND(SUMIF('In-out-bal products (155)(완성제품)'!$B$12:$B$493,'Sales profit (스타일 별 매출이익)'!D470,'In-out-bal products (155)(완성제품)'!$X$12:$X$493) + SUMIF('In-out-bal products (155)(완성제품)'!$B$12:$B$493,'Sales profit (스타일 별 매출이익)'!D470,'In-out-bal products (155)(완성제품)'!$AA$12:$AA$493),0)</f>
        <v>274472857</v>
      </c>
      <c r="H470" s="283">
        <f t="shared" si="71"/>
        <v>0.54264512626952854</v>
      </c>
      <c r="I470" s="284">
        <f>IFERROR((F470-G470)/E470,0)</f>
        <v>12304.478238161561</v>
      </c>
      <c r="J470" s="284">
        <f t="shared" si="76"/>
        <v>29462627.349353284</v>
      </c>
      <c r="K470" s="285">
        <v>2.65</v>
      </c>
      <c r="L470" s="285">
        <f t="shared" si="73"/>
        <v>2.1073548737304715</v>
      </c>
      <c r="M470" s="285">
        <f t="shared" si="74"/>
        <v>0.31643619611814255</v>
      </c>
      <c r="N470" s="285">
        <f t="shared" si="75"/>
        <v>0.22620893015138588</v>
      </c>
      <c r="O470" s="416">
        <f t="shared" si="78"/>
        <v>15221.6</v>
      </c>
      <c r="P470" s="417">
        <f t="shared" si="79"/>
        <v>60088.75</v>
      </c>
      <c r="Q470" s="441"/>
    </row>
    <row r="471" spans="1:17" s="417" customFormat="1">
      <c r="A471" s="167">
        <v>485</v>
      </c>
      <c r="B471" s="409">
        <v>22675</v>
      </c>
      <c r="C471" s="20" t="str">
        <f>VLOOKUP(A471,'JUNE (물량흐름)'!$A$13:$C$502,2,0)</f>
        <v>ANN TAYLOR</v>
      </c>
      <c r="D471" s="282">
        <f>VLOOKUP(A471,'JUNE (물량흐름)'!$A$13:$C$502,3,0)</f>
        <v>476148</v>
      </c>
      <c r="E471" s="6">
        <f>VLOOKUP(D471,'JUNE (물량흐름)'!$C$13:$W$502,21,0)</f>
        <v>7916</v>
      </c>
      <c r="F471" s="6">
        <f t="shared" si="80"/>
        <v>498996934</v>
      </c>
      <c r="G471" s="6">
        <f>ROUND(SUMIF('In-out-bal products (155)(완성제품)'!$B$12:$B$493,'Sales profit (스타일 별 매출이익)'!D471,'In-out-bal products (155)(완성제품)'!$X$12:$X$493) + SUMIF('In-out-bal products (155)(완성제품)'!$B$12:$B$493,'Sales profit (스타일 별 매출이익)'!D471,'In-out-bal products (155)(완성제품)'!$AA$12:$AA$493),0)</f>
        <v>442387566</v>
      </c>
      <c r="H471" s="283">
        <f t="shared" si="71"/>
        <v>0.31538078155806865</v>
      </c>
      <c r="I471" s="284">
        <f t="shared" si="72"/>
        <v>7151.2592218292066</v>
      </c>
      <c r="J471" s="284">
        <f t="shared" si="76"/>
        <v>42595306.63734404</v>
      </c>
      <c r="K471" s="285">
        <v>2.78</v>
      </c>
      <c r="L471" s="285">
        <f t="shared" si="73"/>
        <v>2.4646192184419315</v>
      </c>
      <c r="M471" s="285">
        <f t="shared" si="74"/>
        <v>7.8074809550199326E-2</v>
      </c>
      <c r="N471" s="285">
        <f t="shared" si="75"/>
        <v>0.23730597200786893</v>
      </c>
      <c r="O471" s="416">
        <f t="shared" si="78"/>
        <v>22006.48</v>
      </c>
      <c r="P471" s="417">
        <f t="shared" si="79"/>
        <v>63036.499999999993</v>
      </c>
      <c r="Q471" s="441"/>
    </row>
    <row r="472" spans="1:17" s="417" customFormat="1">
      <c r="A472" s="167">
        <v>486</v>
      </c>
      <c r="B472" s="409">
        <v>22675</v>
      </c>
      <c r="C472" s="20" t="str">
        <f>VLOOKUP(A472,'JUNE (물량흐름)'!$A$13:$C$502,2,0)</f>
        <v>ANN TAYLOR</v>
      </c>
      <c r="D472" s="282">
        <f>VLOOKUP(A472,'JUNE (물량흐름)'!$A$13:$C$502,3,0)</f>
        <v>476239</v>
      </c>
      <c r="E472" s="6">
        <f>VLOOKUP(D472,'JUNE (물량흐름)'!$C$13:$W$502,21,0)</f>
        <v>0</v>
      </c>
      <c r="F472" s="6">
        <f t="shared" si="80"/>
        <v>0</v>
      </c>
      <c r="G472" s="6">
        <f>ROUND(SUMIF('In-out-bal products (155)(완성제품)'!$B$12:$B$493,'Sales profit (스타일 별 매출이익)'!D472,'In-out-bal products (155)(완성제품)'!$X$12:$X$493) + SUMIF('In-out-bal products (155)(완성제품)'!$B$12:$B$493,'Sales profit (스타일 별 매출이익)'!D472,'In-out-bal products (155)(완성제품)'!$AA$12:$AA$493),0)</f>
        <v>0</v>
      </c>
      <c r="H472" s="283">
        <f t="shared" si="71"/>
        <v>0</v>
      </c>
      <c r="I472" s="284">
        <f t="shared" si="72"/>
        <v>0</v>
      </c>
      <c r="J472" s="284">
        <f t="shared" si="76"/>
        <v>0</v>
      </c>
      <c r="K472" s="283">
        <v>2.95</v>
      </c>
      <c r="L472" s="285">
        <f t="shared" si="73"/>
        <v>0</v>
      </c>
      <c r="M472" s="285">
        <f t="shared" si="74"/>
        <v>2.95</v>
      </c>
      <c r="N472" s="285">
        <f t="shared" si="75"/>
        <v>0</v>
      </c>
      <c r="O472" s="416">
        <f t="shared" si="78"/>
        <v>0</v>
      </c>
      <c r="P472" s="417">
        <f t="shared" si="79"/>
        <v>66891.25</v>
      </c>
      <c r="Q472" s="441"/>
    </row>
    <row r="473" spans="1:17" s="417" customFormat="1">
      <c r="A473" s="167">
        <v>487</v>
      </c>
      <c r="B473" s="409">
        <v>22675</v>
      </c>
      <c r="C473" s="20" t="str">
        <f>VLOOKUP(A473,'JUNE (물량흐름)'!$A$13:$C$502,2,0)</f>
        <v>ANN TAYLOR</v>
      </c>
      <c r="D473" s="282">
        <f>VLOOKUP(A473,'JUNE (물량흐름)'!$A$13:$C$502,3,0)</f>
        <v>476545</v>
      </c>
      <c r="E473" s="6">
        <f>VLOOKUP(D473,'JUNE (물량흐름)'!$C$13:$W$502,21,0)</f>
        <v>0</v>
      </c>
      <c r="F473" s="6">
        <f t="shared" si="80"/>
        <v>0</v>
      </c>
      <c r="G473" s="6">
        <f>ROUND(SUMIF('In-out-bal products (155)(완성제품)'!$B$12:$B$493,'Sales profit (스타일 별 매출이익)'!D473,'In-out-bal products (155)(완성제품)'!$X$12:$X$493) + SUMIF('In-out-bal products (155)(완성제품)'!$B$12:$B$493,'Sales profit (스타일 별 매출이익)'!D473,'In-out-bal products (155)(완성제품)'!$AA$12:$AA$493),0)</f>
        <v>0</v>
      </c>
      <c r="H473" s="283">
        <f t="shared" si="71"/>
        <v>0</v>
      </c>
      <c r="I473" s="284">
        <f t="shared" si="72"/>
        <v>0</v>
      </c>
      <c r="J473" s="284">
        <f t="shared" si="76"/>
        <v>0</v>
      </c>
      <c r="K473" s="283">
        <v>3.45</v>
      </c>
      <c r="L473" s="285">
        <f t="shared" si="73"/>
        <v>0</v>
      </c>
      <c r="M473" s="285">
        <f t="shared" si="74"/>
        <v>3.45</v>
      </c>
      <c r="N473" s="285">
        <f t="shared" si="75"/>
        <v>0</v>
      </c>
      <c r="O473" s="416">
        <f t="shared" si="78"/>
        <v>0</v>
      </c>
      <c r="P473" s="417">
        <f t="shared" si="79"/>
        <v>78228.75</v>
      </c>
      <c r="Q473" s="441"/>
    </row>
    <row r="474" spans="1:17" s="417" customFormat="1">
      <c r="A474" s="167">
        <v>488</v>
      </c>
      <c r="B474" s="409">
        <v>22675</v>
      </c>
      <c r="C474" s="20" t="str">
        <f>VLOOKUP(A474,'JUNE (물량흐름)'!$A$13:$C$502,2,0)</f>
        <v>ANN TAYLOR</v>
      </c>
      <c r="D474" s="282">
        <f>VLOOKUP(A474,'JUNE (물량흐름)'!$A$13:$C$502,3,0)</f>
        <v>477891</v>
      </c>
      <c r="E474" s="6">
        <f>VLOOKUP(D474,'JUNE (물량흐름)'!$C$13:$W$502,21,0)</f>
        <v>0</v>
      </c>
      <c r="F474" s="6">
        <f t="shared" si="80"/>
        <v>0</v>
      </c>
      <c r="G474" s="6">
        <f>ROUND(SUMIF('In-out-bal products (155)(완성제품)'!$B$12:$B$493,'Sales profit (스타일 별 매출이익)'!D474,'In-out-bal products (155)(완성제품)'!$X$12:$X$493) + SUMIF('In-out-bal products (155)(완성제품)'!$B$12:$B$493,'Sales profit (스타일 별 매출이익)'!D474,'In-out-bal products (155)(완성제품)'!$AA$12:$AA$493),0)</f>
        <v>0</v>
      </c>
      <c r="H474" s="283">
        <f t="shared" si="71"/>
        <v>0</v>
      </c>
      <c r="I474" s="284">
        <f t="shared" si="72"/>
        <v>0</v>
      </c>
      <c r="J474" s="284">
        <f t="shared" si="76"/>
        <v>0</v>
      </c>
      <c r="K474" s="283">
        <v>3.15</v>
      </c>
      <c r="L474" s="285">
        <f t="shared" si="73"/>
        <v>0</v>
      </c>
      <c r="M474" s="285">
        <f t="shared" si="74"/>
        <v>3.15</v>
      </c>
      <c r="N474" s="285">
        <f t="shared" si="75"/>
        <v>0</v>
      </c>
      <c r="O474" s="416">
        <f t="shared" si="78"/>
        <v>0</v>
      </c>
      <c r="P474" s="417">
        <f t="shared" si="79"/>
        <v>71426.25</v>
      </c>
      <c r="Q474" s="441"/>
    </row>
    <row r="475" spans="1:17" s="417" customFormat="1">
      <c r="A475" s="167">
        <v>489</v>
      </c>
      <c r="B475" s="409">
        <v>22675</v>
      </c>
      <c r="C475" s="20" t="str">
        <f>VLOOKUP(A475,'JUNE (물량흐름)'!$A$13:$C$502,2,0)</f>
        <v>ALFANI</v>
      </c>
      <c r="D475" s="282" t="str">
        <f>VLOOKUP(A475,'JUNE (물량흐름)'!$A$13:$C$502,3,0)</f>
        <v>6X717</v>
      </c>
      <c r="E475" s="6">
        <f>VLOOKUP(D475,'JUNE (물량흐름)'!$C$13:$W$502,21,0)</f>
        <v>0</v>
      </c>
      <c r="F475" s="6">
        <f t="shared" si="80"/>
        <v>0</v>
      </c>
      <c r="G475" s="6">
        <f>ROUND(SUMIF('In-out-bal products (155)(완성제품)'!$B$12:$B$493,'Sales profit (스타일 별 매출이익)'!D475,'In-out-bal products (155)(완성제품)'!$X$12:$X$493) + SUMIF('In-out-bal products (155)(완성제품)'!$B$12:$B$493,'Sales profit (스타일 별 매출이익)'!D475,'In-out-bal products (155)(완성제품)'!$AA$12:$AA$493),0)</f>
        <v>0</v>
      </c>
      <c r="H475" s="283">
        <f t="shared" si="71"/>
        <v>0</v>
      </c>
      <c r="I475" s="284">
        <f t="shared" si="72"/>
        <v>0</v>
      </c>
      <c r="J475" s="284">
        <f t="shared" si="76"/>
        <v>0</v>
      </c>
      <c r="K475" s="283">
        <v>1.8</v>
      </c>
      <c r="L475" s="285">
        <f t="shared" si="73"/>
        <v>0</v>
      </c>
      <c r="M475" s="285">
        <f t="shared" si="74"/>
        <v>1.8</v>
      </c>
      <c r="N475" s="285">
        <f t="shared" si="75"/>
        <v>0</v>
      </c>
      <c r="O475" s="416">
        <f t="shared" si="78"/>
        <v>0</v>
      </c>
      <c r="P475" s="417">
        <f t="shared" si="79"/>
        <v>40815</v>
      </c>
      <c r="Q475" s="441"/>
    </row>
    <row r="476" spans="1:17" s="417" customFormat="1">
      <c r="A476" s="167">
        <v>490</v>
      </c>
      <c r="B476" s="409">
        <v>22675</v>
      </c>
      <c r="C476" s="20" t="str">
        <f>VLOOKUP(A476,'JUNE (물량흐름)'!$A$13:$C$502,2,0)</f>
        <v>ALFANI</v>
      </c>
      <c r="D476" s="282" t="str">
        <f>VLOOKUP(A476,'JUNE (물량흐름)'!$A$13:$C$502,3,0)</f>
        <v>7X721</v>
      </c>
      <c r="E476" s="6">
        <f>VLOOKUP(D476,'JUNE (물량흐름)'!$C$13:$W$502,21,0)</f>
        <v>0</v>
      </c>
      <c r="F476" s="6">
        <f t="shared" si="80"/>
        <v>0</v>
      </c>
      <c r="G476" s="6">
        <f>ROUND(SUMIF('In-out-bal products (155)(완성제품)'!$B$12:$B$493,'Sales profit (스타일 별 매출이익)'!D476,'In-out-bal products (155)(완성제품)'!$X$12:$X$493) + SUMIF('In-out-bal products (155)(완성제품)'!$B$12:$B$493,'Sales profit (스타일 별 매출이익)'!D476,'In-out-bal products (155)(완성제품)'!$AA$12:$AA$493),0)</f>
        <v>0</v>
      </c>
      <c r="H476" s="283">
        <f t="shared" si="71"/>
        <v>0</v>
      </c>
      <c r="I476" s="284">
        <f t="shared" si="72"/>
        <v>0</v>
      </c>
      <c r="J476" s="284">
        <f t="shared" si="76"/>
        <v>0</v>
      </c>
      <c r="K476" s="283">
        <v>2.2000000000000002</v>
      </c>
      <c r="L476" s="285">
        <f t="shared" si="73"/>
        <v>0</v>
      </c>
      <c r="M476" s="285">
        <f t="shared" si="74"/>
        <v>2.2000000000000002</v>
      </c>
      <c r="N476" s="285">
        <f t="shared" si="75"/>
        <v>0</v>
      </c>
      <c r="O476" s="416">
        <f t="shared" si="78"/>
        <v>0</v>
      </c>
      <c r="P476" s="417">
        <f t="shared" si="79"/>
        <v>49885.000000000007</v>
      </c>
      <c r="Q476" s="441"/>
    </row>
    <row r="477" spans="1:17" s="417" customFormat="1">
      <c r="A477" s="167">
        <v>491</v>
      </c>
      <c r="B477" s="409">
        <v>22675</v>
      </c>
      <c r="C477" s="20" t="str">
        <f>VLOOKUP(A477,'JUNE (물량흐름)'!$A$13:$C$502,2,0)</f>
        <v>BAR III</v>
      </c>
      <c r="D477" s="282">
        <f>VLOOKUP(A477,'JUNE (물량흐름)'!$A$13:$C$502,3,0)</f>
        <v>100035724</v>
      </c>
      <c r="E477" s="6">
        <f>VLOOKUP(D477,'JUNE (물량흐름)'!$C$13:$W$502,21,0)</f>
        <v>0</v>
      </c>
      <c r="F477" s="6">
        <f t="shared" si="80"/>
        <v>0</v>
      </c>
      <c r="G477" s="6">
        <f>ROUND(SUMIF('In-out-bal products (155)(완성제품)'!$B$12:$B$493,'Sales profit (스타일 별 매출이익)'!D477,'In-out-bal products (155)(완성제품)'!$X$12:$X$493) + SUMIF('In-out-bal products (155)(완성제품)'!$B$12:$B$493,'Sales profit (스타일 별 매출이익)'!D477,'In-out-bal products (155)(완성제품)'!$AA$12:$AA$493),0)</f>
        <v>0</v>
      </c>
      <c r="H477" s="283">
        <f t="shared" si="71"/>
        <v>0</v>
      </c>
      <c r="I477" s="284">
        <f t="shared" si="72"/>
        <v>0</v>
      </c>
      <c r="J477" s="284">
        <f t="shared" si="76"/>
        <v>0</v>
      </c>
      <c r="K477" s="283">
        <v>3.2</v>
      </c>
      <c r="L477" s="285">
        <f>IFERROR(G477/E477/B477,0)</f>
        <v>0</v>
      </c>
      <c r="M477" s="285">
        <f t="shared" si="74"/>
        <v>3.2</v>
      </c>
      <c r="N477" s="285">
        <f t="shared" si="75"/>
        <v>0</v>
      </c>
      <c r="O477" s="416">
        <f t="shared" si="78"/>
        <v>0</v>
      </c>
      <c r="P477" s="417">
        <f t="shared" si="79"/>
        <v>72560</v>
      </c>
      <c r="Q477" s="441"/>
    </row>
    <row r="478" spans="1:17" s="417" customFormat="1">
      <c r="A478" s="167">
        <v>492</v>
      </c>
      <c r="B478" s="409">
        <v>22675</v>
      </c>
      <c r="C478" s="20" t="str">
        <f>VLOOKUP(A478,'JUNE (물량흐름)'!$A$13:$C$502,2,0)</f>
        <v>EILEEN FISHER</v>
      </c>
      <c r="D478" s="282" t="str">
        <f>VLOOKUP(A478,'JUNE (물량흐름)'!$A$13:$C$502,3,0)</f>
        <v>F8SOQ-T4368</v>
      </c>
      <c r="E478" s="6">
        <f>VLOOKUP(D478,'JUNE (물량흐름)'!$C$13:$W$502,21,0)</f>
        <v>4972</v>
      </c>
      <c r="F478" s="6">
        <f t="shared" si="80"/>
        <v>290869458</v>
      </c>
      <c r="G478" s="6">
        <f>ROUND(SUMIF('In-out-bal products (155)(완성제품)'!$B$12:$B$493,'Sales profit (스타일 별 매출이익)'!D478,'In-out-bal products (155)(완성제품)'!$X$12:$X$493) + SUMIF('In-out-bal products (155)(완성제품)'!$B$12:$B$493,'Sales profit (스타일 별 매출이익)'!D478,'In-out-bal products (155)(완성제품)'!$AA$12:$AA$493),0)</f>
        <v>262733100</v>
      </c>
      <c r="H478" s="283">
        <f t="shared" si="71"/>
        <v>0.24956832573325727</v>
      </c>
      <c r="I478" s="284">
        <f t="shared" si="72"/>
        <v>5658.9617860016087</v>
      </c>
      <c r="J478" s="284">
        <f t="shared" si="76"/>
        <v>24829158.078450367</v>
      </c>
      <c r="K478" s="285">
        <v>2.58</v>
      </c>
      <c r="L478" s="285">
        <f t="shared" si="73"/>
        <v>2.3304316742667428</v>
      </c>
      <c r="M478" s="285">
        <f t="shared" si="74"/>
        <v>2.9334725812285328E-2</v>
      </c>
      <c r="N478" s="285">
        <f t="shared" si="75"/>
        <v>0.22023359992097194</v>
      </c>
      <c r="O478" s="416">
        <f t="shared" si="78"/>
        <v>12827.76</v>
      </c>
      <c r="P478" s="417">
        <f t="shared" si="79"/>
        <v>58501.5</v>
      </c>
      <c r="Q478" s="441"/>
    </row>
    <row r="479" spans="1:17" s="417" customFormat="1">
      <c r="A479" s="167">
        <v>493</v>
      </c>
      <c r="B479" s="409">
        <v>22675</v>
      </c>
      <c r="C479" s="20" t="str">
        <f>VLOOKUP(A479,'JUNE (물량흐름)'!$A$13:$C$502,2,0)</f>
        <v>EILEEN FISHER</v>
      </c>
      <c r="D479" s="282" t="str">
        <f>VLOOKUP(A479,'JUNE (물량흐름)'!$A$13:$C$502,3,0)</f>
        <v>EESOQ-T4607</v>
      </c>
      <c r="E479" s="6">
        <f>VLOOKUP(D479,'JUNE (물량흐름)'!$C$13:$W$502,21,0)</f>
        <v>804</v>
      </c>
      <c r="F479" s="6">
        <f t="shared" si="80"/>
        <v>117405708</v>
      </c>
      <c r="G479" s="6">
        <f>ROUND(SUMIF('In-out-bal products (155)(완성제품)'!$B$12:$B$493,'Sales profit (스타일 별 매출이익)'!D479,'In-out-bal products (155)(완성제품)'!$X$12:$X$493) + SUMIF('In-out-bal products (155)(완성제품)'!$B$12:$B$493,'Sales profit (스타일 별 매출이익)'!D479,'In-out-bal products (155)(완성제품)'!$AA$12:$AA$493),0)</f>
        <v>102210883</v>
      </c>
      <c r="H479" s="283">
        <f t="shared" si="71"/>
        <v>0.83347457859544616</v>
      </c>
      <c r="I479" s="284">
        <f t="shared" si="72"/>
        <v>18899.036069651742</v>
      </c>
      <c r="J479" s="284">
        <f t="shared" si="76"/>
        <v>10021969.660507927</v>
      </c>
      <c r="K479" s="285">
        <v>6.44</v>
      </c>
      <c r="L479" s="285">
        <f t="shared" si="73"/>
        <v>5.6065254214045535</v>
      </c>
      <c r="M479" s="285">
        <f t="shared" si="74"/>
        <v>0.28374419739736201</v>
      </c>
      <c r="N479" s="285">
        <f t="shared" si="75"/>
        <v>0.54973038119808493</v>
      </c>
      <c r="O479" s="416">
        <f t="shared" si="78"/>
        <v>5177.76</v>
      </c>
      <c r="P479" s="417">
        <f t="shared" si="79"/>
        <v>146027</v>
      </c>
      <c r="Q479" s="441"/>
    </row>
    <row r="480" spans="1:17" s="417" customFormat="1">
      <c r="A480" s="167">
        <v>494</v>
      </c>
      <c r="B480" s="409">
        <v>22675</v>
      </c>
      <c r="C480" s="20" t="str">
        <f>VLOOKUP(A480,'JUNE (물량흐름)'!$A$13:$C$502,2,0)</f>
        <v>J JILL</v>
      </c>
      <c r="D480" s="282" t="str">
        <f>VLOOKUP(A480,'JUNE (물량흐름)'!$A$13:$C$502,3,0)</f>
        <v>KDR132731</v>
      </c>
      <c r="E480" s="6">
        <f>VLOOKUP(D480,'JUNE (물량흐름)'!$C$13:$W$502,21,0)</f>
        <v>0</v>
      </c>
      <c r="F480" s="6">
        <f t="shared" si="80"/>
        <v>0</v>
      </c>
      <c r="G480" s="6">
        <f>ROUND(SUMIF('In-out-bal products (155)(완성제품)'!$B$12:$B$493,'Sales profit (스타일 별 매출이익)'!D480,'In-out-bal products (155)(완성제품)'!$X$12:$X$493) + SUMIF('In-out-bal products (155)(완성제품)'!$B$12:$B$493,'Sales profit (스타일 별 매출이익)'!D480,'In-out-bal products (155)(완성제품)'!$AA$12:$AA$493),0)</f>
        <v>0</v>
      </c>
      <c r="H480" s="283">
        <f t="shared" si="71"/>
        <v>0</v>
      </c>
      <c r="I480" s="284">
        <f t="shared" si="72"/>
        <v>0</v>
      </c>
      <c r="J480" s="284">
        <f t="shared" si="76"/>
        <v>0</v>
      </c>
      <c r="K480" s="283">
        <v>3.5</v>
      </c>
      <c r="L480" s="285">
        <f t="shared" si="73"/>
        <v>0</v>
      </c>
      <c r="M480" s="285">
        <f t="shared" si="74"/>
        <v>3.5</v>
      </c>
      <c r="N480" s="285">
        <f t="shared" si="75"/>
        <v>0</v>
      </c>
      <c r="O480" s="416">
        <f t="shared" si="78"/>
        <v>0</v>
      </c>
      <c r="P480" s="417">
        <f t="shared" si="79"/>
        <v>79362.5</v>
      </c>
      <c r="Q480" s="441"/>
    </row>
    <row r="481" spans="1:17" s="417" customFormat="1">
      <c r="A481" s="167">
        <v>495</v>
      </c>
      <c r="B481" s="409">
        <v>22675</v>
      </c>
      <c r="C481" s="20" t="str">
        <f>VLOOKUP(A481,'JUNE (물량흐름)'!$A$13:$C$502,2,0)</f>
        <v>J JILL</v>
      </c>
      <c r="D481" s="282" t="str">
        <f>VLOOKUP(A481,'JUNE (물량흐름)'!$A$13:$C$502,3,0)</f>
        <v>KJT138251</v>
      </c>
      <c r="E481" s="6">
        <f>VLOOKUP(D481,'JUNE (물량흐름)'!$C$13:$W$502,21,0)</f>
        <v>0</v>
      </c>
      <c r="F481" s="6">
        <f t="shared" si="80"/>
        <v>0</v>
      </c>
      <c r="G481" s="6">
        <f>ROUND(SUMIF('In-out-bal products (155)(완성제품)'!$B$12:$B$493,'Sales profit (스타일 별 매출이익)'!D481,'In-out-bal products (155)(완성제품)'!$X$12:$X$493) + SUMIF('In-out-bal products (155)(완성제품)'!$B$12:$B$493,'Sales profit (스타일 별 매출이익)'!D481,'In-out-bal products (155)(완성제품)'!$AA$12:$AA$493),0)</f>
        <v>0</v>
      </c>
      <c r="H481" s="283">
        <f t="shared" si="71"/>
        <v>0</v>
      </c>
      <c r="I481" s="284">
        <f t="shared" si="72"/>
        <v>0</v>
      </c>
      <c r="J481" s="284">
        <f t="shared" si="76"/>
        <v>0</v>
      </c>
      <c r="K481" s="283">
        <v>4.5999999999999996</v>
      </c>
      <c r="L481" s="285">
        <f t="shared" si="73"/>
        <v>0</v>
      </c>
      <c r="M481" s="285">
        <f t="shared" si="74"/>
        <v>4.5999999999999996</v>
      </c>
      <c r="N481" s="285">
        <f t="shared" si="75"/>
        <v>0</v>
      </c>
      <c r="O481" s="416">
        <f t="shared" si="78"/>
        <v>0</v>
      </c>
      <c r="P481" s="417">
        <f t="shared" si="79"/>
        <v>104304.99999999999</v>
      </c>
      <c r="Q481" s="441"/>
    </row>
    <row r="482" spans="1:17" s="417" customFormat="1">
      <c r="A482" s="167">
        <v>496</v>
      </c>
      <c r="B482" s="409">
        <v>22675</v>
      </c>
      <c r="C482" s="20" t="str">
        <f>VLOOKUP(A482,'JUNE (물량흐름)'!$A$13:$C$502,2,0)</f>
        <v>J JILL</v>
      </c>
      <c r="D482" s="282" t="str">
        <f>VLOOKUP(A482,'JUNE (물량흐름)'!$A$13:$C$502,3,0)</f>
        <v>KPT130311</v>
      </c>
      <c r="E482" s="6">
        <f>VLOOKUP(D482,'JUNE (물량흐름)'!$C$13:$W$502,21,0)</f>
        <v>0</v>
      </c>
      <c r="F482" s="6">
        <f t="shared" si="80"/>
        <v>0</v>
      </c>
      <c r="G482" s="6">
        <f>ROUND(SUMIF('In-out-bal products (155)(완성제품)'!$B$12:$B$493,'Sales profit (스타일 별 매출이익)'!D482,'In-out-bal products (155)(완성제품)'!$X$12:$X$493) + SUMIF('In-out-bal products (155)(완성제품)'!$B$12:$B$493,'Sales profit (스타일 별 매출이익)'!D482,'In-out-bal products (155)(완성제품)'!$AA$12:$AA$493),0)</f>
        <v>0</v>
      </c>
      <c r="H482" s="283">
        <f t="shared" si="71"/>
        <v>0</v>
      </c>
      <c r="I482" s="284">
        <f t="shared" si="72"/>
        <v>0</v>
      </c>
      <c r="J482" s="284">
        <f t="shared" si="76"/>
        <v>0</v>
      </c>
      <c r="K482" s="283">
        <v>1.4</v>
      </c>
      <c r="L482" s="285">
        <f t="shared" si="73"/>
        <v>0</v>
      </c>
      <c r="M482" s="285">
        <f t="shared" si="74"/>
        <v>1.4</v>
      </c>
      <c r="N482" s="285">
        <f t="shared" si="75"/>
        <v>0</v>
      </c>
      <c r="O482" s="416">
        <f t="shared" si="78"/>
        <v>0</v>
      </c>
      <c r="P482" s="417">
        <f t="shared" si="79"/>
        <v>31744.999999999996</v>
      </c>
      <c r="Q482" s="441"/>
    </row>
    <row r="483" spans="1:17" s="417" customFormat="1">
      <c r="A483" s="167">
        <v>497</v>
      </c>
      <c r="B483" s="409">
        <v>22675</v>
      </c>
      <c r="C483" s="20" t="str">
        <f>VLOOKUP(A483,'JUNE (물량흐름)'!$A$13:$C$502,2,0)</f>
        <v>J JILL</v>
      </c>
      <c r="D483" s="282" t="str">
        <f>VLOOKUP(A483,'JUNE (물량흐름)'!$A$13:$C$502,3,0)</f>
        <v>KTP134791</v>
      </c>
      <c r="E483" s="6">
        <f>VLOOKUP(D483,'JUNE (물량흐름)'!$C$13:$W$502,21,0)</f>
        <v>0</v>
      </c>
      <c r="F483" s="6">
        <f t="shared" si="80"/>
        <v>0</v>
      </c>
      <c r="G483" s="6">
        <f>ROUND(SUMIF('In-out-bal products (155)(완성제품)'!$B$12:$B$493,'Sales profit (스타일 별 매출이익)'!D483,'In-out-bal products (155)(완성제품)'!$X$12:$X$493) + SUMIF('In-out-bal products (155)(완성제품)'!$B$12:$B$493,'Sales profit (스타일 별 매출이익)'!D483,'In-out-bal products (155)(완성제품)'!$AA$12:$AA$493),0)</f>
        <v>0</v>
      </c>
      <c r="H483" s="283">
        <f t="shared" si="71"/>
        <v>0</v>
      </c>
      <c r="I483" s="284">
        <f t="shared" si="72"/>
        <v>0</v>
      </c>
      <c r="J483" s="284">
        <f t="shared" si="76"/>
        <v>0</v>
      </c>
      <c r="K483" s="283">
        <v>2.6</v>
      </c>
      <c r="L483" s="285">
        <f t="shared" si="73"/>
        <v>0</v>
      </c>
      <c r="M483" s="285">
        <f t="shared" si="74"/>
        <v>2.6</v>
      </c>
      <c r="N483" s="285">
        <f t="shared" si="75"/>
        <v>0</v>
      </c>
      <c r="O483" s="416">
        <f t="shared" si="78"/>
        <v>0</v>
      </c>
      <c r="P483" s="417">
        <f t="shared" si="79"/>
        <v>58955</v>
      </c>
      <c r="Q483" s="441"/>
    </row>
    <row r="484" spans="1:17" s="417" customFormat="1">
      <c r="A484" s="167">
        <v>498</v>
      </c>
      <c r="B484" s="409">
        <v>22675</v>
      </c>
      <c r="C484" s="20" t="str">
        <f>VLOOKUP(A484,'JUNE (물량흐름)'!$A$13:$C$502,2,0)</f>
        <v>J JILL</v>
      </c>
      <c r="D484" s="282" t="str">
        <f>VLOOKUP(A484,'JUNE (물량흐름)'!$A$13:$C$502,3,0)</f>
        <v>KTP142391</v>
      </c>
      <c r="E484" s="6">
        <f>VLOOKUP(D484,'JUNE (물량흐름)'!$C$13:$W$502,21,0)</f>
        <v>0</v>
      </c>
      <c r="F484" s="6">
        <f t="shared" si="80"/>
        <v>0</v>
      </c>
      <c r="G484" s="6">
        <f>ROUND(SUMIF('In-out-bal products (155)(완성제품)'!$B$12:$B$493,'Sales profit (스타일 별 매출이익)'!D484,'In-out-bal products (155)(완성제품)'!$X$12:$X$493) + SUMIF('In-out-bal products (155)(완성제품)'!$B$12:$B$493,'Sales profit (스타일 별 매출이익)'!D484,'In-out-bal products (155)(완성제품)'!$AA$12:$AA$493),0)</f>
        <v>0</v>
      </c>
      <c r="H484" s="283">
        <f t="shared" si="71"/>
        <v>0</v>
      </c>
      <c r="I484" s="284">
        <f t="shared" si="72"/>
        <v>0</v>
      </c>
      <c r="J484" s="284">
        <f t="shared" si="76"/>
        <v>0</v>
      </c>
      <c r="K484" s="283">
        <v>2.2000000000000002</v>
      </c>
      <c r="L484" s="285">
        <f t="shared" si="73"/>
        <v>0</v>
      </c>
      <c r="M484" s="285">
        <f t="shared" si="74"/>
        <v>2.2000000000000002</v>
      </c>
      <c r="N484" s="285">
        <f t="shared" si="75"/>
        <v>0</v>
      </c>
      <c r="O484" s="416">
        <f t="shared" si="78"/>
        <v>0</v>
      </c>
      <c r="P484" s="417">
        <f t="shared" si="79"/>
        <v>49885.000000000007</v>
      </c>
      <c r="Q484" s="441"/>
    </row>
    <row r="485" spans="1:17" s="417" customFormat="1">
      <c r="A485" s="167">
        <v>499</v>
      </c>
      <c r="B485" s="409">
        <v>22675</v>
      </c>
      <c r="C485" s="20" t="str">
        <f>VLOOKUP(A485,'JUNE (물량흐름)'!$A$13:$C$502,2,0)</f>
        <v>NORDSTROM</v>
      </c>
      <c r="D485" s="282" t="str">
        <f>VLOOKUP(A485,'JUNE (물량흐름)'!$A$13:$C$502,3,0)</f>
        <v>HA385921MI</v>
      </c>
      <c r="E485" s="6">
        <f>VLOOKUP(D485,'JUNE (물량흐름)'!$C$13:$W$502,21,0)</f>
        <v>2592</v>
      </c>
      <c r="F485" s="6">
        <f>IFERROR(ROUND(E485*K485*B485,0),0)</f>
        <v>94037760</v>
      </c>
      <c r="G485" s="6">
        <f>ROUND(SUMIF('In-out-bal products (155)(완성제품)'!$B$12:$B$493,'Sales profit (스타일 별 매출이익)'!D485,'In-out-bal products (155)(완성제품)'!$X$12:$X$493) + SUMIF('In-out-bal products (155)(완성제품)'!$B$12:$B$493,'Sales profit (스타일 별 매출이익)'!D485,'In-out-bal products (155)(완성제품)'!$AA$12:$AA$493),0)</f>
        <v>85904774</v>
      </c>
      <c r="H485" s="283">
        <f t="shared" ref="H485:H488" si="81">IFERROR(I485/B485,0)</f>
        <v>0.13837821743095541</v>
      </c>
      <c r="I485" s="284">
        <f t="shared" ref="I485:I489" si="82">IFERROR((F485-G485)/E485,0)</f>
        <v>3137.7260802469136</v>
      </c>
      <c r="J485" s="284">
        <f>IFERROR(F485*$J$492/$F$492,0)</f>
        <v>8027238.1446916182</v>
      </c>
      <c r="K485" s="285">
        <v>1.6</v>
      </c>
      <c r="L485" s="285">
        <f t="shared" si="73"/>
        <v>1.4616217825690447</v>
      </c>
      <c r="M485" s="285">
        <f t="shared" si="74"/>
        <v>1.799240735778973E-3</v>
      </c>
      <c r="N485" s="285">
        <f t="shared" si="75"/>
        <v>0.13657897669517638</v>
      </c>
      <c r="O485" s="416">
        <f t="shared" si="78"/>
        <v>4147.2</v>
      </c>
      <c r="P485" s="417">
        <f t="shared" si="79"/>
        <v>36280</v>
      </c>
      <c r="Q485" s="441"/>
    </row>
    <row r="486" spans="1:17" s="417" customFormat="1">
      <c r="A486" s="167">
        <v>500</v>
      </c>
      <c r="B486" s="409">
        <v>22675</v>
      </c>
      <c r="C486" s="20" t="str">
        <f>VLOOKUP(A486,'JUNE (물량흐름)'!$A$13:$C$502,2,0)</f>
        <v>NORDSTROM</v>
      </c>
      <c r="D486" s="282" t="str">
        <f>VLOOKUP(A486,'JUNE (물량흐름)'!$A$13:$C$502,3,0)</f>
        <v>HA385921MP</v>
      </c>
      <c r="E486" s="6">
        <f>VLOOKUP(D486,'JUNE (물량흐름)'!$C$13:$W$502,21,0)</f>
        <v>196</v>
      </c>
      <c r="F486" s="6">
        <f t="shared" si="80"/>
        <v>7110880</v>
      </c>
      <c r="G486" s="6">
        <f>ROUND(SUMIF('In-out-bal products (155)(완성제품)'!$B$12:$B$493,'Sales profit (스타일 별 매출이익)'!D486,'In-out-bal products (155)(완성제품)'!$X$12:$X$493) + SUMIF('In-out-bal products (155)(완성제품)'!$B$12:$B$493,'Sales profit (스타일 별 매출이익)'!D486,'In-out-bal products (155)(완성제품)'!$AA$12:$AA$493),0)</f>
        <v>6495886</v>
      </c>
      <c r="H486" s="283">
        <f t="shared" si="81"/>
        <v>0.13837814728978692</v>
      </c>
      <c r="I486" s="284">
        <f t="shared" si="82"/>
        <v>3137.7244897959185</v>
      </c>
      <c r="J486" s="284">
        <f t="shared" ref="J486:J489" si="83">IFERROR(F486*$J$492/$F$492,0)</f>
        <v>606997.94612637244</v>
      </c>
      <c r="K486" s="285">
        <v>1.6</v>
      </c>
      <c r="L486" s="285">
        <f t="shared" si="73"/>
        <v>1.4616218527102132</v>
      </c>
      <c r="M486" s="285">
        <f t="shared" si="74"/>
        <v>1.7991705946105441E-3</v>
      </c>
      <c r="N486" s="285">
        <f t="shared" si="75"/>
        <v>0.13657897669517638</v>
      </c>
      <c r="O486" s="416">
        <f t="shared" si="78"/>
        <v>313.60000000000002</v>
      </c>
      <c r="P486" s="417">
        <f t="shared" si="79"/>
        <v>36280</v>
      </c>
      <c r="Q486" s="441"/>
    </row>
    <row r="487" spans="1:17" s="417" customFormat="1">
      <c r="A487" s="167">
        <v>501</v>
      </c>
      <c r="B487" s="409">
        <v>22675</v>
      </c>
      <c r="C487" s="20" t="str">
        <f>VLOOKUP(A487,'JUNE (물량흐름)'!$A$13:$C$502,2,0)</f>
        <v>NORDSTROM</v>
      </c>
      <c r="D487" s="282" t="str">
        <f>VLOOKUP(A487,'JUNE (물량흐름)'!$A$13:$C$502,3,0)</f>
        <v>SJ301654WN</v>
      </c>
      <c r="E487" s="6">
        <f>VLOOKUP(D487,'JUNE (물량흐름)'!$C$13:$W$502,21,0)</f>
        <v>3250</v>
      </c>
      <c r="F487" s="6">
        <f t="shared" si="80"/>
        <v>58955000</v>
      </c>
      <c r="G487" s="6">
        <f>ROUND(SUMIF('In-out-bal products (155)(완성제품)'!$B$12:$B$493,'Sales profit (스타일 별 매출이익)'!D487,'In-out-bal products (155)(완성제품)'!$X$12:$X$493) + SUMIF('In-out-bal products (155)(완성제품)'!$B$12:$B$493,'Sales profit (스타일 별 매출이익)'!D487,'In-out-bal products (155)(완성제품)'!$AA$12:$AA$493),0)</f>
        <v>53856195</v>
      </c>
      <c r="H487" s="283">
        <f t="shared" si="81"/>
        <v>6.9189110338393686E-2</v>
      </c>
      <c r="I487" s="284">
        <f t="shared" si="82"/>
        <v>1568.863076923077</v>
      </c>
      <c r="J487" s="284">
        <f t="shared" si="83"/>
        <v>5032508.4819150772</v>
      </c>
      <c r="K487" s="285">
        <v>0.8</v>
      </c>
      <c r="L487" s="285">
        <f t="shared" si="73"/>
        <v>0.73081088966160634</v>
      </c>
      <c r="M487" s="285">
        <f t="shared" si="74"/>
        <v>8.9962199080551031E-4</v>
      </c>
      <c r="N487" s="285">
        <f t="shared" si="75"/>
        <v>6.828948834758819E-2</v>
      </c>
      <c r="O487" s="416">
        <f t="shared" si="78"/>
        <v>2600</v>
      </c>
      <c r="P487" s="417">
        <f t="shared" si="79"/>
        <v>18140</v>
      </c>
      <c r="Q487" s="441"/>
    </row>
    <row r="488" spans="1:17" s="417" customFormat="1">
      <c r="A488" s="167">
        <v>502</v>
      </c>
      <c r="B488" s="409">
        <v>22675</v>
      </c>
      <c r="C488" s="20" t="str">
        <f>VLOOKUP(A488,'JUNE (물량흐름)'!$A$13:$C$502,2,0)</f>
        <v>NORDSTROM</v>
      </c>
      <c r="D488" s="282" t="str">
        <f>VLOOKUP(A488,'JUNE (물량흐름)'!$A$13:$C$502,3,0)</f>
        <v>TL298630MI</v>
      </c>
      <c r="E488" s="6">
        <f>VLOOKUP(D488,'JUNE (물량흐름)'!$C$13:$W$502,21,0)</f>
        <v>6933</v>
      </c>
      <c r="F488" s="6">
        <f t="shared" si="80"/>
        <v>298690973</v>
      </c>
      <c r="G488" s="6">
        <f>ROUND(SUMIF('In-out-bal products (155)(완성제품)'!$B$12:$B$493,'Sales profit (스타일 별 매출이익)'!D488,'In-out-bal products (155)(완성제품)'!$X$12:$X$493) + SUMIF('In-out-bal products (155)(완성제품)'!$B$12:$B$493,'Sales profit (스타일 별 매출이익)'!D488,'In-out-bal products (155)(완성제품)'!$AA$12:$AA$493),0)</f>
        <v>272858271</v>
      </c>
      <c r="H488" s="283">
        <f t="shared" si="81"/>
        <v>0.1643241286778428</v>
      </c>
      <c r="I488" s="284">
        <f t="shared" si="82"/>
        <v>3726.0496177700852</v>
      </c>
      <c r="J488" s="284">
        <f>IFERROR(F488*$J$492/$F$492,0)</f>
        <v>25496817.150266599</v>
      </c>
      <c r="K488" s="285">
        <v>1.9</v>
      </c>
      <c r="L488" s="285">
        <f t="shared" si="73"/>
        <v>1.7356758745027019</v>
      </c>
      <c r="M488" s="285">
        <f t="shared" si="74"/>
        <v>2.1365904002788594E-3</v>
      </c>
      <c r="N488" s="285">
        <f t="shared" si="75"/>
        <v>0.16218753509701916</v>
      </c>
      <c r="O488" s="416">
        <f t="shared" si="78"/>
        <v>13172.7</v>
      </c>
      <c r="P488" s="417">
        <f t="shared" si="79"/>
        <v>43082.5</v>
      </c>
      <c r="Q488" s="441"/>
    </row>
    <row r="489" spans="1:17" s="417" customFormat="1">
      <c r="A489" s="167">
        <v>503</v>
      </c>
      <c r="B489" s="336">
        <v>22725</v>
      </c>
      <c r="C489" s="20" t="str">
        <f>VLOOKUP(A489,'JUNE (물량흐름)'!$A$13:$C$502,2,0)</f>
        <v xml:space="preserve">TALBOTS </v>
      </c>
      <c r="D489" s="478">
        <f>VLOOKUP(A489,'JUNE (물량흐름)'!$A$13:$C$502,3,0)</f>
        <v>183034537</v>
      </c>
      <c r="E489" s="6">
        <f>VLOOKUP(D489,'JUNE (물량흐름)'!$C$13:$W$502,21,0)-560</f>
        <v>17259</v>
      </c>
      <c r="F489" s="6">
        <f t="shared" si="80"/>
        <v>1011903800</v>
      </c>
      <c r="G489" s="6">
        <f>ROUND(SUMIF('In-out-bal products (155)(완성제품)'!$B$12:$B$493,'Sales profit (스타일 별 매출이익)'!D489,'In-out-bal products (155)(완성제품)'!$X$12:$X$493) + SUMIF('In-out-bal products (155)(완성제품)'!$B$12:$B$493,'Sales profit (스타일 별 매출이익)'!D489,'In-out-bal products (155)(완성제품)'!$AA$12:$AA$493),0)-71857086</f>
        <v>882524284</v>
      </c>
      <c r="H489" s="283">
        <f>IFERROR(I489/B489,0)</f>
        <v>0.3298724161772455</v>
      </c>
      <c r="I489" s="284">
        <f t="shared" si="82"/>
        <v>7496.3506576279042</v>
      </c>
      <c r="J489" s="284">
        <f t="shared" si="83"/>
        <v>86377990.948725268</v>
      </c>
      <c r="K489" s="285">
        <v>2.58</v>
      </c>
      <c r="L489" s="285">
        <f t="shared" si="73"/>
        <v>2.2501275850975793</v>
      </c>
      <c r="M489" s="285">
        <f t="shared" si="74"/>
        <v>0.10963881487262747</v>
      </c>
      <c r="N489" s="285">
        <f t="shared" si="75"/>
        <v>0.22023360002979334</v>
      </c>
      <c r="O489" s="416">
        <f t="shared" si="78"/>
        <v>44528.22</v>
      </c>
      <c r="P489" s="417">
        <f t="shared" si="79"/>
        <v>58630.5</v>
      </c>
      <c r="Q489" s="441"/>
    </row>
    <row r="490" spans="1:17" s="417" customFormat="1">
      <c r="A490" s="167">
        <v>504</v>
      </c>
      <c r="B490" s="336">
        <v>22675</v>
      </c>
      <c r="C490" s="475" t="s">
        <v>108</v>
      </c>
      <c r="D490" s="480">
        <v>183013461</v>
      </c>
      <c r="E490" s="6">
        <v>48</v>
      </c>
      <c r="F490" s="6">
        <f t="shared" si="80"/>
        <v>4081500</v>
      </c>
      <c r="G490" s="6">
        <f>ROUND(196031169/1115*48,0)</f>
        <v>8439010</v>
      </c>
      <c r="H490" s="283">
        <f>IFERROR(I490/B490,0)</f>
        <v>-4.0035924292539509</v>
      </c>
      <c r="I490" s="284">
        <f t="shared" ref="I490:I491" si="84">IFERROR((F490-G490)/E490,0)</f>
        <v>-90781.458333333328</v>
      </c>
      <c r="J490" s="284">
        <f t="shared" ref="J490:J491" si="85">IFERROR(F490*$J$492/$F$492,0)</f>
        <v>348404.43336335151</v>
      </c>
      <c r="K490" s="285">
        <v>3.75</v>
      </c>
      <c r="L490" s="285">
        <f t="shared" ref="L490:L491" si="86">IFERROR(G490/E490/B490,0)</f>
        <v>7.7535924292539509</v>
      </c>
      <c r="M490" s="285">
        <f t="shared" ref="M490:M491" si="87">K490-L490-N490</f>
        <v>-4.3236994058832705</v>
      </c>
      <c r="N490" s="285">
        <f t="shared" ref="N490:N491" si="88">IFERROR(J490/E490/B490,0)</f>
        <v>0.32010697662931964</v>
      </c>
      <c r="O490" s="416">
        <f t="shared" ref="O490:O491" si="89">ROUND(K490*E490,2)</f>
        <v>180</v>
      </c>
      <c r="P490" s="417">
        <f t="shared" ref="P490:P491" si="90">+B490*K490</f>
        <v>85031.25</v>
      </c>
      <c r="Q490" s="441"/>
    </row>
    <row r="491" spans="1:17" s="417" customFormat="1">
      <c r="A491" s="167">
        <v>505</v>
      </c>
      <c r="B491" s="336">
        <v>22675</v>
      </c>
      <c r="C491" s="475" t="s">
        <v>657</v>
      </c>
      <c r="D491" s="477">
        <v>183034537</v>
      </c>
      <c r="E491" s="6">
        <v>560</v>
      </c>
      <c r="F491" s="6">
        <f t="shared" si="80"/>
        <v>32760840</v>
      </c>
      <c r="G491" s="6">
        <f>ROUND(2286466803/17819*560,0)</f>
        <v>71857086</v>
      </c>
      <c r="H491" s="283">
        <f t="shared" ref="H491" si="91">IFERROR(I491/B491,0)</f>
        <v>-3.0789294377067256</v>
      </c>
      <c r="I491" s="284">
        <f t="shared" si="84"/>
        <v>-69814.725000000006</v>
      </c>
      <c r="J491" s="284">
        <f t="shared" si="85"/>
        <v>2796526.2517965012</v>
      </c>
      <c r="K491" s="285">
        <v>2.58</v>
      </c>
      <c r="L491" s="285">
        <f t="shared" si="86"/>
        <v>5.6589294377067256</v>
      </c>
      <c r="M491" s="285">
        <f t="shared" si="87"/>
        <v>-3.2991630376276975</v>
      </c>
      <c r="N491" s="285">
        <f t="shared" si="88"/>
        <v>0.22023359992097191</v>
      </c>
      <c r="O491" s="416">
        <f t="shared" si="89"/>
        <v>1444.8</v>
      </c>
      <c r="P491" s="417">
        <f t="shared" si="90"/>
        <v>58501.5</v>
      </c>
      <c r="Q491" s="441"/>
    </row>
    <row r="492" spans="1:17" s="44" customFormat="1" ht="26.25" customHeight="1">
      <c r="A492" s="575" t="s">
        <v>0</v>
      </c>
      <c r="B492" s="576"/>
      <c r="C492" s="576"/>
      <c r="D492" s="577"/>
      <c r="E492" s="430">
        <f>SUBTOTAL(9,E9:E491)</f>
        <v>392031</v>
      </c>
      <c r="F492" s="430">
        <f t="shared" ref="F492:G492" si="92">SUBTOTAL(9,F9:F491)</f>
        <v>19607773243</v>
      </c>
      <c r="G492" s="430">
        <f t="shared" si="92"/>
        <v>15788962803</v>
      </c>
      <c r="H492" s="430"/>
      <c r="I492" s="430"/>
      <c r="J492" s="431">
        <f>57460000+1616296003</f>
        <v>1673756003</v>
      </c>
      <c r="K492" s="430"/>
      <c r="L492" s="430"/>
      <c r="M492" s="430"/>
      <c r="N492" s="430"/>
      <c r="O492" s="71"/>
    </row>
    <row r="497" spans="10:10">
      <c r="J497" s="71"/>
    </row>
  </sheetData>
  <autoFilter ref="A8:P511" xr:uid="{00000000-0009-0000-0000-000005000000}"/>
  <mergeCells count="13">
    <mergeCell ref="M6:M7"/>
    <mergeCell ref="A492:D492"/>
    <mergeCell ref="N6:N7"/>
    <mergeCell ref="A3:C3"/>
    <mergeCell ref="A4:C4"/>
    <mergeCell ref="L6:L7"/>
    <mergeCell ref="A6:A7"/>
    <mergeCell ref="H6:I6"/>
    <mergeCell ref="B6:B7"/>
    <mergeCell ref="K6:K7"/>
    <mergeCell ref="C6:C7"/>
    <mergeCell ref="E6:E7"/>
    <mergeCell ref="D6:D7"/>
  </mergeCells>
  <phoneticPr fontId="0" type="noConversion"/>
  <conditionalFormatting sqref="G3">
    <cfRule type="cellIs" dxfId="12" priority="56" stopIfTrue="1" operator="lessThan">
      <formula>0</formula>
    </cfRule>
  </conditionalFormatting>
  <printOptions horizontalCentered="1"/>
  <pageMargins left="0" right="0" top="0" bottom="0" header="0.5" footer="0.18"/>
  <pageSetup paperSize="9" fitToHeight="0" orientation="portrait" r:id="rId1"/>
  <headerFooter alignWithMargins="0">
    <oddFooter>Page &amp;P of &amp;N</oddFoot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tabColor rgb="FFFF0000"/>
  </sheetPr>
  <dimension ref="A1:AQ518"/>
  <sheetViews>
    <sheetView view="pageBreakPreview" zoomScale="71" zoomScaleNormal="80" zoomScaleSheetLayoutView="71" workbookViewId="0">
      <selection activeCell="AA12" sqref="AA12"/>
    </sheetView>
  </sheetViews>
  <sheetFormatPr defaultColWidth="9.140625" defaultRowHeight="27" customHeight="1"/>
  <cols>
    <col min="1" max="1" width="5.5703125" style="244" customWidth="1"/>
    <col min="2" max="2" width="21.28515625" style="245" customWidth="1"/>
    <col min="3" max="3" width="15.5703125" style="118" customWidth="1"/>
    <col min="4" max="4" width="9.85546875" style="119" customWidth="1"/>
    <col min="5" max="5" width="14.5703125" style="120" customWidth="1"/>
    <col min="6" max="6" width="14.5703125" style="117" customWidth="1"/>
    <col min="7" max="7" width="12.7109375" style="117" customWidth="1"/>
    <col min="8" max="8" width="11.85546875" style="117" customWidth="1"/>
    <col min="9" max="9" width="14" style="117" customWidth="1"/>
    <col min="10" max="10" width="21.42578125" style="117" customWidth="1"/>
    <col min="11" max="11" width="19.140625" style="117" customWidth="1"/>
    <col min="12" max="12" width="21" style="117" customWidth="1"/>
    <col min="13" max="13" width="14.5703125" style="120" customWidth="1"/>
    <col min="14" max="14" width="19.28515625" style="120" customWidth="1"/>
    <col min="15" max="15" width="19" style="120" customWidth="1"/>
    <col min="16" max="16" width="18.28515625" style="120" customWidth="1"/>
    <col min="17" max="17" width="10.140625" style="117" bestFit="1" customWidth="1"/>
    <col min="18" max="18" width="14.28515625" style="117" bestFit="1" customWidth="1"/>
    <col min="19" max="19" width="14" style="117" bestFit="1" customWidth="1"/>
    <col min="20" max="20" width="11.140625" style="117" bestFit="1" customWidth="1"/>
    <col min="21" max="21" width="16.28515625" style="117" customWidth="1"/>
    <col min="22" max="22" width="19.140625" style="117" customWidth="1"/>
    <col min="23" max="23" width="19.42578125" style="117" customWidth="1"/>
    <col min="24" max="24" width="19.5703125" style="117" customWidth="1"/>
    <col min="25" max="25" width="17" style="120" customWidth="1"/>
    <col min="26" max="26" width="12.5703125" style="120" customWidth="1"/>
    <col min="27" max="27" width="13.28515625" style="120" customWidth="1"/>
    <col min="28" max="28" width="13.42578125" style="120" customWidth="1"/>
    <col min="29" max="29" width="20" style="117" customWidth="1"/>
    <col min="30" max="30" width="12.42578125" style="287" customWidth="1"/>
    <col min="31" max="31" width="14.140625" style="287" customWidth="1"/>
    <col min="32" max="32" width="15.5703125" style="288" customWidth="1"/>
    <col min="33" max="34" width="9.140625" style="287" hidden="1" customWidth="1"/>
    <col min="35" max="40" width="9.140625" style="287" customWidth="1"/>
    <col min="41" max="41" width="9.140625" style="288" customWidth="1"/>
    <col min="42" max="43" width="9.140625" style="287" customWidth="1"/>
    <col min="44" max="16384" width="9.140625" style="287"/>
  </cols>
  <sheetData>
    <row r="1" spans="1:43" ht="15" customHeight="1">
      <c r="A1" s="230">
        <f>'JUNE (물량흐름)'!A1</f>
        <v>0</v>
      </c>
      <c r="B1" s="231"/>
      <c r="C1" s="83"/>
      <c r="D1" s="84"/>
      <c r="E1" s="85"/>
      <c r="F1" s="86"/>
      <c r="G1" s="86"/>
      <c r="H1" s="86"/>
      <c r="I1" s="86"/>
      <c r="J1" s="86"/>
      <c r="K1" s="86"/>
      <c r="L1" s="86"/>
      <c r="M1" s="85"/>
      <c r="N1" s="85"/>
      <c r="O1" s="85"/>
      <c r="P1" s="85"/>
      <c r="Q1" s="86"/>
      <c r="R1" s="86"/>
      <c r="S1" s="86"/>
      <c r="T1" s="86"/>
      <c r="U1" s="86"/>
      <c r="V1" s="86"/>
      <c r="W1" s="86"/>
      <c r="X1" s="86"/>
      <c r="Y1" s="85"/>
      <c r="Z1" s="85"/>
      <c r="AA1" s="85"/>
      <c r="AB1" s="85"/>
      <c r="AC1" s="86"/>
    </row>
    <row r="2" spans="1:43" ht="15" customHeight="1">
      <c r="A2" s="232">
        <f>'JUNE (물량흐름)'!A2</f>
        <v>0</v>
      </c>
      <c r="B2" s="231"/>
      <c r="C2" s="83"/>
      <c r="D2" s="84"/>
      <c r="E2" s="85"/>
      <c r="F2" s="86"/>
      <c r="G2" s="86"/>
      <c r="H2" s="86"/>
      <c r="I2" s="86"/>
      <c r="J2" s="86"/>
      <c r="K2" s="86"/>
      <c r="L2" s="86"/>
      <c r="M2" s="85"/>
      <c r="N2" s="85"/>
      <c r="O2" s="85">
        <f>+L7+P7-X7-U7-AC7</f>
        <v>0</v>
      </c>
      <c r="P2" s="85"/>
      <c r="Q2" s="86"/>
      <c r="R2" s="86"/>
      <c r="S2" s="86"/>
      <c r="T2" s="86"/>
      <c r="U2" s="86"/>
      <c r="V2" s="86"/>
      <c r="W2" s="86"/>
      <c r="X2" s="86"/>
      <c r="Y2" s="85"/>
      <c r="Z2" s="85"/>
      <c r="AA2" s="85"/>
      <c r="AB2" s="85"/>
      <c r="AC2" s="86"/>
    </row>
    <row r="3" spans="1:43" ht="15" customHeight="1">
      <c r="A3" s="232"/>
      <c r="B3" s="231"/>
      <c r="C3" s="83"/>
      <c r="D3" s="84"/>
      <c r="E3" s="85"/>
      <c r="F3" s="86"/>
      <c r="G3" s="86"/>
      <c r="H3" s="86"/>
      <c r="I3" s="86"/>
      <c r="J3" s="86"/>
      <c r="K3" s="86"/>
      <c r="L3" s="86"/>
      <c r="M3" s="85"/>
      <c r="N3" s="85"/>
      <c r="O3" s="85"/>
      <c r="P3" s="85"/>
      <c r="Q3" s="86"/>
      <c r="R3" s="86"/>
      <c r="S3" s="86"/>
      <c r="T3" s="86"/>
      <c r="U3" s="320"/>
      <c r="V3" s="86"/>
      <c r="W3" s="86"/>
      <c r="X3" s="86"/>
      <c r="Y3" s="85"/>
      <c r="Z3" s="85"/>
      <c r="AA3" s="85"/>
      <c r="AB3" s="85"/>
      <c r="AC3" s="168" t="s">
        <v>110</v>
      </c>
    </row>
    <row r="4" spans="1:43" s="289" customFormat="1" ht="20.25" customHeight="1">
      <c r="A4" s="233" t="s">
        <v>114</v>
      </c>
      <c r="B4" s="234"/>
      <c r="C4" s="89"/>
      <c r="D4" s="90"/>
      <c r="E4" s="91"/>
      <c r="F4" s="89"/>
      <c r="G4" s="89"/>
      <c r="H4" s="89"/>
      <c r="I4" s="89"/>
      <c r="J4" s="89"/>
      <c r="K4" s="175"/>
      <c r="L4" s="89"/>
      <c r="M4" s="89"/>
      <c r="N4" s="89"/>
      <c r="O4" s="89"/>
      <c r="P4" s="89"/>
      <c r="Q4" s="89"/>
      <c r="R4" s="89"/>
      <c r="S4" s="89"/>
      <c r="T4" s="88"/>
      <c r="U4" s="89"/>
      <c r="V4" s="89"/>
      <c r="W4" s="613"/>
      <c r="X4" s="613"/>
      <c r="Y4" s="89"/>
      <c r="Z4" s="89"/>
      <c r="AA4" s="89"/>
      <c r="AB4" s="89"/>
      <c r="AC4" s="92"/>
      <c r="AF4" s="290"/>
      <c r="AO4" s="290"/>
    </row>
    <row r="5" spans="1:43" s="289" customFormat="1" ht="15" customHeight="1">
      <c r="A5" s="235"/>
      <c r="B5" s="236"/>
      <c r="C5" s="93"/>
      <c r="D5" s="94"/>
      <c r="E5" s="95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F5" s="290"/>
      <c r="AO5" s="290"/>
    </row>
    <row r="6" spans="1:43" s="291" customFormat="1" ht="15" customHeight="1">
      <c r="A6" s="237"/>
      <c r="B6" s="237"/>
      <c r="C6" s="96"/>
      <c r="D6" s="97"/>
      <c r="E6" s="98"/>
      <c r="F6" s="96"/>
      <c r="G6" s="96"/>
      <c r="H6" s="96"/>
      <c r="I6" s="99"/>
      <c r="J6" s="99"/>
      <c r="K6" s="99"/>
      <c r="L6" s="99"/>
      <c r="M6" s="96"/>
      <c r="N6" s="96"/>
      <c r="O6" s="96"/>
      <c r="P6" s="96"/>
      <c r="Q6" s="96"/>
      <c r="R6" s="96"/>
      <c r="S6" s="96">
        <v>445561</v>
      </c>
      <c r="T6" s="96">
        <f>+S7-S6</f>
        <v>0</v>
      </c>
      <c r="U6" s="96"/>
      <c r="V6" s="96"/>
      <c r="W6" s="96"/>
      <c r="X6" s="96"/>
      <c r="Y6" s="96"/>
      <c r="Z6" s="96"/>
      <c r="AA6" s="96"/>
      <c r="AB6" s="96"/>
      <c r="AC6" s="96"/>
      <c r="AF6" s="292"/>
      <c r="AO6" s="292"/>
    </row>
    <row r="7" spans="1:43" ht="15" customHeight="1">
      <c r="A7" s="232"/>
      <c r="B7" s="231"/>
      <c r="C7" s="83"/>
      <c r="D7" s="100"/>
      <c r="E7" s="101"/>
      <c r="F7" s="344">
        <f t="shared" ref="F7:AC7" si="0">SUBTOTAL(9,F12:F492)</f>
        <v>29157</v>
      </c>
      <c r="G7" s="344">
        <f t="shared" si="0"/>
        <v>77476</v>
      </c>
      <c r="H7" s="344">
        <f t="shared" si="0"/>
        <v>183906</v>
      </c>
      <c r="I7" s="344">
        <f t="shared" si="0"/>
        <v>290539</v>
      </c>
      <c r="J7" s="344">
        <f t="shared" si="0"/>
        <v>2982751877</v>
      </c>
      <c r="K7" s="344">
        <f t="shared" si="0"/>
        <v>5142904789</v>
      </c>
      <c r="L7" s="344">
        <f t="shared" si="0"/>
        <v>8125656666</v>
      </c>
      <c r="M7" s="344">
        <f t="shared" si="0"/>
        <v>482727</v>
      </c>
      <c r="N7" s="344">
        <f t="shared" si="0"/>
        <v>6782821103</v>
      </c>
      <c r="O7" s="344">
        <f t="shared" si="0"/>
        <v>13251858135</v>
      </c>
      <c r="P7" s="344">
        <f t="shared" si="0"/>
        <v>20034679238</v>
      </c>
      <c r="Q7" s="344">
        <f t="shared" si="0"/>
        <v>0</v>
      </c>
      <c r="R7" s="344">
        <f t="shared" si="0"/>
        <v>0</v>
      </c>
      <c r="S7" s="344">
        <f t="shared" si="0"/>
        <v>445561</v>
      </c>
      <c r="T7" s="344">
        <f t="shared" si="0"/>
        <v>605</v>
      </c>
      <c r="U7" s="344">
        <f t="shared" si="0"/>
        <v>28190139</v>
      </c>
      <c r="V7" s="344">
        <f t="shared" si="0"/>
        <v>6260644579</v>
      </c>
      <c r="W7" s="344">
        <f t="shared" si="0"/>
        <v>12031157198</v>
      </c>
      <c r="X7" s="344">
        <f t="shared" si="0"/>
        <v>18291801777</v>
      </c>
      <c r="Y7" s="344">
        <f t="shared" ca="1" si="0"/>
        <v>35663</v>
      </c>
      <c r="Z7" s="344">
        <f t="shared" si="0"/>
        <v>90847</v>
      </c>
      <c r="AA7" s="344">
        <f t="shared" si="0"/>
        <v>200590</v>
      </c>
      <c r="AB7" s="344">
        <f t="shared" ca="1" si="0"/>
        <v>327100</v>
      </c>
      <c r="AC7" s="344">
        <f t="shared" si="0"/>
        <v>9840343988</v>
      </c>
    </row>
    <row r="8" spans="1:43" s="293" customFormat="1" ht="39" customHeight="1">
      <c r="A8" s="594" t="s">
        <v>56</v>
      </c>
      <c r="B8" s="594" t="s">
        <v>51</v>
      </c>
      <c r="C8" s="610" t="s">
        <v>4</v>
      </c>
      <c r="D8" s="102" t="s">
        <v>148</v>
      </c>
      <c r="E8" s="610" t="s">
        <v>55</v>
      </c>
      <c r="F8" s="597" t="s">
        <v>7</v>
      </c>
      <c r="G8" s="598"/>
      <c r="H8" s="598"/>
      <c r="I8" s="598"/>
      <c r="J8" s="598"/>
      <c r="K8" s="598"/>
      <c r="L8" s="599"/>
      <c r="M8" s="603" t="s">
        <v>62</v>
      </c>
      <c r="N8" s="604"/>
      <c r="O8" s="604"/>
      <c r="P8" s="605"/>
      <c r="Q8" s="600" t="s">
        <v>60</v>
      </c>
      <c r="R8" s="602"/>
      <c r="S8" s="597" t="s">
        <v>58</v>
      </c>
      <c r="T8" s="598"/>
      <c r="U8" s="598"/>
      <c r="V8" s="598"/>
      <c r="W8" s="598"/>
      <c r="X8" s="599"/>
      <c r="Y8" s="603" t="s">
        <v>63</v>
      </c>
      <c r="Z8" s="604"/>
      <c r="AA8" s="604"/>
      <c r="AB8" s="604"/>
      <c r="AC8" s="605"/>
      <c r="AF8" s="294"/>
      <c r="AO8" s="294"/>
    </row>
    <row r="9" spans="1:43" s="293" customFormat="1" ht="53.25" customHeight="1">
      <c r="A9" s="595"/>
      <c r="B9" s="595"/>
      <c r="C9" s="611"/>
      <c r="D9" s="103" t="s">
        <v>149</v>
      </c>
      <c r="E9" s="611"/>
      <c r="F9" s="600" t="s">
        <v>57</v>
      </c>
      <c r="G9" s="601"/>
      <c r="H9" s="602"/>
      <c r="I9" s="104" t="s">
        <v>49</v>
      </c>
      <c r="J9" s="106">
        <v>622</v>
      </c>
      <c r="K9" s="106">
        <v>627</v>
      </c>
      <c r="L9" s="106" t="s">
        <v>111</v>
      </c>
      <c r="M9" s="106" t="s">
        <v>112</v>
      </c>
      <c r="N9" s="106">
        <v>622</v>
      </c>
      <c r="O9" s="106">
        <v>627</v>
      </c>
      <c r="P9" s="105" t="s">
        <v>111</v>
      </c>
      <c r="Q9" s="610" t="s">
        <v>112</v>
      </c>
      <c r="R9" s="606" t="s">
        <v>111</v>
      </c>
      <c r="S9" s="606" t="s">
        <v>59</v>
      </c>
      <c r="T9" s="606" t="s">
        <v>50</v>
      </c>
      <c r="U9" s="606" t="s">
        <v>123</v>
      </c>
      <c r="V9" s="106">
        <v>622</v>
      </c>
      <c r="W9" s="106">
        <v>627</v>
      </c>
      <c r="X9" s="105" t="s">
        <v>111</v>
      </c>
      <c r="Y9" s="600" t="s">
        <v>57</v>
      </c>
      <c r="Z9" s="601"/>
      <c r="AA9" s="602"/>
      <c r="AB9" s="606" t="s">
        <v>122</v>
      </c>
      <c r="AC9" s="608" t="s">
        <v>121</v>
      </c>
      <c r="AF9" s="294"/>
      <c r="AO9" s="294"/>
    </row>
    <row r="10" spans="1:43" s="293" customFormat="1" ht="34.5" customHeight="1">
      <c r="A10" s="596"/>
      <c r="B10" s="596"/>
      <c r="C10" s="612"/>
      <c r="D10" s="107"/>
      <c r="E10" s="612"/>
      <c r="F10" s="108" t="s">
        <v>8</v>
      </c>
      <c r="G10" s="108" t="s">
        <v>9</v>
      </c>
      <c r="H10" s="108" t="s">
        <v>151</v>
      </c>
      <c r="I10" s="109"/>
      <c r="J10" s="109"/>
      <c r="K10" s="109"/>
      <c r="L10" s="109"/>
      <c r="M10" s="110"/>
      <c r="N10" s="110"/>
      <c r="O10" s="110"/>
      <c r="P10" s="109"/>
      <c r="Q10" s="612"/>
      <c r="R10" s="607"/>
      <c r="S10" s="607"/>
      <c r="T10" s="607"/>
      <c r="U10" s="607"/>
      <c r="V10" s="109"/>
      <c r="W10" s="109"/>
      <c r="X10" s="109"/>
      <c r="Y10" s="111" t="s">
        <v>8</v>
      </c>
      <c r="Z10" s="111" t="s">
        <v>9</v>
      </c>
      <c r="AA10" s="111" t="s">
        <v>151</v>
      </c>
      <c r="AB10" s="607"/>
      <c r="AC10" s="609"/>
      <c r="AF10" s="294"/>
      <c r="AO10" s="294"/>
    </row>
    <row r="11" spans="1:43" s="295" customFormat="1" ht="12" customHeight="1">
      <c r="A11" s="238">
        <v>1</v>
      </c>
      <c r="B11" s="239">
        <v>2</v>
      </c>
      <c r="C11" s="239">
        <v>3</v>
      </c>
      <c r="D11" s="246">
        <v>4</v>
      </c>
      <c r="E11" s="239">
        <v>5</v>
      </c>
      <c r="F11" s="239">
        <v>6</v>
      </c>
      <c r="G11" s="239">
        <v>7</v>
      </c>
      <c r="H11" s="239">
        <v>8</v>
      </c>
      <c r="I11" s="239">
        <v>9</v>
      </c>
      <c r="J11" s="239">
        <v>10</v>
      </c>
      <c r="K11" s="239">
        <v>11</v>
      </c>
      <c r="L11" s="239">
        <v>12</v>
      </c>
      <c r="M11" s="239">
        <v>13</v>
      </c>
      <c r="N11" s="239">
        <v>14</v>
      </c>
      <c r="O11" s="239">
        <v>15</v>
      </c>
      <c r="P11" s="239">
        <v>16</v>
      </c>
      <c r="Q11" s="239">
        <v>17</v>
      </c>
      <c r="R11" s="239">
        <v>18</v>
      </c>
      <c r="S11" s="239">
        <v>19</v>
      </c>
      <c r="T11" s="239">
        <v>20</v>
      </c>
      <c r="U11" s="239">
        <v>21</v>
      </c>
      <c r="V11" s="239">
        <v>22</v>
      </c>
      <c r="W11" s="239">
        <v>23</v>
      </c>
      <c r="X11" s="239">
        <v>24</v>
      </c>
      <c r="Y11" s="239">
        <v>25</v>
      </c>
      <c r="Z11" s="239">
        <v>26</v>
      </c>
      <c r="AA11" s="239">
        <v>27</v>
      </c>
      <c r="AB11" s="239">
        <v>28</v>
      </c>
      <c r="AC11" s="247">
        <v>29</v>
      </c>
      <c r="AF11" s="296"/>
      <c r="AO11" s="296"/>
    </row>
    <row r="12" spans="1:43" s="384" customFormat="1" ht="18.75" customHeight="1">
      <c r="A12" s="167">
        <v>1</v>
      </c>
      <c r="B12" s="240">
        <f>VLOOKUP(A12,'JUNE (물량흐름)'!$A$13:$C$502,3,0)</f>
        <v>69717</v>
      </c>
      <c r="C12" s="21" t="str">
        <f>VLOOKUP(A12,'JUNE (물량흐름)'!$A$13:$C$502,2,0)</f>
        <v>ALFANI</v>
      </c>
      <c r="D12" s="212">
        <v>2.0699999999999998</v>
      </c>
      <c r="E12" s="6">
        <f>VLOOKUP(B12,'Sales profit (스타일 별 매출이익)'!$D$9:$P$491,13,0)</f>
        <v>46937.25</v>
      </c>
      <c r="F12" s="112">
        <f>IFERROR(VLOOKUP(B12,O.B.JUNE!$N$7:$Q$448,2,0),0)</f>
        <v>906</v>
      </c>
      <c r="G12" s="112">
        <f>IFERROR(VLOOKUP(B12,O.B.JUNE!$N$7:$Q$448,3,0),0)</f>
        <v>1305</v>
      </c>
      <c r="H12" s="112">
        <f>IFERROR(VLOOKUP(B12,O.B.JUNE!$N$7:$Q$448,4,0),0)</f>
        <v>1244</v>
      </c>
      <c r="I12" s="112">
        <f>SUM(F12:H12)</f>
        <v>3455</v>
      </c>
      <c r="J12" s="112">
        <f>IFERROR(VLOOKUP(B12,O.B.JUNE!$AA$7:$AG$448,7,0),0)</f>
        <v>15027404</v>
      </c>
      <c r="K12" s="112">
        <f>IFERROR(VLOOKUP(B12,O.B.JUNE!$AI$7:$AO$448,7,0),0)</f>
        <v>24455195</v>
      </c>
      <c r="L12" s="112">
        <f>ROUND(J12+K12,0)</f>
        <v>39482599</v>
      </c>
      <c r="M12" s="112">
        <f>ROUND(SUMIF('JUNE (물량흐름)'!$C$13:$C$502,'WIP(재공품)'!B12,'JUNE (물량흐름)'!$H$13:$H$502)+SUMIF('JUNE (물량흐름)'!$C$13:$C$502,'WIP(재공품)'!B12,'JUNE (물량흐름)'!$V$13:$V$502),0)</f>
        <v>0</v>
      </c>
      <c r="N12" s="112">
        <f>SUMIF('Direct labour(직접노무비)'!$C$12:$C$503,'WIP(재공품)'!B12,'Direct labour(직접노무비)'!$O$12:$O$503)</f>
        <v>0</v>
      </c>
      <c r="O12" s="112">
        <f>SUMIF('Overhead exp(제조경비)'!$C$12:$C$503,'WIP(재공품)'!B12,'Overhead exp(제조경비)'!$O$12:$O$503)</f>
        <v>0</v>
      </c>
      <c r="P12" s="112">
        <f t="shared" ref="P12" si="1">ROUND(N12+O12,0)</f>
        <v>0</v>
      </c>
      <c r="Q12" s="112">
        <v>0</v>
      </c>
      <c r="R12" s="112">
        <v>0</v>
      </c>
      <c r="S12" s="112">
        <f>SUMIF('JUNE (물량흐름)'!$C$13:$C$493,'WIP(재공품)'!B12,'JUNE (물량흐름)'!$T$13:$T$493)+SUMIF('JUNE (물량흐름)'!$C$13:$C$493,'WIP(재공품)'!B12,'JUNE (물량흐름)'!$U$13:$U$493)+SUMIF('JUNE (물량흐름)'!$C$13:$C$493,'WIP(재공품)'!B12,'JUNE (물량흐름)'!$V$13:$V$493)-SUMIF('JUNE (물량흐름)'!$C$13:$C$493,'WIP(재공품)'!B12,'JUNE (물량흐름)'!$Y$13:$Y$493)</f>
        <v>2500</v>
      </c>
      <c r="T12" s="112">
        <f>SUMIF('JUNE (물량흐름)'!$C$13:$C$502,'WIP(재공품)'!B12,'JUNE (물량흐름)'!$Y$13:$Y$502)+SUMIF('JUNE (물량흐름)'!$C$13:$C$502,'WIP(재공품)'!B12,'JUNE (물량흐름)'!$L$13:$L$502)</f>
        <v>0</v>
      </c>
      <c r="U12" s="167">
        <f>SUMIF('Direct labour(직접노무비)'!$C$12:$C$503,'WIP(재공품)'!B12,'Direct labour(직접노무비)'!$U$12:$U$503)+SUMIF('Overhead exp(제조경비)'!$C$12:$C$503,'WIP(재공품)'!B12,'Overhead exp(제조경비)'!$U$12:$U$503)</f>
        <v>0</v>
      </c>
      <c r="V12" s="112">
        <f>SUMIF('Direct labour(직접노무비)'!$C$12:$C$503,'WIP(재공품)'!B12,'Direct labour(직접노무비)'!$Q$12:$Q$503)</f>
        <v>10873664</v>
      </c>
      <c r="W12" s="112">
        <f>SUMIF('Overhead exp(제조경비)'!$C$12:$C$503,'WIP(재공품)'!B12,'Overhead exp(제조경비)'!$Q$12:$Q$503)</f>
        <v>17695510</v>
      </c>
      <c r="X12" s="112">
        <f>ROUND(V12+W12,0)</f>
        <v>28569174</v>
      </c>
      <c r="Y12" s="112">
        <f ca="1">ROUND(SUMIF('JUNE (물량흐름)'!$C$13:$C$502,'WIP(재공품)'!B12,'JUNE (물량흐름)'!$N$13:$N$488),0)</f>
        <v>0</v>
      </c>
      <c r="Z12" s="112">
        <f>ROUND(SUMIF('JUNE (물량흐름)'!$C$13:$C$502,'WIP(재공품)'!B12,'JUNE (물량흐름)'!$O$13:$O$502),0)</f>
        <v>224</v>
      </c>
      <c r="AA12" s="112">
        <f>ROUND(SUMIF('JUNE (물량흐름)'!$C$13:$C$502,'WIP(재공품)'!B12,'JUNE (물량흐름)'!$P$13:$P$502),0)</f>
        <v>731</v>
      </c>
      <c r="AB12" s="112">
        <f ca="1">ROUND(SUM(Y12:AA12),0)</f>
        <v>955</v>
      </c>
      <c r="AC12" s="112">
        <f>ROUND(L12+P12-X12-U12,0)</f>
        <v>10913425</v>
      </c>
      <c r="AD12" s="381">
        <f ca="1">I12+M12-S12-T12-AB12</f>
        <v>0</v>
      </c>
      <c r="AE12" s="381">
        <f>+L12+P12-X12-U12-AC12</f>
        <v>0</v>
      </c>
      <c r="AF12" s="382"/>
      <c r="AG12" s="382">
        <v>0.3</v>
      </c>
      <c r="AH12" s="383">
        <f>D12-AG12</f>
        <v>1.7699999999999998</v>
      </c>
      <c r="AJ12" s="383"/>
      <c r="AL12" s="385"/>
      <c r="AM12" s="381"/>
      <c r="AN12" s="382"/>
      <c r="AO12" s="382"/>
      <c r="AP12" s="383"/>
      <c r="AQ12" s="383"/>
    </row>
    <row r="13" spans="1:43" s="384" customFormat="1" ht="18.75" customHeight="1">
      <c r="A13" s="167">
        <v>2</v>
      </c>
      <c r="B13" s="240">
        <f>VLOOKUP(A13,'JUNE (물량흐름)'!$A$13:$C$502,3,0)</f>
        <v>73738</v>
      </c>
      <c r="C13" s="21" t="str">
        <f>VLOOKUP(A13,'JUNE (물량흐름)'!$A$13:$C$502,2,0)</f>
        <v>ALFANI</v>
      </c>
      <c r="D13" s="212">
        <v>1.8</v>
      </c>
      <c r="E13" s="6">
        <f>VLOOKUP(B13,'Sales profit (스타일 별 매출이익)'!$D$9:$P$491,13,0)</f>
        <v>40815</v>
      </c>
      <c r="F13" s="112">
        <f>IFERROR(VLOOKUP(B13,O.B.JUNE!$N$7:$Q$448,2,0),0)</f>
        <v>0</v>
      </c>
      <c r="G13" s="112">
        <f>IFERROR(VLOOKUP(B13,O.B.JUNE!$N$7:$Q$448,3,0),0)</f>
        <v>0</v>
      </c>
      <c r="H13" s="112">
        <f>IFERROR(VLOOKUP(B13,O.B.JUNE!$N$7:$Q$448,4,0),0)</f>
        <v>473</v>
      </c>
      <c r="I13" s="112">
        <f t="shared" ref="I13:I76" si="2">SUM(F13:H13)</f>
        <v>473</v>
      </c>
      <c r="J13" s="112">
        <f>IFERROR(VLOOKUP(B13,O.B.JUNE!$AA$7:$AG$448,7,0),0)</f>
        <v>5570974</v>
      </c>
      <c r="K13" s="112">
        <f>IFERROR(VLOOKUP(B13,O.B.JUNE!$AI$7:$AO$448,7,0),0)</f>
        <v>8581603</v>
      </c>
      <c r="L13" s="112">
        <f t="shared" ref="L13:L76" si="3">ROUND(J13+K13,0)</f>
        <v>14152577</v>
      </c>
      <c r="M13" s="112">
        <f>ROUND(SUMIF('JUNE (물량흐름)'!$C$13:$C$502,'WIP(재공품)'!B13,'JUNE (물량흐름)'!$H$13:$H$502)+SUMIF('JUNE (물량흐름)'!$C$13:$C$502,'WIP(재공품)'!B13,'JUNE (물량흐름)'!$V$13:$V$502),0)</f>
        <v>0</v>
      </c>
      <c r="N13" s="112">
        <f>SUMIF('Direct labour(직접노무비)'!$C$12:$C$503,'WIP(재공품)'!B13,'Direct labour(직접노무비)'!$O$12:$O$503)</f>
        <v>0</v>
      </c>
      <c r="O13" s="112">
        <f>SUMIF('Overhead exp(제조경비)'!$C$12:$C$503,'WIP(재공품)'!B13,'Overhead exp(제조경비)'!$O$12:$O$503)</f>
        <v>0</v>
      </c>
      <c r="P13" s="112">
        <f t="shared" ref="P13:P76" si="4">ROUND(N13+O13,0)</f>
        <v>0</v>
      </c>
      <c r="Q13" s="112">
        <v>0</v>
      </c>
      <c r="R13" s="112">
        <v>0</v>
      </c>
      <c r="S13" s="112">
        <f>SUMIF('JUNE (물량흐름)'!$C$13:$C$493,'WIP(재공품)'!B13,'JUNE (물량흐름)'!$T$13:$T$493)+SUMIF('JUNE (물량흐름)'!$C$13:$C$493,'WIP(재공품)'!B13,'JUNE (물량흐름)'!$U$13:$U$493)+SUMIF('JUNE (물량흐름)'!$C$13:$C$493,'WIP(재공품)'!B13,'JUNE (물량흐름)'!$V$13:$V$493)-SUMIF('JUNE (물량흐름)'!$C$13:$C$493,'WIP(재공품)'!B13,'JUNE (물량흐름)'!$Y$13:$Y$493)</f>
        <v>473</v>
      </c>
      <c r="T13" s="112">
        <f>SUMIF('JUNE (물량흐름)'!$C$13:$C$502,'WIP(재공품)'!B13,'JUNE (물량흐름)'!$Y$13:$Y$502)</f>
        <v>0</v>
      </c>
      <c r="U13" s="167">
        <f>SUMIF('Direct labour(직접노무비)'!$C$12:$C$503,'WIP(재공품)'!B13,'Direct labour(직접노무비)'!$U$12:$U$503)+SUMIF('Overhead exp(제조경비)'!$C$12:$C$503,'WIP(재공품)'!B13,'Overhead exp(제조경비)'!$U$12:$U$503)</f>
        <v>0</v>
      </c>
      <c r="V13" s="112">
        <f>SUMIF('Direct labour(직접노무비)'!$C$12:$C$503,'WIP(재공품)'!B13,'Direct labour(직접노무비)'!$Q$12:$Q$503)</f>
        <v>5570974</v>
      </c>
      <c r="W13" s="112">
        <f>SUMIF('Overhead exp(제조경비)'!$C$12:$C$503,'WIP(재공품)'!B13,'Overhead exp(제조경비)'!$Q$12:$Q$503)</f>
        <v>8581603</v>
      </c>
      <c r="X13" s="112">
        <f t="shared" ref="X13:X76" si="5">ROUND(V13+W13,0)</f>
        <v>14152577</v>
      </c>
      <c r="Y13" s="112">
        <f ca="1">ROUND(SUMIF('JUNE (물량흐름)'!$C$13:$C$502,'WIP(재공품)'!B13,'JUNE (물량흐름)'!$N$13:$N$488),0)</f>
        <v>0</v>
      </c>
      <c r="Z13" s="112">
        <f>ROUND(SUMIF('JUNE (물량흐름)'!$C$13:$C$502,'WIP(재공품)'!B13,'JUNE (물량흐름)'!$O$13:$O$502),0)</f>
        <v>0</v>
      </c>
      <c r="AA13" s="112">
        <f>ROUND(SUMIF('JUNE (물량흐름)'!$C$13:$C$502,'WIP(재공품)'!B13,'JUNE (물량흐름)'!$P$13:$P$502),0)</f>
        <v>0</v>
      </c>
      <c r="AB13" s="112">
        <f t="shared" ref="AB13:AB76" ca="1" si="6">ROUND(SUM(Y13:AA13),0)</f>
        <v>0</v>
      </c>
      <c r="AC13" s="112">
        <f t="shared" ref="AC13:AC76" si="7">ROUND(L13+P13-X13-U13,0)</f>
        <v>0</v>
      </c>
      <c r="AD13" s="381">
        <f t="shared" ref="AD13:AD22" ca="1" si="8">I13+M13-S13-T13-AB13</f>
        <v>0</v>
      </c>
      <c r="AE13" s="381">
        <f t="shared" ref="AE13:AE76" si="9">+L13+P13-X13-U13-AC13</f>
        <v>0</v>
      </c>
      <c r="AF13" s="382"/>
      <c r="AG13" s="382">
        <v>0.3</v>
      </c>
      <c r="AH13" s="383">
        <f t="shared" ref="AH13:AH76" si="10">D13-AG13</f>
        <v>1.5</v>
      </c>
      <c r="AJ13" s="383"/>
      <c r="AL13" s="385"/>
      <c r="AM13" s="381"/>
      <c r="AN13" s="382"/>
      <c r="AO13" s="382"/>
      <c r="AP13" s="383"/>
      <c r="AQ13" s="383"/>
    </row>
    <row r="14" spans="1:43" s="384" customFormat="1" ht="18.75" customHeight="1">
      <c r="A14" s="167">
        <v>3</v>
      </c>
      <c r="B14" s="240">
        <f>VLOOKUP(A14,'JUNE (물량흐름)'!$A$13:$C$502,3,0)</f>
        <v>73746</v>
      </c>
      <c r="C14" s="21" t="str">
        <f>VLOOKUP(A14,'JUNE (물량흐름)'!$A$13:$C$502,2,0)</f>
        <v>ALFANI</v>
      </c>
      <c r="D14" s="212">
        <v>0.35</v>
      </c>
      <c r="E14" s="6">
        <f>VLOOKUP(B14,'Sales profit (스타일 별 매출이익)'!$D$9:$P$491,13,0)</f>
        <v>7936.2499999999991</v>
      </c>
      <c r="F14" s="112">
        <f>IFERROR(VLOOKUP(B14,O.B.JUNE!$N$7:$Q$448,2,0),0)</f>
        <v>0</v>
      </c>
      <c r="G14" s="112">
        <f>IFERROR(VLOOKUP(B14,O.B.JUNE!$N$7:$Q$448,3,0),0)</f>
        <v>0</v>
      </c>
      <c r="H14" s="112">
        <f>IFERROR(VLOOKUP(B14,O.B.JUNE!$N$7:$Q$448,4,0),0)</f>
        <v>0</v>
      </c>
      <c r="I14" s="112">
        <f t="shared" si="2"/>
        <v>0</v>
      </c>
      <c r="J14" s="112">
        <f>IFERROR(VLOOKUP(B14,O.B.JUNE!$AA$7:$AG$448,7,0),0)</f>
        <v>0</v>
      </c>
      <c r="K14" s="112">
        <f>IFERROR(VLOOKUP(B14,O.B.JUNE!$AI$7:$AO$448,7,0),0)</f>
        <v>0</v>
      </c>
      <c r="L14" s="112">
        <f t="shared" si="3"/>
        <v>0</v>
      </c>
      <c r="M14" s="112">
        <f>ROUND(SUMIF('JUNE (물량흐름)'!$C$13:$C$502,'WIP(재공품)'!B14,'JUNE (물량흐름)'!$H$13:$H$502)+SUMIF('JUNE (물량흐름)'!$C$13:$C$502,'WIP(재공품)'!B14,'JUNE (물량흐름)'!$V$13:$V$502),0)</f>
        <v>0</v>
      </c>
      <c r="N14" s="112">
        <f>SUMIF('Direct labour(직접노무비)'!$C$12:$C$503,'WIP(재공품)'!B14,'Direct labour(직접노무비)'!$O$12:$O$503)</f>
        <v>0</v>
      </c>
      <c r="O14" s="112">
        <f>SUMIF('Overhead exp(제조경비)'!$C$12:$C$503,'WIP(재공품)'!B14,'Overhead exp(제조경비)'!$O$12:$O$503)</f>
        <v>0</v>
      </c>
      <c r="P14" s="112">
        <f t="shared" si="4"/>
        <v>0</v>
      </c>
      <c r="Q14" s="112">
        <v>0</v>
      </c>
      <c r="R14" s="112">
        <v>0</v>
      </c>
      <c r="S14" s="112">
        <f>SUMIF('JUNE (물량흐름)'!$C$13:$C$493,'WIP(재공품)'!B14,'JUNE (물량흐름)'!$T$13:$T$493)+SUMIF('JUNE (물량흐름)'!$C$13:$C$493,'WIP(재공품)'!B14,'JUNE (물량흐름)'!$U$13:$U$493)+SUMIF('JUNE (물량흐름)'!$C$13:$C$493,'WIP(재공품)'!B14,'JUNE (물량흐름)'!$V$13:$V$493)-SUMIF('JUNE (물량흐름)'!$C$13:$C$493,'WIP(재공품)'!B14,'JUNE (물량흐름)'!$Y$13:$Y$493)</f>
        <v>0</v>
      </c>
      <c r="T14" s="112">
        <f>SUMIF('JUNE (물량흐름)'!$C$13:$C$502,'WIP(재공품)'!B14,'JUNE (물량흐름)'!$Y$13:$Y$502)</f>
        <v>0</v>
      </c>
      <c r="U14" s="167">
        <f>SUMIF('Direct labour(직접노무비)'!$C$12:$C$503,'WIP(재공품)'!B14,'Direct labour(직접노무비)'!$U$12:$U$503)+SUMIF('Overhead exp(제조경비)'!$C$12:$C$503,'WIP(재공품)'!B14,'Overhead exp(제조경비)'!$U$12:$U$503)</f>
        <v>0</v>
      </c>
      <c r="V14" s="112">
        <f>SUMIF('Direct labour(직접노무비)'!$C$12:$C$503,'WIP(재공품)'!B14,'Direct labour(직접노무비)'!$Q$12:$Q$503)</f>
        <v>0</v>
      </c>
      <c r="W14" s="112">
        <f>SUMIF('Overhead exp(제조경비)'!$C$12:$C$503,'WIP(재공품)'!B14,'Overhead exp(제조경비)'!$Q$12:$Q$503)</f>
        <v>0</v>
      </c>
      <c r="X14" s="112">
        <f t="shared" si="5"/>
        <v>0</v>
      </c>
      <c r="Y14" s="112">
        <f ca="1">ROUND(SUMIF('JUNE (물량흐름)'!$C$13:$C$502,'WIP(재공품)'!B14,'JUNE (물량흐름)'!$N$13:$N$488),0)</f>
        <v>0</v>
      </c>
      <c r="Z14" s="112">
        <f>ROUND(SUMIF('JUNE (물량흐름)'!$C$13:$C$502,'WIP(재공품)'!B14,'JUNE (물량흐름)'!$O$13:$O$502),0)</f>
        <v>0</v>
      </c>
      <c r="AA14" s="112">
        <f>ROUND(SUMIF('JUNE (물량흐름)'!$C$13:$C$502,'WIP(재공품)'!B14,'JUNE (물량흐름)'!$P$13:$P$502),0)</f>
        <v>0</v>
      </c>
      <c r="AB14" s="112">
        <f t="shared" ca="1" si="6"/>
        <v>0</v>
      </c>
      <c r="AC14" s="112">
        <f t="shared" si="7"/>
        <v>0</v>
      </c>
      <c r="AD14" s="381">
        <f t="shared" ca="1" si="8"/>
        <v>0</v>
      </c>
      <c r="AE14" s="381">
        <f t="shared" si="9"/>
        <v>0</v>
      </c>
      <c r="AF14" s="382"/>
      <c r="AG14" s="382">
        <v>2</v>
      </c>
      <c r="AH14" s="383">
        <f t="shared" si="10"/>
        <v>-1.65</v>
      </c>
      <c r="AI14" s="383"/>
      <c r="AJ14" s="383"/>
      <c r="AL14" s="385"/>
      <c r="AM14" s="381"/>
      <c r="AN14" s="382"/>
      <c r="AO14" s="382"/>
      <c r="AP14" s="383"/>
      <c r="AQ14" s="383"/>
    </row>
    <row r="15" spans="1:43" s="384" customFormat="1" ht="18.75" customHeight="1">
      <c r="A15" s="167">
        <v>4</v>
      </c>
      <c r="B15" s="240">
        <f>VLOOKUP(A15,'JUNE (물량흐름)'!$A$13:$C$502,3,0)</f>
        <v>74211</v>
      </c>
      <c r="C15" s="21" t="str">
        <f>VLOOKUP(A15,'JUNE (물량흐름)'!$A$13:$C$502,2,0)</f>
        <v>ALFANI</v>
      </c>
      <c r="D15" s="212">
        <v>2</v>
      </c>
      <c r="E15" s="6">
        <f>VLOOKUP(B15,'Sales profit (스타일 별 매출이익)'!$D$9:$P$491,13,0)</f>
        <v>45350</v>
      </c>
      <c r="F15" s="112">
        <f>IFERROR(VLOOKUP(B15,O.B.JUNE!$N$7:$Q$448,2,0),0)</f>
        <v>0</v>
      </c>
      <c r="G15" s="112">
        <f>IFERROR(VLOOKUP(B15,O.B.JUNE!$N$7:$Q$448,3,0),0)</f>
        <v>0</v>
      </c>
      <c r="H15" s="112">
        <f>IFERROR(VLOOKUP(B15,O.B.JUNE!$N$7:$Q$448,4,0),0)</f>
        <v>37</v>
      </c>
      <c r="I15" s="112">
        <f t="shared" si="2"/>
        <v>37</v>
      </c>
      <c r="J15" s="112">
        <f>IFERROR(VLOOKUP(B15,O.B.JUNE!$AA$7:$AG$448,7,0),0)</f>
        <v>263270</v>
      </c>
      <c r="K15" s="112">
        <f>IFERROR(VLOOKUP(B15,O.B.JUNE!$AI$7:$AO$448,7,0),0)</f>
        <v>387617</v>
      </c>
      <c r="L15" s="112">
        <f t="shared" si="3"/>
        <v>650887</v>
      </c>
      <c r="M15" s="112">
        <f>ROUND(SUMIF('JUNE (물량흐름)'!$C$13:$C$502,'WIP(재공품)'!B15,'JUNE (물량흐름)'!$H$13:$H$502)+SUMIF('JUNE (물량흐름)'!$C$13:$C$502,'WIP(재공품)'!B15,'JUNE (물량흐름)'!$V$13:$V$502),0)</f>
        <v>0</v>
      </c>
      <c r="N15" s="112">
        <f>SUMIF('Direct labour(직접노무비)'!$C$12:$C$503,'WIP(재공품)'!B15,'Direct labour(직접노무비)'!$O$12:$O$503)</f>
        <v>0</v>
      </c>
      <c r="O15" s="112">
        <f>SUMIF('Overhead exp(제조경비)'!$C$12:$C$503,'WIP(재공품)'!B15,'Overhead exp(제조경비)'!$O$12:$O$503)</f>
        <v>0</v>
      </c>
      <c r="P15" s="112">
        <f t="shared" si="4"/>
        <v>0</v>
      </c>
      <c r="Q15" s="112">
        <v>0</v>
      </c>
      <c r="R15" s="112">
        <v>0</v>
      </c>
      <c r="S15" s="112">
        <f>SUMIF('JUNE (물량흐름)'!$C$13:$C$493,'WIP(재공품)'!B15,'JUNE (물량흐름)'!$T$13:$T$493)+SUMIF('JUNE (물량흐름)'!$C$13:$C$493,'WIP(재공품)'!B15,'JUNE (물량흐름)'!$U$13:$U$493)+SUMIF('JUNE (물량흐름)'!$C$13:$C$493,'WIP(재공품)'!B15,'JUNE (물량흐름)'!$V$13:$V$493)-SUMIF('JUNE (물량흐름)'!$C$13:$C$493,'WIP(재공품)'!B15,'JUNE (물량흐름)'!$Y$13:$Y$493)</f>
        <v>37</v>
      </c>
      <c r="T15" s="112">
        <f>SUMIF('JUNE (물량흐름)'!$C$13:$C$502,'WIP(재공품)'!B15,'JUNE (물량흐름)'!$Y$13:$Y$502)</f>
        <v>0</v>
      </c>
      <c r="U15" s="167">
        <f>SUMIF('Direct labour(직접노무비)'!$C$12:$C$503,'WIP(재공품)'!B15,'Direct labour(직접노무비)'!$U$12:$U$503)+SUMIF('Overhead exp(제조경비)'!$C$12:$C$503,'WIP(재공품)'!B15,'Overhead exp(제조경비)'!$U$12:$U$503)</f>
        <v>0</v>
      </c>
      <c r="V15" s="112">
        <f>SUMIF('Direct labour(직접노무비)'!$C$12:$C$503,'WIP(재공품)'!B15,'Direct labour(직접노무비)'!$Q$12:$Q$503)</f>
        <v>263270</v>
      </c>
      <c r="W15" s="112">
        <f>SUMIF('Overhead exp(제조경비)'!$C$12:$C$503,'WIP(재공품)'!B15,'Overhead exp(제조경비)'!$Q$12:$Q$503)</f>
        <v>387617</v>
      </c>
      <c r="X15" s="112">
        <f t="shared" si="5"/>
        <v>650887</v>
      </c>
      <c r="Y15" s="112">
        <f ca="1">ROUND(SUMIF('JUNE (물량흐름)'!$C$13:$C$502,'WIP(재공품)'!B15,'JUNE (물량흐름)'!$N$13:$N$488),0)</f>
        <v>0</v>
      </c>
      <c r="Z15" s="112">
        <f>ROUND(SUMIF('JUNE (물량흐름)'!$C$13:$C$502,'WIP(재공품)'!B15,'JUNE (물량흐름)'!$O$13:$O$502),0)</f>
        <v>0</v>
      </c>
      <c r="AA15" s="112">
        <f>ROUND(SUMIF('JUNE (물량흐름)'!$C$13:$C$502,'WIP(재공품)'!B15,'JUNE (물량흐름)'!$P$13:$P$502),0)</f>
        <v>0</v>
      </c>
      <c r="AB15" s="112">
        <f ca="1">ROUND(SUM(Y15:AA15),0)</f>
        <v>0</v>
      </c>
      <c r="AC15" s="112">
        <f t="shared" si="7"/>
        <v>0</v>
      </c>
      <c r="AD15" s="381">
        <f t="shared" ca="1" si="8"/>
        <v>0</v>
      </c>
      <c r="AE15" s="381">
        <f t="shared" si="9"/>
        <v>0</v>
      </c>
      <c r="AF15" s="382"/>
      <c r="AG15" s="382">
        <v>0</v>
      </c>
      <c r="AH15" s="383">
        <f t="shared" si="10"/>
        <v>2</v>
      </c>
      <c r="AJ15" s="383"/>
      <c r="AL15" s="385"/>
      <c r="AM15" s="381"/>
      <c r="AN15" s="382"/>
      <c r="AO15" s="382"/>
      <c r="AP15" s="383"/>
      <c r="AQ15" s="383"/>
    </row>
    <row r="16" spans="1:43" s="384" customFormat="1" ht="18.75" customHeight="1">
      <c r="A16" s="167">
        <v>5</v>
      </c>
      <c r="B16" s="240">
        <f>VLOOKUP(A16,'JUNE (물량흐름)'!$A$13:$C$502,3,0)</f>
        <v>2072</v>
      </c>
      <c r="C16" s="21" t="str">
        <f>VLOOKUP(A16,'JUNE (물량흐름)'!$A$13:$C$502,2,0)</f>
        <v>ALFANI</v>
      </c>
      <c r="D16" s="212">
        <v>1.26</v>
      </c>
      <c r="E16" s="6">
        <f>VLOOKUP(B16,'Sales profit (스타일 별 매출이익)'!$D$9:$P$491,13,0)</f>
        <v>28570.5</v>
      </c>
      <c r="F16" s="112">
        <f>IFERROR(VLOOKUP(B16,O.B.JUNE!$N$7:$Q$448,2,0),0)</f>
        <v>64</v>
      </c>
      <c r="G16" s="112">
        <f>IFERROR(VLOOKUP(B16,O.B.JUNE!$N$7:$Q$448,3,0),0)</f>
        <v>861</v>
      </c>
      <c r="H16" s="112">
        <f>IFERROR(VLOOKUP(B16,O.B.JUNE!$N$7:$Q$448,4,0),0)</f>
        <v>9453</v>
      </c>
      <c r="I16" s="112">
        <f t="shared" si="2"/>
        <v>10378</v>
      </c>
      <c r="J16" s="112">
        <f>IFERROR(VLOOKUP(B16,O.B.JUNE!$AA$7:$AG$448,7,0),0)</f>
        <v>83856048</v>
      </c>
      <c r="K16" s="112">
        <f>IFERROR(VLOOKUP(B16,O.B.JUNE!$AI$7:$AO$448,7,0),0)</f>
        <v>156420337</v>
      </c>
      <c r="L16" s="112">
        <f t="shared" si="3"/>
        <v>240276385</v>
      </c>
      <c r="M16" s="112">
        <f>ROUND(SUMIF('JUNE (물량흐름)'!$C$13:$C$502,'WIP(재공품)'!B16,'JUNE (물량흐름)'!$H$13:$H$502)+SUMIF('JUNE (물량흐름)'!$C$13:$C$502,'WIP(재공품)'!B16,'JUNE (물량흐름)'!$V$13:$V$502),0)</f>
        <v>17463</v>
      </c>
      <c r="N16" s="112">
        <f>SUMIF('Direct labour(직접노무비)'!$C$12:$C$503,'WIP(재공품)'!B16,'Direct labour(직접노무비)'!$O$12:$O$503)</f>
        <v>151927978</v>
      </c>
      <c r="O16" s="112">
        <f>SUMIF('Overhead exp(제조경비)'!$C$12:$C$503,'WIP(재공품)'!B16,'Overhead exp(제조경비)'!$O$12:$O$503)</f>
        <v>296827528</v>
      </c>
      <c r="P16" s="112">
        <f t="shared" si="4"/>
        <v>448755506</v>
      </c>
      <c r="Q16" s="112">
        <v>0</v>
      </c>
      <c r="R16" s="112">
        <v>0</v>
      </c>
      <c r="S16" s="112">
        <f>SUMIF('JUNE (물량흐름)'!$C$13:$C$493,'WIP(재공품)'!B16,'JUNE (물량흐름)'!$T$13:$T$493)+SUMIF('JUNE (물량흐름)'!$C$13:$C$493,'WIP(재공품)'!B16,'JUNE (물량흐름)'!$U$13:$U$493)+SUMIF('JUNE (물량흐름)'!$C$13:$C$493,'WIP(재공품)'!B16,'JUNE (물량흐름)'!$V$13:$V$493)-SUMIF('JUNE (물량흐름)'!$C$13:$C$493,'WIP(재공품)'!B16,'JUNE (물량흐름)'!$Y$13:$Y$493)</f>
        <v>15677</v>
      </c>
      <c r="T16" s="112">
        <f>SUMIF('JUNE (물량흐름)'!$C$13:$C$502,'WIP(재공품)'!B16,'JUNE (물량흐름)'!$Y$13:$Y$502)</f>
        <v>0</v>
      </c>
      <c r="U16" s="167">
        <f>SUMIF('Direct labour(직접노무비)'!$C$12:$C$503,'WIP(재공품)'!B16,'Direct labour(직접노무비)'!$U$12:$U$503)+SUMIF('Overhead exp(제조경비)'!$C$12:$C$503,'WIP(재공품)'!B16,'Overhead exp(제조경비)'!$U$12:$U$503)</f>
        <v>0</v>
      </c>
      <c r="V16" s="112">
        <f>SUMIF('Direct labour(직접노무비)'!$C$12:$C$503,'WIP(재공품)'!B16,'Direct labour(직접노무비)'!$Q$12:$Q$503)</f>
        <v>132767723</v>
      </c>
      <c r="W16" s="112">
        <f>SUMIF('Overhead exp(제조경비)'!$C$12:$C$503,'WIP(재공품)'!B16,'Overhead exp(제조경비)'!$Q$12:$Q$503)</f>
        <v>255219524</v>
      </c>
      <c r="X16" s="112">
        <f t="shared" si="5"/>
        <v>387987247</v>
      </c>
      <c r="Y16" s="112">
        <f ca="1">ROUND(SUMIF('JUNE (물량흐름)'!$C$13:$C$502,'WIP(재공품)'!B16,'JUNE (물량흐름)'!$N$13:$N$488),0)</f>
        <v>50</v>
      </c>
      <c r="Z16" s="112">
        <f>ROUND(SUMIF('JUNE (물량흐름)'!$C$13:$C$502,'WIP(재공품)'!B16,'JUNE (물량흐름)'!$O$13:$O$502),0)</f>
        <v>595</v>
      </c>
      <c r="AA16" s="112">
        <f>ROUND(SUMIF('JUNE (물량흐름)'!$C$13:$C$502,'WIP(재공품)'!B16,'JUNE (물량흐름)'!$P$13:$P$502),0)</f>
        <v>11519</v>
      </c>
      <c r="AB16" s="112">
        <f t="shared" ca="1" si="6"/>
        <v>12164</v>
      </c>
      <c r="AC16" s="112">
        <f t="shared" si="7"/>
        <v>301044644</v>
      </c>
      <c r="AD16" s="381">
        <f t="shared" ca="1" si="8"/>
        <v>0</v>
      </c>
      <c r="AE16" s="381">
        <f t="shared" si="9"/>
        <v>0</v>
      </c>
      <c r="AF16" s="382"/>
      <c r="AG16" s="382">
        <v>0.3</v>
      </c>
      <c r="AH16" s="383">
        <f t="shared" si="10"/>
        <v>0.96</v>
      </c>
      <c r="AJ16" s="383"/>
      <c r="AL16" s="385"/>
      <c r="AM16" s="381"/>
      <c r="AN16" s="382"/>
      <c r="AO16" s="382"/>
      <c r="AP16" s="383"/>
      <c r="AQ16" s="383"/>
    </row>
    <row r="17" spans="1:43" s="384" customFormat="1" ht="18.75" customHeight="1">
      <c r="A17" s="167">
        <v>6</v>
      </c>
      <c r="B17" s="240" t="str">
        <f>VLOOKUP(A17,'JUNE (물량흐름)'!$A$13:$C$502,3,0)</f>
        <v>KPT001611</v>
      </c>
      <c r="C17" s="21" t="str">
        <f>VLOOKUP(A17,'JUNE (물량흐름)'!$A$13:$C$502,2,0)</f>
        <v>J JILL</v>
      </c>
      <c r="D17" s="212">
        <v>1.26</v>
      </c>
      <c r="E17" s="6">
        <f>VLOOKUP(B17,'Sales profit (스타일 별 매출이익)'!$D$9:$P$491,13,0)</f>
        <v>28570.5</v>
      </c>
      <c r="F17" s="112">
        <f>IFERROR(VLOOKUP(B17,O.B.JUNE!$N$7:$Q$448,2,0),0)</f>
        <v>79</v>
      </c>
      <c r="G17" s="112">
        <f>IFERROR(VLOOKUP(B17,O.B.JUNE!$N$7:$Q$448,3,0),0)</f>
        <v>129</v>
      </c>
      <c r="H17" s="112">
        <f>IFERROR(VLOOKUP(B17,O.B.JUNE!$N$7:$Q$448,4,0),0)</f>
        <v>16488</v>
      </c>
      <c r="I17" s="112">
        <f t="shared" si="2"/>
        <v>16696</v>
      </c>
      <c r="J17" s="112">
        <f>IFERROR(VLOOKUP(B17,O.B.JUNE!$AA$7:$AG$448,7,0),0)</f>
        <v>177821244</v>
      </c>
      <c r="K17" s="112">
        <f>IFERROR(VLOOKUP(B17,O.B.JUNE!$AI$7:$AO$448,7,0),0)</f>
        <v>228205061</v>
      </c>
      <c r="L17" s="112">
        <f t="shared" si="3"/>
        <v>406026305</v>
      </c>
      <c r="M17" s="112">
        <f>ROUND(SUMIF('JUNE (물량흐름)'!$C$13:$C$502,'WIP(재공품)'!B17,'JUNE (물량흐름)'!$H$13:$H$502)+SUMIF('JUNE (물량흐름)'!$C$13:$C$502,'WIP(재공품)'!B17,'JUNE (물량흐름)'!$V$13:$V$502),0)</f>
        <v>0</v>
      </c>
      <c r="N17" s="112">
        <f>SUMIF('Direct labour(직접노무비)'!$C$12:$C$503,'WIP(재공품)'!B17,'Direct labour(직접노무비)'!$O$12:$O$503)</f>
        <v>0</v>
      </c>
      <c r="O17" s="112">
        <f>SUMIF('Overhead exp(제조경비)'!$C$12:$C$503,'WIP(재공품)'!B17,'Overhead exp(제조경비)'!$O$12:$O$503)</f>
        <v>0</v>
      </c>
      <c r="P17" s="112">
        <f t="shared" si="4"/>
        <v>0</v>
      </c>
      <c r="Q17" s="112">
        <v>0</v>
      </c>
      <c r="R17" s="112">
        <v>0</v>
      </c>
      <c r="S17" s="112">
        <f>SUMIF('JUNE (물량흐름)'!$C$13:$C$493,'WIP(재공품)'!B17,'JUNE (물량흐름)'!$T$13:$T$493)+SUMIF('JUNE (물량흐름)'!$C$13:$C$493,'WIP(재공품)'!B17,'JUNE (물량흐름)'!$U$13:$U$493)+SUMIF('JUNE (물량흐름)'!$C$13:$C$493,'WIP(재공품)'!B17,'JUNE (물량흐름)'!$V$13:$V$493)-SUMIF('JUNE (물량흐름)'!$C$13:$C$493,'WIP(재공품)'!B17,'JUNE (물량흐름)'!$Y$13:$Y$493)</f>
        <v>0</v>
      </c>
      <c r="T17" s="112">
        <f>SUMIF('JUNE (물량흐름)'!$C$13:$C$502,'WIP(재공품)'!B17,'JUNE (물량흐름)'!$Y$13:$Y$502)</f>
        <v>0</v>
      </c>
      <c r="U17" s="167">
        <f>SUMIF('Direct labour(직접노무비)'!$C$12:$C$503,'WIP(재공품)'!B17,'Direct labour(직접노무비)'!$U$12:$U$503)+SUMIF('Overhead exp(제조경비)'!$C$12:$C$503,'WIP(재공품)'!B17,'Overhead exp(제조경비)'!$U$12:$U$503)</f>
        <v>0</v>
      </c>
      <c r="V17" s="112">
        <f>SUMIF('Direct labour(직접노무비)'!$C$12:$C$503,'WIP(재공품)'!B17,'Direct labour(직접노무비)'!$Q$12:$Q$503)</f>
        <v>0</v>
      </c>
      <c r="W17" s="112">
        <f>SUMIF('Overhead exp(제조경비)'!$C$12:$C$503,'WIP(재공품)'!B17,'Overhead exp(제조경비)'!$Q$12:$Q$503)</f>
        <v>0</v>
      </c>
      <c r="X17" s="112">
        <f t="shared" si="5"/>
        <v>0</v>
      </c>
      <c r="Y17" s="112">
        <f ca="1">ROUND(SUMIF('JUNE (물량흐름)'!$C$13:$C$502,'WIP(재공품)'!B17,'JUNE (물량흐름)'!$N$13:$N$488),0)</f>
        <v>79</v>
      </c>
      <c r="Z17" s="112">
        <f>ROUND(SUMIF('JUNE (물량흐름)'!$C$13:$C$502,'WIP(재공품)'!B17,'JUNE (물량흐름)'!$O$13:$O$502),0)</f>
        <v>129</v>
      </c>
      <c r="AA17" s="112">
        <f>ROUND(SUMIF('JUNE (물량흐름)'!$C$13:$C$502,'WIP(재공품)'!B17,'JUNE (물량흐름)'!$P$13:$P$502),0)</f>
        <v>16488</v>
      </c>
      <c r="AB17" s="112">
        <f t="shared" ca="1" si="6"/>
        <v>16696</v>
      </c>
      <c r="AC17" s="112">
        <f t="shared" si="7"/>
        <v>406026305</v>
      </c>
      <c r="AD17" s="381">
        <f t="shared" ca="1" si="8"/>
        <v>0</v>
      </c>
      <c r="AE17" s="381">
        <f t="shared" si="9"/>
        <v>0</v>
      </c>
      <c r="AF17" s="382"/>
      <c r="AG17" s="382">
        <v>0</v>
      </c>
      <c r="AH17" s="383">
        <f t="shared" si="10"/>
        <v>1.26</v>
      </c>
      <c r="AJ17" s="383"/>
      <c r="AL17" s="385"/>
      <c r="AM17" s="381"/>
      <c r="AN17" s="382"/>
      <c r="AO17" s="382"/>
      <c r="AP17" s="383"/>
      <c r="AQ17" s="383"/>
    </row>
    <row r="18" spans="1:43" s="384" customFormat="1" ht="18.75" customHeight="1">
      <c r="A18" s="167">
        <v>7</v>
      </c>
      <c r="B18" s="240" t="str">
        <f>VLOOKUP(A18,'JUNE (물량흐름)'!$A$13:$C$502,3,0)</f>
        <v>KPT101081</v>
      </c>
      <c r="C18" s="21" t="str">
        <f>VLOOKUP(A18,'JUNE (물량흐름)'!$A$13:$C$502,2,0)</f>
        <v>J JILL</v>
      </c>
      <c r="D18" s="212">
        <v>1.55</v>
      </c>
      <c r="E18" s="6">
        <f>VLOOKUP(B18,'Sales profit (스타일 별 매출이익)'!$D$9:$P$491,13,0)</f>
        <v>35146.25</v>
      </c>
      <c r="F18" s="112">
        <f>IFERROR(VLOOKUP(B18,O.B.JUNE!$N$7:$Q$448,2,0),0)</f>
        <v>230</v>
      </c>
      <c r="G18" s="112">
        <f>IFERROR(VLOOKUP(B18,O.B.JUNE!$N$7:$Q$448,3,0),0)</f>
        <v>328</v>
      </c>
      <c r="H18" s="112">
        <f>IFERROR(VLOOKUP(B18,O.B.JUNE!$N$7:$Q$448,4,0),0)</f>
        <v>2102</v>
      </c>
      <c r="I18" s="112">
        <f t="shared" si="2"/>
        <v>2660</v>
      </c>
      <c r="J18" s="112">
        <f>IFERROR(VLOOKUP(B18,O.B.JUNE!$AA$7:$AG$448,7,0),0)</f>
        <v>22123052</v>
      </c>
      <c r="K18" s="112">
        <f>IFERROR(VLOOKUP(B18,O.B.JUNE!$AI$7:$AO$448,7,0),0)</f>
        <v>40221969</v>
      </c>
      <c r="L18" s="112">
        <f t="shared" si="3"/>
        <v>62345021</v>
      </c>
      <c r="M18" s="112">
        <f>ROUND(SUMIF('JUNE (물량흐름)'!$C$13:$C$502,'WIP(재공품)'!B18,'JUNE (물량흐름)'!$H$13:$H$502)+SUMIF('JUNE (물량흐름)'!$C$13:$C$502,'WIP(재공품)'!B18,'JUNE (물량흐름)'!$V$13:$V$502),0)</f>
        <v>4453</v>
      </c>
      <c r="N18" s="112">
        <f>SUMIF('Direct labour(직접노무비)'!$C$12:$C$503,'WIP(재공품)'!B18,'Direct labour(직접노무비)'!$O$12:$O$503)</f>
        <v>47914127</v>
      </c>
      <c r="O18" s="112">
        <f>SUMIF('Overhead exp(제조경비)'!$C$12:$C$503,'WIP(재공품)'!B18,'Overhead exp(제조경비)'!$O$12:$O$503)</f>
        <v>93611670</v>
      </c>
      <c r="P18" s="112">
        <f t="shared" si="4"/>
        <v>141525797</v>
      </c>
      <c r="Q18" s="112">
        <v>0</v>
      </c>
      <c r="R18" s="112">
        <v>0</v>
      </c>
      <c r="S18" s="112">
        <f>SUMIF('JUNE (물량흐름)'!$C$13:$C$493,'WIP(재공품)'!B18,'JUNE (물량흐름)'!$T$13:$T$493)+SUMIF('JUNE (물량흐름)'!$C$13:$C$493,'WIP(재공품)'!B18,'JUNE (물량흐름)'!$U$13:$U$493)+SUMIF('JUNE (물량흐름)'!$C$13:$C$493,'WIP(재공품)'!B18,'JUNE (물량흐름)'!$V$13:$V$493)-SUMIF('JUNE (물량흐름)'!$C$13:$C$493,'WIP(재공품)'!B18,'JUNE (물량흐름)'!$Y$13:$Y$493)</f>
        <v>4292</v>
      </c>
      <c r="T18" s="112">
        <f>SUMIF('JUNE (물량흐름)'!$C$13:$C$502,'WIP(재공품)'!B18,'JUNE (물량흐름)'!$Y$13:$Y$502)</f>
        <v>0</v>
      </c>
      <c r="U18" s="167">
        <f>SUMIF('Direct labour(직접노무비)'!$C$12:$C$503,'WIP(재공품)'!B18,'Direct labour(직접노무비)'!$U$12:$U$503)+SUMIF('Overhead exp(제조경비)'!$C$12:$C$503,'WIP(재공품)'!B18,'Overhead exp(제조경비)'!$U$12:$U$503)</f>
        <v>0</v>
      </c>
      <c r="V18" s="112">
        <f>SUMIF('Direct labour(직접노무비)'!$C$12:$C$503,'WIP(재공품)'!B18,'Direct labour(직접노무비)'!$Q$12:$Q$503)</f>
        <v>42260589</v>
      </c>
      <c r="W18" s="112">
        <f>SUMIF('Overhead exp(제조경비)'!$C$12:$C$503,'WIP(재공품)'!B18,'Overhead exp(제조경비)'!$Q$12:$Q$503)</f>
        <v>80755515</v>
      </c>
      <c r="X18" s="112">
        <f t="shared" si="5"/>
        <v>123016104</v>
      </c>
      <c r="Y18" s="112">
        <f ca="1">ROUND(SUMIF('JUNE (물량흐름)'!$C$13:$C$502,'WIP(재공품)'!B18,'JUNE (물량흐름)'!$N$13:$N$488),0)</f>
        <v>234</v>
      </c>
      <c r="Z18" s="112">
        <f>ROUND(SUMIF('JUNE (물량흐름)'!$C$13:$C$502,'WIP(재공품)'!B18,'JUNE (물량흐름)'!$O$13:$O$502),0)</f>
        <v>362</v>
      </c>
      <c r="AA18" s="112">
        <f>ROUND(SUMIF('JUNE (물량흐름)'!$C$13:$C$502,'WIP(재공품)'!B18,'JUNE (물량흐름)'!$P$13:$P$502),0)</f>
        <v>2225</v>
      </c>
      <c r="AB18" s="112">
        <f t="shared" ca="1" si="6"/>
        <v>2821</v>
      </c>
      <c r="AC18" s="112">
        <f t="shared" si="7"/>
        <v>80854714</v>
      </c>
      <c r="AD18" s="381">
        <f t="shared" ca="1" si="8"/>
        <v>0</v>
      </c>
      <c r="AE18" s="381">
        <f t="shared" si="9"/>
        <v>0</v>
      </c>
      <c r="AF18" s="382"/>
      <c r="AG18" s="382">
        <v>0</v>
      </c>
      <c r="AH18" s="383">
        <f t="shared" si="10"/>
        <v>1.55</v>
      </c>
      <c r="AJ18" s="383"/>
      <c r="AL18" s="385"/>
      <c r="AM18" s="381"/>
      <c r="AN18" s="382"/>
      <c r="AO18" s="382"/>
      <c r="AP18" s="383"/>
      <c r="AQ18" s="383"/>
    </row>
    <row r="19" spans="1:43" s="384" customFormat="1" ht="18.75" customHeight="1">
      <c r="A19" s="167">
        <v>8</v>
      </c>
      <c r="B19" s="240">
        <f>VLOOKUP(A19,'JUNE (물량흐름)'!$A$13:$C$502,3,0)</f>
        <v>7285</v>
      </c>
      <c r="C19" s="21" t="str">
        <f>VLOOKUP(A19,'JUNE (물량흐름)'!$A$13:$C$502,2,0)</f>
        <v>ALFANI</v>
      </c>
      <c r="D19" s="212">
        <v>1.55</v>
      </c>
      <c r="E19" s="6">
        <f>VLOOKUP(B19,'Sales profit (스타일 별 매출이익)'!$D$9:$P$491,13,0)</f>
        <v>35146.25</v>
      </c>
      <c r="F19" s="112">
        <f>IFERROR(VLOOKUP(B19,O.B.JUNE!$N$7:$Q$448,2,0),0)</f>
        <v>0</v>
      </c>
      <c r="G19" s="112">
        <f>IFERROR(VLOOKUP(B19,O.B.JUNE!$N$7:$Q$448,3,0),0)</f>
        <v>0</v>
      </c>
      <c r="H19" s="112">
        <f>IFERROR(VLOOKUP(B19,O.B.JUNE!$N$7:$Q$448,4,0),0)</f>
        <v>32</v>
      </c>
      <c r="I19" s="112">
        <f t="shared" si="2"/>
        <v>32</v>
      </c>
      <c r="J19" s="112">
        <f>IFERROR(VLOOKUP(B19,O.B.JUNE!$AA$7:$AG$448,7,0),0)</f>
        <v>569868</v>
      </c>
      <c r="K19" s="112">
        <f>IFERROR(VLOOKUP(B19,O.B.JUNE!$AI$7:$AO$448,7,0),0)</f>
        <v>785952</v>
      </c>
      <c r="L19" s="112">
        <f t="shared" si="3"/>
        <v>1355820</v>
      </c>
      <c r="M19" s="112">
        <f>ROUND(SUMIF('JUNE (물량흐름)'!$C$13:$C$502,'WIP(재공품)'!B19,'JUNE (물량흐름)'!$H$13:$H$502)+SUMIF('JUNE (물량흐름)'!$C$13:$C$502,'WIP(재공품)'!B19,'JUNE (물량흐름)'!$V$13:$V$502),0)</f>
        <v>0</v>
      </c>
      <c r="N19" s="112">
        <f>SUMIF('Direct labour(직접노무비)'!$C$12:$C$503,'WIP(재공품)'!B19,'Direct labour(직접노무비)'!$O$12:$O$503)</f>
        <v>0</v>
      </c>
      <c r="O19" s="112">
        <f>SUMIF('Overhead exp(제조경비)'!$C$12:$C$503,'WIP(재공품)'!B19,'Overhead exp(제조경비)'!$O$12:$O$503)</f>
        <v>0</v>
      </c>
      <c r="P19" s="112">
        <f t="shared" si="4"/>
        <v>0</v>
      </c>
      <c r="Q19" s="112">
        <v>0</v>
      </c>
      <c r="R19" s="112">
        <v>0</v>
      </c>
      <c r="S19" s="112">
        <f>SUMIF('JUNE (물량흐름)'!$C$13:$C$493,'WIP(재공품)'!B19,'JUNE (물량흐름)'!$T$13:$T$493)+SUMIF('JUNE (물량흐름)'!$C$13:$C$493,'WIP(재공품)'!B19,'JUNE (물량흐름)'!$U$13:$U$493)+SUMIF('JUNE (물량흐름)'!$C$13:$C$493,'WIP(재공품)'!B19,'JUNE (물량흐름)'!$V$13:$V$493)-SUMIF('JUNE (물량흐름)'!$C$13:$C$493,'WIP(재공품)'!B19,'JUNE (물량흐름)'!$Y$13:$Y$493)</f>
        <v>32</v>
      </c>
      <c r="T19" s="112">
        <f>SUMIF('JUNE (물량흐름)'!$C$13:$C$502,'WIP(재공품)'!B19,'JUNE (물량흐름)'!$Y$13:$Y$502)</f>
        <v>0</v>
      </c>
      <c r="U19" s="167">
        <f>SUMIF('Direct labour(직접노무비)'!$C$12:$C$503,'WIP(재공품)'!B19,'Direct labour(직접노무비)'!$U$12:$U$503)+SUMIF('Overhead exp(제조경비)'!$C$12:$C$503,'WIP(재공품)'!B19,'Overhead exp(제조경비)'!$U$12:$U$503)</f>
        <v>0</v>
      </c>
      <c r="V19" s="112">
        <f>SUMIF('Direct labour(직접노무비)'!$C$12:$C$503,'WIP(재공품)'!B19,'Direct labour(직접노무비)'!$Q$12:$Q$503)</f>
        <v>569868</v>
      </c>
      <c r="W19" s="112">
        <f>SUMIF('Overhead exp(제조경비)'!$C$12:$C$503,'WIP(재공품)'!B19,'Overhead exp(제조경비)'!$Q$12:$Q$503)</f>
        <v>785952</v>
      </c>
      <c r="X19" s="112">
        <f t="shared" si="5"/>
        <v>1355820</v>
      </c>
      <c r="Y19" s="112">
        <f ca="1">ROUND(SUMIF('JUNE (물량흐름)'!$C$13:$C$502,'WIP(재공품)'!B19,'JUNE (물량흐름)'!$N$13:$N$488),0)</f>
        <v>0</v>
      </c>
      <c r="Z19" s="112">
        <f>ROUND(SUMIF('JUNE (물량흐름)'!$C$13:$C$502,'WIP(재공품)'!B19,'JUNE (물량흐름)'!$O$13:$O$502),0)</f>
        <v>0</v>
      </c>
      <c r="AA19" s="112">
        <f>ROUND(SUMIF('JUNE (물량흐름)'!$C$13:$C$502,'WIP(재공품)'!B19,'JUNE (물량흐름)'!$P$13:$P$502),0)</f>
        <v>0</v>
      </c>
      <c r="AB19" s="112">
        <f t="shared" ca="1" si="6"/>
        <v>0</v>
      </c>
      <c r="AC19" s="112">
        <f t="shared" si="7"/>
        <v>0</v>
      </c>
      <c r="AD19" s="381">
        <f t="shared" ca="1" si="8"/>
        <v>0</v>
      </c>
      <c r="AE19" s="381">
        <f t="shared" si="9"/>
        <v>0</v>
      </c>
      <c r="AF19" s="382"/>
      <c r="AG19" s="382">
        <v>0</v>
      </c>
      <c r="AH19" s="383">
        <f t="shared" si="10"/>
        <v>1.55</v>
      </c>
      <c r="AJ19" s="383"/>
      <c r="AL19" s="385"/>
      <c r="AM19" s="381"/>
      <c r="AN19" s="382"/>
      <c r="AO19" s="382"/>
      <c r="AP19" s="383"/>
      <c r="AQ19" s="383"/>
    </row>
    <row r="20" spans="1:43" s="384" customFormat="1" ht="18.75" customHeight="1">
      <c r="A20" s="167">
        <v>9</v>
      </c>
      <c r="B20" s="240">
        <f>VLOOKUP(A20,'JUNE (물량흐름)'!$A$13:$C$502,3,0)</f>
        <v>100004407</v>
      </c>
      <c r="C20" s="21" t="str">
        <f>VLOOKUP(A20,'JUNE (물량흐름)'!$A$13:$C$502,2,0)</f>
        <v>ALFANI</v>
      </c>
      <c r="D20" s="212">
        <v>0.35</v>
      </c>
      <c r="E20" s="6">
        <f>VLOOKUP(B20,'Sales profit (스타일 별 매출이익)'!$D$9:$P$491,13,0)</f>
        <v>7936.2499999999991</v>
      </c>
      <c r="F20" s="112">
        <f>IFERROR(VLOOKUP(B20,O.B.JUNE!$N$7:$Q$448,2,0),0)</f>
        <v>0</v>
      </c>
      <c r="G20" s="112">
        <f>IFERROR(VLOOKUP(B20,O.B.JUNE!$N$7:$Q$448,3,0),0)</f>
        <v>116</v>
      </c>
      <c r="H20" s="112">
        <f>IFERROR(VLOOKUP(B20,O.B.JUNE!$N$7:$Q$448,4,0),0)</f>
        <v>189</v>
      </c>
      <c r="I20" s="112">
        <f t="shared" si="2"/>
        <v>305</v>
      </c>
      <c r="J20" s="112">
        <f>IFERROR(VLOOKUP(B20,O.B.JUNE!$AA$7:$AG$448,7,0),0)</f>
        <v>1959476</v>
      </c>
      <c r="K20" s="112">
        <f>IFERROR(VLOOKUP(B20,O.B.JUNE!$AI$7:$AO$448,7,0),0)</f>
        <v>3309575</v>
      </c>
      <c r="L20" s="112">
        <f t="shared" si="3"/>
        <v>5269051</v>
      </c>
      <c r="M20" s="112">
        <f>ROUND(SUMIF('JUNE (물량흐름)'!$C$13:$C$502,'WIP(재공품)'!B20,'JUNE (물량흐름)'!$H$13:$H$502)+SUMIF('JUNE (물량흐름)'!$C$13:$C$502,'WIP(재공품)'!B20,'JUNE (물량흐름)'!$V$13:$V$502),0)</f>
        <v>0</v>
      </c>
      <c r="N20" s="112">
        <f>SUMIF('Direct labour(직접노무비)'!$C$12:$C$503,'WIP(재공품)'!B20,'Direct labour(직접노무비)'!$O$12:$O$503)</f>
        <v>0</v>
      </c>
      <c r="O20" s="112">
        <f>SUMIF('Overhead exp(제조경비)'!$C$12:$C$503,'WIP(재공품)'!B20,'Overhead exp(제조경비)'!$O$12:$O$503)</f>
        <v>0</v>
      </c>
      <c r="P20" s="112">
        <f t="shared" si="4"/>
        <v>0</v>
      </c>
      <c r="Q20" s="112">
        <v>0</v>
      </c>
      <c r="R20" s="112">
        <v>0</v>
      </c>
      <c r="S20" s="112">
        <f>SUMIF('JUNE (물량흐름)'!$C$13:$C$493,'WIP(재공품)'!B20,'JUNE (물량흐름)'!$T$13:$T$493)+SUMIF('JUNE (물량흐름)'!$C$13:$C$493,'WIP(재공품)'!B20,'JUNE (물량흐름)'!$U$13:$U$493)+SUMIF('JUNE (물량흐름)'!$C$13:$C$493,'WIP(재공품)'!B20,'JUNE (물량흐름)'!$V$13:$V$493)-SUMIF('JUNE (물량흐름)'!$C$13:$C$493,'WIP(재공품)'!B20,'JUNE (물량흐름)'!$Y$13:$Y$493)</f>
        <v>0</v>
      </c>
      <c r="T20" s="112">
        <f>SUMIF('JUNE (물량흐름)'!$C$13:$C$502,'WIP(재공품)'!B20,'JUNE (물량흐름)'!$Y$13:$Y$502)</f>
        <v>0</v>
      </c>
      <c r="U20" s="167">
        <f>SUMIF('Direct labour(직접노무비)'!$C$12:$C$503,'WIP(재공품)'!B20,'Direct labour(직접노무비)'!$U$12:$U$503)+SUMIF('Overhead exp(제조경비)'!$C$12:$C$503,'WIP(재공품)'!B20,'Overhead exp(제조경비)'!$U$12:$U$503)</f>
        <v>0</v>
      </c>
      <c r="V20" s="112">
        <f>SUMIF('Direct labour(직접노무비)'!$C$12:$C$503,'WIP(재공품)'!B20,'Direct labour(직접노무비)'!$Q$12:$Q$503)</f>
        <v>0</v>
      </c>
      <c r="W20" s="112">
        <f>SUMIF('Overhead exp(제조경비)'!$C$12:$C$503,'WIP(재공품)'!B20,'Overhead exp(제조경비)'!$Q$12:$Q$503)</f>
        <v>0</v>
      </c>
      <c r="X20" s="112">
        <f t="shared" si="5"/>
        <v>0</v>
      </c>
      <c r="Y20" s="112">
        <f ca="1">ROUND(SUMIF('JUNE (물량흐름)'!$C$13:$C$502,'WIP(재공품)'!B20,'JUNE (물량흐름)'!$N$13:$N$488),0)</f>
        <v>0</v>
      </c>
      <c r="Z20" s="112">
        <f>ROUND(SUMIF('JUNE (물량흐름)'!$C$13:$C$502,'WIP(재공품)'!B20,'JUNE (물량흐름)'!$O$13:$O$502),0)</f>
        <v>116</v>
      </c>
      <c r="AA20" s="112">
        <f>ROUND(SUMIF('JUNE (물량흐름)'!$C$13:$C$502,'WIP(재공품)'!B20,'JUNE (물량흐름)'!$P$13:$P$502),0)</f>
        <v>189</v>
      </c>
      <c r="AB20" s="112">
        <f t="shared" ca="1" si="6"/>
        <v>305</v>
      </c>
      <c r="AC20" s="112">
        <f t="shared" si="7"/>
        <v>5269051</v>
      </c>
      <c r="AD20" s="381">
        <f t="shared" ca="1" si="8"/>
        <v>0</v>
      </c>
      <c r="AE20" s="381">
        <f t="shared" si="9"/>
        <v>0</v>
      </c>
      <c r="AF20" s="382"/>
      <c r="AG20" s="382">
        <v>1.02</v>
      </c>
      <c r="AH20" s="383">
        <f t="shared" si="10"/>
        <v>-0.67</v>
      </c>
      <c r="AI20" s="383"/>
      <c r="AJ20" s="383"/>
      <c r="AL20" s="385"/>
      <c r="AM20" s="381"/>
      <c r="AN20" s="382"/>
      <c r="AO20" s="382"/>
      <c r="AP20" s="383"/>
      <c r="AQ20" s="383"/>
    </row>
    <row r="21" spans="1:43" s="384" customFormat="1" ht="18.75" customHeight="1">
      <c r="A21" s="167">
        <v>10</v>
      </c>
      <c r="B21" s="240">
        <f>VLOOKUP(A21,'JUNE (물량흐름)'!$A$13:$C$502,3,0)</f>
        <v>446749</v>
      </c>
      <c r="C21" s="21" t="str">
        <f>VLOOKUP(A21,'JUNE (물량흐름)'!$A$13:$C$502,2,0)</f>
        <v>ANN TAYLOR</v>
      </c>
      <c r="D21" s="212">
        <v>0.35</v>
      </c>
      <c r="E21" s="6">
        <f>VLOOKUP(B21,'Sales profit (스타일 별 매출이익)'!$D$9:$P$491,13,0)</f>
        <v>7936.2499999999991</v>
      </c>
      <c r="F21" s="112">
        <f>IFERROR(VLOOKUP(B21,O.B.JUNE!$N$7:$Q$448,2,0),0)</f>
        <v>0</v>
      </c>
      <c r="G21" s="112">
        <f>IFERROR(VLOOKUP(B21,O.B.JUNE!$N$7:$Q$448,3,0),0)</f>
        <v>0</v>
      </c>
      <c r="H21" s="112">
        <f>IFERROR(VLOOKUP(B21,O.B.JUNE!$N$7:$Q$448,4,0),0)</f>
        <v>165</v>
      </c>
      <c r="I21" s="112">
        <f t="shared" si="2"/>
        <v>165</v>
      </c>
      <c r="J21" s="112">
        <f>IFERROR(VLOOKUP(B21,O.B.JUNE!$AA$7:$AG$448,7,0),0)</f>
        <v>2743703</v>
      </c>
      <c r="K21" s="112">
        <f>IFERROR(VLOOKUP(B21,O.B.JUNE!$AI$7:$AO$448,7,0),0)</f>
        <v>4512890</v>
      </c>
      <c r="L21" s="112">
        <f t="shared" si="3"/>
        <v>7256593</v>
      </c>
      <c r="M21" s="112">
        <f>ROUND(SUMIF('JUNE (물량흐름)'!$C$13:$C$502,'WIP(재공품)'!B21,'JUNE (물량흐름)'!$H$13:$H$502)+SUMIF('JUNE (물량흐름)'!$C$13:$C$502,'WIP(재공품)'!B21,'JUNE (물량흐름)'!$V$13:$V$502),0)</f>
        <v>0</v>
      </c>
      <c r="N21" s="112">
        <f>SUMIF('Direct labour(직접노무비)'!$C$12:$C$503,'WIP(재공품)'!B21,'Direct labour(직접노무비)'!$O$12:$O$503)</f>
        <v>0</v>
      </c>
      <c r="O21" s="112">
        <f>SUMIF('Overhead exp(제조경비)'!$C$12:$C$503,'WIP(재공품)'!B21,'Overhead exp(제조경비)'!$O$12:$O$503)</f>
        <v>0</v>
      </c>
      <c r="P21" s="112">
        <f t="shared" si="4"/>
        <v>0</v>
      </c>
      <c r="Q21" s="112">
        <v>0</v>
      </c>
      <c r="R21" s="112">
        <v>0</v>
      </c>
      <c r="S21" s="112">
        <f>SUMIF('JUNE (물량흐름)'!$C$13:$C$493,'WIP(재공품)'!B21,'JUNE (물량흐름)'!$T$13:$T$493)+SUMIF('JUNE (물량흐름)'!$C$13:$C$493,'WIP(재공품)'!B21,'JUNE (물량흐름)'!$U$13:$U$493)+SUMIF('JUNE (물량흐름)'!$C$13:$C$493,'WIP(재공품)'!B21,'JUNE (물량흐름)'!$V$13:$V$493)-SUMIF('JUNE (물량흐름)'!$C$13:$C$493,'WIP(재공품)'!B21,'JUNE (물량흐름)'!$Y$13:$Y$493)</f>
        <v>165</v>
      </c>
      <c r="T21" s="112">
        <f>SUMIF('JUNE (물량흐름)'!$C$13:$C$502,'WIP(재공품)'!B21,'JUNE (물량흐름)'!$Y$13:$Y$502)</f>
        <v>0</v>
      </c>
      <c r="U21" s="167">
        <f>SUMIF('Direct labour(직접노무비)'!$C$12:$C$503,'WIP(재공품)'!B21,'Direct labour(직접노무비)'!$U$12:$U$503)+SUMIF('Overhead exp(제조경비)'!$C$12:$C$503,'WIP(재공품)'!B21,'Overhead exp(제조경비)'!$U$12:$U$503)</f>
        <v>0</v>
      </c>
      <c r="V21" s="112">
        <f>SUMIF('Direct labour(직접노무비)'!$C$12:$C$503,'WIP(재공품)'!B21,'Direct labour(직접노무비)'!$Q$12:$Q$503)</f>
        <v>2743703</v>
      </c>
      <c r="W21" s="112">
        <f>SUMIF('Overhead exp(제조경비)'!$C$12:$C$503,'WIP(재공품)'!B21,'Overhead exp(제조경비)'!$Q$12:$Q$503)</f>
        <v>4512890</v>
      </c>
      <c r="X21" s="112">
        <f t="shared" si="5"/>
        <v>7256593</v>
      </c>
      <c r="Y21" s="112">
        <f ca="1">ROUND(SUMIF('JUNE (물량흐름)'!$C$13:$C$502,'WIP(재공품)'!B21,'JUNE (물량흐름)'!$N$13:$N$488),0)</f>
        <v>0</v>
      </c>
      <c r="Z21" s="112">
        <f>ROUND(SUMIF('JUNE (물량흐름)'!$C$13:$C$502,'WIP(재공품)'!B21,'JUNE (물량흐름)'!$O$13:$O$502),0)</f>
        <v>0</v>
      </c>
      <c r="AA21" s="112">
        <f>ROUND(SUMIF('JUNE (물량흐름)'!$C$13:$C$502,'WIP(재공품)'!B21,'JUNE (물량흐름)'!$P$13:$P$502),0)</f>
        <v>0</v>
      </c>
      <c r="AB21" s="112">
        <f t="shared" ca="1" si="6"/>
        <v>0</v>
      </c>
      <c r="AC21" s="112">
        <f t="shared" si="7"/>
        <v>0</v>
      </c>
      <c r="AD21" s="381">
        <f t="shared" ca="1" si="8"/>
        <v>0</v>
      </c>
      <c r="AE21" s="381">
        <f t="shared" si="9"/>
        <v>0</v>
      </c>
      <c r="AF21" s="382"/>
      <c r="AG21" s="382">
        <v>0.3</v>
      </c>
      <c r="AH21" s="383">
        <f t="shared" si="10"/>
        <v>4.9999999999999989E-2</v>
      </c>
      <c r="AJ21" s="383"/>
      <c r="AL21" s="385"/>
      <c r="AM21" s="381"/>
      <c r="AN21" s="382"/>
      <c r="AO21" s="382"/>
      <c r="AP21" s="383"/>
      <c r="AQ21" s="383"/>
    </row>
    <row r="22" spans="1:43" s="384" customFormat="1" ht="18.75" customHeight="1">
      <c r="A22" s="167">
        <v>11</v>
      </c>
      <c r="B22" s="240">
        <f>VLOOKUP(A22,'JUNE (물량흐름)'!$A$13:$C$502,3,0)</f>
        <v>446053</v>
      </c>
      <c r="C22" s="21" t="str">
        <f>VLOOKUP(A22,'JUNE (물량흐름)'!$A$13:$C$502,2,0)</f>
        <v>ANN TAYLOR</v>
      </c>
      <c r="D22" s="212">
        <v>1.8</v>
      </c>
      <c r="E22" s="6">
        <f>VLOOKUP(B22,'Sales profit (스타일 별 매출이익)'!$D$9:$P$491,13,0)</f>
        <v>40815</v>
      </c>
      <c r="F22" s="112">
        <f>IFERROR(VLOOKUP(B22,O.B.JUNE!$N$7:$Q$448,2,0),0)</f>
        <v>0</v>
      </c>
      <c r="G22" s="112">
        <f>IFERROR(VLOOKUP(B22,O.B.JUNE!$N$7:$Q$448,3,0),0)</f>
        <v>0</v>
      </c>
      <c r="H22" s="112">
        <f>IFERROR(VLOOKUP(B22,O.B.JUNE!$N$7:$Q$448,4,0),0)</f>
        <v>63</v>
      </c>
      <c r="I22" s="112">
        <f t="shared" si="2"/>
        <v>63</v>
      </c>
      <c r="J22" s="112">
        <f>IFERROR(VLOOKUP(B22,O.B.JUNE!$AA$7:$AG$448,7,0),0)</f>
        <v>433160</v>
      </c>
      <c r="K22" s="112">
        <f>IFERROR(VLOOKUP(B22,O.B.JUNE!$AI$7:$AO$448,7,0),0)</f>
        <v>712469</v>
      </c>
      <c r="L22" s="112">
        <f t="shared" si="3"/>
        <v>1145629</v>
      </c>
      <c r="M22" s="112">
        <f>ROUND(SUMIF('JUNE (물량흐름)'!$C$13:$C$502,'WIP(재공품)'!B22,'JUNE (물량흐름)'!$H$13:$H$502)+SUMIF('JUNE (물량흐름)'!$C$13:$C$502,'WIP(재공품)'!B22,'JUNE (물량흐름)'!$V$13:$V$502),0)</f>
        <v>0</v>
      </c>
      <c r="N22" s="112">
        <f>SUMIF('Direct labour(직접노무비)'!$C$12:$C$503,'WIP(재공품)'!B22,'Direct labour(직접노무비)'!$O$12:$O$503)</f>
        <v>0</v>
      </c>
      <c r="O22" s="112">
        <f>SUMIF('Overhead exp(제조경비)'!$C$12:$C$503,'WIP(재공품)'!B22,'Overhead exp(제조경비)'!$O$12:$O$503)</f>
        <v>0</v>
      </c>
      <c r="P22" s="112">
        <f t="shared" si="4"/>
        <v>0</v>
      </c>
      <c r="Q22" s="112">
        <v>0</v>
      </c>
      <c r="R22" s="112">
        <v>0</v>
      </c>
      <c r="S22" s="112">
        <f>SUMIF('JUNE (물량흐름)'!$C$13:$C$493,'WIP(재공품)'!B22,'JUNE (물량흐름)'!$T$13:$T$493)+SUMIF('JUNE (물량흐름)'!$C$13:$C$493,'WIP(재공품)'!B22,'JUNE (물량흐름)'!$U$13:$U$493)+SUMIF('JUNE (물량흐름)'!$C$13:$C$493,'WIP(재공품)'!B22,'JUNE (물량흐름)'!$V$13:$V$493)-SUMIF('JUNE (물량흐름)'!$C$13:$C$493,'WIP(재공품)'!B22,'JUNE (물량흐름)'!$Y$13:$Y$493)</f>
        <v>63</v>
      </c>
      <c r="T22" s="112">
        <f>SUMIF('JUNE (물량흐름)'!$C$13:$C$502,'WIP(재공품)'!B22,'JUNE (물량흐름)'!$Y$13:$Y$502)</f>
        <v>0</v>
      </c>
      <c r="U22" s="167">
        <f>SUMIF('Direct labour(직접노무비)'!$C$12:$C$503,'WIP(재공품)'!B22,'Direct labour(직접노무비)'!$U$12:$U$503)+SUMIF('Overhead exp(제조경비)'!$C$12:$C$503,'WIP(재공품)'!B22,'Overhead exp(제조경비)'!$U$12:$U$503)</f>
        <v>0</v>
      </c>
      <c r="V22" s="112">
        <f>SUMIF('Direct labour(직접노무비)'!$C$12:$C$503,'WIP(재공품)'!B22,'Direct labour(직접노무비)'!$Q$12:$Q$503)</f>
        <v>433160</v>
      </c>
      <c r="W22" s="112">
        <f>SUMIF('Overhead exp(제조경비)'!$C$12:$C$503,'WIP(재공품)'!B22,'Overhead exp(제조경비)'!$Q$12:$Q$503)</f>
        <v>712469</v>
      </c>
      <c r="X22" s="112">
        <f t="shared" si="5"/>
        <v>1145629</v>
      </c>
      <c r="Y22" s="112">
        <f ca="1">ROUND(SUMIF('JUNE (물량흐름)'!$C$13:$C$502,'WIP(재공품)'!B22,'JUNE (물량흐름)'!$N$13:$N$488),0)</f>
        <v>0</v>
      </c>
      <c r="Z22" s="112">
        <f>ROUND(SUMIF('JUNE (물량흐름)'!$C$13:$C$502,'WIP(재공품)'!B22,'JUNE (물량흐름)'!$O$13:$O$502),0)</f>
        <v>0</v>
      </c>
      <c r="AA22" s="112">
        <f>ROUND(SUMIF('JUNE (물량흐름)'!$C$13:$C$502,'WIP(재공품)'!B22,'JUNE (물량흐름)'!$P$13:$P$502),0)</f>
        <v>0</v>
      </c>
      <c r="AB22" s="112">
        <f t="shared" ca="1" si="6"/>
        <v>0</v>
      </c>
      <c r="AC22" s="112">
        <f t="shared" si="7"/>
        <v>0</v>
      </c>
      <c r="AD22" s="381">
        <f t="shared" ca="1" si="8"/>
        <v>0</v>
      </c>
      <c r="AE22" s="381">
        <f t="shared" si="9"/>
        <v>0</v>
      </c>
      <c r="AF22" s="382"/>
      <c r="AG22" s="382">
        <v>1.4000000000000001</v>
      </c>
      <c r="AH22" s="383">
        <f t="shared" si="10"/>
        <v>0.39999999999999991</v>
      </c>
      <c r="AI22" s="383"/>
      <c r="AJ22" s="383"/>
      <c r="AL22" s="385"/>
      <c r="AM22" s="381"/>
      <c r="AN22" s="382"/>
      <c r="AO22" s="382"/>
      <c r="AP22" s="383"/>
      <c r="AQ22" s="383"/>
    </row>
    <row r="23" spans="1:43" s="384" customFormat="1" ht="18.75" customHeight="1">
      <c r="A23" s="167">
        <v>12</v>
      </c>
      <c r="B23" s="240">
        <f>VLOOKUP(A23,'JUNE (물량흐름)'!$A$13:$C$502,3,0)</f>
        <v>100004405</v>
      </c>
      <c r="C23" s="21" t="str">
        <f>VLOOKUP(A23,'JUNE (물량흐름)'!$A$13:$C$502,2,0)</f>
        <v>ALFANI</v>
      </c>
      <c r="D23" s="212">
        <v>0.35</v>
      </c>
      <c r="E23" s="6">
        <f>VLOOKUP(B23,'Sales profit (스타일 별 매출이익)'!$D$9:$P$491,13,0)</f>
        <v>7936.2499999999991</v>
      </c>
      <c r="F23" s="112">
        <f>IFERROR(VLOOKUP(B23,O.B.JUNE!$N$7:$Q$448,2,0),0)</f>
        <v>0</v>
      </c>
      <c r="G23" s="112">
        <f>IFERROR(VLOOKUP(B23,O.B.JUNE!$N$7:$Q$448,3,0),0)</f>
        <v>0</v>
      </c>
      <c r="H23" s="112">
        <f>IFERROR(VLOOKUP(B23,O.B.JUNE!$N$7:$Q$448,4,0),0)</f>
        <v>79</v>
      </c>
      <c r="I23" s="112">
        <f t="shared" si="2"/>
        <v>79</v>
      </c>
      <c r="J23" s="112">
        <f>IFERROR(VLOOKUP(B23,O.B.JUNE!$AA$7:$AG$448,7,0),0)</f>
        <v>525166</v>
      </c>
      <c r="K23" s="112">
        <f>IFERROR(VLOOKUP(B23,O.B.JUNE!$AI$7:$AO$448,7,0),0)</f>
        <v>845006</v>
      </c>
      <c r="L23" s="112">
        <f t="shared" si="3"/>
        <v>1370172</v>
      </c>
      <c r="M23" s="112">
        <f>ROUND(SUMIF('JUNE (물량흐름)'!$C$13:$C$502,'WIP(재공품)'!B23,'JUNE (물량흐름)'!$H$13:$H$502)+SUMIF('JUNE (물량흐름)'!$C$13:$C$502,'WIP(재공품)'!B23,'JUNE (물량흐름)'!$V$13:$V$502),0)</f>
        <v>0</v>
      </c>
      <c r="N23" s="112">
        <f>SUMIF('Direct labour(직접노무비)'!$C$12:$C$503,'WIP(재공품)'!B23,'Direct labour(직접노무비)'!$O$12:$O$503)</f>
        <v>0</v>
      </c>
      <c r="O23" s="112">
        <f>SUMIF('Overhead exp(제조경비)'!$C$12:$C$503,'WIP(재공품)'!B23,'Overhead exp(제조경비)'!$O$12:$O$503)</f>
        <v>0</v>
      </c>
      <c r="P23" s="112">
        <f t="shared" si="4"/>
        <v>0</v>
      </c>
      <c r="Q23" s="112">
        <v>0</v>
      </c>
      <c r="R23" s="112">
        <v>0</v>
      </c>
      <c r="S23" s="112">
        <f>SUMIF('JUNE (물량흐름)'!$C$13:$C$493,'WIP(재공품)'!B23,'JUNE (물량흐름)'!$T$13:$T$493)+SUMIF('JUNE (물량흐름)'!$C$13:$C$493,'WIP(재공품)'!B23,'JUNE (물량흐름)'!$U$13:$U$493)+SUMIF('JUNE (물량흐름)'!$C$13:$C$493,'WIP(재공품)'!B23,'JUNE (물량흐름)'!$V$13:$V$493)-SUMIF('JUNE (물량흐름)'!$C$13:$C$493,'WIP(재공품)'!B23,'JUNE (물량흐름)'!$Y$13:$Y$493)</f>
        <v>79</v>
      </c>
      <c r="T23" s="112">
        <f>SUMIF('JUNE (물량흐름)'!$C$13:$C$502,'WIP(재공품)'!B23,'JUNE (물량흐름)'!$Y$13:$Y$502)</f>
        <v>0</v>
      </c>
      <c r="U23" s="167">
        <f>SUMIF('Direct labour(직접노무비)'!$C$12:$C$503,'WIP(재공품)'!B23,'Direct labour(직접노무비)'!$U$12:$U$503)+SUMIF('Overhead exp(제조경비)'!$C$12:$C$503,'WIP(재공품)'!B23,'Overhead exp(제조경비)'!$U$12:$U$503)</f>
        <v>0</v>
      </c>
      <c r="V23" s="112">
        <f>SUMIF('Direct labour(직접노무비)'!$C$12:$C$503,'WIP(재공품)'!B23,'Direct labour(직접노무비)'!$Q$12:$Q$503)</f>
        <v>525166</v>
      </c>
      <c r="W23" s="112">
        <f>SUMIF('Overhead exp(제조경비)'!$C$12:$C$503,'WIP(재공품)'!B23,'Overhead exp(제조경비)'!$Q$12:$Q$503)</f>
        <v>845006</v>
      </c>
      <c r="X23" s="112">
        <f t="shared" si="5"/>
        <v>1370172</v>
      </c>
      <c r="Y23" s="112">
        <f ca="1">ROUND(SUMIF('JUNE (물량흐름)'!$C$13:$C$502,'WIP(재공품)'!B23,'JUNE (물량흐름)'!$N$13:$N$488),0)</f>
        <v>0</v>
      </c>
      <c r="Z23" s="112">
        <f>ROUND(SUMIF('JUNE (물량흐름)'!$C$13:$C$502,'WIP(재공품)'!B23,'JUNE (물량흐름)'!$O$13:$O$502),0)</f>
        <v>0</v>
      </c>
      <c r="AA23" s="112">
        <f>ROUND(SUMIF('JUNE (물량흐름)'!$C$13:$C$502,'WIP(재공품)'!B23,'JUNE (물량흐름)'!$P$13:$P$502),0)</f>
        <v>0</v>
      </c>
      <c r="AB23" s="112">
        <f t="shared" ca="1" si="6"/>
        <v>0</v>
      </c>
      <c r="AC23" s="112">
        <f t="shared" si="7"/>
        <v>0</v>
      </c>
      <c r="AD23" s="381">
        <f t="shared" ref="AD23:AD76" ca="1" si="11">I23+M23-S23-T23-AB23</f>
        <v>0</v>
      </c>
      <c r="AE23" s="381">
        <f t="shared" si="9"/>
        <v>0</v>
      </c>
      <c r="AF23" s="382"/>
      <c r="AG23" s="382">
        <v>0.3</v>
      </c>
      <c r="AH23" s="383">
        <f t="shared" si="10"/>
        <v>4.9999999999999989E-2</v>
      </c>
      <c r="AJ23" s="383"/>
      <c r="AL23" s="385"/>
      <c r="AM23" s="381"/>
      <c r="AN23" s="382"/>
      <c r="AO23" s="382"/>
      <c r="AP23" s="383"/>
      <c r="AQ23" s="383"/>
    </row>
    <row r="24" spans="1:43" s="384" customFormat="1" ht="18.75" customHeight="1">
      <c r="A24" s="167">
        <v>13</v>
      </c>
      <c r="B24" s="240">
        <f>VLOOKUP(A24,'JUNE (물량흐름)'!$A$13:$C$502,3,0)</f>
        <v>100003246</v>
      </c>
      <c r="C24" s="21" t="str">
        <f>VLOOKUP(A24,'JUNE (물량흐름)'!$A$13:$C$502,2,0)</f>
        <v>ALFANI</v>
      </c>
      <c r="D24" s="212">
        <v>0.35</v>
      </c>
      <c r="E24" s="6">
        <f>VLOOKUP(B24,'Sales profit (스타일 별 매출이익)'!$D$9:$P$491,13,0)</f>
        <v>7936.2499999999991</v>
      </c>
      <c r="F24" s="112">
        <f>IFERROR(VLOOKUP(B24,O.B.JUNE!$N$7:$Q$448,2,0),0)</f>
        <v>0</v>
      </c>
      <c r="G24" s="112">
        <f>IFERROR(VLOOKUP(B24,O.B.JUNE!$N$7:$Q$448,3,0),0)</f>
        <v>0</v>
      </c>
      <c r="H24" s="112">
        <f>IFERROR(VLOOKUP(B24,O.B.JUNE!$N$7:$Q$448,4,0),0)</f>
        <v>377</v>
      </c>
      <c r="I24" s="112">
        <f t="shared" si="2"/>
        <v>377</v>
      </c>
      <c r="J24" s="112">
        <f>IFERROR(VLOOKUP(B24,O.B.JUNE!$AA$7:$AG$448,7,0),0)</f>
        <v>2474021</v>
      </c>
      <c r="K24" s="112">
        <f>IFERROR(VLOOKUP(B24,O.B.JUNE!$AI$7:$AO$448,7,0),0)</f>
        <v>3981989</v>
      </c>
      <c r="L24" s="112">
        <f t="shared" si="3"/>
        <v>6456010</v>
      </c>
      <c r="M24" s="112">
        <f>ROUND(SUMIF('JUNE (물량흐름)'!$C$13:$C$502,'WIP(재공품)'!B24,'JUNE (물량흐름)'!$H$13:$H$502)+SUMIF('JUNE (물량흐름)'!$C$13:$C$502,'WIP(재공품)'!B24,'JUNE (물량흐름)'!$V$13:$V$502),0)</f>
        <v>0</v>
      </c>
      <c r="N24" s="112">
        <f>SUMIF('Direct labour(직접노무비)'!$C$12:$C$503,'WIP(재공품)'!B24,'Direct labour(직접노무비)'!$O$12:$O$503)</f>
        <v>0</v>
      </c>
      <c r="O24" s="112">
        <f>SUMIF('Overhead exp(제조경비)'!$C$12:$C$503,'WIP(재공품)'!B24,'Overhead exp(제조경비)'!$O$12:$O$503)</f>
        <v>0</v>
      </c>
      <c r="P24" s="112">
        <f t="shared" si="4"/>
        <v>0</v>
      </c>
      <c r="Q24" s="112">
        <v>0</v>
      </c>
      <c r="R24" s="112">
        <v>0</v>
      </c>
      <c r="S24" s="112">
        <f>SUMIF('JUNE (물량흐름)'!$C$13:$C$493,'WIP(재공품)'!B24,'JUNE (물량흐름)'!$T$13:$T$493)+SUMIF('JUNE (물량흐름)'!$C$13:$C$493,'WIP(재공품)'!B24,'JUNE (물량흐름)'!$U$13:$U$493)+SUMIF('JUNE (물량흐름)'!$C$13:$C$493,'WIP(재공품)'!B24,'JUNE (물량흐름)'!$V$13:$V$493)-SUMIF('JUNE (물량흐름)'!$C$13:$C$493,'WIP(재공품)'!B24,'JUNE (물량흐름)'!$Y$13:$Y$493)</f>
        <v>377</v>
      </c>
      <c r="T24" s="112">
        <f>SUMIF('JUNE (물량흐름)'!$C$13:$C$502,'WIP(재공품)'!B24,'JUNE (물량흐름)'!$Y$13:$Y$502)</f>
        <v>0</v>
      </c>
      <c r="U24" s="167">
        <f>SUMIF('Direct labour(직접노무비)'!$C$12:$C$503,'WIP(재공품)'!B24,'Direct labour(직접노무비)'!$U$12:$U$503)+SUMIF('Overhead exp(제조경비)'!$C$12:$C$503,'WIP(재공품)'!B24,'Overhead exp(제조경비)'!$U$12:$U$503)</f>
        <v>0</v>
      </c>
      <c r="V24" s="112">
        <f>SUMIF('Direct labour(직접노무비)'!$C$12:$C$503,'WIP(재공품)'!B24,'Direct labour(직접노무비)'!$Q$12:$Q$503)</f>
        <v>2474021</v>
      </c>
      <c r="W24" s="112">
        <f>SUMIF('Overhead exp(제조경비)'!$C$12:$C$503,'WIP(재공품)'!B24,'Overhead exp(제조경비)'!$Q$12:$Q$503)</f>
        <v>3981989</v>
      </c>
      <c r="X24" s="112">
        <f t="shared" si="5"/>
        <v>6456010</v>
      </c>
      <c r="Y24" s="112">
        <f ca="1">ROUND(SUMIF('JUNE (물량흐름)'!$C$13:$C$502,'WIP(재공품)'!B24,'JUNE (물량흐름)'!$N$13:$N$488),0)</f>
        <v>0</v>
      </c>
      <c r="Z24" s="112">
        <f>ROUND(SUMIF('JUNE (물량흐름)'!$C$13:$C$502,'WIP(재공품)'!B24,'JUNE (물량흐름)'!$O$13:$O$502),0)</f>
        <v>0</v>
      </c>
      <c r="AA24" s="112">
        <f>ROUND(SUMIF('JUNE (물량흐름)'!$C$13:$C$502,'WIP(재공품)'!B24,'JUNE (물량흐름)'!$P$13:$P$502),0)</f>
        <v>0</v>
      </c>
      <c r="AB24" s="112">
        <f t="shared" ca="1" si="6"/>
        <v>0</v>
      </c>
      <c r="AC24" s="112">
        <f t="shared" si="7"/>
        <v>0</v>
      </c>
      <c r="AD24" s="381">
        <f t="shared" ca="1" si="11"/>
        <v>0</v>
      </c>
      <c r="AE24" s="381">
        <f t="shared" si="9"/>
        <v>0</v>
      </c>
      <c r="AF24" s="382"/>
      <c r="AG24" s="382">
        <v>1.4000000000000001</v>
      </c>
      <c r="AH24" s="383">
        <f t="shared" si="10"/>
        <v>-1.0500000000000003</v>
      </c>
      <c r="AI24" s="383"/>
      <c r="AJ24" s="383"/>
      <c r="AL24" s="385"/>
      <c r="AM24" s="381"/>
      <c r="AN24" s="382"/>
      <c r="AO24" s="382"/>
      <c r="AP24" s="383"/>
      <c r="AQ24" s="383"/>
    </row>
    <row r="25" spans="1:43" s="384" customFormat="1" ht="18.75" customHeight="1">
      <c r="A25" s="167">
        <v>14</v>
      </c>
      <c r="B25" s="240">
        <f>VLOOKUP(A25,'JUNE (물량흐름)'!$A$13:$C$502,3,0)</f>
        <v>100001802</v>
      </c>
      <c r="C25" s="21" t="str">
        <f>VLOOKUP(A25,'JUNE (물량흐름)'!$A$13:$C$502,2,0)</f>
        <v>ALFANI</v>
      </c>
      <c r="D25" s="212">
        <v>0.35</v>
      </c>
      <c r="E25" s="6">
        <f>VLOOKUP(B25,'Sales profit (스타일 별 매출이익)'!$D$9:$P$491,13,0)</f>
        <v>7936.2499999999991</v>
      </c>
      <c r="F25" s="112">
        <f>IFERROR(VLOOKUP(B25,O.B.JUNE!$N$7:$Q$448,2,0),0)</f>
        <v>0</v>
      </c>
      <c r="G25" s="112">
        <f>IFERROR(VLOOKUP(B25,O.B.JUNE!$N$7:$Q$448,3,0),0)</f>
        <v>0</v>
      </c>
      <c r="H25" s="112">
        <f>IFERROR(VLOOKUP(B25,O.B.JUNE!$N$7:$Q$448,4,0),0)</f>
        <v>103</v>
      </c>
      <c r="I25" s="112">
        <f t="shared" si="2"/>
        <v>103</v>
      </c>
      <c r="J25" s="112">
        <f>IFERROR(VLOOKUP(B25,O.B.JUNE!$AA$7:$AG$448,7,0),0)</f>
        <v>1254920</v>
      </c>
      <c r="K25" s="112">
        <f>IFERROR(VLOOKUP(B25,O.B.JUNE!$AI$7:$AO$448,7,0),0)</f>
        <v>2064114</v>
      </c>
      <c r="L25" s="112">
        <f t="shared" si="3"/>
        <v>3319034</v>
      </c>
      <c r="M25" s="112">
        <f>ROUND(SUMIF('JUNE (물량흐름)'!$C$13:$C$502,'WIP(재공품)'!B25,'JUNE (물량흐름)'!$H$13:$H$502)+SUMIF('JUNE (물량흐름)'!$C$13:$C$502,'WIP(재공품)'!B25,'JUNE (물량흐름)'!$V$13:$V$502),0)</f>
        <v>0</v>
      </c>
      <c r="N25" s="112">
        <f>SUMIF('Direct labour(직접노무비)'!$C$12:$C$503,'WIP(재공품)'!B25,'Direct labour(직접노무비)'!$O$12:$O$503)</f>
        <v>0</v>
      </c>
      <c r="O25" s="112">
        <f>SUMIF('Overhead exp(제조경비)'!$C$12:$C$503,'WIP(재공품)'!B25,'Overhead exp(제조경비)'!$O$12:$O$503)</f>
        <v>0</v>
      </c>
      <c r="P25" s="112">
        <f t="shared" si="4"/>
        <v>0</v>
      </c>
      <c r="Q25" s="112">
        <v>0</v>
      </c>
      <c r="R25" s="112">
        <v>0</v>
      </c>
      <c r="S25" s="112">
        <f>SUMIF('JUNE (물량흐름)'!$C$13:$C$493,'WIP(재공품)'!B25,'JUNE (물량흐름)'!$T$13:$T$493)+SUMIF('JUNE (물량흐름)'!$C$13:$C$493,'WIP(재공품)'!B25,'JUNE (물량흐름)'!$U$13:$U$493)+SUMIF('JUNE (물량흐름)'!$C$13:$C$493,'WIP(재공품)'!B25,'JUNE (물량흐름)'!$V$13:$V$493)-SUMIF('JUNE (물량흐름)'!$C$13:$C$493,'WIP(재공품)'!B25,'JUNE (물량흐름)'!$Y$13:$Y$493)</f>
        <v>0</v>
      </c>
      <c r="T25" s="112">
        <f>SUMIF('JUNE (물량흐름)'!$C$13:$C$502,'WIP(재공품)'!B25,'JUNE (물량흐름)'!$Y$13:$Y$502)</f>
        <v>0</v>
      </c>
      <c r="U25" s="167">
        <f>SUMIF('Direct labour(직접노무비)'!$C$12:$C$503,'WIP(재공품)'!B25,'Direct labour(직접노무비)'!$U$12:$U$503)+SUMIF('Overhead exp(제조경비)'!$C$12:$C$503,'WIP(재공품)'!B25,'Overhead exp(제조경비)'!$U$12:$U$503)</f>
        <v>0</v>
      </c>
      <c r="V25" s="112">
        <f>SUMIF('Direct labour(직접노무비)'!$C$12:$C$503,'WIP(재공품)'!B25,'Direct labour(직접노무비)'!$Q$12:$Q$503)</f>
        <v>0</v>
      </c>
      <c r="W25" s="112">
        <f>SUMIF('Overhead exp(제조경비)'!$C$12:$C$503,'WIP(재공품)'!B25,'Overhead exp(제조경비)'!$Q$12:$Q$503)</f>
        <v>0</v>
      </c>
      <c r="X25" s="112">
        <f t="shared" si="5"/>
        <v>0</v>
      </c>
      <c r="Y25" s="112">
        <f ca="1">ROUND(SUMIF('JUNE (물량흐름)'!$C$13:$C$502,'WIP(재공품)'!B25,'JUNE (물량흐름)'!$N$13:$N$488),0)</f>
        <v>0</v>
      </c>
      <c r="Z25" s="112">
        <f>ROUND(SUMIF('JUNE (물량흐름)'!$C$13:$C$502,'WIP(재공품)'!B25,'JUNE (물량흐름)'!$O$13:$O$502),0)</f>
        <v>0</v>
      </c>
      <c r="AA25" s="112">
        <f>ROUND(SUMIF('JUNE (물량흐름)'!$C$13:$C$502,'WIP(재공품)'!B25,'JUNE (물량흐름)'!$P$13:$P$502),0)</f>
        <v>103</v>
      </c>
      <c r="AB25" s="112">
        <f t="shared" ca="1" si="6"/>
        <v>103</v>
      </c>
      <c r="AC25" s="112">
        <f t="shared" si="7"/>
        <v>3319034</v>
      </c>
      <c r="AD25" s="381">
        <f t="shared" ca="1" si="11"/>
        <v>0</v>
      </c>
      <c r="AE25" s="381">
        <f t="shared" si="9"/>
        <v>0</v>
      </c>
      <c r="AF25" s="382"/>
      <c r="AG25" s="382">
        <v>0.3</v>
      </c>
      <c r="AH25" s="383">
        <f t="shared" si="10"/>
        <v>4.9999999999999989E-2</v>
      </c>
      <c r="AJ25" s="383"/>
      <c r="AL25" s="385"/>
      <c r="AM25" s="381"/>
      <c r="AN25" s="382"/>
      <c r="AO25" s="382"/>
      <c r="AP25" s="383"/>
      <c r="AQ25" s="383"/>
    </row>
    <row r="26" spans="1:43" s="384" customFormat="1" ht="18.75" customHeight="1">
      <c r="A26" s="167">
        <v>15</v>
      </c>
      <c r="B26" s="240">
        <f>VLOOKUP(A26,'JUNE (물량흐름)'!$A$13:$C$502,3,0)</f>
        <v>68416</v>
      </c>
      <c r="C26" s="21" t="str">
        <f>VLOOKUP(A26,'JUNE (물량흐름)'!$A$13:$C$502,2,0)</f>
        <v>ALFANI</v>
      </c>
      <c r="D26" s="212">
        <v>2.0699999999999998</v>
      </c>
      <c r="E26" s="6">
        <f>VLOOKUP(B26,'Sales profit (스타일 별 매출이익)'!$D$9:$P$491,13,0)</f>
        <v>46937.25</v>
      </c>
      <c r="F26" s="112">
        <f>IFERROR(VLOOKUP(B26,O.B.JUNE!$N$7:$Q$448,2,0),0)</f>
        <v>56</v>
      </c>
      <c r="G26" s="112">
        <f>IFERROR(VLOOKUP(B26,O.B.JUNE!$N$7:$Q$448,3,0),0)</f>
        <v>361</v>
      </c>
      <c r="H26" s="112">
        <f>IFERROR(VLOOKUP(B26,O.B.JUNE!$N$7:$Q$448,4,0),0)</f>
        <v>455</v>
      </c>
      <c r="I26" s="112">
        <f t="shared" si="2"/>
        <v>872</v>
      </c>
      <c r="J26" s="112">
        <f>IFERROR(VLOOKUP(B26,O.B.JUNE!$AA$7:$AG$448,7,0),0)</f>
        <v>5097760</v>
      </c>
      <c r="K26" s="112">
        <f>IFERROR(VLOOKUP(B26,O.B.JUNE!$AI$7:$AO$448,7,0),0)</f>
        <v>7749784</v>
      </c>
      <c r="L26" s="112">
        <f t="shared" si="3"/>
        <v>12847544</v>
      </c>
      <c r="M26" s="112">
        <f>ROUND(SUMIF('JUNE (물량흐름)'!$C$13:$C$502,'WIP(재공품)'!B26,'JUNE (물량흐름)'!$H$13:$H$502)+SUMIF('JUNE (물량흐름)'!$C$13:$C$502,'WIP(재공품)'!B26,'JUNE (물량흐름)'!$V$13:$V$502),0)</f>
        <v>32</v>
      </c>
      <c r="N26" s="112">
        <f>SUMIF('Direct labour(직접노무비)'!$C$12:$C$503,'WIP(재공품)'!B26,'Direct labour(직접노무비)'!$O$12:$O$503)</f>
        <v>4311388</v>
      </c>
      <c r="O26" s="112">
        <f>SUMIF('Overhead exp(제조경비)'!$C$12:$C$503,'WIP(재공품)'!B26,'Overhead exp(제조경비)'!$O$12:$O$503)</f>
        <v>8423324</v>
      </c>
      <c r="P26" s="112">
        <f t="shared" si="4"/>
        <v>12734712</v>
      </c>
      <c r="Q26" s="112">
        <v>0</v>
      </c>
      <c r="R26" s="112">
        <v>0</v>
      </c>
      <c r="S26" s="112">
        <f>SUMIF('JUNE (물량흐름)'!$C$13:$C$493,'WIP(재공품)'!B26,'JUNE (물량흐름)'!$T$13:$T$493)+SUMIF('JUNE (물량흐름)'!$C$13:$C$493,'WIP(재공품)'!B26,'JUNE (물량흐름)'!$U$13:$U$493)+SUMIF('JUNE (물량흐름)'!$C$13:$C$493,'WIP(재공품)'!B26,'JUNE (물량흐름)'!$V$13:$V$493)-SUMIF('JUNE (물량흐름)'!$C$13:$C$493,'WIP(재공품)'!B26,'JUNE (물량흐름)'!$Y$13:$Y$493)</f>
        <v>683</v>
      </c>
      <c r="T26" s="112">
        <f>SUMIF('JUNE (물량흐름)'!$C$13:$C$502,'WIP(재공품)'!B26,'JUNE (물량흐름)'!$Y$13:$Y$502)</f>
        <v>5</v>
      </c>
      <c r="U26" s="167">
        <f>SUMIF('Direct labour(직접노무비)'!$C$12:$C$503,'WIP(재공품)'!B26,'Direct labour(직접노무비)'!$U$12:$U$503)+SUMIF('Overhead exp(제조경비)'!$C$12:$C$503,'WIP(재공품)'!B26,'Overhead exp(제조경비)'!$U$12:$U$503)</f>
        <v>141495</v>
      </c>
      <c r="V26" s="112">
        <f>SUMIF('Direct labour(직접노무비)'!$C$12:$C$503,'WIP(재공품)'!B26,'Direct labour(직접노무비)'!$Q$12:$Q$503)</f>
        <v>7108903</v>
      </c>
      <c r="W26" s="112">
        <f>SUMIF('Overhead exp(제조경비)'!$C$12:$C$503,'WIP(재공품)'!B26,'Overhead exp(제조경비)'!$Q$12:$Q$503)</f>
        <v>12219284</v>
      </c>
      <c r="X26" s="112">
        <f t="shared" si="5"/>
        <v>19328187</v>
      </c>
      <c r="Y26" s="112">
        <f ca="1">ROUND(SUMIF('JUNE (물량흐름)'!$C$13:$C$502,'WIP(재공품)'!B26,'JUNE (물량흐름)'!$N$13:$N$488),0)</f>
        <v>0</v>
      </c>
      <c r="Z26" s="112">
        <f>ROUND(SUMIF('JUNE (물량흐름)'!$C$13:$C$502,'WIP(재공품)'!B26,'JUNE (물량흐름)'!$O$13:$O$502),0)</f>
        <v>27</v>
      </c>
      <c r="AA26" s="112">
        <f>ROUND(SUMIF('JUNE (물량흐름)'!$C$13:$C$502,'WIP(재공품)'!B26,'JUNE (물량흐름)'!$P$13:$P$502),0)</f>
        <v>189</v>
      </c>
      <c r="AB26" s="112">
        <f t="shared" ca="1" si="6"/>
        <v>216</v>
      </c>
      <c r="AC26" s="112">
        <f t="shared" si="7"/>
        <v>6112574</v>
      </c>
      <c r="AD26" s="381">
        <f t="shared" ca="1" si="11"/>
        <v>0</v>
      </c>
      <c r="AE26" s="381">
        <f t="shared" si="9"/>
        <v>0</v>
      </c>
      <c r="AF26" s="382"/>
      <c r="AG26" s="382">
        <v>0.3</v>
      </c>
      <c r="AH26" s="383">
        <f t="shared" si="10"/>
        <v>1.7699999999999998</v>
      </c>
      <c r="AJ26" s="383"/>
      <c r="AL26" s="385"/>
      <c r="AM26" s="381"/>
      <c r="AN26" s="382"/>
      <c r="AO26" s="382"/>
      <c r="AP26" s="383"/>
      <c r="AQ26" s="383"/>
    </row>
    <row r="27" spans="1:43" s="384" customFormat="1" ht="18.75" customHeight="1">
      <c r="A27" s="167">
        <v>16</v>
      </c>
      <c r="B27" s="240" t="str">
        <f>VLOOKUP(A27,'JUNE (물량흐름)'!$A$13:$C$502,3,0)</f>
        <v>7X408</v>
      </c>
      <c r="C27" s="21" t="str">
        <f>VLOOKUP(A27,'JUNE (물량흐름)'!$A$13:$C$502,2,0)</f>
        <v>ALFANI</v>
      </c>
      <c r="D27" s="212">
        <v>0.35</v>
      </c>
      <c r="E27" s="6">
        <f>VLOOKUP(B27,'Sales profit (스타일 별 매출이익)'!$D$9:$P$491,13,0)</f>
        <v>7936.2499999999991</v>
      </c>
      <c r="F27" s="112">
        <f>IFERROR(VLOOKUP(B27,O.B.JUNE!$N$7:$Q$448,2,0),0)</f>
        <v>0</v>
      </c>
      <c r="G27" s="112">
        <f>IFERROR(VLOOKUP(B27,O.B.JUNE!$N$7:$Q$448,3,0),0)</f>
        <v>0</v>
      </c>
      <c r="H27" s="112">
        <f>IFERROR(VLOOKUP(B27,O.B.JUNE!$N$7:$Q$448,4,0),0)</f>
        <v>108</v>
      </c>
      <c r="I27" s="112">
        <f t="shared" si="2"/>
        <v>108</v>
      </c>
      <c r="J27" s="112">
        <f>IFERROR(VLOOKUP(B27,O.B.JUNE!$AA$7:$AG$448,7,0),0)</f>
        <v>1477379</v>
      </c>
      <c r="K27" s="112">
        <f>IFERROR(VLOOKUP(B27,O.B.JUNE!$AI$7:$AO$448,7,0),0)</f>
        <v>2050690</v>
      </c>
      <c r="L27" s="112">
        <f t="shared" si="3"/>
        <v>3528069</v>
      </c>
      <c r="M27" s="112">
        <f>ROUND(SUMIF('JUNE (물량흐름)'!$C$13:$C$502,'WIP(재공품)'!B27,'JUNE (물량흐름)'!$H$13:$H$502)+SUMIF('JUNE (물량흐름)'!$C$13:$C$502,'WIP(재공품)'!B27,'JUNE (물량흐름)'!$V$13:$V$502),0)</f>
        <v>0</v>
      </c>
      <c r="N27" s="112">
        <f>SUMIF('Direct labour(직접노무비)'!$C$12:$C$503,'WIP(재공품)'!B27,'Direct labour(직접노무비)'!$O$12:$O$503)</f>
        <v>0</v>
      </c>
      <c r="O27" s="112">
        <f>SUMIF('Overhead exp(제조경비)'!$C$12:$C$503,'WIP(재공품)'!B27,'Overhead exp(제조경비)'!$O$12:$O$503)</f>
        <v>0</v>
      </c>
      <c r="P27" s="112">
        <f t="shared" si="4"/>
        <v>0</v>
      </c>
      <c r="Q27" s="112">
        <v>0</v>
      </c>
      <c r="R27" s="112">
        <v>0</v>
      </c>
      <c r="S27" s="112">
        <f>SUMIF('JUNE (물량흐름)'!$C$13:$C$493,'WIP(재공품)'!B27,'JUNE (물량흐름)'!$T$13:$T$493)+SUMIF('JUNE (물량흐름)'!$C$13:$C$493,'WIP(재공품)'!B27,'JUNE (물량흐름)'!$U$13:$U$493)+SUMIF('JUNE (물량흐름)'!$C$13:$C$493,'WIP(재공품)'!B27,'JUNE (물량흐름)'!$V$13:$V$493)-SUMIF('JUNE (물량흐름)'!$C$13:$C$493,'WIP(재공품)'!B27,'JUNE (물량흐름)'!$Y$13:$Y$493)</f>
        <v>108</v>
      </c>
      <c r="T27" s="112">
        <f>SUMIF('JUNE (물량흐름)'!$C$13:$C$502,'WIP(재공품)'!B27,'JUNE (물량흐름)'!$Y$13:$Y$502)</f>
        <v>0</v>
      </c>
      <c r="U27" s="167">
        <f>SUMIF('Direct labour(직접노무비)'!$C$12:$C$503,'WIP(재공품)'!B27,'Direct labour(직접노무비)'!$U$12:$U$503)+SUMIF('Overhead exp(제조경비)'!$C$12:$C$503,'WIP(재공품)'!B27,'Overhead exp(제조경비)'!$U$12:$U$503)</f>
        <v>0</v>
      </c>
      <c r="V27" s="112">
        <f>SUMIF('Direct labour(직접노무비)'!$C$12:$C$503,'WIP(재공품)'!B27,'Direct labour(직접노무비)'!$Q$12:$Q$503)</f>
        <v>1477379</v>
      </c>
      <c r="W27" s="112">
        <f>SUMIF('Overhead exp(제조경비)'!$C$12:$C$503,'WIP(재공품)'!B27,'Overhead exp(제조경비)'!$Q$12:$Q$503)</f>
        <v>2050690</v>
      </c>
      <c r="X27" s="112">
        <f t="shared" si="5"/>
        <v>3528069</v>
      </c>
      <c r="Y27" s="112">
        <f ca="1">ROUND(SUMIF('JUNE (물량흐름)'!$C$13:$C$502,'WIP(재공품)'!B27,'JUNE (물량흐름)'!$N$13:$N$488),0)</f>
        <v>0</v>
      </c>
      <c r="Z27" s="112">
        <f>ROUND(SUMIF('JUNE (물량흐름)'!$C$13:$C$502,'WIP(재공품)'!B27,'JUNE (물량흐름)'!$O$13:$O$502),0)</f>
        <v>0</v>
      </c>
      <c r="AA27" s="112">
        <f>ROUND(SUMIF('JUNE (물량흐름)'!$C$13:$C$502,'WIP(재공품)'!B27,'JUNE (물량흐름)'!$P$13:$P$502),0)</f>
        <v>0</v>
      </c>
      <c r="AB27" s="112">
        <f t="shared" ca="1" si="6"/>
        <v>0</v>
      </c>
      <c r="AC27" s="112">
        <f t="shared" si="7"/>
        <v>0</v>
      </c>
      <c r="AD27" s="381">
        <f t="shared" ca="1" si="11"/>
        <v>0</v>
      </c>
      <c r="AE27" s="381">
        <f t="shared" si="9"/>
        <v>0</v>
      </c>
      <c r="AF27" s="382"/>
      <c r="AG27" s="382">
        <v>0.3</v>
      </c>
      <c r="AH27" s="383">
        <f t="shared" si="10"/>
        <v>4.9999999999999989E-2</v>
      </c>
      <c r="AJ27" s="383"/>
      <c r="AL27" s="385"/>
      <c r="AM27" s="381"/>
      <c r="AN27" s="382"/>
      <c r="AO27" s="382"/>
      <c r="AP27" s="383"/>
      <c r="AQ27" s="383"/>
    </row>
    <row r="28" spans="1:43" s="384" customFormat="1" ht="18.75" customHeight="1">
      <c r="A28" s="167">
        <v>17</v>
      </c>
      <c r="B28" s="240" t="str">
        <f>VLOOKUP(A28,'JUNE (물량흐름)'!$A$13:$C$502,3,0)</f>
        <v>7X708</v>
      </c>
      <c r="C28" s="21" t="str">
        <f>VLOOKUP(A28,'JUNE (물량흐름)'!$A$13:$C$502,2,0)</f>
        <v>ALFANI</v>
      </c>
      <c r="D28" s="212">
        <v>2.65</v>
      </c>
      <c r="E28" s="6">
        <f>VLOOKUP(B28,'Sales profit (스타일 별 매출이익)'!$D$9:$P$491,13,0)</f>
        <v>60088.75</v>
      </c>
      <c r="F28" s="112">
        <f>IFERROR(VLOOKUP(B28,O.B.JUNE!$N$7:$Q$448,2,0),0)</f>
        <v>0</v>
      </c>
      <c r="G28" s="112">
        <f>IFERROR(VLOOKUP(B28,O.B.JUNE!$N$7:$Q$448,3,0),0)</f>
        <v>0</v>
      </c>
      <c r="H28" s="112">
        <f>IFERROR(VLOOKUP(B28,O.B.JUNE!$N$7:$Q$448,4,0),0)</f>
        <v>187</v>
      </c>
      <c r="I28" s="112">
        <f t="shared" si="2"/>
        <v>187</v>
      </c>
      <c r="J28" s="112">
        <f>IFERROR(VLOOKUP(B28,O.B.JUNE!$AA$7:$AG$448,7,0),0)</f>
        <v>2744030</v>
      </c>
      <c r="K28" s="112">
        <f>IFERROR(VLOOKUP(B28,O.B.JUNE!$AI$7:$AO$448,7,0),0)</f>
        <v>3743683</v>
      </c>
      <c r="L28" s="112">
        <f t="shared" si="3"/>
        <v>6487713</v>
      </c>
      <c r="M28" s="112">
        <f>ROUND(SUMIF('JUNE (물량흐름)'!$C$13:$C$502,'WIP(재공품)'!B28,'JUNE (물량흐름)'!$H$13:$H$502)+SUMIF('JUNE (물량흐름)'!$C$13:$C$502,'WIP(재공품)'!B28,'JUNE (물량흐름)'!$V$13:$V$502),0)</f>
        <v>0</v>
      </c>
      <c r="N28" s="112">
        <f>SUMIF('Direct labour(직접노무비)'!$C$12:$C$503,'WIP(재공품)'!B28,'Direct labour(직접노무비)'!$O$12:$O$503)</f>
        <v>0</v>
      </c>
      <c r="O28" s="112">
        <f>SUMIF('Overhead exp(제조경비)'!$C$12:$C$503,'WIP(재공품)'!B28,'Overhead exp(제조경비)'!$O$12:$O$503)</f>
        <v>0</v>
      </c>
      <c r="P28" s="112">
        <f t="shared" si="4"/>
        <v>0</v>
      </c>
      <c r="Q28" s="112">
        <v>0</v>
      </c>
      <c r="R28" s="112">
        <v>0</v>
      </c>
      <c r="S28" s="112">
        <f>SUMIF('JUNE (물량흐름)'!$C$13:$C$493,'WIP(재공품)'!B28,'JUNE (물량흐름)'!$T$13:$T$493)+SUMIF('JUNE (물량흐름)'!$C$13:$C$493,'WIP(재공품)'!B28,'JUNE (물량흐름)'!$U$13:$U$493)+SUMIF('JUNE (물량흐름)'!$C$13:$C$493,'WIP(재공품)'!B28,'JUNE (물량흐름)'!$V$13:$V$493)-SUMIF('JUNE (물량흐름)'!$C$13:$C$493,'WIP(재공품)'!B28,'JUNE (물량흐름)'!$Y$13:$Y$493)</f>
        <v>187</v>
      </c>
      <c r="T28" s="112">
        <f>SUMIF('JUNE (물량흐름)'!$C$13:$C$502,'WIP(재공품)'!B28,'JUNE (물량흐름)'!$Y$13:$Y$502)</f>
        <v>0</v>
      </c>
      <c r="U28" s="167">
        <f>SUMIF('Direct labour(직접노무비)'!$C$12:$C$503,'WIP(재공품)'!B28,'Direct labour(직접노무비)'!$U$12:$U$503)+SUMIF('Overhead exp(제조경비)'!$C$12:$C$503,'WIP(재공품)'!B28,'Overhead exp(제조경비)'!$U$12:$U$503)</f>
        <v>0</v>
      </c>
      <c r="V28" s="112">
        <f>SUMIF('Direct labour(직접노무비)'!$C$12:$C$503,'WIP(재공품)'!B28,'Direct labour(직접노무비)'!$Q$12:$Q$503)</f>
        <v>2744030</v>
      </c>
      <c r="W28" s="112">
        <f>SUMIF('Overhead exp(제조경비)'!$C$12:$C$503,'WIP(재공품)'!B28,'Overhead exp(제조경비)'!$Q$12:$Q$503)</f>
        <v>3743683</v>
      </c>
      <c r="X28" s="112">
        <f t="shared" si="5"/>
        <v>6487713</v>
      </c>
      <c r="Y28" s="112">
        <f ca="1">ROUND(SUMIF('JUNE (물량흐름)'!$C$13:$C$502,'WIP(재공품)'!B28,'JUNE (물량흐름)'!$N$13:$N$488),0)</f>
        <v>0</v>
      </c>
      <c r="Z28" s="112">
        <f>ROUND(SUMIF('JUNE (물량흐름)'!$C$13:$C$502,'WIP(재공품)'!B28,'JUNE (물량흐름)'!$O$13:$O$502),0)</f>
        <v>0</v>
      </c>
      <c r="AA28" s="112">
        <f>ROUND(SUMIF('JUNE (물량흐름)'!$C$13:$C$502,'WIP(재공품)'!B28,'JUNE (물량흐름)'!$P$13:$P$502),0)</f>
        <v>0</v>
      </c>
      <c r="AB28" s="112">
        <f t="shared" ca="1" si="6"/>
        <v>0</v>
      </c>
      <c r="AC28" s="112">
        <f t="shared" si="7"/>
        <v>0</v>
      </c>
      <c r="AD28" s="381">
        <f t="shared" ca="1" si="11"/>
        <v>0</v>
      </c>
      <c r="AE28" s="381">
        <f t="shared" si="9"/>
        <v>0</v>
      </c>
      <c r="AF28" s="382"/>
      <c r="AG28" s="382">
        <v>0.3</v>
      </c>
      <c r="AH28" s="383">
        <f t="shared" si="10"/>
        <v>2.35</v>
      </c>
      <c r="AJ28" s="383"/>
      <c r="AL28" s="385"/>
      <c r="AM28" s="381"/>
      <c r="AN28" s="382"/>
      <c r="AO28" s="382"/>
      <c r="AP28" s="383"/>
      <c r="AQ28" s="383"/>
    </row>
    <row r="29" spans="1:43" s="384" customFormat="1" ht="18.75" customHeight="1">
      <c r="A29" s="167">
        <v>18</v>
      </c>
      <c r="B29" s="240" t="str">
        <f>VLOOKUP(A29,'JUNE (물량흐름)'!$A$13:$C$502,3,0)</f>
        <v>7N900</v>
      </c>
      <c r="C29" s="21" t="str">
        <f>VLOOKUP(A29,'JUNE (물량흐름)'!$A$13:$C$502,2,0)</f>
        <v>ALFANI</v>
      </c>
      <c r="D29" s="212">
        <v>0.35</v>
      </c>
      <c r="E29" s="6">
        <f>VLOOKUP(B29,'Sales profit (스타일 별 매출이익)'!$D$9:$P$491,13,0)</f>
        <v>7936.2499999999991</v>
      </c>
      <c r="F29" s="112">
        <f>IFERROR(VLOOKUP(B29,O.B.JUNE!$N$7:$Q$448,2,0),0)</f>
        <v>0</v>
      </c>
      <c r="G29" s="112">
        <f>IFERROR(VLOOKUP(B29,O.B.JUNE!$N$7:$Q$448,3,0),0)</f>
        <v>22</v>
      </c>
      <c r="H29" s="112">
        <f>IFERROR(VLOOKUP(B29,O.B.JUNE!$N$7:$Q$448,4,0),0)</f>
        <v>122</v>
      </c>
      <c r="I29" s="112">
        <f t="shared" si="2"/>
        <v>144</v>
      </c>
      <c r="J29" s="112">
        <f>IFERROR(VLOOKUP(B29,O.B.JUNE!$AA$7:$AG$448,7,0),0)</f>
        <v>1627393</v>
      </c>
      <c r="K29" s="112">
        <f>IFERROR(VLOOKUP(B29,O.B.JUNE!$AI$7:$AO$448,7,0),0)</f>
        <v>2676764</v>
      </c>
      <c r="L29" s="112">
        <f t="shared" si="3"/>
        <v>4304157</v>
      </c>
      <c r="M29" s="112">
        <f>ROUND(SUMIF('JUNE (물량흐름)'!$C$13:$C$502,'WIP(재공품)'!B29,'JUNE (물량흐름)'!$H$13:$H$502)+SUMIF('JUNE (물량흐름)'!$C$13:$C$502,'WIP(재공품)'!B29,'JUNE (물량흐름)'!$V$13:$V$502),0)</f>
        <v>0</v>
      </c>
      <c r="N29" s="112">
        <f>SUMIF('Direct labour(직접노무비)'!$C$12:$C$503,'WIP(재공품)'!B29,'Direct labour(직접노무비)'!$O$12:$O$503)</f>
        <v>0</v>
      </c>
      <c r="O29" s="112">
        <f>SUMIF('Overhead exp(제조경비)'!$C$12:$C$503,'WIP(재공품)'!B29,'Overhead exp(제조경비)'!$O$12:$O$503)</f>
        <v>0</v>
      </c>
      <c r="P29" s="112">
        <f t="shared" si="4"/>
        <v>0</v>
      </c>
      <c r="Q29" s="112">
        <v>0</v>
      </c>
      <c r="R29" s="112">
        <v>0</v>
      </c>
      <c r="S29" s="112">
        <f>SUMIF('JUNE (물량흐름)'!$C$13:$C$493,'WIP(재공품)'!B29,'JUNE (물량흐름)'!$T$13:$T$493)+SUMIF('JUNE (물량흐름)'!$C$13:$C$493,'WIP(재공품)'!B29,'JUNE (물량흐름)'!$U$13:$U$493)+SUMIF('JUNE (물량흐름)'!$C$13:$C$493,'WIP(재공품)'!B29,'JUNE (물량흐름)'!$V$13:$V$493)-SUMIF('JUNE (물량흐름)'!$C$13:$C$493,'WIP(재공품)'!B29,'JUNE (물량흐름)'!$Y$13:$Y$493)</f>
        <v>144</v>
      </c>
      <c r="T29" s="112">
        <f>SUMIF('JUNE (물량흐름)'!$C$13:$C$502,'WIP(재공품)'!B29,'JUNE (물량흐름)'!$Y$13:$Y$502)</f>
        <v>0</v>
      </c>
      <c r="U29" s="167">
        <f>SUMIF('Direct labour(직접노무비)'!$C$12:$C$503,'WIP(재공품)'!B29,'Direct labour(직접노무비)'!$U$12:$U$503)+SUMIF('Overhead exp(제조경비)'!$C$12:$C$503,'WIP(재공품)'!B29,'Overhead exp(제조경비)'!$U$12:$U$503)</f>
        <v>0</v>
      </c>
      <c r="V29" s="112">
        <f>SUMIF('Direct labour(직접노무비)'!$C$12:$C$503,'WIP(재공품)'!B29,'Direct labour(직접노무비)'!$Q$12:$Q$503)</f>
        <v>1627393</v>
      </c>
      <c r="W29" s="112">
        <f>SUMIF('Overhead exp(제조경비)'!$C$12:$C$503,'WIP(재공품)'!B29,'Overhead exp(제조경비)'!$Q$12:$Q$503)</f>
        <v>2676764</v>
      </c>
      <c r="X29" s="112">
        <f t="shared" si="5"/>
        <v>4304157</v>
      </c>
      <c r="Y29" s="112">
        <f ca="1">ROUND(SUMIF('JUNE (물량흐름)'!$C$13:$C$502,'WIP(재공품)'!B29,'JUNE (물량흐름)'!$N$13:$N$488),0)</f>
        <v>0</v>
      </c>
      <c r="Z29" s="112">
        <f>ROUND(SUMIF('JUNE (물량흐름)'!$C$13:$C$502,'WIP(재공품)'!B29,'JUNE (물량흐름)'!$O$13:$O$502),0)</f>
        <v>0</v>
      </c>
      <c r="AA29" s="112">
        <f>ROUND(SUMIF('JUNE (물량흐름)'!$C$13:$C$502,'WIP(재공품)'!B29,'JUNE (물량흐름)'!$P$13:$P$502),0)</f>
        <v>0</v>
      </c>
      <c r="AB29" s="112">
        <f t="shared" ca="1" si="6"/>
        <v>0</v>
      </c>
      <c r="AC29" s="112">
        <f t="shared" si="7"/>
        <v>0</v>
      </c>
      <c r="AD29" s="381">
        <f t="shared" ca="1" si="11"/>
        <v>0</v>
      </c>
      <c r="AE29" s="381">
        <f t="shared" si="9"/>
        <v>0</v>
      </c>
      <c r="AF29" s="382"/>
      <c r="AG29" s="382">
        <v>0.3</v>
      </c>
      <c r="AH29" s="383">
        <f t="shared" si="10"/>
        <v>4.9999999999999989E-2</v>
      </c>
      <c r="AJ29" s="383"/>
      <c r="AL29" s="385"/>
      <c r="AM29" s="381"/>
      <c r="AN29" s="382"/>
      <c r="AO29" s="382"/>
      <c r="AP29" s="383"/>
      <c r="AQ29" s="383"/>
    </row>
    <row r="30" spans="1:43" s="384" customFormat="1" ht="18.75" customHeight="1">
      <c r="A30" s="167">
        <v>19</v>
      </c>
      <c r="B30" s="240">
        <f>VLOOKUP(A30,'JUNE (물량흐름)'!$A$13:$C$502,3,0)</f>
        <v>100004400</v>
      </c>
      <c r="C30" s="21" t="str">
        <f>VLOOKUP(A30,'JUNE (물량흐름)'!$A$13:$C$502,2,0)</f>
        <v>ALFANI</v>
      </c>
      <c r="D30" s="212">
        <v>0.36</v>
      </c>
      <c r="E30" s="6">
        <f>VLOOKUP(B30,'Sales profit (스타일 별 매출이익)'!$D$9:$P$491,13,0)</f>
        <v>8163</v>
      </c>
      <c r="F30" s="112">
        <f>IFERROR(VLOOKUP(B30,O.B.JUNE!$N$7:$Q$448,2,0),0)</f>
        <v>0</v>
      </c>
      <c r="G30" s="112">
        <f>IFERROR(VLOOKUP(B30,O.B.JUNE!$N$7:$Q$448,3,0),0)</f>
        <v>0</v>
      </c>
      <c r="H30" s="112">
        <f>IFERROR(VLOOKUP(B30,O.B.JUNE!$N$7:$Q$448,4,0),0)</f>
        <v>66</v>
      </c>
      <c r="I30" s="112">
        <f t="shared" si="2"/>
        <v>66</v>
      </c>
      <c r="J30" s="112">
        <f>IFERROR(VLOOKUP(B30,O.B.JUNE!$AA$7:$AG$448,7,0),0)</f>
        <v>1905620</v>
      </c>
      <c r="K30" s="112">
        <f>IFERROR(VLOOKUP(B30,O.B.JUNE!$AI$7:$AO$448,7,0),0)</f>
        <v>2672033</v>
      </c>
      <c r="L30" s="112">
        <f t="shared" si="3"/>
        <v>4577653</v>
      </c>
      <c r="M30" s="112">
        <f>ROUND(SUMIF('JUNE (물량흐름)'!$C$13:$C$502,'WIP(재공품)'!B30,'JUNE (물량흐름)'!$H$13:$H$502)+SUMIF('JUNE (물량흐름)'!$C$13:$C$502,'WIP(재공품)'!B30,'JUNE (물량흐름)'!$V$13:$V$502),0)</f>
        <v>0</v>
      </c>
      <c r="N30" s="112">
        <f>SUMIF('Direct labour(직접노무비)'!$C$12:$C$503,'WIP(재공품)'!B30,'Direct labour(직접노무비)'!$O$12:$O$503)</f>
        <v>0</v>
      </c>
      <c r="O30" s="112">
        <f>SUMIF('Overhead exp(제조경비)'!$C$12:$C$503,'WIP(재공품)'!B30,'Overhead exp(제조경비)'!$O$12:$O$503)</f>
        <v>0</v>
      </c>
      <c r="P30" s="112">
        <f t="shared" si="4"/>
        <v>0</v>
      </c>
      <c r="Q30" s="112">
        <v>0</v>
      </c>
      <c r="R30" s="112">
        <v>0</v>
      </c>
      <c r="S30" s="112">
        <f>SUMIF('JUNE (물량흐름)'!$C$13:$C$493,'WIP(재공품)'!B30,'JUNE (물량흐름)'!$T$13:$T$493)+SUMIF('JUNE (물량흐름)'!$C$13:$C$493,'WIP(재공품)'!B30,'JUNE (물량흐름)'!$U$13:$U$493)+SUMIF('JUNE (물량흐름)'!$C$13:$C$493,'WIP(재공품)'!B30,'JUNE (물량흐름)'!$V$13:$V$493)-SUMIF('JUNE (물량흐름)'!$C$13:$C$493,'WIP(재공품)'!B30,'JUNE (물량흐름)'!$Y$13:$Y$493)</f>
        <v>66</v>
      </c>
      <c r="T30" s="112">
        <f>SUMIF('JUNE (물량흐름)'!$C$13:$C$502,'WIP(재공품)'!B30,'JUNE (물량흐름)'!$Y$13:$Y$502)</f>
        <v>0</v>
      </c>
      <c r="U30" s="167">
        <f>SUMIF('Direct labour(직접노무비)'!$C$12:$C$503,'WIP(재공품)'!B30,'Direct labour(직접노무비)'!$U$12:$U$503)+SUMIF('Overhead exp(제조경비)'!$C$12:$C$503,'WIP(재공품)'!B30,'Overhead exp(제조경비)'!$U$12:$U$503)</f>
        <v>0</v>
      </c>
      <c r="V30" s="112">
        <f>SUMIF('Direct labour(직접노무비)'!$C$12:$C$503,'WIP(재공품)'!B30,'Direct labour(직접노무비)'!$Q$12:$Q$503)</f>
        <v>1905620</v>
      </c>
      <c r="W30" s="112">
        <f>SUMIF('Overhead exp(제조경비)'!$C$12:$C$503,'WIP(재공품)'!B30,'Overhead exp(제조경비)'!$Q$12:$Q$503)</f>
        <v>2672033</v>
      </c>
      <c r="X30" s="112">
        <f t="shared" si="5"/>
        <v>4577653</v>
      </c>
      <c r="Y30" s="112">
        <f ca="1">ROUND(SUMIF('JUNE (물량흐름)'!$C$13:$C$502,'WIP(재공품)'!B30,'JUNE (물량흐름)'!$N$13:$N$488),0)</f>
        <v>0</v>
      </c>
      <c r="Z30" s="112">
        <f>ROUND(SUMIF('JUNE (물량흐름)'!$C$13:$C$502,'WIP(재공품)'!B30,'JUNE (물량흐름)'!$O$13:$O$502),0)</f>
        <v>0</v>
      </c>
      <c r="AA30" s="112">
        <f>ROUND(SUMIF('JUNE (물량흐름)'!$C$13:$C$502,'WIP(재공품)'!B30,'JUNE (물량흐름)'!$P$13:$P$502),0)</f>
        <v>0</v>
      </c>
      <c r="AB30" s="112">
        <f t="shared" ca="1" si="6"/>
        <v>0</v>
      </c>
      <c r="AC30" s="112">
        <f t="shared" si="7"/>
        <v>0</v>
      </c>
      <c r="AD30" s="381">
        <f t="shared" ca="1" si="11"/>
        <v>0</v>
      </c>
      <c r="AE30" s="381">
        <f t="shared" si="9"/>
        <v>0</v>
      </c>
      <c r="AF30" s="382"/>
      <c r="AG30" s="382">
        <v>0.3</v>
      </c>
      <c r="AH30" s="383">
        <f t="shared" si="10"/>
        <v>0.06</v>
      </c>
      <c r="AJ30" s="383"/>
      <c r="AL30" s="385"/>
      <c r="AM30" s="381"/>
      <c r="AN30" s="382"/>
      <c r="AO30" s="382"/>
      <c r="AP30" s="383"/>
      <c r="AQ30" s="383"/>
    </row>
    <row r="31" spans="1:43" s="384" customFormat="1" ht="18.75" customHeight="1">
      <c r="A31" s="167">
        <v>20</v>
      </c>
      <c r="B31" s="240">
        <f>VLOOKUP(A31,'JUNE (물량흐름)'!$A$13:$C$502,3,0)</f>
        <v>100008889</v>
      </c>
      <c r="C31" s="21" t="str">
        <f>VLOOKUP(A31,'JUNE (물량흐름)'!$A$13:$C$502,2,0)</f>
        <v>ALFANI</v>
      </c>
      <c r="D31" s="212">
        <v>0.36</v>
      </c>
      <c r="E31" s="6">
        <f>VLOOKUP(B31,'Sales profit (스타일 별 매출이익)'!$D$9:$P$491,13,0)</f>
        <v>8163</v>
      </c>
      <c r="F31" s="112">
        <f>IFERROR(VLOOKUP(B31,O.B.JUNE!$N$7:$Q$448,2,0),0)</f>
        <v>0</v>
      </c>
      <c r="G31" s="112">
        <f>IFERROR(VLOOKUP(B31,O.B.JUNE!$N$7:$Q$448,3,0),0)</f>
        <v>0</v>
      </c>
      <c r="H31" s="112">
        <f>IFERROR(VLOOKUP(B31,O.B.JUNE!$N$7:$Q$448,4,0),0)</f>
        <v>164</v>
      </c>
      <c r="I31" s="112">
        <f t="shared" si="2"/>
        <v>164</v>
      </c>
      <c r="J31" s="112">
        <f>IFERROR(VLOOKUP(B31,O.B.JUNE!$AA$7:$AG$448,7,0),0)</f>
        <v>2334808</v>
      </c>
      <c r="K31" s="112">
        <f>IFERROR(VLOOKUP(B31,O.B.JUNE!$AI$7:$AO$448,7,0),0)</f>
        <v>3240857</v>
      </c>
      <c r="L31" s="112">
        <f t="shared" si="3"/>
        <v>5575665</v>
      </c>
      <c r="M31" s="112">
        <f>ROUND(SUMIF('JUNE (물량흐름)'!$C$13:$C$502,'WIP(재공품)'!B31,'JUNE (물량흐름)'!$H$13:$H$502)+SUMIF('JUNE (물량흐름)'!$C$13:$C$502,'WIP(재공품)'!B31,'JUNE (물량흐름)'!$V$13:$V$502),0)</f>
        <v>0</v>
      </c>
      <c r="N31" s="112">
        <f>SUMIF('Direct labour(직접노무비)'!$C$12:$C$503,'WIP(재공품)'!B31,'Direct labour(직접노무비)'!$O$12:$O$503)</f>
        <v>0</v>
      </c>
      <c r="O31" s="112">
        <f>SUMIF('Overhead exp(제조경비)'!$C$12:$C$503,'WIP(재공품)'!B31,'Overhead exp(제조경비)'!$O$12:$O$503)</f>
        <v>0</v>
      </c>
      <c r="P31" s="112">
        <f t="shared" si="4"/>
        <v>0</v>
      </c>
      <c r="Q31" s="112">
        <v>0</v>
      </c>
      <c r="R31" s="112">
        <v>0</v>
      </c>
      <c r="S31" s="112">
        <f>SUMIF('JUNE (물량흐름)'!$C$13:$C$493,'WIP(재공품)'!B31,'JUNE (물량흐름)'!$T$13:$T$493)+SUMIF('JUNE (물량흐름)'!$C$13:$C$493,'WIP(재공품)'!B31,'JUNE (물량흐름)'!$U$13:$U$493)+SUMIF('JUNE (물량흐름)'!$C$13:$C$493,'WIP(재공품)'!B31,'JUNE (물량흐름)'!$V$13:$V$493)-SUMIF('JUNE (물량흐름)'!$C$13:$C$493,'WIP(재공품)'!B31,'JUNE (물량흐름)'!$Y$13:$Y$493)</f>
        <v>164</v>
      </c>
      <c r="T31" s="112">
        <f>SUMIF('JUNE (물량흐름)'!$C$13:$C$502,'WIP(재공품)'!B31,'JUNE (물량흐름)'!$Y$13:$Y$502)</f>
        <v>0</v>
      </c>
      <c r="U31" s="167">
        <f>SUMIF('Direct labour(직접노무비)'!$C$12:$C$503,'WIP(재공품)'!B31,'Direct labour(직접노무비)'!$U$12:$U$503)+SUMIF('Overhead exp(제조경비)'!$C$12:$C$503,'WIP(재공품)'!B31,'Overhead exp(제조경비)'!$U$12:$U$503)</f>
        <v>0</v>
      </c>
      <c r="V31" s="112">
        <f>SUMIF('Direct labour(직접노무비)'!$C$12:$C$503,'WIP(재공품)'!B31,'Direct labour(직접노무비)'!$Q$12:$Q$503)</f>
        <v>2334808</v>
      </c>
      <c r="W31" s="112">
        <f>SUMIF('Overhead exp(제조경비)'!$C$12:$C$503,'WIP(재공품)'!B31,'Overhead exp(제조경비)'!$Q$12:$Q$503)</f>
        <v>3240857</v>
      </c>
      <c r="X31" s="112">
        <f t="shared" si="5"/>
        <v>5575665</v>
      </c>
      <c r="Y31" s="112">
        <f ca="1">ROUND(SUMIF('JUNE (물량흐름)'!$C$13:$C$502,'WIP(재공품)'!B31,'JUNE (물량흐름)'!$N$13:$N$488),0)</f>
        <v>0</v>
      </c>
      <c r="Z31" s="112">
        <f>ROUND(SUMIF('JUNE (물량흐름)'!$C$13:$C$502,'WIP(재공품)'!B31,'JUNE (물량흐름)'!$O$13:$O$502),0)</f>
        <v>0</v>
      </c>
      <c r="AA31" s="112">
        <f>ROUND(SUMIF('JUNE (물량흐름)'!$C$13:$C$502,'WIP(재공품)'!B31,'JUNE (물량흐름)'!$P$13:$P$502),0)</f>
        <v>0</v>
      </c>
      <c r="AB31" s="112">
        <f t="shared" ca="1" si="6"/>
        <v>0</v>
      </c>
      <c r="AC31" s="112">
        <f t="shared" si="7"/>
        <v>0</v>
      </c>
      <c r="AD31" s="381">
        <f t="shared" ca="1" si="11"/>
        <v>0</v>
      </c>
      <c r="AE31" s="381">
        <f t="shared" si="9"/>
        <v>0</v>
      </c>
      <c r="AF31" s="382"/>
      <c r="AG31" s="382">
        <v>0.3</v>
      </c>
      <c r="AH31" s="383">
        <f t="shared" si="10"/>
        <v>0.06</v>
      </c>
      <c r="AJ31" s="383"/>
      <c r="AL31" s="385"/>
      <c r="AM31" s="381"/>
      <c r="AN31" s="382"/>
      <c r="AO31" s="382"/>
      <c r="AP31" s="383"/>
      <c r="AQ31" s="383"/>
    </row>
    <row r="32" spans="1:43" s="384" customFormat="1" ht="18.75" customHeight="1">
      <c r="A32" s="167">
        <v>21</v>
      </c>
      <c r="B32" s="240">
        <f>VLOOKUP(A32,'JUNE (물량흐름)'!$A$13:$C$502,3,0)</f>
        <v>100010579</v>
      </c>
      <c r="C32" s="21" t="str">
        <f>VLOOKUP(A32,'JUNE (물량흐름)'!$A$13:$C$502,2,0)</f>
        <v>ALFANI</v>
      </c>
      <c r="D32" s="212">
        <v>1.98</v>
      </c>
      <c r="E32" s="6">
        <f>VLOOKUP(B32,'Sales profit (스타일 별 매출이익)'!$D$9:$P$491,13,0)</f>
        <v>44896.5</v>
      </c>
      <c r="F32" s="112">
        <f>IFERROR(VLOOKUP(B32,O.B.JUNE!$N$7:$Q$448,2,0),0)</f>
        <v>0</v>
      </c>
      <c r="G32" s="112">
        <f>IFERROR(VLOOKUP(B32,O.B.JUNE!$N$7:$Q$448,3,0),0)</f>
        <v>442</v>
      </c>
      <c r="H32" s="112">
        <f>IFERROR(VLOOKUP(B32,O.B.JUNE!$N$7:$Q$448,4,0),0)</f>
        <v>1015</v>
      </c>
      <c r="I32" s="112">
        <f t="shared" si="2"/>
        <v>1457</v>
      </c>
      <c r="J32" s="112">
        <f>IFERROR(VLOOKUP(B32,O.B.JUNE!$AA$7:$AG$448,7,0),0)</f>
        <v>19418002</v>
      </c>
      <c r="K32" s="112">
        <f>IFERROR(VLOOKUP(B32,O.B.JUNE!$AI$7:$AO$448,7,0),0)</f>
        <v>37742053</v>
      </c>
      <c r="L32" s="112">
        <f t="shared" si="3"/>
        <v>57160055</v>
      </c>
      <c r="M32" s="112">
        <f>ROUND(SUMIF('JUNE (물량흐름)'!$C$13:$C$502,'WIP(재공품)'!B32,'JUNE (물량흐름)'!$H$13:$H$502)+SUMIF('JUNE (물량흐름)'!$C$13:$C$502,'WIP(재공품)'!B32,'JUNE (물량흐름)'!$V$13:$V$502),0)</f>
        <v>859</v>
      </c>
      <c r="N32" s="112">
        <f>SUMIF('Direct labour(직접노무비)'!$C$12:$C$503,'WIP(재공품)'!B32,'Direct labour(직접노무비)'!$O$12:$O$503)</f>
        <v>13565945</v>
      </c>
      <c r="O32" s="112">
        <f>SUMIF('Overhead exp(제조경비)'!$C$12:$C$503,'WIP(재공품)'!B32,'Overhead exp(제조경비)'!$O$12:$O$503)</f>
        <v>26504307</v>
      </c>
      <c r="P32" s="112">
        <f t="shared" si="4"/>
        <v>40070252</v>
      </c>
      <c r="Q32" s="112">
        <v>0</v>
      </c>
      <c r="R32" s="112">
        <v>0</v>
      </c>
      <c r="S32" s="112">
        <f>SUMIF('JUNE (물량흐름)'!$C$13:$C$493,'WIP(재공품)'!B32,'JUNE (물량흐름)'!$T$13:$T$493)+SUMIF('JUNE (물량흐름)'!$C$13:$C$493,'WIP(재공품)'!B32,'JUNE (물량흐름)'!$U$13:$U$493)+SUMIF('JUNE (물량흐름)'!$C$13:$C$493,'WIP(재공품)'!B32,'JUNE (물량흐름)'!$V$13:$V$493)-SUMIF('JUNE (물량흐름)'!$C$13:$C$493,'WIP(재공품)'!B32,'JUNE (물량흐름)'!$Y$13:$Y$493)</f>
        <v>1367</v>
      </c>
      <c r="T32" s="112">
        <f>SUMIF('JUNE (물량흐름)'!$C$13:$C$502,'WIP(재공품)'!B32,'JUNE (물량흐름)'!$Y$13:$Y$502)</f>
        <v>0</v>
      </c>
      <c r="U32" s="167">
        <f>SUMIF('Direct labour(직접노무비)'!$C$12:$C$503,'WIP(재공품)'!B32,'Direct labour(직접노무비)'!$U$12:$U$503)+SUMIF('Overhead exp(제조경비)'!$C$12:$C$503,'WIP(재공품)'!B32,'Overhead exp(제조경비)'!$U$12:$U$503)</f>
        <v>0</v>
      </c>
      <c r="V32" s="112">
        <f>SUMIF('Direct labour(직접노무비)'!$C$12:$C$503,'WIP(재공품)'!B32,'Direct labour(직접노무비)'!$Q$12:$Q$503)</f>
        <v>19468504</v>
      </c>
      <c r="W32" s="112">
        <f>SUMIF('Overhead exp(제조경비)'!$C$12:$C$503,'WIP(재공품)'!B32,'Overhead exp(제조경비)'!$Q$12:$Q$503)</f>
        <v>37920887</v>
      </c>
      <c r="X32" s="112">
        <f t="shared" si="5"/>
        <v>57389391</v>
      </c>
      <c r="Y32" s="112">
        <f ca="1">ROUND(SUMIF('JUNE (물량흐름)'!$C$13:$C$502,'WIP(재공품)'!B32,'JUNE (물량흐름)'!$N$13:$N$488),0)</f>
        <v>0</v>
      </c>
      <c r="Z32" s="112">
        <f>ROUND(SUMIF('JUNE (물량흐름)'!$C$13:$C$502,'WIP(재공품)'!B32,'JUNE (물량흐름)'!$O$13:$O$502),0)</f>
        <v>389</v>
      </c>
      <c r="AA32" s="112">
        <f>ROUND(SUMIF('JUNE (물량흐름)'!$C$13:$C$502,'WIP(재공품)'!B32,'JUNE (물량흐름)'!$P$13:$P$502),0)</f>
        <v>560</v>
      </c>
      <c r="AB32" s="112">
        <f t="shared" ca="1" si="6"/>
        <v>949</v>
      </c>
      <c r="AC32" s="112">
        <f t="shared" si="7"/>
        <v>39840916</v>
      </c>
      <c r="AD32" s="381">
        <f t="shared" ca="1" si="11"/>
        <v>0</v>
      </c>
      <c r="AE32" s="381">
        <f t="shared" si="9"/>
        <v>0</v>
      </c>
      <c r="AF32" s="382"/>
      <c r="AG32" s="382">
        <v>0.3</v>
      </c>
      <c r="AH32" s="383">
        <f t="shared" si="10"/>
        <v>1.68</v>
      </c>
      <c r="AJ32" s="383"/>
      <c r="AL32" s="385"/>
      <c r="AM32" s="381"/>
      <c r="AN32" s="382"/>
      <c r="AO32" s="382"/>
      <c r="AP32" s="383"/>
      <c r="AQ32" s="383"/>
    </row>
    <row r="33" spans="1:43" s="384" customFormat="1" ht="18.75" customHeight="1">
      <c r="A33" s="167">
        <v>22</v>
      </c>
      <c r="B33" s="240">
        <f>VLOOKUP(A33,'JUNE (물량흐름)'!$A$13:$C$502,3,0)</f>
        <v>174034722</v>
      </c>
      <c r="C33" s="21" t="str">
        <f>VLOOKUP(A33,'JUNE (물량흐름)'!$A$13:$C$502,2,0)</f>
        <v>TALBOTS</v>
      </c>
      <c r="D33" s="212">
        <v>0.35</v>
      </c>
      <c r="E33" s="6">
        <f>VLOOKUP(B33,'Sales profit (스타일 별 매출이익)'!$D$9:$P$491,13,0)</f>
        <v>7936.2499999999991</v>
      </c>
      <c r="F33" s="112">
        <f>IFERROR(VLOOKUP(B33,O.B.JUNE!$N$7:$Q$448,2,0),0)</f>
        <v>0</v>
      </c>
      <c r="G33" s="112">
        <f>IFERROR(VLOOKUP(B33,O.B.JUNE!$N$7:$Q$448,3,0),0)</f>
        <v>0</v>
      </c>
      <c r="H33" s="112">
        <f>IFERROR(VLOOKUP(B33,O.B.JUNE!$N$7:$Q$448,4,0),0)</f>
        <v>182</v>
      </c>
      <c r="I33" s="112">
        <f t="shared" si="2"/>
        <v>182</v>
      </c>
      <c r="J33" s="112">
        <f>IFERROR(VLOOKUP(B33,O.B.JUNE!$AA$7:$AG$448,7,0),0)</f>
        <v>4500604</v>
      </c>
      <c r="K33" s="112">
        <f>IFERROR(VLOOKUP(B33,O.B.JUNE!$AI$7:$AO$448,7,0),0)</f>
        <v>6251283</v>
      </c>
      <c r="L33" s="112">
        <f t="shared" si="3"/>
        <v>10751887</v>
      </c>
      <c r="M33" s="112">
        <f>ROUND(SUMIF('JUNE (물량흐름)'!$C$13:$C$502,'WIP(재공품)'!B33,'JUNE (물량흐름)'!$H$13:$H$502)+SUMIF('JUNE (물량흐름)'!$C$13:$C$502,'WIP(재공품)'!B33,'JUNE (물량흐름)'!$V$13:$V$502),0)</f>
        <v>0</v>
      </c>
      <c r="N33" s="112">
        <f>SUMIF('Direct labour(직접노무비)'!$C$12:$C$503,'WIP(재공품)'!B33,'Direct labour(직접노무비)'!$O$12:$O$503)</f>
        <v>0</v>
      </c>
      <c r="O33" s="112">
        <f>SUMIF('Overhead exp(제조경비)'!$C$12:$C$503,'WIP(재공품)'!B33,'Overhead exp(제조경비)'!$O$12:$O$503)</f>
        <v>0</v>
      </c>
      <c r="P33" s="112">
        <f t="shared" si="4"/>
        <v>0</v>
      </c>
      <c r="Q33" s="112">
        <v>0</v>
      </c>
      <c r="R33" s="112">
        <v>0</v>
      </c>
      <c r="S33" s="112">
        <f>SUMIF('JUNE (물량흐름)'!$C$13:$C$493,'WIP(재공품)'!B33,'JUNE (물량흐름)'!$T$13:$T$493)+SUMIF('JUNE (물량흐름)'!$C$13:$C$493,'WIP(재공품)'!B33,'JUNE (물량흐름)'!$U$13:$U$493)+SUMIF('JUNE (물량흐름)'!$C$13:$C$493,'WIP(재공품)'!B33,'JUNE (물량흐름)'!$V$13:$V$493)-SUMIF('JUNE (물량흐름)'!$C$13:$C$493,'WIP(재공품)'!B33,'JUNE (물량흐름)'!$Y$13:$Y$493)</f>
        <v>182</v>
      </c>
      <c r="T33" s="112">
        <f>SUMIF('JUNE (물량흐름)'!$C$13:$C$502,'WIP(재공품)'!B33,'JUNE (물량흐름)'!$Y$13:$Y$502)</f>
        <v>0</v>
      </c>
      <c r="U33" s="167">
        <f>SUMIF('Direct labour(직접노무비)'!$C$12:$C$503,'WIP(재공품)'!B33,'Direct labour(직접노무비)'!$U$12:$U$503)+SUMIF('Overhead exp(제조경비)'!$C$12:$C$503,'WIP(재공품)'!B33,'Overhead exp(제조경비)'!$U$12:$U$503)</f>
        <v>0</v>
      </c>
      <c r="V33" s="112">
        <f>SUMIF('Direct labour(직접노무비)'!$C$12:$C$503,'WIP(재공품)'!B33,'Direct labour(직접노무비)'!$Q$12:$Q$503)</f>
        <v>4500604</v>
      </c>
      <c r="W33" s="112">
        <f>SUMIF('Overhead exp(제조경비)'!$C$12:$C$503,'WIP(재공품)'!B33,'Overhead exp(제조경비)'!$Q$12:$Q$503)</f>
        <v>6251283</v>
      </c>
      <c r="X33" s="112">
        <f t="shared" si="5"/>
        <v>10751887</v>
      </c>
      <c r="Y33" s="112">
        <f ca="1">ROUND(SUMIF('JUNE (물량흐름)'!$C$13:$C$502,'WIP(재공품)'!B33,'JUNE (물량흐름)'!$N$13:$N$488),0)</f>
        <v>0</v>
      </c>
      <c r="Z33" s="112">
        <f>ROUND(SUMIF('JUNE (물량흐름)'!$C$13:$C$502,'WIP(재공품)'!B33,'JUNE (물량흐름)'!$O$13:$O$502),0)</f>
        <v>0</v>
      </c>
      <c r="AA33" s="112">
        <f>ROUND(SUMIF('JUNE (물량흐름)'!$C$13:$C$502,'WIP(재공품)'!B33,'JUNE (물량흐름)'!$P$13:$P$502),0)</f>
        <v>0</v>
      </c>
      <c r="AB33" s="112">
        <f t="shared" ca="1" si="6"/>
        <v>0</v>
      </c>
      <c r="AC33" s="112">
        <f t="shared" si="7"/>
        <v>0</v>
      </c>
      <c r="AD33" s="381">
        <f t="shared" ca="1" si="11"/>
        <v>0</v>
      </c>
      <c r="AE33" s="381">
        <f t="shared" si="9"/>
        <v>0</v>
      </c>
      <c r="AF33" s="382"/>
      <c r="AG33" s="382">
        <v>0.3</v>
      </c>
      <c r="AH33" s="383">
        <f t="shared" si="10"/>
        <v>4.9999999999999989E-2</v>
      </c>
      <c r="AJ33" s="383"/>
      <c r="AL33" s="385"/>
      <c r="AM33" s="381"/>
      <c r="AN33" s="382"/>
      <c r="AO33" s="382"/>
      <c r="AP33" s="383"/>
      <c r="AQ33" s="383"/>
    </row>
    <row r="34" spans="1:43" s="384" customFormat="1" ht="18.75" customHeight="1">
      <c r="A34" s="167">
        <v>23</v>
      </c>
      <c r="B34" s="240">
        <f>VLOOKUP(A34,'JUNE (물량흐름)'!$A$13:$C$502,3,0)</f>
        <v>174034719</v>
      </c>
      <c r="C34" s="21" t="str">
        <f>VLOOKUP(A34,'JUNE (물량흐름)'!$A$13:$C$502,2,0)</f>
        <v>TALBOTS</v>
      </c>
      <c r="D34" s="212">
        <v>0.35</v>
      </c>
      <c r="E34" s="6">
        <f>VLOOKUP(B34,'Sales profit (스타일 별 매출이익)'!$D$9:$P$491,13,0)</f>
        <v>7936.2499999999991</v>
      </c>
      <c r="F34" s="112">
        <f>IFERROR(VLOOKUP(B34,O.B.JUNE!$N$7:$Q$448,2,0),0)</f>
        <v>0</v>
      </c>
      <c r="G34" s="112">
        <f>IFERROR(VLOOKUP(B34,O.B.JUNE!$N$7:$Q$448,3,0),0)</f>
        <v>0</v>
      </c>
      <c r="H34" s="112">
        <f>IFERROR(VLOOKUP(B34,O.B.JUNE!$N$7:$Q$448,4,0),0)</f>
        <v>129</v>
      </c>
      <c r="I34" s="112">
        <f t="shared" si="2"/>
        <v>129</v>
      </c>
      <c r="J34" s="112">
        <f>IFERROR(VLOOKUP(B34,O.B.JUNE!$AA$7:$AG$448,7,0),0)</f>
        <v>2903453</v>
      </c>
      <c r="K34" s="112">
        <f>IFERROR(VLOOKUP(B34,O.B.JUNE!$AI$7:$AO$448,7,0),0)</f>
        <v>4360958</v>
      </c>
      <c r="L34" s="112">
        <f t="shared" si="3"/>
        <v>7264411</v>
      </c>
      <c r="M34" s="112">
        <f>ROUND(SUMIF('JUNE (물량흐름)'!$C$13:$C$502,'WIP(재공품)'!B34,'JUNE (물량흐름)'!$H$13:$H$502)+SUMIF('JUNE (물량흐름)'!$C$13:$C$502,'WIP(재공품)'!B34,'JUNE (물량흐름)'!$V$13:$V$502),0)</f>
        <v>0</v>
      </c>
      <c r="N34" s="112">
        <f>SUMIF('Direct labour(직접노무비)'!$C$12:$C$503,'WIP(재공품)'!B34,'Direct labour(직접노무비)'!$O$12:$O$503)</f>
        <v>0</v>
      </c>
      <c r="O34" s="112">
        <f>SUMIF('Overhead exp(제조경비)'!$C$12:$C$503,'WIP(재공품)'!B34,'Overhead exp(제조경비)'!$O$12:$O$503)</f>
        <v>0</v>
      </c>
      <c r="P34" s="112">
        <f t="shared" si="4"/>
        <v>0</v>
      </c>
      <c r="Q34" s="112">
        <v>0</v>
      </c>
      <c r="R34" s="112">
        <v>0</v>
      </c>
      <c r="S34" s="112">
        <f>SUMIF('JUNE (물량흐름)'!$C$13:$C$493,'WIP(재공품)'!B34,'JUNE (물량흐름)'!$T$13:$T$493)+SUMIF('JUNE (물량흐름)'!$C$13:$C$493,'WIP(재공품)'!B34,'JUNE (물량흐름)'!$U$13:$U$493)+SUMIF('JUNE (물량흐름)'!$C$13:$C$493,'WIP(재공품)'!B34,'JUNE (물량흐름)'!$V$13:$V$493)-SUMIF('JUNE (물량흐름)'!$C$13:$C$493,'WIP(재공품)'!B34,'JUNE (물량흐름)'!$Y$13:$Y$493)</f>
        <v>129</v>
      </c>
      <c r="T34" s="112">
        <f>SUMIF('JUNE (물량흐름)'!$C$13:$C$502,'WIP(재공품)'!B34,'JUNE (물량흐름)'!$Y$13:$Y$502)</f>
        <v>0</v>
      </c>
      <c r="U34" s="167">
        <f>SUMIF('Direct labour(직접노무비)'!$C$12:$C$503,'WIP(재공품)'!B34,'Direct labour(직접노무비)'!$U$12:$U$503)+SUMIF('Overhead exp(제조경비)'!$C$12:$C$503,'WIP(재공품)'!B34,'Overhead exp(제조경비)'!$U$12:$U$503)</f>
        <v>0</v>
      </c>
      <c r="V34" s="112">
        <f>SUMIF('Direct labour(직접노무비)'!$C$12:$C$503,'WIP(재공품)'!B34,'Direct labour(직접노무비)'!$Q$12:$Q$503)</f>
        <v>2903453</v>
      </c>
      <c r="W34" s="112">
        <f>SUMIF('Overhead exp(제조경비)'!$C$12:$C$503,'WIP(재공품)'!B34,'Overhead exp(제조경비)'!$Q$12:$Q$503)</f>
        <v>4360958</v>
      </c>
      <c r="X34" s="112">
        <f t="shared" si="5"/>
        <v>7264411</v>
      </c>
      <c r="Y34" s="112">
        <f ca="1">ROUND(SUMIF('JUNE (물량흐름)'!$C$13:$C$502,'WIP(재공품)'!B34,'JUNE (물량흐름)'!$N$13:$N$488),0)</f>
        <v>0</v>
      </c>
      <c r="Z34" s="112">
        <f>ROUND(SUMIF('JUNE (물량흐름)'!$C$13:$C$502,'WIP(재공품)'!B34,'JUNE (물량흐름)'!$O$13:$O$502),0)</f>
        <v>0</v>
      </c>
      <c r="AA34" s="112">
        <f>ROUND(SUMIF('JUNE (물량흐름)'!$C$13:$C$502,'WIP(재공품)'!B34,'JUNE (물량흐름)'!$P$13:$P$502),0)</f>
        <v>0</v>
      </c>
      <c r="AB34" s="112">
        <f t="shared" ca="1" si="6"/>
        <v>0</v>
      </c>
      <c r="AC34" s="112">
        <f t="shared" si="7"/>
        <v>0</v>
      </c>
      <c r="AD34" s="381">
        <f t="shared" ca="1" si="11"/>
        <v>0</v>
      </c>
      <c r="AE34" s="381">
        <f t="shared" si="9"/>
        <v>0</v>
      </c>
      <c r="AF34" s="382"/>
      <c r="AG34" s="382">
        <v>0</v>
      </c>
      <c r="AH34" s="383">
        <f t="shared" si="10"/>
        <v>0.35</v>
      </c>
      <c r="AJ34" s="383"/>
      <c r="AL34" s="385"/>
      <c r="AM34" s="381"/>
      <c r="AN34" s="382"/>
      <c r="AO34" s="382"/>
      <c r="AP34" s="383"/>
      <c r="AQ34" s="383"/>
    </row>
    <row r="35" spans="1:43" s="384" customFormat="1" ht="18.75" customHeight="1">
      <c r="A35" s="167">
        <v>24</v>
      </c>
      <c r="B35" s="240">
        <f>VLOOKUP(A35,'JUNE (물량흐름)'!$A$13:$C$502,3,0)</f>
        <v>174034721</v>
      </c>
      <c r="C35" s="21" t="str">
        <f>VLOOKUP(A35,'JUNE (물량흐름)'!$A$13:$C$502,2,0)</f>
        <v>TALBOTS</v>
      </c>
      <c r="D35" s="212">
        <v>0.35</v>
      </c>
      <c r="E35" s="6">
        <f>VLOOKUP(B35,'Sales profit (스타일 별 매출이익)'!$D$9:$P$491,13,0)</f>
        <v>7936.2499999999991</v>
      </c>
      <c r="F35" s="112">
        <f>IFERROR(VLOOKUP(B35,O.B.JUNE!$N$7:$Q$448,2,0),0)</f>
        <v>0</v>
      </c>
      <c r="G35" s="112">
        <f>IFERROR(VLOOKUP(B35,O.B.JUNE!$N$7:$Q$448,3,0),0)</f>
        <v>0</v>
      </c>
      <c r="H35" s="112">
        <f>IFERROR(VLOOKUP(B35,O.B.JUNE!$N$7:$Q$448,4,0),0)</f>
        <v>109</v>
      </c>
      <c r="I35" s="112">
        <f t="shared" si="2"/>
        <v>109</v>
      </c>
      <c r="J35" s="112">
        <f>IFERROR(VLOOKUP(B35,O.B.JUNE!$AA$7:$AG$448,7,0),0)</f>
        <v>2979602</v>
      </c>
      <c r="K35" s="112">
        <f>IFERROR(VLOOKUP(B35,O.B.JUNE!$AI$7:$AO$448,7,0),0)</f>
        <v>4475333</v>
      </c>
      <c r="L35" s="112">
        <f t="shared" si="3"/>
        <v>7454935</v>
      </c>
      <c r="M35" s="112">
        <f>ROUND(SUMIF('JUNE (물량흐름)'!$C$13:$C$502,'WIP(재공품)'!B35,'JUNE (물량흐름)'!$H$13:$H$502)+SUMIF('JUNE (물량흐름)'!$C$13:$C$502,'WIP(재공품)'!B35,'JUNE (물량흐름)'!$V$13:$V$502),0)</f>
        <v>0</v>
      </c>
      <c r="N35" s="112">
        <f>SUMIF('Direct labour(직접노무비)'!$C$12:$C$503,'WIP(재공품)'!B35,'Direct labour(직접노무비)'!$O$12:$O$503)</f>
        <v>0</v>
      </c>
      <c r="O35" s="112">
        <f>SUMIF('Overhead exp(제조경비)'!$C$12:$C$503,'WIP(재공품)'!B35,'Overhead exp(제조경비)'!$O$12:$O$503)</f>
        <v>0</v>
      </c>
      <c r="P35" s="112">
        <f t="shared" si="4"/>
        <v>0</v>
      </c>
      <c r="Q35" s="112">
        <v>0</v>
      </c>
      <c r="R35" s="112">
        <v>0</v>
      </c>
      <c r="S35" s="112">
        <f>SUMIF('JUNE (물량흐름)'!$C$13:$C$493,'WIP(재공품)'!B35,'JUNE (물량흐름)'!$T$13:$T$493)+SUMIF('JUNE (물량흐름)'!$C$13:$C$493,'WIP(재공품)'!B35,'JUNE (물량흐름)'!$U$13:$U$493)+SUMIF('JUNE (물량흐름)'!$C$13:$C$493,'WIP(재공품)'!B35,'JUNE (물량흐름)'!$V$13:$V$493)-SUMIF('JUNE (물량흐름)'!$C$13:$C$493,'WIP(재공품)'!B35,'JUNE (물량흐름)'!$Y$13:$Y$493)</f>
        <v>109</v>
      </c>
      <c r="T35" s="112">
        <f>SUMIF('JUNE (물량흐름)'!$C$13:$C$502,'WIP(재공품)'!B35,'JUNE (물량흐름)'!$Y$13:$Y$502)</f>
        <v>0</v>
      </c>
      <c r="U35" s="167">
        <f>SUMIF('Direct labour(직접노무비)'!$C$12:$C$503,'WIP(재공품)'!B35,'Direct labour(직접노무비)'!$U$12:$U$503)+SUMIF('Overhead exp(제조경비)'!$C$12:$C$503,'WIP(재공품)'!B35,'Overhead exp(제조경비)'!$U$12:$U$503)</f>
        <v>0</v>
      </c>
      <c r="V35" s="112">
        <f>SUMIF('Direct labour(직접노무비)'!$C$12:$C$503,'WIP(재공품)'!B35,'Direct labour(직접노무비)'!$Q$12:$Q$503)</f>
        <v>2979602</v>
      </c>
      <c r="W35" s="112">
        <f>SUMIF('Overhead exp(제조경비)'!$C$12:$C$503,'WIP(재공품)'!B35,'Overhead exp(제조경비)'!$Q$12:$Q$503)</f>
        <v>4475333</v>
      </c>
      <c r="X35" s="112">
        <f t="shared" si="5"/>
        <v>7454935</v>
      </c>
      <c r="Y35" s="112">
        <f ca="1">ROUND(SUMIF('JUNE (물량흐름)'!$C$13:$C$502,'WIP(재공품)'!B35,'JUNE (물량흐름)'!$N$13:$N$488),0)</f>
        <v>0</v>
      </c>
      <c r="Z35" s="112">
        <f>ROUND(SUMIF('JUNE (물량흐름)'!$C$13:$C$502,'WIP(재공품)'!B35,'JUNE (물량흐름)'!$O$13:$O$502),0)</f>
        <v>0</v>
      </c>
      <c r="AA35" s="112">
        <f>ROUND(SUMIF('JUNE (물량흐름)'!$C$13:$C$502,'WIP(재공품)'!B35,'JUNE (물량흐름)'!$P$13:$P$502),0)</f>
        <v>0</v>
      </c>
      <c r="AB35" s="112">
        <f t="shared" ca="1" si="6"/>
        <v>0</v>
      </c>
      <c r="AC35" s="112">
        <f t="shared" si="7"/>
        <v>0</v>
      </c>
      <c r="AD35" s="381">
        <f t="shared" ca="1" si="11"/>
        <v>0</v>
      </c>
      <c r="AE35" s="381">
        <f t="shared" si="9"/>
        <v>0</v>
      </c>
      <c r="AF35" s="382"/>
      <c r="AG35" s="382">
        <v>0.3</v>
      </c>
      <c r="AH35" s="383">
        <f t="shared" si="10"/>
        <v>4.9999999999999989E-2</v>
      </c>
      <c r="AJ35" s="383"/>
      <c r="AL35" s="385"/>
      <c r="AM35" s="381"/>
      <c r="AN35" s="382"/>
      <c r="AO35" s="382"/>
      <c r="AP35" s="383"/>
      <c r="AQ35" s="383"/>
    </row>
    <row r="36" spans="1:43" s="384" customFormat="1" ht="18.75" customHeight="1">
      <c r="A36" s="167">
        <v>25</v>
      </c>
      <c r="B36" s="240">
        <f>VLOOKUP(A36,'JUNE (물량흐름)'!$A$13:$C$502,3,0)</f>
        <v>100003226</v>
      </c>
      <c r="C36" s="21" t="str">
        <f>VLOOKUP(A36,'JUNE (물량흐름)'!$A$13:$C$502,2,0)</f>
        <v>ALFANI</v>
      </c>
      <c r="D36" s="212">
        <v>0.35</v>
      </c>
      <c r="E36" s="6">
        <f>VLOOKUP(B36,'Sales profit (스타일 별 매출이익)'!$D$9:$P$491,13,0)</f>
        <v>7936.2499999999991</v>
      </c>
      <c r="F36" s="112">
        <f>IFERROR(VLOOKUP(B36,O.B.JUNE!$N$7:$Q$448,2,0),0)</f>
        <v>0</v>
      </c>
      <c r="G36" s="112">
        <f>IFERROR(VLOOKUP(B36,O.B.JUNE!$N$7:$Q$448,3,0),0)</f>
        <v>0</v>
      </c>
      <c r="H36" s="112">
        <f>IFERROR(VLOOKUP(B36,O.B.JUNE!$N$7:$Q$448,4,0),0)</f>
        <v>101</v>
      </c>
      <c r="I36" s="112">
        <f t="shared" si="2"/>
        <v>101</v>
      </c>
      <c r="J36" s="112">
        <f>IFERROR(VLOOKUP(B36,O.B.JUNE!$AA$7:$AG$448,7,0),0)</f>
        <v>2661513</v>
      </c>
      <c r="K36" s="112">
        <f>IFERROR(VLOOKUP(B36,O.B.JUNE!$AI$7:$AO$448,7,0),0)</f>
        <v>3997566</v>
      </c>
      <c r="L36" s="112">
        <f t="shared" si="3"/>
        <v>6659079</v>
      </c>
      <c r="M36" s="112">
        <f>ROUND(SUMIF('JUNE (물량흐름)'!$C$13:$C$502,'WIP(재공품)'!B36,'JUNE (물량흐름)'!$H$13:$H$502)+SUMIF('JUNE (물량흐름)'!$C$13:$C$502,'WIP(재공품)'!B36,'JUNE (물량흐름)'!$V$13:$V$502),0)</f>
        <v>0</v>
      </c>
      <c r="N36" s="112">
        <f>SUMIF('Direct labour(직접노무비)'!$C$12:$C$503,'WIP(재공품)'!B36,'Direct labour(직접노무비)'!$O$12:$O$503)</f>
        <v>0</v>
      </c>
      <c r="O36" s="112">
        <f>SUMIF('Overhead exp(제조경비)'!$C$12:$C$503,'WIP(재공품)'!B36,'Overhead exp(제조경비)'!$O$12:$O$503)</f>
        <v>0</v>
      </c>
      <c r="P36" s="112">
        <f t="shared" si="4"/>
        <v>0</v>
      </c>
      <c r="Q36" s="112">
        <v>0</v>
      </c>
      <c r="R36" s="112">
        <v>0</v>
      </c>
      <c r="S36" s="112">
        <f>SUMIF('JUNE (물량흐름)'!$C$13:$C$493,'WIP(재공품)'!B36,'JUNE (물량흐름)'!$T$13:$T$493)+SUMIF('JUNE (물량흐름)'!$C$13:$C$493,'WIP(재공품)'!B36,'JUNE (물량흐름)'!$U$13:$U$493)+SUMIF('JUNE (물량흐름)'!$C$13:$C$493,'WIP(재공품)'!B36,'JUNE (물량흐름)'!$V$13:$V$493)-SUMIF('JUNE (물량흐름)'!$C$13:$C$493,'WIP(재공품)'!B36,'JUNE (물량흐름)'!$Y$13:$Y$493)</f>
        <v>101</v>
      </c>
      <c r="T36" s="112">
        <f>SUMIF('JUNE (물량흐름)'!$C$13:$C$502,'WIP(재공품)'!B36,'JUNE (물량흐름)'!$Y$13:$Y$502)</f>
        <v>0</v>
      </c>
      <c r="U36" s="167">
        <f>SUMIF('Direct labour(직접노무비)'!$C$12:$C$503,'WIP(재공품)'!B36,'Direct labour(직접노무비)'!$U$12:$U$503)+SUMIF('Overhead exp(제조경비)'!$C$12:$C$503,'WIP(재공품)'!B36,'Overhead exp(제조경비)'!$U$12:$U$503)</f>
        <v>0</v>
      </c>
      <c r="V36" s="112">
        <f>SUMIF('Direct labour(직접노무비)'!$C$12:$C$503,'WIP(재공품)'!B36,'Direct labour(직접노무비)'!$Q$12:$Q$503)</f>
        <v>2661513</v>
      </c>
      <c r="W36" s="112">
        <f>SUMIF('Overhead exp(제조경비)'!$C$12:$C$503,'WIP(재공품)'!B36,'Overhead exp(제조경비)'!$Q$12:$Q$503)</f>
        <v>3997566</v>
      </c>
      <c r="X36" s="112">
        <f t="shared" si="5"/>
        <v>6659079</v>
      </c>
      <c r="Y36" s="112">
        <f ca="1">ROUND(SUMIF('JUNE (물량흐름)'!$C$13:$C$502,'WIP(재공품)'!B36,'JUNE (물량흐름)'!$N$13:$N$488),0)</f>
        <v>0</v>
      </c>
      <c r="Z36" s="112">
        <f>ROUND(SUMIF('JUNE (물량흐름)'!$C$13:$C$502,'WIP(재공품)'!B36,'JUNE (물량흐름)'!$O$13:$O$502),0)</f>
        <v>0</v>
      </c>
      <c r="AA36" s="112">
        <f>ROUND(SUMIF('JUNE (물량흐름)'!$C$13:$C$502,'WIP(재공품)'!B36,'JUNE (물량흐름)'!$P$13:$P$502),0)</f>
        <v>0</v>
      </c>
      <c r="AB36" s="112">
        <f t="shared" ca="1" si="6"/>
        <v>0</v>
      </c>
      <c r="AC36" s="112">
        <f t="shared" si="7"/>
        <v>0</v>
      </c>
      <c r="AD36" s="381">
        <f t="shared" ca="1" si="11"/>
        <v>0</v>
      </c>
      <c r="AE36" s="381">
        <f t="shared" si="9"/>
        <v>0</v>
      </c>
      <c r="AF36" s="382"/>
      <c r="AG36" s="382">
        <v>3.8</v>
      </c>
      <c r="AH36" s="383">
        <f t="shared" si="10"/>
        <v>-3.4499999999999997</v>
      </c>
      <c r="AI36" s="383"/>
      <c r="AJ36" s="383"/>
      <c r="AL36" s="385"/>
      <c r="AM36" s="381"/>
      <c r="AN36" s="382"/>
      <c r="AO36" s="382"/>
      <c r="AP36" s="383"/>
      <c r="AQ36" s="383"/>
    </row>
    <row r="37" spans="1:43" s="384" customFormat="1" ht="18.75" customHeight="1">
      <c r="A37" s="167">
        <v>26</v>
      </c>
      <c r="B37" s="240">
        <f>VLOOKUP(A37,'JUNE (물량흐름)'!$A$13:$C$502,3,0)</f>
        <v>174034717</v>
      </c>
      <c r="C37" s="21" t="str">
        <f>VLOOKUP(A37,'JUNE (물량흐름)'!$A$13:$C$502,2,0)</f>
        <v>TALBOTS</v>
      </c>
      <c r="D37" s="212">
        <v>0.35</v>
      </c>
      <c r="E37" s="6">
        <f>VLOOKUP(B37,'Sales profit (스타일 별 매출이익)'!$D$9:$P$491,13,0)</f>
        <v>7936.2499999999991</v>
      </c>
      <c r="F37" s="112">
        <f>IFERROR(VLOOKUP(B37,O.B.JUNE!$N$7:$Q$448,2,0),0)</f>
        <v>0</v>
      </c>
      <c r="G37" s="112">
        <f>IFERROR(VLOOKUP(B37,O.B.JUNE!$N$7:$Q$448,3,0),0)</f>
        <v>0</v>
      </c>
      <c r="H37" s="112">
        <f>IFERROR(VLOOKUP(B37,O.B.JUNE!$N$7:$Q$448,4,0),0)</f>
        <v>99</v>
      </c>
      <c r="I37" s="112">
        <f t="shared" si="2"/>
        <v>99</v>
      </c>
      <c r="J37" s="112">
        <f>IFERROR(VLOOKUP(B37,O.B.JUNE!$AA$7:$AG$448,7,0),0)</f>
        <v>3183266</v>
      </c>
      <c r="K37" s="112">
        <f>IFERROR(VLOOKUP(B37,O.B.JUNE!$AI$7:$AO$448,7,0),0)</f>
        <v>4781235</v>
      </c>
      <c r="L37" s="112">
        <f t="shared" si="3"/>
        <v>7964501</v>
      </c>
      <c r="M37" s="112">
        <f>ROUND(SUMIF('JUNE (물량흐름)'!$C$13:$C$502,'WIP(재공품)'!B37,'JUNE (물량흐름)'!$H$13:$H$502)+SUMIF('JUNE (물량흐름)'!$C$13:$C$502,'WIP(재공품)'!B37,'JUNE (물량흐름)'!$V$13:$V$502),0)</f>
        <v>0</v>
      </c>
      <c r="N37" s="112">
        <f>SUMIF('Direct labour(직접노무비)'!$C$12:$C$503,'WIP(재공품)'!B37,'Direct labour(직접노무비)'!$O$12:$O$503)</f>
        <v>0</v>
      </c>
      <c r="O37" s="112">
        <f>SUMIF('Overhead exp(제조경비)'!$C$12:$C$503,'WIP(재공품)'!B37,'Overhead exp(제조경비)'!$O$12:$O$503)</f>
        <v>0</v>
      </c>
      <c r="P37" s="112">
        <f t="shared" si="4"/>
        <v>0</v>
      </c>
      <c r="Q37" s="112">
        <v>0</v>
      </c>
      <c r="R37" s="112">
        <v>0</v>
      </c>
      <c r="S37" s="112">
        <f>SUMIF('JUNE (물량흐름)'!$C$13:$C$493,'WIP(재공품)'!B37,'JUNE (물량흐름)'!$T$13:$T$493)+SUMIF('JUNE (물량흐름)'!$C$13:$C$493,'WIP(재공품)'!B37,'JUNE (물량흐름)'!$U$13:$U$493)+SUMIF('JUNE (물량흐름)'!$C$13:$C$493,'WIP(재공품)'!B37,'JUNE (물량흐름)'!$V$13:$V$493)-SUMIF('JUNE (물량흐름)'!$C$13:$C$493,'WIP(재공품)'!B37,'JUNE (물량흐름)'!$Y$13:$Y$493)</f>
        <v>99</v>
      </c>
      <c r="T37" s="112">
        <f>SUMIF('JUNE (물량흐름)'!$C$13:$C$502,'WIP(재공품)'!B37,'JUNE (물량흐름)'!$Y$13:$Y$502)</f>
        <v>0</v>
      </c>
      <c r="U37" s="167">
        <f>SUMIF('Direct labour(직접노무비)'!$C$12:$C$503,'WIP(재공품)'!B37,'Direct labour(직접노무비)'!$U$12:$U$503)+SUMIF('Overhead exp(제조경비)'!$C$12:$C$503,'WIP(재공품)'!B37,'Overhead exp(제조경비)'!$U$12:$U$503)</f>
        <v>0</v>
      </c>
      <c r="V37" s="112">
        <f>SUMIF('Direct labour(직접노무비)'!$C$12:$C$503,'WIP(재공품)'!B37,'Direct labour(직접노무비)'!$Q$12:$Q$503)</f>
        <v>3183266</v>
      </c>
      <c r="W37" s="112">
        <f>SUMIF('Overhead exp(제조경비)'!$C$12:$C$503,'WIP(재공품)'!B37,'Overhead exp(제조경비)'!$Q$12:$Q$503)</f>
        <v>4781235</v>
      </c>
      <c r="X37" s="112">
        <f t="shared" si="5"/>
        <v>7964501</v>
      </c>
      <c r="Y37" s="112">
        <f ca="1">ROUND(SUMIF('JUNE (물량흐름)'!$C$13:$C$502,'WIP(재공품)'!B37,'JUNE (물량흐름)'!$N$13:$N$488),0)</f>
        <v>0</v>
      </c>
      <c r="Z37" s="112">
        <f>ROUND(SUMIF('JUNE (물량흐름)'!$C$13:$C$502,'WIP(재공품)'!B37,'JUNE (물량흐름)'!$O$13:$O$502),0)</f>
        <v>0</v>
      </c>
      <c r="AA37" s="112">
        <f>ROUND(SUMIF('JUNE (물량흐름)'!$C$13:$C$502,'WIP(재공품)'!B37,'JUNE (물량흐름)'!$P$13:$P$502),0)</f>
        <v>0</v>
      </c>
      <c r="AB37" s="112">
        <f t="shared" ca="1" si="6"/>
        <v>0</v>
      </c>
      <c r="AC37" s="112">
        <f t="shared" si="7"/>
        <v>0</v>
      </c>
      <c r="AD37" s="381">
        <f t="shared" ca="1" si="11"/>
        <v>0</v>
      </c>
      <c r="AE37" s="381">
        <f t="shared" si="9"/>
        <v>0</v>
      </c>
      <c r="AF37" s="382"/>
      <c r="AG37" s="382">
        <v>0.3</v>
      </c>
      <c r="AH37" s="383">
        <f t="shared" si="10"/>
        <v>4.9999999999999989E-2</v>
      </c>
      <c r="AJ37" s="383"/>
      <c r="AL37" s="385"/>
      <c r="AM37" s="381"/>
      <c r="AN37" s="382"/>
      <c r="AO37" s="382"/>
      <c r="AP37" s="383"/>
      <c r="AQ37" s="383"/>
    </row>
    <row r="38" spans="1:43" s="384" customFormat="1" ht="18.75" customHeight="1">
      <c r="A38" s="167">
        <v>27</v>
      </c>
      <c r="B38" s="240" t="str">
        <f>VLOOKUP(A38,'JUNE (물량흐름)'!$A$13:$C$502,3,0)</f>
        <v>7N713</v>
      </c>
      <c r="C38" s="21" t="str">
        <f>VLOOKUP(A38,'JUNE (물량흐름)'!$A$13:$C$502,2,0)</f>
        <v>ALFANI</v>
      </c>
      <c r="D38" s="212">
        <v>0.35</v>
      </c>
      <c r="E38" s="6">
        <f>VLOOKUP(B38,'Sales profit (스타일 별 매출이익)'!$D$9:$P$491,13,0)</f>
        <v>7936.2499999999991</v>
      </c>
      <c r="F38" s="112">
        <f>IFERROR(VLOOKUP(B38,O.B.JUNE!$N$7:$Q$448,2,0),0)</f>
        <v>0</v>
      </c>
      <c r="G38" s="112">
        <f>IFERROR(VLOOKUP(B38,O.B.JUNE!$N$7:$Q$448,3,0),0)</f>
        <v>0</v>
      </c>
      <c r="H38" s="112">
        <f>IFERROR(VLOOKUP(B38,O.B.JUNE!$N$7:$Q$448,4,0),0)</f>
        <v>179</v>
      </c>
      <c r="I38" s="112">
        <f t="shared" si="2"/>
        <v>179</v>
      </c>
      <c r="J38" s="112">
        <f>IFERROR(VLOOKUP(B38,O.B.JUNE!$AA$7:$AG$448,7,0),0)</f>
        <v>2473011</v>
      </c>
      <c r="K38" s="112">
        <f>IFERROR(VLOOKUP(B38,O.B.JUNE!$AI$7:$AO$448,7,0),0)</f>
        <v>3714438</v>
      </c>
      <c r="L38" s="112">
        <f t="shared" si="3"/>
        <v>6187449</v>
      </c>
      <c r="M38" s="112">
        <f>ROUND(SUMIF('JUNE (물량흐름)'!$C$13:$C$502,'WIP(재공품)'!B38,'JUNE (물량흐름)'!$H$13:$H$502)+SUMIF('JUNE (물량흐름)'!$C$13:$C$502,'WIP(재공품)'!B38,'JUNE (물량흐름)'!$V$13:$V$502),0)</f>
        <v>0</v>
      </c>
      <c r="N38" s="112">
        <f>SUMIF('Direct labour(직접노무비)'!$C$12:$C$503,'WIP(재공품)'!B38,'Direct labour(직접노무비)'!$O$12:$O$503)</f>
        <v>0</v>
      </c>
      <c r="O38" s="112">
        <f>SUMIF('Overhead exp(제조경비)'!$C$12:$C$503,'WIP(재공품)'!B38,'Overhead exp(제조경비)'!$O$12:$O$503)</f>
        <v>0</v>
      </c>
      <c r="P38" s="112">
        <f t="shared" si="4"/>
        <v>0</v>
      </c>
      <c r="Q38" s="112">
        <v>0</v>
      </c>
      <c r="R38" s="112">
        <v>0</v>
      </c>
      <c r="S38" s="112">
        <f>SUMIF('JUNE (물량흐름)'!$C$13:$C$493,'WIP(재공품)'!B38,'JUNE (물량흐름)'!$T$13:$T$493)+SUMIF('JUNE (물량흐름)'!$C$13:$C$493,'WIP(재공품)'!B38,'JUNE (물량흐름)'!$U$13:$U$493)+SUMIF('JUNE (물량흐름)'!$C$13:$C$493,'WIP(재공품)'!B38,'JUNE (물량흐름)'!$V$13:$V$493)-SUMIF('JUNE (물량흐름)'!$C$13:$C$493,'WIP(재공품)'!B38,'JUNE (물량흐름)'!$Y$13:$Y$493)</f>
        <v>0</v>
      </c>
      <c r="T38" s="112">
        <f>SUMIF('JUNE (물량흐름)'!$C$13:$C$502,'WIP(재공품)'!B38,'JUNE (물량흐름)'!$Y$13:$Y$502)</f>
        <v>0</v>
      </c>
      <c r="U38" s="167">
        <f>SUMIF('Direct labour(직접노무비)'!$C$12:$C$503,'WIP(재공품)'!B38,'Direct labour(직접노무비)'!$U$12:$U$503)+SUMIF('Overhead exp(제조경비)'!$C$12:$C$503,'WIP(재공품)'!B38,'Overhead exp(제조경비)'!$U$12:$U$503)</f>
        <v>0</v>
      </c>
      <c r="V38" s="112">
        <f>SUMIF('Direct labour(직접노무비)'!$C$12:$C$503,'WIP(재공품)'!B38,'Direct labour(직접노무비)'!$Q$12:$Q$503)</f>
        <v>0</v>
      </c>
      <c r="W38" s="112">
        <f>SUMIF('Overhead exp(제조경비)'!$C$12:$C$503,'WIP(재공품)'!B38,'Overhead exp(제조경비)'!$Q$12:$Q$503)</f>
        <v>0</v>
      </c>
      <c r="X38" s="112">
        <f t="shared" si="5"/>
        <v>0</v>
      </c>
      <c r="Y38" s="112">
        <f ca="1">ROUND(SUMIF('JUNE (물량흐름)'!$C$13:$C$502,'WIP(재공품)'!B38,'JUNE (물량흐름)'!$N$13:$N$488),0)</f>
        <v>0</v>
      </c>
      <c r="Z38" s="112">
        <f>ROUND(SUMIF('JUNE (물량흐름)'!$C$13:$C$502,'WIP(재공품)'!B38,'JUNE (물량흐름)'!$O$13:$O$502),0)</f>
        <v>0</v>
      </c>
      <c r="AA38" s="112">
        <f>ROUND(SUMIF('JUNE (물량흐름)'!$C$13:$C$502,'WIP(재공품)'!B38,'JUNE (물량흐름)'!$P$13:$P$502),0)</f>
        <v>179</v>
      </c>
      <c r="AB38" s="112">
        <f t="shared" ca="1" si="6"/>
        <v>179</v>
      </c>
      <c r="AC38" s="112">
        <f t="shared" si="7"/>
        <v>6187449</v>
      </c>
      <c r="AD38" s="381">
        <f t="shared" ca="1" si="11"/>
        <v>0</v>
      </c>
      <c r="AE38" s="381">
        <f t="shared" si="9"/>
        <v>0</v>
      </c>
      <c r="AF38" s="382"/>
      <c r="AG38" s="382">
        <v>0.3</v>
      </c>
      <c r="AH38" s="383">
        <f t="shared" si="10"/>
        <v>4.9999999999999989E-2</v>
      </c>
      <c r="AJ38" s="383"/>
      <c r="AL38" s="385"/>
      <c r="AM38" s="381"/>
      <c r="AN38" s="382"/>
      <c r="AO38" s="382"/>
      <c r="AP38" s="383"/>
      <c r="AQ38" s="383"/>
    </row>
    <row r="39" spans="1:43" s="384" customFormat="1" ht="18.75" customHeight="1">
      <c r="A39" s="167">
        <v>28</v>
      </c>
      <c r="B39" s="240" t="str">
        <f>VLOOKUP(A39,'JUNE (물량흐름)'!$A$13:$C$502,3,0)</f>
        <v>RK368419MI</v>
      </c>
      <c r="C39" s="21" t="str">
        <f>VLOOKUP(A39,'JUNE (물량흐름)'!$A$13:$C$502,2,0)</f>
        <v>NORDSTROM</v>
      </c>
      <c r="D39" s="212">
        <v>0.35</v>
      </c>
      <c r="E39" s="6">
        <f>VLOOKUP(B39,'Sales profit (스타일 별 매출이익)'!$D$9:$P$491,13,0)</f>
        <v>7936.2499999999991</v>
      </c>
      <c r="F39" s="112">
        <f>IFERROR(VLOOKUP(B39,O.B.JUNE!$N$7:$Q$448,2,0),0)</f>
        <v>0</v>
      </c>
      <c r="G39" s="112">
        <f>IFERROR(VLOOKUP(B39,O.B.JUNE!$N$7:$Q$448,3,0),0)</f>
        <v>0</v>
      </c>
      <c r="H39" s="112">
        <f>IFERROR(VLOOKUP(B39,O.B.JUNE!$N$7:$Q$448,4,0),0)</f>
        <v>71</v>
      </c>
      <c r="I39" s="112">
        <f t="shared" si="2"/>
        <v>71</v>
      </c>
      <c r="J39" s="112">
        <f>IFERROR(VLOOKUP(B39,O.B.JUNE!$AA$7:$AG$448,7,0),0)</f>
        <v>1897560</v>
      </c>
      <c r="K39" s="112">
        <f>IFERROR(VLOOKUP(B39,O.B.JUNE!$AI$7:$AO$448,7,0),0)</f>
        <v>2850117</v>
      </c>
      <c r="L39" s="112">
        <f t="shared" si="3"/>
        <v>4747677</v>
      </c>
      <c r="M39" s="112">
        <f>ROUND(SUMIF('JUNE (물량흐름)'!$C$13:$C$502,'WIP(재공품)'!B39,'JUNE (물량흐름)'!$H$13:$H$502)+SUMIF('JUNE (물량흐름)'!$C$13:$C$502,'WIP(재공품)'!B39,'JUNE (물량흐름)'!$V$13:$V$502),0)</f>
        <v>0</v>
      </c>
      <c r="N39" s="112">
        <f>SUMIF('Direct labour(직접노무비)'!$C$12:$C$503,'WIP(재공품)'!B39,'Direct labour(직접노무비)'!$O$12:$O$503)</f>
        <v>0</v>
      </c>
      <c r="O39" s="112">
        <f>SUMIF('Overhead exp(제조경비)'!$C$12:$C$503,'WIP(재공품)'!B39,'Overhead exp(제조경비)'!$O$12:$O$503)</f>
        <v>0</v>
      </c>
      <c r="P39" s="112">
        <f t="shared" si="4"/>
        <v>0</v>
      </c>
      <c r="Q39" s="112">
        <v>0</v>
      </c>
      <c r="R39" s="112">
        <v>0</v>
      </c>
      <c r="S39" s="112">
        <f>SUMIF('JUNE (물량흐름)'!$C$13:$C$493,'WIP(재공품)'!B39,'JUNE (물량흐름)'!$T$13:$T$493)+SUMIF('JUNE (물량흐름)'!$C$13:$C$493,'WIP(재공품)'!B39,'JUNE (물량흐름)'!$U$13:$U$493)+SUMIF('JUNE (물량흐름)'!$C$13:$C$493,'WIP(재공품)'!B39,'JUNE (물량흐름)'!$V$13:$V$493)-SUMIF('JUNE (물량흐름)'!$C$13:$C$493,'WIP(재공품)'!B39,'JUNE (물량흐름)'!$Y$13:$Y$493)</f>
        <v>71</v>
      </c>
      <c r="T39" s="112">
        <f>SUMIF('JUNE (물량흐름)'!$C$13:$C$502,'WIP(재공품)'!B39,'JUNE (물량흐름)'!$Y$13:$Y$502)</f>
        <v>0</v>
      </c>
      <c r="U39" s="167">
        <f>SUMIF('Direct labour(직접노무비)'!$C$12:$C$503,'WIP(재공품)'!B39,'Direct labour(직접노무비)'!$U$12:$U$503)+SUMIF('Overhead exp(제조경비)'!$C$12:$C$503,'WIP(재공품)'!B39,'Overhead exp(제조경비)'!$U$12:$U$503)</f>
        <v>0</v>
      </c>
      <c r="V39" s="112">
        <f>SUMIF('Direct labour(직접노무비)'!$C$12:$C$503,'WIP(재공품)'!B39,'Direct labour(직접노무비)'!$Q$12:$Q$503)</f>
        <v>1897560</v>
      </c>
      <c r="W39" s="112">
        <f>SUMIF('Overhead exp(제조경비)'!$C$12:$C$503,'WIP(재공품)'!B39,'Overhead exp(제조경비)'!$Q$12:$Q$503)</f>
        <v>2850117</v>
      </c>
      <c r="X39" s="112">
        <f t="shared" si="5"/>
        <v>4747677</v>
      </c>
      <c r="Y39" s="112">
        <f ca="1">ROUND(SUMIF('JUNE (물량흐름)'!$C$13:$C$502,'WIP(재공품)'!B39,'JUNE (물량흐름)'!$N$13:$N$488),0)</f>
        <v>0</v>
      </c>
      <c r="Z39" s="112">
        <f>ROUND(SUMIF('JUNE (물량흐름)'!$C$13:$C$502,'WIP(재공품)'!B39,'JUNE (물량흐름)'!$O$13:$O$502),0)</f>
        <v>0</v>
      </c>
      <c r="AA39" s="112">
        <f>ROUND(SUMIF('JUNE (물량흐름)'!$C$13:$C$502,'WIP(재공품)'!B39,'JUNE (물량흐름)'!$P$13:$P$502),0)</f>
        <v>0</v>
      </c>
      <c r="AB39" s="112">
        <f t="shared" ca="1" si="6"/>
        <v>0</v>
      </c>
      <c r="AC39" s="112">
        <f t="shared" si="7"/>
        <v>0</v>
      </c>
      <c r="AD39" s="381">
        <f t="shared" ca="1" si="11"/>
        <v>0</v>
      </c>
      <c r="AE39" s="381">
        <f t="shared" si="9"/>
        <v>0</v>
      </c>
      <c r="AF39" s="382"/>
      <c r="AG39" s="382">
        <v>0</v>
      </c>
      <c r="AH39" s="383">
        <f t="shared" si="10"/>
        <v>0.35</v>
      </c>
      <c r="AJ39" s="383"/>
      <c r="AL39" s="385"/>
      <c r="AM39" s="381"/>
      <c r="AN39" s="382"/>
      <c r="AO39" s="382"/>
      <c r="AP39" s="383"/>
      <c r="AQ39" s="383"/>
    </row>
    <row r="40" spans="1:43" s="384" customFormat="1" ht="18.75" customHeight="1">
      <c r="A40" s="167">
        <v>29</v>
      </c>
      <c r="B40" s="240">
        <f>VLOOKUP(A40,'JUNE (물량흐름)'!$A$13:$C$502,3,0)</f>
        <v>453280</v>
      </c>
      <c r="C40" s="21" t="str">
        <f>VLOOKUP(A40,'JUNE (물량흐름)'!$A$13:$C$502,2,0)</f>
        <v>ANN TAYLOR</v>
      </c>
      <c r="D40" s="212">
        <v>0.35</v>
      </c>
      <c r="E40" s="6">
        <f>VLOOKUP(B40,'Sales profit (스타일 별 매출이익)'!$D$9:$P$491,13,0)</f>
        <v>7936.2499999999991</v>
      </c>
      <c r="F40" s="112">
        <f>IFERROR(VLOOKUP(B40,O.B.JUNE!$N$7:$Q$448,2,0),0)</f>
        <v>0</v>
      </c>
      <c r="G40" s="112">
        <f>IFERROR(VLOOKUP(B40,O.B.JUNE!$N$7:$Q$448,3,0),0)</f>
        <v>0</v>
      </c>
      <c r="H40" s="112">
        <f>IFERROR(VLOOKUP(B40,O.B.JUNE!$N$7:$Q$448,4,0),0)</f>
        <v>196</v>
      </c>
      <c r="I40" s="112">
        <f t="shared" si="2"/>
        <v>196</v>
      </c>
      <c r="J40" s="112">
        <f>IFERROR(VLOOKUP(B40,O.B.JUNE!$AA$7:$AG$448,7,0),0)</f>
        <v>2511489</v>
      </c>
      <c r="K40" s="112">
        <f>IFERROR(VLOOKUP(B40,O.B.JUNE!$AI$7:$AO$448,7,0),0)</f>
        <v>3772232</v>
      </c>
      <c r="L40" s="112">
        <f t="shared" si="3"/>
        <v>6283721</v>
      </c>
      <c r="M40" s="112">
        <f>ROUND(SUMIF('JUNE (물량흐름)'!$C$13:$C$502,'WIP(재공품)'!B40,'JUNE (물량흐름)'!$H$13:$H$502)+SUMIF('JUNE (물량흐름)'!$C$13:$C$502,'WIP(재공품)'!B40,'JUNE (물량흐름)'!$V$13:$V$502),0)</f>
        <v>0</v>
      </c>
      <c r="N40" s="112">
        <f>SUMIF('Direct labour(직접노무비)'!$C$12:$C$503,'WIP(재공품)'!B40,'Direct labour(직접노무비)'!$O$12:$O$503)</f>
        <v>0</v>
      </c>
      <c r="O40" s="112">
        <f>SUMIF('Overhead exp(제조경비)'!$C$12:$C$503,'WIP(재공품)'!B40,'Overhead exp(제조경비)'!$O$12:$O$503)</f>
        <v>0</v>
      </c>
      <c r="P40" s="112">
        <f t="shared" si="4"/>
        <v>0</v>
      </c>
      <c r="Q40" s="112">
        <v>0</v>
      </c>
      <c r="R40" s="112">
        <v>0</v>
      </c>
      <c r="S40" s="112">
        <f>SUMIF('JUNE (물량흐름)'!$C$13:$C$493,'WIP(재공품)'!B40,'JUNE (물량흐름)'!$T$13:$T$493)+SUMIF('JUNE (물량흐름)'!$C$13:$C$493,'WIP(재공품)'!B40,'JUNE (물량흐름)'!$U$13:$U$493)+SUMIF('JUNE (물량흐름)'!$C$13:$C$493,'WIP(재공품)'!B40,'JUNE (물량흐름)'!$V$13:$V$493)-SUMIF('JUNE (물량흐름)'!$C$13:$C$493,'WIP(재공품)'!B40,'JUNE (물량흐름)'!$Y$13:$Y$493)</f>
        <v>196</v>
      </c>
      <c r="T40" s="112">
        <f>SUMIF('JUNE (물량흐름)'!$C$13:$C$502,'WIP(재공품)'!B40,'JUNE (물량흐름)'!$Y$13:$Y$502)</f>
        <v>0</v>
      </c>
      <c r="U40" s="167">
        <f>SUMIF('Direct labour(직접노무비)'!$C$12:$C$503,'WIP(재공품)'!B40,'Direct labour(직접노무비)'!$U$12:$U$503)+SUMIF('Overhead exp(제조경비)'!$C$12:$C$503,'WIP(재공품)'!B40,'Overhead exp(제조경비)'!$U$12:$U$503)</f>
        <v>0</v>
      </c>
      <c r="V40" s="112">
        <f>SUMIF('Direct labour(직접노무비)'!$C$12:$C$503,'WIP(재공품)'!B40,'Direct labour(직접노무비)'!$Q$12:$Q$503)</f>
        <v>2511489</v>
      </c>
      <c r="W40" s="112">
        <f>SUMIF('Overhead exp(제조경비)'!$C$12:$C$503,'WIP(재공품)'!B40,'Overhead exp(제조경비)'!$Q$12:$Q$503)</f>
        <v>3772232</v>
      </c>
      <c r="X40" s="112">
        <f t="shared" si="5"/>
        <v>6283721</v>
      </c>
      <c r="Y40" s="112">
        <f ca="1">ROUND(SUMIF('JUNE (물량흐름)'!$C$13:$C$502,'WIP(재공품)'!B40,'JUNE (물량흐름)'!$N$13:$N$488),0)</f>
        <v>0</v>
      </c>
      <c r="Z40" s="112">
        <f>ROUND(SUMIF('JUNE (물량흐름)'!$C$13:$C$502,'WIP(재공품)'!B40,'JUNE (물량흐름)'!$O$13:$O$502),0)</f>
        <v>0</v>
      </c>
      <c r="AA40" s="112">
        <f>ROUND(SUMIF('JUNE (물량흐름)'!$C$13:$C$502,'WIP(재공품)'!B40,'JUNE (물량흐름)'!$P$13:$P$502),0)</f>
        <v>0</v>
      </c>
      <c r="AB40" s="112">
        <f t="shared" ca="1" si="6"/>
        <v>0</v>
      </c>
      <c r="AC40" s="112">
        <f t="shared" si="7"/>
        <v>0</v>
      </c>
      <c r="AD40" s="381">
        <f t="shared" ca="1" si="11"/>
        <v>0</v>
      </c>
      <c r="AE40" s="381">
        <f t="shared" si="9"/>
        <v>0</v>
      </c>
      <c r="AF40" s="382"/>
      <c r="AG40" s="382">
        <v>0.3</v>
      </c>
      <c r="AH40" s="383">
        <f t="shared" si="10"/>
        <v>4.9999999999999989E-2</v>
      </c>
      <c r="AJ40" s="383"/>
      <c r="AL40" s="385"/>
      <c r="AM40" s="381"/>
      <c r="AN40" s="382"/>
      <c r="AO40" s="382"/>
      <c r="AP40" s="383"/>
      <c r="AQ40" s="383"/>
    </row>
    <row r="41" spans="1:43" s="384" customFormat="1" ht="18.75" customHeight="1">
      <c r="A41" s="167">
        <v>30</v>
      </c>
      <c r="B41" s="240">
        <f>VLOOKUP(A41,'JUNE (물량흐름)'!$A$13:$C$502,3,0)</f>
        <v>100003227</v>
      </c>
      <c r="C41" s="21" t="str">
        <f>VLOOKUP(A41,'JUNE (물량흐름)'!$A$13:$C$502,2,0)</f>
        <v>ALFANI</v>
      </c>
      <c r="D41" s="212">
        <v>0.35</v>
      </c>
      <c r="E41" s="6">
        <f>VLOOKUP(B41,'Sales profit (스타일 별 매출이익)'!$D$9:$P$491,13,0)</f>
        <v>7936.2499999999991</v>
      </c>
      <c r="F41" s="112">
        <f>IFERROR(VLOOKUP(B41,O.B.JUNE!$N$7:$Q$448,2,0),0)</f>
        <v>0</v>
      </c>
      <c r="G41" s="112">
        <f>IFERROR(VLOOKUP(B41,O.B.JUNE!$N$7:$Q$448,3,0),0)</f>
        <v>0</v>
      </c>
      <c r="H41" s="112">
        <f>IFERROR(VLOOKUP(B41,O.B.JUNE!$N$7:$Q$448,4,0),0)</f>
        <v>378</v>
      </c>
      <c r="I41" s="112">
        <f t="shared" si="2"/>
        <v>378</v>
      </c>
      <c r="J41" s="112">
        <f>IFERROR(VLOOKUP(B41,O.B.JUNE!$AA$7:$AG$448,7,0),0)</f>
        <v>4025106</v>
      </c>
      <c r="K41" s="112">
        <f>IFERROR(VLOOKUP(B41,O.B.JUNE!$AI$7:$AO$448,7,0),0)</f>
        <v>5477663</v>
      </c>
      <c r="L41" s="112">
        <f t="shared" si="3"/>
        <v>9502769</v>
      </c>
      <c r="M41" s="112">
        <f>ROUND(SUMIF('JUNE (물량흐름)'!$C$13:$C$502,'WIP(재공품)'!B41,'JUNE (물량흐름)'!$H$13:$H$502)+SUMIF('JUNE (물량흐름)'!$C$13:$C$502,'WIP(재공품)'!B41,'JUNE (물량흐름)'!$V$13:$V$502),0)</f>
        <v>0</v>
      </c>
      <c r="N41" s="112">
        <f>SUMIF('Direct labour(직접노무비)'!$C$12:$C$503,'WIP(재공품)'!B41,'Direct labour(직접노무비)'!$O$12:$O$503)</f>
        <v>0</v>
      </c>
      <c r="O41" s="112">
        <f>SUMIF('Overhead exp(제조경비)'!$C$12:$C$503,'WIP(재공품)'!B41,'Overhead exp(제조경비)'!$O$12:$O$503)</f>
        <v>0</v>
      </c>
      <c r="P41" s="112">
        <f t="shared" si="4"/>
        <v>0</v>
      </c>
      <c r="Q41" s="112">
        <v>0</v>
      </c>
      <c r="R41" s="112">
        <v>0</v>
      </c>
      <c r="S41" s="112">
        <f>SUMIF('JUNE (물량흐름)'!$C$13:$C$493,'WIP(재공품)'!B41,'JUNE (물량흐름)'!$T$13:$T$493)+SUMIF('JUNE (물량흐름)'!$C$13:$C$493,'WIP(재공품)'!B41,'JUNE (물량흐름)'!$U$13:$U$493)+SUMIF('JUNE (물량흐름)'!$C$13:$C$493,'WIP(재공품)'!B41,'JUNE (물량흐름)'!$V$13:$V$493)-SUMIF('JUNE (물량흐름)'!$C$13:$C$493,'WIP(재공품)'!B41,'JUNE (물량흐름)'!$Y$13:$Y$493)</f>
        <v>0</v>
      </c>
      <c r="T41" s="112">
        <f>SUMIF('JUNE (물량흐름)'!$C$13:$C$502,'WIP(재공품)'!B41,'JUNE (물량흐름)'!$Y$13:$Y$502)</f>
        <v>0</v>
      </c>
      <c r="U41" s="167">
        <f>SUMIF('Direct labour(직접노무비)'!$C$12:$C$503,'WIP(재공품)'!B41,'Direct labour(직접노무비)'!$U$12:$U$503)+SUMIF('Overhead exp(제조경비)'!$C$12:$C$503,'WIP(재공품)'!B41,'Overhead exp(제조경비)'!$U$12:$U$503)</f>
        <v>0</v>
      </c>
      <c r="V41" s="112">
        <f>SUMIF('Direct labour(직접노무비)'!$C$12:$C$503,'WIP(재공품)'!B41,'Direct labour(직접노무비)'!$Q$12:$Q$503)</f>
        <v>0</v>
      </c>
      <c r="W41" s="112">
        <f>SUMIF('Overhead exp(제조경비)'!$C$12:$C$503,'WIP(재공품)'!B41,'Overhead exp(제조경비)'!$Q$12:$Q$503)</f>
        <v>0</v>
      </c>
      <c r="X41" s="112">
        <f t="shared" si="5"/>
        <v>0</v>
      </c>
      <c r="Y41" s="112">
        <f ca="1">ROUND(SUMIF('JUNE (물량흐름)'!$C$13:$C$502,'WIP(재공품)'!B41,'JUNE (물량흐름)'!$N$13:$N$488),0)</f>
        <v>0</v>
      </c>
      <c r="Z41" s="112">
        <f>ROUND(SUMIF('JUNE (물량흐름)'!$C$13:$C$502,'WIP(재공품)'!B41,'JUNE (물량흐름)'!$O$13:$O$502),0)</f>
        <v>0</v>
      </c>
      <c r="AA41" s="112">
        <f>ROUND(SUMIF('JUNE (물량흐름)'!$C$13:$C$502,'WIP(재공품)'!B41,'JUNE (물량흐름)'!$P$13:$P$502),0)</f>
        <v>378</v>
      </c>
      <c r="AB41" s="112">
        <f t="shared" ca="1" si="6"/>
        <v>378</v>
      </c>
      <c r="AC41" s="112">
        <f t="shared" si="7"/>
        <v>9502769</v>
      </c>
      <c r="AD41" s="381">
        <f t="shared" ca="1" si="11"/>
        <v>0</v>
      </c>
      <c r="AE41" s="381">
        <f t="shared" si="9"/>
        <v>0</v>
      </c>
      <c r="AF41" s="382"/>
      <c r="AG41" s="382">
        <v>0.3</v>
      </c>
      <c r="AH41" s="383">
        <f t="shared" si="10"/>
        <v>4.9999999999999989E-2</v>
      </c>
      <c r="AJ41" s="383"/>
      <c r="AL41" s="385"/>
      <c r="AM41" s="381"/>
      <c r="AN41" s="382"/>
      <c r="AO41" s="382"/>
      <c r="AP41" s="383"/>
      <c r="AQ41" s="383"/>
    </row>
    <row r="42" spans="1:43" s="384" customFormat="1" ht="18.75" customHeight="1">
      <c r="A42" s="167">
        <v>31</v>
      </c>
      <c r="B42" s="240">
        <f>VLOOKUP(A42,'JUNE (물량흐름)'!$A$13:$C$502,3,0)</f>
        <v>100003486</v>
      </c>
      <c r="C42" s="21" t="str">
        <f>VLOOKUP(A42,'JUNE (물량흐름)'!$A$13:$C$502,2,0)</f>
        <v>ALFANI</v>
      </c>
      <c r="D42" s="212">
        <v>1.98</v>
      </c>
      <c r="E42" s="6">
        <f>VLOOKUP(B42,'Sales profit (스타일 별 매출이익)'!$D$9:$P$491,13,0)</f>
        <v>44896.5</v>
      </c>
      <c r="F42" s="112">
        <f>IFERROR(VLOOKUP(B42,O.B.JUNE!$N$7:$Q$448,2,0),0)</f>
        <v>0</v>
      </c>
      <c r="G42" s="112">
        <f>IFERROR(VLOOKUP(B42,O.B.JUNE!$N$7:$Q$448,3,0),0)</f>
        <v>0</v>
      </c>
      <c r="H42" s="112">
        <f>IFERROR(VLOOKUP(B42,O.B.JUNE!$N$7:$Q$448,4,0),0)</f>
        <v>249</v>
      </c>
      <c r="I42" s="112">
        <f t="shared" si="2"/>
        <v>249</v>
      </c>
      <c r="J42" s="112">
        <f>IFERROR(VLOOKUP(B42,O.B.JUNE!$AA$7:$AG$448,7,0),0)</f>
        <v>3229345</v>
      </c>
      <c r="K42" s="112">
        <f>IFERROR(VLOOKUP(B42,O.B.JUNE!$AI$7:$AO$448,7,0),0)</f>
        <v>4623327</v>
      </c>
      <c r="L42" s="112">
        <f t="shared" si="3"/>
        <v>7852672</v>
      </c>
      <c r="M42" s="112">
        <f>ROUND(SUMIF('JUNE (물량흐름)'!$C$13:$C$502,'WIP(재공품)'!B42,'JUNE (물량흐름)'!$H$13:$H$502)+SUMIF('JUNE (물량흐름)'!$C$13:$C$502,'WIP(재공품)'!B42,'JUNE (물량흐름)'!$V$13:$V$502),0)</f>
        <v>0</v>
      </c>
      <c r="N42" s="112">
        <f>SUMIF('Direct labour(직접노무비)'!$C$12:$C$503,'WIP(재공품)'!B42,'Direct labour(직접노무비)'!$O$12:$O$503)</f>
        <v>0</v>
      </c>
      <c r="O42" s="112">
        <f>SUMIF('Overhead exp(제조경비)'!$C$12:$C$503,'WIP(재공품)'!B42,'Overhead exp(제조경비)'!$O$12:$O$503)</f>
        <v>0</v>
      </c>
      <c r="P42" s="112">
        <f t="shared" si="4"/>
        <v>0</v>
      </c>
      <c r="Q42" s="112">
        <v>0</v>
      </c>
      <c r="R42" s="112">
        <v>0</v>
      </c>
      <c r="S42" s="112">
        <f>SUMIF('JUNE (물량흐름)'!$C$13:$C$493,'WIP(재공품)'!B42,'JUNE (물량흐름)'!$T$13:$T$493)+SUMIF('JUNE (물량흐름)'!$C$13:$C$493,'WIP(재공품)'!B42,'JUNE (물량흐름)'!$U$13:$U$493)+SUMIF('JUNE (물량흐름)'!$C$13:$C$493,'WIP(재공품)'!B42,'JUNE (물량흐름)'!$V$13:$V$493)-SUMIF('JUNE (물량흐름)'!$C$13:$C$493,'WIP(재공품)'!B42,'JUNE (물량흐름)'!$Y$13:$Y$493)</f>
        <v>0</v>
      </c>
      <c r="T42" s="112">
        <f>SUMIF('JUNE (물량흐름)'!$C$13:$C$502,'WIP(재공품)'!B42,'JUNE (물량흐름)'!$Y$13:$Y$502)</f>
        <v>0</v>
      </c>
      <c r="U42" s="167">
        <f>SUMIF('Direct labour(직접노무비)'!$C$12:$C$503,'WIP(재공품)'!B42,'Direct labour(직접노무비)'!$U$12:$U$503)+SUMIF('Overhead exp(제조경비)'!$C$12:$C$503,'WIP(재공품)'!B42,'Overhead exp(제조경비)'!$U$12:$U$503)</f>
        <v>0</v>
      </c>
      <c r="V42" s="112">
        <f>SUMIF('Direct labour(직접노무비)'!$C$12:$C$503,'WIP(재공품)'!B42,'Direct labour(직접노무비)'!$Q$12:$Q$503)</f>
        <v>0</v>
      </c>
      <c r="W42" s="112">
        <f>SUMIF('Overhead exp(제조경비)'!$C$12:$C$503,'WIP(재공품)'!B42,'Overhead exp(제조경비)'!$Q$12:$Q$503)</f>
        <v>0</v>
      </c>
      <c r="X42" s="112">
        <f t="shared" si="5"/>
        <v>0</v>
      </c>
      <c r="Y42" s="112">
        <f ca="1">ROUND(SUMIF('JUNE (물량흐름)'!$C$13:$C$502,'WIP(재공품)'!B42,'JUNE (물량흐름)'!$N$13:$N$488),0)</f>
        <v>0</v>
      </c>
      <c r="Z42" s="112">
        <f>ROUND(SUMIF('JUNE (물량흐름)'!$C$13:$C$502,'WIP(재공품)'!B42,'JUNE (물량흐름)'!$O$13:$O$502),0)</f>
        <v>0</v>
      </c>
      <c r="AA42" s="112">
        <f>ROUND(SUMIF('JUNE (물량흐름)'!$C$13:$C$502,'WIP(재공품)'!B42,'JUNE (물량흐름)'!$P$13:$P$502),0)</f>
        <v>249</v>
      </c>
      <c r="AB42" s="112">
        <f t="shared" ca="1" si="6"/>
        <v>249</v>
      </c>
      <c r="AC42" s="112">
        <f t="shared" si="7"/>
        <v>7852672</v>
      </c>
      <c r="AD42" s="381">
        <f t="shared" ca="1" si="11"/>
        <v>0</v>
      </c>
      <c r="AE42" s="381">
        <f t="shared" si="9"/>
        <v>0</v>
      </c>
      <c r="AF42" s="382"/>
      <c r="AG42" s="382">
        <v>0.3</v>
      </c>
      <c r="AH42" s="383">
        <f t="shared" si="10"/>
        <v>1.68</v>
      </c>
      <c r="AJ42" s="383"/>
      <c r="AL42" s="385"/>
      <c r="AM42" s="381"/>
      <c r="AN42" s="382"/>
      <c r="AO42" s="382"/>
      <c r="AP42" s="383"/>
      <c r="AQ42" s="383"/>
    </row>
    <row r="43" spans="1:43" s="384" customFormat="1" ht="18.75" customHeight="1">
      <c r="A43" s="167">
        <v>32</v>
      </c>
      <c r="B43" s="240">
        <f>VLOOKUP(A43,'JUNE (물량흐름)'!$A$13:$C$502,3,0)</f>
        <v>100003532</v>
      </c>
      <c r="C43" s="21" t="str">
        <f>VLOOKUP(A43,'JUNE (물량흐름)'!$A$13:$C$502,2,0)</f>
        <v>ALFANI</v>
      </c>
      <c r="D43" s="212">
        <v>0.35</v>
      </c>
      <c r="E43" s="6">
        <f>VLOOKUP(B43,'Sales profit (스타일 별 매출이익)'!$D$9:$P$491,13,0)</f>
        <v>7936.2499999999991</v>
      </c>
      <c r="F43" s="112">
        <f>IFERROR(VLOOKUP(B43,O.B.JUNE!$N$7:$Q$448,2,0),0)</f>
        <v>0</v>
      </c>
      <c r="G43" s="112">
        <f>IFERROR(VLOOKUP(B43,O.B.JUNE!$N$7:$Q$448,3,0),0)</f>
        <v>0</v>
      </c>
      <c r="H43" s="112">
        <f>IFERROR(VLOOKUP(B43,O.B.JUNE!$N$7:$Q$448,4,0),0)</f>
        <v>68</v>
      </c>
      <c r="I43" s="112">
        <f t="shared" si="2"/>
        <v>68</v>
      </c>
      <c r="J43" s="112">
        <f>IFERROR(VLOOKUP(B43,O.B.JUNE!$AA$7:$AG$448,7,0),0)</f>
        <v>778886</v>
      </c>
      <c r="K43" s="112">
        <f>IFERROR(VLOOKUP(B43,O.B.JUNE!$AI$7:$AO$448,7,0),0)</f>
        <v>1123347</v>
      </c>
      <c r="L43" s="112">
        <f t="shared" si="3"/>
        <v>1902233</v>
      </c>
      <c r="M43" s="112">
        <f>ROUND(SUMIF('JUNE (물량흐름)'!$C$13:$C$502,'WIP(재공품)'!B43,'JUNE (물량흐름)'!$H$13:$H$502)+SUMIF('JUNE (물량흐름)'!$C$13:$C$502,'WIP(재공품)'!B43,'JUNE (물량흐름)'!$V$13:$V$502),0)</f>
        <v>0</v>
      </c>
      <c r="N43" s="112">
        <f>SUMIF('Direct labour(직접노무비)'!$C$12:$C$503,'WIP(재공품)'!B43,'Direct labour(직접노무비)'!$O$12:$O$503)</f>
        <v>0</v>
      </c>
      <c r="O43" s="112">
        <f>SUMIF('Overhead exp(제조경비)'!$C$12:$C$503,'WIP(재공품)'!B43,'Overhead exp(제조경비)'!$O$12:$O$503)</f>
        <v>0</v>
      </c>
      <c r="P43" s="112">
        <f t="shared" si="4"/>
        <v>0</v>
      </c>
      <c r="Q43" s="112">
        <v>0</v>
      </c>
      <c r="R43" s="112">
        <v>0</v>
      </c>
      <c r="S43" s="112">
        <f>SUMIF('JUNE (물량흐름)'!$C$13:$C$493,'WIP(재공품)'!B43,'JUNE (물량흐름)'!$T$13:$T$493)+SUMIF('JUNE (물량흐름)'!$C$13:$C$493,'WIP(재공품)'!B43,'JUNE (물량흐름)'!$U$13:$U$493)+SUMIF('JUNE (물량흐름)'!$C$13:$C$493,'WIP(재공품)'!B43,'JUNE (물량흐름)'!$V$13:$V$493)-SUMIF('JUNE (물량흐름)'!$C$13:$C$493,'WIP(재공품)'!B43,'JUNE (물량흐름)'!$Y$13:$Y$493)</f>
        <v>0</v>
      </c>
      <c r="T43" s="112">
        <f>SUMIF('JUNE (물량흐름)'!$C$13:$C$502,'WIP(재공품)'!B43,'JUNE (물량흐름)'!$Y$13:$Y$502)</f>
        <v>0</v>
      </c>
      <c r="U43" s="167">
        <f>SUMIF('Direct labour(직접노무비)'!$C$12:$C$503,'WIP(재공품)'!B43,'Direct labour(직접노무비)'!$U$12:$U$503)+SUMIF('Overhead exp(제조경비)'!$C$12:$C$503,'WIP(재공품)'!B43,'Overhead exp(제조경비)'!$U$12:$U$503)</f>
        <v>0</v>
      </c>
      <c r="V43" s="112">
        <f>SUMIF('Direct labour(직접노무비)'!$C$12:$C$503,'WIP(재공품)'!B43,'Direct labour(직접노무비)'!$Q$12:$Q$503)</f>
        <v>0</v>
      </c>
      <c r="W43" s="112">
        <f>SUMIF('Overhead exp(제조경비)'!$C$12:$C$503,'WIP(재공품)'!B43,'Overhead exp(제조경비)'!$Q$12:$Q$503)</f>
        <v>0</v>
      </c>
      <c r="X43" s="112">
        <f t="shared" si="5"/>
        <v>0</v>
      </c>
      <c r="Y43" s="112">
        <f ca="1">ROUND(SUMIF('JUNE (물량흐름)'!$C$13:$C$502,'WIP(재공품)'!B43,'JUNE (물량흐름)'!$N$13:$N$488),0)</f>
        <v>0</v>
      </c>
      <c r="Z43" s="112">
        <f>ROUND(SUMIF('JUNE (물량흐름)'!$C$13:$C$502,'WIP(재공품)'!B43,'JUNE (물량흐름)'!$O$13:$O$502),0)</f>
        <v>0</v>
      </c>
      <c r="AA43" s="112">
        <f>ROUND(SUMIF('JUNE (물량흐름)'!$C$13:$C$502,'WIP(재공품)'!B43,'JUNE (물량흐름)'!$P$13:$P$502),0)</f>
        <v>68</v>
      </c>
      <c r="AB43" s="112">
        <f t="shared" ca="1" si="6"/>
        <v>68</v>
      </c>
      <c r="AC43" s="112">
        <f t="shared" si="7"/>
        <v>1902233</v>
      </c>
      <c r="AD43" s="381">
        <f t="shared" ca="1" si="11"/>
        <v>0</v>
      </c>
      <c r="AE43" s="381">
        <f t="shared" si="9"/>
        <v>0</v>
      </c>
      <c r="AF43" s="382"/>
      <c r="AG43" s="382">
        <v>0.3</v>
      </c>
      <c r="AH43" s="383">
        <f t="shared" si="10"/>
        <v>4.9999999999999989E-2</v>
      </c>
      <c r="AJ43" s="383"/>
      <c r="AL43" s="385"/>
      <c r="AM43" s="381"/>
      <c r="AN43" s="382"/>
      <c r="AO43" s="382"/>
      <c r="AP43" s="383"/>
      <c r="AQ43" s="383"/>
    </row>
    <row r="44" spans="1:43" s="384" customFormat="1" ht="18.75" customHeight="1">
      <c r="A44" s="167">
        <v>33</v>
      </c>
      <c r="B44" s="240">
        <f>VLOOKUP(A44,'JUNE (물량흐름)'!$A$13:$C$502,3,0)</f>
        <v>100003576</v>
      </c>
      <c r="C44" s="21" t="str">
        <f>VLOOKUP(A44,'JUNE (물량흐름)'!$A$13:$C$502,2,0)</f>
        <v>ALFANI</v>
      </c>
      <c r="D44" s="212">
        <v>0.35</v>
      </c>
      <c r="E44" s="6">
        <f>VLOOKUP(B44,'Sales profit (스타일 별 매출이익)'!$D$9:$P$491,13,0)</f>
        <v>7936.2499999999991</v>
      </c>
      <c r="F44" s="112">
        <f>IFERROR(VLOOKUP(B44,O.B.JUNE!$N$7:$Q$448,2,0),0)</f>
        <v>0</v>
      </c>
      <c r="G44" s="112">
        <f>IFERROR(VLOOKUP(B44,O.B.JUNE!$N$7:$Q$448,3,0),0)</f>
        <v>0</v>
      </c>
      <c r="H44" s="112">
        <f>IFERROR(VLOOKUP(B44,O.B.JUNE!$N$7:$Q$448,4,0),0)</f>
        <v>96</v>
      </c>
      <c r="I44" s="112">
        <f t="shared" si="2"/>
        <v>96</v>
      </c>
      <c r="J44" s="112">
        <f>IFERROR(VLOOKUP(B44,O.B.JUNE!$AA$7:$AG$448,7,0),0)</f>
        <v>703516</v>
      </c>
      <c r="K44" s="112">
        <f>IFERROR(VLOOKUP(B44,O.B.JUNE!$AI$7:$AO$448,7,0),0)</f>
        <v>959399</v>
      </c>
      <c r="L44" s="112">
        <f t="shared" si="3"/>
        <v>1662915</v>
      </c>
      <c r="M44" s="112">
        <f>ROUND(SUMIF('JUNE (물량흐름)'!$C$13:$C$502,'WIP(재공품)'!B44,'JUNE (물량흐름)'!$H$13:$H$502)+SUMIF('JUNE (물량흐름)'!$C$13:$C$502,'WIP(재공품)'!B44,'JUNE (물량흐름)'!$V$13:$V$502),0)</f>
        <v>0</v>
      </c>
      <c r="N44" s="112">
        <f>SUMIF('Direct labour(직접노무비)'!$C$12:$C$503,'WIP(재공품)'!B44,'Direct labour(직접노무비)'!$O$12:$O$503)</f>
        <v>0</v>
      </c>
      <c r="O44" s="112">
        <f>SUMIF('Overhead exp(제조경비)'!$C$12:$C$503,'WIP(재공품)'!B44,'Overhead exp(제조경비)'!$O$12:$O$503)</f>
        <v>0</v>
      </c>
      <c r="P44" s="112">
        <f t="shared" si="4"/>
        <v>0</v>
      </c>
      <c r="Q44" s="112">
        <v>0</v>
      </c>
      <c r="R44" s="112">
        <v>0</v>
      </c>
      <c r="S44" s="112">
        <f>SUMIF('JUNE (물량흐름)'!$C$13:$C$493,'WIP(재공품)'!B44,'JUNE (물량흐름)'!$T$13:$T$493)+SUMIF('JUNE (물량흐름)'!$C$13:$C$493,'WIP(재공품)'!B44,'JUNE (물량흐름)'!$U$13:$U$493)+SUMIF('JUNE (물량흐름)'!$C$13:$C$493,'WIP(재공품)'!B44,'JUNE (물량흐름)'!$V$13:$V$493)-SUMIF('JUNE (물량흐름)'!$C$13:$C$493,'WIP(재공품)'!B44,'JUNE (물량흐름)'!$Y$13:$Y$493)</f>
        <v>0</v>
      </c>
      <c r="T44" s="112">
        <f>SUMIF('JUNE (물량흐름)'!$C$13:$C$502,'WIP(재공품)'!B44,'JUNE (물량흐름)'!$Y$13:$Y$502)</f>
        <v>0</v>
      </c>
      <c r="U44" s="167">
        <f>SUMIF('Direct labour(직접노무비)'!$C$12:$C$503,'WIP(재공품)'!B44,'Direct labour(직접노무비)'!$U$12:$U$503)+SUMIF('Overhead exp(제조경비)'!$C$12:$C$503,'WIP(재공품)'!B44,'Overhead exp(제조경비)'!$U$12:$U$503)</f>
        <v>0</v>
      </c>
      <c r="V44" s="112">
        <f>SUMIF('Direct labour(직접노무비)'!$C$12:$C$503,'WIP(재공품)'!B44,'Direct labour(직접노무비)'!$Q$12:$Q$503)</f>
        <v>0</v>
      </c>
      <c r="W44" s="112">
        <f>SUMIF('Overhead exp(제조경비)'!$C$12:$C$503,'WIP(재공품)'!B44,'Overhead exp(제조경비)'!$Q$12:$Q$503)</f>
        <v>0</v>
      </c>
      <c r="X44" s="112">
        <f t="shared" si="5"/>
        <v>0</v>
      </c>
      <c r="Y44" s="112">
        <f ca="1">ROUND(SUMIF('JUNE (물량흐름)'!$C$13:$C$502,'WIP(재공품)'!B44,'JUNE (물량흐름)'!$N$13:$N$488),0)</f>
        <v>0</v>
      </c>
      <c r="Z44" s="112">
        <f>ROUND(SUMIF('JUNE (물량흐름)'!$C$13:$C$502,'WIP(재공품)'!B44,'JUNE (물량흐름)'!$O$13:$O$502),0)</f>
        <v>0</v>
      </c>
      <c r="AA44" s="112">
        <f>ROUND(SUMIF('JUNE (물량흐름)'!$C$13:$C$502,'WIP(재공품)'!B44,'JUNE (물량흐름)'!$P$13:$P$502),0)</f>
        <v>96</v>
      </c>
      <c r="AB44" s="112">
        <f t="shared" ca="1" si="6"/>
        <v>96</v>
      </c>
      <c r="AC44" s="112">
        <f t="shared" si="7"/>
        <v>1662915</v>
      </c>
      <c r="AD44" s="381">
        <f t="shared" ca="1" si="11"/>
        <v>0</v>
      </c>
      <c r="AE44" s="381">
        <f t="shared" si="9"/>
        <v>0</v>
      </c>
      <c r="AF44" s="382"/>
      <c r="AG44" s="382">
        <v>0.3</v>
      </c>
      <c r="AH44" s="383">
        <f t="shared" si="10"/>
        <v>4.9999999999999989E-2</v>
      </c>
      <c r="AJ44" s="383"/>
      <c r="AL44" s="385"/>
      <c r="AM44" s="381"/>
      <c r="AN44" s="382"/>
      <c r="AO44" s="382"/>
      <c r="AP44" s="383"/>
      <c r="AQ44" s="383"/>
    </row>
    <row r="45" spans="1:43" s="384" customFormat="1" ht="18.75" customHeight="1">
      <c r="A45" s="167">
        <v>34</v>
      </c>
      <c r="B45" s="240">
        <f>VLOOKUP(A45,'JUNE (물량흐름)'!$A$13:$C$502,3,0)</f>
        <v>100004422</v>
      </c>
      <c r="C45" s="21" t="str">
        <f>VLOOKUP(A45,'JUNE (물량흐름)'!$A$13:$C$502,2,0)</f>
        <v>ALFANI</v>
      </c>
      <c r="D45" s="212">
        <v>0.35</v>
      </c>
      <c r="E45" s="6">
        <f>VLOOKUP(B45,'Sales profit (스타일 별 매출이익)'!$D$9:$P$491,13,0)</f>
        <v>7936.2499999999991</v>
      </c>
      <c r="F45" s="112">
        <f>IFERROR(VLOOKUP(B45,O.B.JUNE!$N$7:$Q$448,2,0),0)</f>
        <v>0</v>
      </c>
      <c r="G45" s="112">
        <f>IFERROR(VLOOKUP(B45,O.B.JUNE!$N$7:$Q$448,3,0),0)</f>
        <v>0</v>
      </c>
      <c r="H45" s="112">
        <f>IFERROR(VLOOKUP(B45,O.B.JUNE!$N$7:$Q$448,4,0),0)</f>
        <v>63</v>
      </c>
      <c r="I45" s="112">
        <f t="shared" si="2"/>
        <v>63</v>
      </c>
      <c r="J45" s="112">
        <f>IFERROR(VLOOKUP(B45,O.B.JUNE!$AA$7:$AG$448,7,0),0)</f>
        <v>493357</v>
      </c>
      <c r="K45" s="112">
        <f>IFERROR(VLOOKUP(B45,O.B.JUNE!$AI$7:$AO$448,7,0),0)</f>
        <v>672801</v>
      </c>
      <c r="L45" s="112">
        <f t="shared" si="3"/>
        <v>1166158</v>
      </c>
      <c r="M45" s="112">
        <f>ROUND(SUMIF('JUNE (물량흐름)'!$C$13:$C$502,'WIP(재공품)'!B45,'JUNE (물량흐름)'!$H$13:$H$502)+SUMIF('JUNE (물량흐름)'!$C$13:$C$502,'WIP(재공품)'!B45,'JUNE (물량흐름)'!$V$13:$V$502),0)</f>
        <v>0</v>
      </c>
      <c r="N45" s="112">
        <f>SUMIF('Direct labour(직접노무비)'!$C$12:$C$503,'WIP(재공품)'!B45,'Direct labour(직접노무비)'!$O$12:$O$503)</f>
        <v>0</v>
      </c>
      <c r="O45" s="112">
        <f>SUMIF('Overhead exp(제조경비)'!$C$12:$C$503,'WIP(재공품)'!B45,'Overhead exp(제조경비)'!$O$12:$O$503)</f>
        <v>0</v>
      </c>
      <c r="P45" s="112">
        <f t="shared" si="4"/>
        <v>0</v>
      </c>
      <c r="Q45" s="112">
        <v>0</v>
      </c>
      <c r="R45" s="112">
        <v>0</v>
      </c>
      <c r="S45" s="112">
        <f>SUMIF('JUNE (물량흐름)'!$C$13:$C$493,'WIP(재공품)'!B45,'JUNE (물량흐름)'!$T$13:$T$493)+SUMIF('JUNE (물량흐름)'!$C$13:$C$493,'WIP(재공품)'!B45,'JUNE (물량흐름)'!$U$13:$U$493)+SUMIF('JUNE (물량흐름)'!$C$13:$C$493,'WIP(재공품)'!B45,'JUNE (물량흐름)'!$V$13:$V$493)-SUMIF('JUNE (물량흐름)'!$C$13:$C$493,'WIP(재공품)'!B45,'JUNE (물량흐름)'!$Y$13:$Y$493)</f>
        <v>0</v>
      </c>
      <c r="T45" s="112">
        <f>SUMIF('JUNE (물량흐름)'!$C$13:$C$502,'WIP(재공품)'!B45,'JUNE (물량흐름)'!$Y$13:$Y$502)</f>
        <v>0</v>
      </c>
      <c r="U45" s="167">
        <f>SUMIF('Direct labour(직접노무비)'!$C$12:$C$503,'WIP(재공품)'!B45,'Direct labour(직접노무비)'!$U$12:$U$503)+SUMIF('Overhead exp(제조경비)'!$C$12:$C$503,'WIP(재공품)'!B45,'Overhead exp(제조경비)'!$U$12:$U$503)</f>
        <v>0</v>
      </c>
      <c r="V45" s="112">
        <f>SUMIF('Direct labour(직접노무비)'!$C$12:$C$503,'WIP(재공품)'!B45,'Direct labour(직접노무비)'!$Q$12:$Q$503)</f>
        <v>0</v>
      </c>
      <c r="W45" s="112">
        <f>SUMIF('Overhead exp(제조경비)'!$C$12:$C$503,'WIP(재공품)'!B45,'Overhead exp(제조경비)'!$Q$12:$Q$503)</f>
        <v>0</v>
      </c>
      <c r="X45" s="112">
        <f t="shared" si="5"/>
        <v>0</v>
      </c>
      <c r="Y45" s="112">
        <f ca="1">ROUND(SUMIF('JUNE (물량흐름)'!$C$13:$C$502,'WIP(재공품)'!B45,'JUNE (물량흐름)'!$N$13:$N$488),0)</f>
        <v>0</v>
      </c>
      <c r="Z45" s="112">
        <f>ROUND(SUMIF('JUNE (물량흐름)'!$C$13:$C$502,'WIP(재공품)'!B45,'JUNE (물량흐름)'!$O$13:$O$502),0)</f>
        <v>0</v>
      </c>
      <c r="AA45" s="112">
        <f>ROUND(SUMIF('JUNE (물량흐름)'!$C$13:$C$502,'WIP(재공품)'!B45,'JUNE (물량흐름)'!$P$13:$P$502),0)</f>
        <v>63</v>
      </c>
      <c r="AB45" s="112">
        <f t="shared" ca="1" si="6"/>
        <v>63</v>
      </c>
      <c r="AC45" s="112">
        <f t="shared" si="7"/>
        <v>1166158</v>
      </c>
      <c r="AD45" s="381">
        <f t="shared" ca="1" si="11"/>
        <v>0</v>
      </c>
      <c r="AE45" s="381">
        <f t="shared" si="9"/>
        <v>0</v>
      </c>
      <c r="AF45" s="382"/>
      <c r="AG45" s="382">
        <v>0.2</v>
      </c>
      <c r="AH45" s="383">
        <f t="shared" si="10"/>
        <v>0.14999999999999997</v>
      </c>
      <c r="AJ45" s="383"/>
      <c r="AL45" s="385"/>
      <c r="AM45" s="381"/>
      <c r="AN45" s="382"/>
      <c r="AO45" s="382"/>
      <c r="AP45" s="383"/>
      <c r="AQ45" s="383"/>
    </row>
    <row r="46" spans="1:43" s="384" customFormat="1" ht="18.75" customHeight="1">
      <c r="A46" s="167">
        <v>35</v>
      </c>
      <c r="B46" s="240">
        <f>VLOOKUP(A46,'JUNE (물량흐름)'!$A$13:$C$502,3,0)</f>
        <v>100004424</v>
      </c>
      <c r="C46" s="21" t="str">
        <f>VLOOKUP(A46,'JUNE (물량흐름)'!$A$13:$C$502,2,0)</f>
        <v>ALFANI</v>
      </c>
      <c r="D46" s="212">
        <v>0.35</v>
      </c>
      <c r="E46" s="6">
        <f>VLOOKUP(B46,'Sales profit (스타일 별 매출이익)'!$D$9:$P$491,13,0)</f>
        <v>7936.2499999999991</v>
      </c>
      <c r="F46" s="112">
        <f>IFERROR(VLOOKUP(B46,O.B.JUNE!$N$7:$Q$448,2,0),0)</f>
        <v>0</v>
      </c>
      <c r="G46" s="112">
        <f>IFERROR(VLOOKUP(B46,O.B.JUNE!$N$7:$Q$448,3,0),0)</f>
        <v>0</v>
      </c>
      <c r="H46" s="112">
        <f>IFERROR(VLOOKUP(B46,O.B.JUNE!$N$7:$Q$448,4,0),0)</f>
        <v>81</v>
      </c>
      <c r="I46" s="112">
        <f t="shared" si="2"/>
        <v>81</v>
      </c>
      <c r="J46" s="112">
        <f>IFERROR(VLOOKUP(B46,O.B.JUNE!$AA$7:$AG$448,7,0),0)</f>
        <v>641364</v>
      </c>
      <c r="K46" s="112">
        <f>IFERROR(VLOOKUP(B46,O.B.JUNE!$AI$7:$AO$448,7,0),0)</f>
        <v>874641</v>
      </c>
      <c r="L46" s="112">
        <f t="shared" si="3"/>
        <v>1516005</v>
      </c>
      <c r="M46" s="112">
        <f>ROUND(SUMIF('JUNE (물량흐름)'!$C$13:$C$502,'WIP(재공품)'!B46,'JUNE (물량흐름)'!$H$13:$H$502)+SUMIF('JUNE (물량흐름)'!$C$13:$C$502,'WIP(재공품)'!B46,'JUNE (물량흐름)'!$V$13:$V$502),0)</f>
        <v>0</v>
      </c>
      <c r="N46" s="112">
        <f>SUMIF('Direct labour(직접노무비)'!$C$12:$C$503,'WIP(재공품)'!B46,'Direct labour(직접노무비)'!$O$12:$O$503)</f>
        <v>0</v>
      </c>
      <c r="O46" s="112">
        <f>SUMIF('Overhead exp(제조경비)'!$C$12:$C$503,'WIP(재공품)'!B46,'Overhead exp(제조경비)'!$O$12:$O$503)</f>
        <v>0</v>
      </c>
      <c r="P46" s="112">
        <f t="shared" si="4"/>
        <v>0</v>
      </c>
      <c r="Q46" s="112">
        <v>0</v>
      </c>
      <c r="R46" s="112">
        <v>0</v>
      </c>
      <c r="S46" s="112">
        <f>SUMIF('JUNE (물량흐름)'!$C$13:$C$493,'WIP(재공품)'!B46,'JUNE (물량흐름)'!$T$13:$T$493)+SUMIF('JUNE (물량흐름)'!$C$13:$C$493,'WIP(재공품)'!B46,'JUNE (물량흐름)'!$U$13:$U$493)+SUMIF('JUNE (물량흐름)'!$C$13:$C$493,'WIP(재공품)'!B46,'JUNE (물량흐름)'!$V$13:$V$493)-SUMIF('JUNE (물량흐름)'!$C$13:$C$493,'WIP(재공품)'!B46,'JUNE (물량흐름)'!$Y$13:$Y$493)</f>
        <v>0</v>
      </c>
      <c r="T46" s="112">
        <f>SUMIF('JUNE (물량흐름)'!$C$13:$C$502,'WIP(재공품)'!B46,'JUNE (물량흐름)'!$Y$13:$Y$502)</f>
        <v>0</v>
      </c>
      <c r="U46" s="167">
        <f>SUMIF('Direct labour(직접노무비)'!$C$12:$C$503,'WIP(재공품)'!B46,'Direct labour(직접노무비)'!$U$12:$U$503)+SUMIF('Overhead exp(제조경비)'!$C$12:$C$503,'WIP(재공품)'!B46,'Overhead exp(제조경비)'!$U$12:$U$503)</f>
        <v>0</v>
      </c>
      <c r="V46" s="112">
        <f>SUMIF('Direct labour(직접노무비)'!$C$12:$C$503,'WIP(재공품)'!B46,'Direct labour(직접노무비)'!$Q$12:$Q$503)</f>
        <v>0</v>
      </c>
      <c r="W46" s="112">
        <f>SUMIF('Overhead exp(제조경비)'!$C$12:$C$503,'WIP(재공품)'!B46,'Overhead exp(제조경비)'!$Q$12:$Q$503)</f>
        <v>0</v>
      </c>
      <c r="X46" s="112">
        <f t="shared" si="5"/>
        <v>0</v>
      </c>
      <c r="Y46" s="112">
        <f ca="1">ROUND(SUMIF('JUNE (물량흐름)'!$C$13:$C$502,'WIP(재공품)'!B46,'JUNE (물량흐름)'!$N$13:$N$488),0)</f>
        <v>0</v>
      </c>
      <c r="Z46" s="112">
        <f>ROUND(SUMIF('JUNE (물량흐름)'!$C$13:$C$502,'WIP(재공품)'!B46,'JUNE (물량흐름)'!$O$13:$O$502),0)</f>
        <v>0</v>
      </c>
      <c r="AA46" s="112">
        <f>ROUND(SUMIF('JUNE (물량흐름)'!$C$13:$C$502,'WIP(재공품)'!B46,'JUNE (물량흐름)'!$P$13:$P$502),0)</f>
        <v>81</v>
      </c>
      <c r="AB46" s="112">
        <f t="shared" ca="1" si="6"/>
        <v>81</v>
      </c>
      <c r="AC46" s="112">
        <f t="shared" si="7"/>
        <v>1516005</v>
      </c>
      <c r="AD46" s="381">
        <f t="shared" ca="1" si="11"/>
        <v>0</v>
      </c>
      <c r="AE46" s="381">
        <f t="shared" si="9"/>
        <v>0</v>
      </c>
      <c r="AF46" s="382"/>
      <c r="AG46" s="382">
        <v>0.3</v>
      </c>
      <c r="AH46" s="383">
        <f t="shared" si="10"/>
        <v>4.9999999999999989E-2</v>
      </c>
      <c r="AJ46" s="383"/>
      <c r="AL46" s="385"/>
      <c r="AM46" s="381"/>
      <c r="AN46" s="382"/>
      <c r="AO46" s="382"/>
      <c r="AP46" s="383"/>
      <c r="AQ46" s="383"/>
    </row>
    <row r="47" spans="1:43" s="384" customFormat="1" ht="18.75" customHeight="1">
      <c r="A47" s="167">
        <v>36</v>
      </c>
      <c r="B47" s="240">
        <f>VLOOKUP(A47,'JUNE (물량흐름)'!$A$13:$C$502,3,0)</f>
        <v>100005621</v>
      </c>
      <c r="C47" s="21" t="str">
        <f>VLOOKUP(A47,'JUNE (물량흐름)'!$A$13:$C$502,2,0)</f>
        <v>ALFANI</v>
      </c>
      <c r="D47" s="212">
        <v>0.35</v>
      </c>
      <c r="E47" s="6">
        <f>VLOOKUP(B47,'Sales profit (스타일 별 매출이익)'!$D$9:$P$491,13,0)</f>
        <v>7936.2499999999991</v>
      </c>
      <c r="F47" s="112">
        <f>IFERROR(VLOOKUP(B47,O.B.JUNE!$N$7:$Q$448,2,0),0)</f>
        <v>0</v>
      </c>
      <c r="G47" s="112">
        <f>IFERROR(VLOOKUP(B47,O.B.JUNE!$N$7:$Q$448,3,0),0)</f>
        <v>0</v>
      </c>
      <c r="H47" s="112">
        <f>IFERROR(VLOOKUP(B47,O.B.JUNE!$N$7:$Q$448,4,0),0)</f>
        <v>56</v>
      </c>
      <c r="I47" s="112">
        <f t="shared" si="2"/>
        <v>56</v>
      </c>
      <c r="J47" s="112">
        <f>IFERROR(VLOOKUP(B47,O.B.JUNE!$AA$7:$AG$448,7,0),0)</f>
        <v>1614622</v>
      </c>
      <c r="K47" s="112">
        <f>IFERROR(VLOOKUP(B47,O.B.JUNE!$AI$7:$AO$448,7,0),0)</f>
        <v>2201893</v>
      </c>
      <c r="L47" s="112">
        <f t="shared" si="3"/>
        <v>3816515</v>
      </c>
      <c r="M47" s="112">
        <f>ROUND(SUMIF('JUNE (물량흐름)'!$C$13:$C$502,'WIP(재공품)'!B47,'JUNE (물량흐름)'!$H$13:$H$502)+SUMIF('JUNE (물량흐름)'!$C$13:$C$502,'WIP(재공품)'!B47,'JUNE (물량흐름)'!$V$13:$V$502),0)</f>
        <v>0</v>
      </c>
      <c r="N47" s="112">
        <f>SUMIF('Direct labour(직접노무비)'!$C$12:$C$503,'WIP(재공품)'!B47,'Direct labour(직접노무비)'!$O$12:$O$503)</f>
        <v>0</v>
      </c>
      <c r="O47" s="112">
        <f>SUMIF('Overhead exp(제조경비)'!$C$12:$C$503,'WIP(재공품)'!B47,'Overhead exp(제조경비)'!$O$12:$O$503)</f>
        <v>0</v>
      </c>
      <c r="P47" s="112">
        <f t="shared" si="4"/>
        <v>0</v>
      </c>
      <c r="Q47" s="112">
        <v>0</v>
      </c>
      <c r="R47" s="112">
        <v>0</v>
      </c>
      <c r="S47" s="112">
        <f>SUMIF('JUNE (물량흐름)'!$C$13:$C$493,'WIP(재공품)'!B47,'JUNE (물량흐름)'!$T$13:$T$493)+SUMIF('JUNE (물량흐름)'!$C$13:$C$493,'WIP(재공품)'!B47,'JUNE (물량흐름)'!$U$13:$U$493)+SUMIF('JUNE (물량흐름)'!$C$13:$C$493,'WIP(재공품)'!B47,'JUNE (물량흐름)'!$V$13:$V$493)-SUMIF('JUNE (물량흐름)'!$C$13:$C$493,'WIP(재공품)'!B47,'JUNE (물량흐름)'!$Y$13:$Y$493)</f>
        <v>56</v>
      </c>
      <c r="T47" s="112">
        <f>SUMIF('JUNE (물량흐름)'!$C$13:$C$502,'WIP(재공품)'!B47,'JUNE (물량흐름)'!$Y$13:$Y$502)</f>
        <v>0</v>
      </c>
      <c r="U47" s="167">
        <f>SUMIF('Direct labour(직접노무비)'!$C$12:$C$503,'WIP(재공품)'!B47,'Direct labour(직접노무비)'!$U$12:$U$503)+SUMIF('Overhead exp(제조경비)'!$C$12:$C$503,'WIP(재공품)'!B47,'Overhead exp(제조경비)'!$U$12:$U$503)</f>
        <v>0</v>
      </c>
      <c r="V47" s="112">
        <f>SUMIF('Direct labour(직접노무비)'!$C$12:$C$503,'WIP(재공품)'!B47,'Direct labour(직접노무비)'!$Q$12:$Q$503)</f>
        <v>1614622</v>
      </c>
      <c r="W47" s="112">
        <f>SUMIF('Overhead exp(제조경비)'!$C$12:$C$503,'WIP(재공품)'!B47,'Overhead exp(제조경비)'!$Q$12:$Q$503)</f>
        <v>2201893</v>
      </c>
      <c r="X47" s="112">
        <f t="shared" si="5"/>
        <v>3816515</v>
      </c>
      <c r="Y47" s="112">
        <f ca="1">ROUND(SUMIF('JUNE (물량흐름)'!$C$13:$C$502,'WIP(재공품)'!B47,'JUNE (물량흐름)'!$N$13:$N$488),0)</f>
        <v>0</v>
      </c>
      <c r="Z47" s="112">
        <f>ROUND(SUMIF('JUNE (물량흐름)'!$C$13:$C$502,'WIP(재공품)'!B47,'JUNE (물량흐름)'!$O$13:$O$502),0)</f>
        <v>0</v>
      </c>
      <c r="AA47" s="112">
        <f>ROUND(SUMIF('JUNE (물량흐름)'!$C$13:$C$502,'WIP(재공품)'!B47,'JUNE (물량흐름)'!$P$13:$P$502),0)</f>
        <v>0</v>
      </c>
      <c r="AB47" s="112">
        <f t="shared" ca="1" si="6"/>
        <v>0</v>
      </c>
      <c r="AC47" s="112">
        <f t="shared" si="7"/>
        <v>0</v>
      </c>
      <c r="AD47" s="381">
        <f t="shared" ca="1" si="11"/>
        <v>0</v>
      </c>
      <c r="AE47" s="381">
        <f t="shared" si="9"/>
        <v>0</v>
      </c>
      <c r="AF47" s="382"/>
      <c r="AG47" s="382">
        <v>0</v>
      </c>
      <c r="AH47" s="383">
        <f t="shared" si="10"/>
        <v>0.35</v>
      </c>
      <c r="AJ47" s="383"/>
      <c r="AL47" s="385"/>
      <c r="AM47" s="381"/>
      <c r="AN47" s="382"/>
      <c r="AO47" s="382"/>
      <c r="AP47" s="383"/>
      <c r="AQ47" s="383"/>
    </row>
    <row r="48" spans="1:43" s="384" customFormat="1" ht="18.75" customHeight="1">
      <c r="A48" s="167">
        <v>37</v>
      </c>
      <c r="B48" s="240">
        <f>VLOOKUP(A48,'JUNE (물량흐름)'!$A$13:$C$502,3,0)</f>
        <v>100005705</v>
      </c>
      <c r="C48" s="21" t="str">
        <f>VLOOKUP(A48,'JUNE (물량흐름)'!$A$13:$C$502,2,0)</f>
        <v>ALFANI</v>
      </c>
      <c r="D48" s="212">
        <v>0.35</v>
      </c>
      <c r="E48" s="6">
        <f>VLOOKUP(B48,'Sales profit (스타일 별 매출이익)'!$D$9:$P$491,13,0)</f>
        <v>7936.2499999999991</v>
      </c>
      <c r="F48" s="112">
        <f>IFERROR(VLOOKUP(B48,O.B.JUNE!$N$7:$Q$448,2,0),0)</f>
        <v>0</v>
      </c>
      <c r="G48" s="112">
        <f>IFERROR(VLOOKUP(B48,O.B.JUNE!$N$7:$Q$448,3,0),0)</f>
        <v>69</v>
      </c>
      <c r="H48" s="112">
        <f>IFERROR(VLOOKUP(B48,O.B.JUNE!$N$7:$Q$448,4,0),0)</f>
        <v>283</v>
      </c>
      <c r="I48" s="112">
        <f t="shared" si="2"/>
        <v>352</v>
      </c>
      <c r="J48" s="112">
        <f>IFERROR(VLOOKUP(B48,O.B.JUNE!$AA$7:$AG$448,7,0),0)</f>
        <v>4115074</v>
      </c>
      <c r="K48" s="112">
        <f>IFERROR(VLOOKUP(B48,O.B.JUNE!$AI$7:$AO$448,7,0),0)</f>
        <v>7340104</v>
      </c>
      <c r="L48" s="112">
        <f t="shared" si="3"/>
        <v>11455178</v>
      </c>
      <c r="M48" s="112">
        <f>ROUND(SUMIF('JUNE (물량흐름)'!$C$13:$C$502,'WIP(재공품)'!B48,'JUNE (물량흐름)'!$H$13:$H$502)+SUMIF('JUNE (물량흐름)'!$C$13:$C$502,'WIP(재공품)'!B48,'JUNE (물량흐름)'!$V$13:$V$502),0)</f>
        <v>0</v>
      </c>
      <c r="N48" s="112">
        <f>SUMIF('Direct labour(직접노무비)'!$C$12:$C$503,'WIP(재공품)'!B48,'Direct labour(직접노무비)'!$O$12:$O$503)</f>
        <v>0</v>
      </c>
      <c r="O48" s="112">
        <f>SUMIF('Overhead exp(제조경비)'!$C$12:$C$503,'WIP(재공품)'!B48,'Overhead exp(제조경비)'!$O$12:$O$503)</f>
        <v>0</v>
      </c>
      <c r="P48" s="112">
        <f t="shared" si="4"/>
        <v>0</v>
      </c>
      <c r="Q48" s="112">
        <v>0</v>
      </c>
      <c r="R48" s="112">
        <v>0</v>
      </c>
      <c r="S48" s="112">
        <f>SUMIF('JUNE (물량흐름)'!$C$13:$C$493,'WIP(재공품)'!B48,'JUNE (물량흐름)'!$T$13:$T$493)+SUMIF('JUNE (물량흐름)'!$C$13:$C$493,'WIP(재공품)'!B48,'JUNE (물량흐름)'!$U$13:$U$493)+SUMIF('JUNE (물량흐름)'!$C$13:$C$493,'WIP(재공품)'!B48,'JUNE (물량흐름)'!$V$13:$V$493)-SUMIF('JUNE (물량흐름)'!$C$13:$C$493,'WIP(재공품)'!B48,'JUNE (물량흐름)'!$Y$13:$Y$493)</f>
        <v>0</v>
      </c>
      <c r="T48" s="112">
        <f>SUMIF('JUNE (물량흐름)'!$C$13:$C$502,'WIP(재공품)'!B48,'JUNE (물량흐름)'!$Y$13:$Y$502)</f>
        <v>0</v>
      </c>
      <c r="U48" s="167">
        <f>SUMIF('Direct labour(직접노무비)'!$C$12:$C$503,'WIP(재공품)'!B48,'Direct labour(직접노무비)'!$U$12:$U$503)+SUMIF('Overhead exp(제조경비)'!$C$12:$C$503,'WIP(재공품)'!B48,'Overhead exp(제조경비)'!$U$12:$U$503)</f>
        <v>0</v>
      </c>
      <c r="V48" s="112">
        <f>SUMIF('Direct labour(직접노무비)'!$C$12:$C$503,'WIP(재공품)'!B48,'Direct labour(직접노무비)'!$Q$12:$Q$503)</f>
        <v>0</v>
      </c>
      <c r="W48" s="112">
        <f>SUMIF('Overhead exp(제조경비)'!$C$12:$C$503,'WIP(재공품)'!B48,'Overhead exp(제조경비)'!$Q$12:$Q$503)</f>
        <v>0</v>
      </c>
      <c r="X48" s="112">
        <f t="shared" si="5"/>
        <v>0</v>
      </c>
      <c r="Y48" s="112">
        <f ca="1">ROUND(SUMIF('JUNE (물량흐름)'!$C$13:$C$502,'WIP(재공품)'!B48,'JUNE (물량흐름)'!$N$13:$N$488),0)</f>
        <v>0</v>
      </c>
      <c r="Z48" s="112">
        <f>ROUND(SUMIF('JUNE (물량흐름)'!$C$13:$C$502,'WIP(재공품)'!B48,'JUNE (물량흐름)'!$O$13:$O$502),0)</f>
        <v>69</v>
      </c>
      <c r="AA48" s="112">
        <f>ROUND(SUMIF('JUNE (물량흐름)'!$C$13:$C$502,'WIP(재공품)'!B48,'JUNE (물량흐름)'!$P$13:$P$502),0)</f>
        <v>283</v>
      </c>
      <c r="AB48" s="112">
        <f t="shared" ca="1" si="6"/>
        <v>352</v>
      </c>
      <c r="AC48" s="112">
        <f t="shared" si="7"/>
        <v>11455178</v>
      </c>
      <c r="AD48" s="381">
        <f t="shared" ca="1" si="11"/>
        <v>0</v>
      </c>
      <c r="AE48" s="381">
        <f t="shared" si="9"/>
        <v>0</v>
      </c>
      <c r="AF48" s="382"/>
      <c r="AG48" s="382">
        <v>0.3</v>
      </c>
      <c r="AH48" s="383">
        <f t="shared" si="10"/>
        <v>4.9999999999999989E-2</v>
      </c>
      <c r="AJ48" s="383"/>
      <c r="AL48" s="385"/>
      <c r="AM48" s="381"/>
      <c r="AN48" s="382"/>
      <c r="AO48" s="382"/>
      <c r="AP48" s="383"/>
      <c r="AQ48" s="383"/>
    </row>
    <row r="49" spans="1:43" s="384" customFormat="1" ht="18.75" customHeight="1">
      <c r="A49" s="167">
        <v>38</v>
      </c>
      <c r="B49" s="240">
        <f>VLOOKUP(A49,'JUNE (물량흐름)'!$A$13:$C$502,3,0)</f>
        <v>100005710</v>
      </c>
      <c r="C49" s="21" t="str">
        <f>VLOOKUP(A49,'JUNE (물량흐름)'!$A$13:$C$502,2,0)</f>
        <v>ALFANI</v>
      </c>
      <c r="D49" s="212">
        <v>0.35</v>
      </c>
      <c r="E49" s="6">
        <f>VLOOKUP(B49,'Sales profit (스타일 별 매출이익)'!$D$9:$P$491,13,0)</f>
        <v>7936.2499999999991</v>
      </c>
      <c r="F49" s="112">
        <f>IFERROR(VLOOKUP(B49,O.B.JUNE!$N$7:$Q$448,2,0),0)</f>
        <v>0</v>
      </c>
      <c r="G49" s="112">
        <f>IFERROR(VLOOKUP(B49,O.B.JUNE!$N$7:$Q$448,3,0),0)</f>
        <v>69</v>
      </c>
      <c r="H49" s="112">
        <f>IFERROR(VLOOKUP(B49,O.B.JUNE!$N$7:$Q$448,4,0),0)</f>
        <v>40</v>
      </c>
      <c r="I49" s="112">
        <f t="shared" si="2"/>
        <v>109</v>
      </c>
      <c r="J49" s="112">
        <f>IFERROR(VLOOKUP(B49,O.B.JUNE!$AA$7:$AG$448,7,0),0)</f>
        <v>2112361</v>
      </c>
      <c r="K49" s="112">
        <f>IFERROR(VLOOKUP(B49,O.B.JUNE!$AI$7:$AO$448,7,0),0)</f>
        <v>2880669</v>
      </c>
      <c r="L49" s="112">
        <f t="shared" si="3"/>
        <v>4993030</v>
      </c>
      <c r="M49" s="112">
        <f>ROUND(SUMIF('JUNE (물량흐름)'!$C$13:$C$502,'WIP(재공품)'!B49,'JUNE (물량흐름)'!$H$13:$H$502)+SUMIF('JUNE (물량흐름)'!$C$13:$C$502,'WIP(재공품)'!B49,'JUNE (물량흐름)'!$V$13:$V$502),0)</f>
        <v>0</v>
      </c>
      <c r="N49" s="112">
        <f>SUMIF('Direct labour(직접노무비)'!$C$12:$C$503,'WIP(재공품)'!B49,'Direct labour(직접노무비)'!$O$12:$O$503)</f>
        <v>0</v>
      </c>
      <c r="O49" s="112">
        <f>SUMIF('Overhead exp(제조경비)'!$C$12:$C$503,'WIP(재공품)'!B49,'Overhead exp(제조경비)'!$O$12:$O$503)</f>
        <v>0</v>
      </c>
      <c r="P49" s="112">
        <f t="shared" si="4"/>
        <v>0</v>
      </c>
      <c r="Q49" s="112">
        <v>0</v>
      </c>
      <c r="R49" s="112">
        <v>0</v>
      </c>
      <c r="S49" s="112">
        <f>SUMIF('JUNE (물량흐름)'!$C$13:$C$493,'WIP(재공품)'!B49,'JUNE (물량흐름)'!$T$13:$T$493)+SUMIF('JUNE (물량흐름)'!$C$13:$C$493,'WIP(재공품)'!B49,'JUNE (물량흐름)'!$U$13:$U$493)+SUMIF('JUNE (물량흐름)'!$C$13:$C$493,'WIP(재공품)'!B49,'JUNE (물량흐름)'!$V$13:$V$493)-SUMIF('JUNE (물량흐름)'!$C$13:$C$493,'WIP(재공품)'!B49,'JUNE (물량흐름)'!$Y$13:$Y$493)</f>
        <v>0</v>
      </c>
      <c r="T49" s="112">
        <f>SUMIF('JUNE (물량흐름)'!$C$13:$C$502,'WIP(재공품)'!B49,'JUNE (물량흐름)'!$Y$13:$Y$502)</f>
        <v>0</v>
      </c>
      <c r="U49" s="167">
        <f>SUMIF('Direct labour(직접노무비)'!$C$12:$C$503,'WIP(재공품)'!B49,'Direct labour(직접노무비)'!$U$12:$U$503)+SUMIF('Overhead exp(제조경비)'!$C$12:$C$503,'WIP(재공품)'!B49,'Overhead exp(제조경비)'!$U$12:$U$503)</f>
        <v>0</v>
      </c>
      <c r="V49" s="112">
        <f>SUMIF('Direct labour(직접노무비)'!$C$12:$C$503,'WIP(재공품)'!B49,'Direct labour(직접노무비)'!$Q$12:$Q$503)</f>
        <v>0</v>
      </c>
      <c r="W49" s="112">
        <f>SUMIF('Overhead exp(제조경비)'!$C$12:$C$503,'WIP(재공품)'!B49,'Overhead exp(제조경비)'!$Q$12:$Q$503)</f>
        <v>0</v>
      </c>
      <c r="X49" s="112">
        <f t="shared" si="5"/>
        <v>0</v>
      </c>
      <c r="Y49" s="112">
        <f ca="1">ROUND(SUMIF('JUNE (물량흐름)'!$C$13:$C$502,'WIP(재공품)'!B49,'JUNE (물량흐름)'!$N$13:$N$488),0)</f>
        <v>0</v>
      </c>
      <c r="Z49" s="112">
        <f>ROUND(SUMIF('JUNE (물량흐름)'!$C$13:$C$502,'WIP(재공품)'!B49,'JUNE (물량흐름)'!$O$13:$O$502),0)</f>
        <v>69</v>
      </c>
      <c r="AA49" s="112">
        <f>ROUND(SUMIF('JUNE (물량흐름)'!$C$13:$C$502,'WIP(재공품)'!B49,'JUNE (물량흐름)'!$P$13:$P$502),0)</f>
        <v>40</v>
      </c>
      <c r="AB49" s="112">
        <f t="shared" ca="1" si="6"/>
        <v>109</v>
      </c>
      <c r="AC49" s="112">
        <f t="shared" si="7"/>
        <v>4993030</v>
      </c>
      <c r="AD49" s="381">
        <f t="shared" ca="1" si="11"/>
        <v>0</v>
      </c>
      <c r="AE49" s="381">
        <f t="shared" si="9"/>
        <v>0</v>
      </c>
      <c r="AF49" s="382"/>
      <c r="AG49" s="382">
        <v>0.3</v>
      </c>
      <c r="AH49" s="383">
        <f t="shared" si="10"/>
        <v>4.9999999999999989E-2</v>
      </c>
      <c r="AJ49" s="383"/>
      <c r="AL49" s="385"/>
      <c r="AM49" s="381"/>
      <c r="AN49" s="382"/>
      <c r="AO49" s="382"/>
      <c r="AP49" s="383"/>
      <c r="AQ49" s="383"/>
    </row>
    <row r="50" spans="1:43" s="386" customFormat="1" ht="18.75" customHeight="1">
      <c r="A50" s="167">
        <v>39</v>
      </c>
      <c r="B50" s="240">
        <f>VLOOKUP(A50,'JUNE (물량흐름)'!$A$13:$C$502,3,0)</f>
        <v>100008197</v>
      </c>
      <c r="C50" s="21" t="str">
        <f>VLOOKUP(A50,'JUNE (물량흐름)'!$A$13:$C$502,2,0)</f>
        <v>ALFANI</v>
      </c>
      <c r="D50" s="212">
        <v>0.36</v>
      </c>
      <c r="E50" s="6">
        <f>VLOOKUP(B50,'Sales profit (스타일 별 매출이익)'!$D$9:$P$491,13,0)</f>
        <v>8163</v>
      </c>
      <c r="F50" s="112">
        <f>IFERROR(VLOOKUP(B50,O.B.JUNE!$N$7:$Q$448,2,0),0)</f>
        <v>0</v>
      </c>
      <c r="G50" s="112">
        <f>IFERROR(VLOOKUP(B50,O.B.JUNE!$N$7:$Q$448,3,0),0)</f>
        <v>0</v>
      </c>
      <c r="H50" s="112">
        <f>IFERROR(VLOOKUP(B50,O.B.JUNE!$N$7:$Q$448,4,0),0)</f>
        <v>461</v>
      </c>
      <c r="I50" s="112">
        <f t="shared" si="2"/>
        <v>461</v>
      </c>
      <c r="J50" s="112">
        <f>IFERROR(VLOOKUP(B50,O.B.JUNE!$AA$7:$AG$448,7,0),0)</f>
        <v>4170768</v>
      </c>
      <c r="K50" s="112">
        <f>IFERROR(VLOOKUP(B50,O.B.JUNE!$AI$7:$AO$448,7,0),0)</f>
        <v>7491236</v>
      </c>
      <c r="L50" s="112">
        <f t="shared" si="3"/>
        <v>11662004</v>
      </c>
      <c r="M50" s="112">
        <f>ROUND(SUMIF('JUNE (물량흐름)'!$C$13:$C$502,'WIP(재공품)'!B50,'JUNE (물량흐름)'!$H$13:$H$502)+SUMIF('JUNE (물량흐름)'!$C$13:$C$502,'WIP(재공품)'!B50,'JUNE (물량흐름)'!$V$13:$V$502),0)</f>
        <v>0</v>
      </c>
      <c r="N50" s="112">
        <f>SUMIF('Direct labour(직접노무비)'!$C$12:$C$503,'WIP(재공품)'!B50,'Direct labour(직접노무비)'!$O$12:$O$503)</f>
        <v>0</v>
      </c>
      <c r="O50" s="112">
        <f>SUMIF('Overhead exp(제조경비)'!$C$12:$C$503,'WIP(재공품)'!B50,'Overhead exp(제조경비)'!$O$12:$O$503)</f>
        <v>0</v>
      </c>
      <c r="P50" s="112">
        <f t="shared" si="4"/>
        <v>0</v>
      </c>
      <c r="Q50" s="112">
        <v>0</v>
      </c>
      <c r="R50" s="112">
        <v>0</v>
      </c>
      <c r="S50" s="112">
        <f>SUMIF('JUNE (물량흐름)'!$C$13:$C$493,'WIP(재공품)'!B50,'JUNE (물량흐름)'!$T$13:$T$493)+SUMIF('JUNE (물량흐름)'!$C$13:$C$493,'WIP(재공품)'!B50,'JUNE (물량흐름)'!$U$13:$U$493)+SUMIF('JUNE (물량흐름)'!$C$13:$C$493,'WIP(재공품)'!B50,'JUNE (물량흐름)'!$V$13:$V$493)-SUMIF('JUNE (물량흐름)'!$C$13:$C$493,'WIP(재공품)'!B50,'JUNE (물량흐름)'!$Y$13:$Y$493)</f>
        <v>0</v>
      </c>
      <c r="T50" s="112">
        <f>SUMIF('JUNE (물량흐름)'!$C$13:$C$502,'WIP(재공품)'!B50,'JUNE (물량흐름)'!$Y$13:$Y$502)</f>
        <v>0</v>
      </c>
      <c r="U50" s="167">
        <f>SUMIF('Direct labour(직접노무비)'!$C$12:$C$503,'WIP(재공품)'!B50,'Direct labour(직접노무비)'!$U$12:$U$503)+SUMIF('Overhead exp(제조경비)'!$C$12:$C$503,'WIP(재공품)'!B50,'Overhead exp(제조경비)'!$U$12:$U$503)</f>
        <v>0</v>
      </c>
      <c r="V50" s="112">
        <f>SUMIF('Direct labour(직접노무비)'!$C$12:$C$503,'WIP(재공품)'!B50,'Direct labour(직접노무비)'!$Q$12:$Q$503)</f>
        <v>0</v>
      </c>
      <c r="W50" s="112">
        <f>SUMIF('Overhead exp(제조경비)'!$C$12:$C$503,'WIP(재공품)'!B50,'Overhead exp(제조경비)'!$Q$12:$Q$503)</f>
        <v>0</v>
      </c>
      <c r="X50" s="112">
        <f t="shared" si="5"/>
        <v>0</v>
      </c>
      <c r="Y50" s="112">
        <f ca="1">ROUND(SUMIF('JUNE (물량흐름)'!$C$13:$C$502,'WIP(재공품)'!B50,'JUNE (물량흐름)'!$N$13:$N$488),0)</f>
        <v>0</v>
      </c>
      <c r="Z50" s="112">
        <f>ROUND(SUMIF('JUNE (물량흐름)'!$C$13:$C$502,'WIP(재공품)'!B50,'JUNE (물량흐름)'!$O$13:$O$502),0)</f>
        <v>0</v>
      </c>
      <c r="AA50" s="112">
        <f>ROUND(SUMIF('JUNE (물량흐름)'!$C$13:$C$502,'WIP(재공품)'!B50,'JUNE (물량흐름)'!$P$13:$P$502),0)</f>
        <v>461</v>
      </c>
      <c r="AB50" s="112">
        <f t="shared" ca="1" si="6"/>
        <v>461</v>
      </c>
      <c r="AC50" s="112">
        <f t="shared" si="7"/>
        <v>11662004</v>
      </c>
      <c r="AD50" s="381">
        <f t="shared" ca="1" si="11"/>
        <v>0</v>
      </c>
      <c r="AE50" s="381">
        <f t="shared" si="9"/>
        <v>0</v>
      </c>
      <c r="AF50" s="382"/>
      <c r="AG50" s="382">
        <v>0.3</v>
      </c>
      <c r="AH50" s="383">
        <f t="shared" si="10"/>
        <v>0.06</v>
      </c>
      <c r="AJ50" s="383"/>
      <c r="AL50" s="385"/>
      <c r="AM50" s="381"/>
      <c r="AN50" s="382"/>
      <c r="AO50" s="382"/>
      <c r="AP50" s="383"/>
      <c r="AQ50" s="383"/>
    </row>
    <row r="51" spans="1:43" s="384" customFormat="1" ht="18.75" customHeight="1">
      <c r="A51" s="167">
        <v>40</v>
      </c>
      <c r="B51" s="240">
        <f>VLOOKUP(A51,'JUNE (물량흐름)'!$A$13:$C$502,3,0)</f>
        <v>100008887</v>
      </c>
      <c r="C51" s="21" t="str">
        <f>VLOOKUP(A51,'JUNE (물량흐름)'!$A$13:$C$502,2,0)</f>
        <v>ALFANI</v>
      </c>
      <c r="D51" s="212">
        <v>0.36</v>
      </c>
      <c r="E51" s="6">
        <f>VLOOKUP(B51,'Sales profit (스타일 별 매출이익)'!$D$9:$P$491,13,0)</f>
        <v>8163</v>
      </c>
      <c r="F51" s="112">
        <f>IFERROR(VLOOKUP(B51,O.B.JUNE!$N$7:$Q$448,2,0),0)</f>
        <v>0</v>
      </c>
      <c r="G51" s="112">
        <f>IFERROR(VLOOKUP(B51,O.B.JUNE!$N$7:$Q$448,3,0),0)</f>
        <v>0</v>
      </c>
      <c r="H51" s="112">
        <f>IFERROR(VLOOKUP(B51,O.B.JUNE!$N$7:$Q$448,4,0),0)</f>
        <v>200</v>
      </c>
      <c r="I51" s="112">
        <f t="shared" si="2"/>
        <v>200</v>
      </c>
      <c r="J51" s="112">
        <f>IFERROR(VLOOKUP(B51,O.B.JUNE!$AA$7:$AG$448,7,0),0)</f>
        <v>3875093</v>
      </c>
      <c r="K51" s="112">
        <f>IFERROR(VLOOKUP(B51,O.B.JUNE!$AI$7:$AO$448,7,0),0)</f>
        <v>5284544</v>
      </c>
      <c r="L51" s="112">
        <f t="shared" si="3"/>
        <v>9159637</v>
      </c>
      <c r="M51" s="112">
        <f>ROUND(SUMIF('JUNE (물량흐름)'!$C$13:$C$502,'WIP(재공품)'!B51,'JUNE (물량흐름)'!$H$13:$H$502)+SUMIF('JUNE (물량흐름)'!$C$13:$C$502,'WIP(재공품)'!B51,'JUNE (물량흐름)'!$V$13:$V$502),0)</f>
        <v>0</v>
      </c>
      <c r="N51" s="112">
        <f>SUMIF('Direct labour(직접노무비)'!$C$12:$C$503,'WIP(재공품)'!B51,'Direct labour(직접노무비)'!$O$12:$O$503)</f>
        <v>0</v>
      </c>
      <c r="O51" s="112">
        <f>SUMIF('Overhead exp(제조경비)'!$C$12:$C$503,'WIP(재공품)'!B51,'Overhead exp(제조경비)'!$O$12:$O$503)</f>
        <v>0</v>
      </c>
      <c r="P51" s="112">
        <f t="shared" si="4"/>
        <v>0</v>
      </c>
      <c r="Q51" s="112">
        <v>0</v>
      </c>
      <c r="R51" s="112">
        <v>0</v>
      </c>
      <c r="S51" s="112">
        <f>SUMIF('JUNE (물량흐름)'!$C$13:$C$493,'WIP(재공품)'!B51,'JUNE (물량흐름)'!$T$13:$T$493)+SUMIF('JUNE (물량흐름)'!$C$13:$C$493,'WIP(재공품)'!B51,'JUNE (물량흐름)'!$U$13:$U$493)+SUMIF('JUNE (물량흐름)'!$C$13:$C$493,'WIP(재공품)'!B51,'JUNE (물량흐름)'!$V$13:$V$493)-SUMIF('JUNE (물량흐름)'!$C$13:$C$493,'WIP(재공품)'!B51,'JUNE (물량흐름)'!$Y$13:$Y$493)</f>
        <v>0</v>
      </c>
      <c r="T51" s="112">
        <f>SUMIF('JUNE (물량흐름)'!$C$13:$C$502,'WIP(재공품)'!B51,'JUNE (물량흐름)'!$Y$13:$Y$502)</f>
        <v>0</v>
      </c>
      <c r="U51" s="167">
        <f>SUMIF('Direct labour(직접노무비)'!$C$12:$C$503,'WIP(재공품)'!B51,'Direct labour(직접노무비)'!$U$12:$U$503)+SUMIF('Overhead exp(제조경비)'!$C$12:$C$503,'WIP(재공품)'!B51,'Overhead exp(제조경비)'!$U$12:$U$503)</f>
        <v>0</v>
      </c>
      <c r="V51" s="112">
        <f>SUMIF('Direct labour(직접노무비)'!$C$12:$C$503,'WIP(재공품)'!B51,'Direct labour(직접노무비)'!$Q$12:$Q$503)</f>
        <v>0</v>
      </c>
      <c r="W51" s="112">
        <f>SUMIF('Overhead exp(제조경비)'!$C$12:$C$503,'WIP(재공품)'!B51,'Overhead exp(제조경비)'!$Q$12:$Q$503)</f>
        <v>0</v>
      </c>
      <c r="X51" s="112">
        <f t="shared" si="5"/>
        <v>0</v>
      </c>
      <c r="Y51" s="112">
        <f ca="1">ROUND(SUMIF('JUNE (물량흐름)'!$C$13:$C$502,'WIP(재공품)'!B51,'JUNE (물량흐름)'!$N$13:$N$488),0)</f>
        <v>0</v>
      </c>
      <c r="Z51" s="112">
        <f>ROUND(SUMIF('JUNE (물량흐름)'!$C$13:$C$502,'WIP(재공품)'!B51,'JUNE (물량흐름)'!$O$13:$O$502),0)</f>
        <v>0</v>
      </c>
      <c r="AA51" s="112">
        <f>ROUND(SUMIF('JUNE (물량흐름)'!$C$13:$C$502,'WIP(재공품)'!B51,'JUNE (물량흐름)'!$P$13:$P$502),0)</f>
        <v>200</v>
      </c>
      <c r="AB51" s="112">
        <f t="shared" ca="1" si="6"/>
        <v>200</v>
      </c>
      <c r="AC51" s="112">
        <f t="shared" si="7"/>
        <v>9159637</v>
      </c>
      <c r="AD51" s="381">
        <f t="shared" ca="1" si="11"/>
        <v>0</v>
      </c>
      <c r="AE51" s="381">
        <f t="shared" si="9"/>
        <v>0</v>
      </c>
      <c r="AF51" s="382"/>
      <c r="AG51" s="382">
        <v>0.3</v>
      </c>
      <c r="AH51" s="383">
        <f t="shared" si="10"/>
        <v>0.06</v>
      </c>
      <c r="AJ51" s="383"/>
      <c r="AL51" s="385"/>
      <c r="AM51" s="381"/>
      <c r="AN51" s="382"/>
      <c r="AO51" s="382"/>
      <c r="AP51" s="383"/>
      <c r="AQ51" s="383"/>
    </row>
    <row r="52" spans="1:43" s="384" customFormat="1" ht="18.75" customHeight="1">
      <c r="A52" s="167">
        <v>41</v>
      </c>
      <c r="B52" s="240">
        <f>VLOOKUP(A52,'JUNE (물량흐름)'!$A$13:$C$502,3,0)</f>
        <v>100010879</v>
      </c>
      <c r="C52" s="21" t="str">
        <f>VLOOKUP(A52,'JUNE (물량흐름)'!$A$13:$C$502,2,0)</f>
        <v>ALFANI</v>
      </c>
      <c r="D52" s="212">
        <v>2</v>
      </c>
      <c r="E52" s="6">
        <f>VLOOKUP(B52,'Sales profit (스타일 별 매출이익)'!$D$9:$P$491,13,0)</f>
        <v>45350</v>
      </c>
      <c r="F52" s="112">
        <f>IFERROR(VLOOKUP(B52,O.B.JUNE!$N$7:$Q$448,2,0),0)</f>
        <v>0</v>
      </c>
      <c r="G52" s="112">
        <f>IFERROR(VLOOKUP(B52,O.B.JUNE!$N$7:$Q$448,3,0),0)</f>
        <v>0</v>
      </c>
      <c r="H52" s="112">
        <f>IFERROR(VLOOKUP(B52,O.B.JUNE!$N$7:$Q$448,4,0),0)</f>
        <v>250</v>
      </c>
      <c r="I52" s="112">
        <f t="shared" si="2"/>
        <v>250</v>
      </c>
      <c r="J52" s="112">
        <f>IFERROR(VLOOKUP(B52,O.B.JUNE!$AA$7:$AG$448,7,0),0)</f>
        <v>3841830</v>
      </c>
      <c r="K52" s="112">
        <f>IFERROR(VLOOKUP(B52,O.B.JUNE!$AI$7:$AO$448,7,0),0)</f>
        <v>5554809</v>
      </c>
      <c r="L52" s="112">
        <f t="shared" si="3"/>
        <v>9396639</v>
      </c>
      <c r="M52" s="112">
        <f>ROUND(SUMIF('JUNE (물량흐름)'!$C$13:$C$502,'WIP(재공품)'!B52,'JUNE (물량흐름)'!$H$13:$H$502)+SUMIF('JUNE (물량흐름)'!$C$13:$C$502,'WIP(재공품)'!B52,'JUNE (물량흐름)'!$V$13:$V$502),0)</f>
        <v>0</v>
      </c>
      <c r="N52" s="112">
        <f>SUMIF('Direct labour(직접노무비)'!$C$12:$C$503,'WIP(재공품)'!B52,'Direct labour(직접노무비)'!$O$12:$O$503)</f>
        <v>0</v>
      </c>
      <c r="O52" s="112">
        <f>SUMIF('Overhead exp(제조경비)'!$C$12:$C$503,'WIP(재공품)'!B52,'Overhead exp(제조경비)'!$O$12:$O$503)</f>
        <v>0</v>
      </c>
      <c r="P52" s="112">
        <f t="shared" si="4"/>
        <v>0</v>
      </c>
      <c r="Q52" s="112">
        <v>0</v>
      </c>
      <c r="R52" s="112">
        <v>0</v>
      </c>
      <c r="S52" s="112">
        <f>SUMIF('JUNE (물량흐름)'!$C$13:$C$493,'WIP(재공품)'!B52,'JUNE (물량흐름)'!$T$13:$T$493)+SUMIF('JUNE (물량흐름)'!$C$13:$C$493,'WIP(재공품)'!B52,'JUNE (물량흐름)'!$U$13:$U$493)+SUMIF('JUNE (물량흐름)'!$C$13:$C$493,'WIP(재공품)'!B52,'JUNE (물량흐름)'!$V$13:$V$493)-SUMIF('JUNE (물량흐름)'!$C$13:$C$493,'WIP(재공품)'!B52,'JUNE (물량흐름)'!$Y$13:$Y$493)</f>
        <v>0</v>
      </c>
      <c r="T52" s="112">
        <f>SUMIF('JUNE (물량흐름)'!$C$13:$C$502,'WIP(재공품)'!B52,'JUNE (물량흐름)'!$Y$13:$Y$502)</f>
        <v>0</v>
      </c>
      <c r="U52" s="167">
        <f>SUMIF('Direct labour(직접노무비)'!$C$12:$C$503,'WIP(재공품)'!B52,'Direct labour(직접노무비)'!$U$12:$U$503)+SUMIF('Overhead exp(제조경비)'!$C$12:$C$503,'WIP(재공품)'!B52,'Overhead exp(제조경비)'!$U$12:$U$503)</f>
        <v>0</v>
      </c>
      <c r="V52" s="112">
        <f>SUMIF('Direct labour(직접노무비)'!$C$12:$C$503,'WIP(재공품)'!B52,'Direct labour(직접노무비)'!$Q$12:$Q$503)</f>
        <v>0</v>
      </c>
      <c r="W52" s="112">
        <f>SUMIF('Overhead exp(제조경비)'!$C$12:$C$503,'WIP(재공품)'!B52,'Overhead exp(제조경비)'!$Q$12:$Q$503)</f>
        <v>0</v>
      </c>
      <c r="X52" s="112">
        <f t="shared" si="5"/>
        <v>0</v>
      </c>
      <c r="Y52" s="112">
        <f ca="1">ROUND(SUMIF('JUNE (물량흐름)'!$C$13:$C$502,'WIP(재공품)'!B52,'JUNE (물량흐름)'!$N$13:$N$488),0)</f>
        <v>0</v>
      </c>
      <c r="Z52" s="112">
        <f>ROUND(SUMIF('JUNE (물량흐름)'!$C$13:$C$502,'WIP(재공품)'!B52,'JUNE (물량흐름)'!$O$13:$O$502),0)</f>
        <v>0</v>
      </c>
      <c r="AA52" s="112">
        <f>ROUND(SUMIF('JUNE (물량흐름)'!$C$13:$C$502,'WIP(재공품)'!B52,'JUNE (물량흐름)'!$P$13:$P$502),0)</f>
        <v>250</v>
      </c>
      <c r="AB52" s="112">
        <f t="shared" ca="1" si="6"/>
        <v>250</v>
      </c>
      <c r="AC52" s="112">
        <f t="shared" si="7"/>
        <v>9396639</v>
      </c>
      <c r="AD52" s="381">
        <f t="shared" ca="1" si="11"/>
        <v>0</v>
      </c>
      <c r="AE52" s="381">
        <f t="shared" si="9"/>
        <v>0</v>
      </c>
      <c r="AF52" s="382"/>
      <c r="AG52" s="382">
        <v>0</v>
      </c>
      <c r="AH52" s="383">
        <f t="shared" si="10"/>
        <v>2</v>
      </c>
      <c r="AJ52" s="383"/>
      <c r="AL52" s="385"/>
      <c r="AM52" s="381"/>
      <c r="AN52" s="382"/>
      <c r="AO52" s="382"/>
      <c r="AP52" s="383"/>
      <c r="AQ52" s="383"/>
    </row>
    <row r="53" spans="1:43" s="384" customFormat="1" ht="18.75" customHeight="1">
      <c r="A53" s="167">
        <v>42</v>
      </c>
      <c r="B53" s="240">
        <f>VLOOKUP(A53,'JUNE (물량흐름)'!$A$13:$C$502,3,0)</f>
        <v>100010914</v>
      </c>
      <c r="C53" s="21" t="str">
        <f>VLOOKUP(A53,'JUNE (물량흐름)'!$A$13:$C$502,2,0)</f>
        <v>ALFANI</v>
      </c>
      <c r="D53" s="212">
        <v>0.35</v>
      </c>
      <c r="E53" s="6">
        <f>VLOOKUP(B53,'Sales profit (스타일 별 매출이익)'!$D$9:$P$491,13,0)</f>
        <v>7936.2499999999991</v>
      </c>
      <c r="F53" s="112">
        <f>IFERROR(VLOOKUP(B53,O.B.JUNE!$N$7:$Q$448,2,0),0)</f>
        <v>0</v>
      </c>
      <c r="G53" s="112">
        <f>IFERROR(VLOOKUP(B53,O.B.JUNE!$N$7:$Q$448,3,0),0)</f>
        <v>0</v>
      </c>
      <c r="H53" s="112">
        <f>IFERROR(VLOOKUP(B53,O.B.JUNE!$N$7:$Q$448,4,0),0)</f>
        <v>55</v>
      </c>
      <c r="I53" s="112">
        <f t="shared" si="2"/>
        <v>55</v>
      </c>
      <c r="J53" s="112">
        <f>IFERROR(VLOOKUP(B53,O.B.JUNE!$AA$7:$AG$448,7,0),0)</f>
        <v>861665</v>
      </c>
      <c r="K53" s="112">
        <f>IFERROR(VLOOKUP(B53,O.B.JUNE!$AI$7:$AO$448,7,0),0)</f>
        <v>1195034</v>
      </c>
      <c r="L53" s="112">
        <f t="shared" si="3"/>
        <v>2056699</v>
      </c>
      <c r="M53" s="112">
        <f>ROUND(SUMIF('JUNE (물량흐름)'!$C$13:$C$502,'WIP(재공품)'!B53,'JUNE (물량흐름)'!$H$13:$H$502)+SUMIF('JUNE (물량흐름)'!$C$13:$C$502,'WIP(재공품)'!B53,'JUNE (물량흐름)'!$V$13:$V$502),0)</f>
        <v>0</v>
      </c>
      <c r="N53" s="112">
        <f>SUMIF('Direct labour(직접노무비)'!$C$12:$C$503,'WIP(재공품)'!B53,'Direct labour(직접노무비)'!$O$12:$O$503)</f>
        <v>0</v>
      </c>
      <c r="O53" s="112">
        <f>SUMIF('Overhead exp(제조경비)'!$C$12:$C$503,'WIP(재공품)'!B53,'Overhead exp(제조경비)'!$O$12:$O$503)</f>
        <v>0</v>
      </c>
      <c r="P53" s="112">
        <f t="shared" si="4"/>
        <v>0</v>
      </c>
      <c r="Q53" s="112">
        <v>0</v>
      </c>
      <c r="R53" s="112">
        <v>0</v>
      </c>
      <c r="S53" s="112">
        <f>SUMIF('JUNE (물량흐름)'!$C$13:$C$493,'WIP(재공품)'!B53,'JUNE (물량흐름)'!$T$13:$T$493)+SUMIF('JUNE (물량흐름)'!$C$13:$C$493,'WIP(재공품)'!B53,'JUNE (물량흐름)'!$U$13:$U$493)+SUMIF('JUNE (물량흐름)'!$C$13:$C$493,'WIP(재공품)'!B53,'JUNE (물량흐름)'!$V$13:$V$493)-SUMIF('JUNE (물량흐름)'!$C$13:$C$493,'WIP(재공품)'!B53,'JUNE (물량흐름)'!$Y$13:$Y$493)</f>
        <v>0</v>
      </c>
      <c r="T53" s="112">
        <f>SUMIF('JUNE (물량흐름)'!$C$13:$C$502,'WIP(재공품)'!B53,'JUNE (물량흐름)'!$Y$13:$Y$502)</f>
        <v>0</v>
      </c>
      <c r="U53" s="167">
        <f>SUMIF('Direct labour(직접노무비)'!$C$12:$C$503,'WIP(재공품)'!B53,'Direct labour(직접노무비)'!$U$12:$U$503)+SUMIF('Overhead exp(제조경비)'!$C$12:$C$503,'WIP(재공품)'!B53,'Overhead exp(제조경비)'!$U$12:$U$503)</f>
        <v>0</v>
      </c>
      <c r="V53" s="112">
        <f>SUMIF('Direct labour(직접노무비)'!$C$12:$C$503,'WIP(재공품)'!B53,'Direct labour(직접노무비)'!$Q$12:$Q$503)</f>
        <v>0</v>
      </c>
      <c r="W53" s="112">
        <f>SUMIF('Overhead exp(제조경비)'!$C$12:$C$503,'WIP(재공품)'!B53,'Overhead exp(제조경비)'!$Q$12:$Q$503)</f>
        <v>0</v>
      </c>
      <c r="X53" s="112">
        <f t="shared" si="5"/>
        <v>0</v>
      </c>
      <c r="Y53" s="112">
        <f ca="1">ROUND(SUMIF('JUNE (물량흐름)'!$C$13:$C$502,'WIP(재공품)'!B53,'JUNE (물량흐름)'!$N$13:$N$488),0)</f>
        <v>0</v>
      </c>
      <c r="Z53" s="112">
        <f>ROUND(SUMIF('JUNE (물량흐름)'!$C$13:$C$502,'WIP(재공품)'!B53,'JUNE (물량흐름)'!$O$13:$O$502),0)</f>
        <v>0</v>
      </c>
      <c r="AA53" s="112">
        <f>ROUND(SUMIF('JUNE (물량흐름)'!$C$13:$C$502,'WIP(재공품)'!B53,'JUNE (물량흐름)'!$P$13:$P$502),0)</f>
        <v>55</v>
      </c>
      <c r="AB53" s="112">
        <f t="shared" ca="1" si="6"/>
        <v>55</v>
      </c>
      <c r="AC53" s="112">
        <f t="shared" si="7"/>
        <v>2056699</v>
      </c>
      <c r="AD53" s="381">
        <f t="shared" ca="1" si="11"/>
        <v>0</v>
      </c>
      <c r="AE53" s="381">
        <f t="shared" si="9"/>
        <v>0</v>
      </c>
      <c r="AF53" s="382"/>
      <c r="AG53" s="382">
        <v>0.3</v>
      </c>
      <c r="AH53" s="383">
        <f t="shared" si="10"/>
        <v>4.9999999999999989E-2</v>
      </c>
      <c r="AJ53" s="383"/>
      <c r="AL53" s="385"/>
      <c r="AM53" s="381"/>
      <c r="AN53" s="382"/>
      <c r="AO53" s="382"/>
      <c r="AP53" s="383"/>
      <c r="AQ53" s="383"/>
    </row>
    <row r="54" spans="1:43" s="384" customFormat="1" ht="18.75" customHeight="1">
      <c r="A54" s="167">
        <v>43</v>
      </c>
      <c r="B54" s="240">
        <f>VLOOKUP(A54,'JUNE (물량흐름)'!$A$13:$C$502,3,0)</f>
        <v>100011006</v>
      </c>
      <c r="C54" s="21" t="str">
        <f>VLOOKUP(A54,'JUNE (물량흐름)'!$A$13:$C$502,2,0)</f>
        <v>ALFANI</v>
      </c>
      <c r="D54" s="212">
        <v>0.35</v>
      </c>
      <c r="E54" s="6">
        <f>VLOOKUP(B54,'Sales profit (스타일 별 매출이익)'!$D$9:$P$491,13,0)</f>
        <v>7936.2499999999991</v>
      </c>
      <c r="F54" s="112">
        <f>IFERROR(VLOOKUP(B54,O.B.JUNE!$N$7:$Q$448,2,0),0)</f>
        <v>0</v>
      </c>
      <c r="G54" s="112">
        <f>IFERROR(VLOOKUP(B54,O.B.JUNE!$N$7:$Q$448,3,0),0)</f>
        <v>0</v>
      </c>
      <c r="H54" s="112">
        <f>IFERROR(VLOOKUP(B54,O.B.JUNE!$N$7:$Q$448,4,0),0)</f>
        <v>94</v>
      </c>
      <c r="I54" s="112">
        <f t="shared" si="2"/>
        <v>94</v>
      </c>
      <c r="J54" s="112">
        <f>IFERROR(VLOOKUP(B54,O.B.JUNE!$AA$7:$AG$448,7,0),0)</f>
        <v>1080212</v>
      </c>
      <c r="K54" s="112">
        <f>IFERROR(VLOOKUP(B54,O.B.JUNE!$AI$7:$AO$448,7,0),0)</f>
        <v>1473108</v>
      </c>
      <c r="L54" s="112">
        <f t="shared" si="3"/>
        <v>2553320</v>
      </c>
      <c r="M54" s="112">
        <f>ROUND(SUMIF('JUNE (물량흐름)'!$C$13:$C$502,'WIP(재공품)'!B54,'JUNE (물량흐름)'!$H$13:$H$502)+SUMIF('JUNE (물량흐름)'!$C$13:$C$502,'WIP(재공품)'!B54,'JUNE (물량흐름)'!$V$13:$V$502),0)</f>
        <v>0</v>
      </c>
      <c r="N54" s="112">
        <f>SUMIF('Direct labour(직접노무비)'!$C$12:$C$503,'WIP(재공품)'!B54,'Direct labour(직접노무비)'!$O$12:$O$503)</f>
        <v>0</v>
      </c>
      <c r="O54" s="112">
        <f>SUMIF('Overhead exp(제조경비)'!$C$12:$C$503,'WIP(재공품)'!B54,'Overhead exp(제조경비)'!$O$12:$O$503)</f>
        <v>0</v>
      </c>
      <c r="P54" s="112">
        <f t="shared" si="4"/>
        <v>0</v>
      </c>
      <c r="Q54" s="112">
        <v>0</v>
      </c>
      <c r="R54" s="112">
        <v>0</v>
      </c>
      <c r="S54" s="112">
        <f>SUMIF('JUNE (물량흐름)'!$C$13:$C$493,'WIP(재공품)'!B54,'JUNE (물량흐름)'!$T$13:$T$493)+SUMIF('JUNE (물량흐름)'!$C$13:$C$493,'WIP(재공품)'!B54,'JUNE (물량흐름)'!$U$13:$U$493)+SUMIF('JUNE (물량흐름)'!$C$13:$C$493,'WIP(재공품)'!B54,'JUNE (물량흐름)'!$V$13:$V$493)-SUMIF('JUNE (물량흐름)'!$C$13:$C$493,'WIP(재공품)'!B54,'JUNE (물량흐름)'!$Y$13:$Y$493)</f>
        <v>0</v>
      </c>
      <c r="T54" s="112">
        <f>SUMIF('JUNE (물량흐름)'!$C$13:$C$502,'WIP(재공품)'!B54,'JUNE (물량흐름)'!$Y$13:$Y$502)</f>
        <v>0</v>
      </c>
      <c r="U54" s="167">
        <f>SUMIF('Direct labour(직접노무비)'!$C$12:$C$503,'WIP(재공품)'!B54,'Direct labour(직접노무비)'!$U$12:$U$503)+SUMIF('Overhead exp(제조경비)'!$C$12:$C$503,'WIP(재공품)'!B54,'Overhead exp(제조경비)'!$U$12:$U$503)</f>
        <v>0</v>
      </c>
      <c r="V54" s="112">
        <f>SUMIF('Direct labour(직접노무비)'!$C$12:$C$503,'WIP(재공품)'!B54,'Direct labour(직접노무비)'!$Q$12:$Q$503)</f>
        <v>0</v>
      </c>
      <c r="W54" s="112">
        <f>SUMIF('Overhead exp(제조경비)'!$C$12:$C$503,'WIP(재공품)'!B54,'Overhead exp(제조경비)'!$Q$12:$Q$503)</f>
        <v>0</v>
      </c>
      <c r="X54" s="112">
        <f t="shared" si="5"/>
        <v>0</v>
      </c>
      <c r="Y54" s="112">
        <f ca="1">ROUND(SUMIF('JUNE (물량흐름)'!$C$13:$C$502,'WIP(재공품)'!B54,'JUNE (물량흐름)'!$N$13:$N$488),0)</f>
        <v>0</v>
      </c>
      <c r="Z54" s="112">
        <f>ROUND(SUMIF('JUNE (물량흐름)'!$C$13:$C$502,'WIP(재공품)'!B54,'JUNE (물량흐름)'!$O$13:$O$502),0)</f>
        <v>0</v>
      </c>
      <c r="AA54" s="112">
        <f>ROUND(SUMIF('JUNE (물량흐름)'!$C$13:$C$502,'WIP(재공품)'!B54,'JUNE (물량흐름)'!$P$13:$P$502),0)</f>
        <v>94</v>
      </c>
      <c r="AB54" s="112">
        <f t="shared" ca="1" si="6"/>
        <v>94</v>
      </c>
      <c r="AC54" s="112">
        <f t="shared" si="7"/>
        <v>2553320</v>
      </c>
      <c r="AD54" s="381">
        <f t="shared" ca="1" si="11"/>
        <v>0</v>
      </c>
      <c r="AE54" s="381">
        <f t="shared" si="9"/>
        <v>0</v>
      </c>
      <c r="AF54" s="382"/>
      <c r="AG54" s="382">
        <v>0.3</v>
      </c>
      <c r="AH54" s="383">
        <f t="shared" si="10"/>
        <v>4.9999999999999989E-2</v>
      </c>
      <c r="AJ54" s="383"/>
      <c r="AL54" s="385"/>
      <c r="AM54" s="381"/>
      <c r="AN54" s="382"/>
      <c r="AO54" s="382"/>
      <c r="AP54" s="383"/>
      <c r="AQ54" s="383"/>
    </row>
    <row r="55" spans="1:43" s="384" customFormat="1" ht="18.75" customHeight="1">
      <c r="A55" s="167">
        <v>44</v>
      </c>
      <c r="B55" s="240">
        <f>VLOOKUP(A55,'JUNE (물량흐름)'!$A$13:$C$502,3,0)</f>
        <v>100011101</v>
      </c>
      <c r="C55" s="21" t="str">
        <f>VLOOKUP(A55,'JUNE (물량흐름)'!$A$13:$C$502,2,0)</f>
        <v>ALFANI</v>
      </c>
      <c r="D55" s="212">
        <v>0.36</v>
      </c>
      <c r="E55" s="6">
        <f>VLOOKUP(B55,'Sales profit (스타일 별 매출이익)'!$D$9:$P$491,13,0)</f>
        <v>8163</v>
      </c>
      <c r="F55" s="112">
        <f>IFERROR(VLOOKUP(B55,O.B.JUNE!$N$7:$Q$448,2,0),0)</f>
        <v>0</v>
      </c>
      <c r="G55" s="112">
        <f>IFERROR(VLOOKUP(B55,O.B.JUNE!$N$7:$Q$448,3,0),0)</f>
        <v>0</v>
      </c>
      <c r="H55" s="112">
        <f>IFERROR(VLOOKUP(B55,O.B.JUNE!$N$7:$Q$448,4,0),0)</f>
        <v>21</v>
      </c>
      <c r="I55" s="112">
        <f t="shared" si="2"/>
        <v>21</v>
      </c>
      <c r="J55" s="112">
        <f>IFERROR(VLOOKUP(B55,O.B.JUNE!$AA$7:$AG$448,7,0),0)</f>
        <v>165621</v>
      </c>
      <c r="K55" s="112">
        <f>IFERROR(VLOOKUP(B55,O.B.JUNE!$AI$7:$AO$448,7,0),0)</f>
        <v>225860</v>
      </c>
      <c r="L55" s="112">
        <f t="shared" si="3"/>
        <v>391481</v>
      </c>
      <c r="M55" s="112">
        <f>ROUND(SUMIF('JUNE (물량흐름)'!$C$13:$C$502,'WIP(재공품)'!B55,'JUNE (물량흐름)'!$H$13:$H$502)+SUMIF('JUNE (물량흐름)'!$C$13:$C$502,'WIP(재공품)'!B55,'JUNE (물량흐름)'!$V$13:$V$502),0)</f>
        <v>0</v>
      </c>
      <c r="N55" s="112">
        <f>SUMIF('Direct labour(직접노무비)'!$C$12:$C$503,'WIP(재공품)'!B55,'Direct labour(직접노무비)'!$O$12:$O$503)</f>
        <v>0</v>
      </c>
      <c r="O55" s="112">
        <f>SUMIF('Overhead exp(제조경비)'!$C$12:$C$503,'WIP(재공품)'!B55,'Overhead exp(제조경비)'!$O$12:$O$503)</f>
        <v>0</v>
      </c>
      <c r="P55" s="112">
        <f t="shared" si="4"/>
        <v>0</v>
      </c>
      <c r="Q55" s="112">
        <v>0</v>
      </c>
      <c r="R55" s="112">
        <v>0</v>
      </c>
      <c r="S55" s="112">
        <f>SUMIF('JUNE (물량흐름)'!$C$13:$C$493,'WIP(재공품)'!B55,'JUNE (물량흐름)'!$T$13:$T$493)+SUMIF('JUNE (물량흐름)'!$C$13:$C$493,'WIP(재공품)'!B55,'JUNE (물량흐름)'!$U$13:$U$493)+SUMIF('JUNE (물량흐름)'!$C$13:$C$493,'WIP(재공품)'!B55,'JUNE (물량흐름)'!$V$13:$V$493)-SUMIF('JUNE (물량흐름)'!$C$13:$C$493,'WIP(재공품)'!B55,'JUNE (물량흐름)'!$Y$13:$Y$493)</f>
        <v>0</v>
      </c>
      <c r="T55" s="112">
        <f>SUMIF('JUNE (물량흐름)'!$C$13:$C$502,'WIP(재공품)'!B55,'JUNE (물량흐름)'!$Y$13:$Y$502)</f>
        <v>0</v>
      </c>
      <c r="U55" s="167">
        <f>SUMIF('Direct labour(직접노무비)'!$C$12:$C$503,'WIP(재공품)'!B55,'Direct labour(직접노무비)'!$U$12:$U$503)+SUMIF('Overhead exp(제조경비)'!$C$12:$C$503,'WIP(재공품)'!B55,'Overhead exp(제조경비)'!$U$12:$U$503)</f>
        <v>0</v>
      </c>
      <c r="V55" s="112">
        <f>SUMIF('Direct labour(직접노무비)'!$C$12:$C$503,'WIP(재공품)'!B55,'Direct labour(직접노무비)'!$Q$12:$Q$503)</f>
        <v>0</v>
      </c>
      <c r="W55" s="112">
        <f>SUMIF('Overhead exp(제조경비)'!$C$12:$C$503,'WIP(재공품)'!B55,'Overhead exp(제조경비)'!$Q$12:$Q$503)</f>
        <v>0</v>
      </c>
      <c r="X55" s="112">
        <f t="shared" si="5"/>
        <v>0</v>
      </c>
      <c r="Y55" s="112">
        <f ca="1">ROUND(SUMIF('JUNE (물량흐름)'!$C$13:$C$502,'WIP(재공품)'!B55,'JUNE (물량흐름)'!$N$13:$N$488),0)</f>
        <v>0</v>
      </c>
      <c r="Z55" s="112">
        <f>ROUND(SUMIF('JUNE (물량흐름)'!$C$13:$C$502,'WIP(재공품)'!B55,'JUNE (물량흐름)'!$O$13:$O$502),0)</f>
        <v>0</v>
      </c>
      <c r="AA55" s="112">
        <f>ROUND(SUMIF('JUNE (물량흐름)'!$C$13:$C$502,'WIP(재공품)'!B55,'JUNE (물량흐름)'!$P$13:$P$502),0)</f>
        <v>21</v>
      </c>
      <c r="AB55" s="112">
        <f t="shared" ca="1" si="6"/>
        <v>21</v>
      </c>
      <c r="AC55" s="112">
        <f t="shared" si="7"/>
        <v>391481</v>
      </c>
      <c r="AD55" s="381">
        <f t="shared" ca="1" si="11"/>
        <v>0</v>
      </c>
      <c r="AE55" s="381">
        <f t="shared" si="9"/>
        <v>0</v>
      </c>
      <c r="AF55" s="382"/>
      <c r="AG55" s="382">
        <v>0.3</v>
      </c>
      <c r="AH55" s="383">
        <f t="shared" si="10"/>
        <v>0.06</v>
      </c>
      <c r="AJ55" s="383"/>
      <c r="AL55" s="385"/>
      <c r="AM55" s="381"/>
      <c r="AN55" s="382"/>
      <c r="AO55" s="382"/>
      <c r="AP55" s="383"/>
      <c r="AQ55" s="383"/>
    </row>
    <row r="56" spans="1:43" s="384" customFormat="1" ht="18.75" customHeight="1">
      <c r="A56" s="167">
        <v>45</v>
      </c>
      <c r="B56" s="240">
        <f>VLOOKUP(A56,'JUNE (물량흐름)'!$A$13:$C$502,3,0)</f>
        <v>100011102</v>
      </c>
      <c r="C56" s="21" t="str">
        <f>VLOOKUP(A56,'JUNE (물량흐름)'!$A$13:$C$502,2,0)</f>
        <v>ALFANI</v>
      </c>
      <c r="D56" s="212">
        <v>0.35</v>
      </c>
      <c r="E56" s="6">
        <f>VLOOKUP(B56,'Sales profit (스타일 별 매출이익)'!$D$9:$P$491,13,0)</f>
        <v>7936.2499999999991</v>
      </c>
      <c r="F56" s="112">
        <f>IFERROR(VLOOKUP(B56,O.B.JUNE!$N$7:$Q$448,2,0),0)</f>
        <v>0</v>
      </c>
      <c r="G56" s="112">
        <f>IFERROR(VLOOKUP(B56,O.B.JUNE!$N$7:$Q$448,3,0),0)</f>
        <v>0</v>
      </c>
      <c r="H56" s="112">
        <f>IFERROR(VLOOKUP(B56,O.B.JUNE!$N$7:$Q$448,4,0),0)</f>
        <v>31</v>
      </c>
      <c r="I56" s="112">
        <f t="shared" si="2"/>
        <v>31</v>
      </c>
      <c r="J56" s="112">
        <f>IFERROR(VLOOKUP(B56,O.B.JUNE!$AA$7:$AG$448,7,0),0)</f>
        <v>244768</v>
      </c>
      <c r="K56" s="112">
        <f>IFERROR(VLOOKUP(B56,O.B.JUNE!$AI$7:$AO$448,7,0),0)</f>
        <v>333795</v>
      </c>
      <c r="L56" s="112">
        <f t="shared" si="3"/>
        <v>578563</v>
      </c>
      <c r="M56" s="112">
        <f>ROUND(SUMIF('JUNE (물량흐름)'!$C$13:$C$502,'WIP(재공품)'!B56,'JUNE (물량흐름)'!$H$13:$H$502)+SUMIF('JUNE (물량흐름)'!$C$13:$C$502,'WIP(재공품)'!B56,'JUNE (물량흐름)'!$V$13:$V$502),0)</f>
        <v>0</v>
      </c>
      <c r="N56" s="112">
        <f>SUMIF('Direct labour(직접노무비)'!$C$12:$C$503,'WIP(재공품)'!B56,'Direct labour(직접노무비)'!$O$12:$O$503)</f>
        <v>0</v>
      </c>
      <c r="O56" s="112">
        <f>SUMIF('Overhead exp(제조경비)'!$C$12:$C$503,'WIP(재공품)'!B56,'Overhead exp(제조경비)'!$O$12:$O$503)</f>
        <v>0</v>
      </c>
      <c r="P56" s="112">
        <f t="shared" si="4"/>
        <v>0</v>
      </c>
      <c r="Q56" s="112">
        <v>0</v>
      </c>
      <c r="R56" s="112">
        <v>0</v>
      </c>
      <c r="S56" s="112">
        <f>SUMIF('JUNE (물량흐름)'!$C$13:$C$493,'WIP(재공품)'!B56,'JUNE (물량흐름)'!$T$13:$T$493)+SUMIF('JUNE (물량흐름)'!$C$13:$C$493,'WIP(재공품)'!B56,'JUNE (물량흐름)'!$U$13:$U$493)+SUMIF('JUNE (물량흐름)'!$C$13:$C$493,'WIP(재공품)'!B56,'JUNE (물량흐름)'!$V$13:$V$493)-SUMIF('JUNE (물량흐름)'!$C$13:$C$493,'WIP(재공품)'!B56,'JUNE (물량흐름)'!$Y$13:$Y$493)</f>
        <v>0</v>
      </c>
      <c r="T56" s="112">
        <f>SUMIF('JUNE (물량흐름)'!$C$13:$C$502,'WIP(재공품)'!B56,'JUNE (물량흐름)'!$Y$13:$Y$502)</f>
        <v>0</v>
      </c>
      <c r="U56" s="167">
        <f>SUMIF('Direct labour(직접노무비)'!$C$12:$C$503,'WIP(재공품)'!B56,'Direct labour(직접노무비)'!$U$12:$U$503)+SUMIF('Overhead exp(제조경비)'!$C$12:$C$503,'WIP(재공품)'!B56,'Overhead exp(제조경비)'!$U$12:$U$503)</f>
        <v>0</v>
      </c>
      <c r="V56" s="112">
        <f>SUMIF('Direct labour(직접노무비)'!$C$12:$C$503,'WIP(재공품)'!B56,'Direct labour(직접노무비)'!$Q$12:$Q$503)</f>
        <v>0</v>
      </c>
      <c r="W56" s="112">
        <f>SUMIF('Overhead exp(제조경비)'!$C$12:$C$503,'WIP(재공품)'!B56,'Overhead exp(제조경비)'!$Q$12:$Q$503)</f>
        <v>0</v>
      </c>
      <c r="X56" s="112">
        <f t="shared" si="5"/>
        <v>0</v>
      </c>
      <c r="Y56" s="112">
        <f ca="1">ROUND(SUMIF('JUNE (물량흐름)'!$C$13:$C$502,'WIP(재공품)'!B56,'JUNE (물량흐름)'!$N$13:$N$488),0)</f>
        <v>0</v>
      </c>
      <c r="Z56" s="112">
        <f>ROUND(SUMIF('JUNE (물량흐름)'!$C$13:$C$502,'WIP(재공품)'!B56,'JUNE (물량흐름)'!$O$13:$O$502),0)</f>
        <v>0</v>
      </c>
      <c r="AA56" s="112">
        <f>ROUND(SUMIF('JUNE (물량흐름)'!$C$13:$C$502,'WIP(재공품)'!B56,'JUNE (물량흐름)'!$P$13:$P$502),0)</f>
        <v>31</v>
      </c>
      <c r="AB56" s="112">
        <f t="shared" ca="1" si="6"/>
        <v>31</v>
      </c>
      <c r="AC56" s="112">
        <f t="shared" si="7"/>
        <v>578563</v>
      </c>
      <c r="AD56" s="381">
        <f t="shared" ca="1" si="11"/>
        <v>0</v>
      </c>
      <c r="AE56" s="381">
        <f t="shared" si="9"/>
        <v>0</v>
      </c>
      <c r="AF56" s="382"/>
      <c r="AG56" s="382">
        <v>0.3</v>
      </c>
      <c r="AH56" s="383">
        <f t="shared" si="10"/>
        <v>4.9999999999999989E-2</v>
      </c>
      <c r="AJ56" s="383"/>
      <c r="AL56" s="385"/>
      <c r="AM56" s="381"/>
      <c r="AN56" s="382"/>
      <c r="AO56" s="382"/>
      <c r="AP56" s="383"/>
      <c r="AQ56" s="383"/>
    </row>
    <row r="57" spans="1:43" s="384" customFormat="1" ht="18.75" customHeight="1">
      <c r="A57" s="167">
        <v>46</v>
      </c>
      <c r="B57" s="240">
        <f>VLOOKUP(A57,'JUNE (물량흐름)'!$A$13:$C$502,3,0)</f>
        <v>2335</v>
      </c>
      <c r="C57" s="21" t="str">
        <f>VLOOKUP(A57,'JUNE (물량흐름)'!$A$13:$C$502,2,0)</f>
        <v>ALFANI</v>
      </c>
      <c r="D57" s="212">
        <v>0.36</v>
      </c>
      <c r="E57" s="6">
        <f>VLOOKUP(B57,'Sales profit (스타일 별 매출이익)'!$D$9:$P$491,13,0)</f>
        <v>8163</v>
      </c>
      <c r="F57" s="112">
        <f>IFERROR(VLOOKUP(B57,O.B.JUNE!$N$7:$Q$448,2,0),0)</f>
        <v>0</v>
      </c>
      <c r="G57" s="112">
        <f>IFERROR(VLOOKUP(B57,O.B.JUNE!$N$7:$Q$448,3,0),0)</f>
        <v>328</v>
      </c>
      <c r="H57" s="112">
        <f>IFERROR(VLOOKUP(B57,O.B.JUNE!$N$7:$Q$448,4,0),0)</f>
        <v>945</v>
      </c>
      <c r="I57" s="112">
        <f t="shared" si="2"/>
        <v>1273</v>
      </c>
      <c r="J57" s="112">
        <f>IFERROR(VLOOKUP(B57,O.B.JUNE!$AA$7:$AG$448,7,0),0)</f>
        <v>9497959</v>
      </c>
      <c r="K57" s="112">
        <f>IFERROR(VLOOKUP(B57,O.B.JUNE!$AI$7:$AO$448,7,0),0)</f>
        <v>17204332</v>
      </c>
      <c r="L57" s="112">
        <f t="shared" si="3"/>
        <v>26702291</v>
      </c>
      <c r="M57" s="112">
        <f>ROUND(SUMIF('JUNE (물량흐름)'!$C$13:$C$502,'WIP(재공품)'!B57,'JUNE (물량흐름)'!$H$13:$H$502)+SUMIF('JUNE (물량흐름)'!$C$13:$C$502,'WIP(재공품)'!B57,'JUNE (물량흐름)'!$V$13:$V$502),0)</f>
        <v>0</v>
      </c>
      <c r="N57" s="112">
        <f>SUMIF('Direct labour(직접노무비)'!$C$12:$C$503,'WIP(재공품)'!B57,'Direct labour(직접노무비)'!$O$12:$O$503)</f>
        <v>0</v>
      </c>
      <c r="O57" s="112">
        <f>SUMIF('Overhead exp(제조경비)'!$C$12:$C$503,'WIP(재공품)'!B57,'Overhead exp(제조경비)'!$O$12:$O$503)</f>
        <v>0</v>
      </c>
      <c r="P57" s="112">
        <f t="shared" si="4"/>
        <v>0</v>
      </c>
      <c r="Q57" s="112">
        <v>0</v>
      </c>
      <c r="R57" s="112">
        <v>0</v>
      </c>
      <c r="S57" s="112">
        <f>SUMIF('JUNE (물량흐름)'!$C$13:$C$493,'WIP(재공품)'!B57,'JUNE (물량흐름)'!$T$13:$T$493)+SUMIF('JUNE (물량흐름)'!$C$13:$C$493,'WIP(재공품)'!B57,'JUNE (물량흐름)'!$U$13:$U$493)+SUMIF('JUNE (물량흐름)'!$C$13:$C$493,'WIP(재공품)'!B57,'JUNE (물량흐름)'!$V$13:$V$493)-SUMIF('JUNE (물량흐름)'!$C$13:$C$493,'WIP(재공품)'!B57,'JUNE (물량흐름)'!$Y$13:$Y$493)</f>
        <v>0</v>
      </c>
      <c r="T57" s="112">
        <f>SUMIF('JUNE (물량흐름)'!$C$13:$C$502,'WIP(재공품)'!B57,'JUNE (물량흐름)'!$Y$13:$Y$502)</f>
        <v>0</v>
      </c>
      <c r="U57" s="167">
        <f>SUMIF('Direct labour(직접노무비)'!$C$12:$C$503,'WIP(재공품)'!B57,'Direct labour(직접노무비)'!$U$12:$U$503)+SUMIF('Overhead exp(제조경비)'!$C$12:$C$503,'WIP(재공품)'!B57,'Overhead exp(제조경비)'!$U$12:$U$503)</f>
        <v>0</v>
      </c>
      <c r="V57" s="112">
        <f>SUMIF('Direct labour(직접노무비)'!$C$12:$C$503,'WIP(재공품)'!B57,'Direct labour(직접노무비)'!$Q$12:$Q$503)</f>
        <v>0</v>
      </c>
      <c r="W57" s="112">
        <f>SUMIF('Overhead exp(제조경비)'!$C$12:$C$503,'WIP(재공품)'!B57,'Overhead exp(제조경비)'!$Q$12:$Q$503)</f>
        <v>0</v>
      </c>
      <c r="X57" s="112">
        <f t="shared" si="5"/>
        <v>0</v>
      </c>
      <c r="Y57" s="112">
        <f ca="1">ROUND(SUMIF('JUNE (물량흐름)'!$C$13:$C$502,'WIP(재공품)'!B57,'JUNE (물량흐름)'!$N$13:$N$488),0)</f>
        <v>0</v>
      </c>
      <c r="Z57" s="112">
        <f>ROUND(SUMIF('JUNE (물량흐름)'!$C$13:$C$502,'WIP(재공품)'!B57,'JUNE (물량흐름)'!$O$13:$O$502),0)</f>
        <v>4</v>
      </c>
      <c r="AA57" s="112">
        <f>ROUND(SUMIF('JUNE (물량흐름)'!$C$13:$C$502,'WIP(재공품)'!B57,'JUNE (물량흐름)'!$P$13:$P$502),0)</f>
        <v>1269</v>
      </c>
      <c r="AB57" s="112">
        <f t="shared" ca="1" si="6"/>
        <v>1273</v>
      </c>
      <c r="AC57" s="112">
        <f t="shared" si="7"/>
        <v>26702291</v>
      </c>
      <c r="AD57" s="381">
        <f t="shared" ca="1" si="11"/>
        <v>0</v>
      </c>
      <c r="AE57" s="381">
        <f t="shared" si="9"/>
        <v>0</v>
      </c>
      <c r="AF57" s="382"/>
      <c r="AG57" s="382">
        <v>0.3</v>
      </c>
      <c r="AH57" s="383">
        <f t="shared" si="10"/>
        <v>0.06</v>
      </c>
      <c r="AJ57" s="383"/>
      <c r="AL57" s="385"/>
      <c r="AM57" s="381"/>
      <c r="AN57" s="382"/>
      <c r="AO57" s="382"/>
      <c r="AP57" s="383"/>
      <c r="AQ57" s="383"/>
    </row>
    <row r="58" spans="1:43" s="386" customFormat="1" ht="18.75" customHeight="1">
      <c r="A58" s="167">
        <v>47</v>
      </c>
      <c r="B58" s="240">
        <f>VLOOKUP(A58,'JUNE (물량흐름)'!$A$13:$C$502,3,0)</f>
        <v>7220</v>
      </c>
      <c r="C58" s="21" t="str">
        <f>VLOOKUP(A58,'JUNE (물량흐름)'!$A$13:$C$502,2,0)</f>
        <v>ALFANI</v>
      </c>
      <c r="D58" s="212">
        <v>2.27</v>
      </c>
      <c r="E58" s="6">
        <f>VLOOKUP(B58,'Sales profit (스타일 별 매출이익)'!$D$9:$P$491,13,0)</f>
        <v>51472.25</v>
      </c>
      <c r="F58" s="112">
        <f>IFERROR(VLOOKUP(B58,O.B.JUNE!$N$7:$Q$448,2,0),0)</f>
        <v>0</v>
      </c>
      <c r="G58" s="112">
        <f>IFERROR(VLOOKUP(B58,O.B.JUNE!$N$7:$Q$448,3,0),0)</f>
        <v>1281</v>
      </c>
      <c r="H58" s="112">
        <f>IFERROR(VLOOKUP(B58,O.B.JUNE!$N$7:$Q$448,4,0),0)</f>
        <v>80</v>
      </c>
      <c r="I58" s="112">
        <f t="shared" si="2"/>
        <v>1361</v>
      </c>
      <c r="J58" s="112">
        <f>IFERROR(VLOOKUP(B58,O.B.JUNE!$AA$7:$AG$448,7,0),0)</f>
        <v>6279854</v>
      </c>
      <c r="K58" s="112">
        <f>IFERROR(VLOOKUP(B58,O.B.JUNE!$AI$7:$AO$448,7,0),0)</f>
        <v>9711703</v>
      </c>
      <c r="L58" s="112">
        <f t="shared" si="3"/>
        <v>15991557</v>
      </c>
      <c r="M58" s="112">
        <f>ROUND(SUMIF('JUNE (물량흐름)'!$C$13:$C$502,'WIP(재공품)'!B58,'JUNE (물량흐름)'!$H$13:$H$502)+SUMIF('JUNE (물량흐름)'!$C$13:$C$502,'WIP(재공품)'!B58,'JUNE (물량흐름)'!$V$13:$V$502),0)</f>
        <v>0</v>
      </c>
      <c r="N58" s="112">
        <f>SUMIF('Direct labour(직접노무비)'!$C$12:$C$503,'WIP(재공품)'!B58,'Direct labour(직접노무비)'!$O$12:$O$503)</f>
        <v>0</v>
      </c>
      <c r="O58" s="112">
        <f>SUMIF('Overhead exp(제조경비)'!$C$12:$C$503,'WIP(재공품)'!B58,'Overhead exp(제조경비)'!$O$12:$O$503)</f>
        <v>0</v>
      </c>
      <c r="P58" s="112">
        <f t="shared" si="4"/>
        <v>0</v>
      </c>
      <c r="Q58" s="112">
        <v>0</v>
      </c>
      <c r="R58" s="112">
        <v>0</v>
      </c>
      <c r="S58" s="112">
        <f>SUMIF('JUNE (물량흐름)'!$C$13:$C$493,'WIP(재공품)'!B58,'JUNE (물량흐름)'!$T$13:$T$493)+SUMIF('JUNE (물량흐름)'!$C$13:$C$493,'WIP(재공품)'!B58,'JUNE (물량흐름)'!$U$13:$U$493)+SUMIF('JUNE (물량흐름)'!$C$13:$C$493,'WIP(재공품)'!B58,'JUNE (물량흐름)'!$V$13:$V$493)-SUMIF('JUNE (물량흐름)'!$C$13:$C$493,'WIP(재공품)'!B58,'JUNE (물량흐름)'!$Y$13:$Y$493)</f>
        <v>1140</v>
      </c>
      <c r="T58" s="112">
        <f>SUMIF('JUNE (물량흐름)'!$C$13:$C$502,'WIP(재공품)'!B58,'JUNE (물량흐름)'!$Y$13:$Y$502)</f>
        <v>2</v>
      </c>
      <c r="U58" s="167">
        <f>SUMIF('Direct labour(직접노무비)'!$C$12:$C$503,'WIP(재공품)'!B58,'Direct labour(직접노무비)'!$U$12:$U$503)+SUMIF('Overhead exp(제조경비)'!$C$12:$C$503,'WIP(재공품)'!B58,'Overhead exp(제조경비)'!$U$12:$U$503)</f>
        <v>23499</v>
      </c>
      <c r="V58" s="112">
        <f>SUMIF('Direct labour(직접노무비)'!$C$12:$C$503,'WIP(재공품)'!B58,'Direct labour(직접노무비)'!$Q$12:$Q$503)</f>
        <v>5260128</v>
      </c>
      <c r="W58" s="112">
        <f>SUMIF('Overhead exp(제조경비)'!$C$12:$C$503,'WIP(재공품)'!B58,'Overhead exp(제조경비)'!$Q$12:$Q$503)</f>
        <v>8134711</v>
      </c>
      <c r="X58" s="112">
        <f t="shared" si="5"/>
        <v>13394839</v>
      </c>
      <c r="Y58" s="112">
        <f ca="1">ROUND(SUMIF('JUNE (물량흐름)'!$C$13:$C$502,'WIP(재공품)'!B58,'JUNE (물량흐름)'!$N$13:$N$488),0)</f>
        <v>0</v>
      </c>
      <c r="Z58" s="112">
        <f>ROUND(SUMIF('JUNE (물량흐름)'!$C$13:$C$502,'WIP(재공품)'!B58,'JUNE (물량흐름)'!$O$13:$O$502),0)</f>
        <v>101</v>
      </c>
      <c r="AA58" s="112">
        <f>ROUND(SUMIF('JUNE (물량흐름)'!$C$13:$C$502,'WIP(재공품)'!B58,'JUNE (물량흐름)'!$P$13:$P$502),0)</f>
        <v>118</v>
      </c>
      <c r="AB58" s="112">
        <f t="shared" ca="1" si="6"/>
        <v>219</v>
      </c>
      <c r="AC58" s="112">
        <f t="shared" si="7"/>
        <v>2573219</v>
      </c>
      <c r="AD58" s="381">
        <f t="shared" ca="1" si="11"/>
        <v>0</v>
      </c>
      <c r="AE58" s="381">
        <f t="shared" si="9"/>
        <v>0</v>
      </c>
      <c r="AF58" s="382"/>
      <c r="AG58" s="382">
        <v>0</v>
      </c>
      <c r="AH58" s="383">
        <f t="shared" si="10"/>
        <v>2.27</v>
      </c>
      <c r="AI58" s="384"/>
      <c r="AJ58" s="383"/>
      <c r="AL58" s="385"/>
      <c r="AM58" s="381"/>
      <c r="AN58" s="382"/>
      <c r="AO58" s="382"/>
      <c r="AP58" s="383"/>
      <c r="AQ58" s="383"/>
    </row>
    <row r="59" spans="1:43" s="384" customFormat="1" ht="18.75" customHeight="1">
      <c r="A59" s="167">
        <v>48</v>
      </c>
      <c r="B59" s="240" t="str">
        <f>VLOOKUP(A59,'JUNE (물량흐름)'!$A$13:$C$502,3,0)</f>
        <v>7D400</v>
      </c>
      <c r="C59" s="21" t="str">
        <f>VLOOKUP(A59,'JUNE (물량흐름)'!$A$13:$C$502,2,0)</f>
        <v>ALFANI</v>
      </c>
      <c r="D59" s="212">
        <v>1.1000000000000001</v>
      </c>
      <c r="E59" s="6">
        <f>VLOOKUP(B59,'Sales profit (스타일 별 매출이익)'!$D$9:$P$491,13,0)</f>
        <v>24942.500000000004</v>
      </c>
      <c r="F59" s="112">
        <f>IFERROR(VLOOKUP(B59,O.B.JUNE!$N$7:$Q$448,2,0),0)</f>
        <v>0</v>
      </c>
      <c r="G59" s="112">
        <f>IFERROR(VLOOKUP(B59,O.B.JUNE!$N$7:$Q$448,3,0),0)</f>
        <v>0</v>
      </c>
      <c r="H59" s="112">
        <f>IFERROR(VLOOKUP(B59,O.B.JUNE!$N$7:$Q$448,4,0),0)</f>
        <v>72</v>
      </c>
      <c r="I59" s="112">
        <f t="shared" si="2"/>
        <v>72</v>
      </c>
      <c r="J59" s="112">
        <f>IFERROR(VLOOKUP(B59,O.B.JUNE!$AA$7:$AG$448,7,0),0)</f>
        <v>1977015</v>
      </c>
      <c r="K59" s="112">
        <f>IFERROR(VLOOKUP(B59,O.B.JUNE!$AI$7:$AO$448,7,0),0)</f>
        <v>2696096</v>
      </c>
      <c r="L59" s="112">
        <f t="shared" si="3"/>
        <v>4673111</v>
      </c>
      <c r="M59" s="112">
        <f>ROUND(SUMIF('JUNE (물량흐름)'!$C$13:$C$502,'WIP(재공품)'!B59,'JUNE (물량흐름)'!$H$13:$H$502)+SUMIF('JUNE (물량흐름)'!$C$13:$C$502,'WIP(재공품)'!B59,'JUNE (물량흐름)'!$V$13:$V$502),0)</f>
        <v>0</v>
      </c>
      <c r="N59" s="112">
        <f>SUMIF('Direct labour(직접노무비)'!$C$12:$C$503,'WIP(재공품)'!B59,'Direct labour(직접노무비)'!$O$12:$O$503)</f>
        <v>0</v>
      </c>
      <c r="O59" s="112">
        <f>SUMIF('Overhead exp(제조경비)'!$C$12:$C$503,'WIP(재공품)'!B59,'Overhead exp(제조경비)'!$O$12:$O$503)</f>
        <v>0</v>
      </c>
      <c r="P59" s="112">
        <f t="shared" si="4"/>
        <v>0</v>
      </c>
      <c r="Q59" s="112">
        <v>0</v>
      </c>
      <c r="R59" s="112">
        <v>0</v>
      </c>
      <c r="S59" s="112">
        <f>SUMIF('JUNE (물량흐름)'!$C$13:$C$493,'WIP(재공품)'!B59,'JUNE (물량흐름)'!$T$13:$T$493)+SUMIF('JUNE (물량흐름)'!$C$13:$C$493,'WIP(재공품)'!B59,'JUNE (물량흐름)'!$U$13:$U$493)+SUMIF('JUNE (물량흐름)'!$C$13:$C$493,'WIP(재공품)'!B59,'JUNE (물량흐름)'!$V$13:$V$493)-SUMIF('JUNE (물량흐름)'!$C$13:$C$493,'WIP(재공품)'!B59,'JUNE (물량흐름)'!$Y$13:$Y$493)</f>
        <v>72</v>
      </c>
      <c r="T59" s="112">
        <f>SUMIF('JUNE (물량흐름)'!$C$13:$C$502,'WIP(재공품)'!B59,'JUNE (물량흐름)'!$Y$13:$Y$502)</f>
        <v>0</v>
      </c>
      <c r="U59" s="167">
        <f>SUMIF('Direct labour(직접노무비)'!$C$12:$C$503,'WIP(재공품)'!B59,'Direct labour(직접노무비)'!$U$12:$U$503)+SUMIF('Overhead exp(제조경비)'!$C$12:$C$503,'WIP(재공품)'!B59,'Overhead exp(제조경비)'!$U$12:$U$503)</f>
        <v>0</v>
      </c>
      <c r="V59" s="112">
        <f>SUMIF('Direct labour(직접노무비)'!$C$12:$C$503,'WIP(재공품)'!B59,'Direct labour(직접노무비)'!$Q$12:$Q$503)</f>
        <v>1977015</v>
      </c>
      <c r="W59" s="112">
        <f>SUMIF('Overhead exp(제조경비)'!$C$12:$C$503,'WIP(재공품)'!B59,'Overhead exp(제조경비)'!$Q$12:$Q$503)</f>
        <v>2696096</v>
      </c>
      <c r="X59" s="112">
        <f t="shared" si="5"/>
        <v>4673111</v>
      </c>
      <c r="Y59" s="112">
        <f ca="1">ROUND(SUMIF('JUNE (물량흐름)'!$C$13:$C$502,'WIP(재공품)'!B59,'JUNE (물량흐름)'!$N$13:$N$488),0)</f>
        <v>0</v>
      </c>
      <c r="Z59" s="112">
        <f>ROUND(SUMIF('JUNE (물량흐름)'!$C$13:$C$502,'WIP(재공품)'!B59,'JUNE (물량흐름)'!$O$13:$O$502),0)</f>
        <v>0</v>
      </c>
      <c r="AA59" s="112">
        <f>ROUND(SUMIF('JUNE (물량흐름)'!$C$13:$C$502,'WIP(재공품)'!B59,'JUNE (물량흐름)'!$P$13:$P$502),0)</f>
        <v>0</v>
      </c>
      <c r="AB59" s="112">
        <f t="shared" ca="1" si="6"/>
        <v>0</v>
      </c>
      <c r="AC59" s="112">
        <f t="shared" si="7"/>
        <v>0</v>
      </c>
      <c r="AD59" s="381">
        <f t="shared" ca="1" si="11"/>
        <v>0</v>
      </c>
      <c r="AE59" s="381">
        <f t="shared" si="9"/>
        <v>0</v>
      </c>
      <c r="AF59" s="382"/>
      <c r="AG59" s="382">
        <v>0.3</v>
      </c>
      <c r="AH59" s="383">
        <f t="shared" si="10"/>
        <v>0.8</v>
      </c>
      <c r="AJ59" s="383"/>
      <c r="AL59" s="385"/>
      <c r="AM59" s="381"/>
      <c r="AN59" s="382"/>
      <c r="AO59" s="382"/>
      <c r="AP59" s="383"/>
      <c r="AQ59" s="383"/>
    </row>
    <row r="60" spans="1:43" s="384" customFormat="1" ht="18.75" customHeight="1">
      <c r="A60" s="167">
        <v>49</v>
      </c>
      <c r="B60" s="240" t="str">
        <f>VLOOKUP(A60,'JUNE (물량흐름)'!$A$13:$C$502,3,0)</f>
        <v>7D701</v>
      </c>
      <c r="C60" s="21" t="str">
        <f>VLOOKUP(A60,'JUNE (물량흐름)'!$A$13:$C$502,2,0)</f>
        <v>ALFANI</v>
      </c>
      <c r="D60" s="212">
        <v>0.35</v>
      </c>
      <c r="E60" s="6">
        <f>VLOOKUP(B60,'Sales profit (스타일 별 매출이익)'!$D$9:$P$491,13,0)</f>
        <v>7936.2499999999991</v>
      </c>
      <c r="F60" s="112">
        <f>IFERROR(VLOOKUP(B60,O.B.JUNE!$N$7:$Q$448,2,0),0)</f>
        <v>0</v>
      </c>
      <c r="G60" s="112">
        <f>IFERROR(VLOOKUP(B60,O.B.JUNE!$N$7:$Q$448,3,0),0)</f>
        <v>0</v>
      </c>
      <c r="H60" s="112">
        <f>IFERROR(VLOOKUP(B60,O.B.JUNE!$N$7:$Q$448,4,0),0)</f>
        <v>180</v>
      </c>
      <c r="I60" s="112">
        <f t="shared" si="2"/>
        <v>180</v>
      </c>
      <c r="J60" s="112">
        <f>IFERROR(VLOOKUP(B60,O.B.JUNE!$AA$7:$AG$448,7,0),0)</f>
        <v>2513519</v>
      </c>
      <c r="K60" s="112">
        <f>IFERROR(VLOOKUP(B60,O.B.JUNE!$AI$7:$AO$448,7,0),0)</f>
        <v>3427737</v>
      </c>
      <c r="L60" s="112">
        <f t="shared" si="3"/>
        <v>5941256</v>
      </c>
      <c r="M60" s="112">
        <f>ROUND(SUMIF('JUNE (물량흐름)'!$C$13:$C$502,'WIP(재공품)'!B60,'JUNE (물량흐름)'!$H$13:$H$502)+SUMIF('JUNE (물량흐름)'!$C$13:$C$502,'WIP(재공품)'!B60,'JUNE (물량흐름)'!$V$13:$V$502),0)</f>
        <v>0</v>
      </c>
      <c r="N60" s="112">
        <f>SUMIF('Direct labour(직접노무비)'!$C$12:$C$503,'WIP(재공품)'!B60,'Direct labour(직접노무비)'!$O$12:$O$503)</f>
        <v>0</v>
      </c>
      <c r="O60" s="112">
        <f>SUMIF('Overhead exp(제조경비)'!$C$12:$C$503,'WIP(재공품)'!B60,'Overhead exp(제조경비)'!$O$12:$O$503)</f>
        <v>0</v>
      </c>
      <c r="P60" s="112">
        <f t="shared" si="4"/>
        <v>0</v>
      </c>
      <c r="Q60" s="112">
        <v>0</v>
      </c>
      <c r="R60" s="112">
        <v>0</v>
      </c>
      <c r="S60" s="112">
        <f>SUMIF('JUNE (물량흐름)'!$C$13:$C$493,'WIP(재공품)'!B60,'JUNE (물량흐름)'!$T$13:$T$493)+SUMIF('JUNE (물량흐름)'!$C$13:$C$493,'WIP(재공품)'!B60,'JUNE (물량흐름)'!$U$13:$U$493)+SUMIF('JUNE (물량흐름)'!$C$13:$C$493,'WIP(재공품)'!B60,'JUNE (물량흐름)'!$V$13:$V$493)-SUMIF('JUNE (물량흐름)'!$C$13:$C$493,'WIP(재공품)'!B60,'JUNE (물량흐름)'!$Y$13:$Y$493)</f>
        <v>180</v>
      </c>
      <c r="T60" s="112">
        <f>SUMIF('JUNE (물량흐름)'!$C$13:$C$502,'WIP(재공품)'!B60,'JUNE (물량흐름)'!$Y$13:$Y$502)</f>
        <v>0</v>
      </c>
      <c r="U60" s="167">
        <f>SUMIF('Direct labour(직접노무비)'!$C$12:$C$503,'WIP(재공품)'!B60,'Direct labour(직접노무비)'!$U$12:$U$503)+SUMIF('Overhead exp(제조경비)'!$C$12:$C$503,'WIP(재공품)'!B60,'Overhead exp(제조경비)'!$U$12:$U$503)</f>
        <v>0</v>
      </c>
      <c r="V60" s="112">
        <f>SUMIF('Direct labour(직접노무비)'!$C$12:$C$503,'WIP(재공품)'!B60,'Direct labour(직접노무비)'!$Q$12:$Q$503)</f>
        <v>2513519</v>
      </c>
      <c r="W60" s="112">
        <f>SUMIF('Overhead exp(제조경비)'!$C$12:$C$503,'WIP(재공품)'!B60,'Overhead exp(제조경비)'!$Q$12:$Q$503)</f>
        <v>3427737</v>
      </c>
      <c r="X60" s="112">
        <f t="shared" si="5"/>
        <v>5941256</v>
      </c>
      <c r="Y60" s="112">
        <f ca="1">ROUND(SUMIF('JUNE (물량흐름)'!$C$13:$C$502,'WIP(재공품)'!B60,'JUNE (물량흐름)'!$N$13:$N$488),0)</f>
        <v>0</v>
      </c>
      <c r="Z60" s="112">
        <f>ROUND(SUMIF('JUNE (물량흐름)'!$C$13:$C$502,'WIP(재공품)'!B60,'JUNE (물량흐름)'!$O$13:$O$502),0)</f>
        <v>0</v>
      </c>
      <c r="AA60" s="112">
        <f>ROUND(SUMIF('JUNE (물량흐름)'!$C$13:$C$502,'WIP(재공품)'!B60,'JUNE (물량흐름)'!$P$13:$P$502),0)</f>
        <v>0</v>
      </c>
      <c r="AB60" s="112">
        <f t="shared" ca="1" si="6"/>
        <v>0</v>
      </c>
      <c r="AC60" s="112">
        <f t="shared" si="7"/>
        <v>0</v>
      </c>
      <c r="AD60" s="381">
        <f t="shared" ca="1" si="11"/>
        <v>0</v>
      </c>
      <c r="AE60" s="381">
        <f t="shared" si="9"/>
        <v>0</v>
      </c>
      <c r="AF60" s="382"/>
      <c r="AG60" s="382">
        <v>0.3</v>
      </c>
      <c r="AH60" s="383">
        <f t="shared" si="10"/>
        <v>4.9999999999999989E-2</v>
      </c>
      <c r="AJ60" s="383"/>
      <c r="AL60" s="385"/>
      <c r="AM60" s="381"/>
      <c r="AN60" s="382"/>
      <c r="AO60" s="382"/>
      <c r="AP60" s="383"/>
      <c r="AQ60" s="383"/>
    </row>
    <row r="61" spans="1:43" s="384" customFormat="1" ht="18.75" customHeight="1">
      <c r="A61" s="167">
        <v>50</v>
      </c>
      <c r="B61" s="240" t="str">
        <f>VLOOKUP(A61,'JUNE (물량흐름)'!$A$13:$C$502,3,0)</f>
        <v>7D707</v>
      </c>
      <c r="C61" s="21" t="str">
        <f>VLOOKUP(A61,'JUNE (물량흐름)'!$A$13:$C$502,2,0)</f>
        <v>ALFANI</v>
      </c>
      <c r="D61" s="212">
        <v>0.35</v>
      </c>
      <c r="E61" s="6">
        <f>VLOOKUP(B61,'Sales profit (스타일 별 매출이익)'!$D$9:$P$491,13,0)</f>
        <v>7936.2499999999991</v>
      </c>
      <c r="F61" s="112">
        <f>IFERROR(VLOOKUP(B61,O.B.JUNE!$N$7:$Q$448,2,0),0)</f>
        <v>0</v>
      </c>
      <c r="G61" s="112">
        <f>IFERROR(VLOOKUP(B61,O.B.JUNE!$N$7:$Q$448,3,0),0)</f>
        <v>0</v>
      </c>
      <c r="H61" s="112">
        <f>IFERROR(VLOOKUP(B61,O.B.JUNE!$N$7:$Q$448,4,0),0)</f>
        <v>387</v>
      </c>
      <c r="I61" s="112">
        <f t="shared" si="2"/>
        <v>387</v>
      </c>
      <c r="J61" s="112">
        <f>IFERROR(VLOOKUP(B61,O.B.JUNE!$AA$7:$AG$448,7,0),0)</f>
        <v>10552620</v>
      </c>
      <c r="K61" s="112">
        <f>IFERROR(VLOOKUP(B61,O.B.JUNE!$AI$7:$AO$448,7,0),0)</f>
        <v>14390822</v>
      </c>
      <c r="L61" s="112">
        <f t="shared" si="3"/>
        <v>24943442</v>
      </c>
      <c r="M61" s="112">
        <f>ROUND(SUMIF('JUNE (물량흐름)'!$C$13:$C$502,'WIP(재공품)'!B61,'JUNE (물량흐름)'!$H$13:$H$502)+SUMIF('JUNE (물량흐름)'!$C$13:$C$502,'WIP(재공품)'!B61,'JUNE (물량흐름)'!$V$13:$V$502),0)</f>
        <v>0</v>
      </c>
      <c r="N61" s="112">
        <f>SUMIF('Direct labour(직접노무비)'!$C$12:$C$503,'WIP(재공품)'!B61,'Direct labour(직접노무비)'!$O$12:$O$503)</f>
        <v>0</v>
      </c>
      <c r="O61" s="112">
        <f>SUMIF('Overhead exp(제조경비)'!$C$12:$C$503,'WIP(재공품)'!B61,'Overhead exp(제조경비)'!$O$12:$O$503)</f>
        <v>0</v>
      </c>
      <c r="P61" s="112">
        <f t="shared" si="4"/>
        <v>0</v>
      </c>
      <c r="Q61" s="112">
        <v>0</v>
      </c>
      <c r="R61" s="112">
        <v>0</v>
      </c>
      <c r="S61" s="112">
        <f>SUMIF('JUNE (물량흐름)'!$C$13:$C$493,'WIP(재공품)'!B61,'JUNE (물량흐름)'!$T$13:$T$493)+SUMIF('JUNE (물량흐름)'!$C$13:$C$493,'WIP(재공품)'!B61,'JUNE (물량흐름)'!$U$13:$U$493)+SUMIF('JUNE (물량흐름)'!$C$13:$C$493,'WIP(재공품)'!B61,'JUNE (물량흐름)'!$V$13:$V$493)-SUMIF('JUNE (물량흐름)'!$C$13:$C$493,'WIP(재공품)'!B61,'JUNE (물량흐름)'!$Y$13:$Y$493)</f>
        <v>0</v>
      </c>
      <c r="T61" s="112">
        <f>SUMIF('JUNE (물량흐름)'!$C$13:$C$502,'WIP(재공품)'!B61,'JUNE (물량흐름)'!$Y$13:$Y$502)</f>
        <v>0</v>
      </c>
      <c r="U61" s="167">
        <f>SUMIF('Direct labour(직접노무비)'!$C$12:$C$503,'WIP(재공품)'!B61,'Direct labour(직접노무비)'!$U$12:$U$503)+SUMIF('Overhead exp(제조경비)'!$C$12:$C$503,'WIP(재공품)'!B61,'Overhead exp(제조경비)'!$U$12:$U$503)</f>
        <v>0</v>
      </c>
      <c r="V61" s="112">
        <f>SUMIF('Direct labour(직접노무비)'!$C$12:$C$503,'WIP(재공품)'!B61,'Direct labour(직접노무비)'!$Q$12:$Q$503)</f>
        <v>0</v>
      </c>
      <c r="W61" s="112">
        <f>SUMIF('Overhead exp(제조경비)'!$C$12:$C$503,'WIP(재공품)'!B61,'Overhead exp(제조경비)'!$Q$12:$Q$503)</f>
        <v>0</v>
      </c>
      <c r="X61" s="112">
        <f t="shared" si="5"/>
        <v>0</v>
      </c>
      <c r="Y61" s="112">
        <f ca="1">ROUND(SUMIF('JUNE (물량흐름)'!$C$13:$C$502,'WIP(재공품)'!B61,'JUNE (물량흐름)'!$N$13:$N$488),0)</f>
        <v>0</v>
      </c>
      <c r="Z61" s="112">
        <f>ROUND(SUMIF('JUNE (물량흐름)'!$C$13:$C$502,'WIP(재공품)'!B61,'JUNE (물량흐름)'!$O$13:$O$502),0)</f>
        <v>0</v>
      </c>
      <c r="AA61" s="112">
        <f>ROUND(SUMIF('JUNE (물량흐름)'!$C$13:$C$502,'WIP(재공품)'!B61,'JUNE (물량흐름)'!$P$13:$P$502),0)</f>
        <v>387</v>
      </c>
      <c r="AB61" s="112">
        <f t="shared" ca="1" si="6"/>
        <v>387</v>
      </c>
      <c r="AC61" s="112">
        <f t="shared" si="7"/>
        <v>24943442</v>
      </c>
      <c r="AD61" s="381">
        <f t="shared" ca="1" si="11"/>
        <v>0</v>
      </c>
      <c r="AE61" s="381">
        <f t="shared" si="9"/>
        <v>0</v>
      </c>
      <c r="AF61" s="382"/>
      <c r="AG61" s="382">
        <v>0.3</v>
      </c>
      <c r="AH61" s="383">
        <f t="shared" si="10"/>
        <v>4.9999999999999989E-2</v>
      </c>
      <c r="AJ61" s="383"/>
      <c r="AL61" s="385"/>
      <c r="AM61" s="381"/>
      <c r="AN61" s="382"/>
      <c r="AO61" s="382"/>
      <c r="AP61" s="383"/>
      <c r="AQ61" s="383"/>
    </row>
    <row r="62" spans="1:43" s="384" customFormat="1" ht="18.75" customHeight="1">
      <c r="A62" s="167">
        <v>51</v>
      </c>
      <c r="B62" s="240" t="str">
        <f>VLOOKUP(A62,'JUNE (물량흐름)'!$A$13:$C$502,3,0)</f>
        <v>7D902</v>
      </c>
      <c r="C62" s="21" t="str">
        <f>VLOOKUP(A62,'JUNE (물량흐름)'!$A$13:$C$502,2,0)</f>
        <v>ALFANI</v>
      </c>
      <c r="D62" s="212">
        <v>2.77</v>
      </c>
      <c r="E62" s="6">
        <f>VLOOKUP(B62,'Sales profit (스타일 별 매출이익)'!$D$9:$P$491,13,0)</f>
        <v>62809.75</v>
      </c>
      <c r="F62" s="112">
        <f>IFERROR(VLOOKUP(B62,O.B.JUNE!$N$7:$Q$448,2,0),0)</f>
        <v>0</v>
      </c>
      <c r="G62" s="112">
        <f>IFERROR(VLOOKUP(B62,O.B.JUNE!$N$7:$Q$448,3,0),0)</f>
        <v>0</v>
      </c>
      <c r="H62" s="112">
        <f>IFERROR(VLOOKUP(B62,O.B.JUNE!$N$7:$Q$448,4,0),0)</f>
        <v>92</v>
      </c>
      <c r="I62" s="112">
        <f t="shared" si="2"/>
        <v>92</v>
      </c>
      <c r="J62" s="112">
        <f>IFERROR(VLOOKUP(B62,O.B.JUNE!$AA$7:$AG$448,7,0),0)</f>
        <v>1194820</v>
      </c>
      <c r="K62" s="112">
        <f>IFERROR(VLOOKUP(B62,O.B.JUNE!$AI$7:$AO$448,7,0),0)</f>
        <v>1629401</v>
      </c>
      <c r="L62" s="112">
        <f t="shared" si="3"/>
        <v>2824221</v>
      </c>
      <c r="M62" s="112">
        <f>ROUND(SUMIF('JUNE (물량흐름)'!$C$13:$C$502,'WIP(재공품)'!B62,'JUNE (물량흐름)'!$H$13:$H$502)+SUMIF('JUNE (물량흐름)'!$C$13:$C$502,'WIP(재공품)'!B62,'JUNE (물량흐름)'!$V$13:$V$502),0)</f>
        <v>0</v>
      </c>
      <c r="N62" s="112">
        <f>SUMIF('Direct labour(직접노무비)'!$C$12:$C$503,'WIP(재공품)'!B62,'Direct labour(직접노무비)'!$O$12:$O$503)</f>
        <v>0</v>
      </c>
      <c r="O62" s="112">
        <f>SUMIF('Overhead exp(제조경비)'!$C$12:$C$503,'WIP(재공품)'!B62,'Overhead exp(제조경비)'!$O$12:$O$503)</f>
        <v>0</v>
      </c>
      <c r="P62" s="112">
        <f t="shared" si="4"/>
        <v>0</v>
      </c>
      <c r="Q62" s="112">
        <v>0</v>
      </c>
      <c r="R62" s="112">
        <v>0</v>
      </c>
      <c r="S62" s="112">
        <f>SUMIF('JUNE (물량흐름)'!$C$13:$C$493,'WIP(재공품)'!B62,'JUNE (물량흐름)'!$T$13:$T$493)+SUMIF('JUNE (물량흐름)'!$C$13:$C$493,'WIP(재공품)'!B62,'JUNE (물량흐름)'!$U$13:$U$493)+SUMIF('JUNE (물량흐름)'!$C$13:$C$493,'WIP(재공품)'!B62,'JUNE (물량흐름)'!$V$13:$V$493)-SUMIF('JUNE (물량흐름)'!$C$13:$C$493,'WIP(재공품)'!B62,'JUNE (물량흐름)'!$Y$13:$Y$493)</f>
        <v>0</v>
      </c>
      <c r="T62" s="112">
        <f>SUMIF('JUNE (물량흐름)'!$C$13:$C$502,'WIP(재공품)'!B62,'JUNE (물량흐름)'!$Y$13:$Y$502)</f>
        <v>0</v>
      </c>
      <c r="U62" s="167">
        <f>SUMIF('Direct labour(직접노무비)'!$C$12:$C$503,'WIP(재공품)'!B62,'Direct labour(직접노무비)'!$U$12:$U$503)+SUMIF('Overhead exp(제조경비)'!$C$12:$C$503,'WIP(재공품)'!B62,'Overhead exp(제조경비)'!$U$12:$U$503)</f>
        <v>0</v>
      </c>
      <c r="V62" s="112">
        <f>SUMIF('Direct labour(직접노무비)'!$C$12:$C$503,'WIP(재공품)'!B62,'Direct labour(직접노무비)'!$Q$12:$Q$503)</f>
        <v>0</v>
      </c>
      <c r="W62" s="112">
        <f>SUMIF('Overhead exp(제조경비)'!$C$12:$C$503,'WIP(재공품)'!B62,'Overhead exp(제조경비)'!$Q$12:$Q$503)</f>
        <v>0</v>
      </c>
      <c r="X62" s="112">
        <f t="shared" si="5"/>
        <v>0</v>
      </c>
      <c r="Y62" s="112">
        <f ca="1">ROUND(SUMIF('JUNE (물량흐름)'!$C$13:$C$502,'WIP(재공품)'!B62,'JUNE (물량흐름)'!$N$13:$N$488),0)</f>
        <v>0</v>
      </c>
      <c r="Z62" s="112">
        <f>ROUND(SUMIF('JUNE (물량흐름)'!$C$13:$C$502,'WIP(재공품)'!B62,'JUNE (물량흐름)'!$O$13:$O$502),0)</f>
        <v>0</v>
      </c>
      <c r="AA62" s="112">
        <f>ROUND(SUMIF('JUNE (물량흐름)'!$C$13:$C$502,'WIP(재공품)'!B62,'JUNE (물량흐름)'!$P$13:$P$502),0)</f>
        <v>92</v>
      </c>
      <c r="AB62" s="112">
        <f t="shared" ca="1" si="6"/>
        <v>92</v>
      </c>
      <c r="AC62" s="112">
        <f t="shared" si="7"/>
        <v>2824221</v>
      </c>
      <c r="AD62" s="381">
        <f t="shared" ca="1" si="11"/>
        <v>0</v>
      </c>
      <c r="AE62" s="381">
        <f t="shared" si="9"/>
        <v>0</v>
      </c>
      <c r="AF62" s="382"/>
      <c r="AG62" s="382">
        <v>0.3</v>
      </c>
      <c r="AH62" s="383">
        <f t="shared" si="10"/>
        <v>2.4700000000000002</v>
      </c>
      <c r="AJ62" s="383"/>
      <c r="AL62" s="385"/>
      <c r="AM62" s="381"/>
      <c r="AN62" s="382"/>
      <c r="AO62" s="382"/>
      <c r="AP62" s="383"/>
      <c r="AQ62" s="383"/>
    </row>
    <row r="63" spans="1:43" s="384" customFormat="1" ht="18.75" customHeight="1">
      <c r="A63" s="167">
        <v>52</v>
      </c>
      <c r="B63" s="240" t="str">
        <f>VLOOKUP(A63,'JUNE (물량흐름)'!$A$13:$C$502,3,0)</f>
        <v>7N714</v>
      </c>
      <c r="C63" s="21" t="str">
        <f>VLOOKUP(A63,'JUNE (물량흐름)'!$A$13:$C$502,2,0)</f>
        <v>ALFANI</v>
      </c>
      <c r="D63" s="212">
        <v>0.36</v>
      </c>
      <c r="E63" s="6">
        <f>VLOOKUP(B63,'Sales profit (스타일 별 매출이익)'!$D$9:$P$491,13,0)</f>
        <v>8163</v>
      </c>
      <c r="F63" s="112">
        <f>IFERROR(VLOOKUP(B63,O.B.JUNE!$N$7:$Q$448,2,0),0)</f>
        <v>0</v>
      </c>
      <c r="G63" s="112">
        <f>IFERROR(VLOOKUP(B63,O.B.JUNE!$N$7:$Q$448,3,0),0)</f>
        <v>0</v>
      </c>
      <c r="H63" s="112">
        <f>IFERROR(VLOOKUP(B63,O.B.JUNE!$N$7:$Q$448,4,0),0)</f>
        <v>100</v>
      </c>
      <c r="I63" s="112">
        <f t="shared" si="2"/>
        <v>100</v>
      </c>
      <c r="J63" s="112">
        <f>IFERROR(VLOOKUP(B63,O.B.JUNE!$AA$7:$AG$448,7,0),0)</f>
        <v>2649579</v>
      </c>
      <c r="K63" s="112">
        <f>IFERROR(VLOOKUP(B63,O.B.JUNE!$AI$7:$AO$448,7,0),0)</f>
        <v>3613284</v>
      </c>
      <c r="L63" s="112">
        <f t="shared" si="3"/>
        <v>6262863</v>
      </c>
      <c r="M63" s="112">
        <f>ROUND(SUMIF('JUNE (물량흐름)'!$C$13:$C$502,'WIP(재공품)'!B63,'JUNE (물량흐름)'!$H$13:$H$502)+SUMIF('JUNE (물량흐름)'!$C$13:$C$502,'WIP(재공품)'!B63,'JUNE (물량흐름)'!$V$13:$V$502),0)</f>
        <v>0</v>
      </c>
      <c r="N63" s="112">
        <f>SUMIF('Direct labour(직접노무비)'!$C$12:$C$503,'WIP(재공품)'!B63,'Direct labour(직접노무비)'!$O$12:$O$503)</f>
        <v>0</v>
      </c>
      <c r="O63" s="112">
        <f>SUMIF('Overhead exp(제조경비)'!$C$12:$C$503,'WIP(재공품)'!B63,'Overhead exp(제조경비)'!$O$12:$O$503)</f>
        <v>0</v>
      </c>
      <c r="P63" s="112">
        <f t="shared" si="4"/>
        <v>0</v>
      </c>
      <c r="Q63" s="112">
        <v>0</v>
      </c>
      <c r="R63" s="112">
        <v>0</v>
      </c>
      <c r="S63" s="112">
        <f>SUMIF('JUNE (물량흐름)'!$C$13:$C$493,'WIP(재공품)'!B63,'JUNE (물량흐름)'!$T$13:$T$493)+SUMIF('JUNE (물량흐름)'!$C$13:$C$493,'WIP(재공품)'!B63,'JUNE (물량흐름)'!$U$13:$U$493)+SUMIF('JUNE (물량흐름)'!$C$13:$C$493,'WIP(재공품)'!B63,'JUNE (물량흐름)'!$V$13:$V$493)-SUMIF('JUNE (물량흐름)'!$C$13:$C$493,'WIP(재공품)'!B63,'JUNE (물량흐름)'!$Y$13:$Y$493)</f>
        <v>100</v>
      </c>
      <c r="T63" s="112">
        <f>SUMIF('JUNE (물량흐름)'!$C$13:$C$502,'WIP(재공품)'!B63,'JUNE (물량흐름)'!$Y$13:$Y$502)</f>
        <v>0</v>
      </c>
      <c r="U63" s="167">
        <f>SUMIF('Direct labour(직접노무비)'!$C$12:$C$503,'WIP(재공품)'!B63,'Direct labour(직접노무비)'!$U$12:$U$503)+SUMIF('Overhead exp(제조경비)'!$C$12:$C$503,'WIP(재공품)'!B63,'Overhead exp(제조경비)'!$U$12:$U$503)</f>
        <v>0</v>
      </c>
      <c r="V63" s="112">
        <f>SUMIF('Direct labour(직접노무비)'!$C$12:$C$503,'WIP(재공품)'!B63,'Direct labour(직접노무비)'!$Q$12:$Q$503)</f>
        <v>2649579</v>
      </c>
      <c r="W63" s="112">
        <f>SUMIF('Overhead exp(제조경비)'!$C$12:$C$503,'WIP(재공품)'!B63,'Overhead exp(제조경비)'!$Q$12:$Q$503)</f>
        <v>3613284</v>
      </c>
      <c r="X63" s="112">
        <f t="shared" si="5"/>
        <v>6262863</v>
      </c>
      <c r="Y63" s="112">
        <f ca="1">ROUND(SUMIF('JUNE (물량흐름)'!$C$13:$C$502,'WIP(재공품)'!B63,'JUNE (물량흐름)'!$N$13:$N$488),0)</f>
        <v>0</v>
      </c>
      <c r="Z63" s="112">
        <f>ROUND(SUMIF('JUNE (물량흐름)'!$C$13:$C$502,'WIP(재공품)'!B63,'JUNE (물량흐름)'!$O$13:$O$502),0)</f>
        <v>0</v>
      </c>
      <c r="AA63" s="112">
        <f>ROUND(SUMIF('JUNE (물량흐름)'!$C$13:$C$502,'WIP(재공품)'!B63,'JUNE (물량흐름)'!$P$13:$P$502),0)</f>
        <v>0</v>
      </c>
      <c r="AB63" s="112">
        <f t="shared" ca="1" si="6"/>
        <v>0</v>
      </c>
      <c r="AC63" s="112">
        <f t="shared" si="7"/>
        <v>0</v>
      </c>
      <c r="AD63" s="381">
        <f t="shared" ca="1" si="11"/>
        <v>0</v>
      </c>
      <c r="AE63" s="381">
        <f t="shared" si="9"/>
        <v>0</v>
      </c>
      <c r="AF63" s="382"/>
      <c r="AG63" s="382">
        <v>1.1000000000000001</v>
      </c>
      <c r="AH63" s="383">
        <f t="shared" si="10"/>
        <v>-0.7400000000000001</v>
      </c>
      <c r="AJ63" s="383"/>
      <c r="AL63" s="385"/>
      <c r="AM63" s="381"/>
      <c r="AN63" s="382"/>
      <c r="AO63" s="382"/>
      <c r="AP63" s="383"/>
      <c r="AQ63" s="383"/>
    </row>
    <row r="64" spans="1:43" s="384" customFormat="1" ht="18.75" customHeight="1">
      <c r="A64" s="167">
        <v>53</v>
      </c>
      <c r="B64" s="240">
        <f>VLOOKUP(A64,'JUNE (물량흐름)'!$A$13:$C$502,3,0)</f>
        <v>448556</v>
      </c>
      <c r="C64" s="21" t="str">
        <f>VLOOKUP(A64,'JUNE (물량흐름)'!$A$13:$C$502,2,0)</f>
        <v>ANN TAYLOR</v>
      </c>
      <c r="D64" s="212">
        <v>0.36</v>
      </c>
      <c r="E64" s="6">
        <f>VLOOKUP(B64,'Sales profit (스타일 별 매출이익)'!$D$9:$P$491,13,0)</f>
        <v>8163</v>
      </c>
      <c r="F64" s="112">
        <f>IFERROR(VLOOKUP(B64,O.B.JUNE!$N$7:$Q$448,2,0),0)</f>
        <v>0</v>
      </c>
      <c r="G64" s="112">
        <f>IFERROR(VLOOKUP(B64,O.B.JUNE!$N$7:$Q$448,3,0),0)</f>
        <v>0</v>
      </c>
      <c r="H64" s="112">
        <f>IFERROR(VLOOKUP(B64,O.B.JUNE!$N$7:$Q$448,4,0),0)</f>
        <v>56</v>
      </c>
      <c r="I64" s="112">
        <f t="shared" si="2"/>
        <v>56</v>
      </c>
      <c r="J64" s="112">
        <f>IFERROR(VLOOKUP(B64,O.B.JUNE!$AA$7:$AG$448,7,0),0)</f>
        <v>1073521</v>
      </c>
      <c r="K64" s="112">
        <f>IFERROR(VLOOKUP(B64,O.B.JUNE!$AI$7:$AO$448,7,0),0)</f>
        <v>1463983</v>
      </c>
      <c r="L64" s="112">
        <f t="shared" si="3"/>
        <v>2537504</v>
      </c>
      <c r="M64" s="112">
        <f>ROUND(SUMIF('JUNE (물량흐름)'!$C$13:$C$502,'WIP(재공품)'!B64,'JUNE (물량흐름)'!$H$13:$H$502)+SUMIF('JUNE (물량흐름)'!$C$13:$C$502,'WIP(재공품)'!B64,'JUNE (물량흐름)'!$V$13:$V$502),0)</f>
        <v>0</v>
      </c>
      <c r="N64" s="112">
        <f>SUMIF('Direct labour(직접노무비)'!$C$12:$C$503,'WIP(재공품)'!B64,'Direct labour(직접노무비)'!$O$12:$O$503)</f>
        <v>0</v>
      </c>
      <c r="O64" s="112">
        <f>SUMIF('Overhead exp(제조경비)'!$C$12:$C$503,'WIP(재공품)'!B64,'Overhead exp(제조경비)'!$O$12:$O$503)</f>
        <v>0</v>
      </c>
      <c r="P64" s="112">
        <f t="shared" si="4"/>
        <v>0</v>
      </c>
      <c r="Q64" s="112">
        <v>0</v>
      </c>
      <c r="R64" s="112">
        <v>0</v>
      </c>
      <c r="S64" s="112">
        <f>SUMIF('JUNE (물량흐름)'!$C$13:$C$493,'WIP(재공품)'!B64,'JUNE (물량흐름)'!$T$13:$T$493)+SUMIF('JUNE (물량흐름)'!$C$13:$C$493,'WIP(재공품)'!B64,'JUNE (물량흐름)'!$U$13:$U$493)+SUMIF('JUNE (물량흐름)'!$C$13:$C$493,'WIP(재공품)'!B64,'JUNE (물량흐름)'!$V$13:$V$493)-SUMIF('JUNE (물량흐름)'!$C$13:$C$493,'WIP(재공품)'!B64,'JUNE (물량흐름)'!$Y$13:$Y$493)</f>
        <v>56</v>
      </c>
      <c r="T64" s="112">
        <f>SUMIF('JUNE (물량흐름)'!$C$13:$C$502,'WIP(재공품)'!B64,'JUNE (물량흐름)'!$Y$13:$Y$502)</f>
        <v>0</v>
      </c>
      <c r="U64" s="167">
        <f>SUMIF('Direct labour(직접노무비)'!$C$12:$C$503,'WIP(재공품)'!B64,'Direct labour(직접노무비)'!$U$12:$U$503)+SUMIF('Overhead exp(제조경비)'!$C$12:$C$503,'WIP(재공품)'!B64,'Overhead exp(제조경비)'!$U$12:$U$503)</f>
        <v>0</v>
      </c>
      <c r="V64" s="112">
        <f>SUMIF('Direct labour(직접노무비)'!$C$12:$C$503,'WIP(재공품)'!B64,'Direct labour(직접노무비)'!$Q$12:$Q$503)</f>
        <v>1073521</v>
      </c>
      <c r="W64" s="112">
        <f>SUMIF('Overhead exp(제조경비)'!$C$12:$C$503,'WIP(재공품)'!B64,'Overhead exp(제조경비)'!$Q$12:$Q$503)</f>
        <v>1463983</v>
      </c>
      <c r="X64" s="112">
        <f t="shared" si="5"/>
        <v>2537504</v>
      </c>
      <c r="Y64" s="112">
        <f ca="1">ROUND(SUMIF('JUNE (물량흐름)'!$C$13:$C$502,'WIP(재공품)'!B64,'JUNE (물량흐름)'!$N$13:$N$488),0)</f>
        <v>0</v>
      </c>
      <c r="Z64" s="112">
        <f>ROUND(SUMIF('JUNE (물량흐름)'!$C$13:$C$502,'WIP(재공품)'!B64,'JUNE (물량흐름)'!$O$13:$O$502),0)</f>
        <v>0</v>
      </c>
      <c r="AA64" s="112">
        <f>ROUND(SUMIF('JUNE (물량흐름)'!$C$13:$C$502,'WIP(재공품)'!B64,'JUNE (물량흐름)'!$P$13:$P$502),0)</f>
        <v>0</v>
      </c>
      <c r="AB64" s="112">
        <f t="shared" ca="1" si="6"/>
        <v>0</v>
      </c>
      <c r="AC64" s="112">
        <f t="shared" si="7"/>
        <v>0</v>
      </c>
      <c r="AD64" s="381">
        <f t="shared" ca="1" si="11"/>
        <v>0</v>
      </c>
      <c r="AE64" s="381">
        <f t="shared" si="9"/>
        <v>0</v>
      </c>
      <c r="AF64" s="382"/>
      <c r="AG64" s="382">
        <v>0</v>
      </c>
      <c r="AH64" s="383">
        <f t="shared" si="10"/>
        <v>0.36</v>
      </c>
      <c r="AJ64" s="383"/>
      <c r="AL64" s="385"/>
      <c r="AM64" s="381"/>
      <c r="AN64" s="382"/>
      <c r="AO64" s="382"/>
      <c r="AP64" s="383"/>
      <c r="AQ64" s="383"/>
    </row>
    <row r="65" spans="1:43" s="384" customFormat="1" ht="18.75" customHeight="1">
      <c r="A65" s="167">
        <v>54</v>
      </c>
      <c r="B65" s="240">
        <f>VLOOKUP(A65,'JUNE (물량흐름)'!$A$13:$C$502,3,0)</f>
        <v>454819</v>
      </c>
      <c r="C65" s="21" t="str">
        <f>VLOOKUP(A65,'JUNE (물량흐름)'!$A$13:$C$502,2,0)</f>
        <v>ANN TAYLOR</v>
      </c>
      <c r="D65" s="212">
        <v>0.35</v>
      </c>
      <c r="E65" s="6">
        <f>VLOOKUP(B65,'Sales profit (스타일 별 매출이익)'!$D$9:$P$491,13,0)</f>
        <v>7936.2499999999991</v>
      </c>
      <c r="F65" s="112">
        <f>IFERROR(VLOOKUP(B65,O.B.JUNE!$N$7:$Q$448,2,0),0)</f>
        <v>0</v>
      </c>
      <c r="G65" s="112">
        <f>IFERROR(VLOOKUP(B65,O.B.JUNE!$N$7:$Q$448,3,0),0)</f>
        <v>0</v>
      </c>
      <c r="H65" s="112">
        <f>IFERROR(VLOOKUP(B65,O.B.JUNE!$N$7:$Q$448,4,0),0)</f>
        <v>121</v>
      </c>
      <c r="I65" s="112">
        <f t="shared" si="2"/>
        <v>121</v>
      </c>
      <c r="J65" s="112">
        <f>IFERROR(VLOOKUP(B65,O.B.JUNE!$AA$7:$AG$448,7,0),0)</f>
        <v>2734353</v>
      </c>
      <c r="K65" s="112">
        <f>IFERROR(VLOOKUP(B65,O.B.JUNE!$AI$7:$AO$448,7,0),0)</f>
        <v>3728892</v>
      </c>
      <c r="L65" s="112">
        <f t="shared" si="3"/>
        <v>6463245</v>
      </c>
      <c r="M65" s="112">
        <f>ROUND(SUMIF('JUNE (물량흐름)'!$C$13:$C$502,'WIP(재공품)'!B65,'JUNE (물량흐름)'!$H$13:$H$502)+SUMIF('JUNE (물량흐름)'!$C$13:$C$502,'WIP(재공품)'!B65,'JUNE (물량흐름)'!$V$13:$V$502),0)</f>
        <v>0</v>
      </c>
      <c r="N65" s="112">
        <f>SUMIF('Direct labour(직접노무비)'!$C$12:$C$503,'WIP(재공품)'!B65,'Direct labour(직접노무비)'!$O$12:$O$503)</f>
        <v>0</v>
      </c>
      <c r="O65" s="112">
        <f>SUMIF('Overhead exp(제조경비)'!$C$12:$C$503,'WIP(재공품)'!B65,'Overhead exp(제조경비)'!$O$12:$O$503)</f>
        <v>0</v>
      </c>
      <c r="P65" s="112">
        <f t="shared" si="4"/>
        <v>0</v>
      </c>
      <c r="Q65" s="112">
        <v>0</v>
      </c>
      <c r="R65" s="112">
        <v>0</v>
      </c>
      <c r="S65" s="112">
        <f>SUMIF('JUNE (물량흐름)'!$C$13:$C$493,'WIP(재공품)'!B65,'JUNE (물량흐름)'!$T$13:$T$493)+SUMIF('JUNE (물량흐름)'!$C$13:$C$493,'WIP(재공품)'!B65,'JUNE (물량흐름)'!$U$13:$U$493)+SUMIF('JUNE (물량흐름)'!$C$13:$C$493,'WIP(재공품)'!B65,'JUNE (물량흐름)'!$V$13:$V$493)-SUMIF('JUNE (물량흐름)'!$C$13:$C$493,'WIP(재공품)'!B65,'JUNE (물량흐름)'!$Y$13:$Y$493)</f>
        <v>121</v>
      </c>
      <c r="T65" s="112">
        <f>SUMIF('JUNE (물량흐름)'!$C$13:$C$502,'WIP(재공품)'!B65,'JUNE (물량흐름)'!$Y$13:$Y$502)</f>
        <v>0</v>
      </c>
      <c r="U65" s="167">
        <f>SUMIF('Direct labour(직접노무비)'!$C$12:$C$503,'WIP(재공품)'!B65,'Direct labour(직접노무비)'!$U$12:$U$503)+SUMIF('Overhead exp(제조경비)'!$C$12:$C$503,'WIP(재공품)'!B65,'Overhead exp(제조경비)'!$U$12:$U$503)</f>
        <v>0</v>
      </c>
      <c r="V65" s="112">
        <f>SUMIF('Direct labour(직접노무비)'!$C$12:$C$503,'WIP(재공품)'!B65,'Direct labour(직접노무비)'!$Q$12:$Q$503)</f>
        <v>2734353</v>
      </c>
      <c r="W65" s="112">
        <f>SUMIF('Overhead exp(제조경비)'!$C$12:$C$503,'WIP(재공품)'!B65,'Overhead exp(제조경비)'!$Q$12:$Q$503)</f>
        <v>3728892</v>
      </c>
      <c r="X65" s="112">
        <f t="shared" si="5"/>
        <v>6463245</v>
      </c>
      <c r="Y65" s="112">
        <f ca="1">ROUND(SUMIF('JUNE (물량흐름)'!$C$13:$C$502,'WIP(재공품)'!B65,'JUNE (물량흐름)'!$N$13:$N$488),0)</f>
        <v>0</v>
      </c>
      <c r="Z65" s="112">
        <f>ROUND(SUMIF('JUNE (물량흐름)'!$C$13:$C$502,'WIP(재공품)'!B65,'JUNE (물량흐름)'!$O$13:$O$502),0)</f>
        <v>0</v>
      </c>
      <c r="AA65" s="112">
        <f>ROUND(SUMIF('JUNE (물량흐름)'!$C$13:$C$502,'WIP(재공품)'!B65,'JUNE (물량흐름)'!$P$13:$P$502),0)</f>
        <v>0</v>
      </c>
      <c r="AB65" s="112">
        <f t="shared" ca="1" si="6"/>
        <v>0</v>
      </c>
      <c r="AC65" s="112">
        <f t="shared" si="7"/>
        <v>0</v>
      </c>
      <c r="AD65" s="381">
        <f t="shared" ca="1" si="11"/>
        <v>0</v>
      </c>
      <c r="AE65" s="381">
        <f t="shared" si="9"/>
        <v>0</v>
      </c>
      <c r="AF65" s="382"/>
      <c r="AG65" s="382">
        <v>0</v>
      </c>
      <c r="AH65" s="383">
        <f t="shared" si="10"/>
        <v>0.35</v>
      </c>
      <c r="AJ65" s="383"/>
      <c r="AL65" s="385"/>
      <c r="AM65" s="381"/>
      <c r="AN65" s="382"/>
      <c r="AO65" s="382"/>
      <c r="AP65" s="383"/>
      <c r="AQ65" s="383"/>
    </row>
    <row r="66" spans="1:43" s="384" customFormat="1" ht="18.75" customHeight="1">
      <c r="A66" s="167">
        <v>55</v>
      </c>
      <c r="B66" s="240">
        <f>VLOOKUP(A66,'JUNE (물량흐름)'!$A$13:$C$502,3,0)</f>
        <v>457050</v>
      </c>
      <c r="C66" s="21" t="str">
        <f>VLOOKUP(A66,'JUNE (물량흐름)'!$A$13:$C$502,2,0)</f>
        <v>ANN TAYLOR</v>
      </c>
      <c r="D66" s="212">
        <v>0.35</v>
      </c>
      <c r="E66" s="6">
        <f>VLOOKUP(B66,'Sales profit (스타일 별 매출이익)'!$D$9:$P$491,13,0)</f>
        <v>7936.2499999999991</v>
      </c>
      <c r="F66" s="112">
        <f>IFERROR(VLOOKUP(B66,O.B.JUNE!$N$7:$Q$448,2,0),0)</f>
        <v>0</v>
      </c>
      <c r="G66" s="112">
        <f>IFERROR(VLOOKUP(B66,O.B.JUNE!$N$7:$Q$448,3,0),0)</f>
        <v>0</v>
      </c>
      <c r="H66" s="112">
        <f>IFERROR(VLOOKUP(B66,O.B.JUNE!$N$7:$Q$448,4,0),0)</f>
        <v>262</v>
      </c>
      <c r="I66" s="112">
        <f t="shared" si="2"/>
        <v>262</v>
      </c>
      <c r="J66" s="112">
        <f>IFERROR(VLOOKUP(B66,O.B.JUNE!$AA$7:$AG$448,7,0),0)</f>
        <v>4419099</v>
      </c>
      <c r="K66" s="112">
        <f>IFERROR(VLOOKUP(B66,O.B.JUNE!$AI$7:$AO$448,7,0),0)</f>
        <v>6026415</v>
      </c>
      <c r="L66" s="112">
        <f t="shared" si="3"/>
        <v>10445514</v>
      </c>
      <c r="M66" s="112">
        <f>ROUND(SUMIF('JUNE (물량흐름)'!$C$13:$C$502,'WIP(재공품)'!B66,'JUNE (물량흐름)'!$H$13:$H$502)+SUMIF('JUNE (물량흐름)'!$C$13:$C$502,'WIP(재공품)'!B66,'JUNE (물량흐름)'!$V$13:$V$502),0)</f>
        <v>0</v>
      </c>
      <c r="N66" s="112">
        <f>SUMIF('Direct labour(직접노무비)'!$C$12:$C$503,'WIP(재공품)'!B66,'Direct labour(직접노무비)'!$O$12:$O$503)</f>
        <v>0</v>
      </c>
      <c r="O66" s="112">
        <f>SUMIF('Overhead exp(제조경비)'!$C$12:$C$503,'WIP(재공품)'!B66,'Overhead exp(제조경비)'!$O$12:$O$503)</f>
        <v>0</v>
      </c>
      <c r="P66" s="112">
        <f t="shared" si="4"/>
        <v>0</v>
      </c>
      <c r="Q66" s="112">
        <v>0</v>
      </c>
      <c r="R66" s="112">
        <v>0</v>
      </c>
      <c r="S66" s="112">
        <f>SUMIF('JUNE (물량흐름)'!$C$13:$C$493,'WIP(재공품)'!B66,'JUNE (물량흐름)'!$T$13:$T$493)+SUMIF('JUNE (물량흐름)'!$C$13:$C$493,'WIP(재공품)'!B66,'JUNE (물량흐름)'!$U$13:$U$493)+SUMIF('JUNE (물량흐름)'!$C$13:$C$493,'WIP(재공품)'!B66,'JUNE (물량흐름)'!$V$13:$V$493)-SUMIF('JUNE (물량흐름)'!$C$13:$C$493,'WIP(재공품)'!B66,'JUNE (물량흐름)'!$Y$13:$Y$493)</f>
        <v>0</v>
      </c>
      <c r="T66" s="112">
        <f>SUMIF('JUNE (물량흐름)'!$C$13:$C$502,'WIP(재공품)'!B66,'JUNE (물량흐름)'!$Y$13:$Y$502)</f>
        <v>0</v>
      </c>
      <c r="U66" s="167">
        <f>SUMIF('Direct labour(직접노무비)'!$C$12:$C$503,'WIP(재공품)'!B66,'Direct labour(직접노무비)'!$U$12:$U$503)+SUMIF('Overhead exp(제조경비)'!$C$12:$C$503,'WIP(재공품)'!B66,'Overhead exp(제조경비)'!$U$12:$U$503)</f>
        <v>0</v>
      </c>
      <c r="V66" s="112">
        <f>SUMIF('Direct labour(직접노무비)'!$C$12:$C$503,'WIP(재공품)'!B66,'Direct labour(직접노무비)'!$Q$12:$Q$503)</f>
        <v>0</v>
      </c>
      <c r="W66" s="112">
        <f>SUMIF('Overhead exp(제조경비)'!$C$12:$C$503,'WIP(재공품)'!B66,'Overhead exp(제조경비)'!$Q$12:$Q$503)</f>
        <v>0</v>
      </c>
      <c r="X66" s="112">
        <f t="shared" si="5"/>
        <v>0</v>
      </c>
      <c r="Y66" s="112">
        <f ca="1">ROUND(SUMIF('JUNE (물량흐름)'!$C$13:$C$502,'WIP(재공품)'!B66,'JUNE (물량흐름)'!$N$13:$N$488),0)</f>
        <v>0</v>
      </c>
      <c r="Z66" s="112">
        <f>ROUND(SUMIF('JUNE (물량흐름)'!$C$13:$C$502,'WIP(재공품)'!B66,'JUNE (물량흐름)'!$O$13:$O$502),0)</f>
        <v>0</v>
      </c>
      <c r="AA66" s="112">
        <f>ROUND(SUMIF('JUNE (물량흐름)'!$C$13:$C$502,'WIP(재공품)'!B66,'JUNE (물량흐름)'!$P$13:$P$502),0)</f>
        <v>262</v>
      </c>
      <c r="AB66" s="112">
        <f t="shared" ca="1" si="6"/>
        <v>262</v>
      </c>
      <c r="AC66" s="112">
        <f t="shared" si="7"/>
        <v>10445514</v>
      </c>
      <c r="AD66" s="381">
        <f t="shared" ca="1" si="11"/>
        <v>0</v>
      </c>
      <c r="AE66" s="381">
        <f t="shared" si="9"/>
        <v>0</v>
      </c>
      <c r="AF66" s="382"/>
      <c r="AG66" s="382">
        <v>0</v>
      </c>
      <c r="AH66" s="383">
        <f t="shared" si="10"/>
        <v>0.35</v>
      </c>
      <c r="AJ66" s="383"/>
      <c r="AL66" s="385"/>
      <c r="AM66" s="381"/>
      <c r="AN66" s="382"/>
      <c r="AO66" s="382"/>
      <c r="AP66" s="383"/>
      <c r="AQ66" s="383"/>
    </row>
    <row r="67" spans="1:43" s="384" customFormat="1" ht="18.75" customHeight="1">
      <c r="A67" s="167">
        <v>56</v>
      </c>
      <c r="B67" s="240">
        <f>VLOOKUP(A67,'JUNE (물량흐름)'!$A$13:$C$502,3,0)</f>
        <v>100007750</v>
      </c>
      <c r="C67" s="21" t="str">
        <f>VLOOKUP(A67,'JUNE (물량흐름)'!$A$13:$C$502,2,0)</f>
        <v>INC</v>
      </c>
      <c r="D67" s="212">
        <v>0.35</v>
      </c>
      <c r="E67" s="6">
        <f>VLOOKUP(B67,'Sales profit (스타일 별 매출이익)'!$D$9:$P$491,13,0)</f>
        <v>7936.2499999999991</v>
      </c>
      <c r="F67" s="112">
        <f>IFERROR(VLOOKUP(B67,O.B.JUNE!$N$7:$Q$448,2,0),0)</f>
        <v>0</v>
      </c>
      <c r="G67" s="112">
        <f>IFERROR(VLOOKUP(B67,O.B.JUNE!$N$7:$Q$448,3,0),0)</f>
        <v>0</v>
      </c>
      <c r="H67" s="112">
        <f>IFERROR(VLOOKUP(B67,O.B.JUNE!$N$7:$Q$448,4,0),0)</f>
        <v>42</v>
      </c>
      <c r="I67" s="112">
        <f t="shared" si="2"/>
        <v>42</v>
      </c>
      <c r="J67" s="112">
        <f>IFERROR(VLOOKUP(B67,O.B.JUNE!$AA$7:$AG$448,7,0),0)</f>
        <v>903970</v>
      </c>
      <c r="K67" s="112">
        <f>IFERROR(VLOOKUP(B67,O.B.JUNE!$AI$7:$AO$448,7,0),0)</f>
        <v>1232762</v>
      </c>
      <c r="L67" s="112">
        <f t="shared" si="3"/>
        <v>2136732</v>
      </c>
      <c r="M67" s="112">
        <f>ROUND(SUMIF('JUNE (물량흐름)'!$C$13:$C$502,'WIP(재공품)'!B67,'JUNE (물량흐름)'!$H$13:$H$502)+SUMIF('JUNE (물량흐름)'!$C$13:$C$502,'WIP(재공품)'!B67,'JUNE (물량흐름)'!$V$13:$V$502),0)</f>
        <v>0</v>
      </c>
      <c r="N67" s="112">
        <f>SUMIF('Direct labour(직접노무비)'!$C$12:$C$503,'WIP(재공품)'!B67,'Direct labour(직접노무비)'!$O$12:$O$503)</f>
        <v>0</v>
      </c>
      <c r="O67" s="112">
        <f>SUMIF('Overhead exp(제조경비)'!$C$12:$C$503,'WIP(재공품)'!B67,'Overhead exp(제조경비)'!$O$12:$O$503)</f>
        <v>0</v>
      </c>
      <c r="P67" s="112">
        <f t="shared" si="4"/>
        <v>0</v>
      </c>
      <c r="Q67" s="112">
        <v>0</v>
      </c>
      <c r="R67" s="112">
        <v>0</v>
      </c>
      <c r="S67" s="112">
        <f>SUMIF('JUNE (물량흐름)'!$C$13:$C$493,'WIP(재공품)'!B67,'JUNE (물량흐름)'!$T$13:$T$493)+SUMIF('JUNE (물량흐름)'!$C$13:$C$493,'WIP(재공품)'!B67,'JUNE (물량흐름)'!$U$13:$U$493)+SUMIF('JUNE (물량흐름)'!$C$13:$C$493,'WIP(재공품)'!B67,'JUNE (물량흐름)'!$V$13:$V$493)-SUMIF('JUNE (물량흐름)'!$C$13:$C$493,'WIP(재공품)'!B67,'JUNE (물량흐름)'!$Y$13:$Y$493)</f>
        <v>42</v>
      </c>
      <c r="T67" s="112">
        <f>SUMIF('JUNE (물량흐름)'!$C$13:$C$502,'WIP(재공품)'!B67,'JUNE (물량흐름)'!$Y$13:$Y$502)</f>
        <v>0</v>
      </c>
      <c r="U67" s="167">
        <f>SUMIF('Direct labour(직접노무비)'!$C$12:$C$503,'WIP(재공품)'!B67,'Direct labour(직접노무비)'!$U$12:$U$503)+SUMIF('Overhead exp(제조경비)'!$C$12:$C$503,'WIP(재공품)'!B67,'Overhead exp(제조경비)'!$U$12:$U$503)</f>
        <v>0</v>
      </c>
      <c r="V67" s="112">
        <f>SUMIF('Direct labour(직접노무비)'!$C$12:$C$503,'WIP(재공품)'!B67,'Direct labour(직접노무비)'!$Q$12:$Q$503)</f>
        <v>903970</v>
      </c>
      <c r="W67" s="112">
        <f>SUMIF('Overhead exp(제조경비)'!$C$12:$C$503,'WIP(재공품)'!B67,'Overhead exp(제조경비)'!$Q$12:$Q$503)</f>
        <v>1232762</v>
      </c>
      <c r="X67" s="112">
        <f t="shared" si="5"/>
        <v>2136732</v>
      </c>
      <c r="Y67" s="112">
        <f ca="1">ROUND(SUMIF('JUNE (물량흐름)'!$C$13:$C$502,'WIP(재공품)'!B67,'JUNE (물량흐름)'!$N$13:$N$488),0)</f>
        <v>0</v>
      </c>
      <c r="Z67" s="112">
        <f>ROUND(SUMIF('JUNE (물량흐름)'!$C$13:$C$502,'WIP(재공품)'!B67,'JUNE (물량흐름)'!$O$13:$O$502),0)</f>
        <v>0</v>
      </c>
      <c r="AA67" s="112">
        <f>ROUND(SUMIF('JUNE (물량흐름)'!$C$13:$C$502,'WIP(재공품)'!B67,'JUNE (물량흐름)'!$P$13:$P$502),0)</f>
        <v>0</v>
      </c>
      <c r="AB67" s="112">
        <f t="shared" ca="1" si="6"/>
        <v>0</v>
      </c>
      <c r="AC67" s="112">
        <f t="shared" si="7"/>
        <v>0</v>
      </c>
      <c r="AD67" s="381">
        <f t="shared" ca="1" si="11"/>
        <v>0</v>
      </c>
      <c r="AE67" s="381">
        <f t="shared" si="9"/>
        <v>0</v>
      </c>
      <c r="AF67" s="382"/>
      <c r="AG67" s="382">
        <v>0.3</v>
      </c>
      <c r="AH67" s="383">
        <f t="shared" si="10"/>
        <v>4.9999999999999989E-2</v>
      </c>
      <c r="AJ67" s="383"/>
      <c r="AL67" s="385"/>
      <c r="AM67" s="381"/>
      <c r="AN67" s="382"/>
      <c r="AO67" s="382"/>
      <c r="AP67" s="383"/>
      <c r="AQ67" s="383"/>
    </row>
    <row r="68" spans="1:43" s="384" customFormat="1" ht="18.75" customHeight="1">
      <c r="A68" s="167">
        <v>57</v>
      </c>
      <c r="B68" s="240">
        <f>VLOOKUP(A68,'JUNE (물량흐름)'!$A$13:$C$502,3,0)</f>
        <v>100008168</v>
      </c>
      <c r="C68" s="21" t="str">
        <f>VLOOKUP(A68,'JUNE (물량흐름)'!$A$13:$C$502,2,0)</f>
        <v>INC</v>
      </c>
      <c r="D68" s="212">
        <v>2.2000000000000002</v>
      </c>
      <c r="E68" s="6">
        <f>VLOOKUP(B68,'Sales profit (스타일 별 매출이익)'!$D$9:$P$491,13,0)</f>
        <v>49885.000000000007</v>
      </c>
      <c r="F68" s="112">
        <f>IFERROR(VLOOKUP(B68,O.B.JUNE!$N$7:$Q$448,2,0),0)</f>
        <v>0</v>
      </c>
      <c r="G68" s="112">
        <f>IFERROR(VLOOKUP(B68,O.B.JUNE!$N$7:$Q$448,3,0),0)</f>
        <v>0</v>
      </c>
      <c r="H68" s="112">
        <f>IFERROR(VLOOKUP(B68,O.B.JUNE!$N$7:$Q$448,4,0),0)</f>
        <v>94</v>
      </c>
      <c r="I68" s="112">
        <f t="shared" si="2"/>
        <v>94</v>
      </c>
      <c r="J68" s="112">
        <f>IFERROR(VLOOKUP(B68,O.B.JUNE!$AA$7:$AG$448,7,0),0)</f>
        <v>2152830</v>
      </c>
      <c r="K68" s="112">
        <f>IFERROR(VLOOKUP(B68,O.B.JUNE!$AI$7:$AO$448,7,0),0)</f>
        <v>2935858</v>
      </c>
      <c r="L68" s="112">
        <f t="shared" si="3"/>
        <v>5088688</v>
      </c>
      <c r="M68" s="112">
        <f>ROUND(SUMIF('JUNE (물량흐름)'!$C$13:$C$502,'WIP(재공품)'!B68,'JUNE (물량흐름)'!$H$13:$H$502)+SUMIF('JUNE (물량흐름)'!$C$13:$C$502,'WIP(재공품)'!B68,'JUNE (물량흐름)'!$V$13:$V$502),0)</f>
        <v>0</v>
      </c>
      <c r="N68" s="112">
        <f>SUMIF('Direct labour(직접노무비)'!$C$12:$C$503,'WIP(재공품)'!B68,'Direct labour(직접노무비)'!$O$12:$O$503)</f>
        <v>0</v>
      </c>
      <c r="O68" s="112">
        <f>SUMIF('Overhead exp(제조경비)'!$C$12:$C$503,'WIP(재공품)'!B68,'Overhead exp(제조경비)'!$O$12:$O$503)</f>
        <v>0</v>
      </c>
      <c r="P68" s="112">
        <f t="shared" si="4"/>
        <v>0</v>
      </c>
      <c r="Q68" s="112">
        <v>0</v>
      </c>
      <c r="R68" s="112">
        <v>0</v>
      </c>
      <c r="S68" s="112">
        <f>SUMIF('JUNE (물량흐름)'!$C$13:$C$493,'WIP(재공품)'!B68,'JUNE (물량흐름)'!$T$13:$T$493)+SUMIF('JUNE (물량흐름)'!$C$13:$C$493,'WIP(재공품)'!B68,'JUNE (물량흐름)'!$U$13:$U$493)+SUMIF('JUNE (물량흐름)'!$C$13:$C$493,'WIP(재공품)'!B68,'JUNE (물량흐름)'!$V$13:$V$493)-SUMIF('JUNE (물량흐름)'!$C$13:$C$493,'WIP(재공품)'!B68,'JUNE (물량흐름)'!$Y$13:$Y$493)</f>
        <v>94</v>
      </c>
      <c r="T68" s="112">
        <f>SUMIF('JUNE (물량흐름)'!$C$13:$C$502,'WIP(재공품)'!B68,'JUNE (물량흐름)'!$Y$13:$Y$502)</f>
        <v>0</v>
      </c>
      <c r="U68" s="167">
        <f>SUMIF('Direct labour(직접노무비)'!$C$12:$C$503,'WIP(재공품)'!B68,'Direct labour(직접노무비)'!$U$12:$U$503)+SUMIF('Overhead exp(제조경비)'!$C$12:$C$503,'WIP(재공품)'!B68,'Overhead exp(제조경비)'!$U$12:$U$503)</f>
        <v>0</v>
      </c>
      <c r="V68" s="112">
        <f>SUMIF('Direct labour(직접노무비)'!$C$12:$C$503,'WIP(재공품)'!B68,'Direct labour(직접노무비)'!$Q$12:$Q$503)</f>
        <v>2152830</v>
      </c>
      <c r="W68" s="112">
        <f>SUMIF('Overhead exp(제조경비)'!$C$12:$C$503,'WIP(재공품)'!B68,'Overhead exp(제조경비)'!$Q$12:$Q$503)</f>
        <v>2935858</v>
      </c>
      <c r="X68" s="112">
        <f t="shared" si="5"/>
        <v>5088688</v>
      </c>
      <c r="Y68" s="112">
        <f ca="1">ROUND(SUMIF('JUNE (물량흐름)'!$C$13:$C$502,'WIP(재공품)'!B68,'JUNE (물량흐름)'!$N$13:$N$488),0)</f>
        <v>0</v>
      </c>
      <c r="Z68" s="112">
        <f>ROUND(SUMIF('JUNE (물량흐름)'!$C$13:$C$502,'WIP(재공품)'!B68,'JUNE (물량흐름)'!$O$13:$O$502),0)</f>
        <v>0</v>
      </c>
      <c r="AA68" s="112">
        <f>ROUND(SUMIF('JUNE (물량흐름)'!$C$13:$C$502,'WIP(재공품)'!B68,'JUNE (물량흐름)'!$P$13:$P$502),0)</f>
        <v>0</v>
      </c>
      <c r="AB68" s="112">
        <f t="shared" ca="1" si="6"/>
        <v>0</v>
      </c>
      <c r="AC68" s="112">
        <f t="shared" si="7"/>
        <v>0</v>
      </c>
      <c r="AD68" s="381">
        <f t="shared" ca="1" si="11"/>
        <v>0</v>
      </c>
      <c r="AE68" s="381">
        <f t="shared" si="9"/>
        <v>0</v>
      </c>
      <c r="AF68" s="382"/>
      <c r="AG68" s="382">
        <v>0.3</v>
      </c>
      <c r="AH68" s="383">
        <f t="shared" si="10"/>
        <v>1.9000000000000001</v>
      </c>
      <c r="AJ68" s="383"/>
      <c r="AL68" s="385"/>
      <c r="AM68" s="381"/>
      <c r="AN68" s="382"/>
      <c r="AO68" s="382"/>
      <c r="AP68" s="383"/>
      <c r="AQ68" s="383"/>
    </row>
    <row r="69" spans="1:43" s="384" customFormat="1" ht="18.75" customHeight="1">
      <c r="A69" s="167">
        <v>58</v>
      </c>
      <c r="B69" s="240" t="str">
        <f>VLOOKUP(A69,'JUNE (물량흐름)'!$A$13:$C$502,3,0)</f>
        <v>10010195(7D324)</v>
      </c>
      <c r="C69" s="21" t="str">
        <f>VLOOKUP(A69,'JUNE (물량흐름)'!$A$13:$C$502,2,0)</f>
        <v>INC</v>
      </c>
      <c r="D69" s="212">
        <v>0.35</v>
      </c>
      <c r="E69" s="6">
        <f>VLOOKUP(B69,'Sales profit (스타일 별 매출이익)'!$D$9:$P$491,13,0)</f>
        <v>7936.2499999999991</v>
      </c>
      <c r="F69" s="112">
        <f>IFERROR(VLOOKUP(B69,O.B.JUNE!$N$7:$Q$448,2,0),0)</f>
        <v>0</v>
      </c>
      <c r="G69" s="112">
        <f>IFERROR(VLOOKUP(B69,O.B.JUNE!$N$7:$Q$448,3,0),0)</f>
        <v>0</v>
      </c>
      <c r="H69" s="112">
        <f>IFERROR(VLOOKUP(B69,O.B.JUNE!$N$7:$Q$448,4,0),0)</f>
        <v>48</v>
      </c>
      <c r="I69" s="112">
        <f t="shared" si="2"/>
        <v>48</v>
      </c>
      <c r="J69" s="112">
        <f>IFERROR(VLOOKUP(B69,O.B.JUNE!$AA$7:$AG$448,7,0),0)</f>
        <v>1431632</v>
      </c>
      <c r="K69" s="112">
        <f>IFERROR(VLOOKUP(B69,O.B.JUNE!$AI$7:$AO$448,7,0),0)</f>
        <v>1952345</v>
      </c>
      <c r="L69" s="112">
        <f t="shared" si="3"/>
        <v>3383977</v>
      </c>
      <c r="M69" s="112">
        <f>ROUND(SUMIF('JUNE (물량흐름)'!$C$13:$C$502,'WIP(재공품)'!B69,'JUNE (물량흐름)'!$H$13:$H$502)+SUMIF('JUNE (물량흐름)'!$C$13:$C$502,'WIP(재공품)'!B69,'JUNE (물량흐름)'!$V$13:$V$502),0)</f>
        <v>0</v>
      </c>
      <c r="N69" s="112">
        <f>SUMIF('Direct labour(직접노무비)'!$C$12:$C$503,'WIP(재공품)'!B69,'Direct labour(직접노무비)'!$O$12:$O$503)</f>
        <v>0</v>
      </c>
      <c r="O69" s="112">
        <f>SUMIF('Overhead exp(제조경비)'!$C$12:$C$503,'WIP(재공품)'!B69,'Overhead exp(제조경비)'!$O$12:$O$503)</f>
        <v>0</v>
      </c>
      <c r="P69" s="112">
        <f t="shared" si="4"/>
        <v>0</v>
      </c>
      <c r="Q69" s="112">
        <v>0</v>
      </c>
      <c r="R69" s="112">
        <v>0</v>
      </c>
      <c r="S69" s="112">
        <f>SUMIF('JUNE (물량흐름)'!$C$13:$C$493,'WIP(재공품)'!B69,'JUNE (물량흐름)'!$T$13:$T$493)+SUMIF('JUNE (물량흐름)'!$C$13:$C$493,'WIP(재공품)'!B69,'JUNE (물량흐름)'!$U$13:$U$493)+SUMIF('JUNE (물량흐름)'!$C$13:$C$493,'WIP(재공품)'!B69,'JUNE (물량흐름)'!$V$13:$V$493)-SUMIF('JUNE (물량흐름)'!$C$13:$C$493,'WIP(재공품)'!B69,'JUNE (물량흐름)'!$Y$13:$Y$493)</f>
        <v>48</v>
      </c>
      <c r="T69" s="112">
        <f>SUMIF('JUNE (물량흐름)'!$C$13:$C$502,'WIP(재공품)'!B69,'JUNE (물량흐름)'!$Y$13:$Y$502)</f>
        <v>0</v>
      </c>
      <c r="U69" s="167">
        <f>SUMIF('Direct labour(직접노무비)'!$C$12:$C$503,'WIP(재공품)'!B69,'Direct labour(직접노무비)'!$U$12:$U$503)+SUMIF('Overhead exp(제조경비)'!$C$12:$C$503,'WIP(재공품)'!B69,'Overhead exp(제조경비)'!$U$12:$U$503)</f>
        <v>0</v>
      </c>
      <c r="V69" s="112">
        <f>SUMIF('Direct labour(직접노무비)'!$C$12:$C$503,'WIP(재공품)'!B69,'Direct labour(직접노무비)'!$Q$12:$Q$503)</f>
        <v>1431632</v>
      </c>
      <c r="W69" s="112">
        <f>SUMIF('Overhead exp(제조경비)'!$C$12:$C$503,'WIP(재공품)'!B69,'Overhead exp(제조경비)'!$Q$12:$Q$503)</f>
        <v>1952345</v>
      </c>
      <c r="X69" s="112">
        <f t="shared" si="5"/>
        <v>3383977</v>
      </c>
      <c r="Y69" s="112">
        <f ca="1">ROUND(SUMIF('JUNE (물량흐름)'!$C$13:$C$502,'WIP(재공품)'!B69,'JUNE (물량흐름)'!$N$13:$N$488),0)</f>
        <v>0</v>
      </c>
      <c r="Z69" s="112">
        <f>ROUND(SUMIF('JUNE (물량흐름)'!$C$13:$C$502,'WIP(재공품)'!B69,'JUNE (물량흐름)'!$O$13:$O$502),0)</f>
        <v>0</v>
      </c>
      <c r="AA69" s="112">
        <f>ROUND(SUMIF('JUNE (물량흐름)'!$C$13:$C$502,'WIP(재공품)'!B69,'JUNE (물량흐름)'!$P$13:$P$502),0)</f>
        <v>0</v>
      </c>
      <c r="AB69" s="112">
        <f t="shared" ca="1" si="6"/>
        <v>0</v>
      </c>
      <c r="AC69" s="112">
        <f t="shared" si="7"/>
        <v>0</v>
      </c>
      <c r="AD69" s="381">
        <f t="shared" ca="1" si="11"/>
        <v>0</v>
      </c>
      <c r="AE69" s="381">
        <f t="shared" si="9"/>
        <v>0</v>
      </c>
      <c r="AF69" s="382"/>
      <c r="AG69" s="382">
        <v>0.3</v>
      </c>
      <c r="AH69" s="383">
        <f t="shared" si="10"/>
        <v>4.9999999999999989E-2</v>
      </c>
      <c r="AJ69" s="383"/>
      <c r="AL69" s="385"/>
      <c r="AM69" s="381"/>
      <c r="AN69" s="382"/>
      <c r="AO69" s="382"/>
      <c r="AP69" s="383"/>
      <c r="AQ69" s="383"/>
    </row>
    <row r="70" spans="1:43" s="384" customFormat="1" ht="18.75" customHeight="1">
      <c r="A70" s="167">
        <v>59</v>
      </c>
      <c r="B70" s="240" t="str">
        <f>VLOOKUP(A70,'JUNE (물량흐름)'!$A$13:$C$502,3,0)</f>
        <v>6D398</v>
      </c>
      <c r="C70" s="21" t="str">
        <f>VLOOKUP(A70,'JUNE (물량흐름)'!$A$13:$C$502,2,0)</f>
        <v>INC</v>
      </c>
      <c r="D70" s="212">
        <v>3.18</v>
      </c>
      <c r="E70" s="6">
        <f>VLOOKUP(B70,'Sales profit (스타일 별 매출이익)'!$D$9:$P$491,13,0)</f>
        <v>72106.5</v>
      </c>
      <c r="F70" s="112">
        <f>IFERROR(VLOOKUP(B70,O.B.JUNE!$N$7:$Q$448,2,0),0)</f>
        <v>1789</v>
      </c>
      <c r="G70" s="112">
        <f>IFERROR(VLOOKUP(B70,O.B.JUNE!$N$7:$Q$448,3,0),0)</f>
        <v>941</v>
      </c>
      <c r="H70" s="112">
        <f>IFERROR(VLOOKUP(B70,O.B.JUNE!$N$7:$Q$448,4,0),0)</f>
        <v>816</v>
      </c>
      <c r="I70" s="112">
        <f t="shared" si="2"/>
        <v>3546</v>
      </c>
      <c r="J70" s="112">
        <f>IFERROR(VLOOKUP(B70,O.B.JUNE!$AA$7:$AG$448,7,0),0)</f>
        <v>64448719</v>
      </c>
      <c r="K70" s="112">
        <f>IFERROR(VLOOKUP(B70,O.B.JUNE!$AI$7:$AO$448,7,0),0)</f>
        <v>122728657</v>
      </c>
      <c r="L70" s="112">
        <f t="shared" si="3"/>
        <v>187177376</v>
      </c>
      <c r="M70" s="112">
        <f>ROUND(SUMIF('JUNE (물량흐름)'!$C$13:$C$502,'WIP(재공품)'!B70,'JUNE (물량흐름)'!$H$13:$H$502)+SUMIF('JUNE (물량흐름)'!$C$13:$C$502,'WIP(재공품)'!B70,'JUNE (물량흐름)'!$V$13:$V$502),0)</f>
        <v>10072</v>
      </c>
      <c r="N70" s="112">
        <f>SUMIF('Direct labour(직접노무비)'!$C$12:$C$503,'WIP(재공품)'!B70,'Direct labour(직접노무비)'!$O$12:$O$503)</f>
        <v>230454859</v>
      </c>
      <c r="O70" s="112">
        <f>SUMIF('Overhead exp(제조경비)'!$C$12:$C$503,'WIP(재공품)'!B70,'Overhead exp(제조경비)'!$O$12:$O$503)</f>
        <v>450248510</v>
      </c>
      <c r="P70" s="112">
        <f t="shared" si="4"/>
        <v>680703369</v>
      </c>
      <c r="Q70" s="112">
        <v>0</v>
      </c>
      <c r="R70" s="112">
        <v>0</v>
      </c>
      <c r="S70" s="112">
        <f>SUMIF('JUNE (물량흐름)'!$C$13:$C$493,'WIP(재공품)'!B70,'JUNE (물량흐름)'!$T$13:$T$493)+SUMIF('JUNE (물량흐름)'!$C$13:$C$493,'WIP(재공품)'!B70,'JUNE (물량흐름)'!$U$13:$U$493)+SUMIF('JUNE (물량흐름)'!$C$13:$C$493,'WIP(재공품)'!B70,'JUNE (물량흐름)'!$V$13:$V$493)-SUMIF('JUNE (물량흐름)'!$C$13:$C$493,'WIP(재공품)'!B70,'JUNE (물량흐름)'!$Y$13:$Y$493)</f>
        <v>10137</v>
      </c>
      <c r="T70" s="112">
        <f>SUMIF('JUNE (물량흐름)'!$C$13:$C$502,'WIP(재공품)'!B70,'JUNE (물량흐름)'!$Y$13:$Y$502)</f>
        <v>0</v>
      </c>
      <c r="U70" s="167">
        <f>SUMIF('Direct labour(직접노무비)'!$C$12:$C$503,'WIP(재공품)'!B70,'Direct labour(직접노무비)'!$U$12:$U$503)+SUMIF('Overhead exp(제조경비)'!$C$12:$C$503,'WIP(재공품)'!B70,'Overhead exp(제조경비)'!$U$12:$U$503)</f>
        <v>0</v>
      </c>
      <c r="V70" s="112">
        <f>SUMIF('Direct labour(직접노무비)'!$C$12:$C$503,'WIP(재공품)'!B70,'Direct labour(직접노무비)'!$Q$12:$Q$503)</f>
        <v>219521043</v>
      </c>
      <c r="W70" s="112">
        <f>SUMIF('Overhead exp(제조경비)'!$C$12:$C$503,'WIP(재공품)'!B70,'Overhead exp(제조경비)'!$Q$12:$Q$503)</f>
        <v>426514139</v>
      </c>
      <c r="X70" s="112">
        <f t="shared" si="5"/>
        <v>646035182</v>
      </c>
      <c r="Y70" s="112">
        <f ca="1">ROUND(SUMIF('JUNE (물량흐름)'!$C$13:$C$502,'WIP(재공품)'!B70,'JUNE (물량흐름)'!$N$13:$N$488),0)</f>
        <v>930</v>
      </c>
      <c r="Z70" s="112">
        <f>ROUND(SUMIF('JUNE (물량흐름)'!$C$13:$C$502,'WIP(재공품)'!B70,'JUNE (물량흐름)'!$O$13:$O$502),0)</f>
        <v>1829</v>
      </c>
      <c r="AA70" s="112">
        <f>ROUND(SUMIF('JUNE (물량흐름)'!$C$13:$C$502,'WIP(재공품)'!B70,'JUNE (물량흐름)'!$P$13:$P$502),0)</f>
        <v>722</v>
      </c>
      <c r="AB70" s="112">
        <f t="shared" ca="1" si="6"/>
        <v>3481</v>
      </c>
      <c r="AC70" s="112">
        <f t="shared" si="7"/>
        <v>221845563</v>
      </c>
      <c r="AD70" s="381">
        <f t="shared" ca="1" si="11"/>
        <v>0</v>
      </c>
      <c r="AE70" s="381">
        <f t="shared" si="9"/>
        <v>0</v>
      </c>
      <c r="AF70" s="382"/>
      <c r="AG70" s="382">
        <v>0</v>
      </c>
      <c r="AH70" s="383">
        <f t="shared" si="10"/>
        <v>3.18</v>
      </c>
      <c r="AJ70" s="383"/>
      <c r="AL70" s="385"/>
      <c r="AM70" s="381"/>
      <c r="AN70" s="382"/>
      <c r="AO70" s="382"/>
      <c r="AP70" s="383"/>
      <c r="AQ70" s="383"/>
    </row>
    <row r="71" spans="1:43" s="384" customFormat="1" ht="18.75" customHeight="1">
      <c r="A71" s="167">
        <v>60</v>
      </c>
      <c r="B71" s="240" t="str">
        <f>VLOOKUP(A71,'JUNE (물량흐름)'!$A$13:$C$502,3,0)</f>
        <v>7D320(100010192)</v>
      </c>
      <c r="C71" s="21" t="str">
        <f>VLOOKUP(A71,'JUNE (물량흐름)'!$A$13:$C$502,2,0)</f>
        <v>INC</v>
      </c>
      <c r="D71" s="212">
        <v>0.35</v>
      </c>
      <c r="E71" s="6">
        <f>VLOOKUP(B71,'Sales profit (스타일 별 매출이익)'!$D$9:$P$491,13,0)</f>
        <v>7936.2499999999991</v>
      </c>
      <c r="F71" s="112">
        <f>IFERROR(VLOOKUP(B71,O.B.JUNE!$N$7:$Q$448,2,0),0)</f>
        <v>0</v>
      </c>
      <c r="G71" s="112">
        <f>IFERROR(VLOOKUP(B71,O.B.JUNE!$N$7:$Q$448,3,0),0)</f>
        <v>0</v>
      </c>
      <c r="H71" s="112">
        <f>IFERROR(VLOOKUP(B71,O.B.JUNE!$N$7:$Q$448,4,0),0)</f>
        <v>73</v>
      </c>
      <c r="I71" s="112">
        <f t="shared" si="2"/>
        <v>73</v>
      </c>
      <c r="J71" s="112">
        <f>IFERROR(VLOOKUP(B71,O.B.JUNE!$AA$7:$AG$448,7,0),0)</f>
        <v>1508775</v>
      </c>
      <c r="K71" s="112">
        <f>IFERROR(VLOOKUP(B71,O.B.JUNE!$AI$7:$AO$448,7,0),0)</f>
        <v>2057547</v>
      </c>
      <c r="L71" s="112">
        <f t="shared" si="3"/>
        <v>3566322</v>
      </c>
      <c r="M71" s="112">
        <f>ROUND(SUMIF('JUNE (물량흐름)'!$C$13:$C$502,'WIP(재공품)'!B71,'JUNE (물량흐름)'!$H$13:$H$502)+SUMIF('JUNE (물량흐름)'!$C$13:$C$502,'WIP(재공품)'!B71,'JUNE (물량흐름)'!$V$13:$V$502),0)</f>
        <v>0</v>
      </c>
      <c r="N71" s="112">
        <f>SUMIF('Direct labour(직접노무비)'!$C$12:$C$503,'WIP(재공품)'!B71,'Direct labour(직접노무비)'!$O$12:$O$503)</f>
        <v>0</v>
      </c>
      <c r="O71" s="112">
        <f>SUMIF('Overhead exp(제조경비)'!$C$12:$C$503,'WIP(재공품)'!B71,'Overhead exp(제조경비)'!$O$12:$O$503)</f>
        <v>0</v>
      </c>
      <c r="P71" s="112">
        <f t="shared" si="4"/>
        <v>0</v>
      </c>
      <c r="Q71" s="112">
        <v>0</v>
      </c>
      <c r="R71" s="112">
        <v>0</v>
      </c>
      <c r="S71" s="112">
        <f>SUMIF('JUNE (물량흐름)'!$C$13:$C$493,'WIP(재공품)'!B71,'JUNE (물량흐름)'!$T$13:$T$493)+SUMIF('JUNE (물량흐름)'!$C$13:$C$493,'WIP(재공품)'!B71,'JUNE (물량흐름)'!$U$13:$U$493)+SUMIF('JUNE (물량흐름)'!$C$13:$C$493,'WIP(재공품)'!B71,'JUNE (물량흐름)'!$V$13:$V$493)-SUMIF('JUNE (물량흐름)'!$C$13:$C$493,'WIP(재공품)'!B71,'JUNE (물량흐름)'!$Y$13:$Y$493)</f>
        <v>73</v>
      </c>
      <c r="T71" s="112">
        <f>SUMIF('JUNE (물량흐름)'!$C$13:$C$502,'WIP(재공품)'!B71,'JUNE (물량흐름)'!$Y$13:$Y$502)</f>
        <v>0</v>
      </c>
      <c r="U71" s="167">
        <f>SUMIF('Direct labour(직접노무비)'!$C$12:$C$503,'WIP(재공품)'!B71,'Direct labour(직접노무비)'!$U$12:$U$503)+SUMIF('Overhead exp(제조경비)'!$C$12:$C$503,'WIP(재공품)'!B71,'Overhead exp(제조경비)'!$U$12:$U$503)</f>
        <v>0</v>
      </c>
      <c r="V71" s="112">
        <f>SUMIF('Direct labour(직접노무비)'!$C$12:$C$503,'WIP(재공품)'!B71,'Direct labour(직접노무비)'!$Q$12:$Q$503)</f>
        <v>1508775</v>
      </c>
      <c r="W71" s="112">
        <f>SUMIF('Overhead exp(제조경비)'!$C$12:$C$503,'WIP(재공품)'!B71,'Overhead exp(제조경비)'!$Q$12:$Q$503)</f>
        <v>2057547</v>
      </c>
      <c r="X71" s="112">
        <f t="shared" si="5"/>
        <v>3566322</v>
      </c>
      <c r="Y71" s="112">
        <f ca="1">ROUND(SUMIF('JUNE (물량흐름)'!$C$13:$C$502,'WIP(재공품)'!B71,'JUNE (물량흐름)'!$N$13:$N$488),0)</f>
        <v>0</v>
      </c>
      <c r="Z71" s="112">
        <f>ROUND(SUMIF('JUNE (물량흐름)'!$C$13:$C$502,'WIP(재공품)'!B71,'JUNE (물량흐름)'!$O$13:$O$502),0)</f>
        <v>0</v>
      </c>
      <c r="AA71" s="112">
        <f>ROUND(SUMIF('JUNE (물량흐름)'!$C$13:$C$502,'WIP(재공품)'!B71,'JUNE (물량흐름)'!$P$13:$P$502),0)</f>
        <v>0</v>
      </c>
      <c r="AB71" s="112">
        <f t="shared" ca="1" si="6"/>
        <v>0</v>
      </c>
      <c r="AC71" s="112">
        <f t="shared" si="7"/>
        <v>0</v>
      </c>
      <c r="AD71" s="381">
        <f t="shared" ca="1" si="11"/>
        <v>0</v>
      </c>
      <c r="AE71" s="381">
        <f t="shared" si="9"/>
        <v>0</v>
      </c>
      <c r="AF71" s="382"/>
      <c r="AG71" s="382">
        <v>0.3</v>
      </c>
      <c r="AH71" s="383">
        <f t="shared" si="10"/>
        <v>4.9999999999999989E-2</v>
      </c>
      <c r="AJ71" s="383"/>
      <c r="AL71" s="385"/>
      <c r="AM71" s="381"/>
      <c r="AN71" s="382"/>
      <c r="AO71" s="382"/>
      <c r="AP71" s="383"/>
      <c r="AQ71" s="383"/>
    </row>
    <row r="72" spans="1:43" s="384" customFormat="1" ht="18.75" customHeight="1">
      <c r="A72" s="167">
        <v>61</v>
      </c>
      <c r="B72" s="240" t="str">
        <f>VLOOKUP(A72,'JUNE (물량흐름)'!$A$13:$C$502,3,0)</f>
        <v>7D534(100010660)</v>
      </c>
      <c r="C72" s="21" t="str">
        <f>VLOOKUP(A72,'JUNE (물량흐름)'!$A$13:$C$502,2,0)</f>
        <v>INC</v>
      </c>
      <c r="D72" s="212">
        <v>0.35</v>
      </c>
      <c r="E72" s="6">
        <f>VLOOKUP(B72,'Sales profit (스타일 별 매출이익)'!$D$9:$P$491,13,0)</f>
        <v>7936.2499999999991</v>
      </c>
      <c r="F72" s="112">
        <f>IFERROR(VLOOKUP(B72,O.B.JUNE!$N$7:$Q$448,2,0),0)</f>
        <v>0</v>
      </c>
      <c r="G72" s="112">
        <f>IFERROR(VLOOKUP(B72,O.B.JUNE!$N$7:$Q$448,3,0),0)</f>
        <v>0</v>
      </c>
      <c r="H72" s="112">
        <f>IFERROR(VLOOKUP(B72,O.B.JUNE!$N$7:$Q$448,4,0),0)</f>
        <v>27</v>
      </c>
      <c r="I72" s="112">
        <f t="shared" si="2"/>
        <v>27</v>
      </c>
      <c r="J72" s="112">
        <f>IFERROR(VLOOKUP(B72,O.B.JUNE!$AA$7:$AG$448,7,0),0)</f>
        <v>789371</v>
      </c>
      <c r="K72" s="112">
        <f>IFERROR(VLOOKUP(B72,O.B.JUNE!$AI$7:$AO$448,7,0),0)</f>
        <v>1076481</v>
      </c>
      <c r="L72" s="112">
        <f t="shared" si="3"/>
        <v>1865852</v>
      </c>
      <c r="M72" s="112">
        <f>ROUND(SUMIF('JUNE (물량흐름)'!$C$13:$C$502,'WIP(재공품)'!B72,'JUNE (물량흐름)'!$H$13:$H$502)+SUMIF('JUNE (물량흐름)'!$C$13:$C$502,'WIP(재공품)'!B72,'JUNE (물량흐름)'!$V$13:$V$502),0)</f>
        <v>0</v>
      </c>
      <c r="N72" s="112">
        <f>SUMIF('Direct labour(직접노무비)'!$C$12:$C$503,'WIP(재공품)'!B72,'Direct labour(직접노무비)'!$O$12:$O$503)</f>
        <v>0</v>
      </c>
      <c r="O72" s="112">
        <f>SUMIF('Overhead exp(제조경비)'!$C$12:$C$503,'WIP(재공품)'!B72,'Overhead exp(제조경비)'!$O$12:$O$503)</f>
        <v>0</v>
      </c>
      <c r="P72" s="112">
        <f t="shared" si="4"/>
        <v>0</v>
      </c>
      <c r="Q72" s="112">
        <v>0</v>
      </c>
      <c r="R72" s="112">
        <v>0</v>
      </c>
      <c r="S72" s="112">
        <f>SUMIF('JUNE (물량흐름)'!$C$13:$C$493,'WIP(재공품)'!B72,'JUNE (물량흐름)'!$T$13:$T$493)+SUMIF('JUNE (물량흐름)'!$C$13:$C$493,'WIP(재공품)'!B72,'JUNE (물량흐름)'!$U$13:$U$493)+SUMIF('JUNE (물량흐름)'!$C$13:$C$493,'WIP(재공품)'!B72,'JUNE (물량흐름)'!$V$13:$V$493)-SUMIF('JUNE (물량흐름)'!$C$13:$C$493,'WIP(재공품)'!B72,'JUNE (물량흐름)'!$Y$13:$Y$493)</f>
        <v>27</v>
      </c>
      <c r="T72" s="112">
        <f>SUMIF('JUNE (물량흐름)'!$C$13:$C$502,'WIP(재공품)'!B72,'JUNE (물량흐름)'!$Y$13:$Y$502)</f>
        <v>0</v>
      </c>
      <c r="U72" s="167">
        <f>SUMIF('Direct labour(직접노무비)'!$C$12:$C$503,'WIP(재공품)'!B72,'Direct labour(직접노무비)'!$U$12:$U$503)+SUMIF('Overhead exp(제조경비)'!$C$12:$C$503,'WIP(재공품)'!B72,'Overhead exp(제조경비)'!$U$12:$U$503)</f>
        <v>0</v>
      </c>
      <c r="V72" s="112">
        <f>SUMIF('Direct labour(직접노무비)'!$C$12:$C$503,'WIP(재공품)'!B72,'Direct labour(직접노무비)'!$Q$12:$Q$503)</f>
        <v>789371</v>
      </c>
      <c r="W72" s="112">
        <f>SUMIF('Overhead exp(제조경비)'!$C$12:$C$503,'WIP(재공품)'!B72,'Overhead exp(제조경비)'!$Q$12:$Q$503)</f>
        <v>1076481</v>
      </c>
      <c r="X72" s="112">
        <f t="shared" si="5"/>
        <v>1865852</v>
      </c>
      <c r="Y72" s="112">
        <f ca="1">ROUND(SUMIF('JUNE (물량흐름)'!$C$13:$C$502,'WIP(재공품)'!B72,'JUNE (물량흐름)'!$N$13:$N$488),0)</f>
        <v>0</v>
      </c>
      <c r="Z72" s="112">
        <f>ROUND(SUMIF('JUNE (물량흐름)'!$C$13:$C$502,'WIP(재공품)'!B72,'JUNE (물량흐름)'!$O$13:$O$502),0)</f>
        <v>0</v>
      </c>
      <c r="AA72" s="112">
        <f>ROUND(SUMIF('JUNE (물량흐름)'!$C$13:$C$502,'WIP(재공품)'!B72,'JUNE (물량흐름)'!$P$13:$P$502),0)</f>
        <v>0</v>
      </c>
      <c r="AB72" s="112">
        <f t="shared" ca="1" si="6"/>
        <v>0</v>
      </c>
      <c r="AC72" s="112">
        <f t="shared" si="7"/>
        <v>0</v>
      </c>
      <c r="AD72" s="381">
        <f t="shared" ca="1" si="11"/>
        <v>0</v>
      </c>
      <c r="AE72" s="381">
        <f t="shared" si="9"/>
        <v>0</v>
      </c>
      <c r="AF72" s="382"/>
      <c r="AG72" s="382">
        <v>0.3</v>
      </c>
      <c r="AH72" s="383">
        <f t="shared" si="10"/>
        <v>4.9999999999999989E-2</v>
      </c>
      <c r="AJ72" s="383"/>
      <c r="AL72" s="385"/>
      <c r="AM72" s="381"/>
      <c r="AN72" s="382"/>
      <c r="AO72" s="382"/>
      <c r="AP72" s="383"/>
      <c r="AQ72" s="383"/>
    </row>
    <row r="73" spans="1:43" s="384" customFormat="1" ht="18.75" customHeight="1">
      <c r="A73" s="167">
        <v>62</v>
      </c>
      <c r="B73" s="240" t="str">
        <f>VLOOKUP(A73,'JUNE (물량흐름)'!$A$13:$C$502,3,0)</f>
        <v>7D650(100010275)</v>
      </c>
      <c r="C73" s="21" t="str">
        <f>VLOOKUP(A73,'JUNE (물량흐름)'!$A$13:$C$502,2,0)</f>
        <v>INC</v>
      </c>
      <c r="D73" s="212">
        <v>1.23</v>
      </c>
      <c r="E73" s="6">
        <f>VLOOKUP(B73,'Sales profit (스타일 별 매출이익)'!$D$9:$P$491,13,0)</f>
        <v>27890.25</v>
      </c>
      <c r="F73" s="112">
        <f>IFERROR(VLOOKUP(B73,O.B.JUNE!$N$7:$Q$448,2,0),0)</f>
        <v>0</v>
      </c>
      <c r="G73" s="112">
        <f>IFERROR(VLOOKUP(B73,O.B.JUNE!$N$7:$Q$448,3,0),0)</f>
        <v>0</v>
      </c>
      <c r="H73" s="112">
        <f>IFERROR(VLOOKUP(B73,O.B.JUNE!$N$7:$Q$448,4,0),0)</f>
        <v>112</v>
      </c>
      <c r="I73" s="112">
        <f t="shared" si="2"/>
        <v>112</v>
      </c>
      <c r="J73" s="112">
        <f>IFERROR(VLOOKUP(B73,O.B.JUNE!$AA$7:$AG$448,7,0),0)</f>
        <v>1937547</v>
      </c>
      <c r="K73" s="112">
        <f>IFERROR(VLOOKUP(B73,O.B.JUNE!$AI$7:$AO$448,7,0),0)</f>
        <v>2642272</v>
      </c>
      <c r="L73" s="112">
        <f t="shared" si="3"/>
        <v>4579819</v>
      </c>
      <c r="M73" s="112">
        <f>ROUND(SUMIF('JUNE (물량흐름)'!$C$13:$C$502,'WIP(재공품)'!B73,'JUNE (물량흐름)'!$H$13:$H$502)+SUMIF('JUNE (물량흐름)'!$C$13:$C$502,'WIP(재공품)'!B73,'JUNE (물량흐름)'!$V$13:$V$502),0)</f>
        <v>0</v>
      </c>
      <c r="N73" s="112">
        <f>SUMIF('Direct labour(직접노무비)'!$C$12:$C$503,'WIP(재공품)'!B73,'Direct labour(직접노무비)'!$O$12:$O$503)</f>
        <v>0</v>
      </c>
      <c r="O73" s="112">
        <f>SUMIF('Overhead exp(제조경비)'!$C$12:$C$503,'WIP(재공품)'!B73,'Overhead exp(제조경비)'!$O$12:$O$503)</f>
        <v>0</v>
      </c>
      <c r="P73" s="112">
        <f t="shared" si="4"/>
        <v>0</v>
      </c>
      <c r="Q73" s="112">
        <v>0</v>
      </c>
      <c r="R73" s="112">
        <v>0</v>
      </c>
      <c r="S73" s="112">
        <f>SUMIF('JUNE (물량흐름)'!$C$13:$C$493,'WIP(재공품)'!B73,'JUNE (물량흐름)'!$T$13:$T$493)+SUMIF('JUNE (물량흐름)'!$C$13:$C$493,'WIP(재공품)'!B73,'JUNE (물량흐름)'!$U$13:$U$493)+SUMIF('JUNE (물량흐름)'!$C$13:$C$493,'WIP(재공품)'!B73,'JUNE (물량흐름)'!$V$13:$V$493)-SUMIF('JUNE (물량흐름)'!$C$13:$C$493,'WIP(재공품)'!B73,'JUNE (물량흐름)'!$Y$13:$Y$493)</f>
        <v>112</v>
      </c>
      <c r="T73" s="112">
        <f>SUMIF('JUNE (물량흐름)'!$C$13:$C$502,'WIP(재공품)'!B73,'JUNE (물량흐름)'!$Y$13:$Y$502)</f>
        <v>0</v>
      </c>
      <c r="U73" s="167">
        <f>SUMIF('Direct labour(직접노무비)'!$C$12:$C$503,'WIP(재공품)'!B73,'Direct labour(직접노무비)'!$U$12:$U$503)+SUMIF('Overhead exp(제조경비)'!$C$12:$C$503,'WIP(재공품)'!B73,'Overhead exp(제조경비)'!$U$12:$U$503)</f>
        <v>0</v>
      </c>
      <c r="V73" s="112">
        <f>SUMIF('Direct labour(직접노무비)'!$C$12:$C$503,'WIP(재공품)'!B73,'Direct labour(직접노무비)'!$Q$12:$Q$503)</f>
        <v>1937547</v>
      </c>
      <c r="W73" s="112">
        <f>SUMIF('Overhead exp(제조경비)'!$C$12:$C$503,'WIP(재공품)'!B73,'Overhead exp(제조경비)'!$Q$12:$Q$503)</f>
        <v>2642272</v>
      </c>
      <c r="X73" s="112">
        <f t="shared" si="5"/>
        <v>4579819</v>
      </c>
      <c r="Y73" s="112">
        <f ca="1">ROUND(SUMIF('JUNE (물량흐름)'!$C$13:$C$502,'WIP(재공품)'!B73,'JUNE (물량흐름)'!$N$13:$N$488),0)</f>
        <v>0</v>
      </c>
      <c r="Z73" s="112">
        <f>ROUND(SUMIF('JUNE (물량흐름)'!$C$13:$C$502,'WIP(재공품)'!B73,'JUNE (물량흐름)'!$O$13:$O$502),0)</f>
        <v>0</v>
      </c>
      <c r="AA73" s="112">
        <f>ROUND(SUMIF('JUNE (물량흐름)'!$C$13:$C$502,'WIP(재공품)'!B73,'JUNE (물량흐름)'!$P$13:$P$502),0)</f>
        <v>0</v>
      </c>
      <c r="AB73" s="112">
        <f t="shared" ca="1" si="6"/>
        <v>0</v>
      </c>
      <c r="AC73" s="112">
        <f t="shared" si="7"/>
        <v>0</v>
      </c>
      <c r="AD73" s="381">
        <f t="shared" ca="1" si="11"/>
        <v>0</v>
      </c>
      <c r="AE73" s="381">
        <f t="shared" si="9"/>
        <v>0</v>
      </c>
      <c r="AF73" s="382"/>
      <c r="AG73" s="382">
        <v>0</v>
      </c>
      <c r="AH73" s="383">
        <f t="shared" si="10"/>
        <v>1.23</v>
      </c>
      <c r="AJ73" s="383"/>
      <c r="AL73" s="385"/>
      <c r="AM73" s="381"/>
      <c r="AN73" s="382"/>
      <c r="AO73" s="382"/>
      <c r="AP73" s="383"/>
      <c r="AQ73" s="383"/>
    </row>
    <row r="74" spans="1:43" s="384" customFormat="1" ht="18.75" customHeight="1">
      <c r="A74" s="167">
        <v>63</v>
      </c>
      <c r="B74" s="240" t="str">
        <f>VLOOKUP(A74,'JUNE (물량흐름)'!$A$13:$C$502,3,0)</f>
        <v>7D664(100007920)</v>
      </c>
      <c r="C74" s="21" t="str">
        <f>VLOOKUP(A74,'JUNE (물량흐름)'!$A$13:$C$502,2,0)</f>
        <v>INC</v>
      </c>
      <c r="D74" s="212">
        <v>0.36</v>
      </c>
      <c r="E74" s="6">
        <f>VLOOKUP(B74,'Sales profit (스타일 별 매출이익)'!$D$9:$P$491,13,0)</f>
        <v>8163</v>
      </c>
      <c r="F74" s="112">
        <f>IFERROR(VLOOKUP(B74,O.B.JUNE!$N$7:$Q$448,2,0),0)</f>
        <v>0</v>
      </c>
      <c r="G74" s="112">
        <f>IFERROR(VLOOKUP(B74,O.B.JUNE!$N$7:$Q$448,3,0),0)</f>
        <v>0</v>
      </c>
      <c r="H74" s="112">
        <f>IFERROR(VLOOKUP(B74,O.B.JUNE!$N$7:$Q$448,4,0),0)</f>
        <v>46</v>
      </c>
      <c r="I74" s="112">
        <f t="shared" si="2"/>
        <v>46</v>
      </c>
      <c r="J74" s="112">
        <f>IFERROR(VLOOKUP(B74,O.B.JUNE!$AA$7:$AG$448,7,0),0)</f>
        <v>796547</v>
      </c>
      <c r="K74" s="112">
        <f>IFERROR(VLOOKUP(B74,O.B.JUNE!$AI$7:$AO$448,7,0),0)</f>
        <v>1086267</v>
      </c>
      <c r="L74" s="112">
        <f t="shared" si="3"/>
        <v>1882814</v>
      </c>
      <c r="M74" s="112">
        <f>ROUND(SUMIF('JUNE (물량흐름)'!$C$13:$C$502,'WIP(재공품)'!B74,'JUNE (물량흐름)'!$H$13:$H$502)+SUMIF('JUNE (물량흐름)'!$C$13:$C$502,'WIP(재공품)'!B74,'JUNE (물량흐름)'!$V$13:$V$502),0)</f>
        <v>0</v>
      </c>
      <c r="N74" s="112">
        <f>SUMIF('Direct labour(직접노무비)'!$C$12:$C$503,'WIP(재공품)'!B74,'Direct labour(직접노무비)'!$O$12:$O$503)</f>
        <v>0</v>
      </c>
      <c r="O74" s="112">
        <f>SUMIF('Overhead exp(제조경비)'!$C$12:$C$503,'WIP(재공품)'!B74,'Overhead exp(제조경비)'!$O$12:$O$503)</f>
        <v>0</v>
      </c>
      <c r="P74" s="112">
        <f t="shared" si="4"/>
        <v>0</v>
      </c>
      <c r="Q74" s="112">
        <v>0</v>
      </c>
      <c r="R74" s="112">
        <v>0</v>
      </c>
      <c r="S74" s="112">
        <f>SUMIF('JUNE (물량흐름)'!$C$13:$C$493,'WIP(재공품)'!B74,'JUNE (물량흐름)'!$T$13:$T$493)+SUMIF('JUNE (물량흐름)'!$C$13:$C$493,'WIP(재공품)'!B74,'JUNE (물량흐름)'!$U$13:$U$493)+SUMIF('JUNE (물량흐름)'!$C$13:$C$493,'WIP(재공품)'!B74,'JUNE (물량흐름)'!$V$13:$V$493)-SUMIF('JUNE (물량흐름)'!$C$13:$C$493,'WIP(재공품)'!B74,'JUNE (물량흐름)'!$Y$13:$Y$493)</f>
        <v>46</v>
      </c>
      <c r="T74" s="112">
        <f>SUMIF('JUNE (물량흐름)'!$C$13:$C$502,'WIP(재공품)'!B74,'JUNE (물량흐름)'!$Y$13:$Y$502)</f>
        <v>0</v>
      </c>
      <c r="U74" s="167">
        <f>SUMIF('Direct labour(직접노무비)'!$C$12:$C$503,'WIP(재공품)'!B74,'Direct labour(직접노무비)'!$U$12:$U$503)+SUMIF('Overhead exp(제조경비)'!$C$12:$C$503,'WIP(재공품)'!B74,'Overhead exp(제조경비)'!$U$12:$U$503)</f>
        <v>0</v>
      </c>
      <c r="V74" s="112">
        <f>SUMIF('Direct labour(직접노무비)'!$C$12:$C$503,'WIP(재공품)'!B74,'Direct labour(직접노무비)'!$Q$12:$Q$503)</f>
        <v>796547</v>
      </c>
      <c r="W74" s="112">
        <f>SUMIF('Overhead exp(제조경비)'!$C$12:$C$503,'WIP(재공품)'!B74,'Overhead exp(제조경비)'!$Q$12:$Q$503)</f>
        <v>1086267</v>
      </c>
      <c r="X74" s="112">
        <f t="shared" si="5"/>
        <v>1882814</v>
      </c>
      <c r="Y74" s="112">
        <f ca="1">ROUND(SUMIF('JUNE (물량흐름)'!$C$13:$C$502,'WIP(재공품)'!B74,'JUNE (물량흐름)'!$N$13:$N$488),0)</f>
        <v>0</v>
      </c>
      <c r="Z74" s="112">
        <f>ROUND(SUMIF('JUNE (물량흐름)'!$C$13:$C$502,'WIP(재공품)'!B74,'JUNE (물량흐름)'!$O$13:$O$502),0)</f>
        <v>0</v>
      </c>
      <c r="AA74" s="112">
        <f>ROUND(SUMIF('JUNE (물량흐름)'!$C$13:$C$502,'WIP(재공품)'!B74,'JUNE (물량흐름)'!$P$13:$P$502),0)</f>
        <v>0</v>
      </c>
      <c r="AB74" s="112">
        <f t="shared" ca="1" si="6"/>
        <v>0</v>
      </c>
      <c r="AC74" s="112">
        <f t="shared" si="7"/>
        <v>0</v>
      </c>
      <c r="AD74" s="381">
        <f t="shared" ca="1" si="11"/>
        <v>0</v>
      </c>
      <c r="AE74" s="381">
        <f t="shared" si="9"/>
        <v>0</v>
      </c>
      <c r="AF74" s="382"/>
      <c r="AG74" s="382">
        <v>0</v>
      </c>
      <c r="AH74" s="383">
        <f t="shared" si="10"/>
        <v>0.36</v>
      </c>
      <c r="AJ74" s="383"/>
      <c r="AL74" s="385"/>
      <c r="AM74" s="381"/>
      <c r="AN74" s="382"/>
      <c r="AO74" s="382"/>
      <c r="AP74" s="383"/>
      <c r="AQ74" s="383"/>
    </row>
    <row r="75" spans="1:43" s="384" customFormat="1" ht="18.75" customHeight="1">
      <c r="A75" s="167">
        <v>64</v>
      </c>
      <c r="B75" s="240" t="str">
        <f>VLOOKUP(A75,'JUNE (물량흐름)'!$A$13:$C$502,3,0)</f>
        <v>7D670(10007909)</v>
      </c>
      <c r="C75" s="21" t="str">
        <f>VLOOKUP(A75,'JUNE (물량흐름)'!$A$13:$C$502,2,0)</f>
        <v>INC</v>
      </c>
      <c r="D75" s="212">
        <v>0.36</v>
      </c>
      <c r="E75" s="6">
        <f>VLOOKUP(B75,'Sales profit (스타일 별 매출이익)'!$D$9:$P$491,13,0)</f>
        <v>8163</v>
      </c>
      <c r="F75" s="112">
        <f>IFERROR(VLOOKUP(B75,O.B.JUNE!$N$7:$Q$448,2,0),0)</f>
        <v>0</v>
      </c>
      <c r="G75" s="112">
        <f>IFERROR(VLOOKUP(B75,O.B.JUNE!$N$7:$Q$448,3,0),0)</f>
        <v>0</v>
      </c>
      <c r="H75" s="112">
        <f>IFERROR(VLOOKUP(B75,O.B.JUNE!$N$7:$Q$448,4,0),0)</f>
        <v>356</v>
      </c>
      <c r="I75" s="112">
        <f t="shared" si="2"/>
        <v>356</v>
      </c>
      <c r="J75" s="112">
        <f>IFERROR(VLOOKUP(B75,O.B.JUNE!$AA$7:$AG$448,7,0),0)</f>
        <v>5112971</v>
      </c>
      <c r="K75" s="112">
        <f>IFERROR(VLOOKUP(B75,O.B.JUNE!$AI$7:$AO$448,7,0),0)</f>
        <v>6972662</v>
      </c>
      <c r="L75" s="112">
        <f t="shared" si="3"/>
        <v>12085633</v>
      </c>
      <c r="M75" s="112">
        <f>ROUND(SUMIF('JUNE (물량흐름)'!$C$13:$C$502,'WIP(재공품)'!B75,'JUNE (물량흐름)'!$H$13:$H$502)+SUMIF('JUNE (물량흐름)'!$C$13:$C$502,'WIP(재공품)'!B75,'JUNE (물량흐름)'!$V$13:$V$502),0)</f>
        <v>0</v>
      </c>
      <c r="N75" s="112">
        <f>SUMIF('Direct labour(직접노무비)'!$C$12:$C$503,'WIP(재공품)'!B75,'Direct labour(직접노무비)'!$O$12:$O$503)</f>
        <v>0</v>
      </c>
      <c r="O75" s="112">
        <f>SUMIF('Overhead exp(제조경비)'!$C$12:$C$503,'WIP(재공품)'!B75,'Overhead exp(제조경비)'!$O$12:$O$503)</f>
        <v>0</v>
      </c>
      <c r="P75" s="112">
        <f t="shared" si="4"/>
        <v>0</v>
      </c>
      <c r="Q75" s="112">
        <v>0</v>
      </c>
      <c r="R75" s="112">
        <v>0</v>
      </c>
      <c r="S75" s="112">
        <f>SUMIF('JUNE (물량흐름)'!$C$13:$C$493,'WIP(재공품)'!B75,'JUNE (물량흐름)'!$T$13:$T$493)+SUMIF('JUNE (물량흐름)'!$C$13:$C$493,'WIP(재공품)'!B75,'JUNE (물량흐름)'!$U$13:$U$493)+SUMIF('JUNE (물량흐름)'!$C$13:$C$493,'WIP(재공품)'!B75,'JUNE (물량흐름)'!$V$13:$V$493)-SUMIF('JUNE (물량흐름)'!$C$13:$C$493,'WIP(재공품)'!B75,'JUNE (물량흐름)'!$Y$13:$Y$493)</f>
        <v>356</v>
      </c>
      <c r="T75" s="112">
        <f>SUMIF('JUNE (물량흐름)'!$C$13:$C$502,'WIP(재공품)'!B75,'JUNE (물량흐름)'!$Y$13:$Y$502)</f>
        <v>0</v>
      </c>
      <c r="U75" s="167">
        <f>SUMIF('Direct labour(직접노무비)'!$C$12:$C$503,'WIP(재공품)'!B75,'Direct labour(직접노무비)'!$U$12:$U$503)+SUMIF('Overhead exp(제조경비)'!$C$12:$C$503,'WIP(재공품)'!B75,'Overhead exp(제조경비)'!$U$12:$U$503)</f>
        <v>0</v>
      </c>
      <c r="V75" s="112">
        <f>SUMIF('Direct labour(직접노무비)'!$C$12:$C$503,'WIP(재공품)'!B75,'Direct labour(직접노무비)'!$Q$12:$Q$503)</f>
        <v>5112971</v>
      </c>
      <c r="W75" s="112">
        <f>SUMIF('Overhead exp(제조경비)'!$C$12:$C$503,'WIP(재공품)'!B75,'Overhead exp(제조경비)'!$Q$12:$Q$503)</f>
        <v>6972662</v>
      </c>
      <c r="X75" s="112">
        <f t="shared" si="5"/>
        <v>12085633</v>
      </c>
      <c r="Y75" s="112">
        <f ca="1">ROUND(SUMIF('JUNE (물량흐름)'!$C$13:$C$502,'WIP(재공품)'!B75,'JUNE (물량흐름)'!$N$13:$N$488),0)</f>
        <v>0</v>
      </c>
      <c r="Z75" s="112">
        <f>ROUND(SUMIF('JUNE (물량흐름)'!$C$13:$C$502,'WIP(재공품)'!B75,'JUNE (물량흐름)'!$O$13:$O$502),0)</f>
        <v>0</v>
      </c>
      <c r="AA75" s="112">
        <f>ROUND(SUMIF('JUNE (물량흐름)'!$C$13:$C$502,'WIP(재공품)'!B75,'JUNE (물량흐름)'!$P$13:$P$502),0)</f>
        <v>0</v>
      </c>
      <c r="AB75" s="112">
        <f t="shared" ca="1" si="6"/>
        <v>0</v>
      </c>
      <c r="AC75" s="112">
        <f t="shared" si="7"/>
        <v>0</v>
      </c>
      <c r="AD75" s="381">
        <f t="shared" ca="1" si="11"/>
        <v>0</v>
      </c>
      <c r="AE75" s="381">
        <f t="shared" si="9"/>
        <v>0</v>
      </c>
      <c r="AF75" s="382"/>
      <c r="AG75" s="382">
        <v>0.3</v>
      </c>
      <c r="AH75" s="383">
        <f t="shared" si="10"/>
        <v>0.06</v>
      </c>
      <c r="AJ75" s="383"/>
      <c r="AL75" s="385"/>
      <c r="AM75" s="381"/>
      <c r="AN75" s="382"/>
      <c r="AO75" s="382"/>
      <c r="AP75" s="383"/>
      <c r="AQ75" s="383"/>
    </row>
    <row r="76" spans="1:43" s="384" customFormat="1" ht="18.75" customHeight="1">
      <c r="A76" s="167">
        <v>65</v>
      </c>
      <c r="B76" s="240">
        <f>VLOOKUP(A76,'JUNE (물량흐름)'!$A$13:$C$502,3,0)</f>
        <v>100003487</v>
      </c>
      <c r="C76" s="21" t="str">
        <f>VLOOKUP(A76,'JUNE (물량흐름)'!$A$13:$C$502,2,0)</f>
        <v>ALFANI</v>
      </c>
      <c r="D76" s="212">
        <v>0.36</v>
      </c>
      <c r="E76" s="6">
        <f>VLOOKUP(B76,'Sales profit (스타일 별 매출이익)'!$D$9:$P$491,13,0)</f>
        <v>8163</v>
      </c>
      <c r="F76" s="112">
        <f>IFERROR(VLOOKUP(B76,O.B.JUNE!$N$7:$Q$448,2,0),0)</f>
        <v>0</v>
      </c>
      <c r="G76" s="112">
        <f>IFERROR(VLOOKUP(B76,O.B.JUNE!$N$7:$Q$448,3,0),0)</f>
        <v>0</v>
      </c>
      <c r="H76" s="112">
        <f>IFERROR(VLOOKUP(B76,O.B.JUNE!$N$7:$Q$448,4,0),0)</f>
        <v>87</v>
      </c>
      <c r="I76" s="112">
        <f t="shared" si="2"/>
        <v>87</v>
      </c>
      <c r="J76" s="112">
        <f>IFERROR(VLOOKUP(B76,O.B.JUNE!$AA$7:$AG$448,7,0),0)</f>
        <v>1125603</v>
      </c>
      <c r="K76" s="112">
        <f>IFERROR(VLOOKUP(B76,O.B.JUNE!$AI$7:$AO$448,7,0),0)</f>
        <v>1643281</v>
      </c>
      <c r="L76" s="112">
        <f t="shared" si="3"/>
        <v>2768884</v>
      </c>
      <c r="M76" s="112">
        <f>ROUND(SUMIF('JUNE (물량흐름)'!$C$13:$C$502,'WIP(재공품)'!B76,'JUNE (물량흐름)'!$H$13:$H$502)+SUMIF('JUNE (물량흐름)'!$C$13:$C$502,'WIP(재공품)'!B76,'JUNE (물량흐름)'!$V$13:$V$502),0)</f>
        <v>0</v>
      </c>
      <c r="N76" s="112">
        <f>SUMIF('Direct labour(직접노무비)'!$C$12:$C$503,'WIP(재공품)'!B76,'Direct labour(직접노무비)'!$O$12:$O$503)</f>
        <v>0</v>
      </c>
      <c r="O76" s="112">
        <f>SUMIF('Overhead exp(제조경비)'!$C$12:$C$503,'WIP(재공품)'!B76,'Overhead exp(제조경비)'!$O$12:$O$503)</f>
        <v>0</v>
      </c>
      <c r="P76" s="112">
        <f t="shared" si="4"/>
        <v>0</v>
      </c>
      <c r="Q76" s="112">
        <v>0</v>
      </c>
      <c r="R76" s="112">
        <v>0</v>
      </c>
      <c r="S76" s="112">
        <f>SUMIF('JUNE (물량흐름)'!$C$13:$C$493,'WIP(재공품)'!B76,'JUNE (물량흐름)'!$T$13:$T$493)+SUMIF('JUNE (물량흐름)'!$C$13:$C$493,'WIP(재공품)'!B76,'JUNE (물량흐름)'!$U$13:$U$493)+SUMIF('JUNE (물량흐름)'!$C$13:$C$493,'WIP(재공품)'!B76,'JUNE (물량흐름)'!$V$13:$V$493)-SUMIF('JUNE (물량흐름)'!$C$13:$C$493,'WIP(재공품)'!B76,'JUNE (물량흐름)'!$Y$13:$Y$493)</f>
        <v>0</v>
      </c>
      <c r="T76" s="112">
        <f>SUMIF('JUNE (물량흐름)'!$C$13:$C$502,'WIP(재공품)'!B76,'JUNE (물량흐름)'!$Y$13:$Y$502)</f>
        <v>0</v>
      </c>
      <c r="U76" s="167">
        <f>SUMIF('Direct labour(직접노무비)'!$C$12:$C$503,'WIP(재공품)'!B76,'Direct labour(직접노무비)'!$U$12:$U$503)+SUMIF('Overhead exp(제조경비)'!$C$12:$C$503,'WIP(재공품)'!B76,'Overhead exp(제조경비)'!$U$12:$U$503)</f>
        <v>0</v>
      </c>
      <c r="V76" s="112">
        <f>SUMIF('Direct labour(직접노무비)'!$C$12:$C$503,'WIP(재공품)'!B76,'Direct labour(직접노무비)'!$Q$12:$Q$503)</f>
        <v>0</v>
      </c>
      <c r="W76" s="112">
        <f>SUMIF('Overhead exp(제조경비)'!$C$12:$C$503,'WIP(재공품)'!B76,'Overhead exp(제조경비)'!$Q$12:$Q$503)</f>
        <v>0</v>
      </c>
      <c r="X76" s="112">
        <f t="shared" si="5"/>
        <v>0</v>
      </c>
      <c r="Y76" s="112">
        <f ca="1">ROUND(SUMIF('JUNE (물량흐름)'!$C$13:$C$502,'WIP(재공품)'!B76,'JUNE (물량흐름)'!$N$13:$N$488),0)</f>
        <v>0</v>
      </c>
      <c r="Z76" s="112">
        <f>ROUND(SUMIF('JUNE (물량흐름)'!$C$13:$C$502,'WIP(재공품)'!B76,'JUNE (물량흐름)'!$O$13:$O$502),0)</f>
        <v>0</v>
      </c>
      <c r="AA76" s="112">
        <f>ROUND(SUMIF('JUNE (물량흐름)'!$C$13:$C$502,'WIP(재공품)'!B76,'JUNE (물량흐름)'!$P$13:$P$502),0)</f>
        <v>87</v>
      </c>
      <c r="AB76" s="112">
        <f t="shared" ca="1" si="6"/>
        <v>87</v>
      </c>
      <c r="AC76" s="112">
        <f t="shared" si="7"/>
        <v>2768884</v>
      </c>
      <c r="AD76" s="381">
        <f t="shared" ca="1" si="11"/>
        <v>0</v>
      </c>
      <c r="AE76" s="381">
        <f t="shared" si="9"/>
        <v>0</v>
      </c>
      <c r="AF76" s="382"/>
      <c r="AG76" s="382">
        <v>3</v>
      </c>
      <c r="AH76" s="383">
        <f t="shared" si="10"/>
        <v>-2.64</v>
      </c>
      <c r="AJ76" s="383"/>
      <c r="AL76" s="385"/>
      <c r="AM76" s="381"/>
      <c r="AN76" s="382"/>
      <c r="AO76" s="382"/>
      <c r="AP76" s="383"/>
      <c r="AQ76" s="383"/>
    </row>
    <row r="77" spans="1:43" s="384" customFormat="1" ht="18.75" customHeight="1">
      <c r="A77" s="167">
        <v>66</v>
      </c>
      <c r="B77" s="240">
        <f>VLOOKUP(A77,'JUNE (물량흐름)'!$A$13:$C$502,3,0)</f>
        <v>100003506</v>
      </c>
      <c r="C77" s="21" t="str">
        <f>VLOOKUP(A77,'JUNE (물량흐름)'!$A$13:$C$502,2,0)</f>
        <v>ALFANI</v>
      </c>
      <c r="D77" s="212">
        <v>0.36</v>
      </c>
      <c r="E77" s="6">
        <f>VLOOKUP(B77,'Sales profit (스타일 별 매출이익)'!$D$9:$P$491,13,0)</f>
        <v>8163</v>
      </c>
      <c r="F77" s="112">
        <f>IFERROR(VLOOKUP(B77,O.B.JUNE!$N$7:$Q$448,2,0),0)</f>
        <v>0</v>
      </c>
      <c r="G77" s="112">
        <f>IFERROR(VLOOKUP(B77,O.B.JUNE!$N$7:$Q$448,3,0),0)</f>
        <v>0</v>
      </c>
      <c r="H77" s="112">
        <f>IFERROR(VLOOKUP(B77,O.B.JUNE!$N$7:$Q$448,4,0),0)</f>
        <v>59</v>
      </c>
      <c r="I77" s="112">
        <f t="shared" ref="I77:I139" si="12">SUM(F77:H77)</f>
        <v>59</v>
      </c>
      <c r="J77" s="112">
        <f>IFERROR(VLOOKUP(B77,O.B.JUNE!$AA$7:$AG$448,7,0),0)</f>
        <v>768762</v>
      </c>
      <c r="K77" s="112">
        <f>IFERROR(VLOOKUP(B77,O.B.JUNE!$AI$7:$AO$448,7,0),0)</f>
        <v>1122324</v>
      </c>
      <c r="L77" s="112">
        <f t="shared" ref="L77:L139" si="13">ROUND(J77+K77,0)</f>
        <v>1891086</v>
      </c>
      <c r="M77" s="112">
        <f>ROUND(SUMIF('JUNE (물량흐름)'!$C$13:$C$502,'WIP(재공품)'!B77,'JUNE (물량흐름)'!$H$13:$H$502)+SUMIF('JUNE (물량흐름)'!$C$13:$C$502,'WIP(재공품)'!B77,'JUNE (물량흐름)'!$V$13:$V$502),0)</f>
        <v>3080</v>
      </c>
      <c r="N77" s="112">
        <f>SUMIF('Direct labour(직접노무비)'!$C$12:$C$503,'WIP(재공품)'!B77,'Direct labour(직접노무비)'!$O$12:$O$503)</f>
        <v>7510689</v>
      </c>
      <c r="O77" s="112">
        <f>SUMIF('Overhead exp(제조경비)'!$C$12:$C$503,'WIP(재공품)'!B77,'Overhead exp(제조경비)'!$O$12:$O$503)</f>
        <v>14673921</v>
      </c>
      <c r="P77" s="112">
        <f t="shared" ref="P77:P139" si="14">ROUND(N77+O77,0)</f>
        <v>22184610</v>
      </c>
      <c r="Q77" s="112">
        <v>0</v>
      </c>
      <c r="R77" s="112">
        <v>0</v>
      </c>
      <c r="S77" s="112">
        <f>SUMIF('JUNE (물량흐름)'!$C$13:$C$493,'WIP(재공품)'!B77,'JUNE (물량흐름)'!$T$13:$T$493)+SUMIF('JUNE (물량흐름)'!$C$13:$C$493,'WIP(재공품)'!B77,'JUNE (물량흐름)'!$U$13:$U$493)+SUMIF('JUNE (물량흐름)'!$C$13:$C$493,'WIP(재공품)'!B77,'JUNE (물량흐름)'!$V$13:$V$493)-SUMIF('JUNE (물량흐름)'!$C$13:$C$493,'WIP(재공품)'!B77,'JUNE (물량흐름)'!$Y$13:$Y$493)</f>
        <v>2765</v>
      </c>
      <c r="T77" s="112">
        <f>SUMIF('JUNE (물량흐름)'!$C$13:$C$502,'WIP(재공품)'!B77,'JUNE (물량흐름)'!$Y$13:$Y$502)</f>
        <v>0</v>
      </c>
      <c r="U77" s="167">
        <f>SUMIF('Direct labour(직접노무비)'!$C$12:$C$503,'WIP(재공품)'!B77,'Direct labour(직접노무비)'!$U$12:$U$503)+SUMIF('Overhead exp(제조경비)'!$C$12:$C$503,'WIP(재공품)'!B77,'Overhead exp(제조경비)'!$U$12:$U$503)</f>
        <v>0</v>
      </c>
      <c r="V77" s="112">
        <f>SUMIF('Direct labour(직접노무비)'!$C$12:$C$503,'WIP(재공품)'!B77,'Direct labour(직접노무비)'!$Q$12:$Q$503)</f>
        <v>7292986</v>
      </c>
      <c r="W77" s="112">
        <f>SUMIF('Overhead exp(제조경비)'!$C$12:$C$503,'WIP(재공품)'!B77,'Overhead exp(제조경비)'!$Q$12:$Q$503)</f>
        <v>13914182</v>
      </c>
      <c r="X77" s="112">
        <f t="shared" ref="X77:X139" si="15">ROUND(V77+W77,0)</f>
        <v>21207168</v>
      </c>
      <c r="Y77" s="112">
        <f ca="1">ROUND(SUMIF('JUNE (물량흐름)'!$C$13:$C$502,'WIP(재공품)'!B77,'JUNE (물량흐름)'!$N$13:$N$488),0)</f>
        <v>0</v>
      </c>
      <c r="Z77" s="112">
        <f>ROUND(SUMIF('JUNE (물량흐름)'!$C$13:$C$502,'WIP(재공품)'!B77,'JUNE (물량흐름)'!$O$13:$O$502),0)</f>
        <v>141</v>
      </c>
      <c r="AA77" s="112">
        <f>ROUND(SUMIF('JUNE (물량흐름)'!$C$13:$C$502,'WIP(재공품)'!B77,'JUNE (물량흐름)'!$P$13:$P$502),0)</f>
        <v>233</v>
      </c>
      <c r="AB77" s="112">
        <f t="shared" ref="AB77:AB139" ca="1" si="16">ROUND(SUM(Y77:AA77),0)</f>
        <v>374</v>
      </c>
      <c r="AC77" s="112">
        <f t="shared" ref="AC77:AC139" si="17">ROUND(L77+P77-X77-U77,0)</f>
        <v>2868528</v>
      </c>
      <c r="AD77" s="381">
        <f t="shared" ref="AD77:AD139" ca="1" si="18">I77+M77-S77-T77-AB77</f>
        <v>0</v>
      </c>
      <c r="AE77" s="381">
        <f t="shared" ref="AE77:AE139" si="19">+L77+P77-X77-U77-AC77</f>
        <v>0</v>
      </c>
      <c r="AF77" s="382"/>
      <c r="AG77" s="382">
        <v>0</v>
      </c>
      <c r="AH77" s="383">
        <f t="shared" ref="AH77:AH139" si="20">D77-AG77</f>
        <v>0.36</v>
      </c>
      <c r="AJ77" s="383"/>
      <c r="AL77" s="385"/>
      <c r="AM77" s="381"/>
      <c r="AN77" s="382"/>
      <c r="AO77" s="382"/>
      <c r="AP77" s="383"/>
      <c r="AQ77" s="383"/>
    </row>
    <row r="78" spans="1:43" s="384" customFormat="1" ht="18.75" customHeight="1">
      <c r="A78" s="167">
        <v>67</v>
      </c>
      <c r="B78" s="240">
        <f>VLOOKUP(A78,'JUNE (물량흐름)'!$A$13:$C$502,3,0)</f>
        <v>100003522</v>
      </c>
      <c r="C78" s="21" t="str">
        <f>VLOOKUP(A78,'JUNE (물량흐름)'!$A$13:$C$502,2,0)</f>
        <v>ALFANI</v>
      </c>
      <c r="D78" s="212">
        <v>0.35</v>
      </c>
      <c r="E78" s="6">
        <f>VLOOKUP(B78,'Sales profit (스타일 별 매출이익)'!$D$9:$P$491,13,0)</f>
        <v>7936.2499999999991</v>
      </c>
      <c r="F78" s="112">
        <f>IFERROR(VLOOKUP(B78,O.B.JUNE!$N$7:$Q$448,2,0),0)</f>
        <v>0</v>
      </c>
      <c r="G78" s="112">
        <f>IFERROR(VLOOKUP(B78,O.B.JUNE!$N$7:$Q$448,3,0),0)</f>
        <v>0</v>
      </c>
      <c r="H78" s="112">
        <f>IFERROR(VLOOKUP(B78,O.B.JUNE!$N$7:$Q$448,4,0),0)</f>
        <v>113</v>
      </c>
      <c r="I78" s="112">
        <f t="shared" si="12"/>
        <v>113</v>
      </c>
      <c r="J78" s="112">
        <f>IFERROR(VLOOKUP(B78,O.B.JUNE!$AA$7:$AG$448,7,0),0)</f>
        <v>860500</v>
      </c>
      <c r="K78" s="112">
        <f>IFERROR(VLOOKUP(B78,O.B.JUNE!$AI$7:$AO$448,7,0),0)</f>
        <v>1256254</v>
      </c>
      <c r="L78" s="112">
        <f t="shared" si="13"/>
        <v>2116754</v>
      </c>
      <c r="M78" s="112">
        <f>ROUND(SUMIF('JUNE (물량흐름)'!$C$13:$C$502,'WIP(재공품)'!B78,'JUNE (물량흐름)'!$H$13:$H$502)+SUMIF('JUNE (물량흐름)'!$C$13:$C$502,'WIP(재공품)'!B78,'JUNE (물량흐름)'!$V$13:$V$502),0)</f>
        <v>0</v>
      </c>
      <c r="N78" s="112">
        <f>SUMIF('Direct labour(직접노무비)'!$C$12:$C$503,'WIP(재공품)'!B78,'Direct labour(직접노무비)'!$O$12:$O$503)</f>
        <v>0</v>
      </c>
      <c r="O78" s="112">
        <f>SUMIF('Overhead exp(제조경비)'!$C$12:$C$503,'WIP(재공품)'!B78,'Overhead exp(제조경비)'!$O$12:$O$503)</f>
        <v>0</v>
      </c>
      <c r="P78" s="112">
        <f t="shared" si="14"/>
        <v>0</v>
      </c>
      <c r="Q78" s="112">
        <v>0</v>
      </c>
      <c r="R78" s="112">
        <v>0</v>
      </c>
      <c r="S78" s="112">
        <f>SUMIF('JUNE (물량흐름)'!$C$13:$C$493,'WIP(재공품)'!B78,'JUNE (물량흐름)'!$T$13:$T$493)+SUMIF('JUNE (물량흐름)'!$C$13:$C$493,'WIP(재공품)'!B78,'JUNE (물량흐름)'!$U$13:$U$493)+SUMIF('JUNE (물량흐름)'!$C$13:$C$493,'WIP(재공품)'!B78,'JUNE (물량흐름)'!$V$13:$V$493)-SUMIF('JUNE (물량흐름)'!$C$13:$C$493,'WIP(재공품)'!B78,'JUNE (물량흐름)'!$Y$13:$Y$493)</f>
        <v>0</v>
      </c>
      <c r="T78" s="112">
        <f>SUMIF('JUNE (물량흐름)'!$C$13:$C$502,'WIP(재공품)'!B78,'JUNE (물량흐름)'!$Y$13:$Y$502)</f>
        <v>0</v>
      </c>
      <c r="U78" s="167">
        <f>SUMIF('Direct labour(직접노무비)'!$C$12:$C$503,'WIP(재공품)'!B78,'Direct labour(직접노무비)'!$U$12:$U$503)+SUMIF('Overhead exp(제조경비)'!$C$12:$C$503,'WIP(재공품)'!B78,'Overhead exp(제조경비)'!$U$12:$U$503)</f>
        <v>0</v>
      </c>
      <c r="V78" s="112">
        <f>SUMIF('Direct labour(직접노무비)'!$C$12:$C$503,'WIP(재공품)'!B78,'Direct labour(직접노무비)'!$Q$12:$Q$503)</f>
        <v>0</v>
      </c>
      <c r="W78" s="112">
        <f>SUMIF('Overhead exp(제조경비)'!$C$12:$C$503,'WIP(재공품)'!B78,'Overhead exp(제조경비)'!$Q$12:$Q$503)</f>
        <v>0</v>
      </c>
      <c r="X78" s="112">
        <f t="shared" si="15"/>
        <v>0</v>
      </c>
      <c r="Y78" s="112">
        <f ca="1">ROUND(SUMIF('JUNE (물량흐름)'!$C$13:$C$502,'WIP(재공품)'!B78,'JUNE (물량흐름)'!$N$13:$N$488),0)</f>
        <v>0</v>
      </c>
      <c r="Z78" s="112">
        <f>ROUND(SUMIF('JUNE (물량흐름)'!$C$13:$C$502,'WIP(재공품)'!B78,'JUNE (물량흐름)'!$O$13:$O$502),0)</f>
        <v>0</v>
      </c>
      <c r="AA78" s="112">
        <f>ROUND(SUMIF('JUNE (물량흐름)'!$C$13:$C$502,'WIP(재공품)'!B78,'JUNE (물량흐름)'!$P$13:$P$502),0)</f>
        <v>113</v>
      </c>
      <c r="AB78" s="112">
        <f t="shared" ca="1" si="16"/>
        <v>113</v>
      </c>
      <c r="AC78" s="112">
        <f t="shared" si="17"/>
        <v>2116754</v>
      </c>
      <c r="AD78" s="381">
        <f t="shared" ca="1" si="18"/>
        <v>0</v>
      </c>
      <c r="AE78" s="381">
        <f t="shared" si="19"/>
        <v>0</v>
      </c>
      <c r="AF78" s="382"/>
      <c r="AG78" s="382">
        <v>3.5</v>
      </c>
      <c r="AH78" s="383">
        <f t="shared" si="20"/>
        <v>-3.15</v>
      </c>
      <c r="AI78" s="383"/>
      <c r="AJ78" s="383"/>
      <c r="AL78" s="385"/>
      <c r="AM78" s="381"/>
      <c r="AN78" s="382"/>
      <c r="AO78" s="382"/>
      <c r="AP78" s="383"/>
      <c r="AQ78" s="383"/>
    </row>
    <row r="79" spans="1:43" s="384" customFormat="1" ht="18.75" customHeight="1">
      <c r="A79" s="167">
        <v>68</v>
      </c>
      <c r="B79" s="240">
        <f>VLOOKUP(A79,'JUNE (물량흐름)'!$A$13:$C$502,3,0)</f>
        <v>100003523</v>
      </c>
      <c r="C79" s="21" t="str">
        <f>VLOOKUP(A79,'JUNE (물량흐름)'!$A$13:$C$502,2,0)</f>
        <v>ALFANI</v>
      </c>
      <c r="D79" s="212">
        <v>0.35</v>
      </c>
      <c r="E79" s="6">
        <f>VLOOKUP(B79,'Sales profit (스타일 별 매출이익)'!$D$9:$P$491,13,0)</f>
        <v>7936.2499999999991</v>
      </c>
      <c r="F79" s="112">
        <f>IFERROR(VLOOKUP(B79,O.B.JUNE!$N$7:$Q$448,2,0),0)</f>
        <v>0</v>
      </c>
      <c r="G79" s="112">
        <f>IFERROR(VLOOKUP(B79,O.B.JUNE!$N$7:$Q$448,3,0),0)</f>
        <v>0</v>
      </c>
      <c r="H79" s="112">
        <f>IFERROR(VLOOKUP(B79,O.B.JUNE!$N$7:$Q$448,4,0),0)</f>
        <v>113</v>
      </c>
      <c r="I79" s="112">
        <f t="shared" si="12"/>
        <v>113</v>
      </c>
      <c r="J79" s="112">
        <f>IFERROR(VLOOKUP(B79,O.B.JUNE!$AA$7:$AG$448,7,0),0)</f>
        <v>860500</v>
      </c>
      <c r="K79" s="112">
        <f>IFERROR(VLOOKUP(B79,O.B.JUNE!$AI$7:$AO$448,7,0),0)</f>
        <v>1256254</v>
      </c>
      <c r="L79" s="112">
        <f t="shared" si="13"/>
        <v>2116754</v>
      </c>
      <c r="M79" s="112">
        <f>ROUND(SUMIF('JUNE (물량흐름)'!$C$13:$C$502,'WIP(재공품)'!B79,'JUNE (물량흐름)'!$H$13:$H$502)+SUMIF('JUNE (물량흐름)'!$C$13:$C$502,'WIP(재공품)'!B79,'JUNE (물량흐름)'!$V$13:$V$502),0)</f>
        <v>0</v>
      </c>
      <c r="N79" s="112">
        <f>SUMIF('Direct labour(직접노무비)'!$C$12:$C$503,'WIP(재공품)'!B79,'Direct labour(직접노무비)'!$O$12:$O$503)</f>
        <v>0</v>
      </c>
      <c r="O79" s="112">
        <f>SUMIF('Overhead exp(제조경비)'!$C$12:$C$503,'WIP(재공품)'!B79,'Overhead exp(제조경비)'!$O$12:$O$503)</f>
        <v>0</v>
      </c>
      <c r="P79" s="112">
        <f t="shared" si="14"/>
        <v>0</v>
      </c>
      <c r="Q79" s="112">
        <v>0</v>
      </c>
      <c r="R79" s="112">
        <v>0</v>
      </c>
      <c r="S79" s="112">
        <f>SUMIF('JUNE (물량흐름)'!$C$13:$C$493,'WIP(재공품)'!B79,'JUNE (물량흐름)'!$T$13:$T$493)+SUMIF('JUNE (물량흐름)'!$C$13:$C$493,'WIP(재공품)'!B79,'JUNE (물량흐름)'!$U$13:$U$493)+SUMIF('JUNE (물량흐름)'!$C$13:$C$493,'WIP(재공품)'!B79,'JUNE (물량흐름)'!$V$13:$V$493)-SUMIF('JUNE (물량흐름)'!$C$13:$C$493,'WIP(재공품)'!B79,'JUNE (물량흐름)'!$Y$13:$Y$493)</f>
        <v>0</v>
      </c>
      <c r="T79" s="112">
        <f>SUMIF('JUNE (물량흐름)'!$C$13:$C$502,'WIP(재공품)'!B79,'JUNE (물량흐름)'!$Y$13:$Y$502)</f>
        <v>0</v>
      </c>
      <c r="U79" s="167">
        <f>SUMIF('Direct labour(직접노무비)'!$C$12:$C$503,'WIP(재공품)'!B79,'Direct labour(직접노무비)'!$U$12:$U$503)+SUMIF('Overhead exp(제조경비)'!$C$12:$C$503,'WIP(재공품)'!B79,'Overhead exp(제조경비)'!$U$12:$U$503)</f>
        <v>0</v>
      </c>
      <c r="V79" s="112">
        <f>SUMIF('Direct labour(직접노무비)'!$C$12:$C$503,'WIP(재공품)'!B79,'Direct labour(직접노무비)'!$Q$12:$Q$503)</f>
        <v>0</v>
      </c>
      <c r="W79" s="112">
        <f>SUMIF('Overhead exp(제조경비)'!$C$12:$C$503,'WIP(재공품)'!B79,'Overhead exp(제조경비)'!$Q$12:$Q$503)</f>
        <v>0</v>
      </c>
      <c r="X79" s="112">
        <f t="shared" si="15"/>
        <v>0</v>
      </c>
      <c r="Y79" s="112">
        <f ca="1">ROUND(SUMIF('JUNE (물량흐름)'!$C$13:$C$502,'WIP(재공품)'!B79,'JUNE (물량흐름)'!$N$13:$N$488),0)</f>
        <v>0</v>
      </c>
      <c r="Z79" s="112">
        <f>ROUND(SUMIF('JUNE (물량흐름)'!$C$13:$C$502,'WIP(재공품)'!B79,'JUNE (물량흐름)'!$O$13:$O$502),0)</f>
        <v>0</v>
      </c>
      <c r="AA79" s="112">
        <f>ROUND(SUMIF('JUNE (물량흐름)'!$C$13:$C$502,'WIP(재공품)'!B79,'JUNE (물량흐름)'!$P$13:$P$502),0)</f>
        <v>113</v>
      </c>
      <c r="AB79" s="112">
        <f t="shared" ca="1" si="16"/>
        <v>113</v>
      </c>
      <c r="AC79" s="112">
        <f t="shared" si="17"/>
        <v>2116754</v>
      </c>
      <c r="AD79" s="381">
        <f t="shared" ca="1" si="18"/>
        <v>0</v>
      </c>
      <c r="AE79" s="381">
        <f t="shared" si="19"/>
        <v>0</v>
      </c>
      <c r="AF79" s="382"/>
      <c r="AG79" s="382">
        <v>0</v>
      </c>
      <c r="AH79" s="383">
        <f t="shared" si="20"/>
        <v>0.35</v>
      </c>
      <c r="AJ79" s="383"/>
      <c r="AL79" s="385"/>
      <c r="AM79" s="381"/>
      <c r="AN79" s="382"/>
      <c r="AO79" s="382"/>
      <c r="AP79" s="383"/>
      <c r="AQ79" s="383"/>
    </row>
    <row r="80" spans="1:43" s="384" customFormat="1" ht="18.75" customHeight="1">
      <c r="A80" s="167">
        <v>69</v>
      </c>
      <c r="B80" s="240">
        <f>VLOOKUP(A80,'JUNE (물량흐름)'!$A$13:$C$502,3,0)</f>
        <v>100003547</v>
      </c>
      <c r="C80" s="21" t="str">
        <f>VLOOKUP(A80,'JUNE (물량흐름)'!$A$13:$C$502,2,0)</f>
        <v>ALFANI</v>
      </c>
      <c r="D80" s="212">
        <v>0.35</v>
      </c>
      <c r="E80" s="6">
        <f>VLOOKUP(B80,'Sales profit (스타일 별 매출이익)'!$D$9:$P$491,13,0)</f>
        <v>7936.2499999999991</v>
      </c>
      <c r="F80" s="112">
        <f>IFERROR(VLOOKUP(B80,O.B.JUNE!$N$7:$Q$448,2,0),0)</f>
        <v>0</v>
      </c>
      <c r="G80" s="112">
        <f>IFERROR(VLOOKUP(B80,O.B.JUNE!$N$7:$Q$448,3,0),0)</f>
        <v>0</v>
      </c>
      <c r="H80" s="112">
        <f>IFERROR(VLOOKUP(B80,O.B.JUNE!$N$7:$Q$448,4,0),0)</f>
        <v>324</v>
      </c>
      <c r="I80" s="112">
        <f t="shared" si="12"/>
        <v>324</v>
      </c>
      <c r="J80" s="112">
        <f>IFERROR(VLOOKUP(B80,O.B.JUNE!$AA$7:$AG$448,7,0),0)</f>
        <v>5177775</v>
      </c>
      <c r="K80" s="112">
        <f>IFERROR(VLOOKUP(B80,O.B.JUNE!$AI$7:$AO$448,7,0),0)</f>
        <v>7559093</v>
      </c>
      <c r="L80" s="112">
        <f t="shared" si="13"/>
        <v>12736868</v>
      </c>
      <c r="M80" s="112">
        <f>ROUND(SUMIF('JUNE (물량흐름)'!$C$13:$C$502,'WIP(재공품)'!B80,'JUNE (물량흐름)'!$H$13:$H$502)+SUMIF('JUNE (물량흐름)'!$C$13:$C$502,'WIP(재공품)'!B80,'JUNE (물량흐름)'!$V$13:$V$502),0)</f>
        <v>0</v>
      </c>
      <c r="N80" s="112">
        <f>SUMIF('Direct labour(직접노무비)'!$C$12:$C$503,'WIP(재공품)'!B80,'Direct labour(직접노무비)'!$O$12:$O$503)</f>
        <v>0</v>
      </c>
      <c r="O80" s="112">
        <f>SUMIF('Overhead exp(제조경비)'!$C$12:$C$503,'WIP(재공품)'!B80,'Overhead exp(제조경비)'!$O$12:$O$503)</f>
        <v>0</v>
      </c>
      <c r="P80" s="112">
        <f t="shared" si="14"/>
        <v>0</v>
      </c>
      <c r="Q80" s="112">
        <v>0</v>
      </c>
      <c r="R80" s="112">
        <v>0</v>
      </c>
      <c r="S80" s="112">
        <f>SUMIF('JUNE (물량흐름)'!$C$13:$C$493,'WIP(재공품)'!B80,'JUNE (물량흐름)'!$T$13:$T$493)+SUMIF('JUNE (물량흐름)'!$C$13:$C$493,'WIP(재공품)'!B80,'JUNE (물량흐름)'!$U$13:$U$493)+SUMIF('JUNE (물량흐름)'!$C$13:$C$493,'WIP(재공품)'!B80,'JUNE (물량흐름)'!$V$13:$V$493)-SUMIF('JUNE (물량흐름)'!$C$13:$C$493,'WIP(재공품)'!B80,'JUNE (물량흐름)'!$Y$13:$Y$493)</f>
        <v>0</v>
      </c>
      <c r="T80" s="112">
        <f>SUMIF('JUNE (물량흐름)'!$C$13:$C$502,'WIP(재공품)'!B80,'JUNE (물량흐름)'!$Y$13:$Y$502)</f>
        <v>0</v>
      </c>
      <c r="U80" s="167">
        <f>SUMIF('Direct labour(직접노무비)'!$C$12:$C$503,'WIP(재공품)'!B80,'Direct labour(직접노무비)'!$U$12:$U$503)+SUMIF('Overhead exp(제조경비)'!$C$12:$C$503,'WIP(재공품)'!B80,'Overhead exp(제조경비)'!$U$12:$U$503)</f>
        <v>0</v>
      </c>
      <c r="V80" s="112">
        <f>SUMIF('Direct labour(직접노무비)'!$C$12:$C$503,'WIP(재공품)'!B80,'Direct labour(직접노무비)'!$Q$12:$Q$503)</f>
        <v>0</v>
      </c>
      <c r="W80" s="112">
        <f>SUMIF('Overhead exp(제조경비)'!$C$12:$C$503,'WIP(재공품)'!B80,'Overhead exp(제조경비)'!$Q$12:$Q$503)</f>
        <v>0</v>
      </c>
      <c r="X80" s="112">
        <f t="shared" si="15"/>
        <v>0</v>
      </c>
      <c r="Y80" s="112">
        <f ca="1">ROUND(SUMIF('JUNE (물량흐름)'!$C$13:$C$502,'WIP(재공품)'!B80,'JUNE (물량흐름)'!$N$13:$N$488),0)</f>
        <v>0</v>
      </c>
      <c r="Z80" s="112">
        <f>ROUND(SUMIF('JUNE (물량흐름)'!$C$13:$C$502,'WIP(재공품)'!B80,'JUNE (물량흐름)'!$O$13:$O$502),0)</f>
        <v>0</v>
      </c>
      <c r="AA80" s="112">
        <f>ROUND(SUMIF('JUNE (물량흐름)'!$C$13:$C$502,'WIP(재공품)'!B80,'JUNE (물량흐름)'!$P$13:$P$502),0)</f>
        <v>324</v>
      </c>
      <c r="AB80" s="112">
        <f t="shared" ca="1" si="16"/>
        <v>324</v>
      </c>
      <c r="AC80" s="112">
        <f t="shared" si="17"/>
        <v>12736868</v>
      </c>
      <c r="AD80" s="381">
        <f t="shared" ca="1" si="18"/>
        <v>0</v>
      </c>
      <c r="AE80" s="381">
        <f t="shared" si="19"/>
        <v>0</v>
      </c>
      <c r="AF80" s="382"/>
      <c r="AG80" s="382">
        <v>0</v>
      </c>
      <c r="AH80" s="383">
        <f t="shared" si="20"/>
        <v>0.35</v>
      </c>
      <c r="AJ80" s="383"/>
      <c r="AL80" s="385"/>
      <c r="AM80" s="381"/>
      <c r="AN80" s="382"/>
      <c r="AO80" s="382"/>
      <c r="AP80" s="383"/>
      <c r="AQ80" s="383"/>
    </row>
    <row r="81" spans="1:43" s="384" customFormat="1" ht="18.75" customHeight="1">
      <c r="A81" s="167">
        <v>70</v>
      </c>
      <c r="B81" s="240">
        <f>VLOOKUP(A81,'JUNE (물량흐름)'!$A$13:$C$502,3,0)</f>
        <v>100003559</v>
      </c>
      <c r="C81" s="21" t="str">
        <f>VLOOKUP(A81,'JUNE (물량흐름)'!$A$13:$C$502,2,0)</f>
        <v>ALFANI</v>
      </c>
      <c r="D81" s="212">
        <v>0.36</v>
      </c>
      <c r="E81" s="6">
        <f>VLOOKUP(B81,'Sales profit (스타일 별 매출이익)'!$D$9:$P$491,13,0)</f>
        <v>8163</v>
      </c>
      <c r="F81" s="112">
        <f>IFERROR(VLOOKUP(B81,O.B.JUNE!$N$7:$Q$448,2,0),0)</f>
        <v>0</v>
      </c>
      <c r="G81" s="112">
        <f>IFERROR(VLOOKUP(B81,O.B.JUNE!$N$7:$Q$448,3,0),0)</f>
        <v>0</v>
      </c>
      <c r="H81" s="112">
        <f>IFERROR(VLOOKUP(B81,O.B.JUNE!$N$7:$Q$448,4,0),0)</f>
        <v>81</v>
      </c>
      <c r="I81" s="112">
        <f t="shared" si="12"/>
        <v>81</v>
      </c>
      <c r="J81" s="112">
        <f>IFERROR(VLOOKUP(B81,O.B.JUNE!$AA$7:$AG$448,7,0),0)</f>
        <v>621472</v>
      </c>
      <c r="K81" s="112">
        <f>IFERROR(VLOOKUP(B81,O.B.JUNE!$AI$7:$AO$448,7,0),0)</f>
        <v>907294</v>
      </c>
      <c r="L81" s="112">
        <f t="shared" si="13"/>
        <v>1528766</v>
      </c>
      <c r="M81" s="112">
        <f>ROUND(SUMIF('JUNE (물량흐름)'!$C$13:$C$502,'WIP(재공품)'!B81,'JUNE (물량흐름)'!$H$13:$H$502)+SUMIF('JUNE (물량흐름)'!$C$13:$C$502,'WIP(재공품)'!B81,'JUNE (물량흐름)'!$V$13:$V$502),0)</f>
        <v>0</v>
      </c>
      <c r="N81" s="112">
        <f>SUMIF('Direct labour(직접노무비)'!$C$12:$C$503,'WIP(재공품)'!B81,'Direct labour(직접노무비)'!$O$12:$O$503)</f>
        <v>0</v>
      </c>
      <c r="O81" s="112">
        <f>SUMIF('Overhead exp(제조경비)'!$C$12:$C$503,'WIP(재공품)'!B81,'Overhead exp(제조경비)'!$O$12:$O$503)</f>
        <v>0</v>
      </c>
      <c r="P81" s="112">
        <f t="shared" si="14"/>
        <v>0</v>
      </c>
      <c r="Q81" s="112">
        <v>0</v>
      </c>
      <c r="R81" s="112">
        <v>0</v>
      </c>
      <c r="S81" s="112">
        <f>SUMIF('JUNE (물량흐름)'!$C$13:$C$493,'WIP(재공품)'!B81,'JUNE (물량흐름)'!$T$13:$T$493)+SUMIF('JUNE (물량흐름)'!$C$13:$C$493,'WIP(재공품)'!B81,'JUNE (물량흐름)'!$U$13:$U$493)+SUMIF('JUNE (물량흐름)'!$C$13:$C$493,'WIP(재공품)'!B81,'JUNE (물량흐름)'!$V$13:$V$493)-SUMIF('JUNE (물량흐름)'!$C$13:$C$493,'WIP(재공품)'!B81,'JUNE (물량흐름)'!$Y$13:$Y$493)</f>
        <v>0</v>
      </c>
      <c r="T81" s="112">
        <f>SUMIF('JUNE (물량흐름)'!$C$13:$C$502,'WIP(재공품)'!B81,'JUNE (물량흐름)'!$Y$13:$Y$502)</f>
        <v>0</v>
      </c>
      <c r="U81" s="167">
        <f>SUMIF('Direct labour(직접노무비)'!$C$12:$C$503,'WIP(재공품)'!B81,'Direct labour(직접노무비)'!$U$12:$U$503)+SUMIF('Overhead exp(제조경비)'!$C$12:$C$503,'WIP(재공품)'!B81,'Overhead exp(제조경비)'!$U$12:$U$503)</f>
        <v>0</v>
      </c>
      <c r="V81" s="112">
        <f>SUMIF('Direct labour(직접노무비)'!$C$12:$C$503,'WIP(재공품)'!B81,'Direct labour(직접노무비)'!$Q$12:$Q$503)</f>
        <v>0</v>
      </c>
      <c r="W81" s="112">
        <f>SUMIF('Overhead exp(제조경비)'!$C$12:$C$503,'WIP(재공품)'!B81,'Overhead exp(제조경비)'!$Q$12:$Q$503)</f>
        <v>0</v>
      </c>
      <c r="X81" s="112">
        <f t="shared" si="15"/>
        <v>0</v>
      </c>
      <c r="Y81" s="112">
        <f ca="1">ROUND(SUMIF('JUNE (물량흐름)'!$C$13:$C$502,'WIP(재공품)'!B81,'JUNE (물량흐름)'!$N$13:$N$488),0)</f>
        <v>0</v>
      </c>
      <c r="Z81" s="112">
        <f>ROUND(SUMIF('JUNE (물량흐름)'!$C$13:$C$502,'WIP(재공품)'!B81,'JUNE (물량흐름)'!$O$13:$O$502),0)</f>
        <v>0</v>
      </c>
      <c r="AA81" s="112">
        <f>ROUND(SUMIF('JUNE (물량흐름)'!$C$13:$C$502,'WIP(재공품)'!B81,'JUNE (물량흐름)'!$P$13:$P$502),0)</f>
        <v>81</v>
      </c>
      <c r="AB81" s="112">
        <f t="shared" ca="1" si="16"/>
        <v>81</v>
      </c>
      <c r="AC81" s="112">
        <f t="shared" si="17"/>
        <v>1528766</v>
      </c>
      <c r="AD81" s="381">
        <f t="shared" ca="1" si="18"/>
        <v>0</v>
      </c>
      <c r="AE81" s="381">
        <f t="shared" si="19"/>
        <v>0</v>
      </c>
      <c r="AF81" s="382"/>
      <c r="AG81" s="382">
        <v>0.3</v>
      </c>
      <c r="AH81" s="383">
        <f t="shared" si="20"/>
        <v>0.06</v>
      </c>
      <c r="AJ81" s="383"/>
      <c r="AL81" s="385"/>
      <c r="AM81" s="381"/>
      <c r="AN81" s="382"/>
      <c r="AO81" s="382"/>
      <c r="AP81" s="383"/>
      <c r="AQ81" s="383"/>
    </row>
    <row r="82" spans="1:43" s="384" customFormat="1" ht="18.75" customHeight="1">
      <c r="A82" s="167">
        <v>71</v>
      </c>
      <c r="B82" s="240">
        <f>VLOOKUP(A82,'JUNE (물량흐름)'!$A$13:$C$502,3,0)</f>
        <v>100003582</v>
      </c>
      <c r="C82" s="21" t="str">
        <f>VLOOKUP(A82,'JUNE (물량흐름)'!$A$13:$C$502,2,0)</f>
        <v>ALFANI</v>
      </c>
      <c r="D82" s="212">
        <v>0.36</v>
      </c>
      <c r="E82" s="6">
        <f>VLOOKUP(B82,'Sales profit (스타일 별 매출이익)'!$D$9:$P$491,13,0)</f>
        <v>8163</v>
      </c>
      <c r="F82" s="112">
        <f>IFERROR(VLOOKUP(B82,O.B.JUNE!$N$7:$Q$448,2,0),0)</f>
        <v>0</v>
      </c>
      <c r="G82" s="112">
        <f>IFERROR(VLOOKUP(B82,O.B.JUNE!$N$7:$Q$448,3,0),0)</f>
        <v>0</v>
      </c>
      <c r="H82" s="112">
        <f>IFERROR(VLOOKUP(B82,O.B.JUNE!$N$7:$Q$448,4,0),0)</f>
        <v>109</v>
      </c>
      <c r="I82" s="112">
        <f t="shared" si="12"/>
        <v>109</v>
      </c>
      <c r="J82" s="112">
        <f>IFERROR(VLOOKUP(B82,O.B.JUNE!$AA$7:$AG$448,7,0),0)</f>
        <v>1667903</v>
      </c>
      <c r="K82" s="112">
        <f>IFERROR(VLOOKUP(B82,O.B.JUNE!$AI$7:$AO$448,7,0),0)</f>
        <v>2461588</v>
      </c>
      <c r="L82" s="112">
        <f t="shared" si="13"/>
        <v>4129491</v>
      </c>
      <c r="M82" s="112">
        <f>ROUND(SUMIF('JUNE (물량흐름)'!$C$13:$C$502,'WIP(재공품)'!B82,'JUNE (물량흐름)'!$H$13:$H$502)+SUMIF('JUNE (물량흐름)'!$C$13:$C$502,'WIP(재공품)'!B82,'JUNE (물량흐름)'!$V$13:$V$502),0)</f>
        <v>0</v>
      </c>
      <c r="N82" s="112">
        <f>SUMIF('Direct labour(직접노무비)'!$C$12:$C$503,'WIP(재공품)'!B82,'Direct labour(직접노무비)'!$O$12:$O$503)</f>
        <v>0</v>
      </c>
      <c r="O82" s="112">
        <f>SUMIF('Overhead exp(제조경비)'!$C$12:$C$503,'WIP(재공품)'!B82,'Overhead exp(제조경비)'!$O$12:$O$503)</f>
        <v>0</v>
      </c>
      <c r="P82" s="112">
        <f t="shared" si="14"/>
        <v>0</v>
      </c>
      <c r="Q82" s="112">
        <v>0</v>
      </c>
      <c r="R82" s="112">
        <v>0</v>
      </c>
      <c r="S82" s="112">
        <f>SUMIF('JUNE (물량흐름)'!$C$13:$C$493,'WIP(재공품)'!B82,'JUNE (물량흐름)'!$T$13:$T$493)+SUMIF('JUNE (물량흐름)'!$C$13:$C$493,'WIP(재공품)'!B82,'JUNE (물량흐름)'!$U$13:$U$493)+SUMIF('JUNE (물량흐름)'!$C$13:$C$493,'WIP(재공품)'!B82,'JUNE (물량흐름)'!$V$13:$V$493)-SUMIF('JUNE (물량흐름)'!$C$13:$C$493,'WIP(재공품)'!B82,'JUNE (물량흐름)'!$Y$13:$Y$493)</f>
        <v>0</v>
      </c>
      <c r="T82" s="112">
        <f>SUMIF('JUNE (물량흐름)'!$C$13:$C$502,'WIP(재공품)'!B82,'JUNE (물량흐름)'!$Y$13:$Y$502)</f>
        <v>0</v>
      </c>
      <c r="U82" s="167">
        <f>SUMIF('Direct labour(직접노무비)'!$C$12:$C$503,'WIP(재공품)'!B82,'Direct labour(직접노무비)'!$U$12:$U$503)+SUMIF('Overhead exp(제조경비)'!$C$12:$C$503,'WIP(재공품)'!B82,'Overhead exp(제조경비)'!$U$12:$U$503)</f>
        <v>0</v>
      </c>
      <c r="V82" s="112">
        <f>SUMIF('Direct labour(직접노무비)'!$C$12:$C$503,'WIP(재공품)'!B82,'Direct labour(직접노무비)'!$Q$12:$Q$503)</f>
        <v>0</v>
      </c>
      <c r="W82" s="112">
        <f>SUMIF('Overhead exp(제조경비)'!$C$12:$C$503,'WIP(재공품)'!B82,'Overhead exp(제조경비)'!$Q$12:$Q$503)</f>
        <v>0</v>
      </c>
      <c r="X82" s="112">
        <f t="shared" si="15"/>
        <v>0</v>
      </c>
      <c r="Y82" s="112">
        <f ca="1">ROUND(SUMIF('JUNE (물량흐름)'!$C$13:$C$502,'WIP(재공품)'!B82,'JUNE (물량흐름)'!$N$13:$N$488),0)</f>
        <v>0</v>
      </c>
      <c r="Z82" s="112">
        <f>ROUND(SUMIF('JUNE (물량흐름)'!$C$13:$C$502,'WIP(재공품)'!B82,'JUNE (물량흐름)'!$O$13:$O$502),0)</f>
        <v>0</v>
      </c>
      <c r="AA82" s="112">
        <f>ROUND(SUMIF('JUNE (물량흐름)'!$C$13:$C$502,'WIP(재공품)'!B82,'JUNE (물량흐름)'!$P$13:$P$502),0)</f>
        <v>109</v>
      </c>
      <c r="AB82" s="112">
        <f t="shared" ca="1" si="16"/>
        <v>109</v>
      </c>
      <c r="AC82" s="112">
        <f t="shared" si="17"/>
        <v>4129491</v>
      </c>
      <c r="AD82" s="381">
        <f t="shared" ca="1" si="18"/>
        <v>0</v>
      </c>
      <c r="AE82" s="381">
        <f t="shared" si="19"/>
        <v>0</v>
      </c>
      <c r="AF82" s="382"/>
      <c r="AG82" s="382">
        <v>0.3</v>
      </c>
      <c r="AH82" s="383">
        <f t="shared" si="20"/>
        <v>0.06</v>
      </c>
      <c r="AJ82" s="383"/>
      <c r="AL82" s="385"/>
      <c r="AM82" s="381"/>
      <c r="AN82" s="382"/>
      <c r="AO82" s="382"/>
      <c r="AP82" s="383"/>
      <c r="AQ82" s="383"/>
    </row>
    <row r="83" spans="1:43" s="384" customFormat="1" ht="18.75" customHeight="1">
      <c r="A83" s="167">
        <v>72</v>
      </c>
      <c r="B83" s="240">
        <f>VLOOKUP(A83,'JUNE (물량흐름)'!$A$13:$C$502,3,0)</f>
        <v>100003585</v>
      </c>
      <c r="C83" s="21" t="str">
        <f>VLOOKUP(A83,'JUNE (물량흐름)'!$A$13:$C$502,2,0)</f>
        <v>ALFANI</v>
      </c>
      <c r="D83" s="212">
        <v>0.35</v>
      </c>
      <c r="E83" s="6">
        <f>VLOOKUP(B83,'Sales profit (스타일 별 매출이익)'!$D$9:$P$491,13,0)</f>
        <v>7936.2499999999991</v>
      </c>
      <c r="F83" s="112">
        <f>IFERROR(VLOOKUP(B83,O.B.JUNE!$N$7:$Q$448,2,0),0)</f>
        <v>0</v>
      </c>
      <c r="G83" s="112">
        <f>IFERROR(VLOOKUP(B83,O.B.JUNE!$N$7:$Q$448,3,0),0)</f>
        <v>0</v>
      </c>
      <c r="H83" s="112">
        <f>IFERROR(VLOOKUP(B83,O.B.JUNE!$N$7:$Q$448,4,0),0)</f>
        <v>51</v>
      </c>
      <c r="I83" s="112">
        <f t="shared" si="12"/>
        <v>51</v>
      </c>
      <c r="J83" s="112">
        <f>IFERROR(VLOOKUP(B83,O.B.JUNE!$AA$7:$AG$448,7,0),0)</f>
        <v>892301</v>
      </c>
      <c r="K83" s="112">
        <f>IFERROR(VLOOKUP(B83,O.B.JUNE!$AI$7:$AO$448,7,0),0)</f>
        <v>1349483</v>
      </c>
      <c r="L83" s="112">
        <f t="shared" si="13"/>
        <v>2241784</v>
      </c>
      <c r="M83" s="112">
        <f>ROUND(SUMIF('JUNE (물량흐름)'!$C$13:$C$502,'WIP(재공품)'!B83,'JUNE (물량흐름)'!$H$13:$H$502)+SUMIF('JUNE (물량흐름)'!$C$13:$C$502,'WIP(재공품)'!B83,'JUNE (물량흐름)'!$V$13:$V$502),0)</f>
        <v>0</v>
      </c>
      <c r="N83" s="112">
        <f>SUMIF('Direct labour(직접노무비)'!$C$12:$C$503,'WIP(재공품)'!B83,'Direct labour(직접노무비)'!$O$12:$O$503)</f>
        <v>0</v>
      </c>
      <c r="O83" s="112">
        <f>SUMIF('Overhead exp(제조경비)'!$C$12:$C$503,'WIP(재공품)'!B83,'Overhead exp(제조경비)'!$O$12:$O$503)</f>
        <v>0</v>
      </c>
      <c r="P83" s="112">
        <f t="shared" si="14"/>
        <v>0</v>
      </c>
      <c r="Q83" s="112">
        <v>0</v>
      </c>
      <c r="R83" s="112">
        <v>0</v>
      </c>
      <c r="S83" s="112">
        <f>SUMIF('JUNE (물량흐름)'!$C$13:$C$493,'WIP(재공품)'!B83,'JUNE (물량흐름)'!$T$13:$T$493)+SUMIF('JUNE (물량흐름)'!$C$13:$C$493,'WIP(재공품)'!B83,'JUNE (물량흐름)'!$U$13:$U$493)+SUMIF('JUNE (물량흐름)'!$C$13:$C$493,'WIP(재공품)'!B83,'JUNE (물량흐름)'!$V$13:$V$493)-SUMIF('JUNE (물량흐름)'!$C$13:$C$493,'WIP(재공품)'!B83,'JUNE (물량흐름)'!$Y$13:$Y$493)</f>
        <v>0</v>
      </c>
      <c r="T83" s="112">
        <f>SUMIF('JUNE (물량흐름)'!$C$13:$C$502,'WIP(재공품)'!B83,'JUNE (물량흐름)'!$Y$13:$Y$502)</f>
        <v>0</v>
      </c>
      <c r="U83" s="167">
        <f>SUMIF('Direct labour(직접노무비)'!$C$12:$C$503,'WIP(재공품)'!B83,'Direct labour(직접노무비)'!$U$12:$U$503)+SUMIF('Overhead exp(제조경비)'!$C$12:$C$503,'WIP(재공품)'!B83,'Overhead exp(제조경비)'!$U$12:$U$503)</f>
        <v>0</v>
      </c>
      <c r="V83" s="112">
        <f>SUMIF('Direct labour(직접노무비)'!$C$12:$C$503,'WIP(재공품)'!B83,'Direct labour(직접노무비)'!$Q$12:$Q$503)</f>
        <v>0</v>
      </c>
      <c r="W83" s="112">
        <f>SUMIF('Overhead exp(제조경비)'!$C$12:$C$503,'WIP(재공품)'!B83,'Overhead exp(제조경비)'!$Q$12:$Q$503)</f>
        <v>0</v>
      </c>
      <c r="X83" s="112">
        <f t="shared" si="15"/>
        <v>0</v>
      </c>
      <c r="Y83" s="112">
        <f ca="1">ROUND(SUMIF('JUNE (물량흐름)'!$C$13:$C$502,'WIP(재공품)'!B83,'JUNE (물량흐름)'!$N$13:$N$488),0)</f>
        <v>0</v>
      </c>
      <c r="Z83" s="112">
        <f>ROUND(SUMIF('JUNE (물량흐름)'!$C$13:$C$502,'WIP(재공품)'!B83,'JUNE (물량흐름)'!$O$13:$O$502),0)</f>
        <v>0</v>
      </c>
      <c r="AA83" s="112">
        <f>ROUND(SUMIF('JUNE (물량흐름)'!$C$13:$C$502,'WIP(재공품)'!B83,'JUNE (물량흐름)'!$P$13:$P$502),0)</f>
        <v>51</v>
      </c>
      <c r="AB83" s="112">
        <f t="shared" ca="1" si="16"/>
        <v>51</v>
      </c>
      <c r="AC83" s="112">
        <f t="shared" si="17"/>
        <v>2241784</v>
      </c>
      <c r="AD83" s="381">
        <f t="shared" ca="1" si="18"/>
        <v>0</v>
      </c>
      <c r="AE83" s="381">
        <f t="shared" si="19"/>
        <v>0</v>
      </c>
      <c r="AF83" s="382"/>
      <c r="AG83" s="382">
        <v>2.7</v>
      </c>
      <c r="AH83" s="383">
        <f t="shared" si="20"/>
        <v>-2.35</v>
      </c>
      <c r="AJ83" s="383"/>
      <c r="AL83" s="385"/>
      <c r="AM83" s="381"/>
      <c r="AN83" s="382"/>
      <c r="AO83" s="382"/>
      <c r="AP83" s="383"/>
      <c r="AQ83" s="383"/>
    </row>
    <row r="84" spans="1:43" s="384" customFormat="1" ht="18.75" customHeight="1">
      <c r="A84" s="167">
        <v>73</v>
      </c>
      <c r="B84" s="240">
        <f>VLOOKUP(A84,'JUNE (물량흐름)'!$A$13:$C$502,3,0)</f>
        <v>100003592</v>
      </c>
      <c r="C84" s="21" t="str">
        <f>VLOOKUP(A84,'JUNE (물량흐름)'!$A$13:$C$502,2,0)</f>
        <v>ALFANI</v>
      </c>
      <c r="D84" s="212">
        <v>3</v>
      </c>
      <c r="E84" s="6">
        <f>VLOOKUP(B84,'Sales profit (스타일 별 매출이익)'!$D$9:$P$491,13,0)</f>
        <v>68025</v>
      </c>
      <c r="F84" s="112">
        <f>IFERROR(VLOOKUP(B84,O.B.JUNE!$N$7:$Q$448,2,0),0)</f>
        <v>0</v>
      </c>
      <c r="G84" s="112">
        <f>IFERROR(VLOOKUP(B84,O.B.JUNE!$N$7:$Q$448,3,0),0)</f>
        <v>0</v>
      </c>
      <c r="H84" s="112">
        <f>IFERROR(VLOOKUP(B84,O.B.JUNE!$N$7:$Q$448,4,0),0)</f>
        <v>85</v>
      </c>
      <c r="I84" s="112">
        <f t="shared" si="12"/>
        <v>85</v>
      </c>
      <c r="J84" s="112">
        <f>IFERROR(VLOOKUP(B84,O.B.JUNE!$AA$7:$AG$448,7,0),0)</f>
        <v>600835</v>
      </c>
      <c r="K84" s="112">
        <f>IFERROR(VLOOKUP(B84,O.B.JUNE!$AI$7:$AO$448,7,0),0)</f>
        <v>877166</v>
      </c>
      <c r="L84" s="112">
        <f t="shared" si="13"/>
        <v>1478001</v>
      </c>
      <c r="M84" s="112">
        <f>ROUND(SUMIF('JUNE (물량흐름)'!$C$13:$C$502,'WIP(재공품)'!B84,'JUNE (물량흐름)'!$H$13:$H$502)+SUMIF('JUNE (물량흐름)'!$C$13:$C$502,'WIP(재공품)'!B84,'JUNE (물량흐름)'!$V$13:$V$502),0)</f>
        <v>0</v>
      </c>
      <c r="N84" s="112">
        <f>SUMIF('Direct labour(직접노무비)'!$C$12:$C$503,'WIP(재공품)'!B84,'Direct labour(직접노무비)'!$O$12:$O$503)</f>
        <v>0</v>
      </c>
      <c r="O84" s="112">
        <f>SUMIF('Overhead exp(제조경비)'!$C$12:$C$503,'WIP(재공품)'!B84,'Overhead exp(제조경비)'!$O$12:$O$503)</f>
        <v>0</v>
      </c>
      <c r="P84" s="112">
        <f t="shared" si="14"/>
        <v>0</v>
      </c>
      <c r="Q84" s="112">
        <v>0</v>
      </c>
      <c r="R84" s="112">
        <v>0</v>
      </c>
      <c r="S84" s="112">
        <f>SUMIF('JUNE (물량흐름)'!$C$13:$C$493,'WIP(재공품)'!B84,'JUNE (물량흐름)'!$T$13:$T$493)+SUMIF('JUNE (물량흐름)'!$C$13:$C$493,'WIP(재공품)'!B84,'JUNE (물량흐름)'!$U$13:$U$493)+SUMIF('JUNE (물량흐름)'!$C$13:$C$493,'WIP(재공품)'!B84,'JUNE (물량흐름)'!$V$13:$V$493)-SUMIF('JUNE (물량흐름)'!$C$13:$C$493,'WIP(재공품)'!B84,'JUNE (물량흐름)'!$Y$13:$Y$493)</f>
        <v>0</v>
      </c>
      <c r="T84" s="112">
        <f>SUMIF('JUNE (물량흐름)'!$C$13:$C$502,'WIP(재공품)'!B84,'JUNE (물량흐름)'!$Y$13:$Y$502)</f>
        <v>0</v>
      </c>
      <c r="U84" s="167">
        <f>SUMIF('Direct labour(직접노무비)'!$C$12:$C$503,'WIP(재공품)'!B84,'Direct labour(직접노무비)'!$U$12:$U$503)+SUMIF('Overhead exp(제조경비)'!$C$12:$C$503,'WIP(재공품)'!B84,'Overhead exp(제조경비)'!$U$12:$U$503)</f>
        <v>0</v>
      </c>
      <c r="V84" s="112">
        <f>SUMIF('Direct labour(직접노무비)'!$C$12:$C$503,'WIP(재공품)'!B84,'Direct labour(직접노무비)'!$Q$12:$Q$503)</f>
        <v>0</v>
      </c>
      <c r="W84" s="112">
        <f>SUMIF('Overhead exp(제조경비)'!$C$12:$C$503,'WIP(재공품)'!B84,'Overhead exp(제조경비)'!$Q$12:$Q$503)</f>
        <v>0</v>
      </c>
      <c r="X84" s="112">
        <f t="shared" si="15"/>
        <v>0</v>
      </c>
      <c r="Y84" s="112">
        <f ca="1">ROUND(SUMIF('JUNE (물량흐름)'!$C$13:$C$502,'WIP(재공품)'!B84,'JUNE (물량흐름)'!$N$13:$N$488),0)</f>
        <v>0</v>
      </c>
      <c r="Z84" s="112">
        <f>ROUND(SUMIF('JUNE (물량흐름)'!$C$13:$C$502,'WIP(재공품)'!B84,'JUNE (물량흐름)'!$O$13:$O$502),0)</f>
        <v>0</v>
      </c>
      <c r="AA84" s="112">
        <f>ROUND(SUMIF('JUNE (물량흐름)'!$C$13:$C$502,'WIP(재공품)'!B84,'JUNE (물량흐름)'!$P$13:$P$502),0)</f>
        <v>85</v>
      </c>
      <c r="AB84" s="112">
        <f t="shared" ca="1" si="16"/>
        <v>85</v>
      </c>
      <c r="AC84" s="112">
        <f t="shared" si="17"/>
        <v>1478001</v>
      </c>
      <c r="AD84" s="381">
        <f t="shared" ca="1" si="18"/>
        <v>0</v>
      </c>
      <c r="AE84" s="381">
        <f t="shared" si="19"/>
        <v>0</v>
      </c>
      <c r="AF84" s="382"/>
      <c r="AG84" s="382">
        <v>0.3</v>
      </c>
      <c r="AH84" s="383">
        <f t="shared" si="20"/>
        <v>2.7</v>
      </c>
      <c r="AJ84" s="383"/>
      <c r="AL84" s="385"/>
      <c r="AM84" s="381"/>
      <c r="AN84" s="382"/>
      <c r="AO84" s="382"/>
      <c r="AP84" s="383"/>
      <c r="AQ84" s="383"/>
    </row>
    <row r="85" spans="1:43" s="384" customFormat="1" ht="18.75" customHeight="1">
      <c r="A85" s="167">
        <v>74</v>
      </c>
      <c r="B85" s="240">
        <f>VLOOKUP(A85,'JUNE (물량흐름)'!$A$13:$C$502,3,0)</f>
        <v>100004432</v>
      </c>
      <c r="C85" s="21" t="str">
        <f>VLOOKUP(A85,'JUNE (물량흐름)'!$A$13:$C$502,2,0)</f>
        <v>ALFANI</v>
      </c>
      <c r="D85" s="212">
        <v>3.2</v>
      </c>
      <c r="E85" s="6">
        <f>VLOOKUP(B85,'Sales profit (스타일 별 매출이익)'!$D$9:$P$491,13,0)</f>
        <v>72560</v>
      </c>
      <c r="F85" s="112">
        <f>IFERROR(VLOOKUP(B85,O.B.JUNE!$N$7:$Q$448,2,0),0)</f>
        <v>0</v>
      </c>
      <c r="G85" s="112">
        <f>IFERROR(VLOOKUP(B85,O.B.JUNE!$N$7:$Q$448,3,0),0)</f>
        <v>0</v>
      </c>
      <c r="H85" s="112">
        <f>IFERROR(VLOOKUP(B85,O.B.JUNE!$N$7:$Q$448,4,0),0)</f>
        <v>24</v>
      </c>
      <c r="I85" s="112">
        <f t="shared" si="12"/>
        <v>24</v>
      </c>
      <c r="J85" s="112">
        <f>IFERROR(VLOOKUP(B85,O.B.JUNE!$AA$7:$AG$448,7,0),0)</f>
        <v>617474</v>
      </c>
      <c r="K85" s="112">
        <f>IFERROR(VLOOKUP(B85,O.B.JUNE!$AI$7:$AO$448,7,0),0)</f>
        <v>901457</v>
      </c>
      <c r="L85" s="112">
        <f t="shared" si="13"/>
        <v>1518931</v>
      </c>
      <c r="M85" s="112">
        <f>ROUND(SUMIF('JUNE (물량흐름)'!$C$13:$C$502,'WIP(재공품)'!B85,'JUNE (물량흐름)'!$H$13:$H$502)+SUMIF('JUNE (물량흐름)'!$C$13:$C$502,'WIP(재공품)'!B85,'JUNE (물량흐름)'!$V$13:$V$502),0)</f>
        <v>0</v>
      </c>
      <c r="N85" s="112">
        <f>SUMIF('Direct labour(직접노무비)'!$C$12:$C$503,'WIP(재공품)'!B85,'Direct labour(직접노무비)'!$O$12:$O$503)</f>
        <v>0</v>
      </c>
      <c r="O85" s="112">
        <f>SUMIF('Overhead exp(제조경비)'!$C$12:$C$503,'WIP(재공품)'!B85,'Overhead exp(제조경비)'!$O$12:$O$503)</f>
        <v>0</v>
      </c>
      <c r="P85" s="112">
        <f t="shared" si="14"/>
        <v>0</v>
      </c>
      <c r="Q85" s="112">
        <v>0</v>
      </c>
      <c r="R85" s="112">
        <v>0</v>
      </c>
      <c r="S85" s="112">
        <f>SUMIF('JUNE (물량흐름)'!$C$13:$C$493,'WIP(재공품)'!B85,'JUNE (물량흐름)'!$T$13:$T$493)+SUMIF('JUNE (물량흐름)'!$C$13:$C$493,'WIP(재공품)'!B85,'JUNE (물량흐름)'!$U$13:$U$493)+SUMIF('JUNE (물량흐름)'!$C$13:$C$493,'WIP(재공품)'!B85,'JUNE (물량흐름)'!$V$13:$V$493)-SUMIF('JUNE (물량흐름)'!$C$13:$C$493,'WIP(재공품)'!B85,'JUNE (물량흐름)'!$Y$13:$Y$493)</f>
        <v>0</v>
      </c>
      <c r="T85" s="112">
        <f>SUMIF('JUNE (물량흐름)'!$C$13:$C$502,'WIP(재공품)'!B85,'JUNE (물량흐름)'!$Y$13:$Y$502)</f>
        <v>0</v>
      </c>
      <c r="U85" s="167">
        <f>SUMIF('Direct labour(직접노무비)'!$C$12:$C$503,'WIP(재공품)'!B85,'Direct labour(직접노무비)'!$U$12:$U$503)+SUMIF('Overhead exp(제조경비)'!$C$12:$C$503,'WIP(재공품)'!B85,'Overhead exp(제조경비)'!$U$12:$U$503)</f>
        <v>0</v>
      </c>
      <c r="V85" s="112">
        <f>SUMIF('Direct labour(직접노무비)'!$C$12:$C$503,'WIP(재공품)'!B85,'Direct labour(직접노무비)'!$Q$12:$Q$503)</f>
        <v>0</v>
      </c>
      <c r="W85" s="112">
        <f>SUMIF('Overhead exp(제조경비)'!$C$12:$C$503,'WIP(재공품)'!B85,'Overhead exp(제조경비)'!$Q$12:$Q$503)</f>
        <v>0</v>
      </c>
      <c r="X85" s="112">
        <f t="shared" si="15"/>
        <v>0</v>
      </c>
      <c r="Y85" s="112">
        <f ca="1">ROUND(SUMIF('JUNE (물량흐름)'!$C$13:$C$502,'WIP(재공품)'!B85,'JUNE (물량흐름)'!$N$13:$N$488),0)</f>
        <v>0</v>
      </c>
      <c r="Z85" s="112">
        <f>ROUND(SUMIF('JUNE (물량흐름)'!$C$13:$C$502,'WIP(재공품)'!B85,'JUNE (물량흐름)'!$O$13:$O$502),0)</f>
        <v>0</v>
      </c>
      <c r="AA85" s="112">
        <f>ROUND(SUMIF('JUNE (물량흐름)'!$C$13:$C$502,'WIP(재공품)'!B85,'JUNE (물량흐름)'!$P$13:$P$502),0)</f>
        <v>24</v>
      </c>
      <c r="AB85" s="112">
        <f t="shared" ca="1" si="16"/>
        <v>24</v>
      </c>
      <c r="AC85" s="112">
        <f t="shared" si="17"/>
        <v>1518931</v>
      </c>
      <c r="AD85" s="381">
        <f t="shared" ca="1" si="18"/>
        <v>0</v>
      </c>
      <c r="AE85" s="381">
        <f t="shared" si="19"/>
        <v>0</v>
      </c>
      <c r="AF85" s="382"/>
      <c r="AG85" s="382">
        <v>0</v>
      </c>
      <c r="AH85" s="383">
        <f t="shared" si="20"/>
        <v>3.2</v>
      </c>
      <c r="AJ85" s="383"/>
      <c r="AL85" s="385"/>
      <c r="AM85" s="381"/>
      <c r="AN85" s="382"/>
      <c r="AO85" s="382"/>
      <c r="AP85" s="383"/>
      <c r="AQ85" s="383"/>
    </row>
    <row r="86" spans="1:43" s="384" customFormat="1" ht="18.75" customHeight="1">
      <c r="A86" s="167">
        <v>75</v>
      </c>
      <c r="B86" s="240">
        <f>VLOOKUP(A86,'JUNE (물량흐름)'!$A$13:$C$502,3,0)</f>
        <v>100008196</v>
      </c>
      <c r="C86" s="21" t="str">
        <f>VLOOKUP(A86,'JUNE (물량흐름)'!$A$13:$C$502,2,0)</f>
        <v>ALFANI</v>
      </c>
      <c r="D86" s="212">
        <v>4.2</v>
      </c>
      <c r="E86" s="6">
        <f>VLOOKUP(B86,'Sales profit (스타일 별 매출이익)'!$D$9:$P$491,13,0)</f>
        <v>95235</v>
      </c>
      <c r="F86" s="112">
        <f>IFERROR(VLOOKUP(B86,O.B.JUNE!$N$7:$Q$448,2,0),0)</f>
        <v>0</v>
      </c>
      <c r="G86" s="112">
        <f>IFERROR(VLOOKUP(B86,O.B.JUNE!$N$7:$Q$448,3,0),0)</f>
        <v>0</v>
      </c>
      <c r="H86" s="112">
        <f>IFERROR(VLOOKUP(B86,O.B.JUNE!$N$7:$Q$448,4,0),0)</f>
        <v>337</v>
      </c>
      <c r="I86" s="112">
        <f t="shared" si="12"/>
        <v>337</v>
      </c>
      <c r="J86" s="112">
        <f>IFERROR(VLOOKUP(B86,O.B.JUNE!$AA$7:$AG$448,7,0),0)</f>
        <v>4506377</v>
      </c>
      <c r="K86" s="112">
        <f>IFERROR(VLOOKUP(B86,O.B.JUNE!$AI$7:$AO$448,7,0),0)</f>
        <v>6874340</v>
      </c>
      <c r="L86" s="112">
        <f t="shared" si="13"/>
        <v>11380717</v>
      </c>
      <c r="M86" s="112">
        <f>ROUND(SUMIF('JUNE (물량흐름)'!$C$13:$C$502,'WIP(재공품)'!B86,'JUNE (물량흐름)'!$H$13:$H$502)+SUMIF('JUNE (물량흐름)'!$C$13:$C$502,'WIP(재공품)'!B86,'JUNE (물량흐름)'!$V$13:$V$502),0)</f>
        <v>0</v>
      </c>
      <c r="N86" s="112">
        <f>SUMIF('Direct labour(직접노무비)'!$C$12:$C$503,'WIP(재공품)'!B86,'Direct labour(직접노무비)'!$O$12:$O$503)</f>
        <v>0</v>
      </c>
      <c r="O86" s="112">
        <f>SUMIF('Overhead exp(제조경비)'!$C$12:$C$503,'WIP(재공품)'!B86,'Overhead exp(제조경비)'!$O$12:$O$503)</f>
        <v>0</v>
      </c>
      <c r="P86" s="112">
        <f t="shared" si="14"/>
        <v>0</v>
      </c>
      <c r="Q86" s="112">
        <v>0</v>
      </c>
      <c r="R86" s="112">
        <v>0</v>
      </c>
      <c r="S86" s="112">
        <f>SUMIF('JUNE (물량흐름)'!$C$13:$C$493,'WIP(재공품)'!B86,'JUNE (물량흐름)'!$T$13:$T$493)+SUMIF('JUNE (물량흐름)'!$C$13:$C$493,'WIP(재공품)'!B86,'JUNE (물량흐름)'!$U$13:$U$493)+SUMIF('JUNE (물량흐름)'!$C$13:$C$493,'WIP(재공품)'!B86,'JUNE (물량흐름)'!$V$13:$V$493)-SUMIF('JUNE (물량흐름)'!$C$13:$C$493,'WIP(재공품)'!B86,'JUNE (물량흐름)'!$Y$13:$Y$493)</f>
        <v>0</v>
      </c>
      <c r="T86" s="112">
        <f>SUMIF('JUNE (물량흐름)'!$C$13:$C$502,'WIP(재공품)'!B86,'JUNE (물량흐름)'!$Y$13:$Y$502)</f>
        <v>0</v>
      </c>
      <c r="U86" s="167">
        <f>SUMIF('Direct labour(직접노무비)'!$C$12:$C$503,'WIP(재공품)'!B86,'Direct labour(직접노무비)'!$U$12:$U$503)+SUMIF('Overhead exp(제조경비)'!$C$12:$C$503,'WIP(재공품)'!B86,'Overhead exp(제조경비)'!$U$12:$U$503)</f>
        <v>0</v>
      </c>
      <c r="V86" s="112">
        <f>SUMIF('Direct labour(직접노무비)'!$C$12:$C$503,'WIP(재공품)'!B86,'Direct labour(직접노무비)'!$Q$12:$Q$503)</f>
        <v>0</v>
      </c>
      <c r="W86" s="112">
        <f>SUMIF('Overhead exp(제조경비)'!$C$12:$C$503,'WIP(재공품)'!B86,'Overhead exp(제조경비)'!$Q$12:$Q$503)</f>
        <v>0</v>
      </c>
      <c r="X86" s="112">
        <f t="shared" si="15"/>
        <v>0</v>
      </c>
      <c r="Y86" s="112">
        <f ca="1">ROUND(SUMIF('JUNE (물량흐름)'!$C$13:$C$502,'WIP(재공품)'!B86,'JUNE (물량흐름)'!$N$13:$N$488),0)</f>
        <v>0</v>
      </c>
      <c r="Z86" s="112">
        <f>ROUND(SUMIF('JUNE (물량흐름)'!$C$13:$C$502,'WIP(재공품)'!B86,'JUNE (물량흐름)'!$O$13:$O$502),0)</f>
        <v>0</v>
      </c>
      <c r="AA86" s="112">
        <f>ROUND(SUMIF('JUNE (물량흐름)'!$C$13:$C$502,'WIP(재공품)'!B86,'JUNE (물량흐름)'!$P$13:$P$502),0)</f>
        <v>337</v>
      </c>
      <c r="AB86" s="112">
        <f t="shared" ca="1" si="16"/>
        <v>337</v>
      </c>
      <c r="AC86" s="112">
        <f t="shared" si="17"/>
        <v>11380717</v>
      </c>
      <c r="AD86" s="381">
        <f t="shared" ca="1" si="18"/>
        <v>0</v>
      </c>
      <c r="AE86" s="381">
        <f t="shared" si="19"/>
        <v>0</v>
      </c>
      <c r="AF86" s="382"/>
      <c r="AG86" s="382">
        <v>0.3</v>
      </c>
      <c r="AH86" s="383">
        <f t="shared" si="20"/>
        <v>3.9000000000000004</v>
      </c>
      <c r="AJ86" s="383"/>
      <c r="AL86" s="385"/>
      <c r="AM86" s="381"/>
      <c r="AN86" s="382"/>
      <c r="AO86" s="382"/>
      <c r="AP86" s="383"/>
      <c r="AQ86" s="383"/>
    </row>
    <row r="87" spans="1:43" s="384" customFormat="1" ht="18.75" customHeight="1">
      <c r="A87" s="167">
        <v>76</v>
      </c>
      <c r="B87" s="240">
        <f>VLOOKUP(A87,'JUNE (물량흐름)'!$A$13:$C$502,3,0)</f>
        <v>100008212</v>
      </c>
      <c r="C87" s="21" t="str">
        <f>VLOOKUP(A87,'JUNE (물량흐름)'!$A$13:$C$502,2,0)</f>
        <v>ALFANI</v>
      </c>
      <c r="D87" s="212">
        <v>3.18</v>
      </c>
      <c r="E87" s="6">
        <f>VLOOKUP(B87,'Sales profit (스타일 별 매출이익)'!$D$9:$P$491,13,0)</f>
        <v>72106.5</v>
      </c>
      <c r="F87" s="112">
        <f>IFERROR(VLOOKUP(B87,O.B.JUNE!$N$7:$Q$448,2,0),0)</f>
        <v>0</v>
      </c>
      <c r="G87" s="112">
        <f>IFERROR(VLOOKUP(B87,O.B.JUNE!$N$7:$Q$448,3,0),0)</f>
        <v>0</v>
      </c>
      <c r="H87" s="112">
        <f>IFERROR(VLOOKUP(B87,O.B.JUNE!$N$7:$Q$448,4,0),0)</f>
        <v>85</v>
      </c>
      <c r="I87" s="112">
        <f t="shared" si="12"/>
        <v>85</v>
      </c>
      <c r="J87" s="112">
        <f>IFERROR(VLOOKUP(B87,O.B.JUNE!$AA$7:$AG$448,7,0),0)</f>
        <v>1182101</v>
      </c>
      <c r="K87" s="112">
        <f>IFERROR(VLOOKUP(B87,O.B.JUNE!$AI$7:$AO$448,7,0),0)</f>
        <v>1725762</v>
      </c>
      <c r="L87" s="112">
        <f t="shared" si="13"/>
        <v>2907863</v>
      </c>
      <c r="M87" s="112">
        <f>ROUND(SUMIF('JUNE (물량흐름)'!$C$13:$C$502,'WIP(재공품)'!B87,'JUNE (물량흐름)'!$H$13:$H$502)+SUMIF('JUNE (물량흐름)'!$C$13:$C$502,'WIP(재공품)'!B87,'JUNE (물량흐름)'!$V$13:$V$502),0)</f>
        <v>0</v>
      </c>
      <c r="N87" s="112">
        <f>SUMIF('Direct labour(직접노무비)'!$C$12:$C$503,'WIP(재공품)'!B87,'Direct labour(직접노무비)'!$O$12:$O$503)</f>
        <v>0</v>
      </c>
      <c r="O87" s="112">
        <f>SUMIF('Overhead exp(제조경비)'!$C$12:$C$503,'WIP(재공품)'!B87,'Overhead exp(제조경비)'!$O$12:$O$503)</f>
        <v>0</v>
      </c>
      <c r="P87" s="112">
        <f t="shared" si="14"/>
        <v>0</v>
      </c>
      <c r="Q87" s="112">
        <v>0</v>
      </c>
      <c r="R87" s="112">
        <v>0</v>
      </c>
      <c r="S87" s="112">
        <f>SUMIF('JUNE (물량흐름)'!$C$13:$C$493,'WIP(재공품)'!B87,'JUNE (물량흐름)'!$T$13:$T$493)+SUMIF('JUNE (물량흐름)'!$C$13:$C$493,'WIP(재공품)'!B87,'JUNE (물량흐름)'!$U$13:$U$493)+SUMIF('JUNE (물량흐름)'!$C$13:$C$493,'WIP(재공품)'!B87,'JUNE (물량흐름)'!$V$13:$V$493)-SUMIF('JUNE (물량흐름)'!$C$13:$C$493,'WIP(재공품)'!B87,'JUNE (물량흐름)'!$Y$13:$Y$493)</f>
        <v>0</v>
      </c>
      <c r="T87" s="112">
        <f>SUMIF('JUNE (물량흐름)'!$C$13:$C$502,'WIP(재공품)'!B87,'JUNE (물량흐름)'!$Y$13:$Y$502)</f>
        <v>0</v>
      </c>
      <c r="U87" s="167">
        <f>SUMIF('Direct labour(직접노무비)'!$C$12:$C$503,'WIP(재공품)'!B87,'Direct labour(직접노무비)'!$U$12:$U$503)+SUMIF('Overhead exp(제조경비)'!$C$12:$C$503,'WIP(재공품)'!B87,'Overhead exp(제조경비)'!$U$12:$U$503)</f>
        <v>0</v>
      </c>
      <c r="V87" s="112">
        <f>SUMIF('Direct labour(직접노무비)'!$C$12:$C$503,'WIP(재공품)'!B87,'Direct labour(직접노무비)'!$Q$12:$Q$503)</f>
        <v>0</v>
      </c>
      <c r="W87" s="112">
        <f>SUMIF('Overhead exp(제조경비)'!$C$12:$C$503,'WIP(재공품)'!B87,'Overhead exp(제조경비)'!$Q$12:$Q$503)</f>
        <v>0</v>
      </c>
      <c r="X87" s="112">
        <f t="shared" si="15"/>
        <v>0</v>
      </c>
      <c r="Y87" s="112">
        <f ca="1">ROUND(SUMIF('JUNE (물량흐름)'!$C$13:$C$502,'WIP(재공품)'!B87,'JUNE (물량흐름)'!$N$13:$N$488),0)</f>
        <v>0</v>
      </c>
      <c r="Z87" s="112">
        <f>ROUND(SUMIF('JUNE (물량흐름)'!$C$13:$C$502,'WIP(재공품)'!B87,'JUNE (물량흐름)'!$O$13:$O$502),0)</f>
        <v>0</v>
      </c>
      <c r="AA87" s="112">
        <f>ROUND(SUMIF('JUNE (물량흐름)'!$C$13:$C$502,'WIP(재공품)'!B87,'JUNE (물량흐름)'!$P$13:$P$502),0)</f>
        <v>85</v>
      </c>
      <c r="AB87" s="112">
        <f t="shared" ca="1" si="16"/>
        <v>85</v>
      </c>
      <c r="AC87" s="112">
        <f t="shared" si="17"/>
        <v>2907863</v>
      </c>
      <c r="AD87" s="381">
        <f t="shared" ca="1" si="18"/>
        <v>0</v>
      </c>
      <c r="AE87" s="381">
        <f t="shared" si="19"/>
        <v>0</v>
      </c>
      <c r="AF87" s="382"/>
      <c r="AG87" s="382">
        <v>0.3</v>
      </c>
      <c r="AH87" s="383">
        <f t="shared" si="20"/>
        <v>2.8800000000000003</v>
      </c>
      <c r="AJ87" s="383"/>
      <c r="AL87" s="385"/>
      <c r="AM87" s="381"/>
      <c r="AN87" s="382"/>
      <c r="AO87" s="382"/>
      <c r="AP87" s="383"/>
      <c r="AQ87" s="383"/>
    </row>
    <row r="88" spans="1:43" s="384" customFormat="1" ht="18.75" customHeight="1">
      <c r="A88" s="167">
        <v>77</v>
      </c>
      <c r="B88" s="240">
        <f>VLOOKUP(A88,'JUNE (물량흐름)'!$A$13:$C$502,3,0)</f>
        <v>100008214</v>
      </c>
      <c r="C88" s="21" t="str">
        <f>VLOOKUP(A88,'JUNE (물량흐름)'!$A$13:$C$502,2,0)</f>
        <v>ALFANI</v>
      </c>
      <c r="D88" s="212">
        <v>0.35</v>
      </c>
      <c r="E88" s="6">
        <f>VLOOKUP(B88,'Sales profit (스타일 별 매출이익)'!$D$9:$P$491,13,0)</f>
        <v>7936.2499999999991</v>
      </c>
      <c r="F88" s="112">
        <f>IFERROR(VLOOKUP(B88,O.B.JUNE!$N$7:$Q$448,2,0),0)</f>
        <v>0</v>
      </c>
      <c r="G88" s="112">
        <f>IFERROR(VLOOKUP(B88,O.B.JUNE!$N$7:$Q$448,3,0),0)</f>
        <v>0</v>
      </c>
      <c r="H88" s="112">
        <f>IFERROR(VLOOKUP(B88,O.B.JUNE!$N$7:$Q$448,4,0),0)</f>
        <v>23</v>
      </c>
      <c r="I88" s="112">
        <f t="shared" si="12"/>
        <v>23</v>
      </c>
      <c r="J88" s="112">
        <f>IFERROR(VLOOKUP(B88,O.B.JUNE!$AA$7:$AG$448,7,0),0)</f>
        <v>268521</v>
      </c>
      <c r="K88" s="112">
        <f>IFERROR(VLOOKUP(B88,O.B.JUNE!$AI$7:$AO$448,7,0),0)</f>
        <v>407894</v>
      </c>
      <c r="L88" s="112">
        <f t="shared" si="13"/>
        <v>676415</v>
      </c>
      <c r="M88" s="112">
        <f>ROUND(SUMIF('JUNE (물량흐름)'!$C$13:$C$502,'WIP(재공품)'!B88,'JUNE (물량흐름)'!$H$13:$H$502)+SUMIF('JUNE (물량흐름)'!$C$13:$C$502,'WIP(재공품)'!B88,'JUNE (물량흐름)'!$V$13:$V$502),0)</f>
        <v>0</v>
      </c>
      <c r="N88" s="112">
        <f>SUMIF('Direct labour(직접노무비)'!$C$12:$C$503,'WIP(재공품)'!B88,'Direct labour(직접노무비)'!$O$12:$O$503)</f>
        <v>0</v>
      </c>
      <c r="O88" s="112">
        <f>SUMIF('Overhead exp(제조경비)'!$C$12:$C$503,'WIP(재공품)'!B88,'Overhead exp(제조경비)'!$O$12:$O$503)</f>
        <v>0</v>
      </c>
      <c r="P88" s="112">
        <f t="shared" si="14"/>
        <v>0</v>
      </c>
      <c r="Q88" s="112">
        <v>0</v>
      </c>
      <c r="R88" s="112">
        <v>0</v>
      </c>
      <c r="S88" s="112">
        <f>SUMIF('JUNE (물량흐름)'!$C$13:$C$493,'WIP(재공품)'!B88,'JUNE (물량흐름)'!$T$13:$T$493)+SUMIF('JUNE (물량흐름)'!$C$13:$C$493,'WIP(재공품)'!B88,'JUNE (물량흐름)'!$U$13:$U$493)+SUMIF('JUNE (물량흐름)'!$C$13:$C$493,'WIP(재공품)'!B88,'JUNE (물량흐름)'!$V$13:$V$493)-SUMIF('JUNE (물량흐름)'!$C$13:$C$493,'WIP(재공품)'!B88,'JUNE (물량흐름)'!$Y$13:$Y$493)</f>
        <v>0</v>
      </c>
      <c r="T88" s="112">
        <f>SUMIF('JUNE (물량흐름)'!$C$13:$C$502,'WIP(재공품)'!B88,'JUNE (물량흐름)'!$Y$13:$Y$502)</f>
        <v>0</v>
      </c>
      <c r="U88" s="167">
        <f>SUMIF('Direct labour(직접노무비)'!$C$12:$C$503,'WIP(재공품)'!B88,'Direct labour(직접노무비)'!$U$12:$U$503)+SUMIF('Overhead exp(제조경비)'!$C$12:$C$503,'WIP(재공품)'!B88,'Overhead exp(제조경비)'!$U$12:$U$503)</f>
        <v>0</v>
      </c>
      <c r="V88" s="112">
        <f>SUMIF('Direct labour(직접노무비)'!$C$12:$C$503,'WIP(재공품)'!B88,'Direct labour(직접노무비)'!$Q$12:$Q$503)</f>
        <v>0</v>
      </c>
      <c r="W88" s="112">
        <f>SUMIF('Overhead exp(제조경비)'!$C$12:$C$503,'WIP(재공품)'!B88,'Overhead exp(제조경비)'!$Q$12:$Q$503)</f>
        <v>0</v>
      </c>
      <c r="X88" s="112">
        <f t="shared" si="15"/>
        <v>0</v>
      </c>
      <c r="Y88" s="112">
        <f ca="1">ROUND(SUMIF('JUNE (물량흐름)'!$C$13:$C$502,'WIP(재공품)'!B88,'JUNE (물량흐름)'!$N$13:$N$488),0)</f>
        <v>0</v>
      </c>
      <c r="Z88" s="112">
        <f>ROUND(SUMIF('JUNE (물량흐름)'!$C$13:$C$502,'WIP(재공품)'!B88,'JUNE (물량흐름)'!$O$13:$O$502),0)</f>
        <v>0</v>
      </c>
      <c r="AA88" s="112">
        <f>ROUND(SUMIF('JUNE (물량흐름)'!$C$13:$C$502,'WIP(재공품)'!B88,'JUNE (물량흐름)'!$P$13:$P$502),0)</f>
        <v>23</v>
      </c>
      <c r="AB88" s="112">
        <f t="shared" ca="1" si="16"/>
        <v>23</v>
      </c>
      <c r="AC88" s="112">
        <f t="shared" si="17"/>
        <v>676415</v>
      </c>
      <c r="AD88" s="381">
        <f t="shared" ca="1" si="18"/>
        <v>0</v>
      </c>
      <c r="AE88" s="381">
        <f t="shared" si="19"/>
        <v>0</v>
      </c>
      <c r="AF88" s="382"/>
      <c r="AG88" s="382">
        <v>0.3</v>
      </c>
      <c r="AH88" s="383">
        <f t="shared" si="20"/>
        <v>4.9999999999999989E-2</v>
      </c>
      <c r="AJ88" s="383"/>
      <c r="AL88" s="385"/>
      <c r="AM88" s="381"/>
      <c r="AN88" s="382"/>
      <c r="AO88" s="382"/>
      <c r="AP88" s="383"/>
      <c r="AQ88" s="383"/>
    </row>
    <row r="89" spans="1:43" s="384" customFormat="1" ht="18.75" customHeight="1">
      <c r="A89" s="167">
        <v>78</v>
      </c>
      <c r="B89" s="240">
        <f>VLOOKUP(A89,'JUNE (물량흐름)'!$A$13:$C$502,3,0)</f>
        <v>100008216</v>
      </c>
      <c r="C89" s="21" t="str">
        <f>VLOOKUP(A89,'JUNE (물량흐름)'!$A$13:$C$502,2,0)</f>
        <v>ALFANI</v>
      </c>
      <c r="D89" s="212">
        <v>0.36</v>
      </c>
      <c r="E89" s="6">
        <f>VLOOKUP(B89,'Sales profit (스타일 별 매출이익)'!$D$9:$P$491,13,0)</f>
        <v>8163</v>
      </c>
      <c r="F89" s="112">
        <f>IFERROR(VLOOKUP(B89,O.B.JUNE!$N$7:$Q$448,2,0),0)</f>
        <v>0</v>
      </c>
      <c r="G89" s="112">
        <f>IFERROR(VLOOKUP(B89,O.B.JUNE!$N$7:$Q$448,3,0),0)</f>
        <v>0</v>
      </c>
      <c r="H89" s="112">
        <f>IFERROR(VLOOKUP(B89,O.B.JUNE!$N$7:$Q$448,4,0),0)</f>
        <v>102</v>
      </c>
      <c r="I89" s="112">
        <f t="shared" si="12"/>
        <v>102</v>
      </c>
      <c r="J89" s="112">
        <f>IFERROR(VLOOKUP(B89,O.B.JUNE!$AA$7:$AG$448,7,0),0)</f>
        <v>1418217</v>
      </c>
      <c r="K89" s="112">
        <f>IFERROR(VLOOKUP(B89,O.B.JUNE!$AI$7:$AO$448,7,0),0)</f>
        <v>2070471</v>
      </c>
      <c r="L89" s="112">
        <f t="shared" si="13"/>
        <v>3488688</v>
      </c>
      <c r="M89" s="112">
        <f>ROUND(SUMIF('JUNE (물량흐름)'!$C$13:$C$502,'WIP(재공품)'!B89,'JUNE (물량흐름)'!$H$13:$H$502)+SUMIF('JUNE (물량흐름)'!$C$13:$C$502,'WIP(재공품)'!B89,'JUNE (물량흐름)'!$V$13:$V$502),0)</f>
        <v>0</v>
      </c>
      <c r="N89" s="112">
        <f>SUMIF('Direct labour(직접노무비)'!$C$12:$C$503,'WIP(재공품)'!B89,'Direct labour(직접노무비)'!$O$12:$O$503)</f>
        <v>0</v>
      </c>
      <c r="O89" s="112">
        <f>SUMIF('Overhead exp(제조경비)'!$C$12:$C$503,'WIP(재공품)'!B89,'Overhead exp(제조경비)'!$O$12:$O$503)</f>
        <v>0</v>
      </c>
      <c r="P89" s="112">
        <f t="shared" si="14"/>
        <v>0</v>
      </c>
      <c r="Q89" s="112">
        <v>0</v>
      </c>
      <c r="R89" s="112">
        <v>0</v>
      </c>
      <c r="S89" s="112">
        <f>SUMIF('JUNE (물량흐름)'!$C$13:$C$493,'WIP(재공품)'!B89,'JUNE (물량흐름)'!$T$13:$T$493)+SUMIF('JUNE (물량흐름)'!$C$13:$C$493,'WIP(재공품)'!B89,'JUNE (물량흐름)'!$U$13:$U$493)+SUMIF('JUNE (물량흐름)'!$C$13:$C$493,'WIP(재공품)'!B89,'JUNE (물량흐름)'!$V$13:$V$493)-SUMIF('JUNE (물량흐름)'!$C$13:$C$493,'WIP(재공품)'!B89,'JUNE (물량흐름)'!$Y$13:$Y$493)</f>
        <v>0</v>
      </c>
      <c r="T89" s="112">
        <f>SUMIF('JUNE (물량흐름)'!$C$13:$C$502,'WIP(재공품)'!B89,'JUNE (물량흐름)'!$Y$13:$Y$502)</f>
        <v>0</v>
      </c>
      <c r="U89" s="167">
        <f>SUMIF('Direct labour(직접노무비)'!$C$12:$C$503,'WIP(재공품)'!B89,'Direct labour(직접노무비)'!$U$12:$U$503)+SUMIF('Overhead exp(제조경비)'!$C$12:$C$503,'WIP(재공품)'!B89,'Overhead exp(제조경비)'!$U$12:$U$503)</f>
        <v>0</v>
      </c>
      <c r="V89" s="112">
        <f>SUMIF('Direct labour(직접노무비)'!$C$12:$C$503,'WIP(재공품)'!B89,'Direct labour(직접노무비)'!$Q$12:$Q$503)</f>
        <v>0</v>
      </c>
      <c r="W89" s="112">
        <f>SUMIF('Overhead exp(제조경비)'!$C$12:$C$503,'WIP(재공품)'!B89,'Overhead exp(제조경비)'!$Q$12:$Q$503)</f>
        <v>0</v>
      </c>
      <c r="X89" s="112">
        <f t="shared" si="15"/>
        <v>0</v>
      </c>
      <c r="Y89" s="112">
        <f ca="1">ROUND(SUMIF('JUNE (물량흐름)'!$C$13:$C$502,'WIP(재공품)'!B89,'JUNE (물량흐름)'!$N$13:$N$488),0)</f>
        <v>0</v>
      </c>
      <c r="Z89" s="112">
        <f>ROUND(SUMIF('JUNE (물량흐름)'!$C$13:$C$502,'WIP(재공품)'!B89,'JUNE (물량흐름)'!$O$13:$O$502),0)</f>
        <v>0</v>
      </c>
      <c r="AA89" s="112">
        <f>ROUND(SUMIF('JUNE (물량흐름)'!$C$13:$C$502,'WIP(재공품)'!B89,'JUNE (물량흐름)'!$P$13:$P$502),0)</f>
        <v>102</v>
      </c>
      <c r="AB89" s="112">
        <f t="shared" ca="1" si="16"/>
        <v>102</v>
      </c>
      <c r="AC89" s="112">
        <f t="shared" si="17"/>
        <v>3488688</v>
      </c>
      <c r="AD89" s="381">
        <f t="shared" ca="1" si="18"/>
        <v>0</v>
      </c>
      <c r="AE89" s="381">
        <f t="shared" si="19"/>
        <v>0</v>
      </c>
      <c r="AF89" s="382"/>
      <c r="AG89" s="382">
        <v>0.3</v>
      </c>
      <c r="AH89" s="383">
        <f t="shared" si="20"/>
        <v>0.06</v>
      </c>
      <c r="AJ89" s="383"/>
      <c r="AL89" s="385"/>
      <c r="AM89" s="381"/>
      <c r="AN89" s="382"/>
      <c r="AO89" s="382"/>
      <c r="AP89" s="383"/>
      <c r="AQ89" s="383"/>
    </row>
    <row r="90" spans="1:43" s="384" customFormat="1" ht="18.75" customHeight="1">
      <c r="A90" s="167">
        <v>79</v>
      </c>
      <c r="B90" s="240">
        <f>VLOOKUP(A90,'JUNE (물량흐름)'!$A$13:$C$502,3,0)</f>
        <v>100009597</v>
      </c>
      <c r="C90" s="21" t="str">
        <f>VLOOKUP(A90,'JUNE (물량흐름)'!$A$13:$C$502,2,0)</f>
        <v>ALFANI</v>
      </c>
      <c r="D90" s="212">
        <v>0.36</v>
      </c>
      <c r="E90" s="6">
        <f>VLOOKUP(B90,'Sales profit (스타일 별 매출이익)'!$D$9:$P$491,13,0)</f>
        <v>8163</v>
      </c>
      <c r="F90" s="112">
        <f>IFERROR(VLOOKUP(B90,O.B.JUNE!$N$7:$Q$448,2,0),0)</f>
        <v>0</v>
      </c>
      <c r="G90" s="112">
        <f>IFERROR(VLOOKUP(B90,O.B.JUNE!$N$7:$Q$448,3,0),0)</f>
        <v>0</v>
      </c>
      <c r="H90" s="112">
        <f>IFERROR(VLOOKUP(B90,O.B.JUNE!$N$7:$Q$448,4,0),0)</f>
        <v>552</v>
      </c>
      <c r="I90" s="112">
        <f t="shared" si="12"/>
        <v>552</v>
      </c>
      <c r="J90" s="112">
        <f>IFERROR(VLOOKUP(B90,O.B.JUNE!$AA$7:$AG$448,7,0),0)</f>
        <v>10439684</v>
      </c>
      <c r="K90" s="112">
        <f>IFERROR(VLOOKUP(B90,O.B.JUNE!$AI$7:$AO$448,7,0),0)</f>
        <v>15430206</v>
      </c>
      <c r="L90" s="112">
        <f t="shared" si="13"/>
        <v>25869890</v>
      </c>
      <c r="M90" s="112">
        <f>ROUND(SUMIF('JUNE (물량흐름)'!$C$13:$C$502,'WIP(재공품)'!B90,'JUNE (물량흐름)'!$H$13:$H$502)+SUMIF('JUNE (물량흐름)'!$C$13:$C$502,'WIP(재공품)'!B90,'JUNE (물량흐름)'!$V$13:$V$502),0)</f>
        <v>0</v>
      </c>
      <c r="N90" s="112">
        <f>SUMIF('Direct labour(직접노무비)'!$C$12:$C$503,'WIP(재공품)'!B90,'Direct labour(직접노무비)'!$O$12:$O$503)</f>
        <v>0</v>
      </c>
      <c r="O90" s="112">
        <f>SUMIF('Overhead exp(제조경비)'!$C$12:$C$503,'WIP(재공품)'!B90,'Overhead exp(제조경비)'!$O$12:$O$503)</f>
        <v>0</v>
      </c>
      <c r="P90" s="112">
        <f t="shared" si="14"/>
        <v>0</v>
      </c>
      <c r="Q90" s="112">
        <v>0</v>
      </c>
      <c r="R90" s="112">
        <v>0</v>
      </c>
      <c r="S90" s="112">
        <f>SUMIF('JUNE (물량흐름)'!$C$13:$C$493,'WIP(재공품)'!B90,'JUNE (물량흐름)'!$T$13:$T$493)+SUMIF('JUNE (물량흐름)'!$C$13:$C$493,'WIP(재공품)'!B90,'JUNE (물량흐름)'!$U$13:$U$493)+SUMIF('JUNE (물량흐름)'!$C$13:$C$493,'WIP(재공품)'!B90,'JUNE (물량흐름)'!$V$13:$V$493)-SUMIF('JUNE (물량흐름)'!$C$13:$C$493,'WIP(재공품)'!B90,'JUNE (물량흐름)'!$Y$13:$Y$493)</f>
        <v>0</v>
      </c>
      <c r="T90" s="112">
        <f>SUMIF('JUNE (물량흐름)'!$C$13:$C$502,'WIP(재공품)'!B90,'JUNE (물량흐름)'!$Y$13:$Y$502)</f>
        <v>0</v>
      </c>
      <c r="U90" s="167">
        <f>SUMIF('Direct labour(직접노무비)'!$C$12:$C$503,'WIP(재공품)'!B90,'Direct labour(직접노무비)'!$U$12:$U$503)+SUMIF('Overhead exp(제조경비)'!$C$12:$C$503,'WIP(재공품)'!B90,'Overhead exp(제조경비)'!$U$12:$U$503)</f>
        <v>0</v>
      </c>
      <c r="V90" s="112">
        <f>SUMIF('Direct labour(직접노무비)'!$C$12:$C$503,'WIP(재공품)'!B90,'Direct labour(직접노무비)'!$Q$12:$Q$503)</f>
        <v>0</v>
      </c>
      <c r="W90" s="112">
        <f>SUMIF('Overhead exp(제조경비)'!$C$12:$C$503,'WIP(재공품)'!B90,'Overhead exp(제조경비)'!$Q$12:$Q$503)</f>
        <v>0</v>
      </c>
      <c r="X90" s="112">
        <f t="shared" si="15"/>
        <v>0</v>
      </c>
      <c r="Y90" s="112">
        <f ca="1">ROUND(SUMIF('JUNE (물량흐름)'!$C$13:$C$502,'WIP(재공품)'!B90,'JUNE (물량흐름)'!$N$13:$N$488),0)</f>
        <v>0</v>
      </c>
      <c r="Z90" s="112">
        <f>ROUND(SUMIF('JUNE (물량흐름)'!$C$13:$C$502,'WIP(재공품)'!B90,'JUNE (물량흐름)'!$O$13:$O$502),0)</f>
        <v>0</v>
      </c>
      <c r="AA90" s="112">
        <f>ROUND(SUMIF('JUNE (물량흐름)'!$C$13:$C$502,'WIP(재공품)'!B90,'JUNE (물량흐름)'!$P$13:$P$502),0)</f>
        <v>552</v>
      </c>
      <c r="AB90" s="112">
        <f t="shared" ca="1" si="16"/>
        <v>552</v>
      </c>
      <c r="AC90" s="112">
        <f t="shared" si="17"/>
        <v>25869890</v>
      </c>
      <c r="AD90" s="381">
        <f t="shared" ca="1" si="18"/>
        <v>0</v>
      </c>
      <c r="AE90" s="381">
        <f t="shared" si="19"/>
        <v>0</v>
      </c>
      <c r="AF90" s="382"/>
      <c r="AG90" s="382">
        <v>0.3</v>
      </c>
      <c r="AH90" s="383">
        <f t="shared" si="20"/>
        <v>0.06</v>
      </c>
      <c r="AJ90" s="383"/>
      <c r="AL90" s="385"/>
      <c r="AM90" s="381"/>
      <c r="AN90" s="382"/>
      <c r="AO90" s="382"/>
      <c r="AP90" s="383"/>
      <c r="AQ90" s="383"/>
    </row>
    <row r="91" spans="1:43" s="384" customFormat="1" ht="18.75" customHeight="1">
      <c r="A91" s="167">
        <v>80</v>
      </c>
      <c r="B91" s="240">
        <f>VLOOKUP(A91,'JUNE (물량흐름)'!$A$13:$C$502,3,0)</f>
        <v>74401</v>
      </c>
      <c r="C91" s="21" t="str">
        <f>VLOOKUP(A91,'JUNE (물량흐름)'!$A$13:$C$502,2,0)</f>
        <v>ALFANI</v>
      </c>
      <c r="D91" s="212">
        <v>2.44</v>
      </c>
      <c r="E91" s="6">
        <f>VLOOKUP(B91,'Sales profit (스타일 별 매출이익)'!$D$9:$P$491,13,0)</f>
        <v>55327</v>
      </c>
      <c r="F91" s="112">
        <f>IFERROR(VLOOKUP(B91,O.B.JUNE!$N$7:$Q$448,2,0),0)</f>
        <v>0</v>
      </c>
      <c r="G91" s="112">
        <f>IFERROR(VLOOKUP(B91,O.B.JUNE!$N$7:$Q$448,3,0),0)</f>
        <v>0</v>
      </c>
      <c r="H91" s="112">
        <f>IFERROR(VLOOKUP(B91,O.B.JUNE!$N$7:$Q$448,4,0),0)</f>
        <v>4111</v>
      </c>
      <c r="I91" s="112">
        <f t="shared" si="12"/>
        <v>4111</v>
      </c>
      <c r="J91" s="112">
        <f>IFERROR(VLOOKUP(B91,O.B.JUNE!$AA$7:$AG$448,7,0),0)</f>
        <v>9621461</v>
      </c>
      <c r="K91" s="112">
        <f>IFERROR(VLOOKUP(B91,O.B.JUNE!$AI$7:$AO$448,7,0),0)</f>
        <v>18797817</v>
      </c>
      <c r="L91" s="112">
        <f t="shared" si="13"/>
        <v>28419278</v>
      </c>
      <c r="M91" s="112">
        <f>ROUND(SUMIF('JUNE (물량흐름)'!$C$13:$C$502,'WIP(재공품)'!B91,'JUNE (물량흐름)'!$H$13:$H$502)+SUMIF('JUNE (물량흐름)'!$C$13:$C$502,'WIP(재공품)'!B91,'JUNE (물량흐름)'!$V$13:$V$502),0)</f>
        <v>5</v>
      </c>
      <c r="N91" s="112">
        <f>SUMIF('Direct labour(직접노무비)'!$C$12:$C$503,'WIP(재공품)'!B91,'Direct labour(직접노무비)'!$O$12:$O$503)</f>
        <v>13757394</v>
      </c>
      <c r="O91" s="112">
        <f>SUMIF('Overhead exp(제조경비)'!$C$12:$C$503,'WIP(재공품)'!B91,'Overhead exp(제조경비)'!$O$12:$O$503)</f>
        <v>26878349</v>
      </c>
      <c r="P91" s="112">
        <f t="shared" si="14"/>
        <v>40635743</v>
      </c>
      <c r="Q91" s="112">
        <v>0</v>
      </c>
      <c r="R91" s="112">
        <v>0</v>
      </c>
      <c r="S91" s="112">
        <f>SUMIF('JUNE (물량흐름)'!$C$13:$C$493,'WIP(재공품)'!B91,'JUNE (물량흐름)'!$T$13:$T$493)+SUMIF('JUNE (물량흐름)'!$C$13:$C$493,'WIP(재공품)'!B91,'JUNE (물량흐름)'!$U$13:$U$493)+SUMIF('JUNE (물량흐름)'!$C$13:$C$493,'WIP(재공품)'!B91,'JUNE (물량흐름)'!$V$13:$V$493)-SUMIF('JUNE (물량흐름)'!$C$13:$C$493,'WIP(재공품)'!B91,'JUNE (물량흐름)'!$Y$13:$Y$493)</f>
        <v>3994</v>
      </c>
      <c r="T91" s="112">
        <f>SUMIF('JUNE (물량흐름)'!$C$13:$C$502,'WIP(재공품)'!B91,'JUNE (물량흐름)'!$Y$13:$Y$502)</f>
        <v>7</v>
      </c>
      <c r="U91" s="167">
        <f>SUMIF('Direct labour(직접노무비)'!$C$12:$C$503,'WIP(재공품)'!B91,'Direct labour(직접노무비)'!$U$12:$U$503)+SUMIF('Overhead exp(제조경비)'!$C$12:$C$503,'WIP(재공품)'!B91,'Overhead exp(제조경비)'!$U$12:$U$503)</f>
        <v>117441</v>
      </c>
      <c r="V91" s="112">
        <f>SUMIF('Direct labour(직접노무비)'!$C$12:$C$503,'WIP(재공품)'!B91,'Direct labour(직접노무비)'!$Q$12:$Q$503)</f>
        <v>22685896</v>
      </c>
      <c r="W91" s="112">
        <f>SUMIF('Overhead exp(제조경비)'!$C$12:$C$503,'WIP(재공품)'!B91,'Overhead exp(제조경비)'!$Q$12:$Q$503)</f>
        <v>44322305</v>
      </c>
      <c r="X91" s="112">
        <f t="shared" si="15"/>
        <v>67008201</v>
      </c>
      <c r="Y91" s="112">
        <f ca="1">ROUND(SUMIF('JUNE (물량흐름)'!$C$13:$C$502,'WIP(재공품)'!B91,'JUNE (물량흐름)'!$N$13:$N$488),0)</f>
        <v>0</v>
      </c>
      <c r="Z91" s="112">
        <f>ROUND(SUMIF('JUNE (물량흐름)'!$C$13:$C$502,'WIP(재공품)'!B91,'JUNE (물량흐름)'!$O$13:$O$502),0)</f>
        <v>1</v>
      </c>
      <c r="AA91" s="112">
        <f>ROUND(SUMIF('JUNE (물량흐름)'!$C$13:$C$502,'WIP(재공품)'!B91,'JUNE (물량흐름)'!$P$13:$P$502),0)</f>
        <v>114</v>
      </c>
      <c r="AB91" s="112">
        <f t="shared" ca="1" si="16"/>
        <v>115</v>
      </c>
      <c r="AC91" s="112">
        <f t="shared" si="17"/>
        <v>1929379</v>
      </c>
      <c r="AD91" s="381">
        <f t="shared" ca="1" si="18"/>
        <v>0</v>
      </c>
      <c r="AE91" s="381">
        <f t="shared" si="19"/>
        <v>0</v>
      </c>
      <c r="AF91" s="382"/>
      <c r="AG91" s="382">
        <v>0.3</v>
      </c>
      <c r="AH91" s="383">
        <f t="shared" si="20"/>
        <v>2.14</v>
      </c>
      <c r="AJ91" s="383"/>
      <c r="AL91" s="385"/>
      <c r="AM91" s="381"/>
      <c r="AN91" s="382"/>
      <c r="AO91" s="382"/>
      <c r="AP91" s="383"/>
      <c r="AQ91" s="383"/>
    </row>
    <row r="92" spans="1:43" s="384" customFormat="1" ht="18.75" customHeight="1">
      <c r="A92" s="167">
        <v>81</v>
      </c>
      <c r="B92" s="240" t="str">
        <f>VLOOKUP(A92,'JUNE (물량흐름)'!$A$13:$C$502,3,0)</f>
        <v>7X733</v>
      </c>
      <c r="C92" s="21" t="str">
        <f>VLOOKUP(A92,'JUNE (물량흐름)'!$A$13:$C$502,2,0)</f>
        <v>ALFANI</v>
      </c>
      <c r="D92" s="212">
        <v>1.8</v>
      </c>
      <c r="E92" s="6">
        <f>VLOOKUP(B92,'Sales profit (스타일 별 매출이익)'!$D$9:$P$491,13,0)</f>
        <v>40815</v>
      </c>
      <c r="F92" s="112">
        <f>IFERROR(VLOOKUP(B92,O.B.JUNE!$N$7:$Q$448,2,0),0)</f>
        <v>0</v>
      </c>
      <c r="G92" s="112">
        <f>IFERROR(VLOOKUP(B92,O.B.JUNE!$N$7:$Q$448,3,0),0)</f>
        <v>0</v>
      </c>
      <c r="H92" s="112">
        <f>IFERROR(VLOOKUP(B92,O.B.JUNE!$N$7:$Q$448,4,0),0)</f>
        <v>65</v>
      </c>
      <c r="I92" s="112">
        <f t="shared" si="12"/>
        <v>65</v>
      </c>
      <c r="J92" s="112">
        <f>IFERROR(VLOOKUP(B92,O.B.JUNE!$AA$7:$AG$448,7,0),0)</f>
        <v>666232</v>
      </c>
      <c r="K92" s="112">
        <f>IFERROR(VLOOKUP(B92,O.B.JUNE!$AI$7:$AO$448,7,0),0)</f>
        <v>919962</v>
      </c>
      <c r="L92" s="112">
        <f t="shared" si="13"/>
        <v>1586194</v>
      </c>
      <c r="M92" s="112">
        <f>ROUND(SUMIF('JUNE (물량흐름)'!$C$13:$C$502,'WIP(재공품)'!B92,'JUNE (물량흐름)'!$H$13:$H$502)+SUMIF('JUNE (물량흐름)'!$C$13:$C$502,'WIP(재공품)'!B92,'JUNE (물량흐름)'!$V$13:$V$502),0)</f>
        <v>0</v>
      </c>
      <c r="N92" s="112">
        <f>SUMIF('Direct labour(직접노무비)'!$C$12:$C$503,'WIP(재공품)'!B92,'Direct labour(직접노무비)'!$O$12:$O$503)</f>
        <v>0</v>
      </c>
      <c r="O92" s="112">
        <f>SUMIF('Overhead exp(제조경비)'!$C$12:$C$503,'WIP(재공품)'!B92,'Overhead exp(제조경비)'!$O$12:$O$503)</f>
        <v>0</v>
      </c>
      <c r="P92" s="112">
        <f t="shared" si="14"/>
        <v>0</v>
      </c>
      <c r="Q92" s="112">
        <v>0</v>
      </c>
      <c r="R92" s="112">
        <v>0</v>
      </c>
      <c r="S92" s="112">
        <f>SUMIF('JUNE (물량흐름)'!$C$13:$C$493,'WIP(재공품)'!B92,'JUNE (물량흐름)'!$T$13:$T$493)+SUMIF('JUNE (물량흐름)'!$C$13:$C$493,'WIP(재공품)'!B92,'JUNE (물량흐름)'!$U$13:$U$493)+SUMIF('JUNE (물량흐름)'!$C$13:$C$493,'WIP(재공품)'!B92,'JUNE (물량흐름)'!$V$13:$V$493)-SUMIF('JUNE (물량흐름)'!$C$13:$C$493,'WIP(재공품)'!B92,'JUNE (물량흐름)'!$Y$13:$Y$493)</f>
        <v>65</v>
      </c>
      <c r="T92" s="112">
        <f>SUMIF('JUNE (물량흐름)'!$C$13:$C$502,'WIP(재공품)'!B92,'JUNE (물량흐름)'!$Y$13:$Y$502)</f>
        <v>0</v>
      </c>
      <c r="U92" s="167">
        <f>SUMIF('Direct labour(직접노무비)'!$C$12:$C$503,'WIP(재공품)'!B92,'Direct labour(직접노무비)'!$U$12:$U$503)+SUMIF('Overhead exp(제조경비)'!$C$12:$C$503,'WIP(재공품)'!B92,'Overhead exp(제조경비)'!$U$12:$U$503)</f>
        <v>0</v>
      </c>
      <c r="V92" s="112">
        <f>SUMIF('Direct labour(직접노무비)'!$C$12:$C$503,'WIP(재공품)'!B92,'Direct labour(직접노무비)'!$Q$12:$Q$503)</f>
        <v>666232</v>
      </c>
      <c r="W92" s="112">
        <f>SUMIF('Overhead exp(제조경비)'!$C$12:$C$503,'WIP(재공품)'!B92,'Overhead exp(제조경비)'!$Q$12:$Q$503)</f>
        <v>919962</v>
      </c>
      <c r="X92" s="112">
        <f t="shared" si="15"/>
        <v>1586194</v>
      </c>
      <c r="Y92" s="112">
        <f ca="1">ROUND(SUMIF('JUNE (물량흐름)'!$C$13:$C$502,'WIP(재공품)'!B92,'JUNE (물량흐름)'!$N$13:$N$488),0)</f>
        <v>0</v>
      </c>
      <c r="Z92" s="112">
        <f>ROUND(SUMIF('JUNE (물량흐름)'!$C$13:$C$502,'WIP(재공품)'!B92,'JUNE (물량흐름)'!$O$13:$O$502),0)</f>
        <v>0</v>
      </c>
      <c r="AA92" s="112">
        <f>ROUND(SUMIF('JUNE (물량흐름)'!$C$13:$C$502,'WIP(재공품)'!B92,'JUNE (물량흐름)'!$P$13:$P$502),0)</f>
        <v>0</v>
      </c>
      <c r="AB92" s="112">
        <f t="shared" ca="1" si="16"/>
        <v>0</v>
      </c>
      <c r="AC92" s="112">
        <f t="shared" si="17"/>
        <v>0</v>
      </c>
      <c r="AD92" s="381">
        <f t="shared" ca="1" si="18"/>
        <v>0</v>
      </c>
      <c r="AE92" s="381">
        <f t="shared" si="19"/>
        <v>0</v>
      </c>
      <c r="AF92" s="382"/>
      <c r="AG92" s="382">
        <v>0.2</v>
      </c>
      <c r="AH92" s="383">
        <f t="shared" si="20"/>
        <v>1.6</v>
      </c>
      <c r="AJ92" s="383"/>
      <c r="AL92" s="385"/>
      <c r="AM92" s="381"/>
      <c r="AN92" s="382"/>
      <c r="AO92" s="382"/>
      <c r="AP92" s="383"/>
      <c r="AQ92" s="383"/>
    </row>
    <row r="93" spans="1:43" s="384" customFormat="1" ht="18.75" customHeight="1">
      <c r="A93" s="167">
        <v>82</v>
      </c>
      <c r="B93" s="240" t="str">
        <f>VLOOKUP(A93,'JUNE (물량흐름)'!$A$13:$C$502,3,0)</f>
        <v>452172(456261)</v>
      </c>
      <c r="C93" s="21" t="str">
        <f>VLOOKUP(A93,'JUNE (물량흐름)'!$A$13:$C$502,2,0)</f>
        <v>ANN TAYLOR</v>
      </c>
      <c r="D93" s="212">
        <v>1.85</v>
      </c>
      <c r="E93" s="6">
        <f>VLOOKUP(B93,'Sales profit (스타일 별 매출이익)'!$D$9:$P$491,13,0)</f>
        <v>41948.75</v>
      </c>
      <c r="F93" s="112">
        <f>IFERROR(VLOOKUP(B93,O.B.JUNE!$N$7:$Q$448,2,0),0)</f>
        <v>0</v>
      </c>
      <c r="G93" s="112">
        <f>IFERROR(VLOOKUP(B93,O.B.JUNE!$N$7:$Q$448,3,0),0)</f>
        <v>0</v>
      </c>
      <c r="H93" s="112">
        <f>IFERROR(VLOOKUP(B93,O.B.JUNE!$N$7:$Q$448,4,0),0)</f>
        <v>329</v>
      </c>
      <c r="I93" s="112">
        <f t="shared" si="12"/>
        <v>329</v>
      </c>
      <c r="J93" s="112">
        <f>IFERROR(VLOOKUP(B93,O.B.JUNE!$AA$7:$AG$448,7,0),0)</f>
        <v>1822588</v>
      </c>
      <c r="K93" s="112">
        <f>IFERROR(VLOOKUP(B93,O.B.JUNE!$AI$7:$AO$448,7,0),0)</f>
        <v>2660817</v>
      </c>
      <c r="L93" s="112">
        <f t="shared" si="13"/>
        <v>4483405</v>
      </c>
      <c r="M93" s="112">
        <f>ROUND(SUMIF('JUNE (물량흐름)'!$C$13:$C$502,'WIP(재공품)'!B93,'JUNE (물량흐름)'!$H$13:$H$502)+SUMIF('JUNE (물량흐름)'!$C$13:$C$502,'WIP(재공품)'!B93,'JUNE (물량흐름)'!$V$13:$V$502),0)</f>
        <v>0</v>
      </c>
      <c r="N93" s="112">
        <f>SUMIF('Direct labour(직접노무비)'!$C$12:$C$503,'WIP(재공품)'!B93,'Direct labour(직접노무비)'!$O$12:$O$503)</f>
        <v>0</v>
      </c>
      <c r="O93" s="112">
        <f>SUMIF('Overhead exp(제조경비)'!$C$12:$C$503,'WIP(재공품)'!B93,'Overhead exp(제조경비)'!$O$12:$O$503)</f>
        <v>0</v>
      </c>
      <c r="P93" s="112">
        <f t="shared" si="14"/>
        <v>0</v>
      </c>
      <c r="Q93" s="112">
        <v>0</v>
      </c>
      <c r="R93" s="112">
        <v>0</v>
      </c>
      <c r="S93" s="112">
        <f>SUMIF('JUNE (물량흐름)'!$C$13:$C$493,'WIP(재공품)'!B93,'JUNE (물량흐름)'!$T$13:$T$493)+SUMIF('JUNE (물량흐름)'!$C$13:$C$493,'WIP(재공품)'!B93,'JUNE (물량흐름)'!$U$13:$U$493)+SUMIF('JUNE (물량흐름)'!$C$13:$C$493,'WIP(재공품)'!B93,'JUNE (물량흐름)'!$V$13:$V$493)-SUMIF('JUNE (물량흐름)'!$C$13:$C$493,'WIP(재공품)'!B93,'JUNE (물량흐름)'!$Y$13:$Y$493)</f>
        <v>329</v>
      </c>
      <c r="T93" s="112">
        <f>SUMIF('JUNE (물량흐름)'!$C$13:$C$502,'WIP(재공품)'!B93,'JUNE (물량흐름)'!$Y$13:$Y$502)</f>
        <v>0</v>
      </c>
      <c r="U93" s="167">
        <f>SUMIF('Direct labour(직접노무비)'!$C$12:$C$503,'WIP(재공품)'!B93,'Direct labour(직접노무비)'!$U$12:$U$503)+SUMIF('Overhead exp(제조경비)'!$C$12:$C$503,'WIP(재공품)'!B93,'Overhead exp(제조경비)'!$U$12:$U$503)</f>
        <v>0</v>
      </c>
      <c r="V93" s="112">
        <f>SUMIF('Direct labour(직접노무비)'!$C$12:$C$503,'WIP(재공품)'!B93,'Direct labour(직접노무비)'!$Q$12:$Q$503)</f>
        <v>1822588</v>
      </c>
      <c r="W93" s="112">
        <f>SUMIF('Overhead exp(제조경비)'!$C$12:$C$503,'WIP(재공품)'!B93,'Overhead exp(제조경비)'!$Q$12:$Q$503)</f>
        <v>2660817</v>
      </c>
      <c r="X93" s="112">
        <f t="shared" si="15"/>
        <v>4483405</v>
      </c>
      <c r="Y93" s="112">
        <f ca="1">ROUND(SUMIF('JUNE (물량흐름)'!$C$13:$C$502,'WIP(재공품)'!B93,'JUNE (물량흐름)'!$N$13:$N$488),0)</f>
        <v>0</v>
      </c>
      <c r="Z93" s="112">
        <f>ROUND(SUMIF('JUNE (물량흐름)'!$C$13:$C$502,'WIP(재공품)'!B93,'JUNE (물량흐름)'!$O$13:$O$502),0)</f>
        <v>0</v>
      </c>
      <c r="AA93" s="112">
        <f>ROUND(SUMIF('JUNE (물량흐름)'!$C$13:$C$502,'WIP(재공품)'!B93,'JUNE (물량흐름)'!$P$13:$P$502),0)</f>
        <v>0</v>
      </c>
      <c r="AB93" s="112">
        <f t="shared" ca="1" si="16"/>
        <v>0</v>
      </c>
      <c r="AC93" s="112">
        <f t="shared" si="17"/>
        <v>0</v>
      </c>
      <c r="AD93" s="381">
        <f t="shared" ca="1" si="18"/>
        <v>0</v>
      </c>
      <c r="AE93" s="381">
        <f t="shared" si="19"/>
        <v>0</v>
      </c>
      <c r="AF93" s="382"/>
      <c r="AG93" s="382">
        <v>0.3</v>
      </c>
      <c r="AH93" s="383">
        <f t="shared" si="20"/>
        <v>1.55</v>
      </c>
      <c r="AJ93" s="383"/>
      <c r="AL93" s="385"/>
      <c r="AM93" s="381"/>
      <c r="AN93" s="382"/>
      <c r="AO93" s="382"/>
      <c r="AP93" s="383"/>
      <c r="AQ93" s="383"/>
    </row>
    <row r="94" spans="1:43" s="384" customFormat="1" ht="18.75" customHeight="1">
      <c r="A94" s="167">
        <v>83</v>
      </c>
      <c r="B94" s="240" t="str">
        <f>VLOOKUP(A94,'JUNE (물량흐름)'!$A$13:$C$502,3,0)</f>
        <v>453516(456278)</v>
      </c>
      <c r="C94" s="21" t="str">
        <f>VLOOKUP(A94,'JUNE (물량흐름)'!$A$13:$C$502,2,0)</f>
        <v>ANN TAYLOR</v>
      </c>
      <c r="D94" s="212">
        <v>0.35</v>
      </c>
      <c r="E94" s="6">
        <f>VLOOKUP(B94,'Sales profit (스타일 별 매출이익)'!$D$9:$P$491,13,0)</f>
        <v>7936.2499999999991</v>
      </c>
      <c r="F94" s="112">
        <f>IFERROR(VLOOKUP(B94,O.B.JUNE!$N$7:$Q$448,2,0),0)</f>
        <v>0</v>
      </c>
      <c r="G94" s="112">
        <f>IFERROR(VLOOKUP(B94,O.B.JUNE!$N$7:$Q$448,3,0),0)</f>
        <v>0</v>
      </c>
      <c r="H94" s="112">
        <f>IFERROR(VLOOKUP(B94,O.B.JUNE!$N$7:$Q$448,4,0),0)</f>
        <v>440</v>
      </c>
      <c r="I94" s="112">
        <f t="shared" si="12"/>
        <v>440</v>
      </c>
      <c r="J94" s="112">
        <f>IFERROR(VLOOKUP(B94,O.B.JUNE!$AA$7:$AG$448,7,0),0)</f>
        <v>5360211</v>
      </c>
      <c r="K94" s="112">
        <f>IFERROR(VLOOKUP(B94,O.B.JUNE!$AI$7:$AO$448,7,0),0)</f>
        <v>7825432</v>
      </c>
      <c r="L94" s="112">
        <f t="shared" si="13"/>
        <v>13185643</v>
      </c>
      <c r="M94" s="112">
        <f>ROUND(SUMIF('JUNE (물량흐름)'!$C$13:$C$502,'WIP(재공품)'!B94,'JUNE (물량흐름)'!$H$13:$H$502)+SUMIF('JUNE (물량흐름)'!$C$13:$C$502,'WIP(재공품)'!B94,'JUNE (물량흐름)'!$V$13:$V$502),0)</f>
        <v>0</v>
      </c>
      <c r="N94" s="112">
        <f>SUMIF('Direct labour(직접노무비)'!$C$12:$C$503,'WIP(재공품)'!B94,'Direct labour(직접노무비)'!$O$12:$O$503)</f>
        <v>0</v>
      </c>
      <c r="O94" s="112">
        <f>SUMIF('Overhead exp(제조경비)'!$C$12:$C$503,'WIP(재공품)'!B94,'Overhead exp(제조경비)'!$O$12:$O$503)</f>
        <v>0</v>
      </c>
      <c r="P94" s="112">
        <f t="shared" si="14"/>
        <v>0</v>
      </c>
      <c r="Q94" s="112">
        <v>0</v>
      </c>
      <c r="R94" s="112">
        <v>0</v>
      </c>
      <c r="S94" s="112">
        <f>SUMIF('JUNE (물량흐름)'!$C$13:$C$493,'WIP(재공품)'!B94,'JUNE (물량흐름)'!$T$13:$T$493)+SUMIF('JUNE (물량흐름)'!$C$13:$C$493,'WIP(재공품)'!B94,'JUNE (물량흐름)'!$U$13:$U$493)+SUMIF('JUNE (물량흐름)'!$C$13:$C$493,'WIP(재공품)'!B94,'JUNE (물량흐름)'!$V$13:$V$493)-SUMIF('JUNE (물량흐름)'!$C$13:$C$493,'WIP(재공품)'!B94,'JUNE (물량흐름)'!$Y$13:$Y$493)</f>
        <v>440</v>
      </c>
      <c r="T94" s="112">
        <f>SUMIF('JUNE (물량흐름)'!$C$13:$C$502,'WIP(재공품)'!B94,'JUNE (물량흐름)'!$Y$13:$Y$502)</f>
        <v>0</v>
      </c>
      <c r="U94" s="167">
        <f>SUMIF('Direct labour(직접노무비)'!$C$12:$C$503,'WIP(재공품)'!B94,'Direct labour(직접노무비)'!$U$12:$U$503)+SUMIF('Overhead exp(제조경비)'!$C$12:$C$503,'WIP(재공품)'!B94,'Overhead exp(제조경비)'!$U$12:$U$503)</f>
        <v>0</v>
      </c>
      <c r="V94" s="112">
        <f>SUMIF('Direct labour(직접노무비)'!$C$12:$C$503,'WIP(재공품)'!B94,'Direct labour(직접노무비)'!$Q$12:$Q$503)</f>
        <v>5360211</v>
      </c>
      <c r="W94" s="112">
        <f>SUMIF('Overhead exp(제조경비)'!$C$12:$C$503,'WIP(재공품)'!B94,'Overhead exp(제조경비)'!$Q$12:$Q$503)</f>
        <v>7825432</v>
      </c>
      <c r="X94" s="112">
        <f t="shared" si="15"/>
        <v>13185643</v>
      </c>
      <c r="Y94" s="112">
        <f ca="1">ROUND(SUMIF('JUNE (물량흐름)'!$C$13:$C$502,'WIP(재공품)'!B94,'JUNE (물량흐름)'!$N$13:$N$488),0)</f>
        <v>0</v>
      </c>
      <c r="Z94" s="112">
        <f>ROUND(SUMIF('JUNE (물량흐름)'!$C$13:$C$502,'WIP(재공품)'!B94,'JUNE (물량흐름)'!$O$13:$O$502),0)</f>
        <v>0</v>
      </c>
      <c r="AA94" s="112">
        <f>ROUND(SUMIF('JUNE (물량흐름)'!$C$13:$C$502,'WIP(재공품)'!B94,'JUNE (물량흐름)'!$P$13:$P$502),0)</f>
        <v>0</v>
      </c>
      <c r="AB94" s="112">
        <f t="shared" ca="1" si="16"/>
        <v>0</v>
      </c>
      <c r="AC94" s="112">
        <f t="shared" si="17"/>
        <v>0</v>
      </c>
      <c r="AD94" s="381">
        <f t="shared" ca="1" si="18"/>
        <v>0</v>
      </c>
      <c r="AE94" s="381">
        <f t="shared" si="19"/>
        <v>0</v>
      </c>
      <c r="AF94" s="382"/>
      <c r="AG94" s="382">
        <v>0.3</v>
      </c>
      <c r="AH94" s="383">
        <f t="shared" si="20"/>
        <v>4.9999999999999989E-2</v>
      </c>
      <c r="AJ94" s="383"/>
      <c r="AL94" s="385"/>
      <c r="AM94" s="381"/>
      <c r="AN94" s="382"/>
      <c r="AO94" s="382"/>
      <c r="AP94" s="383"/>
      <c r="AQ94" s="383"/>
    </row>
    <row r="95" spans="1:43" s="384" customFormat="1" ht="18.75" customHeight="1">
      <c r="A95" s="167">
        <v>84</v>
      </c>
      <c r="B95" s="240">
        <f>VLOOKUP(A95,'JUNE (물량흐름)'!$A$13:$C$502,3,0)</f>
        <v>453609</v>
      </c>
      <c r="C95" s="21" t="str">
        <f>VLOOKUP(A95,'JUNE (물량흐름)'!$A$13:$C$502,2,0)</f>
        <v>ANN TAYLOR</v>
      </c>
      <c r="D95" s="212">
        <v>1.1000000000000001</v>
      </c>
      <c r="E95" s="6">
        <f>VLOOKUP(B95,'Sales profit (스타일 별 매출이익)'!$D$9:$P$491,13,0)</f>
        <v>24942.500000000004</v>
      </c>
      <c r="F95" s="112">
        <f>IFERROR(VLOOKUP(B95,O.B.JUNE!$N$7:$Q$448,2,0),0)</f>
        <v>0</v>
      </c>
      <c r="G95" s="112">
        <f>IFERROR(VLOOKUP(B95,O.B.JUNE!$N$7:$Q$448,3,0),0)</f>
        <v>0</v>
      </c>
      <c r="H95" s="112">
        <f>IFERROR(VLOOKUP(B95,O.B.JUNE!$N$7:$Q$448,4,0),0)</f>
        <v>121</v>
      </c>
      <c r="I95" s="112">
        <f t="shared" si="12"/>
        <v>121</v>
      </c>
      <c r="J95" s="112">
        <f>IFERROR(VLOOKUP(B95,O.B.JUNE!$AA$7:$AG$448,7,0),0)</f>
        <v>1478207</v>
      </c>
      <c r="K95" s="112">
        <f>IFERROR(VLOOKUP(B95,O.B.JUNE!$AI$7:$AO$448,7,0),0)</f>
        <v>2158052</v>
      </c>
      <c r="L95" s="112">
        <f t="shared" si="13"/>
        <v>3636259</v>
      </c>
      <c r="M95" s="112">
        <f>ROUND(SUMIF('JUNE (물량흐름)'!$C$13:$C$502,'WIP(재공품)'!B95,'JUNE (물량흐름)'!$H$13:$H$502)+SUMIF('JUNE (물량흐름)'!$C$13:$C$502,'WIP(재공품)'!B95,'JUNE (물량흐름)'!$V$13:$V$502),0)</f>
        <v>0</v>
      </c>
      <c r="N95" s="112">
        <f>SUMIF('Direct labour(직접노무비)'!$C$12:$C$503,'WIP(재공품)'!B95,'Direct labour(직접노무비)'!$O$12:$O$503)</f>
        <v>0</v>
      </c>
      <c r="O95" s="112">
        <f>SUMIF('Overhead exp(제조경비)'!$C$12:$C$503,'WIP(재공품)'!B95,'Overhead exp(제조경비)'!$O$12:$O$503)</f>
        <v>0</v>
      </c>
      <c r="P95" s="112">
        <f t="shared" si="14"/>
        <v>0</v>
      </c>
      <c r="Q95" s="112">
        <v>0</v>
      </c>
      <c r="R95" s="112">
        <v>0</v>
      </c>
      <c r="S95" s="112">
        <f>SUMIF('JUNE (물량흐름)'!$C$13:$C$493,'WIP(재공품)'!B95,'JUNE (물량흐름)'!$T$13:$T$493)+SUMIF('JUNE (물량흐름)'!$C$13:$C$493,'WIP(재공품)'!B95,'JUNE (물량흐름)'!$U$13:$U$493)+SUMIF('JUNE (물량흐름)'!$C$13:$C$493,'WIP(재공품)'!B95,'JUNE (물량흐름)'!$V$13:$V$493)-SUMIF('JUNE (물량흐름)'!$C$13:$C$493,'WIP(재공품)'!B95,'JUNE (물량흐름)'!$Y$13:$Y$493)</f>
        <v>121</v>
      </c>
      <c r="T95" s="112">
        <f>SUMIF('JUNE (물량흐름)'!$C$13:$C$502,'WIP(재공품)'!B95,'JUNE (물량흐름)'!$Y$13:$Y$502)</f>
        <v>0</v>
      </c>
      <c r="U95" s="167">
        <f>SUMIF('Direct labour(직접노무비)'!$C$12:$C$503,'WIP(재공품)'!B95,'Direct labour(직접노무비)'!$U$12:$U$503)+SUMIF('Overhead exp(제조경비)'!$C$12:$C$503,'WIP(재공품)'!B95,'Overhead exp(제조경비)'!$U$12:$U$503)</f>
        <v>0</v>
      </c>
      <c r="V95" s="112">
        <f>SUMIF('Direct labour(직접노무비)'!$C$12:$C$503,'WIP(재공품)'!B95,'Direct labour(직접노무비)'!$Q$12:$Q$503)</f>
        <v>1478207</v>
      </c>
      <c r="W95" s="112">
        <f>SUMIF('Overhead exp(제조경비)'!$C$12:$C$503,'WIP(재공품)'!B95,'Overhead exp(제조경비)'!$Q$12:$Q$503)</f>
        <v>2158052</v>
      </c>
      <c r="X95" s="112">
        <f t="shared" si="15"/>
        <v>3636259</v>
      </c>
      <c r="Y95" s="112">
        <f ca="1">ROUND(SUMIF('JUNE (물량흐름)'!$C$13:$C$502,'WIP(재공품)'!B95,'JUNE (물량흐름)'!$N$13:$N$488),0)</f>
        <v>0</v>
      </c>
      <c r="Z95" s="112">
        <f>ROUND(SUMIF('JUNE (물량흐름)'!$C$13:$C$502,'WIP(재공품)'!B95,'JUNE (물량흐름)'!$O$13:$O$502),0)</f>
        <v>0</v>
      </c>
      <c r="AA95" s="112">
        <f>ROUND(SUMIF('JUNE (물량흐름)'!$C$13:$C$502,'WIP(재공품)'!B95,'JUNE (물량흐름)'!$P$13:$P$502),0)</f>
        <v>0</v>
      </c>
      <c r="AB95" s="112">
        <f t="shared" ca="1" si="16"/>
        <v>0</v>
      </c>
      <c r="AC95" s="112">
        <f t="shared" si="17"/>
        <v>0</v>
      </c>
      <c r="AD95" s="381">
        <f t="shared" ca="1" si="18"/>
        <v>0</v>
      </c>
      <c r="AE95" s="381">
        <f t="shared" si="19"/>
        <v>0</v>
      </c>
      <c r="AF95" s="382"/>
      <c r="AG95" s="382">
        <v>0.3</v>
      </c>
      <c r="AH95" s="383">
        <f t="shared" si="20"/>
        <v>0.8</v>
      </c>
      <c r="AJ95" s="383"/>
      <c r="AL95" s="385"/>
      <c r="AM95" s="381"/>
      <c r="AN95" s="382"/>
      <c r="AO95" s="382"/>
      <c r="AP95" s="383"/>
      <c r="AQ95" s="383"/>
    </row>
    <row r="96" spans="1:43" s="384" customFormat="1" ht="18.75" customHeight="1">
      <c r="A96" s="167">
        <v>85</v>
      </c>
      <c r="B96" s="240">
        <f>VLOOKUP(A96,'JUNE (물량흐름)'!$A$13:$C$502,3,0)</f>
        <v>455129</v>
      </c>
      <c r="C96" s="21" t="str">
        <f>VLOOKUP(A96,'JUNE (물량흐름)'!$A$13:$C$502,2,0)</f>
        <v>ANN TAYLOR</v>
      </c>
      <c r="D96" s="212">
        <v>0.35</v>
      </c>
      <c r="E96" s="6">
        <f>VLOOKUP(B96,'Sales profit (스타일 별 매출이익)'!$D$9:$P$491,13,0)</f>
        <v>7936.2499999999991</v>
      </c>
      <c r="F96" s="112">
        <f>IFERROR(VLOOKUP(B96,O.B.JUNE!$N$7:$Q$448,2,0),0)</f>
        <v>0</v>
      </c>
      <c r="G96" s="112">
        <f>IFERROR(VLOOKUP(B96,O.B.JUNE!$N$7:$Q$448,3,0),0)</f>
        <v>0</v>
      </c>
      <c r="H96" s="112">
        <f>IFERROR(VLOOKUP(B96,O.B.JUNE!$N$7:$Q$448,4,0),0)</f>
        <v>97</v>
      </c>
      <c r="I96" s="112">
        <f t="shared" si="12"/>
        <v>97</v>
      </c>
      <c r="J96" s="112">
        <f>IFERROR(VLOOKUP(B96,O.B.JUNE!$AA$7:$AG$448,7,0),0)</f>
        <v>1450160</v>
      </c>
      <c r="K96" s="112">
        <f>IFERROR(VLOOKUP(B96,O.B.JUNE!$AI$7:$AO$448,7,0),0)</f>
        <v>2117104</v>
      </c>
      <c r="L96" s="112">
        <f t="shared" si="13"/>
        <v>3567264</v>
      </c>
      <c r="M96" s="112">
        <f>ROUND(SUMIF('JUNE (물량흐름)'!$C$13:$C$502,'WIP(재공품)'!B96,'JUNE (물량흐름)'!$H$13:$H$502)+SUMIF('JUNE (물량흐름)'!$C$13:$C$502,'WIP(재공품)'!B96,'JUNE (물량흐름)'!$V$13:$V$502),0)</f>
        <v>0</v>
      </c>
      <c r="N96" s="112">
        <f>SUMIF('Direct labour(직접노무비)'!$C$12:$C$503,'WIP(재공품)'!B96,'Direct labour(직접노무비)'!$O$12:$O$503)</f>
        <v>0</v>
      </c>
      <c r="O96" s="112">
        <f>SUMIF('Overhead exp(제조경비)'!$C$12:$C$503,'WIP(재공품)'!B96,'Overhead exp(제조경비)'!$O$12:$O$503)</f>
        <v>0</v>
      </c>
      <c r="P96" s="112">
        <f t="shared" si="14"/>
        <v>0</v>
      </c>
      <c r="Q96" s="112">
        <v>0</v>
      </c>
      <c r="R96" s="112">
        <v>0</v>
      </c>
      <c r="S96" s="112">
        <f>SUMIF('JUNE (물량흐름)'!$C$13:$C$493,'WIP(재공품)'!B96,'JUNE (물량흐름)'!$T$13:$T$493)+SUMIF('JUNE (물량흐름)'!$C$13:$C$493,'WIP(재공품)'!B96,'JUNE (물량흐름)'!$U$13:$U$493)+SUMIF('JUNE (물량흐름)'!$C$13:$C$493,'WIP(재공품)'!B96,'JUNE (물량흐름)'!$V$13:$V$493)-SUMIF('JUNE (물량흐름)'!$C$13:$C$493,'WIP(재공품)'!B96,'JUNE (물량흐름)'!$Y$13:$Y$493)</f>
        <v>97</v>
      </c>
      <c r="T96" s="112">
        <f>SUMIF('JUNE (물량흐름)'!$C$13:$C$502,'WIP(재공품)'!B96,'JUNE (물량흐름)'!$Y$13:$Y$502)</f>
        <v>0</v>
      </c>
      <c r="U96" s="167">
        <f>SUMIF('Direct labour(직접노무비)'!$C$12:$C$503,'WIP(재공품)'!B96,'Direct labour(직접노무비)'!$U$12:$U$503)+SUMIF('Overhead exp(제조경비)'!$C$12:$C$503,'WIP(재공품)'!B96,'Overhead exp(제조경비)'!$U$12:$U$503)</f>
        <v>0</v>
      </c>
      <c r="V96" s="112">
        <f>SUMIF('Direct labour(직접노무비)'!$C$12:$C$503,'WIP(재공품)'!B96,'Direct labour(직접노무비)'!$Q$12:$Q$503)</f>
        <v>1450160</v>
      </c>
      <c r="W96" s="112">
        <f>SUMIF('Overhead exp(제조경비)'!$C$12:$C$503,'WIP(재공품)'!B96,'Overhead exp(제조경비)'!$Q$12:$Q$503)</f>
        <v>2117104</v>
      </c>
      <c r="X96" s="112">
        <f t="shared" si="15"/>
        <v>3567264</v>
      </c>
      <c r="Y96" s="112">
        <f ca="1">ROUND(SUMIF('JUNE (물량흐름)'!$C$13:$C$502,'WIP(재공품)'!B96,'JUNE (물량흐름)'!$N$13:$N$488),0)</f>
        <v>0</v>
      </c>
      <c r="Z96" s="112">
        <f>ROUND(SUMIF('JUNE (물량흐름)'!$C$13:$C$502,'WIP(재공품)'!B96,'JUNE (물량흐름)'!$O$13:$O$502),0)</f>
        <v>0</v>
      </c>
      <c r="AA96" s="112">
        <f>ROUND(SUMIF('JUNE (물량흐름)'!$C$13:$C$502,'WIP(재공품)'!B96,'JUNE (물량흐름)'!$P$13:$P$502),0)</f>
        <v>0</v>
      </c>
      <c r="AB96" s="112">
        <f t="shared" ca="1" si="16"/>
        <v>0</v>
      </c>
      <c r="AC96" s="112">
        <f t="shared" si="17"/>
        <v>0</v>
      </c>
      <c r="AD96" s="381">
        <f t="shared" ca="1" si="18"/>
        <v>0</v>
      </c>
      <c r="AE96" s="381">
        <f t="shared" si="19"/>
        <v>0</v>
      </c>
      <c r="AF96" s="382"/>
      <c r="AG96" s="382">
        <v>0</v>
      </c>
      <c r="AH96" s="383">
        <f t="shared" si="20"/>
        <v>0.35</v>
      </c>
      <c r="AJ96" s="383"/>
      <c r="AL96" s="385"/>
      <c r="AM96" s="381"/>
      <c r="AN96" s="382"/>
      <c r="AO96" s="382"/>
      <c r="AP96" s="383"/>
      <c r="AQ96" s="383"/>
    </row>
    <row r="97" spans="1:43" s="384" customFormat="1" ht="18.75" customHeight="1">
      <c r="A97" s="167">
        <v>86</v>
      </c>
      <c r="B97" s="240">
        <f>VLOOKUP(A97,'JUNE (물량흐름)'!$A$13:$C$502,3,0)</f>
        <v>455571</v>
      </c>
      <c r="C97" s="21" t="str">
        <f>VLOOKUP(A97,'JUNE (물량흐름)'!$A$13:$C$502,2,0)</f>
        <v>ANN TAYLOR</v>
      </c>
      <c r="D97" s="212">
        <v>0.35</v>
      </c>
      <c r="E97" s="6">
        <f>VLOOKUP(B97,'Sales profit (스타일 별 매출이익)'!$D$9:$P$491,13,0)</f>
        <v>7936.2499999999991</v>
      </c>
      <c r="F97" s="112">
        <f>IFERROR(VLOOKUP(B97,O.B.JUNE!$N$7:$Q$448,2,0),0)</f>
        <v>0</v>
      </c>
      <c r="G97" s="112">
        <f>IFERROR(VLOOKUP(B97,O.B.JUNE!$N$7:$Q$448,3,0),0)</f>
        <v>0</v>
      </c>
      <c r="H97" s="112">
        <f>IFERROR(VLOOKUP(B97,O.B.JUNE!$N$7:$Q$448,4,0),0)</f>
        <v>491</v>
      </c>
      <c r="I97" s="112">
        <f t="shared" si="12"/>
        <v>491</v>
      </c>
      <c r="J97" s="112">
        <f>IFERROR(VLOOKUP(B97,O.B.JUNE!$AA$7:$AG$448,7,0),0)</f>
        <v>6734967</v>
      </c>
      <c r="K97" s="112">
        <f>IFERROR(VLOOKUP(B97,O.B.JUNE!$AI$7:$AO$448,7,0),0)</f>
        <v>10314048</v>
      </c>
      <c r="L97" s="112">
        <f t="shared" si="13"/>
        <v>17049015</v>
      </c>
      <c r="M97" s="112">
        <f>ROUND(SUMIF('JUNE (물량흐름)'!$C$13:$C$502,'WIP(재공품)'!B97,'JUNE (물량흐름)'!$H$13:$H$502)+SUMIF('JUNE (물량흐름)'!$C$13:$C$502,'WIP(재공품)'!B97,'JUNE (물량흐름)'!$V$13:$V$502),0)</f>
        <v>0</v>
      </c>
      <c r="N97" s="112">
        <f>SUMIF('Direct labour(직접노무비)'!$C$12:$C$503,'WIP(재공품)'!B97,'Direct labour(직접노무비)'!$O$12:$O$503)</f>
        <v>0</v>
      </c>
      <c r="O97" s="112">
        <f>SUMIF('Overhead exp(제조경비)'!$C$12:$C$503,'WIP(재공품)'!B97,'Overhead exp(제조경비)'!$O$12:$O$503)</f>
        <v>0</v>
      </c>
      <c r="P97" s="112">
        <f t="shared" si="14"/>
        <v>0</v>
      </c>
      <c r="Q97" s="112">
        <v>0</v>
      </c>
      <c r="R97" s="112">
        <v>0</v>
      </c>
      <c r="S97" s="112">
        <f>SUMIF('JUNE (물량흐름)'!$C$13:$C$493,'WIP(재공품)'!B97,'JUNE (물량흐름)'!$T$13:$T$493)+SUMIF('JUNE (물량흐름)'!$C$13:$C$493,'WIP(재공품)'!B97,'JUNE (물량흐름)'!$U$13:$U$493)+SUMIF('JUNE (물량흐름)'!$C$13:$C$493,'WIP(재공품)'!B97,'JUNE (물량흐름)'!$V$13:$V$493)-SUMIF('JUNE (물량흐름)'!$C$13:$C$493,'WIP(재공품)'!B97,'JUNE (물량흐름)'!$Y$13:$Y$493)</f>
        <v>491</v>
      </c>
      <c r="T97" s="112">
        <f>SUMIF('JUNE (물량흐름)'!$C$13:$C$502,'WIP(재공품)'!B97,'JUNE (물량흐름)'!$Y$13:$Y$502)</f>
        <v>0</v>
      </c>
      <c r="U97" s="167">
        <f>SUMIF('Direct labour(직접노무비)'!$C$12:$C$503,'WIP(재공품)'!B97,'Direct labour(직접노무비)'!$U$12:$U$503)+SUMIF('Overhead exp(제조경비)'!$C$12:$C$503,'WIP(재공품)'!B97,'Overhead exp(제조경비)'!$U$12:$U$503)</f>
        <v>0</v>
      </c>
      <c r="V97" s="112">
        <f>SUMIF('Direct labour(직접노무비)'!$C$12:$C$503,'WIP(재공품)'!B97,'Direct labour(직접노무비)'!$Q$12:$Q$503)</f>
        <v>6734967</v>
      </c>
      <c r="W97" s="112">
        <f>SUMIF('Overhead exp(제조경비)'!$C$12:$C$503,'WIP(재공품)'!B97,'Overhead exp(제조경비)'!$Q$12:$Q$503)</f>
        <v>10314048</v>
      </c>
      <c r="X97" s="112">
        <f t="shared" si="15"/>
        <v>17049015</v>
      </c>
      <c r="Y97" s="112">
        <f ca="1">ROUND(SUMIF('JUNE (물량흐름)'!$C$13:$C$502,'WIP(재공품)'!B97,'JUNE (물량흐름)'!$N$13:$N$488),0)</f>
        <v>0</v>
      </c>
      <c r="Z97" s="112">
        <f>ROUND(SUMIF('JUNE (물량흐름)'!$C$13:$C$502,'WIP(재공품)'!B97,'JUNE (물량흐름)'!$O$13:$O$502),0)</f>
        <v>0</v>
      </c>
      <c r="AA97" s="112">
        <f>ROUND(SUMIF('JUNE (물량흐름)'!$C$13:$C$502,'WIP(재공품)'!B97,'JUNE (물량흐름)'!$P$13:$P$502),0)</f>
        <v>0</v>
      </c>
      <c r="AB97" s="112">
        <f t="shared" ca="1" si="16"/>
        <v>0</v>
      </c>
      <c r="AC97" s="112">
        <f t="shared" si="17"/>
        <v>0</v>
      </c>
      <c r="AD97" s="381">
        <f t="shared" ca="1" si="18"/>
        <v>0</v>
      </c>
      <c r="AE97" s="381">
        <f t="shared" si="19"/>
        <v>0</v>
      </c>
      <c r="AF97" s="382"/>
      <c r="AG97" s="382">
        <v>0.3</v>
      </c>
      <c r="AH97" s="383">
        <f t="shared" si="20"/>
        <v>4.9999999999999989E-2</v>
      </c>
      <c r="AJ97" s="383"/>
      <c r="AL97" s="385"/>
      <c r="AM97" s="381"/>
      <c r="AN97" s="382"/>
      <c r="AO97" s="382"/>
      <c r="AP97" s="383"/>
      <c r="AQ97" s="383"/>
    </row>
    <row r="98" spans="1:43" s="384" customFormat="1" ht="18.75" customHeight="1">
      <c r="A98" s="167">
        <v>87</v>
      </c>
      <c r="B98" s="240" t="str">
        <f>VLOOKUP(A98,'JUNE (물량흐름)'!$A$13:$C$502,3,0)</f>
        <v>456532(456692)</v>
      </c>
      <c r="C98" s="21" t="str">
        <f>VLOOKUP(A98,'JUNE (물량흐름)'!$A$13:$C$502,2,0)</f>
        <v>ANN TAYLOR</v>
      </c>
      <c r="D98" s="212">
        <v>0.35</v>
      </c>
      <c r="E98" s="6">
        <f>VLOOKUP(B98,'Sales profit (스타일 별 매출이익)'!$D$9:$P$491,13,0)</f>
        <v>7936.2499999999991</v>
      </c>
      <c r="F98" s="112">
        <f>IFERROR(VLOOKUP(B98,O.B.JUNE!$N$7:$Q$448,2,0),0)</f>
        <v>0</v>
      </c>
      <c r="G98" s="112">
        <f>IFERROR(VLOOKUP(B98,O.B.JUNE!$N$7:$Q$448,3,0),0)</f>
        <v>0</v>
      </c>
      <c r="H98" s="112">
        <f>IFERROR(VLOOKUP(B98,O.B.JUNE!$N$7:$Q$448,4,0),0)</f>
        <v>143</v>
      </c>
      <c r="I98" s="112">
        <f t="shared" si="12"/>
        <v>143</v>
      </c>
      <c r="J98" s="112">
        <f>IFERROR(VLOOKUP(B98,O.B.JUNE!$AA$7:$AG$448,7,0),0)</f>
        <v>1734615</v>
      </c>
      <c r="K98" s="112">
        <f>IFERROR(VLOOKUP(B98,O.B.JUNE!$AI$7:$AO$448,7,0),0)</f>
        <v>2532384</v>
      </c>
      <c r="L98" s="112">
        <f t="shared" si="13"/>
        <v>4266999</v>
      </c>
      <c r="M98" s="112">
        <f>ROUND(SUMIF('JUNE (물량흐름)'!$C$13:$C$502,'WIP(재공품)'!B98,'JUNE (물량흐름)'!$H$13:$H$502)+SUMIF('JUNE (물량흐름)'!$C$13:$C$502,'WIP(재공품)'!B98,'JUNE (물량흐름)'!$V$13:$V$502),0)</f>
        <v>0</v>
      </c>
      <c r="N98" s="112">
        <f>SUMIF('Direct labour(직접노무비)'!$C$12:$C$503,'WIP(재공품)'!B98,'Direct labour(직접노무비)'!$O$12:$O$503)</f>
        <v>0</v>
      </c>
      <c r="O98" s="112">
        <f>SUMIF('Overhead exp(제조경비)'!$C$12:$C$503,'WIP(재공품)'!B98,'Overhead exp(제조경비)'!$O$12:$O$503)</f>
        <v>0</v>
      </c>
      <c r="P98" s="112">
        <f t="shared" si="14"/>
        <v>0</v>
      </c>
      <c r="Q98" s="112">
        <v>0</v>
      </c>
      <c r="R98" s="112">
        <v>0</v>
      </c>
      <c r="S98" s="112">
        <f>SUMIF('JUNE (물량흐름)'!$C$13:$C$493,'WIP(재공품)'!B98,'JUNE (물량흐름)'!$T$13:$T$493)+SUMIF('JUNE (물량흐름)'!$C$13:$C$493,'WIP(재공품)'!B98,'JUNE (물량흐름)'!$U$13:$U$493)+SUMIF('JUNE (물량흐름)'!$C$13:$C$493,'WIP(재공품)'!B98,'JUNE (물량흐름)'!$V$13:$V$493)-SUMIF('JUNE (물량흐름)'!$C$13:$C$493,'WIP(재공품)'!B98,'JUNE (물량흐름)'!$Y$13:$Y$493)</f>
        <v>143</v>
      </c>
      <c r="T98" s="112">
        <f>SUMIF('JUNE (물량흐름)'!$C$13:$C$502,'WIP(재공품)'!B98,'JUNE (물량흐름)'!$Y$13:$Y$502)</f>
        <v>0</v>
      </c>
      <c r="U98" s="167">
        <f>SUMIF('Direct labour(직접노무비)'!$C$12:$C$503,'WIP(재공품)'!B98,'Direct labour(직접노무비)'!$U$12:$U$503)+SUMIF('Overhead exp(제조경비)'!$C$12:$C$503,'WIP(재공품)'!B98,'Overhead exp(제조경비)'!$U$12:$U$503)</f>
        <v>0</v>
      </c>
      <c r="V98" s="112">
        <f>SUMIF('Direct labour(직접노무비)'!$C$12:$C$503,'WIP(재공품)'!B98,'Direct labour(직접노무비)'!$Q$12:$Q$503)</f>
        <v>1734615</v>
      </c>
      <c r="W98" s="112">
        <f>SUMIF('Overhead exp(제조경비)'!$C$12:$C$503,'WIP(재공품)'!B98,'Overhead exp(제조경비)'!$Q$12:$Q$503)</f>
        <v>2532384</v>
      </c>
      <c r="X98" s="112">
        <f t="shared" si="15"/>
        <v>4266999</v>
      </c>
      <c r="Y98" s="112">
        <f ca="1">ROUND(SUMIF('JUNE (물량흐름)'!$C$13:$C$502,'WIP(재공품)'!B98,'JUNE (물량흐름)'!$N$13:$N$488),0)</f>
        <v>0</v>
      </c>
      <c r="Z98" s="112">
        <f>ROUND(SUMIF('JUNE (물량흐름)'!$C$13:$C$502,'WIP(재공품)'!B98,'JUNE (물량흐름)'!$O$13:$O$502),0)</f>
        <v>0</v>
      </c>
      <c r="AA98" s="112">
        <f>ROUND(SUMIF('JUNE (물량흐름)'!$C$13:$C$502,'WIP(재공품)'!B98,'JUNE (물량흐름)'!$P$13:$P$502),0)</f>
        <v>0</v>
      </c>
      <c r="AB98" s="112">
        <f t="shared" ca="1" si="16"/>
        <v>0</v>
      </c>
      <c r="AC98" s="112">
        <f t="shared" si="17"/>
        <v>0</v>
      </c>
      <c r="AD98" s="381">
        <f t="shared" ca="1" si="18"/>
        <v>0</v>
      </c>
      <c r="AE98" s="381">
        <f t="shared" si="19"/>
        <v>0</v>
      </c>
      <c r="AF98" s="382"/>
      <c r="AG98" s="382">
        <v>0.3</v>
      </c>
      <c r="AH98" s="383">
        <f t="shared" si="20"/>
        <v>4.9999999999999989E-2</v>
      </c>
      <c r="AJ98" s="383"/>
      <c r="AL98" s="385"/>
      <c r="AM98" s="381"/>
      <c r="AN98" s="382"/>
      <c r="AO98" s="382"/>
      <c r="AP98" s="383"/>
      <c r="AQ98" s="383"/>
    </row>
    <row r="99" spans="1:43" s="384" customFormat="1" ht="18.75" customHeight="1">
      <c r="A99" s="167">
        <v>88</v>
      </c>
      <c r="B99" s="240" t="str">
        <f>VLOOKUP(A99,'JUNE (물량흐름)'!$A$13:$C$502,3,0)</f>
        <v>KCL0026</v>
      </c>
      <c r="C99" s="21" t="str">
        <f>VLOOKUP(A99,'JUNE (물량흐름)'!$A$13:$C$502,2,0)</f>
        <v>BUFFALO</v>
      </c>
      <c r="D99" s="212">
        <v>0.36</v>
      </c>
      <c r="E99" s="6">
        <f>VLOOKUP(B99,'Sales profit (스타일 별 매출이익)'!$D$9:$P$491,13,0)</f>
        <v>8163</v>
      </c>
      <c r="F99" s="112">
        <f>IFERROR(VLOOKUP(B99,O.B.JUNE!$N$7:$Q$448,2,0),0)</f>
        <v>0</v>
      </c>
      <c r="G99" s="112">
        <f>IFERROR(VLOOKUP(B99,O.B.JUNE!$N$7:$Q$448,3,0),0)</f>
        <v>0</v>
      </c>
      <c r="H99" s="112">
        <f>IFERROR(VLOOKUP(B99,O.B.JUNE!$N$7:$Q$448,4,0),0)</f>
        <v>36</v>
      </c>
      <c r="I99" s="112">
        <f t="shared" si="12"/>
        <v>36</v>
      </c>
      <c r="J99" s="112">
        <f>IFERROR(VLOOKUP(B99,O.B.JUNE!$AA$7:$AG$448,7,0),0)</f>
        <v>226859</v>
      </c>
      <c r="K99" s="112">
        <f>IFERROR(VLOOKUP(B99,O.B.JUNE!$AI$7:$AO$448,7,0),0)</f>
        <v>331194</v>
      </c>
      <c r="L99" s="112">
        <f t="shared" si="13"/>
        <v>558053</v>
      </c>
      <c r="M99" s="112">
        <f>ROUND(SUMIF('JUNE (물량흐름)'!$C$13:$C$502,'WIP(재공품)'!B99,'JUNE (물량흐름)'!$H$13:$H$502)+SUMIF('JUNE (물량흐름)'!$C$13:$C$502,'WIP(재공품)'!B99,'JUNE (물량흐름)'!$V$13:$V$502),0)</f>
        <v>0</v>
      </c>
      <c r="N99" s="112">
        <f>SUMIF('Direct labour(직접노무비)'!$C$12:$C$503,'WIP(재공품)'!B99,'Direct labour(직접노무비)'!$O$12:$O$503)</f>
        <v>0</v>
      </c>
      <c r="O99" s="112">
        <f>SUMIF('Overhead exp(제조경비)'!$C$12:$C$503,'WIP(재공품)'!B99,'Overhead exp(제조경비)'!$O$12:$O$503)</f>
        <v>0</v>
      </c>
      <c r="P99" s="112">
        <f t="shared" si="14"/>
        <v>0</v>
      </c>
      <c r="Q99" s="112">
        <v>0</v>
      </c>
      <c r="R99" s="112">
        <v>0</v>
      </c>
      <c r="S99" s="112">
        <f>SUMIF('JUNE (물량흐름)'!$C$13:$C$493,'WIP(재공품)'!B99,'JUNE (물량흐름)'!$T$13:$T$493)+SUMIF('JUNE (물량흐름)'!$C$13:$C$493,'WIP(재공품)'!B99,'JUNE (물량흐름)'!$U$13:$U$493)+SUMIF('JUNE (물량흐름)'!$C$13:$C$493,'WIP(재공품)'!B99,'JUNE (물량흐름)'!$V$13:$V$493)-SUMIF('JUNE (물량흐름)'!$C$13:$C$493,'WIP(재공품)'!B99,'JUNE (물량흐름)'!$Y$13:$Y$493)</f>
        <v>36</v>
      </c>
      <c r="T99" s="112">
        <f>SUMIF('JUNE (물량흐름)'!$C$13:$C$502,'WIP(재공품)'!B99,'JUNE (물량흐름)'!$Y$13:$Y$502)</f>
        <v>0</v>
      </c>
      <c r="U99" s="167">
        <f>SUMIF('Direct labour(직접노무비)'!$C$12:$C$503,'WIP(재공품)'!B99,'Direct labour(직접노무비)'!$U$12:$U$503)+SUMIF('Overhead exp(제조경비)'!$C$12:$C$503,'WIP(재공품)'!B99,'Overhead exp(제조경비)'!$U$12:$U$503)</f>
        <v>0</v>
      </c>
      <c r="V99" s="112">
        <f>SUMIF('Direct labour(직접노무비)'!$C$12:$C$503,'WIP(재공품)'!B99,'Direct labour(직접노무비)'!$Q$12:$Q$503)</f>
        <v>226859</v>
      </c>
      <c r="W99" s="112">
        <f>SUMIF('Overhead exp(제조경비)'!$C$12:$C$503,'WIP(재공품)'!B99,'Overhead exp(제조경비)'!$Q$12:$Q$503)</f>
        <v>331194</v>
      </c>
      <c r="X99" s="112">
        <f t="shared" si="15"/>
        <v>558053</v>
      </c>
      <c r="Y99" s="112">
        <f ca="1">ROUND(SUMIF('JUNE (물량흐름)'!$C$13:$C$502,'WIP(재공품)'!B99,'JUNE (물량흐름)'!$N$13:$N$488),0)</f>
        <v>0</v>
      </c>
      <c r="Z99" s="112">
        <f>ROUND(SUMIF('JUNE (물량흐름)'!$C$13:$C$502,'WIP(재공품)'!B99,'JUNE (물량흐름)'!$O$13:$O$502),0)</f>
        <v>0</v>
      </c>
      <c r="AA99" s="112">
        <f>ROUND(SUMIF('JUNE (물량흐름)'!$C$13:$C$502,'WIP(재공품)'!B99,'JUNE (물량흐름)'!$P$13:$P$502),0)</f>
        <v>0</v>
      </c>
      <c r="AB99" s="112">
        <f t="shared" ca="1" si="16"/>
        <v>0</v>
      </c>
      <c r="AC99" s="112">
        <f t="shared" si="17"/>
        <v>0</v>
      </c>
      <c r="AD99" s="381">
        <f t="shared" ca="1" si="18"/>
        <v>0</v>
      </c>
      <c r="AE99" s="381">
        <f t="shared" si="19"/>
        <v>0</v>
      </c>
      <c r="AF99" s="382"/>
      <c r="AG99" s="382">
        <v>0.3</v>
      </c>
      <c r="AH99" s="383">
        <f t="shared" si="20"/>
        <v>0.06</v>
      </c>
      <c r="AJ99" s="383"/>
      <c r="AL99" s="385"/>
      <c r="AM99" s="381"/>
      <c r="AN99" s="382"/>
      <c r="AO99" s="382"/>
      <c r="AP99" s="383"/>
      <c r="AQ99" s="383"/>
    </row>
    <row r="100" spans="1:43" s="384" customFormat="1" ht="18.75" customHeight="1">
      <c r="A100" s="167">
        <v>89</v>
      </c>
      <c r="B100" s="240">
        <f>VLOOKUP(A100,'JUNE (물량흐름)'!$A$13:$C$502,3,0)</f>
        <v>100007764</v>
      </c>
      <c r="C100" s="21" t="str">
        <f>VLOOKUP(A100,'JUNE (물량흐름)'!$A$13:$C$502,2,0)</f>
        <v>INC</v>
      </c>
      <c r="D100" s="212">
        <v>0.36</v>
      </c>
      <c r="E100" s="6">
        <f>VLOOKUP(B100,'Sales profit (스타일 별 매출이익)'!$D$9:$P$491,13,0)</f>
        <v>8163</v>
      </c>
      <c r="F100" s="112">
        <f>IFERROR(VLOOKUP(B100,O.B.JUNE!$N$7:$Q$448,2,0),0)</f>
        <v>0</v>
      </c>
      <c r="G100" s="112">
        <f>IFERROR(VLOOKUP(B100,O.B.JUNE!$N$7:$Q$448,3,0),0)</f>
        <v>32</v>
      </c>
      <c r="H100" s="112">
        <f>IFERROR(VLOOKUP(B100,O.B.JUNE!$N$7:$Q$448,4,0),0)</f>
        <v>1251</v>
      </c>
      <c r="I100" s="112">
        <f t="shared" si="12"/>
        <v>1283</v>
      </c>
      <c r="J100" s="112">
        <f>IFERROR(VLOOKUP(B100,O.B.JUNE!$AA$7:$AG$448,7,0),0)</f>
        <v>25313353</v>
      </c>
      <c r="K100" s="112">
        <f>IFERROR(VLOOKUP(B100,O.B.JUNE!$AI$7:$AO$448,7,0),0)</f>
        <v>34970220</v>
      </c>
      <c r="L100" s="112">
        <f t="shared" si="13"/>
        <v>60283573</v>
      </c>
      <c r="M100" s="112">
        <f>ROUND(SUMIF('JUNE (물량흐름)'!$C$13:$C$502,'WIP(재공품)'!B100,'JUNE (물량흐름)'!$H$13:$H$502)+SUMIF('JUNE (물량흐름)'!$C$13:$C$502,'WIP(재공품)'!B100,'JUNE (물량흐름)'!$V$13:$V$502),0)</f>
        <v>0</v>
      </c>
      <c r="N100" s="112">
        <f>SUMIF('Direct labour(직접노무비)'!$C$12:$C$503,'WIP(재공품)'!B100,'Direct labour(직접노무비)'!$O$12:$O$503)</f>
        <v>0</v>
      </c>
      <c r="O100" s="112">
        <f>SUMIF('Overhead exp(제조경비)'!$C$12:$C$503,'WIP(재공품)'!B100,'Overhead exp(제조경비)'!$O$12:$O$503)</f>
        <v>0</v>
      </c>
      <c r="P100" s="112">
        <f t="shared" si="14"/>
        <v>0</v>
      </c>
      <c r="Q100" s="112">
        <v>0</v>
      </c>
      <c r="R100" s="112">
        <v>0</v>
      </c>
      <c r="S100" s="112">
        <f>SUMIF('JUNE (물량흐름)'!$C$13:$C$493,'WIP(재공품)'!B100,'JUNE (물량흐름)'!$T$13:$T$493)+SUMIF('JUNE (물량흐름)'!$C$13:$C$493,'WIP(재공품)'!B100,'JUNE (물량흐름)'!$U$13:$U$493)+SUMIF('JUNE (물량흐름)'!$C$13:$C$493,'WIP(재공품)'!B100,'JUNE (물량흐름)'!$V$13:$V$493)-SUMIF('JUNE (물량흐름)'!$C$13:$C$493,'WIP(재공품)'!B100,'JUNE (물량흐름)'!$Y$13:$Y$493)</f>
        <v>0</v>
      </c>
      <c r="T100" s="112">
        <f>SUMIF('JUNE (물량흐름)'!$C$13:$C$502,'WIP(재공품)'!B100,'JUNE (물량흐름)'!$Y$13:$Y$502)</f>
        <v>0</v>
      </c>
      <c r="U100" s="167">
        <f>SUMIF('Direct labour(직접노무비)'!$C$12:$C$503,'WIP(재공품)'!B100,'Direct labour(직접노무비)'!$U$12:$U$503)+SUMIF('Overhead exp(제조경비)'!$C$12:$C$503,'WIP(재공품)'!B100,'Overhead exp(제조경비)'!$U$12:$U$503)</f>
        <v>0</v>
      </c>
      <c r="V100" s="112">
        <f>SUMIF('Direct labour(직접노무비)'!$C$12:$C$503,'WIP(재공품)'!B100,'Direct labour(직접노무비)'!$Q$12:$Q$503)</f>
        <v>0</v>
      </c>
      <c r="W100" s="112">
        <f>SUMIF('Overhead exp(제조경비)'!$C$12:$C$503,'WIP(재공품)'!B100,'Overhead exp(제조경비)'!$Q$12:$Q$503)</f>
        <v>0</v>
      </c>
      <c r="X100" s="112">
        <f t="shared" si="15"/>
        <v>0</v>
      </c>
      <c r="Y100" s="112">
        <f ca="1">ROUND(SUMIF('JUNE (물량흐름)'!$C$13:$C$502,'WIP(재공품)'!B100,'JUNE (물량흐름)'!$N$13:$N$488),0)</f>
        <v>0</v>
      </c>
      <c r="Z100" s="112">
        <f>ROUND(SUMIF('JUNE (물량흐름)'!$C$13:$C$502,'WIP(재공품)'!B100,'JUNE (물량흐름)'!$O$13:$O$502),0)</f>
        <v>32</v>
      </c>
      <c r="AA100" s="112">
        <f>ROUND(SUMIF('JUNE (물량흐름)'!$C$13:$C$502,'WIP(재공품)'!B100,'JUNE (물량흐름)'!$P$13:$P$502),0)</f>
        <v>1251</v>
      </c>
      <c r="AB100" s="112">
        <f t="shared" ca="1" si="16"/>
        <v>1283</v>
      </c>
      <c r="AC100" s="112">
        <f t="shared" si="17"/>
        <v>60283573</v>
      </c>
      <c r="AD100" s="381">
        <f t="shared" ca="1" si="18"/>
        <v>0</v>
      </c>
      <c r="AE100" s="381">
        <f t="shared" si="19"/>
        <v>0</v>
      </c>
      <c r="AF100" s="382"/>
      <c r="AG100" s="382">
        <v>0.3</v>
      </c>
      <c r="AH100" s="383">
        <f t="shared" si="20"/>
        <v>0.06</v>
      </c>
      <c r="AJ100" s="383"/>
      <c r="AL100" s="385"/>
      <c r="AM100" s="381"/>
      <c r="AN100" s="382"/>
      <c r="AO100" s="382"/>
      <c r="AP100" s="383"/>
      <c r="AQ100" s="383"/>
    </row>
    <row r="101" spans="1:43" s="384" customFormat="1" ht="18.75" customHeight="1">
      <c r="A101" s="167">
        <v>90</v>
      </c>
      <c r="B101" s="240">
        <f>VLOOKUP(A101,'JUNE (물량흐름)'!$A$13:$C$502,3,0)</f>
        <v>100007863</v>
      </c>
      <c r="C101" s="21" t="str">
        <f>VLOOKUP(A101,'JUNE (물량흐름)'!$A$13:$C$502,2,0)</f>
        <v>INC</v>
      </c>
      <c r="D101" s="212">
        <v>0.35</v>
      </c>
      <c r="E101" s="6">
        <f>VLOOKUP(B101,'Sales profit (스타일 별 매출이익)'!$D$9:$P$491,13,0)</f>
        <v>7936.2499999999991</v>
      </c>
      <c r="F101" s="112">
        <f>IFERROR(VLOOKUP(B101,O.B.JUNE!$N$7:$Q$448,2,0),0)</f>
        <v>0</v>
      </c>
      <c r="G101" s="112">
        <f>IFERROR(VLOOKUP(B101,O.B.JUNE!$N$7:$Q$448,3,0),0)</f>
        <v>0</v>
      </c>
      <c r="H101" s="112">
        <f>IFERROR(VLOOKUP(B101,O.B.JUNE!$N$7:$Q$448,4,0),0)</f>
        <v>43</v>
      </c>
      <c r="I101" s="112">
        <f t="shared" si="12"/>
        <v>43</v>
      </c>
      <c r="J101" s="112">
        <f>IFERROR(VLOOKUP(B101,O.B.JUNE!$AA$7:$AG$448,7,0),0)</f>
        <v>1477626</v>
      </c>
      <c r="K101" s="112">
        <f>IFERROR(VLOOKUP(B101,O.B.JUNE!$AI$7:$AO$448,7,0),0)</f>
        <v>2157203</v>
      </c>
      <c r="L101" s="112">
        <f t="shared" si="13"/>
        <v>3634829</v>
      </c>
      <c r="M101" s="112">
        <f>ROUND(SUMIF('JUNE (물량흐름)'!$C$13:$C$502,'WIP(재공품)'!B101,'JUNE (물량흐름)'!$H$13:$H$502)+SUMIF('JUNE (물량흐름)'!$C$13:$C$502,'WIP(재공품)'!B101,'JUNE (물량흐름)'!$V$13:$V$502),0)</f>
        <v>0</v>
      </c>
      <c r="N101" s="112">
        <f>SUMIF('Direct labour(직접노무비)'!$C$12:$C$503,'WIP(재공품)'!B101,'Direct labour(직접노무비)'!$O$12:$O$503)</f>
        <v>0</v>
      </c>
      <c r="O101" s="112">
        <f>SUMIF('Overhead exp(제조경비)'!$C$12:$C$503,'WIP(재공품)'!B101,'Overhead exp(제조경비)'!$O$12:$O$503)</f>
        <v>0</v>
      </c>
      <c r="P101" s="112">
        <f t="shared" si="14"/>
        <v>0</v>
      </c>
      <c r="Q101" s="112">
        <v>0</v>
      </c>
      <c r="R101" s="112">
        <v>0</v>
      </c>
      <c r="S101" s="112">
        <f>SUMIF('JUNE (물량흐름)'!$C$13:$C$493,'WIP(재공품)'!B101,'JUNE (물량흐름)'!$T$13:$T$493)+SUMIF('JUNE (물량흐름)'!$C$13:$C$493,'WIP(재공품)'!B101,'JUNE (물량흐름)'!$U$13:$U$493)+SUMIF('JUNE (물량흐름)'!$C$13:$C$493,'WIP(재공품)'!B101,'JUNE (물량흐름)'!$V$13:$V$493)-SUMIF('JUNE (물량흐름)'!$C$13:$C$493,'WIP(재공품)'!B101,'JUNE (물량흐름)'!$Y$13:$Y$493)</f>
        <v>43</v>
      </c>
      <c r="T101" s="112">
        <f>SUMIF('JUNE (물량흐름)'!$C$13:$C$502,'WIP(재공품)'!B101,'JUNE (물량흐름)'!$Y$13:$Y$502)</f>
        <v>0</v>
      </c>
      <c r="U101" s="167">
        <f>SUMIF('Direct labour(직접노무비)'!$C$12:$C$503,'WIP(재공품)'!B101,'Direct labour(직접노무비)'!$U$12:$U$503)+SUMIF('Overhead exp(제조경비)'!$C$12:$C$503,'WIP(재공품)'!B101,'Overhead exp(제조경비)'!$U$12:$U$503)</f>
        <v>0</v>
      </c>
      <c r="V101" s="112">
        <f>SUMIF('Direct labour(직접노무비)'!$C$12:$C$503,'WIP(재공품)'!B101,'Direct labour(직접노무비)'!$Q$12:$Q$503)</f>
        <v>1477626</v>
      </c>
      <c r="W101" s="112">
        <f>SUMIF('Overhead exp(제조경비)'!$C$12:$C$503,'WIP(재공품)'!B101,'Overhead exp(제조경비)'!$Q$12:$Q$503)</f>
        <v>2157203</v>
      </c>
      <c r="X101" s="112">
        <f t="shared" si="15"/>
        <v>3634829</v>
      </c>
      <c r="Y101" s="112">
        <f ca="1">ROUND(SUMIF('JUNE (물량흐름)'!$C$13:$C$502,'WIP(재공품)'!B101,'JUNE (물량흐름)'!$N$13:$N$488),0)</f>
        <v>0</v>
      </c>
      <c r="Z101" s="112">
        <f>ROUND(SUMIF('JUNE (물량흐름)'!$C$13:$C$502,'WIP(재공품)'!B101,'JUNE (물량흐름)'!$O$13:$O$502),0)</f>
        <v>0</v>
      </c>
      <c r="AA101" s="112">
        <f>ROUND(SUMIF('JUNE (물량흐름)'!$C$13:$C$502,'WIP(재공품)'!B101,'JUNE (물량흐름)'!$P$13:$P$502),0)</f>
        <v>0</v>
      </c>
      <c r="AB101" s="112">
        <f t="shared" ca="1" si="16"/>
        <v>0</v>
      </c>
      <c r="AC101" s="112">
        <f t="shared" si="17"/>
        <v>0</v>
      </c>
      <c r="AD101" s="381">
        <f t="shared" ca="1" si="18"/>
        <v>0</v>
      </c>
      <c r="AE101" s="381">
        <f t="shared" si="19"/>
        <v>0</v>
      </c>
      <c r="AF101" s="382"/>
      <c r="AG101" s="382">
        <v>0</v>
      </c>
      <c r="AH101" s="383">
        <f t="shared" si="20"/>
        <v>0.35</v>
      </c>
      <c r="AJ101" s="383"/>
      <c r="AL101" s="385"/>
      <c r="AM101" s="381"/>
      <c r="AN101" s="382"/>
      <c r="AO101" s="382"/>
      <c r="AP101" s="383"/>
      <c r="AQ101" s="383"/>
    </row>
    <row r="102" spans="1:43" s="384" customFormat="1" ht="18.75" customHeight="1">
      <c r="A102" s="167">
        <v>91</v>
      </c>
      <c r="B102" s="240">
        <f>VLOOKUP(A102,'JUNE (물량흐름)'!$A$13:$C$502,3,0)</f>
        <v>100009688</v>
      </c>
      <c r="C102" s="21" t="str">
        <f>VLOOKUP(A102,'JUNE (물량흐름)'!$A$13:$C$502,2,0)</f>
        <v>INC</v>
      </c>
      <c r="D102" s="212">
        <v>0.35</v>
      </c>
      <c r="E102" s="6">
        <f>VLOOKUP(B102,'Sales profit (스타일 별 매출이익)'!$D$9:$P$491,13,0)</f>
        <v>7936.2499999999991</v>
      </c>
      <c r="F102" s="112">
        <f>IFERROR(VLOOKUP(B102,O.B.JUNE!$N$7:$Q$448,2,0),0)</f>
        <v>0</v>
      </c>
      <c r="G102" s="112">
        <f>IFERROR(VLOOKUP(B102,O.B.JUNE!$N$7:$Q$448,3,0),0)</f>
        <v>0</v>
      </c>
      <c r="H102" s="112">
        <f>IFERROR(VLOOKUP(B102,O.B.JUNE!$N$7:$Q$448,4,0),0)</f>
        <v>48</v>
      </c>
      <c r="I102" s="112">
        <f t="shared" si="12"/>
        <v>48</v>
      </c>
      <c r="J102" s="112">
        <f>IFERROR(VLOOKUP(B102,O.B.JUNE!$AA$7:$AG$448,7,0),0)</f>
        <v>1056937</v>
      </c>
      <c r="K102" s="112">
        <f>IFERROR(VLOOKUP(B102,O.B.JUNE!$AI$7:$AO$448,7,0),0)</f>
        <v>1543035</v>
      </c>
      <c r="L102" s="112">
        <f t="shared" si="13"/>
        <v>2599972</v>
      </c>
      <c r="M102" s="112">
        <f>ROUND(SUMIF('JUNE (물량흐름)'!$C$13:$C$502,'WIP(재공품)'!B102,'JUNE (물량흐름)'!$H$13:$H$502)+SUMIF('JUNE (물량흐름)'!$C$13:$C$502,'WIP(재공품)'!B102,'JUNE (물량흐름)'!$V$13:$V$502),0)</f>
        <v>0</v>
      </c>
      <c r="N102" s="112">
        <f>SUMIF('Direct labour(직접노무비)'!$C$12:$C$503,'WIP(재공품)'!B102,'Direct labour(직접노무비)'!$O$12:$O$503)</f>
        <v>0</v>
      </c>
      <c r="O102" s="112">
        <f>SUMIF('Overhead exp(제조경비)'!$C$12:$C$503,'WIP(재공품)'!B102,'Overhead exp(제조경비)'!$O$12:$O$503)</f>
        <v>0</v>
      </c>
      <c r="P102" s="112">
        <f t="shared" si="14"/>
        <v>0</v>
      </c>
      <c r="Q102" s="112">
        <v>0</v>
      </c>
      <c r="R102" s="112">
        <v>0</v>
      </c>
      <c r="S102" s="112">
        <f>SUMIF('JUNE (물량흐름)'!$C$13:$C$493,'WIP(재공품)'!B102,'JUNE (물량흐름)'!$T$13:$T$493)+SUMIF('JUNE (물량흐름)'!$C$13:$C$493,'WIP(재공품)'!B102,'JUNE (물량흐름)'!$U$13:$U$493)+SUMIF('JUNE (물량흐름)'!$C$13:$C$493,'WIP(재공품)'!B102,'JUNE (물량흐름)'!$V$13:$V$493)-SUMIF('JUNE (물량흐름)'!$C$13:$C$493,'WIP(재공품)'!B102,'JUNE (물량흐름)'!$Y$13:$Y$493)</f>
        <v>48</v>
      </c>
      <c r="T102" s="112">
        <f>SUMIF('JUNE (물량흐름)'!$C$13:$C$502,'WIP(재공품)'!B102,'JUNE (물량흐름)'!$Y$13:$Y$502)</f>
        <v>0</v>
      </c>
      <c r="U102" s="167">
        <f>SUMIF('Direct labour(직접노무비)'!$C$12:$C$503,'WIP(재공품)'!B102,'Direct labour(직접노무비)'!$U$12:$U$503)+SUMIF('Overhead exp(제조경비)'!$C$12:$C$503,'WIP(재공품)'!B102,'Overhead exp(제조경비)'!$U$12:$U$503)</f>
        <v>0</v>
      </c>
      <c r="V102" s="112">
        <f>SUMIF('Direct labour(직접노무비)'!$C$12:$C$503,'WIP(재공품)'!B102,'Direct labour(직접노무비)'!$Q$12:$Q$503)</f>
        <v>1056937</v>
      </c>
      <c r="W102" s="112">
        <f>SUMIF('Overhead exp(제조경비)'!$C$12:$C$503,'WIP(재공품)'!B102,'Overhead exp(제조경비)'!$Q$12:$Q$503)</f>
        <v>1543035</v>
      </c>
      <c r="X102" s="112">
        <f t="shared" si="15"/>
        <v>2599972</v>
      </c>
      <c r="Y102" s="112">
        <f ca="1">ROUND(SUMIF('JUNE (물량흐름)'!$C$13:$C$502,'WIP(재공품)'!B102,'JUNE (물량흐름)'!$N$13:$N$488),0)</f>
        <v>0</v>
      </c>
      <c r="Z102" s="112">
        <f>ROUND(SUMIF('JUNE (물량흐름)'!$C$13:$C$502,'WIP(재공품)'!B102,'JUNE (물량흐름)'!$O$13:$O$502),0)</f>
        <v>0</v>
      </c>
      <c r="AA102" s="112">
        <f>ROUND(SUMIF('JUNE (물량흐름)'!$C$13:$C$502,'WIP(재공품)'!B102,'JUNE (물량흐름)'!$P$13:$P$502),0)</f>
        <v>0</v>
      </c>
      <c r="AB102" s="112">
        <f t="shared" ca="1" si="16"/>
        <v>0</v>
      </c>
      <c r="AC102" s="112">
        <f t="shared" si="17"/>
        <v>0</v>
      </c>
      <c r="AD102" s="381">
        <f t="shared" ca="1" si="18"/>
        <v>0</v>
      </c>
      <c r="AE102" s="381">
        <f t="shared" si="19"/>
        <v>0</v>
      </c>
      <c r="AF102" s="382"/>
      <c r="AG102" s="382">
        <v>0</v>
      </c>
      <c r="AH102" s="383">
        <f t="shared" si="20"/>
        <v>0.35</v>
      </c>
      <c r="AJ102" s="383"/>
      <c r="AL102" s="385"/>
      <c r="AM102" s="381"/>
      <c r="AN102" s="382"/>
      <c r="AO102" s="382"/>
      <c r="AP102" s="383"/>
      <c r="AQ102" s="383"/>
    </row>
    <row r="103" spans="1:43" s="384" customFormat="1" ht="18.75" customHeight="1">
      <c r="A103" s="167">
        <v>92</v>
      </c>
      <c r="B103" s="240">
        <f>VLOOKUP(A103,'JUNE (물량흐름)'!$A$13:$C$502,3,0)</f>
        <v>100012436</v>
      </c>
      <c r="C103" s="21" t="str">
        <f>VLOOKUP(A103,'JUNE (물량흐름)'!$A$13:$C$502,2,0)</f>
        <v>INC</v>
      </c>
      <c r="D103" s="212">
        <v>0.36</v>
      </c>
      <c r="E103" s="6">
        <f>VLOOKUP(B103,'Sales profit (스타일 별 매출이익)'!$D$9:$P$491,13,0)</f>
        <v>8163</v>
      </c>
      <c r="F103" s="112">
        <f>IFERROR(VLOOKUP(B103,O.B.JUNE!$N$7:$Q$448,2,0),0)</f>
        <v>0</v>
      </c>
      <c r="G103" s="112">
        <f>IFERROR(VLOOKUP(B103,O.B.JUNE!$N$7:$Q$448,3,0),0)</f>
        <v>0</v>
      </c>
      <c r="H103" s="112">
        <f>IFERROR(VLOOKUP(B103,O.B.JUNE!$N$7:$Q$448,4,0),0)</f>
        <v>88</v>
      </c>
      <c r="I103" s="112">
        <f t="shared" si="12"/>
        <v>88</v>
      </c>
      <c r="J103" s="112">
        <f>IFERROR(VLOOKUP(B103,O.B.JUNE!$AA$7:$AG$448,7,0),0)</f>
        <v>1946990</v>
      </c>
      <c r="K103" s="112">
        <f>IFERROR(VLOOKUP(B103,O.B.JUNE!$AI$7:$AO$448,7,0),0)</f>
        <v>2842432</v>
      </c>
      <c r="L103" s="112">
        <f t="shared" si="13"/>
        <v>4789422</v>
      </c>
      <c r="M103" s="112">
        <f>ROUND(SUMIF('JUNE (물량흐름)'!$C$13:$C$502,'WIP(재공품)'!B103,'JUNE (물량흐름)'!$H$13:$H$502)+SUMIF('JUNE (물량흐름)'!$C$13:$C$502,'WIP(재공품)'!B103,'JUNE (물량흐름)'!$V$13:$V$502),0)</f>
        <v>0</v>
      </c>
      <c r="N103" s="112">
        <f>SUMIF('Direct labour(직접노무비)'!$C$12:$C$503,'WIP(재공품)'!B103,'Direct labour(직접노무비)'!$O$12:$O$503)</f>
        <v>0</v>
      </c>
      <c r="O103" s="112">
        <f>SUMIF('Overhead exp(제조경비)'!$C$12:$C$503,'WIP(재공품)'!B103,'Overhead exp(제조경비)'!$O$12:$O$503)</f>
        <v>0</v>
      </c>
      <c r="P103" s="112">
        <f t="shared" si="14"/>
        <v>0</v>
      </c>
      <c r="Q103" s="112">
        <v>0</v>
      </c>
      <c r="R103" s="112">
        <v>0</v>
      </c>
      <c r="S103" s="112">
        <f>SUMIF('JUNE (물량흐름)'!$C$13:$C$493,'WIP(재공품)'!B103,'JUNE (물량흐름)'!$T$13:$T$493)+SUMIF('JUNE (물량흐름)'!$C$13:$C$493,'WIP(재공품)'!B103,'JUNE (물량흐름)'!$U$13:$U$493)+SUMIF('JUNE (물량흐름)'!$C$13:$C$493,'WIP(재공품)'!B103,'JUNE (물량흐름)'!$V$13:$V$493)-SUMIF('JUNE (물량흐름)'!$C$13:$C$493,'WIP(재공품)'!B103,'JUNE (물량흐름)'!$Y$13:$Y$493)</f>
        <v>88</v>
      </c>
      <c r="T103" s="112">
        <f>SUMIF('JUNE (물량흐름)'!$C$13:$C$502,'WIP(재공품)'!B103,'JUNE (물량흐름)'!$Y$13:$Y$502)</f>
        <v>0</v>
      </c>
      <c r="U103" s="167">
        <f>SUMIF('Direct labour(직접노무비)'!$C$12:$C$503,'WIP(재공품)'!B103,'Direct labour(직접노무비)'!$U$12:$U$503)+SUMIF('Overhead exp(제조경비)'!$C$12:$C$503,'WIP(재공품)'!B103,'Overhead exp(제조경비)'!$U$12:$U$503)</f>
        <v>0</v>
      </c>
      <c r="V103" s="112">
        <f>SUMIF('Direct labour(직접노무비)'!$C$12:$C$503,'WIP(재공품)'!B103,'Direct labour(직접노무비)'!$Q$12:$Q$503)</f>
        <v>1946990</v>
      </c>
      <c r="W103" s="112">
        <f>SUMIF('Overhead exp(제조경비)'!$C$12:$C$503,'WIP(재공품)'!B103,'Overhead exp(제조경비)'!$Q$12:$Q$503)</f>
        <v>2842432</v>
      </c>
      <c r="X103" s="112">
        <f t="shared" si="15"/>
        <v>4789422</v>
      </c>
      <c r="Y103" s="112">
        <f ca="1">ROUND(SUMIF('JUNE (물량흐름)'!$C$13:$C$502,'WIP(재공품)'!B103,'JUNE (물량흐름)'!$N$13:$N$488),0)</f>
        <v>0</v>
      </c>
      <c r="Z103" s="112">
        <f>ROUND(SUMIF('JUNE (물량흐름)'!$C$13:$C$502,'WIP(재공품)'!B103,'JUNE (물량흐름)'!$O$13:$O$502),0)</f>
        <v>0</v>
      </c>
      <c r="AA103" s="112">
        <f>ROUND(SUMIF('JUNE (물량흐름)'!$C$13:$C$502,'WIP(재공품)'!B103,'JUNE (물량흐름)'!$P$13:$P$502),0)</f>
        <v>0</v>
      </c>
      <c r="AB103" s="112">
        <f t="shared" ca="1" si="16"/>
        <v>0</v>
      </c>
      <c r="AC103" s="112">
        <f t="shared" si="17"/>
        <v>0</v>
      </c>
      <c r="AD103" s="381">
        <f t="shared" ca="1" si="18"/>
        <v>0</v>
      </c>
      <c r="AE103" s="381">
        <f t="shared" si="19"/>
        <v>0</v>
      </c>
      <c r="AF103" s="382"/>
      <c r="AG103" s="382">
        <v>1.9</v>
      </c>
      <c r="AH103" s="383">
        <f t="shared" si="20"/>
        <v>-1.54</v>
      </c>
      <c r="AJ103" s="383"/>
      <c r="AL103" s="385"/>
      <c r="AM103" s="381"/>
      <c r="AN103" s="382"/>
      <c r="AO103" s="382"/>
      <c r="AP103" s="383"/>
      <c r="AQ103" s="383"/>
    </row>
    <row r="104" spans="1:43" s="384" customFormat="1" ht="18.75" customHeight="1">
      <c r="A104" s="167">
        <v>93</v>
      </c>
      <c r="B104" s="240">
        <f>VLOOKUP(A104,'JUNE (물량흐름)'!$A$13:$C$502,3,0)</f>
        <v>100012476</v>
      </c>
      <c r="C104" s="21" t="str">
        <f>VLOOKUP(A104,'JUNE (물량흐름)'!$A$13:$C$502,2,0)</f>
        <v>INC</v>
      </c>
      <c r="D104" s="212">
        <v>0.35</v>
      </c>
      <c r="E104" s="6">
        <f>VLOOKUP(B104,'Sales profit (스타일 별 매출이익)'!$D$9:$P$491,13,0)</f>
        <v>7936.2499999999991</v>
      </c>
      <c r="F104" s="112">
        <f>IFERROR(VLOOKUP(B104,O.B.JUNE!$N$7:$Q$448,2,0),0)</f>
        <v>0</v>
      </c>
      <c r="G104" s="112">
        <f>IFERROR(VLOOKUP(B104,O.B.JUNE!$N$7:$Q$448,3,0),0)</f>
        <v>0</v>
      </c>
      <c r="H104" s="112">
        <f>IFERROR(VLOOKUP(B104,O.B.JUNE!$N$7:$Q$448,4,0),0)</f>
        <v>168</v>
      </c>
      <c r="I104" s="112">
        <f t="shared" si="12"/>
        <v>168</v>
      </c>
      <c r="J104" s="112">
        <f>IFERROR(VLOOKUP(B104,O.B.JUNE!$AA$7:$AG$448,7,0),0)</f>
        <v>3735617</v>
      </c>
      <c r="K104" s="112">
        <f>IFERROR(VLOOKUP(B104,O.B.JUNE!$AI$7:$AO$448,7,0),0)</f>
        <v>5453669</v>
      </c>
      <c r="L104" s="112">
        <f t="shared" si="13"/>
        <v>9189286</v>
      </c>
      <c r="M104" s="112">
        <f>ROUND(SUMIF('JUNE (물량흐름)'!$C$13:$C$502,'WIP(재공품)'!B104,'JUNE (물량흐름)'!$H$13:$H$502)+SUMIF('JUNE (물량흐름)'!$C$13:$C$502,'WIP(재공품)'!B104,'JUNE (물량흐름)'!$V$13:$V$502),0)</f>
        <v>0</v>
      </c>
      <c r="N104" s="112">
        <f>SUMIF('Direct labour(직접노무비)'!$C$12:$C$503,'WIP(재공품)'!B104,'Direct labour(직접노무비)'!$O$12:$O$503)</f>
        <v>0</v>
      </c>
      <c r="O104" s="112">
        <f>SUMIF('Overhead exp(제조경비)'!$C$12:$C$503,'WIP(재공품)'!B104,'Overhead exp(제조경비)'!$O$12:$O$503)</f>
        <v>0</v>
      </c>
      <c r="P104" s="112">
        <f t="shared" si="14"/>
        <v>0</v>
      </c>
      <c r="Q104" s="112">
        <v>0</v>
      </c>
      <c r="R104" s="112">
        <v>0</v>
      </c>
      <c r="S104" s="112">
        <f>SUMIF('JUNE (물량흐름)'!$C$13:$C$493,'WIP(재공품)'!B104,'JUNE (물량흐름)'!$T$13:$T$493)+SUMIF('JUNE (물량흐름)'!$C$13:$C$493,'WIP(재공품)'!B104,'JUNE (물량흐름)'!$U$13:$U$493)+SUMIF('JUNE (물량흐름)'!$C$13:$C$493,'WIP(재공품)'!B104,'JUNE (물량흐름)'!$V$13:$V$493)-SUMIF('JUNE (물량흐름)'!$C$13:$C$493,'WIP(재공품)'!B104,'JUNE (물량흐름)'!$Y$13:$Y$493)</f>
        <v>168</v>
      </c>
      <c r="T104" s="112">
        <f>SUMIF('JUNE (물량흐름)'!$C$13:$C$502,'WIP(재공품)'!B104,'JUNE (물량흐름)'!$Y$13:$Y$502)</f>
        <v>0</v>
      </c>
      <c r="U104" s="167">
        <f>SUMIF('Direct labour(직접노무비)'!$C$12:$C$503,'WIP(재공품)'!B104,'Direct labour(직접노무비)'!$U$12:$U$503)+SUMIF('Overhead exp(제조경비)'!$C$12:$C$503,'WIP(재공품)'!B104,'Overhead exp(제조경비)'!$U$12:$U$503)</f>
        <v>0</v>
      </c>
      <c r="V104" s="112">
        <f>SUMIF('Direct labour(직접노무비)'!$C$12:$C$503,'WIP(재공품)'!B104,'Direct labour(직접노무비)'!$Q$12:$Q$503)</f>
        <v>3735617</v>
      </c>
      <c r="W104" s="112">
        <f>SUMIF('Overhead exp(제조경비)'!$C$12:$C$503,'WIP(재공품)'!B104,'Overhead exp(제조경비)'!$Q$12:$Q$503)</f>
        <v>5453669</v>
      </c>
      <c r="X104" s="112">
        <f t="shared" si="15"/>
        <v>9189286</v>
      </c>
      <c r="Y104" s="112">
        <f ca="1">ROUND(SUMIF('JUNE (물량흐름)'!$C$13:$C$502,'WIP(재공품)'!B104,'JUNE (물량흐름)'!$N$13:$N$488),0)</f>
        <v>0</v>
      </c>
      <c r="Z104" s="112">
        <f>ROUND(SUMIF('JUNE (물량흐름)'!$C$13:$C$502,'WIP(재공품)'!B104,'JUNE (물량흐름)'!$O$13:$O$502),0)</f>
        <v>0</v>
      </c>
      <c r="AA104" s="112">
        <f>ROUND(SUMIF('JUNE (물량흐름)'!$C$13:$C$502,'WIP(재공품)'!B104,'JUNE (물량흐름)'!$P$13:$P$502),0)</f>
        <v>0</v>
      </c>
      <c r="AB104" s="112">
        <f t="shared" ca="1" si="16"/>
        <v>0</v>
      </c>
      <c r="AC104" s="112">
        <f t="shared" si="17"/>
        <v>0</v>
      </c>
      <c r="AD104" s="381">
        <f t="shared" ca="1" si="18"/>
        <v>0</v>
      </c>
      <c r="AE104" s="381">
        <f t="shared" si="19"/>
        <v>0</v>
      </c>
      <c r="AF104" s="382"/>
      <c r="AG104" s="382">
        <v>0.3</v>
      </c>
      <c r="AH104" s="383">
        <f t="shared" si="20"/>
        <v>4.9999999999999989E-2</v>
      </c>
      <c r="AJ104" s="383"/>
      <c r="AL104" s="385"/>
      <c r="AM104" s="381"/>
      <c r="AN104" s="382"/>
      <c r="AO104" s="382"/>
      <c r="AP104" s="383"/>
      <c r="AQ104" s="383"/>
    </row>
    <row r="105" spans="1:43" s="384" customFormat="1" ht="18.75" customHeight="1">
      <c r="A105" s="167">
        <v>94</v>
      </c>
      <c r="B105" s="240">
        <f>VLOOKUP(A105,'JUNE (물량흐름)'!$A$13:$C$502,3,0)</f>
        <v>100013564</v>
      </c>
      <c r="C105" s="21" t="str">
        <f>VLOOKUP(A105,'JUNE (물량흐름)'!$A$13:$C$502,2,0)</f>
        <v>INC</v>
      </c>
      <c r="D105" s="212">
        <v>0.36</v>
      </c>
      <c r="E105" s="6">
        <f>VLOOKUP(B105,'Sales profit (스타일 별 매출이익)'!$D$9:$P$491,13,0)</f>
        <v>8163</v>
      </c>
      <c r="F105" s="112">
        <f>IFERROR(VLOOKUP(B105,O.B.JUNE!$N$7:$Q$448,2,0),0)</f>
        <v>0</v>
      </c>
      <c r="G105" s="112">
        <f>IFERROR(VLOOKUP(B105,O.B.JUNE!$N$7:$Q$448,3,0),0)</f>
        <v>0</v>
      </c>
      <c r="H105" s="112">
        <f>IFERROR(VLOOKUP(B105,O.B.JUNE!$N$7:$Q$448,4,0),0)</f>
        <v>198</v>
      </c>
      <c r="I105" s="112">
        <f t="shared" si="12"/>
        <v>198</v>
      </c>
      <c r="J105" s="112">
        <f>IFERROR(VLOOKUP(B105,O.B.JUNE!$AA$7:$AG$448,7,0),0)</f>
        <v>4669298</v>
      </c>
      <c r="K105" s="112">
        <f>IFERROR(VLOOKUP(B105,O.B.JUNE!$AI$7:$AO$448,7,0),0)</f>
        <v>6816761</v>
      </c>
      <c r="L105" s="112">
        <f t="shared" si="13"/>
        <v>11486059</v>
      </c>
      <c r="M105" s="112">
        <f>ROUND(SUMIF('JUNE (물량흐름)'!$C$13:$C$502,'WIP(재공품)'!B105,'JUNE (물량흐름)'!$H$13:$H$502)+SUMIF('JUNE (물량흐름)'!$C$13:$C$502,'WIP(재공품)'!B105,'JUNE (물량흐름)'!$V$13:$V$502),0)</f>
        <v>0</v>
      </c>
      <c r="N105" s="112">
        <f>SUMIF('Direct labour(직접노무비)'!$C$12:$C$503,'WIP(재공품)'!B105,'Direct labour(직접노무비)'!$O$12:$O$503)</f>
        <v>0</v>
      </c>
      <c r="O105" s="112">
        <f>SUMIF('Overhead exp(제조경비)'!$C$12:$C$503,'WIP(재공품)'!B105,'Overhead exp(제조경비)'!$O$12:$O$503)</f>
        <v>0</v>
      </c>
      <c r="P105" s="112">
        <f t="shared" si="14"/>
        <v>0</v>
      </c>
      <c r="Q105" s="112">
        <v>0</v>
      </c>
      <c r="R105" s="112">
        <v>0</v>
      </c>
      <c r="S105" s="112">
        <f>SUMIF('JUNE (물량흐름)'!$C$13:$C$493,'WIP(재공품)'!B105,'JUNE (물량흐름)'!$T$13:$T$493)+SUMIF('JUNE (물량흐름)'!$C$13:$C$493,'WIP(재공품)'!B105,'JUNE (물량흐름)'!$U$13:$U$493)+SUMIF('JUNE (물량흐름)'!$C$13:$C$493,'WIP(재공품)'!B105,'JUNE (물량흐름)'!$V$13:$V$493)-SUMIF('JUNE (물량흐름)'!$C$13:$C$493,'WIP(재공품)'!B105,'JUNE (물량흐름)'!$Y$13:$Y$493)</f>
        <v>198</v>
      </c>
      <c r="T105" s="112">
        <f>SUMIF('JUNE (물량흐름)'!$C$13:$C$502,'WIP(재공품)'!B105,'JUNE (물량흐름)'!$Y$13:$Y$502)</f>
        <v>0</v>
      </c>
      <c r="U105" s="167">
        <f>SUMIF('Direct labour(직접노무비)'!$C$12:$C$503,'WIP(재공품)'!B105,'Direct labour(직접노무비)'!$U$12:$U$503)+SUMIF('Overhead exp(제조경비)'!$C$12:$C$503,'WIP(재공품)'!B105,'Overhead exp(제조경비)'!$U$12:$U$503)</f>
        <v>0</v>
      </c>
      <c r="V105" s="112">
        <f>SUMIF('Direct labour(직접노무비)'!$C$12:$C$503,'WIP(재공품)'!B105,'Direct labour(직접노무비)'!$Q$12:$Q$503)</f>
        <v>4669298</v>
      </c>
      <c r="W105" s="112">
        <f>SUMIF('Overhead exp(제조경비)'!$C$12:$C$503,'WIP(재공품)'!B105,'Overhead exp(제조경비)'!$Q$12:$Q$503)</f>
        <v>6816761</v>
      </c>
      <c r="X105" s="112">
        <f t="shared" si="15"/>
        <v>11486059</v>
      </c>
      <c r="Y105" s="112">
        <f ca="1">ROUND(SUMIF('JUNE (물량흐름)'!$C$13:$C$502,'WIP(재공품)'!B105,'JUNE (물량흐름)'!$N$13:$N$488),0)</f>
        <v>0</v>
      </c>
      <c r="Z105" s="112">
        <f>ROUND(SUMIF('JUNE (물량흐름)'!$C$13:$C$502,'WIP(재공품)'!B105,'JUNE (물량흐름)'!$O$13:$O$502),0)</f>
        <v>0</v>
      </c>
      <c r="AA105" s="112">
        <f>ROUND(SUMIF('JUNE (물량흐름)'!$C$13:$C$502,'WIP(재공품)'!B105,'JUNE (물량흐름)'!$P$13:$P$502),0)</f>
        <v>0</v>
      </c>
      <c r="AB105" s="112">
        <f t="shared" ca="1" si="16"/>
        <v>0</v>
      </c>
      <c r="AC105" s="112">
        <f t="shared" si="17"/>
        <v>0</v>
      </c>
      <c r="AD105" s="381">
        <f t="shared" ca="1" si="18"/>
        <v>0</v>
      </c>
      <c r="AE105" s="381">
        <f t="shared" si="19"/>
        <v>0</v>
      </c>
      <c r="AF105" s="382"/>
      <c r="AG105" s="382">
        <v>0.3</v>
      </c>
      <c r="AH105" s="383">
        <f t="shared" si="20"/>
        <v>0.06</v>
      </c>
      <c r="AJ105" s="383"/>
      <c r="AL105" s="385"/>
      <c r="AM105" s="381"/>
      <c r="AN105" s="382"/>
      <c r="AO105" s="382"/>
      <c r="AP105" s="383"/>
      <c r="AQ105" s="383"/>
    </row>
    <row r="106" spans="1:43" s="384" customFormat="1" ht="18.75" customHeight="1">
      <c r="A106" s="167">
        <v>95</v>
      </c>
      <c r="B106" s="240" t="str">
        <f>VLOOKUP(A106,'JUNE (물량흐름)'!$A$13:$C$502,3,0)</f>
        <v>KDR112751</v>
      </c>
      <c r="C106" s="21" t="str">
        <f>VLOOKUP(A106,'JUNE (물량흐름)'!$A$13:$C$502,2,0)</f>
        <v>J JILL</v>
      </c>
      <c r="D106" s="212">
        <v>0.35</v>
      </c>
      <c r="E106" s="6">
        <f>VLOOKUP(B106,'Sales profit (스타일 별 매출이익)'!$D$9:$P$491,13,0)</f>
        <v>7936.2499999999991</v>
      </c>
      <c r="F106" s="112">
        <f>IFERROR(VLOOKUP(B106,O.B.JUNE!$N$7:$Q$448,2,0),0)</f>
        <v>0</v>
      </c>
      <c r="G106" s="112">
        <f>IFERROR(VLOOKUP(B106,O.B.JUNE!$N$7:$Q$448,3,0),0)</f>
        <v>0</v>
      </c>
      <c r="H106" s="112">
        <f>IFERROR(VLOOKUP(B106,O.B.JUNE!$N$7:$Q$448,4,0),0)</f>
        <v>104</v>
      </c>
      <c r="I106" s="112">
        <f t="shared" si="12"/>
        <v>104</v>
      </c>
      <c r="J106" s="112">
        <f>IFERROR(VLOOKUP(B106,O.B.JUNE!$AA$7:$AG$448,7,0),0)</f>
        <v>2236430</v>
      </c>
      <c r="K106" s="112">
        <f>IFERROR(VLOOKUP(B106,O.B.JUNE!$AI$7:$AO$448,7,0),0)</f>
        <v>3264990</v>
      </c>
      <c r="L106" s="112">
        <f t="shared" si="13"/>
        <v>5501420</v>
      </c>
      <c r="M106" s="112">
        <f>ROUND(SUMIF('JUNE (물량흐름)'!$C$13:$C$502,'WIP(재공품)'!B106,'JUNE (물량흐름)'!$H$13:$H$502)+SUMIF('JUNE (물량흐름)'!$C$13:$C$502,'WIP(재공품)'!B106,'JUNE (물량흐름)'!$V$13:$V$502),0)</f>
        <v>0</v>
      </c>
      <c r="N106" s="112">
        <f>SUMIF('Direct labour(직접노무비)'!$C$12:$C$503,'WIP(재공품)'!B106,'Direct labour(직접노무비)'!$O$12:$O$503)</f>
        <v>0</v>
      </c>
      <c r="O106" s="112">
        <f>SUMIF('Overhead exp(제조경비)'!$C$12:$C$503,'WIP(재공품)'!B106,'Overhead exp(제조경비)'!$O$12:$O$503)</f>
        <v>0</v>
      </c>
      <c r="P106" s="112">
        <f t="shared" si="14"/>
        <v>0</v>
      </c>
      <c r="Q106" s="112">
        <v>0</v>
      </c>
      <c r="R106" s="112">
        <v>0</v>
      </c>
      <c r="S106" s="112">
        <f>SUMIF('JUNE (물량흐름)'!$C$13:$C$493,'WIP(재공품)'!B106,'JUNE (물량흐름)'!$T$13:$T$493)+SUMIF('JUNE (물량흐름)'!$C$13:$C$493,'WIP(재공품)'!B106,'JUNE (물량흐름)'!$U$13:$U$493)+SUMIF('JUNE (물량흐름)'!$C$13:$C$493,'WIP(재공품)'!B106,'JUNE (물량흐름)'!$V$13:$V$493)-SUMIF('JUNE (물량흐름)'!$C$13:$C$493,'WIP(재공품)'!B106,'JUNE (물량흐름)'!$Y$13:$Y$493)</f>
        <v>104</v>
      </c>
      <c r="T106" s="112">
        <f>SUMIF('JUNE (물량흐름)'!$C$13:$C$502,'WIP(재공품)'!B106,'JUNE (물량흐름)'!$Y$13:$Y$502)</f>
        <v>0</v>
      </c>
      <c r="U106" s="167">
        <f>SUMIF('Direct labour(직접노무비)'!$C$12:$C$503,'WIP(재공품)'!B106,'Direct labour(직접노무비)'!$U$12:$U$503)+SUMIF('Overhead exp(제조경비)'!$C$12:$C$503,'WIP(재공품)'!B106,'Overhead exp(제조경비)'!$U$12:$U$503)</f>
        <v>0</v>
      </c>
      <c r="V106" s="112">
        <f>SUMIF('Direct labour(직접노무비)'!$C$12:$C$503,'WIP(재공품)'!B106,'Direct labour(직접노무비)'!$Q$12:$Q$503)</f>
        <v>2236430</v>
      </c>
      <c r="W106" s="112">
        <f>SUMIF('Overhead exp(제조경비)'!$C$12:$C$503,'WIP(재공품)'!B106,'Overhead exp(제조경비)'!$Q$12:$Q$503)</f>
        <v>3264990</v>
      </c>
      <c r="X106" s="112">
        <f t="shared" si="15"/>
        <v>5501420</v>
      </c>
      <c r="Y106" s="112">
        <f ca="1">ROUND(SUMIF('JUNE (물량흐름)'!$C$13:$C$502,'WIP(재공품)'!B106,'JUNE (물량흐름)'!$N$13:$N$488),0)</f>
        <v>0</v>
      </c>
      <c r="Z106" s="112">
        <f>ROUND(SUMIF('JUNE (물량흐름)'!$C$13:$C$502,'WIP(재공품)'!B106,'JUNE (물량흐름)'!$O$13:$O$502),0)</f>
        <v>0</v>
      </c>
      <c r="AA106" s="112">
        <f>ROUND(SUMIF('JUNE (물량흐름)'!$C$13:$C$502,'WIP(재공품)'!B106,'JUNE (물량흐름)'!$P$13:$P$502),0)</f>
        <v>0</v>
      </c>
      <c r="AB106" s="112">
        <f t="shared" ca="1" si="16"/>
        <v>0</v>
      </c>
      <c r="AC106" s="112">
        <f t="shared" si="17"/>
        <v>0</v>
      </c>
      <c r="AD106" s="381">
        <f t="shared" ca="1" si="18"/>
        <v>0</v>
      </c>
      <c r="AE106" s="381">
        <f t="shared" si="19"/>
        <v>0</v>
      </c>
      <c r="AF106" s="382"/>
      <c r="AG106" s="382">
        <v>0</v>
      </c>
      <c r="AH106" s="383">
        <f t="shared" si="20"/>
        <v>0.35</v>
      </c>
      <c r="AJ106" s="383"/>
      <c r="AL106" s="385"/>
      <c r="AM106" s="381"/>
      <c r="AN106" s="382"/>
      <c r="AO106" s="382"/>
      <c r="AP106" s="383"/>
      <c r="AQ106" s="383"/>
    </row>
    <row r="107" spans="1:43" s="384" customFormat="1" ht="18.75" customHeight="1">
      <c r="A107" s="167">
        <v>96</v>
      </c>
      <c r="B107" s="240" t="str">
        <f>VLOOKUP(A107,'JUNE (물량흐름)'!$A$13:$C$502,3,0)</f>
        <v>KJT112641</v>
      </c>
      <c r="C107" s="21" t="str">
        <f>VLOOKUP(A107,'JUNE (물량흐름)'!$A$13:$C$502,2,0)</f>
        <v>J JILL</v>
      </c>
      <c r="D107" s="212">
        <v>0.36</v>
      </c>
      <c r="E107" s="6">
        <f>VLOOKUP(B107,'Sales profit (스타일 별 매출이익)'!$D$9:$P$491,13,0)</f>
        <v>8163</v>
      </c>
      <c r="F107" s="112">
        <f>IFERROR(VLOOKUP(B107,O.B.JUNE!$N$7:$Q$448,2,0),0)</f>
        <v>0</v>
      </c>
      <c r="G107" s="112">
        <f>IFERROR(VLOOKUP(B107,O.B.JUNE!$N$7:$Q$448,3,0),0)</f>
        <v>0</v>
      </c>
      <c r="H107" s="112">
        <f>IFERROR(VLOOKUP(B107,O.B.JUNE!$N$7:$Q$448,4,0),0)</f>
        <v>278</v>
      </c>
      <c r="I107" s="112">
        <f t="shared" si="12"/>
        <v>278</v>
      </c>
      <c r="J107" s="112">
        <f>IFERROR(VLOOKUP(B107,O.B.JUNE!$AA$7:$AG$448,7,0),0)</f>
        <v>7623342</v>
      </c>
      <c r="K107" s="112">
        <f>IFERROR(VLOOKUP(B107,O.B.JUNE!$AI$7:$AO$448,7,0),0)</f>
        <v>11623042</v>
      </c>
      <c r="L107" s="112">
        <f t="shared" si="13"/>
        <v>19246384</v>
      </c>
      <c r="M107" s="112">
        <f>ROUND(SUMIF('JUNE (물량흐름)'!$C$13:$C$502,'WIP(재공품)'!B107,'JUNE (물량흐름)'!$H$13:$H$502)+SUMIF('JUNE (물량흐름)'!$C$13:$C$502,'WIP(재공품)'!B107,'JUNE (물량흐름)'!$V$13:$V$502),0)</f>
        <v>0</v>
      </c>
      <c r="N107" s="112">
        <f>SUMIF('Direct labour(직접노무비)'!$C$12:$C$503,'WIP(재공품)'!B107,'Direct labour(직접노무비)'!$O$12:$O$503)</f>
        <v>0</v>
      </c>
      <c r="O107" s="112">
        <f>SUMIF('Overhead exp(제조경비)'!$C$12:$C$503,'WIP(재공품)'!B107,'Overhead exp(제조경비)'!$O$12:$O$503)</f>
        <v>0</v>
      </c>
      <c r="P107" s="112">
        <f t="shared" si="14"/>
        <v>0</v>
      </c>
      <c r="Q107" s="112">
        <v>0</v>
      </c>
      <c r="R107" s="112">
        <v>0</v>
      </c>
      <c r="S107" s="112">
        <f>SUMIF('JUNE (물량흐름)'!$C$13:$C$493,'WIP(재공품)'!B107,'JUNE (물량흐름)'!$T$13:$T$493)+SUMIF('JUNE (물량흐름)'!$C$13:$C$493,'WIP(재공품)'!B107,'JUNE (물량흐름)'!$U$13:$U$493)+SUMIF('JUNE (물량흐름)'!$C$13:$C$493,'WIP(재공품)'!B107,'JUNE (물량흐름)'!$V$13:$V$493)-SUMIF('JUNE (물량흐름)'!$C$13:$C$493,'WIP(재공품)'!B107,'JUNE (물량흐름)'!$Y$13:$Y$493)</f>
        <v>278</v>
      </c>
      <c r="T107" s="112">
        <f>SUMIF('JUNE (물량흐름)'!$C$13:$C$502,'WIP(재공품)'!B107,'JUNE (물량흐름)'!$Y$13:$Y$502)</f>
        <v>0</v>
      </c>
      <c r="U107" s="167">
        <f>SUMIF('Direct labour(직접노무비)'!$C$12:$C$503,'WIP(재공품)'!B107,'Direct labour(직접노무비)'!$U$12:$U$503)+SUMIF('Overhead exp(제조경비)'!$C$12:$C$503,'WIP(재공품)'!B107,'Overhead exp(제조경비)'!$U$12:$U$503)</f>
        <v>0</v>
      </c>
      <c r="V107" s="112">
        <f>SUMIF('Direct labour(직접노무비)'!$C$12:$C$503,'WIP(재공품)'!B107,'Direct labour(직접노무비)'!$Q$12:$Q$503)</f>
        <v>7623342</v>
      </c>
      <c r="W107" s="112">
        <f>SUMIF('Overhead exp(제조경비)'!$C$12:$C$503,'WIP(재공품)'!B107,'Overhead exp(제조경비)'!$Q$12:$Q$503)</f>
        <v>11623042</v>
      </c>
      <c r="X107" s="112">
        <f t="shared" si="15"/>
        <v>19246384</v>
      </c>
      <c r="Y107" s="112">
        <f ca="1">ROUND(SUMIF('JUNE (물량흐름)'!$C$13:$C$502,'WIP(재공품)'!B107,'JUNE (물량흐름)'!$N$13:$N$488),0)</f>
        <v>0</v>
      </c>
      <c r="Z107" s="112">
        <f>ROUND(SUMIF('JUNE (물량흐름)'!$C$13:$C$502,'WIP(재공품)'!B107,'JUNE (물량흐름)'!$O$13:$O$502),0)</f>
        <v>0</v>
      </c>
      <c r="AA107" s="112">
        <f>ROUND(SUMIF('JUNE (물량흐름)'!$C$13:$C$502,'WIP(재공품)'!B107,'JUNE (물량흐름)'!$P$13:$P$502),0)</f>
        <v>0</v>
      </c>
      <c r="AB107" s="112">
        <f t="shared" ca="1" si="16"/>
        <v>0</v>
      </c>
      <c r="AC107" s="112">
        <f t="shared" si="17"/>
        <v>0</v>
      </c>
      <c r="AD107" s="381">
        <f t="shared" ca="1" si="18"/>
        <v>0</v>
      </c>
      <c r="AE107" s="381">
        <f t="shared" si="19"/>
        <v>0</v>
      </c>
      <c r="AF107" s="382"/>
      <c r="AG107" s="382">
        <v>0.3</v>
      </c>
      <c r="AH107" s="383">
        <f t="shared" si="20"/>
        <v>0.06</v>
      </c>
      <c r="AJ107" s="383"/>
      <c r="AL107" s="385"/>
      <c r="AM107" s="381"/>
      <c r="AN107" s="382"/>
      <c r="AO107" s="382"/>
      <c r="AP107" s="383"/>
      <c r="AQ107" s="383"/>
    </row>
    <row r="108" spans="1:43" s="384" customFormat="1" ht="18.75" customHeight="1">
      <c r="A108" s="167">
        <v>97</v>
      </c>
      <c r="B108" s="240" t="str">
        <f>VLOOKUP(A108,'JUNE (물량흐름)'!$A$13:$C$502,3,0)</f>
        <v>KJT113771</v>
      </c>
      <c r="C108" s="21" t="str">
        <f>VLOOKUP(A108,'JUNE (물량흐름)'!$A$13:$C$502,2,0)</f>
        <v>J JILL</v>
      </c>
      <c r="D108" s="212">
        <v>0.36</v>
      </c>
      <c r="E108" s="6">
        <f>VLOOKUP(B108,'Sales profit (스타일 별 매출이익)'!$D$9:$P$491,13,0)</f>
        <v>8163</v>
      </c>
      <c r="F108" s="112">
        <f>IFERROR(VLOOKUP(B108,O.B.JUNE!$N$7:$Q$448,2,0),0)</f>
        <v>0</v>
      </c>
      <c r="G108" s="112">
        <f>IFERROR(VLOOKUP(B108,O.B.JUNE!$N$7:$Q$448,3,0),0)</f>
        <v>0</v>
      </c>
      <c r="H108" s="112">
        <f>IFERROR(VLOOKUP(B108,O.B.JUNE!$N$7:$Q$448,4,0),0)</f>
        <v>115</v>
      </c>
      <c r="I108" s="112">
        <f t="shared" si="12"/>
        <v>115</v>
      </c>
      <c r="J108" s="112">
        <f>IFERROR(VLOOKUP(B108,O.B.JUNE!$AA$7:$AG$448,7,0),0)</f>
        <v>3678420</v>
      </c>
      <c r="K108" s="112">
        <f>IFERROR(VLOOKUP(B108,O.B.JUNE!$AI$7:$AO$448,7,0),0)</f>
        <v>5370167</v>
      </c>
      <c r="L108" s="112">
        <f t="shared" si="13"/>
        <v>9048587</v>
      </c>
      <c r="M108" s="112">
        <f>ROUND(SUMIF('JUNE (물량흐름)'!$C$13:$C$502,'WIP(재공품)'!B108,'JUNE (물량흐름)'!$H$13:$H$502)+SUMIF('JUNE (물량흐름)'!$C$13:$C$502,'WIP(재공품)'!B108,'JUNE (물량흐름)'!$V$13:$V$502),0)</f>
        <v>0</v>
      </c>
      <c r="N108" s="112">
        <f>SUMIF('Direct labour(직접노무비)'!$C$12:$C$503,'WIP(재공품)'!B108,'Direct labour(직접노무비)'!$O$12:$O$503)</f>
        <v>0</v>
      </c>
      <c r="O108" s="112">
        <f>SUMIF('Overhead exp(제조경비)'!$C$12:$C$503,'WIP(재공품)'!B108,'Overhead exp(제조경비)'!$O$12:$O$503)</f>
        <v>0</v>
      </c>
      <c r="P108" s="112">
        <f t="shared" si="14"/>
        <v>0</v>
      </c>
      <c r="Q108" s="112">
        <v>0</v>
      </c>
      <c r="R108" s="112">
        <v>0</v>
      </c>
      <c r="S108" s="112">
        <f>SUMIF('JUNE (물량흐름)'!$C$13:$C$493,'WIP(재공품)'!B108,'JUNE (물량흐름)'!$T$13:$T$493)+SUMIF('JUNE (물량흐름)'!$C$13:$C$493,'WIP(재공품)'!B108,'JUNE (물량흐름)'!$U$13:$U$493)+SUMIF('JUNE (물량흐름)'!$C$13:$C$493,'WIP(재공품)'!B108,'JUNE (물량흐름)'!$V$13:$V$493)-SUMIF('JUNE (물량흐름)'!$C$13:$C$493,'WIP(재공품)'!B108,'JUNE (물량흐름)'!$Y$13:$Y$493)</f>
        <v>115</v>
      </c>
      <c r="T108" s="112">
        <f>SUMIF('JUNE (물량흐름)'!$C$13:$C$502,'WIP(재공품)'!B108,'JUNE (물량흐름)'!$Y$13:$Y$502)</f>
        <v>0</v>
      </c>
      <c r="U108" s="167">
        <f>SUMIF('Direct labour(직접노무비)'!$C$12:$C$503,'WIP(재공품)'!B108,'Direct labour(직접노무비)'!$U$12:$U$503)+SUMIF('Overhead exp(제조경비)'!$C$12:$C$503,'WIP(재공품)'!B108,'Overhead exp(제조경비)'!$U$12:$U$503)</f>
        <v>0</v>
      </c>
      <c r="V108" s="112">
        <f>SUMIF('Direct labour(직접노무비)'!$C$12:$C$503,'WIP(재공품)'!B108,'Direct labour(직접노무비)'!$Q$12:$Q$503)</f>
        <v>3678420</v>
      </c>
      <c r="W108" s="112">
        <f>SUMIF('Overhead exp(제조경비)'!$C$12:$C$503,'WIP(재공품)'!B108,'Overhead exp(제조경비)'!$Q$12:$Q$503)</f>
        <v>5370167</v>
      </c>
      <c r="X108" s="112">
        <f t="shared" si="15"/>
        <v>9048587</v>
      </c>
      <c r="Y108" s="112">
        <f ca="1">ROUND(SUMIF('JUNE (물량흐름)'!$C$13:$C$502,'WIP(재공품)'!B108,'JUNE (물량흐름)'!$N$13:$N$488),0)</f>
        <v>0</v>
      </c>
      <c r="Z108" s="112">
        <f>ROUND(SUMIF('JUNE (물량흐름)'!$C$13:$C$502,'WIP(재공품)'!B108,'JUNE (물량흐름)'!$O$13:$O$502),0)</f>
        <v>0</v>
      </c>
      <c r="AA108" s="112">
        <f>ROUND(SUMIF('JUNE (물량흐름)'!$C$13:$C$502,'WIP(재공품)'!B108,'JUNE (물량흐름)'!$P$13:$P$502),0)</f>
        <v>0</v>
      </c>
      <c r="AB108" s="112">
        <f t="shared" ca="1" si="16"/>
        <v>0</v>
      </c>
      <c r="AC108" s="112">
        <f t="shared" si="17"/>
        <v>0</v>
      </c>
      <c r="AD108" s="381">
        <f t="shared" ca="1" si="18"/>
        <v>0</v>
      </c>
      <c r="AE108" s="381">
        <f t="shared" si="19"/>
        <v>0</v>
      </c>
      <c r="AF108" s="382"/>
      <c r="AG108" s="382">
        <v>0</v>
      </c>
      <c r="AH108" s="383">
        <f t="shared" si="20"/>
        <v>0.36</v>
      </c>
      <c r="AJ108" s="383"/>
      <c r="AL108" s="385"/>
      <c r="AM108" s="381"/>
      <c r="AN108" s="382"/>
      <c r="AO108" s="382"/>
      <c r="AP108" s="383"/>
      <c r="AQ108" s="383"/>
    </row>
    <row r="109" spans="1:43" s="384" customFormat="1" ht="18.75" customHeight="1">
      <c r="A109" s="167">
        <v>98</v>
      </c>
      <c r="B109" s="240" t="str">
        <f>VLOOKUP(A109,'JUNE (물량흐름)'!$A$13:$C$502,3,0)</f>
        <v>KPT128561</v>
      </c>
      <c r="C109" s="21" t="str">
        <f>VLOOKUP(A109,'JUNE (물량흐름)'!$A$13:$C$502,2,0)</f>
        <v>J JILL</v>
      </c>
      <c r="D109" s="212">
        <v>1.53</v>
      </c>
      <c r="E109" s="6">
        <f>VLOOKUP(B109,'Sales profit (스타일 별 매출이익)'!$D$9:$P$491,13,0)</f>
        <v>34692.75</v>
      </c>
      <c r="F109" s="112">
        <f>IFERROR(VLOOKUP(B109,O.B.JUNE!$N$7:$Q$448,2,0),0)</f>
        <v>2919</v>
      </c>
      <c r="G109" s="112">
        <f>IFERROR(VLOOKUP(B109,O.B.JUNE!$N$7:$Q$448,3,0),0)</f>
        <v>2829</v>
      </c>
      <c r="H109" s="112">
        <f>IFERROR(VLOOKUP(B109,O.B.JUNE!$N$7:$Q$448,4,0),0)</f>
        <v>4991</v>
      </c>
      <c r="I109" s="112">
        <f t="shared" si="12"/>
        <v>10739</v>
      </c>
      <c r="J109" s="112">
        <f>IFERROR(VLOOKUP(B109,O.B.JUNE!$AA$7:$AG$448,7,0),0)</f>
        <v>74943778</v>
      </c>
      <c r="K109" s="112">
        <f>IFERROR(VLOOKUP(B109,O.B.JUNE!$AI$7:$AO$448,7,0),0)</f>
        <v>139012784</v>
      </c>
      <c r="L109" s="112">
        <f t="shared" si="13"/>
        <v>213956562</v>
      </c>
      <c r="M109" s="112">
        <f>ROUND(SUMIF('JUNE (물량흐름)'!$C$13:$C$502,'WIP(재공품)'!B109,'JUNE (물량흐름)'!$H$13:$H$502)+SUMIF('JUNE (물량흐름)'!$C$13:$C$502,'WIP(재공품)'!B109,'JUNE (물량흐름)'!$V$13:$V$502),0)</f>
        <v>1036</v>
      </c>
      <c r="N109" s="112">
        <f>SUMIF('Direct labour(직접노무비)'!$C$12:$C$503,'WIP(재공품)'!B109,'Direct labour(직접노무비)'!$O$12:$O$503)</f>
        <v>44130661</v>
      </c>
      <c r="O109" s="112">
        <f>SUMIF('Overhead exp(제조경비)'!$C$12:$C$503,'WIP(재공품)'!B109,'Overhead exp(제조경비)'!$O$12:$O$503)</f>
        <v>86219768</v>
      </c>
      <c r="P109" s="112">
        <f t="shared" si="14"/>
        <v>130350429</v>
      </c>
      <c r="Q109" s="112">
        <v>0</v>
      </c>
      <c r="R109" s="112">
        <v>0</v>
      </c>
      <c r="S109" s="112">
        <f>SUMIF('JUNE (물량흐름)'!$C$13:$C$493,'WIP(재공품)'!B109,'JUNE (물량흐름)'!$T$13:$T$493)+SUMIF('JUNE (물량흐름)'!$C$13:$C$493,'WIP(재공품)'!B109,'JUNE (물량흐름)'!$U$13:$U$493)+SUMIF('JUNE (물량흐름)'!$C$13:$C$493,'WIP(재공품)'!B109,'JUNE (물량흐름)'!$V$13:$V$493)-SUMIF('JUNE (물량흐름)'!$C$13:$C$493,'WIP(재공품)'!B109,'JUNE (물량흐름)'!$Y$13:$Y$493)</f>
        <v>6785</v>
      </c>
      <c r="T109" s="112">
        <f>SUMIF('JUNE (물량흐름)'!$C$13:$C$502,'WIP(재공품)'!B109,'JUNE (물량흐름)'!$Y$13:$Y$502)</f>
        <v>17</v>
      </c>
      <c r="U109" s="167">
        <f>SUMIF('Direct labour(직접노무비)'!$C$12:$C$503,'WIP(재공품)'!B109,'Direct labour(직접노무비)'!$U$12:$U$503)+SUMIF('Overhead exp(제조경비)'!$C$12:$C$503,'WIP(재공품)'!B109,'Overhead exp(제조경비)'!$U$12:$U$503)</f>
        <v>497089</v>
      </c>
      <c r="V109" s="112">
        <f>SUMIF('Direct labour(직접노무비)'!$C$12:$C$503,'WIP(재공품)'!B109,'Direct labour(직접노무비)'!$Q$12:$Q$503)</f>
        <v>68613169</v>
      </c>
      <c r="W109" s="112">
        <f>SUMIF('Overhead exp(제조경비)'!$C$12:$C$503,'WIP(재공품)'!B109,'Overhead exp(제조경비)'!$Q$12:$Q$503)</f>
        <v>129783683</v>
      </c>
      <c r="X109" s="112">
        <f t="shared" si="15"/>
        <v>198396852</v>
      </c>
      <c r="Y109" s="112">
        <f ca="1">ROUND(SUMIF('JUNE (물량흐름)'!$C$13:$C$502,'WIP(재공품)'!B109,'JUNE (물량흐름)'!$N$13:$N$488),0)</f>
        <v>654</v>
      </c>
      <c r="Z109" s="112">
        <f>ROUND(SUMIF('JUNE (물량흐름)'!$C$13:$C$502,'WIP(재공품)'!B109,'JUNE (물량흐름)'!$O$13:$O$502),0)</f>
        <v>947</v>
      </c>
      <c r="AA109" s="112">
        <f>ROUND(SUMIF('JUNE (물량흐름)'!$C$13:$C$502,'WIP(재공품)'!B109,'JUNE (물량흐름)'!$P$13:$P$502),0)</f>
        <v>3372</v>
      </c>
      <c r="AB109" s="112">
        <f t="shared" ca="1" si="16"/>
        <v>4973</v>
      </c>
      <c r="AC109" s="112">
        <f t="shared" si="17"/>
        <v>145413050</v>
      </c>
      <c r="AD109" s="381">
        <f t="shared" ca="1" si="18"/>
        <v>0</v>
      </c>
      <c r="AE109" s="381">
        <f t="shared" si="19"/>
        <v>0</v>
      </c>
      <c r="AF109" s="382"/>
      <c r="AG109" s="382">
        <v>0</v>
      </c>
      <c r="AH109" s="383">
        <f t="shared" si="20"/>
        <v>1.53</v>
      </c>
      <c r="AJ109" s="383"/>
      <c r="AL109" s="385"/>
      <c r="AM109" s="381"/>
      <c r="AN109" s="382"/>
      <c r="AO109" s="382"/>
      <c r="AP109" s="383"/>
      <c r="AQ109" s="383"/>
    </row>
    <row r="110" spans="1:43" s="384" customFormat="1" ht="18.75" customHeight="1">
      <c r="A110" s="167">
        <v>99</v>
      </c>
      <c r="B110" s="240" t="str">
        <f>VLOOKUP(A110,'JUNE (물량흐름)'!$A$13:$C$502,3,0)</f>
        <v>KTP101721</v>
      </c>
      <c r="C110" s="21" t="str">
        <f>VLOOKUP(A110,'JUNE (물량흐름)'!$A$13:$C$502,2,0)</f>
        <v>J JILL</v>
      </c>
      <c r="D110" s="212">
        <v>2.15</v>
      </c>
      <c r="E110" s="6">
        <f>VLOOKUP(B110,'Sales profit (스타일 별 매출이익)'!$D$9:$P$491,13,0)</f>
        <v>48751.25</v>
      </c>
      <c r="F110" s="112">
        <f>IFERROR(VLOOKUP(B110,O.B.JUNE!$N$7:$Q$448,2,0),0)</f>
        <v>0</v>
      </c>
      <c r="G110" s="112">
        <f>IFERROR(VLOOKUP(B110,O.B.JUNE!$N$7:$Q$448,3,0),0)</f>
        <v>0</v>
      </c>
      <c r="H110" s="112">
        <f>IFERROR(VLOOKUP(B110,O.B.JUNE!$N$7:$Q$448,4,0),0)</f>
        <v>440</v>
      </c>
      <c r="I110" s="112">
        <f t="shared" si="12"/>
        <v>440</v>
      </c>
      <c r="J110" s="112">
        <f>IFERROR(VLOOKUP(B110,O.B.JUNE!$AA$7:$AG$448,7,0),0)</f>
        <v>8868761</v>
      </c>
      <c r="K110" s="112">
        <f>IFERROR(VLOOKUP(B110,O.B.JUNE!$AI$7:$AO$448,7,0),0)</f>
        <v>12947605</v>
      </c>
      <c r="L110" s="112">
        <f t="shared" si="13"/>
        <v>21816366</v>
      </c>
      <c r="M110" s="112">
        <f>ROUND(SUMIF('JUNE (물량흐름)'!$C$13:$C$502,'WIP(재공품)'!B110,'JUNE (물량흐름)'!$H$13:$H$502)+SUMIF('JUNE (물량흐름)'!$C$13:$C$502,'WIP(재공품)'!B110,'JUNE (물량흐름)'!$V$13:$V$502),0)</f>
        <v>0</v>
      </c>
      <c r="N110" s="112">
        <f>SUMIF('Direct labour(직접노무비)'!$C$12:$C$503,'WIP(재공품)'!B110,'Direct labour(직접노무비)'!$O$12:$O$503)</f>
        <v>0</v>
      </c>
      <c r="O110" s="112">
        <f>SUMIF('Overhead exp(제조경비)'!$C$12:$C$503,'WIP(재공품)'!B110,'Overhead exp(제조경비)'!$O$12:$O$503)</f>
        <v>0</v>
      </c>
      <c r="P110" s="112">
        <f t="shared" si="14"/>
        <v>0</v>
      </c>
      <c r="Q110" s="112">
        <v>0</v>
      </c>
      <c r="R110" s="112">
        <v>0</v>
      </c>
      <c r="S110" s="112">
        <f>SUMIF('JUNE (물량흐름)'!$C$13:$C$493,'WIP(재공품)'!B110,'JUNE (물량흐름)'!$T$13:$T$493)+SUMIF('JUNE (물량흐름)'!$C$13:$C$493,'WIP(재공품)'!B110,'JUNE (물량흐름)'!$U$13:$U$493)+SUMIF('JUNE (물량흐름)'!$C$13:$C$493,'WIP(재공품)'!B110,'JUNE (물량흐름)'!$V$13:$V$493)-SUMIF('JUNE (물량흐름)'!$C$13:$C$493,'WIP(재공품)'!B110,'JUNE (물량흐름)'!$Y$13:$Y$493)</f>
        <v>440</v>
      </c>
      <c r="T110" s="112">
        <f>SUMIF('JUNE (물량흐름)'!$C$13:$C$502,'WIP(재공품)'!B110,'JUNE (물량흐름)'!$Y$13:$Y$502)</f>
        <v>0</v>
      </c>
      <c r="U110" s="167">
        <f>SUMIF('Direct labour(직접노무비)'!$C$12:$C$503,'WIP(재공품)'!B110,'Direct labour(직접노무비)'!$U$12:$U$503)+SUMIF('Overhead exp(제조경비)'!$C$12:$C$503,'WIP(재공품)'!B110,'Overhead exp(제조경비)'!$U$12:$U$503)</f>
        <v>0</v>
      </c>
      <c r="V110" s="112">
        <f>SUMIF('Direct labour(직접노무비)'!$C$12:$C$503,'WIP(재공품)'!B110,'Direct labour(직접노무비)'!$Q$12:$Q$503)</f>
        <v>8868761</v>
      </c>
      <c r="W110" s="112">
        <f>SUMIF('Overhead exp(제조경비)'!$C$12:$C$503,'WIP(재공품)'!B110,'Overhead exp(제조경비)'!$Q$12:$Q$503)</f>
        <v>12947605</v>
      </c>
      <c r="X110" s="112">
        <f t="shared" si="15"/>
        <v>21816366</v>
      </c>
      <c r="Y110" s="112">
        <f ca="1">ROUND(SUMIF('JUNE (물량흐름)'!$C$13:$C$502,'WIP(재공품)'!B110,'JUNE (물량흐름)'!$N$13:$N$488),0)</f>
        <v>0</v>
      </c>
      <c r="Z110" s="112">
        <f>ROUND(SUMIF('JUNE (물량흐름)'!$C$13:$C$502,'WIP(재공품)'!B110,'JUNE (물량흐름)'!$O$13:$O$502),0)</f>
        <v>0</v>
      </c>
      <c r="AA110" s="112">
        <f>ROUND(SUMIF('JUNE (물량흐름)'!$C$13:$C$502,'WIP(재공품)'!B110,'JUNE (물량흐름)'!$P$13:$P$502),0)</f>
        <v>0</v>
      </c>
      <c r="AB110" s="112">
        <f t="shared" ca="1" si="16"/>
        <v>0</v>
      </c>
      <c r="AC110" s="112">
        <f t="shared" si="17"/>
        <v>0</v>
      </c>
      <c r="AD110" s="381">
        <f t="shared" ca="1" si="18"/>
        <v>0</v>
      </c>
      <c r="AE110" s="381">
        <f t="shared" si="19"/>
        <v>0</v>
      </c>
      <c r="AF110" s="382"/>
      <c r="AG110" s="382">
        <v>0</v>
      </c>
      <c r="AH110" s="383">
        <f t="shared" si="20"/>
        <v>2.15</v>
      </c>
      <c r="AJ110" s="383"/>
      <c r="AL110" s="385"/>
      <c r="AM110" s="381"/>
      <c r="AN110" s="382"/>
      <c r="AO110" s="382"/>
      <c r="AP110" s="383"/>
      <c r="AQ110" s="383"/>
    </row>
    <row r="111" spans="1:43" s="384" customFormat="1" ht="18.75" customHeight="1">
      <c r="A111" s="167">
        <v>100</v>
      </c>
      <c r="B111" s="240" t="str">
        <f>VLOOKUP(A111,'JUNE (물량흐름)'!$A$13:$C$502,3,0)</f>
        <v>KTP109571</v>
      </c>
      <c r="C111" s="21" t="str">
        <f>VLOOKUP(A111,'JUNE (물량흐름)'!$A$13:$C$502,2,0)</f>
        <v>J JILL</v>
      </c>
      <c r="D111" s="212">
        <v>1.75</v>
      </c>
      <c r="E111" s="6">
        <f>VLOOKUP(B111,'Sales profit (스타일 별 매출이익)'!$D$9:$P$491,13,0)</f>
        <v>39681.25</v>
      </c>
      <c r="F111" s="112">
        <f>IFERROR(VLOOKUP(B111,O.B.JUNE!$N$7:$Q$448,2,0),0)</f>
        <v>0</v>
      </c>
      <c r="G111" s="112">
        <f>IFERROR(VLOOKUP(B111,O.B.JUNE!$N$7:$Q$448,3,0),0)</f>
        <v>0</v>
      </c>
      <c r="H111" s="112">
        <f>IFERROR(VLOOKUP(B111,O.B.JUNE!$N$7:$Q$448,4,0),0)</f>
        <v>79</v>
      </c>
      <c r="I111" s="112">
        <f t="shared" si="12"/>
        <v>79</v>
      </c>
      <c r="J111" s="112">
        <f>IFERROR(VLOOKUP(B111,O.B.JUNE!$AA$7:$AG$448,7,0),0)</f>
        <v>1310306</v>
      </c>
      <c r="K111" s="112">
        <f>IFERROR(VLOOKUP(B111,O.B.JUNE!$AI$7:$AO$448,7,0),0)</f>
        <v>1912931</v>
      </c>
      <c r="L111" s="112">
        <f t="shared" si="13"/>
        <v>3223237</v>
      </c>
      <c r="M111" s="112">
        <f>ROUND(SUMIF('JUNE (물량흐름)'!$C$13:$C$502,'WIP(재공품)'!B111,'JUNE (물량흐름)'!$H$13:$H$502)+SUMIF('JUNE (물량흐름)'!$C$13:$C$502,'WIP(재공품)'!B111,'JUNE (물량흐름)'!$V$13:$V$502),0)</f>
        <v>0</v>
      </c>
      <c r="N111" s="112">
        <f>SUMIF('Direct labour(직접노무비)'!$C$12:$C$503,'WIP(재공품)'!B111,'Direct labour(직접노무비)'!$O$12:$O$503)</f>
        <v>0</v>
      </c>
      <c r="O111" s="112">
        <f>SUMIF('Overhead exp(제조경비)'!$C$12:$C$503,'WIP(재공품)'!B111,'Overhead exp(제조경비)'!$O$12:$O$503)</f>
        <v>0</v>
      </c>
      <c r="P111" s="112">
        <f t="shared" si="14"/>
        <v>0</v>
      </c>
      <c r="Q111" s="112">
        <v>0</v>
      </c>
      <c r="R111" s="112">
        <v>0</v>
      </c>
      <c r="S111" s="112">
        <f>SUMIF('JUNE (물량흐름)'!$C$13:$C$493,'WIP(재공품)'!B111,'JUNE (물량흐름)'!$T$13:$T$493)+SUMIF('JUNE (물량흐름)'!$C$13:$C$493,'WIP(재공품)'!B111,'JUNE (물량흐름)'!$U$13:$U$493)+SUMIF('JUNE (물량흐름)'!$C$13:$C$493,'WIP(재공품)'!B111,'JUNE (물량흐름)'!$V$13:$V$493)-SUMIF('JUNE (물량흐름)'!$C$13:$C$493,'WIP(재공품)'!B111,'JUNE (물량흐름)'!$Y$13:$Y$493)</f>
        <v>79</v>
      </c>
      <c r="T111" s="112">
        <f>SUMIF('JUNE (물량흐름)'!$C$13:$C$502,'WIP(재공품)'!B111,'JUNE (물량흐름)'!$Y$13:$Y$502)</f>
        <v>0</v>
      </c>
      <c r="U111" s="167">
        <f>SUMIF('Direct labour(직접노무비)'!$C$12:$C$503,'WIP(재공품)'!B111,'Direct labour(직접노무비)'!$U$12:$U$503)+SUMIF('Overhead exp(제조경비)'!$C$12:$C$503,'WIP(재공품)'!B111,'Overhead exp(제조경비)'!$U$12:$U$503)</f>
        <v>0</v>
      </c>
      <c r="V111" s="112">
        <f>SUMIF('Direct labour(직접노무비)'!$C$12:$C$503,'WIP(재공품)'!B111,'Direct labour(직접노무비)'!$Q$12:$Q$503)</f>
        <v>1310306</v>
      </c>
      <c r="W111" s="112">
        <f>SUMIF('Overhead exp(제조경비)'!$C$12:$C$503,'WIP(재공품)'!B111,'Overhead exp(제조경비)'!$Q$12:$Q$503)</f>
        <v>1912931</v>
      </c>
      <c r="X111" s="112">
        <f t="shared" si="15"/>
        <v>3223237</v>
      </c>
      <c r="Y111" s="112">
        <f ca="1">ROUND(SUMIF('JUNE (물량흐름)'!$C$13:$C$502,'WIP(재공품)'!B111,'JUNE (물량흐름)'!$N$13:$N$488),0)</f>
        <v>0</v>
      </c>
      <c r="Z111" s="112">
        <f>ROUND(SUMIF('JUNE (물량흐름)'!$C$13:$C$502,'WIP(재공품)'!B111,'JUNE (물량흐름)'!$O$13:$O$502),0)</f>
        <v>0</v>
      </c>
      <c r="AA111" s="112">
        <f>ROUND(SUMIF('JUNE (물량흐름)'!$C$13:$C$502,'WIP(재공품)'!B111,'JUNE (물량흐름)'!$P$13:$P$502),0)</f>
        <v>0</v>
      </c>
      <c r="AB111" s="112">
        <f t="shared" ca="1" si="16"/>
        <v>0</v>
      </c>
      <c r="AC111" s="112">
        <f t="shared" si="17"/>
        <v>0</v>
      </c>
      <c r="AD111" s="381">
        <f t="shared" ca="1" si="18"/>
        <v>0</v>
      </c>
      <c r="AE111" s="381">
        <f t="shared" si="19"/>
        <v>0</v>
      </c>
      <c r="AF111" s="382"/>
      <c r="AG111" s="382">
        <v>0</v>
      </c>
      <c r="AH111" s="383">
        <f t="shared" si="20"/>
        <v>1.75</v>
      </c>
      <c r="AJ111" s="383"/>
      <c r="AL111" s="385"/>
      <c r="AM111" s="381"/>
      <c r="AN111" s="382"/>
      <c r="AO111" s="382"/>
      <c r="AP111" s="383"/>
      <c r="AQ111" s="383"/>
    </row>
    <row r="112" spans="1:43" s="384" customFormat="1" ht="18.75" customHeight="1">
      <c r="A112" s="167">
        <v>101</v>
      </c>
      <c r="B112" s="240" t="str">
        <f>VLOOKUP(A112,'JUNE (물량흐름)'!$A$13:$C$502,3,0)</f>
        <v>KTP109581</v>
      </c>
      <c r="C112" s="21" t="str">
        <f>VLOOKUP(A112,'JUNE (물량흐름)'!$A$13:$C$502,2,0)</f>
        <v>J JILL</v>
      </c>
      <c r="D112" s="212">
        <v>1.75</v>
      </c>
      <c r="E112" s="6">
        <f>VLOOKUP(B112,'Sales profit (스타일 별 매출이익)'!$D$9:$P$491,13,0)</f>
        <v>39681.25</v>
      </c>
      <c r="F112" s="112">
        <f>IFERROR(VLOOKUP(B112,O.B.JUNE!$N$7:$Q$448,2,0),0)</f>
        <v>0</v>
      </c>
      <c r="G112" s="112">
        <f>IFERROR(VLOOKUP(B112,O.B.JUNE!$N$7:$Q$448,3,0),0)</f>
        <v>0</v>
      </c>
      <c r="H112" s="112">
        <f>IFERROR(VLOOKUP(B112,O.B.JUNE!$N$7:$Q$448,4,0),0)</f>
        <v>434</v>
      </c>
      <c r="I112" s="112">
        <f t="shared" si="12"/>
        <v>434</v>
      </c>
      <c r="J112" s="112">
        <f>IFERROR(VLOOKUP(B112,O.B.JUNE!$AA$7:$AG$448,7,0),0)</f>
        <v>9772047</v>
      </c>
      <c r="K112" s="112">
        <f>IFERROR(VLOOKUP(B112,O.B.JUNE!$AI$7:$AO$448,7,0),0)</f>
        <v>13985474</v>
      </c>
      <c r="L112" s="112">
        <f t="shared" si="13"/>
        <v>23757521</v>
      </c>
      <c r="M112" s="112">
        <f>ROUND(SUMIF('JUNE (물량흐름)'!$C$13:$C$502,'WIP(재공품)'!B112,'JUNE (물량흐름)'!$H$13:$H$502)+SUMIF('JUNE (물량흐름)'!$C$13:$C$502,'WIP(재공품)'!B112,'JUNE (물량흐름)'!$V$13:$V$502),0)</f>
        <v>0</v>
      </c>
      <c r="N112" s="112">
        <f>SUMIF('Direct labour(직접노무비)'!$C$12:$C$503,'WIP(재공품)'!B112,'Direct labour(직접노무비)'!$O$12:$O$503)</f>
        <v>0</v>
      </c>
      <c r="O112" s="112">
        <f>SUMIF('Overhead exp(제조경비)'!$C$12:$C$503,'WIP(재공품)'!B112,'Overhead exp(제조경비)'!$O$12:$O$503)</f>
        <v>0</v>
      </c>
      <c r="P112" s="112">
        <f t="shared" si="14"/>
        <v>0</v>
      </c>
      <c r="Q112" s="112">
        <v>0</v>
      </c>
      <c r="R112" s="112">
        <v>0</v>
      </c>
      <c r="S112" s="112">
        <f>SUMIF('JUNE (물량흐름)'!$C$13:$C$493,'WIP(재공품)'!B112,'JUNE (물량흐름)'!$T$13:$T$493)+SUMIF('JUNE (물량흐름)'!$C$13:$C$493,'WIP(재공품)'!B112,'JUNE (물량흐름)'!$U$13:$U$493)+SUMIF('JUNE (물량흐름)'!$C$13:$C$493,'WIP(재공품)'!B112,'JUNE (물량흐름)'!$V$13:$V$493)-SUMIF('JUNE (물량흐름)'!$C$13:$C$493,'WIP(재공품)'!B112,'JUNE (물량흐름)'!$Y$13:$Y$493)</f>
        <v>434</v>
      </c>
      <c r="T112" s="112">
        <f>SUMIF('JUNE (물량흐름)'!$C$13:$C$502,'WIP(재공품)'!B112,'JUNE (물량흐름)'!$Y$13:$Y$502)</f>
        <v>0</v>
      </c>
      <c r="U112" s="167">
        <f>SUMIF('Direct labour(직접노무비)'!$C$12:$C$503,'WIP(재공품)'!B112,'Direct labour(직접노무비)'!$U$12:$U$503)+SUMIF('Overhead exp(제조경비)'!$C$12:$C$503,'WIP(재공품)'!B112,'Overhead exp(제조경비)'!$U$12:$U$503)</f>
        <v>0</v>
      </c>
      <c r="V112" s="112">
        <f>SUMIF('Direct labour(직접노무비)'!$C$12:$C$503,'WIP(재공품)'!B112,'Direct labour(직접노무비)'!$Q$12:$Q$503)</f>
        <v>9772047</v>
      </c>
      <c r="W112" s="112">
        <f>SUMIF('Overhead exp(제조경비)'!$C$12:$C$503,'WIP(재공품)'!B112,'Overhead exp(제조경비)'!$Q$12:$Q$503)</f>
        <v>13985474</v>
      </c>
      <c r="X112" s="112">
        <f t="shared" si="15"/>
        <v>23757521</v>
      </c>
      <c r="Y112" s="112">
        <f ca="1">ROUND(SUMIF('JUNE (물량흐름)'!$C$13:$C$502,'WIP(재공품)'!B112,'JUNE (물량흐름)'!$N$13:$N$488),0)</f>
        <v>0</v>
      </c>
      <c r="Z112" s="112">
        <f>ROUND(SUMIF('JUNE (물량흐름)'!$C$13:$C$502,'WIP(재공품)'!B112,'JUNE (물량흐름)'!$O$13:$O$502),0)</f>
        <v>0</v>
      </c>
      <c r="AA112" s="112">
        <f>ROUND(SUMIF('JUNE (물량흐름)'!$C$13:$C$502,'WIP(재공품)'!B112,'JUNE (물량흐름)'!$P$13:$P$502),0)</f>
        <v>0</v>
      </c>
      <c r="AB112" s="112">
        <f t="shared" ca="1" si="16"/>
        <v>0</v>
      </c>
      <c r="AC112" s="112">
        <f t="shared" si="17"/>
        <v>0</v>
      </c>
      <c r="AD112" s="381">
        <f t="shared" ca="1" si="18"/>
        <v>0</v>
      </c>
      <c r="AE112" s="381">
        <f t="shared" si="19"/>
        <v>0</v>
      </c>
      <c r="AF112" s="382"/>
      <c r="AG112" s="382">
        <v>0</v>
      </c>
      <c r="AH112" s="383">
        <f t="shared" si="20"/>
        <v>1.75</v>
      </c>
      <c r="AJ112" s="383"/>
      <c r="AL112" s="385"/>
      <c r="AM112" s="381"/>
      <c r="AN112" s="382"/>
      <c r="AO112" s="382"/>
      <c r="AP112" s="383"/>
      <c r="AQ112" s="383"/>
    </row>
    <row r="113" spans="1:43" s="384" customFormat="1" ht="18.75" customHeight="1">
      <c r="A113" s="167">
        <v>102</v>
      </c>
      <c r="B113" s="240" t="str">
        <f>VLOOKUP(A113,'JUNE (물량흐름)'!$A$13:$C$502,3,0)</f>
        <v>KTP112701</v>
      </c>
      <c r="C113" s="21" t="str">
        <f>VLOOKUP(A113,'JUNE (물량흐름)'!$A$13:$C$502,2,0)</f>
        <v>J JILL</v>
      </c>
      <c r="D113" s="212">
        <v>0.35</v>
      </c>
      <c r="E113" s="6">
        <f>VLOOKUP(B113,'Sales profit (스타일 별 매출이익)'!$D$9:$P$491,13,0)</f>
        <v>7936.2499999999991</v>
      </c>
      <c r="F113" s="112">
        <f>IFERROR(VLOOKUP(B113,O.B.JUNE!$N$7:$Q$448,2,0),0)</f>
        <v>0</v>
      </c>
      <c r="G113" s="112">
        <f>IFERROR(VLOOKUP(B113,O.B.JUNE!$N$7:$Q$448,3,0),0)</f>
        <v>0</v>
      </c>
      <c r="H113" s="112">
        <f>IFERROR(VLOOKUP(B113,O.B.JUNE!$N$7:$Q$448,4,0),0)</f>
        <v>727</v>
      </c>
      <c r="I113" s="112">
        <f t="shared" si="12"/>
        <v>727</v>
      </c>
      <c r="J113" s="112">
        <f>IFERROR(VLOOKUP(B113,O.B.JUNE!$AA$7:$AG$448,7,0),0)</f>
        <v>12680520</v>
      </c>
      <c r="K113" s="112">
        <f>IFERROR(VLOOKUP(B113,O.B.JUNE!$AI$7:$AO$448,7,0),0)</f>
        <v>18722870</v>
      </c>
      <c r="L113" s="112">
        <f t="shared" si="13"/>
        <v>31403390</v>
      </c>
      <c r="M113" s="112">
        <f>ROUND(SUMIF('JUNE (물량흐름)'!$C$13:$C$502,'WIP(재공품)'!B113,'JUNE (물량흐름)'!$H$13:$H$502)+SUMIF('JUNE (물량흐름)'!$C$13:$C$502,'WIP(재공품)'!B113,'JUNE (물량흐름)'!$V$13:$V$502),0)</f>
        <v>0</v>
      </c>
      <c r="N113" s="112">
        <f>SUMIF('Direct labour(직접노무비)'!$C$12:$C$503,'WIP(재공품)'!B113,'Direct labour(직접노무비)'!$O$12:$O$503)</f>
        <v>0</v>
      </c>
      <c r="O113" s="112">
        <f>SUMIF('Overhead exp(제조경비)'!$C$12:$C$503,'WIP(재공품)'!B113,'Overhead exp(제조경비)'!$O$12:$O$503)</f>
        <v>0</v>
      </c>
      <c r="P113" s="112">
        <f t="shared" si="14"/>
        <v>0</v>
      </c>
      <c r="Q113" s="112">
        <v>0</v>
      </c>
      <c r="R113" s="112">
        <v>0</v>
      </c>
      <c r="S113" s="112">
        <f>SUMIF('JUNE (물량흐름)'!$C$13:$C$493,'WIP(재공품)'!B113,'JUNE (물량흐름)'!$T$13:$T$493)+SUMIF('JUNE (물량흐름)'!$C$13:$C$493,'WIP(재공품)'!B113,'JUNE (물량흐름)'!$U$13:$U$493)+SUMIF('JUNE (물량흐름)'!$C$13:$C$493,'WIP(재공품)'!B113,'JUNE (물량흐름)'!$V$13:$V$493)-SUMIF('JUNE (물량흐름)'!$C$13:$C$493,'WIP(재공품)'!B113,'JUNE (물량흐름)'!$Y$13:$Y$493)</f>
        <v>727</v>
      </c>
      <c r="T113" s="112">
        <f>SUMIF('JUNE (물량흐름)'!$C$13:$C$502,'WIP(재공품)'!B113,'JUNE (물량흐름)'!$Y$13:$Y$502)</f>
        <v>0</v>
      </c>
      <c r="U113" s="167">
        <f>SUMIF('Direct labour(직접노무비)'!$C$12:$C$503,'WIP(재공품)'!B113,'Direct labour(직접노무비)'!$U$12:$U$503)+SUMIF('Overhead exp(제조경비)'!$C$12:$C$503,'WIP(재공품)'!B113,'Overhead exp(제조경비)'!$U$12:$U$503)</f>
        <v>0</v>
      </c>
      <c r="V113" s="112">
        <f>SUMIF('Direct labour(직접노무비)'!$C$12:$C$503,'WIP(재공품)'!B113,'Direct labour(직접노무비)'!$Q$12:$Q$503)</f>
        <v>12680520</v>
      </c>
      <c r="W113" s="112">
        <f>SUMIF('Overhead exp(제조경비)'!$C$12:$C$503,'WIP(재공품)'!B113,'Overhead exp(제조경비)'!$Q$12:$Q$503)</f>
        <v>18722870</v>
      </c>
      <c r="X113" s="112">
        <f t="shared" si="15"/>
        <v>31403390</v>
      </c>
      <c r="Y113" s="112">
        <f ca="1">ROUND(SUMIF('JUNE (물량흐름)'!$C$13:$C$502,'WIP(재공품)'!B113,'JUNE (물량흐름)'!$N$13:$N$488),0)</f>
        <v>0</v>
      </c>
      <c r="Z113" s="112">
        <f>ROUND(SUMIF('JUNE (물량흐름)'!$C$13:$C$502,'WIP(재공품)'!B113,'JUNE (물량흐름)'!$O$13:$O$502),0)</f>
        <v>0</v>
      </c>
      <c r="AA113" s="112">
        <f>ROUND(SUMIF('JUNE (물량흐름)'!$C$13:$C$502,'WIP(재공품)'!B113,'JUNE (물량흐름)'!$P$13:$P$502),0)</f>
        <v>0</v>
      </c>
      <c r="AB113" s="112">
        <f t="shared" ca="1" si="16"/>
        <v>0</v>
      </c>
      <c r="AC113" s="112">
        <f t="shared" si="17"/>
        <v>0</v>
      </c>
      <c r="AD113" s="381">
        <f t="shared" ca="1" si="18"/>
        <v>0</v>
      </c>
      <c r="AE113" s="381">
        <f t="shared" si="19"/>
        <v>0</v>
      </c>
      <c r="AF113" s="382"/>
      <c r="AG113" s="382">
        <v>0</v>
      </c>
      <c r="AH113" s="383">
        <f t="shared" si="20"/>
        <v>0.35</v>
      </c>
      <c r="AJ113" s="383"/>
      <c r="AL113" s="385"/>
      <c r="AM113" s="381"/>
      <c r="AN113" s="382"/>
      <c r="AO113" s="382"/>
      <c r="AP113" s="383"/>
      <c r="AQ113" s="383"/>
    </row>
    <row r="114" spans="1:43" s="384" customFormat="1" ht="18.75" customHeight="1">
      <c r="A114" s="167">
        <v>103</v>
      </c>
      <c r="B114" s="240" t="str">
        <f>VLOOKUP(A114,'JUNE (물량흐름)'!$A$13:$C$502,3,0)</f>
        <v>JMML9R1668</v>
      </c>
      <c r="C114" s="21" t="str">
        <f>VLOOKUP(A114,'JUNE (물량흐름)'!$A$13:$C$502,2,0)</f>
        <v>JONES NY</v>
      </c>
      <c r="D114" s="212">
        <v>0.35</v>
      </c>
      <c r="E114" s="6">
        <f>VLOOKUP(B114,'Sales profit (스타일 별 매출이익)'!$D$9:$P$491,13,0)</f>
        <v>7936.2499999999991</v>
      </c>
      <c r="F114" s="112">
        <f>IFERROR(VLOOKUP(B114,O.B.JUNE!$N$7:$Q$448,2,0),0)</f>
        <v>0</v>
      </c>
      <c r="G114" s="112">
        <f>IFERROR(VLOOKUP(B114,O.B.JUNE!$N$7:$Q$448,3,0),0)</f>
        <v>0</v>
      </c>
      <c r="H114" s="112">
        <f>IFERROR(VLOOKUP(B114,O.B.JUNE!$N$7:$Q$448,4,0),0)</f>
        <v>614</v>
      </c>
      <c r="I114" s="112">
        <f t="shared" si="12"/>
        <v>614</v>
      </c>
      <c r="J114" s="112">
        <f>IFERROR(VLOOKUP(B114,O.B.JUNE!$AA$7:$AG$448,7,0),0)</f>
        <v>4267732</v>
      </c>
      <c r="K114" s="112">
        <f>IFERROR(VLOOKUP(B114,O.B.JUNE!$AI$7:$AO$448,7,0),0)</f>
        <v>6230510</v>
      </c>
      <c r="L114" s="112">
        <f t="shared" si="13"/>
        <v>10498242</v>
      </c>
      <c r="M114" s="112">
        <f>ROUND(SUMIF('JUNE (물량흐름)'!$C$13:$C$502,'WIP(재공품)'!B114,'JUNE (물량흐름)'!$H$13:$H$502)+SUMIF('JUNE (물량흐름)'!$C$13:$C$502,'WIP(재공품)'!B114,'JUNE (물량흐름)'!$V$13:$V$502),0)</f>
        <v>0</v>
      </c>
      <c r="N114" s="112">
        <f>SUMIF('Direct labour(직접노무비)'!$C$12:$C$503,'WIP(재공품)'!B114,'Direct labour(직접노무비)'!$O$12:$O$503)</f>
        <v>0</v>
      </c>
      <c r="O114" s="112">
        <f>SUMIF('Overhead exp(제조경비)'!$C$12:$C$503,'WIP(재공품)'!B114,'Overhead exp(제조경비)'!$O$12:$O$503)</f>
        <v>0</v>
      </c>
      <c r="P114" s="112">
        <f t="shared" si="14"/>
        <v>0</v>
      </c>
      <c r="Q114" s="112">
        <v>0</v>
      </c>
      <c r="R114" s="112">
        <v>0</v>
      </c>
      <c r="S114" s="112">
        <f>SUMIF('JUNE (물량흐름)'!$C$13:$C$493,'WIP(재공품)'!B114,'JUNE (물량흐름)'!$T$13:$T$493)+SUMIF('JUNE (물량흐름)'!$C$13:$C$493,'WIP(재공품)'!B114,'JUNE (물량흐름)'!$U$13:$U$493)+SUMIF('JUNE (물량흐름)'!$C$13:$C$493,'WIP(재공품)'!B114,'JUNE (물량흐름)'!$V$13:$V$493)-SUMIF('JUNE (물량흐름)'!$C$13:$C$493,'WIP(재공품)'!B114,'JUNE (물량흐름)'!$Y$13:$Y$493)</f>
        <v>614</v>
      </c>
      <c r="T114" s="112">
        <f>SUMIF('JUNE (물량흐름)'!$C$13:$C$502,'WIP(재공품)'!B114,'JUNE (물량흐름)'!$Y$13:$Y$502)</f>
        <v>0</v>
      </c>
      <c r="U114" s="167">
        <f>SUMIF('Direct labour(직접노무비)'!$C$12:$C$503,'WIP(재공품)'!B114,'Direct labour(직접노무비)'!$U$12:$U$503)+SUMIF('Overhead exp(제조경비)'!$C$12:$C$503,'WIP(재공품)'!B114,'Overhead exp(제조경비)'!$U$12:$U$503)</f>
        <v>0</v>
      </c>
      <c r="V114" s="112">
        <f>SUMIF('Direct labour(직접노무비)'!$C$12:$C$503,'WIP(재공품)'!B114,'Direct labour(직접노무비)'!$Q$12:$Q$503)</f>
        <v>4267732</v>
      </c>
      <c r="W114" s="112">
        <f>SUMIF('Overhead exp(제조경비)'!$C$12:$C$503,'WIP(재공품)'!B114,'Overhead exp(제조경비)'!$Q$12:$Q$503)</f>
        <v>6230510</v>
      </c>
      <c r="X114" s="112">
        <f t="shared" si="15"/>
        <v>10498242</v>
      </c>
      <c r="Y114" s="112">
        <f ca="1">ROUND(SUMIF('JUNE (물량흐름)'!$C$13:$C$502,'WIP(재공품)'!B114,'JUNE (물량흐름)'!$N$13:$N$488),0)</f>
        <v>0</v>
      </c>
      <c r="Z114" s="112">
        <f>ROUND(SUMIF('JUNE (물량흐름)'!$C$13:$C$502,'WIP(재공품)'!B114,'JUNE (물량흐름)'!$O$13:$O$502),0)</f>
        <v>0</v>
      </c>
      <c r="AA114" s="112">
        <f>ROUND(SUMIF('JUNE (물량흐름)'!$C$13:$C$502,'WIP(재공품)'!B114,'JUNE (물량흐름)'!$P$13:$P$502),0)</f>
        <v>0</v>
      </c>
      <c r="AB114" s="112">
        <f t="shared" ca="1" si="16"/>
        <v>0</v>
      </c>
      <c r="AC114" s="112">
        <f t="shared" si="17"/>
        <v>0</v>
      </c>
      <c r="AD114" s="381">
        <f t="shared" ca="1" si="18"/>
        <v>0</v>
      </c>
      <c r="AE114" s="381">
        <f t="shared" si="19"/>
        <v>0</v>
      </c>
      <c r="AF114" s="382"/>
      <c r="AG114" s="382">
        <v>0</v>
      </c>
      <c r="AH114" s="383">
        <f t="shared" si="20"/>
        <v>0.35</v>
      </c>
      <c r="AJ114" s="383"/>
      <c r="AL114" s="385"/>
      <c r="AM114" s="381"/>
      <c r="AN114" s="382"/>
      <c r="AO114" s="382"/>
      <c r="AP114" s="383"/>
      <c r="AQ114" s="383"/>
    </row>
    <row r="115" spans="1:43" s="384" customFormat="1" ht="18.75" customHeight="1">
      <c r="A115" s="167">
        <v>104</v>
      </c>
      <c r="B115" s="240" t="str">
        <f>VLOOKUP(A115,'JUNE (물량흐름)'!$A$13:$C$502,3,0)</f>
        <v>JPMR8KT003</v>
      </c>
      <c r="C115" s="21" t="str">
        <f>VLOOKUP(A115,'JUNE (물량흐름)'!$A$13:$C$502,2,0)</f>
        <v>JONES NY</v>
      </c>
      <c r="D115" s="212">
        <v>1.75</v>
      </c>
      <c r="E115" s="6">
        <f>VLOOKUP(B115,'Sales profit (스타일 별 매출이익)'!$D$9:$P$491,13,0)</f>
        <v>39681.25</v>
      </c>
      <c r="F115" s="112">
        <f>IFERROR(VLOOKUP(B115,O.B.JUNE!$N$7:$Q$448,2,0),0)</f>
        <v>0</v>
      </c>
      <c r="G115" s="112">
        <f>IFERROR(VLOOKUP(B115,O.B.JUNE!$N$7:$Q$448,3,0),0)</f>
        <v>0</v>
      </c>
      <c r="H115" s="112">
        <f>IFERROR(VLOOKUP(B115,O.B.JUNE!$N$7:$Q$448,4,0),0)</f>
        <v>58</v>
      </c>
      <c r="I115" s="112">
        <f t="shared" si="12"/>
        <v>58</v>
      </c>
      <c r="J115" s="112">
        <f>IFERROR(VLOOKUP(B115,O.B.JUNE!$AA$7:$AG$448,7,0),0)</f>
        <v>124973</v>
      </c>
      <c r="K115" s="112">
        <f>IFERROR(VLOOKUP(B115,O.B.JUNE!$AI$7:$AO$448,7,0),0)</f>
        <v>182450</v>
      </c>
      <c r="L115" s="112">
        <f t="shared" si="13"/>
        <v>307423</v>
      </c>
      <c r="M115" s="112">
        <f>ROUND(SUMIF('JUNE (물량흐름)'!$C$13:$C$502,'WIP(재공품)'!B115,'JUNE (물량흐름)'!$H$13:$H$502)+SUMIF('JUNE (물량흐름)'!$C$13:$C$502,'WIP(재공품)'!B115,'JUNE (물량흐름)'!$V$13:$V$502),0)</f>
        <v>0</v>
      </c>
      <c r="N115" s="112">
        <f>SUMIF('Direct labour(직접노무비)'!$C$12:$C$503,'WIP(재공품)'!B115,'Direct labour(직접노무비)'!$O$12:$O$503)</f>
        <v>0</v>
      </c>
      <c r="O115" s="112">
        <f>SUMIF('Overhead exp(제조경비)'!$C$12:$C$503,'WIP(재공품)'!B115,'Overhead exp(제조경비)'!$O$12:$O$503)</f>
        <v>0</v>
      </c>
      <c r="P115" s="112">
        <f t="shared" si="14"/>
        <v>0</v>
      </c>
      <c r="Q115" s="112">
        <v>0</v>
      </c>
      <c r="R115" s="112">
        <v>0</v>
      </c>
      <c r="S115" s="112">
        <f>SUMIF('JUNE (물량흐름)'!$C$13:$C$493,'WIP(재공품)'!B115,'JUNE (물량흐름)'!$T$13:$T$493)+SUMIF('JUNE (물량흐름)'!$C$13:$C$493,'WIP(재공품)'!B115,'JUNE (물량흐름)'!$U$13:$U$493)+SUMIF('JUNE (물량흐름)'!$C$13:$C$493,'WIP(재공품)'!B115,'JUNE (물량흐름)'!$V$13:$V$493)-SUMIF('JUNE (물량흐름)'!$C$13:$C$493,'WIP(재공품)'!B115,'JUNE (물량흐름)'!$Y$13:$Y$493)</f>
        <v>58</v>
      </c>
      <c r="T115" s="112">
        <f>SUMIF('JUNE (물량흐름)'!$C$13:$C$502,'WIP(재공품)'!B115,'JUNE (물량흐름)'!$Y$13:$Y$502)</f>
        <v>0</v>
      </c>
      <c r="U115" s="167">
        <f>SUMIF('Direct labour(직접노무비)'!$C$12:$C$503,'WIP(재공품)'!B115,'Direct labour(직접노무비)'!$U$12:$U$503)+SUMIF('Overhead exp(제조경비)'!$C$12:$C$503,'WIP(재공품)'!B115,'Overhead exp(제조경비)'!$U$12:$U$503)</f>
        <v>0</v>
      </c>
      <c r="V115" s="112">
        <f>SUMIF('Direct labour(직접노무비)'!$C$12:$C$503,'WIP(재공품)'!B115,'Direct labour(직접노무비)'!$Q$12:$Q$503)</f>
        <v>124973</v>
      </c>
      <c r="W115" s="112">
        <f>SUMIF('Overhead exp(제조경비)'!$C$12:$C$503,'WIP(재공품)'!B115,'Overhead exp(제조경비)'!$Q$12:$Q$503)</f>
        <v>182450</v>
      </c>
      <c r="X115" s="112">
        <f t="shared" si="15"/>
        <v>307423</v>
      </c>
      <c r="Y115" s="112">
        <f ca="1">ROUND(SUMIF('JUNE (물량흐름)'!$C$13:$C$502,'WIP(재공품)'!B115,'JUNE (물량흐름)'!$N$13:$N$488),0)</f>
        <v>0</v>
      </c>
      <c r="Z115" s="112">
        <f>ROUND(SUMIF('JUNE (물량흐름)'!$C$13:$C$502,'WIP(재공품)'!B115,'JUNE (물량흐름)'!$O$13:$O$502),0)</f>
        <v>0</v>
      </c>
      <c r="AA115" s="112">
        <f>ROUND(SUMIF('JUNE (물량흐름)'!$C$13:$C$502,'WIP(재공품)'!B115,'JUNE (물량흐름)'!$P$13:$P$502),0)</f>
        <v>0</v>
      </c>
      <c r="AB115" s="112">
        <f t="shared" ca="1" si="16"/>
        <v>0</v>
      </c>
      <c r="AC115" s="112">
        <f t="shared" si="17"/>
        <v>0</v>
      </c>
      <c r="AD115" s="381">
        <f t="shared" ca="1" si="18"/>
        <v>0</v>
      </c>
      <c r="AE115" s="381">
        <f t="shared" si="19"/>
        <v>0</v>
      </c>
      <c r="AF115" s="382"/>
      <c r="AG115" s="382">
        <v>0</v>
      </c>
      <c r="AH115" s="383">
        <f t="shared" si="20"/>
        <v>1.75</v>
      </c>
      <c r="AJ115" s="383"/>
      <c r="AL115" s="385"/>
      <c r="AM115" s="381"/>
      <c r="AN115" s="382"/>
      <c r="AO115" s="382"/>
      <c r="AP115" s="383"/>
      <c r="AQ115" s="383"/>
    </row>
    <row r="116" spans="1:43" s="384" customFormat="1" ht="18.75" customHeight="1">
      <c r="A116" s="167">
        <v>105</v>
      </c>
      <c r="B116" s="240" t="str">
        <f>VLOOKUP(A116,'JUNE (물량흐름)'!$A$13:$C$502,3,0)</f>
        <v>RK381915MI</v>
      </c>
      <c r="C116" s="21" t="str">
        <f>VLOOKUP(A116,'JUNE (물량흐름)'!$A$13:$C$502,2,0)</f>
        <v>NORDSTROM</v>
      </c>
      <c r="D116" s="212">
        <v>0.9</v>
      </c>
      <c r="E116" s="6">
        <f>VLOOKUP(B116,'Sales profit (스타일 별 매출이익)'!$D$9:$P$491,13,0)</f>
        <v>20407.5</v>
      </c>
      <c r="F116" s="112">
        <f>IFERROR(VLOOKUP(B116,O.B.JUNE!$N$7:$Q$448,2,0),0)</f>
        <v>0</v>
      </c>
      <c r="G116" s="112">
        <f>IFERROR(VLOOKUP(B116,O.B.JUNE!$N$7:$Q$448,3,0),0)</f>
        <v>0</v>
      </c>
      <c r="H116" s="112">
        <f>IFERROR(VLOOKUP(B116,O.B.JUNE!$N$7:$Q$448,4,0),0)</f>
        <v>6</v>
      </c>
      <c r="I116" s="112">
        <f t="shared" si="12"/>
        <v>6</v>
      </c>
      <c r="J116" s="112">
        <f>IFERROR(VLOOKUP(B116,O.B.JUNE!$AA$7:$AG$448,7,0),0)</f>
        <v>135402</v>
      </c>
      <c r="K116" s="112">
        <f>IFERROR(VLOOKUP(B116,O.B.JUNE!$AI$7:$AO$448,7,0),0)</f>
        <v>206170</v>
      </c>
      <c r="L116" s="112">
        <f t="shared" si="13"/>
        <v>341572</v>
      </c>
      <c r="M116" s="112">
        <f>ROUND(SUMIF('JUNE (물량흐름)'!$C$13:$C$502,'WIP(재공품)'!B116,'JUNE (물량흐름)'!$H$13:$H$502)+SUMIF('JUNE (물량흐름)'!$C$13:$C$502,'WIP(재공품)'!B116,'JUNE (물량흐름)'!$V$13:$V$502),0)</f>
        <v>0</v>
      </c>
      <c r="N116" s="112">
        <f>SUMIF('Direct labour(직접노무비)'!$C$12:$C$503,'WIP(재공품)'!B116,'Direct labour(직접노무비)'!$O$12:$O$503)</f>
        <v>0</v>
      </c>
      <c r="O116" s="112">
        <f>SUMIF('Overhead exp(제조경비)'!$C$12:$C$503,'WIP(재공품)'!B116,'Overhead exp(제조경비)'!$O$12:$O$503)</f>
        <v>0</v>
      </c>
      <c r="P116" s="112">
        <f t="shared" si="14"/>
        <v>0</v>
      </c>
      <c r="Q116" s="112">
        <v>0</v>
      </c>
      <c r="R116" s="112">
        <v>0</v>
      </c>
      <c r="S116" s="112">
        <f>SUMIF('JUNE (물량흐름)'!$C$13:$C$493,'WIP(재공품)'!B116,'JUNE (물량흐름)'!$T$13:$T$493)+SUMIF('JUNE (물량흐름)'!$C$13:$C$493,'WIP(재공품)'!B116,'JUNE (물량흐름)'!$U$13:$U$493)+SUMIF('JUNE (물량흐름)'!$C$13:$C$493,'WIP(재공품)'!B116,'JUNE (물량흐름)'!$V$13:$V$493)-SUMIF('JUNE (물량흐름)'!$C$13:$C$493,'WIP(재공품)'!B116,'JUNE (물량흐름)'!$Y$13:$Y$493)</f>
        <v>6</v>
      </c>
      <c r="T116" s="112">
        <f>SUMIF('JUNE (물량흐름)'!$C$13:$C$502,'WIP(재공품)'!B116,'JUNE (물량흐름)'!$Y$13:$Y$502)</f>
        <v>0</v>
      </c>
      <c r="U116" s="167">
        <f>SUMIF('Direct labour(직접노무비)'!$C$12:$C$503,'WIP(재공품)'!B116,'Direct labour(직접노무비)'!$U$12:$U$503)+SUMIF('Overhead exp(제조경비)'!$C$12:$C$503,'WIP(재공품)'!B116,'Overhead exp(제조경비)'!$U$12:$U$503)</f>
        <v>0</v>
      </c>
      <c r="V116" s="112">
        <f>SUMIF('Direct labour(직접노무비)'!$C$12:$C$503,'WIP(재공품)'!B116,'Direct labour(직접노무비)'!$Q$12:$Q$503)</f>
        <v>135402</v>
      </c>
      <c r="W116" s="112">
        <f>SUMIF('Overhead exp(제조경비)'!$C$12:$C$503,'WIP(재공품)'!B116,'Overhead exp(제조경비)'!$Q$12:$Q$503)</f>
        <v>206170</v>
      </c>
      <c r="X116" s="112">
        <f t="shared" si="15"/>
        <v>341572</v>
      </c>
      <c r="Y116" s="112">
        <f ca="1">ROUND(SUMIF('JUNE (물량흐름)'!$C$13:$C$502,'WIP(재공품)'!B116,'JUNE (물량흐름)'!$N$13:$N$488),0)</f>
        <v>0</v>
      </c>
      <c r="Z116" s="112">
        <f>ROUND(SUMIF('JUNE (물량흐름)'!$C$13:$C$502,'WIP(재공품)'!B116,'JUNE (물량흐름)'!$O$13:$O$502),0)</f>
        <v>0</v>
      </c>
      <c r="AA116" s="112">
        <f>ROUND(SUMIF('JUNE (물량흐름)'!$C$13:$C$502,'WIP(재공품)'!B116,'JUNE (물량흐름)'!$P$13:$P$502),0)</f>
        <v>0</v>
      </c>
      <c r="AB116" s="112">
        <f t="shared" ca="1" si="16"/>
        <v>0</v>
      </c>
      <c r="AC116" s="112">
        <f t="shared" si="17"/>
        <v>0</v>
      </c>
      <c r="AD116" s="381">
        <f t="shared" ca="1" si="18"/>
        <v>0</v>
      </c>
      <c r="AE116" s="381">
        <f t="shared" si="19"/>
        <v>0</v>
      </c>
      <c r="AF116" s="382"/>
      <c r="AG116" s="382">
        <v>0</v>
      </c>
      <c r="AH116" s="383">
        <f t="shared" si="20"/>
        <v>0.9</v>
      </c>
      <c r="AJ116" s="383"/>
      <c r="AL116" s="385"/>
      <c r="AM116" s="381"/>
      <c r="AN116" s="382"/>
      <c r="AO116" s="382"/>
      <c r="AP116" s="383"/>
      <c r="AQ116" s="383"/>
    </row>
    <row r="117" spans="1:43" s="387" customFormat="1" ht="18.75" customHeight="1">
      <c r="A117" s="167">
        <v>106</v>
      </c>
      <c r="B117" s="240" t="str">
        <f>VLOOKUP(A117,'JUNE (물량흐름)'!$A$13:$C$502,3,0)</f>
        <v>BP381321MI</v>
      </c>
      <c r="C117" s="21" t="str">
        <f>VLOOKUP(A117,'JUNE (물량흐름)'!$A$13:$C$502,2,0)</f>
        <v>NORDSTROM</v>
      </c>
      <c r="D117" s="212">
        <v>0.35</v>
      </c>
      <c r="E117" s="6">
        <f>VLOOKUP(B117,'Sales profit (스타일 별 매출이익)'!$D$9:$P$491,13,0)</f>
        <v>7936.2499999999991</v>
      </c>
      <c r="F117" s="112">
        <f>IFERROR(VLOOKUP(B117,O.B.JUNE!$N$7:$Q$448,2,0),0)</f>
        <v>0</v>
      </c>
      <c r="G117" s="112">
        <f>IFERROR(VLOOKUP(B117,O.B.JUNE!$N$7:$Q$448,3,0),0)</f>
        <v>0</v>
      </c>
      <c r="H117" s="112">
        <f>IFERROR(VLOOKUP(B117,O.B.JUNE!$N$7:$Q$448,4,0),0)</f>
        <v>144</v>
      </c>
      <c r="I117" s="112">
        <f t="shared" si="12"/>
        <v>144</v>
      </c>
      <c r="J117" s="112">
        <f>IFERROR(VLOOKUP(B117,O.B.JUNE!$AA$7:$AG$448,7,0),0)</f>
        <v>1998957</v>
      </c>
      <c r="K117" s="112">
        <f>IFERROR(VLOOKUP(B117,O.B.JUNE!$AI$7:$AO$448,7,0),0)</f>
        <v>2918299</v>
      </c>
      <c r="L117" s="112">
        <f t="shared" si="13"/>
        <v>4917256</v>
      </c>
      <c r="M117" s="112">
        <f>ROUND(SUMIF('JUNE (물량흐름)'!$C$13:$C$502,'WIP(재공품)'!B117,'JUNE (물량흐름)'!$H$13:$H$502)+SUMIF('JUNE (물량흐름)'!$C$13:$C$502,'WIP(재공품)'!B117,'JUNE (물량흐름)'!$V$13:$V$502),0)</f>
        <v>0</v>
      </c>
      <c r="N117" s="112">
        <f>SUMIF('Direct labour(직접노무비)'!$C$12:$C$503,'WIP(재공품)'!B117,'Direct labour(직접노무비)'!$O$12:$O$503)</f>
        <v>0</v>
      </c>
      <c r="O117" s="112">
        <f>SUMIF('Overhead exp(제조경비)'!$C$12:$C$503,'WIP(재공품)'!B117,'Overhead exp(제조경비)'!$O$12:$O$503)</f>
        <v>0</v>
      </c>
      <c r="P117" s="112">
        <f t="shared" si="14"/>
        <v>0</v>
      </c>
      <c r="Q117" s="112">
        <v>0</v>
      </c>
      <c r="R117" s="112">
        <v>0</v>
      </c>
      <c r="S117" s="112">
        <f>SUMIF('JUNE (물량흐름)'!$C$13:$C$493,'WIP(재공품)'!B117,'JUNE (물량흐름)'!$T$13:$T$493)+SUMIF('JUNE (물량흐름)'!$C$13:$C$493,'WIP(재공품)'!B117,'JUNE (물량흐름)'!$U$13:$U$493)+SUMIF('JUNE (물량흐름)'!$C$13:$C$493,'WIP(재공품)'!B117,'JUNE (물량흐름)'!$V$13:$V$493)-SUMIF('JUNE (물량흐름)'!$C$13:$C$493,'WIP(재공품)'!B117,'JUNE (물량흐름)'!$Y$13:$Y$493)</f>
        <v>144</v>
      </c>
      <c r="T117" s="112">
        <f>SUMIF('JUNE (물량흐름)'!$C$13:$C$502,'WIP(재공품)'!B117,'JUNE (물량흐름)'!$Y$13:$Y$502)</f>
        <v>0</v>
      </c>
      <c r="U117" s="167">
        <f>SUMIF('Direct labour(직접노무비)'!$C$12:$C$503,'WIP(재공품)'!B117,'Direct labour(직접노무비)'!$U$12:$U$503)+SUMIF('Overhead exp(제조경비)'!$C$12:$C$503,'WIP(재공품)'!B117,'Overhead exp(제조경비)'!$U$12:$U$503)</f>
        <v>0</v>
      </c>
      <c r="V117" s="112">
        <f>SUMIF('Direct labour(직접노무비)'!$C$12:$C$503,'WIP(재공품)'!B117,'Direct labour(직접노무비)'!$Q$12:$Q$503)</f>
        <v>1998957</v>
      </c>
      <c r="W117" s="112">
        <f>SUMIF('Overhead exp(제조경비)'!$C$12:$C$503,'WIP(재공품)'!B117,'Overhead exp(제조경비)'!$Q$12:$Q$503)</f>
        <v>2918299</v>
      </c>
      <c r="X117" s="112">
        <f t="shared" si="15"/>
        <v>4917256</v>
      </c>
      <c r="Y117" s="112">
        <f ca="1">ROUND(SUMIF('JUNE (물량흐름)'!$C$13:$C$502,'WIP(재공품)'!B117,'JUNE (물량흐름)'!$N$13:$N$488),0)</f>
        <v>0</v>
      </c>
      <c r="Z117" s="112">
        <f>ROUND(SUMIF('JUNE (물량흐름)'!$C$13:$C$502,'WIP(재공품)'!B117,'JUNE (물량흐름)'!$O$13:$O$502),0)</f>
        <v>0</v>
      </c>
      <c r="AA117" s="112">
        <f>ROUND(SUMIF('JUNE (물량흐름)'!$C$13:$C$502,'WIP(재공품)'!B117,'JUNE (물량흐름)'!$P$13:$P$502),0)</f>
        <v>0</v>
      </c>
      <c r="AB117" s="112">
        <f t="shared" ca="1" si="16"/>
        <v>0</v>
      </c>
      <c r="AC117" s="112">
        <f t="shared" si="17"/>
        <v>0</v>
      </c>
      <c r="AD117" s="381">
        <f t="shared" ca="1" si="18"/>
        <v>0</v>
      </c>
      <c r="AE117" s="381">
        <f t="shared" si="19"/>
        <v>0</v>
      </c>
      <c r="AF117" s="382"/>
      <c r="AG117" s="382">
        <v>0</v>
      </c>
      <c r="AH117" s="383">
        <f t="shared" si="20"/>
        <v>0.35</v>
      </c>
      <c r="AI117" s="384"/>
      <c r="AJ117" s="383"/>
      <c r="AL117" s="385"/>
      <c r="AM117" s="381"/>
      <c r="AN117" s="382"/>
      <c r="AO117" s="382"/>
      <c r="AP117" s="383"/>
      <c r="AQ117" s="383"/>
    </row>
    <row r="118" spans="1:43" s="387" customFormat="1" ht="18.75" customHeight="1">
      <c r="A118" s="167">
        <v>107</v>
      </c>
      <c r="B118" s="240" t="str">
        <f>VLOOKUP(A118,'JUNE (물량흐름)'!$A$13:$C$502,3,0)</f>
        <v>HA372336MI</v>
      </c>
      <c r="C118" s="21" t="str">
        <f>VLOOKUP(A118,'JUNE (물량흐름)'!$A$13:$C$502,2,0)</f>
        <v>NORDSTROM</v>
      </c>
      <c r="D118" s="212">
        <v>7</v>
      </c>
      <c r="E118" s="6">
        <f>VLOOKUP(B118,'Sales profit (스타일 별 매출이익)'!$D$9:$P$491,13,0)</f>
        <v>158725</v>
      </c>
      <c r="F118" s="112">
        <f>IFERROR(VLOOKUP(B118,O.B.JUNE!$N$7:$Q$448,2,0),0)</f>
        <v>0</v>
      </c>
      <c r="G118" s="112">
        <f>IFERROR(VLOOKUP(B118,O.B.JUNE!$N$7:$Q$448,3,0),0)</f>
        <v>0</v>
      </c>
      <c r="H118" s="112">
        <f>IFERROR(VLOOKUP(B118,O.B.JUNE!$N$7:$Q$448,4,0),0)</f>
        <v>252</v>
      </c>
      <c r="I118" s="112">
        <f t="shared" si="12"/>
        <v>252</v>
      </c>
      <c r="J118" s="112">
        <f>IFERROR(VLOOKUP(B118,O.B.JUNE!$AA$7:$AG$448,7,0),0)</f>
        <v>4126053</v>
      </c>
      <c r="K118" s="112">
        <f>IFERROR(VLOOKUP(B118,O.B.JUNE!$AI$7:$AO$448,7,0),0)</f>
        <v>6023672</v>
      </c>
      <c r="L118" s="112">
        <f t="shared" si="13"/>
        <v>10149725</v>
      </c>
      <c r="M118" s="112">
        <f>ROUND(SUMIF('JUNE (물량흐름)'!$C$13:$C$502,'WIP(재공품)'!B118,'JUNE (물량흐름)'!$H$13:$H$502)+SUMIF('JUNE (물량흐름)'!$C$13:$C$502,'WIP(재공품)'!B118,'JUNE (물량흐름)'!$V$13:$V$502),0)</f>
        <v>0</v>
      </c>
      <c r="N118" s="112">
        <f>SUMIF('Direct labour(직접노무비)'!$C$12:$C$503,'WIP(재공품)'!B118,'Direct labour(직접노무비)'!$O$12:$O$503)</f>
        <v>0</v>
      </c>
      <c r="O118" s="112">
        <f>SUMIF('Overhead exp(제조경비)'!$C$12:$C$503,'WIP(재공품)'!B118,'Overhead exp(제조경비)'!$O$12:$O$503)</f>
        <v>0</v>
      </c>
      <c r="P118" s="112">
        <f t="shared" si="14"/>
        <v>0</v>
      </c>
      <c r="Q118" s="112">
        <v>0</v>
      </c>
      <c r="R118" s="112">
        <v>0</v>
      </c>
      <c r="S118" s="112">
        <f>SUMIF('JUNE (물량흐름)'!$C$13:$C$493,'WIP(재공품)'!B118,'JUNE (물량흐름)'!$T$13:$T$493)+SUMIF('JUNE (물량흐름)'!$C$13:$C$493,'WIP(재공품)'!B118,'JUNE (물량흐름)'!$U$13:$U$493)+SUMIF('JUNE (물량흐름)'!$C$13:$C$493,'WIP(재공품)'!B118,'JUNE (물량흐름)'!$V$13:$V$493)-SUMIF('JUNE (물량흐름)'!$C$13:$C$493,'WIP(재공품)'!B118,'JUNE (물량흐름)'!$Y$13:$Y$493)</f>
        <v>252</v>
      </c>
      <c r="T118" s="112">
        <f>SUMIF('JUNE (물량흐름)'!$C$13:$C$502,'WIP(재공품)'!B118,'JUNE (물량흐름)'!$Y$13:$Y$502)</f>
        <v>0</v>
      </c>
      <c r="U118" s="167">
        <f>SUMIF('Direct labour(직접노무비)'!$C$12:$C$503,'WIP(재공품)'!B118,'Direct labour(직접노무비)'!$U$12:$U$503)+SUMIF('Overhead exp(제조경비)'!$C$12:$C$503,'WIP(재공품)'!B118,'Overhead exp(제조경비)'!$U$12:$U$503)</f>
        <v>0</v>
      </c>
      <c r="V118" s="112">
        <f>SUMIF('Direct labour(직접노무비)'!$C$12:$C$503,'WIP(재공품)'!B118,'Direct labour(직접노무비)'!$Q$12:$Q$503)</f>
        <v>4126053</v>
      </c>
      <c r="W118" s="112">
        <f>SUMIF('Overhead exp(제조경비)'!$C$12:$C$503,'WIP(재공품)'!B118,'Overhead exp(제조경비)'!$Q$12:$Q$503)</f>
        <v>6023672</v>
      </c>
      <c r="X118" s="112">
        <f t="shared" si="15"/>
        <v>10149725</v>
      </c>
      <c r="Y118" s="112">
        <f ca="1">ROUND(SUMIF('JUNE (물량흐름)'!$C$13:$C$502,'WIP(재공품)'!B118,'JUNE (물량흐름)'!$N$13:$N$488),0)</f>
        <v>0</v>
      </c>
      <c r="Z118" s="112">
        <f>ROUND(SUMIF('JUNE (물량흐름)'!$C$13:$C$502,'WIP(재공품)'!B118,'JUNE (물량흐름)'!$O$13:$O$502),0)</f>
        <v>0</v>
      </c>
      <c r="AA118" s="112">
        <f>ROUND(SUMIF('JUNE (물량흐름)'!$C$13:$C$502,'WIP(재공품)'!B118,'JUNE (물량흐름)'!$P$13:$P$502),0)</f>
        <v>0</v>
      </c>
      <c r="AB118" s="112">
        <f t="shared" ca="1" si="16"/>
        <v>0</v>
      </c>
      <c r="AC118" s="112">
        <f t="shared" si="17"/>
        <v>0</v>
      </c>
      <c r="AD118" s="381">
        <f t="shared" ca="1" si="18"/>
        <v>0</v>
      </c>
      <c r="AE118" s="381">
        <f t="shared" si="19"/>
        <v>0</v>
      </c>
      <c r="AF118" s="382"/>
      <c r="AG118" s="382">
        <v>0</v>
      </c>
      <c r="AH118" s="383">
        <f t="shared" si="20"/>
        <v>7</v>
      </c>
      <c r="AI118" s="384"/>
      <c r="AJ118" s="383"/>
      <c r="AL118" s="385"/>
      <c r="AM118" s="381"/>
      <c r="AN118" s="382"/>
      <c r="AO118" s="382"/>
      <c r="AP118" s="383"/>
      <c r="AQ118" s="383"/>
    </row>
    <row r="119" spans="1:43" s="387" customFormat="1" ht="18.75" customHeight="1">
      <c r="A119" s="167">
        <v>108</v>
      </c>
      <c r="B119" s="240" t="str">
        <f>VLOOKUP(A119,'JUNE (물량흐름)'!$A$13:$C$502,3,0)</f>
        <v>RK381125MI</v>
      </c>
      <c r="C119" s="21" t="str">
        <f>VLOOKUP(A119,'JUNE (물량흐름)'!$A$13:$C$502,2,0)</f>
        <v>NORDSTROM</v>
      </c>
      <c r="D119" s="212">
        <v>0.36</v>
      </c>
      <c r="E119" s="6">
        <f>VLOOKUP(B119,'Sales profit (스타일 별 매출이익)'!$D$9:$P$491,13,0)</f>
        <v>8163</v>
      </c>
      <c r="F119" s="112">
        <f>IFERROR(VLOOKUP(B119,O.B.JUNE!$N$7:$Q$448,2,0),0)</f>
        <v>0</v>
      </c>
      <c r="G119" s="112">
        <f>IFERROR(VLOOKUP(B119,O.B.JUNE!$N$7:$Q$448,3,0),0)</f>
        <v>0</v>
      </c>
      <c r="H119" s="112">
        <f>IFERROR(VLOOKUP(B119,O.B.JUNE!$N$7:$Q$448,4,0),0)</f>
        <v>70</v>
      </c>
      <c r="I119" s="112">
        <f t="shared" si="12"/>
        <v>70</v>
      </c>
      <c r="J119" s="112">
        <f>IFERROR(VLOOKUP(B119,O.B.JUNE!$AA$7:$AG$448,7,0),0)</f>
        <v>1581929</v>
      </c>
      <c r="K119" s="112">
        <f>IFERROR(VLOOKUP(B119,O.B.JUNE!$AI$7:$AO$448,7,0),0)</f>
        <v>2309476</v>
      </c>
      <c r="L119" s="112">
        <f t="shared" si="13"/>
        <v>3891405</v>
      </c>
      <c r="M119" s="112">
        <f>ROUND(SUMIF('JUNE (물량흐름)'!$C$13:$C$502,'WIP(재공품)'!B119,'JUNE (물량흐름)'!$H$13:$H$502)+SUMIF('JUNE (물량흐름)'!$C$13:$C$502,'WIP(재공품)'!B119,'JUNE (물량흐름)'!$V$13:$V$502),0)</f>
        <v>0</v>
      </c>
      <c r="N119" s="112">
        <f>SUMIF('Direct labour(직접노무비)'!$C$12:$C$503,'WIP(재공품)'!B119,'Direct labour(직접노무비)'!$O$12:$O$503)</f>
        <v>0</v>
      </c>
      <c r="O119" s="112">
        <f>SUMIF('Overhead exp(제조경비)'!$C$12:$C$503,'WIP(재공품)'!B119,'Overhead exp(제조경비)'!$O$12:$O$503)</f>
        <v>0</v>
      </c>
      <c r="P119" s="112">
        <f t="shared" si="14"/>
        <v>0</v>
      </c>
      <c r="Q119" s="112">
        <v>0</v>
      </c>
      <c r="R119" s="112">
        <v>0</v>
      </c>
      <c r="S119" s="112">
        <f>SUMIF('JUNE (물량흐름)'!$C$13:$C$493,'WIP(재공품)'!B119,'JUNE (물량흐름)'!$T$13:$T$493)+SUMIF('JUNE (물량흐름)'!$C$13:$C$493,'WIP(재공품)'!B119,'JUNE (물량흐름)'!$U$13:$U$493)+SUMIF('JUNE (물량흐름)'!$C$13:$C$493,'WIP(재공품)'!B119,'JUNE (물량흐름)'!$V$13:$V$493)-SUMIF('JUNE (물량흐름)'!$C$13:$C$493,'WIP(재공품)'!B119,'JUNE (물량흐름)'!$Y$13:$Y$493)</f>
        <v>70</v>
      </c>
      <c r="T119" s="112">
        <f>SUMIF('JUNE (물량흐름)'!$C$13:$C$502,'WIP(재공품)'!B119,'JUNE (물량흐름)'!$Y$13:$Y$502)</f>
        <v>0</v>
      </c>
      <c r="U119" s="167">
        <f>SUMIF('Direct labour(직접노무비)'!$C$12:$C$503,'WIP(재공품)'!B119,'Direct labour(직접노무비)'!$U$12:$U$503)+SUMIF('Overhead exp(제조경비)'!$C$12:$C$503,'WIP(재공품)'!B119,'Overhead exp(제조경비)'!$U$12:$U$503)</f>
        <v>0</v>
      </c>
      <c r="V119" s="112">
        <f>SUMIF('Direct labour(직접노무비)'!$C$12:$C$503,'WIP(재공품)'!B119,'Direct labour(직접노무비)'!$Q$12:$Q$503)</f>
        <v>1581929</v>
      </c>
      <c r="W119" s="112">
        <f>SUMIF('Overhead exp(제조경비)'!$C$12:$C$503,'WIP(재공품)'!B119,'Overhead exp(제조경비)'!$Q$12:$Q$503)</f>
        <v>2309476</v>
      </c>
      <c r="X119" s="112">
        <f t="shared" si="15"/>
        <v>3891405</v>
      </c>
      <c r="Y119" s="112">
        <f ca="1">ROUND(SUMIF('JUNE (물량흐름)'!$C$13:$C$502,'WIP(재공품)'!B119,'JUNE (물량흐름)'!$N$13:$N$488),0)</f>
        <v>0</v>
      </c>
      <c r="Z119" s="112">
        <f>ROUND(SUMIF('JUNE (물량흐름)'!$C$13:$C$502,'WIP(재공품)'!B119,'JUNE (물량흐름)'!$O$13:$O$502),0)</f>
        <v>0</v>
      </c>
      <c r="AA119" s="112">
        <f>ROUND(SUMIF('JUNE (물량흐름)'!$C$13:$C$502,'WIP(재공품)'!B119,'JUNE (물량흐름)'!$P$13:$P$502),0)</f>
        <v>0</v>
      </c>
      <c r="AB119" s="112">
        <f t="shared" ca="1" si="16"/>
        <v>0</v>
      </c>
      <c r="AC119" s="112">
        <f t="shared" si="17"/>
        <v>0</v>
      </c>
      <c r="AD119" s="381">
        <f t="shared" ca="1" si="18"/>
        <v>0</v>
      </c>
      <c r="AE119" s="381">
        <f t="shared" si="19"/>
        <v>0</v>
      </c>
      <c r="AF119" s="382"/>
      <c r="AG119" s="382">
        <v>1.9</v>
      </c>
      <c r="AH119" s="383">
        <f t="shared" si="20"/>
        <v>-1.54</v>
      </c>
      <c r="AI119" s="384"/>
      <c r="AJ119" s="383"/>
      <c r="AL119" s="385"/>
      <c r="AM119" s="381"/>
      <c r="AN119" s="382"/>
      <c r="AO119" s="382"/>
      <c r="AP119" s="383"/>
      <c r="AQ119" s="383"/>
    </row>
    <row r="120" spans="1:43" s="387" customFormat="1" ht="18.75" customHeight="1">
      <c r="A120" s="167">
        <v>109</v>
      </c>
      <c r="B120" s="240">
        <f>VLOOKUP(A120,'JUNE (물량흐름)'!$A$13:$C$502,3,0)</f>
        <v>444136</v>
      </c>
      <c r="C120" s="21" t="str">
        <f>VLOOKUP(A120,'JUNE (물량흐름)'!$A$13:$C$502,2,0)</f>
        <v>ANN TAYLOR</v>
      </c>
      <c r="D120" s="212">
        <v>3.2</v>
      </c>
      <c r="E120" s="6">
        <f>VLOOKUP(B120,'Sales profit (스타일 별 매출이익)'!$D$9:$P$491,13,0)</f>
        <v>72560</v>
      </c>
      <c r="F120" s="112">
        <f>IFERROR(VLOOKUP(B120,O.B.JUNE!$N$7:$Q$448,2,0),0)</f>
        <v>0</v>
      </c>
      <c r="G120" s="112">
        <f>IFERROR(VLOOKUP(B120,O.B.JUNE!$N$7:$Q$448,3,0),0)</f>
        <v>0</v>
      </c>
      <c r="H120" s="112">
        <f>IFERROR(VLOOKUP(B120,O.B.JUNE!$N$7:$Q$448,4,0),0)</f>
        <v>957</v>
      </c>
      <c r="I120" s="112">
        <f t="shared" si="12"/>
        <v>957</v>
      </c>
      <c r="J120" s="112">
        <f>IFERROR(VLOOKUP(B120,O.B.JUNE!$AA$7:$AG$448,7,0),0)</f>
        <v>3660257</v>
      </c>
      <c r="K120" s="112">
        <f>IFERROR(VLOOKUP(B120,O.B.JUNE!$AI$7:$AO$448,7,0),0)</f>
        <v>5302092</v>
      </c>
      <c r="L120" s="112">
        <f t="shared" si="13"/>
        <v>8962349</v>
      </c>
      <c r="M120" s="112">
        <f>ROUND(SUMIF('JUNE (물량흐름)'!$C$13:$C$502,'WIP(재공품)'!B120,'JUNE (물량흐름)'!$H$13:$H$502)+SUMIF('JUNE (물량흐름)'!$C$13:$C$502,'WIP(재공품)'!B120,'JUNE (물량흐름)'!$V$13:$V$502),0)</f>
        <v>0</v>
      </c>
      <c r="N120" s="112">
        <f>SUMIF('Direct labour(직접노무비)'!$C$12:$C$503,'WIP(재공품)'!B120,'Direct labour(직접노무비)'!$O$12:$O$503)</f>
        <v>0</v>
      </c>
      <c r="O120" s="112">
        <f>SUMIF('Overhead exp(제조경비)'!$C$12:$C$503,'WIP(재공품)'!B120,'Overhead exp(제조경비)'!$O$12:$O$503)</f>
        <v>0</v>
      </c>
      <c r="P120" s="112">
        <f t="shared" si="14"/>
        <v>0</v>
      </c>
      <c r="Q120" s="112">
        <v>0</v>
      </c>
      <c r="R120" s="112">
        <v>0</v>
      </c>
      <c r="S120" s="112">
        <f>SUMIF('JUNE (물량흐름)'!$C$13:$C$493,'WIP(재공품)'!B120,'JUNE (물량흐름)'!$T$13:$T$493)+SUMIF('JUNE (물량흐름)'!$C$13:$C$493,'WIP(재공품)'!B120,'JUNE (물량흐름)'!$U$13:$U$493)+SUMIF('JUNE (물량흐름)'!$C$13:$C$493,'WIP(재공품)'!B120,'JUNE (물량흐름)'!$V$13:$V$493)-SUMIF('JUNE (물량흐름)'!$C$13:$C$493,'WIP(재공품)'!B120,'JUNE (물량흐름)'!$Y$13:$Y$493)</f>
        <v>957</v>
      </c>
      <c r="T120" s="112">
        <f>SUMIF('JUNE (물량흐름)'!$C$13:$C$502,'WIP(재공품)'!B120,'JUNE (물량흐름)'!$Y$13:$Y$502)</f>
        <v>0</v>
      </c>
      <c r="U120" s="167">
        <f>SUMIF('Direct labour(직접노무비)'!$C$12:$C$503,'WIP(재공품)'!B120,'Direct labour(직접노무비)'!$U$12:$U$503)+SUMIF('Overhead exp(제조경비)'!$C$12:$C$503,'WIP(재공품)'!B120,'Overhead exp(제조경비)'!$U$12:$U$503)</f>
        <v>0</v>
      </c>
      <c r="V120" s="112">
        <f>SUMIF('Direct labour(직접노무비)'!$C$12:$C$503,'WIP(재공품)'!B120,'Direct labour(직접노무비)'!$Q$12:$Q$503)</f>
        <v>3660257</v>
      </c>
      <c r="W120" s="112">
        <f>SUMIF('Overhead exp(제조경비)'!$C$12:$C$503,'WIP(재공품)'!B120,'Overhead exp(제조경비)'!$Q$12:$Q$503)</f>
        <v>5302092</v>
      </c>
      <c r="X120" s="112">
        <f t="shared" si="15"/>
        <v>8962349</v>
      </c>
      <c r="Y120" s="112">
        <f ca="1">ROUND(SUMIF('JUNE (물량흐름)'!$C$13:$C$502,'WIP(재공품)'!B120,'JUNE (물량흐름)'!$N$13:$N$488),0)</f>
        <v>0</v>
      </c>
      <c r="Z120" s="112">
        <f>ROUND(SUMIF('JUNE (물량흐름)'!$C$13:$C$502,'WIP(재공품)'!B120,'JUNE (물량흐름)'!$O$13:$O$502),0)</f>
        <v>0</v>
      </c>
      <c r="AA120" s="112">
        <f>ROUND(SUMIF('JUNE (물량흐름)'!$C$13:$C$502,'WIP(재공품)'!B120,'JUNE (물량흐름)'!$P$13:$P$502),0)</f>
        <v>0</v>
      </c>
      <c r="AB120" s="112">
        <f t="shared" ca="1" si="16"/>
        <v>0</v>
      </c>
      <c r="AC120" s="112">
        <f t="shared" si="17"/>
        <v>0</v>
      </c>
      <c r="AD120" s="381">
        <f t="shared" ca="1" si="18"/>
        <v>0</v>
      </c>
      <c r="AE120" s="381">
        <f t="shared" si="19"/>
        <v>0</v>
      </c>
      <c r="AF120" s="382"/>
      <c r="AG120" s="382">
        <v>0</v>
      </c>
      <c r="AH120" s="383">
        <f t="shared" si="20"/>
        <v>3.2</v>
      </c>
      <c r="AI120" s="384"/>
      <c r="AJ120" s="383"/>
      <c r="AL120" s="385"/>
      <c r="AM120" s="381"/>
      <c r="AN120" s="382"/>
      <c r="AO120" s="382"/>
      <c r="AP120" s="383"/>
      <c r="AQ120" s="383"/>
    </row>
    <row r="121" spans="1:43" s="387" customFormat="1" ht="18.75" customHeight="1">
      <c r="A121" s="167">
        <v>110</v>
      </c>
      <c r="B121" s="240" t="str">
        <f>VLOOKUP(A121,'JUNE (물량흐름)'!$A$13:$C$502,3,0)</f>
        <v>258G827</v>
      </c>
      <c r="C121" s="21" t="str">
        <f>VLOOKUP(A121,'JUNE (물량흐름)'!$A$13:$C$502,2,0)</f>
        <v>NAMYANG</v>
      </c>
      <c r="D121" s="212">
        <v>3.2</v>
      </c>
      <c r="E121" s="6">
        <f>VLOOKUP(B121,'Sales profit (스타일 별 매출이익)'!$D$9:$P$491,13,0)</f>
        <v>72560</v>
      </c>
      <c r="F121" s="112">
        <f>IFERROR(VLOOKUP(B121,O.B.JUNE!$N$7:$Q$448,2,0),0)</f>
        <v>0</v>
      </c>
      <c r="G121" s="112">
        <f>IFERROR(VLOOKUP(B121,O.B.JUNE!$N$7:$Q$448,3,0),0)</f>
        <v>0</v>
      </c>
      <c r="H121" s="112">
        <f>IFERROR(VLOOKUP(B121,O.B.JUNE!$N$7:$Q$448,4,0),0)</f>
        <v>397</v>
      </c>
      <c r="I121" s="112">
        <f t="shared" si="12"/>
        <v>397</v>
      </c>
      <c r="J121" s="112">
        <f>IFERROR(VLOOKUP(B121,O.B.JUNE!$AA$7:$AG$448,7,0),0)</f>
        <v>1677199</v>
      </c>
      <c r="K121" s="112">
        <f>IFERROR(VLOOKUP(B121,O.B.JUNE!$AI$7:$AO$448,7,0),0)</f>
        <v>2565564</v>
      </c>
      <c r="L121" s="112">
        <f t="shared" si="13"/>
        <v>4242763</v>
      </c>
      <c r="M121" s="112">
        <f>ROUND(SUMIF('JUNE (물량흐름)'!$C$13:$C$502,'WIP(재공품)'!B121,'JUNE (물량흐름)'!$H$13:$H$502)+SUMIF('JUNE (물량흐름)'!$C$13:$C$502,'WIP(재공품)'!B121,'JUNE (물량흐름)'!$V$13:$V$502),0)</f>
        <v>0</v>
      </c>
      <c r="N121" s="112">
        <f>SUMIF('Direct labour(직접노무비)'!$C$12:$C$503,'WIP(재공품)'!B121,'Direct labour(직접노무비)'!$O$12:$O$503)</f>
        <v>0</v>
      </c>
      <c r="O121" s="112">
        <f>SUMIF('Overhead exp(제조경비)'!$C$12:$C$503,'WIP(재공품)'!B121,'Overhead exp(제조경비)'!$O$12:$O$503)</f>
        <v>0</v>
      </c>
      <c r="P121" s="112">
        <f t="shared" si="14"/>
        <v>0</v>
      </c>
      <c r="Q121" s="112">
        <v>0</v>
      </c>
      <c r="R121" s="112">
        <v>0</v>
      </c>
      <c r="S121" s="112">
        <f>SUMIF('JUNE (물량흐름)'!$C$13:$C$493,'WIP(재공품)'!B121,'JUNE (물량흐름)'!$T$13:$T$493)+SUMIF('JUNE (물량흐름)'!$C$13:$C$493,'WIP(재공품)'!B121,'JUNE (물량흐름)'!$U$13:$U$493)+SUMIF('JUNE (물량흐름)'!$C$13:$C$493,'WIP(재공품)'!B121,'JUNE (물량흐름)'!$V$13:$V$493)-SUMIF('JUNE (물량흐름)'!$C$13:$C$493,'WIP(재공품)'!B121,'JUNE (물량흐름)'!$Y$13:$Y$493)</f>
        <v>397</v>
      </c>
      <c r="T121" s="112">
        <f>SUMIF('JUNE (물량흐름)'!$C$13:$C$502,'WIP(재공품)'!B121,'JUNE (물량흐름)'!$Y$13:$Y$502)</f>
        <v>0</v>
      </c>
      <c r="U121" s="167">
        <f>SUMIF('Direct labour(직접노무비)'!$C$12:$C$503,'WIP(재공품)'!B121,'Direct labour(직접노무비)'!$U$12:$U$503)+SUMIF('Overhead exp(제조경비)'!$C$12:$C$503,'WIP(재공품)'!B121,'Overhead exp(제조경비)'!$U$12:$U$503)</f>
        <v>0</v>
      </c>
      <c r="V121" s="112">
        <f>SUMIF('Direct labour(직접노무비)'!$C$12:$C$503,'WIP(재공품)'!B121,'Direct labour(직접노무비)'!$Q$12:$Q$503)</f>
        <v>1677199</v>
      </c>
      <c r="W121" s="112">
        <f>SUMIF('Overhead exp(제조경비)'!$C$12:$C$503,'WIP(재공품)'!B121,'Overhead exp(제조경비)'!$Q$12:$Q$503)</f>
        <v>2565564</v>
      </c>
      <c r="X121" s="112">
        <f t="shared" si="15"/>
        <v>4242763</v>
      </c>
      <c r="Y121" s="112">
        <f ca="1">ROUND(SUMIF('JUNE (물량흐름)'!$C$13:$C$502,'WIP(재공품)'!B121,'JUNE (물량흐름)'!$N$13:$N$488),0)</f>
        <v>0</v>
      </c>
      <c r="Z121" s="112">
        <f>ROUND(SUMIF('JUNE (물량흐름)'!$C$13:$C$502,'WIP(재공품)'!B121,'JUNE (물량흐름)'!$O$13:$O$502),0)</f>
        <v>0</v>
      </c>
      <c r="AA121" s="112">
        <f>ROUND(SUMIF('JUNE (물량흐름)'!$C$13:$C$502,'WIP(재공품)'!B121,'JUNE (물량흐름)'!$P$13:$P$502),0)</f>
        <v>0</v>
      </c>
      <c r="AB121" s="112">
        <f t="shared" ca="1" si="16"/>
        <v>0</v>
      </c>
      <c r="AC121" s="112">
        <f t="shared" si="17"/>
        <v>0</v>
      </c>
      <c r="AD121" s="381">
        <f t="shared" ca="1" si="18"/>
        <v>0</v>
      </c>
      <c r="AE121" s="381">
        <f t="shared" si="19"/>
        <v>0</v>
      </c>
      <c r="AF121" s="382"/>
      <c r="AG121" s="382">
        <v>0</v>
      </c>
      <c r="AH121" s="383">
        <f t="shared" si="20"/>
        <v>3.2</v>
      </c>
      <c r="AI121" s="384"/>
      <c r="AJ121" s="383"/>
      <c r="AL121" s="385"/>
      <c r="AM121" s="381"/>
      <c r="AN121" s="382"/>
      <c r="AO121" s="382"/>
      <c r="AP121" s="383"/>
      <c r="AQ121" s="383"/>
    </row>
    <row r="122" spans="1:43" s="387" customFormat="1" ht="18.75" customHeight="1">
      <c r="A122" s="167">
        <v>111</v>
      </c>
      <c r="B122" s="240">
        <f>VLOOKUP(A122,'JUNE (물량흐름)'!$A$13:$C$502,3,0)</f>
        <v>174034833</v>
      </c>
      <c r="C122" s="21" t="str">
        <f>VLOOKUP(A122,'JUNE (물량흐름)'!$A$13:$C$502,2,0)</f>
        <v>TALBOTS</v>
      </c>
      <c r="D122" s="212">
        <v>0.36</v>
      </c>
      <c r="E122" s="6">
        <f>VLOOKUP(B122,'Sales profit (스타일 별 매출이익)'!$D$9:$P$491,13,0)</f>
        <v>8163</v>
      </c>
      <c r="F122" s="112">
        <f>IFERROR(VLOOKUP(B122,O.B.JUNE!$N$7:$Q$448,2,0),0)</f>
        <v>0</v>
      </c>
      <c r="G122" s="112">
        <f>IFERROR(VLOOKUP(B122,O.B.JUNE!$N$7:$Q$448,3,0),0)</f>
        <v>0</v>
      </c>
      <c r="H122" s="112">
        <f>IFERROR(VLOOKUP(B122,O.B.JUNE!$N$7:$Q$448,4,0),0)</f>
        <v>303</v>
      </c>
      <c r="I122" s="112">
        <f t="shared" si="12"/>
        <v>303</v>
      </c>
      <c r="J122" s="112">
        <f>IFERROR(VLOOKUP(B122,O.B.JUNE!$AA$7:$AG$448,7,0),0)</f>
        <v>7359994</v>
      </c>
      <c r="K122" s="112">
        <f>IFERROR(VLOOKUP(B122,O.B.JUNE!$AI$7:$AO$448,7,0),0)</f>
        <v>10263051</v>
      </c>
      <c r="L122" s="112">
        <f t="shared" si="13"/>
        <v>17623045</v>
      </c>
      <c r="M122" s="112">
        <f>ROUND(SUMIF('JUNE (물량흐름)'!$C$13:$C$502,'WIP(재공품)'!B122,'JUNE (물량흐름)'!$H$13:$H$502)+SUMIF('JUNE (물량흐름)'!$C$13:$C$502,'WIP(재공품)'!B122,'JUNE (물량흐름)'!$V$13:$V$502),0)</f>
        <v>0</v>
      </c>
      <c r="N122" s="112">
        <f>SUMIF('Direct labour(직접노무비)'!$C$12:$C$503,'WIP(재공품)'!B122,'Direct labour(직접노무비)'!$O$12:$O$503)</f>
        <v>0</v>
      </c>
      <c r="O122" s="112">
        <f>SUMIF('Overhead exp(제조경비)'!$C$12:$C$503,'WIP(재공품)'!B122,'Overhead exp(제조경비)'!$O$12:$O$503)</f>
        <v>0</v>
      </c>
      <c r="P122" s="112">
        <f t="shared" si="14"/>
        <v>0</v>
      </c>
      <c r="Q122" s="112">
        <v>0</v>
      </c>
      <c r="R122" s="112">
        <v>0</v>
      </c>
      <c r="S122" s="112">
        <f>SUMIF('JUNE (물량흐름)'!$C$13:$C$493,'WIP(재공품)'!B122,'JUNE (물량흐름)'!$T$13:$T$493)+SUMIF('JUNE (물량흐름)'!$C$13:$C$493,'WIP(재공품)'!B122,'JUNE (물량흐름)'!$U$13:$U$493)+SUMIF('JUNE (물량흐름)'!$C$13:$C$493,'WIP(재공품)'!B122,'JUNE (물량흐름)'!$V$13:$V$493)-SUMIF('JUNE (물량흐름)'!$C$13:$C$493,'WIP(재공품)'!B122,'JUNE (물량흐름)'!$Y$13:$Y$493)</f>
        <v>303</v>
      </c>
      <c r="T122" s="112">
        <f>SUMIF('JUNE (물량흐름)'!$C$13:$C$502,'WIP(재공품)'!B122,'JUNE (물량흐름)'!$Y$13:$Y$502)</f>
        <v>0</v>
      </c>
      <c r="U122" s="167">
        <f>SUMIF('Direct labour(직접노무비)'!$C$12:$C$503,'WIP(재공품)'!B122,'Direct labour(직접노무비)'!$U$12:$U$503)+SUMIF('Overhead exp(제조경비)'!$C$12:$C$503,'WIP(재공품)'!B122,'Overhead exp(제조경비)'!$U$12:$U$503)</f>
        <v>0</v>
      </c>
      <c r="V122" s="112">
        <f>SUMIF('Direct labour(직접노무비)'!$C$12:$C$503,'WIP(재공품)'!B122,'Direct labour(직접노무비)'!$Q$12:$Q$503)</f>
        <v>7359994</v>
      </c>
      <c r="W122" s="112">
        <f>SUMIF('Overhead exp(제조경비)'!$C$12:$C$503,'WIP(재공품)'!B122,'Overhead exp(제조경비)'!$Q$12:$Q$503)</f>
        <v>10263051</v>
      </c>
      <c r="X122" s="112">
        <f t="shared" si="15"/>
        <v>17623045</v>
      </c>
      <c r="Y122" s="112">
        <f ca="1">ROUND(SUMIF('JUNE (물량흐름)'!$C$13:$C$502,'WIP(재공품)'!B122,'JUNE (물량흐름)'!$N$13:$N$488),0)</f>
        <v>0</v>
      </c>
      <c r="Z122" s="112">
        <f>ROUND(SUMIF('JUNE (물량흐름)'!$C$13:$C$502,'WIP(재공품)'!B122,'JUNE (물량흐름)'!$O$13:$O$502),0)</f>
        <v>0</v>
      </c>
      <c r="AA122" s="112">
        <f>ROUND(SUMIF('JUNE (물량흐름)'!$C$13:$C$502,'WIP(재공품)'!B122,'JUNE (물량흐름)'!$P$13:$P$502),0)</f>
        <v>0</v>
      </c>
      <c r="AB122" s="112">
        <f t="shared" ca="1" si="16"/>
        <v>0</v>
      </c>
      <c r="AC122" s="112">
        <f t="shared" si="17"/>
        <v>0</v>
      </c>
      <c r="AD122" s="381">
        <f t="shared" ca="1" si="18"/>
        <v>0</v>
      </c>
      <c r="AE122" s="381">
        <f t="shared" si="19"/>
        <v>0</v>
      </c>
      <c r="AF122" s="382"/>
      <c r="AG122" s="382">
        <v>0</v>
      </c>
      <c r="AH122" s="383">
        <f t="shared" si="20"/>
        <v>0.36</v>
      </c>
      <c r="AI122" s="384"/>
      <c r="AJ122" s="383"/>
      <c r="AL122" s="385"/>
      <c r="AM122" s="381"/>
      <c r="AN122" s="382"/>
      <c r="AO122" s="382"/>
      <c r="AP122" s="383"/>
      <c r="AQ122" s="383"/>
    </row>
    <row r="123" spans="1:43" s="387" customFormat="1" ht="18.75" customHeight="1">
      <c r="A123" s="167">
        <v>112</v>
      </c>
      <c r="B123" s="240">
        <f>VLOOKUP(A123,'JUNE (물량흐름)'!$A$13:$C$502,3,0)</f>
        <v>174034834</v>
      </c>
      <c r="C123" s="21" t="str">
        <f>VLOOKUP(A123,'JUNE (물량흐름)'!$A$13:$C$502,2,0)</f>
        <v>TALBOTS</v>
      </c>
      <c r="D123" s="212">
        <v>0.36</v>
      </c>
      <c r="E123" s="6">
        <f>VLOOKUP(B123,'Sales profit (스타일 별 매출이익)'!$D$9:$P$491,13,0)</f>
        <v>8163</v>
      </c>
      <c r="F123" s="112">
        <f>IFERROR(VLOOKUP(B123,O.B.JUNE!$N$7:$Q$448,2,0),0)</f>
        <v>0</v>
      </c>
      <c r="G123" s="112">
        <f>IFERROR(VLOOKUP(B123,O.B.JUNE!$N$7:$Q$448,3,0),0)</f>
        <v>0</v>
      </c>
      <c r="H123" s="112">
        <f>IFERROR(VLOOKUP(B123,O.B.JUNE!$N$7:$Q$448,4,0),0)</f>
        <v>255</v>
      </c>
      <c r="I123" s="112">
        <f t="shared" si="12"/>
        <v>255</v>
      </c>
      <c r="J123" s="112">
        <f>IFERROR(VLOOKUP(B123,O.B.JUNE!$AA$7:$AG$448,7,0),0)</f>
        <v>5730427</v>
      </c>
      <c r="K123" s="112">
        <f>IFERROR(VLOOKUP(B123,O.B.JUNE!$AI$7:$AO$448,7,0),0)</f>
        <v>8457325</v>
      </c>
      <c r="L123" s="112">
        <f t="shared" si="13"/>
        <v>14187752</v>
      </c>
      <c r="M123" s="112">
        <f>ROUND(SUMIF('JUNE (물량흐름)'!$C$13:$C$502,'WIP(재공품)'!B123,'JUNE (물량흐름)'!$H$13:$H$502)+SUMIF('JUNE (물량흐름)'!$C$13:$C$502,'WIP(재공품)'!B123,'JUNE (물량흐름)'!$V$13:$V$502),0)</f>
        <v>0</v>
      </c>
      <c r="N123" s="112">
        <f>SUMIF('Direct labour(직접노무비)'!$C$12:$C$503,'WIP(재공품)'!B123,'Direct labour(직접노무비)'!$O$12:$O$503)</f>
        <v>0</v>
      </c>
      <c r="O123" s="112">
        <f>SUMIF('Overhead exp(제조경비)'!$C$12:$C$503,'WIP(재공품)'!B123,'Overhead exp(제조경비)'!$O$12:$O$503)</f>
        <v>0</v>
      </c>
      <c r="P123" s="112">
        <f t="shared" si="14"/>
        <v>0</v>
      </c>
      <c r="Q123" s="112">
        <v>0</v>
      </c>
      <c r="R123" s="112">
        <v>0</v>
      </c>
      <c r="S123" s="112">
        <f>SUMIF('JUNE (물량흐름)'!$C$13:$C$493,'WIP(재공품)'!B123,'JUNE (물량흐름)'!$T$13:$T$493)+SUMIF('JUNE (물량흐름)'!$C$13:$C$493,'WIP(재공품)'!B123,'JUNE (물량흐름)'!$U$13:$U$493)+SUMIF('JUNE (물량흐름)'!$C$13:$C$493,'WIP(재공품)'!B123,'JUNE (물량흐름)'!$V$13:$V$493)-SUMIF('JUNE (물량흐름)'!$C$13:$C$493,'WIP(재공품)'!B123,'JUNE (물량흐름)'!$Y$13:$Y$493)</f>
        <v>255</v>
      </c>
      <c r="T123" s="112">
        <f>SUMIF('JUNE (물량흐름)'!$C$13:$C$502,'WIP(재공품)'!B123,'JUNE (물량흐름)'!$Y$13:$Y$502)</f>
        <v>0</v>
      </c>
      <c r="U123" s="167">
        <f>SUMIF('Direct labour(직접노무비)'!$C$12:$C$503,'WIP(재공품)'!B123,'Direct labour(직접노무비)'!$U$12:$U$503)+SUMIF('Overhead exp(제조경비)'!$C$12:$C$503,'WIP(재공품)'!B123,'Overhead exp(제조경비)'!$U$12:$U$503)</f>
        <v>0</v>
      </c>
      <c r="V123" s="112">
        <f>SUMIF('Direct labour(직접노무비)'!$C$12:$C$503,'WIP(재공품)'!B123,'Direct labour(직접노무비)'!$Q$12:$Q$503)</f>
        <v>5730427</v>
      </c>
      <c r="W123" s="112">
        <f>SUMIF('Overhead exp(제조경비)'!$C$12:$C$503,'WIP(재공품)'!B123,'Overhead exp(제조경비)'!$Q$12:$Q$503)</f>
        <v>8457325</v>
      </c>
      <c r="X123" s="112">
        <f t="shared" si="15"/>
        <v>14187752</v>
      </c>
      <c r="Y123" s="112">
        <f ca="1">ROUND(SUMIF('JUNE (물량흐름)'!$C$13:$C$502,'WIP(재공품)'!B123,'JUNE (물량흐름)'!$N$13:$N$488),0)</f>
        <v>0</v>
      </c>
      <c r="Z123" s="112">
        <f>ROUND(SUMIF('JUNE (물량흐름)'!$C$13:$C$502,'WIP(재공품)'!B123,'JUNE (물량흐름)'!$O$13:$O$502),0)</f>
        <v>0</v>
      </c>
      <c r="AA123" s="112">
        <f>ROUND(SUMIF('JUNE (물량흐름)'!$C$13:$C$502,'WIP(재공품)'!B123,'JUNE (물량흐름)'!$P$13:$P$502),0)</f>
        <v>0</v>
      </c>
      <c r="AB123" s="112">
        <f t="shared" ca="1" si="16"/>
        <v>0</v>
      </c>
      <c r="AC123" s="112">
        <f t="shared" si="17"/>
        <v>0</v>
      </c>
      <c r="AD123" s="381">
        <f t="shared" ca="1" si="18"/>
        <v>0</v>
      </c>
      <c r="AE123" s="381">
        <f t="shared" si="19"/>
        <v>0</v>
      </c>
      <c r="AF123" s="382"/>
      <c r="AG123" s="382">
        <v>0</v>
      </c>
      <c r="AH123" s="383">
        <f t="shared" si="20"/>
        <v>0.36</v>
      </c>
      <c r="AI123" s="384"/>
      <c r="AJ123" s="383"/>
      <c r="AL123" s="385"/>
      <c r="AM123" s="381"/>
      <c r="AN123" s="382"/>
      <c r="AO123" s="382"/>
      <c r="AP123" s="383"/>
      <c r="AQ123" s="383"/>
    </row>
    <row r="124" spans="1:43" s="387" customFormat="1" ht="18.75" customHeight="1">
      <c r="A124" s="167">
        <v>113</v>
      </c>
      <c r="B124" s="240">
        <f>VLOOKUP(A124,'JUNE (물량흐름)'!$A$13:$C$502,3,0)</f>
        <v>174034840</v>
      </c>
      <c r="C124" s="21" t="str">
        <f>VLOOKUP(A124,'JUNE (물량흐름)'!$A$13:$C$502,2,0)</f>
        <v>TALBOTS</v>
      </c>
      <c r="D124" s="212">
        <v>0.35</v>
      </c>
      <c r="E124" s="6">
        <f>VLOOKUP(B124,'Sales profit (스타일 별 매출이익)'!$D$9:$P$491,13,0)</f>
        <v>7936.2499999999991</v>
      </c>
      <c r="F124" s="112">
        <f>IFERROR(VLOOKUP(B124,O.B.JUNE!$N$7:$Q$448,2,0),0)</f>
        <v>0</v>
      </c>
      <c r="G124" s="112">
        <f>IFERROR(VLOOKUP(B124,O.B.JUNE!$N$7:$Q$448,3,0),0)</f>
        <v>0</v>
      </c>
      <c r="H124" s="112">
        <f>IFERROR(VLOOKUP(B124,O.B.JUNE!$N$7:$Q$448,4,0),0)</f>
        <v>391</v>
      </c>
      <c r="I124" s="112">
        <f t="shared" si="12"/>
        <v>391</v>
      </c>
      <c r="J124" s="112">
        <f>IFERROR(VLOOKUP(B124,O.B.JUNE!$AA$7:$AG$448,7,0),0)</f>
        <v>9179776</v>
      </c>
      <c r="K124" s="112">
        <f>IFERROR(VLOOKUP(B124,O.B.JUNE!$AI$7:$AO$448,7,0),0)</f>
        <v>13678886</v>
      </c>
      <c r="L124" s="112">
        <f t="shared" si="13"/>
        <v>22858662</v>
      </c>
      <c r="M124" s="112">
        <f>ROUND(SUMIF('JUNE (물량흐름)'!$C$13:$C$502,'WIP(재공품)'!B124,'JUNE (물량흐름)'!$H$13:$H$502)+SUMIF('JUNE (물량흐름)'!$C$13:$C$502,'WIP(재공품)'!B124,'JUNE (물량흐름)'!$V$13:$V$502),0)</f>
        <v>0</v>
      </c>
      <c r="N124" s="112">
        <f>SUMIF('Direct labour(직접노무비)'!$C$12:$C$503,'WIP(재공품)'!B124,'Direct labour(직접노무비)'!$O$12:$O$503)</f>
        <v>0</v>
      </c>
      <c r="O124" s="112">
        <f>SUMIF('Overhead exp(제조경비)'!$C$12:$C$503,'WIP(재공품)'!B124,'Overhead exp(제조경비)'!$O$12:$O$503)</f>
        <v>0</v>
      </c>
      <c r="P124" s="112">
        <f t="shared" si="14"/>
        <v>0</v>
      </c>
      <c r="Q124" s="112">
        <v>0</v>
      </c>
      <c r="R124" s="112">
        <v>0</v>
      </c>
      <c r="S124" s="112">
        <f>SUMIF('JUNE (물량흐름)'!$C$13:$C$493,'WIP(재공품)'!B124,'JUNE (물량흐름)'!$T$13:$T$493)+SUMIF('JUNE (물량흐름)'!$C$13:$C$493,'WIP(재공품)'!B124,'JUNE (물량흐름)'!$U$13:$U$493)+SUMIF('JUNE (물량흐름)'!$C$13:$C$493,'WIP(재공품)'!B124,'JUNE (물량흐름)'!$V$13:$V$493)-SUMIF('JUNE (물량흐름)'!$C$13:$C$493,'WIP(재공품)'!B124,'JUNE (물량흐름)'!$Y$13:$Y$493)</f>
        <v>391</v>
      </c>
      <c r="T124" s="112">
        <f>SUMIF('JUNE (물량흐름)'!$C$13:$C$502,'WIP(재공품)'!B124,'JUNE (물량흐름)'!$Y$13:$Y$502)</f>
        <v>0</v>
      </c>
      <c r="U124" s="167">
        <f>SUMIF('Direct labour(직접노무비)'!$C$12:$C$503,'WIP(재공품)'!B124,'Direct labour(직접노무비)'!$U$12:$U$503)+SUMIF('Overhead exp(제조경비)'!$C$12:$C$503,'WIP(재공품)'!B124,'Overhead exp(제조경비)'!$U$12:$U$503)</f>
        <v>0</v>
      </c>
      <c r="V124" s="112">
        <f>SUMIF('Direct labour(직접노무비)'!$C$12:$C$503,'WIP(재공품)'!B124,'Direct labour(직접노무비)'!$Q$12:$Q$503)</f>
        <v>9179776</v>
      </c>
      <c r="W124" s="112">
        <f>SUMIF('Overhead exp(제조경비)'!$C$12:$C$503,'WIP(재공품)'!B124,'Overhead exp(제조경비)'!$Q$12:$Q$503)</f>
        <v>13678886</v>
      </c>
      <c r="X124" s="112">
        <f t="shared" si="15"/>
        <v>22858662</v>
      </c>
      <c r="Y124" s="112">
        <f ca="1">ROUND(SUMIF('JUNE (물량흐름)'!$C$13:$C$502,'WIP(재공품)'!B124,'JUNE (물량흐름)'!$N$13:$N$488),0)</f>
        <v>0</v>
      </c>
      <c r="Z124" s="112">
        <f>ROUND(SUMIF('JUNE (물량흐름)'!$C$13:$C$502,'WIP(재공품)'!B124,'JUNE (물량흐름)'!$O$13:$O$502),0)</f>
        <v>0</v>
      </c>
      <c r="AA124" s="112">
        <f>ROUND(SUMIF('JUNE (물량흐름)'!$C$13:$C$502,'WIP(재공품)'!B124,'JUNE (물량흐름)'!$P$13:$P$502),0)</f>
        <v>0</v>
      </c>
      <c r="AB124" s="112">
        <f t="shared" ca="1" si="16"/>
        <v>0</v>
      </c>
      <c r="AC124" s="112">
        <f t="shared" si="17"/>
        <v>0</v>
      </c>
      <c r="AD124" s="381">
        <f t="shared" ca="1" si="18"/>
        <v>0</v>
      </c>
      <c r="AE124" s="381">
        <f t="shared" si="19"/>
        <v>0</v>
      </c>
      <c r="AF124" s="382"/>
      <c r="AG124" s="382">
        <v>0</v>
      </c>
      <c r="AH124" s="383">
        <f t="shared" si="20"/>
        <v>0.35</v>
      </c>
      <c r="AI124" s="384"/>
      <c r="AJ124" s="383"/>
      <c r="AL124" s="385"/>
      <c r="AM124" s="381"/>
      <c r="AN124" s="382"/>
      <c r="AO124" s="382"/>
      <c r="AP124" s="383"/>
      <c r="AQ124" s="383"/>
    </row>
    <row r="125" spans="1:43" s="387" customFormat="1" ht="18.75" customHeight="1">
      <c r="A125" s="167">
        <v>114</v>
      </c>
      <c r="B125" s="240">
        <f>VLOOKUP(A125,'JUNE (물량흐름)'!$A$13:$C$502,3,0)</f>
        <v>174034863</v>
      </c>
      <c r="C125" s="21" t="str">
        <f>VLOOKUP(A125,'JUNE (물량흐름)'!$A$13:$C$502,2,0)</f>
        <v>TALBOTS</v>
      </c>
      <c r="D125" s="212">
        <v>4.5999999999999996</v>
      </c>
      <c r="E125" s="6">
        <f>VLOOKUP(B125,'Sales profit (스타일 별 매출이익)'!$D$9:$P$491,13,0)</f>
        <v>104304.99999999999</v>
      </c>
      <c r="F125" s="112">
        <f>IFERROR(VLOOKUP(B125,O.B.JUNE!$N$7:$Q$448,2,0),0)</f>
        <v>0</v>
      </c>
      <c r="G125" s="112">
        <f>IFERROR(VLOOKUP(B125,O.B.JUNE!$N$7:$Q$448,3,0),0)</f>
        <v>0</v>
      </c>
      <c r="H125" s="112">
        <f>IFERROR(VLOOKUP(B125,O.B.JUNE!$N$7:$Q$448,4,0),0)</f>
        <v>139</v>
      </c>
      <c r="I125" s="112">
        <f t="shared" si="12"/>
        <v>139</v>
      </c>
      <c r="J125" s="112">
        <f>IFERROR(VLOOKUP(B125,O.B.JUNE!$AA$7:$AG$448,7,0),0)</f>
        <v>3094394</v>
      </c>
      <c r="K125" s="112">
        <f>IFERROR(VLOOKUP(B125,O.B.JUNE!$AI$7:$AO$448,7,0),0)</f>
        <v>4719686</v>
      </c>
      <c r="L125" s="112">
        <f t="shared" si="13"/>
        <v>7814080</v>
      </c>
      <c r="M125" s="112">
        <f>ROUND(SUMIF('JUNE (물량흐름)'!$C$13:$C$502,'WIP(재공품)'!B125,'JUNE (물량흐름)'!$H$13:$H$502)+SUMIF('JUNE (물량흐름)'!$C$13:$C$502,'WIP(재공품)'!B125,'JUNE (물량흐름)'!$V$13:$V$502),0)</f>
        <v>0</v>
      </c>
      <c r="N125" s="112">
        <f>SUMIF('Direct labour(직접노무비)'!$C$12:$C$503,'WIP(재공품)'!B125,'Direct labour(직접노무비)'!$O$12:$O$503)</f>
        <v>0</v>
      </c>
      <c r="O125" s="112">
        <f>SUMIF('Overhead exp(제조경비)'!$C$12:$C$503,'WIP(재공품)'!B125,'Overhead exp(제조경비)'!$O$12:$O$503)</f>
        <v>0</v>
      </c>
      <c r="P125" s="112">
        <f t="shared" si="14"/>
        <v>0</v>
      </c>
      <c r="Q125" s="112">
        <v>0</v>
      </c>
      <c r="R125" s="112">
        <v>0</v>
      </c>
      <c r="S125" s="112">
        <f>SUMIF('JUNE (물량흐름)'!$C$13:$C$493,'WIP(재공품)'!B125,'JUNE (물량흐름)'!$T$13:$T$493)+SUMIF('JUNE (물량흐름)'!$C$13:$C$493,'WIP(재공품)'!B125,'JUNE (물량흐름)'!$U$13:$U$493)+SUMIF('JUNE (물량흐름)'!$C$13:$C$493,'WIP(재공품)'!B125,'JUNE (물량흐름)'!$V$13:$V$493)-SUMIF('JUNE (물량흐름)'!$C$13:$C$493,'WIP(재공품)'!B125,'JUNE (물량흐름)'!$Y$13:$Y$493)</f>
        <v>139</v>
      </c>
      <c r="T125" s="112">
        <f>SUMIF('JUNE (물량흐름)'!$C$13:$C$502,'WIP(재공품)'!B125,'JUNE (물량흐름)'!$Y$13:$Y$502)</f>
        <v>0</v>
      </c>
      <c r="U125" s="167">
        <f>SUMIF('Direct labour(직접노무비)'!$C$12:$C$503,'WIP(재공품)'!B125,'Direct labour(직접노무비)'!$U$12:$U$503)+SUMIF('Overhead exp(제조경비)'!$C$12:$C$503,'WIP(재공품)'!B125,'Overhead exp(제조경비)'!$U$12:$U$503)</f>
        <v>0</v>
      </c>
      <c r="V125" s="112">
        <f>SUMIF('Direct labour(직접노무비)'!$C$12:$C$503,'WIP(재공품)'!B125,'Direct labour(직접노무비)'!$Q$12:$Q$503)</f>
        <v>3094394</v>
      </c>
      <c r="W125" s="112">
        <f>SUMIF('Overhead exp(제조경비)'!$C$12:$C$503,'WIP(재공품)'!B125,'Overhead exp(제조경비)'!$Q$12:$Q$503)</f>
        <v>4719686</v>
      </c>
      <c r="X125" s="112">
        <f t="shared" si="15"/>
        <v>7814080</v>
      </c>
      <c r="Y125" s="112">
        <f ca="1">ROUND(SUMIF('JUNE (물량흐름)'!$C$13:$C$502,'WIP(재공품)'!B125,'JUNE (물량흐름)'!$N$13:$N$488),0)</f>
        <v>0</v>
      </c>
      <c r="Z125" s="112">
        <f>ROUND(SUMIF('JUNE (물량흐름)'!$C$13:$C$502,'WIP(재공품)'!B125,'JUNE (물량흐름)'!$O$13:$O$502),0)</f>
        <v>0</v>
      </c>
      <c r="AA125" s="112">
        <f>ROUND(SUMIF('JUNE (물량흐름)'!$C$13:$C$502,'WIP(재공품)'!B125,'JUNE (물량흐름)'!$P$13:$P$502),0)</f>
        <v>0</v>
      </c>
      <c r="AB125" s="112">
        <f t="shared" ca="1" si="16"/>
        <v>0</v>
      </c>
      <c r="AC125" s="112">
        <f t="shared" si="17"/>
        <v>0</v>
      </c>
      <c r="AD125" s="381">
        <f t="shared" ca="1" si="18"/>
        <v>0</v>
      </c>
      <c r="AE125" s="381">
        <f t="shared" si="19"/>
        <v>0</v>
      </c>
      <c r="AF125" s="382"/>
      <c r="AG125" s="382">
        <v>0</v>
      </c>
      <c r="AH125" s="383">
        <f t="shared" si="20"/>
        <v>4.5999999999999996</v>
      </c>
      <c r="AI125" s="384"/>
      <c r="AJ125" s="383"/>
      <c r="AL125" s="385"/>
      <c r="AM125" s="381"/>
      <c r="AN125" s="382"/>
      <c r="AO125" s="382"/>
      <c r="AP125" s="383"/>
      <c r="AQ125" s="383"/>
    </row>
    <row r="126" spans="1:43" s="387" customFormat="1" ht="18.75" customHeight="1">
      <c r="A126" s="167">
        <v>115</v>
      </c>
      <c r="B126" s="240">
        <f>VLOOKUP(A126,'JUNE (물량흐름)'!$A$13:$C$502,3,0)</f>
        <v>181013004</v>
      </c>
      <c r="C126" s="21" t="str">
        <f>VLOOKUP(A126,'JUNE (물량흐름)'!$A$13:$C$502,2,0)</f>
        <v>TALBOTS</v>
      </c>
      <c r="D126" s="212">
        <v>1.53</v>
      </c>
      <c r="E126" s="6">
        <f>VLOOKUP(B126,'Sales profit (스타일 별 매출이익)'!$D$9:$P$491,13,0)</f>
        <v>34692.75</v>
      </c>
      <c r="F126" s="112">
        <f>IFERROR(VLOOKUP(B126,O.B.JUNE!$N$7:$Q$448,2,0),0)</f>
        <v>0</v>
      </c>
      <c r="G126" s="112">
        <f>IFERROR(VLOOKUP(B126,O.B.JUNE!$N$7:$Q$448,3,0),0)</f>
        <v>0</v>
      </c>
      <c r="H126" s="112">
        <f>IFERROR(VLOOKUP(B126,O.B.JUNE!$N$7:$Q$448,4,0),0)</f>
        <v>1236</v>
      </c>
      <c r="I126" s="112">
        <f t="shared" si="12"/>
        <v>1236</v>
      </c>
      <c r="J126" s="112">
        <f>IFERROR(VLOOKUP(B126,O.B.JUNE!$AA$7:$AG$448,7,0),0)</f>
        <v>17898454</v>
      </c>
      <c r="K126" s="112">
        <f>IFERROR(VLOOKUP(B126,O.B.JUNE!$AI$7:$AO$448,7,0),0)</f>
        <v>27351510</v>
      </c>
      <c r="L126" s="112">
        <f t="shared" si="13"/>
        <v>45249964</v>
      </c>
      <c r="M126" s="112">
        <f>ROUND(SUMIF('JUNE (물량흐름)'!$C$13:$C$502,'WIP(재공품)'!B126,'JUNE (물량흐름)'!$H$13:$H$502)+SUMIF('JUNE (물량흐름)'!$C$13:$C$502,'WIP(재공품)'!B126,'JUNE (물량흐름)'!$V$13:$V$502),0)</f>
        <v>0</v>
      </c>
      <c r="N126" s="112">
        <f>SUMIF('Direct labour(직접노무비)'!$C$12:$C$503,'WIP(재공품)'!B126,'Direct labour(직접노무비)'!$O$12:$O$503)</f>
        <v>0</v>
      </c>
      <c r="O126" s="112">
        <f>SUMIF('Overhead exp(제조경비)'!$C$12:$C$503,'WIP(재공품)'!B126,'Overhead exp(제조경비)'!$O$12:$O$503)</f>
        <v>1</v>
      </c>
      <c r="P126" s="112">
        <f t="shared" si="14"/>
        <v>1</v>
      </c>
      <c r="Q126" s="112">
        <v>0</v>
      </c>
      <c r="R126" s="112">
        <v>0</v>
      </c>
      <c r="S126" s="112">
        <f>SUMIF('JUNE (물량흐름)'!$C$13:$C$493,'WIP(재공품)'!B126,'JUNE (물량흐름)'!$T$13:$T$493)+SUMIF('JUNE (물량흐름)'!$C$13:$C$493,'WIP(재공품)'!B126,'JUNE (물량흐름)'!$U$13:$U$493)+SUMIF('JUNE (물량흐름)'!$C$13:$C$493,'WIP(재공품)'!B126,'JUNE (물량흐름)'!$V$13:$V$493)-SUMIF('JUNE (물량흐름)'!$C$13:$C$493,'WIP(재공품)'!B126,'JUNE (물량흐름)'!$Y$13:$Y$493)</f>
        <v>0</v>
      </c>
      <c r="T126" s="112">
        <f>SUMIF('JUNE (물량흐름)'!$C$13:$C$502,'WIP(재공품)'!B126,'JUNE (물량흐름)'!$Y$13:$Y$502)</f>
        <v>0</v>
      </c>
      <c r="U126" s="167">
        <f>SUMIF('Direct labour(직접노무비)'!$C$12:$C$503,'WIP(재공품)'!B126,'Direct labour(직접노무비)'!$U$12:$U$503)+SUMIF('Overhead exp(제조경비)'!$C$12:$C$503,'WIP(재공품)'!B126,'Overhead exp(제조경비)'!$U$12:$U$503)</f>
        <v>0</v>
      </c>
      <c r="V126" s="112">
        <f>SUMIF('Direct labour(직접노무비)'!$C$12:$C$503,'WIP(재공품)'!B126,'Direct labour(직접노무비)'!$Q$12:$Q$503)</f>
        <v>0</v>
      </c>
      <c r="W126" s="112">
        <f>SUMIF('Overhead exp(제조경비)'!$C$12:$C$503,'WIP(재공품)'!B126,'Overhead exp(제조경비)'!$Q$12:$Q$503)</f>
        <v>0</v>
      </c>
      <c r="X126" s="112">
        <f t="shared" si="15"/>
        <v>0</v>
      </c>
      <c r="Y126" s="112">
        <f ca="1">ROUND(SUMIF('JUNE (물량흐름)'!$C$13:$C$502,'WIP(재공품)'!B126,'JUNE (물량흐름)'!$N$13:$N$488),0)</f>
        <v>0</v>
      </c>
      <c r="Z126" s="112">
        <f>ROUND(SUMIF('JUNE (물량흐름)'!$C$13:$C$502,'WIP(재공품)'!B126,'JUNE (물량흐름)'!$O$13:$O$502),0)</f>
        <v>0</v>
      </c>
      <c r="AA126" s="112">
        <f>ROUND(SUMIF('JUNE (물량흐름)'!$C$13:$C$502,'WIP(재공품)'!B126,'JUNE (물량흐름)'!$P$13:$P$502),0)</f>
        <v>1236</v>
      </c>
      <c r="AB126" s="112">
        <f t="shared" ca="1" si="16"/>
        <v>1236</v>
      </c>
      <c r="AC126" s="112">
        <f t="shared" si="17"/>
        <v>45249965</v>
      </c>
      <c r="AD126" s="381">
        <f t="shared" ca="1" si="18"/>
        <v>0</v>
      </c>
      <c r="AE126" s="381">
        <f t="shared" si="19"/>
        <v>0</v>
      </c>
      <c r="AF126" s="382"/>
      <c r="AG126" s="382">
        <v>0</v>
      </c>
      <c r="AH126" s="383">
        <f t="shared" si="20"/>
        <v>1.53</v>
      </c>
      <c r="AI126" s="384"/>
      <c r="AJ126" s="383"/>
      <c r="AL126" s="385"/>
      <c r="AM126" s="381"/>
      <c r="AN126" s="382"/>
      <c r="AO126" s="382"/>
      <c r="AP126" s="383"/>
      <c r="AQ126" s="383"/>
    </row>
    <row r="127" spans="1:43" s="384" customFormat="1" ht="18.75" customHeight="1">
      <c r="A127" s="167">
        <v>116</v>
      </c>
      <c r="B127" s="240">
        <f>VLOOKUP(A127,'JUNE (물량흐름)'!$A$13:$C$502,3,0)</f>
        <v>100003498</v>
      </c>
      <c r="C127" s="21" t="str">
        <f>VLOOKUP(A127,'JUNE (물량흐름)'!$A$13:$C$502,2,0)</f>
        <v>ALFANI</v>
      </c>
      <c r="D127" s="212">
        <v>0.36</v>
      </c>
      <c r="E127" s="6">
        <f>VLOOKUP(B127,'Sales profit (스타일 별 매출이익)'!$D$9:$P$491,13,0)</f>
        <v>8163</v>
      </c>
      <c r="F127" s="112">
        <f>IFERROR(VLOOKUP(B127,O.B.JUNE!$N$7:$Q$448,2,0),0)</f>
        <v>0</v>
      </c>
      <c r="G127" s="112">
        <f>IFERROR(VLOOKUP(B127,O.B.JUNE!$N$7:$Q$448,3,0),0)</f>
        <v>0</v>
      </c>
      <c r="H127" s="112">
        <f>IFERROR(VLOOKUP(B127,O.B.JUNE!$N$7:$Q$448,4,0),0)</f>
        <v>344</v>
      </c>
      <c r="I127" s="112">
        <f t="shared" si="12"/>
        <v>344</v>
      </c>
      <c r="J127" s="112">
        <f>IFERROR(VLOOKUP(B127,O.B.JUNE!$AA$7:$AG$448,7,0),0)</f>
        <v>4479428</v>
      </c>
      <c r="K127" s="112">
        <f>IFERROR(VLOOKUP(B127,O.B.JUNE!$AI$7:$AO$448,7,0),0)</f>
        <v>6862338</v>
      </c>
      <c r="L127" s="112">
        <f t="shared" si="13"/>
        <v>11341766</v>
      </c>
      <c r="M127" s="112">
        <f>ROUND(SUMIF('JUNE (물량흐름)'!$C$13:$C$502,'WIP(재공품)'!B127,'JUNE (물량흐름)'!$H$13:$H$502)+SUMIF('JUNE (물량흐름)'!$C$13:$C$502,'WIP(재공품)'!B127,'JUNE (물량흐름)'!$V$13:$V$502),0)</f>
        <v>0</v>
      </c>
      <c r="N127" s="112">
        <f>SUMIF('Direct labour(직접노무비)'!$C$12:$C$503,'WIP(재공품)'!B127,'Direct labour(직접노무비)'!$O$12:$O$503)</f>
        <v>0</v>
      </c>
      <c r="O127" s="112">
        <f>SUMIF('Overhead exp(제조경비)'!$C$12:$C$503,'WIP(재공품)'!B127,'Overhead exp(제조경비)'!$O$12:$O$503)</f>
        <v>0</v>
      </c>
      <c r="P127" s="112">
        <f t="shared" si="14"/>
        <v>0</v>
      </c>
      <c r="Q127" s="112">
        <v>0</v>
      </c>
      <c r="R127" s="112">
        <v>0</v>
      </c>
      <c r="S127" s="112">
        <f>SUMIF('JUNE (물량흐름)'!$C$13:$C$493,'WIP(재공품)'!B127,'JUNE (물량흐름)'!$T$13:$T$493)+SUMIF('JUNE (물량흐름)'!$C$13:$C$493,'WIP(재공품)'!B127,'JUNE (물량흐름)'!$U$13:$U$493)+SUMIF('JUNE (물량흐름)'!$C$13:$C$493,'WIP(재공품)'!B127,'JUNE (물량흐름)'!$V$13:$V$493)-SUMIF('JUNE (물량흐름)'!$C$13:$C$493,'WIP(재공품)'!B127,'JUNE (물량흐름)'!$Y$13:$Y$493)</f>
        <v>0</v>
      </c>
      <c r="T127" s="112">
        <f>SUMIF('JUNE (물량흐름)'!$C$13:$C$502,'WIP(재공품)'!B127,'JUNE (물량흐름)'!$Y$13:$Y$502)</f>
        <v>0</v>
      </c>
      <c r="U127" s="167">
        <f>SUMIF('Direct labour(직접노무비)'!$C$12:$C$503,'WIP(재공품)'!B127,'Direct labour(직접노무비)'!$U$12:$U$503)+SUMIF('Overhead exp(제조경비)'!$C$12:$C$503,'WIP(재공품)'!B127,'Overhead exp(제조경비)'!$U$12:$U$503)</f>
        <v>0</v>
      </c>
      <c r="V127" s="112">
        <f>SUMIF('Direct labour(직접노무비)'!$C$12:$C$503,'WIP(재공품)'!B127,'Direct labour(직접노무비)'!$Q$12:$Q$503)</f>
        <v>0</v>
      </c>
      <c r="W127" s="112">
        <f>SUMIF('Overhead exp(제조경비)'!$C$12:$C$503,'WIP(재공품)'!B127,'Overhead exp(제조경비)'!$Q$12:$Q$503)</f>
        <v>0</v>
      </c>
      <c r="X127" s="112">
        <f t="shared" si="15"/>
        <v>0</v>
      </c>
      <c r="Y127" s="112">
        <f ca="1">ROUND(SUMIF('JUNE (물량흐름)'!$C$13:$C$502,'WIP(재공품)'!B127,'JUNE (물량흐름)'!$N$13:$N$488),0)</f>
        <v>0</v>
      </c>
      <c r="Z127" s="112">
        <f>ROUND(SUMIF('JUNE (물량흐름)'!$C$13:$C$502,'WIP(재공품)'!B127,'JUNE (물량흐름)'!$O$13:$O$502),0)</f>
        <v>0</v>
      </c>
      <c r="AA127" s="112">
        <f>ROUND(SUMIF('JUNE (물량흐름)'!$C$13:$C$502,'WIP(재공품)'!B127,'JUNE (물량흐름)'!$P$13:$P$502),0)</f>
        <v>344</v>
      </c>
      <c r="AB127" s="112">
        <f t="shared" ca="1" si="16"/>
        <v>344</v>
      </c>
      <c r="AC127" s="112">
        <f t="shared" si="17"/>
        <v>11341766</v>
      </c>
      <c r="AD127" s="381">
        <f t="shared" ca="1" si="18"/>
        <v>0</v>
      </c>
      <c r="AE127" s="381">
        <f t="shared" si="19"/>
        <v>0</v>
      </c>
      <c r="AF127" s="382"/>
      <c r="AG127" s="382">
        <v>0</v>
      </c>
      <c r="AH127" s="383">
        <f t="shared" si="20"/>
        <v>0.36</v>
      </c>
      <c r="AJ127" s="383"/>
      <c r="AL127" s="385"/>
      <c r="AM127" s="381"/>
      <c r="AN127" s="382"/>
      <c r="AO127" s="382"/>
      <c r="AP127" s="383"/>
      <c r="AQ127" s="383"/>
    </row>
    <row r="128" spans="1:43" s="384" customFormat="1" ht="18.75" customHeight="1">
      <c r="A128" s="167">
        <v>117</v>
      </c>
      <c r="B128" s="240">
        <f>VLOOKUP(A128,'JUNE (물량흐름)'!$A$13:$C$502,3,0)</f>
        <v>100003560</v>
      </c>
      <c r="C128" s="21" t="str">
        <f>VLOOKUP(A128,'JUNE (물량흐름)'!$A$13:$C$502,2,0)</f>
        <v>ALFANI</v>
      </c>
      <c r="D128" s="212">
        <v>0.35</v>
      </c>
      <c r="E128" s="6">
        <f>VLOOKUP(B128,'Sales profit (스타일 별 매출이익)'!$D$9:$P$491,13,0)</f>
        <v>7936.2499999999991</v>
      </c>
      <c r="F128" s="112">
        <f>IFERROR(VLOOKUP(B128,O.B.JUNE!$N$7:$Q$448,2,0),0)</f>
        <v>0</v>
      </c>
      <c r="G128" s="112">
        <f>IFERROR(VLOOKUP(B128,O.B.JUNE!$N$7:$Q$448,3,0),0)</f>
        <v>0</v>
      </c>
      <c r="H128" s="112">
        <f>IFERROR(VLOOKUP(B128,O.B.JUNE!$N$7:$Q$448,4,0),0)</f>
        <v>66</v>
      </c>
      <c r="I128" s="112">
        <f t="shared" si="12"/>
        <v>66</v>
      </c>
      <c r="J128" s="112">
        <f>IFERROR(VLOOKUP(B128,O.B.JUNE!$AA$7:$AG$448,7,0),0)</f>
        <v>512669</v>
      </c>
      <c r="K128" s="112">
        <f>IFERROR(VLOOKUP(B128,O.B.JUNE!$AI$7:$AO$448,7,0),0)</f>
        <v>785392</v>
      </c>
      <c r="L128" s="112">
        <f t="shared" si="13"/>
        <v>1298061</v>
      </c>
      <c r="M128" s="112">
        <f>ROUND(SUMIF('JUNE (물량흐름)'!$C$13:$C$502,'WIP(재공품)'!B128,'JUNE (물량흐름)'!$H$13:$H$502)+SUMIF('JUNE (물량흐름)'!$C$13:$C$502,'WIP(재공품)'!B128,'JUNE (물량흐름)'!$V$13:$V$502),0)</f>
        <v>0</v>
      </c>
      <c r="N128" s="112">
        <f>SUMIF('Direct labour(직접노무비)'!$C$12:$C$503,'WIP(재공품)'!B128,'Direct labour(직접노무비)'!$O$12:$O$503)</f>
        <v>0</v>
      </c>
      <c r="O128" s="112">
        <f>SUMIF('Overhead exp(제조경비)'!$C$12:$C$503,'WIP(재공품)'!B128,'Overhead exp(제조경비)'!$O$12:$O$503)</f>
        <v>0</v>
      </c>
      <c r="P128" s="112">
        <f t="shared" si="14"/>
        <v>0</v>
      </c>
      <c r="Q128" s="112">
        <v>0</v>
      </c>
      <c r="R128" s="112">
        <v>0</v>
      </c>
      <c r="S128" s="112">
        <f>SUMIF('JUNE (물량흐름)'!$C$13:$C$493,'WIP(재공품)'!B128,'JUNE (물량흐름)'!$T$13:$T$493)+SUMIF('JUNE (물량흐름)'!$C$13:$C$493,'WIP(재공품)'!B128,'JUNE (물량흐름)'!$U$13:$U$493)+SUMIF('JUNE (물량흐름)'!$C$13:$C$493,'WIP(재공품)'!B128,'JUNE (물량흐름)'!$V$13:$V$493)-SUMIF('JUNE (물량흐름)'!$C$13:$C$493,'WIP(재공품)'!B128,'JUNE (물량흐름)'!$Y$13:$Y$493)</f>
        <v>0</v>
      </c>
      <c r="T128" s="112">
        <f>SUMIF('JUNE (물량흐름)'!$C$13:$C$502,'WIP(재공품)'!B128,'JUNE (물량흐름)'!$Y$13:$Y$502)</f>
        <v>0</v>
      </c>
      <c r="U128" s="167">
        <f>SUMIF('Direct labour(직접노무비)'!$C$12:$C$503,'WIP(재공품)'!B128,'Direct labour(직접노무비)'!$U$12:$U$503)+SUMIF('Overhead exp(제조경비)'!$C$12:$C$503,'WIP(재공품)'!B128,'Overhead exp(제조경비)'!$U$12:$U$503)</f>
        <v>0</v>
      </c>
      <c r="V128" s="112">
        <f>SUMIF('Direct labour(직접노무비)'!$C$12:$C$503,'WIP(재공품)'!B128,'Direct labour(직접노무비)'!$Q$12:$Q$503)</f>
        <v>0</v>
      </c>
      <c r="W128" s="112">
        <f>SUMIF('Overhead exp(제조경비)'!$C$12:$C$503,'WIP(재공품)'!B128,'Overhead exp(제조경비)'!$Q$12:$Q$503)</f>
        <v>0</v>
      </c>
      <c r="X128" s="112">
        <f t="shared" si="15"/>
        <v>0</v>
      </c>
      <c r="Y128" s="112">
        <f ca="1">ROUND(SUMIF('JUNE (물량흐름)'!$C$13:$C$502,'WIP(재공품)'!B128,'JUNE (물량흐름)'!$N$13:$N$488),0)</f>
        <v>0</v>
      </c>
      <c r="Z128" s="112">
        <f>ROUND(SUMIF('JUNE (물량흐름)'!$C$13:$C$502,'WIP(재공품)'!B128,'JUNE (물량흐름)'!$O$13:$O$502),0)</f>
        <v>0</v>
      </c>
      <c r="AA128" s="112">
        <f>ROUND(SUMIF('JUNE (물량흐름)'!$C$13:$C$502,'WIP(재공품)'!B128,'JUNE (물량흐름)'!$P$13:$P$502),0)</f>
        <v>66</v>
      </c>
      <c r="AB128" s="112">
        <f t="shared" ca="1" si="16"/>
        <v>66</v>
      </c>
      <c r="AC128" s="112">
        <f t="shared" si="17"/>
        <v>1298061</v>
      </c>
      <c r="AD128" s="381">
        <f t="shared" ca="1" si="18"/>
        <v>0</v>
      </c>
      <c r="AE128" s="381">
        <f t="shared" si="19"/>
        <v>0</v>
      </c>
      <c r="AF128" s="382"/>
      <c r="AG128" s="382">
        <v>0</v>
      </c>
      <c r="AH128" s="383">
        <f t="shared" si="20"/>
        <v>0.35</v>
      </c>
      <c r="AJ128" s="383"/>
      <c r="AL128" s="385"/>
      <c r="AM128" s="381"/>
      <c r="AN128" s="382"/>
      <c r="AO128" s="382"/>
      <c r="AP128" s="383"/>
      <c r="AQ128" s="383"/>
    </row>
    <row r="129" spans="1:43" s="384" customFormat="1" ht="18.75" customHeight="1">
      <c r="A129" s="167">
        <v>118</v>
      </c>
      <c r="B129" s="240">
        <f>VLOOKUP(A129,'JUNE (물량흐름)'!$A$13:$C$502,3,0)</f>
        <v>100003581</v>
      </c>
      <c r="C129" s="21" t="str">
        <f>VLOOKUP(A129,'JUNE (물량흐름)'!$A$13:$C$502,2,0)</f>
        <v>ALFANI</v>
      </c>
      <c r="D129" s="212">
        <v>3.1</v>
      </c>
      <c r="E129" s="6">
        <f>VLOOKUP(B129,'Sales profit (스타일 별 매출이익)'!$D$9:$P$491,13,0)</f>
        <v>70292.5</v>
      </c>
      <c r="F129" s="112">
        <f>IFERROR(VLOOKUP(B129,O.B.JUNE!$N$7:$Q$448,2,0),0)</f>
        <v>0</v>
      </c>
      <c r="G129" s="112">
        <f>IFERROR(VLOOKUP(B129,O.B.JUNE!$N$7:$Q$448,3,0),0)</f>
        <v>0</v>
      </c>
      <c r="H129" s="112">
        <f>IFERROR(VLOOKUP(B129,O.B.JUNE!$N$7:$Q$448,4,0),0)</f>
        <v>223</v>
      </c>
      <c r="I129" s="112">
        <f t="shared" si="12"/>
        <v>223</v>
      </c>
      <c r="J129" s="112">
        <f>IFERROR(VLOOKUP(B129,O.B.JUNE!$AA$7:$AG$448,7,0),0)</f>
        <v>3137567</v>
      </c>
      <c r="K129" s="112">
        <f>IFERROR(VLOOKUP(B129,O.B.JUNE!$AI$7:$AO$448,7,0),0)</f>
        <v>4806651</v>
      </c>
      <c r="L129" s="112">
        <f t="shared" si="13"/>
        <v>7944218</v>
      </c>
      <c r="M129" s="112">
        <f>ROUND(SUMIF('JUNE (물량흐름)'!$C$13:$C$502,'WIP(재공품)'!B129,'JUNE (물량흐름)'!$H$13:$H$502)+SUMIF('JUNE (물량흐름)'!$C$13:$C$502,'WIP(재공품)'!B129,'JUNE (물량흐름)'!$V$13:$V$502),0)</f>
        <v>0</v>
      </c>
      <c r="N129" s="112">
        <f>SUMIF('Direct labour(직접노무비)'!$C$12:$C$503,'WIP(재공품)'!B129,'Direct labour(직접노무비)'!$O$12:$O$503)</f>
        <v>0</v>
      </c>
      <c r="O129" s="112">
        <f>SUMIF('Overhead exp(제조경비)'!$C$12:$C$503,'WIP(재공품)'!B129,'Overhead exp(제조경비)'!$O$12:$O$503)</f>
        <v>0</v>
      </c>
      <c r="P129" s="112">
        <f t="shared" si="14"/>
        <v>0</v>
      </c>
      <c r="Q129" s="112">
        <v>0</v>
      </c>
      <c r="R129" s="112">
        <v>0</v>
      </c>
      <c r="S129" s="112">
        <f>SUMIF('JUNE (물량흐름)'!$C$13:$C$493,'WIP(재공품)'!B129,'JUNE (물량흐름)'!$T$13:$T$493)+SUMIF('JUNE (물량흐름)'!$C$13:$C$493,'WIP(재공품)'!B129,'JUNE (물량흐름)'!$U$13:$U$493)+SUMIF('JUNE (물량흐름)'!$C$13:$C$493,'WIP(재공품)'!B129,'JUNE (물량흐름)'!$V$13:$V$493)-SUMIF('JUNE (물량흐름)'!$C$13:$C$493,'WIP(재공품)'!B129,'JUNE (물량흐름)'!$Y$13:$Y$493)</f>
        <v>0</v>
      </c>
      <c r="T129" s="112">
        <f>SUMIF('JUNE (물량흐름)'!$C$13:$C$502,'WIP(재공품)'!B129,'JUNE (물량흐름)'!$Y$13:$Y$502)</f>
        <v>0</v>
      </c>
      <c r="U129" s="167">
        <f>SUMIF('Direct labour(직접노무비)'!$C$12:$C$503,'WIP(재공품)'!B129,'Direct labour(직접노무비)'!$U$12:$U$503)+SUMIF('Overhead exp(제조경비)'!$C$12:$C$503,'WIP(재공품)'!B129,'Overhead exp(제조경비)'!$U$12:$U$503)</f>
        <v>0</v>
      </c>
      <c r="V129" s="112">
        <f>SUMIF('Direct labour(직접노무비)'!$C$12:$C$503,'WIP(재공품)'!B129,'Direct labour(직접노무비)'!$Q$12:$Q$503)</f>
        <v>0</v>
      </c>
      <c r="W129" s="112">
        <f>SUMIF('Overhead exp(제조경비)'!$C$12:$C$503,'WIP(재공품)'!B129,'Overhead exp(제조경비)'!$Q$12:$Q$503)</f>
        <v>0</v>
      </c>
      <c r="X129" s="112">
        <f t="shared" si="15"/>
        <v>0</v>
      </c>
      <c r="Y129" s="112">
        <f ca="1">ROUND(SUMIF('JUNE (물량흐름)'!$C$13:$C$502,'WIP(재공품)'!B129,'JUNE (물량흐름)'!$N$13:$N$488),0)</f>
        <v>0</v>
      </c>
      <c r="Z129" s="112">
        <f>ROUND(SUMIF('JUNE (물량흐름)'!$C$13:$C$502,'WIP(재공품)'!B129,'JUNE (물량흐름)'!$O$13:$O$502),0)</f>
        <v>0</v>
      </c>
      <c r="AA129" s="112">
        <f>ROUND(SUMIF('JUNE (물량흐름)'!$C$13:$C$502,'WIP(재공품)'!B129,'JUNE (물량흐름)'!$P$13:$P$502),0)</f>
        <v>223</v>
      </c>
      <c r="AB129" s="112">
        <f t="shared" ca="1" si="16"/>
        <v>223</v>
      </c>
      <c r="AC129" s="112">
        <f t="shared" si="17"/>
        <v>7944218</v>
      </c>
      <c r="AD129" s="381">
        <f t="shared" ca="1" si="18"/>
        <v>0</v>
      </c>
      <c r="AE129" s="381">
        <f t="shared" si="19"/>
        <v>0</v>
      </c>
      <c r="AF129" s="382"/>
      <c r="AG129" s="382">
        <v>0</v>
      </c>
      <c r="AH129" s="383">
        <f t="shared" si="20"/>
        <v>3.1</v>
      </c>
      <c r="AJ129" s="383"/>
      <c r="AL129" s="385"/>
      <c r="AM129" s="381"/>
      <c r="AN129" s="382"/>
      <c r="AO129" s="382"/>
      <c r="AP129" s="383"/>
      <c r="AQ129" s="383"/>
    </row>
    <row r="130" spans="1:43" s="384" customFormat="1" ht="18.75" customHeight="1">
      <c r="A130" s="167">
        <v>119</v>
      </c>
      <c r="B130" s="240">
        <f>VLOOKUP(A130,'JUNE (물량흐름)'!$A$13:$C$502,3,0)</f>
        <v>100003599</v>
      </c>
      <c r="C130" s="21" t="str">
        <f>VLOOKUP(A130,'JUNE (물량흐름)'!$A$13:$C$502,2,0)</f>
        <v>ALFANI</v>
      </c>
      <c r="D130" s="212">
        <v>0.36</v>
      </c>
      <c r="E130" s="6">
        <f>VLOOKUP(B130,'Sales profit (스타일 별 매출이익)'!$D$9:$P$491,13,0)</f>
        <v>8163</v>
      </c>
      <c r="F130" s="112">
        <f>IFERROR(VLOOKUP(B130,O.B.JUNE!$N$7:$Q$448,2,0),0)</f>
        <v>0</v>
      </c>
      <c r="G130" s="112">
        <f>IFERROR(VLOOKUP(B130,O.B.JUNE!$N$7:$Q$448,3,0),0)</f>
        <v>0</v>
      </c>
      <c r="H130" s="112">
        <f>IFERROR(VLOOKUP(B130,O.B.JUNE!$N$7:$Q$448,4,0),0)</f>
        <v>92</v>
      </c>
      <c r="I130" s="112">
        <f t="shared" si="12"/>
        <v>92</v>
      </c>
      <c r="J130" s="112">
        <f>IFERROR(VLOOKUP(B130,O.B.JUNE!$AA$7:$AG$448,7,0),0)</f>
        <v>1073702</v>
      </c>
      <c r="K130" s="112">
        <f>IFERROR(VLOOKUP(B130,O.B.JUNE!$AI$7:$AO$448,7,0),0)</f>
        <v>1644877</v>
      </c>
      <c r="L130" s="112">
        <f t="shared" si="13"/>
        <v>2718579</v>
      </c>
      <c r="M130" s="112">
        <f>ROUND(SUMIF('JUNE (물량흐름)'!$C$13:$C$502,'WIP(재공품)'!B130,'JUNE (물량흐름)'!$H$13:$H$502)+SUMIF('JUNE (물량흐름)'!$C$13:$C$502,'WIP(재공품)'!B130,'JUNE (물량흐름)'!$V$13:$V$502),0)</f>
        <v>4614</v>
      </c>
      <c r="N130" s="112">
        <f>SUMIF('Direct labour(직접노무비)'!$C$12:$C$503,'WIP(재공품)'!B130,'Direct labour(직접노무비)'!$O$12:$O$503)</f>
        <v>11585395</v>
      </c>
      <c r="O130" s="112">
        <f>SUMIF('Overhead exp(제조경비)'!$C$12:$C$503,'WIP(재공품)'!B130,'Overhead exp(제조경비)'!$O$12:$O$503)</f>
        <v>22634831</v>
      </c>
      <c r="P130" s="112">
        <f t="shared" si="14"/>
        <v>34220226</v>
      </c>
      <c r="Q130" s="112">
        <v>0</v>
      </c>
      <c r="R130" s="112">
        <v>0</v>
      </c>
      <c r="S130" s="112">
        <f>SUMIF('JUNE (물량흐름)'!$C$13:$C$493,'WIP(재공품)'!B130,'JUNE (물량흐름)'!$T$13:$T$493)+SUMIF('JUNE (물량흐름)'!$C$13:$C$493,'WIP(재공품)'!B130,'JUNE (물량흐름)'!$U$13:$U$493)+SUMIF('JUNE (물량흐름)'!$C$13:$C$493,'WIP(재공품)'!B130,'JUNE (물량흐름)'!$V$13:$V$493)-SUMIF('JUNE (물량흐름)'!$C$13:$C$493,'WIP(재공품)'!B130,'JUNE (물량흐름)'!$Y$13:$Y$493)</f>
        <v>4602</v>
      </c>
      <c r="T130" s="112">
        <f>SUMIF('JUNE (물량흐름)'!$C$13:$C$502,'WIP(재공품)'!B130,'JUNE (물량흐름)'!$Y$13:$Y$502)</f>
        <v>0</v>
      </c>
      <c r="U130" s="167">
        <f>SUMIF('Direct labour(직접노무비)'!$C$12:$C$503,'WIP(재공품)'!B130,'Direct labour(직접노무비)'!$U$12:$U$503)+SUMIF('Overhead exp(제조경비)'!$C$12:$C$503,'WIP(재공품)'!B130,'Overhead exp(제조경비)'!$U$12:$U$503)</f>
        <v>0</v>
      </c>
      <c r="V130" s="112">
        <f>SUMIF('Direct labour(직접노무비)'!$C$12:$C$503,'WIP(재공품)'!B130,'Direct labour(직접노무비)'!$Q$12:$Q$503)</f>
        <v>12379338</v>
      </c>
      <c r="W130" s="112">
        <f>SUMIF('Overhead exp(제조경비)'!$C$12:$C$503,'WIP(재공품)'!B130,'Overhead exp(제조경비)'!$Q$12:$Q$503)</f>
        <v>23743140</v>
      </c>
      <c r="X130" s="112">
        <f t="shared" si="15"/>
        <v>36122478</v>
      </c>
      <c r="Y130" s="112">
        <f ca="1">ROUND(SUMIF('JUNE (물량흐름)'!$C$13:$C$502,'WIP(재공품)'!B130,'JUNE (물량흐름)'!$N$13:$N$488),0)</f>
        <v>0</v>
      </c>
      <c r="Z130" s="112">
        <f>ROUND(SUMIF('JUNE (물량흐름)'!$C$13:$C$502,'WIP(재공품)'!B130,'JUNE (물량흐름)'!$O$13:$O$502),0)</f>
        <v>74</v>
      </c>
      <c r="AA130" s="112">
        <f>ROUND(SUMIF('JUNE (물량흐름)'!$C$13:$C$502,'WIP(재공품)'!B130,'JUNE (물량흐름)'!$P$13:$P$502),0)</f>
        <v>30</v>
      </c>
      <c r="AB130" s="112">
        <f t="shared" ca="1" si="16"/>
        <v>104</v>
      </c>
      <c r="AC130" s="112">
        <f t="shared" si="17"/>
        <v>816327</v>
      </c>
      <c r="AD130" s="381">
        <f t="shared" ca="1" si="18"/>
        <v>0</v>
      </c>
      <c r="AE130" s="381">
        <f t="shared" si="19"/>
        <v>0</v>
      </c>
      <c r="AF130" s="382"/>
      <c r="AG130" s="382">
        <v>0</v>
      </c>
      <c r="AH130" s="383">
        <f t="shared" si="20"/>
        <v>0.36</v>
      </c>
      <c r="AJ130" s="383"/>
      <c r="AL130" s="385"/>
      <c r="AM130" s="381"/>
      <c r="AN130" s="382"/>
      <c r="AO130" s="382"/>
      <c r="AP130" s="383"/>
      <c r="AQ130" s="383"/>
    </row>
    <row r="131" spans="1:43" s="384" customFormat="1" ht="18.75" customHeight="1">
      <c r="A131" s="167">
        <v>120</v>
      </c>
      <c r="B131" s="240">
        <f>VLOOKUP(A131,'JUNE (물량흐름)'!$A$13:$C$502,3,0)</f>
        <v>100016414</v>
      </c>
      <c r="C131" s="21" t="str">
        <f>VLOOKUP(A131,'JUNE (물량흐름)'!$A$13:$C$502,2,0)</f>
        <v>ALFANI</v>
      </c>
      <c r="D131" s="212">
        <v>0.35</v>
      </c>
      <c r="E131" s="6">
        <f>VLOOKUP(B131,'Sales profit (스타일 별 매출이익)'!$D$9:$P$491,13,0)</f>
        <v>7936.2499999999991</v>
      </c>
      <c r="F131" s="112">
        <f>IFERROR(VLOOKUP(B131,O.B.JUNE!$N$7:$Q$448,2,0),0)</f>
        <v>0</v>
      </c>
      <c r="G131" s="112">
        <f>IFERROR(VLOOKUP(B131,O.B.JUNE!$N$7:$Q$448,3,0),0)</f>
        <v>0</v>
      </c>
      <c r="H131" s="112">
        <f>IFERROR(VLOOKUP(B131,O.B.JUNE!$N$7:$Q$448,4,0),0)</f>
        <v>41</v>
      </c>
      <c r="I131" s="112">
        <f t="shared" si="12"/>
        <v>41</v>
      </c>
      <c r="J131" s="112">
        <f>IFERROR(VLOOKUP(B131,O.B.JUNE!$AA$7:$AG$448,7,0),0)</f>
        <v>463550</v>
      </c>
      <c r="K131" s="112">
        <f>IFERROR(VLOOKUP(B131,O.B.JUNE!$AI$7:$AO$448,7,0),0)</f>
        <v>710143</v>
      </c>
      <c r="L131" s="112">
        <f t="shared" si="13"/>
        <v>1173693</v>
      </c>
      <c r="M131" s="112">
        <f>ROUND(SUMIF('JUNE (물량흐름)'!$C$13:$C$502,'WIP(재공품)'!B131,'JUNE (물량흐름)'!$H$13:$H$502)+SUMIF('JUNE (물량흐름)'!$C$13:$C$502,'WIP(재공품)'!B131,'JUNE (물량흐름)'!$V$13:$V$502),0)</f>
        <v>0</v>
      </c>
      <c r="N131" s="112">
        <f>SUMIF('Direct labour(직접노무비)'!$C$12:$C$503,'WIP(재공품)'!B131,'Direct labour(직접노무비)'!$O$12:$O$503)</f>
        <v>0</v>
      </c>
      <c r="O131" s="112">
        <f>SUMIF('Overhead exp(제조경비)'!$C$12:$C$503,'WIP(재공품)'!B131,'Overhead exp(제조경비)'!$O$12:$O$503)</f>
        <v>0</v>
      </c>
      <c r="P131" s="112">
        <f t="shared" si="14"/>
        <v>0</v>
      </c>
      <c r="Q131" s="112">
        <v>0</v>
      </c>
      <c r="R131" s="112">
        <v>0</v>
      </c>
      <c r="S131" s="112">
        <f>SUMIF('JUNE (물량흐름)'!$C$13:$C$493,'WIP(재공품)'!B131,'JUNE (물량흐름)'!$T$13:$T$493)+SUMIF('JUNE (물량흐름)'!$C$13:$C$493,'WIP(재공품)'!B131,'JUNE (물량흐름)'!$U$13:$U$493)+SUMIF('JUNE (물량흐름)'!$C$13:$C$493,'WIP(재공품)'!B131,'JUNE (물량흐름)'!$V$13:$V$493)-SUMIF('JUNE (물량흐름)'!$C$13:$C$493,'WIP(재공품)'!B131,'JUNE (물량흐름)'!$Y$13:$Y$493)</f>
        <v>0</v>
      </c>
      <c r="T131" s="112">
        <f>SUMIF('JUNE (물량흐름)'!$C$13:$C$502,'WIP(재공품)'!B131,'JUNE (물량흐름)'!$Y$13:$Y$502)</f>
        <v>0</v>
      </c>
      <c r="U131" s="167">
        <f>SUMIF('Direct labour(직접노무비)'!$C$12:$C$503,'WIP(재공품)'!B131,'Direct labour(직접노무비)'!$U$12:$U$503)+SUMIF('Overhead exp(제조경비)'!$C$12:$C$503,'WIP(재공품)'!B131,'Overhead exp(제조경비)'!$U$12:$U$503)</f>
        <v>0</v>
      </c>
      <c r="V131" s="112">
        <f>SUMIF('Direct labour(직접노무비)'!$C$12:$C$503,'WIP(재공품)'!B131,'Direct labour(직접노무비)'!$Q$12:$Q$503)</f>
        <v>0</v>
      </c>
      <c r="W131" s="112">
        <f>SUMIF('Overhead exp(제조경비)'!$C$12:$C$503,'WIP(재공품)'!B131,'Overhead exp(제조경비)'!$Q$12:$Q$503)</f>
        <v>0</v>
      </c>
      <c r="X131" s="112">
        <f t="shared" si="15"/>
        <v>0</v>
      </c>
      <c r="Y131" s="112">
        <f ca="1">ROUND(SUMIF('JUNE (물량흐름)'!$C$13:$C$502,'WIP(재공품)'!B131,'JUNE (물량흐름)'!$N$13:$N$488),0)</f>
        <v>0</v>
      </c>
      <c r="Z131" s="112">
        <f>ROUND(SUMIF('JUNE (물량흐름)'!$C$13:$C$502,'WIP(재공품)'!B131,'JUNE (물량흐름)'!$O$13:$O$502),0)</f>
        <v>0</v>
      </c>
      <c r="AA131" s="112">
        <f>ROUND(SUMIF('JUNE (물량흐름)'!$C$13:$C$502,'WIP(재공품)'!B131,'JUNE (물량흐름)'!$P$13:$P$502),0)</f>
        <v>41</v>
      </c>
      <c r="AB131" s="112">
        <f t="shared" ca="1" si="16"/>
        <v>41</v>
      </c>
      <c r="AC131" s="112">
        <f t="shared" si="17"/>
        <v>1173693</v>
      </c>
      <c r="AD131" s="381">
        <f t="shared" ca="1" si="18"/>
        <v>0</v>
      </c>
      <c r="AE131" s="381">
        <f t="shared" si="19"/>
        <v>0</v>
      </c>
      <c r="AF131" s="382"/>
      <c r="AG131" s="382">
        <v>0</v>
      </c>
      <c r="AH131" s="383">
        <f t="shared" si="20"/>
        <v>0.35</v>
      </c>
      <c r="AJ131" s="383"/>
      <c r="AL131" s="385"/>
      <c r="AM131" s="381"/>
      <c r="AN131" s="382"/>
      <c r="AO131" s="382"/>
      <c r="AP131" s="383"/>
      <c r="AQ131" s="383"/>
    </row>
    <row r="132" spans="1:43" s="384" customFormat="1" ht="18.75" customHeight="1">
      <c r="A132" s="167">
        <v>121</v>
      </c>
      <c r="B132" s="240">
        <f>VLOOKUP(A132,'JUNE (물량흐름)'!$A$13:$C$502,3,0)</f>
        <v>69216</v>
      </c>
      <c r="C132" s="21" t="str">
        <f>VLOOKUP(A132,'JUNE (물량흐름)'!$A$13:$C$502,2,0)</f>
        <v>ALFANI</v>
      </c>
      <c r="D132" s="212">
        <v>0.35</v>
      </c>
      <c r="E132" s="6">
        <f>VLOOKUP(B132,'Sales profit (스타일 별 매출이익)'!$D$9:$P$491,13,0)</f>
        <v>7936.2499999999991</v>
      </c>
      <c r="F132" s="112">
        <f>IFERROR(VLOOKUP(B132,O.B.JUNE!$N$7:$Q$448,2,0),0)</f>
        <v>0</v>
      </c>
      <c r="G132" s="112">
        <f>IFERROR(VLOOKUP(B132,O.B.JUNE!$N$7:$Q$448,3,0),0)</f>
        <v>0</v>
      </c>
      <c r="H132" s="112">
        <f>IFERROR(VLOOKUP(B132,O.B.JUNE!$N$7:$Q$448,4,0),0)</f>
        <v>302</v>
      </c>
      <c r="I132" s="112">
        <f t="shared" si="12"/>
        <v>302</v>
      </c>
      <c r="J132" s="112">
        <f>IFERROR(VLOOKUP(B132,O.B.JUNE!$AA$7:$AG$448,7,0),0)</f>
        <v>1510265</v>
      </c>
      <c r="K132" s="112">
        <f>IFERROR(VLOOKUP(B132,O.B.JUNE!$AI$7:$AO$448,7,0),0)</f>
        <v>2202179</v>
      </c>
      <c r="L132" s="112">
        <f t="shared" si="13"/>
        <v>3712444</v>
      </c>
      <c r="M132" s="112">
        <f>ROUND(SUMIF('JUNE (물량흐름)'!$C$13:$C$502,'WIP(재공품)'!B132,'JUNE (물량흐름)'!$H$13:$H$502)+SUMIF('JUNE (물량흐름)'!$C$13:$C$502,'WIP(재공품)'!B132,'JUNE (물량흐름)'!$V$13:$V$502),0)</f>
        <v>0</v>
      </c>
      <c r="N132" s="112">
        <f>SUMIF('Direct labour(직접노무비)'!$C$12:$C$503,'WIP(재공품)'!B132,'Direct labour(직접노무비)'!$O$12:$O$503)</f>
        <v>0</v>
      </c>
      <c r="O132" s="112">
        <f>SUMIF('Overhead exp(제조경비)'!$C$12:$C$503,'WIP(재공품)'!B132,'Overhead exp(제조경비)'!$O$12:$O$503)</f>
        <v>0</v>
      </c>
      <c r="P132" s="112">
        <f t="shared" si="14"/>
        <v>0</v>
      </c>
      <c r="Q132" s="112">
        <v>0</v>
      </c>
      <c r="R132" s="112">
        <v>0</v>
      </c>
      <c r="S132" s="112">
        <f>SUMIF('JUNE (물량흐름)'!$C$13:$C$493,'WIP(재공품)'!B132,'JUNE (물량흐름)'!$T$13:$T$493)+SUMIF('JUNE (물량흐름)'!$C$13:$C$493,'WIP(재공품)'!B132,'JUNE (물량흐름)'!$U$13:$U$493)+SUMIF('JUNE (물량흐름)'!$C$13:$C$493,'WIP(재공품)'!B132,'JUNE (물량흐름)'!$V$13:$V$493)-SUMIF('JUNE (물량흐름)'!$C$13:$C$493,'WIP(재공품)'!B132,'JUNE (물량흐름)'!$Y$13:$Y$493)</f>
        <v>302</v>
      </c>
      <c r="T132" s="112">
        <f>SUMIF('JUNE (물량흐름)'!$C$13:$C$502,'WIP(재공품)'!B132,'JUNE (물량흐름)'!$Y$13:$Y$502)</f>
        <v>0</v>
      </c>
      <c r="U132" s="167">
        <f>SUMIF('Direct labour(직접노무비)'!$C$12:$C$503,'WIP(재공품)'!B132,'Direct labour(직접노무비)'!$U$12:$U$503)+SUMIF('Overhead exp(제조경비)'!$C$12:$C$503,'WIP(재공품)'!B132,'Overhead exp(제조경비)'!$U$12:$U$503)</f>
        <v>0</v>
      </c>
      <c r="V132" s="112">
        <f>SUMIF('Direct labour(직접노무비)'!$C$12:$C$503,'WIP(재공품)'!B132,'Direct labour(직접노무비)'!$Q$12:$Q$503)</f>
        <v>1510265</v>
      </c>
      <c r="W132" s="112">
        <f>SUMIF('Overhead exp(제조경비)'!$C$12:$C$503,'WIP(재공품)'!B132,'Overhead exp(제조경비)'!$Q$12:$Q$503)</f>
        <v>2202179</v>
      </c>
      <c r="X132" s="112">
        <f t="shared" si="15"/>
        <v>3712444</v>
      </c>
      <c r="Y132" s="112">
        <f ca="1">ROUND(SUMIF('JUNE (물량흐름)'!$C$13:$C$502,'WIP(재공품)'!B132,'JUNE (물량흐름)'!$N$13:$N$488),0)</f>
        <v>0</v>
      </c>
      <c r="Z132" s="112">
        <f>ROUND(SUMIF('JUNE (물량흐름)'!$C$13:$C$502,'WIP(재공품)'!B132,'JUNE (물량흐름)'!$O$13:$O$502),0)</f>
        <v>0</v>
      </c>
      <c r="AA132" s="112">
        <f>ROUND(SUMIF('JUNE (물량흐름)'!$C$13:$C$502,'WIP(재공품)'!B132,'JUNE (물량흐름)'!$P$13:$P$502),0)</f>
        <v>0</v>
      </c>
      <c r="AB132" s="112">
        <f t="shared" ca="1" si="16"/>
        <v>0</v>
      </c>
      <c r="AC132" s="112">
        <f t="shared" si="17"/>
        <v>0</v>
      </c>
      <c r="AD132" s="381">
        <f t="shared" ca="1" si="18"/>
        <v>0</v>
      </c>
      <c r="AE132" s="381">
        <f t="shared" si="19"/>
        <v>0</v>
      </c>
      <c r="AF132" s="382"/>
      <c r="AG132" s="382">
        <v>0</v>
      </c>
      <c r="AH132" s="383">
        <f t="shared" si="20"/>
        <v>0.35</v>
      </c>
      <c r="AJ132" s="383"/>
      <c r="AL132" s="385"/>
      <c r="AM132" s="381"/>
      <c r="AN132" s="382"/>
      <c r="AO132" s="382"/>
      <c r="AP132" s="383"/>
      <c r="AQ132" s="383"/>
    </row>
    <row r="133" spans="1:43" s="384" customFormat="1" ht="18.75" customHeight="1">
      <c r="A133" s="167">
        <v>123</v>
      </c>
      <c r="B133" s="240">
        <f>VLOOKUP(A133,'JUNE (물량흐름)'!$A$13:$C$502,3,0)</f>
        <v>451230</v>
      </c>
      <c r="C133" s="21" t="str">
        <f>VLOOKUP(A133,'JUNE (물량흐름)'!$A$13:$C$502,2,0)</f>
        <v>ANN TAYLOR</v>
      </c>
      <c r="D133" s="212">
        <v>0.35</v>
      </c>
      <c r="E133" s="6">
        <f>VLOOKUP(B133,'Sales profit (스타일 별 매출이익)'!$D$9:$P$491,13,0)</f>
        <v>7936.2499999999991</v>
      </c>
      <c r="F133" s="112">
        <f>IFERROR(VLOOKUP(B133,O.B.JUNE!$N$7:$Q$448,2,0),0)</f>
        <v>0</v>
      </c>
      <c r="G133" s="112">
        <f>IFERROR(VLOOKUP(B133,O.B.JUNE!$N$7:$Q$448,3,0),0)</f>
        <v>0</v>
      </c>
      <c r="H133" s="112">
        <f>IFERROR(VLOOKUP(B133,O.B.JUNE!$N$7:$Q$448,4,0),0)</f>
        <v>866</v>
      </c>
      <c r="I133" s="112">
        <f t="shared" si="12"/>
        <v>866</v>
      </c>
      <c r="J133" s="112">
        <f>IFERROR(VLOOKUP(B133,O.B.JUNE!$AA$7:$AG$448,7,0),0)</f>
        <v>9820745</v>
      </c>
      <c r="K133" s="112">
        <f>IFERROR(VLOOKUP(B133,O.B.JUNE!$AI$7:$AO$448,7,0),0)</f>
        <v>4029501</v>
      </c>
      <c r="L133" s="112">
        <f t="shared" si="13"/>
        <v>13850246</v>
      </c>
      <c r="M133" s="112">
        <f>ROUND(SUMIF('JUNE (물량흐름)'!$C$13:$C$502,'WIP(재공품)'!B133,'JUNE (물량흐름)'!$H$13:$H$502)+SUMIF('JUNE (물량흐름)'!$C$13:$C$502,'WIP(재공품)'!B133,'JUNE (물량흐름)'!$V$13:$V$502),0)</f>
        <v>0</v>
      </c>
      <c r="N133" s="112">
        <f>SUMIF('Direct labour(직접노무비)'!$C$12:$C$503,'WIP(재공품)'!B133,'Direct labour(직접노무비)'!$O$12:$O$503)</f>
        <v>0</v>
      </c>
      <c r="O133" s="112">
        <f>SUMIF('Overhead exp(제조경비)'!$C$12:$C$503,'WIP(재공품)'!B133,'Overhead exp(제조경비)'!$O$12:$O$503)</f>
        <v>0</v>
      </c>
      <c r="P133" s="112">
        <f t="shared" si="14"/>
        <v>0</v>
      </c>
      <c r="Q133" s="112">
        <v>0</v>
      </c>
      <c r="R133" s="112">
        <v>0</v>
      </c>
      <c r="S133" s="112">
        <f>SUMIF('JUNE (물량흐름)'!$C$13:$C$493,'WIP(재공품)'!B133,'JUNE (물량흐름)'!$T$13:$T$493)+SUMIF('JUNE (물량흐름)'!$C$13:$C$493,'WIP(재공품)'!B133,'JUNE (물량흐름)'!$U$13:$U$493)+SUMIF('JUNE (물량흐름)'!$C$13:$C$493,'WIP(재공품)'!B133,'JUNE (물량흐름)'!$V$13:$V$493)-SUMIF('JUNE (물량흐름)'!$C$13:$C$493,'WIP(재공품)'!B133,'JUNE (물량흐름)'!$Y$13:$Y$493)</f>
        <v>866</v>
      </c>
      <c r="T133" s="112">
        <f>SUMIF('JUNE (물량흐름)'!$C$13:$C$502,'WIP(재공품)'!B133,'JUNE (물량흐름)'!$Y$13:$Y$502)</f>
        <v>0</v>
      </c>
      <c r="U133" s="167">
        <f>SUMIF('Direct labour(직접노무비)'!$C$12:$C$503,'WIP(재공품)'!B133,'Direct labour(직접노무비)'!$U$12:$U$503)+SUMIF('Overhead exp(제조경비)'!$C$12:$C$503,'WIP(재공품)'!B133,'Overhead exp(제조경비)'!$U$12:$U$503)</f>
        <v>0</v>
      </c>
      <c r="V133" s="112">
        <f>SUMIF('Direct labour(직접노무비)'!$C$12:$C$503,'WIP(재공품)'!B133,'Direct labour(직접노무비)'!$Q$12:$Q$503)</f>
        <v>9820745</v>
      </c>
      <c r="W133" s="112">
        <f>SUMIF('Overhead exp(제조경비)'!$C$12:$C$503,'WIP(재공품)'!B133,'Overhead exp(제조경비)'!$Q$12:$Q$503)</f>
        <v>4029501</v>
      </c>
      <c r="X133" s="112">
        <f t="shared" si="15"/>
        <v>13850246</v>
      </c>
      <c r="Y133" s="112">
        <f ca="1">ROUND(SUMIF('JUNE (물량흐름)'!$C$13:$C$502,'WIP(재공품)'!B133,'JUNE (물량흐름)'!$N$13:$N$488),0)</f>
        <v>0</v>
      </c>
      <c r="Z133" s="112">
        <f>ROUND(SUMIF('JUNE (물량흐름)'!$C$13:$C$502,'WIP(재공품)'!B133,'JUNE (물량흐름)'!$O$13:$O$502),0)</f>
        <v>0</v>
      </c>
      <c r="AA133" s="112">
        <f>ROUND(SUMIF('JUNE (물량흐름)'!$C$13:$C$502,'WIP(재공품)'!B133,'JUNE (물량흐름)'!$P$13:$P$502),0)</f>
        <v>0</v>
      </c>
      <c r="AB133" s="112">
        <f t="shared" ca="1" si="16"/>
        <v>0</v>
      </c>
      <c r="AC133" s="112">
        <f t="shared" si="17"/>
        <v>0</v>
      </c>
      <c r="AD133" s="381">
        <f t="shared" ca="1" si="18"/>
        <v>0</v>
      </c>
      <c r="AE133" s="381">
        <f t="shared" si="19"/>
        <v>0</v>
      </c>
      <c r="AF133" s="382"/>
      <c r="AG133" s="382">
        <v>0</v>
      </c>
      <c r="AH133" s="383">
        <f t="shared" si="20"/>
        <v>0.35</v>
      </c>
      <c r="AJ133" s="383"/>
      <c r="AL133" s="385"/>
      <c r="AM133" s="381"/>
      <c r="AN133" s="382"/>
      <c r="AO133" s="382"/>
      <c r="AP133" s="383"/>
      <c r="AQ133" s="383"/>
    </row>
    <row r="134" spans="1:43" s="384" customFormat="1" ht="18.75" customHeight="1">
      <c r="A134" s="167">
        <v>124</v>
      </c>
      <c r="B134" s="240">
        <f>VLOOKUP(A134,'JUNE (물량흐름)'!$A$13:$C$502,3,0)</f>
        <v>451311</v>
      </c>
      <c r="C134" s="21" t="str">
        <f>VLOOKUP(A134,'JUNE (물량흐름)'!$A$13:$C$502,2,0)</f>
        <v>ANN TAYLOR</v>
      </c>
      <c r="D134" s="212">
        <v>0.36</v>
      </c>
      <c r="E134" s="6">
        <f>VLOOKUP(B134,'Sales profit (스타일 별 매출이익)'!$D$9:$P$491,13,0)</f>
        <v>8163</v>
      </c>
      <c r="F134" s="112">
        <f>IFERROR(VLOOKUP(B134,O.B.JUNE!$N$7:$Q$448,2,0),0)</f>
        <v>0</v>
      </c>
      <c r="G134" s="112">
        <f>IFERROR(VLOOKUP(B134,O.B.JUNE!$N$7:$Q$448,3,0),0)</f>
        <v>0</v>
      </c>
      <c r="H134" s="112">
        <f>IFERROR(VLOOKUP(B134,O.B.JUNE!$N$7:$Q$448,4,0),0)</f>
        <v>292</v>
      </c>
      <c r="I134" s="112">
        <f t="shared" si="12"/>
        <v>292</v>
      </c>
      <c r="J134" s="112">
        <f>IFERROR(VLOOKUP(B134,O.B.JUNE!$AA$7:$AG$448,7,0),0)</f>
        <v>1091696</v>
      </c>
      <c r="K134" s="112">
        <f>IFERROR(VLOOKUP(B134,O.B.JUNE!$AI$7:$AO$448,7,0),0)</f>
        <v>1506007</v>
      </c>
      <c r="L134" s="112">
        <f t="shared" si="13"/>
        <v>2597703</v>
      </c>
      <c r="M134" s="112">
        <f>ROUND(SUMIF('JUNE (물량흐름)'!$C$13:$C$502,'WIP(재공품)'!B134,'JUNE (물량흐름)'!$H$13:$H$502)+SUMIF('JUNE (물량흐름)'!$C$13:$C$502,'WIP(재공품)'!B134,'JUNE (물량흐름)'!$V$13:$V$502),0)</f>
        <v>0</v>
      </c>
      <c r="N134" s="112">
        <f>SUMIF('Direct labour(직접노무비)'!$C$12:$C$503,'WIP(재공품)'!B134,'Direct labour(직접노무비)'!$O$12:$O$503)</f>
        <v>0</v>
      </c>
      <c r="O134" s="112">
        <f>SUMIF('Overhead exp(제조경비)'!$C$12:$C$503,'WIP(재공품)'!B134,'Overhead exp(제조경비)'!$O$12:$O$503)</f>
        <v>0</v>
      </c>
      <c r="P134" s="112">
        <f t="shared" si="14"/>
        <v>0</v>
      </c>
      <c r="Q134" s="112">
        <v>0</v>
      </c>
      <c r="R134" s="112">
        <v>0</v>
      </c>
      <c r="S134" s="112">
        <f>SUMIF('JUNE (물량흐름)'!$C$13:$C$493,'WIP(재공품)'!B134,'JUNE (물량흐름)'!$T$13:$T$493)+SUMIF('JUNE (물량흐름)'!$C$13:$C$493,'WIP(재공품)'!B134,'JUNE (물량흐름)'!$U$13:$U$493)+SUMIF('JUNE (물량흐름)'!$C$13:$C$493,'WIP(재공품)'!B134,'JUNE (물량흐름)'!$V$13:$V$493)-SUMIF('JUNE (물량흐름)'!$C$13:$C$493,'WIP(재공품)'!B134,'JUNE (물량흐름)'!$Y$13:$Y$493)</f>
        <v>292</v>
      </c>
      <c r="T134" s="112">
        <f>SUMIF('JUNE (물량흐름)'!$C$13:$C$502,'WIP(재공품)'!B134,'JUNE (물량흐름)'!$Y$13:$Y$502)</f>
        <v>0</v>
      </c>
      <c r="U134" s="167">
        <f>SUMIF('Direct labour(직접노무비)'!$C$12:$C$503,'WIP(재공품)'!B134,'Direct labour(직접노무비)'!$U$12:$U$503)+SUMIF('Overhead exp(제조경비)'!$C$12:$C$503,'WIP(재공품)'!B134,'Overhead exp(제조경비)'!$U$12:$U$503)</f>
        <v>0</v>
      </c>
      <c r="V134" s="112">
        <f>SUMIF('Direct labour(직접노무비)'!$C$12:$C$503,'WIP(재공품)'!B134,'Direct labour(직접노무비)'!$Q$12:$Q$503)</f>
        <v>1091696</v>
      </c>
      <c r="W134" s="112">
        <f>SUMIF('Overhead exp(제조경비)'!$C$12:$C$503,'WIP(재공품)'!B134,'Overhead exp(제조경비)'!$Q$12:$Q$503)</f>
        <v>1506007</v>
      </c>
      <c r="X134" s="112">
        <f t="shared" si="15"/>
        <v>2597703</v>
      </c>
      <c r="Y134" s="112">
        <f ca="1">ROUND(SUMIF('JUNE (물량흐름)'!$C$13:$C$502,'WIP(재공품)'!B134,'JUNE (물량흐름)'!$N$13:$N$488),0)</f>
        <v>0</v>
      </c>
      <c r="Z134" s="112">
        <f>ROUND(SUMIF('JUNE (물량흐름)'!$C$13:$C$502,'WIP(재공품)'!B134,'JUNE (물량흐름)'!$O$13:$O$502),0)</f>
        <v>0</v>
      </c>
      <c r="AA134" s="112">
        <f>ROUND(SUMIF('JUNE (물량흐름)'!$C$13:$C$502,'WIP(재공품)'!B134,'JUNE (물량흐름)'!$P$13:$P$502),0)</f>
        <v>0</v>
      </c>
      <c r="AB134" s="112">
        <f t="shared" ca="1" si="16"/>
        <v>0</v>
      </c>
      <c r="AC134" s="112">
        <f t="shared" si="17"/>
        <v>0</v>
      </c>
      <c r="AD134" s="381">
        <f t="shared" ca="1" si="18"/>
        <v>0</v>
      </c>
      <c r="AE134" s="381">
        <f t="shared" si="19"/>
        <v>0</v>
      </c>
      <c r="AF134" s="382"/>
      <c r="AG134" s="382">
        <v>0</v>
      </c>
      <c r="AH134" s="383">
        <f t="shared" si="20"/>
        <v>0.36</v>
      </c>
      <c r="AJ134" s="383"/>
      <c r="AL134" s="385"/>
      <c r="AM134" s="381"/>
      <c r="AN134" s="382"/>
      <c r="AO134" s="382"/>
      <c r="AP134" s="383"/>
      <c r="AQ134" s="383"/>
    </row>
    <row r="135" spans="1:43" s="384" customFormat="1" ht="18.75" customHeight="1">
      <c r="A135" s="167">
        <v>125</v>
      </c>
      <c r="B135" s="240">
        <f>VLOOKUP(A135,'JUNE (물량흐름)'!$A$13:$C$502,3,0)</f>
        <v>451365</v>
      </c>
      <c r="C135" s="21" t="str">
        <f>VLOOKUP(A135,'JUNE (물량흐름)'!$A$13:$C$502,2,0)</f>
        <v>ANN TAYLOR</v>
      </c>
      <c r="D135" s="212">
        <v>0.35</v>
      </c>
      <c r="E135" s="6">
        <f>VLOOKUP(B135,'Sales profit (스타일 별 매출이익)'!$D$9:$P$491,13,0)</f>
        <v>7936.2499999999991</v>
      </c>
      <c r="F135" s="112">
        <f>IFERROR(VLOOKUP(B135,O.B.JUNE!$N$7:$Q$448,2,0),0)</f>
        <v>0</v>
      </c>
      <c r="G135" s="112">
        <f>IFERROR(VLOOKUP(B135,O.B.JUNE!$N$7:$Q$448,3,0),0)</f>
        <v>0</v>
      </c>
      <c r="H135" s="112">
        <f>IFERROR(VLOOKUP(B135,O.B.JUNE!$N$7:$Q$448,4,0),0)</f>
        <v>386</v>
      </c>
      <c r="I135" s="112">
        <f t="shared" si="12"/>
        <v>386</v>
      </c>
      <c r="J135" s="112">
        <f>IFERROR(VLOOKUP(B135,O.B.JUNE!$AA$7:$AG$448,7,0),0)</f>
        <v>1470591</v>
      </c>
      <c r="K135" s="112">
        <f>IFERROR(VLOOKUP(B135,O.B.JUNE!$AI$7:$AO$448,7,0),0)</f>
        <v>2115152</v>
      </c>
      <c r="L135" s="112">
        <f t="shared" si="13"/>
        <v>3585743</v>
      </c>
      <c r="M135" s="112">
        <f>ROUND(SUMIF('JUNE (물량흐름)'!$C$13:$C$502,'WIP(재공품)'!B135,'JUNE (물량흐름)'!$H$13:$H$502)+SUMIF('JUNE (물량흐름)'!$C$13:$C$502,'WIP(재공품)'!B135,'JUNE (물량흐름)'!$V$13:$V$502),0)</f>
        <v>0</v>
      </c>
      <c r="N135" s="112">
        <f>SUMIF('Direct labour(직접노무비)'!$C$12:$C$503,'WIP(재공품)'!B135,'Direct labour(직접노무비)'!$O$12:$O$503)</f>
        <v>0</v>
      </c>
      <c r="O135" s="112">
        <f>SUMIF('Overhead exp(제조경비)'!$C$12:$C$503,'WIP(재공품)'!B135,'Overhead exp(제조경비)'!$O$12:$O$503)</f>
        <v>0</v>
      </c>
      <c r="P135" s="112">
        <f t="shared" si="14"/>
        <v>0</v>
      </c>
      <c r="Q135" s="112">
        <v>0</v>
      </c>
      <c r="R135" s="112">
        <v>0</v>
      </c>
      <c r="S135" s="112">
        <f>SUMIF('JUNE (물량흐름)'!$C$13:$C$493,'WIP(재공품)'!B135,'JUNE (물량흐름)'!$T$13:$T$493)+SUMIF('JUNE (물량흐름)'!$C$13:$C$493,'WIP(재공품)'!B135,'JUNE (물량흐름)'!$U$13:$U$493)+SUMIF('JUNE (물량흐름)'!$C$13:$C$493,'WIP(재공품)'!B135,'JUNE (물량흐름)'!$V$13:$V$493)-SUMIF('JUNE (물량흐름)'!$C$13:$C$493,'WIP(재공품)'!B135,'JUNE (물량흐름)'!$Y$13:$Y$493)</f>
        <v>386</v>
      </c>
      <c r="T135" s="112">
        <f>SUMIF('JUNE (물량흐름)'!$C$13:$C$502,'WIP(재공품)'!B135,'JUNE (물량흐름)'!$Y$13:$Y$502)</f>
        <v>0</v>
      </c>
      <c r="U135" s="167">
        <f>SUMIF('Direct labour(직접노무비)'!$C$12:$C$503,'WIP(재공품)'!B135,'Direct labour(직접노무비)'!$U$12:$U$503)+SUMIF('Overhead exp(제조경비)'!$C$12:$C$503,'WIP(재공품)'!B135,'Overhead exp(제조경비)'!$U$12:$U$503)</f>
        <v>0</v>
      </c>
      <c r="V135" s="112">
        <f>SUMIF('Direct labour(직접노무비)'!$C$12:$C$503,'WIP(재공품)'!B135,'Direct labour(직접노무비)'!$Q$12:$Q$503)</f>
        <v>1470591</v>
      </c>
      <c r="W135" s="112">
        <f>SUMIF('Overhead exp(제조경비)'!$C$12:$C$503,'WIP(재공품)'!B135,'Overhead exp(제조경비)'!$Q$12:$Q$503)</f>
        <v>2115152</v>
      </c>
      <c r="X135" s="112">
        <f t="shared" si="15"/>
        <v>3585743</v>
      </c>
      <c r="Y135" s="112">
        <f ca="1">ROUND(SUMIF('JUNE (물량흐름)'!$C$13:$C$502,'WIP(재공품)'!B135,'JUNE (물량흐름)'!$N$13:$N$488),0)</f>
        <v>0</v>
      </c>
      <c r="Z135" s="112">
        <f>ROUND(SUMIF('JUNE (물량흐름)'!$C$13:$C$502,'WIP(재공품)'!B135,'JUNE (물량흐름)'!$O$13:$O$502),0)</f>
        <v>0</v>
      </c>
      <c r="AA135" s="112">
        <f>ROUND(SUMIF('JUNE (물량흐름)'!$C$13:$C$502,'WIP(재공품)'!B135,'JUNE (물량흐름)'!$P$13:$P$502),0)</f>
        <v>0</v>
      </c>
      <c r="AB135" s="112">
        <f t="shared" ca="1" si="16"/>
        <v>0</v>
      </c>
      <c r="AC135" s="112">
        <f t="shared" si="17"/>
        <v>0</v>
      </c>
      <c r="AD135" s="381">
        <f t="shared" ca="1" si="18"/>
        <v>0</v>
      </c>
      <c r="AE135" s="381">
        <f t="shared" si="19"/>
        <v>0</v>
      </c>
      <c r="AF135" s="382"/>
      <c r="AG135" s="382">
        <v>0</v>
      </c>
      <c r="AH135" s="383">
        <f t="shared" si="20"/>
        <v>0.35</v>
      </c>
      <c r="AJ135" s="383"/>
      <c r="AL135" s="385"/>
      <c r="AM135" s="381"/>
      <c r="AN135" s="382"/>
      <c r="AO135" s="382"/>
      <c r="AP135" s="383"/>
      <c r="AQ135" s="383"/>
    </row>
    <row r="136" spans="1:43" s="384" customFormat="1" ht="18.75" customHeight="1">
      <c r="A136" s="167">
        <v>126</v>
      </c>
      <c r="B136" s="240">
        <f>VLOOKUP(A136,'JUNE (물량흐름)'!$A$13:$C$502,3,0)</f>
        <v>453089</v>
      </c>
      <c r="C136" s="21" t="str">
        <f>VLOOKUP(A136,'JUNE (물량흐름)'!$A$13:$C$502,2,0)</f>
        <v>ANN TAYLOR</v>
      </c>
      <c r="D136" s="212">
        <v>0.35</v>
      </c>
      <c r="E136" s="6">
        <f>VLOOKUP(B136,'Sales profit (스타일 별 매출이익)'!$D$9:$P$491,13,0)</f>
        <v>7936.2499999999991</v>
      </c>
      <c r="F136" s="112">
        <f>IFERROR(VLOOKUP(B136,O.B.JUNE!$N$7:$Q$448,2,0),0)</f>
        <v>0</v>
      </c>
      <c r="G136" s="112">
        <f>IFERROR(VLOOKUP(B136,O.B.JUNE!$N$7:$Q$448,3,0),0)</f>
        <v>0</v>
      </c>
      <c r="H136" s="112">
        <f>IFERROR(VLOOKUP(B136,O.B.JUNE!$N$7:$Q$448,4,0),0)</f>
        <v>323</v>
      </c>
      <c r="I136" s="112">
        <f t="shared" si="12"/>
        <v>323</v>
      </c>
      <c r="J136" s="112">
        <f>IFERROR(VLOOKUP(B136,O.B.JUNE!$AA$7:$AG$448,7,0),0)</f>
        <v>1289573</v>
      </c>
      <c r="K136" s="112">
        <f>IFERROR(VLOOKUP(B136,O.B.JUNE!$AI$7:$AO$448,7,0),0)</f>
        <v>1975584</v>
      </c>
      <c r="L136" s="112">
        <f t="shared" si="13"/>
        <v>3265157</v>
      </c>
      <c r="M136" s="112">
        <f>ROUND(SUMIF('JUNE (물량흐름)'!$C$13:$C$502,'WIP(재공품)'!B136,'JUNE (물량흐름)'!$H$13:$H$502)+SUMIF('JUNE (물량흐름)'!$C$13:$C$502,'WIP(재공품)'!B136,'JUNE (물량흐름)'!$V$13:$V$502),0)</f>
        <v>0</v>
      </c>
      <c r="N136" s="112">
        <f>SUMIF('Direct labour(직접노무비)'!$C$12:$C$503,'WIP(재공품)'!B136,'Direct labour(직접노무비)'!$O$12:$O$503)</f>
        <v>0</v>
      </c>
      <c r="O136" s="112">
        <f>SUMIF('Overhead exp(제조경비)'!$C$12:$C$503,'WIP(재공품)'!B136,'Overhead exp(제조경비)'!$O$12:$O$503)</f>
        <v>0</v>
      </c>
      <c r="P136" s="112">
        <f t="shared" si="14"/>
        <v>0</v>
      </c>
      <c r="Q136" s="112">
        <v>0</v>
      </c>
      <c r="R136" s="112">
        <v>0</v>
      </c>
      <c r="S136" s="112">
        <f>SUMIF('JUNE (물량흐름)'!$C$13:$C$493,'WIP(재공품)'!B136,'JUNE (물량흐름)'!$T$13:$T$493)+SUMIF('JUNE (물량흐름)'!$C$13:$C$493,'WIP(재공품)'!B136,'JUNE (물량흐름)'!$U$13:$U$493)+SUMIF('JUNE (물량흐름)'!$C$13:$C$493,'WIP(재공품)'!B136,'JUNE (물량흐름)'!$V$13:$V$493)-SUMIF('JUNE (물량흐름)'!$C$13:$C$493,'WIP(재공품)'!B136,'JUNE (물량흐름)'!$Y$13:$Y$493)</f>
        <v>323</v>
      </c>
      <c r="T136" s="112">
        <f>SUMIF('JUNE (물량흐름)'!$C$13:$C$502,'WIP(재공품)'!B136,'JUNE (물량흐름)'!$Y$13:$Y$502)</f>
        <v>0</v>
      </c>
      <c r="U136" s="167">
        <f>SUMIF('Direct labour(직접노무비)'!$C$12:$C$503,'WIP(재공품)'!B136,'Direct labour(직접노무비)'!$U$12:$U$503)+SUMIF('Overhead exp(제조경비)'!$C$12:$C$503,'WIP(재공품)'!B136,'Overhead exp(제조경비)'!$U$12:$U$503)</f>
        <v>0</v>
      </c>
      <c r="V136" s="112">
        <f>SUMIF('Direct labour(직접노무비)'!$C$12:$C$503,'WIP(재공품)'!B136,'Direct labour(직접노무비)'!$Q$12:$Q$503)</f>
        <v>1289573</v>
      </c>
      <c r="W136" s="112">
        <f>SUMIF('Overhead exp(제조경비)'!$C$12:$C$503,'WIP(재공품)'!B136,'Overhead exp(제조경비)'!$Q$12:$Q$503)</f>
        <v>1975584</v>
      </c>
      <c r="X136" s="112">
        <f t="shared" si="15"/>
        <v>3265157</v>
      </c>
      <c r="Y136" s="112">
        <f ca="1">ROUND(SUMIF('JUNE (물량흐름)'!$C$13:$C$502,'WIP(재공품)'!B136,'JUNE (물량흐름)'!$N$13:$N$488),0)</f>
        <v>0</v>
      </c>
      <c r="Z136" s="112">
        <f>ROUND(SUMIF('JUNE (물량흐름)'!$C$13:$C$502,'WIP(재공품)'!B136,'JUNE (물량흐름)'!$O$13:$O$502),0)</f>
        <v>0</v>
      </c>
      <c r="AA136" s="112">
        <f>ROUND(SUMIF('JUNE (물량흐름)'!$C$13:$C$502,'WIP(재공품)'!B136,'JUNE (물량흐름)'!$P$13:$P$502),0)</f>
        <v>0</v>
      </c>
      <c r="AB136" s="112">
        <f t="shared" ca="1" si="16"/>
        <v>0</v>
      </c>
      <c r="AC136" s="112">
        <f t="shared" si="17"/>
        <v>0</v>
      </c>
      <c r="AD136" s="381">
        <f t="shared" ca="1" si="18"/>
        <v>0</v>
      </c>
      <c r="AE136" s="381">
        <f t="shared" si="19"/>
        <v>0</v>
      </c>
      <c r="AF136" s="382"/>
      <c r="AG136" s="382">
        <v>1.02</v>
      </c>
      <c r="AH136" s="383">
        <f t="shared" si="20"/>
        <v>-0.67</v>
      </c>
      <c r="AJ136" s="383"/>
      <c r="AL136" s="385"/>
      <c r="AM136" s="381"/>
      <c r="AN136" s="382"/>
      <c r="AO136" s="382"/>
      <c r="AP136" s="383"/>
      <c r="AQ136" s="383"/>
    </row>
    <row r="137" spans="1:43" s="384" customFormat="1" ht="18.75" customHeight="1">
      <c r="A137" s="167">
        <v>127</v>
      </c>
      <c r="B137" s="240" t="str">
        <f>VLOOKUP(A137,'JUNE (물량흐름)'!$A$13:$C$502,3,0)</f>
        <v>453289(456581)</v>
      </c>
      <c r="C137" s="21" t="str">
        <f>VLOOKUP(A137,'JUNE (물량흐름)'!$A$13:$C$502,2,0)</f>
        <v>ANN TAYLOR</v>
      </c>
      <c r="D137" s="212">
        <v>0.6</v>
      </c>
      <c r="E137" s="6">
        <f>VLOOKUP(B137,'Sales profit (스타일 별 매출이익)'!$D$9:$P$491,13,0)</f>
        <v>13605</v>
      </c>
      <c r="F137" s="112">
        <f>IFERROR(VLOOKUP(B137,O.B.JUNE!$N$7:$Q$448,2,0),0)</f>
        <v>0</v>
      </c>
      <c r="G137" s="112">
        <f>IFERROR(VLOOKUP(B137,O.B.JUNE!$N$7:$Q$448,3,0),0)</f>
        <v>0</v>
      </c>
      <c r="H137" s="112">
        <f>IFERROR(VLOOKUP(B137,O.B.JUNE!$N$7:$Q$448,4,0),0)</f>
        <v>1964</v>
      </c>
      <c r="I137" s="112">
        <f t="shared" si="12"/>
        <v>1964</v>
      </c>
      <c r="J137" s="112">
        <f>IFERROR(VLOOKUP(B137,O.B.JUNE!$AA$7:$AG$448,7,0),0)</f>
        <v>17822882</v>
      </c>
      <c r="K137" s="112">
        <f>IFERROR(VLOOKUP(B137,O.B.JUNE!$AI$7:$AO$448,7,0),0)</f>
        <v>27304077</v>
      </c>
      <c r="L137" s="112">
        <f t="shared" si="13"/>
        <v>45126959</v>
      </c>
      <c r="M137" s="112">
        <f>ROUND(SUMIF('JUNE (물량흐름)'!$C$13:$C$502,'WIP(재공품)'!B137,'JUNE (물량흐름)'!$H$13:$H$502)+SUMIF('JUNE (물량흐름)'!$C$13:$C$502,'WIP(재공품)'!B137,'JUNE (물량흐름)'!$V$13:$V$502),0)</f>
        <v>0</v>
      </c>
      <c r="N137" s="112">
        <f>SUMIF('Direct labour(직접노무비)'!$C$12:$C$503,'WIP(재공품)'!B137,'Direct labour(직접노무비)'!$O$12:$O$503)</f>
        <v>0</v>
      </c>
      <c r="O137" s="112">
        <f>SUMIF('Overhead exp(제조경비)'!$C$12:$C$503,'WIP(재공품)'!B137,'Overhead exp(제조경비)'!$O$12:$O$503)</f>
        <v>0</v>
      </c>
      <c r="P137" s="112">
        <f t="shared" si="14"/>
        <v>0</v>
      </c>
      <c r="Q137" s="112">
        <v>0</v>
      </c>
      <c r="R137" s="112">
        <v>0</v>
      </c>
      <c r="S137" s="112">
        <f>SUMIF('JUNE (물량흐름)'!$C$13:$C$493,'WIP(재공품)'!B137,'JUNE (물량흐름)'!$T$13:$T$493)+SUMIF('JUNE (물량흐름)'!$C$13:$C$493,'WIP(재공품)'!B137,'JUNE (물량흐름)'!$U$13:$U$493)+SUMIF('JUNE (물량흐름)'!$C$13:$C$493,'WIP(재공품)'!B137,'JUNE (물량흐름)'!$V$13:$V$493)-SUMIF('JUNE (물량흐름)'!$C$13:$C$493,'WIP(재공품)'!B137,'JUNE (물량흐름)'!$Y$13:$Y$493)</f>
        <v>151</v>
      </c>
      <c r="T137" s="112">
        <f>SUMIF('JUNE (물량흐름)'!$C$13:$C$502,'WIP(재공품)'!B137,'JUNE (물량흐름)'!$Y$13:$Y$502)</f>
        <v>0</v>
      </c>
      <c r="U137" s="167">
        <f>SUMIF('Direct labour(직접노무비)'!$C$12:$C$503,'WIP(재공품)'!B137,'Direct labour(직접노무비)'!$U$12:$U$503)+SUMIF('Overhead exp(제조경비)'!$C$12:$C$503,'WIP(재공품)'!B137,'Overhead exp(제조경비)'!$U$12:$U$503)</f>
        <v>0</v>
      </c>
      <c r="V137" s="112">
        <f>SUMIF('Direct labour(직접노무비)'!$C$12:$C$503,'WIP(재공품)'!B137,'Direct labour(직접노무비)'!$Q$12:$Q$503)</f>
        <v>1370293</v>
      </c>
      <c r="W137" s="112">
        <f>SUMIF('Overhead exp(제조경비)'!$C$12:$C$503,'WIP(재공품)'!B137,'Overhead exp(제조경비)'!$Q$12:$Q$503)</f>
        <v>2099244</v>
      </c>
      <c r="X137" s="112">
        <f t="shared" si="15"/>
        <v>3469537</v>
      </c>
      <c r="Y137" s="112">
        <f ca="1">ROUND(SUMIF('JUNE (물량흐름)'!$C$13:$C$502,'WIP(재공품)'!B137,'JUNE (물량흐름)'!$N$13:$N$488),0)</f>
        <v>0</v>
      </c>
      <c r="Z137" s="112">
        <f>ROUND(SUMIF('JUNE (물량흐름)'!$C$13:$C$502,'WIP(재공품)'!B137,'JUNE (물량흐름)'!$O$13:$O$502),0)</f>
        <v>0</v>
      </c>
      <c r="AA137" s="112">
        <f>ROUND(SUMIF('JUNE (물량흐름)'!$C$13:$C$502,'WIP(재공품)'!B137,'JUNE (물량흐름)'!$P$13:$P$502),0)</f>
        <v>1813</v>
      </c>
      <c r="AB137" s="112">
        <f t="shared" ca="1" si="16"/>
        <v>1813</v>
      </c>
      <c r="AC137" s="112">
        <f t="shared" si="17"/>
        <v>41657422</v>
      </c>
      <c r="AD137" s="381">
        <f t="shared" ca="1" si="18"/>
        <v>0</v>
      </c>
      <c r="AE137" s="381">
        <f t="shared" si="19"/>
        <v>0</v>
      </c>
      <c r="AF137" s="382"/>
      <c r="AG137" s="382">
        <v>2</v>
      </c>
      <c r="AH137" s="383">
        <f t="shared" si="20"/>
        <v>-1.4</v>
      </c>
      <c r="AJ137" s="383"/>
      <c r="AL137" s="385"/>
      <c r="AM137" s="381"/>
      <c r="AN137" s="382"/>
      <c r="AO137" s="382"/>
      <c r="AP137" s="383"/>
      <c r="AQ137" s="383"/>
    </row>
    <row r="138" spans="1:43" s="384" customFormat="1" ht="18.75" customHeight="1">
      <c r="A138" s="167">
        <v>128</v>
      </c>
      <c r="B138" s="240">
        <f>VLOOKUP(A138,'JUNE (물량흐름)'!$A$13:$C$502,3,0)</f>
        <v>453590</v>
      </c>
      <c r="C138" s="21" t="str">
        <f>VLOOKUP(A138,'JUNE (물량흐름)'!$A$13:$C$502,2,0)</f>
        <v>ANN TAYLOR</v>
      </c>
      <c r="D138" s="212">
        <v>0.36</v>
      </c>
      <c r="E138" s="6">
        <f>VLOOKUP(B138,'Sales profit (스타일 별 매출이익)'!$D$9:$P$491,13,0)</f>
        <v>8163</v>
      </c>
      <c r="F138" s="112">
        <f>IFERROR(VLOOKUP(B138,O.B.JUNE!$N$7:$Q$448,2,0),0)</f>
        <v>0</v>
      </c>
      <c r="G138" s="112">
        <f>IFERROR(VLOOKUP(B138,O.B.JUNE!$N$7:$Q$448,3,0),0)</f>
        <v>0</v>
      </c>
      <c r="H138" s="112">
        <f>IFERROR(VLOOKUP(B138,O.B.JUNE!$N$7:$Q$448,4,0),0)</f>
        <v>463</v>
      </c>
      <c r="I138" s="112">
        <f t="shared" si="12"/>
        <v>463</v>
      </c>
      <c r="J138" s="112">
        <f>IFERROR(VLOOKUP(B138,O.B.JUNE!$AA$7:$AG$448,7,0),0)</f>
        <v>4720391</v>
      </c>
      <c r="K138" s="112">
        <f>IFERROR(VLOOKUP(B138,O.B.JUNE!$AI$7:$AO$448,7,0),0)</f>
        <v>7231487</v>
      </c>
      <c r="L138" s="112">
        <f t="shared" si="13"/>
        <v>11951878</v>
      </c>
      <c r="M138" s="112">
        <f>ROUND(SUMIF('JUNE (물량흐름)'!$C$13:$C$502,'WIP(재공품)'!B138,'JUNE (물량흐름)'!$H$13:$H$502)+SUMIF('JUNE (물량흐름)'!$C$13:$C$502,'WIP(재공품)'!B138,'JUNE (물량흐름)'!$V$13:$V$502),0)</f>
        <v>0</v>
      </c>
      <c r="N138" s="112">
        <f>SUMIF('Direct labour(직접노무비)'!$C$12:$C$503,'WIP(재공품)'!B138,'Direct labour(직접노무비)'!$O$12:$O$503)</f>
        <v>0</v>
      </c>
      <c r="O138" s="112">
        <f>SUMIF('Overhead exp(제조경비)'!$C$12:$C$503,'WIP(재공품)'!B138,'Overhead exp(제조경비)'!$O$12:$O$503)</f>
        <v>0</v>
      </c>
      <c r="P138" s="112">
        <f t="shared" si="14"/>
        <v>0</v>
      </c>
      <c r="Q138" s="112">
        <v>0</v>
      </c>
      <c r="R138" s="112">
        <v>0</v>
      </c>
      <c r="S138" s="112">
        <f>SUMIF('JUNE (물량흐름)'!$C$13:$C$493,'WIP(재공품)'!B138,'JUNE (물량흐름)'!$T$13:$T$493)+SUMIF('JUNE (물량흐름)'!$C$13:$C$493,'WIP(재공품)'!B138,'JUNE (물량흐름)'!$U$13:$U$493)+SUMIF('JUNE (물량흐름)'!$C$13:$C$493,'WIP(재공품)'!B138,'JUNE (물량흐름)'!$V$13:$V$493)-SUMIF('JUNE (물량흐름)'!$C$13:$C$493,'WIP(재공품)'!B138,'JUNE (물량흐름)'!$Y$13:$Y$493)</f>
        <v>463</v>
      </c>
      <c r="T138" s="112">
        <f>SUMIF('JUNE (물량흐름)'!$C$13:$C$502,'WIP(재공품)'!B138,'JUNE (물량흐름)'!$Y$13:$Y$502)</f>
        <v>0</v>
      </c>
      <c r="U138" s="167">
        <f>SUMIF('Direct labour(직접노무비)'!$C$12:$C$503,'WIP(재공품)'!B138,'Direct labour(직접노무비)'!$U$12:$U$503)+SUMIF('Overhead exp(제조경비)'!$C$12:$C$503,'WIP(재공품)'!B138,'Overhead exp(제조경비)'!$U$12:$U$503)</f>
        <v>0</v>
      </c>
      <c r="V138" s="112">
        <f>SUMIF('Direct labour(직접노무비)'!$C$12:$C$503,'WIP(재공품)'!B138,'Direct labour(직접노무비)'!$Q$12:$Q$503)</f>
        <v>4720391</v>
      </c>
      <c r="W138" s="112">
        <f>SUMIF('Overhead exp(제조경비)'!$C$12:$C$503,'WIP(재공품)'!B138,'Overhead exp(제조경비)'!$Q$12:$Q$503)</f>
        <v>7231487</v>
      </c>
      <c r="X138" s="112">
        <f t="shared" si="15"/>
        <v>11951878</v>
      </c>
      <c r="Y138" s="112">
        <f ca="1">ROUND(SUMIF('JUNE (물량흐름)'!$C$13:$C$502,'WIP(재공품)'!B138,'JUNE (물량흐름)'!$N$13:$N$488),0)</f>
        <v>0</v>
      </c>
      <c r="Z138" s="112">
        <f>ROUND(SUMIF('JUNE (물량흐름)'!$C$13:$C$502,'WIP(재공품)'!B138,'JUNE (물량흐름)'!$O$13:$O$502),0)</f>
        <v>0</v>
      </c>
      <c r="AA138" s="112">
        <f>ROUND(SUMIF('JUNE (물량흐름)'!$C$13:$C$502,'WIP(재공품)'!B138,'JUNE (물량흐름)'!$P$13:$P$502),0)</f>
        <v>0</v>
      </c>
      <c r="AB138" s="112">
        <f t="shared" ca="1" si="16"/>
        <v>0</v>
      </c>
      <c r="AC138" s="112">
        <f t="shared" si="17"/>
        <v>0</v>
      </c>
      <c r="AD138" s="381">
        <f t="shared" ca="1" si="18"/>
        <v>0</v>
      </c>
      <c r="AE138" s="381">
        <f t="shared" si="19"/>
        <v>0</v>
      </c>
      <c r="AF138" s="382"/>
      <c r="AG138" s="382">
        <v>0</v>
      </c>
      <c r="AH138" s="383">
        <f t="shared" si="20"/>
        <v>0.36</v>
      </c>
      <c r="AJ138" s="383"/>
      <c r="AL138" s="385"/>
      <c r="AM138" s="381"/>
      <c r="AN138" s="382"/>
      <c r="AO138" s="382"/>
      <c r="AP138" s="383"/>
      <c r="AQ138" s="383"/>
    </row>
    <row r="139" spans="1:43" s="384" customFormat="1" ht="18.75" customHeight="1">
      <c r="A139" s="167">
        <v>129</v>
      </c>
      <c r="B139" s="240" t="str">
        <f>VLOOKUP(A139,'JUNE (물량흐름)'!$A$13:$C$502,3,0)</f>
        <v>453595(456582)</v>
      </c>
      <c r="C139" s="21" t="str">
        <f>VLOOKUP(A139,'JUNE (물량흐름)'!$A$13:$C$502,2,0)</f>
        <v>ANN TAYLOR</v>
      </c>
      <c r="D139" s="212">
        <v>0.35</v>
      </c>
      <c r="E139" s="6">
        <f>VLOOKUP(B139,'Sales profit (스타일 별 매출이익)'!$D$9:$P$491,13,0)</f>
        <v>7936.2499999999991</v>
      </c>
      <c r="F139" s="112">
        <f>IFERROR(VLOOKUP(B139,O.B.JUNE!$N$7:$Q$448,2,0),0)</f>
        <v>0</v>
      </c>
      <c r="G139" s="112">
        <f>IFERROR(VLOOKUP(B139,O.B.JUNE!$N$7:$Q$448,3,0),0)</f>
        <v>0</v>
      </c>
      <c r="H139" s="112">
        <f>IFERROR(VLOOKUP(B139,O.B.JUNE!$N$7:$Q$448,4,0),0)</f>
        <v>1052</v>
      </c>
      <c r="I139" s="112">
        <f t="shared" si="12"/>
        <v>1052</v>
      </c>
      <c r="J139" s="112">
        <f>IFERROR(VLOOKUP(B139,O.B.JUNE!$AA$7:$AG$448,7,0),0)</f>
        <v>6548150</v>
      </c>
      <c r="K139" s="112">
        <f>IFERROR(VLOOKUP(B139,O.B.JUNE!$AI$7:$AO$448,7,0),0)</f>
        <v>19623000</v>
      </c>
      <c r="L139" s="112">
        <f t="shared" si="13"/>
        <v>26171150</v>
      </c>
      <c r="M139" s="112">
        <f>ROUND(SUMIF('JUNE (물량흐름)'!$C$13:$C$502,'WIP(재공품)'!B139,'JUNE (물량흐름)'!$H$13:$H$502)+SUMIF('JUNE (물량흐름)'!$C$13:$C$502,'WIP(재공품)'!B139,'JUNE (물량흐름)'!$V$13:$V$502),0)</f>
        <v>0</v>
      </c>
      <c r="N139" s="112">
        <f>SUMIF('Direct labour(직접노무비)'!$C$12:$C$503,'WIP(재공품)'!B139,'Direct labour(직접노무비)'!$O$12:$O$503)</f>
        <v>0</v>
      </c>
      <c r="O139" s="112">
        <f>SUMIF('Overhead exp(제조경비)'!$C$12:$C$503,'WIP(재공품)'!B139,'Overhead exp(제조경비)'!$O$12:$O$503)</f>
        <v>0</v>
      </c>
      <c r="P139" s="112">
        <f t="shared" si="14"/>
        <v>0</v>
      </c>
      <c r="Q139" s="112">
        <v>0</v>
      </c>
      <c r="R139" s="112">
        <v>0</v>
      </c>
      <c r="S139" s="112">
        <f>SUMIF('JUNE (물량흐름)'!$C$13:$C$493,'WIP(재공품)'!B139,'JUNE (물량흐름)'!$T$13:$T$493)+SUMIF('JUNE (물량흐름)'!$C$13:$C$493,'WIP(재공품)'!B139,'JUNE (물량흐름)'!$U$13:$U$493)+SUMIF('JUNE (물량흐름)'!$C$13:$C$493,'WIP(재공품)'!B139,'JUNE (물량흐름)'!$V$13:$V$493)-SUMIF('JUNE (물량흐름)'!$C$13:$C$493,'WIP(재공품)'!B139,'JUNE (물량흐름)'!$Y$13:$Y$493)</f>
        <v>1052</v>
      </c>
      <c r="T139" s="112">
        <f>SUMIF('JUNE (물량흐름)'!$C$13:$C$502,'WIP(재공품)'!B139,'JUNE (물량흐름)'!$Y$13:$Y$502)</f>
        <v>0</v>
      </c>
      <c r="U139" s="167">
        <f>SUMIF('Direct labour(직접노무비)'!$C$12:$C$503,'WIP(재공품)'!B139,'Direct labour(직접노무비)'!$U$12:$U$503)+SUMIF('Overhead exp(제조경비)'!$C$12:$C$503,'WIP(재공품)'!B139,'Overhead exp(제조경비)'!$U$12:$U$503)</f>
        <v>0</v>
      </c>
      <c r="V139" s="112">
        <f>SUMIF('Direct labour(직접노무비)'!$C$12:$C$503,'WIP(재공품)'!B139,'Direct labour(직접노무비)'!$Q$12:$Q$503)</f>
        <v>6548150</v>
      </c>
      <c r="W139" s="112">
        <f>SUMIF('Overhead exp(제조경비)'!$C$12:$C$503,'WIP(재공품)'!B139,'Overhead exp(제조경비)'!$Q$12:$Q$503)</f>
        <v>19623000</v>
      </c>
      <c r="X139" s="112">
        <f t="shared" si="15"/>
        <v>26171150</v>
      </c>
      <c r="Y139" s="112">
        <f ca="1">ROUND(SUMIF('JUNE (물량흐름)'!$C$13:$C$502,'WIP(재공품)'!B139,'JUNE (물량흐름)'!$N$13:$N$488),0)</f>
        <v>0</v>
      </c>
      <c r="Z139" s="112">
        <f>ROUND(SUMIF('JUNE (물량흐름)'!$C$13:$C$502,'WIP(재공품)'!B139,'JUNE (물량흐름)'!$O$13:$O$502),0)</f>
        <v>0</v>
      </c>
      <c r="AA139" s="112">
        <f>ROUND(SUMIF('JUNE (물량흐름)'!$C$13:$C$502,'WIP(재공품)'!B139,'JUNE (물량흐름)'!$P$13:$P$502),0)</f>
        <v>0</v>
      </c>
      <c r="AB139" s="112">
        <f t="shared" ca="1" si="16"/>
        <v>0</v>
      </c>
      <c r="AC139" s="112">
        <f t="shared" si="17"/>
        <v>0</v>
      </c>
      <c r="AD139" s="381">
        <f t="shared" ca="1" si="18"/>
        <v>0</v>
      </c>
      <c r="AE139" s="381">
        <f t="shared" si="19"/>
        <v>0</v>
      </c>
      <c r="AF139" s="382"/>
      <c r="AG139" s="382">
        <v>0</v>
      </c>
      <c r="AH139" s="383">
        <f t="shared" si="20"/>
        <v>0.35</v>
      </c>
      <c r="AJ139" s="383"/>
      <c r="AL139" s="385"/>
      <c r="AM139" s="381"/>
      <c r="AN139" s="382"/>
      <c r="AO139" s="382"/>
      <c r="AP139" s="383"/>
      <c r="AQ139" s="383"/>
    </row>
    <row r="140" spans="1:43" s="384" customFormat="1" ht="18.75" customHeight="1">
      <c r="A140" s="167">
        <v>130</v>
      </c>
      <c r="B140" s="240" t="str">
        <f>VLOOKUP(A140,'JUNE (물량흐름)'!$A$13:$C$502,3,0)</f>
        <v>456729(456854)</v>
      </c>
      <c r="C140" s="21" t="str">
        <f>VLOOKUP(A140,'JUNE (물량흐름)'!$A$13:$C$502,2,0)</f>
        <v>ANN TAYLOR</v>
      </c>
      <c r="D140" s="212">
        <v>0.36</v>
      </c>
      <c r="E140" s="6">
        <f>VLOOKUP(B140,'Sales profit (스타일 별 매출이익)'!$D$9:$P$491,13,0)</f>
        <v>8163</v>
      </c>
      <c r="F140" s="112">
        <f>IFERROR(VLOOKUP(B140,O.B.JUNE!$N$7:$Q$448,2,0),0)</f>
        <v>0</v>
      </c>
      <c r="G140" s="112">
        <f>IFERROR(VLOOKUP(B140,O.B.JUNE!$N$7:$Q$448,3,0),0)</f>
        <v>0</v>
      </c>
      <c r="H140" s="112">
        <f>IFERROR(VLOOKUP(B140,O.B.JUNE!$N$7:$Q$448,4,0),0)</f>
        <v>410</v>
      </c>
      <c r="I140" s="112">
        <f t="shared" ref="I140:I203" si="21">SUM(F140:H140)</f>
        <v>410</v>
      </c>
      <c r="J140" s="112">
        <f>IFERROR(VLOOKUP(B140,O.B.JUNE!$AA$7:$AG$448,7,0),0)</f>
        <v>2814056</v>
      </c>
      <c r="K140" s="112">
        <f>IFERROR(VLOOKUP(B140,O.B.JUNE!$AI$7:$AO$448,7,0),0)</f>
        <v>4220141</v>
      </c>
      <c r="L140" s="112">
        <f t="shared" ref="L140:L203" si="22">ROUND(J140+K140,0)</f>
        <v>7034197</v>
      </c>
      <c r="M140" s="112">
        <f>ROUND(SUMIF('JUNE (물량흐름)'!$C$13:$C$502,'WIP(재공품)'!B140,'JUNE (물량흐름)'!$H$13:$H$502)+SUMIF('JUNE (물량흐름)'!$C$13:$C$502,'WIP(재공품)'!B140,'JUNE (물량흐름)'!$V$13:$V$502),0)</f>
        <v>0</v>
      </c>
      <c r="N140" s="112">
        <f>SUMIF('Direct labour(직접노무비)'!$C$12:$C$503,'WIP(재공품)'!B140,'Direct labour(직접노무비)'!$O$12:$O$503)</f>
        <v>0</v>
      </c>
      <c r="O140" s="112">
        <f>SUMIF('Overhead exp(제조경비)'!$C$12:$C$503,'WIP(재공품)'!B140,'Overhead exp(제조경비)'!$O$12:$O$503)</f>
        <v>0</v>
      </c>
      <c r="P140" s="112">
        <f t="shared" ref="P140:P203" si="23">ROUND(N140+O140,0)</f>
        <v>0</v>
      </c>
      <c r="Q140" s="112">
        <v>0</v>
      </c>
      <c r="R140" s="112">
        <v>0</v>
      </c>
      <c r="S140" s="112">
        <f>SUMIF('JUNE (물량흐름)'!$C$13:$C$493,'WIP(재공품)'!B140,'JUNE (물량흐름)'!$T$13:$T$493)+SUMIF('JUNE (물량흐름)'!$C$13:$C$493,'WIP(재공품)'!B140,'JUNE (물량흐름)'!$U$13:$U$493)+SUMIF('JUNE (물량흐름)'!$C$13:$C$493,'WIP(재공품)'!B140,'JUNE (물량흐름)'!$V$13:$V$493)-SUMIF('JUNE (물량흐름)'!$C$13:$C$493,'WIP(재공품)'!B140,'JUNE (물량흐름)'!$Y$13:$Y$493)</f>
        <v>410</v>
      </c>
      <c r="T140" s="112">
        <f>SUMIF('JUNE (물량흐름)'!$C$13:$C$502,'WIP(재공품)'!B140,'JUNE (물량흐름)'!$Y$13:$Y$502)</f>
        <v>0</v>
      </c>
      <c r="U140" s="167">
        <f>SUMIF('Direct labour(직접노무비)'!$C$12:$C$503,'WIP(재공품)'!B140,'Direct labour(직접노무비)'!$U$12:$U$503)+SUMIF('Overhead exp(제조경비)'!$C$12:$C$503,'WIP(재공품)'!B140,'Overhead exp(제조경비)'!$U$12:$U$503)</f>
        <v>0</v>
      </c>
      <c r="V140" s="112">
        <f>SUMIF('Direct labour(직접노무비)'!$C$12:$C$503,'WIP(재공품)'!B140,'Direct labour(직접노무비)'!$Q$12:$Q$503)</f>
        <v>2814056</v>
      </c>
      <c r="W140" s="112">
        <f>SUMIF('Overhead exp(제조경비)'!$C$12:$C$503,'WIP(재공품)'!B140,'Overhead exp(제조경비)'!$Q$12:$Q$503)</f>
        <v>4220141</v>
      </c>
      <c r="X140" s="112">
        <f t="shared" ref="X140:X203" si="24">ROUND(V140+W140,0)</f>
        <v>7034197</v>
      </c>
      <c r="Y140" s="112">
        <f ca="1">ROUND(SUMIF('JUNE (물량흐름)'!$C$13:$C$502,'WIP(재공품)'!B140,'JUNE (물량흐름)'!$N$13:$N$488),0)</f>
        <v>0</v>
      </c>
      <c r="Z140" s="112">
        <f>ROUND(SUMIF('JUNE (물량흐름)'!$C$13:$C$502,'WIP(재공품)'!B140,'JUNE (물량흐름)'!$O$13:$O$502),0)</f>
        <v>0</v>
      </c>
      <c r="AA140" s="112">
        <f>ROUND(SUMIF('JUNE (물량흐름)'!$C$13:$C$502,'WIP(재공품)'!B140,'JUNE (물량흐름)'!$P$13:$P$502),0)</f>
        <v>0</v>
      </c>
      <c r="AB140" s="112">
        <f t="shared" ref="AB140:AB203" ca="1" si="25">ROUND(SUM(Y140:AA140),0)</f>
        <v>0</v>
      </c>
      <c r="AC140" s="112">
        <f t="shared" ref="AC140:AC203" si="26">ROUND(L140+P140-X140-U140,0)</f>
        <v>0</v>
      </c>
      <c r="AD140" s="381">
        <f t="shared" ref="AD140:AD203" ca="1" si="27">I140+M140-S140-T140-AB140</f>
        <v>0</v>
      </c>
      <c r="AE140" s="381">
        <f t="shared" ref="AE140:AE203" si="28">+L140+P140-X140-U140-AC140</f>
        <v>0</v>
      </c>
      <c r="AF140" s="382"/>
      <c r="AG140" s="382">
        <v>0</v>
      </c>
      <c r="AH140" s="383">
        <f t="shared" ref="AH140:AH203" si="29">D140-AG140</f>
        <v>0.36</v>
      </c>
      <c r="AJ140" s="383"/>
      <c r="AL140" s="385"/>
      <c r="AM140" s="381"/>
      <c r="AN140" s="382"/>
      <c r="AO140" s="382"/>
      <c r="AP140" s="383"/>
      <c r="AQ140" s="383"/>
    </row>
    <row r="141" spans="1:43" s="384" customFormat="1" ht="18.75" customHeight="1">
      <c r="A141" s="167">
        <v>131</v>
      </c>
      <c r="B141" s="240">
        <f>VLOOKUP(A141,'JUNE (물량흐름)'!$A$13:$C$502,3,0)</f>
        <v>457839</v>
      </c>
      <c r="C141" s="21" t="str">
        <f>VLOOKUP(A141,'JUNE (물량흐름)'!$A$13:$C$502,2,0)</f>
        <v>ANN TAYLOR</v>
      </c>
      <c r="D141" s="212">
        <v>0.35</v>
      </c>
      <c r="E141" s="6">
        <f>VLOOKUP(B141,'Sales profit (스타일 별 매출이익)'!$D$9:$P$491,13,0)</f>
        <v>7936.2499999999991</v>
      </c>
      <c r="F141" s="112">
        <f>IFERROR(VLOOKUP(B141,O.B.JUNE!$N$7:$Q$448,2,0),0)</f>
        <v>0</v>
      </c>
      <c r="G141" s="112">
        <f>IFERROR(VLOOKUP(B141,O.B.JUNE!$N$7:$Q$448,3,0),0)</f>
        <v>0</v>
      </c>
      <c r="H141" s="112">
        <f>IFERROR(VLOOKUP(B141,O.B.JUNE!$N$7:$Q$448,4,0),0)</f>
        <v>279</v>
      </c>
      <c r="I141" s="112">
        <f t="shared" si="21"/>
        <v>279</v>
      </c>
      <c r="J141" s="112">
        <f>IFERROR(VLOOKUP(B141,O.B.JUNE!$AA$7:$AG$448,7,0),0)</f>
        <v>1468370</v>
      </c>
      <c r="K141" s="112">
        <f>IFERROR(VLOOKUP(B141,O.B.JUNE!$AI$7:$AO$448,7,0),0)</f>
        <v>2199687</v>
      </c>
      <c r="L141" s="112">
        <f t="shared" si="22"/>
        <v>3668057</v>
      </c>
      <c r="M141" s="112">
        <f>ROUND(SUMIF('JUNE (물량흐름)'!$C$13:$C$502,'WIP(재공품)'!B141,'JUNE (물량흐름)'!$H$13:$H$502)+SUMIF('JUNE (물량흐름)'!$C$13:$C$502,'WIP(재공품)'!B141,'JUNE (물량흐름)'!$V$13:$V$502),0)</f>
        <v>0</v>
      </c>
      <c r="N141" s="112">
        <f>SUMIF('Direct labour(직접노무비)'!$C$12:$C$503,'WIP(재공품)'!B141,'Direct labour(직접노무비)'!$O$12:$O$503)</f>
        <v>0</v>
      </c>
      <c r="O141" s="112">
        <f>SUMIF('Overhead exp(제조경비)'!$C$12:$C$503,'WIP(재공품)'!B141,'Overhead exp(제조경비)'!$O$12:$O$503)</f>
        <v>0</v>
      </c>
      <c r="P141" s="112">
        <f t="shared" si="23"/>
        <v>0</v>
      </c>
      <c r="Q141" s="112">
        <v>0</v>
      </c>
      <c r="R141" s="112">
        <v>0</v>
      </c>
      <c r="S141" s="112">
        <f>SUMIF('JUNE (물량흐름)'!$C$13:$C$493,'WIP(재공품)'!B141,'JUNE (물량흐름)'!$T$13:$T$493)+SUMIF('JUNE (물량흐름)'!$C$13:$C$493,'WIP(재공품)'!B141,'JUNE (물량흐름)'!$U$13:$U$493)+SUMIF('JUNE (물량흐름)'!$C$13:$C$493,'WIP(재공품)'!B141,'JUNE (물량흐름)'!$V$13:$V$493)-SUMIF('JUNE (물량흐름)'!$C$13:$C$493,'WIP(재공품)'!B141,'JUNE (물량흐름)'!$Y$13:$Y$493)</f>
        <v>0</v>
      </c>
      <c r="T141" s="112">
        <f>SUMIF('JUNE (물량흐름)'!$C$13:$C$502,'WIP(재공품)'!B141,'JUNE (물량흐름)'!$Y$13:$Y$502)</f>
        <v>0</v>
      </c>
      <c r="U141" s="167">
        <f>SUMIF('Direct labour(직접노무비)'!$C$12:$C$503,'WIP(재공품)'!B141,'Direct labour(직접노무비)'!$U$12:$U$503)+SUMIF('Overhead exp(제조경비)'!$C$12:$C$503,'WIP(재공품)'!B141,'Overhead exp(제조경비)'!$U$12:$U$503)</f>
        <v>0</v>
      </c>
      <c r="V141" s="112">
        <f>SUMIF('Direct labour(직접노무비)'!$C$12:$C$503,'WIP(재공품)'!B141,'Direct labour(직접노무비)'!$Q$12:$Q$503)</f>
        <v>0</v>
      </c>
      <c r="W141" s="112">
        <f>SUMIF('Overhead exp(제조경비)'!$C$12:$C$503,'WIP(재공품)'!B141,'Overhead exp(제조경비)'!$Q$12:$Q$503)</f>
        <v>0</v>
      </c>
      <c r="X141" s="112">
        <f t="shared" si="24"/>
        <v>0</v>
      </c>
      <c r="Y141" s="112">
        <f ca="1">ROUND(SUMIF('JUNE (물량흐름)'!$C$13:$C$502,'WIP(재공품)'!B141,'JUNE (물량흐름)'!$N$13:$N$488),0)</f>
        <v>0</v>
      </c>
      <c r="Z141" s="112">
        <f>ROUND(SUMIF('JUNE (물량흐름)'!$C$13:$C$502,'WIP(재공품)'!B141,'JUNE (물량흐름)'!$O$13:$O$502),0)</f>
        <v>0</v>
      </c>
      <c r="AA141" s="112">
        <f>ROUND(SUMIF('JUNE (물량흐름)'!$C$13:$C$502,'WIP(재공품)'!B141,'JUNE (물량흐름)'!$P$13:$P$502),0)</f>
        <v>279</v>
      </c>
      <c r="AB141" s="112">
        <f t="shared" ca="1" si="25"/>
        <v>279</v>
      </c>
      <c r="AC141" s="112">
        <f t="shared" si="26"/>
        <v>3668057</v>
      </c>
      <c r="AD141" s="381">
        <f t="shared" ca="1" si="27"/>
        <v>0</v>
      </c>
      <c r="AE141" s="381">
        <f t="shared" si="28"/>
        <v>0</v>
      </c>
      <c r="AF141" s="382"/>
      <c r="AG141" s="382">
        <v>0</v>
      </c>
      <c r="AH141" s="383">
        <f t="shared" si="29"/>
        <v>0.35</v>
      </c>
      <c r="AJ141" s="383"/>
      <c r="AL141" s="385"/>
      <c r="AM141" s="381"/>
      <c r="AN141" s="382"/>
      <c r="AO141" s="382"/>
      <c r="AP141" s="383"/>
      <c r="AQ141" s="383"/>
    </row>
    <row r="142" spans="1:43" s="384" customFormat="1" ht="18.75" customHeight="1">
      <c r="A142" s="167">
        <v>132</v>
      </c>
      <c r="B142" s="240">
        <f>VLOOKUP(A142,'JUNE (물량흐름)'!$A$13:$C$502,3,0)</f>
        <v>457840</v>
      </c>
      <c r="C142" s="21" t="str">
        <f>VLOOKUP(A142,'JUNE (물량흐름)'!$A$13:$C$502,2,0)</f>
        <v>ANN TAYLOR</v>
      </c>
      <c r="D142" s="212">
        <v>0.35</v>
      </c>
      <c r="E142" s="6">
        <f>VLOOKUP(B142,'Sales profit (스타일 별 매출이익)'!$D$9:$P$491,13,0)</f>
        <v>7936.2499999999991</v>
      </c>
      <c r="F142" s="112">
        <f>IFERROR(VLOOKUP(B142,O.B.JUNE!$N$7:$Q$448,2,0),0)</f>
        <v>0</v>
      </c>
      <c r="G142" s="112">
        <f>IFERROR(VLOOKUP(B142,O.B.JUNE!$N$7:$Q$448,3,0),0)</f>
        <v>0</v>
      </c>
      <c r="H142" s="112">
        <f>IFERROR(VLOOKUP(B142,O.B.JUNE!$N$7:$Q$448,4,0),0)</f>
        <v>845</v>
      </c>
      <c r="I142" s="112">
        <f t="shared" si="21"/>
        <v>845</v>
      </c>
      <c r="J142" s="112">
        <f>IFERROR(VLOOKUP(B142,O.B.JUNE!$AA$7:$AG$448,7,0),0)</f>
        <v>4187589</v>
      </c>
      <c r="K142" s="112">
        <f>IFERROR(VLOOKUP(B142,O.B.JUNE!$AI$7:$AO$448,7,0),0)</f>
        <v>6252767</v>
      </c>
      <c r="L142" s="112">
        <f t="shared" si="22"/>
        <v>10440356</v>
      </c>
      <c r="M142" s="112">
        <f>ROUND(SUMIF('JUNE (물량흐름)'!$C$13:$C$502,'WIP(재공품)'!B142,'JUNE (물량흐름)'!$H$13:$H$502)+SUMIF('JUNE (물량흐름)'!$C$13:$C$502,'WIP(재공품)'!B142,'JUNE (물량흐름)'!$V$13:$V$502),0)</f>
        <v>0</v>
      </c>
      <c r="N142" s="112">
        <f>SUMIF('Direct labour(직접노무비)'!$C$12:$C$503,'WIP(재공품)'!B142,'Direct labour(직접노무비)'!$O$12:$O$503)</f>
        <v>0</v>
      </c>
      <c r="O142" s="112">
        <f>SUMIF('Overhead exp(제조경비)'!$C$12:$C$503,'WIP(재공품)'!B142,'Overhead exp(제조경비)'!$O$12:$O$503)</f>
        <v>0</v>
      </c>
      <c r="P142" s="112">
        <f t="shared" si="23"/>
        <v>0</v>
      </c>
      <c r="Q142" s="112">
        <v>0</v>
      </c>
      <c r="R142" s="112">
        <v>0</v>
      </c>
      <c r="S142" s="112">
        <f>SUMIF('JUNE (물량흐름)'!$C$13:$C$493,'WIP(재공품)'!B142,'JUNE (물량흐름)'!$T$13:$T$493)+SUMIF('JUNE (물량흐름)'!$C$13:$C$493,'WIP(재공품)'!B142,'JUNE (물량흐름)'!$U$13:$U$493)+SUMIF('JUNE (물량흐름)'!$C$13:$C$493,'WIP(재공품)'!B142,'JUNE (물량흐름)'!$V$13:$V$493)-SUMIF('JUNE (물량흐름)'!$C$13:$C$493,'WIP(재공품)'!B142,'JUNE (물량흐름)'!$Y$13:$Y$493)</f>
        <v>0</v>
      </c>
      <c r="T142" s="112">
        <f>SUMIF('JUNE (물량흐름)'!$C$13:$C$502,'WIP(재공품)'!B142,'JUNE (물량흐름)'!$Y$13:$Y$502)</f>
        <v>0</v>
      </c>
      <c r="U142" s="167">
        <f>SUMIF('Direct labour(직접노무비)'!$C$12:$C$503,'WIP(재공품)'!B142,'Direct labour(직접노무비)'!$U$12:$U$503)+SUMIF('Overhead exp(제조경비)'!$C$12:$C$503,'WIP(재공품)'!B142,'Overhead exp(제조경비)'!$U$12:$U$503)</f>
        <v>0</v>
      </c>
      <c r="V142" s="112">
        <f>SUMIF('Direct labour(직접노무비)'!$C$12:$C$503,'WIP(재공품)'!B142,'Direct labour(직접노무비)'!$Q$12:$Q$503)</f>
        <v>0</v>
      </c>
      <c r="W142" s="112">
        <f>SUMIF('Overhead exp(제조경비)'!$C$12:$C$503,'WIP(재공품)'!B142,'Overhead exp(제조경비)'!$Q$12:$Q$503)</f>
        <v>0</v>
      </c>
      <c r="X142" s="112">
        <f t="shared" si="24"/>
        <v>0</v>
      </c>
      <c r="Y142" s="112">
        <f ca="1">ROUND(SUMIF('JUNE (물량흐름)'!$C$13:$C$502,'WIP(재공품)'!B142,'JUNE (물량흐름)'!$N$13:$N$488),0)</f>
        <v>0</v>
      </c>
      <c r="Z142" s="112">
        <f>ROUND(SUMIF('JUNE (물량흐름)'!$C$13:$C$502,'WIP(재공품)'!B142,'JUNE (물량흐름)'!$O$13:$O$502),0)</f>
        <v>0</v>
      </c>
      <c r="AA142" s="112">
        <f>ROUND(SUMIF('JUNE (물량흐름)'!$C$13:$C$502,'WIP(재공품)'!B142,'JUNE (물량흐름)'!$P$13:$P$502),0)</f>
        <v>845</v>
      </c>
      <c r="AB142" s="112">
        <f t="shared" ca="1" si="25"/>
        <v>845</v>
      </c>
      <c r="AC142" s="112">
        <f t="shared" si="26"/>
        <v>10440356</v>
      </c>
      <c r="AD142" s="381">
        <f t="shared" ca="1" si="27"/>
        <v>0</v>
      </c>
      <c r="AE142" s="381">
        <f t="shared" si="28"/>
        <v>0</v>
      </c>
      <c r="AF142" s="382"/>
      <c r="AG142" s="382">
        <v>0</v>
      </c>
      <c r="AH142" s="383">
        <f t="shared" si="29"/>
        <v>0.35</v>
      </c>
      <c r="AJ142" s="383"/>
      <c r="AL142" s="385"/>
      <c r="AM142" s="381"/>
      <c r="AN142" s="382"/>
      <c r="AO142" s="382"/>
      <c r="AP142" s="383"/>
      <c r="AQ142" s="383"/>
    </row>
    <row r="143" spans="1:43" s="384" customFormat="1" ht="18.75" customHeight="1">
      <c r="A143" s="167">
        <v>133</v>
      </c>
      <c r="B143" s="240">
        <f>VLOOKUP(A143,'JUNE (물량흐름)'!$A$13:$C$502,3,0)</f>
        <v>457841</v>
      </c>
      <c r="C143" s="21" t="str">
        <f>VLOOKUP(A143,'JUNE (물량흐름)'!$A$13:$C$502,2,0)</f>
        <v>ANN TAYLOR</v>
      </c>
      <c r="D143" s="212">
        <v>1.85</v>
      </c>
      <c r="E143" s="6">
        <f>VLOOKUP(B143,'Sales profit (스타일 별 매출이익)'!$D$9:$P$491,13,0)</f>
        <v>41948.75</v>
      </c>
      <c r="F143" s="112">
        <f>IFERROR(VLOOKUP(B143,O.B.JUNE!$N$7:$Q$448,2,0),0)</f>
        <v>0</v>
      </c>
      <c r="G143" s="112">
        <f>IFERROR(VLOOKUP(B143,O.B.JUNE!$N$7:$Q$448,3,0),0)</f>
        <v>0</v>
      </c>
      <c r="H143" s="112">
        <f>IFERROR(VLOOKUP(B143,O.B.JUNE!$N$7:$Q$448,4,0),0)</f>
        <v>73</v>
      </c>
      <c r="I143" s="112">
        <f t="shared" si="21"/>
        <v>73</v>
      </c>
      <c r="J143" s="112">
        <f>IFERROR(VLOOKUP(B143,O.B.JUNE!$AA$7:$AG$448,7,0),0)</f>
        <v>693394</v>
      </c>
      <c r="K143" s="112">
        <f>IFERROR(VLOOKUP(B143,O.B.JUNE!$AI$7:$AO$448,7,0),0)</f>
        <v>1062256</v>
      </c>
      <c r="L143" s="112">
        <f t="shared" si="22"/>
        <v>1755650</v>
      </c>
      <c r="M143" s="112">
        <f>ROUND(SUMIF('JUNE (물량흐름)'!$C$13:$C$502,'WIP(재공품)'!B143,'JUNE (물량흐름)'!$H$13:$H$502)+SUMIF('JUNE (물량흐름)'!$C$13:$C$502,'WIP(재공품)'!B143,'JUNE (물량흐름)'!$V$13:$V$502),0)</f>
        <v>0</v>
      </c>
      <c r="N143" s="112">
        <f>SUMIF('Direct labour(직접노무비)'!$C$12:$C$503,'WIP(재공품)'!B143,'Direct labour(직접노무비)'!$O$12:$O$503)</f>
        <v>0</v>
      </c>
      <c r="O143" s="112">
        <f>SUMIF('Overhead exp(제조경비)'!$C$12:$C$503,'WIP(재공품)'!B143,'Overhead exp(제조경비)'!$O$12:$O$503)</f>
        <v>0</v>
      </c>
      <c r="P143" s="112">
        <f t="shared" si="23"/>
        <v>0</v>
      </c>
      <c r="Q143" s="112">
        <v>0</v>
      </c>
      <c r="R143" s="112">
        <v>0</v>
      </c>
      <c r="S143" s="112">
        <f>SUMIF('JUNE (물량흐름)'!$C$13:$C$493,'WIP(재공품)'!B143,'JUNE (물량흐름)'!$T$13:$T$493)+SUMIF('JUNE (물량흐름)'!$C$13:$C$493,'WIP(재공품)'!B143,'JUNE (물량흐름)'!$U$13:$U$493)+SUMIF('JUNE (물량흐름)'!$C$13:$C$493,'WIP(재공품)'!B143,'JUNE (물량흐름)'!$V$13:$V$493)-SUMIF('JUNE (물량흐름)'!$C$13:$C$493,'WIP(재공품)'!B143,'JUNE (물량흐름)'!$Y$13:$Y$493)</f>
        <v>0</v>
      </c>
      <c r="T143" s="112">
        <f>SUMIF('JUNE (물량흐름)'!$C$13:$C$502,'WIP(재공품)'!B143,'JUNE (물량흐름)'!$Y$13:$Y$502)</f>
        <v>0</v>
      </c>
      <c r="U143" s="167">
        <f>SUMIF('Direct labour(직접노무비)'!$C$12:$C$503,'WIP(재공품)'!B143,'Direct labour(직접노무비)'!$U$12:$U$503)+SUMIF('Overhead exp(제조경비)'!$C$12:$C$503,'WIP(재공품)'!B143,'Overhead exp(제조경비)'!$U$12:$U$503)</f>
        <v>0</v>
      </c>
      <c r="V143" s="112">
        <f>SUMIF('Direct labour(직접노무비)'!$C$12:$C$503,'WIP(재공품)'!B143,'Direct labour(직접노무비)'!$Q$12:$Q$503)</f>
        <v>0</v>
      </c>
      <c r="W143" s="112">
        <f>SUMIF('Overhead exp(제조경비)'!$C$12:$C$503,'WIP(재공품)'!B143,'Overhead exp(제조경비)'!$Q$12:$Q$503)</f>
        <v>0</v>
      </c>
      <c r="X143" s="112">
        <f t="shared" si="24"/>
        <v>0</v>
      </c>
      <c r="Y143" s="112">
        <f ca="1">ROUND(SUMIF('JUNE (물량흐름)'!$C$13:$C$502,'WIP(재공품)'!B143,'JUNE (물량흐름)'!$N$13:$N$488),0)</f>
        <v>0</v>
      </c>
      <c r="Z143" s="112">
        <f>ROUND(SUMIF('JUNE (물량흐름)'!$C$13:$C$502,'WIP(재공품)'!B143,'JUNE (물량흐름)'!$O$13:$O$502),0)</f>
        <v>0</v>
      </c>
      <c r="AA143" s="112">
        <f>ROUND(SUMIF('JUNE (물량흐름)'!$C$13:$C$502,'WIP(재공품)'!B143,'JUNE (물량흐름)'!$P$13:$P$502),0)</f>
        <v>73</v>
      </c>
      <c r="AB143" s="112">
        <f t="shared" ca="1" si="25"/>
        <v>73</v>
      </c>
      <c r="AC143" s="112">
        <f t="shared" si="26"/>
        <v>1755650</v>
      </c>
      <c r="AD143" s="381">
        <f t="shared" ca="1" si="27"/>
        <v>0</v>
      </c>
      <c r="AE143" s="381">
        <f t="shared" si="28"/>
        <v>0</v>
      </c>
      <c r="AF143" s="382"/>
      <c r="AG143" s="382">
        <v>0</v>
      </c>
      <c r="AH143" s="383">
        <f t="shared" si="29"/>
        <v>1.85</v>
      </c>
      <c r="AJ143" s="383"/>
      <c r="AL143" s="385"/>
      <c r="AM143" s="381"/>
      <c r="AN143" s="382"/>
      <c r="AO143" s="382"/>
      <c r="AP143" s="383"/>
      <c r="AQ143" s="383"/>
    </row>
    <row r="144" spans="1:43" s="384" customFormat="1" ht="18.75" customHeight="1">
      <c r="A144" s="167">
        <v>134</v>
      </c>
      <c r="B144" s="240">
        <f>VLOOKUP(A144,'JUNE (물량흐름)'!$A$13:$C$502,3,0)</f>
        <v>457842</v>
      </c>
      <c r="C144" s="21" t="str">
        <f>VLOOKUP(A144,'JUNE (물량흐름)'!$A$13:$C$502,2,0)</f>
        <v>ANN TAYLOR</v>
      </c>
      <c r="D144" s="212">
        <v>1.1000000000000001</v>
      </c>
      <c r="E144" s="6">
        <f>VLOOKUP(B144,'Sales profit (스타일 별 매출이익)'!$D$9:$P$491,13,0)</f>
        <v>24942.500000000004</v>
      </c>
      <c r="F144" s="112">
        <f>IFERROR(VLOOKUP(B144,O.B.JUNE!$N$7:$Q$448,2,0),0)</f>
        <v>0</v>
      </c>
      <c r="G144" s="112">
        <f>IFERROR(VLOOKUP(B144,O.B.JUNE!$N$7:$Q$448,3,0),0)</f>
        <v>0</v>
      </c>
      <c r="H144" s="112">
        <f>IFERROR(VLOOKUP(B144,O.B.JUNE!$N$7:$Q$448,4,0),0)</f>
        <v>374</v>
      </c>
      <c r="I144" s="112">
        <f t="shared" si="21"/>
        <v>374</v>
      </c>
      <c r="J144" s="112">
        <f>IFERROR(VLOOKUP(B144,O.B.JUNE!$AA$7:$AG$448,7,0),0)</f>
        <v>1934417</v>
      </c>
      <c r="K144" s="112">
        <f>IFERROR(VLOOKUP(B144,O.B.JUNE!$AI$7:$AO$448,7,0),0)</f>
        <v>2904482</v>
      </c>
      <c r="L144" s="112">
        <f t="shared" si="22"/>
        <v>4838899</v>
      </c>
      <c r="M144" s="112">
        <f>ROUND(SUMIF('JUNE (물량흐름)'!$C$13:$C$502,'WIP(재공품)'!B144,'JUNE (물량흐름)'!$H$13:$H$502)+SUMIF('JUNE (물량흐름)'!$C$13:$C$502,'WIP(재공품)'!B144,'JUNE (물량흐름)'!$V$13:$V$502),0)</f>
        <v>0</v>
      </c>
      <c r="N144" s="112">
        <f>SUMIF('Direct labour(직접노무비)'!$C$12:$C$503,'WIP(재공품)'!B144,'Direct labour(직접노무비)'!$O$12:$O$503)</f>
        <v>0</v>
      </c>
      <c r="O144" s="112">
        <f>SUMIF('Overhead exp(제조경비)'!$C$12:$C$503,'WIP(재공품)'!B144,'Overhead exp(제조경비)'!$O$12:$O$503)</f>
        <v>0</v>
      </c>
      <c r="P144" s="112">
        <f t="shared" si="23"/>
        <v>0</v>
      </c>
      <c r="Q144" s="112">
        <v>0</v>
      </c>
      <c r="R144" s="112">
        <v>0</v>
      </c>
      <c r="S144" s="112">
        <f>SUMIF('JUNE (물량흐름)'!$C$13:$C$493,'WIP(재공품)'!B144,'JUNE (물량흐름)'!$T$13:$T$493)+SUMIF('JUNE (물량흐름)'!$C$13:$C$493,'WIP(재공품)'!B144,'JUNE (물량흐름)'!$U$13:$U$493)+SUMIF('JUNE (물량흐름)'!$C$13:$C$493,'WIP(재공품)'!B144,'JUNE (물량흐름)'!$V$13:$V$493)-SUMIF('JUNE (물량흐름)'!$C$13:$C$493,'WIP(재공품)'!B144,'JUNE (물량흐름)'!$Y$13:$Y$493)</f>
        <v>0</v>
      </c>
      <c r="T144" s="112">
        <f>SUMIF('JUNE (물량흐름)'!$C$13:$C$502,'WIP(재공품)'!B144,'JUNE (물량흐름)'!$Y$13:$Y$502)</f>
        <v>0</v>
      </c>
      <c r="U144" s="167">
        <f>SUMIF('Direct labour(직접노무비)'!$C$12:$C$503,'WIP(재공품)'!B144,'Direct labour(직접노무비)'!$U$12:$U$503)+SUMIF('Overhead exp(제조경비)'!$C$12:$C$503,'WIP(재공품)'!B144,'Overhead exp(제조경비)'!$U$12:$U$503)</f>
        <v>0</v>
      </c>
      <c r="V144" s="112">
        <f>SUMIF('Direct labour(직접노무비)'!$C$12:$C$503,'WIP(재공품)'!B144,'Direct labour(직접노무비)'!$Q$12:$Q$503)</f>
        <v>0</v>
      </c>
      <c r="W144" s="112">
        <f>SUMIF('Overhead exp(제조경비)'!$C$12:$C$503,'WIP(재공품)'!B144,'Overhead exp(제조경비)'!$Q$12:$Q$503)</f>
        <v>0</v>
      </c>
      <c r="X144" s="112">
        <f t="shared" si="24"/>
        <v>0</v>
      </c>
      <c r="Y144" s="112">
        <f ca="1">ROUND(SUMIF('JUNE (물량흐름)'!$C$13:$C$502,'WIP(재공품)'!B144,'JUNE (물량흐름)'!$N$13:$N$488),0)</f>
        <v>0</v>
      </c>
      <c r="Z144" s="112">
        <f>ROUND(SUMIF('JUNE (물량흐름)'!$C$13:$C$502,'WIP(재공품)'!B144,'JUNE (물량흐름)'!$O$13:$O$502),0)</f>
        <v>0</v>
      </c>
      <c r="AA144" s="112">
        <f>ROUND(SUMIF('JUNE (물량흐름)'!$C$13:$C$502,'WIP(재공품)'!B144,'JUNE (물량흐름)'!$P$13:$P$502),0)</f>
        <v>374</v>
      </c>
      <c r="AB144" s="112">
        <f t="shared" ca="1" si="25"/>
        <v>374</v>
      </c>
      <c r="AC144" s="112">
        <f t="shared" si="26"/>
        <v>4838899</v>
      </c>
      <c r="AD144" s="381">
        <f t="shared" ca="1" si="27"/>
        <v>0</v>
      </c>
      <c r="AE144" s="381">
        <f t="shared" si="28"/>
        <v>0</v>
      </c>
      <c r="AF144" s="382"/>
      <c r="AG144" s="382">
        <v>0.3</v>
      </c>
      <c r="AH144" s="383">
        <f t="shared" si="29"/>
        <v>0.8</v>
      </c>
      <c r="AJ144" s="383"/>
      <c r="AL144" s="385"/>
      <c r="AM144" s="381"/>
      <c r="AN144" s="382"/>
      <c r="AO144" s="382"/>
      <c r="AP144" s="383"/>
      <c r="AQ144" s="383"/>
    </row>
    <row r="145" spans="1:43" s="384" customFormat="1" ht="18.75" customHeight="1">
      <c r="A145" s="167">
        <v>135</v>
      </c>
      <c r="B145" s="240" t="str">
        <f>VLOOKUP(A145,'JUNE (물량흐름)'!$A$13:$C$502,3,0)</f>
        <v>458244(458839)</v>
      </c>
      <c r="C145" s="21" t="str">
        <f>VLOOKUP(A145,'JUNE (물량흐름)'!$A$13:$C$502,2,0)</f>
        <v>ANN TAYLOR</v>
      </c>
      <c r="D145" s="212">
        <v>0.35</v>
      </c>
      <c r="E145" s="6">
        <f>VLOOKUP(B145,'Sales profit (스타일 별 매출이익)'!$D$9:$P$491,13,0)</f>
        <v>7936.2499999999991</v>
      </c>
      <c r="F145" s="112">
        <f>IFERROR(VLOOKUP(B145,O.B.JUNE!$N$7:$Q$448,2,0),0)</f>
        <v>0</v>
      </c>
      <c r="G145" s="112">
        <f>IFERROR(VLOOKUP(B145,O.B.JUNE!$N$7:$Q$448,3,0),0)</f>
        <v>0</v>
      </c>
      <c r="H145" s="112">
        <f>IFERROR(VLOOKUP(B145,O.B.JUNE!$N$7:$Q$448,4,0),0)</f>
        <v>570</v>
      </c>
      <c r="I145" s="112">
        <f t="shared" si="21"/>
        <v>570</v>
      </c>
      <c r="J145" s="112">
        <f>IFERROR(VLOOKUP(B145,O.B.JUNE!$AA$7:$AG$448,7,0),0)</f>
        <v>3228585</v>
      </c>
      <c r="K145" s="112">
        <f>IFERROR(VLOOKUP(B145,O.B.JUNE!$AI$7:$AO$448,7,0),0)</f>
        <v>4846669</v>
      </c>
      <c r="L145" s="112">
        <f t="shared" si="22"/>
        <v>8075254</v>
      </c>
      <c r="M145" s="112">
        <f>ROUND(SUMIF('JUNE (물량흐름)'!$C$13:$C$502,'WIP(재공품)'!B145,'JUNE (물량흐름)'!$H$13:$H$502)+SUMIF('JUNE (물량흐름)'!$C$13:$C$502,'WIP(재공품)'!B145,'JUNE (물량흐름)'!$V$13:$V$502),0)</f>
        <v>0</v>
      </c>
      <c r="N145" s="112">
        <f>SUMIF('Direct labour(직접노무비)'!$C$12:$C$503,'WIP(재공품)'!B145,'Direct labour(직접노무비)'!$O$12:$O$503)</f>
        <v>0</v>
      </c>
      <c r="O145" s="112">
        <f>SUMIF('Overhead exp(제조경비)'!$C$12:$C$503,'WIP(재공품)'!B145,'Overhead exp(제조경비)'!$O$12:$O$503)</f>
        <v>0</v>
      </c>
      <c r="P145" s="112">
        <f t="shared" si="23"/>
        <v>0</v>
      </c>
      <c r="Q145" s="112">
        <v>0</v>
      </c>
      <c r="R145" s="112">
        <v>0</v>
      </c>
      <c r="S145" s="112">
        <f>SUMIF('JUNE (물량흐름)'!$C$13:$C$493,'WIP(재공품)'!B145,'JUNE (물량흐름)'!$T$13:$T$493)+SUMIF('JUNE (물량흐름)'!$C$13:$C$493,'WIP(재공품)'!B145,'JUNE (물량흐름)'!$U$13:$U$493)+SUMIF('JUNE (물량흐름)'!$C$13:$C$493,'WIP(재공품)'!B145,'JUNE (물량흐름)'!$V$13:$V$493)-SUMIF('JUNE (물량흐름)'!$C$13:$C$493,'WIP(재공품)'!B145,'JUNE (물량흐름)'!$Y$13:$Y$493)</f>
        <v>0</v>
      </c>
      <c r="T145" s="112">
        <f>SUMIF('JUNE (물량흐름)'!$C$13:$C$502,'WIP(재공품)'!B145,'JUNE (물량흐름)'!$Y$13:$Y$502)</f>
        <v>0</v>
      </c>
      <c r="U145" s="167">
        <f>SUMIF('Direct labour(직접노무비)'!$C$12:$C$503,'WIP(재공품)'!B145,'Direct labour(직접노무비)'!$U$12:$U$503)+SUMIF('Overhead exp(제조경비)'!$C$12:$C$503,'WIP(재공품)'!B145,'Overhead exp(제조경비)'!$U$12:$U$503)</f>
        <v>0</v>
      </c>
      <c r="V145" s="112">
        <f>SUMIF('Direct labour(직접노무비)'!$C$12:$C$503,'WIP(재공품)'!B145,'Direct labour(직접노무비)'!$Q$12:$Q$503)</f>
        <v>0</v>
      </c>
      <c r="W145" s="112">
        <f>SUMIF('Overhead exp(제조경비)'!$C$12:$C$503,'WIP(재공품)'!B145,'Overhead exp(제조경비)'!$Q$12:$Q$503)</f>
        <v>0</v>
      </c>
      <c r="X145" s="112">
        <f t="shared" si="24"/>
        <v>0</v>
      </c>
      <c r="Y145" s="112">
        <f ca="1">ROUND(SUMIF('JUNE (물량흐름)'!$C$13:$C$502,'WIP(재공품)'!B145,'JUNE (물량흐름)'!$N$13:$N$488),0)</f>
        <v>0</v>
      </c>
      <c r="Z145" s="112">
        <f>ROUND(SUMIF('JUNE (물량흐름)'!$C$13:$C$502,'WIP(재공품)'!B145,'JUNE (물량흐름)'!$O$13:$O$502),0)</f>
        <v>0</v>
      </c>
      <c r="AA145" s="112">
        <f>ROUND(SUMIF('JUNE (물량흐름)'!$C$13:$C$502,'WIP(재공품)'!B145,'JUNE (물량흐름)'!$P$13:$P$502),0)</f>
        <v>570</v>
      </c>
      <c r="AB145" s="112">
        <f t="shared" ca="1" si="25"/>
        <v>570</v>
      </c>
      <c r="AC145" s="112">
        <f t="shared" si="26"/>
        <v>8075254</v>
      </c>
      <c r="AD145" s="381">
        <f t="shared" ca="1" si="27"/>
        <v>0</v>
      </c>
      <c r="AE145" s="381">
        <f t="shared" si="28"/>
        <v>0</v>
      </c>
      <c r="AF145" s="382"/>
      <c r="AG145" s="382">
        <v>0.3</v>
      </c>
      <c r="AH145" s="383">
        <f t="shared" si="29"/>
        <v>4.9999999999999989E-2</v>
      </c>
      <c r="AJ145" s="383"/>
      <c r="AL145" s="385"/>
      <c r="AM145" s="381"/>
      <c r="AN145" s="382"/>
      <c r="AO145" s="382"/>
      <c r="AP145" s="383"/>
      <c r="AQ145" s="383"/>
    </row>
    <row r="146" spans="1:43" s="384" customFormat="1" ht="18.75" customHeight="1">
      <c r="A146" s="167">
        <v>136</v>
      </c>
      <c r="B146" s="240">
        <f>VLOOKUP(A146,'JUNE (물량흐름)'!$A$13:$C$502,3,0)</f>
        <v>458624</v>
      </c>
      <c r="C146" s="21" t="str">
        <f>VLOOKUP(A146,'JUNE (물량흐름)'!$A$13:$C$502,2,0)</f>
        <v>ANN TAYLOR</v>
      </c>
      <c r="D146" s="212">
        <v>0.35</v>
      </c>
      <c r="E146" s="6">
        <f>VLOOKUP(B146,'Sales profit (스타일 별 매출이익)'!$D$9:$P$491,13,0)</f>
        <v>7936.2499999999991</v>
      </c>
      <c r="F146" s="112">
        <f>IFERROR(VLOOKUP(B146,O.B.JUNE!$N$7:$Q$448,2,0),0)</f>
        <v>0</v>
      </c>
      <c r="G146" s="112">
        <f>IFERROR(VLOOKUP(B146,O.B.JUNE!$N$7:$Q$448,3,0),0)</f>
        <v>0</v>
      </c>
      <c r="H146" s="112">
        <f>IFERROR(VLOOKUP(B146,O.B.JUNE!$N$7:$Q$448,4,0),0)</f>
        <v>298</v>
      </c>
      <c r="I146" s="112">
        <f t="shared" si="21"/>
        <v>298</v>
      </c>
      <c r="J146" s="112">
        <f>IFERROR(VLOOKUP(B146,O.B.JUNE!$AA$7:$AG$448,7,0),0)</f>
        <v>3098296</v>
      </c>
      <c r="K146" s="112">
        <f>IFERROR(VLOOKUP(B146,O.B.JUNE!$AI$7:$AO$448,7,0),0)</f>
        <v>4363234</v>
      </c>
      <c r="L146" s="112">
        <f t="shared" si="22"/>
        <v>7461530</v>
      </c>
      <c r="M146" s="112">
        <f>ROUND(SUMIF('JUNE (물량흐름)'!$C$13:$C$502,'WIP(재공품)'!B146,'JUNE (물량흐름)'!$H$13:$H$502)+SUMIF('JUNE (물량흐름)'!$C$13:$C$502,'WIP(재공품)'!B146,'JUNE (물량흐름)'!$V$13:$V$502),0)</f>
        <v>0</v>
      </c>
      <c r="N146" s="112">
        <f>SUMIF('Direct labour(직접노무비)'!$C$12:$C$503,'WIP(재공품)'!B146,'Direct labour(직접노무비)'!$O$12:$O$503)</f>
        <v>0</v>
      </c>
      <c r="O146" s="112">
        <f>SUMIF('Overhead exp(제조경비)'!$C$12:$C$503,'WIP(재공품)'!B146,'Overhead exp(제조경비)'!$O$12:$O$503)</f>
        <v>0</v>
      </c>
      <c r="P146" s="112">
        <f t="shared" si="23"/>
        <v>0</v>
      </c>
      <c r="Q146" s="112">
        <v>0</v>
      </c>
      <c r="R146" s="112">
        <v>0</v>
      </c>
      <c r="S146" s="112">
        <f>SUMIF('JUNE (물량흐름)'!$C$13:$C$493,'WIP(재공품)'!B146,'JUNE (물량흐름)'!$T$13:$T$493)+SUMIF('JUNE (물량흐름)'!$C$13:$C$493,'WIP(재공품)'!B146,'JUNE (물량흐름)'!$U$13:$U$493)+SUMIF('JUNE (물량흐름)'!$C$13:$C$493,'WIP(재공품)'!B146,'JUNE (물량흐름)'!$V$13:$V$493)-SUMIF('JUNE (물량흐름)'!$C$13:$C$493,'WIP(재공품)'!B146,'JUNE (물량흐름)'!$Y$13:$Y$493)</f>
        <v>0</v>
      </c>
      <c r="T146" s="112">
        <f>SUMIF('JUNE (물량흐름)'!$C$13:$C$502,'WIP(재공품)'!B146,'JUNE (물량흐름)'!$Y$13:$Y$502)</f>
        <v>0</v>
      </c>
      <c r="U146" s="167">
        <f>SUMIF('Direct labour(직접노무비)'!$C$12:$C$503,'WIP(재공품)'!B146,'Direct labour(직접노무비)'!$U$12:$U$503)+SUMIF('Overhead exp(제조경비)'!$C$12:$C$503,'WIP(재공품)'!B146,'Overhead exp(제조경비)'!$U$12:$U$503)</f>
        <v>0</v>
      </c>
      <c r="V146" s="112">
        <f>SUMIF('Direct labour(직접노무비)'!$C$12:$C$503,'WIP(재공품)'!B146,'Direct labour(직접노무비)'!$Q$12:$Q$503)</f>
        <v>0</v>
      </c>
      <c r="W146" s="112">
        <f>SUMIF('Overhead exp(제조경비)'!$C$12:$C$503,'WIP(재공품)'!B146,'Overhead exp(제조경비)'!$Q$12:$Q$503)</f>
        <v>0</v>
      </c>
      <c r="X146" s="112">
        <f t="shared" si="24"/>
        <v>0</v>
      </c>
      <c r="Y146" s="112">
        <f ca="1">ROUND(SUMIF('JUNE (물량흐름)'!$C$13:$C$502,'WIP(재공품)'!B146,'JUNE (물량흐름)'!$N$13:$N$488),0)</f>
        <v>0</v>
      </c>
      <c r="Z146" s="112">
        <f>ROUND(SUMIF('JUNE (물량흐름)'!$C$13:$C$502,'WIP(재공품)'!B146,'JUNE (물량흐름)'!$O$13:$O$502),0)</f>
        <v>0</v>
      </c>
      <c r="AA146" s="112">
        <f>ROUND(SUMIF('JUNE (물량흐름)'!$C$13:$C$502,'WIP(재공품)'!B146,'JUNE (물량흐름)'!$P$13:$P$502),0)</f>
        <v>298</v>
      </c>
      <c r="AB146" s="112">
        <f t="shared" ca="1" si="25"/>
        <v>298</v>
      </c>
      <c r="AC146" s="112">
        <f t="shared" si="26"/>
        <v>7461530</v>
      </c>
      <c r="AD146" s="381">
        <f t="shared" ca="1" si="27"/>
        <v>0</v>
      </c>
      <c r="AE146" s="381">
        <f t="shared" si="28"/>
        <v>0</v>
      </c>
      <c r="AF146" s="382"/>
      <c r="AG146" s="382">
        <v>0</v>
      </c>
      <c r="AH146" s="383">
        <f t="shared" si="29"/>
        <v>0.35</v>
      </c>
      <c r="AJ146" s="383"/>
      <c r="AL146" s="385"/>
      <c r="AM146" s="381"/>
      <c r="AN146" s="382"/>
      <c r="AO146" s="382"/>
      <c r="AP146" s="383"/>
      <c r="AQ146" s="383"/>
    </row>
    <row r="147" spans="1:43" s="384" customFormat="1" ht="18.75" customHeight="1">
      <c r="A147" s="167">
        <v>137</v>
      </c>
      <c r="B147" s="240">
        <f>VLOOKUP(A147,'JUNE (물량흐름)'!$A$13:$C$502,3,0)</f>
        <v>458626</v>
      </c>
      <c r="C147" s="21" t="str">
        <f>VLOOKUP(A147,'JUNE (물량흐름)'!$A$13:$C$502,2,0)</f>
        <v>ANN TAYLOR</v>
      </c>
      <c r="D147" s="212">
        <v>0.35</v>
      </c>
      <c r="E147" s="6">
        <f>VLOOKUP(B147,'Sales profit (스타일 별 매출이익)'!$D$9:$P$491,13,0)</f>
        <v>7936.2499999999991</v>
      </c>
      <c r="F147" s="112">
        <f>IFERROR(VLOOKUP(B147,O.B.JUNE!$N$7:$Q$448,2,0),0)</f>
        <v>0</v>
      </c>
      <c r="G147" s="112">
        <f>IFERROR(VLOOKUP(B147,O.B.JUNE!$N$7:$Q$448,3,0),0)</f>
        <v>0</v>
      </c>
      <c r="H147" s="112">
        <f>IFERROR(VLOOKUP(B147,O.B.JUNE!$N$7:$Q$448,4,0),0)</f>
        <v>165</v>
      </c>
      <c r="I147" s="112">
        <f t="shared" si="21"/>
        <v>165</v>
      </c>
      <c r="J147" s="112">
        <f>IFERROR(VLOOKUP(B147,O.B.JUNE!$AA$7:$AG$448,7,0),0)</f>
        <v>1050115</v>
      </c>
      <c r="K147" s="112">
        <f>IFERROR(VLOOKUP(B147,O.B.JUNE!$AI$7:$AO$448,7,0),0)</f>
        <v>1467740</v>
      </c>
      <c r="L147" s="112">
        <f t="shared" si="22"/>
        <v>2517855</v>
      </c>
      <c r="M147" s="112">
        <f>ROUND(SUMIF('JUNE (물량흐름)'!$C$13:$C$502,'WIP(재공품)'!B147,'JUNE (물량흐름)'!$H$13:$H$502)+SUMIF('JUNE (물량흐름)'!$C$13:$C$502,'WIP(재공품)'!B147,'JUNE (물량흐름)'!$V$13:$V$502),0)</f>
        <v>0</v>
      </c>
      <c r="N147" s="112">
        <f>SUMIF('Direct labour(직접노무비)'!$C$12:$C$503,'WIP(재공품)'!B147,'Direct labour(직접노무비)'!$O$12:$O$503)</f>
        <v>0</v>
      </c>
      <c r="O147" s="112">
        <f>SUMIF('Overhead exp(제조경비)'!$C$12:$C$503,'WIP(재공품)'!B147,'Overhead exp(제조경비)'!$O$12:$O$503)</f>
        <v>0</v>
      </c>
      <c r="P147" s="112">
        <f t="shared" si="23"/>
        <v>0</v>
      </c>
      <c r="Q147" s="112">
        <v>0</v>
      </c>
      <c r="R147" s="112">
        <v>0</v>
      </c>
      <c r="S147" s="112">
        <f>SUMIF('JUNE (물량흐름)'!$C$13:$C$493,'WIP(재공품)'!B147,'JUNE (물량흐름)'!$T$13:$T$493)+SUMIF('JUNE (물량흐름)'!$C$13:$C$493,'WIP(재공품)'!B147,'JUNE (물량흐름)'!$U$13:$U$493)+SUMIF('JUNE (물량흐름)'!$C$13:$C$493,'WIP(재공품)'!B147,'JUNE (물량흐름)'!$V$13:$V$493)-SUMIF('JUNE (물량흐름)'!$C$13:$C$493,'WIP(재공품)'!B147,'JUNE (물량흐름)'!$Y$13:$Y$493)</f>
        <v>0</v>
      </c>
      <c r="T147" s="112">
        <f>SUMIF('JUNE (물량흐름)'!$C$13:$C$502,'WIP(재공품)'!B147,'JUNE (물량흐름)'!$Y$13:$Y$502)</f>
        <v>0</v>
      </c>
      <c r="U147" s="167">
        <f>SUMIF('Direct labour(직접노무비)'!$C$12:$C$503,'WIP(재공품)'!B147,'Direct labour(직접노무비)'!$U$12:$U$503)+SUMIF('Overhead exp(제조경비)'!$C$12:$C$503,'WIP(재공품)'!B147,'Overhead exp(제조경비)'!$U$12:$U$503)</f>
        <v>0</v>
      </c>
      <c r="V147" s="112">
        <f>SUMIF('Direct labour(직접노무비)'!$C$12:$C$503,'WIP(재공품)'!B147,'Direct labour(직접노무비)'!$Q$12:$Q$503)</f>
        <v>0</v>
      </c>
      <c r="W147" s="112">
        <f>SUMIF('Overhead exp(제조경비)'!$C$12:$C$503,'WIP(재공품)'!B147,'Overhead exp(제조경비)'!$Q$12:$Q$503)</f>
        <v>0</v>
      </c>
      <c r="X147" s="112">
        <f t="shared" si="24"/>
        <v>0</v>
      </c>
      <c r="Y147" s="112">
        <f ca="1">ROUND(SUMIF('JUNE (물량흐름)'!$C$13:$C$502,'WIP(재공품)'!B147,'JUNE (물량흐름)'!$N$13:$N$488),0)</f>
        <v>0</v>
      </c>
      <c r="Z147" s="112">
        <f>ROUND(SUMIF('JUNE (물량흐름)'!$C$13:$C$502,'WIP(재공품)'!B147,'JUNE (물량흐름)'!$O$13:$O$502),0)</f>
        <v>0</v>
      </c>
      <c r="AA147" s="112">
        <f>ROUND(SUMIF('JUNE (물량흐름)'!$C$13:$C$502,'WIP(재공품)'!B147,'JUNE (물량흐름)'!$P$13:$P$502),0)</f>
        <v>165</v>
      </c>
      <c r="AB147" s="112">
        <f t="shared" ca="1" si="25"/>
        <v>165</v>
      </c>
      <c r="AC147" s="112">
        <f t="shared" si="26"/>
        <v>2517855</v>
      </c>
      <c r="AD147" s="381">
        <f t="shared" ca="1" si="27"/>
        <v>0</v>
      </c>
      <c r="AE147" s="381">
        <f t="shared" si="28"/>
        <v>0</v>
      </c>
      <c r="AF147" s="382"/>
      <c r="AG147" s="382">
        <v>0.3</v>
      </c>
      <c r="AH147" s="383">
        <f t="shared" si="29"/>
        <v>4.9999999999999989E-2</v>
      </c>
      <c r="AJ147" s="383"/>
      <c r="AL147" s="385"/>
      <c r="AM147" s="381"/>
      <c r="AN147" s="382"/>
      <c r="AO147" s="382"/>
      <c r="AP147" s="383"/>
      <c r="AQ147" s="383"/>
    </row>
    <row r="148" spans="1:43" s="384" customFormat="1" ht="18.75" customHeight="1">
      <c r="A148" s="167">
        <v>138</v>
      </c>
      <c r="B148" s="240">
        <f>VLOOKUP(A148,'JUNE (물량흐름)'!$A$13:$C$502,3,0)</f>
        <v>459044</v>
      </c>
      <c r="C148" s="21" t="str">
        <f>VLOOKUP(A148,'JUNE (물량흐름)'!$A$13:$C$502,2,0)</f>
        <v>ANN TAYLOR</v>
      </c>
      <c r="D148" s="212">
        <v>0.35</v>
      </c>
      <c r="E148" s="6">
        <f>VLOOKUP(B148,'Sales profit (스타일 별 매출이익)'!$D$9:$P$491,13,0)</f>
        <v>7936.2499999999991</v>
      </c>
      <c r="F148" s="112">
        <f>IFERROR(VLOOKUP(B148,O.B.JUNE!$N$7:$Q$448,2,0),0)</f>
        <v>0</v>
      </c>
      <c r="G148" s="112">
        <f>IFERROR(VLOOKUP(B148,O.B.JUNE!$N$7:$Q$448,3,0),0)</f>
        <v>0</v>
      </c>
      <c r="H148" s="112">
        <f>IFERROR(VLOOKUP(B148,O.B.JUNE!$N$7:$Q$448,4,0),0)</f>
        <v>109</v>
      </c>
      <c r="I148" s="112">
        <f t="shared" si="21"/>
        <v>109</v>
      </c>
      <c r="J148" s="112">
        <f>IFERROR(VLOOKUP(B148,O.B.JUNE!$AA$7:$AG$448,7,0),0)</f>
        <v>643496</v>
      </c>
      <c r="K148" s="112">
        <f>IFERROR(VLOOKUP(B148,O.B.JUNE!$AI$7:$AO$448,7,0),0)</f>
        <v>905204</v>
      </c>
      <c r="L148" s="112">
        <f t="shared" si="22"/>
        <v>1548700</v>
      </c>
      <c r="M148" s="112">
        <f>ROUND(SUMIF('JUNE (물량흐름)'!$C$13:$C$502,'WIP(재공품)'!B148,'JUNE (물량흐름)'!$H$13:$H$502)+SUMIF('JUNE (물량흐름)'!$C$13:$C$502,'WIP(재공품)'!B148,'JUNE (물량흐름)'!$V$13:$V$502),0)</f>
        <v>0</v>
      </c>
      <c r="N148" s="112">
        <f>SUMIF('Direct labour(직접노무비)'!$C$12:$C$503,'WIP(재공품)'!B148,'Direct labour(직접노무비)'!$O$12:$O$503)</f>
        <v>0</v>
      </c>
      <c r="O148" s="112">
        <f>SUMIF('Overhead exp(제조경비)'!$C$12:$C$503,'WIP(재공품)'!B148,'Overhead exp(제조경비)'!$O$12:$O$503)</f>
        <v>0</v>
      </c>
      <c r="P148" s="112">
        <f t="shared" si="23"/>
        <v>0</v>
      </c>
      <c r="Q148" s="112">
        <v>0</v>
      </c>
      <c r="R148" s="112">
        <v>0</v>
      </c>
      <c r="S148" s="112">
        <f>SUMIF('JUNE (물량흐름)'!$C$13:$C$493,'WIP(재공품)'!B148,'JUNE (물량흐름)'!$T$13:$T$493)+SUMIF('JUNE (물량흐름)'!$C$13:$C$493,'WIP(재공품)'!B148,'JUNE (물량흐름)'!$U$13:$U$493)+SUMIF('JUNE (물량흐름)'!$C$13:$C$493,'WIP(재공품)'!B148,'JUNE (물량흐름)'!$V$13:$V$493)-SUMIF('JUNE (물량흐름)'!$C$13:$C$493,'WIP(재공품)'!B148,'JUNE (물량흐름)'!$Y$13:$Y$493)</f>
        <v>0</v>
      </c>
      <c r="T148" s="112">
        <f>SUMIF('JUNE (물량흐름)'!$C$13:$C$502,'WIP(재공품)'!B148,'JUNE (물량흐름)'!$Y$13:$Y$502)</f>
        <v>0</v>
      </c>
      <c r="U148" s="167">
        <f>SUMIF('Direct labour(직접노무비)'!$C$12:$C$503,'WIP(재공품)'!B148,'Direct labour(직접노무비)'!$U$12:$U$503)+SUMIF('Overhead exp(제조경비)'!$C$12:$C$503,'WIP(재공품)'!B148,'Overhead exp(제조경비)'!$U$12:$U$503)</f>
        <v>0</v>
      </c>
      <c r="V148" s="112">
        <f>SUMIF('Direct labour(직접노무비)'!$C$12:$C$503,'WIP(재공품)'!B148,'Direct labour(직접노무비)'!$Q$12:$Q$503)</f>
        <v>0</v>
      </c>
      <c r="W148" s="112">
        <f>SUMIF('Overhead exp(제조경비)'!$C$12:$C$503,'WIP(재공품)'!B148,'Overhead exp(제조경비)'!$Q$12:$Q$503)</f>
        <v>0</v>
      </c>
      <c r="X148" s="112">
        <f t="shared" si="24"/>
        <v>0</v>
      </c>
      <c r="Y148" s="112">
        <f ca="1">ROUND(SUMIF('JUNE (물량흐름)'!$C$13:$C$502,'WIP(재공품)'!B148,'JUNE (물량흐름)'!$N$13:$N$488),0)</f>
        <v>0</v>
      </c>
      <c r="Z148" s="112">
        <f>ROUND(SUMIF('JUNE (물량흐름)'!$C$13:$C$502,'WIP(재공품)'!B148,'JUNE (물량흐름)'!$O$13:$O$502),0)</f>
        <v>0</v>
      </c>
      <c r="AA148" s="112">
        <f>ROUND(SUMIF('JUNE (물량흐름)'!$C$13:$C$502,'WIP(재공품)'!B148,'JUNE (물량흐름)'!$P$13:$P$502),0)</f>
        <v>109</v>
      </c>
      <c r="AB148" s="112">
        <f t="shared" ca="1" si="25"/>
        <v>109</v>
      </c>
      <c r="AC148" s="112">
        <f t="shared" si="26"/>
        <v>1548700</v>
      </c>
      <c r="AD148" s="381">
        <f t="shared" ca="1" si="27"/>
        <v>0</v>
      </c>
      <c r="AE148" s="381">
        <f t="shared" si="28"/>
        <v>0</v>
      </c>
      <c r="AF148" s="382"/>
      <c r="AG148" s="382">
        <v>0.3</v>
      </c>
      <c r="AH148" s="383">
        <f t="shared" si="29"/>
        <v>4.9999999999999989E-2</v>
      </c>
      <c r="AJ148" s="383"/>
      <c r="AL148" s="385"/>
      <c r="AM148" s="381"/>
      <c r="AN148" s="382"/>
      <c r="AO148" s="382"/>
      <c r="AP148" s="383"/>
      <c r="AQ148" s="383"/>
    </row>
    <row r="149" spans="1:43" s="384" customFormat="1" ht="18.75" customHeight="1">
      <c r="A149" s="167">
        <v>139</v>
      </c>
      <c r="B149" s="240">
        <f>VLOOKUP(A149,'JUNE (물량흐름)'!$A$13:$C$502,3,0)</f>
        <v>459046</v>
      </c>
      <c r="C149" s="21" t="str">
        <f>VLOOKUP(A149,'JUNE (물량흐름)'!$A$13:$C$502,2,0)</f>
        <v>ANN TAYLOR</v>
      </c>
      <c r="D149" s="212">
        <v>1.6</v>
      </c>
      <c r="E149" s="6">
        <f>VLOOKUP(B149,'Sales profit (스타일 별 매출이익)'!$D$9:$P$491,13,0)</f>
        <v>36280</v>
      </c>
      <c r="F149" s="112">
        <f>IFERROR(VLOOKUP(B149,O.B.JUNE!$N$7:$Q$448,2,0),0)</f>
        <v>0</v>
      </c>
      <c r="G149" s="112">
        <f>IFERROR(VLOOKUP(B149,O.B.JUNE!$N$7:$Q$448,3,0),0)</f>
        <v>0</v>
      </c>
      <c r="H149" s="112">
        <f>IFERROR(VLOOKUP(B149,O.B.JUNE!$N$7:$Q$448,4,0),0)</f>
        <v>126</v>
      </c>
      <c r="I149" s="112">
        <f t="shared" si="21"/>
        <v>126</v>
      </c>
      <c r="J149" s="112">
        <f>IFERROR(VLOOKUP(B149,O.B.JUNE!$AA$7:$AG$448,7,0),0)</f>
        <v>713081</v>
      </c>
      <c r="K149" s="112">
        <f>IFERROR(VLOOKUP(B149,O.B.JUNE!$AI$7:$AO$448,7,0),0)</f>
        <v>1002898</v>
      </c>
      <c r="L149" s="112">
        <f t="shared" si="22"/>
        <v>1715979</v>
      </c>
      <c r="M149" s="112">
        <f>ROUND(SUMIF('JUNE (물량흐름)'!$C$13:$C$502,'WIP(재공품)'!B149,'JUNE (물량흐름)'!$H$13:$H$502)+SUMIF('JUNE (물량흐름)'!$C$13:$C$502,'WIP(재공품)'!B149,'JUNE (물량흐름)'!$V$13:$V$502),0)</f>
        <v>0</v>
      </c>
      <c r="N149" s="112">
        <f>SUMIF('Direct labour(직접노무비)'!$C$12:$C$503,'WIP(재공품)'!B149,'Direct labour(직접노무비)'!$O$12:$O$503)</f>
        <v>0</v>
      </c>
      <c r="O149" s="112">
        <f>SUMIF('Overhead exp(제조경비)'!$C$12:$C$503,'WIP(재공품)'!B149,'Overhead exp(제조경비)'!$O$12:$O$503)</f>
        <v>0</v>
      </c>
      <c r="P149" s="112">
        <f t="shared" si="23"/>
        <v>0</v>
      </c>
      <c r="Q149" s="112">
        <v>0</v>
      </c>
      <c r="R149" s="112">
        <v>0</v>
      </c>
      <c r="S149" s="112">
        <f>SUMIF('JUNE (물량흐름)'!$C$13:$C$493,'WIP(재공품)'!B149,'JUNE (물량흐름)'!$T$13:$T$493)+SUMIF('JUNE (물량흐름)'!$C$13:$C$493,'WIP(재공품)'!B149,'JUNE (물량흐름)'!$U$13:$U$493)+SUMIF('JUNE (물량흐름)'!$C$13:$C$493,'WIP(재공품)'!B149,'JUNE (물량흐름)'!$V$13:$V$493)-SUMIF('JUNE (물량흐름)'!$C$13:$C$493,'WIP(재공품)'!B149,'JUNE (물량흐름)'!$Y$13:$Y$493)</f>
        <v>0</v>
      </c>
      <c r="T149" s="112">
        <f>SUMIF('JUNE (물량흐름)'!$C$13:$C$502,'WIP(재공품)'!B149,'JUNE (물량흐름)'!$Y$13:$Y$502)</f>
        <v>0</v>
      </c>
      <c r="U149" s="167">
        <f>SUMIF('Direct labour(직접노무비)'!$C$12:$C$503,'WIP(재공품)'!B149,'Direct labour(직접노무비)'!$U$12:$U$503)+SUMIF('Overhead exp(제조경비)'!$C$12:$C$503,'WIP(재공품)'!B149,'Overhead exp(제조경비)'!$U$12:$U$503)</f>
        <v>0</v>
      </c>
      <c r="V149" s="112">
        <f>SUMIF('Direct labour(직접노무비)'!$C$12:$C$503,'WIP(재공품)'!B149,'Direct labour(직접노무비)'!$Q$12:$Q$503)</f>
        <v>0</v>
      </c>
      <c r="W149" s="112">
        <f>SUMIF('Overhead exp(제조경비)'!$C$12:$C$503,'WIP(재공품)'!B149,'Overhead exp(제조경비)'!$Q$12:$Q$503)</f>
        <v>0</v>
      </c>
      <c r="X149" s="112">
        <f t="shared" si="24"/>
        <v>0</v>
      </c>
      <c r="Y149" s="112">
        <f ca="1">ROUND(SUMIF('JUNE (물량흐름)'!$C$13:$C$502,'WIP(재공품)'!B149,'JUNE (물량흐름)'!$N$13:$N$488),0)</f>
        <v>0</v>
      </c>
      <c r="Z149" s="112">
        <f>ROUND(SUMIF('JUNE (물량흐름)'!$C$13:$C$502,'WIP(재공품)'!B149,'JUNE (물량흐름)'!$O$13:$O$502),0)</f>
        <v>0</v>
      </c>
      <c r="AA149" s="112">
        <f>ROUND(SUMIF('JUNE (물량흐름)'!$C$13:$C$502,'WIP(재공품)'!B149,'JUNE (물량흐름)'!$P$13:$P$502),0)</f>
        <v>126</v>
      </c>
      <c r="AB149" s="112">
        <f t="shared" ca="1" si="25"/>
        <v>126</v>
      </c>
      <c r="AC149" s="112">
        <f t="shared" si="26"/>
        <v>1715979</v>
      </c>
      <c r="AD149" s="381">
        <f t="shared" ca="1" si="27"/>
        <v>0</v>
      </c>
      <c r="AE149" s="381">
        <f t="shared" si="28"/>
        <v>0</v>
      </c>
      <c r="AF149" s="382"/>
      <c r="AG149" s="382">
        <v>0</v>
      </c>
      <c r="AH149" s="383">
        <f t="shared" si="29"/>
        <v>1.6</v>
      </c>
      <c r="AJ149" s="383"/>
      <c r="AL149" s="385"/>
      <c r="AM149" s="381"/>
      <c r="AN149" s="382"/>
      <c r="AO149" s="382"/>
      <c r="AP149" s="383"/>
      <c r="AQ149" s="383"/>
    </row>
    <row r="150" spans="1:43" s="384" customFormat="1" ht="18.75" customHeight="1">
      <c r="A150" s="167">
        <v>140</v>
      </c>
      <c r="B150" s="240">
        <f>VLOOKUP(A150,'JUNE (물량흐름)'!$A$13:$C$502,3,0)</f>
        <v>459199</v>
      </c>
      <c r="C150" s="21" t="str">
        <f>VLOOKUP(A150,'JUNE (물량흐름)'!$A$13:$C$502,2,0)</f>
        <v>ANN TAYLOR</v>
      </c>
      <c r="D150" s="212">
        <v>0.35</v>
      </c>
      <c r="E150" s="6">
        <f>VLOOKUP(B150,'Sales profit (스타일 별 매출이익)'!$D$9:$P$491,13,0)</f>
        <v>7936.2499999999991</v>
      </c>
      <c r="F150" s="112">
        <f>IFERROR(VLOOKUP(B150,O.B.JUNE!$N$7:$Q$448,2,0),0)</f>
        <v>0</v>
      </c>
      <c r="G150" s="112">
        <f>IFERROR(VLOOKUP(B150,O.B.JUNE!$N$7:$Q$448,3,0),0)</f>
        <v>0</v>
      </c>
      <c r="H150" s="112">
        <f>IFERROR(VLOOKUP(B150,O.B.JUNE!$N$7:$Q$448,4,0),0)</f>
        <v>130</v>
      </c>
      <c r="I150" s="112">
        <f t="shared" si="21"/>
        <v>130</v>
      </c>
      <c r="J150" s="112">
        <f>IFERROR(VLOOKUP(B150,O.B.JUNE!$AA$7:$AG$448,7,0),0)</f>
        <v>1321275</v>
      </c>
      <c r="K150" s="112">
        <f>IFERROR(VLOOKUP(B150,O.B.JUNE!$AI$7:$AO$448,7,0),0)</f>
        <v>2024150</v>
      </c>
      <c r="L150" s="112">
        <f t="shared" si="22"/>
        <v>3345425</v>
      </c>
      <c r="M150" s="112">
        <f>ROUND(SUMIF('JUNE (물량흐름)'!$C$13:$C$502,'WIP(재공품)'!B150,'JUNE (물량흐름)'!$H$13:$H$502)+SUMIF('JUNE (물량흐름)'!$C$13:$C$502,'WIP(재공품)'!B150,'JUNE (물량흐름)'!$V$13:$V$502),0)</f>
        <v>0</v>
      </c>
      <c r="N150" s="112">
        <f>SUMIF('Direct labour(직접노무비)'!$C$12:$C$503,'WIP(재공품)'!B150,'Direct labour(직접노무비)'!$O$12:$O$503)</f>
        <v>0</v>
      </c>
      <c r="O150" s="112">
        <f>SUMIF('Overhead exp(제조경비)'!$C$12:$C$503,'WIP(재공품)'!B150,'Overhead exp(제조경비)'!$O$12:$O$503)</f>
        <v>0</v>
      </c>
      <c r="P150" s="112">
        <f t="shared" si="23"/>
        <v>0</v>
      </c>
      <c r="Q150" s="112">
        <v>0</v>
      </c>
      <c r="R150" s="112">
        <v>0</v>
      </c>
      <c r="S150" s="112">
        <f>SUMIF('JUNE (물량흐름)'!$C$13:$C$493,'WIP(재공품)'!B150,'JUNE (물량흐름)'!$T$13:$T$493)+SUMIF('JUNE (물량흐름)'!$C$13:$C$493,'WIP(재공품)'!B150,'JUNE (물량흐름)'!$U$13:$U$493)+SUMIF('JUNE (물량흐름)'!$C$13:$C$493,'WIP(재공품)'!B150,'JUNE (물량흐름)'!$V$13:$V$493)-SUMIF('JUNE (물량흐름)'!$C$13:$C$493,'WIP(재공품)'!B150,'JUNE (물량흐름)'!$Y$13:$Y$493)</f>
        <v>0</v>
      </c>
      <c r="T150" s="112">
        <f>SUMIF('JUNE (물량흐름)'!$C$13:$C$502,'WIP(재공품)'!B150,'JUNE (물량흐름)'!$Y$13:$Y$502)</f>
        <v>0</v>
      </c>
      <c r="U150" s="167">
        <f>SUMIF('Direct labour(직접노무비)'!$C$12:$C$503,'WIP(재공품)'!B150,'Direct labour(직접노무비)'!$U$12:$U$503)+SUMIF('Overhead exp(제조경비)'!$C$12:$C$503,'WIP(재공품)'!B150,'Overhead exp(제조경비)'!$U$12:$U$503)</f>
        <v>0</v>
      </c>
      <c r="V150" s="112">
        <f>SUMIF('Direct labour(직접노무비)'!$C$12:$C$503,'WIP(재공품)'!B150,'Direct labour(직접노무비)'!$Q$12:$Q$503)</f>
        <v>0</v>
      </c>
      <c r="W150" s="112">
        <f>SUMIF('Overhead exp(제조경비)'!$C$12:$C$503,'WIP(재공품)'!B150,'Overhead exp(제조경비)'!$Q$12:$Q$503)</f>
        <v>0</v>
      </c>
      <c r="X150" s="112">
        <f t="shared" si="24"/>
        <v>0</v>
      </c>
      <c r="Y150" s="112">
        <f ca="1">ROUND(SUMIF('JUNE (물량흐름)'!$C$13:$C$502,'WIP(재공품)'!B150,'JUNE (물량흐름)'!$N$13:$N$488),0)</f>
        <v>0</v>
      </c>
      <c r="Z150" s="112">
        <f>ROUND(SUMIF('JUNE (물량흐름)'!$C$13:$C$502,'WIP(재공품)'!B150,'JUNE (물량흐름)'!$O$13:$O$502),0)</f>
        <v>0</v>
      </c>
      <c r="AA150" s="112">
        <f>ROUND(SUMIF('JUNE (물량흐름)'!$C$13:$C$502,'WIP(재공품)'!B150,'JUNE (물량흐름)'!$P$13:$P$502),0)</f>
        <v>130</v>
      </c>
      <c r="AB150" s="112">
        <f t="shared" ca="1" si="25"/>
        <v>130</v>
      </c>
      <c r="AC150" s="112">
        <f t="shared" si="26"/>
        <v>3345425</v>
      </c>
      <c r="AD150" s="381">
        <f t="shared" ca="1" si="27"/>
        <v>0</v>
      </c>
      <c r="AE150" s="381">
        <f t="shared" si="28"/>
        <v>0</v>
      </c>
      <c r="AF150" s="382"/>
      <c r="AG150" s="382">
        <v>0</v>
      </c>
      <c r="AH150" s="383">
        <f t="shared" si="29"/>
        <v>0.35</v>
      </c>
      <c r="AJ150" s="383"/>
      <c r="AL150" s="385"/>
      <c r="AM150" s="381"/>
      <c r="AN150" s="382"/>
      <c r="AO150" s="382"/>
      <c r="AP150" s="383"/>
      <c r="AQ150" s="383"/>
    </row>
    <row r="151" spans="1:43" s="384" customFormat="1" ht="18.75" customHeight="1">
      <c r="A151" s="167">
        <v>141</v>
      </c>
      <c r="B151" s="240">
        <f>VLOOKUP(A151,'JUNE (물량흐름)'!$A$13:$C$502,3,0)</f>
        <v>459200</v>
      </c>
      <c r="C151" s="21" t="str">
        <f>VLOOKUP(A151,'JUNE (물량흐름)'!$A$13:$C$502,2,0)</f>
        <v>ANN TAYLOR</v>
      </c>
      <c r="D151" s="212">
        <v>0.35</v>
      </c>
      <c r="E151" s="6">
        <f>VLOOKUP(B151,'Sales profit (스타일 별 매출이익)'!$D$9:$P$491,13,0)</f>
        <v>7936.2499999999991</v>
      </c>
      <c r="F151" s="112">
        <f>IFERROR(VLOOKUP(B151,O.B.JUNE!$N$7:$Q$448,2,0),0)</f>
        <v>0</v>
      </c>
      <c r="G151" s="112">
        <f>IFERROR(VLOOKUP(B151,O.B.JUNE!$N$7:$Q$448,3,0),0)</f>
        <v>0</v>
      </c>
      <c r="H151" s="112">
        <f>IFERROR(VLOOKUP(B151,O.B.JUNE!$N$7:$Q$448,4,0),0)</f>
        <v>91</v>
      </c>
      <c r="I151" s="112">
        <f t="shared" si="21"/>
        <v>91</v>
      </c>
      <c r="J151" s="112">
        <f>IFERROR(VLOOKUP(B151,O.B.JUNE!$AA$7:$AG$448,7,0),0)</f>
        <v>509571</v>
      </c>
      <c r="K151" s="112">
        <f>IFERROR(VLOOKUP(B151,O.B.JUNE!$AI$7:$AO$448,7,0),0)</f>
        <v>764174</v>
      </c>
      <c r="L151" s="112">
        <f t="shared" si="22"/>
        <v>1273745</v>
      </c>
      <c r="M151" s="112">
        <f>ROUND(SUMIF('JUNE (물량흐름)'!$C$13:$C$502,'WIP(재공품)'!B151,'JUNE (물량흐름)'!$H$13:$H$502)+SUMIF('JUNE (물량흐름)'!$C$13:$C$502,'WIP(재공품)'!B151,'JUNE (물량흐름)'!$V$13:$V$502),0)</f>
        <v>0</v>
      </c>
      <c r="N151" s="112">
        <f>SUMIF('Direct labour(직접노무비)'!$C$12:$C$503,'WIP(재공품)'!B151,'Direct labour(직접노무비)'!$O$12:$O$503)</f>
        <v>0</v>
      </c>
      <c r="O151" s="112">
        <f>SUMIF('Overhead exp(제조경비)'!$C$12:$C$503,'WIP(재공품)'!B151,'Overhead exp(제조경비)'!$O$12:$O$503)</f>
        <v>0</v>
      </c>
      <c r="P151" s="112">
        <f t="shared" si="23"/>
        <v>0</v>
      </c>
      <c r="Q151" s="112">
        <v>0</v>
      </c>
      <c r="R151" s="112">
        <v>0</v>
      </c>
      <c r="S151" s="112">
        <f>SUMIF('JUNE (물량흐름)'!$C$13:$C$493,'WIP(재공품)'!B151,'JUNE (물량흐름)'!$T$13:$T$493)+SUMIF('JUNE (물량흐름)'!$C$13:$C$493,'WIP(재공품)'!B151,'JUNE (물량흐름)'!$U$13:$U$493)+SUMIF('JUNE (물량흐름)'!$C$13:$C$493,'WIP(재공품)'!B151,'JUNE (물량흐름)'!$V$13:$V$493)-SUMIF('JUNE (물량흐름)'!$C$13:$C$493,'WIP(재공품)'!B151,'JUNE (물량흐름)'!$Y$13:$Y$493)</f>
        <v>0</v>
      </c>
      <c r="T151" s="112">
        <f>SUMIF('JUNE (물량흐름)'!$C$13:$C$502,'WIP(재공품)'!B151,'JUNE (물량흐름)'!$Y$13:$Y$502)</f>
        <v>0</v>
      </c>
      <c r="U151" s="167">
        <f>SUMIF('Direct labour(직접노무비)'!$C$12:$C$503,'WIP(재공품)'!B151,'Direct labour(직접노무비)'!$U$12:$U$503)+SUMIF('Overhead exp(제조경비)'!$C$12:$C$503,'WIP(재공품)'!B151,'Overhead exp(제조경비)'!$U$12:$U$503)</f>
        <v>0</v>
      </c>
      <c r="V151" s="112">
        <f>SUMIF('Direct labour(직접노무비)'!$C$12:$C$503,'WIP(재공품)'!B151,'Direct labour(직접노무비)'!$Q$12:$Q$503)</f>
        <v>0</v>
      </c>
      <c r="W151" s="112">
        <f>SUMIF('Overhead exp(제조경비)'!$C$12:$C$503,'WIP(재공품)'!B151,'Overhead exp(제조경비)'!$Q$12:$Q$503)</f>
        <v>0</v>
      </c>
      <c r="X151" s="112">
        <f t="shared" si="24"/>
        <v>0</v>
      </c>
      <c r="Y151" s="112">
        <f ca="1">ROUND(SUMIF('JUNE (물량흐름)'!$C$13:$C$502,'WIP(재공품)'!B151,'JUNE (물량흐름)'!$N$13:$N$488),0)</f>
        <v>0</v>
      </c>
      <c r="Z151" s="112">
        <f>ROUND(SUMIF('JUNE (물량흐름)'!$C$13:$C$502,'WIP(재공품)'!B151,'JUNE (물량흐름)'!$O$13:$O$502),0)</f>
        <v>0</v>
      </c>
      <c r="AA151" s="112">
        <f>ROUND(SUMIF('JUNE (물량흐름)'!$C$13:$C$502,'WIP(재공품)'!B151,'JUNE (물량흐름)'!$P$13:$P$502),0)</f>
        <v>91</v>
      </c>
      <c r="AB151" s="112">
        <f t="shared" ca="1" si="25"/>
        <v>91</v>
      </c>
      <c r="AC151" s="112">
        <f t="shared" si="26"/>
        <v>1273745</v>
      </c>
      <c r="AD151" s="381">
        <f t="shared" ca="1" si="27"/>
        <v>0</v>
      </c>
      <c r="AE151" s="381">
        <f t="shared" si="28"/>
        <v>0</v>
      </c>
      <c r="AF151" s="382"/>
      <c r="AG151" s="382">
        <v>0.3</v>
      </c>
      <c r="AH151" s="383">
        <f t="shared" si="29"/>
        <v>4.9999999999999989E-2</v>
      </c>
      <c r="AJ151" s="383"/>
      <c r="AL151" s="385"/>
      <c r="AM151" s="381"/>
      <c r="AN151" s="382"/>
      <c r="AO151" s="382"/>
      <c r="AP151" s="383"/>
      <c r="AQ151" s="383"/>
    </row>
    <row r="152" spans="1:43" s="384" customFormat="1" ht="18.75" customHeight="1">
      <c r="A152" s="167">
        <v>142</v>
      </c>
      <c r="B152" s="240">
        <f>VLOOKUP(A152,'JUNE (물량흐름)'!$A$13:$C$502,3,0)</f>
        <v>459648</v>
      </c>
      <c r="C152" s="21" t="str">
        <f>VLOOKUP(A152,'JUNE (물량흐름)'!$A$13:$C$502,2,0)</f>
        <v>ANN TAYLOR</v>
      </c>
      <c r="D152" s="212">
        <v>0.35</v>
      </c>
      <c r="E152" s="6">
        <f>VLOOKUP(B152,'Sales profit (스타일 별 매출이익)'!$D$9:$P$491,13,0)</f>
        <v>7936.2499999999991</v>
      </c>
      <c r="F152" s="112">
        <f>IFERROR(VLOOKUP(B152,O.B.JUNE!$N$7:$Q$448,2,0),0)</f>
        <v>0</v>
      </c>
      <c r="G152" s="112">
        <f>IFERROR(VLOOKUP(B152,O.B.JUNE!$N$7:$Q$448,3,0),0)</f>
        <v>0</v>
      </c>
      <c r="H152" s="112">
        <f>IFERROR(VLOOKUP(B152,O.B.JUNE!$N$7:$Q$448,4,0),0)</f>
        <v>111</v>
      </c>
      <c r="I152" s="112">
        <f t="shared" si="21"/>
        <v>111</v>
      </c>
      <c r="J152" s="112">
        <f>IFERROR(VLOOKUP(B152,O.B.JUNE!$AA$7:$AG$448,7,0),0)</f>
        <v>704031</v>
      </c>
      <c r="K152" s="112">
        <f>IFERROR(VLOOKUP(B152,O.B.JUNE!$AI$7:$AO$448,7,0),0)</f>
        <v>990112</v>
      </c>
      <c r="L152" s="112">
        <f t="shared" si="22"/>
        <v>1694143</v>
      </c>
      <c r="M152" s="112">
        <f>ROUND(SUMIF('JUNE (물량흐름)'!$C$13:$C$502,'WIP(재공품)'!B152,'JUNE (물량흐름)'!$H$13:$H$502)+SUMIF('JUNE (물량흐름)'!$C$13:$C$502,'WIP(재공품)'!B152,'JUNE (물량흐름)'!$V$13:$V$502),0)</f>
        <v>0</v>
      </c>
      <c r="N152" s="112">
        <f>SUMIF('Direct labour(직접노무비)'!$C$12:$C$503,'WIP(재공품)'!B152,'Direct labour(직접노무비)'!$O$12:$O$503)</f>
        <v>0</v>
      </c>
      <c r="O152" s="112">
        <f>SUMIF('Overhead exp(제조경비)'!$C$12:$C$503,'WIP(재공품)'!B152,'Overhead exp(제조경비)'!$O$12:$O$503)</f>
        <v>0</v>
      </c>
      <c r="P152" s="112">
        <f t="shared" si="23"/>
        <v>0</v>
      </c>
      <c r="Q152" s="112">
        <v>0</v>
      </c>
      <c r="R152" s="112">
        <v>0</v>
      </c>
      <c r="S152" s="112">
        <f>SUMIF('JUNE (물량흐름)'!$C$13:$C$493,'WIP(재공품)'!B152,'JUNE (물량흐름)'!$T$13:$T$493)+SUMIF('JUNE (물량흐름)'!$C$13:$C$493,'WIP(재공품)'!B152,'JUNE (물량흐름)'!$U$13:$U$493)+SUMIF('JUNE (물량흐름)'!$C$13:$C$493,'WIP(재공품)'!B152,'JUNE (물량흐름)'!$V$13:$V$493)-SUMIF('JUNE (물량흐름)'!$C$13:$C$493,'WIP(재공품)'!B152,'JUNE (물량흐름)'!$Y$13:$Y$493)</f>
        <v>0</v>
      </c>
      <c r="T152" s="112">
        <f>SUMIF('JUNE (물량흐름)'!$C$13:$C$502,'WIP(재공품)'!B152,'JUNE (물량흐름)'!$Y$13:$Y$502)</f>
        <v>0</v>
      </c>
      <c r="U152" s="167">
        <f>SUMIF('Direct labour(직접노무비)'!$C$12:$C$503,'WIP(재공품)'!B152,'Direct labour(직접노무비)'!$U$12:$U$503)+SUMIF('Overhead exp(제조경비)'!$C$12:$C$503,'WIP(재공품)'!B152,'Overhead exp(제조경비)'!$U$12:$U$503)</f>
        <v>0</v>
      </c>
      <c r="V152" s="112">
        <f>SUMIF('Direct labour(직접노무비)'!$C$12:$C$503,'WIP(재공품)'!B152,'Direct labour(직접노무비)'!$Q$12:$Q$503)</f>
        <v>0</v>
      </c>
      <c r="W152" s="112">
        <f>SUMIF('Overhead exp(제조경비)'!$C$12:$C$503,'WIP(재공품)'!B152,'Overhead exp(제조경비)'!$Q$12:$Q$503)</f>
        <v>0</v>
      </c>
      <c r="X152" s="112">
        <f t="shared" si="24"/>
        <v>0</v>
      </c>
      <c r="Y152" s="112">
        <f ca="1">ROUND(SUMIF('JUNE (물량흐름)'!$C$13:$C$502,'WIP(재공품)'!B152,'JUNE (물량흐름)'!$N$13:$N$488),0)</f>
        <v>0</v>
      </c>
      <c r="Z152" s="112">
        <f>ROUND(SUMIF('JUNE (물량흐름)'!$C$13:$C$502,'WIP(재공품)'!B152,'JUNE (물량흐름)'!$O$13:$O$502),0)</f>
        <v>0</v>
      </c>
      <c r="AA152" s="112">
        <f>ROUND(SUMIF('JUNE (물량흐름)'!$C$13:$C$502,'WIP(재공품)'!B152,'JUNE (물량흐름)'!$P$13:$P$502),0)</f>
        <v>111</v>
      </c>
      <c r="AB152" s="112">
        <f t="shared" ca="1" si="25"/>
        <v>111</v>
      </c>
      <c r="AC152" s="112">
        <f t="shared" si="26"/>
        <v>1694143</v>
      </c>
      <c r="AD152" s="381">
        <f t="shared" ca="1" si="27"/>
        <v>0</v>
      </c>
      <c r="AE152" s="381">
        <f t="shared" si="28"/>
        <v>0</v>
      </c>
      <c r="AF152" s="382"/>
      <c r="AG152" s="382">
        <v>0.3</v>
      </c>
      <c r="AH152" s="383">
        <f t="shared" si="29"/>
        <v>4.9999999999999989E-2</v>
      </c>
      <c r="AJ152" s="383"/>
      <c r="AL152" s="385"/>
      <c r="AM152" s="381"/>
      <c r="AN152" s="382"/>
      <c r="AO152" s="382"/>
      <c r="AP152" s="383"/>
      <c r="AQ152" s="383"/>
    </row>
    <row r="153" spans="1:43" s="384" customFormat="1" ht="18.75" customHeight="1">
      <c r="A153" s="167">
        <v>143</v>
      </c>
      <c r="B153" s="240">
        <f>VLOOKUP(A153,'JUNE (물량흐름)'!$A$13:$C$502,3,0)</f>
        <v>459700</v>
      </c>
      <c r="C153" s="21" t="str">
        <f>VLOOKUP(A153,'JUNE (물량흐름)'!$A$13:$C$502,2,0)</f>
        <v>ANN TAYLOR</v>
      </c>
      <c r="D153" s="212">
        <v>1.45</v>
      </c>
      <c r="E153" s="6">
        <f>VLOOKUP(B153,'Sales profit (스타일 별 매출이익)'!$D$9:$P$491,13,0)</f>
        <v>32878.75</v>
      </c>
      <c r="F153" s="112">
        <f>IFERROR(VLOOKUP(B153,O.B.JUNE!$N$7:$Q$448,2,0),0)</f>
        <v>0</v>
      </c>
      <c r="G153" s="112">
        <f>IFERROR(VLOOKUP(B153,O.B.JUNE!$N$7:$Q$448,3,0),0)</f>
        <v>0</v>
      </c>
      <c r="H153" s="112">
        <f>IFERROR(VLOOKUP(B153,O.B.JUNE!$N$7:$Q$448,4,0),0)</f>
        <v>78</v>
      </c>
      <c r="I153" s="112">
        <f t="shared" si="21"/>
        <v>78</v>
      </c>
      <c r="J153" s="112">
        <f>IFERROR(VLOOKUP(B153,O.B.JUNE!$AA$7:$AG$448,7,0),0)</f>
        <v>391007</v>
      </c>
      <c r="K153" s="112">
        <f>IFERROR(VLOOKUP(B153,O.B.JUNE!$AI$7:$AO$448,7,0),0)</f>
        <v>550047</v>
      </c>
      <c r="L153" s="112">
        <f t="shared" si="22"/>
        <v>941054</v>
      </c>
      <c r="M153" s="112">
        <f>ROUND(SUMIF('JUNE (물량흐름)'!$C$13:$C$502,'WIP(재공품)'!B153,'JUNE (물량흐름)'!$H$13:$H$502)+SUMIF('JUNE (물량흐름)'!$C$13:$C$502,'WIP(재공품)'!B153,'JUNE (물량흐름)'!$V$13:$V$502),0)</f>
        <v>0</v>
      </c>
      <c r="N153" s="112">
        <f>SUMIF('Direct labour(직접노무비)'!$C$12:$C$503,'WIP(재공품)'!B153,'Direct labour(직접노무비)'!$O$12:$O$503)</f>
        <v>0</v>
      </c>
      <c r="O153" s="112">
        <f>SUMIF('Overhead exp(제조경비)'!$C$12:$C$503,'WIP(재공품)'!B153,'Overhead exp(제조경비)'!$O$12:$O$503)</f>
        <v>0</v>
      </c>
      <c r="P153" s="112">
        <f t="shared" si="23"/>
        <v>0</v>
      </c>
      <c r="Q153" s="112">
        <v>0</v>
      </c>
      <c r="R153" s="112">
        <v>0</v>
      </c>
      <c r="S153" s="112">
        <f>SUMIF('JUNE (물량흐름)'!$C$13:$C$493,'WIP(재공품)'!B153,'JUNE (물량흐름)'!$T$13:$T$493)+SUMIF('JUNE (물량흐름)'!$C$13:$C$493,'WIP(재공품)'!B153,'JUNE (물량흐름)'!$U$13:$U$493)+SUMIF('JUNE (물량흐름)'!$C$13:$C$493,'WIP(재공품)'!B153,'JUNE (물량흐름)'!$V$13:$V$493)-SUMIF('JUNE (물량흐름)'!$C$13:$C$493,'WIP(재공품)'!B153,'JUNE (물량흐름)'!$Y$13:$Y$493)</f>
        <v>0</v>
      </c>
      <c r="T153" s="112">
        <f>SUMIF('JUNE (물량흐름)'!$C$13:$C$502,'WIP(재공품)'!B153,'JUNE (물량흐름)'!$Y$13:$Y$502)</f>
        <v>0</v>
      </c>
      <c r="U153" s="167">
        <f>SUMIF('Direct labour(직접노무비)'!$C$12:$C$503,'WIP(재공품)'!B153,'Direct labour(직접노무비)'!$U$12:$U$503)+SUMIF('Overhead exp(제조경비)'!$C$12:$C$503,'WIP(재공품)'!B153,'Overhead exp(제조경비)'!$U$12:$U$503)</f>
        <v>0</v>
      </c>
      <c r="V153" s="112">
        <f>SUMIF('Direct labour(직접노무비)'!$C$12:$C$503,'WIP(재공품)'!B153,'Direct labour(직접노무비)'!$Q$12:$Q$503)</f>
        <v>0</v>
      </c>
      <c r="W153" s="112">
        <f>SUMIF('Overhead exp(제조경비)'!$C$12:$C$503,'WIP(재공품)'!B153,'Overhead exp(제조경비)'!$Q$12:$Q$503)</f>
        <v>0</v>
      </c>
      <c r="X153" s="112">
        <f t="shared" si="24"/>
        <v>0</v>
      </c>
      <c r="Y153" s="112">
        <f ca="1">ROUND(SUMIF('JUNE (물량흐름)'!$C$13:$C$502,'WIP(재공품)'!B153,'JUNE (물량흐름)'!$N$13:$N$488),0)</f>
        <v>0</v>
      </c>
      <c r="Z153" s="112">
        <f>ROUND(SUMIF('JUNE (물량흐름)'!$C$13:$C$502,'WIP(재공품)'!B153,'JUNE (물량흐름)'!$O$13:$O$502),0)</f>
        <v>0</v>
      </c>
      <c r="AA153" s="112">
        <f>ROUND(SUMIF('JUNE (물량흐름)'!$C$13:$C$502,'WIP(재공품)'!B153,'JUNE (물량흐름)'!$P$13:$P$502),0)</f>
        <v>78</v>
      </c>
      <c r="AB153" s="112">
        <f t="shared" ca="1" si="25"/>
        <v>78</v>
      </c>
      <c r="AC153" s="112">
        <f t="shared" si="26"/>
        <v>941054</v>
      </c>
      <c r="AD153" s="381">
        <f t="shared" ca="1" si="27"/>
        <v>0</v>
      </c>
      <c r="AE153" s="381">
        <f t="shared" si="28"/>
        <v>0</v>
      </c>
      <c r="AF153" s="382"/>
      <c r="AG153" s="382">
        <v>0</v>
      </c>
      <c r="AH153" s="383">
        <f t="shared" si="29"/>
        <v>1.45</v>
      </c>
      <c r="AJ153" s="383"/>
      <c r="AL153" s="385"/>
      <c r="AM153" s="381"/>
      <c r="AN153" s="382"/>
      <c r="AO153" s="382"/>
      <c r="AP153" s="383"/>
      <c r="AQ153" s="383"/>
    </row>
    <row r="154" spans="1:43" s="384" customFormat="1" ht="18.75" customHeight="1">
      <c r="A154" s="167">
        <v>144</v>
      </c>
      <c r="B154" s="240">
        <f>VLOOKUP(A154,'JUNE (물량흐름)'!$A$13:$C$502,3,0)</f>
        <v>459701</v>
      </c>
      <c r="C154" s="21" t="str">
        <f>VLOOKUP(A154,'JUNE (물량흐름)'!$A$13:$C$502,2,0)</f>
        <v>ANN TAYLOR</v>
      </c>
      <c r="D154" s="212">
        <v>1.5</v>
      </c>
      <c r="E154" s="6">
        <f>VLOOKUP(B154,'Sales profit (스타일 별 매출이익)'!$D$9:$P$491,13,0)</f>
        <v>34012.5</v>
      </c>
      <c r="F154" s="112">
        <f>IFERROR(VLOOKUP(B154,O.B.JUNE!$N$7:$Q$448,2,0),0)</f>
        <v>0</v>
      </c>
      <c r="G154" s="112">
        <f>IFERROR(VLOOKUP(B154,O.B.JUNE!$N$7:$Q$448,3,0),0)</f>
        <v>0</v>
      </c>
      <c r="H154" s="112">
        <f>IFERROR(VLOOKUP(B154,O.B.JUNE!$N$7:$Q$448,4,0),0)</f>
        <v>133</v>
      </c>
      <c r="I154" s="112">
        <f t="shared" si="21"/>
        <v>133</v>
      </c>
      <c r="J154" s="112">
        <f>IFERROR(VLOOKUP(B154,O.B.JUNE!$AA$7:$AG$448,7,0),0)</f>
        <v>328384</v>
      </c>
      <c r="K154" s="112">
        <f>IFERROR(VLOOKUP(B154,O.B.JUNE!$AI$7:$AO$448,7,0),0)</f>
        <v>492041</v>
      </c>
      <c r="L154" s="112">
        <f t="shared" si="22"/>
        <v>820425</v>
      </c>
      <c r="M154" s="112">
        <f>ROUND(SUMIF('JUNE (물량흐름)'!$C$13:$C$502,'WIP(재공품)'!B154,'JUNE (물량흐름)'!$H$13:$H$502)+SUMIF('JUNE (물량흐름)'!$C$13:$C$502,'WIP(재공품)'!B154,'JUNE (물량흐름)'!$V$13:$V$502),0)</f>
        <v>0</v>
      </c>
      <c r="N154" s="112">
        <f>SUMIF('Direct labour(직접노무비)'!$C$12:$C$503,'WIP(재공품)'!B154,'Direct labour(직접노무비)'!$O$12:$O$503)</f>
        <v>0</v>
      </c>
      <c r="O154" s="112">
        <f>SUMIF('Overhead exp(제조경비)'!$C$12:$C$503,'WIP(재공품)'!B154,'Overhead exp(제조경비)'!$O$12:$O$503)</f>
        <v>0</v>
      </c>
      <c r="P154" s="112">
        <f t="shared" si="23"/>
        <v>0</v>
      </c>
      <c r="Q154" s="112">
        <v>0</v>
      </c>
      <c r="R154" s="112">
        <v>0</v>
      </c>
      <c r="S154" s="112">
        <f>SUMIF('JUNE (물량흐름)'!$C$13:$C$493,'WIP(재공품)'!B154,'JUNE (물량흐름)'!$T$13:$T$493)+SUMIF('JUNE (물량흐름)'!$C$13:$C$493,'WIP(재공품)'!B154,'JUNE (물량흐름)'!$U$13:$U$493)+SUMIF('JUNE (물량흐름)'!$C$13:$C$493,'WIP(재공품)'!B154,'JUNE (물량흐름)'!$V$13:$V$493)-SUMIF('JUNE (물량흐름)'!$C$13:$C$493,'WIP(재공품)'!B154,'JUNE (물량흐름)'!$Y$13:$Y$493)</f>
        <v>0</v>
      </c>
      <c r="T154" s="112">
        <f>SUMIF('JUNE (물량흐름)'!$C$13:$C$502,'WIP(재공품)'!B154,'JUNE (물량흐름)'!$Y$13:$Y$502)</f>
        <v>0</v>
      </c>
      <c r="U154" s="167">
        <f>SUMIF('Direct labour(직접노무비)'!$C$12:$C$503,'WIP(재공품)'!B154,'Direct labour(직접노무비)'!$U$12:$U$503)+SUMIF('Overhead exp(제조경비)'!$C$12:$C$503,'WIP(재공품)'!B154,'Overhead exp(제조경비)'!$U$12:$U$503)</f>
        <v>0</v>
      </c>
      <c r="V154" s="112">
        <f>SUMIF('Direct labour(직접노무비)'!$C$12:$C$503,'WIP(재공품)'!B154,'Direct labour(직접노무비)'!$Q$12:$Q$503)</f>
        <v>0</v>
      </c>
      <c r="W154" s="112">
        <f>SUMIF('Overhead exp(제조경비)'!$C$12:$C$503,'WIP(재공품)'!B154,'Overhead exp(제조경비)'!$Q$12:$Q$503)</f>
        <v>0</v>
      </c>
      <c r="X154" s="112">
        <f t="shared" si="24"/>
        <v>0</v>
      </c>
      <c r="Y154" s="112">
        <f ca="1">ROUND(SUMIF('JUNE (물량흐름)'!$C$13:$C$502,'WIP(재공품)'!B154,'JUNE (물량흐름)'!$N$13:$N$488),0)</f>
        <v>0</v>
      </c>
      <c r="Z154" s="112">
        <f>ROUND(SUMIF('JUNE (물량흐름)'!$C$13:$C$502,'WIP(재공품)'!B154,'JUNE (물량흐름)'!$O$13:$O$502),0)</f>
        <v>0</v>
      </c>
      <c r="AA154" s="112">
        <f>ROUND(SUMIF('JUNE (물량흐름)'!$C$13:$C$502,'WIP(재공품)'!B154,'JUNE (물량흐름)'!$P$13:$P$502),0)</f>
        <v>133</v>
      </c>
      <c r="AB154" s="112">
        <f t="shared" ca="1" si="25"/>
        <v>133</v>
      </c>
      <c r="AC154" s="112">
        <f t="shared" si="26"/>
        <v>820425</v>
      </c>
      <c r="AD154" s="381">
        <f t="shared" ca="1" si="27"/>
        <v>0</v>
      </c>
      <c r="AE154" s="381">
        <f t="shared" si="28"/>
        <v>0</v>
      </c>
      <c r="AF154" s="382"/>
      <c r="AG154" s="382">
        <v>0.3</v>
      </c>
      <c r="AH154" s="383">
        <f t="shared" si="29"/>
        <v>1.2</v>
      </c>
      <c r="AJ154" s="383"/>
      <c r="AL154" s="385"/>
      <c r="AM154" s="381"/>
      <c r="AN154" s="382"/>
      <c r="AO154" s="382"/>
      <c r="AP154" s="383"/>
      <c r="AQ154" s="383"/>
    </row>
    <row r="155" spans="1:43" s="384" customFormat="1" ht="18.75" customHeight="1">
      <c r="A155" s="167">
        <v>145</v>
      </c>
      <c r="B155" s="240">
        <f>VLOOKUP(A155,'JUNE (물량흐름)'!$A$13:$C$502,3,0)</f>
        <v>459702</v>
      </c>
      <c r="C155" s="21" t="str">
        <f>VLOOKUP(A155,'JUNE (물량흐름)'!$A$13:$C$502,2,0)</f>
        <v>ANN TAYLOR</v>
      </c>
      <c r="D155" s="212">
        <v>0.36</v>
      </c>
      <c r="E155" s="6">
        <f>VLOOKUP(B155,'Sales profit (스타일 별 매출이익)'!$D$9:$P$491,13,0)</f>
        <v>8163</v>
      </c>
      <c r="F155" s="112">
        <f>IFERROR(VLOOKUP(B155,O.B.JUNE!$N$7:$Q$448,2,0),0)</f>
        <v>0</v>
      </c>
      <c r="G155" s="112">
        <f>IFERROR(VLOOKUP(B155,O.B.JUNE!$N$7:$Q$448,3,0),0)</f>
        <v>0</v>
      </c>
      <c r="H155" s="112">
        <f>IFERROR(VLOOKUP(B155,O.B.JUNE!$N$7:$Q$448,4,0),0)</f>
        <v>42</v>
      </c>
      <c r="I155" s="112">
        <f t="shared" si="21"/>
        <v>42</v>
      </c>
      <c r="J155" s="112">
        <f>IFERROR(VLOOKUP(B155,O.B.JUNE!$AA$7:$AG$448,7,0),0)</f>
        <v>241533</v>
      </c>
      <c r="K155" s="112">
        <f>IFERROR(VLOOKUP(B155,O.B.JUNE!$AI$7:$AO$448,7,0),0)</f>
        <v>370021</v>
      </c>
      <c r="L155" s="112">
        <f t="shared" si="22"/>
        <v>611554</v>
      </c>
      <c r="M155" s="112">
        <f>ROUND(SUMIF('JUNE (물량흐름)'!$C$13:$C$502,'WIP(재공품)'!B155,'JUNE (물량흐름)'!$H$13:$H$502)+SUMIF('JUNE (물량흐름)'!$C$13:$C$502,'WIP(재공품)'!B155,'JUNE (물량흐름)'!$V$13:$V$502),0)</f>
        <v>0</v>
      </c>
      <c r="N155" s="112">
        <f>SUMIF('Direct labour(직접노무비)'!$C$12:$C$503,'WIP(재공품)'!B155,'Direct labour(직접노무비)'!$O$12:$O$503)</f>
        <v>0</v>
      </c>
      <c r="O155" s="112">
        <f>SUMIF('Overhead exp(제조경비)'!$C$12:$C$503,'WIP(재공품)'!B155,'Overhead exp(제조경비)'!$O$12:$O$503)</f>
        <v>0</v>
      </c>
      <c r="P155" s="112">
        <f t="shared" si="23"/>
        <v>0</v>
      </c>
      <c r="Q155" s="112">
        <v>0</v>
      </c>
      <c r="R155" s="112">
        <v>0</v>
      </c>
      <c r="S155" s="112">
        <f>SUMIF('JUNE (물량흐름)'!$C$13:$C$493,'WIP(재공품)'!B155,'JUNE (물량흐름)'!$T$13:$T$493)+SUMIF('JUNE (물량흐름)'!$C$13:$C$493,'WIP(재공품)'!B155,'JUNE (물량흐름)'!$U$13:$U$493)+SUMIF('JUNE (물량흐름)'!$C$13:$C$493,'WIP(재공품)'!B155,'JUNE (물량흐름)'!$V$13:$V$493)-SUMIF('JUNE (물량흐름)'!$C$13:$C$493,'WIP(재공품)'!B155,'JUNE (물량흐름)'!$Y$13:$Y$493)</f>
        <v>0</v>
      </c>
      <c r="T155" s="112">
        <f>SUMIF('JUNE (물량흐름)'!$C$13:$C$502,'WIP(재공품)'!B155,'JUNE (물량흐름)'!$Y$13:$Y$502)</f>
        <v>0</v>
      </c>
      <c r="U155" s="167">
        <f>SUMIF('Direct labour(직접노무비)'!$C$12:$C$503,'WIP(재공품)'!B155,'Direct labour(직접노무비)'!$U$12:$U$503)+SUMIF('Overhead exp(제조경비)'!$C$12:$C$503,'WIP(재공품)'!B155,'Overhead exp(제조경비)'!$U$12:$U$503)</f>
        <v>0</v>
      </c>
      <c r="V155" s="112">
        <f>SUMIF('Direct labour(직접노무비)'!$C$12:$C$503,'WIP(재공품)'!B155,'Direct labour(직접노무비)'!$Q$12:$Q$503)</f>
        <v>0</v>
      </c>
      <c r="W155" s="112">
        <f>SUMIF('Overhead exp(제조경비)'!$C$12:$C$503,'WIP(재공품)'!B155,'Overhead exp(제조경비)'!$Q$12:$Q$503)</f>
        <v>0</v>
      </c>
      <c r="X155" s="112">
        <f t="shared" si="24"/>
        <v>0</v>
      </c>
      <c r="Y155" s="112">
        <f ca="1">ROUND(SUMIF('JUNE (물량흐름)'!$C$13:$C$502,'WIP(재공품)'!B155,'JUNE (물량흐름)'!$N$13:$N$488),0)</f>
        <v>0</v>
      </c>
      <c r="Z155" s="112">
        <f>ROUND(SUMIF('JUNE (물량흐름)'!$C$13:$C$502,'WIP(재공품)'!B155,'JUNE (물량흐름)'!$O$13:$O$502),0)</f>
        <v>0</v>
      </c>
      <c r="AA155" s="112">
        <f>ROUND(SUMIF('JUNE (물량흐름)'!$C$13:$C$502,'WIP(재공품)'!B155,'JUNE (물량흐름)'!$P$13:$P$502),0)</f>
        <v>42</v>
      </c>
      <c r="AB155" s="112">
        <f t="shared" ca="1" si="25"/>
        <v>42</v>
      </c>
      <c r="AC155" s="112">
        <f t="shared" si="26"/>
        <v>611554</v>
      </c>
      <c r="AD155" s="381">
        <f t="shared" ca="1" si="27"/>
        <v>0</v>
      </c>
      <c r="AE155" s="381">
        <f t="shared" si="28"/>
        <v>0</v>
      </c>
      <c r="AF155" s="382"/>
      <c r="AG155" s="382">
        <v>0</v>
      </c>
      <c r="AH155" s="383">
        <f t="shared" si="29"/>
        <v>0.36</v>
      </c>
      <c r="AJ155" s="383"/>
      <c r="AL155" s="385"/>
      <c r="AM155" s="381"/>
      <c r="AN155" s="382"/>
      <c r="AO155" s="382"/>
      <c r="AP155" s="383"/>
      <c r="AQ155" s="383"/>
    </row>
    <row r="156" spans="1:43" s="384" customFormat="1" ht="18.75" customHeight="1">
      <c r="A156" s="167">
        <v>146</v>
      </c>
      <c r="B156" s="240">
        <f>VLOOKUP(A156,'JUNE (물량흐름)'!$A$13:$C$502,3,0)</f>
        <v>459703</v>
      </c>
      <c r="C156" s="21" t="str">
        <f>VLOOKUP(A156,'JUNE (물량흐름)'!$A$13:$C$502,2,0)</f>
        <v>ANN TAYLOR</v>
      </c>
      <c r="D156" s="212">
        <v>1.5</v>
      </c>
      <c r="E156" s="6">
        <f>VLOOKUP(B156,'Sales profit (스타일 별 매출이익)'!$D$9:$P$491,13,0)</f>
        <v>34012.5</v>
      </c>
      <c r="F156" s="112">
        <f>IFERROR(VLOOKUP(B156,O.B.JUNE!$N$7:$Q$448,2,0),0)</f>
        <v>0</v>
      </c>
      <c r="G156" s="112">
        <f>IFERROR(VLOOKUP(B156,O.B.JUNE!$N$7:$Q$448,3,0),0)</f>
        <v>0</v>
      </c>
      <c r="H156" s="112">
        <f>IFERROR(VLOOKUP(B156,O.B.JUNE!$N$7:$Q$448,4,0),0)</f>
        <v>45</v>
      </c>
      <c r="I156" s="112">
        <f t="shared" si="21"/>
        <v>45</v>
      </c>
      <c r="J156" s="112">
        <f>IFERROR(VLOOKUP(B156,O.B.JUNE!$AA$7:$AG$448,7,0),0)</f>
        <v>469808</v>
      </c>
      <c r="K156" s="112">
        <f>IFERROR(VLOOKUP(B156,O.B.JUNE!$AI$7:$AO$448,7,0),0)</f>
        <v>660133</v>
      </c>
      <c r="L156" s="112">
        <f t="shared" si="22"/>
        <v>1129941</v>
      </c>
      <c r="M156" s="112">
        <f>ROUND(SUMIF('JUNE (물량흐름)'!$C$13:$C$502,'WIP(재공품)'!B156,'JUNE (물량흐름)'!$H$13:$H$502)+SUMIF('JUNE (물량흐름)'!$C$13:$C$502,'WIP(재공품)'!B156,'JUNE (물량흐름)'!$V$13:$V$502),0)</f>
        <v>0</v>
      </c>
      <c r="N156" s="112">
        <f>SUMIF('Direct labour(직접노무비)'!$C$12:$C$503,'WIP(재공품)'!B156,'Direct labour(직접노무비)'!$O$12:$O$503)</f>
        <v>0</v>
      </c>
      <c r="O156" s="112">
        <f>SUMIF('Overhead exp(제조경비)'!$C$12:$C$503,'WIP(재공품)'!B156,'Overhead exp(제조경비)'!$O$12:$O$503)</f>
        <v>0</v>
      </c>
      <c r="P156" s="112">
        <f t="shared" si="23"/>
        <v>0</v>
      </c>
      <c r="Q156" s="112">
        <v>0</v>
      </c>
      <c r="R156" s="112">
        <v>0</v>
      </c>
      <c r="S156" s="112">
        <f>SUMIF('JUNE (물량흐름)'!$C$13:$C$493,'WIP(재공품)'!B156,'JUNE (물량흐름)'!$T$13:$T$493)+SUMIF('JUNE (물량흐름)'!$C$13:$C$493,'WIP(재공품)'!B156,'JUNE (물량흐름)'!$U$13:$U$493)+SUMIF('JUNE (물량흐름)'!$C$13:$C$493,'WIP(재공품)'!B156,'JUNE (물량흐름)'!$V$13:$V$493)-SUMIF('JUNE (물량흐름)'!$C$13:$C$493,'WIP(재공품)'!B156,'JUNE (물량흐름)'!$Y$13:$Y$493)</f>
        <v>0</v>
      </c>
      <c r="T156" s="112">
        <f>SUMIF('JUNE (물량흐름)'!$C$13:$C$502,'WIP(재공품)'!B156,'JUNE (물량흐름)'!$Y$13:$Y$502)</f>
        <v>0</v>
      </c>
      <c r="U156" s="167">
        <f>SUMIF('Direct labour(직접노무비)'!$C$12:$C$503,'WIP(재공품)'!B156,'Direct labour(직접노무비)'!$U$12:$U$503)+SUMIF('Overhead exp(제조경비)'!$C$12:$C$503,'WIP(재공품)'!B156,'Overhead exp(제조경비)'!$U$12:$U$503)</f>
        <v>0</v>
      </c>
      <c r="V156" s="112">
        <f>SUMIF('Direct labour(직접노무비)'!$C$12:$C$503,'WIP(재공품)'!B156,'Direct labour(직접노무비)'!$Q$12:$Q$503)</f>
        <v>0</v>
      </c>
      <c r="W156" s="112">
        <f>SUMIF('Overhead exp(제조경비)'!$C$12:$C$503,'WIP(재공품)'!B156,'Overhead exp(제조경비)'!$Q$12:$Q$503)</f>
        <v>0</v>
      </c>
      <c r="X156" s="112">
        <f t="shared" si="24"/>
        <v>0</v>
      </c>
      <c r="Y156" s="112">
        <f ca="1">ROUND(SUMIF('JUNE (물량흐름)'!$C$13:$C$502,'WIP(재공품)'!B156,'JUNE (물량흐름)'!$N$13:$N$488),0)</f>
        <v>0</v>
      </c>
      <c r="Z156" s="112">
        <f>ROUND(SUMIF('JUNE (물량흐름)'!$C$13:$C$502,'WIP(재공품)'!B156,'JUNE (물량흐름)'!$O$13:$O$502),0)</f>
        <v>0</v>
      </c>
      <c r="AA156" s="112">
        <f>ROUND(SUMIF('JUNE (물량흐름)'!$C$13:$C$502,'WIP(재공품)'!B156,'JUNE (물량흐름)'!$P$13:$P$502),0)</f>
        <v>45</v>
      </c>
      <c r="AB156" s="112">
        <f t="shared" ca="1" si="25"/>
        <v>45</v>
      </c>
      <c r="AC156" s="112">
        <f t="shared" si="26"/>
        <v>1129941</v>
      </c>
      <c r="AD156" s="381">
        <f t="shared" ca="1" si="27"/>
        <v>0</v>
      </c>
      <c r="AE156" s="381">
        <f t="shared" si="28"/>
        <v>0</v>
      </c>
      <c r="AF156" s="382"/>
      <c r="AG156" s="382">
        <v>0</v>
      </c>
      <c r="AH156" s="383">
        <f t="shared" si="29"/>
        <v>1.5</v>
      </c>
      <c r="AJ156" s="383"/>
      <c r="AL156" s="385"/>
      <c r="AM156" s="381"/>
      <c r="AN156" s="382"/>
      <c r="AO156" s="382"/>
      <c r="AP156" s="383"/>
      <c r="AQ156" s="383"/>
    </row>
    <row r="157" spans="1:43" s="384" customFormat="1" ht="18.75" customHeight="1">
      <c r="A157" s="167">
        <v>147</v>
      </c>
      <c r="B157" s="240">
        <f>VLOOKUP(A157,'JUNE (물량흐름)'!$A$13:$C$502,3,0)</f>
        <v>459704</v>
      </c>
      <c r="C157" s="21" t="str">
        <f>VLOOKUP(A157,'JUNE (물량흐름)'!$A$13:$C$502,2,0)</f>
        <v>ANN TAYLOR</v>
      </c>
      <c r="D157" s="212">
        <v>1.85</v>
      </c>
      <c r="E157" s="6">
        <f>VLOOKUP(B157,'Sales profit (스타일 별 매출이익)'!$D$9:$P$491,13,0)</f>
        <v>41948.75</v>
      </c>
      <c r="F157" s="112">
        <f>IFERROR(VLOOKUP(B157,O.B.JUNE!$N$7:$Q$448,2,0),0)</f>
        <v>0</v>
      </c>
      <c r="G157" s="112">
        <f>IFERROR(VLOOKUP(B157,O.B.JUNE!$N$7:$Q$448,3,0),0)</f>
        <v>0</v>
      </c>
      <c r="H157" s="112">
        <f>IFERROR(VLOOKUP(B157,O.B.JUNE!$N$7:$Q$448,4,0),0)</f>
        <v>48</v>
      </c>
      <c r="I157" s="112">
        <f t="shared" si="21"/>
        <v>48</v>
      </c>
      <c r="J157" s="112">
        <f>IFERROR(VLOOKUP(B157,O.B.JUNE!$AA$7:$AG$448,7,0),0)</f>
        <v>575330</v>
      </c>
      <c r="K157" s="112">
        <f>IFERROR(VLOOKUP(B157,O.B.JUNE!$AI$7:$AO$448,7,0),0)</f>
        <v>808453</v>
      </c>
      <c r="L157" s="112">
        <f t="shared" si="22"/>
        <v>1383783</v>
      </c>
      <c r="M157" s="112">
        <f>ROUND(SUMIF('JUNE (물량흐름)'!$C$13:$C$502,'WIP(재공품)'!B157,'JUNE (물량흐름)'!$H$13:$H$502)+SUMIF('JUNE (물량흐름)'!$C$13:$C$502,'WIP(재공품)'!B157,'JUNE (물량흐름)'!$V$13:$V$502),0)</f>
        <v>0</v>
      </c>
      <c r="N157" s="112">
        <f>SUMIF('Direct labour(직접노무비)'!$C$12:$C$503,'WIP(재공품)'!B157,'Direct labour(직접노무비)'!$O$12:$O$503)</f>
        <v>0</v>
      </c>
      <c r="O157" s="112">
        <f>SUMIF('Overhead exp(제조경비)'!$C$12:$C$503,'WIP(재공품)'!B157,'Overhead exp(제조경비)'!$O$12:$O$503)</f>
        <v>0</v>
      </c>
      <c r="P157" s="112">
        <f t="shared" si="23"/>
        <v>0</v>
      </c>
      <c r="Q157" s="112">
        <v>0</v>
      </c>
      <c r="R157" s="112">
        <v>0</v>
      </c>
      <c r="S157" s="112">
        <f>SUMIF('JUNE (물량흐름)'!$C$13:$C$493,'WIP(재공품)'!B157,'JUNE (물량흐름)'!$T$13:$T$493)+SUMIF('JUNE (물량흐름)'!$C$13:$C$493,'WIP(재공품)'!B157,'JUNE (물량흐름)'!$U$13:$U$493)+SUMIF('JUNE (물량흐름)'!$C$13:$C$493,'WIP(재공품)'!B157,'JUNE (물량흐름)'!$V$13:$V$493)-SUMIF('JUNE (물량흐름)'!$C$13:$C$493,'WIP(재공품)'!B157,'JUNE (물량흐름)'!$Y$13:$Y$493)</f>
        <v>0</v>
      </c>
      <c r="T157" s="112">
        <f>SUMIF('JUNE (물량흐름)'!$C$13:$C$502,'WIP(재공품)'!B157,'JUNE (물량흐름)'!$Y$13:$Y$502)</f>
        <v>0</v>
      </c>
      <c r="U157" s="167">
        <f>SUMIF('Direct labour(직접노무비)'!$C$12:$C$503,'WIP(재공품)'!B157,'Direct labour(직접노무비)'!$U$12:$U$503)+SUMIF('Overhead exp(제조경비)'!$C$12:$C$503,'WIP(재공품)'!B157,'Overhead exp(제조경비)'!$U$12:$U$503)</f>
        <v>0</v>
      </c>
      <c r="V157" s="112">
        <f>SUMIF('Direct labour(직접노무비)'!$C$12:$C$503,'WIP(재공품)'!B157,'Direct labour(직접노무비)'!$Q$12:$Q$503)</f>
        <v>0</v>
      </c>
      <c r="W157" s="112">
        <f>SUMIF('Overhead exp(제조경비)'!$C$12:$C$503,'WIP(재공품)'!B157,'Overhead exp(제조경비)'!$Q$12:$Q$503)</f>
        <v>0</v>
      </c>
      <c r="X157" s="112">
        <f t="shared" si="24"/>
        <v>0</v>
      </c>
      <c r="Y157" s="112">
        <f ca="1">ROUND(SUMIF('JUNE (물량흐름)'!$C$13:$C$502,'WIP(재공품)'!B157,'JUNE (물량흐름)'!$N$13:$N$488),0)</f>
        <v>0</v>
      </c>
      <c r="Z157" s="112">
        <f>ROUND(SUMIF('JUNE (물량흐름)'!$C$13:$C$502,'WIP(재공품)'!B157,'JUNE (물량흐름)'!$O$13:$O$502),0)</f>
        <v>0</v>
      </c>
      <c r="AA157" s="112">
        <f>ROUND(SUMIF('JUNE (물량흐름)'!$C$13:$C$502,'WIP(재공품)'!B157,'JUNE (물량흐름)'!$P$13:$P$502),0)</f>
        <v>48</v>
      </c>
      <c r="AB157" s="112">
        <f t="shared" ca="1" si="25"/>
        <v>48</v>
      </c>
      <c r="AC157" s="112">
        <f t="shared" si="26"/>
        <v>1383783</v>
      </c>
      <c r="AD157" s="381">
        <f t="shared" ca="1" si="27"/>
        <v>0</v>
      </c>
      <c r="AE157" s="381">
        <f t="shared" si="28"/>
        <v>0</v>
      </c>
      <c r="AF157" s="382"/>
      <c r="AG157" s="382">
        <v>0</v>
      </c>
      <c r="AH157" s="383">
        <f t="shared" si="29"/>
        <v>1.85</v>
      </c>
      <c r="AJ157" s="383"/>
      <c r="AL157" s="385"/>
      <c r="AM157" s="381"/>
      <c r="AN157" s="382"/>
      <c r="AO157" s="382"/>
      <c r="AP157" s="383"/>
      <c r="AQ157" s="383"/>
    </row>
    <row r="158" spans="1:43" s="384" customFormat="1" ht="18.75" customHeight="1">
      <c r="A158" s="167">
        <v>148</v>
      </c>
      <c r="B158" s="240">
        <f>VLOOKUP(A158,'JUNE (물량흐름)'!$A$13:$C$502,3,0)</f>
        <v>459715</v>
      </c>
      <c r="C158" s="21" t="str">
        <f>VLOOKUP(A158,'JUNE (물량흐름)'!$A$13:$C$502,2,0)</f>
        <v>ANN TAYLOR</v>
      </c>
      <c r="D158" s="212">
        <v>0.35</v>
      </c>
      <c r="E158" s="6">
        <f>VLOOKUP(B158,'Sales profit (스타일 별 매출이익)'!$D$9:$P$491,13,0)</f>
        <v>7936.2499999999991</v>
      </c>
      <c r="F158" s="112">
        <f>IFERROR(VLOOKUP(B158,O.B.JUNE!$N$7:$Q$448,2,0),0)</f>
        <v>0</v>
      </c>
      <c r="G158" s="112">
        <f>IFERROR(VLOOKUP(B158,O.B.JUNE!$N$7:$Q$448,3,0),0)</f>
        <v>0</v>
      </c>
      <c r="H158" s="112">
        <f>IFERROR(VLOOKUP(B158,O.B.JUNE!$N$7:$Q$448,4,0),0)</f>
        <v>31</v>
      </c>
      <c r="I158" s="112">
        <f t="shared" si="21"/>
        <v>31</v>
      </c>
      <c r="J158" s="112">
        <f>IFERROR(VLOOKUP(B158,O.B.JUNE!$AA$7:$AG$448,7,0),0)</f>
        <v>176611</v>
      </c>
      <c r="K158" s="112">
        <f>IFERROR(VLOOKUP(B158,O.B.JUNE!$AI$7:$AO$448,7,0),0)</f>
        <v>248647</v>
      </c>
      <c r="L158" s="112">
        <f t="shared" si="22"/>
        <v>425258</v>
      </c>
      <c r="M158" s="112">
        <f>ROUND(SUMIF('JUNE (물량흐름)'!$C$13:$C$502,'WIP(재공품)'!B158,'JUNE (물량흐름)'!$H$13:$H$502)+SUMIF('JUNE (물량흐름)'!$C$13:$C$502,'WIP(재공품)'!B158,'JUNE (물량흐름)'!$V$13:$V$502),0)</f>
        <v>0</v>
      </c>
      <c r="N158" s="112">
        <f>SUMIF('Direct labour(직접노무비)'!$C$12:$C$503,'WIP(재공품)'!B158,'Direct labour(직접노무비)'!$O$12:$O$503)</f>
        <v>0</v>
      </c>
      <c r="O158" s="112">
        <f>SUMIF('Overhead exp(제조경비)'!$C$12:$C$503,'WIP(재공품)'!B158,'Overhead exp(제조경비)'!$O$12:$O$503)</f>
        <v>0</v>
      </c>
      <c r="P158" s="112">
        <f t="shared" si="23"/>
        <v>0</v>
      </c>
      <c r="Q158" s="112">
        <v>0</v>
      </c>
      <c r="R158" s="112">
        <v>0</v>
      </c>
      <c r="S158" s="112">
        <f>SUMIF('JUNE (물량흐름)'!$C$13:$C$493,'WIP(재공품)'!B158,'JUNE (물량흐름)'!$T$13:$T$493)+SUMIF('JUNE (물량흐름)'!$C$13:$C$493,'WIP(재공품)'!B158,'JUNE (물량흐름)'!$U$13:$U$493)+SUMIF('JUNE (물량흐름)'!$C$13:$C$493,'WIP(재공품)'!B158,'JUNE (물량흐름)'!$V$13:$V$493)-SUMIF('JUNE (물량흐름)'!$C$13:$C$493,'WIP(재공품)'!B158,'JUNE (물량흐름)'!$Y$13:$Y$493)</f>
        <v>0</v>
      </c>
      <c r="T158" s="112">
        <f>SUMIF('JUNE (물량흐름)'!$C$13:$C$502,'WIP(재공품)'!B158,'JUNE (물량흐름)'!$Y$13:$Y$502)</f>
        <v>0</v>
      </c>
      <c r="U158" s="167">
        <f>SUMIF('Direct labour(직접노무비)'!$C$12:$C$503,'WIP(재공품)'!B158,'Direct labour(직접노무비)'!$U$12:$U$503)+SUMIF('Overhead exp(제조경비)'!$C$12:$C$503,'WIP(재공품)'!B158,'Overhead exp(제조경비)'!$U$12:$U$503)</f>
        <v>0</v>
      </c>
      <c r="V158" s="112">
        <f>SUMIF('Direct labour(직접노무비)'!$C$12:$C$503,'WIP(재공품)'!B158,'Direct labour(직접노무비)'!$Q$12:$Q$503)</f>
        <v>0</v>
      </c>
      <c r="W158" s="112">
        <f>SUMIF('Overhead exp(제조경비)'!$C$12:$C$503,'WIP(재공품)'!B158,'Overhead exp(제조경비)'!$Q$12:$Q$503)</f>
        <v>0</v>
      </c>
      <c r="X158" s="112">
        <f t="shared" si="24"/>
        <v>0</v>
      </c>
      <c r="Y158" s="112">
        <f ca="1">ROUND(SUMIF('JUNE (물량흐름)'!$C$13:$C$502,'WIP(재공품)'!B158,'JUNE (물량흐름)'!$N$13:$N$488),0)</f>
        <v>0</v>
      </c>
      <c r="Z158" s="112">
        <f>ROUND(SUMIF('JUNE (물량흐름)'!$C$13:$C$502,'WIP(재공품)'!B158,'JUNE (물량흐름)'!$O$13:$O$502),0)</f>
        <v>0</v>
      </c>
      <c r="AA158" s="112">
        <f>ROUND(SUMIF('JUNE (물량흐름)'!$C$13:$C$502,'WIP(재공품)'!B158,'JUNE (물량흐름)'!$P$13:$P$502),0)</f>
        <v>31</v>
      </c>
      <c r="AB158" s="112">
        <f t="shared" ca="1" si="25"/>
        <v>31</v>
      </c>
      <c r="AC158" s="112">
        <f t="shared" si="26"/>
        <v>425258</v>
      </c>
      <c r="AD158" s="381">
        <f t="shared" ca="1" si="27"/>
        <v>0</v>
      </c>
      <c r="AE158" s="381">
        <f t="shared" si="28"/>
        <v>0</v>
      </c>
      <c r="AF158" s="382"/>
      <c r="AG158" s="382">
        <v>0</v>
      </c>
      <c r="AH158" s="383">
        <f t="shared" si="29"/>
        <v>0.35</v>
      </c>
      <c r="AJ158" s="383"/>
      <c r="AL158" s="385"/>
      <c r="AM158" s="381"/>
      <c r="AN158" s="382"/>
      <c r="AO158" s="382"/>
      <c r="AP158" s="383"/>
      <c r="AQ158" s="383"/>
    </row>
    <row r="159" spans="1:43" s="384" customFormat="1" ht="18.75" customHeight="1">
      <c r="A159" s="167">
        <v>149</v>
      </c>
      <c r="B159" s="240">
        <f>VLOOKUP(A159,'JUNE (물량흐름)'!$A$13:$C$502,3,0)</f>
        <v>460424</v>
      </c>
      <c r="C159" s="21" t="str">
        <f>VLOOKUP(A159,'JUNE (물량흐름)'!$A$13:$C$502,2,0)</f>
        <v>ANN TAYLOR</v>
      </c>
      <c r="D159" s="212">
        <v>0.35</v>
      </c>
      <c r="E159" s="6">
        <f>VLOOKUP(B159,'Sales profit (스타일 별 매출이익)'!$D$9:$P$491,13,0)</f>
        <v>7936.2499999999991</v>
      </c>
      <c r="F159" s="112">
        <f>IFERROR(VLOOKUP(B159,O.B.JUNE!$N$7:$Q$448,2,0),0)</f>
        <v>0</v>
      </c>
      <c r="G159" s="112">
        <f>IFERROR(VLOOKUP(B159,O.B.JUNE!$N$7:$Q$448,3,0),0)</f>
        <v>0</v>
      </c>
      <c r="H159" s="112">
        <f>IFERROR(VLOOKUP(B159,O.B.JUNE!$N$7:$Q$448,4,0),0)</f>
        <v>208</v>
      </c>
      <c r="I159" s="112">
        <f t="shared" si="21"/>
        <v>208</v>
      </c>
      <c r="J159" s="112">
        <f>IFERROR(VLOOKUP(B159,O.B.JUNE!$AA$7:$AG$448,7,0),0)</f>
        <v>3138446</v>
      </c>
      <c r="K159" s="112">
        <f>IFERROR(VLOOKUP(B159,O.B.JUNE!$AI$7:$AO$448,7,0),0)</f>
        <v>4807998</v>
      </c>
      <c r="L159" s="112">
        <f t="shared" si="22"/>
        <v>7946444</v>
      </c>
      <c r="M159" s="112">
        <f>ROUND(SUMIF('JUNE (물량흐름)'!$C$13:$C$502,'WIP(재공품)'!B159,'JUNE (물량흐름)'!$H$13:$H$502)+SUMIF('JUNE (물량흐름)'!$C$13:$C$502,'WIP(재공품)'!B159,'JUNE (물량흐름)'!$V$13:$V$502),0)</f>
        <v>0</v>
      </c>
      <c r="N159" s="112">
        <f>SUMIF('Direct labour(직접노무비)'!$C$12:$C$503,'WIP(재공품)'!B159,'Direct labour(직접노무비)'!$O$12:$O$503)</f>
        <v>0</v>
      </c>
      <c r="O159" s="112">
        <f>SUMIF('Overhead exp(제조경비)'!$C$12:$C$503,'WIP(재공품)'!B159,'Overhead exp(제조경비)'!$O$12:$O$503)</f>
        <v>0</v>
      </c>
      <c r="P159" s="112">
        <f t="shared" si="23"/>
        <v>0</v>
      </c>
      <c r="Q159" s="112">
        <v>0</v>
      </c>
      <c r="R159" s="112">
        <v>0</v>
      </c>
      <c r="S159" s="112">
        <f>SUMIF('JUNE (물량흐름)'!$C$13:$C$493,'WIP(재공품)'!B159,'JUNE (물량흐름)'!$T$13:$T$493)+SUMIF('JUNE (물량흐름)'!$C$13:$C$493,'WIP(재공품)'!B159,'JUNE (물량흐름)'!$U$13:$U$493)+SUMIF('JUNE (물량흐름)'!$C$13:$C$493,'WIP(재공품)'!B159,'JUNE (물량흐름)'!$V$13:$V$493)-SUMIF('JUNE (물량흐름)'!$C$13:$C$493,'WIP(재공품)'!B159,'JUNE (물량흐름)'!$Y$13:$Y$493)</f>
        <v>0</v>
      </c>
      <c r="T159" s="112">
        <f>SUMIF('JUNE (물량흐름)'!$C$13:$C$502,'WIP(재공품)'!B159,'JUNE (물량흐름)'!$Y$13:$Y$502)</f>
        <v>0</v>
      </c>
      <c r="U159" s="167">
        <f>SUMIF('Direct labour(직접노무비)'!$C$12:$C$503,'WIP(재공품)'!B159,'Direct labour(직접노무비)'!$U$12:$U$503)+SUMIF('Overhead exp(제조경비)'!$C$12:$C$503,'WIP(재공품)'!B159,'Overhead exp(제조경비)'!$U$12:$U$503)</f>
        <v>0</v>
      </c>
      <c r="V159" s="112">
        <f>SUMIF('Direct labour(직접노무비)'!$C$12:$C$503,'WIP(재공품)'!B159,'Direct labour(직접노무비)'!$Q$12:$Q$503)</f>
        <v>0</v>
      </c>
      <c r="W159" s="112">
        <f>SUMIF('Overhead exp(제조경비)'!$C$12:$C$503,'WIP(재공품)'!B159,'Overhead exp(제조경비)'!$Q$12:$Q$503)</f>
        <v>0</v>
      </c>
      <c r="X159" s="112">
        <f t="shared" si="24"/>
        <v>0</v>
      </c>
      <c r="Y159" s="112">
        <f ca="1">ROUND(SUMIF('JUNE (물량흐름)'!$C$13:$C$502,'WIP(재공품)'!B159,'JUNE (물량흐름)'!$N$13:$N$488),0)</f>
        <v>0</v>
      </c>
      <c r="Z159" s="112">
        <f>ROUND(SUMIF('JUNE (물량흐름)'!$C$13:$C$502,'WIP(재공품)'!B159,'JUNE (물량흐름)'!$O$13:$O$502),0)</f>
        <v>0</v>
      </c>
      <c r="AA159" s="112">
        <f>ROUND(SUMIF('JUNE (물량흐름)'!$C$13:$C$502,'WIP(재공품)'!B159,'JUNE (물량흐름)'!$P$13:$P$502),0)</f>
        <v>208</v>
      </c>
      <c r="AB159" s="112">
        <f t="shared" ca="1" si="25"/>
        <v>208</v>
      </c>
      <c r="AC159" s="112">
        <f t="shared" si="26"/>
        <v>7946444</v>
      </c>
      <c r="AD159" s="381">
        <f t="shared" ca="1" si="27"/>
        <v>0</v>
      </c>
      <c r="AE159" s="381">
        <f t="shared" si="28"/>
        <v>0</v>
      </c>
      <c r="AF159" s="382"/>
      <c r="AG159" s="382">
        <v>0</v>
      </c>
      <c r="AH159" s="383">
        <f t="shared" si="29"/>
        <v>0.35</v>
      </c>
      <c r="AJ159" s="383"/>
      <c r="AL159" s="385"/>
      <c r="AM159" s="381"/>
      <c r="AN159" s="382"/>
      <c r="AO159" s="382"/>
      <c r="AP159" s="383"/>
      <c r="AQ159" s="383"/>
    </row>
    <row r="160" spans="1:43" s="384" customFormat="1" ht="18.75" customHeight="1">
      <c r="A160" s="167">
        <v>150</v>
      </c>
      <c r="B160" s="240">
        <f>VLOOKUP(A160,'JUNE (물량흐름)'!$A$13:$C$502,3,0)</f>
        <v>460886</v>
      </c>
      <c r="C160" s="21" t="str">
        <f>VLOOKUP(A160,'JUNE (물량흐름)'!$A$13:$C$502,2,0)</f>
        <v>ANN TAYLOR</v>
      </c>
      <c r="D160" s="212">
        <v>0.35</v>
      </c>
      <c r="E160" s="6">
        <f>VLOOKUP(B160,'Sales profit (스타일 별 매출이익)'!$D$9:$P$491,13,0)</f>
        <v>7936.2499999999991</v>
      </c>
      <c r="F160" s="112">
        <f>IFERROR(VLOOKUP(B160,O.B.JUNE!$N$7:$Q$448,2,0),0)</f>
        <v>0</v>
      </c>
      <c r="G160" s="112">
        <f>IFERROR(VLOOKUP(B160,O.B.JUNE!$N$7:$Q$448,3,0),0)</f>
        <v>0</v>
      </c>
      <c r="H160" s="112">
        <f>IFERROR(VLOOKUP(B160,O.B.JUNE!$N$7:$Q$448,4,0),0)</f>
        <v>30</v>
      </c>
      <c r="I160" s="112">
        <f t="shared" si="21"/>
        <v>30</v>
      </c>
      <c r="J160" s="112">
        <f>IFERROR(VLOOKUP(B160,O.B.JUNE!$AA$7:$AG$448,7,0),0)</f>
        <v>372074</v>
      </c>
      <c r="K160" s="112">
        <f>IFERROR(VLOOKUP(B160,O.B.JUNE!$AI$7:$AO$448,7,0),0)</f>
        <v>521697</v>
      </c>
      <c r="L160" s="112">
        <f t="shared" si="22"/>
        <v>893771</v>
      </c>
      <c r="M160" s="112">
        <f>ROUND(SUMIF('JUNE (물량흐름)'!$C$13:$C$502,'WIP(재공품)'!B160,'JUNE (물량흐름)'!$H$13:$H$502)+SUMIF('JUNE (물량흐름)'!$C$13:$C$502,'WIP(재공품)'!B160,'JUNE (물량흐름)'!$V$13:$V$502),0)</f>
        <v>0</v>
      </c>
      <c r="N160" s="112">
        <f>SUMIF('Direct labour(직접노무비)'!$C$12:$C$503,'WIP(재공품)'!B160,'Direct labour(직접노무비)'!$O$12:$O$503)</f>
        <v>0</v>
      </c>
      <c r="O160" s="112">
        <f>SUMIF('Overhead exp(제조경비)'!$C$12:$C$503,'WIP(재공품)'!B160,'Overhead exp(제조경비)'!$O$12:$O$503)</f>
        <v>0</v>
      </c>
      <c r="P160" s="112">
        <f t="shared" si="23"/>
        <v>0</v>
      </c>
      <c r="Q160" s="112">
        <v>0</v>
      </c>
      <c r="R160" s="112">
        <v>0</v>
      </c>
      <c r="S160" s="112">
        <f>SUMIF('JUNE (물량흐름)'!$C$13:$C$493,'WIP(재공품)'!B160,'JUNE (물량흐름)'!$T$13:$T$493)+SUMIF('JUNE (물량흐름)'!$C$13:$C$493,'WIP(재공품)'!B160,'JUNE (물량흐름)'!$U$13:$U$493)+SUMIF('JUNE (물량흐름)'!$C$13:$C$493,'WIP(재공품)'!B160,'JUNE (물량흐름)'!$V$13:$V$493)-SUMIF('JUNE (물량흐름)'!$C$13:$C$493,'WIP(재공품)'!B160,'JUNE (물량흐름)'!$Y$13:$Y$493)</f>
        <v>0</v>
      </c>
      <c r="T160" s="112">
        <f>SUMIF('JUNE (물량흐름)'!$C$13:$C$502,'WIP(재공품)'!B160,'JUNE (물량흐름)'!$Y$13:$Y$502)</f>
        <v>0</v>
      </c>
      <c r="U160" s="167">
        <f>SUMIF('Direct labour(직접노무비)'!$C$12:$C$503,'WIP(재공품)'!B160,'Direct labour(직접노무비)'!$U$12:$U$503)+SUMIF('Overhead exp(제조경비)'!$C$12:$C$503,'WIP(재공품)'!B160,'Overhead exp(제조경비)'!$U$12:$U$503)</f>
        <v>0</v>
      </c>
      <c r="V160" s="112">
        <f>SUMIF('Direct labour(직접노무비)'!$C$12:$C$503,'WIP(재공품)'!B160,'Direct labour(직접노무비)'!$Q$12:$Q$503)</f>
        <v>0</v>
      </c>
      <c r="W160" s="112">
        <f>SUMIF('Overhead exp(제조경비)'!$C$12:$C$503,'WIP(재공품)'!B160,'Overhead exp(제조경비)'!$Q$12:$Q$503)</f>
        <v>0</v>
      </c>
      <c r="X160" s="112">
        <f t="shared" si="24"/>
        <v>0</v>
      </c>
      <c r="Y160" s="112">
        <f ca="1">ROUND(SUMIF('JUNE (물량흐름)'!$C$13:$C$502,'WIP(재공품)'!B160,'JUNE (물량흐름)'!$N$13:$N$488),0)</f>
        <v>0</v>
      </c>
      <c r="Z160" s="112">
        <f>ROUND(SUMIF('JUNE (물량흐름)'!$C$13:$C$502,'WIP(재공품)'!B160,'JUNE (물량흐름)'!$O$13:$O$502),0)</f>
        <v>0</v>
      </c>
      <c r="AA160" s="112">
        <f>ROUND(SUMIF('JUNE (물량흐름)'!$C$13:$C$502,'WIP(재공품)'!B160,'JUNE (물량흐름)'!$P$13:$P$502),0)</f>
        <v>30</v>
      </c>
      <c r="AB160" s="112">
        <f t="shared" ca="1" si="25"/>
        <v>30</v>
      </c>
      <c r="AC160" s="112">
        <f t="shared" si="26"/>
        <v>893771</v>
      </c>
      <c r="AD160" s="381">
        <f t="shared" ca="1" si="27"/>
        <v>0</v>
      </c>
      <c r="AE160" s="381">
        <f t="shared" si="28"/>
        <v>0</v>
      </c>
      <c r="AF160" s="382"/>
      <c r="AG160" s="382">
        <v>0.3</v>
      </c>
      <c r="AH160" s="383">
        <f t="shared" si="29"/>
        <v>4.9999999999999989E-2</v>
      </c>
      <c r="AJ160" s="383"/>
      <c r="AL160" s="385"/>
      <c r="AM160" s="381"/>
      <c r="AN160" s="382"/>
      <c r="AO160" s="382"/>
      <c r="AP160" s="383"/>
      <c r="AQ160" s="383"/>
    </row>
    <row r="161" spans="1:43" s="384" customFormat="1" ht="18.75" customHeight="1">
      <c r="A161" s="167">
        <v>151</v>
      </c>
      <c r="B161" s="240">
        <f>VLOOKUP(A161,'JUNE (물량흐름)'!$A$13:$C$502,3,0)</f>
        <v>100014612</v>
      </c>
      <c r="C161" s="21" t="str">
        <f>VLOOKUP(A161,'JUNE (물량흐름)'!$A$13:$C$502,2,0)</f>
        <v>INC</v>
      </c>
      <c r="D161" s="212">
        <v>0.36</v>
      </c>
      <c r="E161" s="6">
        <f>VLOOKUP(B161,'Sales profit (스타일 별 매출이익)'!$D$9:$P$491,13,0)</f>
        <v>8163</v>
      </c>
      <c r="F161" s="112">
        <f>IFERROR(VLOOKUP(B161,O.B.JUNE!$N$7:$Q$448,2,0),0)</f>
        <v>0</v>
      </c>
      <c r="G161" s="112">
        <f>IFERROR(VLOOKUP(B161,O.B.JUNE!$N$7:$Q$448,3,0),0)</f>
        <v>0</v>
      </c>
      <c r="H161" s="112">
        <f>IFERROR(VLOOKUP(B161,O.B.JUNE!$N$7:$Q$448,4,0),0)</f>
        <v>223</v>
      </c>
      <c r="I161" s="112">
        <f t="shared" si="21"/>
        <v>223</v>
      </c>
      <c r="J161" s="112">
        <f>IFERROR(VLOOKUP(B161,O.B.JUNE!$AA$7:$AG$448,7,0),0)</f>
        <v>1765302</v>
      </c>
      <c r="K161" s="112">
        <f>IFERROR(VLOOKUP(B161,O.B.JUNE!$AI$7:$AO$448,7,0),0)</f>
        <v>2524110</v>
      </c>
      <c r="L161" s="112">
        <f t="shared" si="22"/>
        <v>4289412</v>
      </c>
      <c r="M161" s="112">
        <f>ROUND(SUMIF('JUNE (물량흐름)'!$C$13:$C$502,'WIP(재공품)'!B161,'JUNE (물량흐름)'!$H$13:$H$502)+SUMIF('JUNE (물량흐름)'!$C$13:$C$502,'WIP(재공품)'!B161,'JUNE (물량흐름)'!$V$13:$V$502),0)</f>
        <v>0</v>
      </c>
      <c r="N161" s="112">
        <f>SUMIF('Direct labour(직접노무비)'!$C$12:$C$503,'WIP(재공품)'!B161,'Direct labour(직접노무비)'!$O$12:$O$503)</f>
        <v>0</v>
      </c>
      <c r="O161" s="112">
        <f>SUMIF('Overhead exp(제조경비)'!$C$12:$C$503,'WIP(재공품)'!B161,'Overhead exp(제조경비)'!$O$12:$O$503)</f>
        <v>0</v>
      </c>
      <c r="P161" s="112">
        <f t="shared" si="23"/>
        <v>0</v>
      </c>
      <c r="Q161" s="112">
        <v>0</v>
      </c>
      <c r="R161" s="112">
        <v>0</v>
      </c>
      <c r="S161" s="112">
        <f>SUMIF('JUNE (물량흐름)'!$C$13:$C$493,'WIP(재공품)'!B161,'JUNE (물량흐름)'!$T$13:$T$493)+SUMIF('JUNE (물량흐름)'!$C$13:$C$493,'WIP(재공품)'!B161,'JUNE (물량흐름)'!$U$13:$U$493)+SUMIF('JUNE (물량흐름)'!$C$13:$C$493,'WIP(재공품)'!B161,'JUNE (물량흐름)'!$V$13:$V$493)-SUMIF('JUNE (물량흐름)'!$C$13:$C$493,'WIP(재공품)'!B161,'JUNE (물량흐름)'!$Y$13:$Y$493)</f>
        <v>223</v>
      </c>
      <c r="T161" s="112">
        <f>SUMIF('JUNE (물량흐름)'!$C$13:$C$502,'WIP(재공품)'!B161,'JUNE (물량흐름)'!$Y$13:$Y$502)</f>
        <v>0</v>
      </c>
      <c r="U161" s="167">
        <f>SUMIF('Direct labour(직접노무비)'!$C$12:$C$503,'WIP(재공품)'!B161,'Direct labour(직접노무비)'!$U$12:$U$503)+SUMIF('Overhead exp(제조경비)'!$C$12:$C$503,'WIP(재공품)'!B161,'Overhead exp(제조경비)'!$U$12:$U$503)</f>
        <v>0</v>
      </c>
      <c r="V161" s="112">
        <f>SUMIF('Direct labour(직접노무비)'!$C$12:$C$503,'WIP(재공품)'!B161,'Direct labour(직접노무비)'!$Q$12:$Q$503)</f>
        <v>1765302</v>
      </c>
      <c r="W161" s="112">
        <f>SUMIF('Overhead exp(제조경비)'!$C$12:$C$503,'WIP(재공품)'!B161,'Overhead exp(제조경비)'!$Q$12:$Q$503)</f>
        <v>2524110</v>
      </c>
      <c r="X161" s="112">
        <f t="shared" si="24"/>
        <v>4289412</v>
      </c>
      <c r="Y161" s="112">
        <f ca="1">ROUND(SUMIF('JUNE (물량흐름)'!$C$13:$C$502,'WIP(재공품)'!B161,'JUNE (물량흐름)'!$N$13:$N$488),0)</f>
        <v>0</v>
      </c>
      <c r="Z161" s="112">
        <f>ROUND(SUMIF('JUNE (물량흐름)'!$C$13:$C$502,'WIP(재공품)'!B161,'JUNE (물량흐름)'!$O$13:$O$502),0)</f>
        <v>0</v>
      </c>
      <c r="AA161" s="112">
        <f>ROUND(SUMIF('JUNE (물량흐름)'!$C$13:$C$502,'WIP(재공품)'!B161,'JUNE (물량흐름)'!$P$13:$P$502),0)</f>
        <v>0</v>
      </c>
      <c r="AB161" s="112">
        <f t="shared" ca="1" si="25"/>
        <v>0</v>
      </c>
      <c r="AC161" s="112">
        <f t="shared" si="26"/>
        <v>0</v>
      </c>
      <c r="AD161" s="381">
        <f t="shared" ca="1" si="27"/>
        <v>0</v>
      </c>
      <c r="AE161" s="381">
        <f t="shared" si="28"/>
        <v>0</v>
      </c>
      <c r="AF161" s="382"/>
      <c r="AG161" s="382">
        <v>0</v>
      </c>
      <c r="AH161" s="383">
        <f t="shared" si="29"/>
        <v>0.36</v>
      </c>
      <c r="AJ161" s="383"/>
      <c r="AL161" s="385"/>
      <c r="AM161" s="381"/>
      <c r="AN161" s="382"/>
      <c r="AO161" s="382"/>
      <c r="AP161" s="383"/>
      <c r="AQ161" s="383"/>
    </row>
    <row r="162" spans="1:43" s="384" customFormat="1" ht="18.75" customHeight="1">
      <c r="A162" s="167">
        <v>152</v>
      </c>
      <c r="B162" s="240">
        <f>VLOOKUP(A162,'JUNE (물량흐름)'!$A$13:$C$502,3,0)</f>
        <v>100014882</v>
      </c>
      <c r="C162" s="21" t="str">
        <f>VLOOKUP(A162,'JUNE (물량흐름)'!$A$13:$C$502,2,0)</f>
        <v>INC</v>
      </c>
      <c r="D162" s="212">
        <v>3.15</v>
      </c>
      <c r="E162" s="6">
        <f>VLOOKUP(B162,'Sales profit (스타일 별 매출이익)'!$D$9:$P$491,13,0)</f>
        <v>71426.25</v>
      </c>
      <c r="F162" s="112">
        <f>IFERROR(VLOOKUP(B162,O.B.JUNE!$N$7:$Q$448,2,0),0)</f>
        <v>0</v>
      </c>
      <c r="G162" s="112">
        <f>IFERROR(VLOOKUP(B162,O.B.JUNE!$N$7:$Q$448,3,0),0)</f>
        <v>0</v>
      </c>
      <c r="H162" s="112">
        <f>IFERROR(VLOOKUP(B162,O.B.JUNE!$N$7:$Q$448,4,0),0)</f>
        <v>25</v>
      </c>
      <c r="I162" s="112">
        <f t="shared" si="21"/>
        <v>25</v>
      </c>
      <c r="J162" s="112">
        <f>IFERROR(VLOOKUP(B162,O.B.JUNE!$AA$7:$AG$448,7,0),0)</f>
        <v>650729</v>
      </c>
      <c r="K162" s="112">
        <f>IFERROR(VLOOKUP(B162,O.B.JUNE!$AI$7:$AO$448,7,0),0)</f>
        <v>996895</v>
      </c>
      <c r="L162" s="112">
        <f t="shared" si="22"/>
        <v>1647624</v>
      </c>
      <c r="M162" s="112">
        <f>ROUND(SUMIF('JUNE (물량흐름)'!$C$13:$C$502,'WIP(재공품)'!B162,'JUNE (물량흐름)'!$H$13:$H$502)+SUMIF('JUNE (물량흐름)'!$C$13:$C$502,'WIP(재공품)'!B162,'JUNE (물량흐름)'!$V$13:$V$502),0)</f>
        <v>0</v>
      </c>
      <c r="N162" s="112">
        <f>SUMIF('Direct labour(직접노무비)'!$C$12:$C$503,'WIP(재공품)'!B162,'Direct labour(직접노무비)'!$O$12:$O$503)</f>
        <v>0</v>
      </c>
      <c r="O162" s="112">
        <f>SUMIF('Overhead exp(제조경비)'!$C$12:$C$503,'WIP(재공품)'!B162,'Overhead exp(제조경비)'!$O$12:$O$503)</f>
        <v>0</v>
      </c>
      <c r="P162" s="112">
        <f t="shared" si="23"/>
        <v>0</v>
      </c>
      <c r="Q162" s="112">
        <v>0</v>
      </c>
      <c r="R162" s="112">
        <v>0</v>
      </c>
      <c r="S162" s="112">
        <f>SUMIF('JUNE (물량흐름)'!$C$13:$C$493,'WIP(재공품)'!B162,'JUNE (물량흐름)'!$T$13:$T$493)+SUMIF('JUNE (물량흐름)'!$C$13:$C$493,'WIP(재공품)'!B162,'JUNE (물량흐름)'!$U$13:$U$493)+SUMIF('JUNE (물량흐름)'!$C$13:$C$493,'WIP(재공품)'!B162,'JUNE (물량흐름)'!$V$13:$V$493)-SUMIF('JUNE (물량흐름)'!$C$13:$C$493,'WIP(재공품)'!B162,'JUNE (물량흐름)'!$Y$13:$Y$493)</f>
        <v>25</v>
      </c>
      <c r="T162" s="112">
        <f>SUMIF('JUNE (물량흐름)'!$C$13:$C$502,'WIP(재공품)'!B162,'JUNE (물량흐름)'!$Y$13:$Y$502)</f>
        <v>0</v>
      </c>
      <c r="U162" s="167">
        <f>SUMIF('Direct labour(직접노무비)'!$C$12:$C$503,'WIP(재공품)'!B162,'Direct labour(직접노무비)'!$U$12:$U$503)+SUMIF('Overhead exp(제조경비)'!$C$12:$C$503,'WIP(재공품)'!B162,'Overhead exp(제조경비)'!$U$12:$U$503)</f>
        <v>0</v>
      </c>
      <c r="V162" s="112">
        <f>SUMIF('Direct labour(직접노무비)'!$C$12:$C$503,'WIP(재공품)'!B162,'Direct labour(직접노무비)'!$Q$12:$Q$503)</f>
        <v>650729</v>
      </c>
      <c r="W162" s="112">
        <f>SUMIF('Overhead exp(제조경비)'!$C$12:$C$503,'WIP(재공품)'!B162,'Overhead exp(제조경비)'!$Q$12:$Q$503)</f>
        <v>996895</v>
      </c>
      <c r="X162" s="112">
        <f t="shared" si="24"/>
        <v>1647624</v>
      </c>
      <c r="Y162" s="112">
        <f ca="1">ROUND(SUMIF('JUNE (물량흐름)'!$C$13:$C$502,'WIP(재공품)'!B162,'JUNE (물량흐름)'!$N$13:$N$488),0)</f>
        <v>0</v>
      </c>
      <c r="Z162" s="112">
        <f>ROUND(SUMIF('JUNE (물량흐름)'!$C$13:$C$502,'WIP(재공품)'!B162,'JUNE (물량흐름)'!$O$13:$O$502),0)</f>
        <v>0</v>
      </c>
      <c r="AA162" s="112">
        <f>ROUND(SUMIF('JUNE (물량흐름)'!$C$13:$C$502,'WIP(재공품)'!B162,'JUNE (물량흐름)'!$P$13:$P$502),0)</f>
        <v>0</v>
      </c>
      <c r="AB162" s="112">
        <f t="shared" ca="1" si="25"/>
        <v>0</v>
      </c>
      <c r="AC162" s="112">
        <f t="shared" si="26"/>
        <v>0</v>
      </c>
      <c r="AD162" s="381">
        <f t="shared" ca="1" si="27"/>
        <v>0</v>
      </c>
      <c r="AE162" s="381">
        <f t="shared" si="28"/>
        <v>0</v>
      </c>
      <c r="AF162" s="382"/>
      <c r="AG162" s="382">
        <v>0</v>
      </c>
      <c r="AH162" s="383">
        <f t="shared" si="29"/>
        <v>3.15</v>
      </c>
      <c r="AJ162" s="383"/>
      <c r="AL162" s="385"/>
      <c r="AM162" s="381"/>
      <c r="AN162" s="382"/>
      <c r="AO162" s="382"/>
      <c r="AP162" s="383"/>
      <c r="AQ162" s="383"/>
    </row>
    <row r="163" spans="1:43" s="384" customFormat="1" ht="18.75" customHeight="1">
      <c r="A163" s="167">
        <v>153</v>
      </c>
      <c r="B163" s="240" t="str">
        <f>VLOOKUP(A163,'JUNE (물량흐름)'!$A$13:$C$502,3,0)</f>
        <v>CN380880MI</v>
      </c>
      <c r="C163" s="21" t="str">
        <f>VLOOKUP(A163,'JUNE (물량흐름)'!$A$13:$C$502,2,0)</f>
        <v>NORDSTROM</v>
      </c>
      <c r="D163" s="212">
        <v>1.35</v>
      </c>
      <c r="E163" s="6">
        <f>VLOOKUP(B163,'Sales profit (스타일 별 매출이익)'!$D$9:$P$491,13,0)</f>
        <v>30611.250000000004</v>
      </c>
      <c r="F163" s="112">
        <f>IFERROR(VLOOKUP(B163,O.B.JUNE!$N$7:$Q$448,2,0),0)</f>
        <v>0</v>
      </c>
      <c r="G163" s="112">
        <f>IFERROR(VLOOKUP(B163,O.B.JUNE!$N$7:$Q$448,3,0),0)</f>
        <v>0</v>
      </c>
      <c r="H163" s="112">
        <f>IFERROR(VLOOKUP(B163,O.B.JUNE!$N$7:$Q$448,4,0),0)</f>
        <v>362</v>
      </c>
      <c r="I163" s="112">
        <f t="shared" si="21"/>
        <v>362</v>
      </c>
      <c r="J163" s="112">
        <f>IFERROR(VLOOKUP(B163,O.B.JUNE!$AA$7:$AG$448,7,0),0)</f>
        <v>1581224</v>
      </c>
      <c r="K163" s="112">
        <f>IFERROR(VLOOKUP(B163,O.B.JUNE!$AI$7:$AO$448,7,0),0)</f>
        <v>2422384</v>
      </c>
      <c r="L163" s="112">
        <f t="shared" si="22"/>
        <v>4003608</v>
      </c>
      <c r="M163" s="112">
        <f>ROUND(SUMIF('JUNE (물량흐름)'!$C$13:$C$502,'WIP(재공품)'!B163,'JUNE (물량흐름)'!$H$13:$H$502)+SUMIF('JUNE (물량흐름)'!$C$13:$C$502,'WIP(재공품)'!B163,'JUNE (물량흐름)'!$V$13:$V$502),0)</f>
        <v>0</v>
      </c>
      <c r="N163" s="112">
        <f>SUMIF('Direct labour(직접노무비)'!$C$12:$C$503,'WIP(재공품)'!B163,'Direct labour(직접노무비)'!$O$12:$O$503)</f>
        <v>0</v>
      </c>
      <c r="O163" s="112">
        <f>SUMIF('Overhead exp(제조경비)'!$C$12:$C$503,'WIP(재공품)'!B163,'Overhead exp(제조경비)'!$O$12:$O$503)</f>
        <v>0</v>
      </c>
      <c r="P163" s="112">
        <f t="shared" si="23"/>
        <v>0</v>
      </c>
      <c r="Q163" s="112">
        <v>0</v>
      </c>
      <c r="R163" s="112">
        <v>0</v>
      </c>
      <c r="S163" s="112">
        <f>SUMIF('JUNE (물량흐름)'!$C$13:$C$493,'WIP(재공품)'!B163,'JUNE (물량흐름)'!$T$13:$T$493)+SUMIF('JUNE (물량흐름)'!$C$13:$C$493,'WIP(재공품)'!B163,'JUNE (물량흐름)'!$U$13:$U$493)+SUMIF('JUNE (물량흐름)'!$C$13:$C$493,'WIP(재공품)'!B163,'JUNE (물량흐름)'!$V$13:$V$493)-SUMIF('JUNE (물량흐름)'!$C$13:$C$493,'WIP(재공품)'!B163,'JUNE (물량흐름)'!$Y$13:$Y$493)</f>
        <v>362</v>
      </c>
      <c r="T163" s="112">
        <f>SUMIF('JUNE (물량흐름)'!$C$13:$C$502,'WIP(재공품)'!B163,'JUNE (물량흐름)'!$Y$13:$Y$502)</f>
        <v>0</v>
      </c>
      <c r="U163" s="167">
        <f>SUMIF('Direct labour(직접노무비)'!$C$12:$C$503,'WIP(재공품)'!B163,'Direct labour(직접노무비)'!$U$12:$U$503)+SUMIF('Overhead exp(제조경비)'!$C$12:$C$503,'WIP(재공품)'!B163,'Overhead exp(제조경비)'!$U$12:$U$503)</f>
        <v>0</v>
      </c>
      <c r="V163" s="112">
        <f>SUMIF('Direct labour(직접노무비)'!$C$12:$C$503,'WIP(재공품)'!B163,'Direct labour(직접노무비)'!$Q$12:$Q$503)</f>
        <v>1581224</v>
      </c>
      <c r="W163" s="112">
        <f>SUMIF('Overhead exp(제조경비)'!$C$12:$C$503,'WIP(재공품)'!B163,'Overhead exp(제조경비)'!$Q$12:$Q$503)</f>
        <v>2422384</v>
      </c>
      <c r="X163" s="112">
        <f t="shared" si="24"/>
        <v>4003608</v>
      </c>
      <c r="Y163" s="112">
        <f ca="1">ROUND(SUMIF('JUNE (물량흐름)'!$C$13:$C$502,'WIP(재공품)'!B163,'JUNE (물량흐름)'!$N$13:$N$488),0)</f>
        <v>0</v>
      </c>
      <c r="Z163" s="112">
        <f>ROUND(SUMIF('JUNE (물량흐름)'!$C$13:$C$502,'WIP(재공품)'!B163,'JUNE (물량흐름)'!$O$13:$O$502),0)</f>
        <v>0</v>
      </c>
      <c r="AA163" s="112">
        <f>ROUND(SUMIF('JUNE (물량흐름)'!$C$13:$C$502,'WIP(재공품)'!B163,'JUNE (물량흐름)'!$P$13:$P$502),0)</f>
        <v>0</v>
      </c>
      <c r="AB163" s="112">
        <f t="shared" ca="1" si="25"/>
        <v>0</v>
      </c>
      <c r="AC163" s="112">
        <f t="shared" si="26"/>
        <v>0</v>
      </c>
      <c r="AD163" s="381">
        <f t="shared" ca="1" si="27"/>
        <v>0</v>
      </c>
      <c r="AE163" s="381">
        <f t="shared" si="28"/>
        <v>0</v>
      </c>
      <c r="AF163" s="382"/>
      <c r="AG163" s="382">
        <v>0</v>
      </c>
      <c r="AH163" s="383">
        <f t="shared" si="29"/>
        <v>1.35</v>
      </c>
      <c r="AJ163" s="383"/>
      <c r="AL163" s="385"/>
      <c r="AM163" s="381"/>
      <c r="AN163" s="382"/>
      <c r="AO163" s="382"/>
      <c r="AP163" s="383"/>
      <c r="AQ163" s="383"/>
    </row>
    <row r="164" spans="1:43" s="384" customFormat="1" ht="18.75" customHeight="1">
      <c r="A164" s="167">
        <v>154</v>
      </c>
      <c r="B164" s="240" t="str">
        <f>VLOOKUP(A164,'JUNE (물량흐름)'!$A$13:$C$502,3,0)</f>
        <v>RK381912MI</v>
      </c>
      <c r="C164" s="21" t="str">
        <f>VLOOKUP(A164,'JUNE (물량흐름)'!$A$13:$C$502,2,0)</f>
        <v>NORDSTROM</v>
      </c>
      <c r="D164" s="212">
        <v>1.35</v>
      </c>
      <c r="E164" s="6">
        <f>VLOOKUP(B164,'Sales profit (스타일 별 매출이익)'!$D$9:$P$491,13,0)</f>
        <v>30611.250000000004</v>
      </c>
      <c r="F164" s="112">
        <f>IFERROR(VLOOKUP(B164,O.B.JUNE!$N$7:$Q$448,2,0),0)</f>
        <v>0</v>
      </c>
      <c r="G164" s="112">
        <f>IFERROR(VLOOKUP(B164,O.B.JUNE!$N$7:$Q$448,3,0),0)</f>
        <v>0</v>
      </c>
      <c r="H164" s="112">
        <f>IFERROR(VLOOKUP(B164,O.B.JUNE!$N$7:$Q$448,4,0),0)</f>
        <v>213</v>
      </c>
      <c r="I164" s="112">
        <f t="shared" si="21"/>
        <v>213</v>
      </c>
      <c r="J164" s="112">
        <f>IFERROR(VLOOKUP(B164,O.B.JUNE!$AA$7:$AG$448,7,0),0)</f>
        <v>887367</v>
      </c>
      <c r="K164" s="112">
        <f>IFERROR(VLOOKUP(B164,O.B.JUNE!$AI$7:$AO$448,7,0),0)</f>
        <v>1231649</v>
      </c>
      <c r="L164" s="112">
        <f t="shared" si="22"/>
        <v>2119016</v>
      </c>
      <c r="M164" s="112">
        <f>ROUND(SUMIF('JUNE (물량흐름)'!$C$13:$C$502,'WIP(재공품)'!B164,'JUNE (물량흐름)'!$H$13:$H$502)+SUMIF('JUNE (물량흐름)'!$C$13:$C$502,'WIP(재공품)'!B164,'JUNE (물량흐름)'!$V$13:$V$502),0)</f>
        <v>0</v>
      </c>
      <c r="N164" s="112">
        <f>SUMIF('Direct labour(직접노무비)'!$C$12:$C$503,'WIP(재공품)'!B164,'Direct labour(직접노무비)'!$O$12:$O$503)</f>
        <v>0</v>
      </c>
      <c r="O164" s="112">
        <f>SUMIF('Overhead exp(제조경비)'!$C$12:$C$503,'WIP(재공품)'!B164,'Overhead exp(제조경비)'!$O$12:$O$503)</f>
        <v>0</v>
      </c>
      <c r="P164" s="112">
        <f t="shared" si="23"/>
        <v>0</v>
      </c>
      <c r="Q164" s="112">
        <v>0</v>
      </c>
      <c r="R164" s="112">
        <v>0</v>
      </c>
      <c r="S164" s="112">
        <f>SUMIF('JUNE (물량흐름)'!$C$13:$C$493,'WIP(재공품)'!B164,'JUNE (물량흐름)'!$T$13:$T$493)+SUMIF('JUNE (물량흐름)'!$C$13:$C$493,'WIP(재공품)'!B164,'JUNE (물량흐름)'!$U$13:$U$493)+SUMIF('JUNE (물량흐름)'!$C$13:$C$493,'WIP(재공품)'!B164,'JUNE (물량흐름)'!$V$13:$V$493)-SUMIF('JUNE (물량흐름)'!$C$13:$C$493,'WIP(재공품)'!B164,'JUNE (물량흐름)'!$Y$13:$Y$493)</f>
        <v>213</v>
      </c>
      <c r="T164" s="112">
        <f>SUMIF('JUNE (물량흐름)'!$C$13:$C$502,'WIP(재공품)'!B164,'JUNE (물량흐름)'!$Y$13:$Y$502)</f>
        <v>0</v>
      </c>
      <c r="U164" s="167">
        <f>SUMIF('Direct labour(직접노무비)'!$C$12:$C$503,'WIP(재공품)'!B164,'Direct labour(직접노무비)'!$U$12:$U$503)+SUMIF('Overhead exp(제조경비)'!$C$12:$C$503,'WIP(재공품)'!B164,'Overhead exp(제조경비)'!$U$12:$U$503)</f>
        <v>0</v>
      </c>
      <c r="V164" s="112">
        <f>SUMIF('Direct labour(직접노무비)'!$C$12:$C$503,'WIP(재공품)'!B164,'Direct labour(직접노무비)'!$Q$12:$Q$503)</f>
        <v>887367</v>
      </c>
      <c r="W164" s="112">
        <f>SUMIF('Overhead exp(제조경비)'!$C$12:$C$503,'WIP(재공품)'!B164,'Overhead exp(제조경비)'!$Q$12:$Q$503)</f>
        <v>1231649</v>
      </c>
      <c r="X164" s="112">
        <f t="shared" si="24"/>
        <v>2119016</v>
      </c>
      <c r="Y164" s="112">
        <f ca="1">ROUND(SUMIF('JUNE (물량흐름)'!$C$13:$C$502,'WIP(재공품)'!B164,'JUNE (물량흐름)'!$N$13:$N$488),0)</f>
        <v>0</v>
      </c>
      <c r="Z164" s="112">
        <f>ROUND(SUMIF('JUNE (물량흐름)'!$C$13:$C$502,'WIP(재공품)'!B164,'JUNE (물량흐름)'!$O$13:$O$502),0)</f>
        <v>0</v>
      </c>
      <c r="AA164" s="112">
        <f>ROUND(SUMIF('JUNE (물량흐름)'!$C$13:$C$502,'WIP(재공품)'!B164,'JUNE (물량흐름)'!$P$13:$P$502),0)</f>
        <v>0</v>
      </c>
      <c r="AB164" s="112">
        <f t="shared" ca="1" si="25"/>
        <v>0</v>
      </c>
      <c r="AC164" s="112">
        <f t="shared" si="26"/>
        <v>0</v>
      </c>
      <c r="AD164" s="381">
        <f t="shared" ca="1" si="27"/>
        <v>0</v>
      </c>
      <c r="AE164" s="381">
        <f t="shared" si="28"/>
        <v>0</v>
      </c>
      <c r="AF164" s="382"/>
      <c r="AG164" s="382">
        <v>0</v>
      </c>
      <c r="AH164" s="383">
        <f t="shared" si="29"/>
        <v>1.35</v>
      </c>
      <c r="AJ164" s="383"/>
      <c r="AL164" s="385"/>
      <c r="AM164" s="381"/>
      <c r="AN164" s="382"/>
      <c r="AO164" s="382"/>
      <c r="AP164" s="383"/>
      <c r="AQ164" s="383"/>
    </row>
    <row r="165" spans="1:43" s="384" customFormat="1" ht="18.75" customHeight="1">
      <c r="A165" s="167">
        <v>155</v>
      </c>
      <c r="B165" s="240">
        <f>VLOOKUP(A165,'JUNE (물량흐름)'!$A$13:$C$502,3,0)</f>
        <v>100008562</v>
      </c>
      <c r="C165" s="21" t="str">
        <f>VLOOKUP(A165,'JUNE (물량흐름)'!$A$13:$C$502,2,0)</f>
        <v>ALFANI</v>
      </c>
      <c r="D165" s="212">
        <v>0.35</v>
      </c>
      <c r="E165" s="6">
        <f>VLOOKUP(B165,'Sales profit (스타일 별 매출이익)'!$D$9:$P$491,13,0)</f>
        <v>7936.2499999999991</v>
      </c>
      <c r="F165" s="112">
        <f>IFERROR(VLOOKUP(B165,O.B.JUNE!$N$7:$Q$448,2,0),0)</f>
        <v>0</v>
      </c>
      <c r="G165" s="112">
        <f>IFERROR(VLOOKUP(B165,O.B.JUNE!$N$7:$Q$448,3,0),0)</f>
        <v>0</v>
      </c>
      <c r="H165" s="112">
        <f>IFERROR(VLOOKUP(B165,O.B.JUNE!$N$7:$Q$448,4,0),0)</f>
        <v>55</v>
      </c>
      <c r="I165" s="112">
        <f t="shared" si="21"/>
        <v>55</v>
      </c>
      <c r="J165" s="112">
        <f>IFERROR(VLOOKUP(B165,O.B.JUNE!$AA$7:$AG$448,7,0),0)</f>
        <v>193134</v>
      </c>
      <c r="K165" s="112">
        <f>IFERROR(VLOOKUP(B165,O.B.JUNE!$AI$7:$AO$448,7,0),0)</f>
        <v>266367</v>
      </c>
      <c r="L165" s="112">
        <f t="shared" si="22"/>
        <v>459501</v>
      </c>
      <c r="M165" s="112">
        <f>ROUND(SUMIF('JUNE (물량흐름)'!$C$13:$C$502,'WIP(재공품)'!B165,'JUNE (물량흐름)'!$H$13:$H$502)+SUMIF('JUNE (물량흐름)'!$C$13:$C$502,'WIP(재공품)'!B165,'JUNE (물량흐름)'!$V$13:$V$502),0)</f>
        <v>0</v>
      </c>
      <c r="N165" s="112">
        <f>SUMIF('Direct labour(직접노무비)'!$C$12:$C$503,'WIP(재공품)'!B165,'Direct labour(직접노무비)'!$O$12:$O$503)</f>
        <v>0</v>
      </c>
      <c r="O165" s="112">
        <f>SUMIF('Overhead exp(제조경비)'!$C$12:$C$503,'WIP(재공품)'!B165,'Overhead exp(제조경비)'!$O$12:$O$503)</f>
        <v>0</v>
      </c>
      <c r="P165" s="112">
        <f t="shared" si="23"/>
        <v>0</v>
      </c>
      <c r="Q165" s="112">
        <v>0</v>
      </c>
      <c r="R165" s="112">
        <v>0</v>
      </c>
      <c r="S165" s="112">
        <f>SUMIF('JUNE (물량흐름)'!$C$13:$C$493,'WIP(재공품)'!B165,'JUNE (물량흐름)'!$T$13:$T$493)+SUMIF('JUNE (물량흐름)'!$C$13:$C$493,'WIP(재공품)'!B165,'JUNE (물량흐름)'!$U$13:$U$493)+SUMIF('JUNE (물량흐름)'!$C$13:$C$493,'WIP(재공품)'!B165,'JUNE (물량흐름)'!$V$13:$V$493)-SUMIF('JUNE (물량흐름)'!$C$13:$C$493,'WIP(재공품)'!B165,'JUNE (물량흐름)'!$Y$13:$Y$493)</f>
        <v>0</v>
      </c>
      <c r="T165" s="112">
        <f>SUMIF('JUNE (물량흐름)'!$C$13:$C$502,'WIP(재공품)'!B165,'JUNE (물량흐름)'!$Y$13:$Y$502)</f>
        <v>0</v>
      </c>
      <c r="U165" s="167">
        <f>SUMIF('Direct labour(직접노무비)'!$C$12:$C$503,'WIP(재공품)'!B165,'Direct labour(직접노무비)'!$U$12:$U$503)+SUMIF('Overhead exp(제조경비)'!$C$12:$C$503,'WIP(재공품)'!B165,'Overhead exp(제조경비)'!$U$12:$U$503)</f>
        <v>0</v>
      </c>
      <c r="V165" s="112">
        <f>SUMIF('Direct labour(직접노무비)'!$C$12:$C$503,'WIP(재공품)'!B165,'Direct labour(직접노무비)'!$Q$12:$Q$503)</f>
        <v>0</v>
      </c>
      <c r="W165" s="112">
        <f>SUMIF('Overhead exp(제조경비)'!$C$12:$C$503,'WIP(재공품)'!B165,'Overhead exp(제조경비)'!$Q$12:$Q$503)</f>
        <v>0</v>
      </c>
      <c r="X165" s="112">
        <f t="shared" si="24"/>
        <v>0</v>
      </c>
      <c r="Y165" s="112">
        <f ca="1">ROUND(SUMIF('JUNE (물량흐름)'!$C$13:$C$502,'WIP(재공품)'!B165,'JUNE (물량흐름)'!$N$13:$N$488),0)</f>
        <v>0</v>
      </c>
      <c r="Z165" s="112">
        <f>ROUND(SUMIF('JUNE (물량흐름)'!$C$13:$C$502,'WIP(재공품)'!B165,'JUNE (물량흐름)'!$O$13:$O$502),0)</f>
        <v>0</v>
      </c>
      <c r="AA165" s="112">
        <f>ROUND(SUMIF('JUNE (물량흐름)'!$C$13:$C$502,'WIP(재공품)'!B165,'JUNE (물량흐름)'!$P$13:$P$502),0)</f>
        <v>55</v>
      </c>
      <c r="AB165" s="112">
        <f t="shared" ca="1" si="25"/>
        <v>55</v>
      </c>
      <c r="AC165" s="112">
        <f t="shared" si="26"/>
        <v>459501</v>
      </c>
      <c r="AD165" s="381">
        <f t="shared" ca="1" si="27"/>
        <v>0</v>
      </c>
      <c r="AE165" s="381">
        <f t="shared" si="28"/>
        <v>0</v>
      </c>
      <c r="AF165" s="382"/>
      <c r="AG165" s="382">
        <v>0.3</v>
      </c>
      <c r="AH165" s="383">
        <f t="shared" si="29"/>
        <v>4.9999999999999989E-2</v>
      </c>
      <c r="AJ165" s="383"/>
      <c r="AL165" s="385"/>
      <c r="AM165" s="381"/>
      <c r="AN165" s="382"/>
      <c r="AO165" s="382"/>
      <c r="AP165" s="383"/>
      <c r="AQ165" s="383"/>
    </row>
    <row r="166" spans="1:43" s="384" customFormat="1" ht="18.75" customHeight="1">
      <c r="A166" s="167">
        <v>156</v>
      </c>
      <c r="B166" s="240">
        <f>VLOOKUP(A166,'JUNE (물량흐름)'!$A$13:$C$502,3,0)</f>
        <v>100008572</v>
      </c>
      <c r="C166" s="21" t="str">
        <f>VLOOKUP(A166,'JUNE (물량흐름)'!$A$13:$C$502,2,0)</f>
        <v>ALFANI</v>
      </c>
      <c r="D166" s="212">
        <v>1.35</v>
      </c>
      <c r="E166" s="6">
        <f>VLOOKUP(B166,'Sales profit (스타일 별 매출이익)'!$D$9:$P$491,13,0)</f>
        <v>30611.250000000004</v>
      </c>
      <c r="F166" s="112">
        <f>IFERROR(VLOOKUP(B166,O.B.JUNE!$N$7:$Q$448,2,0),0)</f>
        <v>0</v>
      </c>
      <c r="G166" s="112">
        <f>IFERROR(VLOOKUP(B166,O.B.JUNE!$N$7:$Q$448,3,0),0)</f>
        <v>0</v>
      </c>
      <c r="H166" s="112">
        <f>IFERROR(VLOOKUP(B166,O.B.JUNE!$N$7:$Q$448,4,0),0)</f>
        <v>126</v>
      </c>
      <c r="I166" s="112">
        <f t="shared" si="21"/>
        <v>126</v>
      </c>
      <c r="J166" s="112">
        <f>IFERROR(VLOOKUP(B166,O.B.JUNE!$AA$7:$AG$448,7,0),0)</f>
        <v>516151</v>
      </c>
      <c r="K166" s="112">
        <f>IFERROR(VLOOKUP(B166,O.B.JUNE!$AI$7:$AO$448,7,0),0)</f>
        <v>711867</v>
      </c>
      <c r="L166" s="112">
        <f t="shared" si="22"/>
        <v>1228018</v>
      </c>
      <c r="M166" s="112">
        <f>ROUND(SUMIF('JUNE (물량흐름)'!$C$13:$C$502,'WIP(재공품)'!B166,'JUNE (물량흐름)'!$H$13:$H$502)+SUMIF('JUNE (물량흐름)'!$C$13:$C$502,'WIP(재공품)'!B166,'JUNE (물량흐름)'!$V$13:$V$502),0)</f>
        <v>0</v>
      </c>
      <c r="N166" s="112">
        <f>SUMIF('Direct labour(직접노무비)'!$C$12:$C$503,'WIP(재공품)'!B166,'Direct labour(직접노무비)'!$O$12:$O$503)</f>
        <v>0</v>
      </c>
      <c r="O166" s="112">
        <f>SUMIF('Overhead exp(제조경비)'!$C$12:$C$503,'WIP(재공품)'!B166,'Overhead exp(제조경비)'!$O$12:$O$503)</f>
        <v>0</v>
      </c>
      <c r="P166" s="112">
        <f t="shared" si="23"/>
        <v>0</v>
      </c>
      <c r="Q166" s="112">
        <v>0</v>
      </c>
      <c r="R166" s="112">
        <v>0</v>
      </c>
      <c r="S166" s="112">
        <f>SUMIF('JUNE (물량흐름)'!$C$13:$C$493,'WIP(재공품)'!B166,'JUNE (물량흐름)'!$T$13:$T$493)+SUMIF('JUNE (물량흐름)'!$C$13:$C$493,'WIP(재공품)'!B166,'JUNE (물량흐름)'!$U$13:$U$493)+SUMIF('JUNE (물량흐름)'!$C$13:$C$493,'WIP(재공품)'!B166,'JUNE (물량흐름)'!$V$13:$V$493)-SUMIF('JUNE (물량흐름)'!$C$13:$C$493,'WIP(재공품)'!B166,'JUNE (물량흐름)'!$Y$13:$Y$493)</f>
        <v>0</v>
      </c>
      <c r="T166" s="112">
        <f>SUMIF('JUNE (물량흐름)'!$C$13:$C$502,'WIP(재공품)'!B166,'JUNE (물량흐름)'!$Y$13:$Y$502)</f>
        <v>0</v>
      </c>
      <c r="U166" s="167">
        <f>SUMIF('Direct labour(직접노무비)'!$C$12:$C$503,'WIP(재공품)'!B166,'Direct labour(직접노무비)'!$U$12:$U$503)+SUMIF('Overhead exp(제조경비)'!$C$12:$C$503,'WIP(재공품)'!B166,'Overhead exp(제조경비)'!$U$12:$U$503)</f>
        <v>0</v>
      </c>
      <c r="V166" s="112">
        <f>SUMIF('Direct labour(직접노무비)'!$C$12:$C$503,'WIP(재공품)'!B166,'Direct labour(직접노무비)'!$Q$12:$Q$503)</f>
        <v>0</v>
      </c>
      <c r="W166" s="112">
        <f>SUMIF('Overhead exp(제조경비)'!$C$12:$C$503,'WIP(재공품)'!B166,'Overhead exp(제조경비)'!$Q$12:$Q$503)</f>
        <v>0</v>
      </c>
      <c r="X166" s="112">
        <f t="shared" si="24"/>
        <v>0</v>
      </c>
      <c r="Y166" s="112">
        <f ca="1">ROUND(SUMIF('JUNE (물량흐름)'!$C$13:$C$502,'WIP(재공품)'!B166,'JUNE (물량흐름)'!$N$13:$N$488),0)</f>
        <v>0</v>
      </c>
      <c r="Z166" s="112">
        <f>ROUND(SUMIF('JUNE (물량흐름)'!$C$13:$C$502,'WIP(재공품)'!B166,'JUNE (물량흐름)'!$O$13:$O$502),0)</f>
        <v>0</v>
      </c>
      <c r="AA166" s="112">
        <f>ROUND(SUMIF('JUNE (물량흐름)'!$C$13:$C$502,'WIP(재공품)'!B166,'JUNE (물량흐름)'!$P$13:$P$502),0)</f>
        <v>126</v>
      </c>
      <c r="AB166" s="112">
        <f t="shared" ca="1" si="25"/>
        <v>126</v>
      </c>
      <c r="AC166" s="112">
        <f t="shared" si="26"/>
        <v>1228018</v>
      </c>
      <c r="AD166" s="381">
        <f t="shared" ca="1" si="27"/>
        <v>0</v>
      </c>
      <c r="AE166" s="381">
        <f t="shared" si="28"/>
        <v>0</v>
      </c>
      <c r="AF166" s="382"/>
      <c r="AG166" s="382">
        <v>0</v>
      </c>
      <c r="AH166" s="383">
        <f t="shared" si="29"/>
        <v>1.35</v>
      </c>
      <c r="AJ166" s="383"/>
      <c r="AL166" s="385"/>
      <c r="AM166" s="381"/>
      <c r="AN166" s="382"/>
      <c r="AO166" s="382"/>
      <c r="AP166" s="383"/>
      <c r="AQ166" s="383"/>
    </row>
    <row r="167" spans="1:43" s="384" customFormat="1" ht="18.75" customHeight="1">
      <c r="A167" s="167">
        <v>157</v>
      </c>
      <c r="B167" s="240">
        <f>VLOOKUP(A167,'JUNE (물량흐름)'!$A$13:$C$502,3,0)</f>
        <v>100008587</v>
      </c>
      <c r="C167" s="21" t="str">
        <f>VLOOKUP(A167,'JUNE (물량흐름)'!$A$13:$C$502,2,0)</f>
        <v>ALFANI</v>
      </c>
      <c r="D167" s="212">
        <v>0.35</v>
      </c>
      <c r="E167" s="6">
        <f>VLOOKUP(B167,'Sales profit (스타일 별 매출이익)'!$D$9:$P$491,13,0)</f>
        <v>7936.2499999999991</v>
      </c>
      <c r="F167" s="112">
        <f>IFERROR(VLOOKUP(B167,O.B.JUNE!$N$7:$Q$448,2,0),0)</f>
        <v>0</v>
      </c>
      <c r="G167" s="112">
        <f>IFERROR(VLOOKUP(B167,O.B.JUNE!$N$7:$Q$448,3,0),0)</f>
        <v>0</v>
      </c>
      <c r="H167" s="112">
        <f>IFERROR(VLOOKUP(B167,O.B.JUNE!$N$7:$Q$448,4,0),0)</f>
        <v>113</v>
      </c>
      <c r="I167" s="112">
        <f t="shared" si="21"/>
        <v>113</v>
      </c>
      <c r="J167" s="112">
        <f>IFERROR(VLOOKUP(B167,O.B.JUNE!$AA$7:$AG$448,7,0),0)</f>
        <v>885453</v>
      </c>
      <c r="K167" s="112">
        <f>IFERROR(VLOOKUP(B167,O.B.JUNE!$AI$7:$AO$448,7,0),0)</f>
        <v>1221201</v>
      </c>
      <c r="L167" s="112">
        <f t="shared" si="22"/>
        <v>2106654</v>
      </c>
      <c r="M167" s="112">
        <f>ROUND(SUMIF('JUNE (물량흐름)'!$C$13:$C$502,'WIP(재공품)'!B167,'JUNE (물량흐름)'!$H$13:$H$502)+SUMIF('JUNE (물량흐름)'!$C$13:$C$502,'WIP(재공품)'!B167,'JUNE (물량흐름)'!$V$13:$V$502),0)</f>
        <v>0</v>
      </c>
      <c r="N167" s="112">
        <f>SUMIF('Direct labour(직접노무비)'!$C$12:$C$503,'WIP(재공품)'!B167,'Direct labour(직접노무비)'!$O$12:$O$503)</f>
        <v>0</v>
      </c>
      <c r="O167" s="112">
        <f>SUMIF('Overhead exp(제조경비)'!$C$12:$C$503,'WIP(재공품)'!B167,'Overhead exp(제조경비)'!$O$12:$O$503)</f>
        <v>0</v>
      </c>
      <c r="P167" s="112">
        <f t="shared" si="23"/>
        <v>0</v>
      </c>
      <c r="Q167" s="112">
        <v>0</v>
      </c>
      <c r="R167" s="112">
        <v>0</v>
      </c>
      <c r="S167" s="112">
        <f>SUMIF('JUNE (물량흐름)'!$C$13:$C$493,'WIP(재공품)'!B167,'JUNE (물량흐름)'!$T$13:$T$493)+SUMIF('JUNE (물량흐름)'!$C$13:$C$493,'WIP(재공품)'!B167,'JUNE (물량흐름)'!$U$13:$U$493)+SUMIF('JUNE (물량흐름)'!$C$13:$C$493,'WIP(재공품)'!B167,'JUNE (물량흐름)'!$V$13:$V$493)-SUMIF('JUNE (물량흐름)'!$C$13:$C$493,'WIP(재공품)'!B167,'JUNE (물량흐름)'!$Y$13:$Y$493)</f>
        <v>0</v>
      </c>
      <c r="T167" s="112">
        <f>SUMIF('JUNE (물량흐름)'!$C$13:$C$502,'WIP(재공품)'!B167,'JUNE (물량흐름)'!$Y$13:$Y$502)</f>
        <v>0</v>
      </c>
      <c r="U167" s="167">
        <f>SUMIF('Direct labour(직접노무비)'!$C$12:$C$503,'WIP(재공품)'!B167,'Direct labour(직접노무비)'!$U$12:$U$503)+SUMIF('Overhead exp(제조경비)'!$C$12:$C$503,'WIP(재공품)'!B167,'Overhead exp(제조경비)'!$U$12:$U$503)</f>
        <v>0</v>
      </c>
      <c r="V167" s="112">
        <f>SUMIF('Direct labour(직접노무비)'!$C$12:$C$503,'WIP(재공품)'!B167,'Direct labour(직접노무비)'!$Q$12:$Q$503)</f>
        <v>0</v>
      </c>
      <c r="W167" s="112">
        <f>SUMIF('Overhead exp(제조경비)'!$C$12:$C$503,'WIP(재공품)'!B167,'Overhead exp(제조경비)'!$Q$12:$Q$503)</f>
        <v>0</v>
      </c>
      <c r="X167" s="112">
        <f t="shared" si="24"/>
        <v>0</v>
      </c>
      <c r="Y167" s="112">
        <f ca="1">ROUND(SUMIF('JUNE (물량흐름)'!$C$13:$C$502,'WIP(재공품)'!B167,'JUNE (물량흐름)'!$N$13:$N$488),0)</f>
        <v>0</v>
      </c>
      <c r="Z167" s="112">
        <f>ROUND(SUMIF('JUNE (물량흐름)'!$C$13:$C$502,'WIP(재공품)'!B167,'JUNE (물량흐름)'!$O$13:$O$502),0)</f>
        <v>0</v>
      </c>
      <c r="AA167" s="112">
        <f>ROUND(SUMIF('JUNE (물량흐름)'!$C$13:$C$502,'WIP(재공품)'!B167,'JUNE (물량흐름)'!$P$13:$P$502),0)</f>
        <v>113</v>
      </c>
      <c r="AB167" s="112">
        <f t="shared" ca="1" si="25"/>
        <v>113</v>
      </c>
      <c r="AC167" s="112">
        <f t="shared" si="26"/>
        <v>2106654</v>
      </c>
      <c r="AD167" s="381">
        <f t="shared" ca="1" si="27"/>
        <v>0</v>
      </c>
      <c r="AE167" s="381">
        <f t="shared" si="28"/>
        <v>0</v>
      </c>
      <c r="AF167" s="382"/>
      <c r="AG167" s="382">
        <v>0</v>
      </c>
      <c r="AH167" s="383">
        <f t="shared" si="29"/>
        <v>0.35</v>
      </c>
      <c r="AJ167" s="383"/>
      <c r="AL167" s="385"/>
      <c r="AM167" s="381"/>
      <c r="AN167" s="382"/>
      <c r="AO167" s="382"/>
      <c r="AP167" s="383"/>
      <c r="AQ167" s="383"/>
    </row>
    <row r="168" spans="1:43" s="384" customFormat="1" ht="18.75" customHeight="1">
      <c r="A168" s="167">
        <v>158</v>
      </c>
      <c r="B168" s="240">
        <f>VLOOKUP(A168,'JUNE (물량흐름)'!$A$13:$C$502,3,0)</f>
        <v>100008588</v>
      </c>
      <c r="C168" s="21" t="str">
        <f>VLOOKUP(A168,'JUNE (물량흐름)'!$A$13:$C$502,2,0)</f>
        <v>ALFANI</v>
      </c>
      <c r="D168" s="212">
        <v>0.35</v>
      </c>
      <c r="E168" s="6">
        <f>VLOOKUP(B168,'Sales profit (스타일 별 매출이익)'!$D$9:$P$491,13,0)</f>
        <v>7936.2499999999991</v>
      </c>
      <c r="F168" s="112">
        <f>IFERROR(VLOOKUP(B168,O.B.JUNE!$N$7:$Q$448,2,0),0)</f>
        <v>0</v>
      </c>
      <c r="G168" s="112">
        <f>IFERROR(VLOOKUP(B168,O.B.JUNE!$N$7:$Q$448,3,0),0)</f>
        <v>0</v>
      </c>
      <c r="H168" s="112">
        <f>IFERROR(VLOOKUP(B168,O.B.JUNE!$N$7:$Q$448,4,0),0)</f>
        <v>51</v>
      </c>
      <c r="I168" s="112">
        <f t="shared" si="21"/>
        <v>51</v>
      </c>
      <c r="J168" s="112">
        <f>IFERROR(VLOOKUP(B168,O.B.JUNE!$AA$7:$AG$448,7,0),0)</f>
        <v>189283</v>
      </c>
      <c r="K168" s="112">
        <f>IFERROR(VLOOKUP(B168,O.B.JUNE!$AI$7:$AO$448,7,0),0)</f>
        <v>261056</v>
      </c>
      <c r="L168" s="112">
        <f t="shared" si="22"/>
        <v>450339</v>
      </c>
      <c r="M168" s="112">
        <f>ROUND(SUMIF('JUNE (물량흐름)'!$C$13:$C$502,'WIP(재공품)'!B168,'JUNE (물량흐름)'!$H$13:$H$502)+SUMIF('JUNE (물량흐름)'!$C$13:$C$502,'WIP(재공품)'!B168,'JUNE (물량흐름)'!$V$13:$V$502),0)</f>
        <v>0</v>
      </c>
      <c r="N168" s="112">
        <f>SUMIF('Direct labour(직접노무비)'!$C$12:$C$503,'WIP(재공품)'!B168,'Direct labour(직접노무비)'!$O$12:$O$503)</f>
        <v>0</v>
      </c>
      <c r="O168" s="112">
        <f>SUMIF('Overhead exp(제조경비)'!$C$12:$C$503,'WIP(재공품)'!B168,'Overhead exp(제조경비)'!$O$12:$O$503)</f>
        <v>0</v>
      </c>
      <c r="P168" s="112">
        <f t="shared" si="23"/>
        <v>0</v>
      </c>
      <c r="Q168" s="112">
        <v>0</v>
      </c>
      <c r="R168" s="112">
        <v>0</v>
      </c>
      <c r="S168" s="112">
        <f>SUMIF('JUNE (물량흐름)'!$C$13:$C$493,'WIP(재공품)'!B168,'JUNE (물량흐름)'!$T$13:$T$493)+SUMIF('JUNE (물량흐름)'!$C$13:$C$493,'WIP(재공품)'!B168,'JUNE (물량흐름)'!$U$13:$U$493)+SUMIF('JUNE (물량흐름)'!$C$13:$C$493,'WIP(재공품)'!B168,'JUNE (물량흐름)'!$V$13:$V$493)-SUMIF('JUNE (물량흐름)'!$C$13:$C$493,'WIP(재공품)'!B168,'JUNE (물량흐름)'!$Y$13:$Y$493)</f>
        <v>0</v>
      </c>
      <c r="T168" s="112">
        <f>SUMIF('JUNE (물량흐름)'!$C$13:$C$502,'WIP(재공품)'!B168,'JUNE (물량흐름)'!$Y$13:$Y$502)</f>
        <v>0</v>
      </c>
      <c r="U168" s="167">
        <f>SUMIF('Direct labour(직접노무비)'!$C$12:$C$503,'WIP(재공품)'!B168,'Direct labour(직접노무비)'!$U$12:$U$503)+SUMIF('Overhead exp(제조경비)'!$C$12:$C$503,'WIP(재공품)'!B168,'Overhead exp(제조경비)'!$U$12:$U$503)</f>
        <v>0</v>
      </c>
      <c r="V168" s="112">
        <f>SUMIF('Direct labour(직접노무비)'!$C$12:$C$503,'WIP(재공품)'!B168,'Direct labour(직접노무비)'!$Q$12:$Q$503)</f>
        <v>0</v>
      </c>
      <c r="W168" s="112">
        <f>SUMIF('Overhead exp(제조경비)'!$C$12:$C$503,'WIP(재공품)'!B168,'Overhead exp(제조경비)'!$Q$12:$Q$503)</f>
        <v>0</v>
      </c>
      <c r="X168" s="112">
        <f t="shared" si="24"/>
        <v>0</v>
      </c>
      <c r="Y168" s="112">
        <f ca="1">ROUND(SUMIF('JUNE (물량흐름)'!$C$13:$C$502,'WIP(재공품)'!B168,'JUNE (물량흐름)'!$N$13:$N$488),0)</f>
        <v>0</v>
      </c>
      <c r="Z168" s="112">
        <f>ROUND(SUMIF('JUNE (물량흐름)'!$C$13:$C$502,'WIP(재공품)'!B168,'JUNE (물량흐름)'!$O$13:$O$502),0)</f>
        <v>0</v>
      </c>
      <c r="AA168" s="112">
        <f>ROUND(SUMIF('JUNE (물량흐름)'!$C$13:$C$502,'WIP(재공품)'!B168,'JUNE (물량흐름)'!$P$13:$P$502),0)</f>
        <v>51</v>
      </c>
      <c r="AB168" s="112">
        <f t="shared" ca="1" si="25"/>
        <v>51</v>
      </c>
      <c r="AC168" s="112">
        <f t="shared" si="26"/>
        <v>450339</v>
      </c>
      <c r="AD168" s="381">
        <f t="shared" ca="1" si="27"/>
        <v>0</v>
      </c>
      <c r="AE168" s="381">
        <f t="shared" si="28"/>
        <v>0</v>
      </c>
      <c r="AF168" s="382"/>
      <c r="AG168" s="382">
        <v>0</v>
      </c>
      <c r="AH168" s="383">
        <f t="shared" si="29"/>
        <v>0.35</v>
      </c>
      <c r="AJ168" s="383"/>
      <c r="AL168" s="385"/>
      <c r="AM168" s="381"/>
      <c r="AN168" s="382"/>
      <c r="AO168" s="382"/>
      <c r="AP168" s="383"/>
      <c r="AQ168" s="383"/>
    </row>
    <row r="169" spans="1:43" s="384" customFormat="1" ht="18.75" customHeight="1">
      <c r="A169" s="167">
        <v>159</v>
      </c>
      <c r="B169" s="240">
        <f>VLOOKUP(A169,'JUNE (물량흐름)'!$A$13:$C$502,3,0)</f>
        <v>100008624</v>
      </c>
      <c r="C169" s="21" t="str">
        <f>VLOOKUP(A169,'JUNE (물량흐름)'!$A$13:$C$502,2,0)</f>
        <v>ALFANI</v>
      </c>
      <c r="D169" s="212">
        <v>1.35</v>
      </c>
      <c r="E169" s="6">
        <f>VLOOKUP(B169,'Sales profit (스타일 별 매출이익)'!$D$9:$P$491,13,0)</f>
        <v>30611.250000000004</v>
      </c>
      <c r="F169" s="112">
        <f>IFERROR(VLOOKUP(B169,O.B.JUNE!$N$7:$Q$448,2,0),0)</f>
        <v>0</v>
      </c>
      <c r="G169" s="112">
        <f>IFERROR(VLOOKUP(B169,O.B.JUNE!$N$7:$Q$448,3,0),0)</f>
        <v>0</v>
      </c>
      <c r="H169" s="112">
        <f>IFERROR(VLOOKUP(B169,O.B.JUNE!$N$7:$Q$448,4,0),0)</f>
        <v>143</v>
      </c>
      <c r="I169" s="112">
        <f t="shared" si="21"/>
        <v>143</v>
      </c>
      <c r="J169" s="112">
        <f>IFERROR(VLOOKUP(B169,O.B.JUNE!$AA$7:$AG$448,7,0),0)</f>
        <v>2089600</v>
      </c>
      <c r="K169" s="112">
        <f>IFERROR(VLOOKUP(B169,O.B.JUNE!$AI$7:$AO$448,7,0),0)</f>
        <v>2881940</v>
      </c>
      <c r="L169" s="112">
        <f t="shared" si="22"/>
        <v>4971540</v>
      </c>
      <c r="M169" s="112">
        <f>ROUND(SUMIF('JUNE (물량흐름)'!$C$13:$C$502,'WIP(재공품)'!B169,'JUNE (물량흐름)'!$H$13:$H$502)+SUMIF('JUNE (물량흐름)'!$C$13:$C$502,'WIP(재공품)'!B169,'JUNE (물량흐름)'!$V$13:$V$502),0)</f>
        <v>0</v>
      </c>
      <c r="N169" s="112">
        <f>SUMIF('Direct labour(직접노무비)'!$C$12:$C$503,'WIP(재공품)'!B169,'Direct labour(직접노무비)'!$O$12:$O$503)</f>
        <v>0</v>
      </c>
      <c r="O169" s="112">
        <f>SUMIF('Overhead exp(제조경비)'!$C$12:$C$503,'WIP(재공품)'!B169,'Overhead exp(제조경비)'!$O$12:$O$503)</f>
        <v>0</v>
      </c>
      <c r="P169" s="112">
        <f t="shared" si="23"/>
        <v>0</v>
      </c>
      <c r="Q169" s="112">
        <v>0</v>
      </c>
      <c r="R169" s="112">
        <v>0</v>
      </c>
      <c r="S169" s="112">
        <f>SUMIF('JUNE (물량흐름)'!$C$13:$C$493,'WIP(재공품)'!B169,'JUNE (물량흐름)'!$T$13:$T$493)+SUMIF('JUNE (물량흐름)'!$C$13:$C$493,'WIP(재공품)'!B169,'JUNE (물량흐름)'!$U$13:$U$493)+SUMIF('JUNE (물량흐름)'!$C$13:$C$493,'WIP(재공품)'!B169,'JUNE (물량흐름)'!$V$13:$V$493)-SUMIF('JUNE (물량흐름)'!$C$13:$C$493,'WIP(재공품)'!B169,'JUNE (물량흐름)'!$Y$13:$Y$493)</f>
        <v>0</v>
      </c>
      <c r="T169" s="112">
        <f>SUMIF('JUNE (물량흐름)'!$C$13:$C$502,'WIP(재공품)'!B169,'JUNE (물량흐름)'!$Y$13:$Y$502)</f>
        <v>0</v>
      </c>
      <c r="U169" s="167">
        <f>SUMIF('Direct labour(직접노무비)'!$C$12:$C$503,'WIP(재공품)'!B169,'Direct labour(직접노무비)'!$U$12:$U$503)+SUMIF('Overhead exp(제조경비)'!$C$12:$C$503,'WIP(재공품)'!B169,'Overhead exp(제조경비)'!$U$12:$U$503)</f>
        <v>0</v>
      </c>
      <c r="V169" s="112">
        <f>SUMIF('Direct labour(직접노무비)'!$C$12:$C$503,'WIP(재공품)'!B169,'Direct labour(직접노무비)'!$Q$12:$Q$503)</f>
        <v>0</v>
      </c>
      <c r="W169" s="112">
        <f>SUMIF('Overhead exp(제조경비)'!$C$12:$C$503,'WIP(재공품)'!B169,'Overhead exp(제조경비)'!$Q$12:$Q$503)</f>
        <v>0</v>
      </c>
      <c r="X169" s="112">
        <f t="shared" si="24"/>
        <v>0</v>
      </c>
      <c r="Y169" s="112">
        <f ca="1">ROUND(SUMIF('JUNE (물량흐름)'!$C$13:$C$502,'WIP(재공품)'!B169,'JUNE (물량흐름)'!$N$13:$N$488),0)</f>
        <v>0</v>
      </c>
      <c r="Z169" s="112">
        <f>ROUND(SUMIF('JUNE (물량흐름)'!$C$13:$C$502,'WIP(재공품)'!B169,'JUNE (물량흐름)'!$O$13:$O$502),0)</f>
        <v>0</v>
      </c>
      <c r="AA169" s="112">
        <f>ROUND(SUMIF('JUNE (물량흐름)'!$C$13:$C$502,'WIP(재공품)'!B169,'JUNE (물량흐름)'!$P$13:$P$502),0)</f>
        <v>143</v>
      </c>
      <c r="AB169" s="112">
        <f t="shared" ca="1" si="25"/>
        <v>143</v>
      </c>
      <c r="AC169" s="112">
        <f t="shared" si="26"/>
        <v>4971540</v>
      </c>
      <c r="AD169" s="381">
        <f t="shared" ca="1" si="27"/>
        <v>0</v>
      </c>
      <c r="AE169" s="381">
        <f t="shared" si="28"/>
        <v>0</v>
      </c>
      <c r="AF169" s="382"/>
      <c r="AG169" s="382">
        <v>0</v>
      </c>
      <c r="AH169" s="383">
        <f t="shared" si="29"/>
        <v>1.35</v>
      </c>
      <c r="AJ169" s="383"/>
      <c r="AL169" s="385"/>
      <c r="AM169" s="381"/>
      <c r="AN169" s="382"/>
      <c r="AO169" s="382"/>
      <c r="AP169" s="383"/>
      <c r="AQ169" s="383"/>
    </row>
    <row r="170" spans="1:43" s="384" customFormat="1" ht="18.75" customHeight="1">
      <c r="A170" s="167">
        <v>160</v>
      </c>
      <c r="B170" s="240">
        <f>VLOOKUP(A170,'JUNE (물량흐름)'!$A$13:$C$502,3,0)</f>
        <v>100008652</v>
      </c>
      <c r="C170" s="21" t="str">
        <f>VLOOKUP(A170,'JUNE (물량흐름)'!$A$13:$C$502,2,0)</f>
        <v>ALFANI</v>
      </c>
      <c r="D170" s="212">
        <v>1.35</v>
      </c>
      <c r="E170" s="6">
        <f>VLOOKUP(B170,'Sales profit (스타일 별 매출이익)'!$D$9:$P$491,13,0)</f>
        <v>30611.250000000004</v>
      </c>
      <c r="F170" s="112">
        <f>IFERROR(VLOOKUP(B170,O.B.JUNE!$N$7:$Q$448,2,0),0)</f>
        <v>0</v>
      </c>
      <c r="G170" s="112">
        <f>IFERROR(VLOOKUP(B170,O.B.JUNE!$N$7:$Q$448,3,0),0)</f>
        <v>0</v>
      </c>
      <c r="H170" s="112">
        <f>IFERROR(VLOOKUP(B170,O.B.JUNE!$N$7:$Q$448,4,0),0)</f>
        <v>122</v>
      </c>
      <c r="I170" s="112">
        <f t="shared" si="21"/>
        <v>122</v>
      </c>
      <c r="J170" s="112">
        <f>IFERROR(VLOOKUP(B170,O.B.JUNE!$AA$7:$AG$448,7,0),0)</f>
        <v>2873519</v>
      </c>
      <c r="K170" s="112">
        <f>IFERROR(VLOOKUP(B170,O.B.JUNE!$AI$7:$AO$448,7,0),0)</f>
        <v>3963107</v>
      </c>
      <c r="L170" s="112">
        <f t="shared" si="22"/>
        <v>6836626</v>
      </c>
      <c r="M170" s="112">
        <f>ROUND(SUMIF('JUNE (물량흐름)'!$C$13:$C$502,'WIP(재공품)'!B170,'JUNE (물량흐름)'!$H$13:$H$502)+SUMIF('JUNE (물량흐름)'!$C$13:$C$502,'WIP(재공품)'!B170,'JUNE (물량흐름)'!$V$13:$V$502),0)</f>
        <v>0</v>
      </c>
      <c r="N170" s="112">
        <f>SUMIF('Direct labour(직접노무비)'!$C$12:$C$503,'WIP(재공품)'!B170,'Direct labour(직접노무비)'!$O$12:$O$503)</f>
        <v>0</v>
      </c>
      <c r="O170" s="112">
        <f>SUMIF('Overhead exp(제조경비)'!$C$12:$C$503,'WIP(재공품)'!B170,'Overhead exp(제조경비)'!$O$12:$O$503)</f>
        <v>0</v>
      </c>
      <c r="P170" s="112">
        <f t="shared" si="23"/>
        <v>0</v>
      </c>
      <c r="Q170" s="112">
        <v>0</v>
      </c>
      <c r="R170" s="112">
        <v>0</v>
      </c>
      <c r="S170" s="112">
        <f>SUMIF('JUNE (물량흐름)'!$C$13:$C$493,'WIP(재공품)'!B170,'JUNE (물량흐름)'!$T$13:$T$493)+SUMIF('JUNE (물량흐름)'!$C$13:$C$493,'WIP(재공품)'!B170,'JUNE (물량흐름)'!$U$13:$U$493)+SUMIF('JUNE (물량흐름)'!$C$13:$C$493,'WIP(재공품)'!B170,'JUNE (물량흐름)'!$V$13:$V$493)-SUMIF('JUNE (물량흐름)'!$C$13:$C$493,'WIP(재공품)'!B170,'JUNE (물량흐름)'!$Y$13:$Y$493)</f>
        <v>0</v>
      </c>
      <c r="T170" s="112">
        <f>SUMIF('JUNE (물량흐름)'!$C$13:$C$502,'WIP(재공품)'!B170,'JUNE (물량흐름)'!$Y$13:$Y$502)</f>
        <v>0</v>
      </c>
      <c r="U170" s="167">
        <f>SUMIF('Direct labour(직접노무비)'!$C$12:$C$503,'WIP(재공품)'!B170,'Direct labour(직접노무비)'!$U$12:$U$503)+SUMIF('Overhead exp(제조경비)'!$C$12:$C$503,'WIP(재공품)'!B170,'Overhead exp(제조경비)'!$U$12:$U$503)</f>
        <v>0</v>
      </c>
      <c r="V170" s="112">
        <f>SUMIF('Direct labour(직접노무비)'!$C$12:$C$503,'WIP(재공품)'!B170,'Direct labour(직접노무비)'!$Q$12:$Q$503)</f>
        <v>0</v>
      </c>
      <c r="W170" s="112">
        <f>SUMIF('Overhead exp(제조경비)'!$C$12:$C$503,'WIP(재공품)'!B170,'Overhead exp(제조경비)'!$Q$12:$Q$503)</f>
        <v>0</v>
      </c>
      <c r="X170" s="112">
        <f t="shared" si="24"/>
        <v>0</v>
      </c>
      <c r="Y170" s="112">
        <f ca="1">ROUND(SUMIF('JUNE (물량흐름)'!$C$13:$C$502,'WIP(재공품)'!B170,'JUNE (물량흐름)'!$N$13:$N$488),0)</f>
        <v>0</v>
      </c>
      <c r="Z170" s="112">
        <f>ROUND(SUMIF('JUNE (물량흐름)'!$C$13:$C$502,'WIP(재공품)'!B170,'JUNE (물량흐름)'!$O$13:$O$502),0)</f>
        <v>0</v>
      </c>
      <c r="AA170" s="112">
        <f>ROUND(SUMIF('JUNE (물량흐름)'!$C$13:$C$502,'WIP(재공품)'!B170,'JUNE (물량흐름)'!$P$13:$P$502),0)</f>
        <v>122</v>
      </c>
      <c r="AB170" s="112">
        <f t="shared" ca="1" si="25"/>
        <v>122</v>
      </c>
      <c r="AC170" s="112">
        <f t="shared" si="26"/>
        <v>6836626</v>
      </c>
      <c r="AD170" s="381">
        <f t="shared" ca="1" si="27"/>
        <v>0</v>
      </c>
      <c r="AE170" s="381">
        <f t="shared" si="28"/>
        <v>0</v>
      </c>
      <c r="AF170" s="382"/>
      <c r="AG170" s="382">
        <v>0</v>
      </c>
      <c r="AH170" s="383">
        <f t="shared" si="29"/>
        <v>1.35</v>
      </c>
      <c r="AJ170" s="383"/>
      <c r="AL170" s="385"/>
      <c r="AM170" s="381"/>
      <c r="AN170" s="382"/>
      <c r="AO170" s="382"/>
      <c r="AP170" s="383"/>
      <c r="AQ170" s="383"/>
    </row>
    <row r="171" spans="1:43" s="384" customFormat="1" ht="18.75" customHeight="1">
      <c r="A171" s="167">
        <v>161</v>
      </c>
      <c r="B171" s="240">
        <f>VLOOKUP(A171,'JUNE (물량흐름)'!$A$13:$C$502,3,0)</f>
        <v>100008653</v>
      </c>
      <c r="C171" s="21" t="str">
        <f>VLOOKUP(A171,'JUNE (물량흐름)'!$A$13:$C$502,2,0)</f>
        <v>ALFANI</v>
      </c>
      <c r="D171" s="212">
        <v>1.35</v>
      </c>
      <c r="E171" s="6">
        <f>VLOOKUP(B171,'Sales profit (스타일 별 매출이익)'!$D$9:$P$491,13,0)</f>
        <v>30611.250000000004</v>
      </c>
      <c r="F171" s="112">
        <f>IFERROR(VLOOKUP(B171,O.B.JUNE!$N$7:$Q$448,2,0),0)</f>
        <v>0</v>
      </c>
      <c r="G171" s="112">
        <f>IFERROR(VLOOKUP(B171,O.B.JUNE!$N$7:$Q$448,3,0),0)</f>
        <v>0</v>
      </c>
      <c r="H171" s="112">
        <f>IFERROR(VLOOKUP(B171,O.B.JUNE!$N$7:$Q$448,4,0),0)</f>
        <v>69</v>
      </c>
      <c r="I171" s="112">
        <f t="shared" si="21"/>
        <v>69</v>
      </c>
      <c r="J171" s="112">
        <f>IFERROR(VLOOKUP(B171,O.B.JUNE!$AA$7:$AG$448,7,0),0)</f>
        <v>525345</v>
      </c>
      <c r="K171" s="112">
        <f>IFERROR(VLOOKUP(B171,O.B.JUNE!$AI$7:$AO$448,7,0),0)</f>
        <v>724547</v>
      </c>
      <c r="L171" s="112">
        <f t="shared" si="22"/>
        <v>1249892</v>
      </c>
      <c r="M171" s="112">
        <f>ROUND(SUMIF('JUNE (물량흐름)'!$C$13:$C$502,'WIP(재공품)'!B171,'JUNE (물량흐름)'!$H$13:$H$502)+SUMIF('JUNE (물량흐름)'!$C$13:$C$502,'WIP(재공품)'!B171,'JUNE (물량흐름)'!$V$13:$V$502),0)</f>
        <v>0</v>
      </c>
      <c r="N171" s="112">
        <f>SUMIF('Direct labour(직접노무비)'!$C$12:$C$503,'WIP(재공품)'!B171,'Direct labour(직접노무비)'!$O$12:$O$503)</f>
        <v>0</v>
      </c>
      <c r="O171" s="112">
        <f>SUMIF('Overhead exp(제조경비)'!$C$12:$C$503,'WIP(재공품)'!B171,'Overhead exp(제조경비)'!$O$12:$O$503)</f>
        <v>0</v>
      </c>
      <c r="P171" s="112">
        <f t="shared" si="23"/>
        <v>0</v>
      </c>
      <c r="Q171" s="112">
        <v>0</v>
      </c>
      <c r="R171" s="112">
        <v>0</v>
      </c>
      <c r="S171" s="112">
        <f>SUMIF('JUNE (물량흐름)'!$C$13:$C$493,'WIP(재공품)'!B171,'JUNE (물량흐름)'!$T$13:$T$493)+SUMIF('JUNE (물량흐름)'!$C$13:$C$493,'WIP(재공품)'!B171,'JUNE (물량흐름)'!$U$13:$U$493)+SUMIF('JUNE (물량흐름)'!$C$13:$C$493,'WIP(재공품)'!B171,'JUNE (물량흐름)'!$V$13:$V$493)-SUMIF('JUNE (물량흐름)'!$C$13:$C$493,'WIP(재공품)'!B171,'JUNE (물량흐름)'!$Y$13:$Y$493)</f>
        <v>0</v>
      </c>
      <c r="T171" s="112">
        <f>SUMIF('JUNE (물량흐름)'!$C$13:$C$502,'WIP(재공품)'!B171,'JUNE (물량흐름)'!$Y$13:$Y$502)</f>
        <v>0</v>
      </c>
      <c r="U171" s="167">
        <f>SUMIF('Direct labour(직접노무비)'!$C$12:$C$503,'WIP(재공품)'!B171,'Direct labour(직접노무비)'!$U$12:$U$503)+SUMIF('Overhead exp(제조경비)'!$C$12:$C$503,'WIP(재공품)'!B171,'Overhead exp(제조경비)'!$U$12:$U$503)</f>
        <v>0</v>
      </c>
      <c r="V171" s="112">
        <f>SUMIF('Direct labour(직접노무비)'!$C$12:$C$503,'WIP(재공품)'!B171,'Direct labour(직접노무비)'!$Q$12:$Q$503)</f>
        <v>0</v>
      </c>
      <c r="W171" s="112">
        <f>SUMIF('Overhead exp(제조경비)'!$C$12:$C$503,'WIP(재공품)'!B171,'Overhead exp(제조경비)'!$Q$12:$Q$503)</f>
        <v>0</v>
      </c>
      <c r="X171" s="112">
        <f t="shared" si="24"/>
        <v>0</v>
      </c>
      <c r="Y171" s="112">
        <f ca="1">ROUND(SUMIF('JUNE (물량흐름)'!$C$13:$C$502,'WIP(재공품)'!B171,'JUNE (물량흐름)'!$N$13:$N$488),0)</f>
        <v>0</v>
      </c>
      <c r="Z171" s="112">
        <f>ROUND(SUMIF('JUNE (물량흐름)'!$C$13:$C$502,'WIP(재공품)'!B171,'JUNE (물량흐름)'!$O$13:$O$502),0)</f>
        <v>0</v>
      </c>
      <c r="AA171" s="112">
        <f>ROUND(SUMIF('JUNE (물량흐름)'!$C$13:$C$502,'WIP(재공품)'!B171,'JUNE (물량흐름)'!$P$13:$P$502),0)</f>
        <v>69</v>
      </c>
      <c r="AB171" s="112">
        <f t="shared" ca="1" si="25"/>
        <v>69</v>
      </c>
      <c r="AC171" s="112">
        <f t="shared" si="26"/>
        <v>1249892</v>
      </c>
      <c r="AD171" s="381">
        <f t="shared" ca="1" si="27"/>
        <v>0</v>
      </c>
      <c r="AE171" s="381">
        <f t="shared" si="28"/>
        <v>0</v>
      </c>
      <c r="AF171" s="382"/>
      <c r="AG171" s="382">
        <v>0</v>
      </c>
      <c r="AH171" s="383">
        <f t="shared" si="29"/>
        <v>1.35</v>
      </c>
      <c r="AJ171" s="383"/>
      <c r="AL171" s="385"/>
      <c r="AM171" s="381"/>
      <c r="AN171" s="382"/>
      <c r="AO171" s="382"/>
      <c r="AP171" s="383"/>
      <c r="AQ171" s="383"/>
    </row>
    <row r="172" spans="1:43" s="384" customFormat="1" ht="18.75" customHeight="1">
      <c r="A172" s="167">
        <v>162</v>
      </c>
      <c r="B172" s="240">
        <f>VLOOKUP(A172,'JUNE (물량흐름)'!$A$13:$C$502,3,0)</f>
        <v>100008702</v>
      </c>
      <c r="C172" s="21" t="str">
        <f>VLOOKUP(A172,'JUNE (물량흐름)'!$A$13:$C$502,2,0)</f>
        <v>ALFANI</v>
      </c>
      <c r="D172" s="212">
        <v>1.35</v>
      </c>
      <c r="E172" s="6">
        <f>VLOOKUP(B172,'Sales profit (스타일 별 매출이익)'!$D$9:$P$491,13,0)</f>
        <v>30611.250000000004</v>
      </c>
      <c r="F172" s="112">
        <f>IFERROR(VLOOKUP(B172,O.B.JUNE!$N$7:$Q$448,2,0),0)</f>
        <v>0</v>
      </c>
      <c r="G172" s="112">
        <f>IFERROR(VLOOKUP(B172,O.B.JUNE!$N$7:$Q$448,3,0),0)</f>
        <v>0</v>
      </c>
      <c r="H172" s="112">
        <f>IFERROR(VLOOKUP(B172,O.B.JUNE!$N$7:$Q$448,4,0),0)</f>
        <v>59</v>
      </c>
      <c r="I172" s="112">
        <f t="shared" si="21"/>
        <v>59</v>
      </c>
      <c r="J172" s="112">
        <f>IFERROR(VLOOKUP(B172,O.B.JUNE!$AA$7:$AG$448,7,0),0)</f>
        <v>424394</v>
      </c>
      <c r="K172" s="112">
        <f>IFERROR(VLOOKUP(B172,O.B.JUNE!$AI$7:$AO$448,7,0),0)</f>
        <v>585317</v>
      </c>
      <c r="L172" s="112">
        <f t="shared" si="22"/>
        <v>1009711</v>
      </c>
      <c r="M172" s="112">
        <f>ROUND(SUMIF('JUNE (물량흐름)'!$C$13:$C$502,'WIP(재공품)'!B172,'JUNE (물량흐름)'!$H$13:$H$502)+SUMIF('JUNE (물량흐름)'!$C$13:$C$502,'WIP(재공품)'!B172,'JUNE (물량흐름)'!$V$13:$V$502),0)</f>
        <v>0</v>
      </c>
      <c r="N172" s="112">
        <f>SUMIF('Direct labour(직접노무비)'!$C$12:$C$503,'WIP(재공품)'!B172,'Direct labour(직접노무비)'!$O$12:$O$503)</f>
        <v>0</v>
      </c>
      <c r="O172" s="112">
        <f>SUMIF('Overhead exp(제조경비)'!$C$12:$C$503,'WIP(재공품)'!B172,'Overhead exp(제조경비)'!$O$12:$O$503)</f>
        <v>0</v>
      </c>
      <c r="P172" s="112">
        <f t="shared" si="23"/>
        <v>0</v>
      </c>
      <c r="Q172" s="112">
        <v>0</v>
      </c>
      <c r="R172" s="112">
        <v>0</v>
      </c>
      <c r="S172" s="112">
        <f>SUMIF('JUNE (물량흐름)'!$C$13:$C$493,'WIP(재공품)'!B172,'JUNE (물량흐름)'!$T$13:$T$493)+SUMIF('JUNE (물량흐름)'!$C$13:$C$493,'WIP(재공품)'!B172,'JUNE (물량흐름)'!$U$13:$U$493)+SUMIF('JUNE (물량흐름)'!$C$13:$C$493,'WIP(재공품)'!B172,'JUNE (물량흐름)'!$V$13:$V$493)-SUMIF('JUNE (물량흐름)'!$C$13:$C$493,'WIP(재공품)'!B172,'JUNE (물량흐름)'!$Y$13:$Y$493)</f>
        <v>0</v>
      </c>
      <c r="T172" s="112">
        <f>SUMIF('JUNE (물량흐름)'!$C$13:$C$502,'WIP(재공품)'!B172,'JUNE (물량흐름)'!$Y$13:$Y$502)</f>
        <v>0</v>
      </c>
      <c r="U172" s="167">
        <f>SUMIF('Direct labour(직접노무비)'!$C$12:$C$503,'WIP(재공품)'!B172,'Direct labour(직접노무비)'!$U$12:$U$503)+SUMIF('Overhead exp(제조경비)'!$C$12:$C$503,'WIP(재공품)'!B172,'Overhead exp(제조경비)'!$U$12:$U$503)</f>
        <v>0</v>
      </c>
      <c r="V172" s="112">
        <f>SUMIF('Direct labour(직접노무비)'!$C$12:$C$503,'WIP(재공품)'!B172,'Direct labour(직접노무비)'!$Q$12:$Q$503)</f>
        <v>0</v>
      </c>
      <c r="W172" s="112">
        <f>SUMIF('Overhead exp(제조경비)'!$C$12:$C$503,'WIP(재공품)'!B172,'Overhead exp(제조경비)'!$Q$12:$Q$503)</f>
        <v>0</v>
      </c>
      <c r="X172" s="112">
        <f t="shared" si="24"/>
        <v>0</v>
      </c>
      <c r="Y172" s="112">
        <f ca="1">ROUND(SUMIF('JUNE (물량흐름)'!$C$13:$C$502,'WIP(재공품)'!B172,'JUNE (물량흐름)'!$N$13:$N$488),0)</f>
        <v>0</v>
      </c>
      <c r="Z172" s="112">
        <f>ROUND(SUMIF('JUNE (물량흐름)'!$C$13:$C$502,'WIP(재공품)'!B172,'JUNE (물량흐름)'!$O$13:$O$502),0)</f>
        <v>0</v>
      </c>
      <c r="AA172" s="112">
        <f>ROUND(SUMIF('JUNE (물량흐름)'!$C$13:$C$502,'WIP(재공품)'!B172,'JUNE (물량흐름)'!$P$13:$P$502),0)</f>
        <v>59</v>
      </c>
      <c r="AB172" s="112">
        <f t="shared" ca="1" si="25"/>
        <v>59</v>
      </c>
      <c r="AC172" s="112">
        <f t="shared" si="26"/>
        <v>1009711</v>
      </c>
      <c r="AD172" s="381">
        <f t="shared" ca="1" si="27"/>
        <v>0</v>
      </c>
      <c r="AE172" s="381">
        <f t="shared" si="28"/>
        <v>0</v>
      </c>
      <c r="AF172" s="382"/>
      <c r="AG172" s="382">
        <v>0</v>
      </c>
      <c r="AH172" s="383">
        <f t="shared" si="29"/>
        <v>1.35</v>
      </c>
      <c r="AJ172" s="383"/>
      <c r="AL172" s="385"/>
      <c r="AM172" s="381"/>
      <c r="AN172" s="382"/>
      <c r="AO172" s="382"/>
      <c r="AP172" s="383"/>
      <c r="AQ172" s="383"/>
    </row>
    <row r="173" spans="1:43" s="384" customFormat="1" ht="18.75" customHeight="1">
      <c r="A173" s="167">
        <v>163</v>
      </c>
      <c r="B173" s="240">
        <f>VLOOKUP(A173,'JUNE (물량흐름)'!$A$13:$C$502,3,0)</f>
        <v>100008703</v>
      </c>
      <c r="C173" s="21" t="str">
        <f>VLOOKUP(A173,'JUNE (물량흐름)'!$A$13:$C$502,2,0)</f>
        <v>ALFANI</v>
      </c>
      <c r="D173" s="212">
        <v>0.35</v>
      </c>
      <c r="E173" s="6">
        <f>VLOOKUP(B173,'Sales profit (스타일 별 매출이익)'!$D$9:$P$491,13,0)</f>
        <v>7936.2499999999991</v>
      </c>
      <c r="F173" s="112">
        <f>IFERROR(VLOOKUP(B173,O.B.JUNE!$N$7:$Q$448,2,0),0)</f>
        <v>0</v>
      </c>
      <c r="G173" s="112">
        <f>IFERROR(VLOOKUP(B173,O.B.JUNE!$N$7:$Q$448,3,0),0)</f>
        <v>0</v>
      </c>
      <c r="H173" s="112">
        <f>IFERROR(VLOOKUP(B173,O.B.JUNE!$N$7:$Q$448,4,0),0)</f>
        <v>78</v>
      </c>
      <c r="I173" s="112">
        <f t="shared" si="21"/>
        <v>78</v>
      </c>
      <c r="J173" s="112">
        <f>IFERROR(VLOOKUP(B173,O.B.JUNE!$AA$7:$AG$448,7,0),0)</f>
        <v>825890</v>
      </c>
      <c r="K173" s="112">
        <f>IFERROR(VLOOKUP(B173,O.B.JUNE!$AI$7:$AO$448,7,0),0)</f>
        <v>1125029</v>
      </c>
      <c r="L173" s="112">
        <f t="shared" si="22"/>
        <v>1950919</v>
      </c>
      <c r="M173" s="112">
        <f>ROUND(SUMIF('JUNE (물량흐름)'!$C$13:$C$502,'WIP(재공품)'!B173,'JUNE (물량흐름)'!$H$13:$H$502)+SUMIF('JUNE (물량흐름)'!$C$13:$C$502,'WIP(재공품)'!B173,'JUNE (물량흐름)'!$V$13:$V$502),0)</f>
        <v>0</v>
      </c>
      <c r="N173" s="112">
        <f>SUMIF('Direct labour(직접노무비)'!$C$12:$C$503,'WIP(재공품)'!B173,'Direct labour(직접노무비)'!$O$12:$O$503)</f>
        <v>0</v>
      </c>
      <c r="O173" s="112">
        <f>SUMIF('Overhead exp(제조경비)'!$C$12:$C$503,'WIP(재공품)'!B173,'Overhead exp(제조경비)'!$O$12:$O$503)</f>
        <v>0</v>
      </c>
      <c r="P173" s="112">
        <f t="shared" si="23"/>
        <v>0</v>
      </c>
      <c r="Q173" s="112">
        <v>0</v>
      </c>
      <c r="R173" s="112">
        <v>0</v>
      </c>
      <c r="S173" s="112">
        <f>SUMIF('JUNE (물량흐름)'!$C$13:$C$493,'WIP(재공품)'!B173,'JUNE (물량흐름)'!$T$13:$T$493)+SUMIF('JUNE (물량흐름)'!$C$13:$C$493,'WIP(재공품)'!B173,'JUNE (물량흐름)'!$U$13:$U$493)+SUMIF('JUNE (물량흐름)'!$C$13:$C$493,'WIP(재공품)'!B173,'JUNE (물량흐름)'!$V$13:$V$493)-SUMIF('JUNE (물량흐름)'!$C$13:$C$493,'WIP(재공품)'!B173,'JUNE (물량흐름)'!$Y$13:$Y$493)</f>
        <v>0</v>
      </c>
      <c r="T173" s="112">
        <f>SUMIF('JUNE (물량흐름)'!$C$13:$C$502,'WIP(재공품)'!B173,'JUNE (물량흐름)'!$Y$13:$Y$502)</f>
        <v>0</v>
      </c>
      <c r="U173" s="167">
        <f>SUMIF('Direct labour(직접노무비)'!$C$12:$C$503,'WIP(재공품)'!B173,'Direct labour(직접노무비)'!$U$12:$U$503)+SUMIF('Overhead exp(제조경비)'!$C$12:$C$503,'WIP(재공품)'!B173,'Overhead exp(제조경비)'!$U$12:$U$503)</f>
        <v>0</v>
      </c>
      <c r="V173" s="112">
        <f>SUMIF('Direct labour(직접노무비)'!$C$12:$C$503,'WIP(재공품)'!B173,'Direct labour(직접노무비)'!$Q$12:$Q$503)</f>
        <v>0</v>
      </c>
      <c r="W173" s="112">
        <f>SUMIF('Overhead exp(제조경비)'!$C$12:$C$503,'WIP(재공품)'!B173,'Overhead exp(제조경비)'!$Q$12:$Q$503)</f>
        <v>0</v>
      </c>
      <c r="X173" s="112">
        <f t="shared" si="24"/>
        <v>0</v>
      </c>
      <c r="Y173" s="112">
        <f ca="1">ROUND(SUMIF('JUNE (물량흐름)'!$C$13:$C$502,'WIP(재공품)'!B173,'JUNE (물량흐름)'!$N$13:$N$488),0)</f>
        <v>0</v>
      </c>
      <c r="Z173" s="112">
        <f>ROUND(SUMIF('JUNE (물량흐름)'!$C$13:$C$502,'WIP(재공품)'!B173,'JUNE (물량흐름)'!$O$13:$O$502),0)</f>
        <v>0</v>
      </c>
      <c r="AA173" s="112">
        <f>ROUND(SUMIF('JUNE (물량흐름)'!$C$13:$C$502,'WIP(재공품)'!B173,'JUNE (물량흐름)'!$P$13:$P$502),0)</f>
        <v>78</v>
      </c>
      <c r="AB173" s="112">
        <f t="shared" ca="1" si="25"/>
        <v>78</v>
      </c>
      <c r="AC173" s="112">
        <f t="shared" si="26"/>
        <v>1950919</v>
      </c>
      <c r="AD173" s="381">
        <f t="shared" ca="1" si="27"/>
        <v>0</v>
      </c>
      <c r="AE173" s="381">
        <f t="shared" si="28"/>
        <v>0</v>
      </c>
      <c r="AF173" s="382"/>
      <c r="AG173" s="382">
        <v>0</v>
      </c>
      <c r="AH173" s="383">
        <f t="shared" si="29"/>
        <v>0.35</v>
      </c>
      <c r="AJ173" s="383"/>
      <c r="AL173" s="385"/>
      <c r="AM173" s="381"/>
      <c r="AN173" s="382"/>
      <c r="AO173" s="382"/>
      <c r="AP173" s="383"/>
      <c r="AQ173" s="383"/>
    </row>
    <row r="174" spans="1:43" s="384" customFormat="1" ht="18.75" customHeight="1">
      <c r="A174" s="167">
        <v>164</v>
      </c>
      <c r="B174" s="240">
        <f>VLOOKUP(A174,'JUNE (물량흐름)'!$A$13:$C$502,3,0)</f>
        <v>100008704</v>
      </c>
      <c r="C174" s="21" t="str">
        <f>VLOOKUP(A174,'JUNE (물량흐름)'!$A$13:$C$502,2,0)</f>
        <v>ALFANI</v>
      </c>
      <c r="D174" s="212">
        <v>1.55</v>
      </c>
      <c r="E174" s="6">
        <f>VLOOKUP(B174,'Sales profit (스타일 별 매출이익)'!$D$9:$P$491,13,0)</f>
        <v>35146.25</v>
      </c>
      <c r="F174" s="112">
        <f>IFERROR(VLOOKUP(B174,O.B.JUNE!$N$7:$Q$448,2,0),0)</f>
        <v>0</v>
      </c>
      <c r="G174" s="112">
        <f>IFERROR(VLOOKUP(B174,O.B.JUNE!$N$7:$Q$448,3,0),0)</f>
        <v>0</v>
      </c>
      <c r="H174" s="112">
        <f>IFERROR(VLOOKUP(B174,O.B.JUNE!$N$7:$Q$448,4,0),0)</f>
        <v>102</v>
      </c>
      <c r="I174" s="112">
        <f t="shared" si="21"/>
        <v>102</v>
      </c>
      <c r="J174" s="112">
        <f>IFERROR(VLOOKUP(B174,O.B.JUNE!$AA$7:$AG$448,7,0),0)</f>
        <v>1126769</v>
      </c>
      <c r="K174" s="112">
        <f>IFERROR(VLOOKUP(B174,O.B.JUNE!$AI$7:$AO$448,7,0),0)</f>
        <v>1536414</v>
      </c>
      <c r="L174" s="112">
        <f t="shared" si="22"/>
        <v>2663183</v>
      </c>
      <c r="M174" s="112">
        <f>ROUND(SUMIF('JUNE (물량흐름)'!$C$13:$C$502,'WIP(재공품)'!B174,'JUNE (물량흐름)'!$H$13:$H$502)+SUMIF('JUNE (물량흐름)'!$C$13:$C$502,'WIP(재공품)'!B174,'JUNE (물량흐름)'!$V$13:$V$502),0)</f>
        <v>0</v>
      </c>
      <c r="N174" s="112">
        <f>SUMIF('Direct labour(직접노무비)'!$C$12:$C$503,'WIP(재공품)'!B174,'Direct labour(직접노무비)'!$O$12:$O$503)</f>
        <v>0</v>
      </c>
      <c r="O174" s="112">
        <f>SUMIF('Overhead exp(제조경비)'!$C$12:$C$503,'WIP(재공품)'!B174,'Overhead exp(제조경비)'!$O$12:$O$503)</f>
        <v>0</v>
      </c>
      <c r="P174" s="112">
        <f t="shared" si="23"/>
        <v>0</v>
      </c>
      <c r="Q174" s="112">
        <v>0</v>
      </c>
      <c r="R174" s="112">
        <v>0</v>
      </c>
      <c r="S174" s="112">
        <f>SUMIF('JUNE (물량흐름)'!$C$13:$C$493,'WIP(재공품)'!B174,'JUNE (물량흐름)'!$T$13:$T$493)+SUMIF('JUNE (물량흐름)'!$C$13:$C$493,'WIP(재공품)'!B174,'JUNE (물량흐름)'!$U$13:$U$493)+SUMIF('JUNE (물량흐름)'!$C$13:$C$493,'WIP(재공품)'!B174,'JUNE (물량흐름)'!$V$13:$V$493)-SUMIF('JUNE (물량흐름)'!$C$13:$C$493,'WIP(재공품)'!B174,'JUNE (물량흐름)'!$Y$13:$Y$493)</f>
        <v>0</v>
      </c>
      <c r="T174" s="112">
        <f>SUMIF('JUNE (물량흐름)'!$C$13:$C$502,'WIP(재공품)'!B174,'JUNE (물량흐름)'!$Y$13:$Y$502)</f>
        <v>0</v>
      </c>
      <c r="U174" s="167">
        <f>SUMIF('Direct labour(직접노무비)'!$C$12:$C$503,'WIP(재공품)'!B174,'Direct labour(직접노무비)'!$U$12:$U$503)+SUMIF('Overhead exp(제조경비)'!$C$12:$C$503,'WIP(재공품)'!B174,'Overhead exp(제조경비)'!$U$12:$U$503)</f>
        <v>0</v>
      </c>
      <c r="V174" s="112">
        <f>SUMIF('Direct labour(직접노무비)'!$C$12:$C$503,'WIP(재공품)'!B174,'Direct labour(직접노무비)'!$Q$12:$Q$503)</f>
        <v>0</v>
      </c>
      <c r="W174" s="112">
        <f>SUMIF('Overhead exp(제조경비)'!$C$12:$C$503,'WIP(재공품)'!B174,'Overhead exp(제조경비)'!$Q$12:$Q$503)</f>
        <v>0</v>
      </c>
      <c r="X174" s="112">
        <f t="shared" si="24"/>
        <v>0</v>
      </c>
      <c r="Y174" s="112">
        <f ca="1">ROUND(SUMIF('JUNE (물량흐름)'!$C$13:$C$502,'WIP(재공품)'!B174,'JUNE (물량흐름)'!$N$13:$N$488),0)</f>
        <v>0</v>
      </c>
      <c r="Z174" s="112">
        <f>ROUND(SUMIF('JUNE (물량흐름)'!$C$13:$C$502,'WIP(재공품)'!B174,'JUNE (물량흐름)'!$O$13:$O$502),0)</f>
        <v>0</v>
      </c>
      <c r="AA174" s="112">
        <f>ROUND(SUMIF('JUNE (물량흐름)'!$C$13:$C$502,'WIP(재공품)'!B174,'JUNE (물량흐름)'!$P$13:$P$502),0)</f>
        <v>102</v>
      </c>
      <c r="AB174" s="112">
        <f t="shared" ca="1" si="25"/>
        <v>102</v>
      </c>
      <c r="AC174" s="112">
        <f t="shared" si="26"/>
        <v>2663183</v>
      </c>
      <c r="AD174" s="381">
        <f t="shared" ca="1" si="27"/>
        <v>0</v>
      </c>
      <c r="AE174" s="381">
        <f t="shared" si="28"/>
        <v>0</v>
      </c>
      <c r="AF174" s="382"/>
      <c r="AG174" s="382">
        <v>0</v>
      </c>
      <c r="AH174" s="383">
        <f t="shared" si="29"/>
        <v>1.55</v>
      </c>
      <c r="AJ174" s="383"/>
      <c r="AL174" s="385"/>
      <c r="AM174" s="381"/>
      <c r="AN174" s="382"/>
      <c r="AO174" s="382"/>
      <c r="AP174" s="383"/>
      <c r="AQ174" s="383"/>
    </row>
    <row r="175" spans="1:43" s="384" customFormat="1" ht="18.75" customHeight="1">
      <c r="A175" s="167">
        <v>165</v>
      </c>
      <c r="B175" s="240">
        <f>VLOOKUP(A175,'JUNE (물량흐름)'!$A$13:$C$502,3,0)</f>
        <v>100008706</v>
      </c>
      <c r="C175" s="21" t="str">
        <f>VLOOKUP(A175,'JUNE (물량흐름)'!$A$13:$C$502,2,0)</f>
        <v>ALFANI</v>
      </c>
      <c r="D175" s="212">
        <v>1.35</v>
      </c>
      <c r="E175" s="6">
        <f>VLOOKUP(B175,'Sales profit (스타일 별 매출이익)'!$D$9:$P$491,13,0)</f>
        <v>30611.250000000004</v>
      </c>
      <c r="F175" s="112">
        <f>IFERROR(VLOOKUP(B175,O.B.JUNE!$N$7:$Q$448,2,0),0)</f>
        <v>0</v>
      </c>
      <c r="G175" s="112">
        <f>IFERROR(VLOOKUP(B175,O.B.JUNE!$N$7:$Q$448,3,0),0)</f>
        <v>0</v>
      </c>
      <c r="H175" s="112">
        <f>IFERROR(VLOOKUP(B175,O.B.JUNE!$N$7:$Q$448,4,0),0)</f>
        <v>220</v>
      </c>
      <c r="I175" s="112">
        <f t="shared" si="21"/>
        <v>220</v>
      </c>
      <c r="J175" s="112">
        <f>IFERROR(VLOOKUP(B175,O.B.JUNE!$AA$7:$AG$448,7,0),0)</f>
        <v>3731621</v>
      </c>
      <c r="K175" s="112">
        <f>IFERROR(VLOOKUP(B175,O.B.JUNE!$AI$7:$AO$448,7,0),0)</f>
        <v>5146586</v>
      </c>
      <c r="L175" s="112">
        <f t="shared" si="22"/>
        <v>8878207</v>
      </c>
      <c r="M175" s="112">
        <f>ROUND(SUMIF('JUNE (물량흐름)'!$C$13:$C$502,'WIP(재공품)'!B175,'JUNE (물량흐름)'!$H$13:$H$502)+SUMIF('JUNE (물량흐름)'!$C$13:$C$502,'WIP(재공품)'!B175,'JUNE (물량흐름)'!$V$13:$V$502),0)</f>
        <v>0</v>
      </c>
      <c r="N175" s="112">
        <f>SUMIF('Direct labour(직접노무비)'!$C$12:$C$503,'WIP(재공품)'!B175,'Direct labour(직접노무비)'!$O$12:$O$503)</f>
        <v>0</v>
      </c>
      <c r="O175" s="112">
        <f>SUMIF('Overhead exp(제조경비)'!$C$12:$C$503,'WIP(재공품)'!B175,'Overhead exp(제조경비)'!$O$12:$O$503)</f>
        <v>0</v>
      </c>
      <c r="P175" s="112">
        <f t="shared" si="23"/>
        <v>0</v>
      </c>
      <c r="Q175" s="112">
        <v>0</v>
      </c>
      <c r="R175" s="112">
        <v>0</v>
      </c>
      <c r="S175" s="112">
        <f>SUMIF('JUNE (물량흐름)'!$C$13:$C$493,'WIP(재공품)'!B175,'JUNE (물량흐름)'!$T$13:$T$493)+SUMIF('JUNE (물량흐름)'!$C$13:$C$493,'WIP(재공품)'!B175,'JUNE (물량흐름)'!$U$13:$U$493)+SUMIF('JUNE (물량흐름)'!$C$13:$C$493,'WIP(재공품)'!B175,'JUNE (물량흐름)'!$V$13:$V$493)-SUMIF('JUNE (물량흐름)'!$C$13:$C$493,'WIP(재공품)'!B175,'JUNE (물량흐름)'!$Y$13:$Y$493)</f>
        <v>0</v>
      </c>
      <c r="T175" s="112">
        <f>SUMIF('JUNE (물량흐름)'!$C$13:$C$502,'WIP(재공품)'!B175,'JUNE (물량흐름)'!$Y$13:$Y$502)</f>
        <v>0</v>
      </c>
      <c r="U175" s="167">
        <f>SUMIF('Direct labour(직접노무비)'!$C$12:$C$503,'WIP(재공품)'!B175,'Direct labour(직접노무비)'!$U$12:$U$503)+SUMIF('Overhead exp(제조경비)'!$C$12:$C$503,'WIP(재공품)'!B175,'Overhead exp(제조경비)'!$U$12:$U$503)</f>
        <v>0</v>
      </c>
      <c r="V175" s="112">
        <f>SUMIF('Direct labour(직접노무비)'!$C$12:$C$503,'WIP(재공품)'!B175,'Direct labour(직접노무비)'!$Q$12:$Q$503)</f>
        <v>0</v>
      </c>
      <c r="W175" s="112">
        <f>SUMIF('Overhead exp(제조경비)'!$C$12:$C$503,'WIP(재공품)'!B175,'Overhead exp(제조경비)'!$Q$12:$Q$503)</f>
        <v>0</v>
      </c>
      <c r="X175" s="112">
        <f t="shared" si="24"/>
        <v>0</v>
      </c>
      <c r="Y175" s="112">
        <f ca="1">ROUND(SUMIF('JUNE (물량흐름)'!$C$13:$C$502,'WIP(재공품)'!B175,'JUNE (물량흐름)'!$N$13:$N$488),0)</f>
        <v>0</v>
      </c>
      <c r="Z175" s="112">
        <f>ROUND(SUMIF('JUNE (물량흐름)'!$C$13:$C$502,'WIP(재공품)'!B175,'JUNE (물량흐름)'!$O$13:$O$502),0)</f>
        <v>0</v>
      </c>
      <c r="AA175" s="112">
        <f>ROUND(SUMIF('JUNE (물량흐름)'!$C$13:$C$502,'WIP(재공품)'!B175,'JUNE (물량흐름)'!$P$13:$P$502),0)</f>
        <v>220</v>
      </c>
      <c r="AB175" s="112">
        <f t="shared" ca="1" si="25"/>
        <v>220</v>
      </c>
      <c r="AC175" s="112">
        <f t="shared" si="26"/>
        <v>8878207</v>
      </c>
      <c r="AD175" s="381">
        <f t="shared" ca="1" si="27"/>
        <v>0</v>
      </c>
      <c r="AE175" s="381">
        <f t="shared" si="28"/>
        <v>0</v>
      </c>
      <c r="AF175" s="382"/>
      <c r="AG175" s="382">
        <v>0</v>
      </c>
      <c r="AH175" s="383">
        <f t="shared" si="29"/>
        <v>1.35</v>
      </c>
      <c r="AJ175" s="383"/>
      <c r="AL175" s="385"/>
      <c r="AM175" s="381"/>
      <c r="AN175" s="382"/>
      <c r="AO175" s="382"/>
      <c r="AP175" s="383"/>
      <c r="AQ175" s="383"/>
    </row>
    <row r="176" spans="1:43" s="384" customFormat="1" ht="18.75" customHeight="1">
      <c r="A176" s="167">
        <v>166</v>
      </c>
      <c r="B176" s="240">
        <f>VLOOKUP(A176,'JUNE (물량흐름)'!$A$13:$C$502,3,0)</f>
        <v>100008707</v>
      </c>
      <c r="C176" s="21" t="str">
        <f>VLOOKUP(A176,'JUNE (물량흐름)'!$A$13:$C$502,2,0)</f>
        <v>ALFANI</v>
      </c>
      <c r="D176" s="212">
        <v>0.36</v>
      </c>
      <c r="E176" s="6">
        <f>VLOOKUP(B176,'Sales profit (스타일 별 매출이익)'!$D$9:$P$491,13,0)</f>
        <v>8163</v>
      </c>
      <c r="F176" s="112">
        <f>IFERROR(VLOOKUP(B176,O.B.JUNE!$N$7:$Q$448,2,0),0)</f>
        <v>0</v>
      </c>
      <c r="G176" s="112">
        <f>IFERROR(VLOOKUP(B176,O.B.JUNE!$N$7:$Q$448,3,0),0)</f>
        <v>183</v>
      </c>
      <c r="H176" s="112">
        <f>IFERROR(VLOOKUP(B176,O.B.JUNE!$N$7:$Q$448,4,0),0)</f>
        <v>92</v>
      </c>
      <c r="I176" s="112">
        <f t="shared" si="21"/>
        <v>275</v>
      </c>
      <c r="J176" s="112">
        <f>IFERROR(VLOOKUP(B176,O.B.JUNE!$AA$7:$AG$448,7,0),0)</f>
        <v>3997192</v>
      </c>
      <c r="K176" s="112">
        <f>IFERROR(VLOOKUP(B176,O.B.JUNE!$AI$7:$AO$448,7,0),0)</f>
        <v>5460697</v>
      </c>
      <c r="L176" s="112">
        <f t="shared" si="22"/>
        <v>9457889</v>
      </c>
      <c r="M176" s="112">
        <f>ROUND(SUMIF('JUNE (물량흐름)'!$C$13:$C$502,'WIP(재공품)'!B176,'JUNE (물량흐름)'!$H$13:$H$502)+SUMIF('JUNE (물량흐름)'!$C$13:$C$502,'WIP(재공품)'!B176,'JUNE (물량흐름)'!$V$13:$V$502),0)</f>
        <v>0</v>
      </c>
      <c r="N176" s="112">
        <f>SUMIF('Direct labour(직접노무비)'!$C$12:$C$503,'WIP(재공품)'!B176,'Direct labour(직접노무비)'!$O$12:$O$503)</f>
        <v>0</v>
      </c>
      <c r="O176" s="112">
        <f>SUMIF('Overhead exp(제조경비)'!$C$12:$C$503,'WIP(재공품)'!B176,'Overhead exp(제조경비)'!$O$12:$O$503)</f>
        <v>0</v>
      </c>
      <c r="P176" s="112">
        <f t="shared" si="23"/>
        <v>0</v>
      </c>
      <c r="Q176" s="112">
        <v>0</v>
      </c>
      <c r="R176" s="112">
        <v>0</v>
      </c>
      <c r="S176" s="112">
        <f>SUMIF('JUNE (물량흐름)'!$C$13:$C$493,'WIP(재공품)'!B176,'JUNE (물량흐름)'!$T$13:$T$493)+SUMIF('JUNE (물량흐름)'!$C$13:$C$493,'WIP(재공품)'!B176,'JUNE (물량흐름)'!$U$13:$U$493)+SUMIF('JUNE (물량흐름)'!$C$13:$C$493,'WIP(재공품)'!B176,'JUNE (물량흐름)'!$V$13:$V$493)-SUMIF('JUNE (물량흐름)'!$C$13:$C$493,'WIP(재공품)'!B176,'JUNE (물량흐름)'!$Y$13:$Y$493)</f>
        <v>0</v>
      </c>
      <c r="T176" s="112">
        <f>SUMIF('JUNE (물량흐름)'!$C$13:$C$502,'WIP(재공품)'!B176,'JUNE (물량흐름)'!$Y$13:$Y$502)</f>
        <v>0</v>
      </c>
      <c r="U176" s="167">
        <f>SUMIF('Direct labour(직접노무비)'!$C$12:$C$503,'WIP(재공품)'!B176,'Direct labour(직접노무비)'!$U$12:$U$503)+SUMIF('Overhead exp(제조경비)'!$C$12:$C$503,'WIP(재공품)'!B176,'Overhead exp(제조경비)'!$U$12:$U$503)</f>
        <v>0</v>
      </c>
      <c r="V176" s="112">
        <f>SUMIF('Direct labour(직접노무비)'!$C$12:$C$503,'WIP(재공품)'!B176,'Direct labour(직접노무비)'!$Q$12:$Q$503)</f>
        <v>0</v>
      </c>
      <c r="W176" s="112">
        <f>SUMIF('Overhead exp(제조경비)'!$C$12:$C$503,'WIP(재공품)'!B176,'Overhead exp(제조경비)'!$Q$12:$Q$503)</f>
        <v>0</v>
      </c>
      <c r="X176" s="112">
        <f t="shared" si="24"/>
        <v>0</v>
      </c>
      <c r="Y176" s="112">
        <f ca="1">ROUND(SUMIF('JUNE (물량흐름)'!$C$13:$C$502,'WIP(재공품)'!B176,'JUNE (물량흐름)'!$N$13:$N$488),0)</f>
        <v>0</v>
      </c>
      <c r="Z176" s="112">
        <f>ROUND(SUMIF('JUNE (물량흐름)'!$C$13:$C$502,'WIP(재공품)'!B176,'JUNE (물량흐름)'!$O$13:$O$502),0)</f>
        <v>183</v>
      </c>
      <c r="AA176" s="112">
        <f>ROUND(SUMIF('JUNE (물량흐름)'!$C$13:$C$502,'WIP(재공품)'!B176,'JUNE (물량흐름)'!$P$13:$P$502),0)</f>
        <v>92</v>
      </c>
      <c r="AB176" s="112">
        <f t="shared" ca="1" si="25"/>
        <v>275</v>
      </c>
      <c r="AC176" s="112">
        <f t="shared" si="26"/>
        <v>9457889</v>
      </c>
      <c r="AD176" s="381">
        <f t="shared" ca="1" si="27"/>
        <v>0</v>
      </c>
      <c r="AE176" s="381">
        <f t="shared" si="28"/>
        <v>0</v>
      </c>
      <c r="AF176" s="382"/>
      <c r="AG176" s="382">
        <v>0</v>
      </c>
      <c r="AH176" s="383">
        <f t="shared" si="29"/>
        <v>0.36</v>
      </c>
      <c r="AJ176" s="383"/>
      <c r="AL176" s="385"/>
      <c r="AM176" s="381"/>
      <c r="AN176" s="382"/>
      <c r="AO176" s="382"/>
      <c r="AP176" s="383"/>
      <c r="AQ176" s="383"/>
    </row>
    <row r="177" spans="1:43" s="384" customFormat="1" ht="18.75" customHeight="1">
      <c r="A177" s="167">
        <v>167</v>
      </c>
      <c r="B177" s="240">
        <f>VLOOKUP(A177,'JUNE (물량흐름)'!$A$13:$C$502,3,0)</f>
        <v>100008708</v>
      </c>
      <c r="C177" s="21" t="str">
        <f>VLOOKUP(A177,'JUNE (물량흐름)'!$A$13:$C$502,2,0)</f>
        <v>ALFANI</v>
      </c>
      <c r="D177" s="212">
        <v>1.6</v>
      </c>
      <c r="E177" s="6">
        <f>VLOOKUP(B177,'Sales profit (스타일 별 매출이익)'!$D$9:$P$491,13,0)</f>
        <v>36280</v>
      </c>
      <c r="F177" s="112">
        <f>IFERROR(VLOOKUP(B177,O.B.JUNE!$N$7:$Q$448,2,0),0)</f>
        <v>0</v>
      </c>
      <c r="G177" s="112">
        <f>IFERROR(VLOOKUP(B177,O.B.JUNE!$N$7:$Q$448,3,0),0)</f>
        <v>0</v>
      </c>
      <c r="H177" s="112">
        <f>IFERROR(VLOOKUP(B177,O.B.JUNE!$N$7:$Q$448,4,0),0)</f>
        <v>97</v>
      </c>
      <c r="I177" s="112">
        <f t="shared" si="21"/>
        <v>97</v>
      </c>
      <c r="J177" s="112">
        <f>IFERROR(VLOOKUP(B177,O.B.JUNE!$AA$7:$AG$448,7,0),0)</f>
        <v>1032703</v>
      </c>
      <c r="K177" s="112">
        <f>IFERROR(VLOOKUP(B177,O.B.JUNE!$AI$7:$AO$448,7,0),0)</f>
        <v>1411325</v>
      </c>
      <c r="L177" s="112">
        <f t="shared" si="22"/>
        <v>2444028</v>
      </c>
      <c r="M177" s="112">
        <f>ROUND(SUMIF('JUNE (물량흐름)'!$C$13:$C$502,'WIP(재공품)'!B177,'JUNE (물량흐름)'!$H$13:$H$502)+SUMIF('JUNE (물량흐름)'!$C$13:$C$502,'WIP(재공품)'!B177,'JUNE (물량흐름)'!$V$13:$V$502),0)</f>
        <v>0</v>
      </c>
      <c r="N177" s="112">
        <f>SUMIF('Direct labour(직접노무비)'!$C$12:$C$503,'WIP(재공품)'!B177,'Direct labour(직접노무비)'!$O$12:$O$503)</f>
        <v>0</v>
      </c>
      <c r="O177" s="112">
        <f>SUMIF('Overhead exp(제조경비)'!$C$12:$C$503,'WIP(재공품)'!B177,'Overhead exp(제조경비)'!$O$12:$O$503)</f>
        <v>0</v>
      </c>
      <c r="P177" s="112">
        <f t="shared" si="23"/>
        <v>0</v>
      </c>
      <c r="Q177" s="112">
        <v>0</v>
      </c>
      <c r="R177" s="112">
        <v>0</v>
      </c>
      <c r="S177" s="112">
        <f>SUMIF('JUNE (물량흐름)'!$C$13:$C$493,'WIP(재공품)'!B177,'JUNE (물량흐름)'!$T$13:$T$493)+SUMIF('JUNE (물량흐름)'!$C$13:$C$493,'WIP(재공품)'!B177,'JUNE (물량흐름)'!$U$13:$U$493)+SUMIF('JUNE (물량흐름)'!$C$13:$C$493,'WIP(재공품)'!B177,'JUNE (물량흐름)'!$V$13:$V$493)-SUMIF('JUNE (물량흐름)'!$C$13:$C$493,'WIP(재공품)'!B177,'JUNE (물량흐름)'!$Y$13:$Y$493)</f>
        <v>0</v>
      </c>
      <c r="T177" s="112">
        <f>SUMIF('JUNE (물량흐름)'!$C$13:$C$502,'WIP(재공품)'!B177,'JUNE (물량흐름)'!$Y$13:$Y$502)</f>
        <v>0</v>
      </c>
      <c r="U177" s="167">
        <f>SUMIF('Direct labour(직접노무비)'!$C$12:$C$503,'WIP(재공품)'!B177,'Direct labour(직접노무비)'!$U$12:$U$503)+SUMIF('Overhead exp(제조경비)'!$C$12:$C$503,'WIP(재공품)'!B177,'Overhead exp(제조경비)'!$U$12:$U$503)</f>
        <v>0</v>
      </c>
      <c r="V177" s="112">
        <f>SUMIF('Direct labour(직접노무비)'!$C$12:$C$503,'WIP(재공품)'!B177,'Direct labour(직접노무비)'!$Q$12:$Q$503)</f>
        <v>0</v>
      </c>
      <c r="W177" s="112">
        <f>SUMIF('Overhead exp(제조경비)'!$C$12:$C$503,'WIP(재공품)'!B177,'Overhead exp(제조경비)'!$Q$12:$Q$503)</f>
        <v>0</v>
      </c>
      <c r="X177" s="112">
        <f t="shared" si="24"/>
        <v>0</v>
      </c>
      <c r="Y177" s="112">
        <f ca="1">ROUND(SUMIF('JUNE (물량흐름)'!$C$13:$C$502,'WIP(재공품)'!B177,'JUNE (물량흐름)'!$N$13:$N$488),0)</f>
        <v>0</v>
      </c>
      <c r="Z177" s="112">
        <f>ROUND(SUMIF('JUNE (물량흐름)'!$C$13:$C$502,'WIP(재공품)'!B177,'JUNE (물량흐름)'!$O$13:$O$502),0)</f>
        <v>0</v>
      </c>
      <c r="AA177" s="112">
        <f>ROUND(SUMIF('JUNE (물량흐름)'!$C$13:$C$502,'WIP(재공품)'!B177,'JUNE (물량흐름)'!$P$13:$P$502),0)</f>
        <v>97</v>
      </c>
      <c r="AB177" s="112">
        <f t="shared" ca="1" si="25"/>
        <v>97</v>
      </c>
      <c r="AC177" s="112">
        <f t="shared" si="26"/>
        <v>2444028</v>
      </c>
      <c r="AD177" s="381">
        <f t="shared" ca="1" si="27"/>
        <v>0</v>
      </c>
      <c r="AE177" s="381">
        <f t="shared" si="28"/>
        <v>0</v>
      </c>
      <c r="AF177" s="382"/>
      <c r="AG177" s="382">
        <v>0</v>
      </c>
      <c r="AH177" s="383">
        <f t="shared" si="29"/>
        <v>1.6</v>
      </c>
      <c r="AJ177" s="383"/>
      <c r="AL177" s="385"/>
      <c r="AM177" s="381"/>
      <c r="AN177" s="382"/>
      <c r="AO177" s="382"/>
      <c r="AP177" s="383"/>
      <c r="AQ177" s="383"/>
    </row>
    <row r="178" spans="1:43" s="384" customFormat="1" ht="18.75" customHeight="1">
      <c r="A178" s="167">
        <v>168</v>
      </c>
      <c r="B178" s="240">
        <f>VLOOKUP(A178,'JUNE (물량흐름)'!$A$13:$C$502,3,0)</f>
        <v>100008709</v>
      </c>
      <c r="C178" s="21" t="str">
        <f>VLOOKUP(A178,'JUNE (물량흐름)'!$A$13:$C$502,2,0)</f>
        <v>ALFANI</v>
      </c>
      <c r="D178" s="212">
        <v>0.35</v>
      </c>
      <c r="E178" s="6">
        <f>VLOOKUP(B178,'Sales profit (스타일 별 매출이익)'!$D$9:$P$491,13,0)</f>
        <v>7936.2499999999991</v>
      </c>
      <c r="F178" s="112">
        <f>IFERROR(VLOOKUP(B178,O.B.JUNE!$N$7:$Q$448,2,0),0)</f>
        <v>0</v>
      </c>
      <c r="G178" s="112">
        <f>IFERROR(VLOOKUP(B178,O.B.JUNE!$N$7:$Q$448,3,0),0)</f>
        <v>27</v>
      </c>
      <c r="H178" s="112">
        <f>IFERROR(VLOOKUP(B178,O.B.JUNE!$N$7:$Q$448,4,0),0)</f>
        <v>194</v>
      </c>
      <c r="I178" s="112">
        <f t="shared" si="21"/>
        <v>221</v>
      </c>
      <c r="J178" s="112">
        <f>IFERROR(VLOOKUP(B178,O.B.JUNE!$AA$7:$AG$448,7,0),0)</f>
        <v>3343374</v>
      </c>
      <c r="K178" s="112">
        <f>IFERROR(VLOOKUP(B178,O.B.JUNE!$AI$7:$AO$448,7,0),0)</f>
        <v>4565415</v>
      </c>
      <c r="L178" s="112">
        <f t="shared" si="22"/>
        <v>7908789</v>
      </c>
      <c r="M178" s="112">
        <f>ROUND(SUMIF('JUNE (물량흐름)'!$C$13:$C$502,'WIP(재공품)'!B178,'JUNE (물량흐름)'!$H$13:$H$502)+SUMIF('JUNE (물량흐름)'!$C$13:$C$502,'WIP(재공품)'!B178,'JUNE (물량흐름)'!$V$13:$V$502),0)</f>
        <v>4892</v>
      </c>
      <c r="N178" s="112">
        <f>SUMIF('Direct labour(직접노무비)'!$C$12:$C$503,'WIP(재공품)'!B178,'Direct labour(직접노무비)'!$O$12:$O$503)</f>
        <v>9145368</v>
      </c>
      <c r="O178" s="112">
        <f>SUMIF('Overhead exp(제조경비)'!$C$12:$C$503,'WIP(재공품)'!B178,'Overhead exp(제조경비)'!$O$12:$O$503)</f>
        <v>17867657</v>
      </c>
      <c r="P178" s="112">
        <f t="shared" si="23"/>
        <v>27013025</v>
      </c>
      <c r="Q178" s="112">
        <v>0</v>
      </c>
      <c r="R178" s="112">
        <v>0</v>
      </c>
      <c r="S178" s="112">
        <f>SUMIF('JUNE (물량흐름)'!$C$13:$C$493,'WIP(재공품)'!B178,'JUNE (물량흐름)'!$T$13:$T$493)+SUMIF('JUNE (물량흐름)'!$C$13:$C$493,'WIP(재공품)'!B178,'JUNE (물량흐름)'!$U$13:$U$493)+SUMIF('JUNE (물량흐름)'!$C$13:$C$493,'WIP(재공품)'!B178,'JUNE (물량흐름)'!$V$13:$V$493)-SUMIF('JUNE (물량흐름)'!$C$13:$C$493,'WIP(재공품)'!B178,'JUNE (물량흐름)'!$Y$13:$Y$493)</f>
        <v>0</v>
      </c>
      <c r="T178" s="112">
        <f>SUMIF('JUNE (물량흐름)'!$C$13:$C$502,'WIP(재공품)'!B178,'JUNE (물량흐름)'!$Y$13:$Y$502)</f>
        <v>0</v>
      </c>
      <c r="U178" s="167">
        <f>SUMIF('Direct labour(직접노무비)'!$C$12:$C$503,'WIP(재공품)'!B178,'Direct labour(직접노무비)'!$U$12:$U$503)+SUMIF('Overhead exp(제조경비)'!$C$12:$C$503,'WIP(재공품)'!B178,'Overhead exp(제조경비)'!$U$12:$U$503)</f>
        <v>0</v>
      </c>
      <c r="V178" s="112">
        <f>SUMIF('Direct labour(직접노무비)'!$C$12:$C$503,'WIP(재공품)'!B178,'Direct labour(직접노무비)'!$Q$12:$Q$503)</f>
        <v>0</v>
      </c>
      <c r="W178" s="112">
        <f>SUMIF('Overhead exp(제조경비)'!$C$12:$C$503,'WIP(재공품)'!B178,'Overhead exp(제조경비)'!$Q$12:$Q$503)</f>
        <v>0</v>
      </c>
      <c r="X178" s="112">
        <f t="shared" si="24"/>
        <v>0</v>
      </c>
      <c r="Y178" s="112">
        <f ca="1">ROUND(SUMIF('JUNE (물량흐름)'!$C$13:$C$502,'WIP(재공품)'!B178,'JUNE (물량흐름)'!$N$13:$N$488),0)</f>
        <v>0</v>
      </c>
      <c r="Z178" s="112">
        <f>ROUND(SUMIF('JUNE (물량흐름)'!$C$13:$C$502,'WIP(재공품)'!B178,'JUNE (물량흐름)'!$O$13:$O$502),0)</f>
        <v>653</v>
      </c>
      <c r="AA178" s="112">
        <f>ROUND(SUMIF('JUNE (물량흐름)'!$C$13:$C$502,'WIP(재공품)'!B178,'JUNE (물량흐름)'!$P$13:$P$502),0)</f>
        <v>4460</v>
      </c>
      <c r="AB178" s="112">
        <f t="shared" ca="1" si="25"/>
        <v>5113</v>
      </c>
      <c r="AC178" s="112">
        <f t="shared" si="26"/>
        <v>34921814</v>
      </c>
      <c r="AD178" s="381">
        <f t="shared" ca="1" si="27"/>
        <v>0</v>
      </c>
      <c r="AE178" s="381">
        <f t="shared" si="28"/>
        <v>0</v>
      </c>
      <c r="AF178" s="382"/>
      <c r="AG178" s="382">
        <v>0</v>
      </c>
      <c r="AH178" s="383">
        <f t="shared" si="29"/>
        <v>0.35</v>
      </c>
      <c r="AJ178" s="383"/>
      <c r="AL178" s="385"/>
      <c r="AM178" s="381"/>
      <c r="AN178" s="382"/>
      <c r="AO178" s="382"/>
      <c r="AP178" s="383"/>
      <c r="AQ178" s="383"/>
    </row>
    <row r="179" spans="1:43" s="384" customFormat="1" ht="18.75" customHeight="1">
      <c r="A179" s="167">
        <v>169</v>
      </c>
      <c r="B179" s="240">
        <f>VLOOKUP(A179,'JUNE (물량흐름)'!$A$13:$C$502,3,0)</f>
        <v>100008714</v>
      </c>
      <c r="C179" s="21" t="str">
        <f>VLOOKUP(A179,'JUNE (물량흐름)'!$A$13:$C$502,2,0)</f>
        <v>ALFANI</v>
      </c>
      <c r="D179" s="212">
        <v>0.35</v>
      </c>
      <c r="E179" s="6">
        <f>VLOOKUP(B179,'Sales profit (스타일 별 매출이익)'!$D$9:$P$491,13,0)</f>
        <v>7936.2499999999991</v>
      </c>
      <c r="F179" s="112">
        <f>IFERROR(VLOOKUP(B179,O.B.JUNE!$N$7:$Q$448,2,0),0)</f>
        <v>0</v>
      </c>
      <c r="G179" s="112">
        <f>IFERROR(VLOOKUP(B179,O.B.JUNE!$N$7:$Q$448,3,0),0)</f>
        <v>100</v>
      </c>
      <c r="H179" s="112">
        <f>IFERROR(VLOOKUP(B179,O.B.JUNE!$N$7:$Q$448,4,0),0)</f>
        <v>511</v>
      </c>
      <c r="I179" s="112">
        <f t="shared" si="21"/>
        <v>611</v>
      </c>
      <c r="J179" s="112">
        <f>IFERROR(VLOOKUP(B179,O.B.JUNE!$AA$7:$AG$448,7,0),0)</f>
        <v>8016922</v>
      </c>
      <c r="K179" s="112">
        <f>IFERROR(VLOOKUP(B179,O.B.JUNE!$AI$7:$AO$448,7,0),0)</f>
        <v>10939034</v>
      </c>
      <c r="L179" s="112">
        <f t="shared" si="22"/>
        <v>18955956</v>
      </c>
      <c r="M179" s="112">
        <f>ROUND(SUMIF('JUNE (물량흐름)'!$C$13:$C$502,'WIP(재공품)'!B179,'JUNE (물량흐름)'!$H$13:$H$502)+SUMIF('JUNE (물량흐름)'!$C$13:$C$502,'WIP(재공품)'!B179,'JUNE (물량흐름)'!$V$13:$V$502),0)</f>
        <v>0</v>
      </c>
      <c r="N179" s="112">
        <f>SUMIF('Direct labour(직접노무비)'!$C$12:$C$503,'WIP(재공품)'!B179,'Direct labour(직접노무비)'!$O$12:$O$503)</f>
        <v>0</v>
      </c>
      <c r="O179" s="112">
        <f>SUMIF('Overhead exp(제조경비)'!$C$12:$C$503,'WIP(재공품)'!B179,'Overhead exp(제조경비)'!$O$12:$O$503)</f>
        <v>0</v>
      </c>
      <c r="P179" s="112">
        <f t="shared" si="23"/>
        <v>0</v>
      </c>
      <c r="Q179" s="112">
        <v>0</v>
      </c>
      <c r="R179" s="112">
        <v>0</v>
      </c>
      <c r="S179" s="112">
        <f>SUMIF('JUNE (물량흐름)'!$C$13:$C$493,'WIP(재공품)'!B179,'JUNE (물량흐름)'!$T$13:$T$493)+SUMIF('JUNE (물량흐름)'!$C$13:$C$493,'WIP(재공품)'!B179,'JUNE (물량흐름)'!$U$13:$U$493)+SUMIF('JUNE (물량흐름)'!$C$13:$C$493,'WIP(재공품)'!B179,'JUNE (물량흐름)'!$V$13:$V$493)-SUMIF('JUNE (물량흐름)'!$C$13:$C$493,'WIP(재공품)'!B179,'JUNE (물량흐름)'!$Y$13:$Y$493)</f>
        <v>0</v>
      </c>
      <c r="T179" s="112">
        <f>SUMIF('JUNE (물량흐름)'!$C$13:$C$502,'WIP(재공품)'!B179,'JUNE (물량흐름)'!$Y$13:$Y$502)</f>
        <v>0</v>
      </c>
      <c r="U179" s="167">
        <f>SUMIF('Direct labour(직접노무비)'!$C$12:$C$503,'WIP(재공품)'!B179,'Direct labour(직접노무비)'!$U$12:$U$503)+SUMIF('Overhead exp(제조경비)'!$C$12:$C$503,'WIP(재공품)'!B179,'Overhead exp(제조경비)'!$U$12:$U$503)</f>
        <v>0</v>
      </c>
      <c r="V179" s="112">
        <f>SUMIF('Direct labour(직접노무비)'!$C$12:$C$503,'WIP(재공품)'!B179,'Direct labour(직접노무비)'!$Q$12:$Q$503)</f>
        <v>0</v>
      </c>
      <c r="W179" s="112">
        <f>SUMIF('Overhead exp(제조경비)'!$C$12:$C$503,'WIP(재공품)'!B179,'Overhead exp(제조경비)'!$Q$12:$Q$503)</f>
        <v>0</v>
      </c>
      <c r="X179" s="112">
        <f t="shared" si="24"/>
        <v>0</v>
      </c>
      <c r="Y179" s="112">
        <f ca="1">ROUND(SUMIF('JUNE (물량흐름)'!$C$13:$C$502,'WIP(재공품)'!B179,'JUNE (물량흐름)'!$N$13:$N$488),0)</f>
        <v>0</v>
      </c>
      <c r="Z179" s="112">
        <f>ROUND(SUMIF('JUNE (물량흐름)'!$C$13:$C$502,'WIP(재공품)'!B179,'JUNE (물량흐름)'!$O$13:$O$502),0)</f>
        <v>100</v>
      </c>
      <c r="AA179" s="112">
        <f>ROUND(SUMIF('JUNE (물량흐름)'!$C$13:$C$502,'WIP(재공품)'!B179,'JUNE (물량흐름)'!$P$13:$P$502),0)</f>
        <v>511</v>
      </c>
      <c r="AB179" s="112">
        <f t="shared" ca="1" si="25"/>
        <v>611</v>
      </c>
      <c r="AC179" s="112">
        <f t="shared" si="26"/>
        <v>18955956</v>
      </c>
      <c r="AD179" s="381">
        <f t="shared" ca="1" si="27"/>
        <v>0</v>
      </c>
      <c r="AE179" s="381">
        <f t="shared" si="28"/>
        <v>0</v>
      </c>
      <c r="AF179" s="382"/>
      <c r="AG179" s="382">
        <v>0</v>
      </c>
      <c r="AH179" s="383">
        <f t="shared" si="29"/>
        <v>0.35</v>
      </c>
      <c r="AJ179" s="383"/>
      <c r="AL179" s="385"/>
      <c r="AM179" s="381"/>
      <c r="AN179" s="382"/>
      <c r="AO179" s="382"/>
      <c r="AP179" s="383"/>
      <c r="AQ179" s="383"/>
    </row>
    <row r="180" spans="1:43" s="384" customFormat="1" ht="18.75" customHeight="1">
      <c r="A180" s="167">
        <v>170</v>
      </c>
      <c r="B180" s="240">
        <f>VLOOKUP(A180,'JUNE (물량흐름)'!$A$13:$C$502,3,0)</f>
        <v>100008716</v>
      </c>
      <c r="C180" s="21" t="str">
        <f>VLOOKUP(A180,'JUNE (물량흐름)'!$A$13:$C$502,2,0)</f>
        <v>ALFANI</v>
      </c>
      <c r="D180" s="212">
        <v>0.35</v>
      </c>
      <c r="E180" s="6">
        <f>VLOOKUP(B180,'Sales profit (스타일 별 매출이익)'!$D$9:$P$491,13,0)</f>
        <v>7936.2499999999991</v>
      </c>
      <c r="F180" s="112">
        <f>IFERROR(VLOOKUP(B180,O.B.JUNE!$N$7:$Q$448,2,0),0)</f>
        <v>0</v>
      </c>
      <c r="G180" s="112">
        <f>IFERROR(VLOOKUP(B180,O.B.JUNE!$N$7:$Q$448,3,0),0)</f>
        <v>23</v>
      </c>
      <c r="H180" s="112">
        <f>IFERROR(VLOOKUP(B180,O.B.JUNE!$N$7:$Q$448,4,0),0)</f>
        <v>55</v>
      </c>
      <c r="I180" s="112">
        <f t="shared" si="21"/>
        <v>78</v>
      </c>
      <c r="J180" s="112">
        <f>IFERROR(VLOOKUP(B180,O.B.JUNE!$AA$7:$AG$448,7,0),0)</f>
        <v>836309</v>
      </c>
      <c r="K180" s="112">
        <f>IFERROR(VLOOKUP(B180,O.B.JUNE!$AI$7:$AO$448,7,0),0)</f>
        <v>1138716</v>
      </c>
      <c r="L180" s="112">
        <f t="shared" si="22"/>
        <v>1975025</v>
      </c>
      <c r="M180" s="112">
        <f>ROUND(SUMIF('JUNE (물량흐름)'!$C$13:$C$502,'WIP(재공품)'!B180,'JUNE (물량흐름)'!$H$13:$H$502)+SUMIF('JUNE (물량흐름)'!$C$13:$C$502,'WIP(재공품)'!B180,'JUNE (물량흐름)'!$V$13:$V$502),0)</f>
        <v>0</v>
      </c>
      <c r="N180" s="112">
        <f>SUMIF('Direct labour(직접노무비)'!$C$12:$C$503,'WIP(재공품)'!B180,'Direct labour(직접노무비)'!$O$12:$O$503)</f>
        <v>0</v>
      </c>
      <c r="O180" s="112">
        <f>SUMIF('Overhead exp(제조경비)'!$C$12:$C$503,'WIP(재공품)'!B180,'Overhead exp(제조경비)'!$O$12:$O$503)</f>
        <v>0</v>
      </c>
      <c r="P180" s="112">
        <f t="shared" si="23"/>
        <v>0</v>
      </c>
      <c r="Q180" s="112">
        <v>0</v>
      </c>
      <c r="R180" s="112">
        <v>0</v>
      </c>
      <c r="S180" s="112">
        <f>SUMIF('JUNE (물량흐름)'!$C$13:$C$493,'WIP(재공품)'!B180,'JUNE (물량흐름)'!$T$13:$T$493)+SUMIF('JUNE (물량흐름)'!$C$13:$C$493,'WIP(재공품)'!B180,'JUNE (물량흐름)'!$U$13:$U$493)+SUMIF('JUNE (물량흐름)'!$C$13:$C$493,'WIP(재공품)'!B180,'JUNE (물량흐름)'!$V$13:$V$493)-SUMIF('JUNE (물량흐름)'!$C$13:$C$493,'WIP(재공품)'!B180,'JUNE (물량흐름)'!$Y$13:$Y$493)</f>
        <v>0</v>
      </c>
      <c r="T180" s="112">
        <f>SUMIF('JUNE (물량흐름)'!$C$13:$C$502,'WIP(재공품)'!B180,'JUNE (물량흐름)'!$Y$13:$Y$502)</f>
        <v>0</v>
      </c>
      <c r="U180" s="167">
        <f>SUMIF('Direct labour(직접노무비)'!$C$12:$C$503,'WIP(재공품)'!B180,'Direct labour(직접노무비)'!$U$12:$U$503)+SUMIF('Overhead exp(제조경비)'!$C$12:$C$503,'WIP(재공품)'!B180,'Overhead exp(제조경비)'!$U$12:$U$503)</f>
        <v>0</v>
      </c>
      <c r="V180" s="112">
        <f>SUMIF('Direct labour(직접노무비)'!$C$12:$C$503,'WIP(재공품)'!B180,'Direct labour(직접노무비)'!$Q$12:$Q$503)</f>
        <v>0</v>
      </c>
      <c r="W180" s="112">
        <f>SUMIF('Overhead exp(제조경비)'!$C$12:$C$503,'WIP(재공품)'!B180,'Overhead exp(제조경비)'!$Q$12:$Q$503)</f>
        <v>0</v>
      </c>
      <c r="X180" s="112">
        <f t="shared" si="24"/>
        <v>0</v>
      </c>
      <c r="Y180" s="112">
        <f ca="1">ROUND(SUMIF('JUNE (물량흐름)'!$C$13:$C$502,'WIP(재공품)'!B180,'JUNE (물량흐름)'!$N$13:$N$488),0)</f>
        <v>0</v>
      </c>
      <c r="Z180" s="112">
        <f>ROUND(SUMIF('JUNE (물량흐름)'!$C$13:$C$502,'WIP(재공품)'!B180,'JUNE (물량흐름)'!$O$13:$O$502),0)</f>
        <v>23</v>
      </c>
      <c r="AA180" s="112">
        <f>ROUND(SUMIF('JUNE (물량흐름)'!$C$13:$C$502,'WIP(재공품)'!B180,'JUNE (물량흐름)'!$P$13:$P$502),0)</f>
        <v>55</v>
      </c>
      <c r="AB180" s="112">
        <f t="shared" ca="1" si="25"/>
        <v>78</v>
      </c>
      <c r="AC180" s="112">
        <f t="shared" si="26"/>
        <v>1975025</v>
      </c>
      <c r="AD180" s="381">
        <f t="shared" ca="1" si="27"/>
        <v>0</v>
      </c>
      <c r="AE180" s="381">
        <f t="shared" si="28"/>
        <v>0</v>
      </c>
      <c r="AF180" s="382"/>
      <c r="AG180" s="382">
        <v>0</v>
      </c>
      <c r="AH180" s="383">
        <f t="shared" si="29"/>
        <v>0.35</v>
      </c>
      <c r="AJ180" s="383"/>
      <c r="AL180" s="385"/>
      <c r="AM180" s="381"/>
      <c r="AN180" s="382"/>
      <c r="AO180" s="382"/>
      <c r="AP180" s="383"/>
      <c r="AQ180" s="383"/>
    </row>
    <row r="181" spans="1:43" s="384" customFormat="1" ht="18.75" customHeight="1">
      <c r="A181" s="167">
        <v>171</v>
      </c>
      <c r="B181" s="240">
        <f>VLOOKUP(A181,'JUNE (물량흐름)'!$A$13:$C$502,3,0)</f>
        <v>100008730</v>
      </c>
      <c r="C181" s="21" t="str">
        <f>VLOOKUP(A181,'JUNE (물량흐름)'!$A$13:$C$502,2,0)</f>
        <v>ALFANI</v>
      </c>
      <c r="D181" s="212">
        <v>0.35</v>
      </c>
      <c r="E181" s="6">
        <f>VLOOKUP(B181,'Sales profit (스타일 별 매출이익)'!$D$9:$P$491,13,0)</f>
        <v>7936.2499999999991</v>
      </c>
      <c r="F181" s="112">
        <f>IFERROR(VLOOKUP(B181,O.B.JUNE!$N$7:$Q$448,2,0),0)</f>
        <v>0</v>
      </c>
      <c r="G181" s="112">
        <f>IFERROR(VLOOKUP(B181,O.B.JUNE!$N$7:$Q$448,3,0),0)</f>
        <v>0</v>
      </c>
      <c r="H181" s="112">
        <f>IFERROR(VLOOKUP(B181,O.B.JUNE!$N$7:$Q$448,4,0),0)</f>
        <v>130</v>
      </c>
      <c r="I181" s="112">
        <f t="shared" si="21"/>
        <v>130</v>
      </c>
      <c r="J181" s="112">
        <f>IFERROR(VLOOKUP(B181,O.B.JUNE!$AA$7:$AG$448,7,0),0)</f>
        <v>1075137</v>
      </c>
      <c r="K181" s="112">
        <f>IFERROR(VLOOKUP(B181,O.B.JUNE!$AI$7:$AO$448,7,0),0)</f>
        <v>1482811</v>
      </c>
      <c r="L181" s="112">
        <f t="shared" si="22"/>
        <v>2557948</v>
      </c>
      <c r="M181" s="112">
        <f>ROUND(SUMIF('JUNE (물량흐름)'!$C$13:$C$502,'WIP(재공품)'!B181,'JUNE (물량흐름)'!$H$13:$H$502)+SUMIF('JUNE (물량흐름)'!$C$13:$C$502,'WIP(재공품)'!B181,'JUNE (물량흐름)'!$V$13:$V$502),0)</f>
        <v>0</v>
      </c>
      <c r="N181" s="112">
        <f>SUMIF('Direct labour(직접노무비)'!$C$12:$C$503,'WIP(재공품)'!B181,'Direct labour(직접노무비)'!$O$12:$O$503)</f>
        <v>0</v>
      </c>
      <c r="O181" s="112">
        <f>SUMIF('Overhead exp(제조경비)'!$C$12:$C$503,'WIP(재공품)'!B181,'Overhead exp(제조경비)'!$O$12:$O$503)</f>
        <v>0</v>
      </c>
      <c r="P181" s="112">
        <f t="shared" si="23"/>
        <v>0</v>
      </c>
      <c r="Q181" s="112">
        <v>0</v>
      </c>
      <c r="R181" s="112">
        <v>0</v>
      </c>
      <c r="S181" s="112">
        <f>SUMIF('JUNE (물량흐름)'!$C$13:$C$493,'WIP(재공품)'!B181,'JUNE (물량흐름)'!$T$13:$T$493)+SUMIF('JUNE (물량흐름)'!$C$13:$C$493,'WIP(재공품)'!B181,'JUNE (물량흐름)'!$U$13:$U$493)+SUMIF('JUNE (물량흐름)'!$C$13:$C$493,'WIP(재공품)'!B181,'JUNE (물량흐름)'!$V$13:$V$493)-SUMIF('JUNE (물량흐름)'!$C$13:$C$493,'WIP(재공품)'!B181,'JUNE (물량흐름)'!$Y$13:$Y$493)</f>
        <v>0</v>
      </c>
      <c r="T181" s="112">
        <f>SUMIF('JUNE (물량흐름)'!$C$13:$C$502,'WIP(재공품)'!B181,'JUNE (물량흐름)'!$Y$13:$Y$502)</f>
        <v>0</v>
      </c>
      <c r="U181" s="167">
        <f>SUMIF('Direct labour(직접노무비)'!$C$12:$C$503,'WIP(재공품)'!B181,'Direct labour(직접노무비)'!$U$12:$U$503)+SUMIF('Overhead exp(제조경비)'!$C$12:$C$503,'WIP(재공품)'!B181,'Overhead exp(제조경비)'!$U$12:$U$503)</f>
        <v>0</v>
      </c>
      <c r="V181" s="112">
        <f>SUMIF('Direct labour(직접노무비)'!$C$12:$C$503,'WIP(재공품)'!B181,'Direct labour(직접노무비)'!$Q$12:$Q$503)</f>
        <v>0</v>
      </c>
      <c r="W181" s="112">
        <f>SUMIF('Overhead exp(제조경비)'!$C$12:$C$503,'WIP(재공품)'!B181,'Overhead exp(제조경비)'!$Q$12:$Q$503)</f>
        <v>0</v>
      </c>
      <c r="X181" s="112">
        <f t="shared" si="24"/>
        <v>0</v>
      </c>
      <c r="Y181" s="112">
        <f ca="1">ROUND(SUMIF('JUNE (물량흐름)'!$C$13:$C$502,'WIP(재공품)'!B181,'JUNE (물량흐름)'!$N$13:$N$488),0)</f>
        <v>0</v>
      </c>
      <c r="Z181" s="112">
        <f>ROUND(SUMIF('JUNE (물량흐름)'!$C$13:$C$502,'WIP(재공품)'!B181,'JUNE (물량흐름)'!$O$13:$O$502),0)</f>
        <v>0</v>
      </c>
      <c r="AA181" s="112">
        <f>ROUND(SUMIF('JUNE (물량흐름)'!$C$13:$C$502,'WIP(재공품)'!B181,'JUNE (물량흐름)'!$P$13:$P$502),0)</f>
        <v>130</v>
      </c>
      <c r="AB181" s="112">
        <f t="shared" ca="1" si="25"/>
        <v>130</v>
      </c>
      <c r="AC181" s="112">
        <f t="shared" si="26"/>
        <v>2557948</v>
      </c>
      <c r="AD181" s="381">
        <f t="shared" ca="1" si="27"/>
        <v>0</v>
      </c>
      <c r="AE181" s="381">
        <f t="shared" si="28"/>
        <v>0</v>
      </c>
      <c r="AF181" s="382"/>
      <c r="AG181" s="382">
        <v>2.2000000000000002</v>
      </c>
      <c r="AH181" s="383">
        <f t="shared" si="29"/>
        <v>-1.85</v>
      </c>
      <c r="AJ181" s="383"/>
      <c r="AL181" s="385"/>
      <c r="AM181" s="381"/>
      <c r="AN181" s="382"/>
      <c r="AO181" s="382"/>
      <c r="AP181" s="383"/>
      <c r="AQ181" s="383"/>
    </row>
    <row r="182" spans="1:43" s="384" customFormat="1" ht="18.75" customHeight="1">
      <c r="A182" s="167">
        <v>172</v>
      </c>
      <c r="B182" s="240">
        <f>VLOOKUP(A182,'JUNE (물량흐름)'!$A$13:$C$502,3,0)</f>
        <v>100008747</v>
      </c>
      <c r="C182" s="21" t="str">
        <f>VLOOKUP(A182,'JUNE (물량흐름)'!$A$13:$C$502,2,0)</f>
        <v>ALFANI</v>
      </c>
      <c r="D182" s="212">
        <v>0.35</v>
      </c>
      <c r="E182" s="6">
        <f>VLOOKUP(B182,'Sales profit (스타일 별 매출이익)'!$D$9:$P$491,13,0)</f>
        <v>7936.2499999999991</v>
      </c>
      <c r="F182" s="112">
        <f>IFERROR(VLOOKUP(B182,O.B.JUNE!$N$7:$Q$448,2,0),0)</f>
        <v>0</v>
      </c>
      <c r="G182" s="112">
        <f>IFERROR(VLOOKUP(B182,O.B.JUNE!$N$7:$Q$448,3,0),0)</f>
        <v>0</v>
      </c>
      <c r="H182" s="112">
        <f>IFERROR(VLOOKUP(B182,O.B.JUNE!$N$7:$Q$448,4,0),0)</f>
        <v>683</v>
      </c>
      <c r="I182" s="112">
        <f t="shared" si="21"/>
        <v>683</v>
      </c>
      <c r="J182" s="112">
        <f>IFERROR(VLOOKUP(B182,O.B.JUNE!$AA$7:$AG$448,7,0),0)</f>
        <v>2901079</v>
      </c>
      <c r="K182" s="112">
        <f>IFERROR(VLOOKUP(B182,O.B.JUNE!$AI$7:$AO$448,7,0),0)</f>
        <v>4001116</v>
      </c>
      <c r="L182" s="112">
        <f t="shared" si="22"/>
        <v>6902195</v>
      </c>
      <c r="M182" s="112">
        <f>ROUND(SUMIF('JUNE (물량흐름)'!$C$13:$C$502,'WIP(재공품)'!B182,'JUNE (물량흐름)'!$H$13:$H$502)+SUMIF('JUNE (물량흐름)'!$C$13:$C$502,'WIP(재공품)'!B182,'JUNE (물량흐름)'!$V$13:$V$502),0)</f>
        <v>0</v>
      </c>
      <c r="N182" s="112">
        <f>SUMIF('Direct labour(직접노무비)'!$C$12:$C$503,'WIP(재공품)'!B182,'Direct labour(직접노무비)'!$O$12:$O$503)</f>
        <v>0</v>
      </c>
      <c r="O182" s="112">
        <f>SUMIF('Overhead exp(제조경비)'!$C$12:$C$503,'WIP(재공품)'!B182,'Overhead exp(제조경비)'!$O$12:$O$503)</f>
        <v>0</v>
      </c>
      <c r="P182" s="112">
        <f t="shared" si="23"/>
        <v>0</v>
      </c>
      <c r="Q182" s="112">
        <v>0</v>
      </c>
      <c r="R182" s="112">
        <v>0</v>
      </c>
      <c r="S182" s="112">
        <f>SUMIF('JUNE (물량흐름)'!$C$13:$C$493,'WIP(재공품)'!B182,'JUNE (물량흐름)'!$T$13:$T$493)+SUMIF('JUNE (물량흐름)'!$C$13:$C$493,'WIP(재공품)'!B182,'JUNE (물량흐름)'!$U$13:$U$493)+SUMIF('JUNE (물량흐름)'!$C$13:$C$493,'WIP(재공품)'!B182,'JUNE (물량흐름)'!$V$13:$V$493)-SUMIF('JUNE (물량흐름)'!$C$13:$C$493,'WIP(재공품)'!B182,'JUNE (물량흐름)'!$Y$13:$Y$493)</f>
        <v>0</v>
      </c>
      <c r="T182" s="112">
        <f>SUMIF('JUNE (물량흐름)'!$C$13:$C$502,'WIP(재공품)'!B182,'JUNE (물량흐름)'!$Y$13:$Y$502)</f>
        <v>0</v>
      </c>
      <c r="U182" s="167">
        <f>SUMIF('Direct labour(직접노무비)'!$C$12:$C$503,'WIP(재공품)'!B182,'Direct labour(직접노무비)'!$U$12:$U$503)+SUMIF('Overhead exp(제조경비)'!$C$12:$C$503,'WIP(재공품)'!B182,'Overhead exp(제조경비)'!$U$12:$U$503)</f>
        <v>0</v>
      </c>
      <c r="V182" s="112">
        <f>SUMIF('Direct labour(직접노무비)'!$C$12:$C$503,'WIP(재공품)'!B182,'Direct labour(직접노무비)'!$Q$12:$Q$503)</f>
        <v>0</v>
      </c>
      <c r="W182" s="112">
        <f>SUMIF('Overhead exp(제조경비)'!$C$12:$C$503,'WIP(재공품)'!B182,'Overhead exp(제조경비)'!$Q$12:$Q$503)</f>
        <v>0</v>
      </c>
      <c r="X182" s="112">
        <f t="shared" si="24"/>
        <v>0</v>
      </c>
      <c r="Y182" s="112">
        <f ca="1">ROUND(SUMIF('JUNE (물량흐름)'!$C$13:$C$502,'WIP(재공품)'!B182,'JUNE (물량흐름)'!$N$13:$N$488),0)</f>
        <v>0</v>
      </c>
      <c r="Z182" s="112">
        <f>ROUND(SUMIF('JUNE (물량흐름)'!$C$13:$C$502,'WIP(재공품)'!B182,'JUNE (물량흐름)'!$O$13:$O$502),0)</f>
        <v>0</v>
      </c>
      <c r="AA182" s="112">
        <f>ROUND(SUMIF('JUNE (물량흐름)'!$C$13:$C$502,'WIP(재공품)'!B182,'JUNE (물량흐름)'!$P$13:$P$502),0)</f>
        <v>683</v>
      </c>
      <c r="AB182" s="112">
        <f t="shared" ca="1" si="25"/>
        <v>683</v>
      </c>
      <c r="AC182" s="112">
        <f t="shared" si="26"/>
        <v>6902195</v>
      </c>
      <c r="AD182" s="381">
        <f t="shared" ca="1" si="27"/>
        <v>0</v>
      </c>
      <c r="AE182" s="381">
        <f t="shared" si="28"/>
        <v>0</v>
      </c>
      <c r="AF182" s="382"/>
      <c r="AG182" s="382">
        <v>1.8</v>
      </c>
      <c r="AH182" s="383">
        <f t="shared" si="29"/>
        <v>-1.4500000000000002</v>
      </c>
      <c r="AJ182" s="383"/>
      <c r="AL182" s="385"/>
      <c r="AM182" s="381"/>
      <c r="AN182" s="382"/>
      <c r="AO182" s="382"/>
      <c r="AP182" s="383"/>
      <c r="AQ182" s="383"/>
    </row>
    <row r="183" spans="1:43" s="384" customFormat="1" ht="18.75" customHeight="1">
      <c r="A183" s="167">
        <v>173</v>
      </c>
      <c r="B183" s="240">
        <f>VLOOKUP(A183,'JUNE (물량흐름)'!$A$13:$C$502,3,0)</f>
        <v>100008749</v>
      </c>
      <c r="C183" s="21" t="str">
        <f>VLOOKUP(A183,'JUNE (물량흐름)'!$A$13:$C$502,2,0)</f>
        <v>ALFANI</v>
      </c>
      <c r="D183" s="212">
        <v>0.36</v>
      </c>
      <c r="E183" s="6">
        <f>VLOOKUP(B183,'Sales profit (스타일 별 매출이익)'!$D$9:$P$491,13,0)</f>
        <v>8163</v>
      </c>
      <c r="F183" s="112">
        <f>IFERROR(VLOOKUP(B183,O.B.JUNE!$N$7:$Q$448,2,0),0)</f>
        <v>0</v>
      </c>
      <c r="G183" s="112">
        <f>IFERROR(VLOOKUP(B183,O.B.JUNE!$N$7:$Q$448,3,0),0)</f>
        <v>0</v>
      </c>
      <c r="H183" s="112">
        <f>IFERROR(VLOOKUP(B183,O.B.JUNE!$N$7:$Q$448,4,0),0)</f>
        <v>201</v>
      </c>
      <c r="I183" s="112">
        <f t="shared" si="21"/>
        <v>201</v>
      </c>
      <c r="J183" s="112">
        <f>IFERROR(VLOOKUP(B183,O.B.JUNE!$AA$7:$AG$448,7,0),0)</f>
        <v>3705127</v>
      </c>
      <c r="K183" s="112">
        <f>IFERROR(VLOOKUP(B183,O.B.JUNE!$AI$7:$AO$448,7,0),0)</f>
        <v>5042893</v>
      </c>
      <c r="L183" s="112">
        <f t="shared" si="22"/>
        <v>8748020</v>
      </c>
      <c r="M183" s="112">
        <f>ROUND(SUMIF('JUNE (물량흐름)'!$C$13:$C$502,'WIP(재공품)'!B183,'JUNE (물량흐름)'!$H$13:$H$502)+SUMIF('JUNE (물량흐름)'!$C$13:$C$502,'WIP(재공품)'!B183,'JUNE (물량흐름)'!$V$13:$V$502),0)</f>
        <v>5640</v>
      </c>
      <c r="N183" s="112">
        <f>SUMIF('Direct labour(직접노무비)'!$C$12:$C$503,'WIP(재공품)'!B183,'Direct labour(직접노무비)'!$O$12:$O$503)</f>
        <v>11264771</v>
      </c>
      <c r="O183" s="112">
        <f>SUMIF('Overhead exp(제조경비)'!$C$12:$C$503,'WIP(재공품)'!B183,'Overhead exp(제조경비)'!$O$12:$O$503)</f>
        <v>22008415</v>
      </c>
      <c r="P183" s="112">
        <f t="shared" si="23"/>
        <v>33273186</v>
      </c>
      <c r="Q183" s="112">
        <v>0</v>
      </c>
      <c r="R183" s="112">
        <v>0</v>
      </c>
      <c r="S183" s="112">
        <f>SUMIF('JUNE (물량흐름)'!$C$13:$C$493,'WIP(재공품)'!B183,'JUNE (물량흐름)'!$T$13:$T$493)+SUMIF('JUNE (물량흐름)'!$C$13:$C$493,'WIP(재공품)'!B183,'JUNE (물량흐름)'!$U$13:$U$493)+SUMIF('JUNE (물량흐름)'!$C$13:$C$493,'WIP(재공품)'!B183,'JUNE (물량흐름)'!$V$13:$V$493)-SUMIF('JUNE (물량흐름)'!$C$13:$C$493,'WIP(재공품)'!B183,'JUNE (물량흐름)'!$Y$13:$Y$493)</f>
        <v>0</v>
      </c>
      <c r="T183" s="112">
        <f>SUMIF('JUNE (물량흐름)'!$C$13:$C$502,'WIP(재공품)'!B183,'JUNE (물량흐름)'!$Y$13:$Y$502)</f>
        <v>0</v>
      </c>
      <c r="U183" s="167">
        <f>SUMIF('Direct labour(직접노무비)'!$C$12:$C$503,'WIP(재공품)'!B183,'Direct labour(직접노무비)'!$U$12:$U$503)+SUMIF('Overhead exp(제조경비)'!$C$12:$C$503,'WIP(재공품)'!B183,'Overhead exp(제조경비)'!$U$12:$U$503)</f>
        <v>0</v>
      </c>
      <c r="V183" s="112">
        <f>SUMIF('Direct labour(직접노무비)'!$C$12:$C$503,'WIP(재공품)'!B183,'Direct labour(직접노무비)'!$Q$12:$Q$503)</f>
        <v>0</v>
      </c>
      <c r="W183" s="112">
        <f>SUMIF('Overhead exp(제조경비)'!$C$12:$C$503,'WIP(재공품)'!B183,'Overhead exp(제조경비)'!$Q$12:$Q$503)</f>
        <v>0</v>
      </c>
      <c r="X183" s="112">
        <f t="shared" si="24"/>
        <v>0</v>
      </c>
      <c r="Y183" s="112">
        <f ca="1">ROUND(SUMIF('JUNE (물량흐름)'!$C$13:$C$502,'WIP(재공품)'!B183,'JUNE (물량흐름)'!$N$13:$N$488),0)</f>
        <v>0</v>
      </c>
      <c r="Z183" s="112">
        <f>ROUND(SUMIF('JUNE (물량흐름)'!$C$13:$C$502,'WIP(재공품)'!B183,'JUNE (물량흐름)'!$O$13:$O$502),0)</f>
        <v>166</v>
      </c>
      <c r="AA183" s="112">
        <f>ROUND(SUMIF('JUNE (물량흐름)'!$C$13:$C$502,'WIP(재공품)'!B183,'JUNE (물량흐름)'!$P$13:$P$502),0)</f>
        <v>5675</v>
      </c>
      <c r="AB183" s="112">
        <f t="shared" ca="1" si="25"/>
        <v>5841</v>
      </c>
      <c r="AC183" s="112">
        <f t="shared" si="26"/>
        <v>42021206</v>
      </c>
      <c r="AD183" s="381">
        <f t="shared" ca="1" si="27"/>
        <v>0</v>
      </c>
      <c r="AE183" s="381">
        <f t="shared" si="28"/>
        <v>0</v>
      </c>
      <c r="AF183" s="382"/>
      <c r="AG183" s="382">
        <v>2.5</v>
      </c>
      <c r="AH183" s="383">
        <f t="shared" si="29"/>
        <v>-2.14</v>
      </c>
      <c r="AJ183" s="383"/>
      <c r="AL183" s="385"/>
      <c r="AM183" s="381"/>
      <c r="AN183" s="382"/>
      <c r="AO183" s="382"/>
      <c r="AP183" s="383"/>
      <c r="AQ183" s="383"/>
    </row>
    <row r="184" spans="1:43" s="384" customFormat="1" ht="18.75" customHeight="1">
      <c r="A184" s="167">
        <v>174</v>
      </c>
      <c r="B184" s="240">
        <f>VLOOKUP(A184,'JUNE (물량흐름)'!$A$13:$C$502,3,0)</f>
        <v>100008773</v>
      </c>
      <c r="C184" s="21" t="str">
        <f>VLOOKUP(A184,'JUNE (물량흐름)'!$A$13:$C$502,2,0)</f>
        <v>ALFANI</v>
      </c>
      <c r="D184" s="212">
        <v>0.36</v>
      </c>
      <c r="E184" s="6">
        <f>VLOOKUP(B184,'Sales profit (스타일 별 매출이익)'!$D$9:$P$491,13,0)</f>
        <v>8163</v>
      </c>
      <c r="F184" s="112">
        <f>IFERROR(VLOOKUP(B184,O.B.JUNE!$N$7:$Q$448,2,0),0)</f>
        <v>0</v>
      </c>
      <c r="G184" s="112">
        <f>IFERROR(VLOOKUP(B184,O.B.JUNE!$N$7:$Q$448,3,0),0)</f>
        <v>0</v>
      </c>
      <c r="H184" s="112">
        <f>IFERROR(VLOOKUP(B184,O.B.JUNE!$N$7:$Q$448,4,0),0)</f>
        <v>70</v>
      </c>
      <c r="I184" s="112">
        <f t="shared" si="21"/>
        <v>70</v>
      </c>
      <c r="J184" s="112">
        <f>IFERROR(VLOOKUP(B184,O.B.JUNE!$AA$7:$AG$448,7,0),0)</f>
        <v>797512</v>
      </c>
      <c r="K184" s="112">
        <f>IFERROR(VLOOKUP(B184,O.B.JUNE!$AI$7:$AO$448,7,0),0)</f>
        <v>1091625</v>
      </c>
      <c r="L184" s="112">
        <f t="shared" si="22"/>
        <v>1889137</v>
      </c>
      <c r="M184" s="112">
        <f>ROUND(SUMIF('JUNE (물량흐름)'!$C$13:$C$502,'WIP(재공품)'!B184,'JUNE (물량흐름)'!$H$13:$H$502)+SUMIF('JUNE (물량흐름)'!$C$13:$C$502,'WIP(재공품)'!B184,'JUNE (물량흐름)'!$V$13:$V$502),0)</f>
        <v>0</v>
      </c>
      <c r="N184" s="112">
        <f>SUMIF('Direct labour(직접노무비)'!$C$12:$C$503,'WIP(재공품)'!B184,'Direct labour(직접노무비)'!$O$12:$O$503)</f>
        <v>0</v>
      </c>
      <c r="O184" s="112">
        <f>SUMIF('Overhead exp(제조경비)'!$C$12:$C$503,'WIP(재공품)'!B184,'Overhead exp(제조경비)'!$O$12:$O$503)</f>
        <v>0</v>
      </c>
      <c r="P184" s="112">
        <f t="shared" si="23"/>
        <v>0</v>
      </c>
      <c r="Q184" s="112">
        <v>0</v>
      </c>
      <c r="R184" s="112">
        <v>0</v>
      </c>
      <c r="S184" s="112">
        <f>SUMIF('JUNE (물량흐름)'!$C$13:$C$493,'WIP(재공품)'!B184,'JUNE (물량흐름)'!$T$13:$T$493)+SUMIF('JUNE (물량흐름)'!$C$13:$C$493,'WIP(재공품)'!B184,'JUNE (물량흐름)'!$U$13:$U$493)+SUMIF('JUNE (물량흐름)'!$C$13:$C$493,'WIP(재공품)'!B184,'JUNE (물량흐름)'!$V$13:$V$493)-SUMIF('JUNE (물량흐름)'!$C$13:$C$493,'WIP(재공품)'!B184,'JUNE (물량흐름)'!$Y$13:$Y$493)</f>
        <v>0</v>
      </c>
      <c r="T184" s="112">
        <f>SUMIF('JUNE (물량흐름)'!$C$13:$C$502,'WIP(재공품)'!B184,'JUNE (물량흐름)'!$Y$13:$Y$502)</f>
        <v>0</v>
      </c>
      <c r="U184" s="167">
        <f>SUMIF('Direct labour(직접노무비)'!$C$12:$C$503,'WIP(재공품)'!B184,'Direct labour(직접노무비)'!$U$12:$U$503)+SUMIF('Overhead exp(제조경비)'!$C$12:$C$503,'WIP(재공품)'!B184,'Overhead exp(제조경비)'!$U$12:$U$503)</f>
        <v>0</v>
      </c>
      <c r="V184" s="112">
        <f>SUMIF('Direct labour(직접노무비)'!$C$12:$C$503,'WIP(재공품)'!B184,'Direct labour(직접노무비)'!$Q$12:$Q$503)</f>
        <v>0</v>
      </c>
      <c r="W184" s="112">
        <f>SUMIF('Overhead exp(제조경비)'!$C$12:$C$503,'WIP(재공품)'!B184,'Overhead exp(제조경비)'!$Q$12:$Q$503)</f>
        <v>0</v>
      </c>
      <c r="X184" s="112">
        <f t="shared" si="24"/>
        <v>0</v>
      </c>
      <c r="Y184" s="112">
        <f ca="1">ROUND(SUMIF('JUNE (물량흐름)'!$C$13:$C$502,'WIP(재공품)'!B184,'JUNE (물량흐름)'!$N$13:$N$488),0)</f>
        <v>0</v>
      </c>
      <c r="Z184" s="112">
        <f>ROUND(SUMIF('JUNE (물량흐름)'!$C$13:$C$502,'WIP(재공품)'!B184,'JUNE (물량흐름)'!$O$13:$O$502),0)</f>
        <v>0</v>
      </c>
      <c r="AA184" s="112">
        <f>ROUND(SUMIF('JUNE (물량흐름)'!$C$13:$C$502,'WIP(재공품)'!B184,'JUNE (물량흐름)'!$P$13:$P$502),0)</f>
        <v>70</v>
      </c>
      <c r="AB184" s="112">
        <f t="shared" ca="1" si="25"/>
        <v>70</v>
      </c>
      <c r="AC184" s="112">
        <f t="shared" si="26"/>
        <v>1889137</v>
      </c>
      <c r="AD184" s="381">
        <f t="shared" ca="1" si="27"/>
        <v>0</v>
      </c>
      <c r="AE184" s="381">
        <f t="shared" si="28"/>
        <v>0</v>
      </c>
      <c r="AF184" s="382"/>
      <c r="AG184" s="382">
        <v>0.3</v>
      </c>
      <c r="AH184" s="383">
        <f t="shared" si="29"/>
        <v>0.06</v>
      </c>
      <c r="AJ184" s="383"/>
      <c r="AL184" s="385"/>
      <c r="AM184" s="381"/>
      <c r="AN184" s="382"/>
      <c r="AO184" s="382"/>
      <c r="AP184" s="383"/>
      <c r="AQ184" s="383"/>
    </row>
    <row r="185" spans="1:43" s="384" customFormat="1" ht="18.75" customHeight="1">
      <c r="A185" s="167">
        <v>175</v>
      </c>
      <c r="B185" s="240">
        <f>VLOOKUP(A185,'JUNE (물량흐름)'!$A$13:$C$502,3,0)</f>
        <v>100009618</v>
      </c>
      <c r="C185" s="21" t="str">
        <f>VLOOKUP(A185,'JUNE (물량흐름)'!$A$13:$C$502,2,0)</f>
        <v>ALFANI</v>
      </c>
      <c r="D185" s="212">
        <v>0.35</v>
      </c>
      <c r="E185" s="6">
        <f>VLOOKUP(B185,'Sales profit (스타일 별 매출이익)'!$D$9:$P$491,13,0)</f>
        <v>7936.2499999999991</v>
      </c>
      <c r="F185" s="112">
        <f>IFERROR(VLOOKUP(B185,O.B.JUNE!$N$7:$Q$448,2,0),0)</f>
        <v>0</v>
      </c>
      <c r="G185" s="112">
        <f>IFERROR(VLOOKUP(B185,O.B.JUNE!$N$7:$Q$448,3,0),0)</f>
        <v>0</v>
      </c>
      <c r="H185" s="112">
        <f>IFERROR(VLOOKUP(B185,O.B.JUNE!$N$7:$Q$448,4,0),0)</f>
        <v>66</v>
      </c>
      <c r="I185" s="112">
        <f t="shared" si="21"/>
        <v>66</v>
      </c>
      <c r="J185" s="112">
        <f>IFERROR(VLOOKUP(B185,O.B.JUNE!$AA$7:$AG$448,7,0),0)</f>
        <v>351860</v>
      </c>
      <c r="K185" s="112">
        <f>IFERROR(VLOOKUP(B185,O.B.JUNE!$AI$7:$AO$448,7,0),0)</f>
        <v>485280</v>
      </c>
      <c r="L185" s="112">
        <f t="shared" si="22"/>
        <v>837140</v>
      </c>
      <c r="M185" s="112">
        <f>ROUND(SUMIF('JUNE (물량흐름)'!$C$13:$C$502,'WIP(재공품)'!B185,'JUNE (물량흐름)'!$H$13:$H$502)+SUMIF('JUNE (물량흐름)'!$C$13:$C$502,'WIP(재공품)'!B185,'JUNE (물량흐름)'!$V$13:$V$502),0)</f>
        <v>1578</v>
      </c>
      <c r="N185" s="112">
        <f>SUMIF('Direct labour(직접노무비)'!$C$12:$C$503,'WIP(재공품)'!B185,'Direct labour(직접노무비)'!$O$12:$O$503)</f>
        <v>3779889</v>
      </c>
      <c r="O185" s="112">
        <f>SUMIF('Overhead exp(제조경비)'!$C$12:$C$503,'WIP(재공품)'!B185,'Overhead exp(제조경비)'!$O$12:$O$503)</f>
        <v>7384915</v>
      </c>
      <c r="P185" s="112">
        <f t="shared" si="23"/>
        <v>11164804</v>
      </c>
      <c r="Q185" s="112">
        <v>0</v>
      </c>
      <c r="R185" s="112">
        <v>0</v>
      </c>
      <c r="S185" s="112">
        <f>SUMIF('JUNE (물량흐름)'!$C$13:$C$493,'WIP(재공품)'!B185,'JUNE (물량흐름)'!$T$13:$T$493)+SUMIF('JUNE (물량흐름)'!$C$13:$C$493,'WIP(재공품)'!B185,'JUNE (물량흐름)'!$U$13:$U$493)+SUMIF('JUNE (물량흐름)'!$C$13:$C$493,'WIP(재공품)'!B185,'JUNE (물량흐름)'!$V$13:$V$493)-SUMIF('JUNE (물량흐름)'!$C$13:$C$493,'WIP(재공품)'!B185,'JUNE (물량흐름)'!$Y$13:$Y$493)</f>
        <v>1455</v>
      </c>
      <c r="T185" s="112">
        <f>SUMIF('JUNE (물량흐름)'!$C$13:$C$502,'WIP(재공품)'!B185,'JUNE (물량흐름)'!$Y$13:$Y$502)</f>
        <v>0</v>
      </c>
      <c r="U185" s="167">
        <f>SUMIF('Direct labour(직접노무비)'!$C$12:$C$503,'WIP(재공품)'!B185,'Direct labour(직접노무비)'!$U$12:$U$503)+SUMIF('Overhead exp(제조경비)'!$C$12:$C$503,'WIP(재공품)'!B185,'Overhead exp(제조경비)'!$U$12:$U$503)</f>
        <v>0</v>
      </c>
      <c r="V185" s="112">
        <f>SUMIF('Direct labour(직접노무비)'!$C$12:$C$503,'WIP(재공품)'!B185,'Direct labour(직접노무비)'!$Q$12:$Q$503)</f>
        <v>3656749</v>
      </c>
      <c r="W185" s="112">
        <f>SUMIF('Overhead exp(제조경비)'!$C$12:$C$503,'WIP(재공품)'!B185,'Overhead exp(제조경비)'!$Q$12:$Q$503)</f>
        <v>6965410</v>
      </c>
      <c r="X185" s="112">
        <f t="shared" si="24"/>
        <v>10622159</v>
      </c>
      <c r="Y185" s="112">
        <f ca="1">ROUND(SUMIF('JUNE (물량흐름)'!$C$13:$C$502,'WIP(재공품)'!B185,'JUNE (물량흐름)'!$N$13:$N$488),0)</f>
        <v>0</v>
      </c>
      <c r="Z185" s="112">
        <f>ROUND(SUMIF('JUNE (물량흐름)'!$C$13:$C$502,'WIP(재공품)'!B185,'JUNE (물량흐름)'!$O$13:$O$502),0)</f>
        <v>45</v>
      </c>
      <c r="AA185" s="112">
        <f>ROUND(SUMIF('JUNE (물량흐름)'!$C$13:$C$502,'WIP(재공품)'!B185,'JUNE (물량흐름)'!$P$13:$P$502),0)</f>
        <v>144</v>
      </c>
      <c r="AB185" s="112">
        <f t="shared" ca="1" si="25"/>
        <v>189</v>
      </c>
      <c r="AC185" s="112">
        <f t="shared" si="26"/>
        <v>1379785</v>
      </c>
      <c r="AD185" s="381">
        <f t="shared" ca="1" si="27"/>
        <v>0</v>
      </c>
      <c r="AE185" s="381">
        <f t="shared" si="28"/>
        <v>0</v>
      </c>
      <c r="AF185" s="382"/>
      <c r="AG185" s="382">
        <v>0</v>
      </c>
      <c r="AH185" s="383">
        <f t="shared" si="29"/>
        <v>0.35</v>
      </c>
      <c r="AJ185" s="383"/>
      <c r="AL185" s="385"/>
      <c r="AM185" s="381"/>
      <c r="AN185" s="382"/>
      <c r="AO185" s="382"/>
      <c r="AP185" s="383"/>
      <c r="AQ185" s="383"/>
    </row>
    <row r="186" spans="1:43" s="384" customFormat="1" ht="18.75" customHeight="1">
      <c r="A186" s="167">
        <v>176</v>
      </c>
      <c r="B186" s="240">
        <f>VLOOKUP(A186,'JUNE (물량흐름)'!$A$13:$C$502,3,0)</f>
        <v>100011932</v>
      </c>
      <c r="C186" s="21" t="str">
        <f>VLOOKUP(A186,'JUNE (물량흐름)'!$A$13:$C$502,2,0)</f>
        <v>ALFANI</v>
      </c>
      <c r="D186" s="212">
        <v>0.35</v>
      </c>
      <c r="E186" s="6">
        <f>VLOOKUP(B186,'Sales profit (스타일 별 매출이익)'!$D$9:$P$491,13,0)</f>
        <v>7936.2499999999991</v>
      </c>
      <c r="F186" s="112">
        <f>IFERROR(VLOOKUP(B186,O.B.JUNE!$N$7:$Q$448,2,0),0)</f>
        <v>0</v>
      </c>
      <c r="G186" s="112">
        <f>IFERROR(VLOOKUP(B186,O.B.JUNE!$N$7:$Q$448,3,0),0)</f>
        <v>0</v>
      </c>
      <c r="H186" s="112">
        <f>IFERROR(VLOOKUP(B186,O.B.JUNE!$N$7:$Q$448,4,0),0)</f>
        <v>11</v>
      </c>
      <c r="I186" s="112">
        <f t="shared" si="21"/>
        <v>11</v>
      </c>
      <c r="J186" s="112">
        <f>IFERROR(VLOOKUP(B186,O.B.JUNE!$AA$7:$AG$448,7,0),0)</f>
        <v>59045</v>
      </c>
      <c r="K186" s="112">
        <f>IFERROR(VLOOKUP(B186,O.B.JUNE!$AI$7:$AO$448,7,0),0)</f>
        <v>81434</v>
      </c>
      <c r="L186" s="112">
        <f t="shared" si="22"/>
        <v>140479</v>
      </c>
      <c r="M186" s="112">
        <f>ROUND(SUMIF('JUNE (물량흐름)'!$C$13:$C$502,'WIP(재공품)'!B186,'JUNE (물량흐름)'!$H$13:$H$502)+SUMIF('JUNE (물량흐름)'!$C$13:$C$502,'WIP(재공품)'!B186,'JUNE (물량흐름)'!$V$13:$V$502),0)</f>
        <v>0</v>
      </c>
      <c r="N186" s="112">
        <f>SUMIF('Direct labour(직접노무비)'!$C$12:$C$503,'WIP(재공품)'!B186,'Direct labour(직접노무비)'!$O$12:$O$503)</f>
        <v>0</v>
      </c>
      <c r="O186" s="112">
        <f>SUMIF('Overhead exp(제조경비)'!$C$12:$C$503,'WIP(재공품)'!B186,'Overhead exp(제조경비)'!$O$12:$O$503)</f>
        <v>0</v>
      </c>
      <c r="P186" s="112">
        <f t="shared" si="23"/>
        <v>0</v>
      </c>
      <c r="Q186" s="112">
        <v>0</v>
      </c>
      <c r="R186" s="112">
        <v>0</v>
      </c>
      <c r="S186" s="112">
        <f>SUMIF('JUNE (물량흐름)'!$C$13:$C$493,'WIP(재공품)'!B186,'JUNE (물량흐름)'!$T$13:$T$493)+SUMIF('JUNE (물량흐름)'!$C$13:$C$493,'WIP(재공품)'!B186,'JUNE (물량흐름)'!$U$13:$U$493)+SUMIF('JUNE (물량흐름)'!$C$13:$C$493,'WIP(재공품)'!B186,'JUNE (물량흐름)'!$V$13:$V$493)-SUMIF('JUNE (물량흐름)'!$C$13:$C$493,'WIP(재공품)'!B186,'JUNE (물량흐름)'!$Y$13:$Y$493)</f>
        <v>0</v>
      </c>
      <c r="T186" s="112">
        <f>SUMIF('JUNE (물량흐름)'!$C$13:$C$502,'WIP(재공품)'!B186,'JUNE (물량흐름)'!$Y$13:$Y$502)</f>
        <v>0</v>
      </c>
      <c r="U186" s="167">
        <f>SUMIF('Direct labour(직접노무비)'!$C$12:$C$503,'WIP(재공품)'!B186,'Direct labour(직접노무비)'!$U$12:$U$503)+SUMIF('Overhead exp(제조경비)'!$C$12:$C$503,'WIP(재공품)'!B186,'Overhead exp(제조경비)'!$U$12:$U$503)</f>
        <v>0</v>
      </c>
      <c r="V186" s="112">
        <f>SUMIF('Direct labour(직접노무비)'!$C$12:$C$503,'WIP(재공품)'!B186,'Direct labour(직접노무비)'!$Q$12:$Q$503)</f>
        <v>0</v>
      </c>
      <c r="W186" s="112">
        <f>SUMIF('Overhead exp(제조경비)'!$C$12:$C$503,'WIP(재공품)'!B186,'Overhead exp(제조경비)'!$Q$12:$Q$503)</f>
        <v>0</v>
      </c>
      <c r="X186" s="112">
        <f t="shared" si="24"/>
        <v>0</v>
      </c>
      <c r="Y186" s="112">
        <f ca="1">ROUND(SUMIF('JUNE (물량흐름)'!$C$13:$C$502,'WIP(재공품)'!B186,'JUNE (물량흐름)'!$N$13:$N$488),0)</f>
        <v>0</v>
      </c>
      <c r="Z186" s="112">
        <f>ROUND(SUMIF('JUNE (물량흐름)'!$C$13:$C$502,'WIP(재공품)'!B186,'JUNE (물량흐름)'!$O$13:$O$502),0)</f>
        <v>0</v>
      </c>
      <c r="AA186" s="112">
        <f>ROUND(SUMIF('JUNE (물량흐름)'!$C$13:$C$502,'WIP(재공품)'!B186,'JUNE (물량흐름)'!$P$13:$P$502),0)</f>
        <v>11</v>
      </c>
      <c r="AB186" s="112">
        <f t="shared" ca="1" si="25"/>
        <v>11</v>
      </c>
      <c r="AC186" s="112">
        <f t="shared" si="26"/>
        <v>140479</v>
      </c>
      <c r="AD186" s="381">
        <f t="shared" ca="1" si="27"/>
        <v>0</v>
      </c>
      <c r="AE186" s="381">
        <f t="shared" si="28"/>
        <v>0</v>
      </c>
      <c r="AF186" s="382"/>
      <c r="AG186" s="382">
        <v>0</v>
      </c>
      <c r="AH186" s="383">
        <f t="shared" si="29"/>
        <v>0.35</v>
      </c>
      <c r="AJ186" s="383"/>
      <c r="AL186" s="385"/>
      <c r="AM186" s="381"/>
      <c r="AN186" s="382"/>
      <c r="AO186" s="382"/>
      <c r="AP186" s="383"/>
      <c r="AQ186" s="383"/>
    </row>
    <row r="187" spans="1:43" s="384" customFormat="1" ht="18.75" customHeight="1">
      <c r="A187" s="167">
        <v>177</v>
      </c>
      <c r="B187" s="240">
        <f>VLOOKUP(A187,'JUNE (물량흐름)'!$A$13:$C$502,3,0)</f>
        <v>100011935</v>
      </c>
      <c r="C187" s="21" t="str">
        <f>VLOOKUP(A187,'JUNE (물량흐름)'!$A$13:$C$502,2,0)</f>
        <v>ALFANI</v>
      </c>
      <c r="D187" s="212">
        <v>0.35</v>
      </c>
      <c r="E187" s="6">
        <f>VLOOKUP(B187,'Sales profit (스타일 별 매출이익)'!$D$9:$P$491,13,0)</f>
        <v>7936.2499999999991</v>
      </c>
      <c r="F187" s="112">
        <f>IFERROR(VLOOKUP(B187,O.B.JUNE!$N$7:$Q$448,2,0),0)</f>
        <v>0</v>
      </c>
      <c r="G187" s="112">
        <f>IFERROR(VLOOKUP(B187,O.B.JUNE!$N$7:$Q$448,3,0),0)</f>
        <v>0</v>
      </c>
      <c r="H187" s="112">
        <f>IFERROR(VLOOKUP(B187,O.B.JUNE!$N$7:$Q$448,4,0),0)</f>
        <v>85</v>
      </c>
      <c r="I187" s="112">
        <f t="shared" si="21"/>
        <v>85</v>
      </c>
      <c r="J187" s="112">
        <f>IFERROR(VLOOKUP(B187,O.B.JUNE!$AA$7:$AG$448,7,0),0)</f>
        <v>529334</v>
      </c>
      <c r="K187" s="112">
        <f>IFERROR(VLOOKUP(B187,O.B.JUNE!$AI$7:$AO$448,7,0),0)</f>
        <v>651893</v>
      </c>
      <c r="L187" s="112">
        <f t="shared" si="22"/>
        <v>1181227</v>
      </c>
      <c r="M187" s="112">
        <f>ROUND(SUMIF('JUNE (물량흐름)'!$C$13:$C$502,'WIP(재공품)'!B187,'JUNE (물량흐름)'!$H$13:$H$502)+SUMIF('JUNE (물량흐름)'!$C$13:$C$502,'WIP(재공품)'!B187,'JUNE (물량흐름)'!$V$13:$V$502),0)</f>
        <v>0</v>
      </c>
      <c r="N187" s="112">
        <f>SUMIF('Direct labour(직접노무비)'!$C$12:$C$503,'WIP(재공품)'!B187,'Direct labour(직접노무비)'!$O$12:$O$503)</f>
        <v>0</v>
      </c>
      <c r="O187" s="112">
        <f>SUMIF('Overhead exp(제조경비)'!$C$12:$C$503,'WIP(재공품)'!B187,'Overhead exp(제조경비)'!$O$12:$O$503)</f>
        <v>0</v>
      </c>
      <c r="P187" s="112">
        <f t="shared" si="23"/>
        <v>0</v>
      </c>
      <c r="Q187" s="112">
        <v>0</v>
      </c>
      <c r="R187" s="112">
        <v>0</v>
      </c>
      <c r="S187" s="112">
        <f>SUMIF('JUNE (물량흐름)'!$C$13:$C$493,'WIP(재공품)'!B187,'JUNE (물량흐름)'!$T$13:$T$493)+SUMIF('JUNE (물량흐름)'!$C$13:$C$493,'WIP(재공품)'!B187,'JUNE (물량흐름)'!$U$13:$U$493)+SUMIF('JUNE (물량흐름)'!$C$13:$C$493,'WIP(재공품)'!B187,'JUNE (물량흐름)'!$V$13:$V$493)-SUMIF('JUNE (물량흐름)'!$C$13:$C$493,'WIP(재공품)'!B187,'JUNE (물량흐름)'!$Y$13:$Y$493)</f>
        <v>0</v>
      </c>
      <c r="T187" s="112">
        <f>SUMIF('JUNE (물량흐름)'!$C$13:$C$502,'WIP(재공품)'!B187,'JUNE (물량흐름)'!$Y$13:$Y$502)</f>
        <v>0</v>
      </c>
      <c r="U187" s="167">
        <f>SUMIF('Direct labour(직접노무비)'!$C$12:$C$503,'WIP(재공품)'!B187,'Direct labour(직접노무비)'!$U$12:$U$503)+SUMIF('Overhead exp(제조경비)'!$C$12:$C$503,'WIP(재공품)'!B187,'Overhead exp(제조경비)'!$U$12:$U$503)</f>
        <v>0</v>
      </c>
      <c r="V187" s="112">
        <f>SUMIF('Direct labour(직접노무비)'!$C$12:$C$503,'WIP(재공품)'!B187,'Direct labour(직접노무비)'!$Q$12:$Q$503)</f>
        <v>0</v>
      </c>
      <c r="W187" s="112">
        <f>SUMIF('Overhead exp(제조경비)'!$C$12:$C$503,'WIP(재공품)'!B187,'Overhead exp(제조경비)'!$Q$12:$Q$503)</f>
        <v>0</v>
      </c>
      <c r="X187" s="112">
        <f t="shared" si="24"/>
        <v>0</v>
      </c>
      <c r="Y187" s="112">
        <f ca="1">ROUND(SUMIF('JUNE (물량흐름)'!$C$13:$C$502,'WIP(재공품)'!B187,'JUNE (물량흐름)'!$N$13:$N$488),0)</f>
        <v>0</v>
      </c>
      <c r="Z187" s="112">
        <f>ROUND(SUMIF('JUNE (물량흐름)'!$C$13:$C$502,'WIP(재공품)'!B187,'JUNE (물량흐름)'!$O$13:$O$502),0)</f>
        <v>0</v>
      </c>
      <c r="AA187" s="112">
        <f>ROUND(SUMIF('JUNE (물량흐름)'!$C$13:$C$502,'WIP(재공품)'!B187,'JUNE (물량흐름)'!$P$13:$P$502),0)</f>
        <v>85</v>
      </c>
      <c r="AB187" s="112">
        <f t="shared" ca="1" si="25"/>
        <v>85</v>
      </c>
      <c r="AC187" s="112">
        <f t="shared" si="26"/>
        <v>1181227</v>
      </c>
      <c r="AD187" s="381">
        <f t="shared" ca="1" si="27"/>
        <v>0</v>
      </c>
      <c r="AE187" s="381">
        <f t="shared" si="28"/>
        <v>0</v>
      </c>
      <c r="AF187" s="382"/>
      <c r="AG187" s="382">
        <v>0</v>
      </c>
      <c r="AH187" s="383">
        <f t="shared" si="29"/>
        <v>0.35</v>
      </c>
      <c r="AJ187" s="383"/>
      <c r="AL187" s="385"/>
      <c r="AM187" s="381"/>
      <c r="AN187" s="382"/>
      <c r="AO187" s="382"/>
      <c r="AP187" s="383"/>
      <c r="AQ187" s="383"/>
    </row>
    <row r="188" spans="1:43" s="384" customFormat="1" ht="18.75" customHeight="1">
      <c r="A188" s="167">
        <v>178</v>
      </c>
      <c r="B188" s="240">
        <f>VLOOKUP(A188,'JUNE (물량흐름)'!$A$13:$C$502,3,0)</f>
        <v>100013594</v>
      </c>
      <c r="C188" s="21" t="str">
        <f>VLOOKUP(A188,'JUNE (물량흐름)'!$A$13:$C$502,2,0)</f>
        <v>ALFANI</v>
      </c>
      <c r="D188" s="212">
        <v>0.35</v>
      </c>
      <c r="E188" s="6">
        <f>VLOOKUP(B188,'Sales profit (스타일 별 매출이익)'!$D$9:$P$491,13,0)</f>
        <v>7936.2499999999991</v>
      </c>
      <c r="F188" s="112">
        <f>IFERROR(VLOOKUP(B188,O.B.JUNE!$N$7:$Q$448,2,0),0)</f>
        <v>0</v>
      </c>
      <c r="G188" s="112">
        <f>IFERROR(VLOOKUP(B188,O.B.JUNE!$N$7:$Q$448,3,0),0)</f>
        <v>0</v>
      </c>
      <c r="H188" s="112">
        <f>IFERROR(VLOOKUP(B188,O.B.JUNE!$N$7:$Q$448,4,0),0)</f>
        <v>45</v>
      </c>
      <c r="I188" s="112">
        <f t="shared" si="21"/>
        <v>45</v>
      </c>
      <c r="J188" s="112">
        <f>IFERROR(VLOOKUP(B188,O.B.JUNE!$AA$7:$AG$448,7,0),0)</f>
        <v>335343</v>
      </c>
      <c r="K188" s="112">
        <f>IFERROR(VLOOKUP(B188,O.B.JUNE!$AI$7:$AO$448,7,0),0)</f>
        <v>462500</v>
      </c>
      <c r="L188" s="112">
        <f t="shared" si="22"/>
        <v>797843</v>
      </c>
      <c r="M188" s="112">
        <f>ROUND(SUMIF('JUNE (물량흐름)'!$C$13:$C$502,'WIP(재공품)'!B188,'JUNE (물량흐름)'!$H$13:$H$502)+SUMIF('JUNE (물량흐름)'!$C$13:$C$502,'WIP(재공품)'!B188,'JUNE (물량흐름)'!$V$13:$V$502),0)</f>
        <v>0</v>
      </c>
      <c r="N188" s="112">
        <f>SUMIF('Direct labour(직접노무비)'!$C$12:$C$503,'WIP(재공품)'!B188,'Direct labour(직접노무비)'!$O$12:$O$503)</f>
        <v>0</v>
      </c>
      <c r="O188" s="112">
        <f>SUMIF('Overhead exp(제조경비)'!$C$12:$C$503,'WIP(재공품)'!B188,'Overhead exp(제조경비)'!$O$12:$O$503)</f>
        <v>0</v>
      </c>
      <c r="P188" s="112">
        <f t="shared" si="23"/>
        <v>0</v>
      </c>
      <c r="Q188" s="112">
        <v>0</v>
      </c>
      <c r="R188" s="112">
        <v>0</v>
      </c>
      <c r="S188" s="112">
        <f>SUMIF('JUNE (물량흐름)'!$C$13:$C$493,'WIP(재공품)'!B188,'JUNE (물량흐름)'!$T$13:$T$493)+SUMIF('JUNE (물량흐름)'!$C$13:$C$493,'WIP(재공품)'!B188,'JUNE (물량흐름)'!$U$13:$U$493)+SUMIF('JUNE (물량흐름)'!$C$13:$C$493,'WIP(재공품)'!B188,'JUNE (물량흐름)'!$V$13:$V$493)-SUMIF('JUNE (물량흐름)'!$C$13:$C$493,'WIP(재공품)'!B188,'JUNE (물량흐름)'!$Y$13:$Y$493)</f>
        <v>0</v>
      </c>
      <c r="T188" s="112">
        <f>SUMIF('JUNE (물량흐름)'!$C$13:$C$502,'WIP(재공품)'!B188,'JUNE (물량흐름)'!$Y$13:$Y$502)</f>
        <v>0</v>
      </c>
      <c r="U188" s="167">
        <f>SUMIF('Direct labour(직접노무비)'!$C$12:$C$503,'WIP(재공품)'!B188,'Direct labour(직접노무비)'!$U$12:$U$503)+SUMIF('Overhead exp(제조경비)'!$C$12:$C$503,'WIP(재공품)'!B188,'Overhead exp(제조경비)'!$U$12:$U$503)</f>
        <v>0</v>
      </c>
      <c r="V188" s="112">
        <f>SUMIF('Direct labour(직접노무비)'!$C$12:$C$503,'WIP(재공품)'!B188,'Direct labour(직접노무비)'!$Q$12:$Q$503)</f>
        <v>0</v>
      </c>
      <c r="W188" s="112">
        <f>SUMIF('Overhead exp(제조경비)'!$C$12:$C$503,'WIP(재공품)'!B188,'Overhead exp(제조경비)'!$Q$12:$Q$503)</f>
        <v>0</v>
      </c>
      <c r="X188" s="112">
        <f t="shared" si="24"/>
        <v>0</v>
      </c>
      <c r="Y188" s="112">
        <f ca="1">ROUND(SUMIF('JUNE (물량흐름)'!$C$13:$C$502,'WIP(재공품)'!B188,'JUNE (물량흐름)'!$N$13:$N$488),0)</f>
        <v>0</v>
      </c>
      <c r="Z188" s="112">
        <f>ROUND(SUMIF('JUNE (물량흐름)'!$C$13:$C$502,'WIP(재공품)'!B188,'JUNE (물량흐름)'!$O$13:$O$502),0)</f>
        <v>0</v>
      </c>
      <c r="AA188" s="112">
        <f>ROUND(SUMIF('JUNE (물량흐름)'!$C$13:$C$502,'WIP(재공품)'!B188,'JUNE (물량흐름)'!$P$13:$P$502),0)</f>
        <v>45</v>
      </c>
      <c r="AB188" s="112">
        <f t="shared" ca="1" si="25"/>
        <v>45</v>
      </c>
      <c r="AC188" s="112">
        <f t="shared" si="26"/>
        <v>797843</v>
      </c>
      <c r="AD188" s="381">
        <f t="shared" ca="1" si="27"/>
        <v>0</v>
      </c>
      <c r="AE188" s="381">
        <f t="shared" si="28"/>
        <v>0</v>
      </c>
      <c r="AF188" s="382"/>
      <c r="AG188" s="382">
        <v>0</v>
      </c>
      <c r="AH188" s="383">
        <f t="shared" si="29"/>
        <v>0.35</v>
      </c>
      <c r="AJ188" s="383"/>
      <c r="AL188" s="385"/>
      <c r="AM188" s="381"/>
      <c r="AN188" s="382"/>
      <c r="AO188" s="382"/>
      <c r="AP188" s="383"/>
      <c r="AQ188" s="383"/>
    </row>
    <row r="189" spans="1:43" s="384" customFormat="1" ht="18.75" customHeight="1">
      <c r="A189" s="167">
        <v>179</v>
      </c>
      <c r="B189" s="240">
        <f>VLOOKUP(A189,'JUNE (물량흐름)'!$A$13:$C$502,3,0)</f>
        <v>100016320</v>
      </c>
      <c r="C189" s="21" t="str">
        <f>VLOOKUP(A189,'JUNE (물량흐름)'!$A$13:$C$502,2,0)</f>
        <v>ALFANI</v>
      </c>
      <c r="D189" s="212">
        <v>2.08</v>
      </c>
      <c r="E189" s="6">
        <f>VLOOKUP(B189,'Sales profit (스타일 별 매출이익)'!$D$9:$P$491,13,0)</f>
        <v>47164</v>
      </c>
      <c r="F189" s="112">
        <f>IFERROR(VLOOKUP(B189,O.B.JUNE!$N$7:$Q$448,2,0),0)</f>
        <v>0</v>
      </c>
      <c r="G189" s="112">
        <f>IFERROR(VLOOKUP(B189,O.B.JUNE!$N$7:$Q$448,3,0),0)</f>
        <v>281</v>
      </c>
      <c r="H189" s="112">
        <f>IFERROR(VLOOKUP(B189,O.B.JUNE!$N$7:$Q$448,4,0),0)</f>
        <v>325</v>
      </c>
      <c r="I189" s="112">
        <f t="shared" si="21"/>
        <v>606</v>
      </c>
      <c r="J189" s="112">
        <f>IFERROR(VLOOKUP(B189,O.B.JUNE!$AA$7:$AG$448,7,0),0)</f>
        <v>1528557</v>
      </c>
      <c r="K189" s="112">
        <f>IFERROR(VLOOKUP(B189,O.B.JUNE!$AI$7:$AO$448,7,0),0)</f>
        <v>2932508</v>
      </c>
      <c r="L189" s="112">
        <f t="shared" si="22"/>
        <v>4461065</v>
      </c>
      <c r="M189" s="112">
        <f>ROUND(SUMIF('JUNE (물량흐름)'!$C$13:$C$502,'WIP(재공품)'!B189,'JUNE (물량흐름)'!$H$13:$H$502)+SUMIF('JUNE (물량흐름)'!$C$13:$C$502,'WIP(재공품)'!B189,'JUNE (물량흐름)'!$V$13:$V$502),0)</f>
        <v>0</v>
      </c>
      <c r="N189" s="112">
        <f>SUMIF('Direct labour(직접노무비)'!$C$12:$C$503,'WIP(재공품)'!B189,'Direct labour(직접노무비)'!$O$12:$O$503)</f>
        <v>0</v>
      </c>
      <c r="O189" s="112">
        <f>SUMIF('Overhead exp(제조경비)'!$C$12:$C$503,'WIP(재공품)'!B189,'Overhead exp(제조경비)'!$O$12:$O$503)</f>
        <v>0</v>
      </c>
      <c r="P189" s="112">
        <f t="shared" si="23"/>
        <v>0</v>
      </c>
      <c r="Q189" s="112">
        <v>0</v>
      </c>
      <c r="R189" s="112">
        <v>0</v>
      </c>
      <c r="S189" s="112">
        <f>SUMIF('JUNE (물량흐름)'!$C$13:$C$493,'WIP(재공품)'!B189,'JUNE (물량흐름)'!$T$13:$T$493)+SUMIF('JUNE (물량흐름)'!$C$13:$C$493,'WIP(재공품)'!B189,'JUNE (물량흐름)'!$U$13:$U$493)+SUMIF('JUNE (물량흐름)'!$C$13:$C$493,'WIP(재공품)'!B189,'JUNE (물량흐름)'!$V$13:$V$493)-SUMIF('JUNE (물량흐름)'!$C$13:$C$493,'WIP(재공품)'!B189,'JUNE (물량흐름)'!$Y$13:$Y$493)</f>
        <v>0</v>
      </c>
      <c r="T189" s="112">
        <f>SUMIF('JUNE (물량흐름)'!$C$13:$C$502,'WIP(재공품)'!B189,'JUNE (물량흐름)'!$Y$13:$Y$502)</f>
        <v>0</v>
      </c>
      <c r="U189" s="167">
        <f>SUMIF('Direct labour(직접노무비)'!$C$12:$C$503,'WIP(재공품)'!B189,'Direct labour(직접노무비)'!$U$12:$U$503)+SUMIF('Overhead exp(제조경비)'!$C$12:$C$503,'WIP(재공품)'!B189,'Overhead exp(제조경비)'!$U$12:$U$503)</f>
        <v>0</v>
      </c>
      <c r="V189" s="112">
        <f>SUMIF('Direct labour(직접노무비)'!$C$12:$C$503,'WIP(재공품)'!B189,'Direct labour(직접노무비)'!$Q$12:$Q$503)</f>
        <v>0</v>
      </c>
      <c r="W189" s="112">
        <f>SUMIF('Overhead exp(제조경비)'!$C$12:$C$503,'WIP(재공품)'!B189,'Overhead exp(제조경비)'!$Q$12:$Q$503)</f>
        <v>0</v>
      </c>
      <c r="X189" s="112">
        <f t="shared" si="24"/>
        <v>0</v>
      </c>
      <c r="Y189" s="112">
        <f ca="1">ROUND(SUMIF('JUNE (물량흐름)'!$C$13:$C$502,'WIP(재공품)'!B189,'JUNE (물량흐름)'!$N$13:$N$488),0)</f>
        <v>0</v>
      </c>
      <c r="Z189" s="112">
        <f>ROUND(SUMIF('JUNE (물량흐름)'!$C$13:$C$502,'WIP(재공품)'!B189,'JUNE (물량흐름)'!$O$13:$O$502),0)</f>
        <v>281</v>
      </c>
      <c r="AA189" s="112">
        <f>ROUND(SUMIF('JUNE (물량흐름)'!$C$13:$C$502,'WIP(재공품)'!B189,'JUNE (물량흐름)'!$P$13:$P$502),0)</f>
        <v>325</v>
      </c>
      <c r="AB189" s="112">
        <f t="shared" ca="1" si="25"/>
        <v>606</v>
      </c>
      <c r="AC189" s="112">
        <f t="shared" si="26"/>
        <v>4461065</v>
      </c>
      <c r="AD189" s="381">
        <f t="shared" ca="1" si="27"/>
        <v>0</v>
      </c>
      <c r="AE189" s="381">
        <f t="shared" si="28"/>
        <v>0</v>
      </c>
      <c r="AF189" s="382"/>
      <c r="AG189" s="382">
        <v>0</v>
      </c>
      <c r="AH189" s="383">
        <f t="shared" si="29"/>
        <v>2.08</v>
      </c>
      <c r="AJ189" s="383"/>
      <c r="AL189" s="385"/>
      <c r="AM189" s="381"/>
      <c r="AN189" s="382"/>
      <c r="AO189" s="382"/>
      <c r="AP189" s="383"/>
      <c r="AQ189" s="383"/>
    </row>
    <row r="190" spans="1:43" s="384" customFormat="1" ht="18.75" customHeight="1">
      <c r="A190" s="167">
        <v>180</v>
      </c>
      <c r="B190" s="240">
        <f>VLOOKUP(A190,'JUNE (물량흐름)'!$A$13:$C$502,3,0)</f>
        <v>100016323</v>
      </c>
      <c r="C190" s="21" t="str">
        <f>VLOOKUP(A190,'JUNE (물량흐름)'!$A$13:$C$502,2,0)</f>
        <v>ALFANI</v>
      </c>
      <c r="D190" s="212">
        <v>0.35</v>
      </c>
      <c r="E190" s="6">
        <f>VLOOKUP(B190,'Sales profit (스타일 별 매출이익)'!$D$9:$P$491,13,0)</f>
        <v>7936.2499999999991</v>
      </c>
      <c r="F190" s="112">
        <f>IFERROR(VLOOKUP(B190,O.B.JUNE!$N$7:$Q$448,2,0),0)</f>
        <v>0</v>
      </c>
      <c r="G190" s="112">
        <f>IFERROR(VLOOKUP(B190,O.B.JUNE!$N$7:$Q$448,3,0),0)</f>
        <v>0</v>
      </c>
      <c r="H190" s="112">
        <f>IFERROR(VLOOKUP(B190,O.B.JUNE!$N$7:$Q$448,4,0),0)</f>
        <v>5</v>
      </c>
      <c r="I190" s="112">
        <f t="shared" si="21"/>
        <v>5</v>
      </c>
      <c r="J190" s="112">
        <f>IFERROR(VLOOKUP(B190,O.B.JUNE!$AA$7:$AG$448,7,0),0)</f>
        <v>60568</v>
      </c>
      <c r="K190" s="112">
        <f>IFERROR(VLOOKUP(B190,O.B.JUNE!$AI$7:$AO$448,7,0),0)</f>
        <v>82830</v>
      </c>
      <c r="L190" s="112">
        <f t="shared" si="22"/>
        <v>143398</v>
      </c>
      <c r="M190" s="112">
        <f>ROUND(SUMIF('JUNE (물량흐름)'!$C$13:$C$502,'WIP(재공품)'!B190,'JUNE (물량흐름)'!$H$13:$H$502)+SUMIF('JUNE (물량흐름)'!$C$13:$C$502,'WIP(재공품)'!B190,'JUNE (물량흐름)'!$V$13:$V$502),0)</f>
        <v>0</v>
      </c>
      <c r="N190" s="112">
        <f>SUMIF('Direct labour(직접노무비)'!$C$12:$C$503,'WIP(재공품)'!B190,'Direct labour(직접노무비)'!$O$12:$O$503)</f>
        <v>0</v>
      </c>
      <c r="O190" s="112">
        <f>SUMIF('Overhead exp(제조경비)'!$C$12:$C$503,'WIP(재공품)'!B190,'Overhead exp(제조경비)'!$O$12:$O$503)</f>
        <v>0</v>
      </c>
      <c r="P190" s="112">
        <f t="shared" si="23"/>
        <v>0</v>
      </c>
      <c r="Q190" s="112">
        <v>0</v>
      </c>
      <c r="R190" s="112">
        <v>0</v>
      </c>
      <c r="S190" s="112">
        <f>SUMIF('JUNE (물량흐름)'!$C$13:$C$493,'WIP(재공품)'!B190,'JUNE (물량흐름)'!$T$13:$T$493)+SUMIF('JUNE (물량흐름)'!$C$13:$C$493,'WIP(재공품)'!B190,'JUNE (물량흐름)'!$U$13:$U$493)+SUMIF('JUNE (물량흐름)'!$C$13:$C$493,'WIP(재공품)'!B190,'JUNE (물량흐름)'!$V$13:$V$493)-SUMIF('JUNE (물량흐름)'!$C$13:$C$493,'WIP(재공품)'!B190,'JUNE (물량흐름)'!$Y$13:$Y$493)</f>
        <v>0</v>
      </c>
      <c r="T190" s="112">
        <f>SUMIF('JUNE (물량흐름)'!$C$13:$C$502,'WIP(재공품)'!B190,'JUNE (물량흐름)'!$Y$13:$Y$502)</f>
        <v>0</v>
      </c>
      <c r="U190" s="167">
        <f>SUMIF('Direct labour(직접노무비)'!$C$12:$C$503,'WIP(재공품)'!B190,'Direct labour(직접노무비)'!$U$12:$U$503)+SUMIF('Overhead exp(제조경비)'!$C$12:$C$503,'WIP(재공품)'!B190,'Overhead exp(제조경비)'!$U$12:$U$503)</f>
        <v>0</v>
      </c>
      <c r="V190" s="112">
        <f>SUMIF('Direct labour(직접노무비)'!$C$12:$C$503,'WIP(재공품)'!B190,'Direct labour(직접노무비)'!$Q$12:$Q$503)</f>
        <v>0</v>
      </c>
      <c r="W190" s="112">
        <f>SUMIF('Overhead exp(제조경비)'!$C$12:$C$503,'WIP(재공품)'!B190,'Overhead exp(제조경비)'!$Q$12:$Q$503)</f>
        <v>0</v>
      </c>
      <c r="X190" s="112">
        <f t="shared" si="24"/>
        <v>0</v>
      </c>
      <c r="Y190" s="112">
        <f ca="1">ROUND(SUMIF('JUNE (물량흐름)'!$C$13:$C$502,'WIP(재공품)'!B190,'JUNE (물량흐름)'!$N$13:$N$488),0)</f>
        <v>0</v>
      </c>
      <c r="Z190" s="112">
        <f>ROUND(SUMIF('JUNE (물량흐름)'!$C$13:$C$502,'WIP(재공품)'!B190,'JUNE (물량흐름)'!$O$13:$O$502),0)</f>
        <v>0</v>
      </c>
      <c r="AA190" s="112">
        <f>ROUND(SUMIF('JUNE (물량흐름)'!$C$13:$C$502,'WIP(재공품)'!B190,'JUNE (물량흐름)'!$P$13:$P$502),0)</f>
        <v>5</v>
      </c>
      <c r="AB190" s="112">
        <f t="shared" ca="1" si="25"/>
        <v>5</v>
      </c>
      <c r="AC190" s="112">
        <f t="shared" si="26"/>
        <v>143398</v>
      </c>
      <c r="AD190" s="381">
        <f t="shared" ca="1" si="27"/>
        <v>0</v>
      </c>
      <c r="AE190" s="381">
        <f t="shared" si="28"/>
        <v>0</v>
      </c>
      <c r="AF190" s="382"/>
      <c r="AG190" s="382">
        <v>0</v>
      </c>
      <c r="AH190" s="383">
        <f t="shared" si="29"/>
        <v>0.35</v>
      </c>
      <c r="AJ190" s="383"/>
      <c r="AL190" s="385"/>
      <c r="AM190" s="381"/>
      <c r="AN190" s="382"/>
      <c r="AO190" s="382"/>
      <c r="AP190" s="383"/>
      <c r="AQ190" s="383"/>
    </row>
    <row r="191" spans="1:43" s="384" customFormat="1" ht="18.75" customHeight="1">
      <c r="A191" s="167">
        <v>181</v>
      </c>
      <c r="B191" s="240">
        <f>VLOOKUP(A191,'JUNE (물량흐름)'!$A$13:$C$502,3,0)</f>
        <v>100016362</v>
      </c>
      <c r="C191" s="21" t="str">
        <f>VLOOKUP(A191,'JUNE (물량흐름)'!$A$13:$C$502,2,0)</f>
        <v>ALFANI</v>
      </c>
      <c r="D191" s="212">
        <v>2.2999999999999998</v>
      </c>
      <c r="E191" s="6">
        <f>VLOOKUP(B191,'Sales profit (스타일 별 매출이익)'!$D$9:$P$491,13,0)</f>
        <v>52152.499999999993</v>
      </c>
      <c r="F191" s="112">
        <f>IFERROR(VLOOKUP(B191,O.B.JUNE!$N$7:$Q$448,2,0),0)</f>
        <v>0</v>
      </c>
      <c r="G191" s="112">
        <f>IFERROR(VLOOKUP(B191,O.B.JUNE!$N$7:$Q$448,3,0),0)</f>
        <v>0</v>
      </c>
      <c r="H191" s="112">
        <f>IFERROR(VLOOKUP(B191,O.B.JUNE!$N$7:$Q$448,4,0),0)</f>
        <v>110</v>
      </c>
      <c r="I191" s="112">
        <f t="shared" si="21"/>
        <v>110</v>
      </c>
      <c r="J191" s="112">
        <f>IFERROR(VLOOKUP(B191,O.B.JUNE!$AA$7:$AG$448,7,0),0)</f>
        <v>835208</v>
      </c>
      <c r="K191" s="112">
        <f>IFERROR(VLOOKUP(B191,O.B.JUNE!$AI$7:$AO$448,7,0),0)</f>
        <v>1151905</v>
      </c>
      <c r="L191" s="112">
        <f t="shared" si="22"/>
        <v>1987113</v>
      </c>
      <c r="M191" s="112">
        <f>ROUND(SUMIF('JUNE (물량흐름)'!$C$13:$C$502,'WIP(재공품)'!B191,'JUNE (물량흐름)'!$H$13:$H$502)+SUMIF('JUNE (물량흐름)'!$C$13:$C$502,'WIP(재공품)'!B191,'JUNE (물량흐름)'!$V$13:$V$502),0)</f>
        <v>0</v>
      </c>
      <c r="N191" s="112">
        <f>SUMIF('Direct labour(직접노무비)'!$C$12:$C$503,'WIP(재공품)'!B191,'Direct labour(직접노무비)'!$O$12:$O$503)</f>
        <v>0</v>
      </c>
      <c r="O191" s="112">
        <f>SUMIF('Overhead exp(제조경비)'!$C$12:$C$503,'WIP(재공품)'!B191,'Overhead exp(제조경비)'!$O$12:$O$503)</f>
        <v>0</v>
      </c>
      <c r="P191" s="112">
        <f t="shared" si="23"/>
        <v>0</v>
      </c>
      <c r="Q191" s="112">
        <v>0</v>
      </c>
      <c r="R191" s="112">
        <v>0</v>
      </c>
      <c r="S191" s="112">
        <f>SUMIF('JUNE (물량흐름)'!$C$13:$C$493,'WIP(재공품)'!B191,'JUNE (물량흐름)'!$T$13:$T$493)+SUMIF('JUNE (물량흐름)'!$C$13:$C$493,'WIP(재공품)'!B191,'JUNE (물량흐름)'!$U$13:$U$493)+SUMIF('JUNE (물량흐름)'!$C$13:$C$493,'WIP(재공품)'!B191,'JUNE (물량흐름)'!$V$13:$V$493)-SUMIF('JUNE (물량흐름)'!$C$13:$C$493,'WIP(재공품)'!B191,'JUNE (물량흐름)'!$Y$13:$Y$493)</f>
        <v>0</v>
      </c>
      <c r="T191" s="112">
        <f>SUMIF('JUNE (물량흐름)'!$C$13:$C$502,'WIP(재공품)'!B191,'JUNE (물량흐름)'!$Y$13:$Y$502)</f>
        <v>0</v>
      </c>
      <c r="U191" s="167">
        <f>SUMIF('Direct labour(직접노무비)'!$C$12:$C$503,'WIP(재공품)'!B191,'Direct labour(직접노무비)'!$U$12:$U$503)+SUMIF('Overhead exp(제조경비)'!$C$12:$C$503,'WIP(재공품)'!B191,'Overhead exp(제조경비)'!$U$12:$U$503)</f>
        <v>0</v>
      </c>
      <c r="V191" s="112">
        <f>SUMIF('Direct labour(직접노무비)'!$C$12:$C$503,'WIP(재공품)'!B191,'Direct labour(직접노무비)'!$Q$12:$Q$503)</f>
        <v>0</v>
      </c>
      <c r="W191" s="112">
        <f>SUMIF('Overhead exp(제조경비)'!$C$12:$C$503,'WIP(재공품)'!B191,'Overhead exp(제조경비)'!$Q$12:$Q$503)</f>
        <v>0</v>
      </c>
      <c r="X191" s="112">
        <f t="shared" si="24"/>
        <v>0</v>
      </c>
      <c r="Y191" s="112">
        <f ca="1">ROUND(SUMIF('JUNE (물량흐름)'!$C$13:$C$502,'WIP(재공품)'!B191,'JUNE (물량흐름)'!$N$13:$N$488),0)</f>
        <v>0</v>
      </c>
      <c r="Z191" s="112">
        <f>ROUND(SUMIF('JUNE (물량흐름)'!$C$13:$C$502,'WIP(재공품)'!B191,'JUNE (물량흐름)'!$O$13:$O$502),0)</f>
        <v>0</v>
      </c>
      <c r="AA191" s="112">
        <f>ROUND(SUMIF('JUNE (물량흐름)'!$C$13:$C$502,'WIP(재공품)'!B191,'JUNE (물량흐름)'!$P$13:$P$502),0)</f>
        <v>110</v>
      </c>
      <c r="AB191" s="112">
        <f t="shared" ca="1" si="25"/>
        <v>110</v>
      </c>
      <c r="AC191" s="112">
        <f t="shared" si="26"/>
        <v>1987113</v>
      </c>
      <c r="AD191" s="381">
        <f t="shared" ca="1" si="27"/>
        <v>0</v>
      </c>
      <c r="AE191" s="381">
        <f t="shared" si="28"/>
        <v>0</v>
      </c>
      <c r="AF191" s="382"/>
      <c r="AG191" s="382">
        <v>0</v>
      </c>
      <c r="AH191" s="383">
        <f t="shared" si="29"/>
        <v>2.2999999999999998</v>
      </c>
      <c r="AJ191" s="383"/>
      <c r="AL191" s="385"/>
      <c r="AM191" s="381"/>
      <c r="AN191" s="382"/>
      <c r="AO191" s="382"/>
      <c r="AP191" s="383"/>
      <c r="AQ191" s="383"/>
    </row>
    <row r="192" spans="1:43" s="388" customFormat="1" ht="18.75" customHeight="1">
      <c r="A192" s="167">
        <v>182</v>
      </c>
      <c r="B192" s="240">
        <f>VLOOKUP(A192,'JUNE (물량흐름)'!$A$13:$C$502,3,0)</f>
        <v>100017250</v>
      </c>
      <c r="C192" s="21" t="str">
        <f>VLOOKUP(A192,'JUNE (물량흐름)'!$A$13:$C$502,2,0)</f>
        <v>ALFANI</v>
      </c>
      <c r="D192" s="212">
        <v>0.35</v>
      </c>
      <c r="E192" s="6">
        <f>VLOOKUP(B192,'Sales profit (스타일 별 매출이익)'!$D$9:$P$491,13,0)</f>
        <v>7936.2499999999991</v>
      </c>
      <c r="F192" s="112">
        <f>IFERROR(VLOOKUP(B192,O.B.JUNE!$N$7:$Q$448,2,0),0)</f>
        <v>0</v>
      </c>
      <c r="G192" s="112">
        <f>IFERROR(VLOOKUP(B192,O.B.JUNE!$N$7:$Q$448,3,0),0)</f>
        <v>0</v>
      </c>
      <c r="H192" s="112">
        <f>IFERROR(VLOOKUP(B192,O.B.JUNE!$N$7:$Q$448,4,0),0)</f>
        <v>12</v>
      </c>
      <c r="I192" s="112">
        <f t="shared" si="21"/>
        <v>12</v>
      </c>
      <c r="J192" s="112">
        <f>IFERROR(VLOOKUP(B192,O.B.JUNE!$AA$7:$AG$448,7,0),0)</f>
        <v>286909</v>
      </c>
      <c r="K192" s="112">
        <f>IFERROR(VLOOKUP(B192,O.B.JUNE!$AI$7:$AO$448,7,0),0)</f>
        <v>390644</v>
      </c>
      <c r="L192" s="112">
        <f t="shared" si="22"/>
        <v>677553</v>
      </c>
      <c r="M192" s="112">
        <f>ROUND(SUMIF('JUNE (물량흐름)'!$C$13:$C$502,'WIP(재공품)'!B192,'JUNE (물량흐름)'!$H$13:$H$502)+SUMIF('JUNE (물량흐름)'!$C$13:$C$502,'WIP(재공품)'!B192,'JUNE (물량흐름)'!$V$13:$V$502),0)</f>
        <v>1043</v>
      </c>
      <c r="N192" s="112">
        <f>SUMIF('Direct labour(직접노무비)'!$C$12:$C$503,'WIP(재공품)'!B192,'Direct labour(직접노무비)'!$O$12:$O$503)</f>
        <v>1318052</v>
      </c>
      <c r="O192" s="112">
        <f>SUMIF('Overhead exp(제조경비)'!$C$12:$C$503,'WIP(재공품)'!B192,'Overhead exp(제조경비)'!$O$12:$O$503)</f>
        <v>2575129</v>
      </c>
      <c r="P192" s="112">
        <f t="shared" si="23"/>
        <v>3893181</v>
      </c>
      <c r="Q192" s="112">
        <v>0</v>
      </c>
      <c r="R192" s="112">
        <v>0</v>
      </c>
      <c r="S192" s="112">
        <f>SUMIF('JUNE (물량흐름)'!$C$13:$C$493,'WIP(재공품)'!B192,'JUNE (물량흐름)'!$T$13:$T$493)+SUMIF('JUNE (물량흐름)'!$C$13:$C$493,'WIP(재공품)'!B192,'JUNE (물량흐름)'!$U$13:$U$493)+SUMIF('JUNE (물량흐름)'!$C$13:$C$493,'WIP(재공품)'!B192,'JUNE (물량흐름)'!$V$13:$V$493)-SUMIF('JUNE (물량흐름)'!$C$13:$C$493,'WIP(재공품)'!B192,'JUNE (물량흐름)'!$Y$13:$Y$493)</f>
        <v>0</v>
      </c>
      <c r="T192" s="112">
        <f>SUMIF('JUNE (물량흐름)'!$C$13:$C$502,'WIP(재공품)'!B192,'JUNE (물량흐름)'!$Y$13:$Y$502)</f>
        <v>0</v>
      </c>
      <c r="U192" s="167">
        <f>SUMIF('Direct labour(직접노무비)'!$C$12:$C$503,'WIP(재공품)'!B192,'Direct labour(직접노무비)'!$U$12:$U$503)+SUMIF('Overhead exp(제조경비)'!$C$12:$C$503,'WIP(재공품)'!B192,'Overhead exp(제조경비)'!$U$12:$U$503)</f>
        <v>0</v>
      </c>
      <c r="V192" s="112">
        <f>SUMIF('Direct labour(직접노무비)'!$C$12:$C$503,'WIP(재공품)'!B192,'Direct labour(직접노무비)'!$Q$12:$Q$503)</f>
        <v>0</v>
      </c>
      <c r="W192" s="112">
        <f>SUMIF('Overhead exp(제조경비)'!$C$12:$C$503,'WIP(재공품)'!B192,'Overhead exp(제조경비)'!$Q$12:$Q$503)</f>
        <v>0</v>
      </c>
      <c r="X192" s="112">
        <f t="shared" si="24"/>
        <v>0</v>
      </c>
      <c r="Y192" s="112">
        <f ca="1">ROUND(SUMIF('JUNE (물량흐름)'!$C$13:$C$502,'WIP(재공품)'!B192,'JUNE (물량흐름)'!$N$13:$N$488),0)</f>
        <v>0</v>
      </c>
      <c r="Z192" s="112">
        <f>ROUND(SUMIF('JUNE (물량흐름)'!$C$13:$C$502,'WIP(재공품)'!B192,'JUNE (물량흐름)'!$O$13:$O$502),0)</f>
        <v>990</v>
      </c>
      <c r="AA192" s="112">
        <f>ROUND(SUMIF('JUNE (물량흐름)'!$C$13:$C$502,'WIP(재공품)'!B192,'JUNE (물량흐름)'!$P$13:$P$502),0)</f>
        <v>65</v>
      </c>
      <c r="AB192" s="112">
        <f t="shared" ca="1" si="25"/>
        <v>1055</v>
      </c>
      <c r="AC192" s="112">
        <f t="shared" si="26"/>
        <v>4570734</v>
      </c>
      <c r="AD192" s="381">
        <f t="shared" ca="1" si="27"/>
        <v>0</v>
      </c>
      <c r="AE192" s="381">
        <f t="shared" si="28"/>
        <v>0</v>
      </c>
      <c r="AF192" s="382"/>
      <c r="AG192" s="382">
        <v>0</v>
      </c>
      <c r="AH192" s="383">
        <f t="shared" si="29"/>
        <v>0.35</v>
      </c>
      <c r="AI192" s="384"/>
      <c r="AJ192" s="383"/>
      <c r="AL192" s="385"/>
      <c r="AM192" s="381"/>
      <c r="AN192" s="382"/>
      <c r="AO192" s="382"/>
      <c r="AP192" s="383"/>
      <c r="AQ192" s="383"/>
    </row>
    <row r="193" spans="1:43" s="384" customFormat="1" ht="18.75" customHeight="1">
      <c r="A193" s="167">
        <v>183</v>
      </c>
      <c r="B193" s="240">
        <f>VLOOKUP(A193,'JUNE (물량흐름)'!$A$13:$C$502,3,0)</f>
        <v>100017251</v>
      </c>
      <c r="C193" s="21" t="str">
        <f>VLOOKUP(A193,'JUNE (물량흐름)'!$A$13:$C$502,2,0)</f>
        <v>ALFANI</v>
      </c>
      <c r="D193" s="212">
        <v>0.35</v>
      </c>
      <c r="E193" s="6">
        <f>VLOOKUP(B193,'Sales profit (스타일 별 매출이익)'!$D$9:$P$491,13,0)</f>
        <v>7936.2499999999991</v>
      </c>
      <c r="F193" s="112">
        <f>IFERROR(VLOOKUP(B193,O.B.JUNE!$N$7:$Q$448,2,0),0)</f>
        <v>0</v>
      </c>
      <c r="G193" s="112">
        <f>IFERROR(VLOOKUP(B193,O.B.JUNE!$N$7:$Q$448,3,0),0)</f>
        <v>0</v>
      </c>
      <c r="H193" s="112">
        <f>IFERROR(VLOOKUP(B193,O.B.JUNE!$N$7:$Q$448,4,0),0)</f>
        <v>8</v>
      </c>
      <c r="I193" s="112">
        <f t="shared" si="21"/>
        <v>8</v>
      </c>
      <c r="J193" s="112">
        <f>IFERROR(VLOOKUP(B193,O.B.JUNE!$AA$7:$AG$448,7,0),0)</f>
        <v>109978</v>
      </c>
      <c r="K193" s="112">
        <f>IFERROR(VLOOKUP(B193,O.B.JUNE!$AI$7:$AO$448,7,0),0)</f>
        <v>150100</v>
      </c>
      <c r="L193" s="112">
        <f t="shared" si="22"/>
        <v>260078</v>
      </c>
      <c r="M193" s="112">
        <f>ROUND(SUMIF('JUNE (물량흐름)'!$C$13:$C$502,'WIP(재공품)'!B193,'JUNE (물량흐름)'!$H$13:$H$502)+SUMIF('JUNE (물량흐름)'!$C$13:$C$502,'WIP(재공품)'!B193,'JUNE (물량흐름)'!$V$13:$V$502),0)</f>
        <v>0</v>
      </c>
      <c r="N193" s="112">
        <f>SUMIF('Direct labour(직접노무비)'!$C$12:$C$503,'WIP(재공품)'!B193,'Direct labour(직접노무비)'!$O$12:$O$503)</f>
        <v>0</v>
      </c>
      <c r="O193" s="112">
        <f>SUMIF('Overhead exp(제조경비)'!$C$12:$C$503,'WIP(재공품)'!B193,'Overhead exp(제조경비)'!$O$12:$O$503)</f>
        <v>0</v>
      </c>
      <c r="P193" s="112">
        <f t="shared" si="23"/>
        <v>0</v>
      </c>
      <c r="Q193" s="112">
        <v>0</v>
      </c>
      <c r="R193" s="112">
        <v>0</v>
      </c>
      <c r="S193" s="112">
        <f>SUMIF('JUNE (물량흐름)'!$C$13:$C$493,'WIP(재공품)'!B193,'JUNE (물량흐름)'!$T$13:$T$493)+SUMIF('JUNE (물량흐름)'!$C$13:$C$493,'WIP(재공품)'!B193,'JUNE (물량흐름)'!$U$13:$U$493)+SUMIF('JUNE (물량흐름)'!$C$13:$C$493,'WIP(재공품)'!B193,'JUNE (물량흐름)'!$V$13:$V$493)-SUMIF('JUNE (물량흐름)'!$C$13:$C$493,'WIP(재공품)'!B193,'JUNE (물량흐름)'!$Y$13:$Y$493)</f>
        <v>0</v>
      </c>
      <c r="T193" s="112">
        <f>SUMIF('JUNE (물량흐름)'!$C$13:$C$502,'WIP(재공품)'!B193,'JUNE (물량흐름)'!$Y$13:$Y$502)</f>
        <v>0</v>
      </c>
      <c r="U193" s="167">
        <f>SUMIF('Direct labour(직접노무비)'!$C$12:$C$503,'WIP(재공품)'!B193,'Direct labour(직접노무비)'!$U$12:$U$503)+SUMIF('Overhead exp(제조경비)'!$C$12:$C$503,'WIP(재공품)'!B193,'Overhead exp(제조경비)'!$U$12:$U$503)</f>
        <v>0</v>
      </c>
      <c r="V193" s="112">
        <f>SUMIF('Direct labour(직접노무비)'!$C$12:$C$503,'WIP(재공품)'!B193,'Direct labour(직접노무비)'!$Q$12:$Q$503)</f>
        <v>0</v>
      </c>
      <c r="W193" s="112">
        <f>SUMIF('Overhead exp(제조경비)'!$C$12:$C$503,'WIP(재공품)'!B193,'Overhead exp(제조경비)'!$Q$12:$Q$503)</f>
        <v>0</v>
      </c>
      <c r="X193" s="112">
        <f t="shared" si="24"/>
        <v>0</v>
      </c>
      <c r="Y193" s="112">
        <f ca="1">ROUND(SUMIF('JUNE (물량흐름)'!$C$13:$C$502,'WIP(재공품)'!B193,'JUNE (물량흐름)'!$N$13:$N$488),0)</f>
        <v>0</v>
      </c>
      <c r="Z193" s="112">
        <f>ROUND(SUMIF('JUNE (물량흐름)'!$C$13:$C$502,'WIP(재공품)'!B193,'JUNE (물량흐름)'!$O$13:$O$502),0)</f>
        <v>0</v>
      </c>
      <c r="AA193" s="112">
        <f>ROUND(SUMIF('JUNE (물량흐름)'!$C$13:$C$502,'WIP(재공품)'!B193,'JUNE (물량흐름)'!$P$13:$P$502),0)</f>
        <v>8</v>
      </c>
      <c r="AB193" s="112">
        <f t="shared" ca="1" si="25"/>
        <v>8</v>
      </c>
      <c r="AC193" s="112">
        <f t="shared" si="26"/>
        <v>260078</v>
      </c>
      <c r="AD193" s="381">
        <f t="shared" ca="1" si="27"/>
        <v>0</v>
      </c>
      <c r="AE193" s="381">
        <f t="shared" si="28"/>
        <v>0</v>
      </c>
      <c r="AF193" s="382"/>
      <c r="AG193" s="382">
        <v>4.2</v>
      </c>
      <c r="AH193" s="383">
        <f t="shared" si="29"/>
        <v>-3.85</v>
      </c>
      <c r="AJ193" s="383"/>
      <c r="AL193" s="385"/>
      <c r="AM193" s="381"/>
      <c r="AN193" s="382"/>
      <c r="AO193" s="382"/>
      <c r="AP193" s="383"/>
      <c r="AQ193" s="383"/>
    </row>
    <row r="194" spans="1:43" s="384" customFormat="1" ht="18.75" customHeight="1">
      <c r="A194" s="167">
        <v>184</v>
      </c>
      <c r="B194" s="240">
        <f>VLOOKUP(A194,'JUNE (물량흐름)'!$A$13:$C$502,3,0)</f>
        <v>100017339</v>
      </c>
      <c r="C194" s="21" t="str">
        <f>VLOOKUP(A194,'JUNE (물량흐름)'!$A$13:$C$502,2,0)</f>
        <v>ALFANI</v>
      </c>
      <c r="D194" s="212">
        <v>1.8</v>
      </c>
      <c r="E194" s="6">
        <f>VLOOKUP(B194,'Sales profit (스타일 별 매출이익)'!$D$9:$P$491,13,0)</f>
        <v>40815</v>
      </c>
      <c r="F194" s="112">
        <f>IFERROR(VLOOKUP(B194,O.B.JUNE!$N$7:$Q$448,2,0),0)</f>
        <v>0</v>
      </c>
      <c r="G194" s="112">
        <f>IFERROR(VLOOKUP(B194,O.B.JUNE!$N$7:$Q$448,3,0),0)</f>
        <v>4</v>
      </c>
      <c r="H194" s="112">
        <f>IFERROR(VLOOKUP(B194,O.B.JUNE!$N$7:$Q$448,4,0),0)</f>
        <v>80</v>
      </c>
      <c r="I194" s="112">
        <f t="shared" si="21"/>
        <v>84</v>
      </c>
      <c r="J194" s="112">
        <f>IFERROR(VLOOKUP(B194,O.B.JUNE!$AA$7:$AG$448,7,0),0)</f>
        <v>567620</v>
      </c>
      <c r="K194" s="112">
        <f>IFERROR(VLOOKUP(B194,O.B.JUNE!$AI$7:$AO$448,7,0),0)</f>
        <v>782851</v>
      </c>
      <c r="L194" s="112">
        <f t="shared" si="22"/>
        <v>1350471</v>
      </c>
      <c r="M194" s="112">
        <f>ROUND(SUMIF('JUNE (물량흐름)'!$C$13:$C$502,'WIP(재공품)'!B194,'JUNE (물량흐름)'!$H$13:$H$502)+SUMIF('JUNE (물량흐름)'!$C$13:$C$502,'WIP(재공품)'!B194,'JUNE (물량흐름)'!$V$13:$V$502),0)</f>
        <v>0</v>
      </c>
      <c r="N194" s="112">
        <f>SUMIF('Direct labour(직접노무비)'!$C$12:$C$503,'WIP(재공품)'!B194,'Direct labour(직접노무비)'!$O$12:$O$503)</f>
        <v>0</v>
      </c>
      <c r="O194" s="112">
        <f>SUMIF('Overhead exp(제조경비)'!$C$12:$C$503,'WIP(재공품)'!B194,'Overhead exp(제조경비)'!$O$12:$O$503)</f>
        <v>0</v>
      </c>
      <c r="P194" s="112">
        <f t="shared" si="23"/>
        <v>0</v>
      </c>
      <c r="Q194" s="112">
        <v>0</v>
      </c>
      <c r="R194" s="112">
        <v>0</v>
      </c>
      <c r="S194" s="112">
        <f>SUMIF('JUNE (물량흐름)'!$C$13:$C$493,'WIP(재공품)'!B194,'JUNE (물량흐름)'!$T$13:$T$493)+SUMIF('JUNE (물량흐름)'!$C$13:$C$493,'WIP(재공품)'!B194,'JUNE (물량흐름)'!$U$13:$U$493)+SUMIF('JUNE (물량흐름)'!$C$13:$C$493,'WIP(재공품)'!B194,'JUNE (물량흐름)'!$V$13:$V$493)-SUMIF('JUNE (물량흐름)'!$C$13:$C$493,'WIP(재공품)'!B194,'JUNE (물량흐름)'!$Y$13:$Y$493)</f>
        <v>0</v>
      </c>
      <c r="T194" s="112">
        <f>SUMIF('JUNE (물량흐름)'!$C$13:$C$502,'WIP(재공품)'!B194,'JUNE (물량흐름)'!$Y$13:$Y$502)</f>
        <v>0</v>
      </c>
      <c r="U194" s="167">
        <f>SUMIF('Direct labour(직접노무비)'!$C$12:$C$503,'WIP(재공품)'!B194,'Direct labour(직접노무비)'!$U$12:$U$503)+SUMIF('Overhead exp(제조경비)'!$C$12:$C$503,'WIP(재공품)'!B194,'Overhead exp(제조경비)'!$U$12:$U$503)</f>
        <v>0</v>
      </c>
      <c r="V194" s="112">
        <f>SUMIF('Direct labour(직접노무비)'!$C$12:$C$503,'WIP(재공품)'!B194,'Direct labour(직접노무비)'!$Q$12:$Q$503)</f>
        <v>0</v>
      </c>
      <c r="W194" s="112">
        <f>SUMIF('Overhead exp(제조경비)'!$C$12:$C$503,'WIP(재공품)'!B194,'Overhead exp(제조경비)'!$Q$12:$Q$503)</f>
        <v>0</v>
      </c>
      <c r="X194" s="112">
        <f t="shared" si="24"/>
        <v>0</v>
      </c>
      <c r="Y194" s="112">
        <f ca="1">ROUND(SUMIF('JUNE (물량흐름)'!$C$13:$C$502,'WIP(재공품)'!B194,'JUNE (물량흐름)'!$N$13:$N$488),0)</f>
        <v>0</v>
      </c>
      <c r="Z194" s="112">
        <f>ROUND(SUMIF('JUNE (물량흐름)'!$C$13:$C$502,'WIP(재공품)'!B194,'JUNE (물량흐름)'!$O$13:$O$502),0)</f>
        <v>4</v>
      </c>
      <c r="AA194" s="112">
        <f>ROUND(SUMIF('JUNE (물량흐름)'!$C$13:$C$502,'WIP(재공품)'!B194,'JUNE (물량흐름)'!$P$13:$P$502),0)</f>
        <v>80</v>
      </c>
      <c r="AB194" s="112">
        <f t="shared" ca="1" si="25"/>
        <v>84</v>
      </c>
      <c r="AC194" s="112">
        <f t="shared" si="26"/>
        <v>1350471</v>
      </c>
      <c r="AD194" s="381">
        <f t="shared" ca="1" si="27"/>
        <v>0</v>
      </c>
      <c r="AE194" s="381">
        <f t="shared" si="28"/>
        <v>0</v>
      </c>
      <c r="AF194" s="382"/>
      <c r="AG194" s="382">
        <v>0</v>
      </c>
      <c r="AH194" s="383">
        <f t="shared" si="29"/>
        <v>1.8</v>
      </c>
      <c r="AJ194" s="383"/>
      <c r="AL194" s="385"/>
      <c r="AM194" s="381"/>
      <c r="AN194" s="382"/>
      <c r="AO194" s="382"/>
      <c r="AP194" s="383"/>
      <c r="AQ194" s="383"/>
    </row>
    <row r="195" spans="1:43" s="384" customFormat="1" ht="18.75" customHeight="1">
      <c r="A195" s="167">
        <v>185</v>
      </c>
      <c r="B195" s="240">
        <f>VLOOKUP(A195,'JUNE (물량흐름)'!$A$13:$C$502,3,0)</f>
        <v>100018342</v>
      </c>
      <c r="C195" s="21" t="str">
        <f>VLOOKUP(A195,'JUNE (물량흐름)'!$A$13:$C$502,2,0)</f>
        <v>ALFANI</v>
      </c>
      <c r="D195" s="212">
        <v>0.35</v>
      </c>
      <c r="E195" s="6">
        <f>VLOOKUP(B195,'Sales profit (스타일 별 매출이익)'!$D$9:$P$491,13,0)</f>
        <v>7936.2499999999991</v>
      </c>
      <c r="F195" s="112">
        <f>IFERROR(VLOOKUP(B195,O.B.JUNE!$N$7:$Q$448,2,0),0)</f>
        <v>0</v>
      </c>
      <c r="G195" s="112">
        <f>IFERROR(VLOOKUP(B195,O.B.JUNE!$N$7:$Q$448,3,0),0)</f>
        <v>0</v>
      </c>
      <c r="H195" s="112">
        <f>IFERROR(VLOOKUP(B195,O.B.JUNE!$N$7:$Q$448,4,0),0)</f>
        <v>108</v>
      </c>
      <c r="I195" s="112">
        <f t="shared" si="21"/>
        <v>108</v>
      </c>
      <c r="J195" s="112">
        <f>IFERROR(VLOOKUP(B195,O.B.JUNE!$AA$7:$AG$448,7,0),0)</f>
        <v>781252</v>
      </c>
      <c r="K195" s="112">
        <f>IFERROR(VLOOKUP(B195,O.B.JUNE!$AI$7:$AO$448,7,0),0)</f>
        <v>1077490</v>
      </c>
      <c r="L195" s="112">
        <f t="shared" si="22"/>
        <v>1858742</v>
      </c>
      <c r="M195" s="112">
        <f>ROUND(SUMIF('JUNE (물량흐름)'!$C$13:$C$502,'WIP(재공품)'!B195,'JUNE (물량흐름)'!$H$13:$H$502)+SUMIF('JUNE (물량흐름)'!$C$13:$C$502,'WIP(재공품)'!B195,'JUNE (물량흐름)'!$V$13:$V$502),0)</f>
        <v>0</v>
      </c>
      <c r="N195" s="112">
        <f>SUMIF('Direct labour(직접노무비)'!$C$12:$C$503,'WIP(재공품)'!B195,'Direct labour(직접노무비)'!$O$12:$O$503)</f>
        <v>0</v>
      </c>
      <c r="O195" s="112">
        <f>SUMIF('Overhead exp(제조경비)'!$C$12:$C$503,'WIP(재공품)'!B195,'Overhead exp(제조경비)'!$O$12:$O$503)</f>
        <v>0</v>
      </c>
      <c r="P195" s="112">
        <f t="shared" si="23"/>
        <v>0</v>
      </c>
      <c r="Q195" s="112">
        <v>0</v>
      </c>
      <c r="R195" s="112">
        <v>0</v>
      </c>
      <c r="S195" s="112">
        <f>SUMIF('JUNE (물량흐름)'!$C$13:$C$493,'WIP(재공품)'!B195,'JUNE (물량흐름)'!$T$13:$T$493)+SUMIF('JUNE (물량흐름)'!$C$13:$C$493,'WIP(재공품)'!B195,'JUNE (물량흐름)'!$U$13:$U$493)+SUMIF('JUNE (물량흐름)'!$C$13:$C$493,'WIP(재공품)'!B195,'JUNE (물량흐름)'!$V$13:$V$493)-SUMIF('JUNE (물량흐름)'!$C$13:$C$493,'WIP(재공품)'!B195,'JUNE (물량흐름)'!$Y$13:$Y$493)</f>
        <v>0</v>
      </c>
      <c r="T195" s="112">
        <f>SUMIF('JUNE (물량흐름)'!$C$13:$C$502,'WIP(재공품)'!B195,'JUNE (물량흐름)'!$Y$13:$Y$502)</f>
        <v>0</v>
      </c>
      <c r="U195" s="167">
        <f>SUMIF('Direct labour(직접노무비)'!$C$12:$C$503,'WIP(재공품)'!B195,'Direct labour(직접노무비)'!$U$12:$U$503)+SUMIF('Overhead exp(제조경비)'!$C$12:$C$503,'WIP(재공품)'!B195,'Overhead exp(제조경비)'!$U$12:$U$503)</f>
        <v>0</v>
      </c>
      <c r="V195" s="112">
        <f>SUMIF('Direct labour(직접노무비)'!$C$12:$C$503,'WIP(재공품)'!B195,'Direct labour(직접노무비)'!$Q$12:$Q$503)</f>
        <v>0</v>
      </c>
      <c r="W195" s="112">
        <f>SUMIF('Overhead exp(제조경비)'!$C$12:$C$503,'WIP(재공품)'!B195,'Overhead exp(제조경비)'!$Q$12:$Q$503)</f>
        <v>0</v>
      </c>
      <c r="X195" s="112">
        <f t="shared" si="24"/>
        <v>0</v>
      </c>
      <c r="Y195" s="112">
        <f ca="1">ROUND(SUMIF('JUNE (물량흐름)'!$C$13:$C$502,'WIP(재공품)'!B195,'JUNE (물량흐름)'!$N$13:$N$488),0)</f>
        <v>0</v>
      </c>
      <c r="Z195" s="112">
        <f>ROUND(SUMIF('JUNE (물량흐름)'!$C$13:$C$502,'WIP(재공품)'!B195,'JUNE (물량흐름)'!$O$13:$O$502),0)</f>
        <v>0</v>
      </c>
      <c r="AA195" s="112">
        <f>ROUND(SUMIF('JUNE (물량흐름)'!$C$13:$C$502,'WIP(재공품)'!B195,'JUNE (물량흐름)'!$P$13:$P$502),0)</f>
        <v>108</v>
      </c>
      <c r="AB195" s="112">
        <f t="shared" ca="1" si="25"/>
        <v>108</v>
      </c>
      <c r="AC195" s="112">
        <f t="shared" si="26"/>
        <v>1858742</v>
      </c>
      <c r="AD195" s="381">
        <f t="shared" ca="1" si="27"/>
        <v>0</v>
      </c>
      <c r="AE195" s="381">
        <f t="shared" si="28"/>
        <v>0</v>
      </c>
      <c r="AF195" s="382"/>
      <c r="AG195" s="382">
        <v>0</v>
      </c>
      <c r="AH195" s="383">
        <f t="shared" si="29"/>
        <v>0.35</v>
      </c>
      <c r="AJ195" s="383"/>
      <c r="AL195" s="385"/>
      <c r="AM195" s="381"/>
      <c r="AN195" s="382"/>
      <c r="AO195" s="382"/>
      <c r="AP195" s="383"/>
      <c r="AQ195" s="383"/>
    </row>
    <row r="196" spans="1:43" s="384" customFormat="1" ht="18.75" customHeight="1">
      <c r="A196" s="167">
        <v>186</v>
      </c>
      <c r="B196" s="240" t="str">
        <f>VLOOKUP(A196,'JUNE (물량흐름)'!$A$13:$C$502,3,0)</f>
        <v>S-69717</v>
      </c>
      <c r="C196" s="21" t="str">
        <f>VLOOKUP(A196,'JUNE (물량흐름)'!$A$13:$C$502,2,0)</f>
        <v>STOCK</v>
      </c>
      <c r="D196" s="212">
        <v>0.35</v>
      </c>
      <c r="E196" s="6">
        <f>VLOOKUP(B196,'Sales profit (스타일 별 매출이익)'!$D$9:$P$491,13,0)</f>
        <v>7936.2499999999991</v>
      </c>
      <c r="F196" s="112">
        <f>IFERROR(VLOOKUP(B196,O.B.JUNE!$N$7:$Q$448,2,0),0)</f>
        <v>0</v>
      </c>
      <c r="G196" s="112">
        <f>IFERROR(VLOOKUP(B196,O.B.JUNE!$N$7:$Q$448,3,0),0)</f>
        <v>0</v>
      </c>
      <c r="H196" s="112">
        <f>IFERROR(VLOOKUP(B196,O.B.JUNE!$N$7:$Q$448,4,0),0)</f>
        <v>5784</v>
      </c>
      <c r="I196" s="112">
        <f t="shared" si="21"/>
        <v>5784</v>
      </c>
      <c r="J196" s="112">
        <f>IFERROR(VLOOKUP(B196,O.B.JUNE!$AA$7:$AG$448,7,0),0)</f>
        <v>26250436</v>
      </c>
      <c r="K196" s="112">
        <f>IFERROR(VLOOKUP(B196,O.B.JUNE!$AI$7:$AO$448,7,0),0)</f>
        <v>36204141</v>
      </c>
      <c r="L196" s="112">
        <f t="shared" si="22"/>
        <v>62454577</v>
      </c>
      <c r="M196" s="112">
        <f>ROUND(SUMIF('JUNE (물량흐름)'!$C$13:$C$502,'WIP(재공품)'!B196,'JUNE (물량흐름)'!$H$13:$H$502)+SUMIF('JUNE (물량흐름)'!$C$13:$C$502,'WIP(재공품)'!B196,'JUNE (물량흐름)'!$V$13:$V$502),0)</f>
        <v>0</v>
      </c>
      <c r="N196" s="112">
        <f>SUMIF('Direct labour(직접노무비)'!$C$12:$C$503,'WIP(재공품)'!B196,'Direct labour(직접노무비)'!$O$12:$O$503)</f>
        <v>0</v>
      </c>
      <c r="O196" s="112">
        <f>SUMIF('Overhead exp(제조경비)'!$C$12:$C$503,'WIP(재공품)'!B196,'Overhead exp(제조경비)'!$O$12:$O$503)</f>
        <v>0</v>
      </c>
      <c r="P196" s="112">
        <f t="shared" si="23"/>
        <v>0</v>
      </c>
      <c r="Q196" s="112">
        <v>0</v>
      </c>
      <c r="R196" s="112">
        <v>0</v>
      </c>
      <c r="S196" s="112">
        <f>SUMIF('JUNE (물량흐름)'!$C$13:$C$493,'WIP(재공품)'!B196,'JUNE (물량흐름)'!$T$13:$T$493)+SUMIF('JUNE (물량흐름)'!$C$13:$C$493,'WIP(재공품)'!B196,'JUNE (물량흐름)'!$U$13:$U$493)+SUMIF('JUNE (물량흐름)'!$C$13:$C$493,'WIP(재공품)'!B196,'JUNE (물량흐름)'!$V$13:$V$493)-SUMIF('JUNE (물량흐름)'!$C$13:$C$493,'WIP(재공품)'!B196,'JUNE (물량흐름)'!$Y$13:$Y$493)</f>
        <v>5784</v>
      </c>
      <c r="T196" s="112">
        <f>SUMIF('JUNE (물량흐름)'!$C$13:$C$502,'WIP(재공품)'!B196,'JUNE (물량흐름)'!$Y$13:$Y$502)</f>
        <v>0</v>
      </c>
      <c r="U196" s="167">
        <f>SUMIF('Direct labour(직접노무비)'!$C$12:$C$503,'WIP(재공품)'!B196,'Direct labour(직접노무비)'!$U$12:$U$503)+SUMIF('Overhead exp(제조경비)'!$C$12:$C$503,'WIP(재공품)'!B196,'Overhead exp(제조경비)'!$U$12:$U$503)</f>
        <v>0</v>
      </c>
      <c r="V196" s="112">
        <f>SUMIF('Direct labour(직접노무비)'!$C$12:$C$503,'WIP(재공품)'!B196,'Direct labour(직접노무비)'!$Q$12:$Q$503)</f>
        <v>26250436</v>
      </c>
      <c r="W196" s="112">
        <f>SUMIF('Overhead exp(제조경비)'!$C$12:$C$503,'WIP(재공품)'!B196,'Overhead exp(제조경비)'!$Q$12:$Q$503)</f>
        <v>36204141</v>
      </c>
      <c r="X196" s="112">
        <f t="shared" si="24"/>
        <v>62454577</v>
      </c>
      <c r="Y196" s="112">
        <f ca="1">ROUND(SUMIF('JUNE (물량흐름)'!$C$13:$C$502,'WIP(재공품)'!B196,'JUNE (물량흐름)'!$N$13:$N$488),0)</f>
        <v>0</v>
      </c>
      <c r="Z196" s="112">
        <f>ROUND(SUMIF('JUNE (물량흐름)'!$C$13:$C$502,'WIP(재공품)'!B196,'JUNE (물량흐름)'!$O$13:$O$502),0)</f>
        <v>0</v>
      </c>
      <c r="AA196" s="112">
        <f>ROUND(SUMIF('JUNE (물량흐름)'!$C$13:$C$502,'WIP(재공품)'!B196,'JUNE (물량흐름)'!$P$13:$P$502),0)</f>
        <v>0</v>
      </c>
      <c r="AB196" s="112">
        <f t="shared" ca="1" si="25"/>
        <v>0</v>
      </c>
      <c r="AC196" s="112">
        <f t="shared" si="26"/>
        <v>0</v>
      </c>
      <c r="AD196" s="381">
        <f t="shared" ca="1" si="27"/>
        <v>0</v>
      </c>
      <c r="AE196" s="381">
        <f t="shared" si="28"/>
        <v>0</v>
      </c>
      <c r="AF196" s="382"/>
      <c r="AG196" s="382">
        <v>0</v>
      </c>
      <c r="AH196" s="383">
        <f t="shared" si="29"/>
        <v>0.35</v>
      </c>
      <c r="AJ196" s="383"/>
      <c r="AL196" s="385"/>
      <c r="AM196" s="381"/>
      <c r="AN196" s="382"/>
      <c r="AO196" s="382"/>
      <c r="AP196" s="383"/>
      <c r="AQ196" s="383"/>
    </row>
    <row r="197" spans="1:43" s="384" customFormat="1" ht="18.75" customHeight="1">
      <c r="A197" s="167">
        <v>187</v>
      </c>
      <c r="B197" s="240">
        <f>VLOOKUP(A197,'JUNE (물량흐름)'!$A$13:$C$502,3,0)</f>
        <v>453088</v>
      </c>
      <c r="C197" s="21" t="str">
        <f>VLOOKUP(A197,'JUNE (물량흐름)'!$A$13:$C$502,2,0)</f>
        <v>ANN TAYLOR</v>
      </c>
      <c r="D197" s="212">
        <v>0.35</v>
      </c>
      <c r="E197" s="6">
        <f>VLOOKUP(B197,'Sales profit (스타일 별 매출이익)'!$D$9:$P$491,13,0)</f>
        <v>7936.2499999999991</v>
      </c>
      <c r="F197" s="112">
        <f>IFERROR(VLOOKUP(B197,O.B.JUNE!$N$7:$Q$448,2,0),0)</f>
        <v>0</v>
      </c>
      <c r="G197" s="112">
        <f>IFERROR(VLOOKUP(B197,O.B.JUNE!$N$7:$Q$448,3,0),0)</f>
        <v>0</v>
      </c>
      <c r="H197" s="112">
        <f>IFERROR(VLOOKUP(B197,O.B.JUNE!$N$7:$Q$448,4,0),0)</f>
        <v>745</v>
      </c>
      <c r="I197" s="112">
        <f t="shared" si="21"/>
        <v>745</v>
      </c>
      <c r="J197" s="112">
        <f>IFERROR(VLOOKUP(B197,O.B.JUNE!$AA$7:$AG$448,7,0),0)</f>
        <v>8527149</v>
      </c>
      <c r="K197" s="112">
        <f>IFERROR(VLOOKUP(B197,O.B.JUNE!$AI$7:$AO$448,7,0),0)</f>
        <v>11760494</v>
      </c>
      <c r="L197" s="112">
        <f t="shared" si="22"/>
        <v>20287643</v>
      </c>
      <c r="M197" s="112">
        <f>ROUND(SUMIF('JUNE (물량흐름)'!$C$13:$C$502,'WIP(재공품)'!B197,'JUNE (물량흐름)'!$H$13:$H$502)+SUMIF('JUNE (물량흐름)'!$C$13:$C$502,'WIP(재공품)'!B197,'JUNE (물량흐름)'!$V$13:$V$502),0)</f>
        <v>0</v>
      </c>
      <c r="N197" s="112">
        <f>SUMIF('Direct labour(직접노무비)'!$C$12:$C$503,'WIP(재공품)'!B197,'Direct labour(직접노무비)'!$O$12:$O$503)</f>
        <v>0</v>
      </c>
      <c r="O197" s="112">
        <f>SUMIF('Overhead exp(제조경비)'!$C$12:$C$503,'WIP(재공품)'!B197,'Overhead exp(제조경비)'!$O$12:$O$503)</f>
        <v>0</v>
      </c>
      <c r="P197" s="112">
        <f t="shared" si="23"/>
        <v>0</v>
      </c>
      <c r="Q197" s="112">
        <v>0</v>
      </c>
      <c r="R197" s="112">
        <v>0</v>
      </c>
      <c r="S197" s="112">
        <f>SUMIF('JUNE (물량흐름)'!$C$13:$C$493,'WIP(재공품)'!B197,'JUNE (물량흐름)'!$T$13:$T$493)+SUMIF('JUNE (물량흐름)'!$C$13:$C$493,'WIP(재공품)'!B197,'JUNE (물량흐름)'!$U$13:$U$493)+SUMIF('JUNE (물량흐름)'!$C$13:$C$493,'WIP(재공품)'!B197,'JUNE (물량흐름)'!$V$13:$V$493)-SUMIF('JUNE (물량흐름)'!$C$13:$C$493,'WIP(재공품)'!B197,'JUNE (물량흐름)'!$Y$13:$Y$493)</f>
        <v>745</v>
      </c>
      <c r="T197" s="112">
        <f>SUMIF('JUNE (물량흐름)'!$C$13:$C$502,'WIP(재공품)'!B197,'JUNE (물량흐름)'!$Y$13:$Y$502)</f>
        <v>0</v>
      </c>
      <c r="U197" s="167">
        <f>SUMIF('Direct labour(직접노무비)'!$C$12:$C$503,'WIP(재공품)'!B197,'Direct labour(직접노무비)'!$U$12:$U$503)+SUMIF('Overhead exp(제조경비)'!$C$12:$C$503,'WIP(재공품)'!B197,'Overhead exp(제조경비)'!$U$12:$U$503)</f>
        <v>0</v>
      </c>
      <c r="V197" s="112">
        <f>SUMIF('Direct labour(직접노무비)'!$C$12:$C$503,'WIP(재공품)'!B197,'Direct labour(직접노무비)'!$Q$12:$Q$503)</f>
        <v>8527149</v>
      </c>
      <c r="W197" s="112">
        <f>SUMIF('Overhead exp(제조경비)'!$C$12:$C$503,'WIP(재공품)'!B197,'Overhead exp(제조경비)'!$Q$12:$Q$503)</f>
        <v>11760494</v>
      </c>
      <c r="X197" s="112">
        <f t="shared" si="24"/>
        <v>20287643</v>
      </c>
      <c r="Y197" s="112">
        <f ca="1">ROUND(SUMIF('JUNE (물량흐름)'!$C$13:$C$502,'WIP(재공품)'!B197,'JUNE (물량흐름)'!$N$13:$N$488),0)</f>
        <v>0</v>
      </c>
      <c r="Z197" s="112">
        <f>ROUND(SUMIF('JUNE (물량흐름)'!$C$13:$C$502,'WIP(재공품)'!B197,'JUNE (물량흐름)'!$O$13:$O$502),0)</f>
        <v>0</v>
      </c>
      <c r="AA197" s="112">
        <f>ROUND(SUMIF('JUNE (물량흐름)'!$C$13:$C$502,'WIP(재공품)'!B197,'JUNE (물량흐름)'!$P$13:$P$502),0)</f>
        <v>0</v>
      </c>
      <c r="AB197" s="112">
        <f t="shared" ca="1" si="25"/>
        <v>0</v>
      </c>
      <c r="AC197" s="112">
        <f t="shared" si="26"/>
        <v>0</v>
      </c>
      <c r="AD197" s="381">
        <f t="shared" ca="1" si="27"/>
        <v>0</v>
      </c>
      <c r="AE197" s="381">
        <f t="shared" si="28"/>
        <v>0</v>
      </c>
      <c r="AF197" s="382"/>
      <c r="AG197" s="382">
        <v>0</v>
      </c>
      <c r="AH197" s="383">
        <f t="shared" si="29"/>
        <v>0.35</v>
      </c>
      <c r="AJ197" s="383"/>
      <c r="AL197" s="385"/>
      <c r="AM197" s="381"/>
      <c r="AN197" s="382"/>
      <c r="AO197" s="382"/>
      <c r="AP197" s="383"/>
      <c r="AQ197" s="383"/>
    </row>
    <row r="198" spans="1:43" s="384" customFormat="1" ht="18.75" customHeight="1">
      <c r="A198" s="167">
        <v>188</v>
      </c>
      <c r="B198" s="240">
        <f>VLOOKUP(A198,'JUNE (물량흐름)'!$A$13:$C$502,3,0)</f>
        <v>453616</v>
      </c>
      <c r="C198" s="21" t="str">
        <f>VLOOKUP(A198,'JUNE (물량흐름)'!$A$13:$C$502,2,0)</f>
        <v>ANN TAYLOR</v>
      </c>
      <c r="D198" s="212">
        <v>0.35</v>
      </c>
      <c r="E198" s="6">
        <f>VLOOKUP(B198,'Sales profit (스타일 별 매출이익)'!$D$9:$P$491,13,0)</f>
        <v>7936.2499999999991</v>
      </c>
      <c r="F198" s="112">
        <f>IFERROR(VLOOKUP(B198,O.B.JUNE!$N$7:$Q$448,2,0),0)</f>
        <v>0</v>
      </c>
      <c r="G198" s="112">
        <f>IFERROR(VLOOKUP(B198,O.B.JUNE!$N$7:$Q$448,3,0),0)</f>
        <v>219</v>
      </c>
      <c r="H198" s="112">
        <f>IFERROR(VLOOKUP(B198,O.B.JUNE!$N$7:$Q$448,4,0),0)</f>
        <v>93</v>
      </c>
      <c r="I198" s="112">
        <f t="shared" si="21"/>
        <v>312</v>
      </c>
      <c r="J198" s="112">
        <f>IFERROR(VLOOKUP(B198,O.B.JUNE!$AA$7:$AG$448,7,0),0)</f>
        <v>2464372</v>
      </c>
      <c r="K198" s="112">
        <f>IFERROR(VLOOKUP(B198,O.B.JUNE!$AI$7:$AO$448,7,0),0)</f>
        <v>3357892</v>
      </c>
      <c r="L198" s="112">
        <f t="shared" si="22"/>
        <v>5822264</v>
      </c>
      <c r="M198" s="112">
        <f>ROUND(SUMIF('JUNE (물량흐름)'!$C$13:$C$502,'WIP(재공품)'!B198,'JUNE (물량흐름)'!$H$13:$H$502)+SUMIF('JUNE (물량흐름)'!$C$13:$C$502,'WIP(재공품)'!B198,'JUNE (물량흐름)'!$V$13:$V$502),0)</f>
        <v>0</v>
      </c>
      <c r="N198" s="112">
        <f>SUMIF('Direct labour(직접노무비)'!$C$12:$C$503,'WIP(재공품)'!B198,'Direct labour(직접노무비)'!$O$12:$O$503)</f>
        <v>0</v>
      </c>
      <c r="O198" s="112">
        <f>SUMIF('Overhead exp(제조경비)'!$C$12:$C$503,'WIP(재공품)'!B198,'Overhead exp(제조경비)'!$O$12:$O$503)</f>
        <v>0</v>
      </c>
      <c r="P198" s="112">
        <f t="shared" si="23"/>
        <v>0</v>
      </c>
      <c r="Q198" s="112">
        <v>0</v>
      </c>
      <c r="R198" s="112">
        <v>0</v>
      </c>
      <c r="S198" s="112">
        <f>SUMIF('JUNE (물량흐름)'!$C$13:$C$493,'WIP(재공품)'!B198,'JUNE (물량흐름)'!$T$13:$T$493)+SUMIF('JUNE (물량흐름)'!$C$13:$C$493,'WIP(재공품)'!B198,'JUNE (물량흐름)'!$U$13:$U$493)+SUMIF('JUNE (물량흐름)'!$C$13:$C$493,'WIP(재공품)'!B198,'JUNE (물량흐름)'!$V$13:$V$493)-SUMIF('JUNE (물량흐름)'!$C$13:$C$493,'WIP(재공품)'!B198,'JUNE (물량흐름)'!$Y$13:$Y$493)</f>
        <v>312</v>
      </c>
      <c r="T198" s="112">
        <f>SUMIF('JUNE (물량흐름)'!$C$13:$C$502,'WIP(재공품)'!B198,'JUNE (물량흐름)'!$Y$13:$Y$502)</f>
        <v>0</v>
      </c>
      <c r="U198" s="167">
        <f>SUMIF('Direct labour(직접노무비)'!$C$12:$C$503,'WIP(재공품)'!B198,'Direct labour(직접노무비)'!$U$12:$U$503)+SUMIF('Overhead exp(제조경비)'!$C$12:$C$503,'WIP(재공품)'!B198,'Overhead exp(제조경비)'!$U$12:$U$503)</f>
        <v>0</v>
      </c>
      <c r="V198" s="112">
        <f>SUMIF('Direct labour(직접노무비)'!$C$12:$C$503,'WIP(재공품)'!B198,'Direct labour(직접노무비)'!$Q$12:$Q$503)</f>
        <v>2464372</v>
      </c>
      <c r="W198" s="112">
        <f>SUMIF('Overhead exp(제조경비)'!$C$12:$C$503,'WIP(재공품)'!B198,'Overhead exp(제조경비)'!$Q$12:$Q$503)</f>
        <v>3357892</v>
      </c>
      <c r="X198" s="112">
        <f t="shared" si="24"/>
        <v>5822264</v>
      </c>
      <c r="Y198" s="112">
        <f ca="1">ROUND(SUMIF('JUNE (물량흐름)'!$C$13:$C$502,'WIP(재공품)'!B198,'JUNE (물량흐름)'!$N$13:$N$488),0)</f>
        <v>0</v>
      </c>
      <c r="Z198" s="112">
        <f>ROUND(SUMIF('JUNE (물량흐름)'!$C$13:$C$502,'WIP(재공품)'!B198,'JUNE (물량흐름)'!$O$13:$O$502),0)</f>
        <v>0</v>
      </c>
      <c r="AA198" s="112">
        <f>ROUND(SUMIF('JUNE (물량흐름)'!$C$13:$C$502,'WIP(재공품)'!B198,'JUNE (물량흐름)'!$P$13:$P$502),0)</f>
        <v>0</v>
      </c>
      <c r="AB198" s="112">
        <f t="shared" ca="1" si="25"/>
        <v>0</v>
      </c>
      <c r="AC198" s="112">
        <f t="shared" si="26"/>
        <v>0</v>
      </c>
      <c r="AD198" s="381">
        <f t="shared" ca="1" si="27"/>
        <v>0</v>
      </c>
      <c r="AE198" s="381">
        <f t="shared" si="28"/>
        <v>0</v>
      </c>
      <c r="AF198" s="382"/>
      <c r="AG198" s="382">
        <v>0</v>
      </c>
      <c r="AH198" s="383">
        <f t="shared" si="29"/>
        <v>0.35</v>
      </c>
      <c r="AJ198" s="383"/>
      <c r="AL198" s="385"/>
      <c r="AM198" s="381"/>
      <c r="AN198" s="382"/>
      <c r="AO198" s="382"/>
      <c r="AP198" s="383"/>
      <c r="AQ198" s="383"/>
    </row>
    <row r="199" spans="1:43" s="384" customFormat="1" ht="18.75" customHeight="1">
      <c r="A199" s="167">
        <v>189</v>
      </c>
      <c r="B199" s="240">
        <f>VLOOKUP(A199,'JUNE (물량흐름)'!$A$13:$C$502,3,0)</f>
        <v>453707</v>
      </c>
      <c r="C199" s="21" t="str">
        <f>VLOOKUP(A199,'JUNE (물량흐름)'!$A$13:$C$502,2,0)</f>
        <v>ANN TAYLOR</v>
      </c>
      <c r="D199" s="212">
        <v>0.35</v>
      </c>
      <c r="E199" s="6">
        <f>VLOOKUP(B199,'Sales profit (스타일 별 매출이익)'!$D$9:$P$491,13,0)</f>
        <v>7936.2499999999991</v>
      </c>
      <c r="F199" s="112">
        <f>IFERROR(VLOOKUP(B199,O.B.JUNE!$N$7:$Q$448,2,0),0)</f>
        <v>0</v>
      </c>
      <c r="G199" s="112">
        <f>IFERROR(VLOOKUP(B199,O.B.JUNE!$N$7:$Q$448,3,0),0)</f>
        <v>0</v>
      </c>
      <c r="H199" s="112">
        <f>IFERROR(VLOOKUP(B199,O.B.JUNE!$N$7:$Q$448,4,0),0)</f>
        <v>343</v>
      </c>
      <c r="I199" s="112">
        <f t="shared" si="21"/>
        <v>343</v>
      </c>
      <c r="J199" s="112">
        <f>IFERROR(VLOOKUP(B199,O.B.JUNE!$AA$7:$AG$448,7,0),0)</f>
        <v>2244766</v>
      </c>
      <c r="K199" s="112">
        <f>IFERROR(VLOOKUP(B199,O.B.JUNE!$AI$7:$AO$448,7,0),0)</f>
        <v>3095941</v>
      </c>
      <c r="L199" s="112">
        <f t="shared" si="22"/>
        <v>5340707</v>
      </c>
      <c r="M199" s="112">
        <f>ROUND(SUMIF('JUNE (물량흐름)'!$C$13:$C$502,'WIP(재공품)'!B199,'JUNE (물량흐름)'!$H$13:$H$502)+SUMIF('JUNE (물량흐름)'!$C$13:$C$502,'WIP(재공품)'!B199,'JUNE (물량흐름)'!$V$13:$V$502),0)</f>
        <v>0</v>
      </c>
      <c r="N199" s="112">
        <f>SUMIF('Direct labour(직접노무비)'!$C$12:$C$503,'WIP(재공품)'!B199,'Direct labour(직접노무비)'!$O$12:$O$503)</f>
        <v>0</v>
      </c>
      <c r="O199" s="112">
        <f>SUMIF('Overhead exp(제조경비)'!$C$12:$C$503,'WIP(재공품)'!B199,'Overhead exp(제조경비)'!$O$12:$O$503)</f>
        <v>0</v>
      </c>
      <c r="P199" s="112">
        <f t="shared" si="23"/>
        <v>0</v>
      </c>
      <c r="Q199" s="112">
        <v>0</v>
      </c>
      <c r="R199" s="112">
        <v>0</v>
      </c>
      <c r="S199" s="112">
        <f>SUMIF('JUNE (물량흐름)'!$C$13:$C$493,'WIP(재공품)'!B199,'JUNE (물량흐름)'!$T$13:$T$493)+SUMIF('JUNE (물량흐름)'!$C$13:$C$493,'WIP(재공품)'!B199,'JUNE (물량흐름)'!$U$13:$U$493)+SUMIF('JUNE (물량흐름)'!$C$13:$C$493,'WIP(재공품)'!B199,'JUNE (물량흐름)'!$V$13:$V$493)-SUMIF('JUNE (물량흐름)'!$C$13:$C$493,'WIP(재공품)'!B199,'JUNE (물량흐름)'!$Y$13:$Y$493)</f>
        <v>343</v>
      </c>
      <c r="T199" s="112">
        <f>SUMIF('JUNE (물량흐름)'!$C$13:$C$502,'WIP(재공품)'!B199,'JUNE (물량흐름)'!$Y$13:$Y$502)</f>
        <v>0</v>
      </c>
      <c r="U199" s="167">
        <f>SUMIF('Direct labour(직접노무비)'!$C$12:$C$503,'WIP(재공품)'!B199,'Direct labour(직접노무비)'!$U$12:$U$503)+SUMIF('Overhead exp(제조경비)'!$C$12:$C$503,'WIP(재공품)'!B199,'Overhead exp(제조경비)'!$U$12:$U$503)</f>
        <v>0</v>
      </c>
      <c r="V199" s="112">
        <f>SUMIF('Direct labour(직접노무비)'!$C$12:$C$503,'WIP(재공품)'!B199,'Direct labour(직접노무비)'!$Q$12:$Q$503)</f>
        <v>2244766</v>
      </c>
      <c r="W199" s="112">
        <f>SUMIF('Overhead exp(제조경비)'!$C$12:$C$503,'WIP(재공품)'!B199,'Overhead exp(제조경비)'!$Q$12:$Q$503)</f>
        <v>3095941</v>
      </c>
      <c r="X199" s="112">
        <f t="shared" si="24"/>
        <v>5340707</v>
      </c>
      <c r="Y199" s="112">
        <f ca="1">ROUND(SUMIF('JUNE (물량흐름)'!$C$13:$C$502,'WIP(재공품)'!B199,'JUNE (물량흐름)'!$N$13:$N$488),0)</f>
        <v>0</v>
      </c>
      <c r="Z199" s="112">
        <f>ROUND(SUMIF('JUNE (물량흐름)'!$C$13:$C$502,'WIP(재공품)'!B199,'JUNE (물량흐름)'!$O$13:$O$502),0)</f>
        <v>0</v>
      </c>
      <c r="AA199" s="112">
        <f>ROUND(SUMIF('JUNE (물량흐름)'!$C$13:$C$502,'WIP(재공품)'!B199,'JUNE (물량흐름)'!$P$13:$P$502),0)</f>
        <v>0</v>
      </c>
      <c r="AB199" s="112">
        <f t="shared" ca="1" si="25"/>
        <v>0</v>
      </c>
      <c r="AC199" s="112">
        <f t="shared" si="26"/>
        <v>0</v>
      </c>
      <c r="AD199" s="381">
        <f t="shared" ca="1" si="27"/>
        <v>0</v>
      </c>
      <c r="AE199" s="381">
        <f t="shared" si="28"/>
        <v>0</v>
      </c>
      <c r="AF199" s="382"/>
      <c r="AG199" s="382">
        <v>0</v>
      </c>
      <c r="AH199" s="383">
        <f t="shared" si="29"/>
        <v>0.35</v>
      </c>
      <c r="AJ199" s="383"/>
      <c r="AL199" s="385"/>
      <c r="AM199" s="381"/>
      <c r="AN199" s="382"/>
      <c r="AO199" s="382"/>
      <c r="AP199" s="383"/>
      <c r="AQ199" s="383"/>
    </row>
    <row r="200" spans="1:43" s="384" customFormat="1" ht="18.75" customHeight="1">
      <c r="A200" s="167">
        <v>190</v>
      </c>
      <c r="B200" s="240">
        <f>VLOOKUP(A200,'JUNE (물량흐름)'!$A$13:$C$502,3,0)</f>
        <v>454208</v>
      </c>
      <c r="C200" s="21" t="str">
        <f>VLOOKUP(A200,'JUNE (물량흐름)'!$A$13:$C$502,2,0)</f>
        <v>ANN TAYLOR</v>
      </c>
      <c r="D200" s="212">
        <v>0.35</v>
      </c>
      <c r="E200" s="6">
        <f>VLOOKUP(B200,'Sales profit (스타일 별 매출이익)'!$D$9:$P$491,13,0)</f>
        <v>7936.2499999999991</v>
      </c>
      <c r="F200" s="112">
        <f>IFERROR(VLOOKUP(B200,O.B.JUNE!$N$7:$Q$448,2,0),0)</f>
        <v>7</v>
      </c>
      <c r="G200" s="112">
        <f>IFERROR(VLOOKUP(B200,O.B.JUNE!$N$7:$Q$448,3,0),0)</f>
        <v>1522</v>
      </c>
      <c r="H200" s="112">
        <f>IFERROR(VLOOKUP(B200,O.B.JUNE!$N$7:$Q$448,4,0),0)</f>
        <v>1527</v>
      </c>
      <c r="I200" s="112">
        <f t="shared" si="21"/>
        <v>3056</v>
      </c>
      <c r="J200" s="112">
        <f>IFERROR(VLOOKUP(B200,O.B.JUNE!$AA$7:$AG$448,7,0),0)</f>
        <v>27265369</v>
      </c>
      <c r="K200" s="112">
        <f>IFERROR(VLOOKUP(B200,O.B.JUNE!$AI$7:$AO$448,7,0),0)</f>
        <v>37227014</v>
      </c>
      <c r="L200" s="112">
        <f t="shared" si="22"/>
        <v>64492383</v>
      </c>
      <c r="M200" s="112">
        <f>ROUND(SUMIF('JUNE (물량흐름)'!$C$13:$C$502,'WIP(재공품)'!B200,'JUNE (물량흐름)'!$H$13:$H$502)+SUMIF('JUNE (물량흐름)'!$C$13:$C$502,'WIP(재공품)'!B200,'JUNE (물량흐름)'!$V$13:$V$502),0)</f>
        <v>0</v>
      </c>
      <c r="N200" s="112">
        <f>SUMIF('Direct labour(직접노무비)'!$C$12:$C$503,'WIP(재공품)'!B200,'Direct labour(직접노무비)'!$O$12:$O$503)</f>
        <v>0</v>
      </c>
      <c r="O200" s="112">
        <f>SUMIF('Overhead exp(제조경비)'!$C$12:$C$503,'WIP(재공품)'!B200,'Overhead exp(제조경비)'!$O$12:$O$503)</f>
        <v>0</v>
      </c>
      <c r="P200" s="112">
        <f t="shared" si="23"/>
        <v>0</v>
      </c>
      <c r="Q200" s="112">
        <v>0</v>
      </c>
      <c r="R200" s="112">
        <v>0</v>
      </c>
      <c r="S200" s="112">
        <f>SUMIF('JUNE (물량흐름)'!$C$13:$C$493,'WIP(재공품)'!B200,'JUNE (물량흐름)'!$T$13:$T$493)+SUMIF('JUNE (물량흐름)'!$C$13:$C$493,'WIP(재공품)'!B200,'JUNE (물량흐름)'!$U$13:$U$493)+SUMIF('JUNE (물량흐름)'!$C$13:$C$493,'WIP(재공품)'!B200,'JUNE (물량흐름)'!$V$13:$V$493)-SUMIF('JUNE (물량흐름)'!$C$13:$C$493,'WIP(재공품)'!B200,'JUNE (물량흐름)'!$Y$13:$Y$493)</f>
        <v>3056</v>
      </c>
      <c r="T200" s="112">
        <f>SUMIF('JUNE (물량흐름)'!$C$13:$C$502,'WIP(재공품)'!B200,'JUNE (물량흐름)'!$Y$13:$Y$502)</f>
        <v>0</v>
      </c>
      <c r="U200" s="167">
        <f>SUMIF('Direct labour(직접노무비)'!$C$12:$C$503,'WIP(재공품)'!B200,'Direct labour(직접노무비)'!$U$12:$U$503)+SUMIF('Overhead exp(제조경비)'!$C$12:$C$503,'WIP(재공품)'!B200,'Overhead exp(제조경비)'!$U$12:$U$503)</f>
        <v>0</v>
      </c>
      <c r="V200" s="112">
        <f>SUMIF('Direct labour(직접노무비)'!$C$12:$C$503,'WIP(재공품)'!B200,'Direct labour(직접노무비)'!$Q$12:$Q$503)</f>
        <v>27265369</v>
      </c>
      <c r="W200" s="112">
        <f>SUMIF('Overhead exp(제조경비)'!$C$12:$C$503,'WIP(재공품)'!B200,'Overhead exp(제조경비)'!$Q$12:$Q$503)</f>
        <v>37227014</v>
      </c>
      <c r="X200" s="112">
        <f t="shared" si="24"/>
        <v>64492383</v>
      </c>
      <c r="Y200" s="112">
        <f ca="1">ROUND(SUMIF('JUNE (물량흐름)'!$C$13:$C$502,'WIP(재공품)'!B200,'JUNE (물량흐름)'!$N$13:$N$488),0)</f>
        <v>0</v>
      </c>
      <c r="Z200" s="112">
        <f>ROUND(SUMIF('JUNE (물량흐름)'!$C$13:$C$502,'WIP(재공품)'!B200,'JUNE (물량흐름)'!$O$13:$O$502),0)</f>
        <v>0</v>
      </c>
      <c r="AA200" s="112">
        <f>ROUND(SUMIF('JUNE (물량흐름)'!$C$13:$C$502,'WIP(재공품)'!B200,'JUNE (물량흐름)'!$P$13:$P$502),0)</f>
        <v>0</v>
      </c>
      <c r="AB200" s="112">
        <f t="shared" ca="1" si="25"/>
        <v>0</v>
      </c>
      <c r="AC200" s="112">
        <f t="shared" si="26"/>
        <v>0</v>
      </c>
      <c r="AD200" s="381">
        <f t="shared" ca="1" si="27"/>
        <v>0</v>
      </c>
      <c r="AE200" s="381">
        <f t="shared" si="28"/>
        <v>0</v>
      </c>
      <c r="AF200" s="382"/>
      <c r="AG200" s="382">
        <v>0</v>
      </c>
      <c r="AH200" s="383">
        <f t="shared" si="29"/>
        <v>0.35</v>
      </c>
      <c r="AJ200" s="383"/>
      <c r="AL200" s="385"/>
      <c r="AM200" s="381"/>
      <c r="AN200" s="382"/>
      <c r="AO200" s="382"/>
      <c r="AP200" s="383"/>
      <c r="AQ200" s="383"/>
    </row>
    <row r="201" spans="1:43" s="384" customFormat="1" ht="18.75" customHeight="1">
      <c r="A201" s="167">
        <v>191</v>
      </c>
      <c r="B201" s="240">
        <f>VLOOKUP(A201,'JUNE (물량흐름)'!$A$13:$C$502,3,0)</f>
        <v>455769</v>
      </c>
      <c r="C201" s="21" t="str">
        <f>VLOOKUP(A201,'JUNE (물량흐름)'!$A$13:$C$502,2,0)</f>
        <v>ANN TAYLOR</v>
      </c>
      <c r="D201" s="212">
        <v>0.35</v>
      </c>
      <c r="E201" s="6">
        <f>VLOOKUP(B201,'Sales profit (스타일 별 매출이익)'!$D$9:$P$491,13,0)</f>
        <v>7936.2499999999991</v>
      </c>
      <c r="F201" s="112">
        <f>IFERROR(VLOOKUP(B201,O.B.JUNE!$N$7:$Q$448,2,0),0)</f>
        <v>0</v>
      </c>
      <c r="G201" s="112">
        <f>IFERROR(VLOOKUP(B201,O.B.JUNE!$N$7:$Q$448,3,0),0)</f>
        <v>48</v>
      </c>
      <c r="H201" s="112">
        <f>IFERROR(VLOOKUP(B201,O.B.JUNE!$N$7:$Q$448,4,0),0)</f>
        <v>66</v>
      </c>
      <c r="I201" s="112">
        <f t="shared" si="21"/>
        <v>114</v>
      </c>
      <c r="J201" s="112">
        <f>IFERROR(VLOOKUP(B201,O.B.JUNE!$AA$7:$AG$448,7,0),0)</f>
        <v>1109758</v>
      </c>
      <c r="K201" s="112">
        <f>IFERROR(VLOOKUP(B201,O.B.JUNE!$AI$7:$AO$448,7,0),0)</f>
        <v>1520722</v>
      </c>
      <c r="L201" s="112">
        <f t="shared" si="22"/>
        <v>2630480</v>
      </c>
      <c r="M201" s="112">
        <f>ROUND(SUMIF('JUNE (물량흐름)'!$C$13:$C$502,'WIP(재공품)'!B201,'JUNE (물량흐름)'!$H$13:$H$502)+SUMIF('JUNE (물량흐름)'!$C$13:$C$502,'WIP(재공품)'!B201,'JUNE (물량흐름)'!$V$13:$V$502),0)</f>
        <v>0</v>
      </c>
      <c r="N201" s="112">
        <f>SUMIF('Direct labour(직접노무비)'!$C$12:$C$503,'WIP(재공품)'!B201,'Direct labour(직접노무비)'!$O$12:$O$503)</f>
        <v>0</v>
      </c>
      <c r="O201" s="112">
        <f>SUMIF('Overhead exp(제조경비)'!$C$12:$C$503,'WIP(재공품)'!B201,'Overhead exp(제조경비)'!$O$12:$O$503)</f>
        <v>0</v>
      </c>
      <c r="P201" s="112">
        <f t="shared" si="23"/>
        <v>0</v>
      </c>
      <c r="Q201" s="112">
        <v>0</v>
      </c>
      <c r="R201" s="112">
        <v>0</v>
      </c>
      <c r="S201" s="112">
        <f>SUMIF('JUNE (물량흐름)'!$C$13:$C$493,'WIP(재공품)'!B201,'JUNE (물량흐름)'!$T$13:$T$493)+SUMIF('JUNE (물량흐름)'!$C$13:$C$493,'WIP(재공품)'!B201,'JUNE (물량흐름)'!$U$13:$U$493)+SUMIF('JUNE (물량흐름)'!$C$13:$C$493,'WIP(재공품)'!B201,'JUNE (물량흐름)'!$V$13:$V$493)-SUMIF('JUNE (물량흐름)'!$C$13:$C$493,'WIP(재공품)'!B201,'JUNE (물량흐름)'!$Y$13:$Y$493)</f>
        <v>114</v>
      </c>
      <c r="T201" s="112">
        <f>SUMIF('JUNE (물량흐름)'!$C$13:$C$502,'WIP(재공품)'!B201,'JUNE (물량흐름)'!$Y$13:$Y$502)</f>
        <v>0</v>
      </c>
      <c r="U201" s="167">
        <f>SUMIF('Direct labour(직접노무비)'!$C$12:$C$503,'WIP(재공품)'!B201,'Direct labour(직접노무비)'!$U$12:$U$503)+SUMIF('Overhead exp(제조경비)'!$C$12:$C$503,'WIP(재공품)'!B201,'Overhead exp(제조경비)'!$U$12:$U$503)</f>
        <v>0</v>
      </c>
      <c r="V201" s="112">
        <f>SUMIF('Direct labour(직접노무비)'!$C$12:$C$503,'WIP(재공품)'!B201,'Direct labour(직접노무비)'!$Q$12:$Q$503)</f>
        <v>1109758</v>
      </c>
      <c r="W201" s="112">
        <f>SUMIF('Overhead exp(제조경비)'!$C$12:$C$503,'WIP(재공품)'!B201,'Overhead exp(제조경비)'!$Q$12:$Q$503)</f>
        <v>1520722</v>
      </c>
      <c r="X201" s="112">
        <f t="shared" si="24"/>
        <v>2630480</v>
      </c>
      <c r="Y201" s="112">
        <f ca="1">ROUND(SUMIF('JUNE (물량흐름)'!$C$13:$C$502,'WIP(재공품)'!B201,'JUNE (물량흐름)'!$N$13:$N$488),0)</f>
        <v>0</v>
      </c>
      <c r="Z201" s="112">
        <f>ROUND(SUMIF('JUNE (물량흐름)'!$C$13:$C$502,'WIP(재공품)'!B201,'JUNE (물량흐름)'!$O$13:$O$502),0)</f>
        <v>0</v>
      </c>
      <c r="AA201" s="112">
        <f>ROUND(SUMIF('JUNE (물량흐름)'!$C$13:$C$502,'WIP(재공품)'!B201,'JUNE (물량흐름)'!$P$13:$P$502),0)</f>
        <v>0</v>
      </c>
      <c r="AB201" s="112">
        <f t="shared" ca="1" si="25"/>
        <v>0</v>
      </c>
      <c r="AC201" s="112">
        <f t="shared" si="26"/>
        <v>0</v>
      </c>
      <c r="AD201" s="381">
        <f t="shared" ca="1" si="27"/>
        <v>0</v>
      </c>
      <c r="AE201" s="381">
        <f t="shared" si="28"/>
        <v>0</v>
      </c>
      <c r="AF201" s="382"/>
      <c r="AG201" s="382">
        <v>0</v>
      </c>
      <c r="AH201" s="383">
        <f t="shared" si="29"/>
        <v>0.35</v>
      </c>
      <c r="AJ201" s="383"/>
      <c r="AL201" s="385"/>
      <c r="AM201" s="381"/>
      <c r="AN201" s="382"/>
      <c r="AO201" s="382"/>
      <c r="AP201" s="383"/>
      <c r="AQ201" s="383"/>
    </row>
    <row r="202" spans="1:43" s="384" customFormat="1" ht="18.75" customHeight="1">
      <c r="A202" s="167">
        <v>192</v>
      </c>
      <c r="B202" s="240">
        <f>VLOOKUP(A202,'JUNE (물량흐름)'!$A$13:$C$502,3,0)</f>
        <v>455770</v>
      </c>
      <c r="C202" s="21" t="str">
        <f>VLOOKUP(A202,'JUNE (물량흐름)'!$A$13:$C$502,2,0)</f>
        <v>ANN TAYLOR</v>
      </c>
      <c r="D202" s="212">
        <v>0.35</v>
      </c>
      <c r="E202" s="6">
        <f>VLOOKUP(B202,'Sales profit (스타일 별 매출이익)'!$D$9:$P$491,13,0)</f>
        <v>7936.2499999999991</v>
      </c>
      <c r="F202" s="112">
        <f>IFERROR(VLOOKUP(B202,O.B.JUNE!$N$7:$Q$448,2,0),0)</f>
        <v>0</v>
      </c>
      <c r="G202" s="112">
        <f>IFERROR(VLOOKUP(B202,O.B.JUNE!$N$7:$Q$448,3,0),0)</f>
        <v>92</v>
      </c>
      <c r="H202" s="112">
        <f>IFERROR(VLOOKUP(B202,O.B.JUNE!$N$7:$Q$448,4,0),0)</f>
        <v>109</v>
      </c>
      <c r="I202" s="112">
        <f t="shared" si="21"/>
        <v>201</v>
      </c>
      <c r="J202" s="112">
        <f>IFERROR(VLOOKUP(B202,O.B.JUNE!$AA$7:$AG$448,7,0),0)</f>
        <v>1864529</v>
      </c>
      <c r="K202" s="112">
        <f>IFERROR(VLOOKUP(B202,O.B.JUNE!$AI$7:$AO$448,7,0),0)</f>
        <v>2549674</v>
      </c>
      <c r="L202" s="112">
        <f t="shared" si="22"/>
        <v>4414203</v>
      </c>
      <c r="M202" s="112">
        <f>ROUND(SUMIF('JUNE (물량흐름)'!$C$13:$C$502,'WIP(재공품)'!B202,'JUNE (물량흐름)'!$H$13:$H$502)+SUMIF('JUNE (물량흐름)'!$C$13:$C$502,'WIP(재공품)'!B202,'JUNE (물량흐름)'!$V$13:$V$502),0)</f>
        <v>0</v>
      </c>
      <c r="N202" s="112">
        <f>SUMIF('Direct labour(직접노무비)'!$C$12:$C$503,'WIP(재공품)'!B202,'Direct labour(직접노무비)'!$O$12:$O$503)</f>
        <v>0</v>
      </c>
      <c r="O202" s="112">
        <f>SUMIF('Overhead exp(제조경비)'!$C$12:$C$503,'WIP(재공품)'!B202,'Overhead exp(제조경비)'!$O$12:$O$503)</f>
        <v>0</v>
      </c>
      <c r="P202" s="112">
        <f t="shared" si="23"/>
        <v>0</v>
      </c>
      <c r="Q202" s="112">
        <v>0</v>
      </c>
      <c r="R202" s="112">
        <v>0</v>
      </c>
      <c r="S202" s="112">
        <f>SUMIF('JUNE (물량흐름)'!$C$13:$C$493,'WIP(재공품)'!B202,'JUNE (물량흐름)'!$T$13:$T$493)+SUMIF('JUNE (물량흐름)'!$C$13:$C$493,'WIP(재공품)'!B202,'JUNE (물량흐름)'!$U$13:$U$493)+SUMIF('JUNE (물량흐름)'!$C$13:$C$493,'WIP(재공품)'!B202,'JUNE (물량흐름)'!$V$13:$V$493)-SUMIF('JUNE (물량흐름)'!$C$13:$C$493,'WIP(재공품)'!B202,'JUNE (물량흐름)'!$Y$13:$Y$493)</f>
        <v>201</v>
      </c>
      <c r="T202" s="112">
        <f>SUMIF('JUNE (물량흐름)'!$C$13:$C$502,'WIP(재공품)'!B202,'JUNE (물량흐름)'!$Y$13:$Y$502)</f>
        <v>0</v>
      </c>
      <c r="U202" s="167">
        <f>SUMIF('Direct labour(직접노무비)'!$C$12:$C$503,'WIP(재공품)'!B202,'Direct labour(직접노무비)'!$U$12:$U$503)+SUMIF('Overhead exp(제조경비)'!$C$12:$C$503,'WIP(재공품)'!B202,'Overhead exp(제조경비)'!$U$12:$U$503)</f>
        <v>0</v>
      </c>
      <c r="V202" s="112">
        <f>SUMIF('Direct labour(직접노무비)'!$C$12:$C$503,'WIP(재공품)'!B202,'Direct labour(직접노무비)'!$Q$12:$Q$503)</f>
        <v>1864529</v>
      </c>
      <c r="W202" s="112">
        <f>SUMIF('Overhead exp(제조경비)'!$C$12:$C$503,'WIP(재공품)'!B202,'Overhead exp(제조경비)'!$Q$12:$Q$503)</f>
        <v>2549674</v>
      </c>
      <c r="X202" s="112">
        <f t="shared" si="24"/>
        <v>4414203</v>
      </c>
      <c r="Y202" s="112">
        <f ca="1">ROUND(SUMIF('JUNE (물량흐름)'!$C$13:$C$502,'WIP(재공품)'!B202,'JUNE (물량흐름)'!$N$13:$N$488),0)</f>
        <v>0</v>
      </c>
      <c r="Z202" s="112">
        <f>ROUND(SUMIF('JUNE (물량흐름)'!$C$13:$C$502,'WIP(재공품)'!B202,'JUNE (물량흐름)'!$O$13:$O$502),0)</f>
        <v>0</v>
      </c>
      <c r="AA202" s="112">
        <f>ROUND(SUMIF('JUNE (물량흐름)'!$C$13:$C$502,'WIP(재공품)'!B202,'JUNE (물량흐름)'!$P$13:$P$502),0)</f>
        <v>0</v>
      </c>
      <c r="AB202" s="112">
        <f t="shared" ca="1" si="25"/>
        <v>0</v>
      </c>
      <c r="AC202" s="112">
        <f t="shared" si="26"/>
        <v>0</v>
      </c>
      <c r="AD202" s="381">
        <f t="shared" ca="1" si="27"/>
        <v>0</v>
      </c>
      <c r="AE202" s="381">
        <f t="shared" si="28"/>
        <v>0</v>
      </c>
      <c r="AF202" s="382"/>
      <c r="AG202" s="382">
        <v>1.4000000000000001</v>
      </c>
      <c r="AH202" s="383">
        <f t="shared" si="29"/>
        <v>-1.0500000000000003</v>
      </c>
      <c r="AJ202" s="383"/>
      <c r="AL202" s="385"/>
      <c r="AM202" s="381"/>
      <c r="AN202" s="382"/>
      <c r="AO202" s="382"/>
      <c r="AP202" s="383"/>
      <c r="AQ202" s="383"/>
    </row>
    <row r="203" spans="1:43" s="384" customFormat="1" ht="18.75" customHeight="1">
      <c r="A203" s="167">
        <v>193</v>
      </c>
      <c r="B203" s="240">
        <f>VLOOKUP(A203,'JUNE (물량흐름)'!$A$13:$C$502,3,0)</f>
        <v>456858</v>
      </c>
      <c r="C203" s="21" t="str">
        <f>VLOOKUP(A203,'JUNE (물량흐름)'!$A$13:$C$502,2,0)</f>
        <v>ANN TAYLOR</v>
      </c>
      <c r="D203" s="212">
        <v>0.35</v>
      </c>
      <c r="E203" s="6">
        <f>VLOOKUP(B203,'Sales profit (스타일 별 매출이익)'!$D$9:$P$491,13,0)</f>
        <v>7936.2499999999991</v>
      </c>
      <c r="F203" s="112">
        <f>IFERROR(VLOOKUP(B203,O.B.JUNE!$N$7:$Q$448,2,0),0)</f>
        <v>0</v>
      </c>
      <c r="G203" s="112">
        <f>IFERROR(VLOOKUP(B203,O.B.JUNE!$N$7:$Q$448,3,0),0)</f>
        <v>0</v>
      </c>
      <c r="H203" s="112">
        <f>IFERROR(VLOOKUP(B203,O.B.JUNE!$N$7:$Q$448,4,0),0)</f>
        <v>450</v>
      </c>
      <c r="I203" s="112">
        <f t="shared" si="21"/>
        <v>450</v>
      </c>
      <c r="J203" s="112">
        <f>IFERROR(VLOOKUP(B203,O.B.JUNE!$AA$7:$AG$448,7,0),0)</f>
        <v>2575313</v>
      </c>
      <c r="K203" s="112">
        <f>IFERROR(VLOOKUP(B203,O.B.JUNE!$AI$7:$AO$448,7,0),0)</f>
        <v>3551827</v>
      </c>
      <c r="L203" s="112">
        <f t="shared" si="22"/>
        <v>6127140</v>
      </c>
      <c r="M203" s="112">
        <f>ROUND(SUMIF('JUNE (물량흐름)'!$C$13:$C$502,'WIP(재공품)'!B203,'JUNE (물량흐름)'!$H$13:$H$502)+SUMIF('JUNE (물량흐름)'!$C$13:$C$502,'WIP(재공품)'!B203,'JUNE (물량흐름)'!$V$13:$V$502),0)</f>
        <v>0</v>
      </c>
      <c r="N203" s="112">
        <f>SUMIF('Direct labour(직접노무비)'!$C$12:$C$503,'WIP(재공품)'!B203,'Direct labour(직접노무비)'!$O$12:$O$503)</f>
        <v>0</v>
      </c>
      <c r="O203" s="112">
        <f>SUMIF('Overhead exp(제조경비)'!$C$12:$C$503,'WIP(재공품)'!B203,'Overhead exp(제조경비)'!$O$12:$O$503)</f>
        <v>0</v>
      </c>
      <c r="P203" s="112">
        <f t="shared" si="23"/>
        <v>0</v>
      </c>
      <c r="Q203" s="112">
        <v>0</v>
      </c>
      <c r="R203" s="112">
        <v>0</v>
      </c>
      <c r="S203" s="112">
        <f>SUMIF('JUNE (물량흐름)'!$C$13:$C$493,'WIP(재공품)'!B203,'JUNE (물량흐름)'!$T$13:$T$493)+SUMIF('JUNE (물량흐름)'!$C$13:$C$493,'WIP(재공품)'!B203,'JUNE (물량흐름)'!$U$13:$U$493)+SUMIF('JUNE (물량흐름)'!$C$13:$C$493,'WIP(재공품)'!B203,'JUNE (물량흐름)'!$V$13:$V$493)-SUMIF('JUNE (물량흐름)'!$C$13:$C$493,'WIP(재공품)'!B203,'JUNE (물량흐름)'!$Y$13:$Y$493)</f>
        <v>0</v>
      </c>
      <c r="T203" s="112">
        <f>SUMIF('JUNE (물량흐름)'!$C$13:$C$502,'WIP(재공품)'!B203,'JUNE (물량흐름)'!$Y$13:$Y$502)</f>
        <v>0</v>
      </c>
      <c r="U203" s="167">
        <f>SUMIF('Direct labour(직접노무비)'!$C$12:$C$503,'WIP(재공품)'!B203,'Direct labour(직접노무비)'!$U$12:$U$503)+SUMIF('Overhead exp(제조경비)'!$C$12:$C$503,'WIP(재공품)'!B203,'Overhead exp(제조경비)'!$U$12:$U$503)</f>
        <v>0</v>
      </c>
      <c r="V203" s="112">
        <f>SUMIF('Direct labour(직접노무비)'!$C$12:$C$503,'WIP(재공품)'!B203,'Direct labour(직접노무비)'!$Q$12:$Q$503)</f>
        <v>0</v>
      </c>
      <c r="W203" s="112">
        <f>SUMIF('Overhead exp(제조경비)'!$C$12:$C$503,'WIP(재공품)'!B203,'Overhead exp(제조경비)'!$Q$12:$Q$503)</f>
        <v>0</v>
      </c>
      <c r="X203" s="112">
        <f t="shared" si="24"/>
        <v>0</v>
      </c>
      <c r="Y203" s="112">
        <f ca="1">ROUND(SUMIF('JUNE (물량흐름)'!$C$13:$C$502,'WIP(재공품)'!B203,'JUNE (물량흐름)'!$N$13:$N$488),0)</f>
        <v>0</v>
      </c>
      <c r="Z203" s="112">
        <f>ROUND(SUMIF('JUNE (물량흐름)'!$C$13:$C$502,'WIP(재공품)'!B203,'JUNE (물량흐름)'!$O$13:$O$502),0)</f>
        <v>0</v>
      </c>
      <c r="AA203" s="112">
        <f>ROUND(SUMIF('JUNE (물량흐름)'!$C$13:$C$502,'WIP(재공품)'!B203,'JUNE (물량흐름)'!$P$13:$P$502),0)</f>
        <v>450</v>
      </c>
      <c r="AB203" s="112">
        <f t="shared" ca="1" si="25"/>
        <v>450</v>
      </c>
      <c r="AC203" s="112">
        <f t="shared" si="26"/>
        <v>6127140</v>
      </c>
      <c r="AD203" s="381">
        <f t="shared" ca="1" si="27"/>
        <v>0</v>
      </c>
      <c r="AE203" s="381">
        <f t="shared" si="28"/>
        <v>0</v>
      </c>
      <c r="AF203" s="382"/>
      <c r="AG203" s="382">
        <v>0</v>
      </c>
      <c r="AH203" s="383">
        <f t="shared" si="29"/>
        <v>0.35</v>
      </c>
      <c r="AJ203" s="383"/>
      <c r="AL203" s="385"/>
      <c r="AM203" s="381"/>
      <c r="AN203" s="382"/>
      <c r="AO203" s="382"/>
      <c r="AP203" s="383"/>
      <c r="AQ203" s="383"/>
    </row>
    <row r="204" spans="1:43" s="384" customFormat="1" ht="18.75" customHeight="1">
      <c r="A204" s="167">
        <v>194</v>
      </c>
      <c r="B204" s="240">
        <f>VLOOKUP(A204,'JUNE (물량흐름)'!$A$13:$C$502,3,0)</f>
        <v>465443</v>
      </c>
      <c r="C204" s="21" t="str">
        <f>VLOOKUP(A204,'JUNE (물량흐름)'!$A$13:$C$502,2,0)</f>
        <v>ANN TAYLOR</v>
      </c>
      <c r="D204" s="212">
        <v>0.35</v>
      </c>
      <c r="E204" s="6">
        <f>VLOOKUP(B204,'Sales profit (스타일 별 매출이익)'!$D$9:$P$491,13,0)</f>
        <v>7936.2499999999991</v>
      </c>
      <c r="F204" s="112">
        <f>IFERROR(VLOOKUP(B204,O.B.JUNE!$N$7:$Q$448,2,0),0)</f>
        <v>0</v>
      </c>
      <c r="G204" s="112">
        <f>IFERROR(VLOOKUP(B204,O.B.JUNE!$N$7:$Q$448,3,0),0)</f>
        <v>0</v>
      </c>
      <c r="H204" s="112">
        <f>IFERROR(VLOOKUP(B204,O.B.JUNE!$N$7:$Q$448,4,0),0)</f>
        <v>42</v>
      </c>
      <c r="I204" s="112">
        <f t="shared" ref="I204:I267" si="30">SUM(F204:H204)</f>
        <v>42</v>
      </c>
      <c r="J204" s="112">
        <f>IFERROR(VLOOKUP(B204,O.B.JUNE!$AA$7:$AG$448,7,0),0)</f>
        <v>452900</v>
      </c>
      <c r="K204" s="112">
        <f>IFERROR(VLOOKUP(B204,O.B.JUNE!$AI$7:$AO$448,7,0),0)</f>
        <v>624632</v>
      </c>
      <c r="L204" s="112">
        <f t="shared" ref="L204:L267" si="31">ROUND(J204+K204,0)</f>
        <v>1077532</v>
      </c>
      <c r="M204" s="112">
        <f>ROUND(SUMIF('JUNE (물량흐름)'!$C$13:$C$502,'WIP(재공품)'!B204,'JUNE (물량흐름)'!$H$13:$H$502)+SUMIF('JUNE (물량흐름)'!$C$13:$C$502,'WIP(재공품)'!B204,'JUNE (물량흐름)'!$V$13:$V$502),0)</f>
        <v>0</v>
      </c>
      <c r="N204" s="112">
        <f>SUMIF('Direct labour(직접노무비)'!$C$12:$C$503,'WIP(재공품)'!B204,'Direct labour(직접노무비)'!$O$12:$O$503)</f>
        <v>0</v>
      </c>
      <c r="O204" s="112">
        <f>SUMIF('Overhead exp(제조경비)'!$C$12:$C$503,'WIP(재공품)'!B204,'Overhead exp(제조경비)'!$O$12:$O$503)</f>
        <v>0</v>
      </c>
      <c r="P204" s="112">
        <f t="shared" ref="P204:P267" si="32">ROUND(N204+O204,0)</f>
        <v>0</v>
      </c>
      <c r="Q204" s="112">
        <v>0</v>
      </c>
      <c r="R204" s="112">
        <v>0</v>
      </c>
      <c r="S204" s="112">
        <f>SUMIF('JUNE (물량흐름)'!$C$13:$C$493,'WIP(재공품)'!B204,'JUNE (물량흐름)'!$T$13:$T$493)+SUMIF('JUNE (물량흐름)'!$C$13:$C$493,'WIP(재공품)'!B204,'JUNE (물량흐름)'!$U$13:$U$493)+SUMIF('JUNE (물량흐름)'!$C$13:$C$493,'WIP(재공품)'!B204,'JUNE (물량흐름)'!$V$13:$V$493)-SUMIF('JUNE (물량흐름)'!$C$13:$C$493,'WIP(재공품)'!B204,'JUNE (물량흐름)'!$Y$13:$Y$493)</f>
        <v>0</v>
      </c>
      <c r="T204" s="112">
        <f>SUMIF('JUNE (물량흐름)'!$C$13:$C$502,'WIP(재공품)'!B204,'JUNE (물량흐름)'!$Y$13:$Y$502)</f>
        <v>0</v>
      </c>
      <c r="U204" s="167">
        <f>SUMIF('Direct labour(직접노무비)'!$C$12:$C$503,'WIP(재공품)'!B204,'Direct labour(직접노무비)'!$U$12:$U$503)+SUMIF('Overhead exp(제조경비)'!$C$12:$C$503,'WIP(재공품)'!B204,'Overhead exp(제조경비)'!$U$12:$U$503)</f>
        <v>0</v>
      </c>
      <c r="V204" s="112">
        <f>SUMIF('Direct labour(직접노무비)'!$C$12:$C$503,'WIP(재공품)'!B204,'Direct labour(직접노무비)'!$Q$12:$Q$503)</f>
        <v>0</v>
      </c>
      <c r="W204" s="112">
        <f>SUMIF('Overhead exp(제조경비)'!$C$12:$C$503,'WIP(재공품)'!B204,'Overhead exp(제조경비)'!$Q$12:$Q$503)</f>
        <v>0</v>
      </c>
      <c r="X204" s="112">
        <f t="shared" ref="X204:X267" si="33">ROUND(V204+W204,0)</f>
        <v>0</v>
      </c>
      <c r="Y204" s="112">
        <f ca="1">ROUND(SUMIF('JUNE (물량흐름)'!$C$13:$C$502,'WIP(재공품)'!B204,'JUNE (물량흐름)'!$N$13:$N$488),0)</f>
        <v>0</v>
      </c>
      <c r="Z204" s="112">
        <f>ROUND(SUMIF('JUNE (물량흐름)'!$C$13:$C$502,'WIP(재공품)'!B204,'JUNE (물량흐름)'!$O$13:$O$502),0)</f>
        <v>0</v>
      </c>
      <c r="AA204" s="112">
        <f>ROUND(SUMIF('JUNE (물량흐름)'!$C$13:$C$502,'WIP(재공품)'!B204,'JUNE (물량흐름)'!$P$13:$P$502),0)</f>
        <v>42</v>
      </c>
      <c r="AB204" s="112">
        <f t="shared" ref="AB204:AB267" ca="1" si="34">ROUND(SUM(Y204:AA204),0)</f>
        <v>42</v>
      </c>
      <c r="AC204" s="112">
        <f t="shared" ref="AC204:AC267" si="35">ROUND(L204+P204-X204-U204,0)</f>
        <v>1077532</v>
      </c>
      <c r="AD204" s="381">
        <f t="shared" ref="AD204:AD267" ca="1" si="36">I204+M204-S204-T204-AB204</f>
        <v>0</v>
      </c>
      <c r="AE204" s="381">
        <f t="shared" ref="AE204:AE267" si="37">+L204+P204-X204-U204-AC204</f>
        <v>0</v>
      </c>
      <c r="AF204" s="382"/>
      <c r="AG204" s="382">
        <v>0</v>
      </c>
      <c r="AH204" s="383">
        <f t="shared" ref="AH204:AH267" si="38">D204-AG204</f>
        <v>0.35</v>
      </c>
      <c r="AJ204" s="383"/>
      <c r="AL204" s="385"/>
      <c r="AM204" s="381"/>
      <c r="AN204" s="382"/>
      <c r="AO204" s="382"/>
      <c r="AP204" s="383"/>
      <c r="AQ204" s="383"/>
    </row>
    <row r="205" spans="1:43" s="384" customFormat="1" ht="18.75" customHeight="1">
      <c r="A205" s="167">
        <v>195</v>
      </c>
      <c r="B205" s="240">
        <f>VLOOKUP(A205,'JUNE (물량흐름)'!$A$13:$C$502,3,0)</f>
        <v>465452</v>
      </c>
      <c r="C205" s="21" t="str">
        <f>VLOOKUP(A205,'JUNE (물량흐름)'!$A$13:$C$502,2,0)</f>
        <v>ANN TAYLOR</v>
      </c>
      <c r="D205" s="212">
        <v>0.35</v>
      </c>
      <c r="E205" s="6">
        <f>VLOOKUP(B205,'Sales profit (스타일 별 매출이익)'!$D$9:$P$491,13,0)</f>
        <v>7936.2499999999991</v>
      </c>
      <c r="F205" s="112">
        <f>IFERROR(VLOOKUP(B205,O.B.JUNE!$N$7:$Q$448,2,0),0)</f>
        <v>0</v>
      </c>
      <c r="G205" s="112">
        <f>IFERROR(VLOOKUP(B205,O.B.JUNE!$N$7:$Q$448,3,0),0)</f>
        <v>0</v>
      </c>
      <c r="H205" s="112">
        <f>IFERROR(VLOOKUP(B205,O.B.JUNE!$N$7:$Q$448,4,0),0)</f>
        <v>62</v>
      </c>
      <c r="I205" s="112">
        <f t="shared" si="30"/>
        <v>62</v>
      </c>
      <c r="J205" s="112">
        <f>IFERROR(VLOOKUP(B205,O.B.JUNE!$AA$7:$AG$448,7,0),0)</f>
        <v>359656</v>
      </c>
      <c r="K205" s="112">
        <f>IFERROR(VLOOKUP(B205,O.B.JUNE!$AI$7:$AO$448,7,0),0)</f>
        <v>496031</v>
      </c>
      <c r="L205" s="112">
        <f t="shared" si="31"/>
        <v>855687</v>
      </c>
      <c r="M205" s="112">
        <f>ROUND(SUMIF('JUNE (물량흐름)'!$C$13:$C$502,'WIP(재공품)'!B205,'JUNE (물량흐름)'!$H$13:$H$502)+SUMIF('JUNE (물량흐름)'!$C$13:$C$502,'WIP(재공품)'!B205,'JUNE (물량흐름)'!$V$13:$V$502),0)</f>
        <v>0</v>
      </c>
      <c r="N205" s="112">
        <f>SUMIF('Direct labour(직접노무비)'!$C$12:$C$503,'WIP(재공품)'!B205,'Direct labour(직접노무비)'!$O$12:$O$503)</f>
        <v>0</v>
      </c>
      <c r="O205" s="112">
        <f>SUMIF('Overhead exp(제조경비)'!$C$12:$C$503,'WIP(재공품)'!B205,'Overhead exp(제조경비)'!$O$12:$O$503)</f>
        <v>0</v>
      </c>
      <c r="P205" s="112">
        <f t="shared" si="32"/>
        <v>0</v>
      </c>
      <c r="Q205" s="112">
        <v>0</v>
      </c>
      <c r="R205" s="112">
        <v>0</v>
      </c>
      <c r="S205" s="112">
        <f>SUMIF('JUNE (물량흐름)'!$C$13:$C$493,'WIP(재공품)'!B205,'JUNE (물량흐름)'!$T$13:$T$493)+SUMIF('JUNE (물량흐름)'!$C$13:$C$493,'WIP(재공품)'!B205,'JUNE (물량흐름)'!$U$13:$U$493)+SUMIF('JUNE (물량흐름)'!$C$13:$C$493,'WIP(재공품)'!B205,'JUNE (물량흐름)'!$V$13:$V$493)-SUMIF('JUNE (물량흐름)'!$C$13:$C$493,'WIP(재공품)'!B205,'JUNE (물량흐름)'!$Y$13:$Y$493)</f>
        <v>0</v>
      </c>
      <c r="T205" s="112">
        <f>SUMIF('JUNE (물량흐름)'!$C$13:$C$502,'WIP(재공품)'!B205,'JUNE (물량흐름)'!$Y$13:$Y$502)</f>
        <v>0</v>
      </c>
      <c r="U205" s="167">
        <f>SUMIF('Direct labour(직접노무비)'!$C$12:$C$503,'WIP(재공품)'!B205,'Direct labour(직접노무비)'!$U$12:$U$503)+SUMIF('Overhead exp(제조경비)'!$C$12:$C$503,'WIP(재공품)'!B205,'Overhead exp(제조경비)'!$U$12:$U$503)</f>
        <v>0</v>
      </c>
      <c r="V205" s="112">
        <f>SUMIF('Direct labour(직접노무비)'!$C$12:$C$503,'WIP(재공품)'!B205,'Direct labour(직접노무비)'!$Q$12:$Q$503)</f>
        <v>0</v>
      </c>
      <c r="W205" s="112">
        <f>SUMIF('Overhead exp(제조경비)'!$C$12:$C$503,'WIP(재공품)'!B205,'Overhead exp(제조경비)'!$Q$12:$Q$503)</f>
        <v>0</v>
      </c>
      <c r="X205" s="112">
        <f t="shared" si="33"/>
        <v>0</v>
      </c>
      <c r="Y205" s="112">
        <f ca="1">ROUND(SUMIF('JUNE (물량흐름)'!$C$13:$C$502,'WIP(재공품)'!B205,'JUNE (물량흐름)'!$N$13:$N$488),0)</f>
        <v>0</v>
      </c>
      <c r="Z205" s="112">
        <f>ROUND(SUMIF('JUNE (물량흐름)'!$C$13:$C$502,'WIP(재공품)'!B205,'JUNE (물량흐름)'!$O$13:$O$502),0)</f>
        <v>0</v>
      </c>
      <c r="AA205" s="112">
        <f>ROUND(SUMIF('JUNE (물량흐름)'!$C$13:$C$502,'WIP(재공품)'!B205,'JUNE (물량흐름)'!$P$13:$P$502),0)</f>
        <v>62</v>
      </c>
      <c r="AB205" s="112">
        <f t="shared" ca="1" si="34"/>
        <v>62</v>
      </c>
      <c r="AC205" s="112">
        <f t="shared" si="35"/>
        <v>855687</v>
      </c>
      <c r="AD205" s="381">
        <f t="shared" ca="1" si="36"/>
        <v>0</v>
      </c>
      <c r="AE205" s="381">
        <f t="shared" si="37"/>
        <v>0</v>
      </c>
      <c r="AF205" s="382"/>
      <c r="AG205" s="382">
        <v>0</v>
      </c>
      <c r="AH205" s="383">
        <f t="shared" si="38"/>
        <v>0.35</v>
      </c>
      <c r="AJ205" s="383"/>
      <c r="AL205" s="385"/>
      <c r="AM205" s="381"/>
      <c r="AN205" s="382"/>
      <c r="AO205" s="382"/>
      <c r="AP205" s="383"/>
      <c r="AQ205" s="383"/>
    </row>
    <row r="206" spans="1:43" s="384" customFormat="1" ht="18.75" customHeight="1">
      <c r="A206" s="167">
        <v>196</v>
      </c>
      <c r="B206" s="240">
        <f>VLOOKUP(A206,'JUNE (물량흐름)'!$A$13:$C$502,3,0)</f>
        <v>465456</v>
      </c>
      <c r="C206" s="21" t="str">
        <f>VLOOKUP(A206,'JUNE (물량흐름)'!$A$13:$C$502,2,0)</f>
        <v>ANN TAYLOR</v>
      </c>
      <c r="D206" s="212">
        <v>0.35</v>
      </c>
      <c r="E206" s="6">
        <f>VLOOKUP(B206,'Sales profit (스타일 별 매출이익)'!$D$9:$P$491,13,0)</f>
        <v>7936.2499999999991</v>
      </c>
      <c r="F206" s="112">
        <f>IFERROR(VLOOKUP(B206,O.B.JUNE!$N$7:$Q$448,2,0),0)</f>
        <v>0</v>
      </c>
      <c r="G206" s="112">
        <f>IFERROR(VLOOKUP(B206,O.B.JUNE!$N$7:$Q$448,3,0),0)</f>
        <v>0</v>
      </c>
      <c r="H206" s="112">
        <f>IFERROR(VLOOKUP(B206,O.B.JUNE!$N$7:$Q$448,4,0),0)</f>
        <v>20</v>
      </c>
      <c r="I206" s="112">
        <f t="shared" si="30"/>
        <v>20</v>
      </c>
      <c r="J206" s="112">
        <f>IFERROR(VLOOKUP(B206,O.B.JUNE!$AA$7:$AG$448,7,0),0)</f>
        <v>249967</v>
      </c>
      <c r="K206" s="112">
        <f>IFERROR(VLOOKUP(B206,O.B.JUNE!$AI$7:$AO$448,7,0),0)</f>
        <v>344749</v>
      </c>
      <c r="L206" s="112">
        <f t="shared" si="31"/>
        <v>594716</v>
      </c>
      <c r="M206" s="112">
        <f>ROUND(SUMIF('JUNE (물량흐름)'!$C$13:$C$502,'WIP(재공품)'!B206,'JUNE (물량흐름)'!$H$13:$H$502)+SUMIF('JUNE (물량흐름)'!$C$13:$C$502,'WIP(재공품)'!B206,'JUNE (물량흐름)'!$V$13:$V$502),0)</f>
        <v>0</v>
      </c>
      <c r="N206" s="112">
        <f>SUMIF('Direct labour(직접노무비)'!$C$12:$C$503,'WIP(재공품)'!B206,'Direct labour(직접노무비)'!$O$12:$O$503)</f>
        <v>0</v>
      </c>
      <c r="O206" s="112">
        <f>SUMIF('Overhead exp(제조경비)'!$C$12:$C$503,'WIP(재공품)'!B206,'Overhead exp(제조경비)'!$O$12:$O$503)</f>
        <v>0</v>
      </c>
      <c r="P206" s="112">
        <f t="shared" si="32"/>
        <v>0</v>
      </c>
      <c r="Q206" s="112">
        <v>0</v>
      </c>
      <c r="R206" s="112">
        <v>0</v>
      </c>
      <c r="S206" s="112">
        <f>SUMIF('JUNE (물량흐름)'!$C$13:$C$493,'WIP(재공품)'!B206,'JUNE (물량흐름)'!$T$13:$T$493)+SUMIF('JUNE (물량흐름)'!$C$13:$C$493,'WIP(재공품)'!B206,'JUNE (물량흐름)'!$U$13:$U$493)+SUMIF('JUNE (물량흐름)'!$C$13:$C$493,'WIP(재공품)'!B206,'JUNE (물량흐름)'!$V$13:$V$493)-SUMIF('JUNE (물량흐름)'!$C$13:$C$493,'WIP(재공품)'!B206,'JUNE (물량흐름)'!$Y$13:$Y$493)</f>
        <v>0</v>
      </c>
      <c r="T206" s="112">
        <f>SUMIF('JUNE (물량흐름)'!$C$13:$C$502,'WIP(재공품)'!B206,'JUNE (물량흐름)'!$Y$13:$Y$502)</f>
        <v>0</v>
      </c>
      <c r="U206" s="167">
        <f>SUMIF('Direct labour(직접노무비)'!$C$12:$C$503,'WIP(재공품)'!B206,'Direct labour(직접노무비)'!$U$12:$U$503)+SUMIF('Overhead exp(제조경비)'!$C$12:$C$503,'WIP(재공품)'!B206,'Overhead exp(제조경비)'!$U$12:$U$503)</f>
        <v>0</v>
      </c>
      <c r="V206" s="112">
        <f>SUMIF('Direct labour(직접노무비)'!$C$12:$C$503,'WIP(재공품)'!B206,'Direct labour(직접노무비)'!$Q$12:$Q$503)</f>
        <v>0</v>
      </c>
      <c r="W206" s="112">
        <f>SUMIF('Overhead exp(제조경비)'!$C$12:$C$503,'WIP(재공품)'!B206,'Overhead exp(제조경비)'!$Q$12:$Q$503)</f>
        <v>0</v>
      </c>
      <c r="X206" s="112">
        <f t="shared" si="33"/>
        <v>0</v>
      </c>
      <c r="Y206" s="112">
        <f ca="1">ROUND(SUMIF('JUNE (물량흐름)'!$C$13:$C$502,'WIP(재공품)'!B206,'JUNE (물량흐름)'!$N$13:$N$488),0)</f>
        <v>0</v>
      </c>
      <c r="Z206" s="112">
        <f>ROUND(SUMIF('JUNE (물량흐름)'!$C$13:$C$502,'WIP(재공품)'!B206,'JUNE (물량흐름)'!$O$13:$O$502),0)</f>
        <v>0</v>
      </c>
      <c r="AA206" s="112">
        <f>ROUND(SUMIF('JUNE (물량흐름)'!$C$13:$C$502,'WIP(재공품)'!B206,'JUNE (물량흐름)'!$P$13:$P$502),0)</f>
        <v>20</v>
      </c>
      <c r="AB206" s="112">
        <f t="shared" ca="1" si="34"/>
        <v>20</v>
      </c>
      <c r="AC206" s="112">
        <f t="shared" si="35"/>
        <v>594716</v>
      </c>
      <c r="AD206" s="381">
        <f t="shared" ca="1" si="36"/>
        <v>0</v>
      </c>
      <c r="AE206" s="381">
        <f t="shared" si="37"/>
        <v>0</v>
      </c>
      <c r="AF206" s="382"/>
      <c r="AG206" s="382">
        <v>0.3</v>
      </c>
      <c r="AH206" s="383">
        <f t="shared" si="38"/>
        <v>4.9999999999999989E-2</v>
      </c>
      <c r="AJ206" s="383"/>
      <c r="AL206" s="385"/>
      <c r="AM206" s="381"/>
      <c r="AN206" s="382"/>
      <c r="AO206" s="382"/>
      <c r="AP206" s="383"/>
      <c r="AQ206" s="383"/>
    </row>
    <row r="207" spans="1:43" s="384" customFormat="1" ht="18.75" customHeight="1">
      <c r="A207" s="167">
        <v>197</v>
      </c>
      <c r="B207" s="240">
        <f>VLOOKUP(A207,'JUNE (물량흐름)'!$A$13:$C$502,3,0)</f>
        <v>100003058</v>
      </c>
      <c r="C207" s="21" t="str">
        <f>VLOOKUP(A207,'JUNE (물량흐름)'!$A$13:$C$502,2,0)</f>
        <v>INC</v>
      </c>
      <c r="D207" s="212">
        <v>0.35</v>
      </c>
      <c r="E207" s="6">
        <f>VLOOKUP(B207,'Sales profit (스타일 별 매출이익)'!$D$9:$P$491,13,0)</f>
        <v>7936.2499999999991</v>
      </c>
      <c r="F207" s="112">
        <f>IFERROR(VLOOKUP(B207,O.B.JUNE!$N$7:$Q$448,2,0),0)</f>
        <v>0</v>
      </c>
      <c r="G207" s="112">
        <f>IFERROR(VLOOKUP(B207,O.B.JUNE!$N$7:$Q$448,3,0),0)</f>
        <v>0</v>
      </c>
      <c r="H207" s="112">
        <f>IFERROR(VLOOKUP(B207,O.B.JUNE!$N$7:$Q$448,4,0),0)</f>
        <v>28</v>
      </c>
      <c r="I207" s="112">
        <f t="shared" si="30"/>
        <v>28</v>
      </c>
      <c r="J207" s="112">
        <f>IFERROR(VLOOKUP(B207,O.B.JUNE!$AA$7:$AG$448,7,0),0)</f>
        <v>221023</v>
      </c>
      <c r="K207" s="112">
        <f>IFERROR(VLOOKUP(B207,O.B.JUNE!$AI$7:$AO$448,7,0),0)</f>
        <v>304831</v>
      </c>
      <c r="L207" s="112">
        <f t="shared" si="31"/>
        <v>525854</v>
      </c>
      <c r="M207" s="112">
        <f>ROUND(SUMIF('JUNE (물량흐름)'!$C$13:$C$502,'WIP(재공품)'!B207,'JUNE (물량흐름)'!$H$13:$H$502)+SUMIF('JUNE (물량흐름)'!$C$13:$C$502,'WIP(재공품)'!B207,'JUNE (물량흐름)'!$V$13:$V$502),0)</f>
        <v>0</v>
      </c>
      <c r="N207" s="112">
        <f>SUMIF('Direct labour(직접노무비)'!$C$12:$C$503,'WIP(재공품)'!B207,'Direct labour(직접노무비)'!$O$12:$O$503)</f>
        <v>0</v>
      </c>
      <c r="O207" s="112">
        <f>SUMIF('Overhead exp(제조경비)'!$C$12:$C$503,'WIP(재공품)'!B207,'Overhead exp(제조경비)'!$O$12:$O$503)</f>
        <v>1</v>
      </c>
      <c r="P207" s="112">
        <f t="shared" si="32"/>
        <v>1</v>
      </c>
      <c r="Q207" s="112">
        <v>0</v>
      </c>
      <c r="R207" s="112">
        <v>0</v>
      </c>
      <c r="S207" s="112">
        <f>SUMIF('JUNE (물량흐름)'!$C$13:$C$493,'WIP(재공품)'!B207,'JUNE (물량흐름)'!$T$13:$T$493)+SUMIF('JUNE (물량흐름)'!$C$13:$C$493,'WIP(재공품)'!B207,'JUNE (물량흐름)'!$U$13:$U$493)+SUMIF('JUNE (물량흐름)'!$C$13:$C$493,'WIP(재공품)'!B207,'JUNE (물량흐름)'!$V$13:$V$493)-SUMIF('JUNE (물량흐름)'!$C$13:$C$493,'WIP(재공품)'!B207,'JUNE (물량흐름)'!$Y$13:$Y$493)</f>
        <v>28</v>
      </c>
      <c r="T207" s="112">
        <f>SUMIF('JUNE (물량흐름)'!$C$13:$C$502,'WIP(재공품)'!B207,'JUNE (물량흐름)'!$Y$13:$Y$502)</f>
        <v>0</v>
      </c>
      <c r="U207" s="167">
        <f>SUMIF('Direct labour(직접노무비)'!$C$12:$C$503,'WIP(재공품)'!B207,'Direct labour(직접노무비)'!$U$12:$U$503)+SUMIF('Overhead exp(제조경비)'!$C$12:$C$503,'WIP(재공품)'!B207,'Overhead exp(제조경비)'!$U$12:$U$503)</f>
        <v>0</v>
      </c>
      <c r="V207" s="112">
        <f>SUMIF('Direct labour(직접노무비)'!$C$12:$C$503,'WIP(재공품)'!B207,'Direct labour(직접노무비)'!$Q$12:$Q$503)</f>
        <v>221023</v>
      </c>
      <c r="W207" s="112">
        <f>SUMIF('Overhead exp(제조경비)'!$C$12:$C$503,'WIP(재공품)'!B207,'Overhead exp(제조경비)'!$Q$12:$Q$503)</f>
        <v>304832</v>
      </c>
      <c r="X207" s="112">
        <f t="shared" si="33"/>
        <v>525855</v>
      </c>
      <c r="Y207" s="112">
        <f ca="1">ROUND(SUMIF('JUNE (물량흐름)'!$C$13:$C$502,'WIP(재공품)'!B207,'JUNE (물량흐름)'!$N$13:$N$488),0)</f>
        <v>0</v>
      </c>
      <c r="Z207" s="112">
        <f>ROUND(SUMIF('JUNE (물량흐름)'!$C$13:$C$502,'WIP(재공품)'!B207,'JUNE (물량흐름)'!$O$13:$O$502),0)</f>
        <v>0</v>
      </c>
      <c r="AA207" s="112">
        <f>ROUND(SUMIF('JUNE (물량흐름)'!$C$13:$C$502,'WIP(재공품)'!B207,'JUNE (물량흐름)'!$P$13:$P$502),0)</f>
        <v>0</v>
      </c>
      <c r="AB207" s="112">
        <f t="shared" ca="1" si="34"/>
        <v>0</v>
      </c>
      <c r="AC207" s="112">
        <f t="shared" si="35"/>
        <v>0</v>
      </c>
      <c r="AD207" s="381">
        <f t="shared" ca="1" si="36"/>
        <v>0</v>
      </c>
      <c r="AE207" s="381">
        <f t="shared" si="37"/>
        <v>0</v>
      </c>
      <c r="AF207" s="382"/>
      <c r="AG207" s="382">
        <v>0</v>
      </c>
      <c r="AH207" s="383">
        <f t="shared" si="38"/>
        <v>0.35</v>
      </c>
      <c r="AJ207" s="383"/>
      <c r="AL207" s="385"/>
      <c r="AM207" s="381"/>
      <c r="AN207" s="382"/>
      <c r="AO207" s="382"/>
      <c r="AP207" s="383"/>
      <c r="AQ207" s="383"/>
    </row>
    <row r="208" spans="1:43" s="384" customFormat="1" ht="18.75" customHeight="1">
      <c r="A208" s="167">
        <v>198</v>
      </c>
      <c r="B208" s="240">
        <f>VLOOKUP(A208,'JUNE (물량흐름)'!$A$13:$C$502,3,0)</f>
        <v>100014739</v>
      </c>
      <c r="C208" s="21" t="str">
        <f>VLOOKUP(A208,'JUNE (물량흐름)'!$A$13:$C$502,2,0)</f>
        <v>INC</v>
      </c>
      <c r="D208" s="212">
        <v>0.35</v>
      </c>
      <c r="E208" s="6">
        <f>VLOOKUP(B208,'Sales profit (스타일 별 매출이익)'!$D$9:$P$491,13,0)</f>
        <v>7936.2499999999991</v>
      </c>
      <c r="F208" s="112">
        <f>IFERROR(VLOOKUP(B208,O.B.JUNE!$N$7:$Q$448,2,0),0)</f>
        <v>0</v>
      </c>
      <c r="G208" s="112">
        <f>IFERROR(VLOOKUP(B208,O.B.JUNE!$N$7:$Q$448,3,0),0)</f>
        <v>0</v>
      </c>
      <c r="H208" s="112">
        <f>IFERROR(VLOOKUP(B208,O.B.JUNE!$N$7:$Q$448,4,0),0)</f>
        <v>397</v>
      </c>
      <c r="I208" s="112">
        <f t="shared" si="30"/>
        <v>397</v>
      </c>
      <c r="J208" s="112">
        <f>IFERROR(VLOOKUP(B208,O.B.JUNE!$AA$7:$AG$448,7,0),0)</f>
        <v>3402897</v>
      </c>
      <c r="K208" s="112">
        <f>IFERROR(VLOOKUP(B208,O.B.JUNE!$AI$7:$AO$448,7,0),0)</f>
        <v>4734844</v>
      </c>
      <c r="L208" s="112">
        <f t="shared" si="31"/>
        <v>8137741</v>
      </c>
      <c r="M208" s="112">
        <f>ROUND(SUMIF('JUNE (물량흐름)'!$C$13:$C$502,'WIP(재공품)'!B208,'JUNE (물량흐름)'!$H$13:$H$502)+SUMIF('JUNE (물량흐름)'!$C$13:$C$502,'WIP(재공품)'!B208,'JUNE (물량흐름)'!$V$13:$V$502),0)</f>
        <v>0</v>
      </c>
      <c r="N208" s="112">
        <f>SUMIF('Direct labour(직접노무비)'!$C$12:$C$503,'WIP(재공품)'!B208,'Direct labour(직접노무비)'!$O$12:$O$503)</f>
        <v>0</v>
      </c>
      <c r="O208" s="112">
        <f>SUMIF('Overhead exp(제조경비)'!$C$12:$C$503,'WIP(재공품)'!B208,'Overhead exp(제조경비)'!$O$12:$O$503)</f>
        <v>0</v>
      </c>
      <c r="P208" s="112">
        <f t="shared" si="32"/>
        <v>0</v>
      </c>
      <c r="Q208" s="112">
        <v>0</v>
      </c>
      <c r="R208" s="112">
        <v>0</v>
      </c>
      <c r="S208" s="112">
        <f>SUMIF('JUNE (물량흐름)'!$C$13:$C$493,'WIP(재공품)'!B208,'JUNE (물량흐름)'!$T$13:$T$493)+SUMIF('JUNE (물량흐름)'!$C$13:$C$493,'WIP(재공품)'!B208,'JUNE (물량흐름)'!$U$13:$U$493)+SUMIF('JUNE (물량흐름)'!$C$13:$C$493,'WIP(재공품)'!B208,'JUNE (물량흐름)'!$V$13:$V$493)-SUMIF('JUNE (물량흐름)'!$C$13:$C$493,'WIP(재공품)'!B208,'JUNE (물량흐름)'!$Y$13:$Y$493)</f>
        <v>397</v>
      </c>
      <c r="T208" s="112">
        <f>SUMIF('JUNE (물량흐름)'!$C$13:$C$502,'WIP(재공품)'!B208,'JUNE (물량흐름)'!$Y$13:$Y$502)</f>
        <v>0</v>
      </c>
      <c r="U208" s="167">
        <f>SUMIF('Direct labour(직접노무비)'!$C$12:$C$503,'WIP(재공품)'!B208,'Direct labour(직접노무비)'!$U$12:$U$503)+SUMIF('Overhead exp(제조경비)'!$C$12:$C$503,'WIP(재공품)'!B208,'Overhead exp(제조경비)'!$U$12:$U$503)</f>
        <v>0</v>
      </c>
      <c r="V208" s="112">
        <f>SUMIF('Direct labour(직접노무비)'!$C$12:$C$503,'WIP(재공품)'!B208,'Direct labour(직접노무비)'!$Q$12:$Q$503)</f>
        <v>3402897</v>
      </c>
      <c r="W208" s="112">
        <f>SUMIF('Overhead exp(제조경비)'!$C$12:$C$503,'WIP(재공품)'!B208,'Overhead exp(제조경비)'!$Q$12:$Q$503)</f>
        <v>4734844</v>
      </c>
      <c r="X208" s="112">
        <f t="shared" si="33"/>
        <v>8137741</v>
      </c>
      <c r="Y208" s="112">
        <f ca="1">ROUND(SUMIF('JUNE (물량흐름)'!$C$13:$C$502,'WIP(재공품)'!B208,'JUNE (물량흐름)'!$N$13:$N$488),0)</f>
        <v>0</v>
      </c>
      <c r="Z208" s="112">
        <f>ROUND(SUMIF('JUNE (물량흐름)'!$C$13:$C$502,'WIP(재공품)'!B208,'JUNE (물량흐름)'!$O$13:$O$502),0)</f>
        <v>0</v>
      </c>
      <c r="AA208" s="112">
        <f>ROUND(SUMIF('JUNE (물량흐름)'!$C$13:$C$502,'WIP(재공품)'!B208,'JUNE (물량흐름)'!$P$13:$P$502),0)</f>
        <v>0</v>
      </c>
      <c r="AB208" s="112">
        <f t="shared" ca="1" si="34"/>
        <v>0</v>
      </c>
      <c r="AC208" s="112">
        <f t="shared" si="35"/>
        <v>0</v>
      </c>
      <c r="AD208" s="381">
        <f t="shared" ca="1" si="36"/>
        <v>0</v>
      </c>
      <c r="AE208" s="381">
        <f t="shared" si="37"/>
        <v>0</v>
      </c>
      <c r="AF208" s="382"/>
      <c r="AG208" s="382">
        <v>0</v>
      </c>
      <c r="AH208" s="383">
        <f t="shared" si="38"/>
        <v>0.35</v>
      </c>
      <c r="AJ208" s="383"/>
      <c r="AL208" s="385"/>
      <c r="AM208" s="381"/>
      <c r="AN208" s="382"/>
      <c r="AO208" s="382"/>
      <c r="AP208" s="383"/>
      <c r="AQ208" s="383"/>
    </row>
    <row r="209" spans="1:43" s="384" customFormat="1" ht="18.75" customHeight="1">
      <c r="A209" s="167">
        <v>199</v>
      </c>
      <c r="B209" s="240" t="str">
        <f>VLOOKUP(A209,'JUNE (물량흐름)'!$A$13:$C$502,3,0)</f>
        <v>KPT128571</v>
      </c>
      <c r="C209" s="21" t="str">
        <f>VLOOKUP(A209,'JUNE (물량흐름)'!$A$13:$C$502,2,0)</f>
        <v>J JILL</v>
      </c>
      <c r="D209" s="212">
        <v>0.35</v>
      </c>
      <c r="E209" s="6">
        <f>VLOOKUP(B209,'Sales profit (스타일 별 매출이익)'!$D$9:$P$491,13,0)</f>
        <v>7936.2499999999991</v>
      </c>
      <c r="F209" s="112">
        <f>IFERROR(VLOOKUP(B209,O.B.JUNE!$N$7:$Q$448,2,0),0)</f>
        <v>627</v>
      </c>
      <c r="G209" s="112">
        <f>IFERROR(VLOOKUP(B209,O.B.JUNE!$N$7:$Q$448,3,0),0)</f>
        <v>32</v>
      </c>
      <c r="H209" s="112">
        <f>IFERROR(VLOOKUP(B209,O.B.JUNE!$N$7:$Q$448,4,0),0)</f>
        <v>594</v>
      </c>
      <c r="I209" s="112">
        <f t="shared" si="30"/>
        <v>1253</v>
      </c>
      <c r="J209" s="112">
        <f>IFERROR(VLOOKUP(B209,O.B.JUNE!$AA$7:$AG$448,7,0),0)</f>
        <v>8639980</v>
      </c>
      <c r="K209" s="112">
        <f>IFERROR(VLOOKUP(B209,O.B.JUNE!$AI$7:$AO$448,7,0),0)</f>
        <v>14910651</v>
      </c>
      <c r="L209" s="112">
        <f t="shared" si="31"/>
        <v>23550631</v>
      </c>
      <c r="M209" s="112">
        <f>ROUND(SUMIF('JUNE (물량흐름)'!$C$13:$C$502,'WIP(재공품)'!B209,'JUNE (물량흐름)'!$H$13:$H$502)+SUMIF('JUNE (물량흐름)'!$C$13:$C$502,'WIP(재공품)'!B209,'JUNE (물량흐름)'!$V$13:$V$502),0)</f>
        <v>0</v>
      </c>
      <c r="N209" s="112">
        <f>SUMIF('Direct labour(직접노무비)'!$C$12:$C$503,'WIP(재공품)'!B209,'Direct labour(직접노무비)'!$O$12:$O$503)</f>
        <v>0</v>
      </c>
      <c r="O209" s="112">
        <f>SUMIF('Overhead exp(제조경비)'!$C$12:$C$503,'WIP(재공품)'!B209,'Overhead exp(제조경비)'!$O$12:$O$503)</f>
        <v>0</v>
      </c>
      <c r="P209" s="112">
        <f t="shared" si="32"/>
        <v>0</v>
      </c>
      <c r="Q209" s="112">
        <v>0</v>
      </c>
      <c r="R209" s="112">
        <v>0</v>
      </c>
      <c r="S209" s="112">
        <f>SUMIF('JUNE (물량흐름)'!$C$13:$C$493,'WIP(재공품)'!B209,'JUNE (물량흐름)'!$T$13:$T$493)+SUMIF('JUNE (물량흐름)'!$C$13:$C$493,'WIP(재공품)'!B209,'JUNE (물량흐름)'!$U$13:$U$493)+SUMIF('JUNE (물량흐름)'!$C$13:$C$493,'WIP(재공품)'!B209,'JUNE (물량흐름)'!$V$13:$V$493)-SUMIF('JUNE (물량흐름)'!$C$13:$C$493,'WIP(재공품)'!B209,'JUNE (물량흐름)'!$Y$13:$Y$493)</f>
        <v>0</v>
      </c>
      <c r="T209" s="112">
        <f>SUMIF('JUNE (물량흐름)'!$C$13:$C$502,'WIP(재공품)'!B209,'JUNE (물량흐름)'!$Y$13:$Y$502)</f>
        <v>0</v>
      </c>
      <c r="U209" s="167">
        <f>SUMIF('Direct labour(직접노무비)'!$C$12:$C$503,'WIP(재공품)'!B209,'Direct labour(직접노무비)'!$U$12:$U$503)+SUMIF('Overhead exp(제조경비)'!$C$12:$C$503,'WIP(재공품)'!B209,'Overhead exp(제조경비)'!$U$12:$U$503)</f>
        <v>0</v>
      </c>
      <c r="V209" s="112">
        <f>SUMIF('Direct labour(직접노무비)'!$C$12:$C$503,'WIP(재공품)'!B209,'Direct labour(직접노무비)'!$Q$12:$Q$503)</f>
        <v>0</v>
      </c>
      <c r="W209" s="112">
        <f>SUMIF('Overhead exp(제조경비)'!$C$12:$C$503,'WIP(재공품)'!B209,'Overhead exp(제조경비)'!$Q$12:$Q$503)</f>
        <v>0</v>
      </c>
      <c r="X209" s="112">
        <f t="shared" si="33"/>
        <v>0</v>
      </c>
      <c r="Y209" s="112">
        <f ca="1">ROUND(SUMIF('JUNE (물량흐름)'!$C$13:$C$502,'WIP(재공품)'!B209,'JUNE (물량흐름)'!$N$13:$N$488),0)</f>
        <v>531</v>
      </c>
      <c r="Z209" s="112">
        <f>ROUND(SUMIF('JUNE (물량흐름)'!$C$13:$C$502,'WIP(재공품)'!B209,'JUNE (물량흐름)'!$O$13:$O$502),0)</f>
        <v>0</v>
      </c>
      <c r="AA209" s="112">
        <f>ROUND(SUMIF('JUNE (물량흐름)'!$C$13:$C$502,'WIP(재공품)'!B209,'JUNE (물량흐름)'!$P$13:$P$502),0)</f>
        <v>722</v>
      </c>
      <c r="AB209" s="112">
        <f t="shared" ca="1" si="34"/>
        <v>1253</v>
      </c>
      <c r="AC209" s="112">
        <f t="shared" si="35"/>
        <v>23550631</v>
      </c>
      <c r="AD209" s="381">
        <f t="shared" ca="1" si="36"/>
        <v>0</v>
      </c>
      <c r="AE209" s="381">
        <f t="shared" si="37"/>
        <v>0</v>
      </c>
      <c r="AF209" s="382"/>
      <c r="AG209" s="382">
        <v>0</v>
      </c>
      <c r="AH209" s="383">
        <f t="shared" si="38"/>
        <v>0.35</v>
      </c>
      <c r="AJ209" s="383"/>
      <c r="AL209" s="385"/>
      <c r="AM209" s="381"/>
      <c r="AN209" s="382"/>
      <c r="AO209" s="382"/>
      <c r="AP209" s="383"/>
      <c r="AQ209" s="383"/>
    </row>
    <row r="210" spans="1:43" s="384" customFormat="1" ht="18.75" customHeight="1">
      <c r="A210" s="167">
        <v>200</v>
      </c>
      <c r="B210" s="240" t="str">
        <f>VLOOKUP(A210,'JUNE (물량흐름)'!$A$13:$C$502,3,0)</f>
        <v>KPT128581</v>
      </c>
      <c r="C210" s="21" t="str">
        <f>VLOOKUP(A210,'JUNE (물량흐름)'!$A$13:$C$502,2,0)</f>
        <v>J JILL</v>
      </c>
      <c r="D210" s="212">
        <v>0.36</v>
      </c>
      <c r="E210" s="6">
        <f>VLOOKUP(B210,'Sales profit (스타일 별 매출이익)'!$D$9:$P$491,13,0)</f>
        <v>8163</v>
      </c>
      <c r="F210" s="112">
        <f>IFERROR(VLOOKUP(B210,O.B.JUNE!$N$7:$Q$448,2,0),0)</f>
        <v>9</v>
      </c>
      <c r="G210" s="112">
        <f>IFERROR(VLOOKUP(B210,O.B.JUNE!$N$7:$Q$448,3,0),0)</f>
        <v>57</v>
      </c>
      <c r="H210" s="112">
        <f>IFERROR(VLOOKUP(B210,O.B.JUNE!$N$7:$Q$448,4,0),0)</f>
        <v>150</v>
      </c>
      <c r="I210" s="112">
        <f t="shared" si="30"/>
        <v>216</v>
      </c>
      <c r="J210" s="112">
        <f>IFERROR(VLOOKUP(B210,O.B.JUNE!$AA$7:$AG$448,7,0),0)</f>
        <v>1577437</v>
      </c>
      <c r="K210" s="112">
        <f>IFERROR(VLOOKUP(B210,O.B.JUNE!$AI$7:$AO$448,7,0),0)</f>
        <v>2635722</v>
      </c>
      <c r="L210" s="112">
        <f t="shared" si="31"/>
        <v>4213159</v>
      </c>
      <c r="M210" s="112">
        <f>ROUND(SUMIF('JUNE (물량흐름)'!$C$13:$C$502,'WIP(재공품)'!B210,'JUNE (물량흐름)'!$H$13:$H$502)+SUMIF('JUNE (물량흐름)'!$C$13:$C$502,'WIP(재공품)'!B210,'JUNE (물량흐름)'!$V$13:$V$502),0)</f>
        <v>0</v>
      </c>
      <c r="N210" s="112">
        <f>SUMIF('Direct labour(직접노무비)'!$C$12:$C$503,'WIP(재공품)'!B210,'Direct labour(직접노무비)'!$O$12:$O$503)</f>
        <v>0</v>
      </c>
      <c r="O210" s="112">
        <f>SUMIF('Overhead exp(제조경비)'!$C$12:$C$503,'WIP(재공품)'!B210,'Overhead exp(제조경비)'!$O$12:$O$503)</f>
        <v>0</v>
      </c>
      <c r="P210" s="112">
        <f t="shared" si="32"/>
        <v>0</v>
      </c>
      <c r="Q210" s="112">
        <v>0</v>
      </c>
      <c r="R210" s="112">
        <v>0</v>
      </c>
      <c r="S210" s="112">
        <f>SUMIF('JUNE (물량흐름)'!$C$13:$C$493,'WIP(재공품)'!B210,'JUNE (물량흐름)'!$T$13:$T$493)+SUMIF('JUNE (물량흐름)'!$C$13:$C$493,'WIP(재공품)'!B210,'JUNE (물량흐름)'!$U$13:$U$493)+SUMIF('JUNE (물량흐름)'!$C$13:$C$493,'WIP(재공품)'!B210,'JUNE (물량흐름)'!$V$13:$V$493)-SUMIF('JUNE (물량흐름)'!$C$13:$C$493,'WIP(재공품)'!B210,'JUNE (물량흐름)'!$Y$13:$Y$493)</f>
        <v>0</v>
      </c>
      <c r="T210" s="112">
        <f>SUMIF('JUNE (물량흐름)'!$C$13:$C$502,'WIP(재공품)'!B210,'JUNE (물량흐름)'!$Y$13:$Y$502)</f>
        <v>0</v>
      </c>
      <c r="U210" s="167">
        <f>SUMIF('Direct labour(직접노무비)'!$C$12:$C$503,'WIP(재공품)'!B210,'Direct labour(직접노무비)'!$U$12:$U$503)+SUMIF('Overhead exp(제조경비)'!$C$12:$C$503,'WIP(재공품)'!B210,'Overhead exp(제조경비)'!$U$12:$U$503)</f>
        <v>0</v>
      </c>
      <c r="V210" s="112">
        <f>SUMIF('Direct labour(직접노무비)'!$C$12:$C$503,'WIP(재공품)'!B210,'Direct labour(직접노무비)'!$Q$12:$Q$503)</f>
        <v>0</v>
      </c>
      <c r="W210" s="112">
        <f>SUMIF('Overhead exp(제조경비)'!$C$12:$C$503,'WIP(재공품)'!B210,'Overhead exp(제조경비)'!$Q$12:$Q$503)</f>
        <v>0</v>
      </c>
      <c r="X210" s="112">
        <f t="shared" si="33"/>
        <v>0</v>
      </c>
      <c r="Y210" s="112">
        <f ca="1">ROUND(SUMIF('JUNE (물량흐름)'!$C$13:$C$502,'WIP(재공품)'!B210,'JUNE (물량흐름)'!$N$13:$N$488),0)</f>
        <v>9</v>
      </c>
      <c r="Z210" s="112">
        <f>ROUND(SUMIF('JUNE (물량흐름)'!$C$13:$C$502,'WIP(재공품)'!B210,'JUNE (물량흐름)'!$O$13:$O$502),0)</f>
        <v>57</v>
      </c>
      <c r="AA210" s="112">
        <f>ROUND(SUMIF('JUNE (물량흐름)'!$C$13:$C$502,'WIP(재공품)'!B210,'JUNE (물량흐름)'!$P$13:$P$502),0)</f>
        <v>150</v>
      </c>
      <c r="AB210" s="112">
        <f t="shared" ca="1" si="34"/>
        <v>216</v>
      </c>
      <c r="AC210" s="112">
        <f t="shared" si="35"/>
        <v>4213159</v>
      </c>
      <c r="AD210" s="381">
        <f t="shared" ca="1" si="36"/>
        <v>0</v>
      </c>
      <c r="AE210" s="381">
        <f t="shared" si="37"/>
        <v>0</v>
      </c>
      <c r="AF210" s="382"/>
      <c r="AG210" s="382">
        <v>0.3</v>
      </c>
      <c r="AH210" s="383">
        <f t="shared" si="38"/>
        <v>0.06</v>
      </c>
      <c r="AJ210" s="383"/>
      <c r="AL210" s="385"/>
      <c r="AM210" s="381"/>
      <c r="AN210" s="382"/>
      <c r="AO210" s="382"/>
      <c r="AP210" s="383"/>
      <c r="AQ210" s="383"/>
    </row>
    <row r="211" spans="1:43" s="384" customFormat="1" ht="18.75" customHeight="1">
      <c r="A211" s="167">
        <v>201</v>
      </c>
      <c r="B211" s="240" t="str">
        <f>VLOOKUP(A211,'JUNE (물량흐름)'!$A$13:$C$502,3,0)</f>
        <v>KTP115221</v>
      </c>
      <c r="C211" s="21" t="str">
        <f>VLOOKUP(A211,'JUNE (물량흐름)'!$A$13:$C$502,2,0)</f>
        <v>J JILL</v>
      </c>
      <c r="D211" s="212">
        <v>0.35</v>
      </c>
      <c r="E211" s="6">
        <f>VLOOKUP(B211,'Sales profit (스타일 별 매출이익)'!$D$9:$P$491,13,0)</f>
        <v>7936.2499999999991</v>
      </c>
      <c r="F211" s="112">
        <f>IFERROR(VLOOKUP(B211,O.B.JUNE!$N$7:$Q$448,2,0),0)</f>
        <v>0</v>
      </c>
      <c r="G211" s="112">
        <f>IFERROR(VLOOKUP(B211,O.B.JUNE!$N$7:$Q$448,3,0),0)</f>
        <v>0</v>
      </c>
      <c r="H211" s="112">
        <f>IFERROR(VLOOKUP(B211,O.B.JUNE!$N$7:$Q$448,4,0),0)</f>
        <v>899</v>
      </c>
      <c r="I211" s="112">
        <f t="shared" si="30"/>
        <v>899</v>
      </c>
      <c r="J211" s="112">
        <f>IFERROR(VLOOKUP(B211,O.B.JUNE!$AA$7:$AG$448,7,0),0)</f>
        <v>9472452</v>
      </c>
      <c r="K211" s="112">
        <f>IFERROR(VLOOKUP(B211,O.B.JUNE!$AI$7:$AO$448,7,0),0)</f>
        <v>13064240</v>
      </c>
      <c r="L211" s="112">
        <f t="shared" si="31"/>
        <v>22536692</v>
      </c>
      <c r="M211" s="112">
        <f>ROUND(SUMIF('JUNE (물량흐름)'!$C$13:$C$502,'WIP(재공품)'!B211,'JUNE (물량흐름)'!$H$13:$H$502)+SUMIF('JUNE (물량흐름)'!$C$13:$C$502,'WIP(재공품)'!B211,'JUNE (물량흐름)'!$V$13:$V$502),0)</f>
        <v>0</v>
      </c>
      <c r="N211" s="112">
        <f>SUMIF('Direct labour(직접노무비)'!$C$12:$C$503,'WIP(재공품)'!B211,'Direct labour(직접노무비)'!$O$12:$O$503)</f>
        <v>0</v>
      </c>
      <c r="O211" s="112">
        <f>SUMIF('Overhead exp(제조경비)'!$C$12:$C$503,'WIP(재공품)'!B211,'Overhead exp(제조경비)'!$O$12:$O$503)</f>
        <v>0</v>
      </c>
      <c r="P211" s="112">
        <f t="shared" si="32"/>
        <v>0</v>
      </c>
      <c r="Q211" s="112">
        <v>0</v>
      </c>
      <c r="R211" s="112">
        <v>0</v>
      </c>
      <c r="S211" s="112">
        <f>SUMIF('JUNE (물량흐름)'!$C$13:$C$493,'WIP(재공품)'!B211,'JUNE (물량흐름)'!$T$13:$T$493)+SUMIF('JUNE (물량흐름)'!$C$13:$C$493,'WIP(재공품)'!B211,'JUNE (물량흐름)'!$U$13:$U$493)+SUMIF('JUNE (물량흐름)'!$C$13:$C$493,'WIP(재공품)'!B211,'JUNE (물량흐름)'!$V$13:$V$493)-SUMIF('JUNE (물량흐름)'!$C$13:$C$493,'WIP(재공품)'!B211,'JUNE (물량흐름)'!$Y$13:$Y$493)</f>
        <v>899</v>
      </c>
      <c r="T211" s="112">
        <f>SUMIF('JUNE (물량흐름)'!$C$13:$C$502,'WIP(재공품)'!B211,'JUNE (물량흐름)'!$Y$13:$Y$502)</f>
        <v>0</v>
      </c>
      <c r="U211" s="167">
        <f>SUMIF('Direct labour(직접노무비)'!$C$12:$C$503,'WIP(재공품)'!B211,'Direct labour(직접노무비)'!$U$12:$U$503)+SUMIF('Overhead exp(제조경비)'!$C$12:$C$503,'WIP(재공품)'!B211,'Overhead exp(제조경비)'!$U$12:$U$503)</f>
        <v>0</v>
      </c>
      <c r="V211" s="112">
        <f>SUMIF('Direct labour(직접노무비)'!$C$12:$C$503,'WIP(재공품)'!B211,'Direct labour(직접노무비)'!$Q$12:$Q$503)</f>
        <v>9472452</v>
      </c>
      <c r="W211" s="112">
        <f>SUMIF('Overhead exp(제조경비)'!$C$12:$C$503,'WIP(재공품)'!B211,'Overhead exp(제조경비)'!$Q$12:$Q$503)</f>
        <v>13064240</v>
      </c>
      <c r="X211" s="112">
        <f t="shared" si="33"/>
        <v>22536692</v>
      </c>
      <c r="Y211" s="112">
        <f ca="1">ROUND(SUMIF('JUNE (물량흐름)'!$C$13:$C$502,'WIP(재공품)'!B211,'JUNE (물량흐름)'!$N$13:$N$488),0)</f>
        <v>0</v>
      </c>
      <c r="Z211" s="112">
        <f>ROUND(SUMIF('JUNE (물량흐름)'!$C$13:$C$502,'WIP(재공품)'!B211,'JUNE (물량흐름)'!$O$13:$O$502),0)</f>
        <v>0</v>
      </c>
      <c r="AA211" s="112">
        <f>ROUND(SUMIF('JUNE (물량흐름)'!$C$13:$C$502,'WIP(재공품)'!B211,'JUNE (물량흐름)'!$P$13:$P$502),0)</f>
        <v>0</v>
      </c>
      <c r="AB211" s="112">
        <f t="shared" ca="1" si="34"/>
        <v>0</v>
      </c>
      <c r="AC211" s="112">
        <f t="shared" si="35"/>
        <v>0</v>
      </c>
      <c r="AD211" s="381">
        <f t="shared" ca="1" si="36"/>
        <v>0</v>
      </c>
      <c r="AE211" s="381">
        <f t="shared" si="37"/>
        <v>0</v>
      </c>
      <c r="AF211" s="382"/>
      <c r="AG211" s="382">
        <v>0.2</v>
      </c>
      <c r="AH211" s="383">
        <f t="shared" si="38"/>
        <v>0.14999999999999997</v>
      </c>
      <c r="AJ211" s="383"/>
      <c r="AL211" s="385"/>
      <c r="AM211" s="381"/>
      <c r="AN211" s="382"/>
      <c r="AO211" s="382"/>
      <c r="AP211" s="383"/>
      <c r="AQ211" s="383"/>
    </row>
    <row r="212" spans="1:43" s="384" customFormat="1" ht="18.75" customHeight="1">
      <c r="A212" s="167">
        <v>202</v>
      </c>
      <c r="B212" s="240">
        <f>VLOOKUP(A212,'JUNE (물량흐름)'!$A$13:$C$502,3,0)</f>
        <v>181034126</v>
      </c>
      <c r="C212" s="21" t="str">
        <f>VLOOKUP(A212,'JUNE (물량흐름)'!$A$13:$C$502,2,0)</f>
        <v>TALBOTS</v>
      </c>
      <c r="D212" s="212">
        <v>0.36</v>
      </c>
      <c r="E212" s="6">
        <f>VLOOKUP(B212,'Sales profit (스타일 별 매출이익)'!$D$9:$P$491,13,0)</f>
        <v>8163</v>
      </c>
      <c r="F212" s="112">
        <f>IFERROR(VLOOKUP(B212,O.B.JUNE!$N$7:$Q$448,2,0),0)</f>
        <v>0</v>
      </c>
      <c r="G212" s="112">
        <f>IFERROR(VLOOKUP(B212,O.B.JUNE!$N$7:$Q$448,3,0),0)</f>
        <v>0</v>
      </c>
      <c r="H212" s="112">
        <f>IFERROR(VLOOKUP(B212,O.B.JUNE!$N$7:$Q$448,4,0),0)</f>
        <v>36</v>
      </c>
      <c r="I212" s="112">
        <f t="shared" si="30"/>
        <v>36</v>
      </c>
      <c r="J212" s="112">
        <f>IFERROR(VLOOKUP(B212,O.B.JUNE!$AA$7:$AG$448,7,0),0)</f>
        <v>381220</v>
      </c>
      <c r="K212" s="112">
        <f>IFERROR(VLOOKUP(B212,O.B.JUNE!$AI$7:$AO$448,7,0),0)</f>
        <v>525772</v>
      </c>
      <c r="L212" s="112">
        <f t="shared" si="31"/>
        <v>906992</v>
      </c>
      <c r="M212" s="112">
        <f>ROUND(SUMIF('JUNE (물량흐름)'!$C$13:$C$502,'WIP(재공품)'!B212,'JUNE (물량흐름)'!$H$13:$H$502)+SUMIF('JUNE (물량흐름)'!$C$13:$C$502,'WIP(재공품)'!B212,'JUNE (물량흐름)'!$V$13:$V$502),0)</f>
        <v>0</v>
      </c>
      <c r="N212" s="112">
        <f>SUMIF('Direct labour(직접노무비)'!$C$12:$C$503,'WIP(재공품)'!B212,'Direct labour(직접노무비)'!$O$12:$O$503)</f>
        <v>0</v>
      </c>
      <c r="O212" s="112">
        <f>SUMIF('Overhead exp(제조경비)'!$C$12:$C$503,'WIP(재공품)'!B212,'Overhead exp(제조경비)'!$O$12:$O$503)</f>
        <v>0</v>
      </c>
      <c r="P212" s="112">
        <f t="shared" si="32"/>
        <v>0</v>
      </c>
      <c r="Q212" s="112">
        <v>0</v>
      </c>
      <c r="R212" s="112">
        <v>0</v>
      </c>
      <c r="S212" s="112">
        <f>SUMIF('JUNE (물량흐름)'!$C$13:$C$493,'WIP(재공품)'!B212,'JUNE (물량흐름)'!$T$13:$T$493)+SUMIF('JUNE (물량흐름)'!$C$13:$C$493,'WIP(재공품)'!B212,'JUNE (물량흐름)'!$U$13:$U$493)+SUMIF('JUNE (물량흐름)'!$C$13:$C$493,'WIP(재공품)'!B212,'JUNE (물량흐름)'!$V$13:$V$493)-SUMIF('JUNE (물량흐름)'!$C$13:$C$493,'WIP(재공품)'!B212,'JUNE (물량흐름)'!$Y$13:$Y$493)</f>
        <v>36</v>
      </c>
      <c r="T212" s="112">
        <f>SUMIF('JUNE (물량흐름)'!$C$13:$C$502,'WIP(재공품)'!B212,'JUNE (물량흐름)'!$Y$13:$Y$502)</f>
        <v>0</v>
      </c>
      <c r="U212" s="167">
        <f>SUMIF('Direct labour(직접노무비)'!$C$12:$C$503,'WIP(재공품)'!B212,'Direct labour(직접노무비)'!$U$12:$U$503)+SUMIF('Overhead exp(제조경비)'!$C$12:$C$503,'WIP(재공품)'!B212,'Overhead exp(제조경비)'!$U$12:$U$503)</f>
        <v>0</v>
      </c>
      <c r="V212" s="112">
        <f>SUMIF('Direct labour(직접노무비)'!$C$12:$C$503,'WIP(재공품)'!B212,'Direct labour(직접노무비)'!$Q$12:$Q$503)</f>
        <v>381220</v>
      </c>
      <c r="W212" s="112">
        <f>SUMIF('Overhead exp(제조경비)'!$C$12:$C$503,'WIP(재공품)'!B212,'Overhead exp(제조경비)'!$Q$12:$Q$503)</f>
        <v>525772</v>
      </c>
      <c r="X212" s="112">
        <f t="shared" si="33"/>
        <v>906992</v>
      </c>
      <c r="Y212" s="112">
        <f ca="1">ROUND(SUMIF('JUNE (물량흐름)'!$C$13:$C$502,'WIP(재공품)'!B212,'JUNE (물량흐름)'!$N$13:$N$488),0)</f>
        <v>0</v>
      </c>
      <c r="Z212" s="112">
        <f>ROUND(SUMIF('JUNE (물량흐름)'!$C$13:$C$502,'WIP(재공품)'!B212,'JUNE (물량흐름)'!$O$13:$O$502),0)</f>
        <v>0</v>
      </c>
      <c r="AA212" s="112">
        <f>ROUND(SUMIF('JUNE (물량흐름)'!$C$13:$C$502,'WIP(재공품)'!B212,'JUNE (물량흐름)'!$P$13:$P$502),0)</f>
        <v>0</v>
      </c>
      <c r="AB212" s="112">
        <f t="shared" ca="1" si="34"/>
        <v>0</v>
      </c>
      <c r="AC212" s="112">
        <f t="shared" si="35"/>
        <v>0</v>
      </c>
      <c r="AD212" s="381">
        <f t="shared" ca="1" si="36"/>
        <v>0</v>
      </c>
      <c r="AE212" s="381">
        <f t="shared" si="37"/>
        <v>0</v>
      </c>
      <c r="AF212" s="382"/>
      <c r="AG212" s="382">
        <v>0</v>
      </c>
      <c r="AH212" s="383">
        <f t="shared" si="38"/>
        <v>0.36</v>
      </c>
      <c r="AJ212" s="383"/>
      <c r="AL212" s="385"/>
      <c r="AM212" s="381"/>
      <c r="AN212" s="382"/>
      <c r="AO212" s="382"/>
      <c r="AP212" s="383"/>
      <c r="AQ212" s="383"/>
    </row>
    <row r="213" spans="1:43" s="384" customFormat="1" ht="18.75" customHeight="1">
      <c r="A213" s="167">
        <v>203</v>
      </c>
      <c r="B213" s="240">
        <f>VLOOKUP(A213,'JUNE (물량흐름)'!$A$13:$C$502,3,0)</f>
        <v>181034892</v>
      </c>
      <c r="C213" s="21" t="str">
        <f>VLOOKUP(A213,'JUNE (물량흐름)'!$A$13:$C$502,2,0)</f>
        <v>TALBOTS</v>
      </c>
      <c r="D213" s="212">
        <v>2.2999999999999998</v>
      </c>
      <c r="E213" s="6">
        <f>VLOOKUP(B213,'Sales profit (스타일 별 매출이익)'!$D$9:$P$491,13,0)</f>
        <v>52152.499999999993</v>
      </c>
      <c r="F213" s="112">
        <f>IFERROR(VLOOKUP(B213,O.B.JUNE!$N$7:$Q$448,2,0),0)</f>
        <v>0</v>
      </c>
      <c r="G213" s="112">
        <f>IFERROR(VLOOKUP(B213,O.B.JUNE!$N$7:$Q$448,3,0),0)</f>
        <v>46</v>
      </c>
      <c r="H213" s="112">
        <f>IFERROR(VLOOKUP(B213,O.B.JUNE!$N$7:$Q$448,4,0),0)</f>
        <v>22</v>
      </c>
      <c r="I213" s="112">
        <f t="shared" si="30"/>
        <v>68</v>
      </c>
      <c r="J213" s="112">
        <f>IFERROR(VLOOKUP(B213,O.B.JUNE!$AA$7:$AG$448,7,0),0)</f>
        <v>1177928</v>
      </c>
      <c r="K213" s="112">
        <f>IFERROR(VLOOKUP(B213,O.B.JUNE!$AI$7:$AO$448,7,0),0)</f>
        <v>1607727</v>
      </c>
      <c r="L213" s="112">
        <f t="shared" si="31"/>
        <v>2785655</v>
      </c>
      <c r="M213" s="112">
        <f>ROUND(SUMIF('JUNE (물량흐름)'!$C$13:$C$502,'WIP(재공품)'!B213,'JUNE (물량흐름)'!$H$13:$H$502)+SUMIF('JUNE (물량흐름)'!$C$13:$C$502,'WIP(재공품)'!B213,'JUNE (물량흐름)'!$V$13:$V$502),0)</f>
        <v>0</v>
      </c>
      <c r="N213" s="112">
        <f>SUMIF('Direct labour(직접노무비)'!$C$12:$C$503,'WIP(재공품)'!B213,'Direct labour(직접노무비)'!$O$12:$O$503)</f>
        <v>0</v>
      </c>
      <c r="O213" s="112">
        <f>SUMIF('Overhead exp(제조경비)'!$C$12:$C$503,'WIP(재공품)'!B213,'Overhead exp(제조경비)'!$O$12:$O$503)</f>
        <v>0</v>
      </c>
      <c r="P213" s="112">
        <f t="shared" si="32"/>
        <v>0</v>
      </c>
      <c r="Q213" s="112">
        <v>0</v>
      </c>
      <c r="R213" s="112">
        <v>0</v>
      </c>
      <c r="S213" s="112">
        <f>SUMIF('JUNE (물량흐름)'!$C$13:$C$493,'WIP(재공품)'!B213,'JUNE (물량흐름)'!$T$13:$T$493)+SUMIF('JUNE (물량흐름)'!$C$13:$C$493,'WIP(재공품)'!B213,'JUNE (물량흐름)'!$U$13:$U$493)+SUMIF('JUNE (물량흐름)'!$C$13:$C$493,'WIP(재공품)'!B213,'JUNE (물량흐름)'!$V$13:$V$493)-SUMIF('JUNE (물량흐름)'!$C$13:$C$493,'WIP(재공품)'!B213,'JUNE (물량흐름)'!$Y$13:$Y$493)</f>
        <v>68</v>
      </c>
      <c r="T213" s="112">
        <f>SUMIF('JUNE (물량흐름)'!$C$13:$C$502,'WIP(재공품)'!B213,'JUNE (물량흐름)'!$Y$13:$Y$502)</f>
        <v>0</v>
      </c>
      <c r="U213" s="167">
        <f>SUMIF('Direct labour(직접노무비)'!$C$12:$C$503,'WIP(재공품)'!B213,'Direct labour(직접노무비)'!$U$12:$U$503)+SUMIF('Overhead exp(제조경비)'!$C$12:$C$503,'WIP(재공품)'!B213,'Overhead exp(제조경비)'!$U$12:$U$503)</f>
        <v>0</v>
      </c>
      <c r="V213" s="112">
        <f>SUMIF('Direct labour(직접노무비)'!$C$12:$C$503,'WIP(재공품)'!B213,'Direct labour(직접노무비)'!$Q$12:$Q$503)</f>
        <v>1177928</v>
      </c>
      <c r="W213" s="112">
        <f>SUMIF('Overhead exp(제조경비)'!$C$12:$C$503,'WIP(재공품)'!B213,'Overhead exp(제조경비)'!$Q$12:$Q$503)</f>
        <v>1607727</v>
      </c>
      <c r="X213" s="112">
        <f t="shared" si="33"/>
        <v>2785655</v>
      </c>
      <c r="Y213" s="112">
        <f ca="1">ROUND(SUMIF('JUNE (물량흐름)'!$C$13:$C$502,'WIP(재공품)'!B213,'JUNE (물량흐름)'!$N$13:$N$488),0)</f>
        <v>0</v>
      </c>
      <c r="Z213" s="112">
        <f>ROUND(SUMIF('JUNE (물량흐름)'!$C$13:$C$502,'WIP(재공품)'!B213,'JUNE (물량흐름)'!$O$13:$O$502),0)</f>
        <v>0</v>
      </c>
      <c r="AA213" s="112">
        <f>ROUND(SUMIF('JUNE (물량흐름)'!$C$13:$C$502,'WIP(재공품)'!B213,'JUNE (물량흐름)'!$P$13:$P$502),0)</f>
        <v>0</v>
      </c>
      <c r="AB213" s="112">
        <f t="shared" ca="1" si="34"/>
        <v>0</v>
      </c>
      <c r="AC213" s="112">
        <f t="shared" si="35"/>
        <v>0</v>
      </c>
      <c r="AD213" s="381">
        <f t="shared" ca="1" si="36"/>
        <v>0</v>
      </c>
      <c r="AE213" s="381">
        <f t="shared" si="37"/>
        <v>0</v>
      </c>
      <c r="AF213" s="382"/>
      <c r="AG213" s="382">
        <v>0</v>
      </c>
      <c r="AH213" s="383">
        <f t="shared" si="38"/>
        <v>2.2999999999999998</v>
      </c>
      <c r="AJ213" s="383"/>
      <c r="AL213" s="385"/>
      <c r="AM213" s="381"/>
      <c r="AN213" s="382"/>
      <c r="AO213" s="382"/>
      <c r="AP213" s="383"/>
      <c r="AQ213" s="383"/>
    </row>
    <row r="214" spans="1:43" s="384" customFormat="1" ht="18.75" customHeight="1">
      <c r="A214" s="167">
        <v>204</v>
      </c>
      <c r="B214" s="240">
        <f>VLOOKUP(A214,'JUNE (물량흐름)'!$A$13:$C$502,3,0)</f>
        <v>466852</v>
      </c>
      <c r="C214" s="21" t="str">
        <f>VLOOKUP(A214,'JUNE (물량흐름)'!$A$13:$C$502,2,0)</f>
        <v>ANN TAYLOR</v>
      </c>
      <c r="D214" s="212">
        <v>0.35</v>
      </c>
      <c r="E214" s="6">
        <f>VLOOKUP(B214,'Sales profit (스타일 별 매출이익)'!$D$9:$P$491,13,0)</f>
        <v>7936.2499999999991</v>
      </c>
      <c r="F214" s="112">
        <f>IFERROR(VLOOKUP(B214,O.B.JUNE!$N$7:$Q$448,2,0),0)</f>
        <v>0</v>
      </c>
      <c r="G214" s="112">
        <f>IFERROR(VLOOKUP(B214,O.B.JUNE!$N$7:$Q$448,3,0),0)</f>
        <v>0</v>
      </c>
      <c r="H214" s="112">
        <f>IFERROR(VLOOKUP(B214,O.B.JUNE!$N$7:$Q$448,4,0),0)</f>
        <v>418</v>
      </c>
      <c r="I214" s="112">
        <f t="shared" si="30"/>
        <v>418</v>
      </c>
      <c r="J214" s="112">
        <f>IFERROR(VLOOKUP(B214,O.B.JUNE!$AA$7:$AG$448,7,0),0)</f>
        <v>4799827</v>
      </c>
      <c r="K214" s="112">
        <f>IFERROR(VLOOKUP(B214,O.B.JUNE!$AI$7:$AO$448,7,0),0)</f>
        <v>6962421</v>
      </c>
      <c r="L214" s="112">
        <f t="shared" si="31"/>
        <v>11762248</v>
      </c>
      <c r="M214" s="112">
        <f>ROUND(SUMIF('JUNE (물량흐름)'!$C$13:$C$502,'WIP(재공품)'!B214,'JUNE (물량흐름)'!$H$13:$H$502)+SUMIF('JUNE (물량흐름)'!$C$13:$C$502,'WIP(재공품)'!B214,'JUNE (물량흐름)'!$V$13:$V$502),0)</f>
        <v>0</v>
      </c>
      <c r="N214" s="112">
        <f>SUMIF('Direct labour(직접노무비)'!$C$12:$C$503,'WIP(재공품)'!B214,'Direct labour(직접노무비)'!$O$12:$O$503)</f>
        <v>0</v>
      </c>
      <c r="O214" s="112">
        <f>SUMIF('Overhead exp(제조경비)'!$C$12:$C$503,'WIP(재공품)'!B214,'Overhead exp(제조경비)'!$O$12:$O$503)</f>
        <v>0</v>
      </c>
      <c r="P214" s="112">
        <f t="shared" si="32"/>
        <v>0</v>
      </c>
      <c r="Q214" s="112">
        <v>0</v>
      </c>
      <c r="R214" s="112">
        <v>0</v>
      </c>
      <c r="S214" s="112">
        <f>SUMIF('JUNE (물량흐름)'!$C$13:$C$493,'WIP(재공품)'!B214,'JUNE (물량흐름)'!$T$13:$T$493)+SUMIF('JUNE (물량흐름)'!$C$13:$C$493,'WIP(재공품)'!B214,'JUNE (물량흐름)'!$U$13:$U$493)+SUMIF('JUNE (물량흐름)'!$C$13:$C$493,'WIP(재공품)'!B214,'JUNE (물량흐름)'!$V$13:$V$493)-SUMIF('JUNE (물량흐름)'!$C$13:$C$493,'WIP(재공품)'!B214,'JUNE (물량흐름)'!$Y$13:$Y$493)</f>
        <v>0</v>
      </c>
      <c r="T214" s="112">
        <f>SUMIF('JUNE (물량흐름)'!$C$13:$C$502,'WIP(재공품)'!B214,'JUNE (물량흐름)'!$Y$13:$Y$502)</f>
        <v>0</v>
      </c>
      <c r="U214" s="167">
        <f>SUMIF('Direct labour(직접노무비)'!$C$12:$C$503,'WIP(재공품)'!B214,'Direct labour(직접노무비)'!$U$12:$U$503)+SUMIF('Overhead exp(제조경비)'!$C$12:$C$503,'WIP(재공품)'!B214,'Overhead exp(제조경비)'!$U$12:$U$503)</f>
        <v>0</v>
      </c>
      <c r="V214" s="112">
        <f>SUMIF('Direct labour(직접노무비)'!$C$12:$C$503,'WIP(재공품)'!B214,'Direct labour(직접노무비)'!$Q$12:$Q$503)</f>
        <v>0</v>
      </c>
      <c r="W214" s="112">
        <f>SUMIF('Overhead exp(제조경비)'!$C$12:$C$503,'WIP(재공품)'!B214,'Overhead exp(제조경비)'!$Q$12:$Q$503)</f>
        <v>0</v>
      </c>
      <c r="X214" s="112">
        <f t="shared" si="33"/>
        <v>0</v>
      </c>
      <c r="Y214" s="112">
        <f ca="1">ROUND(SUMIF('JUNE (물량흐름)'!$C$13:$C$502,'WIP(재공품)'!B214,'JUNE (물량흐름)'!$N$13:$N$488),0)</f>
        <v>1</v>
      </c>
      <c r="Z214" s="112">
        <f>ROUND(SUMIF('JUNE (물량흐름)'!$C$13:$C$502,'WIP(재공품)'!B214,'JUNE (물량흐름)'!$O$13:$O$502),0)</f>
        <v>193</v>
      </c>
      <c r="AA214" s="112">
        <f>ROUND(SUMIF('JUNE (물량흐름)'!$C$13:$C$502,'WIP(재공품)'!B214,'JUNE (물량흐름)'!$P$13:$P$502),0)</f>
        <v>224</v>
      </c>
      <c r="AB214" s="112">
        <f t="shared" ca="1" si="34"/>
        <v>418</v>
      </c>
      <c r="AC214" s="112">
        <f t="shared" si="35"/>
        <v>11762248</v>
      </c>
      <c r="AD214" s="381">
        <f t="shared" ca="1" si="36"/>
        <v>0</v>
      </c>
      <c r="AE214" s="381">
        <f t="shared" si="37"/>
        <v>0</v>
      </c>
      <c r="AF214" s="382"/>
      <c r="AG214" s="382">
        <v>0</v>
      </c>
      <c r="AH214" s="383">
        <f t="shared" si="38"/>
        <v>0.35</v>
      </c>
      <c r="AJ214" s="383"/>
      <c r="AL214" s="385"/>
      <c r="AM214" s="381"/>
      <c r="AN214" s="382"/>
      <c r="AO214" s="382"/>
      <c r="AP214" s="383"/>
      <c r="AQ214" s="383"/>
    </row>
    <row r="215" spans="1:43" s="384" customFormat="1" ht="18.75" customHeight="1">
      <c r="A215" s="167">
        <v>205</v>
      </c>
      <c r="B215" s="240" t="str">
        <f>VLOOKUP(A215,'JUNE (물량흐름)'!$A$13:$C$502,3,0)</f>
        <v>BP381295MI</v>
      </c>
      <c r="C215" s="21" t="str">
        <f>VLOOKUP(A215,'JUNE (물량흐름)'!$A$13:$C$502,2,0)</f>
        <v>NORDSTROM</v>
      </c>
      <c r="D215" s="212">
        <v>1.2</v>
      </c>
      <c r="E215" s="6">
        <f>VLOOKUP(B215,'Sales profit (스타일 별 매출이익)'!$D$9:$P$491,13,0)</f>
        <v>27210</v>
      </c>
      <c r="F215" s="112">
        <f>IFERROR(VLOOKUP(B215,O.B.JUNE!$N$7:$Q$448,2,0),0)</f>
        <v>0</v>
      </c>
      <c r="G215" s="112">
        <f>IFERROR(VLOOKUP(B215,O.B.JUNE!$N$7:$Q$448,3,0),0)</f>
        <v>0</v>
      </c>
      <c r="H215" s="112">
        <f>IFERROR(VLOOKUP(B215,O.B.JUNE!$N$7:$Q$448,4,0),0)</f>
        <v>70</v>
      </c>
      <c r="I215" s="112">
        <f t="shared" si="30"/>
        <v>70</v>
      </c>
      <c r="J215" s="112">
        <f>IFERROR(VLOOKUP(B215,O.B.JUNE!$AA$7:$AG$448,7,0),0)</f>
        <v>1208720</v>
      </c>
      <c r="K215" s="112">
        <f>IFERROR(VLOOKUP(B215,O.B.JUNE!$AI$7:$AO$448,7,0),0)</f>
        <v>1667045</v>
      </c>
      <c r="L215" s="112">
        <f t="shared" si="31"/>
        <v>2875765</v>
      </c>
      <c r="M215" s="112">
        <f>ROUND(SUMIF('JUNE (물량흐름)'!$C$13:$C$502,'WIP(재공품)'!B215,'JUNE (물량흐름)'!$H$13:$H$502)+SUMIF('JUNE (물량흐름)'!$C$13:$C$502,'WIP(재공품)'!B215,'JUNE (물량흐름)'!$V$13:$V$502),0)</f>
        <v>0</v>
      </c>
      <c r="N215" s="112">
        <f>SUMIF('Direct labour(직접노무비)'!$C$12:$C$503,'WIP(재공품)'!B215,'Direct labour(직접노무비)'!$O$12:$O$503)</f>
        <v>0</v>
      </c>
      <c r="O215" s="112">
        <f>SUMIF('Overhead exp(제조경비)'!$C$12:$C$503,'WIP(재공품)'!B215,'Overhead exp(제조경비)'!$O$12:$O$503)</f>
        <v>0</v>
      </c>
      <c r="P215" s="112">
        <f t="shared" si="32"/>
        <v>0</v>
      </c>
      <c r="Q215" s="112">
        <v>0</v>
      </c>
      <c r="R215" s="112">
        <v>0</v>
      </c>
      <c r="S215" s="112">
        <f>SUMIF('JUNE (물량흐름)'!$C$13:$C$493,'WIP(재공품)'!B215,'JUNE (물량흐름)'!$T$13:$T$493)+SUMIF('JUNE (물량흐름)'!$C$13:$C$493,'WIP(재공품)'!B215,'JUNE (물량흐름)'!$U$13:$U$493)+SUMIF('JUNE (물량흐름)'!$C$13:$C$493,'WIP(재공품)'!B215,'JUNE (물량흐름)'!$V$13:$V$493)-SUMIF('JUNE (물량흐름)'!$C$13:$C$493,'WIP(재공품)'!B215,'JUNE (물량흐름)'!$Y$13:$Y$493)</f>
        <v>70</v>
      </c>
      <c r="T215" s="112">
        <f>SUMIF('JUNE (물량흐름)'!$C$13:$C$502,'WIP(재공품)'!B215,'JUNE (물량흐름)'!$Y$13:$Y$502)</f>
        <v>0</v>
      </c>
      <c r="U215" s="167">
        <f>SUMIF('Direct labour(직접노무비)'!$C$12:$C$503,'WIP(재공품)'!B215,'Direct labour(직접노무비)'!$U$12:$U$503)+SUMIF('Overhead exp(제조경비)'!$C$12:$C$503,'WIP(재공품)'!B215,'Overhead exp(제조경비)'!$U$12:$U$503)</f>
        <v>0</v>
      </c>
      <c r="V215" s="112">
        <f>SUMIF('Direct labour(직접노무비)'!$C$12:$C$503,'WIP(재공품)'!B215,'Direct labour(직접노무비)'!$Q$12:$Q$503)</f>
        <v>1208720</v>
      </c>
      <c r="W215" s="112">
        <f>SUMIF('Overhead exp(제조경비)'!$C$12:$C$503,'WIP(재공품)'!B215,'Overhead exp(제조경비)'!$Q$12:$Q$503)</f>
        <v>1667045</v>
      </c>
      <c r="X215" s="112">
        <f t="shared" si="33"/>
        <v>2875765</v>
      </c>
      <c r="Y215" s="112">
        <f ca="1">ROUND(SUMIF('JUNE (물량흐름)'!$C$13:$C$502,'WIP(재공품)'!B215,'JUNE (물량흐름)'!$N$13:$N$488),0)</f>
        <v>0</v>
      </c>
      <c r="Z215" s="112">
        <f>ROUND(SUMIF('JUNE (물량흐름)'!$C$13:$C$502,'WIP(재공품)'!B215,'JUNE (물량흐름)'!$O$13:$O$502),0)</f>
        <v>0</v>
      </c>
      <c r="AA215" s="112">
        <f>ROUND(SUMIF('JUNE (물량흐름)'!$C$13:$C$502,'WIP(재공품)'!B215,'JUNE (물량흐름)'!$P$13:$P$502),0)</f>
        <v>0</v>
      </c>
      <c r="AB215" s="112">
        <f t="shared" ca="1" si="34"/>
        <v>0</v>
      </c>
      <c r="AC215" s="112">
        <f t="shared" si="35"/>
        <v>0</v>
      </c>
      <c r="AD215" s="381">
        <f t="shared" ca="1" si="36"/>
        <v>0</v>
      </c>
      <c r="AE215" s="381">
        <f t="shared" si="37"/>
        <v>0</v>
      </c>
      <c r="AF215" s="382"/>
      <c r="AG215" s="382">
        <v>0</v>
      </c>
      <c r="AH215" s="383">
        <f t="shared" si="38"/>
        <v>1.2</v>
      </c>
      <c r="AJ215" s="383"/>
      <c r="AL215" s="385"/>
      <c r="AM215" s="381"/>
      <c r="AN215" s="382"/>
      <c r="AO215" s="382"/>
      <c r="AP215" s="383"/>
      <c r="AQ215" s="383"/>
    </row>
    <row r="216" spans="1:43" s="384" customFormat="1" ht="18.75" customHeight="1">
      <c r="A216" s="167">
        <v>206</v>
      </c>
      <c r="B216" s="240">
        <f>VLOOKUP(A216,'JUNE (물량흐름)'!$A$13:$C$502,3,0)</f>
        <v>100008598</v>
      </c>
      <c r="C216" s="21" t="str">
        <f>VLOOKUP(A216,'JUNE (물량흐름)'!$A$13:$C$502,2,0)</f>
        <v>ALFANI</v>
      </c>
      <c r="D216" s="212">
        <v>0.35</v>
      </c>
      <c r="E216" s="6">
        <f>VLOOKUP(B216,'Sales profit (스타일 별 매출이익)'!$D$9:$P$491,13,0)</f>
        <v>7936.2499999999991</v>
      </c>
      <c r="F216" s="112">
        <f>IFERROR(VLOOKUP(B216,O.B.JUNE!$N$7:$Q$448,2,0),0)</f>
        <v>0</v>
      </c>
      <c r="G216" s="112">
        <f>IFERROR(VLOOKUP(B216,O.B.JUNE!$N$7:$Q$448,3,0),0)</f>
        <v>0</v>
      </c>
      <c r="H216" s="112">
        <f>IFERROR(VLOOKUP(B216,O.B.JUNE!$N$7:$Q$448,4,0),0)</f>
        <v>91</v>
      </c>
      <c r="I216" s="112">
        <f t="shared" si="30"/>
        <v>91</v>
      </c>
      <c r="J216" s="112">
        <f>IFERROR(VLOOKUP(B216,O.B.JUNE!$AA$7:$AG$448,7,0),0)</f>
        <v>742631</v>
      </c>
      <c r="K216" s="112">
        <f>IFERROR(VLOOKUP(B216,O.B.JUNE!$AI$7:$AO$448,7,0),0)</f>
        <v>1044381</v>
      </c>
      <c r="L216" s="112">
        <f t="shared" si="31"/>
        <v>1787012</v>
      </c>
      <c r="M216" s="112">
        <f>ROUND(SUMIF('JUNE (물량흐름)'!$C$13:$C$502,'WIP(재공품)'!B216,'JUNE (물량흐름)'!$H$13:$H$502)+SUMIF('JUNE (물량흐름)'!$C$13:$C$502,'WIP(재공품)'!B216,'JUNE (물량흐름)'!$V$13:$V$502),0)</f>
        <v>0</v>
      </c>
      <c r="N216" s="112">
        <f>SUMIF('Direct labour(직접노무비)'!$C$12:$C$503,'WIP(재공품)'!B216,'Direct labour(직접노무비)'!$O$12:$O$503)</f>
        <v>0</v>
      </c>
      <c r="O216" s="112">
        <f>SUMIF('Overhead exp(제조경비)'!$C$12:$C$503,'WIP(재공품)'!B216,'Overhead exp(제조경비)'!$O$12:$O$503)</f>
        <v>0</v>
      </c>
      <c r="P216" s="112">
        <f t="shared" si="32"/>
        <v>0</v>
      </c>
      <c r="Q216" s="112">
        <v>0</v>
      </c>
      <c r="R216" s="112">
        <v>0</v>
      </c>
      <c r="S216" s="112">
        <f>SUMIF('JUNE (물량흐름)'!$C$13:$C$493,'WIP(재공품)'!B216,'JUNE (물량흐름)'!$T$13:$T$493)+SUMIF('JUNE (물량흐름)'!$C$13:$C$493,'WIP(재공품)'!B216,'JUNE (물량흐름)'!$U$13:$U$493)+SUMIF('JUNE (물량흐름)'!$C$13:$C$493,'WIP(재공품)'!B216,'JUNE (물량흐름)'!$V$13:$V$493)-SUMIF('JUNE (물량흐름)'!$C$13:$C$493,'WIP(재공품)'!B216,'JUNE (물량흐름)'!$Y$13:$Y$493)</f>
        <v>0</v>
      </c>
      <c r="T216" s="112">
        <f>SUMIF('JUNE (물량흐름)'!$C$13:$C$502,'WIP(재공품)'!B216,'JUNE (물량흐름)'!$Y$13:$Y$502)</f>
        <v>0</v>
      </c>
      <c r="U216" s="167">
        <f>SUMIF('Direct labour(직접노무비)'!$C$12:$C$503,'WIP(재공품)'!B216,'Direct labour(직접노무비)'!$U$12:$U$503)+SUMIF('Overhead exp(제조경비)'!$C$12:$C$503,'WIP(재공품)'!B216,'Overhead exp(제조경비)'!$U$12:$U$503)</f>
        <v>0</v>
      </c>
      <c r="V216" s="112">
        <f>SUMIF('Direct labour(직접노무비)'!$C$12:$C$503,'WIP(재공품)'!B216,'Direct labour(직접노무비)'!$Q$12:$Q$503)</f>
        <v>0</v>
      </c>
      <c r="W216" s="112">
        <f>SUMIF('Overhead exp(제조경비)'!$C$12:$C$503,'WIP(재공품)'!B216,'Overhead exp(제조경비)'!$Q$12:$Q$503)</f>
        <v>0</v>
      </c>
      <c r="X216" s="112">
        <f t="shared" si="33"/>
        <v>0</v>
      </c>
      <c r="Y216" s="112">
        <f ca="1">ROUND(SUMIF('JUNE (물량흐름)'!$C$13:$C$502,'WIP(재공품)'!B216,'JUNE (물량흐름)'!$N$13:$N$488),0)</f>
        <v>0</v>
      </c>
      <c r="Z216" s="112">
        <f>ROUND(SUMIF('JUNE (물량흐름)'!$C$13:$C$502,'WIP(재공품)'!B216,'JUNE (물량흐름)'!$O$13:$O$502),0)</f>
        <v>0</v>
      </c>
      <c r="AA216" s="112">
        <f>ROUND(SUMIF('JUNE (물량흐름)'!$C$13:$C$502,'WIP(재공품)'!B216,'JUNE (물량흐름)'!$P$13:$P$502),0)</f>
        <v>91</v>
      </c>
      <c r="AB216" s="112">
        <f t="shared" ca="1" si="34"/>
        <v>91</v>
      </c>
      <c r="AC216" s="112">
        <f t="shared" si="35"/>
        <v>1787012</v>
      </c>
      <c r="AD216" s="381">
        <f t="shared" ca="1" si="36"/>
        <v>0</v>
      </c>
      <c r="AE216" s="381">
        <f t="shared" si="37"/>
        <v>0</v>
      </c>
      <c r="AF216" s="382"/>
      <c r="AG216" s="382">
        <v>0</v>
      </c>
      <c r="AH216" s="383">
        <f t="shared" si="38"/>
        <v>0.35</v>
      </c>
      <c r="AJ216" s="383"/>
      <c r="AL216" s="385"/>
      <c r="AM216" s="381"/>
      <c r="AN216" s="382"/>
      <c r="AO216" s="382"/>
      <c r="AP216" s="383"/>
      <c r="AQ216" s="383"/>
    </row>
    <row r="217" spans="1:43" s="384" customFormat="1" ht="18.75" customHeight="1">
      <c r="A217" s="167">
        <v>207</v>
      </c>
      <c r="B217" s="240">
        <f>VLOOKUP(A217,'JUNE (물량흐름)'!$A$13:$C$502,3,0)</f>
        <v>100008604</v>
      </c>
      <c r="C217" s="21" t="str">
        <f>VLOOKUP(A217,'JUNE (물량흐름)'!$A$13:$C$502,2,0)</f>
        <v>ALFANI</v>
      </c>
      <c r="D217" s="212">
        <v>0.35</v>
      </c>
      <c r="E217" s="6">
        <f>VLOOKUP(B217,'Sales profit (스타일 별 매출이익)'!$D$9:$P$491,13,0)</f>
        <v>7936.2499999999991</v>
      </c>
      <c r="F217" s="112">
        <f>IFERROR(VLOOKUP(B217,O.B.JUNE!$N$7:$Q$448,2,0),0)</f>
        <v>0</v>
      </c>
      <c r="G217" s="112">
        <f>IFERROR(VLOOKUP(B217,O.B.JUNE!$N$7:$Q$448,3,0),0)</f>
        <v>21</v>
      </c>
      <c r="H217" s="112">
        <f>IFERROR(VLOOKUP(B217,O.B.JUNE!$N$7:$Q$448,4,0),0)</f>
        <v>133</v>
      </c>
      <c r="I217" s="112">
        <f t="shared" si="30"/>
        <v>154</v>
      </c>
      <c r="J217" s="112">
        <f>IFERROR(VLOOKUP(B217,O.B.JUNE!$AA$7:$AG$448,7,0),0)</f>
        <v>1060628</v>
      </c>
      <c r="K217" s="112">
        <f>IFERROR(VLOOKUP(B217,O.B.JUNE!$AI$7:$AO$448,7,0),0)</f>
        <v>1443357</v>
      </c>
      <c r="L217" s="112">
        <f t="shared" si="31"/>
        <v>2503985</v>
      </c>
      <c r="M217" s="112">
        <f>ROUND(SUMIF('JUNE (물량흐름)'!$C$13:$C$502,'WIP(재공품)'!B217,'JUNE (물량흐름)'!$H$13:$H$502)+SUMIF('JUNE (물량흐름)'!$C$13:$C$502,'WIP(재공품)'!B217,'JUNE (물량흐름)'!$V$13:$V$502),0)</f>
        <v>0</v>
      </c>
      <c r="N217" s="112">
        <f>SUMIF('Direct labour(직접노무비)'!$C$12:$C$503,'WIP(재공품)'!B217,'Direct labour(직접노무비)'!$O$12:$O$503)</f>
        <v>0</v>
      </c>
      <c r="O217" s="112">
        <f>SUMIF('Overhead exp(제조경비)'!$C$12:$C$503,'WIP(재공품)'!B217,'Overhead exp(제조경비)'!$O$12:$O$503)</f>
        <v>0</v>
      </c>
      <c r="P217" s="112">
        <f t="shared" si="32"/>
        <v>0</v>
      </c>
      <c r="Q217" s="112">
        <v>0</v>
      </c>
      <c r="R217" s="112">
        <v>0</v>
      </c>
      <c r="S217" s="112">
        <f>SUMIF('JUNE (물량흐름)'!$C$13:$C$493,'WIP(재공품)'!B217,'JUNE (물량흐름)'!$T$13:$T$493)+SUMIF('JUNE (물량흐름)'!$C$13:$C$493,'WIP(재공품)'!B217,'JUNE (물량흐름)'!$U$13:$U$493)+SUMIF('JUNE (물량흐름)'!$C$13:$C$493,'WIP(재공품)'!B217,'JUNE (물량흐름)'!$V$13:$V$493)-SUMIF('JUNE (물량흐름)'!$C$13:$C$493,'WIP(재공품)'!B217,'JUNE (물량흐름)'!$Y$13:$Y$493)</f>
        <v>0</v>
      </c>
      <c r="T217" s="112">
        <f>SUMIF('JUNE (물량흐름)'!$C$13:$C$502,'WIP(재공품)'!B217,'JUNE (물량흐름)'!$Y$13:$Y$502)</f>
        <v>0</v>
      </c>
      <c r="U217" s="167">
        <f>SUMIF('Direct labour(직접노무비)'!$C$12:$C$503,'WIP(재공품)'!B217,'Direct labour(직접노무비)'!$U$12:$U$503)+SUMIF('Overhead exp(제조경비)'!$C$12:$C$503,'WIP(재공품)'!B217,'Overhead exp(제조경비)'!$U$12:$U$503)</f>
        <v>0</v>
      </c>
      <c r="V217" s="112">
        <f>SUMIF('Direct labour(직접노무비)'!$C$12:$C$503,'WIP(재공품)'!B217,'Direct labour(직접노무비)'!$Q$12:$Q$503)</f>
        <v>0</v>
      </c>
      <c r="W217" s="112">
        <f>SUMIF('Overhead exp(제조경비)'!$C$12:$C$503,'WIP(재공품)'!B217,'Overhead exp(제조경비)'!$Q$12:$Q$503)</f>
        <v>0</v>
      </c>
      <c r="X217" s="112">
        <f t="shared" si="33"/>
        <v>0</v>
      </c>
      <c r="Y217" s="112">
        <f ca="1">ROUND(SUMIF('JUNE (물량흐름)'!$C$13:$C$502,'WIP(재공품)'!B217,'JUNE (물량흐름)'!$N$13:$N$488),0)</f>
        <v>0</v>
      </c>
      <c r="Z217" s="112">
        <f>ROUND(SUMIF('JUNE (물량흐름)'!$C$13:$C$502,'WIP(재공품)'!B217,'JUNE (물량흐름)'!$O$13:$O$502),0)</f>
        <v>21</v>
      </c>
      <c r="AA217" s="112">
        <f>ROUND(SUMIF('JUNE (물량흐름)'!$C$13:$C$502,'WIP(재공품)'!B217,'JUNE (물량흐름)'!$P$13:$P$502),0)</f>
        <v>133</v>
      </c>
      <c r="AB217" s="112">
        <f t="shared" ca="1" si="34"/>
        <v>154</v>
      </c>
      <c r="AC217" s="112">
        <f t="shared" si="35"/>
        <v>2503985</v>
      </c>
      <c r="AD217" s="381">
        <f t="shared" ca="1" si="36"/>
        <v>0</v>
      </c>
      <c r="AE217" s="381">
        <f t="shared" si="37"/>
        <v>0</v>
      </c>
      <c r="AF217" s="382"/>
      <c r="AG217" s="382">
        <v>0</v>
      </c>
      <c r="AH217" s="383">
        <f t="shared" si="38"/>
        <v>0.35</v>
      </c>
      <c r="AJ217" s="383"/>
      <c r="AL217" s="385"/>
      <c r="AM217" s="381"/>
      <c r="AN217" s="382"/>
      <c r="AO217" s="382"/>
      <c r="AP217" s="383"/>
      <c r="AQ217" s="383"/>
    </row>
    <row r="218" spans="1:43" s="384" customFormat="1" ht="18.75" customHeight="1">
      <c r="A218" s="167">
        <v>208</v>
      </c>
      <c r="B218" s="240">
        <f>VLOOKUP(A218,'JUNE (물량흐름)'!$A$13:$C$502,3,0)</f>
        <v>100008605</v>
      </c>
      <c r="C218" s="21" t="str">
        <f>VLOOKUP(A218,'JUNE (물량흐름)'!$A$13:$C$502,2,0)</f>
        <v>ALFANI</v>
      </c>
      <c r="D218" s="212">
        <v>0.35</v>
      </c>
      <c r="E218" s="6">
        <f>VLOOKUP(B218,'Sales profit (스타일 별 매출이익)'!$D$9:$P$491,13,0)</f>
        <v>7936.2499999999991</v>
      </c>
      <c r="F218" s="112">
        <f>IFERROR(VLOOKUP(B218,O.B.JUNE!$N$7:$Q$448,2,0),0)</f>
        <v>0</v>
      </c>
      <c r="G218" s="112">
        <f>IFERROR(VLOOKUP(B218,O.B.JUNE!$N$7:$Q$448,3,0),0)</f>
        <v>0</v>
      </c>
      <c r="H218" s="112">
        <f>IFERROR(VLOOKUP(B218,O.B.JUNE!$N$7:$Q$448,4,0),0)</f>
        <v>222</v>
      </c>
      <c r="I218" s="112">
        <f t="shared" si="30"/>
        <v>222</v>
      </c>
      <c r="J218" s="112">
        <f>IFERROR(VLOOKUP(B218,O.B.JUNE!$AA$7:$AG$448,7,0),0)</f>
        <v>1656935</v>
      </c>
      <c r="K218" s="112">
        <f>IFERROR(VLOOKUP(B218,O.B.JUNE!$AI$7:$AO$448,7,0),0)</f>
        <v>2383374</v>
      </c>
      <c r="L218" s="112">
        <f t="shared" si="31"/>
        <v>4040309</v>
      </c>
      <c r="M218" s="112">
        <f>ROUND(SUMIF('JUNE (물량흐름)'!$C$13:$C$502,'WIP(재공품)'!B218,'JUNE (물량흐름)'!$H$13:$H$502)+SUMIF('JUNE (물량흐름)'!$C$13:$C$502,'WIP(재공품)'!B218,'JUNE (물량흐름)'!$V$13:$V$502),0)</f>
        <v>0</v>
      </c>
      <c r="N218" s="112">
        <f>SUMIF('Direct labour(직접노무비)'!$C$12:$C$503,'WIP(재공품)'!B218,'Direct labour(직접노무비)'!$O$12:$O$503)</f>
        <v>0</v>
      </c>
      <c r="O218" s="112">
        <f>SUMIF('Overhead exp(제조경비)'!$C$12:$C$503,'WIP(재공품)'!B218,'Overhead exp(제조경비)'!$O$12:$O$503)</f>
        <v>0</v>
      </c>
      <c r="P218" s="112">
        <f t="shared" si="32"/>
        <v>0</v>
      </c>
      <c r="Q218" s="112">
        <v>0</v>
      </c>
      <c r="R218" s="112">
        <v>0</v>
      </c>
      <c r="S218" s="112">
        <f>SUMIF('JUNE (물량흐름)'!$C$13:$C$493,'WIP(재공품)'!B218,'JUNE (물량흐름)'!$T$13:$T$493)+SUMIF('JUNE (물량흐름)'!$C$13:$C$493,'WIP(재공품)'!B218,'JUNE (물량흐름)'!$U$13:$U$493)+SUMIF('JUNE (물량흐름)'!$C$13:$C$493,'WIP(재공품)'!B218,'JUNE (물량흐름)'!$V$13:$V$493)-SUMIF('JUNE (물량흐름)'!$C$13:$C$493,'WIP(재공품)'!B218,'JUNE (물량흐름)'!$Y$13:$Y$493)</f>
        <v>0</v>
      </c>
      <c r="T218" s="112">
        <f>SUMIF('JUNE (물량흐름)'!$C$13:$C$502,'WIP(재공품)'!B218,'JUNE (물량흐름)'!$Y$13:$Y$502)</f>
        <v>0</v>
      </c>
      <c r="U218" s="167">
        <f>SUMIF('Direct labour(직접노무비)'!$C$12:$C$503,'WIP(재공품)'!B218,'Direct labour(직접노무비)'!$U$12:$U$503)+SUMIF('Overhead exp(제조경비)'!$C$12:$C$503,'WIP(재공품)'!B218,'Overhead exp(제조경비)'!$U$12:$U$503)</f>
        <v>0</v>
      </c>
      <c r="V218" s="112">
        <f>SUMIF('Direct labour(직접노무비)'!$C$12:$C$503,'WIP(재공품)'!B218,'Direct labour(직접노무비)'!$Q$12:$Q$503)</f>
        <v>0</v>
      </c>
      <c r="W218" s="112">
        <f>SUMIF('Overhead exp(제조경비)'!$C$12:$C$503,'WIP(재공품)'!B218,'Overhead exp(제조경비)'!$Q$12:$Q$503)</f>
        <v>0</v>
      </c>
      <c r="X218" s="112">
        <f t="shared" si="33"/>
        <v>0</v>
      </c>
      <c r="Y218" s="112">
        <f ca="1">ROUND(SUMIF('JUNE (물량흐름)'!$C$13:$C$502,'WIP(재공품)'!B218,'JUNE (물량흐름)'!$N$13:$N$488),0)</f>
        <v>0</v>
      </c>
      <c r="Z218" s="112">
        <f>ROUND(SUMIF('JUNE (물량흐름)'!$C$13:$C$502,'WIP(재공품)'!B218,'JUNE (물량흐름)'!$O$13:$O$502),0)</f>
        <v>0</v>
      </c>
      <c r="AA218" s="112">
        <f>ROUND(SUMIF('JUNE (물량흐름)'!$C$13:$C$502,'WIP(재공품)'!B218,'JUNE (물량흐름)'!$P$13:$P$502),0)</f>
        <v>222</v>
      </c>
      <c r="AB218" s="112">
        <f t="shared" ca="1" si="34"/>
        <v>222</v>
      </c>
      <c r="AC218" s="112">
        <f t="shared" si="35"/>
        <v>4040309</v>
      </c>
      <c r="AD218" s="381">
        <f t="shared" ca="1" si="36"/>
        <v>0</v>
      </c>
      <c r="AE218" s="381">
        <f t="shared" si="37"/>
        <v>0</v>
      </c>
      <c r="AF218" s="382"/>
      <c r="AG218" s="382">
        <v>0</v>
      </c>
      <c r="AH218" s="383">
        <f t="shared" si="38"/>
        <v>0.35</v>
      </c>
      <c r="AJ218" s="383"/>
      <c r="AL218" s="385"/>
      <c r="AM218" s="381"/>
      <c r="AN218" s="382"/>
      <c r="AO218" s="382"/>
      <c r="AP218" s="383"/>
      <c r="AQ218" s="383"/>
    </row>
    <row r="219" spans="1:43" s="384" customFormat="1" ht="18.75" customHeight="1">
      <c r="A219" s="167">
        <v>209</v>
      </c>
      <c r="B219" s="240">
        <f>VLOOKUP(A219,'JUNE (물량흐름)'!$A$13:$C$502,3,0)</f>
        <v>100008607</v>
      </c>
      <c r="C219" s="21" t="str">
        <f>VLOOKUP(A219,'JUNE (물량흐름)'!$A$13:$C$502,2,0)</f>
        <v>ALFANI</v>
      </c>
      <c r="D219" s="212">
        <v>0.35</v>
      </c>
      <c r="E219" s="6">
        <f>VLOOKUP(B219,'Sales profit (스타일 별 매출이익)'!$D$9:$P$491,13,0)</f>
        <v>7936.2499999999991</v>
      </c>
      <c r="F219" s="112">
        <f>IFERROR(VLOOKUP(B219,O.B.JUNE!$N$7:$Q$448,2,0),0)</f>
        <v>0</v>
      </c>
      <c r="G219" s="112">
        <f>IFERROR(VLOOKUP(B219,O.B.JUNE!$N$7:$Q$448,3,0),0)</f>
        <v>0</v>
      </c>
      <c r="H219" s="112">
        <f>IFERROR(VLOOKUP(B219,O.B.JUNE!$N$7:$Q$448,4,0),0)</f>
        <v>146</v>
      </c>
      <c r="I219" s="112">
        <f t="shared" si="30"/>
        <v>146</v>
      </c>
      <c r="J219" s="112">
        <f>IFERROR(VLOOKUP(B219,O.B.JUNE!$AA$7:$AG$448,7,0),0)</f>
        <v>1831994</v>
      </c>
      <c r="K219" s="112">
        <f>IFERROR(VLOOKUP(B219,O.B.JUNE!$AI$7:$AO$448,7,0),0)</f>
        <v>2493072</v>
      </c>
      <c r="L219" s="112">
        <f t="shared" si="31"/>
        <v>4325066</v>
      </c>
      <c r="M219" s="112">
        <f>ROUND(SUMIF('JUNE (물량흐름)'!$C$13:$C$502,'WIP(재공품)'!B219,'JUNE (물량흐름)'!$H$13:$H$502)+SUMIF('JUNE (물량흐름)'!$C$13:$C$502,'WIP(재공품)'!B219,'JUNE (물량흐름)'!$V$13:$V$502),0)</f>
        <v>0</v>
      </c>
      <c r="N219" s="112">
        <f>SUMIF('Direct labour(직접노무비)'!$C$12:$C$503,'WIP(재공품)'!B219,'Direct labour(직접노무비)'!$O$12:$O$503)</f>
        <v>0</v>
      </c>
      <c r="O219" s="112">
        <f>SUMIF('Overhead exp(제조경비)'!$C$12:$C$503,'WIP(재공품)'!B219,'Overhead exp(제조경비)'!$O$12:$O$503)</f>
        <v>0</v>
      </c>
      <c r="P219" s="112">
        <f t="shared" si="32"/>
        <v>0</v>
      </c>
      <c r="Q219" s="112">
        <v>0</v>
      </c>
      <c r="R219" s="112">
        <v>0</v>
      </c>
      <c r="S219" s="112">
        <f>SUMIF('JUNE (물량흐름)'!$C$13:$C$493,'WIP(재공품)'!B219,'JUNE (물량흐름)'!$T$13:$T$493)+SUMIF('JUNE (물량흐름)'!$C$13:$C$493,'WIP(재공품)'!B219,'JUNE (물량흐름)'!$U$13:$U$493)+SUMIF('JUNE (물량흐름)'!$C$13:$C$493,'WIP(재공품)'!B219,'JUNE (물량흐름)'!$V$13:$V$493)-SUMIF('JUNE (물량흐름)'!$C$13:$C$493,'WIP(재공품)'!B219,'JUNE (물량흐름)'!$Y$13:$Y$493)</f>
        <v>0</v>
      </c>
      <c r="T219" s="112">
        <f>SUMIF('JUNE (물량흐름)'!$C$13:$C$502,'WIP(재공품)'!B219,'JUNE (물량흐름)'!$Y$13:$Y$502)</f>
        <v>0</v>
      </c>
      <c r="U219" s="167">
        <f>SUMIF('Direct labour(직접노무비)'!$C$12:$C$503,'WIP(재공품)'!B219,'Direct labour(직접노무비)'!$U$12:$U$503)+SUMIF('Overhead exp(제조경비)'!$C$12:$C$503,'WIP(재공품)'!B219,'Overhead exp(제조경비)'!$U$12:$U$503)</f>
        <v>0</v>
      </c>
      <c r="V219" s="112">
        <f>SUMIF('Direct labour(직접노무비)'!$C$12:$C$503,'WIP(재공품)'!B219,'Direct labour(직접노무비)'!$Q$12:$Q$503)</f>
        <v>0</v>
      </c>
      <c r="W219" s="112">
        <f>SUMIF('Overhead exp(제조경비)'!$C$12:$C$503,'WIP(재공품)'!B219,'Overhead exp(제조경비)'!$Q$12:$Q$503)</f>
        <v>0</v>
      </c>
      <c r="X219" s="112">
        <f t="shared" si="33"/>
        <v>0</v>
      </c>
      <c r="Y219" s="112">
        <f ca="1">ROUND(SUMIF('JUNE (물량흐름)'!$C$13:$C$502,'WIP(재공품)'!B219,'JUNE (물량흐름)'!$N$13:$N$488),0)</f>
        <v>0</v>
      </c>
      <c r="Z219" s="112">
        <f>ROUND(SUMIF('JUNE (물량흐름)'!$C$13:$C$502,'WIP(재공품)'!B219,'JUNE (물량흐름)'!$O$13:$O$502),0)</f>
        <v>0</v>
      </c>
      <c r="AA219" s="112">
        <f>ROUND(SUMIF('JUNE (물량흐름)'!$C$13:$C$502,'WIP(재공품)'!B219,'JUNE (물량흐름)'!$P$13:$P$502),0)</f>
        <v>146</v>
      </c>
      <c r="AB219" s="112">
        <f t="shared" ca="1" si="34"/>
        <v>146</v>
      </c>
      <c r="AC219" s="112">
        <f t="shared" si="35"/>
        <v>4325066</v>
      </c>
      <c r="AD219" s="381">
        <f t="shared" ca="1" si="36"/>
        <v>0</v>
      </c>
      <c r="AE219" s="381">
        <f t="shared" si="37"/>
        <v>0</v>
      </c>
      <c r="AF219" s="382"/>
      <c r="AG219" s="382">
        <v>0</v>
      </c>
      <c r="AH219" s="383">
        <f t="shared" si="38"/>
        <v>0.35</v>
      </c>
      <c r="AJ219" s="383"/>
      <c r="AL219" s="385"/>
      <c r="AM219" s="381"/>
      <c r="AN219" s="382"/>
      <c r="AO219" s="382"/>
      <c r="AP219" s="383"/>
      <c r="AQ219" s="383"/>
    </row>
    <row r="220" spans="1:43" s="384" customFormat="1" ht="18.75" customHeight="1">
      <c r="A220" s="167">
        <v>210</v>
      </c>
      <c r="B220" s="240">
        <f>VLOOKUP(A220,'JUNE (물량흐름)'!$A$13:$C$502,3,0)</f>
        <v>100008660</v>
      </c>
      <c r="C220" s="21" t="str">
        <f>VLOOKUP(A220,'JUNE (물량흐름)'!$A$13:$C$502,2,0)</f>
        <v>ALFANI</v>
      </c>
      <c r="D220" s="212">
        <v>0.35</v>
      </c>
      <c r="E220" s="6">
        <f>VLOOKUP(B220,'Sales profit (스타일 별 매출이익)'!$D$9:$P$491,13,0)</f>
        <v>7936.2499999999991</v>
      </c>
      <c r="F220" s="112">
        <f>IFERROR(VLOOKUP(B220,O.B.JUNE!$N$7:$Q$448,2,0),0)</f>
        <v>0</v>
      </c>
      <c r="G220" s="112">
        <f>IFERROR(VLOOKUP(B220,O.B.JUNE!$N$7:$Q$448,3,0),0)</f>
        <v>0</v>
      </c>
      <c r="H220" s="112">
        <f>IFERROR(VLOOKUP(B220,O.B.JUNE!$N$7:$Q$448,4,0),0)</f>
        <v>195</v>
      </c>
      <c r="I220" s="112">
        <f t="shared" si="30"/>
        <v>195</v>
      </c>
      <c r="J220" s="112">
        <f>IFERROR(VLOOKUP(B220,O.B.JUNE!$AA$7:$AG$448,7,0),0)</f>
        <v>2735548</v>
      </c>
      <c r="K220" s="112">
        <f>IFERROR(VLOOKUP(B220,O.B.JUNE!$AI$7:$AO$448,7,0),0)</f>
        <v>3722674</v>
      </c>
      <c r="L220" s="112">
        <f t="shared" si="31"/>
        <v>6458222</v>
      </c>
      <c r="M220" s="112">
        <f>ROUND(SUMIF('JUNE (물량흐름)'!$C$13:$C$502,'WIP(재공품)'!B220,'JUNE (물량흐름)'!$H$13:$H$502)+SUMIF('JUNE (물량흐름)'!$C$13:$C$502,'WIP(재공품)'!B220,'JUNE (물량흐름)'!$V$13:$V$502),0)</f>
        <v>0</v>
      </c>
      <c r="N220" s="112">
        <f>SUMIF('Direct labour(직접노무비)'!$C$12:$C$503,'WIP(재공품)'!B220,'Direct labour(직접노무비)'!$O$12:$O$503)</f>
        <v>0</v>
      </c>
      <c r="O220" s="112">
        <f>SUMIF('Overhead exp(제조경비)'!$C$12:$C$503,'WIP(재공품)'!B220,'Overhead exp(제조경비)'!$O$12:$O$503)</f>
        <v>0</v>
      </c>
      <c r="P220" s="112">
        <f t="shared" si="32"/>
        <v>0</v>
      </c>
      <c r="Q220" s="112">
        <v>0</v>
      </c>
      <c r="R220" s="112">
        <v>0</v>
      </c>
      <c r="S220" s="112">
        <f>SUMIF('JUNE (물량흐름)'!$C$13:$C$493,'WIP(재공품)'!B220,'JUNE (물량흐름)'!$T$13:$T$493)+SUMIF('JUNE (물량흐름)'!$C$13:$C$493,'WIP(재공품)'!B220,'JUNE (물량흐름)'!$U$13:$U$493)+SUMIF('JUNE (물량흐름)'!$C$13:$C$493,'WIP(재공품)'!B220,'JUNE (물량흐름)'!$V$13:$V$493)-SUMIF('JUNE (물량흐름)'!$C$13:$C$493,'WIP(재공품)'!B220,'JUNE (물량흐름)'!$Y$13:$Y$493)</f>
        <v>0</v>
      </c>
      <c r="T220" s="112">
        <f>SUMIF('JUNE (물량흐름)'!$C$13:$C$502,'WIP(재공품)'!B220,'JUNE (물량흐름)'!$Y$13:$Y$502)</f>
        <v>0</v>
      </c>
      <c r="U220" s="167">
        <f>SUMIF('Direct labour(직접노무비)'!$C$12:$C$503,'WIP(재공품)'!B220,'Direct labour(직접노무비)'!$U$12:$U$503)+SUMIF('Overhead exp(제조경비)'!$C$12:$C$503,'WIP(재공품)'!B220,'Overhead exp(제조경비)'!$U$12:$U$503)</f>
        <v>0</v>
      </c>
      <c r="V220" s="112">
        <f>SUMIF('Direct labour(직접노무비)'!$C$12:$C$503,'WIP(재공품)'!B220,'Direct labour(직접노무비)'!$Q$12:$Q$503)</f>
        <v>0</v>
      </c>
      <c r="W220" s="112">
        <f>SUMIF('Overhead exp(제조경비)'!$C$12:$C$503,'WIP(재공품)'!B220,'Overhead exp(제조경비)'!$Q$12:$Q$503)</f>
        <v>0</v>
      </c>
      <c r="X220" s="112">
        <f t="shared" si="33"/>
        <v>0</v>
      </c>
      <c r="Y220" s="112">
        <f ca="1">ROUND(SUMIF('JUNE (물량흐름)'!$C$13:$C$502,'WIP(재공품)'!B220,'JUNE (물량흐름)'!$N$13:$N$488),0)</f>
        <v>0</v>
      </c>
      <c r="Z220" s="112">
        <f>ROUND(SUMIF('JUNE (물량흐름)'!$C$13:$C$502,'WIP(재공품)'!B220,'JUNE (물량흐름)'!$O$13:$O$502),0)</f>
        <v>0</v>
      </c>
      <c r="AA220" s="112">
        <f>ROUND(SUMIF('JUNE (물량흐름)'!$C$13:$C$502,'WIP(재공품)'!B220,'JUNE (물량흐름)'!$P$13:$P$502),0)</f>
        <v>195</v>
      </c>
      <c r="AB220" s="112">
        <f t="shared" ca="1" si="34"/>
        <v>195</v>
      </c>
      <c r="AC220" s="112">
        <f t="shared" si="35"/>
        <v>6458222</v>
      </c>
      <c r="AD220" s="381">
        <f t="shared" ca="1" si="36"/>
        <v>0</v>
      </c>
      <c r="AE220" s="381">
        <f t="shared" si="37"/>
        <v>0</v>
      </c>
      <c r="AF220" s="382"/>
      <c r="AG220" s="382">
        <v>0</v>
      </c>
      <c r="AH220" s="383">
        <f t="shared" si="38"/>
        <v>0.35</v>
      </c>
      <c r="AJ220" s="383"/>
      <c r="AL220" s="385"/>
      <c r="AM220" s="381"/>
      <c r="AN220" s="382"/>
      <c r="AO220" s="382"/>
      <c r="AP220" s="383"/>
      <c r="AQ220" s="383"/>
    </row>
    <row r="221" spans="1:43" s="384" customFormat="1" ht="18.75" customHeight="1">
      <c r="A221" s="167">
        <v>211</v>
      </c>
      <c r="B221" s="240">
        <f>VLOOKUP(A221,'JUNE (물량흐름)'!$A$13:$C$502,3,0)</f>
        <v>100008746</v>
      </c>
      <c r="C221" s="21" t="str">
        <f>VLOOKUP(A221,'JUNE (물량흐름)'!$A$13:$C$502,2,0)</f>
        <v>ALFANI</v>
      </c>
      <c r="D221" s="212">
        <v>0.35</v>
      </c>
      <c r="E221" s="6">
        <f>VLOOKUP(B221,'Sales profit (스타일 별 매출이익)'!$D$9:$P$491,13,0)</f>
        <v>7936.2499999999991</v>
      </c>
      <c r="F221" s="112">
        <f>IFERROR(VLOOKUP(B221,O.B.JUNE!$N$7:$Q$448,2,0),0)</f>
        <v>0</v>
      </c>
      <c r="G221" s="112">
        <f>IFERROR(VLOOKUP(B221,O.B.JUNE!$N$7:$Q$448,3,0),0)</f>
        <v>0</v>
      </c>
      <c r="H221" s="112">
        <f>IFERROR(VLOOKUP(B221,O.B.JUNE!$N$7:$Q$448,4,0),0)</f>
        <v>25</v>
      </c>
      <c r="I221" s="112">
        <f t="shared" si="30"/>
        <v>25</v>
      </c>
      <c r="J221" s="112">
        <f>IFERROR(VLOOKUP(B221,O.B.JUNE!$AA$7:$AG$448,7,0),0)</f>
        <v>626323</v>
      </c>
      <c r="K221" s="112">
        <f>IFERROR(VLOOKUP(B221,O.B.JUNE!$AI$7:$AO$448,7,0),0)</f>
        <v>852332</v>
      </c>
      <c r="L221" s="112">
        <f t="shared" si="31"/>
        <v>1478655</v>
      </c>
      <c r="M221" s="112">
        <f>ROUND(SUMIF('JUNE (물량흐름)'!$C$13:$C$502,'WIP(재공품)'!B221,'JUNE (물량흐름)'!$H$13:$H$502)+SUMIF('JUNE (물량흐름)'!$C$13:$C$502,'WIP(재공품)'!B221,'JUNE (물량흐름)'!$V$13:$V$502),0)</f>
        <v>0</v>
      </c>
      <c r="N221" s="112">
        <f>SUMIF('Direct labour(직접노무비)'!$C$12:$C$503,'WIP(재공품)'!B221,'Direct labour(직접노무비)'!$O$12:$O$503)</f>
        <v>0</v>
      </c>
      <c r="O221" s="112">
        <f>SUMIF('Overhead exp(제조경비)'!$C$12:$C$503,'WIP(재공품)'!B221,'Overhead exp(제조경비)'!$O$12:$O$503)</f>
        <v>0</v>
      </c>
      <c r="P221" s="112">
        <f t="shared" si="32"/>
        <v>0</v>
      </c>
      <c r="Q221" s="112">
        <v>0</v>
      </c>
      <c r="R221" s="112">
        <v>0</v>
      </c>
      <c r="S221" s="112">
        <f>SUMIF('JUNE (물량흐름)'!$C$13:$C$493,'WIP(재공품)'!B221,'JUNE (물량흐름)'!$T$13:$T$493)+SUMIF('JUNE (물량흐름)'!$C$13:$C$493,'WIP(재공품)'!B221,'JUNE (물량흐름)'!$U$13:$U$493)+SUMIF('JUNE (물량흐름)'!$C$13:$C$493,'WIP(재공품)'!B221,'JUNE (물량흐름)'!$V$13:$V$493)-SUMIF('JUNE (물량흐름)'!$C$13:$C$493,'WIP(재공품)'!B221,'JUNE (물량흐름)'!$Y$13:$Y$493)</f>
        <v>0</v>
      </c>
      <c r="T221" s="112">
        <f>SUMIF('JUNE (물량흐름)'!$C$13:$C$502,'WIP(재공품)'!B221,'JUNE (물량흐름)'!$Y$13:$Y$502)</f>
        <v>0</v>
      </c>
      <c r="U221" s="167">
        <f>SUMIF('Direct labour(직접노무비)'!$C$12:$C$503,'WIP(재공품)'!B221,'Direct labour(직접노무비)'!$U$12:$U$503)+SUMIF('Overhead exp(제조경비)'!$C$12:$C$503,'WIP(재공품)'!B221,'Overhead exp(제조경비)'!$U$12:$U$503)</f>
        <v>0</v>
      </c>
      <c r="V221" s="112">
        <f>SUMIF('Direct labour(직접노무비)'!$C$12:$C$503,'WIP(재공품)'!B221,'Direct labour(직접노무비)'!$Q$12:$Q$503)</f>
        <v>0</v>
      </c>
      <c r="W221" s="112">
        <f>SUMIF('Overhead exp(제조경비)'!$C$12:$C$503,'WIP(재공품)'!B221,'Overhead exp(제조경비)'!$Q$12:$Q$503)</f>
        <v>0</v>
      </c>
      <c r="X221" s="112">
        <f t="shared" si="33"/>
        <v>0</v>
      </c>
      <c r="Y221" s="112">
        <f ca="1">ROUND(SUMIF('JUNE (물량흐름)'!$C$13:$C$502,'WIP(재공품)'!B221,'JUNE (물량흐름)'!$N$13:$N$488),0)</f>
        <v>0</v>
      </c>
      <c r="Z221" s="112">
        <f>ROUND(SUMIF('JUNE (물량흐름)'!$C$13:$C$502,'WIP(재공품)'!B221,'JUNE (물량흐름)'!$O$13:$O$502),0)</f>
        <v>0</v>
      </c>
      <c r="AA221" s="112">
        <f>ROUND(SUMIF('JUNE (물량흐름)'!$C$13:$C$502,'WIP(재공품)'!B221,'JUNE (물량흐름)'!$P$13:$P$502),0)</f>
        <v>25</v>
      </c>
      <c r="AB221" s="112">
        <f t="shared" ca="1" si="34"/>
        <v>25</v>
      </c>
      <c r="AC221" s="112">
        <f t="shared" si="35"/>
        <v>1478655</v>
      </c>
      <c r="AD221" s="381">
        <f t="shared" ca="1" si="36"/>
        <v>0</v>
      </c>
      <c r="AE221" s="381">
        <f t="shared" si="37"/>
        <v>0</v>
      </c>
      <c r="AF221" s="382"/>
      <c r="AG221" s="382">
        <v>0</v>
      </c>
      <c r="AH221" s="383">
        <f t="shared" si="38"/>
        <v>0.35</v>
      </c>
      <c r="AJ221" s="383"/>
      <c r="AL221" s="385"/>
      <c r="AM221" s="381"/>
      <c r="AN221" s="382"/>
      <c r="AO221" s="382"/>
      <c r="AP221" s="383"/>
      <c r="AQ221" s="383"/>
    </row>
    <row r="222" spans="1:43" s="384" customFormat="1" ht="18.75" customHeight="1">
      <c r="A222" s="167">
        <v>212</v>
      </c>
      <c r="B222" s="240">
        <f>VLOOKUP(A222,'JUNE (물량흐름)'!$A$13:$C$502,3,0)</f>
        <v>100009162</v>
      </c>
      <c r="C222" s="21" t="str">
        <f>VLOOKUP(A222,'JUNE (물량흐름)'!$A$13:$C$502,2,0)</f>
        <v>ALFANI</v>
      </c>
      <c r="D222" s="212">
        <v>1.45</v>
      </c>
      <c r="E222" s="6">
        <f>VLOOKUP(B222,'Sales profit (스타일 별 매출이익)'!$D$9:$P$491,13,0)</f>
        <v>32878.75</v>
      </c>
      <c r="F222" s="112">
        <f>IFERROR(VLOOKUP(B222,O.B.JUNE!$N$7:$Q$448,2,0),0)</f>
        <v>0</v>
      </c>
      <c r="G222" s="112">
        <f>IFERROR(VLOOKUP(B222,O.B.JUNE!$N$7:$Q$448,3,0),0)</f>
        <v>0</v>
      </c>
      <c r="H222" s="112">
        <f>IFERROR(VLOOKUP(B222,O.B.JUNE!$N$7:$Q$448,4,0),0)</f>
        <v>86</v>
      </c>
      <c r="I222" s="112">
        <f t="shared" si="30"/>
        <v>86</v>
      </c>
      <c r="J222" s="112">
        <f>IFERROR(VLOOKUP(B222,O.B.JUNE!$AA$7:$AG$448,7,0),0)</f>
        <v>1137270</v>
      </c>
      <c r="K222" s="112">
        <f>IFERROR(VLOOKUP(B222,O.B.JUNE!$AI$7:$AO$448,7,0),0)</f>
        <v>1547656</v>
      </c>
      <c r="L222" s="112">
        <f t="shared" si="31"/>
        <v>2684926</v>
      </c>
      <c r="M222" s="112">
        <f>ROUND(SUMIF('JUNE (물량흐름)'!$C$13:$C$502,'WIP(재공품)'!B222,'JUNE (물량흐름)'!$H$13:$H$502)+SUMIF('JUNE (물량흐름)'!$C$13:$C$502,'WIP(재공품)'!B222,'JUNE (물량흐름)'!$V$13:$V$502),0)</f>
        <v>0</v>
      </c>
      <c r="N222" s="112">
        <f>SUMIF('Direct labour(직접노무비)'!$C$12:$C$503,'WIP(재공품)'!B222,'Direct labour(직접노무비)'!$O$12:$O$503)</f>
        <v>0</v>
      </c>
      <c r="O222" s="112">
        <f>SUMIF('Overhead exp(제조경비)'!$C$12:$C$503,'WIP(재공품)'!B222,'Overhead exp(제조경비)'!$O$12:$O$503)</f>
        <v>0</v>
      </c>
      <c r="P222" s="112">
        <f t="shared" si="32"/>
        <v>0</v>
      </c>
      <c r="Q222" s="112">
        <v>0</v>
      </c>
      <c r="R222" s="112">
        <v>0</v>
      </c>
      <c r="S222" s="112">
        <f>SUMIF('JUNE (물량흐름)'!$C$13:$C$493,'WIP(재공품)'!B222,'JUNE (물량흐름)'!$T$13:$T$493)+SUMIF('JUNE (물량흐름)'!$C$13:$C$493,'WIP(재공품)'!B222,'JUNE (물량흐름)'!$U$13:$U$493)+SUMIF('JUNE (물량흐름)'!$C$13:$C$493,'WIP(재공품)'!B222,'JUNE (물량흐름)'!$V$13:$V$493)-SUMIF('JUNE (물량흐름)'!$C$13:$C$493,'WIP(재공품)'!B222,'JUNE (물량흐름)'!$Y$13:$Y$493)</f>
        <v>0</v>
      </c>
      <c r="T222" s="112">
        <f>SUMIF('JUNE (물량흐름)'!$C$13:$C$502,'WIP(재공품)'!B222,'JUNE (물량흐름)'!$Y$13:$Y$502)</f>
        <v>0</v>
      </c>
      <c r="U222" s="167">
        <f>SUMIF('Direct labour(직접노무비)'!$C$12:$C$503,'WIP(재공품)'!B222,'Direct labour(직접노무비)'!$U$12:$U$503)+SUMIF('Overhead exp(제조경비)'!$C$12:$C$503,'WIP(재공품)'!B222,'Overhead exp(제조경비)'!$U$12:$U$503)</f>
        <v>0</v>
      </c>
      <c r="V222" s="112">
        <f>SUMIF('Direct labour(직접노무비)'!$C$12:$C$503,'WIP(재공품)'!B222,'Direct labour(직접노무비)'!$Q$12:$Q$503)</f>
        <v>0</v>
      </c>
      <c r="W222" s="112">
        <f>SUMIF('Overhead exp(제조경비)'!$C$12:$C$503,'WIP(재공품)'!B222,'Overhead exp(제조경비)'!$Q$12:$Q$503)</f>
        <v>0</v>
      </c>
      <c r="X222" s="112">
        <f t="shared" si="33"/>
        <v>0</v>
      </c>
      <c r="Y222" s="112">
        <f ca="1">ROUND(SUMIF('JUNE (물량흐름)'!$C$13:$C$502,'WIP(재공품)'!B222,'JUNE (물량흐름)'!$N$13:$N$488),0)</f>
        <v>0</v>
      </c>
      <c r="Z222" s="112">
        <f>ROUND(SUMIF('JUNE (물량흐름)'!$C$13:$C$502,'WIP(재공품)'!B222,'JUNE (물량흐름)'!$O$13:$O$502),0)</f>
        <v>0</v>
      </c>
      <c r="AA222" s="112">
        <f>ROUND(SUMIF('JUNE (물량흐름)'!$C$13:$C$502,'WIP(재공품)'!B222,'JUNE (물량흐름)'!$P$13:$P$502),0)</f>
        <v>86</v>
      </c>
      <c r="AB222" s="112">
        <f t="shared" ca="1" si="34"/>
        <v>86</v>
      </c>
      <c r="AC222" s="112">
        <f t="shared" si="35"/>
        <v>2684926</v>
      </c>
      <c r="AD222" s="381">
        <f t="shared" ca="1" si="36"/>
        <v>0</v>
      </c>
      <c r="AE222" s="381">
        <f t="shared" si="37"/>
        <v>0</v>
      </c>
      <c r="AF222" s="382"/>
      <c r="AG222" s="382">
        <v>0</v>
      </c>
      <c r="AH222" s="383">
        <f t="shared" si="38"/>
        <v>1.45</v>
      </c>
      <c r="AJ222" s="383"/>
      <c r="AL222" s="385"/>
      <c r="AM222" s="381"/>
      <c r="AN222" s="382"/>
      <c r="AO222" s="382"/>
      <c r="AP222" s="383"/>
      <c r="AQ222" s="383"/>
    </row>
    <row r="223" spans="1:43" s="384" customFormat="1" ht="18.75" customHeight="1">
      <c r="A223" s="167">
        <v>213</v>
      </c>
      <c r="B223" s="240">
        <f>VLOOKUP(A223,'JUNE (물량흐름)'!$A$13:$C$502,3,0)</f>
        <v>100009622</v>
      </c>
      <c r="C223" s="21" t="str">
        <f>VLOOKUP(A223,'JUNE (물량흐름)'!$A$13:$C$502,2,0)</f>
        <v>ALFANI</v>
      </c>
      <c r="D223" s="212">
        <v>1.35</v>
      </c>
      <c r="E223" s="6">
        <f>VLOOKUP(B223,'Sales profit (스타일 별 매출이익)'!$D$9:$P$491,13,0)</f>
        <v>30611.250000000004</v>
      </c>
      <c r="F223" s="112">
        <f>IFERROR(VLOOKUP(B223,O.B.JUNE!$N$7:$Q$448,2,0),0)</f>
        <v>0</v>
      </c>
      <c r="G223" s="112">
        <f>IFERROR(VLOOKUP(B223,O.B.JUNE!$N$7:$Q$448,3,0),0)</f>
        <v>189</v>
      </c>
      <c r="H223" s="112">
        <f>IFERROR(VLOOKUP(B223,O.B.JUNE!$N$7:$Q$448,4,0),0)</f>
        <v>236</v>
      </c>
      <c r="I223" s="112">
        <f t="shared" si="30"/>
        <v>425</v>
      </c>
      <c r="J223" s="112">
        <f>IFERROR(VLOOKUP(B223,O.B.JUNE!$AA$7:$AG$448,7,0),0)</f>
        <v>11198699</v>
      </c>
      <c r="K223" s="112">
        <f>IFERROR(VLOOKUP(B223,O.B.JUNE!$AI$7:$AO$448,7,0),0)</f>
        <v>16194718</v>
      </c>
      <c r="L223" s="112">
        <f t="shared" si="31"/>
        <v>27393417</v>
      </c>
      <c r="M223" s="112">
        <f>ROUND(SUMIF('JUNE (물량흐름)'!$C$13:$C$502,'WIP(재공품)'!B223,'JUNE (물량흐름)'!$H$13:$H$502)+SUMIF('JUNE (물량흐름)'!$C$13:$C$502,'WIP(재공품)'!B223,'JUNE (물량흐름)'!$V$13:$V$502),0)</f>
        <v>0</v>
      </c>
      <c r="N223" s="112">
        <f>SUMIF('Direct labour(직접노무비)'!$C$12:$C$503,'WIP(재공품)'!B223,'Direct labour(직접노무비)'!$O$12:$O$503)</f>
        <v>0</v>
      </c>
      <c r="O223" s="112">
        <f>SUMIF('Overhead exp(제조경비)'!$C$12:$C$503,'WIP(재공품)'!B223,'Overhead exp(제조경비)'!$O$12:$O$503)</f>
        <v>0</v>
      </c>
      <c r="P223" s="112">
        <f t="shared" si="32"/>
        <v>0</v>
      </c>
      <c r="Q223" s="112">
        <v>0</v>
      </c>
      <c r="R223" s="112">
        <v>0</v>
      </c>
      <c r="S223" s="112">
        <f>SUMIF('JUNE (물량흐름)'!$C$13:$C$493,'WIP(재공품)'!B223,'JUNE (물량흐름)'!$T$13:$T$493)+SUMIF('JUNE (물량흐름)'!$C$13:$C$493,'WIP(재공품)'!B223,'JUNE (물량흐름)'!$U$13:$U$493)+SUMIF('JUNE (물량흐름)'!$C$13:$C$493,'WIP(재공품)'!B223,'JUNE (물량흐름)'!$V$13:$V$493)-SUMIF('JUNE (물량흐름)'!$C$13:$C$493,'WIP(재공품)'!B223,'JUNE (물량흐름)'!$Y$13:$Y$493)</f>
        <v>0</v>
      </c>
      <c r="T223" s="112">
        <f>SUMIF('JUNE (물량흐름)'!$C$13:$C$502,'WIP(재공품)'!B223,'JUNE (물량흐름)'!$Y$13:$Y$502)</f>
        <v>0</v>
      </c>
      <c r="U223" s="167">
        <f>SUMIF('Direct labour(직접노무비)'!$C$12:$C$503,'WIP(재공품)'!B223,'Direct labour(직접노무비)'!$U$12:$U$503)+SUMIF('Overhead exp(제조경비)'!$C$12:$C$503,'WIP(재공품)'!B223,'Overhead exp(제조경비)'!$U$12:$U$503)</f>
        <v>0</v>
      </c>
      <c r="V223" s="112">
        <f>SUMIF('Direct labour(직접노무비)'!$C$12:$C$503,'WIP(재공품)'!B223,'Direct labour(직접노무비)'!$Q$12:$Q$503)</f>
        <v>0</v>
      </c>
      <c r="W223" s="112">
        <f>SUMIF('Overhead exp(제조경비)'!$C$12:$C$503,'WIP(재공품)'!B223,'Overhead exp(제조경비)'!$Q$12:$Q$503)</f>
        <v>0</v>
      </c>
      <c r="X223" s="112">
        <f t="shared" si="33"/>
        <v>0</v>
      </c>
      <c r="Y223" s="112">
        <f ca="1">ROUND(SUMIF('JUNE (물량흐름)'!$C$13:$C$502,'WIP(재공품)'!B223,'JUNE (물량흐름)'!$N$13:$N$488),0)</f>
        <v>0</v>
      </c>
      <c r="Z223" s="112">
        <f>ROUND(SUMIF('JUNE (물량흐름)'!$C$13:$C$502,'WIP(재공품)'!B223,'JUNE (물량흐름)'!$O$13:$O$502),0)</f>
        <v>189</v>
      </c>
      <c r="AA223" s="112">
        <f>ROUND(SUMIF('JUNE (물량흐름)'!$C$13:$C$502,'WIP(재공품)'!B223,'JUNE (물량흐름)'!$P$13:$P$502),0)</f>
        <v>236</v>
      </c>
      <c r="AB223" s="112">
        <f t="shared" ca="1" si="34"/>
        <v>425</v>
      </c>
      <c r="AC223" s="112">
        <f t="shared" si="35"/>
        <v>27393417</v>
      </c>
      <c r="AD223" s="381">
        <f t="shared" ca="1" si="36"/>
        <v>0</v>
      </c>
      <c r="AE223" s="381">
        <f t="shared" si="37"/>
        <v>0</v>
      </c>
      <c r="AF223" s="382"/>
      <c r="AG223" s="382">
        <v>0</v>
      </c>
      <c r="AH223" s="383">
        <f t="shared" si="38"/>
        <v>1.35</v>
      </c>
      <c r="AJ223" s="383"/>
      <c r="AL223" s="385"/>
      <c r="AM223" s="381"/>
      <c r="AN223" s="382"/>
      <c r="AO223" s="382"/>
      <c r="AP223" s="383"/>
      <c r="AQ223" s="383"/>
    </row>
    <row r="224" spans="1:43" s="384" customFormat="1" ht="18.75" customHeight="1">
      <c r="A224" s="167">
        <v>214</v>
      </c>
      <c r="B224" s="240">
        <f>VLOOKUP(A224,'JUNE (물량흐름)'!$A$13:$C$502,3,0)</f>
        <v>100015352</v>
      </c>
      <c r="C224" s="21" t="str">
        <f>VLOOKUP(A224,'JUNE (물량흐름)'!$A$13:$C$502,2,0)</f>
        <v>ALFANI</v>
      </c>
      <c r="D224" s="212">
        <v>1.35</v>
      </c>
      <c r="E224" s="6">
        <f>VLOOKUP(B224,'Sales profit (스타일 별 매출이익)'!$D$9:$P$491,13,0)</f>
        <v>30611.250000000004</v>
      </c>
      <c r="F224" s="112">
        <f>IFERROR(VLOOKUP(B224,O.B.JUNE!$N$7:$Q$448,2,0),0)</f>
        <v>0</v>
      </c>
      <c r="G224" s="112">
        <f>IFERROR(VLOOKUP(B224,O.B.JUNE!$N$7:$Q$448,3,0),0)</f>
        <v>163</v>
      </c>
      <c r="H224" s="112">
        <f>IFERROR(VLOOKUP(B224,O.B.JUNE!$N$7:$Q$448,4,0),0)</f>
        <v>98</v>
      </c>
      <c r="I224" s="112">
        <f t="shared" si="30"/>
        <v>261</v>
      </c>
      <c r="J224" s="112">
        <f>IFERROR(VLOOKUP(B224,O.B.JUNE!$AA$7:$AG$448,7,0),0)</f>
        <v>3808395</v>
      </c>
      <c r="K224" s="112">
        <f>IFERROR(VLOOKUP(B224,O.B.JUNE!$AI$7:$AO$448,7,0),0)</f>
        <v>5962320</v>
      </c>
      <c r="L224" s="112">
        <f t="shared" si="31"/>
        <v>9770715</v>
      </c>
      <c r="M224" s="112">
        <f>ROUND(SUMIF('JUNE (물량흐름)'!$C$13:$C$502,'WIP(재공품)'!B224,'JUNE (물량흐름)'!$H$13:$H$502)+SUMIF('JUNE (물량흐름)'!$C$13:$C$502,'WIP(재공품)'!B224,'JUNE (물량흐름)'!$V$13:$V$502),0)</f>
        <v>0</v>
      </c>
      <c r="N224" s="112">
        <f>SUMIF('Direct labour(직접노무비)'!$C$12:$C$503,'WIP(재공품)'!B224,'Direct labour(직접노무비)'!$O$12:$O$503)</f>
        <v>0</v>
      </c>
      <c r="O224" s="112">
        <f>SUMIF('Overhead exp(제조경비)'!$C$12:$C$503,'WIP(재공품)'!B224,'Overhead exp(제조경비)'!$O$12:$O$503)</f>
        <v>0</v>
      </c>
      <c r="P224" s="112">
        <f t="shared" si="32"/>
        <v>0</v>
      </c>
      <c r="Q224" s="112">
        <v>0</v>
      </c>
      <c r="R224" s="112">
        <v>0</v>
      </c>
      <c r="S224" s="112">
        <f>SUMIF('JUNE (물량흐름)'!$C$13:$C$493,'WIP(재공품)'!B224,'JUNE (물량흐름)'!$T$13:$T$493)+SUMIF('JUNE (물량흐름)'!$C$13:$C$493,'WIP(재공품)'!B224,'JUNE (물량흐름)'!$U$13:$U$493)+SUMIF('JUNE (물량흐름)'!$C$13:$C$493,'WIP(재공품)'!B224,'JUNE (물량흐름)'!$V$13:$V$493)-SUMIF('JUNE (물량흐름)'!$C$13:$C$493,'WIP(재공품)'!B224,'JUNE (물량흐름)'!$Y$13:$Y$493)</f>
        <v>0</v>
      </c>
      <c r="T224" s="112">
        <f>SUMIF('JUNE (물량흐름)'!$C$13:$C$502,'WIP(재공품)'!B224,'JUNE (물량흐름)'!$Y$13:$Y$502)</f>
        <v>0</v>
      </c>
      <c r="U224" s="167">
        <f>SUMIF('Direct labour(직접노무비)'!$C$12:$C$503,'WIP(재공품)'!B224,'Direct labour(직접노무비)'!$U$12:$U$503)+SUMIF('Overhead exp(제조경비)'!$C$12:$C$503,'WIP(재공품)'!B224,'Overhead exp(제조경비)'!$U$12:$U$503)</f>
        <v>0</v>
      </c>
      <c r="V224" s="112">
        <f>SUMIF('Direct labour(직접노무비)'!$C$12:$C$503,'WIP(재공품)'!B224,'Direct labour(직접노무비)'!$Q$12:$Q$503)</f>
        <v>0</v>
      </c>
      <c r="W224" s="112">
        <f>SUMIF('Overhead exp(제조경비)'!$C$12:$C$503,'WIP(재공품)'!B224,'Overhead exp(제조경비)'!$Q$12:$Q$503)</f>
        <v>0</v>
      </c>
      <c r="X224" s="112">
        <f t="shared" si="33"/>
        <v>0</v>
      </c>
      <c r="Y224" s="112">
        <f ca="1">ROUND(SUMIF('JUNE (물량흐름)'!$C$13:$C$502,'WIP(재공품)'!B224,'JUNE (물량흐름)'!$N$13:$N$488),0)</f>
        <v>0</v>
      </c>
      <c r="Z224" s="112">
        <f>ROUND(SUMIF('JUNE (물량흐름)'!$C$13:$C$502,'WIP(재공품)'!B224,'JUNE (물량흐름)'!$O$13:$O$502),0)</f>
        <v>163</v>
      </c>
      <c r="AA224" s="112">
        <f>ROUND(SUMIF('JUNE (물량흐름)'!$C$13:$C$502,'WIP(재공품)'!B224,'JUNE (물량흐름)'!$P$13:$P$502),0)</f>
        <v>98</v>
      </c>
      <c r="AB224" s="112">
        <f t="shared" ca="1" si="34"/>
        <v>261</v>
      </c>
      <c r="AC224" s="112">
        <f t="shared" si="35"/>
        <v>9770715</v>
      </c>
      <c r="AD224" s="381">
        <f t="shared" ca="1" si="36"/>
        <v>0</v>
      </c>
      <c r="AE224" s="381">
        <f t="shared" si="37"/>
        <v>0</v>
      </c>
      <c r="AF224" s="382"/>
      <c r="AG224" s="382">
        <v>0</v>
      </c>
      <c r="AH224" s="383">
        <f t="shared" si="38"/>
        <v>1.35</v>
      </c>
      <c r="AJ224" s="383"/>
      <c r="AL224" s="385"/>
      <c r="AM224" s="381"/>
      <c r="AN224" s="382"/>
      <c r="AO224" s="382"/>
      <c r="AP224" s="383"/>
      <c r="AQ224" s="383"/>
    </row>
    <row r="225" spans="1:43" s="384" customFormat="1" ht="18.75" customHeight="1">
      <c r="A225" s="167">
        <v>215</v>
      </c>
      <c r="B225" s="240">
        <f>VLOOKUP(A225,'JUNE (물량흐름)'!$A$13:$C$502,3,0)</f>
        <v>100015355</v>
      </c>
      <c r="C225" s="21" t="str">
        <f>VLOOKUP(A225,'JUNE (물량흐름)'!$A$13:$C$502,2,0)</f>
        <v>ALFANI</v>
      </c>
      <c r="D225" s="212">
        <v>1.6</v>
      </c>
      <c r="E225" s="6">
        <f>VLOOKUP(B225,'Sales profit (스타일 별 매출이익)'!$D$9:$P$491,13,0)</f>
        <v>36280</v>
      </c>
      <c r="F225" s="112">
        <f>IFERROR(VLOOKUP(B225,O.B.JUNE!$N$7:$Q$448,2,0),0)</f>
        <v>0</v>
      </c>
      <c r="G225" s="112">
        <f>IFERROR(VLOOKUP(B225,O.B.JUNE!$N$7:$Q$448,3,0),0)</f>
        <v>104</v>
      </c>
      <c r="H225" s="112">
        <f>IFERROR(VLOOKUP(B225,O.B.JUNE!$N$7:$Q$448,4,0),0)</f>
        <v>240</v>
      </c>
      <c r="I225" s="112">
        <f t="shared" si="30"/>
        <v>344</v>
      </c>
      <c r="J225" s="112">
        <f>IFERROR(VLOOKUP(B225,O.B.JUNE!$AA$7:$AG$448,7,0),0)</f>
        <v>4571791</v>
      </c>
      <c r="K225" s="112">
        <f>IFERROR(VLOOKUP(B225,O.B.JUNE!$AI$7:$AO$448,7,0),0)</f>
        <v>6726708</v>
      </c>
      <c r="L225" s="112">
        <f t="shared" si="31"/>
        <v>11298499</v>
      </c>
      <c r="M225" s="112">
        <f>ROUND(SUMIF('JUNE (물량흐름)'!$C$13:$C$502,'WIP(재공품)'!B225,'JUNE (물량흐름)'!$H$13:$H$502)+SUMIF('JUNE (물량흐름)'!$C$13:$C$502,'WIP(재공품)'!B225,'JUNE (물량흐름)'!$V$13:$V$502),0)</f>
        <v>0</v>
      </c>
      <c r="N225" s="112">
        <f>SUMIF('Direct labour(직접노무비)'!$C$12:$C$503,'WIP(재공품)'!B225,'Direct labour(직접노무비)'!$O$12:$O$503)</f>
        <v>0</v>
      </c>
      <c r="O225" s="112">
        <f>SUMIF('Overhead exp(제조경비)'!$C$12:$C$503,'WIP(재공품)'!B225,'Overhead exp(제조경비)'!$O$12:$O$503)</f>
        <v>0</v>
      </c>
      <c r="P225" s="112">
        <f t="shared" si="32"/>
        <v>0</v>
      </c>
      <c r="Q225" s="112">
        <v>0</v>
      </c>
      <c r="R225" s="112">
        <v>0</v>
      </c>
      <c r="S225" s="112">
        <f>SUMIF('JUNE (물량흐름)'!$C$13:$C$493,'WIP(재공품)'!B225,'JUNE (물량흐름)'!$T$13:$T$493)+SUMIF('JUNE (물량흐름)'!$C$13:$C$493,'WIP(재공품)'!B225,'JUNE (물량흐름)'!$U$13:$U$493)+SUMIF('JUNE (물량흐름)'!$C$13:$C$493,'WIP(재공품)'!B225,'JUNE (물량흐름)'!$V$13:$V$493)-SUMIF('JUNE (물량흐름)'!$C$13:$C$493,'WIP(재공품)'!B225,'JUNE (물량흐름)'!$Y$13:$Y$493)</f>
        <v>0</v>
      </c>
      <c r="T225" s="112">
        <f>SUMIF('JUNE (물량흐름)'!$C$13:$C$502,'WIP(재공품)'!B225,'JUNE (물량흐름)'!$Y$13:$Y$502)</f>
        <v>0</v>
      </c>
      <c r="U225" s="167">
        <f>SUMIF('Direct labour(직접노무비)'!$C$12:$C$503,'WIP(재공품)'!B225,'Direct labour(직접노무비)'!$U$12:$U$503)+SUMIF('Overhead exp(제조경비)'!$C$12:$C$503,'WIP(재공품)'!B225,'Overhead exp(제조경비)'!$U$12:$U$503)</f>
        <v>0</v>
      </c>
      <c r="V225" s="112">
        <f>SUMIF('Direct labour(직접노무비)'!$C$12:$C$503,'WIP(재공품)'!B225,'Direct labour(직접노무비)'!$Q$12:$Q$503)</f>
        <v>0</v>
      </c>
      <c r="W225" s="112">
        <f>SUMIF('Overhead exp(제조경비)'!$C$12:$C$503,'WIP(재공품)'!B225,'Overhead exp(제조경비)'!$Q$12:$Q$503)</f>
        <v>0</v>
      </c>
      <c r="X225" s="112">
        <f t="shared" si="33"/>
        <v>0</v>
      </c>
      <c r="Y225" s="112">
        <f ca="1">ROUND(SUMIF('JUNE (물량흐름)'!$C$13:$C$502,'WIP(재공품)'!B225,'JUNE (물량흐름)'!$N$13:$N$488),0)</f>
        <v>0</v>
      </c>
      <c r="Z225" s="112">
        <f>ROUND(SUMIF('JUNE (물량흐름)'!$C$13:$C$502,'WIP(재공품)'!B225,'JUNE (물량흐름)'!$O$13:$O$502),0)</f>
        <v>104</v>
      </c>
      <c r="AA225" s="112">
        <f>ROUND(SUMIF('JUNE (물량흐름)'!$C$13:$C$502,'WIP(재공품)'!B225,'JUNE (물량흐름)'!$P$13:$P$502),0)</f>
        <v>240</v>
      </c>
      <c r="AB225" s="112">
        <f t="shared" ca="1" si="34"/>
        <v>344</v>
      </c>
      <c r="AC225" s="112">
        <f t="shared" si="35"/>
        <v>11298499</v>
      </c>
      <c r="AD225" s="381">
        <f t="shared" ca="1" si="36"/>
        <v>0</v>
      </c>
      <c r="AE225" s="381">
        <f t="shared" si="37"/>
        <v>0</v>
      </c>
      <c r="AF225" s="382"/>
      <c r="AG225" s="382">
        <v>0</v>
      </c>
      <c r="AH225" s="383">
        <f t="shared" si="38"/>
        <v>1.6</v>
      </c>
      <c r="AJ225" s="383"/>
      <c r="AL225" s="385"/>
      <c r="AM225" s="381"/>
      <c r="AN225" s="382"/>
      <c r="AO225" s="382"/>
      <c r="AP225" s="383"/>
      <c r="AQ225" s="383"/>
    </row>
    <row r="226" spans="1:43" s="384" customFormat="1" ht="18.75" customHeight="1">
      <c r="A226" s="167">
        <v>216</v>
      </c>
      <c r="B226" s="240">
        <f>VLOOKUP(A226,'JUNE (물량흐름)'!$A$13:$C$502,3,0)</f>
        <v>100015669</v>
      </c>
      <c r="C226" s="21" t="str">
        <f>VLOOKUP(A226,'JUNE (물량흐름)'!$A$13:$C$502,2,0)</f>
        <v>ALFANI</v>
      </c>
      <c r="D226" s="212">
        <v>0.36</v>
      </c>
      <c r="E226" s="6">
        <f>VLOOKUP(B226,'Sales profit (스타일 별 매출이익)'!$D$9:$P$491,13,0)</f>
        <v>8163</v>
      </c>
      <c r="F226" s="112">
        <f>IFERROR(VLOOKUP(B226,O.B.JUNE!$N$7:$Q$448,2,0),0)</f>
        <v>0</v>
      </c>
      <c r="G226" s="112">
        <f>IFERROR(VLOOKUP(B226,O.B.JUNE!$N$7:$Q$448,3,0),0)</f>
        <v>0</v>
      </c>
      <c r="H226" s="112">
        <f>IFERROR(VLOOKUP(B226,O.B.JUNE!$N$7:$Q$448,4,0),0)</f>
        <v>14</v>
      </c>
      <c r="I226" s="112">
        <f t="shared" si="30"/>
        <v>14</v>
      </c>
      <c r="J226" s="112">
        <f>IFERROR(VLOOKUP(B226,O.B.JUNE!$AA$7:$AG$448,7,0),0)</f>
        <v>143440</v>
      </c>
      <c r="K226" s="112">
        <f>IFERROR(VLOOKUP(B226,O.B.JUNE!$AI$7:$AO$448,7,0),0)</f>
        <v>195200</v>
      </c>
      <c r="L226" s="112">
        <f t="shared" si="31"/>
        <v>338640</v>
      </c>
      <c r="M226" s="112">
        <f>ROUND(SUMIF('JUNE (물량흐름)'!$C$13:$C$502,'WIP(재공품)'!B226,'JUNE (물량흐름)'!$H$13:$H$502)+SUMIF('JUNE (물량흐름)'!$C$13:$C$502,'WIP(재공품)'!B226,'JUNE (물량흐름)'!$V$13:$V$502),0)</f>
        <v>6295</v>
      </c>
      <c r="N226" s="112">
        <f>SUMIF('Direct labour(직접노무비)'!$C$12:$C$503,'WIP(재공품)'!B226,'Direct labour(직접노무비)'!$O$12:$O$503)</f>
        <v>12713892</v>
      </c>
      <c r="O226" s="112">
        <f>SUMIF('Overhead exp(제조경비)'!$C$12:$C$503,'WIP(재공품)'!B226,'Overhead exp(제조경비)'!$O$12:$O$503)</f>
        <v>24839619</v>
      </c>
      <c r="P226" s="112">
        <f t="shared" si="32"/>
        <v>37553511</v>
      </c>
      <c r="Q226" s="112">
        <v>0</v>
      </c>
      <c r="R226" s="112">
        <v>0</v>
      </c>
      <c r="S226" s="112">
        <f>SUMIF('JUNE (물량흐름)'!$C$13:$C$493,'WIP(재공품)'!B226,'JUNE (물량흐름)'!$T$13:$T$493)+SUMIF('JUNE (물량흐름)'!$C$13:$C$493,'WIP(재공품)'!B226,'JUNE (물량흐름)'!$U$13:$U$493)+SUMIF('JUNE (물량흐름)'!$C$13:$C$493,'WIP(재공품)'!B226,'JUNE (물량흐름)'!$V$13:$V$493)-SUMIF('JUNE (물량흐름)'!$C$13:$C$493,'WIP(재공품)'!B226,'JUNE (물량흐름)'!$Y$13:$Y$493)</f>
        <v>0</v>
      </c>
      <c r="T226" s="112">
        <f>SUMIF('JUNE (물량흐름)'!$C$13:$C$502,'WIP(재공품)'!B226,'JUNE (물량흐름)'!$Y$13:$Y$502)</f>
        <v>0</v>
      </c>
      <c r="U226" s="167">
        <f>SUMIF('Direct labour(직접노무비)'!$C$12:$C$503,'WIP(재공품)'!B226,'Direct labour(직접노무비)'!$U$12:$U$503)+SUMIF('Overhead exp(제조경비)'!$C$12:$C$503,'WIP(재공품)'!B226,'Overhead exp(제조경비)'!$U$12:$U$503)</f>
        <v>0</v>
      </c>
      <c r="V226" s="112">
        <f>SUMIF('Direct labour(직접노무비)'!$C$12:$C$503,'WIP(재공품)'!B226,'Direct labour(직접노무비)'!$Q$12:$Q$503)</f>
        <v>0</v>
      </c>
      <c r="W226" s="112">
        <f>SUMIF('Overhead exp(제조경비)'!$C$12:$C$503,'WIP(재공품)'!B226,'Overhead exp(제조경비)'!$Q$12:$Q$503)</f>
        <v>0</v>
      </c>
      <c r="X226" s="112">
        <f t="shared" si="33"/>
        <v>0</v>
      </c>
      <c r="Y226" s="112">
        <f ca="1">ROUND(SUMIF('JUNE (물량흐름)'!$C$13:$C$502,'WIP(재공품)'!B226,'JUNE (물량흐름)'!$N$13:$N$488),0)</f>
        <v>0</v>
      </c>
      <c r="Z226" s="112">
        <f>ROUND(SUMIF('JUNE (물량흐름)'!$C$13:$C$502,'WIP(재공품)'!B226,'JUNE (물량흐름)'!$O$13:$O$502),0)</f>
        <v>0</v>
      </c>
      <c r="AA226" s="112">
        <f>ROUND(SUMIF('JUNE (물량흐름)'!$C$13:$C$502,'WIP(재공품)'!B226,'JUNE (물량흐름)'!$P$13:$P$502),0)</f>
        <v>6309</v>
      </c>
      <c r="AB226" s="112">
        <f t="shared" ca="1" si="34"/>
        <v>6309</v>
      </c>
      <c r="AC226" s="112">
        <f t="shared" si="35"/>
        <v>37892151</v>
      </c>
      <c r="AD226" s="381">
        <f t="shared" ca="1" si="36"/>
        <v>0</v>
      </c>
      <c r="AE226" s="381">
        <f t="shared" si="37"/>
        <v>0</v>
      </c>
      <c r="AF226" s="382"/>
      <c r="AG226" s="382">
        <v>0</v>
      </c>
      <c r="AH226" s="383">
        <f t="shared" si="38"/>
        <v>0.36</v>
      </c>
      <c r="AJ226" s="383"/>
      <c r="AL226" s="385"/>
      <c r="AM226" s="381"/>
      <c r="AN226" s="382"/>
      <c r="AO226" s="382"/>
      <c r="AP226" s="383"/>
      <c r="AQ226" s="383"/>
    </row>
    <row r="227" spans="1:43" s="384" customFormat="1" ht="18.75" customHeight="1">
      <c r="A227" s="167">
        <v>217</v>
      </c>
      <c r="B227" s="240">
        <f>VLOOKUP(A227,'JUNE (물량흐름)'!$A$13:$C$502,3,0)</f>
        <v>100018310</v>
      </c>
      <c r="C227" s="21" t="str">
        <f>VLOOKUP(A227,'JUNE (물량흐름)'!$A$13:$C$502,2,0)</f>
        <v>ALFANI</v>
      </c>
      <c r="D227" s="212">
        <v>0.35155555555555551</v>
      </c>
      <c r="E227" s="6">
        <f>VLOOKUP(B227,'Sales profit (스타일 별 매출이익)'!$D$9:$P$491,13,0)</f>
        <v>7971.522222222221</v>
      </c>
      <c r="F227" s="112">
        <f>IFERROR(VLOOKUP(B227,O.B.JUNE!$N$7:$Q$448,2,0),0)</f>
        <v>0</v>
      </c>
      <c r="G227" s="112">
        <f>IFERROR(VLOOKUP(B227,O.B.JUNE!$N$7:$Q$448,3,0),0)</f>
        <v>97</v>
      </c>
      <c r="H227" s="112">
        <f>IFERROR(VLOOKUP(B227,O.B.JUNE!$N$7:$Q$448,4,0),0)</f>
        <v>98</v>
      </c>
      <c r="I227" s="112">
        <f t="shared" si="30"/>
        <v>195</v>
      </c>
      <c r="J227" s="112">
        <f>IFERROR(VLOOKUP(B227,O.B.JUNE!$AA$7:$AG$448,7,0),0)</f>
        <v>2077414</v>
      </c>
      <c r="K227" s="112">
        <f>IFERROR(VLOOKUP(B227,O.B.JUNE!$AI$7:$AO$448,7,0),0)</f>
        <v>3188403</v>
      </c>
      <c r="L227" s="112">
        <f t="shared" si="31"/>
        <v>5265817</v>
      </c>
      <c r="M227" s="112">
        <f>ROUND(SUMIF('JUNE (물량흐름)'!$C$13:$C$502,'WIP(재공품)'!B227,'JUNE (물량흐름)'!$H$13:$H$502)+SUMIF('JUNE (물량흐름)'!$C$13:$C$502,'WIP(재공품)'!B227,'JUNE (물량흐름)'!$V$13:$V$502),0)</f>
        <v>0</v>
      </c>
      <c r="N227" s="112">
        <f>SUMIF('Direct labour(직접노무비)'!$C$12:$C$503,'WIP(재공품)'!B227,'Direct labour(직접노무비)'!$O$12:$O$503)</f>
        <v>0</v>
      </c>
      <c r="O227" s="112">
        <f>SUMIF('Overhead exp(제조경비)'!$C$12:$C$503,'WIP(재공품)'!B227,'Overhead exp(제조경비)'!$O$12:$O$503)</f>
        <v>0</v>
      </c>
      <c r="P227" s="112">
        <f t="shared" si="32"/>
        <v>0</v>
      </c>
      <c r="Q227" s="112">
        <v>0</v>
      </c>
      <c r="R227" s="112">
        <v>0</v>
      </c>
      <c r="S227" s="112">
        <f>SUMIF('JUNE (물량흐름)'!$C$13:$C$493,'WIP(재공품)'!B227,'JUNE (물량흐름)'!$T$13:$T$493)+SUMIF('JUNE (물량흐름)'!$C$13:$C$493,'WIP(재공품)'!B227,'JUNE (물량흐름)'!$U$13:$U$493)+SUMIF('JUNE (물량흐름)'!$C$13:$C$493,'WIP(재공품)'!B227,'JUNE (물량흐름)'!$V$13:$V$493)-SUMIF('JUNE (물량흐름)'!$C$13:$C$493,'WIP(재공품)'!B227,'JUNE (물량흐름)'!$Y$13:$Y$493)</f>
        <v>0</v>
      </c>
      <c r="T227" s="112">
        <f>SUMIF('JUNE (물량흐름)'!$C$13:$C$502,'WIP(재공품)'!B227,'JUNE (물량흐름)'!$Y$13:$Y$502)</f>
        <v>0</v>
      </c>
      <c r="U227" s="167">
        <f>SUMIF('Direct labour(직접노무비)'!$C$12:$C$503,'WIP(재공품)'!B227,'Direct labour(직접노무비)'!$U$12:$U$503)+SUMIF('Overhead exp(제조경비)'!$C$12:$C$503,'WIP(재공품)'!B227,'Overhead exp(제조경비)'!$U$12:$U$503)</f>
        <v>0</v>
      </c>
      <c r="V227" s="112">
        <f>SUMIF('Direct labour(직접노무비)'!$C$12:$C$503,'WIP(재공품)'!B227,'Direct labour(직접노무비)'!$Q$12:$Q$503)</f>
        <v>0</v>
      </c>
      <c r="W227" s="112">
        <f>SUMIF('Overhead exp(제조경비)'!$C$12:$C$503,'WIP(재공품)'!B227,'Overhead exp(제조경비)'!$Q$12:$Q$503)</f>
        <v>0</v>
      </c>
      <c r="X227" s="112">
        <f t="shared" si="33"/>
        <v>0</v>
      </c>
      <c r="Y227" s="112">
        <f ca="1">ROUND(SUMIF('JUNE (물량흐름)'!$C$13:$C$502,'WIP(재공품)'!B227,'JUNE (물량흐름)'!$N$13:$N$488),0)</f>
        <v>0</v>
      </c>
      <c r="Z227" s="112">
        <f>ROUND(SUMIF('JUNE (물량흐름)'!$C$13:$C$502,'WIP(재공품)'!B227,'JUNE (물량흐름)'!$O$13:$O$502),0)</f>
        <v>97</v>
      </c>
      <c r="AA227" s="112">
        <f>ROUND(SUMIF('JUNE (물량흐름)'!$C$13:$C$502,'WIP(재공품)'!B227,'JUNE (물량흐름)'!$P$13:$P$502),0)</f>
        <v>98</v>
      </c>
      <c r="AB227" s="112">
        <f t="shared" ca="1" si="34"/>
        <v>195</v>
      </c>
      <c r="AC227" s="112">
        <f t="shared" si="35"/>
        <v>5265817</v>
      </c>
      <c r="AD227" s="381">
        <f t="shared" ca="1" si="36"/>
        <v>0</v>
      </c>
      <c r="AE227" s="381">
        <f t="shared" si="37"/>
        <v>0</v>
      </c>
      <c r="AF227" s="382"/>
      <c r="AG227" s="382">
        <v>0</v>
      </c>
      <c r="AH227" s="383">
        <f t="shared" si="38"/>
        <v>0.35155555555555551</v>
      </c>
      <c r="AJ227" s="383"/>
      <c r="AL227" s="385"/>
      <c r="AM227" s="381"/>
      <c r="AN227" s="382"/>
      <c r="AO227" s="382"/>
      <c r="AP227" s="383"/>
      <c r="AQ227" s="383"/>
    </row>
    <row r="228" spans="1:43" s="384" customFormat="1" ht="18.75" customHeight="1">
      <c r="A228" s="167">
        <v>218</v>
      </c>
      <c r="B228" s="240">
        <f>VLOOKUP(A228,'JUNE (물량흐름)'!$A$13:$C$502,3,0)</f>
        <v>100021064</v>
      </c>
      <c r="C228" s="21" t="str">
        <f>VLOOKUP(A228,'JUNE (물량흐름)'!$A$13:$C$502,2,0)</f>
        <v>ALFANI</v>
      </c>
      <c r="D228" s="212">
        <v>1.36</v>
      </c>
      <c r="E228" s="6">
        <f>VLOOKUP(B228,'Sales profit (스타일 별 매출이익)'!$D$9:$P$491,13,0)</f>
        <v>30838.000000000004</v>
      </c>
      <c r="F228" s="112">
        <f>IFERROR(VLOOKUP(B228,O.B.JUNE!$N$7:$Q$448,2,0),0)</f>
        <v>0</v>
      </c>
      <c r="G228" s="112">
        <f>IFERROR(VLOOKUP(B228,O.B.JUNE!$N$7:$Q$448,3,0),0)</f>
        <v>80</v>
      </c>
      <c r="H228" s="112">
        <f>IFERROR(VLOOKUP(B228,O.B.JUNE!$N$7:$Q$448,4,0),0)</f>
        <v>80</v>
      </c>
      <c r="I228" s="112">
        <f t="shared" si="30"/>
        <v>160</v>
      </c>
      <c r="J228" s="112">
        <f>IFERROR(VLOOKUP(B228,O.B.JUNE!$AA$7:$AG$448,7,0),0)</f>
        <v>1661402</v>
      </c>
      <c r="K228" s="112">
        <f>IFERROR(VLOOKUP(B228,O.B.JUNE!$AI$7:$AO$448,7,0),0)</f>
        <v>2434923</v>
      </c>
      <c r="L228" s="112">
        <f t="shared" si="31"/>
        <v>4096325</v>
      </c>
      <c r="M228" s="112">
        <f>ROUND(SUMIF('JUNE (물량흐름)'!$C$13:$C$502,'WIP(재공품)'!B228,'JUNE (물량흐름)'!$H$13:$H$502)+SUMIF('JUNE (물량흐름)'!$C$13:$C$502,'WIP(재공품)'!B228,'JUNE (물량흐름)'!$V$13:$V$502),0)</f>
        <v>0</v>
      </c>
      <c r="N228" s="112">
        <f>SUMIF('Direct labour(직접노무비)'!$C$12:$C$503,'WIP(재공품)'!B228,'Direct labour(직접노무비)'!$O$12:$O$503)</f>
        <v>0</v>
      </c>
      <c r="O228" s="112">
        <f>SUMIF('Overhead exp(제조경비)'!$C$12:$C$503,'WIP(재공품)'!B228,'Overhead exp(제조경비)'!$O$12:$O$503)</f>
        <v>0</v>
      </c>
      <c r="P228" s="112">
        <f t="shared" si="32"/>
        <v>0</v>
      </c>
      <c r="Q228" s="112">
        <v>0</v>
      </c>
      <c r="R228" s="112">
        <v>0</v>
      </c>
      <c r="S228" s="112">
        <f>SUMIF('JUNE (물량흐름)'!$C$13:$C$493,'WIP(재공품)'!B228,'JUNE (물량흐름)'!$T$13:$T$493)+SUMIF('JUNE (물량흐름)'!$C$13:$C$493,'WIP(재공품)'!B228,'JUNE (물량흐름)'!$U$13:$U$493)+SUMIF('JUNE (물량흐름)'!$C$13:$C$493,'WIP(재공품)'!B228,'JUNE (물량흐름)'!$V$13:$V$493)-SUMIF('JUNE (물량흐름)'!$C$13:$C$493,'WIP(재공품)'!B228,'JUNE (물량흐름)'!$Y$13:$Y$493)</f>
        <v>0</v>
      </c>
      <c r="T228" s="112">
        <f>SUMIF('JUNE (물량흐름)'!$C$13:$C$502,'WIP(재공품)'!B228,'JUNE (물량흐름)'!$Y$13:$Y$502)</f>
        <v>0</v>
      </c>
      <c r="U228" s="167">
        <f>SUMIF('Direct labour(직접노무비)'!$C$12:$C$503,'WIP(재공품)'!B228,'Direct labour(직접노무비)'!$U$12:$U$503)+SUMIF('Overhead exp(제조경비)'!$C$12:$C$503,'WIP(재공품)'!B228,'Overhead exp(제조경비)'!$U$12:$U$503)</f>
        <v>0</v>
      </c>
      <c r="V228" s="112">
        <f>SUMIF('Direct labour(직접노무비)'!$C$12:$C$503,'WIP(재공품)'!B228,'Direct labour(직접노무비)'!$Q$12:$Q$503)</f>
        <v>0</v>
      </c>
      <c r="W228" s="112">
        <f>SUMIF('Overhead exp(제조경비)'!$C$12:$C$503,'WIP(재공품)'!B228,'Overhead exp(제조경비)'!$Q$12:$Q$503)</f>
        <v>0</v>
      </c>
      <c r="X228" s="112">
        <f t="shared" si="33"/>
        <v>0</v>
      </c>
      <c r="Y228" s="112">
        <f ca="1">ROUND(SUMIF('JUNE (물량흐름)'!$C$13:$C$502,'WIP(재공품)'!B228,'JUNE (물량흐름)'!$N$13:$N$488),0)</f>
        <v>0</v>
      </c>
      <c r="Z228" s="112">
        <f>ROUND(SUMIF('JUNE (물량흐름)'!$C$13:$C$502,'WIP(재공품)'!B228,'JUNE (물량흐름)'!$O$13:$O$502),0)</f>
        <v>80</v>
      </c>
      <c r="AA228" s="112">
        <f>ROUND(SUMIF('JUNE (물량흐름)'!$C$13:$C$502,'WIP(재공품)'!B228,'JUNE (물량흐름)'!$P$13:$P$502),0)</f>
        <v>80</v>
      </c>
      <c r="AB228" s="112">
        <f t="shared" ca="1" si="34"/>
        <v>160</v>
      </c>
      <c r="AC228" s="112">
        <f t="shared" si="35"/>
        <v>4096325</v>
      </c>
      <c r="AD228" s="381">
        <f t="shared" ca="1" si="36"/>
        <v>0</v>
      </c>
      <c r="AE228" s="381">
        <f t="shared" si="37"/>
        <v>0</v>
      </c>
      <c r="AF228" s="382"/>
      <c r="AG228" s="382">
        <v>1.02</v>
      </c>
      <c r="AH228" s="383">
        <f t="shared" si="38"/>
        <v>0.34000000000000008</v>
      </c>
      <c r="AJ228" s="383"/>
      <c r="AL228" s="385"/>
      <c r="AM228" s="381"/>
      <c r="AN228" s="382"/>
      <c r="AO228" s="382"/>
      <c r="AP228" s="383"/>
      <c r="AQ228" s="383"/>
    </row>
    <row r="229" spans="1:43" s="384" customFormat="1" ht="18.75" customHeight="1">
      <c r="A229" s="167">
        <v>219</v>
      </c>
      <c r="B229" s="240">
        <f>VLOOKUP(A229,'JUNE (물량흐름)'!$A$13:$C$502,3,0)</f>
        <v>73301</v>
      </c>
      <c r="C229" s="21" t="str">
        <f>VLOOKUP(A229,'JUNE (물량흐름)'!$A$13:$C$502,2,0)</f>
        <v>ALFANI</v>
      </c>
      <c r="D229" s="212">
        <v>1.96</v>
      </c>
      <c r="E229" s="6">
        <f>VLOOKUP(B229,'Sales profit (스타일 별 매출이익)'!$D$9:$P$491,13,0)</f>
        <v>44443</v>
      </c>
      <c r="F229" s="112">
        <f>IFERROR(VLOOKUP(B229,O.B.JUNE!$N$7:$Q$448,2,0),0)</f>
        <v>0</v>
      </c>
      <c r="G229" s="112">
        <f>IFERROR(VLOOKUP(B229,O.B.JUNE!$N$7:$Q$448,3,0),0)</f>
        <v>121</v>
      </c>
      <c r="H229" s="112">
        <f>IFERROR(VLOOKUP(B229,O.B.JUNE!$N$7:$Q$448,4,0),0)</f>
        <v>350</v>
      </c>
      <c r="I229" s="112">
        <f t="shared" si="30"/>
        <v>471</v>
      </c>
      <c r="J229" s="112">
        <f>IFERROR(VLOOKUP(B229,O.B.JUNE!$AA$7:$AG$448,7,0),0)</f>
        <v>5435806</v>
      </c>
      <c r="K229" s="112">
        <f>IFERROR(VLOOKUP(B229,O.B.JUNE!$AI$7:$AO$448,7,0),0)</f>
        <v>9656801</v>
      </c>
      <c r="L229" s="112">
        <f t="shared" si="31"/>
        <v>15092607</v>
      </c>
      <c r="M229" s="112">
        <f>ROUND(SUMIF('JUNE (물량흐름)'!$C$13:$C$502,'WIP(재공품)'!B229,'JUNE (물량흐름)'!$H$13:$H$502)+SUMIF('JUNE (물량흐름)'!$C$13:$C$502,'WIP(재공품)'!B229,'JUNE (물량흐름)'!$V$13:$V$502),0)</f>
        <v>3765</v>
      </c>
      <c r="N229" s="112">
        <f>SUMIF('Direct labour(직접노무비)'!$C$12:$C$503,'WIP(재공품)'!B229,'Direct labour(직접노무비)'!$O$12:$O$503)</f>
        <v>51571432</v>
      </c>
      <c r="O229" s="112">
        <f>SUMIF('Overhead exp(제조경비)'!$C$12:$C$503,'WIP(재공품)'!B229,'Overhead exp(제조경비)'!$O$12:$O$503)</f>
        <v>100757088</v>
      </c>
      <c r="P229" s="112">
        <f t="shared" si="32"/>
        <v>152328520</v>
      </c>
      <c r="Q229" s="112">
        <v>0</v>
      </c>
      <c r="R229" s="112">
        <v>0</v>
      </c>
      <c r="S229" s="112">
        <f>SUMIF('JUNE (물량흐름)'!$C$13:$C$493,'WIP(재공품)'!B229,'JUNE (물량흐름)'!$T$13:$T$493)+SUMIF('JUNE (물량흐름)'!$C$13:$C$493,'WIP(재공품)'!B229,'JUNE (물량흐름)'!$U$13:$U$493)+SUMIF('JUNE (물량흐름)'!$C$13:$C$493,'WIP(재공품)'!B229,'JUNE (물량흐름)'!$V$13:$V$493)-SUMIF('JUNE (물량흐름)'!$C$13:$C$493,'WIP(재공품)'!B229,'JUNE (물량흐름)'!$Y$13:$Y$493)</f>
        <v>3600</v>
      </c>
      <c r="T229" s="112">
        <f>SUMIF('JUNE (물량흐름)'!$C$13:$C$502,'WIP(재공품)'!B229,'JUNE (물량흐름)'!$Y$13:$Y$502)</f>
        <v>0</v>
      </c>
      <c r="U229" s="167">
        <f>SUMIF('Direct labour(직접노무비)'!$C$12:$C$503,'WIP(재공품)'!B229,'Direct labour(직접노무비)'!$U$12:$U$503)+SUMIF('Overhead exp(제조경비)'!$C$12:$C$503,'WIP(재공품)'!B229,'Overhead exp(제조경비)'!$U$12:$U$503)</f>
        <v>0</v>
      </c>
      <c r="V229" s="112">
        <f>SUMIF('Direct labour(직접노무비)'!$C$12:$C$503,'WIP(재공품)'!B229,'Direct labour(직접노무비)'!$Q$12:$Q$503)</f>
        <v>48448078</v>
      </c>
      <c r="W229" s="112">
        <f>SUMIF('Overhead exp(제조경비)'!$C$12:$C$503,'WIP(재공품)'!B229,'Overhead exp(제조경비)'!$Q$12:$Q$503)</f>
        <v>93836166</v>
      </c>
      <c r="X229" s="112">
        <f t="shared" si="33"/>
        <v>142284244</v>
      </c>
      <c r="Y229" s="112">
        <f ca="1">ROUND(SUMIF('JUNE (물량흐름)'!$C$13:$C$502,'WIP(재공품)'!B229,'JUNE (물량흐름)'!$N$13:$N$488),0)</f>
        <v>0</v>
      </c>
      <c r="Z229" s="112">
        <f>ROUND(SUMIF('JUNE (물량흐름)'!$C$13:$C$502,'WIP(재공품)'!B229,'JUNE (물량흐름)'!$O$13:$O$502),0)</f>
        <v>54</v>
      </c>
      <c r="AA229" s="112">
        <f>ROUND(SUMIF('JUNE (물량흐름)'!$C$13:$C$502,'WIP(재공품)'!B229,'JUNE (물량흐름)'!$P$13:$P$502),0)</f>
        <v>582</v>
      </c>
      <c r="AB229" s="112">
        <f t="shared" ca="1" si="34"/>
        <v>636</v>
      </c>
      <c r="AC229" s="112">
        <f t="shared" si="35"/>
        <v>25136883</v>
      </c>
      <c r="AD229" s="381">
        <f t="shared" ca="1" si="36"/>
        <v>0</v>
      </c>
      <c r="AE229" s="381">
        <f t="shared" si="37"/>
        <v>0</v>
      </c>
      <c r="AF229" s="382"/>
      <c r="AG229" s="382">
        <v>0</v>
      </c>
      <c r="AH229" s="383">
        <f t="shared" si="38"/>
        <v>1.96</v>
      </c>
      <c r="AJ229" s="383"/>
      <c r="AL229" s="385"/>
      <c r="AM229" s="381"/>
      <c r="AN229" s="382"/>
      <c r="AO229" s="382"/>
      <c r="AP229" s="383"/>
      <c r="AQ229" s="383"/>
    </row>
    <row r="230" spans="1:43" s="384" customFormat="1" ht="18.75" customHeight="1">
      <c r="A230" s="167">
        <v>220</v>
      </c>
      <c r="B230" s="240">
        <f>VLOOKUP(A230,'JUNE (물량흐름)'!$A$13:$C$502,3,0)</f>
        <v>74902</v>
      </c>
      <c r="C230" s="21" t="str">
        <f>VLOOKUP(A230,'JUNE (물량흐름)'!$A$13:$C$502,2,0)</f>
        <v>ALFANI</v>
      </c>
      <c r="D230" s="212">
        <v>0.35</v>
      </c>
      <c r="E230" s="6">
        <f>VLOOKUP(B230,'Sales profit (스타일 별 매출이익)'!$D$9:$P$491,13,0)</f>
        <v>7936.2499999999991</v>
      </c>
      <c r="F230" s="112">
        <f>IFERROR(VLOOKUP(B230,O.B.JUNE!$N$7:$Q$448,2,0),0)</f>
        <v>47</v>
      </c>
      <c r="G230" s="112">
        <f>IFERROR(VLOOKUP(B230,O.B.JUNE!$N$7:$Q$448,3,0),0)</f>
        <v>337</v>
      </c>
      <c r="H230" s="112">
        <f>IFERROR(VLOOKUP(B230,O.B.JUNE!$N$7:$Q$448,4,0),0)</f>
        <v>1151</v>
      </c>
      <c r="I230" s="112">
        <f t="shared" si="30"/>
        <v>1535</v>
      </c>
      <c r="J230" s="112">
        <f>IFERROR(VLOOKUP(B230,O.B.JUNE!$AA$7:$AG$448,7,0),0)</f>
        <v>17013916</v>
      </c>
      <c r="K230" s="112">
        <f>IFERROR(VLOOKUP(B230,O.B.JUNE!$AI$7:$AO$448,7,0),0)</f>
        <v>26487641</v>
      </c>
      <c r="L230" s="112">
        <f t="shared" si="31"/>
        <v>43501557</v>
      </c>
      <c r="M230" s="112">
        <f>ROUND(SUMIF('JUNE (물량흐름)'!$C$13:$C$502,'WIP(재공품)'!B230,'JUNE (물량흐름)'!$H$13:$H$502)+SUMIF('JUNE (물량흐름)'!$C$13:$C$502,'WIP(재공품)'!B230,'JUNE (물량흐름)'!$V$13:$V$502),0)</f>
        <v>0</v>
      </c>
      <c r="N230" s="112">
        <f>SUMIF('Direct labour(직접노무비)'!$C$12:$C$503,'WIP(재공품)'!B230,'Direct labour(직접노무비)'!$O$12:$O$503)</f>
        <v>0</v>
      </c>
      <c r="O230" s="112">
        <f>SUMIF('Overhead exp(제조경비)'!$C$12:$C$503,'WIP(재공품)'!B230,'Overhead exp(제조경비)'!$O$12:$O$503)</f>
        <v>0</v>
      </c>
      <c r="P230" s="112">
        <f t="shared" si="32"/>
        <v>0</v>
      </c>
      <c r="Q230" s="112">
        <v>0</v>
      </c>
      <c r="R230" s="112">
        <v>0</v>
      </c>
      <c r="S230" s="112">
        <f>SUMIF('JUNE (물량흐름)'!$C$13:$C$493,'WIP(재공품)'!B230,'JUNE (물량흐름)'!$T$13:$T$493)+SUMIF('JUNE (물량흐름)'!$C$13:$C$493,'WIP(재공품)'!B230,'JUNE (물량흐름)'!$U$13:$U$493)+SUMIF('JUNE (물량흐름)'!$C$13:$C$493,'WIP(재공품)'!B230,'JUNE (물량흐름)'!$V$13:$V$493)-SUMIF('JUNE (물량흐름)'!$C$13:$C$493,'WIP(재공품)'!B230,'JUNE (물량흐름)'!$Y$13:$Y$493)</f>
        <v>0</v>
      </c>
      <c r="T230" s="112">
        <f>SUMIF('JUNE (물량흐름)'!$C$13:$C$502,'WIP(재공품)'!B230,'JUNE (물량흐름)'!$Y$13:$Y$502)</f>
        <v>0</v>
      </c>
      <c r="U230" s="167">
        <f>SUMIF('Direct labour(직접노무비)'!$C$12:$C$503,'WIP(재공품)'!B230,'Direct labour(직접노무비)'!$U$12:$U$503)+SUMIF('Overhead exp(제조경비)'!$C$12:$C$503,'WIP(재공품)'!B230,'Overhead exp(제조경비)'!$U$12:$U$503)</f>
        <v>0</v>
      </c>
      <c r="V230" s="112">
        <f>SUMIF('Direct labour(직접노무비)'!$C$12:$C$503,'WIP(재공품)'!B230,'Direct labour(직접노무비)'!$Q$12:$Q$503)</f>
        <v>0</v>
      </c>
      <c r="W230" s="112">
        <f>SUMIF('Overhead exp(제조경비)'!$C$12:$C$503,'WIP(재공품)'!B230,'Overhead exp(제조경비)'!$Q$12:$Q$503)</f>
        <v>0</v>
      </c>
      <c r="X230" s="112">
        <f t="shared" si="33"/>
        <v>0</v>
      </c>
      <c r="Y230" s="112">
        <f ca="1">ROUND(SUMIF('JUNE (물량흐름)'!$C$13:$C$502,'WIP(재공품)'!B230,'JUNE (물량흐름)'!$N$13:$N$488),0)</f>
        <v>47</v>
      </c>
      <c r="Z230" s="112">
        <f>ROUND(SUMIF('JUNE (물량흐름)'!$C$13:$C$502,'WIP(재공품)'!B230,'JUNE (물량흐름)'!$O$13:$O$502),0)</f>
        <v>337</v>
      </c>
      <c r="AA230" s="112">
        <f>ROUND(SUMIF('JUNE (물량흐름)'!$C$13:$C$502,'WIP(재공품)'!B230,'JUNE (물량흐름)'!$P$13:$P$502),0)</f>
        <v>1151</v>
      </c>
      <c r="AB230" s="112">
        <f t="shared" ca="1" si="34"/>
        <v>1535</v>
      </c>
      <c r="AC230" s="112">
        <f t="shared" si="35"/>
        <v>43501557</v>
      </c>
      <c r="AD230" s="381">
        <f t="shared" ca="1" si="36"/>
        <v>0</v>
      </c>
      <c r="AE230" s="381">
        <f t="shared" si="37"/>
        <v>0</v>
      </c>
      <c r="AF230" s="382"/>
      <c r="AG230" s="382">
        <v>0</v>
      </c>
      <c r="AH230" s="383">
        <f t="shared" si="38"/>
        <v>0.35</v>
      </c>
      <c r="AJ230" s="383"/>
      <c r="AL230" s="385"/>
      <c r="AM230" s="381"/>
      <c r="AN230" s="382"/>
      <c r="AO230" s="382"/>
      <c r="AP230" s="383"/>
      <c r="AQ230" s="383"/>
    </row>
    <row r="231" spans="1:43" s="384" customFormat="1" ht="18.75" customHeight="1">
      <c r="A231" s="167">
        <v>221</v>
      </c>
      <c r="B231" s="240">
        <f>VLOOKUP(A231,'JUNE (물량흐름)'!$A$13:$C$502,3,0)</f>
        <v>75303</v>
      </c>
      <c r="C231" s="21" t="str">
        <f>VLOOKUP(A231,'JUNE (물량흐름)'!$A$13:$C$502,2,0)</f>
        <v>ALFANI</v>
      </c>
      <c r="D231" s="212">
        <v>0.35</v>
      </c>
      <c r="E231" s="6">
        <f>VLOOKUP(B231,'Sales profit (스타일 별 매출이익)'!$D$9:$P$491,13,0)</f>
        <v>7936.2499999999991</v>
      </c>
      <c r="F231" s="112">
        <f>IFERROR(VLOOKUP(B231,O.B.JUNE!$N$7:$Q$448,2,0),0)</f>
        <v>5</v>
      </c>
      <c r="G231" s="112">
        <f>IFERROR(VLOOKUP(B231,O.B.JUNE!$N$7:$Q$448,3,0),0)</f>
        <v>11</v>
      </c>
      <c r="H231" s="112">
        <f>IFERROR(VLOOKUP(B231,O.B.JUNE!$N$7:$Q$448,4,0),0)</f>
        <v>443</v>
      </c>
      <c r="I231" s="112">
        <f t="shared" si="30"/>
        <v>459</v>
      </c>
      <c r="J231" s="112">
        <f>IFERROR(VLOOKUP(B231,O.B.JUNE!$AA$7:$AG$448,7,0),0)</f>
        <v>5709739</v>
      </c>
      <c r="K231" s="112">
        <f>IFERROR(VLOOKUP(B231,O.B.JUNE!$AI$7:$AO$448,7,0),0)</f>
        <v>8416170</v>
      </c>
      <c r="L231" s="112">
        <f t="shared" si="31"/>
        <v>14125909</v>
      </c>
      <c r="M231" s="112">
        <f>ROUND(SUMIF('JUNE (물량흐름)'!$C$13:$C$502,'WIP(재공품)'!B231,'JUNE (물량흐름)'!$H$13:$H$502)+SUMIF('JUNE (물량흐름)'!$C$13:$C$502,'WIP(재공품)'!B231,'JUNE (물량흐름)'!$V$13:$V$502),0)</f>
        <v>0</v>
      </c>
      <c r="N231" s="112">
        <f>SUMIF('Direct labour(직접노무비)'!$C$12:$C$503,'WIP(재공품)'!B231,'Direct labour(직접노무비)'!$O$12:$O$503)</f>
        <v>0</v>
      </c>
      <c r="O231" s="112">
        <f>SUMIF('Overhead exp(제조경비)'!$C$12:$C$503,'WIP(재공품)'!B231,'Overhead exp(제조경비)'!$O$12:$O$503)</f>
        <v>0</v>
      </c>
      <c r="P231" s="112">
        <f t="shared" si="32"/>
        <v>0</v>
      </c>
      <c r="Q231" s="112">
        <v>0</v>
      </c>
      <c r="R231" s="112">
        <v>0</v>
      </c>
      <c r="S231" s="112">
        <f>SUMIF('JUNE (물량흐름)'!$C$13:$C$493,'WIP(재공품)'!B231,'JUNE (물량흐름)'!$T$13:$T$493)+SUMIF('JUNE (물량흐름)'!$C$13:$C$493,'WIP(재공품)'!B231,'JUNE (물량흐름)'!$U$13:$U$493)+SUMIF('JUNE (물량흐름)'!$C$13:$C$493,'WIP(재공품)'!B231,'JUNE (물량흐름)'!$V$13:$V$493)-SUMIF('JUNE (물량흐름)'!$C$13:$C$493,'WIP(재공품)'!B231,'JUNE (물량흐름)'!$Y$13:$Y$493)</f>
        <v>0</v>
      </c>
      <c r="T231" s="112">
        <f>SUMIF('JUNE (물량흐름)'!$C$13:$C$502,'WIP(재공품)'!B231,'JUNE (물량흐름)'!$Y$13:$Y$502)</f>
        <v>0</v>
      </c>
      <c r="U231" s="167">
        <f>SUMIF('Direct labour(직접노무비)'!$C$12:$C$503,'WIP(재공품)'!B231,'Direct labour(직접노무비)'!$U$12:$U$503)+SUMIF('Overhead exp(제조경비)'!$C$12:$C$503,'WIP(재공품)'!B231,'Overhead exp(제조경비)'!$U$12:$U$503)</f>
        <v>0</v>
      </c>
      <c r="V231" s="112">
        <f>SUMIF('Direct labour(직접노무비)'!$C$12:$C$503,'WIP(재공품)'!B231,'Direct labour(직접노무비)'!$Q$12:$Q$503)</f>
        <v>0</v>
      </c>
      <c r="W231" s="112">
        <f>SUMIF('Overhead exp(제조경비)'!$C$12:$C$503,'WIP(재공품)'!B231,'Overhead exp(제조경비)'!$Q$12:$Q$503)</f>
        <v>0</v>
      </c>
      <c r="X231" s="112">
        <f t="shared" si="33"/>
        <v>0</v>
      </c>
      <c r="Y231" s="112">
        <f ca="1">ROUND(SUMIF('JUNE (물량흐름)'!$C$13:$C$502,'WIP(재공품)'!B231,'JUNE (물량흐름)'!$N$13:$N$488),0)</f>
        <v>1</v>
      </c>
      <c r="Z231" s="112">
        <f>ROUND(SUMIF('JUNE (물량흐름)'!$C$13:$C$502,'WIP(재공품)'!B231,'JUNE (물량흐름)'!$O$13:$O$502),0)</f>
        <v>313</v>
      </c>
      <c r="AA231" s="112">
        <f>ROUND(SUMIF('JUNE (물량흐름)'!$C$13:$C$502,'WIP(재공품)'!B231,'JUNE (물량흐름)'!$P$13:$P$502),0)</f>
        <v>145</v>
      </c>
      <c r="AB231" s="112">
        <f t="shared" ca="1" si="34"/>
        <v>459</v>
      </c>
      <c r="AC231" s="112">
        <f t="shared" si="35"/>
        <v>14125909</v>
      </c>
      <c r="AD231" s="381">
        <f t="shared" ca="1" si="36"/>
        <v>0</v>
      </c>
      <c r="AE231" s="381">
        <f t="shared" si="37"/>
        <v>0</v>
      </c>
      <c r="AF231" s="382"/>
      <c r="AG231" s="382">
        <v>1.5</v>
      </c>
      <c r="AH231" s="383">
        <f t="shared" si="38"/>
        <v>-1.1499999999999999</v>
      </c>
      <c r="AJ231" s="383"/>
      <c r="AL231" s="385"/>
      <c r="AM231" s="381"/>
      <c r="AN231" s="382"/>
      <c r="AO231" s="382"/>
      <c r="AP231" s="383"/>
      <c r="AQ231" s="383"/>
    </row>
    <row r="232" spans="1:43" s="384" customFormat="1" ht="18.75" customHeight="1">
      <c r="A232" s="167">
        <v>222</v>
      </c>
      <c r="B232" s="240">
        <f>VLOOKUP(A232,'JUNE (물량흐름)'!$A$13:$C$502,3,0)</f>
        <v>7999</v>
      </c>
      <c r="C232" s="21" t="str">
        <f>VLOOKUP(A232,'JUNE (물량흐름)'!$A$13:$C$502,2,0)</f>
        <v>ALFANI</v>
      </c>
      <c r="D232" s="212">
        <v>0.35</v>
      </c>
      <c r="E232" s="6">
        <f>VLOOKUP(B232,'Sales profit (스타일 별 매출이익)'!$D$9:$P$491,13,0)</f>
        <v>7936.2499999999991</v>
      </c>
      <c r="F232" s="112">
        <f>IFERROR(VLOOKUP(B232,O.B.JUNE!$N$7:$Q$448,2,0),0)</f>
        <v>0</v>
      </c>
      <c r="G232" s="112">
        <f>IFERROR(VLOOKUP(B232,O.B.JUNE!$N$7:$Q$448,3,0),0)</f>
        <v>83</v>
      </c>
      <c r="H232" s="112">
        <f>IFERROR(VLOOKUP(B232,O.B.JUNE!$N$7:$Q$448,4,0),0)</f>
        <v>59</v>
      </c>
      <c r="I232" s="112">
        <f t="shared" si="30"/>
        <v>142</v>
      </c>
      <c r="J232" s="112">
        <f>IFERROR(VLOOKUP(B232,O.B.JUNE!$AA$7:$AG$448,7,0),0)</f>
        <v>1466914</v>
      </c>
      <c r="K232" s="112">
        <f>IFERROR(VLOOKUP(B232,O.B.JUNE!$AI$7:$AO$448,7,0),0)</f>
        <v>1996252</v>
      </c>
      <c r="L232" s="112">
        <f t="shared" si="31"/>
        <v>3463166</v>
      </c>
      <c r="M232" s="112">
        <f>ROUND(SUMIF('JUNE (물량흐름)'!$C$13:$C$502,'WIP(재공품)'!B232,'JUNE (물량흐름)'!$H$13:$H$502)+SUMIF('JUNE (물량흐름)'!$C$13:$C$502,'WIP(재공품)'!B232,'JUNE (물량흐름)'!$V$13:$V$502),0)</f>
        <v>0</v>
      </c>
      <c r="N232" s="112">
        <f>SUMIF('Direct labour(직접노무비)'!$C$12:$C$503,'WIP(재공품)'!B232,'Direct labour(직접노무비)'!$O$12:$O$503)</f>
        <v>0</v>
      </c>
      <c r="O232" s="112">
        <f>SUMIF('Overhead exp(제조경비)'!$C$12:$C$503,'WIP(재공품)'!B232,'Overhead exp(제조경비)'!$O$12:$O$503)</f>
        <v>0</v>
      </c>
      <c r="P232" s="112">
        <f t="shared" si="32"/>
        <v>0</v>
      </c>
      <c r="Q232" s="112">
        <v>0</v>
      </c>
      <c r="R232" s="112">
        <v>0</v>
      </c>
      <c r="S232" s="112">
        <f>SUMIF('JUNE (물량흐름)'!$C$13:$C$493,'WIP(재공품)'!B232,'JUNE (물량흐름)'!$T$13:$T$493)+SUMIF('JUNE (물량흐름)'!$C$13:$C$493,'WIP(재공품)'!B232,'JUNE (물량흐름)'!$U$13:$U$493)+SUMIF('JUNE (물량흐름)'!$C$13:$C$493,'WIP(재공품)'!B232,'JUNE (물량흐름)'!$V$13:$V$493)-SUMIF('JUNE (물량흐름)'!$C$13:$C$493,'WIP(재공품)'!B232,'JUNE (물량흐름)'!$Y$13:$Y$493)</f>
        <v>142</v>
      </c>
      <c r="T232" s="112">
        <f>SUMIF('JUNE (물량흐름)'!$C$13:$C$502,'WIP(재공품)'!B232,'JUNE (물량흐름)'!$Y$13:$Y$502)</f>
        <v>0</v>
      </c>
      <c r="U232" s="167">
        <f>SUMIF('Direct labour(직접노무비)'!$C$12:$C$503,'WIP(재공품)'!B232,'Direct labour(직접노무비)'!$U$12:$U$503)+SUMIF('Overhead exp(제조경비)'!$C$12:$C$503,'WIP(재공품)'!B232,'Overhead exp(제조경비)'!$U$12:$U$503)</f>
        <v>0</v>
      </c>
      <c r="V232" s="112">
        <f>SUMIF('Direct labour(직접노무비)'!$C$12:$C$503,'WIP(재공품)'!B232,'Direct labour(직접노무비)'!$Q$12:$Q$503)</f>
        <v>1466914</v>
      </c>
      <c r="W232" s="112">
        <f>SUMIF('Overhead exp(제조경비)'!$C$12:$C$503,'WIP(재공품)'!B232,'Overhead exp(제조경비)'!$Q$12:$Q$503)</f>
        <v>1996252</v>
      </c>
      <c r="X232" s="112">
        <f t="shared" si="33"/>
        <v>3463166</v>
      </c>
      <c r="Y232" s="112">
        <f ca="1">ROUND(SUMIF('JUNE (물량흐름)'!$C$13:$C$502,'WIP(재공품)'!B232,'JUNE (물량흐름)'!$N$13:$N$488),0)</f>
        <v>0</v>
      </c>
      <c r="Z232" s="112">
        <f>ROUND(SUMIF('JUNE (물량흐름)'!$C$13:$C$502,'WIP(재공품)'!B232,'JUNE (물량흐름)'!$O$13:$O$502),0)</f>
        <v>0</v>
      </c>
      <c r="AA232" s="112">
        <f>ROUND(SUMIF('JUNE (물량흐름)'!$C$13:$C$502,'WIP(재공품)'!B232,'JUNE (물량흐름)'!$P$13:$P$502),0)</f>
        <v>0</v>
      </c>
      <c r="AB232" s="112">
        <f t="shared" ca="1" si="34"/>
        <v>0</v>
      </c>
      <c r="AC232" s="112">
        <f t="shared" si="35"/>
        <v>0</v>
      </c>
      <c r="AD232" s="381">
        <f t="shared" ca="1" si="36"/>
        <v>0</v>
      </c>
      <c r="AE232" s="381">
        <f t="shared" si="37"/>
        <v>0</v>
      </c>
      <c r="AF232" s="382"/>
      <c r="AG232" s="382">
        <v>0</v>
      </c>
      <c r="AH232" s="383">
        <f t="shared" si="38"/>
        <v>0.35</v>
      </c>
      <c r="AJ232" s="383"/>
      <c r="AL232" s="385"/>
      <c r="AM232" s="381"/>
      <c r="AN232" s="382"/>
      <c r="AO232" s="382"/>
      <c r="AP232" s="383"/>
      <c r="AQ232" s="383"/>
    </row>
    <row r="233" spans="1:43" s="384" customFormat="1" ht="18.75" customHeight="1">
      <c r="A233" s="167">
        <v>223</v>
      </c>
      <c r="B233" s="240">
        <f>VLOOKUP(A233,'JUNE (물량흐름)'!$A$13:$C$502,3,0)</f>
        <v>460895</v>
      </c>
      <c r="C233" s="21" t="str">
        <f>VLOOKUP(A233,'JUNE (물량흐름)'!$A$13:$C$502,2,0)</f>
        <v>ANN TAYLOR</v>
      </c>
      <c r="D233" s="212">
        <v>0.36</v>
      </c>
      <c r="E233" s="6">
        <f>VLOOKUP(B233,'Sales profit (스타일 별 매출이익)'!$D$9:$P$491,13,0)</f>
        <v>8163</v>
      </c>
      <c r="F233" s="112">
        <f>IFERROR(VLOOKUP(B233,O.B.JUNE!$N$7:$Q$448,2,0),0)</f>
        <v>0</v>
      </c>
      <c r="G233" s="112">
        <f>IFERROR(VLOOKUP(B233,O.B.JUNE!$N$7:$Q$448,3,0),0)</f>
        <v>20</v>
      </c>
      <c r="H233" s="112">
        <f>IFERROR(VLOOKUP(B233,O.B.JUNE!$N$7:$Q$448,4,0),0)</f>
        <v>0</v>
      </c>
      <c r="I233" s="112">
        <f t="shared" si="30"/>
        <v>20</v>
      </c>
      <c r="J233" s="112">
        <f>IFERROR(VLOOKUP(B233,O.B.JUNE!$AA$7:$AG$448,7,0),0)</f>
        <v>259594</v>
      </c>
      <c r="K233" s="112">
        <f>IFERROR(VLOOKUP(B233,O.B.JUNE!$AI$7:$AO$448,7,0),0)</f>
        <v>353269</v>
      </c>
      <c r="L233" s="112">
        <f t="shared" si="31"/>
        <v>612863</v>
      </c>
      <c r="M233" s="112">
        <f>ROUND(SUMIF('JUNE (물량흐름)'!$C$13:$C$502,'WIP(재공품)'!B233,'JUNE (물량흐름)'!$H$13:$H$502)+SUMIF('JUNE (물량흐름)'!$C$13:$C$502,'WIP(재공품)'!B233,'JUNE (물량흐름)'!$V$13:$V$502),0)</f>
        <v>0</v>
      </c>
      <c r="N233" s="112">
        <f>SUMIF('Direct labour(직접노무비)'!$C$12:$C$503,'WIP(재공품)'!B233,'Direct labour(직접노무비)'!$O$12:$O$503)</f>
        <v>0</v>
      </c>
      <c r="O233" s="112">
        <f>SUMIF('Overhead exp(제조경비)'!$C$12:$C$503,'WIP(재공품)'!B233,'Overhead exp(제조경비)'!$O$12:$O$503)</f>
        <v>0</v>
      </c>
      <c r="P233" s="112">
        <f t="shared" si="32"/>
        <v>0</v>
      </c>
      <c r="Q233" s="112">
        <v>0</v>
      </c>
      <c r="R233" s="112">
        <v>0</v>
      </c>
      <c r="S233" s="112">
        <f>SUMIF('JUNE (물량흐름)'!$C$13:$C$493,'WIP(재공품)'!B233,'JUNE (물량흐름)'!$T$13:$T$493)+SUMIF('JUNE (물량흐름)'!$C$13:$C$493,'WIP(재공품)'!B233,'JUNE (물량흐름)'!$U$13:$U$493)+SUMIF('JUNE (물량흐름)'!$C$13:$C$493,'WIP(재공품)'!B233,'JUNE (물량흐름)'!$V$13:$V$493)-SUMIF('JUNE (물량흐름)'!$C$13:$C$493,'WIP(재공품)'!B233,'JUNE (물량흐름)'!$Y$13:$Y$493)</f>
        <v>20</v>
      </c>
      <c r="T233" s="112">
        <f>SUMIF('JUNE (물량흐름)'!$C$13:$C$502,'WIP(재공품)'!B233,'JUNE (물량흐름)'!$Y$13:$Y$502)</f>
        <v>0</v>
      </c>
      <c r="U233" s="167">
        <f>SUMIF('Direct labour(직접노무비)'!$C$12:$C$503,'WIP(재공품)'!B233,'Direct labour(직접노무비)'!$U$12:$U$503)+SUMIF('Overhead exp(제조경비)'!$C$12:$C$503,'WIP(재공품)'!B233,'Overhead exp(제조경비)'!$U$12:$U$503)</f>
        <v>0</v>
      </c>
      <c r="V233" s="112">
        <f>SUMIF('Direct labour(직접노무비)'!$C$12:$C$503,'WIP(재공품)'!B233,'Direct labour(직접노무비)'!$Q$12:$Q$503)</f>
        <v>259594</v>
      </c>
      <c r="W233" s="112">
        <f>SUMIF('Overhead exp(제조경비)'!$C$12:$C$503,'WIP(재공품)'!B233,'Overhead exp(제조경비)'!$Q$12:$Q$503)</f>
        <v>353269</v>
      </c>
      <c r="X233" s="112">
        <f t="shared" si="33"/>
        <v>612863</v>
      </c>
      <c r="Y233" s="112">
        <f ca="1">ROUND(SUMIF('JUNE (물량흐름)'!$C$13:$C$502,'WIP(재공품)'!B233,'JUNE (물량흐름)'!$N$13:$N$488),0)</f>
        <v>0</v>
      </c>
      <c r="Z233" s="112">
        <f>ROUND(SUMIF('JUNE (물량흐름)'!$C$13:$C$502,'WIP(재공품)'!B233,'JUNE (물량흐름)'!$O$13:$O$502),0)</f>
        <v>0</v>
      </c>
      <c r="AA233" s="112">
        <f>ROUND(SUMIF('JUNE (물량흐름)'!$C$13:$C$502,'WIP(재공품)'!B233,'JUNE (물량흐름)'!$P$13:$P$502),0)</f>
        <v>0</v>
      </c>
      <c r="AB233" s="112">
        <f t="shared" ca="1" si="34"/>
        <v>0</v>
      </c>
      <c r="AC233" s="112">
        <f t="shared" si="35"/>
        <v>0</v>
      </c>
      <c r="AD233" s="381">
        <f t="shared" ca="1" si="36"/>
        <v>0</v>
      </c>
      <c r="AE233" s="381">
        <f t="shared" si="37"/>
        <v>0</v>
      </c>
      <c r="AF233" s="382"/>
      <c r="AG233" s="382">
        <v>0</v>
      </c>
      <c r="AH233" s="383">
        <f t="shared" si="38"/>
        <v>0.36</v>
      </c>
      <c r="AJ233" s="383"/>
      <c r="AL233" s="385"/>
      <c r="AM233" s="381"/>
      <c r="AN233" s="382"/>
      <c r="AO233" s="382"/>
      <c r="AP233" s="383"/>
      <c r="AQ233" s="383"/>
    </row>
    <row r="234" spans="1:43" s="384" customFormat="1" ht="18.75" customHeight="1">
      <c r="A234" s="167">
        <v>224</v>
      </c>
      <c r="B234" s="240">
        <f>VLOOKUP(A234,'JUNE (물량흐름)'!$A$13:$C$502,3,0)</f>
        <v>452546</v>
      </c>
      <c r="C234" s="21" t="str">
        <f>VLOOKUP(A234,'JUNE (물량흐름)'!$A$13:$C$502,2,0)</f>
        <v>ANN TAYLOR</v>
      </c>
      <c r="D234" s="212">
        <v>0.35</v>
      </c>
      <c r="E234" s="6">
        <f>VLOOKUP(B234,'Sales profit (스타일 별 매출이익)'!$D$9:$P$491,13,0)</f>
        <v>7936.2499999999991</v>
      </c>
      <c r="F234" s="112">
        <f>IFERROR(VLOOKUP(B234,O.B.JUNE!$N$7:$Q$448,2,0),0)</f>
        <v>37</v>
      </c>
      <c r="G234" s="112">
        <f>IFERROR(VLOOKUP(B234,O.B.JUNE!$N$7:$Q$448,3,0),0)</f>
        <v>306</v>
      </c>
      <c r="H234" s="112">
        <f>IFERROR(VLOOKUP(B234,O.B.JUNE!$N$7:$Q$448,4,0),0)</f>
        <v>226</v>
      </c>
      <c r="I234" s="112">
        <f t="shared" si="30"/>
        <v>569</v>
      </c>
      <c r="J234" s="112">
        <f>IFERROR(VLOOKUP(B234,O.B.JUNE!$AA$7:$AG$448,7,0),0)</f>
        <v>8852167</v>
      </c>
      <c r="K234" s="112">
        <f>IFERROR(VLOOKUP(B234,O.B.JUNE!$AI$7:$AO$448,7,0),0)</f>
        <v>12046483</v>
      </c>
      <c r="L234" s="112">
        <f t="shared" si="31"/>
        <v>20898650</v>
      </c>
      <c r="M234" s="112">
        <f>ROUND(SUMIF('JUNE (물량흐름)'!$C$13:$C$502,'WIP(재공품)'!B234,'JUNE (물량흐름)'!$H$13:$H$502)+SUMIF('JUNE (물량흐름)'!$C$13:$C$502,'WIP(재공품)'!B234,'JUNE (물량흐름)'!$V$13:$V$502),0)</f>
        <v>0</v>
      </c>
      <c r="N234" s="112">
        <f>SUMIF('Direct labour(직접노무비)'!$C$12:$C$503,'WIP(재공품)'!B234,'Direct labour(직접노무비)'!$O$12:$O$503)</f>
        <v>0</v>
      </c>
      <c r="O234" s="112">
        <f>SUMIF('Overhead exp(제조경비)'!$C$12:$C$503,'WIP(재공품)'!B234,'Overhead exp(제조경비)'!$O$12:$O$503)</f>
        <v>0</v>
      </c>
      <c r="P234" s="112">
        <f t="shared" si="32"/>
        <v>0</v>
      </c>
      <c r="Q234" s="112">
        <v>0</v>
      </c>
      <c r="R234" s="112">
        <v>0</v>
      </c>
      <c r="S234" s="112">
        <f>SUMIF('JUNE (물량흐름)'!$C$13:$C$493,'WIP(재공품)'!B234,'JUNE (물량흐름)'!$T$13:$T$493)+SUMIF('JUNE (물량흐름)'!$C$13:$C$493,'WIP(재공품)'!B234,'JUNE (물량흐름)'!$U$13:$U$493)+SUMIF('JUNE (물량흐름)'!$C$13:$C$493,'WIP(재공품)'!B234,'JUNE (물량흐름)'!$V$13:$V$493)-SUMIF('JUNE (물량흐름)'!$C$13:$C$493,'WIP(재공품)'!B234,'JUNE (물량흐름)'!$Y$13:$Y$493)</f>
        <v>569</v>
      </c>
      <c r="T234" s="112">
        <f>SUMIF('JUNE (물량흐름)'!$C$13:$C$502,'WIP(재공품)'!B234,'JUNE (물량흐름)'!$Y$13:$Y$502)</f>
        <v>0</v>
      </c>
      <c r="U234" s="167">
        <f>SUMIF('Direct labour(직접노무비)'!$C$12:$C$503,'WIP(재공품)'!B234,'Direct labour(직접노무비)'!$U$12:$U$503)+SUMIF('Overhead exp(제조경비)'!$C$12:$C$503,'WIP(재공품)'!B234,'Overhead exp(제조경비)'!$U$12:$U$503)</f>
        <v>0</v>
      </c>
      <c r="V234" s="112">
        <f>SUMIF('Direct labour(직접노무비)'!$C$12:$C$503,'WIP(재공품)'!B234,'Direct labour(직접노무비)'!$Q$12:$Q$503)</f>
        <v>8852167</v>
      </c>
      <c r="W234" s="112">
        <f>SUMIF('Overhead exp(제조경비)'!$C$12:$C$503,'WIP(재공품)'!B234,'Overhead exp(제조경비)'!$Q$12:$Q$503)</f>
        <v>12046483</v>
      </c>
      <c r="X234" s="112">
        <f t="shared" si="33"/>
        <v>20898650</v>
      </c>
      <c r="Y234" s="112">
        <f ca="1">ROUND(SUMIF('JUNE (물량흐름)'!$C$13:$C$502,'WIP(재공품)'!B234,'JUNE (물량흐름)'!$N$13:$N$488),0)</f>
        <v>0</v>
      </c>
      <c r="Z234" s="112">
        <f>ROUND(SUMIF('JUNE (물량흐름)'!$C$13:$C$502,'WIP(재공품)'!B234,'JUNE (물량흐름)'!$O$13:$O$502),0)</f>
        <v>0</v>
      </c>
      <c r="AA234" s="112">
        <f>ROUND(SUMIF('JUNE (물량흐름)'!$C$13:$C$502,'WIP(재공품)'!B234,'JUNE (물량흐름)'!$P$13:$P$502),0)</f>
        <v>0</v>
      </c>
      <c r="AB234" s="112">
        <f t="shared" ca="1" si="34"/>
        <v>0</v>
      </c>
      <c r="AC234" s="112">
        <f t="shared" si="35"/>
        <v>0</v>
      </c>
      <c r="AD234" s="381">
        <f t="shared" ca="1" si="36"/>
        <v>0</v>
      </c>
      <c r="AE234" s="381">
        <f t="shared" si="37"/>
        <v>0</v>
      </c>
      <c r="AF234" s="382"/>
      <c r="AG234" s="382">
        <v>0</v>
      </c>
      <c r="AH234" s="383">
        <f t="shared" si="38"/>
        <v>0.35</v>
      </c>
      <c r="AJ234" s="383"/>
      <c r="AL234" s="385"/>
      <c r="AM234" s="381"/>
      <c r="AN234" s="382"/>
      <c r="AO234" s="382"/>
      <c r="AP234" s="383"/>
      <c r="AQ234" s="383"/>
    </row>
    <row r="235" spans="1:43" s="384" customFormat="1" ht="18.75" customHeight="1">
      <c r="A235" s="167">
        <v>225</v>
      </c>
      <c r="B235" s="240">
        <f>VLOOKUP(A235,'JUNE (물량흐름)'!$A$13:$C$502,3,0)</f>
        <v>457802</v>
      </c>
      <c r="C235" s="21" t="str">
        <f>VLOOKUP(A235,'JUNE (물량흐름)'!$A$13:$C$502,2,0)</f>
        <v>ANN TAYLOR</v>
      </c>
      <c r="D235" s="212">
        <v>0.35</v>
      </c>
      <c r="E235" s="6">
        <f>VLOOKUP(B235,'Sales profit (스타일 별 매출이익)'!$D$9:$P$491,13,0)</f>
        <v>7936.2499999999991</v>
      </c>
      <c r="F235" s="112">
        <f>IFERROR(VLOOKUP(B235,O.B.JUNE!$N$7:$Q$448,2,0),0)</f>
        <v>65</v>
      </c>
      <c r="G235" s="112">
        <f>IFERROR(VLOOKUP(B235,O.B.JUNE!$N$7:$Q$448,3,0),0)</f>
        <v>658</v>
      </c>
      <c r="H235" s="112">
        <f>IFERROR(VLOOKUP(B235,O.B.JUNE!$N$7:$Q$448,4,0),0)</f>
        <v>975</v>
      </c>
      <c r="I235" s="112">
        <f t="shared" si="30"/>
        <v>1698</v>
      </c>
      <c r="J235" s="112">
        <f>IFERROR(VLOOKUP(B235,O.B.JUNE!$AA$7:$AG$448,7,0),0)</f>
        <v>12021019</v>
      </c>
      <c r="K235" s="112">
        <f>IFERROR(VLOOKUP(B235,O.B.JUNE!$AI$7:$AO$448,7,0),0)</f>
        <v>16358818</v>
      </c>
      <c r="L235" s="112">
        <f t="shared" si="31"/>
        <v>28379837</v>
      </c>
      <c r="M235" s="112">
        <f>ROUND(SUMIF('JUNE (물량흐름)'!$C$13:$C$502,'WIP(재공품)'!B235,'JUNE (물량흐름)'!$H$13:$H$502)+SUMIF('JUNE (물량흐름)'!$C$13:$C$502,'WIP(재공품)'!B235,'JUNE (물량흐름)'!$V$13:$V$502),0)</f>
        <v>0</v>
      </c>
      <c r="N235" s="112">
        <f>SUMIF('Direct labour(직접노무비)'!$C$12:$C$503,'WIP(재공품)'!B235,'Direct labour(직접노무비)'!$O$12:$O$503)</f>
        <v>0</v>
      </c>
      <c r="O235" s="112">
        <f>SUMIF('Overhead exp(제조경비)'!$C$12:$C$503,'WIP(재공품)'!B235,'Overhead exp(제조경비)'!$O$12:$O$503)</f>
        <v>0</v>
      </c>
      <c r="P235" s="112">
        <f t="shared" si="32"/>
        <v>0</v>
      </c>
      <c r="Q235" s="112">
        <v>0</v>
      </c>
      <c r="R235" s="112">
        <v>0</v>
      </c>
      <c r="S235" s="112">
        <f>SUMIF('JUNE (물량흐름)'!$C$13:$C$493,'WIP(재공품)'!B235,'JUNE (물량흐름)'!$T$13:$T$493)+SUMIF('JUNE (물량흐름)'!$C$13:$C$493,'WIP(재공품)'!B235,'JUNE (물량흐름)'!$U$13:$U$493)+SUMIF('JUNE (물량흐름)'!$C$13:$C$493,'WIP(재공품)'!B235,'JUNE (물량흐름)'!$V$13:$V$493)-SUMIF('JUNE (물량흐름)'!$C$13:$C$493,'WIP(재공품)'!B235,'JUNE (물량흐름)'!$Y$13:$Y$493)</f>
        <v>0</v>
      </c>
      <c r="T235" s="112">
        <f>SUMIF('JUNE (물량흐름)'!$C$13:$C$502,'WIP(재공품)'!B235,'JUNE (물량흐름)'!$Y$13:$Y$502)</f>
        <v>0</v>
      </c>
      <c r="U235" s="167">
        <f>SUMIF('Direct labour(직접노무비)'!$C$12:$C$503,'WIP(재공품)'!B235,'Direct labour(직접노무비)'!$U$12:$U$503)+SUMIF('Overhead exp(제조경비)'!$C$12:$C$503,'WIP(재공품)'!B235,'Overhead exp(제조경비)'!$U$12:$U$503)</f>
        <v>0</v>
      </c>
      <c r="V235" s="112">
        <f>SUMIF('Direct labour(직접노무비)'!$C$12:$C$503,'WIP(재공품)'!B235,'Direct labour(직접노무비)'!$Q$12:$Q$503)</f>
        <v>0</v>
      </c>
      <c r="W235" s="112">
        <f>SUMIF('Overhead exp(제조경비)'!$C$12:$C$503,'WIP(재공품)'!B235,'Overhead exp(제조경비)'!$Q$12:$Q$503)</f>
        <v>0</v>
      </c>
      <c r="X235" s="112">
        <f t="shared" si="33"/>
        <v>0</v>
      </c>
      <c r="Y235" s="112">
        <f ca="1">ROUND(SUMIF('JUNE (물량흐름)'!$C$13:$C$502,'WIP(재공품)'!B235,'JUNE (물량흐름)'!$N$13:$N$488),0)</f>
        <v>65</v>
      </c>
      <c r="Z235" s="112">
        <f>ROUND(SUMIF('JUNE (물량흐름)'!$C$13:$C$502,'WIP(재공품)'!B235,'JUNE (물량흐름)'!$O$13:$O$502),0)</f>
        <v>658</v>
      </c>
      <c r="AA235" s="112">
        <f>ROUND(SUMIF('JUNE (물량흐름)'!$C$13:$C$502,'WIP(재공품)'!B235,'JUNE (물량흐름)'!$P$13:$P$502),0)</f>
        <v>975</v>
      </c>
      <c r="AB235" s="112">
        <f t="shared" ca="1" si="34"/>
        <v>1698</v>
      </c>
      <c r="AC235" s="112">
        <f t="shared" si="35"/>
        <v>28379837</v>
      </c>
      <c r="AD235" s="381">
        <f t="shared" ca="1" si="36"/>
        <v>0</v>
      </c>
      <c r="AE235" s="381">
        <f t="shared" si="37"/>
        <v>0</v>
      </c>
      <c r="AF235" s="382"/>
      <c r="AG235" s="382">
        <v>0</v>
      </c>
      <c r="AH235" s="383">
        <f t="shared" si="38"/>
        <v>0.35</v>
      </c>
      <c r="AJ235" s="383"/>
      <c r="AL235" s="385"/>
      <c r="AM235" s="381"/>
      <c r="AN235" s="382"/>
      <c r="AO235" s="382"/>
      <c r="AP235" s="383"/>
      <c r="AQ235" s="383"/>
    </row>
    <row r="236" spans="1:43" s="384" customFormat="1" ht="18.75" customHeight="1">
      <c r="A236" s="167">
        <v>226</v>
      </c>
      <c r="B236" s="240">
        <f>VLOOKUP(A236,'JUNE (물량흐름)'!$A$13:$C$502,3,0)</f>
        <v>457814</v>
      </c>
      <c r="C236" s="21" t="str">
        <f>VLOOKUP(A236,'JUNE (물량흐름)'!$A$13:$C$502,2,0)</f>
        <v>ANN TAYLOR</v>
      </c>
      <c r="D236" s="212">
        <v>0.35</v>
      </c>
      <c r="E236" s="6">
        <f>VLOOKUP(B236,'Sales profit (스타일 별 매출이익)'!$D$9:$P$491,13,0)</f>
        <v>7936.2499999999991</v>
      </c>
      <c r="F236" s="112">
        <f>IFERROR(VLOOKUP(B236,O.B.JUNE!$N$7:$Q$448,2,0),0)</f>
        <v>0</v>
      </c>
      <c r="G236" s="112">
        <f>IFERROR(VLOOKUP(B236,O.B.JUNE!$N$7:$Q$448,3,0),0)</f>
        <v>209</v>
      </c>
      <c r="H236" s="112">
        <f>IFERROR(VLOOKUP(B236,O.B.JUNE!$N$7:$Q$448,4,0),0)</f>
        <v>146</v>
      </c>
      <c r="I236" s="112">
        <f t="shared" si="30"/>
        <v>355</v>
      </c>
      <c r="J236" s="112">
        <f>IFERROR(VLOOKUP(B236,O.B.JUNE!$AA$7:$AG$448,7,0),0)</f>
        <v>3551498</v>
      </c>
      <c r="K236" s="112">
        <f>IFERROR(VLOOKUP(B236,O.B.JUNE!$AI$7:$AO$448,7,0),0)</f>
        <v>4833060</v>
      </c>
      <c r="L236" s="112">
        <f t="shared" si="31"/>
        <v>8384558</v>
      </c>
      <c r="M236" s="112">
        <f>ROUND(SUMIF('JUNE (물량흐름)'!$C$13:$C$502,'WIP(재공품)'!B236,'JUNE (물량흐름)'!$H$13:$H$502)+SUMIF('JUNE (물량흐름)'!$C$13:$C$502,'WIP(재공품)'!B236,'JUNE (물량흐름)'!$V$13:$V$502),0)</f>
        <v>0</v>
      </c>
      <c r="N236" s="112">
        <f>SUMIF('Direct labour(직접노무비)'!$C$12:$C$503,'WIP(재공품)'!B236,'Direct labour(직접노무비)'!$O$12:$O$503)</f>
        <v>0</v>
      </c>
      <c r="O236" s="112">
        <f>SUMIF('Overhead exp(제조경비)'!$C$12:$C$503,'WIP(재공품)'!B236,'Overhead exp(제조경비)'!$O$12:$O$503)</f>
        <v>0</v>
      </c>
      <c r="P236" s="112">
        <f t="shared" si="32"/>
        <v>0</v>
      </c>
      <c r="Q236" s="112">
        <v>0</v>
      </c>
      <c r="R236" s="112">
        <v>0</v>
      </c>
      <c r="S236" s="112">
        <f>SUMIF('JUNE (물량흐름)'!$C$13:$C$493,'WIP(재공품)'!B236,'JUNE (물량흐름)'!$T$13:$T$493)+SUMIF('JUNE (물량흐름)'!$C$13:$C$493,'WIP(재공품)'!B236,'JUNE (물량흐름)'!$U$13:$U$493)+SUMIF('JUNE (물량흐름)'!$C$13:$C$493,'WIP(재공품)'!B236,'JUNE (물량흐름)'!$V$13:$V$493)-SUMIF('JUNE (물량흐름)'!$C$13:$C$493,'WIP(재공품)'!B236,'JUNE (물량흐름)'!$Y$13:$Y$493)</f>
        <v>0</v>
      </c>
      <c r="T236" s="112">
        <f>SUMIF('JUNE (물량흐름)'!$C$13:$C$502,'WIP(재공품)'!B236,'JUNE (물량흐름)'!$Y$13:$Y$502)</f>
        <v>0</v>
      </c>
      <c r="U236" s="167">
        <f>SUMIF('Direct labour(직접노무비)'!$C$12:$C$503,'WIP(재공품)'!B236,'Direct labour(직접노무비)'!$U$12:$U$503)+SUMIF('Overhead exp(제조경비)'!$C$12:$C$503,'WIP(재공품)'!B236,'Overhead exp(제조경비)'!$U$12:$U$503)</f>
        <v>0</v>
      </c>
      <c r="V236" s="112">
        <f>SUMIF('Direct labour(직접노무비)'!$C$12:$C$503,'WIP(재공품)'!B236,'Direct labour(직접노무비)'!$Q$12:$Q$503)</f>
        <v>0</v>
      </c>
      <c r="W236" s="112">
        <f>SUMIF('Overhead exp(제조경비)'!$C$12:$C$503,'WIP(재공품)'!B236,'Overhead exp(제조경비)'!$Q$12:$Q$503)</f>
        <v>0</v>
      </c>
      <c r="X236" s="112">
        <f t="shared" si="33"/>
        <v>0</v>
      </c>
      <c r="Y236" s="112">
        <f ca="1">ROUND(SUMIF('JUNE (물량흐름)'!$C$13:$C$502,'WIP(재공품)'!B236,'JUNE (물량흐름)'!$N$13:$N$488),0)</f>
        <v>0</v>
      </c>
      <c r="Z236" s="112">
        <f>ROUND(SUMIF('JUNE (물량흐름)'!$C$13:$C$502,'WIP(재공품)'!B236,'JUNE (물량흐름)'!$O$13:$O$502),0)</f>
        <v>209</v>
      </c>
      <c r="AA236" s="112">
        <f>ROUND(SUMIF('JUNE (물량흐름)'!$C$13:$C$502,'WIP(재공품)'!B236,'JUNE (물량흐름)'!$P$13:$P$502),0)</f>
        <v>146</v>
      </c>
      <c r="AB236" s="112">
        <f t="shared" ca="1" si="34"/>
        <v>355</v>
      </c>
      <c r="AC236" s="112">
        <f t="shared" si="35"/>
        <v>8384558</v>
      </c>
      <c r="AD236" s="381">
        <f t="shared" ca="1" si="36"/>
        <v>0</v>
      </c>
      <c r="AE236" s="381">
        <f t="shared" si="37"/>
        <v>0</v>
      </c>
      <c r="AF236" s="382"/>
      <c r="AG236" s="382">
        <v>0</v>
      </c>
      <c r="AH236" s="383">
        <f t="shared" si="38"/>
        <v>0.35</v>
      </c>
      <c r="AJ236" s="383"/>
      <c r="AL236" s="385"/>
      <c r="AM236" s="381"/>
      <c r="AN236" s="382"/>
      <c r="AO236" s="382"/>
      <c r="AP236" s="383"/>
      <c r="AQ236" s="383"/>
    </row>
    <row r="237" spans="1:43" s="384" customFormat="1" ht="18.75" customHeight="1">
      <c r="A237" s="167">
        <v>227</v>
      </c>
      <c r="B237" s="240">
        <f>VLOOKUP(A237,'JUNE (물량흐름)'!$A$13:$C$502,3,0)</f>
        <v>457815</v>
      </c>
      <c r="C237" s="21" t="str">
        <f>VLOOKUP(A237,'JUNE (물량흐름)'!$A$13:$C$502,2,0)</f>
        <v>ANN TAYLOR</v>
      </c>
      <c r="D237" s="212">
        <v>0.35</v>
      </c>
      <c r="E237" s="6">
        <f>VLOOKUP(B237,'Sales profit (스타일 별 매출이익)'!$D$9:$P$491,13,0)</f>
        <v>7936.2499999999991</v>
      </c>
      <c r="F237" s="112">
        <f>IFERROR(VLOOKUP(B237,O.B.JUNE!$N$7:$Q$448,2,0),0)</f>
        <v>140</v>
      </c>
      <c r="G237" s="112">
        <f>IFERROR(VLOOKUP(B237,O.B.JUNE!$N$7:$Q$448,3,0),0)</f>
        <v>52</v>
      </c>
      <c r="H237" s="112">
        <f>IFERROR(VLOOKUP(B237,O.B.JUNE!$N$7:$Q$448,4,0),0)</f>
        <v>17</v>
      </c>
      <c r="I237" s="112">
        <f t="shared" si="30"/>
        <v>209</v>
      </c>
      <c r="J237" s="112">
        <f>IFERROR(VLOOKUP(B237,O.B.JUNE!$AA$7:$AG$448,7,0),0)</f>
        <v>2448833</v>
      </c>
      <c r="K237" s="112">
        <f>IFERROR(VLOOKUP(B237,O.B.JUNE!$AI$7:$AO$448,7,0),0)</f>
        <v>3332498</v>
      </c>
      <c r="L237" s="112">
        <f t="shared" si="31"/>
        <v>5781331</v>
      </c>
      <c r="M237" s="112">
        <f>ROUND(SUMIF('JUNE (물량흐름)'!$C$13:$C$502,'WIP(재공품)'!B237,'JUNE (물량흐름)'!$H$13:$H$502)+SUMIF('JUNE (물량흐름)'!$C$13:$C$502,'WIP(재공품)'!B237,'JUNE (물량흐름)'!$V$13:$V$502),0)</f>
        <v>0</v>
      </c>
      <c r="N237" s="112">
        <f>SUMIF('Direct labour(직접노무비)'!$C$12:$C$503,'WIP(재공품)'!B237,'Direct labour(직접노무비)'!$O$12:$O$503)</f>
        <v>0</v>
      </c>
      <c r="O237" s="112">
        <f>SUMIF('Overhead exp(제조경비)'!$C$12:$C$503,'WIP(재공품)'!B237,'Overhead exp(제조경비)'!$O$12:$O$503)</f>
        <v>0</v>
      </c>
      <c r="P237" s="112">
        <f t="shared" si="32"/>
        <v>0</v>
      </c>
      <c r="Q237" s="112">
        <v>0</v>
      </c>
      <c r="R237" s="112">
        <v>0</v>
      </c>
      <c r="S237" s="112">
        <f>SUMIF('JUNE (물량흐름)'!$C$13:$C$493,'WIP(재공품)'!B237,'JUNE (물량흐름)'!$T$13:$T$493)+SUMIF('JUNE (물량흐름)'!$C$13:$C$493,'WIP(재공품)'!B237,'JUNE (물량흐름)'!$U$13:$U$493)+SUMIF('JUNE (물량흐름)'!$C$13:$C$493,'WIP(재공품)'!B237,'JUNE (물량흐름)'!$V$13:$V$493)-SUMIF('JUNE (물량흐름)'!$C$13:$C$493,'WIP(재공품)'!B237,'JUNE (물량흐름)'!$Y$13:$Y$493)</f>
        <v>0</v>
      </c>
      <c r="T237" s="112">
        <f>SUMIF('JUNE (물량흐름)'!$C$13:$C$502,'WIP(재공품)'!B237,'JUNE (물량흐름)'!$Y$13:$Y$502)</f>
        <v>0</v>
      </c>
      <c r="U237" s="167">
        <f>SUMIF('Direct labour(직접노무비)'!$C$12:$C$503,'WIP(재공품)'!B237,'Direct labour(직접노무비)'!$U$12:$U$503)+SUMIF('Overhead exp(제조경비)'!$C$12:$C$503,'WIP(재공품)'!B237,'Overhead exp(제조경비)'!$U$12:$U$503)</f>
        <v>0</v>
      </c>
      <c r="V237" s="112">
        <f>SUMIF('Direct labour(직접노무비)'!$C$12:$C$503,'WIP(재공품)'!B237,'Direct labour(직접노무비)'!$Q$12:$Q$503)</f>
        <v>0</v>
      </c>
      <c r="W237" s="112">
        <f>SUMIF('Overhead exp(제조경비)'!$C$12:$C$503,'WIP(재공품)'!B237,'Overhead exp(제조경비)'!$Q$12:$Q$503)</f>
        <v>0</v>
      </c>
      <c r="X237" s="112">
        <f t="shared" si="33"/>
        <v>0</v>
      </c>
      <c r="Y237" s="112">
        <f ca="1">ROUND(SUMIF('JUNE (물량흐름)'!$C$13:$C$502,'WIP(재공품)'!B237,'JUNE (물량흐름)'!$N$13:$N$488),0)</f>
        <v>140</v>
      </c>
      <c r="Z237" s="112">
        <f>ROUND(SUMIF('JUNE (물량흐름)'!$C$13:$C$502,'WIP(재공품)'!B237,'JUNE (물량흐름)'!$O$13:$O$502),0)</f>
        <v>52</v>
      </c>
      <c r="AA237" s="112">
        <f>ROUND(SUMIF('JUNE (물량흐름)'!$C$13:$C$502,'WIP(재공품)'!B237,'JUNE (물량흐름)'!$P$13:$P$502),0)</f>
        <v>17</v>
      </c>
      <c r="AB237" s="112">
        <f t="shared" ca="1" si="34"/>
        <v>209</v>
      </c>
      <c r="AC237" s="112">
        <f t="shared" si="35"/>
        <v>5781331</v>
      </c>
      <c r="AD237" s="381">
        <f t="shared" ca="1" si="36"/>
        <v>0</v>
      </c>
      <c r="AE237" s="381">
        <f t="shared" si="37"/>
        <v>0</v>
      </c>
      <c r="AF237" s="382"/>
      <c r="AG237" s="382">
        <v>0</v>
      </c>
      <c r="AH237" s="383">
        <f t="shared" si="38"/>
        <v>0.35</v>
      </c>
      <c r="AJ237" s="383"/>
      <c r="AL237" s="385"/>
      <c r="AM237" s="381"/>
      <c r="AN237" s="382"/>
      <c r="AO237" s="382"/>
      <c r="AP237" s="383"/>
      <c r="AQ237" s="383"/>
    </row>
    <row r="238" spans="1:43" s="384" customFormat="1" ht="18.75" customHeight="1">
      <c r="A238" s="167">
        <v>228</v>
      </c>
      <c r="B238" s="240">
        <f>VLOOKUP(A238,'JUNE (물량흐름)'!$A$13:$C$502,3,0)</f>
        <v>459065</v>
      </c>
      <c r="C238" s="21" t="str">
        <f>VLOOKUP(A238,'JUNE (물량흐름)'!$A$13:$C$502,2,0)</f>
        <v>ANN TAYLOR</v>
      </c>
      <c r="D238" s="212">
        <v>0.35</v>
      </c>
      <c r="E238" s="6">
        <f>VLOOKUP(B238,'Sales profit (스타일 별 매출이익)'!$D$9:$P$491,13,0)</f>
        <v>7936.2499999999991</v>
      </c>
      <c r="F238" s="112">
        <f>IFERROR(VLOOKUP(B238,O.B.JUNE!$N$7:$Q$448,2,0),0)</f>
        <v>0</v>
      </c>
      <c r="G238" s="112">
        <f>IFERROR(VLOOKUP(B238,O.B.JUNE!$N$7:$Q$448,3,0),0)</f>
        <v>123</v>
      </c>
      <c r="H238" s="112">
        <f>IFERROR(VLOOKUP(B238,O.B.JUNE!$N$7:$Q$448,4,0),0)</f>
        <v>30</v>
      </c>
      <c r="I238" s="112">
        <f t="shared" si="30"/>
        <v>153</v>
      </c>
      <c r="J238" s="112">
        <f>IFERROR(VLOOKUP(B238,O.B.JUNE!$AA$7:$AG$448,7,0),0)</f>
        <v>1133974</v>
      </c>
      <c r="K238" s="112">
        <f>IFERROR(VLOOKUP(B238,O.B.JUNE!$AI$7:$AO$448,7,0),0)</f>
        <v>1543170</v>
      </c>
      <c r="L238" s="112">
        <f t="shared" si="31"/>
        <v>2677144</v>
      </c>
      <c r="M238" s="112">
        <f>ROUND(SUMIF('JUNE (물량흐름)'!$C$13:$C$502,'WIP(재공품)'!B238,'JUNE (물량흐름)'!$H$13:$H$502)+SUMIF('JUNE (물량흐름)'!$C$13:$C$502,'WIP(재공품)'!B238,'JUNE (물량흐름)'!$V$13:$V$502),0)</f>
        <v>0</v>
      </c>
      <c r="N238" s="112">
        <f>SUMIF('Direct labour(직접노무비)'!$C$12:$C$503,'WIP(재공품)'!B238,'Direct labour(직접노무비)'!$O$12:$O$503)</f>
        <v>0</v>
      </c>
      <c r="O238" s="112">
        <f>SUMIF('Overhead exp(제조경비)'!$C$12:$C$503,'WIP(재공품)'!B238,'Overhead exp(제조경비)'!$O$12:$O$503)</f>
        <v>0</v>
      </c>
      <c r="P238" s="112">
        <f t="shared" si="32"/>
        <v>0</v>
      </c>
      <c r="Q238" s="112">
        <v>0</v>
      </c>
      <c r="R238" s="112">
        <v>0</v>
      </c>
      <c r="S238" s="112">
        <f>SUMIF('JUNE (물량흐름)'!$C$13:$C$493,'WIP(재공품)'!B238,'JUNE (물량흐름)'!$T$13:$T$493)+SUMIF('JUNE (물량흐름)'!$C$13:$C$493,'WIP(재공품)'!B238,'JUNE (물량흐름)'!$U$13:$U$493)+SUMIF('JUNE (물량흐름)'!$C$13:$C$493,'WIP(재공품)'!B238,'JUNE (물량흐름)'!$V$13:$V$493)-SUMIF('JUNE (물량흐름)'!$C$13:$C$493,'WIP(재공품)'!B238,'JUNE (물량흐름)'!$Y$13:$Y$493)</f>
        <v>0</v>
      </c>
      <c r="T238" s="112">
        <f>SUMIF('JUNE (물량흐름)'!$C$13:$C$502,'WIP(재공품)'!B238,'JUNE (물량흐름)'!$Y$13:$Y$502)</f>
        <v>0</v>
      </c>
      <c r="U238" s="167">
        <f>SUMIF('Direct labour(직접노무비)'!$C$12:$C$503,'WIP(재공품)'!B238,'Direct labour(직접노무비)'!$U$12:$U$503)+SUMIF('Overhead exp(제조경비)'!$C$12:$C$503,'WIP(재공품)'!B238,'Overhead exp(제조경비)'!$U$12:$U$503)</f>
        <v>0</v>
      </c>
      <c r="V238" s="112">
        <f>SUMIF('Direct labour(직접노무비)'!$C$12:$C$503,'WIP(재공품)'!B238,'Direct labour(직접노무비)'!$Q$12:$Q$503)</f>
        <v>0</v>
      </c>
      <c r="W238" s="112">
        <f>SUMIF('Overhead exp(제조경비)'!$C$12:$C$503,'WIP(재공품)'!B238,'Overhead exp(제조경비)'!$Q$12:$Q$503)</f>
        <v>0</v>
      </c>
      <c r="X238" s="112">
        <f t="shared" si="33"/>
        <v>0</v>
      </c>
      <c r="Y238" s="112">
        <f ca="1">ROUND(SUMIF('JUNE (물량흐름)'!$C$13:$C$502,'WIP(재공품)'!B238,'JUNE (물량흐름)'!$N$13:$N$488),0)</f>
        <v>0</v>
      </c>
      <c r="Z238" s="112">
        <f>ROUND(SUMIF('JUNE (물량흐름)'!$C$13:$C$502,'WIP(재공품)'!B238,'JUNE (물량흐름)'!$O$13:$O$502),0)</f>
        <v>123</v>
      </c>
      <c r="AA238" s="112">
        <f>ROUND(SUMIF('JUNE (물량흐름)'!$C$13:$C$502,'WIP(재공품)'!B238,'JUNE (물량흐름)'!$P$13:$P$502),0)</f>
        <v>30</v>
      </c>
      <c r="AB238" s="112">
        <f t="shared" ca="1" si="34"/>
        <v>153</v>
      </c>
      <c r="AC238" s="112">
        <f t="shared" si="35"/>
        <v>2677144</v>
      </c>
      <c r="AD238" s="381">
        <f t="shared" ca="1" si="36"/>
        <v>0</v>
      </c>
      <c r="AE238" s="381">
        <f t="shared" si="37"/>
        <v>0</v>
      </c>
      <c r="AF238" s="382"/>
      <c r="AG238" s="382">
        <v>0.3</v>
      </c>
      <c r="AH238" s="383">
        <f t="shared" si="38"/>
        <v>4.9999999999999989E-2</v>
      </c>
      <c r="AJ238" s="383"/>
      <c r="AL238" s="385"/>
      <c r="AM238" s="381"/>
      <c r="AN238" s="382"/>
      <c r="AO238" s="382"/>
      <c r="AP238" s="383"/>
      <c r="AQ238" s="383"/>
    </row>
    <row r="239" spans="1:43" s="384" customFormat="1" ht="18.75" customHeight="1">
      <c r="A239" s="167">
        <v>229</v>
      </c>
      <c r="B239" s="240">
        <f>VLOOKUP(A239,'JUNE (물량흐름)'!$A$13:$C$502,3,0)</f>
        <v>460586</v>
      </c>
      <c r="C239" s="21" t="str">
        <f>VLOOKUP(A239,'JUNE (물량흐름)'!$A$13:$C$502,2,0)</f>
        <v>ANN TAYLOR</v>
      </c>
      <c r="D239" s="212">
        <v>0.36</v>
      </c>
      <c r="E239" s="6">
        <f>VLOOKUP(B239,'Sales profit (스타일 별 매출이익)'!$D$9:$P$491,13,0)</f>
        <v>8163</v>
      </c>
      <c r="F239" s="112">
        <f>IFERROR(VLOOKUP(B239,O.B.JUNE!$N$7:$Q$448,2,0),0)</f>
        <v>116</v>
      </c>
      <c r="G239" s="112">
        <f>IFERROR(VLOOKUP(B239,O.B.JUNE!$N$7:$Q$448,3,0),0)</f>
        <v>176</v>
      </c>
      <c r="H239" s="112">
        <f>IFERROR(VLOOKUP(B239,O.B.JUNE!$N$7:$Q$448,4,0),0)</f>
        <v>224</v>
      </c>
      <c r="I239" s="112">
        <f t="shared" si="30"/>
        <v>516</v>
      </c>
      <c r="J239" s="112">
        <f>IFERROR(VLOOKUP(B239,O.B.JUNE!$AA$7:$AG$448,7,0),0)</f>
        <v>3245606</v>
      </c>
      <c r="K239" s="112">
        <f>IFERROR(VLOOKUP(B239,O.B.JUNE!$AI$7:$AO$448,7,0),0)</f>
        <v>4416787</v>
      </c>
      <c r="L239" s="112">
        <f t="shared" si="31"/>
        <v>7662393</v>
      </c>
      <c r="M239" s="112">
        <f>ROUND(SUMIF('JUNE (물량흐름)'!$C$13:$C$502,'WIP(재공품)'!B239,'JUNE (물량흐름)'!$H$13:$H$502)+SUMIF('JUNE (물량흐름)'!$C$13:$C$502,'WIP(재공품)'!B239,'JUNE (물량흐름)'!$V$13:$V$502),0)</f>
        <v>0</v>
      </c>
      <c r="N239" s="112">
        <f>SUMIF('Direct labour(직접노무비)'!$C$12:$C$503,'WIP(재공품)'!B239,'Direct labour(직접노무비)'!$O$12:$O$503)</f>
        <v>0</v>
      </c>
      <c r="O239" s="112">
        <f>SUMIF('Overhead exp(제조경비)'!$C$12:$C$503,'WIP(재공품)'!B239,'Overhead exp(제조경비)'!$O$12:$O$503)</f>
        <v>0</v>
      </c>
      <c r="P239" s="112">
        <f t="shared" si="32"/>
        <v>0</v>
      </c>
      <c r="Q239" s="112">
        <v>0</v>
      </c>
      <c r="R239" s="112">
        <v>0</v>
      </c>
      <c r="S239" s="112">
        <f>SUMIF('JUNE (물량흐름)'!$C$13:$C$493,'WIP(재공품)'!B239,'JUNE (물량흐름)'!$T$13:$T$493)+SUMIF('JUNE (물량흐름)'!$C$13:$C$493,'WIP(재공품)'!B239,'JUNE (물량흐름)'!$U$13:$U$493)+SUMIF('JUNE (물량흐름)'!$C$13:$C$493,'WIP(재공품)'!B239,'JUNE (물량흐름)'!$V$13:$V$493)-SUMIF('JUNE (물량흐름)'!$C$13:$C$493,'WIP(재공품)'!B239,'JUNE (물량흐름)'!$Y$13:$Y$493)</f>
        <v>0</v>
      </c>
      <c r="T239" s="112">
        <f>SUMIF('JUNE (물량흐름)'!$C$13:$C$502,'WIP(재공품)'!B239,'JUNE (물량흐름)'!$Y$13:$Y$502)</f>
        <v>0</v>
      </c>
      <c r="U239" s="167">
        <f>SUMIF('Direct labour(직접노무비)'!$C$12:$C$503,'WIP(재공품)'!B239,'Direct labour(직접노무비)'!$U$12:$U$503)+SUMIF('Overhead exp(제조경비)'!$C$12:$C$503,'WIP(재공품)'!B239,'Overhead exp(제조경비)'!$U$12:$U$503)</f>
        <v>0</v>
      </c>
      <c r="V239" s="112">
        <f>SUMIF('Direct labour(직접노무비)'!$C$12:$C$503,'WIP(재공품)'!B239,'Direct labour(직접노무비)'!$Q$12:$Q$503)</f>
        <v>0</v>
      </c>
      <c r="W239" s="112">
        <f>SUMIF('Overhead exp(제조경비)'!$C$12:$C$503,'WIP(재공품)'!B239,'Overhead exp(제조경비)'!$Q$12:$Q$503)</f>
        <v>0</v>
      </c>
      <c r="X239" s="112">
        <f t="shared" si="33"/>
        <v>0</v>
      </c>
      <c r="Y239" s="112">
        <f ca="1">ROUND(SUMIF('JUNE (물량흐름)'!$C$13:$C$502,'WIP(재공품)'!B239,'JUNE (물량흐름)'!$N$13:$N$488),0)</f>
        <v>116</v>
      </c>
      <c r="Z239" s="112">
        <f>ROUND(SUMIF('JUNE (물량흐름)'!$C$13:$C$502,'WIP(재공품)'!B239,'JUNE (물량흐름)'!$O$13:$O$502),0)</f>
        <v>176</v>
      </c>
      <c r="AA239" s="112">
        <f>ROUND(SUMIF('JUNE (물량흐름)'!$C$13:$C$502,'WIP(재공품)'!B239,'JUNE (물량흐름)'!$P$13:$P$502),0)</f>
        <v>224</v>
      </c>
      <c r="AB239" s="112">
        <f t="shared" ca="1" si="34"/>
        <v>516</v>
      </c>
      <c r="AC239" s="112">
        <f t="shared" si="35"/>
        <v>7662393</v>
      </c>
      <c r="AD239" s="381">
        <f t="shared" ca="1" si="36"/>
        <v>0</v>
      </c>
      <c r="AE239" s="381">
        <f t="shared" si="37"/>
        <v>0</v>
      </c>
      <c r="AF239" s="382"/>
      <c r="AG239" s="382">
        <v>1.3499999999999999</v>
      </c>
      <c r="AH239" s="383">
        <f t="shared" si="38"/>
        <v>-0.98999999999999988</v>
      </c>
      <c r="AJ239" s="383"/>
      <c r="AL239" s="385"/>
      <c r="AM239" s="381"/>
      <c r="AN239" s="382"/>
      <c r="AO239" s="382"/>
      <c r="AP239" s="383"/>
      <c r="AQ239" s="383"/>
    </row>
    <row r="240" spans="1:43" s="384" customFormat="1" ht="18.75" customHeight="1">
      <c r="A240" s="167">
        <v>230</v>
      </c>
      <c r="B240" s="240">
        <f>VLOOKUP(A240,'JUNE (물량흐름)'!$A$13:$C$502,3,0)</f>
        <v>460588</v>
      </c>
      <c r="C240" s="21" t="str">
        <f>VLOOKUP(A240,'JUNE (물량흐름)'!$A$13:$C$502,2,0)</f>
        <v>ANN TAYLOR</v>
      </c>
      <c r="D240" s="212">
        <v>0.35</v>
      </c>
      <c r="E240" s="6">
        <f>VLOOKUP(B240,'Sales profit (스타일 별 매출이익)'!$D$9:$P$491,13,0)</f>
        <v>7936.2499999999991</v>
      </c>
      <c r="F240" s="112">
        <f>IFERROR(VLOOKUP(B240,O.B.JUNE!$N$7:$Q$448,2,0),0)</f>
        <v>0</v>
      </c>
      <c r="G240" s="112">
        <f>IFERROR(VLOOKUP(B240,O.B.JUNE!$N$7:$Q$448,3,0),0)</f>
        <v>198</v>
      </c>
      <c r="H240" s="112">
        <f>IFERROR(VLOOKUP(B240,O.B.JUNE!$N$7:$Q$448,4,0),0)</f>
        <v>209</v>
      </c>
      <c r="I240" s="112">
        <f t="shared" si="30"/>
        <v>407</v>
      </c>
      <c r="J240" s="112">
        <f>IFERROR(VLOOKUP(B240,O.B.JUNE!$AA$7:$AG$448,7,0),0)</f>
        <v>2849769</v>
      </c>
      <c r="K240" s="112">
        <f>IFERROR(VLOOKUP(B240,O.B.JUNE!$AI$7:$AO$448,7,0),0)</f>
        <v>3878112</v>
      </c>
      <c r="L240" s="112">
        <f t="shared" si="31"/>
        <v>6727881</v>
      </c>
      <c r="M240" s="112">
        <f>ROUND(SUMIF('JUNE (물량흐름)'!$C$13:$C$502,'WIP(재공품)'!B240,'JUNE (물량흐름)'!$H$13:$H$502)+SUMIF('JUNE (물량흐름)'!$C$13:$C$502,'WIP(재공품)'!B240,'JUNE (물량흐름)'!$V$13:$V$502),0)</f>
        <v>0</v>
      </c>
      <c r="N240" s="112">
        <f>SUMIF('Direct labour(직접노무비)'!$C$12:$C$503,'WIP(재공품)'!B240,'Direct labour(직접노무비)'!$O$12:$O$503)</f>
        <v>0</v>
      </c>
      <c r="O240" s="112">
        <f>SUMIF('Overhead exp(제조경비)'!$C$12:$C$503,'WIP(재공품)'!B240,'Overhead exp(제조경비)'!$O$12:$O$503)</f>
        <v>0</v>
      </c>
      <c r="P240" s="112">
        <f t="shared" si="32"/>
        <v>0</v>
      </c>
      <c r="Q240" s="112">
        <v>0</v>
      </c>
      <c r="R240" s="112">
        <v>0</v>
      </c>
      <c r="S240" s="112">
        <f>SUMIF('JUNE (물량흐름)'!$C$13:$C$493,'WIP(재공품)'!B240,'JUNE (물량흐름)'!$T$13:$T$493)+SUMIF('JUNE (물량흐름)'!$C$13:$C$493,'WIP(재공품)'!B240,'JUNE (물량흐름)'!$U$13:$U$493)+SUMIF('JUNE (물량흐름)'!$C$13:$C$493,'WIP(재공품)'!B240,'JUNE (물량흐름)'!$V$13:$V$493)-SUMIF('JUNE (물량흐름)'!$C$13:$C$493,'WIP(재공품)'!B240,'JUNE (물량흐름)'!$Y$13:$Y$493)</f>
        <v>0</v>
      </c>
      <c r="T240" s="112">
        <f>SUMIF('JUNE (물량흐름)'!$C$13:$C$502,'WIP(재공품)'!B240,'JUNE (물량흐름)'!$Y$13:$Y$502)</f>
        <v>0</v>
      </c>
      <c r="U240" s="167">
        <f>SUMIF('Direct labour(직접노무비)'!$C$12:$C$503,'WIP(재공품)'!B240,'Direct labour(직접노무비)'!$U$12:$U$503)+SUMIF('Overhead exp(제조경비)'!$C$12:$C$503,'WIP(재공품)'!B240,'Overhead exp(제조경비)'!$U$12:$U$503)</f>
        <v>0</v>
      </c>
      <c r="V240" s="112">
        <f>SUMIF('Direct labour(직접노무비)'!$C$12:$C$503,'WIP(재공품)'!B240,'Direct labour(직접노무비)'!$Q$12:$Q$503)</f>
        <v>0</v>
      </c>
      <c r="W240" s="112">
        <f>SUMIF('Overhead exp(제조경비)'!$C$12:$C$503,'WIP(재공품)'!B240,'Overhead exp(제조경비)'!$Q$12:$Q$503)</f>
        <v>0</v>
      </c>
      <c r="X240" s="112">
        <f t="shared" si="33"/>
        <v>0</v>
      </c>
      <c r="Y240" s="112">
        <f ca="1">ROUND(SUMIF('JUNE (물량흐름)'!$C$13:$C$502,'WIP(재공품)'!B240,'JUNE (물량흐름)'!$N$13:$N$488),0)</f>
        <v>0</v>
      </c>
      <c r="Z240" s="112">
        <f>ROUND(SUMIF('JUNE (물량흐름)'!$C$13:$C$502,'WIP(재공품)'!B240,'JUNE (물량흐름)'!$O$13:$O$502),0)</f>
        <v>198</v>
      </c>
      <c r="AA240" s="112">
        <f>ROUND(SUMIF('JUNE (물량흐름)'!$C$13:$C$502,'WIP(재공품)'!B240,'JUNE (물량흐름)'!$P$13:$P$502),0)</f>
        <v>209</v>
      </c>
      <c r="AB240" s="112">
        <f t="shared" ca="1" si="34"/>
        <v>407</v>
      </c>
      <c r="AC240" s="112">
        <f t="shared" si="35"/>
        <v>6727881</v>
      </c>
      <c r="AD240" s="381">
        <f t="shared" ca="1" si="36"/>
        <v>0</v>
      </c>
      <c r="AE240" s="381">
        <f t="shared" si="37"/>
        <v>0</v>
      </c>
      <c r="AF240" s="382"/>
      <c r="AG240" s="382">
        <v>1.3499999999999999</v>
      </c>
      <c r="AH240" s="383">
        <f t="shared" si="38"/>
        <v>-0.99999999999999989</v>
      </c>
      <c r="AJ240" s="383"/>
      <c r="AL240" s="385"/>
      <c r="AM240" s="381"/>
      <c r="AN240" s="382"/>
      <c r="AO240" s="382"/>
      <c r="AP240" s="383"/>
      <c r="AQ240" s="383"/>
    </row>
    <row r="241" spans="1:43" s="384" customFormat="1" ht="18.75" customHeight="1">
      <c r="A241" s="167">
        <v>231</v>
      </c>
      <c r="B241" s="240">
        <f>VLOOKUP(A241,'JUNE (물량흐름)'!$A$13:$C$502,3,0)</f>
        <v>460591</v>
      </c>
      <c r="C241" s="21" t="str">
        <f>VLOOKUP(A241,'JUNE (물량흐름)'!$A$13:$C$502,2,0)</f>
        <v>ANN TAYLOR</v>
      </c>
      <c r="D241" s="212">
        <v>0.35</v>
      </c>
      <c r="E241" s="6">
        <f>VLOOKUP(B241,'Sales profit (스타일 별 매출이익)'!$D$9:$P$491,13,0)</f>
        <v>7936.2499999999991</v>
      </c>
      <c r="F241" s="112">
        <f>IFERROR(VLOOKUP(B241,O.B.JUNE!$N$7:$Q$448,2,0),0)</f>
        <v>0</v>
      </c>
      <c r="G241" s="112">
        <f>IFERROR(VLOOKUP(B241,O.B.JUNE!$N$7:$Q$448,3,0),0)</f>
        <v>111</v>
      </c>
      <c r="H241" s="112">
        <f>IFERROR(VLOOKUP(B241,O.B.JUNE!$N$7:$Q$448,4,0),0)</f>
        <v>193</v>
      </c>
      <c r="I241" s="112">
        <f t="shared" si="30"/>
        <v>304</v>
      </c>
      <c r="J241" s="112">
        <f>IFERROR(VLOOKUP(B241,O.B.JUNE!$AA$7:$AG$448,7,0),0)</f>
        <v>2249818</v>
      </c>
      <c r="K241" s="112">
        <f>IFERROR(VLOOKUP(B241,O.B.JUNE!$AI$7:$AO$448,7,0),0)</f>
        <v>3061667</v>
      </c>
      <c r="L241" s="112">
        <f t="shared" si="31"/>
        <v>5311485</v>
      </c>
      <c r="M241" s="112">
        <f>ROUND(SUMIF('JUNE (물량흐름)'!$C$13:$C$502,'WIP(재공품)'!B241,'JUNE (물량흐름)'!$H$13:$H$502)+SUMIF('JUNE (물량흐름)'!$C$13:$C$502,'WIP(재공품)'!B241,'JUNE (물량흐름)'!$V$13:$V$502),0)</f>
        <v>0</v>
      </c>
      <c r="N241" s="112">
        <f>SUMIF('Direct labour(직접노무비)'!$C$12:$C$503,'WIP(재공품)'!B241,'Direct labour(직접노무비)'!$O$12:$O$503)</f>
        <v>0</v>
      </c>
      <c r="O241" s="112">
        <f>SUMIF('Overhead exp(제조경비)'!$C$12:$C$503,'WIP(재공품)'!B241,'Overhead exp(제조경비)'!$O$12:$O$503)</f>
        <v>0</v>
      </c>
      <c r="P241" s="112">
        <f t="shared" si="32"/>
        <v>0</v>
      </c>
      <c r="Q241" s="112">
        <v>0</v>
      </c>
      <c r="R241" s="112">
        <v>0</v>
      </c>
      <c r="S241" s="112">
        <f>SUMIF('JUNE (물량흐름)'!$C$13:$C$493,'WIP(재공품)'!B241,'JUNE (물량흐름)'!$T$13:$T$493)+SUMIF('JUNE (물량흐름)'!$C$13:$C$493,'WIP(재공품)'!B241,'JUNE (물량흐름)'!$U$13:$U$493)+SUMIF('JUNE (물량흐름)'!$C$13:$C$493,'WIP(재공품)'!B241,'JUNE (물량흐름)'!$V$13:$V$493)-SUMIF('JUNE (물량흐름)'!$C$13:$C$493,'WIP(재공품)'!B241,'JUNE (물량흐름)'!$Y$13:$Y$493)</f>
        <v>0</v>
      </c>
      <c r="T241" s="112">
        <f>SUMIF('JUNE (물량흐름)'!$C$13:$C$502,'WIP(재공품)'!B241,'JUNE (물량흐름)'!$Y$13:$Y$502)</f>
        <v>0</v>
      </c>
      <c r="U241" s="167">
        <f>SUMIF('Direct labour(직접노무비)'!$C$12:$C$503,'WIP(재공품)'!B241,'Direct labour(직접노무비)'!$U$12:$U$503)+SUMIF('Overhead exp(제조경비)'!$C$12:$C$503,'WIP(재공품)'!B241,'Overhead exp(제조경비)'!$U$12:$U$503)</f>
        <v>0</v>
      </c>
      <c r="V241" s="112">
        <f>SUMIF('Direct labour(직접노무비)'!$C$12:$C$503,'WIP(재공품)'!B241,'Direct labour(직접노무비)'!$Q$12:$Q$503)</f>
        <v>0</v>
      </c>
      <c r="W241" s="112">
        <f>SUMIF('Overhead exp(제조경비)'!$C$12:$C$503,'WIP(재공품)'!B241,'Overhead exp(제조경비)'!$Q$12:$Q$503)</f>
        <v>0</v>
      </c>
      <c r="X241" s="112">
        <f t="shared" si="33"/>
        <v>0</v>
      </c>
      <c r="Y241" s="112">
        <f ca="1">ROUND(SUMIF('JUNE (물량흐름)'!$C$13:$C$502,'WIP(재공품)'!B241,'JUNE (물량흐름)'!$N$13:$N$488),0)</f>
        <v>0</v>
      </c>
      <c r="Z241" s="112">
        <f>ROUND(SUMIF('JUNE (물량흐름)'!$C$13:$C$502,'WIP(재공품)'!B241,'JUNE (물량흐름)'!$O$13:$O$502),0)</f>
        <v>111</v>
      </c>
      <c r="AA241" s="112">
        <f>ROUND(SUMIF('JUNE (물량흐름)'!$C$13:$C$502,'WIP(재공품)'!B241,'JUNE (물량흐름)'!$P$13:$P$502),0)</f>
        <v>193</v>
      </c>
      <c r="AB241" s="112">
        <f t="shared" ca="1" si="34"/>
        <v>304</v>
      </c>
      <c r="AC241" s="112">
        <f t="shared" si="35"/>
        <v>5311485</v>
      </c>
      <c r="AD241" s="381">
        <f t="shared" ca="1" si="36"/>
        <v>0</v>
      </c>
      <c r="AE241" s="381">
        <f t="shared" si="37"/>
        <v>0</v>
      </c>
      <c r="AF241" s="382"/>
      <c r="AG241" s="382">
        <v>1.3499999999999999</v>
      </c>
      <c r="AH241" s="383">
        <f t="shared" si="38"/>
        <v>-0.99999999999999989</v>
      </c>
      <c r="AJ241" s="383"/>
      <c r="AL241" s="385"/>
      <c r="AM241" s="381"/>
      <c r="AN241" s="382"/>
      <c r="AO241" s="382"/>
      <c r="AP241" s="383"/>
      <c r="AQ241" s="383"/>
    </row>
    <row r="242" spans="1:43" s="384" customFormat="1" ht="18.75" customHeight="1">
      <c r="A242" s="167">
        <v>232</v>
      </c>
      <c r="B242" s="240">
        <f>VLOOKUP(A242,'JUNE (물량흐름)'!$A$13:$C$502,3,0)</f>
        <v>460727</v>
      </c>
      <c r="C242" s="21" t="str">
        <f>VLOOKUP(A242,'JUNE (물량흐름)'!$A$13:$C$502,2,0)</f>
        <v>ANN TAYLOR</v>
      </c>
      <c r="D242" s="212">
        <v>0.35</v>
      </c>
      <c r="E242" s="6">
        <f>VLOOKUP(B242,'Sales profit (스타일 별 매출이익)'!$D$9:$P$491,13,0)</f>
        <v>7936.2499999999991</v>
      </c>
      <c r="F242" s="112">
        <f>IFERROR(VLOOKUP(B242,O.B.JUNE!$N$7:$Q$448,2,0),0)</f>
        <v>30</v>
      </c>
      <c r="G242" s="112">
        <f>IFERROR(VLOOKUP(B242,O.B.JUNE!$N$7:$Q$448,3,0),0)</f>
        <v>15</v>
      </c>
      <c r="H242" s="112">
        <f>IFERROR(VLOOKUP(B242,O.B.JUNE!$N$7:$Q$448,4,0),0)</f>
        <v>53</v>
      </c>
      <c r="I242" s="112">
        <f t="shared" si="30"/>
        <v>98</v>
      </c>
      <c r="J242" s="112">
        <f>IFERROR(VLOOKUP(B242,O.B.JUNE!$AA$7:$AG$448,7,0),0)</f>
        <v>1453728</v>
      </c>
      <c r="K242" s="112">
        <f>IFERROR(VLOOKUP(B242,O.B.JUNE!$AI$7:$AO$448,7,0),0)</f>
        <v>1978308</v>
      </c>
      <c r="L242" s="112">
        <f t="shared" si="31"/>
        <v>3432036</v>
      </c>
      <c r="M242" s="112">
        <f>ROUND(SUMIF('JUNE (물량흐름)'!$C$13:$C$502,'WIP(재공품)'!B242,'JUNE (물량흐름)'!$H$13:$H$502)+SUMIF('JUNE (물량흐름)'!$C$13:$C$502,'WIP(재공품)'!B242,'JUNE (물량흐름)'!$V$13:$V$502),0)</f>
        <v>0</v>
      </c>
      <c r="N242" s="112">
        <f>SUMIF('Direct labour(직접노무비)'!$C$12:$C$503,'WIP(재공품)'!B242,'Direct labour(직접노무비)'!$O$12:$O$503)</f>
        <v>0</v>
      </c>
      <c r="O242" s="112">
        <f>SUMIF('Overhead exp(제조경비)'!$C$12:$C$503,'WIP(재공품)'!B242,'Overhead exp(제조경비)'!$O$12:$O$503)</f>
        <v>0</v>
      </c>
      <c r="P242" s="112">
        <f t="shared" si="32"/>
        <v>0</v>
      </c>
      <c r="Q242" s="112">
        <v>0</v>
      </c>
      <c r="R242" s="112">
        <v>0</v>
      </c>
      <c r="S242" s="112">
        <f>SUMIF('JUNE (물량흐름)'!$C$13:$C$493,'WIP(재공품)'!B242,'JUNE (물량흐름)'!$T$13:$T$493)+SUMIF('JUNE (물량흐름)'!$C$13:$C$493,'WIP(재공품)'!B242,'JUNE (물량흐름)'!$U$13:$U$493)+SUMIF('JUNE (물량흐름)'!$C$13:$C$493,'WIP(재공품)'!B242,'JUNE (물량흐름)'!$V$13:$V$493)-SUMIF('JUNE (물량흐름)'!$C$13:$C$493,'WIP(재공품)'!B242,'JUNE (물량흐름)'!$Y$13:$Y$493)</f>
        <v>0</v>
      </c>
      <c r="T242" s="112">
        <f>SUMIF('JUNE (물량흐름)'!$C$13:$C$502,'WIP(재공품)'!B242,'JUNE (물량흐름)'!$Y$13:$Y$502)</f>
        <v>0</v>
      </c>
      <c r="U242" s="167">
        <f>SUMIF('Direct labour(직접노무비)'!$C$12:$C$503,'WIP(재공품)'!B242,'Direct labour(직접노무비)'!$U$12:$U$503)+SUMIF('Overhead exp(제조경비)'!$C$12:$C$503,'WIP(재공품)'!B242,'Overhead exp(제조경비)'!$U$12:$U$503)</f>
        <v>0</v>
      </c>
      <c r="V242" s="112">
        <f>SUMIF('Direct labour(직접노무비)'!$C$12:$C$503,'WIP(재공품)'!B242,'Direct labour(직접노무비)'!$Q$12:$Q$503)</f>
        <v>0</v>
      </c>
      <c r="W242" s="112">
        <f>SUMIF('Overhead exp(제조경비)'!$C$12:$C$503,'WIP(재공품)'!B242,'Overhead exp(제조경비)'!$Q$12:$Q$503)</f>
        <v>0</v>
      </c>
      <c r="X242" s="112">
        <f t="shared" si="33"/>
        <v>0</v>
      </c>
      <c r="Y242" s="112">
        <f ca="1">ROUND(SUMIF('JUNE (물량흐름)'!$C$13:$C$502,'WIP(재공품)'!B242,'JUNE (물량흐름)'!$N$13:$N$488),0)</f>
        <v>30</v>
      </c>
      <c r="Z242" s="112">
        <f>ROUND(SUMIF('JUNE (물량흐름)'!$C$13:$C$502,'WIP(재공품)'!B242,'JUNE (물량흐름)'!$O$13:$O$502),0)</f>
        <v>15</v>
      </c>
      <c r="AA242" s="112">
        <f>ROUND(SUMIF('JUNE (물량흐름)'!$C$13:$C$502,'WIP(재공품)'!B242,'JUNE (물량흐름)'!$P$13:$P$502),0)</f>
        <v>53</v>
      </c>
      <c r="AB242" s="112">
        <f t="shared" ca="1" si="34"/>
        <v>98</v>
      </c>
      <c r="AC242" s="112">
        <f t="shared" si="35"/>
        <v>3432036</v>
      </c>
      <c r="AD242" s="381">
        <f t="shared" ca="1" si="36"/>
        <v>0</v>
      </c>
      <c r="AE242" s="381">
        <f t="shared" si="37"/>
        <v>0</v>
      </c>
      <c r="AF242" s="382"/>
      <c r="AG242" s="382">
        <v>1.3499999999999999</v>
      </c>
      <c r="AH242" s="383">
        <f t="shared" si="38"/>
        <v>-0.99999999999999989</v>
      </c>
      <c r="AJ242" s="383"/>
      <c r="AL242" s="385"/>
      <c r="AM242" s="381"/>
      <c r="AN242" s="382"/>
      <c r="AO242" s="382"/>
      <c r="AP242" s="383"/>
      <c r="AQ242" s="383"/>
    </row>
    <row r="243" spans="1:43" s="384" customFormat="1" ht="18.75" customHeight="1">
      <c r="A243" s="167">
        <v>233</v>
      </c>
      <c r="B243" s="240">
        <f>VLOOKUP(A243,'JUNE (물량흐름)'!$A$13:$C$502,3,0)</f>
        <v>461609</v>
      </c>
      <c r="C243" s="21" t="str">
        <f>VLOOKUP(A243,'JUNE (물량흐름)'!$A$13:$C$502,2,0)</f>
        <v>ANN TAYLOR</v>
      </c>
      <c r="D243" s="212">
        <v>0.35</v>
      </c>
      <c r="E243" s="6">
        <f>VLOOKUP(B243,'Sales profit (스타일 별 매출이익)'!$D$9:$P$491,13,0)</f>
        <v>7936.2499999999991</v>
      </c>
      <c r="F243" s="112">
        <f>IFERROR(VLOOKUP(B243,O.B.JUNE!$N$7:$Q$448,2,0),0)</f>
        <v>62</v>
      </c>
      <c r="G243" s="112">
        <f>IFERROR(VLOOKUP(B243,O.B.JUNE!$N$7:$Q$448,3,0),0)</f>
        <v>141</v>
      </c>
      <c r="H243" s="112">
        <f>IFERROR(VLOOKUP(B243,O.B.JUNE!$N$7:$Q$448,4,0),0)</f>
        <v>287</v>
      </c>
      <c r="I243" s="112">
        <f t="shared" si="30"/>
        <v>490</v>
      </c>
      <c r="J243" s="112">
        <f>IFERROR(VLOOKUP(B243,O.B.JUNE!$AA$7:$AG$448,7,0),0)</f>
        <v>4228599</v>
      </c>
      <c r="K243" s="112">
        <f>IFERROR(VLOOKUP(B243,O.B.JUNE!$AI$7:$AO$448,7,0),0)</f>
        <v>5754493</v>
      </c>
      <c r="L243" s="112">
        <f t="shared" si="31"/>
        <v>9983092</v>
      </c>
      <c r="M243" s="112">
        <f>ROUND(SUMIF('JUNE (물량흐름)'!$C$13:$C$502,'WIP(재공품)'!B243,'JUNE (물량흐름)'!$H$13:$H$502)+SUMIF('JUNE (물량흐름)'!$C$13:$C$502,'WIP(재공품)'!B243,'JUNE (물량흐름)'!$V$13:$V$502),0)</f>
        <v>0</v>
      </c>
      <c r="N243" s="112">
        <f>SUMIF('Direct labour(직접노무비)'!$C$12:$C$503,'WIP(재공품)'!B243,'Direct labour(직접노무비)'!$O$12:$O$503)</f>
        <v>0</v>
      </c>
      <c r="O243" s="112">
        <f>SUMIF('Overhead exp(제조경비)'!$C$12:$C$503,'WIP(재공품)'!B243,'Overhead exp(제조경비)'!$O$12:$O$503)</f>
        <v>0</v>
      </c>
      <c r="P243" s="112">
        <f t="shared" si="32"/>
        <v>0</v>
      </c>
      <c r="Q243" s="112">
        <v>0</v>
      </c>
      <c r="R243" s="112">
        <v>0</v>
      </c>
      <c r="S243" s="112">
        <f>SUMIF('JUNE (물량흐름)'!$C$13:$C$493,'WIP(재공품)'!B243,'JUNE (물량흐름)'!$T$13:$T$493)+SUMIF('JUNE (물량흐름)'!$C$13:$C$493,'WIP(재공품)'!B243,'JUNE (물량흐름)'!$U$13:$U$493)+SUMIF('JUNE (물량흐름)'!$C$13:$C$493,'WIP(재공품)'!B243,'JUNE (물량흐름)'!$V$13:$V$493)-SUMIF('JUNE (물량흐름)'!$C$13:$C$493,'WIP(재공품)'!B243,'JUNE (물량흐름)'!$Y$13:$Y$493)</f>
        <v>0</v>
      </c>
      <c r="T243" s="112">
        <f>SUMIF('JUNE (물량흐름)'!$C$13:$C$502,'WIP(재공품)'!B243,'JUNE (물량흐름)'!$Y$13:$Y$502)</f>
        <v>0</v>
      </c>
      <c r="U243" s="167">
        <f>SUMIF('Direct labour(직접노무비)'!$C$12:$C$503,'WIP(재공품)'!B243,'Direct labour(직접노무비)'!$U$12:$U$503)+SUMIF('Overhead exp(제조경비)'!$C$12:$C$503,'WIP(재공품)'!B243,'Overhead exp(제조경비)'!$U$12:$U$503)</f>
        <v>0</v>
      </c>
      <c r="V243" s="112">
        <f>SUMIF('Direct labour(직접노무비)'!$C$12:$C$503,'WIP(재공품)'!B243,'Direct labour(직접노무비)'!$Q$12:$Q$503)</f>
        <v>0</v>
      </c>
      <c r="W243" s="112">
        <f>SUMIF('Overhead exp(제조경비)'!$C$12:$C$503,'WIP(재공품)'!B243,'Overhead exp(제조경비)'!$Q$12:$Q$503)</f>
        <v>0</v>
      </c>
      <c r="X243" s="112">
        <f t="shared" si="33"/>
        <v>0</v>
      </c>
      <c r="Y243" s="112">
        <f ca="1">ROUND(SUMIF('JUNE (물량흐름)'!$C$13:$C$502,'WIP(재공품)'!B243,'JUNE (물량흐름)'!$N$13:$N$488),0)</f>
        <v>62</v>
      </c>
      <c r="Z243" s="112">
        <f>ROUND(SUMIF('JUNE (물량흐름)'!$C$13:$C$502,'WIP(재공품)'!B243,'JUNE (물량흐름)'!$O$13:$O$502),0)</f>
        <v>141</v>
      </c>
      <c r="AA243" s="112">
        <f>ROUND(SUMIF('JUNE (물량흐름)'!$C$13:$C$502,'WIP(재공품)'!B243,'JUNE (물량흐름)'!$P$13:$P$502),0)</f>
        <v>287</v>
      </c>
      <c r="AB243" s="112">
        <f t="shared" ca="1" si="34"/>
        <v>490</v>
      </c>
      <c r="AC243" s="112">
        <f t="shared" si="35"/>
        <v>9983092</v>
      </c>
      <c r="AD243" s="381">
        <f t="shared" ca="1" si="36"/>
        <v>0</v>
      </c>
      <c r="AE243" s="381">
        <f t="shared" si="37"/>
        <v>0</v>
      </c>
      <c r="AF243" s="382"/>
      <c r="AG243" s="382">
        <v>0</v>
      </c>
      <c r="AH243" s="383">
        <f t="shared" si="38"/>
        <v>0.35</v>
      </c>
      <c r="AJ243" s="383"/>
      <c r="AL243" s="385"/>
      <c r="AM243" s="381"/>
      <c r="AN243" s="382"/>
      <c r="AO243" s="382"/>
      <c r="AP243" s="383"/>
      <c r="AQ243" s="383"/>
    </row>
    <row r="244" spans="1:43" s="384" customFormat="1" ht="18.75" customHeight="1">
      <c r="A244" s="167">
        <v>234</v>
      </c>
      <c r="B244" s="240">
        <f>VLOOKUP(A244,'JUNE (물량흐름)'!$A$13:$C$502,3,0)</f>
        <v>464818</v>
      </c>
      <c r="C244" s="21" t="str">
        <f>VLOOKUP(A244,'JUNE (물량흐름)'!$A$13:$C$502,2,0)</f>
        <v>ANN TAYLOR</v>
      </c>
      <c r="D244" s="212">
        <v>0.35</v>
      </c>
      <c r="E244" s="6">
        <f>VLOOKUP(B244,'Sales profit (스타일 별 매출이익)'!$D$9:$P$491,13,0)</f>
        <v>7936.2499999999991</v>
      </c>
      <c r="F244" s="112">
        <f>IFERROR(VLOOKUP(B244,O.B.JUNE!$N$7:$Q$448,2,0),0)</f>
        <v>0</v>
      </c>
      <c r="G244" s="112">
        <f>IFERROR(VLOOKUP(B244,O.B.JUNE!$N$7:$Q$448,3,0),0)</f>
        <v>662</v>
      </c>
      <c r="H244" s="112">
        <f>IFERROR(VLOOKUP(B244,O.B.JUNE!$N$7:$Q$448,4,0),0)</f>
        <v>713</v>
      </c>
      <c r="I244" s="112">
        <f t="shared" si="30"/>
        <v>1375</v>
      </c>
      <c r="J244" s="112">
        <f>IFERROR(VLOOKUP(B244,O.B.JUNE!$AA$7:$AG$448,7,0),0)</f>
        <v>20759556</v>
      </c>
      <c r="K244" s="112">
        <f>IFERROR(VLOOKUP(B244,O.B.JUNE!$AI$7:$AO$448,7,0),0)</f>
        <v>29833156</v>
      </c>
      <c r="L244" s="112">
        <f t="shared" si="31"/>
        <v>50592712</v>
      </c>
      <c r="M244" s="112">
        <f>ROUND(SUMIF('JUNE (물량흐름)'!$C$13:$C$502,'WIP(재공품)'!B244,'JUNE (물량흐름)'!$H$13:$H$502)+SUMIF('JUNE (물량흐름)'!$C$13:$C$502,'WIP(재공품)'!B244,'JUNE (물량흐름)'!$V$13:$V$502),0)</f>
        <v>0</v>
      </c>
      <c r="N244" s="112">
        <f>SUMIF('Direct labour(직접노무비)'!$C$12:$C$503,'WIP(재공품)'!B244,'Direct labour(직접노무비)'!$O$12:$O$503)</f>
        <v>0</v>
      </c>
      <c r="O244" s="112">
        <f>SUMIF('Overhead exp(제조경비)'!$C$12:$C$503,'WIP(재공품)'!B244,'Overhead exp(제조경비)'!$O$12:$O$503)</f>
        <v>0</v>
      </c>
      <c r="P244" s="112">
        <f t="shared" si="32"/>
        <v>0</v>
      </c>
      <c r="Q244" s="112">
        <v>0</v>
      </c>
      <c r="R244" s="112">
        <v>0</v>
      </c>
      <c r="S244" s="112">
        <f>SUMIF('JUNE (물량흐름)'!$C$13:$C$493,'WIP(재공품)'!B244,'JUNE (물량흐름)'!$T$13:$T$493)+SUMIF('JUNE (물량흐름)'!$C$13:$C$493,'WIP(재공품)'!B244,'JUNE (물량흐름)'!$U$13:$U$493)+SUMIF('JUNE (물량흐름)'!$C$13:$C$493,'WIP(재공품)'!B244,'JUNE (물량흐름)'!$V$13:$V$493)-SUMIF('JUNE (물량흐름)'!$C$13:$C$493,'WIP(재공품)'!B244,'JUNE (물량흐름)'!$Y$13:$Y$493)</f>
        <v>0</v>
      </c>
      <c r="T244" s="112">
        <f>SUMIF('JUNE (물량흐름)'!$C$13:$C$502,'WIP(재공품)'!B244,'JUNE (물량흐름)'!$Y$13:$Y$502)</f>
        <v>0</v>
      </c>
      <c r="U244" s="167">
        <f>SUMIF('Direct labour(직접노무비)'!$C$12:$C$503,'WIP(재공품)'!B244,'Direct labour(직접노무비)'!$U$12:$U$503)+SUMIF('Overhead exp(제조경비)'!$C$12:$C$503,'WIP(재공품)'!B244,'Overhead exp(제조경비)'!$U$12:$U$503)</f>
        <v>0</v>
      </c>
      <c r="V244" s="112">
        <f>SUMIF('Direct labour(직접노무비)'!$C$12:$C$503,'WIP(재공품)'!B244,'Direct labour(직접노무비)'!$Q$12:$Q$503)</f>
        <v>0</v>
      </c>
      <c r="W244" s="112">
        <f>SUMIF('Overhead exp(제조경비)'!$C$12:$C$503,'WIP(재공품)'!B244,'Overhead exp(제조경비)'!$Q$12:$Q$503)</f>
        <v>0</v>
      </c>
      <c r="X244" s="112">
        <f t="shared" si="33"/>
        <v>0</v>
      </c>
      <c r="Y244" s="112">
        <f ca="1">ROUND(SUMIF('JUNE (물량흐름)'!$C$13:$C$502,'WIP(재공품)'!B244,'JUNE (물량흐름)'!$N$13:$N$488),0)</f>
        <v>0</v>
      </c>
      <c r="Z244" s="112">
        <f>ROUND(SUMIF('JUNE (물량흐름)'!$C$13:$C$502,'WIP(재공품)'!B244,'JUNE (물량흐름)'!$O$13:$O$502),0)</f>
        <v>662</v>
      </c>
      <c r="AA244" s="112">
        <f>ROUND(SUMIF('JUNE (물량흐름)'!$C$13:$C$502,'WIP(재공품)'!B244,'JUNE (물량흐름)'!$P$13:$P$502),0)</f>
        <v>713</v>
      </c>
      <c r="AB244" s="112">
        <f t="shared" ca="1" si="34"/>
        <v>1375</v>
      </c>
      <c r="AC244" s="112">
        <f t="shared" si="35"/>
        <v>50592712</v>
      </c>
      <c r="AD244" s="381">
        <f t="shared" ca="1" si="36"/>
        <v>0</v>
      </c>
      <c r="AE244" s="381">
        <f t="shared" si="37"/>
        <v>0</v>
      </c>
      <c r="AF244" s="382"/>
      <c r="AG244" s="382">
        <v>0</v>
      </c>
      <c r="AH244" s="383">
        <f t="shared" si="38"/>
        <v>0.35</v>
      </c>
      <c r="AJ244" s="383"/>
      <c r="AL244" s="385"/>
      <c r="AM244" s="381"/>
      <c r="AN244" s="382"/>
      <c r="AO244" s="382"/>
      <c r="AP244" s="383"/>
      <c r="AQ244" s="383"/>
    </row>
    <row r="245" spans="1:43" s="384" customFormat="1" ht="18.75" customHeight="1">
      <c r="A245" s="167">
        <v>235</v>
      </c>
      <c r="B245" s="240">
        <f>VLOOKUP(A245,'JUNE (물량흐름)'!$A$13:$C$502,3,0)</f>
        <v>465184</v>
      </c>
      <c r="C245" s="21" t="str">
        <f>VLOOKUP(A245,'JUNE (물량흐름)'!$A$13:$C$502,2,0)</f>
        <v>ANN TAYLOR</v>
      </c>
      <c r="D245" s="212">
        <v>0.36</v>
      </c>
      <c r="E245" s="6">
        <f>VLOOKUP(B245,'Sales profit (스타일 별 매출이익)'!$D$9:$P$491,13,0)</f>
        <v>8163</v>
      </c>
      <c r="F245" s="112">
        <f>IFERROR(VLOOKUP(B245,O.B.JUNE!$N$7:$Q$448,2,0),0)</f>
        <v>0</v>
      </c>
      <c r="G245" s="112">
        <f>IFERROR(VLOOKUP(B245,O.B.JUNE!$N$7:$Q$448,3,0),0)</f>
        <v>16</v>
      </c>
      <c r="H245" s="112">
        <f>IFERROR(VLOOKUP(B245,O.B.JUNE!$N$7:$Q$448,4,0),0)</f>
        <v>60</v>
      </c>
      <c r="I245" s="112">
        <f t="shared" si="30"/>
        <v>76</v>
      </c>
      <c r="J245" s="112">
        <f>IFERROR(VLOOKUP(B245,O.B.JUNE!$AA$7:$AG$448,7,0),0)</f>
        <v>1300961</v>
      </c>
      <c r="K245" s="112">
        <f>IFERROR(VLOOKUP(B245,O.B.JUNE!$AI$7:$AO$448,7,0),0)</f>
        <v>1930340</v>
      </c>
      <c r="L245" s="112">
        <f t="shared" si="31"/>
        <v>3231301</v>
      </c>
      <c r="M245" s="112">
        <f>ROUND(SUMIF('JUNE (물량흐름)'!$C$13:$C$502,'WIP(재공품)'!B245,'JUNE (물량흐름)'!$H$13:$H$502)+SUMIF('JUNE (물량흐름)'!$C$13:$C$502,'WIP(재공품)'!B245,'JUNE (물량흐름)'!$V$13:$V$502),0)</f>
        <v>0</v>
      </c>
      <c r="N245" s="112">
        <f>SUMIF('Direct labour(직접노무비)'!$C$12:$C$503,'WIP(재공품)'!B245,'Direct labour(직접노무비)'!$O$12:$O$503)</f>
        <v>0</v>
      </c>
      <c r="O245" s="112">
        <f>SUMIF('Overhead exp(제조경비)'!$C$12:$C$503,'WIP(재공품)'!B245,'Overhead exp(제조경비)'!$O$12:$O$503)</f>
        <v>0</v>
      </c>
      <c r="P245" s="112">
        <f t="shared" si="32"/>
        <v>0</v>
      </c>
      <c r="Q245" s="112">
        <v>0</v>
      </c>
      <c r="R245" s="112">
        <v>0</v>
      </c>
      <c r="S245" s="112">
        <f>SUMIF('JUNE (물량흐름)'!$C$13:$C$493,'WIP(재공품)'!B245,'JUNE (물량흐름)'!$T$13:$T$493)+SUMIF('JUNE (물량흐름)'!$C$13:$C$493,'WIP(재공품)'!B245,'JUNE (물량흐름)'!$U$13:$U$493)+SUMIF('JUNE (물량흐름)'!$C$13:$C$493,'WIP(재공품)'!B245,'JUNE (물량흐름)'!$V$13:$V$493)-SUMIF('JUNE (물량흐름)'!$C$13:$C$493,'WIP(재공품)'!B245,'JUNE (물량흐름)'!$Y$13:$Y$493)</f>
        <v>0</v>
      </c>
      <c r="T245" s="112">
        <f>SUMIF('JUNE (물량흐름)'!$C$13:$C$502,'WIP(재공품)'!B245,'JUNE (물량흐름)'!$Y$13:$Y$502)</f>
        <v>0</v>
      </c>
      <c r="U245" s="167">
        <f>SUMIF('Direct labour(직접노무비)'!$C$12:$C$503,'WIP(재공품)'!B245,'Direct labour(직접노무비)'!$U$12:$U$503)+SUMIF('Overhead exp(제조경비)'!$C$12:$C$503,'WIP(재공품)'!B245,'Overhead exp(제조경비)'!$U$12:$U$503)</f>
        <v>0</v>
      </c>
      <c r="V245" s="112">
        <f>SUMIF('Direct labour(직접노무비)'!$C$12:$C$503,'WIP(재공품)'!B245,'Direct labour(직접노무비)'!$Q$12:$Q$503)</f>
        <v>0</v>
      </c>
      <c r="W245" s="112">
        <f>SUMIF('Overhead exp(제조경비)'!$C$12:$C$503,'WIP(재공품)'!B245,'Overhead exp(제조경비)'!$Q$12:$Q$503)</f>
        <v>0</v>
      </c>
      <c r="X245" s="112">
        <f t="shared" si="33"/>
        <v>0</v>
      </c>
      <c r="Y245" s="112">
        <f ca="1">ROUND(SUMIF('JUNE (물량흐름)'!$C$13:$C$502,'WIP(재공품)'!B245,'JUNE (물량흐름)'!$N$13:$N$488),0)</f>
        <v>0</v>
      </c>
      <c r="Z245" s="112">
        <f>ROUND(SUMIF('JUNE (물량흐름)'!$C$13:$C$502,'WIP(재공품)'!B245,'JUNE (물량흐름)'!$O$13:$O$502),0)</f>
        <v>16</v>
      </c>
      <c r="AA245" s="112">
        <f>ROUND(SUMIF('JUNE (물량흐름)'!$C$13:$C$502,'WIP(재공품)'!B245,'JUNE (물량흐름)'!$P$13:$P$502),0)</f>
        <v>60</v>
      </c>
      <c r="AB245" s="112">
        <f t="shared" ca="1" si="34"/>
        <v>76</v>
      </c>
      <c r="AC245" s="112">
        <f t="shared" si="35"/>
        <v>3231301</v>
      </c>
      <c r="AD245" s="381">
        <f t="shared" ca="1" si="36"/>
        <v>0</v>
      </c>
      <c r="AE245" s="381">
        <f t="shared" si="37"/>
        <v>0</v>
      </c>
      <c r="AF245" s="382"/>
      <c r="AG245" s="382">
        <v>0</v>
      </c>
      <c r="AH245" s="383">
        <f t="shared" si="38"/>
        <v>0.36</v>
      </c>
      <c r="AJ245" s="383"/>
      <c r="AL245" s="385"/>
      <c r="AM245" s="381"/>
      <c r="AN245" s="382"/>
      <c r="AO245" s="382"/>
      <c r="AP245" s="383"/>
      <c r="AQ245" s="383"/>
    </row>
    <row r="246" spans="1:43" s="384" customFormat="1" ht="18.75" customHeight="1">
      <c r="A246" s="167">
        <v>236</v>
      </c>
      <c r="B246" s="240">
        <f>VLOOKUP(A246,'JUNE (물량흐름)'!$A$13:$C$502,3,0)</f>
        <v>465409</v>
      </c>
      <c r="C246" s="21" t="str">
        <f>VLOOKUP(A246,'JUNE (물량흐름)'!$A$13:$C$502,2,0)</f>
        <v>ANN TAYLOR</v>
      </c>
      <c r="D246" s="212">
        <v>0.35</v>
      </c>
      <c r="E246" s="6">
        <f>VLOOKUP(B246,'Sales profit (스타일 별 매출이익)'!$D$9:$P$491,13,0)</f>
        <v>7936.2499999999991</v>
      </c>
      <c r="F246" s="112">
        <f>IFERROR(VLOOKUP(B246,O.B.JUNE!$N$7:$Q$448,2,0),0)</f>
        <v>2</v>
      </c>
      <c r="G246" s="112">
        <f>IFERROR(VLOOKUP(B246,O.B.JUNE!$N$7:$Q$448,3,0),0)</f>
        <v>14</v>
      </c>
      <c r="H246" s="112">
        <f>IFERROR(VLOOKUP(B246,O.B.JUNE!$N$7:$Q$448,4,0),0)</f>
        <v>1025</v>
      </c>
      <c r="I246" s="112">
        <f t="shared" si="30"/>
        <v>1041</v>
      </c>
      <c r="J246" s="112">
        <f>IFERROR(VLOOKUP(B246,O.B.JUNE!$AA$7:$AG$448,7,0),0)</f>
        <v>18087276</v>
      </c>
      <c r="K246" s="112">
        <f>IFERROR(VLOOKUP(B246,O.B.JUNE!$AI$7:$AO$448,7,0),0)</f>
        <v>24614092</v>
      </c>
      <c r="L246" s="112">
        <f t="shared" si="31"/>
        <v>42701368</v>
      </c>
      <c r="M246" s="112">
        <f>ROUND(SUMIF('JUNE (물량흐름)'!$C$13:$C$502,'WIP(재공품)'!B246,'JUNE (물량흐름)'!$H$13:$H$502)+SUMIF('JUNE (물량흐름)'!$C$13:$C$502,'WIP(재공품)'!B246,'JUNE (물량흐름)'!$V$13:$V$502),0)</f>
        <v>0</v>
      </c>
      <c r="N246" s="112">
        <f>SUMIF('Direct labour(직접노무비)'!$C$12:$C$503,'WIP(재공품)'!B246,'Direct labour(직접노무비)'!$O$12:$O$503)</f>
        <v>0</v>
      </c>
      <c r="O246" s="112">
        <f>SUMIF('Overhead exp(제조경비)'!$C$12:$C$503,'WIP(재공품)'!B246,'Overhead exp(제조경비)'!$O$12:$O$503)</f>
        <v>0</v>
      </c>
      <c r="P246" s="112">
        <f t="shared" si="32"/>
        <v>0</v>
      </c>
      <c r="Q246" s="112">
        <v>0</v>
      </c>
      <c r="R246" s="112">
        <v>0</v>
      </c>
      <c r="S246" s="112">
        <f>SUMIF('JUNE (물량흐름)'!$C$13:$C$493,'WIP(재공품)'!B246,'JUNE (물량흐름)'!$T$13:$T$493)+SUMIF('JUNE (물량흐름)'!$C$13:$C$493,'WIP(재공품)'!B246,'JUNE (물량흐름)'!$U$13:$U$493)+SUMIF('JUNE (물량흐름)'!$C$13:$C$493,'WIP(재공품)'!B246,'JUNE (물량흐름)'!$V$13:$V$493)-SUMIF('JUNE (물량흐름)'!$C$13:$C$493,'WIP(재공품)'!B246,'JUNE (물량흐름)'!$Y$13:$Y$493)</f>
        <v>0</v>
      </c>
      <c r="T246" s="112">
        <f>SUMIF('JUNE (물량흐름)'!$C$13:$C$502,'WIP(재공품)'!B246,'JUNE (물량흐름)'!$Y$13:$Y$502)</f>
        <v>0</v>
      </c>
      <c r="U246" s="167">
        <f>SUMIF('Direct labour(직접노무비)'!$C$12:$C$503,'WIP(재공품)'!B246,'Direct labour(직접노무비)'!$U$12:$U$503)+SUMIF('Overhead exp(제조경비)'!$C$12:$C$503,'WIP(재공품)'!B246,'Overhead exp(제조경비)'!$U$12:$U$503)</f>
        <v>0</v>
      </c>
      <c r="V246" s="112">
        <f>SUMIF('Direct labour(직접노무비)'!$C$12:$C$503,'WIP(재공품)'!B246,'Direct labour(직접노무비)'!$Q$12:$Q$503)</f>
        <v>0</v>
      </c>
      <c r="W246" s="112">
        <f>SUMIF('Overhead exp(제조경비)'!$C$12:$C$503,'WIP(재공품)'!B246,'Overhead exp(제조경비)'!$Q$12:$Q$503)</f>
        <v>0</v>
      </c>
      <c r="X246" s="112">
        <f t="shared" si="33"/>
        <v>0</v>
      </c>
      <c r="Y246" s="112">
        <f ca="1">ROUND(SUMIF('JUNE (물량흐름)'!$C$13:$C$502,'WIP(재공품)'!B246,'JUNE (물량흐름)'!$N$13:$N$488),0)</f>
        <v>2</v>
      </c>
      <c r="Z246" s="112">
        <f>ROUND(SUMIF('JUNE (물량흐름)'!$C$13:$C$502,'WIP(재공품)'!B246,'JUNE (물량흐름)'!$O$13:$O$502),0)</f>
        <v>14</v>
      </c>
      <c r="AA246" s="112">
        <f>ROUND(SUMIF('JUNE (물량흐름)'!$C$13:$C$502,'WIP(재공품)'!B246,'JUNE (물량흐름)'!$P$13:$P$502),0)</f>
        <v>1025</v>
      </c>
      <c r="AB246" s="112">
        <f t="shared" ca="1" si="34"/>
        <v>1041</v>
      </c>
      <c r="AC246" s="112">
        <f t="shared" si="35"/>
        <v>42701368</v>
      </c>
      <c r="AD246" s="381">
        <f t="shared" ca="1" si="36"/>
        <v>0</v>
      </c>
      <c r="AE246" s="381">
        <f t="shared" si="37"/>
        <v>0</v>
      </c>
      <c r="AF246" s="382"/>
      <c r="AG246" s="382">
        <v>1.5499999999999998</v>
      </c>
      <c r="AH246" s="383">
        <f t="shared" si="38"/>
        <v>-1.1999999999999997</v>
      </c>
      <c r="AJ246" s="383"/>
      <c r="AL246" s="385"/>
      <c r="AM246" s="381"/>
      <c r="AN246" s="382"/>
      <c r="AO246" s="382"/>
      <c r="AP246" s="383"/>
      <c r="AQ246" s="383"/>
    </row>
    <row r="247" spans="1:43" s="384" customFormat="1" ht="18.75" customHeight="1">
      <c r="A247" s="167">
        <v>237</v>
      </c>
      <c r="B247" s="240">
        <f>VLOOKUP(A247,'JUNE (물량흐름)'!$A$13:$C$502,3,0)</f>
        <v>100010055</v>
      </c>
      <c r="C247" s="21" t="str">
        <f>VLOOKUP(A247,'JUNE (물량흐름)'!$A$13:$C$502,2,0)</f>
        <v>CHARTER CLUB</v>
      </c>
      <c r="D247" s="212">
        <v>0.35</v>
      </c>
      <c r="E247" s="6">
        <f>VLOOKUP(B247,'Sales profit (스타일 별 매출이익)'!$D$9:$P$491,13,0)</f>
        <v>7936.2499999999991</v>
      </c>
      <c r="F247" s="112">
        <f>IFERROR(VLOOKUP(B247,O.B.JUNE!$N$7:$Q$448,2,0),0)</f>
        <v>0</v>
      </c>
      <c r="G247" s="112">
        <f>IFERROR(VLOOKUP(B247,O.B.JUNE!$N$7:$Q$448,3,0),0)</f>
        <v>17</v>
      </c>
      <c r="H247" s="112">
        <f>IFERROR(VLOOKUP(B247,O.B.JUNE!$N$7:$Q$448,4,0),0)</f>
        <v>7</v>
      </c>
      <c r="I247" s="112">
        <f t="shared" si="30"/>
        <v>24</v>
      </c>
      <c r="J247" s="112">
        <f>IFERROR(VLOOKUP(B247,O.B.JUNE!$AA$7:$AG$448,7,0),0)</f>
        <v>846047</v>
      </c>
      <c r="K247" s="112">
        <f>IFERROR(VLOOKUP(B247,O.B.JUNE!$AI$7:$AO$448,7,0),0)</f>
        <v>1254657</v>
      </c>
      <c r="L247" s="112">
        <f t="shared" si="31"/>
        <v>2100704</v>
      </c>
      <c r="M247" s="112">
        <f>ROUND(SUMIF('JUNE (물량흐름)'!$C$13:$C$502,'WIP(재공품)'!B247,'JUNE (물량흐름)'!$H$13:$H$502)+SUMIF('JUNE (물량흐름)'!$C$13:$C$502,'WIP(재공품)'!B247,'JUNE (물량흐름)'!$V$13:$V$502),0)</f>
        <v>0</v>
      </c>
      <c r="N247" s="112">
        <f>SUMIF('Direct labour(직접노무비)'!$C$12:$C$503,'WIP(재공품)'!B247,'Direct labour(직접노무비)'!$O$12:$O$503)</f>
        <v>0</v>
      </c>
      <c r="O247" s="112">
        <f>SUMIF('Overhead exp(제조경비)'!$C$12:$C$503,'WIP(재공품)'!B247,'Overhead exp(제조경비)'!$O$12:$O$503)</f>
        <v>0</v>
      </c>
      <c r="P247" s="112">
        <f t="shared" si="32"/>
        <v>0</v>
      </c>
      <c r="Q247" s="112">
        <v>0</v>
      </c>
      <c r="R247" s="112">
        <v>0</v>
      </c>
      <c r="S247" s="112">
        <f>SUMIF('JUNE (물량흐름)'!$C$13:$C$493,'WIP(재공품)'!B247,'JUNE (물량흐름)'!$T$13:$T$493)+SUMIF('JUNE (물량흐름)'!$C$13:$C$493,'WIP(재공품)'!B247,'JUNE (물량흐름)'!$U$13:$U$493)+SUMIF('JUNE (물량흐름)'!$C$13:$C$493,'WIP(재공품)'!B247,'JUNE (물량흐름)'!$V$13:$V$493)-SUMIF('JUNE (물량흐름)'!$C$13:$C$493,'WIP(재공품)'!B247,'JUNE (물량흐름)'!$Y$13:$Y$493)</f>
        <v>0</v>
      </c>
      <c r="T247" s="112">
        <f>SUMIF('JUNE (물량흐름)'!$C$13:$C$502,'WIP(재공품)'!B247,'JUNE (물량흐름)'!$Y$13:$Y$502)</f>
        <v>0</v>
      </c>
      <c r="U247" s="167">
        <f>SUMIF('Direct labour(직접노무비)'!$C$12:$C$503,'WIP(재공품)'!B247,'Direct labour(직접노무비)'!$U$12:$U$503)+SUMIF('Overhead exp(제조경비)'!$C$12:$C$503,'WIP(재공품)'!B247,'Overhead exp(제조경비)'!$U$12:$U$503)</f>
        <v>0</v>
      </c>
      <c r="V247" s="112">
        <f>SUMIF('Direct labour(직접노무비)'!$C$12:$C$503,'WIP(재공품)'!B247,'Direct labour(직접노무비)'!$Q$12:$Q$503)</f>
        <v>0</v>
      </c>
      <c r="W247" s="112">
        <f>SUMIF('Overhead exp(제조경비)'!$C$12:$C$503,'WIP(재공품)'!B247,'Overhead exp(제조경비)'!$Q$12:$Q$503)</f>
        <v>0</v>
      </c>
      <c r="X247" s="112">
        <f t="shared" si="33"/>
        <v>0</v>
      </c>
      <c r="Y247" s="112">
        <f ca="1">ROUND(SUMIF('JUNE (물량흐름)'!$C$13:$C$502,'WIP(재공품)'!B247,'JUNE (물량흐름)'!$N$13:$N$488),0)</f>
        <v>0</v>
      </c>
      <c r="Z247" s="112">
        <f>ROUND(SUMIF('JUNE (물량흐름)'!$C$13:$C$502,'WIP(재공품)'!B247,'JUNE (물량흐름)'!$O$13:$O$502),0)</f>
        <v>17</v>
      </c>
      <c r="AA247" s="112">
        <f>ROUND(SUMIF('JUNE (물량흐름)'!$C$13:$C$502,'WIP(재공품)'!B247,'JUNE (물량흐름)'!$P$13:$P$502),0)</f>
        <v>7</v>
      </c>
      <c r="AB247" s="112">
        <f t="shared" ca="1" si="34"/>
        <v>24</v>
      </c>
      <c r="AC247" s="112">
        <f t="shared" si="35"/>
        <v>2100704</v>
      </c>
      <c r="AD247" s="381">
        <f t="shared" ca="1" si="36"/>
        <v>0</v>
      </c>
      <c r="AE247" s="381">
        <f t="shared" si="37"/>
        <v>0</v>
      </c>
      <c r="AF247" s="382"/>
      <c r="AG247" s="382">
        <v>1.3499999999999999</v>
      </c>
      <c r="AH247" s="383">
        <f t="shared" si="38"/>
        <v>-0.99999999999999989</v>
      </c>
      <c r="AJ247" s="383"/>
      <c r="AL247" s="385"/>
      <c r="AM247" s="381"/>
      <c r="AN247" s="382"/>
      <c r="AO247" s="382"/>
      <c r="AP247" s="383"/>
      <c r="AQ247" s="383"/>
    </row>
    <row r="248" spans="1:43" s="384" customFormat="1" ht="18.75" customHeight="1">
      <c r="A248" s="167">
        <v>238</v>
      </c>
      <c r="B248" s="240">
        <f>VLOOKUP(A248,'JUNE (물량흐름)'!$A$13:$C$502,3,0)</f>
        <v>100013421</v>
      </c>
      <c r="C248" s="21" t="str">
        <f>VLOOKUP(A248,'JUNE (물량흐름)'!$A$13:$C$502,2,0)</f>
        <v>CHARTER CLUB</v>
      </c>
      <c r="D248" s="212">
        <v>1.96</v>
      </c>
      <c r="E248" s="6">
        <f>VLOOKUP(B248,'Sales profit (스타일 별 매출이익)'!$D$9:$P$491,13,0)</f>
        <v>44443</v>
      </c>
      <c r="F248" s="112">
        <f>IFERROR(VLOOKUP(B248,O.B.JUNE!$N$7:$Q$448,2,0),0)</f>
        <v>0</v>
      </c>
      <c r="G248" s="112">
        <f>IFERROR(VLOOKUP(B248,O.B.JUNE!$N$7:$Q$448,3,0),0)</f>
        <v>364</v>
      </c>
      <c r="H248" s="112">
        <f>IFERROR(VLOOKUP(B248,O.B.JUNE!$N$7:$Q$448,4,0),0)</f>
        <v>338</v>
      </c>
      <c r="I248" s="112">
        <f t="shared" si="30"/>
        <v>702</v>
      </c>
      <c r="J248" s="112">
        <f>IFERROR(VLOOKUP(B248,O.B.JUNE!$AA$7:$AG$448,7,0),0)</f>
        <v>7166537</v>
      </c>
      <c r="K248" s="112">
        <f>IFERROR(VLOOKUP(B248,O.B.JUNE!$AI$7:$AO$448,7,0),0)</f>
        <v>9752592</v>
      </c>
      <c r="L248" s="112">
        <f t="shared" si="31"/>
        <v>16919129</v>
      </c>
      <c r="M248" s="112">
        <f>ROUND(SUMIF('JUNE (물량흐름)'!$C$13:$C$502,'WIP(재공품)'!B248,'JUNE (물량흐름)'!$H$13:$H$502)+SUMIF('JUNE (물량흐름)'!$C$13:$C$502,'WIP(재공품)'!B248,'JUNE (물량흐름)'!$V$13:$V$502),0)</f>
        <v>0</v>
      </c>
      <c r="N248" s="112">
        <f>SUMIF('Direct labour(직접노무비)'!$C$12:$C$503,'WIP(재공품)'!B248,'Direct labour(직접노무비)'!$O$12:$O$503)</f>
        <v>0</v>
      </c>
      <c r="O248" s="112">
        <f>SUMIF('Overhead exp(제조경비)'!$C$12:$C$503,'WIP(재공품)'!B248,'Overhead exp(제조경비)'!$O$12:$O$503)</f>
        <v>0</v>
      </c>
      <c r="P248" s="112">
        <f t="shared" si="32"/>
        <v>0</v>
      </c>
      <c r="Q248" s="112">
        <v>0</v>
      </c>
      <c r="R248" s="112">
        <v>0</v>
      </c>
      <c r="S248" s="112">
        <f>SUMIF('JUNE (물량흐름)'!$C$13:$C$493,'WIP(재공품)'!B248,'JUNE (물량흐름)'!$T$13:$T$493)+SUMIF('JUNE (물량흐름)'!$C$13:$C$493,'WIP(재공품)'!B248,'JUNE (물량흐름)'!$U$13:$U$493)+SUMIF('JUNE (물량흐름)'!$C$13:$C$493,'WIP(재공품)'!B248,'JUNE (물량흐름)'!$V$13:$V$493)-SUMIF('JUNE (물량흐름)'!$C$13:$C$493,'WIP(재공품)'!B248,'JUNE (물량흐름)'!$Y$13:$Y$493)</f>
        <v>0</v>
      </c>
      <c r="T248" s="112">
        <f>SUMIF('JUNE (물량흐름)'!$C$13:$C$502,'WIP(재공품)'!B248,'JUNE (물량흐름)'!$Y$13:$Y$502)</f>
        <v>0</v>
      </c>
      <c r="U248" s="167">
        <f>SUMIF('Direct labour(직접노무비)'!$C$12:$C$503,'WIP(재공품)'!B248,'Direct labour(직접노무비)'!$U$12:$U$503)+SUMIF('Overhead exp(제조경비)'!$C$12:$C$503,'WIP(재공품)'!B248,'Overhead exp(제조경비)'!$U$12:$U$503)</f>
        <v>0</v>
      </c>
      <c r="V248" s="112">
        <f>SUMIF('Direct labour(직접노무비)'!$C$12:$C$503,'WIP(재공품)'!B248,'Direct labour(직접노무비)'!$Q$12:$Q$503)</f>
        <v>0</v>
      </c>
      <c r="W248" s="112">
        <f>SUMIF('Overhead exp(제조경비)'!$C$12:$C$503,'WIP(재공품)'!B248,'Overhead exp(제조경비)'!$Q$12:$Q$503)</f>
        <v>0</v>
      </c>
      <c r="X248" s="112">
        <f t="shared" si="33"/>
        <v>0</v>
      </c>
      <c r="Y248" s="112">
        <f ca="1">ROUND(SUMIF('JUNE (물량흐름)'!$C$13:$C$502,'WIP(재공품)'!B248,'JUNE (물량흐름)'!$N$13:$N$488),0)</f>
        <v>0</v>
      </c>
      <c r="Z248" s="112">
        <f>ROUND(SUMIF('JUNE (물량흐름)'!$C$13:$C$502,'WIP(재공품)'!B248,'JUNE (물량흐름)'!$O$13:$O$502),0)</f>
        <v>364</v>
      </c>
      <c r="AA248" s="112">
        <f>ROUND(SUMIF('JUNE (물량흐름)'!$C$13:$C$502,'WIP(재공품)'!B248,'JUNE (물량흐름)'!$P$13:$P$502),0)</f>
        <v>338</v>
      </c>
      <c r="AB248" s="112">
        <f t="shared" ca="1" si="34"/>
        <v>702</v>
      </c>
      <c r="AC248" s="112">
        <f t="shared" si="35"/>
        <v>16919129</v>
      </c>
      <c r="AD248" s="381">
        <f t="shared" ca="1" si="36"/>
        <v>0</v>
      </c>
      <c r="AE248" s="381">
        <f t="shared" si="37"/>
        <v>0</v>
      </c>
      <c r="AF248" s="382"/>
      <c r="AG248" s="382">
        <v>0</v>
      </c>
      <c r="AH248" s="383">
        <f t="shared" si="38"/>
        <v>1.96</v>
      </c>
      <c r="AJ248" s="383"/>
      <c r="AL248" s="385"/>
      <c r="AM248" s="381"/>
      <c r="AN248" s="382"/>
      <c r="AO248" s="382"/>
      <c r="AP248" s="383"/>
      <c r="AQ248" s="383"/>
    </row>
    <row r="249" spans="1:43" s="384" customFormat="1" ht="18.75" customHeight="1">
      <c r="A249" s="167">
        <v>239</v>
      </c>
      <c r="B249" s="240">
        <f>VLOOKUP(A249,'JUNE (물량흐름)'!$A$13:$C$502,3,0)</f>
        <v>100006969</v>
      </c>
      <c r="C249" s="21" t="str">
        <f>VLOOKUP(A249,'JUNE (물량흐름)'!$A$13:$C$502,2,0)</f>
        <v>INC</v>
      </c>
      <c r="D249" s="212">
        <v>1.96</v>
      </c>
      <c r="E249" s="6">
        <f>VLOOKUP(B249,'Sales profit (스타일 별 매출이익)'!$D$9:$P$491,13,0)</f>
        <v>44443</v>
      </c>
      <c r="F249" s="112">
        <f>IFERROR(VLOOKUP(B249,O.B.JUNE!$N$7:$Q$448,2,0),0)</f>
        <v>30</v>
      </c>
      <c r="G249" s="112">
        <f>IFERROR(VLOOKUP(B249,O.B.JUNE!$N$7:$Q$448,3,0),0)</f>
        <v>73</v>
      </c>
      <c r="H249" s="112">
        <f>IFERROR(VLOOKUP(B249,O.B.JUNE!$N$7:$Q$448,4,0),0)</f>
        <v>57</v>
      </c>
      <c r="I249" s="112">
        <f t="shared" si="30"/>
        <v>160</v>
      </c>
      <c r="J249" s="112">
        <f>IFERROR(VLOOKUP(B249,O.B.JUNE!$AA$7:$AG$448,7,0),0)</f>
        <v>4979554</v>
      </c>
      <c r="K249" s="112">
        <f>IFERROR(VLOOKUP(B249,O.B.JUNE!$AI$7:$AO$448,7,0),0)</f>
        <v>7286726</v>
      </c>
      <c r="L249" s="112">
        <f t="shared" si="31"/>
        <v>12266280</v>
      </c>
      <c r="M249" s="112">
        <f>ROUND(SUMIF('JUNE (물량흐름)'!$C$13:$C$502,'WIP(재공품)'!B249,'JUNE (물량흐름)'!$H$13:$H$502)+SUMIF('JUNE (물량흐름)'!$C$13:$C$502,'WIP(재공품)'!B249,'JUNE (물량흐름)'!$V$13:$V$502),0)</f>
        <v>0</v>
      </c>
      <c r="N249" s="112">
        <f>SUMIF('Direct labour(직접노무비)'!$C$12:$C$503,'WIP(재공품)'!B249,'Direct labour(직접노무비)'!$O$12:$O$503)</f>
        <v>0</v>
      </c>
      <c r="O249" s="112">
        <f>SUMIF('Overhead exp(제조경비)'!$C$12:$C$503,'WIP(재공품)'!B249,'Overhead exp(제조경비)'!$O$12:$O$503)</f>
        <v>0</v>
      </c>
      <c r="P249" s="112">
        <f t="shared" si="32"/>
        <v>0</v>
      </c>
      <c r="Q249" s="112">
        <v>0</v>
      </c>
      <c r="R249" s="112">
        <v>0</v>
      </c>
      <c r="S249" s="112">
        <f>SUMIF('JUNE (물량흐름)'!$C$13:$C$493,'WIP(재공품)'!B249,'JUNE (물량흐름)'!$T$13:$T$493)+SUMIF('JUNE (물량흐름)'!$C$13:$C$493,'WIP(재공품)'!B249,'JUNE (물량흐름)'!$U$13:$U$493)+SUMIF('JUNE (물량흐름)'!$C$13:$C$493,'WIP(재공품)'!B249,'JUNE (물량흐름)'!$V$13:$V$493)-SUMIF('JUNE (물량흐름)'!$C$13:$C$493,'WIP(재공품)'!B249,'JUNE (물량흐름)'!$Y$13:$Y$493)</f>
        <v>0</v>
      </c>
      <c r="T249" s="112">
        <f>SUMIF('JUNE (물량흐름)'!$C$13:$C$502,'WIP(재공품)'!B249,'JUNE (물량흐름)'!$Y$13:$Y$502)</f>
        <v>0</v>
      </c>
      <c r="U249" s="167">
        <f>SUMIF('Direct labour(직접노무비)'!$C$12:$C$503,'WIP(재공품)'!B249,'Direct labour(직접노무비)'!$U$12:$U$503)+SUMIF('Overhead exp(제조경비)'!$C$12:$C$503,'WIP(재공품)'!B249,'Overhead exp(제조경비)'!$U$12:$U$503)</f>
        <v>0</v>
      </c>
      <c r="V249" s="112">
        <f>SUMIF('Direct labour(직접노무비)'!$C$12:$C$503,'WIP(재공품)'!B249,'Direct labour(직접노무비)'!$Q$12:$Q$503)</f>
        <v>0</v>
      </c>
      <c r="W249" s="112">
        <f>SUMIF('Overhead exp(제조경비)'!$C$12:$C$503,'WIP(재공품)'!B249,'Overhead exp(제조경비)'!$Q$12:$Q$503)</f>
        <v>0</v>
      </c>
      <c r="X249" s="112">
        <f t="shared" si="33"/>
        <v>0</v>
      </c>
      <c r="Y249" s="112">
        <f ca="1">ROUND(SUMIF('JUNE (물량흐름)'!$C$13:$C$502,'WIP(재공품)'!B249,'JUNE (물량흐름)'!$N$13:$N$488),0)</f>
        <v>30</v>
      </c>
      <c r="Z249" s="112">
        <f>ROUND(SUMIF('JUNE (물량흐름)'!$C$13:$C$502,'WIP(재공품)'!B249,'JUNE (물량흐름)'!$O$13:$O$502),0)</f>
        <v>73</v>
      </c>
      <c r="AA249" s="112">
        <f>ROUND(SUMIF('JUNE (물량흐름)'!$C$13:$C$502,'WIP(재공품)'!B249,'JUNE (물량흐름)'!$P$13:$P$502),0)</f>
        <v>57</v>
      </c>
      <c r="AB249" s="112">
        <f t="shared" ca="1" si="34"/>
        <v>160</v>
      </c>
      <c r="AC249" s="112">
        <f t="shared" si="35"/>
        <v>12266280</v>
      </c>
      <c r="AD249" s="381">
        <f ca="1">I249+M249-S249-T249-AB249</f>
        <v>0</v>
      </c>
      <c r="AE249" s="381">
        <f t="shared" si="37"/>
        <v>0</v>
      </c>
      <c r="AF249" s="382"/>
      <c r="AG249" s="382">
        <v>0</v>
      </c>
      <c r="AH249" s="383">
        <f t="shared" si="38"/>
        <v>1.96</v>
      </c>
      <c r="AJ249" s="383"/>
      <c r="AL249" s="385"/>
      <c r="AM249" s="381"/>
      <c r="AN249" s="382"/>
      <c r="AO249" s="382"/>
      <c r="AP249" s="383"/>
      <c r="AQ249" s="383"/>
    </row>
    <row r="250" spans="1:43" s="384" customFormat="1" ht="18.75" customHeight="1">
      <c r="A250" s="167">
        <v>240</v>
      </c>
      <c r="B250" s="240">
        <f>VLOOKUP(A250,'JUNE (물량흐름)'!$A$13:$C$502,3,0)</f>
        <v>100020548</v>
      </c>
      <c r="C250" s="21" t="str">
        <f>VLOOKUP(A250,'JUNE (물량흐름)'!$A$13:$C$502,2,0)</f>
        <v>INC</v>
      </c>
      <c r="D250" s="212">
        <v>0.35</v>
      </c>
      <c r="E250" s="6">
        <f>VLOOKUP(B250,'Sales profit (스타일 별 매출이익)'!$D$9:$P$491,13,0)</f>
        <v>7936.2499999999991</v>
      </c>
      <c r="F250" s="112">
        <f>IFERROR(VLOOKUP(B250,O.B.JUNE!$N$7:$Q$448,2,0),0)</f>
        <v>0</v>
      </c>
      <c r="G250" s="112">
        <f>IFERROR(VLOOKUP(B250,O.B.JUNE!$N$7:$Q$448,3,0),0)</f>
        <v>436</v>
      </c>
      <c r="H250" s="112">
        <f>IFERROR(VLOOKUP(B250,O.B.JUNE!$N$7:$Q$448,4,0),0)</f>
        <v>414</v>
      </c>
      <c r="I250" s="112">
        <f t="shared" si="30"/>
        <v>850</v>
      </c>
      <c r="J250" s="112">
        <f>IFERROR(VLOOKUP(B250,O.B.JUNE!$AA$7:$AG$448,7,0),0)</f>
        <v>11763332</v>
      </c>
      <c r="K250" s="112">
        <f>IFERROR(VLOOKUP(B250,O.B.JUNE!$AI$7:$AO$448,7,0),0)</f>
        <v>16008145</v>
      </c>
      <c r="L250" s="112">
        <f t="shared" si="31"/>
        <v>27771477</v>
      </c>
      <c r="M250" s="112">
        <f>ROUND(SUMIF('JUNE (물량흐름)'!$C$13:$C$502,'WIP(재공품)'!B250,'JUNE (물량흐름)'!$H$13:$H$502)+SUMIF('JUNE (물량흐름)'!$C$13:$C$502,'WIP(재공품)'!B250,'JUNE (물량흐름)'!$V$13:$V$502),0)</f>
        <v>0</v>
      </c>
      <c r="N250" s="112">
        <f>SUMIF('Direct labour(직접노무비)'!$C$12:$C$503,'WIP(재공품)'!B250,'Direct labour(직접노무비)'!$O$12:$O$503)</f>
        <v>0</v>
      </c>
      <c r="O250" s="112">
        <f>SUMIF('Overhead exp(제조경비)'!$C$12:$C$503,'WIP(재공품)'!B250,'Overhead exp(제조경비)'!$O$12:$O$503)</f>
        <v>0</v>
      </c>
      <c r="P250" s="112">
        <f t="shared" si="32"/>
        <v>0</v>
      </c>
      <c r="Q250" s="112">
        <v>0</v>
      </c>
      <c r="R250" s="112">
        <v>0</v>
      </c>
      <c r="S250" s="112">
        <f>SUMIF('JUNE (물량흐름)'!$C$13:$C$493,'WIP(재공품)'!B250,'JUNE (물량흐름)'!$T$13:$T$493)+SUMIF('JUNE (물량흐름)'!$C$13:$C$493,'WIP(재공품)'!B250,'JUNE (물량흐름)'!$U$13:$U$493)+SUMIF('JUNE (물량흐름)'!$C$13:$C$493,'WIP(재공품)'!B250,'JUNE (물량흐름)'!$V$13:$V$493)-SUMIF('JUNE (물량흐름)'!$C$13:$C$493,'WIP(재공품)'!B250,'JUNE (물량흐름)'!$Y$13:$Y$493)</f>
        <v>0</v>
      </c>
      <c r="T250" s="112">
        <f>SUMIF('JUNE (물량흐름)'!$C$13:$C$502,'WIP(재공품)'!B250,'JUNE (물량흐름)'!$Y$13:$Y$502)</f>
        <v>0</v>
      </c>
      <c r="U250" s="167">
        <f>SUMIF('Direct labour(직접노무비)'!$C$12:$C$503,'WIP(재공품)'!B250,'Direct labour(직접노무비)'!$U$12:$U$503)+SUMIF('Overhead exp(제조경비)'!$C$12:$C$503,'WIP(재공품)'!B250,'Overhead exp(제조경비)'!$U$12:$U$503)</f>
        <v>0</v>
      </c>
      <c r="V250" s="112">
        <f>SUMIF('Direct labour(직접노무비)'!$C$12:$C$503,'WIP(재공품)'!B250,'Direct labour(직접노무비)'!$Q$12:$Q$503)</f>
        <v>0</v>
      </c>
      <c r="W250" s="112">
        <f>SUMIF('Overhead exp(제조경비)'!$C$12:$C$503,'WIP(재공품)'!B250,'Overhead exp(제조경비)'!$Q$12:$Q$503)</f>
        <v>0</v>
      </c>
      <c r="X250" s="112">
        <f t="shared" si="33"/>
        <v>0</v>
      </c>
      <c r="Y250" s="112">
        <f ca="1">ROUND(SUMIF('JUNE (물량흐름)'!$C$13:$C$502,'WIP(재공품)'!B250,'JUNE (물량흐름)'!$N$13:$N$488),0)</f>
        <v>0</v>
      </c>
      <c r="Z250" s="112">
        <f>ROUND(SUMIF('JUNE (물량흐름)'!$C$13:$C$502,'WIP(재공품)'!B250,'JUNE (물량흐름)'!$O$13:$O$502),0)</f>
        <v>436</v>
      </c>
      <c r="AA250" s="112">
        <f>ROUND(SUMIF('JUNE (물량흐름)'!$C$13:$C$502,'WIP(재공품)'!B250,'JUNE (물량흐름)'!$P$13:$P$502),0)</f>
        <v>414</v>
      </c>
      <c r="AB250" s="112">
        <f t="shared" ca="1" si="34"/>
        <v>850</v>
      </c>
      <c r="AC250" s="112">
        <f t="shared" si="35"/>
        <v>27771477</v>
      </c>
      <c r="AD250" s="381">
        <f t="shared" ca="1" si="36"/>
        <v>0</v>
      </c>
      <c r="AE250" s="381">
        <f t="shared" si="37"/>
        <v>0</v>
      </c>
      <c r="AF250" s="382"/>
      <c r="AG250" s="382">
        <v>1.3499999999999999</v>
      </c>
      <c r="AH250" s="383">
        <f t="shared" si="38"/>
        <v>-0.99999999999999989</v>
      </c>
      <c r="AJ250" s="383"/>
      <c r="AL250" s="385"/>
      <c r="AM250" s="381"/>
      <c r="AN250" s="382"/>
      <c r="AO250" s="382"/>
      <c r="AP250" s="383"/>
      <c r="AQ250" s="383"/>
    </row>
    <row r="251" spans="1:43" s="384" customFormat="1" ht="18.75" customHeight="1">
      <c r="A251" s="167">
        <v>241</v>
      </c>
      <c r="B251" s="240">
        <f>VLOOKUP(A251,'JUNE (물량흐름)'!$A$13:$C$502,3,0)</f>
        <v>77511</v>
      </c>
      <c r="C251" s="21" t="str">
        <f>VLOOKUP(A251,'JUNE (물량흐름)'!$A$13:$C$502,2,0)</f>
        <v>INC</v>
      </c>
      <c r="D251" s="212">
        <v>0.36</v>
      </c>
      <c r="E251" s="6">
        <f>VLOOKUP(B251,'Sales profit (스타일 별 매출이익)'!$D$9:$P$491,13,0)</f>
        <v>8163</v>
      </c>
      <c r="F251" s="112">
        <f>IFERROR(VLOOKUP(B251,O.B.JUNE!$N$7:$Q$448,2,0),0)</f>
        <v>0</v>
      </c>
      <c r="G251" s="112">
        <f>IFERROR(VLOOKUP(B251,O.B.JUNE!$N$7:$Q$448,3,0),0)</f>
        <v>0</v>
      </c>
      <c r="H251" s="112">
        <f>IFERROR(VLOOKUP(B251,O.B.JUNE!$N$7:$Q$448,4,0),0)</f>
        <v>89</v>
      </c>
      <c r="I251" s="112">
        <f t="shared" si="30"/>
        <v>89</v>
      </c>
      <c r="J251" s="112">
        <f>IFERROR(VLOOKUP(B251,O.B.JUNE!$AA$7:$AG$448,7,0),0)</f>
        <v>2584498</v>
      </c>
      <c r="K251" s="112">
        <f>IFERROR(VLOOKUP(B251,O.B.JUNE!$AI$7:$AO$448,7,0),0)</f>
        <v>3793783</v>
      </c>
      <c r="L251" s="112">
        <f t="shared" si="31"/>
        <v>6378281</v>
      </c>
      <c r="M251" s="112">
        <f>ROUND(SUMIF('JUNE (물량흐름)'!$C$13:$C$502,'WIP(재공품)'!B251,'JUNE (물량흐름)'!$H$13:$H$502)+SUMIF('JUNE (물량흐름)'!$C$13:$C$502,'WIP(재공품)'!B251,'JUNE (물량흐름)'!$V$13:$V$502),0)</f>
        <v>0</v>
      </c>
      <c r="N251" s="112">
        <f>SUMIF('Direct labour(직접노무비)'!$C$12:$C$503,'WIP(재공품)'!B251,'Direct labour(직접노무비)'!$O$12:$O$503)</f>
        <v>0</v>
      </c>
      <c r="O251" s="112">
        <f>SUMIF('Overhead exp(제조경비)'!$C$12:$C$503,'WIP(재공품)'!B251,'Overhead exp(제조경비)'!$O$12:$O$503)</f>
        <v>0</v>
      </c>
      <c r="P251" s="112">
        <f t="shared" si="32"/>
        <v>0</v>
      </c>
      <c r="Q251" s="112">
        <v>0</v>
      </c>
      <c r="R251" s="112">
        <v>0</v>
      </c>
      <c r="S251" s="112">
        <f>SUMIF('JUNE (물량흐름)'!$C$13:$C$493,'WIP(재공품)'!B251,'JUNE (물량흐름)'!$T$13:$T$493)+SUMIF('JUNE (물량흐름)'!$C$13:$C$493,'WIP(재공품)'!B251,'JUNE (물량흐름)'!$U$13:$U$493)+SUMIF('JUNE (물량흐름)'!$C$13:$C$493,'WIP(재공품)'!B251,'JUNE (물량흐름)'!$V$13:$V$493)-SUMIF('JUNE (물량흐름)'!$C$13:$C$493,'WIP(재공품)'!B251,'JUNE (물량흐름)'!$Y$13:$Y$493)</f>
        <v>89</v>
      </c>
      <c r="T251" s="112">
        <f>SUMIF('JUNE (물량흐름)'!$C$13:$C$502,'WIP(재공품)'!B251,'JUNE (물량흐름)'!$Y$13:$Y$502)</f>
        <v>0</v>
      </c>
      <c r="U251" s="167">
        <f>SUMIF('Direct labour(직접노무비)'!$C$12:$C$503,'WIP(재공품)'!B251,'Direct labour(직접노무비)'!$U$12:$U$503)+SUMIF('Overhead exp(제조경비)'!$C$12:$C$503,'WIP(재공품)'!B251,'Overhead exp(제조경비)'!$U$12:$U$503)</f>
        <v>0</v>
      </c>
      <c r="V251" s="112">
        <f>SUMIF('Direct labour(직접노무비)'!$C$12:$C$503,'WIP(재공품)'!B251,'Direct labour(직접노무비)'!$Q$12:$Q$503)</f>
        <v>2584498</v>
      </c>
      <c r="W251" s="112">
        <f>SUMIF('Overhead exp(제조경비)'!$C$12:$C$503,'WIP(재공품)'!B251,'Overhead exp(제조경비)'!$Q$12:$Q$503)</f>
        <v>3793783</v>
      </c>
      <c r="X251" s="112">
        <f t="shared" si="33"/>
        <v>6378281</v>
      </c>
      <c r="Y251" s="112">
        <f ca="1">ROUND(SUMIF('JUNE (물량흐름)'!$C$13:$C$502,'WIP(재공품)'!B251,'JUNE (물량흐름)'!$N$13:$N$488),0)</f>
        <v>0</v>
      </c>
      <c r="Z251" s="112">
        <f>ROUND(SUMIF('JUNE (물량흐름)'!$C$13:$C$502,'WIP(재공품)'!B251,'JUNE (물량흐름)'!$O$13:$O$502),0)</f>
        <v>0</v>
      </c>
      <c r="AA251" s="112">
        <f>ROUND(SUMIF('JUNE (물량흐름)'!$C$13:$C$502,'WIP(재공품)'!B251,'JUNE (물량흐름)'!$P$13:$P$502),0)</f>
        <v>0</v>
      </c>
      <c r="AB251" s="112">
        <f t="shared" ca="1" si="34"/>
        <v>0</v>
      </c>
      <c r="AC251" s="112">
        <f t="shared" si="35"/>
        <v>0</v>
      </c>
      <c r="AD251" s="381">
        <f t="shared" ca="1" si="36"/>
        <v>0</v>
      </c>
      <c r="AE251" s="381">
        <f t="shared" si="37"/>
        <v>0</v>
      </c>
      <c r="AF251" s="382"/>
      <c r="AG251" s="382">
        <v>1.3499999999999999</v>
      </c>
      <c r="AH251" s="383">
        <f t="shared" si="38"/>
        <v>-0.98999999999999988</v>
      </c>
      <c r="AJ251" s="383"/>
      <c r="AL251" s="385"/>
      <c r="AM251" s="381"/>
      <c r="AN251" s="382"/>
      <c r="AO251" s="382"/>
      <c r="AP251" s="383"/>
      <c r="AQ251" s="383"/>
    </row>
    <row r="252" spans="1:43" s="384" customFormat="1" ht="18.75" customHeight="1">
      <c r="A252" s="167">
        <v>242</v>
      </c>
      <c r="B252" s="240" t="str">
        <f>VLOOKUP(A252,'JUNE (물량흐름)'!$A$13:$C$502,3,0)</f>
        <v>KTP118131</v>
      </c>
      <c r="C252" s="21" t="str">
        <f>VLOOKUP(A252,'JUNE (물량흐름)'!$A$13:$C$502,2,0)</f>
        <v>J JILL</v>
      </c>
      <c r="D252" s="212">
        <v>3.15</v>
      </c>
      <c r="E252" s="6">
        <f>VLOOKUP(B252,'Sales profit (스타일 별 매출이익)'!$D$9:$P$491,13,0)</f>
        <v>71426.25</v>
      </c>
      <c r="F252" s="112">
        <f>IFERROR(VLOOKUP(B252,O.B.JUNE!$N$7:$Q$448,2,0),0)</f>
        <v>0</v>
      </c>
      <c r="G252" s="112">
        <f>IFERROR(VLOOKUP(B252,O.B.JUNE!$N$7:$Q$448,3,0),0)</f>
        <v>0</v>
      </c>
      <c r="H252" s="112">
        <f>IFERROR(VLOOKUP(B252,O.B.JUNE!$N$7:$Q$448,4,0),0)</f>
        <v>619</v>
      </c>
      <c r="I252" s="112">
        <f t="shared" si="30"/>
        <v>619</v>
      </c>
      <c r="J252" s="112">
        <f>IFERROR(VLOOKUP(B252,O.B.JUNE!$AA$7:$AG$448,7,0),0)</f>
        <v>7033122</v>
      </c>
      <c r="K252" s="112">
        <f>IFERROR(VLOOKUP(B252,O.B.JUNE!$AI$7:$AO$448,7,0),0)</f>
        <v>10184382</v>
      </c>
      <c r="L252" s="112">
        <f t="shared" si="31"/>
        <v>17217504</v>
      </c>
      <c r="M252" s="112">
        <f>ROUND(SUMIF('JUNE (물량흐름)'!$C$13:$C$502,'WIP(재공품)'!B252,'JUNE (물량흐름)'!$H$13:$H$502)+SUMIF('JUNE (물량흐름)'!$C$13:$C$502,'WIP(재공품)'!B252,'JUNE (물량흐름)'!$V$13:$V$502),0)</f>
        <v>0</v>
      </c>
      <c r="N252" s="112">
        <f>SUMIF('Direct labour(직접노무비)'!$C$12:$C$503,'WIP(재공품)'!B252,'Direct labour(직접노무비)'!$O$12:$O$503)</f>
        <v>0</v>
      </c>
      <c r="O252" s="112">
        <f>SUMIF('Overhead exp(제조경비)'!$C$12:$C$503,'WIP(재공품)'!B252,'Overhead exp(제조경비)'!$O$12:$O$503)</f>
        <v>0</v>
      </c>
      <c r="P252" s="112">
        <f t="shared" si="32"/>
        <v>0</v>
      </c>
      <c r="Q252" s="112">
        <v>0</v>
      </c>
      <c r="R252" s="112">
        <v>0</v>
      </c>
      <c r="S252" s="112">
        <f>SUMIF('JUNE (물량흐름)'!$C$13:$C$493,'WIP(재공품)'!B252,'JUNE (물량흐름)'!$T$13:$T$493)+SUMIF('JUNE (물량흐름)'!$C$13:$C$493,'WIP(재공품)'!B252,'JUNE (물량흐름)'!$U$13:$U$493)+SUMIF('JUNE (물량흐름)'!$C$13:$C$493,'WIP(재공품)'!B252,'JUNE (물량흐름)'!$V$13:$V$493)-SUMIF('JUNE (물량흐름)'!$C$13:$C$493,'WIP(재공품)'!B252,'JUNE (물량흐름)'!$Y$13:$Y$493)</f>
        <v>0</v>
      </c>
      <c r="T252" s="112">
        <f>SUMIF('JUNE (물량흐름)'!$C$13:$C$502,'WIP(재공품)'!B252,'JUNE (물량흐름)'!$Y$13:$Y$502)</f>
        <v>0</v>
      </c>
      <c r="U252" s="167">
        <f>SUMIF('Direct labour(직접노무비)'!$C$12:$C$503,'WIP(재공품)'!B252,'Direct labour(직접노무비)'!$U$12:$U$503)+SUMIF('Overhead exp(제조경비)'!$C$12:$C$503,'WIP(재공품)'!B252,'Overhead exp(제조경비)'!$U$12:$U$503)</f>
        <v>0</v>
      </c>
      <c r="V252" s="112">
        <f>SUMIF('Direct labour(직접노무비)'!$C$12:$C$503,'WIP(재공품)'!B252,'Direct labour(직접노무비)'!$Q$12:$Q$503)</f>
        <v>0</v>
      </c>
      <c r="W252" s="112">
        <f>SUMIF('Overhead exp(제조경비)'!$C$12:$C$503,'WIP(재공품)'!B252,'Overhead exp(제조경비)'!$Q$12:$Q$503)</f>
        <v>0</v>
      </c>
      <c r="X252" s="112">
        <f t="shared" si="33"/>
        <v>0</v>
      </c>
      <c r="Y252" s="112">
        <f ca="1">ROUND(SUMIF('JUNE (물량흐름)'!$C$13:$C$502,'WIP(재공품)'!B252,'JUNE (물량흐름)'!$N$13:$N$488),0)</f>
        <v>0</v>
      </c>
      <c r="Z252" s="112">
        <f>ROUND(SUMIF('JUNE (물량흐름)'!$C$13:$C$502,'WIP(재공품)'!B252,'JUNE (물량흐름)'!$O$13:$O$502),0)</f>
        <v>0</v>
      </c>
      <c r="AA252" s="112">
        <f>ROUND(SUMIF('JUNE (물량흐름)'!$C$13:$C$502,'WIP(재공품)'!B252,'JUNE (물량흐름)'!$P$13:$P$502),0)</f>
        <v>619</v>
      </c>
      <c r="AB252" s="112">
        <f t="shared" ca="1" si="34"/>
        <v>619</v>
      </c>
      <c r="AC252" s="112">
        <f t="shared" si="35"/>
        <v>17217504</v>
      </c>
      <c r="AD252" s="381">
        <f t="shared" ca="1" si="36"/>
        <v>0</v>
      </c>
      <c r="AE252" s="381">
        <f t="shared" si="37"/>
        <v>0</v>
      </c>
      <c r="AF252" s="382"/>
      <c r="AG252" s="382">
        <v>1.3499999999999999</v>
      </c>
      <c r="AH252" s="383">
        <f t="shared" si="38"/>
        <v>1.8</v>
      </c>
      <c r="AJ252" s="383"/>
      <c r="AL252" s="385"/>
      <c r="AM252" s="381"/>
      <c r="AN252" s="382"/>
      <c r="AO252" s="382"/>
      <c r="AP252" s="383"/>
      <c r="AQ252" s="383"/>
    </row>
    <row r="253" spans="1:43" s="384" customFormat="1" ht="18.75" customHeight="1">
      <c r="A253" s="167">
        <v>243</v>
      </c>
      <c r="B253" s="240" t="str">
        <f>VLOOKUP(A253,'JUNE (물량흐름)'!$A$13:$C$502,3,0)</f>
        <v>KTP121661</v>
      </c>
      <c r="C253" s="21" t="str">
        <f>VLOOKUP(A253,'JUNE (물량흐름)'!$A$13:$C$502,2,0)</f>
        <v>J JILL</v>
      </c>
      <c r="D253" s="212">
        <v>0.35</v>
      </c>
      <c r="E253" s="6">
        <f>VLOOKUP(B253,'Sales profit (스타일 별 매출이익)'!$D$9:$P$491,13,0)</f>
        <v>7936.2499999999991</v>
      </c>
      <c r="F253" s="112">
        <f>IFERROR(VLOOKUP(B253,O.B.JUNE!$N$7:$Q$448,2,0),0)</f>
        <v>0</v>
      </c>
      <c r="G253" s="112">
        <f>IFERROR(VLOOKUP(B253,O.B.JUNE!$N$7:$Q$448,3,0),0)</f>
        <v>47</v>
      </c>
      <c r="H253" s="112">
        <f>IFERROR(VLOOKUP(B253,O.B.JUNE!$N$7:$Q$448,4,0),0)</f>
        <v>231</v>
      </c>
      <c r="I253" s="112">
        <f t="shared" si="30"/>
        <v>278</v>
      </c>
      <c r="J253" s="112">
        <f>IFERROR(VLOOKUP(B253,O.B.JUNE!$AA$7:$AG$448,7,0),0)</f>
        <v>5144719</v>
      </c>
      <c r="K253" s="112">
        <f>IFERROR(VLOOKUP(B253,O.B.JUNE!$AI$7:$AO$448,7,0),0)</f>
        <v>7534299</v>
      </c>
      <c r="L253" s="112">
        <f t="shared" si="31"/>
        <v>12679018</v>
      </c>
      <c r="M253" s="112">
        <f>ROUND(SUMIF('JUNE (물량흐름)'!$C$13:$C$502,'WIP(재공품)'!B253,'JUNE (물량흐름)'!$H$13:$H$502)+SUMIF('JUNE (물량흐름)'!$C$13:$C$502,'WIP(재공품)'!B253,'JUNE (물량흐름)'!$V$13:$V$502),0)</f>
        <v>0</v>
      </c>
      <c r="N253" s="112">
        <f>SUMIF('Direct labour(직접노무비)'!$C$12:$C$503,'WIP(재공품)'!B253,'Direct labour(직접노무비)'!$O$12:$O$503)</f>
        <v>0</v>
      </c>
      <c r="O253" s="112">
        <f>SUMIF('Overhead exp(제조경비)'!$C$12:$C$503,'WIP(재공품)'!B253,'Overhead exp(제조경비)'!$O$12:$O$503)</f>
        <v>0</v>
      </c>
      <c r="P253" s="112">
        <f t="shared" si="32"/>
        <v>0</v>
      </c>
      <c r="Q253" s="112">
        <v>0</v>
      </c>
      <c r="R253" s="112">
        <v>0</v>
      </c>
      <c r="S253" s="112">
        <f>SUMIF('JUNE (물량흐름)'!$C$13:$C$493,'WIP(재공품)'!B253,'JUNE (물량흐름)'!$T$13:$T$493)+SUMIF('JUNE (물량흐름)'!$C$13:$C$493,'WIP(재공품)'!B253,'JUNE (물량흐름)'!$U$13:$U$493)+SUMIF('JUNE (물량흐름)'!$C$13:$C$493,'WIP(재공품)'!B253,'JUNE (물량흐름)'!$V$13:$V$493)-SUMIF('JUNE (물량흐름)'!$C$13:$C$493,'WIP(재공품)'!B253,'JUNE (물량흐름)'!$Y$13:$Y$493)</f>
        <v>0</v>
      </c>
      <c r="T253" s="112">
        <f>SUMIF('JUNE (물량흐름)'!$C$13:$C$502,'WIP(재공품)'!B253,'JUNE (물량흐름)'!$Y$13:$Y$502)</f>
        <v>0</v>
      </c>
      <c r="U253" s="167">
        <f>SUMIF('Direct labour(직접노무비)'!$C$12:$C$503,'WIP(재공품)'!B253,'Direct labour(직접노무비)'!$U$12:$U$503)+SUMIF('Overhead exp(제조경비)'!$C$12:$C$503,'WIP(재공품)'!B253,'Overhead exp(제조경비)'!$U$12:$U$503)</f>
        <v>0</v>
      </c>
      <c r="V253" s="112">
        <f>SUMIF('Direct labour(직접노무비)'!$C$12:$C$503,'WIP(재공품)'!B253,'Direct labour(직접노무비)'!$Q$12:$Q$503)</f>
        <v>0</v>
      </c>
      <c r="W253" s="112">
        <f>SUMIF('Overhead exp(제조경비)'!$C$12:$C$503,'WIP(재공품)'!B253,'Overhead exp(제조경비)'!$Q$12:$Q$503)</f>
        <v>0</v>
      </c>
      <c r="X253" s="112">
        <f t="shared" si="33"/>
        <v>0</v>
      </c>
      <c r="Y253" s="112">
        <f ca="1">ROUND(SUMIF('JUNE (물량흐름)'!$C$13:$C$502,'WIP(재공품)'!B253,'JUNE (물량흐름)'!$N$13:$N$488),0)</f>
        <v>0</v>
      </c>
      <c r="Z253" s="112">
        <f>ROUND(SUMIF('JUNE (물량흐름)'!$C$13:$C$502,'WIP(재공품)'!B253,'JUNE (물량흐름)'!$O$13:$O$502),0)</f>
        <v>47</v>
      </c>
      <c r="AA253" s="112">
        <f>ROUND(SUMIF('JUNE (물량흐름)'!$C$13:$C$502,'WIP(재공품)'!B253,'JUNE (물량흐름)'!$P$13:$P$502),0)</f>
        <v>231</v>
      </c>
      <c r="AB253" s="112">
        <f t="shared" ca="1" si="34"/>
        <v>278</v>
      </c>
      <c r="AC253" s="112">
        <f t="shared" si="35"/>
        <v>12679018</v>
      </c>
      <c r="AD253" s="381">
        <f t="shared" ca="1" si="36"/>
        <v>0</v>
      </c>
      <c r="AE253" s="381">
        <f t="shared" si="37"/>
        <v>0</v>
      </c>
      <c r="AF253" s="382"/>
      <c r="AG253" s="382">
        <v>1.3499999999999999</v>
      </c>
      <c r="AH253" s="383">
        <f t="shared" si="38"/>
        <v>-0.99999999999999989</v>
      </c>
      <c r="AJ253" s="383"/>
      <c r="AL253" s="385"/>
      <c r="AM253" s="381"/>
      <c r="AN253" s="382"/>
      <c r="AO253" s="382"/>
      <c r="AP253" s="383"/>
      <c r="AQ253" s="383"/>
    </row>
    <row r="254" spans="1:43" s="384" customFormat="1" ht="18.75" customHeight="1">
      <c r="A254" s="167">
        <v>244</v>
      </c>
      <c r="B254" s="240">
        <f>VLOOKUP(A254,'JUNE (물량흐름)'!$A$13:$C$502,3,0)</f>
        <v>100015354</v>
      </c>
      <c r="C254" s="21" t="str">
        <f>VLOOKUP(A254,'JUNE (물량흐름)'!$A$13:$C$502,2,0)</f>
        <v>ALFANI</v>
      </c>
      <c r="D254" s="212">
        <v>0.35</v>
      </c>
      <c r="E254" s="6">
        <f>VLOOKUP(B254,'Sales profit (스타일 별 매출이익)'!$D$9:$P$491,13,0)</f>
        <v>7936.2499999999991</v>
      </c>
      <c r="F254" s="112">
        <f>IFERROR(VLOOKUP(B254,O.B.JUNE!$N$7:$Q$448,2,0),0)</f>
        <v>0</v>
      </c>
      <c r="G254" s="112">
        <f>IFERROR(VLOOKUP(B254,O.B.JUNE!$N$7:$Q$448,3,0),0)</f>
        <v>8</v>
      </c>
      <c r="H254" s="112">
        <f>IFERROR(VLOOKUP(B254,O.B.JUNE!$N$7:$Q$448,4,0),0)</f>
        <v>199</v>
      </c>
      <c r="I254" s="112">
        <f t="shared" si="30"/>
        <v>207</v>
      </c>
      <c r="J254" s="112">
        <f>IFERROR(VLOOKUP(B254,O.B.JUNE!$AA$7:$AG$448,7,0),0)</f>
        <v>2830314</v>
      </c>
      <c r="K254" s="112">
        <f>IFERROR(VLOOKUP(B254,O.B.JUNE!$AI$7:$AO$448,7,0),0)</f>
        <v>4149935</v>
      </c>
      <c r="L254" s="112">
        <f t="shared" si="31"/>
        <v>6980249</v>
      </c>
      <c r="M254" s="112">
        <f>ROUND(SUMIF('JUNE (물량흐름)'!$C$13:$C$502,'WIP(재공품)'!B254,'JUNE (물량흐름)'!$H$13:$H$502)+SUMIF('JUNE (물량흐름)'!$C$13:$C$502,'WIP(재공품)'!B254,'JUNE (물량흐름)'!$V$13:$V$502),0)</f>
        <v>0</v>
      </c>
      <c r="N254" s="112">
        <f>SUMIF('Direct labour(직접노무비)'!$C$12:$C$503,'WIP(재공품)'!B254,'Direct labour(직접노무비)'!$O$12:$O$503)</f>
        <v>0</v>
      </c>
      <c r="O254" s="112">
        <f>SUMIF('Overhead exp(제조경비)'!$C$12:$C$503,'WIP(재공품)'!B254,'Overhead exp(제조경비)'!$O$12:$O$503)</f>
        <v>0</v>
      </c>
      <c r="P254" s="112">
        <f t="shared" si="32"/>
        <v>0</v>
      </c>
      <c r="Q254" s="112">
        <v>0</v>
      </c>
      <c r="R254" s="112">
        <v>0</v>
      </c>
      <c r="S254" s="112">
        <f>SUMIF('JUNE (물량흐름)'!$C$13:$C$493,'WIP(재공품)'!B254,'JUNE (물량흐름)'!$T$13:$T$493)+SUMIF('JUNE (물량흐름)'!$C$13:$C$493,'WIP(재공품)'!B254,'JUNE (물량흐름)'!$U$13:$U$493)+SUMIF('JUNE (물량흐름)'!$C$13:$C$493,'WIP(재공품)'!B254,'JUNE (물량흐름)'!$V$13:$V$493)-SUMIF('JUNE (물량흐름)'!$C$13:$C$493,'WIP(재공품)'!B254,'JUNE (물량흐름)'!$Y$13:$Y$493)</f>
        <v>0</v>
      </c>
      <c r="T254" s="112">
        <f>SUMIF('JUNE (물량흐름)'!$C$13:$C$502,'WIP(재공품)'!B254,'JUNE (물량흐름)'!$Y$13:$Y$502)</f>
        <v>0</v>
      </c>
      <c r="U254" s="167">
        <f>SUMIF('Direct labour(직접노무비)'!$C$12:$C$503,'WIP(재공품)'!B254,'Direct labour(직접노무비)'!$U$12:$U$503)+SUMIF('Overhead exp(제조경비)'!$C$12:$C$503,'WIP(재공품)'!B254,'Overhead exp(제조경비)'!$U$12:$U$503)</f>
        <v>0</v>
      </c>
      <c r="V254" s="112">
        <f>SUMIF('Direct labour(직접노무비)'!$C$12:$C$503,'WIP(재공품)'!B254,'Direct labour(직접노무비)'!$Q$12:$Q$503)</f>
        <v>0</v>
      </c>
      <c r="W254" s="112">
        <f>SUMIF('Overhead exp(제조경비)'!$C$12:$C$503,'WIP(재공품)'!B254,'Overhead exp(제조경비)'!$Q$12:$Q$503)</f>
        <v>0</v>
      </c>
      <c r="X254" s="112">
        <f t="shared" si="33"/>
        <v>0</v>
      </c>
      <c r="Y254" s="112">
        <f ca="1">ROUND(SUMIF('JUNE (물량흐름)'!$C$13:$C$502,'WIP(재공품)'!B254,'JUNE (물량흐름)'!$N$13:$N$488),0)</f>
        <v>0</v>
      </c>
      <c r="Z254" s="112">
        <f>ROUND(SUMIF('JUNE (물량흐름)'!$C$13:$C$502,'WIP(재공품)'!B254,'JUNE (물량흐름)'!$O$13:$O$502),0)</f>
        <v>8</v>
      </c>
      <c r="AA254" s="112">
        <f>ROUND(SUMIF('JUNE (물량흐름)'!$C$13:$C$502,'WIP(재공품)'!B254,'JUNE (물량흐름)'!$P$13:$P$502),0)</f>
        <v>199</v>
      </c>
      <c r="AB254" s="112">
        <f t="shared" ca="1" si="34"/>
        <v>207</v>
      </c>
      <c r="AC254" s="112">
        <f t="shared" si="35"/>
        <v>6980249</v>
      </c>
      <c r="AD254" s="381">
        <f t="shared" ca="1" si="36"/>
        <v>0</v>
      </c>
      <c r="AE254" s="381">
        <f t="shared" si="37"/>
        <v>0</v>
      </c>
      <c r="AF254" s="382"/>
      <c r="AG254" s="382">
        <v>1.3499999999999999</v>
      </c>
      <c r="AH254" s="383">
        <f t="shared" si="38"/>
        <v>-0.99999999999999989</v>
      </c>
      <c r="AJ254" s="383"/>
      <c r="AL254" s="385"/>
      <c r="AM254" s="381"/>
      <c r="AN254" s="382"/>
      <c r="AO254" s="382"/>
      <c r="AP254" s="383"/>
      <c r="AQ254" s="383"/>
    </row>
    <row r="255" spans="1:43" s="384" customFormat="1" ht="18.75" customHeight="1">
      <c r="A255" s="167">
        <v>245</v>
      </c>
      <c r="B255" s="240">
        <f>VLOOKUP(A255,'JUNE (물량흐름)'!$A$13:$C$502,3,0)</f>
        <v>468248</v>
      </c>
      <c r="C255" s="21" t="str">
        <f>VLOOKUP(A255,'JUNE (물량흐름)'!$A$13:$C$502,2,0)</f>
        <v>ANN TAYLOR</v>
      </c>
      <c r="D255" s="212">
        <v>0.36</v>
      </c>
      <c r="E255" s="6">
        <f>VLOOKUP(B255,'Sales profit (스타일 별 매출이익)'!$D$9:$P$491,13,0)</f>
        <v>8163</v>
      </c>
      <c r="F255" s="112">
        <f>IFERROR(VLOOKUP(B255,O.B.JUNE!$N$7:$Q$448,2,0),0)</f>
        <v>593</v>
      </c>
      <c r="G255" s="112">
        <f>IFERROR(VLOOKUP(B255,O.B.JUNE!$N$7:$Q$448,3,0),0)</f>
        <v>116</v>
      </c>
      <c r="H255" s="112">
        <f>IFERROR(VLOOKUP(B255,O.B.JUNE!$N$7:$Q$448,4,0),0)</f>
        <v>114</v>
      </c>
      <c r="I255" s="112">
        <f t="shared" si="30"/>
        <v>823</v>
      </c>
      <c r="J255" s="112">
        <f>IFERROR(VLOOKUP(B255,O.B.JUNE!$AA$7:$AG$448,7,0),0)</f>
        <v>4519693</v>
      </c>
      <c r="K255" s="112">
        <f>IFERROR(VLOOKUP(B255,O.B.JUNE!$AI$7:$AO$448,7,0),0)</f>
        <v>6696098</v>
      </c>
      <c r="L255" s="112">
        <f t="shared" si="31"/>
        <v>11215791</v>
      </c>
      <c r="M255" s="112">
        <f>ROUND(SUMIF('JUNE (물량흐름)'!$C$13:$C$502,'WIP(재공품)'!B255,'JUNE (물량흐름)'!$H$13:$H$502)+SUMIF('JUNE (물량흐름)'!$C$13:$C$502,'WIP(재공품)'!B255,'JUNE (물량흐름)'!$V$13:$V$502),0)</f>
        <v>0</v>
      </c>
      <c r="N255" s="112">
        <f>SUMIF('Direct labour(직접노무비)'!$C$12:$C$503,'WIP(재공품)'!B255,'Direct labour(직접노무비)'!$O$12:$O$503)</f>
        <v>0</v>
      </c>
      <c r="O255" s="112">
        <f>SUMIF('Overhead exp(제조경비)'!$C$12:$C$503,'WIP(재공품)'!B255,'Overhead exp(제조경비)'!$O$12:$O$503)</f>
        <v>0</v>
      </c>
      <c r="P255" s="112">
        <f t="shared" si="32"/>
        <v>0</v>
      </c>
      <c r="Q255" s="112">
        <v>0</v>
      </c>
      <c r="R255" s="112">
        <v>0</v>
      </c>
      <c r="S255" s="112">
        <f>SUMIF('JUNE (물량흐름)'!$C$13:$C$493,'WIP(재공품)'!B255,'JUNE (물량흐름)'!$T$13:$T$493)+SUMIF('JUNE (물량흐름)'!$C$13:$C$493,'WIP(재공품)'!B255,'JUNE (물량흐름)'!$U$13:$U$493)+SUMIF('JUNE (물량흐름)'!$C$13:$C$493,'WIP(재공품)'!B255,'JUNE (물량흐름)'!$V$13:$V$493)-SUMIF('JUNE (물량흐름)'!$C$13:$C$493,'WIP(재공품)'!B255,'JUNE (물량흐름)'!$Y$13:$Y$493)</f>
        <v>0</v>
      </c>
      <c r="T255" s="112">
        <f>SUMIF('JUNE (물량흐름)'!$C$13:$C$502,'WIP(재공품)'!B255,'JUNE (물량흐름)'!$Y$13:$Y$502)</f>
        <v>0</v>
      </c>
      <c r="U255" s="167">
        <f>SUMIF('Direct labour(직접노무비)'!$C$12:$C$503,'WIP(재공품)'!B255,'Direct labour(직접노무비)'!$U$12:$U$503)+SUMIF('Overhead exp(제조경비)'!$C$12:$C$503,'WIP(재공품)'!B255,'Overhead exp(제조경비)'!$U$12:$U$503)</f>
        <v>0</v>
      </c>
      <c r="V255" s="112">
        <f>SUMIF('Direct labour(직접노무비)'!$C$12:$C$503,'WIP(재공품)'!B255,'Direct labour(직접노무비)'!$Q$12:$Q$503)</f>
        <v>0</v>
      </c>
      <c r="W255" s="112">
        <f>SUMIF('Overhead exp(제조경비)'!$C$12:$C$503,'WIP(재공품)'!B255,'Overhead exp(제조경비)'!$Q$12:$Q$503)</f>
        <v>0</v>
      </c>
      <c r="X255" s="112">
        <f t="shared" si="33"/>
        <v>0</v>
      </c>
      <c r="Y255" s="112">
        <f ca="1">ROUND(SUMIF('JUNE (물량흐름)'!$C$13:$C$502,'WIP(재공품)'!B255,'JUNE (물량흐름)'!$N$13:$N$488),0)</f>
        <v>0</v>
      </c>
      <c r="Z255" s="112">
        <f>ROUND(SUMIF('JUNE (물량흐름)'!$C$13:$C$502,'WIP(재공품)'!B255,'JUNE (물량흐름)'!$O$13:$O$502),0)</f>
        <v>745</v>
      </c>
      <c r="AA255" s="112">
        <f>ROUND(SUMIF('JUNE (물량흐름)'!$C$13:$C$502,'WIP(재공품)'!B255,'JUNE (물량흐름)'!$P$13:$P$502),0)</f>
        <v>78</v>
      </c>
      <c r="AB255" s="112">
        <f t="shared" ca="1" si="34"/>
        <v>823</v>
      </c>
      <c r="AC255" s="112">
        <f t="shared" si="35"/>
        <v>11215791</v>
      </c>
      <c r="AD255" s="381">
        <f t="shared" ca="1" si="36"/>
        <v>0</v>
      </c>
      <c r="AE255" s="381">
        <f t="shared" si="37"/>
        <v>0</v>
      </c>
      <c r="AF255" s="382"/>
      <c r="AG255" s="382">
        <v>1.5499999999999998</v>
      </c>
      <c r="AH255" s="383">
        <f t="shared" si="38"/>
        <v>-1.19</v>
      </c>
      <c r="AJ255" s="383"/>
      <c r="AL255" s="385"/>
      <c r="AM255" s="381"/>
      <c r="AN255" s="382"/>
      <c r="AO255" s="382"/>
      <c r="AP255" s="383"/>
      <c r="AQ255" s="383"/>
    </row>
    <row r="256" spans="1:43" s="384" customFormat="1" ht="18.75" customHeight="1">
      <c r="A256" s="167">
        <v>246</v>
      </c>
      <c r="B256" s="240">
        <f>VLOOKUP(A256,'JUNE (물량흐름)'!$A$13:$C$502,3,0)</f>
        <v>100008608</v>
      </c>
      <c r="C256" s="21" t="str">
        <f>VLOOKUP(A256,'JUNE (물량흐름)'!$A$13:$C$502,2,0)</f>
        <v>ALFANI</v>
      </c>
      <c r="D256" s="212">
        <v>0.35</v>
      </c>
      <c r="E256" s="6">
        <f>VLOOKUP(B256,'Sales profit (스타일 별 매출이익)'!$D$9:$P$491,13,0)</f>
        <v>7936.2499999999991</v>
      </c>
      <c r="F256" s="112">
        <f>IFERROR(VLOOKUP(B256,O.B.JUNE!$N$7:$Q$448,2,0),0)</f>
        <v>0</v>
      </c>
      <c r="G256" s="112">
        <f>IFERROR(VLOOKUP(B256,O.B.JUNE!$N$7:$Q$448,3,0),0)</f>
        <v>48</v>
      </c>
      <c r="H256" s="112">
        <f>IFERROR(VLOOKUP(B256,O.B.JUNE!$N$7:$Q$448,4,0),0)</f>
        <v>29</v>
      </c>
      <c r="I256" s="112">
        <f t="shared" si="30"/>
        <v>77</v>
      </c>
      <c r="J256" s="112">
        <f>IFERROR(VLOOKUP(B256,O.B.JUNE!$AA$7:$AG$448,7,0),0)</f>
        <v>735929</v>
      </c>
      <c r="K256" s="112">
        <f>IFERROR(VLOOKUP(B256,O.B.JUNE!$AI$7:$AO$448,7,0),0)</f>
        <v>1001490</v>
      </c>
      <c r="L256" s="112">
        <f t="shared" si="31"/>
        <v>1737419</v>
      </c>
      <c r="M256" s="112">
        <f>ROUND(SUMIF('JUNE (물량흐름)'!$C$13:$C$502,'WIP(재공품)'!B256,'JUNE (물량흐름)'!$H$13:$H$502)+SUMIF('JUNE (물량흐름)'!$C$13:$C$502,'WIP(재공품)'!B256,'JUNE (물량흐름)'!$V$13:$V$502),0)</f>
        <v>0</v>
      </c>
      <c r="N256" s="112">
        <f>SUMIF('Direct labour(직접노무비)'!$C$12:$C$503,'WIP(재공품)'!B256,'Direct labour(직접노무비)'!$O$12:$O$503)</f>
        <v>0</v>
      </c>
      <c r="O256" s="112">
        <f>SUMIF('Overhead exp(제조경비)'!$C$12:$C$503,'WIP(재공품)'!B256,'Overhead exp(제조경비)'!$O$12:$O$503)</f>
        <v>0</v>
      </c>
      <c r="P256" s="112">
        <f t="shared" si="32"/>
        <v>0</v>
      </c>
      <c r="Q256" s="112">
        <v>0</v>
      </c>
      <c r="R256" s="112">
        <v>0</v>
      </c>
      <c r="S256" s="112">
        <f>SUMIF('JUNE (물량흐름)'!$C$13:$C$493,'WIP(재공품)'!B256,'JUNE (물량흐름)'!$T$13:$T$493)+SUMIF('JUNE (물량흐름)'!$C$13:$C$493,'WIP(재공품)'!B256,'JUNE (물량흐름)'!$U$13:$U$493)+SUMIF('JUNE (물량흐름)'!$C$13:$C$493,'WIP(재공품)'!B256,'JUNE (물량흐름)'!$V$13:$V$493)-SUMIF('JUNE (물량흐름)'!$C$13:$C$493,'WIP(재공품)'!B256,'JUNE (물량흐름)'!$Y$13:$Y$493)</f>
        <v>0</v>
      </c>
      <c r="T256" s="112">
        <f>SUMIF('JUNE (물량흐름)'!$C$13:$C$502,'WIP(재공품)'!B256,'JUNE (물량흐름)'!$Y$13:$Y$502)</f>
        <v>0</v>
      </c>
      <c r="U256" s="167">
        <f>SUMIF('Direct labour(직접노무비)'!$C$12:$C$503,'WIP(재공품)'!B256,'Direct labour(직접노무비)'!$U$12:$U$503)+SUMIF('Overhead exp(제조경비)'!$C$12:$C$503,'WIP(재공품)'!B256,'Overhead exp(제조경비)'!$U$12:$U$503)</f>
        <v>0</v>
      </c>
      <c r="V256" s="112">
        <f>SUMIF('Direct labour(직접노무비)'!$C$12:$C$503,'WIP(재공품)'!B256,'Direct labour(직접노무비)'!$Q$12:$Q$503)</f>
        <v>0</v>
      </c>
      <c r="W256" s="112">
        <f>SUMIF('Overhead exp(제조경비)'!$C$12:$C$503,'WIP(재공품)'!B256,'Overhead exp(제조경비)'!$Q$12:$Q$503)</f>
        <v>0</v>
      </c>
      <c r="X256" s="112">
        <f t="shared" si="33"/>
        <v>0</v>
      </c>
      <c r="Y256" s="112">
        <f ca="1">ROUND(SUMIF('JUNE (물량흐름)'!$C$13:$C$502,'WIP(재공품)'!B256,'JUNE (물량흐름)'!$N$13:$N$488),0)</f>
        <v>0</v>
      </c>
      <c r="Z256" s="112">
        <f>ROUND(SUMIF('JUNE (물량흐름)'!$C$13:$C$502,'WIP(재공품)'!B256,'JUNE (물량흐름)'!$O$13:$O$502),0)</f>
        <v>48</v>
      </c>
      <c r="AA256" s="112">
        <f>ROUND(SUMIF('JUNE (물량흐름)'!$C$13:$C$502,'WIP(재공품)'!B256,'JUNE (물량흐름)'!$P$13:$P$502),0)</f>
        <v>29</v>
      </c>
      <c r="AB256" s="112">
        <f t="shared" ca="1" si="34"/>
        <v>77</v>
      </c>
      <c r="AC256" s="112">
        <f t="shared" si="35"/>
        <v>1737419</v>
      </c>
      <c r="AD256" s="381">
        <f t="shared" ca="1" si="36"/>
        <v>0</v>
      </c>
      <c r="AE256" s="381">
        <f t="shared" si="37"/>
        <v>0</v>
      </c>
      <c r="AF256" s="382"/>
      <c r="AG256" s="382">
        <v>0</v>
      </c>
      <c r="AH256" s="383">
        <f t="shared" si="38"/>
        <v>0.35</v>
      </c>
      <c r="AJ256" s="383"/>
      <c r="AL256" s="385"/>
      <c r="AM256" s="381"/>
      <c r="AN256" s="382"/>
      <c r="AO256" s="382"/>
      <c r="AP256" s="383"/>
      <c r="AQ256" s="383"/>
    </row>
    <row r="257" spans="1:43" s="384" customFormat="1" ht="18.75" customHeight="1">
      <c r="A257" s="167">
        <v>247</v>
      </c>
      <c r="B257" s="240">
        <f>VLOOKUP(A257,'JUNE (물량흐름)'!$A$13:$C$502,3,0)</f>
        <v>16661</v>
      </c>
      <c r="C257" s="21" t="str">
        <f>VLOOKUP(A257,'JUNE (물량흐름)'!$A$13:$C$502,2,0)</f>
        <v>CHARTER CLUB</v>
      </c>
      <c r="D257" s="212">
        <v>0.35</v>
      </c>
      <c r="E257" s="6">
        <f>VLOOKUP(B257,'Sales profit (스타일 별 매출이익)'!$D$9:$P$491,13,0)</f>
        <v>7936.2499999999991</v>
      </c>
      <c r="F257" s="112">
        <f>IFERROR(VLOOKUP(B257,O.B.JUNE!$N$7:$Q$448,2,0),0)</f>
        <v>0</v>
      </c>
      <c r="G257" s="112">
        <f>IFERROR(VLOOKUP(B257,O.B.JUNE!$N$7:$Q$448,3,0),0)</f>
        <v>0</v>
      </c>
      <c r="H257" s="112">
        <f>IFERROR(VLOOKUP(B257,O.B.JUNE!$N$7:$Q$448,4,0),0)</f>
        <v>46</v>
      </c>
      <c r="I257" s="112">
        <f t="shared" si="30"/>
        <v>46</v>
      </c>
      <c r="J257" s="112">
        <f>IFERROR(VLOOKUP(B257,O.B.JUNE!$AA$7:$AG$448,7,0),0)</f>
        <v>1447934</v>
      </c>
      <c r="K257" s="112">
        <f>IFERROR(VLOOKUP(B257,O.B.JUNE!$AI$7:$AO$448,7,0),0)</f>
        <v>2162763</v>
      </c>
      <c r="L257" s="112">
        <f t="shared" si="31"/>
        <v>3610697</v>
      </c>
      <c r="M257" s="112">
        <f>ROUND(SUMIF('JUNE (물량흐름)'!$C$13:$C$502,'WIP(재공품)'!B257,'JUNE (물량흐름)'!$H$13:$H$502)+SUMIF('JUNE (물량흐름)'!$C$13:$C$502,'WIP(재공품)'!B257,'JUNE (물량흐름)'!$V$13:$V$502),0)</f>
        <v>0</v>
      </c>
      <c r="N257" s="112">
        <f>SUMIF('Direct labour(직접노무비)'!$C$12:$C$503,'WIP(재공품)'!B257,'Direct labour(직접노무비)'!$O$12:$O$503)</f>
        <v>0</v>
      </c>
      <c r="O257" s="112">
        <f>SUMIF('Overhead exp(제조경비)'!$C$12:$C$503,'WIP(재공품)'!B257,'Overhead exp(제조경비)'!$O$12:$O$503)</f>
        <v>0</v>
      </c>
      <c r="P257" s="112">
        <f t="shared" si="32"/>
        <v>0</v>
      </c>
      <c r="Q257" s="112">
        <v>0</v>
      </c>
      <c r="R257" s="112">
        <v>0</v>
      </c>
      <c r="S257" s="112">
        <f>SUMIF('JUNE (물량흐름)'!$C$13:$C$493,'WIP(재공품)'!B257,'JUNE (물량흐름)'!$T$13:$T$493)+SUMIF('JUNE (물량흐름)'!$C$13:$C$493,'WIP(재공품)'!B257,'JUNE (물량흐름)'!$U$13:$U$493)+SUMIF('JUNE (물량흐름)'!$C$13:$C$493,'WIP(재공품)'!B257,'JUNE (물량흐름)'!$V$13:$V$493)-SUMIF('JUNE (물량흐름)'!$C$13:$C$493,'WIP(재공품)'!B257,'JUNE (물량흐름)'!$Y$13:$Y$493)</f>
        <v>0</v>
      </c>
      <c r="T257" s="112">
        <f>SUMIF('JUNE (물량흐름)'!$C$13:$C$502,'WIP(재공품)'!B257,'JUNE (물량흐름)'!$Y$13:$Y$502)</f>
        <v>0</v>
      </c>
      <c r="U257" s="167">
        <f>SUMIF('Direct labour(직접노무비)'!$C$12:$C$503,'WIP(재공품)'!B257,'Direct labour(직접노무비)'!$U$12:$U$503)+SUMIF('Overhead exp(제조경비)'!$C$12:$C$503,'WIP(재공품)'!B257,'Overhead exp(제조경비)'!$U$12:$U$503)</f>
        <v>0</v>
      </c>
      <c r="V257" s="112">
        <f>SUMIF('Direct labour(직접노무비)'!$C$12:$C$503,'WIP(재공품)'!B257,'Direct labour(직접노무비)'!$Q$12:$Q$503)</f>
        <v>0</v>
      </c>
      <c r="W257" s="112">
        <f>SUMIF('Overhead exp(제조경비)'!$C$12:$C$503,'WIP(재공품)'!B257,'Overhead exp(제조경비)'!$Q$12:$Q$503)</f>
        <v>0</v>
      </c>
      <c r="X257" s="112">
        <f t="shared" si="33"/>
        <v>0</v>
      </c>
      <c r="Y257" s="112">
        <f ca="1">ROUND(SUMIF('JUNE (물량흐름)'!$C$13:$C$502,'WIP(재공품)'!B257,'JUNE (물량흐름)'!$N$13:$N$488),0)</f>
        <v>0</v>
      </c>
      <c r="Z257" s="112">
        <f>ROUND(SUMIF('JUNE (물량흐름)'!$C$13:$C$502,'WIP(재공품)'!B257,'JUNE (물량흐름)'!$O$13:$O$502),0)</f>
        <v>40</v>
      </c>
      <c r="AA257" s="112">
        <f>ROUND(SUMIF('JUNE (물량흐름)'!$C$13:$C$502,'WIP(재공품)'!B257,'JUNE (물량흐름)'!$P$13:$P$502),0)</f>
        <v>6</v>
      </c>
      <c r="AB257" s="112">
        <f t="shared" ca="1" si="34"/>
        <v>46</v>
      </c>
      <c r="AC257" s="112">
        <f t="shared" si="35"/>
        <v>3610697</v>
      </c>
      <c r="AD257" s="381">
        <f t="shared" ca="1" si="36"/>
        <v>0</v>
      </c>
      <c r="AE257" s="381">
        <f t="shared" si="37"/>
        <v>0</v>
      </c>
      <c r="AF257" s="382"/>
      <c r="AG257" s="382">
        <v>0</v>
      </c>
      <c r="AH257" s="383">
        <f t="shared" si="38"/>
        <v>0.35</v>
      </c>
      <c r="AJ257" s="383"/>
      <c r="AL257" s="385"/>
      <c r="AM257" s="381"/>
      <c r="AN257" s="382"/>
      <c r="AO257" s="382"/>
      <c r="AP257" s="383"/>
      <c r="AQ257" s="383"/>
    </row>
    <row r="258" spans="1:43" s="384" customFormat="1" ht="18.75" customHeight="1">
      <c r="A258" s="167">
        <v>248</v>
      </c>
      <c r="B258" s="240">
        <f>VLOOKUP(A258,'JUNE (물량흐름)'!$A$13:$C$502,3,0)</f>
        <v>75740</v>
      </c>
      <c r="C258" s="21" t="str">
        <f>VLOOKUP(A258,'JUNE (물량흐름)'!$A$13:$C$502,2,0)</f>
        <v>ALFANI</v>
      </c>
      <c r="D258" s="212">
        <v>0.36</v>
      </c>
      <c r="E258" s="6">
        <f>VLOOKUP(B258,'Sales profit (스타일 별 매출이익)'!$D$9:$P$491,13,0)</f>
        <v>8163</v>
      </c>
      <c r="F258" s="112">
        <f>IFERROR(VLOOKUP(B258,O.B.JUNE!$N$7:$Q$448,2,0),0)</f>
        <v>0</v>
      </c>
      <c r="G258" s="112">
        <f>IFERROR(VLOOKUP(B258,O.B.JUNE!$N$7:$Q$448,3,0),0)</f>
        <v>0</v>
      </c>
      <c r="H258" s="112">
        <f>IFERROR(VLOOKUP(B258,O.B.JUNE!$N$7:$Q$448,4,0),0)</f>
        <v>12</v>
      </c>
      <c r="I258" s="112">
        <f t="shared" si="30"/>
        <v>12</v>
      </c>
      <c r="J258" s="112">
        <f>IFERROR(VLOOKUP(B258,O.B.JUNE!$AA$7:$AG$448,7,0),0)</f>
        <v>145915</v>
      </c>
      <c r="K258" s="112">
        <f>IFERROR(VLOOKUP(B258,O.B.JUNE!$AI$7:$AO$448,7,0),0)</f>
        <v>217263</v>
      </c>
      <c r="L258" s="112">
        <f t="shared" si="31"/>
        <v>363178</v>
      </c>
      <c r="M258" s="112">
        <f>ROUND(SUMIF('JUNE (물량흐름)'!$C$13:$C$502,'WIP(재공품)'!B258,'JUNE (물량흐름)'!$H$13:$H$502)+SUMIF('JUNE (물량흐름)'!$C$13:$C$502,'WIP(재공품)'!B258,'JUNE (물량흐름)'!$V$13:$V$502),0)</f>
        <v>0</v>
      </c>
      <c r="N258" s="112">
        <f>SUMIF('Direct labour(직접노무비)'!$C$12:$C$503,'WIP(재공품)'!B258,'Direct labour(직접노무비)'!$O$12:$O$503)</f>
        <v>0</v>
      </c>
      <c r="O258" s="112">
        <f>SUMIF('Overhead exp(제조경비)'!$C$12:$C$503,'WIP(재공품)'!B258,'Overhead exp(제조경비)'!$O$12:$O$503)</f>
        <v>0</v>
      </c>
      <c r="P258" s="112">
        <f t="shared" si="32"/>
        <v>0</v>
      </c>
      <c r="Q258" s="112">
        <v>0</v>
      </c>
      <c r="R258" s="112">
        <v>0</v>
      </c>
      <c r="S258" s="112">
        <f>SUMIF('JUNE (물량흐름)'!$C$13:$C$493,'WIP(재공품)'!B258,'JUNE (물량흐름)'!$T$13:$T$493)+SUMIF('JUNE (물량흐름)'!$C$13:$C$493,'WIP(재공품)'!B258,'JUNE (물량흐름)'!$U$13:$U$493)+SUMIF('JUNE (물량흐름)'!$C$13:$C$493,'WIP(재공품)'!B258,'JUNE (물량흐름)'!$V$13:$V$493)-SUMIF('JUNE (물량흐름)'!$C$13:$C$493,'WIP(재공품)'!B258,'JUNE (물량흐름)'!$Y$13:$Y$493)</f>
        <v>12</v>
      </c>
      <c r="T258" s="112">
        <f>SUMIF('JUNE (물량흐름)'!$C$13:$C$502,'WIP(재공품)'!B258,'JUNE (물량흐름)'!$Y$13:$Y$502)</f>
        <v>0</v>
      </c>
      <c r="U258" s="167">
        <f>SUMIF('Direct labour(직접노무비)'!$C$12:$C$503,'WIP(재공품)'!B258,'Direct labour(직접노무비)'!$U$12:$U$503)+SUMIF('Overhead exp(제조경비)'!$C$12:$C$503,'WIP(재공품)'!B258,'Overhead exp(제조경비)'!$U$12:$U$503)</f>
        <v>0</v>
      </c>
      <c r="V258" s="112">
        <f>SUMIF('Direct labour(직접노무비)'!$C$12:$C$503,'WIP(재공품)'!B258,'Direct labour(직접노무비)'!$Q$12:$Q$503)</f>
        <v>145915</v>
      </c>
      <c r="W258" s="112">
        <f>SUMIF('Overhead exp(제조경비)'!$C$12:$C$503,'WIP(재공품)'!B258,'Overhead exp(제조경비)'!$Q$12:$Q$503)</f>
        <v>217263</v>
      </c>
      <c r="X258" s="112">
        <f t="shared" si="33"/>
        <v>363178</v>
      </c>
      <c r="Y258" s="112">
        <f ca="1">ROUND(SUMIF('JUNE (물량흐름)'!$C$13:$C$502,'WIP(재공품)'!B258,'JUNE (물량흐름)'!$N$13:$N$488),0)</f>
        <v>0</v>
      </c>
      <c r="Z258" s="112">
        <f>ROUND(SUMIF('JUNE (물량흐름)'!$C$13:$C$502,'WIP(재공품)'!B258,'JUNE (물량흐름)'!$O$13:$O$502),0)</f>
        <v>0</v>
      </c>
      <c r="AA258" s="112">
        <f>ROUND(SUMIF('JUNE (물량흐름)'!$C$13:$C$502,'WIP(재공품)'!B258,'JUNE (물량흐름)'!$P$13:$P$502),0)</f>
        <v>0</v>
      </c>
      <c r="AB258" s="112">
        <f t="shared" ca="1" si="34"/>
        <v>0</v>
      </c>
      <c r="AC258" s="112">
        <f t="shared" si="35"/>
        <v>0</v>
      </c>
      <c r="AD258" s="381">
        <f t="shared" ca="1" si="36"/>
        <v>0</v>
      </c>
      <c r="AE258" s="381">
        <f t="shared" si="37"/>
        <v>0</v>
      </c>
      <c r="AF258" s="382"/>
      <c r="AG258" s="382">
        <v>0</v>
      </c>
      <c r="AH258" s="383">
        <f t="shared" si="38"/>
        <v>0.36</v>
      </c>
      <c r="AJ258" s="383"/>
      <c r="AL258" s="385"/>
      <c r="AM258" s="381"/>
      <c r="AN258" s="382"/>
      <c r="AO258" s="382"/>
      <c r="AP258" s="383"/>
      <c r="AQ258" s="383"/>
    </row>
    <row r="259" spans="1:43" s="384" customFormat="1" ht="18.75" customHeight="1">
      <c r="A259" s="167">
        <v>249</v>
      </c>
      <c r="B259" s="240">
        <f>VLOOKUP(A259,'JUNE (물량흐름)'!$A$13:$C$502,3,0)</f>
        <v>76733</v>
      </c>
      <c r="C259" s="21" t="str">
        <f>VLOOKUP(A259,'JUNE (물량흐름)'!$A$13:$C$502,2,0)</f>
        <v>ALFANI</v>
      </c>
      <c r="D259" s="212">
        <v>0.36</v>
      </c>
      <c r="E259" s="6">
        <f>VLOOKUP(B259,'Sales profit (스타일 별 매출이익)'!$D$9:$P$491,13,0)</f>
        <v>8163</v>
      </c>
      <c r="F259" s="112">
        <f>IFERROR(VLOOKUP(B259,O.B.JUNE!$N$7:$Q$448,2,0),0)</f>
        <v>0</v>
      </c>
      <c r="G259" s="112">
        <f>IFERROR(VLOOKUP(B259,O.B.JUNE!$N$7:$Q$448,3,0),0)</f>
        <v>141</v>
      </c>
      <c r="H259" s="112">
        <f>IFERROR(VLOOKUP(B259,O.B.JUNE!$N$7:$Q$448,4,0),0)</f>
        <v>9</v>
      </c>
      <c r="I259" s="112">
        <f t="shared" si="30"/>
        <v>150</v>
      </c>
      <c r="J259" s="112">
        <f>IFERROR(VLOOKUP(B259,O.B.JUNE!$AA$7:$AG$448,7,0),0)</f>
        <v>2802570</v>
      </c>
      <c r="K259" s="112">
        <f>IFERROR(VLOOKUP(B259,O.B.JUNE!$AI$7:$AO$448,7,0),0)</f>
        <v>4186168</v>
      </c>
      <c r="L259" s="112">
        <f t="shared" si="31"/>
        <v>6988738</v>
      </c>
      <c r="M259" s="112">
        <f>ROUND(SUMIF('JUNE (물량흐름)'!$C$13:$C$502,'WIP(재공품)'!B259,'JUNE (물량흐름)'!$H$13:$H$502)+SUMIF('JUNE (물량흐름)'!$C$13:$C$502,'WIP(재공품)'!B259,'JUNE (물량흐름)'!$V$13:$V$502),0)</f>
        <v>0</v>
      </c>
      <c r="N259" s="112">
        <f>SUMIF('Direct labour(직접노무비)'!$C$12:$C$503,'WIP(재공품)'!B259,'Direct labour(직접노무비)'!$O$12:$O$503)</f>
        <v>0</v>
      </c>
      <c r="O259" s="112">
        <f>SUMIF('Overhead exp(제조경비)'!$C$12:$C$503,'WIP(재공품)'!B259,'Overhead exp(제조경비)'!$O$12:$O$503)</f>
        <v>0</v>
      </c>
      <c r="P259" s="112">
        <f t="shared" si="32"/>
        <v>0</v>
      </c>
      <c r="Q259" s="112">
        <v>0</v>
      </c>
      <c r="R259" s="112">
        <v>0</v>
      </c>
      <c r="S259" s="112">
        <f>SUMIF('JUNE (물량흐름)'!$C$13:$C$493,'WIP(재공품)'!B259,'JUNE (물량흐름)'!$T$13:$T$493)+SUMIF('JUNE (물량흐름)'!$C$13:$C$493,'WIP(재공품)'!B259,'JUNE (물량흐름)'!$U$13:$U$493)+SUMIF('JUNE (물량흐름)'!$C$13:$C$493,'WIP(재공품)'!B259,'JUNE (물량흐름)'!$V$13:$V$493)-SUMIF('JUNE (물량흐름)'!$C$13:$C$493,'WIP(재공품)'!B259,'JUNE (물량흐름)'!$Y$13:$Y$493)</f>
        <v>150</v>
      </c>
      <c r="T259" s="112">
        <f>SUMIF('JUNE (물량흐름)'!$C$13:$C$502,'WIP(재공품)'!B259,'JUNE (물량흐름)'!$Y$13:$Y$502)</f>
        <v>0</v>
      </c>
      <c r="U259" s="167">
        <f>SUMIF('Direct labour(직접노무비)'!$C$12:$C$503,'WIP(재공품)'!B259,'Direct labour(직접노무비)'!$U$12:$U$503)+SUMIF('Overhead exp(제조경비)'!$C$12:$C$503,'WIP(재공품)'!B259,'Overhead exp(제조경비)'!$U$12:$U$503)</f>
        <v>0</v>
      </c>
      <c r="V259" s="112">
        <f>SUMIF('Direct labour(직접노무비)'!$C$12:$C$503,'WIP(재공품)'!B259,'Direct labour(직접노무비)'!$Q$12:$Q$503)</f>
        <v>2802570</v>
      </c>
      <c r="W259" s="112">
        <f>SUMIF('Overhead exp(제조경비)'!$C$12:$C$503,'WIP(재공품)'!B259,'Overhead exp(제조경비)'!$Q$12:$Q$503)</f>
        <v>4186168</v>
      </c>
      <c r="X259" s="112">
        <f t="shared" si="33"/>
        <v>6988738</v>
      </c>
      <c r="Y259" s="112">
        <f ca="1">ROUND(SUMIF('JUNE (물량흐름)'!$C$13:$C$502,'WIP(재공품)'!B259,'JUNE (물량흐름)'!$N$13:$N$488),0)</f>
        <v>0</v>
      </c>
      <c r="Z259" s="112">
        <f>ROUND(SUMIF('JUNE (물량흐름)'!$C$13:$C$502,'WIP(재공품)'!B259,'JUNE (물량흐름)'!$O$13:$O$502),0)</f>
        <v>0</v>
      </c>
      <c r="AA259" s="112">
        <f>ROUND(SUMIF('JUNE (물량흐름)'!$C$13:$C$502,'WIP(재공품)'!B259,'JUNE (물량흐름)'!$P$13:$P$502),0)</f>
        <v>0</v>
      </c>
      <c r="AB259" s="112">
        <f t="shared" ca="1" si="34"/>
        <v>0</v>
      </c>
      <c r="AC259" s="112">
        <f t="shared" si="35"/>
        <v>0</v>
      </c>
      <c r="AD259" s="381">
        <f t="shared" ca="1" si="36"/>
        <v>0</v>
      </c>
      <c r="AE259" s="381">
        <f t="shared" si="37"/>
        <v>0</v>
      </c>
      <c r="AF259" s="382"/>
      <c r="AG259" s="382">
        <v>0</v>
      </c>
      <c r="AH259" s="383">
        <f t="shared" si="38"/>
        <v>0.36</v>
      </c>
      <c r="AJ259" s="383"/>
      <c r="AL259" s="385"/>
      <c r="AM259" s="381"/>
      <c r="AN259" s="382"/>
      <c r="AO259" s="382"/>
      <c r="AP259" s="383"/>
      <c r="AQ259" s="383"/>
    </row>
    <row r="260" spans="1:43" s="384" customFormat="1" ht="18.75" customHeight="1">
      <c r="A260" s="167">
        <v>250</v>
      </c>
      <c r="B260" s="240">
        <f>VLOOKUP(A260,'JUNE (물량흐름)'!$A$13:$C$502,3,0)</f>
        <v>467914</v>
      </c>
      <c r="C260" s="21" t="str">
        <f>VLOOKUP(A260,'JUNE (물량흐름)'!$A$13:$C$502,2,0)</f>
        <v>ANN TAYLOR</v>
      </c>
      <c r="D260" s="212">
        <v>0.36</v>
      </c>
      <c r="E260" s="6">
        <f>VLOOKUP(B260,'Sales profit (스타일 별 매출이익)'!$D$9:$P$491,13,0)</f>
        <v>8163</v>
      </c>
      <c r="F260" s="112">
        <f>IFERROR(VLOOKUP(B260,O.B.JUNE!$N$7:$Q$448,2,0),0)</f>
        <v>0</v>
      </c>
      <c r="G260" s="112">
        <f>IFERROR(VLOOKUP(B260,O.B.JUNE!$N$7:$Q$448,3,0),0)</f>
        <v>83</v>
      </c>
      <c r="H260" s="112">
        <f>IFERROR(VLOOKUP(B260,O.B.JUNE!$N$7:$Q$448,4,0),0)</f>
        <v>92</v>
      </c>
      <c r="I260" s="112">
        <f t="shared" si="30"/>
        <v>175</v>
      </c>
      <c r="J260" s="112">
        <f>IFERROR(VLOOKUP(B260,O.B.JUNE!$AA$7:$AG$448,7,0),0)</f>
        <v>3310598</v>
      </c>
      <c r="K260" s="112">
        <f>IFERROR(VLOOKUP(B260,O.B.JUNE!$AI$7:$AO$448,7,0),0)</f>
        <v>4932489</v>
      </c>
      <c r="L260" s="112">
        <f t="shared" si="31"/>
        <v>8243087</v>
      </c>
      <c r="M260" s="112">
        <f>ROUND(SUMIF('JUNE (물량흐름)'!$C$13:$C$502,'WIP(재공품)'!B260,'JUNE (물량흐름)'!$H$13:$H$502)+SUMIF('JUNE (물량흐름)'!$C$13:$C$502,'WIP(재공품)'!B260,'JUNE (물량흐름)'!$V$13:$V$502),0)</f>
        <v>0</v>
      </c>
      <c r="N260" s="112">
        <f>SUMIF('Direct labour(직접노무비)'!$C$12:$C$503,'WIP(재공품)'!B260,'Direct labour(직접노무비)'!$O$12:$O$503)</f>
        <v>0</v>
      </c>
      <c r="O260" s="112">
        <f>SUMIF('Overhead exp(제조경비)'!$C$12:$C$503,'WIP(재공품)'!B260,'Overhead exp(제조경비)'!$O$12:$O$503)</f>
        <v>0</v>
      </c>
      <c r="P260" s="112">
        <f t="shared" si="32"/>
        <v>0</v>
      </c>
      <c r="Q260" s="112">
        <v>0</v>
      </c>
      <c r="R260" s="112">
        <v>0</v>
      </c>
      <c r="S260" s="112">
        <f>SUMIF('JUNE (물량흐름)'!$C$13:$C$493,'WIP(재공품)'!B260,'JUNE (물량흐름)'!$T$13:$T$493)+SUMIF('JUNE (물량흐름)'!$C$13:$C$493,'WIP(재공품)'!B260,'JUNE (물량흐름)'!$U$13:$U$493)+SUMIF('JUNE (물량흐름)'!$C$13:$C$493,'WIP(재공품)'!B260,'JUNE (물량흐름)'!$V$13:$V$493)-SUMIF('JUNE (물량흐름)'!$C$13:$C$493,'WIP(재공품)'!B260,'JUNE (물량흐름)'!$Y$13:$Y$493)</f>
        <v>0</v>
      </c>
      <c r="T260" s="112">
        <f>SUMIF('JUNE (물량흐름)'!$C$13:$C$502,'WIP(재공품)'!B260,'JUNE (물량흐름)'!$Y$13:$Y$502)</f>
        <v>0</v>
      </c>
      <c r="U260" s="167">
        <f>SUMIF('Direct labour(직접노무비)'!$C$12:$C$503,'WIP(재공품)'!B260,'Direct labour(직접노무비)'!$U$12:$U$503)+SUMIF('Overhead exp(제조경비)'!$C$12:$C$503,'WIP(재공품)'!B260,'Overhead exp(제조경비)'!$U$12:$U$503)</f>
        <v>0</v>
      </c>
      <c r="V260" s="112">
        <f>SUMIF('Direct labour(직접노무비)'!$C$12:$C$503,'WIP(재공품)'!B260,'Direct labour(직접노무비)'!$Q$12:$Q$503)</f>
        <v>0</v>
      </c>
      <c r="W260" s="112">
        <f>SUMIF('Overhead exp(제조경비)'!$C$12:$C$503,'WIP(재공품)'!B260,'Overhead exp(제조경비)'!$Q$12:$Q$503)</f>
        <v>0</v>
      </c>
      <c r="X260" s="112">
        <f t="shared" si="33"/>
        <v>0</v>
      </c>
      <c r="Y260" s="112">
        <f ca="1">ROUND(SUMIF('JUNE (물량흐름)'!$C$13:$C$502,'WIP(재공품)'!B260,'JUNE (물량흐름)'!$N$13:$N$488),0)</f>
        <v>0</v>
      </c>
      <c r="Z260" s="112">
        <f>ROUND(SUMIF('JUNE (물량흐름)'!$C$13:$C$502,'WIP(재공품)'!B260,'JUNE (물량흐름)'!$O$13:$O$502),0)</f>
        <v>83</v>
      </c>
      <c r="AA260" s="112">
        <f>ROUND(SUMIF('JUNE (물량흐름)'!$C$13:$C$502,'WIP(재공품)'!B260,'JUNE (물량흐름)'!$P$13:$P$502),0)</f>
        <v>92</v>
      </c>
      <c r="AB260" s="112">
        <f t="shared" ca="1" si="34"/>
        <v>175</v>
      </c>
      <c r="AC260" s="112">
        <f t="shared" si="35"/>
        <v>8243087</v>
      </c>
      <c r="AD260" s="381">
        <f t="shared" ca="1" si="36"/>
        <v>0</v>
      </c>
      <c r="AE260" s="381">
        <f t="shared" si="37"/>
        <v>0</v>
      </c>
      <c r="AF260" s="382"/>
      <c r="AG260" s="382">
        <v>3.7</v>
      </c>
      <c r="AH260" s="383">
        <f t="shared" si="38"/>
        <v>-3.3400000000000003</v>
      </c>
      <c r="AJ260" s="383"/>
      <c r="AL260" s="385"/>
      <c r="AM260" s="381"/>
      <c r="AN260" s="382"/>
      <c r="AO260" s="382"/>
      <c r="AP260" s="383"/>
      <c r="AQ260" s="383"/>
    </row>
    <row r="261" spans="1:43" s="384" customFormat="1" ht="27" customHeight="1">
      <c r="A261" s="167">
        <v>251</v>
      </c>
      <c r="B261" s="240">
        <f>VLOOKUP(A261,'JUNE (물량흐름)'!$A$13:$C$502,3,0)</f>
        <v>468229</v>
      </c>
      <c r="C261" s="21" t="str">
        <f>VLOOKUP(A261,'JUNE (물량흐름)'!$A$13:$C$502,2,0)</f>
        <v>ANN TAYLOR</v>
      </c>
      <c r="D261" s="212">
        <v>3.15</v>
      </c>
      <c r="E261" s="6">
        <f>VLOOKUP(B261,'Sales profit (스타일 별 매출이익)'!$D$9:$P$491,13,0)</f>
        <v>71426.25</v>
      </c>
      <c r="F261" s="112">
        <f>IFERROR(VLOOKUP(B261,O.B.JUNE!$N$7:$Q$448,2,0),0)</f>
        <v>29</v>
      </c>
      <c r="G261" s="112">
        <f>IFERROR(VLOOKUP(B261,O.B.JUNE!$N$7:$Q$448,3,0),0)</f>
        <v>521</v>
      </c>
      <c r="H261" s="112">
        <f>IFERROR(VLOOKUP(B261,O.B.JUNE!$N$7:$Q$448,4,0),0)</f>
        <v>581</v>
      </c>
      <c r="I261" s="112">
        <f t="shared" si="30"/>
        <v>1131</v>
      </c>
      <c r="J261" s="112">
        <f>IFERROR(VLOOKUP(B261,O.B.JUNE!$AA$7:$AG$448,7,0),0)</f>
        <v>10494670</v>
      </c>
      <c r="K261" s="112">
        <f>IFERROR(VLOOKUP(B261,O.B.JUNE!$AI$7:$AO$448,7,0),0)</f>
        <v>15522088</v>
      </c>
      <c r="L261" s="112">
        <f t="shared" si="31"/>
        <v>26016758</v>
      </c>
      <c r="M261" s="112">
        <f>ROUND(SUMIF('JUNE (물량흐름)'!$C$13:$C$502,'WIP(재공품)'!B261,'JUNE (물량흐름)'!$H$13:$H$502)+SUMIF('JUNE (물량흐름)'!$C$13:$C$502,'WIP(재공품)'!B261,'JUNE (물량흐름)'!$V$13:$V$502),0)</f>
        <v>0</v>
      </c>
      <c r="N261" s="112">
        <f>SUMIF('Direct labour(직접노무비)'!$C$12:$C$503,'WIP(재공품)'!B261,'Direct labour(직접노무비)'!$O$12:$O$503)</f>
        <v>0</v>
      </c>
      <c r="O261" s="112">
        <f>SUMIF('Overhead exp(제조경비)'!$C$12:$C$503,'WIP(재공품)'!B261,'Overhead exp(제조경비)'!$O$12:$O$503)</f>
        <v>0</v>
      </c>
      <c r="P261" s="112">
        <f t="shared" si="32"/>
        <v>0</v>
      </c>
      <c r="Q261" s="112">
        <v>0</v>
      </c>
      <c r="R261" s="112">
        <v>0</v>
      </c>
      <c r="S261" s="112">
        <f>SUMIF('JUNE (물량흐름)'!$C$13:$C$493,'WIP(재공품)'!B261,'JUNE (물량흐름)'!$T$13:$T$493)+SUMIF('JUNE (물량흐름)'!$C$13:$C$493,'WIP(재공품)'!B261,'JUNE (물량흐름)'!$U$13:$U$493)+SUMIF('JUNE (물량흐름)'!$C$13:$C$493,'WIP(재공품)'!B261,'JUNE (물량흐름)'!$V$13:$V$493)-SUMIF('JUNE (물량흐름)'!$C$13:$C$493,'WIP(재공품)'!B261,'JUNE (물량흐름)'!$Y$13:$Y$493)</f>
        <v>0</v>
      </c>
      <c r="T261" s="112">
        <f>SUMIF('JUNE (물량흐름)'!$C$13:$C$502,'WIP(재공품)'!B261,'JUNE (물량흐름)'!$Y$13:$Y$502)</f>
        <v>0</v>
      </c>
      <c r="U261" s="167">
        <f>SUMIF('Direct labour(직접노무비)'!$C$12:$C$503,'WIP(재공품)'!B261,'Direct labour(직접노무비)'!$U$12:$U$503)+SUMIF('Overhead exp(제조경비)'!$C$12:$C$503,'WIP(재공품)'!B261,'Overhead exp(제조경비)'!$U$12:$U$503)</f>
        <v>0</v>
      </c>
      <c r="V261" s="112">
        <f>SUMIF('Direct labour(직접노무비)'!$C$12:$C$503,'WIP(재공품)'!B261,'Direct labour(직접노무비)'!$Q$12:$Q$503)</f>
        <v>0</v>
      </c>
      <c r="W261" s="112">
        <f>SUMIF('Overhead exp(제조경비)'!$C$12:$C$503,'WIP(재공품)'!B261,'Overhead exp(제조경비)'!$Q$12:$Q$503)</f>
        <v>0</v>
      </c>
      <c r="X261" s="112">
        <f t="shared" si="33"/>
        <v>0</v>
      </c>
      <c r="Y261" s="112">
        <f ca="1">ROUND(SUMIF('JUNE (물량흐름)'!$C$13:$C$502,'WIP(재공품)'!B261,'JUNE (물량흐름)'!$N$13:$N$488),0)</f>
        <v>29</v>
      </c>
      <c r="Z261" s="112">
        <f>ROUND(SUMIF('JUNE (물량흐름)'!$C$13:$C$502,'WIP(재공품)'!B261,'JUNE (물량흐름)'!$O$13:$O$502),0)</f>
        <v>521</v>
      </c>
      <c r="AA261" s="112">
        <f>ROUND(SUMIF('JUNE (물량흐름)'!$C$13:$C$502,'WIP(재공품)'!B261,'JUNE (물량흐름)'!$P$13:$P$502),0)</f>
        <v>581</v>
      </c>
      <c r="AB261" s="112">
        <f t="shared" ca="1" si="34"/>
        <v>1131</v>
      </c>
      <c r="AC261" s="112">
        <f t="shared" si="35"/>
        <v>26016758</v>
      </c>
      <c r="AD261" s="381">
        <f t="shared" ca="1" si="36"/>
        <v>0</v>
      </c>
      <c r="AE261" s="381">
        <f t="shared" si="37"/>
        <v>0</v>
      </c>
      <c r="AF261" s="382"/>
      <c r="AG261" s="382">
        <v>1.9500000000000002</v>
      </c>
      <c r="AH261" s="383">
        <f t="shared" si="38"/>
        <v>1.1999999999999997</v>
      </c>
      <c r="AJ261" s="383"/>
      <c r="AL261" s="385"/>
      <c r="AM261" s="381"/>
      <c r="AN261" s="382"/>
      <c r="AO261" s="382"/>
      <c r="AP261" s="383"/>
      <c r="AQ261" s="383"/>
    </row>
    <row r="262" spans="1:43" s="384" customFormat="1" ht="27" customHeight="1">
      <c r="A262" s="167">
        <v>252</v>
      </c>
      <c r="B262" s="240">
        <f>VLOOKUP(A262,'JUNE (물량흐름)'!$A$13:$C$502,3,0)</f>
        <v>468230</v>
      </c>
      <c r="C262" s="21" t="str">
        <f>VLOOKUP(A262,'JUNE (물량흐름)'!$A$13:$C$502,2,0)</f>
        <v>ANN TAYLOR</v>
      </c>
      <c r="D262" s="212">
        <v>0.35</v>
      </c>
      <c r="E262" s="6">
        <f>VLOOKUP(B262,'Sales profit (스타일 별 매출이익)'!$D$9:$P$491,13,0)</f>
        <v>7936.2499999999991</v>
      </c>
      <c r="F262" s="112">
        <f>IFERROR(VLOOKUP(B262,O.B.JUNE!$N$7:$Q$448,2,0),0)</f>
        <v>0</v>
      </c>
      <c r="G262" s="112">
        <f>IFERROR(VLOOKUP(B262,O.B.JUNE!$N$7:$Q$448,3,0),0)</f>
        <v>208</v>
      </c>
      <c r="H262" s="112">
        <f>IFERROR(VLOOKUP(B262,O.B.JUNE!$N$7:$Q$448,4,0),0)</f>
        <v>468</v>
      </c>
      <c r="I262" s="112">
        <f t="shared" si="30"/>
        <v>676</v>
      </c>
      <c r="J262" s="112">
        <f>IFERROR(VLOOKUP(B262,O.B.JUNE!$AA$7:$AG$448,7,0),0)</f>
        <v>6606730</v>
      </c>
      <c r="K262" s="112">
        <f>IFERROR(VLOOKUP(B262,O.B.JUNE!$AI$7:$AO$448,7,0),0)</f>
        <v>9755887</v>
      </c>
      <c r="L262" s="112">
        <f t="shared" si="31"/>
        <v>16362617</v>
      </c>
      <c r="M262" s="112">
        <f>ROUND(SUMIF('JUNE (물량흐름)'!$C$13:$C$502,'WIP(재공품)'!B262,'JUNE (물량흐름)'!$H$13:$H$502)+SUMIF('JUNE (물량흐름)'!$C$13:$C$502,'WIP(재공품)'!B262,'JUNE (물량흐름)'!$V$13:$V$502),0)</f>
        <v>0</v>
      </c>
      <c r="N262" s="112">
        <f>SUMIF('Direct labour(직접노무비)'!$C$12:$C$503,'WIP(재공품)'!B262,'Direct labour(직접노무비)'!$O$12:$O$503)</f>
        <v>0</v>
      </c>
      <c r="O262" s="112">
        <f>SUMIF('Overhead exp(제조경비)'!$C$12:$C$503,'WIP(재공품)'!B262,'Overhead exp(제조경비)'!$O$12:$O$503)</f>
        <v>0</v>
      </c>
      <c r="P262" s="112">
        <f t="shared" si="32"/>
        <v>0</v>
      </c>
      <c r="Q262" s="112">
        <v>0</v>
      </c>
      <c r="R262" s="112">
        <v>0</v>
      </c>
      <c r="S262" s="112">
        <f>SUMIF('JUNE (물량흐름)'!$C$13:$C$493,'WIP(재공품)'!B262,'JUNE (물량흐름)'!$T$13:$T$493)+SUMIF('JUNE (물량흐름)'!$C$13:$C$493,'WIP(재공품)'!B262,'JUNE (물량흐름)'!$U$13:$U$493)+SUMIF('JUNE (물량흐름)'!$C$13:$C$493,'WIP(재공품)'!B262,'JUNE (물량흐름)'!$V$13:$V$493)-SUMIF('JUNE (물량흐름)'!$C$13:$C$493,'WIP(재공품)'!B262,'JUNE (물량흐름)'!$Y$13:$Y$493)</f>
        <v>0</v>
      </c>
      <c r="T262" s="112">
        <f>SUMIF('JUNE (물량흐름)'!$C$13:$C$502,'WIP(재공품)'!B262,'JUNE (물량흐름)'!$Y$13:$Y$502)</f>
        <v>0</v>
      </c>
      <c r="U262" s="167">
        <f>SUMIF('Direct labour(직접노무비)'!$C$12:$C$503,'WIP(재공품)'!B262,'Direct labour(직접노무비)'!$U$12:$U$503)+SUMIF('Overhead exp(제조경비)'!$C$12:$C$503,'WIP(재공품)'!B262,'Overhead exp(제조경비)'!$U$12:$U$503)</f>
        <v>0</v>
      </c>
      <c r="V262" s="112">
        <f>SUMIF('Direct labour(직접노무비)'!$C$12:$C$503,'WIP(재공품)'!B262,'Direct labour(직접노무비)'!$Q$12:$Q$503)</f>
        <v>0</v>
      </c>
      <c r="W262" s="112">
        <f>SUMIF('Overhead exp(제조경비)'!$C$12:$C$503,'WIP(재공품)'!B262,'Overhead exp(제조경비)'!$Q$12:$Q$503)</f>
        <v>0</v>
      </c>
      <c r="X262" s="112">
        <f t="shared" si="33"/>
        <v>0</v>
      </c>
      <c r="Y262" s="112">
        <f ca="1">ROUND(SUMIF('JUNE (물량흐름)'!$C$13:$C$502,'WIP(재공품)'!B262,'JUNE (물량흐름)'!$N$13:$N$488),0)</f>
        <v>0</v>
      </c>
      <c r="Z262" s="112">
        <f>ROUND(SUMIF('JUNE (물량흐름)'!$C$13:$C$502,'WIP(재공품)'!B262,'JUNE (물량흐름)'!$O$13:$O$502),0)</f>
        <v>208</v>
      </c>
      <c r="AA262" s="112">
        <f>ROUND(SUMIF('JUNE (물량흐름)'!$C$13:$C$502,'WIP(재공품)'!B262,'JUNE (물량흐름)'!$P$13:$P$502),0)</f>
        <v>468</v>
      </c>
      <c r="AB262" s="112">
        <f t="shared" ca="1" si="34"/>
        <v>676</v>
      </c>
      <c r="AC262" s="112">
        <f t="shared" si="35"/>
        <v>16362617</v>
      </c>
      <c r="AD262" s="381">
        <f t="shared" ca="1" si="36"/>
        <v>0</v>
      </c>
      <c r="AE262" s="381">
        <f t="shared" si="37"/>
        <v>0</v>
      </c>
      <c r="AF262" s="382"/>
      <c r="AG262" s="382">
        <v>0</v>
      </c>
      <c r="AH262" s="383">
        <f t="shared" si="38"/>
        <v>0.35</v>
      </c>
      <c r="AJ262" s="383"/>
      <c r="AL262" s="385"/>
      <c r="AM262" s="381"/>
      <c r="AN262" s="382"/>
      <c r="AO262" s="382"/>
      <c r="AP262" s="383"/>
      <c r="AQ262" s="383"/>
    </row>
    <row r="263" spans="1:43" s="384" customFormat="1" ht="27" customHeight="1">
      <c r="A263" s="167">
        <v>253</v>
      </c>
      <c r="B263" s="240">
        <f>VLOOKUP(A263,'JUNE (물량흐름)'!$A$13:$C$502,3,0)</f>
        <v>468249</v>
      </c>
      <c r="C263" s="21" t="str">
        <f>VLOOKUP(A263,'JUNE (물량흐름)'!$A$13:$C$502,2,0)</f>
        <v>ANN TAYLOR</v>
      </c>
      <c r="D263" s="212">
        <v>0.35</v>
      </c>
      <c r="E263" s="6">
        <f>VLOOKUP(B263,'Sales profit (스타일 별 매출이익)'!$D$9:$P$491,13,0)</f>
        <v>7936.2499999999991</v>
      </c>
      <c r="F263" s="112">
        <f>IFERROR(VLOOKUP(B263,O.B.JUNE!$N$7:$Q$448,2,0),0)</f>
        <v>0</v>
      </c>
      <c r="G263" s="112">
        <f>IFERROR(VLOOKUP(B263,O.B.JUNE!$N$7:$Q$448,3,0),0)</f>
        <v>299</v>
      </c>
      <c r="H263" s="112">
        <f>IFERROR(VLOOKUP(B263,O.B.JUNE!$N$7:$Q$448,4,0),0)</f>
        <v>153</v>
      </c>
      <c r="I263" s="112">
        <f t="shared" si="30"/>
        <v>452</v>
      </c>
      <c r="J263" s="112">
        <f>IFERROR(VLOOKUP(B263,O.B.JUNE!$AA$7:$AG$448,7,0),0)</f>
        <v>3886342</v>
      </c>
      <c r="K263" s="112">
        <f>IFERROR(VLOOKUP(B263,O.B.JUNE!$AI$7:$AO$448,7,0),0)</f>
        <v>5761513</v>
      </c>
      <c r="L263" s="112">
        <f t="shared" si="31"/>
        <v>9647855</v>
      </c>
      <c r="M263" s="112">
        <f>ROUND(SUMIF('JUNE (물량흐름)'!$C$13:$C$502,'WIP(재공품)'!B263,'JUNE (물량흐름)'!$H$13:$H$502)+SUMIF('JUNE (물량흐름)'!$C$13:$C$502,'WIP(재공품)'!B263,'JUNE (물량흐름)'!$V$13:$V$502),0)</f>
        <v>0</v>
      </c>
      <c r="N263" s="112">
        <f>SUMIF('Direct labour(직접노무비)'!$C$12:$C$503,'WIP(재공품)'!B263,'Direct labour(직접노무비)'!$O$12:$O$503)</f>
        <v>0</v>
      </c>
      <c r="O263" s="112">
        <f>SUMIF('Overhead exp(제조경비)'!$C$12:$C$503,'WIP(재공품)'!B263,'Overhead exp(제조경비)'!$O$12:$O$503)</f>
        <v>0</v>
      </c>
      <c r="P263" s="112">
        <f t="shared" si="32"/>
        <v>0</v>
      </c>
      <c r="Q263" s="112">
        <v>0</v>
      </c>
      <c r="R263" s="112">
        <v>0</v>
      </c>
      <c r="S263" s="112">
        <f>SUMIF('JUNE (물량흐름)'!$C$13:$C$493,'WIP(재공품)'!B263,'JUNE (물량흐름)'!$T$13:$T$493)+SUMIF('JUNE (물량흐름)'!$C$13:$C$493,'WIP(재공품)'!B263,'JUNE (물량흐름)'!$U$13:$U$493)+SUMIF('JUNE (물량흐름)'!$C$13:$C$493,'WIP(재공품)'!B263,'JUNE (물량흐름)'!$V$13:$V$493)-SUMIF('JUNE (물량흐름)'!$C$13:$C$493,'WIP(재공품)'!B263,'JUNE (물량흐름)'!$Y$13:$Y$493)</f>
        <v>0</v>
      </c>
      <c r="T263" s="112">
        <f>SUMIF('JUNE (물량흐름)'!$C$13:$C$502,'WIP(재공품)'!B263,'JUNE (물량흐름)'!$Y$13:$Y$502)</f>
        <v>0</v>
      </c>
      <c r="U263" s="167">
        <f>SUMIF('Direct labour(직접노무비)'!$C$12:$C$503,'WIP(재공품)'!B263,'Direct labour(직접노무비)'!$U$12:$U$503)+SUMIF('Overhead exp(제조경비)'!$C$12:$C$503,'WIP(재공품)'!B263,'Overhead exp(제조경비)'!$U$12:$U$503)</f>
        <v>0</v>
      </c>
      <c r="V263" s="112">
        <f>SUMIF('Direct labour(직접노무비)'!$C$12:$C$503,'WIP(재공품)'!B263,'Direct labour(직접노무비)'!$Q$12:$Q$503)</f>
        <v>0</v>
      </c>
      <c r="W263" s="112">
        <f>SUMIF('Overhead exp(제조경비)'!$C$12:$C$503,'WIP(재공품)'!B263,'Overhead exp(제조경비)'!$Q$12:$Q$503)</f>
        <v>0</v>
      </c>
      <c r="X263" s="112">
        <f t="shared" si="33"/>
        <v>0</v>
      </c>
      <c r="Y263" s="112">
        <f ca="1">ROUND(SUMIF('JUNE (물량흐름)'!$C$13:$C$502,'WIP(재공품)'!B263,'JUNE (물량흐름)'!$N$13:$N$488),0)</f>
        <v>0</v>
      </c>
      <c r="Z263" s="112">
        <f>ROUND(SUMIF('JUNE (물량흐름)'!$C$13:$C$502,'WIP(재공품)'!B263,'JUNE (물량흐름)'!$O$13:$O$502),0)</f>
        <v>299</v>
      </c>
      <c r="AA263" s="112">
        <f>ROUND(SUMIF('JUNE (물량흐름)'!$C$13:$C$502,'WIP(재공품)'!B263,'JUNE (물량흐름)'!$P$13:$P$502),0)</f>
        <v>153</v>
      </c>
      <c r="AB263" s="112">
        <f t="shared" ca="1" si="34"/>
        <v>452</v>
      </c>
      <c r="AC263" s="112">
        <f t="shared" si="35"/>
        <v>9647855</v>
      </c>
      <c r="AD263" s="381">
        <f t="shared" ca="1" si="36"/>
        <v>0</v>
      </c>
      <c r="AE263" s="381">
        <f t="shared" si="37"/>
        <v>0</v>
      </c>
      <c r="AF263" s="382"/>
      <c r="AG263" s="382">
        <v>0</v>
      </c>
      <c r="AH263" s="383">
        <f t="shared" si="38"/>
        <v>0.35</v>
      </c>
      <c r="AJ263" s="383"/>
      <c r="AL263" s="385"/>
      <c r="AM263" s="381"/>
      <c r="AN263" s="382"/>
      <c r="AO263" s="382"/>
      <c r="AP263" s="383"/>
      <c r="AQ263" s="383"/>
    </row>
    <row r="264" spans="1:43" s="384" customFormat="1" ht="27" customHeight="1">
      <c r="A264" s="167">
        <v>254</v>
      </c>
      <c r="B264" s="240">
        <f>VLOOKUP(A264,'JUNE (물량흐름)'!$A$13:$C$502,3,0)</f>
        <v>100013593</v>
      </c>
      <c r="C264" s="21" t="str">
        <f>VLOOKUP(A264,'JUNE (물량흐름)'!$A$13:$C$502,2,0)</f>
        <v>ALFANI</v>
      </c>
      <c r="D264" s="212">
        <v>0.35</v>
      </c>
      <c r="E264" s="6">
        <f>VLOOKUP(B264,'Sales profit (스타일 별 매출이익)'!$D$9:$P$491,13,0)</f>
        <v>7936.2499999999991</v>
      </c>
      <c r="F264" s="112">
        <f>IFERROR(VLOOKUP(B264,O.B.JUNE!$N$7:$Q$448,2,0),0)</f>
        <v>0</v>
      </c>
      <c r="G264" s="112">
        <f>IFERROR(VLOOKUP(B264,O.B.JUNE!$N$7:$Q$448,3,0),0)</f>
        <v>67</v>
      </c>
      <c r="H264" s="112">
        <f>IFERROR(VLOOKUP(B264,O.B.JUNE!$N$7:$Q$448,4,0),0)</f>
        <v>74</v>
      </c>
      <c r="I264" s="112">
        <f t="shared" si="30"/>
        <v>141</v>
      </c>
      <c r="J264" s="112">
        <f>IFERROR(VLOOKUP(B264,O.B.JUNE!$AA$7:$AG$448,7,0),0)</f>
        <v>1659331</v>
      </c>
      <c r="K264" s="112">
        <f>IFERROR(VLOOKUP(B264,O.B.JUNE!$AI$7:$AO$448,7,0),0)</f>
        <v>2469331</v>
      </c>
      <c r="L264" s="112">
        <f t="shared" si="31"/>
        <v>4128662</v>
      </c>
      <c r="M264" s="112">
        <f>ROUND(SUMIF('JUNE (물량흐름)'!$C$13:$C$502,'WIP(재공품)'!B264,'JUNE (물량흐름)'!$H$13:$H$502)+SUMIF('JUNE (물량흐름)'!$C$13:$C$502,'WIP(재공품)'!B264,'JUNE (물량흐름)'!$V$13:$V$502),0)</f>
        <v>0</v>
      </c>
      <c r="N264" s="112">
        <f>SUMIF('Direct labour(직접노무비)'!$C$12:$C$503,'WIP(재공품)'!B264,'Direct labour(직접노무비)'!$O$12:$O$503)</f>
        <v>0</v>
      </c>
      <c r="O264" s="112">
        <f>SUMIF('Overhead exp(제조경비)'!$C$12:$C$503,'WIP(재공품)'!B264,'Overhead exp(제조경비)'!$O$12:$O$503)</f>
        <v>0</v>
      </c>
      <c r="P264" s="112">
        <f t="shared" si="32"/>
        <v>0</v>
      </c>
      <c r="Q264" s="112">
        <v>0</v>
      </c>
      <c r="R264" s="112">
        <v>0</v>
      </c>
      <c r="S264" s="112">
        <f>SUMIF('JUNE (물량흐름)'!$C$13:$C$493,'WIP(재공품)'!B264,'JUNE (물량흐름)'!$T$13:$T$493)+SUMIF('JUNE (물량흐름)'!$C$13:$C$493,'WIP(재공품)'!B264,'JUNE (물량흐름)'!$U$13:$U$493)+SUMIF('JUNE (물량흐름)'!$C$13:$C$493,'WIP(재공품)'!B264,'JUNE (물량흐름)'!$V$13:$V$493)-SUMIF('JUNE (물량흐름)'!$C$13:$C$493,'WIP(재공품)'!B264,'JUNE (물량흐름)'!$Y$13:$Y$493)</f>
        <v>0</v>
      </c>
      <c r="T264" s="112">
        <f>SUMIF('JUNE (물량흐름)'!$C$13:$C$502,'WIP(재공품)'!B264,'JUNE (물량흐름)'!$Y$13:$Y$502)</f>
        <v>0</v>
      </c>
      <c r="U264" s="167">
        <f>SUMIF('Direct labour(직접노무비)'!$C$12:$C$503,'WIP(재공품)'!B264,'Direct labour(직접노무비)'!$U$12:$U$503)+SUMIF('Overhead exp(제조경비)'!$C$12:$C$503,'WIP(재공품)'!B264,'Overhead exp(제조경비)'!$U$12:$U$503)</f>
        <v>0</v>
      </c>
      <c r="V264" s="112">
        <f>SUMIF('Direct labour(직접노무비)'!$C$12:$C$503,'WIP(재공품)'!B264,'Direct labour(직접노무비)'!$Q$12:$Q$503)</f>
        <v>0</v>
      </c>
      <c r="W264" s="112">
        <f>SUMIF('Overhead exp(제조경비)'!$C$12:$C$503,'WIP(재공품)'!B264,'Overhead exp(제조경비)'!$Q$12:$Q$503)</f>
        <v>0</v>
      </c>
      <c r="X264" s="112">
        <f t="shared" si="33"/>
        <v>0</v>
      </c>
      <c r="Y264" s="112">
        <f ca="1">ROUND(SUMIF('JUNE (물량흐름)'!$C$13:$C$502,'WIP(재공품)'!B264,'JUNE (물량흐름)'!$N$13:$N$488),0)</f>
        <v>0</v>
      </c>
      <c r="Z264" s="112">
        <f>ROUND(SUMIF('JUNE (물량흐름)'!$C$13:$C$502,'WIP(재공품)'!B264,'JUNE (물량흐름)'!$O$13:$O$502),0)</f>
        <v>18</v>
      </c>
      <c r="AA264" s="112">
        <f>ROUND(SUMIF('JUNE (물량흐름)'!$C$13:$C$502,'WIP(재공품)'!B264,'JUNE (물량흐름)'!$P$13:$P$502),0)</f>
        <v>123</v>
      </c>
      <c r="AB264" s="112">
        <f t="shared" ca="1" si="34"/>
        <v>141</v>
      </c>
      <c r="AC264" s="112">
        <f t="shared" si="35"/>
        <v>4128662</v>
      </c>
      <c r="AD264" s="381">
        <f t="shared" ca="1" si="36"/>
        <v>0</v>
      </c>
      <c r="AE264" s="381">
        <f t="shared" si="37"/>
        <v>0</v>
      </c>
      <c r="AF264" s="382"/>
      <c r="AG264" s="382">
        <v>1.1000000000000001</v>
      </c>
      <c r="AH264" s="383">
        <f t="shared" si="38"/>
        <v>-0.75000000000000011</v>
      </c>
      <c r="AJ264" s="383"/>
      <c r="AL264" s="385"/>
      <c r="AM264" s="381"/>
      <c r="AN264" s="382"/>
      <c r="AO264" s="382"/>
      <c r="AP264" s="383"/>
      <c r="AQ264" s="383"/>
    </row>
    <row r="265" spans="1:43" s="384" customFormat="1" ht="27" customHeight="1">
      <c r="A265" s="167">
        <v>255</v>
      </c>
      <c r="B265" s="240">
        <f>VLOOKUP(A265,'JUNE (물량흐름)'!$A$13:$C$502,3,0)</f>
        <v>100014855</v>
      </c>
      <c r="C265" s="21" t="str">
        <f>VLOOKUP(A265,'JUNE (물량흐름)'!$A$13:$C$502,2,0)</f>
        <v>ALFANI</v>
      </c>
      <c r="D265" s="212">
        <v>0.35</v>
      </c>
      <c r="E265" s="6">
        <f>VLOOKUP(B265,'Sales profit (스타일 별 매출이익)'!$D$9:$P$491,13,0)</f>
        <v>7936.2499999999991</v>
      </c>
      <c r="F265" s="112">
        <f>IFERROR(VLOOKUP(B265,O.B.JUNE!$N$7:$Q$448,2,0),0)</f>
        <v>0</v>
      </c>
      <c r="G265" s="112">
        <f>IFERROR(VLOOKUP(B265,O.B.JUNE!$N$7:$Q$448,3,0),0)</f>
        <v>37</v>
      </c>
      <c r="H265" s="112">
        <f>IFERROR(VLOOKUP(B265,O.B.JUNE!$N$7:$Q$448,4,0),0)</f>
        <v>75</v>
      </c>
      <c r="I265" s="112">
        <f t="shared" si="30"/>
        <v>112</v>
      </c>
      <c r="J265" s="112">
        <f>IFERROR(VLOOKUP(B265,O.B.JUNE!$AA$7:$AG$448,7,0),0)</f>
        <v>903347</v>
      </c>
      <c r="K265" s="112">
        <f>IFERROR(VLOOKUP(B265,O.B.JUNE!$AI$7:$AO$448,7,0),0)</f>
        <v>1344106</v>
      </c>
      <c r="L265" s="112">
        <f t="shared" si="31"/>
        <v>2247453</v>
      </c>
      <c r="M265" s="112">
        <f>ROUND(SUMIF('JUNE (물량흐름)'!$C$13:$C$502,'WIP(재공품)'!B265,'JUNE (물량흐름)'!$H$13:$H$502)+SUMIF('JUNE (물량흐름)'!$C$13:$C$502,'WIP(재공품)'!B265,'JUNE (물량흐름)'!$V$13:$V$502),0)</f>
        <v>0</v>
      </c>
      <c r="N265" s="112">
        <f>SUMIF('Direct labour(직접노무비)'!$C$12:$C$503,'WIP(재공품)'!B265,'Direct labour(직접노무비)'!$O$12:$O$503)</f>
        <v>0</v>
      </c>
      <c r="O265" s="112">
        <f>SUMIF('Overhead exp(제조경비)'!$C$12:$C$503,'WIP(재공품)'!B265,'Overhead exp(제조경비)'!$O$12:$O$503)</f>
        <v>0</v>
      </c>
      <c r="P265" s="112">
        <f t="shared" si="32"/>
        <v>0</v>
      </c>
      <c r="Q265" s="112">
        <v>0</v>
      </c>
      <c r="R265" s="112">
        <v>0</v>
      </c>
      <c r="S265" s="112">
        <f>SUMIF('JUNE (물량흐름)'!$C$13:$C$493,'WIP(재공품)'!B265,'JUNE (물량흐름)'!$T$13:$T$493)+SUMIF('JUNE (물량흐름)'!$C$13:$C$493,'WIP(재공품)'!B265,'JUNE (물량흐름)'!$U$13:$U$493)+SUMIF('JUNE (물량흐름)'!$C$13:$C$493,'WIP(재공품)'!B265,'JUNE (물량흐름)'!$V$13:$V$493)-SUMIF('JUNE (물량흐름)'!$C$13:$C$493,'WIP(재공품)'!B265,'JUNE (물량흐름)'!$Y$13:$Y$493)</f>
        <v>0</v>
      </c>
      <c r="T265" s="112">
        <f>SUMIF('JUNE (물량흐름)'!$C$13:$C$502,'WIP(재공품)'!B265,'JUNE (물량흐름)'!$Y$13:$Y$502)</f>
        <v>0</v>
      </c>
      <c r="U265" s="167">
        <f>SUMIF('Direct labour(직접노무비)'!$C$12:$C$503,'WIP(재공품)'!B265,'Direct labour(직접노무비)'!$U$12:$U$503)+SUMIF('Overhead exp(제조경비)'!$C$12:$C$503,'WIP(재공품)'!B265,'Overhead exp(제조경비)'!$U$12:$U$503)</f>
        <v>0</v>
      </c>
      <c r="V265" s="112">
        <f>SUMIF('Direct labour(직접노무비)'!$C$12:$C$503,'WIP(재공품)'!B265,'Direct labour(직접노무비)'!$Q$12:$Q$503)</f>
        <v>0</v>
      </c>
      <c r="W265" s="112">
        <f>SUMIF('Overhead exp(제조경비)'!$C$12:$C$503,'WIP(재공품)'!B265,'Overhead exp(제조경비)'!$Q$12:$Q$503)</f>
        <v>0</v>
      </c>
      <c r="X265" s="112">
        <f t="shared" si="33"/>
        <v>0</v>
      </c>
      <c r="Y265" s="112">
        <f ca="1">ROUND(SUMIF('JUNE (물량흐름)'!$C$13:$C$502,'WIP(재공품)'!B265,'JUNE (물량흐름)'!$N$13:$N$488),0)</f>
        <v>0</v>
      </c>
      <c r="Z265" s="112">
        <f>ROUND(SUMIF('JUNE (물량흐름)'!$C$13:$C$502,'WIP(재공품)'!B265,'JUNE (물량흐름)'!$O$13:$O$502),0)</f>
        <v>37</v>
      </c>
      <c r="AA265" s="112">
        <f>ROUND(SUMIF('JUNE (물량흐름)'!$C$13:$C$502,'WIP(재공품)'!B265,'JUNE (물량흐름)'!$P$13:$P$502),0)</f>
        <v>75</v>
      </c>
      <c r="AB265" s="112">
        <f t="shared" ca="1" si="34"/>
        <v>112</v>
      </c>
      <c r="AC265" s="112">
        <f t="shared" si="35"/>
        <v>2247453</v>
      </c>
      <c r="AD265" s="381">
        <f t="shared" ca="1" si="36"/>
        <v>0</v>
      </c>
      <c r="AE265" s="381">
        <f t="shared" si="37"/>
        <v>0</v>
      </c>
      <c r="AF265" s="382"/>
      <c r="AG265" s="382">
        <v>1.9</v>
      </c>
      <c r="AH265" s="383">
        <f t="shared" si="38"/>
        <v>-1.5499999999999998</v>
      </c>
      <c r="AJ265" s="383"/>
      <c r="AL265" s="385"/>
      <c r="AM265" s="381"/>
      <c r="AN265" s="382"/>
      <c r="AO265" s="382"/>
      <c r="AP265" s="383"/>
      <c r="AQ265" s="383"/>
    </row>
    <row r="266" spans="1:43" s="384" customFormat="1" ht="27" customHeight="1">
      <c r="A266" s="167">
        <v>256</v>
      </c>
      <c r="B266" s="240">
        <f>VLOOKUP(A266,'JUNE (물량흐름)'!$A$13:$C$502,3,0)</f>
        <v>100015130</v>
      </c>
      <c r="C266" s="21" t="str">
        <f>VLOOKUP(A266,'JUNE (물량흐름)'!$A$13:$C$502,2,0)</f>
        <v>ALFANI</v>
      </c>
      <c r="D266" s="212">
        <v>0.36</v>
      </c>
      <c r="E266" s="6">
        <f>VLOOKUP(B266,'Sales profit (스타일 별 매출이익)'!$D$9:$P$491,13,0)</f>
        <v>8163</v>
      </c>
      <c r="F266" s="112">
        <f>IFERROR(VLOOKUP(B266,O.B.JUNE!$N$7:$Q$448,2,0),0)</f>
        <v>0</v>
      </c>
      <c r="G266" s="112">
        <f>IFERROR(VLOOKUP(B266,O.B.JUNE!$N$7:$Q$448,3,0),0)</f>
        <v>70</v>
      </c>
      <c r="H266" s="112">
        <f>IFERROR(VLOOKUP(B266,O.B.JUNE!$N$7:$Q$448,4,0),0)</f>
        <v>123</v>
      </c>
      <c r="I266" s="112">
        <f t="shared" si="30"/>
        <v>193</v>
      </c>
      <c r="J266" s="112">
        <f>IFERROR(VLOOKUP(B266,O.B.JUNE!$AA$7:$AG$448,7,0),0)</f>
        <v>2690205</v>
      </c>
      <c r="K266" s="112">
        <f>IFERROR(VLOOKUP(B266,O.B.JUNE!$AI$7:$AO$448,7,0),0)</f>
        <v>3985858</v>
      </c>
      <c r="L266" s="112">
        <f t="shared" si="31"/>
        <v>6676063</v>
      </c>
      <c r="M266" s="112">
        <f>ROUND(SUMIF('JUNE (물량흐름)'!$C$13:$C$502,'WIP(재공품)'!B266,'JUNE (물량흐름)'!$H$13:$H$502)+SUMIF('JUNE (물량흐름)'!$C$13:$C$502,'WIP(재공품)'!B266,'JUNE (물량흐름)'!$V$13:$V$502),0)</f>
        <v>0</v>
      </c>
      <c r="N266" s="112">
        <f>SUMIF('Direct labour(직접노무비)'!$C$12:$C$503,'WIP(재공품)'!B266,'Direct labour(직접노무비)'!$O$12:$O$503)</f>
        <v>0</v>
      </c>
      <c r="O266" s="112">
        <f>SUMIF('Overhead exp(제조경비)'!$C$12:$C$503,'WIP(재공품)'!B266,'Overhead exp(제조경비)'!$O$12:$O$503)</f>
        <v>0</v>
      </c>
      <c r="P266" s="112">
        <f t="shared" si="32"/>
        <v>0</v>
      </c>
      <c r="Q266" s="112">
        <v>0</v>
      </c>
      <c r="R266" s="112">
        <v>0</v>
      </c>
      <c r="S266" s="112">
        <f>SUMIF('JUNE (물량흐름)'!$C$13:$C$493,'WIP(재공품)'!B266,'JUNE (물량흐름)'!$T$13:$T$493)+SUMIF('JUNE (물량흐름)'!$C$13:$C$493,'WIP(재공품)'!B266,'JUNE (물량흐름)'!$U$13:$U$493)+SUMIF('JUNE (물량흐름)'!$C$13:$C$493,'WIP(재공품)'!B266,'JUNE (물량흐름)'!$V$13:$V$493)-SUMIF('JUNE (물량흐름)'!$C$13:$C$493,'WIP(재공품)'!B266,'JUNE (물량흐름)'!$Y$13:$Y$493)</f>
        <v>0</v>
      </c>
      <c r="T266" s="112">
        <f>SUMIF('JUNE (물량흐름)'!$C$13:$C$502,'WIP(재공품)'!B266,'JUNE (물량흐름)'!$Y$13:$Y$502)</f>
        <v>0</v>
      </c>
      <c r="U266" s="167">
        <f>SUMIF('Direct labour(직접노무비)'!$C$12:$C$503,'WIP(재공품)'!B266,'Direct labour(직접노무비)'!$U$12:$U$503)+SUMIF('Overhead exp(제조경비)'!$C$12:$C$503,'WIP(재공품)'!B266,'Overhead exp(제조경비)'!$U$12:$U$503)</f>
        <v>0</v>
      </c>
      <c r="V266" s="112">
        <f>SUMIF('Direct labour(직접노무비)'!$C$12:$C$503,'WIP(재공품)'!B266,'Direct labour(직접노무비)'!$Q$12:$Q$503)</f>
        <v>0</v>
      </c>
      <c r="W266" s="112">
        <f>SUMIF('Overhead exp(제조경비)'!$C$12:$C$503,'WIP(재공품)'!B266,'Overhead exp(제조경비)'!$Q$12:$Q$503)</f>
        <v>0</v>
      </c>
      <c r="X266" s="112">
        <f t="shared" si="33"/>
        <v>0</v>
      </c>
      <c r="Y266" s="112">
        <f ca="1">ROUND(SUMIF('JUNE (물량흐름)'!$C$13:$C$502,'WIP(재공품)'!B266,'JUNE (물량흐름)'!$N$13:$N$488),0)</f>
        <v>0</v>
      </c>
      <c r="Z266" s="112">
        <f>ROUND(SUMIF('JUNE (물량흐름)'!$C$13:$C$502,'WIP(재공품)'!B266,'JUNE (물량흐름)'!$O$13:$O$502),0)</f>
        <v>70</v>
      </c>
      <c r="AA266" s="112">
        <f>ROUND(SUMIF('JUNE (물량흐름)'!$C$13:$C$502,'WIP(재공품)'!B266,'JUNE (물량흐름)'!$P$13:$P$502),0)</f>
        <v>123</v>
      </c>
      <c r="AB266" s="112">
        <f t="shared" ca="1" si="34"/>
        <v>193</v>
      </c>
      <c r="AC266" s="112">
        <f t="shared" si="35"/>
        <v>6676063</v>
      </c>
      <c r="AD266" s="381">
        <f t="shared" ca="1" si="36"/>
        <v>0</v>
      </c>
      <c r="AE266" s="381">
        <f t="shared" si="37"/>
        <v>0</v>
      </c>
      <c r="AF266" s="382"/>
      <c r="AG266" s="382">
        <v>1.9</v>
      </c>
      <c r="AH266" s="383">
        <f t="shared" si="38"/>
        <v>-1.54</v>
      </c>
      <c r="AJ266" s="383"/>
      <c r="AL266" s="385"/>
      <c r="AM266" s="381"/>
      <c r="AN266" s="382"/>
      <c r="AO266" s="382"/>
      <c r="AP266" s="383"/>
      <c r="AQ266" s="383"/>
    </row>
    <row r="267" spans="1:43" s="384" customFormat="1" ht="27" customHeight="1">
      <c r="A267" s="167">
        <v>257</v>
      </c>
      <c r="B267" s="240">
        <f>VLOOKUP(A267,'JUNE (물량흐름)'!$A$13:$C$502,3,0)</f>
        <v>100015136</v>
      </c>
      <c r="C267" s="21" t="str">
        <f>VLOOKUP(A267,'JUNE (물량흐름)'!$A$13:$C$502,2,0)</f>
        <v>ALFANI</v>
      </c>
      <c r="D267" s="212">
        <v>0.35</v>
      </c>
      <c r="E267" s="6">
        <f>VLOOKUP(B267,'Sales profit (스타일 별 매출이익)'!$D$9:$P$491,13,0)</f>
        <v>7936.2499999999991</v>
      </c>
      <c r="F267" s="112">
        <f>IFERROR(VLOOKUP(B267,O.B.JUNE!$N$7:$Q$448,2,0),0)</f>
        <v>0</v>
      </c>
      <c r="G267" s="112">
        <f>IFERROR(VLOOKUP(B267,O.B.JUNE!$N$7:$Q$448,3,0),0)</f>
        <v>0</v>
      </c>
      <c r="H267" s="112">
        <f>IFERROR(VLOOKUP(B267,O.B.JUNE!$N$7:$Q$448,4,0),0)</f>
        <v>33</v>
      </c>
      <c r="I267" s="112">
        <f t="shared" si="30"/>
        <v>33</v>
      </c>
      <c r="J267" s="112">
        <f>IFERROR(VLOOKUP(B267,O.B.JUNE!$AA$7:$AG$448,7,0),0)</f>
        <v>668497</v>
      </c>
      <c r="K267" s="112">
        <f>IFERROR(VLOOKUP(B267,O.B.JUNE!$AI$7:$AO$448,7,0),0)</f>
        <v>990799</v>
      </c>
      <c r="L267" s="112">
        <f t="shared" si="31"/>
        <v>1659296</v>
      </c>
      <c r="M267" s="112">
        <f>ROUND(SUMIF('JUNE (물량흐름)'!$C$13:$C$502,'WIP(재공품)'!B267,'JUNE (물량흐름)'!$H$13:$H$502)+SUMIF('JUNE (물량흐름)'!$C$13:$C$502,'WIP(재공품)'!B267,'JUNE (물량흐름)'!$V$13:$V$502),0)</f>
        <v>0</v>
      </c>
      <c r="N267" s="112">
        <f>SUMIF('Direct labour(직접노무비)'!$C$12:$C$503,'WIP(재공품)'!B267,'Direct labour(직접노무비)'!$O$12:$O$503)</f>
        <v>0</v>
      </c>
      <c r="O267" s="112">
        <f>SUMIF('Overhead exp(제조경비)'!$C$12:$C$503,'WIP(재공품)'!B267,'Overhead exp(제조경비)'!$O$12:$O$503)</f>
        <v>0</v>
      </c>
      <c r="P267" s="112">
        <f t="shared" si="32"/>
        <v>0</v>
      </c>
      <c r="Q267" s="112">
        <v>0</v>
      </c>
      <c r="R267" s="112">
        <v>0</v>
      </c>
      <c r="S267" s="112">
        <f>SUMIF('JUNE (물량흐름)'!$C$13:$C$493,'WIP(재공품)'!B267,'JUNE (물량흐름)'!$T$13:$T$493)+SUMIF('JUNE (물량흐름)'!$C$13:$C$493,'WIP(재공품)'!B267,'JUNE (물량흐름)'!$U$13:$U$493)+SUMIF('JUNE (물량흐름)'!$C$13:$C$493,'WIP(재공품)'!B267,'JUNE (물량흐름)'!$V$13:$V$493)-SUMIF('JUNE (물량흐름)'!$C$13:$C$493,'WIP(재공품)'!B267,'JUNE (물량흐름)'!$Y$13:$Y$493)</f>
        <v>0</v>
      </c>
      <c r="T267" s="112">
        <f>SUMIF('JUNE (물량흐름)'!$C$13:$C$502,'WIP(재공품)'!B267,'JUNE (물량흐름)'!$Y$13:$Y$502)</f>
        <v>0</v>
      </c>
      <c r="U267" s="167">
        <f>SUMIF('Direct labour(직접노무비)'!$C$12:$C$503,'WIP(재공품)'!B267,'Direct labour(직접노무비)'!$U$12:$U$503)+SUMIF('Overhead exp(제조경비)'!$C$12:$C$503,'WIP(재공품)'!B267,'Overhead exp(제조경비)'!$U$12:$U$503)</f>
        <v>0</v>
      </c>
      <c r="V267" s="112">
        <f>SUMIF('Direct labour(직접노무비)'!$C$12:$C$503,'WIP(재공품)'!B267,'Direct labour(직접노무비)'!$Q$12:$Q$503)</f>
        <v>0</v>
      </c>
      <c r="W267" s="112">
        <f>SUMIF('Overhead exp(제조경비)'!$C$12:$C$503,'WIP(재공품)'!B267,'Overhead exp(제조경비)'!$Q$12:$Q$503)</f>
        <v>0</v>
      </c>
      <c r="X267" s="112">
        <f t="shared" si="33"/>
        <v>0</v>
      </c>
      <c r="Y267" s="112">
        <f ca="1">ROUND(SUMIF('JUNE (물량흐름)'!$C$13:$C$502,'WIP(재공품)'!B267,'JUNE (물량흐름)'!$N$13:$N$488),0)</f>
        <v>0</v>
      </c>
      <c r="Z267" s="112">
        <f>ROUND(SUMIF('JUNE (물량흐름)'!$C$13:$C$502,'WIP(재공품)'!B267,'JUNE (물량흐름)'!$O$13:$O$502),0)</f>
        <v>0</v>
      </c>
      <c r="AA267" s="112">
        <f>ROUND(SUMIF('JUNE (물량흐름)'!$C$13:$C$502,'WIP(재공품)'!B267,'JUNE (물량흐름)'!$P$13:$P$502),0)</f>
        <v>33</v>
      </c>
      <c r="AB267" s="112">
        <f t="shared" ca="1" si="34"/>
        <v>33</v>
      </c>
      <c r="AC267" s="112">
        <f t="shared" si="35"/>
        <v>1659296</v>
      </c>
      <c r="AD267" s="381">
        <f t="shared" ca="1" si="36"/>
        <v>0</v>
      </c>
      <c r="AE267" s="381">
        <f t="shared" si="37"/>
        <v>0</v>
      </c>
      <c r="AF267" s="382"/>
      <c r="AG267" s="382">
        <v>1.85</v>
      </c>
      <c r="AH267" s="383">
        <f t="shared" si="38"/>
        <v>-1.5</v>
      </c>
      <c r="AJ267" s="383"/>
      <c r="AL267" s="385"/>
      <c r="AM267" s="381"/>
      <c r="AN267" s="382"/>
      <c r="AO267" s="382"/>
      <c r="AP267" s="383"/>
      <c r="AQ267" s="383"/>
    </row>
    <row r="268" spans="1:43" s="384" customFormat="1" ht="27" customHeight="1">
      <c r="A268" s="167">
        <v>258</v>
      </c>
      <c r="B268" s="240">
        <f>VLOOKUP(A268,'JUNE (물량흐름)'!$A$13:$C$502,3,0)</f>
        <v>100015145</v>
      </c>
      <c r="C268" s="21" t="str">
        <f>VLOOKUP(A268,'JUNE (물량흐름)'!$A$13:$C$502,2,0)</f>
        <v>ALFANI</v>
      </c>
      <c r="D268" s="212">
        <v>0.35615384615384615</v>
      </c>
      <c r="E268" s="6">
        <f>VLOOKUP(B268,'Sales profit (스타일 별 매출이익)'!$D$9:$P$491,13,0)</f>
        <v>8075.7884615384619</v>
      </c>
      <c r="F268" s="112">
        <f>IFERROR(VLOOKUP(B268,O.B.JUNE!$N$7:$Q$448,2,0),0)</f>
        <v>0</v>
      </c>
      <c r="G268" s="112">
        <f>IFERROR(VLOOKUP(B268,O.B.JUNE!$N$7:$Q$448,3,0),0)</f>
        <v>34</v>
      </c>
      <c r="H268" s="112">
        <f>IFERROR(VLOOKUP(B268,O.B.JUNE!$N$7:$Q$448,4,0),0)</f>
        <v>36</v>
      </c>
      <c r="I268" s="112">
        <f t="shared" ref="I268:I327" si="39">SUM(F268:H268)</f>
        <v>70</v>
      </c>
      <c r="J268" s="112">
        <f>IFERROR(VLOOKUP(B268,O.B.JUNE!$AA$7:$AG$448,7,0),0)</f>
        <v>1114470</v>
      </c>
      <c r="K268" s="112">
        <f>IFERROR(VLOOKUP(B268,O.B.JUNE!$AI$7:$AO$448,7,0),0)</f>
        <v>1658844</v>
      </c>
      <c r="L268" s="112">
        <f t="shared" ref="L268:L327" si="40">ROUND(J268+K268,0)</f>
        <v>2773314</v>
      </c>
      <c r="M268" s="112">
        <f>ROUND(SUMIF('JUNE (물량흐름)'!$C$13:$C$502,'WIP(재공품)'!B268,'JUNE (물량흐름)'!$H$13:$H$502)+SUMIF('JUNE (물량흐름)'!$C$13:$C$502,'WIP(재공품)'!B268,'JUNE (물량흐름)'!$V$13:$V$502),0)</f>
        <v>0</v>
      </c>
      <c r="N268" s="112">
        <f>SUMIF('Direct labour(직접노무비)'!$C$12:$C$503,'WIP(재공품)'!B268,'Direct labour(직접노무비)'!$O$12:$O$503)</f>
        <v>0</v>
      </c>
      <c r="O268" s="112">
        <f>SUMIF('Overhead exp(제조경비)'!$C$12:$C$503,'WIP(재공품)'!B268,'Overhead exp(제조경비)'!$O$12:$O$503)</f>
        <v>0</v>
      </c>
      <c r="P268" s="112">
        <f t="shared" ref="P268:P327" si="41">ROUND(N268+O268,0)</f>
        <v>0</v>
      </c>
      <c r="Q268" s="112">
        <v>0</v>
      </c>
      <c r="R268" s="112">
        <v>0</v>
      </c>
      <c r="S268" s="112">
        <f>SUMIF('JUNE (물량흐름)'!$C$13:$C$493,'WIP(재공품)'!B268,'JUNE (물량흐름)'!$T$13:$T$493)+SUMIF('JUNE (물량흐름)'!$C$13:$C$493,'WIP(재공품)'!B268,'JUNE (물량흐름)'!$U$13:$U$493)+SUMIF('JUNE (물량흐름)'!$C$13:$C$493,'WIP(재공품)'!B268,'JUNE (물량흐름)'!$V$13:$V$493)-SUMIF('JUNE (물량흐름)'!$C$13:$C$493,'WIP(재공품)'!B268,'JUNE (물량흐름)'!$Y$13:$Y$493)</f>
        <v>0</v>
      </c>
      <c r="T268" s="112">
        <f>SUMIF('JUNE (물량흐름)'!$C$13:$C$502,'WIP(재공품)'!B268,'JUNE (물량흐름)'!$Y$13:$Y$502)</f>
        <v>0</v>
      </c>
      <c r="U268" s="167">
        <f>SUMIF('Direct labour(직접노무비)'!$C$12:$C$503,'WIP(재공품)'!B268,'Direct labour(직접노무비)'!$U$12:$U$503)+SUMIF('Overhead exp(제조경비)'!$C$12:$C$503,'WIP(재공품)'!B268,'Overhead exp(제조경비)'!$U$12:$U$503)</f>
        <v>0</v>
      </c>
      <c r="V268" s="112">
        <f>SUMIF('Direct labour(직접노무비)'!$C$12:$C$503,'WIP(재공품)'!B268,'Direct labour(직접노무비)'!$Q$12:$Q$503)</f>
        <v>0</v>
      </c>
      <c r="W268" s="112">
        <f>SUMIF('Overhead exp(제조경비)'!$C$12:$C$503,'WIP(재공품)'!B268,'Overhead exp(제조경비)'!$Q$12:$Q$503)</f>
        <v>0</v>
      </c>
      <c r="X268" s="112">
        <f t="shared" ref="X268:X327" si="42">ROUND(V268+W268,0)</f>
        <v>0</v>
      </c>
      <c r="Y268" s="112">
        <f ca="1">ROUND(SUMIF('JUNE (물량흐름)'!$C$13:$C$502,'WIP(재공품)'!B268,'JUNE (물량흐름)'!$N$13:$N$488),0)</f>
        <v>0</v>
      </c>
      <c r="Z268" s="112">
        <f>ROUND(SUMIF('JUNE (물량흐름)'!$C$13:$C$502,'WIP(재공품)'!B268,'JUNE (물량흐름)'!$O$13:$O$502),0)</f>
        <v>34</v>
      </c>
      <c r="AA268" s="112">
        <f>ROUND(SUMIF('JUNE (물량흐름)'!$C$13:$C$502,'WIP(재공품)'!B268,'JUNE (물량흐름)'!$P$13:$P$502),0)</f>
        <v>36</v>
      </c>
      <c r="AB268" s="112">
        <f t="shared" ref="AB268:AB327" ca="1" si="43">ROUND(SUM(Y268:AA268),0)</f>
        <v>70</v>
      </c>
      <c r="AC268" s="112">
        <f t="shared" ref="AC268:AC327" si="44">ROUND(L268+P268-X268-U268,0)</f>
        <v>2773314</v>
      </c>
      <c r="AD268" s="381">
        <f t="shared" ref="AD268:AD327" ca="1" si="45">I268+M268-S268-T268-AB268</f>
        <v>0</v>
      </c>
      <c r="AE268" s="381">
        <f t="shared" ref="AE268:AE327" si="46">+L268+P268-X268-U268-AC268</f>
        <v>0</v>
      </c>
      <c r="AF268" s="382"/>
      <c r="AG268" s="382">
        <v>4.8</v>
      </c>
      <c r="AH268" s="383">
        <f t="shared" ref="AH268:AH327" si="47">D268-AG268</f>
        <v>-4.4438461538461533</v>
      </c>
      <c r="AJ268" s="383"/>
      <c r="AL268" s="385"/>
      <c r="AM268" s="381"/>
      <c r="AN268" s="382"/>
      <c r="AO268" s="382"/>
      <c r="AP268" s="383"/>
      <c r="AQ268" s="383"/>
    </row>
    <row r="269" spans="1:43" s="384" customFormat="1" ht="27" customHeight="1">
      <c r="A269" s="167">
        <v>259</v>
      </c>
      <c r="B269" s="240">
        <f>VLOOKUP(A269,'JUNE (물량흐름)'!$A$13:$C$502,3,0)</f>
        <v>100015153</v>
      </c>
      <c r="C269" s="21" t="str">
        <f>VLOOKUP(A269,'JUNE (물량흐름)'!$A$13:$C$502,2,0)</f>
        <v>ALFANI</v>
      </c>
      <c r="D269" s="212">
        <v>0.35</v>
      </c>
      <c r="E269" s="6">
        <f>VLOOKUP(B269,'Sales profit (스타일 별 매출이익)'!$D$9:$P$491,13,0)</f>
        <v>7936.2499999999991</v>
      </c>
      <c r="F269" s="112">
        <f>IFERROR(VLOOKUP(B269,O.B.JUNE!$N$7:$Q$448,2,0),0)</f>
        <v>0</v>
      </c>
      <c r="G269" s="112">
        <f>IFERROR(VLOOKUP(B269,O.B.JUNE!$N$7:$Q$448,3,0),0)</f>
        <v>347</v>
      </c>
      <c r="H269" s="112">
        <f>IFERROR(VLOOKUP(B269,O.B.JUNE!$N$7:$Q$448,4,0),0)</f>
        <v>36</v>
      </c>
      <c r="I269" s="112">
        <f t="shared" si="39"/>
        <v>383</v>
      </c>
      <c r="J269" s="112">
        <f>IFERROR(VLOOKUP(B269,O.B.JUNE!$AA$7:$AG$448,7,0),0)</f>
        <v>3477875</v>
      </c>
      <c r="K269" s="112">
        <f>IFERROR(VLOOKUP(B269,O.B.JUNE!$AI$7:$AO$448,7,0),0)</f>
        <v>5133970</v>
      </c>
      <c r="L269" s="112">
        <f t="shared" si="40"/>
        <v>8611845</v>
      </c>
      <c r="M269" s="112">
        <f>ROUND(SUMIF('JUNE (물량흐름)'!$C$13:$C$502,'WIP(재공품)'!B269,'JUNE (물량흐름)'!$H$13:$H$502)+SUMIF('JUNE (물량흐름)'!$C$13:$C$502,'WIP(재공품)'!B269,'JUNE (물량흐름)'!$V$13:$V$502),0)</f>
        <v>0</v>
      </c>
      <c r="N269" s="112">
        <f>SUMIF('Direct labour(직접노무비)'!$C$12:$C$503,'WIP(재공품)'!B269,'Direct labour(직접노무비)'!$O$12:$O$503)</f>
        <v>0</v>
      </c>
      <c r="O269" s="112">
        <f>SUMIF('Overhead exp(제조경비)'!$C$12:$C$503,'WIP(재공품)'!B269,'Overhead exp(제조경비)'!$O$12:$O$503)</f>
        <v>0</v>
      </c>
      <c r="P269" s="112">
        <f t="shared" si="41"/>
        <v>0</v>
      </c>
      <c r="Q269" s="112">
        <v>0</v>
      </c>
      <c r="R269" s="112">
        <v>0</v>
      </c>
      <c r="S269" s="112">
        <f>SUMIF('JUNE (물량흐름)'!$C$13:$C$493,'WIP(재공품)'!B269,'JUNE (물량흐름)'!$T$13:$T$493)+SUMIF('JUNE (물량흐름)'!$C$13:$C$493,'WIP(재공품)'!B269,'JUNE (물량흐름)'!$U$13:$U$493)+SUMIF('JUNE (물량흐름)'!$C$13:$C$493,'WIP(재공품)'!B269,'JUNE (물량흐름)'!$V$13:$V$493)-SUMIF('JUNE (물량흐름)'!$C$13:$C$493,'WIP(재공품)'!B269,'JUNE (물량흐름)'!$Y$13:$Y$493)</f>
        <v>0</v>
      </c>
      <c r="T269" s="112">
        <f>SUMIF('JUNE (물량흐름)'!$C$13:$C$502,'WIP(재공품)'!B269,'JUNE (물량흐름)'!$Y$13:$Y$502)</f>
        <v>0</v>
      </c>
      <c r="U269" s="167">
        <f>SUMIF('Direct labour(직접노무비)'!$C$12:$C$503,'WIP(재공품)'!B269,'Direct labour(직접노무비)'!$U$12:$U$503)+SUMIF('Overhead exp(제조경비)'!$C$12:$C$503,'WIP(재공품)'!B269,'Overhead exp(제조경비)'!$U$12:$U$503)</f>
        <v>0</v>
      </c>
      <c r="V269" s="112">
        <f>SUMIF('Direct labour(직접노무비)'!$C$12:$C$503,'WIP(재공품)'!B269,'Direct labour(직접노무비)'!$Q$12:$Q$503)</f>
        <v>0</v>
      </c>
      <c r="W269" s="112">
        <f>SUMIF('Overhead exp(제조경비)'!$C$12:$C$503,'WIP(재공품)'!B269,'Overhead exp(제조경비)'!$Q$12:$Q$503)</f>
        <v>0</v>
      </c>
      <c r="X269" s="112">
        <f t="shared" si="42"/>
        <v>0</v>
      </c>
      <c r="Y269" s="112">
        <f ca="1">ROUND(SUMIF('JUNE (물량흐름)'!$C$13:$C$502,'WIP(재공품)'!B269,'JUNE (물량흐름)'!$N$13:$N$488),0)</f>
        <v>0</v>
      </c>
      <c r="Z269" s="112">
        <f>ROUND(SUMIF('JUNE (물량흐름)'!$C$13:$C$502,'WIP(재공품)'!B269,'JUNE (물량흐름)'!$O$13:$O$502),0)</f>
        <v>347</v>
      </c>
      <c r="AA269" s="112">
        <f>ROUND(SUMIF('JUNE (물량흐름)'!$C$13:$C$502,'WIP(재공품)'!B269,'JUNE (물량흐름)'!$P$13:$P$502),0)</f>
        <v>36</v>
      </c>
      <c r="AB269" s="112">
        <f t="shared" ca="1" si="43"/>
        <v>383</v>
      </c>
      <c r="AC269" s="112">
        <f t="shared" si="44"/>
        <v>8611845</v>
      </c>
      <c r="AD269" s="381">
        <f t="shared" ca="1" si="45"/>
        <v>0</v>
      </c>
      <c r="AE269" s="381">
        <f t="shared" si="46"/>
        <v>0</v>
      </c>
      <c r="AF269" s="382"/>
      <c r="AG269" s="382">
        <v>2.5</v>
      </c>
      <c r="AH269" s="383">
        <f t="shared" si="47"/>
        <v>-2.15</v>
      </c>
      <c r="AJ269" s="383"/>
      <c r="AL269" s="385"/>
      <c r="AM269" s="381"/>
      <c r="AN269" s="382"/>
      <c r="AO269" s="382"/>
      <c r="AP269" s="383"/>
      <c r="AQ269" s="383"/>
    </row>
    <row r="270" spans="1:43" s="384" customFormat="1" ht="27" customHeight="1">
      <c r="A270" s="167">
        <v>260</v>
      </c>
      <c r="B270" s="240">
        <f>VLOOKUP(A270,'JUNE (물량흐름)'!$A$13:$C$502,3,0)</f>
        <v>100015224</v>
      </c>
      <c r="C270" s="21" t="str">
        <f>VLOOKUP(A270,'JUNE (물량흐름)'!$A$13:$C$502,2,0)</f>
        <v>ALFANI</v>
      </c>
      <c r="D270" s="212">
        <v>0.36</v>
      </c>
      <c r="E270" s="6">
        <f>VLOOKUP(B270,'Sales profit (스타일 별 매출이익)'!$D$9:$P$491,13,0)</f>
        <v>8163</v>
      </c>
      <c r="F270" s="112">
        <f>IFERROR(VLOOKUP(B270,O.B.JUNE!$N$7:$Q$448,2,0),0)</f>
        <v>0</v>
      </c>
      <c r="G270" s="112">
        <f>IFERROR(VLOOKUP(B270,O.B.JUNE!$N$7:$Q$448,3,0),0)</f>
        <v>0</v>
      </c>
      <c r="H270" s="112">
        <f>IFERROR(VLOOKUP(B270,O.B.JUNE!$N$7:$Q$448,4,0),0)</f>
        <v>44</v>
      </c>
      <c r="I270" s="112">
        <f t="shared" si="39"/>
        <v>44</v>
      </c>
      <c r="J270" s="112">
        <f>IFERROR(VLOOKUP(B270,O.B.JUNE!$AA$7:$AG$448,7,0),0)</f>
        <v>615689</v>
      </c>
      <c r="K270" s="112">
        <f>IFERROR(VLOOKUP(B270,O.B.JUNE!$AI$7:$AO$448,7,0),0)</f>
        <v>915465</v>
      </c>
      <c r="L270" s="112">
        <f t="shared" si="40"/>
        <v>1531154</v>
      </c>
      <c r="M270" s="112">
        <f>ROUND(SUMIF('JUNE (물량흐름)'!$C$13:$C$502,'WIP(재공품)'!B270,'JUNE (물량흐름)'!$H$13:$H$502)+SUMIF('JUNE (물량흐름)'!$C$13:$C$502,'WIP(재공품)'!B270,'JUNE (물량흐름)'!$V$13:$V$502),0)</f>
        <v>0</v>
      </c>
      <c r="N270" s="112">
        <f>SUMIF('Direct labour(직접노무비)'!$C$12:$C$503,'WIP(재공품)'!B270,'Direct labour(직접노무비)'!$O$12:$O$503)</f>
        <v>0</v>
      </c>
      <c r="O270" s="112">
        <f>SUMIF('Overhead exp(제조경비)'!$C$12:$C$503,'WIP(재공품)'!B270,'Overhead exp(제조경비)'!$O$12:$O$503)</f>
        <v>0</v>
      </c>
      <c r="P270" s="112">
        <f t="shared" si="41"/>
        <v>0</v>
      </c>
      <c r="Q270" s="112">
        <v>0</v>
      </c>
      <c r="R270" s="112">
        <v>0</v>
      </c>
      <c r="S270" s="112">
        <f>SUMIF('JUNE (물량흐름)'!$C$13:$C$493,'WIP(재공품)'!B270,'JUNE (물량흐름)'!$T$13:$T$493)+SUMIF('JUNE (물량흐름)'!$C$13:$C$493,'WIP(재공품)'!B270,'JUNE (물량흐름)'!$U$13:$U$493)+SUMIF('JUNE (물량흐름)'!$C$13:$C$493,'WIP(재공품)'!B270,'JUNE (물량흐름)'!$V$13:$V$493)-SUMIF('JUNE (물량흐름)'!$C$13:$C$493,'WIP(재공품)'!B270,'JUNE (물량흐름)'!$Y$13:$Y$493)</f>
        <v>0</v>
      </c>
      <c r="T270" s="112">
        <f>SUMIF('JUNE (물량흐름)'!$C$13:$C$502,'WIP(재공품)'!B270,'JUNE (물량흐름)'!$Y$13:$Y$502)</f>
        <v>0</v>
      </c>
      <c r="U270" s="167">
        <f>SUMIF('Direct labour(직접노무비)'!$C$12:$C$503,'WIP(재공품)'!B270,'Direct labour(직접노무비)'!$U$12:$U$503)+SUMIF('Overhead exp(제조경비)'!$C$12:$C$503,'WIP(재공품)'!B270,'Overhead exp(제조경비)'!$U$12:$U$503)</f>
        <v>0</v>
      </c>
      <c r="V270" s="112">
        <f>SUMIF('Direct labour(직접노무비)'!$C$12:$C$503,'WIP(재공품)'!B270,'Direct labour(직접노무비)'!$Q$12:$Q$503)</f>
        <v>0</v>
      </c>
      <c r="W270" s="112">
        <f>SUMIF('Overhead exp(제조경비)'!$C$12:$C$503,'WIP(재공품)'!B270,'Overhead exp(제조경비)'!$Q$12:$Q$503)</f>
        <v>0</v>
      </c>
      <c r="X270" s="112">
        <f t="shared" si="42"/>
        <v>0</v>
      </c>
      <c r="Y270" s="112">
        <f ca="1">ROUND(SUMIF('JUNE (물량흐름)'!$C$13:$C$502,'WIP(재공품)'!B270,'JUNE (물량흐름)'!$N$13:$N$488),0)</f>
        <v>0</v>
      </c>
      <c r="Z270" s="112">
        <f>ROUND(SUMIF('JUNE (물량흐름)'!$C$13:$C$502,'WIP(재공품)'!B270,'JUNE (물량흐름)'!$O$13:$O$502),0)</f>
        <v>0</v>
      </c>
      <c r="AA270" s="112">
        <f>ROUND(SUMIF('JUNE (물량흐름)'!$C$13:$C$502,'WIP(재공품)'!B270,'JUNE (물량흐름)'!$P$13:$P$502),0)</f>
        <v>44</v>
      </c>
      <c r="AB270" s="112">
        <f t="shared" ca="1" si="43"/>
        <v>44</v>
      </c>
      <c r="AC270" s="112">
        <f t="shared" si="44"/>
        <v>1531154</v>
      </c>
      <c r="AD270" s="381">
        <f t="shared" ca="1" si="45"/>
        <v>0</v>
      </c>
      <c r="AE270" s="381">
        <f t="shared" si="46"/>
        <v>0</v>
      </c>
      <c r="AF270" s="382"/>
      <c r="AG270" s="382">
        <v>1.8</v>
      </c>
      <c r="AH270" s="383">
        <f t="shared" si="47"/>
        <v>-1.44</v>
      </c>
      <c r="AJ270" s="383"/>
      <c r="AL270" s="385"/>
      <c r="AM270" s="381"/>
      <c r="AN270" s="382"/>
      <c r="AO270" s="382"/>
      <c r="AP270" s="383"/>
      <c r="AQ270" s="383"/>
    </row>
    <row r="271" spans="1:43" s="384" customFormat="1" ht="27" customHeight="1">
      <c r="A271" s="167">
        <v>261</v>
      </c>
      <c r="B271" s="240">
        <f>VLOOKUP(A271,'JUNE (물량흐름)'!$A$13:$C$502,3,0)</f>
        <v>100015225</v>
      </c>
      <c r="C271" s="21" t="str">
        <f>VLOOKUP(A271,'JUNE (물량흐름)'!$A$13:$C$502,2,0)</f>
        <v>ALFANI</v>
      </c>
      <c r="D271" s="212">
        <v>0.35018604651162788</v>
      </c>
      <c r="E271" s="6">
        <f>VLOOKUP(B271,'Sales profit (스타일 별 매출이익)'!$D$9:$P$491,13,0)</f>
        <v>7940.4686046511624</v>
      </c>
      <c r="F271" s="112">
        <f>IFERROR(VLOOKUP(B271,O.B.JUNE!$N$7:$Q$448,2,0),0)</f>
        <v>4</v>
      </c>
      <c r="G271" s="112">
        <f>IFERROR(VLOOKUP(B271,O.B.JUNE!$N$7:$Q$448,3,0),0)</f>
        <v>34</v>
      </c>
      <c r="H271" s="112">
        <f>IFERROR(VLOOKUP(B271,O.B.JUNE!$N$7:$Q$448,4,0),0)</f>
        <v>18</v>
      </c>
      <c r="I271" s="112">
        <f t="shared" si="39"/>
        <v>56</v>
      </c>
      <c r="J271" s="112">
        <f>IFERROR(VLOOKUP(B271,O.B.JUNE!$AA$7:$AG$448,7,0),0)</f>
        <v>1087892</v>
      </c>
      <c r="K271" s="112">
        <f>IFERROR(VLOOKUP(B271,O.B.JUNE!$AI$7:$AO$448,7,0),0)</f>
        <v>1624972</v>
      </c>
      <c r="L271" s="112">
        <f t="shared" si="40"/>
        <v>2712864</v>
      </c>
      <c r="M271" s="112">
        <f>ROUND(SUMIF('JUNE (물량흐름)'!$C$13:$C$502,'WIP(재공품)'!B271,'JUNE (물량흐름)'!$H$13:$H$502)+SUMIF('JUNE (물량흐름)'!$C$13:$C$502,'WIP(재공품)'!B271,'JUNE (물량흐름)'!$V$13:$V$502),0)</f>
        <v>0</v>
      </c>
      <c r="N271" s="112">
        <f>SUMIF('Direct labour(직접노무비)'!$C$12:$C$503,'WIP(재공품)'!B271,'Direct labour(직접노무비)'!$O$12:$O$503)</f>
        <v>0</v>
      </c>
      <c r="O271" s="112">
        <f>SUMIF('Overhead exp(제조경비)'!$C$12:$C$503,'WIP(재공품)'!B271,'Overhead exp(제조경비)'!$O$12:$O$503)</f>
        <v>0</v>
      </c>
      <c r="P271" s="112">
        <f t="shared" si="41"/>
        <v>0</v>
      </c>
      <c r="Q271" s="112">
        <v>0</v>
      </c>
      <c r="R271" s="112">
        <v>0</v>
      </c>
      <c r="S271" s="112">
        <f>SUMIF('JUNE (물량흐름)'!$C$13:$C$493,'WIP(재공품)'!B271,'JUNE (물량흐름)'!$T$13:$T$493)+SUMIF('JUNE (물량흐름)'!$C$13:$C$493,'WIP(재공품)'!B271,'JUNE (물량흐름)'!$U$13:$U$493)+SUMIF('JUNE (물량흐름)'!$C$13:$C$493,'WIP(재공품)'!B271,'JUNE (물량흐름)'!$V$13:$V$493)-SUMIF('JUNE (물량흐름)'!$C$13:$C$493,'WIP(재공품)'!B271,'JUNE (물량흐름)'!$Y$13:$Y$493)</f>
        <v>0</v>
      </c>
      <c r="T271" s="112">
        <f>SUMIF('JUNE (물량흐름)'!$C$13:$C$502,'WIP(재공품)'!B271,'JUNE (물량흐름)'!$Y$13:$Y$502)</f>
        <v>0</v>
      </c>
      <c r="U271" s="167">
        <f>SUMIF('Direct labour(직접노무비)'!$C$12:$C$503,'WIP(재공품)'!B271,'Direct labour(직접노무비)'!$U$12:$U$503)+SUMIF('Overhead exp(제조경비)'!$C$12:$C$503,'WIP(재공품)'!B271,'Overhead exp(제조경비)'!$U$12:$U$503)</f>
        <v>0</v>
      </c>
      <c r="V271" s="112">
        <f>SUMIF('Direct labour(직접노무비)'!$C$12:$C$503,'WIP(재공품)'!B271,'Direct labour(직접노무비)'!$Q$12:$Q$503)</f>
        <v>0</v>
      </c>
      <c r="W271" s="112">
        <f>SUMIF('Overhead exp(제조경비)'!$C$12:$C$503,'WIP(재공품)'!B271,'Overhead exp(제조경비)'!$Q$12:$Q$503)</f>
        <v>0</v>
      </c>
      <c r="X271" s="112">
        <f t="shared" si="42"/>
        <v>0</v>
      </c>
      <c r="Y271" s="112">
        <f ca="1">ROUND(SUMIF('JUNE (물량흐름)'!$C$13:$C$502,'WIP(재공품)'!B271,'JUNE (물량흐름)'!$N$13:$N$488),0)</f>
        <v>4</v>
      </c>
      <c r="Z271" s="112">
        <f>ROUND(SUMIF('JUNE (물량흐름)'!$C$13:$C$502,'WIP(재공품)'!B271,'JUNE (물량흐름)'!$O$13:$O$502),0)</f>
        <v>34</v>
      </c>
      <c r="AA271" s="112">
        <f>ROUND(SUMIF('JUNE (물량흐름)'!$C$13:$C$502,'WIP(재공품)'!B271,'JUNE (물량흐름)'!$P$13:$P$502),0)</f>
        <v>18</v>
      </c>
      <c r="AB271" s="112">
        <f t="shared" ca="1" si="43"/>
        <v>56</v>
      </c>
      <c r="AC271" s="112">
        <f t="shared" si="44"/>
        <v>2712864</v>
      </c>
      <c r="AD271" s="381">
        <f t="shared" ca="1" si="45"/>
        <v>0</v>
      </c>
      <c r="AE271" s="381">
        <f t="shared" si="46"/>
        <v>0</v>
      </c>
      <c r="AF271" s="382"/>
      <c r="AG271" s="382">
        <v>1.8</v>
      </c>
      <c r="AH271" s="383">
        <f t="shared" si="47"/>
        <v>-1.4498139534883721</v>
      </c>
      <c r="AJ271" s="383"/>
      <c r="AL271" s="385"/>
      <c r="AM271" s="381"/>
      <c r="AN271" s="382"/>
      <c r="AO271" s="382"/>
      <c r="AP271" s="383"/>
      <c r="AQ271" s="383"/>
    </row>
    <row r="272" spans="1:43" s="384" customFormat="1" ht="27" customHeight="1">
      <c r="A272" s="167">
        <v>262</v>
      </c>
      <c r="B272" s="240">
        <f>VLOOKUP(A272,'JUNE (물량흐름)'!$A$13:$C$502,3,0)</f>
        <v>100015357</v>
      </c>
      <c r="C272" s="21" t="str">
        <f>VLOOKUP(A272,'JUNE (물량흐름)'!$A$13:$C$502,2,0)</f>
        <v>ALFANI</v>
      </c>
      <c r="D272" s="212">
        <v>2.4500000000000002</v>
      </c>
      <c r="E272" s="6">
        <f>VLOOKUP(B272,'Sales profit (스타일 별 매출이익)'!$D$9:$P$491,13,0)</f>
        <v>55553.750000000007</v>
      </c>
      <c r="F272" s="112">
        <f>IFERROR(VLOOKUP(B272,O.B.JUNE!$N$7:$Q$448,2,0),0)</f>
        <v>0</v>
      </c>
      <c r="G272" s="112">
        <f>IFERROR(VLOOKUP(B272,O.B.JUNE!$N$7:$Q$448,3,0),0)</f>
        <v>0</v>
      </c>
      <c r="H272" s="112">
        <f>IFERROR(VLOOKUP(B272,O.B.JUNE!$N$7:$Q$448,4,0),0)</f>
        <v>44</v>
      </c>
      <c r="I272" s="112">
        <f t="shared" si="39"/>
        <v>44</v>
      </c>
      <c r="J272" s="112">
        <f>IFERROR(VLOOKUP(B272,O.B.JUNE!$AA$7:$AG$448,7,0),0)</f>
        <v>349495</v>
      </c>
      <c r="K272" s="112">
        <f>IFERROR(VLOOKUP(B272,O.B.JUNE!$AI$7:$AO$448,7,0),0)</f>
        <v>520572</v>
      </c>
      <c r="L272" s="112">
        <f t="shared" si="40"/>
        <v>870067</v>
      </c>
      <c r="M272" s="112">
        <f>ROUND(SUMIF('JUNE (물량흐름)'!$C$13:$C$502,'WIP(재공품)'!B272,'JUNE (물량흐름)'!$H$13:$H$502)+SUMIF('JUNE (물량흐름)'!$C$13:$C$502,'WIP(재공품)'!B272,'JUNE (물량흐름)'!$V$13:$V$502),0)</f>
        <v>0</v>
      </c>
      <c r="N272" s="112">
        <f>SUMIF('Direct labour(직접노무비)'!$C$12:$C$503,'WIP(재공품)'!B272,'Direct labour(직접노무비)'!$O$12:$O$503)</f>
        <v>0</v>
      </c>
      <c r="O272" s="112">
        <f>SUMIF('Overhead exp(제조경비)'!$C$12:$C$503,'WIP(재공품)'!B272,'Overhead exp(제조경비)'!$O$12:$O$503)</f>
        <v>0</v>
      </c>
      <c r="P272" s="112">
        <f t="shared" si="41"/>
        <v>0</v>
      </c>
      <c r="Q272" s="112">
        <v>0</v>
      </c>
      <c r="R272" s="112">
        <v>0</v>
      </c>
      <c r="S272" s="112">
        <f>SUMIF('JUNE (물량흐름)'!$C$13:$C$493,'WIP(재공품)'!B272,'JUNE (물량흐름)'!$T$13:$T$493)+SUMIF('JUNE (물량흐름)'!$C$13:$C$493,'WIP(재공품)'!B272,'JUNE (물량흐름)'!$U$13:$U$493)+SUMIF('JUNE (물량흐름)'!$C$13:$C$493,'WIP(재공품)'!B272,'JUNE (물량흐름)'!$V$13:$V$493)-SUMIF('JUNE (물량흐름)'!$C$13:$C$493,'WIP(재공품)'!B272,'JUNE (물량흐름)'!$Y$13:$Y$493)</f>
        <v>0</v>
      </c>
      <c r="T272" s="112">
        <f>SUMIF('JUNE (물량흐름)'!$C$13:$C$502,'WIP(재공품)'!B272,'JUNE (물량흐름)'!$Y$13:$Y$502)</f>
        <v>0</v>
      </c>
      <c r="U272" s="167">
        <f>SUMIF('Direct labour(직접노무비)'!$C$12:$C$503,'WIP(재공품)'!B272,'Direct labour(직접노무비)'!$U$12:$U$503)+SUMIF('Overhead exp(제조경비)'!$C$12:$C$503,'WIP(재공품)'!B272,'Overhead exp(제조경비)'!$U$12:$U$503)</f>
        <v>0</v>
      </c>
      <c r="V272" s="112">
        <f>SUMIF('Direct labour(직접노무비)'!$C$12:$C$503,'WIP(재공품)'!B272,'Direct labour(직접노무비)'!$Q$12:$Q$503)</f>
        <v>0</v>
      </c>
      <c r="W272" s="112">
        <f>SUMIF('Overhead exp(제조경비)'!$C$12:$C$503,'WIP(재공품)'!B272,'Overhead exp(제조경비)'!$Q$12:$Q$503)</f>
        <v>0</v>
      </c>
      <c r="X272" s="112">
        <f t="shared" si="42"/>
        <v>0</v>
      </c>
      <c r="Y272" s="112">
        <f ca="1">ROUND(SUMIF('JUNE (물량흐름)'!$C$13:$C$502,'WIP(재공품)'!B272,'JUNE (물량흐름)'!$N$13:$N$488),0)</f>
        <v>0</v>
      </c>
      <c r="Z272" s="112">
        <f>ROUND(SUMIF('JUNE (물량흐름)'!$C$13:$C$502,'WIP(재공품)'!B272,'JUNE (물량흐름)'!$O$13:$O$502),0)</f>
        <v>0</v>
      </c>
      <c r="AA272" s="112">
        <f>ROUND(SUMIF('JUNE (물량흐름)'!$C$13:$C$502,'WIP(재공품)'!B272,'JUNE (물량흐름)'!$P$13:$P$502),0)</f>
        <v>44</v>
      </c>
      <c r="AB272" s="112">
        <f t="shared" ca="1" si="43"/>
        <v>44</v>
      </c>
      <c r="AC272" s="112">
        <f t="shared" si="44"/>
        <v>870067</v>
      </c>
      <c r="AD272" s="381">
        <f t="shared" ca="1" si="45"/>
        <v>0</v>
      </c>
      <c r="AE272" s="381">
        <f t="shared" si="46"/>
        <v>0</v>
      </c>
      <c r="AF272" s="382"/>
      <c r="AG272" s="382">
        <v>2.2999999999999998</v>
      </c>
      <c r="AH272" s="383">
        <f t="shared" si="47"/>
        <v>0.15000000000000036</v>
      </c>
      <c r="AJ272" s="383"/>
      <c r="AL272" s="385"/>
      <c r="AM272" s="381"/>
      <c r="AN272" s="382"/>
      <c r="AO272" s="382"/>
      <c r="AP272" s="383"/>
      <c r="AQ272" s="383"/>
    </row>
    <row r="273" spans="1:43" s="384" customFormat="1" ht="27" customHeight="1">
      <c r="A273" s="167">
        <v>263</v>
      </c>
      <c r="B273" s="240">
        <f>VLOOKUP(A273,'JUNE (물량흐름)'!$A$13:$C$502,3,0)</f>
        <v>100022985</v>
      </c>
      <c r="C273" s="21" t="str">
        <f>VLOOKUP(A273,'JUNE (물량흐름)'!$A$13:$C$502,2,0)</f>
        <v>ALFANI</v>
      </c>
      <c r="D273" s="212">
        <v>0.36</v>
      </c>
      <c r="E273" s="6">
        <f>VLOOKUP(B273,'Sales profit (스타일 별 매출이익)'!$D$9:$P$491,13,0)</f>
        <v>8163</v>
      </c>
      <c r="F273" s="112">
        <f>IFERROR(VLOOKUP(B273,O.B.JUNE!$N$7:$Q$448,2,0),0)</f>
        <v>0</v>
      </c>
      <c r="G273" s="112">
        <f>IFERROR(VLOOKUP(B273,O.B.JUNE!$N$7:$Q$448,3,0),0)</f>
        <v>0</v>
      </c>
      <c r="H273" s="112">
        <f>IFERROR(VLOOKUP(B273,O.B.JUNE!$N$7:$Q$448,4,0),0)</f>
        <v>42</v>
      </c>
      <c r="I273" s="112">
        <f t="shared" si="39"/>
        <v>42</v>
      </c>
      <c r="J273" s="112">
        <f>IFERROR(VLOOKUP(B273,O.B.JUNE!$AA$7:$AG$448,7,0),0)</f>
        <v>890709</v>
      </c>
      <c r="K273" s="112">
        <f>IFERROR(VLOOKUP(B273,O.B.JUNE!$AI$7:$AO$448,7,0),0)</f>
        <v>1322686</v>
      </c>
      <c r="L273" s="112">
        <f t="shared" si="40"/>
        <v>2213395</v>
      </c>
      <c r="M273" s="112">
        <f>ROUND(SUMIF('JUNE (물량흐름)'!$C$13:$C$502,'WIP(재공품)'!B273,'JUNE (물량흐름)'!$H$13:$H$502)+SUMIF('JUNE (물량흐름)'!$C$13:$C$502,'WIP(재공품)'!B273,'JUNE (물량흐름)'!$V$13:$V$502),0)</f>
        <v>0</v>
      </c>
      <c r="N273" s="112">
        <f>SUMIF('Direct labour(직접노무비)'!$C$12:$C$503,'WIP(재공품)'!B273,'Direct labour(직접노무비)'!$O$12:$O$503)</f>
        <v>0</v>
      </c>
      <c r="O273" s="112">
        <f>SUMIF('Overhead exp(제조경비)'!$C$12:$C$503,'WIP(재공품)'!B273,'Overhead exp(제조경비)'!$O$12:$O$503)</f>
        <v>0</v>
      </c>
      <c r="P273" s="112">
        <f t="shared" si="41"/>
        <v>0</v>
      </c>
      <c r="Q273" s="112">
        <v>0</v>
      </c>
      <c r="R273" s="112">
        <v>0</v>
      </c>
      <c r="S273" s="112">
        <f>SUMIF('JUNE (물량흐름)'!$C$13:$C$493,'WIP(재공품)'!B273,'JUNE (물량흐름)'!$T$13:$T$493)+SUMIF('JUNE (물량흐름)'!$C$13:$C$493,'WIP(재공품)'!B273,'JUNE (물량흐름)'!$U$13:$U$493)+SUMIF('JUNE (물량흐름)'!$C$13:$C$493,'WIP(재공품)'!B273,'JUNE (물량흐름)'!$V$13:$V$493)-SUMIF('JUNE (물량흐름)'!$C$13:$C$493,'WIP(재공품)'!B273,'JUNE (물량흐름)'!$Y$13:$Y$493)</f>
        <v>0</v>
      </c>
      <c r="T273" s="112">
        <f>SUMIF('JUNE (물량흐름)'!$C$13:$C$502,'WIP(재공품)'!B273,'JUNE (물량흐름)'!$Y$13:$Y$502)</f>
        <v>0</v>
      </c>
      <c r="U273" s="167">
        <f>SUMIF('Direct labour(직접노무비)'!$C$12:$C$503,'WIP(재공품)'!B273,'Direct labour(직접노무비)'!$U$12:$U$503)+SUMIF('Overhead exp(제조경비)'!$C$12:$C$503,'WIP(재공품)'!B273,'Overhead exp(제조경비)'!$U$12:$U$503)</f>
        <v>0</v>
      </c>
      <c r="V273" s="112">
        <f>SUMIF('Direct labour(직접노무비)'!$C$12:$C$503,'WIP(재공품)'!B273,'Direct labour(직접노무비)'!$Q$12:$Q$503)</f>
        <v>0</v>
      </c>
      <c r="W273" s="112">
        <f>SUMIF('Overhead exp(제조경비)'!$C$12:$C$503,'WIP(재공품)'!B273,'Overhead exp(제조경비)'!$Q$12:$Q$503)</f>
        <v>0</v>
      </c>
      <c r="X273" s="112">
        <f t="shared" si="42"/>
        <v>0</v>
      </c>
      <c r="Y273" s="112">
        <f ca="1">ROUND(SUMIF('JUNE (물량흐름)'!$C$13:$C$502,'WIP(재공품)'!B273,'JUNE (물량흐름)'!$N$13:$N$488),0)</f>
        <v>0</v>
      </c>
      <c r="Z273" s="112">
        <f>ROUND(SUMIF('JUNE (물량흐름)'!$C$13:$C$502,'WIP(재공품)'!B273,'JUNE (물량흐름)'!$O$13:$O$502),0)</f>
        <v>0</v>
      </c>
      <c r="AA273" s="112">
        <f>ROUND(SUMIF('JUNE (물량흐름)'!$C$13:$C$502,'WIP(재공품)'!B273,'JUNE (물량흐름)'!$P$13:$P$502),0)</f>
        <v>42</v>
      </c>
      <c r="AB273" s="112">
        <f t="shared" ca="1" si="43"/>
        <v>42</v>
      </c>
      <c r="AC273" s="112">
        <f t="shared" si="44"/>
        <v>2213395</v>
      </c>
      <c r="AD273" s="381">
        <f t="shared" ca="1" si="45"/>
        <v>0</v>
      </c>
      <c r="AE273" s="381">
        <f t="shared" si="46"/>
        <v>0</v>
      </c>
      <c r="AF273" s="382"/>
      <c r="AG273" s="382">
        <v>2.15</v>
      </c>
      <c r="AH273" s="383">
        <f t="shared" si="47"/>
        <v>-1.79</v>
      </c>
      <c r="AJ273" s="383"/>
      <c r="AL273" s="385"/>
      <c r="AM273" s="381"/>
      <c r="AN273" s="382"/>
      <c r="AO273" s="382"/>
      <c r="AP273" s="383"/>
      <c r="AQ273" s="383"/>
    </row>
    <row r="274" spans="1:43" s="384" customFormat="1" ht="27" customHeight="1">
      <c r="A274" s="167">
        <v>264</v>
      </c>
      <c r="B274" s="240">
        <f>VLOOKUP(A274,'JUNE (물량흐름)'!$A$13:$C$502,3,0)</f>
        <v>100024114</v>
      </c>
      <c r="C274" s="21" t="str">
        <f>VLOOKUP(A274,'JUNE (물량흐름)'!$A$13:$C$502,2,0)</f>
        <v>ALFANI</v>
      </c>
      <c r="D274" s="212">
        <v>0.36</v>
      </c>
      <c r="E274" s="6">
        <f>VLOOKUP(B274,'Sales profit (스타일 별 매출이익)'!$D$9:$P$491,13,0)</f>
        <v>8163</v>
      </c>
      <c r="F274" s="112">
        <f>IFERROR(VLOOKUP(B274,O.B.JUNE!$N$7:$Q$448,2,0),0)</f>
        <v>0</v>
      </c>
      <c r="G274" s="112">
        <f>IFERROR(VLOOKUP(B274,O.B.JUNE!$N$7:$Q$448,3,0),0)</f>
        <v>0</v>
      </c>
      <c r="H274" s="112">
        <f>IFERROR(VLOOKUP(B274,O.B.JUNE!$N$7:$Q$448,4,0),0)</f>
        <v>26</v>
      </c>
      <c r="I274" s="112">
        <f t="shared" si="39"/>
        <v>26</v>
      </c>
      <c r="J274" s="112">
        <f>IFERROR(VLOOKUP(B274,O.B.JUNE!$AA$7:$AG$448,7,0),0)</f>
        <v>432458</v>
      </c>
      <c r="K274" s="112">
        <f>IFERROR(VLOOKUP(B274,O.B.JUNE!$AI$7:$AO$448,7,0),0)</f>
        <v>642263</v>
      </c>
      <c r="L274" s="112">
        <f t="shared" si="40"/>
        <v>1074721</v>
      </c>
      <c r="M274" s="112">
        <f>ROUND(SUMIF('JUNE (물량흐름)'!$C$13:$C$502,'WIP(재공품)'!B274,'JUNE (물량흐름)'!$H$13:$H$502)+SUMIF('JUNE (물량흐름)'!$C$13:$C$502,'WIP(재공품)'!B274,'JUNE (물량흐름)'!$V$13:$V$502),0)</f>
        <v>0</v>
      </c>
      <c r="N274" s="112">
        <f>SUMIF('Direct labour(직접노무비)'!$C$12:$C$503,'WIP(재공품)'!B274,'Direct labour(직접노무비)'!$O$12:$O$503)</f>
        <v>0</v>
      </c>
      <c r="O274" s="112">
        <f>SUMIF('Overhead exp(제조경비)'!$C$12:$C$503,'WIP(재공품)'!B274,'Overhead exp(제조경비)'!$O$12:$O$503)</f>
        <v>0</v>
      </c>
      <c r="P274" s="112">
        <f t="shared" si="41"/>
        <v>0</v>
      </c>
      <c r="Q274" s="112">
        <v>0</v>
      </c>
      <c r="R274" s="112">
        <v>0</v>
      </c>
      <c r="S274" s="112">
        <f>SUMIF('JUNE (물량흐름)'!$C$13:$C$493,'WIP(재공품)'!B274,'JUNE (물량흐름)'!$T$13:$T$493)+SUMIF('JUNE (물량흐름)'!$C$13:$C$493,'WIP(재공품)'!B274,'JUNE (물량흐름)'!$U$13:$U$493)+SUMIF('JUNE (물량흐름)'!$C$13:$C$493,'WIP(재공품)'!B274,'JUNE (물량흐름)'!$V$13:$V$493)-SUMIF('JUNE (물량흐름)'!$C$13:$C$493,'WIP(재공품)'!B274,'JUNE (물량흐름)'!$Y$13:$Y$493)</f>
        <v>0</v>
      </c>
      <c r="T274" s="112">
        <f>SUMIF('JUNE (물량흐름)'!$C$13:$C$502,'WIP(재공품)'!B274,'JUNE (물량흐름)'!$Y$13:$Y$502)</f>
        <v>0</v>
      </c>
      <c r="U274" s="167">
        <f>SUMIF('Direct labour(직접노무비)'!$C$12:$C$503,'WIP(재공품)'!B274,'Direct labour(직접노무비)'!$U$12:$U$503)+SUMIF('Overhead exp(제조경비)'!$C$12:$C$503,'WIP(재공품)'!B274,'Overhead exp(제조경비)'!$U$12:$U$503)</f>
        <v>0</v>
      </c>
      <c r="V274" s="112">
        <f>SUMIF('Direct labour(직접노무비)'!$C$12:$C$503,'WIP(재공품)'!B274,'Direct labour(직접노무비)'!$Q$12:$Q$503)</f>
        <v>0</v>
      </c>
      <c r="W274" s="112">
        <f>SUMIF('Overhead exp(제조경비)'!$C$12:$C$503,'WIP(재공품)'!B274,'Overhead exp(제조경비)'!$Q$12:$Q$503)</f>
        <v>0</v>
      </c>
      <c r="X274" s="112">
        <f t="shared" si="42"/>
        <v>0</v>
      </c>
      <c r="Y274" s="112">
        <f ca="1">ROUND(SUMIF('JUNE (물량흐름)'!$C$13:$C$502,'WIP(재공품)'!B274,'JUNE (물량흐름)'!$N$13:$N$488),0)</f>
        <v>0</v>
      </c>
      <c r="Z274" s="112">
        <f>ROUND(SUMIF('JUNE (물량흐름)'!$C$13:$C$502,'WIP(재공품)'!B274,'JUNE (물량흐름)'!$O$13:$O$502),0)</f>
        <v>0</v>
      </c>
      <c r="AA274" s="112">
        <f>ROUND(SUMIF('JUNE (물량흐름)'!$C$13:$C$502,'WIP(재공품)'!B274,'JUNE (물량흐름)'!$P$13:$P$502),0)</f>
        <v>26</v>
      </c>
      <c r="AB274" s="112">
        <f t="shared" ca="1" si="43"/>
        <v>26</v>
      </c>
      <c r="AC274" s="112">
        <f t="shared" si="44"/>
        <v>1074721</v>
      </c>
      <c r="AD274" s="381">
        <f t="shared" ca="1" si="45"/>
        <v>0</v>
      </c>
      <c r="AE274" s="381">
        <f t="shared" si="46"/>
        <v>0</v>
      </c>
      <c r="AF274" s="382"/>
      <c r="AG274" s="382">
        <v>2.8</v>
      </c>
      <c r="AH274" s="383">
        <f t="shared" si="47"/>
        <v>-2.44</v>
      </c>
      <c r="AJ274" s="383"/>
      <c r="AL274" s="385"/>
      <c r="AM274" s="381"/>
      <c r="AN274" s="382"/>
      <c r="AO274" s="382"/>
      <c r="AP274" s="383"/>
      <c r="AQ274" s="383"/>
    </row>
    <row r="275" spans="1:43" s="384" customFormat="1" ht="27" customHeight="1">
      <c r="A275" s="167">
        <v>266</v>
      </c>
      <c r="B275" s="240">
        <f>VLOOKUP(A275,'JUNE (물량흐름)'!$A$13:$C$502,3,0)</f>
        <v>100021859</v>
      </c>
      <c r="C275" s="21" t="str">
        <f>VLOOKUP(A275,'JUNE (물량흐름)'!$A$13:$C$502,2,0)</f>
        <v>ALFANI</v>
      </c>
      <c r="D275" s="212">
        <v>0.35</v>
      </c>
      <c r="E275" s="6">
        <f>VLOOKUP(B275,'Sales profit (스타일 별 매출이익)'!$D$9:$P$491,13,0)</f>
        <v>7936.2499999999991</v>
      </c>
      <c r="F275" s="112">
        <f>IFERROR(VLOOKUP(B275,O.B.JUNE!$N$7:$Q$448,2,0),0)</f>
        <v>0</v>
      </c>
      <c r="G275" s="112">
        <f>IFERROR(VLOOKUP(B275,O.B.JUNE!$N$7:$Q$448,3,0),0)</f>
        <v>0</v>
      </c>
      <c r="H275" s="112">
        <f>IFERROR(VLOOKUP(B275,O.B.JUNE!$N$7:$Q$448,4,0),0)</f>
        <v>174</v>
      </c>
      <c r="I275" s="112">
        <f t="shared" si="39"/>
        <v>174</v>
      </c>
      <c r="J275" s="112">
        <f>IFERROR(VLOOKUP(B275,O.B.JUNE!$AA$7:$AG$448,7,0),0)</f>
        <v>4154367</v>
      </c>
      <c r="K275" s="112">
        <f>IFERROR(VLOOKUP(B275,O.B.JUNE!$AI$7:$AO$448,7,0),0)</f>
        <v>6180472</v>
      </c>
      <c r="L275" s="112">
        <f t="shared" si="40"/>
        <v>10334839</v>
      </c>
      <c r="M275" s="112">
        <f>ROUND(SUMIF('JUNE (물량흐름)'!$C$13:$C$502,'WIP(재공품)'!B275,'JUNE (물량흐름)'!$H$13:$H$502)+SUMIF('JUNE (물량흐름)'!$C$13:$C$502,'WIP(재공품)'!B275,'JUNE (물량흐름)'!$V$13:$V$502),0)</f>
        <v>0</v>
      </c>
      <c r="N275" s="112">
        <f>SUMIF('Direct labour(직접노무비)'!$C$12:$C$503,'WIP(재공품)'!B275,'Direct labour(직접노무비)'!$O$12:$O$503)</f>
        <v>0</v>
      </c>
      <c r="O275" s="112">
        <f>SUMIF('Overhead exp(제조경비)'!$C$12:$C$503,'WIP(재공품)'!B275,'Overhead exp(제조경비)'!$O$12:$O$503)</f>
        <v>0</v>
      </c>
      <c r="P275" s="112">
        <f t="shared" si="41"/>
        <v>0</v>
      </c>
      <c r="Q275" s="112">
        <v>0</v>
      </c>
      <c r="R275" s="112">
        <v>0</v>
      </c>
      <c r="S275" s="112">
        <f>SUMIF('JUNE (물량흐름)'!$C$13:$C$493,'WIP(재공품)'!B275,'JUNE (물량흐름)'!$T$13:$T$493)+SUMIF('JUNE (물량흐름)'!$C$13:$C$493,'WIP(재공품)'!B275,'JUNE (물량흐름)'!$U$13:$U$493)+SUMIF('JUNE (물량흐름)'!$C$13:$C$493,'WIP(재공품)'!B275,'JUNE (물량흐름)'!$V$13:$V$493)-SUMIF('JUNE (물량흐름)'!$C$13:$C$493,'WIP(재공품)'!B275,'JUNE (물량흐름)'!$Y$13:$Y$493)</f>
        <v>0</v>
      </c>
      <c r="T275" s="112">
        <f>SUMIF('JUNE (물량흐름)'!$C$13:$C$502,'WIP(재공품)'!B275,'JUNE (물량흐름)'!$Y$13:$Y$502)</f>
        <v>0</v>
      </c>
      <c r="U275" s="167">
        <f>SUMIF('Direct labour(직접노무비)'!$C$12:$C$503,'WIP(재공품)'!B275,'Direct labour(직접노무비)'!$U$12:$U$503)+SUMIF('Overhead exp(제조경비)'!$C$12:$C$503,'WIP(재공품)'!B275,'Overhead exp(제조경비)'!$U$12:$U$503)</f>
        <v>0</v>
      </c>
      <c r="V275" s="112">
        <f>SUMIF('Direct labour(직접노무비)'!$C$12:$C$503,'WIP(재공품)'!B275,'Direct labour(직접노무비)'!$Q$12:$Q$503)</f>
        <v>0</v>
      </c>
      <c r="W275" s="112">
        <f>SUMIF('Overhead exp(제조경비)'!$C$12:$C$503,'WIP(재공품)'!B275,'Overhead exp(제조경비)'!$Q$12:$Q$503)</f>
        <v>0</v>
      </c>
      <c r="X275" s="112">
        <f t="shared" si="42"/>
        <v>0</v>
      </c>
      <c r="Y275" s="112">
        <f ca="1">ROUND(SUMIF('JUNE (물량흐름)'!$C$13:$C$502,'WIP(재공품)'!B275,'JUNE (물량흐름)'!$N$13:$N$488),0)</f>
        <v>0</v>
      </c>
      <c r="Z275" s="112">
        <f>ROUND(SUMIF('JUNE (물량흐름)'!$C$13:$C$502,'WIP(재공품)'!B275,'JUNE (물량흐름)'!$O$13:$O$502),0)</f>
        <v>0</v>
      </c>
      <c r="AA275" s="112">
        <f>ROUND(SUMIF('JUNE (물량흐름)'!$C$13:$C$502,'WIP(재공품)'!B275,'JUNE (물량흐름)'!$P$13:$P$502),0)</f>
        <v>174</v>
      </c>
      <c r="AB275" s="112">
        <f t="shared" ca="1" si="43"/>
        <v>174</v>
      </c>
      <c r="AC275" s="112">
        <f t="shared" si="44"/>
        <v>10334839</v>
      </c>
      <c r="AD275" s="381">
        <f t="shared" ca="1" si="45"/>
        <v>0</v>
      </c>
      <c r="AE275" s="381">
        <f t="shared" si="46"/>
        <v>0</v>
      </c>
      <c r="AF275" s="382"/>
      <c r="AG275" s="382">
        <v>2.2999999999999998</v>
      </c>
      <c r="AH275" s="383">
        <f t="shared" si="47"/>
        <v>-1.9499999999999997</v>
      </c>
      <c r="AJ275" s="383"/>
      <c r="AL275" s="385"/>
      <c r="AM275" s="381"/>
      <c r="AN275" s="382"/>
      <c r="AO275" s="382"/>
      <c r="AP275" s="383"/>
      <c r="AQ275" s="383"/>
    </row>
    <row r="276" spans="1:43" s="384" customFormat="1" ht="27" customHeight="1">
      <c r="A276" s="167">
        <v>268</v>
      </c>
      <c r="B276" s="240">
        <f>VLOOKUP(A276,'JUNE (물량흐름)'!$A$13:$C$502,3,0)</f>
        <v>182034355</v>
      </c>
      <c r="C276" s="21" t="str">
        <f>VLOOKUP(A276,'JUNE (물량흐름)'!$A$13:$C$502,2,0)</f>
        <v>TALBOTS</v>
      </c>
      <c r="D276" s="212">
        <v>0.36</v>
      </c>
      <c r="E276" s="6">
        <f>VLOOKUP(B276,'Sales profit (스타일 별 매출이익)'!$D$9:$P$491,13,0)</f>
        <v>8163</v>
      </c>
      <c r="F276" s="112">
        <f>IFERROR(VLOOKUP(B276,O.B.JUNE!$N$7:$Q$448,2,0),0)</f>
        <v>0</v>
      </c>
      <c r="G276" s="112">
        <f>IFERROR(VLOOKUP(B276,O.B.JUNE!$N$7:$Q$448,3,0),0)</f>
        <v>11</v>
      </c>
      <c r="H276" s="112">
        <f>IFERROR(VLOOKUP(B276,O.B.JUNE!$N$7:$Q$448,4,0),0)</f>
        <v>72</v>
      </c>
      <c r="I276" s="112">
        <f t="shared" si="39"/>
        <v>83</v>
      </c>
      <c r="J276" s="112">
        <f>IFERROR(VLOOKUP(B276,O.B.JUNE!$AA$7:$AG$448,7,0),0)</f>
        <v>1302313</v>
      </c>
      <c r="K276" s="112">
        <f>IFERROR(VLOOKUP(B276,O.B.JUNE!$AI$7:$AO$448,7,0),0)</f>
        <v>1945250</v>
      </c>
      <c r="L276" s="112">
        <f t="shared" si="40"/>
        <v>3247563</v>
      </c>
      <c r="M276" s="112">
        <f>ROUND(SUMIF('JUNE (물량흐름)'!$C$13:$C$502,'WIP(재공품)'!B276,'JUNE (물량흐름)'!$H$13:$H$502)+SUMIF('JUNE (물량흐름)'!$C$13:$C$502,'WIP(재공품)'!B276,'JUNE (물량흐름)'!$V$13:$V$502),0)</f>
        <v>0</v>
      </c>
      <c r="N276" s="112">
        <f>SUMIF('Direct labour(직접노무비)'!$C$12:$C$503,'WIP(재공품)'!B276,'Direct labour(직접노무비)'!$O$12:$O$503)</f>
        <v>0</v>
      </c>
      <c r="O276" s="112">
        <f>SUMIF('Overhead exp(제조경비)'!$C$12:$C$503,'WIP(재공품)'!B276,'Overhead exp(제조경비)'!$O$12:$O$503)</f>
        <v>0</v>
      </c>
      <c r="P276" s="112">
        <f t="shared" si="41"/>
        <v>0</v>
      </c>
      <c r="Q276" s="112">
        <v>0</v>
      </c>
      <c r="R276" s="112">
        <v>0</v>
      </c>
      <c r="S276" s="112">
        <f>SUMIF('JUNE (물량흐름)'!$C$13:$C$493,'WIP(재공품)'!B276,'JUNE (물량흐름)'!$T$13:$T$493)+SUMIF('JUNE (물량흐름)'!$C$13:$C$493,'WIP(재공품)'!B276,'JUNE (물량흐름)'!$U$13:$U$493)+SUMIF('JUNE (물량흐름)'!$C$13:$C$493,'WIP(재공품)'!B276,'JUNE (물량흐름)'!$V$13:$V$493)-SUMIF('JUNE (물량흐름)'!$C$13:$C$493,'WIP(재공품)'!B276,'JUNE (물량흐름)'!$Y$13:$Y$493)</f>
        <v>0</v>
      </c>
      <c r="T276" s="112">
        <f>SUMIF('JUNE (물량흐름)'!$C$13:$C$502,'WIP(재공품)'!B276,'JUNE (물량흐름)'!$Y$13:$Y$502)</f>
        <v>0</v>
      </c>
      <c r="U276" s="167">
        <f>SUMIF('Direct labour(직접노무비)'!$C$12:$C$503,'WIP(재공품)'!B276,'Direct labour(직접노무비)'!$U$12:$U$503)+SUMIF('Overhead exp(제조경비)'!$C$12:$C$503,'WIP(재공품)'!B276,'Overhead exp(제조경비)'!$U$12:$U$503)</f>
        <v>0</v>
      </c>
      <c r="V276" s="112">
        <f>SUMIF('Direct labour(직접노무비)'!$C$12:$C$503,'WIP(재공품)'!B276,'Direct labour(직접노무비)'!$Q$12:$Q$503)</f>
        <v>0</v>
      </c>
      <c r="W276" s="112">
        <f>SUMIF('Overhead exp(제조경비)'!$C$12:$C$503,'WIP(재공품)'!B276,'Overhead exp(제조경비)'!$Q$12:$Q$503)</f>
        <v>0</v>
      </c>
      <c r="X276" s="112">
        <f t="shared" si="42"/>
        <v>0</v>
      </c>
      <c r="Y276" s="112">
        <f ca="1">ROUND(SUMIF('JUNE (물량흐름)'!$C$13:$C$502,'WIP(재공품)'!B276,'JUNE (물량흐름)'!$N$13:$N$488),0)</f>
        <v>0</v>
      </c>
      <c r="Z276" s="112">
        <f>ROUND(SUMIF('JUNE (물량흐름)'!$C$13:$C$502,'WIP(재공품)'!B276,'JUNE (물량흐름)'!$O$13:$O$502),0)</f>
        <v>56</v>
      </c>
      <c r="AA276" s="112">
        <f>ROUND(SUMIF('JUNE (물량흐름)'!$C$13:$C$502,'WIP(재공품)'!B276,'JUNE (물량흐름)'!$P$13:$P$502),0)</f>
        <v>27</v>
      </c>
      <c r="AB276" s="112">
        <f t="shared" ca="1" si="43"/>
        <v>83</v>
      </c>
      <c r="AC276" s="112">
        <f t="shared" si="44"/>
        <v>3247563</v>
      </c>
      <c r="AD276" s="381">
        <f t="shared" ca="1" si="45"/>
        <v>0</v>
      </c>
      <c r="AE276" s="381">
        <f t="shared" si="46"/>
        <v>0</v>
      </c>
      <c r="AF276" s="382"/>
      <c r="AG276" s="382">
        <v>1.8</v>
      </c>
      <c r="AH276" s="383">
        <f t="shared" si="47"/>
        <v>-1.44</v>
      </c>
      <c r="AJ276" s="383"/>
      <c r="AL276" s="385"/>
      <c r="AM276" s="381"/>
      <c r="AN276" s="382"/>
      <c r="AO276" s="382"/>
      <c r="AP276" s="383"/>
      <c r="AQ276" s="383"/>
    </row>
    <row r="277" spans="1:43" s="384" customFormat="1" ht="27" customHeight="1">
      <c r="A277" s="167">
        <v>269</v>
      </c>
      <c r="B277" s="240">
        <f>VLOOKUP(A277,'JUNE (물량흐름)'!$A$13:$C$502,3,0)</f>
        <v>182034365</v>
      </c>
      <c r="C277" s="21" t="str">
        <f>VLOOKUP(A277,'JUNE (물량흐름)'!$A$13:$C$502,2,0)</f>
        <v>TALBOTS</v>
      </c>
      <c r="D277" s="212">
        <v>0.36</v>
      </c>
      <c r="E277" s="6">
        <f>VLOOKUP(B277,'Sales profit (스타일 별 매출이익)'!$D$9:$P$491,13,0)</f>
        <v>8163</v>
      </c>
      <c r="F277" s="112">
        <f>IFERROR(VLOOKUP(B277,O.B.JUNE!$N$7:$Q$448,2,0),0)</f>
        <v>9</v>
      </c>
      <c r="G277" s="112">
        <f>IFERROR(VLOOKUP(B277,O.B.JUNE!$N$7:$Q$448,3,0),0)</f>
        <v>194</v>
      </c>
      <c r="H277" s="112">
        <f>IFERROR(VLOOKUP(B277,O.B.JUNE!$N$7:$Q$448,4,0),0)</f>
        <v>472</v>
      </c>
      <c r="I277" s="112">
        <f t="shared" si="39"/>
        <v>675</v>
      </c>
      <c r="J277" s="112">
        <f>IFERROR(VLOOKUP(B277,O.B.JUNE!$AA$7:$AG$448,7,0),0)</f>
        <v>14575266</v>
      </c>
      <c r="K277" s="112">
        <f>IFERROR(VLOOKUP(B277,O.B.JUNE!$AI$7:$AO$448,7,0),0)</f>
        <v>21546490</v>
      </c>
      <c r="L277" s="112">
        <f t="shared" si="40"/>
        <v>36121756</v>
      </c>
      <c r="M277" s="112">
        <f>ROUND(SUMIF('JUNE (물량흐름)'!$C$13:$C$502,'WIP(재공품)'!B277,'JUNE (물량흐름)'!$H$13:$H$502)+SUMIF('JUNE (물량흐름)'!$C$13:$C$502,'WIP(재공품)'!B277,'JUNE (물량흐름)'!$V$13:$V$502),0)</f>
        <v>0</v>
      </c>
      <c r="N277" s="112">
        <f>SUMIF('Direct labour(직접노무비)'!$C$12:$C$503,'WIP(재공품)'!B277,'Direct labour(직접노무비)'!$O$12:$O$503)</f>
        <v>0</v>
      </c>
      <c r="O277" s="112">
        <f>SUMIF('Overhead exp(제조경비)'!$C$12:$C$503,'WIP(재공품)'!B277,'Overhead exp(제조경비)'!$O$12:$O$503)</f>
        <v>0</v>
      </c>
      <c r="P277" s="112">
        <f t="shared" si="41"/>
        <v>0</v>
      </c>
      <c r="Q277" s="112">
        <v>0</v>
      </c>
      <c r="R277" s="112">
        <v>0</v>
      </c>
      <c r="S277" s="112">
        <f>SUMIF('JUNE (물량흐름)'!$C$13:$C$493,'WIP(재공품)'!B277,'JUNE (물량흐름)'!$T$13:$T$493)+SUMIF('JUNE (물량흐름)'!$C$13:$C$493,'WIP(재공품)'!B277,'JUNE (물량흐름)'!$U$13:$U$493)+SUMIF('JUNE (물량흐름)'!$C$13:$C$493,'WIP(재공품)'!B277,'JUNE (물량흐름)'!$V$13:$V$493)-SUMIF('JUNE (물량흐름)'!$C$13:$C$493,'WIP(재공품)'!B277,'JUNE (물량흐름)'!$Y$13:$Y$493)</f>
        <v>0</v>
      </c>
      <c r="T277" s="112">
        <f>SUMIF('JUNE (물량흐름)'!$C$13:$C$502,'WIP(재공품)'!B277,'JUNE (물량흐름)'!$Y$13:$Y$502)</f>
        <v>0</v>
      </c>
      <c r="U277" s="167">
        <f>SUMIF('Direct labour(직접노무비)'!$C$12:$C$503,'WIP(재공품)'!B277,'Direct labour(직접노무비)'!$U$12:$U$503)+SUMIF('Overhead exp(제조경비)'!$C$12:$C$503,'WIP(재공품)'!B277,'Overhead exp(제조경비)'!$U$12:$U$503)</f>
        <v>0</v>
      </c>
      <c r="V277" s="112">
        <f>SUMIF('Direct labour(직접노무비)'!$C$12:$C$503,'WIP(재공품)'!B277,'Direct labour(직접노무비)'!$Q$12:$Q$503)</f>
        <v>0</v>
      </c>
      <c r="W277" s="112">
        <f>SUMIF('Overhead exp(제조경비)'!$C$12:$C$503,'WIP(재공품)'!B277,'Overhead exp(제조경비)'!$Q$12:$Q$503)</f>
        <v>0</v>
      </c>
      <c r="X277" s="112">
        <f t="shared" si="42"/>
        <v>0</v>
      </c>
      <c r="Y277" s="112">
        <f ca="1">ROUND(SUMIF('JUNE (물량흐름)'!$C$13:$C$502,'WIP(재공품)'!B277,'JUNE (물량흐름)'!$N$13:$N$488),0)</f>
        <v>6</v>
      </c>
      <c r="Z277" s="112">
        <f>ROUND(SUMIF('JUNE (물량흐름)'!$C$13:$C$502,'WIP(재공품)'!B277,'JUNE (물량흐름)'!$O$13:$O$502),0)</f>
        <v>195</v>
      </c>
      <c r="AA277" s="112">
        <f>ROUND(SUMIF('JUNE (물량흐름)'!$C$13:$C$502,'WIP(재공품)'!B277,'JUNE (물량흐름)'!$P$13:$P$502),0)</f>
        <v>474</v>
      </c>
      <c r="AB277" s="112">
        <f t="shared" ca="1" si="43"/>
        <v>675</v>
      </c>
      <c r="AC277" s="112">
        <f t="shared" si="44"/>
        <v>36121756</v>
      </c>
      <c r="AD277" s="381">
        <f t="shared" ca="1" si="45"/>
        <v>0</v>
      </c>
      <c r="AE277" s="381">
        <f t="shared" si="46"/>
        <v>0</v>
      </c>
      <c r="AF277" s="382"/>
      <c r="AG277" s="382">
        <v>1.8</v>
      </c>
      <c r="AH277" s="383">
        <f t="shared" si="47"/>
        <v>-1.44</v>
      </c>
      <c r="AJ277" s="383"/>
      <c r="AL277" s="385"/>
      <c r="AM277" s="381"/>
      <c r="AN277" s="382"/>
      <c r="AO277" s="382"/>
      <c r="AP277" s="383"/>
      <c r="AQ277" s="383"/>
    </row>
    <row r="278" spans="1:43" s="384" customFormat="1" ht="27" customHeight="1">
      <c r="A278" s="167">
        <v>270</v>
      </c>
      <c r="B278" s="240">
        <f>VLOOKUP(A278,'JUNE (물량흐름)'!$A$13:$C$502,3,0)</f>
        <v>463036</v>
      </c>
      <c r="C278" s="21" t="str">
        <f>VLOOKUP(A278,'JUNE (물량흐름)'!$A$13:$C$502,2,0)</f>
        <v>ANN TAYLOR</v>
      </c>
      <c r="D278" s="212">
        <v>0.35</v>
      </c>
      <c r="E278" s="6">
        <f>VLOOKUP(B278,'Sales profit (스타일 별 매출이익)'!$D$9:$P$491,13,0)</f>
        <v>7936.2499999999991</v>
      </c>
      <c r="F278" s="112">
        <f>IFERROR(VLOOKUP(B278,O.B.JUNE!$N$7:$Q$448,2,0),0)</f>
        <v>31</v>
      </c>
      <c r="G278" s="112">
        <f>IFERROR(VLOOKUP(B278,O.B.JUNE!$N$7:$Q$448,3,0),0)</f>
        <v>172</v>
      </c>
      <c r="H278" s="112">
        <f>IFERROR(VLOOKUP(B278,O.B.JUNE!$N$7:$Q$448,4,0),0)</f>
        <v>227</v>
      </c>
      <c r="I278" s="112">
        <f t="shared" si="39"/>
        <v>430</v>
      </c>
      <c r="J278" s="112">
        <f>IFERROR(VLOOKUP(B278,O.B.JUNE!$AA$7:$AG$448,7,0),0)</f>
        <v>4451506</v>
      </c>
      <c r="K278" s="112">
        <f>IFERROR(VLOOKUP(B278,O.B.JUNE!$AI$7:$AO$448,7,0),0)</f>
        <v>6585035</v>
      </c>
      <c r="L278" s="112">
        <f t="shared" si="40"/>
        <v>11036541</v>
      </c>
      <c r="M278" s="112">
        <f>ROUND(SUMIF('JUNE (물량흐름)'!$C$13:$C$502,'WIP(재공품)'!B278,'JUNE (물량흐름)'!$H$13:$H$502)+SUMIF('JUNE (물량흐름)'!$C$13:$C$502,'WIP(재공품)'!B278,'JUNE (물량흐름)'!$V$13:$V$502),0)</f>
        <v>0</v>
      </c>
      <c r="N278" s="112">
        <f>SUMIF('Direct labour(직접노무비)'!$C$12:$C$503,'WIP(재공품)'!B278,'Direct labour(직접노무비)'!$O$12:$O$503)</f>
        <v>0</v>
      </c>
      <c r="O278" s="112">
        <f>SUMIF('Overhead exp(제조경비)'!$C$12:$C$503,'WIP(재공품)'!B278,'Overhead exp(제조경비)'!$O$12:$O$503)</f>
        <v>0</v>
      </c>
      <c r="P278" s="112">
        <f t="shared" si="41"/>
        <v>0</v>
      </c>
      <c r="Q278" s="112">
        <v>0</v>
      </c>
      <c r="R278" s="112">
        <v>0</v>
      </c>
      <c r="S278" s="112">
        <f>SUMIF('JUNE (물량흐름)'!$C$13:$C$493,'WIP(재공품)'!B278,'JUNE (물량흐름)'!$T$13:$T$493)+SUMIF('JUNE (물량흐름)'!$C$13:$C$493,'WIP(재공품)'!B278,'JUNE (물량흐름)'!$U$13:$U$493)+SUMIF('JUNE (물량흐름)'!$C$13:$C$493,'WIP(재공품)'!B278,'JUNE (물량흐름)'!$V$13:$V$493)-SUMIF('JUNE (물량흐름)'!$C$13:$C$493,'WIP(재공품)'!B278,'JUNE (물량흐름)'!$Y$13:$Y$493)</f>
        <v>0</v>
      </c>
      <c r="T278" s="112">
        <f>SUMIF('JUNE (물량흐름)'!$C$13:$C$502,'WIP(재공품)'!B278,'JUNE (물량흐름)'!$Y$13:$Y$502)</f>
        <v>0</v>
      </c>
      <c r="U278" s="167">
        <f>SUMIF('Direct labour(직접노무비)'!$C$12:$C$503,'WIP(재공품)'!B278,'Direct labour(직접노무비)'!$U$12:$U$503)+SUMIF('Overhead exp(제조경비)'!$C$12:$C$503,'WIP(재공품)'!B278,'Overhead exp(제조경비)'!$U$12:$U$503)</f>
        <v>0</v>
      </c>
      <c r="V278" s="112">
        <f>SUMIF('Direct labour(직접노무비)'!$C$12:$C$503,'WIP(재공품)'!B278,'Direct labour(직접노무비)'!$Q$12:$Q$503)</f>
        <v>0</v>
      </c>
      <c r="W278" s="112">
        <f>SUMIF('Overhead exp(제조경비)'!$C$12:$C$503,'WIP(재공품)'!B278,'Overhead exp(제조경비)'!$Q$12:$Q$503)</f>
        <v>0</v>
      </c>
      <c r="X278" s="112">
        <f t="shared" si="42"/>
        <v>0</v>
      </c>
      <c r="Y278" s="112">
        <f ca="1">ROUND(SUMIF('JUNE (물량흐름)'!$C$13:$C$502,'WIP(재공품)'!B278,'JUNE (물량흐름)'!$N$13:$N$488),0)</f>
        <v>31</v>
      </c>
      <c r="Z278" s="112">
        <f>ROUND(SUMIF('JUNE (물량흐름)'!$C$13:$C$502,'WIP(재공품)'!B278,'JUNE (물량흐름)'!$O$13:$O$502),0)</f>
        <v>172</v>
      </c>
      <c r="AA278" s="112">
        <f>ROUND(SUMIF('JUNE (물량흐름)'!$C$13:$C$502,'WIP(재공품)'!B278,'JUNE (물량흐름)'!$P$13:$P$502),0)</f>
        <v>227</v>
      </c>
      <c r="AB278" s="112">
        <f t="shared" ca="1" si="43"/>
        <v>430</v>
      </c>
      <c r="AC278" s="112">
        <f t="shared" si="44"/>
        <v>11036541</v>
      </c>
      <c r="AD278" s="381">
        <f t="shared" ca="1" si="45"/>
        <v>0</v>
      </c>
      <c r="AE278" s="381">
        <f t="shared" si="46"/>
        <v>0</v>
      </c>
      <c r="AF278" s="382"/>
      <c r="AG278" s="382">
        <v>1.8</v>
      </c>
      <c r="AH278" s="383">
        <f t="shared" si="47"/>
        <v>-1.4500000000000002</v>
      </c>
      <c r="AJ278" s="383"/>
      <c r="AL278" s="385"/>
      <c r="AM278" s="381"/>
      <c r="AN278" s="382"/>
      <c r="AO278" s="382"/>
      <c r="AP278" s="383"/>
      <c r="AQ278" s="383"/>
    </row>
    <row r="279" spans="1:43" s="384" customFormat="1" ht="27" customHeight="1">
      <c r="A279" s="167">
        <v>271</v>
      </c>
      <c r="B279" s="240">
        <f>VLOOKUP(A279,'JUNE (물량흐름)'!$A$13:$C$502,3,0)</f>
        <v>468543</v>
      </c>
      <c r="C279" s="21" t="str">
        <f>VLOOKUP(A279,'JUNE (물량흐름)'!$A$13:$C$502,2,0)</f>
        <v>ANN TAYLOR</v>
      </c>
      <c r="D279" s="212">
        <v>1.65</v>
      </c>
      <c r="E279" s="6">
        <f>VLOOKUP(B279,'Sales profit (스타일 별 매출이익)'!$D$9:$P$491,13,0)</f>
        <v>37413.75</v>
      </c>
      <c r="F279" s="112">
        <f>IFERROR(VLOOKUP(B279,O.B.JUNE!$N$7:$Q$448,2,0),0)</f>
        <v>120</v>
      </c>
      <c r="G279" s="112">
        <f>IFERROR(VLOOKUP(B279,O.B.JUNE!$N$7:$Q$448,3,0),0)</f>
        <v>503</v>
      </c>
      <c r="H279" s="112">
        <f>IFERROR(VLOOKUP(B279,O.B.JUNE!$N$7:$Q$448,4,0),0)</f>
        <v>216</v>
      </c>
      <c r="I279" s="112">
        <f t="shared" si="39"/>
        <v>839</v>
      </c>
      <c r="J279" s="112">
        <f>IFERROR(VLOOKUP(B279,O.B.JUNE!$AA$7:$AG$448,7,0),0)</f>
        <v>5596377</v>
      </c>
      <c r="K279" s="112">
        <f>IFERROR(VLOOKUP(B279,O.B.JUNE!$AI$7:$AO$448,7,0),0)</f>
        <v>8265966</v>
      </c>
      <c r="L279" s="112">
        <f t="shared" si="40"/>
        <v>13862343</v>
      </c>
      <c r="M279" s="112">
        <f>ROUND(SUMIF('JUNE (물량흐름)'!$C$13:$C$502,'WIP(재공품)'!B279,'JUNE (물량흐름)'!$H$13:$H$502)+SUMIF('JUNE (물량흐름)'!$C$13:$C$502,'WIP(재공품)'!B279,'JUNE (물량흐름)'!$V$13:$V$502),0)</f>
        <v>0</v>
      </c>
      <c r="N279" s="112">
        <f>SUMIF('Direct labour(직접노무비)'!$C$12:$C$503,'WIP(재공품)'!B279,'Direct labour(직접노무비)'!$O$12:$O$503)</f>
        <v>0</v>
      </c>
      <c r="O279" s="112">
        <f>SUMIF('Overhead exp(제조경비)'!$C$12:$C$503,'WIP(재공품)'!B279,'Overhead exp(제조경비)'!$O$12:$O$503)</f>
        <v>0</v>
      </c>
      <c r="P279" s="112">
        <f t="shared" si="41"/>
        <v>0</v>
      </c>
      <c r="Q279" s="112">
        <v>0</v>
      </c>
      <c r="R279" s="112">
        <v>0</v>
      </c>
      <c r="S279" s="112">
        <f>SUMIF('JUNE (물량흐름)'!$C$13:$C$493,'WIP(재공품)'!B279,'JUNE (물량흐름)'!$T$13:$T$493)+SUMIF('JUNE (물량흐름)'!$C$13:$C$493,'WIP(재공품)'!B279,'JUNE (물량흐름)'!$U$13:$U$493)+SUMIF('JUNE (물량흐름)'!$C$13:$C$493,'WIP(재공품)'!B279,'JUNE (물량흐름)'!$V$13:$V$493)-SUMIF('JUNE (물량흐름)'!$C$13:$C$493,'WIP(재공품)'!B279,'JUNE (물량흐름)'!$Y$13:$Y$493)</f>
        <v>0</v>
      </c>
      <c r="T279" s="112">
        <f>SUMIF('JUNE (물량흐름)'!$C$13:$C$502,'WIP(재공품)'!B279,'JUNE (물량흐름)'!$Y$13:$Y$502)</f>
        <v>0</v>
      </c>
      <c r="U279" s="167">
        <f>SUMIF('Direct labour(직접노무비)'!$C$12:$C$503,'WIP(재공품)'!B279,'Direct labour(직접노무비)'!$U$12:$U$503)+SUMIF('Overhead exp(제조경비)'!$C$12:$C$503,'WIP(재공품)'!B279,'Overhead exp(제조경비)'!$U$12:$U$503)</f>
        <v>0</v>
      </c>
      <c r="V279" s="112">
        <f>SUMIF('Direct labour(직접노무비)'!$C$12:$C$503,'WIP(재공품)'!B279,'Direct labour(직접노무비)'!$Q$12:$Q$503)</f>
        <v>0</v>
      </c>
      <c r="W279" s="112">
        <f>SUMIF('Overhead exp(제조경비)'!$C$12:$C$503,'WIP(재공품)'!B279,'Overhead exp(제조경비)'!$Q$12:$Q$503)</f>
        <v>0</v>
      </c>
      <c r="X279" s="112">
        <f t="shared" si="42"/>
        <v>0</v>
      </c>
      <c r="Y279" s="112">
        <f ca="1">ROUND(SUMIF('JUNE (물량흐름)'!$C$13:$C$502,'WIP(재공품)'!B279,'JUNE (물량흐름)'!$N$13:$N$488),0)</f>
        <v>120</v>
      </c>
      <c r="Z279" s="112">
        <f>ROUND(SUMIF('JUNE (물량흐름)'!$C$13:$C$502,'WIP(재공품)'!B279,'JUNE (물량흐름)'!$O$13:$O$502),0)</f>
        <v>503</v>
      </c>
      <c r="AA279" s="112">
        <f>ROUND(SUMIF('JUNE (물량흐름)'!$C$13:$C$502,'WIP(재공품)'!B279,'JUNE (물량흐름)'!$P$13:$P$502),0)</f>
        <v>216</v>
      </c>
      <c r="AB279" s="112">
        <f t="shared" ca="1" si="43"/>
        <v>839</v>
      </c>
      <c r="AC279" s="112">
        <f t="shared" si="44"/>
        <v>13862343</v>
      </c>
      <c r="AD279" s="381">
        <f t="shared" ca="1" si="45"/>
        <v>0</v>
      </c>
      <c r="AE279" s="381">
        <f t="shared" si="46"/>
        <v>0</v>
      </c>
      <c r="AF279" s="382"/>
      <c r="AG279" s="382">
        <v>3.8</v>
      </c>
      <c r="AH279" s="383">
        <f t="shared" si="47"/>
        <v>-2.15</v>
      </c>
      <c r="AJ279" s="383"/>
      <c r="AL279" s="385"/>
      <c r="AM279" s="381"/>
      <c r="AN279" s="382"/>
      <c r="AO279" s="382"/>
      <c r="AP279" s="383"/>
      <c r="AQ279" s="383"/>
    </row>
    <row r="280" spans="1:43" s="384" customFormat="1" ht="27" customHeight="1">
      <c r="A280" s="167">
        <v>272</v>
      </c>
      <c r="B280" s="240">
        <f>VLOOKUP(A280,'JUNE (물량흐름)'!$A$13:$C$502,3,0)</f>
        <v>73206</v>
      </c>
      <c r="C280" s="21" t="str">
        <f>VLOOKUP(A280,'JUNE (물량흐름)'!$A$13:$C$502,2,0)</f>
        <v>ALFANI</v>
      </c>
      <c r="D280" s="212">
        <v>0.35</v>
      </c>
      <c r="E280" s="6">
        <f>VLOOKUP(B280,'Sales profit (스타일 별 매출이익)'!$D$9:$P$491,13,0)</f>
        <v>7936.2499999999991</v>
      </c>
      <c r="F280" s="112">
        <f>IFERROR(VLOOKUP(B280,O.B.JUNE!$N$7:$Q$448,2,0),0)</f>
        <v>0</v>
      </c>
      <c r="G280" s="112">
        <f>IFERROR(VLOOKUP(B280,O.B.JUNE!$N$7:$Q$448,3,0),0)</f>
        <v>0</v>
      </c>
      <c r="H280" s="112">
        <f>IFERROR(VLOOKUP(B280,O.B.JUNE!$N$7:$Q$448,4,0),0)</f>
        <v>34</v>
      </c>
      <c r="I280" s="112">
        <f t="shared" si="39"/>
        <v>34</v>
      </c>
      <c r="J280" s="112">
        <f>IFERROR(VLOOKUP(B280,O.B.JUNE!$AA$7:$AG$448,7,0),0)</f>
        <v>244269</v>
      </c>
      <c r="K280" s="112">
        <f>IFERROR(VLOOKUP(B280,O.B.JUNE!$AI$7:$AO$448,7,0),0)</f>
        <v>360078</v>
      </c>
      <c r="L280" s="112">
        <f t="shared" si="40"/>
        <v>604347</v>
      </c>
      <c r="M280" s="112">
        <f>ROUND(SUMIF('JUNE (물량흐름)'!$C$13:$C$502,'WIP(재공품)'!B280,'JUNE (물량흐름)'!$H$13:$H$502)+SUMIF('JUNE (물량흐름)'!$C$13:$C$502,'WIP(재공품)'!B280,'JUNE (물량흐름)'!$V$13:$V$502),0)</f>
        <v>0</v>
      </c>
      <c r="N280" s="112">
        <f>SUMIF('Direct labour(직접노무비)'!$C$12:$C$503,'WIP(재공품)'!B280,'Direct labour(직접노무비)'!$O$12:$O$503)</f>
        <v>0</v>
      </c>
      <c r="O280" s="112">
        <f>SUMIF('Overhead exp(제조경비)'!$C$12:$C$503,'WIP(재공품)'!B280,'Overhead exp(제조경비)'!$O$12:$O$503)</f>
        <v>0</v>
      </c>
      <c r="P280" s="112">
        <f t="shared" si="41"/>
        <v>0</v>
      </c>
      <c r="Q280" s="112">
        <v>0</v>
      </c>
      <c r="R280" s="112">
        <v>0</v>
      </c>
      <c r="S280" s="112">
        <f>SUMIF('JUNE (물량흐름)'!$C$13:$C$493,'WIP(재공품)'!B280,'JUNE (물량흐름)'!$T$13:$T$493)+SUMIF('JUNE (물량흐름)'!$C$13:$C$493,'WIP(재공품)'!B280,'JUNE (물량흐름)'!$U$13:$U$493)+SUMIF('JUNE (물량흐름)'!$C$13:$C$493,'WIP(재공품)'!B280,'JUNE (물량흐름)'!$V$13:$V$493)-SUMIF('JUNE (물량흐름)'!$C$13:$C$493,'WIP(재공품)'!B280,'JUNE (물량흐름)'!$Y$13:$Y$493)</f>
        <v>34</v>
      </c>
      <c r="T280" s="112">
        <f>SUMIF('JUNE (물량흐름)'!$C$13:$C$502,'WIP(재공품)'!B280,'JUNE (물량흐름)'!$Y$13:$Y$502)</f>
        <v>0</v>
      </c>
      <c r="U280" s="167">
        <f>SUMIF('Direct labour(직접노무비)'!$C$12:$C$503,'WIP(재공품)'!B280,'Direct labour(직접노무비)'!$U$12:$U$503)+SUMIF('Overhead exp(제조경비)'!$C$12:$C$503,'WIP(재공품)'!B280,'Overhead exp(제조경비)'!$U$12:$U$503)</f>
        <v>0</v>
      </c>
      <c r="V280" s="112">
        <f>SUMIF('Direct labour(직접노무비)'!$C$12:$C$503,'WIP(재공품)'!B280,'Direct labour(직접노무비)'!$Q$12:$Q$503)</f>
        <v>244269</v>
      </c>
      <c r="W280" s="112">
        <f>SUMIF('Overhead exp(제조경비)'!$C$12:$C$503,'WIP(재공품)'!B280,'Overhead exp(제조경비)'!$Q$12:$Q$503)</f>
        <v>360078</v>
      </c>
      <c r="X280" s="112">
        <f t="shared" si="42"/>
        <v>604347</v>
      </c>
      <c r="Y280" s="112">
        <f ca="1">ROUND(SUMIF('JUNE (물량흐름)'!$C$13:$C$502,'WIP(재공품)'!B280,'JUNE (물량흐름)'!$N$13:$N$488),0)</f>
        <v>0</v>
      </c>
      <c r="Z280" s="112">
        <f>ROUND(SUMIF('JUNE (물량흐름)'!$C$13:$C$502,'WIP(재공품)'!B280,'JUNE (물량흐름)'!$O$13:$O$502),0)</f>
        <v>0</v>
      </c>
      <c r="AA280" s="112">
        <f>ROUND(SUMIF('JUNE (물량흐름)'!$C$13:$C$502,'WIP(재공품)'!B280,'JUNE (물량흐름)'!$P$13:$P$502),0)</f>
        <v>0</v>
      </c>
      <c r="AB280" s="112">
        <f t="shared" ca="1" si="43"/>
        <v>0</v>
      </c>
      <c r="AC280" s="112">
        <f t="shared" si="44"/>
        <v>0</v>
      </c>
      <c r="AD280" s="381">
        <f t="shared" ca="1" si="45"/>
        <v>0</v>
      </c>
      <c r="AE280" s="381">
        <f t="shared" si="46"/>
        <v>0</v>
      </c>
      <c r="AF280" s="382"/>
      <c r="AG280" s="382">
        <v>1.8</v>
      </c>
      <c r="AH280" s="383">
        <f t="shared" si="47"/>
        <v>-1.4500000000000002</v>
      </c>
      <c r="AJ280" s="383"/>
      <c r="AL280" s="385"/>
      <c r="AM280" s="381"/>
      <c r="AN280" s="382"/>
      <c r="AO280" s="382"/>
      <c r="AP280" s="383"/>
      <c r="AQ280" s="383"/>
    </row>
    <row r="281" spans="1:43" s="384" customFormat="1" ht="27" customHeight="1">
      <c r="A281" s="167">
        <v>273</v>
      </c>
      <c r="B281" s="240">
        <f>VLOOKUP(A281,'JUNE (물량흐름)'!$A$13:$C$502,3,0)</f>
        <v>76203</v>
      </c>
      <c r="C281" s="21" t="str">
        <f>VLOOKUP(A281,'JUNE (물량흐름)'!$A$13:$C$502,2,0)</f>
        <v>ALFANI</v>
      </c>
      <c r="D281" s="212">
        <v>0.36</v>
      </c>
      <c r="E281" s="6">
        <f>VLOOKUP(B281,'Sales profit (스타일 별 매출이익)'!$D$9:$P$491,13,0)</f>
        <v>8163</v>
      </c>
      <c r="F281" s="112">
        <f>IFERROR(VLOOKUP(B281,O.B.JUNE!$N$7:$Q$448,2,0),0)</f>
        <v>0</v>
      </c>
      <c r="G281" s="112">
        <f>IFERROR(VLOOKUP(B281,O.B.JUNE!$N$7:$Q$448,3,0),0)</f>
        <v>0</v>
      </c>
      <c r="H281" s="112">
        <f>IFERROR(VLOOKUP(B281,O.B.JUNE!$N$7:$Q$448,4,0),0)</f>
        <v>22</v>
      </c>
      <c r="I281" s="112">
        <f t="shared" si="39"/>
        <v>22</v>
      </c>
      <c r="J281" s="112">
        <f>IFERROR(VLOOKUP(B281,O.B.JUNE!$AA$7:$AG$448,7,0),0)</f>
        <v>161112</v>
      </c>
      <c r="K281" s="112">
        <f>IFERROR(VLOOKUP(B281,O.B.JUNE!$AI$7:$AO$448,7,0),0)</f>
        <v>237496</v>
      </c>
      <c r="L281" s="112">
        <f t="shared" si="40"/>
        <v>398608</v>
      </c>
      <c r="M281" s="112">
        <f>ROUND(SUMIF('JUNE (물량흐름)'!$C$13:$C$502,'WIP(재공품)'!B281,'JUNE (물량흐름)'!$H$13:$H$502)+SUMIF('JUNE (물량흐름)'!$C$13:$C$502,'WIP(재공품)'!B281,'JUNE (물량흐름)'!$V$13:$V$502),0)</f>
        <v>0</v>
      </c>
      <c r="N281" s="112">
        <f>SUMIF('Direct labour(직접노무비)'!$C$12:$C$503,'WIP(재공품)'!B281,'Direct labour(직접노무비)'!$O$12:$O$503)</f>
        <v>0</v>
      </c>
      <c r="O281" s="112">
        <f>SUMIF('Overhead exp(제조경비)'!$C$12:$C$503,'WIP(재공품)'!B281,'Overhead exp(제조경비)'!$O$12:$O$503)</f>
        <v>0</v>
      </c>
      <c r="P281" s="112">
        <f t="shared" si="41"/>
        <v>0</v>
      </c>
      <c r="Q281" s="112">
        <v>0</v>
      </c>
      <c r="R281" s="112">
        <v>0</v>
      </c>
      <c r="S281" s="112">
        <f>SUMIF('JUNE (물량흐름)'!$C$13:$C$493,'WIP(재공품)'!B281,'JUNE (물량흐름)'!$T$13:$T$493)+SUMIF('JUNE (물량흐름)'!$C$13:$C$493,'WIP(재공품)'!B281,'JUNE (물량흐름)'!$U$13:$U$493)+SUMIF('JUNE (물량흐름)'!$C$13:$C$493,'WIP(재공품)'!B281,'JUNE (물량흐름)'!$V$13:$V$493)-SUMIF('JUNE (물량흐름)'!$C$13:$C$493,'WIP(재공품)'!B281,'JUNE (물량흐름)'!$Y$13:$Y$493)</f>
        <v>0</v>
      </c>
      <c r="T281" s="112">
        <f>SUMIF('JUNE (물량흐름)'!$C$13:$C$502,'WIP(재공품)'!B281,'JUNE (물량흐름)'!$Y$13:$Y$502)</f>
        <v>0</v>
      </c>
      <c r="U281" s="167">
        <f>SUMIF('Direct labour(직접노무비)'!$C$12:$C$503,'WIP(재공품)'!B281,'Direct labour(직접노무비)'!$U$12:$U$503)+SUMIF('Overhead exp(제조경비)'!$C$12:$C$503,'WIP(재공품)'!B281,'Overhead exp(제조경비)'!$U$12:$U$503)</f>
        <v>0</v>
      </c>
      <c r="V281" s="112">
        <f>SUMIF('Direct labour(직접노무비)'!$C$12:$C$503,'WIP(재공품)'!B281,'Direct labour(직접노무비)'!$Q$12:$Q$503)</f>
        <v>0</v>
      </c>
      <c r="W281" s="112">
        <f>SUMIF('Overhead exp(제조경비)'!$C$12:$C$503,'WIP(재공품)'!B281,'Overhead exp(제조경비)'!$Q$12:$Q$503)</f>
        <v>0</v>
      </c>
      <c r="X281" s="112">
        <f t="shared" si="42"/>
        <v>0</v>
      </c>
      <c r="Y281" s="112">
        <f ca="1">ROUND(SUMIF('JUNE (물량흐름)'!$C$13:$C$502,'WIP(재공품)'!B281,'JUNE (물량흐름)'!$N$13:$N$488),0)</f>
        <v>0</v>
      </c>
      <c r="Z281" s="112">
        <f>ROUND(SUMIF('JUNE (물량흐름)'!$C$13:$C$502,'WIP(재공품)'!B281,'JUNE (물량흐름)'!$O$13:$O$502),0)</f>
        <v>10</v>
      </c>
      <c r="AA281" s="112">
        <f>ROUND(SUMIF('JUNE (물량흐름)'!$C$13:$C$502,'WIP(재공품)'!B281,'JUNE (물량흐름)'!$P$13:$P$502),0)</f>
        <v>12</v>
      </c>
      <c r="AB281" s="112">
        <f t="shared" ca="1" si="43"/>
        <v>22</v>
      </c>
      <c r="AC281" s="112">
        <f t="shared" si="44"/>
        <v>398608</v>
      </c>
      <c r="AD281" s="381">
        <f t="shared" ca="1" si="45"/>
        <v>0</v>
      </c>
      <c r="AE281" s="381">
        <f t="shared" si="46"/>
        <v>0</v>
      </c>
      <c r="AF281" s="382"/>
      <c r="AG281" s="382">
        <v>2.7</v>
      </c>
      <c r="AH281" s="383">
        <f t="shared" si="47"/>
        <v>-2.3400000000000003</v>
      </c>
      <c r="AJ281" s="383"/>
      <c r="AL281" s="385"/>
      <c r="AM281" s="381"/>
      <c r="AN281" s="382"/>
      <c r="AO281" s="382"/>
      <c r="AP281" s="383"/>
      <c r="AQ281" s="383"/>
    </row>
    <row r="282" spans="1:43" s="384" customFormat="1" ht="27" customHeight="1">
      <c r="A282" s="167">
        <v>274</v>
      </c>
      <c r="B282" s="240">
        <f>VLOOKUP(A282,'JUNE (물량흐름)'!$A$13:$C$502,3,0)</f>
        <v>457309</v>
      </c>
      <c r="C282" s="21" t="str">
        <f>VLOOKUP(A282,'JUNE (물량흐름)'!$A$13:$C$502,2,0)</f>
        <v>ANN TAYLOR</v>
      </c>
      <c r="D282" s="212">
        <v>0.35</v>
      </c>
      <c r="E282" s="6">
        <f>VLOOKUP(B282,'Sales profit (스타일 별 매출이익)'!$D$9:$P$491,13,0)</f>
        <v>7936.2499999999991</v>
      </c>
      <c r="F282" s="112">
        <f>IFERROR(VLOOKUP(B282,O.B.JUNE!$N$7:$Q$448,2,0),0)</f>
        <v>0</v>
      </c>
      <c r="G282" s="112">
        <f>IFERROR(VLOOKUP(B282,O.B.JUNE!$N$7:$Q$448,3,0),0)</f>
        <v>5210</v>
      </c>
      <c r="H282" s="112">
        <f>IFERROR(VLOOKUP(B282,O.B.JUNE!$N$7:$Q$448,4,0),0)</f>
        <v>3996</v>
      </c>
      <c r="I282" s="112">
        <f t="shared" si="39"/>
        <v>9206</v>
      </c>
      <c r="J282" s="112">
        <f>IFERROR(VLOOKUP(B282,O.B.JUNE!$AA$7:$AG$448,7,0),0)</f>
        <v>76435851</v>
      </c>
      <c r="K282" s="112">
        <f>IFERROR(VLOOKUP(B282,O.B.JUNE!$AI$7:$AO$448,7,0),0)</f>
        <v>123148952</v>
      </c>
      <c r="L282" s="112">
        <f t="shared" si="40"/>
        <v>199584803</v>
      </c>
      <c r="M282" s="112">
        <f>ROUND(SUMIF('JUNE (물량흐름)'!$C$13:$C$502,'WIP(재공품)'!B282,'JUNE (물량흐름)'!$H$13:$H$502)+SUMIF('JUNE (물량흐름)'!$C$13:$C$502,'WIP(재공품)'!B282,'JUNE (물량흐름)'!$V$13:$V$502),0)</f>
        <v>0</v>
      </c>
      <c r="N282" s="112">
        <f>SUMIF('Direct labour(직접노무비)'!$C$12:$C$503,'WIP(재공품)'!B282,'Direct labour(직접노무비)'!$O$12:$O$503)</f>
        <v>0</v>
      </c>
      <c r="O282" s="112">
        <f>SUMIF('Overhead exp(제조경비)'!$C$12:$C$503,'WIP(재공품)'!B282,'Overhead exp(제조경비)'!$O$12:$O$503)</f>
        <v>0</v>
      </c>
      <c r="P282" s="112">
        <f t="shared" si="41"/>
        <v>0</v>
      </c>
      <c r="Q282" s="112">
        <v>0</v>
      </c>
      <c r="R282" s="112">
        <v>0</v>
      </c>
      <c r="S282" s="112">
        <f>SUMIF('JUNE (물량흐름)'!$C$13:$C$493,'WIP(재공품)'!B282,'JUNE (물량흐름)'!$T$13:$T$493)+SUMIF('JUNE (물량흐름)'!$C$13:$C$493,'WIP(재공품)'!B282,'JUNE (물량흐름)'!$U$13:$U$493)+SUMIF('JUNE (물량흐름)'!$C$13:$C$493,'WIP(재공품)'!B282,'JUNE (물량흐름)'!$V$13:$V$493)-SUMIF('JUNE (물량흐름)'!$C$13:$C$493,'WIP(재공품)'!B282,'JUNE (물량흐름)'!$Y$13:$Y$493)</f>
        <v>0</v>
      </c>
      <c r="T282" s="112">
        <f>SUMIF('JUNE (물량흐름)'!$C$13:$C$502,'WIP(재공품)'!B282,'JUNE (물량흐름)'!$Y$13:$Y$502)</f>
        <v>0</v>
      </c>
      <c r="U282" s="167">
        <f>SUMIF('Direct labour(직접노무비)'!$C$12:$C$503,'WIP(재공품)'!B282,'Direct labour(직접노무비)'!$U$12:$U$503)+SUMIF('Overhead exp(제조경비)'!$C$12:$C$503,'WIP(재공품)'!B282,'Overhead exp(제조경비)'!$U$12:$U$503)</f>
        <v>0</v>
      </c>
      <c r="V282" s="112">
        <f>SUMIF('Direct labour(직접노무비)'!$C$12:$C$503,'WIP(재공품)'!B282,'Direct labour(직접노무비)'!$Q$12:$Q$503)</f>
        <v>0</v>
      </c>
      <c r="W282" s="112">
        <f>SUMIF('Overhead exp(제조경비)'!$C$12:$C$503,'WIP(재공품)'!B282,'Overhead exp(제조경비)'!$Q$12:$Q$503)</f>
        <v>0</v>
      </c>
      <c r="X282" s="112">
        <f t="shared" si="42"/>
        <v>0</v>
      </c>
      <c r="Y282" s="112">
        <f ca="1">ROUND(SUMIF('JUNE (물량흐름)'!$C$13:$C$502,'WIP(재공품)'!B282,'JUNE (물량흐름)'!$N$13:$N$488),0)</f>
        <v>0</v>
      </c>
      <c r="Z282" s="112">
        <f>ROUND(SUMIF('JUNE (물량흐름)'!$C$13:$C$502,'WIP(재공품)'!B282,'JUNE (물량흐름)'!$O$13:$O$502),0)</f>
        <v>5210</v>
      </c>
      <c r="AA282" s="112">
        <f>ROUND(SUMIF('JUNE (물량흐름)'!$C$13:$C$502,'WIP(재공품)'!B282,'JUNE (물량흐름)'!$P$13:$P$502),0)</f>
        <v>3996</v>
      </c>
      <c r="AB282" s="112">
        <f t="shared" ca="1" si="43"/>
        <v>9206</v>
      </c>
      <c r="AC282" s="112">
        <f t="shared" si="44"/>
        <v>199584803</v>
      </c>
      <c r="AD282" s="381">
        <f t="shared" ca="1" si="45"/>
        <v>0</v>
      </c>
      <c r="AE282" s="381">
        <f t="shared" si="46"/>
        <v>0</v>
      </c>
      <c r="AF282" s="382"/>
      <c r="AG282" s="382">
        <v>0</v>
      </c>
      <c r="AH282" s="383">
        <f t="shared" si="47"/>
        <v>0.35</v>
      </c>
      <c r="AJ282" s="383"/>
      <c r="AL282" s="385"/>
      <c r="AM282" s="381"/>
      <c r="AN282" s="382"/>
      <c r="AO282" s="382"/>
      <c r="AP282" s="383"/>
      <c r="AQ282" s="383"/>
    </row>
    <row r="283" spans="1:43" s="384" customFormat="1" ht="27" customHeight="1">
      <c r="A283" s="167">
        <v>275</v>
      </c>
      <c r="B283" s="240">
        <f>VLOOKUP(A283,'JUNE (물량흐름)'!$A$13:$C$502,3,0)</f>
        <v>462511</v>
      </c>
      <c r="C283" s="21" t="str">
        <f>VLOOKUP(A283,'JUNE (물량흐름)'!$A$13:$C$502,2,0)</f>
        <v>ANN TAYLOR</v>
      </c>
      <c r="D283" s="212">
        <v>0.35</v>
      </c>
      <c r="E283" s="6">
        <f>VLOOKUP(B283,'Sales profit (스타일 별 매출이익)'!$D$9:$P$491,13,0)</f>
        <v>7936.2499999999991</v>
      </c>
      <c r="F283" s="112">
        <f>IFERROR(VLOOKUP(B283,O.B.JUNE!$N$7:$Q$448,2,0),0)</f>
        <v>312</v>
      </c>
      <c r="G283" s="112">
        <f>IFERROR(VLOOKUP(B283,O.B.JUNE!$N$7:$Q$448,3,0),0)</f>
        <v>434</v>
      </c>
      <c r="H283" s="112">
        <f>IFERROR(VLOOKUP(B283,O.B.JUNE!$N$7:$Q$448,4,0),0)</f>
        <v>306</v>
      </c>
      <c r="I283" s="112">
        <f t="shared" si="39"/>
        <v>1052</v>
      </c>
      <c r="J283" s="112">
        <f>IFERROR(VLOOKUP(B283,O.B.JUNE!$AA$7:$AG$448,7,0),0)</f>
        <v>7476689</v>
      </c>
      <c r="K283" s="112">
        <f>IFERROR(VLOOKUP(B283,O.B.JUNE!$AI$7:$AO$448,7,0),0)</f>
        <v>11308878</v>
      </c>
      <c r="L283" s="112">
        <f t="shared" si="40"/>
        <v>18785567</v>
      </c>
      <c r="M283" s="112">
        <f>ROUND(SUMIF('JUNE (물량흐름)'!$C$13:$C$502,'WIP(재공품)'!B283,'JUNE (물량흐름)'!$H$13:$H$502)+SUMIF('JUNE (물량흐름)'!$C$13:$C$502,'WIP(재공품)'!B283,'JUNE (물량흐름)'!$V$13:$V$502),0)</f>
        <v>0</v>
      </c>
      <c r="N283" s="112">
        <f>SUMIF('Direct labour(직접노무비)'!$C$12:$C$503,'WIP(재공품)'!B283,'Direct labour(직접노무비)'!$O$12:$O$503)</f>
        <v>0</v>
      </c>
      <c r="O283" s="112">
        <f>SUMIF('Overhead exp(제조경비)'!$C$12:$C$503,'WIP(재공품)'!B283,'Overhead exp(제조경비)'!$O$12:$O$503)</f>
        <v>0</v>
      </c>
      <c r="P283" s="112">
        <f t="shared" si="41"/>
        <v>0</v>
      </c>
      <c r="Q283" s="112">
        <v>0</v>
      </c>
      <c r="R283" s="112">
        <v>0</v>
      </c>
      <c r="S283" s="112">
        <f>SUMIF('JUNE (물량흐름)'!$C$13:$C$493,'WIP(재공품)'!B283,'JUNE (물량흐름)'!$T$13:$T$493)+SUMIF('JUNE (물량흐름)'!$C$13:$C$493,'WIP(재공품)'!B283,'JUNE (물량흐름)'!$U$13:$U$493)+SUMIF('JUNE (물량흐름)'!$C$13:$C$493,'WIP(재공품)'!B283,'JUNE (물량흐름)'!$V$13:$V$493)-SUMIF('JUNE (물량흐름)'!$C$13:$C$493,'WIP(재공품)'!B283,'JUNE (물량흐름)'!$Y$13:$Y$493)</f>
        <v>0</v>
      </c>
      <c r="T283" s="112">
        <f>SUMIF('JUNE (물량흐름)'!$C$13:$C$502,'WIP(재공품)'!B283,'JUNE (물량흐름)'!$Y$13:$Y$502)</f>
        <v>0</v>
      </c>
      <c r="U283" s="167">
        <f>SUMIF('Direct labour(직접노무비)'!$C$12:$C$503,'WIP(재공품)'!B283,'Direct labour(직접노무비)'!$U$12:$U$503)+SUMIF('Overhead exp(제조경비)'!$C$12:$C$503,'WIP(재공품)'!B283,'Overhead exp(제조경비)'!$U$12:$U$503)</f>
        <v>0</v>
      </c>
      <c r="V283" s="112">
        <f>SUMIF('Direct labour(직접노무비)'!$C$12:$C$503,'WIP(재공품)'!B283,'Direct labour(직접노무비)'!$Q$12:$Q$503)</f>
        <v>0</v>
      </c>
      <c r="W283" s="112">
        <f>SUMIF('Overhead exp(제조경비)'!$C$12:$C$503,'WIP(재공품)'!B283,'Overhead exp(제조경비)'!$Q$12:$Q$503)</f>
        <v>0</v>
      </c>
      <c r="X283" s="112">
        <f t="shared" si="42"/>
        <v>0</v>
      </c>
      <c r="Y283" s="112">
        <f ca="1">ROUND(SUMIF('JUNE (물량흐름)'!$C$13:$C$502,'WIP(재공품)'!B283,'JUNE (물량흐름)'!$N$13:$N$488),0)</f>
        <v>312</v>
      </c>
      <c r="Z283" s="112">
        <f>ROUND(SUMIF('JUNE (물량흐름)'!$C$13:$C$502,'WIP(재공품)'!B283,'JUNE (물량흐름)'!$O$13:$O$502),0)</f>
        <v>434</v>
      </c>
      <c r="AA283" s="112">
        <f>ROUND(SUMIF('JUNE (물량흐름)'!$C$13:$C$502,'WIP(재공품)'!B283,'JUNE (물량흐름)'!$P$13:$P$502),0)</f>
        <v>306</v>
      </c>
      <c r="AB283" s="112">
        <f t="shared" ca="1" si="43"/>
        <v>1052</v>
      </c>
      <c r="AC283" s="112">
        <f t="shared" si="44"/>
        <v>18785567</v>
      </c>
      <c r="AD283" s="381">
        <f t="shared" ca="1" si="45"/>
        <v>0</v>
      </c>
      <c r="AE283" s="381">
        <f t="shared" si="46"/>
        <v>0</v>
      </c>
      <c r="AF283" s="382"/>
      <c r="AG283" s="382">
        <v>1.02</v>
      </c>
      <c r="AH283" s="383">
        <f t="shared" si="47"/>
        <v>-0.67</v>
      </c>
      <c r="AJ283" s="383"/>
      <c r="AL283" s="385"/>
      <c r="AM283" s="381"/>
      <c r="AN283" s="382"/>
      <c r="AO283" s="382"/>
      <c r="AP283" s="383"/>
      <c r="AQ283" s="383"/>
    </row>
    <row r="284" spans="1:43" s="384" customFormat="1" ht="27" customHeight="1">
      <c r="A284" s="167">
        <v>276</v>
      </c>
      <c r="B284" s="240">
        <f>VLOOKUP(A284,'JUNE (물량흐름)'!$A$13:$C$502,3,0)</f>
        <v>462516</v>
      </c>
      <c r="C284" s="21" t="str">
        <f>VLOOKUP(A284,'JUNE (물량흐름)'!$A$13:$C$502,2,0)</f>
        <v>ANN TAYLOR</v>
      </c>
      <c r="D284" s="212">
        <v>0.35</v>
      </c>
      <c r="E284" s="6">
        <f>VLOOKUP(B284,'Sales profit (스타일 별 매출이익)'!$D$9:$P$491,13,0)</f>
        <v>7936.2499999999991</v>
      </c>
      <c r="F284" s="112">
        <f>IFERROR(VLOOKUP(B284,O.B.JUNE!$N$7:$Q$448,2,0),0)</f>
        <v>0</v>
      </c>
      <c r="G284" s="112">
        <f>IFERROR(VLOOKUP(B284,O.B.JUNE!$N$7:$Q$448,3,0),0)</f>
        <v>415</v>
      </c>
      <c r="H284" s="112">
        <f>IFERROR(VLOOKUP(B284,O.B.JUNE!$N$7:$Q$448,4,0),0)</f>
        <v>643</v>
      </c>
      <c r="I284" s="112">
        <f t="shared" si="39"/>
        <v>1058</v>
      </c>
      <c r="J284" s="112">
        <f>IFERROR(VLOOKUP(B284,O.B.JUNE!$AA$7:$AG$448,7,0),0)</f>
        <v>9738120</v>
      </c>
      <c r="K284" s="112">
        <f>IFERROR(VLOOKUP(B284,O.B.JUNE!$AI$7:$AO$448,7,0),0)</f>
        <v>16471086</v>
      </c>
      <c r="L284" s="112">
        <f t="shared" si="40"/>
        <v>26209206</v>
      </c>
      <c r="M284" s="112">
        <f>ROUND(SUMIF('JUNE (물량흐름)'!$C$13:$C$502,'WIP(재공품)'!B284,'JUNE (물량흐름)'!$H$13:$H$502)+SUMIF('JUNE (물량흐름)'!$C$13:$C$502,'WIP(재공품)'!B284,'JUNE (물량흐름)'!$V$13:$V$502),0)</f>
        <v>0</v>
      </c>
      <c r="N284" s="112">
        <f>SUMIF('Direct labour(직접노무비)'!$C$12:$C$503,'WIP(재공품)'!B284,'Direct labour(직접노무비)'!$O$12:$O$503)</f>
        <v>0</v>
      </c>
      <c r="O284" s="112">
        <f>SUMIF('Overhead exp(제조경비)'!$C$12:$C$503,'WIP(재공품)'!B284,'Overhead exp(제조경비)'!$O$12:$O$503)</f>
        <v>0</v>
      </c>
      <c r="P284" s="112">
        <f t="shared" si="41"/>
        <v>0</v>
      </c>
      <c r="Q284" s="112">
        <v>0</v>
      </c>
      <c r="R284" s="112">
        <v>0</v>
      </c>
      <c r="S284" s="112">
        <f>SUMIF('JUNE (물량흐름)'!$C$13:$C$493,'WIP(재공품)'!B284,'JUNE (물량흐름)'!$T$13:$T$493)+SUMIF('JUNE (물량흐름)'!$C$13:$C$493,'WIP(재공품)'!B284,'JUNE (물량흐름)'!$U$13:$U$493)+SUMIF('JUNE (물량흐름)'!$C$13:$C$493,'WIP(재공품)'!B284,'JUNE (물량흐름)'!$V$13:$V$493)-SUMIF('JUNE (물량흐름)'!$C$13:$C$493,'WIP(재공품)'!B284,'JUNE (물량흐름)'!$Y$13:$Y$493)</f>
        <v>0</v>
      </c>
      <c r="T284" s="112">
        <f>SUMIF('JUNE (물량흐름)'!$C$13:$C$502,'WIP(재공품)'!B284,'JUNE (물량흐름)'!$Y$13:$Y$502)</f>
        <v>2</v>
      </c>
      <c r="U284" s="167">
        <f>SUMIF('Direct labour(직접노무비)'!$C$12:$C$503,'WIP(재공품)'!B284,'Direct labour(직접노무비)'!$U$12:$U$503)+SUMIF('Overhead exp(제조경비)'!$C$12:$C$503,'WIP(재공품)'!B284,'Overhead exp(제조경비)'!$U$12:$U$503)</f>
        <v>49545</v>
      </c>
      <c r="V284" s="112">
        <f>SUMIF('Direct labour(직접노무비)'!$C$12:$C$503,'WIP(재공품)'!B284,'Direct labour(직접노무비)'!$Q$12:$Q$503)</f>
        <v>0</v>
      </c>
      <c r="W284" s="112">
        <f>SUMIF('Overhead exp(제조경비)'!$C$12:$C$503,'WIP(재공품)'!B284,'Overhead exp(제조경비)'!$Q$12:$Q$503)</f>
        <v>0</v>
      </c>
      <c r="X284" s="112">
        <f t="shared" si="42"/>
        <v>0</v>
      </c>
      <c r="Y284" s="112">
        <f ca="1">ROUND(SUMIF('JUNE (물량흐름)'!$C$13:$C$502,'WIP(재공품)'!B284,'JUNE (물량흐름)'!$N$13:$N$488),0)</f>
        <v>0</v>
      </c>
      <c r="Z284" s="112">
        <f>ROUND(SUMIF('JUNE (물량흐름)'!$C$13:$C$502,'WIP(재공품)'!B284,'JUNE (물량흐름)'!$O$13:$O$502),0)</f>
        <v>415</v>
      </c>
      <c r="AA284" s="112">
        <f>ROUND(SUMIF('JUNE (물량흐름)'!$C$13:$C$502,'WIP(재공품)'!B284,'JUNE (물량흐름)'!$P$13:$P$502),0)</f>
        <v>641</v>
      </c>
      <c r="AB284" s="112">
        <f t="shared" ca="1" si="43"/>
        <v>1056</v>
      </c>
      <c r="AC284" s="112">
        <f t="shared" si="44"/>
        <v>26159661</v>
      </c>
      <c r="AD284" s="381">
        <f t="shared" ca="1" si="45"/>
        <v>0</v>
      </c>
      <c r="AE284" s="381">
        <f t="shared" si="46"/>
        <v>0</v>
      </c>
      <c r="AF284" s="382"/>
      <c r="AG284" s="382">
        <v>1.02</v>
      </c>
      <c r="AH284" s="383">
        <f t="shared" si="47"/>
        <v>-0.67</v>
      </c>
      <c r="AJ284" s="383"/>
      <c r="AL284" s="385"/>
      <c r="AM284" s="381"/>
      <c r="AN284" s="382"/>
      <c r="AO284" s="382"/>
      <c r="AP284" s="383"/>
      <c r="AQ284" s="383"/>
    </row>
    <row r="285" spans="1:43" s="384" customFormat="1" ht="27" customHeight="1">
      <c r="A285" s="167">
        <v>277</v>
      </c>
      <c r="B285" s="240">
        <f>VLOOKUP(A285,'JUNE (물량흐름)'!$A$13:$C$502,3,0)</f>
        <v>464101</v>
      </c>
      <c r="C285" s="21" t="str">
        <f>VLOOKUP(A285,'JUNE (물량흐름)'!$A$13:$C$502,2,0)</f>
        <v>ANN TAYLOR</v>
      </c>
      <c r="D285" s="212">
        <v>0.35</v>
      </c>
      <c r="E285" s="6">
        <f>VLOOKUP(B285,'Sales profit (스타일 별 매출이익)'!$D$9:$P$491,13,0)</f>
        <v>7936.2499999999991</v>
      </c>
      <c r="F285" s="112">
        <f>IFERROR(VLOOKUP(B285,O.B.JUNE!$N$7:$Q$448,2,0),0)</f>
        <v>87</v>
      </c>
      <c r="G285" s="112">
        <f>IFERROR(VLOOKUP(B285,O.B.JUNE!$N$7:$Q$448,3,0),0)</f>
        <v>320</v>
      </c>
      <c r="H285" s="112">
        <f>IFERROR(VLOOKUP(B285,O.B.JUNE!$N$7:$Q$448,4,0),0)</f>
        <v>760</v>
      </c>
      <c r="I285" s="112">
        <f t="shared" si="39"/>
        <v>1167</v>
      </c>
      <c r="J285" s="112">
        <f>IFERROR(VLOOKUP(B285,O.B.JUNE!$AA$7:$AG$448,7,0),0)</f>
        <v>10685125</v>
      </c>
      <c r="K285" s="112">
        <f>IFERROR(VLOOKUP(B285,O.B.JUNE!$AI$7:$AO$448,7,0),0)</f>
        <v>18811483</v>
      </c>
      <c r="L285" s="112">
        <f t="shared" si="40"/>
        <v>29496608</v>
      </c>
      <c r="M285" s="112">
        <f>ROUND(SUMIF('JUNE (물량흐름)'!$C$13:$C$502,'WIP(재공품)'!B285,'JUNE (물량흐름)'!$H$13:$H$502)+SUMIF('JUNE (물량흐름)'!$C$13:$C$502,'WIP(재공품)'!B285,'JUNE (물량흐름)'!$V$13:$V$502),0)</f>
        <v>0</v>
      </c>
      <c r="N285" s="112">
        <f>SUMIF('Direct labour(직접노무비)'!$C$12:$C$503,'WIP(재공품)'!B285,'Direct labour(직접노무비)'!$O$12:$O$503)</f>
        <v>0</v>
      </c>
      <c r="O285" s="112">
        <f>SUMIF('Overhead exp(제조경비)'!$C$12:$C$503,'WIP(재공품)'!B285,'Overhead exp(제조경비)'!$O$12:$O$503)</f>
        <v>0</v>
      </c>
      <c r="P285" s="112">
        <f t="shared" si="41"/>
        <v>0</v>
      </c>
      <c r="Q285" s="112">
        <v>0</v>
      </c>
      <c r="R285" s="112">
        <v>0</v>
      </c>
      <c r="S285" s="112">
        <f>SUMIF('JUNE (물량흐름)'!$C$13:$C$493,'WIP(재공품)'!B285,'JUNE (물량흐름)'!$T$13:$T$493)+SUMIF('JUNE (물량흐름)'!$C$13:$C$493,'WIP(재공품)'!B285,'JUNE (물량흐름)'!$U$13:$U$493)+SUMIF('JUNE (물량흐름)'!$C$13:$C$493,'WIP(재공품)'!B285,'JUNE (물량흐름)'!$V$13:$V$493)-SUMIF('JUNE (물량흐름)'!$C$13:$C$493,'WIP(재공품)'!B285,'JUNE (물량흐름)'!$Y$13:$Y$493)</f>
        <v>0</v>
      </c>
      <c r="T285" s="112">
        <f>SUMIF('JUNE (물량흐름)'!$C$13:$C$502,'WIP(재공품)'!B285,'JUNE (물량흐름)'!$Y$13:$Y$502)</f>
        <v>0</v>
      </c>
      <c r="U285" s="167">
        <f>SUMIF('Direct labour(직접노무비)'!$C$12:$C$503,'WIP(재공품)'!B285,'Direct labour(직접노무비)'!$U$12:$U$503)+SUMIF('Overhead exp(제조경비)'!$C$12:$C$503,'WIP(재공품)'!B285,'Overhead exp(제조경비)'!$U$12:$U$503)</f>
        <v>0</v>
      </c>
      <c r="V285" s="112">
        <f>SUMIF('Direct labour(직접노무비)'!$C$12:$C$503,'WIP(재공품)'!B285,'Direct labour(직접노무비)'!$Q$12:$Q$503)</f>
        <v>0</v>
      </c>
      <c r="W285" s="112">
        <f>SUMIF('Overhead exp(제조경비)'!$C$12:$C$503,'WIP(재공품)'!B285,'Overhead exp(제조경비)'!$Q$12:$Q$503)</f>
        <v>0</v>
      </c>
      <c r="X285" s="112">
        <f t="shared" si="42"/>
        <v>0</v>
      </c>
      <c r="Y285" s="112">
        <f ca="1">ROUND(SUMIF('JUNE (물량흐름)'!$C$13:$C$502,'WIP(재공품)'!B285,'JUNE (물량흐름)'!$N$13:$N$488),0)</f>
        <v>87</v>
      </c>
      <c r="Z285" s="112">
        <f>ROUND(SUMIF('JUNE (물량흐름)'!$C$13:$C$502,'WIP(재공품)'!B285,'JUNE (물량흐름)'!$O$13:$O$502),0)</f>
        <v>320</v>
      </c>
      <c r="AA285" s="112">
        <f>ROUND(SUMIF('JUNE (물량흐름)'!$C$13:$C$502,'WIP(재공품)'!B285,'JUNE (물량흐름)'!$P$13:$P$502),0)</f>
        <v>760</v>
      </c>
      <c r="AB285" s="112">
        <f t="shared" ca="1" si="43"/>
        <v>1167</v>
      </c>
      <c r="AC285" s="112">
        <f t="shared" si="44"/>
        <v>29496608</v>
      </c>
      <c r="AD285" s="381">
        <f t="shared" ca="1" si="45"/>
        <v>0</v>
      </c>
      <c r="AE285" s="381">
        <f t="shared" si="46"/>
        <v>0</v>
      </c>
      <c r="AF285" s="382"/>
      <c r="AG285" s="382">
        <v>2.4000000000000004</v>
      </c>
      <c r="AH285" s="383">
        <f t="shared" si="47"/>
        <v>-2.0500000000000003</v>
      </c>
      <c r="AJ285" s="383"/>
      <c r="AL285" s="385"/>
      <c r="AM285" s="381"/>
      <c r="AN285" s="382"/>
      <c r="AO285" s="382"/>
      <c r="AP285" s="383"/>
      <c r="AQ285" s="383"/>
    </row>
    <row r="286" spans="1:43" s="384" customFormat="1" ht="27" customHeight="1">
      <c r="A286" s="167">
        <v>278</v>
      </c>
      <c r="B286" s="240">
        <f>VLOOKUP(A286,'JUNE (물량흐름)'!$A$13:$C$502,3,0)</f>
        <v>469135</v>
      </c>
      <c r="C286" s="21" t="str">
        <f>VLOOKUP(A286,'JUNE (물량흐름)'!$A$13:$C$502,2,0)</f>
        <v>ANN TAYLOR</v>
      </c>
      <c r="D286" s="212">
        <v>0.35</v>
      </c>
      <c r="E286" s="6">
        <f>VLOOKUP(B286,'Sales profit (스타일 별 매출이익)'!$D$9:$P$491,13,0)</f>
        <v>7936.2499999999991</v>
      </c>
      <c r="F286" s="112">
        <f>IFERROR(VLOOKUP(B286,O.B.JUNE!$N$7:$Q$448,2,0),0)</f>
        <v>0</v>
      </c>
      <c r="G286" s="112">
        <f>IFERROR(VLOOKUP(B286,O.B.JUNE!$N$7:$Q$448,3,0),0)</f>
        <v>189</v>
      </c>
      <c r="H286" s="112">
        <f>IFERROR(VLOOKUP(B286,O.B.JUNE!$N$7:$Q$448,4,0),0)</f>
        <v>114</v>
      </c>
      <c r="I286" s="112">
        <f t="shared" si="39"/>
        <v>303</v>
      </c>
      <c r="J286" s="112">
        <f>IFERROR(VLOOKUP(B286,O.B.JUNE!$AA$7:$AG$448,7,0),0)</f>
        <v>2865668</v>
      </c>
      <c r="K286" s="112">
        <f>IFERROR(VLOOKUP(B286,O.B.JUNE!$AI$7:$AO$448,7,0),0)</f>
        <v>5067027</v>
      </c>
      <c r="L286" s="112">
        <f t="shared" si="40"/>
        <v>7932695</v>
      </c>
      <c r="M286" s="112">
        <f>ROUND(SUMIF('JUNE (물량흐름)'!$C$13:$C$502,'WIP(재공품)'!B286,'JUNE (물량흐름)'!$H$13:$H$502)+SUMIF('JUNE (물량흐름)'!$C$13:$C$502,'WIP(재공품)'!B286,'JUNE (물량흐름)'!$V$13:$V$502),0)</f>
        <v>0</v>
      </c>
      <c r="N286" s="112">
        <f>SUMIF('Direct labour(직접노무비)'!$C$12:$C$503,'WIP(재공품)'!B286,'Direct labour(직접노무비)'!$O$12:$O$503)</f>
        <v>0</v>
      </c>
      <c r="O286" s="112">
        <f>SUMIF('Overhead exp(제조경비)'!$C$12:$C$503,'WIP(재공품)'!B286,'Overhead exp(제조경비)'!$O$12:$O$503)</f>
        <v>0</v>
      </c>
      <c r="P286" s="112">
        <f t="shared" si="41"/>
        <v>0</v>
      </c>
      <c r="Q286" s="112">
        <v>0</v>
      </c>
      <c r="R286" s="112">
        <v>0</v>
      </c>
      <c r="S286" s="112">
        <f>SUMIF('JUNE (물량흐름)'!$C$13:$C$493,'WIP(재공품)'!B286,'JUNE (물량흐름)'!$T$13:$T$493)+SUMIF('JUNE (물량흐름)'!$C$13:$C$493,'WIP(재공품)'!B286,'JUNE (물량흐름)'!$U$13:$U$493)+SUMIF('JUNE (물량흐름)'!$C$13:$C$493,'WIP(재공품)'!B286,'JUNE (물량흐름)'!$V$13:$V$493)-SUMIF('JUNE (물량흐름)'!$C$13:$C$493,'WIP(재공품)'!B286,'JUNE (물량흐름)'!$Y$13:$Y$493)</f>
        <v>0</v>
      </c>
      <c r="T286" s="112">
        <f>SUMIF('JUNE (물량흐름)'!$C$13:$C$502,'WIP(재공품)'!B286,'JUNE (물량흐름)'!$Y$13:$Y$502)</f>
        <v>0</v>
      </c>
      <c r="U286" s="167">
        <f>SUMIF('Direct labour(직접노무비)'!$C$12:$C$503,'WIP(재공품)'!B286,'Direct labour(직접노무비)'!$U$12:$U$503)+SUMIF('Overhead exp(제조경비)'!$C$12:$C$503,'WIP(재공품)'!B286,'Overhead exp(제조경비)'!$U$12:$U$503)</f>
        <v>0</v>
      </c>
      <c r="V286" s="112">
        <f>SUMIF('Direct labour(직접노무비)'!$C$12:$C$503,'WIP(재공품)'!B286,'Direct labour(직접노무비)'!$Q$12:$Q$503)</f>
        <v>0</v>
      </c>
      <c r="W286" s="112">
        <f>SUMIF('Overhead exp(제조경비)'!$C$12:$C$503,'WIP(재공품)'!B286,'Overhead exp(제조경비)'!$Q$12:$Q$503)</f>
        <v>0</v>
      </c>
      <c r="X286" s="112">
        <f t="shared" si="42"/>
        <v>0</v>
      </c>
      <c r="Y286" s="112">
        <f ca="1">ROUND(SUMIF('JUNE (물량흐름)'!$C$13:$C$502,'WIP(재공품)'!B286,'JUNE (물량흐름)'!$N$13:$N$488),0)</f>
        <v>0</v>
      </c>
      <c r="Z286" s="112">
        <f>ROUND(SUMIF('JUNE (물량흐름)'!$C$13:$C$502,'WIP(재공품)'!B286,'JUNE (물량흐름)'!$O$13:$O$502),0)</f>
        <v>189</v>
      </c>
      <c r="AA286" s="112">
        <f>ROUND(SUMIF('JUNE (물량흐름)'!$C$13:$C$502,'WIP(재공품)'!B286,'JUNE (물량흐름)'!$P$13:$P$502),0)</f>
        <v>114</v>
      </c>
      <c r="AB286" s="112">
        <f t="shared" ca="1" si="43"/>
        <v>303</v>
      </c>
      <c r="AC286" s="112">
        <f t="shared" si="44"/>
        <v>7932695</v>
      </c>
      <c r="AD286" s="381">
        <f t="shared" ca="1" si="45"/>
        <v>0</v>
      </c>
      <c r="AE286" s="381">
        <f t="shared" si="46"/>
        <v>0</v>
      </c>
      <c r="AF286" s="382"/>
      <c r="AG286" s="382">
        <v>0</v>
      </c>
      <c r="AH286" s="383">
        <f t="shared" si="47"/>
        <v>0.35</v>
      </c>
      <c r="AJ286" s="383"/>
      <c r="AL286" s="385"/>
      <c r="AM286" s="381"/>
      <c r="AN286" s="382"/>
      <c r="AO286" s="382"/>
      <c r="AP286" s="383"/>
      <c r="AQ286" s="383"/>
    </row>
    <row r="287" spans="1:43" s="384" customFormat="1" ht="27" customHeight="1">
      <c r="A287" s="167">
        <v>279</v>
      </c>
      <c r="B287" s="240">
        <f>VLOOKUP(A287,'JUNE (물량흐름)'!$A$13:$C$502,3,0)</f>
        <v>469615</v>
      </c>
      <c r="C287" s="21" t="str">
        <f>VLOOKUP(A287,'JUNE (물량흐름)'!$A$13:$C$502,2,0)</f>
        <v>ANN TAYLOR</v>
      </c>
      <c r="D287" s="212">
        <v>0.35</v>
      </c>
      <c r="E287" s="6">
        <f>VLOOKUP(B287,'Sales profit (스타일 별 매출이익)'!$D$9:$P$491,13,0)</f>
        <v>7936.2499999999991</v>
      </c>
      <c r="F287" s="112">
        <f>IFERROR(VLOOKUP(B287,O.B.JUNE!$N$7:$Q$448,2,0),0)</f>
        <v>0</v>
      </c>
      <c r="G287" s="112">
        <f>IFERROR(VLOOKUP(B287,O.B.JUNE!$N$7:$Q$448,3,0),0)</f>
        <v>44</v>
      </c>
      <c r="H287" s="112">
        <f>IFERROR(VLOOKUP(B287,O.B.JUNE!$N$7:$Q$448,4,0),0)</f>
        <v>453</v>
      </c>
      <c r="I287" s="112">
        <f t="shared" si="39"/>
        <v>497</v>
      </c>
      <c r="J287" s="112">
        <f>IFERROR(VLOOKUP(B287,O.B.JUNE!$AA$7:$AG$448,7,0),0)</f>
        <v>4174205</v>
      </c>
      <c r="K287" s="112">
        <f>IFERROR(VLOOKUP(B287,O.B.JUNE!$AI$7:$AO$448,7,0),0)</f>
        <v>6890267</v>
      </c>
      <c r="L287" s="112">
        <f t="shared" si="40"/>
        <v>11064472</v>
      </c>
      <c r="M287" s="112">
        <f>ROUND(SUMIF('JUNE (물량흐름)'!$C$13:$C$502,'WIP(재공품)'!B287,'JUNE (물량흐름)'!$H$13:$H$502)+SUMIF('JUNE (물량흐름)'!$C$13:$C$502,'WIP(재공품)'!B287,'JUNE (물량흐름)'!$V$13:$V$502),0)</f>
        <v>0</v>
      </c>
      <c r="N287" s="112">
        <f>SUMIF('Direct labour(직접노무비)'!$C$12:$C$503,'WIP(재공품)'!B287,'Direct labour(직접노무비)'!$O$12:$O$503)</f>
        <v>0</v>
      </c>
      <c r="O287" s="112">
        <f>SUMIF('Overhead exp(제조경비)'!$C$12:$C$503,'WIP(재공품)'!B287,'Overhead exp(제조경비)'!$O$12:$O$503)</f>
        <v>0</v>
      </c>
      <c r="P287" s="112">
        <f t="shared" si="41"/>
        <v>0</v>
      </c>
      <c r="Q287" s="112">
        <v>0</v>
      </c>
      <c r="R287" s="112">
        <v>0</v>
      </c>
      <c r="S287" s="112">
        <f>SUMIF('JUNE (물량흐름)'!$C$13:$C$493,'WIP(재공품)'!B287,'JUNE (물량흐름)'!$T$13:$T$493)+SUMIF('JUNE (물량흐름)'!$C$13:$C$493,'WIP(재공품)'!B287,'JUNE (물량흐름)'!$U$13:$U$493)+SUMIF('JUNE (물량흐름)'!$C$13:$C$493,'WIP(재공품)'!B287,'JUNE (물량흐름)'!$V$13:$V$493)-SUMIF('JUNE (물량흐름)'!$C$13:$C$493,'WIP(재공품)'!B287,'JUNE (물량흐름)'!$Y$13:$Y$493)</f>
        <v>0</v>
      </c>
      <c r="T287" s="112">
        <f>SUMIF('JUNE (물량흐름)'!$C$13:$C$502,'WIP(재공품)'!B287,'JUNE (물량흐름)'!$Y$13:$Y$502)</f>
        <v>0</v>
      </c>
      <c r="U287" s="167">
        <f>SUMIF('Direct labour(직접노무비)'!$C$12:$C$503,'WIP(재공품)'!B287,'Direct labour(직접노무비)'!$U$12:$U$503)+SUMIF('Overhead exp(제조경비)'!$C$12:$C$503,'WIP(재공품)'!B287,'Overhead exp(제조경비)'!$U$12:$U$503)</f>
        <v>0</v>
      </c>
      <c r="V287" s="112">
        <f>SUMIF('Direct labour(직접노무비)'!$C$12:$C$503,'WIP(재공품)'!B287,'Direct labour(직접노무비)'!$Q$12:$Q$503)</f>
        <v>0</v>
      </c>
      <c r="W287" s="112">
        <f>SUMIF('Overhead exp(제조경비)'!$C$12:$C$503,'WIP(재공품)'!B287,'Overhead exp(제조경비)'!$Q$12:$Q$503)</f>
        <v>0</v>
      </c>
      <c r="X287" s="112">
        <f t="shared" si="42"/>
        <v>0</v>
      </c>
      <c r="Y287" s="112">
        <f ca="1">ROUND(SUMIF('JUNE (물량흐름)'!$C$13:$C$502,'WIP(재공품)'!B287,'JUNE (물량흐름)'!$N$13:$N$488),0)</f>
        <v>0</v>
      </c>
      <c r="Z287" s="112">
        <f>ROUND(SUMIF('JUNE (물량흐름)'!$C$13:$C$502,'WIP(재공품)'!B287,'JUNE (물량흐름)'!$O$13:$O$502),0)</f>
        <v>44</v>
      </c>
      <c r="AA287" s="112">
        <f>ROUND(SUMIF('JUNE (물량흐름)'!$C$13:$C$502,'WIP(재공품)'!B287,'JUNE (물량흐름)'!$P$13:$P$502),0)</f>
        <v>453</v>
      </c>
      <c r="AB287" s="112">
        <f t="shared" ca="1" si="43"/>
        <v>497</v>
      </c>
      <c r="AC287" s="112">
        <f t="shared" si="44"/>
        <v>11064472</v>
      </c>
      <c r="AD287" s="381">
        <f t="shared" ca="1" si="45"/>
        <v>0</v>
      </c>
      <c r="AE287" s="381">
        <f t="shared" si="46"/>
        <v>0</v>
      </c>
      <c r="AF287" s="382"/>
      <c r="AG287" s="382">
        <v>1.8</v>
      </c>
      <c r="AH287" s="383">
        <f t="shared" si="47"/>
        <v>-1.4500000000000002</v>
      </c>
      <c r="AJ287" s="383"/>
      <c r="AL287" s="385"/>
      <c r="AM287" s="381"/>
      <c r="AN287" s="382"/>
      <c r="AO287" s="382"/>
      <c r="AP287" s="383"/>
      <c r="AQ287" s="383"/>
    </row>
    <row r="288" spans="1:43" s="384" customFormat="1" ht="27" customHeight="1">
      <c r="A288" s="167">
        <v>280</v>
      </c>
      <c r="B288" s="240">
        <f>VLOOKUP(A288,'JUNE (물량흐름)'!$A$13:$C$502,3,0)</f>
        <v>471355</v>
      </c>
      <c r="C288" s="21" t="str">
        <f>VLOOKUP(A288,'JUNE (물량흐름)'!$A$13:$C$502,2,0)</f>
        <v>ANN TAYLOR</v>
      </c>
      <c r="D288" s="212">
        <v>0.35</v>
      </c>
      <c r="E288" s="6">
        <f>VLOOKUP(B288,'Sales profit (스타일 별 매출이익)'!$D$9:$P$491,13,0)</f>
        <v>7936.2499999999991</v>
      </c>
      <c r="F288" s="112">
        <f>IFERROR(VLOOKUP(B288,O.B.JUNE!$N$7:$Q$448,2,0),0)</f>
        <v>0</v>
      </c>
      <c r="G288" s="112">
        <f>IFERROR(VLOOKUP(B288,O.B.JUNE!$N$7:$Q$448,3,0),0)</f>
        <v>0</v>
      </c>
      <c r="H288" s="112">
        <f>IFERROR(VLOOKUP(B288,O.B.JUNE!$N$7:$Q$448,4,0),0)</f>
        <v>340</v>
      </c>
      <c r="I288" s="112">
        <f t="shared" si="39"/>
        <v>340</v>
      </c>
      <c r="J288" s="112">
        <f>IFERROR(VLOOKUP(B288,O.B.JUNE!$AA$7:$AG$448,7,0),0)</f>
        <v>3109642</v>
      </c>
      <c r="K288" s="112">
        <f>IFERROR(VLOOKUP(B288,O.B.JUNE!$AI$7:$AO$448,7,0),0)</f>
        <v>4995633</v>
      </c>
      <c r="L288" s="112">
        <f t="shared" si="40"/>
        <v>8105275</v>
      </c>
      <c r="M288" s="112">
        <f>ROUND(SUMIF('JUNE (물량흐름)'!$C$13:$C$502,'WIP(재공품)'!B288,'JUNE (물량흐름)'!$H$13:$H$502)+SUMIF('JUNE (물량흐름)'!$C$13:$C$502,'WIP(재공품)'!B288,'JUNE (물량흐름)'!$V$13:$V$502),0)</f>
        <v>0</v>
      </c>
      <c r="N288" s="112">
        <f>SUMIF('Direct labour(직접노무비)'!$C$12:$C$503,'WIP(재공품)'!B288,'Direct labour(직접노무비)'!$O$12:$O$503)</f>
        <v>0</v>
      </c>
      <c r="O288" s="112">
        <f>SUMIF('Overhead exp(제조경비)'!$C$12:$C$503,'WIP(재공품)'!B288,'Overhead exp(제조경비)'!$O$12:$O$503)</f>
        <v>0</v>
      </c>
      <c r="P288" s="112">
        <f t="shared" si="41"/>
        <v>0</v>
      </c>
      <c r="Q288" s="112">
        <v>0</v>
      </c>
      <c r="R288" s="112">
        <v>0</v>
      </c>
      <c r="S288" s="112">
        <f>SUMIF('JUNE (물량흐름)'!$C$13:$C$493,'WIP(재공품)'!B288,'JUNE (물량흐름)'!$T$13:$T$493)+SUMIF('JUNE (물량흐름)'!$C$13:$C$493,'WIP(재공품)'!B288,'JUNE (물량흐름)'!$U$13:$U$493)+SUMIF('JUNE (물량흐름)'!$C$13:$C$493,'WIP(재공품)'!B288,'JUNE (물량흐름)'!$V$13:$V$493)-SUMIF('JUNE (물량흐름)'!$C$13:$C$493,'WIP(재공품)'!B288,'JUNE (물량흐름)'!$Y$13:$Y$493)</f>
        <v>0</v>
      </c>
      <c r="T288" s="112">
        <f>SUMIF('JUNE (물량흐름)'!$C$13:$C$502,'WIP(재공품)'!B288,'JUNE (물량흐름)'!$Y$13:$Y$502)</f>
        <v>0</v>
      </c>
      <c r="U288" s="167">
        <f>SUMIF('Direct labour(직접노무비)'!$C$12:$C$503,'WIP(재공품)'!B288,'Direct labour(직접노무비)'!$U$12:$U$503)+SUMIF('Overhead exp(제조경비)'!$C$12:$C$503,'WIP(재공품)'!B288,'Overhead exp(제조경비)'!$U$12:$U$503)</f>
        <v>0</v>
      </c>
      <c r="V288" s="112">
        <f>SUMIF('Direct labour(직접노무비)'!$C$12:$C$503,'WIP(재공품)'!B288,'Direct labour(직접노무비)'!$Q$12:$Q$503)</f>
        <v>0</v>
      </c>
      <c r="W288" s="112">
        <f>SUMIF('Overhead exp(제조경비)'!$C$12:$C$503,'WIP(재공품)'!B288,'Overhead exp(제조경비)'!$Q$12:$Q$503)</f>
        <v>0</v>
      </c>
      <c r="X288" s="112">
        <f t="shared" si="42"/>
        <v>0</v>
      </c>
      <c r="Y288" s="112">
        <f ca="1">ROUND(SUMIF('JUNE (물량흐름)'!$C$13:$C$502,'WIP(재공품)'!B288,'JUNE (물량흐름)'!$N$13:$N$488),0)</f>
        <v>0</v>
      </c>
      <c r="Z288" s="112">
        <f>ROUND(SUMIF('JUNE (물량흐름)'!$C$13:$C$502,'WIP(재공품)'!B288,'JUNE (물량흐름)'!$O$13:$O$502),0)</f>
        <v>0</v>
      </c>
      <c r="AA288" s="112">
        <f>ROUND(SUMIF('JUNE (물량흐름)'!$C$13:$C$502,'WIP(재공품)'!B288,'JUNE (물량흐름)'!$P$13:$P$502),0)</f>
        <v>340</v>
      </c>
      <c r="AB288" s="112">
        <f t="shared" ca="1" si="43"/>
        <v>340</v>
      </c>
      <c r="AC288" s="112">
        <f t="shared" si="44"/>
        <v>8105275</v>
      </c>
      <c r="AD288" s="381">
        <f t="shared" ca="1" si="45"/>
        <v>0</v>
      </c>
      <c r="AE288" s="381">
        <f t="shared" si="46"/>
        <v>0</v>
      </c>
      <c r="AF288" s="382"/>
      <c r="AG288" s="382">
        <v>1.8</v>
      </c>
      <c r="AH288" s="383">
        <f t="shared" si="47"/>
        <v>-1.4500000000000002</v>
      </c>
      <c r="AJ288" s="383"/>
      <c r="AL288" s="385"/>
      <c r="AM288" s="381"/>
      <c r="AN288" s="382"/>
      <c r="AO288" s="382"/>
      <c r="AP288" s="383"/>
      <c r="AQ288" s="383"/>
    </row>
    <row r="289" spans="1:43" s="384" customFormat="1" ht="27" customHeight="1">
      <c r="A289" s="167">
        <v>283</v>
      </c>
      <c r="B289" s="240">
        <f>VLOOKUP(A289,'JUNE (물량흐름)'!$A$13:$C$502,3,0)</f>
        <v>100014860</v>
      </c>
      <c r="C289" s="21" t="str">
        <f>VLOOKUP(A289,'JUNE (물량흐름)'!$A$13:$C$502,2,0)</f>
        <v>ALFANI</v>
      </c>
      <c r="D289" s="212">
        <v>3.2</v>
      </c>
      <c r="E289" s="6">
        <f>VLOOKUP(B289,'Sales profit (스타일 별 매출이익)'!$D$9:$P$491,13,0)</f>
        <v>72560</v>
      </c>
      <c r="F289" s="112">
        <f>IFERROR(VLOOKUP(B289,O.B.JUNE!$N$7:$Q$448,2,0),0)</f>
        <v>0</v>
      </c>
      <c r="G289" s="112">
        <f>IFERROR(VLOOKUP(B289,O.B.JUNE!$N$7:$Q$448,3,0),0)</f>
        <v>0</v>
      </c>
      <c r="H289" s="112">
        <f>IFERROR(VLOOKUP(B289,O.B.JUNE!$N$7:$Q$448,4,0),0)</f>
        <v>21</v>
      </c>
      <c r="I289" s="112">
        <f t="shared" si="39"/>
        <v>21</v>
      </c>
      <c r="J289" s="112">
        <f>IFERROR(VLOOKUP(B289,O.B.JUNE!$AA$7:$AG$448,7,0),0)</f>
        <v>212355</v>
      </c>
      <c r="K289" s="112">
        <f>IFERROR(VLOOKUP(B289,O.B.JUNE!$AI$7:$AO$448,7,0),0)</f>
        <v>313034</v>
      </c>
      <c r="L289" s="112">
        <f t="shared" si="40"/>
        <v>525389</v>
      </c>
      <c r="M289" s="112">
        <f>ROUND(SUMIF('JUNE (물량흐름)'!$C$13:$C$502,'WIP(재공품)'!B289,'JUNE (물량흐름)'!$H$13:$H$502)+SUMIF('JUNE (물량흐름)'!$C$13:$C$502,'WIP(재공품)'!B289,'JUNE (물량흐름)'!$V$13:$V$502),0)</f>
        <v>0</v>
      </c>
      <c r="N289" s="112">
        <f>SUMIF('Direct labour(직접노무비)'!$C$12:$C$503,'WIP(재공품)'!B289,'Direct labour(직접노무비)'!$O$12:$O$503)</f>
        <v>0</v>
      </c>
      <c r="O289" s="112">
        <f>SUMIF('Overhead exp(제조경비)'!$C$12:$C$503,'WIP(재공품)'!B289,'Overhead exp(제조경비)'!$O$12:$O$503)</f>
        <v>0</v>
      </c>
      <c r="P289" s="112">
        <f t="shared" si="41"/>
        <v>0</v>
      </c>
      <c r="Q289" s="112">
        <v>0</v>
      </c>
      <c r="R289" s="112">
        <v>0</v>
      </c>
      <c r="S289" s="112">
        <f>SUMIF('JUNE (물량흐름)'!$C$13:$C$493,'WIP(재공품)'!B289,'JUNE (물량흐름)'!$T$13:$T$493)+SUMIF('JUNE (물량흐름)'!$C$13:$C$493,'WIP(재공품)'!B289,'JUNE (물량흐름)'!$U$13:$U$493)+SUMIF('JUNE (물량흐름)'!$C$13:$C$493,'WIP(재공품)'!B289,'JUNE (물량흐름)'!$V$13:$V$493)-SUMIF('JUNE (물량흐름)'!$C$13:$C$493,'WIP(재공품)'!B289,'JUNE (물량흐름)'!$Y$13:$Y$493)</f>
        <v>0</v>
      </c>
      <c r="T289" s="112">
        <f>SUMIF('JUNE (물량흐름)'!$C$13:$C$502,'WIP(재공품)'!B289,'JUNE (물량흐름)'!$Y$13:$Y$502)</f>
        <v>0</v>
      </c>
      <c r="U289" s="167">
        <f>SUMIF('Direct labour(직접노무비)'!$C$12:$C$503,'WIP(재공품)'!B289,'Direct labour(직접노무비)'!$U$12:$U$503)+SUMIF('Overhead exp(제조경비)'!$C$12:$C$503,'WIP(재공품)'!B289,'Overhead exp(제조경비)'!$U$12:$U$503)</f>
        <v>0</v>
      </c>
      <c r="V289" s="112">
        <f>SUMIF('Direct labour(직접노무비)'!$C$12:$C$503,'WIP(재공품)'!B289,'Direct labour(직접노무비)'!$Q$12:$Q$503)</f>
        <v>0</v>
      </c>
      <c r="W289" s="112">
        <f>SUMIF('Overhead exp(제조경비)'!$C$12:$C$503,'WIP(재공품)'!B289,'Overhead exp(제조경비)'!$Q$12:$Q$503)</f>
        <v>0</v>
      </c>
      <c r="X289" s="112">
        <f t="shared" si="42"/>
        <v>0</v>
      </c>
      <c r="Y289" s="112">
        <f ca="1">ROUND(SUMIF('JUNE (물량흐름)'!$C$13:$C$502,'WIP(재공품)'!B289,'JUNE (물량흐름)'!$N$13:$N$488),0)</f>
        <v>0</v>
      </c>
      <c r="Z289" s="112">
        <f>ROUND(SUMIF('JUNE (물량흐름)'!$C$13:$C$502,'WIP(재공품)'!B289,'JUNE (물량흐름)'!$O$13:$O$502),0)</f>
        <v>0</v>
      </c>
      <c r="AA289" s="112">
        <f>ROUND(SUMIF('JUNE (물량흐름)'!$C$13:$C$502,'WIP(재공품)'!B289,'JUNE (물량흐름)'!$P$13:$P$502),0)</f>
        <v>21</v>
      </c>
      <c r="AB289" s="112">
        <f t="shared" ca="1" si="43"/>
        <v>21</v>
      </c>
      <c r="AC289" s="112">
        <f t="shared" si="44"/>
        <v>525389</v>
      </c>
      <c r="AD289" s="381">
        <f t="shared" ca="1" si="45"/>
        <v>0</v>
      </c>
      <c r="AE289" s="381">
        <f t="shared" si="46"/>
        <v>0</v>
      </c>
      <c r="AF289" s="382"/>
      <c r="AG289" s="382">
        <v>1.02</v>
      </c>
      <c r="AH289" s="383">
        <f t="shared" si="47"/>
        <v>2.1800000000000002</v>
      </c>
      <c r="AJ289" s="383"/>
      <c r="AL289" s="385"/>
      <c r="AM289" s="381"/>
      <c r="AN289" s="382"/>
      <c r="AO289" s="382"/>
      <c r="AP289" s="383"/>
      <c r="AQ289" s="383"/>
    </row>
    <row r="290" spans="1:43" s="384" customFormat="1" ht="27" customHeight="1">
      <c r="A290" s="167">
        <v>284</v>
      </c>
      <c r="B290" s="240">
        <f>VLOOKUP(A290,'JUNE (물량흐름)'!$A$13:$C$502,3,0)</f>
        <v>100014861</v>
      </c>
      <c r="C290" s="21" t="str">
        <f>VLOOKUP(A290,'JUNE (물량흐름)'!$A$13:$C$502,2,0)</f>
        <v>ALFANI</v>
      </c>
      <c r="D290" s="212">
        <v>0.35</v>
      </c>
      <c r="E290" s="6">
        <f>VLOOKUP(B290,'Sales profit (스타일 별 매출이익)'!$D$9:$P$491,13,0)</f>
        <v>7936.2499999999991</v>
      </c>
      <c r="F290" s="112">
        <f>IFERROR(VLOOKUP(B290,O.B.JUNE!$N$7:$Q$448,2,0),0)</f>
        <v>0</v>
      </c>
      <c r="G290" s="112">
        <f>IFERROR(VLOOKUP(B290,O.B.JUNE!$N$7:$Q$448,3,0),0)</f>
        <v>0</v>
      </c>
      <c r="H290" s="112">
        <f>IFERROR(VLOOKUP(B290,O.B.JUNE!$N$7:$Q$448,4,0),0)</f>
        <v>6</v>
      </c>
      <c r="I290" s="112">
        <f t="shared" si="39"/>
        <v>6</v>
      </c>
      <c r="J290" s="112">
        <f>IFERROR(VLOOKUP(B290,O.B.JUNE!$AA$7:$AG$448,7,0),0)</f>
        <v>75471</v>
      </c>
      <c r="K290" s="112">
        <f>IFERROR(VLOOKUP(B290,O.B.JUNE!$AI$7:$AO$448,7,0),0)</f>
        <v>111252</v>
      </c>
      <c r="L290" s="112">
        <f t="shared" si="40"/>
        <v>186723</v>
      </c>
      <c r="M290" s="112">
        <f>ROUND(SUMIF('JUNE (물량흐름)'!$C$13:$C$502,'WIP(재공품)'!B290,'JUNE (물량흐름)'!$H$13:$H$502)+SUMIF('JUNE (물량흐름)'!$C$13:$C$502,'WIP(재공품)'!B290,'JUNE (물량흐름)'!$V$13:$V$502),0)</f>
        <v>0</v>
      </c>
      <c r="N290" s="112">
        <f>SUMIF('Direct labour(직접노무비)'!$C$12:$C$503,'WIP(재공품)'!B290,'Direct labour(직접노무비)'!$O$12:$O$503)</f>
        <v>0</v>
      </c>
      <c r="O290" s="112">
        <f>SUMIF('Overhead exp(제조경비)'!$C$12:$C$503,'WIP(재공품)'!B290,'Overhead exp(제조경비)'!$O$12:$O$503)</f>
        <v>0</v>
      </c>
      <c r="P290" s="112">
        <f t="shared" si="41"/>
        <v>0</v>
      </c>
      <c r="Q290" s="112">
        <v>0</v>
      </c>
      <c r="R290" s="112">
        <v>0</v>
      </c>
      <c r="S290" s="112">
        <f>SUMIF('JUNE (물량흐름)'!$C$13:$C$493,'WIP(재공품)'!B290,'JUNE (물량흐름)'!$T$13:$T$493)+SUMIF('JUNE (물량흐름)'!$C$13:$C$493,'WIP(재공품)'!B290,'JUNE (물량흐름)'!$U$13:$U$493)+SUMIF('JUNE (물량흐름)'!$C$13:$C$493,'WIP(재공품)'!B290,'JUNE (물량흐름)'!$V$13:$V$493)-SUMIF('JUNE (물량흐름)'!$C$13:$C$493,'WIP(재공품)'!B290,'JUNE (물량흐름)'!$Y$13:$Y$493)</f>
        <v>0</v>
      </c>
      <c r="T290" s="112">
        <f>SUMIF('JUNE (물량흐름)'!$C$13:$C$502,'WIP(재공품)'!B290,'JUNE (물량흐름)'!$Y$13:$Y$502)</f>
        <v>0</v>
      </c>
      <c r="U290" s="167">
        <f>SUMIF('Direct labour(직접노무비)'!$C$12:$C$503,'WIP(재공품)'!B290,'Direct labour(직접노무비)'!$U$12:$U$503)+SUMIF('Overhead exp(제조경비)'!$C$12:$C$503,'WIP(재공품)'!B290,'Overhead exp(제조경비)'!$U$12:$U$503)</f>
        <v>0</v>
      </c>
      <c r="V290" s="112">
        <f>SUMIF('Direct labour(직접노무비)'!$C$12:$C$503,'WIP(재공품)'!B290,'Direct labour(직접노무비)'!$Q$12:$Q$503)</f>
        <v>0</v>
      </c>
      <c r="W290" s="112">
        <f>SUMIF('Overhead exp(제조경비)'!$C$12:$C$503,'WIP(재공품)'!B290,'Overhead exp(제조경비)'!$Q$12:$Q$503)</f>
        <v>0</v>
      </c>
      <c r="X290" s="112">
        <f t="shared" si="42"/>
        <v>0</v>
      </c>
      <c r="Y290" s="112">
        <f ca="1">ROUND(SUMIF('JUNE (물량흐름)'!$C$13:$C$502,'WIP(재공품)'!B290,'JUNE (물량흐름)'!$N$13:$N$488),0)</f>
        <v>0</v>
      </c>
      <c r="Z290" s="112">
        <f>ROUND(SUMIF('JUNE (물량흐름)'!$C$13:$C$502,'WIP(재공품)'!B290,'JUNE (물량흐름)'!$O$13:$O$502),0)</f>
        <v>0</v>
      </c>
      <c r="AA290" s="112">
        <f>ROUND(SUMIF('JUNE (물량흐름)'!$C$13:$C$502,'WIP(재공품)'!B290,'JUNE (물량흐름)'!$P$13:$P$502),0)</f>
        <v>6</v>
      </c>
      <c r="AB290" s="112">
        <f t="shared" ca="1" si="43"/>
        <v>6</v>
      </c>
      <c r="AC290" s="112">
        <f t="shared" si="44"/>
        <v>186723</v>
      </c>
      <c r="AD290" s="381">
        <f t="shared" ca="1" si="45"/>
        <v>0</v>
      </c>
      <c r="AE290" s="381">
        <f t="shared" si="46"/>
        <v>0</v>
      </c>
      <c r="AF290" s="382"/>
      <c r="AG290" s="382">
        <v>2.2999999999999998</v>
      </c>
      <c r="AH290" s="383">
        <f t="shared" si="47"/>
        <v>-1.9499999999999997</v>
      </c>
      <c r="AJ290" s="383"/>
      <c r="AL290" s="385"/>
      <c r="AM290" s="381"/>
      <c r="AN290" s="382"/>
      <c r="AO290" s="382"/>
      <c r="AP290" s="383"/>
      <c r="AQ290" s="383"/>
    </row>
    <row r="291" spans="1:43" s="384" customFormat="1" ht="27" customHeight="1">
      <c r="A291" s="167">
        <v>285</v>
      </c>
      <c r="B291" s="240">
        <f>VLOOKUP(A291,'JUNE (물량흐름)'!$A$13:$C$502,3,0)</f>
        <v>100014862</v>
      </c>
      <c r="C291" s="21" t="str">
        <f>VLOOKUP(A291,'JUNE (물량흐름)'!$A$13:$C$502,2,0)</f>
        <v>ALFANI</v>
      </c>
      <c r="D291" s="212">
        <v>0.35</v>
      </c>
      <c r="E291" s="6">
        <f>VLOOKUP(B291,'Sales profit (스타일 별 매출이익)'!$D$9:$P$491,13,0)</f>
        <v>7936.2499999999991</v>
      </c>
      <c r="F291" s="112">
        <f>IFERROR(VLOOKUP(B291,O.B.JUNE!$N$7:$Q$448,2,0),0)</f>
        <v>0</v>
      </c>
      <c r="G291" s="112">
        <f>IFERROR(VLOOKUP(B291,O.B.JUNE!$N$7:$Q$448,3,0),0)</f>
        <v>0</v>
      </c>
      <c r="H291" s="112">
        <f>IFERROR(VLOOKUP(B291,O.B.JUNE!$N$7:$Q$448,4,0),0)</f>
        <v>54</v>
      </c>
      <c r="I291" s="112">
        <f t="shared" si="39"/>
        <v>54</v>
      </c>
      <c r="J291" s="112">
        <f>IFERROR(VLOOKUP(B291,O.B.JUNE!$AA$7:$AG$448,7,0),0)</f>
        <v>338896</v>
      </c>
      <c r="K291" s="112">
        <f>IFERROR(VLOOKUP(B291,O.B.JUNE!$AI$7:$AO$448,7,0),0)</f>
        <v>524439</v>
      </c>
      <c r="L291" s="112">
        <f t="shared" si="40"/>
        <v>863335</v>
      </c>
      <c r="M291" s="112">
        <f>ROUND(SUMIF('JUNE (물량흐름)'!$C$13:$C$502,'WIP(재공품)'!B291,'JUNE (물량흐름)'!$H$13:$H$502)+SUMIF('JUNE (물량흐름)'!$C$13:$C$502,'WIP(재공품)'!B291,'JUNE (물량흐름)'!$V$13:$V$502),0)</f>
        <v>0</v>
      </c>
      <c r="N291" s="112">
        <f>SUMIF('Direct labour(직접노무비)'!$C$12:$C$503,'WIP(재공품)'!B291,'Direct labour(직접노무비)'!$O$12:$O$503)</f>
        <v>0</v>
      </c>
      <c r="O291" s="112">
        <f>SUMIF('Overhead exp(제조경비)'!$C$12:$C$503,'WIP(재공품)'!B291,'Overhead exp(제조경비)'!$O$12:$O$503)</f>
        <v>0</v>
      </c>
      <c r="P291" s="112">
        <f t="shared" si="41"/>
        <v>0</v>
      </c>
      <c r="Q291" s="112">
        <v>0</v>
      </c>
      <c r="R291" s="112">
        <v>0</v>
      </c>
      <c r="S291" s="112">
        <f>SUMIF('JUNE (물량흐름)'!$C$13:$C$493,'WIP(재공품)'!B291,'JUNE (물량흐름)'!$T$13:$T$493)+SUMIF('JUNE (물량흐름)'!$C$13:$C$493,'WIP(재공품)'!B291,'JUNE (물량흐름)'!$U$13:$U$493)+SUMIF('JUNE (물량흐름)'!$C$13:$C$493,'WIP(재공품)'!B291,'JUNE (물량흐름)'!$V$13:$V$493)-SUMIF('JUNE (물량흐름)'!$C$13:$C$493,'WIP(재공품)'!B291,'JUNE (물량흐름)'!$Y$13:$Y$493)</f>
        <v>0</v>
      </c>
      <c r="T291" s="112">
        <f>SUMIF('JUNE (물량흐름)'!$C$13:$C$502,'WIP(재공품)'!B291,'JUNE (물량흐름)'!$Y$13:$Y$502)</f>
        <v>0</v>
      </c>
      <c r="U291" s="167">
        <f>SUMIF('Direct labour(직접노무비)'!$C$12:$C$503,'WIP(재공품)'!B291,'Direct labour(직접노무비)'!$U$12:$U$503)+SUMIF('Overhead exp(제조경비)'!$C$12:$C$503,'WIP(재공품)'!B291,'Overhead exp(제조경비)'!$U$12:$U$503)</f>
        <v>0</v>
      </c>
      <c r="V291" s="112">
        <f>SUMIF('Direct labour(직접노무비)'!$C$12:$C$503,'WIP(재공품)'!B291,'Direct labour(직접노무비)'!$Q$12:$Q$503)</f>
        <v>0</v>
      </c>
      <c r="W291" s="112">
        <f>SUMIF('Overhead exp(제조경비)'!$C$12:$C$503,'WIP(재공품)'!B291,'Overhead exp(제조경비)'!$Q$12:$Q$503)</f>
        <v>0</v>
      </c>
      <c r="X291" s="112">
        <f t="shared" si="42"/>
        <v>0</v>
      </c>
      <c r="Y291" s="112">
        <f ca="1">ROUND(SUMIF('JUNE (물량흐름)'!$C$13:$C$502,'WIP(재공품)'!B291,'JUNE (물량흐름)'!$N$13:$N$488),0)</f>
        <v>0</v>
      </c>
      <c r="Z291" s="112">
        <f>ROUND(SUMIF('JUNE (물량흐름)'!$C$13:$C$502,'WIP(재공품)'!B291,'JUNE (물량흐름)'!$O$13:$O$502),0)</f>
        <v>0</v>
      </c>
      <c r="AA291" s="112">
        <f>ROUND(SUMIF('JUNE (물량흐름)'!$C$13:$C$502,'WIP(재공품)'!B291,'JUNE (물량흐름)'!$P$13:$P$502),0)</f>
        <v>54</v>
      </c>
      <c r="AB291" s="112">
        <f t="shared" ca="1" si="43"/>
        <v>54</v>
      </c>
      <c r="AC291" s="112">
        <f t="shared" si="44"/>
        <v>863335</v>
      </c>
      <c r="AD291" s="381">
        <f t="shared" ca="1" si="45"/>
        <v>0</v>
      </c>
      <c r="AE291" s="381">
        <f t="shared" si="46"/>
        <v>0</v>
      </c>
      <c r="AF291" s="382"/>
      <c r="AG291" s="382">
        <v>2.3000000000000003</v>
      </c>
      <c r="AH291" s="383">
        <f t="shared" si="47"/>
        <v>-1.9500000000000002</v>
      </c>
      <c r="AJ291" s="383"/>
      <c r="AL291" s="385"/>
      <c r="AM291" s="381"/>
      <c r="AN291" s="382"/>
      <c r="AO291" s="382"/>
      <c r="AP291" s="383"/>
      <c r="AQ291" s="383"/>
    </row>
    <row r="292" spans="1:43" s="384" customFormat="1" ht="27" customHeight="1">
      <c r="A292" s="167">
        <v>286</v>
      </c>
      <c r="B292" s="240">
        <f>VLOOKUP(A292,'JUNE (물량흐름)'!$A$13:$C$502,3,0)</f>
        <v>100014863</v>
      </c>
      <c r="C292" s="21" t="str">
        <f>VLOOKUP(A292,'JUNE (물량흐름)'!$A$13:$C$502,2,0)</f>
        <v>ALFANI</v>
      </c>
      <c r="D292" s="212">
        <v>0.35</v>
      </c>
      <c r="E292" s="6">
        <f>VLOOKUP(B292,'Sales profit (스타일 별 매출이익)'!$D$9:$P$491,13,0)</f>
        <v>7936.2499999999991</v>
      </c>
      <c r="F292" s="112">
        <f>IFERROR(VLOOKUP(B292,O.B.JUNE!$N$7:$Q$448,2,0),0)</f>
        <v>0</v>
      </c>
      <c r="G292" s="112">
        <f>IFERROR(VLOOKUP(B292,O.B.JUNE!$N$7:$Q$448,3,0),0)</f>
        <v>360</v>
      </c>
      <c r="H292" s="112">
        <f>IFERROR(VLOOKUP(B292,O.B.JUNE!$N$7:$Q$448,4,0),0)</f>
        <v>1296</v>
      </c>
      <c r="I292" s="112">
        <f t="shared" si="39"/>
        <v>1656</v>
      </c>
      <c r="J292" s="112">
        <f>IFERROR(VLOOKUP(B292,O.B.JUNE!$AA$7:$AG$448,7,0),0)</f>
        <v>11780529</v>
      </c>
      <c r="K292" s="112">
        <f>IFERROR(VLOOKUP(B292,O.B.JUNE!$AI$7:$AO$448,7,0),0)</f>
        <v>21723686</v>
      </c>
      <c r="L292" s="112">
        <f t="shared" si="40"/>
        <v>33504215</v>
      </c>
      <c r="M292" s="112">
        <f>ROUND(SUMIF('JUNE (물량흐름)'!$C$13:$C$502,'WIP(재공품)'!B292,'JUNE (물량흐름)'!$H$13:$H$502)+SUMIF('JUNE (물량흐름)'!$C$13:$C$502,'WIP(재공품)'!B292,'JUNE (물량흐름)'!$V$13:$V$502),0)</f>
        <v>0</v>
      </c>
      <c r="N292" s="112">
        <f>SUMIF('Direct labour(직접노무비)'!$C$12:$C$503,'WIP(재공품)'!B292,'Direct labour(직접노무비)'!$O$12:$O$503)</f>
        <v>0</v>
      </c>
      <c r="O292" s="112">
        <f>SUMIF('Overhead exp(제조경비)'!$C$12:$C$503,'WIP(재공품)'!B292,'Overhead exp(제조경비)'!$O$12:$O$503)</f>
        <v>0</v>
      </c>
      <c r="P292" s="112">
        <f t="shared" si="41"/>
        <v>0</v>
      </c>
      <c r="Q292" s="112">
        <v>0</v>
      </c>
      <c r="R292" s="112">
        <v>0</v>
      </c>
      <c r="S292" s="112">
        <f>SUMIF('JUNE (물량흐름)'!$C$13:$C$493,'WIP(재공품)'!B292,'JUNE (물량흐름)'!$T$13:$T$493)+SUMIF('JUNE (물량흐름)'!$C$13:$C$493,'WIP(재공품)'!B292,'JUNE (물량흐름)'!$U$13:$U$493)+SUMIF('JUNE (물량흐름)'!$C$13:$C$493,'WIP(재공품)'!B292,'JUNE (물량흐름)'!$V$13:$V$493)-SUMIF('JUNE (물량흐름)'!$C$13:$C$493,'WIP(재공품)'!B292,'JUNE (물량흐름)'!$Y$13:$Y$493)</f>
        <v>0</v>
      </c>
      <c r="T292" s="112">
        <f>SUMIF('JUNE (물량흐름)'!$C$13:$C$502,'WIP(재공품)'!B292,'JUNE (물량흐름)'!$Y$13:$Y$502)</f>
        <v>0</v>
      </c>
      <c r="U292" s="167">
        <f>SUMIF('Direct labour(직접노무비)'!$C$12:$C$503,'WIP(재공품)'!B292,'Direct labour(직접노무비)'!$U$12:$U$503)+SUMIF('Overhead exp(제조경비)'!$C$12:$C$503,'WIP(재공품)'!B292,'Overhead exp(제조경비)'!$U$12:$U$503)</f>
        <v>0</v>
      </c>
      <c r="V292" s="112">
        <f>SUMIF('Direct labour(직접노무비)'!$C$12:$C$503,'WIP(재공품)'!B292,'Direct labour(직접노무비)'!$Q$12:$Q$503)</f>
        <v>0</v>
      </c>
      <c r="W292" s="112">
        <f>SUMIF('Overhead exp(제조경비)'!$C$12:$C$503,'WIP(재공품)'!B292,'Overhead exp(제조경비)'!$Q$12:$Q$503)</f>
        <v>0</v>
      </c>
      <c r="X292" s="112">
        <f t="shared" si="42"/>
        <v>0</v>
      </c>
      <c r="Y292" s="112">
        <f ca="1">ROUND(SUMIF('JUNE (물량흐름)'!$C$13:$C$502,'WIP(재공품)'!B292,'JUNE (물량흐름)'!$N$13:$N$488),0)</f>
        <v>0</v>
      </c>
      <c r="Z292" s="112">
        <f>ROUND(SUMIF('JUNE (물량흐름)'!$C$13:$C$502,'WIP(재공품)'!B292,'JUNE (물량흐름)'!$O$13:$O$502),0)</f>
        <v>360</v>
      </c>
      <c r="AA292" s="112">
        <f>ROUND(SUMIF('JUNE (물량흐름)'!$C$13:$C$502,'WIP(재공품)'!B292,'JUNE (물량흐름)'!$P$13:$P$502),0)</f>
        <v>1296</v>
      </c>
      <c r="AB292" s="112">
        <f t="shared" ca="1" si="43"/>
        <v>1656</v>
      </c>
      <c r="AC292" s="112">
        <f t="shared" si="44"/>
        <v>33504215</v>
      </c>
      <c r="AD292" s="381">
        <f t="shared" ca="1" si="45"/>
        <v>0</v>
      </c>
      <c r="AE292" s="381">
        <f t="shared" si="46"/>
        <v>0</v>
      </c>
      <c r="AF292" s="382"/>
      <c r="AG292" s="382">
        <v>0</v>
      </c>
      <c r="AH292" s="383">
        <f t="shared" si="47"/>
        <v>0.35</v>
      </c>
      <c r="AJ292" s="383"/>
      <c r="AL292" s="385"/>
      <c r="AM292" s="381"/>
      <c r="AN292" s="382"/>
      <c r="AO292" s="382"/>
      <c r="AP292" s="383"/>
      <c r="AQ292" s="383"/>
    </row>
    <row r="293" spans="1:43" s="384" customFormat="1" ht="27" customHeight="1">
      <c r="A293" s="167">
        <v>287</v>
      </c>
      <c r="B293" s="240">
        <f>VLOOKUP(A293,'JUNE (물량흐름)'!$A$13:$C$502,3,0)</f>
        <v>100014864</v>
      </c>
      <c r="C293" s="21" t="str">
        <f>VLOOKUP(A293,'JUNE (물량흐름)'!$A$13:$C$502,2,0)</f>
        <v>ALFANI</v>
      </c>
      <c r="D293" s="212">
        <v>0.36</v>
      </c>
      <c r="E293" s="6">
        <f>VLOOKUP(B293,'Sales profit (스타일 별 매출이익)'!$D$9:$P$491,13,0)</f>
        <v>8163</v>
      </c>
      <c r="F293" s="112">
        <f>IFERROR(VLOOKUP(B293,O.B.JUNE!$N$7:$Q$448,2,0),0)</f>
        <v>0</v>
      </c>
      <c r="G293" s="112">
        <f>IFERROR(VLOOKUP(B293,O.B.JUNE!$N$7:$Q$448,3,0),0)</f>
        <v>0</v>
      </c>
      <c r="H293" s="112">
        <f>IFERROR(VLOOKUP(B293,O.B.JUNE!$N$7:$Q$448,4,0),0)</f>
        <v>44</v>
      </c>
      <c r="I293" s="112">
        <f t="shared" si="39"/>
        <v>44</v>
      </c>
      <c r="J293" s="112">
        <f>IFERROR(VLOOKUP(B293,O.B.JUNE!$AA$7:$AG$448,7,0),0)</f>
        <v>312473</v>
      </c>
      <c r="K293" s="112">
        <f>IFERROR(VLOOKUP(B293,O.B.JUNE!$AI$7:$AO$448,7,0),0)</f>
        <v>460619</v>
      </c>
      <c r="L293" s="112">
        <f t="shared" si="40"/>
        <v>773092</v>
      </c>
      <c r="M293" s="112">
        <f>ROUND(SUMIF('JUNE (물량흐름)'!$C$13:$C$502,'WIP(재공품)'!B293,'JUNE (물량흐름)'!$H$13:$H$502)+SUMIF('JUNE (물량흐름)'!$C$13:$C$502,'WIP(재공품)'!B293,'JUNE (물량흐름)'!$V$13:$V$502),0)</f>
        <v>0</v>
      </c>
      <c r="N293" s="112">
        <f>SUMIF('Direct labour(직접노무비)'!$C$12:$C$503,'WIP(재공품)'!B293,'Direct labour(직접노무비)'!$O$12:$O$503)</f>
        <v>0</v>
      </c>
      <c r="O293" s="112">
        <f>SUMIF('Overhead exp(제조경비)'!$C$12:$C$503,'WIP(재공품)'!B293,'Overhead exp(제조경비)'!$O$12:$O$503)</f>
        <v>0</v>
      </c>
      <c r="P293" s="112">
        <f t="shared" si="41"/>
        <v>0</v>
      </c>
      <c r="Q293" s="112">
        <v>0</v>
      </c>
      <c r="R293" s="112">
        <v>0</v>
      </c>
      <c r="S293" s="112">
        <f>SUMIF('JUNE (물량흐름)'!$C$13:$C$493,'WIP(재공품)'!B293,'JUNE (물량흐름)'!$T$13:$T$493)+SUMIF('JUNE (물량흐름)'!$C$13:$C$493,'WIP(재공품)'!B293,'JUNE (물량흐름)'!$U$13:$U$493)+SUMIF('JUNE (물량흐름)'!$C$13:$C$493,'WIP(재공품)'!B293,'JUNE (물량흐름)'!$V$13:$V$493)-SUMIF('JUNE (물량흐름)'!$C$13:$C$493,'WIP(재공품)'!B293,'JUNE (물량흐름)'!$Y$13:$Y$493)</f>
        <v>0</v>
      </c>
      <c r="T293" s="112">
        <f>SUMIF('JUNE (물량흐름)'!$C$13:$C$502,'WIP(재공품)'!B293,'JUNE (물량흐름)'!$Y$13:$Y$502)</f>
        <v>0</v>
      </c>
      <c r="U293" s="167">
        <f>SUMIF('Direct labour(직접노무비)'!$C$12:$C$503,'WIP(재공품)'!B293,'Direct labour(직접노무비)'!$U$12:$U$503)+SUMIF('Overhead exp(제조경비)'!$C$12:$C$503,'WIP(재공품)'!B293,'Overhead exp(제조경비)'!$U$12:$U$503)</f>
        <v>0</v>
      </c>
      <c r="V293" s="112">
        <f>SUMIF('Direct labour(직접노무비)'!$C$12:$C$503,'WIP(재공품)'!B293,'Direct labour(직접노무비)'!$Q$12:$Q$503)</f>
        <v>0</v>
      </c>
      <c r="W293" s="112">
        <f>SUMIF('Overhead exp(제조경비)'!$C$12:$C$503,'WIP(재공품)'!B293,'Overhead exp(제조경비)'!$Q$12:$Q$503)</f>
        <v>0</v>
      </c>
      <c r="X293" s="112">
        <f t="shared" si="42"/>
        <v>0</v>
      </c>
      <c r="Y293" s="112">
        <f ca="1">ROUND(SUMIF('JUNE (물량흐름)'!$C$13:$C$502,'WIP(재공품)'!B293,'JUNE (물량흐름)'!$N$13:$N$488),0)</f>
        <v>0</v>
      </c>
      <c r="Z293" s="112">
        <f>ROUND(SUMIF('JUNE (물량흐름)'!$C$13:$C$502,'WIP(재공품)'!B293,'JUNE (물량흐름)'!$O$13:$O$502),0)</f>
        <v>0</v>
      </c>
      <c r="AA293" s="112">
        <f>ROUND(SUMIF('JUNE (물량흐름)'!$C$13:$C$502,'WIP(재공품)'!B293,'JUNE (물량흐름)'!$P$13:$P$502),0)</f>
        <v>44</v>
      </c>
      <c r="AB293" s="112">
        <f t="shared" ca="1" si="43"/>
        <v>44</v>
      </c>
      <c r="AC293" s="112">
        <f t="shared" si="44"/>
        <v>773092</v>
      </c>
      <c r="AD293" s="381">
        <f t="shared" ca="1" si="45"/>
        <v>0</v>
      </c>
      <c r="AE293" s="381">
        <f t="shared" si="46"/>
        <v>0</v>
      </c>
      <c r="AF293" s="382"/>
      <c r="AG293" s="382">
        <v>0</v>
      </c>
      <c r="AH293" s="383">
        <f t="shared" si="47"/>
        <v>0.36</v>
      </c>
      <c r="AJ293" s="383"/>
      <c r="AL293" s="385"/>
      <c r="AM293" s="381"/>
      <c r="AN293" s="382"/>
      <c r="AO293" s="382"/>
      <c r="AP293" s="383"/>
      <c r="AQ293" s="383"/>
    </row>
    <row r="294" spans="1:43" s="384" customFormat="1" ht="27" customHeight="1">
      <c r="A294" s="167">
        <v>288</v>
      </c>
      <c r="B294" s="240">
        <f>VLOOKUP(A294,'JUNE (물량흐름)'!$A$13:$C$502,3,0)</f>
        <v>100014869</v>
      </c>
      <c r="C294" s="21" t="str">
        <f>VLOOKUP(A294,'JUNE (물량흐름)'!$A$13:$C$502,2,0)</f>
        <v>ALFANI</v>
      </c>
      <c r="D294" s="212">
        <v>0.35</v>
      </c>
      <c r="E294" s="6">
        <f>VLOOKUP(B294,'Sales profit (스타일 별 매출이익)'!$D$9:$P$491,13,0)</f>
        <v>7936.2499999999991</v>
      </c>
      <c r="F294" s="112">
        <f>IFERROR(VLOOKUP(B294,O.B.JUNE!$N$7:$Q$448,2,0),0)</f>
        <v>0</v>
      </c>
      <c r="G294" s="112">
        <f>IFERROR(VLOOKUP(B294,O.B.JUNE!$N$7:$Q$448,3,0),0)</f>
        <v>24</v>
      </c>
      <c r="H294" s="112">
        <f>IFERROR(VLOOKUP(B294,O.B.JUNE!$N$7:$Q$448,4,0),0)</f>
        <v>18</v>
      </c>
      <c r="I294" s="112">
        <f t="shared" si="39"/>
        <v>42</v>
      </c>
      <c r="J294" s="112">
        <f>IFERROR(VLOOKUP(B294,O.B.JUNE!$AA$7:$AG$448,7,0),0)</f>
        <v>460303</v>
      </c>
      <c r="K294" s="112">
        <f>IFERROR(VLOOKUP(B294,O.B.JUNE!$AI$7:$AO$448,7,0),0)</f>
        <v>678535</v>
      </c>
      <c r="L294" s="112">
        <f t="shared" si="40"/>
        <v>1138838</v>
      </c>
      <c r="M294" s="112">
        <f>ROUND(SUMIF('JUNE (물량흐름)'!$C$13:$C$502,'WIP(재공품)'!B294,'JUNE (물량흐름)'!$H$13:$H$502)+SUMIF('JUNE (물량흐름)'!$C$13:$C$502,'WIP(재공품)'!B294,'JUNE (물량흐름)'!$V$13:$V$502),0)</f>
        <v>0</v>
      </c>
      <c r="N294" s="112">
        <f>SUMIF('Direct labour(직접노무비)'!$C$12:$C$503,'WIP(재공품)'!B294,'Direct labour(직접노무비)'!$O$12:$O$503)</f>
        <v>0</v>
      </c>
      <c r="O294" s="112">
        <f>SUMIF('Overhead exp(제조경비)'!$C$12:$C$503,'WIP(재공품)'!B294,'Overhead exp(제조경비)'!$O$12:$O$503)</f>
        <v>0</v>
      </c>
      <c r="P294" s="112">
        <f t="shared" si="41"/>
        <v>0</v>
      </c>
      <c r="Q294" s="112">
        <v>0</v>
      </c>
      <c r="R294" s="112">
        <v>0</v>
      </c>
      <c r="S294" s="112">
        <f>SUMIF('JUNE (물량흐름)'!$C$13:$C$493,'WIP(재공품)'!B294,'JUNE (물량흐름)'!$T$13:$T$493)+SUMIF('JUNE (물량흐름)'!$C$13:$C$493,'WIP(재공품)'!B294,'JUNE (물량흐름)'!$U$13:$U$493)+SUMIF('JUNE (물량흐름)'!$C$13:$C$493,'WIP(재공품)'!B294,'JUNE (물량흐름)'!$V$13:$V$493)-SUMIF('JUNE (물량흐름)'!$C$13:$C$493,'WIP(재공품)'!B294,'JUNE (물량흐름)'!$Y$13:$Y$493)</f>
        <v>0</v>
      </c>
      <c r="T294" s="112">
        <f>SUMIF('JUNE (물량흐름)'!$C$13:$C$502,'WIP(재공품)'!B294,'JUNE (물량흐름)'!$Y$13:$Y$502)</f>
        <v>0</v>
      </c>
      <c r="U294" s="167">
        <f>SUMIF('Direct labour(직접노무비)'!$C$12:$C$503,'WIP(재공품)'!B294,'Direct labour(직접노무비)'!$U$12:$U$503)+SUMIF('Overhead exp(제조경비)'!$C$12:$C$503,'WIP(재공품)'!B294,'Overhead exp(제조경비)'!$U$12:$U$503)</f>
        <v>0</v>
      </c>
      <c r="V294" s="112">
        <f>SUMIF('Direct labour(직접노무비)'!$C$12:$C$503,'WIP(재공품)'!B294,'Direct labour(직접노무비)'!$Q$12:$Q$503)</f>
        <v>0</v>
      </c>
      <c r="W294" s="112">
        <f>SUMIF('Overhead exp(제조경비)'!$C$12:$C$503,'WIP(재공품)'!B294,'Overhead exp(제조경비)'!$Q$12:$Q$503)</f>
        <v>0</v>
      </c>
      <c r="X294" s="112">
        <f t="shared" si="42"/>
        <v>0</v>
      </c>
      <c r="Y294" s="112">
        <f ca="1">ROUND(SUMIF('JUNE (물량흐름)'!$C$13:$C$502,'WIP(재공품)'!B294,'JUNE (물량흐름)'!$N$13:$N$488),0)</f>
        <v>0</v>
      </c>
      <c r="Z294" s="112">
        <f>ROUND(SUMIF('JUNE (물량흐름)'!$C$13:$C$502,'WIP(재공품)'!B294,'JUNE (물량흐름)'!$O$13:$O$502),0)</f>
        <v>24</v>
      </c>
      <c r="AA294" s="112">
        <f>ROUND(SUMIF('JUNE (물량흐름)'!$C$13:$C$502,'WIP(재공품)'!B294,'JUNE (물량흐름)'!$P$13:$P$502),0)</f>
        <v>18</v>
      </c>
      <c r="AB294" s="112">
        <f t="shared" ca="1" si="43"/>
        <v>42</v>
      </c>
      <c r="AC294" s="112">
        <f t="shared" si="44"/>
        <v>1138838</v>
      </c>
      <c r="AD294" s="381">
        <f t="shared" ca="1" si="45"/>
        <v>0</v>
      </c>
      <c r="AE294" s="381">
        <f t="shared" si="46"/>
        <v>0</v>
      </c>
      <c r="AF294" s="382"/>
      <c r="AG294" s="382">
        <v>1.5999999999999999</v>
      </c>
      <c r="AH294" s="383">
        <f t="shared" si="47"/>
        <v>-1.25</v>
      </c>
      <c r="AJ294" s="383"/>
      <c r="AL294" s="385"/>
      <c r="AM294" s="381"/>
      <c r="AN294" s="382"/>
      <c r="AO294" s="382"/>
      <c r="AP294" s="383"/>
      <c r="AQ294" s="383"/>
    </row>
    <row r="295" spans="1:43" s="384" customFormat="1" ht="27" customHeight="1">
      <c r="A295" s="167">
        <v>289</v>
      </c>
      <c r="B295" s="240">
        <f>VLOOKUP(A295,'JUNE (물량흐름)'!$A$13:$C$502,3,0)</f>
        <v>100015148</v>
      </c>
      <c r="C295" s="21" t="str">
        <f>VLOOKUP(A295,'JUNE (물량흐름)'!$A$13:$C$502,2,0)</f>
        <v>ALFANI</v>
      </c>
      <c r="D295" s="212">
        <v>0.35</v>
      </c>
      <c r="E295" s="6">
        <f>VLOOKUP(B295,'Sales profit (스타일 별 매출이익)'!$D$9:$P$491,13,0)</f>
        <v>7936.2499999999991</v>
      </c>
      <c r="F295" s="112">
        <f>IFERROR(VLOOKUP(B295,O.B.JUNE!$N$7:$Q$448,2,0),0)</f>
        <v>0</v>
      </c>
      <c r="G295" s="112">
        <f>IFERROR(VLOOKUP(B295,O.B.JUNE!$N$7:$Q$448,3,0),0)</f>
        <v>0</v>
      </c>
      <c r="H295" s="112">
        <f>IFERROR(VLOOKUP(B295,O.B.JUNE!$N$7:$Q$448,4,0),0)</f>
        <v>53</v>
      </c>
      <c r="I295" s="112">
        <f t="shared" si="39"/>
        <v>53</v>
      </c>
      <c r="J295" s="112">
        <f>IFERROR(VLOOKUP(B295,O.B.JUNE!$AA$7:$AG$448,7,0),0)</f>
        <v>655662</v>
      </c>
      <c r="K295" s="112">
        <f>IFERROR(VLOOKUP(B295,O.B.JUNE!$AI$7:$AO$448,7,0),0)</f>
        <v>966515</v>
      </c>
      <c r="L295" s="112">
        <f t="shared" si="40"/>
        <v>1622177</v>
      </c>
      <c r="M295" s="112">
        <f>ROUND(SUMIF('JUNE (물량흐름)'!$C$13:$C$502,'WIP(재공품)'!B295,'JUNE (물량흐름)'!$H$13:$H$502)+SUMIF('JUNE (물량흐름)'!$C$13:$C$502,'WIP(재공품)'!B295,'JUNE (물량흐름)'!$V$13:$V$502),0)</f>
        <v>0</v>
      </c>
      <c r="N295" s="112">
        <f>SUMIF('Direct labour(직접노무비)'!$C$12:$C$503,'WIP(재공품)'!B295,'Direct labour(직접노무비)'!$O$12:$O$503)</f>
        <v>0</v>
      </c>
      <c r="O295" s="112">
        <f>SUMIF('Overhead exp(제조경비)'!$C$12:$C$503,'WIP(재공품)'!B295,'Overhead exp(제조경비)'!$O$12:$O$503)</f>
        <v>0</v>
      </c>
      <c r="P295" s="112">
        <f t="shared" si="41"/>
        <v>0</v>
      </c>
      <c r="Q295" s="112">
        <v>0</v>
      </c>
      <c r="R295" s="112">
        <v>0</v>
      </c>
      <c r="S295" s="112">
        <f>SUMIF('JUNE (물량흐름)'!$C$13:$C$493,'WIP(재공품)'!B295,'JUNE (물량흐름)'!$T$13:$T$493)+SUMIF('JUNE (물량흐름)'!$C$13:$C$493,'WIP(재공품)'!B295,'JUNE (물량흐름)'!$U$13:$U$493)+SUMIF('JUNE (물량흐름)'!$C$13:$C$493,'WIP(재공품)'!B295,'JUNE (물량흐름)'!$V$13:$V$493)-SUMIF('JUNE (물량흐름)'!$C$13:$C$493,'WIP(재공품)'!B295,'JUNE (물량흐름)'!$Y$13:$Y$493)</f>
        <v>0</v>
      </c>
      <c r="T295" s="112">
        <f>SUMIF('JUNE (물량흐름)'!$C$13:$C$502,'WIP(재공품)'!B295,'JUNE (물량흐름)'!$Y$13:$Y$502)</f>
        <v>0</v>
      </c>
      <c r="U295" s="167">
        <f>SUMIF('Direct labour(직접노무비)'!$C$12:$C$503,'WIP(재공품)'!B295,'Direct labour(직접노무비)'!$U$12:$U$503)+SUMIF('Overhead exp(제조경비)'!$C$12:$C$503,'WIP(재공품)'!B295,'Overhead exp(제조경비)'!$U$12:$U$503)</f>
        <v>0</v>
      </c>
      <c r="V295" s="112">
        <f>SUMIF('Direct labour(직접노무비)'!$C$12:$C$503,'WIP(재공품)'!B295,'Direct labour(직접노무비)'!$Q$12:$Q$503)</f>
        <v>0</v>
      </c>
      <c r="W295" s="112">
        <f>SUMIF('Overhead exp(제조경비)'!$C$12:$C$503,'WIP(재공품)'!B295,'Overhead exp(제조경비)'!$Q$12:$Q$503)</f>
        <v>0</v>
      </c>
      <c r="X295" s="112">
        <f t="shared" si="42"/>
        <v>0</v>
      </c>
      <c r="Y295" s="112">
        <f ca="1">ROUND(SUMIF('JUNE (물량흐름)'!$C$13:$C$502,'WIP(재공품)'!B295,'JUNE (물량흐름)'!$N$13:$N$488),0)</f>
        <v>0</v>
      </c>
      <c r="Z295" s="112">
        <f>ROUND(SUMIF('JUNE (물량흐름)'!$C$13:$C$502,'WIP(재공품)'!B295,'JUNE (물량흐름)'!$O$13:$O$502),0)</f>
        <v>0</v>
      </c>
      <c r="AA295" s="112">
        <f>ROUND(SUMIF('JUNE (물량흐름)'!$C$13:$C$502,'WIP(재공품)'!B295,'JUNE (물량흐름)'!$P$13:$P$502),0)</f>
        <v>53</v>
      </c>
      <c r="AB295" s="112">
        <f t="shared" ca="1" si="43"/>
        <v>53</v>
      </c>
      <c r="AC295" s="112">
        <f t="shared" si="44"/>
        <v>1622177</v>
      </c>
      <c r="AD295" s="381">
        <f t="shared" ca="1" si="45"/>
        <v>0</v>
      </c>
      <c r="AE295" s="381">
        <f t="shared" si="46"/>
        <v>0</v>
      </c>
      <c r="AF295" s="382"/>
      <c r="AG295" s="382">
        <v>1.75</v>
      </c>
      <c r="AH295" s="383">
        <f t="shared" si="47"/>
        <v>-1.4</v>
      </c>
      <c r="AJ295" s="383"/>
      <c r="AL295" s="385"/>
      <c r="AM295" s="381"/>
      <c r="AN295" s="382"/>
      <c r="AO295" s="382"/>
      <c r="AP295" s="383"/>
      <c r="AQ295" s="383"/>
    </row>
    <row r="296" spans="1:43" s="384" customFormat="1" ht="27" customHeight="1">
      <c r="A296" s="167">
        <v>290</v>
      </c>
      <c r="B296" s="240">
        <f>VLOOKUP(A296,'JUNE (물량흐름)'!$A$13:$C$502,3,0)</f>
        <v>100015173</v>
      </c>
      <c r="C296" s="21" t="str">
        <f>VLOOKUP(A296,'JUNE (물량흐름)'!$A$13:$C$502,2,0)</f>
        <v>ALFANI</v>
      </c>
      <c r="D296" s="212">
        <v>0.35</v>
      </c>
      <c r="E296" s="6">
        <f>VLOOKUP(B296,'Sales profit (스타일 별 매출이익)'!$D$9:$P$491,13,0)</f>
        <v>7936.2499999999991</v>
      </c>
      <c r="F296" s="112">
        <f>IFERROR(VLOOKUP(B296,O.B.JUNE!$N$7:$Q$448,2,0),0)</f>
        <v>0</v>
      </c>
      <c r="G296" s="112">
        <f>IFERROR(VLOOKUP(B296,O.B.JUNE!$N$7:$Q$448,3,0),0)</f>
        <v>0</v>
      </c>
      <c r="H296" s="112">
        <f>IFERROR(VLOOKUP(B296,O.B.JUNE!$N$7:$Q$448,4,0),0)</f>
        <v>18</v>
      </c>
      <c r="I296" s="112">
        <f t="shared" si="39"/>
        <v>18</v>
      </c>
      <c r="J296" s="112">
        <f>IFERROR(VLOOKUP(B296,O.B.JUNE!$AA$7:$AG$448,7,0),0)</f>
        <v>341080</v>
      </c>
      <c r="K296" s="112">
        <f>IFERROR(VLOOKUP(B296,O.B.JUNE!$AI$7:$AO$448,7,0),0)</f>
        <v>502788</v>
      </c>
      <c r="L296" s="112">
        <f t="shared" si="40"/>
        <v>843868</v>
      </c>
      <c r="M296" s="112">
        <f>ROUND(SUMIF('JUNE (물량흐름)'!$C$13:$C$502,'WIP(재공품)'!B296,'JUNE (물량흐름)'!$H$13:$H$502)+SUMIF('JUNE (물량흐름)'!$C$13:$C$502,'WIP(재공품)'!B296,'JUNE (물량흐름)'!$V$13:$V$502),0)</f>
        <v>0</v>
      </c>
      <c r="N296" s="112">
        <f>SUMIF('Direct labour(직접노무비)'!$C$12:$C$503,'WIP(재공품)'!B296,'Direct labour(직접노무비)'!$O$12:$O$503)</f>
        <v>0</v>
      </c>
      <c r="O296" s="112">
        <f>SUMIF('Overhead exp(제조경비)'!$C$12:$C$503,'WIP(재공품)'!B296,'Overhead exp(제조경비)'!$O$12:$O$503)</f>
        <v>0</v>
      </c>
      <c r="P296" s="112">
        <f t="shared" si="41"/>
        <v>0</v>
      </c>
      <c r="Q296" s="112">
        <v>0</v>
      </c>
      <c r="R296" s="112">
        <v>0</v>
      </c>
      <c r="S296" s="112">
        <f>SUMIF('JUNE (물량흐름)'!$C$13:$C$493,'WIP(재공품)'!B296,'JUNE (물량흐름)'!$T$13:$T$493)+SUMIF('JUNE (물량흐름)'!$C$13:$C$493,'WIP(재공품)'!B296,'JUNE (물량흐름)'!$U$13:$U$493)+SUMIF('JUNE (물량흐름)'!$C$13:$C$493,'WIP(재공품)'!B296,'JUNE (물량흐름)'!$V$13:$V$493)-SUMIF('JUNE (물량흐름)'!$C$13:$C$493,'WIP(재공품)'!B296,'JUNE (물량흐름)'!$Y$13:$Y$493)</f>
        <v>0</v>
      </c>
      <c r="T296" s="112">
        <f>SUMIF('JUNE (물량흐름)'!$C$13:$C$502,'WIP(재공품)'!B296,'JUNE (물량흐름)'!$Y$13:$Y$502)</f>
        <v>0</v>
      </c>
      <c r="U296" s="167">
        <f>SUMIF('Direct labour(직접노무비)'!$C$12:$C$503,'WIP(재공품)'!B296,'Direct labour(직접노무비)'!$U$12:$U$503)+SUMIF('Overhead exp(제조경비)'!$C$12:$C$503,'WIP(재공품)'!B296,'Overhead exp(제조경비)'!$U$12:$U$503)</f>
        <v>0</v>
      </c>
      <c r="V296" s="112">
        <f>SUMIF('Direct labour(직접노무비)'!$C$12:$C$503,'WIP(재공품)'!B296,'Direct labour(직접노무비)'!$Q$12:$Q$503)</f>
        <v>0</v>
      </c>
      <c r="W296" s="112">
        <f>SUMIF('Overhead exp(제조경비)'!$C$12:$C$503,'WIP(재공품)'!B296,'Overhead exp(제조경비)'!$Q$12:$Q$503)</f>
        <v>0</v>
      </c>
      <c r="X296" s="112">
        <f t="shared" si="42"/>
        <v>0</v>
      </c>
      <c r="Y296" s="112">
        <f ca="1">ROUND(SUMIF('JUNE (물량흐름)'!$C$13:$C$502,'WIP(재공품)'!B296,'JUNE (물량흐름)'!$N$13:$N$488),0)</f>
        <v>0</v>
      </c>
      <c r="Z296" s="112">
        <f>ROUND(SUMIF('JUNE (물량흐름)'!$C$13:$C$502,'WIP(재공품)'!B296,'JUNE (물량흐름)'!$O$13:$O$502),0)</f>
        <v>0</v>
      </c>
      <c r="AA296" s="112">
        <f>ROUND(SUMIF('JUNE (물량흐름)'!$C$13:$C$502,'WIP(재공품)'!B296,'JUNE (물량흐름)'!$P$13:$P$502),0)</f>
        <v>18</v>
      </c>
      <c r="AB296" s="112">
        <f t="shared" ca="1" si="43"/>
        <v>18</v>
      </c>
      <c r="AC296" s="112">
        <f t="shared" si="44"/>
        <v>843868</v>
      </c>
      <c r="AD296" s="381">
        <f t="shared" ca="1" si="45"/>
        <v>0</v>
      </c>
      <c r="AE296" s="381">
        <f t="shared" si="46"/>
        <v>0</v>
      </c>
      <c r="AF296" s="382"/>
      <c r="AG296" s="382">
        <v>1.5999999999999999</v>
      </c>
      <c r="AH296" s="383">
        <f t="shared" si="47"/>
        <v>-1.25</v>
      </c>
      <c r="AJ296" s="383"/>
      <c r="AL296" s="385"/>
      <c r="AM296" s="381"/>
      <c r="AN296" s="382"/>
      <c r="AO296" s="382"/>
      <c r="AP296" s="383"/>
      <c r="AQ296" s="383"/>
    </row>
    <row r="297" spans="1:43" s="384" customFormat="1" ht="27" customHeight="1">
      <c r="A297" s="167">
        <v>291</v>
      </c>
      <c r="B297" s="240">
        <f>VLOOKUP(A297,'JUNE (물량흐름)'!$A$13:$C$502,3,0)</f>
        <v>100015180</v>
      </c>
      <c r="C297" s="21" t="str">
        <f>VLOOKUP(A297,'JUNE (물량흐름)'!$A$13:$C$502,2,0)</f>
        <v>ALFANI</v>
      </c>
      <c r="D297" s="212">
        <v>0.35</v>
      </c>
      <c r="E297" s="6">
        <f>VLOOKUP(B297,'Sales profit (스타일 별 매출이익)'!$D$9:$P$491,13,0)</f>
        <v>7936.2499999999991</v>
      </c>
      <c r="F297" s="112">
        <f>IFERROR(VLOOKUP(B297,O.B.JUNE!$N$7:$Q$448,2,0),0)</f>
        <v>0</v>
      </c>
      <c r="G297" s="112">
        <f>IFERROR(VLOOKUP(B297,O.B.JUNE!$N$7:$Q$448,3,0),0)</f>
        <v>9</v>
      </c>
      <c r="H297" s="112">
        <f>IFERROR(VLOOKUP(B297,O.B.JUNE!$N$7:$Q$448,4,0),0)</f>
        <v>16</v>
      </c>
      <c r="I297" s="112">
        <f t="shared" si="39"/>
        <v>25</v>
      </c>
      <c r="J297" s="112">
        <f>IFERROR(VLOOKUP(B297,O.B.JUNE!$AA$7:$AG$448,7,0),0)</f>
        <v>316343</v>
      </c>
      <c r="K297" s="112">
        <f>IFERROR(VLOOKUP(B297,O.B.JUNE!$AI$7:$AO$448,7,0),0)</f>
        <v>466323</v>
      </c>
      <c r="L297" s="112">
        <f t="shared" si="40"/>
        <v>782666</v>
      </c>
      <c r="M297" s="112">
        <f>ROUND(SUMIF('JUNE (물량흐름)'!$C$13:$C$502,'WIP(재공품)'!B297,'JUNE (물량흐름)'!$H$13:$H$502)+SUMIF('JUNE (물량흐름)'!$C$13:$C$502,'WIP(재공품)'!B297,'JUNE (물량흐름)'!$V$13:$V$502),0)</f>
        <v>0</v>
      </c>
      <c r="N297" s="112">
        <f>SUMIF('Direct labour(직접노무비)'!$C$12:$C$503,'WIP(재공품)'!B297,'Direct labour(직접노무비)'!$O$12:$O$503)</f>
        <v>0</v>
      </c>
      <c r="O297" s="112">
        <f>SUMIF('Overhead exp(제조경비)'!$C$12:$C$503,'WIP(재공품)'!B297,'Overhead exp(제조경비)'!$O$12:$O$503)</f>
        <v>0</v>
      </c>
      <c r="P297" s="112">
        <f t="shared" si="41"/>
        <v>0</v>
      </c>
      <c r="Q297" s="112">
        <v>0</v>
      </c>
      <c r="R297" s="112">
        <v>0</v>
      </c>
      <c r="S297" s="112">
        <f>SUMIF('JUNE (물량흐름)'!$C$13:$C$493,'WIP(재공품)'!B297,'JUNE (물량흐름)'!$T$13:$T$493)+SUMIF('JUNE (물량흐름)'!$C$13:$C$493,'WIP(재공품)'!B297,'JUNE (물량흐름)'!$U$13:$U$493)+SUMIF('JUNE (물량흐름)'!$C$13:$C$493,'WIP(재공품)'!B297,'JUNE (물량흐름)'!$V$13:$V$493)-SUMIF('JUNE (물량흐름)'!$C$13:$C$493,'WIP(재공품)'!B297,'JUNE (물량흐름)'!$Y$13:$Y$493)</f>
        <v>0</v>
      </c>
      <c r="T297" s="112">
        <f>SUMIF('JUNE (물량흐름)'!$C$13:$C$502,'WIP(재공품)'!B297,'JUNE (물량흐름)'!$Y$13:$Y$502)</f>
        <v>0</v>
      </c>
      <c r="U297" s="167">
        <f>SUMIF('Direct labour(직접노무비)'!$C$12:$C$503,'WIP(재공품)'!B297,'Direct labour(직접노무비)'!$U$12:$U$503)+SUMIF('Overhead exp(제조경비)'!$C$12:$C$503,'WIP(재공품)'!B297,'Overhead exp(제조경비)'!$U$12:$U$503)</f>
        <v>0</v>
      </c>
      <c r="V297" s="112">
        <f>SUMIF('Direct labour(직접노무비)'!$C$12:$C$503,'WIP(재공품)'!B297,'Direct labour(직접노무비)'!$Q$12:$Q$503)</f>
        <v>0</v>
      </c>
      <c r="W297" s="112">
        <f>SUMIF('Overhead exp(제조경비)'!$C$12:$C$503,'WIP(재공품)'!B297,'Overhead exp(제조경비)'!$Q$12:$Q$503)</f>
        <v>0</v>
      </c>
      <c r="X297" s="112">
        <f t="shared" si="42"/>
        <v>0</v>
      </c>
      <c r="Y297" s="112">
        <f ca="1">ROUND(SUMIF('JUNE (물량흐름)'!$C$13:$C$502,'WIP(재공품)'!B297,'JUNE (물량흐름)'!$N$13:$N$488),0)</f>
        <v>0</v>
      </c>
      <c r="Z297" s="112">
        <f>ROUND(SUMIF('JUNE (물량흐름)'!$C$13:$C$502,'WIP(재공품)'!B297,'JUNE (물량흐름)'!$O$13:$O$502),0)</f>
        <v>9</v>
      </c>
      <c r="AA297" s="112">
        <f>ROUND(SUMIF('JUNE (물량흐름)'!$C$13:$C$502,'WIP(재공품)'!B297,'JUNE (물량흐름)'!$P$13:$P$502),0)</f>
        <v>16</v>
      </c>
      <c r="AB297" s="112">
        <f t="shared" ca="1" si="43"/>
        <v>25</v>
      </c>
      <c r="AC297" s="112">
        <f t="shared" si="44"/>
        <v>782666</v>
      </c>
      <c r="AD297" s="381">
        <f t="shared" ca="1" si="45"/>
        <v>0</v>
      </c>
      <c r="AE297" s="381">
        <f t="shared" si="46"/>
        <v>0</v>
      </c>
      <c r="AF297" s="382"/>
      <c r="AG297" s="382">
        <v>1.5999999999999999</v>
      </c>
      <c r="AH297" s="383">
        <f t="shared" si="47"/>
        <v>-1.25</v>
      </c>
      <c r="AI297" s="383"/>
      <c r="AJ297" s="383"/>
      <c r="AL297" s="385"/>
      <c r="AM297" s="381"/>
      <c r="AN297" s="382"/>
      <c r="AO297" s="382"/>
      <c r="AP297" s="383"/>
      <c r="AQ297" s="383"/>
    </row>
    <row r="298" spans="1:43" s="384" customFormat="1" ht="27" customHeight="1">
      <c r="A298" s="167">
        <v>292</v>
      </c>
      <c r="B298" s="240">
        <f>VLOOKUP(A298,'JUNE (물량흐름)'!$A$13:$C$502,3,0)</f>
        <v>100015249</v>
      </c>
      <c r="C298" s="21" t="str">
        <f>VLOOKUP(A298,'JUNE (물량흐름)'!$A$13:$C$502,2,0)</f>
        <v>ALFANI</v>
      </c>
      <c r="D298" s="212">
        <v>1.25</v>
      </c>
      <c r="E298" s="6">
        <f>VLOOKUP(B298,'Sales profit (스타일 별 매출이익)'!$D$9:$P$491,13,0)</f>
        <v>28343.75</v>
      </c>
      <c r="F298" s="112">
        <f>IFERROR(VLOOKUP(B298,O.B.JUNE!$N$7:$Q$448,2,0),0)</f>
        <v>0</v>
      </c>
      <c r="G298" s="112">
        <f>IFERROR(VLOOKUP(B298,O.B.JUNE!$N$7:$Q$448,3,0),0)</f>
        <v>22</v>
      </c>
      <c r="H298" s="112">
        <f>IFERROR(VLOOKUP(B298,O.B.JUNE!$N$7:$Q$448,4,0),0)</f>
        <v>40</v>
      </c>
      <c r="I298" s="112">
        <f t="shared" si="39"/>
        <v>62</v>
      </c>
      <c r="J298" s="112">
        <f>IFERROR(VLOOKUP(B298,O.B.JUNE!$AA$7:$AG$448,7,0),0)</f>
        <v>621250</v>
      </c>
      <c r="K298" s="112">
        <f>IFERROR(VLOOKUP(B298,O.B.JUNE!$AI$7:$AO$448,7,0),0)</f>
        <v>1017437</v>
      </c>
      <c r="L298" s="112">
        <f t="shared" si="40"/>
        <v>1638687</v>
      </c>
      <c r="M298" s="112">
        <f>ROUND(SUMIF('JUNE (물량흐름)'!$C$13:$C$502,'WIP(재공품)'!B298,'JUNE (물량흐름)'!$H$13:$H$502)+SUMIF('JUNE (물량흐름)'!$C$13:$C$502,'WIP(재공품)'!B298,'JUNE (물량흐름)'!$V$13:$V$502),0)</f>
        <v>0</v>
      </c>
      <c r="N298" s="112">
        <f>SUMIF('Direct labour(직접노무비)'!$C$12:$C$503,'WIP(재공품)'!B298,'Direct labour(직접노무비)'!$O$12:$O$503)</f>
        <v>0</v>
      </c>
      <c r="O298" s="112">
        <f>SUMIF('Overhead exp(제조경비)'!$C$12:$C$503,'WIP(재공품)'!B298,'Overhead exp(제조경비)'!$O$12:$O$503)</f>
        <v>0</v>
      </c>
      <c r="P298" s="112">
        <f t="shared" si="41"/>
        <v>0</v>
      </c>
      <c r="Q298" s="112">
        <v>0</v>
      </c>
      <c r="R298" s="112">
        <v>0</v>
      </c>
      <c r="S298" s="112">
        <f>SUMIF('JUNE (물량흐름)'!$C$13:$C$493,'WIP(재공품)'!B298,'JUNE (물량흐름)'!$T$13:$T$493)+SUMIF('JUNE (물량흐름)'!$C$13:$C$493,'WIP(재공품)'!B298,'JUNE (물량흐름)'!$U$13:$U$493)+SUMIF('JUNE (물량흐름)'!$C$13:$C$493,'WIP(재공품)'!B298,'JUNE (물량흐름)'!$V$13:$V$493)-SUMIF('JUNE (물량흐름)'!$C$13:$C$493,'WIP(재공품)'!B298,'JUNE (물량흐름)'!$Y$13:$Y$493)</f>
        <v>0</v>
      </c>
      <c r="T298" s="112">
        <f>SUMIF('JUNE (물량흐름)'!$C$13:$C$502,'WIP(재공품)'!B298,'JUNE (물량흐름)'!$Y$13:$Y$502)</f>
        <v>0</v>
      </c>
      <c r="U298" s="167">
        <f>SUMIF('Direct labour(직접노무비)'!$C$12:$C$503,'WIP(재공품)'!B298,'Direct labour(직접노무비)'!$U$12:$U$503)+SUMIF('Overhead exp(제조경비)'!$C$12:$C$503,'WIP(재공품)'!B298,'Overhead exp(제조경비)'!$U$12:$U$503)</f>
        <v>0</v>
      </c>
      <c r="V298" s="112">
        <f>SUMIF('Direct labour(직접노무비)'!$C$12:$C$503,'WIP(재공품)'!B298,'Direct labour(직접노무비)'!$Q$12:$Q$503)</f>
        <v>0</v>
      </c>
      <c r="W298" s="112">
        <f>SUMIF('Overhead exp(제조경비)'!$C$12:$C$503,'WIP(재공품)'!B298,'Overhead exp(제조경비)'!$Q$12:$Q$503)</f>
        <v>0</v>
      </c>
      <c r="X298" s="112">
        <f t="shared" si="42"/>
        <v>0</v>
      </c>
      <c r="Y298" s="112">
        <f ca="1">ROUND(SUMIF('JUNE (물량흐름)'!$C$13:$C$502,'WIP(재공품)'!B298,'JUNE (물량흐름)'!$N$13:$N$488),0)</f>
        <v>0</v>
      </c>
      <c r="Z298" s="112">
        <f>ROUND(SUMIF('JUNE (물량흐름)'!$C$13:$C$502,'WIP(재공품)'!B298,'JUNE (물량흐름)'!$O$13:$O$502),0)</f>
        <v>22</v>
      </c>
      <c r="AA298" s="112">
        <f>ROUND(SUMIF('JUNE (물량흐름)'!$C$13:$C$502,'WIP(재공품)'!B298,'JUNE (물량흐름)'!$P$13:$P$502),0)</f>
        <v>40</v>
      </c>
      <c r="AB298" s="112">
        <f t="shared" ca="1" si="43"/>
        <v>62</v>
      </c>
      <c r="AC298" s="112">
        <f t="shared" si="44"/>
        <v>1638687</v>
      </c>
      <c r="AD298" s="381">
        <f t="shared" ca="1" si="45"/>
        <v>0</v>
      </c>
      <c r="AE298" s="381">
        <f t="shared" si="46"/>
        <v>0</v>
      </c>
      <c r="AF298" s="382"/>
      <c r="AG298" s="382">
        <v>1.5999999999999999</v>
      </c>
      <c r="AH298" s="383">
        <f t="shared" si="47"/>
        <v>-0.34999999999999987</v>
      </c>
      <c r="AJ298" s="383"/>
      <c r="AL298" s="385"/>
      <c r="AM298" s="381"/>
      <c r="AN298" s="382"/>
      <c r="AO298" s="382"/>
      <c r="AP298" s="383"/>
      <c r="AQ298" s="383"/>
    </row>
    <row r="299" spans="1:43" s="384" customFormat="1" ht="27" customHeight="1">
      <c r="A299" s="167">
        <v>293</v>
      </c>
      <c r="B299" s="240">
        <f>VLOOKUP(A299,'JUNE (물량흐름)'!$A$13:$C$502,3,0)</f>
        <v>100015301</v>
      </c>
      <c r="C299" s="21" t="str">
        <f>VLOOKUP(A299,'JUNE (물량흐름)'!$A$13:$C$502,2,0)</f>
        <v>ALFANI</v>
      </c>
      <c r="D299" s="212">
        <v>0.35</v>
      </c>
      <c r="E299" s="6">
        <f>VLOOKUP(B299,'Sales profit (스타일 별 매출이익)'!$D$9:$P$491,13,0)</f>
        <v>7936.2499999999991</v>
      </c>
      <c r="F299" s="112">
        <f>IFERROR(VLOOKUP(B299,O.B.JUNE!$N$7:$Q$448,2,0),0)</f>
        <v>0</v>
      </c>
      <c r="G299" s="112">
        <f>IFERROR(VLOOKUP(B299,O.B.JUNE!$N$7:$Q$448,3,0),0)</f>
        <v>0</v>
      </c>
      <c r="H299" s="112">
        <f>IFERROR(VLOOKUP(B299,O.B.JUNE!$N$7:$Q$448,4,0),0)</f>
        <v>443</v>
      </c>
      <c r="I299" s="112">
        <f t="shared" si="39"/>
        <v>443</v>
      </c>
      <c r="J299" s="112">
        <f>IFERROR(VLOOKUP(B299,O.B.JUNE!$AA$7:$AG$448,7,0),0)</f>
        <v>5976979</v>
      </c>
      <c r="K299" s="112">
        <f>IFERROR(VLOOKUP(B299,O.B.JUNE!$AI$7:$AO$448,7,0),0)</f>
        <v>9419559</v>
      </c>
      <c r="L299" s="112">
        <f t="shared" si="40"/>
        <v>15396538</v>
      </c>
      <c r="M299" s="112">
        <f>ROUND(SUMIF('JUNE (물량흐름)'!$C$13:$C$502,'WIP(재공품)'!B299,'JUNE (물량흐름)'!$H$13:$H$502)+SUMIF('JUNE (물량흐름)'!$C$13:$C$502,'WIP(재공품)'!B299,'JUNE (물량흐름)'!$V$13:$V$502),0)</f>
        <v>0</v>
      </c>
      <c r="N299" s="112">
        <f>SUMIF('Direct labour(직접노무비)'!$C$12:$C$503,'WIP(재공품)'!B299,'Direct labour(직접노무비)'!$O$12:$O$503)</f>
        <v>0</v>
      </c>
      <c r="O299" s="112">
        <f>SUMIF('Overhead exp(제조경비)'!$C$12:$C$503,'WIP(재공품)'!B299,'Overhead exp(제조경비)'!$O$12:$O$503)</f>
        <v>0</v>
      </c>
      <c r="P299" s="112">
        <f t="shared" si="41"/>
        <v>0</v>
      </c>
      <c r="Q299" s="112">
        <v>0</v>
      </c>
      <c r="R299" s="112">
        <v>0</v>
      </c>
      <c r="S299" s="112">
        <f>SUMIF('JUNE (물량흐름)'!$C$13:$C$493,'WIP(재공품)'!B299,'JUNE (물량흐름)'!$T$13:$T$493)+SUMIF('JUNE (물량흐름)'!$C$13:$C$493,'WIP(재공품)'!B299,'JUNE (물량흐름)'!$U$13:$U$493)+SUMIF('JUNE (물량흐름)'!$C$13:$C$493,'WIP(재공품)'!B299,'JUNE (물량흐름)'!$V$13:$V$493)-SUMIF('JUNE (물량흐름)'!$C$13:$C$493,'WIP(재공품)'!B299,'JUNE (물량흐름)'!$Y$13:$Y$493)</f>
        <v>0</v>
      </c>
      <c r="T299" s="112">
        <f>SUMIF('JUNE (물량흐름)'!$C$13:$C$502,'WIP(재공품)'!B299,'JUNE (물량흐름)'!$Y$13:$Y$502)</f>
        <v>0</v>
      </c>
      <c r="U299" s="167">
        <f>SUMIF('Direct labour(직접노무비)'!$C$12:$C$503,'WIP(재공품)'!B299,'Direct labour(직접노무비)'!$U$12:$U$503)+SUMIF('Overhead exp(제조경비)'!$C$12:$C$503,'WIP(재공품)'!B299,'Overhead exp(제조경비)'!$U$12:$U$503)</f>
        <v>0</v>
      </c>
      <c r="V299" s="112">
        <f>SUMIF('Direct labour(직접노무비)'!$C$12:$C$503,'WIP(재공품)'!B299,'Direct labour(직접노무비)'!$Q$12:$Q$503)</f>
        <v>0</v>
      </c>
      <c r="W299" s="112">
        <f>SUMIF('Overhead exp(제조경비)'!$C$12:$C$503,'WIP(재공품)'!B299,'Overhead exp(제조경비)'!$Q$12:$Q$503)</f>
        <v>0</v>
      </c>
      <c r="X299" s="112">
        <f t="shared" si="42"/>
        <v>0</v>
      </c>
      <c r="Y299" s="112">
        <f ca="1">ROUND(SUMIF('JUNE (물량흐름)'!$C$13:$C$502,'WIP(재공품)'!B299,'JUNE (물량흐름)'!$N$13:$N$488),0)</f>
        <v>0</v>
      </c>
      <c r="Z299" s="112">
        <f>ROUND(SUMIF('JUNE (물량흐름)'!$C$13:$C$502,'WIP(재공품)'!B299,'JUNE (물량흐름)'!$O$13:$O$502),0)</f>
        <v>0</v>
      </c>
      <c r="AA299" s="112">
        <f>ROUND(SUMIF('JUNE (물량흐름)'!$C$13:$C$502,'WIP(재공품)'!B299,'JUNE (물량흐름)'!$P$13:$P$502),0)</f>
        <v>443</v>
      </c>
      <c r="AB299" s="112">
        <f t="shared" ca="1" si="43"/>
        <v>443</v>
      </c>
      <c r="AC299" s="112">
        <f t="shared" si="44"/>
        <v>15396538</v>
      </c>
      <c r="AD299" s="381">
        <f t="shared" ca="1" si="45"/>
        <v>0</v>
      </c>
      <c r="AE299" s="381">
        <f t="shared" si="46"/>
        <v>0</v>
      </c>
      <c r="AF299" s="382"/>
      <c r="AG299" s="382">
        <v>0</v>
      </c>
      <c r="AH299" s="383">
        <f t="shared" si="47"/>
        <v>0.35</v>
      </c>
      <c r="AJ299" s="383"/>
      <c r="AL299" s="385"/>
      <c r="AM299" s="381"/>
      <c r="AN299" s="382"/>
      <c r="AO299" s="382"/>
      <c r="AP299" s="383"/>
      <c r="AQ299" s="383"/>
    </row>
    <row r="300" spans="1:43" s="384" customFormat="1" ht="27" customHeight="1">
      <c r="A300" s="167">
        <v>294</v>
      </c>
      <c r="B300" s="240">
        <f>VLOOKUP(A300,'JUNE (물량흐름)'!$A$13:$C$502,3,0)</f>
        <v>100015303</v>
      </c>
      <c r="C300" s="21" t="str">
        <f>VLOOKUP(A300,'JUNE (물량흐름)'!$A$13:$C$502,2,0)</f>
        <v>ALFANI</v>
      </c>
      <c r="D300" s="212">
        <v>0.35</v>
      </c>
      <c r="E300" s="6">
        <f>VLOOKUP(B300,'Sales profit (스타일 별 매출이익)'!$D$9:$P$491,13,0)</f>
        <v>7936.2499999999991</v>
      </c>
      <c r="F300" s="112">
        <f>IFERROR(VLOOKUP(B300,O.B.JUNE!$N$7:$Q$448,2,0),0)</f>
        <v>0</v>
      </c>
      <c r="G300" s="112">
        <f>IFERROR(VLOOKUP(B300,O.B.JUNE!$N$7:$Q$448,3,0),0)</f>
        <v>0</v>
      </c>
      <c r="H300" s="112">
        <f>IFERROR(VLOOKUP(B300,O.B.JUNE!$N$7:$Q$448,4,0),0)</f>
        <v>189</v>
      </c>
      <c r="I300" s="112">
        <f t="shared" si="39"/>
        <v>189</v>
      </c>
      <c r="J300" s="112">
        <f>IFERROR(VLOOKUP(B300,O.B.JUNE!$AA$7:$AG$448,7,0),0)</f>
        <v>1960968</v>
      </c>
      <c r="K300" s="112">
        <f>IFERROR(VLOOKUP(B300,O.B.JUNE!$AI$7:$AO$448,7,0),0)</f>
        <v>3481974</v>
      </c>
      <c r="L300" s="112">
        <f t="shared" si="40"/>
        <v>5442942</v>
      </c>
      <c r="M300" s="112">
        <f>ROUND(SUMIF('JUNE (물량흐름)'!$C$13:$C$502,'WIP(재공품)'!B300,'JUNE (물량흐름)'!$H$13:$H$502)+SUMIF('JUNE (물량흐름)'!$C$13:$C$502,'WIP(재공품)'!B300,'JUNE (물량흐름)'!$V$13:$V$502),0)</f>
        <v>0</v>
      </c>
      <c r="N300" s="112">
        <f>SUMIF('Direct labour(직접노무비)'!$C$12:$C$503,'WIP(재공품)'!B300,'Direct labour(직접노무비)'!$O$12:$O$503)</f>
        <v>0</v>
      </c>
      <c r="O300" s="112">
        <f>SUMIF('Overhead exp(제조경비)'!$C$12:$C$503,'WIP(재공품)'!B300,'Overhead exp(제조경비)'!$O$12:$O$503)</f>
        <v>0</v>
      </c>
      <c r="P300" s="112">
        <f t="shared" si="41"/>
        <v>0</v>
      </c>
      <c r="Q300" s="112">
        <v>0</v>
      </c>
      <c r="R300" s="112">
        <v>0</v>
      </c>
      <c r="S300" s="112">
        <f>SUMIF('JUNE (물량흐름)'!$C$13:$C$493,'WIP(재공품)'!B300,'JUNE (물량흐름)'!$T$13:$T$493)+SUMIF('JUNE (물량흐름)'!$C$13:$C$493,'WIP(재공품)'!B300,'JUNE (물량흐름)'!$U$13:$U$493)+SUMIF('JUNE (물량흐름)'!$C$13:$C$493,'WIP(재공품)'!B300,'JUNE (물량흐름)'!$V$13:$V$493)-SUMIF('JUNE (물량흐름)'!$C$13:$C$493,'WIP(재공품)'!B300,'JUNE (물량흐름)'!$Y$13:$Y$493)</f>
        <v>0</v>
      </c>
      <c r="T300" s="112">
        <f>SUMIF('JUNE (물량흐름)'!$C$13:$C$502,'WIP(재공품)'!B300,'JUNE (물량흐름)'!$Y$13:$Y$502)</f>
        <v>0</v>
      </c>
      <c r="U300" s="167">
        <f>SUMIF('Direct labour(직접노무비)'!$C$12:$C$503,'WIP(재공품)'!B300,'Direct labour(직접노무비)'!$U$12:$U$503)+SUMIF('Overhead exp(제조경비)'!$C$12:$C$503,'WIP(재공품)'!B300,'Overhead exp(제조경비)'!$U$12:$U$503)</f>
        <v>0</v>
      </c>
      <c r="V300" s="112">
        <f>SUMIF('Direct labour(직접노무비)'!$C$12:$C$503,'WIP(재공품)'!B300,'Direct labour(직접노무비)'!$Q$12:$Q$503)</f>
        <v>0</v>
      </c>
      <c r="W300" s="112">
        <f>SUMIF('Overhead exp(제조경비)'!$C$12:$C$503,'WIP(재공품)'!B300,'Overhead exp(제조경비)'!$Q$12:$Q$503)</f>
        <v>0</v>
      </c>
      <c r="X300" s="112">
        <f t="shared" si="42"/>
        <v>0</v>
      </c>
      <c r="Y300" s="112">
        <f ca="1">ROUND(SUMIF('JUNE (물량흐름)'!$C$13:$C$502,'WIP(재공품)'!B300,'JUNE (물량흐름)'!$N$13:$N$488),0)</f>
        <v>0</v>
      </c>
      <c r="Z300" s="112">
        <f>ROUND(SUMIF('JUNE (물량흐름)'!$C$13:$C$502,'WIP(재공품)'!B300,'JUNE (물량흐름)'!$O$13:$O$502),0)</f>
        <v>0</v>
      </c>
      <c r="AA300" s="112">
        <f>ROUND(SUMIF('JUNE (물량흐름)'!$C$13:$C$502,'WIP(재공품)'!B300,'JUNE (물량흐름)'!$P$13:$P$502),0)</f>
        <v>189</v>
      </c>
      <c r="AB300" s="112">
        <f t="shared" ca="1" si="43"/>
        <v>189</v>
      </c>
      <c r="AC300" s="112">
        <f t="shared" si="44"/>
        <v>5442942</v>
      </c>
      <c r="AD300" s="381">
        <f t="shared" ca="1" si="45"/>
        <v>0</v>
      </c>
      <c r="AE300" s="381">
        <f t="shared" si="46"/>
        <v>0</v>
      </c>
      <c r="AF300" s="382"/>
      <c r="AG300" s="382">
        <v>0</v>
      </c>
      <c r="AH300" s="383">
        <f t="shared" si="47"/>
        <v>0.35</v>
      </c>
      <c r="AJ300" s="383"/>
      <c r="AL300" s="385"/>
      <c r="AM300" s="381"/>
      <c r="AN300" s="382"/>
      <c r="AO300" s="382"/>
      <c r="AP300" s="383"/>
      <c r="AQ300" s="383"/>
    </row>
    <row r="301" spans="1:43" s="384" customFormat="1" ht="27" customHeight="1">
      <c r="A301" s="167">
        <v>295</v>
      </c>
      <c r="B301" s="240">
        <f>VLOOKUP(A301,'JUNE (물량흐름)'!$A$13:$C$502,3,0)</f>
        <v>100015304</v>
      </c>
      <c r="C301" s="21" t="str">
        <f>VLOOKUP(A301,'JUNE (물량흐름)'!$A$13:$C$502,2,0)</f>
        <v>ALFANI</v>
      </c>
      <c r="D301" s="212">
        <v>1.8</v>
      </c>
      <c r="E301" s="6">
        <f>VLOOKUP(B301,'Sales profit (스타일 별 매출이익)'!$D$9:$P$491,13,0)</f>
        <v>40815</v>
      </c>
      <c r="F301" s="112">
        <f>IFERROR(VLOOKUP(B301,O.B.JUNE!$N$7:$Q$448,2,0),0)</f>
        <v>17</v>
      </c>
      <c r="G301" s="112">
        <f>IFERROR(VLOOKUP(B301,O.B.JUNE!$N$7:$Q$448,3,0),0)</f>
        <v>80</v>
      </c>
      <c r="H301" s="112">
        <f>IFERROR(VLOOKUP(B301,O.B.JUNE!$N$7:$Q$448,4,0),0)</f>
        <v>23</v>
      </c>
      <c r="I301" s="112">
        <f t="shared" si="39"/>
        <v>120</v>
      </c>
      <c r="J301" s="112">
        <f>IFERROR(VLOOKUP(B301,O.B.JUNE!$AA$7:$AG$448,7,0),0)</f>
        <v>1119451</v>
      </c>
      <c r="K301" s="112">
        <f>IFERROR(VLOOKUP(B301,O.B.JUNE!$AI$7:$AO$448,7,0),0)</f>
        <v>1650190</v>
      </c>
      <c r="L301" s="112">
        <f t="shared" si="40"/>
        <v>2769641</v>
      </c>
      <c r="M301" s="112">
        <f>ROUND(SUMIF('JUNE (물량흐름)'!$C$13:$C$502,'WIP(재공품)'!B301,'JUNE (물량흐름)'!$H$13:$H$502)+SUMIF('JUNE (물량흐름)'!$C$13:$C$502,'WIP(재공품)'!B301,'JUNE (물량흐름)'!$V$13:$V$502),0)</f>
        <v>0</v>
      </c>
      <c r="N301" s="112">
        <f>SUMIF('Direct labour(직접노무비)'!$C$12:$C$503,'WIP(재공품)'!B301,'Direct labour(직접노무비)'!$O$12:$O$503)</f>
        <v>0</v>
      </c>
      <c r="O301" s="112">
        <f>SUMIF('Overhead exp(제조경비)'!$C$12:$C$503,'WIP(재공품)'!B301,'Overhead exp(제조경비)'!$O$12:$O$503)</f>
        <v>0</v>
      </c>
      <c r="P301" s="112">
        <f t="shared" si="41"/>
        <v>0</v>
      </c>
      <c r="Q301" s="112">
        <v>0</v>
      </c>
      <c r="R301" s="112">
        <v>0</v>
      </c>
      <c r="S301" s="112">
        <f>SUMIF('JUNE (물량흐름)'!$C$13:$C$493,'WIP(재공품)'!B301,'JUNE (물량흐름)'!$T$13:$T$493)+SUMIF('JUNE (물량흐름)'!$C$13:$C$493,'WIP(재공품)'!B301,'JUNE (물량흐름)'!$U$13:$U$493)+SUMIF('JUNE (물량흐름)'!$C$13:$C$493,'WIP(재공품)'!B301,'JUNE (물량흐름)'!$V$13:$V$493)-SUMIF('JUNE (물량흐름)'!$C$13:$C$493,'WIP(재공품)'!B301,'JUNE (물량흐름)'!$Y$13:$Y$493)</f>
        <v>0</v>
      </c>
      <c r="T301" s="112">
        <f>SUMIF('JUNE (물량흐름)'!$C$13:$C$502,'WIP(재공품)'!B301,'JUNE (물량흐름)'!$Y$13:$Y$502)</f>
        <v>0</v>
      </c>
      <c r="U301" s="167">
        <f>SUMIF('Direct labour(직접노무비)'!$C$12:$C$503,'WIP(재공품)'!B301,'Direct labour(직접노무비)'!$U$12:$U$503)+SUMIF('Overhead exp(제조경비)'!$C$12:$C$503,'WIP(재공품)'!B301,'Overhead exp(제조경비)'!$U$12:$U$503)</f>
        <v>0</v>
      </c>
      <c r="V301" s="112">
        <f>SUMIF('Direct labour(직접노무비)'!$C$12:$C$503,'WIP(재공품)'!B301,'Direct labour(직접노무비)'!$Q$12:$Q$503)</f>
        <v>0</v>
      </c>
      <c r="W301" s="112">
        <f>SUMIF('Overhead exp(제조경비)'!$C$12:$C$503,'WIP(재공품)'!B301,'Overhead exp(제조경비)'!$Q$12:$Q$503)</f>
        <v>0</v>
      </c>
      <c r="X301" s="112">
        <f t="shared" si="42"/>
        <v>0</v>
      </c>
      <c r="Y301" s="112">
        <f ca="1">ROUND(SUMIF('JUNE (물량흐름)'!$C$13:$C$502,'WIP(재공품)'!B301,'JUNE (물량흐름)'!$N$13:$N$488),0)</f>
        <v>17</v>
      </c>
      <c r="Z301" s="112">
        <f>ROUND(SUMIF('JUNE (물량흐름)'!$C$13:$C$502,'WIP(재공품)'!B301,'JUNE (물량흐름)'!$O$13:$O$502),0)</f>
        <v>80</v>
      </c>
      <c r="AA301" s="112">
        <f>ROUND(SUMIF('JUNE (물량흐름)'!$C$13:$C$502,'WIP(재공품)'!B301,'JUNE (물량흐름)'!$P$13:$P$502),0)</f>
        <v>23</v>
      </c>
      <c r="AB301" s="112">
        <f t="shared" ca="1" si="43"/>
        <v>120</v>
      </c>
      <c r="AC301" s="112">
        <f t="shared" si="44"/>
        <v>2769641</v>
      </c>
      <c r="AD301" s="381">
        <f t="shared" ca="1" si="45"/>
        <v>0</v>
      </c>
      <c r="AE301" s="381">
        <f t="shared" si="46"/>
        <v>0</v>
      </c>
      <c r="AF301" s="382"/>
      <c r="AG301" s="382">
        <v>0</v>
      </c>
      <c r="AH301" s="383">
        <f t="shared" si="47"/>
        <v>1.8</v>
      </c>
      <c r="AJ301" s="383"/>
      <c r="AL301" s="385"/>
      <c r="AM301" s="381"/>
      <c r="AN301" s="382"/>
      <c r="AO301" s="382"/>
      <c r="AP301" s="383"/>
      <c r="AQ301" s="383"/>
    </row>
    <row r="302" spans="1:43" s="384" customFormat="1" ht="27" customHeight="1">
      <c r="A302" s="167">
        <v>296</v>
      </c>
      <c r="B302" s="240">
        <f>VLOOKUP(A302,'JUNE (물량흐름)'!$A$13:$C$502,3,0)</f>
        <v>100015356</v>
      </c>
      <c r="C302" s="21" t="str">
        <f>VLOOKUP(A302,'JUNE (물량흐름)'!$A$13:$C$502,2,0)</f>
        <v>ALFANI</v>
      </c>
      <c r="D302" s="212">
        <v>1.73</v>
      </c>
      <c r="E302" s="6">
        <f>VLOOKUP(B302,'Sales profit (스타일 별 매출이익)'!$D$9:$P$491,13,0)</f>
        <v>39227.75</v>
      </c>
      <c r="F302" s="112">
        <f>IFERROR(VLOOKUP(B302,O.B.JUNE!$N$7:$Q$448,2,0),0)</f>
        <v>0</v>
      </c>
      <c r="G302" s="112">
        <f>IFERROR(VLOOKUP(B302,O.B.JUNE!$N$7:$Q$448,3,0),0)</f>
        <v>37</v>
      </c>
      <c r="H302" s="112">
        <f>IFERROR(VLOOKUP(B302,O.B.JUNE!$N$7:$Q$448,4,0),0)</f>
        <v>16</v>
      </c>
      <c r="I302" s="112">
        <f t="shared" si="39"/>
        <v>53</v>
      </c>
      <c r="J302" s="112">
        <f>IFERROR(VLOOKUP(B302,O.B.JUNE!$AA$7:$AG$448,7,0),0)</f>
        <v>474398</v>
      </c>
      <c r="K302" s="112">
        <f>IFERROR(VLOOKUP(B302,O.B.JUNE!$AI$7:$AO$448,7,0),0)</f>
        <v>777616</v>
      </c>
      <c r="L302" s="112">
        <f t="shared" si="40"/>
        <v>1252014</v>
      </c>
      <c r="M302" s="112">
        <f>ROUND(SUMIF('JUNE (물량흐름)'!$C$13:$C$502,'WIP(재공품)'!B302,'JUNE (물량흐름)'!$H$13:$H$502)+SUMIF('JUNE (물량흐름)'!$C$13:$C$502,'WIP(재공품)'!B302,'JUNE (물량흐름)'!$V$13:$V$502),0)</f>
        <v>0</v>
      </c>
      <c r="N302" s="112">
        <f>SUMIF('Direct labour(직접노무비)'!$C$12:$C$503,'WIP(재공품)'!B302,'Direct labour(직접노무비)'!$O$12:$O$503)</f>
        <v>0</v>
      </c>
      <c r="O302" s="112">
        <f>SUMIF('Overhead exp(제조경비)'!$C$12:$C$503,'WIP(재공품)'!B302,'Overhead exp(제조경비)'!$O$12:$O$503)</f>
        <v>0</v>
      </c>
      <c r="P302" s="112">
        <f t="shared" si="41"/>
        <v>0</v>
      </c>
      <c r="Q302" s="112">
        <v>0</v>
      </c>
      <c r="R302" s="112">
        <v>0</v>
      </c>
      <c r="S302" s="112">
        <f>SUMIF('JUNE (물량흐름)'!$C$13:$C$493,'WIP(재공품)'!B302,'JUNE (물량흐름)'!$T$13:$T$493)+SUMIF('JUNE (물량흐름)'!$C$13:$C$493,'WIP(재공품)'!B302,'JUNE (물량흐름)'!$U$13:$U$493)+SUMIF('JUNE (물량흐름)'!$C$13:$C$493,'WIP(재공품)'!B302,'JUNE (물량흐름)'!$V$13:$V$493)-SUMIF('JUNE (물량흐름)'!$C$13:$C$493,'WIP(재공품)'!B302,'JUNE (물량흐름)'!$Y$13:$Y$493)</f>
        <v>0</v>
      </c>
      <c r="T302" s="112">
        <f>SUMIF('JUNE (물량흐름)'!$C$13:$C$502,'WIP(재공품)'!B302,'JUNE (물량흐름)'!$Y$13:$Y$502)</f>
        <v>0</v>
      </c>
      <c r="U302" s="167">
        <f>SUMIF('Direct labour(직접노무비)'!$C$12:$C$503,'WIP(재공품)'!B302,'Direct labour(직접노무비)'!$U$12:$U$503)+SUMIF('Overhead exp(제조경비)'!$C$12:$C$503,'WIP(재공품)'!B302,'Overhead exp(제조경비)'!$U$12:$U$503)</f>
        <v>0</v>
      </c>
      <c r="V302" s="112">
        <f>SUMIF('Direct labour(직접노무비)'!$C$12:$C$503,'WIP(재공품)'!B302,'Direct labour(직접노무비)'!$Q$12:$Q$503)</f>
        <v>0</v>
      </c>
      <c r="W302" s="112">
        <f>SUMIF('Overhead exp(제조경비)'!$C$12:$C$503,'WIP(재공품)'!B302,'Overhead exp(제조경비)'!$Q$12:$Q$503)</f>
        <v>0</v>
      </c>
      <c r="X302" s="112">
        <f t="shared" si="42"/>
        <v>0</v>
      </c>
      <c r="Y302" s="112">
        <f ca="1">ROUND(SUMIF('JUNE (물량흐름)'!$C$13:$C$502,'WIP(재공품)'!B302,'JUNE (물량흐름)'!$N$13:$N$488),0)</f>
        <v>0</v>
      </c>
      <c r="Z302" s="112">
        <f>ROUND(SUMIF('JUNE (물량흐름)'!$C$13:$C$502,'WIP(재공품)'!B302,'JUNE (물량흐름)'!$O$13:$O$502),0)</f>
        <v>37</v>
      </c>
      <c r="AA302" s="112">
        <f>ROUND(SUMIF('JUNE (물량흐름)'!$C$13:$C$502,'WIP(재공품)'!B302,'JUNE (물량흐름)'!$P$13:$P$502),0)</f>
        <v>16</v>
      </c>
      <c r="AB302" s="112">
        <f t="shared" ca="1" si="43"/>
        <v>53</v>
      </c>
      <c r="AC302" s="112">
        <f t="shared" si="44"/>
        <v>1252014</v>
      </c>
      <c r="AD302" s="381">
        <f t="shared" ca="1" si="45"/>
        <v>0</v>
      </c>
      <c r="AE302" s="381">
        <f t="shared" si="46"/>
        <v>0</v>
      </c>
      <c r="AF302" s="382"/>
      <c r="AG302" s="382">
        <v>0</v>
      </c>
      <c r="AH302" s="383">
        <f t="shared" si="47"/>
        <v>1.73</v>
      </c>
      <c r="AJ302" s="383"/>
      <c r="AL302" s="385"/>
      <c r="AM302" s="381"/>
      <c r="AN302" s="382"/>
      <c r="AO302" s="382"/>
      <c r="AP302" s="383"/>
      <c r="AQ302" s="383"/>
    </row>
    <row r="303" spans="1:43" s="384" customFormat="1" ht="27" customHeight="1">
      <c r="A303" s="167">
        <v>297</v>
      </c>
      <c r="B303" s="240">
        <f>VLOOKUP(A303,'JUNE (물량흐름)'!$A$13:$C$502,3,0)</f>
        <v>100015404</v>
      </c>
      <c r="C303" s="21" t="str">
        <f>VLOOKUP(A303,'JUNE (물량흐름)'!$A$13:$C$502,2,0)</f>
        <v>ALFANI</v>
      </c>
      <c r="D303" s="212">
        <v>0.35</v>
      </c>
      <c r="E303" s="6">
        <f>VLOOKUP(B303,'Sales profit (스타일 별 매출이익)'!$D$9:$P$491,13,0)</f>
        <v>7936.2499999999991</v>
      </c>
      <c r="F303" s="112">
        <f>IFERROR(VLOOKUP(B303,O.B.JUNE!$N$7:$Q$448,2,0),0)</f>
        <v>0</v>
      </c>
      <c r="G303" s="112">
        <f>IFERROR(VLOOKUP(B303,O.B.JUNE!$N$7:$Q$448,3,0),0)</f>
        <v>105</v>
      </c>
      <c r="H303" s="112">
        <f>IFERROR(VLOOKUP(B303,O.B.JUNE!$N$7:$Q$448,4,0),0)</f>
        <v>61</v>
      </c>
      <c r="I303" s="112">
        <f t="shared" si="39"/>
        <v>166</v>
      </c>
      <c r="J303" s="112">
        <f>IFERROR(VLOOKUP(B303,O.B.JUNE!$AA$7:$AG$448,7,0),0)</f>
        <v>1493091</v>
      </c>
      <c r="K303" s="112">
        <f>IFERROR(VLOOKUP(B303,O.B.JUNE!$AI$7:$AO$448,7,0),0)</f>
        <v>2554107</v>
      </c>
      <c r="L303" s="112">
        <f t="shared" si="40"/>
        <v>4047198</v>
      </c>
      <c r="M303" s="112">
        <f>ROUND(SUMIF('JUNE (물량흐름)'!$C$13:$C$502,'WIP(재공품)'!B303,'JUNE (물량흐름)'!$H$13:$H$502)+SUMIF('JUNE (물량흐름)'!$C$13:$C$502,'WIP(재공품)'!B303,'JUNE (물량흐름)'!$V$13:$V$502),0)</f>
        <v>0</v>
      </c>
      <c r="N303" s="112">
        <f>SUMIF('Direct labour(직접노무비)'!$C$12:$C$503,'WIP(재공품)'!B303,'Direct labour(직접노무비)'!$O$12:$O$503)</f>
        <v>0</v>
      </c>
      <c r="O303" s="112">
        <f>SUMIF('Overhead exp(제조경비)'!$C$12:$C$503,'WIP(재공품)'!B303,'Overhead exp(제조경비)'!$O$12:$O$503)</f>
        <v>0</v>
      </c>
      <c r="P303" s="112">
        <f t="shared" si="41"/>
        <v>0</v>
      </c>
      <c r="Q303" s="112">
        <v>0</v>
      </c>
      <c r="R303" s="112">
        <v>0</v>
      </c>
      <c r="S303" s="112">
        <f>SUMIF('JUNE (물량흐름)'!$C$13:$C$493,'WIP(재공품)'!B303,'JUNE (물량흐름)'!$T$13:$T$493)+SUMIF('JUNE (물량흐름)'!$C$13:$C$493,'WIP(재공품)'!B303,'JUNE (물량흐름)'!$U$13:$U$493)+SUMIF('JUNE (물량흐름)'!$C$13:$C$493,'WIP(재공품)'!B303,'JUNE (물량흐름)'!$V$13:$V$493)-SUMIF('JUNE (물량흐름)'!$C$13:$C$493,'WIP(재공품)'!B303,'JUNE (물량흐름)'!$Y$13:$Y$493)</f>
        <v>0</v>
      </c>
      <c r="T303" s="112">
        <f>SUMIF('JUNE (물량흐름)'!$C$13:$C$502,'WIP(재공품)'!B303,'JUNE (물량흐름)'!$Y$13:$Y$502)</f>
        <v>0</v>
      </c>
      <c r="U303" s="167">
        <f>SUMIF('Direct labour(직접노무비)'!$C$12:$C$503,'WIP(재공품)'!B303,'Direct labour(직접노무비)'!$U$12:$U$503)+SUMIF('Overhead exp(제조경비)'!$C$12:$C$503,'WIP(재공품)'!B303,'Overhead exp(제조경비)'!$U$12:$U$503)</f>
        <v>0</v>
      </c>
      <c r="V303" s="112">
        <f>SUMIF('Direct labour(직접노무비)'!$C$12:$C$503,'WIP(재공품)'!B303,'Direct labour(직접노무비)'!$Q$12:$Q$503)</f>
        <v>0</v>
      </c>
      <c r="W303" s="112">
        <f>SUMIF('Overhead exp(제조경비)'!$C$12:$C$503,'WIP(재공품)'!B303,'Overhead exp(제조경비)'!$Q$12:$Q$503)</f>
        <v>0</v>
      </c>
      <c r="X303" s="112">
        <f t="shared" si="42"/>
        <v>0</v>
      </c>
      <c r="Y303" s="112">
        <f ca="1">ROUND(SUMIF('JUNE (물량흐름)'!$C$13:$C$502,'WIP(재공품)'!B303,'JUNE (물량흐름)'!$N$13:$N$488),0)</f>
        <v>0</v>
      </c>
      <c r="Z303" s="112">
        <f>ROUND(SUMIF('JUNE (물량흐름)'!$C$13:$C$502,'WIP(재공품)'!B303,'JUNE (물량흐름)'!$O$13:$O$502),0)</f>
        <v>105</v>
      </c>
      <c r="AA303" s="112">
        <f>ROUND(SUMIF('JUNE (물량흐름)'!$C$13:$C$502,'WIP(재공품)'!B303,'JUNE (물량흐름)'!$P$13:$P$502),0)</f>
        <v>61</v>
      </c>
      <c r="AB303" s="112">
        <f t="shared" ca="1" si="43"/>
        <v>166</v>
      </c>
      <c r="AC303" s="112">
        <f t="shared" si="44"/>
        <v>4047198</v>
      </c>
      <c r="AD303" s="381">
        <f t="shared" ca="1" si="45"/>
        <v>0</v>
      </c>
      <c r="AE303" s="381">
        <f t="shared" si="46"/>
        <v>0</v>
      </c>
      <c r="AF303" s="382"/>
      <c r="AG303" s="382">
        <v>0</v>
      </c>
      <c r="AH303" s="383">
        <f t="shared" si="47"/>
        <v>0.35</v>
      </c>
      <c r="AJ303" s="383"/>
      <c r="AL303" s="385"/>
      <c r="AM303" s="381"/>
      <c r="AN303" s="382"/>
      <c r="AO303" s="382"/>
      <c r="AP303" s="383"/>
      <c r="AQ303" s="383"/>
    </row>
    <row r="304" spans="1:43" s="384" customFormat="1" ht="27" customHeight="1">
      <c r="A304" s="167">
        <v>298</v>
      </c>
      <c r="B304" s="240">
        <f>VLOOKUP(A304,'JUNE (물량흐름)'!$A$13:$C$502,3,0)</f>
        <v>100015437</v>
      </c>
      <c r="C304" s="21" t="str">
        <f>VLOOKUP(A304,'JUNE (물량흐름)'!$A$13:$C$502,2,0)</f>
        <v>ALFANI</v>
      </c>
      <c r="D304" s="212">
        <v>0.35</v>
      </c>
      <c r="E304" s="6">
        <f>VLOOKUP(B304,'Sales profit (스타일 별 매출이익)'!$D$9:$P$491,13,0)</f>
        <v>7936.2499999999991</v>
      </c>
      <c r="F304" s="112">
        <f>IFERROR(VLOOKUP(B304,O.B.JUNE!$N$7:$Q$448,2,0),0)</f>
        <v>24</v>
      </c>
      <c r="G304" s="112">
        <f>IFERROR(VLOOKUP(B304,O.B.JUNE!$N$7:$Q$448,3,0),0)</f>
        <v>0</v>
      </c>
      <c r="H304" s="112">
        <f>IFERROR(VLOOKUP(B304,O.B.JUNE!$N$7:$Q$448,4,0),0)</f>
        <v>13</v>
      </c>
      <c r="I304" s="112">
        <f t="shared" si="39"/>
        <v>37</v>
      </c>
      <c r="J304" s="112">
        <f>IFERROR(VLOOKUP(B304,O.B.JUNE!$AA$7:$AG$448,7,0),0)</f>
        <v>236834</v>
      </c>
      <c r="K304" s="112">
        <f>IFERROR(VLOOKUP(B304,O.B.JUNE!$AI$7:$AO$448,7,0),0)</f>
        <v>349119</v>
      </c>
      <c r="L304" s="112">
        <f t="shared" si="40"/>
        <v>585953</v>
      </c>
      <c r="M304" s="112">
        <f>ROUND(SUMIF('JUNE (물량흐름)'!$C$13:$C$502,'WIP(재공품)'!B304,'JUNE (물량흐름)'!$H$13:$H$502)+SUMIF('JUNE (물량흐름)'!$C$13:$C$502,'WIP(재공품)'!B304,'JUNE (물량흐름)'!$V$13:$V$502),0)</f>
        <v>0</v>
      </c>
      <c r="N304" s="112">
        <f>SUMIF('Direct labour(직접노무비)'!$C$12:$C$503,'WIP(재공품)'!B304,'Direct labour(직접노무비)'!$O$12:$O$503)</f>
        <v>0</v>
      </c>
      <c r="O304" s="112">
        <f>SUMIF('Overhead exp(제조경비)'!$C$12:$C$503,'WIP(재공품)'!B304,'Overhead exp(제조경비)'!$O$12:$O$503)</f>
        <v>0</v>
      </c>
      <c r="P304" s="112">
        <f t="shared" si="41"/>
        <v>0</v>
      </c>
      <c r="Q304" s="112">
        <v>0</v>
      </c>
      <c r="R304" s="112">
        <v>0</v>
      </c>
      <c r="S304" s="112">
        <f>SUMIF('JUNE (물량흐름)'!$C$13:$C$493,'WIP(재공품)'!B304,'JUNE (물량흐름)'!$T$13:$T$493)+SUMIF('JUNE (물량흐름)'!$C$13:$C$493,'WIP(재공품)'!B304,'JUNE (물량흐름)'!$U$13:$U$493)+SUMIF('JUNE (물량흐름)'!$C$13:$C$493,'WIP(재공품)'!B304,'JUNE (물량흐름)'!$V$13:$V$493)-SUMIF('JUNE (물량흐름)'!$C$13:$C$493,'WIP(재공품)'!B304,'JUNE (물량흐름)'!$Y$13:$Y$493)</f>
        <v>0</v>
      </c>
      <c r="T304" s="112">
        <f>SUMIF('JUNE (물량흐름)'!$C$13:$C$502,'WIP(재공품)'!B304,'JUNE (물량흐름)'!$Y$13:$Y$502)</f>
        <v>0</v>
      </c>
      <c r="U304" s="167">
        <f>SUMIF('Direct labour(직접노무비)'!$C$12:$C$503,'WIP(재공품)'!B304,'Direct labour(직접노무비)'!$U$12:$U$503)+SUMIF('Overhead exp(제조경비)'!$C$12:$C$503,'WIP(재공품)'!B304,'Overhead exp(제조경비)'!$U$12:$U$503)</f>
        <v>0</v>
      </c>
      <c r="V304" s="112">
        <f>SUMIF('Direct labour(직접노무비)'!$C$12:$C$503,'WIP(재공품)'!B304,'Direct labour(직접노무비)'!$Q$12:$Q$503)</f>
        <v>0</v>
      </c>
      <c r="W304" s="112">
        <f>SUMIF('Overhead exp(제조경비)'!$C$12:$C$503,'WIP(재공품)'!B304,'Overhead exp(제조경비)'!$Q$12:$Q$503)</f>
        <v>0</v>
      </c>
      <c r="X304" s="112">
        <f t="shared" si="42"/>
        <v>0</v>
      </c>
      <c r="Y304" s="112">
        <f ca="1">ROUND(SUMIF('JUNE (물량흐름)'!$C$13:$C$502,'WIP(재공품)'!B304,'JUNE (물량흐름)'!$N$13:$N$488),0)</f>
        <v>24</v>
      </c>
      <c r="Z304" s="112">
        <f>ROUND(SUMIF('JUNE (물량흐름)'!$C$13:$C$502,'WIP(재공품)'!B304,'JUNE (물량흐름)'!$O$13:$O$502),0)</f>
        <v>0</v>
      </c>
      <c r="AA304" s="112">
        <f>ROUND(SUMIF('JUNE (물량흐름)'!$C$13:$C$502,'WIP(재공품)'!B304,'JUNE (물량흐름)'!$P$13:$P$502),0)</f>
        <v>13</v>
      </c>
      <c r="AB304" s="112">
        <f t="shared" ca="1" si="43"/>
        <v>37</v>
      </c>
      <c r="AC304" s="112">
        <f t="shared" si="44"/>
        <v>585953</v>
      </c>
      <c r="AD304" s="381">
        <f t="shared" ca="1" si="45"/>
        <v>0</v>
      </c>
      <c r="AE304" s="381">
        <f t="shared" si="46"/>
        <v>0</v>
      </c>
      <c r="AF304" s="382"/>
      <c r="AG304" s="382">
        <v>2.7</v>
      </c>
      <c r="AH304" s="383">
        <f t="shared" si="47"/>
        <v>-2.35</v>
      </c>
      <c r="AJ304" s="383"/>
      <c r="AL304" s="385"/>
      <c r="AM304" s="381"/>
      <c r="AN304" s="382"/>
      <c r="AO304" s="382"/>
      <c r="AP304" s="383"/>
      <c r="AQ304" s="383"/>
    </row>
    <row r="305" spans="1:43" s="384" customFormat="1" ht="27" customHeight="1">
      <c r="A305" s="167">
        <v>299</v>
      </c>
      <c r="B305" s="240">
        <f>VLOOKUP(A305,'JUNE (물량흐름)'!$A$13:$C$502,3,0)</f>
        <v>100016367</v>
      </c>
      <c r="C305" s="21" t="str">
        <f>VLOOKUP(A305,'JUNE (물량흐름)'!$A$13:$C$502,2,0)</f>
        <v>ALFANI</v>
      </c>
      <c r="D305" s="212">
        <v>0.35</v>
      </c>
      <c r="E305" s="6">
        <f>VLOOKUP(B305,'Sales profit (스타일 별 매출이익)'!$D$9:$P$491,13,0)</f>
        <v>7936.2499999999991</v>
      </c>
      <c r="F305" s="112">
        <f>IFERROR(VLOOKUP(B305,O.B.JUNE!$N$7:$Q$448,2,0),0)</f>
        <v>0</v>
      </c>
      <c r="G305" s="112">
        <f>IFERROR(VLOOKUP(B305,O.B.JUNE!$N$7:$Q$448,3,0),0)</f>
        <v>29</v>
      </c>
      <c r="H305" s="112">
        <f>IFERROR(VLOOKUP(B305,O.B.JUNE!$N$7:$Q$448,4,0),0)</f>
        <v>113</v>
      </c>
      <c r="I305" s="112">
        <f t="shared" si="39"/>
        <v>142</v>
      </c>
      <c r="J305" s="112">
        <f>IFERROR(VLOOKUP(B305,O.B.JUNE!$AA$7:$AG$448,7,0),0)</f>
        <v>1750871</v>
      </c>
      <c r="K305" s="112">
        <f>IFERROR(VLOOKUP(B305,O.B.JUNE!$AI$7:$AO$448,7,0),0)</f>
        <v>2886904</v>
      </c>
      <c r="L305" s="112">
        <f t="shared" si="40"/>
        <v>4637775</v>
      </c>
      <c r="M305" s="112">
        <f>ROUND(SUMIF('JUNE (물량흐름)'!$C$13:$C$502,'WIP(재공품)'!B305,'JUNE (물량흐름)'!$H$13:$H$502)+SUMIF('JUNE (물량흐름)'!$C$13:$C$502,'WIP(재공품)'!B305,'JUNE (물량흐름)'!$V$13:$V$502),0)</f>
        <v>0</v>
      </c>
      <c r="N305" s="112">
        <f>SUMIF('Direct labour(직접노무비)'!$C$12:$C$503,'WIP(재공품)'!B305,'Direct labour(직접노무비)'!$O$12:$O$503)</f>
        <v>0</v>
      </c>
      <c r="O305" s="112">
        <f>SUMIF('Overhead exp(제조경비)'!$C$12:$C$503,'WIP(재공품)'!B305,'Overhead exp(제조경비)'!$O$12:$O$503)</f>
        <v>0</v>
      </c>
      <c r="P305" s="112">
        <f t="shared" si="41"/>
        <v>0</v>
      </c>
      <c r="Q305" s="112">
        <v>0</v>
      </c>
      <c r="R305" s="112">
        <v>0</v>
      </c>
      <c r="S305" s="112">
        <f>SUMIF('JUNE (물량흐름)'!$C$13:$C$493,'WIP(재공품)'!B305,'JUNE (물량흐름)'!$T$13:$T$493)+SUMIF('JUNE (물량흐름)'!$C$13:$C$493,'WIP(재공품)'!B305,'JUNE (물량흐름)'!$U$13:$U$493)+SUMIF('JUNE (물량흐름)'!$C$13:$C$493,'WIP(재공품)'!B305,'JUNE (물량흐름)'!$V$13:$V$493)-SUMIF('JUNE (물량흐름)'!$C$13:$C$493,'WIP(재공품)'!B305,'JUNE (물량흐름)'!$Y$13:$Y$493)</f>
        <v>0</v>
      </c>
      <c r="T305" s="112">
        <f>SUMIF('JUNE (물량흐름)'!$C$13:$C$502,'WIP(재공품)'!B305,'JUNE (물량흐름)'!$Y$13:$Y$502)</f>
        <v>0</v>
      </c>
      <c r="U305" s="167">
        <f>SUMIF('Direct labour(직접노무비)'!$C$12:$C$503,'WIP(재공품)'!B305,'Direct labour(직접노무비)'!$U$12:$U$503)+SUMIF('Overhead exp(제조경비)'!$C$12:$C$503,'WIP(재공품)'!B305,'Overhead exp(제조경비)'!$U$12:$U$503)</f>
        <v>0</v>
      </c>
      <c r="V305" s="112">
        <f>SUMIF('Direct labour(직접노무비)'!$C$12:$C$503,'WIP(재공품)'!B305,'Direct labour(직접노무비)'!$Q$12:$Q$503)</f>
        <v>0</v>
      </c>
      <c r="W305" s="112">
        <f>SUMIF('Overhead exp(제조경비)'!$C$12:$C$503,'WIP(재공품)'!B305,'Overhead exp(제조경비)'!$Q$12:$Q$503)</f>
        <v>0</v>
      </c>
      <c r="X305" s="112">
        <f t="shared" si="42"/>
        <v>0</v>
      </c>
      <c r="Y305" s="112">
        <f ca="1">ROUND(SUMIF('JUNE (물량흐름)'!$C$13:$C$502,'WIP(재공품)'!B305,'JUNE (물량흐름)'!$N$13:$N$488),0)</f>
        <v>0</v>
      </c>
      <c r="Z305" s="112">
        <f>ROUND(SUMIF('JUNE (물량흐름)'!$C$13:$C$502,'WIP(재공품)'!B305,'JUNE (물량흐름)'!$O$13:$O$502),0)</f>
        <v>29</v>
      </c>
      <c r="AA305" s="112">
        <f>ROUND(SUMIF('JUNE (물량흐름)'!$C$13:$C$502,'WIP(재공품)'!B305,'JUNE (물량흐름)'!$P$13:$P$502),0)</f>
        <v>113</v>
      </c>
      <c r="AB305" s="112">
        <f t="shared" ca="1" si="43"/>
        <v>142</v>
      </c>
      <c r="AC305" s="112">
        <f t="shared" si="44"/>
        <v>4637775</v>
      </c>
      <c r="AD305" s="381">
        <f t="shared" ca="1" si="45"/>
        <v>0</v>
      </c>
      <c r="AE305" s="381">
        <f t="shared" si="46"/>
        <v>0</v>
      </c>
      <c r="AF305" s="382"/>
      <c r="AG305" s="382">
        <v>1.25</v>
      </c>
      <c r="AH305" s="383">
        <f t="shared" si="47"/>
        <v>-0.9</v>
      </c>
      <c r="AJ305" s="383"/>
      <c r="AL305" s="385"/>
      <c r="AM305" s="381"/>
      <c r="AN305" s="382"/>
      <c r="AO305" s="382"/>
      <c r="AP305" s="383"/>
      <c r="AQ305" s="383"/>
    </row>
    <row r="306" spans="1:43" s="384" customFormat="1" ht="27" customHeight="1">
      <c r="A306" s="167">
        <v>300</v>
      </c>
      <c r="B306" s="240">
        <f>VLOOKUP(A306,'JUNE (물량흐름)'!$A$13:$C$502,3,0)</f>
        <v>100016575</v>
      </c>
      <c r="C306" s="21" t="str">
        <f>VLOOKUP(A306,'JUNE (물량흐름)'!$A$13:$C$502,2,0)</f>
        <v>CHARTER CLUB</v>
      </c>
      <c r="D306" s="212">
        <v>0.35</v>
      </c>
      <c r="E306" s="6">
        <f>VLOOKUP(B306,'Sales profit (스타일 별 매출이익)'!$D$9:$P$491,13,0)</f>
        <v>7936.2499999999991</v>
      </c>
      <c r="F306" s="112">
        <f>IFERROR(VLOOKUP(B306,O.B.JUNE!$N$7:$Q$448,2,0),0)</f>
        <v>0</v>
      </c>
      <c r="G306" s="112">
        <f>IFERROR(VLOOKUP(B306,O.B.JUNE!$N$7:$Q$448,3,0),0)</f>
        <v>6</v>
      </c>
      <c r="H306" s="112">
        <f>IFERROR(VLOOKUP(B306,O.B.JUNE!$N$7:$Q$448,4,0),0)</f>
        <v>113</v>
      </c>
      <c r="I306" s="112">
        <f t="shared" si="39"/>
        <v>119</v>
      </c>
      <c r="J306" s="112">
        <f>IFERROR(VLOOKUP(B306,O.B.JUNE!$AA$7:$AG$448,7,0),0)</f>
        <v>2881366</v>
      </c>
      <c r="K306" s="112">
        <f>IFERROR(VLOOKUP(B306,O.B.JUNE!$AI$7:$AO$448,7,0),0)</f>
        <v>4520594</v>
      </c>
      <c r="L306" s="112">
        <f t="shared" si="40"/>
        <v>7401960</v>
      </c>
      <c r="M306" s="112">
        <f>ROUND(SUMIF('JUNE (물량흐름)'!$C$13:$C$502,'WIP(재공품)'!B306,'JUNE (물량흐름)'!$H$13:$H$502)+SUMIF('JUNE (물량흐름)'!$C$13:$C$502,'WIP(재공품)'!B306,'JUNE (물량흐름)'!$V$13:$V$502),0)</f>
        <v>0</v>
      </c>
      <c r="N306" s="112">
        <f>SUMIF('Direct labour(직접노무비)'!$C$12:$C$503,'WIP(재공품)'!B306,'Direct labour(직접노무비)'!$O$12:$O$503)</f>
        <v>0</v>
      </c>
      <c r="O306" s="112">
        <f>SUMIF('Overhead exp(제조경비)'!$C$12:$C$503,'WIP(재공품)'!B306,'Overhead exp(제조경비)'!$O$12:$O$503)</f>
        <v>0</v>
      </c>
      <c r="P306" s="112">
        <f t="shared" si="41"/>
        <v>0</v>
      </c>
      <c r="Q306" s="112">
        <v>0</v>
      </c>
      <c r="R306" s="112">
        <v>0</v>
      </c>
      <c r="S306" s="112">
        <f>SUMIF('JUNE (물량흐름)'!$C$13:$C$493,'WIP(재공품)'!B306,'JUNE (물량흐름)'!$T$13:$T$493)+SUMIF('JUNE (물량흐름)'!$C$13:$C$493,'WIP(재공품)'!B306,'JUNE (물량흐름)'!$U$13:$U$493)+SUMIF('JUNE (물량흐름)'!$C$13:$C$493,'WIP(재공품)'!B306,'JUNE (물량흐름)'!$V$13:$V$493)-SUMIF('JUNE (물량흐름)'!$C$13:$C$493,'WIP(재공품)'!B306,'JUNE (물량흐름)'!$Y$13:$Y$493)</f>
        <v>0</v>
      </c>
      <c r="T306" s="112">
        <f>SUMIF('JUNE (물량흐름)'!$C$13:$C$502,'WIP(재공품)'!B306,'JUNE (물량흐름)'!$Y$13:$Y$502)</f>
        <v>0</v>
      </c>
      <c r="U306" s="167">
        <f>SUMIF('Direct labour(직접노무비)'!$C$12:$C$503,'WIP(재공품)'!B306,'Direct labour(직접노무비)'!$U$12:$U$503)+SUMIF('Overhead exp(제조경비)'!$C$12:$C$503,'WIP(재공품)'!B306,'Overhead exp(제조경비)'!$U$12:$U$503)</f>
        <v>0</v>
      </c>
      <c r="V306" s="112">
        <f>SUMIF('Direct labour(직접노무비)'!$C$12:$C$503,'WIP(재공품)'!B306,'Direct labour(직접노무비)'!$Q$12:$Q$503)</f>
        <v>0</v>
      </c>
      <c r="W306" s="112">
        <f>SUMIF('Overhead exp(제조경비)'!$C$12:$C$503,'WIP(재공품)'!B306,'Overhead exp(제조경비)'!$Q$12:$Q$503)</f>
        <v>0</v>
      </c>
      <c r="X306" s="112">
        <f t="shared" si="42"/>
        <v>0</v>
      </c>
      <c r="Y306" s="112">
        <f ca="1">ROUND(SUMIF('JUNE (물량흐름)'!$C$13:$C$502,'WIP(재공품)'!B306,'JUNE (물량흐름)'!$N$13:$N$488),0)</f>
        <v>0</v>
      </c>
      <c r="Z306" s="112">
        <f>ROUND(SUMIF('JUNE (물량흐름)'!$C$13:$C$502,'WIP(재공품)'!B306,'JUNE (물량흐름)'!$O$13:$O$502),0)</f>
        <v>6</v>
      </c>
      <c r="AA306" s="112">
        <f>ROUND(SUMIF('JUNE (물량흐름)'!$C$13:$C$502,'WIP(재공품)'!B306,'JUNE (물량흐름)'!$P$13:$P$502),0)</f>
        <v>113</v>
      </c>
      <c r="AB306" s="112">
        <f t="shared" ca="1" si="43"/>
        <v>119</v>
      </c>
      <c r="AC306" s="112">
        <f t="shared" si="44"/>
        <v>7401960</v>
      </c>
      <c r="AD306" s="381">
        <f t="shared" ca="1" si="45"/>
        <v>0</v>
      </c>
      <c r="AE306" s="381">
        <f t="shared" si="46"/>
        <v>0</v>
      </c>
      <c r="AF306" s="382"/>
      <c r="AG306" s="382">
        <v>1.4000000000000001</v>
      </c>
      <c r="AH306" s="383">
        <f t="shared" si="47"/>
        <v>-1.0500000000000003</v>
      </c>
      <c r="AJ306" s="383"/>
      <c r="AL306" s="385"/>
      <c r="AM306" s="381"/>
      <c r="AN306" s="382"/>
      <c r="AO306" s="382"/>
      <c r="AP306" s="383"/>
      <c r="AQ306" s="383"/>
    </row>
    <row r="307" spans="1:43" s="384" customFormat="1" ht="27" customHeight="1">
      <c r="A307" s="167">
        <v>301</v>
      </c>
      <c r="B307" s="240">
        <f>VLOOKUP(A307,'JUNE (물량흐름)'!$A$13:$C$502,3,0)</f>
        <v>100019839</v>
      </c>
      <c r="C307" s="21" t="str">
        <f>VLOOKUP(A307,'JUNE (물량흐름)'!$A$13:$C$502,2,0)</f>
        <v>ALFANI</v>
      </c>
      <c r="D307" s="212">
        <v>0.35</v>
      </c>
      <c r="E307" s="6">
        <f>VLOOKUP(B307,'Sales profit (스타일 별 매출이익)'!$D$9:$P$491,13,0)</f>
        <v>7936.2499999999991</v>
      </c>
      <c r="F307" s="112">
        <f>IFERROR(VLOOKUP(B307,O.B.JUNE!$N$7:$Q$448,2,0),0)</f>
        <v>0</v>
      </c>
      <c r="G307" s="112">
        <f>IFERROR(VLOOKUP(B307,O.B.JUNE!$N$7:$Q$448,3,0),0)</f>
        <v>114</v>
      </c>
      <c r="H307" s="112">
        <f>IFERROR(VLOOKUP(B307,O.B.JUNE!$N$7:$Q$448,4,0),0)</f>
        <v>189</v>
      </c>
      <c r="I307" s="112">
        <f t="shared" si="39"/>
        <v>303</v>
      </c>
      <c r="J307" s="112">
        <f>IFERROR(VLOOKUP(B307,O.B.JUNE!$AA$7:$AG$448,7,0),0)</f>
        <v>3405494</v>
      </c>
      <c r="K307" s="112">
        <f>IFERROR(VLOOKUP(B307,O.B.JUNE!$AI$7:$AO$448,7,0),0)</f>
        <v>6987364</v>
      </c>
      <c r="L307" s="112">
        <f t="shared" si="40"/>
        <v>10392858</v>
      </c>
      <c r="M307" s="112">
        <f>ROUND(SUMIF('JUNE (물량흐름)'!$C$13:$C$502,'WIP(재공품)'!B307,'JUNE (물량흐름)'!$H$13:$H$502)+SUMIF('JUNE (물량흐름)'!$C$13:$C$502,'WIP(재공품)'!B307,'JUNE (물량흐름)'!$V$13:$V$502),0)</f>
        <v>0</v>
      </c>
      <c r="N307" s="112">
        <f>SUMIF('Direct labour(직접노무비)'!$C$12:$C$503,'WIP(재공품)'!B307,'Direct labour(직접노무비)'!$O$12:$O$503)</f>
        <v>0</v>
      </c>
      <c r="O307" s="112">
        <f>SUMIF('Overhead exp(제조경비)'!$C$12:$C$503,'WIP(재공품)'!B307,'Overhead exp(제조경비)'!$O$12:$O$503)</f>
        <v>0</v>
      </c>
      <c r="P307" s="112">
        <f t="shared" si="41"/>
        <v>0</v>
      </c>
      <c r="Q307" s="112">
        <v>0</v>
      </c>
      <c r="R307" s="112">
        <v>0</v>
      </c>
      <c r="S307" s="112">
        <f>SUMIF('JUNE (물량흐름)'!$C$13:$C$493,'WIP(재공품)'!B307,'JUNE (물량흐름)'!$T$13:$T$493)+SUMIF('JUNE (물량흐름)'!$C$13:$C$493,'WIP(재공품)'!B307,'JUNE (물량흐름)'!$U$13:$U$493)+SUMIF('JUNE (물량흐름)'!$C$13:$C$493,'WIP(재공품)'!B307,'JUNE (물량흐름)'!$V$13:$V$493)-SUMIF('JUNE (물량흐름)'!$C$13:$C$493,'WIP(재공품)'!B307,'JUNE (물량흐름)'!$Y$13:$Y$493)</f>
        <v>0</v>
      </c>
      <c r="T307" s="112">
        <f>SUMIF('JUNE (물량흐름)'!$C$13:$C$502,'WIP(재공품)'!B307,'JUNE (물량흐름)'!$Y$13:$Y$502)</f>
        <v>0</v>
      </c>
      <c r="U307" s="167">
        <f>SUMIF('Direct labour(직접노무비)'!$C$12:$C$503,'WIP(재공품)'!B307,'Direct labour(직접노무비)'!$U$12:$U$503)+SUMIF('Overhead exp(제조경비)'!$C$12:$C$503,'WIP(재공품)'!B307,'Overhead exp(제조경비)'!$U$12:$U$503)</f>
        <v>0</v>
      </c>
      <c r="V307" s="112">
        <f>SUMIF('Direct labour(직접노무비)'!$C$12:$C$503,'WIP(재공품)'!B307,'Direct labour(직접노무비)'!$Q$12:$Q$503)</f>
        <v>0</v>
      </c>
      <c r="W307" s="112">
        <f>SUMIF('Overhead exp(제조경비)'!$C$12:$C$503,'WIP(재공품)'!B307,'Overhead exp(제조경비)'!$Q$12:$Q$503)</f>
        <v>0</v>
      </c>
      <c r="X307" s="112">
        <f t="shared" si="42"/>
        <v>0</v>
      </c>
      <c r="Y307" s="112">
        <f ca="1">ROUND(SUMIF('JUNE (물량흐름)'!$C$13:$C$502,'WIP(재공품)'!B307,'JUNE (물량흐름)'!$N$13:$N$488),0)</f>
        <v>0</v>
      </c>
      <c r="Z307" s="112">
        <f>ROUND(SUMIF('JUNE (물량흐름)'!$C$13:$C$502,'WIP(재공품)'!B307,'JUNE (물량흐름)'!$O$13:$O$502),0)</f>
        <v>114</v>
      </c>
      <c r="AA307" s="112">
        <f>ROUND(SUMIF('JUNE (물량흐름)'!$C$13:$C$502,'WIP(재공품)'!B307,'JUNE (물량흐름)'!$P$13:$P$502),0)</f>
        <v>189</v>
      </c>
      <c r="AB307" s="112">
        <f t="shared" ca="1" si="43"/>
        <v>303</v>
      </c>
      <c r="AC307" s="112">
        <f t="shared" si="44"/>
        <v>10392858</v>
      </c>
      <c r="AD307" s="381">
        <f t="shared" ca="1" si="45"/>
        <v>0</v>
      </c>
      <c r="AE307" s="381">
        <f t="shared" si="46"/>
        <v>0</v>
      </c>
      <c r="AF307" s="382"/>
      <c r="AG307" s="382">
        <v>2.6</v>
      </c>
      <c r="AH307" s="383">
        <f t="shared" si="47"/>
        <v>-2.25</v>
      </c>
      <c r="AJ307" s="383"/>
      <c r="AL307" s="385"/>
      <c r="AM307" s="381"/>
      <c r="AN307" s="382"/>
      <c r="AO307" s="382"/>
      <c r="AP307" s="383"/>
      <c r="AQ307" s="383"/>
    </row>
    <row r="308" spans="1:43" s="384" customFormat="1" ht="27" customHeight="1">
      <c r="A308" s="167">
        <v>302</v>
      </c>
      <c r="B308" s="240">
        <f>VLOOKUP(A308,'JUNE (물량흐름)'!$A$13:$C$502,3,0)</f>
        <v>100021862</v>
      </c>
      <c r="C308" s="21" t="str">
        <f>VLOOKUP(A308,'JUNE (물량흐름)'!$A$13:$C$502,2,0)</f>
        <v>CHARTER CLUB</v>
      </c>
      <c r="D308" s="212">
        <v>0.36</v>
      </c>
      <c r="E308" s="6">
        <f>VLOOKUP(B308,'Sales profit (스타일 별 매출이익)'!$D$9:$P$491,13,0)</f>
        <v>8163</v>
      </c>
      <c r="F308" s="112">
        <f>IFERROR(VLOOKUP(B308,O.B.JUNE!$N$7:$Q$448,2,0),0)</f>
        <v>0</v>
      </c>
      <c r="G308" s="112">
        <f>IFERROR(VLOOKUP(B308,O.B.JUNE!$N$7:$Q$448,3,0),0)</f>
        <v>0</v>
      </c>
      <c r="H308" s="112">
        <f>IFERROR(VLOOKUP(B308,O.B.JUNE!$N$7:$Q$448,4,0),0)</f>
        <v>7</v>
      </c>
      <c r="I308" s="112">
        <f t="shared" si="39"/>
        <v>7</v>
      </c>
      <c r="J308" s="112">
        <f>IFERROR(VLOOKUP(B308,O.B.JUNE!$AA$7:$AG$448,7,0),0)</f>
        <v>58794</v>
      </c>
      <c r="K308" s="112">
        <f>IFERROR(VLOOKUP(B308,O.B.JUNE!$AI$7:$AO$448,7,0),0)</f>
        <v>86667</v>
      </c>
      <c r="L308" s="112">
        <f t="shared" si="40"/>
        <v>145461</v>
      </c>
      <c r="M308" s="112">
        <f>ROUND(SUMIF('JUNE (물량흐름)'!$C$13:$C$502,'WIP(재공품)'!B308,'JUNE (물량흐름)'!$H$13:$H$502)+SUMIF('JUNE (물량흐름)'!$C$13:$C$502,'WIP(재공품)'!B308,'JUNE (물량흐름)'!$V$13:$V$502),0)</f>
        <v>0</v>
      </c>
      <c r="N308" s="112">
        <f>SUMIF('Direct labour(직접노무비)'!$C$12:$C$503,'WIP(재공품)'!B308,'Direct labour(직접노무비)'!$O$12:$O$503)</f>
        <v>0</v>
      </c>
      <c r="O308" s="112">
        <f>SUMIF('Overhead exp(제조경비)'!$C$12:$C$503,'WIP(재공품)'!B308,'Overhead exp(제조경비)'!$O$12:$O$503)</f>
        <v>0</v>
      </c>
      <c r="P308" s="112">
        <f t="shared" si="41"/>
        <v>0</v>
      </c>
      <c r="Q308" s="112">
        <v>0</v>
      </c>
      <c r="R308" s="112">
        <v>0</v>
      </c>
      <c r="S308" s="112">
        <f>SUMIF('JUNE (물량흐름)'!$C$13:$C$493,'WIP(재공품)'!B308,'JUNE (물량흐름)'!$T$13:$T$493)+SUMIF('JUNE (물량흐름)'!$C$13:$C$493,'WIP(재공품)'!B308,'JUNE (물량흐름)'!$U$13:$U$493)+SUMIF('JUNE (물량흐름)'!$C$13:$C$493,'WIP(재공품)'!B308,'JUNE (물량흐름)'!$V$13:$V$493)-SUMIF('JUNE (물량흐름)'!$C$13:$C$493,'WIP(재공품)'!B308,'JUNE (물량흐름)'!$Y$13:$Y$493)</f>
        <v>0</v>
      </c>
      <c r="T308" s="112">
        <f>SUMIF('JUNE (물량흐름)'!$C$13:$C$502,'WIP(재공품)'!B308,'JUNE (물량흐름)'!$Y$13:$Y$502)</f>
        <v>0</v>
      </c>
      <c r="U308" s="167">
        <f>SUMIF('Direct labour(직접노무비)'!$C$12:$C$503,'WIP(재공품)'!B308,'Direct labour(직접노무비)'!$U$12:$U$503)+SUMIF('Overhead exp(제조경비)'!$C$12:$C$503,'WIP(재공품)'!B308,'Overhead exp(제조경비)'!$U$12:$U$503)</f>
        <v>0</v>
      </c>
      <c r="V308" s="112">
        <f>SUMIF('Direct labour(직접노무비)'!$C$12:$C$503,'WIP(재공품)'!B308,'Direct labour(직접노무비)'!$Q$12:$Q$503)</f>
        <v>0</v>
      </c>
      <c r="W308" s="112">
        <f>SUMIF('Overhead exp(제조경비)'!$C$12:$C$503,'WIP(재공품)'!B308,'Overhead exp(제조경비)'!$Q$12:$Q$503)</f>
        <v>0</v>
      </c>
      <c r="X308" s="112">
        <f t="shared" si="42"/>
        <v>0</v>
      </c>
      <c r="Y308" s="112">
        <f ca="1">ROUND(SUMIF('JUNE (물량흐름)'!$C$13:$C$502,'WIP(재공품)'!B308,'JUNE (물량흐름)'!$N$13:$N$488),0)</f>
        <v>0</v>
      </c>
      <c r="Z308" s="112">
        <f>ROUND(SUMIF('JUNE (물량흐름)'!$C$13:$C$502,'WIP(재공품)'!B308,'JUNE (물량흐름)'!$O$13:$O$502),0)</f>
        <v>0</v>
      </c>
      <c r="AA308" s="112">
        <f>ROUND(SUMIF('JUNE (물량흐름)'!$C$13:$C$502,'WIP(재공품)'!B308,'JUNE (물량흐름)'!$P$13:$P$502),0)</f>
        <v>7</v>
      </c>
      <c r="AB308" s="112">
        <f t="shared" ca="1" si="43"/>
        <v>7</v>
      </c>
      <c r="AC308" s="112">
        <f t="shared" si="44"/>
        <v>145461</v>
      </c>
      <c r="AD308" s="381">
        <f t="shared" ca="1" si="45"/>
        <v>0</v>
      </c>
      <c r="AE308" s="381">
        <f t="shared" si="46"/>
        <v>0</v>
      </c>
      <c r="AF308" s="382"/>
      <c r="AG308" s="382">
        <v>0</v>
      </c>
      <c r="AH308" s="383">
        <f t="shared" si="47"/>
        <v>0.36</v>
      </c>
      <c r="AJ308" s="383"/>
      <c r="AL308" s="385"/>
      <c r="AM308" s="381"/>
      <c r="AN308" s="382"/>
      <c r="AO308" s="382"/>
      <c r="AP308" s="383"/>
      <c r="AQ308" s="383"/>
    </row>
    <row r="309" spans="1:43" s="384" customFormat="1" ht="27" customHeight="1">
      <c r="A309" s="167">
        <v>303</v>
      </c>
      <c r="B309" s="240">
        <f>VLOOKUP(A309,'JUNE (물량흐름)'!$A$13:$C$502,3,0)</f>
        <v>100025244</v>
      </c>
      <c r="C309" s="21" t="str">
        <f>VLOOKUP(A309,'JUNE (물량흐름)'!$A$13:$C$502,2,0)</f>
        <v>ALFANI</v>
      </c>
      <c r="D309" s="212">
        <v>0.36</v>
      </c>
      <c r="E309" s="6">
        <f>VLOOKUP(B309,'Sales profit (스타일 별 매출이익)'!$D$9:$P$491,13,0)</f>
        <v>8163</v>
      </c>
      <c r="F309" s="112">
        <f>IFERROR(VLOOKUP(B309,O.B.JUNE!$N$7:$Q$448,2,0),0)</f>
        <v>0</v>
      </c>
      <c r="G309" s="112">
        <f>IFERROR(VLOOKUP(B309,O.B.JUNE!$N$7:$Q$448,3,0),0)</f>
        <v>0</v>
      </c>
      <c r="H309" s="112">
        <f>IFERROR(VLOOKUP(B309,O.B.JUNE!$N$7:$Q$448,4,0),0)</f>
        <v>12</v>
      </c>
      <c r="I309" s="112">
        <f t="shared" si="39"/>
        <v>12</v>
      </c>
      <c r="J309" s="112">
        <f>IFERROR(VLOOKUP(B309,O.B.JUNE!$AA$7:$AG$448,7,0),0)</f>
        <v>110200</v>
      </c>
      <c r="K309" s="112">
        <f>IFERROR(VLOOKUP(B309,O.B.JUNE!$AI$7:$AO$448,7,0),0)</f>
        <v>275845</v>
      </c>
      <c r="L309" s="112">
        <f t="shared" si="40"/>
        <v>386045</v>
      </c>
      <c r="M309" s="112">
        <f>ROUND(SUMIF('JUNE (물량흐름)'!$C$13:$C$502,'WIP(재공품)'!B309,'JUNE (물량흐름)'!$H$13:$H$502)+SUMIF('JUNE (물량흐름)'!$C$13:$C$502,'WIP(재공품)'!B309,'JUNE (물량흐름)'!$V$13:$V$502),0)</f>
        <v>0</v>
      </c>
      <c r="N309" s="112">
        <f>SUMIF('Direct labour(직접노무비)'!$C$12:$C$503,'WIP(재공품)'!B309,'Direct labour(직접노무비)'!$O$12:$O$503)</f>
        <v>0</v>
      </c>
      <c r="O309" s="112">
        <f>SUMIF('Overhead exp(제조경비)'!$C$12:$C$503,'WIP(재공품)'!B309,'Overhead exp(제조경비)'!$O$12:$O$503)</f>
        <v>0</v>
      </c>
      <c r="P309" s="112">
        <f t="shared" si="41"/>
        <v>0</v>
      </c>
      <c r="Q309" s="112">
        <v>0</v>
      </c>
      <c r="R309" s="112">
        <v>0</v>
      </c>
      <c r="S309" s="112">
        <f>SUMIF('JUNE (물량흐름)'!$C$13:$C$493,'WIP(재공품)'!B309,'JUNE (물량흐름)'!$T$13:$T$493)+SUMIF('JUNE (물량흐름)'!$C$13:$C$493,'WIP(재공품)'!B309,'JUNE (물량흐름)'!$U$13:$U$493)+SUMIF('JUNE (물량흐름)'!$C$13:$C$493,'WIP(재공품)'!B309,'JUNE (물량흐름)'!$V$13:$V$493)-SUMIF('JUNE (물량흐름)'!$C$13:$C$493,'WIP(재공품)'!B309,'JUNE (물량흐름)'!$Y$13:$Y$493)</f>
        <v>0</v>
      </c>
      <c r="T309" s="112">
        <f>SUMIF('JUNE (물량흐름)'!$C$13:$C$502,'WIP(재공품)'!B309,'JUNE (물량흐름)'!$Y$13:$Y$502)</f>
        <v>0</v>
      </c>
      <c r="U309" s="167">
        <f>SUMIF('Direct labour(직접노무비)'!$C$12:$C$503,'WIP(재공품)'!B309,'Direct labour(직접노무비)'!$U$12:$U$503)+SUMIF('Overhead exp(제조경비)'!$C$12:$C$503,'WIP(재공품)'!B309,'Overhead exp(제조경비)'!$U$12:$U$503)</f>
        <v>0</v>
      </c>
      <c r="V309" s="112">
        <f>SUMIF('Direct labour(직접노무비)'!$C$12:$C$503,'WIP(재공품)'!B309,'Direct labour(직접노무비)'!$Q$12:$Q$503)</f>
        <v>0</v>
      </c>
      <c r="W309" s="112">
        <f>SUMIF('Overhead exp(제조경비)'!$C$12:$C$503,'WIP(재공품)'!B309,'Overhead exp(제조경비)'!$Q$12:$Q$503)</f>
        <v>0</v>
      </c>
      <c r="X309" s="112">
        <f t="shared" si="42"/>
        <v>0</v>
      </c>
      <c r="Y309" s="112">
        <f ca="1">ROUND(SUMIF('JUNE (물량흐름)'!$C$13:$C$502,'WIP(재공품)'!B309,'JUNE (물량흐름)'!$N$13:$N$488),0)</f>
        <v>0</v>
      </c>
      <c r="Z309" s="112">
        <f>ROUND(SUMIF('JUNE (물량흐름)'!$C$13:$C$502,'WIP(재공품)'!B309,'JUNE (물량흐름)'!$O$13:$O$502),0)</f>
        <v>0</v>
      </c>
      <c r="AA309" s="112">
        <f>ROUND(SUMIF('JUNE (물량흐름)'!$C$13:$C$502,'WIP(재공품)'!B309,'JUNE (물량흐름)'!$P$13:$P$502),0)</f>
        <v>12</v>
      </c>
      <c r="AB309" s="112">
        <f t="shared" ca="1" si="43"/>
        <v>12</v>
      </c>
      <c r="AC309" s="112">
        <f t="shared" si="44"/>
        <v>386045</v>
      </c>
      <c r="AD309" s="381">
        <f t="shared" ca="1" si="45"/>
        <v>0</v>
      </c>
      <c r="AE309" s="381">
        <f t="shared" si="46"/>
        <v>0</v>
      </c>
      <c r="AF309" s="382"/>
      <c r="AG309" s="382">
        <v>3.3600000000000003</v>
      </c>
      <c r="AH309" s="383">
        <f t="shared" si="47"/>
        <v>-3.0000000000000004</v>
      </c>
      <c r="AJ309" s="383"/>
      <c r="AL309" s="385"/>
      <c r="AM309" s="381"/>
      <c r="AN309" s="382"/>
      <c r="AO309" s="382"/>
      <c r="AP309" s="383"/>
      <c r="AQ309" s="383"/>
    </row>
    <row r="310" spans="1:43" s="384" customFormat="1" ht="27" customHeight="1">
      <c r="A310" s="167">
        <v>304</v>
      </c>
      <c r="B310" s="240">
        <f>VLOOKUP(A310,'JUNE (물량흐름)'!$A$13:$C$502,3,0)</f>
        <v>100025245</v>
      </c>
      <c r="C310" s="21" t="str">
        <f>VLOOKUP(A310,'JUNE (물량흐름)'!$A$13:$C$502,2,0)</f>
        <v>ALFANI</v>
      </c>
      <c r="D310" s="212">
        <v>0.36</v>
      </c>
      <c r="E310" s="6">
        <f>VLOOKUP(B310,'Sales profit (스타일 별 매출이익)'!$D$9:$P$491,13,0)</f>
        <v>8163</v>
      </c>
      <c r="F310" s="112">
        <f>IFERROR(VLOOKUP(B310,O.B.JUNE!$N$7:$Q$448,2,0),0)</f>
        <v>22</v>
      </c>
      <c r="G310" s="112">
        <f>IFERROR(VLOOKUP(B310,O.B.JUNE!$N$7:$Q$448,3,0),0)</f>
        <v>5</v>
      </c>
      <c r="H310" s="112">
        <f>IFERROR(VLOOKUP(B310,O.B.JUNE!$N$7:$Q$448,4,0),0)</f>
        <v>11</v>
      </c>
      <c r="I310" s="112">
        <f t="shared" si="39"/>
        <v>38</v>
      </c>
      <c r="J310" s="112">
        <f>IFERROR(VLOOKUP(B310,O.B.JUNE!$AA$7:$AG$448,7,0),0)</f>
        <v>244890</v>
      </c>
      <c r="K310" s="112">
        <f>IFERROR(VLOOKUP(B310,O.B.JUNE!$AI$7:$AO$448,7,0),0)</f>
        <v>360994</v>
      </c>
      <c r="L310" s="112">
        <f t="shared" si="40"/>
        <v>605884</v>
      </c>
      <c r="M310" s="112">
        <f>ROUND(SUMIF('JUNE (물량흐름)'!$C$13:$C$502,'WIP(재공품)'!B310,'JUNE (물량흐름)'!$H$13:$H$502)+SUMIF('JUNE (물량흐름)'!$C$13:$C$502,'WIP(재공품)'!B310,'JUNE (물량흐름)'!$V$13:$V$502),0)</f>
        <v>0</v>
      </c>
      <c r="N310" s="112">
        <f>SUMIF('Direct labour(직접노무비)'!$C$12:$C$503,'WIP(재공품)'!B310,'Direct labour(직접노무비)'!$O$12:$O$503)</f>
        <v>0</v>
      </c>
      <c r="O310" s="112">
        <f>SUMIF('Overhead exp(제조경비)'!$C$12:$C$503,'WIP(재공품)'!B310,'Overhead exp(제조경비)'!$O$12:$O$503)</f>
        <v>0</v>
      </c>
      <c r="P310" s="112">
        <f t="shared" si="41"/>
        <v>0</v>
      </c>
      <c r="Q310" s="112">
        <v>0</v>
      </c>
      <c r="R310" s="112">
        <v>0</v>
      </c>
      <c r="S310" s="112">
        <f>SUMIF('JUNE (물량흐름)'!$C$13:$C$493,'WIP(재공품)'!B310,'JUNE (물량흐름)'!$T$13:$T$493)+SUMIF('JUNE (물량흐름)'!$C$13:$C$493,'WIP(재공품)'!B310,'JUNE (물량흐름)'!$U$13:$U$493)+SUMIF('JUNE (물량흐름)'!$C$13:$C$493,'WIP(재공품)'!B310,'JUNE (물량흐름)'!$V$13:$V$493)-SUMIF('JUNE (물량흐름)'!$C$13:$C$493,'WIP(재공품)'!B310,'JUNE (물량흐름)'!$Y$13:$Y$493)</f>
        <v>0</v>
      </c>
      <c r="T310" s="112">
        <f>SUMIF('JUNE (물량흐름)'!$C$13:$C$502,'WIP(재공품)'!B310,'JUNE (물량흐름)'!$Y$13:$Y$502)</f>
        <v>0</v>
      </c>
      <c r="U310" s="167">
        <f>SUMIF('Direct labour(직접노무비)'!$C$12:$C$503,'WIP(재공품)'!B310,'Direct labour(직접노무비)'!$U$12:$U$503)+SUMIF('Overhead exp(제조경비)'!$C$12:$C$503,'WIP(재공품)'!B310,'Overhead exp(제조경비)'!$U$12:$U$503)</f>
        <v>0</v>
      </c>
      <c r="V310" s="112">
        <f>SUMIF('Direct labour(직접노무비)'!$C$12:$C$503,'WIP(재공품)'!B310,'Direct labour(직접노무비)'!$Q$12:$Q$503)</f>
        <v>0</v>
      </c>
      <c r="W310" s="112">
        <f>SUMIF('Overhead exp(제조경비)'!$C$12:$C$503,'WIP(재공품)'!B310,'Overhead exp(제조경비)'!$Q$12:$Q$503)</f>
        <v>0</v>
      </c>
      <c r="X310" s="112">
        <f t="shared" si="42"/>
        <v>0</v>
      </c>
      <c r="Y310" s="112">
        <f ca="1">ROUND(SUMIF('JUNE (물량흐름)'!$C$13:$C$502,'WIP(재공품)'!B310,'JUNE (물량흐름)'!$N$13:$N$488),0)</f>
        <v>22</v>
      </c>
      <c r="Z310" s="112">
        <f>ROUND(SUMIF('JUNE (물량흐름)'!$C$13:$C$502,'WIP(재공품)'!B310,'JUNE (물량흐름)'!$O$13:$O$502),0)</f>
        <v>5</v>
      </c>
      <c r="AA310" s="112">
        <f>ROUND(SUMIF('JUNE (물량흐름)'!$C$13:$C$502,'WIP(재공품)'!B310,'JUNE (물량흐름)'!$P$13:$P$502),0)</f>
        <v>11</v>
      </c>
      <c r="AB310" s="112">
        <f t="shared" ca="1" si="43"/>
        <v>38</v>
      </c>
      <c r="AC310" s="112">
        <f t="shared" si="44"/>
        <v>605884</v>
      </c>
      <c r="AD310" s="381">
        <f t="shared" ca="1" si="45"/>
        <v>0</v>
      </c>
      <c r="AE310" s="381">
        <f t="shared" si="46"/>
        <v>0</v>
      </c>
      <c r="AF310" s="382"/>
      <c r="AG310" s="382">
        <v>0</v>
      </c>
      <c r="AH310" s="383">
        <f t="shared" si="47"/>
        <v>0.36</v>
      </c>
      <c r="AJ310" s="383"/>
      <c r="AL310" s="385"/>
      <c r="AM310" s="381"/>
      <c r="AN310" s="382"/>
      <c r="AO310" s="382"/>
      <c r="AP310" s="383"/>
      <c r="AQ310" s="383"/>
    </row>
    <row r="311" spans="1:43" s="384" customFormat="1" ht="27" customHeight="1">
      <c r="A311" s="167">
        <v>305</v>
      </c>
      <c r="B311" s="240">
        <f>VLOOKUP(A311,'JUNE (물량흐름)'!$A$13:$C$502,3,0)</f>
        <v>182013373</v>
      </c>
      <c r="C311" s="21" t="str">
        <f>VLOOKUP(A311,'JUNE (물량흐름)'!$A$13:$C$502,2,0)</f>
        <v>TALBOTS</v>
      </c>
      <c r="D311" s="212">
        <v>0.35</v>
      </c>
      <c r="E311" s="6">
        <f>VLOOKUP(B311,'Sales profit (스타일 별 매출이익)'!$D$9:$P$491,13,0)</f>
        <v>7936.2499999999991</v>
      </c>
      <c r="F311" s="112">
        <f>IFERROR(VLOOKUP(B311,O.B.JUNE!$N$7:$Q$448,2,0),0)</f>
        <v>0</v>
      </c>
      <c r="G311" s="112">
        <f>IFERROR(VLOOKUP(B311,O.B.JUNE!$N$7:$Q$448,3,0),0)</f>
        <v>318</v>
      </c>
      <c r="H311" s="112">
        <f>IFERROR(VLOOKUP(B311,O.B.JUNE!$N$7:$Q$448,4,0),0)</f>
        <v>273</v>
      </c>
      <c r="I311" s="112">
        <f t="shared" si="39"/>
        <v>591</v>
      </c>
      <c r="J311" s="112">
        <f>IFERROR(VLOOKUP(B311,O.B.JUNE!$AA$7:$AG$448,7,0),0)</f>
        <v>3830236</v>
      </c>
      <c r="K311" s="112">
        <f>IFERROR(VLOOKUP(B311,O.B.JUNE!$AI$7:$AO$448,7,0),0)</f>
        <v>8659996</v>
      </c>
      <c r="L311" s="112">
        <f t="shared" si="40"/>
        <v>12490232</v>
      </c>
      <c r="M311" s="112">
        <f>ROUND(SUMIF('JUNE (물량흐름)'!$C$13:$C$502,'WIP(재공품)'!B311,'JUNE (물량흐름)'!$H$13:$H$502)+SUMIF('JUNE (물량흐름)'!$C$13:$C$502,'WIP(재공품)'!B311,'JUNE (물량흐름)'!$V$13:$V$502),0)</f>
        <v>0</v>
      </c>
      <c r="N311" s="112">
        <f>SUMIF('Direct labour(직접노무비)'!$C$12:$C$503,'WIP(재공품)'!B311,'Direct labour(직접노무비)'!$O$12:$O$503)</f>
        <v>0</v>
      </c>
      <c r="O311" s="112">
        <f>SUMIF('Overhead exp(제조경비)'!$C$12:$C$503,'WIP(재공품)'!B311,'Overhead exp(제조경비)'!$O$12:$O$503)</f>
        <v>0</v>
      </c>
      <c r="P311" s="112">
        <f t="shared" si="41"/>
        <v>0</v>
      </c>
      <c r="Q311" s="112">
        <v>0</v>
      </c>
      <c r="R311" s="112">
        <v>0</v>
      </c>
      <c r="S311" s="112">
        <f>SUMIF('JUNE (물량흐름)'!$C$13:$C$493,'WIP(재공품)'!B311,'JUNE (물량흐름)'!$T$13:$T$493)+SUMIF('JUNE (물량흐름)'!$C$13:$C$493,'WIP(재공품)'!B311,'JUNE (물량흐름)'!$U$13:$U$493)+SUMIF('JUNE (물량흐름)'!$C$13:$C$493,'WIP(재공품)'!B311,'JUNE (물량흐름)'!$V$13:$V$493)-SUMIF('JUNE (물량흐름)'!$C$13:$C$493,'WIP(재공품)'!B311,'JUNE (물량흐름)'!$Y$13:$Y$493)</f>
        <v>0</v>
      </c>
      <c r="T311" s="112">
        <f>SUMIF('JUNE (물량흐름)'!$C$13:$C$502,'WIP(재공품)'!B311,'JUNE (물량흐름)'!$Y$13:$Y$502)</f>
        <v>0</v>
      </c>
      <c r="U311" s="167">
        <f>SUMIF('Direct labour(직접노무비)'!$C$12:$C$503,'WIP(재공품)'!B311,'Direct labour(직접노무비)'!$U$12:$U$503)+SUMIF('Overhead exp(제조경비)'!$C$12:$C$503,'WIP(재공품)'!B311,'Overhead exp(제조경비)'!$U$12:$U$503)</f>
        <v>0</v>
      </c>
      <c r="V311" s="112">
        <f>SUMIF('Direct labour(직접노무비)'!$C$12:$C$503,'WIP(재공품)'!B311,'Direct labour(직접노무비)'!$Q$12:$Q$503)</f>
        <v>0</v>
      </c>
      <c r="W311" s="112">
        <f>SUMIF('Overhead exp(제조경비)'!$C$12:$C$503,'WIP(재공품)'!B311,'Overhead exp(제조경비)'!$Q$12:$Q$503)</f>
        <v>0</v>
      </c>
      <c r="X311" s="112">
        <f t="shared" si="42"/>
        <v>0</v>
      </c>
      <c r="Y311" s="112">
        <f ca="1">ROUND(SUMIF('JUNE (물량흐름)'!$C$13:$C$502,'WIP(재공품)'!B311,'JUNE (물량흐름)'!$N$13:$N$488),0)</f>
        <v>0</v>
      </c>
      <c r="Z311" s="112">
        <f>ROUND(SUMIF('JUNE (물량흐름)'!$C$13:$C$502,'WIP(재공품)'!B311,'JUNE (물량흐름)'!$O$13:$O$502),0)</f>
        <v>318</v>
      </c>
      <c r="AA311" s="112">
        <f>ROUND(SUMIF('JUNE (물량흐름)'!$C$13:$C$502,'WIP(재공품)'!B311,'JUNE (물량흐름)'!$P$13:$P$502),0)</f>
        <v>273</v>
      </c>
      <c r="AB311" s="112">
        <f t="shared" ca="1" si="43"/>
        <v>591</v>
      </c>
      <c r="AC311" s="112">
        <f t="shared" si="44"/>
        <v>12490232</v>
      </c>
      <c r="AD311" s="381">
        <f t="shared" ca="1" si="45"/>
        <v>0</v>
      </c>
      <c r="AE311" s="381">
        <f t="shared" si="46"/>
        <v>0</v>
      </c>
      <c r="AF311" s="382"/>
      <c r="AG311" s="382">
        <v>0</v>
      </c>
      <c r="AH311" s="383">
        <f t="shared" si="47"/>
        <v>0.35</v>
      </c>
      <c r="AJ311" s="383"/>
      <c r="AL311" s="385"/>
      <c r="AM311" s="381"/>
      <c r="AN311" s="382"/>
      <c r="AO311" s="382"/>
      <c r="AP311" s="383"/>
      <c r="AQ311" s="383"/>
    </row>
    <row r="312" spans="1:43" s="384" customFormat="1" ht="27" customHeight="1">
      <c r="A312" s="167">
        <v>306</v>
      </c>
      <c r="B312" s="240">
        <f>VLOOKUP(A312,'JUNE (물량흐름)'!$A$13:$C$502,3,0)</f>
        <v>182013374</v>
      </c>
      <c r="C312" s="21" t="str">
        <f>VLOOKUP(A312,'JUNE (물량흐름)'!$A$13:$C$502,2,0)</f>
        <v>TALBOTS</v>
      </c>
      <c r="D312" s="212">
        <v>0.35</v>
      </c>
      <c r="E312" s="6">
        <f>VLOOKUP(B312,'Sales profit (스타일 별 매출이익)'!$D$9:$P$491,13,0)</f>
        <v>7936.2499999999991</v>
      </c>
      <c r="F312" s="112">
        <f>IFERROR(VLOOKUP(B312,O.B.JUNE!$N$7:$Q$448,2,0),0)</f>
        <v>0</v>
      </c>
      <c r="G312" s="112">
        <f>IFERROR(VLOOKUP(B312,O.B.JUNE!$N$7:$Q$448,3,0),0)</f>
        <v>69</v>
      </c>
      <c r="H312" s="112">
        <f>IFERROR(VLOOKUP(B312,O.B.JUNE!$N$7:$Q$448,4,0),0)</f>
        <v>337</v>
      </c>
      <c r="I312" s="112">
        <f t="shared" si="39"/>
        <v>406</v>
      </c>
      <c r="J312" s="112">
        <f>IFERROR(VLOOKUP(B312,O.B.JUNE!$AA$7:$AG$448,7,0),0)</f>
        <v>3088158</v>
      </c>
      <c r="K312" s="112">
        <f>IFERROR(VLOOKUP(B312,O.B.JUNE!$AI$7:$AO$448,7,0),0)</f>
        <v>4552274</v>
      </c>
      <c r="L312" s="112">
        <f t="shared" si="40"/>
        <v>7640432</v>
      </c>
      <c r="M312" s="112">
        <f>ROUND(SUMIF('JUNE (물량흐름)'!$C$13:$C$502,'WIP(재공품)'!B312,'JUNE (물량흐름)'!$H$13:$H$502)+SUMIF('JUNE (물량흐름)'!$C$13:$C$502,'WIP(재공품)'!B312,'JUNE (물량흐름)'!$V$13:$V$502),0)</f>
        <v>0</v>
      </c>
      <c r="N312" s="112">
        <f>SUMIF('Direct labour(직접노무비)'!$C$12:$C$503,'WIP(재공품)'!B312,'Direct labour(직접노무비)'!$O$12:$O$503)</f>
        <v>0</v>
      </c>
      <c r="O312" s="112">
        <f>SUMIF('Overhead exp(제조경비)'!$C$12:$C$503,'WIP(재공품)'!B312,'Overhead exp(제조경비)'!$O$12:$O$503)</f>
        <v>0</v>
      </c>
      <c r="P312" s="112">
        <f t="shared" si="41"/>
        <v>0</v>
      </c>
      <c r="Q312" s="112">
        <v>0</v>
      </c>
      <c r="R312" s="112">
        <v>0</v>
      </c>
      <c r="S312" s="112">
        <f>SUMIF('JUNE (물량흐름)'!$C$13:$C$493,'WIP(재공품)'!B312,'JUNE (물량흐름)'!$T$13:$T$493)+SUMIF('JUNE (물량흐름)'!$C$13:$C$493,'WIP(재공품)'!B312,'JUNE (물량흐름)'!$U$13:$U$493)+SUMIF('JUNE (물량흐름)'!$C$13:$C$493,'WIP(재공품)'!B312,'JUNE (물량흐름)'!$V$13:$V$493)-SUMIF('JUNE (물량흐름)'!$C$13:$C$493,'WIP(재공품)'!B312,'JUNE (물량흐름)'!$Y$13:$Y$493)</f>
        <v>0</v>
      </c>
      <c r="T312" s="112">
        <f>SUMIF('JUNE (물량흐름)'!$C$13:$C$502,'WIP(재공품)'!B312,'JUNE (물량흐름)'!$Y$13:$Y$502)</f>
        <v>0</v>
      </c>
      <c r="U312" s="167">
        <f>SUMIF('Direct labour(직접노무비)'!$C$12:$C$503,'WIP(재공품)'!B312,'Direct labour(직접노무비)'!$U$12:$U$503)+SUMIF('Overhead exp(제조경비)'!$C$12:$C$503,'WIP(재공품)'!B312,'Overhead exp(제조경비)'!$U$12:$U$503)</f>
        <v>0</v>
      </c>
      <c r="V312" s="112">
        <f>SUMIF('Direct labour(직접노무비)'!$C$12:$C$503,'WIP(재공품)'!B312,'Direct labour(직접노무비)'!$Q$12:$Q$503)</f>
        <v>0</v>
      </c>
      <c r="W312" s="112">
        <f>SUMIF('Overhead exp(제조경비)'!$C$12:$C$503,'WIP(재공품)'!B312,'Overhead exp(제조경비)'!$Q$12:$Q$503)</f>
        <v>0</v>
      </c>
      <c r="X312" s="112">
        <f t="shared" si="42"/>
        <v>0</v>
      </c>
      <c r="Y312" s="112">
        <f ca="1">ROUND(SUMIF('JUNE (물량흐름)'!$C$13:$C$502,'WIP(재공품)'!B312,'JUNE (물량흐름)'!$N$13:$N$488),0)</f>
        <v>0</v>
      </c>
      <c r="Z312" s="112">
        <f>ROUND(SUMIF('JUNE (물량흐름)'!$C$13:$C$502,'WIP(재공품)'!B312,'JUNE (물량흐름)'!$O$13:$O$502),0)</f>
        <v>70</v>
      </c>
      <c r="AA312" s="112">
        <f>ROUND(SUMIF('JUNE (물량흐름)'!$C$13:$C$502,'WIP(재공품)'!B312,'JUNE (물량흐름)'!$P$13:$P$502),0)</f>
        <v>336</v>
      </c>
      <c r="AB312" s="112">
        <f t="shared" ca="1" si="43"/>
        <v>406</v>
      </c>
      <c r="AC312" s="112">
        <f t="shared" si="44"/>
        <v>7640432</v>
      </c>
      <c r="AD312" s="381">
        <f t="shared" ca="1" si="45"/>
        <v>0</v>
      </c>
      <c r="AE312" s="381">
        <f t="shared" si="46"/>
        <v>0</v>
      </c>
      <c r="AF312" s="382"/>
      <c r="AG312" s="382">
        <v>2</v>
      </c>
      <c r="AH312" s="383">
        <f t="shared" si="47"/>
        <v>-1.65</v>
      </c>
      <c r="AJ312" s="383"/>
      <c r="AL312" s="385"/>
      <c r="AM312" s="381"/>
      <c r="AN312" s="382"/>
      <c r="AO312" s="382"/>
      <c r="AP312" s="383"/>
      <c r="AQ312" s="383"/>
    </row>
    <row r="313" spans="1:43" s="384" customFormat="1" ht="27" customHeight="1">
      <c r="A313" s="167">
        <v>307</v>
      </c>
      <c r="B313" s="240">
        <f>VLOOKUP(A313,'JUNE (물량흐름)'!$A$13:$C$502,3,0)</f>
        <v>182034338</v>
      </c>
      <c r="C313" s="21" t="str">
        <f>VLOOKUP(A313,'JUNE (물량흐름)'!$A$13:$C$502,2,0)</f>
        <v>TALBOTS</v>
      </c>
      <c r="D313" s="212">
        <v>0.35</v>
      </c>
      <c r="E313" s="6">
        <f>VLOOKUP(B313,'Sales profit (스타일 별 매출이익)'!$D$9:$P$491,13,0)</f>
        <v>7936.2499999999991</v>
      </c>
      <c r="F313" s="112">
        <f>IFERROR(VLOOKUP(B313,O.B.JUNE!$N$7:$Q$448,2,0),0)</f>
        <v>0</v>
      </c>
      <c r="G313" s="112">
        <f>IFERROR(VLOOKUP(B313,O.B.JUNE!$N$7:$Q$448,3,0),0)</f>
        <v>61</v>
      </c>
      <c r="H313" s="112">
        <f>IFERROR(VLOOKUP(B313,O.B.JUNE!$N$7:$Q$448,4,0),0)</f>
        <v>10</v>
      </c>
      <c r="I313" s="112">
        <f t="shared" si="39"/>
        <v>71</v>
      </c>
      <c r="J313" s="112">
        <f>IFERROR(VLOOKUP(B313,O.B.JUNE!$AA$7:$AG$448,7,0),0)</f>
        <v>1613548</v>
      </c>
      <c r="K313" s="112">
        <f>IFERROR(VLOOKUP(B313,O.B.JUNE!$AI$7:$AO$448,7,0),0)</f>
        <v>2378541</v>
      </c>
      <c r="L313" s="112">
        <f t="shared" si="40"/>
        <v>3992089</v>
      </c>
      <c r="M313" s="112">
        <f>ROUND(SUMIF('JUNE (물량흐름)'!$C$13:$C$502,'WIP(재공품)'!B313,'JUNE (물량흐름)'!$H$13:$H$502)+SUMIF('JUNE (물량흐름)'!$C$13:$C$502,'WIP(재공품)'!B313,'JUNE (물량흐름)'!$V$13:$V$502),0)</f>
        <v>0</v>
      </c>
      <c r="N313" s="112">
        <f>SUMIF('Direct labour(직접노무비)'!$C$12:$C$503,'WIP(재공품)'!B313,'Direct labour(직접노무비)'!$O$12:$O$503)</f>
        <v>0</v>
      </c>
      <c r="O313" s="112">
        <f>SUMIF('Overhead exp(제조경비)'!$C$12:$C$503,'WIP(재공품)'!B313,'Overhead exp(제조경비)'!$O$12:$O$503)</f>
        <v>0</v>
      </c>
      <c r="P313" s="112">
        <f t="shared" si="41"/>
        <v>0</v>
      </c>
      <c r="Q313" s="112">
        <v>0</v>
      </c>
      <c r="R313" s="112">
        <v>0</v>
      </c>
      <c r="S313" s="112">
        <f>SUMIF('JUNE (물량흐름)'!$C$13:$C$493,'WIP(재공품)'!B313,'JUNE (물량흐름)'!$T$13:$T$493)+SUMIF('JUNE (물량흐름)'!$C$13:$C$493,'WIP(재공품)'!B313,'JUNE (물량흐름)'!$U$13:$U$493)+SUMIF('JUNE (물량흐름)'!$C$13:$C$493,'WIP(재공품)'!B313,'JUNE (물량흐름)'!$V$13:$V$493)-SUMIF('JUNE (물량흐름)'!$C$13:$C$493,'WIP(재공품)'!B313,'JUNE (물량흐름)'!$Y$13:$Y$493)</f>
        <v>0</v>
      </c>
      <c r="T313" s="112">
        <f>SUMIF('JUNE (물량흐름)'!$C$13:$C$502,'WIP(재공품)'!B313,'JUNE (물량흐름)'!$Y$13:$Y$502)</f>
        <v>0</v>
      </c>
      <c r="U313" s="167">
        <f>SUMIF('Direct labour(직접노무비)'!$C$12:$C$503,'WIP(재공품)'!B313,'Direct labour(직접노무비)'!$U$12:$U$503)+SUMIF('Overhead exp(제조경비)'!$C$12:$C$503,'WIP(재공품)'!B313,'Overhead exp(제조경비)'!$U$12:$U$503)</f>
        <v>0</v>
      </c>
      <c r="V313" s="112">
        <f>SUMIF('Direct labour(직접노무비)'!$C$12:$C$503,'WIP(재공품)'!B313,'Direct labour(직접노무비)'!$Q$12:$Q$503)</f>
        <v>0</v>
      </c>
      <c r="W313" s="112">
        <f>SUMIF('Overhead exp(제조경비)'!$C$12:$C$503,'WIP(재공품)'!B313,'Overhead exp(제조경비)'!$Q$12:$Q$503)</f>
        <v>0</v>
      </c>
      <c r="X313" s="112">
        <f t="shared" si="42"/>
        <v>0</v>
      </c>
      <c r="Y313" s="112">
        <f ca="1">ROUND(SUMIF('JUNE (물량흐름)'!$C$13:$C$502,'WIP(재공품)'!B313,'JUNE (물량흐름)'!$N$13:$N$488),0)</f>
        <v>0</v>
      </c>
      <c r="Z313" s="112">
        <f>ROUND(SUMIF('JUNE (물량흐름)'!$C$13:$C$502,'WIP(재공품)'!B313,'JUNE (물량흐름)'!$O$13:$O$502),0)</f>
        <v>61</v>
      </c>
      <c r="AA313" s="112">
        <f>ROUND(SUMIF('JUNE (물량흐름)'!$C$13:$C$502,'WIP(재공품)'!B313,'JUNE (물량흐름)'!$P$13:$P$502),0)</f>
        <v>10</v>
      </c>
      <c r="AB313" s="112">
        <f t="shared" ca="1" si="43"/>
        <v>71</v>
      </c>
      <c r="AC313" s="112">
        <f t="shared" si="44"/>
        <v>3992089</v>
      </c>
      <c r="AD313" s="381">
        <f t="shared" ca="1" si="45"/>
        <v>0</v>
      </c>
      <c r="AE313" s="381">
        <f t="shared" si="46"/>
        <v>0</v>
      </c>
      <c r="AF313" s="382"/>
      <c r="AG313" s="382">
        <v>1.1000000000000001</v>
      </c>
      <c r="AH313" s="383">
        <f t="shared" si="47"/>
        <v>-0.75000000000000011</v>
      </c>
      <c r="AJ313" s="383"/>
      <c r="AL313" s="385"/>
      <c r="AM313" s="381"/>
      <c r="AN313" s="382"/>
      <c r="AO313" s="382"/>
      <c r="AP313" s="383"/>
      <c r="AQ313" s="383"/>
    </row>
    <row r="314" spans="1:43" s="384" customFormat="1" ht="27" customHeight="1">
      <c r="A314" s="167">
        <v>308</v>
      </c>
      <c r="B314" s="240">
        <f>VLOOKUP(A314,'JUNE (물량흐름)'!$A$13:$C$502,3,0)</f>
        <v>100015358</v>
      </c>
      <c r="C314" s="21" t="str">
        <f>VLOOKUP(A314,'JUNE (물량흐름)'!$A$13:$C$502,2,0)</f>
        <v>ALFANI</v>
      </c>
      <c r="D314" s="212">
        <v>1.96</v>
      </c>
      <c r="E314" s="6">
        <f>VLOOKUP(B314,'Sales profit (스타일 별 매출이익)'!$D$9:$P$491,13,0)</f>
        <v>44443</v>
      </c>
      <c r="F314" s="112">
        <f>IFERROR(VLOOKUP(B314,O.B.JUNE!$N$7:$Q$448,2,0),0)</f>
        <v>0</v>
      </c>
      <c r="G314" s="112">
        <f>IFERROR(VLOOKUP(B314,O.B.JUNE!$N$7:$Q$448,3,0),0)</f>
        <v>26</v>
      </c>
      <c r="H314" s="112">
        <f>IFERROR(VLOOKUP(B314,O.B.JUNE!$N$7:$Q$448,4,0),0)</f>
        <v>36</v>
      </c>
      <c r="I314" s="112">
        <f t="shared" si="39"/>
        <v>62</v>
      </c>
      <c r="J314" s="112">
        <f>IFERROR(VLOOKUP(B314,O.B.JUNE!$AA$7:$AG$448,7,0),0)</f>
        <v>389753</v>
      </c>
      <c r="K314" s="112">
        <f>IFERROR(VLOOKUP(B314,O.B.JUNE!$AI$7:$AO$448,7,0),0)</f>
        <v>625183</v>
      </c>
      <c r="L314" s="112">
        <f t="shared" si="40"/>
        <v>1014936</v>
      </c>
      <c r="M314" s="112">
        <f>ROUND(SUMIF('JUNE (물량흐름)'!$C$13:$C$502,'WIP(재공품)'!B314,'JUNE (물량흐름)'!$H$13:$H$502)+SUMIF('JUNE (물량흐름)'!$C$13:$C$502,'WIP(재공품)'!B314,'JUNE (물량흐름)'!$V$13:$V$502),0)</f>
        <v>0</v>
      </c>
      <c r="N314" s="112">
        <f>SUMIF('Direct labour(직접노무비)'!$C$12:$C$503,'WIP(재공품)'!B314,'Direct labour(직접노무비)'!$O$12:$O$503)</f>
        <v>0</v>
      </c>
      <c r="O314" s="112">
        <f>SUMIF('Overhead exp(제조경비)'!$C$12:$C$503,'WIP(재공품)'!B314,'Overhead exp(제조경비)'!$O$12:$O$503)</f>
        <v>0</v>
      </c>
      <c r="P314" s="112">
        <f t="shared" si="41"/>
        <v>0</v>
      </c>
      <c r="Q314" s="112">
        <v>0</v>
      </c>
      <c r="R314" s="112">
        <v>0</v>
      </c>
      <c r="S314" s="112">
        <f>SUMIF('JUNE (물량흐름)'!$C$13:$C$493,'WIP(재공품)'!B314,'JUNE (물량흐름)'!$T$13:$T$493)+SUMIF('JUNE (물량흐름)'!$C$13:$C$493,'WIP(재공품)'!B314,'JUNE (물량흐름)'!$U$13:$U$493)+SUMIF('JUNE (물량흐름)'!$C$13:$C$493,'WIP(재공품)'!B314,'JUNE (물량흐름)'!$V$13:$V$493)-SUMIF('JUNE (물량흐름)'!$C$13:$C$493,'WIP(재공품)'!B314,'JUNE (물량흐름)'!$Y$13:$Y$493)</f>
        <v>0</v>
      </c>
      <c r="T314" s="112">
        <f>SUMIF('JUNE (물량흐름)'!$C$13:$C$502,'WIP(재공품)'!B314,'JUNE (물량흐름)'!$Y$13:$Y$502)</f>
        <v>0</v>
      </c>
      <c r="U314" s="167">
        <f>SUMIF('Direct labour(직접노무비)'!$C$12:$C$503,'WIP(재공품)'!B314,'Direct labour(직접노무비)'!$U$12:$U$503)+SUMIF('Overhead exp(제조경비)'!$C$12:$C$503,'WIP(재공품)'!B314,'Overhead exp(제조경비)'!$U$12:$U$503)</f>
        <v>0</v>
      </c>
      <c r="V314" s="112">
        <f>SUMIF('Direct labour(직접노무비)'!$C$12:$C$503,'WIP(재공품)'!B314,'Direct labour(직접노무비)'!$Q$12:$Q$503)</f>
        <v>0</v>
      </c>
      <c r="W314" s="112">
        <f>SUMIF('Overhead exp(제조경비)'!$C$12:$C$503,'WIP(재공품)'!B314,'Overhead exp(제조경비)'!$Q$12:$Q$503)</f>
        <v>0</v>
      </c>
      <c r="X314" s="112">
        <f t="shared" si="42"/>
        <v>0</v>
      </c>
      <c r="Y314" s="112">
        <f ca="1">ROUND(SUMIF('JUNE (물량흐름)'!$C$13:$C$502,'WIP(재공품)'!B314,'JUNE (물량흐름)'!$N$13:$N$488),0)</f>
        <v>0</v>
      </c>
      <c r="Z314" s="112">
        <f>ROUND(SUMIF('JUNE (물량흐름)'!$C$13:$C$502,'WIP(재공품)'!B314,'JUNE (물량흐름)'!$O$13:$O$502),0)</f>
        <v>26</v>
      </c>
      <c r="AA314" s="112">
        <f>ROUND(SUMIF('JUNE (물량흐름)'!$C$13:$C$502,'WIP(재공품)'!B314,'JUNE (물량흐름)'!$P$13:$P$502),0)</f>
        <v>36</v>
      </c>
      <c r="AB314" s="112">
        <f t="shared" ca="1" si="43"/>
        <v>62</v>
      </c>
      <c r="AC314" s="112">
        <f t="shared" si="44"/>
        <v>1014936</v>
      </c>
      <c r="AD314" s="381">
        <f t="shared" ca="1" si="45"/>
        <v>0</v>
      </c>
      <c r="AE314" s="381">
        <f t="shared" si="46"/>
        <v>0</v>
      </c>
      <c r="AF314" s="382"/>
      <c r="AG314" s="382">
        <v>1.1000000000000001</v>
      </c>
      <c r="AH314" s="383">
        <f t="shared" si="47"/>
        <v>0.85999999999999988</v>
      </c>
      <c r="AJ314" s="383"/>
      <c r="AL314" s="385"/>
      <c r="AM314" s="381"/>
      <c r="AN314" s="382"/>
      <c r="AO314" s="382"/>
      <c r="AP314" s="383"/>
      <c r="AQ314" s="383"/>
    </row>
    <row r="315" spans="1:43" s="384" customFormat="1" ht="27" customHeight="1">
      <c r="A315" s="167">
        <v>309</v>
      </c>
      <c r="B315" s="240">
        <f>VLOOKUP(A315,'JUNE (물량흐름)'!$A$13:$C$502,3,0)</f>
        <v>100022090</v>
      </c>
      <c r="C315" s="21" t="str">
        <f>VLOOKUP(A315,'JUNE (물량흐름)'!$A$13:$C$502,2,0)</f>
        <v>ALFANI</v>
      </c>
      <c r="D315" s="212">
        <v>0.35</v>
      </c>
      <c r="E315" s="6">
        <f>VLOOKUP(B315,'Sales profit (스타일 별 매출이익)'!$D$9:$P$491,13,0)</f>
        <v>7936.2499999999991</v>
      </c>
      <c r="F315" s="112">
        <f>IFERROR(VLOOKUP(B315,O.B.JUNE!$N$7:$Q$448,2,0),0)</f>
        <v>0</v>
      </c>
      <c r="G315" s="112">
        <f>IFERROR(VLOOKUP(B315,O.B.JUNE!$N$7:$Q$448,3,0),0)</f>
        <v>0</v>
      </c>
      <c r="H315" s="112">
        <f>IFERROR(VLOOKUP(B315,O.B.JUNE!$N$7:$Q$448,4,0),0)</f>
        <v>335</v>
      </c>
      <c r="I315" s="112">
        <f t="shared" si="39"/>
        <v>335</v>
      </c>
      <c r="J315" s="112">
        <f>IFERROR(VLOOKUP(B315,O.B.JUNE!$AA$7:$AG$448,7,0),0)</f>
        <v>4746125</v>
      </c>
      <c r="K315" s="112">
        <f>IFERROR(VLOOKUP(B315,O.B.JUNE!$AI$7:$AO$448,7,0),0)</f>
        <v>8651616</v>
      </c>
      <c r="L315" s="112">
        <f t="shared" si="40"/>
        <v>13397741</v>
      </c>
      <c r="M315" s="112">
        <f>ROUND(SUMIF('JUNE (물량흐름)'!$C$13:$C$502,'WIP(재공품)'!B315,'JUNE (물량흐름)'!$H$13:$H$502)+SUMIF('JUNE (물량흐름)'!$C$13:$C$502,'WIP(재공품)'!B315,'JUNE (물량흐름)'!$V$13:$V$502),0)</f>
        <v>0</v>
      </c>
      <c r="N315" s="112">
        <f>SUMIF('Direct labour(직접노무비)'!$C$12:$C$503,'WIP(재공품)'!B315,'Direct labour(직접노무비)'!$O$12:$O$503)</f>
        <v>0</v>
      </c>
      <c r="O315" s="112">
        <f>SUMIF('Overhead exp(제조경비)'!$C$12:$C$503,'WIP(재공품)'!B315,'Overhead exp(제조경비)'!$O$12:$O$503)</f>
        <v>0</v>
      </c>
      <c r="P315" s="112">
        <f t="shared" si="41"/>
        <v>0</v>
      </c>
      <c r="Q315" s="112">
        <v>0</v>
      </c>
      <c r="R315" s="112">
        <v>0</v>
      </c>
      <c r="S315" s="112">
        <f>SUMIF('JUNE (물량흐름)'!$C$13:$C$493,'WIP(재공품)'!B315,'JUNE (물량흐름)'!$T$13:$T$493)+SUMIF('JUNE (물량흐름)'!$C$13:$C$493,'WIP(재공품)'!B315,'JUNE (물량흐름)'!$U$13:$U$493)+SUMIF('JUNE (물량흐름)'!$C$13:$C$493,'WIP(재공품)'!B315,'JUNE (물량흐름)'!$V$13:$V$493)-SUMIF('JUNE (물량흐름)'!$C$13:$C$493,'WIP(재공품)'!B315,'JUNE (물량흐름)'!$Y$13:$Y$493)</f>
        <v>0</v>
      </c>
      <c r="T315" s="112">
        <f>SUMIF('JUNE (물량흐름)'!$C$13:$C$502,'WIP(재공품)'!B315,'JUNE (물량흐름)'!$Y$13:$Y$502)</f>
        <v>0</v>
      </c>
      <c r="U315" s="167">
        <f>SUMIF('Direct labour(직접노무비)'!$C$12:$C$503,'WIP(재공품)'!B315,'Direct labour(직접노무비)'!$U$12:$U$503)+SUMIF('Overhead exp(제조경비)'!$C$12:$C$503,'WIP(재공품)'!B315,'Overhead exp(제조경비)'!$U$12:$U$503)</f>
        <v>0</v>
      </c>
      <c r="V315" s="112">
        <f>SUMIF('Direct labour(직접노무비)'!$C$12:$C$503,'WIP(재공품)'!B315,'Direct labour(직접노무비)'!$Q$12:$Q$503)</f>
        <v>0</v>
      </c>
      <c r="W315" s="112">
        <f>SUMIF('Overhead exp(제조경비)'!$C$12:$C$503,'WIP(재공품)'!B315,'Overhead exp(제조경비)'!$Q$12:$Q$503)</f>
        <v>0</v>
      </c>
      <c r="X315" s="112">
        <f t="shared" si="42"/>
        <v>0</v>
      </c>
      <c r="Y315" s="112">
        <f ca="1">ROUND(SUMIF('JUNE (물량흐름)'!$C$13:$C$502,'WIP(재공품)'!B315,'JUNE (물량흐름)'!$N$13:$N$488),0)</f>
        <v>0</v>
      </c>
      <c r="Z315" s="112">
        <f>ROUND(SUMIF('JUNE (물량흐름)'!$C$13:$C$502,'WIP(재공품)'!B315,'JUNE (물량흐름)'!$O$13:$O$502),0)</f>
        <v>0</v>
      </c>
      <c r="AA315" s="112">
        <f>ROUND(SUMIF('JUNE (물량흐름)'!$C$13:$C$502,'WIP(재공품)'!B315,'JUNE (물량흐름)'!$P$13:$P$502),0)</f>
        <v>335</v>
      </c>
      <c r="AB315" s="112">
        <f t="shared" ca="1" si="43"/>
        <v>335</v>
      </c>
      <c r="AC315" s="112">
        <f t="shared" si="44"/>
        <v>13397741</v>
      </c>
      <c r="AD315" s="381">
        <f t="shared" ca="1" si="45"/>
        <v>0</v>
      </c>
      <c r="AE315" s="381">
        <f t="shared" si="46"/>
        <v>0</v>
      </c>
      <c r="AF315" s="382"/>
      <c r="AG315" s="382">
        <v>1.9</v>
      </c>
      <c r="AH315" s="383">
        <f t="shared" si="47"/>
        <v>-1.5499999999999998</v>
      </c>
      <c r="AJ315" s="383"/>
      <c r="AL315" s="385"/>
      <c r="AM315" s="381"/>
      <c r="AN315" s="382"/>
      <c r="AO315" s="382"/>
      <c r="AP315" s="383"/>
      <c r="AQ315" s="383"/>
    </row>
    <row r="316" spans="1:43" s="384" customFormat="1" ht="27" customHeight="1">
      <c r="A316" s="167">
        <v>310</v>
      </c>
      <c r="B316" s="240">
        <f>VLOOKUP(A316,'JUNE (물량흐름)'!$A$13:$C$502,3,0)</f>
        <v>182034820</v>
      </c>
      <c r="C316" s="21" t="str">
        <f>VLOOKUP(A316,'JUNE (물량흐름)'!$A$13:$C$502,2,0)</f>
        <v>TALBOTS</v>
      </c>
      <c r="D316" s="212">
        <v>0.36</v>
      </c>
      <c r="E316" s="6">
        <f>VLOOKUP(B316,'Sales profit (스타일 별 매출이익)'!$D$9:$P$491,13,0)</f>
        <v>8163</v>
      </c>
      <c r="F316" s="112">
        <f>IFERROR(VLOOKUP(B316,O.B.JUNE!$N$7:$Q$448,2,0),0)</f>
        <v>0</v>
      </c>
      <c r="G316" s="112">
        <f>IFERROR(VLOOKUP(B316,O.B.JUNE!$N$7:$Q$448,3,0),0)</f>
        <v>367</v>
      </c>
      <c r="H316" s="112">
        <f>IFERROR(VLOOKUP(B316,O.B.JUNE!$N$7:$Q$448,4,0),0)</f>
        <v>509</v>
      </c>
      <c r="I316" s="112">
        <f t="shared" si="39"/>
        <v>876</v>
      </c>
      <c r="J316" s="112">
        <f>IFERROR(VLOOKUP(B316,O.B.JUNE!$AA$7:$AG$448,7,0),0)</f>
        <v>11496578</v>
      </c>
      <c r="K316" s="112">
        <f>IFERROR(VLOOKUP(B316,O.B.JUNE!$AI$7:$AO$448,7,0),0)</f>
        <v>20734852</v>
      </c>
      <c r="L316" s="112">
        <f t="shared" si="40"/>
        <v>32231430</v>
      </c>
      <c r="M316" s="112">
        <f>ROUND(SUMIF('JUNE (물량흐름)'!$C$13:$C$502,'WIP(재공품)'!B316,'JUNE (물량흐름)'!$H$13:$H$502)+SUMIF('JUNE (물량흐름)'!$C$13:$C$502,'WIP(재공품)'!B316,'JUNE (물량흐름)'!$V$13:$V$502),0)</f>
        <v>0</v>
      </c>
      <c r="N316" s="112">
        <f>SUMIF('Direct labour(직접노무비)'!$C$12:$C$503,'WIP(재공품)'!B316,'Direct labour(직접노무비)'!$O$12:$O$503)</f>
        <v>0</v>
      </c>
      <c r="O316" s="112">
        <f>SUMIF('Overhead exp(제조경비)'!$C$12:$C$503,'WIP(재공품)'!B316,'Overhead exp(제조경비)'!$O$12:$O$503)</f>
        <v>0</v>
      </c>
      <c r="P316" s="112">
        <f t="shared" si="41"/>
        <v>0</v>
      </c>
      <c r="Q316" s="112">
        <v>0</v>
      </c>
      <c r="R316" s="112">
        <v>0</v>
      </c>
      <c r="S316" s="112">
        <f>SUMIF('JUNE (물량흐름)'!$C$13:$C$493,'WIP(재공품)'!B316,'JUNE (물량흐름)'!$T$13:$T$493)+SUMIF('JUNE (물량흐름)'!$C$13:$C$493,'WIP(재공품)'!B316,'JUNE (물량흐름)'!$U$13:$U$493)+SUMIF('JUNE (물량흐름)'!$C$13:$C$493,'WIP(재공품)'!B316,'JUNE (물량흐름)'!$V$13:$V$493)-SUMIF('JUNE (물량흐름)'!$C$13:$C$493,'WIP(재공품)'!B316,'JUNE (물량흐름)'!$Y$13:$Y$493)</f>
        <v>0</v>
      </c>
      <c r="T316" s="112">
        <f>SUMIF('JUNE (물량흐름)'!$C$13:$C$502,'WIP(재공품)'!B316,'JUNE (물량흐름)'!$Y$13:$Y$502)</f>
        <v>0</v>
      </c>
      <c r="U316" s="167">
        <f>SUMIF('Direct labour(직접노무비)'!$C$12:$C$503,'WIP(재공품)'!B316,'Direct labour(직접노무비)'!$U$12:$U$503)+SUMIF('Overhead exp(제조경비)'!$C$12:$C$503,'WIP(재공품)'!B316,'Overhead exp(제조경비)'!$U$12:$U$503)</f>
        <v>0</v>
      </c>
      <c r="V316" s="112">
        <f>SUMIF('Direct labour(직접노무비)'!$C$12:$C$503,'WIP(재공품)'!B316,'Direct labour(직접노무비)'!$Q$12:$Q$503)</f>
        <v>0</v>
      </c>
      <c r="W316" s="112">
        <f>SUMIF('Overhead exp(제조경비)'!$C$12:$C$503,'WIP(재공품)'!B316,'Overhead exp(제조경비)'!$Q$12:$Q$503)</f>
        <v>0</v>
      </c>
      <c r="X316" s="112">
        <f t="shared" si="42"/>
        <v>0</v>
      </c>
      <c r="Y316" s="112">
        <f ca="1">ROUND(SUMIF('JUNE (물량흐름)'!$C$13:$C$502,'WIP(재공품)'!B316,'JUNE (물량흐름)'!$N$13:$N$488),0)</f>
        <v>0</v>
      </c>
      <c r="Z316" s="112">
        <f>ROUND(SUMIF('JUNE (물량흐름)'!$C$13:$C$502,'WIP(재공품)'!B316,'JUNE (물량흐름)'!$O$13:$O$502),0)</f>
        <v>367</v>
      </c>
      <c r="AA316" s="112">
        <f>ROUND(SUMIF('JUNE (물량흐름)'!$C$13:$C$502,'WIP(재공품)'!B316,'JUNE (물량흐름)'!$P$13:$P$502),0)</f>
        <v>509</v>
      </c>
      <c r="AB316" s="112">
        <f t="shared" ca="1" si="43"/>
        <v>876</v>
      </c>
      <c r="AC316" s="112">
        <f t="shared" si="44"/>
        <v>32231430</v>
      </c>
      <c r="AD316" s="381">
        <f t="shared" ca="1" si="45"/>
        <v>0</v>
      </c>
      <c r="AE316" s="381">
        <f t="shared" si="46"/>
        <v>0</v>
      </c>
      <c r="AF316" s="382"/>
      <c r="AG316" s="382">
        <v>3.7</v>
      </c>
      <c r="AH316" s="383">
        <f t="shared" si="47"/>
        <v>-3.3400000000000003</v>
      </c>
      <c r="AJ316" s="383"/>
      <c r="AL316" s="385"/>
      <c r="AM316" s="381"/>
      <c r="AN316" s="382"/>
      <c r="AO316" s="382"/>
      <c r="AP316" s="383"/>
      <c r="AQ316" s="383"/>
    </row>
    <row r="317" spans="1:43" s="384" customFormat="1" ht="27" customHeight="1">
      <c r="A317" s="167">
        <v>311</v>
      </c>
      <c r="B317" s="240">
        <f>VLOOKUP(A317,'JUNE (물량흐름)'!$A$13:$C$502,3,0)</f>
        <v>457223</v>
      </c>
      <c r="C317" s="21" t="str">
        <f>VLOOKUP(A317,'JUNE (물량흐름)'!$A$13:$C$502,2,0)</f>
        <v>ANN TAYLOR</v>
      </c>
      <c r="D317" s="212">
        <v>0.36</v>
      </c>
      <c r="E317" s="6">
        <f>VLOOKUP(B317,'Sales profit (스타일 별 매출이익)'!$D$9:$P$491,13,0)</f>
        <v>8163</v>
      </c>
      <c r="F317" s="112">
        <f>IFERROR(VLOOKUP(B317,O.B.JUNE!$N$7:$Q$448,2,0),0)</f>
        <v>0</v>
      </c>
      <c r="G317" s="112">
        <f>IFERROR(VLOOKUP(B317,O.B.JUNE!$N$7:$Q$448,3,0),0)</f>
        <v>212</v>
      </c>
      <c r="H317" s="112">
        <f>IFERROR(VLOOKUP(B317,O.B.JUNE!$N$7:$Q$448,4,0),0)</f>
        <v>102</v>
      </c>
      <c r="I317" s="112">
        <f t="shared" si="39"/>
        <v>314</v>
      </c>
      <c r="J317" s="112">
        <f>IFERROR(VLOOKUP(B317,O.B.JUNE!$AA$7:$AG$448,7,0),0)</f>
        <v>2819322</v>
      </c>
      <c r="K317" s="112">
        <f>IFERROR(VLOOKUP(B317,O.B.JUNE!$AI$7:$AO$448,7,0),0)</f>
        <v>4155981</v>
      </c>
      <c r="L317" s="112">
        <f t="shared" si="40"/>
        <v>6975303</v>
      </c>
      <c r="M317" s="112">
        <f>ROUND(SUMIF('JUNE (물량흐름)'!$C$13:$C$502,'WIP(재공품)'!B317,'JUNE (물량흐름)'!$H$13:$H$502)+SUMIF('JUNE (물량흐름)'!$C$13:$C$502,'WIP(재공품)'!B317,'JUNE (물량흐름)'!$V$13:$V$502),0)</f>
        <v>0</v>
      </c>
      <c r="N317" s="112">
        <f>SUMIF('Direct labour(직접노무비)'!$C$12:$C$503,'WIP(재공품)'!B317,'Direct labour(직접노무비)'!$O$12:$O$503)</f>
        <v>0</v>
      </c>
      <c r="O317" s="112">
        <f>SUMIF('Overhead exp(제조경비)'!$C$12:$C$503,'WIP(재공품)'!B317,'Overhead exp(제조경비)'!$O$12:$O$503)</f>
        <v>0</v>
      </c>
      <c r="P317" s="112">
        <f t="shared" si="41"/>
        <v>0</v>
      </c>
      <c r="Q317" s="112">
        <v>0</v>
      </c>
      <c r="R317" s="112">
        <v>0</v>
      </c>
      <c r="S317" s="112">
        <f>SUMIF('JUNE (물량흐름)'!$C$13:$C$493,'WIP(재공품)'!B317,'JUNE (물량흐름)'!$T$13:$T$493)+SUMIF('JUNE (물량흐름)'!$C$13:$C$493,'WIP(재공품)'!B317,'JUNE (물량흐름)'!$U$13:$U$493)+SUMIF('JUNE (물량흐름)'!$C$13:$C$493,'WIP(재공품)'!B317,'JUNE (물량흐름)'!$V$13:$V$493)-SUMIF('JUNE (물량흐름)'!$C$13:$C$493,'WIP(재공품)'!B317,'JUNE (물량흐름)'!$Y$13:$Y$493)</f>
        <v>0</v>
      </c>
      <c r="T317" s="112">
        <f>SUMIF('JUNE (물량흐름)'!$C$13:$C$502,'WIP(재공품)'!B317,'JUNE (물량흐름)'!$Y$13:$Y$502)</f>
        <v>0</v>
      </c>
      <c r="U317" s="167">
        <f>SUMIF('Direct labour(직접노무비)'!$C$12:$C$503,'WIP(재공품)'!B317,'Direct labour(직접노무비)'!$U$12:$U$503)+SUMIF('Overhead exp(제조경비)'!$C$12:$C$503,'WIP(재공품)'!B317,'Overhead exp(제조경비)'!$U$12:$U$503)</f>
        <v>0</v>
      </c>
      <c r="V317" s="112">
        <f>SUMIF('Direct labour(직접노무비)'!$C$12:$C$503,'WIP(재공품)'!B317,'Direct labour(직접노무비)'!$Q$12:$Q$503)</f>
        <v>0</v>
      </c>
      <c r="W317" s="112">
        <f>SUMIF('Overhead exp(제조경비)'!$C$12:$C$503,'WIP(재공품)'!B317,'Overhead exp(제조경비)'!$Q$12:$Q$503)</f>
        <v>0</v>
      </c>
      <c r="X317" s="112">
        <f t="shared" si="42"/>
        <v>0</v>
      </c>
      <c r="Y317" s="112">
        <f ca="1">ROUND(SUMIF('JUNE (물량흐름)'!$C$13:$C$502,'WIP(재공품)'!B317,'JUNE (물량흐름)'!$N$13:$N$488),0)</f>
        <v>0</v>
      </c>
      <c r="Z317" s="112">
        <f>ROUND(SUMIF('JUNE (물량흐름)'!$C$13:$C$502,'WIP(재공품)'!B317,'JUNE (물량흐름)'!$O$13:$O$502),0)</f>
        <v>212</v>
      </c>
      <c r="AA317" s="112">
        <f>ROUND(SUMIF('JUNE (물량흐름)'!$C$13:$C$502,'WIP(재공품)'!B317,'JUNE (물량흐름)'!$P$13:$P$502),0)</f>
        <v>102</v>
      </c>
      <c r="AB317" s="112">
        <f t="shared" ca="1" si="43"/>
        <v>314</v>
      </c>
      <c r="AC317" s="112">
        <f t="shared" si="44"/>
        <v>6975303</v>
      </c>
      <c r="AD317" s="381">
        <f t="shared" ca="1" si="45"/>
        <v>0</v>
      </c>
      <c r="AE317" s="381">
        <f t="shared" si="46"/>
        <v>0</v>
      </c>
      <c r="AF317" s="382"/>
      <c r="AG317" s="382">
        <v>3.8</v>
      </c>
      <c r="AH317" s="383">
        <f t="shared" si="47"/>
        <v>-3.44</v>
      </c>
      <c r="AJ317" s="383"/>
      <c r="AL317" s="385"/>
      <c r="AM317" s="381"/>
      <c r="AN317" s="382"/>
      <c r="AO317" s="382"/>
      <c r="AP317" s="383"/>
      <c r="AQ317" s="383"/>
    </row>
    <row r="318" spans="1:43" s="384" customFormat="1" ht="27" customHeight="1">
      <c r="A318" s="167">
        <v>312</v>
      </c>
      <c r="B318" s="240">
        <f>VLOOKUP(A318,'JUNE (물량흐름)'!$A$13:$C$502,3,0)</f>
        <v>461186</v>
      </c>
      <c r="C318" s="21" t="str">
        <f>VLOOKUP(A318,'JUNE (물량흐름)'!$A$13:$C$502,2,0)</f>
        <v>ANN TAYLOR</v>
      </c>
      <c r="D318" s="212">
        <v>1.93</v>
      </c>
      <c r="E318" s="6">
        <f>VLOOKUP(B318,'Sales profit (스타일 별 매출이익)'!$D$9:$P$491,13,0)</f>
        <v>43762.75</v>
      </c>
      <c r="F318" s="112">
        <f>IFERROR(VLOOKUP(B318,O.B.JUNE!$N$7:$Q$448,2,0),0)</f>
        <v>0</v>
      </c>
      <c r="G318" s="112">
        <f>IFERROR(VLOOKUP(B318,O.B.JUNE!$N$7:$Q$448,3,0),0)</f>
        <v>142</v>
      </c>
      <c r="H318" s="112">
        <f>IFERROR(VLOOKUP(B318,O.B.JUNE!$N$7:$Q$448,4,0),0)</f>
        <v>85</v>
      </c>
      <c r="I318" s="112">
        <f t="shared" si="39"/>
        <v>227</v>
      </c>
      <c r="J318" s="112">
        <f>IFERROR(VLOOKUP(B318,O.B.JUNE!$AA$7:$AG$448,7,0),0)</f>
        <v>3527141</v>
      </c>
      <c r="K318" s="112">
        <f>IFERROR(VLOOKUP(B318,O.B.JUNE!$AI$7:$AO$448,7,0),0)</f>
        <v>8332801</v>
      </c>
      <c r="L318" s="112">
        <f t="shared" si="40"/>
        <v>11859942</v>
      </c>
      <c r="M318" s="112">
        <f>ROUND(SUMIF('JUNE (물량흐름)'!$C$13:$C$502,'WIP(재공품)'!B318,'JUNE (물량흐름)'!$H$13:$H$502)+SUMIF('JUNE (물량흐름)'!$C$13:$C$502,'WIP(재공품)'!B318,'JUNE (물량흐름)'!$V$13:$V$502),0)</f>
        <v>0</v>
      </c>
      <c r="N318" s="112">
        <f>SUMIF('Direct labour(직접노무비)'!$C$12:$C$503,'WIP(재공품)'!B318,'Direct labour(직접노무비)'!$O$12:$O$503)</f>
        <v>0</v>
      </c>
      <c r="O318" s="112">
        <f>SUMIF('Overhead exp(제조경비)'!$C$12:$C$503,'WIP(재공품)'!B318,'Overhead exp(제조경비)'!$O$12:$O$503)</f>
        <v>0</v>
      </c>
      <c r="P318" s="112">
        <f t="shared" si="41"/>
        <v>0</v>
      </c>
      <c r="Q318" s="112">
        <v>0</v>
      </c>
      <c r="R318" s="112">
        <v>0</v>
      </c>
      <c r="S318" s="112">
        <f>SUMIF('JUNE (물량흐름)'!$C$13:$C$493,'WIP(재공품)'!B318,'JUNE (물량흐름)'!$T$13:$T$493)+SUMIF('JUNE (물량흐름)'!$C$13:$C$493,'WIP(재공품)'!B318,'JUNE (물량흐름)'!$U$13:$U$493)+SUMIF('JUNE (물량흐름)'!$C$13:$C$493,'WIP(재공품)'!B318,'JUNE (물량흐름)'!$V$13:$V$493)-SUMIF('JUNE (물량흐름)'!$C$13:$C$493,'WIP(재공품)'!B318,'JUNE (물량흐름)'!$Y$13:$Y$493)</f>
        <v>0</v>
      </c>
      <c r="T318" s="112">
        <f>SUMIF('JUNE (물량흐름)'!$C$13:$C$502,'WIP(재공품)'!B318,'JUNE (물량흐름)'!$Y$13:$Y$502)</f>
        <v>0</v>
      </c>
      <c r="U318" s="167">
        <f>SUMIF('Direct labour(직접노무비)'!$C$12:$C$503,'WIP(재공품)'!B318,'Direct labour(직접노무비)'!$U$12:$U$503)+SUMIF('Overhead exp(제조경비)'!$C$12:$C$503,'WIP(재공품)'!B318,'Overhead exp(제조경비)'!$U$12:$U$503)</f>
        <v>0</v>
      </c>
      <c r="V318" s="112">
        <f>SUMIF('Direct labour(직접노무비)'!$C$12:$C$503,'WIP(재공품)'!B318,'Direct labour(직접노무비)'!$Q$12:$Q$503)</f>
        <v>0</v>
      </c>
      <c r="W318" s="112">
        <f>SUMIF('Overhead exp(제조경비)'!$C$12:$C$503,'WIP(재공품)'!B318,'Overhead exp(제조경비)'!$Q$12:$Q$503)</f>
        <v>0</v>
      </c>
      <c r="X318" s="112">
        <f t="shared" si="42"/>
        <v>0</v>
      </c>
      <c r="Y318" s="112">
        <f ca="1">ROUND(SUMIF('JUNE (물량흐름)'!$C$13:$C$502,'WIP(재공품)'!B318,'JUNE (물량흐름)'!$N$13:$N$488),0)</f>
        <v>0</v>
      </c>
      <c r="Z318" s="112">
        <f>ROUND(SUMIF('JUNE (물량흐름)'!$C$13:$C$502,'WIP(재공품)'!B318,'JUNE (물량흐름)'!$O$13:$O$502),0)</f>
        <v>142</v>
      </c>
      <c r="AA318" s="112">
        <f>ROUND(SUMIF('JUNE (물량흐름)'!$C$13:$C$502,'WIP(재공품)'!B318,'JUNE (물량흐름)'!$P$13:$P$502),0)</f>
        <v>85</v>
      </c>
      <c r="AB318" s="112">
        <f t="shared" ca="1" si="43"/>
        <v>227</v>
      </c>
      <c r="AC318" s="112">
        <f t="shared" si="44"/>
        <v>11859942</v>
      </c>
      <c r="AD318" s="381">
        <f t="shared" ca="1" si="45"/>
        <v>0</v>
      </c>
      <c r="AE318" s="381">
        <f t="shared" si="46"/>
        <v>0</v>
      </c>
      <c r="AF318" s="382"/>
      <c r="AG318" s="382">
        <v>2</v>
      </c>
      <c r="AH318" s="383">
        <f t="shared" si="47"/>
        <v>-7.0000000000000062E-2</v>
      </c>
      <c r="AJ318" s="383"/>
      <c r="AL318" s="385"/>
      <c r="AM318" s="381"/>
      <c r="AN318" s="382"/>
      <c r="AO318" s="382"/>
      <c r="AP318" s="383"/>
      <c r="AQ318" s="383"/>
    </row>
    <row r="319" spans="1:43" s="384" customFormat="1" ht="27" customHeight="1">
      <c r="A319" s="167">
        <v>313</v>
      </c>
      <c r="B319" s="240">
        <f>VLOOKUP(A319,'JUNE (물량흐름)'!$A$13:$C$502,3,0)</f>
        <v>461795</v>
      </c>
      <c r="C319" s="21" t="str">
        <f>VLOOKUP(A319,'JUNE (물량흐름)'!$A$13:$C$502,2,0)</f>
        <v>ANN TAYLOR</v>
      </c>
      <c r="D319" s="212">
        <v>0.35</v>
      </c>
      <c r="E319" s="6">
        <f>VLOOKUP(B319,'Sales profit (스타일 별 매출이익)'!$D$9:$P$491,13,0)</f>
        <v>7936.2499999999991</v>
      </c>
      <c r="F319" s="112">
        <f>IFERROR(VLOOKUP(B319,O.B.JUNE!$N$7:$Q$448,2,0),0)</f>
        <v>0</v>
      </c>
      <c r="G319" s="112">
        <f>IFERROR(VLOOKUP(B319,O.B.JUNE!$N$7:$Q$448,3,0),0)</f>
        <v>314</v>
      </c>
      <c r="H319" s="112">
        <f>IFERROR(VLOOKUP(B319,O.B.JUNE!$N$7:$Q$448,4,0),0)</f>
        <v>421</v>
      </c>
      <c r="I319" s="112">
        <f t="shared" si="39"/>
        <v>735</v>
      </c>
      <c r="J319" s="112">
        <f>IFERROR(VLOOKUP(B319,O.B.JUNE!$AA$7:$AG$448,7,0),0)</f>
        <v>7380494</v>
      </c>
      <c r="K319" s="112">
        <f>IFERROR(VLOOKUP(B319,O.B.JUNE!$AI$7:$AO$448,7,0),0)</f>
        <v>10879635</v>
      </c>
      <c r="L319" s="112">
        <f t="shared" si="40"/>
        <v>18260129</v>
      </c>
      <c r="M319" s="112">
        <f>ROUND(SUMIF('JUNE (물량흐름)'!$C$13:$C$502,'WIP(재공품)'!B319,'JUNE (물량흐름)'!$H$13:$H$502)+SUMIF('JUNE (물량흐름)'!$C$13:$C$502,'WIP(재공품)'!B319,'JUNE (물량흐름)'!$V$13:$V$502),0)</f>
        <v>0</v>
      </c>
      <c r="N319" s="112">
        <f>SUMIF('Direct labour(직접노무비)'!$C$12:$C$503,'WIP(재공품)'!B319,'Direct labour(직접노무비)'!$O$12:$O$503)</f>
        <v>0</v>
      </c>
      <c r="O319" s="112">
        <f>SUMIF('Overhead exp(제조경비)'!$C$12:$C$503,'WIP(재공품)'!B319,'Overhead exp(제조경비)'!$O$12:$O$503)</f>
        <v>0</v>
      </c>
      <c r="P319" s="112">
        <f t="shared" si="41"/>
        <v>0</v>
      </c>
      <c r="Q319" s="112">
        <v>0</v>
      </c>
      <c r="R319" s="112">
        <v>0</v>
      </c>
      <c r="S319" s="112">
        <f>SUMIF('JUNE (물량흐름)'!$C$13:$C$493,'WIP(재공품)'!B319,'JUNE (물량흐름)'!$T$13:$T$493)+SUMIF('JUNE (물량흐름)'!$C$13:$C$493,'WIP(재공품)'!B319,'JUNE (물량흐름)'!$U$13:$U$493)+SUMIF('JUNE (물량흐름)'!$C$13:$C$493,'WIP(재공품)'!B319,'JUNE (물량흐름)'!$V$13:$V$493)-SUMIF('JUNE (물량흐름)'!$C$13:$C$493,'WIP(재공품)'!B319,'JUNE (물량흐름)'!$Y$13:$Y$493)</f>
        <v>0</v>
      </c>
      <c r="T319" s="112">
        <f>SUMIF('JUNE (물량흐름)'!$C$13:$C$502,'WIP(재공품)'!B319,'JUNE (물량흐름)'!$Y$13:$Y$502)</f>
        <v>0</v>
      </c>
      <c r="U319" s="167">
        <f>SUMIF('Direct labour(직접노무비)'!$C$12:$C$503,'WIP(재공품)'!B319,'Direct labour(직접노무비)'!$U$12:$U$503)+SUMIF('Overhead exp(제조경비)'!$C$12:$C$503,'WIP(재공품)'!B319,'Overhead exp(제조경비)'!$U$12:$U$503)</f>
        <v>0</v>
      </c>
      <c r="V319" s="112">
        <f>SUMIF('Direct labour(직접노무비)'!$C$12:$C$503,'WIP(재공품)'!B319,'Direct labour(직접노무비)'!$Q$12:$Q$503)</f>
        <v>0</v>
      </c>
      <c r="W319" s="112">
        <f>SUMIF('Overhead exp(제조경비)'!$C$12:$C$503,'WIP(재공품)'!B319,'Overhead exp(제조경비)'!$Q$12:$Q$503)</f>
        <v>0</v>
      </c>
      <c r="X319" s="112">
        <f t="shared" si="42"/>
        <v>0</v>
      </c>
      <c r="Y319" s="112">
        <f ca="1">ROUND(SUMIF('JUNE (물량흐름)'!$C$13:$C$502,'WIP(재공품)'!B319,'JUNE (물량흐름)'!$N$13:$N$488),0)</f>
        <v>0</v>
      </c>
      <c r="Z319" s="112">
        <f>ROUND(SUMIF('JUNE (물량흐름)'!$C$13:$C$502,'WIP(재공품)'!B319,'JUNE (물량흐름)'!$O$13:$O$502),0)</f>
        <v>314</v>
      </c>
      <c r="AA319" s="112">
        <f>ROUND(SUMIF('JUNE (물량흐름)'!$C$13:$C$502,'WIP(재공품)'!B319,'JUNE (물량흐름)'!$P$13:$P$502),0)</f>
        <v>421</v>
      </c>
      <c r="AB319" s="112">
        <f t="shared" ca="1" si="43"/>
        <v>735</v>
      </c>
      <c r="AC319" s="112">
        <f t="shared" si="44"/>
        <v>18260129</v>
      </c>
      <c r="AD319" s="381">
        <f t="shared" ca="1" si="45"/>
        <v>0</v>
      </c>
      <c r="AE319" s="381">
        <f t="shared" si="46"/>
        <v>0</v>
      </c>
      <c r="AF319" s="382"/>
      <c r="AG319" s="382">
        <v>0</v>
      </c>
      <c r="AH319" s="383">
        <f t="shared" si="47"/>
        <v>0.35</v>
      </c>
      <c r="AJ319" s="383"/>
      <c r="AL319" s="385"/>
      <c r="AM319" s="381"/>
      <c r="AN319" s="382"/>
      <c r="AO319" s="382"/>
      <c r="AP319" s="383"/>
      <c r="AQ319" s="383"/>
    </row>
    <row r="320" spans="1:43" s="384" customFormat="1" ht="27" customHeight="1">
      <c r="A320" s="167">
        <v>314</v>
      </c>
      <c r="B320" s="240">
        <f>VLOOKUP(A320,'JUNE (물량흐름)'!$A$13:$C$502,3,0)</f>
        <v>463022</v>
      </c>
      <c r="C320" s="21" t="str">
        <f>VLOOKUP(A320,'JUNE (물량흐름)'!$A$13:$C$502,2,0)</f>
        <v>ANN TAYLOR</v>
      </c>
      <c r="D320" s="212">
        <v>0.35</v>
      </c>
      <c r="E320" s="6">
        <f>VLOOKUP(B320,'Sales profit (스타일 별 매출이익)'!$D$9:$P$491,13,0)</f>
        <v>7936.2499999999991</v>
      </c>
      <c r="F320" s="112">
        <f>IFERROR(VLOOKUP(B320,O.B.JUNE!$N$7:$Q$448,2,0),0)</f>
        <v>0</v>
      </c>
      <c r="G320" s="112">
        <f>IFERROR(VLOOKUP(B320,O.B.JUNE!$N$7:$Q$448,3,0),0)</f>
        <v>0</v>
      </c>
      <c r="H320" s="112">
        <f>IFERROR(VLOOKUP(B320,O.B.JUNE!$N$7:$Q$448,4,0),0)</f>
        <v>124</v>
      </c>
      <c r="I320" s="112">
        <f t="shared" si="39"/>
        <v>124</v>
      </c>
      <c r="J320" s="112">
        <f>IFERROR(VLOOKUP(B320,O.B.JUNE!$AA$7:$AG$448,7,0),0)</f>
        <v>1475382</v>
      </c>
      <c r="K320" s="112">
        <f>IFERROR(VLOOKUP(B320,O.B.JUNE!$AI$7:$AO$448,7,0),0)</f>
        <v>2702459</v>
      </c>
      <c r="L320" s="112">
        <f t="shared" si="40"/>
        <v>4177841</v>
      </c>
      <c r="M320" s="112">
        <f>ROUND(SUMIF('JUNE (물량흐름)'!$C$13:$C$502,'WIP(재공품)'!B320,'JUNE (물량흐름)'!$H$13:$H$502)+SUMIF('JUNE (물량흐름)'!$C$13:$C$502,'WIP(재공품)'!B320,'JUNE (물량흐름)'!$V$13:$V$502),0)</f>
        <v>0</v>
      </c>
      <c r="N320" s="112">
        <f>SUMIF('Direct labour(직접노무비)'!$C$12:$C$503,'WIP(재공품)'!B320,'Direct labour(직접노무비)'!$O$12:$O$503)</f>
        <v>0</v>
      </c>
      <c r="O320" s="112">
        <f>SUMIF('Overhead exp(제조경비)'!$C$12:$C$503,'WIP(재공품)'!B320,'Overhead exp(제조경비)'!$O$12:$O$503)</f>
        <v>0</v>
      </c>
      <c r="P320" s="112">
        <f t="shared" si="41"/>
        <v>0</v>
      </c>
      <c r="Q320" s="112">
        <v>0</v>
      </c>
      <c r="R320" s="112">
        <v>0</v>
      </c>
      <c r="S320" s="112">
        <f>SUMIF('JUNE (물량흐름)'!$C$13:$C$493,'WIP(재공품)'!B320,'JUNE (물량흐름)'!$T$13:$T$493)+SUMIF('JUNE (물량흐름)'!$C$13:$C$493,'WIP(재공품)'!B320,'JUNE (물량흐름)'!$U$13:$U$493)+SUMIF('JUNE (물량흐름)'!$C$13:$C$493,'WIP(재공품)'!B320,'JUNE (물량흐름)'!$V$13:$V$493)-SUMIF('JUNE (물량흐름)'!$C$13:$C$493,'WIP(재공품)'!B320,'JUNE (물량흐름)'!$Y$13:$Y$493)</f>
        <v>0</v>
      </c>
      <c r="T320" s="112">
        <f>SUMIF('JUNE (물량흐름)'!$C$13:$C$502,'WIP(재공품)'!B320,'JUNE (물량흐름)'!$Y$13:$Y$502)</f>
        <v>0</v>
      </c>
      <c r="U320" s="167">
        <f>SUMIF('Direct labour(직접노무비)'!$C$12:$C$503,'WIP(재공품)'!B320,'Direct labour(직접노무비)'!$U$12:$U$503)+SUMIF('Overhead exp(제조경비)'!$C$12:$C$503,'WIP(재공품)'!B320,'Overhead exp(제조경비)'!$U$12:$U$503)</f>
        <v>0</v>
      </c>
      <c r="V320" s="112">
        <f>SUMIF('Direct labour(직접노무비)'!$C$12:$C$503,'WIP(재공품)'!B320,'Direct labour(직접노무비)'!$Q$12:$Q$503)</f>
        <v>0</v>
      </c>
      <c r="W320" s="112">
        <f>SUMIF('Overhead exp(제조경비)'!$C$12:$C$503,'WIP(재공품)'!B320,'Overhead exp(제조경비)'!$Q$12:$Q$503)</f>
        <v>0</v>
      </c>
      <c r="X320" s="112">
        <f t="shared" si="42"/>
        <v>0</v>
      </c>
      <c r="Y320" s="112">
        <f ca="1">ROUND(SUMIF('JUNE (물량흐름)'!$C$13:$C$502,'WIP(재공품)'!B320,'JUNE (물량흐름)'!$N$13:$N$488),0)</f>
        <v>0</v>
      </c>
      <c r="Z320" s="112">
        <f>ROUND(SUMIF('JUNE (물량흐름)'!$C$13:$C$502,'WIP(재공품)'!B320,'JUNE (물량흐름)'!$O$13:$O$502),0)</f>
        <v>81</v>
      </c>
      <c r="AA320" s="112">
        <f>ROUND(SUMIF('JUNE (물량흐름)'!$C$13:$C$502,'WIP(재공품)'!B320,'JUNE (물량흐름)'!$P$13:$P$502),0)</f>
        <v>43</v>
      </c>
      <c r="AB320" s="112">
        <f t="shared" ca="1" si="43"/>
        <v>124</v>
      </c>
      <c r="AC320" s="112">
        <f t="shared" si="44"/>
        <v>4177841</v>
      </c>
      <c r="AD320" s="381">
        <f t="shared" ca="1" si="45"/>
        <v>0</v>
      </c>
      <c r="AE320" s="381">
        <f t="shared" si="46"/>
        <v>0</v>
      </c>
      <c r="AF320" s="382"/>
      <c r="AG320" s="382">
        <v>0</v>
      </c>
      <c r="AH320" s="383">
        <f t="shared" si="47"/>
        <v>0.35</v>
      </c>
      <c r="AJ320" s="383"/>
      <c r="AL320" s="385"/>
      <c r="AM320" s="381"/>
      <c r="AN320" s="382"/>
      <c r="AO320" s="382"/>
      <c r="AP320" s="383"/>
      <c r="AQ320" s="383"/>
    </row>
    <row r="321" spans="1:43" s="384" customFormat="1" ht="27" customHeight="1">
      <c r="A321" s="167">
        <v>315</v>
      </c>
      <c r="B321" s="240">
        <f>VLOOKUP(A321,'JUNE (물량흐름)'!$A$13:$C$502,3,0)</f>
        <v>463024</v>
      </c>
      <c r="C321" s="21" t="str">
        <f>VLOOKUP(A321,'JUNE (물량흐름)'!$A$13:$C$502,2,0)</f>
        <v>ANN TAYLOR</v>
      </c>
      <c r="D321" s="212">
        <v>0.35</v>
      </c>
      <c r="E321" s="6">
        <f>VLOOKUP(B321,'Sales profit (스타일 별 매출이익)'!$D$9:$P$491,13,0)</f>
        <v>7936.2499999999991</v>
      </c>
      <c r="F321" s="112">
        <f>IFERROR(VLOOKUP(B321,O.B.JUNE!$N$7:$Q$448,2,0),0)</f>
        <v>0</v>
      </c>
      <c r="G321" s="112">
        <f>IFERROR(VLOOKUP(B321,O.B.JUNE!$N$7:$Q$448,3,0),0)</f>
        <v>72</v>
      </c>
      <c r="H321" s="112">
        <f>IFERROR(VLOOKUP(B321,O.B.JUNE!$N$7:$Q$448,4,0),0)</f>
        <v>111</v>
      </c>
      <c r="I321" s="112">
        <f t="shared" si="39"/>
        <v>183</v>
      </c>
      <c r="J321" s="112">
        <f>IFERROR(VLOOKUP(B321,O.B.JUNE!$AA$7:$AG$448,7,0),0)</f>
        <v>2700282</v>
      </c>
      <c r="K321" s="112">
        <f>IFERROR(VLOOKUP(B321,O.B.JUNE!$AI$7:$AO$448,7,0),0)</f>
        <v>2687308</v>
      </c>
      <c r="L321" s="112">
        <f t="shared" si="40"/>
        <v>5387590</v>
      </c>
      <c r="M321" s="112">
        <f>ROUND(SUMIF('JUNE (물량흐름)'!$C$13:$C$502,'WIP(재공품)'!B321,'JUNE (물량흐름)'!$H$13:$H$502)+SUMIF('JUNE (물량흐름)'!$C$13:$C$502,'WIP(재공품)'!B321,'JUNE (물량흐름)'!$V$13:$V$502),0)</f>
        <v>0</v>
      </c>
      <c r="N321" s="112">
        <f>SUMIF('Direct labour(직접노무비)'!$C$12:$C$503,'WIP(재공품)'!B321,'Direct labour(직접노무비)'!$O$12:$O$503)</f>
        <v>0</v>
      </c>
      <c r="O321" s="112">
        <f>SUMIF('Overhead exp(제조경비)'!$C$12:$C$503,'WIP(재공품)'!B321,'Overhead exp(제조경비)'!$O$12:$O$503)</f>
        <v>0</v>
      </c>
      <c r="P321" s="112">
        <f t="shared" si="41"/>
        <v>0</v>
      </c>
      <c r="Q321" s="112">
        <v>0</v>
      </c>
      <c r="R321" s="112">
        <v>0</v>
      </c>
      <c r="S321" s="112">
        <f>SUMIF('JUNE (물량흐름)'!$C$13:$C$493,'WIP(재공품)'!B321,'JUNE (물량흐름)'!$T$13:$T$493)+SUMIF('JUNE (물량흐름)'!$C$13:$C$493,'WIP(재공품)'!B321,'JUNE (물량흐름)'!$U$13:$U$493)+SUMIF('JUNE (물량흐름)'!$C$13:$C$493,'WIP(재공품)'!B321,'JUNE (물량흐름)'!$V$13:$V$493)-SUMIF('JUNE (물량흐름)'!$C$13:$C$493,'WIP(재공품)'!B321,'JUNE (물량흐름)'!$Y$13:$Y$493)</f>
        <v>0</v>
      </c>
      <c r="T321" s="112">
        <f>SUMIF('JUNE (물량흐름)'!$C$13:$C$502,'WIP(재공품)'!B321,'JUNE (물량흐름)'!$Y$13:$Y$502)</f>
        <v>0</v>
      </c>
      <c r="U321" s="167">
        <f>SUMIF('Direct labour(직접노무비)'!$C$12:$C$503,'WIP(재공품)'!B321,'Direct labour(직접노무비)'!$U$12:$U$503)+SUMIF('Overhead exp(제조경비)'!$C$12:$C$503,'WIP(재공품)'!B321,'Overhead exp(제조경비)'!$U$12:$U$503)</f>
        <v>0</v>
      </c>
      <c r="V321" s="112">
        <f>SUMIF('Direct labour(직접노무비)'!$C$12:$C$503,'WIP(재공품)'!B321,'Direct labour(직접노무비)'!$Q$12:$Q$503)</f>
        <v>0</v>
      </c>
      <c r="W321" s="112">
        <f>SUMIF('Overhead exp(제조경비)'!$C$12:$C$503,'WIP(재공품)'!B321,'Overhead exp(제조경비)'!$Q$12:$Q$503)</f>
        <v>0</v>
      </c>
      <c r="X321" s="112">
        <f t="shared" si="42"/>
        <v>0</v>
      </c>
      <c r="Y321" s="112">
        <f ca="1">ROUND(SUMIF('JUNE (물량흐름)'!$C$13:$C$502,'WIP(재공품)'!B321,'JUNE (물량흐름)'!$N$13:$N$488),0)</f>
        <v>0</v>
      </c>
      <c r="Z321" s="112">
        <f>ROUND(SUMIF('JUNE (물량흐름)'!$C$13:$C$502,'WIP(재공품)'!B321,'JUNE (물량흐름)'!$O$13:$O$502),0)</f>
        <v>72</v>
      </c>
      <c r="AA321" s="112">
        <f>ROUND(SUMIF('JUNE (물량흐름)'!$C$13:$C$502,'WIP(재공품)'!B321,'JUNE (물량흐름)'!$P$13:$P$502),0)</f>
        <v>111</v>
      </c>
      <c r="AB321" s="112">
        <f t="shared" ca="1" si="43"/>
        <v>183</v>
      </c>
      <c r="AC321" s="112">
        <f t="shared" si="44"/>
        <v>5387590</v>
      </c>
      <c r="AD321" s="381">
        <f t="shared" ca="1" si="45"/>
        <v>0</v>
      </c>
      <c r="AE321" s="381">
        <f t="shared" si="46"/>
        <v>0</v>
      </c>
      <c r="AF321" s="382"/>
      <c r="AG321" s="382">
        <v>0</v>
      </c>
      <c r="AH321" s="383">
        <f t="shared" si="47"/>
        <v>0.35</v>
      </c>
      <c r="AJ321" s="383"/>
      <c r="AL321" s="385"/>
      <c r="AM321" s="381"/>
      <c r="AN321" s="382"/>
      <c r="AO321" s="382"/>
      <c r="AP321" s="383"/>
      <c r="AQ321" s="383"/>
    </row>
    <row r="322" spans="1:43" s="384" customFormat="1" ht="27" customHeight="1">
      <c r="A322" s="167">
        <v>316</v>
      </c>
      <c r="B322" s="240">
        <f>VLOOKUP(A322,'JUNE (물량흐름)'!$A$13:$C$502,3,0)</f>
        <v>463029</v>
      </c>
      <c r="C322" s="21" t="str">
        <f>VLOOKUP(A322,'JUNE (물량흐름)'!$A$13:$C$502,2,0)</f>
        <v>ANN TAYLOR</v>
      </c>
      <c r="D322" s="212">
        <v>0.35</v>
      </c>
      <c r="E322" s="6">
        <f>VLOOKUP(B322,'Sales profit (스타일 별 매출이익)'!$D$9:$P$491,13,0)</f>
        <v>7936.2499999999991</v>
      </c>
      <c r="F322" s="112">
        <f>IFERROR(VLOOKUP(B322,O.B.JUNE!$N$7:$Q$448,2,0),0)</f>
        <v>0</v>
      </c>
      <c r="G322" s="112">
        <f>IFERROR(VLOOKUP(B322,O.B.JUNE!$N$7:$Q$448,3,0),0)</f>
        <v>23</v>
      </c>
      <c r="H322" s="112">
        <f>IFERROR(VLOOKUP(B322,O.B.JUNE!$N$7:$Q$448,4,0),0)</f>
        <v>64</v>
      </c>
      <c r="I322" s="112">
        <f t="shared" si="39"/>
        <v>87</v>
      </c>
      <c r="J322" s="112">
        <f>IFERROR(VLOOKUP(B322,O.B.JUNE!$AA$7:$AG$448,7,0),0)</f>
        <v>1291701</v>
      </c>
      <c r="K322" s="112">
        <f>IFERROR(VLOOKUP(B322,O.B.JUNE!$AI$7:$AO$448,7,0),0)</f>
        <v>1384008</v>
      </c>
      <c r="L322" s="112">
        <f t="shared" si="40"/>
        <v>2675709</v>
      </c>
      <c r="M322" s="112">
        <f>ROUND(SUMIF('JUNE (물량흐름)'!$C$13:$C$502,'WIP(재공품)'!B322,'JUNE (물량흐름)'!$H$13:$H$502)+SUMIF('JUNE (물량흐름)'!$C$13:$C$502,'WIP(재공품)'!B322,'JUNE (물량흐름)'!$V$13:$V$502),0)</f>
        <v>0</v>
      </c>
      <c r="N322" s="112">
        <f>SUMIF('Direct labour(직접노무비)'!$C$12:$C$503,'WIP(재공품)'!B322,'Direct labour(직접노무비)'!$O$12:$O$503)</f>
        <v>0</v>
      </c>
      <c r="O322" s="112">
        <f>SUMIF('Overhead exp(제조경비)'!$C$12:$C$503,'WIP(재공품)'!B322,'Overhead exp(제조경비)'!$O$12:$O$503)</f>
        <v>0</v>
      </c>
      <c r="P322" s="112">
        <f t="shared" si="41"/>
        <v>0</v>
      </c>
      <c r="Q322" s="112">
        <v>0</v>
      </c>
      <c r="R322" s="112">
        <v>0</v>
      </c>
      <c r="S322" s="112">
        <f>SUMIF('JUNE (물량흐름)'!$C$13:$C$493,'WIP(재공품)'!B322,'JUNE (물량흐름)'!$T$13:$T$493)+SUMIF('JUNE (물량흐름)'!$C$13:$C$493,'WIP(재공품)'!B322,'JUNE (물량흐름)'!$U$13:$U$493)+SUMIF('JUNE (물량흐름)'!$C$13:$C$493,'WIP(재공품)'!B322,'JUNE (물량흐름)'!$V$13:$V$493)-SUMIF('JUNE (물량흐름)'!$C$13:$C$493,'WIP(재공품)'!B322,'JUNE (물량흐름)'!$Y$13:$Y$493)</f>
        <v>0</v>
      </c>
      <c r="T322" s="112">
        <f>SUMIF('JUNE (물량흐름)'!$C$13:$C$502,'WIP(재공품)'!B322,'JUNE (물량흐름)'!$Y$13:$Y$502)</f>
        <v>0</v>
      </c>
      <c r="U322" s="167">
        <f>SUMIF('Direct labour(직접노무비)'!$C$12:$C$503,'WIP(재공품)'!B322,'Direct labour(직접노무비)'!$U$12:$U$503)+SUMIF('Overhead exp(제조경비)'!$C$12:$C$503,'WIP(재공품)'!B322,'Overhead exp(제조경비)'!$U$12:$U$503)</f>
        <v>0</v>
      </c>
      <c r="V322" s="112">
        <f>SUMIF('Direct labour(직접노무비)'!$C$12:$C$503,'WIP(재공품)'!B322,'Direct labour(직접노무비)'!$Q$12:$Q$503)</f>
        <v>0</v>
      </c>
      <c r="W322" s="112">
        <f>SUMIF('Overhead exp(제조경비)'!$C$12:$C$503,'WIP(재공품)'!B322,'Overhead exp(제조경비)'!$Q$12:$Q$503)</f>
        <v>0</v>
      </c>
      <c r="X322" s="112">
        <f t="shared" si="42"/>
        <v>0</v>
      </c>
      <c r="Y322" s="112">
        <f ca="1">ROUND(SUMIF('JUNE (물량흐름)'!$C$13:$C$502,'WIP(재공품)'!B322,'JUNE (물량흐름)'!$N$13:$N$488),0)</f>
        <v>0</v>
      </c>
      <c r="Z322" s="112">
        <f>ROUND(SUMIF('JUNE (물량흐름)'!$C$13:$C$502,'WIP(재공품)'!B322,'JUNE (물량흐름)'!$O$13:$O$502),0)</f>
        <v>23</v>
      </c>
      <c r="AA322" s="112">
        <f>ROUND(SUMIF('JUNE (물량흐름)'!$C$13:$C$502,'WIP(재공품)'!B322,'JUNE (물량흐름)'!$P$13:$P$502),0)</f>
        <v>64</v>
      </c>
      <c r="AB322" s="112">
        <f t="shared" ca="1" si="43"/>
        <v>87</v>
      </c>
      <c r="AC322" s="112">
        <f t="shared" si="44"/>
        <v>2675709</v>
      </c>
      <c r="AD322" s="381">
        <f t="shared" ca="1" si="45"/>
        <v>0</v>
      </c>
      <c r="AE322" s="381">
        <f t="shared" si="46"/>
        <v>0</v>
      </c>
      <c r="AF322" s="382"/>
      <c r="AG322" s="382">
        <v>0</v>
      </c>
      <c r="AH322" s="383">
        <f t="shared" si="47"/>
        <v>0.35</v>
      </c>
      <c r="AJ322" s="383"/>
      <c r="AL322" s="385"/>
      <c r="AM322" s="381"/>
      <c r="AN322" s="382"/>
      <c r="AO322" s="382"/>
      <c r="AP322" s="383"/>
      <c r="AQ322" s="383"/>
    </row>
    <row r="323" spans="1:43" s="384" customFormat="1" ht="27" customHeight="1">
      <c r="A323" s="167">
        <v>317</v>
      </c>
      <c r="B323" s="240">
        <f>VLOOKUP(A323,'JUNE (물량흐름)'!$A$13:$C$502,3,0)</f>
        <v>463030</v>
      </c>
      <c r="C323" s="21" t="str">
        <f>VLOOKUP(A323,'JUNE (물량흐름)'!$A$13:$C$502,2,0)</f>
        <v>ANN TAYLOR</v>
      </c>
      <c r="D323" s="212">
        <v>0.36</v>
      </c>
      <c r="E323" s="6">
        <f>VLOOKUP(B323,'Sales profit (스타일 별 매출이익)'!$D$9:$P$491,13,0)</f>
        <v>8163</v>
      </c>
      <c r="F323" s="112">
        <f>IFERROR(VLOOKUP(B323,O.B.JUNE!$N$7:$Q$448,2,0),0)</f>
        <v>0</v>
      </c>
      <c r="G323" s="112">
        <f>IFERROR(VLOOKUP(B323,O.B.JUNE!$N$7:$Q$448,3,0),0)</f>
        <v>101</v>
      </c>
      <c r="H323" s="112">
        <f>IFERROR(VLOOKUP(B323,O.B.JUNE!$N$7:$Q$448,4,0),0)</f>
        <v>63</v>
      </c>
      <c r="I323" s="112">
        <f t="shared" si="39"/>
        <v>164</v>
      </c>
      <c r="J323" s="112">
        <f>IFERROR(VLOOKUP(B323,O.B.JUNE!$AA$7:$AG$448,7,0),0)</f>
        <v>2402664</v>
      </c>
      <c r="K323" s="112">
        <f>IFERROR(VLOOKUP(B323,O.B.JUNE!$AI$7:$AO$448,7,0),0)</f>
        <v>2218806</v>
      </c>
      <c r="L323" s="112">
        <f t="shared" si="40"/>
        <v>4621470</v>
      </c>
      <c r="M323" s="112">
        <f>ROUND(SUMIF('JUNE (물량흐름)'!$C$13:$C$502,'WIP(재공품)'!B323,'JUNE (물량흐름)'!$H$13:$H$502)+SUMIF('JUNE (물량흐름)'!$C$13:$C$502,'WIP(재공품)'!B323,'JUNE (물량흐름)'!$V$13:$V$502),0)</f>
        <v>0</v>
      </c>
      <c r="N323" s="112">
        <f>SUMIF('Direct labour(직접노무비)'!$C$12:$C$503,'WIP(재공품)'!B323,'Direct labour(직접노무비)'!$O$12:$O$503)</f>
        <v>0</v>
      </c>
      <c r="O323" s="112">
        <f>SUMIF('Overhead exp(제조경비)'!$C$12:$C$503,'WIP(재공품)'!B323,'Overhead exp(제조경비)'!$O$12:$O$503)</f>
        <v>0</v>
      </c>
      <c r="P323" s="112">
        <f t="shared" si="41"/>
        <v>0</v>
      </c>
      <c r="Q323" s="112">
        <v>0</v>
      </c>
      <c r="R323" s="112">
        <v>0</v>
      </c>
      <c r="S323" s="112">
        <f>SUMIF('JUNE (물량흐름)'!$C$13:$C$493,'WIP(재공품)'!B323,'JUNE (물량흐름)'!$T$13:$T$493)+SUMIF('JUNE (물량흐름)'!$C$13:$C$493,'WIP(재공품)'!B323,'JUNE (물량흐름)'!$U$13:$U$493)+SUMIF('JUNE (물량흐름)'!$C$13:$C$493,'WIP(재공품)'!B323,'JUNE (물량흐름)'!$V$13:$V$493)-SUMIF('JUNE (물량흐름)'!$C$13:$C$493,'WIP(재공품)'!B323,'JUNE (물량흐름)'!$Y$13:$Y$493)</f>
        <v>0</v>
      </c>
      <c r="T323" s="112">
        <f>SUMIF('JUNE (물량흐름)'!$C$13:$C$502,'WIP(재공품)'!B323,'JUNE (물량흐름)'!$Y$13:$Y$502)</f>
        <v>0</v>
      </c>
      <c r="U323" s="167">
        <f>SUMIF('Direct labour(직접노무비)'!$C$12:$C$503,'WIP(재공품)'!B323,'Direct labour(직접노무비)'!$U$12:$U$503)+SUMIF('Overhead exp(제조경비)'!$C$12:$C$503,'WIP(재공품)'!B323,'Overhead exp(제조경비)'!$U$12:$U$503)</f>
        <v>0</v>
      </c>
      <c r="V323" s="112">
        <f>SUMIF('Direct labour(직접노무비)'!$C$12:$C$503,'WIP(재공품)'!B323,'Direct labour(직접노무비)'!$Q$12:$Q$503)</f>
        <v>0</v>
      </c>
      <c r="W323" s="112">
        <f>SUMIF('Overhead exp(제조경비)'!$C$12:$C$503,'WIP(재공품)'!B323,'Overhead exp(제조경비)'!$Q$12:$Q$503)</f>
        <v>0</v>
      </c>
      <c r="X323" s="112">
        <f t="shared" si="42"/>
        <v>0</v>
      </c>
      <c r="Y323" s="112">
        <f ca="1">ROUND(SUMIF('JUNE (물량흐름)'!$C$13:$C$502,'WIP(재공품)'!B323,'JUNE (물량흐름)'!$N$13:$N$488),0)</f>
        <v>0</v>
      </c>
      <c r="Z323" s="112">
        <f>ROUND(SUMIF('JUNE (물량흐름)'!$C$13:$C$502,'WIP(재공품)'!B323,'JUNE (물량흐름)'!$O$13:$O$502),0)</f>
        <v>101</v>
      </c>
      <c r="AA323" s="112">
        <f>ROUND(SUMIF('JUNE (물량흐름)'!$C$13:$C$502,'WIP(재공품)'!B323,'JUNE (물량흐름)'!$P$13:$P$502),0)</f>
        <v>63</v>
      </c>
      <c r="AB323" s="112">
        <f t="shared" ca="1" si="43"/>
        <v>164</v>
      </c>
      <c r="AC323" s="112">
        <f t="shared" si="44"/>
        <v>4621470</v>
      </c>
      <c r="AD323" s="381">
        <f t="shared" ca="1" si="45"/>
        <v>0</v>
      </c>
      <c r="AE323" s="381">
        <f t="shared" si="46"/>
        <v>0</v>
      </c>
      <c r="AF323" s="382"/>
      <c r="AG323" s="382">
        <v>0</v>
      </c>
      <c r="AH323" s="383">
        <f t="shared" si="47"/>
        <v>0.36</v>
      </c>
      <c r="AJ323" s="383"/>
      <c r="AL323" s="385"/>
      <c r="AM323" s="381"/>
      <c r="AN323" s="382"/>
      <c r="AO323" s="382"/>
      <c r="AP323" s="383"/>
      <c r="AQ323" s="383"/>
    </row>
    <row r="324" spans="1:43" s="384" customFormat="1" ht="27" customHeight="1">
      <c r="A324" s="167">
        <v>318</v>
      </c>
      <c r="B324" s="240">
        <f>VLOOKUP(A324,'JUNE (물량흐름)'!$A$13:$C$502,3,0)</f>
        <v>466459</v>
      </c>
      <c r="C324" s="21" t="str">
        <f>VLOOKUP(A324,'JUNE (물량흐름)'!$A$13:$C$502,2,0)</f>
        <v>ANN TAYLOR</v>
      </c>
      <c r="D324" s="212">
        <v>0.35</v>
      </c>
      <c r="E324" s="6">
        <f>VLOOKUP(B324,'Sales profit (스타일 별 매출이익)'!$D$9:$P$491,13,0)</f>
        <v>7936.2499999999991</v>
      </c>
      <c r="F324" s="112">
        <f>IFERROR(VLOOKUP(B324,O.B.JUNE!$N$7:$Q$448,2,0),0)</f>
        <v>0</v>
      </c>
      <c r="G324" s="112">
        <f>IFERROR(VLOOKUP(B324,O.B.JUNE!$N$7:$Q$448,3,0),0)</f>
        <v>13</v>
      </c>
      <c r="H324" s="112">
        <f>IFERROR(VLOOKUP(B324,O.B.JUNE!$N$7:$Q$448,4,0),0)</f>
        <v>246</v>
      </c>
      <c r="I324" s="112">
        <f t="shared" si="39"/>
        <v>259</v>
      </c>
      <c r="J324" s="112">
        <f>IFERROR(VLOOKUP(B324,O.B.JUNE!$AA$7:$AG$448,7,0),0)</f>
        <v>5151148</v>
      </c>
      <c r="K324" s="112">
        <f>IFERROR(VLOOKUP(B324,O.B.JUNE!$AI$7:$AO$448,7,0),0)</f>
        <v>7593341</v>
      </c>
      <c r="L324" s="112">
        <f t="shared" si="40"/>
        <v>12744489</v>
      </c>
      <c r="M324" s="112">
        <f>ROUND(SUMIF('JUNE (물량흐름)'!$C$13:$C$502,'WIP(재공품)'!B324,'JUNE (물량흐름)'!$H$13:$H$502)+SUMIF('JUNE (물량흐름)'!$C$13:$C$502,'WIP(재공품)'!B324,'JUNE (물량흐름)'!$V$13:$V$502),0)</f>
        <v>0</v>
      </c>
      <c r="N324" s="112">
        <f>SUMIF('Direct labour(직접노무비)'!$C$12:$C$503,'WIP(재공품)'!B324,'Direct labour(직접노무비)'!$O$12:$O$503)</f>
        <v>0</v>
      </c>
      <c r="O324" s="112">
        <f>SUMIF('Overhead exp(제조경비)'!$C$12:$C$503,'WIP(재공품)'!B324,'Overhead exp(제조경비)'!$O$12:$O$503)</f>
        <v>0</v>
      </c>
      <c r="P324" s="112">
        <f t="shared" si="41"/>
        <v>0</v>
      </c>
      <c r="Q324" s="112">
        <v>0</v>
      </c>
      <c r="R324" s="112">
        <v>0</v>
      </c>
      <c r="S324" s="112">
        <f>SUMIF('JUNE (물량흐름)'!$C$13:$C$493,'WIP(재공품)'!B324,'JUNE (물량흐름)'!$T$13:$T$493)+SUMIF('JUNE (물량흐름)'!$C$13:$C$493,'WIP(재공품)'!B324,'JUNE (물량흐름)'!$U$13:$U$493)+SUMIF('JUNE (물량흐름)'!$C$13:$C$493,'WIP(재공품)'!B324,'JUNE (물량흐름)'!$V$13:$V$493)-SUMIF('JUNE (물량흐름)'!$C$13:$C$493,'WIP(재공품)'!B324,'JUNE (물량흐름)'!$Y$13:$Y$493)</f>
        <v>0</v>
      </c>
      <c r="T324" s="112">
        <f>SUMIF('JUNE (물량흐름)'!$C$13:$C$502,'WIP(재공품)'!B324,'JUNE (물량흐름)'!$Y$13:$Y$502)</f>
        <v>0</v>
      </c>
      <c r="U324" s="167">
        <f>SUMIF('Direct labour(직접노무비)'!$C$12:$C$503,'WIP(재공품)'!B324,'Direct labour(직접노무비)'!$U$12:$U$503)+SUMIF('Overhead exp(제조경비)'!$C$12:$C$503,'WIP(재공품)'!B324,'Overhead exp(제조경비)'!$U$12:$U$503)</f>
        <v>0</v>
      </c>
      <c r="V324" s="112">
        <f>SUMIF('Direct labour(직접노무비)'!$C$12:$C$503,'WIP(재공품)'!B324,'Direct labour(직접노무비)'!$Q$12:$Q$503)</f>
        <v>0</v>
      </c>
      <c r="W324" s="112">
        <f>SUMIF('Overhead exp(제조경비)'!$C$12:$C$503,'WIP(재공품)'!B324,'Overhead exp(제조경비)'!$Q$12:$Q$503)</f>
        <v>0</v>
      </c>
      <c r="X324" s="112">
        <f t="shared" si="42"/>
        <v>0</v>
      </c>
      <c r="Y324" s="112">
        <f ca="1">ROUND(SUMIF('JUNE (물량흐름)'!$C$13:$C$502,'WIP(재공품)'!B324,'JUNE (물량흐름)'!$N$13:$N$488),0)</f>
        <v>0</v>
      </c>
      <c r="Z324" s="112">
        <f>ROUND(SUMIF('JUNE (물량흐름)'!$C$13:$C$502,'WIP(재공품)'!B324,'JUNE (물량흐름)'!$O$13:$O$502),0)</f>
        <v>13</v>
      </c>
      <c r="AA324" s="112">
        <f>ROUND(SUMIF('JUNE (물량흐름)'!$C$13:$C$502,'WIP(재공품)'!B324,'JUNE (물량흐름)'!$P$13:$P$502),0)</f>
        <v>246</v>
      </c>
      <c r="AB324" s="112">
        <f t="shared" ca="1" si="43"/>
        <v>259</v>
      </c>
      <c r="AC324" s="112">
        <f t="shared" si="44"/>
        <v>12744489</v>
      </c>
      <c r="AD324" s="381">
        <f t="shared" ca="1" si="45"/>
        <v>0</v>
      </c>
      <c r="AE324" s="381">
        <f t="shared" si="46"/>
        <v>0</v>
      </c>
      <c r="AF324" s="382"/>
      <c r="AG324" s="382">
        <v>0</v>
      </c>
      <c r="AH324" s="383">
        <f t="shared" si="47"/>
        <v>0.35</v>
      </c>
      <c r="AJ324" s="383"/>
      <c r="AL324" s="385"/>
      <c r="AM324" s="381"/>
      <c r="AN324" s="382"/>
      <c r="AO324" s="382"/>
      <c r="AP324" s="383"/>
      <c r="AQ324" s="383"/>
    </row>
    <row r="325" spans="1:43" s="384" customFormat="1" ht="27" customHeight="1">
      <c r="A325" s="167">
        <v>319</v>
      </c>
      <c r="B325" s="240">
        <f>VLOOKUP(A325,'JUNE (물량흐름)'!$A$13:$C$502,3,0)</f>
        <v>467476</v>
      </c>
      <c r="C325" s="21" t="str">
        <f>VLOOKUP(A325,'JUNE (물량흐름)'!$A$13:$C$502,2,0)</f>
        <v>ANN TAYLOR</v>
      </c>
      <c r="D325" s="212">
        <v>0.35</v>
      </c>
      <c r="E325" s="6">
        <f>VLOOKUP(B325,'Sales profit (스타일 별 매출이익)'!$D$9:$P$491,13,0)</f>
        <v>7936.2499999999991</v>
      </c>
      <c r="F325" s="112">
        <f>IFERROR(VLOOKUP(B325,O.B.JUNE!$N$7:$Q$448,2,0),0)</f>
        <v>0</v>
      </c>
      <c r="G325" s="112">
        <f>IFERROR(VLOOKUP(B325,O.B.JUNE!$N$7:$Q$448,3,0),0)</f>
        <v>512</v>
      </c>
      <c r="H325" s="112">
        <f>IFERROR(VLOOKUP(B325,O.B.JUNE!$N$7:$Q$448,4,0),0)</f>
        <v>542</v>
      </c>
      <c r="I325" s="112">
        <f t="shared" si="39"/>
        <v>1054</v>
      </c>
      <c r="J325" s="112">
        <f>IFERROR(VLOOKUP(B325,O.B.JUNE!$AA$7:$AG$448,7,0),0)</f>
        <v>9016182</v>
      </c>
      <c r="K325" s="112">
        <f>IFERROR(VLOOKUP(B325,O.B.JUNE!$AI$7:$AO$448,7,0),0)</f>
        <v>14711557</v>
      </c>
      <c r="L325" s="112">
        <f t="shared" si="40"/>
        <v>23727739</v>
      </c>
      <c r="M325" s="112">
        <f>ROUND(SUMIF('JUNE (물량흐름)'!$C$13:$C$502,'WIP(재공품)'!B325,'JUNE (물량흐름)'!$H$13:$H$502)+SUMIF('JUNE (물량흐름)'!$C$13:$C$502,'WIP(재공품)'!B325,'JUNE (물량흐름)'!$V$13:$V$502),0)</f>
        <v>0</v>
      </c>
      <c r="N325" s="112">
        <f>SUMIF('Direct labour(직접노무비)'!$C$12:$C$503,'WIP(재공품)'!B325,'Direct labour(직접노무비)'!$O$12:$O$503)</f>
        <v>0</v>
      </c>
      <c r="O325" s="112">
        <f>SUMIF('Overhead exp(제조경비)'!$C$12:$C$503,'WIP(재공품)'!B325,'Overhead exp(제조경비)'!$O$12:$O$503)</f>
        <v>0</v>
      </c>
      <c r="P325" s="112">
        <f t="shared" si="41"/>
        <v>0</v>
      </c>
      <c r="Q325" s="112">
        <v>0</v>
      </c>
      <c r="R325" s="112">
        <v>0</v>
      </c>
      <c r="S325" s="112">
        <f>SUMIF('JUNE (물량흐름)'!$C$13:$C$493,'WIP(재공품)'!B325,'JUNE (물량흐름)'!$T$13:$T$493)+SUMIF('JUNE (물량흐름)'!$C$13:$C$493,'WIP(재공품)'!B325,'JUNE (물량흐름)'!$U$13:$U$493)+SUMIF('JUNE (물량흐름)'!$C$13:$C$493,'WIP(재공품)'!B325,'JUNE (물량흐름)'!$V$13:$V$493)-SUMIF('JUNE (물량흐름)'!$C$13:$C$493,'WIP(재공품)'!B325,'JUNE (물량흐름)'!$Y$13:$Y$493)</f>
        <v>0</v>
      </c>
      <c r="T325" s="112">
        <f>SUMIF('JUNE (물량흐름)'!$C$13:$C$502,'WIP(재공품)'!B325,'JUNE (물량흐름)'!$Y$13:$Y$502)</f>
        <v>0</v>
      </c>
      <c r="U325" s="167">
        <f>SUMIF('Direct labour(직접노무비)'!$C$12:$C$503,'WIP(재공품)'!B325,'Direct labour(직접노무비)'!$U$12:$U$503)+SUMIF('Overhead exp(제조경비)'!$C$12:$C$503,'WIP(재공품)'!B325,'Overhead exp(제조경비)'!$U$12:$U$503)</f>
        <v>0</v>
      </c>
      <c r="V325" s="112">
        <f>SUMIF('Direct labour(직접노무비)'!$C$12:$C$503,'WIP(재공품)'!B325,'Direct labour(직접노무비)'!$Q$12:$Q$503)</f>
        <v>0</v>
      </c>
      <c r="W325" s="112">
        <f>SUMIF('Overhead exp(제조경비)'!$C$12:$C$503,'WIP(재공품)'!B325,'Overhead exp(제조경비)'!$Q$12:$Q$503)</f>
        <v>0</v>
      </c>
      <c r="X325" s="112">
        <f t="shared" si="42"/>
        <v>0</v>
      </c>
      <c r="Y325" s="112">
        <f ca="1">ROUND(SUMIF('JUNE (물량흐름)'!$C$13:$C$502,'WIP(재공품)'!B325,'JUNE (물량흐름)'!$N$13:$N$488),0)</f>
        <v>0</v>
      </c>
      <c r="Z325" s="112">
        <f>ROUND(SUMIF('JUNE (물량흐름)'!$C$13:$C$502,'WIP(재공품)'!B325,'JUNE (물량흐름)'!$O$13:$O$502),0)</f>
        <v>512</v>
      </c>
      <c r="AA325" s="112">
        <f>ROUND(SUMIF('JUNE (물량흐름)'!$C$13:$C$502,'WIP(재공품)'!B325,'JUNE (물량흐름)'!$P$13:$P$502),0)</f>
        <v>542</v>
      </c>
      <c r="AB325" s="112">
        <f t="shared" ca="1" si="43"/>
        <v>1054</v>
      </c>
      <c r="AC325" s="112">
        <f t="shared" si="44"/>
        <v>23727739</v>
      </c>
      <c r="AD325" s="381">
        <f t="shared" ca="1" si="45"/>
        <v>0</v>
      </c>
      <c r="AE325" s="381">
        <f t="shared" si="46"/>
        <v>0</v>
      </c>
      <c r="AF325" s="382"/>
      <c r="AG325" s="382">
        <v>1.9</v>
      </c>
      <c r="AH325" s="383">
        <f t="shared" si="47"/>
        <v>-1.5499999999999998</v>
      </c>
      <c r="AJ325" s="383"/>
      <c r="AL325" s="385"/>
      <c r="AM325" s="381"/>
      <c r="AN325" s="382"/>
      <c r="AO325" s="382"/>
      <c r="AP325" s="383"/>
      <c r="AQ325" s="383"/>
    </row>
    <row r="326" spans="1:43" s="384" customFormat="1" ht="27" customHeight="1">
      <c r="A326" s="167">
        <v>320</v>
      </c>
      <c r="B326" s="240">
        <f>VLOOKUP(A326,'JUNE (물량흐름)'!$A$13:$C$502,3,0)</f>
        <v>468585</v>
      </c>
      <c r="C326" s="21" t="str">
        <f>VLOOKUP(A326,'JUNE (물량흐름)'!$A$13:$C$502,2,0)</f>
        <v>ANN TAYLOR</v>
      </c>
      <c r="D326" s="212">
        <v>0.35</v>
      </c>
      <c r="E326" s="6">
        <f>VLOOKUP(B326,'Sales profit (스타일 별 매출이익)'!$D$9:$P$491,13,0)</f>
        <v>7936.2499999999991</v>
      </c>
      <c r="F326" s="112">
        <f>IFERROR(VLOOKUP(B326,O.B.JUNE!$N$7:$Q$448,2,0),0)</f>
        <v>0</v>
      </c>
      <c r="G326" s="112">
        <f>IFERROR(VLOOKUP(B326,O.B.JUNE!$N$7:$Q$448,3,0),0)</f>
        <v>640</v>
      </c>
      <c r="H326" s="112">
        <f>IFERROR(VLOOKUP(B326,O.B.JUNE!$N$7:$Q$448,4,0),0)</f>
        <v>1291</v>
      </c>
      <c r="I326" s="112">
        <f t="shared" si="39"/>
        <v>1931</v>
      </c>
      <c r="J326" s="112">
        <f>IFERROR(VLOOKUP(B326,O.B.JUNE!$AA$7:$AG$448,7,0),0)</f>
        <v>21837926</v>
      </c>
      <c r="K326" s="112">
        <f>IFERROR(VLOOKUP(B326,O.B.JUNE!$AI$7:$AO$448,7,0),0)</f>
        <v>32191430</v>
      </c>
      <c r="L326" s="112">
        <f t="shared" si="40"/>
        <v>54029356</v>
      </c>
      <c r="M326" s="112">
        <f>ROUND(SUMIF('JUNE (물량흐름)'!$C$13:$C$502,'WIP(재공품)'!B326,'JUNE (물량흐름)'!$H$13:$H$502)+SUMIF('JUNE (물량흐름)'!$C$13:$C$502,'WIP(재공품)'!B326,'JUNE (물량흐름)'!$V$13:$V$502),0)</f>
        <v>0</v>
      </c>
      <c r="N326" s="112">
        <f>SUMIF('Direct labour(직접노무비)'!$C$12:$C$503,'WIP(재공품)'!B326,'Direct labour(직접노무비)'!$O$12:$O$503)</f>
        <v>0</v>
      </c>
      <c r="O326" s="112">
        <f>SUMIF('Overhead exp(제조경비)'!$C$12:$C$503,'WIP(재공품)'!B326,'Overhead exp(제조경비)'!$O$12:$O$503)</f>
        <v>0</v>
      </c>
      <c r="P326" s="112">
        <f t="shared" si="41"/>
        <v>0</v>
      </c>
      <c r="Q326" s="112">
        <v>0</v>
      </c>
      <c r="R326" s="112">
        <v>0</v>
      </c>
      <c r="S326" s="112">
        <f>SUMIF('JUNE (물량흐름)'!$C$13:$C$493,'WIP(재공품)'!B326,'JUNE (물량흐름)'!$T$13:$T$493)+SUMIF('JUNE (물량흐름)'!$C$13:$C$493,'WIP(재공품)'!B326,'JUNE (물량흐름)'!$U$13:$U$493)+SUMIF('JUNE (물량흐름)'!$C$13:$C$493,'WIP(재공품)'!B326,'JUNE (물량흐름)'!$V$13:$V$493)-SUMIF('JUNE (물량흐름)'!$C$13:$C$493,'WIP(재공품)'!B326,'JUNE (물량흐름)'!$Y$13:$Y$493)</f>
        <v>0</v>
      </c>
      <c r="T326" s="112">
        <f>SUMIF('JUNE (물량흐름)'!$C$13:$C$502,'WIP(재공품)'!B326,'JUNE (물량흐름)'!$Y$13:$Y$502)</f>
        <v>0</v>
      </c>
      <c r="U326" s="167">
        <f>SUMIF('Direct labour(직접노무비)'!$C$12:$C$503,'WIP(재공품)'!B326,'Direct labour(직접노무비)'!$U$12:$U$503)+SUMIF('Overhead exp(제조경비)'!$C$12:$C$503,'WIP(재공품)'!B326,'Overhead exp(제조경비)'!$U$12:$U$503)</f>
        <v>0</v>
      </c>
      <c r="V326" s="112">
        <f>SUMIF('Direct labour(직접노무비)'!$C$12:$C$503,'WIP(재공품)'!B326,'Direct labour(직접노무비)'!$Q$12:$Q$503)</f>
        <v>0</v>
      </c>
      <c r="W326" s="112">
        <f>SUMIF('Overhead exp(제조경비)'!$C$12:$C$503,'WIP(재공품)'!B326,'Overhead exp(제조경비)'!$Q$12:$Q$503)</f>
        <v>0</v>
      </c>
      <c r="X326" s="112">
        <f t="shared" si="42"/>
        <v>0</v>
      </c>
      <c r="Y326" s="112">
        <f ca="1">ROUND(SUMIF('JUNE (물량흐름)'!$C$13:$C$502,'WIP(재공품)'!B326,'JUNE (물량흐름)'!$N$13:$N$488),0)</f>
        <v>0</v>
      </c>
      <c r="Z326" s="112">
        <f>ROUND(SUMIF('JUNE (물량흐름)'!$C$13:$C$502,'WIP(재공품)'!B326,'JUNE (물량흐름)'!$O$13:$O$502),0)</f>
        <v>640</v>
      </c>
      <c r="AA326" s="112">
        <f>ROUND(SUMIF('JUNE (물량흐름)'!$C$13:$C$502,'WIP(재공품)'!B326,'JUNE (물량흐름)'!$P$13:$P$502),0)</f>
        <v>1291</v>
      </c>
      <c r="AB326" s="112">
        <f t="shared" ca="1" si="43"/>
        <v>1931</v>
      </c>
      <c r="AC326" s="112">
        <f t="shared" si="44"/>
        <v>54029356</v>
      </c>
      <c r="AD326" s="381">
        <f t="shared" ca="1" si="45"/>
        <v>0</v>
      </c>
      <c r="AE326" s="381">
        <f t="shared" si="46"/>
        <v>0</v>
      </c>
      <c r="AF326" s="382"/>
      <c r="AG326" s="382">
        <v>1.9</v>
      </c>
      <c r="AH326" s="383">
        <f t="shared" si="47"/>
        <v>-1.5499999999999998</v>
      </c>
      <c r="AJ326" s="383"/>
      <c r="AL326" s="385"/>
      <c r="AM326" s="381"/>
      <c r="AN326" s="382"/>
      <c r="AO326" s="382"/>
      <c r="AP326" s="383"/>
      <c r="AQ326" s="383"/>
    </row>
    <row r="327" spans="1:43" s="384" customFormat="1" ht="27" customHeight="1">
      <c r="A327" s="167">
        <v>321</v>
      </c>
      <c r="B327" s="240">
        <f>VLOOKUP(A327,'JUNE (물량흐름)'!$A$13:$C$502,3,0)</f>
        <v>471857</v>
      </c>
      <c r="C327" s="21" t="str">
        <f>VLOOKUP(A327,'JUNE (물량흐름)'!$A$13:$C$502,2,0)</f>
        <v>ANN TAYLOR</v>
      </c>
      <c r="D327" s="212">
        <v>0.35</v>
      </c>
      <c r="E327" s="6">
        <f>VLOOKUP(B327,'Sales profit (스타일 별 매출이익)'!$D$9:$P$491,13,0)</f>
        <v>7936.2499999999991</v>
      </c>
      <c r="F327" s="112">
        <f>IFERROR(VLOOKUP(B327,O.B.JUNE!$N$7:$Q$448,2,0),0)</f>
        <v>0</v>
      </c>
      <c r="G327" s="112">
        <f>IFERROR(VLOOKUP(B327,O.B.JUNE!$N$7:$Q$448,3,0),0)</f>
        <v>33</v>
      </c>
      <c r="H327" s="112">
        <f>IFERROR(VLOOKUP(B327,O.B.JUNE!$N$7:$Q$448,4,0),0)</f>
        <v>54</v>
      </c>
      <c r="I327" s="112">
        <f t="shared" si="39"/>
        <v>87</v>
      </c>
      <c r="J327" s="112">
        <f>IFERROR(VLOOKUP(B327,O.B.JUNE!$AA$7:$AG$448,7,0),0)</f>
        <v>1069003</v>
      </c>
      <c r="K327" s="112">
        <f>IFERROR(VLOOKUP(B327,O.B.JUNE!$AI$7:$AO$448,7,0),0)</f>
        <v>1878131</v>
      </c>
      <c r="L327" s="112">
        <f t="shared" si="40"/>
        <v>2947134</v>
      </c>
      <c r="M327" s="112">
        <f>ROUND(SUMIF('JUNE (물량흐름)'!$C$13:$C$502,'WIP(재공품)'!B327,'JUNE (물량흐름)'!$H$13:$H$502)+SUMIF('JUNE (물량흐름)'!$C$13:$C$502,'WIP(재공품)'!B327,'JUNE (물량흐름)'!$V$13:$V$502),0)</f>
        <v>0</v>
      </c>
      <c r="N327" s="112">
        <f>SUMIF('Direct labour(직접노무비)'!$C$12:$C$503,'WIP(재공품)'!B327,'Direct labour(직접노무비)'!$O$12:$O$503)</f>
        <v>0</v>
      </c>
      <c r="O327" s="112">
        <f>SUMIF('Overhead exp(제조경비)'!$C$12:$C$503,'WIP(재공품)'!B327,'Overhead exp(제조경비)'!$O$12:$O$503)</f>
        <v>0</v>
      </c>
      <c r="P327" s="112">
        <f t="shared" si="41"/>
        <v>0</v>
      </c>
      <c r="Q327" s="112">
        <v>0</v>
      </c>
      <c r="R327" s="112">
        <v>0</v>
      </c>
      <c r="S327" s="112">
        <f>SUMIF('JUNE (물량흐름)'!$C$13:$C$493,'WIP(재공품)'!B327,'JUNE (물량흐름)'!$T$13:$T$493)+SUMIF('JUNE (물량흐름)'!$C$13:$C$493,'WIP(재공품)'!B327,'JUNE (물량흐름)'!$U$13:$U$493)+SUMIF('JUNE (물량흐름)'!$C$13:$C$493,'WIP(재공품)'!B327,'JUNE (물량흐름)'!$V$13:$V$493)-SUMIF('JUNE (물량흐름)'!$C$13:$C$493,'WIP(재공품)'!B327,'JUNE (물량흐름)'!$Y$13:$Y$493)</f>
        <v>0</v>
      </c>
      <c r="T327" s="112">
        <f>SUMIF('JUNE (물량흐름)'!$C$13:$C$502,'WIP(재공품)'!B327,'JUNE (물량흐름)'!$Y$13:$Y$502)</f>
        <v>1</v>
      </c>
      <c r="U327" s="167">
        <f>SUMIF('Direct labour(직접노무비)'!$C$12:$C$503,'WIP(재공품)'!B327,'Direct labour(직접노무비)'!$U$12:$U$503)+SUMIF('Overhead exp(제조경비)'!$C$12:$C$503,'WIP(재공품)'!B327,'Overhead exp(제조경비)'!$U$12:$U$503)</f>
        <v>33875</v>
      </c>
      <c r="V327" s="112">
        <f>SUMIF('Direct labour(직접노무비)'!$C$12:$C$503,'WIP(재공품)'!B327,'Direct labour(직접노무비)'!$Q$12:$Q$503)</f>
        <v>0</v>
      </c>
      <c r="W327" s="112">
        <f>SUMIF('Overhead exp(제조경비)'!$C$12:$C$503,'WIP(재공품)'!B327,'Overhead exp(제조경비)'!$Q$12:$Q$503)</f>
        <v>0</v>
      </c>
      <c r="X327" s="112">
        <f t="shared" si="42"/>
        <v>0</v>
      </c>
      <c r="Y327" s="112">
        <f ca="1">ROUND(SUMIF('JUNE (물량흐름)'!$C$13:$C$502,'WIP(재공품)'!B327,'JUNE (물량흐름)'!$N$13:$N$488),0)</f>
        <v>0</v>
      </c>
      <c r="Z327" s="112">
        <f>ROUND(SUMIF('JUNE (물량흐름)'!$C$13:$C$502,'WIP(재공품)'!B327,'JUNE (물량흐름)'!$O$13:$O$502),0)</f>
        <v>33</v>
      </c>
      <c r="AA327" s="112">
        <f>ROUND(SUMIF('JUNE (물량흐름)'!$C$13:$C$502,'WIP(재공품)'!B327,'JUNE (물량흐름)'!$P$13:$P$502),0)</f>
        <v>53</v>
      </c>
      <c r="AB327" s="112">
        <f t="shared" ca="1" si="43"/>
        <v>86</v>
      </c>
      <c r="AC327" s="112">
        <f t="shared" si="44"/>
        <v>2913259</v>
      </c>
      <c r="AD327" s="381">
        <f t="shared" ca="1" si="45"/>
        <v>0</v>
      </c>
      <c r="AE327" s="381">
        <f t="shared" si="46"/>
        <v>0</v>
      </c>
      <c r="AF327" s="382"/>
      <c r="AG327" s="382">
        <v>1.9</v>
      </c>
      <c r="AH327" s="383">
        <f t="shared" si="47"/>
        <v>-1.5499999999999998</v>
      </c>
      <c r="AJ327" s="383"/>
      <c r="AL327" s="385"/>
      <c r="AM327" s="381"/>
      <c r="AN327" s="382"/>
      <c r="AO327" s="382"/>
      <c r="AP327" s="383"/>
      <c r="AQ327" s="383"/>
    </row>
    <row r="328" spans="1:43" s="384" customFormat="1" ht="27" customHeight="1">
      <c r="A328" s="167">
        <v>322</v>
      </c>
      <c r="B328" s="240" t="str">
        <f>VLOOKUP(A328,'JUNE (물량흐름)'!$A$13:$C$502,3,0)</f>
        <v>KTP122131</v>
      </c>
      <c r="C328" s="21" t="str">
        <f>VLOOKUP(A328,'JUNE (물량흐름)'!$A$13:$C$502,2,0)</f>
        <v>J JILL</v>
      </c>
      <c r="D328" s="212">
        <v>0.36</v>
      </c>
      <c r="E328" s="6">
        <f>VLOOKUP(B328,'Sales profit (스타일 별 매출이익)'!$D$9:$P$491,13,0)</f>
        <v>8163</v>
      </c>
      <c r="F328" s="112">
        <f>IFERROR(VLOOKUP(B328,O.B.JUNE!$N$7:$Q$448,2,0),0)</f>
        <v>2</v>
      </c>
      <c r="G328" s="112">
        <f>IFERROR(VLOOKUP(B328,O.B.JUNE!$N$7:$Q$448,3,0),0)</f>
        <v>309</v>
      </c>
      <c r="H328" s="112">
        <f>IFERROR(VLOOKUP(B328,O.B.JUNE!$N$7:$Q$448,4,0),0)</f>
        <v>953</v>
      </c>
      <c r="I328" s="112">
        <f t="shared" ref="I328:I388" si="48">SUM(F328:H328)</f>
        <v>1264</v>
      </c>
      <c r="J328" s="112">
        <f>IFERROR(VLOOKUP(B328,O.B.JUNE!$AA$7:$AG$448,7,0),0)</f>
        <v>14182703</v>
      </c>
      <c r="K328" s="112">
        <f>IFERROR(VLOOKUP(B328,O.B.JUNE!$AI$7:$AO$448,7,0),0)</f>
        <v>20906815</v>
      </c>
      <c r="L328" s="112">
        <f t="shared" ref="L328:L388" si="49">ROUND(J328+K328,0)</f>
        <v>35089518</v>
      </c>
      <c r="M328" s="112">
        <f>ROUND(SUMIF('JUNE (물량흐름)'!$C$13:$C$502,'WIP(재공품)'!B328,'JUNE (물량흐름)'!$H$13:$H$502)+SUMIF('JUNE (물량흐름)'!$C$13:$C$502,'WIP(재공품)'!B328,'JUNE (물량흐름)'!$V$13:$V$502),0)</f>
        <v>0</v>
      </c>
      <c r="N328" s="112">
        <f>SUMIF('Direct labour(직접노무비)'!$C$12:$C$503,'WIP(재공품)'!B328,'Direct labour(직접노무비)'!$O$12:$O$503)</f>
        <v>0</v>
      </c>
      <c r="O328" s="112">
        <f>SUMIF('Overhead exp(제조경비)'!$C$12:$C$503,'WIP(재공품)'!B328,'Overhead exp(제조경비)'!$O$12:$O$503)</f>
        <v>0</v>
      </c>
      <c r="P328" s="112">
        <f t="shared" ref="P328:P388" si="50">ROUND(N328+O328,0)</f>
        <v>0</v>
      </c>
      <c r="Q328" s="112">
        <v>0</v>
      </c>
      <c r="R328" s="112">
        <v>0</v>
      </c>
      <c r="S328" s="112">
        <f>SUMIF('JUNE (물량흐름)'!$C$13:$C$493,'WIP(재공품)'!B328,'JUNE (물량흐름)'!$T$13:$T$493)+SUMIF('JUNE (물량흐름)'!$C$13:$C$493,'WIP(재공품)'!B328,'JUNE (물량흐름)'!$U$13:$U$493)+SUMIF('JUNE (물량흐름)'!$C$13:$C$493,'WIP(재공품)'!B328,'JUNE (물량흐름)'!$V$13:$V$493)-SUMIF('JUNE (물량흐름)'!$C$13:$C$493,'WIP(재공품)'!B328,'JUNE (물량흐름)'!$Y$13:$Y$493)</f>
        <v>0</v>
      </c>
      <c r="T328" s="112">
        <f>SUMIF('JUNE (물량흐름)'!$C$13:$C$502,'WIP(재공품)'!B328,'JUNE (물량흐름)'!$Y$13:$Y$502)</f>
        <v>0</v>
      </c>
      <c r="U328" s="167">
        <f>SUMIF('Direct labour(직접노무비)'!$C$12:$C$503,'WIP(재공품)'!B328,'Direct labour(직접노무비)'!$U$12:$U$503)+SUMIF('Overhead exp(제조경비)'!$C$12:$C$503,'WIP(재공품)'!B328,'Overhead exp(제조경비)'!$U$12:$U$503)</f>
        <v>0</v>
      </c>
      <c r="V328" s="112">
        <f>SUMIF('Direct labour(직접노무비)'!$C$12:$C$503,'WIP(재공품)'!B328,'Direct labour(직접노무비)'!$Q$12:$Q$503)</f>
        <v>0</v>
      </c>
      <c r="W328" s="112">
        <f>SUMIF('Overhead exp(제조경비)'!$C$12:$C$503,'WIP(재공품)'!B328,'Overhead exp(제조경비)'!$Q$12:$Q$503)</f>
        <v>0</v>
      </c>
      <c r="X328" s="112">
        <f t="shared" ref="X328:X388" si="51">ROUND(V328+W328,0)</f>
        <v>0</v>
      </c>
      <c r="Y328" s="112">
        <f ca="1">ROUND(SUMIF('JUNE (물량흐름)'!$C$13:$C$502,'WIP(재공품)'!B328,'JUNE (물량흐름)'!$N$13:$N$488),0)</f>
        <v>2</v>
      </c>
      <c r="Z328" s="112">
        <f>ROUND(SUMIF('JUNE (물량흐름)'!$C$13:$C$502,'WIP(재공품)'!B328,'JUNE (물량흐름)'!$O$13:$O$502),0)</f>
        <v>309</v>
      </c>
      <c r="AA328" s="112">
        <f>ROUND(SUMIF('JUNE (물량흐름)'!$C$13:$C$502,'WIP(재공품)'!B328,'JUNE (물량흐름)'!$P$13:$P$502),0)</f>
        <v>953</v>
      </c>
      <c r="AB328" s="112">
        <f t="shared" ref="AB328:AB388" ca="1" si="52">ROUND(SUM(Y328:AA328),0)</f>
        <v>1264</v>
      </c>
      <c r="AC328" s="112">
        <f t="shared" ref="AC328:AC388" si="53">ROUND(L328+P328-X328-U328,0)</f>
        <v>35089518</v>
      </c>
      <c r="AD328" s="381">
        <f t="shared" ref="AD328:AD388" ca="1" si="54">I328+M328-S328-T328-AB328</f>
        <v>0</v>
      </c>
      <c r="AE328" s="381">
        <f t="shared" ref="AE328:AE388" si="55">+L328+P328-X328-U328-AC328</f>
        <v>0</v>
      </c>
      <c r="AF328" s="382"/>
      <c r="AG328" s="382"/>
      <c r="AH328" s="383">
        <f t="shared" ref="AH328:AH357" si="56">D328-AG328</f>
        <v>0.36</v>
      </c>
      <c r="AJ328" s="383"/>
      <c r="AL328" s="385"/>
      <c r="AM328" s="381"/>
      <c r="AN328" s="382"/>
      <c r="AO328" s="382"/>
      <c r="AP328" s="383"/>
      <c r="AQ328" s="383"/>
    </row>
    <row r="329" spans="1:43" s="384" customFormat="1" ht="27" customHeight="1">
      <c r="A329" s="167">
        <v>323</v>
      </c>
      <c r="B329" s="240" t="str">
        <f>VLOOKUP(A329,'JUNE (물량흐름)'!$A$13:$C$502,3,0)</f>
        <v>KTP124011</v>
      </c>
      <c r="C329" s="21" t="str">
        <f>VLOOKUP(A329,'JUNE (물량흐름)'!$A$13:$C$502,2,0)</f>
        <v>J JILL</v>
      </c>
      <c r="D329" s="212">
        <v>0.36</v>
      </c>
      <c r="E329" s="6">
        <f>VLOOKUP(B329,'Sales profit (스타일 별 매출이익)'!$D$9:$P$491,13,0)</f>
        <v>8163</v>
      </c>
      <c r="F329" s="112">
        <f>IFERROR(VLOOKUP(B329,O.B.JUNE!$N$7:$Q$448,2,0),0)</f>
        <v>0</v>
      </c>
      <c r="G329" s="112">
        <f>IFERROR(VLOOKUP(B329,O.B.JUNE!$N$7:$Q$448,3,0),0)</f>
        <v>349</v>
      </c>
      <c r="H329" s="112">
        <f>IFERROR(VLOOKUP(B329,O.B.JUNE!$N$7:$Q$448,4,0),0)</f>
        <v>732</v>
      </c>
      <c r="I329" s="112">
        <f t="shared" si="48"/>
        <v>1081</v>
      </c>
      <c r="J329" s="112">
        <f>IFERROR(VLOOKUP(B329,O.B.JUNE!$AA$7:$AG$448,7,0),0)</f>
        <v>12620552</v>
      </c>
      <c r="K329" s="112">
        <f>IFERROR(VLOOKUP(B329,O.B.JUNE!$AI$7:$AO$448,7,0),0)</f>
        <v>18604038</v>
      </c>
      <c r="L329" s="112">
        <f t="shared" si="49"/>
        <v>31224590</v>
      </c>
      <c r="M329" s="112">
        <f>ROUND(SUMIF('JUNE (물량흐름)'!$C$13:$C$502,'WIP(재공품)'!B329,'JUNE (물량흐름)'!$H$13:$H$502)+SUMIF('JUNE (물량흐름)'!$C$13:$C$502,'WIP(재공품)'!B329,'JUNE (물량흐름)'!$V$13:$V$502),0)</f>
        <v>0</v>
      </c>
      <c r="N329" s="112">
        <f>SUMIF('Direct labour(직접노무비)'!$C$12:$C$503,'WIP(재공품)'!B329,'Direct labour(직접노무비)'!$O$12:$O$503)</f>
        <v>0</v>
      </c>
      <c r="O329" s="112">
        <f>SUMIF('Overhead exp(제조경비)'!$C$12:$C$503,'WIP(재공품)'!B329,'Overhead exp(제조경비)'!$O$12:$O$503)</f>
        <v>0</v>
      </c>
      <c r="P329" s="112">
        <f t="shared" si="50"/>
        <v>0</v>
      </c>
      <c r="Q329" s="112">
        <v>0</v>
      </c>
      <c r="R329" s="112">
        <v>0</v>
      </c>
      <c r="S329" s="112">
        <f>SUMIF('JUNE (물량흐름)'!$C$13:$C$493,'WIP(재공품)'!B329,'JUNE (물량흐름)'!$T$13:$T$493)+SUMIF('JUNE (물량흐름)'!$C$13:$C$493,'WIP(재공품)'!B329,'JUNE (물량흐름)'!$U$13:$U$493)+SUMIF('JUNE (물량흐름)'!$C$13:$C$493,'WIP(재공품)'!B329,'JUNE (물량흐름)'!$V$13:$V$493)-SUMIF('JUNE (물량흐름)'!$C$13:$C$493,'WIP(재공품)'!B329,'JUNE (물량흐름)'!$Y$13:$Y$493)</f>
        <v>0</v>
      </c>
      <c r="T329" s="112">
        <f>SUMIF('JUNE (물량흐름)'!$C$13:$C$502,'WIP(재공품)'!B329,'JUNE (물량흐름)'!$Y$13:$Y$502)</f>
        <v>0</v>
      </c>
      <c r="U329" s="167">
        <f>SUMIF('Direct labour(직접노무비)'!$C$12:$C$503,'WIP(재공품)'!B329,'Direct labour(직접노무비)'!$U$12:$U$503)+SUMIF('Overhead exp(제조경비)'!$C$12:$C$503,'WIP(재공품)'!B329,'Overhead exp(제조경비)'!$U$12:$U$503)</f>
        <v>0</v>
      </c>
      <c r="V329" s="112">
        <f>SUMIF('Direct labour(직접노무비)'!$C$12:$C$503,'WIP(재공품)'!B329,'Direct labour(직접노무비)'!$Q$12:$Q$503)</f>
        <v>0</v>
      </c>
      <c r="W329" s="112">
        <f>SUMIF('Overhead exp(제조경비)'!$C$12:$C$503,'WIP(재공품)'!B329,'Overhead exp(제조경비)'!$Q$12:$Q$503)</f>
        <v>0</v>
      </c>
      <c r="X329" s="112">
        <f t="shared" si="51"/>
        <v>0</v>
      </c>
      <c r="Y329" s="112">
        <f ca="1">ROUND(SUMIF('JUNE (물량흐름)'!$C$13:$C$502,'WIP(재공품)'!B329,'JUNE (물량흐름)'!$N$13:$N$488),0)</f>
        <v>0</v>
      </c>
      <c r="Z329" s="112">
        <f>ROUND(SUMIF('JUNE (물량흐름)'!$C$13:$C$502,'WIP(재공품)'!B329,'JUNE (물량흐름)'!$O$13:$O$502),0)</f>
        <v>349</v>
      </c>
      <c r="AA329" s="112">
        <f>ROUND(SUMIF('JUNE (물량흐름)'!$C$13:$C$502,'WIP(재공품)'!B329,'JUNE (물량흐름)'!$P$13:$P$502),0)</f>
        <v>732</v>
      </c>
      <c r="AB329" s="112">
        <f t="shared" ca="1" si="52"/>
        <v>1081</v>
      </c>
      <c r="AC329" s="112">
        <f t="shared" si="53"/>
        <v>31224590</v>
      </c>
      <c r="AD329" s="381">
        <f t="shared" ca="1" si="54"/>
        <v>0</v>
      </c>
      <c r="AE329" s="381">
        <f t="shared" si="55"/>
        <v>0</v>
      </c>
      <c r="AF329" s="382"/>
      <c r="AG329" s="382"/>
      <c r="AH329" s="383">
        <f t="shared" si="56"/>
        <v>0.36</v>
      </c>
      <c r="AJ329" s="383"/>
      <c r="AL329" s="385"/>
      <c r="AM329" s="381"/>
      <c r="AN329" s="382"/>
      <c r="AO329" s="382"/>
      <c r="AP329" s="383"/>
      <c r="AQ329" s="383"/>
    </row>
    <row r="330" spans="1:43" s="384" customFormat="1" ht="27" customHeight="1">
      <c r="A330" s="167">
        <v>324</v>
      </c>
      <c r="B330" s="240" t="str">
        <f>VLOOKUP(A330,'JUNE (물량흐름)'!$A$13:$C$502,3,0)</f>
        <v>KTP124021</v>
      </c>
      <c r="C330" s="21" t="str">
        <f>VLOOKUP(A330,'JUNE (물량흐름)'!$A$13:$C$502,2,0)</f>
        <v>J JILL</v>
      </c>
      <c r="D330" s="212">
        <v>0.36</v>
      </c>
      <c r="E330" s="6">
        <f>VLOOKUP(B330,'Sales profit (스타일 별 매출이익)'!$D$9:$P$491,13,0)</f>
        <v>8163</v>
      </c>
      <c r="F330" s="112">
        <f>IFERROR(VLOOKUP(B330,O.B.JUNE!$N$7:$Q$448,2,0),0)</f>
        <v>0</v>
      </c>
      <c r="G330" s="112">
        <f>IFERROR(VLOOKUP(B330,O.B.JUNE!$N$7:$Q$448,3,0),0)</f>
        <v>70</v>
      </c>
      <c r="H330" s="112">
        <f>IFERROR(VLOOKUP(B330,O.B.JUNE!$N$7:$Q$448,4,0),0)</f>
        <v>357</v>
      </c>
      <c r="I330" s="112">
        <f t="shared" si="48"/>
        <v>427</v>
      </c>
      <c r="J330" s="112">
        <f>IFERROR(VLOOKUP(B330,O.B.JUNE!$AA$7:$AG$448,7,0),0)</f>
        <v>4683933</v>
      </c>
      <c r="K330" s="112">
        <f>IFERROR(VLOOKUP(B330,O.B.JUNE!$AI$7:$AO$448,7,0),0)</f>
        <v>6904617</v>
      </c>
      <c r="L330" s="112">
        <f t="shared" si="49"/>
        <v>11588550</v>
      </c>
      <c r="M330" s="112">
        <f>ROUND(SUMIF('JUNE (물량흐름)'!$C$13:$C$502,'WIP(재공품)'!B330,'JUNE (물량흐름)'!$H$13:$H$502)+SUMIF('JUNE (물량흐름)'!$C$13:$C$502,'WIP(재공품)'!B330,'JUNE (물량흐름)'!$V$13:$V$502),0)</f>
        <v>0</v>
      </c>
      <c r="N330" s="112">
        <f>SUMIF('Direct labour(직접노무비)'!$C$12:$C$503,'WIP(재공품)'!B330,'Direct labour(직접노무비)'!$O$12:$O$503)</f>
        <v>0</v>
      </c>
      <c r="O330" s="112">
        <f>SUMIF('Overhead exp(제조경비)'!$C$12:$C$503,'WIP(재공품)'!B330,'Overhead exp(제조경비)'!$O$12:$O$503)</f>
        <v>0</v>
      </c>
      <c r="P330" s="112">
        <f t="shared" si="50"/>
        <v>0</v>
      </c>
      <c r="Q330" s="112">
        <v>0</v>
      </c>
      <c r="R330" s="112">
        <v>0</v>
      </c>
      <c r="S330" s="112">
        <f>SUMIF('JUNE (물량흐름)'!$C$13:$C$493,'WIP(재공품)'!B330,'JUNE (물량흐름)'!$T$13:$T$493)+SUMIF('JUNE (물량흐름)'!$C$13:$C$493,'WIP(재공품)'!B330,'JUNE (물량흐름)'!$U$13:$U$493)+SUMIF('JUNE (물량흐름)'!$C$13:$C$493,'WIP(재공품)'!B330,'JUNE (물량흐름)'!$V$13:$V$493)-SUMIF('JUNE (물량흐름)'!$C$13:$C$493,'WIP(재공품)'!B330,'JUNE (물량흐름)'!$Y$13:$Y$493)</f>
        <v>0</v>
      </c>
      <c r="T330" s="112">
        <f>SUMIF('JUNE (물량흐름)'!$C$13:$C$502,'WIP(재공품)'!B330,'JUNE (물량흐름)'!$Y$13:$Y$502)</f>
        <v>0</v>
      </c>
      <c r="U330" s="167">
        <f>SUMIF('Direct labour(직접노무비)'!$C$12:$C$503,'WIP(재공품)'!B330,'Direct labour(직접노무비)'!$U$12:$U$503)+SUMIF('Overhead exp(제조경비)'!$C$12:$C$503,'WIP(재공품)'!B330,'Overhead exp(제조경비)'!$U$12:$U$503)</f>
        <v>0</v>
      </c>
      <c r="V330" s="112">
        <f>SUMIF('Direct labour(직접노무비)'!$C$12:$C$503,'WIP(재공품)'!B330,'Direct labour(직접노무비)'!$Q$12:$Q$503)</f>
        <v>0</v>
      </c>
      <c r="W330" s="112">
        <f>SUMIF('Overhead exp(제조경비)'!$C$12:$C$503,'WIP(재공품)'!B330,'Overhead exp(제조경비)'!$Q$12:$Q$503)</f>
        <v>0</v>
      </c>
      <c r="X330" s="112">
        <f t="shared" si="51"/>
        <v>0</v>
      </c>
      <c r="Y330" s="112">
        <f ca="1">ROUND(SUMIF('JUNE (물량흐름)'!$C$13:$C$502,'WIP(재공품)'!B330,'JUNE (물량흐름)'!$N$13:$N$488),0)</f>
        <v>53</v>
      </c>
      <c r="Z330" s="112">
        <f>ROUND(SUMIF('JUNE (물량흐름)'!$C$13:$C$502,'WIP(재공품)'!B330,'JUNE (물량흐름)'!$O$13:$O$502),0)</f>
        <v>0</v>
      </c>
      <c r="AA330" s="112">
        <f>ROUND(SUMIF('JUNE (물량흐름)'!$C$13:$C$502,'WIP(재공품)'!B330,'JUNE (물량흐름)'!$P$13:$P$502),0)</f>
        <v>374</v>
      </c>
      <c r="AB330" s="112">
        <f t="shared" ca="1" si="52"/>
        <v>427</v>
      </c>
      <c r="AC330" s="112">
        <f t="shared" si="53"/>
        <v>11588550</v>
      </c>
      <c r="AD330" s="381">
        <f t="shared" ca="1" si="54"/>
        <v>0</v>
      </c>
      <c r="AE330" s="381">
        <f t="shared" si="55"/>
        <v>0</v>
      </c>
      <c r="AF330" s="382"/>
      <c r="AG330" s="382"/>
      <c r="AH330" s="383">
        <f t="shared" si="56"/>
        <v>0.36</v>
      </c>
      <c r="AJ330" s="383"/>
      <c r="AL330" s="385"/>
      <c r="AM330" s="381"/>
      <c r="AN330" s="382"/>
      <c r="AO330" s="382"/>
      <c r="AP330" s="383"/>
      <c r="AQ330" s="383"/>
    </row>
    <row r="331" spans="1:43" s="384" customFormat="1" ht="27" customHeight="1">
      <c r="A331" s="167">
        <v>325</v>
      </c>
      <c r="B331" s="240">
        <f>VLOOKUP(A331,'JUNE (물량흐름)'!$A$13:$C$502,3,0)</f>
        <v>100023338</v>
      </c>
      <c r="C331" s="21" t="str">
        <f>VLOOKUP(A331,'JUNE (물량흐름)'!$A$13:$C$502,2,0)</f>
        <v>INC</v>
      </c>
      <c r="D331" s="212">
        <v>1.26</v>
      </c>
      <c r="E331" s="6">
        <f>VLOOKUP(B331,'Sales profit (스타일 별 매출이익)'!$D$9:$P$491,13,0)</f>
        <v>28570.5</v>
      </c>
      <c r="F331" s="112">
        <f>IFERROR(VLOOKUP(B331,O.B.JUNE!$N$7:$Q$448,2,0),0)</f>
        <v>0</v>
      </c>
      <c r="G331" s="112">
        <f>IFERROR(VLOOKUP(B331,O.B.JUNE!$N$7:$Q$448,3,0),0)</f>
        <v>144</v>
      </c>
      <c r="H331" s="112">
        <f>IFERROR(VLOOKUP(B331,O.B.JUNE!$N$7:$Q$448,4,0),0)</f>
        <v>99</v>
      </c>
      <c r="I331" s="112">
        <f t="shared" si="48"/>
        <v>243</v>
      </c>
      <c r="J331" s="112">
        <f>IFERROR(VLOOKUP(B331,O.B.JUNE!$AA$7:$AG$448,7,0),0)</f>
        <v>3213996</v>
      </c>
      <c r="K331" s="112">
        <f>IFERROR(VLOOKUP(B331,O.B.JUNE!$AI$7:$AO$448,7,0),0)</f>
        <v>5041271</v>
      </c>
      <c r="L331" s="112">
        <f t="shared" si="49"/>
        <v>8255267</v>
      </c>
      <c r="M331" s="112">
        <f>ROUND(SUMIF('JUNE (물량흐름)'!$C$13:$C$502,'WIP(재공품)'!B331,'JUNE (물량흐름)'!$H$13:$H$502)+SUMIF('JUNE (물량흐름)'!$C$13:$C$502,'WIP(재공품)'!B331,'JUNE (물량흐름)'!$V$13:$V$502),0)</f>
        <v>0</v>
      </c>
      <c r="N331" s="112">
        <f>SUMIF('Direct labour(직접노무비)'!$C$12:$C$503,'WIP(재공품)'!B331,'Direct labour(직접노무비)'!$O$12:$O$503)</f>
        <v>0</v>
      </c>
      <c r="O331" s="112">
        <f>SUMIF('Overhead exp(제조경비)'!$C$12:$C$503,'WIP(재공품)'!B331,'Overhead exp(제조경비)'!$O$12:$O$503)</f>
        <v>0</v>
      </c>
      <c r="P331" s="112">
        <f t="shared" si="50"/>
        <v>0</v>
      </c>
      <c r="Q331" s="112">
        <v>0</v>
      </c>
      <c r="R331" s="112">
        <v>0</v>
      </c>
      <c r="S331" s="112">
        <f>SUMIF('JUNE (물량흐름)'!$C$13:$C$493,'WIP(재공품)'!B331,'JUNE (물량흐름)'!$T$13:$T$493)+SUMIF('JUNE (물량흐름)'!$C$13:$C$493,'WIP(재공품)'!B331,'JUNE (물량흐름)'!$U$13:$U$493)+SUMIF('JUNE (물량흐름)'!$C$13:$C$493,'WIP(재공품)'!B331,'JUNE (물량흐름)'!$V$13:$V$493)-SUMIF('JUNE (물량흐름)'!$C$13:$C$493,'WIP(재공품)'!B331,'JUNE (물량흐름)'!$Y$13:$Y$493)</f>
        <v>0</v>
      </c>
      <c r="T331" s="112">
        <f>SUMIF('JUNE (물량흐름)'!$C$13:$C$502,'WIP(재공품)'!B331,'JUNE (물량흐름)'!$Y$13:$Y$502)</f>
        <v>0</v>
      </c>
      <c r="U331" s="167">
        <f>SUMIF('Direct labour(직접노무비)'!$C$12:$C$503,'WIP(재공품)'!B331,'Direct labour(직접노무비)'!$U$12:$U$503)+SUMIF('Overhead exp(제조경비)'!$C$12:$C$503,'WIP(재공품)'!B331,'Overhead exp(제조경비)'!$U$12:$U$503)</f>
        <v>0</v>
      </c>
      <c r="V331" s="112">
        <f>SUMIF('Direct labour(직접노무비)'!$C$12:$C$503,'WIP(재공품)'!B331,'Direct labour(직접노무비)'!$Q$12:$Q$503)</f>
        <v>0</v>
      </c>
      <c r="W331" s="112">
        <f>SUMIF('Overhead exp(제조경비)'!$C$12:$C$503,'WIP(재공품)'!B331,'Overhead exp(제조경비)'!$Q$12:$Q$503)</f>
        <v>0</v>
      </c>
      <c r="X331" s="112">
        <f t="shared" si="51"/>
        <v>0</v>
      </c>
      <c r="Y331" s="112">
        <f ca="1">ROUND(SUMIF('JUNE (물량흐름)'!$C$13:$C$502,'WIP(재공품)'!B331,'JUNE (물량흐름)'!$N$13:$N$488),0)</f>
        <v>0</v>
      </c>
      <c r="Z331" s="112">
        <f>ROUND(SUMIF('JUNE (물량흐름)'!$C$13:$C$502,'WIP(재공품)'!B331,'JUNE (물량흐름)'!$O$13:$O$502),0)</f>
        <v>144</v>
      </c>
      <c r="AA331" s="112">
        <f>ROUND(SUMIF('JUNE (물량흐름)'!$C$13:$C$502,'WIP(재공품)'!B331,'JUNE (물량흐름)'!$P$13:$P$502),0)</f>
        <v>99</v>
      </c>
      <c r="AB331" s="112">
        <f t="shared" ca="1" si="52"/>
        <v>243</v>
      </c>
      <c r="AC331" s="112">
        <f t="shared" si="53"/>
        <v>8255267</v>
      </c>
      <c r="AD331" s="381">
        <f t="shared" ca="1" si="54"/>
        <v>0</v>
      </c>
      <c r="AE331" s="381">
        <f t="shared" si="55"/>
        <v>0</v>
      </c>
      <c r="AF331" s="382"/>
      <c r="AG331" s="382">
        <v>1.3</v>
      </c>
      <c r="AH331" s="383">
        <f t="shared" si="56"/>
        <v>-4.0000000000000036E-2</v>
      </c>
      <c r="AJ331" s="383"/>
      <c r="AL331" s="385"/>
      <c r="AM331" s="381"/>
      <c r="AN331" s="382"/>
      <c r="AO331" s="382"/>
      <c r="AP331" s="383"/>
      <c r="AQ331" s="383"/>
    </row>
    <row r="332" spans="1:43" s="384" customFormat="1" ht="27" customHeight="1">
      <c r="A332" s="167">
        <v>327</v>
      </c>
      <c r="B332" s="240">
        <f>VLOOKUP(A332,'JUNE (물량흐름)'!$A$13:$C$502,3,0)</f>
        <v>100025351</v>
      </c>
      <c r="C332" s="21" t="str">
        <f>VLOOKUP(A332,'JUNE (물량흐름)'!$A$13:$C$502,2,0)</f>
        <v>CHARTER CLUB</v>
      </c>
      <c r="D332" s="212">
        <v>0.35</v>
      </c>
      <c r="E332" s="6">
        <f>VLOOKUP(B332,'Sales profit (스타일 별 매출이익)'!$D$9:$P$491,13,0)</f>
        <v>7936.2499999999991</v>
      </c>
      <c r="F332" s="112">
        <f>IFERROR(VLOOKUP(B332,O.B.JUNE!$N$7:$Q$448,2,0),0)</f>
        <v>0</v>
      </c>
      <c r="G332" s="112">
        <f>IFERROR(VLOOKUP(B332,O.B.JUNE!$N$7:$Q$448,3,0),0)</f>
        <v>24</v>
      </c>
      <c r="H332" s="112">
        <f>IFERROR(VLOOKUP(B332,O.B.JUNE!$N$7:$Q$448,4,0),0)</f>
        <v>0</v>
      </c>
      <c r="I332" s="112">
        <f t="shared" si="48"/>
        <v>24</v>
      </c>
      <c r="J332" s="112">
        <f>IFERROR(VLOOKUP(B332,O.B.JUNE!$AA$7:$AG$448,7,0),0)</f>
        <v>341700</v>
      </c>
      <c r="K332" s="112">
        <f>IFERROR(VLOOKUP(B332,O.B.JUNE!$AI$7:$AO$448,7,0),0)</f>
        <v>587324</v>
      </c>
      <c r="L332" s="112">
        <f t="shared" si="49"/>
        <v>929024</v>
      </c>
      <c r="M332" s="112">
        <f>ROUND(SUMIF('JUNE (물량흐름)'!$C$13:$C$502,'WIP(재공품)'!B332,'JUNE (물량흐름)'!$H$13:$H$502)+SUMIF('JUNE (물량흐름)'!$C$13:$C$502,'WIP(재공품)'!B332,'JUNE (물량흐름)'!$V$13:$V$502),0)</f>
        <v>0</v>
      </c>
      <c r="N332" s="112">
        <f>SUMIF('Direct labour(직접노무비)'!$C$12:$C$503,'WIP(재공품)'!B332,'Direct labour(직접노무비)'!$O$12:$O$503)</f>
        <v>0</v>
      </c>
      <c r="O332" s="112">
        <f>SUMIF('Overhead exp(제조경비)'!$C$12:$C$503,'WIP(재공품)'!B332,'Overhead exp(제조경비)'!$O$12:$O$503)</f>
        <v>0</v>
      </c>
      <c r="P332" s="112">
        <f t="shared" si="50"/>
        <v>0</v>
      </c>
      <c r="Q332" s="112">
        <v>0</v>
      </c>
      <c r="R332" s="112">
        <v>0</v>
      </c>
      <c r="S332" s="112">
        <f>SUMIF('JUNE (물량흐름)'!$C$13:$C$493,'WIP(재공품)'!B332,'JUNE (물량흐름)'!$T$13:$T$493)+SUMIF('JUNE (물량흐름)'!$C$13:$C$493,'WIP(재공품)'!B332,'JUNE (물량흐름)'!$U$13:$U$493)+SUMIF('JUNE (물량흐름)'!$C$13:$C$493,'WIP(재공품)'!B332,'JUNE (물량흐름)'!$V$13:$V$493)-SUMIF('JUNE (물량흐름)'!$C$13:$C$493,'WIP(재공품)'!B332,'JUNE (물량흐름)'!$Y$13:$Y$493)</f>
        <v>0</v>
      </c>
      <c r="T332" s="112">
        <f>SUMIF('JUNE (물량흐름)'!$C$13:$C$502,'WIP(재공품)'!B332,'JUNE (물량흐름)'!$Y$13:$Y$502)</f>
        <v>0</v>
      </c>
      <c r="U332" s="167">
        <f>SUMIF('Direct labour(직접노무비)'!$C$12:$C$503,'WIP(재공품)'!B332,'Direct labour(직접노무비)'!$U$12:$U$503)+SUMIF('Overhead exp(제조경비)'!$C$12:$C$503,'WIP(재공품)'!B332,'Overhead exp(제조경비)'!$U$12:$U$503)</f>
        <v>0</v>
      </c>
      <c r="V332" s="112">
        <f>SUMIF('Direct labour(직접노무비)'!$C$12:$C$503,'WIP(재공품)'!B332,'Direct labour(직접노무비)'!$Q$12:$Q$503)</f>
        <v>0</v>
      </c>
      <c r="W332" s="112">
        <f>SUMIF('Overhead exp(제조경비)'!$C$12:$C$503,'WIP(재공품)'!B332,'Overhead exp(제조경비)'!$Q$12:$Q$503)</f>
        <v>0</v>
      </c>
      <c r="X332" s="112">
        <f t="shared" si="51"/>
        <v>0</v>
      </c>
      <c r="Y332" s="112">
        <f ca="1">ROUND(SUMIF('JUNE (물량흐름)'!$C$13:$C$502,'WIP(재공품)'!B332,'JUNE (물량흐름)'!$N$13:$N$488),0)</f>
        <v>0</v>
      </c>
      <c r="Z332" s="112">
        <f>ROUND(SUMIF('JUNE (물량흐름)'!$C$13:$C$502,'WIP(재공품)'!B332,'JUNE (물량흐름)'!$O$13:$O$502),0)</f>
        <v>24</v>
      </c>
      <c r="AA332" s="112">
        <f>ROUND(SUMIF('JUNE (물량흐름)'!$C$13:$C$502,'WIP(재공품)'!B332,'JUNE (물량흐름)'!$P$13:$P$502),0)</f>
        <v>0</v>
      </c>
      <c r="AB332" s="112">
        <f t="shared" ca="1" si="52"/>
        <v>24</v>
      </c>
      <c r="AC332" s="112">
        <f t="shared" si="53"/>
        <v>929024</v>
      </c>
      <c r="AD332" s="381">
        <f t="shared" ca="1" si="54"/>
        <v>0</v>
      </c>
      <c r="AE332" s="381">
        <f t="shared" si="55"/>
        <v>0</v>
      </c>
      <c r="AF332" s="382"/>
      <c r="AG332" s="382">
        <v>1.95</v>
      </c>
      <c r="AH332" s="383">
        <f t="shared" si="56"/>
        <v>-1.6</v>
      </c>
      <c r="AJ332" s="383"/>
      <c r="AL332" s="385"/>
      <c r="AM332" s="381"/>
      <c r="AN332" s="382"/>
      <c r="AO332" s="382"/>
      <c r="AP332" s="383"/>
      <c r="AQ332" s="383"/>
    </row>
    <row r="333" spans="1:43" s="384" customFormat="1" ht="27" customHeight="1">
      <c r="A333" s="167">
        <v>328</v>
      </c>
      <c r="B333" s="240">
        <f>VLOOKUP(A333,'JUNE (물량흐름)'!$A$13:$C$502,3,0)</f>
        <v>182034821</v>
      </c>
      <c r="C333" s="21" t="str">
        <f>VLOOKUP(A333,'JUNE (물량흐름)'!$A$13:$C$502,2,0)</f>
        <v>TALBOTS</v>
      </c>
      <c r="D333" s="212">
        <v>0.35</v>
      </c>
      <c r="E333" s="6">
        <f>VLOOKUP(B333,'Sales profit (스타일 별 매출이익)'!$D$9:$P$491,13,0)</f>
        <v>7936.2499999999991</v>
      </c>
      <c r="F333" s="112">
        <f>IFERROR(VLOOKUP(B333,O.B.JUNE!$N$7:$Q$448,2,0),0)</f>
        <v>41</v>
      </c>
      <c r="G333" s="112">
        <f>IFERROR(VLOOKUP(B333,O.B.JUNE!$N$7:$Q$448,3,0),0)</f>
        <v>215</v>
      </c>
      <c r="H333" s="112">
        <f>IFERROR(VLOOKUP(B333,O.B.JUNE!$N$7:$Q$448,4,0),0)</f>
        <v>0</v>
      </c>
      <c r="I333" s="112">
        <f t="shared" si="48"/>
        <v>256</v>
      </c>
      <c r="J333" s="112">
        <f>IFERROR(VLOOKUP(B333,O.B.JUNE!$AA$7:$AG$448,7,0),0)</f>
        <v>3120328</v>
      </c>
      <c r="K333" s="112">
        <f>IFERROR(VLOOKUP(B333,O.B.JUNE!$AI$7:$AO$448,7,0),0)</f>
        <v>5582851</v>
      </c>
      <c r="L333" s="112">
        <f t="shared" si="49"/>
        <v>8703179</v>
      </c>
      <c r="M333" s="112">
        <f>ROUND(SUMIF('JUNE (물량흐름)'!$C$13:$C$502,'WIP(재공품)'!B333,'JUNE (물량흐름)'!$H$13:$H$502)+SUMIF('JUNE (물량흐름)'!$C$13:$C$502,'WIP(재공품)'!B333,'JUNE (물량흐름)'!$V$13:$V$502),0)</f>
        <v>0</v>
      </c>
      <c r="N333" s="112">
        <f>SUMIF('Direct labour(직접노무비)'!$C$12:$C$503,'WIP(재공품)'!B333,'Direct labour(직접노무비)'!$O$12:$O$503)</f>
        <v>0</v>
      </c>
      <c r="O333" s="112">
        <f>SUMIF('Overhead exp(제조경비)'!$C$12:$C$503,'WIP(재공품)'!B333,'Overhead exp(제조경비)'!$O$12:$O$503)</f>
        <v>0</v>
      </c>
      <c r="P333" s="112">
        <f t="shared" si="50"/>
        <v>0</v>
      </c>
      <c r="Q333" s="112">
        <v>0</v>
      </c>
      <c r="R333" s="112">
        <v>0</v>
      </c>
      <c r="S333" s="112">
        <f>SUMIF('JUNE (물량흐름)'!$C$13:$C$493,'WIP(재공품)'!B333,'JUNE (물량흐름)'!$T$13:$T$493)+SUMIF('JUNE (물량흐름)'!$C$13:$C$493,'WIP(재공품)'!B333,'JUNE (물량흐름)'!$U$13:$U$493)+SUMIF('JUNE (물량흐름)'!$C$13:$C$493,'WIP(재공품)'!B333,'JUNE (물량흐름)'!$V$13:$V$493)-SUMIF('JUNE (물량흐름)'!$C$13:$C$493,'WIP(재공품)'!B333,'JUNE (물량흐름)'!$Y$13:$Y$493)</f>
        <v>0</v>
      </c>
      <c r="T333" s="112">
        <f>SUMIF('JUNE (물량흐름)'!$C$13:$C$502,'WIP(재공품)'!B333,'JUNE (물량흐름)'!$Y$13:$Y$502)</f>
        <v>0</v>
      </c>
      <c r="U333" s="167">
        <f>SUMIF('Direct labour(직접노무비)'!$C$12:$C$503,'WIP(재공품)'!B333,'Direct labour(직접노무비)'!$U$12:$U$503)+SUMIF('Overhead exp(제조경비)'!$C$12:$C$503,'WIP(재공품)'!B333,'Overhead exp(제조경비)'!$U$12:$U$503)</f>
        <v>0</v>
      </c>
      <c r="V333" s="112">
        <f>SUMIF('Direct labour(직접노무비)'!$C$12:$C$503,'WIP(재공품)'!B333,'Direct labour(직접노무비)'!$Q$12:$Q$503)</f>
        <v>0</v>
      </c>
      <c r="W333" s="112">
        <f>SUMIF('Overhead exp(제조경비)'!$C$12:$C$503,'WIP(재공품)'!B333,'Overhead exp(제조경비)'!$Q$12:$Q$503)</f>
        <v>0</v>
      </c>
      <c r="X333" s="112">
        <f t="shared" si="51"/>
        <v>0</v>
      </c>
      <c r="Y333" s="112">
        <f ca="1">ROUND(SUMIF('JUNE (물량흐름)'!$C$13:$C$502,'WIP(재공품)'!B333,'JUNE (물량흐름)'!$N$13:$N$488),0)</f>
        <v>41</v>
      </c>
      <c r="Z333" s="112">
        <f>ROUND(SUMIF('JUNE (물량흐름)'!$C$13:$C$502,'WIP(재공품)'!B333,'JUNE (물량흐름)'!$O$13:$O$502),0)</f>
        <v>215</v>
      </c>
      <c r="AA333" s="112">
        <f>ROUND(SUMIF('JUNE (물량흐름)'!$C$13:$C$502,'WIP(재공품)'!B333,'JUNE (물량흐름)'!$P$13:$P$502),0)</f>
        <v>0</v>
      </c>
      <c r="AB333" s="112">
        <f t="shared" ca="1" si="52"/>
        <v>256</v>
      </c>
      <c r="AC333" s="112">
        <f t="shared" si="53"/>
        <v>8703179</v>
      </c>
      <c r="AD333" s="381">
        <f t="shared" ca="1" si="54"/>
        <v>0</v>
      </c>
      <c r="AE333" s="381">
        <f t="shared" si="55"/>
        <v>0</v>
      </c>
      <c r="AF333" s="382"/>
      <c r="AG333" s="382"/>
      <c r="AH333" s="383">
        <f t="shared" si="56"/>
        <v>0.35</v>
      </c>
      <c r="AJ333" s="383"/>
      <c r="AL333" s="385"/>
      <c r="AM333" s="381"/>
      <c r="AN333" s="382"/>
      <c r="AO333" s="382"/>
      <c r="AP333" s="383"/>
      <c r="AQ333" s="383"/>
    </row>
    <row r="334" spans="1:43" s="384" customFormat="1" ht="27" customHeight="1">
      <c r="A334" s="167">
        <v>329</v>
      </c>
      <c r="B334" s="240">
        <f>VLOOKUP(A334,'JUNE (물량흐름)'!$A$13:$C$502,3,0)</f>
        <v>182034836</v>
      </c>
      <c r="C334" s="21" t="str">
        <f>VLOOKUP(A334,'JUNE (물량흐름)'!$A$13:$C$502,2,0)</f>
        <v>TALBOTS</v>
      </c>
      <c r="D334" s="212">
        <v>0.36</v>
      </c>
      <c r="E334" s="6">
        <f>VLOOKUP(B334,'Sales profit (스타일 별 매출이익)'!$D$9:$P$491,13,0)</f>
        <v>8163</v>
      </c>
      <c r="F334" s="112">
        <f>IFERROR(VLOOKUP(B334,O.B.JUNE!$N$7:$Q$448,2,0),0)</f>
        <v>0</v>
      </c>
      <c r="G334" s="112">
        <f>IFERROR(VLOOKUP(B334,O.B.JUNE!$N$7:$Q$448,3,0),0)</f>
        <v>299</v>
      </c>
      <c r="H334" s="112">
        <f>IFERROR(VLOOKUP(B334,O.B.JUNE!$N$7:$Q$448,4,0),0)</f>
        <v>55</v>
      </c>
      <c r="I334" s="112">
        <f t="shared" si="48"/>
        <v>354</v>
      </c>
      <c r="J334" s="112">
        <f>IFERROR(VLOOKUP(B334,O.B.JUNE!$AA$7:$AG$448,7,0),0)</f>
        <v>5461839</v>
      </c>
      <c r="K334" s="112">
        <f>IFERROR(VLOOKUP(B334,O.B.JUNE!$AI$7:$AO$448,7,0),0)</f>
        <v>9731643</v>
      </c>
      <c r="L334" s="112">
        <f t="shared" si="49"/>
        <v>15193482</v>
      </c>
      <c r="M334" s="112">
        <f>ROUND(SUMIF('JUNE (물량흐름)'!$C$13:$C$502,'WIP(재공품)'!B334,'JUNE (물량흐름)'!$H$13:$H$502)+SUMIF('JUNE (물량흐름)'!$C$13:$C$502,'WIP(재공품)'!B334,'JUNE (물량흐름)'!$V$13:$V$502),0)</f>
        <v>0</v>
      </c>
      <c r="N334" s="112">
        <f>SUMIF('Direct labour(직접노무비)'!$C$12:$C$503,'WIP(재공품)'!B334,'Direct labour(직접노무비)'!$O$12:$O$503)</f>
        <v>0</v>
      </c>
      <c r="O334" s="112">
        <f>SUMIF('Overhead exp(제조경비)'!$C$12:$C$503,'WIP(재공품)'!B334,'Overhead exp(제조경비)'!$O$12:$O$503)</f>
        <v>0</v>
      </c>
      <c r="P334" s="112">
        <f t="shared" si="50"/>
        <v>0</v>
      </c>
      <c r="Q334" s="112">
        <v>0</v>
      </c>
      <c r="R334" s="112">
        <v>0</v>
      </c>
      <c r="S334" s="112">
        <f>SUMIF('JUNE (물량흐름)'!$C$13:$C$493,'WIP(재공품)'!B334,'JUNE (물량흐름)'!$T$13:$T$493)+SUMIF('JUNE (물량흐름)'!$C$13:$C$493,'WIP(재공품)'!B334,'JUNE (물량흐름)'!$U$13:$U$493)+SUMIF('JUNE (물량흐름)'!$C$13:$C$493,'WIP(재공품)'!B334,'JUNE (물량흐름)'!$V$13:$V$493)-SUMIF('JUNE (물량흐름)'!$C$13:$C$493,'WIP(재공품)'!B334,'JUNE (물량흐름)'!$Y$13:$Y$493)</f>
        <v>0</v>
      </c>
      <c r="T334" s="112">
        <f>SUMIF('JUNE (물량흐름)'!$C$13:$C$502,'WIP(재공품)'!B334,'JUNE (물량흐름)'!$Y$13:$Y$502)</f>
        <v>0</v>
      </c>
      <c r="U334" s="167">
        <f>SUMIF('Direct labour(직접노무비)'!$C$12:$C$503,'WIP(재공품)'!B334,'Direct labour(직접노무비)'!$U$12:$U$503)+SUMIF('Overhead exp(제조경비)'!$C$12:$C$503,'WIP(재공품)'!B334,'Overhead exp(제조경비)'!$U$12:$U$503)</f>
        <v>0</v>
      </c>
      <c r="V334" s="112">
        <f>SUMIF('Direct labour(직접노무비)'!$C$12:$C$503,'WIP(재공품)'!B334,'Direct labour(직접노무비)'!$Q$12:$Q$503)</f>
        <v>0</v>
      </c>
      <c r="W334" s="112">
        <f>SUMIF('Overhead exp(제조경비)'!$C$12:$C$503,'WIP(재공품)'!B334,'Overhead exp(제조경비)'!$Q$12:$Q$503)</f>
        <v>0</v>
      </c>
      <c r="X334" s="112">
        <f t="shared" si="51"/>
        <v>0</v>
      </c>
      <c r="Y334" s="112">
        <f ca="1">ROUND(SUMIF('JUNE (물량흐름)'!$C$13:$C$502,'WIP(재공품)'!B334,'JUNE (물량흐름)'!$N$13:$N$488),0)</f>
        <v>0</v>
      </c>
      <c r="Z334" s="112">
        <f>ROUND(SUMIF('JUNE (물량흐름)'!$C$13:$C$502,'WIP(재공품)'!B334,'JUNE (물량흐름)'!$O$13:$O$502),0)</f>
        <v>299</v>
      </c>
      <c r="AA334" s="112">
        <f>ROUND(SUMIF('JUNE (물량흐름)'!$C$13:$C$502,'WIP(재공품)'!B334,'JUNE (물량흐름)'!$P$13:$P$502),0)</f>
        <v>55</v>
      </c>
      <c r="AB334" s="112">
        <f t="shared" ca="1" si="52"/>
        <v>354</v>
      </c>
      <c r="AC334" s="112">
        <f t="shared" si="53"/>
        <v>15193482</v>
      </c>
      <c r="AD334" s="381">
        <f t="shared" ca="1" si="54"/>
        <v>0</v>
      </c>
      <c r="AE334" s="381">
        <f t="shared" si="55"/>
        <v>0</v>
      </c>
      <c r="AF334" s="382"/>
      <c r="AG334" s="382">
        <v>1.3</v>
      </c>
      <c r="AH334" s="383">
        <f t="shared" si="56"/>
        <v>-0.94000000000000006</v>
      </c>
      <c r="AJ334" s="383"/>
      <c r="AL334" s="385"/>
      <c r="AM334" s="381"/>
      <c r="AN334" s="382"/>
      <c r="AO334" s="382"/>
      <c r="AP334" s="383"/>
      <c r="AQ334" s="383"/>
    </row>
    <row r="335" spans="1:43" s="384" customFormat="1" ht="27" customHeight="1">
      <c r="A335" s="167">
        <v>330</v>
      </c>
      <c r="B335" s="240">
        <f>VLOOKUP(A335,'JUNE (물량흐름)'!$A$13:$C$502,3,0)</f>
        <v>182034837</v>
      </c>
      <c r="C335" s="21" t="str">
        <f>VLOOKUP(A335,'JUNE (물량흐름)'!$A$13:$C$502,2,0)</f>
        <v>TALBOTS</v>
      </c>
      <c r="D335" s="212">
        <v>2.46</v>
      </c>
      <c r="E335" s="6">
        <f>VLOOKUP(B335,'Sales profit (스타일 별 매출이익)'!$D$9:$P$491,13,0)</f>
        <v>55780.5</v>
      </c>
      <c r="F335" s="112">
        <f>IFERROR(VLOOKUP(B335,O.B.JUNE!$N$7:$Q$448,2,0),0)</f>
        <v>1</v>
      </c>
      <c r="G335" s="112">
        <f>IFERROR(VLOOKUP(B335,O.B.JUNE!$N$7:$Q$448,3,0),0)</f>
        <v>9</v>
      </c>
      <c r="H335" s="112">
        <f>IFERROR(VLOOKUP(B335,O.B.JUNE!$N$7:$Q$448,4,0),0)</f>
        <v>37</v>
      </c>
      <c r="I335" s="112">
        <f t="shared" si="48"/>
        <v>47</v>
      </c>
      <c r="J335" s="112">
        <f>IFERROR(VLOOKUP(B335,O.B.JUNE!$AA$7:$AG$448,7,0),0)</f>
        <v>1070626</v>
      </c>
      <c r="K335" s="112">
        <f>IFERROR(VLOOKUP(B335,O.B.JUNE!$AI$7:$AO$448,7,0),0)</f>
        <v>1741087</v>
      </c>
      <c r="L335" s="112">
        <f t="shared" si="49"/>
        <v>2811713</v>
      </c>
      <c r="M335" s="112">
        <f>ROUND(SUMIF('JUNE (물량흐름)'!$C$13:$C$502,'WIP(재공품)'!B335,'JUNE (물량흐름)'!$H$13:$H$502)+SUMIF('JUNE (물량흐름)'!$C$13:$C$502,'WIP(재공품)'!B335,'JUNE (물량흐름)'!$V$13:$V$502),0)</f>
        <v>0</v>
      </c>
      <c r="N335" s="112">
        <f>SUMIF('Direct labour(직접노무비)'!$C$12:$C$503,'WIP(재공품)'!B335,'Direct labour(직접노무비)'!$O$12:$O$503)</f>
        <v>0</v>
      </c>
      <c r="O335" s="112">
        <f>SUMIF('Overhead exp(제조경비)'!$C$12:$C$503,'WIP(재공품)'!B335,'Overhead exp(제조경비)'!$O$12:$O$503)</f>
        <v>0</v>
      </c>
      <c r="P335" s="112">
        <f t="shared" si="50"/>
        <v>0</v>
      </c>
      <c r="Q335" s="112">
        <v>0</v>
      </c>
      <c r="R335" s="112">
        <v>0</v>
      </c>
      <c r="S335" s="112">
        <f>SUMIF('JUNE (물량흐름)'!$C$13:$C$493,'WIP(재공품)'!B335,'JUNE (물량흐름)'!$T$13:$T$493)+SUMIF('JUNE (물량흐름)'!$C$13:$C$493,'WIP(재공품)'!B335,'JUNE (물량흐름)'!$U$13:$U$493)+SUMIF('JUNE (물량흐름)'!$C$13:$C$493,'WIP(재공품)'!B335,'JUNE (물량흐름)'!$V$13:$V$493)-SUMIF('JUNE (물량흐름)'!$C$13:$C$493,'WIP(재공품)'!B335,'JUNE (물량흐름)'!$Y$13:$Y$493)</f>
        <v>0</v>
      </c>
      <c r="T335" s="112">
        <f>SUMIF('JUNE (물량흐름)'!$C$13:$C$502,'WIP(재공품)'!B335,'JUNE (물량흐름)'!$Y$13:$Y$502)</f>
        <v>0</v>
      </c>
      <c r="U335" s="167">
        <f>SUMIF('Direct labour(직접노무비)'!$C$12:$C$503,'WIP(재공품)'!B335,'Direct labour(직접노무비)'!$U$12:$U$503)+SUMIF('Overhead exp(제조경비)'!$C$12:$C$503,'WIP(재공품)'!B335,'Overhead exp(제조경비)'!$U$12:$U$503)</f>
        <v>0</v>
      </c>
      <c r="V335" s="112">
        <f>SUMIF('Direct labour(직접노무비)'!$C$12:$C$503,'WIP(재공품)'!B335,'Direct labour(직접노무비)'!$Q$12:$Q$503)</f>
        <v>0</v>
      </c>
      <c r="W335" s="112">
        <f>SUMIF('Overhead exp(제조경비)'!$C$12:$C$503,'WIP(재공품)'!B335,'Overhead exp(제조경비)'!$Q$12:$Q$503)</f>
        <v>0</v>
      </c>
      <c r="X335" s="112">
        <f t="shared" si="51"/>
        <v>0</v>
      </c>
      <c r="Y335" s="112">
        <f ca="1">ROUND(SUMIF('JUNE (물량흐름)'!$C$13:$C$502,'WIP(재공품)'!B335,'JUNE (물량흐름)'!$N$13:$N$488),0)</f>
        <v>1</v>
      </c>
      <c r="Z335" s="112">
        <f>ROUND(SUMIF('JUNE (물량흐름)'!$C$13:$C$502,'WIP(재공품)'!B335,'JUNE (물량흐름)'!$O$13:$O$502),0)</f>
        <v>9</v>
      </c>
      <c r="AA335" s="112">
        <f>ROUND(SUMIF('JUNE (물량흐름)'!$C$13:$C$502,'WIP(재공품)'!B335,'JUNE (물량흐름)'!$P$13:$P$502),0)</f>
        <v>37</v>
      </c>
      <c r="AB335" s="112">
        <f t="shared" ca="1" si="52"/>
        <v>47</v>
      </c>
      <c r="AC335" s="112">
        <f t="shared" si="53"/>
        <v>2811713</v>
      </c>
      <c r="AD335" s="381">
        <f t="shared" ca="1" si="54"/>
        <v>0</v>
      </c>
      <c r="AE335" s="381">
        <f t="shared" si="55"/>
        <v>0</v>
      </c>
      <c r="AF335" s="382"/>
      <c r="AG335" s="382">
        <v>1.3</v>
      </c>
      <c r="AH335" s="383">
        <f t="shared" si="56"/>
        <v>1.1599999999999999</v>
      </c>
      <c r="AJ335" s="383"/>
      <c r="AL335" s="385"/>
      <c r="AM335" s="381"/>
      <c r="AN335" s="382"/>
      <c r="AO335" s="382"/>
      <c r="AP335" s="383"/>
      <c r="AQ335" s="383"/>
    </row>
    <row r="336" spans="1:43" s="384" customFormat="1" ht="27" customHeight="1">
      <c r="A336" s="167">
        <v>331</v>
      </c>
      <c r="B336" s="240" t="str">
        <f>VLOOKUP(A336,'JUNE (물량흐름)'!$A$13:$C$502,3,0)</f>
        <v>KPT122931</v>
      </c>
      <c r="C336" s="21" t="str">
        <f>VLOOKUP(A336,'JUNE (물량흐름)'!$A$13:$C$502,2,0)</f>
        <v>J JILL</v>
      </c>
      <c r="D336" s="212">
        <v>2.67</v>
      </c>
      <c r="E336" s="6">
        <f>VLOOKUP(B336,'Sales profit (스타일 별 매출이익)'!$D$9:$P$491,13,0)</f>
        <v>60542.25</v>
      </c>
      <c r="F336" s="112">
        <f>IFERROR(VLOOKUP(B336,O.B.JUNE!$N$7:$Q$448,2,0),0)</f>
        <v>0</v>
      </c>
      <c r="G336" s="112">
        <f>IFERROR(VLOOKUP(B336,O.B.JUNE!$N$7:$Q$448,3,0),0)</f>
        <v>164</v>
      </c>
      <c r="H336" s="112">
        <f>IFERROR(VLOOKUP(B336,O.B.JUNE!$N$7:$Q$448,4,0),0)</f>
        <v>227</v>
      </c>
      <c r="I336" s="112">
        <f t="shared" si="48"/>
        <v>391</v>
      </c>
      <c r="J336" s="112">
        <f>IFERROR(VLOOKUP(B336,O.B.JUNE!$AA$7:$AG$448,7,0),0)</f>
        <v>4854648</v>
      </c>
      <c r="K336" s="112">
        <f>IFERROR(VLOOKUP(B336,O.B.JUNE!$AI$7:$AO$448,7,0),0)</f>
        <v>8628404</v>
      </c>
      <c r="L336" s="112">
        <f t="shared" si="49"/>
        <v>13483052</v>
      </c>
      <c r="M336" s="112">
        <f>ROUND(SUMIF('JUNE (물량흐름)'!$C$13:$C$502,'WIP(재공품)'!B336,'JUNE (물량흐름)'!$H$13:$H$502)+SUMIF('JUNE (물량흐름)'!$C$13:$C$502,'WIP(재공품)'!B336,'JUNE (물량흐름)'!$V$13:$V$502),0)</f>
        <v>618</v>
      </c>
      <c r="N336" s="112">
        <f>SUMIF('Direct labour(직접노무비)'!$C$12:$C$503,'WIP(재공품)'!B336,'Direct labour(직접노무비)'!$O$12:$O$503)</f>
        <v>7133892</v>
      </c>
      <c r="O336" s="112">
        <f>SUMIF('Overhead exp(제조경비)'!$C$12:$C$503,'WIP(재공품)'!B336,'Overhead exp(제조경비)'!$O$12:$O$503)</f>
        <v>13937759</v>
      </c>
      <c r="P336" s="112">
        <f t="shared" si="50"/>
        <v>21071651</v>
      </c>
      <c r="Q336" s="112">
        <v>0</v>
      </c>
      <c r="R336" s="112">
        <v>0</v>
      </c>
      <c r="S336" s="112">
        <f>SUMIF('JUNE (물량흐름)'!$C$13:$C$493,'WIP(재공품)'!B336,'JUNE (물량흐름)'!$T$13:$T$493)+SUMIF('JUNE (물량흐름)'!$C$13:$C$493,'WIP(재공품)'!B336,'JUNE (물량흐름)'!$U$13:$U$493)+SUMIF('JUNE (물량흐름)'!$C$13:$C$493,'WIP(재공품)'!B336,'JUNE (물량흐름)'!$V$13:$V$493)-SUMIF('JUNE (물량흐름)'!$C$13:$C$493,'WIP(재공품)'!B336,'JUNE (물량흐름)'!$Y$13:$Y$493)</f>
        <v>78</v>
      </c>
      <c r="T336" s="112">
        <f>SUMIF('JUNE (물량흐름)'!$C$13:$C$502,'WIP(재공품)'!B336,'JUNE (물량흐름)'!$Y$13:$Y$502)</f>
        <v>9</v>
      </c>
      <c r="U336" s="167">
        <f>SUMIF('Direct labour(직접노무비)'!$C$12:$C$503,'WIP(재공품)'!B336,'Direct labour(직접노무비)'!$U$12:$U$503)+SUMIF('Overhead exp(제조경비)'!$C$12:$C$503,'WIP(재공품)'!B336,'Overhead exp(제조경비)'!$U$12:$U$503)</f>
        <v>308218</v>
      </c>
      <c r="V336" s="112">
        <f>SUMIF('Direct labour(직접노무비)'!$C$12:$C$503,'WIP(재공품)'!B336,'Direct labour(직접노무비)'!$Q$12:$Q$503)</f>
        <v>926765</v>
      </c>
      <c r="W336" s="112">
        <f>SUMIF('Overhead exp(제조경비)'!$C$12:$C$503,'WIP(재공품)'!B336,'Overhead exp(제조경비)'!$Q$12:$Q$503)</f>
        <v>1744461</v>
      </c>
      <c r="X336" s="112">
        <f t="shared" si="51"/>
        <v>2671226</v>
      </c>
      <c r="Y336" s="112">
        <f ca="1">ROUND(SUMIF('JUNE (물량흐름)'!$C$13:$C$502,'WIP(재공품)'!B336,'JUNE (물량흐름)'!$N$13:$N$488),0)</f>
        <v>0</v>
      </c>
      <c r="Z336" s="112">
        <f>ROUND(SUMIF('JUNE (물량흐름)'!$C$13:$C$502,'WIP(재공품)'!B336,'JUNE (물량흐름)'!$O$13:$O$502),0)</f>
        <v>600</v>
      </c>
      <c r="AA336" s="112">
        <f>ROUND(SUMIF('JUNE (물량흐름)'!$C$13:$C$502,'WIP(재공품)'!B336,'JUNE (물량흐름)'!$P$13:$P$502),0)</f>
        <v>322</v>
      </c>
      <c r="AB336" s="112">
        <f t="shared" ca="1" si="52"/>
        <v>922</v>
      </c>
      <c r="AC336" s="112">
        <f t="shared" si="53"/>
        <v>31575259</v>
      </c>
      <c r="AD336" s="381">
        <f t="shared" ca="1" si="54"/>
        <v>0</v>
      </c>
      <c r="AE336" s="381">
        <f t="shared" si="55"/>
        <v>0</v>
      </c>
      <c r="AF336" s="382"/>
      <c r="AG336" s="382">
        <v>1.3</v>
      </c>
      <c r="AH336" s="383">
        <f t="shared" si="56"/>
        <v>1.3699999999999999</v>
      </c>
      <c r="AJ336" s="383"/>
      <c r="AL336" s="385"/>
      <c r="AM336" s="381"/>
      <c r="AN336" s="382"/>
      <c r="AO336" s="382"/>
      <c r="AP336" s="383"/>
      <c r="AQ336" s="383"/>
    </row>
    <row r="337" spans="1:43" s="384" customFormat="1" ht="27" customHeight="1">
      <c r="A337" s="167">
        <v>332</v>
      </c>
      <c r="B337" s="240">
        <f>VLOOKUP(A337,'JUNE (물량흐름)'!$A$13:$C$502,3,0)</f>
        <v>465318</v>
      </c>
      <c r="C337" s="21" t="str">
        <f>VLOOKUP(A337,'JUNE (물량흐름)'!$A$13:$C$502,2,0)</f>
        <v>ANN TAYLOR</v>
      </c>
      <c r="D337" s="212">
        <v>0.36</v>
      </c>
      <c r="E337" s="6">
        <f>VLOOKUP(B337,'Sales profit (스타일 별 매출이익)'!$D$9:$P$491,13,0)</f>
        <v>8163</v>
      </c>
      <c r="F337" s="112">
        <f>IFERROR(VLOOKUP(B337,O.B.JUNE!$N$7:$Q$448,2,0),0)</f>
        <v>0</v>
      </c>
      <c r="G337" s="112">
        <f>IFERROR(VLOOKUP(B337,O.B.JUNE!$N$7:$Q$448,3,0),0)</f>
        <v>334</v>
      </c>
      <c r="H337" s="112">
        <f>IFERROR(VLOOKUP(B337,O.B.JUNE!$N$7:$Q$448,4,0),0)</f>
        <v>63</v>
      </c>
      <c r="I337" s="112">
        <f t="shared" si="48"/>
        <v>397</v>
      </c>
      <c r="J337" s="112">
        <f>IFERROR(VLOOKUP(B337,O.B.JUNE!$AA$7:$AG$448,7,0),0)</f>
        <v>3142752</v>
      </c>
      <c r="K337" s="112">
        <f>IFERROR(VLOOKUP(B337,O.B.JUNE!$AI$7:$AO$448,7,0),0)</f>
        <v>5650186</v>
      </c>
      <c r="L337" s="112">
        <f t="shared" si="49"/>
        <v>8792938</v>
      </c>
      <c r="M337" s="112">
        <f>ROUND(SUMIF('JUNE (물량흐름)'!$C$13:$C$502,'WIP(재공품)'!B337,'JUNE (물량흐름)'!$H$13:$H$502)+SUMIF('JUNE (물량흐름)'!$C$13:$C$502,'WIP(재공품)'!B337,'JUNE (물량흐름)'!$V$13:$V$502),0)</f>
        <v>0</v>
      </c>
      <c r="N337" s="112">
        <f>SUMIF('Direct labour(직접노무비)'!$C$12:$C$503,'WIP(재공품)'!B337,'Direct labour(직접노무비)'!$O$12:$O$503)</f>
        <v>0</v>
      </c>
      <c r="O337" s="112">
        <f>SUMIF('Overhead exp(제조경비)'!$C$12:$C$503,'WIP(재공품)'!B337,'Overhead exp(제조경비)'!$O$12:$O$503)</f>
        <v>0</v>
      </c>
      <c r="P337" s="112">
        <f t="shared" si="50"/>
        <v>0</v>
      </c>
      <c r="Q337" s="112">
        <v>0</v>
      </c>
      <c r="R337" s="112">
        <v>0</v>
      </c>
      <c r="S337" s="112">
        <f>SUMIF('JUNE (물량흐름)'!$C$13:$C$493,'WIP(재공품)'!B337,'JUNE (물량흐름)'!$T$13:$T$493)+SUMIF('JUNE (물량흐름)'!$C$13:$C$493,'WIP(재공품)'!B337,'JUNE (물량흐름)'!$U$13:$U$493)+SUMIF('JUNE (물량흐름)'!$C$13:$C$493,'WIP(재공품)'!B337,'JUNE (물량흐름)'!$V$13:$V$493)-SUMIF('JUNE (물량흐름)'!$C$13:$C$493,'WIP(재공품)'!B337,'JUNE (물량흐름)'!$Y$13:$Y$493)</f>
        <v>0</v>
      </c>
      <c r="T337" s="112">
        <f>SUMIF('JUNE (물량흐름)'!$C$13:$C$502,'WIP(재공품)'!B337,'JUNE (물량흐름)'!$Y$13:$Y$502)</f>
        <v>8</v>
      </c>
      <c r="U337" s="167">
        <f>SUMIF('Direct labour(직접노무비)'!$C$12:$C$503,'WIP(재공품)'!B337,'Direct labour(직접노무비)'!$U$12:$U$503)+SUMIF('Overhead exp(제조경비)'!$C$12:$C$503,'WIP(재공품)'!B337,'Overhead exp(제조경비)'!$U$12:$U$503)</f>
        <v>177188</v>
      </c>
      <c r="V337" s="112">
        <f>SUMIF('Direct labour(직접노무비)'!$C$12:$C$503,'WIP(재공품)'!B337,'Direct labour(직접노무비)'!$Q$12:$Q$503)</f>
        <v>0</v>
      </c>
      <c r="W337" s="112">
        <f>SUMIF('Overhead exp(제조경비)'!$C$12:$C$503,'WIP(재공품)'!B337,'Overhead exp(제조경비)'!$Q$12:$Q$503)</f>
        <v>0</v>
      </c>
      <c r="X337" s="112">
        <f t="shared" si="51"/>
        <v>0</v>
      </c>
      <c r="Y337" s="112">
        <f ca="1">ROUND(SUMIF('JUNE (물량흐름)'!$C$13:$C$502,'WIP(재공품)'!B337,'JUNE (물량흐름)'!$N$13:$N$488),0)</f>
        <v>0</v>
      </c>
      <c r="Z337" s="112">
        <f>ROUND(SUMIF('JUNE (물량흐름)'!$C$13:$C$502,'WIP(재공품)'!B337,'JUNE (물량흐름)'!$O$13:$O$502),0)</f>
        <v>334</v>
      </c>
      <c r="AA337" s="112">
        <f>ROUND(SUMIF('JUNE (물량흐름)'!$C$13:$C$502,'WIP(재공품)'!B337,'JUNE (물량흐름)'!$P$13:$P$502),0)</f>
        <v>55</v>
      </c>
      <c r="AB337" s="112">
        <f t="shared" ca="1" si="52"/>
        <v>389</v>
      </c>
      <c r="AC337" s="112">
        <f t="shared" si="53"/>
        <v>8615750</v>
      </c>
      <c r="AD337" s="381">
        <f t="shared" ca="1" si="54"/>
        <v>0</v>
      </c>
      <c r="AE337" s="381">
        <f t="shared" si="55"/>
        <v>0</v>
      </c>
      <c r="AF337" s="382"/>
      <c r="AG337" s="382"/>
      <c r="AH337" s="383">
        <f t="shared" si="56"/>
        <v>0.36</v>
      </c>
      <c r="AJ337" s="383"/>
      <c r="AL337" s="385"/>
      <c r="AM337" s="381"/>
      <c r="AN337" s="382"/>
      <c r="AO337" s="382"/>
      <c r="AP337" s="383"/>
      <c r="AQ337" s="383"/>
    </row>
    <row r="338" spans="1:43" s="384" customFormat="1" ht="27" customHeight="1">
      <c r="A338" s="167">
        <v>333</v>
      </c>
      <c r="B338" s="240">
        <f>VLOOKUP(A338,'JUNE (물량흐름)'!$A$13:$C$502,3,0)</f>
        <v>465985</v>
      </c>
      <c r="C338" s="21" t="str">
        <f>VLOOKUP(A338,'JUNE (물량흐름)'!$A$13:$C$502,2,0)</f>
        <v>ANN TAYLOR</v>
      </c>
      <c r="D338" s="212">
        <v>0.35</v>
      </c>
      <c r="E338" s="6">
        <f>VLOOKUP(B338,'Sales profit (스타일 별 매출이익)'!$D$9:$P$491,13,0)</f>
        <v>7936.2499999999991</v>
      </c>
      <c r="F338" s="112">
        <f>IFERROR(VLOOKUP(B338,O.B.JUNE!$N$7:$Q$448,2,0),0)</f>
        <v>68</v>
      </c>
      <c r="G338" s="112">
        <f>IFERROR(VLOOKUP(B338,O.B.JUNE!$N$7:$Q$448,3,0),0)</f>
        <v>651</v>
      </c>
      <c r="H338" s="112">
        <f>IFERROR(VLOOKUP(B338,O.B.JUNE!$N$7:$Q$448,4,0),0)</f>
        <v>74</v>
      </c>
      <c r="I338" s="112">
        <f t="shared" si="48"/>
        <v>793</v>
      </c>
      <c r="J338" s="112">
        <f>IFERROR(VLOOKUP(B338,O.B.JUNE!$AA$7:$AG$448,7,0),0)</f>
        <v>16780139</v>
      </c>
      <c r="K338" s="112">
        <f>IFERROR(VLOOKUP(B338,O.B.JUNE!$AI$7:$AO$448,7,0),0)</f>
        <v>31814761</v>
      </c>
      <c r="L338" s="112">
        <f t="shared" si="49"/>
        <v>48594900</v>
      </c>
      <c r="M338" s="112">
        <f>ROUND(SUMIF('JUNE (물량흐름)'!$C$13:$C$502,'WIP(재공품)'!B338,'JUNE (물량흐름)'!$H$13:$H$502)+SUMIF('JUNE (물량흐름)'!$C$13:$C$502,'WIP(재공품)'!B338,'JUNE (물량흐름)'!$V$13:$V$502),0)</f>
        <v>0</v>
      </c>
      <c r="N338" s="112">
        <f>SUMIF('Direct labour(직접노무비)'!$C$12:$C$503,'WIP(재공품)'!B338,'Direct labour(직접노무비)'!$O$12:$O$503)</f>
        <v>0</v>
      </c>
      <c r="O338" s="112">
        <f>SUMIF('Overhead exp(제조경비)'!$C$12:$C$503,'WIP(재공품)'!B338,'Overhead exp(제조경비)'!$O$12:$O$503)</f>
        <v>0</v>
      </c>
      <c r="P338" s="112">
        <f t="shared" si="50"/>
        <v>0</v>
      </c>
      <c r="Q338" s="112">
        <v>0</v>
      </c>
      <c r="R338" s="112">
        <v>0</v>
      </c>
      <c r="S338" s="112">
        <f>SUMIF('JUNE (물량흐름)'!$C$13:$C$493,'WIP(재공품)'!B338,'JUNE (물량흐름)'!$T$13:$T$493)+SUMIF('JUNE (물량흐름)'!$C$13:$C$493,'WIP(재공품)'!B338,'JUNE (물량흐름)'!$U$13:$U$493)+SUMIF('JUNE (물량흐름)'!$C$13:$C$493,'WIP(재공품)'!B338,'JUNE (물량흐름)'!$V$13:$V$493)-SUMIF('JUNE (물량흐름)'!$C$13:$C$493,'WIP(재공품)'!B338,'JUNE (물량흐름)'!$Y$13:$Y$493)</f>
        <v>0</v>
      </c>
      <c r="T338" s="112">
        <f>SUMIF('JUNE (물량흐름)'!$C$13:$C$502,'WIP(재공품)'!B338,'JUNE (물량흐름)'!$Y$13:$Y$502)</f>
        <v>8</v>
      </c>
      <c r="U338" s="167">
        <f>SUMIF('Direct labour(직접노무비)'!$C$12:$C$503,'WIP(재공품)'!B338,'Direct labour(직접노무비)'!$U$12:$U$503)+SUMIF('Overhead exp(제조경비)'!$C$12:$C$503,'WIP(재공품)'!B338,'Overhead exp(제조경비)'!$U$12:$U$503)</f>
        <v>490239</v>
      </c>
      <c r="V338" s="112">
        <f>SUMIF('Direct labour(직접노무비)'!$C$12:$C$503,'WIP(재공품)'!B338,'Direct labour(직접노무비)'!$Q$12:$Q$503)</f>
        <v>0</v>
      </c>
      <c r="W338" s="112">
        <f>SUMIF('Overhead exp(제조경비)'!$C$12:$C$503,'WIP(재공품)'!B338,'Overhead exp(제조경비)'!$Q$12:$Q$503)</f>
        <v>0</v>
      </c>
      <c r="X338" s="112">
        <f t="shared" si="51"/>
        <v>0</v>
      </c>
      <c r="Y338" s="112">
        <f ca="1">ROUND(SUMIF('JUNE (물량흐름)'!$C$13:$C$502,'WIP(재공품)'!B338,'JUNE (물량흐름)'!$N$13:$N$488),0)</f>
        <v>68</v>
      </c>
      <c r="Z338" s="112">
        <f>ROUND(SUMIF('JUNE (물량흐름)'!$C$13:$C$502,'WIP(재공품)'!B338,'JUNE (물량흐름)'!$O$13:$O$502),0)</f>
        <v>651</v>
      </c>
      <c r="AA338" s="112">
        <f>ROUND(SUMIF('JUNE (물량흐름)'!$C$13:$C$502,'WIP(재공품)'!B338,'JUNE (물량흐름)'!$P$13:$P$502),0)</f>
        <v>66</v>
      </c>
      <c r="AB338" s="112">
        <f t="shared" ca="1" si="52"/>
        <v>785</v>
      </c>
      <c r="AC338" s="112">
        <f t="shared" si="53"/>
        <v>48104661</v>
      </c>
      <c r="AD338" s="381">
        <f t="shared" ca="1" si="54"/>
        <v>0</v>
      </c>
      <c r="AE338" s="381">
        <f t="shared" si="55"/>
        <v>0</v>
      </c>
      <c r="AF338" s="382"/>
      <c r="AG338" s="382">
        <v>1.6</v>
      </c>
      <c r="AH338" s="383">
        <f t="shared" si="56"/>
        <v>-1.25</v>
      </c>
      <c r="AJ338" s="383"/>
      <c r="AL338" s="385"/>
      <c r="AM338" s="381"/>
      <c r="AN338" s="382"/>
      <c r="AO338" s="382"/>
      <c r="AP338" s="383"/>
      <c r="AQ338" s="383"/>
    </row>
    <row r="339" spans="1:43" s="384" customFormat="1" ht="27" customHeight="1">
      <c r="A339" s="167">
        <v>334</v>
      </c>
      <c r="B339" s="240">
        <f>VLOOKUP(A339,'JUNE (물량흐름)'!$A$13:$C$502,3,0)</f>
        <v>466092</v>
      </c>
      <c r="C339" s="21" t="str">
        <f>VLOOKUP(A339,'JUNE (물량흐름)'!$A$13:$C$502,2,0)</f>
        <v>ANN TAYLOR</v>
      </c>
      <c r="D339" s="212">
        <v>1.85</v>
      </c>
      <c r="E339" s="6">
        <f>VLOOKUP(B339,'Sales profit (스타일 별 매출이익)'!$D$9:$P$491,13,0)</f>
        <v>41948.75</v>
      </c>
      <c r="F339" s="112">
        <f>IFERROR(VLOOKUP(B339,O.B.JUNE!$N$7:$Q$448,2,0),0)</f>
        <v>0</v>
      </c>
      <c r="G339" s="112">
        <f>IFERROR(VLOOKUP(B339,O.B.JUNE!$N$7:$Q$448,3,0),0)</f>
        <v>21</v>
      </c>
      <c r="H339" s="112">
        <f>IFERROR(VLOOKUP(B339,O.B.JUNE!$N$7:$Q$448,4,0),0)</f>
        <v>182</v>
      </c>
      <c r="I339" s="112">
        <f t="shared" si="48"/>
        <v>203</v>
      </c>
      <c r="J339" s="112">
        <f>IFERROR(VLOOKUP(B339,O.B.JUNE!$AA$7:$AG$448,7,0),0)</f>
        <v>4588134</v>
      </c>
      <c r="K339" s="112">
        <f>IFERROR(VLOOKUP(B339,O.B.JUNE!$AI$7:$AO$448,7,0),0)</f>
        <v>8248760</v>
      </c>
      <c r="L339" s="112">
        <f t="shared" si="49"/>
        <v>12836894</v>
      </c>
      <c r="M339" s="112">
        <f>ROUND(SUMIF('JUNE (물량흐름)'!$C$13:$C$502,'WIP(재공품)'!B339,'JUNE (물량흐름)'!$H$13:$H$502)+SUMIF('JUNE (물량흐름)'!$C$13:$C$502,'WIP(재공품)'!B339,'JUNE (물량흐름)'!$V$13:$V$502),0)</f>
        <v>0</v>
      </c>
      <c r="N339" s="112">
        <f>SUMIF('Direct labour(직접노무비)'!$C$12:$C$503,'WIP(재공품)'!B339,'Direct labour(직접노무비)'!$O$12:$O$503)</f>
        <v>0</v>
      </c>
      <c r="O339" s="112">
        <f>SUMIF('Overhead exp(제조경비)'!$C$12:$C$503,'WIP(재공품)'!B339,'Overhead exp(제조경비)'!$O$12:$O$503)</f>
        <v>0</v>
      </c>
      <c r="P339" s="112">
        <f t="shared" si="50"/>
        <v>0</v>
      </c>
      <c r="Q339" s="112">
        <v>0</v>
      </c>
      <c r="R339" s="112">
        <v>0</v>
      </c>
      <c r="S339" s="112">
        <f>SUMIF('JUNE (물량흐름)'!$C$13:$C$493,'WIP(재공품)'!B339,'JUNE (물량흐름)'!$T$13:$T$493)+SUMIF('JUNE (물량흐름)'!$C$13:$C$493,'WIP(재공품)'!B339,'JUNE (물량흐름)'!$U$13:$U$493)+SUMIF('JUNE (물량흐름)'!$C$13:$C$493,'WIP(재공품)'!B339,'JUNE (물량흐름)'!$V$13:$V$493)-SUMIF('JUNE (물량흐름)'!$C$13:$C$493,'WIP(재공품)'!B339,'JUNE (물량흐름)'!$Y$13:$Y$493)</f>
        <v>0</v>
      </c>
      <c r="T339" s="112">
        <f>SUMIF('JUNE (물량흐름)'!$C$13:$C$502,'WIP(재공품)'!B339,'JUNE (물량흐름)'!$Y$13:$Y$502)</f>
        <v>0</v>
      </c>
      <c r="U339" s="167">
        <f>SUMIF('Direct labour(직접노무비)'!$C$12:$C$503,'WIP(재공품)'!B339,'Direct labour(직접노무비)'!$U$12:$U$503)+SUMIF('Overhead exp(제조경비)'!$C$12:$C$503,'WIP(재공품)'!B339,'Overhead exp(제조경비)'!$U$12:$U$503)</f>
        <v>0</v>
      </c>
      <c r="V339" s="112">
        <f>SUMIF('Direct labour(직접노무비)'!$C$12:$C$503,'WIP(재공품)'!B339,'Direct labour(직접노무비)'!$Q$12:$Q$503)</f>
        <v>0</v>
      </c>
      <c r="W339" s="112">
        <f>SUMIF('Overhead exp(제조경비)'!$C$12:$C$503,'WIP(재공품)'!B339,'Overhead exp(제조경비)'!$Q$12:$Q$503)</f>
        <v>0</v>
      </c>
      <c r="X339" s="112">
        <f t="shared" si="51"/>
        <v>0</v>
      </c>
      <c r="Y339" s="112">
        <f ca="1">ROUND(SUMIF('JUNE (물량흐름)'!$C$13:$C$502,'WIP(재공품)'!B339,'JUNE (물량흐름)'!$N$13:$N$488),0)</f>
        <v>0</v>
      </c>
      <c r="Z339" s="112">
        <f>ROUND(SUMIF('JUNE (물량흐름)'!$C$13:$C$502,'WIP(재공품)'!B339,'JUNE (물량흐름)'!$O$13:$O$502),0)</f>
        <v>21</v>
      </c>
      <c r="AA339" s="112">
        <f>ROUND(SUMIF('JUNE (물량흐름)'!$C$13:$C$502,'WIP(재공품)'!B339,'JUNE (물량흐름)'!$P$13:$P$502),0)</f>
        <v>182</v>
      </c>
      <c r="AB339" s="112">
        <f t="shared" ca="1" si="52"/>
        <v>203</v>
      </c>
      <c r="AC339" s="112">
        <f t="shared" si="53"/>
        <v>12836894</v>
      </c>
      <c r="AD339" s="381">
        <f t="shared" ca="1" si="54"/>
        <v>0</v>
      </c>
      <c r="AE339" s="381">
        <f t="shared" si="55"/>
        <v>0</v>
      </c>
      <c r="AF339" s="382"/>
      <c r="AG339" s="382">
        <v>2.35</v>
      </c>
      <c r="AH339" s="383">
        <f t="shared" si="56"/>
        <v>-0.5</v>
      </c>
      <c r="AJ339" s="383"/>
      <c r="AL339" s="385"/>
      <c r="AM339" s="381"/>
      <c r="AN339" s="382"/>
      <c r="AO339" s="382"/>
      <c r="AP339" s="383"/>
      <c r="AQ339" s="383"/>
    </row>
    <row r="340" spans="1:43" s="384" customFormat="1" ht="27" customHeight="1">
      <c r="A340" s="167">
        <v>335</v>
      </c>
      <c r="B340" s="240">
        <f>VLOOKUP(A340,'JUNE (물량흐름)'!$A$13:$C$502,3,0)</f>
        <v>470322</v>
      </c>
      <c r="C340" s="21" t="str">
        <f>VLOOKUP(A340,'JUNE (물량흐름)'!$A$13:$C$502,2,0)</f>
        <v>ANN TAYLOR</v>
      </c>
      <c r="D340" s="212">
        <v>1.85</v>
      </c>
      <c r="E340" s="6">
        <f>VLOOKUP(B340,'Sales profit (스타일 별 매출이익)'!$D$9:$P$491,13,0)</f>
        <v>41948.75</v>
      </c>
      <c r="F340" s="112">
        <f>IFERROR(VLOOKUP(B340,O.B.JUNE!$N$7:$Q$448,2,0),0)</f>
        <v>0</v>
      </c>
      <c r="G340" s="112">
        <f>IFERROR(VLOOKUP(B340,O.B.JUNE!$N$7:$Q$448,3,0),0)</f>
        <v>90</v>
      </c>
      <c r="H340" s="112">
        <f>IFERROR(VLOOKUP(B340,O.B.JUNE!$N$7:$Q$448,4,0),0)</f>
        <v>221</v>
      </c>
      <c r="I340" s="112">
        <f t="shared" si="48"/>
        <v>311</v>
      </c>
      <c r="J340" s="112">
        <f>IFERROR(VLOOKUP(B340,O.B.JUNE!$AA$7:$AG$448,7,0),0)</f>
        <v>2910637</v>
      </c>
      <c r="K340" s="112">
        <f>IFERROR(VLOOKUP(B340,O.B.JUNE!$AI$7:$AO$448,7,0),0)</f>
        <v>5232879</v>
      </c>
      <c r="L340" s="112">
        <f t="shared" si="49"/>
        <v>8143516</v>
      </c>
      <c r="M340" s="112">
        <f>ROUND(SUMIF('JUNE (물량흐름)'!$C$13:$C$502,'WIP(재공품)'!B340,'JUNE (물량흐름)'!$H$13:$H$502)+SUMIF('JUNE (물량흐름)'!$C$13:$C$502,'WIP(재공품)'!B340,'JUNE (물량흐름)'!$V$13:$V$502),0)</f>
        <v>0</v>
      </c>
      <c r="N340" s="112">
        <f>SUMIF('Direct labour(직접노무비)'!$C$12:$C$503,'WIP(재공품)'!B340,'Direct labour(직접노무비)'!$O$12:$O$503)</f>
        <v>0</v>
      </c>
      <c r="O340" s="112">
        <f>SUMIF('Overhead exp(제조경비)'!$C$12:$C$503,'WIP(재공품)'!B340,'Overhead exp(제조경비)'!$O$12:$O$503)</f>
        <v>0</v>
      </c>
      <c r="P340" s="112">
        <f t="shared" si="50"/>
        <v>0</v>
      </c>
      <c r="Q340" s="112">
        <v>0</v>
      </c>
      <c r="R340" s="112">
        <v>0</v>
      </c>
      <c r="S340" s="112">
        <f>SUMIF('JUNE (물량흐름)'!$C$13:$C$493,'WIP(재공품)'!B340,'JUNE (물량흐름)'!$T$13:$T$493)+SUMIF('JUNE (물량흐름)'!$C$13:$C$493,'WIP(재공품)'!B340,'JUNE (물량흐름)'!$U$13:$U$493)+SUMIF('JUNE (물량흐름)'!$C$13:$C$493,'WIP(재공품)'!B340,'JUNE (물량흐름)'!$V$13:$V$493)-SUMIF('JUNE (물량흐름)'!$C$13:$C$493,'WIP(재공품)'!B340,'JUNE (물량흐름)'!$Y$13:$Y$493)</f>
        <v>0</v>
      </c>
      <c r="T340" s="112">
        <f>SUMIF('JUNE (물량흐름)'!$C$13:$C$502,'WIP(재공품)'!B340,'JUNE (물량흐름)'!$Y$13:$Y$502)</f>
        <v>1</v>
      </c>
      <c r="U340" s="167">
        <f>SUMIF('Direct labour(직접노무비)'!$C$12:$C$503,'WIP(재공품)'!B340,'Direct labour(직접노무비)'!$U$12:$U$503)+SUMIF('Overhead exp(제조경비)'!$C$12:$C$503,'WIP(재공품)'!B340,'Overhead exp(제조경비)'!$U$12:$U$503)</f>
        <v>26185</v>
      </c>
      <c r="V340" s="112">
        <f>SUMIF('Direct labour(직접노무비)'!$C$12:$C$503,'WIP(재공품)'!B340,'Direct labour(직접노무비)'!$Q$12:$Q$503)</f>
        <v>0</v>
      </c>
      <c r="W340" s="112">
        <f>SUMIF('Overhead exp(제조경비)'!$C$12:$C$503,'WIP(재공품)'!B340,'Overhead exp(제조경비)'!$Q$12:$Q$503)</f>
        <v>0</v>
      </c>
      <c r="X340" s="112">
        <f t="shared" si="51"/>
        <v>0</v>
      </c>
      <c r="Y340" s="112">
        <f ca="1">ROUND(SUMIF('JUNE (물량흐름)'!$C$13:$C$502,'WIP(재공품)'!B340,'JUNE (물량흐름)'!$N$13:$N$488),0)</f>
        <v>0</v>
      </c>
      <c r="Z340" s="112">
        <f>ROUND(SUMIF('JUNE (물량흐름)'!$C$13:$C$502,'WIP(재공품)'!B340,'JUNE (물량흐름)'!$O$13:$O$502),0)</f>
        <v>90</v>
      </c>
      <c r="AA340" s="112">
        <f>ROUND(SUMIF('JUNE (물량흐름)'!$C$13:$C$502,'WIP(재공품)'!B340,'JUNE (물량흐름)'!$P$13:$P$502),0)</f>
        <v>220</v>
      </c>
      <c r="AB340" s="112">
        <f t="shared" ca="1" si="52"/>
        <v>310</v>
      </c>
      <c r="AC340" s="112">
        <f t="shared" si="53"/>
        <v>8117331</v>
      </c>
      <c r="AD340" s="381">
        <f t="shared" ca="1" si="54"/>
        <v>0</v>
      </c>
      <c r="AE340" s="381">
        <f t="shared" si="55"/>
        <v>0</v>
      </c>
      <c r="AF340" s="382"/>
      <c r="AG340" s="382"/>
      <c r="AH340" s="383">
        <f t="shared" si="56"/>
        <v>1.85</v>
      </c>
      <c r="AJ340" s="383"/>
      <c r="AL340" s="385"/>
      <c r="AM340" s="381"/>
      <c r="AN340" s="382"/>
      <c r="AO340" s="382"/>
      <c r="AP340" s="383"/>
      <c r="AQ340" s="383"/>
    </row>
    <row r="341" spans="1:43" s="384" customFormat="1" ht="27" customHeight="1">
      <c r="A341" s="167">
        <v>336</v>
      </c>
      <c r="B341" s="240">
        <f>VLOOKUP(A341,'JUNE (물량흐름)'!$A$13:$C$502,3,0)</f>
        <v>471823</v>
      </c>
      <c r="C341" s="21" t="str">
        <f>VLOOKUP(A341,'JUNE (물량흐름)'!$A$13:$C$502,2,0)</f>
        <v>ANN TAYLOR</v>
      </c>
      <c r="D341" s="212">
        <v>0.35</v>
      </c>
      <c r="E341" s="6">
        <f>VLOOKUP(B341,'Sales profit (스타일 별 매출이익)'!$D$9:$P$491,13,0)</f>
        <v>7936.2499999999991</v>
      </c>
      <c r="F341" s="112">
        <f>IFERROR(VLOOKUP(B341,O.B.JUNE!$N$7:$Q$448,2,0),0)</f>
        <v>0</v>
      </c>
      <c r="G341" s="112">
        <f>IFERROR(VLOOKUP(B341,O.B.JUNE!$N$7:$Q$448,3,0),0)</f>
        <v>125</v>
      </c>
      <c r="H341" s="112">
        <f>IFERROR(VLOOKUP(B341,O.B.JUNE!$N$7:$Q$448,4,0),0)</f>
        <v>888</v>
      </c>
      <c r="I341" s="112">
        <f t="shared" si="48"/>
        <v>1013</v>
      </c>
      <c r="J341" s="112">
        <f>IFERROR(VLOOKUP(B341,O.B.JUNE!$AA$7:$AG$448,7,0),0)</f>
        <v>14497278</v>
      </c>
      <c r="K341" s="112">
        <f>IFERROR(VLOOKUP(B341,O.B.JUNE!$AI$7:$AO$448,7,0),0)</f>
        <v>26757148</v>
      </c>
      <c r="L341" s="112">
        <f t="shared" si="49"/>
        <v>41254426</v>
      </c>
      <c r="M341" s="112">
        <f>ROUND(SUMIF('JUNE (물량흐름)'!$C$13:$C$502,'WIP(재공품)'!B341,'JUNE (물량흐름)'!$H$13:$H$502)+SUMIF('JUNE (물량흐름)'!$C$13:$C$502,'WIP(재공품)'!B341,'JUNE (물량흐름)'!$V$13:$V$502),0)</f>
        <v>0</v>
      </c>
      <c r="N341" s="112">
        <f>SUMIF('Direct labour(직접노무비)'!$C$12:$C$503,'WIP(재공품)'!B341,'Direct labour(직접노무비)'!$O$12:$O$503)</f>
        <v>0</v>
      </c>
      <c r="O341" s="112">
        <f>SUMIF('Overhead exp(제조경비)'!$C$12:$C$503,'WIP(재공품)'!B341,'Overhead exp(제조경비)'!$O$12:$O$503)</f>
        <v>0</v>
      </c>
      <c r="P341" s="112">
        <f t="shared" si="50"/>
        <v>0</v>
      </c>
      <c r="Q341" s="112">
        <v>0</v>
      </c>
      <c r="R341" s="112">
        <v>0</v>
      </c>
      <c r="S341" s="112">
        <f>SUMIF('JUNE (물량흐름)'!$C$13:$C$493,'WIP(재공품)'!B341,'JUNE (물량흐름)'!$T$13:$T$493)+SUMIF('JUNE (물량흐름)'!$C$13:$C$493,'WIP(재공품)'!B341,'JUNE (물량흐름)'!$U$13:$U$493)+SUMIF('JUNE (물량흐름)'!$C$13:$C$493,'WIP(재공품)'!B341,'JUNE (물량흐름)'!$V$13:$V$493)-SUMIF('JUNE (물량흐름)'!$C$13:$C$493,'WIP(재공품)'!B341,'JUNE (물량흐름)'!$Y$13:$Y$493)</f>
        <v>0</v>
      </c>
      <c r="T341" s="112">
        <f>SUMIF('JUNE (물량흐름)'!$C$13:$C$502,'WIP(재공품)'!B341,'JUNE (물량흐름)'!$Y$13:$Y$502)</f>
        <v>0</v>
      </c>
      <c r="U341" s="167">
        <f>SUMIF('Direct labour(직접노무비)'!$C$12:$C$503,'WIP(재공품)'!B341,'Direct labour(직접노무비)'!$U$12:$U$503)+SUMIF('Overhead exp(제조경비)'!$C$12:$C$503,'WIP(재공품)'!B341,'Overhead exp(제조경비)'!$U$12:$U$503)</f>
        <v>0</v>
      </c>
      <c r="V341" s="112">
        <f>SUMIF('Direct labour(직접노무비)'!$C$12:$C$503,'WIP(재공품)'!B341,'Direct labour(직접노무비)'!$Q$12:$Q$503)</f>
        <v>0</v>
      </c>
      <c r="W341" s="112">
        <f>SUMIF('Overhead exp(제조경비)'!$C$12:$C$503,'WIP(재공품)'!B341,'Overhead exp(제조경비)'!$Q$12:$Q$503)</f>
        <v>0</v>
      </c>
      <c r="X341" s="112">
        <f t="shared" si="51"/>
        <v>0</v>
      </c>
      <c r="Y341" s="112">
        <f ca="1">ROUND(SUMIF('JUNE (물량흐름)'!$C$13:$C$502,'WIP(재공품)'!B341,'JUNE (물량흐름)'!$N$13:$N$488),0)</f>
        <v>0</v>
      </c>
      <c r="Z341" s="112">
        <f>ROUND(SUMIF('JUNE (물량흐름)'!$C$13:$C$502,'WIP(재공품)'!B341,'JUNE (물량흐름)'!$O$13:$O$502),0)</f>
        <v>125</v>
      </c>
      <c r="AA341" s="112">
        <f>ROUND(SUMIF('JUNE (물량흐름)'!$C$13:$C$502,'WIP(재공품)'!B341,'JUNE (물량흐름)'!$P$13:$P$502),0)</f>
        <v>888</v>
      </c>
      <c r="AB341" s="112">
        <f t="shared" ca="1" si="52"/>
        <v>1013</v>
      </c>
      <c r="AC341" s="112">
        <f t="shared" si="53"/>
        <v>41254426</v>
      </c>
      <c r="AD341" s="381">
        <f t="shared" ca="1" si="54"/>
        <v>0</v>
      </c>
      <c r="AE341" s="381">
        <f t="shared" si="55"/>
        <v>0</v>
      </c>
      <c r="AF341" s="382"/>
      <c r="AG341" s="382">
        <v>2.65</v>
      </c>
      <c r="AH341" s="383">
        <f t="shared" si="56"/>
        <v>-2.2999999999999998</v>
      </c>
      <c r="AJ341" s="383"/>
      <c r="AL341" s="385"/>
      <c r="AM341" s="381"/>
      <c r="AN341" s="382"/>
      <c r="AO341" s="382"/>
      <c r="AP341" s="383"/>
      <c r="AQ341" s="383"/>
    </row>
    <row r="342" spans="1:43" s="384" customFormat="1" ht="27" customHeight="1">
      <c r="A342" s="167">
        <v>337</v>
      </c>
      <c r="B342" s="240">
        <f>VLOOKUP(A342,'JUNE (물량흐름)'!$A$13:$C$502,3,0)</f>
        <v>471825</v>
      </c>
      <c r="C342" s="21" t="str">
        <f>VLOOKUP(A342,'JUNE (물량흐름)'!$A$13:$C$502,2,0)</f>
        <v>ANN TAYLOR</v>
      </c>
      <c r="D342" s="212">
        <v>0.35</v>
      </c>
      <c r="E342" s="6">
        <f>VLOOKUP(B342,'Sales profit (스타일 별 매출이익)'!$D$9:$P$491,13,0)</f>
        <v>7936.2499999999991</v>
      </c>
      <c r="F342" s="112">
        <f>IFERROR(VLOOKUP(B342,O.B.JUNE!$N$7:$Q$448,2,0),0)</f>
        <v>0</v>
      </c>
      <c r="G342" s="112">
        <f>IFERROR(VLOOKUP(B342,O.B.JUNE!$N$7:$Q$448,3,0),0)</f>
        <v>50</v>
      </c>
      <c r="H342" s="112">
        <f>IFERROR(VLOOKUP(B342,O.B.JUNE!$N$7:$Q$448,4,0),0)</f>
        <v>0</v>
      </c>
      <c r="I342" s="112">
        <f t="shared" si="48"/>
        <v>50</v>
      </c>
      <c r="J342" s="112">
        <f>IFERROR(VLOOKUP(B342,O.B.JUNE!$AA$7:$AG$448,7,0),0)</f>
        <v>652135</v>
      </c>
      <c r="K342" s="112">
        <f>IFERROR(VLOOKUP(B342,O.B.JUNE!$AI$7:$AO$448,7,0),0)</f>
        <v>1172439</v>
      </c>
      <c r="L342" s="112">
        <f t="shared" si="49"/>
        <v>1824574</v>
      </c>
      <c r="M342" s="112">
        <f>ROUND(SUMIF('JUNE (물량흐름)'!$C$13:$C$502,'WIP(재공품)'!B342,'JUNE (물량흐름)'!$H$13:$H$502)+SUMIF('JUNE (물량흐름)'!$C$13:$C$502,'WIP(재공품)'!B342,'JUNE (물량흐름)'!$V$13:$V$502),0)</f>
        <v>0</v>
      </c>
      <c r="N342" s="112">
        <f>SUMIF('Direct labour(직접노무비)'!$C$12:$C$503,'WIP(재공품)'!B342,'Direct labour(직접노무비)'!$O$12:$O$503)</f>
        <v>0</v>
      </c>
      <c r="O342" s="112">
        <f>SUMIF('Overhead exp(제조경비)'!$C$12:$C$503,'WIP(재공품)'!B342,'Overhead exp(제조경비)'!$O$12:$O$503)</f>
        <v>0</v>
      </c>
      <c r="P342" s="112">
        <f t="shared" si="50"/>
        <v>0</v>
      </c>
      <c r="Q342" s="112">
        <v>0</v>
      </c>
      <c r="R342" s="112">
        <v>0</v>
      </c>
      <c r="S342" s="112">
        <f>SUMIF('JUNE (물량흐름)'!$C$13:$C$493,'WIP(재공품)'!B342,'JUNE (물량흐름)'!$T$13:$T$493)+SUMIF('JUNE (물량흐름)'!$C$13:$C$493,'WIP(재공품)'!B342,'JUNE (물량흐름)'!$U$13:$U$493)+SUMIF('JUNE (물량흐름)'!$C$13:$C$493,'WIP(재공품)'!B342,'JUNE (물량흐름)'!$V$13:$V$493)-SUMIF('JUNE (물량흐름)'!$C$13:$C$493,'WIP(재공품)'!B342,'JUNE (물량흐름)'!$Y$13:$Y$493)</f>
        <v>0</v>
      </c>
      <c r="T342" s="112">
        <f>SUMIF('JUNE (물량흐름)'!$C$13:$C$502,'WIP(재공품)'!B342,'JUNE (물량흐름)'!$Y$13:$Y$502)</f>
        <v>11</v>
      </c>
      <c r="U342" s="167">
        <f>SUMIF('Direct labour(직접노무비)'!$C$12:$C$503,'WIP(재공품)'!B342,'Direct labour(직접노무비)'!$U$12:$U$503)+SUMIF('Overhead exp(제조경비)'!$C$12:$C$503,'WIP(재공품)'!B342,'Overhead exp(제조경비)'!$U$12:$U$503)</f>
        <v>401407</v>
      </c>
      <c r="V342" s="112">
        <f>SUMIF('Direct labour(직접노무비)'!$C$12:$C$503,'WIP(재공품)'!B342,'Direct labour(직접노무비)'!$Q$12:$Q$503)</f>
        <v>0</v>
      </c>
      <c r="W342" s="112">
        <f>SUMIF('Overhead exp(제조경비)'!$C$12:$C$503,'WIP(재공품)'!B342,'Overhead exp(제조경비)'!$Q$12:$Q$503)</f>
        <v>0</v>
      </c>
      <c r="X342" s="112">
        <f t="shared" si="51"/>
        <v>0</v>
      </c>
      <c r="Y342" s="112">
        <f ca="1">ROUND(SUMIF('JUNE (물량흐름)'!$C$13:$C$502,'WIP(재공품)'!B342,'JUNE (물량흐름)'!$N$13:$N$488),0)</f>
        <v>0</v>
      </c>
      <c r="Z342" s="112">
        <f>ROUND(SUMIF('JUNE (물량흐름)'!$C$13:$C$502,'WIP(재공품)'!B342,'JUNE (물량흐름)'!$O$13:$O$502),0)</f>
        <v>39</v>
      </c>
      <c r="AA342" s="112">
        <f>ROUND(SUMIF('JUNE (물량흐름)'!$C$13:$C$502,'WIP(재공품)'!B342,'JUNE (물량흐름)'!$P$13:$P$502),0)</f>
        <v>0</v>
      </c>
      <c r="AB342" s="112">
        <f t="shared" ca="1" si="52"/>
        <v>39</v>
      </c>
      <c r="AC342" s="112">
        <f t="shared" si="53"/>
        <v>1423167</v>
      </c>
      <c r="AD342" s="381">
        <f t="shared" ca="1" si="54"/>
        <v>0</v>
      </c>
      <c r="AE342" s="381">
        <f t="shared" si="55"/>
        <v>0</v>
      </c>
      <c r="AF342" s="382"/>
      <c r="AG342" s="382"/>
      <c r="AH342" s="383">
        <f t="shared" si="56"/>
        <v>0.35</v>
      </c>
      <c r="AJ342" s="383"/>
      <c r="AL342" s="385"/>
      <c r="AM342" s="381"/>
      <c r="AN342" s="382"/>
      <c r="AO342" s="382"/>
      <c r="AP342" s="383"/>
      <c r="AQ342" s="383"/>
    </row>
    <row r="343" spans="1:43" s="384" customFormat="1" ht="27" customHeight="1">
      <c r="A343" s="167">
        <v>338</v>
      </c>
      <c r="B343" s="240">
        <f>VLOOKUP(A343,'JUNE (물량흐름)'!$A$13:$C$502,3,0)</f>
        <v>472140</v>
      </c>
      <c r="C343" s="21" t="str">
        <f>VLOOKUP(A343,'JUNE (물량흐름)'!$A$13:$C$502,2,0)</f>
        <v>ANN TAYLOR</v>
      </c>
      <c r="D343" s="212">
        <v>0.35</v>
      </c>
      <c r="E343" s="6">
        <f>VLOOKUP(B343,'Sales profit (스타일 별 매출이익)'!$D$9:$P$491,13,0)</f>
        <v>7936.2499999999991</v>
      </c>
      <c r="F343" s="112">
        <f>IFERROR(VLOOKUP(B343,O.B.JUNE!$N$7:$Q$448,2,0),0)</f>
        <v>0</v>
      </c>
      <c r="G343" s="112">
        <f>IFERROR(VLOOKUP(B343,O.B.JUNE!$N$7:$Q$448,3,0),0)</f>
        <v>78</v>
      </c>
      <c r="H343" s="112">
        <f>IFERROR(VLOOKUP(B343,O.B.JUNE!$N$7:$Q$448,4,0),0)</f>
        <v>79</v>
      </c>
      <c r="I343" s="112">
        <f t="shared" si="48"/>
        <v>157</v>
      </c>
      <c r="J343" s="112">
        <f>IFERROR(VLOOKUP(B343,O.B.JUNE!$AA$7:$AG$448,7,0),0)</f>
        <v>2318412</v>
      </c>
      <c r="K343" s="112">
        <f>IFERROR(VLOOKUP(B343,O.B.JUNE!$AI$7:$AO$448,7,0),0)</f>
        <v>4168149</v>
      </c>
      <c r="L343" s="112">
        <f t="shared" si="49"/>
        <v>6486561</v>
      </c>
      <c r="M343" s="112">
        <f>ROUND(SUMIF('JUNE (물량흐름)'!$C$13:$C$502,'WIP(재공품)'!B343,'JUNE (물량흐름)'!$H$13:$H$502)+SUMIF('JUNE (물량흐름)'!$C$13:$C$502,'WIP(재공품)'!B343,'JUNE (물량흐름)'!$V$13:$V$502),0)</f>
        <v>0</v>
      </c>
      <c r="N343" s="112">
        <f>SUMIF('Direct labour(직접노무비)'!$C$12:$C$503,'WIP(재공품)'!B343,'Direct labour(직접노무비)'!$O$12:$O$503)</f>
        <v>0</v>
      </c>
      <c r="O343" s="112">
        <f>SUMIF('Overhead exp(제조경비)'!$C$12:$C$503,'WIP(재공품)'!B343,'Overhead exp(제조경비)'!$O$12:$O$503)</f>
        <v>0</v>
      </c>
      <c r="P343" s="112">
        <f t="shared" si="50"/>
        <v>0</v>
      </c>
      <c r="Q343" s="112">
        <v>0</v>
      </c>
      <c r="R343" s="112">
        <v>0</v>
      </c>
      <c r="S343" s="112">
        <f>SUMIF('JUNE (물량흐름)'!$C$13:$C$493,'WIP(재공품)'!B343,'JUNE (물량흐름)'!$T$13:$T$493)+SUMIF('JUNE (물량흐름)'!$C$13:$C$493,'WIP(재공품)'!B343,'JUNE (물량흐름)'!$U$13:$U$493)+SUMIF('JUNE (물량흐름)'!$C$13:$C$493,'WIP(재공품)'!B343,'JUNE (물량흐름)'!$V$13:$V$493)-SUMIF('JUNE (물량흐름)'!$C$13:$C$493,'WIP(재공품)'!B343,'JUNE (물량흐름)'!$Y$13:$Y$493)</f>
        <v>0</v>
      </c>
      <c r="T343" s="112">
        <f>SUMIF('JUNE (물량흐름)'!$C$13:$C$502,'WIP(재공품)'!B343,'JUNE (물량흐름)'!$Y$13:$Y$502)</f>
        <v>0</v>
      </c>
      <c r="U343" s="167">
        <f>SUMIF('Direct labour(직접노무비)'!$C$12:$C$503,'WIP(재공품)'!B343,'Direct labour(직접노무비)'!$U$12:$U$503)+SUMIF('Overhead exp(제조경비)'!$C$12:$C$503,'WIP(재공품)'!B343,'Overhead exp(제조경비)'!$U$12:$U$503)</f>
        <v>0</v>
      </c>
      <c r="V343" s="112">
        <f>SUMIF('Direct labour(직접노무비)'!$C$12:$C$503,'WIP(재공품)'!B343,'Direct labour(직접노무비)'!$Q$12:$Q$503)</f>
        <v>0</v>
      </c>
      <c r="W343" s="112">
        <f>SUMIF('Overhead exp(제조경비)'!$C$12:$C$503,'WIP(재공품)'!B343,'Overhead exp(제조경비)'!$Q$12:$Q$503)</f>
        <v>0</v>
      </c>
      <c r="X343" s="112">
        <f t="shared" si="51"/>
        <v>0</v>
      </c>
      <c r="Y343" s="112">
        <f ca="1">ROUND(SUMIF('JUNE (물량흐름)'!$C$13:$C$502,'WIP(재공품)'!B343,'JUNE (물량흐름)'!$N$13:$N$488),0)</f>
        <v>0</v>
      </c>
      <c r="Z343" s="112">
        <f>ROUND(SUMIF('JUNE (물량흐름)'!$C$13:$C$502,'WIP(재공품)'!B343,'JUNE (물량흐름)'!$O$13:$O$502),0)</f>
        <v>78</v>
      </c>
      <c r="AA343" s="112">
        <f>ROUND(SUMIF('JUNE (물량흐름)'!$C$13:$C$502,'WIP(재공품)'!B343,'JUNE (물량흐름)'!$P$13:$P$502),0)</f>
        <v>79</v>
      </c>
      <c r="AB343" s="112">
        <f t="shared" ca="1" si="52"/>
        <v>157</v>
      </c>
      <c r="AC343" s="112">
        <f t="shared" si="53"/>
        <v>6486561</v>
      </c>
      <c r="AD343" s="381">
        <f t="shared" ca="1" si="54"/>
        <v>0</v>
      </c>
      <c r="AE343" s="381">
        <f t="shared" si="55"/>
        <v>0</v>
      </c>
      <c r="AF343" s="382"/>
      <c r="AG343" s="382">
        <v>2</v>
      </c>
      <c r="AH343" s="383">
        <f t="shared" si="56"/>
        <v>-1.65</v>
      </c>
      <c r="AJ343" s="383"/>
      <c r="AL343" s="385"/>
      <c r="AM343" s="381"/>
      <c r="AN343" s="382"/>
      <c r="AO343" s="382"/>
      <c r="AP343" s="383"/>
      <c r="AQ343" s="383"/>
    </row>
    <row r="344" spans="1:43" s="384" customFormat="1" ht="27" customHeight="1">
      <c r="A344" s="167">
        <v>339</v>
      </c>
      <c r="B344" s="240">
        <f>VLOOKUP(A344,'JUNE (물량흐름)'!$A$13:$C$502,3,0)</f>
        <v>472629</v>
      </c>
      <c r="C344" s="21" t="str">
        <f>VLOOKUP(A344,'JUNE (물량흐름)'!$A$13:$C$502,2,0)</f>
        <v>ANN TAYLOR</v>
      </c>
      <c r="D344" s="212">
        <v>0.35</v>
      </c>
      <c r="E344" s="6">
        <f>VLOOKUP(B344,'Sales profit (스타일 별 매출이익)'!$D$9:$P$491,13,0)</f>
        <v>7936.2499999999991</v>
      </c>
      <c r="F344" s="112">
        <f>IFERROR(VLOOKUP(B344,O.B.JUNE!$N$7:$Q$448,2,0),0)</f>
        <v>0</v>
      </c>
      <c r="G344" s="112">
        <f>IFERROR(VLOOKUP(B344,O.B.JUNE!$N$7:$Q$448,3,0),0)</f>
        <v>0</v>
      </c>
      <c r="H344" s="112">
        <f>IFERROR(VLOOKUP(B344,O.B.JUNE!$N$7:$Q$448,4,0),0)</f>
        <v>476</v>
      </c>
      <c r="I344" s="112">
        <f t="shared" si="48"/>
        <v>476</v>
      </c>
      <c r="J344" s="112">
        <f>IFERROR(VLOOKUP(B344,O.B.JUNE!$AA$7:$AG$448,7,0),0)</f>
        <v>4282027</v>
      </c>
      <c r="K344" s="112">
        <f>IFERROR(VLOOKUP(B344,O.B.JUNE!$AI$7:$AO$448,7,0),0)</f>
        <v>7698426</v>
      </c>
      <c r="L344" s="112">
        <f t="shared" si="49"/>
        <v>11980453</v>
      </c>
      <c r="M344" s="112">
        <f>ROUND(SUMIF('JUNE (물량흐름)'!$C$13:$C$502,'WIP(재공품)'!B344,'JUNE (물량흐름)'!$H$13:$H$502)+SUMIF('JUNE (물량흐름)'!$C$13:$C$502,'WIP(재공품)'!B344,'JUNE (물량흐름)'!$V$13:$V$502),0)</f>
        <v>0</v>
      </c>
      <c r="N344" s="112">
        <f>SUMIF('Direct labour(직접노무비)'!$C$12:$C$503,'WIP(재공품)'!B344,'Direct labour(직접노무비)'!$O$12:$O$503)</f>
        <v>0</v>
      </c>
      <c r="O344" s="112">
        <f>SUMIF('Overhead exp(제조경비)'!$C$12:$C$503,'WIP(재공품)'!B344,'Overhead exp(제조경비)'!$O$12:$O$503)</f>
        <v>0</v>
      </c>
      <c r="P344" s="112">
        <f t="shared" si="50"/>
        <v>0</v>
      </c>
      <c r="Q344" s="112">
        <v>0</v>
      </c>
      <c r="R344" s="112">
        <v>0</v>
      </c>
      <c r="S344" s="112">
        <f>SUMIF('JUNE (물량흐름)'!$C$13:$C$493,'WIP(재공품)'!B344,'JUNE (물량흐름)'!$T$13:$T$493)+SUMIF('JUNE (물량흐름)'!$C$13:$C$493,'WIP(재공품)'!B344,'JUNE (물량흐름)'!$U$13:$U$493)+SUMIF('JUNE (물량흐름)'!$C$13:$C$493,'WIP(재공품)'!B344,'JUNE (물량흐름)'!$V$13:$V$493)-SUMIF('JUNE (물량흐름)'!$C$13:$C$493,'WIP(재공품)'!B344,'JUNE (물량흐름)'!$Y$13:$Y$493)</f>
        <v>0</v>
      </c>
      <c r="T344" s="112">
        <f>SUMIF('JUNE (물량흐름)'!$C$13:$C$502,'WIP(재공품)'!B344,'JUNE (물량흐름)'!$Y$13:$Y$502)</f>
        <v>0</v>
      </c>
      <c r="U344" s="167">
        <f>SUMIF('Direct labour(직접노무비)'!$C$12:$C$503,'WIP(재공품)'!B344,'Direct labour(직접노무비)'!$U$12:$U$503)+SUMIF('Overhead exp(제조경비)'!$C$12:$C$503,'WIP(재공품)'!B344,'Overhead exp(제조경비)'!$U$12:$U$503)</f>
        <v>0</v>
      </c>
      <c r="V344" s="112">
        <f>SUMIF('Direct labour(직접노무비)'!$C$12:$C$503,'WIP(재공품)'!B344,'Direct labour(직접노무비)'!$Q$12:$Q$503)</f>
        <v>0</v>
      </c>
      <c r="W344" s="112">
        <f>SUMIF('Overhead exp(제조경비)'!$C$12:$C$503,'WIP(재공품)'!B344,'Overhead exp(제조경비)'!$Q$12:$Q$503)</f>
        <v>0</v>
      </c>
      <c r="X344" s="112">
        <f t="shared" si="51"/>
        <v>0</v>
      </c>
      <c r="Y344" s="112">
        <f ca="1">ROUND(SUMIF('JUNE (물량흐름)'!$C$13:$C$502,'WIP(재공품)'!B344,'JUNE (물량흐름)'!$N$13:$N$488),0)</f>
        <v>0</v>
      </c>
      <c r="Z344" s="112">
        <f>ROUND(SUMIF('JUNE (물량흐름)'!$C$13:$C$502,'WIP(재공품)'!B344,'JUNE (물량흐름)'!$O$13:$O$502),0)</f>
        <v>0</v>
      </c>
      <c r="AA344" s="112">
        <f>ROUND(SUMIF('JUNE (물량흐름)'!$C$13:$C$502,'WIP(재공품)'!B344,'JUNE (물량흐름)'!$P$13:$P$502),0)</f>
        <v>476</v>
      </c>
      <c r="AB344" s="112">
        <f t="shared" ca="1" si="52"/>
        <v>476</v>
      </c>
      <c r="AC344" s="112">
        <f t="shared" si="53"/>
        <v>11980453</v>
      </c>
      <c r="AD344" s="381">
        <f t="shared" ca="1" si="54"/>
        <v>0</v>
      </c>
      <c r="AE344" s="381">
        <f t="shared" si="55"/>
        <v>0</v>
      </c>
      <c r="AF344" s="382"/>
      <c r="AG344" s="382"/>
      <c r="AH344" s="383">
        <f t="shared" si="56"/>
        <v>0.35</v>
      </c>
      <c r="AJ344" s="383"/>
      <c r="AL344" s="385"/>
      <c r="AM344" s="381"/>
      <c r="AN344" s="382"/>
      <c r="AO344" s="382"/>
      <c r="AP344" s="383"/>
      <c r="AQ344" s="383"/>
    </row>
    <row r="345" spans="1:43" s="384" customFormat="1" ht="27" customHeight="1">
      <c r="A345" s="167">
        <v>340</v>
      </c>
      <c r="B345" s="240">
        <f>VLOOKUP(A345,'JUNE (물량흐름)'!$A$13:$C$502,3,0)</f>
        <v>100015200</v>
      </c>
      <c r="C345" s="21" t="str">
        <f>VLOOKUP(A345,'JUNE (물량흐름)'!$A$13:$C$502,2,0)</f>
        <v>ALFANI</v>
      </c>
      <c r="D345" s="212">
        <v>0.35</v>
      </c>
      <c r="E345" s="6">
        <f>VLOOKUP(B345,'Sales profit (스타일 별 매출이익)'!$D$9:$P$491,13,0)</f>
        <v>7936.2499999999991</v>
      </c>
      <c r="F345" s="112">
        <f>IFERROR(VLOOKUP(B345,O.B.JUNE!$N$7:$Q$448,2,0),0)</f>
        <v>0</v>
      </c>
      <c r="G345" s="112">
        <f>IFERROR(VLOOKUP(B345,O.B.JUNE!$N$7:$Q$448,3,0),0)</f>
        <v>110</v>
      </c>
      <c r="H345" s="112">
        <f>IFERROR(VLOOKUP(B345,O.B.JUNE!$N$7:$Q$448,4,0),0)</f>
        <v>139</v>
      </c>
      <c r="I345" s="112">
        <f t="shared" si="48"/>
        <v>249</v>
      </c>
      <c r="J345" s="112">
        <f>IFERROR(VLOOKUP(B345,O.B.JUNE!$AA$7:$AG$448,7,0),0)</f>
        <v>5205345</v>
      </c>
      <c r="K345" s="112">
        <f>IFERROR(VLOOKUP(B345,O.B.JUNE!$AI$7:$AO$448,7,0),0)</f>
        <v>9358411</v>
      </c>
      <c r="L345" s="112">
        <f t="shared" si="49"/>
        <v>14563756</v>
      </c>
      <c r="M345" s="112">
        <f>ROUND(SUMIF('JUNE (물량흐름)'!$C$13:$C$502,'WIP(재공품)'!B345,'JUNE (물량흐름)'!$H$13:$H$502)+SUMIF('JUNE (물량흐름)'!$C$13:$C$502,'WIP(재공품)'!B345,'JUNE (물량흐름)'!$V$13:$V$502),0)</f>
        <v>0</v>
      </c>
      <c r="N345" s="112">
        <f>SUMIF('Direct labour(직접노무비)'!$C$12:$C$503,'WIP(재공품)'!B345,'Direct labour(직접노무비)'!$O$12:$O$503)</f>
        <v>0</v>
      </c>
      <c r="O345" s="112">
        <f>SUMIF('Overhead exp(제조경비)'!$C$12:$C$503,'WIP(재공품)'!B345,'Overhead exp(제조경비)'!$O$12:$O$503)</f>
        <v>0</v>
      </c>
      <c r="P345" s="112">
        <f t="shared" si="50"/>
        <v>0</v>
      </c>
      <c r="Q345" s="112">
        <v>0</v>
      </c>
      <c r="R345" s="112">
        <v>0</v>
      </c>
      <c r="S345" s="112">
        <f>SUMIF('JUNE (물량흐름)'!$C$13:$C$493,'WIP(재공품)'!B345,'JUNE (물량흐름)'!$T$13:$T$493)+SUMIF('JUNE (물량흐름)'!$C$13:$C$493,'WIP(재공품)'!B345,'JUNE (물량흐름)'!$U$13:$U$493)+SUMIF('JUNE (물량흐름)'!$C$13:$C$493,'WIP(재공품)'!B345,'JUNE (물량흐름)'!$V$13:$V$493)-SUMIF('JUNE (물량흐름)'!$C$13:$C$493,'WIP(재공품)'!B345,'JUNE (물량흐름)'!$Y$13:$Y$493)</f>
        <v>0</v>
      </c>
      <c r="T345" s="112">
        <f>SUMIF('JUNE (물량흐름)'!$C$13:$C$502,'WIP(재공품)'!B345,'JUNE (물량흐름)'!$Y$13:$Y$502)</f>
        <v>0</v>
      </c>
      <c r="U345" s="167">
        <f>SUMIF('Direct labour(직접노무비)'!$C$12:$C$503,'WIP(재공품)'!B345,'Direct labour(직접노무비)'!$U$12:$U$503)+SUMIF('Overhead exp(제조경비)'!$C$12:$C$503,'WIP(재공품)'!B345,'Overhead exp(제조경비)'!$U$12:$U$503)</f>
        <v>0</v>
      </c>
      <c r="V345" s="112">
        <f>SUMIF('Direct labour(직접노무비)'!$C$12:$C$503,'WIP(재공품)'!B345,'Direct labour(직접노무비)'!$Q$12:$Q$503)</f>
        <v>0</v>
      </c>
      <c r="W345" s="112">
        <f>SUMIF('Overhead exp(제조경비)'!$C$12:$C$503,'WIP(재공품)'!B345,'Overhead exp(제조경비)'!$Q$12:$Q$503)</f>
        <v>0</v>
      </c>
      <c r="X345" s="112">
        <f t="shared" si="51"/>
        <v>0</v>
      </c>
      <c r="Y345" s="112">
        <f ca="1">ROUND(SUMIF('JUNE (물량흐름)'!$C$13:$C$502,'WIP(재공품)'!B345,'JUNE (물량흐름)'!$N$13:$N$488),0)</f>
        <v>0</v>
      </c>
      <c r="Z345" s="112">
        <f>ROUND(SUMIF('JUNE (물량흐름)'!$C$13:$C$502,'WIP(재공품)'!B345,'JUNE (물량흐름)'!$O$13:$O$502),0)</f>
        <v>110</v>
      </c>
      <c r="AA345" s="112">
        <f>ROUND(SUMIF('JUNE (물량흐름)'!$C$13:$C$502,'WIP(재공품)'!B345,'JUNE (물량흐름)'!$P$13:$P$502),0)</f>
        <v>139</v>
      </c>
      <c r="AB345" s="112">
        <f t="shared" ca="1" si="52"/>
        <v>249</v>
      </c>
      <c r="AC345" s="112">
        <f t="shared" si="53"/>
        <v>14563756</v>
      </c>
      <c r="AD345" s="381">
        <f t="shared" ca="1" si="54"/>
        <v>0</v>
      </c>
      <c r="AE345" s="381">
        <f t="shared" si="55"/>
        <v>0</v>
      </c>
      <c r="AF345" s="382"/>
      <c r="AG345" s="382"/>
      <c r="AH345" s="383">
        <f t="shared" si="56"/>
        <v>0.35</v>
      </c>
      <c r="AJ345" s="383"/>
      <c r="AL345" s="385"/>
      <c r="AM345" s="381"/>
      <c r="AN345" s="382"/>
      <c r="AO345" s="382"/>
      <c r="AP345" s="383"/>
      <c r="AQ345" s="383"/>
    </row>
    <row r="346" spans="1:43" s="384" customFormat="1" ht="27" customHeight="1">
      <c r="A346" s="167">
        <v>341</v>
      </c>
      <c r="B346" s="240">
        <f>VLOOKUP(A346,'JUNE (물량흐름)'!$A$13:$C$502,3,0)</f>
        <v>100015306</v>
      </c>
      <c r="C346" s="21" t="str">
        <f>VLOOKUP(A346,'JUNE (물량흐름)'!$A$13:$C$502,2,0)</f>
        <v>ALFANI</v>
      </c>
      <c r="D346" s="212">
        <v>2.35</v>
      </c>
      <c r="E346" s="6">
        <f>VLOOKUP(B346,'Sales profit (스타일 별 매출이익)'!$D$9:$P$491,13,0)</f>
        <v>53286.25</v>
      </c>
      <c r="F346" s="112">
        <f>IFERROR(VLOOKUP(B346,O.B.JUNE!$N$7:$Q$448,2,0),0)</f>
        <v>0</v>
      </c>
      <c r="G346" s="112">
        <f>IFERROR(VLOOKUP(B346,O.B.JUNE!$N$7:$Q$448,3,0),0)</f>
        <v>0</v>
      </c>
      <c r="H346" s="112">
        <f>IFERROR(VLOOKUP(B346,O.B.JUNE!$N$7:$Q$448,4,0),0)</f>
        <v>85</v>
      </c>
      <c r="I346" s="112">
        <f t="shared" si="48"/>
        <v>85</v>
      </c>
      <c r="J346" s="112">
        <f>IFERROR(VLOOKUP(B346,O.B.JUNE!$AA$7:$AG$448,7,0),0)</f>
        <v>791124</v>
      </c>
      <c r="K346" s="112">
        <f>IFERROR(VLOOKUP(B346,O.B.JUNE!$AI$7:$AO$448,7,0),0)</f>
        <v>1422319</v>
      </c>
      <c r="L346" s="112">
        <f t="shared" si="49"/>
        <v>2213443</v>
      </c>
      <c r="M346" s="112">
        <f>ROUND(SUMIF('JUNE (물량흐름)'!$C$13:$C$502,'WIP(재공품)'!B346,'JUNE (물량흐름)'!$H$13:$H$502)+SUMIF('JUNE (물량흐름)'!$C$13:$C$502,'WIP(재공품)'!B346,'JUNE (물량흐름)'!$V$13:$V$502),0)</f>
        <v>0</v>
      </c>
      <c r="N346" s="112">
        <f>SUMIF('Direct labour(직접노무비)'!$C$12:$C$503,'WIP(재공품)'!B346,'Direct labour(직접노무비)'!$O$12:$O$503)</f>
        <v>0</v>
      </c>
      <c r="O346" s="112">
        <f>SUMIF('Overhead exp(제조경비)'!$C$12:$C$503,'WIP(재공품)'!B346,'Overhead exp(제조경비)'!$O$12:$O$503)</f>
        <v>0</v>
      </c>
      <c r="P346" s="112">
        <f t="shared" si="50"/>
        <v>0</v>
      </c>
      <c r="Q346" s="112">
        <v>0</v>
      </c>
      <c r="R346" s="112">
        <v>0</v>
      </c>
      <c r="S346" s="112">
        <f>SUMIF('JUNE (물량흐름)'!$C$13:$C$493,'WIP(재공품)'!B346,'JUNE (물량흐름)'!$T$13:$T$493)+SUMIF('JUNE (물량흐름)'!$C$13:$C$493,'WIP(재공품)'!B346,'JUNE (물량흐름)'!$U$13:$U$493)+SUMIF('JUNE (물량흐름)'!$C$13:$C$493,'WIP(재공품)'!B346,'JUNE (물량흐름)'!$V$13:$V$493)-SUMIF('JUNE (물량흐름)'!$C$13:$C$493,'WIP(재공품)'!B346,'JUNE (물량흐름)'!$Y$13:$Y$493)</f>
        <v>0</v>
      </c>
      <c r="T346" s="112">
        <f>SUMIF('JUNE (물량흐름)'!$C$13:$C$502,'WIP(재공품)'!B346,'JUNE (물량흐름)'!$Y$13:$Y$502)</f>
        <v>0</v>
      </c>
      <c r="U346" s="167">
        <f>SUMIF('Direct labour(직접노무비)'!$C$12:$C$503,'WIP(재공품)'!B346,'Direct labour(직접노무비)'!$U$12:$U$503)+SUMIF('Overhead exp(제조경비)'!$C$12:$C$503,'WIP(재공품)'!B346,'Overhead exp(제조경비)'!$U$12:$U$503)</f>
        <v>0</v>
      </c>
      <c r="V346" s="112">
        <f>SUMIF('Direct labour(직접노무비)'!$C$12:$C$503,'WIP(재공품)'!B346,'Direct labour(직접노무비)'!$Q$12:$Q$503)</f>
        <v>0</v>
      </c>
      <c r="W346" s="112">
        <f>SUMIF('Overhead exp(제조경비)'!$C$12:$C$503,'WIP(재공품)'!B346,'Overhead exp(제조경비)'!$Q$12:$Q$503)</f>
        <v>0</v>
      </c>
      <c r="X346" s="112">
        <f t="shared" si="51"/>
        <v>0</v>
      </c>
      <c r="Y346" s="112">
        <f ca="1">ROUND(SUMIF('JUNE (물량흐름)'!$C$13:$C$502,'WIP(재공품)'!B346,'JUNE (물량흐름)'!$N$13:$N$488),0)</f>
        <v>0</v>
      </c>
      <c r="Z346" s="112">
        <f>ROUND(SUMIF('JUNE (물량흐름)'!$C$13:$C$502,'WIP(재공품)'!B346,'JUNE (물량흐름)'!$O$13:$O$502),0)</f>
        <v>0</v>
      </c>
      <c r="AA346" s="112">
        <f>ROUND(SUMIF('JUNE (물량흐름)'!$C$13:$C$502,'WIP(재공품)'!B346,'JUNE (물량흐름)'!$P$13:$P$502),0)</f>
        <v>85</v>
      </c>
      <c r="AB346" s="112">
        <f t="shared" ca="1" si="52"/>
        <v>85</v>
      </c>
      <c r="AC346" s="112">
        <f t="shared" si="53"/>
        <v>2213443</v>
      </c>
      <c r="AD346" s="381">
        <f t="shared" ca="1" si="54"/>
        <v>0</v>
      </c>
      <c r="AE346" s="381">
        <f t="shared" si="55"/>
        <v>0</v>
      </c>
      <c r="AF346" s="382"/>
      <c r="AG346" s="382"/>
      <c r="AH346" s="383">
        <f t="shared" si="56"/>
        <v>2.35</v>
      </c>
      <c r="AJ346" s="383"/>
      <c r="AL346" s="385"/>
      <c r="AM346" s="381"/>
      <c r="AN346" s="382"/>
      <c r="AO346" s="382"/>
      <c r="AP346" s="383"/>
      <c r="AQ346" s="383"/>
    </row>
    <row r="347" spans="1:43" s="384" customFormat="1" ht="27" customHeight="1">
      <c r="A347" s="167">
        <v>342</v>
      </c>
      <c r="B347" s="240">
        <f>VLOOKUP(A347,'JUNE (물량흐름)'!$A$13:$C$502,3,0)</f>
        <v>100016101</v>
      </c>
      <c r="C347" s="21" t="str">
        <f>VLOOKUP(A347,'JUNE (물량흐름)'!$A$13:$C$502,2,0)</f>
        <v>ALFANI</v>
      </c>
      <c r="D347" s="212">
        <v>2.06</v>
      </c>
      <c r="E347" s="6">
        <f>VLOOKUP(B347,'Sales profit (스타일 별 매출이익)'!$D$9:$P$491,13,0)</f>
        <v>46710.5</v>
      </c>
      <c r="F347" s="112">
        <f>IFERROR(VLOOKUP(B347,O.B.JUNE!$N$7:$Q$448,2,0),0)</f>
        <v>0</v>
      </c>
      <c r="G347" s="112">
        <f>IFERROR(VLOOKUP(B347,O.B.JUNE!$N$7:$Q$448,3,0),0)</f>
        <v>196</v>
      </c>
      <c r="H347" s="112">
        <f>IFERROR(VLOOKUP(B347,O.B.JUNE!$N$7:$Q$448,4,0),0)</f>
        <v>105</v>
      </c>
      <c r="I347" s="112">
        <f t="shared" si="48"/>
        <v>301</v>
      </c>
      <c r="J347" s="112">
        <f>IFERROR(VLOOKUP(B347,O.B.JUNE!$AA$7:$AG$448,7,0),0)</f>
        <v>2454283</v>
      </c>
      <c r="K347" s="112">
        <f>IFERROR(VLOOKUP(B347,O.B.JUNE!$AI$7:$AO$448,7,0),0)</f>
        <v>4412424</v>
      </c>
      <c r="L347" s="112">
        <f t="shared" si="49"/>
        <v>6866707</v>
      </c>
      <c r="M347" s="112">
        <f>ROUND(SUMIF('JUNE (물량흐름)'!$C$13:$C$502,'WIP(재공품)'!B347,'JUNE (물량흐름)'!$H$13:$H$502)+SUMIF('JUNE (물량흐름)'!$C$13:$C$502,'WIP(재공품)'!B347,'JUNE (물량흐름)'!$V$13:$V$502),0)</f>
        <v>0</v>
      </c>
      <c r="N347" s="112">
        <f>SUMIF('Direct labour(직접노무비)'!$C$12:$C$503,'WIP(재공품)'!B347,'Direct labour(직접노무비)'!$O$12:$O$503)</f>
        <v>0</v>
      </c>
      <c r="O347" s="112">
        <f>SUMIF('Overhead exp(제조경비)'!$C$12:$C$503,'WIP(재공품)'!B347,'Overhead exp(제조경비)'!$O$12:$O$503)</f>
        <v>0</v>
      </c>
      <c r="P347" s="112">
        <f t="shared" si="50"/>
        <v>0</v>
      </c>
      <c r="Q347" s="112">
        <v>0</v>
      </c>
      <c r="R347" s="112">
        <v>0</v>
      </c>
      <c r="S347" s="112">
        <f>SUMIF('JUNE (물량흐름)'!$C$13:$C$493,'WIP(재공품)'!B347,'JUNE (물량흐름)'!$T$13:$T$493)+SUMIF('JUNE (물량흐름)'!$C$13:$C$493,'WIP(재공품)'!B347,'JUNE (물량흐름)'!$U$13:$U$493)+SUMIF('JUNE (물량흐름)'!$C$13:$C$493,'WIP(재공품)'!B347,'JUNE (물량흐름)'!$V$13:$V$493)-SUMIF('JUNE (물량흐름)'!$C$13:$C$493,'WIP(재공품)'!B347,'JUNE (물량흐름)'!$Y$13:$Y$493)</f>
        <v>25</v>
      </c>
      <c r="T347" s="112">
        <f>SUMIF('JUNE (물량흐름)'!$C$13:$C$502,'WIP(재공품)'!B347,'JUNE (물량흐름)'!$Y$13:$Y$502)</f>
        <v>5</v>
      </c>
      <c r="U347" s="167">
        <f>SUMIF('Direct labour(직접노무비)'!$C$12:$C$503,'WIP(재공품)'!B347,'Direct labour(직접노무비)'!$U$12:$U$503)+SUMIF('Overhead exp(제조경비)'!$C$12:$C$503,'WIP(재공품)'!B347,'Overhead exp(제조경비)'!$U$12:$U$503)</f>
        <v>114065</v>
      </c>
      <c r="V347" s="112">
        <f>SUMIF('Direct labour(직접노무비)'!$C$12:$C$503,'WIP(재공품)'!B347,'Direct labour(직접노무비)'!$Q$12:$Q$503)</f>
        <v>203844</v>
      </c>
      <c r="W347" s="112">
        <f>SUMIF('Overhead exp(제조경비)'!$C$12:$C$503,'WIP(재공품)'!B347,'Overhead exp(제조경비)'!$Q$12:$Q$503)</f>
        <v>366480</v>
      </c>
      <c r="X347" s="112">
        <f t="shared" si="51"/>
        <v>570324</v>
      </c>
      <c r="Y347" s="112">
        <f ca="1">ROUND(SUMIF('JUNE (물량흐름)'!$C$13:$C$502,'WIP(재공품)'!B347,'JUNE (물량흐름)'!$N$13:$N$488),0)</f>
        <v>0</v>
      </c>
      <c r="Z347" s="112">
        <f>ROUND(SUMIF('JUNE (물량흐름)'!$C$13:$C$502,'WIP(재공품)'!B347,'JUNE (물량흐름)'!$O$13:$O$502),0)</f>
        <v>196</v>
      </c>
      <c r="AA347" s="112">
        <f>ROUND(SUMIF('JUNE (물량흐름)'!$C$13:$C$502,'WIP(재공품)'!B347,'JUNE (물량흐름)'!$P$13:$P$502),0)</f>
        <v>75</v>
      </c>
      <c r="AB347" s="112">
        <f t="shared" ca="1" si="52"/>
        <v>271</v>
      </c>
      <c r="AC347" s="112">
        <f t="shared" si="53"/>
        <v>6182318</v>
      </c>
      <c r="AD347" s="381">
        <f t="shared" ca="1" si="54"/>
        <v>0</v>
      </c>
      <c r="AE347" s="381">
        <f t="shared" si="55"/>
        <v>0</v>
      </c>
      <c r="AF347" s="382"/>
      <c r="AG347" s="382">
        <v>2.6</v>
      </c>
      <c r="AH347" s="383">
        <f t="shared" si="56"/>
        <v>-0.54</v>
      </c>
      <c r="AJ347" s="383"/>
      <c r="AL347" s="385"/>
      <c r="AM347" s="381"/>
      <c r="AN347" s="382"/>
      <c r="AO347" s="382"/>
      <c r="AP347" s="383"/>
      <c r="AQ347" s="383"/>
    </row>
    <row r="348" spans="1:43" s="384" customFormat="1" ht="27" customHeight="1">
      <c r="A348" s="167">
        <v>343</v>
      </c>
      <c r="B348" s="240">
        <f>VLOOKUP(A348,'JUNE (물량흐름)'!$A$13:$C$502,3,0)</f>
        <v>100017974</v>
      </c>
      <c r="C348" s="21" t="str">
        <f>VLOOKUP(A348,'JUNE (물량흐름)'!$A$13:$C$502,2,0)</f>
        <v>ALFANI</v>
      </c>
      <c r="D348" s="212">
        <v>2.0099999999999998</v>
      </c>
      <c r="E348" s="6">
        <f>VLOOKUP(B348,'Sales profit (스타일 별 매출이익)'!$D$9:$P$491,13,0)</f>
        <v>45576.749999999993</v>
      </c>
      <c r="F348" s="112">
        <f>IFERROR(VLOOKUP(B348,O.B.JUNE!$N$7:$Q$448,2,0),0)</f>
        <v>63</v>
      </c>
      <c r="G348" s="112">
        <f>IFERROR(VLOOKUP(B348,O.B.JUNE!$N$7:$Q$448,3,0),0)</f>
        <v>118</v>
      </c>
      <c r="H348" s="112">
        <f>IFERROR(VLOOKUP(B348,O.B.JUNE!$N$7:$Q$448,4,0),0)</f>
        <v>120</v>
      </c>
      <c r="I348" s="112">
        <f t="shared" si="48"/>
        <v>301</v>
      </c>
      <c r="J348" s="112">
        <f>IFERROR(VLOOKUP(B348,O.B.JUNE!$AA$7:$AG$448,7,0),0)</f>
        <v>2465711</v>
      </c>
      <c r="K348" s="112">
        <f>IFERROR(VLOOKUP(B348,O.B.JUNE!$AI$7:$AO$448,7,0),0)</f>
        <v>4432971</v>
      </c>
      <c r="L348" s="112">
        <f t="shared" si="49"/>
        <v>6898682</v>
      </c>
      <c r="M348" s="112">
        <f>ROUND(SUMIF('JUNE (물량흐름)'!$C$13:$C$502,'WIP(재공품)'!B348,'JUNE (물량흐름)'!$H$13:$H$502)+SUMIF('JUNE (물량흐름)'!$C$13:$C$502,'WIP(재공품)'!B348,'JUNE (물량흐름)'!$V$13:$V$502),0)</f>
        <v>0</v>
      </c>
      <c r="N348" s="112">
        <f>SUMIF('Direct labour(직접노무비)'!$C$12:$C$503,'WIP(재공품)'!B348,'Direct labour(직접노무비)'!$O$12:$O$503)</f>
        <v>0</v>
      </c>
      <c r="O348" s="112">
        <f>SUMIF('Overhead exp(제조경비)'!$C$12:$C$503,'WIP(재공품)'!B348,'Overhead exp(제조경비)'!$O$12:$O$503)</f>
        <v>0</v>
      </c>
      <c r="P348" s="112">
        <f t="shared" si="50"/>
        <v>0</v>
      </c>
      <c r="Q348" s="112">
        <v>0</v>
      </c>
      <c r="R348" s="112">
        <v>0</v>
      </c>
      <c r="S348" s="112">
        <f>SUMIF('JUNE (물량흐름)'!$C$13:$C$493,'WIP(재공품)'!B348,'JUNE (물량흐름)'!$T$13:$T$493)+SUMIF('JUNE (물량흐름)'!$C$13:$C$493,'WIP(재공품)'!B348,'JUNE (물량흐름)'!$U$13:$U$493)+SUMIF('JUNE (물량흐름)'!$C$13:$C$493,'WIP(재공품)'!B348,'JUNE (물량흐름)'!$V$13:$V$493)-SUMIF('JUNE (물량흐름)'!$C$13:$C$493,'WIP(재공품)'!B348,'JUNE (물량흐름)'!$Y$13:$Y$493)</f>
        <v>0</v>
      </c>
      <c r="T348" s="112">
        <f>SUMIF('JUNE (물량흐름)'!$C$13:$C$502,'WIP(재공품)'!B348,'JUNE (물량흐름)'!$Y$13:$Y$502)</f>
        <v>0</v>
      </c>
      <c r="U348" s="167">
        <f>SUMIF('Direct labour(직접노무비)'!$C$12:$C$503,'WIP(재공품)'!B348,'Direct labour(직접노무비)'!$U$12:$U$503)+SUMIF('Overhead exp(제조경비)'!$C$12:$C$503,'WIP(재공품)'!B348,'Overhead exp(제조경비)'!$U$12:$U$503)</f>
        <v>0</v>
      </c>
      <c r="V348" s="112">
        <f>SUMIF('Direct labour(직접노무비)'!$C$12:$C$503,'WIP(재공품)'!B348,'Direct labour(직접노무비)'!$Q$12:$Q$503)</f>
        <v>0</v>
      </c>
      <c r="W348" s="112">
        <f>SUMIF('Overhead exp(제조경비)'!$C$12:$C$503,'WIP(재공품)'!B348,'Overhead exp(제조경비)'!$Q$12:$Q$503)</f>
        <v>0</v>
      </c>
      <c r="X348" s="112">
        <f t="shared" si="51"/>
        <v>0</v>
      </c>
      <c r="Y348" s="112">
        <f ca="1">ROUND(SUMIF('JUNE (물량흐름)'!$C$13:$C$502,'WIP(재공품)'!B348,'JUNE (물량흐름)'!$N$13:$N$488),0)</f>
        <v>63</v>
      </c>
      <c r="Z348" s="112">
        <f>ROUND(SUMIF('JUNE (물량흐름)'!$C$13:$C$502,'WIP(재공품)'!B348,'JUNE (물량흐름)'!$O$13:$O$502),0)</f>
        <v>118</v>
      </c>
      <c r="AA348" s="112">
        <f>ROUND(SUMIF('JUNE (물량흐름)'!$C$13:$C$502,'WIP(재공품)'!B348,'JUNE (물량흐름)'!$P$13:$P$502),0)</f>
        <v>120</v>
      </c>
      <c r="AB348" s="112">
        <f t="shared" ca="1" si="52"/>
        <v>301</v>
      </c>
      <c r="AC348" s="112">
        <f t="shared" si="53"/>
        <v>6898682</v>
      </c>
      <c r="AD348" s="381">
        <f t="shared" ca="1" si="54"/>
        <v>0</v>
      </c>
      <c r="AE348" s="381">
        <f t="shared" si="55"/>
        <v>0</v>
      </c>
      <c r="AF348" s="382"/>
      <c r="AG348" s="382">
        <v>4.5999999999999996</v>
      </c>
      <c r="AH348" s="383">
        <f t="shared" si="56"/>
        <v>-2.59</v>
      </c>
      <c r="AJ348" s="383"/>
      <c r="AL348" s="385"/>
      <c r="AM348" s="381"/>
      <c r="AN348" s="382"/>
      <c r="AO348" s="382"/>
      <c r="AP348" s="383"/>
      <c r="AQ348" s="383"/>
    </row>
    <row r="349" spans="1:43" s="384" customFormat="1" ht="27" customHeight="1">
      <c r="A349" s="167">
        <v>344</v>
      </c>
      <c r="B349" s="240">
        <f>VLOOKUP(A349,'JUNE (물량흐름)'!$A$13:$C$502,3,0)</f>
        <v>100018139</v>
      </c>
      <c r="C349" s="21" t="str">
        <f>VLOOKUP(A349,'JUNE (물량흐름)'!$A$13:$C$502,2,0)</f>
        <v>ALFANI</v>
      </c>
      <c r="D349" s="212">
        <v>1.93</v>
      </c>
      <c r="E349" s="6">
        <f>VLOOKUP(B349,'Sales profit (스타일 별 매출이익)'!$D$9:$P$491,13,0)</f>
        <v>43762.75</v>
      </c>
      <c r="F349" s="112">
        <f>IFERROR(VLOOKUP(B349,O.B.JUNE!$N$7:$Q$448,2,0),0)</f>
        <v>0</v>
      </c>
      <c r="G349" s="112">
        <f>IFERROR(VLOOKUP(B349,O.B.JUNE!$N$7:$Q$448,3,0),0)</f>
        <v>222</v>
      </c>
      <c r="H349" s="112">
        <f>IFERROR(VLOOKUP(B349,O.B.JUNE!$N$7:$Q$448,4,0),0)</f>
        <v>356</v>
      </c>
      <c r="I349" s="112">
        <f t="shared" si="48"/>
        <v>578</v>
      </c>
      <c r="J349" s="112">
        <f>IFERROR(VLOOKUP(B349,O.B.JUNE!$AA$7:$AG$448,7,0),0)</f>
        <v>6488766</v>
      </c>
      <c r="K349" s="112">
        <f>IFERROR(VLOOKUP(B349,O.B.JUNE!$AI$7:$AO$448,7,0),0)</f>
        <v>11665804</v>
      </c>
      <c r="L349" s="112">
        <f t="shared" si="49"/>
        <v>18154570</v>
      </c>
      <c r="M349" s="112">
        <f>ROUND(SUMIF('JUNE (물량흐름)'!$C$13:$C$502,'WIP(재공품)'!B349,'JUNE (물량흐름)'!$H$13:$H$502)+SUMIF('JUNE (물량흐름)'!$C$13:$C$502,'WIP(재공품)'!B349,'JUNE (물량흐름)'!$V$13:$V$502),0)</f>
        <v>195</v>
      </c>
      <c r="N349" s="112">
        <f>SUMIF('Direct labour(직접노무비)'!$C$12:$C$503,'WIP(재공품)'!B349,'Direct labour(직접노무비)'!$O$12:$O$503)</f>
        <v>3275390</v>
      </c>
      <c r="O349" s="112">
        <f>SUMIF('Overhead exp(제조경비)'!$C$12:$C$503,'WIP(재공품)'!B349,'Overhead exp(제조경비)'!$O$12:$O$503)</f>
        <v>6399254</v>
      </c>
      <c r="P349" s="112">
        <f t="shared" si="50"/>
        <v>9674644</v>
      </c>
      <c r="Q349" s="112">
        <v>0</v>
      </c>
      <c r="R349" s="112">
        <v>0</v>
      </c>
      <c r="S349" s="112">
        <f>SUMIF('JUNE (물량흐름)'!$C$13:$C$493,'WIP(재공품)'!B349,'JUNE (물량흐름)'!$T$13:$T$493)+SUMIF('JUNE (물량흐름)'!$C$13:$C$493,'WIP(재공품)'!B349,'JUNE (물량흐름)'!$U$13:$U$493)+SUMIF('JUNE (물량흐름)'!$C$13:$C$493,'WIP(재공품)'!B349,'JUNE (물량흐름)'!$V$13:$V$493)-SUMIF('JUNE (물량흐름)'!$C$13:$C$493,'WIP(재공품)'!B349,'JUNE (물량흐름)'!$Y$13:$Y$493)</f>
        <v>427</v>
      </c>
      <c r="T349" s="112">
        <f>SUMIF('JUNE (물량흐름)'!$C$13:$C$502,'WIP(재공품)'!B349,'JUNE (물량흐름)'!$Y$13:$Y$502)</f>
        <v>2</v>
      </c>
      <c r="U349" s="167">
        <f>SUMIF('Direct labour(직접노무비)'!$C$12:$C$503,'WIP(재공품)'!B349,'Direct labour(직접노무비)'!$U$12:$U$503)+SUMIF('Overhead exp(제조경비)'!$C$12:$C$503,'WIP(재공품)'!B349,'Overhead exp(제조경비)'!$U$12:$U$503)</f>
        <v>72003</v>
      </c>
      <c r="V349" s="112">
        <f>SUMIF('Direct labour(직접노무비)'!$C$12:$C$503,'WIP(재공품)'!B349,'Direct labour(직접노무비)'!$Q$12:$Q$503)</f>
        <v>5393654</v>
      </c>
      <c r="W349" s="112">
        <f>SUMIF('Overhead exp(제조경비)'!$C$12:$C$503,'WIP(재공품)'!B349,'Overhead exp(제조경비)'!$Q$12:$Q$503)</f>
        <v>9979017</v>
      </c>
      <c r="X349" s="112">
        <f t="shared" si="51"/>
        <v>15372671</v>
      </c>
      <c r="Y349" s="112">
        <f ca="1">ROUND(SUMIF('JUNE (물량흐름)'!$C$13:$C$502,'WIP(재공품)'!B349,'JUNE (물량흐름)'!$N$13:$N$488),0)</f>
        <v>0</v>
      </c>
      <c r="Z349" s="112">
        <f>ROUND(SUMIF('JUNE (물량흐름)'!$C$13:$C$502,'WIP(재공품)'!B349,'JUNE (물량흐름)'!$O$13:$O$502),0)</f>
        <v>222</v>
      </c>
      <c r="AA349" s="112">
        <f>ROUND(SUMIF('JUNE (물량흐름)'!$C$13:$C$502,'WIP(재공품)'!B349,'JUNE (물량흐름)'!$P$13:$P$502),0)</f>
        <v>122</v>
      </c>
      <c r="AB349" s="112">
        <f t="shared" ca="1" si="52"/>
        <v>344</v>
      </c>
      <c r="AC349" s="112">
        <f t="shared" si="53"/>
        <v>12384540</v>
      </c>
      <c r="AD349" s="381">
        <f t="shared" ca="1" si="54"/>
        <v>0</v>
      </c>
      <c r="AE349" s="381">
        <f t="shared" si="55"/>
        <v>0</v>
      </c>
      <c r="AF349" s="382"/>
      <c r="AG349" s="382"/>
      <c r="AH349" s="383">
        <f t="shared" si="56"/>
        <v>1.93</v>
      </c>
      <c r="AJ349" s="383"/>
      <c r="AL349" s="385"/>
      <c r="AM349" s="381"/>
      <c r="AN349" s="382"/>
      <c r="AO349" s="382"/>
      <c r="AP349" s="383"/>
      <c r="AQ349" s="383"/>
    </row>
    <row r="350" spans="1:43" s="384" customFormat="1" ht="27" customHeight="1">
      <c r="A350" s="167">
        <v>345</v>
      </c>
      <c r="B350" s="240">
        <f>VLOOKUP(A350,'JUNE (물량흐름)'!$A$13:$C$502,3,0)</f>
        <v>100018175</v>
      </c>
      <c r="C350" s="21" t="str">
        <f>VLOOKUP(A350,'JUNE (물량흐름)'!$A$13:$C$502,2,0)</f>
        <v>ALFANI</v>
      </c>
      <c r="D350" s="212">
        <v>0.36</v>
      </c>
      <c r="E350" s="6">
        <f>VLOOKUP(B350,'Sales profit (스타일 별 매출이익)'!$D$9:$P$491,13,0)</f>
        <v>8163</v>
      </c>
      <c r="F350" s="112">
        <f>IFERROR(VLOOKUP(B350,O.B.JUNE!$N$7:$Q$448,2,0),0)</f>
        <v>0</v>
      </c>
      <c r="G350" s="112">
        <f>IFERROR(VLOOKUP(B350,O.B.JUNE!$N$7:$Q$448,3,0),0)</f>
        <v>50</v>
      </c>
      <c r="H350" s="112">
        <f>IFERROR(VLOOKUP(B350,O.B.JUNE!$N$7:$Q$448,4,0),0)</f>
        <v>152</v>
      </c>
      <c r="I350" s="112">
        <f t="shared" si="48"/>
        <v>202</v>
      </c>
      <c r="J350" s="112">
        <f>IFERROR(VLOOKUP(B350,O.B.JUNE!$AA$7:$AG$448,7,0),0)</f>
        <v>2600173</v>
      </c>
      <c r="K350" s="112">
        <f>IFERROR(VLOOKUP(B350,O.B.JUNE!$AI$7:$AO$448,7,0),0)</f>
        <v>4836753</v>
      </c>
      <c r="L350" s="112">
        <f t="shared" si="49"/>
        <v>7436926</v>
      </c>
      <c r="M350" s="112">
        <f>ROUND(SUMIF('JUNE (물량흐름)'!$C$13:$C$502,'WIP(재공품)'!B350,'JUNE (물량흐름)'!$H$13:$H$502)+SUMIF('JUNE (물량흐름)'!$C$13:$C$502,'WIP(재공품)'!B350,'JUNE (물량흐름)'!$V$13:$V$502),0)</f>
        <v>0</v>
      </c>
      <c r="N350" s="112">
        <f>SUMIF('Direct labour(직접노무비)'!$C$12:$C$503,'WIP(재공품)'!B350,'Direct labour(직접노무비)'!$O$12:$O$503)</f>
        <v>0</v>
      </c>
      <c r="O350" s="112">
        <f>SUMIF('Overhead exp(제조경비)'!$C$12:$C$503,'WIP(재공품)'!B350,'Overhead exp(제조경비)'!$O$12:$O$503)</f>
        <v>0</v>
      </c>
      <c r="P350" s="112">
        <f t="shared" si="50"/>
        <v>0</v>
      </c>
      <c r="Q350" s="112">
        <v>0</v>
      </c>
      <c r="R350" s="112">
        <v>0</v>
      </c>
      <c r="S350" s="112">
        <f>SUMIF('JUNE (물량흐름)'!$C$13:$C$493,'WIP(재공품)'!B350,'JUNE (물량흐름)'!$T$13:$T$493)+SUMIF('JUNE (물량흐름)'!$C$13:$C$493,'WIP(재공품)'!B350,'JUNE (물량흐름)'!$U$13:$U$493)+SUMIF('JUNE (물량흐름)'!$C$13:$C$493,'WIP(재공품)'!B350,'JUNE (물량흐름)'!$V$13:$V$493)-SUMIF('JUNE (물량흐름)'!$C$13:$C$493,'WIP(재공품)'!B350,'JUNE (물량흐름)'!$Y$13:$Y$493)</f>
        <v>0</v>
      </c>
      <c r="T350" s="112">
        <f>SUMIF('JUNE (물량흐름)'!$C$13:$C$502,'WIP(재공품)'!B350,'JUNE (물량흐름)'!$Y$13:$Y$502)</f>
        <v>0</v>
      </c>
      <c r="U350" s="167">
        <f>SUMIF('Direct labour(직접노무비)'!$C$12:$C$503,'WIP(재공품)'!B350,'Direct labour(직접노무비)'!$U$12:$U$503)+SUMIF('Overhead exp(제조경비)'!$C$12:$C$503,'WIP(재공품)'!B350,'Overhead exp(제조경비)'!$U$12:$U$503)</f>
        <v>0</v>
      </c>
      <c r="V350" s="112">
        <f>SUMIF('Direct labour(직접노무비)'!$C$12:$C$503,'WIP(재공품)'!B350,'Direct labour(직접노무비)'!$Q$12:$Q$503)</f>
        <v>0</v>
      </c>
      <c r="W350" s="112">
        <f>SUMIF('Overhead exp(제조경비)'!$C$12:$C$503,'WIP(재공품)'!B350,'Overhead exp(제조경비)'!$Q$12:$Q$503)</f>
        <v>0</v>
      </c>
      <c r="X350" s="112">
        <f t="shared" si="51"/>
        <v>0</v>
      </c>
      <c r="Y350" s="112">
        <f ca="1">ROUND(SUMIF('JUNE (물량흐름)'!$C$13:$C$502,'WIP(재공품)'!B350,'JUNE (물량흐름)'!$N$13:$N$488),0)</f>
        <v>0</v>
      </c>
      <c r="Z350" s="112">
        <f>ROUND(SUMIF('JUNE (물량흐름)'!$C$13:$C$502,'WIP(재공품)'!B350,'JUNE (물량흐름)'!$O$13:$O$502),0)</f>
        <v>50</v>
      </c>
      <c r="AA350" s="112">
        <f>ROUND(SUMIF('JUNE (물량흐름)'!$C$13:$C$502,'WIP(재공품)'!B350,'JUNE (물량흐름)'!$P$13:$P$502),0)</f>
        <v>152</v>
      </c>
      <c r="AB350" s="112">
        <f t="shared" ca="1" si="52"/>
        <v>202</v>
      </c>
      <c r="AC350" s="112">
        <f t="shared" si="53"/>
        <v>7436926</v>
      </c>
      <c r="AD350" s="381">
        <f t="shared" ca="1" si="54"/>
        <v>0</v>
      </c>
      <c r="AE350" s="381">
        <f t="shared" si="55"/>
        <v>0</v>
      </c>
      <c r="AF350" s="382"/>
      <c r="AG350" s="382"/>
      <c r="AH350" s="383">
        <f t="shared" si="56"/>
        <v>0.36</v>
      </c>
      <c r="AJ350" s="383"/>
      <c r="AL350" s="385"/>
      <c r="AM350" s="381"/>
      <c r="AN350" s="382"/>
      <c r="AO350" s="382"/>
      <c r="AP350" s="383"/>
      <c r="AQ350" s="383"/>
    </row>
    <row r="351" spans="1:43" s="384" customFormat="1" ht="27" customHeight="1">
      <c r="A351" s="167">
        <v>346</v>
      </c>
      <c r="B351" s="240">
        <f>VLOOKUP(A351,'JUNE (물량흐름)'!$A$13:$C$502,3,0)</f>
        <v>100018176</v>
      </c>
      <c r="C351" s="21" t="str">
        <f>VLOOKUP(A351,'JUNE (물량흐름)'!$A$13:$C$502,2,0)</f>
        <v>ALFANI</v>
      </c>
      <c r="D351" s="212">
        <v>1.26</v>
      </c>
      <c r="E351" s="6">
        <f>VLOOKUP(B351,'Sales profit (스타일 별 매출이익)'!$D$9:$P$491,13,0)</f>
        <v>28570.5</v>
      </c>
      <c r="F351" s="112">
        <f>IFERROR(VLOOKUP(B351,O.B.JUNE!$N$7:$Q$448,2,0),0)</f>
        <v>0</v>
      </c>
      <c r="G351" s="112">
        <f>IFERROR(VLOOKUP(B351,O.B.JUNE!$N$7:$Q$448,3,0),0)</f>
        <v>308</v>
      </c>
      <c r="H351" s="112">
        <f>IFERROR(VLOOKUP(B351,O.B.JUNE!$N$7:$Q$448,4,0),0)</f>
        <v>42</v>
      </c>
      <c r="I351" s="112">
        <f t="shared" si="48"/>
        <v>350</v>
      </c>
      <c r="J351" s="112">
        <f>IFERROR(VLOOKUP(B351,O.B.JUNE!$AA$7:$AG$448,7,0),0)</f>
        <v>4686477</v>
      </c>
      <c r="K351" s="112">
        <f>IFERROR(VLOOKUP(B351,O.B.JUNE!$AI$7:$AO$448,7,0),0)</f>
        <v>8425567</v>
      </c>
      <c r="L351" s="112">
        <f t="shared" si="49"/>
        <v>13112044</v>
      </c>
      <c r="M351" s="112">
        <f>ROUND(SUMIF('JUNE (물량흐름)'!$C$13:$C$502,'WIP(재공품)'!B351,'JUNE (물량흐름)'!$H$13:$H$502)+SUMIF('JUNE (물량흐름)'!$C$13:$C$502,'WIP(재공품)'!B351,'JUNE (물량흐름)'!$V$13:$V$502),0)</f>
        <v>4495</v>
      </c>
      <c r="N351" s="112">
        <f>SUMIF('Direct labour(직접노무비)'!$C$12:$C$503,'WIP(재공품)'!B351,'Direct labour(직접노무비)'!$O$12:$O$503)</f>
        <v>20305368</v>
      </c>
      <c r="O351" s="112">
        <f>SUMIF('Overhead exp(제조경비)'!$C$12:$C$503,'WIP(재공품)'!B351,'Overhead exp(제조경비)'!$O$12:$O$503)</f>
        <v>39671377</v>
      </c>
      <c r="P351" s="112">
        <f t="shared" si="50"/>
        <v>59976745</v>
      </c>
      <c r="Q351" s="112">
        <v>0</v>
      </c>
      <c r="R351" s="112">
        <v>0</v>
      </c>
      <c r="S351" s="112">
        <f>SUMIF('JUNE (물량흐름)'!$C$13:$C$493,'WIP(재공품)'!B351,'JUNE (물량흐름)'!$T$13:$T$493)+SUMIF('JUNE (물량흐름)'!$C$13:$C$493,'WIP(재공품)'!B351,'JUNE (물량흐름)'!$U$13:$U$493)+SUMIF('JUNE (물량흐름)'!$C$13:$C$493,'WIP(재공품)'!B351,'JUNE (물량흐름)'!$V$13:$V$493)-SUMIF('JUNE (물량흐름)'!$C$13:$C$493,'WIP(재공품)'!B351,'JUNE (물량흐름)'!$Y$13:$Y$493)</f>
        <v>0</v>
      </c>
      <c r="T351" s="112">
        <f>SUMIF('JUNE (물량흐름)'!$C$13:$C$502,'WIP(재공품)'!B351,'JUNE (물량흐름)'!$Y$13:$Y$502)</f>
        <v>0</v>
      </c>
      <c r="U351" s="167">
        <f>SUMIF('Direct labour(직접노무비)'!$C$12:$C$503,'WIP(재공품)'!B351,'Direct labour(직접노무비)'!$U$12:$U$503)+SUMIF('Overhead exp(제조경비)'!$C$12:$C$503,'WIP(재공품)'!B351,'Overhead exp(제조경비)'!$U$12:$U$503)</f>
        <v>0</v>
      </c>
      <c r="V351" s="112">
        <f>SUMIF('Direct labour(직접노무비)'!$C$12:$C$503,'WIP(재공품)'!B351,'Direct labour(직접노무비)'!$Q$12:$Q$503)</f>
        <v>0</v>
      </c>
      <c r="W351" s="112">
        <f>SUMIF('Overhead exp(제조경비)'!$C$12:$C$503,'WIP(재공품)'!B351,'Overhead exp(제조경비)'!$Q$12:$Q$503)</f>
        <v>0</v>
      </c>
      <c r="X351" s="112">
        <f t="shared" si="51"/>
        <v>0</v>
      </c>
      <c r="Y351" s="112">
        <f ca="1">ROUND(SUMIF('JUNE (물량흐름)'!$C$13:$C$502,'WIP(재공품)'!B351,'JUNE (물량흐름)'!$N$13:$N$488),0)</f>
        <v>1505</v>
      </c>
      <c r="Z351" s="112">
        <f>ROUND(SUMIF('JUNE (물량흐름)'!$C$13:$C$502,'WIP(재공품)'!B351,'JUNE (물량흐름)'!$O$13:$O$502),0)</f>
        <v>1624</v>
      </c>
      <c r="AA351" s="112">
        <f>ROUND(SUMIF('JUNE (물량흐름)'!$C$13:$C$502,'WIP(재공품)'!B351,'JUNE (물량흐름)'!$P$13:$P$502),0)</f>
        <v>1716</v>
      </c>
      <c r="AB351" s="112">
        <f t="shared" ca="1" si="52"/>
        <v>4845</v>
      </c>
      <c r="AC351" s="112">
        <f t="shared" si="53"/>
        <v>73088789</v>
      </c>
      <c r="AD351" s="381">
        <f t="shared" ca="1" si="54"/>
        <v>0</v>
      </c>
      <c r="AE351" s="381">
        <f t="shared" si="55"/>
        <v>0</v>
      </c>
      <c r="AF351" s="382"/>
      <c r="AG351" s="382"/>
      <c r="AH351" s="383">
        <f t="shared" si="56"/>
        <v>1.26</v>
      </c>
      <c r="AJ351" s="383"/>
      <c r="AL351" s="385"/>
      <c r="AM351" s="381"/>
      <c r="AN351" s="382"/>
      <c r="AO351" s="382"/>
      <c r="AP351" s="383"/>
      <c r="AQ351" s="383"/>
    </row>
    <row r="352" spans="1:43" s="384" customFormat="1" ht="27" customHeight="1">
      <c r="A352" s="167">
        <v>347</v>
      </c>
      <c r="B352" s="240">
        <f>VLOOKUP(A352,'JUNE (물량흐름)'!$A$13:$C$502,3,0)</f>
        <v>100018178</v>
      </c>
      <c r="C352" s="21" t="str">
        <f>VLOOKUP(A352,'JUNE (물량흐름)'!$A$13:$C$502,2,0)</f>
        <v>ALFANI</v>
      </c>
      <c r="D352" s="212">
        <v>0.9</v>
      </c>
      <c r="E352" s="6">
        <f>VLOOKUP(B352,'Sales profit (스타일 별 매출이익)'!$D$9:$P$491,13,0)</f>
        <v>20407.5</v>
      </c>
      <c r="F352" s="112">
        <f>IFERROR(VLOOKUP(B352,O.B.JUNE!$N$7:$Q$448,2,0),0)</f>
        <v>0</v>
      </c>
      <c r="G352" s="112">
        <f>IFERROR(VLOOKUP(B352,O.B.JUNE!$N$7:$Q$448,3,0),0)</f>
        <v>72</v>
      </c>
      <c r="H352" s="112">
        <f>IFERROR(VLOOKUP(B352,O.B.JUNE!$N$7:$Q$448,4,0),0)</f>
        <v>6</v>
      </c>
      <c r="I352" s="112">
        <f t="shared" si="48"/>
        <v>78</v>
      </c>
      <c r="J352" s="112">
        <f>IFERROR(VLOOKUP(B352,O.B.JUNE!$AA$7:$AG$448,7,0),0)</f>
        <v>733329</v>
      </c>
      <c r="K352" s="112">
        <f>IFERROR(VLOOKUP(B352,O.B.JUNE!$AI$7:$AO$448,7,0),0)</f>
        <v>1318412</v>
      </c>
      <c r="L352" s="112">
        <f t="shared" si="49"/>
        <v>2051741</v>
      </c>
      <c r="M352" s="112">
        <f>ROUND(SUMIF('JUNE (물량흐름)'!$C$13:$C$502,'WIP(재공품)'!B352,'JUNE (물량흐름)'!$H$13:$H$502)+SUMIF('JUNE (물량흐름)'!$C$13:$C$502,'WIP(재공품)'!B352,'JUNE (물량흐름)'!$V$13:$V$502),0)</f>
        <v>0</v>
      </c>
      <c r="N352" s="112">
        <f>SUMIF('Direct labour(직접노무비)'!$C$12:$C$503,'WIP(재공품)'!B352,'Direct labour(직접노무비)'!$O$12:$O$503)</f>
        <v>0</v>
      </c>
      <c r="O352" s="112">
        <f>SUMIF('Overhead exp(제조경비)'!$C$12:$C$503,'WIP(재공품)'!B352,'Overhead exp(제조경비)'!$O$12:$O$503)</f>
        <v>0</v>
      </c>
      <c r="P352" s="112">
        <f t="shared" si="50"/>
        <v>0</v>
      </c>
      <c r="Q352" s="112">
        <v>0</v>
      </c>
      <c r="R352" s="112">
        <v>0</v>
      </c>
      <c r="S352" s="112">
        <f>SUMIF('JUNE (물량흐름)'!$C$13:$C$493,'WIP(재공품)'!B352,'JUNE (물량흐름)'!$T$13:$T$493)+SUMIF('JUNE (물량흐름)'!$C$13:$C$493,'WIP(재공품)'!B352,'JUNE (물량흐름)'!$U$13:$U$493)+SUMIF('JUNE (물량흐름)'!$C$13:$C$493,'WIP(재공품)'!B352,'JUNE (물량흐름)'!$V$13:$V$493)-SUMIF('JUNE (물량흐름)'!$C$13:$C$493,'WIP(재공품)'!B352,'JUNE (물량흐름)'!$Y$13:$Y$493)</f>
        <v>0</v>
      </c>
      <c r="T352" s="112">
        <f>SUMIF('JUNE (물량흐름)'!$C$13:$C$502,'WIP(재공품)'!B352,'JUNE (물량흐름)'!$Y$13:$Y$502)</f>
        <v>0</v>
      </c>
      <c r="U352" s="167">
        <f>SUMIF('Direct labour(직접노무비)'!$C$12:$C$503,'WIP(재공품)'!B352,'Direct labour(직접노무비)'!$U$12:$U$503)+SUMIF('Overhead exp(제조경비)'!$C$12:$C$503,'WIP(재공품)'!B352,'Overhead exp(제조경비)'!$U$12:$U$503)</f>
        <v>0</v>
      </c>
      <c r="V352" s="112">
        <f>SUMIF('Direct labour(직접노무비)'!$C$12:$C$503,'WIP(재공품)'!B352,'Direct labour(직접노무비)'!$Q$12:$Q$503)</f>
        <v>0</v>
      </c>
      <c r="W352" s="112">
        <f>SUMIF('Overhead exp(제조경비)'!$C$12:$C$503,'WIP(재공품)'!B352,'Overhead exp(제조경비)'!$Q$12:$Q$503)</f>
        <v>0</v>
      </c>
      <c r="X352" s="112">
        <f t="shared" si="51"/>
        <v>0</v>
      </c>
      <c r="Y352" s="112">
        <f ca="1">ROUND(SUMIF('JUNE (물량흐름)'!$C$13:$C$502,'WIP(재공품)'!B352,'JUNE (물량흐름)'!$N$13:$N$488),0)</f>
        <v>0</v>
      </c>
      <c r="Z352" s="112">
        <f>ROUND(SUMIF('JUNE (물량흐름)'!$C$13:$C$502,'WIP(재공품)'!B352,'JUNE (물량흐름)'!$O$13:$O$502),0)</f>
        <v>72</v>
      </c>
      <c r="AA352" s="112">
        <f>ROUND(SUMIF('JUNE (물량흐름)'!$C$13:$C$502,'WIP(재공품)'!B352,'JUNE (물량흐름)'!$P$13:$P$502),0)</f>
        <v>6</v>
      </c>
      <c r="AB352" s="112">
        <f t="shared" ca="1" si="52"/>
        <v>78</v>
      </c>
      <c r="AC352" s="112">
        <f t="shared" si="53"/>
        <v>2051741</v>
      </c>
      <c r="AD352" s="381">
        <f t="shared" ca="1" si="54"/>
        <v>0</v>
      </c>
      <c r="AE352" s="381">
        <f t="shared" si="55"/>
        <v>0</v>
      </c>
      <c r="AF352" s="382"/>
      <c r="AG352" s="382">
        <v>0.3</v>
      </c>
      <c r="AH352" s="383">
        <f t="shared" si="56"/>
        <v>0.60000000000000009</v>
      </c>
      <c r="AJ352" s="383"/>
      <c r="AL352" s="385"/>
      <c r="AM352" s="381"/>
      <c r="AN352" s="382"/>
      <c r="AO352" s="382"/>
      <c r="AP352" s="383"/>
      <c r="AQ352" s="383"/>
    </row>
    <row r="353" spans="1:43" s="384" customFormat="1" ht="27" customHeight="1">
      <c r="A353" s="167">
        <v>348</v>
      </c>
      <c r="B353" s="240">
        <f>VLOOKUP(A353,'JUNE (물량흐름)'!$A$13:$C$502,3,0)</f>
        <v>100018179</v>
      </c>
      <c r="C353" s="21" t="str">
        <f>VLOOKUP(A353,'JUNE (물량흐름)'!$A$13:$C$502,2,0)</f>
        <v>ALFANI</v>
      </c>
      <c r="D353" s="212">
        <v>1.9</v>
      </c>
      <c r="E353" s="6">
        <f>VLOOKUP(B353,'Sales profit (스타일 별 매출이익)'!$D$9:$P$491,13,0)</f>
        <v>43082.5</v>
      </c>
      <c r="F353" s="112">
        <f>IFERROR(VLOOKUP(B353,O.B.JUNE!$N$7:$Q$448,2,0),0)</f>
        <v>25</v>
      </c>
      <c r="G353" s="112">
        <f>IFERROR(VLOOKUP(B353,O.B.JUNE!$N$7:$Q$448,3,0),0)</f>
        <v>32</v>
      </c>
      <c r="H353" s="112">
        <f>IFERROR(VLOOKUP(B353,O.B.JUNE!$N$7:$Q$448,4,0),0)</f>
        <v>0</v>
      </c>
      <c r="I353" s="112">
        <f t="shared" si="48"/>
        <v>57</v>
      </c>
      <c r="J353" s="112">
        <f>IFERROR(VLOOKUP(B353,O.B.JUNE!$AA$7:$AG$448,7,0),0)</f>
        <v>1053527</v>
      </c>
      <c r="K353" s="112">
        <f>IFERROR(VLOOKUP(B353,O.B.JUNE!$AI$7:$AO$448,7,0),0)</f>
        <v>1894081</v>
      </c>
      <c r="L353" s="112">
        <f t="shared" si="49"/>
        <v>2947608</v>
      </c>
      <c r="M353" s="112">
        <f>ROUND(SUMIF('JUNE (물량흐름)'!$C$13:$C$502,'WIP(재공품)'!B353,'JUNE (물량흐름)'!$H$13:$H$502)+SUMIF('JUNE (물량흐름)'!$C$13:$C$502,'WIP(재공품)'!B353,'JUNE (물량흐름)'!$V$13:$V$502),0)</f>
        <v>0</v>
      </c>
      <c r="N353" s="112">
        <f>SUMIF('Direct labour(직접노무비)'!$C$12:$C$503,'WIP(재공품)'!B353,'Direct labour(직접노무비)'!$O$12:$O$503)</f>
        <v>0</v>
      </c>
      <c r="O353" s="112">
        <f>SUMIF('Overhead exp(제조경비)'!$C$12:$C$503,'WIP(재공품)'!B353,'Overhead exp(제조경비)'!$O$12:$O$503)</f>
        <v>0</v>
      </c>
      <c r="P353" s="112">
        <f t="shared" si="50"/>
        <v>0</v>
      </c>
      <c r="Q353" s="112">
        <v>0</v>
      </c>
      <c r="R353" s="112">
        <v>0</v>
      </c>
      <c r="S353" s="112">
        <f>SUMIF('JUNE (물량흐름)'!$C$13:$C$493,'WIP(재공품)'!B353,'JUNE (물량흐름)'!$T$13:$T$493)+SUMIF('JUNE (물량흐름)'!$C$13:$C$493,'WIP(재공품)'!B353,'JUNE (물량흐름)'!$U$13:$U$493)+SUMIF('JUNE (물량흐름)'!$C$13:$C$493,'WIP(재공품)'!B353,'JUNE (물량흐름)'!$V$13:$V$493)-SUMIF('JUNE (물량흐름)'!$C$13:$C$493,'WIP(재공품)'!B353,'JUNE (물량흐름)'!$Y$13:$Y$493)</f>
        <v>0</v>
      </c>
      <c r="T353" s="112">
        <f>SUMIF('JUNE (물량흐름)'!$C$13:$C$502,'WIP(재공품)'!B353,'JUNE (물량흐름)'!$Y$13:$Y$502)</f>
        <v>0</v>
      </c>
      <c r="U353" s="167">
        <f>SUMIF('Direct labour(직접노무비)'!$C$12:$C$503,'WIP(재공품)'!B353,'Direct labour(직접노무비)'!$U$12:$U$503)+SUMIF('Overhead exp(제조경비)'!$C$12:$C$503,'WIP(재공품)'!B353,'Overhead exp(제조경비)'!$U$12:$U$503)</f>
        <v>0</v>
      </c>
      <c r="V353" s="112">
        <f>SUMIF('Direct labour(직접노무비)'!$C$12:$C$503,'WIP(재공품)'!B353,'Direct labour(직접노무비)'!$Q$12:$Q$503)</f>
        <v>0</v>
      </c>
      <c r="W353" s="112">
        <f>SUMIF('Overhead exp(제조경비)'!$C$12:$C$503,'WIP(재공품)'!B353,'Overhead exp(제조경비)'!$Q$12:$Q$503)</f>
        <v>0</v>
      </c>
      <c r="X353" s="112">
        <f t="shared" si="51"/>
        <v>0</v>
      </c>
      <c r="Y353" s="112">
        <f ca="1">ROUND(SUMIF('JUNE (물량흐름)'!$C$13:$C$502,'WIP(재공품)'!B353,'JUNE (물량흐름)'!$N$13:$N$488),0)</f>
        <v>25</v>
      </c>
      <c r="Z353" s="112">
        <f>ROUND(SUMIF('JUNE (물량흐름)'!$C$13:$C$502,'WIP(재공품)'!B353,'JUNE (물량흐름)'!$O$13:$O$502),0)</f>
        <v>32</v>
      </c>
      <c r="AA353" s="112">
        <f>ROUND(SUMIF('JUNE (물량흐름)'!$C$13:$C$502,'WIP(재공품)'!B353,'JUNE (물량흐름)'!$P$13:$P$502),0)</f>
        <v>0</v>
      </c>
      <c r="AB353" s="112">
        <f t="shared" ca="1" si="52"/>
        <v>57</v>
      </c>
      <c r="AC353" s="112">
        <f t="shared" si="53"/>
        <v>2947608</v>
      </c>
      <c r="AD353" s="381">
        <f t="shared" ca="1" si="54"/>
        <v>0</v>
      </c>
      <c r="AE353" s="381">
        <f t="shared" si="55"/>
        <v>0</v>
      </c>
      <c r="AF353" s="382"/>
      <c r="AG353" s="382"/>
      <c r="AH353" s="383">
        <f t="shared" si="56"/>
        <v>1.9</v>
      </c>
      <c r="AJ353" s="383"/>
      <c r="AL353" s="385"/>
      <c r="AM353" s="381"/>
      <c r="AN353" s="382"/>
      <c r="AO353" s="382"/>
      <c r="AP353" s="383"/>
      <c r="AQ353" s="383"/>
    </row>
    <row r="354" spans="1:43" s="384" customFormat="1" ht="27" customHeight="1">
      <c r="A354" s="167">
        <v>349</v>
      </c>
      <c r="B354" s="240">
        <f>VLOOKUP(A354,'JUNE (물량흐름)'!$A$13:$C$502,3,0)</f>
        <v>100018235</v>
      </c>
      <c r="C354" s="21" t="str">
        <f>VLOOKUP(A354,'JUNE (물량흐름)'!$A$13:$C$502,2,0)</f>
        <v>ALFANI</v>
      </c>
      <c r="D354" s="212">
        <v>0.36</v>
      </c>
      <c r="E354" s="6">
        <f>VLOOKUP(B354,'Sales profit (스타일 별 매출이익)'!$D$9:$P$491,13,0)</f>
        <v>8163</v>
      </c>
      <c r="F354" s="112">
        <f>IFERROR(VLOOKUP(B354,O.B.JUNE!$N$7:$Q$448,2,0),0)</f>
        <v>38</v>
      </c>
      <c r="G354" s="112">
        <f>IFERROR(VLOOKUP(B354,O.B.JUNE!$N$7:$Q$448,3,0),0)</f>
        <v>54</v>
      </c>
      <c r="H354" s="112">
        <f>IFERROR(VLOOKUP(B354,O.B.JUNE!$N$7:$Q$448,4,0),0)</f>
        <v>168</v>
      </c>
      <c r="I354" s="112">
        <f t="shared" si="48"/>
        <v>260</v>
      </c>
      <c r="J354" s="112">
        <f>IFERROR(VLOOKUP(B354,O.B.JUNE!$AA$7:$AG$448,7,0),0)</f>
        <v>1658700</v>
      </c>
      <c r="K354" s="112">
        <f>IFERROR(VLOOKUP(B354,O.B.JUNE!$AI$7:$AO$448,7,0),0)</f>
        <v>2982087</v>
      </c>
      <c r="L354" s="112">
        <f t="shared" si="49"/>
        <v>4640787</v>
      </c>
      <c r="M354" s="112">
        <f>ROUND(SUMIF('JUNE (물량흐름)'!$C$13:$C$502,'WIP(재공품)'!B354,'JUNE (물량흐름)'!$H$13:$H$502)+SUMIF('JUNE (물량흐름)'!$C$13:$C$502,'WIP(재공품)'!B354,'JUNE (물량흐름)'!$V$13:$V$502),0)</f>
        <v>0</v>
      </c>
      <c r="N354" s="112">
        <f>SUMIF('Direct labour(직접노무비)'!$C$12:$C$503,'WIP(재공품)'!B354,'Direct labour(직접노무비)'!$O$12:$O$503)</f>
        <v>0</v>
      </c>
      <c r="O354" s="112">
        <f>SUMIF('Overhead exp(제조경비)'!$C$12:$C$503,'WIP(재공품)'!B354,'Overhead exp(제조경비)'!$O$12:$O$503)</f>
        <v>0</v>
      </c>
      <c r="P354" s="112">
        <f t="shared" si="50"/>
        <v>0</v>
      </c>
      <c r="Q354" s="112">
        <v>0</v>
      </c>
      <c r="R354" s="112">
        <v>0</v>
      </c>
      <c r="S354" s="112">
        <f>SUMIF('JUNE (물량흐름)'!$C$13:$C$493,'WIP(재공품)'!B354,'JUNE (물량흐름)'!$T$13:$T$493)+SUMIF('JUNE (물량흐름)'!$C$13:$C$493,'WIP(재공품)'!B354,'JUNE (물량흐름)'!$U$13:$U$493)+SUMIF('JUNE (물량흐름)'!$C$13:$C$493,'WIP(재공품)'!B354,'JUNE (물량흐름)'!$V$13:$V$493)-SUMIF('JUNE (물량흐름)'!$C$13:$C$493,'WIP(재공품)'!B354,'JUNE (물량흐름)'!$Y$13:$Y$493)</f>
        <v>0</v>
      </c>
      <c r="T354" s="112">
        <f>SUMIF('JUNE (물량흐름)'!$C$13:$C$502,'WIP(재공품)'!B354,'JUNE (물량흐름)'!$Y$13:$Y$502)</f>
        <v>0</v>
      </c>
      <c r="U354" s="167">
        <f>SUMIF('Direct labour(직접노무비)'!$C$12:$C$503,'WIP(재공품)'!B354,'Direct labour(직접노무비)'!$U$12:$U$503)+SUMIF('Overhead exp(제조경비)'!$C$12:$C$503,'WIP(재공품)'!B354,'Overhead exp(제조경비)'!$U$12:$U$503)</f>
        <v>0</v>
      </c>
      <c r="V354" s="112">
        <f>SUMIF('Direct labour(직접노무비)'!$C$12:$C$503,'WIP(재공품)'!B354,'Direct labour(직접노무비)'!$Q$12:$Q$503)</f>
        <v>0</v>
      </c>
      <c r="W354" s="112">
        <f>SUMIF('Overhead exp(제조경비)'!$C$12:$C$503,'WIP(재공품)'!B354,'Overhead exp(제조경비)'!$Q$12:$Q$503)</f>
        <v>0</v>
      </c>
      <c r="X354" s="112">
        <f t="shared" si="51"/>
        <v>0</v>
      </c>
      <c r="Y354" s="112">
        <f ca="1">ROUND(SUMIF('JUNE (물량흐름)'!$C$13:$C$502,'WIP(재공품)'!B354,'JUNE (물량흐름)'!$N$13:$N$488),0)</f>
        <v>38</v>
      </c>
      <c r="Z354" s="112">
        <f>ROUND(SUMIF('JUNE (물량흐름)'!$C$13:$C$502,'WIP(재공품)'!B354,'JUNE (물량흐름)'!$O$13:$O$502),0)</f>
        <v>54</v>
      </c>
      <c r="AA354" s="112">
        <f>ROUND(SUMIF('JUNE (물량흐름)'!$C$13:$C$502,'WIP(재공품)'!B354,'JUNE (물량흐름)'!$P$13:$P$502),0)</f>
        <v>168</v>
      </c>
      <c r="AB354" s="112">
        <f t="shared" ca="1" si="52"/>
        <v>260</v>
      </c>
      <c r="AC354" s="112">
        <f t="shared" si="53"/>
        <v>4640787</v>
      </c>
      <c r="AD354" s="381">
        <f t="shared" ca="1" si="54"/>
        <v>0</v>
      </c>
      <c r="AE354" s="381">
        <f t="shared" si="55"/>
        <v>0</v>
      </c>
      <c r="AF354" s="382"/>
      <c r="AG354" s="382"/>
      <c r="AH354" s="383">
        <f t="shared" si="56"/>
        <v>0.36</v>
      </c>
      <c r="AJ354" s="383"/>
      <c r="AL354" s="385"/>
      <c r="AM354" s="381"/>
      <c r="AN354" s="382"/>
      <c r="AO354" s="382"/>
      <c r="AP354" s="383"/>
      <c r="AQ354" s="383"/>
    </row>
    <row r="355" spans="1:43" s="384" customFormat="1" ht="27" customHeight="1">
      <c r="A355" s="167">
        <v>350</v>
      </c>
      <c r="B355" s="240">
        <f>VLOOKUP(A355,'JUNE (물량흐름)'!$A$13:$C$502,3,0)</f>
        <v>100018237</v>
      </c>
      <c r="C355" s="21" t="str">
        <f>VLOOKUP(A355,'JUNE (물량흐름)'!$A$13:$C$502,2,0)</f>
        <v>ALFANI</v>
      </c>
      <c r="D355" s="212">
        <v>3.46</v>
      </c>
      <c r="E355" s="6">
        <f>VLOOKUP(B355,'Sales profit (스타일 별 매출이익)'!$D$9:$P$491,13,0)</f>
        <v>78455.5</v>
      </c>
      <c r="F355" s="112">
        <f>IFERROR(VLOOKUP(B355,O.B.JUNE!$N$7:$Q$448,2,0),0)</f>
        <v>104</v>
      </c>
      <c r="G355" s="112">
        <f>IFERROR(VLOOKUP(B355,O.B.JUNE!$N$7:$Q$448,3,0),0)</f>
        <v>37</v>
      </c>
      <c r="H355" s="112">
        <f>IFERROR(VLOOKUP(B355,O.B.JUNE!$N$7:$Q$448,4,0),0)</f>
        <v>0</v>
      </c>
      <c r="I355" s="112">
        <f t="shared" si="48"/>
        <v>141</v>
      </c>
      <c r="J355" s="112">
        <f>IFERROR(VLOOKUP(B355,O.B.JUNE!$AA$7:$AG$448,7,0),0)</f>
        <v>672552</v>
      </c>
      <c r="K355" s="112">
        <f>IFERROR(VLOOKUP(B355,O.B.JUNE!$AI$7:$AO$448,7,0),0)</f>
        <v>1209145</v>
      </c>
      <c r="L355" s="112">
        <f t="shared" si="49"/>
        <v>1881697</v>
      </c>
      <c r="M355" s="112">
        <f>ROUND(SUMIF('JUNE (물량흐름)'!$C$13:$C$502,'WIP(재공품)'!B355,'JUNE (물량흐름)'!$H$13:$H$502)+SUMIF('JUNE (물량흐름)'!$C$13:$C$502,'WIP(재공품)'!B355,'JUNE (물량흐름)'!$V$13:$V$502),0)</f>
        <v>0</v>
      </c>
      <c r="N355" s="112">
        <f>SUMIF('Direct labour(직접노무비)'!$C$12:$C$503,'WIP(재공품)'!B355,'Direct labour(직접노무비)'!$O$12:$O$503)</f>
        <v>0</v>
      </c>
      <c r="O355" s="112">
        <f>SUMIF('Overhead exp(제조경비)'!$C$12:$C$503,'WIP(재공품)'!B355,'Overhead exp(제조경비)'!$O$12:$O$503)</f>
        <v>0</v>
      </c>
      <c r="P355" s="112">
        <f t="shared" si="50"/>
        <v>0</v>
      </c>
      <c r="Q355" s="112">
        <v>0</v>
      </c>
      <c r="R355" s="112">
        <v>0</v>
      </c>
      <c r="S355" s="112">
        <f>SUMIF('JUNE (물량흐름)'!$C$13:$C$493,'WIP(재공품)'!B355,'JUNE (물량흐름)'!$T$13:$T$493)+SUMIF('JUNE (물량흐름)'!$C$13:$C$493,'WIP(재공품)'!B355,'JUNE (물량흐름)'!$U$13:$U$493)+SUMIF('JUNE (물량흐름)'!$C$13:$C$493,'WIP(재공품)'!B355,'JUNE (물량흐름)'!$V$13:$V$493)-SUMIF('JUNE (물량흐름)'!$C$13:$C$493,'WIP(재공품)'!B355,'JUNE (물량흐름)'!$Y$13:$Y$493)</f>
        <v>0</v>
      </c>
      <c r="T355" s="112">
        <f>SUMIF('JUNE (물량흐름)'!$C$13:$C$502,'WIP(재공품)'!B355,'JUNE (물량흐름)'!$Y$13:$Y$502)</f>
        <v>0</v>
      </c>
      <c r="U355" s="167">
        <f>SUMIF('Direct labour(직접노무비)'!$C$12:$C$503,'WIP(재공품)'!B355,'Direct labour(직접노무비)'!$U$12:$U$503)+SUMIF('Overhead exp(제조경비)'!$C$12:$C$503,'WIP(재공품)'!B355,'Overhead exp(제조경비)'!$U$12:$U$503)</f>
        <v>0</v>
      </c>
      <c r="V355" s="112">
        <f>SUMIF('Direct labour(직접노무비)'!$C$12:$C$503,'WIP(재공품)'!B355,'Direct labour(직접노무비)'!$Q$12:$Q$503)</f>
        <v>0</v>
      </c>
      <c r="W355" s="112">
        <f>SUMIF('Overhead exp(제조경비)'!$C$12:$C$503,'WIP(재공품)'!B355,'Overhead exp(제조경비)'!$Q$12:$Q$503)</f>
        <v>0</v>
      </c>
      <c r="X355" s="112">
        <f t="shared" si="51"/>
        <v>0</v>
      </c>
      <c r="Y355" s="112">
        <f ca="1">ROUND(SUMIF('JUNE (물량흐름)'!$C$13:$C$502,'WIP(재공품)'!B355,'JUNE (물량흐름)'!$N$13:$N$488),0)</f>
        <v>104</v>
      </c>
      <c r="Z355" s="112">
        <f>ROUND(SUMIF('JUNE (물량흐름)'!$C$13:$C$502,'WIP(재공품)'!B355,'JUNE (물량흐름)'!$O$13:$O$502),0)</f>
        <v>37</v>
      </c>
      <c r="AA355" s="112">
        <f>ROUND(SUMIF('JUNE (물량흐름)'!$C$13:$C$502,'WIP(재공품)'!B355,'JUNE (물량흐름)'!$P$13:$P$502),0)</f>
        <v>0</v>
      </c>
      <c r="AB355" s="112">
        <f t="shared" ca="1" si="52"/>
        <v>141</v>
      </c>
      <c r="AC355" s="112">
        <f t="shared" si="53"/>
        <v>1881697</v>
      </c>
      <c r="AD355" s="381">
        <f t="shared" ca="1" si="54"/>
        <v>0</v>
      </c>
      <c r="AE355" s="381">
        <f t="shared" si="55"/>
        <v>0</v>
      </c>
      <c r="AF355" s="382"/>
      <c r="AG355" s="382"/>
      <c r="AH355" s="383">
        <f t="shared" si="56"/>
        <v>3.46</v>
      </c>
      <c r="AJ355" s="383"/>
      <c r="AL355" s="385"/>
      <c r="AM355" s="381"/>
      <c r="AN355" s="382"/>
      <c r="AO355" s="382"/>
      <c r="AP355" s="383"/>
      <c r="AQ355" s="383"/>
    </row>
    <row r="356" spans="1:43" s="384" customFormat="1" ht="27" customHeight="1">
      <c r="A356" s="167">
        <v>351</v>
      </c>
      <c r="B356" s="240">
        <f>VLOOKUP(A356,'JUNE (물량흐름)'!$A$13:$C$502,3,0)</f>
        <v>100018239</v>
      </c>
      <c r="C356" s="21" t="str">
        <f>VLOOKUP(A356,'JUNE (물량흐름)'!$A$13:$C$502,2,0)</f>
        <v>ALFANI</v>
      </c>
      <c r="D356" s="212">
        <v>0.36</v>
      </c>
      <c r="E356" s="6">
        <f>VLOOKUP(B356,'Sales profit (스타일 별 매출이익)'!$D$9:$P$491,13,0)</f>
        <v>8163</v>
      </c>
      <c r="F356" s="112">
        <f>IFERROR(VLOOKUP(B356,O.B.JUNE!$N$7:$Q$448,2,0),0)</f>
        <v>17</v>
      </c>
      <c r="G356" s="112">
        <f>IFERROR(VLOOKUP(B356,O.B.JUNE!$N$7:$Q$448,3,0),0)</f>
        <v>48</v>
      </c>
      <c r="H356" s="112">
        <f>IFERROR(VLOOKUP(B356,O.B.JUNE!$N$7:$Q$448,4,0),0)</f>
        <v>0</v>
      </c>
      <c r="I356" s="112">
        <f t="shared" si="48"/>
        <v>65</v>
      </c>
      <c r="J356" s="112">
        <f>IFERROR(VLOOKUP(B356,O.B.JUNE!$AA$7:$AG$448,7,0),0)</f>
        <v>447943</v>
      </c>
      <c r="K356" s="112">
        <f>IFERROR(VLOOKUP(B356,O.B.JUNE!$AI$7:$AO$448,7,0),0)</f>
        <v>805334</v>
      </c>
      <c r="L356" s="112">
        <f t="shared" si="49"/>
        <v>1253277</v>
      </c>
      <c r="M356" s="112">
        <f>ROUND(SUMIF('JUNE (물량흐름)'!$C$13:$C$502,'WIP(재공품)'!B356,'JUNE (물량흐름)'!$H$13:$H$502)+SUMIF('JUNE (물량흐름)'!$C$13:$C$502,'WIP(재공품)'!B356,'JUNE (물량흐름)'!$V$13:$V$502),0)</f>
        <v>0</v>
      </c>
      <c r="N356" s="112">
        <f>SUMIF('Direct labour(직접노무비)'!$C$12:$C$503,'WIP(재공품)'!B356,'Direct labour(직접노무비)'!$O$12:$O$503)</f>
        <v>0</v>
      </c>
      <c r="O356" s="112">
        <f>SUMIF('Overhead exp(제조경비)'!$C$12:$C$503,'WIP(재공품)'!B356,'Overhead exp(제조경비)'!$O$12:$O$503)</f>
        <v>0</v>
      </c>
      <c r="P356" s="112">
        <f t="shared" si="50"/>
        <v>0</v>
      </c>
      <c r="Q356" s="112">
        <v>0</v>
      </c>
      <c r="R356" s="112">
        <v>0</v>
      </c>
      <c r="S356" s="112">
        <f>SUMIF('JUNE (물량흐름)'!$C$13:$C$493,'WIP(재공품)'!B356,'JUNE (물량흐름)'!$T$13:$T$493)+SUMIF('JUNE (물량흐름)'!$C$13:$C$493,'WIP(재공품)'!B356,'JUNE (물량흐름)'!$U$13:$U$493)+SUMIF('JUNE (물량흐름)'!$C$13:$C$493,'WIP(재공품)'!B356,'JUNE (물량흐름)'!$V$13:$V$493)-SUMIF('JUNE (물량흐름)'!$C$13:$C$493,'WIP(재공품)'!B356,'JUNE (물량흐름)'!$Y$13:$Y$493)</f>
        <v>0</v>
      </c>
      <c r="T356" s="112">
        <f>SUMIF('JUNE (물량흐름)'!$C$13:$C$502,'WIP(재공품)'!B356,'JUNE (물량흐름)'!$Y$13:$Y$502)</f>
        <v>0</v>
      </c>
      <c r="U356" s="167">
        <f>SUMIF('Direct labour(직접노무비)'!$C$12:$C$503,'WIP(재공품)'!B356,'Direct labour(직접노무비)'!$U$12:$U$503)+SUMIF('Overhead exp(제조경비)'!$C$12:$C$503,'WIP(재공품)'!B356,'Overhead exp(제조경비)'!$U$12:$U$503)</f>
        <v>0</v>
      </c>
      <c r="V356" s="112">
        <f>SUMIF('Direct labour(직접노무비)'!$C$12:$C$503,'WIP(재공품)'!B356,'Direct labour(직접노무비)'!$Q$12:$Q$503)</f>
        <v>0</v>
      </c>
      <c r="W356" s="112">
        <f>SUMIF('Overhead exp(제조경비)'!$C$12:$C$503,'WIP(재공품)'!B356,'Overhead exp(제조경비)'!$Q$12:$Q$503)</f>
        <v>0</v>
      </c>
      <c r="X356" s="112">
        <f t="shared" si="51"/>
        <v>0</v>
      </c>
      <c r="Y356" s="112">
        <f ca="1">ROUND(SUMIF('JUNE (물량흐름)'!$C$13:$C$502,'WIP(재공품)'!B356,'JUNE (물량흐름)'!$N$13:$N$488),0)</f>
        <v>17</v>
      </c>
      <c r="Z356" s="112">
        <f>ROUND(SUMIF('JUNE (물량흐름)'!$C$13:$C$502,'WIP(재공품)'!B356,'JUNE (물량흐름)'!$O$13:$O$502),0)</f>
        <v>48</v>
      </c>
      <c r="AA356" s="112">
        <f>ROUND(SUMIF('JUNE (물량흐름)'!$C$13:$C$502,'WIP(재공품)'!B356,'JUNE (물량흐름)'!$P$13:$P$502),0)</f>
        <v>0</v>
      </c>
      <c r="AB356" s="112">
        <f t="shared" ca="1" si="52"/>
        <v>65</v>
      </c>
      <c r="AC356" s="112">
        <f t="shared" si="53"/>
        <v>1253277</v>
      </c>
      <c r="AD356" s="381">
        <f t="shared" ca="1" si="54"/>
        <v>0</v>
      </c>
      <c r="AE356" s="381">
        <f t="shared" si="55"/>
        <v>0</v>
      </c>
      <c r="AF356" s="382"/>
      <c r="AG356" s="382">
        <v>2</v>
      </c>
      <c r="AH356" s="383">
        <f t="shared" si="56"/>
        <v>-1.6400000000000001</v>
      </c>
      <c r="AJ356" s="383"/>
      <c r="AL356" s="385"/>
      <c r="AM356" s="381"/>
      <c r="AN356" s="382"/>
      <c r="AO356" s="382"/>
      <c r="AP356" s="383"/>
      <c r="AQ356" s="383"/>
    </row>
    <row r="357" spans="1:43" s="384" customFormat="1" ht="27" customHeight="1">
      <c r="A357" s="167">
        <v>352</v>
      </c>
      <c r="B357" s="240">
        <f>VLOOKUP(A357,'JUNE (물량흐름)'!$A$13:$C$502,3,0)</f>
        <v>100018240</v>
      </c>
      <c r="C357" s="21" t="str">
        <f>VLOOKUP(A357,'JUNE (물량흐름)'!$A$13:$C$502,2,0)</f>
        <v>ALFANI</v>
      </c>
      <c r="D357" s="212">
        <v>4.16</v>
      </c>
      <c r="E357" s="6">
        <f>VLOOKUP(B357,'Sales profit (스타일 별 매출이익)'!$D$9:$P$491,13,0)</f>
        <v>94328</v>
      </c>
      <c r="F357" s="112">
        <f>IFERROR(VLOOKUP(B357,O.B.JUNE!$N$7:$Q$448,2,0),0)</f>
        <v>0</v>
      </c>
      <c r="G357" s="112">
        <f>IFERROR(VLOOKUP(B357,O.B.JUNE!$N$7:$Q$448,3,0),0)</f>
        <v>44</v>
      </c>
      <c r="H357" s="112">
        <f>IFERROR(VLOOKUP(B357,O.B.JUNE!$N$7:$Q$448,4,0),0)</f>
        <v>16</v>
      </c>
      <c r="I357" s="112">
        <f t="shared" si="48"/>
        <v>60</v>
      </c>
      <c r="J357" s="112">
        <f>IFERROR(VLOOKUP(B357,O.B.JUNE!$AA$7:$AG$448,7,0),0)</f>
        <v>591022</v>
      </c>
      <c r="K357" s="112">
        <f>IFERROR(VLOOKUP(B357,O.B.JUNE!$AI$7:$AO$448,7,0),0)</f>
        <v>1062566</v>
      </c>
      <c r="L357" s="112">
        <f t="shared" si="49"/>
        <v>1653588</v>
      </c>
      <c r="M357" s="112">
        <f>ROUND(SUMIF('JUNE (물량흐름)'!$C$13:$C$502,'WIP(재공품)'!B357,'JUNE (물량흐름)'!$H$13:$H$502)+SUMIF('JUNE (물량흐름)'!$C$13:$C$502,'WIP(재공품)'!B357,'JUNE (물량흐름)'!$V$13:$V$502),0)</f>
        <v>0</v>
      </c>
      <c r="N357" s="112">
        <f>SUMIF('Direct labour(직접노무비)'!$C$12:$C$503,'WIP(재공품)'!B357,'Direct labour(직접노무비)'!$O$12:$O$503)</f>
        <v>0</v>
      </c>
      <c r="O357" s="112">
        <f>SUMIF('Overhead exp(제조경비)'!$C$12:$C$503,'WIP(재공품)'!B357,'Overhead exp(제조경비)'!$O$12:$O$503)</f>
        <v>0</v>
      </c>
      <c r="P357" s="112">
        <f t="shared" si="50"/>
        <v>0</v>
      </c>
      <c r="Q357" s="112">
        <v>0</v>
      </c>
      <c r="R357" s="112">
        <v>0</v>
      </c>
      <c r="S357" s="112">
        <f>SUMIF('JUNE (물량흐름)'!$C$13:$C$493,'WIP(재공품)'!B357,'JUNE (물량흐름)'!$T$13:$T$493)+SUMIF('JUNE (물량흐름)'!$C$13:$C$493,'WIP(재공품)'!B357,'JUNE (물량흐름)'!$U$13:$U$493)+SUMIF('JUNE (물량흐름)'!$C$13:$C$493,'WIP(재공품)'!B357,'JUNE (물량흐름)'!$V$13:$V$493)-SUMIF('JUNE (물량흐름)'!$C$13:$C$493,'WIP(재공품)'!B357,'JUNE (물량흐름)'!$Y$13:$Y$493)</f>
        <v>0</v>
      </c>
      <c r="T357" s="112">
        <f>SUMIF('JUNE (물량흐름)'!$C$13:$C$502,'WIP(재공품)'!B357,'JUNE (물량흐름)'!$Y$13:$Y$502)</f>
        <v>0</v>
      </c>
      <c r="U357" s="167">
        <f>SUMIF('Direct labour(직접노무비)'!$C$12:$C$503,'WIP(재공품)'!B357,'Direct labour(직접노무비)'!$U$12:$U$503)+SUMIF('Overhead exp(제조경비)'!$C$12:$C$503,'WIP(재공품)'!B357,'Overhead exp(제조경비)'!$U$12:$U$503)</f>
        <v>0</v>
      </c>
      <c r="V357" s="112">
        <f>SUMIF('Direct labour(직접노무비)'!$C$12:$C$503,'WIP(재공품)'!B357,'Direct labour(직접노무비)'!$Q$12:$Q$503)</f>
        <v>0</v>
      </c>
      <c r="W357" s="112">
        <f>SUMIF('Overhead exp(제조경비)'!$C$12:$C$503,'WIP(재공품)'!B357,'Overhead exp(제조경비)'!$Q$12:$Q$503)</f>
        <v>0</v>
      </c>
      <c r="X357" s="112">
        <f t="shared" si="51"/>
        <v>0</v>
      </c>
      <c r="Y357" s="112">
        <f ca="1">ROUND(SUMIF('JUNE (물량흐름)'!$C$13:$C$502,'WIP(재공품)'!B357,'JUNE (물량흐름)'!$N$13:$N$488),0)</f>
        <v>0</v>
      </c>
      <c r="Z357" s="112">
        <f>ROUND(SUMIF('JUNE (물량흐름)'!$C$13:$C$502,'WIP(재공품)'!B357,'JUNE (물량흐름)'!$O$13:$O$502),0)</f>
        <v>44</v>
      </c>
      <c r="AA357" s="112">
        <f>ROUND(SUMIF('JUNE (물량흐름)'!$C$13:$C$502,'WIP(재공품)'!B357,'JUNE (물량흐름)'!$P$13:$P$502),0)</f>
        <v>16</v>
      </c>
      <c r="AB357" s="112">
        <f t="shared" ca="1" si="52"/>
        <v>60</v>
      </c>
      <c r="AC357" s="112">
        <f t="shared" si="53"/>
        <v>1653588</v>
      </c>
      <c r="AD357" s="381">
        <f t="shared" ca="1" si="54"/>
        <v>0</v>
      </c>
      <c r="AE357" s="381">
        <f t="shared" si="55"/>
        <v>0</v>
      </c>
      <c r="AF357" s="382"/>
      <c r="AG357" s="382">
        <v>3.15</v>
      </c>
      <c r="AH357" s="383">
        <f t="shared" si="56"/>
        <v>1.0100000000000002</v>
      </c>
      <c r="AJ357" s="383"/>
      <c r="AL357" s="385"/>
      <c r="AM357" s="381"/>
      <c r="AN357" s="382"/>
      <c r="AO357" s="382"/>
      <c r="AP357" s="383"/>
      <c r="AQ357" s="383"/>
    </row>
    <row r="358" spans="1:43" s="384" customFormat="1" ht="27" customHeight="1">
      <c r="A358" s="167">
        <v>353</v>
      </c>
      <c r="B358" s="240">
        <f>VLOOKUP(A358,'JUNE (물량흐름)'!$A$13:$C$502,3,0)</f>
        <v>100018242</v>
      </c>
      <c r="C358" s="21" t="str">
        <f>VLOOKUP(A358,'JUNE (물량흐름)'!$A$13:$C$502,2,0)</f>
        <v>ALFANI</v>
      </c>
      <c r="D358" s="212">
        <v>2.67</v>
      </c>
      <c r="E358" s="6">
        <f>VLOOKUP(B358,'Sales profit (스타일 별 매출이익)'!$D$9:$P$491,13,0)</f>
        <v>60542.25</v>
      </c>
      <c r="F358" s="112">
        <f>IFERROR(VLOOKUP(B358,O.B.JUNE!$N$7:$Q$448,2,0),0)</f>
        <v>0</v>
      </c>
      <c r="G358" s="112">
        <f>IFERROR(VLOOKUP(B358,O.B.JUNE!$N$7:$Q$448,3,0),0)</f>
        <v>46</v>
      </c>
      <c r="H358" s="112">
        <f>IFERROR(VLOOKUP(B358,O.B.JUNE!$N$7:$Q$448,4,0),0)</f>
        <v>0</v>
      </c>
      <c r="I358" s="112">
        <f t="shared" si="48"/>
        <v>46</v>
      </c>
      <c r="J358" s="112">
        <f>IFERROR(VLOOKUP(B358,O.B.JUNE!$AA$7:$AG$448,7,0),0)</f>
        <v>331464</v>
      </c>
      <c r="K358" s="112">
        <f>IFERROR(VLOOKUP(B358,O.B.JUNE!$AI$7:$AO$448,7,0),0)</f>
        <v>595921</v>
      </c>
      <c r="L358" s="112">
        <f t="shared" si="49"/>
        <v>927385</v>
      </c>
      <c r="M358" s="112">
        <f>ROUND(SUMIF('JUNE (물량흐름)'!$C$13:$C$502,'WIP(재공품)'!B358,'JUNE (물량흐름)'!$H$13:$H$502)+SUMIF('JUNE (물량흐름)'!$C$13:$C$502,'WIP(재공품)'!B358,'JUNE (물량흐름)'!$V$13:$V$502),0)</f>
        <v>0</v>
      </c>
      <c r="N358" s="112">
        <f>SUMIF('Direct labour(직접노무비)'!$C$12:$C$503,'WIP(재공품)'!B358,'Direct labour(직접노무비)'!$O$12:$O$503)</f>
        <v>0</v>
      </c>
      <c r="O358" s="112">
        <f>SUMIF('Overhead exp(제조경비)'!$C$12:$C$503,'WIP(재공품)'!B358,'Overhead exp(제조경비)'!$O$12:$O$503)</f>
        <v>0</v>
      </c>
      <c r="P358" s="112">
        <f t="shared" si="50"/>
        <v>0</v>
      </c>
      <c r="Q358" s="112">
        <v>0</v>
      </c>
      <c r="R358" s="112">
        <v>0</v>
      </c>
      <c r="S358" s="112">
        <f>SUMIF('JUNE (물량흐름)'!$C$13:$C$493,'WIP(재공품)'!B358,'JUNE (물량흐름)'!$T$13:$T$493)+SUMIF('JUNE (물량흐름)'!$C$13:$C$493,'WIP(재공품)'!B358,'JUNE (물량흐름)'!$U$13:$U$493)+SUMIF('JUNE (물량흐름)'!$C$13:$C$493,'WIP(재공품)'!B358,'JUNE (물량흐름)'!$V$13:$V$493)-SUMIF('JUNE (물량흐름)'!$C$13:$C$493,'WIP(재공품)'!B358,'JUNE (물량흐름)'!$Y$13:$Y$493)</f>
        <v>0</v>
      </c>
      <c r="T358" s="112">
        <f>SUMIF('JUNE (물량흐름)'!$C$13:$C$502,'WIP(재공품)'!B358,'JUNE (물량흐름)'!$Y$13:$Y$502)</f>
        <v>0</v>
      </c>
      <c r="U358" s="167">
        <f>SUMIF('Direct labour(직접노무비)'!$C$12:$C$503,'WIP(재공품)'!B358,'Direct labour(직접노무비)'!$U$12:$U$503)+SUMIF('Overhead exp(제조경비)'!$C$12:$C$503,'WIP(재공품)'!B358,'Overhead exp(제조경비)'!$U$12:$U$503)</f>
        <v>0</v>
      </c>
      <c r="V358" s="112">
        <f>SUMIF('Direct labour(직접노무비)'!$C$12:$C$503,'WIP(재공품)'!B358,'Direct labour(직접노무비)'!$Q$12:$Q$503)</f>
        <v>0</v>
      </c>
      <c r="W358" s="112">
        <f>SUMIF('Overhead exp(제조경비)'!$C$12:$C$503,'WIP(재공품)'!B358,'Overhead exp(제조경비)'!$Q$12:$Q$503)</f>
        <v>0</v>
      </c>
      <c r="X358" s="112">
        <f t="shared" si="51"/>
        <v>0</v>
      </c>
      <c r="Y358" s="112">
        <f ca="1">ROUND(SUMIF('JUNE (물량흐름)'!$C$13:$C$502,'WIP(재공품)'!B358,'JUNE (물량흐름)'!$N$13:$N$488),0)</f>
        <v>0</v>
      </c>
      <c r="Z358" s="112">
        <f>ROUND(SUMIF('JUNE (물량흐름)'!$C$13:$C$502,'WIP(재공품)'!B358,'JUNE (물량흐름)'!$O$13:$O$502),0)</f>
        <v>46</v>
      </c>
      <c r="AA358" s="112">
        <f>ROUND(SUMIF('JUNE (물량흐름)'!$C$13:$C$502,'WIP(재공품)'!B358,'JUNE (물량흐름)'!$P$13:$P$502),0)</f>
        <v>0</v>
      </c>
      <c r="AB358" s="112">
        <f t="shared" ca="1" si="52"/>
        <v>46</v>
      </c>
      <c r="AC358" s="112">
        <f t="shared" si="53"/>
        <v>927385</v>
      </c>
      <c r="AD358" s="381">
        <f t="shared" ca="1" si="54"/>
        <v>0</v>
      </c>
      <c r="AE358" s="381">
        <f t="shared" si="55"/>
        <v>0</v>
      </c>
      <c r="AF358" s="382"/>
      <c r="AG358" s="382"/>
      <c r="AH358" s="383"/>
      <c r="AJ358" s="383"/>
      <c r="AL358" s="385"/>
      <c r="AM358" s="381"/>
      <c r="AN358" s="382"/>
      <c r="AO358" s="382"/>
      <c r="AP358" s="383"/>
      <c r="AQ358" s="383"/>
    </row>
    <row r="359" spans="1:43" s="384" customFormat="1" ht="27" customHeight="1">
      <c r="A359" s="167">
        <v>354</v>
      </c>
      <c r="B359" s="240">
        <f>VLOOKUP(A359,'JUNE (물량흐름)'!$A$13:$C$502,3,0)</f>
        <v>100019044</v>
      </c>
      <c r="C359" s="21" t="str">
        <f>VLOOKUP(A359,'JUNE (물량흐름)'!$A$13:$C$502,2,0)</f>
        <v>ALFANI</v>
      </c>
      <c r="D359" s="212">
        <v>1.65</v>
      </c>
      <c r="E359" s="6">
        <f>VLOOKUP(B359,'Sales profit (스타일 별 매출이익)'!$D$9:$P$491,13,0)</f>
        <v>37413.75</v>
      </c>
      <c r="F359" s="112">
        <f>IFERROR(VLOOKUP(B359,O.B.JUNE!$N$7:$Q$448,2,0),0)</f>
        <v>0</v>
      </c>
      <c r="G359" s="112">
        <f>IFERROR(VLOOKUP(B359,O.B.JUNE!$N$7:$Q$448,3,0),0)</f>
        <v>110</v>
      </c>
      <c r="H359" s="112">
        <f>IFERROR(VLOOKUP(B359,O.B.JUNE!$N$7:$Q$448,4,0),0)</f>
        <v>110</v>
      </c>
      <c r="I359" s="112">
        <f t="shared" si="48"/>
        <v>220</v>
      </c>
      <c r="J359" s="112">
        <f>IFERROR(VLOOKUP(B359,O.B.JUNE!$AA$7:$AG$448,7,0),0)</f>
        <v>2346808</v>
      </c>
      <c r="K359" s="112">
        <f>IFERROR(VLOOKUP(B359,O.B.JUNE!$AI$7:$AO$448,7,0),0)</f>
        <v>4219201</v>
      </c>
      <c r="L359" s="112">
        <f t="shared" si="49"/>
        <v>6566009</v>
      </c>
      <c r="M359" s="112">
        <f>ROUND(SUMIF('JUNE (물량흐름)'!$C$13:$C$502,'WIP(재공품)'!B359,'JUNE (물량흐름)'!$H$13:$H$502)+SUMIF('JUNE (물량흐름)'!$C$13:$C$502,'WIP(재공품)'!B359,'JUNE (물량흐름)'!$V$13:$V$502),0)</f>
        <v>0</v>
      </c>
      <c r="N359" s="112">
        <f>SUMIF('Direct labour(직접노무비)'!$C$12:$C$503,'WIP(재공품)'!B359,'Direct labour(직접노무비)'!$O$12:$O$503)</f>
        <v>0</v>
      </c>
      <c r="O359" s="112">
        <f>SUMIF('Overhead exp(제조경비)'!$C$12:$C$503,'WIP(재공품)'!B359,'Overhead exp(제조경비)'!$O$12:$O$503)</f>
        <v>0</v>
      </c>
      <c r="P359" s="112">
        <f t="shared" si="50"/>
        <v>0</v>
      </c>
      <c r="Q359" s="112">
        <v>0</v>
      </c>
      <c r="R359" s="112">
        <v>0</v>
      </c>
      <c r="S359" s="112">
        <f>SUMIF('JUNE (물량흐름)'!$C$13:$C$493,'WIP(재공품)'!B359,'JUNE (물량흐름)'!$T$13:$T$493)+SUMIF('JUNE (물량흐름)'!$C$13:$C$493,'WIP(재공품)'!B359,'JUNE (물량흐름)'!$U$13:$U$493)+SUMIF('JUNE (물량흐름)'!$C$13:$C$493,'WIP(재공품)'!B359,'JUNE (물량흐름)'!$V$13:$V$493)-SUMIF('JUNE (물량흐름)'!$C$13:$C$493,'WIP(재공품)'!B359,'JUNE (물량흐름)'!$Y$13:$Y$493)</f>
        <v>0</v>
      </c>
      <c r="T359" s="112">
        <f>SUMIF('JUNE (물량흐름)'!$C$13:$C$502,'WIP(재공품)'!B359,'JUNE (물량흐름)'!$Y$13:$Y$502)</f>
        <v>0</v>
      </c>
      <c r="U359" s="167">
        <f>SUMIF('Direct labour(직접노무비)'!$C$12:$C$503,'WIP(재공품)'!B359,'Direct labour(직접노무비)'!$U$12:$U$503)+SUMIF('Overhead exp(제조경비)'!$C$12:$C$503,'WIP(재공품)'!B359,'Overhead exp(제조경비)'!$U$12:$U$503)</f>
        <v>0</v>
      </c>
      <c r="V359" s="112">
        <f>SUMIF('Direct labour(직접노무비)'!$C$12:$C$503,'WIP(재공품)'!B359,'Direct labour(직접노무비)'!$Q$12:$Q$503)</f>
        <v>0</v>
      </c>
      <c r="W359" s="112">
        <f>SUMIF('Overhead exp(제조경비)'!$C$12:$C$503,'WIP(재공품)'!B359,'Overhead exp(제조경비)'!$Q$12:$Q$503)</f>
        <v>0</v>
      </c>
      <c r="X359" s="112">
        <f t="shared" si="51"/>
        <v>0</v>
      </c>
      <c r="Y359" s="112">
        <f ca="1">ROUND(SUMIF('JUNE (물량흐름)'!$C$13:$C$502,'WIP(재공품)'!B359,'JUNE (물량흐름)'!$N$13:$N$488),0)</f>
        <v>0</v>
      </c>
      <c r="Z359" s="112">
        <f>ROUND(SUMIF('JUNE (물량흐름)'!$C$13:$C$502,'WIP(재공품)'!B359,'JUNE (물량흐름)'!$O$13:$O$502),0)</f>
        <v>110</v>
      </c>
      <c r="AA359" s="112">
        <f>ROUND(SUMIF('JUNE (물량흐름)'!$C$13:$C$502,'WIP(재공품)'!B359,'JUNE (물량흐름)'!$P$13:$P$502),0)</f>
        <v>110</v>
      </c>
      <c r="AB359" s="112">
        <f t="shared" ca="1" si="52"/>
        <v>220</v>
      </c>
      <c r="AC359" s="112">
        <f t="shared" si="53"/>
        <v>6566009</v>
      </c>
      <c r="AD359" s="381">
        <f t="shared" ca="1" si="54"/>
        <v>0</v>
      </c>
      <c r="AE359" s="381">
        <f t="shared" si="55"/>
        <v>0</v>
      </c>
      <c r="AF359" s="382"/>
      <c r="AG359" s="382"/>
      <c r="AH359" s="383"/>
      <c r="AI359" s="383"/>
      <c r="AJ359" s="383"/>
      <c r="AL359" s="385"/>
      <c r="AM359" s="381"/>
      <c r="AN359" s="382"/>
      <c r="AO359" s="382"/>
      <c r="AP359" s="383"/>
      <c r="AQ359" s="383"/>
    </row>
    <row r="360" spans="1:43" s="384" customFormat="1" ht="27" customHeight="1">
      <c r="A360" s="167">
        <v>355</v>
      </c>
      <c r="B360" s="240">
        <f>VLOOKUP(A360,'JUNE (물량흐름)'!$A$13:$C$502,3,0)</f>
        <v>100023527</v>
      </c>
      <c r="C360" s="21" t="str">
        <f>VLOOKUP(A360,'JUNE (물량흐름)'!$A$13:$C$502,2,0)</f>
        <v>ALFANI</v>
      </c>
      <c r="D360" s="212">
        <v>1.53</v>
      </c>
      <c r="E360" s="6">
        <f>VLOOKUP(B360,'Sales profit (스타일 별 매출이익)'!$D$9:$P$491,13,0)</f>
        <v>34692.75</v>
      </c>
      <c r="F360" s="112">
        <f>IFERROR(VLOOKUP(B360,O.B.JUNE!$N$7:$Q$448,2,0),0)</f>
        <v>11</v>
      </c>
      <c r="G360" s="112">
        <f>IFERROR(VLOOKUP(B360,O.B.JUNE!$N$7:$Q$448,3,0),0)</f>
        <v>185</v>
      </c>
      <c r="H360" s="112">
        <f>IFERROR(VLOOKUP(B360,O.B.JUNE!$N$7:$Q$448,4,0),0)</f>
        <v>438</v>
      </c>
      <c r="I360" s="112">
        <f t="shared" si="48"/>
        <v>634</v>
      </c>
      <c r="J360" s="112">
        <f>IFERROR(VLOOKUP(B360,O.B.JUNE!$AA$7:$AG$448,7,0),0)</f>
        <v>4166726</v>
      </c>
      <c r="K360" s="112">
        <f>IFERROR(VLOOKUP(B360,O.B.JUNE!$AI$7:$AO$448,7,0),0)</f>
        <v>7491136</v>
      </c>
      <c r="L360" s="112">
        <f t="shared" si="49"/>
        <v>11657862</v>
      </c>
      <c r="M360" s="112">
        <f>ROUND(SUMIF('JUNE (물량흐름)'!$C$13:$C$502,'WIP(재공품)'!B360,'JUNE (물량흐름)'!$H$13:$H$502)+SUMIF('JUNE (물량흐름)'!$C$13:$C$502,'WIP(재공품)'!B360,'JUNE (물량흐름)'!$V$13:$V$502),0)</f>
        <v>0</v>
      </c>
      <c r="N360" s="112">
        <f>SUMIF('Direct labour(직접노무비)'!$C$12:$C$503,'WIP(재공품)'!B360,'Direct labour(직접노무비)'!$O$12:$O$503)</f>
        <v>0</v>
      </c>
      <c r="O360" s="112">
        <f>SUMIF('Overhead exp(제조경비)'!$C$12:$C$503,'WIP(재공품)'!B360,'Overhead exp(제조경비)'!$O$12:$O$503)</f>
        <v>0</v>
      </c>
      <c r="P360" s="112">
        <f t="shared" si="50"/>
        <v>0</v>
      </c>
      <c r="Q360" s="112">
        <v>0</v>
      </c>
      <c r="R360" s="112">
        <v>0</v>
      </c>
      <c r="S360" s="112">
        <f>SUMIF('JUNE (물량흐름)'!$C$13:$C$493,'WIP(재공품)'!B360,'JUNE (물량흐름)'!$T$13:$T$493)+SUMIF('JUNE (물량흐름)'!$C$13:$C$493,'WIP(재공품)'!B360,'JUNE (물량흐름)'!$U$13:$U$493)+SUMIF('JUNE (물량흐름)'!$C$13:$C$493,'WIP(재공품)'!B360,'JUNE (물량흐름)'!$V$13:$V$493)-SUMIF('JUNE (물량흐름)'!$C$13:$C$493,'WIP(재공품)'!B360,'JUNE (물량흐름)'!$Y$13:$Y$493)</f>
        <v>0</v>
      </c>
      <c r="T360" s="112">
        <f>SUMIF('JUNE (물량흐름)'!$C$13:$C$502,'WIP(재공품)'!B360,'JUNE (물량흐름)'!$Y$13:$Y$502)</f>
        <v>0</v>
      </c>
      <c r="U360" s="167">
        <f>SUMIF('Direct labour(직접노무비)'!$C$12:$C$503,'WIP(재공품)'!B360,'Direct labour(직접노무비)'!$U$12:$U$503)+SUMIF('Overhead exp(제조경비)'!$C$12:$C$503,'WIP(재공품)'!B360,'Overhead exp(제조경비)'!$U$12:$U$503)</f>
        <v>0</v>
      </c>
      <c r="V360" s="112">
        <f>SUMIF('Direct labour(직접노무비)'!$C$12:$C$503,'WIP(재공품)'!B360,'Direct labour(직접노무비)'!$Q$12:$Q$503)</f>
        <v>0</v>
      </c>
      <c r="W360" s="112">
        <f>SUMIF('Overhead exp(제조경비)'!$C$12:$C$503,'WIP(재공품)'!B360,'Overhead exp(제조경비)'!$Q$12:$Q$503)</f>
        <v>0</v>
      </c>
      <c r="X360" s="112">
        <f t="shared" si="51"/>
        <v>0</v>
      </c>
      <c r="Y360" s="112">
        <f ca="1">ROUND(SUMIF('JUNE (물량흐름)'!$C$13:$C$502,'WIP(재공품)'!B360,'JUNE (물량흐름)'!$N$13:$N$488),0)</f>
        <v>11</v>
      </c>
      <c r="Z360" s="112">
        <f>ROUND(SUMIF('JUNE (물량흐름)'!$C$13:$C$502,'WIP(재공품)'!B360,'JUNE (물량흐름)'!$O$13:$O$502),0)</f>
        <v>185</v>
      </c>
      <c r="AA360" s="112">
        <f>ROUND(SUMIF('JUNE (물량흐름)'!$C$13:$C$502,'WIP(재공품)'!B360,'JUNE (물량흐름)'!$P$13:$P$502),0)</f>
        <v>438</v>
      </c>
      <c r="AB360" s="112">
        <f t="shared" ca="1" si="52"/>
        <v>634</v>
      </c>
      <c r="AC360" s="112">
        <f t="shared" si="53"/>
        <v>11657862</v>
      </c>
      <c r="AD360" s="381">
        <f t="shared" ca="1" si="54"/>
        <v>0</v>
      </c>
      <c r="AE360" s="381">
        <f t="shared" si="55"/>
        <v>0</v>
      </c>
      <c r="AF360" s="382"/>
      <c r="AG360" s="382"/>
      <c r="AH360" s="383"/>
      <c r="AJ360" s="383"/>
      <c r="AL360" s="385"/>
      <c r="AM360" s="381"/>
      <c r="AN360" s="382"/>
      <c r="AO360" s="382"/>
      <c r="AP360" s="383"/>
      <c r="AQ360" s="383"/>
    </row>
    <row r="361" spans="1:43" s="384" customFormat="1" ht="27" customHeight="1">
      <c r="A361" s="167">
        <v>356</v>
      </c>
      <c r="B361" s="240">
        <f>VLOOKUP(A361,'JUNE (물량흐름)'!$A$13:$C$502,3,0)</f>
        <v>100024705</v>
      </c>
      <c r="C361" s="21" t="str">
        <f>VLOOKUP(A361,'JUNE (물량흐름)'!$A$13:$C$502,2,0)</f>
        <v>ALFANI</v>
      </c>
      <c r="D361" s="212">
        <v>3.24</v>
      </c>
      <c r="E361" s="6">
        <f>VLOOKUP(B361,'Sales profit (스타일 별 매출이익)'!$D$9:$P$491,13,0)</f>
        <v>73467</v>
      </c>
      <c r="F361" s="112">
        <f>IFERROR(VLOOKUP(B361,O.B.JUNE!$N$7:$Q$448,2,0),0)</f>
        <v>0</v>
      </c>
      <c r="G361" s="112">
        <f>IFERROR(VLOOKUP(B361,O.B.JUNE!$N$7:$Q$448,3,0),0)</f>
        <v>23</v>
      </c>
      <c r="H361" s="112">
        <f>IFERROR(VLOOKUP(B361,O.B.JUNE!$N$7:$Q$448,4,0),0)</f>
        <v>46</v>
      </c>
      <c r="I361" s="112">
        <f t="shared" si="48"/>
        <v>69</v>
      </c>
      <c r="J361" s="112">
        <f>IFERROR(VLOOKUP(B361,O.B.JUNE!$AA$7:$AG$448,7,0),0)</f>
        <v>454275</v>
      </c>
      <c r="K361" s="112">
        <f>IFERROR(VLOOKUP(B361,O.B.JUNE!$AI$7:$AO$448,7,0),0)</f>
        <v>816717</v>
      </c>
      <c r="L361" s="112">
        <f t="shared" si="49"/>
        <v>1270992</v>
      </c>
      <c r="M361" s="112">
        <f>ROUND(SUMIF('JUNE (물량흐름)'!$C$13:$C$502,'WIP(재공품)'!B361,'JUNE (물량흐름)'!$H$13:$H$502)+SUMIF('JUNE (물량흐름)'!$C$13:$C$502,'WIP(재공품)'!B361,'JUNE (물량흐름)'!$V$13:$V$502),0)</f>
        <v>0</v>
      </c>
      <c r="N361" s="112">
        <f>SUMIF('Direct labour(직접노무비)'!$C$12:$C$503,'WIP(재공품)'!B361,'Direct labour(직접노무비)'!$O$12:$O$503)</f>
        <v>0</v>
      </c>
      <c r="O361" s="112">
        <f>SUMIF('Overhead exp(제조경비)'!$C$12:$C$503,'WIP(재공품)'!B361,'Overhead exp(제조경비)'!$O$12:$O$503)</f>
        <v>0</v>
      </c>
      <c r="P361" s="112">
        <f t="shared" si="50"/>
        <v>0</v>
      </c>
      <c r="Q361" s="112">
        <v>0</v>
      </c>
      <c r="R361" s="112">
        <v>0</v>
      </c>
      <c r="S361" s="112">
        <f>SUMIF('JUNE (물량흐름)'!$C$13:$C$493,'WIP(재공품)'!B361,'JUNE (물량흐름)'!$T$13:$T$493)+SUMIF('JUNE (물량흐름)'!$C$13:$C$493,'WIP(재공품)'!B361,'JUNE (물량흐름)'!$U$13:$U$493)+SUMIF('JUNE (물량흐름)'!$C$13:$C$493,'WIP(재공품)'!B361,'JUNE (물량흐름)'!$V$13:$V$493)-SUMIF('JUNE (물량흐름)'!$C$13:$C$493,'WIP(재공품)'!B361,'JUNE (물량흐름)'!$Y$13:$Y$493)</f>
        <v>0</v>
      </c>
      <c r="T361" s="112">
        <f>SUMIF('JUNE (물량흐름)'!$C$13:$C$502,'WIP(재공품)'!B361,'JUNE (물량흐름)'!$Y$13:$Y$502)</f>
        <v>0</v>
      </c>
      <c r="U361" s="167">
        <f>SUMIF('Direct labour(직접노무비)'!$C$12:$C$503,'WIP(재공품)'!B361,'Direct labour(직접노무비)'!$U$12:$U$503)+SUMIF('Overhead exp(제조경비)'!$C$12:$C$503,'WIP(재공품)'!B361,'Overhead exp(제조경비)'!$U$12:$U$503)</f>
        <v>0</v>
      </c>
      <c r="V361" s="112">
        <f>SUMIF('Direct labour(직접노무비)'!$C$12:$C$503,'WIP(재공품)'!B361,'Direct labour(직접노무비)'!$Q$12:$Q$503)</f>
        <v>0</v>
      </c>
      <c r="W361" s="112">
        <f>SUMIF('Overhead exp(제조경비)'!$C$12:$C$503,'WIP(재공품)'!B361,'Overhead exp(제조경비)'!$Q$12:$Q$503)</f>
        <v>0</v>
      </c>
      <c r="X361" s="112">
        <f t="shared" si="51"/>
        <v>0</v>
      </c>
      <c r="Y361" s="112">
        <f ca="1">ROUND(SUMIF('JUNE (물량흐름)'!$C$13:$C$502,'WIP(재공품)'!B361,'JUNE (물량흐름)'!$N$13:$N$488),0)</f>
        <v>0</v>
      </c>
      <c r="Z361" s="112">
        <f>ROUND(SUMIF('JUNE (물량흐름)'!$C$13:$C$502,'WIP(재공품)'!B361,'JUNE (물량흐름)'!$O$13:$O$502),0)</f>
        <v>23</v>
      </c>
      <c r="AA361" s="112">
        <f>ROUND(SUMIF('JUNE (물량흐름)'!$C$13:$C$502,'WIP(재공품)'!B361,'JUNE (물량흐름)'!$P$13:$P$502),0)</f>
        <v>46</v>
      </c>
      <c r="AB361" s="112">
        <f t="shared" ca="1" si="52"/>
        <v>69</v>
      </c>
      <c r="AC361" s="112">
        <f t="shared" si="53"/>
        <v>1270992</v>
      </c>
      <c r="AD361" s="381">
        <f t="shared" ca="1" si="54"/>
        <v>0</v>
      </c>
      <c r="AE361" s="381">
        <f t="shared" si="55"/>
        <v>0</v>
      </c>
      <c r="AF361" s="382"/>
      <c r="AG361" s="382"/>
      <c r="AH361" s="383"/>
      <c r="AJ361" s="383"/>
      <c r="AL361" s="385"/>
      <c r="AM361" s="381"/>
      <c r="AN361" s="382"/>
      <c r="AO361" s="382"/>
      <c r="AP361" s="383"/>
      <c r="AQ361" s="383"/>
    </row>
    <row r="362" spans="1:43" s="384" customFormat="1" ht="27" customHeight="1">
      <c r="A362" s="167">
        <v>357</v>
      </c>
      <c r="B362" s="240">
        <f>VLOOKUP(A362,'JUNE (물량흐름)'!$A$13:$C$502,3,0)</f>
        <v>100027400</v>
      </c>
      <c r="C362" s="21" t="str">
        <f>VLOOKUP(A362,'JUNE (물량흐름)'!$A$13:$C$502,2,0)</f>
        <v>ALFANI</v>
      </c>
      <c r="D362" s="212">
        <v>4.1500000000000004</v>
      </c>
      <c r="E362" s="6">
        <f>VLOOKUP(B362,'Sales profit (스타일 별 매출이익)'!$D$9:$P$491,13,0)</f>
        <v>94101.250000000015</v>
      </c>
      <c r="F362" s="112">
        <f>IFERROR(VLOOKUP(B362,O.B.JUNE!$N$7:$Q$448,2,0),0)</f>
        <v>1</v>
      </c>
      <c r="G362" s="112">
        <f>IFERROR(VLOOKUP(B362,O.B.JUNE!$N$7:$Q$448,3,0),0)</f>
        <v>12</v>
      </c>
      <c r="H362" s="112">
        <f>IFERROR(VLOOKUP(B362,O.B.JUNE!$N$7:$Q$448,4,0),0)</f>
        <v>14</v>
      </c>
      <c r="I362" s="112">
        <f t="shared" si="48"/>
        <v>27</v>
      </c>
      <c r="J362" s="112">
        <f>IFERROR(VLOOKUP(B362,O.B.JUNE!$AA$7:$AG$448,7,0),0)</f>
        <v>238549</v>
      </c>
      <c r="K362" s="112">
        <f>IFERROR(VLOOKUP(B362,O.B.JUNE!$AI$7:$AO$448,7,0),0)</f>
        <v>428874</v>
      </c>
      <c r="L362" s="112">
        <f t="shared" si="49"/>
        <v>667423</v>
      </c>
      <c r="M362" s="112">
        <f>ROUND(SUMIF('JUNE (물량흐름)'!$C$13:$C$502,'WIP(재공품)'!B362,'JUNE (물량흐름)'!$H$13:$H$502)+SUMIF('JUNE (물량흐름)'!$C$13:$C$502,'WIP(재공품)'!B362,'JUNE (물량흐름)'!$V$13:$V$502),0)</f>
        <v>0</v>
      </c>
      <c r="N362" s="112">
        <f>SUMIF('Direct labour(직접노무비)'!$C$12:$C$503,'WIP(재공품)'!B362,'Direct labour(직접노무비)'!$O$12:$O$503)</f>
        <v>0</v>
      </c>
      <c r="O362" s="112">
        <f>SUMIF('Overhead exp(제조경비)'!$C$12:$C$503,'WIP(재공품)'!B362,'Overhead exp(제조경비)'!$O$12:$O$503)</f>
        <v>0</v>
      </c>
      <c r="P362" s="112">
        <f t="shared" si="50"/>
        <v>0</v>
      </c>
      <c r="Q362" s="112">
        <v>0</v>
      </c>
      <c r="R362" s="112">
        <v>0</v>
      </c>
      <c r="S362" s="112">
        <f>SUMIF('JUNE (물량흐름)'!$C$13:$C$493,'WIP(재공품)'!B362,'JUNE (물량흐름)'!$T$13:$T$493)+SUMIF('JUNE (물량흐름)'!$C$13:$C$493,'WIP(재공품)'!B362,'JUNE (물량흐름)'!$U$13:$U$493)+SUMIF('JUNE (물량흐름)'!$C$13:$C$493,'WIP(재공품)'!B362,'JUNE (물량흐름)'!$V$13:$V$493)-SUMIF('JUNE (물량흐름)'!$C$13:$C$493,'WIP(재공품)'!B362,'JUNE (물량흐름)'!$Y$13:$Y$493)</f>
        <v>0</v>
      </c>
      <c r="T362" s="112">
        <f>SUMIF('JUNE (물량흐름)'!$C$13:$C$502,'WIP(재공품)'!B362,'JUNE (물량흐름)'!$Y$13:$Y$502)</f>
        <v>0</v>
      </c>
      <c r="U362" s="167">
        <f>SUMIF('Direct labour(직접노무비)'!$C$12:$C$503,'WIP(재공품)'!B362,'Direct labour(직접노무비)'!$U$12:$U$503)+SUMIF('Overhead exp(제조경비)'!$C$12:$C$503,'WIP(재공품)'!B362,'Overhead exp(제조경비)'!$U$12:$U$503)</f>
        <v>0</v>
      </c>
      <c r="V362" s="112">
        <f>SUMIF('Direct labour(직접노무비)'!$C$12:$C$503,'WIP(재공품)'!B362,'Direct labour(직접노무비)'!$Q$12:$Q$503)</f>
        <v>0</v>
      </c>
      <c r="W362" s="112">
        <f>SUMIF('Overhead exp(제조경비)'!$C$12:$C$503,'WIP(재공품)'!B362,'Overhead exp(제조경비)'!$Q$12:$Q$503)</f>
        <v>0</v>
      </c>
      <c r="X362" s="112">
        <f t="shared" si="51"/>
        <v>0</v>
      </c>
      <c r="Y362" s="112">
        <f ca="1">ROUND(SUMIF('JUNE (물량흐름)'!$C$13:$C$502,'WIP(재공품)'!B362,'JUNE (물량흐름)'!$N$13:$N$488),0)</f>
        <v>1</v>
      </c>
      <c r="Z362" s="112">
        <f>ROUND(SUMIF('JUNE (물량흐름)'!$C$13:$C$502,'WIP(재공품)'!B362,'JUNE (물량흐름)'!$O$13:$O$502),0)</f>
        <v>12</v>
      </c>
      <c r="AA362" s="112">
        <f>ROUND(SUMIF('JUNE (물량흐름)'!$C$13:$C$502,'WIP(재공품)'!B362,'JUNE (물량흐름)'!$P$13:$P$502),0)</f>
        <v>14</v>
      </c>
      <c r="AB362" s="112">
        <f t="shared" ca="1" si="52"/>
        <v>27</v>
      </c>
      <c r="AC362" s="112">
        <f t="shared" si="53"/>
        <v>667423</v>
      </c>
      <c r="AD362" s="381">
        <f t="shared" ca="1" si="54"/>
        <v>0</v>
      </c>
      <c r="AE362" s="381">
        <f t="shared" si="55"/>
        <v>0</v>
      </c>
      <c r="AF362" s="382"/>
      <c r="AG362" s="382"/>
      <c r="AH362" s="383"/>
      <c r="AJ362" s="383"/>
      <c r="AL362" s="385"/>
      <c r="AM362" s="381"/>
      <c r="AN362" s="382"/>
      <c r="AO362" s="382"/>
      <c r="AP362" s="383"/>
      <c r="AQ362" s="383"/>
    </row>
    <row r="363" spans="1:43" s="384" customFormat="1" ht="27" customHeight="1">
      <c r="A363" s="167">
        <v>358</v>
      </c>
      <c r="B363" s="240">
        <f>VLOOKUP(A363,'JUNE (물량흐름)'!$A$13:$C$502,3,0)</f>
        <v>100027987</v>
      </c>
      <c r="C363" s="21" t="str">
        <f>VLOOKUP(A363,'JUNE (물량흐름)'!$A$13:$C$502,2,0)</f>
        <v>ALFANI</v>
      </c>
      <c r="D363" s="212">
        <v>0.35</v>
      </c>
      <c r="E363" s="6">
        <f>VLOOKUP(B363,'Sales profit (스타일 별 매출이익)'!$D$9:$P$491,13,0)</f>
        <v>7936.2499999999991</v>
      </c>
      <c r="F363" s="112">
        <f>IFERROR(VLOOKUP(B363,O.B.JUNE!$N$7:$Q$448,2,0),0)</f>
        <v>0</v>
      </c>
      <c r="G363" s="112">
        <f>IFERROR(VLOOKUP(B363,O.B.JUNE!$N$7:$Q$448,3,0),0)</f>
        <v>38</v>
      </c>
      <c r="H363" s="112">
        <f>IFERROR(VLOOKUP(B363,O.B.JUNE!$N$7:$Q$448,4,0),0)</f>
        <v>222</v>
      </c>
      <c r="I363" s="112">
        <f t="shared" si="48"/>
        <v>260</v>
      </c>
      <c r="J363" s="112">
        <f>IFERROR(VLOOKUP(B363,O.B.JUNE!$AA$7:$AG$448,7,0),0)</f>
        <v>2554940</v>
      </c>
      <c r="K363" s="112">
        <f>IFERROR(VLOOKUP(B363,O.B.JUNE!$AI$7:$AO$448,7,0),0)</f>
        <v>4593390</v>
      </c>
      <c r="L363" s="112">
        <f t="shared" si="49"/>
        <v>7148330</v>
      </c>
      <c r="M363" s="112">
        <f>ROUND(SUMIF('JUNE (물량흐름)'!$C$13:$C$502,'WIP(재공품)'!B363,'JUNE (물량흐름)'!$H$13:$H$502)+SUMIF('JUNE (물량흐름)'!$C$13:$C$502,'WIP(재공품)'!B363,'JUNE (물량흐름)'!$V$13:$V$502),0)</f>
        <v>0</v>
      </c>
      <c r="N363" s="112">
        <f>SUMIF('Direct labour(직접노무비)'!$C$12:$C$503,'WIP(재공품)'!B363,'Direct labour(직접노무비)'!$O$12:$O$503)</f>
        <v>0</v>
      </c>
      <c r="O363" s="112">
        <f>SUMIF('Overhead exp(제조경비)'!$C$12:$C$503,'WIP(재공품)'!B363,'Overhead exp(제조경비)'!$O$12:$O$503)</f>
        <v>0</v>
      </c>
      <c r="P363" s="112">
        <f t="shared" si="50"/>
        <v>0</v>
      </c>
      <c r="Q363" s="112">
        <v>0</v>
      </c>
      <c r="R363" s="112">
        <v>0</v>
      </c>
      <c r="S363" s="112">
        <f>SUMIF('JUNE (물량흐름)'!$C$13:$C$493,'WIP(재공품)'!B363,'JUNE (물량흐름)'!$T$13:$T$493)+SUMIF('JUNE (물량흐름)'!$C$13:$C$493,'WIP(재공품)'!B363,'JUNE (물량흐름)'!$U$13:$U$493)+SUMIF('JUNE (물량흐름)'!$C$13:$C$493,'WIP(재공품)'!B363,'JUNE (물량흐름)'!$V$13:$V$493)-SUMIF('JUNE (물량흐름)'!$C$13:$C$493,'WIP(재공품)'!B363,'JUNE (물량흐름)'!$Y$13:$Y$493)</f>
        <v>0</v>
      </c>
      <c r="T363" s="112">
        <f>SUMIF('JUNE (물량흐름)'!$C$13:$C$502,'WIP(재공품)'!B363,'JUNE (물량흐름)'!$Y$13:$Y$502)</f>
        <v>0</v>
      </c>
      <c r="U363" s="167">
        <f>SUMIF('Direct labour(직접노무비)'!$C$12:$C$503,'WIP(재공품)'!B363,'Direct labour(직접노무비)'!$U$12:$U$503)+SUMIF('Overhead exp(제조경비)'!$C$12:$C$503,'WIP(재공품)'!B363,'Overhead exp(제조경비)'!$U$12:$U$503)</f>
        <v>0</v>
      </c>
      <c r="V363" s="112">
        <f>SUMIF('Direct labour(직접노무비)'!$C$12:$C$503,'WIP(재공품)'!B363,'Direct labour(직접노무비)'!$Q$12:$Q$503)</f>
        <v>0</v>
      </c>
      <c r="W363" s="112">
        <f>SUMIF('Overhead exp(제조경비)'!$C$12:$C$503,'WIP(재공품)'!B363,'Overhead exp(제조경비)'!$Q$12:$Q$503)</f>
        <v>0</v>
      </c>
      <c r="X363" s="112">
        <f t="shared" si="51"/>
        <v>0</v>
      </c>
      <c r="Y363" s="112">
        <f ca="1">ROUND(SUMIF('JUNE (물량흐름)'!$C$13:$C$502,'WIP(재공품)'!B363,'JUNE (물량흐름)'!$N$13:$N$488),0)</f>
        <v>0</v>
      </c>
      <c r="Z363" s="112">
        <f>ROUND(SUMIF('JUNE (물량흐름)'!$C$13:$C$502,'WIP(재공품)'!B363,'JUNE (물량흐름)'!$O$13:$O$502),0)</f>
        <v>38</v>
      </c>
      <c r="AA363" s="112">
        <f>ROUND(SUMIF('JUNE (물량흐름)'!$C$13:$C$502,'WIP(재공품)'!B363,'JUNE (물량흐름)'!$P$13:$P$502),0)</f>
        <v>222</v>
      </c>
      <c r="AB363" s="112">
        <f t="shared" ca="1" si="52"/>
        <v>260</v>
      </c>
      <c r="AC363" s="112">
        <f t="shared" si="53"/>
        <v>7148330</v>
      </c>
      <c r="AD363" s="381">
        <f t="shared" ca="1" si="54"/>
        <v>0</v>
      </c>
      <c r="AE363" s="381">
        <f t="shared" si="55"/>
        <v>0</v>
      </c>
      <c r="AF363" s="382"/>
      <c r="AG363" s="382"/>
      <c r="AH363" s="383"/>
      <c r="AJ363" s="383"/>
      <c r="AL363" s="385"/>
      <c r="AM363" s="381"/>
      <c r="AN363" s="382"/>
      <c r="AO363" s="382"/>
      <c r="AP363" s="383"/>
      <c r="AQ363" s="383"/>
    </row>
    <row r="364" spans="1:43" s="384" customFormat="1" ht="27" customHeight="1">
      <c r="A364" s="167">
        <v>359</v>
      </c>
      <c r="B364" s="240">
        <f>VLOOKUP(A364,'JUNE (물량흐름)'!$A$13:$C$502,3,0)</f>
        <v>100028764</v>
      </c>
      <c r="C364" s="21" t="str">
        <f>VLOOKUP(A364,'JUNE (물량흐름)'!$A$13:$C$502,2,0)</f>
        <v>ALFANI</v>
      </c>
      <c r="D364" s="212">
        <v>2.06</v>
      </c>
      <c r="E364" s="6">
        <f>VLOOKUP(B364,'Sales profit (스타일 별 매출이익)'!$D$9:$P$491,13,0)</f>
        <v>46710.5</v>
      </c>
      <c r="F364" s="112">
        <f>IFERROR(VLOOKUP(B364,O.B.JUNE!$N$7:$Q$448,2,0),0)</f>
        <v>0</v>
      </c>
      <c r="G364" s="112">
        <f>IFERROR(VLOOKUP(B364,O.B.JUNE!$N$7:$Q$448,3,0),0)</f>
        <v>105</v>
      </c>
      <c r="H364" s="112">
        <f>IFERROR(VLOOKUP(B364,O.B.JUNE!$N$7:$Q$448,4,0),0)</f>
        <v>255</v>
      </c>
      <c r="I364" s="112">
        <f t="shared" si="48"/>
        <v>360</v>
      </c>
      <c r="J364" s="112">
        <f>IFERROR(VLOOKUP(B364,O.B.JUNE!$AA$7:$AG$448,7,0),0)</f>
        <v>4959449</v>
      </c>
      <c r="K364" s="112">
        <f>IFERROR(VLOOKUP(B364,O.B.JUNE!$AI$7:$AO$448,7,0),0)</f>
        <v>9441271</v>
      </c>
      <c r="L364" s="112">
        <f t="shared" si="49"/>
        <v>14400720</v>
      </c>
      <c r="M364" s="112">
        <f>ROUND(SUMIF('JUNE (물량흐름)'!$C$13:$C$502,'WIP(재공품)'!B364,'JUNE (물량흐름)'!$H$13:$H$502)+SUMIF('JUNE (물량흐름)'!$C$13:$C$502,'WIP(재공품)'!B364,'JUNE (물량흐름)'!$V$13:$V$502),0)</f>
        <v>281</v>
      </c>
      <c r="N364" s="112">
        <f>SUMIF('Direct labour(직접노무비)'!$C$12:$C$503,'WIP(재공품)'!B364,'Direct labour(직접노무비)'!$O$12:$O$503)</f>
        <v>3987187</v>
      </c>
      <c r="O364" s="112">
        <f>SUMIF('Overhead exp(제조경비)'!$C$12:$C$503,'WIP(재공품)'!B364,'Overhead exp(제조경비)'!$O$12:$O$503)</f>
        <v>7789920</v>
      </c>
      <c r="P364" s="112">
        <f t="shared" si="50"/>
        <v>11777107</v>
      </c>
      <c r="Q364" s="112">
        <v>0</v>
      </c>
      <c r="R364" s="112">
        <v>0</v>
      </c>
      <c r="S364" s="112">
        <f>SUMIF('JUNE (물량흐름)'!$C$13:$C$493,'WIP(재공품)'!B364,'JUNE (물량흐름)'!$T$13:$T$493)+SUMIF('JUNE (물량흐름)'!$C$13:$C$493,'WIP(재공품)'!B364,'JUNE (물량흐름)'!$U$13:$U$493)+SUMIF('JUNE (물량흐름)'!$C$13:$C$493,'WIP(재공품)'!B364,'JUNE (물량흐름)'!$V$13:$V$493)-SUMIF('JUNE (물량흐름)'!$C$13:$C$493,'WIP(재공품)'!B364,'JUNE (물량흐름)'!$Y$13:$Y$493)</f>
        <v>361</v>
      </c>
      <c r="T364" s="112">
        <f>SUMIF('JUNE (물량흐름)'!$C$13:$C$502,'WIP(재공품)'!B364,'JUNE (물량흐름)'!$Y$13:$Y$502)</f>
        <v>0</v>
      </c>
      <c r="U364" s="167">
        <f>SUMIF('Direct labour(직접노무비)'!$C$12:$C$503,'WIP(재공품)'!B364,'Direct labour(직접노무비)'!$U$12:$U$503)+SUMIF('Overhead exp(제조경비)'!$C$12:$C$503,'WIP(재공품)'!B364,'Overhead exp(제조경비)'!$U$12:$U$503)</f>
        <v>0</v>
      </c>
      <c r="V364" s="112">
        <f>SUMIF('Direct labour(직접노무비)'!$C$12:$C$503,'WIP(재공품)'!B364,'Direct labour(직접노무비)'!$Q$12:$Q$503)</f>
        <v>5038589</v>
      </c>
      <c r="W364" s="112">
        <f>SUMIF('Overhead exp(제조경비)'!$C$12:$C$503,'WIP(재공품)'!B364,'Overhead exp(제조경비)'!$Q$12:$Q$503)</f>
        <v>9704306</v>
      </c>
      <c r="X364" s="112">
        <f t="shared" si="51"/>
        <v>14742895</v>
      </c>
      <c r="Y364" s="112">
        <f ca="1">ROUND(SUMIF('JUNE (물량흐름)'!$C$13:$C$502,'WIP(재공품)'!B364,'JUNE (물량흐름)'!$N$13:$N$488),0)</f>
        <v>0</v>
      </c>
      <c r="Z364" s="112">
        <f>ROUND(SUMIF('JUNE (물량흐름)'!$C$13:$C$502,'WIP(재공품)'!B364,'JUNE (물량흐름)'!$O$13:$O$502),0)</f>
        <v>173</v>
      </c>
      <c r="AA364" s="112">
        <f>ROUND(SUMIF('JUNE (물량흐름)'!$C$13:$C$502,'WIP(재공품)'!B364,'JUNE (물량흐름)'!$P$13:$P$502),0)</f>
        <v>107</v>
      </c>
      <c r="AB364" s="112">
        <f t="shared" ca="1" si="52"/>
        <v>280</v>
      </c>
      <c r="AC364" s="112">
        <f t="shared" si="53"/>
        <v>11434932</v>
      </c>
      <c r="AD364" s="381">
        <f t="shared" ca="1" si="54"/>
        <v>0</v>
      </c>
      <c r="AE364" s="381">
        <f t="shared" si="55"/>
        <v>0</v>
      </c>
      <c r="AF364" s="382"/>
      <c r="AG364" s="382"/>
      <c r="AH364" s="383"/>
      <c r="AJ364" s="383"/>
      <c r="AL364" s="385"/>
      <c r="AM364" s="381"/>
      <c r="AN364" s="382"/>
      <c r="AO364" s="382"/>
      <c r="AP364" s="383"/>
      <c r="AQ364" s="383"/>
    </row>
    <row r="365" spans="1:43" s="384" customFormat="1" ht="27" customHeight="1">
      <c r="A365" s="167">
        <v>360</v>
      </c>
      <c r="B365" s="240">
        <f>VLOOKUP(A365,'JUNE (물량흐름)'!$A$13:$C$502,3,0)</f>
        <v>100033322</v>
      </c>
      <c r="C365" s="21" t="str">
        <f>VLOOKUP(A365,'JUNE (물량흐름)'!$A$13:$C$502,2,0)</f>
        <v>ALFANI</v>
      </c>
      <c r="D365" s="212">
        <v>2.65</v>
      </c>
      <c r="E365" s="6">
        <f>VLOOKUP(B365,'Sales profit (스타일 별 매출이익)'!$D$9:$P$491,13,0)</f>
        <v>60088.75</v>
      </c>
      <c r="F365" s="112">
        <f>IFERROR(VLOOKUP(B365,O.B.JUNE!$N$7:$Q$448,2,0),0)</f>
        <v>0</v>
      </c>
      <c r="G365" s="112">
        <f>IFERROR(VLOOKUP(B365,O.B.JUNE!$N$7:$Q$448,3,0),0)</f>
        <v>44</v>
      </c>
      <c r="H365" s="112">
        <f>IFERROR(VLOOKUP(B365,O.B.JUNE!$N$7:$Q$448,4,0),0)</f>
        <v>19</v>
      </c>
      <c r="I365" s="112">
        <f t="shared" si="48"/>
        <v>63</v>
      </c>
      <c r="J365" s="112">
        <f>IFERROR(VLOOKUP(B365,O.B.JUNE!$AA$7:$AG$448,7,0),0)</f>
        <v>520969</v>
      </c>
      <c r="K365" s="112">
        <f>IFERROR(VLOOKUP(B365,O.B.JUNE!$AI$7:$AO$448,7,0),0)</f>
        <v>936621</v>
      </c>
      <c r="L365" s="112">
        <f t="shared" si="49"/>
        <v>1457590</v>
      </c>
      <c r="M365" s="112">
        <f>ROUND(SUMIF('JUNE (물량흐름)'!$C$13:$C$502,'WIP(재공품)'!B365,'JUNE (물량흐름)'!$H$13:$H$502)+SUMIF('JUNE (물량흐름)'!$C$13:$C$502,'WIP(재공품)'!B365,'JUNE (물량흐름)'!$V$13:$V$502),0)</f>
        <v>0</v>
      </c>
      <c r="N365" s="112">
        <f>SUMIF('Direct labour(직접노무비)'!$C$12:$C$503,'WIP(재공품)'!B365,'Direct labour(직접노무비)'!$O$12:$O$503)</f>
        <v>0</v>
      </c>
      <c r="O365" s="112">
        <f>SUMIF('Overhead exp(제조경비)'!$C$12:$C$503,'WIP(재공품)'!B365,'Overhead exp(제조경비)'!$O$12:$O$503)</f>
        <v>0</v>
      </c>
      <c r="P365" s="112">
        <f t="shared" si="50"/>
        <v>0</v>
      </c>
      <c r="Q365" s="112">
        <v>0</v>
      </c>
      <c r="R365" s="112">
        <v>0</v>
      </c>
      <c r="S365" s="112">
        <f>SUMIF('JUNE (물량흐름)'!$C$13:$C$493,'WIP(재공품)'!B365,'JUNE (물량흐름)'!$T$13:$T$493)+SUMIF('JUNE (물량흐름)'!$C$13:$C$493,'WIP(재공품)'!B365,'JUNE (물량흐름)'!$U$13:$U$493)+SUMIF('JUNE (물량흐름)'!$C$13:$C$493,'WIP(재공품)'!B365,'JUNE (물량흐름)'!$V$13:$V$493)-SUMIF('JUNE (물량흐름)'!$C$13:$C$493,'WIP(재공품)'!B365,'JUNE (물량흐름)'!$Y$13:$Y$493)</f>
        <v>0</v>
      </c>
      <c r="T365" s="112">
        <f>SUMIF('JUNE (물량흐름)'!$C$13:$C$502,'WIP(재공품)'!B365,'JUNE (물량흐름)'!$Y$13:$Y$502)</f>
        <v>0</v>
      </c>
      <c r="U365" s="167">
        <f>SUMIF('Direct labour(직접노무비)'!$C$12:$C$503,'WIP(재공품)'!B365,'Direct labour(직접노무비)'!$U$12:$U$503)+SUMIF('Overhead exp(제조경비)'!$C$12:$C$503,'WIP(재공품)'!B365,'Overhead exp(제조경비)'!$U$12:$U$503)</f>
        <v>0</v>
      </c>
      <c r="V365" s="112">
        <f>SUMIF('Direct labour(직접노무비)'!$C$12:$C$503,'WIP(재공품)'!B365,'Direct labour(직접노무비)'!$Q$12:$Q$503)</f>
        <v>0</v>
      </c>
      <c r="W365" s="112">
        <f>SUMIF('Overhead exp(제조경비)'!$C$12:$C$503,'WIP(재공품)'!B365,'Overhead exp(제조경비)'!$Q$12:$Q$503)</f>
        <v>0</v>
      </c>
      <c r="X365" s="112">
        <f t="shared" si="51"/>
        <v>0</v>
      </c>
      <c r="Y365" s="112">
        <f ca="1">ROUND(SUMIF('JUNE (물량흐름)'!$C$13:$C$502,'WIP(재공품)'!B365,'JUNE (물량흐름)'!$N$13:$N$488),0)</f>
        <v>0</v>
      </c>
      <c r="Z365" s="112">
        <f>ROUND(SUMIF('JUNE (물량흐름)'!$C$13:$C$502,'WIP(재공품)'!B365,'JUNE (물량흐름)'!$O$13:$O$502),0)</f>
        <v>44</v>
      </c>
      <c r="AA365" s="112">
        <f>ROUND(SUMIF('JUNE (물량흐름)'!$C$13:$C$502,'WIP(재공품)'!B365,'JUNE (물량흐름)'!$P$13:$P$502),0)</f>
        <v>19</v>
      </c>
      <c r="AB365" s="112">
        <f t="shared" ca="1" si="52"/>
        <v>63</v>
      </c>
      <c r="AC365" s="112">
        <f t="shared" si="53"/>
        <v>1457590</v>
      </c>
      <c r="AD365" s="381">
        <f t="shared" ca="1" si="54"/>
        <v>0</v>
      </c>
      <c r="AE365" s="381">
        <f t="shared" si="55"/>
        <v>0</v>
      </c>
      <c r="AF365" s="382"/>
      <c r="AG365" s="382"/>
      <c r="AH365" s="383"/>
      <c r="AJ365" s="383"/>
      <c r="AL365" s="385"/>
      <c r="AM365" s="381"/>
      <c r="AN365" s="382"/>
      <c r="AO365" s="382"/>
      <c r="AP365" s="383"/>
      <c r="AQ365" s="383"/>
    </row>
    <row r="366" spans="1:43" s="384" customFormat="1" ht="27" customHeight="1">
      <c r="A366" s="167">
        <v>361</v>
      </c>
      <c r="B366" s="240">
        <f>VLOOKUP(A366,'JUNE (물량흐름)'!$A$13:$C$502,3,0)</f>
        <v>100034173</v>
      </c>
      <c r="C366" s="21" t="str">
        <f>VLOOKUP(A366,'JUNE (물량흐름)'!$A$13:$C$502,2,0)</f>
        <v>INC</v>
      </c>
      <c r="D366" s="212">
        <v>2.19</v>
      </c>
      <c r="E366" s="6">
        <f>VLOOKUP(B366,'Sales profit (스타일 별 매출이익)'!$D$9:$P$491,13,0)</f>
        <v>49658.25</v>
      </c>
      <c r="F366" s="112">
        <f>IFERROR(VLOOKUP(B366,O.B.JUNE!$N$7:$Q$448,2,0),0)</f>
        <v>49</v>
      </c>
      <c r="G366" s="112">
        <f>IFERROR(VLOOKUP(B366,O.B.JUNE!$N$7:$Q$448,3,0),0)</f>
        <v>102</v>
      </c>
      <c r="H366" s="112">
        <f>IFERROR(VLOOKUP(B366,O.B.JUNE!$N$7:$Q$448,4,0),0)</f>
        <v>44</v>
      </c>
      <c r="I366" s="112">
        <f t="shared" si="48"/>
        <v>195</v>
      </c>
      <c r="J366" s="112">
        <f>IFERROR(VLOOKUP(B366,O.B.JUNE!$AA$7:$AG$448,7,0),0)</f>
        <v>1054372</v>
      </c>
      <c r="K366" s="112">
        <f>IFERROR(VLOOKUP(B366,O.B.JUNE!$AI$7:$AO$448,7,0),0)</f>
        <v>1895599</v>
      </c>
      <c r="L366" s="112">
        <f t="shared" si="49"/>
        <v>2949971</v>
      </c>
      <c r="M366" s="112">
        <f>ROUND(SUMIF('JUNE (물량흐름)'!$C$13:$C$502,'WIP(재공품)'!B366,'JUNE (물량흐름)'!$H$13:$H$502)+SUMIF('JUNE (물량흐름)'!$C$13:$C$502,'WIP(재공품)'!B366,'JUNE (물량흐름)'!$V$13:$V$502),0)</f>
        <v>0</v>
      </c>
      <c r="N366" s="112">
        <f>SUMIF('Direct labour(직접노무비)'!$C$12:$C$503,'WIP(재공품)'!B366,'Direct labour(직접노무비)'!$O$12:$O$503)</f>
        <v>0</v>
      </c>
      <c r="O366" s="112">
        <f>SUMIF('Overhead exp(제조경비)'!$C$12:$C$503,'WIP(재공품)'!B366,'Overhead exp(제조경비)'!$O$12:$O$503)</f>
        <v>0</v>
      </c>
      <c r="P366" s="112">
        <f t="shared" si="50"/>
        <v>0</v>
      </c>
      <c r="Q366" s="112">
        <v>0</v>
      </c>
      <c r="R366" s="112">
        <v>0</v>
      </c>
      <c r="S366" s="112">
        <f>SUMIF('JUNE (물량흐름)'!$C$13:$C$493,'WIP(재공품)'!B366,'JUNE (물량흐름)'!$T$13:$T$493)+SUMIF('JUNE (물량흐름)'!$C$13:$C$493,'WIP(재공품)'!B366,'JUNE (물량흐름)'!$U$13:$U$493)+SUMIF('JUNE (물량흐름)'!$C$13:$C$493,'WIP(재공품)'!B366,'JUNE (물량흐름)'!$V$13:$V$493)-SUMIF('JUNE (물량흐름)'!$C$13:$C$493,'WIP(재공품)'!B366,'JUNE (물량흐름)'!$Y$13:$Y$493)</f>
        <v>0</v>
      </c>
      <c r="T366" s="112">
        <f>SUMIF('JUNE (물량흐름)'!$C$13:$C$502,'WIP(재공품)'!B366,'JUNE (물량흐름)'!$Y$13:$Y$502)</f>
        <v>0</v>
      </c>
      <c r="U366" s="167">
        <f>SUMIF('Direct labour(직접노무비)'!$C$12:$C$503,'WIP(재공품)'!B366,'Direct labour(직접노무비)'!$U$12:$U$503)+SUMIF('Overhead exp(제조경비)'!$C$12:$C$503,'WIP(재공품)'!B366,'Overhead exp(제조경비)'!$U$12:$U$503)</f>
        <v>0</v>
      </c>
      <c r="V366" s="112">
        <f>SUMIF('Direct labour(직접노무비)'!$C$12:$C$503,'WIP(재공품)'!B366,'Direct labour(직접노무비)'!$Q$12:$Q$503)</f>
        <v>0</v>
      </c>
      <c r="W366" s="112">
        <f>SUMIF('Overhead exp(제조경비)'!$C$12:$C$503,'WIP(재공품)'!B366,'Overhead exp(제조경비)'!$Q$12:$Q$503)</f>
        <v>0</v>
      </c>
      <c r="X366" s="112">
        <f t="shared" si="51"/>
        <v>0</v>
      </c>
      <c r="Y366" s="112">
        <f ca="1">ROUND(SUMIF('JUNE (물량흐름)'!$C$13:$C$502,'WIP(재공품)'!B366,'JUNE (물량흐름)'!$N$13:$N$488),0)</f>
        <v>49</v>
      </c>
      <c r="Z366" s="112">
        <f>ROUND(SUMIF('JUNE (물량흐름)'!$C$13:$C$502,'WIP(재공품)'!B366,'JUNE (물량흐름)'!$O$13:$O$502),0)</f>
        <v>102</v>
      </c>
      <c r="AA366" s="112">
        <f>ROUND(SUMIF('JUNE (물량흐름)'!$C$13:$C$502,'WIP(재공품)'!B366,'JUNE (물량흐름)'!$P$13:$P$502),0)</f>
        <v>44</v>
      </c>
      <c r="AB366" s="112">
        <f t="shared" ca="1" si="52"/>
        <v>195</v>
      </c>
      <c r="AC366" s="112">
        <f t="shared" si="53"/>
        <v>2949971</v>
      </c>
      <c r="AD366" s="381">
        <f t="shared" ca="1" si="54"/>
        <v>0</v>
      </c>
      <c r="AE366" s="381">
        <f t="shared" si="55"/>
        <v>0</v>
      </c>
      <c r="AF366" s="382"/>
      <c r="AG366" s="382"/>
      <c r="AH366" s="383"/>
      <c r="AJ366" s="383"/>
      <c r="AL366" s="385"/>
      <c r="AM366" s="381"/>
      <c r="AN366" s="382"/>
      <c r="AO366" s="382"/>
      <c r="AP366" s="383"/>
      <c r="AQ366" s="383"/>
    </row>
    <row r="367" spans="1:43" s="384" customFormat="1" ht="27" customHeight="1">
      <c r="A367" s="167">
        <v>362</v>
      </c>
      <c r="B367" s="240">
        <f>VLOOKUP(A367,'JUNE (물량흐름)'!$A$13:$C$502,3,0)</f>
        <v>182034833</v>
      </c>
      <c r="C367" s="21" t="str">
        <f>VLOOKUP(A367,'JUNE (물량흐름)'!$A$13:$C$502,2,0)</f>
        <v>TALBOTS</v>
      </c>
      <c r="D367" s="212">
        <v>4.5599999999999996</v>
      </c>
      <c r="E367" s="6">
        <f>VLOOKUP(B367,'Sales profit (스타일 별 매출이익)'!$D$9:$P$491,13,0)</f>
        <v>103397.99999999999</v>
      </c>
      <c r="F367" s="112">
        <f>IFERROR(VLOOKUP(B367,O.B.JUNE!$N$7:$Q$448,2,0),0)</f>
        <v>0</v>
      </c>
      <c r="G367" s="112">
        <f>IFERROR(VLOOKUP(B367,O.B.JUNE!$N$7:$Q$448,3,0),0)</f>
        <v>133</v>
      </c>
      <c r="H367" s="112">
        <f>IFERROR(VLOOKUP(B367,O.B.JUNE!$N$7:$Q$448,4,0),0)</f>
        <v>0</v>
      </c>
      <c r="I367" s="112">
        <f t="shared" si="48"/>
        <v>133</v>
      </c>
      <c r="J367" s="112">
        <f>IFERROR(VLOOKUP(B367,O.B.JUNE!$AA$7:$AG$448,7,0),0)</f>
        <v>4063584</v>
      </c>
      <c r="K367" s="112">
        <f>IFERROR(VLOOKUP(B367,O.B.JUNE!$AI$7:$AO$448,7,0),0)</f>
        <v>7929987</v>
      </c>
      <c r="L367" s="112">
        <f t="shared" si="49"/>
        <v>11993571</v>
      </c>
      <c r="M367" s="112">
        <f>ROUND(SUMIF('JUNE (물량흐름)'!$C$13:$C$502,'WIP(재공품)'!B367,'JUNE (물량흐름)'!$H$13:$H$502)+SUMIF('JUNE (물량흐름)'!$C$13:$C$502,'WIP(재공품)'!B367,'JUNE (물량흐름)'!$V$13:$V$502),0)</f>
        <v>0</v>
      </c>
      <c r="N367" s="112">
        <f>SUMIF('Direct labour(직접노무비)'!$C$12:$C$503,'WIP(재공품)'!B367,'Direct labour(직접노무비)'!$O$12:$O$503)</f>
        <v>0</v>
      </c>
      <c r="O367" s="112">
        <f>SUMIF('Overhead exp(제조경비)'!$C$12:$C$503,'WIP(재공품)'!B367,'Overhead exp(제조경비)'!$O$12:$O$503)</f>
        <v>0</v>
      </c>
      <c r="P367" s="112">
        <f t="shared" si="50"/>
        <v>0</v>
      </c>
      <c r="Q367" s="112">
        <v>0</v>
      </c>
      <c r="R367" s="112">
        <v>0</v>
      </c>
      <c r="S367" s="112">
        <f>SUMIF('JUNE (물량흐름)'!$C$13:$C$493,'WIP(재공품)'!B367,'JUNE (물량흐름)'!$T$13:$T$493)+SUMIF('JUNE (물량흐름)'!$C$13:$C$493,'WIP(재공품)'!B367,'JUNE (물량흐름)'!$U$13:$U$493)+SUMIF('JUNE (물량흐름)'!$C$13:$C$493,'WIP(재공품)'!B367,'JUNE (물량흐름)'!$V$13:$V$493)-SUMIF('JUNE (물량흐름)'!$C$13:$C$493,'WIP(재공품)'!B367,'JUNE (물량흐름)'!$Y$13:$Y$493)</f>
        <v>0</v>
      </c>
      <c r="T367" s="112">
        <f>SUMIF('JUNE (물량흐름)'!$C$13:$C$502,'WIP(재공품)'!B367,'JUNE (물량흐름)'!$Y$13:$Y$502)</f>
        <v>3</v>
      </c>
      <c r="U367" s="167">
        <f>SUMIF('Direct labour(직접노무비)'!$C$12:$C$503,'WIP(재공품)'!B367,'Direct labour(직접노무비)'!$U$12:$U$503)+SUMIF('Overhead exp(제조경비)'!$C$12:$C$503,'WIP(재공품)'!B367,'Overhead exp(제조경비)'!$U$12:$U$503)</f>
        <v>270532</v>
      </c>
      <c r="V367" s="112">
        <f>SUMIF('Direct labour(직접노무비)'!$C$12:$C$503,'WIP(재공품)'!B367,'Direct labour(직접노무비)'!$Q$12:$Q$503)</f>
        <v>0</v>
      </c>
      <c r="W367" s="112">
        <f>SUMIF('Overhead exp(제조경비)'!$C$12:$C$503,'WIP(재공품)'!B367,'Overhead exp(제조경비)'!$Q$12:$Q$503)</f>
        <v>0</v>
      </c>
      <c r="X367" s="112">
        <f t="shared" si="51"/>
        <v>0</v>
      </c>
      <c r="Y367" s="112">
        <f ca="1">ROUND(SUMIF('JUNE (물량흐름)'!$C$13:$C$502,'WIP(재공품)'!B367,'JUNE (물량흐름)'!$N$13:$N$488),0)</f>
        <v>0</v>
      </c>
      <c r="Z367" s="112">
        <f>ROUND(SUMIF('JUNE (물량흐름)'!$C$13:$C$502,'WIP(재공품)'!B367,'JUNE (물량흐름)'!$O$13:$O$502),0)</f>
        <v>0</v>
      </c>
      <c r="AA367" s="112">
        <f>ROUND(SUMIF('JUNE (물량흐름)'!$C$13:$C$502,'WIP(재공품)'!B367,'JUNE (물량흐름)'!$P$13:$P$502),0)</f>
        <v>130</v>
      </c>
      <c r="AB367" s="112">
        <f t="shared" ca="1" si="52"/>
        <v>130</v>
      </c>
      <c r="AC367" s="112">
        <f t="shared" si="53"/>
        <v>11723039</v>
      </c>
      <c r="AD367" s="381">
        <f t="shared" ca="1" si="54"/>
        <v>0</v>
      </c>
      <c r="AE367" s="381">
        <f t="shared" si="55"/>
        <v>0</v>
      </c>
      <c r="AF367" s="382"/>
      <c r="AG367" s="382"/>
      <c r="AH367" s="383"/>
      <c r="AJ367" s="383"/>
      <c r="AL367" s="385"/>
      <c r="AM367" s="381"/>
      <c r="AN367" s="382"/>
      <c r="AO367" s="382"/>
      <c r="AP367" s="383"/>
      <c r="AQ367" s="383"/>
    </row>
    <row r="368" spans="1:43" s="384" customFormat="1" ht="27" customHeight="1">
      <c r="A368" s="167">
        <v>363</v>
      </c>
      <c r="B368" s="240">
        <f>VLOOKUP(A368,'JUNE (물량흐름)'!$A$13:$C$502,3,0)</f>
        <v>464035</v>
      </c>
      <c r="C368" s="21" t="str">
        <f>VLOOKUP(A368,'JUNE (물량흐름)'!$A$13:$C$502,2,0)</f>
        <v>ANN TAYLOR</v>
      </c>
      <c r="D368" s="212">
        <v>4.1100000000000003</v>
      </c>
      <c r="E368" s="6">
        <f>VLOOKUP(B368,'Sales profit (스타일 별 매출이익)'!$D$9:$P$491,13,0)</f>
        <v>93194.25</v>
      </c>
      <c r="F368" s="112">
        <f>IFERROR(VLOOKUP(B368,O.B.JUNE!$N$7:$Q$448,2,0),0)</f>
        <v>0</v>
      </c>
      <c r="G368" s="112">
        <f>IFERROR(VLOOKUP(B368,O.B.JUNE!$N$7:$Q$448,3,0),0)</f>
        <v>241</v>
      </c>
      <c r="H368" s="112">
        <f>IFERROR(VLOOKUP(B368,O.B.JUNE!$N$7:$Q$448,4,0),0)</f>
        <v>146</v>
      </c>
      <c r="I368" s="112">
        <f t="shared" si="48"/>
        <v>387</v>
      </c>
      <c r="J368" s="112">
        <f>IFERROR(VLOOKUP(B368,O.B.JUNE!$AA$7:$AG$448,7,0),0)</f>
        <v>5842220</v>
      </c>
      <c r="K368" s="112">
        <f>IFERROR(VLOOKUP(B368,O.B.JUNE!$AI$7:$AO$448,7,0),0)</f>
        <v>11201919</v>
      </c>
      <c r="L368" s="112">
        <f t="shared" si="49"/>
        <v>17044139</v>
      </c>
      <c r="M368" s="112">
        <f>ROUND(SUMIF('JUNE (물량흐름)'!$C$13:$C$502,'WIP(재공품)'!B368,'JUNE (물량흐름)'!$H$13:$H$502)+SUMIF('JUNE (물량흐름)'!$C$13:$C$502,'WIP(재공품)'!B368,'JUNE (물량흐름)'!$V$13:$V$502),0)</f>
        <v>0</v>
      </c>
      <c r="N368" s="112">
        <f>SUMIF('Direct labour(직접노무비)'!$C$12:$C$503,'WIP(재공품)'!B368,'Direct labour(직접노무비)'!$O$12:$O$503)</f>
        <v>0</v>
      </c>
      <c r="O368" s="112">
        <f>SUMIF('Overhead exp(제조경비)'!$C$12:$C$503,'WIP(재공품)'!B368,'Overhead exp(제조경비)'!$O$12:$O$503)</f>
        <v>0</v>
      </c>
      <c r="P368" s="112">
        <f t="shared" si="50"/>
        <v>0</v>
      </c>
      <c r="Q368" s="112">
        <v>0</v>
      </c>
      <c r="R368" s="112">
        <v>0</v>
      </c>
      <c r="S368" s="112">
        <f>SUMIF('JUNE (물량흐름)'!$C$13:$C$493,'WIP(재공품)'!B368,'JUNE (물량흐름)'!$T$13:$T$493)+SUMIF('JUNE (물량흐름)'!$C$13:$C$493,'WIP(재공품)'!B368,'JUNE (물량흐름)'!$U$13:$U$493)+SUMIF('JUNE (물량흐름)'!$C$13:$C$493,'WIP(재공품)'!B368,'JUNE (물량흐름)'!$V$13:$V$493)-SUMIF('JUNE (물량흐름)'!$C$13:$C$493,'WIP(재공품)'!B368,'JUNE (물량흐름)'!$Y$13:$Y$493)</f>
        <v>0</v>
      </c>
      <c r="T368" s="112">
        <f>SUMIF('JUNE (물량흐름)'!$C$13:$C$502,'WIP(재공품)'!B368,'JUNE (물량흐름)'!$Y$13:$Y$502)</f>
        <v>20</v>
      </c>
      <c r="U368" s="167">
        <f>SUMIF('Direct labour(직접노무비)'!$C$12:$C$503,'WIP(재공품)'!B368,'Direct labour(직접노무비)'!$U$12:$U$503)+SUMIF('Overhead exp(제조경비)'!$C$12:$C$503,'WIP(재공품)'!B368,'Overhead exp(제조경비)'!$U$12:$U$503)</f>
        <v>880835</v>
      </c>
      <c r="V368" s="112">
        <f>SUMIF('Direct labour(직접노무비)'!$C$12:$C$503,'WIP(재공품)'!B368,'Direct labour(직접노무비)'!$Q$12:$Q$503)</f>
        <v>0</v>
      </c>
      <c r="W368" s="112">
        <f>SUMIF('Overhead exp(제조경비)'!$C$12:$C$503,'WIP(재공품)'!B368,'Overhead exp(제조경비)'!$Q$12:$Q$503)</f>
        <v>0</v>
      </c>
      <c r="X368" s="112">
        <f t="shared" si="51"/>
        <v>0</v>
      </c>
      <c r="Y368" s="112">
        <f ca="1">ROUND(SUMIF('JUNE (물량흐름)'!$C$13:$C$502,'WIP(재공품)'!B368,'JUNE (물량흐름)'!$N$13:$N$488),0)</f>
        <v>0</v>
      </c>
      <c r="Z368" s="112">
        <f>ROUND(SUMIF('JUNE (물량흐름)'!$C$13:$C$502,'WIP(재공품)'!B368,'JUNE (물량흐름)'!$O$13:$O$502),0)</f>
        <v>241</v>
      </c>
      <c r="AA368" s="112">
        <f>ROUND(SUMIF('JUNE (물량흐름)'!$C$13:$C$502,'WIP(재공품)'!B368,'JUNE (물량흐름)'!$P$13:$P$502),0)</f>
        <v>126</v>
      </c>
      <c r="AB368" s="112">
        <f t="shared" ca="1" si="52"/>
        <v>367</v>
      </c>
      <c r="AC368" s="112">
        <f t="shared" si="53"/>
        <v>16163304</v>
      </c>
      <c r="AD368" s="381">
        <f t="shared" ca="1" si="54"/>
        <v>0</v>
      </c>
      <c r="AE368" s="381">
        <f t="shared" si="55"/>
        <v>0</v>
      </c>
      <c r="AF368" s="382"/>
      <c r="AG368" s="382"/>
      <c r="AH368" s="383"/>
      <c r="AJ368" s="383"/>
      <c r="AL368" s="385"/>
      <c r="AM368" s="381"/>
      <c r="AN368" s="382"/>
      <c r="AO368" s="382"/>
      <c r="AP368" s="383"/>
      <c r="AQ368" s="383"/>
    </row>
    <row r="369" spans="1:43" s="384" customFormat="1" ht="27" customHeight="1">
      <c r="A369" s="167">
        <v>364</v>
      </c>
      <c r="B369" s="240">
        <f>VLOOKUP(A369,'JUNE (물량흐름)'!$A$13:$C$502,3,0)</f>
        <v>464354</v>
      </c>
      <c r="C369" s="21" t="str">
        <f>VLOOKUP(A369,'JUNE (물량흐름)'!$A$13:$C$502,2,0)</f>
        <v>ANN TAYLOR</v>
      </c>
      <c r="D369" s="212">
        <v>0.35</v>
      </c>
      <c r="E369" s="6">
        <f>VLOOKUP(B369,'Sales profit (스타일 별 매출이익)'!$D$9:$P$491,13,0)</f>
        <v>7936.2499999999991</v>
      </c>
      <c r="F369" s="112">
        <f>IFERROR(VLOOKUP(B369,O.B.JUNE!$N$7:$Q$448,2,0),0)</f>
        <v>1</v>
      </c>
      <c r="G369" s="112">
        <f>IFERROR(VLOOKUP(B369,O.B.JUNE!$N$7:$Q$448,3,0),0)</f>
        <v>636</v>
      </c>
      <c r="H369" s="112">
        <f>IFERROR(VLOOKUP(B369,O.B.JUNE!$N$7:$Q$448,4,0),0)</f>
        <v>3065</v>
      </c>
      <c r="I369" s="112">
        <f t="shared" si="48"/>
        <v>3702</v>
      </c>
      <c r="J369" s="112">
        <f>IFERROR(VLOOKUP(B369,O.B.JUNE!$AA$7:$AG$448,7,0),0)</f>
        <v>36577311</v>
      </c>
      <c r="K369" s="112">
        <f>IFERROR(VLOOKUP(B369,O.B.JUNE!$AI$7:$AO$448,7,0),0)</f>
        <v>69534536</v>
      </c>
      <c r="L369" s="112">
        <f t="shared" si="49"/>
        <v>106111847</v>
      </c>
      <c r="M369" s="112">
        <f>ROUND(SUMIF('JUNE (물량흐름)'!$C$13:$C$502,'WIP(재공품)'!B369,'JUNE (물량흐름)'!$H$13:$H$502)+SUMIF('JUNE (물량흐름)'!$C$13:$C$502,'WIP(재공품)'!B369,'JUNE (물량흐름)'!$V$13:$V$502),0)</f>
        <v>0</v>
      </c>
      <c r="N369" s="112">
        <f>SUMIF('Direct labour(직접노무비)'!$C$12:$C$503,'WIP(재공품)'!B369,'Direct labour(직접노무비)'!$O$12:$O$503)</f>
        <v>0</v>
      </c>
      <c r="O369" s="112">
        <f>SUMIF('Overhead exp(제조경비)'!$C$12:$C$503,'WIP(재공품)'!B369,'Overhead exp(제조경비)'!$O$12:$O$503)</f>
        <v>0</v>
      </c>
      <c r="P369" s="112">
        <f t="shared" si="50"/>
        <v>0</v>
      </c>
      <c r="Q369" s="112">
        <v>0</v>
      </c>
      <c r="R369" s="112">
        <v>0</v>
      </c>
      <c r="S369" s="112">
        <f>SUMIF('JUNE (물량흐름)'!$C$13:$C$493,'WIP(재공품)'!B369,'JUNE (물량흐름)'!$T$13:$T$493)+SUMIF('JUNE (물량흐름)'!$C$13:$C$493,'WIP(재공품)'!B369,'JUNE (물량흐름)'!$U$13:$U$493)+SUMIF('JUNE (물량흐름)'!$C$13:$C$493,'WIP(재공품)'!B369,'JUNE (물량흐름)'!$V$13:$V$493)-SUMIF('JUNE (물량흐름)'!$C$13:$C$493,'WIP(재공품)'!B369,'JUNE (물량흐름)'!$Y$13:$Y$493)</f>
        <v>0</v>
      </c>
      <c r="T369" s="112">
        <f>SUMIF('JUNE (물량흐름)'!$C$13:$C$502,'WIP(재공품)'!B369,'JUNE (물량흐름)'!$Y$13:$Y$502)</f>
        <v>0</v>
      </c>
      <c r="U369" s="167">
        <f>SUMIF('Direct labour(직접노무비)'!$C$12:$C$503,'WIP(재공품)'!B369,'Direct labour(직접노무비)'!$U$12:$U$503)+SUMIF('Overhead exp(제조경비)'!$C$12:$C$503,'WIP(재공품)'!B369,'Overhead exp(제조경비)'!$U$12:$U$503)</f>
        <v>0</v>
      </c>
      <c r="V369" s="112">
        <f>SUMIF('Direct labour(직접노무비)'!$C$12:$C$503,'WIP(재공품)'!B369,'Direct labour(직접노무비)'!$Q$12:$Q$503)</f>
        <v>0</v>
      </c>
      <c r="W369" s="112">
        <f>SUMIF('Overhead exp(제조경비)'!$C$12:$C$503,'WIP(재공품)'!B369,'Overhead exp(제조경비)'!$Q$12:$Q$503)</f>
        <v>0</v>
      </c>
      <c r="X369" s="112">
        <f t="shared" si="51"/>
        <v>0</v>
      </c>
      <c r="Y369" s="112">
        <f ca="1">ROUND(SUMIF('JUNE (물량흐름)'!$C$13:$C$502,'WIP(재공품)'!B369,'JUNE (물량흐름)'!$N$13:$N$488),0)</f>
        <v>1</v>
      </c>
      <c r="Z369" s="112">
        <f>ROUND(SUMIF('JUNE (물량흐름)'!$C$13:$C$502,'WIP(재공품)'!B369,'JUNE (물량흐름)'!$O$13:$O$502),0)</f>
        <v>636</v>
      </c>
      <c r="AA369" s="112">
        <f>ROUND(SUMIF('JUNE (물량흐름)'!$C$13:$C$502,'WIP(재공품)'!B369,'JUNE (물량흐름)'!$P$13:$P$502),0)</f>
        <v>3065</v>
      </c>
      <c r="AB369" s="112">
        <f t="shared" ca="1" si="52"/>
        <v>3702</v>
      </c>
      <c r="AC369" s="112">
        <f t="shared" si="53"/>
        <v>106111847</v>
      </c>
      <c r="AD369" s="381">
        <f t="shared" ca="1" si="54"/>
        <v>0</v>
      </c>
      <c r="AE369" s="381">
        <f t="shared" si="55"/>
        <v>0</v>
      </c>
      <c r="AF369" s="382"/>
      <c r="AG369" s="382"/>
      <c r="AH369" s="383"/>
      <c r="AJ369" s="383"/>
      <c r="AL369" s="385"/>
      <c r="AM369" s="381"/>
      <c r="AN369" s="382"/>
      <c r="AO369" s="382"/>
      <c r="AP369" s="383"/>
      <c r="AQ369" s="383"/>
    </row>
    <row r="370" spans="1:43" s="384" customFormat="1" ht="27" customHeight="1">
      <c r="A370" s="167">
        <v>365</v>
      </c>
      <c r="B370" s="240">
        <f>VLOOKUP(A370,'JUNE (물량흐름)'!$A$13:$C$502,3,0)</f>
        <v>469491</v>
      </c>
      <c r="C370" s="21" t="str">
        <f>VLOOKUP(A370,'JUNE (물량흐름)'!$A$13:$C$502,2,0)</f>
        <v>ANN TAYLOR</v>
      </c>
      <c r="D370" s="212">
        <v>2.06</v>
      </c>
      <c r="E370" s="6">
        <f>VLOOKUP(B370,'Sales profit (스타일 별 매출이익)'!$D$9:$P$491,13,0)</f>
        <v>46710.5</v>
      </c>
      <c r="F370" s="112">
        <f>IFERROR(VLOOKUP(B370,O.B.JUNE!$N$7:$Q$448,2,0),0)</f>
        <v>0</v>
      </c>
      <c r="G370" s="112">
        <f>IFERROR(VLOOKUP(B370,O.B.JUNE!$N$7:$Q$448,3,0),0)</f>
        <v>92</v>
      </c>
      <c r="H370" s="112">
        <f>IFERROR(VLOOKUP(B370,O.B.JUNE!$N$7:$Q$448,4,0),0)</f>
        <v>427</v>
      </c>
      <c r="I370" s="112">
        <f t="shared" si="48"/>
        <v>519</v>
      </c>
      <c r="J370" s="112">
        <f>IFERROR(VLOOKUP(B370,O.B.JUNE!$AA$7:$AG$448,7,0),0)</f>
        <v>4762144</v>
      </c>
      <c r="K370" s="112">
        <f>IFERROR(VLOOKUP(B370,O.B.JUNE!$AI$7:$AO$448,7,0),0)</f>
        <v>8561603</v>
      </c>
      <c r="L370" s="112">
        <f t="shared" si="49"/>
        <v>13323747</v>
      </c>
      <c r="M370" s="112">
        <f>ROUND(SUMIF('JUNE (물량흐름)'!$C$13:$C$502,'WIP(재공품)'!B370,'JUNE (물량흐름)'!$H$13:$H$502)+SUMIF('JUNE (물량흐름)'!$C$13:$C$502,'WIP(재공품)'!B370,'JUNE (물량흐름)'!$V$13:$V$502),0)</f>
        <v>0</v>
      </c>
      <c r="N370" s="112">
        <f>SUMIF('Direct labour(직접노무비)'!$C$12:$C$503,'WIP(재공품)'!B370,'Direct labour(직접노무비)'!$O$12:$O$503)</f>
        <v>0</v>
      </c>
      <c r="O370" s="112">
        <f>SUMIF('Overhead exp(제조경비)'!$C$12:$C$503,'WIP(재공품)'!B370,'Overhead exp(제조경비)'!$O$12:$O$503)</f>
        <v>0</v>
      </c>
      <c r="P370" s="112">
        <f t="shared" si="50"/>
        <v>0</v>
      </c>
      <c r="Q370" s="112">
        <v>0</v>
      </c>
      <c r="R370" s="112">
        <v>0</v>
      </c>
      <c r="S370" s="112">
        <f>SUMIF('JUNE (물량흐름)'!$C$13:$C$493,'WIP(재공품)'!B370,'JUNE (물량흐름)'!$T$13:$T$493)+SUMIF('JUNE (물량흐름)'!$C$13:$C$493,'WIP(재공품)'!B370,'JUNE (물량흐름)'!$U$13:$U$493)+SUMIF('JUNE (물량흐름)'!$C$13:$C$493,'WIP(재공품)'!B370,'JUNE (물량흐름)'!$V$13:$V$493)-SUMIF('JUNE (물량흐름)'!$C$13:$C$493,'WIP(재공품)'!B370,'JUNE (물량흐름)'!$Y$13:$Y$493)</f>
        <v>0</v>
      </c>
      <c r="T370" s="112">
        <f>SUMIF('JUNE (물량흐름)'!$C$13:$C$502,'WIP(재공품)'!B370,'JUNE (물량흐름)'!$Y$13:$Y$502)</f>
        <v>0</v>
      </c>
      <c r="U370" s="167">
        <f>SUMIF('Direct labour(직접노무비)'!$C$12:$C$503,'WIP(재공품)'!B370,'Direct labour(직접노무비)'!$U$12:$U$503)+SUMIF('Overhead exp(제조경비)'!$C$12:$C$503,'WIP(재공품)'!B370,'Overhead exp(제조경비)'!$U$12:$U$503)</f>
        <v>0</v>
      </c>
      <c r="V370" s="112">
        <f>SUMIF('Direct labour(직접노무비)'!$C$12:$C$503,'WIP(재공품)'!B370,'Direct labour(직접노무비)'!$Q$12:$Q$503)</f>
        <v>0</v>
      </c>
      <c r="W370" s="112">
        <f>SUMIF('Overhead exp(제조경비)'!$C$12:$C$503,'WIP(재공품)'!B370,'Overhead exp(제조경비)'!$Q$12:$Q$503)</f>
        <v>0</v>
      </c>
      <c r="X370" s="112">
        <f t="shared" si="51"/>
        <v>0</v>
      </c>
      <c r="Y370" s="112">
        <f ca="1">ROUND(SUMIF('JUNE (물량흐름)'!$C$13:$C$502,'WIP(재공품)'!B370,'JUNE (물량흐름)'!$N$13:$N$488),0)</f>
        <v>0</v>
      </c>
      <c r="Z370" s="112">
        <f>ROUND(SUMIF('JUNE (물량흐름)'!$C$13:$C$502,'WIP(재공품)'!B370,'JUNE (물량흐름)'!$O$13:$O$502),0)</f>
        <v>92</v>
      </c>
      <c r="AA370" s="112">
        <f>ROUND(SUMIF('JUNE (물량흐름)'!$C$13:$C$502,'WIP(재공품)'!B370,'JUNE (물량흐름)'!$P$13:$P$502),0)</f>
        <v>427</v>
      </c>
      <c r="AB370" s="112">
        <f t="shared" ca="1" si="52"/>
        <v>519</v>
      </c>
      <c r="AC370" s="112">
        <f t="shared" si="53"/>
        <v>13323747</v>
      </c>
      <c r="AD370" s="381">
        <f t="shared" ca="1" si="54"/>
        <v>0</v>
      </c>
      <c r="AE370" s="381">
        <f t="shared" si="55"/>
        <v>0</v>
      </c>
      <c r="AF370" s="382"/>
      <c r="AG370" s="382"/>
      <c r="AH370" s="383"/>
      <c r="AJ370" s="383"/>
      <c r="AL370" s="385"/>
      <c r="AM370" s="381"/>
      <c r="AN370" s="382"/>
      <c r="AO370" s="382"/>
      <c r="AP370" s="383"/>
      <c r="AQ370" s="383"/>
    </row>
    <row r="371" spans="1:43" s="384" customFormat="1" ht="27" customHeight="1">
      <c r="A371" s="167">
        <v>366</v>
      </c>
      <c r="B371" s="240">
        <f>VLOOKUP(A371,'JUNE (물량흐름)'!$A$13:$C$502,3,0)</f>
        <v>474304</v>
      </c>
      <c r="C371" s="21" t="str">
        <f>VLOOKUP(A371,'JUNE (물량흐름)'!$A$13:$C$502,2,0)</f>
        <v>ANN TAYLOR</v>
      </c>
      <c r="D371" s="212">
        <v>1.93</v>
      </c>
      <c r="E371" s="6">
        <f>VLOOKUP(B371,'Sales profit (스타일 별 매출이익)'!$D$9:$P$491,13,0)</f>
        <v>43762.75</v>
      </c>
      <c r="F371" s="112">
        <f>IFERROR(VLOOKUP(B371,O.B.JUNE!$N$7:$Q$448,2,0),0)</f>
        <v>0</v>
      </c>
      <c r="G371" s="112">
        <f>IFERROR(VLOOKUP(B371,O.B.JUNE!$N$7:$Q$448,3,0),0)</f>
        <v>95</v>
      </c>
      <c r="H371" s="112">
        <f>IFERROR(VLOOKUP(B371,O.B.JUNE!$N$7:$Q$448,4,0),0)</f>
        <v>272</v>
      </c>
      <c r="I371" s="112">
        <f t="shared" si="48"/>
        <v>367</v>
      </c>
      <c r="J371" s="112">
        <f>IFERROR(VLOOKUP(B371,O.B.JUNE!$AA$7:$AG$448,7,0),0)</f>
        <v>3144933</v>
      </c>
      <c r="K371" s="112">
        <f>IFERROR(VLOOKUP(B371,O.B.JUNE!$AI$7:$AO$448,7,0),0)</f>
        <v>5654106</v>
      </c>
      <c r="L371" s="112">
        <f t="shared" si="49"/>
        <v>8799039</v>
      </c>
      <c r="M371" s="112">
        <f>ROUND(SUMIF('JUNE (물량흐름)'!$C$13:$C$502,'WIP(재공품)'!B371,'JUNE (물량흐름)'!$H$13:$H$502)+SUMIF('JUNE (물량흐름)'!$C$13:$C$502,'WIP(재공품)'!B371,'JUNE (물량흐름)'!$V$13:$V$502),0)</f>
        <v>0</v>
      </c>
      <c r="N371" s="112">
        <f>SUMIF('Direct labour(직접노무비)'!$C$12:$C$503,'WIP(재공품)'!B371,'Direct labour(직접노무비)'!$O$12:$O$503)</f>
        <v>0</v>
      </c>
      <c r="O371" s="112">
        <f>SUMIF('Overhead exp(제조경비)'!$C$12:$C$503,'WIP(재공품)'!B371,'Overhead exp(제조경비)'!$O$12:$O$503)</f>
        <v>0</v>
      </c>
      <c r="P371" s="112">
        <f t="shared" si="50"/>
        <v>0</v>
      </c>
      <c r="Q371" s="112">
        <v>0</v>
      </c>
      <c r="R371" s="112">
        <v>0</v>
      </c>
      <c r="S371" s="112">
        <f>SUMIF('JUNE (물량흐름)'!$C$13:$C$493,'WIP(재공품)'!B371,'JUNE (물량흐름)'!$T$13:$T$493)+SUMIF('JUNE (물량흐름)'!$C$13:$C$493,'WIP(재공품)'!B371,'JUNE (물량흐름)'!$U$13:$U$493)+SUMIF('JUNE (물량흐름)'!$C$13:$C$493,'WIP(재공품)'!B371,'JUNE (물량흐름)'!$V$13:$V$493)-SUMIF('JUNE (물량흐름)'!$C$13:$C$493,'WIP(재공품)'!B371,'JUNE (물량흐름)'!$Y$13:$Y$493)</f>
        <v>0</v>
      </c>
      <c r="T371" s="112">
        <f>SUMIF('JUNE (물량흐름)'!$C$13:$C$502,'WIP(재공품)'!B371,'JUNE (물량흐름)'!$Y$13:$Y$502)</f>
        <v>1</v>
      </c>
      <c r="U371" s="167">
        <f>SUMIF('Direct labour(직접노무비)'!$C$12:$C$503,'WIP(재공품)'!B371,'Direct labour(직접노무비)'!$U$12:$U$503)+SUMIF('Overhead exp(제조경비)'!$C$12:$C$503,'WIP(재공품)'!B371,'Overhead exp(제조경비)'!$U$12:$U$503)</f>
        <v>23975</v>
      </c>
      <c r="V371" s="112">
        <f>SUMIF('Direct labour(직접노무비)'!$C$12:$C$503,'WIP(재공품)'!B371,'Direct labour(직접노무비)'!$Q$12:$Q$503)</f>
        <v>0</v>
      </c>
      <c r="W371" s="112">
        <f>SUMIF('Overhead exp(제조경비)'!$C$12:$C$503,'WIP(재공품)'!B371,'Overhead exp(제조경비)'!$Q$12:$Q$503)</f>
        <v>0</v>
      </c>
      <c r="X371" s="112">
        <f t="shared" si="51"/>
        <v>0</v>
      </c>
      <c r="Y371" s="112">
        <f ca="1">ROUND(SUMIF('JUNE (물량흐름)'!$C$13:$C$502,'WIP(재공품)'!B371,'JUNE (물량흐름)'!$N$13:$N$488),0)</f>
        <v>0</v>
      </c>
      <c r="Z371" s="112">
        <f>ROUND(SUMIF('JUNE (물량흐름)'!$C$13:$C$502,'WIP(재공품)'!B371,'JUNE (물량흐름)'!$O$13:$O$502),0)</f>
        <v>95</v>
      </c>
      <c r="AA371" s="112">
        <f>ROUND(SUMIF('JUNE (물량흐름)'!$C$13:$C$502,'WIP(재공품)'!B371,'JUNE (물량흐름)'!$P$13:$P$502),0)</f>
        <v>271</v>
      </c>
      <c r="AB371" s="112">
        <f t="shared" ca="1" si="52"/>
        <v>366</v>
      </c>
      <c r="AC371" s="112">
        <f t="shared" si="53"/>
        <v>8775064</v>
      </c>
      <c r="AD371" s="381">
        <f t="shared" ca="1" si="54"/>
        <v>0</v>
      </c>
      <c r="AE371" s="381">
        <f t="shared" si="55"/>
        <v>0</v>
      </c>
      <c r="AF371" s="382"/>
      <c r="AG371" s="382"/>
      <c r="AH371" s="383"/>
      <c r="AJ371" s="383"/>
      <c r="AL371" s="385"/>
      <c r="AM371" s="381"/>
      <c r="AN371" s="382"/>
      <c r="AO371" s="382"/>
      <c r="AP371" s="383"/>
      <c r="AQ371" s="383"/>
    </row>
    <row r="372" spans="1:43" s="384" customFormat="1" ht="27" customHeight="1">
      <c r="A372" s="167">
        <v>367</v>
      </c>
      <c r="B372" s="240" t="str">
        <f>VLOOKUP(A372,'JUNE (물량흐름)'!$A$13:$C$502,3,0)</f>
        <v>7X211</v>
      </c>
      <c r="C372" s="21" t="str">
        <f>VLOOKUP(A372,'JUNE (물량흐름)'!$A$13:$C$502,2,0)</f>
        <v>ALFANI</v>
      </c>
      <c r="D372" s="212">
        <v>3.15</v>
      </c>
      <c r="E372" s="6">
        <f>VLOOKUP(B372,'Sales profit (스타일 별 매출이익)'!$D$9:$P$491,13,0)</f>
        <v>71426.25</v>
      </c>
      <c r="F372" s="112">
        <f>IFERROR(VLOOKUP(B372,O.B.JUNE!$N$7:$Q$448,2,0),0)</f>
        <v>0</v>
      </c>
      <c r="G372" s="112">
        <f>IFERROR(VLOOKUP(B372,O.B.JUNE!$N$7:$Q$448,3,0),0)</f>
        <v>14</v>
      </c>
      <c r="H372" s="112">
        <f>IFERROR(VLOOKUP(B372,O.B.JUNE!$N$7:$Q$448,4,0),0)</f>
        <v>35</v>
      </c>
      <c r="I372" s="112">
        <f t="shared" si="48"/>
        <v>49</v>
      </c>
      <c r="J372" s="112">
        <f>IFERROR(VLOOKUP(B372,O.B.JUNE!$AA$7:$AG$448,7,0),0)</f>
        <v>346106</v>
      </c>
      <c r="K372" s="112">
        <f>IFERROR(VLOOKUP(B372,O.B.JUNE!$AI$7:$AO$448,7,0),0)</f>
        <v>622245</v>
      </c>
      <c r="L372" s="112">
        <f t="shared" si="49"/>
        <v>968351</v>
      </c>
      <c r="M372" s="112">
        <f>ROUND(SUMIF('JUNE (물량흐름)'!$C$13:$C$502,'WIP(재공품)'!B372,'JUNE (물량흐름)'!$H$13:$H$502)+SUMIF('JUNE (물량흐름)'!$C$13:$C$502,'WIP(재공품)'!B372,'JUNE (물량흐름)'!$V$13:$V$502),0)</f>
        <v>0</v>
      </c>
      <c r="N372" s="112">
        <f>SUMIF('Direct labour(직접노무비)'!$C$12:$C$503,'WIP(재공품)'!B372,'Direct labour(직접노무비)'!$O$12:$O$503)</f>
        <v>0</v>
      </c>
      <c r="O372" s="112">
        <f>SUMIF('Overhead exp(제조경비)'!$C$12:$C$503,'WIP(재공품)'!B372,'Overhead exp(제조경비)'!$O$12:$O$503)</f>
        <v>0</v>
      </c>
      <c r="P372" s="112">
        <f t="shared" si="50"/>
        <v>0</v>
      </c>
      <c r="Q372" s="112">
        <v>0</v>
      </c>
      <c r="R372" s="112">
        <v>0</v>
      </c>
      <c r="S372" s="112">
        <f>SUMIF('JUNE (물량흐름)'!$C$13:$C$493,'WIP(재공품)'!B372,'JUNE (물량흐름)'!$T$13:$T$493)+SUMIF('JUNE (물량흐름)'!$C$13:$C$493,'WIP(재공품)'!B372,'JUNE (물량흐름)'!$U$13:$U$493)+SUMIF('JUNE (물량흐름)'!$C$13:$C$493,'WIP(재공품)'!B372,'JUNE (물량흐름)'!$V$13:$V$493)-SUMIF('JUNE (물량흐름)'!$C$13:$C$493,'WIP(재공품)'!B372,'JUNE (물량흐름)'!$Y$13:$Y$493)</f>
        <v>49</v>
      </c>
      <c r="T372" s="112">
        <f>SUMIF('JUNE (물량흐름)'!$C$13:$C$502,'WIP(재공품)'!B372,'JUNE (물량흐름)'!$Y$13:$Y$502)</f>
        <v>0</v>
      </c>
      <c r="U372" s="167">
        <f>SUMIF('Direct labour(직접노무비)'!$C$12:$C$503,'WIP(재공품)'!B372,'Direct labour(직접노무비)'!$U$12:$U$503)+SUMIF('Overhead exp(제조경비)'!$C$12:$C$503,'WIP(재공품)'!B372,'Overhead exp(제조경비)'!$U$12:$U$503)</f>
        <v>0</v>
      </c>
      <c r="V372" s="112">
        <f>SUMIF('Direct labour(직접노무비)'!$C$12:$C$503,'WIP(재공품)'!B372,'Direct labour(직접노무비)'!$Q$12:$Q$503)</f>
        <v>346106</v>
      </c>
      <c r="W372" s="112">
        <f>SUMIF('Overhead exp(제조경비)'!$C$12:$C$503,'WIP(재공품)'!B372,'Overhead exp(제조경비)'!$Q$12:$Q$503)</f>
        <v>622245</v>
      </c>
      <c r="X372" s="112">
        <f t="shared" si="51"/>
        <v>968351</v>
      </c>
      <c r="Y372" s="112">
        <f ca="1">ROUND(SUMIF('JUNE (물량흐름)'!$C$13:$C$502,'WIP(재공품)'!B372,'JUNE (물량흐름)'!$N$13:$N$488),0)</f>
        <v>0</v>
      </c>
      <c r="Z372" s="112">
        <f>ROUND(SUMIF('JUNE (물량흐름)'!$C$13:$C$502,'WIP(재공품)'!B372,'JUNE (물량흐름)'!$O$13:$O$502),0)</f>
        <v>0</v>
      </c>
      <c r="AA372" s="112">
        <f>ROUND(SUMIF('JUNE (물량흐름)'!$C$13:$C$502,'WIP(재공품)'!B372,'JUNE (물량흐름)'!$P$13:$P$502),0)</f>
        <v>0</v>
      </c>
      <c r="AB372" s="112">
        <f t="shared" ca="1" si="52"/>
        <v>0</v>
      </c>
      <c r="AC372" s="112">
        <f t="shared" si="53"/>
        <v>0</v>
      </c>
      <c r="AD372" s="381">
        <f t="shared" ca="1" si="54"/>
        <v>0</v>
      </c>
      <c r="AE372" s="381">
        <f t="shared" si="55"/>
        <v>0</v>
      </c>
      <c r="AF372" s="382"/>
      <c r="AG372" s="382"/>
      <c r="AH372" s="383"/>
      <c r="AJ372" s="383"/>
      <c r="AL372" s="385"/>
      <c r="AM372" s="381"/>
      <c r="AN372" s="382"/>
      <c r="AO372" s="382"/>
      <c r="AP372" s="383"/>
      <c r="AQ372" s="383"/>
    </row>
    <row r="373" spans="1:43" s="384" customFormat="1" ht="27" customHeight="1">
      <c r="A373" s="167">
        <v>368</v>
      </c>
      <c r="B373" s="240" t="str">
        <f>VLOOKUP(A373,'JUNE (물량흐름)'!$A$13:$C$502,3,0)</f>
        <v>KPT116131</v>
      </c>
      <c r="C373" s="21" t="str">
        <f>VLOOKUP(A373,'JUNE (물량흐름)'!$A$13:$C$502,2,0)</f>
        <v>J JILL</v>
      </c>
      <c r="D373" s="212">
        <v>1.54</v>
      </c>
      <c r="E373" s="6">
        <f>VLOOKUP(B373,'Sales profit (스타일 별 매출이익)'!$D$9:$P$491,13,0)</f>
        <v>34919.5</v>
      </c>
      <c r="F373" s="112">
        <f>IFERROR(VLOOKUP(B373,O.B.JUNE!$N$7:$Q$448,2,0),0)</f>
        <v>112</v>
      </c>
      <c r="G373" s="112">
        <f>IFERROR(VLOOKUP(B373,O.B.JUNE!$N$7:$Q$448,3,0),0)</f>
        <v>105</v>
      </c>
      <c r="H373" s="112">
        <f>IFERROR(VLOOKUP(B373,O.B.JUNE!$N$7:$Q$448,4,0),0)</f>
        <v>144</v>
      </c>
      <c r="I373" s="112">
        <f t="shared" si="48"/>
        <v>361</v>
      </c>
      <c r="J373" s="112">
        <f>IFERROR(VLOOKUP(B373,O.B.JUNE!$AA$7:$AG$448,7,0),0)</f>
        <v>3195106</v>
      </c>
      <c r="K373" s="112">
        <f>IFERROR(VLOOKUP(B373,O.B.JUNE!$AI$7:$AO$448,7,0),0)</f>
        <v>6020814</v>
      </c>
      <c r="L373" s="112">
        <f t="shared" si="49"/>
        <v>9215920</v>
      </c>
      <c r="M373" s="112">
        <f>ROUND(SUMIF('JUNE (물량흐름)'!$C$13:$C$502,'WIP(재공품)'!B373,'JUNE (물량흐름)'!$H$13:$H$502)+SUMIF('JUNE (물량흐름)'!$C$13:$C$502,'WIP(재공품)'!B373,'JUNE (물량흐름)'!$V$13:$V$502),0)</f>
        <v>10486</v>
      </c>
      <c r="N373" s="112">
        <f>SUMIF('Direct labour(직접노무비)'!$C$12:$C$503,'WIP(재공품)'!B373,'Direct labour(직접노무비)'!$O$12:$O$503)</f>
        <v>112284305</v>
      </c>
      <c r="O373" s="112">
        <f>SUMIF('Overhead exp(제조경비)'!$C$12:$C$503,'WIP(재공품)'!B373,'Overhead exp(제조경비)'!$O$12:$O$503)</f>
        <v>219374161</v>
      </c>
      <c r="P373" s="112">
        <f t="shared" si="50"/>
        <v>331658466</v>
      </c>
      <c r="Q373" s="112">
        <v>0</v>
      </c>
      <c r="R373" s="112">
        <v>0</v>
      </c>
      <c r="S373" s="112">
        <f>SUMIF('JUNE (물량흐름)'!$C$13:$C$493,'WIP(재공품)'!B373,'JUNE (물량흐름)'!$T$13:$T$493)+SUMIF('JUNE (물량흐름)'!$C$13:$C$493,'WIP(재공품)'!B373,'JUNE (물량흐름)'!$U$13:$U$493)+SUMIF('JUNE (물량흐름)'!$C$13:$C$493,'WIP(재공품)'!B373,'JUNE (물량흐름)'!$V$13:$V$493)-SUMIF('JUNE (물량흐름)'!$C$13:$C$493,'WIP(재공품)'!B373,'JUNE (물량흐름)'!$Y$13:$Y$493)</f>
        <v>10238</v>
      </c>
      <c r="T373" s="112">
        <f>SUMIF('JUNE (물량흐름)'!$C$13:$C$502,'WIP(재공품)'!B373,'JUNE (물량흐름)'!$Y$13:$Y$502)</f>
        <v>7</v>
      </c>
      <c r="U373" s="167">
        <f>SUMIF('Direct labour(직접노무비)'!$C$12:$C$503,'WIP(재공품)'!B373,'Direct labour(직접노무비)'!$U$12:$U$503)+SUMIF('Overhead exp(제조경비)'!$C$12:$C$503,'WIP(재공품)'!B373,'Overhead exp(제조경비)'!$U$12:$U$503)</f>
        <v>219979</v>
      </c>
      <c r="V373" s="112">
        <f>SUMIF('Direct labour(직접노무비)'!$C$12:$C$503,'WIP(재공품)'!B373,'Direct labour(직접노무비)'!$Q$12:$Q$503)</f>
        <v>108995871</v>
      </c>
      <c r="W373" s="112">
        <f>SUMIF('Overhead exp(제조경비)'!$C$12:$C$503,'WIP(재공품)'!B373,'Overhead exp(제조경비)'!$Q$12:$Q$503)</f>
        <v>212740274</v>
      </c>
      <c r="X373" s="112">
        <f t="shared" si="51"/>
        <v>321736145</v>
      </c>
      <c r="Y373" s="112">
        <f ca="1">ROUND(SUMIF('JUNE (물량흐름)'!$C$13:$C$502,'WIP(재공품)'!B373,'JUNE (물량흐름)'!$N$13:$N$488),0)</f>
        <v>125</v>
      </c>
      <c r="Z373" s="112">
        <f>ROUND(SUMIF('JUNE (물량흐름)'!$C$13:$C$502,'WIP(재공품)'!B373,'JUNE (물량흐름)'!$O$13:$O$502),0)</f>
        <v>215</v>
      </c>
      <c r="AA373" s="112">
        <f>ROUND(SUMIF('JUNE (물량흐름)'!$C$13:$C$502,'WIP(재공품)'!B373,'JUNE (물량흐름)'!$P$13:$P$502),0)</f>
        <v>262</v>
      </c>
      <c r="AB373" s="112">
        <f t="shared" ca="1" si="52"/>
        <v>602</v>
      </c>
      <c r="AC373" s="112">
        <f t="shared" si="53"/>
        <v>18918262</v>
      </c>
      <c r="AD373" s="381">
        <f t="shared" ca="1" si="54"/>
        <v>0</v>
      </c>
      <c r="AE373" s="381">
        <f t="shared" si="55"/>
        <v>0</v>
      </c>
      <c r="AF373" s="382"/>
      <c r="AG373" s="382"/>
      <c r="AH373" s="383"/>
      <c r="AJ373" s="383"/>
      <c r="AL373" s="385"/>
      <c r="AM373" s="381"/>
      <c r="AN373" s="382"/>
      <c r="AO373" s="382"/>
      <c r="AP373" s="383"/>
      <c r="AQ373" s="383"/>
    </row>
    <row r="374" spans="1:43" s="384" customFormat="1" ht="27" customHeight="1">
      <c r="A374" s="167">
        <v>369</v>
      </c>
      <c r="B374" s="240">
        <f>VLOOKUP(A374,'JUNE (물량흐름)'!$A$13:$C$502,3,0)</f>
        <v>100019047</v>
      </c>
      <c r="C374" s="21" t="str">
        <f>VLOOKUP(A374,'JUNE (물량흐름)'!$A$13:$C$502,2,0)</f>
        <v>ALFANI</v>
      </c>
      <c r="D374" s="212">
        <v>3.53</v>
      </c>
      <c r="E374" s="6">
        <f>VLOOKUP(B374,'Sales profit (스타일 별 매출이익)'!$D$9:$P$491,13,0)</f>
        <v>80042.75</v>
      </c>
      <c r="F374" s="112">
        <f>IFERROR(VLOOKUP(B374,O.B.JUNE!$N$7:$Q$448,2,0),0)</f>
        <v>0</v>
      </c>
      <c r="G374" s="112">
        <f>IFERROR(VLOOKUP(B374,O.B.JUNE!$N$7:$Q$448,3,0),0)</f>
        <v>0</v>
      </c>
      <c r="H374" s="112">
        <f>IFERROR(VLOOKUP(B374,O.B.JUNE!$N$7:$Q$448,4,0),0)</f>
        <v>9642</v>
      </c>
      <c r="I374" s="112">
        <f t="shared" si="48"/>
        <v>9642</v>
      </c>
      <c r="J374" s="112">
        <f>IFERROR(VLOOKUP(B374,O.B.JUNE!$AA$7:$AG$448,7,0),0)</f>
        <v>184253353</v>
      </c>
      <c r="K374" s="112">
        <f>IFERROR(VLOOKUP(B374,O.B.JUNE!$AI$7:$AO$448,7,0),0)</f>
        <v>353578278</v>
      </c>
      <c r="L374" s="112">
        <f t="shared" si="49"/>
        <v>537831631</v>
      </c>
      <c r="M374" s="112">
        <f>ROUND(SUMIF('JUNE (물량흐름)'!$C$13:$C$502,'WIP(재공품)'!B374,'JUNE (물량흐름)'!$H$13:$H$502)+SUMIF('JUNE (물량흐름)'!$C$13:$C$502,'WIP(재공품)'!B374,'JUNE (물량흐름)'!$V$13:$V$502),0)</f>
        <v>0</v>
      </c>
      <c r="N374" s="112">
        <f>SUMIF('Direct labour(직접노무비)'!$C$12:$C$503,'WIP(재공품)'!B374,'Direct labour(직접노무비)'!$O$12:$O$503)</f>
        <v>0</v>
      </c>
      <c r="O374" s="112">
        <f>SUMIF('Overhead exp(제조경비)'!$C$12:$C$503,'WIP(재공품)'!B374,'Overhead exp(제조경비)'!$O$12:$O$503)</f>
        <v>0</v>
      </c>
      <c r="P374" s="112">
        <f t="shared" si="50"/>
        <v>0</v>
      </c>
      <c r="Q374" s="112">
        <v>0</v>
      </c>
      <c r="R374" s="112">
        <v>0</v>
      </c>
      <c r="S374" s="112">
        <f>SUMIF('JUNE (물량흐름)'!$C$13:$C$493,'WIP(재공품)'!B374,'JUNE (물량흐름)'!$T$13:$T$493)+SUMIF('JUNE (물량흐름)'!$C$13:$C$493,'WIP(재공품)'!B374,'JUNE (물량흐름)'!$U$13:$U$493)+SUMIF('JUNE (물량흐름)'!$C$13:$C$493,'WIP(재공품)'!B374,'JUNE (물량흐름)'!$V$13:$V$493)-SUMIF('JUNE (물량흐름)'!$C$13:$C$493,'WIP(재공품)'!B374,'JUNE (물량흐름)'!$Y$13:$Y$493)</f>
        <v>9264</v>
      </c>
      <c r="T374" s="112">
        <f>SUMIF('JUNE (물량흐름)'!$C$13:$C$502,'WIP(재공품)'!B374,'JUNE (물량흐름)'!$Y$13:$Y$502)</f>
        <v>0</v>
      </c>
      <c r="U374" s="167">
        <f>SUMIF('Direct labour(직접노무비)'!$C$12:$C$503,'WIP(재공품)'!B374,'Direct labour(직접노무비)'!$U$12:$U$503)+SUMIF('Overhead exp(제조경비)'!$C$12:$C$503,'WIP(재공품)'!B374,'Overhead exp(제조경비)'!$U$12:$U$503)</f>
        <v>0</v>
      </c>
      <c r="V374" s="112">
        <f>SUMIF('Direct labour(직접노무비)'!$C$12:$C$503,'WIP(재공품)'!B374,'Direct labour(직접노무비)'!$Q$12:$Q$503)</f>
        <v>177029979</v>
      </c>
      <c r="W374" s="112">
        <f>SUMIF('Overhead exp(제조경비)'!$C$12:$C$503,'WIP(재공품)'!B374,'Overhead exp(제조경비)'!$Q$12:$Q$503)</f>
        <v>339716777</v>
      </c>
      <c r="X374" s="112">
        <f t="shared" si="51"/>
        <v>516746756</v>
      </c>
      <c r="Y374" s="112">
        <f ca="1">ROUND(SUMIF('JUNE (물량흐름)'!$C$13:$C$502,'WIP(재공품)'!B374,'JUNE (물량흐름)'!$N$13:$N$488),0)</f>
        <v>0</v>
      </c>
      <c r="Z374" s="112">
        <f>ROUND(SUMIF('JUNE (물량흐름)'!$C$13:$C$502,'WIP(재공품)'!B374,'JUNE (물량흐름)'!$O$13:$O$502),0)</f>
        <v>0</v>
      </c>
      <c r="AA374" s="112">
        <f>ROUND(SUMIF('JUNE (물량흐름)'!$C$13:$C$502,'WIP(재공품)'!B374,'JUNE (물량흐름)'!$P$13:$P$502),0)</f>
        <v>378</v>
      </c>
      <c r="AB374" s="112">
        <f t="shared" ca="1" si="52"/>
        <v>378</v>
      </c>
      <c r="AC374" s="112">
        <f t="shared" si="53"/>
        <v>21084875</v>
      </c>
      <c r="AD374" s="381">
        <f t="shared" ca="1" si="54"/>
        <v>0</v>
      </c>
      <c r="AE374" s="381">
        <f t="shared" si="55"/>
        <v>0</v>
      </c>
      <c r="AF374" s="382"/>
      <c r="AG374" s="382"/>
      <c r="AH374" s="383"/>
      <c r="AJ374" s="383"/>
      <c r="AL374" s="385"/>
      <c r="AM374" s="381"/>
      <c r="AN374" s="382"/>
      <c r="AO374" s="382"/>
      <c r="AP374" s="383"/>
      <c r="AQ374" s="383"/>
    </row>
    <row r="375" spans="1:43" s="384" customFormat="1" ht="27" customHeight="1">
      <c r="A375" s="167">
        <v>370</v>
      </c>
      <c r="B375" s="240">
        <f>VLOOKUP(A375,'JUNE (물량흐름)'!$A$13:$C$502,3,0)</f>
        <v>466798</v>
      </c>
      <c r="C375" s="21" t="str">
        <f>VLOOKUP(A375,'JUNE (물량흐름)'!$A$13:$C$502,2,0)</f>
        <v>ANN TAYLOR</v>
      </c>
      <c r="D375" s="212">
        <v>3.02</v>
      </c>
      <c r="E375" s="6">
        <f>VLOOKUP(B375,'Sales profit (스타일 별 매출이익)'!$D$9:$P$491,13,0)</f>
        <v>68478.5</v>
      </c>
      <c r="F375" s="112">
        <f>IFERROR(VLOOKUP(B375,O.B.JUNE!$N$7:$Q$448,2,0),0)</f>
        <v>0</v>
      </c>
      <c r="G375" s="112">
        <f>IFERROR(VLOOKUP(B375,O.B.JUNE!$N$7:$Q$448,3,0),0)</f>
        <v>177</v>
      </c>
      <c r="H375" s="112">
        <f>IFERROR(VLOOKUP(B375,O.B.JUNE!$N$7:$Q$448,4,0),0)</f>
        <v>371</v>
      </c>
      <c r="I375" s="112">
        <f t="shared" si="48"/>
        <v>548</v>
      </c>
      <c r="J375" s="112">
        <f>IFERROR(VLOOKUP(B375,O.B.JUNE!$AA$7:$AG$448,7,0),0)</f>
        <v>11183697</v>
      </c>
      <c r="K375" s="112">
        <f>IFERROR(VLOOKUP(B375,O.B.JUNE!$AI$7:$AO$448,7,0),0)</f>
        <v>21648912</v>
      </c>
      <c r="L375" s="112">
        <f t="shared" si="49"/>
        <v>32832609</v>
      </c>
      <c r="M375" s="112">
        <f>ROUND(SUMIF('JUNE (물량흐름)'!$C$13:$C$502,'WIP(재공품)'!B375,'JUNE (물량흐름)'!$H$13:$H$502)+SUMIF('JUNE (물량흐름)'!$C$13:$C$502,'WIP(재공품)'!B375,'JUNE (물량흐름)'!$V$13:$V$502),0)</f>
        <v>0</v>
      </c>
      <c r="N375" s="112">
        <f>SUMIF('Direct labour(직접노무비)'!$C$12:$C$503,'WIP(재공품)'!B375,'Direct labour(직접노무비)'!$O$12:$O$503)</f>
        <v>0</v>
      </c>
      <c r="O375" s="112">
        <f>SUMIF('Overhead exp(제조경비)'!$C$12:$C$503,'WIP(재공품)'!B375,'Overhead exp(제조경비)'!$O$12:$O$503)</f>
        <v>0</v>
      </c>
      <c r="P375" s="112">
        <f t="shared" si="50"/>
        <v>0</v>
      </c>
      <c r="Q375" s="112">
        <v>0</v>
      </c>
      <c r="R375" s="112">
        <v>0</v>
      </c>
      <c r="S375" s="112">
        <f>SUMIF('JUNE (물량흐름)'!$C$13:$C$493,'WIP(재공품)'!B375,'JUNE (물량흐름)'!$T$13:$T$493)+SUMIF('JUNE (물량흐름)'!$C$13:$C$493,'WIP(재공품)'!B375,'JUNE (물량흐름)'!$U$13:$U$493)+SUMIF('JUNE (물량흐름)'!$C$13:$C$493,'WIP(재공품)'!B375,'JUNE (물량흐름)'!$V$13:$V$493)-SUMIF('JUNE (물량흐름)'!$C$13:$C$493,'WIP(재공품)'!B375,'JUNE (물량흐름)'!$Y$13:$Y$493)</f>
        <v>455</v>
      </c>
      <c r="T375" s="112">
        <f>SUMIF('JUNE (물량흐름)'!$C$13:$C$502,'WIP(재공품)'!B375,'JUNE (물량흐름)'!$Y$13:$Y$502)</f>
        <v>0</v>
      </c>
      <c r="U375" s="167">
        <f>SUMIF('Direct labour(직접노무비)'!$C$12:$C$503,'WIP(재공품)'!B375,'Direct labour(직접노무비)'!$U$12:$U$503)+SUMIF('Overhead exp(제조경비)'!$C$12:$C$503,'WIP(재공품)'!B375,'Overhead exp(제조경비)'!$U$12:$U$503)</f>
        <v>0</v>
      </c>
      <c r="V375" s="112">
        <f>SUMIF('Direct labour(직접노무비)'!$C$12:$C$503,'WIP(재공품)'!B375,'Direct labour(직접노무비)'!$Q$12:$Q$503)</f>
        <v>9285734</v>
      </c>
      <c r="W375" s="112">
        <f>SUMIF('Overhead exp(제조경비)'!$C$12:$C$503,'WIP(재공품)'!B375,'Overhead exp(제조경비)'!$Q$12:$Q$503)</f>
        <v>17974918</v>
      </c>
      <c r="X375" s="112">
        <f t="shared" si="51"/>
        <v>27260652</v>
      </c>
      <c r="Y375" s="112">
        <f ca="1">ROUND(SUMIF('JUNE (물량흐름)'!$C$13:$C$502,'WIP(재공품)'!B375,'JUNE (물량흐름)'!$N$13:$N$488),0)</f>
        <v>0</v>
      </c>
      <c r="Z375" s="112">
        <f>ROUND(SUMIF('JUNE (물량흐름)'!$C$13:$C$502,'WIP(재공품)'!B375,'JUNE (물량흐름)'!$O$13:$O$502),0)</f>
        <v>32</v>
      </c>
      <c r="AA375" s="112">
        <f>ROUND(SUMIF('JUNE (물량흐름)'!$C$13:$C$502,'WIP(재공품)'!B375,'JUNE (물량흐름)'!$P$13:$P$502),0)</f>
        <v>61</v>
      </c>
      <c r="AB375" s="112">
        <f t="shared" ca="1" si="52"/>
        <v>93</v>
      </c>
      <c r="AC375" s="112">
        <f t="shared" si="53"/>
        <v>5571957</v>
      </c>
      <c r="AD375" s="381">
        <f t="shared" ca="1" si="54"/>
        <v>0</v>
      </c>
      <c r="AE375" s="381">
        <f t="shared" si="55"/>
        <v>0</v>
      </c>
      <c r="AF375" s="382"/>
      <c r="AG375" s="382"/>
      <c r="AH375" s="383"/>
      <c r="AJ375" s="383"/>
      <c r="AL375" s="385"/>
      <c r="AM375" s="381"/>
      <c r="AN375" s="382"/>
      <c r="AO375" s="382"/>
      <c r="AP375" s="383"/>
      <c r="AQ375" s="383"/>
    </row>
    <row r="376" spans="1:43" s="384" customFormat="1" ht="27" customHeight="1">
      <c r="A376" s="167">
        <v>371</v>
      </c>
      <c r="B376" s="240">
        <f>VLOOKUP(A376,'JUNE (물량흐름)'!$A$13:$C$502,3,0)</f>
        <v>468921</v>
      </c>
      <c r="C376" s="21" t="str">
        <f>VLOOKUP(A376,'JUNE (물량흐름)'!$A$13:$C$502,2,0)</f>
        <v>ANN TAYLOR</v>
      </c>
      <c r="D376" s="212">
        <v>3.15</v>
      </c>
      <c r="E376" s="6">
        <f>VLOOKUP(B376,'Sales profit (스타일 별 매출이익)'!$D$9:$P$491,13,0)</f>
        <v>71426.25</v>
      </c>
      <c r="F376" s="112">
        <f>IFERROR(VLOOKUP(B376,O.B.JUNE!$N$7:$Q$448,2,0),0)</f>
        <v>0</v>
      </c>
      <c r="G376" s="112">
        <f>IFERROR(VLOOKUP(B376,O.B.JUNE!$N$7:$Q$448,3,0),0)</f>
        <v>146</v>
      </c>
      <c r="H376" s="112">
        <f>IFERROR(VLOOKUP(B376,O.B.JUNE!$N$7:$Q$448,4,0),0)</f>
        <v>263</v>
      </c>
      <c r="I376" s="112">
        <f t="shared" si="48"/>
        <v>409</v>
      </c>
      <c r="J376" s="112">
        <f>IFERROR(VLOOKUP(B376,O.B.JUNE!$AA$7:$AG$448,7,0),0)</f>
        <v>8858993</v>
      </c>
      <c r="K376" s="112">
        <f>IFERROR(VLOOKUP(B376,O.B.JUNE!$AI$7:$AO$448,7,0),0)</f>
        <v>17257593</v>
      </c>
      <c r="L376" s="112">
        <f t="shared" si="49"/>
        <v>26116586</v>
      </c>
      <c r="M376" s="112">
        <f>ROUND(SUMIF('JUNE (물량흐름)'!$C$13:$C$502,'WIP(재공품)'!B376,'JUNE (물량흐름)'!$H$13:$H$502)+SUMIF('JUNE (물량흐름)'!$C$13:$C$502,'WIP(재공품)'!B376,'JUNE (물량흐름)'!$V$13:$V$502),0)</f>
        <v>0</v>
      </c>
      <c r="N376" s="112">
        <f>SUMIF('Direct labour(직접노무비)'!$C$12:$C$503,'WIP(재공품)'!B376,'Direct labour(직접노무비)'!$O$12:$O$503)</f>
        <v>0</v>
      </c>
      <c r="O376" s="112">
        <f>SUMIF('Overhead exp(제조경비)'!$C$12:$C$503,'WIP(재공품)'!B376,'Overhead exp(제조경비)'!$O$12:$O$503)</f>
        <v>0</v>
      </c>
      <c r="P376" s="112">
        <f t="shared" si="50"/>
        <v>0</v>
      </c>
      <c r="Q376" s="112">
        <v>0</v>
      </c>
      <c r="R376" s="112">
        <v>0</v>
      </c>
      <c r="S376" s="112">
        <f>SUMIF('JUNE (물량흐름)'!$C$13:$C$493,'WIP(재공품)'!B376,'JUNE (물량흐름)'!$T$13:$T$493)+SUMIF('JUNE (물량흐름)'!$C$13:$C$493,'WIP(재공품)'!B376,'JUNE (물량흐름)'!$U$13:$U$493)+SUMIF('JUNE (물량흐름)'!$C$13:$C$493,'WIP(재공품)'!B376,'JUNE (물량흐름)'!$V$13:$V$493)-SUMIF('JUNE (물량흐름)'!$C$13:$C$493,'WIP(재공품)'!B376,'JUNE (물량흐름)'!$Y$13:$Y$493)</f>
        <v>87</v>
      </c>
      <c r="T376" s="112">
        <f>SUMIF('JUNE (물량흐름)'!$C$13:$C$502,'WIP(재공품)'!B376,'JUNE (물량흐름)'!$Y$13:$Y$502)</f>
        <v>11</v>
      </c>
      <c r="U376" s="167">
        <f>SUMIF('Direct labour(직접노무비)'!$C$12:$C$503,'WIP(재공품)'!B376,'Direct labour(직접노무비)'!$U$12:$U$503)+SUMIF('Overhead exp(제조경비)'!$C$12:$C$503,'WIP(재공품)'!B376,'Overhead exp(제조경비)'!$U$12:$U$503)</f>
        <v>702402</v>
      </c>
      <c r="V376" s="112">
        <f>SUMIF('Direct labour(직접노무비)'!$C$12:$C$503,'WIP(재공품)'!B376,'Direct labour(직접노무비)'!$Q$12:$Q$503)</f>
        <v>1884431</v>
      </c>
      <c r="W376" s="112">
        <f>SUMIF('Overhead exp(제조경비)'!$C$12:$C$503,'WIP(재공품)'!B376,'Overhead exp(제조경비)'!$Q$12:$Q$503)</f>
        <v>3670931</v>
      </c>
      <c r="X376" s="112">
        <f t="shared" si="51"/>
        <v>5555362</v>
      </c>
      <c r="Y376" s="112">
        <f ca="1">ROUND(SUMIF('JUNE (물량흐름)'!$C$13:$C$502,'WIP(재공품)'!B376,'JUNE (물량흐름)'!$N$13:$N$488),0)</f>
        <v>0</v>
      </c>
      <c r="Z376" s="112">
        <f>ROUND(SUMIF('JUNE (물량흐름)'!$C$13:$C$502,'WIP(재공품)'!B376,'JUNE (물량흐름)'!$O$13:$O$502),0)</f>
        <v>146</v>
      </c>
      <c r="AA376" s="112">
        <f>ROUND(SUMIF('JUNE (물량흐름)'!$C$13:$C$502,'WIP(재공품)'!B376,'JUNE (물량흐름)'!$P$13:$P$502),0)</f>
        <v>165</v>
      </c>
      <c r="AB376" s="112">
        <f t="shared" ca="1" si="52"/>
        <v>311</v>
      </c>
      <c r="AC376" s="112">
        <f t="shared" si="53"/>
        <v>19858822</v>
      </c>
      <c r="AD376" s="381">
        <f t="shared" ca="1" si="54"/>
        <v>0</v>
      </c>
      <c r="AE376" s="381">
        <f t="shared" si="55"/>
        <v>0</v>
      </c>
      <c r="AF376" s="382"/>
      <c r="AG376" s="382"/>
      <c r="AH376" s="383"/>
      <c r="AJ376" s="383"/>
      <c r="AL376" s="385"/>
      <c r="AM376" s="381"/>
      <c r="AN376" s="382"/>
      <c r="AO376" s="382"/>
      <c r="AP376" s="383"/>
      <c r="AQ376" s="383"/>
    </row>
    <row r="377" spans="1:43" s="384" customFormat="1" ht="27" customHeight="1">
      <c r="A377" s="167">
        <v>372</v>
      </c>
      <c r="B377" s="240">
        <f>VLOOKUP(A377,'JUNE (물량흐름)'!$A$13:$C$502,3,0)</f>
        <v>469052</v>
      </c>
      <c r="C377" s="21" t="str">
        <f>VLOOKUP(A377,'JUNE (물량흐름)'!$A$13:$C$502,2,0)</f>
        <v>ANN TAYLOR</v>
      </c>
      <c r="D377" s="212">
        <v>1.48</v>
      </c>
      <c r="E377" s="6">
        <f>VLOOKUP(B377,'Sales profit (스타일 별 매출이익)'!$D$9:$P$491,13,0)</f>
        <v>33559</v>
      </c>
      <c r="F377" s="112">
        <f>IFERROR(VLOOKUP(B377,O.B.JUNE!$N$7:$Q$448,2,0),0)</f>
        <v>0</v>
      </c>
      <c r="G377" s="112">
        <f>IFERROR(VLOOKUP(B377,O.B.JUNE!$N$7:$Q$448,3,0),0)</f>
        <v>452</v>
      </c>
      <c r="H377" s="112">
        <f>IFERROR(VLOOKUP(B377,O.B.JUNE!$N$7:$Q$448,4,0),0)</f>
        <v>455</v>
      </c>
      <c r="I377" s="112">
        <f t="shared" si="48"/>
        <v>907</v>
      </c>
      <c r="J377" s="112">
        <f>IFERROR(VLOOKUP(B377,O.B.JUNE!$AA$7:$AG$448,7,0),0)</f>
        <v>8906042</v>
      </c>
      <c r="K377" s="112">
        <f>IFERROR(VLOOKUP(B377,O.B.JUNE!$AI$7:$AO$448,7,0),0)</f>
        <v>17266322</v>
      </c>
      <c r="L377" s="112">
        <f t="shared" si="49"/>
        <v>26172364</v>
      </c>
      <c r="M377" s="112">
        <f>ROUND(SUMIF('JUNE (물량흐름)'!$C$13:$C$502,'WIP(재공품)'!B377,'JUNE (물량흐름)'!$H$13:$H$502)+SUMIF('JUNE (물량흐름)'!$C$13:$C$502,'WIP(재공품)'!B377,'JUNE (물량흐름)'!$V$13:$V$502),0)</f>
        <v>0</v>
      </c>
      <c r="N377" s="112">
        <f>SUMIF('Direct labour(직접노무비)'!$C$12:$C$503,'WIP(재공품)'!B377,'Direct labour(직접노무비)'!$O$12:$O$503)</f>
        <v>0</v>
      </c>
      <c r="O377" s="112">
        <f>SUMIF('Overhead exp(제조경비)'!$C$12:$C$503,'WIP(재공품)'!B377,'Overhead exp(제조경비)'!$O$12:$O$503)</f>
        <v>0</v>
      </c>
      <c r="P377" s="112">
        <f t="shared" si="50"/>
        <v>0</v>
      </c>
      <c r="Q377" s="112">
        <v>0</v>
      </c>
      <c r="R377" s="112">
        <v>0</v>
      </c>
      <c r="S377" s="112">
        <f>SUMIF('JUNE (물량흐름)'!$C$13:$C$493,'WIP(재공품)'!B377,'JUNE (물량흐름)'!$T$13:$T$493)+SUMIF('JUNE (물량흐름)'!$C$13:$C$493,'WIP(재공품)'!B377,'JUNE (물량흐름)'!$U$13:$U$493)+SUMIF('JUNE (물량흐름)'!$C$13:$C$493,'WIP(재공품)'!B377,'JUNE (물량흐름)'!$V$13:$V$493)-SUMIF('JUNE (물량흐름)'!$C$13:$C$493,'WIP(재공품)'!B377,'JUNE (물량흐름)'!$Y$13:$Y$493)</f>
        <v>1</v>
      </c>
      <c r="T377" s="112">
        <f>SUMIF('JUNE (물량흐름)'!$C$13:$C$502,'WIP(재공품)'!B377,'JUNE (물량흐름)'!$Y$13:$Y$502)</f>
        <v>10</v>
      </c>
      <c r="U377" s="167">
        <f>SUMIF('Direct labour(직접노무비)'!$C$12:$C$503,'WIP(재공품)'!B377,'Direct labour(직접노무비)'!$U$12:$U$503)+SUMIF('Overhead exp(제조경비)'!$C$12:$C$503,'WIP(재공품)'!B377,'Overhead exp(제조경비)'!$U$12:$U$503)</f>
        <v>288559</v>
      </c>
      <c r="V377" s="112">
        <f>SUMIF('Direct labour(직접노무비)'!$C$12:$C$503,'WIP(재공품)'!B377,'Direct labour(직접노무비)'!$Q$12:$Q$503)</f>
        <v>9819</v>
      </c>
      <c r="W377" s="112">
        <f>SUMIF('Overhead exp(제조경비)'!$C$12:$C$503,'WIP(재공품)'!B377,'Overhead exp(제조경비)'!$Q$12:$Q$503)</f>
        <v>19037</v>
      </c>
      <c r="X377" s="112">
        <f t="shared" si="51"/>
        <v>28856</v>
      </c>
      <c r="Y377" s="112">
        <f ca="1">ROUND(SUMIF('JUNE (물량흐름)'!$C$13:$C$502,'WIP(재공품)'!B377,'JUNE (물량흐름)'!$N$13:$N$488),0)</f>
        <v>0</v>
      </c>
      <c r="Z377" s="112">
        <f>ROUND(SUMIF('JUNE (물량흐름)'!$C$13:$C$502,'WIP(재공품)'!B377,'JUNE (물량흐름)'!$O$13:$O$502),0)</f>
        <v>452</v>
      </c>
      <c r="AA377" s="112">
        <f>ROUND(SUMIF('JUNE (물량흐름)'!$C$13:$C$502,'WIP(재공품)'!B377,'JUNE (물량흐름)'!$P$13:$P$502),0)</f>
        <v>444</v>
      </c>
      <c r="AB377" s="112">
        <f t="shared" ca="1" si="52"/>
        <v>896</v>
      </c>
      <c r="AC377" s="112">
        <f t="shared" si="53"/>
        <v>25854949</v>
      </c>
      <c r="AD377" s="381">
        <f t="shared" ca="1" si="54"/>
        <v>0</v>
      </c>
      <c r="AE377" s="381">
        <f t="shared" si="55"/>
        <v>0</v>
      </c>
      <c r="AF377" s="382"/>
      <c r="AG377" s="382"/>
      <c r="AH377" s="383"/>
      <c r="AJ377" s="383"/>
      <c r="AL377" s="385"/>
      <c r="AM377" s="381"/>
      <c r="AN377" s="382"/>
      <c r="AO377" s="382"/>
      <c r="AP377" s="383"/>
      <c r="AQ377" s="383"/>
    </row>
    <row r="378" spans="1:43" s="384" customFormat="1" ht="27" customHeight="1">
      <c r="A378" s="167">
        <v>373</v>
      </c>
      <c r="B378" s="240">
        <f>VLOOKUP(A378,'JUNE (물량흐름)'!$A$13:$C$502,3,0)</f>
        <v>469493</v>
      </c>
      <c r="C378" s="21" t="str">
        <f>VLOOKUP(A378,'JUNE (물량흐름)'!$A$13:$C$502,2,0)</f>
        <v>ANN TAYLOR</v>
      </c>
      <c r="D378" s="212">
        <v>3.02</v>
      </c>
      <c r="E378" s="6">
        <f>VLOOKUP(B378,'Sales profit (스타일 별 매출이익)'!$D$9:$P$491,13,0)</f>
        <v>68478.5</v>
      </c>
      <c r="F378" s="112">
        <f>IFERROR(VLOOKUP(B378,O.B.JUNE!$N$7:$Q$448,2,0),0)</f>
        <v>0</v>
      </c>
      <c r="G378" s="112">
        <f>IFERROR(VLOOKUP(B378,O.B.JUNE!$N$7:$Q$448,3,0),0)</f>
        <v>65</v>
      </c>
      <c r="H378" s="112">
        <f>IFERROR(VLOOKUP(B378,O.B.JUNE!$N$7:$Q$448,4,0),0)</f>
        <v>563</v>
      </c>
      <c r="I378" s="112">
        <f t="shared" si="48"/>
        <v>628</v>
      </c>
      <c r="J378" s="112">
        <f>IFERROR(VLOOKUP(B378,O.B.JUNE!$AA$7:$AG$448,7,0),0)</f>
        <v>12844452</v>
      </c>
      <c r="K378" s="112">
        <f>IFERROR(VLOOKUP(B378,O.B.JUNE!$AI$7:$AO$448,7,0),0)</f>
        <v>24993910</v>
      </c>
      <c r="L378" s="112">
        <f t="shared" si="49"/>
        <v>37838362</v>
      </c>
      <c r="M378" s="112">
        <f>ROUND(SUMIF('JUNE (물량흐름)'!$C$13:$C$502,'WIP(재공품)'!B378,'JUNE (물량흐름)'!$H$13:$H$502)+SUMIF('JUNE (물량흐름)'!$C$13:$C$502,'WIP(재공품)'!B378,'JUNE (물량흐름)'!$V$13:$V$502),0)</f>
        <v>0</v>
      </c>
      <c r="N378" s="112">
        <f>SUMIF('Direct labour(직접노무비)'!$C$12:$C$503,'WIP(재공품)'!B378,'Direct labour(직접노무비)'!$O$12:$O$503)</f>
        <v>0</v>
      </c>
      <c r="O378" s="112">
        <f>SUMIF('Overhead exp(제조경비)'!$C$12:$C$503,'WIP(재공품)'!B378,'Overhead exp(제조경비)'!$O$12:$O$503)</f>
        <v>0</v>
      </c>
      <c r="P378" s="112">
        <f t="shared" si="50"/>
        <v>0</v>
      </c>
      <c r="Q378" s="112">
        <v>0</v>
      </c>
      <c r="R378" s="112">
        <v>0</v>
      </c>
      <c r="S378" s="112">
        <f>SUMIF('JUNE (물량흐름)'!$C$13:$C$493,'WIP(재공품)'!B378,'JUNE (물량흐름)'!$T$13:$T$493)+SUMIF('JUNE (물량흐름)'!$C$13:$C$493,'WIP(재공품)'!B378,'JUNE (물량흐름)'!$U$13:$U$493)+SUMIF('JUNE (물량흐름)'!$C$13:$C$493,'WIP(재공품)'!B378,'JUNE (물량흐름)'!$V$13:$V$493)-SUMIF('JUNE (물량흐름)'!$C$13:$C$493,'WIP(재공품)'!B378,'JUNE (물량흐름)'!$Y$13:$Y$493)</f>
        <v>386</v>
      </c>
      <c r="T378" s="112">
        <f>SUMIF('JUNE (물량흐름)'!$C$13:$C$502,'WIP(재공품)'!B378,'JUNE (물량흐름)'!$Y$13:$Y$502)</f>
        <v>6</v>
      </c>
      <c r="U378" s="167">
        <f>SUMIF('Direct labour(직접노무비)'!$C$12:$C$503,'WIP(재공품)'!B378,'Direct labour(직접노무비)'!$U$12:$U$503)+SUMIF('Overhead exp(제조경비)'!$C$12:$C$503,'WIP(재공품)'!B378,'Overhead exp(제조경비)'!$U$12:$U$503)</f>
        <v>361513</v>
      </c>
      <c r="V378" s="112">
        <f>SUMIF('Direct labour(직접노무비)'!$C$12:$C$503,'WIP(재공품)'!B378,'Direct labour(직접노무비)'!$Q$12:$Q$503)</f>
        <v>7894838</v>
      </c>
      <c r="W378" s="112">
        <f>SUMIF('Overhead exp(제조경비)'!$C$12:$C$503,'WIP(재공품)'!B378,'Overhead exp(제조경비)'!$Q$12:$Q$503)</f>
        <v>15362499</v>
      </c>
      <c r="X378" s="112">
        <f t="shared" si="51"/>
        <v>23257337</v>
      </c>
      <c r="Y378" s="112">
        <f ca="1">ROUND(SUMIF('JUNE (물량흐름)'!$C$13:$C$502,'WIP(재공품)'!B378,'JUNE (물량흐름)'!$N$13:$N$488),0)</f>
        <v>0</v>
      </c>
      <c r="Z378" s="112">
        <f>ROUND(SUMIF('JUNE (물량흐름)'!$C$13:$C$502,'WIP(재공품)'!B378,'JUNE (물량흐름)'!$O$13:$O$502),0)</f>
        <v>31</v>
      </c>
      <c r="AA378" s="112">
        <f>ROUND(SUMIF('JUNE (물량흐름)'!$C$13:$C$502,'WIP(재공품)'!B378,'JUNE (물량흐름)'!$P$13:$P$502),0)</f>
        <v>205</v>
      </c>
      <c r="AB378" s="112">
        <f t="shared" ca="1" si="52"/>
        <v>236</v>
      </c>
      <c r="AC378" s="112">
        <f t="shared" si="53"/>
        <v>14219512</v>
      </c>
      <c r="AD378" s="381">
        <f t="shared" ca="1" si="54"/>
        <v>0</v>
      </c>
      <c r="AE378" s="381">
        <f t="shared" si="55"/>
        <v>0</v>
      </c>
      <c r="AF378" s="382"/>
      <c r="AG378" s="382"/>
      <c r="AH378" s="383"/>
      <c r="AJ378" s="383"/>
      <c r="AL378" s="385"/>
      <c r="AM378" s="381"/>
      <c r="AN378" s="382"/>
      <c r="AO378" s="382"/>
      <c r="AP378" s="383"/>
      <c r="AQ378" s="383"/>
    </row>
    <row r="379" spans="1:43" s="384" customFormat="1" ht="27" customHeight="1">
      <c r="A379" s="167">
        <v>374</v>
      </c>
      <c r="B379" s="240">
        <f>VLOOKUP(A379,'JUNE (물량흐름)'!$A$13:$C$502,3,0)</f>
        <v>470238</v>
      </c>
      <c r="C379" s="21" t="str">
        <f>VLOOKUP(A379,'JUNE (물량흐름)'!$A$13:$C$502,2,0)</f>
        <v>ANN TAYLOR</v>
      </c>
      <c r="D379" s="212">
        <v>1.53</v>
      </c>
      <c r="E379" s="6">
        <f>VLOOKUP(B379,'Sales profit (스타일 별 매출이익)'!$D$9:$P$491,13,0)</f>
        <v>34692.75</v>
      </c>
      <c r="F379" s="112">
        <f>IFERROR(VLOOKUP(B379,O.B.JUNE!$N$7:$Q$448,2,0),0)</f>
        <v>11</v>
      </c>
      <c r="G379" s="112">
        <f>IFERROR(VLOOKUP(B379,O.B.JUNE!$N$7:$Q$448,3,0),0)</f>
        <v>793</v>
      </c>
      <c r="H379" s="112">
        <f>IFERROR(VLOOKUP(B379,O.B.JUNE!$N$7:$Q$448,4,0),0)</f>
        <v>66</v>
      </c>
      <c r="I379" s="112">
        <f t="shared" si="48"/>
        <v>870</v>
      </c>
      <c r="J379" s="112">
        <f>IFERROR(VLOOKUP(B379,O.B.JUNE!$AA$7:$AG$448,7,0),0)</f>
        <v>8491925</v>
      </c>
      <c r="K379" s="112">
        <f>IFERROR(VLOOKUP(B379,O.B.JUNE!$AI$7:$AO$448,7,0),0)</f>
        <v>16016690</v>
      </c>
      <c r="L379" s="112">
        <f t="shared" si="49"/>
        <v>24508615</v>
      </c>
      <c r="M379" s="112">
        <f>ROUND(SUMIF('JUNE (물량흐름)'!$C$13:$C$502,'WIP(재공품)'!B379,'JUNE (물량흐름)'!$H$13:$H$502)+SUMIF('JUNE (물량흐름)'!$C$13:$C$502,'WIP(재공품)'!B379,'JUNE (물량흐름)'!$V$13:$V$502),0)</f>
        <v>0</v>
      </c>
      <c r="N379" s="112">
        <f>SUMIF('Direct labour(직접노무비)'!$C$12:$C$503,'WIP(재공품)'!B379,'Direct labour(직접노무비)'!$O$12:$O$503)</f>
        <v>0</v>
      </c>
      <c r="O379" s="112">
        <f>SUMIF('Overhead exp(제조경비)'!$C$12:$C$503,'WIP(재공품)'!B379,'Overhead exp(제조경비)'!$O$12:$O$503)</f>
        <v>0</v>
      </c>
      <c r="P379" s="112">
        <f t="shared" si="50"/>
        <v>0</v>
      </c>
      <c r="Q379" s="112">
        <v>0</v>
      </c>
      <c r="R379" s="112">
        <v>0</v>
      </c>
      <c r="S379" s="112">
        <f>SUMIF('JUNE (물량흐름)'!$C$13:$C$493,'WIP(재공품)'!B379,'JUNE (물량흐름)'!$T$13:$T$493)+SUMIF('JUNE (물량흐름)'!$C$13:$C$493,'WIP(재공품)'!B379,'JUNE (물량흐름)'!$U$13:$U$493)+SUMIF('JUNE (물량흐름)'!$C$13:$C$493,'WIP(재공품)'!B379,'JUNE (물량흐름)'!$V$13:$V$493)-SUMIF('JUNE (물량흐름)'!$C$13:$C$493,'WIP(재공품)'!B379,'JUNE (물량흐름)'!$Y$13:$Y$493)</f>
        <v>0</v>
      </c>
      <c r="T379" s="112">
        <f>SUMIF('JUNE (물량흐름)'!$C$13:$C$502,'WIP(재공품)'!B379,'JUNE (물량흐름)'!$Y$13:$Y$502)</f>
        <v>12</v>
      </c>
      <c r="U379" s="167">
        <f>SUMIF('Direct labour(직접노무비)'!$C$12:$C$503,'WIP(재공품)'!B379,'Direct labour(직접노무비)'!$U$12:$U$503)+SUMIF('Overhead exp(제조경비)'!$C$12:$C$503,'WIP(재공품)'!B379,'Overhead exp(제조경비)'!$U$12:$U$503)</f>
        <v>338050</v>
      </c>
      <c r="V379" s="112">
        <f>SUMIF('Direct labour(직접노무비)'!$C$12:$C$503,'WIP(재공품)'!B379,'Direct labour(직접노무비)'!$Q$12:$Q$503)</f>
        <v>0</v>
      </c>
      <c r="W379" s="112">
        <f>SUMIF('Overhead exp(제조경비)'!$C$12:$C$503,'WIP(재공품)'!B379,'Overhead exp(제조경비)'!$Q$12:$Q$503)</f>
        <v>0</v>
      </c>
      <c r="X379" s="112">
        <f t="shared" si="51"/>
        <v>0</v>
      </c>
      <c r="Y379" s="112">
        <f ca="1">ROUND(SUMIF('JUNE (물량흐름)'!$C$13:$C$502,'WIP(재공품)'!B379,'JUNE (물량흐름)'!$N$13:$N$488),0)</f>
        <v>11</v>
      </c>
      <c r="Z379" s="112">
        <f>ROUND(SUMIF('JUNE (물량흐름)'!$C$13:$C$502,'WIP(재공품)'!B379,'JUNE (물량흐름)'!$O$13:$O$502),0)</f>
        <v>793</v>
      </c>
      <c r="AA379" s="112">
        <f>ROUND(SUMIF('JUNE (물량흐름)'!$C$13:$C$502,'WIP(재공품)'!B379,'JUNE (물량흐름)'!$P$13:$P$502),0)</f>
        <v>54</v>
      </c>
      <c r="AB379" s="112">
        <f t="shared" ca="1" si="52"/>
        <v>858</v>
      </c>
      <c r="AC379" s="112">
        <f t="shared" si="53"/>
        <v>24170565</v>
      </c>
      <c r="AD379" s="381">
        <f t="shared" ca="1" si="54"/>
        <v>0</v>
      </c>
      <c r="AE379" s="381">
        <f t="shared" si="55"/>
        <v>0</v>
      </c>
      <c r="AF379" s="382"/>
      <c r="AG379" s="382"/>
      <c r="AH379" s="383"/>
      <c r="AJ379" s="383"/>
      <c r="AL379" s="385"/>
      <c r="AM379" s="381"/>
      <c r="AN379" s="382"/>
      <c r="AO379" s="382"/>
      <c r="AP379" s="383"/>
      <c r="AQ379" s="383"/>
    </row>
    <row r="380" spans="1:43" s="384" customFormat="1" ht="27" customHeight="1">
      <c r="A380" s="167">
        <v>375</v>
      </c>
      <c r="B380" s="240">
        <f>VLOOKUP(A380,'JUNE (물량흐름)'!$A$13:$C$502,3,0)</f>
        <v>470342</v>
      </c>
      <c r="C380" s="21" t="str">
        <f>VLOOKUP(A380,'JUNE (물량흐름)'!$A$13:$C$502,2,0)</f>
        <v>ANN TAYLOR</v>
      </c>
      <c r="D380" s="212">
        <v>1.47</v>
      </c>
      <c r="E380" s="6">
        <f>VLOOKUP(B380,'Sales profit (스타일 별 매출이익)'!$D$9:$P$491,13,0)</f>
        <v>33332.25</v>
      </c>
      <c r="F380" s="112">
        <f>IFERROR(VLOOKUP(B380,O.B.JUNE!$N$7:$Q$448,2,0),0)</f>
        <v>0</v>
      </c>
      <c r="G380" s="112">
        <f>IFERROR(VLOOKUP(B380,O.B.JUNE!$N$7:$Q$448,3,0),0)</f>
        <v>138</v>
      </c>
      <c r="H380" s="112">
        <f>IFERROR(VLOOKUP(B380,O.B.JUNE!$N$7:$Q$448,4,0),0)</f>
        <v>1288</v>
      </c>
      <c r="I380" s="112">
        <f t="shared" si="48"/>
        <v>1426</v>
      </c>
      <c r="J380" s="112">
        <f>IFERROR(VLOOKUP(B380,O.B.JUNE!$AA$7:$AG$448,7,0),0)</f>
        <v>14293033</v>
      </c>
      <c r="K380" s="112">
        <f>IFERROR(VLOOKUP(B380,O.B.JUNE!$AI$7:$AO$448,7,0),0)</f>
        <v>27739838</v>
      </c>
      <c r="L380" s="112">
        <f t="shared" si="49"/>
        <v>42032871</v>
      </c>
      <c r="M380" s="112">
        <f>ROUND(SUMIF('JUNE (물량흐름)'!$C$13:$C$502,'WIP(재공품)'!B380,'JUNE (물량흐름)'!$H$13:$H$502)+SUMIF('JUNE (물량흐름)'!$C$13:$C$502,'WIP(재공품)'!B380,'JUNE (물량흐름)'!$V$13:$V$502),0)</f>
        <v>0</v>
      </c>
      <c r="N380" s="112">
        <f>SUMIF('Direct labour(직접노무비)'!$C$12:$C$503,'WIP(재공품)'!B380,'Direct labour(직접노무비)'!$O$12:$O$503)</f>
        <v>0</v>
      </c>
      <c r="O380" s="112">
        <f>SUMIF('Overhead exp(제조경비)'!$C$12:$C$503,'WIP(재공품)'!B380,'Overhead exp(제조경비)'!$O$12:$O$503)</f>
        <v>0</v>
      </c>
      <c r="P380" s="112">
        <f t="shared" si="50"/>
        <v>0</v>
      </c>
      <c r="Q380" s="112">
        <v>0</v>
      </c>
      <c r="R380" s="112">
        <v>0</v>
      </c>
      <c r="S380" s="112">
        <f>SUMIF('JUNE (물량흐름)'!$C$13:$C$493,'WIP(재공품)'!B380,'JUNE (물량흐름)'!$T$13:$T$493)+SUMIF('JUNE (물량흐름)'!$C$13:$C$493,'WIP(재공품)'!B380,'JUNE (물량흐름)'!$U$13:$U$493)+SUMIF('JUNE (물량흐름)'!$C$13:$C$493,'WIP(재공품)'!B380,'JUNE (물량흐름)'!$V$13:$V$493)-SUMIF('JUNE (물량흐름)'!$C$13:$C$493,'WIP(재공품)'!B380,'JUNE (물량흐름)'!$Y$13:$Y$493)</f>
        <v>0</v>
      </c>
      <c r="T380" s="112">
        <f>SUMIF('JUNE (물량흐름)'!$C$13:$C$502,'WIP(재공품)'!B380,'JUNE (물량흐름)'!$Y$13:$Y$502)</f>
        <v>0</v>
      </c>
      <c r="U380" s="167">
        <f>SUMIF('Direct labour(직접노무비)'!$C$12:$C$503,'WIP(재공품)'!B380,'Direct labour(직접노무비)'!$U$12:$U$503)+SUMIF('Overhead exp(제조경비)'!$C$12:$C$503,'WIP(재공품)'!B380,'Overhead exp(제조경비)'!$U$12:$U$503)</f>
        <v>0</v>
      </c>
      <c r="V380" s="112">
        <f>SUMIF('Direct labour(직접노무비)'!$C$12:$C$503,'WIP(재공품)'!B380,'Direct labour(직접노무비)'!$Q$12:$Q$503)</f>
        <v>0</v>
      </c>
      <c r="W380" s="112">
        <f>SUMIF('Overhead exp(제조경비)'!$C$12:$C$503,'WIP(재공품)'!B380,'Overhead exp(제조경비)'!$Q$12:$Q$503)</f>
        <v>0</v>
      </c>
      <c r="X380" s="112">
        <f t="shared" si="51"/>
        <v>0</v>
      </c>
      <c r="Y380" s="112">
        <f ca="1">ROUND(SUMIF('JUNE (물량흐름)'!$C$13:$C$502,'WIP(재공품)'!B380,'JUNE (물량흐름)'!$N$13:$N$488),0)</f>
        <v>0</v>
      </c>
      <c r="Z380" s="112">
        <f>ROUND(SUMIF('JUNE (물량흐름)'!$C$13:$C$502,'WIP(재공품)'!B380,'JUNE (물량흐름)'!$O$13:$O$502),0)</f>
        <v>138</v>
      </c>
      <c r="AA380" s="112">
        <f>ROUND(SUMIF('JUNE (물량흐름)'!$C$13:$C$502,'WIP(재공품)'!B380,'JUNE (물량흐름)'!$P$13:$P$502),0)</f>
        <v>1288</v>
      </c>
      <c r="AB380" s="112">
        <f t="shared" ca="1" si="52"/>
        <v>1426</v>
      </c>
      <c r="AC380" s="112">
        <f t="shared" si="53"/>
        <v>42032871</v>
      </c>
      <c r="AD380" s="381">
        <f t="shared" ca="1" si="54"/>
        <v>0</v>
      </c>
      <c r="AE380" s="381">
        <f t="shared" si="55"/>
        <v>0</v>
      </c>
      <c r="AF380" s="382"/>
      <c r="AG380" s="382"/>
      <c r="AH380" s="383"/>
      <c r="AJ380" s="383"/>
      <c r="AL380" s="385"/>
      <c r="AM380" s="381"/>
      <c r="AN380" s="382"/>
      <c r="AO380" s="382"/>
      <c r="AP380" s="383"/>
      <c r="AQ380" s="383"/>
    </row>
    <row r="381" spans="1:43" s="384" customFormat="1" ht="27" customHeight="1">
      <c r="A381" s="167">
        <v>376</v>
      </c>
      <c r="B381" s="240">
        <f>VLOOKUP(A381,'JUNE (물량흐름)'!$A$13:$C$502,3,0)</f>
        <v>474049</v>
      </c>
      <c r="C381" s="21" t="str">
        <f>VLOOKUP(A381,'JUNE (물량흐름)'!$A$13:$C$502,2,0)</f>
        <v>ANN TAYLOR</v>
      </c>
      <c r="D381" s="212">
        <v>1.66</v>
      </c>
      <c r="E381" s="6">
        <f>VLOOKUP(B381,'Sales profit (스타일 별 매출이익)'!$D$9:$P$491,13,0)</f>
        <v>37640.5</v>
      </c>
      <c r="F381" s="112">
        <f>IFERROR(VLOOKUP(B381,O.B.JUNE!$N$7:$Q$448,2,0),0)</f>
        <v>3</v>
      </c>
      <c r="G381" s="112">
        <f>IFERROR(VLOOKUP(B381,O.B.JUNE!$N$7:$Q$448,3,0),0)</f>
        <v>73</v>
      </c>
      <c r="H381" s="112">
        <f>IFERROR(VLOOKUP(B381,O.B.JUNE!$N$7:$Q$448,4,0),0)</f>
        <v>907</v>
      </c>
      <c r="I381" s="112">
        <f t="shared" si="48"/>
        <v>983</v>
      </c>
      <c r="J381" s="112">
        <f>IFERROR(VLOOKUP(B381,O.B.JUNE!$AA$7:$AG$448,7,0),0)</f>
        <v>14944866</v>
      </c>
      <c r="K381" s="112">
        <f>IFERROR(VLOOKUP(B381,O.B.JUNE!$AI$7:$AO$448,7,0),0)</f>
        <v>28474327</v>
      </c>
      <c r="L381" s="112">
        <f t="shared" si="49"/>
        <v>43419193</v>
      </c>
      <c r="M381" s="112">
        <f>ROUND(SUMIF('JUNE (물량흐름)'!$C$13:$C$502,'WIP(재공품)'!B381,'JUNE (물량흐름)'!$H$13:$H$502)+SUMIF('JUNE (물량흐름)'!$C$13:$C$502,'WIP(재공품)'!B381,'JUNE (물량흐름)'!$V$13:$V$502),0)</f>
        <v>0</v>
      </c>
      <c r="N381" s="112">
        <f>SUMIF('Direct labour(직접노무비)'!$C$12:$C$503,'WIP(재공품)'!B381,'Direct labour(직접노무비)'!$O$12:$O$503)</f>
        <v>0</v>
      </c>
      <c r="O381" s="112">
        <f>SUMIF('Overhead exp(제조경비)'!$C$12:$C$503,'WIP(재공품)'!B381,'Overhead exp(제조경비)'!$O$12:$O$503)</f>
        <v>0</v>
      </c>
      <c r="P381" s="112">
        <f t="shared" si="50"/>
        <v>0</v>
      </c>
      <c r="Q381" s="112">
        <v>0</v>
      </c>
      <c r="R381" s="112">
        <v>0</v>
      </c>
      <c r="S381" s="112">
        <f>SUMIF('JUNE (물량흐름)'!$C$13:$C$493,'WIP(재공품)'!B381,'JUNE (물량흐름)'!$T$13:$T$493)+SUMIF('JUNE (물량흐름)'!$C$13:$C$493,'WIP(재공품)'!B381,'JUNE (물량흐름)'!$U$13:$U$493)+SUMIF('JUNE (물량흐름)'!$C$13:$C$493,'WIP(재공품)'!B381,'JUNE (물량흐름)'!$V$13:$V$493)-SUMIF('JUNE (물량흐름)'!$C$13:$C$493,'WIP(재공품)'!B381,'JUNE (물량흐름)'!$Y$13:$Y$493)</f>
        <v>0</v>
      </c>
      <c r="T381" s="112">
        <f>SUMIF('JUNE (물량흐름)'!$C$13:$C$502,'WIP(재공품)'!B381,'JUNE (물량흐름)'!$Y$13:$Y$502)</f>
        <v>0</v>
      </c>
      <c r="U381" s="167">
        <f>SUMIF('Direct labour(직접노무비)'!$C$12:$C$503,'WIP(재공품)'!B381,'Direct labour(직접노무비)'!$U$12:$U$503)+SUMIF('Overhead exp(제조경비)'!$C$12:$C$503,'WIP(재공품)'!B381,'Overhead exp(제조경비)'!$U$12:$U$503)</f>
        <v>0</v>
      </c>
      <c r="V381" s="112">
        <f>SUMIF('Direct labour(직접노무비)'!$C$12:$C$503,'WIP(재공품)'!B381,'Direct labour(직접노무비)'!$Q$12:$Q$503)</f>
        <v>0</v>
      </c>
      <c r="W381" s="112">
        <f>SUMIF('Overhead exp(제조경비)'!$C$12:$C$503,'WIP(재공품)'!B381,'Overhead exp(제조경비)'!$Q$12:$Q$503)</f>
        <v>0</v>
      </c>
      <c r="X381" s="112">
        <f t="shared" si="51"/>
        <v>0</v>
      </c>
      <c r="Y381" s="112">
        <f ca="1">ROUND(SUMIF('JUNE (물량흐름)'!$C$13:$C$502,'WIP(재공품)'!B381,'JUNE (물량흐름)'!$N$13:$N$488),0)</f>
        <v>3</v>
      </c>
      <c r="Z381" s="112">
        <f>ROUND(SUMIF('JUNE (물량흐름)'!$C$13:$C$502,'WIP(재공품)'!B381,'JUNE (물량흐름)'!$O$13:$O$502),0)</f>
        <v>73</v>
      </c>
      <c r="AA381" s="112">
        <f>ROUND(SUMIF('JUNE (물량흐름)'!$C$13:$C$502,'WIP(재공품)'!B381,'JUNE (물량흐름)'!$P$13:$P$502),0)</f>
        <v>907</v>
      </c>
      <c r="AB381" s="112">
        <f t="shared" ca="1" si="52"/>
        <v>983</v>
      </c>
      <c r="AC381" s="112">
        <f t="shared" si="53"/>
        <v>43419193</v>
      </c>
      <c r="AD381" s="381">
        <f t="shared" ca="1" si="54"/>
        <v>0</v>
      </c>
      <c r="AE381" s="381">
        <f t="shared" si="55"/>
        <v>0</v>
      </c>
      <c r="AF381" s="382"/>
      <c r="AG381" s="382"/>
      <c r="AH381" s="383"/>
      <c r="AJ381" s="383"/>
      <c r="AL381" s="385"/>
      <c r="AM381" s="381"/>
      <c r="AN381" s="382"/>
      <c r="AO381" s="382"/>
      <c r="AP381" s="383"/>
      <c r="AQ381" s="383"/>
    </row>
    <row r="382" spans="1:43" s="384" customFormat="1" ht="27" customHeight="1">
      <c r="A382" s="167">
        <v>377</v>
      </c>
      <c r="B382" s="240">
        <f>VLOOKUP(A382,'JUNE (물량흐름)'!$A$13:$C$502,3,0)</f>
        <v>474816</v>
      </c>
      <c r="C382" s="21" t="str">
        <f>VLOOKUP(A382,'JUNE (물량흐름)'!$A$13:$C$502,2,0)</f>
        <v>ANN TAYLOR</v>
      </c>
      <c r="D382" s="212">
        <v>3.02</v>
      </c>
      <c r="E382" s="6">
        <f>VLOOKUP(B382,'Sales profit (스타일 별 매출이익)'!$D$9:$P$491,13,0)</f>
        <v>68478.5</v>
      </c>
      <c r="F382" s="112">
        <f>IFERROR(VLOOKUP(B382,O.B.JUNE!$N$7:$Q$448,2,0),0)</f>
        <v>0</v>
      </c>
      <c r="G382" s="112">
        <f>IFERROR(VLOOKUP(B382,O.B.JUNE!$N$7:$Q$448,3,0),0)</f>
        <v>309</v>
      </c>
      <c r="H382" s="112">
        <f>IFERROR(VLOOKUP(B382,O.B.JUNE!$N$7:$Q$448,4,0),0)</f>
        <v>337</v>
      </c>
      <c r="I382" s="112">
        <f t="shared" si="48"/>
        <v>646</v>
      </c>
      <c r="J382" s="112">
        <f>IFERROR(VLOOKUP(B382,O.B.JUNE!$AA$7:$AG$448,7,0),0)</f>
        <v>13232044</v>
      </c>
      <c r="K382" s="112">
        <f>IFERROR(VLOOKUP(B382,O.B.JUNE!$AI$7:$AO$448,7,0),0)</f>
        <v>24778518</v>
      </c>
      <c r="L382" s="112">
        <f t="shared" si="49"/>
        <v>38010562</v>
      </c>
      <c r="M382" s="112">
        <f>ROUND(SUMIF('JUNE (물량흐름)'!$C$13:$C$502,'WIP(재공품)'!B382,'JUNE (물량흐름)'!$H$13:$H$502)+SUMIF('JUNE (물량흐름)'!$C$13:$C$502,'WIP(재공품)'!B382,'JUNE (물량흐름)'!$V$13:$V$502),0)</f>
        <v>0</v>
      </c>
      <c r="N382" s="112">
        <f>SUMIF('Direct labour(직접노무비)'!$C$12:$C$503,'WIP(재공품)'!B382,'Direct labour(직접노무비)'!$O$12:$O$503)</f>
        <v>0</v>
      </c>
      <c r="O382" s="112">
        <f>SUMIF('Overhead exp(제조경비)'!$C$12:$C$503,'WIP(재공품)'!B382,'Overhead exp(제조경비)'!$O$12:$O$503)</f>
        <v>0</v>
      </c>
      <c r="P382" s="112">
        <f t="shared" si="50"/>
        <v>0</v>
      </c>
      <c r="Q382" s="112">
        <v>0</v>
      </c>
      <c r="R382" s="112">
        <v>0</v>
      </c>
      <c r="S382" s="112">
        <f>SUMIF('JUNE (물량흐름)'!$C$13:$C$493,'WIP(재공품)'!B382,'JUNE (물량흐름)'!$T$13:$T$493)+SUMIF('JUNE (물량흐름)'!$C$13:$C$493,'WIP(재공품)'!B382,'JUNE (물량흐름)'!$U$13:$U$493)+SUMIF('JUNE (물량흐름)'!$C$13:$C$493,'WIP(재공품)'!B382,'JUNE (물량흐름)'!$V$13:$V$493)-SUMIF('JUNE (물량흐름)'!$C$13:$C$493,'WIP(재공품)'!B382,'JUNE (물량흐름)'!$Y$13:$Y$493)</f>
        <v>178</v>
      </c>
      <c r="T382" s="112">
        <f>SUMIF('JUNE (물량흐름)'!$C$13:$C$502,'WIP(재공품)'!B382,'JUNE (물량흐름)'!$Y$13:$Y$502)</f>
        <v>12</v>
      </c>
      <c r="U382" s="167">
        <f>SUMIF('Direct labour(직접노무비)'!$C$12:$C$503,'WIP(재공품)'!B382,'Direct labour(직접노무비)'!$U$12:$U$503)+SUMIF('Overhead exp(제조경비)'!$C$12:$C$503,'WIP(재공품)'!B382,'Overhead exp(제조경비)'!$U$12:$U$503)</f>
        <v>706078</v>
      </c>
      <c r="V382" s="112">
        <f>SUMIF('Direct labour(직접노무비)'!$C$12:$C$503,'WIP(재공품)'!B382,'Direct labour(직접노무비)'!$Q$12:$Q$503)</f>
        <v>3645981</v>
      </c>
      <c r="W382" s="112">
        <f>SUMIF('Overhead exp(제조경비)'!$C$12:$C$503,'WIP(재공품)'!B382,'Overhead exp(제조경비)'!$Q$12:$Q$503)</f>
        <v>6827517</v>
      </c>
      <c r="X382" s="112">
        <f t="shared" si="51"/>
        <v>10473498</v>
      </c>
      <c r="Y382" s="112">
        <f ca="1">ROUND(SUMIF('JUNE (물량흐름)'!$C$13:$C$502,'WIP(재공품)'!B382,'JUNE (물량흐름)'!$N$13:$N$488),0)</f>
        <v>0</v>
      </c>
      <c r="Z382" s="112">
        <f>ROUND(SUMIF('JUNE (물량흐름)'!$C$13:$C$502,'WIP(재공품)'!B382,'JUNE (물량흐름)'!$O$13:$O$502),0)</f>
        <v>150</v>
      </c>
      <c r="AA382" s="112">
        <f>ROUND(SUMIF('JUNE (물량흐름)'!$C$13:$C$502,'WIP(재공품)'!B382,'JUNE (물량흐름)'!$P$13:$P$502),0)</f>
        <v>306</v>
      </c>
      <c r="AB382" s="112">
        <f t="shared" ca="1" si="52"/>
        <v>456</v>
      </c>
      <c r="AC382" s="112">
        <f t="shared" si="53"/>
        <v>26830986</v>
      </c>
      <c r="AD382" s="381">
        <f t="shared" ca="1" si="54"/>
        <v>0</v>
      </c>
      <c r="AE382" s="381">
        <f t="shared" si="55"/>
        <v>0</v>
      </c>
      <c r="AF382" s="382"/>
      <c r="AG382" s="382"/>
      <c r="AH382" s="383"/>
      <c r="AJ382" s="383"/>
      <c r="AL382" s="385"/>
      <c r="AM382" s="381"/>
      <c r="AN382" s="382"/>
      <c r="AO382" s="382"/>
      <c r="AP382" s="383"/>
      <c r="AQ382" s="383"/>
    </row>
    <row r="383" spans="1:43" s="384" customFormat="1" ht="27" customHeight="1">
      <c r="A383" s="167">
        <v>378</v>
      </c>
      <c r="B383" s="240">
        <f>VLOOKUP(A383,'JUNE (물량흐름)'!$A$13:$C$502,3,0)</f>
        <v>471157</v>
      </c>
      <c r="C383" s="21" t="str">
        <f>VLOOKUP(A383,'JUNE (물량흐름)'!$A$13:$C$502,2,0)</f>
        <v>ANN TAYLOR</v>
      </c>
      <c r="D383" s="212">
        <v>1.31</v>
      </c>
      <c r="E383" s="6">
        <f>VLOOKUP(B383,'Sales profit (스타일 별 매출이익)'!$D$9:$P$491,13,0)</f>
        <v>29704.25</v>
      </c>
      <c r="F383" s="112">
        <f>IFERROR(VLOOKUP(B383,O.B.JUNE!$N$7:$Q$448,2,0),0)</f>
        <v>0</v>
      </c>
      <c r="G383" s="112">
        <f>IFERROR(VLOOKUP(B383,O.B.JUNE!$N$7:$Q$448,3,0),0)</f>
        <v>35</v>
      </c>
      <c r="H383" s="112">
        <f>IFERROR(VLOOKUP(B383,O.B.JUNE!$N$7:$Q$448,4,0),0)</f>
        <v>59</v>
      </c>
      <c r="I383" s="112">
        <f t="shared" si="48"/>
        <v>94</v>
      </c>
      <c r="J383" s="112">
        <f>IFERROR(VLOOKUP(B383,O.B.JUNE!$AA$7:$AG$448,7,0),0)</f>
        <v>1761065</v>
      </c>
      <c r="K383" s="112">
        <f>IFERROR(VLOOKUP(B383,O.B.JUNE!$AI$7:$AO$448,7,0),0)</f>
        <v>3268157</v>
      </c>
      <c r="L383" s="112">
        <f t="shared" si="49"/>
        <v>5029222</v>
      </c>
      <c r="M383" s="112">
        <f>ROUND(SUMIF('JUNE (물량흐름)'!$C$13:$C$502,'WIP(재공품)'!B383,'JUNE (물량흐름)'!$H$13:$H$502)+SUMIF('JUNE (물량흐름)'!$C$13:$C$502,'WIP(재공품)'!B383,'JUNE (물량흐름)'!$V$13:$V$502),0)</f>
        <v>0</v>
      </c>
      <c r="N383" s="112">
        <f>SUMIF('Direct labour(직접노무비)'!$C$12:$C$503,'WIP(재공품)'!B383,'Direct labour(직접노무비)'!$O$12:$O$503)</f>
        <v>0</v>
      </c>
      <c r="O383" s="112">
        <f>SUMIF('Overhead exp(제조경비)'!$C$12:$C$503,'WIP(재공품)'!B383,'Overhead exp(제조경비)'!$O$12:$O$503)</f>
        <v>0</v>
      </c>
      <c r="P383" s="112">
        <f t="shared" si="50"/>
        <v>0</v>
      </c>
      <c r="Q383" s="112">
        <v>0</v>
      </c>
      <c r="R383" s="112">
        <v>0</v>
      </c>
      <c r="S383" s="112">
        <f>SUMIF('JUNE (물량흐름)'!$C$13:$C$493,'WIP(재공품)'!B383,'JUNE (물량흐름)'!$T$13:$T$493)+SUMIF('JUNE (물량흐름)'!$C$13:$C$493,'WIP(재공품)'!B383,'JUNE (물량흐름)'!$U$13:$U$493)+SUMIF('JUNE (물량흐름)'!$C$13:$C$493,'WIP(재공품)'!B383,'JUNE (물량흐름)'!$V$13:$V$493)-SUMIF('JUNE (물량흐름)'!$C$13:$C$493,'WIP(재공품)'!B383,'JUNE (물량흐름)'!$Y$13:$Y$493)</f>
        <v>0</v>
      </c>
      <c r="T383" s="112">
        <f>SUMIF('JUNE (물량흐름)'!$C$13:$C$502,'WIP(재공품)'!B383,'JUNE (물량흐름)'!$Y$13:$Y$502)</f>
        <v>0</v>
      </c>
      <c r="U383" s="167">
        <f>SUMIF('Direct labour(직접노무비)'!$C$12:$C$503,'WIP(재공품)'!B383,'Direct labour(직접노무비)'!$U$12:$U$503)+SUMIF('Overhead exp(제조경비)'!$C$12:$C$503,'WIP(재공품)'!B383,'Overhead exp(제조경비)'!$U$12:$U$503)</f>
        <v>0</v>
      </c>
      <c r="V383" s="112">
        <f>SUMIF('Direct labour(직접노무비)'!$C$12:$C$503,'WIP(재공품)'!B383,'Direct labour(직접노무비)'!$Q$12:$Q$503)</f>
        <v>0</v>
      </c>
      <c r="W383" s="112">
        <f>SUMIF('Overhead exp(제조경비)'!$C$12:$C$503,'WIP(재공품)'!B383,'Overhead exp(제조경비)'!$Q$12:$Q$503)</f>
        <v>0</v>
      </c>
      <c r="X383" s="112">
        <f t="shared" si="51"/>
        <v>0</v>
      </c>
      <c r="Y383" s="112">
        <f ca="1">ROUND(SUMIF('JUNE (물량흐름)'!$C$13:$C$502,'WIP(재공품)'!B383,'JUNE (물량흐름)'!$N$13:$N$488),0)</f>
        <v>0</v>
      </c>
      <c r="Z383" s="112">
        <f>ROUND(SUMIF('JUNE (물량흐름)'!$C$13:$C$502,'WIP(재공품)'!B383,'JUNE (물량흐름)'!$O$13:$O$502),0)</f>
        <v>35</v>
      </c>
      <c r="AA383" s="112">
        <f>ROUND(SUMIF('JUNE (물량흐름)'!$C$13:$C$502,'WIP(재공품)'!B383,'JUNE (물량흐름)'!$P$13:$P$502),0)</f>
        <v>59</v>
      </c>
      <c r="AB383" s="112">
        <f t="shared" ca="1" si="52"/>
        <v>94</v>
      </c>
      <c r="AC383" s="112">
        <f t="shared" si="53"/>
        <v>5029222</v>
      </c>
      <c r="AD383" s="381">
        <f t="shared" ca="1" si="54"/>
        <v>0</v>
      </c>
      <c r="AE383" s="381">
        <f t="shared" si="55"/>
        <v>0</v>
      </c>
      <c r="AF383" s="382"/>
      <c r="AG383" s="382"/>
      <c r="AH383" s="383"/>
      <c r="AJ383" s="383"/>
      <c r="AL383" s="385"/>
      <c r="AM383" s="381"/>
      <c r="AN383" s="382"/>
      <c r="AO383" s="382"/>
      <c r="AP383" s="383"/>
      <c r="AQ383" s="383"/>
    </row>
    <row r="384" spans="1:43" s="384" customFormat="1" ht="27" customHeight="1">
      <c r="A384" s="167">
        <v>379</v>
      </c>
      <c r="B384" s="240">
        <f>VLOOKUP(A384,'JUNE (물량흐름)'!$A$13:$C$502,3,0)</f>
        <v>482924</v>
      </c>
      <c r="C384" s="21" t="str">
        <f>VLOOKUP(A384,'JUNE (물량흐름)'!$A$13:$C$502,2,0)</f>
        <v>ANN TAYLOR</v>
      </c>
      <c r="D384" s="212">
        <v>1.24</v>
      </c>
      <c r="E384" s="6">
        <f>VLOOKUP(B384,'Sales profit (스타일 별 매출이익)'!$D$9:$P$491,13,0)</f>
        <v>28117</v>
      </c>
      <c r="F384" s="112">
        <f>IFERROR(VLOOKUP(B384,O.B.JUNE!$N$7:$Q$448,2,0),0)</f>
        <v>0</v>
      </c>
      <c r="G384" s="112">
        <f>IFERROR(VLOOKUP(B384,O.B.JUNE!$N$7:$Q$448,3,0),0)</f>
        <v>11</v>
      </c>
      <c r="H384" s="112">
        <f>IFERROR(VLOOKUP(B384,O.B.JUNE!$N$7:$Q$448,4,0),0)</f>
        <v>59</v>
      </c>
      <c r="I384" s="112">
        <f t="shared" si="48"/>
        <v>70</v>
      </c>
      <c r="J384" s="112">
        <f>IFERROR(VLOOKUP(B384,O.B.JUNE!$AA$7:$AG$448,7,0),0)</f>
        <v>1283796</v>
      </c>
      <c r="K384" s="112">
        <f>IFERROR(VLOOKUP(B384,O.B.JUNE!$AI$7:$AO$448,7,0),0)</f>
        <v>2483290</v>
      </c>
      <c r="L384" s="112">
        <f t="shared" si="49"/>
        <v>3767086</v>
      </c>
      <c r="M384" s="112">
        <f>ROUND(SUMIF('JUNE (물량흐름)'!$C$13:$C$502,'WIP(재공품)'!B384,'JUNE (물량흐름)'!$H$13:$H$502)+SUMIF('JUNE (물량흐름)'!$C$13:$C$502,'WIP(재공품)'!B384,'JUNE (물량흐름)'!$V$13:$V$502),0)</f>
        <v>0</v>
      </c>
      <c r="N384" s="112">
        <f>SUMIF('Direct labour(직접노무비)'!$C$12:$C$503,'WIP(재공품)'!B384,'Direct labour(직접노무비)'!$O$12:$O$503)</f>
        <v>0</v>
      </c>
      <c r="O384" s="112">
        <f>SUMIF('Overhead exp(제조경비)'!$C$12:$C$503,'WIP(재공품)'!B384,'Overhead exp(제조경비)'!$O$12:$O$503)</f>
        <v>0</v>
      </c>
      <c r="P384" s="112">
        <f t="shared" si="50"/>
        <v>0</v>
      </c>
      <c r="Q384" s="112">
        <v>0</v>
      </c>
      <c r="R384" s="112">
        <v>0</v>
      </c>
      <c r="S384" s="112">
        <f>SUMIF('JUNE (물량흐름)'!$C$13:$C$493,'WIP(재공품)'!B384,'JUNE (물량흐름)'!$T$13:$T$493)+SUMIF('JUNE (물량흐름)'!$C$13:$C$493,'WIP(재공품)'!B384,'JUNE (물량흐름)'!$U$13:$U$493)+SUMIF('JUNE (물량흐름)'!$C$13:$C$493,'WIP(재공품)'!B384,'JUNE (물량흐름)'!$V$13:$V$493)-SUMIF('JUNE (물량흐름)'!$C$13:$C$493,'WIP(재공품)'!B384,'JUNE (물량흐름)'!$Y$13:$Y$493)</f>
        <v>0</v>
      </c>
      <c r="T384" s="112">
        <f>SUMIF('JUNE (물량흐름)'!$C$13:$C$502,'WIP(재공품)'!B384,'JUNE (물량흐름)'!$Y$13:$Y$502)</f>
        <v>8</v>
      </c>
      <c r="U384" s="167">
        <f>SUMIF('Direct labour(직접노무비)'!$C$12:$C$503,'WIP(재공품)'!B384,'Direct labour(직접노무비)'!$U$12:$U$503)+SUMIF('Overhead exp(제조경비)'!$C$12:$C$503,'WIP(재공품)'!B384,'Overhead exp(제조경비)'!$U$12:$U$503)</f>
        <v>430525</v>
      </c>
      <c r="V384" s="112">
        <f>SUMIF('Direct labour(직접노무비)'!$C$12:$C$503,'WIP(재공품)'!B384,'Direct labour(직접노무비)'!$Q$12:$Q$503)</f>
        <v>0</v>
      </c>
      <c r="W384" s="112">
        <f>SUMIF('Overhead exp(제조경비)'!$C$12:$C$503,'WIP(재공품)'!B384,'Overhead exp(제조경비)'!$Q$12:$Q$503)</f>
        <v>0</v>
      </c>
      <c r="X384" s="112">
        <f t="shared" si="51"/>
        <v>0</v>
      </c>
      <c r="Y384" s="112">
        <f ca="1">ROUND(SUMIF('JUNE (물량흐름)'!$C$13:$C$502,'WIP(재공품)'!B384,'JUNE (물량흐름)'!$N$13:$N$488),0)</f>
        <v>0</v>
      </c>
      <c r="Z384" s="112">
        <f>ROUND(SUMIF('JUNE (물량흐름)'!$C$13:$C$502,'WIP(재공품)'!B384,'JUNE (물량흐름)'!$O$13:$O$502),0)</f>
        <v>11</v>
      </c>
      <c r="AA384" s="112">
        <f>ROUND(SUMIF('JUNE (물량흐름)'!$C$13:$C$502,'WIP(재공품)'!B384,'JUNE (물량흐름)'!$P$13:$P$502),0)</f>
        <v>51</v>
      </c>
      <c r="AB384" s="112">
        <f t="shared" ca="1" si="52"/>
        <v>62</v>
      </c>
      <c r="AC384" s="112">
        <f t="shared" si="53"/>
        <v>3336561</v>
      </c>
      <c r="AD384" s="381">
        <f t="shared" ca="1" si="54"/>
        <v>0</v>
      </c>
      <c r="AE384" s="381">
        <f t="shared" si="55"/>
        <v>0</v>
      </c>
      <c r="AF384" s="382"/>
      <c r="AG384" s="382"/>
      <c r="AH384" s="383"/>
      <c r="AJ384" s="383"/>
      <c r="AL384" s="385"/>
      <c r="AM384" s="381"/>
      <c r="AN384" s="382"/>
      <c r="AO384" s="382"/>
      <c r="AP384" s="383"/>
      <c r="AQ384" s="383"/>
    </row>
    <row r="385" spans="1:43" s="384" customFormat="1" ht="27" customHeight="1">
      <c r="A385" s="167">
        <v>380</v>
      </c>
      <c r="B385" s="240">
        <f>VLOOKUP(A385,'JUNE (물량흐름)'!$A$13:$C$502,3,0)</f>
        <v>466742</v>
      </c>
      <c r="C385" s="21" t="str">
        <f>VLOOKUP(A385,'JUNE (물량흐름)'!$A$13:$C$502,2,0)</f>
        <v>ANN TAYLOR</v>
      </c>
      <c r="D385" s="212">
        <v>1.52</v>
      </c>
      <c r="E385" s="6">
        <f>VLOOKUP(B385,'Sales profit (스타일 별 매출이익)'!$D$9:$P$491,13,0)</f>
        <v>34466</v>
      </c>
      <c r="F385" s="112">
        <f>IFERROR(VLOOKUP(B385,O.B.JUNE!$N$7:$Q$448,2,0),0)</f>
        <v>10</v>
      </c>
      <c r="G385" s="112">
        <f>IFERROR(VLOOKUP(B385,O.B.JUNE!$N$7:$Q$448,3,0),0)</f>
        <v>444</v>
      </c>
      <c r="H385" s="112">
        <f>IFERROR(VLOOKUP(B385,O.B.JUNE!$N$7:$Q$448,4,0),0)</f>
        <v>429</v>
      </c>
      <c r="I385" s="112">
        <f t="shared" si="48"/>
        <v>883</v>
      </c>
      <c r="J385" s="112">
        <f>IFERROR(VLOOKUP(B385,O.B.JUNE!$AA$7:$AG$448,7,0),0)</f>
        <v>9174952</v>
      </c>
      <c r="K385" s="112">
        <f>IFERROR(VLOOKUP(B385,O.B.JUNE!$AI$7:$AO$448,7,0),0)</f>
        <v>17598310</v>
      </c>
      <c r="L385" s="112">
        <f t="shared" si="49"/>
        <v>26773262</v>
      </c>
      <c r="M385" s="112">
        <f>ROUND(SUMIF('JUNE (물량흐름)'!$C$13:$C$502,'WIP(재공품)'!B385,'JUNE (물량흐름)'!$H$13:$H$502)+SUMIF('JUNE (물량흐름)'!$C$13:$C$502,'WIP(재공품)'!B385,'JUNE (물량흐름)'!$V$13:$V$502),0)</f>
        <v>610</v>
      </c>
      <c r="N385" s="112">
        <f>SUMIF('Direct labour(직접노무비)'!$C$12:$C$503,'WIP(재공품)'!B385,'Direct labour(직접노무비)'!$O$12:$O$503)</f>
        <v>6384997</v>
      </c>
      <c r="O385" s="112">
        <f>SUMIF('Overhead exp(제조경비)'!$C$12:$C$503,'WIP(재공품)'!B385,'Overhead exp(제조경비)'!$O$12:$O$503)</f>
        <v>12474614</v>
      </c>
      <c r="P385" s="112">
        <f t="shared" si="50"/>
        <v>18859611</v>
      </c>
      <c r="Q385" s="112">
        <v>0</v>
      </c>
      <c r="R385" s="112">
        <v>0</v>
      </c>
      <c r="S385" s="112">
        <f>SUMIF('JUNE (물량흐름)'!$C$13:$C$493,'WIP(재공품)'!B385,'JUNE (물량흐름)'!$T$13:$T$493)+SUMIF('JUNE (물량흐름)'!$C$13:$C$493,'WIP(재공품)'!B385,'JUNE (물량흐름)'!$U$13:$U$493)+SUMIF('JUNE (물량흐름)'!$C$13:$C$493,'WIP(재공품)'!B385,'JUNE (물량흐름)'!$V$13:$V$493)-SUMIF('JUNE (물량흐름)'!$C$13:$C$493,'WIP(재공품)'!B385,'JUNE (물량흐름)'!$Y$13:$Y$493)</f>
        <v>551</v>
      </c>
      <c r="T385" s="112">
        <f>SUMIF('JUNE (물량흐름)'!$C$13:$C$502,'WIP(재공품)'!B385,'JUNE (물량흐름)'!$Y$13:$Y$502)</f>
        <v>20</v>
      </c>
      <c r="U385" s="167">
        <f>SUMIF('Direct labour(직접노무비)'!$C$12:$C$503,'WIP(재공품)'!B385,'Direct labour(직접노무비)'!$U$12:$U$503)+SUMIF('Overhead exp(제조경비)'!$C$12:$C$503,'WIP(재공품)'!B385,'Overhead exp(제조경비)'!$U$12:$U$503)</f>
        <v>611291</v>
      </c>
      <c r="V385" s="112">
        <f>SUMIF('Direct labour(직접노무비)'!$C$12:$C$503,'WIP(재공품)'!B385,'Direct labour(직접노무비)'!$Q$12:$Q$503)</f>
        <v>5742486</v>
      </c>
      <c r="W385" s="112">
        <f>SUMIF('Overhead exp(제조경비)'!$C$12:$C$503,'WIP(재공품)'!B385,'Overhead exp(제조경비)'!$Q$12:$Q$503)</f>
        <v>11098581</v>
      </c>
      <c r="X385" s="112">
        <f t="shared" si="51"/>
        <v>16841067</v>
      </c>
      <c r="Y385" s="112">
        <f ca="1">ROUND(SUMIF('JUNE (물량흐름)'!$C$13:$C$502,'WIP(재공품)'!B385,'JUNE (물량흐름)'!$N$13:$N$488),0)</f>
        <v>0</v>
      </c>
      <c r="Z385" s="112">
        <f>ROUND(SUMIF('JUNE (물량흐름)'!$C$13:$C$502,'WIP(재공품)'!B385,'JUNE (물량흐름)'!$O$13:$O$502),0)</f>
        <v>474</v>
      </c>
      <c r="AA385" s="112">
        <f>ROUND(SUMIF('JUNE (물량흐름)'!$C$13:$C$502,'WIP(재공품)'!B385,'JUNE (물량흐름)'!$P$13:$P$502),0)</f>
        <v>448</v>
      </c>
      <c r="AB385" s="112">
        <f t="shared" ca="1" si="52"/>
        <v>922</v>
      </c>
      <c r="AC385" s="112">
        <f t="shared" si="53"/>
        <v>28180515</v>
      </c>
      <c r="AD385" s="381">
        <f t="shared" ca="1" si="54"/>
        <v>0</v>
      </c>
      <c r="AE385" s="381">
        <f t="shared" si="55"/>
        <v>0</v>
      </c>
      <c r="AF385" s="382"/>
      <c r="AG385" s="382"/>
      <c r="AH385" s="383"/>
      <c r="AJ385" s="383"/>
      <c r="AL385" s="385"/>
      <c r="AM385" s="381"/>
      <c r="AN385" s="382"/>
      <c r="AO385" s="382"/>
      <c r="AP385" s="383"/>
      <c r="AQ385" s="383"/>
    </row>
    <row r="386" spans="1:43" s="384" customFormat="1" ht="27" customHeight="1">
      <c r="A386" s="167">
        <v>381</v>
      </c>
      <c r="B386" s="240">
        <f>VLOOKUP(A386,'JUNE (물량흐름)'!$A$13:$C$502,3,0)</f>
        <v>100018226</v>
      </c>
      <c r="C386" s="21" t="str">
        <f>VLOOKUP(A386,'JUNE (물량흐름)'!$A$13:$C$502,2,0)</f>
        <v>ALFANI</v>
      </c>
      <c r="D386" s="212">
        <v>1.83</v>
      </c>
      <c r="E386" s="6">
        <f>VLOOKUP(B386,'Sales profit (스타일 별 매출이익)'!$D$9:$P$491,13,0)</f>
        <v>41495.25</v>
      </c>
      <c r="F386" s="112">
        <f>IFERROR(VLOOKUP(B386,O.B.JUNE!$N$7:$Q$448,2,0),0)</f>
        <v>0</v>
      </c>
      <c r="G386" s="112">
        <f>IFERROR(VLOOKUP(B386,O.B.JUNE!$N$7:$Q$448,3,0),0)</f>
        <v>20</v>
      </c>
      <c r="H386" s="112">
        <f>IFERROR(VLOOKUP(B386,O.B.JUNE!$N$7:$Q$448,4,0),0)</f>
        <v>61</v>
      </c>
      <c r="I386" s="112">
        <f t="shared" si="48"/>
        <v>81</v>
      </c>
      <c r="J386" s="112">
        <f>IFERROR(VLOOKUP(B386,O.B.JUNE!$AA$7:$AG$448,7,0),0)</f>
        <v>1539978</v>
      </c>
      <c r="K386" s="112">
        <f>IFERROR(VLOOKUP(B386,O.B.JUNE!$AI$7:$AO$448,7,0),0)</f>
        <v>3008713</v>
      </c>
      <c r="L386" s="112">
        <f t="shared" si="49"/>
        <v>4548691</v>
      </c>
      <c r="M386" s="112">
        <f>ROUND(SUMIF('JUNE (물량흐름)'!$C$13:$C$502,'WIP(재공품)'!B386,'JUNE (물량흐름)'!$H$13:$H$502)+SUMIF('JUNE (물량흐름)'!$C$13:$C$502,'WIP(재공품)'!B386,'JUNE (물량흐름)'!$V$13:$V$502),0)</f>
        <v>0</v>
      </c>
      <c r="N386" s="112">
        <f>SUMIF('Direct labour(직접노무비)'!$C$12:$C$503,'WIP(재공품)'!B386,'Direct labour(직접노무비)'!$O$12:$O$503)</f>
        <v>0</v>
      </c>
      <c r="O386" s="112">
        <f>SUMIF('Overhead exp(제조경비)'!$C$12:$C$503,'WIP(재공품)'!B386,'Overhead exp(제조경비)'!$O$12:$O$503)</f>
        <v>0</v>
      </c>
      <c r="P386" s="112">
        <f t="shared" si="50"/>
        <v>0</v>
      </c>
      <c r="Q386" s="112">
        <v>0</v>
      </c>
      <c r="R386" s="112">
        <v>0</v>
      </c>
      <c r="S386" s="112">
        <f>SUMIF('JUNE (물량흐름)'!$C$13:$C$493,'WIP(재공품)'!B386,'JUNE (물량흐름)'!$T$13:$T$493)+SUMIF('JUNE (물량흐름)'!$C$13:$C$493,'WIP(재공품)'!B386,'JUNE (물량흐름)'!$U$13:$U$493)+SUMIF('JUNE (물량흐름)'!$C$13:$C$493,'WIP(재공품)'!B386,'JUNE (물량흐름)'!$V$13:$V$493)-SUMIF('JUNE (물량흐름)'!$C$13:$C$493,'WIP(재공품)'!B386,'JUNE (물량흐름)'!$Y$13:$Y$493)</f>
        <v>0</v>
      </c>
      <c r="T386" s="112">
        <f>SUMIF('JUNE (물량흐름)'!$C$13:$C$502,'WIP(재공품)'!B386,'JUNE (물량흐름)'!$Y$13:$Y$502)</f>
        <v>2</v>
      </c>
      <c r="U386" s="167">
        <f>SUMIF('Direct labour(직접노무비)'!$C$12:$C$503,'WIP(재공품)'!B386,'Direct labour(직접노무비)'!$U$12:$U$503)+SUMIF('Overhead exp(제조경비)'!$C$12:$C$503,'WIP(재공품)'!B386,'Overhead exp(제조경비)'!$U$12:$U$503)</f>
        <v>112313</v>
      </c>
      <c r="V386" s="112">
        <f>SUMIF('Direct labour(직접노무비)'!$C$12:$C$503,'WIP(재공품)'!B386,'Direct labour(직접노무비)'!$Q$12:$Q$503)</f>
        <v>0</v>
      </c>
      <c r="W386" s="112">
        <f>SUMIF('Overhead exp(제조경비)'!$C$12:$C$503,'WIP(재공품)'!B386,'Overhead exp(제조경비)'!$Q$12:$Q$503)</f>
        <v>0</v>
      </c>
      <c r="X386" s="112">
        <f t="shared" si="51"/>
        <v>0</v>
      </c>
      <c r="Y386" s="112">
        <f ca="1">ROUND(SUMIF('JUNE (물량흐름)'!$C$13:$C$502,'WIP(재공품)'!B386,'JUNE (물량흐름)'!$N$13:$N$488),0)</f>
        <v>0</v>
      </c>
      <c r="Z386" s="112">
        <f>ROUND(SUMIF('JUNE (물량흐름)'!$C$13:$C$502,'WIP(재공품)'!B386,'JUNE (물량흐름)'!$O$13:$O$502),0)</f>
        <v>20</v>
      </c>
      <c r="AA386" s="112">
        <f>ROUND(SUMIF('JUNE (물량흐름)'!$C$13:$C$502,'WIP(재공품)'!B386,'JUNE (물량흐름)'!$P$13:$P$502),0)</f>
        <v>59</v>
      </c>
      <c r="AB386" s="112">
        <f t="shared" ca="1" si="52"/>
        <v>79</v>
      </c>
      <c r="AC386" s="112">
        <f t="shared" si="53"/>
        <v>4436378</v>
      </c>
      <c r="AD386" s="381">
        <f t="shared" ca="1" si="54"/>
        <v>0</v>
      </c>
      <c r="AE386" s="381">
        <f t="shared" si="55"/>
        <v>0</v>
      </c>
      <c r="AF386" s="382"/>
      <c r="AG386" s="382"/>
      <c r="AH386" s="383"/>
      <c r="AJ386" s="383"/>
      <c r="AL386" s="385"/>
      <c r="AM386" s="381"/>
      <c r="AN386" s="382"/>
      <c r="AO386" s="382"/>
      <c r="AP386" s="383"/>
      <c r="AQ386" s="383"/>
    </row>
    <row r="387" spans="1:43" s="384" customFormat="1" ht="27" customHeight="1">
      <c r="A387" s="167">
        <v>382</v>
      </c>
      <c r="B387" s="240">
        <f>VLOOKUP(A387,'JUNE (물량흐름)'!$A$13:$C$502,3,0)</f>
        <v>100034888</v>
      </c>
      <c r="C387" s="21" t="str">
        <f>VLOOKUP(A387,'JUNE (물량흐름)'!$A$13:$C$502,2,0)</f>
        <v>BAR III</v>
      </c>
      <c r="D387" s="212">
        <v>2</v>
      </c>
      <c r="E387" s="6">
        <f>VLOOKUP(B387,'Sales profit (스타일 별 매출이익)'!$D$9:$P$491,13,0)</f>
        <v>45350</v>
      </c>
      <c r="F387" s="112">
        <f>IFERROR(VLOOKUP(B387,O.B.JUNE!$N$7:$Q$448,2,0),0)</f>
        <v>0</v>
      </c>
      <c r="G387" s="112">
        <f>IFERROR(VLOOKUP(B387,O.B.JUNE!$N$7:$Q$448,3,0),0)</f>
        <v>53</v>
      </c>
      <c r="H387" s="112">
        <f>IFERROR(VLOOKUP(B387,O.B.JUNE!$N$7:$Q$448,4,0),0)</f>
        <v>10</v>
      </c>
      <c r="I387" s="112">
        <f t="shared" si="48"/>
        <v>63</v>
      </c>
      <c r="J387" s="112">
        <f>IFERROR(VLOOKUP(B387,O.B.JUNE!$AA$7:$AG$448,7,0),0)</f>
        <v>1076253</v>
      </c>
      <c r="K387" s="112">
        <f>IFERROR(VLOOKUP(B387,O.B.JUNE!$AI$7:$AO$448,7,0),0)</f>
        <v>2102717</v>
      </c>
      <c r="L387" s="112">
        <f t="shared" si="49"/>
        <v>3178970</v>
      </c>
      <c r="M387" s="112">
        <f>ROUND(SUMIF('JUNE (물량흐름)'!$C$13:$C$502,'WIP(재공품)'!B387,'JUNE (물량흐름)'!$H$13:$H$502)+SUMIF('JUNE (물량흐름)'!$C$13:$C$502,'WIP(재공품)'!B387,'JUNE (물량흐름)'!$V$13:$V$502),0)</f>
        <v>1466</v>
      </c>
      <c r="N387" s="112">
        <f>SUMIF('Direct labour(직접노무비)'!$C$12:$C$503,'WIP(재공품)'!B387,'Direct labour(직접노무비)'!$O$12:$O$503)</f>
        <v>12356521</v>
      </c>
      <c r="O387" s="112">
        <f>SUMIF('Overhead exp(제조경비)'!$C$12:$C$503,'WIP(재공품)'!B387,'Overhead exp(제조경비)'!$O$12:$O$503)</f>
        <v>24141409</v>
      </c>
      <c r="P387" s="112">
        <f t="shared" si="50"/>
        <v>36497930</v>
      </c>
      <c r="Q387" s="112">
        <v>0</v>
      </c>
      <c r="R387" s="112">
        <v>0</v>
      </c>
      <c r="S387" s="112">
        <f>SUMIF('JUNE (물량흐름)'!$C$13:$C$493,'WIP(재공품)'!B387,'JUNE (물량흐름)'!$T$13:$T$493)+SUMIF('JUNE (물량흐름)'!$C$13:$C$493,'WIP(재공품)'!B387,'JUNE (물량흐름)'!$U$13:$U$493)+SUMIF('JUNE (물량흐름)'!$C$13:$C$493,'WIP(재공품)'!B387,'JUNE (물량흐름)'!$V$13:$V$493)-SUMIF('JUNE (물량흐름)'!$C$13:$C$493,'WIP(재공품)'!B387,'JUNE (물량흐름)'!$Y$13:$Y$493)</f>
        <v>105</v>
      </c>
      <c r="T387" s="112">
        <f>SUMIF('JUNE (물량흐름)'!$C$13:$C$502,'WIP(재공품)'!B387,'JUNE (물량흐름)'!$Y$13:$Y$502)</f>
        <v>18</v>
      </c>
      <c r="U387" s="167">
        <f>SUMIF('Direct labour(직접노무비)'!$C$12:$C$503,'WIP(재공품)'!B387,'Direct labour(직접노무비)'!$U$12:$U$503)+SUMIF('Overhead exp(제조경비)'!$C$12:$C$503,'WIP(재공품)'!B387,'Overhead exp(제조경비)'!$U$12:$U$503)</f>
        <v>467092</v>
      </c>
      <c r="V387" s="112">
        <f>SUMIF('Direct labour(직접노무비)'!$C$12:$C$503,'WIP(재공품)'!B387,'Direct labour(직접노무비)'!$Q$12:$Q$503)</f>
        <v>922460</v>
      </c>
      <c r="W387" s="112">
        <f>SUMIF('Overhead exp(제조경비)'!$C$12:$C$503,'WIP(재공품)'!B387,'Overhead exp(제조경비)'!$Q$12:$Q$503)</f>
        <v>1802245</v>
      </c>
      <c r="X387" s="112">
        <f t="shared" si="51"/>
        <v>2724705</v>
      </c>
      <c r="Y387" s="112">
        <f ca="1">ROUND(SUMIF('JUNE (물량흐름)'!$C$13:$C$502,'WIP(재공품)'!B387,'JUNE (물량흐름)'!$N$13:$N$488),0)</f>
        <v>0</v>
      </c>
      <c r="Z387" s="112">
        <f>ROUND(SUMIF('JUNE (물량흐름)'!$C$13:$C$502,'WIP(재공품)'!B387,'JUNE (물량흐름)'!$O$13:$O$502),0)</f>
        <v>1107</v>
      </c>
      <c r="AA387" s="112">
        <f>ROUND(SUMIF('JUNE (물량흐름)'!$C$13:$C$502,'WIP(재공품)'!B387,'JUNE (물량흐름)'!$P$13:$P$502),0)</f>
        <v>299</v>
      </c>
      <c r="AB387" s="112">
        <f t="shared" ca="1" si="52"/>
        <v>1406</v>
      </c>
      <c r="AC387" s="112">
        <f t="shared" si="53"/>
        <v>36485103</v>
      </c>
      <c r="AD387" s="381">
        <f t="shared" ca="1" si="54"/>
        <v>0</v>
      </c>
      <c r="AE387" s="381">
        <f t="shared" si="55"/>
        <v>0</v>
      </c>
      <c r="AF387" s="382"/>
      <c r="AG387" s="382"/>
      <c r="AH387" s="383"/>
      <c r="AJ387" s="383"/>
      <c r="AL387" s="385"/>
      <c r="AM387" s="381"/>
      <c r="AN387" s="382"/>
      <c r="AO387" s="382"/>
      <c r="AP387" s="383"/>
      <c r="AQ387" s="383"/>
    </row>
    <row r="388" spans="1:43" s="384" customFormat="1" ht="27" customHeight="1">
      <c r="A388" s="167">
        <v>383</v>
      </c>
      <c r="B388" s="240">
        <f>VLOOKUP(A388,'JUNE (물량흐름)'!$A$13:$C$502,3,0)</f>
        <v>100035009</v>
      </c>
      <c r="C388" s="21" t="str">
        <f>VLOOKUP(A388,'JUNE (물량흐름)'!$A$13:$C$502,2,0)</f>
        <v>BAR III</v>
      </c>
      <c r="D388" s="212">
        <v>2.0699999999999998</v>
      </c>
      <c r="E388" s="6">
        <f>VLOOKUP(B388,'Sales profit (스타일 별 매출이익)'!$D$9:$P$491,13,0)</f>
        <v>46937.25</v>
      </c>
      <c r="F388" s="112">
        <f>IFERROR(VLOOKUP(B388,O.B.JUNE!$N$7:$Q$448,2,0),0)</f>
        <v>796</v>
      </c>
      <c r="G388" s="112">
        <f>IFERROR(VLOOKUP(B388,O.B.JUNE!$N$7:$Q$448,3,0),0)</f>
        <v>1075</v>
      </c>
      <c r="H388" s="112">
        <f>IFERROR(VLOOKUP(B388,O.B.JUNE!$N$7:$Q$448,4,0),0)</f>
        <v>29</v>
      </c>
      <c r="I388" s="112">
        <f t="shared" si="48"/>
        <v>1900</v>
      </c>
      <c r="J388" s="112">
        <f>IFERROR(VLOOKUP(B388,O.B.JUNE!$AA$7:$AG$448,7,0),0)</f>
        <v>21494364</v>
      </c>
      <c r="K388" s="112">
        <f>IFERROR(VLOOKUP(B388,O.B.JUNE!$AI$7:$AO$448,7,0),0)</f>
        <v>41994365</v>
      </c>
      <c r="L388" s="112">
        <f t="shared" si="49"/>
        <v>63488729</v>
      </c>
      <c r="M388" s="112">
        <f>ROUND(SUMIF('JUNE (물량흐름)'!$C$13:$C$502,'WIP(재공품)'!B388,'JUNE (물량흐름)'!$H$13:$H$502)+SUMIF('JUNE (물량흐름)'!$C$13:$C$502,'WIP(재공품)'!B388,'JUNE (물량흐름)'!$V$13:$V$502),0)</f>
        <v>2546</v>
      </c>
      <c r="N388" s="112">
        <f>SUMIF('Direct labour(직접노무비)'!$C$12:$C$503,'WIP(재공품)'!B388,'Direct labour(직접노무비)'!$O$12:$O$503)</f>
        <v>51881818</v>
      </c>
      <c r="O388" s="112">
        <f>SUMIF('Overhead exp(제조경비)'!$C$12:$C$503,'WIP(재공품)'!B388,'Overhead exp(제조경비)'!$O$12:$O$503)</f>
        <v>101363501</v>
      </c>
      <c r="P388" s="112">
        <f t="shared" si="50"/>
        <v>153245319</v>
      </c>
      <c r="Q388" s="112">
        <v>0</v>
      </c>
      <c r="R388" s="112">
        <v>0</v>
      </c>
      <c r="S388" s="112">
        <f>SUMIF('JUNE (물량흐름)'!$C$13:$C$493,'WIP(재공품)'!B388,'JUNE (물량흐름)'!$T$13:$T$493)+SUMIF('JUNE (물량흐름)'!$C$13:$C$493,'WIP(재공품)'!B388,'JUNE (물량흐름)'!$U$13:$U$493)+SUMIF('JUNE (물량흐름)'!$C$13:$C$493,'WIP(재공품)'!B388,'JUNE (물량흐름)'!$V$13:$V$493)-SUMIF('JUNE (물량흐름)'!$C$13:$C$493,'WIP(재공품)'!B388,'JUNE (물량흐름)'!$Y$13:$Y$493)</f>
        <v>3972</v>
      </c>
      <c r="T388" s="112">
        <f>SUMIF('JUNE (물량흐름)'!$C$13:$C$502,'WIP(재공품)'!B388,'JUNE (물량흐름)'!$Y$13:$Y$502)</f>
        <v>3</v>
      </c>
      <c r="U388" s="167">
        <f>SUMIF('Direct labour(직접노무비)'!$C$12:$C$503,'WIP(재공품)'!B388,'Direct labour(직접노무비)'!$U$12:$U$503)+SUMIF('Overhead exp(제조경비)'!$C$12:$C$503,'WIP(재공품)'!B388,'Overhead exp(제조경비)'!$U$12:$U$503)</f>
        <v>146245</v>
      </c>
      <c r="V388" s="112">
        <f>SUMIF('Direct labour(직접노무비)'!$C$12:$C$503,'WIP(재공품)'!B388,'Direct labour(직접노무비)'!$Q$12:$Q$503)</f>
        <v>65553350</v>
      </c>
      <c r="W388" s="112">
        <f>SUMIF('Overhead exp(제조경비)'!$C$12:$C$503,'WIP(재공품)'!B388,'Overhead exp(제조경비)'!$Q$12:$Q$503)</f>
        <v>128074099</v>
      </c>
      <c r="X388" s="112">
        <f t="shared" si="51"/>
        <v>193627449</v>
      </c>
      <c r="Y388" s="112">
        <f ca="1">ROUND(SUMIF('JUNE (물량흐름)'!$C$13:$C$502,'WIP(재공품)'!B388,'JUNE (물량흐름)'!$N$13:$N$488),0)</f>
        <v>0</v>
      </c>
      <c r="Z388" s="112">
        <f>ROUND(SUMIF('JUNE (물량흐름)'!$C$13:$C$502,'WIP(재공품)'!B388,'JUNE (물량흐름)'!$O$13:$O$502),0)</f>
        <v>193</v>
      </c>
      <c r="AA388" s="112">
        <f>ROUND(SUMIF('JUNE (물량흐름)'!$C$13:$C$502,'WIP(재공품)'!B388,'JUNE (물량흐름)'!$P$13:$P$502),0)</f>
        <v>278</v>
      </c>
      <c r="AB388" s="112">
        <f t="shared" ca="1" si="52"/>
        <v>471</v>
      </c>
      <c r="AC388" s="112">
        <f t="shared" si="53"/>
        <v>22960354</v>
      </c>
      <c r="AD388" s="381">
        <f t="shared" ca="1" si="54"/>
        <v>0</v>
      </c>
      <c r="AE388" s="381">
        <f t="shared" si="55"/>
        <v>0</v>
      </c>
      <c r="AF388" s="382"/>
      <c r="AG388" s="382"/>
      <c r="AH388" s="383"/>
      <c r="AJ388" s="383"/>
      <c r="AL388" s="385"/>
      <c r="AM388" s="381"/>
      <c r="AN388" s="382"/>
      <c r="AO388" s="382"/>
      <c r="AP388" s="383"/>
      <c r="AQ388" s="383"/>
    </row>
    <row r="389" spans="1:43" s="384" customFormat="1" ht="27" customHeight="1">
      <c r="A389" s="167">
        <v>387</v>
      </c>
      <c r="B389" s="240">
        <f>VLOOKUP(A389,'JUNE (물량흐름)'!$A$13:$C$502,3,0)</f>
        <v>174034865</v>
      </c>
      <c r="C389" s="21" t="str">
        <f>VLOOKUP(A389,'JUNE (물량흐름)'!$A$13:$C$502,2,0)</f>
        <v>TALBOTS</v>
      </c>
      <c r="D389" s="212">
        <v>1.58</v>
      </c>
      <c r="E389" s="6">
        <f>VLOOKUP(B389,'Sales profit (스타일 별 매출이익)'!$D$9:$P$491,13,0)</f>
        <v>35826.5</v>
      </c>
      <c r="F389" s="112">
        <f>IFERROR(VLOOKUP(B389,O.B.JUNE!$N$7:$Q$448,2,0),0)</f>
        <v>0</v>
      </c>
      <c r="G389" s="112">
        <f>IFERROR(VLOOKUP(B389,O.B.JUNE!$N$7:$Q$448,3,0),0)</f>
        <v>236</v>
      </c>
      <c r="H389" s="112">
        <f>IFERROR(VLOOKUP(B389,O.B.JUNE!$N$7:$Q$448,4,0),0)</f>
        <v>271</v>
      </c>
      <c r="I389" s="112">
        <f t="shared" ref="I389:I438" si="57">SUM(F389:H389)</f>
        <v>507</v>
      </c>
      <c r="J389" s="112">
        <f>IFERROR(VLOOKUP(B389,O.B.JUNE!$AA$7:$AG$448,7,0),0)</f>
        <v>8219231</v>
      </c>
      <c r="K389" s="112">
        <f>IFERROR(VLOOKUP(B389,O.B.JUNE!$AI$7:$AO$448,7,0),0)</f>
        <v>16058228</v>
      </c>
      <c r="L389" s="112">
        <f t="shared" ref="L389:L438" si="58">ROUND(J389+K389,0)</f>
        <v>24277459</v>
      </c>
      <c r="M389" s="112">
        <f>ROUND(SUMIF('JUNE (물량흐름)'!$C$13:$C$502,'WIP(재공품)'!B389,'JUNE (물량흐름)'!$H$13:$H$502)+SUMIF('JUNE (물량흐름)'!$C$13:$C$502,'WIP(재공품)'!B389,'JUNE (물량흐름)'!$V$13:$V$502),0)</f>
        <v>0</v>
      </c>
      <c r="N389" s="112">
        <f>SUMIF('Direct labour(직접노무비)'!$C$12:$C$503,'WIP(재공품)'!B389,'Direct labour(직접노무비)'!$O$12:$O$503)</f>
        <v>0</v>
      </c>
      <c r="O389" s="112">
        <f>SUMIF('Overhead exp(제조경비)'!$C$12:$C$503,'WIP(재공품)'!B389,'Overhead exp(제조경비)'!$O$12:$O$503)</f>
        <v>0</v>
      </c>
      <c r="P389" s="112">
        <f t="shared" ref="P389:P433" si="59">ROUND(N389+O389,0)</f>
        <v>0</v>
      </c>
      <c r="Q389" s="112">
        <v>0</v>
      </c>
      <c r="R389" s="112">
        <v>0</v>
      </c>
      <c r="S389" s="112">
        <f>SUMIF('JUNE (물량흐름)'!$C$13:$C$493,'WIP(재공품)'!B389,'JUNE (물량흐름)'!$T$13:$T$493)+SUMIF('JUNE (물량흐름)'!$C$13:$C$493,'WIP(재공품)'!B389,'JUNE (물량흐름)'!$U$13:$U$493)+SUMIF('JUNE (물량흐름)'!$C$13:$C$493,'WIP(재공품)'!B389,'JUNE (물량흐름)'!$V$13:$V$493)-SUMIF('JUNE (물량흐름)'!$C$13:$C$493,'WIP(재공품)'!B389,'JUNE (물량흐름)'!$Y$13:$Y$493)</f>
        <v>0</v>
      </c>
      <c r="T389" s="112">
        <f>SUMIF('JUNE (물량흐름)'!$C$13:$C$502,'WIP(재공품)'!B389,'JUNE (물량흐름)'!$Y$13:$Y$502)</f>
        <v>11</v>
      </c>
      <c r="U389" s="167">
        <f>SUMIF('Direct labour(직접노무비)'!$C$12:$C$503,'WIP(재공품)'!B389,'Direct labour(직접노무비)'!$U$12:$U$503)+SUMIF('Overhead exp(제조경비)'!$C$12:$C$503,'WIP(재공품)'!B389,'Overhead exp(제조경비)'!$U$12:$U$503)</f>
        <v>526730</v>
      </c>
      <c r="V389" s="112">
        <f>SUMIF('Direct labour(직접노무비)'!$C$12:$C$503,'WIP(재공품)'!B389,'Direct labour(직접노무비)'!$Q$12:$Q$503)</f>
        <v>0</v>
      </c>
      <c r="W389" s="112">
        <f>SUMIF('Overhead exp(제조경비)'!$C$12:$C$503,'WIP(재공품)'!B389,'Overhead exp(제조경비)'!$Q$12:$Q$503)</f>
        <v>0</v>
      </c>
      <c r="X389" s="112">
        <f t="shared" ref="X389:X433" si="60">ROUND(V389+W389,0)</f>
        <v>0</v>
      </c>
      <c r="Y389" s="112">
        <f ca="1">ROUND(SUMIF('JUNE (물량흐름)'!$C$13:$C$502,'WIP(재공품)'!B389,'JUNE (물량흐름)'!$N$13:$N$488),0)</f>
        <v>0</v>
      </c>
      <c r="Z389" s="112">
        <f>ROUND(SUMIF('JUNE (물량흐름)'!$C$13:$C$502,'WIP(재공품)'!B389,'JUNE (물량흐름)'!$O$13:$O$502),0)</f>
        <v>236</v>
      </c>
      <c r="AA389" s="112">
        <f>ROUND(SUMIF('JUNE (물량흐름)'!$C$13:$C$502,'WIP(재공품)'!B389,'JUNE (물량흐름)'!$P$13:$P$502),0)</f>
        <v>260</v>
      </c>
      <c r="AB389" s="112">
        <f t="shared" ref="AB389:AB433" ca="1" si="61">ROUND(SUM(Y389:AA389),0)</f>
        <v>496</v>
      </c>
      <c r="AC389" s="112">
        <f t="shared" ref="AC389:AC433" si="62">ROUND(L389+P389-X389-U389,0)</f>
        <v>23750729</v>
      </c>
      <c r="AD389" s="381">
        <f t="shared" ref="AD389:AD433" ca="1" si="63">I389+M389-S389-T389-AB389</f>
        <v>0</v>
      </c>
      <c r="AE389" s="381">
        <f t="shared" ref="AE389:AE433" si="64">+L389+P389-X389-U389-AC389</f>
        <v>0</v>
      </c>
      <c r="AF389" s="382"/>
      <c r="AG389" s="382"/>
      <c r="AH389" s="383"/>
      <c r="AJ389" s="383"/>
      <c r="AL389" s="385"/>
      <c r="AM389" s="381"/>
      <c r="AN389" s="382"/>
      <c r="AO389" s="382"/>
      <c r="AP389" s="383"/>
      <c r="AQ389" s="383"/>
    </row>
    <row r="390" spans="1:43" s="384" customFormat="1" ht="27" customHeight="1">
      <c r="A390" s="167">
        <v>388</v>
      </c>
      <c r="B390" s="240">
        <f>VLOOKUP(A390,'JUNE (물량흐름)'!$A$13:$C$502,3,0)</f>
        <v>183034522</v>
      </c>
      <c r="C390" s="21" t="str">
        <f>VLOOKUP(A390,'JUNE (물량흐름)'!$A$13:$C$502,2,0)</f>
        <v>TALBOTS</v>
      </c>
      <c r="D390" s="212">
        <v>2.58</v>
      </c>
      <c r="E390" s="6">
        <f>VLOOKUP(B390,'Sales profit (스타일 별 매출이익)'!$D$9:$P$491,13,0)</f>
        <v>58501.5</v>
      </c>
      <c r="F390" s="112">
        <f>IFERROR(VLOOKUP(B390,O.B.JUNE!$N$7:$Q$448,2,0),0)</f>
        <v>0</v>
      </c>
      <c r="G390" s="112">
        <f>IFERROR(VLOOKUP(B390,O.B.JUNE!$N$7:$Q$448,3,0),0)</f>
        <v>579</v>
      </c>
      <c r="H390" s="112">
        <f>IFERROR(VLOOKUP(B390,O.B.JUNE!$N$7:$Q$448,4,0),0)</f>
        <v>1047</v>
      </c>
      <c r="I390" s="112">
        <f t="shared" si="57"/>
        <v>1626</v>
      </c>
      <c r="J390" s="112">
        <f>IFERROR(VLOOKUP(B390,O.B.JUNE!$AA$7:$AG$448,7,0),0)</f>
        <v>28159537</v>
      </c>
      <c r="K390" s="112">
        <f>IFERROR(VLOOKUP(B390,O.B.JUNE!$AI$7:$AO$448,7,0),0)</f>
        <v>55016370</v>
      </c>
      <c r="L390" s="112">
        <f t="shared" si="58"/>
        <v>83175907</v>
      </c>
      <c r="M390" s="112">
        <f>ROUND(SUMIF('JUNE (물량흐름)'!$C$13:$C$502,'WIP(재공품)'!B390,'JUNE (물량흐름)'!$H$13:$H$502)+SUMIF('JUNE (물량흐름)'!$C$13:$C$502,'WIP(재공품)'!B390,'JUNE (물량흐름)'!$V$13:$V$502),0)</f>
        <v>0</v>
      </c>
      <c r="N390" s="112">
        <f>SUMIF('Direct labour(직접노무비)'!$C$12:$C$503,'WIP(재공품)'!B390,'Direct labour(직접노무비)'!$O$12:$O$503)</f>
        <v>0</v>
      </c>
      <c r="O390" s="112">
        <f>SUMIF('Overhead exp(제조경비)'!$C$12:$C$503,'WIP(재공품)'!B390,'Overhead exp(제조경비)'!$O$12:$O$503)</f>
        <v>0</v>
      </c>
      <c r="P390" s="112">
        <f t="shared" si="59"/>
        <v>0</v>
      </c>
      <c r="Q390" s="112">
        <v>0</v>
      </c>
      <c r="R390" s="112">
        <v>0</v>
      </c>
      <c r="S390" s="112">
        <f>SUMIF('JUNE (물량흐름)'!$C$13:$C$493,'WIP(재공품)'!B390,'JUNE (물량흐름)'!$T$13:$T$493)+SUMIF('JUNE (물량흐름)'!$C$13:$C$493,'WIP(재공품)'!B390,'JUNE (물량흐름)'!$U$13:$U$493)+SUMIF('JUNE (물량흐름)'!$C$13:$C$493,'WIP(재공품)'!B390,'JUNE (물량흐름)'!$V$13:$V$493)-SUMIF('JUNE (물량흐름)'!$C$13:$C$493,'WIP(재공품)'!B390,'JUNE (물량흐름)'!$Y$13:$Y$493)</f>
        <v>0</v>
      </c>
      <c r="T390" s="112">
        <f>SUMIF('JUNE (물량흐름)'!$C$13:$C$502,'WIP(재공품)'!B390,'JUNE (물량흐름)'!$Y$13:$Y$502)</f>
        <v>0</v>
      </c>
      <c r="U390" s="167">
        <f>SUMIF('Direct labour(직접노무비)'!$C$12:$C$503,'WIP(재공품)'!B390,'Direct labour(직접노무비)'!$U$12:$U$503)+SUMIF('Overhead exp(제조경비)'!$C$12:$C$503,'WIP(재공품)'!B390,'Overhead exp(제조경비)'!$U$12:$U$503)</f>
        <v>0</v>
      </c>
      <c r="V390" s="112">
        <f>SUMIF('Direct labour(직접노무비)'!$C$12:$C$503,'WIP(재공품)'!B390,'Direct labour(직접노무비)'!$Q$12:$Q$503)</f>
        <v>0</v>
      </c>
      <c r="W390" s="112">
        <f>SUMIF('Overhead exp(제조경비)'!$C$12:$C$503,'WIP(재공품)'!B390,'Overhead exp(제조경비)'!$Q$12:$Q$503)</f>
        <v>0</v>
      </c>
      <c r="X390" s="112">
        <f t="shared" si="60"/>
        <v>0</v>
      </c>
      <c r="Y390" s="112">
        <f ca="1">ROUND(SUMIF('JUNE (물량흐름)'!$C$13:$C$502,'WIP(재공품)'!B390,'JUNE (물량흐름)'!$N$13:$N$488),0)</f>
        <v>0</v>
      </c>
      <c r="Z390" s="112">
        <f>ROUND(SUMIF('JUNE (물량흐름)'!$C$13:$C$502,'WIP(재공품)'!B390,'JUNE (물량흐름)'!$O$13:$O$502),0)</f>
        <v>579</v>
      </c>
      <c r="AA390" s="112">
        <f>ROUND(SUMIF('JUNE (물량흐름)'!$C$13:$C$502,'WIP(재공품)'!B390,'JUNE (물량흐름)'!$P$13:$P$502),0)</f>
        <v>1047</v>
      </c>
      <c r="AB390" s="112">
        <f t="shared" ca="1" si="61"/>
        <v>1626</v>
      </c>
      <c r="AC390" s="112">
        <f t="shared" si="62"/>
        <v>83175907</v>
      </c>
      <c r="AD390" s="381">
        <f t="shared" ca="1" si="63"/>
        <v>0</v>
      </c>
      <c r="AE390" s="381">
        <f t="shared" si="64"/>
        <v>0</v>
      </c>
      <c r="AF390" s="382"/>
      <c r="AG390" s="382"/>
      <c r="AH390" s="383"/>
      <c r="AJ390" s="383"/>
      <c r="AL390" s="385"/>
      <c r="AM390" s="381"/>
      <c r="AN390" s="382"/>
      <c r="AO390" s="382"/>
      <c r="AP390" s="383"/>
      <c r="AQ390" s="383"/>
    </row>
    <row r="391" spans="1:43" s="384" customFormat="1" ht="27" customHeight="1">
      <c r="A391" s="167">
        <v>400</v>
      </c>
      <c r="B391" s="240">
        <f>VLOOKUP(A391,'JUNE (물량흐름)'!$A$13:$C$502,3,0)</f>
        <v>464202</v>
      </c>
      <c r="C391" s="21" t="str">
        <f>VLOOKUP(A391,'JUNE (물량흐름)'!$A$13:$C$502,2,0)</f>
        <v>ANN TAYLOR</v>
      </c>
      <c r="D391" s="212">
        <v>3.74</v>
      </c>
      <c r="E391" s="6">
        <f>VLOOKUP(B391,'Sales profit (스타일 별 매출이익)'!$D$9:$P$491,13,0)</f>
        <v>84804.5</v>
      </c>
      <c r="F391" s="112">
        <f>IFERROR(VLOOKUP(B391,O.B.JUNE!$N$7:$Q$448,2,0),0)</f>
        <v>210</v>
      </c>
      <c r="G391" s="112">
        <f>IFERROR(VLOOKUP(B391,O.B.JUNE!$N$7:$Q$448,3,0),0)</f>
        <v>56</v>
      </c>
      <c r="H391" s="112">
        <f>IFERROR(VLOOKUP(B391,O.B.JUNE!$N$7:$Q$448,4,0),0)</f>
        <v>0</v>
      </c>
      <c r="I391" s="112">
        <f t="shared" si="57"/>
        <v>266</v>
      </c>
      <c r="J391" s="112">
        <f>IFERROR(VLOOKUP(B391,O.B.JUNE!$AA$7:$AG$448,7,0),0)</f>
        <v>6379305</v>
      </c>
      <c r="K391" s="112">
        <f>IFERROR(VLOOKUP(B391,O.B.JUNE!$AI$7:$AO$448,7,0),0)</f>
        <v>12463494</v>
      </c>
      <c r="L391" s="112">
        <f t="shared" si="58"/>
        <v>18842799</v>
      </c>
      <c r="M391" s="112">
        <f>ROUND(SUMIF('JUNE (물량흐름)'!$C$13:$C$502,'WIP(재공품)'!B391,'JUNE (물량흐름)'!$H$13:$H$502)+SUMIF('JUNE (물량흐름)'!$C$13:$C$502,'WIP(재공품)'!B391,'JUNE (물량흐름)'!$V$13:$V$502),0)</f>
        <v>586</v>
      </c>
      <c r="N391" s="112">
        <f>SUMIF('Direct labour(직접노무비)'!$C$12:$C$503,'WIP(재공품)'!B391,'Direct labour(직접노무비)'!$O$12:$O$503)</f>
        <v>19015156</v>
      </c>
      <c r="O391" s="112">
        <f>SUMIF('Overhead exp(제조경비)'!$C$12:$C$503,'WIP(재공품)'!B391,'Overhead exp(제조경비)'!$O$12:$O$503)</f>
        <v>37150641</v>
      </c>
      <c r="P391" s="112">
        <f t="shared" si="59"/>
        <v>56165797</v>
      </c>
      <c r="Q391" s="112">
        <v>0</v>
      </c>
      <c r="R391" s="112">
        <v>0</v>
      </c>
      <c r="S391" s="112">
        <f>SUMIF('JUNE (물량흐름)'!$C$13:$C$493,'WIP(재공품)'!B391,'JUNE (물량흐름)'!$T$13:$T$493)+SUMIF('JUNE (물량흐름)'!$C$13:$C$493,'WIP(재공품)'!B391,'JUNE (물량흐름)'!$U$13:$U$493)+SUMIF('JUNE (물량흐름)'!$C$13:$C$493,'WIP(재공품)'!B391,'JUNE (물량흐름)'!$V$13:$V$493)-SUMIF('JUNE (물량흐름)'!$C$13:$C$493,'WIP(재공품)'!B391,'JUNE (물량흐름)'!$Y$13:$Y$493)</f>
        <v>603</v>
      </c>
      <c r="T391" s="112">
        <f>SUMIF('JUNE (물량흐름)'!$C$13:$C$502,'WIP(재공품)'!B391,'JUNE (물량흐름)'!$Y$13:$Y$502)</f>
        <v>9</v>
      </c>
      <c r="U391" s="167">
        <f>SUMIF('Direct labour(직접노무비)'!$C$12:$C$503,'WIP(재공품)'!B391,'Direct labour(직접노무비)'!$U$12:$U$503)+SUMIF('Overhead exp(제조경비)'!$C$12:$C$503,'WIP(재공품)'!B391,'Overhead exp(제조경비)'!$U$12:$U$503)</f>
        <v>792344</v>
      </c>
      <c r="V391" s="112">
        <f>SUMIF('Direct labour(직접노무비)'!$C$12:$C$503,'WIP(재공품)'!B391,'Direct labour(직접노무비)'!$Q$12:$Q$503)</f>
        <v>17972840</v>
      </c>
      <c r="W391" s="112">
        <f>SUMIF('Overhead exp(제조경비)'!$C$12:$C$503,'WIP(재공품)'!B391,'Overhead exp(제조경비)'!$Q$12:$Q$503)</f>
        <v>35114229</v>
      </c>
      <c r="X391" s="112">
        <f t="shared" si="60"/>
        <v>53087069</v>
      </c>
      <c r="Y391" s="112">
        <f ca="1">ROUND(SUMIF('JUNE (물량흐름)'!$C$13:$C$502,'WIP(재공품)'!B391,'JUNE (물량흐름)'!$N$13:$N$488),0)</f>
        <v>0</v>
      </c>
      <c r="Z391" s="112">
        <f>ROUND(SUMIF('JUNE (물량흐름)'!$C$13:$C$502,'WIP(재공품)'!B391,'JUNE (물량흐름)'!$O$13:$O$502),0)</f>
        <v>31</v>
      </c>
      <c r="AA391" s="112">
        <f>ROUND(SUMIF('JUNE (물량흐름)'!$C$13:$C$502,'WIP(재공품)'!B391,'JUNE (물량흐름)'!$P$13:$P$502),0)</f>
        <v>209</v>
      </c>
      <c r="AB391" s="112">
        <f t="shared" ca="1" si="61"/>
        <v>240</v>
      </c>
      <c r="AC391" s="112">
        <f t="shared" si="62"/>
        <v>21129183</v>
      </c>
      <c r="AD391" s="381">
        <f t="shared" ca="1" si="63"/>
        <v>0</v>
      </c>
      <c r="AE391" s="381">
        <f t="shared" si="64"/>
        <v>0</v>
      </c>
      <c r="AF391" s="382"/>
      <c r="AG391" s="382"/>
      <c r="AH391" s="383"/>
      <c r="AJ391" s="383"/>
      <c r="AL391" s="385"/>
      <c r="AM391" s="381"/>
      <c r="AN391" s="382"/>
      <c r="AO391" s="382"/>
      <c r="AP391" s="383"/>
      <c r="AQ391" s="383"/>
    </row>
    <row r="392" spans="1:43" s="384" customFormat="1" ht="27" customHeight="1">
      <c r="A392" s="167">
        <v>401</v>
      </c>
      <c r="B392" s="240">
        <f>VLOOKUP(A392,'JUNE (물량흐름)'!$A$13:$C$502,3,0)</f>
        <v>464618</v>
      </c>
      <c r="C392" s="21" t="str">
        <f>VLOOKUP(A392,'JUNE (물량흐름)'!$A$13:$C$502,2,0)</f>
        <v>ANN TAYLOR</v>
      </c>
      <c r="D392" s="212">
        <v>2.73</v>
      </c>
      <c r="E392" s="6">
        <f>VLOOKUP(B392,'Sales profit (스타일 별 매출이익)'!$D$9:$P$491,13,0)</f>
        <v>61902.75</v>
      </c>
      <c r="F392" s="112">
        <f>IFERROR(VLOOKUP(B392,O.B.JUNE!$N$7:$Q$448,2,0),0)</f>
        <v>0</v>
      </c>
      <c r="G392" s="112">
        <f>IFERROR(VLOOKUP(B392,O.B.JUNE!$N$7:$Q$448,3,0),0)</f>
        <v>127</v>
      </c>
      <c r="H392" s="112">
        <f>IFERROR(VLOOKUP(B392,O.B.JUNE!$N$7:$Q$448,4,0),0)</f>
        <v>620</v>
      </c>
      <c r="I392" s="112">
        <f t="shared" si="57"/>
        <v>747</v>
      </c>
      <c r="J392" s="112">
        <f>IFERROR(VLOOKUP(B392,O.B.JUNE!$AA$7:$AG$448,7,0),0)</f>
        <v>18181457</v>
      </c>
      <c r="K392" s="112">
        <f>IFERROR(VLOOKUP(B392,O.B.JUNE!$AI$7:$AO$448,7,0),0)</f>
        <v>35521810</v>
      </c>
      <c r="L392" s="112">
        <f t="shared" si="58"/>
        <v>53703267</v>
      </c>
      <c r="M392" s="112">
        <f>ROUND(SUMIF('JUNE (물량흐름)'!$C$13:$C$502,'WIP(재공품)'!B392,'JUNE (물량흐름)'!$H$13:$H$502)+SUMIF('JUNE (물량흐름)'!$C$13:$C$502,'WIP(재공품)'!B392,'JUNE (물량흐름)'!$V$13:$V$502),0)</f>
        <v>0</v>
      </c>
      <c r="N392" s="112">
        <f>SUMIF('Direct labour(직접노무비)'!$C$12:$C$503,'WIP(재공품)'!B392,'Direct labour(직접노무비)'!$O$12:$O$503)</f>
        <v>0</v>
      </c>
      <c r="O392" s="112">
        <f>SUMIF('Overhead exp(제조경비)'!$C$12:$C$503,'WIP(재공품)'!B392,'Overhead exp(제조경비)'!$O$12:$O$503)</f>
        <v>0</v>
      </c>
      <c r="P392" s="112">
        <f t="shared" si="59"/>
        <v>0</v>
      </c>
      <c r="Q392" s="112">
        <v>0</v>
      </c>
      <c r="R392" s="112">
        <v>0</v>
      </c>
      <c r="S392" s="112">
        <f>SUMIF('JUNE (물량흐름)'!$C$13:$C$493,'WIP(재공품)'!B392,'JUNE (물량흐름)'!$T$13:$T$493)+SUMIF('JUNE (물량흐름)'!$C$13:$C$493,'WIP(재공품)'!B392,'JUNE (물량흐름)'!$U$13:$U$493)+SUMIF('JUNE (물량흐름)'!$C$13:$C$493,'WIP(재공품)'!B392,'JUNE (물량흐름)'!$V$13:$V$493)-SUMIF('JUNE (물량흐름)'!$C$13:$C$493,'WIP(재공품)'!B392,'JUNE (물량흐름)'!$Y$13:$Y$493)</f>
        <v>0</v>
      </c>
      <c r="T392" s="112">
        <f>SUMIF('JUNE (물량흐름)'!$C$13:$C$502,'WIP(재공품)'!B392,'JUNE (물량흐름)'!$Y$13:$Y$502)</f>
        <v>0</v>
      </c>
      <c r="U392" s="167">
        <f>SUMIF('Direct labour(직접노무비)'!$C$12:$C$503,'WIP(재공품)'!B392,'Direct labour(직접노무비)'!$U$12:$U$503)+SUMIF('Overhead exp(제조경비)'!$C$12:$C$503,'WIP(재공품)'!B392,'Overhead exp(제조경비)'!$U$12:$U$503)</f>
        <v>0</v>
      </c>
      <c r="V392" s="112">
        <f>SUMIF('Direct labour(직접노무비)'!$C$12:$C$503,'WIP(재공품)'!B392,'Direct labour(직접노무비)'!$Q$12:$Q$503)</f>
        <v>0</v>
      </c>
      <c r="W392" s="112">
        <f>SUMIF('Overhead exp(제조경비)'!$C$12:$C$503,'WIP(재공품)'!B392,'Overhead exp(제조경비)'!$Q$12:$Q$503)</f>
        <v>0</v>
      </c>
      <c r="X392" s="112">
        <f t="shared" si="60"/>
        <v>0</v>
      </c>
      <c r="Y392" s="112">
        <f ca="1">ROUND(SUMIF('JUNE (물량흐름)'!$C$13:$C$502,'WIP(재공품)'!B392,'JUNE (물량흐름)'!$N$13:$N$488),0)</f>
        <v>0</v>
      </c>
      <c r="Z392" s="112">
        <f>ROUND(SUMIF('JUNE (물량흐름)'!$C$13:$C$502,'WIP(재공품)'!B392,'JUNE (물량흐름)'!$O$13:$O$502),0)</f>
        <v>127</v>
      </c>
      <c r="AA392" s="112">
        <f>ROUND(SUMIF('JUNE (물량흐름)'!$C$13:$C$502,'WIP(재공품)'!B392,'JUNE (물량흐름)'!$P$13:$P$502),0)</f>
        <v>620</v>
      </c>
      <c r="AB392" s="112">
        <f t="shared" ca="1" si="61"/>
        <v>747</v>
      </c>
      <c r="AC392" s="112">
        <f t="shared" si="62"/>
        <v>53703267</v>
      </c>
      <c r="AD392" s="381">
        <f t="shared" ca="1" si="63"/>
        <v>0</v>
      </c>
      <c r="AE392" s="381">
        <f t="shared" si="64"/>
        <v>0</v>
      </c>
      <c r="AF392" s="382"/>
      <c r="AG392" s="382"/>
      <c r="AH392" s="383"/>
      <c r="AJ392" s="383"/>
      <c r="AL392" s="385"/>
      <c r="AM392" s="381"/>
      <c r="AN392" s="382"/>
      <c r="AO392" s="382"/>
      <c r="AP392" s="383"/>
      <c r="AQ392" s="383"/>
    </row>
    <row r="393" spans="1:43" s="384" customFormat="1" ht="27" customHeight="1">
      <c r="A393" s="167">
        <v>402</v>
      </c>
      <c r="B393" s="240">
        <f>VLOOKUP(A393,'JUNE (물량흐름)'!$A$13:$C$502,3,0)</f>
        <v>466748</v>
      </c>
      <c r="C393" s="21" t="str">
        <f>VLOOKUP(A393,'JUNE (물량흐름)'!$A$13:$C$502,2,0)</f>
        <v>ANN TAYLOR</v>
      </c>
      <c r="D393" s="212">
        <v>1.47</v>
      </c>
      <c r="E393" s="6">
        <f>VLOOKUP(B393,'Sales profit (스타일 별 매출이익)'!$D$9:$P$491,13,0)</f>
        <v>33332.25</v>
      </c>
      <c r="F393" s="112">
        <f>IFERROR(VLOOKUP(B393,O.B.JUNE!$N$7:$Q$448,2,0),0)</f>
        <v>0</v>
      </c>
      <c r="G393" s="112">
        <f>IFERROR(VLOOKUP(B393,O.B.JUNE!$N$7:$Q$448,3,0),0)</f>
        <v>492</v>
      </c>
      <c r="H393" s="112">
        <f>IFERROR(VLOOKUP(B393,O.B.JUNE!$N$7:$Q$448,4,0),0)</f>
        <v>692</v>
      </c>
      <c r="I393" s="112">
        <f t="shared" si="57"/>
        <v>1184</v>
      </c>
      <c r="J393" s="112">
        <f>IFERROR(VLOOKUP(B393,O.B.JUNE!$AA$7:$AG$448,7,0),0)</f>
        <v>11892465</v>
      </c>
      <c r="K393" s="112">
        <f>IFERROR(VLOOKUP(B393,O.B.JUNE!$AI$7:$AO$448,7,0),0)</f>
        <v>23234765</v>
      </c>
      <c r="L393" s="112">
        <f t="shared" si="58"/>
        <v>35127230</v>
      </c>
      <c r="M393" s="112">
        <f>ROUND(SUMIF('JUNE (물량흐름)'!$C$13:$C$502,'WIP(재공품)'!B393,'JUNE (물량흐름)'!$H$13:$H$502)+SUMIF('JUNE (물량흐름)'!$C$13:$C$502,'WIP(재공품)'!B393,'JUNE (물량흐름)'!$V$13:$V$502),0)</f>
        <v>0</v>
      </c>
      <c r="N393" s="112">
        <f>SUMIF('Direct labour(직접노무비)'!$C$12:$C$503,'WIP(재공품)'!B393,'Direct labour(직접노무비)'!$O$12:$O$503)</f>
        <v>0</v>
      </c>
      <c r="O393" s="112">
        <f>SUMIF('Overhead exp(제조경비)'!$C$12:$C$503,'WIP(재공품)'!B393,'Overhead exp(제조경비)'!$O$12:$O$503)</f>
        <v>0</v>
      </c>
      <c r="P393" s="112">
        <f t="shared" si="59"/>
        <v>0</v>
      </c>
      <c r="Q393" s="112">
        <v>0</v>
      </c>
      <c r="R393" s="112">
        <v>0</v>
      </c>
      <c r="S393" s="112">
        <f>SUMIF('JUNE (물량흐름)'!$C$13:$C$493,'WIP(재공품)'!B393,'JUNE (물량흐름)'!$T$13:$T$493)+SUMIF('JUNE (물량흐름)'!$C$13:$C$493,'WIP(재공품)'!B393,'JUNE (물량흐름)'!$U$13:$U$493)+SUMIF('JUNE (물량흐름)'!$C$13:$C$493,'WIP(재공품)'!B393,'JUNE (물량흐름)'!$V$13:$V$493)-SUMIF('JUNE (물량흐름)'!$C$13:$C$493,'WIP(재공품)'!B393,'JUNE (물량흐름)'!$Y$13:$Y$493)</f>
        <v>411</v>
      </c>
      <c r="T393" s="112">
        <f>SUMIF('JUNE (물량흐름)'!$C$13:$C$502,'WIP(재공품)'!B393,'JUNE (물량흐름)'!$Y$13:$Y$502)</f>
        <v>13</v>
      </c>
      <c r="U393" s="167">
        <f>SUMIF('Direct labour(직접노무비)'!$C$12:$C$503,'WIP(재공품)'!B393,'Direct labour(직접노무비)'!$U$12:$U$503)+SUMIF('Overhead exp(제조경비)'!$C$12:$C$503,'WIP(재공품)'!B393,'Overhead exp(제조경비)'!$U$12:$U$503)</f>
        <v>385687</v>
      </c>
      <c r="V393" s="112">
        <f>SUMIF('Direct labour(직접노무비)'!$C$12:$C$503,'WIP(재공품)'!B393,'Direct labour(직접노무비)'!$Q$12:$Q$503)</f>
        <v>4128212</v>
      </c>
      <c r="W393" s="112">
        <f>SUMIF('Overhead exp(제조경비)'!$C$12:$C$503,'WIP(재공품)'!B393,'Overhead exp(제조경비)'!$Q$12:$Q$503)</f>
        <v>8065446</v>
      </c>
      <c r="X393" s="112">
        <f t="shared" si="60"/>
        <v>12193658</v>
      </c>
      <c r="Y393" s="112">
        <f ca="1">ROUND(SUMIF('JUNE (물량흐름)'!$C$13:$C$502,'WIP(재공품)'!B393,'JUNE (물량흐름)'!$N$13:$N$488),0)</f>
        <v>0</v>
      </c>
      <c r="Z393" s="112">
        <f>ROUND(SUMIF('JUNE (물량흐름)'!$C$13:$C$502,'WIP(재공품)'!B393,'JUNE (물량흐름)'!$O$13:$O$502),0)</f>
        <v>492</v>
      </c>
      <c r="AA393" s="112">
        <f>ROUND(SUMIF('JUNE (물량흐름)'!$C$13:$C$502,'WIP(재공품)'!B393,'JUNE (물량흐름)'!$P$13:$P$502),0)</f>
        <v>268</v>
      </c>
      <c r="AB393" s="112">
        <f t="shared" ca="1" si="61"/>
        <v>760</v>
      </c>
      <c r="AC393" s="112">
        <f t="shared" si="62"/>
        <v>22547885</v>
      </c>
      <c r="AD393" s="381">
        <f t="shared" ca="1" si="63"/>
        <v>0</v>
      </c>
      <c r="AE393" s="381">
        <f t="shared" si="64"/>
        <v>0</v>
      </c>
      <c r="AF393" s="382"/>
      <c r="AG393" s="382"/>
      <c r="AH393" s="383"/>
      <c r="AJ393" s="383"/>
      <c r="AL393" s="385"/>
      <c r="AM393" s="381"/>
      <c r="AN393" s="382"/>
      <c r="AO393" s="382"/>
      <c r="AP393" s="383"/>
      <c r="AQ393" s="383"/>
    </row>
    <row r="394" spans="1:43" s="384" customFormat="1" ht="27" customHeight="1">
      <c r="A394" s="167">
        <v>403</v>
      </c>
      <c r="B394" s="240">
        <f>VLOOKUP(A394,'JUNE (물량흐름)'!$A$13:$C$502,3,0)</f>
        <v>468918</v>
      </c>
      <c r="C394" s="21" t="str">
        <f>VLOOKUP(A394,'JUNE (물량흐름)'!$A$13:$C$502,2,0)</f>
        <v>ANN TAYLOR</v>
      </c>
      <c r="D394" s="212">
        <v>3.45</v>
      </c>
      <c r="E394" s="6">
        <f>VLOOKUP(B394,'Sales profit (스타일 별 매출이익)'!$D$9:$P$491,13,0)</f>
        <v>78228.75</v>
      </c>
      <c r="F394" s="112">
        <f>IFERROR(VLOOKUP(B394,O.B.JUNE!$N$7:$Q$448,2,0),0)</f>
        <v>0</v>
      </c>
      <c r="G394" s="112">
        <f>IFERROR(VLOOKUP(B394,O.B.JUNE!$N$7:$Q$448,3,0),0)</f>
        <v>52</v>
      </c>
      <c r="H394" s="112">
        <f>IFERROR(VLOOKUP(B394,O.B.JUNE!$N$7:$Q$448,4,0),0)</f>
        <v>47</v>
      </c>
      <c r="I394" s="112">
        <f t="shared" si="57"/>
        <v>99</v>
      </c>
      <c r="J394" s="112">
        <f>IFERROR(VLOOKUP(B394,O.B.JUNE!$AA$7:$AG$448,7,0),0)</f>
        <v>2356965</v>
      </c>
      <c r="K394" s="112">
        <f>IFERROR(VLOOKUP(B394,O.B.JUNE!$AI$7:$AO$448,7,0),0)</f>
        <v>4604893</v>
      </c>
      <c r="L394" s="112">
        <f t="shared" si="58"/>
        <v>6961858</v>
      </c>
      <c r="M394" s="112">
        <f>ROUND(SUMIF('JUNE (물량흐름)'!$C$13:$C$502,'WIP(재공품)'!B394,'JUNE (물량흐름)'!$H$13:$H$502)+SUMIF('JUNE (물량흐름)'!$C$13:$C$502,'WIP(재공품)'!B394,'JUNE (물량흐름)'!$V$13:$V$502),0)</f>
        <v>0</v>
      </c>
      <c r="N394" s="112">
        <f>SUMIF('Direct labour(직접노무비)'!$C$12:$C$503,'WIP(재공품)'!B394,'Direct labour(직접노무비)'!$O$12:$O$503)</f>
        <v>0</v>
      </c>
      <c r="O394" s="112">
        <f>SUMIF('Overhead exp(제조경비)'!$C$12:$C$503,'WIP(재공품)'!B394,'Overhead exp(제조경비)'!$O$12:$O$503)</f>
        <v>0</v>
      </c>
      <c r="P394" s="112">
        <f t="shared" si="59"/>
        <v>0</v>
      </c>
      <c r="Q394" s="112">
        <v>0</v>
      </c>
      <c r="R394" s="112">
        <v>0</v>
      </c>
      <c r="S394" s="112">
        <f>SUMIF('JUNE (물량흐름)'!$C$13:$C$493,'WIP(재공품)'!B394,'JUNE (물량흐름)'!$T$13:$T$493)+SUMIF('JUNE (물량흐름)'!$C$13:$C$493,'WIP(재공품)'!B394,'JUNE (물량흐름)'!$U$13:$U$493)+SUMIF('JUNE (물량흐름)'!$C$13:$C$493,'WIP(재공품)'!B394,'JUNE (물량흐름)'!$V$13:$V$493)-SUMIF('JUNE (물량흐름)'!$C$13:$C$493,'WIP(재공품)'!B394,'JUNE (물량흐름)'!$Y$13:$Y$493)</f>
        <v>0</v>
      </c>
      <c r="T394" s="112">
        <f>SUMIF('JUNE (물량흐름)'!$C$13:$C$502,'WIP(재공품)'!B394,'JUNE (물량흐름)'!$Y$13:$Y$502)</f>
        <v>10</v>
      </c>
      <c r="U394" s="167">
        <f>SUMIF('Direct labour(직접노무비)'!$C$12:$C$503,'WIP(재공품)'!B394,'Direct labour(직접노무비)'!$U$12:$U$503)+SUMIF('Overhead exp(제조경비)'!$C$12:$C$503,'WIP(재공품)'!B394,'Overhead exp(제조경비)'!$U$12:$U$503)</f>
        <v>703218</v>
      </c>
      <c r="V394" s="112">
        <f>SUMIF('Direct labour(직접노무비)'!$C$12:$C$503,'WIP(재공품)'!B394,'Direct labour(직접노무비)'!$Q$12:$Q$503)</f>
        <v>0</v>
      </c>
      <c r="W394" s="112">
        <f>SUMIF('Overhead exp(제조경비)'!$C$12:$C$503,'WIP(재공품)'!B394,'Overhead exp(제조경비)'!$Q$12:$Q$503)</f>
        <v>0</v>
      </c>
      <c r="X394" s="112">
        <f t="shared" si="60"/>
        <v>0</v>
      </c>
      <c r="Y394" s="112">
        <f ca="1">ROUND(SUMIF('JUNE (물량흐름)'!$C$13:$C$502,'WIP(재공품)'!B394,'JUNE (물량흐름)'!$N$13:$N$488),0)</f>
        <v>0</v>
      </c>
      <c r="Z394" s="112">
        <f>ROUND(SUMIF('JUNE (물량흐름)'!$C$13:$C$502,'WIP(재공품)'!B394,'JUNE (물량흐름)'!$O$13:$O$502),0)</f>
        <v>52</v>
      </c>
      <c r="AA394" s="112">
        <f>ROUND(SUMIF('JUNE (물량흐름)'!$C$13:$C$502,'WIP(재공품)'!B394,'JUNE (물량흐름)'!$P$13:$P$502),0)</f>
        <v>37</v>
      </c>
      <c r="AB394" s="112">
        <f t="shared" ca="1" si="61"/>
        <v>89</v>
      </c>
      <c r="AC394" s="112">
        <f t="shared" si="62"/>
        <v>6258640</v>
      </c>
      <c r="AD394" s="381">
        <f t="shared" ca="1" si="63"/>
        <v>0</v>
      </c>
      <c r="AE394" s="381">
        <f t="shared" si="64"/>
        <v>0</v>
      </c>
      <c r="AF394" s="382"/>
      <c r="AG394" s="382"/>
      <c r="AH394" s="383"/>
      <c r="AJ394" s="383"/>
      <c r="AL394" s="385"/>
      <c r="AM394" s="381"/>
      <c r="AN394" s="382"/>
      <c r="AO394" s="382"/>
      <c r="AP394" s="383"/>
      <c r="AQ394" s="383"/>
    </row>
    <row r="395" spans="1:43" s="384" customFormat="1" ht="27" customHeight="1">
      <c r="A395" s="167">
        <v>404</v>
      </c>
      <c r="B395" s="240">
        <f>VLOOKUP(A395,'JUNE (물량흐름)'!$A$13:$C$502,3,0)</f>
        <v>469040</v>
      </c>
      <c r="C395" s="21" t="str">
        <f>VLOOKUP(A395,'JUNE (물량흐름)'!$A$13:$C$502,2,0)</f>
        <v>ANN TAYLOR</v>
      </c>
      <c r="D395" s="212">
        <v>1.52</v>
      </c>
      <c r="E395" s="6">
        <f>VLOOKUP(B395,'Sales profit (스타일 별 매출이익)'!$D$9:$P$491,13,0)</f>
        <v>34466</v>
      </c>
      <c r="F395" s="112">
        <f>IFERROR(VLOOKUP(B395,O.B.JUNE!$N$7:$Q$448,2,0),0)</f>
        <v>0</v>
      </c>
      <c r="G395" s="112">
        <f>IFERROR(VLOOKUP(B395,O.B.JUNE!$N$7:$Q$448,3,0),0)</f>
        <v>379</v>
      </c>
      <c r="H395" s="112">
        <f>IFERROR(VLOOKUP(B395,O.B.JUNE!$N$7:$Q$448,4,0),0)</f>
        <v>2715</v>
      </c>
      <c r="I395" s="112">
        <f t="shared" si="57"/>
        <v>3094</v>
      </c>
      <c r="J395" s="112">
        <f>IFERROR(VLOOKUP(B395,O.B.JUNE!$AA$7:$AG$448,7,0),0)</f>
        <v>29906167</v>
      </c>
      <c r="K395" s="112">
        <f>IFERROR(VLOOKUP(B395,O.B.JUNE!$AI$7:$AO$448,7,0),0)</f>
        <v>58428827</v>
      </c>
      <c r="L395" s="112">
        <f t="shared" si="58"/>
        <v>88334994</v>
      </c>
      <c r="M395" s="112">
        <f>ROUND(SUMIF('JUNE (물량흐름)'!$C$13:$C$502,'WIP(재공품)'!B395,'JUNE (물량흐름)'!$H$13:$H$502)+SUMIF('JUNE (물량흐름)'!$C$13:$C$502,'WIP(재공품)'!B395,'JUNE (물량흐름)'!$V$13:$V$502),0)</f>
        <v>380</v>
      </c>
      <c r="N395" s="112">
        <f>SUMIF('Direct labour(직접노무비)'!$C$12:$C$503,'WIP(재공품)'!B395,'Direct labour(직접노무비)'!$O$12:$O$503)</f>
        <v>7781382</v>
      </c>
      <c r="O395" s="112">
        <f>SUMIF('Overhead exp(제조경비)'!$C$12:$C$503,'WIP(재공품)'!B395,'Overhead exp(제조경비)'!$O$12:$O$503)</f>
        <v>15202785</v>
      </c>
      <c r="P395" s="112">
        <f t="shared" si="59"/>
        <v>22984167</v>
      </c>
      <c r="Q395" s="112">
        <v>0</v>
      </c>
      <c r="R395" s="112">
        <v>0</v>
      </c>
      <c r="S395" s="112">
        <f>SUMIF('JUNE (물량흐름)'!$C$13:$C$493,'WIP(재공품)'!B395,'JUNE (물량흐름)'!$T$13:$T$493)+SUMIF('JUNE (물량흐름)'!$C$13:$C$493,'WIP(재공품)'!B395,'JUNE (물량흐름)'!$U$13:$U$493)+SUMIF('JUNE (물량흐름)'!$C$13:$C$493,'WIP(재공품)'!B395,'JUNE (물량흐름)'!$V$13:$V$493)-SUMIF('JUNE (물량흐름)'!$C$13:$C$493,'WIP(재공품)'!B395,'JUNE (물량흐름)'!$Y$13:$Y$493)</f>
        <v>2132</v>
      </c>
      <c r="T395" s="112">
        <f>SUMIF('JUNE (물량흐름)'!$C$13:$C$502,'WIP(재공품)'!B395,'JUNE (물량흐름)'!$Y$13:$Y$502)</f>
        <v>0</v>
      </c>
      <c r="U395" s="167">
        <f>SUMIF('Direct labour(직접노무비)'!$C$12:$C$503,'WIP(재공품)'!B395,'Direct labour(직접노무비)'!$U$12:$U$503)+SUMIF('Overhead exp(제조경비)'!$C$12:$C$503,'WIP(재공품)'!B395,'Overhead exp(제조경비)'!$U$12:$U$503)</f>
        <v>0</v>
      </c>
      <c r="V395" s="112">
        <f>SUMIF('Direct labour(직접노무비)'!$C$12:$C$503,'WIP(재공품)'!B395,'Direct labour(직접노무비)'!$Q$12:$Q$503)</f>
        <v>23128916</v>
      </c>
      <c r="W395" s="112">
        <f>SUMIF('Overhead exp(제조경비)'!$C$12:$C$503,'WIP(재공품)'!B395,'Overhead exp(제조경비)'!$Q$12:$Q$503)</f>
        <v>45187852</v>
      </c>
      <c r="X395" s="112">
        <f t="shared" si="60"/>
        <v>68316768</v>
      </c>
      <c r="Y395" s="112">
        <f ca="1">ROUND(SUMIF('JUNE (물량흐름)'!$C$13:$C$502,'WIP(재공품)'!B395,'JUNE (물량흐름)'!$N$13:$N$488),0)</f>
        <v>0</v>
      </c>
      <c r="Z395" s="112">
        <f>ROUND(SUMIF('JUNE (물량흐름)'!$C$13:$C$502,'WIP(재공품)'!B395,'JUNE (물량흐름)'!$O$13:$O$502),0)</f>
        <v>379</v>
      </c>
      <c r="AA395" s="112">
        <f>ROUND(SUMIF('JUNE (물량흐름)'!$C$13:$C$502,'WIP(재공품)'!B395,'JUNE (물량흐름)'!$P$13:$P$502),0)</f>
        <v>963</v>
      </c>
      <c r="AB395" s="112">
        <f t="shared" ca="1" si="61"/>
        <v>1342</v>
      </c>
      <c r="AC395" s="112">
        <f t="shared" si="62"/>
        <v>43002393</v>
      </c>
      <c r="AD395" s="381">
        <f t="shared" ca="1" si="63"/>
        <v>0</v>
      </c>
      <c r="AE395" s="381">
        <f t="shared" si="64"/>
        <v>0</v>
      </c>
      <c r="AF395" s="382"/>
      <c r="AG395" s="382"/>
      <c r="AH395" s="383"/>
      <c r="AI395" s="383"/>
      <c r="AJ395" s="383"/>
      <c r="AL395" s="385"/>
      <c r="AM395" s="381"/>
      <c r="AN395" s="382"/>
      <c r="AO395" s="382"/>
      <c r="AP395" s="383"/>
      <c r="AQ395" s="383"/>
    </row>
    <row r="396" spans="1:43" s="384" customFormat="1" ht="27" customHeight="1">
      <c r="A396" s="167">
        <v>405</v>
      </c>
      <c r="B396" s="240">
        <f>VLOOKUP(A396,'JUNE (물량흐름)'!$A$13:$C$502,3,0)</f>
        <v>469041</v>
      </c>
      <c r="C396" s="21" t="str">
        <f>VLOOKUP(A396,'JUNE (물량흐름)'!$A$13:$C$502,2,0)</f>
        <v>ANN TAYLOR</v>
      </c>
      <c r="D396" s="212">
        <v>1.52</v>
      </c>
      <c r="E396" s="6">
        <f>VLOOKUP(B396,'Sales profit (스타일 별 매출이익)'!$D$9:$P$491,13,0)</f>
        <v>34466</v>
      </c>
      <c r="F396" s="112">
        <f>IFERROR(VLOOKUP(B396,O.B.JUNE!$N$7:$Q$448,2,0),0)</f>
        <v>55</v>
      </c>
      <c r="G396" s="112">
        <f>IFERROR(VLOOKUP(B396,O.B.JUNE!$N$7:$Q$448,3,0),0)</f>
        <v>205</v>
      </c>
      <c r="H396" s="112">
        <f>IFERROR(VLOOKUP(B396,O.B.JUNE!$N$7:$Q$448,4,0),0)</f>
        <v>23</v>
      </c>
      <c r="I396" s="112">
        <f t="shared" si="57"/>
        <v>283</v>
      </c>
      <c r="J396" s="112">
        <f>IFERROR(VLOOKUP(B396,O.B.JUNE!$AA$7:$AG$448,7,0),0)</f>
        <v>2948355</v>
      </c>
      <c r="K396" s="112">
        <f>IFERROR(VLOOKUP(B396,O.B.JUNE!$AI$7:$AO$448,7,0),0)</f>
        <v>5760314</v>
      </c>
      <c r="L396" s="112">
        <f t="shared" si="58"/>
        <v>8708669</v>
      </c>
      <c r="M396" s="112">
        <f>ROUND(SUMIF('JUNE (물량흐름)'!$C$13:$C$502,'WIP(재공품)'!B396,'JUNE (물량흐름)'!$H$13:$H$502)+SUMIF('JUNE (물량흐름)'!$C$13:$C$502,'WIP(재공품)'!B396,'JUNE (물량흐름)'!$V$13:$V$502),0)</f>
        <v>356</v>
      </c>
      <c r="N396" s="112">
        <f>SUMIF('Direct labour(직접노무비)'!$C$12:$C$503,'WIP(재공품)'!B396,'Direct labour(직접노무비)'!$O$12:$O$503)</f>
        <v>3901350</v>
      </c>
      <c r="O396" s="112">
        <f>SUMIF('Overhead exp(제조경비)'!$C$12:$C$503,'WIP(재공품)'!B396,'Overhead exp(제조경비)'!$O$12:$O$503)</f>
        <v>7622218</v>
      </c>
      <c r="P396" s="112">
        <f t="shared" si="59"/>
        <v>11523568</v>
      </c>
      <c r="Q396" s="112">
        <v>0</v>
      </c>
      <c r="R396" s="112">
        <v>0</v>
      </c>
      <c r="S396" s="112">
        <f>SUMIF('JUNE (물량흐름)'!$C$13:$C$493,'WIP(재공품)'!B396,'JUNE (물량흐름)'!$T$13:$T$493)+SUMIF('JUNE (물량흐름)'!$C$13:$C$493,'WIP(재공품)'!B396,'JUNE (물량흐름)'!$U$13:$U$493)+SUMIF('JUNE (물량흐름)'!$C$13:$C$493,'WIP(재공품)'!B396,'JUNE (물량흐름)'!$V$13:$V$493)-SUMIF('JUNE (물량흐름)'!$C$13:$C$493,'WIP(재공품)'!B396,'JUNE (물량흐름)'!$Y$13:$Y$493)</f>
        <v>322</v>
      </c>
      <c r="T396" s="112">
        <f>SUMIF('JUNE (물량흐름)'!$C$13:$C$502,'WIP(재공품)'!B396,'JUNE (물량흐름)'!$Y$13:$Y$502)</f>
        <v>0</v>
      </c>
      <c r="U396" s="167">
        <f>SUMIF('Direct labour(직접노무비)'!$C$12:$C$503,'WIP(재공품)'!B396,'Direct labour(직접노무비)'!$U$12:$U$503)+SUMIF('Overhead exp(제조경비)'!$C$12:$C$503,'WIP(재공품)'!B396,'Overhead exp(제조경비)'!$U$12:$U$503)</f>
        <v>0</v>
      </c>
      <c r="V396" s="112">
        <f>SUMIF('Direct labour(직접노무비)'!$C$12:$C$503,'WIP(재공품)'!B396,'Direct labour(직접노무비)'!$Q$12:$Q$503)</f>
        <v>3451651</v>
      </c>
      <c r="W396" s="112">
        <f>SUMIF('Overhead exp(제조경비)'!$C$12:$C$503,'WIP(재공품)'!B396,'Overhead exp(제조경비)'!$Q$12:$Q$503)</f>
        <v>6743623</v>
      </c>
      <c r="X396" s="112">
        <f t="shared" si="60"/>
        <v>10195274</v>
      </c>
      <c r="Y396" s="112">
        <f ca="1">ROUND(SUMIF('JUNE (물량흐름)'!$C$13:$C$502,'WIP(재공품)'!B396,'JUNE (물량흐름)'!$N$13:$N$488),0)</f>
        <v>0</v>
      </c>
      <c r="Z396" s="112">
        <f>ROUND(SUMIF('JUNE (물량흐름)'!$C$13:$C$502,'WIP(재공품)'!B396,'JUNE (물량흐름)'!$O$13:$O$502),0)</f>
        <v>260</v>
      </c>
      <c r="AA396" s="112">
        <f>ROUND(SUMIF('JUNE (물량흐름)'!$C$13:$C$502,'WIP(재공품)'!B396,'JUNE (물량흐름)'!$P$13:$P$502),0)</f>
        <v>57</v>
      </c>
      <c r="AB396" s="112">
        <f t="shared" ca="1" si="61"/>
        <v>317</v>
      </c>
      <c r="AC396" s="112">
        <f t="shared" si="62"/>
        <v>10036963</v>
      </c>
      <c r="AD396" s="381">
        <f t="shared" ca="1" si="63"/>
        <v>0</v>
      </c>
      <c r="AE396" s="381">
        <f t="shared" si="64"/>
        <v>0</v>
      </c>
      <c r="AF396" s="382"/>
      <c r="AG396" s="382"/>
      <c r="AH396" s="383"/>
      <c r="AI396" s="383"/>
      <c r="AJ396" s="383"/>
      <c r="AL396" s="385"/>
      <c r="AM396" s="381"/>
      <c r="AN396" s="382"/>
      <c r="AO396" s="382"/>
      <c r="AP396" s="383"/>
      <c r="AQ396" s="383"/>
    </row>
    <row r="397" spans="1:43" s="384" customFormat="1" ht="27" customHeight="1">
      <c r="A397" s="167">
        <v>406</v>
      </c>
      <c r="B397" s="240">
        <f>VLOOKUP(A397,'JUNE (물량흐름)'!$A$13:$C$502,3,0)</f>
        <v>469042</v>
      </c>
      <c r="C397" s="21" t="str">
        <f>VLOOKUP(A397,'JUNE (물량흐름)'!$A$13:$C$502,2,0)</f>
        <v>ANN TAYLOR</v>
      </c>
      <c r="D397" s="212">
        <v>1.52</v>
      </c>
      <c r="E397" s="6">
        <f>VLOOKUP(B397,'Sales profit (스타일 별 매출이익)'!$D$9:$P$491,13,0)</f>
        <v>34466</v>
      </c>
      <c r="F397" s="112">
        <f>IFERROR(VLOOKUP(B397,O.B.JUNE!$N$7:$Q$448,2,0),0)</f>
        <v>411</v>
      </c>
      <c r="G397" s="112">
        <f>IFERROR(VLOOKUP(B397,O.B.JUNE!$N$7:$Q$448,3,0),0)</f>
        <v>150</v>
      </c>
      <c r="H397" s="112">
        <f>IFERROR(VLOOKUP(B397,O.B.JUNE!$N$7:$Q$448,4,0),0)</f>
        <v>313</v>
      </c>
      <c r="I397" s="112">
        <f t="shared" si="57"/>
        <v>874</v>
      </c>
      <c r="J397" s="112">
        <f>IFERROR(VLOOKUP(B397,O.B.JUNE!$AA$7:$AG$448,7,0),0)</f>
        <v>8619525</v>
      </c>
      <c r="K397" s="112">
        <f>IFERROR(VLOOKUP(B397,O.B.JUNE!$AI$7:$AO$448,7,0),0)</f>
        <v>16840297</v>
      </c>
      <c r="L397" s="112">
        <f t="shared" si="58"/>
        <v>25459822</v>
      </c>
      <c r="M397" s="112">
        <f>ROUND(SUMIF('JUNE (물량흐름)'!$C$13:$C$502,'WIP(재공품)'!B397,'JUNE (물량흐름)'!$H$13:$H$502)+SUMIF('JUNE (물량흐름)'!$C$13:$C$502,'WIP(재공품)'!B397,'JUNE (물량흐름)'!$V$13:$V$502),0)</f>
        <v>0</v>
      </c>
      <c r="N397" s="112">
        <f>SUMIF('Direct labour(직접노무비)'!$C$12:$C$503,'WIP(재공품)'!B397,'Direct labour(직접노무비)'!$O$12:$O$503)</f>
        <v>0</v>
      </c>
      <c r="O397" s="112">
        <f>SUMIF('Overhead exp(제조경비)'!$C$12:$C$503,'WIP(재공품)'!B397,'Overhead exp(제조경비)'!$O$12:$O$503)</f>
        <v>0</v>
      </c>
      <c r="P397" s="112">
        <f t="shared" si="59"/>
        <v>0</v>
      </c>
      <c r="Q397" s="112">
        <v>0</v>
      </c>
      <c r="R397" s="112">
        <v>0</v>
      </c>
      <c r="S397" s="112">
        <f>SUMIF('JUNE (물량흐름)'!$C$13:$C$493,'WIP(재공품)'!B397,'JUNE (물량흐름)'!$T$13:$T$493)+SUMIF('JUNE (물량흐름)'!$C$13:$C$493,'WIP(재공품)'!B397,'JUNE (물량흐름)'!$U$13:$U$493)+SUMIF('JUNE (물량흐름)'!$C$13:$C$493,'WIP(재공품)'!B397,'JUNE (물량흐름)'!$V$13:$V$493)-SUMIF('JUNE (물량흐름)'!$C$13:$C$493,'WIP(재공품)'!B397,'JUNE (물량흐름)'!$Y$13:$Y$493)</f>
        <v>393</v>
      </c>
      <c r="T397" s="112">
        <f>SUMIF('JUNE (물량흐름)'!$C$13:$C$502,'WIP(재공품)'!B397,'JUNE (물량흐름)'!$Y$13:$Y$502)</f>
        <v>17</v>
      </c>
      <c r="U397" s="167">
        <f>SUMIF('Direct labour(직접노무비)'!$C$12:$C$503,'WIP(재공품)'!B397,'Direct labour(직접노무비)'!$U$12:$U$503)+SUMIF('Overhead exp(제조경비)'!$C$12:$C$503,'WIP(재공품)'!B397,'Overhead exp(제조경비)'!$U$12:$U$503)</f>
        <v>495214</v>
      </c>
      <c r="V397" s="112">
        <f>SUMIF('Direct labour(직접노무비)'!$C$12:$C$503,'WIP(재공품)'!B397,'Direct labour(직접노무비)'!$Q$12:$Q$503)</f>
        <v>3875828</v>
      </c>
      <c r="W397" s="112">
        <f>SUMIF('Overhead exp(제조경비)'!$C$12:$C$503,'WIP(재공품)'!B397,'Overhead exp(제조경비)'!$Q$12:$Q$503)</f>
        <v>7572353</v>
      </c>
      <c r="X397" s="112">
        <f t="shared" si="60"/>
        <v>11448181</v>
      </c>
      <c r="Y397" s="112">
        <f ca="1">ROUND(SUMIF('JUNE (물량흐름)'!$C$13:$C$502,'WIP(재공품)'!B397,'JUNE (물량흐름)'!$N$13:$N$488),0)</f>
        <v>0</v>
      </c>
      <c r="Z397" s="112">
        <f>ROUND(SUMIF('JUNE (물량흐름)'!$C$13:$C$502,'WIP(재공품)'!B397,'JUNE (물량흐름)'!$O$13:$O$502),0)</f>
        <v>227</v>
      </c>
      <c r="AA397" s="112">
        <f>ROUND(SUMIF('JUNE (물량흐름)'!$C$13:$C$502,'WIP(재공품)'!B397,'JUNE (물량흐름)'!$P$13:$P$502),0)</f>
        <v>237</v>
      </c>
      <c r="AB397" s="112">
        <f t="shared" ca="1" si="61"/>
        <v>464</v>
      </c>
      <c r="AC397" s="112">
        <f t="shared" si="62"/>
        <v>13516427</v>
      </c>
      <c r="AD397" s="381">
        <f ca="1">I397+M397-S397-T397-AB397</f>
        <v>0</v>
      </c>
      <c r="AE397" s="381">
        <f t="shared" si="64"/>
        <v>0</v>
      </c>
      <c r="AF397" s="382"/>
      <c r="AG397" s="382"/>
      <c r="AH397" s="383"/>
      <c r="AI397" s="383"/>
      <c r="AJ397" s="383"/>
      <c r="AL397" s="385"/>
      <c r="AM397" s="381"/>
      <c r="AN397" s="382"/>
      <c r="AO397" s="382"/>
      <c r="AP397" s="383"/>
      <c r="AQ397" s="383"/>
    </row>
    <row r="398" spans="1:43" s="384" customFormat="1" ht="27" customHeight="1">
      <c r="A398" s="167">
        <v>407</v>
      </c>
      <c r="B398" s="240">
        <f>VLOOKUP(A398,'JUNE (물량흐름)'!$A$13:$C$502,3,0)</f>
        <v>470341</v>
      </c>
      <c r="C398" s="21" t="str">
        <f>VLOOKUP(A398,'JUNE (물량흐름)'!$A$13:$C$502,2,0)</f>
        <v>ANN TAYLOR</v>
      </c>
      <c r="D398" s="212">
        <v>1.47</v>
      </c>
      <c r="E398" s="6">
        <f>VLOOKUP(B398,'Sales profit (스타일 별 매출이익)'!$D$9:$P$491,13,0)</f>
        <v>33332.25</v>
      </c>
      <c r="F398" s="112">
        <f>IFERROR(VLOOKUP(B398,O.B.JUNE!$N$7:$Q$448,2,0),0)</f>
        <v>0</v>
      </c>
      <c r="G398" s="112">
        <f>IFERROR(VLOOKUP(B398,O.B.JUNE!$N$7:$Q$448,3,0),0)</f>
        <v>123</v>
      </c>
      <c r="H398" s="112">
        <f>IFERROR(VLOOKUP(B398,O.B.JUNE!$N$7:$Q$448,4,0),0)</f>
        <v>324</v>
      </c>
      <c r="I398" s="112">
        <f t="shared" si="57"/>
        <v>447</v>
      </c>
      <c r="J398" s="112">
        <f>IFERROR(VLOOKUP(B398,O.B.JUNE!$AA$7:$AG$448,7,0),0)</f>
        <v>4536433</v>
      </c>
      <c r="K398" s="112">
        <f>IFERROR(VLOOKUP(B398,O.B.JUNE!$AI$7:$AO$448,7,0),0)</f>
        <v>8863003</v>
      </c>
      <c r="L398" s="112">
        <f t="shared" si="58"/>
        <v>13399436</v>
      </c>
      <c r="M398" s="112">
        <f>ROUND(SUMIF('JUNE (물량흐름)'!$C$13:$C$502,'WIP(재공품)'!B398,'JUNE (물량흐름)'!$H$13:$H$502)+SUMIF('JUNE (물량흐름)'!$C$13:$C$502,'WIP(재공품)'!B398,'JUNE (물량흐름)'!$V$13:$V$502),0)</f>
        <v>0</v>
      </c>
      <c r="N398" s="112">
        <f>SUMIF('Direct labour(직접노무비)'!$C$12:$C$503,'WIP(재공품)'!B398,'Direct labour(직접노무비)'!$O$12:$O$503)</f>
        <v>0</v>
      </c>
      <c r="O398" s="112">
        <f>SUMIF('Overhead exp(제조경비)'!$C$12:$C$503,'WIP(재공품)'!B398,'Overhead exp(제조경비)'!$O$12:$O$503)</f>
        <v>0</v>
      </c>
      <c r="P398" s="112">
        <f t="shared" si="59"/>
        <v>0</v>
      </c>
      <c r="Q398" s="112">
        <v>0</v>
      </c>
      <c r="R398" s="112">
        <v>0</v>
      </c>
      <c r="S398" s="112">
        <f>SUMIF('JUNE (물량흐름)'!$C$13:$C$493,'WIP(재공품)'!B398,'JUNE (물량흐름)'!$T$13:$T$493)+SUMIF('JUNE (물량흐름)'!$C$13:$C$493,'WIP(재공품)'!B398,'JUNE (물량흐름)'!$U$13:$U$493)+SUMIF('JUNE (물량흐름)'!$C$13:$C$493,'WIP(재공품)'!B398,'JUNE (물량흐름)'!$V$13:$V$493)-SUMIF('JUNE (물량흐름)'!$C$13:$C$493,'WIP(재공품)'!B398,'JUNE (물량흐름)'!$Y$13:$Y$493)</f>
        <v>283</v>
      </c>
      <c r="T398" s="112">
        <f>SUMIF('JUNE (물량흐름)'!$C$13:$C$502,'WIP(재공품)'!B398,'JUNE (물량흐름)'!$Y$13:$Y$502)</f>
        <v>6</v>
      </c>
      <c r="U398" s="167">
        <f>SUMIF('Direct labour(직접노무비)'!$C$12:$C$503,'WIP(재공품)'!B398,'Direct labour(직접노무비)'!$U$12:$U$503)+SUMIF('Overhead exp(제조경비)'!$C$12:$C$503,'WIP(재공품)'!B398,'Overhead exp(제조경비)'!$U$12:$U$503)</f>
        <v>179858</v>
      </c>
      <c r="V398" s="112">
        <f>SUMIF('Direct labour(직접노무비)'!$C$12:$C$503,'WIP(재공품)'!B398,'Direct labour(직접노무비)'!$Q$12:$Q$503)</f>
        <v>2872059</v>
      </c>
      <c r="W398" s="112">
        <f>SUMIF('Overhead exp(제조경비)'!$C$12:$C$503,'WIP(재공품)'!B398,'Overhead exp(제조경비)'!$Q$12:$Q$503)</f>
        <v>5611252</v>
      </c>
      <c r="X398" s="112">
        <f t="shared" si="60"/>
        <v>8483311</v>
      </c>
      <c r="Y398" s="112">
        <f ca="1">ROUND(SUMIF('JUNE (물량흐름)'!$C$13:$C$502,'WIP(재공품)'!B398,'JUNE (물량흐름)'!$N$13:$N$488),0)</f>
        <v>0</v>
      </c>
      <c r="Z398" s="112">
        <f>ROUND(SUMIF('JUNE (물량흐름)'!$C$13:$C$502,'WIP(재공품)'!B398,'JUNE (물량흐름)'!$O$13:$O$502),0)</f>
        <v>123</v>
      </c>
      <c r="AA398" s="112">
        <f>ROUND(SUMIF('JUNE (물량흐름)'!$C$13:$C$502,'WIP(재공품)'!B398,'JUNE (물량흐름)'!$P$13:$P$502),0)</f>
        <v>35</v>
      </c>
      <c r="AB398" s="112">
        <f t="shared" ca="1" si="61"/>
        <v>158</v>
      </c>
      <c r="AC398" s="112">
        <f t="shared" si="62"/>
        <v>4736267</v>
      </c>
      <c r="AD398" s="381">
        <f t="shared" ca="1" si="63"/>
        <v>0</v>
      </c>
      <c r="AE398" s="381">
        <f t="shared" si="64"/>
        <v>0</v>
      </c>
      <c r="AF398" s="382"/>
      <c r="AG398" s="382"/>
      <c r="AH398" s="383"/>
      <c r="AI398" s="383"/>
      <c r="AJ398" s="383"/>
      <c r="AL398" s="385"/>
      <c r="AM398" s="381"/>
      <c r="AN398" s="382"/>
      <c r="AO398" s="382"/>
      <c r="AP398" s="383"/>
      <c r="AQ398" s="383"/>
    </row>
    <row r="399" spans="1:43" s="384" customFormat="1" ht="27" customHeight="1">
      <c r="A399" s="167">
        <v>408</v>
      </c>
      <c r="B399" s="240">
        <f>VLOOKUP(A399,'JUNE (물량흐름)'!$A$13:$C$502,3,0)</f>
        <v>471140</v>
      </c>
      <c r="C399" s="21" t="str">
        <f>VLOOKUP(A399,'JUNE (물량흐름)'!$A$13:$C$502,2,0)</f>
        <v>ANN TAYLOR</v>
      </c>
      <c r="D399" s="212">
        <v>0.36</v>
      </c>
      <c r="E399" s="6">
        <f>VLOOKUP(B399,'Sales profit (스타일 별 매출이익)'!$D$9:$P$491,13,0)</f>
        <v>8163</v>
      </c>
      <c r="F399" s="112">
        <f>IFERROR(VLOOKUP(B399,O.B.JUNE!$N$7:$Q$448,2,0),0)</f>
        <v>0</v>
      </c>
      <c r="G399" s="112">
        <f>IFERROR(VLOOKUP(B399,O.B.JUNE!$N$7:$Q$448,3,0),0)</f>
        <v>123</v>
      </c>
      <c r="H399" s="112">
        <f>IFERROR(VLOOKUP(B399,O.B.JUNE!$N$7:$Q$448,4,0),0)</f>
        <v>1468</v>
      </c>
      <c r="I399" s="112">
        <f t="shared" si="57"/>
        <v>1591</v>
      </c>
      <c r="J399" s="112">
        <f>IFERROR(VLOOKUP(B399,O.B.JUNE!$AA$7:$AG$448,7,0),0)</f>
        <v>19754607</v>
      </c>
      <c r="K399" s="112">
        <f>IFERROR(VLOOKUP(B399,O.B.JUNE!$AI$7:$AO$448,7,0),0)</f>
        <v>38595334</v>
      </c>
      <c r="L399" s="112">
        <f t="shared" si="58"/>
        <v>58349941</v>
      </c>
      <c r="M399" s="112">
        <f>ROUND(SUMIF('JUNE (물량흐름)'!$C$13:$C$502,'WIP(재공품)'!B399,'JUNE (물량흐름)'!$H$13:$H$502)+SUMIF('JUNE (물량흐름)'!$C$13:$C$502,'WIP(재공품)'!B399,'JUNE (물량흐름)'!$V$13:$V$502),0)</f>
        <v>0</v>
      </c>
      <c r="N399" s="112">
        <f>SUMIF('Direct labour(직접노무비)'!$C$12:$C$503,'WIP(재공품)'!B399,'Direct labour(직접노무비)'!$O$12:$O$503)</f>
        <v>0</v>
      </c>
      <c r="O399" s="112">
        <f>SUMIF('Overhead exp(제조경비)'!$C$12:$C$503,'WIP(재공품)'!B399,'Overhead exp(제조경비)'!$O$12:$O$503)</f>
        <v>0</v>
      </c>
      <c r="P399" s="112">
        <f t="shared" si="59"/>
        <v>0</v>
      </c>
      <c r="Q399" s="112">
        <v>0</v>
      </c>
      <c r="R399" s="112">
        <v>0</v>
      </c>
      <c r="S399" s="112">
        <f>SUMIF('JUNE (물량흐름)'!$C$13:$C$493,'WIP(재공품)'!B399,'JUNE (물량흐름)'!$T$13:$T$493)+SUMIF('JUNE (물량흐름)'!$C$13:$C$493,'WIP(재공품)'!B399,'JUNE (물량흐름)'!$U$13:$U$493)+SUMIF('JUNE (물량흐름)'!$C$13:$C$493,'WIP(재공품)'!B399,'JUNE (물량흐름)'!$V$13:$V$493)-SUMIF('JUNE (물량흐름)'!$C$13:$C$493,'WIP(재공품)'!B399,'JUNE (물량흐름)'!$Y$13:$Y$493)</f>
        <v>13</v>
      </c>
      <c r="T399" s="112">
        <f>SUMIF('JUNE (물량흐름)'!$C$13:$C$502,'WIP(재공품)'!B399,'JUNE (물량흐름)'!$Y$13:$Y$502)</f>
        <v>33</v>
      </c>
      <c r="U399" s="167">
        <f>SUMIF('Direct labour(직접노무비)'!$C$12:$C$503,'WIP(재공품)'!B399,'Direct labour(직접노무비)'!$U$12:$U$503)+SUMIF('Overhead exp(제조경비)'!$C$12:$C$503,'WIP(재공품)'!B399,'Overhead exp(제조경비)'!$U$12:$U$503)</f>
        <v>1210276</v>
      </c>
      <c r="V399" s="112">
        <f>SUMIF('Direct labour(직접노무비)'!$C$12:$C$503,'WIP(재공품)'!B399,'Direct labour(직접노무비)'!$Q$12:$Q$503)</f>
        <v>161414</v>
      </c>
      <c r="W399" s="112">
        <f>SUMIF('Overhead exp(제조경비)'!$C$12:$C$503,'WIP(재공품)'!B399,'Overhead exp(제조경비)'!$Q$12:$Q$503)</f>
        <v>315361</v>
      </c>
      <c r="X399" s="112">
        <f t="shared" si="60"/>
        <v>476775</v>
      </c>
      <c r="Y399" s="112">
        <f ca="1">ROUND(SUMIF('JUNE (물량흐름)'!$C$13:$C$502,'WIP(재공품)'!B399,'JUNE (물량흐름)'!$N$13:$N$488),0)</f>
        <v>0</v>
      </c>
      <c r="Z399" s="112">
        <f>ROUND(SUMIF('JUNE (물량흐름)'!$C$13:$C$502,'WIP(재공품)'!B399,'JUNE (물량흐름)'!$O$13:$O$502),0)</f>
        <v>123</v>
      </c>
      <c r="AA399" s="112">
        <f>ROUND(SUMIF('JUNE (물량흐름)'!$C$13:$C$502,'WIP(재공품)'!B399,'JUNE (물량흐름)'!$P$13:$P$502),0)</f>
        <v>1422</v>
      </c>
      <c r="AB399" s="112">
        <f t="shared" ca="1" si="61"/>
        <v>1545</v>
      </c>
      <c r="AC399" s="112">
        <f t="shared" si="62"/>
        <v>56662890</v>
      </c>
      <c r="AD399" s="381">
        <f t="shared" ca="1" si="63"/>
        <v>0</v>
      </c>
      <c r="AE399" s="381">
        <f t="shared" si="64"/>
        <v>0</v>
      </c>
      <c r="AF399" s="382"/>
      <c r="AG399" s="382"/>
      <c r="AH399" s="383"/>
      <c r="AI399" s="383"/>
      <c r="AJ399" s="383"/>
      <c r="AL399" s="385"/>
      <c r="AM399" s="381"/>
      <c r="AN399" s="382"/>
      <c r="AO399" s="382"/>
      <c r="AP399" s="383"/>
      <c r="AQ399" s="383"/>
    </row>
    <row r="400" spans="1:43" s="384" customFormat="1" ht="27" customHeight="1">
      <c r="A400" s="167">
        <v>409</v>
      </c>
      <c r="B400" s="240">
        <f>VLOOKUP(A400,'JUNE (물량흐름)'!$A$13:$C$502,3,0)</f>
        <v>473551</v>
      </c>
      <c r="C400" s="21" t="str">
        <f>VLOOKUP(A400,'JUNE (물량흐름)'!$A$13:$C$502,2,0)</f>
        <v>ANN TAYLOR</v>
      </c>
      <c r="D400" s="212">
        <v>0.35</v>
      </c>
      <c r="E400" s="6">
        <f>VLOOKUP(B400,'Sales profit (스타일 별 매출이익)'!$D$9:$P$491,13,0)</f>
        <v>7936.2499999999991</v>
      </c>
      <c r="F400" s="112">
        <f>IFERROR(VLOOKUP(B400,O.B.JUNE!$N$7:$Q$448,2,0),0)</f>
        <v>0</v>
      </c>
      <c r="G400" s="112">
        <f>IFERROR(VLOOKUP(B400,O.B.JUNE!$N$7:$Q$448,3,0),0)</f>
        <v>510</v>
      </c>
      <c r="H400" s="112">
        <f>IFERROR(VLOOKUP(B400,O.B.JUNE!$N$7:$Q$448,4,0),0)</f>
        <v>379</v>
      </c>
      <c r="I400" s="112">
        <f t="shared" si="57"/>
        <v>889</v>
      </c>
      <c r="J400" s="112">
        <f>IFERROR(VLOOKUP(B400,O.B.JUNE!$AA$7:$AG$448,7,0),0)</f>
        <v>13573326</v>
      </c>
      <c r="K400" s="112">
        <f>IFERROR(VLOOKUP(B400,O.B.JUNE!$AI$7:$AO$448,7,0),0)</f>
        <v>26518727</v>
      </c>
      <c r="L400" s="112">
        <f t="shared" si="58"/>
        <v>40092053</v>
      </c>
      <c r="M400" s="112">
        <f>ROUND(SUMIF('JUNE (물량흐름)'!$C$13:$C$502,'WIP(재공품)'!B400,'JUNE (물량흐름)'!$H$13:$H$502)+SUMIF('JUNE (물량흐름)'!$C$13:$C$502,'WIP(재공품)'!B400,'JUNE (물량흐름)'!$V$13:$V$502),0)</f>
        <v>0</v>
      </c>
      <c r="N400" s="112">
        <f>SUMIF('Direct labour(직접노무비)'!$C$12:$C$503,'WIP(재공품)'!B400,'Direct labour(직접노무비)'!$O$12:$O$503)</f>
        <v>0</v>
      </c>
      <c r="O400" s="112">
        <f>SUMIF('Overhead exp(제조경비)'!$C$12:$C$503,'WIP(재공품)'!B400,'Overhead exp(제조경비)'!$O$12:$O$503)</f>
        <v>0</v>
      </c>
      <c r="P400" s="112">
        <f t="shared" si="59"/>
        <v>0</v>
      </c>
      <c r="Q400" s="112">
        <v>0</v>
      </c>
      <c r="R400" s="112">
        <v>0</v>
      </c>
      <c r="S400" s="112">
        <f>SUMIF('JUNE (물량흐름)'!$C$13:$C$493,'WIP(재공품)'!B400,'JUNE (물량흐름)'!$T$13:$T$493)+SUMIF('JUNE (물량흐름)'!$C$13:$C$493,'WIP(재공품)'!B400,'JUNE (물량흐름)'!$U$13:$U$493)+SUMIF('JUNE (물량흐름)'!$C$13:$C$493,'WIP(재공품)'!B400,'JUNE (물량흐름)'!$V$13:$V$493)-SUMIF('JUNE (물량흐름)'!$C$13:$C$493,'WIP(재공품)'!B400,'JUNE (물량흐름)'!$Y$13:$Y$493)</f>
        <v>0</v>
      </c>
      <c r="T400" s="112">
        <f>SUMIF('JUNE (물량흐름)'!$C$13:$C$502,'WIP(재공품)'!B400,'JUNE (물량흐름)'!$Y$13:$Y$502)</f>
        <v>20</v>
      </c>
      <c r="U400" s="167">
        <f>SUMIF('Direct labour(직접노무비)'!$C$12:$C$503,'WIP(재공품)'!B400,'Direct labour(직접노무비)'!$U$12:$U$503)+SUMIF('Overhead exp(제조경비)'!$C$12:$C$503,'WIP(재공품)'!B400,'Overhead exp(제조경비)'!$U$12:$U$503)</f>
        <v>901959</v>
      </c>
      <c r="V400" s="112">
        <f>SUMIF('Direct labour(직접노무비)'!$C$12:$C$503,'WIP(재공품)'!B400,'Direct labour(직접노무비)'!$Q$12:$Q$503)</f>
        <v>0</v>
      </c>
      <c r="W400" s="112">
        <f>SUMIF('Overhead exp(제조경비)'!$C$12:$C$503,'WIP(재공품)'!B400,'Overhead exp(제조경비)'!$Q$12:$Q$503)</f>
        <v>0</v>
      </c>
      <c r="X400" s="112">
        <f t="shared" si="60"/>
        <v>0</v>
      </c>
      <c r="Y400" s="112">
        <f ca="1">ROUND(SUMIF('JUNE (물량흐름)'!$C$13:$C$502,'WIP(재공품)'!B400,'JUNE (물량흐름)'!$N$13:$N$488),0)</f>
        <v>0</v>
      </c>
      <c r="Z400" s="112">
        <f>ROUND(SUMIF('JUNE (물량흐름)'!$C$13:$C$502,'WIP(재공품)'!B400,'JUNE (물량흐름)'!$O$13:$O$502),0)</f>
        <v>510</v>
      </c>
      <c r="AA400" s="112">
        <f>ROUND(SUMIF('JUNE (물량흐름)'!$C$13:$C$502,'WIP(재공품)'!B400,'JUNE (물량흐름)'!$P$13:$P$502),0)</f>
        <v>359</v>
      </c>
      <c r="AB400" s="112">
        <f t="shared" ca="1" si="61"/>
        <v>869</v>
      </c>
      <c r="AC400" s="112">
        <f t="shared" si="62"/>
        <v>39190094</v>
      </c>
      <c r="AD400" s="381">
        <f t="shared" ca="1" si="63"/>
        <v>0</v>
      </c>
      <c r="AE400" s="381">
        <f t="shared" si="64"/>
        <v>0</v>
      </c>
      <c r="AF400" s="382"/>
      <c r="AG400" s="382"/>
      <c r="AH400" s="383"/>
      <c r="AI400" s="383"/>
      <c r="AJ400" s="383"/>
      <c r="AL400" s="385"/>
      <c r="AM400" s="381"/>
      <c r="AN400" s="382"/>
      <c r="AO400" s="382"/>
      <c r="AP400" s="383"/>
      <c r="AQ400" s="383"/>
    </row>
    <row r="401" spans="1:43" s="384" customFormat="1" ht="27" customHeight="1">
      <c r="A401" s="167">
        <v>410</v>
      </c>
      <c r="B401" s="240">
        <f>VLOOKUP(A401,'JUNE (물량흐름)'!$A$13:$C$502,3,0)</f>
        <v>474753</v>
      </c>
      <c r="C401" s="21" t="str">
        <f>VLOOKUP(A401,'JUNE (물량흐름)'!$A$13:$C$502,2,0)</f>
        <v>ANN TAYLOR</v>
      </c>
      <c r="D401" s="212">
        <v>1.93</v>
      </c>
      <c r="E401" s="6">
        <f>VLOOKUP(B401,'Sales profit (스타일 별 매출이익)'!$D$9:$P$491,13,0)</f>
        <v>43762.75</v>
      </c>
      <c r="F401" s="112">
        <f>IFERROR(VLOOKUP(B401,O.B.JUNE!$N$7:$Q$448,2,0),0)</f>
        <v>4</v>
      </c>
      <c r="G401" s="112">
        <f>IFERROR(VLOOKUP(B401,O.B.JUNE!$N$7:$Q$448,3,0),0)</f>
        <v>68</v>
      </c>
      <c r="H401" s="112">
        <f>IFERROR(VLOOKUP(B401,O.B.JUNE!$N$7:$Q$448,4,0),0)</f>
        <v>222</v>
      </c>
      <c r="I401" s="112">
        <f t="shared" si="57"/>
        <v>294</v>
      </c>
      <c r="J401" s="112">
        <f>IFERROR(VLOOKUP(B401,O.B.JUNE!$AA$7:$AG$448,7,0),0)</f>
        <v>3937056</v>
      </c>
      <c r="K401" s="112">
        <f>IFERROR(VLOOKUP(B401,O.B.JUNE!$AI$7:$AO$448,7,0),0)</f>
        <v>7691977</v>
      </c>
      <c r="L401" s="112">
        <f t="shared" si="58"/>
        <v>11629033</v>
      </c>
      <c r="M401" s="112">
        <f>ROUND(SUMIF('JUNE (물량흐름)'!$C$13:$C$502,'WIP(재공품)'!B401,'JUNE (물량흐름)'!$H$13:$H$502)+SUMIF('JUNE (물량흐름)'!$C$13:$C$502,'WIP(재공품)'!B401,'JUNE (물량흐름)'!$V$13:$V$502),0)</f>
        <v>0</v>
      </c>
      <c r="N401" s="112">
        <f>SUMIF('Direct labour(직접노무비)'!$C$12:$C$503,'WIP(재공품)'!B401,'Direct labour(직접노무비)'!$O$12:$O$503)</f>
        <v>0</v>
      </c>
      <c r="O401" s="112">
        <f>SUMIF('Overhead exp(제조경비)'!$C$12:$C$503,'WIP(재공품)'!B401,'Overhead exp(제조경비)'!$O$12:$O$503)</f>
        <v>0</v>
      </c>
      <c r="P401" s="112">
        <f t="shared" si="59"/>
        <v>0</v>
      </c>
      <c r="Q401" s="112">
        <v>0</v>
      </c>
      <c r="R401" s="112">
        <v>0</v>
      </c>
      <c r="S401" s="112">
        <f>SUMIF('JUNE (물량흐름)'!$C$13:$C$493,'WIP(재공품)'!B401,'JUNE (물량흐름)'!$T$13:$T$493)+SUMIF('JUNE (물량흐름)'!$C$13:$C$493,'WIP(재공품)'!B401,'JUNE (물량흐름)'!$U$13:$U$493)+SUMIF('JUNE (물량흐름)'!$C$13:$C$493,'WIP(재공품)'!B401,'JUNE (물량흐름)'!$V$13:$V$493)-SUMIF('JUNE (물량흐름)'!$C$13:$C$493,'WIP(재공품)'!B401,'JUNE (물량흐름)'!$Y$13:$Y$493)</f>
        <v>0</v>
      </c>
      <c r="T401" s="112">
        <f>SUMIF('JUNE (물량흐름)'!$C$13:$C$502,'WIP(재공품)'!B401,'JUNE (물량흐름)'!$Y$13:$Y$502)</f>
        <v>0</v>
      </c>
      <c r="U401" s="167">
        <f>SUMIF('Direct labour(직접노무비)'!$C$12:$C$503,'WIP(재공품)'!B401,'Direct labour(직접노무비)'!$U$12:$U$503)+SUMIF('Overhead exp(제조경비)'!$C$12:$C$503,'WIP(재공품)'!B401,'Overhead exp(제조경비)'!$U$12:$U$503)</f>
        <v>0</v>
      </c>
      <c r="V401" s="112">
        <f>SUMIF('Direct labour(직접노무비)'!$C$12:$C$503,'WIP(재공품)'!B401,'Direct labour(직접노무비)'!$Q$12:$Q$503)</f>
        <v>0</v>
      </c>
      <c r="W401" s="112">
        <f>SUMIF('Overhead exp(제조경비)'!$C$12:$C$503,'WIP(재공품)'!B401,'Overhead exp(제조경비)'!$Q$12:$Q$503)</f>
        <v>0</v>
      </c>
      <c r="X401" s="112">
        <f t="shared" si="60"/>
        <v>0</v>
      </c>
      <c r="Y401" s="112">
        <f ca="1">ROUND(SUMIF('JUNE (물량흐름)'!$C$13:$C$502,'WIP(재공품)'!B401,'JUNE (물량흐름)'!$N$13:$N$488),0)</f>
        <v>4</v>
      </c>
      <c r="Z401" s="112">
        <f>ROUND(SUMIF('JUNE (물량흐름)'!$C$13:$C$502,'WIP(재공품)'!B401,'JUNE (물량흐름)'!$O$13:$O$502),0)</f>
        <v>68</v>
      </c>
      <c r="AA401" s="112">
        <f>ROUND(SUMIF('JUNE (물량흐름)'!$C$13:$C$502,'WIP(재공품)'!B401,'JUNE (물량흐름)'!$P$13:$P$502),0)</f>
        <v>222</v>
      </c>
      <c r="AB401" s="112">
        <f t="shared" ca="1" si="61"/>
        <v>294</v>
      </c>
      <c r="AC401" s="112">
        <f t="shared" si="62"/>
        <v>11629033</v>
      </c>
      <c r="AD401" s="381">
        <f t="shared" ca="1" si="63"/>
        <v>0</v>
      </c>
      <c r="AE401" s="381">
        <f t="shared" si="64"/>
        <v>0</v>
      </c>
      <c r="AF401" s="382"/>
      <c r="AG401" s="382"/>
      <c r="AH401" s="383"/>
      <c r="AI401" s="383"/>
      <c r="AJ401" s="383"/>
      <c r="AL401" s="385"/>
      <c r="AM401" s="381"/>
      <c r="AN401" s="382"/>
      <c r="AO401" s="382"/>
      <c r="AP401" s="383"/>
      <c r="AQ401" s="383"/>
    </row>
    <row r="402" spans="1:43" s="384" customFormat="1" ht="27" customHeight="1">
      <c r="A402" s="167">
        <v>411</v>
      </c>
      <c r="B402" s="240">
        <f>VLOOKUP(A402,'JUNE (물량흐름)'!$A$13:$C$502,3,0)</f>
        <v>474874</v>
      </c>
      <c r="C402" s="21" t="str">
        <f>VLOOKUP(A402,'JUNE (물량흐름)'!$A$13:$C$502,2,0)</f>
        <v>ANN TAYLOR</v>
      </c>
      <c r="D402" s="212">
        <v>2.58</v>
      </c>
      <c r="E402" s="6">
        <f>VLOOKUP(B402,'Sales profit (스타일 별 매출이익)'!$D$9:$P$491,13,0)</f>
        <v>58501.5</v>
      </c>
      <c r="F402" s="112">
        <f>IFERROR(VLOOKUP(B402,O.B.JUNE!$N$7:$Q$448,2,0),0)</f>
        <v>0</v>
      </c>
      <c r="G402" s="112">
        <f>IFERROR(VLOOKUP(B402,O.B.JUNE!$N$7:$Q$448,3,0),0)</f>
        <v>267</v>
      </c>
      <c r="H402" s="112">
        <f>IFERROR(VLOOKUP(B402,O.B.JUNE!$N$7:$Q$448,4,0),0)</f>
        <v>306</v>
      </c>
      <c r="I402" s="112">
        <f t="shared" si="57"/>
        <v>573</v>
      </c>
      <c r="J402" s="112">
        <f>IFERROR(VLOOKUP(B402,O.B.JUNE!$AA$7:$AG$448,7,0),0)</f>
        <v>7596167</v>
      </c>
      <c r="K402" s="112">
        <f>IFERROR(VLOOKUP(B402,O.B.JUNE!$AI$7:$AO$448,7,0),0)</f>
        <v>14840924</v>
      </c>
      <c r="L402" s="112">
        <f t="shared" si="58"/>
        <v>22437091</v>
      </c>
      <c r="M402" s="112">
        <f>ROUND(SUMIF('JUNE (물량흐름)'!$C$13:$C$502,'WIP(재공품)'!B402,'JUNE (물량흐름)'!$H$13:$H$502)+SUMIF('JUNE (물량흐름)'!$C$13:$C$502,'WIP(재공품)'!B402,'JUNE (물량흐름)'!$V$13:$V$502),0)</f>
        <v>0</v>
      </c>
      <c r="N402" s="112">
        <f>SUMIF('Direct labour(직접노무비)'!$C$12:$C$503,'WIP(재공품)'!B402,'Direct labour(직접노무비)'!$O$12:$O$503)</f>
        <v>0</v>
      </c>
      <c r="O402" s="112">
        <f>SUMIF('Overhead exp(제조경비)'!$C$12:$C$503,'WIP(재공품)'!B402,'Overhead exp(제조경비)'!$O$12:$O$503)</f>
        <v>0</v>
      </c>
      <c r="P402" s="112">
        <f t="shared" si="59"/>
        <v>0</v>
      </c>
      <c r="Q402" s="112">
        <v>0</v>
      </c>
      <c r="R402" s="112">
        <v>0</v>
      </c>
      <c r="S402" s="112">
        <f>SUMIF('JUNE (물량흐름)'!$C$13:$C$493,'WIP(재공품)'!B402,'JUNE (물량흐름)'!$T$13:$T$493)+SUMIF('JUNE (물량흐름)'!$C$13:$C$493,'WIP(재공품)'!B402,'JUNE (물량흐름)'!$U$13:$U$493)+SUMIF('JUNE (물량흐름)'!$C$13:$C$493,'WIP(재공품)'!B402,'JUNE (물량흐름)'!$V$13:$V$493)-SUMIF('JUNE (물량흐름)'!$C$13:$C$493,'WIP(재공품)'!B402,'JUNE (물량흐름)'!$Y$13:$Y$493)</f>
        <v>0</v>
      </c>
      <c r="T402" s="112">
        <f>SUMIF('JUNE (물량흐름)'!$C$13:$C$502,'WIP(재공품)'!B402,'JUNE (물량흐름)'!$Y$13:$Y$502)</f>
        <v>6</v>
      </c>
      <c r="U402" s="167">
        <f>SUMIF('Direct labour(직접노무비)'!$C$12:$C$503,'WIP(재공품)'!B402,'Direct labour(직접노무비)'!$U$12:$U$503)+SUMIF('Overhead exp(제조경비)'!$C$12:$C$503,'WIP(재공품)'!B402,'Overhead exp(제조경비)'!$U$12:$U$503)</f>
        <v>234943</v>
      </c>
      <c r="V402" s="112">
        <f>SUMIF('Direct labour(직접노무비)'!$C$12:$C$503,'WIP(재공품)'!B402,'Direct labour(직접노무비)'!$Q$12:$Q$503)</f>
        <v>0</v>
      </c>
      <c r="W402" s="112">
        <f>SUMIF('Overhead exp(제조경비)'!$C$12:$C$503,'WIP(재공품)'!B402,'Overhead exp(제조경비)'!$Q$12:$Q$503)</f>
        <v>0</v>
      </c>
      <c r="X402" s="112">
        <f t="shared" si="60"/>
        <v>0</v>
      </c>
      <c r="Y402" s="112">
        <f ca="1">ROUND(SUMIF('JUNE (물량흐름)'!$C$13:$C$502,'WIP(재공품)'!B402,'JUNE (물량흐름)'!$N$13:$N$488),0)</f>
        <v>0</v>
      </c>
      <c r="Z402" s="112">
        <f>ROUND(SUMIF('JUNE (물량흐름)'!$C$13:$C$502,'WIP(재공품)'!B402,'JUNE (물량흐름)'!$O$13:$O$502),0)</f>
        <v>267</v>
      </c>
      <c r="AA402" s="112">
        <f>ROUND(SUMIF('JUNE (물량흐름)'!$C$13:$C$502,'WIP(재공품)'!B402,'JUNE (물량흐름)'!$P$13:$P$502),0)</f>
        <v>300</v>
      </c>
      <c r="AB402" s="112">
        <f t="shared" ca="1" si="61"/>
        <v>567</v>
      </c>
      <c r="AC402" s="112">
        <f t="shared" si="62"/>
        <v>22202148</v>
      </c>
      <c r="AD402" s="381">
        <f t="shared" ca="1" si="63"/>
        <v>0</v>
      </c>
      <c r="AE402" s="381">
        <f t="shared" si="64"/>
        <v>0</v>
      </c>
      <c r="AF402" s="382"/>
      <c r="AG402" s="382"/>
      <c r="AH402" s="383"/>
      <c r="AI402" s="383"/>
      <c r="AJ402" s="383"/>
      <c r="AL402" s="385"/>
      <c r="AM402" s="381"/>
      <c r="AN402" s="382"/>
      <c r="AO402" s="382"/>
      <c r="AP402" s="383"/>
      <c r="AQ402" s="383"/>
    </row>
    <row r="403" spans="1:43" s="384" customFormat="1" ht="27" customHeight="1">
      <c r="A403" s="167">
        <v>412</v>
      </c>
      <c r="B403" s="240">
        <f>VLOOKUP(A403,'JUNE (물량흐름)'!$A$13:$C$502,3,0)</f>
        <v>475746</v>
      </c>
      <c r="C403" s="21" t="str">
        <f>VLOOKUP(A403,'JUNE (물량흐름)'!$A$13:$C$502,2,0)</f>
        <v>ANN TAYLOR</v>
      </c>
      <c r="D403" s="212">
        <v>0.35</v>
      </c>
      <c r="E403" s="6">
        <f>VLOOKUP(B403,'Sales profit (스타일 별 매출이익)'!$D$9:$P$491,13,0)</f>
        <v>7936.2499999999991</v>
      </c>
      <c r="F403" s="112">
        <f>IFERROR(VLOOKUP(B403,O.B.JUNE!$N$7:$Q$448,2,0),0)</f>
        <v>0</v>
      </c>
      <c r="G403" s="112">
        <f>IFERROR(VLOOKUP(B403,O.B.JUNE!$N$7:$Q$448,3,0),0)</f>
        <v>281</v>
      </c>
      <c r="H403" s="112">
        <f>IFERROR(VLOOKUP(B403,O.B.JUNE!$N$7:$Q$448,4,0),0)</f>
        <v>118</v>
      </c>
      <c r="I403" s="112">
        <f t="shared" si="57"/>
        <v>399</v>
      </c>
      <c r="J403" s="112">
        <f>IFERROR(VLOOKUP(B403,O.B.JUNE!$AA$7:$AG$448,7,0),0)</f>
        <v>6013132</v>
      </c>
      <c r="K403" s="112">
        <f>IFERROR(VLOOKUP(B403,O.B.JUNE!$AI$7:$AO$448,7,0),0)</f>
        <v>11748086</v>
      </c>
      <c r="L403" s="112">
        <f t="shared" si="58"/>
        <v>17761218</v>
      </c>
      <c r="M403" s="112">
        <f>ROUND(SUMIF('JUNE (물량흐름)'!$C$13:$C$502,'WIP(재공품)'!B403,'JUNE (물량흐름)'!$H$13:$H$502)+SUMIF('JUNE (물량흐름)'!$C$13:$C$502,'WIP(재공품)'!B403,'JUNE (물량흐름)'!$V$13:$V$502),0)</f>
        <v>0</v>
      </c>
      <c r="N403" s="112">
        <f>SUMIF('Direct labour(직접노무비)'!$C$12:$C$503,'WIP(재공품)'!B403,'Direct labour(직접노무비)'!$O$12:$O$503)</f>
        <v>0</v>
      </c>
      <c r="O403" s="112">
        <f>SUMIF('Overhead exp(제조경비)'!$C$12:$C$503,'WIP(재공품)'!B403,'Overhead exp(제조경비)'!$O$12:$O$503)</f>
        <v>0</v>
      </c>
      <c r="P403" s="112">
        <f t="shared" si="59"/>
        <v>0</v>
      </c>
      <c r="Q403" s="112">
        <v>0</v>
      </c>
      <c r="R403" s="112">
        <v>0</v>
      </c>
      <c r="S403" s="112">
        <f>SUMIF('JUNE (물량흐름)'!$C$13:$C$493,'WIP(재공품)'!B403,'JUNE (물량흐름)'!$T$13:$T$493)+SUMIF('JUNE (물량흐름)'!$C$13:$C$493,'WIP(재공품)'!B403,'JUNE (물량흐름)'!$U$13:$U$493)+SUMIF('JUNE (물량흐름)'!$C$13:$C$493,'WIP(재공품)'!B403,'JUNE (물량흐름)'!$V$13:$V$493)-SUMIF('JUNE (물량흐름)'!$C$13:$C$493,'WIP(재공품)'!B403,'JUNE (물량흐름)'!$Y$13:$Y$493)</f>
        <v>0</v>
      </c>
      <c r="T403" s="112">
        <f>SUMIF('JUNE (물량흐름)'!$C$13:$C$502,'WIP(재공품)'!B403,'JUNE (물량흐름)'!$Y$13:$Y$502)</f>
        <v>9</v>
      </c>
      <c r="U403" s="167">
        <f>SUMIF('Direct labour(직접노무비)'!$C$12:$C$503,'WIP(재공품)'!B403,'Direct labour(직접노무비)'!$U$12:$U$503)+SUMIF('Overhead exp(제조경비)'!$C$12:$C$503,'WIP(재공품)'!B403,'Overhead exp(제조경비)'!$U$12:$U$503)</f>
        <v>400629</v>
      </c>
      <c r="V403" s="112">
        <f>SUMIF('Direct labour(직접노무비)'!$C$12:$C$503,'WIP(재공품)'!B403,'Direct labour(직접노무비)'!$Q$12:$Q$503)</f>
        <v>0</v>
      </c>
      <c r="W403" s="112">
        <f>SUMIF('Overhead exp(제조경비)'!$C$12:$C$503,'WIP(재공품)'!B403,'Overhead exp(제조경비)'!$Q$12:$Q$503)</f>
        <v>0</v>
      </c>
      <c r="X403" s="112">
        <f t="shared" si="60"/>
        <v>0</v>
      </c>
      <c r="Y403" s="112">
        <f ca="1">ROUND(SUMIF('JUNE (물량흐름)'!$C$13:$C$502,'WIP(재공품)'!B403,'JUNE (물량흐름)'!$N$13:$N$488),0)</f>
        <v>0</v>
      </c>
      <c r="Z403" s="112">
        <f>ROUND(SUMIF('JUNE (물량흐름)'!$C$13:$C$502,'WIP(재공품)'!B403,'JUNE (물량흐름)'!$O$13:$O$502),0)</f>
        <v>281</v>
      </c>
      <c r="AA403" s="112">
        <f>ROUND(SUMIF('JUNE (물량흐름)'!$C$13:$C$502,'WIP(재공품)'!B403,'JUNE (물량흐름)'!$P$13:$P$502),0)</f>
        <v>109</v>
      </c>
      <c r="AB403" s="112">
        <f t="shared" ca="1" si="61"/>
        <v>390</v>
      </c>
      <c r="AC403" s="112">
        <f t="shared" si="62"/>
        <v>17360589</v>
      </c>
      <c r="AD403" s="381">
        <f t="shared" ca="1" si="63"/>
        <v>0</v>
      </c>
      <c r="AE403" s="381">
        <f t="shared" si="64"/>
        <v>0</v>
      </c>
      <c r="AF403" s="382"/>
      <c r="AG403" s="382"/>
      <c r="AH403" s="383"/>
      <c r="AI403" s="383"/>
      <c r="AJ403" s="383"/>
      <c r="AL403" s="385"/>
      <c r="AM403" s="381"/>
      <c r="AN403" s="382"/>
      <c r="AO403" s="382"/>
      <c r="AP403" s="383"/>
      <c r="AQ403" s="383"/>
    </row>
    <row r="404" spans="1:43" s="384" customFormat="1" ht="27" customHeight="1">
      <c r="A404" s="167">
        <v>414</v>
      </c>
      <c r="B404" s="240">
        <f>VLOOKUP(A404,'JUNE (물량흐름)'!$A$13:$C$502,3,0)</f>
        <v>472085</v>
      </c>
      <c r="C404" s="21" t="str">
        <f>VLOOKUP(A404,'JUNE (물량흐름)'!$A$13:$C$502,2,0)</f>
        <v>ANN TAYLOR</v>
      </c>
      <c r="D404" s="212">
        <v>0.35</v>
      </c>
      <c r="E404" s="6">
        <f>VLOOKUP(B404,'Sales profit (스타일 별 매출이익)'!$D$9:$P$491,13,0)</f>
        <v>7936.2499999999991</v>
      </c>
      <c r="F404" s="112">
        <f>IFERROR(VLOOKUP(B404,O.B.JUNE!$N$7:$Q$448,2,0),0)</f>
        <v>1297</v>
      </c>
      <c r="G404" s="112">
        <f>IFERROR(VLOOKUP(B404,O.B.JUNE!$N$7:$Q$448,3,0),0)</f>
        <v>1357</v>
      </c>
      <c r="H404" s="112">
        <f>IFERROR(VLOOKUP(B404,O.B.JUNE!$N$7:$Q$448,4,0),0)</f>
        <v>1205</v>
      </c>
      <c r="I404" s="112">
        <f t="shared" si="57"/>
        <v>3859</v>
      </c>
      <c r="J404" s="112">
        <f>IFERROR(VLOOKUP(B404,O.B.JUNE!$AA$7:$AG$448,7,0),0)</f>
        <v>54634791</v>
      </c>
      <c r="K404" s="112">
        <f>IFERROR(VLOOKUP(B404,O.B.JUNE!$AI$7:$AO$448,7,0),0)</f>
        <v>106742090</v>
      </c>
      <c r="L404" s="112">
        <f t="shared" si="58"/>
        <v>161376881</v>
      </c>
      <c r="M404" s="112">
        <f>ROUND(SUMIF('JUNE (물량흐름)'!$C$13:$C$502,'WIP(재공품)'!B404,'JUNE (물량흐름)'!$H$13:$H$502)+SUMIF('JUNE (물량흐름)'!$C$13:$C$502,'WIP(재공품)'!B404,'JUNE (물량흐름)'!$V$13:$V$502),0)</f>
        <v>5215</v>
      </c>
      <c r="N404" s="112">
        <f>SUMIF('Direct labour(직접노무비)'!$C$12:$C$503,'WIP(재공품)'!B404,'Direct labour(직접노무비)'!$O$12:$O$503)</f>
        <v>16589786</v>
      </c>
      <c r="O404" s="112">
        <f>SUMIF('Overhead exp(제조경비)'!$C$12:$C$503,'WIP(재공품)'!B404,'Overhead exp(제조경비)'!$O$12:$O$503)</f>
        <v>32412102</v>
      </c>
      <c r="P404" s="112">
        <f t="shared" si="59"/>
        <v>49001888</v>
      </c>
      <c r="Q404" s="112">
        <v>0</v>
      </c>
      <c r="R404" s="112">
        <v>0</v>
      </c>
      <c r="S404" s="112">
        <f>SUMIF('JUNE (물량흐름)'!$C$13:$C$493,'WIP(재공품)'!B404,'JUNE (물량흐름)'!$T$13:$T$493)+SUMIF('JUNE (물량흐름)'!$C$13:$C$493,'WIP(재공품)'!B404,'JUNE (물량흐름)'!$U$13:$U$493)+SUMIF('JUNE (물량흐름)'!$C$13:$C$493,'WIP(재공품)'!B404,'JUNE (물량흐름)'!$V$13:$V$493)-SUMIF('JUNE (물량흐름)'!$C$13:$C$493,'WIP(재공품)'!B404,'JUNE (물량흐름)'!$Y$13:$Y$493)</f>
        <v>8044</v>
      </c>
      <c r="T404" s="112">
        <f>SUMIF('JUNE (물량흐름)'!$C$13:$C$502,'WIP(재공품)'!B404,'JUNE (물량흐름)'!$Y$13:$Y$502)</f>
        <v>0</v>
      </c>
      <c r="U404" s="167">
        <f>SUMIF('Direct labour(직접노무비)'!$C$12:$C$503,'WIP(재공품)'!B404,'Direct labour(직접노무비)'!$U$12:$U$503)+SUMIF('Overhead exp(제조경비)'!$C$12:$C$503,'WIP(재공품)'!B404,'Overhead exp(제조경비)'!$U$12:$U$503)</f>
        <v>0</v>
      </c>
      <c r="V404" s="112">
        <f>SUMIF('Direct labour(직접노무비)'!$C$12:$C$503,'WIP(재공품)'!B404,'Direct labour(직접노무비)'!$Q$12:$Q$503)</f>
        <v>63139795</v>
      </c>
      <c r="W404" s="112">
        <f>SUMIF('Overhead exp(제조경비)'!$C$12:$C$503,'WIP(재공품)'!B404,'Overhead exp(제조경비)'!$Q$12:$Q$503)</f>
        <v>123358642</v>
      </c>
      <c r="X404" s="112">
        <f t="shared" si="60"/>
        <v>186498437</v>
      </c>
      <c r="Y404" s="112">
        <f ca="1">ROUND(SUMIF('JUNE (물량흐름)'!$C$13:$C$502,'WIP(재공품)'!B404,'JUNE (물량흐름)'!$N$13:$N$488),0)</f>
        <v>0</v>
      </c>
      <c r="Z404" s="112">
        <f>ROUND(SUMIF('JUNE (물량흐름)'!$C$13:$C$502,'WIP(재공품)'!B404,'JUNE (물량흐름)'!$O$13:$O$502),0)</f>
        <v>690</v>
      </c>
      <c r="AA404" s="112">
        <f>ROUND(SUMIF('JUNE (물량흐름)'!$C$13:$C$502,'WIP(재공품)'!B404,'JUNE (물량흐름)'!$P$13:$P$502),0)</f>
        <v>340</v>
      </c>
      <c r="AB404" s="112">
        <f t="shared" ca="1" si="61"/>
        <v>1030</v>
      </c>
      <c r="AC404" s="112">
        <f t="shared" si="62"/>
        <v>23880332</v>
      </c>
      <c r="AD404" s="381">
        <f t="shared" ca="1" si="63"/>
        <v>0</v>
      </c>
      <c r="AE404" s="381">
        <f t="shared" si="64"/>
        <v>0</v>
      </c>
      <c r="AF404" s="382"/>
      <c r="AG404" s="382"/>
      <c r="AH404" s="383"/>
      <c r="AI404" s="383"/>
      <c r="AJ404" s="383"/>
      <c r="AL404" s="385"/>
      <c r="AM404" s="381"/>
      <c r="AN404" s="382"/>
      <c r="AO404" s="382"/>
      <c r="AP404" s="383"/>
      <c r="AQ404" s="383"/>
    </row>
    <row r="405" spans="1:43" s="384" customFormat="1" ht="27" customHeight="1">
      <c r="A405" s="167">
        <v>415</v>
      </c>
      <c r="B405" s="240">
        <f>VLOOKUP(A405,'JUNE (물량흐름)'!$A$13:$C$502,3,0)</f>
        <v>472371</v>
      </c>
      <c r="C405" s="21" t="str">
        <f>VLOOKUP(A405,'JUNE (물량흐름)'!$A$13:$C$502,2,0)</f>
        <v>ANN TAYLOR</v>
      </c>
      <c r="D405" s="212">
        <v>3.65</v>
      </c>
      <c r="E405" s="6">
        <f>VLOOKUP(B405,'Sales profit (스타일 별 매출이익)'!$D$9:$P$491,13,0)</f>
        <v>82763.75</v>
      </c>
      <c r="F405" s="112">
        <f>IFERROR(VLOOKUP(B405,O.B.JUNE!$N$7:$Q$448,2,0),0)</f>
        <v>390</v>
      </c>
      <c r="G405" s="112">
        <f>IFERROR(VLOOKUP(B405,O.B.JUNE!$N$7:$Q$448,3,0),0)</f>
        <v>910</v>
      </c>
      <c r="H405" s="112">
        <f>IFERROR(VLOOKUP(B405,O.B.JUNE!$N$7:$Q$448,4,0),0)</f>
        <v>208</v>
      </c>
      <c r="I405" s="112">
        <f t="shared" si="57"/>
        <v>1508</v>
      </c>
      <c r="J405" s="112">
        <f>IFERROR(VLOOKUP(B405,O.B.JUNE!$AA$7:$AG$448,7,0),0)</f>
        <v>16650643</v>
      </c>
      <c r="K405" s="112">
        <f>IFERROR(VLOOKUP(B405,O.B.JUNE!$AI$7:$AO$448,7,0),0)</f>
        <v>32531001</v>
      </c>
      <c r="L405" s="112">
        <f t="shared" si="58"/>
        <v>49181644</v>
      </c>
      <c r="M405" s="112">
        <f>ROUND(SUMIF('JUNE (물량흐름)'!$C$13:$C$502,'WIP(재공품)'!B405,'JUNE (물량흐름)'!$H$13:$H$502)+SUMIF('JUNE (물량흐름)'!$C$13:$C$502,'WIP(재공품)'!B405,'JUNE (물량흐름)'!$V$13:$V$502),0)</f>
        <v>5390</v>
      </c>
      <c r="N405" s="112">
        <f>SUMIF('Direct labour(직접노무비)'!$C$12:$C$503,'WIP(재공품)'!B405,'Direct labour(직접노무비)'!$O$12:$O$503)</f>
        <v>153119170</v>
      </c>
      <c r="O405" s="112">
        <f>SUMIF('Overhead exp(제조경비)'!$C$12:$C$503,'WIP(재공품)'!B405,'Overhead exp(제조경비)'!$O$12:$O$503)</f>
        <v>299154803</v>
      </c>
      <c r="P405" s="112">
        <f t="shared" si="59"/>
        <v>452273973</v>
      </c>
      <c r="Q405" s="112">
        <v>0</v>
      </c>
      <c r="R405" s="112">
        <v>0</v>
      </c>
      <c r="S405" s="112">
        <f>SUMIF('JUNE (물량흐름)'!$C$13:$C$493,'WIP(재공품)'!B405,'JUNE (물량흐름)'!$T$13:$T$493)+SUMIF('JUNE (물량흐름)'!$C$13:$C$493,'WIP(재공품)'!B405,'JUNE (물량흐름)'!$U$13:$U$493)+SUMIF('JUNE (물량흐름)'!$C$13:$C$493,'WIP(재공품)'!B405,'JUNE (물량흐름)'!$V$13:$V$493)-SUMIF('JUNE (물량흐름)'!$C$13:$C$493,'WIP(재공품)'!B405,'JUNE (물량흐름)'!$Y$13:$Y$493)</f>
        <v>6262</v>
      </c>
      <c r="T405" s="112">
        <f>SUMIF('JUNE (물량흐름)'!$C$13:$C$502,'WIP(재공품)'!B405,'JUNE (물량흐름)'!$Y$13:$Y$502)</f>
        <v>23</v>
      </c>
      <c r="U405" s="167">
        <f>SUMIF('Direct labour(직접노무비)'!$C$12:$C$503,'WIP(재공품)'!B405,'Direct labour(직접노무비)'!$U$12:$U$503)+SUMIF('Overhead exp(제조경비)'!$C$12:$C$503,'WIP(재공품)'!B405,'Overhead exp(제조경비)'!$U$12:$U$503)</f>
        <v>1672003</v>
      </c>
      <c r="V405" s="112">
        <f>SUMIF('Direct labour(직접노무비)'!$C$12:$C$503,'WIP(재공품)'!B405,'Direct labour(직접노무비)'!$Q$12:$Q$503)</f>
        <v>154116928</v>
      </c>
      <c r="W405" s="112">
        <f>SUMIF('Overhead exp(제조경비)'!$C$12:$C$503,'WIP(재공품)'!B405,'Overhead exp(제조경비)'!$Q$12:$Q$503)</f>
        <v>301104161</v>
      </c>
      <c r="X405" s="112">
        <f t="shared" si="60"/>
        <v>455221089</v>
      </c>
      <c r="Y405" s="112">
        <f ca="1">ROUND(SUMIF('JUNE (물량흐름)'!$C$13:$C$502,'WIP(재공품)'!B405,'JUNE (물량흐름)'!$N$13:$N$488),0)</f>
        <v>0</v>
      </c>
      <c r="Z405" s="112">
        <f>ROUND(SUMIF('JUNE (물량흐름)'!$C$13:$C$502,'WIP(재공품)'!B405,'JUNE (물량흐름)'!$O$13:$O$502),0)</f>
        <v>316</v>
      </c>
      <c r="AA405" s="112">
        <f>ROUND(SUMIF('JUNE (물량흐름)'!$C$13:$C$502,'WIP(재공품)'!B405,'JUNE (물량흐름)'!$P$13:$P$502),0)</f>
        <v>297</v>
      </c>
      <c r="AB405" s="112">
        <f t="shared" ca="1" si="61"/>
        <v>613</v>
      </c>
      <c r="AC405" s="112">
        <f t="shared" si="62"/>
        <v>44562525</v>
      </c>
      <c r="AD405" s="381">
        <f t="shared" ca="1" si="63"/>
        <v>0</v>
      </c>
      <c r="AE405" s="381">
        <f t="shared" si="64"/>
        <v>0</v>
      </c>
      <c r="AF405" s="382"/>
      <c r="AG405" s="382"/>
      <c r="AH405" s="383"/>
      <c r="AI405" s="383"/>
      <c r="AJ405" s="383"/>
      <c r="AL405" s="385"/>
      <c r="AM405" s="381"/>
      <c r="AN405" s="382"/>
      <c r="AO405" s="382"/>
      <c r="AP405" s="383"/>
      <c r="AQ405" s="383"/>
    </row>
    <row r="406" spans="1:43" s="384" customFormat="1" ht="27" customHeight="1">
      <c r="A406" s="167">
        <v>416</v>
      </c>
      <c r="B406" s="240">
        <f>VLOOKUP(A406,'JUNE (물량흐름)'!$A$13:$C$502,3,0)</f>
        <v>474932</v>
      </c>
      <c r="C406" s="21" t="str">
        <f>VLOOKUP(A406,'JUNE (물량흐름)'!$A$13:$C$502,2,0)</f>
        <v>ANN TAYLOR</v>
      </c>
      <c r="D406" s="212">
        <v>1.71</v>
      </c>
      <c r="E406" s="6">
        <f>VLOOKUP(B406,'Sales profit (스타일 별 매출이익)'!$D$9:$P$491,13,0)</f>
        <v>38774.25</v>
      </c>
      <c r="F406" s="112">
        <f>IFERROR(VLOOKUP(B406,O.B.JUNE!$N$7:$Q$448,2,0),0)</f>
        <v>1278</v>
      </c>
      <c r="G406" s="112">
        <f>IFERROR(VLOOKUP(B406,O.B.JUNE!$N$7:$Q$448,3,0),0)</f>
        <v>5596</v>
      </c>
      <c r="H406" s="112">
        <f>IFERROR(VLOOKUP(B406,O.B.JUNE!$N$7:$Q$448,4,0),0)</f>
        <v>2780</v>
      </c>
      <c r="I406" s="112">
        <f t="shared" si="57"/>
        <v>9654</v>
      </c>
      <c r="J406" s="112">
        <f>IFERROR(VLOOKUP(B406,O.B.JUNE!$AA$7:$AG$448,7,0),0)</f>
        <v>61013824</v>
      </c>
      <c r="K406" s="112">
        <f>IFERROR(VLOOKUP(B406,O.B.JUNE!$AI$7:$AO$448,7,0),0)</f>
        <v>119205053</v>
      </c>
      <c r="L406" s="112">
        <f t="shared" si="58"/>
        <v>180218877</v>
      </c>
      <c r="M406" s="112">
        <f>ROUND(SUMIF('JUNE (물량흐름)'!$C$13:$C$502,'WIP(재공품)'!B406,'JUNE (물량흐름)'!$H$13:$H$502)+SUMIF('JUNE (물량흐름)'!$C$13:$C$502,'WIP(재공품)'!B406,'JUNE (물량흐름)'!$V$13:$V$502),0)</f>
        <v>17820</v>
      </c>
      <c r="N406" s="112">
        <f>SUMIF('Direct labour(직접노무비)'!$C$12:$C$503,'WIP(재공품)'!B406,'Direct labour(직접노무비)'!$O$12:$O$503)</f>
        <v>256014132</v>
      </c>
      <c r="O406" s="112">
        <f>SUMIF('Overhead exp(제조경비)'!$C$12:$C$503,'WIP(재공품)'!B406,'Overhead exp(제조경비)'!$O$12:$O$503)</f>
        <v>500184644</v>
      </c>
      <c r="P406" s="112">
        <f t="shared" si="59"/>
        <v>756198776</v>
      </c>
      <c r="Q406" s="112">
        <v>0</v>
      </c>
      <c r="R406" s="112">
        <v>0</v>
      </c>
      <c r="S406" s="112">
        <f>SUMIF('JUNE (물량흐름)'!$C$13:$C$493,'WIP(재공품)'!B406,'JUNE (물량흐름)'!$T$13:$T$493)+SUMIF('JUNE (물량흐름)'!$C$13:$C$493,'WIP(재공품)'!B406,'JUNE (물량흐름)'!$U$13:$U$493)+SUMIF('JUNE (물량흐름)'!$C$13:$C$493,'WIP(재공품)'!B406,'JUNE (물량흐름)'!$V$13:$V$493)-SUMIF('JUNE (물량흐름)'!$C$13:$C$493,'WIP(재공품)'!B406,'JUNE (물량흐름)'!$Y$13:$Y$493)</f>
        <v>25256</v>
      </c>
      <c r="T406" s="112">
        <f>SUMIF('JUNE (물량흐름)'!$C$13:$C$502,'WIP(재공품)'!B406,'JUNE (물량흐름)'!$Y$13:$Y$502)</f>
        <v>7</v>
      </c>
      <c r="U406" s="167">
        <f>SUMIF('Direct labour(직접노무비)'!$C$12:$C$503,'WIP(재공품)'!B406,'Direct labour(직접노무비)'!$U$12:$U$503)+SUMIF('Overhead exp(제조경비)'!$C$12:$C$503,'WIP(재공품)'!B406,'Overhead exp(제조경비)'!$U$12:$U$503)</f>
        <v>238586</v>
      </c>
      <c r="V406" s="112">
        <f>SUMIF('Direct labour(직접노무비)'!$C$12:$C$503,'WIP(재공품)'!B406,'Direct labour(직접노무비)'!$Q$12:$Q$503)</f>
        <v>291434012</v>
      </c>
      <c r="W406" s="112">
        <f>SUMIF('Overhead exp(제조경비)'!$C$12:$C$503,'WIP(재공품)'!B406,'Overhead exp(제조경비)'!$Q$12:$Q$503)</f>
        <v>569385826</v>
      </c>
      <c r="X406" s="112">
        <f t="shared" si="60"/>
        <v>860819838</v>
      </c>
      <c r="Y406" s="112">
        <f ca="1">ROUND(SUMIF('JUNE (물량흐름)'!$C$13:$C$502,'WIP(재공품)'!B406,'JUNE (물량흐름)'!$N$13:$N$488),0)</f>
        <v>185</v>
      </c>
      <c r="Z406" s="112">
        <f>ROUND(SUMIF('JUNE (물량흐름)'!$C$13:$C$502,'WIP(재공품)'!B406,'JUNE (물량흐름)'!$O$13:$O$502),0)</f>
        <v>978</v>
      </c>
      <c r="AA406" s="112">
        <f>ROUND(SUMIF('JUNE (물량흐름)'!$C$13:$C$502,'WIP(재공품)'!B406,'JUNE (물량흐름)'!$P$13:$P$502),0)</f>
        <v>1048</v>
      </c>
      <c r="AB406" s="112">
        <f t="shared" ca="1" si="61"/>
        <v>2211</v>
      </c>
      <c r="AC406" s="112">
        <f t="shared" si="62"/>
        <v>75359229</v>
      </c>
      <c r="AD406" s="381">
        <f t="shared" ca="1" si="63"/>
        <v>0</v>
      </c>
      <c r="AE406" s="381">
        <f t="shared" si="64"/>
        <v>0</v>
      </c>
      <c r="AF406" s="382"/>
      <c r="AG406" s="382"/>
      <c r="AH406" s="383"/>
      <c r="AI406" s="383"/>
      <c r="AJ406" s="383"/>
      <c r="AL406" s="385"/>
      <c r="AM406" s="381"/>
      <c r="AN406" s="382"/>
      <c r="AO406" s="382"/>
      <c r="AP406" s="383"/>
      <c r="AQ406" s="383"/>
    </row>
    <row r="407" spans="1:43" s="384" customFormat="1" ht="27" customHeight="1">
      <c r="A407" s="167">
        <v>417</v>
      </c>
      <c r="B407" s="240">
        <f>VLOOKUP(A407,'JUNE (물량흐름)'!$A$13:$C$502,3,0)</f>
        <v>476091</v>
      </c>
      <c r="C407" s="21" t="str">
        <f>VLOOKUP(A407,'JUNE (물량흐름)'!$A$13:$C$502,2,0)</f>
        <v>ANN TAYLOR</v>
      </c>
      <c r="D407" s="212">
        <v>1.93</v>
      </c>
      <c r="E407" s="6">
        <f>VLOOKUP(B407,'Sales profit (스타일 별 매출이익)'!$D$9:$P$491,13,0)</f>
        <v>43762.75</v>
      </c>
      <c r="F407" s="112">
        <f>IFERROR(VLOOKUP(B407,O.B.JUNE!$N$7:$Q$448,2,0),0)</f>
        <v>0</v>
      </c>
      <c r="G407" s="112">
        <f>IFERROR(VLOOKUP(B407,O.B.JUNE!$N$7:$Q$448,3,0),0)</f>
        <v>594</v>
      </c>
      <c r="H407" s="112">
        <f>IFERROR(VLOOKUP(B407,O.B.JUNE!$N$7:$Q$448,4,0),0)</f>
        <v>0</v>
      </c>
      <c r="I407" s="112">
        <f t="shared" si="57"/>
        <v>594</v>
      </c>
      <c r="J407" s="112">
        <f>IFERROR(VLOOKUP(B407,O.B.JUNE!$AA$7:$AG$448,7,0),0)</f>
        <v>3537368</v>
      </c>
      <c r="K407" s="112">
        <f>IFERROR(VLOOKUP(B407,O.B.JUNE!$AI$7:$AO$448,7,0),0)</f>
        <v>6911092</v>
      </c>
      <c r="L407" s="112">
        <f t="shared" si="58"/>
        <v>10448460</v>
      </c>
      <c r="M407" s="112">
        <f>ROUND(SUMIF('JUNE (물량흐름)'!$C$13:$C$502,'WIP(재공품)'!B407,'JUNE (물량흐름)'!$H$13:$H$502)+SUMIF('JUNE (물량흐름)'!$C$13:$C$502,'WIP(재공품)'!B407,'JUNE (물량흐름)'!$V$13:$V$502),0)</f>
        <v>8141</v>
      </c>
      <c r="N407" s="112">
        <f>SUMIF('Direct labour(직접노무비)'!$C$12:$C$503,'WIP(재공품)'!B407,'Direct labour(직접노무비)'!$O$12:$O$503)</f>
        <v>111471524</v>
      </c>
      <c r="O407" s="112">
        <f>SUMIF('Overhead exp(제조경비)'!$C$12:$C$503,'WIP(재공품)'!B407,'Overhead exp(제조경비)'!$O$12:$O$503)</f>
        <v>217786198</v>
      </c>
      <c r="P407" s="112">
        <f t="shared" si="59"/>
        <v>329257722</v>
      </c>
      <c r="Q407" s="112">
        <v>0</v>
      </c>
      <c r="R407" s="112">
        <v>0</v>
      </c>
      <c r="S407" s="112">
        <f>SUMIF('JUNE (물량흐름)'!$C$13:$C$493,'WIP(재공품)'!B407,'JUNE (물량흐름)'!$T$13:$T$493)+SUMIF('JUNE (물량흐름)'!$C$13:$C$493,'WIP(재공품)'!B407,'JUNE (물량흐름)'!$U$13:$U$493)+SUMIF('JUNE (물량흐름)'!$C$13:$C$493,'WIP(재공품)'!B407,'JUNE (물량흐름)'!$V$13:$V$493)-SUMIF('JUNE (물량흐름)'!$C$13:$C$493,'WIP(재공품)'!B407,'JUNE (물량흐름)'!$Y$13:$Y$493)</f>
        <v>7953</v>
      </c>
      <c r="T407" s="112">
        <f>SUMIF('JUNE (물량흐름)'!$C$13:$C$502,'WIP(재공품)'!B407,'JUNE (물량흐름)'!$Y$13:$Y$502)</f>
        <v>29</v>
      </c>
      <c r="U407" s="167">
        <f>SUMIF('Direct labour(직접노무비)'!$C$12:$C$503,'WIP(재공품)'!B407,'Direct labour(직접노무비)'!$U$12:$U$503)+SUMIF('Overhead exp(제조경비)'!$C$12:$C$503,'WIP(재공품)'!B407,'Overhead exp(제조경비)'!$U$12:$U$503)</f>
        <v>1127817</v>
      </c>
      <c r="V407" s="112">
        <f>SUMIF('Direct labour(직접노무비)'!$C$12:$C$503,'WIP(재공품)'!B407,'Direct labour(직접노무비)'!$Q$12:$Q$503)</f>
        <v>104712732</v>
      </c>
      <c r="W407" s="112">
        <f>SUMIF('Overhead exp(제조경비)'!$C$12:$C$503,'WIP(재공품)'!B407,'Overhead exp(제조경비)'!$Q$12:$Q$503)</f>
        <v>204581288</v>
      </c>
      <c r="X407" s="112">
        <f t="shared" si="60"/>
        <v>309294020</v>
      </c>
      <c r="Y407" s="112">
        <f ca="1">ROUND(SUMIF('JUNE (물량흐름)'!$C$13:$C$502,'WIP(재공품)'!B407,'JUNE (물량흐름)'!$N$13:$N$488),0)</f>
        <v>0</v>
      </c>
      <c r="Z407" s="112">
        <f>ROUND(SUMIF('JUNE (물량흐름)'!$C$13:$C$502,'WIP(재공품)'!B407,'JUNE (물량흐름)'!$O$13:$O$502),0)</f>
        <v>173</v>
      </c>
      <c r="AA407" s="112">
        <f>ROUND(SUMIF('JUNE (물량흐름)'!$C$13:$C$502,'WIP(재공품)'!B407,'JUNE (물량흐름)'!$P$13:$P$502),0)</f>
        <v>580</v>
      </c>
      <c r="AB407" s="112">
        <f t="shared" ca="1" si="61"/>
        <v>753</v>
      </c>
      <c r="AC407" s="112">
        <f t="shared" si="62"/>
        <v>29284345</v>
      </c>
      <c r="AD407" s="381">
        <f t="shared" ca="1" si="63"/>
        <v>0</v>
      </c>
      <c r="AE407" s="381">
        <f t="shared" si="64"/>
        <v>0</v>
      </c>
      <c r="AF407" s="382"/>
      <c r="AG407" s="382"/>
      <c r="AH407" s="383"/>
      <c r="AI407" s="383"/>
      <c r="AJ407" s="383"/>
      <c r="AL407" s="385"/>
      <c r="AM407" s="381"/>
      <c r="AN407" s="382"/>
      <c r="AO407" s="382"/>
      <c r="AP407" s="383"/>
      <c r="AQ407" s="383"/>
    </row>
    <row r="408" spans="1:43" s="384" customFormat="1" ht="27" customHeight="1">
      <c r="A408" s="167">
        <v>418</v>
      </c>
      <c r="B408" s="240">
        <f>VLOOKUP(A408,'JUNE (물량흐름)'!$A$13:$C$502,3,0)</f>
        <v>100018130</v>
      </c>
      <c r="C408" s="21" t="str">
        <f>VLOOKUP(A408,'JUNE (물량흐름)'!$A$13:$C$502,2,0)</f>
        <v>ALFANI</v>
      </c>
      <c r="D408" s="212">
        <v>2.23</v>
      </c>
      <c r="E408" s="6">
        <f>VLOOKUP(B408,'Sales profit (스타일 별 매출이익)'!$D$9:$P$491,13,0)</f>
        <v>50565.25</v>
      </c>
      <c r="F408" s="112">
        <f>IFERROR(VLOOKUP(B408,O.B.JUNE!$N$7:$Q$448,2,0),0)</f>
        <v>2937</v>
      </c>
      <c r="G408" s="112">
        <f>IFERROR(VLOOKUP(B408,O.B.JUNE!$N$7:$Q$448,3,0),0)</f>
        <v>3180</v>
      </c>
      <c r="H408" s="112">
        <f>IFERROR(VLOOKUP(B408,O.B.JUNE!$N$7:$Q$448,4,0),0)</f>
        <v>320</v>
      </c>
      <c r="I408" s="112">
        <f t="shared" si="57"/>
        <v>6437</v>
      </c>
      <c r="J408" s="112">
        <f>IFERROR(VLOOKUP(B408,O.B.JUNE!$AA$7:$AG$448,7,0),0)</f>
        <v>34091572</v>
      </c>
      <c r="K408" s="112">
        <f>IFERROR(VLOOKUP(B408,O.B.JUNE!$AI$7:$AO$448,7,0),0)</f>
        <v>66606013</v>
      </c>
      <c r="L408" s="112">
        <f t="shared" si="58"/>
        <v>100697585</v>
      </c>
      <c r="M408" s="112">
        <f>ROUND(SUMIF('JUNE (물량흐름)'!$C$13:$C$502,'WIP(재공품)'!B408,'JUNE (물량흐름)'!$H$13:$H$502)+SUMIF('JUNE (물량흐름)'!$C$13:$C$502,'WIP(재공품)'!B408,'JUNE (물량흐름)'!$V$13:$V$502),0)</f>
        <v>1590</v>
      </c>
      <c r="N408" s="112">
        <f>SUMIF('Direct labour(직접노무비)'!$C$12:$C$503,'WIP(재공품)'!B408,'Direct labour(직접노무비)'!$O$12:$O$503)</f>
        <v>87231565</v>
      </c>
      <c r="O408" s="112">
        <f>SUMIF('Overhead exp(제조경비)'!$C$12:$C$503,'WIP(재공품)'!B408,'Overhead exp(제조경비)'!$O$12:$O$503)</f>
        <v>170427660</v>
      </c>
      <c r="P408" s="112">
        <f t="shared" si="59"/>
        <v>257659225</v>
      </c>
      <c r="Q408" s="112">
        <v>0</v>
      </c>
      <c r="R408" s="112">
        <v>0</v>
      </c>
      <c r="S408" s="112">
        <f>SUMIF('JUNE (물량흐름)'!$C$13:$C$493,'WIP(재공품)'!B408,'JUNE (물량흐름)'!$T$13:$T$493)+SUMIF('JUNE (물량흐름)'!$C$13:$C$493,'WIP(재공품)'!B408,'JUNE (물량흐름)'!$U$13:$U$493)+SUMIF('JUNE (물량흐름)'!$C$13:$C$493,'WIP(재공품)'!B408,'JUNE (물량흐름)'!$V$13:$V$493)-SUMIF('JUNE (물량흐름)'!$C$13:$C$493,'WIP(재공품)'!B408,'JUNE (물량흐름)'!$Y$13:$Y$493)</f>
        <v>7944</v>
      </c>
      <c r="T408" s="112">
        <f>SUMIF('JUNE (물량흐름)'!$C$13:$C$502,'WIP(재공품)'!B408,'JUNE (물량흐름)'!$Y$13:$Y$502)</f>
        <v>2</v>
      </c>
      <c r="U408" s="167">
        <f>SUMIF('Direct labour(직접노무비)'!$C$12:$C$503,'WIP(재공품)'!B408,'Direct labour(직접노무비)'!$U$12:$U$503)+SUMIF('Overhead exp(제조경비)'!$C$12:$C$503,'WIP(재공품)'!B408,'Overhead exp(제조경비)'!$U$12:$U$503)</f>
        <v>89288</v>
      </c>
      <c r="V408" s="112">
        <f>SUMIF('Direct labour(직접노무비)'!$C$12:$C$503,'WIP(재공품)'!B408,'Direct labour(직접노무비)'!$Q$12:$Q$503)</f>
        <v>120068643</v>
      </c>
      <c r="W408" s="112">
        <f>SUMIF('Overhead exp(제조경비)'!$C$12:$C$503,'WIP(재공품)'!B408,'Overhead exp(제조경비)'!$Q$12:$Q$503)</f>
        <v>234582721</v>
      </c>
      <c r="X408" s="112">
        <f t="shared" si="60"/>
        <v>354651364</v>
      </c>
      <c r="Y408" s="112">
        <f ca="1">ROUND(SUMIF('JUNE (물량흐름)'!$C$13:$C$502,'WIP(재공품)'!B408,'JUNE (물량흐름)'!$N$13:$N$488),0)</f>
        <v>0</v>
      </c>
      <c r="Z408" s="112">
        <f>ROUND(SUMIF('JUNE (물량흐름)'!$C$13:$C$502,'WIP(재공품)'!B408,'JUNE (물량흐름)'!$O$13:$O$502),0)</f>
        <v>0</v>
      </c>
      <c r="AA408" s="112">
        <f>ROUND(SUMIF('JUNE (물량흐름)'!$C$13:$C$502,'WIP(재공품)'!B408,'JUNE (물량흐름)'!$P$13:$P$502),0)</f>
        <v>81</v>
      </c>
      <c r="AB408" s="112">
        <f t="shared" ca="1" si="61"/>
        <v>81</v>
      </c>
      <c r="AC408" s="112">
        <f t="shared" si="62"/>
        <v>3616158</v>
      </c>
      <c r="AD408" s="381">
        <f t="shared" ca="1" si="63"/>
        <v>0</v>
      </c>
      <c r="AE408" s="381">
        <f t="shared" si="64"/>
        <v>0</v>
      </c>
      <c r="AF408" s="382"/>
      <c r="AG408" s="382"/>
      <c r="AH408" s="383"/>
      <c r="AI408" s="383"/>
      <c r="AJ408" s="383"/>
      <c r="AL408" s="385"/>
      <c r="AM408" s="381"/>
      <c r="AN408" s="382"/>
      <c r="AO408" s="382"/>
      <c r="AP408" s="383"/>
      <c r="AQ408" s="383"/>
    </row>
    <row r="409" spans="1:43" s="384" customFormat="1" ht="27" customHeight="1">
      <c r="A409" s="167">
        <v>419</v>
      </c>
      <c r="B409" s="240">
        <f>VLOOKUP(A409,'JUNE (물량흐름)'!$A$13:$C$502,3,0)</f>
        <v>100018197</v>
      </c>
      <c r="C409" s="21" t="str">
        <f>VLOOKUP(A409,'JUNE (물량흐름)'!$A$13:$C$502,2,0)</f>
        <v>ALFANI</v>
      </c>
      <c r="D409" s="212">
        <v>0.35</v>
      </c>
      <c r="E409" s="6">
        <f>VLOOKUP(B409,'Sales profit (스타일 별 매출이익)'!$D$9:$P$491,13,0)</f>
        <v>7936.2499999999991</v>
      </c>
      <c r="F409" s="112">
        <f>IFERROR(VLOOKUP(B409,O.B.JUNE!$N$7:$Q$448,2,0),0)</f>
        <v>0</v>
      </c>
      <c r="G409" s="112">
        <f>IFERROR(VLOOKUP(B409,O.B.JUNE!$N$7:$Q$448,3,0),0)</f>
        <v>175</v>
      </c>
      <c r="H409" s="112">
        <f>IFERROR(VLOOKUP(B409,O.B.JUNE!$N$7:$Q$448,4,0),0)</f>
        <v>9380</v>
      </c>
      <c r="I409" s="112">
        <f t="shared" si="57"/>
        <v>9555</v>
      </c>
      <c r="J409" s="112">
        <f>IFERROR(VLOOKUP(B409,O.B.JUNE!$AA$7:$AG$448,7,0),0)</f>
        <v>85619253</v>
      </c>
      <c r="K409" s="112">
        <f>IFERROR(VLOOKUP(B409,O.B.JUNE!$AI$7:$AO$448,7,0),0)</f>
        <v>167277623</v>
      </c>
      <c r="L409" s="112">
        <f t="shared" si="58"/>
        <v>252896876</v>
      </c>
      <c r="M409" s="112">
        <f>ROUND(SUMIF('JUNE (물량흐름)'!$C$13:$C$502,'WIP(재공품)'!B409,'JUNE (물량흐름)'!$H$13:$H$502)+SUMIF('JUNE (물량흐름)'!$C$13:$C$502,'WIP(재공품)'!B409,'JUNE (물량흐름)'!$V$13:$V$502),0)</f>
        <v>0</v>
      </c>
      <c r="N409" s="112">
        <f>SUMIF('Direct labour(직접노무비)'!$C$12:$C$503,'WIP(재공품)'!B409,'Direct labour(직접노무비)'!$O$12:$O$503)</f>
        <v>0</v>
      </c>
      <c r="O409" s="112">
        <f>SUMIF('Overhead exp(제조경비)'!$C$12:$C$503,'WIP(재공품)'!B409,'Overhead exp(제조경비)'!$O$12:$O$503)</f>
        <v>0</v>
      </c>
      <c r="P409" s="112">
        <f t="shared" si="59"/>
        <v>0</v>
      </c>
      <c r="Q409" s="112">
        <v>0</v>
      </c>
      <c r="R409" s="112">
        <v>0</v>
      </c>
      <c r="S409" s="112">
        <f>SUMIF('JUNE (물량흐름)'!$C$13:$C$493,'WIP(재공품)'!B409,'JUNE (물량흐름)'!$T$13:$T$493)+SUMIF('JUNE (물량흐름)'!$C$13:$C$493,'WIP(재공품)'!B409,'JUNE (물량흐름)'!$U$13:$U$493)+SUMIF('JUNE (물량흐름)'!$C$13:$C$493,'WIP(재공품)'!B409,'JUNE (물량흐름)'!$V$13:$V$493)-SUMIF('JUNE (물량흐름)'!$C$13:$C$493,'WIP(재공품)'!B409,'JUNE (물량흐름)'!$Y$13:$Y$493)</f>
        <v>0</v>
      </c>
      <c r="T409" s="112">
        <f>SUMIF('JUNE (물량흐름)'!$C$13:$C$502,'WIP(재공품)'!B409,'JUNE (물량흐름)'!$Y$13:$Y$502)</f>
        <v>0</v>
      </c>
      <c r="U409" s="167">
        <f>SUMIF('Direct labour(직접노무비)'!$C$12:$C$503,'WIP(재공품)'!B409,'Direct labour(직접노무비)'!$U$12:$U$503)+SUMIF('Overhead exp(제조경비)'!$C$12:$C$503,'WIP(재공품)'!B409,'Overhead exp(제조경비)'!$U$12:$U$503)</f>
        <v>0</v>
      </c>
      <c r="V409" s="112">
        <f>SUMIF('Direct labour(직접노무비)'!$C$12:$C$503,'WIP(재공품)'!B409,'Direct labour(직접노무비)'!$Q$12:$Q$503)</f>
        <v>0</v>
      </c>
      <c r="W409" s="112">
        <f>SUMIF('Overhead exp(제조경비)'!$C$12:$C$503,'WIP(재공품)'!B409,'Overhead exp(제조경비)'!$Q$12:$Q$503)</f>
        <v>0</v>
      </c>
      <c r="X409" s="112">
        <f t="shared" si="60"/>
        <v>0</v>
      </c>
      <c r="Y409" s="112">
        <f ca="1">ROUND(SUMIF('JUNE (물량흐름)'!$C$13:$C$502,'WIP(재공품)'!B409,'JUNE (물량흐름)'!$N$13:$N$488),0)</f>
        <v>0</v>
      </c>
      <c r="Z409" s="112">
        <f>ROUND(SUMIF('JUNE (물량흐름)'!$C$13:$C$502,'WIP(재공품)'!B409,'JUNE (물량흐름)'!$O$13:$O$502),0)</f>
        <v>175</v>
      </c>
      <c r="AA409" s="112">
        <f>ROUND(SUMIF('JUNE (물량흐름)'!$C$13:$C$502,'WIP(재공품)'!B409,'JUNE (물량흐름)'!$P$13:$P$502),0)</f>
        <v>9380</v>
      </c>
      <c r="AB409" s="112">
        <f t="shared" ca="1" si="61"/>
        <v>9555</v>
      </c>
      <c r="AC409" s="112">
        <f t="shared" si="62"/>
        <v>252896876</v>
      </c>
      <c r="AD409" s="381">
        <f t="shared" ca="1" si="63"/>
        <v>0</v>
      </c>
      <c r="AE409" s="381">
        <f t="shared" si="64"/>
        <v>0</v>
      </c>
      <c r="AF409" s="382"/>
      <c r="AG409" s="382"/>
      <c r="AH409" s="383"/>
      <c r="AI409" s="383"/>
      <c r="AJ409" s="383"/>
      <c r="AL409" s="385"/>
      <c r="AM409" s="381"/>
      <c r="AN409" s="382"/>
      <c r="AO409" s="382"/>
      <c r="AP409" s="383"/>
      <c r="AQ409" s="383"/>
    </row>
    <row r="410" spans="1:43" s="384" customFormat="1" ht="27" customHeight="1">
      <c r="A410" s="167">
        <v>420</v>
      </c>
      <c r="B410" s="240">
        <f>VLOOKUP(A410,'JUNE (물량흐름)'!$A$13:$C$502,3,0)</f>
        <v>100018200</v>
      </c>
      <c r="C410" s="21" t="str">
        <f>VLOOKUP(A410,'JUNE (물량흐름)'!$A$13:$C$502,2,0)</f>
        <v>ALFANI</v>
      </c>
      <c r="D410" s="212">
        <v>2.2599999999999998</v>
      </c>
      <c r="E410" s="6">
        <f>VLOOKUP(B410,'Sales profit (스타일 별 매출이익)'!$D$9:$P$491,13,0)</f>
        <v>51245.499999999993</v>
      </c>
      <c r="F410" s="112">
        <f>IFERROR(VLOOKUP(B410,O.B.JUNE!$N$7:$Q$448,2,0),0)</f>
        <v>0</v>
      </c>
      <c r="G410" s="112">
        <f>IFERROR(VLOOKUP(B410,O.B.JUNE!$N$7:$Q$448,3,0),0)</f>
        <v>1180</v>
      </c>
      <c r="H410" s="112">
        <f>IFERROR(VLOOKUP(B410,O.B.JUNE!$N$7:$Q$448,4,0),0)</f>
        <v>715</v>
      </c>
      <c r="I410" s="112">
        <f t="shared" si="57"/>
        <v>1895</v>
      </c>
      <c r="J410" s="112">
        <f>IFERROR(VLOOKUP(B410,O.B.JUNE!$AA$7:$AG$448,7,0),0)</f>
        <v>21896723</v>
      </c>
      <c r="K410" s="112">
        <f>IFERROR(VLOOKUP(B410,O.B.JUNE!$AI$7:$AO$448,7,0),0)</f>
        <v>42780470</v>
      </c>
      <c r="L410" s="112">
        <f t="shared" si="58"/>
        <v>64677193</v>
      </c>
      <c r="M410" s="112">
        <f>ROUND(SUMIF('JUNE (물량흐름)'!$C$13:$C$502,'WIP(재공품)'!B410,'JUNE (물량흐름)'!$H$13:$H$502)+SUMIF('JUNE (물량흐름)'!$C$13:$C$502,'WIP(재공품)'!B410,'JUNE (물량흐름)'!$V$13:$V$502),0)</f>
        <v>0</v>
      </c>
      <c r="N410" s="112">
        <f>SUMIF('Direct labour(직접노무비)'!$C$12:$C$503,'WIP(재공품)'!B410,'Direct labour(직접노무비)'!$O$12:$O$503)</f>
        <v>0</v>
      </c>
      <c r="O410" s="112">
        <f>SUMIF('Overhead exp(제조경비)'!$C$12:$C$503,'WIP(재공품)'!B410,'Overhead exp(제조경비)'!$O$12:$O$503)</f>
        <v>0</v>
      </c>
      <c r="P410" s="112">
        <f t="shared" si="59"/>
        <v>0</v>
      </c>
      <c r="Q410" s="112">
        <v>0</v>
      </c>
      <c r="R410" s="112">
        <v>0</v>
      </c>
      <c r="S410" s="112">
        <f>SUMIF('JUNE (물량흐름)'!$C$13:$C$493,'WIP(재공품)'!B410,'JUNE (물량흐름)'!$T$13:$T$493)+SUMIF('JUNE (물량흐름)'!$C$13:$C$493,'WIP(재공품)'!B410,'JUNE (물량흐름)'!$U$13:$U$493)+SUMIF('JUNE (물량흐름)'!$C$13:$C$493,'WIP(재공품)'!B410,'JUNE (물량흐름)'!$V$13:$V$493)-SUMIF('JUNE (물량흐름)'!$C$13:$C$493,'WIP(재공품)'!B410,'JUNE (물량흐름)'!$Y$13:$Y$493)</f>
        <v>1753</v>
      </c>
      <c r="T410" s="112">
        <f>SUMIF('JUNE (물량흐름)'!$C$13:$C$502,'WIP(재공품)'!B410,'JUNE (물량흐름)'!$Y$13:$Y$502)</f>
        <v>4</v>
      </c>
      <c r="U410" s="167">
        <f>SUMIF('Direct labour(직접노무비)'!$C$12:$C$503,'WIP(재공품)'!B410,'Direct labour(직접노무비)'!$U$12:$U$503)+SUMIF('Overhead exp(제조경비)'!$C$12:$C$503,'WIP(재공품)'!B410,'Overhead exp(제조경비)'!$U$12:$U$503)</f>
        <v>136522</v>
      </c>
      <c r="V410" s="112">
        <f>SUMIF('Direct labour(직접노무비)'!$C$12:$C$503,'WIP(재공품)'!B410,'Direct labour(직접노무비)'!$Q$12:$Q$503)</f>
        <v>20255913</v>
      </c>
      <c r="W410" s="112">
        <f>SUMIF('Overhead exp(제조경비)'!$C$12:$C$503,'WIP(재공품)'!B410,'Overhead exp(제조경비)'!$Q$12:$Q$503)</f>
        <v>39574757</v>
      </c>
      <c r="X410" s="112">
        <f t="shared" si="60"/>
        <v>59830670</v>
      </c>
      <c r="Y410" s="112">
        <f ca="1">ROUND(SUMIF('JUNE (물량흐름)'!$C$13:$C$502,'WIP(재공품)'!B410,'JUNE (물량흐름)'!$N$13:$N$488),0)</f>
        <v>0</v>
      </c>
      <c r="Z410" s="112">
        <f>ROUND(SUMIF('JUNE (물량흐름)'!$C$13:$C$502,'WIP(재공품)'!B410,'JUNE (물량흐름)'!$O$13:$O$502),0)</f>
        <v>0</v>
      </c>
      <c r="AA410" s="112">
        <f>ROUND(SUMIF('JUNE (물량흐름)'!$C$13:$C$502,'WIP(재공품)'!B410,'JUNE (물량흐름)'!$P$13:$P$502),0)</f>
        <v>138</v>
      </c>
      <c r="AB410" s="112">
        <f t="shared" ca="1" si="61"/>
        <v>138</v>
      </c>
      <c r="AC410" s="112">
        <f t="shared" si="62"/>
        <v>4710001</v>
      </c>
      <c r="AD410" s="381">
        <f t="shared" ca="1" si="63"/>
        <v>0</v>
      </c>
      <c r="AE410" s="381">
        <f t="shared" si="64"/>
        <v>0</v>
      </c>
      <c r="AF410" s="382"/>
      <c r="AG410" s="382"/>
      <c r="AH410" s="383"/>
      <c r="AI410" s="383"/>
      <c r="AJ410" s="383"/>
      <c r="AL410" s="385"/>
      <c r="AM410" s="381"/>
      <c r="AN410" s="382"/>
      <c r="AO410" s="382"/>
      <c r="AP410" s="383"/>
      <c r="AQ410" s="383"/>
    </row>
    <row r="411" spans="1:43" s="384" customFormat="1" ht="27" customHeight="1">
      <c r="A411" s="167">
        <v>421</v>
      </c>
      <c r="B411" s="240">
        <f>VLOOKUP(A411,'JUNE (물량흐름)'!$A$13:$C$502,3,0)</f>
        <v>100018207</v>
      </c>
      <c r="C411" s="21" t="str">
        <f>VLOOKUP(A411,'JUNE (물량흐름)'!$A$13:$C$502,2,0)</f>
        <v>ALFANI</v>
      </c>
      <c r="D411" s="212">
        <v>3.23</v>
      </c>
      <c r="E411" s="6">
        <f>VLOOKUP(B411,'Sales profit (스타일 별 매출이익)'!$D$9:$P$491,13,0)</f>
        <v>73240.25</v>
      </c>
      <c r="F411" s="112">
        <f>IFERROR(VLOOKUP(B411,O.B.JUNE!$N$7:$Q$448,2,0),0)</f>
        <v>2388</v>
      </c>
      <c r="G411" s="112">
        <f>IFERROR(VLOOKUP(B411,O.B.JUNE!$N$7:$Q$448,3,0),0)</f>
        <v>933</v>
      </c>
      <c r="H411" s="112">
        <f>IFERROR(VLOOKUP(B411,O.B.JUNE!$N$7:$Q$448,4,0),0)</f>
        <v>0</v>
      </c>
      <c r="I411" s="112">
        <f t="shared" si="57"/>
        <v>3321</v>
      </c>
      <c r="J411" s="112">
        <f>IFERROR(VLOOKUP(B411,O.B.JUNE!$AA$7:$AG$448,7,0),0)</f>
        <v>19841211</v>
      </c>
      <c r="K411" s="112">
        <f>IFERROR(VLOOKUP(B411,O.B.JUNE!$AI$7:$AO$448,7,0),0)</f>
        <v>38764535</v>
      </c>
      <c r="L411" s="112">
        <f t="shared" si="58"/>
        <v>58605746</v>
      </c>
      <c r="M411" s="112">
        <f>ROUND(SUMIF('JUNE (물량흐름)'!$C$13:$C$502,'WIP(재공품)'!B411,'JUNE (물량흐름)'!$H$13:$H$502)+SUMIF('JUNE (물량흐름)'!$C$13:$C$502,'WIP(재공품)'!B411,'JUNE (물량흐름)'!$V$13:$V$502),0)</f>
        <v>3</v>
      </c>
      <c r="N411" s="112">
        <f>SUMIF('Direct labour(직접노무비)'!$C$12:$C$503,'WIP(재공품)'!B411,'Direct labour(직접노무비)'!$O$12:$O$503)</f>
        <v>50036685</v>
      </c>
      <c r="O411" s="112">
        <f>SUMIF('Overhead exp(제조경비)'!$C$12:$C$503,'WIP(재공품)'!B411,'Overhead exp(제조경비)'!$O$12:$O$503)</f>
        <v>97758594</v>
      </c>
      <c r="P411" s="112">
        <f t="shared" si="59"/>
        <v>147795279</v>
      </c>
      <c r="Q411" s="112">
        <v>0</v>
      </c>
      <c r="R411" s="112">
        <v>0</v>
      </c>
      <c r="S411" s="112">
        <f>SUMIF('JUNE (물량흐름)'!$C$13:$C$493,'WIP(재공품)'!B411,'JUNE (물량흐름)'!$T$13:$T$493)+SUMIF('JUNE (물량흐름)'!$C$13:$C$493,'WIP(재공품)'!B411,'JUNE (물량흐름)'!$U$13:$U$493)+SUMIF('JUNE (물량흐름)'!$C$13:$C$493,'WIP(재공품)'!B411,'JUNE (물량흐름)'!$V$13:$V$493)-SUMIF('JUNE (물량흐름)'!$C$13:$C$493,'WIP(재공품)'!B411,'JUNE (물량흐름)'!$Y$13:$Y$493)</f>
        <v>3058</v>
      </c>
      <c r="T411" s="112">
        <f>SUMIF('JUNE (물량흐름)'!$C$13:$C$502,'WIP(재공품)'!B411,'JUNE (물량흐름)'!$Y$13:$Y$502)</f>
        <v>0</v>
      </c>
      <c r="U411" s="167">
        <f>SUMIF('Direct labour(직접노무비)'!$C$12:$C$503,'WIP(재공품)'!B411,'Direct labour(직접노무비)'!$U$12:$U$503)+SUMIF('Overhead exp(제조경비)'!$C$12:$C$503,'WIP(재공품)'!B411,'Overhead exp(제조경비)'!$U$12:$U$503)</f>
        <v>0</v>
      </c>
      <c r="V411" s="112">
        <f>SUMIF('Direct labour(직접노무비)'!$C$12:$C$503,'WIP(재공품)'!B411,'Direct labour(직접노무비)'!$Q$12:$Q$503)</f>
        <v>64285983</v>
      </c>
      <c r="W411" s="112">
        <f>SUMIF('Overhead exp(제조경비)'!$C$12:$C$503,'WIP(재공품)'!B411,'Overhead exp(제조경비)'!$Q$12:$Q$503)</f>
        <v>125597993</v>
      </c>
      <c r="X411" s="112">
        <f t="shared" si="60"/>
        <v>189883976</v>
      </c>
      <c r="Y411" s="112">
        <f ca="1">ROUND(SUMIF('JUNE (물량흐름)'!$C$13:$C$502,'WIP(재공품)'!B411,'JUNE (물량흐름)'!$N$13:$N$488),0)</f>
        <v>152</v>
      </c>
      <c r="Z411" s="112">
        <f>ROUND(SUMIF('JUNE (물량흐름)'!$C$13:$C$502,'WIP(재공품)'!B411,'JUNE (물량흐름)'!$O$13:$O$502),0)</f>
        <v>90</v>
      </c>
      <c r="AA411" s="112">
        <f>ROUND(SUMIF('JUNE (물량흐름)'!$C$13:$C$502,'WIP(재공품)'!B411,'JUNE (물량흐름)'!$P$13:$P$502),0)</f>
        <v>24</v>
      </c>
      <c r="AB411" s="112">
        <f t="shared" ca="1" si="61"/>
        <v>266</v>
      </c>
      <c r="AC411" s="112">
        <f t="shared" si="62"/>
        <v>16517049</v>
      </c>
      <c r="AD411" s="381">
        <f t="shared" ca="1" si="63"/>
        <v>0</v>
      </c>
      <c r="AE411" s="381">
        <f t="shared" si="64"/>
        <v>0</v>
      </c>
      <c r="AF411" s="382"/>
      <c r="AG411" s="382"/>
      <c r="AH411" s="383"/>
      <c r="AI411" s="383"/>
      <c r="AJ411" s="383"/>
      <c r="AL411" s="385"/>
      <c r="AM411" s="381"/>
      <c r="AN411" s="382"/>
      <c r="AO411" s="382"/>
      <c r="AP411" s="383"/>
      <c r="AQ411" s="383"/>
    </row>
    <row r="412" spans="1:43" s="384" customFormat="1" ht="27" customHeight="1">
      <c r="A412" s="167">
        <v>422</v>
      </c>
      <c r="B412" s="240">
        <f>VLOOKUP(A412,'JUNE (물량흐름)'!$A$13:$C$502,3,0)</f>
        <v>100018224</v>
      </c>
      <c r="C412" s="21" t="str">
        <f>VLOOKUP(A412,'JUNE (물량흐름)'!$A$13:$C$502,2,0)</f>
        <v>ALFANI</v>
      </c>
      <c r="D412" s="212">
        <v>2.64</v>
      </c>
      <c r="E412" s="6">
        <f>VLOOKUP(B412,'Sales profit (스타일 별 매출이익)'!$D$9:$P$491,13,0)</f>
        <v>59862</v>
      </c>
      <c r="F412" s="112">
        <f>IFERROR(VLOOKUP(B412,O.B.JUNE!$N$7:$Q$448,2,0),0)</f>
        <v>0</v>
      </c>
      <c r="G412" s="112">
        <f>IFERROR(VLOOKUP(B412,O.B.JUNE!$N$7:$Q$448,3,0),0)</f>
        <v>67</v>
      </c>
      <c r="H412" s="112">
        <f>IFERROR(VLOOKUP(B412,O.B.JUNE!$N$7:$Q$448,4,0),0)</f>
        <v>0</v>
      </c>
      <c r="I412" s="112">
        <f t="shared" si="57"/>
        <v>67</v>
      </c>
      <c r="J412" s="112">
        <f>IFERROR(VLOOKUP(B412,O.B.JUNE!$AA$7:$AG$448,7,0),0)</f>
        <v>1112989</v>
      </c>
      <c r="K412" s="112">
        <f>IFERROR(VLOOKUP(B412,O.B.JUNE!$AI$7:$AO$448,7,0),0)</f>
        <v>2174490</v>
      </c>
      <c r="L412" s="112">
        <f t="shared" si="58"/>
        <v>3287479</v>
      </c>
      <c r="M412" s="112">
        <f>ROUND(SUMIF('JUNE (물량흐름)'!$C$13:$C$502,'WIP(재공품)'!B412,'JUNE (물량흐름)'!$H$13:$H$502)+SUMIF('JUNE (물량흐름)'!$C$13:$C$502,'WIP(재공품)'!B412,'JUNE (물량흐름)'!$V$13:$V$502),0)</f>
        <v>0</v>
      </c>
      <c r="N412" s="112">
        <f>SUMIF('Direct labour(직접노무비)'!$C$12:$C$503,'WIP(재공품)'!B412,'Direct labour(직접노무비)'!$O$12:$O$503)</f>
        <v>0</v>
      </c>
      <c r="O412" s="112">
        <f>SUMIF('Overhead exp(제조경비)'!$C$12:$C$503,'WIP(재공품)'!B412,'Overhead exp(제조경비)'!$O$12:$O$503)</f>
        <v>0</v>
      </c>
      <c r="P412" s="112">
        <f t="shared" si="59"/>
        <v>0</v>
      </c>
      <c r="Q412" s="112">
        <v>0</v>
      </c>
      <c r="R412" s="112">
        <v>0</v>
      </c>
      <c r="S412" s="112">
        <f>SUMIF('JUNE (물량흐름)'!$C$13:$C$493,'WIP(재공품)'!B412,'JUNE (물량흐름)'!$T$13:$T$493)+SUMIF('JUNE (물량흐름)'!$C$13:$C$493,'WIP(재공품)'!B412,'JUNE (물량흐름)'!$U$13:$U$493)+SUMIF('JUNE (물량흐름)'!$C$13:$C$493,'WIP(재공품)'!B412,'JUNE (물량흐름)'!$V$13:$V$493)-SUMIF('JUNE (물량흐름)'!$C$13:$C$493,'WIP(재공품)'!B412,'JUNE (물량흐름)'!$Y$13:$Y$493)</f>
        <v>0</v>
      </c>
      <c r="T412" s="112">
        <f>SUMIF('JUNE (물량흐름)'!$C$13:$C$502,'WIP(재공품)'!B412,'JUNE (물량흐름)'!$Y$13:$Y$502)</f>
        <v>0</v>
      </c>
      <c r="U412" s="167">
        <f>SUMIF('Direct labour(직접노무비)'!$C$12:$C$503,'WIP(재공품)'!B412,'Direct labour(직접노무비)'!$U$12:$U$503)+SUMIF('Overhead exp(제조경비)'!$C$12:$C$503,'WIP(재공품)'!B412,'Overhead exp(제조경비)'!$U$12:$U$503)</f>
        <v>0</v>
      </c>
      <c r="V412" s="112">
        <f>SUMIF('Direct labour(직접노무비)'!$C$12:$C$503,'WIP(재공품)'!B412,'Direct labour(직접노무비)'!$Q$12:$Q$503)</f>
        <v>0</v>
      </c>
      <c r="W412" s="112">
        <f>SUMIF('Overhead exp(제조경비)'!$C$12:$C$503,'WIP(재공품)'!B412,'Overhead exp(제조경비)'!$Q$12:$Q$503)</f>
        <v>0</v>
      </c>
      <c r="X412" s="112">
        <f t="shared" si="60"/>
        <v>0</v>
      </c>
      <c r="Y412" s="112">
        <f ca="1">ROUND(SUMIF('JUNE (물량흐름)'!$C$13:$C$502,'WIP(재공품)'!B412,'JUNE (물량흐름)'!$N$13:$N$488),0)</f>
        <v>0</v>
      </c>
      <c r="Z412" s="112">
        <f>ROUND(SUMIF('JUNE (물량흐름)'!$C$13:$C$502,'WIP(재공품)'!B412,'JUNE (물량흐름)'!$O$13:$O$502),0)</f>
        <v>67</v>
      </c>
      <c r="AA412" s="112">
        <f>ROUND(SUMIF('JUNE (물량흐름)'!$C$13:$C$502,'WIP(재공품)'!B412,'JUNE (물량흐름)'!$P$13:$P$502),0)</f>
        <v>0</v>
      </c>
      <c r="AB412" s="112">
        <f t="shared" ca="1" si="61"/>
        <v>67</v>
      </c>
      <c r="AC412" s="112">
        <f t="shared" si="62"/>
        <v>3287479</v>
      </c>
      <c r="AD412" s="381">
        <f t="shared" ca="1" si="63"/>
        <v>0</v>
      </c>
      <c r="AE412" s="381">
        <f t="shared" si="64"/>
        <v>0</v>
      </c>
      <c r="AF412" s="382"/>
      <c r="AG412" s="382"/>
      <c r="AH412" s="383"/>
      <c r="AI412" s="383"/>
      <c r="AJ412" s="383"/>
      <c r="AL412" s="385"/>
      <c r="AM412" s="381"/>
      <c r="AN412" s="382"/>
      <c r="AO412" s="382"/>
      <c r="AP412" s="383"/>
      <c r="AQ412" s="383"/>
    </row>
    <row r="413" spans="1:43" s="384" customFormat="1" ht="27" customHeight="1">
      <c r="A413" s="167">
        <v>423</v>
      </c>
      <c r="B413" s="240">
        <f>VLOOKUP(A413,'JUNE (물량흐름)'!$A$13:$C$502,3,0)</f>
        <v>100018229</v>
      </c>
      <c r="C413" s="21" t="str">
        <f>VLOOKUP(A413,'JUNE (물량흐름)'!$A$13:$C$502,2,0)</f>
        <v>ALFANI</v>
      </c>
      <c r="D413" s="212">
        <v>2.91</v>
      </c>
      <c r="E413" s="6">
        <f>VLOOKUP(B413,'Sales profit (스타일 별 매출이익)'!$D$9:$P$491,13,0)</f>
        <v>65984.25</v>
      </c>
      <c r="F413" s="112">
        <f>IFERROR(VLOOKUP(B413,O.B.JUNE!$N$7:$Q$448,2,0),0)</f>
        <v>25</v>
      </c>
      <c r="G413" s="112">
        <f>IFERROR(VLOOKUP(B413,O.B.JUNE!$N$7:$Q$448,3,0),0)</f>
        <v>1047</v>
      </c>
      <c r="H413" s="112">
        <f>IFERROR(VLOOKUP(B413,O.B.JUNE!$N$7:$Q$448,4,0),0)</f>
        <v>510</v>
      </c>
      <c r="I413" s="112">
        <f t="shared" si="57"/>
        <v>1582</v>
      </c>
      <c r="J413" s="112">
        <f>IFERROR(VLOOKUP(B413,O.B.JUNE!$AA$7:$AG$448,7,0),0)</f>
        <v>26908862</v>
      </c>
      <c r="K413" s="112">
        <f>IFERROR(VLOOKUP(B413,O.B.JUNE!$AI$7:$AO$448,7,0),0)</f>
        <v>52572877</v>
      </c>
      <c r="L413" s="112">
        <f t="shared" si="58"/>
        <v>79481739</v>
      </c>
      <c r="M413" s="112">
        <f>ROUND(SUMIF('JUNE (물량흐름)'!$C$13:$C$502,'WIP(재공품)'!B413,'JUNE (물량흐름)'!$H$13:$H$502)+SUMIF('JUNE (물량흐름)'!$C$13:$C$502,'WIP(재공품)'!B413,'JUNE (물량흐름)'!$V$13:$V$502),0)</f>
        <v>59</v>
      </c>
      <c r="N413" s="112">
        <f>SUMIF('Direct labour(직접노무비)'!$C$12:$C$503,'WIP(재공품)'!B413,'Direct labour(직접노무비)'!$O$12:$O$503)</f>
        <v>13244269</v>
      </c>
      <c r="O413" s="112">
        <f>SUMIF('Overhead exp(제조경비)'!$C$12:$C$503,'WIP(재공품)'!B413,'Overhead exp(제조경비)'!$O$12:$O$503)</f>
        <v>25875836</v>
      </c>
      <c r="P413" s="112">
        <f t="shared" si="59"/>
        <v>39120105</v>
      </c>
      <c r="Q413" s="112">
        <v>0</v>
      </c>
      <c r="R413" s="112">
        <v>0</v>
      </c>
      <c r="S413" s="112">
        <f>SUMIF('JUNE (물량흐름)'!$C$13:$C$493,'WIP(재공품)'!B413,'JUNE (물량흐름)'!$T$13:$T$493)+SUMIF('JUNE (물량흐름)'!$C$13:$C$493,'WIP(재공품)'!B413,'JUNE (물량흐름)'!$U$13:$U$493)+SUMIF('JUNE (물량흐름)'!$C$13:$C$493,'WIP(재공품)'!B413,'JUNE (물량흐름)'!$V$13:$V$493)-SUMIF('JUNE (물량흐름)'!$C$13:$C$493,'WIP(재공품)'!B413,'JUNE (물량흐름)'!$Y$13:$Y$493)</f>
        <v>1377</v>
      </c>
      <c r="T413" s="112">
        <f>SUMIF('JUNE (물량흐름)'!$C$13:$C$502,'WIP(재공품)'!B413,'JUNE (물량흐름)'!$Y$13:$Y$502)</f>
        <v>4</v>
      </c>
      <c r="U413" s="167">
        <f>SUMIF('Direct labour(직접노무비)'!$C$12:$C$503,'WIP(재공품)'!B413,'Direct labour(직접노무비)'!$U$12:$U$503)+SUMIF('Overhead exp(제조경비)'!$C$12:$C$503,'WIP(재공품)'!B413,'Overhead exp(제조경비)'!$U$12:$U$503)</f>
        <v>289097</v>
      </c>
      <c r="V413" s="112">
        <f>SUMIF('Direct labour(직접노무비)'!$C$12:$C$503,'WIP(재공품)'!B413,'Direct labour(직접노무비)'!$Q$12:$Q$503)</f>
        <v>33693395</v>
      </c>
      <c r="W413" s="112">
        <f>SUMIF('Overhead exp(제조경비)'!$C$12:$C$503,'WIP(재공품)'!B413,'Overhead exp(제조경비)'!$Q$12:$Q$503)</f>
        <v>65828079</v>
      </c>
      <c r="X413" s="112">
        <f t="shared" si="60"/>
        <v>99521474</v>
      </c>
      <c r="Y413" s="112">
        <f ca="1">ROUND(SUMIF('JUNE (물량흐름)'!$C$13:$C$502,'WIP(재공품)'!B413,'JUNE (물량흐름)'!$N$13:$N$488),0)</f>
        <v>0</v>
      </c>
      <c r="Z413" s="112">
        <f>ROUND(SUMIF('JUNE (물량흐름)'!$C$13:$C$502,'WIP(재공품)'!B413,'JUNE (물량흐름)'!$O$13:$O$502),0)</f>
        <v>10</v>
      </c>
      <c r="AA413" s="112">
        <f>ROUND(SUMIF('JUNE (물량흐름)'!$C$13:$C$502,'WIP(재공품)'!B413,'JUNE (물량흐름)'!$P$13:$P$502),0)</f>
        <v>250</v>
      </c>
      <c r="AB413" s="112">
        <f t="shared" ca="1" si="61"/>
        <v>260</v>
      </c>
      <c r="AC413" s="112">
        <f t="shared" si="62"/>
        <v>18791273</v>
      </c>
      <c r="AD413" s="381">
        <f t="shared" ca="1" si="63"/>
        <v>0</v>
      </c>
      <c r="AE413" s="381">
        <f t="shared" si="64"/>
        <v>0</v>
      </c>
      <c r="AF413" s="382"/>
      <c r="AG413" s="382"/>
      <c r="AH413" s="383"/>
      <c r="AI413" s="383"/>
      <c r="AJ413" s="383"/>
      <c r="AL413" s="385"/>
      <c r="AM413" s="381"/>
      <c r="AN413" s="382"/>
      <c r="AO413" s="382"/>
      <c r="AP413" s="383"/>
      <c r="AQ413" s="383"/>
    </row>
    <row r="414" spans="1:43" s="384" customFormat="1" ht="27" customHeight="1">
      <c r="A414" s="167">
        <v>424</v>
      </c>
      <c r="B414" s="240">
        <f>VLOOKUP(A414,'JUNE (물량흐름)'!$A$13:$C$502,3,0)</f>
        <v>100018250</v>
      </c>
      <c r="C414" s="21" t="str">
        <f>VLOOKUP(A414,'JUNE (물량흐름)'!$A$13:$C$502,2,0)</f>
        <v>ALFANI</v>
      </c>
      <c r="D414" s="212">
        <v>1.31</v>
      </c>
      <c r="E414" s="6">
        <f>VLOOKUP(B414,'Sales profit (스타일 별 매출이익)'!$D$9:$P$491,13,0)</f>
        <v>29704.25</v>
      </c>
      <c r="F414" s="112">
        <f>IFERROR(VLOOKUP(B414,O.B.JUNE!$N$7:$Q$448,2,0),0)</f>
        <v>0</v>
      </c>
      <c r="G414" s="112">
        <f>IFERROR(VLOOKUP(B414,O.B.JUNE!$N$7:$Q$448,3,0),0)</f>
        <v>467</v>
      </c>
      <c r="H414" s="112">
        <f>IFERROR(VLOOKUP(B414,O.B.JUNE!$N$7:$Q$448,4,0),0)</f>
        <v>363</v>
      </c>
      <c r="I414" s="112">
        <f t="shared" si="57"/>
        <v>830</v>
      </c>
      <c r="J414" s="112">
        <f>IFERROR(VLOOKUP(B414,O.B.JUNE!$AA$7:$AG$448,7,0),0)</f>
        <v>5872104</v>
      </c>
      <c r="K414" s="112">
        <f>IFERROR(VLOOKUP(B414,O.B.JUNE!$AI$7:$AO$448,7,0),0)</f>
        <v>11472554</v>
      </c>
      <c r="L414" s="112">
        <f t="shared" si="58"/>
        <v>17344658</v>
      </c>
      <c r="M414" s="112">
        <f>ROUND(SUMIF('JUNE (물량흐름)'!$C$13:$C$502,'WIP(재공품)'!B414,'JUNE (물량흐름)'!$H$13:$H$502)+SUMIF('JUNE (물량흐름)'!$C$13:$C$502,'WIP(재공품)'!B414,'JUNE (물량흐름)'!$V$13:$V$502),0)</f>
        <v>0</v>
      </c>
      <c r="N414" s="112">
        <f>SUMIF('Direct labour(직접노무비)'!$C$12:$C$503,'WIP(재공품)'!B414,'Direct labour(직접노무비)'!$O$12:$O$503)</f>
        <v>0</v>
      </c>
      <c r="O414" s="112">
        <f>SUMIF('Overhead exp(제조경비)'!$C$12:$C$503,'WIP(재공품)'!B414,'Overhead exp(제조경비)'!$O$12:$O$503)</f>
        <v>0</v>
      </c>
      <c r="P414" s="112">
        <f t="shared" si="59"/>
        <v>0</v>
      </c>
      <c r="Q414" s="112">
        <v>0</v>
      </c>
      <c r="R414" s="112">
        <v>0</v>
      </c>
      <c r="S414" s="112">
        <f>SUMIF('JUNE (물량흐름)'!$C$13:$C$493,'WIP(재공품)'!B414,'JUNE (물량흐름)'!$T$13:$T$493)+SUMIF('JUNE (물량흐름)'!$C$13:$C$493,'WIP(재공품)'!B414,'JUNE (물량흐름)'!$U$13:$U$493)+SUMIF('JUNE (물량흐름)'!$C$13:$C$493,'WIP(재공품)'!B414,'JUNE (물량흐름)'!$V$13:$V$493)-SUMIF('JUNE (물량흐름)'!$C$13:$C$493,'WIP(재공품)'!B414,'JUNE (물량흐름)'!$Y$13:$Y$493)</f>
        <v>603</v>
      </c>
      <c r="T414" s="112">
        <f>SUMIF('JUNE (물량흐름)'!$C$13:$C$502,'WIP(재공품)'!B414,'JUNE (물량흐름)'!$Y$13:$Y$502)</f>
        <v>0</v>
      </c>
      <c r="U414" s="167">
        <f>SUMIF('Direct labour(직접노무비)'!$C$12:$C$503,'WIP(재공품)'!B414,'Direct labour(직접노무비)'!$U$12:$U$503)+SUMIF('Overhead exp(제조경비)'!$C$12:$C$503,'WIP(재공품)'!B414,'Overhead exp(제조경비)'!$U$12:$U$503)</f>
        <v>0</v>
      </c>
      <c r="V414" s="112">
        <f>SUMIF('Direct labour(직접노무비)'!$C$12:$C$503,'WIP(재공품)'!B414,'Direct labour(직접노무비)'!$Q$12:$Q$503)</f>
        <v>4266119</v>
      </c>
      <c r="W414" s="112">
        <f>SUMIF('Overhead exp(제조경비)'!$C$12:$C$503,'WIP(재공품)'!B414,'Overhead exp(제조경비)'!$Q$12:$Q$503)</f>
        <v>8334880</v>
      </c>
      <c r="X414" s="112">
        <f t="shared" si="60"/>
        <v>12600999</v>
      </c>
      <c r="Y414" s="112">
        <f ca="1">ROUND(SUMIF('JUNE (물량흐름)'!$C$13:$C$502,'WIP(재공품)'!B414,'JUNE (물량흐름)'!$N$13:$N$488),0)</f>
        <v>0</v>
      </c>
      <c r="Z414" s="112">
        <f>ROUND(SUMIF('JUNE (물량흐름)'!$C$13:$C$502,'WIP(재공품)'!B414,'JUNE (물량흐름)'!$O$13:$O$502),0)</f>
        <v>144</v>
      </c>
      <c r="AA414" s="112">
        <f>ROUND(SUMIF('JUNE (물량흐름)'!$C$13:$C$502,'WIP(재공품)'!B414,'JUNE (물량흐름)'!$P$13:$P$502),0)</f>
        <v>83</v>
      </c>
      <c r="AB414" s="112">
        <f t="shared" ca="1" si="61"/>
        <v>227</v>
      </c>
      <c r="AC414" s="112">
        <f t="shared" si="62"/>
        <v>4743659</v>
      </c>
      <c r="AD414" s="381">
        <f t="shared" ca="1" si="63"/>
        <v>0</v>
      </c>
      <c r="AE414" s="381">
        <f t="shared" si="64"/>
        <v>0</v>
      </c>
      <c r="AF414" s="382"/>
      <c r="AG414" s="382"/>
      <c r="AH414" s="383"/>
      <c r="AI414" s="383"/>
      <c r="AJ414" s="383"/>
      <c r="AL414" s="385"/>
      <c r="AM414" s="381"/>
      <c r="AN414" s="382"/>
      <c r="AO414" s="382"/>
      <c r="AP414" s="383"/>
      <c r="AQ414" s="383"/>
    </row>
    <row r="415" spans="1:43" s="384" customFormat="1" ht="27" customHeight="1">
      <c r="A415" s="167">
        <v>425</v>
      </c>
      <c r="B415" s="240">
        <f>VLOOKUP(A415,'JUNE (물량흐름)'!$A$13:$C$502,3,0)</f>
        <v>100018251</v>
      </c>
      <c r="C415" s="21" t="str">
        <f>VLOOKUP(A415,'JUNE (물량흐름)'!$A$13:$C$502,2,0)</f>
        <v>ALFANI</v>
      </c>
      <c r="D415" s="212">
        <v>1.29</v>
      </c>
      <c r="E415" s="6">
        <f>VLOOKUP(B415,'Sales profit (스타일 별 매출이익)'!$D$9:$P$491,13,0)</f>
        <v>29250.75</v>
      </c>
      <c r="F415" s="112">
        <f>IFERROR(VLOOKUP(B415,O.B.JUNE!$N$7:$Q$448,2,0),0)</f>
        <v>0</v>
      </c>
      <c r="G415" s="112">
        <f>IFERROR(VLOOKUP(B415,O.B.JUNE!$N$7:$Q$448,3,0),0)</f>
        <v>0</v>
      </c>
      <c r="H415" s="112">
        <f>IFERROR(VLOOKUP(B415,O.B.JUNE!$N$7:$Q$448,4,0),0)</f>
        <v>294</v>
      </c>
      <c r="I415" s="112">
        <f t="shared" si="57"/>
        <v>294</v>
      </c>
      <c r="J415" s="112">
        <f>IFERROR(VLOOKUP(B415,O.B.JUNE!$AA$7:$AG$448,7,0),0)</f>
        <v>2125896</v>
      </c>
      <c r="K415" s="112">
        <f>IFERROR(VLOOKUP(B415,O.B.JUNE!$AI$7:$AO$448,7,0),0)</f>
        <v>4153445</v>
      </c>
      <c r="L415" s="112">
        <f t="shared" si="58"/>
        <v>6279341</v>
      </c>
      <c r="M415" s="112">
        <f>ROUND(SUMIF('JUNE (물량흐름)'!$C$13:$C$502,'WIP(재공품)'!B415,'JUNE (물량흐름)'!$H$13:$H$502)+SUMIF('JUNE (물량흐름)'!$C$13:$C$502,'WIP(재공품)'!B415,'JUNE (물량흐름)'!$V$13:$V$502),0)</f>
        <v>229</v>
      </c>
      <c r="N415" s="112">
        <f>SUMIF('Direct labour(직접노무비)'!$C$12:$C$503,'WIP(재공품)'!B415,'Direct labour(직접노무비)'!$O$12:$O$503)</f>
        <v>1764065</v>
      </c>
      <c r="O415" s="112">
        <f>SUMIF('Overhead exp(제조경비)'!$C$12:$C$503,'WIP(재공품)'!B415,'Overhead exp(제조경비)'!$O$12:$O$503)</f>
        <v>3446522</v>
      </c>
      <c r="P415" s="112">
        <f t="shared" si="59"/>
        <v>5210587</v>
      </c>
      <c r="Q415" s="112">
        <v>0</v>
      </c>
      <c r="R415" s="112">
        <v>0</v>
      </c>
      <c r="S415" s="112">
        <f>SUMIF('JUNE (물량흐름)'!$C$13:$C$493,'WIP(재공품)'!B415,'JUNE (물량흐름)'!$T$13:$T$493)+SUMIF('JUNE (물량흐름)'!$C$13:$C$493,'WIP(재공품)'!B415,'JUNE (물량흐름)'!$U$13:$U$493)+SUMIF('JUNE (물량흐름)'!$C$13:$C$493,'WIP(재공품)'!B415,'JUNE (물량흐름)'!$V$13:$V$493)-SUMIF('JUNE (물량흐름)'!$C$13:$C$493,'WIP(재공품)'!B415,'JUNE (물량흐름)'!$Y$13:$Y$493)</f>
        <v>207</v>
      </c>
      <c r="T415" s="112">
        <f>SUMIF('JUNE (물량흐름)'!$C$13:$C$502,'WIP(재공품)'!B415,'JUNE (물량흐름)'!$Y$13:$Y$502)</f>
        <v>0</v>
      </c>
      <c r="U415" s="167">
        <f>SUMIF('Direct labour(직접노무비)'!$C$12:$C$503,'WIP(재공품)'!B415,'Direct labour(직접노무비)'!$U$12:$U$503)+SUMIF('Overhead exp(제조경비)'!$C$12:$C$503,'WIP(재공품)'!B415,'Overhead exp(제조경비)'!$U$12:$U$503)</f>
        <v>0</v>
      </c>
      <c r="V415" s="112">
        <f>SUMIF('Direct labour(직접노무비)'!$C$12:$C$503,'WIP(재공품)'!B415,'Direct labour(직접노무비)'!$Q$12:$Q$503)</f>
        <v>1539621</v>
      </c>
      <c r="W415" s="112">
        <f>SUMIF('Overhead exp(제조경비)'!$C$12:$C$503,'WIP(재공품)'!B415,'Overhead exp(제조경비)'!$Q$12:$Q$503)</f>
        <v>3008018</v>
      </c>
      <c r="X415" s="112">
        <f t="shared" si="60"/>
        <v>4547639</v>
      </c>
      <c r="Y415" s="112">
        <f ca="1">ROUND(SUMIF('JUNE (물량흐름)'!$C$13:$C$502,'WIP(재공품)'!B415,'JUNE (물량흐름)'!$N$13:$N$488),0)</f>
        <v>0</v>
      </c>
      <c r="Z415" s="112">
        <f>ROUND(SUMIF('JUNE (물량흐름)'!$C$13:$C$502,'WIP(재공품)'!B415,'JUNE (물량흐름)'!$O$13:$O$502),0)</f>
        <v>101</v>
      </c>
      <c r="AA415" s="112">
        <f>ROUND(SUMIF('JUNE (물량흐름)'!$C$13:$C$502,'WIP(재공품)'!B415,'JUNE (물량흐름)'!$P$13:$P$502),0)</f>
        <v>215</v>
      </c>
      <c r="AB415" s="112">
        <f t="shared" ca="1" si="61"/>
        <v>316</v>
      </c>
      <c r="AC415" s="112">
        <f t="shared" si="62"/>
        <v>6942289</v>
      </c>
      <c r="AD415" s="381">
        <f t="shared" ca="1" si="63"/>
        <v>0</v>
      </c>
      <c r="AE415" s="381">
        <f t="shared" si="64"/>
        <v>0</v>
      </c>
      <c r="AF415" s="382"/>
      <c r="AG415" s="382"/>
      <c r="AH415" s="383"/>
      <c r="AI415" s="383"/>
      <c r="AJ415" s="383"/>
      <c r="AL415" s="385"/>
      <c r="AM415" s="381"/>
      <c r="AN415" s="382"/>
      <c r="AO415" s="382"/>
      <c r="AP415" s="383"/>
      <c r="AQ415" s="383"/>
    </row>
    <row r="416" spans="1:43" s="384" customFormat="1" ht="27" customHeight="1">
      <c r="A416" s="167">
        <v>426</v>
      </c>
      <c r="B416" s="240">
        <f>VLOOKUP(A416,'JUNE (물량흐름)'!$A$13:$C$502,3,0)</f>
        <v>100018252</v>
      </c>
      <c r="C416" s="21" t="str">
        <f>VLOOKUP(A416,'JUNE (물량흐름)'!$A$13:$C$502,2,0)</f>
        <v>ALFANI</v>
      </c>
      <c r="D416" s="212">
        <v>1.29</v>
      </c>
      <c r="E416" s="6">
        <f>VLOOKUP(B416,'Sales profit (스타일 별 매출이익)'!$D$9:$P$491,13,0)</f>
        <v>29250.75</v>
      </c>
      <c r="F416" s="112">
        <f>IFERROR(VLOOKUP(B416,O.B.JUNE!$N$7:$Q$448,2,0),0)</f>
        <v>0</v>
      </c>
      <c r="G416" s="112">
        <f>IFERROR(VLOOKUP(B416,O.B.JUNE!$N$7:$Q$448,3,0),0)</f>
        <v>3</v>
      </c>
      <c r="H416" s="112">
        <f>IFERROR(VLOOKUP(B416,O.B.JUNE!$N$7:$Q$448,4,0),0)</f>
        <v>90</v>
      </c>
      <c r="I416" s="112">
        <f t="shared" si="57"/>
        <v>93</v>
      </c>
      <c r="J416" s="112">
        <f>IFERROR(VLOOKUP(B416,O.B.JUNE!$AA$7:$AG$448,7,0),0)</f>
        <v>678819</v>
      </c>
      <c r="K416" s="112">
        <f>IFERROR(VLOOKUP(B416,O.B.JUNE!$AI$7:$AO$448,7,0),0)</f>
        <v>1326233</v>
      </c>
      <c r="L416" s="112">
        <f t="shared" si="58"/>
        <v>2005052</v>
      </c>
      <c r="M416" s="112">
        <f>ROUND(SUMIF('JUNE (물량흐름)'!$C$13:$C$502,'WIP(재공품)'!B416,'JUNE (물량흐름)'!$H$13:$H$502)+SUMIF('JUNE (물량흐름)'!$C$13:$C$502,'WIP(재공품)'!B416,'JUNE (물량흐름)'!$V$13:$V$502),0)</f>
        <v>0</v>
      </c>
      <c r="N416" s="112">
        <f>SUMIF('Direct labour(직접노무비)'!$C$12:$C$503,'WIP(재공품)'!B416,'Direct labour(직접노무비)'!$O$12:$O$503)</f>
        <v>0</v>
      </c>
      <c r="O416" s="112">
        <f>SUMIF('Overhead exp(제조경비)'!$C$12:$C$503,'WIP(재공품)'!B416,'Overhead exp(제조경비)'!$O$12:$O$503)</f>
        <v>0</v>
      </c>
      <c r="P416" s="112">
        <f t="shared" si="59"/>
        <v>0</v>
      </c>
      <c r="Q416" s="112">
        <v>0</v>
      </c>
      <c r="R416" s="112">
        <v>0</v>
      </c>
      <c r="S416" s="112">
        <f>SUMIF('JUNE (물량흐름)'!$C$13:$C$493,'WIP(재공품)'!B416,'JUNE (물량흐름)'!$T$13:$T$493)+SUMIF('JUNE (물량흐름)'!$C$13:$C$493,'WIP(재공품)'!B416,'JUNE (물량흐름)'!$U$13:$U$493)+SUMIF('JUNE (물량흐름)'!$C$13:$C$493,'WIP(재공품)'!B416,'JUNE (물량흐름)'!$V$13:$V$493)-SUMIF('JUNE (물량흐름)'!$C$13:$C$493,'WIP(재공품)'!B416,'JUNE (물량흐름)'!$Y$13:$Y$493)</f>
        <v>45</v>
      </c>
      <c r="T416" s="112">
        <f>SUMIF('JUNE (물량흐름)'!$C$13:$C$502,'WIP(재공품)'!B416,'JUNE (물량흐름)'!$Y$13:$Y$502)</f>
        <v>2</v>
      </c>
      <c r="U416" s="167">
        <f>SUMIF('Direct labour(직접노무비)'!$C$12:$C$503,'WIP(재공품)'!B416,'Direct labour(직접노무비)'!$U$12:$U$503)+SUMIF('Overhead exp(제조경비)'!$C$12:$C$503,'WIP(재공품)'!B416,'Overhead exp(제조경비)'!$U$12:$U$503)</f>
        <v>43119</v>
      </c>
      <c r="V416" s="112">
        <f>SUMIF('Direct labour(직접노무비)'!$C$12:$C$503,'WIP(재공품)'!B416,'Direct labour(직접노무비)'!$Q$12:$Q$503)</f>
        <v>328461</v>
      </c>
      <c r="W416" s="112">
        <f>SUMIF('Overhead exp(제조경비)'!$C$12:$C$503,'WIP(재공품)'!B416,'Overhead exp(제조경비)'!$Q$12:$Q$503)</f>
        <v>641726</v>
      </c>
      <c r="X416" s="112">
        <f t="shared" si="60"/>
        <v>970187</v>
      </c>
      <c r="Y416" s="112">
        <f ca="1">ROUND(SUMIF('JUNE (물량흐름)'!$C$13:$C$502,'WIP(재공품)'!B416,'JUNE (물량흐름)'!$N$13:$N$488),0)</f>
        <v>0</v>
      </c>
      <c r="Z416" s="112">
        <f>ROUND(SUMIF('JUNE (물량흐름)'!$C$13:$C$502,'WIP(재공품)'!B416,'JUNE (물량흐름)'!$O$13:$O$502),0)</f>
        <v>3</v>
      </c>
      <c r="AA416" s="112">
        <f>ROUND(SUMIF('JUNE (물량흐름)'!$C$13:$C$502,'WIP(재공품)'!B416,'JUNE (물량흐름)'!$P$13:$P$502),0)</f>
        <v>43</v>
      </c>
      <c r="AB416" s="112">
        <f t="shared" ca="1" si="61"/>
        <v>46</v>
      </c>
      <c r="AC416" s="112">
        <f t="shared" si="62"/>
        <v>991746</v>
      </c>
      <c r="AD416" s="381">
        <f t="shared" ca="1" si="63"/>
        <v>0</v>
      </c>
      <c r="AE416" s="381">
        <f t="shared" si="64"/>
        <v>0</v>
      </c>
      <c r="AF416" s="382"/>
      <c r="AG416" s="382"/>
      <c r="AH416" s="383"/>
      <c r="AI416" s="383"/>
      <c r="AJ416" s="383"/>
      <c r="AL416" s="385"/>
      <c r="AM416" s="381"/>
      <c r="AN416" s="382"/>
      <c r="AO416" s="382"/>
      <c r="AP416" s="383"/>
      <c r="AQ416" s="383"/>
    </row>
    <row r="417" spans="1:43" s="384" customFormat="1" ht="27" customHeight="1">
      <c r="A417" s="167">
        <v>427</v>
      </c>
      <c r="B417" s="240">
        <f>VLOOKUP(A417,'JUNE (물량흐름)'!$A$13:$C$502,3,0)</f>
        <v>100018257</v>
      </c>
      <c r="C417" s="21" t="str">
        <f>VLOOKUP(A417,'JUNE (물량흐름)'!$A$13:$C$502,2,0)</f>
        <v>ALFANI</v>
      </c>
      <c r="D417" s="212">
        <v>1.96</v>
      </c>
      <c r="E417" s="6">
        <f>VLOOKUP(B417,'Sales profit (스타일 별 매출이익)'!$D$9:$P$491,13,0)</f>
        <v>44443</v>
      </c>
      <c r="F417" s="112">
        <f>IFERROR(VLOOKUP(B417,O.B.JUNE!$N$7:$Q$448,2,0),0)</f>
        <v>0</v>
      </c>
      <c r="G417" s="112">
        <f>IFERROR(VLOOKUP(B417,O.B.JUNE!$N$7:$Q$448,3,0),0)</f>
        <v>67</v>
      </c>
      <c r="H417" s="112">
        <f>IFERROR(VLOOKUP(B417,O.B.JUNE!$N$7:$Q$448,4,0),0)</f>
        <v>2346</v>
      </c>
      <c r="I417" s="112">
        <f t="shared" si="57"/>
        <v>2413</v>
      </c>
      <c r="J417" s="112">
        <f>IFERROR(VLOOKUP(B417,O.B.JUNE!$AA$7:$AG$448,7,0),0)</f>
        <v>25381665</v>
      </c>
      <c r="K417" s="112">
        <f>IFERROR(VLOOKUP(B417,O.B.JUNE!$AI$7:$AO$448,7,0),0)</f>
        <v>49589135</v>
      </c>
      <c r="L417" s="112">
        <f t="shared" si="58"/>
        <v>74970800</v>
      </c>
      <c r="M417" s="112">
        <f>ROUND(SUMIF('JUNE (물량흐름)'!$C$13:$C$502,'WIP(재공품)'!B417,'JUNE (물량흐름)'!$H$13:$H$502)+SUMIF('JUNE (물량흐름)'!$C$13:$C$502,'WIP(재공품)'!B417,'JUNE (물량흐름)'!$V$13:$V$502),0)</f>
        <v>226</v>
      </c>
      <c r="N417" s="112">
        <f>SUMIF('Direct labour(직접노무비)'!$C$12:$C$503,'WIP(재공품)'!B417,'Direct labour(직접노무비)'!$O$12:$O$503)</f>
        <v>9621536</v>
      </c>
      <c r="O417" s="112">
        <f>SUMIF('Overhead exp(제조경비)'!$C$12:$C$503,'WIP(재공품)'!B417,'Overhead exp(제조경비)'!$O$12:$O$503)</f>
        <v>18797964</v>
      </c>
      <c r="P417" s="112">
        <f t="shared" si="59"/>
        <v>28419500</v>
      </c>
      <c r="Q417" s="112">
        <v>0</v>
      </c>
      <c r="R417" s="112">
        <v>0</v>
      </c>
      <c r="S417" s="112">
        <f>SUMIF('JUNE (물량흐름)'!$C$13:$C$493,'WIP(재공품)'!B417,'JUNE (물량흐름)'!$T$13:$T$493)+SUMIF('JUNE (물량흐름)'!$C$13:$C$493,'WIP(재공품)'!B417,'JUNE (물량흐름)'!$U$13:$U$493)+SUMIF('JUNE (물량흐름)'!$C$13:$C$493,'WIP(재공품)'!B417,'JUNE (물량흐름)'!$V$13:$V$493)-SUMIF('JUNE (물량흐름)'!$C$13:$C$493,'WIP(재공품)'!B417,'JUNE (물량흐름)'!$Y$13:$Y$493)</f>
        <v>2580</v>
      </c>
      <c r="T417" s="112">
        <f>SUMIF('JUNE (물량흐름)'!$C$13:$C$502,'WIP(재공품)'!B417,'JUNE (물량흐름)'!$Y$13:$Y$502)</f>
        <v>0</v>
      </c>
      <c r="U417" s="167">
        <f>SUMIF('Direct labour(직접노무비)'!$C$12:$C$503,'WIP(재공품)'!B417,'Direct labour(직접노무비)'!$U$12:$U$503)+SUMIF('Overhead exp(제조경비)'!$C$12:$C$503,'WIP(재공품)'!B417,'Overhead exp(제조경비)'!$U$12:$U$503)</f>
        <v>0</v>
      </c>
      <c r="V417" s="112">
        <f>SUMIF('Direct labour(직접노무비)'!$C$12:$C$503,'WIP(재공품)'!B417,'Direct labour(직접노무비)'!$Q$12:$Q$503)</f>
        <v>34220636</v>
      </c>
      <c r="W417" s="112">
        <f>SUMIF('Overhead exp(제조경비)'!$C$12:$C$503,'WIP(재공품)'!B417,'Overhead exp(제조경비)'!$Q$12:$Q$503)</f>
        <v>66858172</v>
      </c>
      <c r="X417" s="112">
        <f t="shared" si="60"/>
        <v>101078808</v>
      </c>
      <c r="Y417" s="112">
        <f ca="1">ROUND(SUMIF('JUNE (물량흐름)'!$C$13:$C$502,'WIP(재공품)'!B417,'JUNE (물량흐름)'!$N$13:$N$488),0)</f>
        <v>0</v>
      </c>
      <c r="Z417" s="112">
        <f>ROUND(SUMIF('JUNE (물량흐름)'!$C$13:$C$502,'WIP(재공품)'!B417,'JUNE (물량흐름)'!$O$13:$O$502),0)</f>
        <v>58</v>
      </c>
      <c r="AA417" s="112">
        <f>ROUND(SUMIF('JUNE (물량흐름)'!$C$13:$C$502,'WIP(재공품)'!B417,'JUNE (물량흐름)'!$P$13:$P$502),0)</f>
        <v>1</v>
      </c>
      <c r="AB417" s="112">
        <f t="shared" ca="1" si="61"/>
        <v>59</v>
      </c>
      <c r="AC417" s="112">
        <f t="shared" si="62"/>
        <v>2311492</v>
      </c>
      <c r="AD417" s="381">
        <f t="shared" ca="1" si="63"/>
        <v>0</v>
      </c>
      <c r="AE417" s="381">
        <f t="shared" si="64"/>
        <v>0</v>
      </c>
      <c r="AF417" s="382"/>
      <c r="AG417" s="382"/>
      <c r="AH417" s="383"/>
      <c r="AI417" s="383"/>
      <c r="AJ417" s="383"/>
      <c r="AL417" s="385"/>
      <c r="AM417" s="381"/>
      <c r="AN417" s="382"/>
      <c r="AO417" s="382"/>
      <c r="AP417" s="383"/>
      <c r="AQ417" s="383"/>
    </row>
    <row r="418" spans="1:43" s="384" customFormat="1" ht="27" customHeight="1">
      <c r="A418" s="167">
        <v>428</v>
      </c>
      <c r="B418" s="240">
        <f>VLOOKUP(A418,'JUNE (물량흐름)'!$A$13:$C$502,3,0)</f>
        <v>100018258</v>
      </c>
      <c r="C418" s="21" t="str">
        <f>VLOOKUP(A418,'JUNE (물량흐름)'!$A$13:$C$502,2,0)</f>
        <v>ALFANI</v>
      </c>
      <c r="D418" s="212">
        <v>1.96</v>
      </c>
      <c r="E418" s="6">
        <f>VLOOKUP(B418,'Sales profit (스타일 별 매출이익)'!$D$9:$P$491,13,0)</f>
        <v>44443</v>
      </c>
      <c r="F418" s="112">
        <f>IFERROR(VLOOKUP(B418,O.B.JUNE!$N$7:$Q$448,2,0),0)</f>
        <v>0</v>
      </c>
      <c r="G418" s="112">
        <f>IFERROR(VLOOKUP(B418,O.B.JUNE!$N$7:$Q$448,3,0),0)</f>
        <v>217</v>
      </c>
      <c r="H418" s="112">
        <f>IFERROR(VLOOKUP(B418,O.B.JUNE!$N$7:$Q$448,4,0),0)</f>
        <v>454</v>
      </c>
      <c r="I418" s="112">
        <f t="shared" si="57"/>
        <v>671</v>
      </c>
      <c r="J418" s="112">
        <f>IFERROR(VLOOKUP(B418,O.B.JUNE!$AA$7:$AG$448,7,0),0)</f>
        <v>7748097</v>
      </c>
      <c r="K418" s="112">
        <f>IFERROR(VLOOKUP(B418,O.B.JUNE!$AI$7:$AO$448,7,0),0)</f>
        <v>15137754</v>
      </c>
      <c r="L418" s="112">
        <f t="shared" si="58"/>
        <v>22885851</v>
      </c>
      <c r="M418" s="112">
        <f>ROUND(SUMIF('JUNE (물량흐름)'!$C$13:$C$502,'WIP(재공품)'!B418,'JUNE (물량흐름)'!$H$13:$H$502)+SUMIF('JUNE (물량흐름)'!$C$13:$C$502,'WIP(재공품)'!B418,'JUNE (물량흐름)'!$V$13:$V$502),0)</f>
        <v>0</v>
      </c>
      <c r="N418" s="112">
        <f>SUMIF('Direct labour(직접노무비)'!$C$12:$C$503,'WIP(재공품)'!B418,'Direct labour(직접노무비)'!$O$12:$O$503)</f>
        <v>0</v>
      </c>
      <c r="O418" s="112">
        <f>SUMIF('Overhead exp(제조경비)'!$C$12:$C$503,'WIP(재공품)'!B418,'Overhead exp(제조경비)'!$O$12:$O$503)</f>
        <v>0</v>
      </c>
      <c r="P418" s="112">
        <f t="shared" si="59"/>
        <v>0</v>
      </c>
      <c r="Q418" s="112">
        <v>0</v>
      </c>
      <c r="R418" s="112">
        <v>0</v>
      </c>
      <c r="S418" s="112">
        <f>SUMIF('JUNE (물량흐름)'!$C$13:$C$493,'WIP(재공품)'!B418,'JUNE (물량흐름)'!$T$13:$T$493)+SUMIF('JUNE (물량흐름)'!$C$13:$C$493,'WIP(재공품)'!B418,'JUNE (물량흐름)'!$U$13:$U$493)+SUMIF('JUNE (물량흐름)'!$C$13:$C$493,'WIP(재공품)'!B418,'JUNE (물량흐름)'!$V$13:$V$493)-SUMIF('JUNE (물량흐름)'!$C$13:$C$493,'WIP(재공품)'!B418,'JUNE (물량흐름)'!$Y$13:$Y$493)</f>
        <v>500</v>
      </c>
      <c r="T418" s="112">
        <f>SUMIF('JUNE (물량흐름)'!$C$13:$C$502,'WIP(재공품)'!B418,'JUNE (물량흐름)'!$Y$13:$Y$502)</f>
        <v>1</v>
      </c>
      <c r="U418" s="167">
        <f>SUMIF('Direct labour(직접노무비)'!$C$12:$C$503,'WIP(재공품)'!B418,'Direct labour(직접노무비)'!$U$12:$U$503)+SUMIF('Overhead exp(제조경비)'!$C$12:$C$503,'WIP(재공품)'!B418,'Overhead exp(제조경비)'!$U$12:$U$503)</f>
        <v>34107</v>
      </c>
      <c r="V418" s="112">
        <f>SUMIF('Direct labour(직접노무비)'!$C$12:$C$503,'WIP(재공품)'!B418,'Direct labour(직접노무비)'!$Q$12:$Q$503)</f>
        <v>5773545</v>
      </c>
      <c r="W418" s="112">
        <f>SUMIF('Overhead exp(제조경비)'!$C$12:$C$503,'WIP(재공품)'!B418,'Overhead exp(제조경비)'!$Q$12:$Q$503)</f>
        <v>11279996</v>
      </c>
      <c r="X418" s="112">
        <f t="shared" si="60"/>
        <v>17053541</v>
      </c>
      <c r="Y418" s="112">
        <f ca="1">ROUND(SUMIF('JUNE (물량흐름)'!$C$13:$C$502,'WIP(재공품)'!B418,'JUNE (물량흐름)'!$N$13:$N$488),0)</f>
        <v>0</v>
      </c>
      <c r="Z418" s="112">
        <f>ROUND(SUMIF('JUNE (물량흐름)'!$C$13:$C$502,'WIP(재공품)'!B418,'JUNE (물량흐름)'!$O$13:$O$502),0)</f>
        <v>37</v>
      </c>
      <c r="AA418" s="112">
        <f>ROUND(SUMIF('JUNE (물량흐름)'!$C$13:$C$502,'WIP(재공품)'!B418,'JUNE (물량흐름)'!$P$13:$P$502),0)</f>
        <v>133</v>
      </c>
      <c r="AB418" s="112">
        <f t="shared" ca="1" si="61"/>
        <v>170</v>
      </c>
      <c r="AC418" s="112">
        <f t="shared" si="62"/>
        <v>5798203</v>
      </c>
      <c r="AD418" s="381">
        <f t="shared" ca="1" si="63"/>
        <v>0</v>
      </c>
      <c r="AE418" s="381">
        <f t="shared" si="64"/>
        <v>0</v>
      </c>
      <c r="AF418" s="382"/>
      <c r="AG418" s="382"/>
      <c r="AH418" s="383"/>
      <c r="AI418" s="383"/>
      <c r="AJ418" s="383"/>
      <c r="AL418" s="385"/>
      <c r="AM418" s="381"/>
      <c r="AN418" s="382"/>
      <c r="AO418" s="382"/>
      <c r="AP418" s="383"/>
      <c r="AQ418" s="383"/>
    </row>
    <row r="419" spans="1:43" s="384" customFormat="1" ht="27" customHeight="1">
      <c r="A419" s="167">
        <v>429</v>
      </c>
      <c r="B419" s="240">
        <f>VLOOKUP(A419,'JUNE (물량흐름)'!$A$13:$C$502,3,0)</f>
        <v>100018259</v>
      </c>
      <c r="C419" s="21" t="str">
        <f>VLOOKUP(A419,'JUNE (물량흐름)'!$A$13:$C$502,2,0)</f>
        <v>ALFANI</v>
      </c>
      <c r="D419" s="212">
        <v>1.97</v>
      </c>
      <c r="E419" s="6">
        <f>VLOOKUP(B419,'Sales profit (스타일 별 매출이익)'!$D$9:$P$491,13,0)</f>
        <v>44669.75</v>
      </c>
      <c r="F419" s="112">
        <f>IFERROR(VLOOKUP(B419,O.B.JUNE!$N$7:$Q$448,2,0),0)</f>
        <v>0</v>
      </c>
      <c r="G419" s="112">
        <f>IFERROR(VLOOKUP(B419,O.B.JUNE!$N$7:$Q$448,3,0),0)</f>
        <v>26</v>
      </c>
      <c r="H419" s="112">
        <f>IFERROR(VLOOKUP(B419,O.B.JUNE!$N$7:$Q$448,4,0),0)</f>
        <v>0</v>
      </c>
      <c r="I419" s="112">
        <f t="shared" si="57"/>
        <v>26</v>
      </c>
      <c r="J419" s="112">
        <f>IFERROR(VLOOKUP(B419,O.B.JUNE!$AA$7:$AG$448,7,0),0)</f>
        <v>306526</v>
      </c>
      <c r="K419" s="112">
        <f>IFERROR(VLOOKUP(B419,O.B.JUNE!$AI$7:$AO$448,7,0),0)</f>
        <v>598872</v>
      </c>
      <c r="L419" s="112">
        <f t="shared" si="58"/>
        <v>905398</v>
      </c>
      <c r="M419" s="112">
        <f>ROUND(SUMIF('JUNE (물량흐름)'!$C$13:$C$502,'WIP(재공품)'!B419,'JUNE (물량흐름)'!$H$13:$H$502)+SUMIF('JUNE (물량흐름)'!$C$13:$C$502,'WIP(재공품)'!B419,'JUNE (물량흐름)'!$V$13:$V$502),0)</f>
        <v>0</v>
      </c>
      <c r="N419" s="112">
        <f>SUMIF('Direct labour(직접노무비)'!$C$12:$C$503,'WIP(재공품)'!B419,'Direct labour(직접노무비)'!$O$12:$O$503)</f>
        <v>0</v>
      </c>
      <c r="O419" s="112">
        <f>SUMIF('Overhead exp(제조경비)'!$C$12:$C$503,'WIP(재공품)'!B419,'Overhead exp(제조경비)'!$O$12:$O$503)</f>
        <v>0</v>
      </c>
      <c r="P419" s="112">
        <f t="shared" si="59"/>
        <v>0</v>
      </c>
      <c r="Q419" s="112">
        <v>0</v>
      </c>
      <c r="R419" s="112">
        <v>0</v>
      </c>
      <c r="S419" s="112">
        <f>SUMIF('JUNE (물량흐름)'!$C$13:$C$493,'WIP(재공품)'!B419,'JUNE (물량흐름)'!$T$13:$T$493)+SUMIF('JUNE (물량흐름)'!$C$13:$C$493,'WIP(재공품)'!B419,'JUNE (물량흐름)'!$U$13:$U$493)+SUMIF('JUNE (물량흐름)'!$C$13:$C$493,'WIP(재공품)'!B419,'JUNE (물량흐름)'!$V$13:$V$493)-SUMIF('JUNE (물량흐름)'!$C$13:$C$493,'WIP(재공품)'!B419,'JUNE (물량흐름)'!$Y$13:$Y$493)</f>
        <v>0</v>
      </c>
      <c r="T419" s="112">
        <f>SUMIF('JUNE (물량흐름)'!$C$13:$C$502,'WIP(재공품)'!B419,'JUNE (물량흐름)'!$Y$13:$Y$502)</f>
        <v>0</v>
      </c>
      <c r="U419" s="167">
        <f>SUMIF('Direct labour(직접노무비)'!$C$12:$C$503,'WIP(재공품)'!B419,'Direct labour(직접노무비)'!$U$12:$U$503)+SUMIF('Overhead exp(제조경비)'!$C$12:$C$503,'WIP(재공품)'!B419,'Overhead exp(제조경비)'!$U$12:$U$503)</f>
        <v>0</v>
      </c>
      <c r="V419" s="112">
        <f>SUMIF('Direct labour(직접노무비)'!$C$12:$C$503,'WIP(재공품)'!B419,'Direct labour(직접노무비)'!$Q$12:$Q$503)</f>
        <v>0</v>
      </c>
      <c r="W419" s="112">
        <f>SUMIF('Overhead exp(제조경비)'!$C$12:$C$503,'WIP(재공품)'!B419,'Overhead exp(제조경비)'!$Q$12:$Q$503)</f>
        <v>0</v>
      </c>
      <c r="X419" s="112">
        <f t="shared" si="60"/>
        <v>0</v>
      </c>
      <c r="Y419" s="112">
        <f ca="1">ROUND(SUMIF('JUNE (물량흐름)'!$C$13:$C$502,'WIP(재공품)'!B419,'JUNE (물량흐름)'!$N$13:$N$488),0)</f>
        <v>0</v>
      </c>
      <c r="Z419" s="112">
        <f>ROUND(SUMIF('JUNE (물량흐름)'!$C$13:$C$502,'WIP(재공품)'!B419,'JUNE (물량흐름)'!$O$13:$O$502),0)</f>
        <v>26</v>
      </c>
      <c r="AA419" s="112">
        <f>ROUND(SUMIF('JUNE (물량흐름)'!$C$13:$C$502,'WIP(재공품)'!B419,'JUNE (물량흐름)'!$P$13:$P$502),0)</f>
        <v>0</v>
      </c>
      <c r="AB419" s="112">
        <f t="shared" ca="1" si="61"/>
        <v>26</v>
      </c>
      <c r="AC419" s="112">
        <f t="shared" si="62"/>
        <v>905398</v>
      </c>
      <c r="AD419" s="381">
        <f t="shared" ca="1" si="63"/>
        <v>0</v>
      </c>
      <c r="AE419" s="381">
        <f t="shared" si="64"/>
        <v>0</v>
      </c>
      <c r="AF419" s="382"/>
      <c r="AG419" s="382"/>
      <c r="AH419" s="383"/>
      <c r="AI419" s="383"/>
      <c r="AJ419" s="383"/>
      <c r="AL419" s="385"/>
      <c r="AM419" s="381"/>
      <c r="AN419" s="382"/>
      <c r="AO419" s="382"/>
      <c r="AP419" s="383"/>
      <c r="AQ419" s="383"/>
    </row>
    <row r="420" spans="1:43" s="384" customFormat="1" ht="27" customHeight="1">
      <c r="A420" s="167">
        <v>430</v>
      </c>
      <c r="B420" s="240">
        <f>VLOOKUP(A420,'JUNE (물량흐름)'!$A$13:$C$502,3,0)</f>
        <v>100018260</v>
      </c>
      <c r="C420" s="21" t="str">
        <f>VLOOKUP(A420,'JUNE (물량흐름)'!$A$13:$C$502,2,0)</f>
        <v>ALFANI</v>
      </c>
      <c r="D420" s="212">
        <v>2.0699999999999998</v>
      </c>
      <c r="E420" s="6">
        <f>VLOOKUP(B420,'Sales profit (스타일 별 매출이익)'!$D$9:$P$491,13,0)</f>
        <v>46937.25</v>
      </c>
      <c r="F420" s="112">
        <f>IFERROR(VLOOKUP(B420,O.B.JUNE!$N$7:$Q$448,2,0),0)</f>
        <v>0</v>
      </c>
      <c r="G420" s="112">
        <f>IFERROR(VLOOKUP(B420,O.B.JUNE!$N$7:$Q$448,3,0),0)</f>
        <v>992</v>
      </c>
      <c r="H420" s="112">
        <f>IFERROR(VLOOKUP(B420,O.B.JUNE!$N$7:$Q$448,4,0),0)</f>
        <v>360</v>
      </c>
      <c r="I420" s="112">
        <f t="shared" si="57"/>
        <v>1352</v>
      </c>
      <c r="J420" s="112">
        <f>IFERROR(VLOOKUP(B420,O.B.JUNE!$AA$7:$AG$448,7,0),0)</f>
        <v>9886976</v>
      </c>
      <c r="K420" s="112">
        <f>IFERROR(VLOOKUP(B420,O.B.JUNE!$AI$7:$AO$448,7,0),0)</f>
        <v>19316565</v>
      </c>
      <c r="L420" s="112">
        <f t="shared" si="58"/>
        <v>29203541</v>
      </c>
      <c r="M420" s="112">
        <f>ROUND(SUMIF('JUNE (물량흐름)'!$C$13:$C$502,'WIP(재공품)'!B420,'JUNE (물량흐름)'!$H$13:$H$502)+SUMIF('JUNE (물량흐름)'!$C$13:$C$502,'WIP(재공품)'!B420,'JUNE (물량흐름)'!$V$13:$V$502),0)</f>
        <v>0</v>
      </c>
      <c r="N420" s="112">
        <f>SUMIF('Direct labour(직접노무비)'!$C$12:$C$503,'WIP(재공품)'!B420,'Direct labour(직접노무비)'!$O$12:$O$503)</f>
        <v>0</v>
      </c>
      <c r="O420" s="112">
        <f>SUMIF('Overhead exp(제조경비)'!$C$12:$C$503,'WIP(재공품)'!B420,'Overhead exp(제조경비)'!$O$12:$O$503)</f>
        <v>0</v>
      </c>
      <c r="P420" s="112">
        <f t="shared" si="59"/>
        <v>0</v>
      </c>
      <c r="Q420" s="112">
        <v>0</v>
      </c>
      <c r="R420" s="112">
        <v>0</v>
      </c>
      <c r="S420" s="112">
        <f>SUMIF('JUNE (물량흐름)'!$C$13:$C$493,'WIP(재공품)'!B420,'JUNE (물량흐름)'!$T$13:$T$493)+SUMIF('JUNE (물량흐름)'!$C$13:$C$493,'WIP(재공품)'!B420,'JUNE (물량흐름)'!$U$13:$U$493)+SUMIF('JUNE (물량흐름)'!$C$13:$C$493,'WIP(재공품)'!B420,'JUNE (물량흐름)'!$V$13:$V$493)-SUMIF('JUNE (물량흐름)'!$C$13:$C$493,'WIP(재공품)'!B420,'JUNE (물량흐름)'!$Y$13:$Y$493)</f>
        <v>1310</v>
      </c>
      <c r="T420" s="112">
        <f>SUMIF('JUNE (물량흐름)'!$C$13:$C$502,'WIP(재공품)'!B420,'JUNE (물량흐름)'!$Y$13:$Y$502)</f>
        <v>0</v>
      </c>
      <c r="U420" s="167">
        <f>SUMIF('Direct labour(직접노무비)'!$C$12:$C$503,'WIP(재공품)'!B420,'Direct labour(직접노무비)'!$U$12:$U$503)+SUMIF('Overhead exp(제조경비)'!$C$12:$C$503,'WIP(재공품)'!B420,'Overhead exp(제조경비)'!$U$12:$U$503)</f>
        <v>0</v>
      </c>
      <c r="V420" s="112">
        <f>SUMIF('Direct labour(직접노무비)'!$C$12:$C$503,'WIP(재공품)'!B420,'Direct labour(직접노무비)'!$Q$12:$Q$503)</f>
        <v>9579836</v>
      </c>
      <c r="W420" s="112">
        <f>SUMIF('Overhead exp(제조경비)'!$C$12:$C$503,'WIP(재공품)'!B420,'Overhead exp(제조경비)'!$Q$12:$Q$503)</f>
        <v>18716494</v>
      </c>
      <c r="X420" s="112">
        <f t="shared" si="60"/>
        <v>28296330</v>
      </c>
      <c r="Y420" s="112">
        <f ca="1">ROUND(SUMIF('JUNE (물량흐름)'!$C$13:$C$502,'WIP(재공품)'!B420,'JUNE (물량흐름)'!$N$13:$N$488),0)</f>
        <v>0</v>
      </c>
      <c r="Z420" s="112">
        <f>ROUND(SUMIF('JUNE (물량흐름)'!$C$13:$C$502,'WIP(재공품)'!B420,'JUNE (물량흐름)'!$O$13:$O$502),0)</f>
        <v>0</v>
      </c>
      <c r="AA420" s="112">
        <f>ROUND(SUMIF('JUNE (물량흐름)'!$C$13:$C$502,'WIP(재공품)'!B420,'JUNE (물량흐름)'!$P$13:$P$502),0)</f>
        <v>42</v>
      </c>
      <c r="AB420" s="112">
        <f t="shared" ca="1" si="61"/>
        <v>42</v>
      </c>
      <c r="AC420" s="112">
        <f t="shared" si="62"/>
        <v>907211</v>
      </c>
      <c r="AD420" s="381">
        <f t="shared" ca="1" si="63"/>
        <v>0</v>
      </c>
      <c r="AE420" s="381">
        <f t="shared" si="64"/>
        <v>0</v>
      </c>
      <c r="AF420" s="382"/>
      <c r="AG420" s="382"/>
      <c r="AH420" s="383"/>
      <c r="AI420" s="383"/>
      <c r="AJ420" s="383"/>
      <c r="AL420" s="385"/>
      <c r="AM420" s="381"/>
      <c r="AN420" s="382"/>
      <c r="AO420" s="382"/>
      <c r="AP420" s="383"/>
      <c r="AQ420" s="383"/>
    </row>
    <row r="421" spans="1:43" s="384" customFormat="1" ht="27" customHeight="1">
      <c r="A421" s="167">
        <v>431</v>
      </c>
      <c r="B421" s="240">
        <f>VLOOKUP(A421,'JUNE (물량흐름)'!$A$13:$C$502,3,0)</f>
        <v>100024706</v>
      </c>
      <c r="C421" s="21" t="str">
        <f>VLOOKUP(A421,'JUNE (물량흐름)'!$A$13:$C$502,2,0)</f>
        <v>ALFANI</v>
      </c>
      <c r="D421" s="212">
        <v>1.24</v>
      </c>
      <c r="E421" s="6">
        <f>VLOOKUP(B421,'Sales profit (스타일 별 매출이익)'!$D$9:$P$491,13,0)</f>
        <v>28117</v>
      </c>
      <c r="F421" s="112">
        <f>IFERROR(VLOOKUP(B421,O.B.JUNE!$N$7:$Q$448,2,0),0)</f>
        <v>0</v>
      </c>
      <c r="G421" s="112">
        <f>IFERROR(VLOOKUP(B421,O.B.JUNE!$N$7:$Q$448,3,0),0)</f>
        <v>171</v>
      </c>
      <c r="H421" s="112">
        <f>IFERROR(VLOOKUP(B421,O.B.JUNE!$N$7:$Q$448,4,0),0)</f>
        <v>57</v>
      </c>
      <c r="I421" s="112">
        <f t="shared" si="57"/>
        <v>228</v>
      </c>
      <c r="J421" s="112">
        <f>IFERROR(VLOOKUP(B421,O.B.JUNE!$AA$7:$AG$448,7,0),0)</f>
        <v>1508678</v>
      </c>
      <c r="K421" s="112">
        <f>IFERROR(VLOOKUP(B421,O.B.JUNE!$AI$7:$AO$448,7,0),0)</f>
        <v>2947561</v>
      </c>
      <c r="L421" s="112">
        <f t="shared" si="58"/>
        <v>4456239</v>
      </c>
      <c r="M421" s="112">
        <f>ROUND(SUMIF('JUNE (물량흐름)'!$C$13:$C$502,'WIP(재공품)'!B421,'JUNE (물량흐름)'!$H$13:$H$502)+SUMIF('JUNE (물량흐름)'!$C$13:$C$502,'WIP(재공품)'!B421,'JUNE (물량흐름)'!$V$13:$V$502),0)</f>
        <v>0</v>
      </c>
      <c r="N421" s="112">
        <f>SUMIF('Direct labour(직접노무비)'!$C$12:$C$503,'WIP(재공품)'!B421,'Direct labour(직접노무비)'!$O$12:$O$503)</f>
        <v>0</v>
      </c>
      <c r="O421" s="112">
        <f>SUMIF('Overhead exp(제조경비)'!$C$12:$C$503,'WIP(재공품)'!B421,'Overhead exp(제조경비)'!$O$12:$O$503)</f>
        <v>0</v>
      </c>
      <c r="P421" s="112">
        <f t="shared" si="59"/>
        <v>0</v>
      </c>
      <c r="Q421" s="112">
        <v>0</v>
      </c>
      <c r="R421" s="112">
        <v>0</v>
      </c>
      <c r="S421" s="112">
        <f>SUMIF('JUNE (물량흐름)'!$C$13:$C$493,'WIP(재공품)'!B421,'JUNE (물량흐름)'!$T$13:$T$493)+SUMIF('JUNE (물량흐름)'!$C$13:$C$493,'WIP(재공품)'!B421,'JUNE (물량흐름)'!$U$13:$U$493)+SUMIF('JUNE (물량흐름)'!$C$13:$C$493,'WIP(재공품)'!B421,'JUNE (물량흐름)'!$V$13:$V$493)-SUMIF('JUNE (물량흐름)'!$C$13:$C$493,'WIP(재공품)'!B421,'JUNE (물량흐름)'!$Y$13:$Y$493)</f>
        <v>0</v>
      </c>
      <c r="T421" s="112">
        <f>SUMIF('JUNE (물량흐름)'!$C$13:$C$502,'WIP(재공품)'!B421,'JUNE (물량흐름)'!$Y$13:$Y$502)</f>
        <v>0</v>
      </c>
      <c r="U421" s="167">
        <f>SUMIF('Direct labour(직접노무비)'!$C$12:$C$503,'WIP(재공품)'!B421,'Direct labour(직접노무비)'!$U$12:$U$503)+SUMIF('Overhead exp(제조경비)'!$C$12:$C$503,'WIP(재공품)'!B421,'Overhead exp(제조경비)'!$U$12:$U$503)</f>
        <v>0</v>
      </c>
      <c r="V421" s="112">
        <f>SUMIF('Direct labour(직접노무비)'!$C$12:$C$503,'WIP(재공품)'!B421,'Direct labour(직접노무비)'!$Q$12:$Q$503)</f>
        <v>0</v>
      </c>
      <c r="W421" s="112">
        <f>SUMIF('Overhead exp(제조경비)'!$C$12:$C$503,'WIP(재공품)'!B421,'Overhead exp(제조경비)'!$Q$12:$Q$503)</f>
        <v>0</v>
      </c>
      <c r="X421" s="112">
        <f t="shared" si="60"/>
        <v>0</v>
      </c>
      <c r="Y421" s="112">
        <f ca="1">ROUND(SUMIF('JUNE (물량흐름)'!$C$13:$C$502,'WIP(재공품)'!B421,'JUNE (물량흐름)'!$N$13:$N$488),0)</f>
        <v>0</v>
      </c>
      <c r="Z421" s="112">
        <f>ROUND(SUMIF('JUNE (물량흐름)'!$C$13:$C$502,'WIP(재공품)'!B421,'JUNE (물량흐름)'!$O$13:$O$502),0)</f>
        <v>174</v>
      </c>
      <c r="AA421" s="112">
        <f>ROUND(SUMIF('JUNE (물량흐름)'!$C$13:$C$502,'WIP(재공품)'!B421,'JUNE (물량흐름)'!$P$13:$P$502),0)</f>
        <v>54</v>
      </c>
      <c r="AB421" s="112">
        <f t="shared" ca="1" si="61"/>
        <v>228</v>
      </c>
      <c r="AC421" s="112">
        <f t="shared" si="62"/>
        <v>4456239</v>
      </c>
      <c r="AD421" s="381">
        <f t="shared" ca="1" si="63"/>
        <v>0</v>
      </c>
      <c r="AE421" s="381">
        <f t="shared" si="64"/>
        <v>0</v>
      </c>
      <c r="AF421" s="382"/>
      <c r="AG421" s="382"/>
      <c r="AH421" s="383"/>
      <c r="AI421" s="383"/>
      <c r="AJ421" s="383"/>
      <c r="AL421" s="385"/>
      <c r="AM421" s="381"/>
      <c r="AN421" s="382"/>
      <c r="AO421" s="382"/>
      <c r="AP421" s="383"/>
      <c r="AQ421" s="383"/>
    </row>
    <row r="422" spans="1:43" s="384" customFormat="1" ht="27" customHeight="1">
      <c r="A422" s="167">
        <v>432</v>
      </c>
      <c r="B422" s="240">
        <f>VLOOKUP(A422,'JUNE (물량흐름)'!$A$13:$C$502,3,0)</f>
        <v>100027409</v>
      </c>
      <c r="C422" s="21" t="str">
        <f>VLOOKUP(A422,'JUNE (물량흐름)'!$A$13:$C$502,2,0)</f>
        <v>ALFANI</v>
      </c>
      <c r="D422" s="212">
        <v>1.98</v>
      </c>
      <c r="E422" s="6">
        <f>VLOOKUP(B422,'Sales profit (스타일 별 매출이익)'!$D$9:$P$491,13,0)</f>
        <v>44896.5</v>
      </c>
      <c r="F422" s="112">
        <f>IFERROR(VLOOKUP(B422,O.B.JUNE!$N$7:$Q$448,2,0),0)</f>
        <v>0</v>
      </c>
      <c r="G422" s="112">
        <f>IFERROR(VLOOKUP(B422,O.B.JUNE!$N$7:$Q$448,3,0),0)</f>
        <v>173</v>
      </c>
      <c r="H422" s="112">
        <f>IFERROR(VLOOKUP(B422,O.B.JUNE!$N$7:$Q$448,4,0),0)</f>
        <v>97</v>
      </c>
      <c r="I422" s="112">
        <f t="shared" si="57"/>
        <v>270</v>
      </c>
      <c r="J422" s="112">
        <f>IFERROR(VLOOKUP(B422,O.B.JUNE!$AA$7:$AG$448,7,0),0)</f>
        <v>3138336</v>
      </c>
      <c r="K422" s="112">
        <f>IFERROR(VLOOKUP(B422,O.B.JUNE!$AI$7:$AO$448,7,0),0)</f>
        <v>6131487</v>
      </c>
      <c r="L422" s="112">
        <f t="shared" si="58"/>
        <v>9269823</v>
      </c>
      <c r="M422" s="112">
        <f>ROUND(SUMIF('JUNE (물량흐름)'!$C$13:$C$502,'WIP(재공품)'!B422,'JUNE (물량흐름)'!$H$13:$H$502)+SUMIF('JUNE (물량흐름)'!$C$13:$C$502,'WIP(재공품)'!B422,'JUNE (물량흐름)'!$V$13:$V$502),0)</f>
        <v>0</v>
      </c>
      <c r="N422" s="112">
        <f>SUMIF('Direct labour(직접노무비)'!$C$12:$C$503,'WIP(재공품)'!B422,'Direct labour(직접노무비)'!$O$12:$O$503)</f>
        <v>0</v>
      </c>
      <c r="O422" s="112">
        <f>SUMIF('Overhead exp(제조경비)'!$C$12:$C$503,'WIP(재공품)'!B422,'Overhead exp(제조경비)'!$O$12:$O$503)</f>
        <v>0</v>
      </c>
      <c r="P422" s="112">
        <f t="shared" si="59"/>
        <v>0</v>
      </c>
      <c r="Q422" s="112">
        <v>0</v>
      </c>
      <c r="R422" s="112">
        <v>0</v>
      </c>
      <c r="S422" s="112">
        <f>SUMIF('JUNE (물량흐름)'!$C$13:$C$493,'WIP(재공품)'!B422,'JUNE (물량흐름)'!$T$13:$T$493)+SUMIF('JUNE (물량흐름)'!$C$13:$C$493,'WIP(재공품)'!B422,'JUNE (물량흐름)'!$U$13:$U$493)+SUMIF('JUNE (물량흐름)'!$C$13:$C$493,'WIP(재공품)'!B422,'JUNE (물량흐름)'!$V$13:$V$493)-SUMIF('JUNE (물량흐름)'!$C$13:$C$493,'WIP(재공품)'!B422,'JUNE (물량흐름)'!$Y$13:$Y$493)</f>
        <v>65</v>
      </c>
      <c r="T422" s="112">
        <f>SUMIF('JUNE (물량흐름)'!$C$13:$C$502,'WIP(재공품)'!B422,'JUNE (물량흐름)'!$Y$13:$Y$502)</f>
        <v>0</v>
      </c>
      <c r="U422" s="167">
        <f>SUMIF('Direct labour(직접노무비)'!$C$12:$C$503,'WIP(재공품)'!B422,'Direct labour(직접노무비)'!$U$12:$U$503)+SUMIF('Overhead exp(제조경비)'!$C$12:$C$503,'WIP(재공품)'!B422,'Overhead exp(제조경비)'!$U$12:$U$503)</f>
        <v>0</v>
      </c>
      <c r="V422" s="112">
        <f>SUMIF('Direct labour(직접노무비)'!$C$12:$C$503,'WIP(재공품)'!B422,'Direct labour(직접노무비)'!$Q$12:$Q$503)</f>
        <v>755525</v>
      </c>
      <c r="W422" s="112">
        <f>SUMIF('Overhead exp(제조경비)'!$C$12:$C$503,'WIP(재공품)'!B422,'Overhead exp(제조경비)'!$Q$12:$Q$503)</f>
        <v>1476099</v>
      </c>
      <c r="X422" s="112">
        <f t="shared" si="60"/>
        <v>2231624</v>
      </c>
      <c r="Y422" s="112">
        <f ca="1">ROUND(SUMIF('JUNE (물량흐름)'!$C$13:$C$502,'WIP(재공품)'!B422,'JUNE (물량흐름)'!$N$13:$N$488),0)</f>
        <v>0</v>
      </c>
      <c r="Z422" s="112">
        <f>ROUND(SUMIF('JUNE (물량흐름)'!$C$13:$C$502,'WIP(재공품)'!B422,'JUNE (물량흐름)'!$O$13:$O$502),0)</f>
        <v>152</v>
      </c>
      <c r="AA422" s="112">
        <f>ROUND(SUMIF('JUNE (물량흐름)'!$C$13:$C$502,'WIP(재공품)'!B422,'JUNE (물량흐름)'!$P$13:$P$502),0)</f>
        <v>53</v>
      </c>
      <c r="AB422" s="112">
        <f t="shared" ca="1" si="61"/>
        <v>205</v>
      </c>
      <c r="AC422" s="112">
        <f t="shared" si="62"/>
        <v>7038199</v>
      </c>
      <c r="AD422" s="381">
        <f t="shared" ca="1" si="63"/>
        <v>0</v>
      </c>
      <c r="AE422" s="381">
        <f t="shared" si="64"/>
        <v>0</v>
      </c>
      <c r="AF422" s="382"/>
      <c r="AG422" s="382"/>
      <c r="AH422" s="383"/>
      <c r="AI422" s="383"/>
      <c r="AJ422" s="383"/>
      <c r="AL422" s="385"/>
      <c r="AM422" s="381"/>
      <c r="AN422" s="382"/>
      <c r="AO422" s="382"/>
      <c r="AP422" s="383"/>
      <c r="AQ422" s="383"/>
    </row>
    <row r="423" spans="1:43" s="384" customFormat="1" ht="27" customHeight="1">
      <c r="A423" s="167">
        <v>433</v>
      </c>
      <c r="B423" s="240">
        <f>VLOOKUP(A423,'JUNE (물량흐름)'!$A$13:$C$502,3,0)</f>
        <v>100034267</v>
      </c>
      <c r="C423" s="21" t="str">
        <f>VLOOKUP(A423,'JUNE (물량흐름)'!$A$13:$C$502,2,0)</f>
        <v>BAR III</v>
      </c>
      <c r="D423" s="212">
        <v>3.02</v>
      </c>
      <c r="E423" s="6">
        <f>VLOOKUP(B423,'Sales profit (스타일 별 매출이익)'!$D$9:$P$491,13,0)</f>
        <v>68478.5</v>
      </c>
      <c r="F423" s="112">
        <f>IFERROR(VLOOKUP(B423,O.B.JUNE!$N$7:$Q$448,2,0),0)</f>
        <v>40</v>
      </c>
      <c r="G423" s="112">
        <f>IFERROR(VLOOKUP(B423,O.B.JUNE!$N$7:$Q$448,3,0),0)</f>
        <v>1135</v>
      </c>
      <c r="H423" s="112">
        <f>IFERROR(VLOOKUP(B423,O.B.JUNE!$N$7:$Q$448,4,0),0)</f>
        <v>571</v>
      </c>
      <c r="I423" s="112">
        <f t="shared" si="57"/>
        <v>1746</v>
      </c>
      <c r="J423" s="112">
        <f>IFERROR(VLOOKUP(B423,O.B.JUNE!$AA$7:$AG$448,7,0),0)</f>
        <v>20268786</v>
      </c>
      <c r="K423" s="112">
        <f>IFERROR(VLOOKUP(B423,O.B.JUNE!$AI$7:$AO$448,7,0),0)</f>
        <v>39599905</v>
      </c>
      <c r="L423" s="112">
        <f t="shared" si="58"/>
        <v>59868691</v>
      </c>
      <c r="M423" s="112">
        <f>ROUND(SUMIF('JUNE (물량흐름)'!$C$13:$C$502,'WIP(재공품)'!B423,'JUNE (물량흐름)'!$H$13:$H$502)+SUMIF('JUNE (물량흐름)'!$C$13:$C$502,'WIP(재공품)'!B423,'JUNE (물량흐름)'!$V$13:$V$502),0)</f>
        <v>456</v>
      </c>
      <c r="N423" s="112">
        <f>SUMIF('Direct labour(직접노무비)'!$C$12:$C$503,'WIP(재공품)'!B423,'Direct labour(직접노무비)'!$O$12:$O$503)</f>
        <v>24482461</v>
      </c>
      <c r="O423" s="112">
        <f>SUMIF('Overhead exp(제조경비)'!$C$12:$C$503,'WIP(재공품)'!B423,'Overhead exp(제조경비)'!$O$12:$O$503)</f>
        <v>47832324</v>
      </c>
      <c r="P423" s="112">
        <f t="shared" si="59"/>
        <v>72314785</v>
      </c>
      <c r="Q423" s="112">
        <v>0</v>
      </c>
      <c r="R423" s="112">
        <v>0</v>
      </c>
      <c r="S423" s="112">
        <f>SUMIF('JUNE (물량흐름)'!$C$13:$C$493,'WIP(재공품)'!B423,'JUNE (물량흐름)'!$T$13:$T$493)+SUMIF('JUNE (물량흐름)'!$C$13:$C$493,'WIP(재공품)'!B423,'JUNE (물량흐름)'!$U$13:$U$493)+SUMIF('JUNE (물량흐름)'!$C$13:$C$493,'WIP(재공품)'!B423,'JUNE (물량흐름)'!$V$13:$V$493)-SUMIF('JUNE (물량흐름)'!$C$13:$C$493,'WIP(재공품)'!B423,'JUNE (물량흐름)'!$Y$13:$Y$493)</f>
        <v>2170</v>
      </c>
      <c r="T423" s="112">
        <f>SUMIF('JUNE (물량흐름)'!$C$13:$C$502,'WIP(재공품)'!B423,'JUNE (물량흐름)'!$Y$13:$Y$502)</f>
        <v>0</v>
      </c>
      <c r="U423" s="167">
        <f>SUMIF('Direct labour(직접노무비)'!$C$12:$C$503,'WIP(재공품)'!B423,'Direct labour(직접노무비)'!$U$12:$U$503)+SUMIF('Overhead exp(제조경비)'!$C$12:$C$503,'WIP(재공품)'!B423,'Overhead exp(제조경비)'!$U$12:$U$503)</f>
        <v>0</v>
      </c>
      <c r="V423" s="112">
        <f>SUMIF('Direct labour(직접노무비)'!$C$12:$C$503,'WIP(재공품)'!B423,'Direct labour(직접노무비)'!$Q$12:$Q$503)</f>
        <v>44100911</v>
      </c>
      <c r="W423" s="112">
        <f>SUMIF('Overhead exp(제조경비)'!$C$12:$C$503,'WIP(재공품)'!B423,'Overhead exp(제조경비)'!$Q$12:$Q$503)</f>
        <v>86161643</v>
      </c>
      <c r="X423" s="112">
        <f t="shared" si="60"/>
        <v>130262554</v>
      </c>
      <c r="Y423" s="112">
        <f ca="1">ROUND(SUMIF('JUNE (물량흐름)'!$C$13:$C$502,'WIP(재공품)'!B423,'JUNE (물량흐름)'!$N$13:$N$488),0)</f>
        <v>0</v>
      </c>
      <c r="Z423" s="112">
        <f>ROUND(SUMIF('JUNE (물량흐름)'!$C$13:$C$502,'WIP(재공품)'!B423,'JUNE (물량흐름)'!$O$13:$O$502),0)</f>
        <v>26</v>
      </c>
      <c r="AA423" s="112">
        <f>ROUND(SUMIF('JUNE (물량흐름)'!$C$13:$C$502,'WIP(재공품)'!B423,'JUNE (물량흐름)'!$P$13:$P$502),0)</f>
        <v>6</v>
      </c>
      <c r="AB423" s="112">
        <f t="shared" ca="1" si="61"/>
        <v>32</v>
      </c>
      <c r="AC423" s="112">
        <f t="shared" si="62"/>
        <v>1920922</v>
      </c>
      <c r="AD423" s="381">
        <f t="shared" ca="1" si="63"/>
        <v>0</v>
      </c>
      <c r="AE423" s="381">
        <f t="shared" si="64"/>
        <v>0</v>
      </c>
      <c r="AF423" s="382"/>
      <c r="AG423" s="382"/>
      <c r="AH423" s="383"/>
      <c r="AI423" s="383"/>
      <c r="AJ423" s="383"/>
      <c r="AL423" s="385"/>
      <c r="AM423" s="381"/>
      <c r="AN423" s="382"/>
      <c r="AO423" s="382"/>
      <c r="AP423" s="383"/>
      <c r="AQ423" s="383"/>
    </row>
    <row r="424" spans="1:43" s="384" customFormat="1" ht="27" customHeight="1">
      <c r="A424" s="167">
        <v>434</v>
      </c>
      <c r="B424" s="240">
        <f>VLOOKUP(A424,'JUNE (물량흐름)'!$A$13:$C$502,3,0)</f>
        <v>183034591</v>
      </c>
      <c r="C424" s="21" t="str">
        <f>VLOOKUP(A424,'JUNE (물량흐름)'!$A$13:$C$502,2,0)</f>
        <v>TALBOTS</v>
      </c>
      <c r="D424" s="212">
        <v>3.74</v>
      </c>
      <c r="E424" s="6">
        <f>VLOOKUP(B424,'Sales profit (스타일 별 매출이익)'!$D$9:$P$491,13,0)</f>
        <v>84804.5</v>
      </c>
      <c r="F424" s="112">
        <f>IFERROR(VLOOKUP(B424,O.B.JUNE!$N$7:$Q$448,2,0),0)</f>
        <v>0</v>
      </c>
      <c r="G424" s="112">
        <f>IFERROR(VLOOKUP(B424,O.B.JUNE!$N$7:$Q$448,3,0),0)</f>
        <v>50</v>
      </c>
      <c r="H424" s="112">
        <f>IFERROR(VLOOKUP(B424,O.B.JUNE!$N$7:$Q$448,4,0),0)</f>
        <v>78</v>
      </c>
      <c r="I424" s="112">
        <f t="shared" si="57"/>
        <v>128</v>
      </c>
      <c r="J424" s="112">
        <f>IFERROR(VLOOKUP(B424,O.B.JUNE!$AA$7:$AG$448,7,0),0)</f>
        <v>4441413</v>
      </c>
      <c r="K424" s="112">
        <f>IFERROR(VLOOKUP(B424,O.B.JUNE!$AI$7:$AO$448,7,0),0)</f>
        <v>8677359</v>
      </c>
      <c r="L424" s="112">
        <f t="shared" si="58"/>
        <v>13118772</v>
      </c>
      <c r="M424" s="112">
        <f>ROUND(SUMIF('JUNE (물량흐름)'!$C$13:$C$502,'WIP(재공품)'!B424,'JUNE (물량흐름)'!$H$13:$H$502)+SUMIF('JUNE (물량흐름)'!$C$13:$C$502,'WIP(재공품)'!B424,'JUNE (물량흐름)'!$V$13:$V$502),0)</f>
        <v>0</v>
      </c>
      <c r="N424" s="112">
        <f>SUMIF('Direct labour(직접노무비)'!$C$12:$C$503,'WIP(재공품)'!B424,'Direct labour(직접노무비)'!$O$12:$O$503)</f>
        <v>0</v>
      </c>
      <c r="O424" s="112">
        <f>SUMIF('Overhead exp(제조경비)'!$C$12:$C$503,'WIP(재공품)'!B424,'Overhead exp(제조경비)'!$O$12:$O$503)</f>
        <v>0</v>
      </c>
      <c r="P424" s="112">
        <f t="shared" si="59"/>
        <v>0</v>
      </c>
      <c r="Q424" s="112">
        <v>0</v>
      </c>
      <c r="R424" s="112">
        <v>0</v>
      </c>
      <c r="S424" s="112">
        <f>SUMIF('JUNE (물량흐름)'!$C$13:$C$493,'WIP(재공품)'!B424,'JUNE (물량흐름)'!$T$13:$T$493)+SUMIF('JUNE (물량흐름)'!$C$13:$C$493,'WIP(재공품)'!B424,'JUNE (물량흐름)'!$U$13:$U$493)+SUMIF('JUNE (물량흐름)'!$C$13:$C$493,'WIP(재공품)'!B424,'JUNE (물량흐름)'!$V$13:$V$493)-SUMIF('JUNE (물량흐름)'!$C$13:$C$493,'WIP(재공품)'!B424,'JUNE (물량흐름)'!$Y$13:$Y$493)</f>
        <v>0</v>
      </c>
      <c r="T424" s="112">
        <f>SUMIF('JUNE (물량흐름)'!$C$13:$C$502,'WIP(재공품)'!B424,'JUNE (물량흐름)'!$Y$13:$Y$502)</f>
        <v>0</v>
      </c>
      <c r="U424" s="167">
        <f>SUMIF('Direct labour(직접노무비)'!$C$12:$C$503,'WIP(재공품)'!B424,'Direct labour(직접노무비)'!$U$12:$U$503)+SUMIF('Overhead exp(제조경비)'!$C$12:$C$503,'WIP(재공품)'!B424,'Overhead exp(제조경비)'!$U$12:$U$503)</f>
        <v>0</v>
      </c>
      <c r="V424" s="112">
        <f>SUMIF('Direct labour(직접노무비)'!$C$12:$C$503,'WIP(재공품)'!B424,'Direct labour(직접노무비)'!$Q$12:$Q$503)</f>
        <v>0</v>
      </c>
      <c r="W424" s="112">
        <f>SUMIF('Overhead exp(제조경비)'!$C$12:$C$503,'WIP(재공품)'!B424,'Overhead exp(제조경비)'!$Q$12:$Q$503)</f>
        <v>0</v>
      </c>
      <c r="X424" s="112">
        <f t="shared" si="60"/>
        <v>0</v>
      </c>
      <c r="Y424" s="112">
        <f ca="1">ROUND(SUMIF('JUNE (물량흐름)'!$C$13:$C$502,'WIP(재공품)'!B424,'JUNE (물량흐름)'!$N$13:$N$488),0)</f>
        <v>0</v>
      </c>
      <c r="Z424" s="112">
        <f>ROUND(SUMIF('JUNE (물량흐름)'!$C$13:$C$502,'WIP(재공품)'!B424,'JUNE (물량흐름)'!$O$13:$O$502),0)</f>
        <v>50</v>
      </c>
      <c r="AA424" s="112">
        <f>ROUND(SUMIF('JUNE (물량흐름)'!$C$13:$C$502,'WIP(재공품)'!B424,'JUNE (물량흐름)'!$P$13:$P$502),0)</f>
        <v>78</v>
      </c>
      <c r="AB424" s="112">
        <f t="shared" ca="1" si="61"/>
        <v>128</v>
      </c>
      <c r="AC424" s="112">
        <f t="shared" si="62"/>
        <v>13118772</v>
      </c>
      <c r="AD424" s="381">
        <f t="shared" ca="1" si="63"/>
        <v>0</v>
      </c>
      <c r="AE424" s="381">
        <f t="shared" si="64"/>
        <v>0</v>
      </c>
      <c r="AF424" s="382"/>
      <c r="AG424" s="382"/>
      <c r="AH424" s="383"/>
      <c r="AI424" s="383"/>
      <c r="AJ424" s="383"/>
      <c r="AL424" s="385"/>
      <c r="AM424" s="381"/>
      <c r="AN424" s="382"/>
      <c r="AO424" s="382"/>
      <c r="AP424" s="383"/>
      <c r="AQ424" s="383"/>
    </row>
    <row r="425" spans="1:43" s="384" customFormat="1" ht="27" customHeight="1">
      <c r="A425" s="167">
        <v>435</v>
      </c>
      <c r="B425" s="240" t="str">
        <f>VLOOKUP(A425,'JUNE (물량흐름)'!$A$13:$C$502,3,0)</f>
        <v xml:space="preserve">7X727 </v>
      </c>
      <c r="C425" s="21" t="str">
        <f>VLOOKUP(A425,'JUNE (물량흐름)'!$A$13:$C$502,2,0)</f>
        <v>ALFANI</v>
      </c>
      <c r="D425" s="212">
        <v>2.23</v>
      </c>
      <c r="E425" s="6">
        <f>VLOOKUP(B425,'Sales profit (스타일 별 매출이익)'!$D$9:$P$491,13,0)</f>
        <v>50565.25</v>
      </c>
      <c r="F425" s="112">
        <f>IFERROR(VLOOKUP(B425,O.B.JUNE!$N$7:$Q$448,2,0),0)</f>
        <v>0</v>
      </c>
      <c r="G425" s="112">
        <f>IFERROR(VLOOKUP(B425,O.B.JUNE!$N$7:$Q$448,3,0),0)</f>
        <v>5443</v>
      </c>
      <c r="H425" s="112">
        <f>IFERROR(VLOOKUP(B425,O.B.JUNE!$N$7:$Q$448,4,0),0)</f>
        <v>2000</v>
      </c>
      <c r="I425" s="112">
        <f t="shared" si="57"/>
        <v>7443</v>
      </c>
      <c r="J425" s="112">
        <f>IFERROR(VLOOKUP(B425,O.B.JUNE!$AA$7:$AG$448,7,0),0)</f>
        <v>48448426</v>
      </c>
      <c r="K425" s="112">
        <f>IFERROR(VLOOKUP(B425,O.B.JUNE!$AI$7:$AO$448,7,0),0)</f>
        <v>94655549</v>
      </c>
      <c r="L425" s="112">
        <f t="shared" si="58"/>
        <v>143103975</v>
      </c>
      <c r="M425" s="112">
        <f>ROUND(SUMIF('JUNE (물량흐름)'!$C$13:$C$502,'WIP(재공품)'!B425,'JUNE (물량흐름)'!$H$13:$H$502)+SUMIF('JUNE (물량흐름)'!$C$13:$C$502,'WIP(재공품)'!B425,'JUNE (물량흐름)'!$V$13:$V$502),0)</f>
        <v>5138</v>
      </c>
      <c r="N425" s="112">
        <f>SUMIF('Direct labour(직접노무비)'!$C$12:$C$503,'WIP(재공품)'!B425,'Direct labour(직접노무비)'!$O$12:$O$503)</f>
        <v>89811918</v>
      </c>
      <c r="O425" s="112">
        <f>SUMIF('Overhead exp(제조경비)'!$C$12:$C$503,'WIP(재공품)'!B425,'Overhead exp(제조경비)'!$O$12:$O$503)</f>
        <v>175468994</v>
      </c>
      <c r="P425" s="112">
        <f t="shared" si="59"/>
        <v>265280912</v>
      </c>
      <c r="Q425" s="112">
        <v>0</v>
      </c>
      <c r="R425" s="112">
        <v>0</v>
      </c>
      <c r="S425" s="112">
        <f>SUMIF('JUNE (물량흐름)'!$C$13:$C$493,'WIP(재공품)'!B425,'JUNE (물량흐름)'!$T$13:$T$493)+SUMIF('JUNE (물량흐름)'!$C$13:$C$493,'WIP(재공품)'!B425,'JUNE (물량흐름)'!$U$13:$U$493)+SUMIF('JUNE (물량흐름)'!$C$13:$C$493,'WIP(재공품)'!B425,'JUNE (물량흐름)'!$V$13:$V$493)-SUMIF('JUNE (물량흐름)'!$C$13:$C$493,'WIP(재공품)'!B425,'JUNE (물량흐름)'!$Y$13:$Y$493)</f>
        <v>0</v>
      </c>
      <c r="T425" s="112">
        <f>SUMIF('JUNE (물량흐름)'!$C$13:$C$502,'WIP(재공품)'!B425,'JUNE (물량흐름)'!$Y$13:$Y$502)</f>
        <v>0</v>
      </c>
      <c r="U425" s="167">
        <f>SUMIF('Direct labour(직접노무비)'!$C$12:$C$503,'WIP(재공품)'!B425,'Direct labour(직접노무비)'!$U$12:$U$503)+SUMIF('Overhead exp(제조경비)'!$C$12:$C$503,'WIP(재공품)'!B425,'Overhead exp(제조경비)'!$U$12:$U$503)</f>
        <v>0</v>
      </c>
      <c r="V425" s="112">
        <f>SUMIF('Direct labour(직접노무비)'!$C$12:$C$503,'WIP(재공품)'!B425,'Direct labour(직접노무비)'!$Q$12:$Q$503)</f>
        <v>0</v>
      </c>
      <c r="W425" s="112">
        <f>SUMIF('Overhead exp(제조경비)'!$C$12:$C$503,'WIP(재공품)'!B425,'Overhead exp(제조경비)'!$Q$12:$Q$503)</f>
        <v>0</v>
      </c>
      <c r="X425" s="112">
        <f t="shared" si="60"/>
        <v>0</v>
      </c>
      <c r="Y425" s="112">
        <f ca="1">ROUND(SUMIF('JUNE (물량흐름)'!$C$13:$C$502,'WIP(재공품)'!B425,'JUNE (물량흐름)'!$N$13:$N$488),0)</f>
        <v>0</v>
      </c>
      <c r="Z425" s="112">
        <f>ROUND(SUMIF('JUNE (물량흐름)'!$C$13:$C$502,'WIP(재공품)'!B425,'JUNE (물량흐름)'!$O$13:$O$502),0)</f>
        <v>0</v>
      </c>
      <c r="AA425" s="112">
        <f>ROUND(SUMIF('JUNE (물량흐름)'!$C$13:$C$502,'WIP(재공품)'!B425,'JUNE (물량흐름)'!$P$13:$P$502),0)</f>
        <v>12581</v>
      </c>
      <c r="AB425" s="112">
        <f t="shared" ca="1" si="61"/>
        <v>12581</v>
      </c>
      <c r="AC425" s="112">
        <f t="shared" si="62"/>
        <v>408384887</v>
      </c>
      <c r="AD425" s="381">
        <f t="shared" ca="1" si="63"/>
        <v>0</v>
      </c>
      <c r="AE425" s="381">
        <f t="shared" si="64"/>
        <v>0</v>
      </c>
      <c r="AF425" s="382"/>
      <c r="AG425" s="382"/>
      <c r="AH425" s="383"/>
      <c r="AI425" s="383"/>
      <c r="AJ425" s="383"/>
      <c r="AL425" s="385"/>
      <c r="AM425" s="381"/>
      <c r="AN425" s="382"/>
      <c r="AO425" s="382"/>
      <c r="AP425" s="383"/>
      <c r="AQ425" s="383"/>
    </row>
    <row r="426" spans="1:43" s="384" customFormat="1" ht="27" customHeight="1">
      <c r="A426" s="167">
        <v>436</v>
      </c>
      <c r="B426" s="240" t="str">
        <f>VLOOKUP(A426,'JUNE (물량흐름)'!$A$13:$C$502,3,0)</f>
        <v>EESOQ-T4577</v>
      </c>
      <c r="C426" s="21" t="str">
        <f>VLOOKUP(A426,'JUNE (물량흐름)'!$A$13:$C$502,2,0)</f>
        <v>EILEEN FISHER</v>
      </c>
      <c r="D426" s="212">
        <v>6.14</v>
      </c>
      <c r="E426" s="6">
        <f>VLOOKUP(B426,'Sales profit (스타일 별 매출이익)'!$D$9:$P$491,13,0)</f>
        <v>139224.5</v>
      </c>
      <c r="F426" s="112">
        <f>IFERROR(VLOOKUP(B426,O.B.JUNE!$N$7:$Q$448,2,0),0)</f>
        <v>0</v>
      </c>
      <c r="G426" s="112">
        <f>IFERROR(VLOOKUP(B426,O.B.JUNE!$N$7:$Q$448,3,0),0)</f>
        <v>51</v>
      </c>
      <c r="H426" s="112">
        <f>IFERROR(VLOOKUP(B426,O.B.JUNE!$N$7:$Q$448,4,0),0)</f>
        <v>612</v>
      </c>
      <c r="I426" s="112">
        <f t="shared" si="57"/>
        <v>663</v>
      </c>
      <c r="J426" s="112">
        <f>IFERROR(VLOOKUP(B426,O.B.JUNE!$AA$7:$AG$448,7,0),0)</f>
        <v>19497299</v>
      </c>
      <c r="K426" s="112">
        <f>IFERROR(VLOOKUP(B426,O.B.JUNE!$AI$7:$AO$448,7,0),0)</f>
        <v>38092622</v>
      </c>
      <c r="L426" s="112">
        <f t="shared" si="58"/>
        <v>57589921</v>
      </c>
      <c r="M426" s="112">
        <f>ROUND(SUMIF('JUNE (물량흐름)'!$C$13:$C$502,'WIP(재공품)'!B426,'JUNE (물량흐름)'!$H$13:$H$502)+SUMIF('JUNE (물량흐름)'!$C$13:$C$502,'WIP(재공품)'!B426,'JUNE (물량흐름)'!$V$13:$V$502),0)</f>
        <v>0</v>
      </c>
      <c r="N426" s="112">
        <f>SUMIF('Direct labour(직접노무비)'!$C$12:$C$503,'WIP(재공품)'!B426,'Direct labour(직접노무비)'!$O$12:$O$503)</f>
        <v>0</v>
      </c>
      <c r="O426" s="112">
        <f>SUMIF('Overhead exp(제조경비)'!$C$12:$C$503,'WIP(재공품)'!B426,'Overhead exp(제조경비)'!$O$12:$O$503)</f>
        <v>0</v>
      </c>
      <c r="P426" s="112">
        <f t="shared" si="59"/>
        <v>0</v>
      </c>
      <c r="Q426" s="112">
        <v>0</v>
      </c>
      <c r="R426" s="112">
        <v>0</v>
      </c>
      <c r="S426" s="112">
        <f>SUMIF('JUNE (물량흐름)'!$C$13:$C$493,'WIP(재공품)'!B426,'JUNE (물량흐름)'!$T$13:$T$493)+SUMIF('JUNE (물량흐름)'!$C$13:$C$493,'WIP(재공품)'!B426,'JUNE (물량흐름)'!$U$13:$U$493)+SUMIF('JUNE (물량흐름)'!$C$13:$C$493,'WIP(재공품)'!B426,'JUNE (물량흐름)'!$V$13:$V$493)-SUMIF('JUNE (물량흐름)'!$C$13:$C$493,'WIP(재공품)'!B426,'JUNE (물량흐름)'!$Y$13:$Y$493)</f>
        <v>571</v>
      </c>
      <c r="T426" s="112">
        <f>SUMIF('JUNE (물량흐름)'!$C$13:$C$502,'WIP(재공품)'!B426,'JUNE (물량흐름)'!$Y$13:$Y$502)</f>
        <v>2</v>
      </c>
      <c r="U426" s="167">
        <f>SUMIF('Direct labour(직접노무비)'!$C$12:$C$503,'WIP(재공품)'!B426,'Direct labour(직접노무비)'!$U$12:$U$503)+SUMIF('Overhead exp(제조경비)'!$C$12:$C$503,'WIP(재공품)'!B426,'Overhead exp(제조경비)'!$U$12:$U$503)</f>
        <v>173725</v>
      </c>
      <c r="V426" s="112">
        <f>SUMIF('Direct labour(직접노무비)'!$C$12:$C$503,'WIP(재공품)'!B426,'Direct labour(직접노무비)'!$Q$12:$Q$503)</f>
        <v>16791791</v>
      </c>
      <c r="W426" s="112">
        <f>SUMIF('Overhead exp(제조경비)'!$C$12:$C$503,'WIP(재공품)'!B426,'Overhead exp(제조경비)'!$Q$12:$Q$503)</f>
        <v>32806768</v>
      </c>
      <c r="X426" s="112">
        <f t="shared" si="60"/>
        <v>49598559</v>
      </c>
      <c r="Y426" s="112">
        <f ca="1">ROUND(SUMIF('JUNE (물량흐름)'!$C$13:$C$502,'WIP(재공품)'!B426,'JUNE (물량흐름)'!$N$13:$N$488),0)</f>
        <v>0</v>
      </c>
      <c r="Z426" s="112">
        <f>ROUND(SUMIF('JUNE (물량흐름)'!$C$13:$C$502,'WIP(재공품)'!B426,'JUNE (물량흐름)'!$O$13:$O$502),0)</f>
        <v>51</v>
      </c>
      <c r="AA426" s="112">
        <f>ROUND(SUMIF('JUNE (물량흐름)'!$C$13:$C$502,'WIP(재공품)'!B426,'JUNE (물량흐름)'!$P$13:$P$502),0)</f>
        <v>39</v>
      </c>
      <c r="AB426" s="112">
        <f t="shared" ca="1" si="61"/>
        <v>90</v>
      </c>
      <c r="AC426" s="112">
        <f t="shared" si="62"/>
        <v>7817637</v>
      </c>
      <c r="AD426" s="381">
        <f t="shared" ca="1" si="63"/>
        <v>0</v>
      </c>
      <c r="AE426" s="381">
        <f t="shared" si="64"/>
        <v>0</v>
      </c>
      <c r="AF426" s="382"/>
      <c r="AG426" s="382"/>
      <c r="AH426" s="383"/>
      <c r="AI426" s="383"/>
      <c r="AJ426" s="383"/>
      <c r="AL426" s="385"/>
      <c r="AM426" s="381"/>
      <c r="AN426" s="382"/>
      <c r="AO426" s="382"/>
      <c r="AP426" s="383"/>
      <c r="AQ426" s="383"/>
    </row>
    <row r="427" spans="1:43" s="384" customFormat="1" ht="27" customHeight="1">
      <c r="A427" s="167">
        <v>437</v>
      </c>
      <c r="B427" s="240" t="str">
        <f>VLOOKUP(A427,'JUNE (물량흐름)'!$A$13:$C$502,3,0)</f>
        <v>F8SOQ-T4578M</v>
      </c>
      <c r="C427" s="21" t="str">
        <f>VLOOKUP(A427,'JUNE (물량흐름)'!$A$13:$C$502,2,0)</f>
        <v>EILEEN FISHER</v>
      </c>
      <c r="D427" s="212">
        <v>5.12</v>
      </c>
      <c r="E427" s="6">
        <f>VLOOKUP(B427,'Sales profit (스타일 별 매출이익)'!$D$9:$P$491,13,0)</f>
        <v>116096</v>
      </c>
      <c r="F427" s="112">
        <f>IFERROR(VLOOKUP(B427,O.B.JUNE!$N$7:$Q$448,2,0),0)</f>
        <v>0</v>
      </c>
      <c r="G427" s="112">
        <f>IFERROR(VLOOKUP(B427,O.B.JUNE!$N$7:$Q$448,3,0),0)</f>
        <v>32</v>
      </c>
      <c r="H427" s="112">
        <f>IFERROR(VLOOKUP(B427,O.B.JUNE!$N$7:$Q$448,4,0),0)</f>
        <v>103</v>
      </c>
      <c r="I427" s="112">
        <f t="shared" si="57"/>
        <v>135</v>
      </c>
      <c r="J427" s="112">
        <f>IFERROR(VLOOKUP(B427,O.B.JUNE!$AA$7:$AG$448,7,0),0)</f>
        <v>4457269</v>
      </c>
      <c r="K427" s="112">
        <f>IFERROR(VLOOKUP(B427,O.B.JUNE!$AI$7:$AO$448,7,0),0)</f>
        <v>8708338</v>
      </c>
      <c r="L427" s="112">
        <f t="shared" si="58"/>
        <v>13165607</v>
      </c>
      <c r="M427" s="112">
        <f>ROUND(SUMIF('JUNE (물량흐름)'!$C$13:$C$502,'WIP(재공품)'!B427,'JUNE (물량흐름)'!$H$13:$H$502)+SUMIF('JUNE (물량흐름)'!$C$13:$C$502,'WIP(재공품)'!B427,'JUNE (물량흐름)'!$V$13:$V$502),0)</f>
        <v>0</v>
      </c>
      <c r="N427" s="112">
        <f>SUMIF('Direct labour(직접노무비)'!$C$12:$C$503,'WIP(재공품)'!B427,'Direct labour(직접노무비)'!$O$12:$O$503)</f>
        <v>0</v>
      </c>
      <c r="O427" s="112">
        <f>SUMIF('Overhead exp(제조경비)'!$C$12:$C$503,'WIP(재공품)'!B427,'Overhead exp(제조경비)'!$O$12:$O$503)</f>
        <v>0</v>
      </c>
      <c r="P427" s="112">
        <f t="shared" si="59"/>
        <v>0</v>
      </c>
      <c r="Q427" s="112">
        <v>0</v>
      </c>
      <c r="R427" s="112">
        <v>0</v>
      </c>
      <c r="S427" s="112">
        <f>SUMIF('JUNE (물량흐름)'!$C$13:$C$493,'WIP(재공품)'!B427,'JUNE (물량흐름)'!$T$13:$T$493)+SUMIF('JUNE (물량흐름)'!$C$13:$C$493,'WIP(재공품)'!B427,'JUNE (물량흐름)'!$U$13:$U$493)+SUMIF('JUNE (물량흐름)'!$C$13:$C$493,'WIP(재공품)'!B427,'JUNE (물량흐름)'!$V$13:$V$493)-SUMIF('JUNE (물량흐름)'!$C$13:$C$493,'WIP(재공품)'!B427,'JUNE (물량흐름)'!$Y$13:$Y$493)</f>
        <v>62</v>
      </c>
      <c r="T427" s="112">
        <f>SUMIF('JUNE (물량흐름)'!$C$13:$C$502,'WIP(재공품)'!B427,'JUNE (물량흐름)'!$Y$13:$Y$502)</f>
        <v>2</v>
      </c>
      <c r="U427" s="167">
        <f>SUMIF('Direct labour(직접노무비)'!$C$12:$C$503,'WIP(재공품)'!B427,'Direct labour(직접노무비)'!$U$12:$U$503)+SUMIF('Overhead exp(제조경비)'!$C$12:$C$503,'WIP(재공품)'!B427,'Overhead exp(제조경비)'!$U$12:$U$503)</f>
        <v>195046</v>
      </c>
      <c r="V427" s="112">
        <f>SUMIF('Direct labour(직접노무비)'!$C$12:$C$503,'WIP(재공품)'!B427,'Direct labour(직접노무비)'!$Q$12:$Q$503)</f>
        <v>2047042</v>
      </c>
      <c r="W427" s="112">
        <f>SUMIF('Overhead exp(제조경비)'!$C$12:$C$503,'WIP(재공품)'!B427,'Overhead exp(제조경비)'!$Q$12:$Q$503)</f>
        <v>3999385</v>
      </c>
      <c r="X427" s="112">
        <f t="shared" si="60"/>
        <v>6046427</v>
      </c>
      <c r="Y427" s="112">
        <f ca="1">ROUND(SUMIF('JUNE (물량흐름)'!$C$13:$C$502,'WIP(재공품)'!B427,'JUNE (물량흐름)'!$N$13:$N$488),0)</f>
        <v>0</v>
      </c>
      <c r="Z427" s="112">
        <f>ROUND(SUMIF('JUNE (물량흐름)'!$C$13:$C$502,'WIP(재공품)'!B427,'JUNE (물량흐름)'!$O$13:$O$502),0)</f>
        <v>32</v>
      </c>
      <c r="AA427" s="112">
        <f>ROUND(SUMIF('JUNE (물량흐름)'!$C$13:$C$502,'WIP(재공품)'!B427,'JUNE (물량흐름)'!$P$13:$P$502),0)</f>
        <v>39</v>
      </c>
      <c r="AB427" s="112">
        <f t="shared" ca="1" si="61"/>
        <v>71</v>
      </c>
      <c r="AC427" s="112">
        <f t="shared" si="62"/>
        <v>6924134</v>
      </c>
      <c r="AD427" s="381">
        <f t="shared" ca="1" si="63"/>
        <v>0</v>
      </c>
      <c r="AE427" s="381">
        <f t="shared" si="64"/>
        <v>0</v>
      </c>
      <c r="AF427" s="382"/>
      <c r="AG427" s="382"/>
      <c r="AH427" s="383"/>
      <c r="AI427" s="383"/>
      <c r="AJ427" s="383"/>
      <c r="AL427" s="385"/>
      <c r="AM427" s="381"/>
      <c r="AN427" s="382"/>
      <c r="AO427" s="382"/>
      <c r="AP427" s="383"/>
      <c r="AQ427" s="383"/>
    </row>
    <row r="428" spans="1:43" s="384" customFormat="1" ht="27" customHeight="1">
      <c r="A428" s="167">
        <v>438</v>
      </c>
      <c r="B428" s="240">
        <f>VLOOKUP(A428,'JUNE (물량흐름)'!$A$13:$C$502,3,0)</f>
        <v>100034276</v>
      </c>
      <c r="C428" s="21" t="str">
        <f>VLOOKUP(A428,'JUNE (물량흐름)'!$A$13:$C$502,2,0)</f>
        <v>INC</v>
      </c>
      <c r="D428" s="212">
        <v>2.38</v>
      </c>
      <c r="E428" s="6">
        <f>VLOOKUP(B428,'Sales profit (스타일 별 매출이익)'!$D$9:$P$491,13,0)</f>
        <v>53966.5</v>
      </c>
      <c r="F428" s="112">
        <f>IFERROR(VLOOKUP(B428,O.B.JUNE!$N$7:$Q$448,2,0),0)</f>
        <v>0</v>
      </c>
      <c r="G428" s="112">
        <f>IFERROR(VLOOKUP(B428,O.B.JUNE!$N$7:$Q$448,3,0),0)</f>
        <v>1114</v>
      </c>
      <c r="H428" s="112">
        <f>IFERROR(VLOOKUP(B428,O.B.JUNE!$N$7:$Q$448,4,0),0)</f>
        <v>521</v>
      </c>
      <c r="I428" s="112">
        <f t="shared" si="57"/>
        <v>1635</v>
      </c>
      <c r="J428" s="112">
        <f>IFERROR(VLOOKUP(B428,O.B.JUNE!$AA$7:$AG$448,7,0),0)</f>
        <v>21885663</v>
      </c>
      <c r="K428" s="112">
        <f>IFERROR(VLOOKUP(B428,O.B.JUNE!$AI$7:$AO$448,7,0),0)</f>
        <v>42758860</v>
      </c>
      <c r="L428" s="112">
        <f t="shared" si="58"/>
        <v>64644523</v>
      </c>
      <c r="M428" s="112">
        <f>ROUND(SUMIF('JUNE (물량흐름)'!$C$13:$C$502,'WIP(재공품)'!B428,'JUNE (물량흐름)'!$H$13:$H$502)+SUMIF('JUNE (물량흐름)'!$C$13:$C$502,'WIP(재공품)'!B428,'JUNE (물량흐름)'!$V$13:$V$502),0)</f>
        <v>0</v>
      </c>
      <c r="N428" s="112">
        <f>SUMIF('Direct labour(직접노무비)'!$C$12:$C$503,'WIP(재공품)'!B428,'Direct labour(직접노무비)'!$O$12:$O$503)</f>
        <v>0</v>
      </c>
      <c r="O428" s="112">
        <f>SUMIF('Overhead exp(제조경비)'!$C$12:$C$503,'WIP(재공품)'!B428,'Overhead exp(제조경비)'!$O$12:$O$503)</f>
        <v>0</v>
      </c>
      <c r="P428" s="112">
        <f t="shared" si="59"/>
        <v>0</v>
      </c>
      <c r="Q428" s="112">
        <v>0</v>
      </c>
      <c r="R428" s="112">
        <v>0</v>
      </c>
      <c r="S428" s="112">
        <f>SUMIF('JUNE (물량흐름)'!$C$13:$C$493,'WIP(재공품)'!B428,'JUNE (물량흐름)'!$T$13:$T$493)+SUMIF('JUNE (물량흐름)'!$C$13:$C$493,'WIP(재공품)'!B428,'JUNE (물량흐름)'!$U$13:$U$493)+SUMIF('JUNE (물량흐름)'!$C$13:$C$493,'WIP(재공품)'!B428,'JUNE (물량흐름)'!$V$13:$V$493)-SUMIF('JUNE (물량흐름)'!$C$13:$C$493,'WIP(재공품)'!B428,'JUNE (물량흐름)'!$Y$13:$Y$493)</f>
        <v>1528</v>
      </c>
      <c r="T428" s="112">
        <f>SUMIF('JUNE (물량흐름)'!$C$13:$C$502,'WIP(재공품)'!B428,'JUNE (물량흐름)'!$Y$13:$Y$502)</f>
        <v>4</v>
      </c>
      <c r="U428" s="167">
        <f>SUMIF('Direct labour(직접노무비)'!$C$12:$C$503,'WIP(재공품)'!B428,'Direct labour(직접노무비)'!$U$12:$U$503)+SUMIF('Overhead exp(제조경비)'!$C$12:$C$503,'WIP(재공품)'!B428,'Overhead exp(제조경비)'!$U$12:$U$503)</f>
        <v>158152</v>
      </c>
      <c r="V428" s="112">
        <f>SUMIF('Direct labour(직접노무비)'!$C$12:$C$503,'WIP(재공품)'!B428,'Direct labour(직접노무비)'!$Q$12:$Q$503)</f>
        <v>20453390</v>
      </c>
      <c r="W428" s="112">
        <f>SUMIF('Overhead exp(제조경비)'!$C$12:$C$503,'WIP(재공품)'!B428,'Overhead exp(제조경비)'!$Q$12:$Q$503)</f>
        <v>39960574</v>
      </c>
      <c r="X428" s="112">
        <f t="shared" si="60"/>
        <v>60413964</v>
      </c>
      <c r="Y428" s="112">
        <f ca="1">ROUND(SUMIF('JUNE (물량흐름)'!$C$13:$C$502,'WIP(재공품)'!B428,'JUNE (물량흐름)'!$N$13:$N$488),0)</f>
        <v>0</v>
      </c>
      <c r="Z428" s="112">
        <f>ROUND(SUMIF('JUNE (물량흐름)'!$C$13:$C$502,'WIP(재공품)'!B428,'JUNE (물량흐름)'!$O$13:$O$502),0)</f>
        <v>56</v>
      </c>
      <c r="AA428" s="112">
        <f>ROUND(SUMIF('JUNE (물량흐름)'!$C$13:$C$502,'WIP(재공품)'!B428,'JUNE (물량흐름)'!$P$13:$P$502),0)</f>
        <v>47</v>
      </c>
      <c r="AB428" s="112">
        <f t="shared" ca="1" si="61"/>
        <v>103</v>
      </c>
      <c r="AC428" s="112">
        <f t="shared" si="62"/>
        <v>4072407</v>
      </c>
      <c r="AD428" s="381">
        <f t="shared" ca="1" si="63"/>
        <v>0</v>
      </c>
      <c r="AE428" s="381">
        <f t="shared" si="64"/>
        <v>0</v>
      </c>
      <c r="AF428" s="382"/>
      <c r="AG428" s="382"/>
      <c r="AH428" s="383"/>
      <c r="AI428" s="383"/>
      <c r="AJ428" s="383"/>
      <c r="AL428" s="385"/>
      <c r="AM428" s="381"/>
      <c r="AN428" s="382"/>
      <c r="AO428" s="382"/>
      <c r="AP428" s="383"/>
      <c r="AQ428" s="383"/>
    </row>
    <row r="429" spans="1:43" s="384" customFormat="1" ht="27" customHeight="1">
      <c r="A429" s="167">
        <v>439</v>
      </c>
      <c r="B429" s="240">
        <f>VLOOKUP(A429,'JUNE (물량흐름)'!$A$13:$C$502,3,0)</f>
        <v>183033602</v>
      </c>
      <c r="C429" s="21" t="str">
        <f>VLOOKUP(A429,'JUNE (물량흐름)'!$A$13:$C$502,2,0)</f>
        <v>TALBOTS</v>
      </c>
      <c r="D429" s="212">
        <v>2.2799999999999998</v>
      </c>
      <c r="E429" s="6">
        <f>VLOOKUP(B429,'Sales profit (스타일 별 매출이익)'!$D$9:$P$491,13,0)</f>
        <v>51698.999999999993</v>
      </c>
      <c r="F429" s="112">
        <f>IFERROR(VLOOKUP(B429,O.B.JUNE!$N$7:$Q$448,2,0),0)</f>
        <v>8425</v>
      </c>
      <c r="G429" s="112">
        <f>IFERROR(VLOOKUP(B429,O.B.JUNE!$N$7:$Q$448,3,0),0)</f>
        <v>2902</v>
      </c>
      <c r="H429" s="112">
        <f>IFERROR(VLOOKUP(B429,O.B.JUNE!$N$7:$Q$448,4,0),0)</f>
        <v>1088</v>
      </c>
      <c r="I429" s="112">
        <f t="shared" si="57"/>
        <v>12415</v>
      </c>
      <c r="J429" s="112">
        <f>IFERROR(VLOOKUP(B429,O.B.JUNE!$AA$7:$AG$448,7,0),0)</f>
        <v>68494638</v>
      </c>
      <c r="K429" s="112">
        <f>IFERROR(VLOOKUP(B429,O.B.JUNE!$AI$7:$AO$448,7,0),0)</f>
        <v>133820604</v>
      </c>
      <c r="L429" s="112">
        <f t="shared" si="58"/>
        <v>202315242</v>
      </c>
      <c r="M429" s="112">
        <f>ROUND(SUMIF('JUNE (물량흐름)'!$C$13:$C$502,'WIP(재공품)'!B429,'JUNE (물량흐름)'!$H$13:$H$502)+SUMIF('JUNE (물량흐름)'!$C$13:$C$502,'WIP(재공품)'!B429,'JUNE (물량흐름)'!$V$13:$V$502),0)</f>
        <v>26873</v>
      </c>
      <c r="N429" s="112">
        <f>SUMIF('Direct labour(직접노무비)'!$C$12:$C$503,'WIP(재공품)'!B429,'Direct labour(직접노무비)'!$O$12:$O$503)</f>
        <v>538418342</v>
      </c>
      <c r="O429" s="112">
        <f>SUMIF('Overhead exp(제조경비)'!$C$12:$C$503,'WIP(재공품)'!B429,'Overhead exp(제조경비)'!$O$12:$O$503)</f>
        <v>1051928597</v>
      </c>
      <c r="P429" s="112">
        <f t="shared" si="59"/>
        <v>1590346939</v>
      </c>
      <c r="Q429" s="112">
        <v>0</v>
      </c>
      <c r="R429" s="112">
        <v>0</v>
      </c>
      <c r="S429" s="112">
        <f>SUMIF('JUNE (물량흐름)'!$C$13:$C$493,'WIP(재공품)'!B429,'JUNE (물량흐름)'!$T$13:$T$493)+SUMIF('JUNE (물량흐름)'!$C$13:$C$493,'WIP(재공품)'!B429,'JUNE (물량흐름)'!$U$13:$U$493)+SUMIF('JUNE (물량흐름)'!$C$13:$C$493,'WIP(재공품)'!B429,'JUNE (물량흐름)'!$V$13:$V$493)-SUMIF('JUNE (물량흐름)'!$C$13:$C$493,'WIP(재공품)'!B429,'JUNE (물량흐름)'!$Y$13:$Y$493)</f>
        <v>34605</v>
      </c>
      <c r="T429" s="112">
        <f>SUMIF('JUNE (물량흐름)'!$C$13:$C$502,'WIP(재공품)'!B429,'JUNE (물량흐름)'!$Y$13:$Y$502)</f>
        <v>0</v>
      </c>
      <c r="U429" s="167">
        <f>SUMIF('Direct labour(직접노무비)'!$C$12:$C$503,'WIP(재공품)'!B429,'Direct labour(직접노무비)'!$U$12:$U$503)+SUMIF('Overhead exp(제조경비)'!$C$12:$C$503,'WIP(재공품)'!B429,'Overhead exp(제조경비)'!$U$12:$U$503)</f>
        <v>0</v>
      </c>
      <c r="V429" s="112">
        <f>SUMIF('Direct labour(직접노무비)'!$C$12:$C$503,'WIP(재공품)'!B429,'Direct labour(직접노무비)'!$Q$12:$Q$503)</f>
        <v>534570955</v>
      </c>
      <c r="W429" s="112">
        <f>SUMIF('Overhead exp(제조경비)'!$C$12:$C$503,'WIP(재공품)'!B429,'Overhead exp(제조경비)'!$Q$12:$Q$503)</f>
        <v>1044411808</v>
      </c>
      <c r="X429" s="112">
        <f t="shared" si="60"/>
        <v>1578982763</v>
      </c>
      <c r="Y429" s="112">
        <f ca="1">ROUND(SUMIF('JUNE (물량흐름)'!$C$13:$C$502,'WIP(재공품)'!B429,'JUNE (물량흐름)'!$N$13:$N$488),0)</f>
        <v>375</v>
      </c>
      <c r="Z429" s="112">
        <f>ROUND(SUMIF('JUNE (물량흐름)'!$C$13:$C$502,'WIP(재공품)'!B429,'JUNE (물량흐름)'!$O$13:$O$502),0)</f>
        <v>1488</v>
      </c>
      <c r="AA429" s="112">
        <f>ROUND(SUMIF('JUNE (물량흐름)'!$C$13:$C$502,'WIP(재공품)'!B429,'JUNE (물량흐름)'!$P$13:$P$502),0)</f>
        <v>2820</v>
      </c>
      <c r="AB429" s="112">
        <f t="shared" ca="1" si="61"/>
        <v>4683</v>
      </c>
      <c r="AC429" s="112">
        <f t="shared" si="62"/>
        <v>213679418</v>
      </c>
      <c r="AD429" s="381">
        <f t="shared" ca="1" si="63"/>
        <v>0</v>
      </c>
      <c r="AE429" s="381">
        <f t="shared" si="64"/>
        <v>0</v>
      </c>
      <c r="AF429" s="382"/>
      <c r="AG429" s="382"/>
      <c r="AH429" s="383"/>
      <c r="AI429" s="383"/>
      <c r="AJ429" s="383"/>
      <c r="AL429" s="385"/>
      <c r="AM429" s="381"/>
      <c r="AN429" s="382"/>
      <c r="AO429" s="382"/>
      <c r="AP429" s="383"/>
      <c r="AQ429" s="383"/>
    </row>
    <row r="430" spans="1:43" s="384" customFormat="1" ht="27" customHeight="1">
      <c r="A430" s="167">
        <v>440</v>
      </c>
      <c r="B430" s="240">
        <f>VLOOKUP(A430,'JUNE (물량흐름)'!$A$13:$C$502,3,0)</f>
        <v>183034592</v>
      </c>
      <c r="C430" s="21" t="str">
        <f>VLOOKUP(A430,'JUNE (물량흐름)'!$A$13:$C$502,2,0)</f>
        <v>TALBOTS</v>
      </c>
      <c r="D430" s="212">
        <v>5.78</v>
      </c>
      <c r="E430" s="6">
        <f>VLOOKUP(B430,'Sales profit (스타일 별 매출이익)'!$D$9:$P$491,13,0)</f>
        <v>131061.5</v>
      </c>
      <c r="F430" s="112">
        <f>IFERROR(VLOOKUP(B430,O.B.JUNE!$N$7:$Q$448,2,0),0)</f>
        <v>0</v>
      </c>
      <c r="G430" s="112">
        <f>IFERROR(VLOOKUP(B430,O.B.JUNE!$N$7:$Q$448,3,0),0)</f>
        <v>292</v>
      </c>
      <c r="H430" s="112">
        <f>IFERROR(VLOOKUP(B430,O.B.JUNE!$N$7:$Q$448,4,0),0)</f>
        <v>1287</v>
      </c>
      <c r="I430" s="112">
        <f t="shared" si="57"/>
        <v>1579</v>
      </c>
      <c r="J430" s="112">
        <f>IFERROR(VLOOKUP(B430,O.B.JUNE!$AA$7:$AG$448,7,0),0)</f>
        <v>46695262</v>
      </c>
      <c r="K430" s="112">
        <f>IFERROR(VLOOKUP(B430,O.B.JUNE!$AI$7:$AO$448,7,0),0)</f>
        <v>91230327</v>
      </c>
      <c r="L430" s="112">
        <f t="shared" si="58"/>
        <v>137925589</v>
      </c>
      <c r="M430" s="112">
        <f>ROUND(SUMIF('JUNE (물량흐름)'!$C$13:$C$502,'WIP(재공품)'!B430,'JUNE (물량흐름)'!$H$13:$H$502)+SUMIF('JUNE (물량흐름)'!$C$13:$C$502,'WIP(재공품)'!B430,'JUNE (물량흐름)'!$V$13:$V$502),0)</f>
        <v>80</v>
      </c>
      <c r="N430" s="112">
        <f>SUMIF('Direct labour(직접노무비)'!$C$12:$C$503,'WIP(재공품)'!B430,'Direct labour(직접노무비)'!$O$12:$O$503)</f>
        <v>16862092</v>
      </c>
      <c r="O430" s="112">
        <f>SUMIF('Overhead exp(제조경비)'!$C$12:$C$503,'WIP(재공품)'!B430,'Overhead exp(제조경비)'!$O$12:$O$503)</f>
        <v>32944117</v>
      </c>
      <c r="P430" s="112">
        <f t="shared" si="59"/>
        <v>49806209</v>
      </c>
      <c r="Q430" s="112">
        <v>0</v>
      </c>
      <c r="R430" s="112">
        <v>0</v>
      </c>
      <c r="S430" s="112">
        <f>SUMIF('JUNE (물량흐름)'!$C$13:$C$493,'WIP(재공품)'!B430,'JUNE (물량흐름)'!$T$13:$T$493)+SUMIF('JUNE (물량흐름)'!$C$13:$C$493,'WIP(재공품)'!B430,'JUNE (물량흐름)'!$U$13:$U$493)+SUMIF('JUNE (물량흐름)'!$C$13:$C$493,'WIP(재공품)'!B430,'JUNE (물량흐름)'!$V$13:$V$493)-SUMIF('JUNE (물량흐름)'!$C$13:$C$493,'WIP(재공품)'!B430,'JUNE (물량흐름)'!$Y$13:$Y$493)</f>
        <v>1483</v>
      </c>
      <c r="T430" s="112">
        <f>SUMIF('JUNE (물량흐름)'!$C$13:$C$502,'WIP(재공품)'!B430,'JUNE (물량흐름)'!$Y$13:$Y$502)</f>
        <v>4</v>
      </c>
      <c r="U430" s="167">
        <f>SUMIF('Direct labour(직접노무비)'!$C$12:$C$503,'WIP(재공품)'!B430,'Direct labour(직접노무비)'!$U$12:$U$503)+SUMIF('Overhead exp(제조경비)'!$C$12:$C$503,'WIP(재공품)'!B430,'Overhead exp(제조경비)'!$U$12:$U$503)</f>
        <v>452639</v>
      </c>
      <c r="V430" s="112">
        <f>SUMIF('Direct labour(직접노무비)'!$C$12:$C$503,'WIP(재공품)'!B430,'Direct labour(직접노무비)'!$Q$12:$Q$503)</f>
        <v>56814681</v>
      </c>
      <c r="W430" s="112">
        <f>SUMIF('Overhead exp(제조경비)'!$C$12:$C$503,'WIP(재공품)'!B430,'Overhead exp(제조경비)'!$Q$12:$Q$503)</f>
        <v>111001025</v>
      </c>
      <c r="X430" s="112">
        <f t="shared" si="60"/>
        <v>167815706</v>
      </c>
      <c r="Y430" s="112">
        <f ca="1">ROUND(SUMIF('JUNE (물량흐름)'!$C$13:$C$502,'WIP(재공품)'!B430,'JUNE (물량흐름)'!$N$13:$N$488),0)</f>
        <v>0</v>
      </c>
      <c r="Z430" s="112">
        <f>ROUND(SUMIF('JUNE (물량흐름)'!$C$13:$C$502,'WIP(재공품)'!B430,'JUNE (물량흐름)'!$O$13:$O$502),0)</f>
        <v>108</v>
      </c>
      <c r="AA430" s="112">
        <f>ROUND(SUMIF('JUNE (물량흐름)'!$C$13:$C$502,'WIP(재공품)'!B430,'JUNE (물량흐름)'!$P$13:$P$502),0)</f>
        <v>64</v>
      </c>
      <c r="AB430" s="112">
        <f t="shared" ca="1" si="61"/>
        <v>172</v>
      </c>
      <c r="AC430" s="112">
        <f t="shared" si="62"/>
        <v>19463453</v>
      </c>
      <c r="AD430" s="381">
        <f t="shared" ca="1" si="63"/>
        <v>0</v>
      </c>
      <c r="AE430" s="381">
        <f t="shared" si="64"/>
        <v>0</v>
      </c>
      <c r="AF430" s="382"/>
      <c r="AG430" s="382"/>
      <c r="AH430" s="383"/>
      <c r="AI430" s="383"/>
      <c r="AJ430" s="383"/>
      <c r="AL430" s="385"/>
      <c r="AM430" s="381"/>
      <c r="AN430" s="382"/>
      <c r="AO430" s="382"/>
      <c r="AP430" s="383"/>
      <c r="AQ430" s="383"/>
    </row>
    <row r="431" spans="1:43" s="384" customFormat="1" ht="27" customHeight="1">
      <c r="A431" s="167">
        <v>441</v>
      </c>
      <c r="B431" s="240">
        <f>VLOOKUP(A431,'JUNE (물량흐름)'!$A$13:$C$502,3,0)</f>
        <v>476154</v>
      </c>
      <c r="C431" s="21" t="str">
        <f>VLOOKUP(A431,'JUNE (물량흐름)'!$A$13:$C$502,2,0)</f>
        <v>ANN TAYLOR</v>
      </c>
      <c r="D431" s="212">
        <v>2.11</v>
      </c>
      <c r="E431" s="6">
        <f>VLOOKUP(B431,'Sales profit (스타일 별 매출이익)'!$D$9:$P$491,13,0)</f>
        <v>47844.25</v>
      </c>
      <c r="F431" s="112">
        <f>IFERROR(VLOOKUP(B431,O.B.JUNE!$N$7:$Q$448,2,0),0)</f>
        <v>0</v>
      </c>
      <c r="G431" s="112">
        <f>IFERROR(VLOOKUP(B431,O.B.JUNE!$N$7:$Q$448,3,0),0)</f>
        <v>1293</v>
      </c>
      <c r="H431" s="112">
        <f>IFERROR(VLOOKUP(B431,O.B.JUNE!$N$7:$Q$448,4,0),0)</f>
        <v>5116</v>
      </c>
      <c r="I431" s="112">
        <f t="shared" si="57"/>
        <v>6409</v>
      </c>
      <c r="J431" s="112">
        <f>IFERROR(VLOOKUP(B431,O.B.JUNE!$AA$7:$AG$448,7,0),0)</f>
        <v>63083420</v>
      </c>
      <c r="K431" s="112">
        <f>IFERROR(VLOOKUP(B431,O.B.JUNE!$AI$7:$AO$448,7,0),0)</f>
        <v>123248500</v>
      </c>
      <c r="L431" s="112">
        <f t="shared" si="58"/>
        <v>186331920</v>
      </c>
      <c r="M431" s="112">
        <f>ROUND(SUMIF('JUNE (물량흐름)'!$C$13:$C$502,'WIP(재공품)'!B431,'JUNE (물량흐름)'!$H$13:$H$502)+SUMIF('JUNE (물량흐름)'!$C$13:$C$502,'WIP(재공품)'!B431,'JUNE (물량흐름)'!$V$13:$V$502),0)</f>
        <v>3704</v>
      </c>
      <c r="N431" s="112">
        <f>SUMIF('Direct labour(직접노무비)'!$C$12:$C$503,'WIP(재공품)'!B431,'Direct labour(직접노무비)'!$O$12:$O$503)</f>
        <v>74754284</v>
      </c>
      <c r="O431" s="112">
        <f>SUMIF('Overhead exp(제조경비)'!$C$12:$C$503,'WIP(재공품)'!B431,'Overhead exp(제조경비)'!$O$12:$O$503)</f>
        <v>146050317</v>
      </c>
      <c r="P431" s="112">
        <f t="shared" si="59"/>
        <v>220804601</v>
      </c>
      <c r="Q431" s="112">
        <v>0</v>
      </c>
      <c r="R431" s="112">
        <v>0</v>
      </c>
      <c r="S431" s="112">
        <f>SUMIF('JUNE (물량흐름)'!$C$13:$C$493,'WIP(재공품)'!B431,'JUNE (물량흐름)'!$T$13:$T$493)+SUMIF('JUNE (물량흐름)'!$C$13:$C$493,'WIP(재공품)'!B431,'JUNE (물량흐름)'!$U$13:$U$493)+SUMIF('JUNE (물량흐름)'!$C$13:$C$493,'WIP(재공품)'!B431,'JUNE (물량흐름)'!$V$13:$V$493)-SUMIF('JUNE (물량흐름)'!$C$13:$C$493,'WIP(재공품)'!B431,'JUNE (물량흐름)'!$Y$13:$Y$493)</f>
        <v>9170</v>
      </c>
      <c r="T431" s="112">
        <f>SUMIF('JUNE (물량흐름)'!$C$13:$C$502,'WIP(재공품)'!B431,'JUNE (물량흐름)'!$Y$13:$Y$502)</f>
        <v>20</v>
      </c>
      <c r="U431" s="167">
        <f>SUMIF('Direct labour(직접노무비)'!$C$12:$C$503,'WIP(재공품)'!B431,'Direct labour(직접노무비)'!$U$12:$U$503)+SUMIF('Overhead exp(제조경비)'!$C$12:$C$503,'WIP(재공품)'!B431,'Overhead exp(제조경비)'!$U$12:$U$503)</f>
        <v>805174</v>
      </c>
      <c r="V431" s="112">
        <f>SUMIF('Direct labour(직접노무비)'!$C$12:$C$503,'WIP(재공품)'!B431,'Direct labour(직접노무비)'!$Q$12:$Q$503)</f>
        <v>124984846</v>
      </c>
      <c r="W431" s="112">
        <f>SUMIF('Overhead exp(제조경비)'!$C$12:$C$503,'WIP(재공품)'!B431,'Overhead exp(제조경비)'!$Q$12:$Q$503)</f>
        <v>244187694</v>
      </c>
      <c r="X431" s="112">
        <f t="shared" si="60"/>
        <v>369172540</v>
      </c>
      <c r="Y431" s="112">
        <f ca="1">ROUND(SUMIF('JUNE (물량흐름)'!$C$13:$C$502,'WIP(재공품)'!B431,'JUNE (물량흐름)'!$N$13:$N$488),0)</f>
        <v>0</v>
      </c>
      <c r="Z431" s="112">
        <f>ROUND(SUMIF('JUNE (물량흐름)'!$C$13:$C$502,'WIP(재공품)'!B431,'JUNE (물량흐름)'!$O$13:$O$502),0)</f>
        <v>458</v>
      </c>
      <c r="AA431" s="112">
        <f>ROUND(SUMIF('JUNE (물량흐름)'!$C$13:$C$502,'WIP(재공품)'!B431,'JUNE (물량흐름)'!$P$13:$P$502),0)</f>
        <v>465</v>
      </c>
      <c r="AB431" s="112">
        <f t="shared" ca="1" si="61"/>
        <v>923</v>
      </c>
      <c r="AC431" s="112">
        <f t="shared" si="62"/>
        <v>37158807</v>
      </c>
      <c r="AD431" s="381">
        <f t="shared" ca="1" si="63"/>
        <v>0</v>
      </c>
      <c r="AE431" s="381">
        <f t="shared" si="64"/>
        <v>0</v>
      </c>
      <c r="AF431" s="382"/>
      <c r="AG431" s="382"/>
      <c r="AH431" s="383"/>
      <c r="AI431" s="383"/>
      <c r="AJ431" s="383"/>
      <c r="AL431" s="385"/>
      <c r="AM431" s="381"/>
      <c r="AN431" s="382"/>
      <c r="AO431" s="382"/>
      <c r="AP431" s="383"/>
      <c r="AQ431" s="383"/>
    </row>
    <row r="432" spans="1:43" s="384" customFormat="1" ht="27" customHeight="1">
      <c r="A432" s="167">
        <v>442</v>
      </c>
      <c r="B432" s="240">
        <f>VLOOKUP(A432,'JUNE (물량흐름)'!$A$13:$C$502,3,0)</f>
        <v>483830</v>
      </c>
      <c r="C432" s="21" t="str">
        <f>VLOOKUP(A432,'JUNE (물량흐름)'!$A$13:$C$502,2,0)</f>
        <v>ANN TAYLOR</v>
      </c>
      <c r="D432" s="212">
        <v>1.92</v>
      </c>
      <c r="E432" s="6">
        <f>VLOOKUP(B432,'Sales profit (스타일 별 매출이익)'!$D$9:$P$491,13,0)</f>
        <v>43536</v>
      </c>
      <c r="F432" s="112">
        <f>IFERROR(VLOOKUP(B432,O.B.JUNE!$N$7:$Q$448,2,0),0)</f>
        <v>1876</v>
      </c>
      <c r="G432" s="112">
        <f>IFERROR(VLOOKUP(B432,O.B.JUNE!$N$7:$Q$448,3,0),0)</f>
        <v>4576</v>
      </c>
      <c r="H432" s="112">
        <f>IFERROR(VLOOKUP(B432,O.B.JUNE!$N$7:$Q$448,4,0),0)</f>
        <v>2975</v>
      </c>
      <c r="I432" s="112">
        <f t="shared" si="57"/>
        <v>9427</v>
      </c>
      <c r="J432" s="112">
        <f>IFERROR(VLOOKUP(B432,O.B.JUNE!$AA$7:$AG$448,7,0),0)</f>
        <v>73657945</v>
      </c>
      <c r="K432" s="112">
        <f>IFERROR(VLOOKUP(B432,O.B.JUNE!$AI$7:$AO$448,7,0),0)</f>
        <v>143908357</v>
      </c>
      <c r="L432" s="112">
        <f t="shared" si="58"/>
        <v>217566302</v>
      </c>
      <c r="M432" s="112">
        <f>ROUND(SUMIF('JUNE (물량흐름)'!$C$13:$C$502,'WIP(재공품)'!B432,'JUNE (물량흐름)'!$H$13:$H$502)+SUMIF('JUNE (물량흐름)'!$C$13:$C$502,'WIP(재공품)'!B432,'JUNE (물량흐름)'!$V$13:$V$502),0)</f>
        <v>32315</v>
      </c>
      <c r="N432" s="112">
        <f>SUMIF('Direct labour(직접노무비)'!$C$12:$C$503,'WIP(재공품)'!B432,'Direct labour(직접노무비)'!$O$12:$O$503)</f>
        <v>468067804</v>
      </c>
      <c r="O432" s="112">
        <f>SUMIF('Overhead exp(제조경비)'!$C$12:$C$503,'WIP(재공품)'!B432,'Overhead exp(제조경비)'!$O$12:$O$503)</f>
        <v>914482048</v>
      </c>
      <c r="P432" s="112">
        <f t="shared" si="59"/>
        <v>1382549852</v>
      </c>
      <c r="Q432" s="112">
        <v>0</v>
      </c>
      <c r="R432" s="112">
        <v>0</v>
      </c>
      <c r="S432" s="112">
        <f>SUMIF('JUNE (물량흐름)'!$C$13:$C$493,'WIP(재공품)'!B432,'JUNE (물량흐름)'!$T$13:$T$493)+SUMIF('JUNE (물량흐름)'!$C$13:$C$493,'WIP(재공품)'!B432,'JUNE (물량흐름)'!$U$13:$U$493)+SUMIF('JUNE (물량흐름)'!$C$13:$C$493,'WIP(재공품)'!B432,'JUNE (물량흐름)'!$V$13:$V$493)-SUMIF('JUNE (물량흐름)'!$C$13:$C$493,'WIP(재공품)'!B432,'JUNE (물량흐름)'!$Y$13:$Y$493)</f>
        <v>35092</v>
      </c>
      <c r="T432" s="112">
        <f>SUMIF('JUNE (물량흐름)'!$C$13:$C$502,'WIP(재공품)'!B432,'JUNE (물량흐름)'!$Y$13:$Y$502)</f>
        <v>74</v>
      </c>
      <c r="U432" s="167">
        <f>SUMIF('Direct labour(직접노무비)'!$C$12:$C$503,'WIP(재공품)'!B432,'Direct labour(직접노무비)'!$U$12:$U$503)+SUMIF('Overhead exp(제조경비)'!$C$12:$C$503,'WIP(재공품)'!B432,'Overhead exp(제조경비)'!$U$12:$U$503)</f>
        <v>2836678</v>
      </c>
      <c r="V432" s="112">
        <f>SUMIF('Direct labour(직접노무비)'!$C$12:$C$503,'WIP(재공품)'!B432,'Direct labour(직접노무비)'!$Q$12:$Q$503)</f>
        <v>455422356</v>
      </c>
      <c r="W432" s="112">
        <f>SUMIF('Overhead exp(제조경비)'!$C$12:$C$503,'WIP(재공품)'!B432,'Overhead exp(제조경비)'!$Q$12:$Q$503)</f>
        <v>889776151</v>
      </c>
      <c r="X432" s="112">
        <f t="shared" si="60"/>
        <v>1345198507</v>
      </c>
      <c r="Y432" s="112">
        <f ca="1">ROUND(SUMIF('JUNE (물량흐름)'!$C$13:$C$502,'WIP(재공품)'!B432,'JUNE (물량흐름)'!$N$13:$N$488),0)</f>
        <v>397</v>
      </c>
      <c r="Z432" s="112">
        <f>ROUND(SUMIF('JUNE (물량흐름)'!$C$13:$C$502,'WIP(재공품)'!B432,'JUNE (물량흐름)'!$O$13:$O$502),0)</f>
        <v>1274</v>
      </c>
      <c r="AA432" s="112">
        <f>ROUND(SUMIF('JUNE (물량흐름)'!$C$13:$C$502,'WIP(재공품)'!B432,'JUNE (물량흐름)'!$P$13:$P$502),0)</f>
        <v>4905</v>
      </c>
      <c r="AB432" s="112">
        <f t="shared" ca="1" si="61"/>
        <v>6576</v>
      </c>
      <c r="AC432" s="112">
        <f t="shared" si="62"/>
        <v>252080969</v>
      </c>
      <c r="AD432" s="381">
        <f t="shared" ca="1" si="63"/>
        <v>0</v>
      </c>
      <c r="AE432" s="381">
        <f t="shared" si="64"/>
        <v>0</v>
      </c>
      <c r="AF432" s="382"/>
      <c r="AG432" s="382"/>
      <c r="AH432" s="383"/>
      <c r="AI432" s="383"/>
      <c r="AJ432" s="383"/>
      <c r="AL432" s="385"/>
      <c r="AM432" s="381"/>
      <c r="AN432" s="382"/>
      <c r="AO432" s="382"/>
      <c r="AP432" s="383"/>
      <c r="AQ432" s="383"/>
    </row>
    <row r="433" spans="1:43" s="384" customFormat="1" ht="27" customHeight="1">
      <c r="A433" s="167">
        <v>443</v>
      </c>
      <c r="B433" s="240">
        <f>VLOOKUP(A433,'JUNE (물량흐름)'!$A$13:$C$502,3,0)</f>
        <v>79718</v>
      </c>
      <c r="C433" s="21" t="str">
        <f>VLOOKUP(A433,'JUNE (물량흐름)'!$A$13:$C$502,2,0)</f>
        <v>ALFANI</v>
      </c>
      <c r="D433" s="212">
        <v>2.5</v>
      </c>
      <c r="E433" s="6">
        <f>VLOOKUP(B433,'Sales profit (스타일 별 매출이익)'!$D$9:$P$491,13,0)</f>
        <v>56687.5</v>
      </c>
      <c r="F433" s="112">
        <f>IFERROR(VLOOKUP(B433,O.B.JUNE!$N$7:$Q$448,2,0),0)</f>
        <v>0</v>
      </c>
      <c r="G433" s="112">
        <f>IFERROR(VLOOKUP(B433,O.B.JUNE!$N$7:$Q$448,3,0),0)</f>
        <v>0</v>
      </c>
      <c r="H433" s="112">
        <f>IFERROR(VLOOKUP(B433,O.B.JUNE!$N$7:$Q$448,4,0),0)</f>
        <v>0</v>
      </c>
      <c r="I433" s="112">
        <f t="shared" si="57"/>
        <v>0</v>
      </c>
      <c r="J433" s="112">
        <f>IFERROR(VLOOKUP(B433,O.B.JUNE!$AA$7:$AG$448,7,0),0)</f>
        <v>0</v>
      </c>
      <c r="K433" s="112">
        <f>IFERROR(VLOOKUP(B433,O.B.JUNE!$AI$7:$AO$448,7,0),0)</f>
        <v>0</v>
      </c>
      <c r="L433" s="112">
        <f t="shared" si="58"/>
        <v>0</v>
      </c>
      <c r="M433" s="112">
        <f>ROUND(SUMIF('JUNE (물량흐름)'!$C$13:$C$502,'WIP(재공품)'!B433,'JUNE (물량흐름)'!$H$13:$H$502)+SUMIF('JUNE (물량흐름)'!$C$13:$C$502,'WIP(재공품)'!B433,'JUNE (물량흐름)'!$V$13:$V$502),0)</f>
        <v>5399</v>
      </c>
      <c r="N433" s="112">
        <f>SUMIF('Direct labour(직접노무비)'!$C$12:$C$503,'WIP(재공품)'!B433,'Direct labour(직접노무비)'!$O$12:$O$503)</f>
        <v>80804772</v>
      </c>
      <c r="O433" s="112">
        <f>SUMIF('Overhead exp(제조경비)'!$C$12:$C$503,'WIP(재공품)'!B433,'Overhead exp(제조경비)'!$O$12:$O$503)</f>
        <v>157871387</v>
      </c>
      <c r="P433" s="112">
        <f t="shared" si="59"/>
        <v>238676159</v>
      </c>
      <c r="Q433" s="112">
        <v>0</v>
      </c>
      <c r="R433" s="112">
        <v>0</v>
      </c>
      <c r="S433" s="112">
        <f>SUMIF('JUNE (물량흐름)'!$C$13:$C$493,'WIP(재공품)'!B433,'JUNE (물량흐름)'!$T$13:$T$493)+SUMIF('JUNE (물량흐름)'!$C$13:$C$493,'WIP(재공품)'!B433,'JUNE (물량흐름)'!$U$13:$U$493)+SUMIF('JUNE (물량흐름)'!$C$13:$C$493,'WIP(재공품)'!B433,'JUNE (물량흐름)'!$V$13:$V$493)-SUMIF('JUNE (물량흐름)'!$C$13:$C$493,'WIP(재공품)'!B433,'JUNE (물량흐름)'!$Y$13:$Y$493)</f>
        <v>3120</v>
      </c>
      <c r="T433" s="112">
        <f>SUMIF('JUNE (물량흐름)'!$C$13:$C$502,'WIP(재공품)'!B433,'JUNE (물량흐름)'!$Y$13:$Y$502)</f>
        <v>0</v>
      </c>
      <c r="U433" s="167">
        <f>SUMIF('Direct labour(직접노무비)'!$C$12:$C$503,'WIP(재공품)'!B433,'Direct labour(직접노무비)'!$U$12:$U$503)+SUMIF('Overhead exp(제조경비)'!$C$12:$C$503,'WIP(재공품)'!B433,'Overhead exp(제조경비)'!$U$12:$U$503)</f>
        <v>0</v>
      </c>
      <c r="V433" s="112">
        <f>SUMIF('Direct labour(직접노무비)'!$C$12:$C$503,'WIP(재공품)'!B433,'Direct labour(직접노무비)'!$Q$12:$Q$503)</f>
        <v>46695849</v>
      </c>
      <c r="W433" s="112">
        <f>SUMIF('Overhead exp(제조경비)'!$C$12:$C$503,'WIP(재공품)'!B433,'Overhead exp(제조경비)'!$Q$12:$Q$503)</f>
        <v>91231474</v>
      </c>
      <c r="X433" s="112">
        <f t="shared" si="60"/>
        <v>137927323</v>
      </c>
      <c r="Y433" s="112">
        <f ca="1">ROUND(SUMIF('JUNE (물량흐름)'!$C$13:$C$502,'WIP(재공품)'!B433,'JUNE (물량흐름)'!$N$13:$N$488),0)</f>
        <v>1</v>
      </c>
      <c r="Z433" s="112">
        <f>ROUND(SUMIF('JUNE (물량흐름)'!$C$13:$C$502,'WIP(재공품)'!B433,'JUNE (물량흐름)'!$O$13:$O$502),0)</f>
        <v>1113</v>
      </c>
      <c r="AA433" s="112">
        <f>ROUND(SUMIF('JUNE (물량흐름)'!$C$13:$C$502,'WIP(재공품)'!B433,'JUNE (물량흐름)'!$P$13:$P$502),0)</f>
        <v>1165</v>
      </c>
      <c r="AB433" s="112">
        <f t="shared" ca="1" si="61"/>
        <v>2279</v>
      </c>
      <c r="AC433" s="112">
        <f t="shared" si="62"/>
        <v>100748836</v>
      </c>
      <c r="AD433" s="381">
        <f t="shared" ca="1" si="63"/>
        <v>0</v>
      </c>
      <c r="AE433" s="381">
        <f t="shared" si="64"/>
        <v>0</v>
      </c>
      <c r="AF433" s="382"/>
      <c r="AG433" s="382"/>
      <c r="AH433" s="383"/>
      <c r="AI433" s="383"/>
      <c r="AJ433" s="383"/>
      <c r="AL433" s="385"/>
      <c r="AM433" s="381"/>
      <c r="AN433" s="382"/>
      <c r="AO433" s="382"/>
      <c r="AP433" s="383"/>
      <c r="AQ433" s="383"/>
    </row>
    <row r="434" spans="1:43" s="384" customFormat="1" ht="27" customHeight="1">
      <c r="A434" s="167">
        <v>444</v>
      </c>
      <c r="B434" s="240">
        <f>VLOOKUP(A434,'JUNE (물량흐름)'!$A$13:$C$502,3,0)</f>
        <v>470392</v>
      </c>
      <c r="C434" s="21" t="str">
        <f>VLOOKUP(A434,'JUNE (물량흐름)'!$A$13:$C$502,2,0)</f>
        <v>ANN TAYLOR</v>
      </c>
      <c r="D434" s="212">
        <v>2.15</v>
      </c>
      <c r="E434" s="6">
        <f>VLOOKUP(B434,'Sales profit (스타일 별 매출이익)'!$D$9:$P$491,13,0)</f>
        <v>48751.25</v>
      </c>
      <c r="F434" s="112">
        <f>IFERROR(VLOOKUP(B434,O.B.JUNE!$N$7:$Q$448,2,0),0)</f>
        <v>0</v>
      </c>
      <c r="G434" s="112">
        <f>IFERROR(VLOOKUP(B434,O.B.JUNE!$N$7:$Q$448,3,0),0)</f>
        <v>0</v>
      </c>
      <c r="H434" s="112">
        <f>IFERROR(VLOOKUP(B434,O.B.JUNE!$N$7:$Q$448,4,0),0)</f>
        <v>0</v>
      </c>
      <c r="I434" s="112">
        <f t="shared" si="57"/>
        <v>0</v>
      </c>
      <c r="J434" s="112">
        <f>IFERROR(VLOOKUP(B434,O.B.JUNE!$AA$7:$AG$448,7,0),0)</f>
        <v>0</v>
      </c>
      <c r="K434" s="112">
        <f>IFERROR(VLOOKUP(B434,O.B.JUNE!$AI$7:$AO$448,7,0),0)</f>
        <v>0</v>
      </c>
      <c r="L434" s="112">
        <f t="shared" si="58"/>
        <v>0</v>
      </c>
      <c r="M434" s="112">
        <f>ROUND(SUMIF('JUNE (물량흐름)'!$C$13:$C$502,'WIP(재공품)'!B434,'JUNE (물량흐름)'!$H$13:$H$502)+SUMIF('JUNE (물량흐름)'!$C$13:$C$502,'WIP(재공품)'!B434,'JUNE (물량흐름)'!$V$13:$V$502),0)</f>
        <v>4122</v>
      </c>
      <c r="N434" s="112">
        <f>SUMIF('Direct labour(직접노무비)'!$C$12:$C$503,'WIP(재공품)'!B434,'Direct labour(직접노무비)'!$O$12:$O$503)</f>
        <v>31542087</v>
      </c>
      <c r="O434" s="112">
        <f>SUMIF('Overhead exp(제조경비)'!$C$12:$C$503,'WIP(재공품)'!B434,'Overhead exp(제조경비)'!$O$12:$O$503)</f>
        <v>61624988</v>
      </c>
      <c r="P434" s="112">
        <f t="shared" ref="P434:P487" si="65">ROUND(N434+O434,0)</f>
        <v>93167075</v>
      </c>
      <c r="Q434" s="112">
        <v>0</v>
      </c>
      <c r="R434" s="112">
        <v>0</v>
      </c>
      <c r="S434" s="112">
        <f>SUMIF('JUNE (물량흐름)'!$C$13:$C$493,'WIP(재공품)'!B434,'JUNE (물량흐름)'!$T$13:$T$493)+SUMIF('JUNE (물량흐름)'!$C$13:$C$493,'WIP(재공품)'!B434,'JUNE (물량흐름)'!$U$13:$U$493)+SUMIF('JUNE (물량흐름)'!$C$13:$C$493,'WIP(재공품)'!B434,'JUNE (물량흐름)'!$V$13:$V$493)-SUMIF('JUNE (물량흐름)'!$C$13:$C$493,'WIP(재공품)'!B434,'JUNE (물량흐름)'!$Y$13:$Y$493)</f>
        <v>0</v>
      </c>
      <c r="T434" s="112">
        <f>SUMIF('JUNE (물량흐름)'!$C$13:$C$502,'WIP(재공품)'!B434,'JUNE (물량흐름)'!$Y$13:$Y$502)</f>
        <v>0</v>
      </c>
      <c r="U434" s="167">
        <f>SUMIF('Direct labour(직접노무비)'!$C$12:$C$503,'WIP(재공품)'!B434,'Direct labour(직접노무비)'!$U$12:$U$503)+SUMIF('Overhead exp(제조경비)'!$C$12:$C$503,'WIP(재공품)'!B434,'Overhead exp(제조경비)'!$U$12:$U$503)</f>
        <v>0</v>
      </c>
      <c r="V434" s="112">
        <f>SUMIF('Direct labour(직접노무비)'!$C$12:$C$503,'WIP(재공품)'!B434,'Direct labour(직접노무비)'!$Q$12:$Q$503)</f>
        <v>0</v>
      </c>
      <c r="W434" s="112">
        <f>SUMIF('Overhead exp(제조경비)'!$C$12:$C$503,'WIP(재공품)'!B434,'Overhead exp(제조경비)'!$Q$12:$Q$503)</f>
        <v>0</v>
      </c>
      <c r="X434" s="112">
        <f t="shared" ref="X434:X487" si="66">ROUND(V434+W434,0)</f>
        <v>0</v>
      </c>
      <c r="Y434" s="112">
        <f ca="1">ROUND(SUMIF('JUNE (물량흐름)'!$C$13:$C$502,'WIP(재공품)'!B434,'JUNE (물량흐름)'!$N$13:$N$488),0)</f>
        <v>798</v>
      </c>
      <c r="Z434" s="112">
        <f>ROUND(SUMIF('JUNE (물량흐름)'!$C$13:$C$502,'WIP(재공품)'!B434,'JUNE (물량흐름)'!$O$13:$O$502),0)</f>
        <v>2424</v>
      </c>
      <c r="AA434" s="112">
        <f>ROUND(SUMIF('JUNE (물량흐름)'!$C$13:$C$502,'WIP(재공품)'!B434,'JUNE (물량흐름)'!$P$13:$P$502),0)</f>
        <v>900</v>
      </c>
      <c r="AB434" s="112">
        <f t="shared" ref="AB434:AB487" ca="1" si="67">ROUND(SUM(Y434:AA434),0)</f>
        <v>4122</v>
      </c>
      <c r="AC434" s="112">
        <f t="shared" ref="AC434:AC487" si="68">ROUND(L434+P434-X434-U434,0)</f>
        <v>93167075</v>
      </c>
      <c r="AD434" s="381">
        <f t="shared" ref="AD434:AD487" ca="1" si="69">I434+M434-S434-T434-AB434</f>
        <v>0</v>
      </c>
      <c r="AE434" s="381">
        <f t="shared" ref="AE434:AE487" si="70">+L434+P434-X434-U434-AC434</f>
        <v>0</v>
      </c>
      <c r="AF434" s="382"/>
      <c r="AG434" s="382"/>
      <c r="AH434" s="383"/>
      <c r="AI434" s="383"/>
      <c r="AJ434" s="383"/>
      <c r="AL434" s="385"/>
      <c r="AM434" s="381"/>
      <c r="AN434" s="382"/>
      <c r="AO434" s="382"/>
      <c r="AP434" s="383"/>
      <c r="AQ434" s="383"/>
    </row>
    <row r="435" spans="1:43" s="384" customFormat="1" ht="27" customHeight="1">
      <c r="A435" s="167">
        <v>445</v>
      </c>
      <c r="B435" s="240">
        <f>VLOOKUP(A435,'JUNE (물량흐름)'!$A$13:$C$502,3,0)</f>
        <v>471300</v>
      </c>
      <c r="C435" s="21" t="str">
        <f>VLOOKUP(A435,'JUNE (물량흐름)'!$A$13:$C$502,2,0)</f>
        <v>ANN TAYLOR</v>
      </c>
      <c r="D435" s="212">
        <v>3.65</v>
      </c>
      <c r="E435" s="6">
        <f>VLOOKUP(B435,'Sales profit (스타일 별 매출이익)'!$D$9:$P$491,13,0)</f>
        <v>82763.75</v>
      </c>
      <c r="F435" s="112">
        <f>IFERROR(VLOOKUP(B435,O.B.JUNE!$N$7:$Q$448,2,0),0)</f>
        <v>0</v>
      </c>
      <c r="G435" s="112">
        <f>IFERROR(VLOOKUP(B435,O.B.JUNE!$N$7:$Q$448,3,0),0)</f>
        <v>0</v>
      </c>
      <c r="H435" s="112">
        <f>IFERROR(VLOOKUP(B435,O.B.JUNE!$N$7:$Q$448,4,0),0)</f>
        <v>0</v>
      </c>
      <c r="I435" s="112">
        <f t="shared" si="57"/>
        <v>0</v>
      </c>
      <c r="J435" s="112">
        <f>IFERROR(VLOOKUP(B435,O.B.JUNE!$AA$7:$AG$448,7,0),0)</f>
        <v>0</v>
      </c>
      <c r="K435" s="112">
        <f>IFERROR(VLOOKUP(B435,O.B.JUNE!$AI$7:$AO$448,7,0),0)</f>
        <v>0</v>
      </c>
      <c r="L435" s="112">
        <f t="shared" si="58"/>
        <v>0</v>
      </c>
      <c r="M435" s="112">
        <f>ROUND(SUMIF('JUNE (물량흐름)'!$C$13:$C$502,'WIP(재공품)'!B435,'JUNE (물량흐름)'!$H$13:$H$502)+SUMIF('JUNE (물량흐름)'!$C$13:$C$502,'WIP(재공품)'!B435,'JUNE (물량흐름)'!$V$13:$V$502),0)</f>
        <v>1308</v>
      </c>
      <c r="N435" s="112">
        <f>SUMIF('Direct labour(직접노무비)'!$C$12:$C$503,'WIP(재공품)'!B435,'Direct labour(직접노무비)'!$O$12:$O$503)</f>
        <v>31995814</v>
      </c>
      <c r="O435" s="112">
        <f>SUMIF('Overhead exp(제조경비)'!$C$12:$C$503,'WIP(재공품)'!B435,'Overhead exp(제조경비)'!$O$12:$O$503)</f>
        <v>62511452</v>
      </c>
      <c r="P435" s="112">
        <f t="shared" si="65"/>
        <v>94507266</v>
      </c>
      <c r="Q435" s="112">
        <v>0</v>
      </c>
      <c r="R435" s="112">
        <v>0</v>
      </c>
      <c r="S435" s="112">
        <f>SUMIF('JUNE (물량흐름)'!$C$13:$C$493,'WIP(재공품)'!B435,'JUNE (물량흐름)'!$T$13:$T$493)+SUMIF('JUNE (물량흐름)'!$C$13:$C$493,'WIP(재공품)'!B435,'JUNE (물량흐름)'!$U$13:$U$493)+SUMIF('JUNE (물량흐름)'!$C$13:$C$493,'WIP(재공품)'!B435,'JUNE (물량흐름)'!$V$13:$V$493)-SUMIF('JUNE (물량흐름)'!$C$13:$C$493,'WIP(재공품)'!B435,'JUNE (물량흐름)'!$Y$13:$Y$493)</f>
        <v>1143</v>
      </c>
      <c r="T435" s="112">
        <f>SUMIF('JUNE (물량흐름)'!$C$13:$C$502,'WIP(재공품)'!B435,'JUNE (물량흐름)'!$Y$13:$Y$502)</f>
        <v>12</v>
      </c>
      <c r="U435" s="167">
        <f>SUMIF('Direct labour(직접노무비)'!$C$12:$C$503,'WIP(재공품)'!B435,'Direct labour(직접노무비)'!$U$12:$U$503)+SUMIF('Overhead exp(제조경비)'!$C$12:$C$503,'WIP(재공품)'!B435,'Overhead exp(제조경비)'!$U$12:$U$503)</f>
        <v>867040</v>
      </c>
      <c r="V435" s="112">
        <f>SUMIF('Direct labour(직접노무비)'!$C$12:$C$503,'WIP(재공품)'!B435,'Direct labour(직접노무비)'!$Q$12:$Q$503)</f>
        <v>27959645</v>
      </c>
      <c r="W435" s="112">
        <f>SUMIF('Overhead exp(제조경비)'!$C$12:$C$503,'WIP(재공품)'!B435,'Overhead exp(제조경비)'!$Q$12:$Q$503)</f>
        <v>54625833</v>
      </c>
      <c r="X435" s="112">
        <f t="shared" si="66"/>
        <v>82585478</v>
      </c>
      <c r="Y435" s="112">
        <f ca="1">ROUND(SUMIF('JUNE (물량흐름)'!$C$13:$C$502,'WIP(재공품)'!B435,'JUNE (물량흐름)'!$N$13:$N$488),0)</f>
        <v>0</v>
      </c>
      <c r="Z435" s="112">
        <f>ROUND(SUMIF('JUNE (물량흐름)'!$C$13:$C$502,'WIP(재공품)'!B435,'JUNE (물량흐름)'!$O$13:$O$502),0)</f>
        <v>91</v>
      </c>
      <c r="AA435" s="112">
        <f>ROUND(SUMIF('JUNE (물량흐름)'!$C$13:$C$502,'WIP(재공품)'!B435,'JUNE (물량흐름)'!$P$13:$P$502),0)</f>
        <v>62</v>
      </c>
      <c r="AB435" s="112">
        <f t="shared" ca="1" si="67"/>
        <v>153</v>
      </c>
      <c r="AC435" s="112">
        <f t="shared" si="68"/>
        <v>11054748</v>
      </c>
      <c r="AD435" s="381">
        <f t="shared" ca="1" si="69"/>
        <v>0</v>
      </c>
      <c r="AE435" s="381">
        <f t="shared" si="70"/>
        <v>0</v>
      </c>
      <c r="AF435" s="382"/>
      <c r="AG435" s="382"/>
      <c r="AH435" s="383"/>
      <c r="AI435" s="383"/>
      <c r="AJ435" s="383"/>
      <c r="AL435" s="385"/>
      <c r="AM435" s="381"/>
      <c r="AN435" s="382"/>
      <c r="AO435" s="382"/>
      <c r="AP435" s="383"/>
      <c r="AQ435" s="383"/>
    </row>
    <row r="436" spans="1:43" s="384" customFormat="1" ht="27" customHeight="1">
      <c r="A436" s="167">
        <v>446</v>
      </c>
      <c r="B436" s="240">
        <f>VLOOKUP(A436,'JUNE (물량흐름)'!$A$13:$C$502,3,0)</f>
        <v>474934</v>
      </c>
      <c r="C436" s="21" t="str">
        <f>VLOOKUP(A436,'JUNE (물량흐름)'!$A$13:$C$502,2,0)</f>
        <v>ANN TAYLOR</v>
      </c>
      <c r="D436" s="212">
        <v>1.91</v>
      </c>
      <c r="E436" s="6">
        <f>VLOOKUP(B436,'Sales profit (스타일 별 매출이익)'!$D$9:$P$491,13,0)</f>
        <v>43309.25</v>
      </c>
      <c r="F436" s="112">
        <f>IFERROR(VLOOKUP(B436,O.B.JUNE!$N$7:$Q$448,2,0),0)</f>
        <v>0</v>
      </c>
      <c r="G436" s="112">
        <f>IFERROR(VLOOKUP(B436,O.B.JUNE!$N$7:$Q$448,3,0),0)</f>
        <v>0</v>
      </c>
      <c r="H436" s="112">
        <f>IFERROR(VLOOKUP(B436,O.B.JUNE!$N$7:$Q$448,4,0),0)</f>
        <v>0</v>
      </c>
      <c r="I436" s="112">
        <f t="shared" si="57"/>
        <v>0</v>
      </c>
      <c r="J436" s="112">
        <f>IFERROR(VLOOKUP(B436,O.B.JUNE!$AA$7:$AG$448,7,0),0)</f>
        <v>0</v>
      </c>
      <c r="K436" s="112">
        <f>IFERROR(VLOOKUP(B436,O.B.JUNE!$AI$7:$AO$448,7,0),0)</f>
        <v>0</v>
      </c>
      <c r="L436" s="112">
        <f t="shared" si="58"/>
        <v>0</v>
      </c>
      <c r="M436" s="112">
        <f>ROUND(SUMIF('JUNE (물량흐름)'!$C$13:$C$502,'WIP(재공품)'!B436,'JUNE (물량흐름)'!$H$13:$H$502)+SUMIF('JUNE (물량흐름)'!$C$13:$C$502,'WIP(재공품)'!B436,'JUNE (물량흐름)'!$V$13:$V$502),0)</f>
        <v>8958</v>
      </c>
      <c r="N436" s="112">
        <f>SUMIF('Direct labour(직접노무비)'!$C$12:$C$503,'WIP(재공품)'!B436,'Direct labour(직접노무비)'!$O$12:$O$503)</f>
        <v>62069706</v>
      </c>
      <c r="O436" s="112">
        <f>SUMIF('Overhead exp(제조경비)'!$C$12:$C$503,'WIP(재공품)'!B436,'Overhead exp(제조경비)'!$O$12:$O$503)</f>
        <v>121267969</v>
      </c>
      <c r="P436" s="112">
        <f t="shared" si="65"/>
        <v>183337675</v>
      </c>
      <c r="Q436" s="112">
        <v>0</v>
      </c>
      <c r="R436" s="112">
        <v>0</v>
      </c>
      <c r="S436" s="112">
        <f>SUMIF('JUNE (물량흐름)'!$C$13:$C$493,'WIP(재공품)'!B436,'JUNE (물량흐름)'!$T$13:$T$493)+SUMIF('JUNE (물량흐름)'!$C$13:$C$493,'WIP(재공품)'!B436,'JUNE (물량흐름)'!$U$13:$U$493)+SUMIF('JUNE (물량흐름)'!$C$13:$C$493,'WIP(재공품)'!B436,'JUNE (물량흐름)'!$V$13:$V$493)-SUMIF('JUNE (물량흐름)'!$C$13:$C$493,'WIP(재공품)'!B436,'JUNE (물량흐름)'!$Y$13:$Y$493)</f>
        <v>1573</v>
      </c>
      <c r="T436" s="112">
        <f>SUMIF('JUNE (물량흐름)'!$C$13:$C$502,'WIP(재공품)'!B436,'JUNE (물량흐름)'!$Y$13:$Y$502)</f>
        <v>0</v>
      </c>
      <c r="U436" s="167">
        <f>SUMIF('Direct labour(직접노무비)'!$C$12:$C$503,'WIP(재공품)'!B436,'Direct labour(직접노무비)'!$U$12:$U$503)+SUMIF('Overhead exp(제조경비)'!$C$12:$C$503,'WIP(재공품)'!B436,'Overhead exp(제조경비)'!$U$12:$U$503)</f>
        <v>0</v>
      </c>
      <c r="V436" s="112">
        <f>SUMIF('Direct labour(직접노무비)'!$C$12:$C$503,'WIP(재공품)'!B436,'Direct labour(직접노무비)'!$Q$12:$Q$503)</f>
        <v>10899269</v>
      </c>
      <c r="W436" s="112">
        <f>SUMIF('Overhead exp(제조경비)'!$C$12:$C$503,'WIP(재공품)'!B436,'Overhead exp(제조경비)'!$Q$12:$Q$503)</f>
        <v>21294320</v>
      </c>
      <c r="X436" s="112">
        <f t="shared" si="66"/>
        <v>32193589</v>
      </c>
      <c r="Y436" s="112">
        <f ca="1">ROUND(SUMIF('JUNE (물량흐름)'!$C$13:$C$502,'WIP(재공품)'!B436,'JUNE (물량흐름)'!$N$13:$N$488),0)</f>
        <v>4217</v>
      </c>
      <c r="Z436" s="112">
        <f>ROUND(SUMIF('JUNE (물량흐름)'!$C$13:$C$502,'WIP(재공품)'!B436,'JUNE (물량흐름)'!$O$13:$O$502),0)</f>
        <v>1055</v>
      </c>
      <c r="AA436" s="112">
        <f>ROUND(SUMIF('JUNE (물량흐름)'!$C$13:$C$502,'WIP(재공품)'!B436,'JUNE (물량흐름)'!$P$13:$P$502),0)</f>
        <v>2113</v>
      </c>
      <c r="AB436" s="112">
        <f t="shared" ca="1" si="67"/>
        <v>7385</v>
      </c>
      <c r="AC436" s="112">
        <f t="shared" si="68"/>
        <v>151144086</v>
      </c>
      <c r="AD436" s="381">
        <f t="shared" ca="1" si="69"/>
        <v>0</v>
      </c>
      <c r="AE436" s="381">
        <f t="shared" si="70"/>
        <v>0</v>
      </c>
      <c r="AF436" s="382"/>
      <c r="AG436" s="382"/>
      <c r="AH436" s="383"/>
      <c r="AI436" s="383"/>
      <c r="AJ436" s="383"/>
      <c r="AL436" s="385"/>
      <c r="AM436" s="381"/>
      <c r="AN436" s="382"/>
      <c r="AO436" s="382"/>
      <c r="AP436" s="383"/>
      <c r="AQ436" s="383"/>
    </row>
    <row r="437" spans="1:43" s="384" customFormat="1" ht="27" customHeight="1">
      <c r="A437" s="167">
        <v>447</v>
      </c>
      <c r="B437" s="240">
        <f>VLOOKUP(A437,'JUNE (물량흐름)'!$A$13:$C$502,3,0)</f>
        <v>474935</v>
      </c>
      <c r="C437" s="21" t="str">
        <f>VLOOKUP(A437,'JUNE (물량흐름)'!$A$13:$C$502,2,0)</f>
        <v>ANN TAYLOR</v>
      </c>
      <c r="D437" s="212">
        <v>1.71</v>
      </c>
      <c r="E437" s="6">
        <f>VLOOKUP(B437,'Sales profit (스타일 별 매출이익)'!$D$9:$P$491,13,0)</f>
        <v>38774.25</v>
      </c>
      <c r="F437" s="112">
        <f>IFERROR(VLOOKUP(B437,O.B.JUNE!$N$7:$Q$448,2,0),0)</f>
        <v>0</v>
      </c>
      <c r="G437" s="112">
        <f>IFERROR(VLOOKUP(B437,O.B.JUNE!$N$7:$Q$448,3,0),0)</f>
        <v>0</v>
      </c>
      <c r="H437" s="112">
        <f>IFERROR(VLOOKUP(B437,O.B.JUNE!$N$7:$Q$448,4,0),0)</f>
        <v>0</v>
      </c>
      <c r="I437" s="112">
        <f t="shared" si="57"/>
        <v>0</v>
      </c>
      <c r="J437" s="112">
        <f>IFERROR(VLOOKUP(B437,O.B.JUNE!$AA$7:$AG$448,7,0),0)</f>
        <v>0</v>
      </c>
      <c r="K437" s="112">
        <f>IFERROR(VLOOKUP(B437,O.B.JUNE!$AI$7:$AO$448,7,0),0)</f>
        <v>0</v>
      </c>
      <c r="L437" s="112">
        <f t="shared" si="58"/>
        <v>0</v>
      </c>
      <c r="M437" s="112">
        <f>ROUND(SUMIF('JUNE (물량흐름)'!$C$13:$C$502,'WIP(재공품)'!B437,'JUNE (물량흐름)'!$H$13:$H$502)+SUMIF('JUNE (물량흐름)'!$C$13:$C$502,'WIP(재공품)'!B437,'JUNE (물량흐름)'!$V$13:$V$502),0)</f>
        <v>11898</v>
      </c>
      <c r="N437" s="112">
        <f>SUMIF('Direct labour(직접노무비)'!$C$12:$C$503,'WIP(재공품)'!B437,'Direct labour(직접노무비)'!$O$12:$O$503)</f>
        <v>139093537</v>
      </c>
      <c r="O437" s="112">
        <f>SUMIF('Overhead exp(제조경비)'!$C$12:$C$503,'WIP(재공품)'!B437,'Overhead exp(제조경비)'!$O$12:$O$503)</f>
        <v>271752386</v>
      </c>
      <c r="P437" s="112">
        <f t="shared" si="65"/>
        <v>410845923</v>
      </c>
      <c r="Q437" s="112">
        <v>0</v>
      </c>
      <c r="R437" s="112">
        <v>0</v>
      </c>
      <c r="S437" s="112">
        <f>SUMIF('JUNE (물량흐름)'!$C$13:$C$493,'WIP(재공품)'!B437,'JUNE (물량흐름)'!$T$13:$T$493)+SUMIF('JUNE (물량흐름)'!$C$13:$C$493,'WIP(재공품)'!B437,'JUNE (물량흐름)'!$U$13:$U$493)+SUMIF('JUNE (물량흐름)'!$C$13:$C$493,'WIP(재공품)'!B437,'JUNE (물량흐름)'!$V$13:$V$493)-SUMIF('JUNE (물량흐름)'!$C$13:$C$493,'WIP(재공품)'!B437,'JUNE (물량흐름)'!$Y$13:$Y$493)</f>
        <v>10844</v>
      </c>
      <c r="T437" s="112">
        <f>SUMIF('JUNE (물량흐름)'!$C$13:$C$502,'WIP(재공품)'!B437,'JUNE (물량흐름)'!$Y$13:$Y$502)</f>
        <v>20</v>
      </c>
      <c r="U437" s="167">
        <f>SUMIF('Direct labour(직접노무비)'!$C$12:$C$503,'WIP(재공품)'!B437,'Direct labour(직접노무비)'!$U$12:$U$503)+SUMIF('Overhead exp(제조경비)'!$C$12:$C$503,'WIP(재공품)'!B437,'Overhead exp(제조경비)'!$U$12:$U$503)</f>
        <v>690613</v>
      </c>
      <c r="V437" s="112">
        <f>SUMIF('Direct labour(직접노무비)'!$C$12:$C$503,'WIP(재공품)'!B437,'Direct labour(직접노무비)'!$Q$12:$Q$503)</f>
        <v>126771753</v>
      </c>
      <c r="W437" s="112">
        <f>SUMIF('Overhead exp(제조경비)'!$C$12:$C$503,'WIP(재공품)'!B437,'Overhead exp(제조경비)'!$Q$12:$Q$503)</f>
        <v>247678843</v>
      </c>
      <c r="X437" s="112">
        <f t="shared" si="66"/>
        <v>374450596</v>
      </c>
      <c r="Y437" s="112">
        <f ca="1">ROUND(SUMIF('JUNE (물량흐름)'!$C$13:$C$502,'WIP(재공품)'!B437,'JUNE (물량흐름)'!$N$13:$N$488),0)</f>
        <v>0</v>
      </c>
      <c r="Z437" s="112">
        <f>ROUND(SUMIF('JUNE (물량흐름)'!$C$13:$C$502,'WIP(재공품)'!B437,'JUNE (물량흐름)'!$O$13:$O$502),0)</f>
        <v>308</v>
      </c>
      <c r="AA437" s="112">
        <f>ROUND(SUMIF('JUNE (물량흐름)'!$C$13:$C$502,'WIP(재공품)'!B437,'JUNE (물량흐름)'!$P$13:$P$502),0)</f>
        <v>726</v>
      </c>
      <c r="AB437" s="112">
        <f t="shared" ca="1" si="67"/>
        <v>1034</v>
      </c>
      <c r="AC437" s="112">
        <f t="shared" si="68"/>
        <v>35704714</v>
      </c>
      <c r="AD437" s="381">
        <f t="shared" ca="1" si="69"/>
        <v>0</v>
      </c>
      <c r="AE437" s="381">
        <f t="shared" si="70"/>
        <v>0</v>
      </c>
      <c r="AF437" s="382"/>
      <c r="AG437" s="382"/>
      <c r="AH437" s="383"/>
      <c r="AI437" s="383"/>
      <c r="AJ437" s="383"/>
      <c r="AL437" s="385"/>
      <c r="AM437" s="381"/>
      <c r="AN437" s="382"/>
      <c r="AO437" s="382"/>
      <c r="AP437" s="383"/>
      <c r="AQ437" s="383"/>
    </row>
    <row r="438" spans="1:43" s="384" customFormat="1" ht="27" customHeight="1">
      <c r="A438" s="167">
        <v>448</v>
      </c>
      <c r="B438" s="240">
        <f>VLOOKUP(A438,'JUNE (물량흐름)'!$A$13:$C$502,3,0)</f>
        <v>474937</v>
      </c>
      <c r="C438" s="21" t="str">
        <f>VLOOKUP(A438,'JUNE (물량흐름)'!$A$13:$C$502,2,0)</f>
        <v>ANN TAYLOR</v>
      </c>
      <c r="D438" s="212">
        <v>1.65</v>
      </c>
      <c r="E438" s="6">
        <f>VLOOKUP(B438,'Sales profit (스타일 별 매출이익)'!$D$9:$P$491,13,0)</f>
        <v>37413.75</v>
      </c>
      <c r="F438" s="112">
        <f>IFERROR(VLOOKUP(B438,O.B.JUNE!$N$7:$Q$448,2,0),0)</f>
        <v>0</v>
      </c>
      <c r="G438" s="112">
        <f>IFERROR(VLOOKUP(B438,O.B.JUNE!$N$7:$Q$448,3,0),0)</f>
        <v>0</v>
      </c>
      <c r="H438" s="112">
        <f>IFERROR(VLOOKUP(B438,O.B.JUNE!$N$7:$Q$448,4,0),0)</f>
        <v>0</v>
      </c>
      <c r="I438" s="112">
        <f t="shared" si="57"/>
        <v>0</v>
      </c>
      <c r="J438" s="112">
        <f>IFERROR(VLOOKUP(B438,O.B.JUNE!$AA$7:$AG$448,7,0),0)</f>
        <v>0</v>
      </c>
      <c r="K438" s="112">
        <f>IFERROR(VLOOKUP(B438,O.B.JUNE!$AI$7:$AO$448,7,0),0)</f>
        <v>0</v>
      </c>
      <c r="L438" s="112">
        <f t="shared" si="58"/>
        <v>0</v>
      </c>
      <c r="M438" s="112">
        <f>ROUND(SUMIF('JUNE (물량흐름)'!$C$13:$C$502,'WIP(재공품)'!B438,'JUNE (물량흐름)'!$H$13:$H$502)+SUMIF('JUNE (물량흐름)'!$C$13:$C$502,'WIP(재공품)'!B438,'JUNE (물량흐름)'!$V$13:$V$502),0)</f>
        <v>13094</v>
      </c>
      <c r="N438" s="112">
        <f>SUMIF('Direct labour(직접노무비)'!$C$12:$C$503,'WIP(재공품)'!B438,'Direct labour(직접노무비)'!$O$12:$O$503)</f>
        <v>123833795</v>
      </c>
      <c r="O438" s="112">
        <f>SUMIF('Overhead exp(제조경비)'!$C$12:$C$503,'WIP(재공품)'!B438,'Overhead exp(제조경비)'!$O$12:$O$503)</f>
        <v>241938842</v>
      </c>
      <c r="P438" s="112">
        <f t="shared" si="65"/>
        <v>365772637</v>
      </c>
      <c r="Q438" s="112">
        <v>0</v>
      </c>
      <c r="R438" s="112">
        <v>0</v>
      </c>
      <c r="S438" s="112">
        <f>SUMIF('JUNE (물량흐름)'!$C$13:$C$493,'WIP(재공품)'!B438,'JUNE (물량흐름)'!$T$13:$T$493)+SUMIF('JUNE (물량흐름)'!$C$13:$C$493,'WIP(재공품)'!B438,'JUNE (물량흐름)'!$U$13:$U$493)+SUMIF('JUNE (물량흐름)'!$C$13:$C$493,'WIP(재공품)'!B438,'JUNE (물량흐름)'!$V$13:$V$493)-SUMIF('JUNE (물량흐름)'!$C$13:$C$493,'WIP(재공품)'!B438,'JUNE (물량흐름)'!$Y$13:$Y$493)</f>
        <v>7124</v>
      </c>
      <c r="T438" s="112">
        <f>SUMIF('JUNE (물량흐름)'!$C$13:$C$502,'WIP(재공품)'!B438,'JUNE (물량흐름)'!$Y$13:$Y$502)</f>
        <v>0</v>
      </c>
      <c r="U438" s="167">
        <f>SUMIF('Direct labour(직접노무비)'!$C$12:$C$503,'WIP(재공품)'!B438,'Direct labour(직접노무비)'!$U$12:$U$503)+SUMIF('Overhead exp(제조경비)'!$C$12:$C$503,'WIP(재공품)'!B438,'Overhead exp(제조경비)'!$U$12:$U$503)</f>
        <v>0</v>
      </c>
      <c r="V438" s="112">
        <f>SUMIF('Direct labour(직접노무비)'!$C$12:$C$503,'WIP(재공품)'!B438,'Direct labour(직접노무비)'!$Q$12:$Q$503)</f>
        <v>67373756</v>
      </c>
      <c r="W438" s="112">
        <f>SUMIF('Overhead exp(제조경비)'!$C$12:$C$503,'WIP(재공품)'!B438,'Overhead exp(제조경비)'!$Q$12:$Q$503)</f>
        <v>131630694</v>
      </c>
      <c r="X438" s="112">
        <f t="shared" si="66"/>
        <v>199004450</v>
      </c>
      <c r="Y438" s="112">
        <f ca="1">ROUND(SUMIF('JUNE (물량흐름)'!$C$13:$C$502,'WIP(재공품)'!B438,'JUNE (물량흐름)'!$N$13:$N$488),0)</f>
        <v>0</v>
      </c>
      <c r="Z438" s="112">
        <f>ROUND(SUMIF('JUNE (물량흐름)'!$C$13:$C$502,'WIP(재공품)'!B438,'JUNE (물량흐름)'!$O$13:$O$502),0)</f>
        <v>3992</v>
      </c>
      <c r="AA438" s="112">
        <f>ROUND(SUMIF('JUNE (물량흐름)'!$C$13:$C$502,'WIP(재공품)'!B438,'JUNE (물량흐름)'!$P$13:$P$502),0)</f>
        <v>1978</v>
      </c>
      <c r="AB438" s="112">
        <f t="shared" ca="1" si="67"/>
        <v>5970</v>
      </c>
      <c r="AC438" s="112">
        <f t="shared" si="68"/>
        <v>166768187</v>
      </c>
      <c r="AD438" s="381">
        <f t="shared" ca="1" si="69"/>
        <v>0</v>
      </c>
      <c r="AE438" s="381">
        <f t="shared" si="70"/>
        <v>0</v>
      </c>
      <c r="AF438" s="382"/>
      <c r="AG438" s="382"/>
      <c r="AH438" s="383"/>
      <c r="AI438" s="383"/>
      <c r="AJ438" s="383"/>
      <c r="AL438" s="385"/>
      <c r="AM438" s="381"/>
      <c r="AN438" s="382"/>
      <c r="AO438" s="382"/>
      <c r="AP438" s="383"/>
      <c r="AQ438" s="383"/>
    </row>
    <row r="439" spans="1:43" s="384" customFormat="1" ht="27" customHeight="1">
      <c r="A439" s="167">
        <v>449</v>
      </c>
      <c r="B439" s="240">
        <f>VLOOKUP(A439,'JUNE (물량흐름)'!$A$13:$C$502,3,0)</f>
        <v>476557</v>
      </c>
      <c r="C439" s="21" t="str">
        <f>VLOOKUP(A439,'JUNE (물량흐름)'!$A$13:$C$502,2,0)</f>
        <v>ANN TAYLOR</v>
      </c>
      <c r="D439" s="212">
        <v>1.5</v>
      </c>
      <c r="E439" s="6">
        <f>VLOOKUP(B439,'Sales profit (스타일 별 매출이익)'!$D$9:$P$491,13,0)</f>
        <v>34012.5</v>
      </c>
      <c r="F439" s="112">
        <f>IFERROR(VLOOKUP(B439,O.B.JUNE!$N$7:$Q$448,2,0),0)</f>
        <v>0</v>
      </c>
      <c r="G439" s="112">
        <f>IFERROR(VLOOKUP(B439,O.B.JUNE!$N$7:$Q$448,3,0),0)</f>
        <v>0</v>
      </c>
      <c r="H439" s="112">
        <f>IFERROR(VLOOKUP(B439,O.B.JUNE!$N$7:$Q$448,4,0),0)</f>
        <v>0</v>
      </c>
      <c r="I439" s="112">
        <f t="shared" ref="I439:I492" si="71">SUM(F439:H439)</f>
        <v>0</v>
      </c>
      <c r="J439" s="112">
        <f>IFERROR(VLOOKUP(B439,O.B.JUNE!$AA$7:$AG$448,7,0),0)</f>
        <v>0</v>
      </c>
      <c r="K439" s="112">
        <f>IFERROR(VLOOKUP(B439,O.B.JUNE!$AI$7:$AO$448,7,0),0)</f>
        <v>0</v>
      </c>
      <c r="L439" s="112">
        <f t="shared" ref="L439:L492" si="72">ROUND(J439+K439,0)</f>
        <v>0</v>
      </c>
      <c r="M439" s="112">
        <f>ROUND(SUMIF('JUNE (물량흐름)'!$C$13:$C$502,'WIP(재공품)'!B439,'JUNE (물량흐름)'!$H$13:$H$502)+SUMIF('JUNE (물량흐름)'!$C$13:$C$502,'WIP(재공품)'!B439,'JUNE (물량흐름)'!$V$13:$V$502),0)</f>
        <v>1400</v>
      </c>
      <c r="N439" s="112">
        <f>SUMIF('Direct labour(직접노무비)'!$C$12:$C$503,'WIP(재공품)'!B439,'Direct labour(직접노무비)'!$O$12:$O$503)</f>
        <v>12107567</v>
      </c>
      <c r="O439" s="112">
        <f>SUMIF('Overhead exp(제조경비)'!$C$12:$C$503,'WIP(재공품)'!B439,'Overhead exp(제조경비)'!$O$12:$O$503)</f>
        <v>23655018</v>
      </c>
      <c r="P439" s="112">
        <f t="shared" si="65"/>
        <v>35762585</v>
      </c>
      <c r="Q439" s="112">
        <v>0</v>
      </c>
      <c r="R439" s="112">
        <v>0</v>
      </c>
      <c r="S439" s="112">
        <f>SUMIF('JUNE (물량흐름)'!$C$13:$C$493,'WIP(재공품)'!B439,'JUNE (물량흐름)'!$T$13:$T$493)+SUMIF('JUNE (물량흐름)'!$C$13:$C$493,'WIP(재공품)'!B439,'JUNE (물량흐름)'!$U$13:$U$493)+SUMIF('JUNE (물량흐름)'!$C$13:$C$493,'WIP(재공품)'!B439,'JUNE (물량흐름)'!$V$13:$V$493)-SUMIF('JUNE (물량흐름)'!$C$13:$C$493,'WIP(재공품)'!B439,'JUNE (물량흐름)'!$Y$13:$Y$493)</f>
        <v>199</v>
      </c>
      <c r="T439" s="112">
        <f>SUMIF('JUNE (물량흐름)'!$C$13:$C$502,'WIP(재공품)'!B439,'JUNE (물량흐름)'!$Y$13:$Y$502)</f>
        <v>0</v>
      </c>
      <c r="U439" s="167">
        <f>SUMIF('Direct labour(직접노무비)'!$C$12:$C$503,'WIP(재공품)'!B439,'Direct labour(직접노무비)'!$U$12:$U$503)+SUMIF('Overhead exp(제조경비)'!$C$12:$C$503,'WIP(재공품)'!B439,'Overhead exp(제조경비)'!$U$12:$U$503)</f>
        <v>0</v>
      </c>
      <c r="V439" s="112">
        <f>SUMIF('Direct labour(직접노무비)'!$C$12:$C$503,'WIP(재공품)'!B439,'Direct labour(직접노무비)'!$Q$12:$Q$503)</f>
        <v>1721004</v>
      </c>
      <c r="W439" s="112">
        <f>SUMIF('Overhead exp(제조경비)'!$C$12:$C$503,'WIP(재공품)'!B439,'Overhead exp(제조경비)'!$Q$12:$Q$503)</f>
        <v>3362392</v>
      </c>
      <c r="X439" s="112">
        <f t="shared" si="66"/>
        <v>5083396</v>
      </c>
      <c r="Y439" s="112">
        <f ca="1">ROUND(SUMIF('JUNE (물량흐름)'!$C$13:$C$502,'WIP(재공품)'!B439,'JUNE (물량흐름)'!$N$13:$N$488),0)</f>
        <v>0</v>
      </c>
      <c r="Z439" s="112">
        <f>ROUND(SUMIF('JUNE (물량흐름)'!$C$13:$C$502,'WIP(재공품)'!B439,'JUNE (물량흐름)'!$O$13:$O$502),0)</f>
        <v>31</v>
      </c>
      <c r="AA439" s="112">
        <f>ROUND(SUMIF('JUNE (물량흐름)'!$C$13:$C$502,'WIP(재공품)'!B439,'JUNE (물량흐름)'!$P$13:$P$502),0)</f>
        <v>1170</v>
      </c>
      <c r="AB439" s="112">
        <f t="shared" ca="1" si="67"/>
        <v>1201</v>
      </c>
      <c r="AC439" s="112">
        <f t="shared" si="68"/>
        <v>30679189</v>
      </c>
      <c r="AD439" s="381">
        <f t="shared" ca="1" si="69"/>
        <v>0</v>
      </c>
      <c r="AE439" s="381">
        <f t="shared" si="70"/>
        <v>0</v>
      </c>
      <c r="AF439" s="382"/>
      <c r="AG439" s="382"/>
      <c r="AH439" s="383"/>
      <c r="AI439" s="383"/>
      <c r="AJ439" s="383"/>
      <c r="AL439" s="385"/>
      <c r="AM439" s="381"/>
      <c r="AN439" s="382"/>
      <c r="AO439" s="382"/>
      <c r="AP439" s="383"/>
      <c r="AQ439" s="383"/>
    </row>
    <row r="440" spans="1:43" s="384" customFormat="1" ht="27" customHeight="1">
      <c r="A440" s="167">
        <v>450</v>
      </c>
      <c r="B440" s="240">
        <f>VLOOKUP(A440,'JUNE (물량흐름)'!$A$13:$C$502,3,0)</f>
        <v>100018225</v>
      </c>
      <c r="C440" s="21" t="str">
        <f>VLOOKUP(A440,'JUNE (물량흐름)'!$A$13:$C$502,2,0)</f>
        <v>ALFANI</v>
      </c>
      <c r="D440" s="212">
        <v>3.4</v>
      </c>
      <c r="E440" s="6">
        <f>VLOOKUP(B440,'Sales profit (스타일 별 매출이익)'!$D$9:$P$491,13,0)</f>
        <v>77095</v>
      </c>
      <c r="F440" s="112">
        <f>IFERROR(VLOOKUP(B440,O.B.JUNE!$N$7:$Q$448,2,0),0)</f>
        <v>0</v>
      </c>
      <c r="G440" s="112">
        <f>IFERROR(VLOOKUP(B440,O.B.JUNE!$N$7:$Q$448,3,0),0)</f>
        <v>0</v>
      </c>
      <c r="H440" s="112">
        <f>IFERROR(VLOOKUP(B440,O.B.JUNE!$N$7:$Q$448,4,0),0)</f>
        <v>0</v>
      </c>
      <c r="I440" s="112">
        <f t="shared" si="71"/>
        <v>0</v>
      </c>
      <c r="J440" s="112">
        <f>IFERROR(VLOOKUP(B440,O.B.JUNE!$AA$7:$AG$448,7,0),0)</f>
        <v>0</v>
      </c>
      <c r="K440" s="112">
        <f>IFERROR(VLOOKUP(B440,O.B.JUNE!$AI$7:$AO$448,7,0),0)</f>
        <v>0</v>
      </c>
      <c r="L440" s="112">
        <f t="shared" si="72"/>
        <v>0</v>
      </c>
      <c r="M440" s="112">
        <f>ROUND(SUMIF('JUNE (물량흐름)'!$C$13:$C$502,'WIP(재공품)'!B440,'JUNE (물량흐름)'!$H$13:$H$502)+SUMIF('JUNE (물량흐름)'!$C$13:$C$502,'WIP(재공품)'!B440,'JUNE (물량흐름)'!$V$13:$V$502),0)</f>
        <v>1884</v>
      </c>
      <c r="N440" s="112">
        <f>SUMIF('Direct labour(직접노무비)'!$C$12:$C$503,'WIP(재공품)'!B440,'Direct labour(직접노무비)'!$O$12:$O$503)</f>
        <v>26800045</v>
      </c>
      <c r="O440" s="112">
        <f>SUMIF('Overhead exp(제조경비)'!$C$12:$C$503,'WIP(재공품)'!B440,'Overhead exp(제조경비)'!$O$12:$O$503)</f>
        <v>52360277</v>
      </c>
      <c r="P440" s="112">
        <f t="shared" si="65"/>
        <v>79160322</v>
      </c>
      <c r="Q440" s="112">
        <v>0</v>
      </c>
      <c r="R440" s="112">
        <v>0</v>
      </c>
      <c r="S440" s="112">
        <f>SUMIF('JUNE (물량흐름)'!$C$13:$C$493,'WIP(재공품)'!B440,'JUNE (물량흐름)'!$T$13:$T$493)+SUMIF('JUNE (물량흐름)'!$C$13:$C$493,'WIP(재공품)'!B440,'JUNE (물량흐름)'!$U$13:$U$493)+SUMIF('JUNE (물량흐름)'!$C$13:$C$493,'WIP(재공품)'!B440,'JUNE (물량흐름)'!$V$13:$V$493)-SUMIF('JUNE (물량흐름)'!$C$13:$C$493,'WIP(재공품)'!B440,'JUNE (물량흐름)'!$Y$13:$Y$493)</f>
        <v>255</v>
      </c>
      <c r="T440" s="112">
        <f>SUMIF('JUNE (물량흐름)'!$C$13:$C$502,'WIP(재공품)'!B440,'JUNE (물량흐름)'!$Y$13:$Y$502)</f>
        <v>0</v>
      </c>
      <c r="U440" s="167">
        <f>SUMIF('Direct labour(직접노무비)'!$C$12:$C$503,'WIP(재공품)'!B440,'Direct labour(직접노무비)'!$U$12:$U$503)+SUMIF('Overhead exp(제조경비)'!$C$12:$C$503,'WIP(재공품)'!B440,'Overhead exp(제조경비)'!$U$12:$U$503)</f>
        <v>0</v>
      </c>
      <c r="V440" s="112">
        <f>SUMIF('Direct labour(직접노무비)'!$C$12:$C$503,'WIP(재공품)'!B440,'Direct labour(직접노무비)'!$Q$12:$Q$503)</f>
        <v>3627395</v>
      </c>
      <c r="W440" s="112">
        <f>SUMIF('Overhead exp(제조경비)'!$C$12:$C$503,'WIP(재공품)'!B440,'Overhead exp(제조경비)'!$Q$12:$Q$503)</f>
        <v>7086980</v>
      </c>
      <c r="X440" s="112">
        <f t="shared" si="66"/>
        <v>10714375</v>
      </c>
      <c r="Y440" s="112">
        <f ca="1">ROUND(SUMIF('JUNE (물량흐름)'!$C$13:$C$502,'WIP(재공품)'!B440,'JUNE (물량흐름)'!$N$13:$N$488),0)</f>
        <v>46</v>
      </c>
      <c r="Z440" s="112">
        <f>ROUND(SUMIF('JUNE (물량흐름)'!$C$13:$C$502,'WIP(재공품)'!B440,'JUNE (물량흐름)'!$O$13:$O$502),0)</f>
        <v>1354</v>
      </c>
      <c r="AA440" s="112">
        <f>ROUND(SUMIF('JUNE (물량흐름)'!$C$13:$C$502,'WIP(재공품)'!B440,'JUNE (물량흐름)'!$P$13:$P$502),0)</f>
        <v>229</v>
      </c>
      <c r="AB440" s="112">
        <f t="shared" ca="1" si="67"/>
        <v>1629</v>
      </c>
      <c r="AC440" s="112">
        <f t="shared" si="68"/>
        <v>68445947</v>
      </c>
      <c r="AD440" s="381">
        <f t="shared" ca="1" si="69"/>
        <v>0</v>
      </c>
      <c r="AE440" s="381">
        <f t="shared" si="70"/>
        <v>0</v>
      </c>
      <c r="AF440" s="382"/>
      <c r="AG440" s="382"/>
      <c r="AH440" s="383"/>
      <c r="AI440" s="383"/>
      <c r="AJ440" s="383"/>
      <c r="AL440" s="385"/>
      <c r="AM440" s="381"/>
      <c r="AN440" s="382"/>
      <c r="AO440" s="382"/>
      <c r="AP440" s="383"/>
      <c r="AQ440" s="383"/>
    </row>
    <row r="441" spans="1:43" s="384" customFormat="1" ht="27" customHeight="1">
      <c r="A441" s="167">
        <v>451</v>
      </c>
      <c r="B441" s="240">
        <f>VLOOKUP(A441,'JUNE (물량흐름)'!$A$13:$C$502,3,0)</f>
        <v>100018230</v>
      </c>
      <c r="C441" s="21" t="str">
        <f>VLOOKUP(A441,'JUNE (물량흐름)'!$A$13:$C$502,2,0)</f>
        <v>ALFANI</v>
      </c>
      <c r="D441" s="212">
        <v>2.06</v>
      </c>
      <c r="E441" s="6">
        <f>VLOOKUP(B441,'Sales profit (스타일 별 매출이익)'!$D$9:$P$491,13,0)</f>
        <v>46710.5</v>
      </c>
      <c r="F441" s="112">
        <f>IFERROR(VLOOKUP(B441,O.B.JUNE!$N$7:$Q$448,2,0),0)</f>
        <v>0</v>
      </c>
      <c r="G441" s="112">
        <f>IFERROR(VLOOKUP(B441,O.B.JUNE!$N$7:$Q$448,3,0),0)</f>
        <v>0</v>
      </c>
      <c r="H441" s="112">
        <f>IFERROR(VLOOKUP(B441,O.B.JUNE!$N$7:$Q$448,4,0),0)</f>
        <v>0</v>
      </c>
      <c r="I441" s="112">
        <f t="shared" si="71"/>
        <v>0</v>
      </c>
      <c r="J441" s="112">
        <f>IFERROR(VLOOKUP(B441,O.B.JUNE!$AA$7:$AG$448,7,0),0)</f>
        <v>0</v>
      </c>
      <c r="K441" s="112">
        <f>IFERROR(VLOOKUP(B441,O.B.JUNE!$AI$7:$AO$448,7,0),0)</f>
        <v>0</v>
      </c>
      <c r="L441" s="112">
        <f t="shared" si="72"/>
        <v>0</v>
      </c>
      <c r="M441" s="112">
        <f>ROUND(SUMIF('JUNE (물량흐름)'!$C$13:$C$502,'WIP(재공품)'!B441,'JUNE (물량흐름)'!$H$13:$H$502)+SUMIF('JUNE (물량흐름)'!$C$13:$C$502,'WIP(재공품)'!B441,'JUNE (물량흐름)'!$V$13:$V$502),0)</f>
        <v>5184</v>
      </c>
      <c r="N441" s="112">
        <f>SUMIF('Direct labour(직접노무비)'!$C$12:$C$503,'WIP(재공품)'!B441,'Direct labour(직접노무비)'!$O$12:$O$503)</f>
        <v>74008545</v>
      </c>
      <c r="O441" s="112">
        <f>SUMIF('Overhead exp(제조경비)'!$C$12:$C$503,'WIP(재공품)'!B441,'Overhead exp(제조경비)'!$O$12:$O$503)</f>
        <v>144593338</v>
      </c>
      <c r="P441" s="112">
        <f t="shared" si="65"/>
        <v>218601883</v>
      </c>
      <c r="Q441" s="112">
        <v>0</v>
      </c>
      <c r="R441" s="112">
        <v>0</v>
      </c>
      <c r="S441" s="112">
        <f>SUMIF('JUNE (물량흐름)'!$C$13:$C$493,'WIP(재공품)'!B441,'JUNE (물량흐름)'!$T$13:$T$493)+SUMIF('JUNE (물량흐름)'!$C$13:$C$493,'WIP(재공품)'!B441,'JUNE (물량흐름)'!$U$13:$U$493)+SUMIF('JUNE (물량흐름)'!$C$13:$C$493,'WIP(재공품)'!B441,'JUNE (물량흐름)'!$V$13:$V$493)-SUMIF('JUNE (물량흐름)'!$C$13:$C$493,'WIP(재공품)'!B441,'JUNE (물량흐름)'!$Y$13:$Y$493)</f>
        <v>4877</v>
      </c>
      <c r="T441" s="112">
        <f>SUMIF('JUNE (물량흐름)'!$C$13:$C$502,'WIP(재공품)'!B441,'JUNE (물량흐름)'!$Y$13:$Y$502)</f>
        <v>4</v>
      </c>
      <c r="U441" s="167">
        <f>SUMIF('Direct labour(직접노무비)'!$C$12:$C$503,'WIP(재공품)'!B441,'Direct labour(직접노무비)'!$U$12:$U$503)+SUMIF('Overhead exp(제조경비)'!$C$12:$C$503,'WIP(재공품)'!B441,'Overhead exp(제조경비)'!$U$12:$U$503)</f>
        <v>168674</v>
      </c>
      <c r="V441" s="112">
        <f>SUMIF('Direct labour(직접노무비)'!$C$12:$C$503,'WIP(재공품)'!B441,'Direct labour(직접노무비)'!$Q$12:$Q$503)</f>
        <v>69625709</v>
      </c>
      <c r="W441" s="112">
        <f>SUMIF('Overhead exp(제조경비)'!$C$12:$C$503,'WIP(재공품)'!B441,'Overhead exp(제조경비)'!$Q$12:$Q$503)</f>
        <v>136030422</v>
      </c>
      <c r="X441" s="112">
        <f t="shared" si="66"/>
        <v>205656131</v>
      </c>
      <c r="Y441" s="112">
        <f ca="1">ROUND(SUMIF('JUNE (물량흐름)'!$C$13:$C$502,'WIP(재공품)'!B441,'JUNE (물량흐름)'!$N$13:$N$488),0)</f>
        <v>0</v>
      </c>
      <c r="Z441" s="112">
        <f>ROUND(SUMIF('JUNE (물량흐름)'!$C$13:$C$502,'WIP(재공품)'!B441,'JUNE (물량흐름)'!$O$13:$O$502),0)</f>
        <v>0</v>
      </c>
      <c r="AA441" s="112">
        <f>ROUND(SUMIF('JUNE (물량흐름)'!$C$13:$C$502,'WIP(재공품)'!B441,'JUNE (물량흐름)'!$P$13:$P$502),0)</f>
        <v>303</v>
      </c>
      <c r="AB441" s="112">
        <f t="shared" ca="1" si="67"/>
        <v>303</v>
      </c>
      <c r="AC441" s="112">
        <f t="shared" si="68"/>
        <v>12777078</v>
      </c>
      <c r="AD441" s="381">
        <f t="shared" ca="1" si="69"/>
        <v>0</v>
      </c>
      <c r="AE441" s="381">
        <f t="shared" si="70"/>
        <v>0</v>
      </c>
      <c r="AF441" s="382"/>
      <c r="AG441" s="382"/>
      <c r="AH441" s="383"/>
      <c r="AI441" s="383"/>
      <c r="AJ441" s="383"/>
      <c r="AL441" s="385"/>
      <c r="AM441" s="381"/>
      <c r="AN441" s="382"/>
      <c r="AO441" s="382"/>
      <c r="AP441" s="383"/>
      <c r="AQ441" s="383"/>
    </row>
    <row r="442" spans="1:43" s="384" customFormat="1" ht="27" customHeight="1">
      <c r="A442" s="167">
        <v>452</v>
      </c>
      <c r="B442" s="240">
        <f>VLOOKUP(A442,'JUNE (물량흐름)'!$A$13:$C$502,3,0)</f>
        <v>100024454</v>
      </c>
      <c r="C442" s="21" t="str">
        <f>VLOOKUP(A442,'JUNE (물량흐름)'!$A$13:$C$502,2,0)</f>
        <v>ALFANI</v>
      </c>
      <c r="D442" s="212">
        <v>1.25</v>
      </c>
      <c r="E442" s="6">
        <f>VLOOKUP(B442,'Sales profit (스타일 별 매출이익)'!$D$9:$P$491,13,0)</f>
        <v>28343.75</v>
      </c>
      <c r="F442" s="112">
        <f>IFERROR(VLOOKUP(B442,O.B.JUNE!$N$7:$Q$448,2,0),0)</f>
        <v>0</v>
      </c>
      <c r="G442" s="112">
        <f>IFERROR(VLOOKUP(B442,O.B.JUNE!$N$7:$Q$448,3,0),0)</f>
        <v>0</v>
      </c>
      <c r="H442" s="112">
        <f>IFERROR(VLOOKUP(B442,O.B.JUNE!$N$7:$Q$448,4,0),0)</f>
        <v>0</v>
      </c>
      <c r="I442" s="112">
        <f t="shared" si="71"/>
        <v>0</v>
      </c>
      <c r="J442" s="112">
        <f>IFERROR(VLOOKUP(B442,O.B.JUNE!$AA$7:$AG$448,7,0),0)</f>
        <v>0</v>
      </c>
      <c r="K442" s="112">
        <f>IFERROR(VLOOKUP(B442,O.B.JUNE!$AI$7:$AO$448,7,0),0)</f>
        <v>0</v>
      </c>
      <c r="L442" s="112">
        <f t="shared" si="72"/>
        <v>0</v>
      </c>
      <c r="M442" s="112">
        <f>ROUND(SUMIF('JUNE (물량흐름)'!$C$13:$C$502,'WIP(재공품)'!B442,'JUNE (물량흐름)'!$H$13:$H$502)+SUMIF('JUNE (물량흐름)'!$C$13:$C$502,'WIP(재공품)'!B442,'JUNE (물량흐름)'!$V$13:$V$502),0)</f>
        <v>1146</v>
      </c>
      <c r="N442" s="112">
        <f>SUMIF('Direct labour(직접노무비)'!$C$12:$C$503,'WIP(재공품)'!B442,'Direct labour(직접노무비)'!$O$12:$O$503)</f>
        <v>9712702</v>
      </c>
      <c r="O442" s="112">
        <f>SUMIF('Overhead exp(제조경비)'!$C$12:$C$503,'WIP(재공품)'!B442,'Overhead exp(제조경비)'!$O$12:$O$503)</f>
        <v>18976079</v>
      </c>
      <c r="P442" s="112">
        <f t="shared" si="65"/>
        <v>28688781</v>
      </c>
      <c r="Q442" s="112">
        <v>0</v>
      </c>
      <c r="R442" s="112">
        <v>0</v>
      </c>
      <c r="S442" s="112">
        <f>SUMIF('JUNE (물량흐름)'!$C$13:$C$493,'WIP(재공품)'!B442,'JUNE (물량흐름)'!$T$13:$T$493)+SUMIF('JUNE (물량흐름)'!$C$13:$C$493,'WIP(재공품)'!B442,'JUNE (물량흐름)'!$U$13:$U$493)+SUMIF('JUNE (물량흐름)'!$C$13:$C$493,'WIP(재공품)'!B442,'JUNE (물량흐름)'!$V$13:$V$493)-SUMIF('JUNE (물량흐름)'!$C$13:$C$493,'WIP(재공품)'!B442,'JUNE (물량흐름)'!$Y$13:$Y$493)</f>
        <v>1043</v>
      </c>
      <c r="T442" s="112">
        <f>SUMIF('JUNE (물량흐름)'!$C$13:$C$502,'WIP(재공품)'!B442,'JUNE (물량흐름)'!$Y$13:$Y$502)</f>
        <v>0</v>
      </c>
      <c r="U442" s="167">
        <f>SUMIF('Direct labour(직접노무비)'!$C$12:$C$503,'WIP(재공품)'!B442,'Direct labour(직접노무비)'!$U$12:$U$503)+SUMIF('Overhead exp(제조경비)'!$C$12:$C$503,'WIP(재공품)'!B442,'Overhead exp(제조경비)'!$U$12:$U$503)</f>
        <v>0</v>
      </c>
      <c r="V442" s="112">
        <f>SUMIF('Direct labour(직접노무비)'!$C$12:$C$503,'WIP(재공품)'!B442,'Direct labour(직접노무비)'!$Q$12:$Q$503)</f>
        <v>8839745</v>
      </c>
      <c r="W442" s="112">
        <f>SUMIF('Overhead exp(제조경비)'!$C$12:$C$503,'WIP(재공품)'!B442,'Overhead exp(제조경비)'!$Q$12:$Q$503)</f>
        <v>17270550</v>
      </c>
      <c r="X442" s="112">
        <f t="shared" si="66"/>
        <v>26110295</v>
      </c>
      <c r="Y442" s="112">
        <f ca="1">ROUND(SUMIF('JUNE (물량흐름)'!$C$13:$C$502,'WIP(재공품)'!B442,'JUNE (물량흐름)'!$N$13:$N$488),0)</f>
        <v>0</v>
      </c>
      <c r="Z442" s="112">
        <f>ROUND(SUMIF('JUNE (물량흐름)'!$C$13:$C$502,'WIP(재공품)'!B442,'JUNE (물량흐름)'!$O$13:$O$502),0)</f>
        <v>59</v>
      </c>
      <c r="AA442" s="112">
        <f>ROUND(SUMIF('JUNE (물량흐름)'!$C$13:$C$502,'WIP(재공품)'!B442,'JUNE (물량흐름)'!$P$13:$P$502),0)</f>
        <v>44</v>
      </c>
      <c r="AB442" s="112">
        <f t="shared" ca="1" si="67"/>
        <v>103</v>
      </c>
      <c r="AC442" s="112">
        <f t="shared" si="68"/>
        <v>2578486</v>
      </c>
      <c r="AD442" s="381">
        <f t="shared" ca="1" si="69"/>
        <v>0</v>
      </c>
      <c r="AE442" s="381">
        <f t="shared" si="70"/>
        <v>0</v>
      </c>
      <c r="AF442" s="382"/>
      <c r="AG442" s="382"/>
      <c r="AH442" s="383"/>
      <c r="AI442" s="383"/>
      <c r="AJ442" s="383"/>
      <c r="AL442" s="385"/>
      <c r="AM442" s="381"/>
      <c r="AN442" s="382"/>
      <c r="AO442" s="382"/>
      <c r="AP442" s="383"/>
      <c r="AQ442" s="383"/>
    </row>
    <row r="443" spans="1:43" s="384" customFormat="1" ht="27" customHeight="1">
      <c r="A443" s="167">
        <v>453</v>
      </c>
      <c r="B443" s="240">
        <f>VLOOKUP(A443,'JUNE (물량흐름)'!$A$13:$C$502,3,0)</f>
        <v>100024455</v>
      </c>
      <c r="C443" s="21" t="str">
        <f>VLOOKUP(A443,'JUNE (물량흐름)'!$A$13:$C$502,2,0)</f>
        <v>ALFANI</v>
      </c>
      <c r="D443" s="212">
        <v>1.25</v>
      </c>
      <c r="E443" s="6">
        <f>VLOOKUP(B443,'Sales profit (스타일 별 매출이익)'!$D$9:$P$491,13,0)</f>
        <v>28343.75</v>
      </c>
      <c r="F443" s="112">
        <f>IFERROR(VLOOKUP(B443,O.B.JUNE!$N$7:$Q$448,2,0),0)</f>
        <v>0</v>
      </c>
      <c r="G443" s="112">
        <f>IFERROR(VLOOKUP(B443,O.B.JUNE!$N$7:$Q$448,3,0),0)</f>
        <v>0</v>
      </c>
      <c r="H443" s="112">
        <f>IFERROR(VLOOKUP(B443,O.B.JUNE!$N$7:$Q$448,4,0),0)</f>
        <v>0</v>
      </c>
      <c r="I443" s="112">
        <f t="shared" si="71"/>
        <v>0</v>
      </c>
      <c r="J443" s="112">
        <f>IFERROR(VLOOKUP(B443,O.B.JUNE!$AA$7:$AG$448,7,0),0)</f>
        <v>0</v>
      </c>
      <c r="K443" s="112">
        <f>IFERROR(VLOOKUP(B443,O.B.JUNE!$AI$7:$AO$448,7,0),0)</f>
        <v>0</v>
      </c>
      <c r="L443" s="112">
        <f t="shared" si="72"/>
        <v>0</v>
      </c>
      <c r="M443" s="112">
        <f>ROUND(SUMIF('JUNE (물량흐름)'!$C$13:$C$502,'WIP(재공품)'!B443,'JUNE (물량흐름)'!$H$13:$H$502)+SUMIF('JUNE (물량흐름)'!$C$13:$C$502,'WIP(재공품)'!B443,'JUNE (물량흐름)'!$V$13:$V$502),0)</f>
        <v>1785</v>
      </c>
      <c r="N443" s="112">
        <f>SUMIF('Direct labour(직접노무비)'!$C$12:$C$503,'WIP(재공품)'!B443,'Direct labour(직접노무비)'!$O$12:$O$503)</f>
        <v>10536704</v>
      </c>
      <c r="O443" s="112">
        <f>SUMIF('Overhead exp(제조경비)'!$C$12:$C$503,'WIP(재공품)'!B443,'Overhead exp(제조경비)'!$O$12:$O$503)</f>
        <v>20585963</v>
      </c>
      <c r="P443" s="112">
        <f t="shared" si="65"/>
        <v>31122667</v>
      </c>
      <c r="Q443" s="112">
        <v>0</v>
      </c>
      <c r="R443" s="112">
        <v>0</v>
      </c>
      <c r="S443" s="112">
        <f>SUMIF('JUNE (물량흐름)'!$C$13:$C$493,'WIP(재공품)'!B443,'JUNE (물량흐름)'!$T$13:$T$493)+SUMIF('JUNE (물량흐름)'!$C$13:$C$493,'WIP(재공품)'!B443,'JUNE (물량흐름)'!$U$13:$U$493)+SUMIF('JUNE (물량흐름)'!$C$13:$C$493,'WIP(재공품)'!B443,'JUNE (물량흐름)'!$V$13:$V$493)-SUMIF('JUNE (물량흐름)'!$C$13:$C$493,'WIP(재공품)'!B443,'JUNE (물량흐름)'!$Y$13:$Y$493)</f>
        <v>402</v>
      </c>
      <c r="T443" s="112">
        <f>SUMIF('JUNE (물량흐름)'!$C$13:$C$502,'WIP(재공품)'!B443,'JUNE (물량흐름)'!$Y$13:$Y$502)</f>
        <v>0</v>
      </c>
      <c r="U443" s="167">
        <f>SUMIF('Direct labour(직접노무비)'!$C$12:$C$503,'WIP(재공품)'!B443,'Direct labour(직접노무비)'!$U$12:$U$503)+SUMIF('Overhead exp(제조경비)'!$C$12:$C$503,'WIP(재공품)'!B443,'Overhead exp(제조경비)'!$U$12:$U$503)</f>
        <v>0</v>
      </c>
      <c r="V443" s="112">
        <f>SUMIF('Direct labour(직접노무비)'!$C$12:$C$503,'WIP(재공품)'!B443,'Direct labour(직접노무비)'!$Q$12:$Q$503)</f>
        <v>2372972</v>
      </c>
      <c r="W443" s="112">
        <f>SUMIF('Overhead exp(제조경비)'!$C$12:$C$503,'WIP(재공품)'!B443,'Overhead exp(제조경비)'!$Q$12:$Q$503)</f>
        <v>4636166</v>
      </c>
      <c r="X443" s="112">
        <f t="shared" si="66"/>
        <v>7009138</v>
      </c>
      <c r="Y443" s="112">
        <f ca="1">ROUND(SUMIF('JUNE (물량흐름)'!$C$13:$C$502,'WIP(재공품)'!B443,'JUNE (물량흐름)'!$N$13:$N$488),0)</f>
        <v>0</v>
      </c>
      <c r="Z443" s="112">
        <f>ROUND(SUMIF('JUNE (물량흐름)'!$C$13:$C$502,'WIP(재공품)'!B443,'JUNE (물량흐름)'!$O$13:$O$502),0)</f>
        <v>1023</v>
      </c>
      <c r="AA443" s="112">
        <f>ROUND(SUMIF('JUNE (물량흐름)'!$C$13:$C$502,'WIP(재공품)'!B443,'JUNE (물량흐름)'!$P$13:$P$502),0)</f>
        <v>360</v>
      </c>
      <c r="AB443" s="112">
        <f t="shared" ca="1" si="67"/>
        <v>1383</v>
      </c>
      <c r="AC443" s="112">
        <f t="shared" si="68"/>
        <v>24113529</v>
      </c>
      <c r="AD443" s="381">
        <f t="shared" ca="1" si="69"/>
        <v>0</v>
      </c>
      <c r="AE443" s="381">
        <f t="shared" si="70"/>
        <v>0</v>
      </c>
      <c r="AF443" s="382"/>
      <c r="AG443" s="382"/>
      <c r="AH443" s="383"/>
      <c r="AI443" s="383"/>
      <c r="AJ443" s="383"/>
      <c r="AL443" s="385"/>
      <c r="AM443" s="381"/>
      <c r="AN443" s="382"/>
      <c r="AO443" s="382"/>
      <c r="AP443" s="383"/>
      <c r="AQ443" s="383"/>
    </row>
    <row r="444" spans="1:43" s="384" customFormat="1" ht="27" customHeight="1">
      <c r="A444" s="167">
        <v>454</v>
      </c>
      <c r="B444" s="240">
        <f>VLOOKUP(A444,'JUNE (물량흐름)'!$A$13:$C$502,3,0)</f>
        <v>100024464</v>
      </c>
      <c r="C444" s="21" t="str">
        <f>VLOOKUP(A444,'JUNE (물량흐름)'!$A$13:$C$502,2,0)</f>
        <v>ALFANI</v>
      </c>
      <c r="D444" s="212">
        <v>1.9</v>
      </c>
      <c r="E444" s="6">
        <f>VLOOKUP(B444,'Sales profit (스타일 별 매출이익)'!$D$9:$P$491,13,0)</f>
        <v>43082.5</v>
      </c>
      <c r="F444" s="112">
        <f>IFERROR(VLOOKUP(B444,O.B.JUNE!$N$7:$Q$448,2,0),0)</f>
        <v>0</v>
      </c>
      <c r="G444" s="112">
        <f>IFERROR(VLOOKUP(B444,O.B.JUNE!$N$7:$Q$448,3,0),0)</f>
        <v>0</v>
      </c>
      <c r="H444" s="112">
        <f>IFERROR(VLOOKUP(B444,O.B.JUNE!$N$7:$Q$448,4,0),0)</f>
        <v>0</v>
      </c>
      <c r="I444" s="112">
        <f t="shared" si="71"/>
        <v>0</v>
      </c>
      <c r="J444" s="112">
        <f>IFERROR(VLOOKUP(B444,O.B.JUNE!$AA$7:$AG$448,7,0),0)</f>
        <v>0</v>
      </c>
      <c r="K444" s="112">
        <f>IFERROR(VLOOKUP(B444,O.B.JUNE!$AI$7:$AO$448,7,0),0)</f>
        <v>0</v>
      </c>
      <c r="L444" s="112">
        <f t="shared" si="72"/>
        <v>0</v>
      </c>
      <c r="M444" s="112">
        <f>ROUND(SUMIF('JUNE (물량흐름)'!$C$13:$C$502,'WIP(재공품)'!B444,'JUNE (물량흐름)'!$H$13:$H$502)+SUMIF('JUNE (물량흐름)'!$C$13:$C$502,'WIP(재공품)'!B444,'JUNE (물량흐름)'!$V$13:$V$502),0)</f>
        <v>3526</v>
      </c>
      <c r="N444" s="112">
        <f>SUMIF('Direct labour(직접노무비)'!$C$12:$C$503,'WIP(재공품)'!B444,'Direct labour(직접노무비)'!$O$12:$O$503)</f>
        <v>42757629</v>
      </c>
      <c r="O444" s="112">
        <f>SUMIF('Overhead exp(제조경비)'!$C$12:$C$503,'WIP(재공품)'!B444,'Overhead exp(제조경비)'!$O$12:$O$503)</f>
        <v>83537221</v>
      </c>
      <c r="P444" s="112">
        <f t="shared" si="65"/>
        <v>126294850</v>
      </c>
      <c r="Q444" s="112">
        <v>0</v>
      </c>
      <c r="R444" s="112">
        <v>0</v>
      </c>
      <c r="S444" s="112">
        <f>SUMIF('JUNE (물량흐름)'!$C$13:$C$493,'WIP(재공품)'!B444,'JUNE (물량흐름)'!$T$13:$T$493)+SUMIF('JUNE (물량흐름)'!$C$13:$C$493,'WIP(재공품)'!B444,'JUNE (물량흐름)'!$U$13:$U$493)+SUMIF('JUNE (물량흐름)'!$C$13:$C$493,'WIP(재공품)'!B444,'JUNE (물량흐름)'!$V$13:$V$493)-SUMIF('JUNE (물량흐름)'!$C$13:$C$493,'WIP(재공품)'!B444,'JUNE (물량흐름)'!$Y$13:$Y$493)</f>
        <v>2065</v>
      </c>
      <c r="T444" s="112">
        <f>SUMIF('JUNE (물량흐름)'!$C$13:$C$502,'WIP(재공품)'!B444,'JUNE (물량흐름)'!$Y$13:$Y$502)</f>
        <v>0</v>
      </c>
      <c r="U444" s="167">
        <f>SUMIF('Direct labour(직접노무비)'!$C$12:$C$503,'WIP(재공품)'!B444,'Direct labour(직접노무비)'!$U$12:$U$503)+SUMIF('Overhead exp(제조경비)'!$C$12:$C$503,'WIP(재공품)'!B444,'Overhead exp(제조경비)'!$U$12:$U$503)</f>
        <v>0</v>
      </c>
      <c r="V444" s="112">
        <f>SUMIF('Direct labour(직접노무비)'!$C$12:$C$503,'WIP(재공품)'!B444,'Direct labour(직접노무비)'!$Q$12:$Q$503)</f>
        <v>25040982</v>
      </c>
      <c r="W444" s="112">
        <f>SUMIF('Overhead exp(제조경비)'!$C$12:$C$503,'WIP(재공품)'!B444,'Overhead exp(제조경비)'!$Q$12:$Q$503)</f>
        <v>48923528</v>
      </c>
      <c r="X444" s="112">
        <f t="shared" si="66"/>
        <v>73964510</v>
      </c>
      <c r="Y444" s="112">
        <f ca="1">ROUND(SUMIF('JUNE (물량흐름)'!$C$13:$C$502,'WIP(재공품)'!B444,'JUNE (물량흐름)'!$N$13:$N$488),0)</f>
        <v>0</v>
      </c>
      <c r="Z444" s="112">
        <f>ROUND(SUMIF('JUNE (물량흐름)'!$C$13:$C$502,'WIP(재공품)'!B444,'JUNE (물량흐름)'!$O$13:$O$502),0)</f>
        <v>82</v>
      </c>
      <c r="AA444" s="112">
        <f>ROUND(SUMIF('JUNE (물량흐름)'!$C$13:$C$502,'WIP(재공품)'!B444,'JUNE (물량흐름)'!$P$13:$P$502),0)</f>
        <v>1379</v>
      </c>
      <c r="AB444" s="112">
        <f t="shared" ca="1" si="67"/>
        <v>1461</v>
      </c>
      <c r="AC444" s="112">
        <f t="shared" si="68"/>
        <v>52330340</v>
      </c>
      <c r="AD444" s="381">
        <f t="shared" ca="1" si="69"/>
        <v>0</v>
      </c>
      <c r="AE444" s="381">
        <f t="shared" si="70"/>
        <v>0</v>
      </c>
      <c r="AF444" s="382"/>
      <c r="AG444" s="382"/>
      <c r="AH444" s="383"/>
      <c r="AI444" s="383"/>
      <c r="AJ444" s="383"/>
      <c r="AL444" s="385"/>
      <c r="AM444" s="381"/>
      <c r="AN444" s="382"/>
      <c r="AO444" s="382"/>
      <c r="AP444" s="383"/>
      <c r="AQ444" s="383"/>
    </row>
    <row r="445" spans="1:43" s="384" customFormat="1" ht="27" customHeight="1">
      <c r="A445" s="167">
        <v>455</v>
      </c>
      <c r="B445" s="240">
        <f>VLOOKUP(A445,'JUNE (물량흐름)'!$A$13:$C$502,3,0)</f>
        <v>100024758</v>
      </c>
      <c r="C445" s="21" t="str">
        <f>VLOOKUP(A445,'JUNE (물량흐름)'!$A$13:$C$502,2,0)</f>
        <v>ALFANI</v>
      </c>
      <c r="D445" s="212">
        <v>3</v>
      </c>
      <c r="E445" s="6">
        <f>VLOOKUP(B445,'Sales profit (스타일 별 매출이익)'!$D$9:$P$491,13,0)</f>
        <v>68025</v>
      </c>
      <c r="F445" s="112">
        <f>IFERROR(VLOOKUP(B445,O.B.JUNE!$N$7:$Q$448,2,0),0)</f>
        <v>0</v>
      </c>
      <c r="G445" s="112">
        <f>IFERROR(VLOOKUP(B445,O.B.JUNE!$N$7:$Q$448,3,0),0)</f>
        <v>0</v>
      </c>
      <c r="H445" s="112">
        <f>IFERROR(VLOOKUP(B445,O.B.JUNE!$N$7:$Q$448,4,0),0)</f>
        <v>0</v>
      </c>
      <c r="I445" s="112">
        <f t="shared" si="71"/>
        <v>0</v>
      </c>
      <c r="J445" s="112">
        <f>IFERROR(VLOOKUP(B445,O.B.JUNE!$AA$7:$AG$448,7,0),0)</f>
        <v>0</v>
      </c>
      <c r="K445" s="112">
        <f>IFERROR(VLOOKUP(B445,O.B.JUNE!$AI$7:$AO$448,7,0),0)</f>
        <v>0</v>
      </c>
      <c r="L445" s="112">
        <f t="shared" si="72"/>
        <v>0</v>
      </c>
      <c r="M445" s="112">
        <f>ROUND(SUMIF('JUNE (물량흐름)'!$C$13:$C$502,'WIP(재공품)'!B445,'JUNE (물량흐름)'!$H$13:$H$502)+SUMIF('JUNE (물량흐름)'!$C$13:$C$502,'WIP(재공품)'!B445,'JUNE (물량흐름)'!$V$13:$V$502),0)</f>
        <v>7292</v>
      </c>
      <c r="N445" s="112">
        <f>SUMIF('Direct labour(직접노무비)'!$C$12:$C$503,'WIP(재공품)'!B445,'Direct labour(직접노무비)'!$O$12:$O$503)</f>
        <v>54089582</v>
      </c>
      <c r="O445" s="112">
        <f>SUMIF('Overhead exp(제조경비)'!$C$12:$C$503,'WIP(재공품)'!B445,'Overhead exp(제조경비)'!$O$12:$O$503)</f>
        <v>105676894</v>
      </c>
      <c r="P445" s="112">
        <f t="shared" si="65"/>
        <v>159766476</v>
      </c>
      <c r="Q445" s="112">
        <v>0</v>
      </c>
      <c r="R445" s="112">
        <v>0</v>
      </c>
      <c r="S445" s="112">
        <f>SUMIF('JUNE (물량흐름)'!$C$13:$C$493,'WIP(재공품)'!B445,'JUNE (물량흐름)'!$T$13:$T$493)+SUMIF('JUNE (물량흐름)'!$C$13:$C$493,'WIP(재공품)'!B445,'JUNE (물량흐름)'!$U$13:$U$493)+SUMIF('JUNE (물량흐름)'!$C$13:$C$493,'WIP(재공품)'!B445,'JUNE (물량흐름)'!$V$13:$V$493)-SUMIF('JUNE (물량흐름)'!$C$13:$C$493,'WIP(재공품)'!B445,'JUNE (물량흐름)'!$Y$13:$Y$493)</f>
        <v>0</v>
      </c>
      <c r="T445" s="112">
        <f>SUMIF('JUNE (물량흐름)'!$C$13:$C$502,'WIP(재공품)'!B445,'JUNE (물량흐름)'!$Y$13:$Y$502)</f>
        <v>0</v>
      </c>
      <c r="U445" s="167">
        <f>SUMIF('Direct labour(직접노무비)'!$C$12:$C$503,'WIP(재공품)'!B445,'Direct labour(직접노무비)'!$U$12:$U$503)+SUMIF('Overhead exp(제조경비)'!$C$12:$C$503,'WIP(재공품)'!B445,'Overhead exp(제조경비)'!$U$12:$U$503)</f>
        <v>0</v>
      </c>
      <c r="V445" s="112">
        <f>SUMIF('Direct labour(직접노무비)'!$C$12:$C$503,'WIP(재공품)'!B445,'Direct labour(직접노무비)'!$Q$12:$Q$503)</f>
        <v>0</v>
      </c>
      <c r="W445" s="112">
        <f>SUMIF('Overhead exp(제조경비)'!$C$12:$C$503,'WIP(재공품)'!B445,'Overhead exp(제조경비)'!$Q$12:$Q$503)</f>
        <v>0</v>
      </c>
      <c r="X445" s="112">
        <f t="shared" si="66"/>
        <v>0</v>
      </c>
      <c r="Y445" s="112">
        <f ca="1">ROUND(SUMIF('JUNE (물량흐름)'!$C$13:$C$502,'WIP(재공품)'!B445,'JUNE (물량흐름)'!$N$13:$N$488),0)</f>
        <v>5329</v>
      </c>
      <c r="Z445" s="112">
        <f>ROUND(SUMIF('JUNE (물량흐름)'!$C$13:$C$502,'WIP(재공품)'!B445,'JUNE (물량흐름)'!$O$13:$O$502),0)</f>
        <v>216</v>
      </c>
      <c r="AA445" s="112">
        <f>ROUND(SUMIF('JUNE (물량흐름)'!$C$13:$C$502,'WIP(재공품)'!B445,'JUNE (물량흐름)'!$P$13:$P$502),0)</f>
        <v>1747</v>
      </c>
      <c r="AB445" s="112">
        <f t="shared" ca="1" si="67"/>
        <v>7292</v>
      </c>
      <c r="AC445" s="112">
        <f t="shared" si="68"/>
        <v>159766476</v>
      </c>
      <c r="AD445" s="381">
        <f t="shared" ca="1" si="69"/>
        <v>0</v>
      </c>
      <c r="AE445" s="381">
        <f t="shared" si="70"/>
        <v>0</v>
      </c>
      <c r="AF445" s="382"/>
      <c r="AG445" s="382"/>
      <c r="AH445" s="383"/>
      <c r="AI445" s="383"/>
      <c r="AJ445" s="383"/>
      <c r="AL445" s="385"/>
      <c r="AM445" s="381"/>
      <c r="AN445" s="382"/>
      <c r="AO445" s="382"/>
      <c r="AP445" s="383"/>
      <c r="AQ445" s="383"/>
    </row>
    <row r="446" spans="1:43" s="384" customFormat="1" ht="27" customHeight="1">
      <c r="A446" s="167">
        <v>456</v>
      </c>
      <c r="B446" s="240">
        <f>VLOOKUP(A446,'JUNE (물량흐름)'!$A$13:$C$502,3,0)</f>
        <v>100024806</v>
      </c>
      <c r="C446" s="21" t="str">
        <f>VLOOKUP(A446,'JUNE (물량흐름)'!$A$13:$C$502,2,0)</f>
        <v>ALFANI</v>
      </c>
      <c r="D446" s="212">
        <v>2.15</v>
      </c>
      <c r="E446" s="6">
        <f>VLOOKUP(B446,'Sales profit (스타일 별 매출이익)'!$D$9:$P$491,13,0)</f>
        <v>48751.25</v>
      </c>
      <c r="F446" s="112">
        <f>IFERROR(VLOOKUP(B446,O.B.JUNE!$N$7:$Q$448,2,0),0)</f>
        <v>0</v>
      </c>
      <c r="G446" s="112">
        <f>IFERROR(VLOOKUP(B446,O.B.JUNE!$N$7:$Q$448,3,0),0)</f>
        <v>0</v>
      </c>
      <c r="H446" s="112">
        <f>IFERROR(VLOOKUP(B446,O.B.JUNE!$N$7:$Q$448,4,0),0)</f>
        <v>0</v>
      </c>
      <c r="I446" s="112">
        <f t="shared" si="71"/>
        <v>0</v>
      </c>
      <c r="J446" s="112">
        <f>IFERROR(VLOOKUP(B446,O.B.JUNE!$AA$7:$AG$448,7,0),0)</f>
        <v>0</v>
      </c>
      <c r="K446" s="112">
        <f>IFERROR(VLOOKUP(B446,O.B.JUNE!$AI$7:$AO$448,7,0),0)</f>
        <v>0</v>
      </c>
      <c r="L446" s="112">
        <f t="shared" si="72"/>
        <v>0</v>
      </c>
      <c r="M446" s="112">
        <f>ROUND(SUMIF('JUNE (물량흐름)'!$C$13:$C$502,'WIP(재공품)'!B446,'JUNE (물량흐름)'!$H$13:$H$502)+SUMIF('JUNE (물량흐름)'!$C$13:$C$502,'WIP(재공품)'!B446,'JUNE (물량흐름)'!$V$13:$V$502),0)</f>
        <v>3272</v>
      </c>
      <c r="N446" s="112">
        <f>SUMIF('Direct labour(직접노무비)'!$C$12:$C$503,'WIP(재공품)'!B446,'Direct labour(직접노무비)'!$O$12:$O$503)</f>
        <v>47403596</v>
      </c>
      <c r="O446" s="112">
        <f>SUMIF('Overhead exp(제조경비)'!$C$12:$C$503,'WIP(재공품)'!B446,'Overhead exp(제조경비)'!$O$12:$O$503)</f>
        <v>92614227</v>
      </c>
      <c r="P446" s="112">
        <f t="shared" si="65"/>
        <v>140017823</v>
      </c>
      <c r="Q446" s="112">
        <v>0</v>
      </c>
      <c r="R446" s="112">
        <v>0</v>
      </c>
      <c r="S446" s="112">
        <f>SUMIF('JUNE (물량흐름)'!$C$13:$C$493,'WIP(재공품)'!B446,'JUNE (물량흐름)'!$T$13:$T$493)+SUMIF('JUNE (물량흐름)'!$C$13:$C$493,'WIP(재공품)'!B446,'JUNE (물량흐름)'!$U$13:$U$493)+SUMIF('JUNE (물량흐름)'!$C$13:$C$493,'WIP(재공품)'!B446,'JUNE (물량흐름)'!$V$13:$V$493)-SUMIF('JUNE (물량흐름)'!$C$13:$C$493,'WIP(재공품)'!B446,'JUNE (물량흐름)'!$Y$13:$Y$493)</f>
        <v>2630</v>
      </c>
      <c r="T446" s="112">
        <f>SUMIF('JUNE (물량흐름)'!$C$13:$C$502,'WIP(재공품)'!B446,'JUNE (물량흐름)'!$Y$13:$Y$502)</f>
        <v>0</v>
      </c>
      <c r="U446" s="167">
        <f>SUMIF('Direct labour(직접노무비)'!$C$12:$C$503,'WIP(재공품)'!B446,'Direct labour(직접노무비)'!$U$12:$U$503)+SUMIF('Overhead exp(제조경비)'!$C$12:$C$503,'WIP(재공품)'!B446,'Overhead exp(제조경비)'!$U$12:$U$503)</f>
        <v>0</v>
      </c>
      <c r="V446" s="112">
        <f>SUMIF('Direct labour(직접노무비)'!$C$12:$C$503,'WIP(재공품)'!B446,'Direct labour(직접노무비)'!$Q$12:$Q$503)</f>
        <v>38102524</v>
      </c>
      <c r="W446" s="112">
        <f>SUMIF('Overhead exp(제조경비)'!$C$12:$C$503,'WIP(재공품)'!B446,'Overhead exp(제조경비)'!$Q$12:$Q$503)</f>
        <v>74442365</v>
      </c>
      <c r="X446" s="112">
        <f t="shared" si="66"/>
        <v>112544889</v>
      </c>
      <c r="Y446" s="112">
        <f ca="1">ROUND(SUMIF('JUNE (물량흐름)'!$C$13:$C$502,'WIP(재공품)'!B446,'JUNE (물량흐름)'!$N$13:$N$488),0)</f>
        <v>0</v>
      </c>
      <c r="Z446" s="112">
        <f>ROUND(SUMIF('JUNE (물량흐름)'!$C$13:$C$502,'WIP(재공품)'!B446,'JUNE (물량흐름)'!$O$13:$O$502),0)</f>
        <v>0</v>
      </c>
      <c r="AA446" s="112">
        <f>ROUND(SUMIF('JUNE (물량흐름)'!$C$13:$C$502,'WIP(재공품)'!B446,'JUNE (물량흐름)'!$P$13:$P$502),0)</f>
        <v>642</v>
      </c>
      <c r="AB446" s="112">
        <f t="shared" ca="1" si="67"/>
        <v>642</v>
      </c>
      <c r="AC446" s="112">
        <f t="shared" si="68"/>
        <v>27472934</v>
      </c>
      <c r="AD446" s="381">
        <f t="shared" ca="1" si="69"/>
        <v>0</v>
      </c>
      <c r="AE446" s="381">
        <f t="shared" si="70"/>
        <v>0</v>
      </c>
      <c r="AF446" s="382"/>
      <c r="AG446" s="382"/>
      <c r="AH446" s="383"/>
      <c r="AI446" s="383"/>
      <c r="AJ446" s="383"/>
      <c r="AL446" s="385"/>
      <c r="AM446" s="381"/>
      <c r="AN446" s="382"/>
      <c r="AO446" s="382"/>
      <c r="AP446" s="383"/>
      <c r="AQ446" s="383"/>
    </row>
    <row r="447" spans="1:43" s="384" customFormat="1" ht="27" customHeight="1">
      <c r="A447" s="167">
        <v>457</v>
      </c>
      <c r="B447" s="240">
        <f>VLOOKUP(A447,'JUNE (물량흐름)'!$A$13:$C$502,3,0)</f>
        <v>100024819</v>
      </c>
      <c r="C447" s="21" t="str">
        <f>VLOOKUP(A447,'JUNE (물량흐름)'!$A$13:$C$502,2,0)</f>
        <v>ALFANI</v>
      </c>
      <c r="D447" s="212">
        <v>3.1</v>
      </c>
      <c r="E447" s="6">
        <f>VLOOKUP(B447,'Sales profit (스타일 별 매출이익)'!$D$9:$P$491,13,0)</f>
        <v>70292.5</v>
      </c>
      <c r="F447" s="112">
        <f>IFERROR(VLOOKUP(B447,O.B.JUNE!$N$7:$Q$448,2,0),0)</f>
        <v>0</v>
      </c>
      <c r="G447" s="112">
        <f>IFERROR(VLOOKUP(B447,O.B.JUNE!$N$7:$Q$448,3,0),0)</f>
        <v>0</v>
      </c>
      <c r="H447" s="112">
        <f>IFERROR(VLOOKUP(B447,O.B.JUNE!$N$7:$Q$448,4,0),0)</f>
        <v>0</v>
      </c>
      <c r="I447" s="112">
        <f t="shared" si="71"/>
        <v>0</v>
      </c>
      <c r="J447" s="112">
        <f>IFERROR(VLOOKUP(B447,O.B.JUNE!$AA$7:$AG$448,7,0),0)</f>
        <v>0</v>
      </c>
      <c r="K447" s="112">
        <f>IFERROR(VLOOKUP(B447,O.B.JUNE!$AI$7:$AO$448,7,0),0)</f>
        <v>0</v>
      </c>
      <c r="L447" s="112">
        <f t="shared" si="72"/>
        <v>0</v>
      </c>
      <c r="M447" s="112">
        <f>ROUND(SUMIF('JUNE (물량흐름)'!$C$13:$C$502,'WIP(재공품)'!B447,'JUNE (물량흐름)'!$H$13:$H$502)+SUMIF('JUNE (물량흐름)'!$C$13:$C$502,'WIP(재공품)'!B447,'JUNE (물량흐름)'!$V$13:$V$502),0)</f>
        <v>7046</v>
      </c>
      <c r="N447" s="112">
        <f>SUMIF('Direct labour(직접노무비)'!$C$12:$C$503,'WIP(재공품)'!B447,'Direct labour(직접노무비)'!$O$12:$O$503)</f>
        <v>97654381</v>
      </c>
      <c r="O447" s="112">
        <f>SUMIF('Overhead exp(제조경비)'!$C$12:$C$503,'WIP(재공품)'!B447,'Overhead exp(제조경비)'!$O$12:$O$503)</f>
        <v>190791116</v>
      </c>
      <c r="P447" s="112">
        <f t="shared" si="65"/>
        <v>288445497</v>
      </c>
      <c r="Q447" s="112">
        <v>0</v>
      </c>
      <c r="R447" s="112">
        <v>0</v>
      </c>
      <c r="S447" s="112">
        <f>SUMIF('JUNE (물량흐름)'!$C$13:$C$493,'WIP(재공품)'!B447,'JUNE (물량흐름)'!$T$13:$T$493)+SUMIF('JUNE (물량흐름)'!$C$13:$C$493,'WIP(재공품)'!B447,'JUNE (물량흐름)'!$U$13:$U$493)+SUMIF('JUNE (물량흐름)'!$C$13:$C$493,'WIP(재공품)'!B447,'JUNE (물량흐름)'!$V$13:$V$493)-SUMIF('JUNE (물량흐름)'!$C$13:$C$493,'WIP(재공품)'!B447,'JUNE (물량흐름)'!$Y$13:$Y$493)</f>
        <v>345</v>
      </c>
      <c r="T447" s="112">
        <f>SUMIF('JUNE (물량흐름)'!$C$13:$C$502,'WIP(재공품)'!B447,'JUNE (물량흐름)'!$Y$13:$Y$502)</f>
        <v>0</v>
      </c>
      <c r="U447" s="167">
        <f>SUMIF('Direct labour(직접노무비)'!$C$12:$C$503,'WIP(재공품)'!B447,'Direct labour(직접노무비)'!$U$12:$U$503)+SUMIF('Overhead exp(제조경비)'!$C$12:$C$503,'WIP(재공품)'!B447,'Overhead exp(제조경비)'!$U$12:$U$503)</f>
        <v>0</v>
      </c>
      <c r="V447" s="112">
        <f>SUMIF('Direct labour(직접노무비)'!$C$12:$C$503,'WIP(재공품)'!B447,'Direct labour(직접노무비)'!$Q$12:$Q$503)</f>
        <v>4781544</v>
      </c>
      <c r="W447" s="112">
        <f>SUMIF('Overhead exp(제조경비)'!$C$12:$C$503,'WIP(재공품)'!B447,'Overhead exp(제조경비)'!$Q$12:$Q$503)</f>
        <v>9341887</v>
      </c>
      <c r="X447" s="112">
        <f t="shared" si="66"/>
        <v>14123431</v>
      </c>
      <c r="Y447" s="112">
        <f ca="1">ROUND(SUMIF('JUNE (물량흐름)'!$C$13:$C$502,'WIP(재공품)'!B447,'JUNE (물량흐름)'!$N$13:$N$488),0)</f>
        <v>0</v>
      </c>
      <c r="Z447" s="112">
        <f>ROUND(SUMIF('JUNE (물량흐름)'!$C$13:$C$502,'WIP(재공품)'!B447,'JUNE (물량흐름)'!$O$13:$O$502),0)</f>
        <v>4046</v>
      </c>
      <c r="AA447" s="112">
        <f>ROUND(SUMIF('JUNE (물량흐름)'!$C$13:$C$502,'WIP(재공품)'!B447,'JUNE (물량흐름)'!$P$13:$P$502),0)</f>
        <v>2655</v>
      </c>
      <c r="AB447" s="112">
        <f t="shared" ca="1" si="67"/>
        <v>6701</v>
      </c>
      <c r="AC447" s="112">
        <f t="shared" si="68"/>
        <v>274322066</v>
      </c>
      <c r="AD447" s="381">
        <f t="shared" ca="1" si="69"/>
        <v>0</v>
      </c>
      <c r="AE447" s="381">
        <f t="shared" si="70"/>
        <v>0</v>
      </c>
      <c r="AF447" s="382"/>
      <c r="AG447" s="382"/>
      <c r="AH447" s="383"/>
      <c r="AI447" s="383"/>
      <c r="AJ447" s="383"/>
      <c r="AL447" s="385"/>
      <c r="AM447" s="381"/>
      <c r="AN447" s="382"/>
      <c r="AO447" s="382"/>
      <c r="AP447" s="383"/>
      <c r="AQ447" s="383"/>
    </row>
    <row r="448" spans="1:43" s="384" customFormat="1" ht="27" customHeight="1">
      <c r="A448" s="167">
        <v>458</v>
      </c>
      <c r="B448" s="240">
        <f>VLOOKUP(A448,'JUNE (물량흐름)'!$A$13:$C$502,3,0)</f>
        <v>100024820</v>
      </c>
      <c r="C448" s="21" t="str">
        <f>VLOOKUP(A448,'JUNE (물량흐름)'!$A$13:$C$502,2,0)</f>
        <v>ALFANI</v>
      </c>
      <c r="D448" s="212">
        <v>1.7</v>
      </c>
      <c r="E448" s="6">
        <f>VLOOKUP(B448,'Sales profit (스타일 별 매출이익)'!$D$9:$P$491,13,0)</f>
        <v>38547.5</v>
      </c>
      <c r="F448" s="112">
        <f>IFERROR(VLOOKUP(B448,O.B.JUNE!$N$7:$Q$448,2,0),0)</f>
        <v>0</v>
      </c>
      <c r="G448" s="112">
        <f>IFERROR(VLOOKUP(B448,O.B.JUNE!$N$7:$Q$448,3,0),0)</f>
        <v>0</v>
      </c>
      <c r="H448" s="112">
        <f>IFERROR(VLOOKUP(B448,O.B.JUNE!$N$7:$Q$448,4,0),0)</f>
        <v>0</v>
      </c>
      <c r="I448" s="112">
        <f t="shared" si="71"/>
        <v>0</v>
      </c>
      <c r="J448" s="112">
        <f>IFERROR(VLOOKUP(B448,O.B.JUNE!$AA$7:$AG$448,7,0),0)</f>
        <v>0</v>
      </c>
      <c r="K448" s="112">
        <f>IFERROR(VLOOKUP(B448,O.B.JUNE!$AI$7:$AO$448,7,0),0)</f>
        <v>0</v>
      </c>
      <c r="L448" s="112">
        <f t="shared" si="72"/>
        <v>0</v>
      </c>
      <c r="M448" s="112">
        <f>ROUND(SUMIF('JUNE (물량흐름)'!$C$13:$C$502,'WIP(재공품)'!B448,'JUNE (물량흐름)'!$H$13:$H$502)+SUMIF('JUNE (물량흐름)'!$C$13:$C$502,'WIP(재공품)'!B448,'JUNE (물량흐름)'!$V$13:$V$502),0)</f>
        <v>9851</v>
      </c>
      <c r="N448" s="112">
        <f>SUMIF('Direct labour(직접노무비)'!$C$12:$C$503,'WIP(재공품)'!B448,'Direct labour(직접노무비)'!$O$12:$O$503)</f>
        <v>115032755</v>
      </c>
      <c r="O448" s="112">
        <f>SUMIF('Overhead exp(제조경비)'!$C$12:$C$503,'WIP(재공품)'!B448,'Overhead exp(제조경비)'!$O$12:$O$503)</f>
        <v>224743911</v>
      </c>
      <c r="P448" s="112">
        <f t="shared" si="65"/>
        <v>339776666</v>
      </c>
      <c r="Q448" s="112">
        <v>0</v>
      </c>
      <c r="R448" s="112">
        <v>0</v>
      </c>
      <c r="S448" s="112">
        <f>SUMIF('JUNE (물량흐름)'!$C$13:$C$493,'WIP(재공품)'!B448,'JUNE (물량흐름)'!$T$13:$T$493)+SUMIF('JUNE (물량흐름)'!$C$13:$C$493,'WIP(재공품)'!B448,'JUNE (물량흐름)'!$U$13:$U$493)+SUMIF('JUNE (물량흐름)'!$C$13:$C$493,'WIP(재공품)'!B448,'JUNE (물량흐름)'!$V$13:$V$493)-SUMIF('JUNE (물량흐름)'!$C$13:$C$493,'WIP(재공품)'!B448,'JUNE (물량흐름)'!$Y$13:$Y$493)</f>
        <v>8839</v>
      </c>
      <c r="T448" s="112">
        <f>SUMIF('JUNE (물량흐름)'!$C$13:$C$502,'WIP(재공품)'!B448,'JUNE (물량흐름)'!$Y$13:$Y$502)</f>
        <v>0</v>
      </c>
      <c r="U448" s="167">
        <f>SUMIF('Direct labour(직접노무비)'!$C$12:$C$503,'WIP(재공품)'!B448,'Direct labour(직접노무비)'!$U$12:$U$503)+SUMIF('Overhead exp(제조경비)'!$C$12:$C$503,'WIP(재공품)'!B448,'Overhead exp(제조경비)'!$U$12:$U$503)</f>
        <v>0</v>
      </c>
      <c r="V448" s="112">
        <f>SUMIF('Direct labour(직접노무비)'!$C$12:$C$503,'WIP(재공품)'!B448,'Direct labour(직접노무비)'!$Q$12:$Q$503)</f>
        <v>103215361</v>
      </c>
      <c r="W448" s="112">
        <f>SUMIF('Overhead exp(제조경비)'!$C$12:$C$503,'WIP(재공품)'!B448,'Overhead exp(제조경비)'!$Q$12:$Q$503)</f>
        <v>201655815</v>
      </c>
      <c r="X448" s="112">
        <f t="shared" si="66"/>
        <v>304871176</v>
      </c>
      <c r="Y448" s="112">
        <f ca="1">ROUND(SUMIF('JUNE (물량흐름)'!$C$13:$C$502,'WIP(재공품)'!B448,'JUNE (물량흐름)'!$N$13:$N$488),0)</f>
        <v>0</v>
      </c>
      <c r="Z448" s="112">
        <f>ROUND(SUMIF('JUNE (물량흐름)'!$C$13:$C$502,'WIP(재공품)'!B448,'JUNE (물량흐름)'!$O$13:$O$502),0)</f>
        <v>0</v>
      </c>
      <c r="AA448" s="112">
        <f>ROUND(SUMIF('JUNE (물량흐름)'!$C$13:$C$502,'WIP(재공품)'!B448,'JUNE (물량흐름)'!$P$13:$P$502),0)</f>
        <v>1012</v>
      </c>
      <c r="AB448" s="112">
        <f t="shared" ca="1" si="67"/>
        <v>1012</v>
      </c>
      <c r="AC448" s="112">
        <f t="shared" si="68"/>
        <v>34905490</v>
      </c>
      <c r="AD448" s="381">
        <f t="shared" ca="1" si="69"/>
        <v>0</v>
      </c>
      <c r="AE448" s="381">
        <f t="shared" si="70"/>
        <v>0</v>
      </c>
      <c r="AF448" s="382"/>
      <c r="AG448" s="382"/>
      <c r="AH448" s="383"/>
      <c r="AI448" s="383"/>
      <c r="AJ448" s="383"/>
      <c r="AL448" s="385"/>
      <c r="AM448" s="381"/>
      <c r="AN448" s="382"/>
      <c r="AO448" s="382"/>
      <c r="AP448" s="383"/>
      <c r="AQ448" s="383"/>
    </row>
    <row r="449" spans="1:43" s="384" customFormat="1" ht="27" customHeight="1">
      <c r="A449" s="167">
        <v>459</v>
      </c>
      <c r="B449" s="240">
        <f>VLOOKUP(A449,'JUNE (물량흐름)'!$A$13:$C$502,3,0)</f>
        <v>100024824</v>
      </c>
      <c r="C449" s="21" t="str">
        <f>VLOOKUP(A449,'JUNE (물량흐름)'!$A$13:$C$502,2,0)</f>
        <v>ALFANI</v>
      </c>
      <c r="D449" s="212">
        <v>3.9</v>
      </c>
      <c r="E449" s="6">
        <f>VLOOKUP(B449,'Sales profit (스타일 별 매출이익)'!$D$9:$P$491,13,0)</f>
        <v>88432.5</v>
      </c>
      <c r="F449" s="112">
        <f>IFERROR(VLOOKUP(B449,O.B.JUNE!$N$7:$Q$448,2,0),0)</f>
        <v>0</v>
      </c>
      <c r="G449" s="112">
        <f>IFERROR(VLOOKUP(B449,O.B.JUNE!$N$7:$Q$448,3,0),0)</f>
        <v>0</v>
      </c>
      <c r="H449" s="112">
        <f>IFERROR(VLOOKUP(B449,O.B.JUNE!$N$7:$Q$448,4,0),0)</f>
        <v>0</v>
      </c>
      <c r="I449" s="112">
        <f t="shared" si="71"/>
        <v>0</v>
      </c>
      <c r="J449" s="112">
        <f>IFERROR(VLOOKUP(B449,O.B.JUNE!$AA$7:$AG$448,7,0),0)</f>
        <v>0</v>
      </c>
      <c r="K449" s="112">
        <f>IFERROR(VLOOKUP(B449,O.B.JUNE!$AI$7:$AO$448,7,0),0)</f>
        <v>0</v>
      </c>
      <c r="L449" s="112">
        <f t="shared" si="72"/>
        <v>0</v>
      </c>
      <c r="M449" s="112">
        <f>ROUND(SUMIF('JUNE (물량흐름)'!$C$13:$C$502,'WIP(재공품)'!B449,'JUNE (물량흐름)'!$H$13:$H$502)+SUMIF('JUNE (물량흐름)'!$C$13:$C$502,'WIP(재공품)'!B449,'JUNE (물량흐름)'!$V$13:$V$502),0)</f>
        <v>1071</v>
      </c>
      <c r="N449" s="112">
        <f>SUMIF('Direct labour(직접노무비)'!$C$12:$C$503,'WIP(재공품)'!B449,'Direct labour(직접노무비)'!$O$12:$O$503)</f>
        <v>29182287</v>
      </c>
      <c r="O449" s="112">
        <f>SUMIF('Overhead exp(제조경비)'!$C$12:$C$503,'WIP(재공품)'!B449,'Overhead exp(제조경비)'!$O$12:$O$503)</f>
        <v>57014554</v>
      </c>
      <c r="P449" s="112">
        <f t="shared" si="65"/>
        <v>86196841</v>
      </c>
      <c r="Q449" s="112">
        <v>0</v>
      </c>
      <c r="R449" s="112">
        <v>0</v>
      </c>
      <c r="S449" s="112">
        <f>SUMIF('JUNE (물량흐름)'!$C$13:$C$493,'WIP(재공품)'!B449,'JUNE (물량흐름)'!$T$13:$T$493)+SUMIF('JUNE (물량흐름)'!$C$13:$C$493,'WIP(재공품)'!B449,'JUNE (물량흐름)'!$U$13:$U$493)+SUMIF('JUNE (물량흐름)'!$C$13:$C$493,'WIP(재공품)'!B449,'JUNE (물량흐름)'!$V$13:$V$493)-SUMIF('JUNE (물량흐름)'!$C$13:$C$493,'WIP(재공품)'!B449,'JUNE (물량흐름)'!$Y$13:$Y$493)</f>
        <v>1052</v>
      </c>
      <c r="T449" s="112">
        <f>SUMIF('JUNE (물량흐름)'!$C$13:$C$502,'WIP(재공품)'!B449,'JUNE (물량흐름)'!$Y$13:$Y$502)</f>
        <v>0</v>
      </c>
      <c r="U449" s="167">
        <f>SUMIF('Direct labour(직접노무비)'!$C$12:$C$503,'WIP(재공품)'!B449,'Direct labour(직접노무비)'!$U$12:$U$503)+SUMIF('Overhead exp(제조경비)'!$C$12:$C$503,'WIP(재공품)'!B449,'Overhead exp(제조경비)'!$U$12:$U$503)</f>
        <v>0</v>
      </c>
      <c r="V449" s="112">
        <f>SUMIF('Direct labour(직접노무비)'!$C$12:$C$503,'WIP(재공품)'!B449,'Direct labour(직접노무비)'!$Q$12:$Q$503)</f>
        <v>28664581</v>
      </c>
      <c r="W449" s="112">
        <f>SUMIF('Overhead exp(제조경비)'!$C$12:$C$503,'WIP(재공품)'!B449,'Overhead exp(제조경비)'!$Q$12:$Q$503)</f>
        <v>56003091</v>
      </c>
      <c r="X449" s="112">
        <f t="shared" si="66"/>
        <v>84667672</v>
      </c>
      <c r="Y449" s="112">
        <f ca="1">ROUND(SUMIF('JUNE (물량흐름)'!$C$13:$C$502,'WIP(재공품)'!B449,'JUNE (물량흐름)'!$N$13:$N$488),0)</f>
        <v>0</v>
      </c>
      <c r="Z449" s="112">
        <f>ROUND(SUMIF('JUNE (물량흐름)'!$C$13:$C$502,'WIP(재공품)'!B449,'JUNE (물량흐름)'!$O$13:$O$502),0)</f>
        <v>0</v>
      </c>
      <c r="AA449" s="112">
        <f>ROUND(SUMIF('JUNE (물량흐름)'!$C$13:$C$502,'WIP(재공품)'!B449,'JUNE (물량흐름)'!$P$13:$P$502),0)</f>
        <v>19</v>
      </c>
      <c r="AB449" s="112">
        <f t="shared" ca="1" si="67"/>
        <v>19</v>
      </c>
      <c r="AC449" s="112">
        <f t="shared" si="68"/>
        <v>1529169</v>
      </c>
      <c r="AD449" s="381">
        <f t="shared" ca="1" si="69"/>
        <v>0</v>
      </c>
      <c r="AE449" s="381">
        <f t="shared" si="70"/>
        <v>0</v>
      </c>
      <c r="AF449" s="382"/>
      <c r="AG449" s="382"/>
      <c r="AH449" s="383"/>
      <c r="AI449" s="383"/>
      <c r="AJ449" s="383"/>
      <c r="AL449" s="385"/>
      <c r="AM449" s="381"/>
      <c r="AN449" s="382"/>
      <c r="AO449" s="382"/>
      <c r="AP449" s="383"/>
      <c r="AQ449" s="383"/>
    </row>
    <row r="450" spans="1:43" s="384" customFormat="1" ht="27" customHeight="1">
      <c r="A450" s="167">
        <v>460</v>
      </c>
      <c r="B450" s="240">
        <f>VLOOKUP(A450,'JUNE (물량흐름)'!$A$13:$C$502,3,0)</f>
        <v>100024853</v>
      </c>
      <c r="C450" s="21" t="str">
        <f>VLOOKUP(A450,'JUNE (물량흐름)'!$A$13:$C$502,2,0)</f>
        <v>ALFANI</v>
      </c>
      <c r="D450" s="212">
        <v>1.9</v>
      </c>
      <c r="E450" s="6">
        <f>VLOOKUP(B450,'Sales profit (스타일 별 매출이익)'!$D$9:$P$491,13,0)</f>
        <v>43082.5</v>
      </c>
      <c r="F450" s="112">
        <f>IFERROR(VLOOKUP(B450,O.B.JUNE!$N$7:$Q$448,2,0),0)</f>
        <v>0</v>
      </c>
      <c r="G450" s="112">
        <f>IFERROR(VLOOKUP(B450,O.B.JUNE!$N$7:$Q$448,3,0),0)</f>
        <v>0</v>
      </c>
      <c r="H450" s="112">
        <f>IFERROR(VLOOKUP(B450,O.B.JUNE!$N$7:$Q$448,4,0),0)</f>
        <v>0</v>
      </c>
      <c r="I450" s="112">
        <f t="shared" si="71"/>
        <v>0</v>
      </c>
      <c r="J450" s="112">
        <f>IFERROR(VLOOKUP(B450,O.B.JUNE!$AA$7:$AG$448,7,0),0)</f>
        <v>0</v>
      </c>
      <c r="K450" s="112">
        <f>IFERROR(VLOOKUP(B450,O.B.JUNE!$AI$7:$AO$448,7,0),0)</f>
        <v>0</v>
      </c>
      <c r="L450" s="112">
        <f t="shared" si="72"/>
        <v>0</v>
      </c>
      <c r="M450" s="112">
        <f>ROUND(SUMIF('JUNE (물량흐름)'!$C$13:$C$502,'WIP(재공품)'!B450,'JUNE (물량흐름)'!$H$13:$H$502)+SUMIF('JUNE (물량흐름)'!$C$13:$C$502,'WIP(재공품)'!B450,'JUNE (물량흐름)'!$V$13:$V$502),0)</f>
        <v>7725</v>
      </c>
      <c r="N450" s="112">
        <f>SUMIF('Direct labour(직접노무비)'!$C$12:$C$503,'WIP(재공품)'!B450,'Direct labour(직접노무비)'!$O$12:$O$503)</f>
        <v>99119351</v>
      </c>
      <c r="O450" s="112">
        <f>SUMIF('Overhead exp(제조경비)'!$C$12:$C$503,'WIP(재공품)'!B450,'Overhead exp(제조경비)'!$O$12:$O$503)</f>
        <v>193653284</v>
      </c>
      <c r="P450" s="112">
        <f t="shared" si="65"/>
        <v>292772635</v>
      </c>
      <c r="Q450" s="112">
        <v>0</v>
      </c>
      <c r="R450" s="112">
        <v>0</v>
      </c>
      <c r="S450" s="112">
        <f>SUMIF('JUNE (물량흐름)'!$C$13:$C$493,'WIP(재공품)'!B450,'JUNE (물량흐름)'!$T$13:$T$493)+SUMIF('JUNE (물량흐름)'!$C$13:$C$493,'WIP(재공품)'!B450,'JUNE (물량흐름)'!$U$13:$U$493)+SUMIF('JUNE (물량흐름)'!$C$13:$C$493,'WIP(재공품)'!B450,'JUNE (물량흐름)'!$V$13:$V$493)-SUMIF('JUNE (물량흐름)'!$C$13:$C$493,'WIP(재공품)'!B450,'JUNE (물량흐름)'!$Y$13:$Y$493)</f>
        <v>6948</v>
      </c>
      <c r="T450" s="112">
        <f>SUMIF('JUNE (물량흐름)'!$C$13:$C$502,'WIP(재공품)'!B450,'JUNE (물량흐름)'!$Y$13:$Y$502)</f>
        <v>0</v>
      </c>
      <c r="U450" s="167">
        <f>SUMIF('Direct labour(직접노무비)'!$C$12:$C$503,'WIP(재공품)'!B450,'Direct labour(직접노무비)'!$U$12:$U$503)+SUMIF('Overhead exp(제조경비)'!$C$12:$C$503,'WIP(재공품)'!B450,'Overhead exp(제조경비)'!$U$12:$U$503)</f>
        <v>0</v>
      </c>
      <c r="V450" s="112">
        <f>SUMIF('Direct labour(직접노무비)'!$C$12:$C$503,'WIP(재공품)'!B450,'Direct labour(직접노무비)'!$Q$12:$Q$503)</f>
        <v>89149676</v>
      </c>
      <c r="W450" s="112">
        <f>SUMIF('Overhead exp(제조경비)'!$C$12:$C$503,'WIP(재공품)'!B450,'Overhead exp(제조경비)'!$Q$12:$Q$503)</f>
        <v>174175148</v>
      </c>
      <c r="X450" s="112">
        <f t="shared" si="66"/>
        <v>263324824</v>
      </c>
      <c r="Y450" s="112">
        <f ca="1">ROUND(SUMIF('JUNE (물량흐름)'!$C$13:$C$502,'WIP(재공품)'!B450,'JUNE (물량흐름)'!$N$13:$N$488),0)</f>
        <v>8</v>
      </c>
      <c r="Z450" s="112">
        <f>ROUND(SUMIF('JUNE (물량흐름)'!$C$13:$C$502,'WIP(재공품)'!B450,'JUNE (물량흐름)'!$O$13:$O$502),0)</f>
        <v>418</v>
      </c>
      <c r="AA450" s="112">
        <f>ROUND(SUMIF('JUNE (물량흐름)'!$C$13:$C$502,'WIP(재공품)'!B450,'JUNE (물량흐름)'!$P$13:$P$502),0)</f>
        <v>351</v>
      </c>
      <c r="AB450" s="112">
        <f t="shared" ca="1" si="67"/>
        <v>777</v>
      </c>
      <c r="AC450" s="112">
        <f t="shared" si="68"/>
        <v>29447811</v>
      </c>
      <c r="AD450" s="381">
        <f t="shared" ca="1" si="69"/>
        <v>0</v>
      </c>
      <c r="AE450" s="381">
        <f t="shared" si="70"/>
        <v>0</v>
      </c>
      <c r="AF450" s="382"/>
      <c r="AG450" s="382"/>
      <c r="AH450" s="383"/>
      <c r="AI450" s="383"/>
      <c r="AJ450" s="383"/>
      <c r="AL450" s="385"/>
      <c r="AM450" s="381"/>
      <c r="AN450" s="382"/>
      <c r="AO450" s="382"/>
      <c r="AP450" s="383"/>
      <c r="AQ450" s="383"/>
    </row>
    <row r="451" spans="1:43" s="384" customFormat="1" ht="27" customHeight="1">
      <c r="A451" s="167">
        <v>461</v>
      </c>
      <c r="B451" s="240">
        <f>VLOOKUP(A451,'JUNE (물량흐름)'!$A$13:$C$502,3,0)</f>
        <v>100025038</v>
      </c>
      <c r="C451" s="21" t="str">
        <f>VLOOKUP(A451,'JUNE (물량흐름)'!$A$13:$C$502,2,0)</f>
        <v>ALFANI</v>
      </c>
      <c r="D451" s="212">
        <v>3.4</v>
      </c>
      <c r="E451" s="6">
        <f>VLOOKUP(B451,'Sales profit (스타일 별 매출이익)'!$D$9:$P$491,13,0)</f>
        <v>77095</v>
      </c>
      <c r="F451" s="112">
        <f>IFERROR(VLOOKUP(B451,O.B.JUNE!$N$7:$Q$448,2,0),0)</f>
        <v>0</v>
      </c>
      <c r="G451" s="112">
        <f>IFERROR(VLOOKUP(B451,O.B.JUNE!$N$7:$Q$448,3,0),0)</f>
        <v>0</v>
      </c>
      <c r="H451" s="112">
        <f>IFERROR(VLOOKUP(B451,O.B.JUNE!$N$7:$Q$448,4,0),0)</f>
        <v>0</v>
      </c>
      <c r="I451" s="112">
        <f t="shared" si="71"/>
        <v>0</v>
      </c>
      <c r="J451" s="112">
        <f>IFERROR(VLOOKUP(B451,O.B.JUNE!$AA$7:$AG$448,7,0),0)</f>
        <v>0</v>
      </c>
      <c r="K451" s="112">
        <f>IFERROR(VLOOKUP(B451,O.B.JUNE!$AI$7:$AO$448,7,0),0)</f>
        <v>0</v>
      </c>
      <c r="L451" s="112">
        <f t="shared" si="72"/>
        <v>0</v>
      </c>
      <c r="M451" s="112">
        <f>ROUND(SUMIF('JUNE (물량흐름)'!$C$13:$C$502,'WIP(재공품)'!B451,'JUNE (물량흐름)'!$H$13:$H$502)+SUMIF('JUNE (물량흐름)'!$C$13:$C$502,'WIP(재공품)'!B451,'JUNE (물량흐름)'!$V$13:$V$502),0)</f>
        <v>991</v>
      </c>
      <c r="N451" s="112">
        <f>SUMIF('Direct labour(직접노무비)'!$C$12:$C$503,'WIP(재공품)'!B451,'Direct labour(직접노무비)'!$O$12:$O$503)</f>
        <v>17119602</v>
      </c>
      <c r="O451" s="112">
        <f>SUMIF('Overhead exp(제조경비)'!$C$12:$C$503,'WIP(재공품)'!B451,'Overhead exp(제조경비)'!$O$12:$O$503)</f>
        <v>33447223</v>
      </c>
      <c r="P451" s="112">
        <f t="shared" si="65"/>
        <v>50566825</v>
      </c>
      <c r="Q451" s="112">
        <v>0</v>
      </c>
      <c r="R451" s="112">
        <v>0</v>
      </c>
      <c r="S451" s="112">
        <f>SUMIF('JUNE (물량흐름)'!$C$13:$C$493,'WIP(재공품)'!B451,'JUNE (물량흐름)'!$T$13:$T$493)+SUMIF('JUNE (물량흐름)'!$C$13:$C$493,'WIP(재공품)'!B451,'JUNE (물량흐름)'!$U$13:$U$493)+SUMIF('JUNE (물량흐름)'!$C$13:$C$493,'WIP(재공품)'!B451,'JUNE (물량흐름)'!$V$13:$V$493)-SUMIF('JUNE (물량흐름)'!$C$13:$C$493,'WIP(재공품)'!B451,'JUNE (물량흐름)'!$Y$13:$Y$493)</f>
        <v>0</v>
      </c>
      <c r="T451" s="112">
        <f>SUMIF('JUNE (물량흐름)'!$C$13:$C$502,'WIP(재공품)'!B451,'JUNE (물량흐름)'!$Y$13:$Y$502)</f>
        <v>0</v>
      </c>
      <c r="U451" s="167">
        <f>SUMIF('Direct labour(직접노무비)'!$C$12:$C$503,'WIP(재공품)'!B451,'Direct labour(직접노무비)'!$U$12:$U$503)+SUMIF('Overhead exp(제조경비)'!$C$12:$C$503,'WIP(재공품)'!B451,'Overhead exp(제조경비)'!$U$12:$U$503)</f>
        <v>0</v>
      </c>
      <c r="V451" s="112">
        <f>SUMIF('Direct labour(직접노무비)'!$C$12:$C$503,'WIP(재공품)'!B451,'Direct labour(직접노무비)'!$Q$12:$Q$503)</f>
        <v>0</v>
      </c>
      <c r="W451" s="112">
        <f>SUMIF('Overhead exp(제조경비)'!$C$12:$C$503,'WIP(재공품)'!B451,'Overhead exp(제조경비)'!$Q$12:$Q$503)</f>
        <v>0</v>
      </c>
      <c r="X451" s="112">
        <f t="shared" si="66"/>
        <v>0</v>
      </c>
      <c r="Y451" s="112">
        <f ca="1">ROUND(SUMIF('JUNE (물량흐름)'!$C$13:$C$502,'WIP(재공품)'!B451,'JUNE (물량흐름)'!$N$13:$N$488),0)</f>
        <v>0</v>
      </c>
      <c r="Z451" s="112">
        <f>ROUND(SUMIF('JUNE (물량흐름)'!$C$13:$C$502,'WIP(재공품)'!B451,'JUNE (물량흐름)'!$O$13:$O$502),0)</f>
        <v>250</v>
      </c>
      <c r="AA451" s="112">
        <f>ROUND(SUMIF('JUNE (물량흐름)'!$C$13:$C$502,'WIP(재공품)'!B451,'JUNE (물량흐름)'!$P$13:$P$502),0)</f>
        <v>741</v>
      </c>
      <c r="AB451" s="112">
        <f t="shared" ca="1" si="67"/>
        <v>991</v>
      </c>
      <c r="AC451" s="112">
        <f t="shared" si="68"/>
        <v>50566825</v>
      </c>
      <c r="AD451" s="381">
        <f t="shared" ca="1" si="69"/>
        <v>0</v>
      </c>
      <c r="AE451" s="381">
        <f t="shared" si="70"/>
        <v>0</v>
      </c>
      <c r="AF451" s="382"/>
      <c r="AG451" s="382"/>
      <c r="AH451" s="383"/>
      <c r="AI451" s="383"/>
      <c r="AJ451" s="383"/>
      <c r="AL451" s="385"/>
      <c r="AM451" s="381"/>
      <c r="AN451" s="382"/>
      <c r="AO451" s="382"/>
      <c r="AP451" s="383"/>
      <c r="AQ451" s="383"/>
    </row>
    <row r="452" spans="1:43" s="384" customFormat="1" ht="27" customHeight="1">
      <c r="A452" s="167">
        <v>462</v>
      </c>
      <c r="B452" s="240">
        <f>VLOOKUP(A452,'JUNE (물량흐름)'!$A$13:$C$502,3,0)</f>
        <v>100025039</v>
      </c>
      <c r="C452" s="21" t="str">
        <f>VLOOKUP(A452,'JUNE (물량흐름)'!$A$13:$C$502,2,0)</f>
        <v>ALFANI</v>
      </c>
      <c r="D452" s="212">
        <v>3.4</v>
      </c>
      <c r="E452" s="6">
        <f>VLOOKUP(B452,'Sales profit (스타일 별 매출이익)'!$D$9:$P$491,13,0)</f>
        <v>77095</v>
      </c>
      <c r="F452" s="112">
        <f>IFERROR(VLOOKUP(B452,O.B.JUNE!$N$7:$Q$448,2,0),0)</f>
        <v>0</v>
      </c>
      <c r="G452" s="112">
        <f>IFERROR(VLOOKUP(B452,O.B.JUNE!$N$7:$Q$448,3,0),0)</f>
        <v>0</v>
      </c>
      <c r="H452" s="112">
        <f>IFERROR(VLOOKUP(B452,O.B.JUNE!$N$7:$Q$448,4,0),0)</f>
        <v>0</v>
      </c>
      <c r="I452" s="112">
        <f t="shared" si="71"/>
        <v>0</v>
      </c>
      <c r="J452" s="112">
        <f>IFERROR(VLOOKUP(B452,O.B.JUNE!$AA$7:$AG$448,7,0),0)</f>
        <v>0</v>
      </c>
      <c r="K452" s="112">
        <f>IFERROR(VLOOKUP(B452,O.B.JUNE!$AI$7:$AO$448,7,0),0)</f>
        <v>0</v>
      </c>
      <c r="L452" s="112">
        <f t="shared" si="72"/>
        <v>0</v>
      </c>
      <c r="M452" s="112">
        <f>ROUND(SUMIF('JUNE (물량흐름)'!$C$13:$C$502,'WIP(재공품)'!B452,'JUNE (물량흐름)'!$H$13:$H$502)+SUMIF('JUNE (물량흐름)'!$C$13:$C$502,'WIP(재공품)'!B452,'JUNE (물량흐름)'!$V$13:$V$502),0)</f>
        <v>4714</v>
      </c>
      <c r="N452" s="112">
        <f>SUMIF('Direct labour(직접노무비)'!$C$12:$C$503,'WIP(재공품)'!B452,'Direct labour(직접노무비)'!$O$12:$O$503)</f>
        <v>106604093</v>
      </c>
      <c r="O452" s="112">
        <f>SUMIF('Overhead exp(제조경비)'!$C$12:$C$503,'WIP(재공품)'!B452,'Overhead exp(제조경비)'!$O$12:$O$503)</f>
        <v>208276511</v>
      </c>
      <c r="P452" s="112">
        <f t="shared" si="65"/>
        <v>314880604</v>
      </c>
      <c r="Q452" s="112">
        <v>0</v>
      </c>
      <c r="R452" s="112">
        <v>0</v>
      </c>
      <c r="S452" s="112">
        <f>SUMIF('JUNE (물량흐름)'!$C$13:$C$493,'WIP(재공품)'!B452,'JUNE (물량흐름)'!$T$13:$T$493)+SUMIF('JUNE (물량흐름)'!$C$13:$C$493,'WIP(재공품)'!B452,'JUNE (물량흐름)'!$U$13:$U$493)+SUMIF('JUNE (물량흐름)'!$C$13:$C$493,'WIP(재공품)'!B452,'JUNE (물량흐름)'!$V$13:$V$493)-SUMIF('JUNE (물량흐름)'!$C$13:$C$493,'WIP(재공품)'!B452,'JUNE (물량흐름)'!$Y$13:$Y$493)</f>
        <v>3687</v>
      </c>
      <c r="T452" s="112">
        <f>SUMIF('JUNE (물량흐름)'!$C$13:$C$502,'WIP(재공품)'!B452,'JUNE (물량흐름)'!$Y$13:$Y$502)</f>
        <v>0</v>
      </c>
      <c r="U452" s="167">
        <f>SUMIF('Direct labour(직접노무비)'!$C$12:$C$503,'WIP(재공품)'!B452,'Direct labour(직접노무비)'!$U$12:$U$503)+SUMIF('Overhead exp(제조경비)'!$C$12:$C$503,'WIP(재공품)'!B452,'Overhead exp(제조경비)'!$U$12:$U$503)</f>
        <v>0</v>
      </c>
      <c r="V452" s="112">
        <f>SUMIF('Direct labour(직접노무비)'!$C$12:$C$503,'WIP(재공품)'!B452,'Direct labour(직접노무비)'!$Q$12:$Q$503)</f>
        <v>83379145</v>
      </c>
      <c r="W452" s="112">
        <f>SUMIF('Overhead exp(제조경비)'!$C$12:$C$503,'WIP(재공품)'!B452,'Overhead exp(제조경비)'!$Q$12:$Q$503)</f>
        <v>162901039</v>
      </c>
      <c r="X452" s="112">
        <f t="shared" si="66"/>
        <v>246280184</v>
      </c>
      <c r="Y452" s="112">
        <f ca="1">ROUND(SUMIF('JUNE (물량흐름)'!$C$13:$C$502,'WIP(재공품)'!B452,'JUNE (물량흐름)'!$N$13:$N$488),0)</f>
        <v>2</v>
      </c>
      <c r="Z452" s="112">
        <f>ROUND(SUMIF('JUNE (물량흐름)'!$C$13:$C$502,'WIP(재공품)'!B452,'JUNE (물량흐름)'!$O$13:$O$502),0)</f>
        <v>121</v>
      </c>
      <c r="AA452" s="112">
        <f>ROUND(SUMIF('JUNE (물량흐름)'!$C$13:$C$502,'WIP(재공품)'!B452,'JUNE (물량흐름)'!$P$13:$P$502),0)</f>
        <v>904</v>
      </c>
      <c r="AB452" s="112">
        <f t="shared" ca="1" si="67"/>
        <v>1027</v>
      </c>
      <c r="AC452" s="112">
        <f t="shared" si="68"/>
        <v>68600420</v>
      </c>
      <c r="AD452" s="381">
        <f t="shared" ca="1" si="69"/>
        <v>0</v>
      </c>
      <c r="AE452" s="381">
        <f t="shared" si="70"/>
        <v>0</v>
      </c>
      <c r="AF452" s="382"/>
      <c r="AG452" s="382"/>
      <c r="AH452" s="383"/>
      <c r="AJ452" s="383"/>
      <c r="AL452" s="385"/>
      <c r="AM452" s="381"/>
      <c r="AN452" s="382"/>
      <c r="AO452" s="382"/>
      <c r="AP452" s="383"/>
      <c r="AQ452" s="383"/>
    </row>
    <row r="453" spans="1:43" s="384" customFormat="1" ht="27" customHeight="1">
      <c r="A453" s="167">
        <v>463</v>
      </c>
      <c r="B453" s="240">
        <f>VLOOKUP(A453,'JUNE (물량흐름)'!$A$13:$C$502,3,0)</f>
        <v>100027487</v>
      </c>
      <c r="C453" s="21" t="str">
        <f>VLOOKUP(A453,'JUNE (물량흐름)'!$A$13:$C$502,2,0)</f>
        <v>ALFANI</v>
      </c>
      <c r="D453" s="212">
        <v>1.98</v>
      </c>
      <c r="E453" s="6">
        <f>VLOOKUP(B453,'Sales profit (스타일 별 매출이익)'!$D$9:$P$491,13,0)</f>
        <v>44896.5</v>
      </c>
      <c r="F453" s="112">
        <f>IFERROR(VLOOKUP(B453,O.B.JUNE!$N$7:$Q$448,2,0),0)</f>
        <v>0</v>
      </c>
      <c r="G453" s="112">
        <f>IFERROR(VLOOKUP(B453,O.B.JUNE!$N$7:$Q$448,3,0),0)</f>
        <v>0</v>
      </c>
      <c r="H453" s="112">
        <f>IFERROR(VLOOKUP(B453,O.B.JUNE!$N$7:$Q$448,4,0),0)</f>
        <v>0</v>
      </c>
      <c r="I453" s="112">
        <f t="shared" si="71"/>
        <v>0</v>
      </c>
      <c r="J453" s="112">
        <f>IFERROR(VLOOKUP(B453,O.B.JUNE!$AA$7:$AG$448,7,0),0)</f>
        <v>0</v>
      </c>
      <c r="K453" s="112">
        <f>IFERROR(VLOOKUP(B453,O.B.JUNE!$AI$7:$AO$448,7,0),0)</f>
        <v>0</v>
      </c>
      <c r="L453" s="112">
        <f t="shared" si="72"/>
        <v>0</v>
      </c>
      <c r="M453" s="112">
        <f>ROUND(SUMIF('JUNE (물량흐름)'!$C$13:$C$502,'WIP(재공품)'!B453,'JUNE (물량흐름)'!$H$13:$H$502)+SUMIF('JUNE (물량흐름)'!$C$13:$C$502,'WIP(재공품)'!B453,'JUNE (물량흐름)'!$V$13:$V$502),0)</f>
        <v>1282</v>
      </c>
      <c r="N453" s="112">
        <f>SUMIF('Direct labour(직접노무비)'!$C$12:$C$503,'WIP(재공품)'!B453,'Direct labour(직접노무비)'!$O$12:$O$503)</f>
        <v>17287207</v>
      </c>
      <c r="O453" s="112">
        <f>SUMIF('Overhead exp(제조경비)'!$C$12:$C$503,'WIP(재공품)'!B453,'Overhead exp(제조경비)'!$O$12:$O$503)</f>
        <v>33774680</v>
      </c>
      <c r="P453" s="112">
        <f t="shared" si="65"/>
        <v>51061887</v>
      </c>
      <c r="Q453" s="112">
        <v>0</v>
      </c>
      <c r="R453" s="112">
        <v>0</v>
      </c>
      <c r="S453" s="112">
        <f>SUMIF('JUNE (물량흐름)'!$C$13:$C$493,'WIP(재공품)'!B453,'JUNE (물량흐름)'!$T$13:$T$493)+SUMIF('JUNE (물량흐름)'!$C$13:$C$493,'WIP(재공품)'!B453,'JUNE (물량흐름)'!$U$13:$U$493)+SUMIF('JUNE (물량흐름)'!$C$13:$C$493,'WIP(재공품)'!B453,'JUNE (물량흐름)'!$V$13:$V$493)-SUMIF('JUNE (물량흐름)'!$C$13:$C$493,'WIP(재공품)'!B453,'JUNE (물량흐름)'!$Y$13:$Y$493)</f>
        <v>1205</v>
      </c>
      <c r="T453" s="112">
        <f>SUMIF('JUNE (물량흐름)'!$C$13:$C$502,'WIP(재공품)'!B453,'JUNE (물량흐름)'!$Y$13:$Y$502)</f>
        <v>0</v>
      </c>
      <c r="U453" s="167">
        <f>SUMIF('Direct labour(직접노무비)'!$C$12:$C$503,'WIP(재공품)'!B453,'Direct labour(직접노무비)'!$U$12:$U$503)+SUMIF('Overhead exp(제조경비)'!$C$12:$C$503,'WIP(재공품)'!B453,'Overhead exp(제조경비)'!$U$12:$U$503)</f>
        <v>0</v>
      </c>
      <c r="V453" s="112">
        <f>SUMIF('Direct labour(직접노무비)'!$C$12:$C$503,'WIP(재공품)'!B453,'Direct labour(직접노무비)'!$Q$12:$Q$503)</f>
        <v>16248896</v>
      </c>
      <c r="W453" s="112">
        <f>SUMIF('Overhead exp(제조경비)'!$C$12:$C$503,'WIP(재공품)'!B453,'Overhead exp(제조경비)'!$Q$12:$Q$503)</f>
        <v>31746092</v>
      </c>
      <c r="X453" s="112">
        <f t="shared" si="66"/>
        <v>47994988</v>
      </c>
      <c r="Y453" s="112">
        <f ca="1">ROUND(SUMIF('JUNE (물량흐름)'!$C$13:$C$502,'WIP(재공품)'!B453,'JUNE (물량흐름)'!$N$13:$N$488),0)</f>
        <v>0</v>
      </c>
      <c r="Z453" s="112">
        <f>ROUND(SUMIF('JUNE (물량흐름)'!$C$13:$C$502,'WIP(재공품)'!B453,'JUNE (물량흐름)'!$O$13:$O$502),0)</f>
        <v>73</v>
      </c>
      <c r="AA453" s="112">
        <f>ROUND(SUMIF('JUNE (물량흐름)'!$C$13:$C$502,'WIP(재공품)'!B453,'JUNE (물량흐름)'!$P$13:$P$502),0)</f>
        <v>4</v>
      </c>
      <c r="AB453" s="112">
        <f t="shared" ca="1" si="67"/>
        <v>77</v>
      </c>
      <c r="AC453" s="112">
        <f t="shared" si="68"/>
        <v>3066899</v>
      </c>
      <c r="AD453" s="381">
        <f t="shared" ca="1" si="69"/>
        <v>0</v>
      </c>
      <c r="AE453" s="381">
        <f t="shared" si="70"/>
        <v>0</v>
      </c>
      <c r="AF453" s="382"/>
      <c r="AG453" s="382"/>
      <c r="AH453" s="383"/>
      <c r="AJ453" s="383"/>
      <c r="AL453" s="385"/>
      <c r="AM453" s="381"/>
      <c r="AN453" s="382"/>
      <c r="AO453" s="382"/>
      <c r="AP453" s="383"/>
      <c r="AQ453" s="383"/>
    </row>
    <row r="454" spans="1:43" s="384" customFormat="1" ht="27" customHeight="1">
      <c r="A454" s="167">
        <v>464</v>
      </c>
      <c r="B454" s="240">
        <f>VLOOKUP(A454,'JUNE (물량흐름)'!$A$13:$C$502,3,0)</f>
        <v>100033970</v>
      </c>
      <c r="C454" s="21" t="str">
        <f>VLOOKUP(A454,'JUNE (물량흐름)'!$A$13:$C$502,2,0)</f>
        <v>ALFANI</v>
      </c>
      <c r="D454" s="212">
        <v>3.2</v>
      </c>
      <c r="E454" s="6">
        <f>VLOOKUP(B454,'Sales profit (스타일 별 매출이익)'!$D$9:$P$491,13,0)</f>
        <v>72560</v>
      </c>
      <c r="F454" s="112">
        <f>IFERROR(VLOOKUP(B454,O.B.JUNE!$N$7:$Q$448,2,0),0)</f>
        <v>0</v>
      </c>
      <c r="G454" s="112">
        <f>IFERROR(VLOOKUP(B454,O.B.JUNE!$N$7:$Q$448,3,0),0)</f>
        <v>0</v>
      </c>
      <c r="H454" s="112">
        <f>IFERROR(VLOOKUP(B454,O.B.JUNE!$N$7:$Q$448,4,0),0)</f>
        <v>0</v>
      </c>
      <c r="I454" s="112">
        <f t="shared" si="71"/>
        <v>0</v>
      </c>
      <c r="J454" s="112">
        <f>IFERROR(VLOOKUP(B454,O.B.JUNE!$AA$7:$AG$448,7,0),0)</f>
        <v>0</v>
      </c>
      <c r="K454" s="112">
        <f>IFERROR(VLOOKUP(B454,O.B.JUNE!$AI$7:$AO$448,7,0),0)</f>
        <v>0</v>
      </c>
      <c r="L454" s="112">
        <f t="shared" si="72"/>
        <v>0</v>
      </c>
      <c r="M454" s="112">
        <f>ROUND(SUMIF('JUNE (물량흐름)'!$C$13:$C$502,'WIP(재공품)'!B454,'JUNE (물량흐름)'!$H$13:$H$502)+SUMIF('JUNE (물량흐름)'!$C$13:$C$502,'WIP(재공품)'!B454,'JUNE (물량흐름)'!$V$13:$V$502),0)</f>
        <v>1465</v>
      </c>
      <c r="N454" s="112">
        <f>SUMIF('Direct labour(직접노무비)'!$C$12:$C$503,'WIP(재공품)'!B454,'Direct labour(직접노무비)'!$O$12:$O$503)</f>
        <v>21834996</v>
      </c>
      <c r="O454" s="112">
        <f>SUMIF('Overhead exp(제조경비)'!$C$12:$C$503,'WIP(재공품)'!B454,'Overhead exp(제조경비)'!$O$12:$O$503)</f>
        <v>42659870</v>
      </c>
      <c r="P454" s="112">
        <f t="shared" si="65"/>
        <v>64494866</v>
      </c>
      <c r="Q454" s="112">
        <v>0</v>
      </c>
      <c r="R454" s="112">
        <v>0</v>
      </c>
      <c r="S454" s="112">
        <f>SUMIF('JUNE (물량흐름)'!$C$13:$C$493,'WIP(재공품)'!B454,'JUNE (물량흐름)'!$T$13:$T$493)+SUMIF('JUNE (물량흐름)'!$C$13:$C$493,'WIP(재공품)'!B454,'JUNE (물량흐름)'!$U$13:$U$493)+SUMIF('JUNE (물량흐름)'!$C$13:$C$493,'WIP(재공품)'!B454,'JUNE (물량흐름)'!$V$13:$V$493)-SUMIF('JUNE (물량흐름)'!$C$13:$C$493,'WIP(재공품)'!B454,'JUNE (물량흐름)'!$Y$13:$Y$493)</f>
        <v>0</v>
      </c>
      <c r="T454" s="112">
        <f>SUMIF('JUNE (물량흐름)'!$C$13:$C$502,'WIP(재공품)'!B454,'JUNE (물량흐름)'!$Y$13:$Y$502)</f>
        <v>0</v>
      </c>
      <c r="U454" s="167">
        <f>SUMIF('Direct labour(직접노무비)'!$C$12:$C$503,'WIP(재공품)'!B454,'Direct labour(직접노무비)'!$U$12:$U$503)+SUMIF('Overhead exp(제조경비)'!$C$12:$C$503,'WIP(재공품)'!B454,'Overhead exp(제조경비)'!$U$12:$U$503)</f>
        <v>0</v>
      </c>
      <c r="V454" s="112">
        <f>SUMIF('Direct labour(직접노무비)'!$C$12:$C$503,'WIP(재공품)'!B454,'Direct labour(직접노무비)'!$Q$12:$Q$503)</f>
        <v>0</v>
      </c>
      <c r="W454" s="112">
        <f>SUMIF('Overhead exp(제조경비)'!$C$12:$C$503,'WIP(재공품)'!B454,'Overhead exp(제조경비)'!$Q$12:$Q$503)</f>
        <v>0</v>
      </c>
      <c r="X454" s="112">
        <f t="shared" si="66"/>
        <v>0</v>
      </c>
      <c r="Y454" s="112">
        <f ca="1">ROUND(SUMIF('JUNE (물량흐름)'!$C$13:$C$502,'WIP(재공품)'!B454,'JUNE (물량흐름)'!$N$13:$N$488),0)</f>
        <v>0</v>
      </c>
      <c r="Z454" s="112">
        <f>ROUND(SUMIF('JUNE (물량흐름)'!$C$13:$C$502,'WIP(재공품)'!B454,'JUNE (물량흐름)'!$O$13:$O$502),0)</f>
        <v>665</v>
      </c>
      <c r="AA454" s="112">
        <f>ROUND(SUMIF('JUNE (물량흐름)'!$C$13:$C$502,'WIP(재공품)'!B454,'JUNE (물량흐름)'!$P$13:$P$502),0)</f>
        <v>800</v>
      </c>
      <c r="AB454" s="112">
        <f t="shared" ca="1" si="67"/>
        <v>1465</v>
      </c>
      <c r="AC454" s="112">
        <f t="shared" si="68"/>
        <v>64494866</v>
      </c>
      <c r="AD454" s="381">
        <f t="shared" ca="1" si="69"/>
        <v>0</v>
      </c>
      <c r="AE454" s="381">
        <f t="shared" si="70"/>
        <v>0</v>
      </c>
      <c r="AF454" s="382"/>
      <c r="AG454" s="382"/>
      <c r="AH454" s="383"/>
      <c r="AJ454" s="383"/>
      <c r="AL454" s="385"/>
      <c r="AM454" s="381"/>
      <c r="AN454" s="382"/>
      <c r="AO454" s="382"/>
      <c r="AP454" s="383"/>
      <c r="AQ454" s="383"/>
    </row>
    <row r="455" spans="1:43" s="384" customFormat="1" ht="27" customHeight="1">
      <c r="A455" s="167">
        <v>465</v>
      </c>
      <c r="B455" s="240">
        <f>VLOOKUP(A455,'JUNE (물량흐름)'!$A$13:$C$502,3,0)</f>
        <v>100037213</v>
      </c>
      <c r="C455" s="21" t="str">
        <f>VLOOKUP(A455,'JUNE (물량흐름)'!$A$13:$C$502,2,0)</f>
        <v>ALFANI</v>
      </c>
      <c r="D455" s="212">
        <v>1.8</v>
      </c>
      <c r="E455" s="6">
        <f>VLOOKUP(B455,'Sales profit (스타일 별 매출이익)'!$D$9:$P$491,13,0)</f>
        <v>40815</v>
      </c>
      <c r="F455" s="112">
        <f>IFERROR(VLOOKUP(B455,O.B.JUNE!$N$7:$Q$448,2,0),0)</f>
        <v>0</v>
      </c>
      <c r="G455" s="112">
        <f>IFERROR(VLOOKUP(B455,O.B.JUNE!$N$7:$Q$448,3,0),0)</f>
        <v>0</v>
      </c>
      <c r="H455" s="112">
        <f>IFERROR(VLOOKUP(B455,O.B.JUNE!$N$7:$Q$448,4,0),0)</f>
        <v>0</v>
      </c>
      <c r="I455" s="112">
        <f t="shared" si="71"/>
        <v>0</v>
      </c>
      <c r="J455" s="112">
        <f>IFERROR(VLOOKUP(B455,O.B.JUNE!$AA$7:$AG$448,7,0),0)</f>
        <v>0</v>
      </c>
      <c r="K455" s="112">
        <f>IFERROR(VLOOKUP(B455,O.B.JUNE!$AI$7:$AO$448,7,0),0)</f>
        <v>0</v>
      </c>
      <c r="L455" s="112">
        <f t="shared" si="72"/>
        <v>0</v>
      </c>
      <c r="M455" s="112">
        <f>ROUND(SUMIF('JUNE (물량흐름)'!$C$13:$C$502,'WIP(재공품)'!B455,'JUNE (물량흐름)'!$H$13:$H$502)+SUMIF('JUNE (물량흐름)'!$C$13:$C$502,'WIP(재공품)'!B455,'JUNE (물량흐름)'!$V$13:$V$502),0)</f>
        <v>2712</v>
      </c>
      <c r="N455" s="112">
        <f>SUMIF('Direct labour(직접노무비)'!$C$12:$C$503,'WIP(재공품)'!B455,'Direct labour(직접노무비)'!$O$12:$O$503)</f>
        <v>28389141</v>
      </c>
      <c r="O455" s="112">
        <f>SUMIF('Overhead exp(제조경비)'!$C$12:$C$503,'WIP(재공품)'!B455,'Overhead exp(제조경비)'!$O$12:$O$503)</f>
        <v>55464955</v>
      </c>
      <c r="P455" s="112">
        <f t="shared" si="65"/>
        <v>83854096</v>
      </c>
      <c r="Q455" s="112">
        <v>0</v>
      </c>
      <c r="R455" s="112">
        <v>0</v>
      </c>
      <c r="S455" s="112">
        <f>SUMIF('JUNE (물량흐름)'!$C$13:$C$493,'WIP(재공품)'!B455,'JUNE (물량흐름)'!$T$13:$T$493)+SUMIF('JUNE (물량흐름)'!$C$13:$C$493,'WIP(재공품)'!B455,'JUNE (물량흐름)'!$U$13:$U$493)+SUMIF('JUNE (물량흐름)'!$C$13:$C$493,'WIP(재공품)'!B455,'JUNE (물량흐름)'!$V$13:$V$493)-SUMIF('JUNE (물량흐름)'!$C$13:$C$493,'WIP(재공품)'!B455,'JUNE (물량흐름)'!$Y$13:$Y$493)</f>
        <v>1276</v>
      </c>
      <c r="T455" s="112">
        <f>SUMIF('JUNE (물량흐름)'!$C$13:$C$502,'WIP(재공품)'!B455,'JUNE (물량흐름)'!$Y$13:$Y$502)</f>
        <v>0</v>
      </c>
      <c r="U455" s="167">
        <f>SUMIF('Direct labour(직접노무비)'!$C$12:$C$503,'WIP(재공품)'!B455,'Direct labour(직접노무비)'!$U$12:$U$503)+SUMIF('Overhead exp(제조경비)'!$C$12:$C$503,'WIP(재공품)'!B455,'Overhead exp(제조경비)'!$U$12:$U$503)</f>
        <v>0</v>
      </c>
      <c r="V455" s="112">
        <f>SUMIF('Direct labour(직접노무비)'!$C$12:$C$503,'WIP(재공품)'!B455,'Direct labour(직접노무비)'!$Q$12:$Q$503)</f>
        <v>13357133</v>
      </c>
      <c r="W455" s="112">
        <f>SUMIF('Overhead exp(제조경비)'!$C$12:$C$503,'WIP(재공품)'!B455,'Overhead exp(제조경비)'!$Q$12:$Q$503)</f>
        <v>26096343</v>
      </c>
      <c r="X455" s="112">
        <f t="shared" si="66"/>
        <v>39453476</v>
      </c>
      <c r="Y455" s="112">
        <f ca="1">ROUND(SUMIF('JUNE (물량흐름)'!$C$13:$C$502,'WIP(재공품)'!B455,'JUNE (물량흐름)'!$N$13:$N$488),0)</f>
        <v>0</v>
      </c>
      <c r="Z455" s="112">
        <f>ROUND(SUMIF('JUNE (물량흐름)'!$C$13:$C$502,'WIP(재공품)'!B455,'JUNE (물량흐름)'!$O$13:$O$502),0)</f>
        <v>586</v>
      </c>
      <c r="AA455" s="112">
        <f>ROUND(SUMIF('JUNE (물량흐름)'!$C$13:$C$502,'WIP(재공품)'!B455,'JUNE (물량흐름)'!$P$13:$P$502),0)</f>
        <v>850</v>
      </c>
      <c r="AB455" s="112">
        <f t="shared" ca="1" si="67"/>
        <v>1436</v>
      </c>
      <c r="AC455" s="112">
        <f t="shared" si="68"/>
        <v>44400620</v>
      </c>
      <c r="AD455" s="381">
        <f t="shared" ca="1" si="69"/>
        <v>0</v>
      </c>
      <c r="AE455" s="381">
        <f t="shared" si="70"/>
        <v>0</v>
      </c>
      <c r="AF455" s="382"/>
      <c r="AG455" s="382"/>
      <c r="AH455" s="383"/>
      <c r="AJ455" s="383"/>
      <c r="AL455" s="385"/>
      <c r="AM455" s="381"/>
      <c r="AN455" s="382"/>
      <c r="AO455" s="382"/>
      <c r="AP455" s="383"/>
      <c r="AQ455" s="383"/>
    </row>
    <row r="456" spans="1:43" s="384" customFormat="1" ht="27" customHeight="1">
      <c r="A456" s="167">
        <v>466</v>
      </c>
      <c r="B456" s="240">
        <f>VLOOKUP(A456,'JUNE (물량흐름)'!$A$13:$C$502,3,0)</f>
        <v>100037673</v>
      </c>
      <c r="C456" s="21" t="str">
        <f>VLOOKUP(A456,'JUNE (물량흐름)'!$A$13:$C$502,2,0)</f>
        <v>ALFANI</v>
      </c>
      <c r="D456" s="212">
        <v>1.7</v>
      </c>
      <c r="E456" s="6">
        <f>VLOOKUP(B456,'Sales profit (스타일 별 매출이익)'!$D$9:$P$491,13,0)</f>
        <v>38547.5</v>
      </c>
      <c r="F456" s="112">
        <f>IFERROR(VLOOKUP(B456,O.B.JUNE!$N$7:$Q$448,2,0),0)</f>
        <v>0</v>
      </c>
      <c r="G456" s="112">
        <f>IFERROR(VLOOKUP(B456,O.B.JUNE!$N$7:$Q$448,3,0),0)</f>
        <v>0</v>
      </c>
      <c r="H456" s="112">
        <f>IFERROR(VLOOKUP(B456,O.B.JUNE!$N$7:$Q$448,4,0),0)</f>
        <v>0</v>
      </c>
      <c r="I456" s="112">
        <f t="shared" si="71"/>
        <v>0</v>
      </c>
      <c r="J456" s="112">
        <f>IFERROR(VLOOKUP(B456,O.B.JUNE!$AA$7:$AG$448,7,0),0)</f>
        <v>0</v>
      </c>
      <c r="K456" s="112">
        <f>IFERROR(VLOOKUP(B456,O.B.JUNE!$AI$7:$AO$448,7,0),0)</f>
        <v>0</v>
      </c>
      <c r="L456" s="112">
        <f t="shared" si="72"/>
        <v>0</v>
      </c>
      <c r="M456" s="112">
        <f>ROUND(SUMIF('JUNE (물량흐름)'!$C$13:$C$502,'WIP(재공품)'!B456,'JUNE (물량흐름)'!$H$13:$H$502)+SUMIF('JUNE (물량흐름)'!$C$13:$C$502,'WIP(재공품)'!B456,'JUNE (물량흐름)'!$V$13:$V$502),0)</f>
        <v>1772</v>
      </c>
      <c r="N456" s="112">
        <f>SUMIF('Direct labour(직접노무비)'!$C$12:$C$503,'WIP(재공품)'!B456,'Direct labour(직접노무비)'!$O$12:$O$503)</f>
        <v>20803416</v>
      </c>
      <c r="O456" s="112">
        <f>SUMIF('Overhead exp(제조경비)'!$C$12:$C$503,'WIP(재공품)'!B456,'Overhead exp(제조경비)'!$O$12:$O$503)</f>
        <v>40644432</v>
      </c>
      <c r="P456" s="112">
        <f t="shared" si="65"/>
        <v>61447848</v>
      </c>
      <c r="Q456" s="112">
        <v>0</v>
      </c>
      <c r="R456" s="112">
        <v>0</v>
      </c>
      <c r="S456" s="112">
        <f>SUMIF('JUNE (물량흐름)'!$C$13:$C$493,'WIP(재공품)'!B456,'JUNE (물량흐름)'!$T$13:$T$493)+SUMIF('JUNE (물량흐름)'!$C$13:$C$493,'WIP(재공품)'!B456,'JUNE (물량흐름)'!$U$13:$U$493)+SUMIF('JUNE (물량흐름)'!$C$13:$C$493,'WIP(재공품)'!B456,'JUNE (물량흐름)'!$V$13:$V$493)-SUMIF('JUNE (물량흐름)'!$C$13:$C$493,'WIP(재공품)'!B456,'JUNE (물량흐름)'!$Y$13:$Y$493)</f>
        <v>1698</v>
      </c>
      <c r="T456" s="112">
        <f>SUMIF('JUNE (물량흐름)'!$C$13:$C$502,'WIP(재공품)'!B456,'JUNE (물량흐름)'!$Y$13:$Y$502)</f>
        <v>0</v>
      </c>
      <c r="U456" s="167">
        <f>SUMIF('Direct labour(직접노무비)'!$C$12:$C$503,'WIP(재공품)'!B456,'Direct labour(직접노무비)'!$U$12:$U$503)+SUMIF('Overhead exp(제조경비)'!$C$12:$C$503,'WIP(재공품)'!B456,'Overhead exp(제조경비)'!$U$12:$U$503)</f>
        <v>0</v>
      </c>
      <c r="V456" s="112">
        <f>SUMIF('Direct labour(직접노무비)'!$C$12:$C$503,'WIP(재공품)'!B456,'Direct labour(직접노무비)'!$Q$12:$Q$503)</f>
        <v>19934650</v>
      </c>
      <c r="W456" s="112">
        <f>SUMIF('Overhead exp(제조경비)'!$C$12:$C$503,'WIP(재공품)'!B456,'Overhead exp(제조경비)'!$Q$12:$Q$503)</f>
        <v>38947091</v>
      </c>
      <c r="X456" s="112">
        <f t="shared" si="66"/>
        <v>58881741</v>
      </c>
      <c r="Y456" s="112">
        <f ca="1">ROUND(SUMIF('JUNE (물량흐름)'!$C$13:$C$502,'WIP(재공품)'!B456,'JUNE (물량흐름)'!$N$13:$N$488),0)</f>
        <v>0</v>
      </c>
      <c r="Z456" s="112">
        <f>ROUND(SUMIF('JUNE (물량흐름)'!$C$13:$C$502,'WIP(재공품)'!B456,'JUNE (물량흐름)'!$O$13:$O$502),0)</f>
        <v>41</v>
      </c>
      <c r="AA456" s="112">
        <f>ROUND(SUMIF('JUNE (물량흐름)'!$C$13:$C$502,'WIP(재공품)'!B456,'JUNE (물량흐름)'!$P$13:$P$502),0)</f>
        <v>33</v>
      </c>
      <c r="AB456" s="112">
        <f t="shared" ca="1" si="67"/>
        <v>74</v>
      </c>
      <c r="AC456" s="112">
        <f t="shared" si="68"/>
        <v>2566107</v>
      </c>
      <c r="AD456" s="381">
        <f t="shared" ca="1" si="69"/>
        <v>0</v>
      </c>
      <c r="AE456" s="381">
        <f t="shared" si="70"/>
        <v>0</v>
      </c>
      <c r="AF456" s="382"/>
      <c r="AG456" s="382"/>
      <c r="AH456" s="383"/>
      <c r="AJ456" s="383"/>
      <c r="AL456" s="385"/>
      <c r="AM456" s="381"/>
      <c r="AN456" s="382"/>
      <c r="AO456" s="382"/>
      <c r="AP456" s="383"/>
      <c r="AQ456" s="383"/>
    </row>
    <row r="457" spans="1:43" s="384" customFormat="1" ht="27" customHeight="1">
      <c r="A457" s="167">
        <v>467</v>
      </c>
      <c r="B457" s="240">
        <f>VLOOKUP(A457,'JUNE (물량흐름)'!$A$13:$C$502,3,0)</f>
        <v>100038686</v>
      </c>
      <c r="C457" s="21" t="str">
        <f>VLOOKUP(A457,'JUNE (물량흐름)'!$A$13:$C$502,2,0)</f>
        <v>ALFANI</v>
      </c>
      <c r="D457" s="212">
        <v>1.17</v>
      </c>
      <c r="E457" s="6">
        <f>VLOOKUP(B457,'Sales profit (스타일 별 매출이익)'!$D$9:$P$491,13,0)</f>
        <v>26529.75</v>
      </c>
      <c r="F457" s="112">
        <f>IFERROR(VLOOKUP(B457,O.B.JUNE!$N$7:$Q$448,2,0),0)</f>
        <v>0</v>
      </c>
      <c r="G457" s="112">
        <f>IFERROR(VLOOKUP(B457,O.B.JUNE!$N$7:$Q$448,3,0),0)</f>
        <v>0</v>
      </c>
      <c r="H457" s="112">
        <f>IFERROR(VLOOKUP(B457,O.B.JUNE!$N$7:$Q$448,4,0),0)</f>
        <v>0</v>
      </c>
      <c r="I457" s="112">
        <f t="shared" si="71"/>
        <v>0</v>
      </c>
      <c r="J457" s="112">
        <f>IFERROR(VLOOKUP(B457,O.B.JUNE!$AA$7:$AG$448,7,0),0)</f>
        <v>0</v>
      </c>
      <c r="K457" s="112">
        <f>IFERROR(VLOOKUP(B457,O.B.JUNE!$AI$7:$AO$448,7,0),0)</f>
        <v>0</v>
      </c>
      <c r="L457" s="112">
        <f t="shared" si="72"/>
        <v>0</v>
      </c>
      <c r="M457" s="112">
        <f>ROUND(SUMIF('JUNE (물량흐름)'!$C$13:$C$502,'WIP(재공품)'!B457,'JUNE (물량흐름)'!$H$13:$H$502)+SUMIF('JUNE (물량흐름)'!$C$13:$C$502,'WIP(재공품)'!B457,'JUNE (물량흐름)'!$V$13:$V$502),0)</f>
        <v>6084</v>
      </c>
      <c r="N457" s="112">
        <f>SUMIF('Direct labour(직접노무비)'!$C$12:$C$503,'WIP(재공품)'!B457,'Direct labour(직접노무비)'!$O$12:$O$503)</f>
        <v>28930668</v>
      </c>
      <c r="O457" s="112">
        <f>SUMIF('Overhead exp(제조경비)'!$C$12:$C$503,'WIP(재공품)'!B457,'Overhead exp(제조경비)'!$O$12:$O$503)</f>
        <v>56522957</v>
      </c>
      <c r="P457" s="112">
        <f t="shared" si="65"/>
        <v>85453625</v>
      </c>
      <c r="Q457" s="112">
        <v>0</v>
      </c>
      <c r="R457" s="112">
        <v>0</v>
      </c>
      <c r="S457" s="112">
        <f>SUMIF('JUNE (물량흐름)'!$C$13:$C$493,'WIP(재공품)'!B457,'JUNE (물량흐름)'!$T$13:$T$493)+SUMIF('JUNE (물량흐름)'!$C$13:$C$493,'WIP(재공품)'!B457,'JUNE (물량흐름)'!$U$13:$U$493)+SUMIF('JUNE (물량흐름)'!$C$13:$C$493,'WIP(재공품)'!B457,'JUNE (물량흐름)'!$V$13:$V$493)-SUMIF('JUNE (물량흐름)'!$C$13:$C$493,'WIP(재공품)'!B457,'JUNE (물량흐름)'!$Y$13:$Y$493)</f>
        <v>322</v>
      </c>
      <c r="T457" s="112">
        <f>SUMIF('JUNE (물량흐름)'!$C$13:$C$502,'WIP(재공품)'!B457,'JUNE (물량흐름)'!$Y$13:$Y$502)</f>
        <v>0</v>
      </c>
      <c r="U457" s="167">
        <f>SUMIF('Direct labour(직접노무비)'!$C$12:$C$503,'WIP(재공품)'!B457,'Direct labour(직접노무비)'!$U$12:$U$503)+SUMIF('Overhead exp(제조경비)'!$C$12:$C$503,'WIP(재공품)'!B457,'Overhead exp(제조경비)'!$U$12:$U$503)</f>
        <v>0</v>
      </c>
      <c r="V457" s="112">
        <f>SUMIF('Direct labour(직접노무비)'!$C$12:$C$503,'WIP(재공품)'!B457,'Direct labour(직접노무비)'!$Q$12:$Q$503)</f>
        <v>1531176</v>
      </c>
      <c r="W457" s="112">
        <f>SUMIF('Overhead exp(제조경비)'!$C$12:$C$503,'WIP(재공품)'!B457,'Overhead exp(제조경비)'!$Q$12:$Q$503)</f>
        <v>2991517</v>
      </c>
      <c r="X457" s="112">
        <f t="shared" si="66"/>
        <v>4522693</v>
      </c>
      <c r="Y457" s="112">
        <f ca="1">ROUND(SUMIF('JUNE (물량흐름)'!$C$13:$C$502,'WIP(재공품)'!B457,'JUNE (물량흐름)'!$N$13:$N$488),0)</f>
        <v>0</v>
      </c>
      <c r="Z457" s="112">
        <f>ROUND(SUMIF('JUNE (물량흐름)'!$C$13:$C$502,'WIP(재공품)'!B457,'JUNE (물량흐름)'!$O$13:$O$502),0)</f>
        <v>4684</v>
      </c>
      <c r="AA457" s="112">
        <f>ROUND(SUMIF('JUNE (물량흐름)'!$C$13:$C$502,'WIP(재공품)'!B457,'JUNE (물량흐름)'!$P$13:$P$502),0)</f>
        <v>1078</v>
      </c>
      <c r="AB457" s="112">
        <f t="shared" ca="1" si="67"/>
        <v>5762</v>
      </c>
      <c r="AC457" s="112">
        <f t="shared" si="68"/>
        <v>80930932</v>
      </c>
      <c r="AD457" s="381">
        <f t="shared" ca="1" si="69"/>
        <v>0</v>
      </c>
      <c r="AE457" s="381">
        <f t="shared" si="70"/>
        <v>0</v>
      </c>
      <c r="AF457" s="382"/>
      <c r="AG457" s="382"/>
      <c r="AH457" s="383"/>
      <c r="AI457" s="383"/>
      <c r="AJ457" s="383"/>
      <c r="AL457" s="385"/>
      <c r="AM457" s="381"/>
      <c r="AN457" s="382"/>
      <c r="AO457" s="382"/>
      <c r="AP457" s="383"/>
      <c r="AQ457" s="383"/>
    </row>
    <row r="458" spans="1:43" s="384" customFormat="1" ht="27" customHeight="1">
      <c r="A458" s="167">
        <v>468</v>
      </c>
      <c r="B458" s="240">
        <f>VLOOKUP(A458,'JUNE (물량흐름)'!$A$13:$C$502,3,0)</f>
        <v>183034540</v>
      </c>
      <c r="C458" s="21" t="str">
        <f>VLOOKUP(A458,'JUNE (물량흐름)'!$A$13:$C$502,2,0)</f>
        <v>TALBOTS</v>
      </c>
      <c r="D458" s="212">
        <v>6.6</v>
      </c>
      <c r="E458" s="6">
        <f>VLOOKUP(B458,'Sales profit (스타일 별 매출이익)'!$D$9:$P$491,13,0)</f>
        <v>149985</v>
      </c>
      <c r="F458" s="112">
        <f>IFERROR(VLOOKUP(B458,O.B.JUNE!$N$7:$Q$448,2,0),0)</f>
        <v>0</v>
      </c>
      <c r="G458" s="112">
        <f>IFERROR(VLOOKUP(B458,O.B.JUNE!$N$7:$Q$448,3,0),0)</f>
        <v>0</v>
      </c>
      <c r="H458" s="112">
        <f>IFERROR(VLOOKUP(B458,O.B.JUNE!$N$7:$Q$448,4,0),0)</f>
        <v>0</v>
      </c>
      <c r="I458" s="112">
        <f t="shared" si="71"/>
        <v>0</v>
      </c>
      <c r="J458" s="112">
        <f>IFERROR(VLOOKUP(B458,O.B.JUNE!$AA$7:$AG$448,7,0),0)</f>
        <v>0</v>
      </c>
      <c r="K458" s="112">
        <f>IFERROR(VLOOKUP(B458,O.B.JUNE!$AI$7:$AO$448,7,0),0)</f>
        <v>0</v>
      </c>
      <c r="L458" s="112">
        <f t="shared" si="72"/>
        <v>0</v>
      </c>
      <c r="M458" s="112">
        <f>ROUND(SUMIF('JUNE (물량흐름)'!$C$13:$C$502,'WIP(재공품)'!B458,'JUNE (물량흐름)'!$H$13:$H$502)+SUMIF('JUNE (물량흐름)'!$C$13:$C$502,'WIP(재공품)'!B458,'JUNE (물량흐름)'!$V$13:$V$502),0)</f>
        <v>1209</v>
      </c>
      <c r="N458" s="112">
        <f>SUMIF('Direct labour(직접노무비)'!$C$12:$C$503,'WIP(재공품)'!B458,'Direct labour(직접노무비)'!$O$12:$O$503)</f>
        <v>54318494</v>
      </c>
      <c r="O458" s="112">
        <f>SUMIF('Overhead exp(제조경비)'!$C$12:$C$503,'WIP(재공품)'!B458,'Overhead exp(제조경비)'!$O$12:$O$503)</f>
        <v>106124128</v>
      </c>
      <c r="P458" s="112">
        <f t="shared" si="65"/>
        <v>160442622</v>
      </c>
      <c r="Q458" s="112">
        <v>0</v>
      </c>
      <c r="R458" s="112">
        <v>0</v>
      </c>
      <c r="S458" s="112">
        <f>SUMIF('JUNE (물량흐름)'!$C$13:$C$493,'WIP(재공품)'!B458,'JUNE (물량흐름)'!$T$13:$T$493)+SUMIF('JUNE (물량흐름)'!$C$13:$C$493,'WIP(재공품)'!B458,'JUNE (물량흐름)'!$U$13:$U$493)+SUMIF('JUNE (물량흐름)'!$C$13:$C$493,'WIP(재공품)'!B458,'JUNE (물량흐름)'!$V$13:$V$493)-SUMIF('JUNE (물량흐름)'!$C$13:$C$493,'WIP(재공품)'!B458,'JUNE (물량흐름)'!$Y$13:$Y$493)</f>
        <v>1105</v>
      </c>
      <c r="T458" s="112">
        <f>SUMIF('JUNE (물량흐름)'!$C$13:$C$502,'WIP(재공품)'!B458,'JUNE (물량흐름)'!$Y$13:$Y$502)</f>
        <v>0</v>
      </c>
      <c r="U458" s="167">
        <f>SUMIF('Direct labour(직접노무비)'!$C$12:$C$503,'WIP(재공품)'!B458,'Direct labour(직접노무비)'!$U$12:$U$503)+SUMIF('Overhead exp(제조경비)'!$C$12:$C$503,'WIP(재공품)'!B458,'Overhead exp(제조경비)'!$U$12:$U$503)</f>
        <v>0</v>
      </c>
      <c r="V458" s="112">
        <f>SUMIF('Direct labour(직접노무비)'!$C$12:$C$503,'WIP(재공품)'!B458,'Direct labour(직접노무비)'!$Q$12:$Q$503)</f>
        <v>49645935</v>
      </c>
      <c r="W458" s="112">
        <f>SUMIF('Overhead exp(제조경비)'!$C$12:$C$503,'WIP(재공품)'!B458,'Overhead exp(제조경비)'!$Q$12:$Q$503)</f>
        <v>96995171</v>
      </c>
      <c r="X458" s="112">
        <f t="shared" si="66"/>
        <v>146641106</v>
      </c>
      <c r="Y458" s="112">
        <f ca="1">ROUND(SUMIF('JUNE (물량흐름)'!$C$13:$C$502,'WIP(재공품)'!B458,'JUNE (물량흐름)'!$N$13:$N$488),0)</f>
        <v>0</v>
      </c>
      <c r="Z458" s="112">
        <f>ROUND(SUMIF('JUNE (물량흐름)'!$C$13:$C$502,'WIP(재공품)'!B458,'JUNE (물량흐름)'!$O$13:$O$502),0)</f>
        <v>59</v>
      </c>
      <c r="AA458" s="112">
        <f>ROUND(SUMIF('JUNE (물량흐름)'!$C$13:$C$502,'WIP(재공품)'!B458,'JUNE (물량흐름)'!$P$13:$P$502),0)</f>
        <v>45</v>
      </c>
      <c r="AB458" s="112">
        <f t="shared" ca="1" si="67"/>
        <v>104</v>
      </c>
      <c r="AC458" s="112">
        <f t="shared" si="68"/>
        <v>13801516</v>
      </c>
      <c r="AD458" s="381">
        <f t="shared" ca="1" si="69"/>
        <v>0</v>
      </c>
      <c r="AE458" s="381">
        <f t="shared" si="70"/>
        <v>0</v>
      </c>
      <c r="AF458" s="382"/>
      <c r="AG458" s="382"/>
      <c r="AH458" s="383"/>
      <c r="AI458" s="383"/>
      <c r="AJ458" s="383"/>
      <c r="AL458" s="385"/>
      <c r="AM458" s="381"/>
      <c r="AN458" s="382"/>
      <c r="AO458" s="382"/>
      <c r="AP458" s="383"/>
      <c r="AQ458" s="383"/>
    </row>
    <row r="459" spans="1:43" s="384" customFormat="1" ht="27" customHeight="1">
      <c r="A459" s="167">
        <v>469</v>
      </c>
      <c r="B459" s="240">
        <f>VLOOKUP(A459,'JUNE (물량흐름)'!$A$13:$C$502,3,0)</f>
        <v>100033058</v>
      </c>
      <c r="C459" s="21" t="str">
        <f>VLOOKUP(A459,'JUNE (물량흐름)'!$A$13:$C$502,2,0)</f>
        <v>BAR III</v>
      </c>
      <c r="D459" s="212">
        <v>2.5299999999999998</v>
      </c>
      <c r="E459" s="6">
        <f>VLOOKUP(B459,'Sales profit (스타일 별 매출이익)'!$D$9:$P$491,13,0)</f>
        <v>57367.749999999993</v>
      </c>
      <c r="F459" s="112">
        <f>IFERROR(VLOOKUP(B459,O.B.JUNE!$N$7:$Q$448,2,0),0)</f>
        <v>0</v>
      </c>
      <c r="G459" s="112">
        <f>IFERROR(VLOOKUP(B459,O.B.JUNE!$N$7:$Q$448,3,0),0)</f>
        <v>0</v>
      </c>
      <c r="H459" s="112">
        <f>IFERROR(VLOOKUP(B459,O.B.JUNE!$N$7:$Q$448,4,0),0)</f>
        <v>0</v>
      </c>
      <c r="I459" s="112">
        <f t="shared" si="71"/>
        <v>0</v>
      </c>
      <c r="J459" s="112">
        <f>IFERROR(VLOOKUP(B459,O.B.JUNE!$AA$7:$AG$448,7,0),0)</f>
        <v>0</v>
      </c>
      <c r="K459" s="112">
        <f>IFERROR(VLOOKUP(B459,O.B.JUNE!$AI$7:$AO$448,7,0),0)</f>
        <v>0</v>
      </c>
      <c r="L459" s="112">
        <f t="shared" si="72"/>
        <v>0</v>
      </c>
      <c r="M459" s="112">
        <f>ROUND(SUMIF('JUNE (물량흐름)'!$C$13:$C$502,'WIP(재공품)'!B459,'JUNE (물량흐름)'!$H$13:$H$502)+SUMIF('JUNE (물량흐름)'!$C$13:$C$502,'WIP(재공품)'!B459,'JUNE (물량흐름)'!$V$13:$V$502),0)</f>
        <v>1116</v>
      </c>
      <c r="N459" s="112">
        <f>SUMIF('Direct labour(직접노무비)'!$C$12:$C$503,'WIP(재공품)'!B459,'Direct labour(직접노무비)'!$O$12:$O$503)</f>
        <v>19552055</v>
      </c>
      <c r="O459" s="112">
        <f>SUMIF('Overhead exp(제조경비)'!$C$12:$C$503,'WIP(재공품)'!B459,'Overhead exp(제조경비)'!$O$12:$O$503)</f>
        <v>38199601</v>
      </c>
      <c r="P459" s="112">
        <f t="shared" si="65"/>
        <v>57751656</v>
      </c>
      <c r="Q459" s="112">
        <v>0</v>
      </c>
      <c r="R459" s="112">
        <v>0</v>
      </c>
      <c r="S459" s="112">
        <f>SUMIF('JUNE (물량흐름)'!$C$13:$C$493,'WIP(재공품)'!B459,'JUNE (물량흐름)'!$T$13:$T$493)+SUMIF('JUNE (물량흐름)'!$C$13:$C$493,'WIP(재공품)'!B459,'JUNE (물량흐름)'!$U$13:$U$493)+SUMIF('JUNE (물량흐름)'!$C$13:$C$493,'WIP(재공품)'!B459,'JUNE (물량흐름)'!$V$13:$V$493)-SUMIF('JUNE (물량흐름)'!$C$13:$C$493,'WIP(재공품)'!B459,'JUNE (물량흐름)'!$Y$13:$Y$493)</f>
        <v>1057</v>
      </c>
      <c r="T459" s="112">
        <f>SUMIF('JUNE (물량흐름)'!$C$13:$C$502,'WIP(재공품)'!B459,'JUNE (물량흐름)'!$Y$13:$Y$502)</f>
        <v>3</v>
      </c>
      <c r="U459" s="167">
        <f>SUMIF('Direct labour(직접노무비)'!$C$12:$C$503,'WIP(재공품)'!B459,'Direct labour(직접노무비)'!$U$12:$U$503)+SUMIF('Overhead exp(제조경비)'!$C$12:$C$503,'WIP(재공품)'!B459,'Overhead exp(제조경비)'!$U$12:$U$503)</f>
        <v>155246</v>
      </c>
      <c r="V459" s="112">
        <f>SUMIF('Direct labour(직접노무비)'!$C$12:$C$503,'WIP(재공품)'!B459,'Direct labour(직접노무비)'!$Q$12:$Q$503)</f>
        <v>18518389</v>
      </c>
      <c r="W459" s="112">
        <f>SUMIF('Overhead exp(제조경비)'!$C$12:$C$503,'WIP(재공품)'!B459,'Overhead exp(제조경비)'!$Q$12:$Q$503)</f>
        <v>36180088</v>
      </c>
      <c r="X459" s="112">
        <f t="shared" si="66"/>
        <v>54698477</v>
      </c>
      <c r="Y459" s="112">
        <f ca="1">ROUND(SUMIF('JUNE (물량흐름)'!$C$13:$C$502,'WIP(재공품)'!B459,'JUNE (물량흐름)'!$N$13:$N$488),0)</f>
        <v>0</v>
      </c>
      <c r="Z459" s="112">
        <f>ROUND(SUMIF('JUNE (물량흐름)'!$C$13:$C$502,'WIP(재공품)'!B459,'JUNE (물량흐름)'!$O$13:$O$502),0)</f>
        <v>8</v>
      </c>
      <c r="AA459" s="112">
        <f>ROUND(SUMIF('JUNE (물량흐름)'!$C$13:$C$502,'WIP(재공품)'!B459,'JUNE (물량흐름)'!$P$13:$P$502),0)</f>
        <v>48</v>
      </c>
      <c r="AB459" s="112">
        <f t="shared" ca="1" si="67"/>
        <v>56</v>
      </c>
      <c r="AC459" s="112">
        <f t="shared" si="68"/>
        <v>2897933</v>
      </c>
      <c r="AD459" s="381">
        <f t="shared" ca="1" si="69"/>
        <v>0</v>
      </c>
      <c r="AE459" s="381">
        <f t="shared" si="70"/>
        <v>0</v>
      </c>
      <c r="AF459" s="382"/>
      <c r="AG459" s="382"/>
      <c r="AH459" s="383"/>
      <c r="AI459" s="383"/>
      <c r="AJ459" s="383"/>
      <c r="AL459" s="385"/>
      <c r="AM459" s="381"/>
      <c r="AN459" s="382"/>
      <c r="AO459" s="382"/>
      <c r="AP459" s="383"/>
      <c r="AQ459" s="383"/>
    </row>
    <row r="460" spans="1:43" s="384" customFormat="1" ht="27" customHeight="1">
      <c r="A460" s="167">
        <v>470</v>
      </c>
      <c r="B460" s="240">
        <f>VLOOKUP(A460,'JUNE (물량흐름)'!$A$13:$C$502,3,0)</f>
        <v>100033483</v>
      </c>
      <c r="C460" s="21" t="str">
        <f>VLOOKUP(A460,'JUNE (물량흐름)'!$A$13:$C$502,2,0)</f>
        <v>INC</v>
      </c>
      <c r="D460" s="212">
        <v>3.5</v>
      </c>
      <c r="E460" s="6">
        <f>VLOOKUP(B460,'Sales profit (스타일 별 매출이익)'!$D$9:$P$491,13,0)</f>
        <v>79362.5</v>
      </c>
      <c r="F460" s="112">
        <f>IFERROR(VLOOKUP(B460,O.B.JUNE!$N$7:$Q$448,2,0),0)</f>
        <v>0</v>
      </c>
      <c r="G460" s="112">
        <f>IFERROR(VLOOKUP(B460,O.B.JUNE!$N$7:$Q$448,3,0),0)</f>
        <v>0</v>
      </c>
      <c r="H460" s="112">
        <f>IFERROR(VLOOKUP(B460,O.B.JUNE!$N$7:$Q$448,4,0),0)</f>
        <v>0</v>
      </c>
      <c r="I460" s="112">
        <f t="shared" si="71"/>
        <v>0</v>
      </c>
      <c r="J460" s="112">
        <f>IFERROR(VLOOKUP(B460,O.B.JUNE!$AA$7:$AG$448,7,0),0)</f>
        <v>0</v>
      </c>
      <c r="K460" s="112">
        <f>IFERROR(VLOOKUP(B460,O.B.JUNE!$AI$7:$AO$448,7,0),0)</f>
        <v>0</v>
      </c>
      <c r="L460" s="112">
        <f t="shared" si="72"/>
        <v>0</v>
      </c>
      <c r="M460" s="112">
        <f>ROUND(SUMIF('JUNE (물량흐름)'!$C$13:$C$502,'WIP(재공품)'!B460,'JUNE (물량흐름)'!$H$13:$H$502)+SUMIF('JUNE (물량흐름)'!$C$13:$C$502,'WIP(재공품)'!B460,'JUNE (물량흐름)'!$V$13:$V$502),0)</f>
        <v>1488</v>
      </c>
      <c r="N460" s="112">
        <f>SUMIF('Direct labour(직접노무비)'!$C$12:$C$503,'WIP(재공품)'!B460,'Direct labour(직접노무비)'!$O$12:$O$503)</f>
        <v>29208234</v>
      </c>
      <c r="O460" s="112">
        <f>SUMIF('Overhead exp(제조경비)'!$C$12:$C$503,'WIP(재공품)'!B460,'Overhead exp(제조경비)'!$O$12:$O$503)</f>
        <v>57065249</v>
      </c>
      <c r="P460" s="112">
        <f t="shared" si="65"/>
        <v>86273483</v>
      </c>
      <c r="Q460" s="112">
        <v>0</v>
      </c>
      <c r="R460" s="112">
        <v>0</v>
      </c>
      <c r="S460" s="112">
        <f>SUMIF('JUNE (물량흐름)'!$C$13:$C$493,'WIP(재공품)'!B460,'JUNE (물량흐름)'!$T$13:$T$493)+SUMIF('JUNE (물량흐름)'!$C$13:$C$493,'WIP(재공품)'!B460,'JUNE (물량흐름)'!$U$13:$U$493)+SUMIF('JUNE (물량흐름)'!$C$13:$C$493,'WIP(재공품)'!B460,'JUNE (물량흐름)'!$V$13:$V$493)-SUMIF('JUNE (물량흐름)'!$C$13:$C$493,'WIP(재공품)'!B460,'JUNE (물량흐름)'!$Y$13:$Y$493)</f>
        <v>0</v>
      </c>
      <c r="T460" s="112">
        <f>SUMIF('JUNE (물량흐름)'!$C$13:$C$502,'WIP(재공품)'!B460,'JUNE (물량흐름)'!$Y$13:$Y$502)</f>
        <v>0</v>
      </c>
      <c r="U460" s="167">
        <f>SUMIF('Direct labour(직접노무비)'!$C$12:$C$503,'WIP(재공품)'!B460,'Direct labour(직접노무비)'!$U$12:$U$503)+SUMIF('Overhead exp(제조경비)'!$C$12:$C$503,'WIP(재공품)'!B460,'Overhead exp(제조경비)'!$U$12:$U$503)</f>
        <v>0</v>
      </c>
      <c r="V460" s="112">
        <f>SUMIF('Direct labour(직접노무비)'!$C$12:$C$503,'WIP(재공품)'!B460,'Direct labour(직접노무비)'!$Q$12:$Q$503)</f>
        <v>0</v>
      </c>
      <c r="W460" s="112">
        <f>SUMIF('Overhead exp(제조경비)'!$C$12:$C$503,'WIP(재공품)'!B460,'Overhead exp(제조경비)'!$Q$12:$Q$503)</f>
        <v>0</v>
      </c>
      <c r="X460" s="112">
        <f t="shared" si="66"/>
        <v>0</v>
      </c>
      <c r="Y460" s="112">
        <f ca="1">ROUND(SUMIF('JUNE (물량흐름)'!$C$13:$C$502,'WIP(재공품)'!B460,'JUNE (물량흐름)'!$N$13:$N$488),0)</f>
        <v>0</v>
      </c>
      <c r="Z460" s="112">
        <f>ROUND(SUMIF('JUNE (물량흐름)'!$C$13:$C$502,'WIP(재공품)'!B460,'JUNE (물량흐름)'!$O$13:$O$502),0)</f>
        <v>0</v>
      </c>
      <c r="AA460" s="112">
        <f>ROUND(SUMIF('JUNE (물량흐름)'!$C$13:$C$502,'WIP(재공품)'!B460,'JUNE (물량흐름)'!$P$13:$P$502),0)</f>
        <v>1488</v>
      </c>
      <c r="AB460" s="112">
        <f t="shared" ca="1" si="67"/>
        <v>1488</v>
      </c>
      <c r="AC460" s="112">
        <f t="shared" si="68"/>
        <v>86273483</v>
      </c>
      <c r="AD460" s="381">
        <f t="shared" ca="1" si="69"/>
        <v>0</v>
      </c>
      <c r="AE460" s="381">
        <f t="shared" si="70"/>
        <v>0</v>
      </c>
      <c r="AF460" s="382"/>
      <c r="AG460" s="382"/>
      <c r="AH460" s="383"/>
      <c r="AI460" s="383"/>
      <c r="AJ460" s="383"/>
      <c r="AL460" s="385"/>
      <c r="AM460" s="381"/>
      <c r="AN460" s="382"/>
      <c r="AO460" s="382"/>
      <c r="AP460" s="383"/>
      <c r="AQ460" s="383"/>
    </row>
    <row r="461" spans="1:43" s="384" customFormat="1" ht="27" customHeight="1">
      <c r="A461" s="167">
        <v>471</v>
      </c>
      <c r="B461" s="240">
        <f>VLOOKUP(A461,'JUNE (물량흐름)'!$A$13:$C$502,3,0)</f>
        <v>100034352</v>
      </c>
      <c r="C461" s="21" t="str">
        <f>VLOOKUP(A461,'JUNE (물량흐름)'!$A$13:$C$502,2,0)</f>
        <v>INC</v>
      </c>
      <c r="D461" s="212">
        <v>2.04</v>
      </c>
      <c r="E461" s="6">
        <f>VLOOKUP(B461,'Sales profit (스타일 별 매출이익)'!$D$9:$P$491,13,0)</f>
        <v>46257</v>
      </c>
      <c r="F461" s="112">
        <f>IFERROR(VLOOKUP(B461,O.B.JUNE!$N$7:$Q$448,2,0),0)</f>
        <v>0</v>
      </c>
      <c r="G461" s="112">
        <f>IFERROR(VLOOKUP(B461,O.B.JUNE!$N$7:$Q$448,3,0),0)</f>
        <v>0</v>
      </c>
      <c r="H461" s="112">
        <f>IFERROR(VLOOKUP(B461,O.B.JUNE!$N$7:$Q$448,4,0),0)</f>
        <v>0</v>
      </c>
      <c r="I461" s="112">
        <f t="shared" si="71"/>
        <v>0</v>
      </c>
      <c r="J461" s="112">
        <f>IFERROR(VLOOKUP(B461,O.B.JUNE!$AA$7:$AG$448,7,0),0)</f>
        <v>0</v>
      </c>
      <c r="K461" s="112">
        <f>IFERROR(VLOOKUP(B461,O.B.JUNE!$AI$7:$AO$448,7,0),0)</f>
        <v>0</v>
      </c>
      <c r="L461" s="112">
        <f t="shared" si="72"/>
        <v>0</v>
      </c>
      <c r="M461" s="112">
        <f>ROUND(SUMIF('JUNE (물량흐름)'!$C$13:$C$502,'WIP(재공품)'!B461,'JUNE (물량흐름)'!$H$13:$H$502)+SUMIF('JUNE (물량흐름)'!$C$13:$C$502,'WIP(재공품)'!B461,'JUNE (물량흐름)'!$V$13:$V$502),0)</f>
        <v>6199</v>
      </c>
      <c r="N461" s="112">
        <f>SUMIF('Direct labour(직접노무비)'!$C$12:$C$503,'WIP(재공품)'!B461,'Direct labour(직접노무비)'!$O$12:$O$503)</f>
        <v>85979503</v>
      </c>
      <c r="O461" s="112">
        <f>SUMIF('Overhead exp(제조경비)'!$C$12:$C$503,'WIP(재공품)'!B461,'Overhead exp(제조경비)'!$O$12:$O$503)</f>
        <v>167981458</v>
      </c>
      <c r="P461" s="112">
        <f t="shared" si="65"/>
        <v>253960961</v>
      </c>
      <c r="Q461" s="112">
        <v>0</v>
      </c>
      <c r="R461" s="112">
        <v>0</v>
      </c>
      <c r="S461" s="112">
        <f>SUMIF('JUNE (물량흐름)'!$C$13:$C$493,'WIP(재공품)'!B461,'JUNE (물량흐름)'!$T$13:$T$493)+SUMIF('JUNE (물량흐름)'!$C$13:$C$493,'WIP(재공품)'!B461,'JUNE (물량흐름)'!$U$13:$U$493)+SUMIF('JUNE (물량흐름)'!$C$13:$C$493,'WIP(재공품)'!B461,'JUNE (물량흐름)'!$V$13:$V$493)-SUMIF('JUNE (물량흐름)'!$C$13:$C$493,'WIP(재공품)'!B461,'JUNE (물량흐름)'!$Y$13:$Y$493)</f>
        <v>5891</v>
      </c>
      <c r="T461" s="112">
        <f>SUMIF('JUNE (물량흐름)'!$C$13:$C$502,'WIP(재공품)'!B461,'JUNE (물량흐름)'!$Y$13:$Y$502)</f>
        <v>3</v>
      </c>
      <c r="U461" s="167">
        <f>SUMIF('Direct labour(직접노무비)'!$C$12:$C$503,'WIP(재공품)'!B461,'Direct labour(직접노무비)'!$U$12:$U$503)+SUMIF('Overhead exp(제조경비)'!$C$12:$C$503,'WIP(재공품)'!B461,'Overhead exp(제조경비)'!$U$12:$U$503)</f>
        <v>122904</v>
      </c>
      <c r="V461" s="112">
        <f>SUMIF('Direct labour(직접노무비)'!$C$12:$C$503,'WIP(재공품)'!B461,'Direct labour(직접노무비)'!$Q$12:$Q$503)</f>
        <v>81707574</v>
      </c>
      <c r="W461" s="112">
        <f>SUMIF('Overhead exp(제조경비)'!$C$12:$C$503,'WIP(재공품)'!B461,'Overhead exp(제조경비)'!$Q$12:$Q$503)</f>
        <v>159635227</v>
      </c>
      <c r="X461" s="112">
        <f t="shared" si="66"/>
        <v>241342801</v>
      </c>
      <c r="Y461" s="112">
        <f ca="1">ROUND(SUMIF('JUNE (물량흐름)'!$C$13:$C$502,'WIP(재공품)'!B461,'JUNE (물량흐름)'!$N$13:$N$488),0)</f>
        <v>129</v>
      </c>
      <c r="Z461" s="112">
        <f>ROUND(SUMIF('JUNE (물량흐름)'!$C$13:$C$502,'WIP(재공품)'!B461,'JUNE (물량흐름)'!$O$13:$O$502),0)</f>
        <v>169</v>
      </c>
      <c r="AA461" s="112">
        <f>ROUND(SUMIF('JUNE (물량흐름)'!$C$13:$C$502,'WIP(재공품)'!B461,'JUNE (물량흐름)'!$P$13:$P$502),0)</f>
        <v>7</v>
      </c>
      <c r="AB461" s="112">
        <f t="shared" ca="1" si="67"/>
        <v>305</v>
      </c>
      <c r="AC461" s="112">
        <f t="shared" si="68"/>
        <v>12495256</v>
      </c>
      <c r="AD461" s="381">
        <f t="shared" ca="1" si="69"/>
        <v>0</v>
      </c>
      <c r="AE461" s="381">
        <f t="shared" si="70"/>
        <v>0</v>
      </c>
      <c r="AF461" s="382"/>
      <c r="AG461" s="382"/>
      <c r="AH461" s="383"/>
      <c r="AI461" s="383"/>
      <c r="AJ461" s="383"/>
      <c r="AL461" s="385"/>
      <c r="AM461" s="381"/>
      <c r="AN461" s="382"/>
      <c r="AO461" s="382"/>
      <c r="AP461" s="383"/>
      <c r="AQ461" s="383"/>
    </row>
    <row r="462" spans="1:43" s="384" customFormat="1" ht="27" customHeight="1">
      <c r="A462" s="167">
        <v>472</v>
      </c>
      <c r="B462" s="240">
        <f>VLOOKUP(A462,'JUNE (물량흐름)'!$A$13:$C$502,3,0)</f>
        <v>100041571</v>
      </c>
      <c r="C462" s="21" t="str">
        <f>VLOOKUP(A462,'JUNE (물량흐름)'!$A$13:$C$502,2,0)</f>
        <v>ALFANI</v>
      </c>
      <c r="D462" s="212">
        <v>4.5</v>
      </c>
      <c r="E462" s="6">
        <f>VLOOKUP(B462,'Sales profit (스타일 별 매출이익)'!$D$9:$P$491,13,0)</f>
        <v>102037.5</v>
      </c>
      <c r="F462" s="112">
        <f>IFERROR(VLOOKUP(B462,O.B.JUNE!$N$7:$Q$448,2,0),0)</f>
        <v>0</v>
      </c>
      <c r="G462" s="112">
        <f>IFERROR(VLOOKUP(B462,O.B.JUNE!$N$7:$Q$448,3,0),0)</f>
        <v>0</v>
      </c>
      <c r="H462" s="112">
        <f>IFERROR(VLOOKUP(B462,O.B.JUNE!$N$7:$Q$448,4,0),0)</f>
        <v>0</v>
      </c>
      <c r="I462" s="112">
        <f t="shared" si="71"/>
        <v>0</v>
      </c>
      <c r="J462" s="112">
        <f>IFERROR(VLOOKUP(B462,O.B.JUNE!$AA$7:$AG$448,7,0),0)</f>
        <v>0</v>
      </c>
      <c r="K462" s="112">
        <f>IFERROR(VLOOKUP(B462,O.B.JUNE!$AI$7:$AO$448,7,0),0)</f>
        <v>0</v>
      </c>
      <c r="L462" s="112">
        <f t="shared" si="72"/>
        <v>0</v>
      </c>
      <c r="M462" s="112">
        <f>ROUND(SUMIF('JUNE (물량흐름)'!$C$13:$C$502,'WIP(재공품)'!B462,'JUNE (물량흐름)'!$H$13:$H$502)+SUMIF('JUNE (물량흐름)'!$C$13:$C$502,'WIP(재공품)'!B462,'JUNE (물량흐름)'!$V$13:$V$502),0)</f>
        <v>911</v>
      </c>
      <c r="N462" s="112">
        <f>SUMIF('Direct labour(직접노무비)'!$C$12:$C$503,'WIP(재공품)'!B462,'Direct labour(직접노무비)'!$O$12:$O$503)</f>
        <v>15968103</v>
      </c>
      <c r="O462" s="112">
        <f>SUMIF('Overhead exp(제조경비)'!$C$12:$C$503,'WIP(재공품)'!B462,'Overhead exp(제조경비)'!$O$12:$O$503)</f>
        <v>31197496</v>
      </c>
      <c r="P462" s="112">
        <f t="shared" si="65"/>
        <v>47165599</v>
      </c>
      <c r="Q462" s="112">
        <v>0</v>
      </c>
      <c r="R462" s="112">
        <v>0</v>
      </c>
      <c r="S462" s="112">
        <f>SUMIF('JUNE (물량흐름)'!$C$13:$C$493,'WIP(재공품)'!B462,'JUNE (물량흐름)'!$T$13:$T$493)+SUMIF('JUNE (물량흐름)'!$C$13:$C$493,'WIP(재공품)'!B462,'JUNE (물량흐름)'!$U$13:$U$493)+SUMIF('JUNE (물량흐름)'!$C$13:$C$493,'WIP(재공품)'!B462,'JUNE (물량흐름)'!$V$13:$V$493)-SUMIF('JUNE (물량흐름)'!$C$13:$C$493,'WIP(재공품)'!B462,'JUNE (물량흐름)'!$Y$13:$Y$493)</f>
        <v>0</v>
      </c>
      <c r="T462" s="112">
        <f>SUMIF('JUNE (물량흐름)'!$C$13:$C$502,'WIP(재공품)'!B462,'JUNE (물량흐름)'!$Y$13:$Y$502)</f>
        <v>0</v>
      </c>
      <c r="U462" s="167">
        <f>SUMIF('Direct labour(직접노무비)'!$C$12:$C$503,'WIP(재공품)'!B462,'Direct labour(직접노무비)'!$U$12:$U$503)+SUMIF('Overhead exp(제조경비)'!$C$12:$C$503,'WIP(재공품)'!B462,'Overhead exp(제조경비)'!$U$12:$U$503)</f>
        <v>0</v>
      </c>
      <c r="V462" s="112">
        <f>SUMIF('Direct labour(직접노무비)'!$C$12:$C$503,'WIP(재공품)'!B462,'Direct labour(직접노무비)'!$Q$12:$Q$503)</f>
        <v>0</v>
      </c>
      <c r="W462" s="112">
        <f>SUMIF('Overhead exp(제조경비)'!$C$12:$C$503,'WIP(재공품)'!B462,'Overhead exp(제조경비)'!$Q$12:$Q$503)</f>
        <v>0</v>
      </c>
      <c r="X462" s="112">
        <f t="shared" si="66"/>
        <v>0</v>
      </c>
      <c r="Y462" s="112">
        <f ca="1">ROUND(SUMIF('JUNE (물량흐름)'!$C$13:$C$502,'WIP(재공품)'!B462,'JUNE (물량흐름)'!$N$13:$N$488),0)</f>
        <v>0</v>
      </c>
      <c r="Z462" s="112">
        <f>ROUND(SUMIF('JUNE (물량흐름)'!$C$13:$C$502,'WIP(재공품)'!B462,'JUNE (물량흐름)'!$O$13:$O$502),0)</f>
        <v>743</v>
      </c>
      <c r="AA462" s="112">
        <f>ROUND(SUMIF('JUNE (물량흐름)'!$C$13:$C$502,'WIP(재공품)'!B462,'JUNE (물량흐름)'!$P$13:$P$502),0)</f>
        <v>168</v>
      </c>
      <c r="AB462" s="112">
        <f t="shared" ca="1" si="67"/>
        <v>911</v>
      </c>
      <c r="AC462" s="112">
        <f t="shared" si="68"/>
        <v>47165599</v>
      </c>
      <c r="AD462" s="381">
        <f t="shared" ca="1" si="69"/>
        <v>0</v>
      </c>
      <c r="AE462" s="381">
        <f t="shared" si="70"/>
        <v>0</v>
      </c>
      <c r="AF462" s="382"/>
      <c r="AG462" s="382"/>
      <c r="AH462" s="383"/>
      <c r="AI462" s="383"/>
      <c r="AJ462" s="383"/>
      <c r="AL462" s="385"/>
      <c r="AM462" s="381"/>
      <c r="AN462" s="382"/>
      <c r="AO462" s="382"/>
      <c r="AP462" s="383"/>
      <c r="AQ462" s="383"/>
    </row>
    <row r="463" spans="1:43" s="384" customFormat="1" ht="27" customHeight="1">
      <c r="A463" s="167">
        <v>473</v>
      </c>
      <c r="B463" s="240">
        <f>VLOOKUP(A463,'JUNE (물량흐름)'!$A$13:$C$502,3,0)</f>
        <v>183013461</v>
      </c>
      <c r="C463" s="21" t="str">
        <f>VLOOKUP(A463,'JUNE (물량흐름)'!$A$13:$C$502,2,0)</f>
        <v>TALBOTS</v>
      </c>
      <c r="D463" s="212">
        <v>3.75</v>
      </c>
      <c r="E463" s="6">
        <f>VLOOKUP(B463,'Sales profit (스타일 별 매출이익)'!$D$9:$P$491,13,0)</f>
        <v>85218.75</v>
      </c>
      <c r="F463" s="112">
        <f>IFERROR(VLOOKUP(B463,O.B.JUNE!$N$7:$Q$448,2,0),0)</f>
        <v>0</v>
      </c>
      <c r="G463" s="112">
        <f>IFERROR(VLOOKUP(B463,O.B.JUNE!$N$7:$Q$448,3,0),0)</f>
        <v>0</v>
      </c>
      <c r="H463" s="112">
        <f>IFERROR(VLOOKUP(B463,O.B.JUNE!$N$7:$Q$448,4,0),0)</f>
        <v>0</v>
      </c>
      <c r="I463" s="112">
        <f t="shared" si="71"/>
        <v>0</v>
      </c>
      <c r="J463" s="112">
        <f>IFERROR(VLOOKUP(B463,O.B.JUNE!$AA$7:$AG$448,7,0),0)</f>
        <v>0</v>
      </c>
      <c r="K463" s="112">
        <f>IFERROR(VLOOKUP(B463,O.B.JUNE!$AI$7:$AO$448,7,0),0)</f>
        <v>0</v>
      </c>
      <c r="L463" s="112">
        <f t="shared" si="72"/>
        <v>0</v>
      </c>
      <c r="M463" s="112">
        <f>ROUND(SUMIF('JUNE (물량흐름)'!$C$13:$C$502,'WIP(재공품)'!B463,'JUNE (물량흐름)'!$H$13:$H$502)+SUMIF('JUNE (물량흐름)'!$C$13:$C$502,'WIP(재공품)'!B463,'JUNE (물량흐름)'!$V$13:$V$502),0)</f>
        <v>1637</v>
      </c>
      <c r="N463" s="112">
        <f>SUMIF('Direct labour(직접노무비)'!$C$12:$C$503,'WIP(재공품)'!B463,'Direct labour(직접노무비)'!$O$12:$O$503)</f>
        <v>40667182</v>
      </c>
      <c r="O463" s="112">
        <f>SUMIF('Overhead exp(제조경비)'!$C$12:$C$503,'WIP(재공품)'!B463,'Overhead exp(제조경비)'!$O$12:$O$503)</f>
        <v>79453036</v>
      </c>
      <c r="P463" s="112">
        <f t="shared" si="65"/>
        <v>120120218</v>
      </c>
      <c r="Q463" s="112">
        <v>0</v>
      </c>
      <c r="R463" s="112">
        <v>0</v>
      </c>
      <c r="S463" s="112">
        <f>SUMIF('JUNE (물량흐름)'!$C$13:$C$493,'WIP(재공품)'!B463,'JUNE (물량흐름)'!$T$13:$T$493)+SUMIF('JUNE (물량흐름)'!$C$13:$C$493,'WIP(재공품)'!B463,'JUNE (물량흐름)'!$U$13:$U$493)+SUMIF('JUNE (물량흐름)'!$C$13:$C$493,'WIP(재공품)'!B463,'JUNE (물량흐름)'!$V$13:$V$493)-SUMIF('JUNE (물량흐름)'!$C$13:$C$493,'WIP(재공품)'!B463,'JUNE (물량흐름)'!$Y$13:$Y$493)</f>
        <v>1252</v>
      </c>
      <c r="T463" s="112">
        <f>SUMIF('JUNE (물량흐름)'!$C$13:$C$502,'WIP(재공품)'!B463,'JUNE (물량흐름)'!$Y$13:$Y$502)</f>
        <v>0</v>
      </c>
      <c r="U463" s="167">
        <f>SUMIF('Direct labour(직접노무비)'!$C$12:$C$503,'WIP(재공품)'!B463,'Direct labour(직접노무비)'!$U$12:$U$503)+SUMIF('Overhead exp(제조경비)'!$C$12:$C$503,'WIP(재공품)'!B463,'Overhead exp(제조경비)'!$U$12:$U$503)</f>
        <v>0</v>
      </c>
      <c r="V463" s="112">
        <f>SUMIF('Direct labour(직접노무비)'!$C$12:$C$503,'WIP(재공품)'!B463,'Direct labour(직접노무비)'!$Q$12:$Q$503)</f>
        <v>31102817</v>
      </c>
      <c r="W463" s="112">
        <f>SUMIF('Overhead exp(제조경비)'!$C$12:$C$503,'WIP(재공품)'!B463,'Overhead exp(제조경비)'!$Q$12:$Q$503)</f>
        <v>60766769</v>
      </c>
      <c r="X463" s="112">
        <f t="shared" si="66"/>
        <v>91869586</v>
      </c>
      <c r="Y463" s="112">
        <f ca="1">ROUND(SUMIF('JUNE (물량흐름)'!$C$13:$C$502,'WIP(재공품)'!B463,'JUNE (물량흐름)'!$N$13:$N$488),0)</f>
        <v>21</v>
      </c>
      <c r="Z463" s="112">
        <f>ROUND(SUMIF('JUNE (물량흐름)'!$C$13:$C$502,'WIP(재공품)'!B463,'JUNE (물량흐름)'!$O$13:$O$502),0)</f>
        <v>14</v>
      </c>
      <c r="AA463" s="112">
        <f>ROUND(SUMIF('JUNE (물량흐름)'!$C$13:$C$502,'WIP(재공품)'!B463,'JUNE (물량흐름)'!$P$13:$P$502),0)</f>
        <v>350</v>
      </c>
      <c r="AB463" s="112">
        <f t="shared" ca="1" si="67"/>
        <v>385</v>
      </c>
      <c r="AC463" s="112">
        <f t="shared" si="68"/>
        <v>28250632</v>
      </c>
      <c r="AD463" s="381">
        <f t="shared" ca="1" si="69"/>
        <v>0</v>
      </c>
      <c r="AE463" s="381">
        <f t="shared" si="70"/>
        <v>0</v>
      </c>
      <c r="AF463" s="382"/>
      <c r="AG463" s="382"/>
      <c r="AH463" s="383"/>
      <c r="AI463" s="383"/>
      <c r="AJ463" s="383"/>
      <c r="AL463" s="385"/>
      <c r="AM463" s="381"/>
      <c r="AN463" s="382"/>
      <c r="AO463" s="382"/>
      <c r="AP463" s="383"/>
      <c r="AQ463" s="383"/>
    </row>
    <row r="464" spans="1:43" s="384" customFormat="1" ht="27" customHeight="1">
      <c r="A464" s="167">
        <v>474</v>
      </c>
      <c r="B464" s="240">
        <f>VLOOKUP(A464,'JUNE (물량흐름)'!$A$13:$C$502,3,0)</f>
        <v>183034538</v>
      </c>
      <c r="C464" s="21" t="str">
        <f>VLOOKUP(A464,'JUNE (물량흐름)'!$A$13:$C$502,2,0)</f>
        <v>TALBOTS</v>
      </c>
      <c r="D464" s="212">
        <v>4.46</v>
      </c>
      <c r="E464" s="6">
        <f>VLOOKUP(B464,'Sales profit (스타일 별 매출이익)'!$D$9:$P$491,13,0)</f>
        <v>101130.5</v>
      </c>
      <c r="F464" s="112">
        <f>IFERROR(VLOOKUP(B464,O.B.JUNE!$N$7:$Q$448,2,0),0)</f>
        <v>0</v>
      </c>
      <c r="G464" s="112">
        <f>IFERROR(VLOOKUP(B464,O.B.JUNE!$N$7:$Q$448,3,0),0)</f>
        <v>0</v>
      </c>
      <c r="H464" s="112">
        <f>IFERROR(VLOOKUP(B464,O.B.JUNE!$N$7:$Q$448,4,0),0)</f>
        <v>0</v>
      </c>
      <c r="I464" s="112">
        <f t="shared" si="71"/>
        <v>0</v>
      </c>
      <c r="J464" s="112">
        <f>IFERROR(VLOOKUP(B464,O.B.JUNE!$AA$7:$AG$448,7,0),0)</f>
        <v>0</v>
      </c>
      <c r="K464" s="112">
        <f>IFERROR(VLOOKUP(B464,O.B.JUNE!$AI$7:$AO$448,7,0),0)</f>
        <v>0</v>
      </c>
      <c r="L464" s="112">
        <f t="shared" si="72"/>
        <v>0</v>
      </c>
      <c r="M464" s="112">
        <f>ROUND(SUMIF('JUNE (물량흐름)'!$C$13:$C$502,'WIP(재공품)'!B464,'JUNE (물량흐름)'!$H$13:$H$502)+SUMIF('JUNE (물량흐름)'!$C$13:$C$502,'WIP(재공품)'!B464,'JUNE (물량흐름)'!$V$13:$V$502),0)</f>
        <v>11769</v>
      </c>
      <c r="N464" s="112">
        <f>SUMIF('Direct labour(직접노무비)'!$C$12:$C$503,'WIP(재공품)'!B464,'Direct labour(직접노무비)'!$O$12:$O$503)</f>
        <v>290969971</v>
      </c>
      <c r="O464" s="112">
        <f>SUMIF('Overhead exp(제조경비)'!$C$12:$C$503,'WIP(재공품)'!B464,'Overhead exp(제조경비)'!$O$12:$O$503)</f>
        <v>568479210</v>
      </c>
      <c r="P464" s="112">
        <f t="shared" si="65"/>
        <v>859449181</v>
      </c>
      <c r="Q464" s="112">
        <v>0</v>
      </c>
      <c r="R464" s="112">
        <v>0</v>
      </c>
      <c r="S464" s="112">
        <f>SUMIF('JUNE (물량흐름)'!$C$13:$C$493,'WIP(재공품)'!B464,'JUNE (물량흐름)'!$T$13:$T$493)+SUMIF('JUNE (물량흐름)'!$C$13:$C$493,'WIP(재공품)'!B464,'JUNE (물량흐름)'!$U$13:$U$493)+SUMIF('JUNE (물량흐름)'!$C$13:$C$493,'WIP(재공품)'!B464,'JUNE (물량흐름)'!$V$13:$V$493)-SUMIF('JUNE (물량흐름)'!$C$13:$C$493,'WIP(재공품)'!B464,'JUNE (물량흐름)'!$Y$13:$Y$493)</f>
        <v>7514</v>
      </c>
      <c r="T464" s="112">
        <f>SUMIF('JUNE (물량흐름)'!$C$13:$C$502,'WIP(재공품)'!B464,'JUNE (물량흐름)'!$Y$13:$Y$502)</f>
        <v>0</v>
      </c>
      <c r="U464" s="167">
        <f>SUMIF('Direct labour(직접노무비)'!$C$12:$C$503,'WIP(재공품)'!B464,'Direct labour(직접노무비)'!$U$12:$U$503)+SUMIF('Overhead exp(제조경비)'!$C$12:$C$503,'WIP(재공품)'!B464,'Overhead exp(제조경비)'!$U$12:$U$503)</f>
        <v>0</v>
      </c>
      <c r="V464" s="112">
        <f>SUMIF('Direct labour(직접노무비)'!$C$12:$C$503,'WIP(재공품)'!B464,'Direct labour(직접노무비)'!$Q$12:$Q$503)</f>
        <v>185771804</v>
      </c>
      <c r="W464" s="112">
        <f>SUMIF('Overhead exp(제조경비)'!$C$12:$C$503,'WIP(재공품)'!B464,'Overhead exp(제조경비)'!$Q$12:$Q$503)</f>
        <v>362949510</v>
      </c>
      <c r="X464" s="112">
        <f t="shared" si="66"/>
        <v>548721314</v>
      </c>
      <c r="Y464" s="112">
        <f ca="1">ROUND(SUMIF('JUNE (물량흐름)'!$C$13:$C$502,'WIP(재공품)'!B464,'JUNE (물량흐름)'!$N$13:$N$488),0)</f>
        <v>2090</v>
      </c>
      <c r="Z464" s="112">
        <f>ROUND(SUMIF('JUNE (물량흐름)'!$C$13:$C$502,'WIP(재공품)'!B464,'JUNE (물량흐름)'!$O$13:$O$502),0)</f>
        <v>1205</v>
      </c>
      <c r="AA464" s="112">
        <f>ROUND(SUMIF('JUNE (물량흐름)'!$C$13:$C$502,'WIP(재공품)'!B464,'JUNE (물량흐름)'!$P$13:$P$502),0)</f>
        <v>960</v>
      </c>
      <c r="AB464" s="112">
        <f t="shared" ca="1" si="67"/>
        <v>4255</v>
      </c>
      <c r="AC464" s="112">
        <f t="shared" si="68"/>
        <v>310727867</v>
      </c>
      <c r="AD464" s="381">
        <f t="shared" ca="1" si="69"/>
        <v>0</v>
      </c>
      <c r="AE464" s="381">
        <f t="shared" si="70"/>
        <v>0</v>
      </c>
      <c r="AF464" s="382"/>
      <c r="AG464" s="382"/>
      <c r="AH464" s="383"/>
      <c r="AI464" s="383"/>
      <c r="AJ464" s="383"/>
      <c r="AL464" s="385"/>
      <c r="AM464" s="381"/>
      <c r="AN464" s="382"/>
      <c r="AO464" s="382"/>
      <c r="AP464" s="383"/>
      <c r="AQ464" s="383"/>
    </row>
    <row r="465" spans="1:43" s="384" customFormat="1" ht="27" customHeight="1">
      <c r="A465" s="167">
        <v>475</v>
      </c>
      <c r="B465" s="240">
        <f>VLOOKUP(A465,'JUNE (물량흐름)'!$A$13:$C$502,3,0)</f>
        <v>466315</v>
      </c>
      <c r="C465" s="21" t="str">
        <f>VLOOKUP(A465,'JUNE (물량흐름)'!$A$13:$C$502,2,0)</f>
        <v>ANN TAYLOR</v>
      </c>
      <c r="D465" s="212">
        <v>4.04</v>
      </c>
      <c r="E465" s="6">
        <f>VLOOKUP(B465,'Sales profit (스타일 별 매출이익)'!$D$9:$P$491,13,0)</f>
        <v>91607</v>
      </c>
      <c r="F465" s="112">
        <f>IFERROR(VLOOKUP(B465,O.B.JUNE!$N$7:$Q$448,2,0),0)</f>
        <v>0</v>
      </c>
      <c r="G465" s="112">
        <f>IFERROR(VLOOKUP(B465,O.B.JUNE!$N$7:$Q$448,3,0),0)</f>
        <v>0</v>
      </c>
      <c r="H465" s="112">
        <f>IFERROR(VLOOKUP(B465,O.B.JUNE!$N$7:$Q$448,4,0),0)</f>
        <v>0</v>
      </c>
      <c r="I465" s="112">
        <f t="shared" si="71"/>
        <v>0</v>
      </c>
      <c r="J465" s="112">
        <f>IFERROR(VLOOKUP(B465,O.B.JUNE!$AA$7:$AG$448,7,0),0)</f>
        <v>0</v>
      </c>
      <c r="K465" s="112">
        <f>IFERROR(VLOOKUP(B465,O.B.JUNE!$AI$7:$AO$448,7,0),0)</f>
        <v>0</v>
      </c>
      <c r="L465" s="112">
        <f t="shared" si="72"/>
        <v>0</v>
      </c>
      <c r="M465" s="112">
        <f>ROUND(SUMIF('JUNE (물량흐름)'!$C$13:$C$502,'WIP(재공품)'!B465,'JUNE (물량흐름)'!$H$13:$H$502)+SUMIF('JUNE (물량흐름)'!$C$13:$C$502,'WIP(재공품)'!B465,'JUNE (물량흐름)'!$V$13:$V$502),0)</f>
        <v>5370</v>
      </c>
      <c r="N465" s="112">
        <f>SUMIF('Direct labour(직접노무비)'!$C$12:$C$503,'WIP(재공품)'!B465,'Direct labour(직접노무비)'!$O$12:$O$503)</f>
        <v>148344447</v>
      </c>
      <c r="O465" s="112">
        <f>SUMIF('Overhead exp(제조경비)'!$C$12:$C$503,'WIP(재공품)'!B465,'Overhead exp(제조경비)'!$O$12:$O$503)</f>
        <v>289826245</v>
      </c>
      <c r="P465" s="112">
        <f t="shared" si="65"/>
        <v>438170692</v>
      </c>
      <c r="Q465" s="112">
        <v>0</v>
      </c>
      <c r="R465" s="112">
        <v>0</v>
      </c>
      <c r="S465" s="112">
        <f>SUMIF('JUNE (물량흐름)'!$C$13:$C$493,'WIP(재공품)'!B465,'JUNE (물량흐름)'!$T$13:$T$493)+SUMIF('JUNE (물량흐름)'!$C$13:$C$493,'WIP(재공품)'!B465,'JUNE (물량흐름)'!$U$13:$U$493)+SUMIF('JUNE (물량흐름)'!$C$13:$C$493,'WIP(재공품)'!B465,'JUNE (물량흐름)'!$V$13:$V$493)-SUMIF('JUNE (물량흐름)'!$C$13:$C$493,'WIP(재공품)'!B465,'JUNE (물량흐름)'!$Y$13:$Y$493)</f>
        <v>5018</v>
      </c>
      <c r="T465" s="112">
        <f>SUMIF('JUNE (물량흐름)'!$C$13:$C$502,'WIP(재공품)'!B465,'JUNE (물량흐름)'!$Y$13:$Y$502)</f>
        <v>2</v>
      </c>
      <c r="U465" s="167">
        <f>SUMIF('Direct labour(직접노무비)'!$C$12:$C$503,'WIP(재공품)'!B465,'Direct labour(직접노무비)'!$U$12:$U$503)+SUMIF('Overhead exp(제조경비)'!$C$12:$C$503,'WIP(재공품)'!B465,'Overhead exp(제조경비)'!$U$12:$U$503)</f>
        <v>163192</v>
      </c>
      <c r="V465" s="112">
        <f>SUMIF('Direct labour(직접노무비)'!$C$12:$C$503,'WIP(재공품)'!B465,'Direct labour(직접노무비)'!$Q$12:$Q$503)</f>
        <v>138620565</v>
      </c>
      <c r="W465" s="112">
        <f>SUMIF('Overhead exp(제조경비)'!$C$12:$C$503,'WIP(재공품)'!B465,'Overhead exp(제조경비)'!$Q$12:$Q$503)</f>
        <v>270828324</v>
      </c>
      <c r="X465" s="112">
        <f t="shared" si="66"/>
        <v>409448889</v>
      </c>
      <c r="Y465" s="112">
        <f ca="1">ROUND(SUMIF('JUNE (물량흐름)'!$C$13:$C$502,'WIP(재공품)'!B465,'JUNE (물량흐름)'!$N$13:$N$488),0)</f>
        <v>0</v>
      </c>
      <c r="Z465" s="112">
        <f>ROUND(SUMIF('JUNE (물량흐름)'!$C$13:$C$502,'WIP(재공품)'!B465,'JUNE (물량흐름)'!$O$13:$O$502),0)</f>
        <v>215</v>
      </c>
      <c r="AA465" s="112">
        <f>ROUND(SUMIF('JUNE (물량흐름)'!$C$13:$C$502,'WIP(재공품)'!B465,'JUNE (물량흐름)'!$P$13:$P$502),0)</f>
        <v>135</v>
      </c>
      <c r="AB465" s="112">
        <f t="shared" ca="1" si="67"/>
        <v>350</v>
      </c>
      <c r="AC465" s="112">
        <f t="shared" si="68"/>
        <v>28558611</v>
      </c>
      <c r="AD465" s="381">
        <f t="shared" ca="1" si="69"/>
        <v>0</v>
      </c>
      <c r="AE465" s="381">
        <f t="shared" si="70"/>
        <v>0</v>
      </c>
      <c r="AF465" s="382"/>
      <c r="AG465" s="382"/>
      <c r="AH465" s="383"/>
      <c r="AI465" s="383"/>
      <c r="AJ465" s="383"/>
      <c r="AL465" s="385"/>
      <c r="AM465" s="381"/>
      <c r="AN465" s="382"/>
      <c r="AO465" s="382"/>
      <c r="AP465" s="383"/>
      <c r="AQ465" s="383"/>
    </row>
    <row r="466" spans="1:43" s="384" customFormat="1" ht="27" customHeight="1">
      <c r="A466" s="167">
        <v>476</v>
      </c>
      <c r="B466" s="240">
        <f>VLOOKUP(A466,'JUNE (물량흐름)'!$A$13:$C$502,3,0)</f>
        <v>467791</v>
      </c>
      <c r="C466" s="21" t="str">
        <f>VLOOKUP(A466,'JUNE (물량흐름)'!$A$13:$C$502,2,0)</f>
        <v>ANN TAYLOR</v>
      </c>
      <c r="D466" s="212">
        <v>1.75</v>
      </c>
      <c r="E466" s="6">
        <f>VLOOKUP(B466,'Sales profit (스타일 별 매출이익)'!$D$9:$P$491,13,0)</f>
        <v>39681.25</v>
      </c>
      <c r="F466" s="112">
        <f>IFERROR(VLOOKUP(B466,O.B.JUNE!$N$7:$Q$448,2,0),0)</f>
        <v>0</v>
      </c>
      <c r="G466" s="112">
        <f>IFERROR(VLOOKUP(B466,O.B.JUNE!$N$7:$Q$448,3,0),0)</f>
        <v>0</v>
      </c>
      <c r="H466" s="112">
        <f>IFERROR(VLOOKUP(B466,O.B.JUNE!$N$7:$Q$448,4,0),0)</f>
        <v>0</v>
      </c>
      <c r="I466" s="112">
        <f t="shared" si="71"/>
        <v>0</v>
      </c>
      <c r="J466" s="112">
        <f>IFERROR(VLOOKUP(B466,O.B.JUNE!$AA$7:$AG$448,7,0),0)</f>
        <v>0</v>
      </c>
      <c r="K466" s="112">
        <f>IFERROR(VLOOKUP(B466,O.B.JUNE!$AI$7:$AO$448,7,0),0)</f>
        <v>0</v>
      </c>
      <c r="L466" s="112">
        <f t="shared" si="72"/>
        <v>0</v>
      </c>
      <c r="M466" s="112">
        <f>ROUND(SUMIF('JUNE (물량흐름)'!$C$13:$C$502,'WIP(재공품)'!B466,'JUNE (물량흐름)'!$H$13:$H$502)+SUMIF('JUNE (물량흐름)'!$C$13:$C$502,'WIP(재공품)'!B466,'JUNE (물량흐름)'!$V$13:$V$502),0)</f>
        <v>8547</v>
      </c>
      <c r="N466" s="112">
        <f>SUMIF('Direct labour(직접노무비)'!$C$12:$C$503,'WIP(재공품)'!B466,'Direct labour(직접노무비)'!$O$12:$O$503)</f>
        <v>74235549</v>
      </c>
      <c r="O466" s="112">
        <f>SUMIF('Overhead exp(제조경비)'!$C$12:$C$503,'WIP(재공품)'!B466,'Overhead exp(제조경비)'!$O$12:$O$503)</f>
        <v>145036844</v>
      </c>
      <c r="P466" s="112">
        <f t="shared" si="65"/>
        <v>219272393</v>
      </c>
      <c r="Q466" s="112">
        <v>0</v>
      </c>
      <c r="R466" s="112">
        <v>0</v>
      </c>
      <c r="S466" s="112">
        <f>SUMIF('JUNE (물량흐름)'!$C$13:$C$493,'WIP(재공품)'!B466,'JUNE (물량흐름)'!$T$13:$T$493)+SUMIF('JUNE (물량흐름)'!$C$13:$C$493,'WIP(재공품)'!B466,'JUNE (물량흐름)'!$U$13:$U$493)+SUMIF('JUNE (물량흐름)'!$C$13:$C$493,'WIP(재공품)'!B466,'JUNE (물량흐름)'!$V$13:$V$493)-SUMIF('JUNE (물량흐름)'!$C$13:$C$493,'WIP(재공품)'!B466,'JUNE (물량흐름)'!$Y$13:$Y$493)</f>
        <v>2245</v>
      </c>
      <c r="T466" s="112">
        <f>SUMIF('JUNE (물량흐름)'!$C$13:$C$502,'WIP(재공품)'!B466,'JUNE (물량흐름)'!$Y$13:$Y$502)</f>
        <v>0</v>
      </c>
      <c r="U466" s="167">
        <f>SUMIF('Direct labour(직접노무비)'!$C$12:$C$503,'WIP(재공품)'!B466,'Direct labour(직접노무비)'!$U$12:$U$503)+SUMIF('Overhead exp(제조경비)'!$C$12:$C$503,'WIP(재공품)'!B466,'Overhead exp(제조경비)'!$U$12:$U$503)</f>
        <v>0</v>
      </c>
      <c r="V466" s="112">
        <f>SUMIF('Direct labour(직접노무비)'!$C$12:$C$503,'WIP(재공품)'!B466,'Direct labour(직접노무비)'!$Q$12:$Q$503)</f>
        <v>19499100</v>
      </c>
      <c r="W466" s="112">
        <f>SUMIF('Overhead exp(제조경비)'!$C$12:$C$503,'WIP(재공품)'!B466,'Overhead exp(제조경비)'!$Q$12:$Q$503)</f>
        <v>38096141</v>
      </c>
      <c r="X466" s="112">
        <f t="shared" si="66"/>
        <v>57595241</v>
      </c>
      <c r="Y466" s="112">
        <f ca="1">ROUND(SUMIF('JUNE (물량흐름)'!$C$13:$C$502,'WIP(재공품)'!B466,'JUNE (물량흐름)'!$N$13:$N$488),0)</f>
        <v>817</v>
      </c>
      <c r="Z466" s="112">
        <f>ROUND(SUMIF('JUNE (물량흐름)'!$C$13:$C$502,'WIP(재공품)'!B466,'JUNE (물량흐름)'!$O$13:$O$502),0)</f>
        <v>2490</v>
      </c>
      <c r="AA466" s="112">
        <f>ROUND(SUMIF('JUNE (물량흐름)'!$C$13:$C$502,'WIP(재공품)'!B466,'JUNE (물량흐름)'!$P$13:$P$502),0)</f>
        <v>2995</v>
      </c>
      <c r="AB466" s="112">
        <f t="shared" ca="1" si="67"/>
        <v>6302</v>
      </c>
      <c r="AC466" s="112">
        <f t="shared" si="68"/>
        <v>161677152</v>
      </c>
      <c r="AD466" s="381">
        <f t="shared" ca="1" si="69"/>
        <v>0</v>
      </c>
      <c r="AE466" s="381">
        <f t="shared" si="70"/>
        <v>0</v>
      </c>
      <c r="AF466" s="382"/>
      <c r="AG466" s="382"/>
      <c r="AH466" s="383"/>
      <c r="AI466" s="383"/>
      <c r="AJ466" s="383"/>
      <c r="AL466" s="385"/>
      <c r="AM466" s="381"/>
      <c r="AN466" s="382"/>
      <c r="AO466" s="382"/>
      <c r="AP466" s="383"/>
      <c r="AQ466" s="383"/>
    </row>
    <row r="467" spans="1:43" s="384" customFormat="1" ht="27" customHeight="1">
      <c r="A467" s="167">
        <v>477</v>
      </c>
      <c r="B467" s="240">
        <f>VLOOKUP(A467,'JUNE (물량흐름)'!$A$13:$C$502,3,0)</f>
        <v>468564</v>
      </c>
      <c r="C467" s="21" t="str">
        <f>VLOOKUP(A467,'JUNE (물량흐름)'!$A$13:$C$502,2,0)</f>
        <v>ANN TAYLOR</v>
      </c>
      <c r="D467" s="212">
        <v>2.15</v>
      </c>
      <c r="E467" s="6">
        <f>VLOOKUP(B467,'Sales profit (스타일 별 매출이익)'!$D$9:$P$491,13,0)</f>
        <v>48751.25</v>
      </c>
      <c r="F467" s="112">
        <f>IFERROR(VLOOKUP(B467,O.B.JUNE!$N$7:$Q$448,2,0),0)</f>
        <v>0</v>
      </c>
      <c r="G467" s="112">
        <f>IFERROR(VLOOKUP(B467,O.B.JUNE!$N$7:$Q$448,3,0),0)</f>
        <v>0</v>
      </c>
      <c r="H467" s="112">
        <f>IFERROR(VLOOKUP(B467,O.B.JUNE!$N$7:$Q$448,4,0),0)</f>
        <v>0</v>
      </c>
      <c r="I467" s="112">
        <f t="shared" si="71"/>
        <v>0</v>
      </c>
      <c r="J467" s="112">
        <f>IFERROR(VLOOKUP(B467,O.B.JUNE!$AA$7:$AG$448,7,0),0)</f>
        <v>0</v>
      </c>
      <c r="K467" s="112">
        <f>IFERROR(VLOOKUP(B467,O.B.JUNE!$AI$7:$AO$448,7,0),0)</f>
        <v>0</v>
      </c>
      <c r="L467" s="112">
        <f t="shared" si="72"/>
        <v>0</v>
      </c>
      <c r="M467" s="112">
        <f>ROUND(SUMIF('JUNE (물량흐름)'!$C$13:$C$502,'WIP(재공품)'!B467,'JUNE (물량흐름)'!$H$13:$H$502)+SUMIF('JUNE (물량흐름)'!$C$13:$C$502,'WIP(재공품)'!B467,'JUNE (물량흐름)'!$V$13:$V$502),0)</f>
        <v>2430</v>
      </c>
      <c r="N467" s="112">
        <f>SUMIF('Direct labour(직접노무비)'!$C$12:$C$503,'WIP(재공품)'!B467,'Direct labour(직접노무비)'!$O$12:$O$503)</f>
        <v>18907160</v>
      </c>
      <c r="O467" s="112">
        <f>SUMIF('Overhead exp(제조경비)'!$C$12:$C$503,'WIP(재공품)'!B467,'Overhead exp(제조경비)'!$O$12:$O$503)</f>
        <v>36939644</v>
      </c>
      <c r="P467" s="112">
        <f t="shared" si="65"/>
        <v>55846804</v>
      </c>
      <c r="Q467" s="112">
        <v>0</v>
      </c>
      <c r="R467" s="112">
        <v>0</v>
      </c>
      <c r="S467" s="112">
        <f>SUMIF('JUNE (물량흐름)'!$C$13:$C$493,'WIP(재공품)'!B467,'JUNE (물량흐름)'!$T$13:$T$493)+SUMIF('JUNE (물량흐름)'!$C$13:$C$493,'WIP(재공품)'!B467,'JUNE (물량흐름)'!$U$13:$U$493)+SUMIF('JUNE (물량흐름)'!$C$13:$C$493,'WIP(재공품)'!B467,'JUNE (물량흐름)'!$V$13:$V$493)-SUMIF('JUNE (물량흐름)'!$C$13:$C$493,'WIP(재공품)'!B467,'JUNE (물량흐름)'!$Y$13:$Y$493)</f>
        <v>0</v>
      </c>
      <c r="T467" s="112">
        <f>SUMIF('JUNE (물량흐름)'!$C$13:$C$502,'WIP(재공품)'!B467,'JUNE (물량흐름)'!$Y$13:$Y$502)</f>
        <v>0</v>
      </c>
      <c r="U467" s="167">
        <f>SUMIF('Direct labour(직접노무비)'!$C$12:$C$503,'WIP(재공품)'!B467,'Direct labour(직접노무비)'!$U$12:$U$503)+SUMIF('Overhead exp(제조경비)'!$C$12:$C$503,'WIP(재공품)'!B467,'Overhead exp(제조경비)'!$U$12:$U$503)</f>
        <v>0</v>
      </c>
      <c r="V467" s="112">
        <f>SUMIF('Direct labour(직접노무비)'!$C$12:$C$503,'WIP(재공품)'!B467,'Direct labour(직접노무비)'!$Q$12:$Q$503)</f>
        <v>0</v>
      </c>
      <c r="W467" s="112">
        <f>SUMIF('Overhead exp(제조경비)'!$C$12:$C$503,'WIP(재공품)'!B467,'Overhead exp(제조경비)'!$Q$12:$Q$503)</f>
        <v>0</v>
      </c>
      <c r="X467" s="112">
        <f t="shared" si="66"/>
        <v>0</v>
      </c>
      <c r="Y467" s="112">
        <f ca="1">ROUND(SUMIF('JUNE (물량흐름)'!$C$13:$C$502,'WIP(재공품)'!B467,'JUNE (물량흐름)'!$N$13:$N$488),0)</f>
        <v>1026</v>
      </c>
      <c r="Z467" s="112">
        <f>ROUND(SUMIF('JUNE (물량흐름)'!$C$13:$C$502,'WIP(재공품)'!B467,'JUNE (물량흐름)'!$O$13:$O$502),0)</f>
        <v>247</v>
      </c>
      <c r="AA467" s="112">
        <f>ROUND(SUMIF('JUNE (물량흐름)'!$C$13:$C$502,'WIP(재공품)'!B467,'JUNE (물량흐름)'!$P$13:$P$502),0)</f>
        <v>1157</v>
      </c>
      <c r="AB467" s="112">
        <f t="shared" ca="1" si="67"/>
        <v>2430</v>
      </c>
      <c r="AC467" s="112">
        <f t="shared" si="68"/>
        <v>55846804</v>
      </c>
      <c r="AD467" s="381">
        <f t="shared" ca="1" si="69"/>
        <v>0</v>
      </c>
      <c r="AE467" s="381">
        <f t="shared" si="70"/>
        <v>0</v>
      </c>
      <c r="AF467" s="382"/>
      <c r="AG467" s="382"/>
      <c r="AH467" s="383"/>
      <c r="AI467" s="383"/>
      <c r="AJ467" s="383"/>
      <c r="AL467" s="385"/>
      <c r="AM467" s="381"/>
      <c r="AN467" s="382"/>
      <c r="AO467" s="382"/>
      <c r="AP467" s="383"/>
      <c r="AQ467" s="383"/>
    </row>
    <row r="468" spans="1:43" s="384" customFormat="1" ht="27" customHeight="1">
      <c r="A468" s="167">
        <v>478</v>
      </c>
      <c r="B468" s="240">
        <f>VLOOKUP(A468,'JUNE (물량흐름)'!$A$13:$C$502,3,0)</f>
        <v>468568</v>
      </c>
      <c r="C468" s="21" t="str">
        <f>VLOOKUP(A468,'JUNE (물량흐름)'!$A$13:$C$502,2,0)</f>
        <v>ANN TAYLOR</v>
      </c>
      <c r="D468" s="212">
        <v>1.85</v>
      </c>
      <c r="E468" s="6">
        <f>VLOOKUP(B468,'Sales profit (스타일 별 매출이익)'!$D$9:$P$491,13,0)</f>
        <v>41948.75</v>
      </c>
      <c r="F468" s="112">
        <f>IFERROR(VLOOKUP(B468,O.B.JUNE!$N$7:$Q$448,2,0),0)</f>
        <v>0</v>
      </c>
      <c r="G468" s="112">
        <f>IFERROR(VLOOKUP(B468,O.B.JUNE!$N$7:$Q$448,3,0),0)</f>
        <v>0</v>
      </c>
      <c r="H468" s="112">
        <f>IFERROR(VLOOKUP(B468,O.B.JUNE!$N$7:$Q$448,4,0),0)</f>
        <v>0</v>
      </c>
      <c r="I468" s="112">
        <f t="shared" si="71"/>
        <v>0</v>
      </c>
      <c r="J468" s="112">
        <f>IFERROR(VLOOKUP(B468,O.B.JUNE!$AA$7:$AG$448,7,0),0)</f>
        <v>0</v>
      </c>
      <c r="K468" s="112">
        <f>IFERROR(VLOOKUP(B468,O.B.JUNE!$AI$7:$AO$448,7,0),0)</f>
        <v>0</v>
      </c>
      <c r="L468" s="112">
        <f t="shared" si="72"/>
        <v>0</v>
      </c>
      <c r="M468" s="112">
        <f>ROUND(SUMIF('JUNE (물량흐름)'!$C$13:$C$502,'WIP(재공품)'!B468,'JUNE (물량흐름)'!$H$13:$H$502)+SUMIF('JUNE (물량흐름)'!$C$13:$C$502,'WIP(재공품)'!B468,'JUNE (물량흐름)'!$V$13:$V$502),0)</f>
        <v>4531</v>
      </c>
      <c r="N468" s="112">
        <f>SUMIF('Direct labour(직접노무비)'!$C$12:$C$503,'WIP(재공품)'!B468,'Direct labour(직접노무비)'!$O$12:$O$503)</f>
        <v>11754123</v>
      </c>
      <c r="O468" s="112">
        <f>SUMIF('Overhead exp(제조경비)'!$C$12:$C$503,'WIP(재공품)'!B468,'Overhead exp(제조경비)'!$O$12:$O$503)</f>
        <v>22964481</v>
      </c>
      <c r="P468" s="112">
        <f t="shared" si="65"/>
        <v>34718604</v>
      </c>
      <c r="Q468" s="112">
        <v>0</v>
      </c>
      <c r="R468" s="112">
        <v>0</v>
      </c>
      <c r="S468" s="112">
        <f>SUMIF('JUNE (물량흐름)'!$C$13:$C$493,'WIP(재공품)'!B468,'JUNE (물량흐름)'!$T$13:$T$493)+SUMIF('JUNE (물량흐름)'!$C$13:$C$493,'WIP(재공품)'!B468,'JUNE (물량흐름)'!$U$13:$U$493)+SUMIF('JUNE (물량흐름)'!$C$13:$C$493,'WIP(재공품)'!B468,'JUNE (물량흐름)'!$V$13:$V$493)-SUMIF('JUNE (물량흐름)'!$C$13:$C$493,'WIP(재공품)'!B468,'JUNE (물량흐름)'!$Y$13:$Y$493)</f>
        <v>0</v>
      </c>
      <c r="T468" s="112">
        <f>SUMIF('JUNE (물량흐름)'!$C$13:$C$502,'WIP(재공품)'!B468,'JUNE (물량흐름)'!$Y$13:$Y$502)</f>
        <v>0</v>
      </c>
      <c r="U468" s="167">
        <f>SUMIF('Direct labour(직접노무비)'!$C$12:$C$503,'WIP(재공품)'!B468,'Direct labour(직접노무비)'!$U$12:$U$503)+SUMIF('Overhead exp(제조경비)'!$C$12:$C$503,'WIP(재공품)'!B468,'Overhead exp(제조경비)'!$U$12:$U$503)</f>
        <v>0</v>
      </c>
      <c r="V468" s="112">
        <f>SUMIF('Direct labour(직접노무비)'!$C$12:$C$503,'WIP(재공품)'!B468,'Direct labour(직접노무비)'!$Q$12:$Q$503)</f>
        <v>0</v>
      </c>
      <c r="W468" s="112">
        <f>SUMIF('Overhead exp(제조경비)'!$C$12:$C$503,'WIP(재공품)'!B468,'Overhead exp(제조경비)'!$Q$12:$Q$503)</f>
        <v>0</v>
      </c>
      <c r="X468" s="112">
        <f t="shared" si="66"/>
        <v>0</v>
      </c>
      <c r="Y468" s="112">
        <f ca="1">ROUND(SUMIF('JUNE (물량흐름)'!$C$13:$C$502,'WIP(재공품)'!B468,'JUNE (물량흐름)'!$N$13:$N$488),0)</f>
        <v>4531</v>
      </c>
      <c r="Z468" s="112">
        <f>ROUND(SUMIF('JUNE (물량흐름)'!$C$13:$C$502,'WIP(재공품)'!B468,'JUNE (물량흐름)'!$O$13:$O$502),0)</f>
        <v>0</v>
      </c>
      <c r="AA468" s="112">
        <f>ROUND(SUMIF('JUNE (물량흐름)'!$C$13:$C$502,'WIP(재공품)'!B468,'JUNE (물량흐름)'!$P$13:$P$502),0)</f>
        <v>0</v>
      </c>
      <c r="AB468" s="112">
        <f t="shared" ca="1" si="67"/>
        <v>4531</v>
      </c>
      <c r="AC468" s="112">
        <f t="shared" si="68"/>
        <v>34718604</v>
      </c>
      <c r="AD468" s="381">
        <f t="shared" ca="1" si="69"/>
        <v>0</v>
      </c>
      <c r="AE468" s="381">
        <f t="shared" si="70"/>
        <v>0</v>
      </c>
      <c r="AF468" s="382"/>
      <c r="AG468" s="382"/>
      <c r="AH468" s="383"/>
      <c r="AI468" s="383"/>
      <c r="AJ468" s="383"/>
      <c r="AL468" s="385"/>
      <c r="AM468" s="381"/>
      <c r="AN468" s="382"/>
      <c r="AO468" s="382"/>
      <c r="AP468" s="383"/>
      <c r="AQ468" s="383"/>
    </row>
    <row r="469" spans="1:43" s="384" customFormat="1" ht="27" customHeight="1">
      <c r="A469" s="167">
        <v>480</v>
      </c>
      <c r="B469" s="240">
        <f>VLOOKUP(A469,'JUNE (물량흐름)'!$A$13:$C$502,3,0)</f>
        <v>470390</v>
      </c>
      <c r="C469" s="21" t="str">
        <f>VLOOKUP(A469,'JUNE (물량흐름)'!$A$13:$C$502,2,0)</f>
        <v>ANN TAYLOR</v>
      </c>
      <c r="D469" s="212">
        <v>2.15</v>
      </c>
      <c r="E469" s="6">
        <f>VLOOKUP(B469,'Sales profit (스타일 별 매출이익)'!$D$9:$P$491,13,0)</f>
        <v>48751.25</v>
      </c>
      <c r="F469" s="112">
        <f>IFERROR(VLOOKUP(B469,O.B.JUNE!$N$7:$Q$448,2,0),0)</f>
        <v>0</v>
      </c>
      <c r="G469" s="112">
        <f>IFERROR(VLOOKUP(B469,O.B.JUNE!$N$7:$Q$448,3,0),0)</f>
        <v>0</v>
      </c>
      <c r="H469" s="112">
        <f>IFERROR(VLOOKUP(B469,O.B.JUNE!$N$7:$Q$448,4,0),0)</f>
        <v>0</v>
      </c>
      <c r="I469" s="112">
        <f t="shared" si="71"/>
        <v>0</v>
      </c>
      <c r="J469" s="112">
        <f>IFERROR(VLOOKUP(B469,O.B.JUNE!$AA$7:$AG$448,7,0),0)</f>
        <v>0</v>
      </c>
      <c r="K469" s="112">
        <f>IFERROR(VLOOKUP(B469,O.B.JUNE!$AI$7:$AO$448,7,0),0)</f>
        <v>0</v>
      </c>
      <c r="L469" s="112">
        <f t="shared" si="72"/>
        <v>0</v>
      </c>
      <c r="M469" s="112">
        <f>ROUND(SUMIF('JUNE (물량흐름)'!$C$13:$C$502,'WIP(재공품)'!B469,'JUNE (물량흐름)'!$H$13:$H$502)+SUMIF('JUNE (물량흐름)'!$C$13:$C$502,'WIP(재공품)'!B469,'JUNE (물량흐름)'!$V$13:$V$502),0)</f>
        <v>3204</v>
      </c>
      <c r="N469" s="112">
        <f>SUMIF('Direct labour(직접노무비)'!$C$12:$C$503,'WIP(재공품)'!B469,'Direct labour(직접노무비)'!$O$12:$O$503)</f>
        <v>35401922</v>
      </c>
      <c r="O469" s="112">
        <f>SUMIF('Overhead exp(제조경비)'!$C$12:$C$503,'WIP(재공품)'!B469,'Overhead exp(제조경비)'!$O$12:$O$503)</f>
        <v>69166095</v>
      </c>
      <c r="P469" s="112">
        <f t="shared" si="65"/>
        <v>104568017</v>
      </c>
      <c r="Q469" s="112">
        <v>0</v>
      </c>
      <c r="R469" s="112">
        <v>0</v>
      </c>
      <c r="S469" s="112">
        <f>SUMIF('JUNE (물량흐름)'!$C$13:$C$493,'WIP(재공품)'!B469,'JUNE (물량흐름)'!$T$13:$T$493)+SUMIF('JUNE (물량흐름)'!$C$13:$C$493,'WIP(재공품)'!B469,'JUNE (물량흐름)'!$U$13:$U$493)+SUMIF('JUNE (물량흐름)'!$C$13:$C$493,'WIP(재공품)'!B469,'JUNE (물량흐름)'!$V$13:$V$493)-SUMIF('JUNE (물량흐름)'!$C$13:$C$493,'WIP(재공품)'!B469,'JUNE (물량흐름)'!$Y$13:$Y$493)</f>
        <v>351</v>
      </c>
      <c r="T469" s="112">
        <f>SUMIF('JUNE (물량흐름)'!$C$13:$C$502,'WIP(재공품)'!B469,'JUNE (물량흐름)'!$Y$13:$Y$502)</f>
        <v>0</v>
      </c>
      <c r="U469" s="167">
        <f>SUMIF('Direct labour(직접노무비)'!$C$12:$C$503,'WIP(재공품)'!B469,'Direct labour(직접노무비)'!$U$12:$U$503)+SUMIF('Overhead exp(제조경비)'!$C$12:$C$503,'WIP(재공품)'!B469,'Overhead exp(제조경비)'!$U$12:$U$503)</f>
        <v>0</v>
      </c>
      <c r="V469" s="112">
        <f>SUMIF('Direct labour(직접노무비)'!$C$12:$C$503,'WIP(재공품)'!B469,'Direct labour(직접노무비)'!$Q$12:$Q$503)</f>
        <v>3878300</v>
      </c>
      <c r="W469" s="112">
        <f>SUMIF('Overhead exp(제조경비)'!$C$12:$C$503,'WIP(재공품)'!B469,'Overhead exp(제조경비)'!$Q$12:$Q$503)</f>
        <v>7577185</v>
      </c>
      <c r="X469" s="112">
        <f t="shared" si="66"/>
        <v>11455485</v>
      </c>
      <c r="Y469" s="112">
        <f ca="1">ROUND(SUMIF('JUNE (물량흐름)'!$C$13:$C$502,'WIP(재공품)'!B469,'JUNE (물량흐름)'!$N$13:$N$488),0)</f>
        <v>0</v>
      </c>
      <c r="Z469" s="112">
        <f>ROUND(SUMIF('JUNE (물량흐름)'!$C$13:$C$502,'WIP(재공품)'!B469,'JUNE (물량흐름)'!$O$13:$O$502),0)</f>
        <v>952</v>
      </c>
      <c r="AA469" s="112">
        <f>ROUND(SUMIF('JUNE (물량흐름)'!$C$13:$C$502,'WIP(재공품)'!B469,'JUNE (물량흐름)'!$P$13:$P$502),0)</f>
        <v>1901</v>
      </c>
      <c r="AB469" s="112">
        <f t="shared" ca="1" si="67"/>
        <v>2853</v>
      </c>
      <c r="AC469" s="112">
        <f t="shared" si="68"/>
        <v>93112532</v>
      </c>
      <c r="AD469" s="381">
        <f t="shared" ca="1" si="69"/>
        <v>0</v>
      </c>
      <c r="AE469" s="381">
        <f t="shared" si="70"/>
        <v>0</v>
      </c>
      <c r="AF469" s="382"/>
      <c r="AG469" s="382"/>
      <c r="AH469" s="383"/>
      <c r="AI469" s="383"/>
      <c r="AJ469" s="383"/>
      <c r="AL469" s="385"/>
      <c r="AM469" s="381"/>
      <c r="AN469" s="382"/>
      <c r="AO469" s="382"/>
      <c r="AP469" s="383"/>
      <c r="AQ469" s="383"/>
    </row>
    <row r="470" spans="1:43" s="384" customFormat="1" ht="27" customHeight="1">
      <c r="A470" s="167">
        <v>481</v>
      </c>
      <c r="B470" s="240">
        <f>VLOOKUP(A470,'JUNE (물량흐름)'!$A$13:$C$502,3,0)</f>
        <v>471627</v>
      </c>
      <c r="C470" s="21" t="str">
        <f>VLOOKUP(A470,'JUNE (물량흐름)'!$A$13:$C$502,2,0)</f>
        <v>ANN TAYLOR</v>
      </c>
      <c r="D470" s="212">
        <v>1.5</v>
      </c>
      <c r="E470" s="6">
        <f>VLOOKUP(B470,'Sales profit (스타일 별 매출이익)'!$D$9:$P$491,13,0)</f>
        <v>34012.5</v>
      </c>
      <c r="F470" s="112">
        <f>IFERROR(VLOOKUP(B470,O.B.JUNE!$N$7:$Q$448,2,0),0)</f>
        <v>0</v>
      </c>
      <c r="G470" s="112">
        <f>IFERROR(VLOOKUP(B470,O.B.JUNE!$N$7:$Q$448,3,0),0)</f>
        <v>0</v>
      </c>
      <c r="H470" s="112">
        <f>IFERROR(VLOOKUP(B470,O.B.JUNE!$N$7:$Q$448,4,0),0)</f>
        <v>0</v>
      </c>
      <c r="I470" s="112">
        <f t="shared" si="71"/>
        <v>0</v>
      </c>
      <c r="J470" s="112">
        <f>IFERROR(VLOOKUP(B470,O.B.JUNE!$AA$7:$AG$448,7,0),0)</f>
        <v>0</v>
      </c>
      <c r="K470" s="112">
        <f>IFERROR(VLOOKUP(B470,O.B.JUNE!$AI$7:$AO$448,7,0),0)</f>
        <v>0</v>
      </c>
      <c r="L470" s="112">
        <f t="shared" si="72"/>
        <v>0</v>
      </c>
      <c r="M470" s="112">
        <f>ROUND(SUMIF('JUNE (물량흐름)'!$C$13:$C$502,'WIP(재공품)'!B470,'JUNE (물량흐름)'!$H$13:$H$502)+SUMIF('JUNE (물량흐름)'!$C$13:$C$502,'WIP(재공품)'!B470,'JUNE (물량흐름)'!$V$13:$V$502),0)</f>
        <v>10325</v>
      </c>
      <c r="N470" s="112">
        <f>SUMIF('Direct labour(직접노무비)'!$C$12:$C$503,'WIP(재공품)'!B470,'Direct labour(직접노무비)'!$O$12:$O$503)</f>
        <v>73350185</v>
      </c>
      <c r="O470" s="112">
        <f>SUMIF('Overhead exp(제조경비)'!$C$12:$C$503,'WIP(재공품)'!B470,'Overhead exp(제조경비)'!$O$12:$O$503)</f>
        <v>143307075</v>
      </c>
      <c r="P470" s="112">
        <f t="shared" si="65"/>
        <v>216657260</v>
      </c>
      <c r="Q470" s="112">
        <v>0</v>
      </c>
      <c r="R470" s="112">
        <v>0</v>
      </c>
      <c r="S470" s="112">
        <f>SUMIF('JUNE (물량흐름)'!$C$13:$C$493,'WIP(재공품)'!B470,'JUNE (물량흐름)'!$T$13:$T$493)+SUMIF('JUNE (물량흐름)'!$C$13:$C$493,'WIP(재공품)'!B470,'JUNE (물량흐름)'!$U$13:$U$493)+SUMIF('JUNE (물량흐름)'!$C$13:$C$493,'WIP(재공품)'!B470,'JUNE (물량흐름)'!$V$13:$V$493)-SUMIF('JUNE (물량흐름)'!$C$13:$C$493,'WIP(재공품)'!B470,'JUNE (물량흐름)'!$Y$13:$Y$493)</f>
        <v>3065</v>
      </c>
      <c r="T470" s="112">
        <f>SUMIF('JUNE (물량흐름)'!$C$13:$C$502,'WIP(재공품)'!B470,'JUNE (물량흐름)'!$Y$13:$Y$502)</f>
        <v>0</v>
      </c>
      <c r="U470" s="167">
        <f>SUMIF('Direct labour(직접노무비)'!$C$12:$C$503,'WIP(재공품)'!B470,'Direct labour(직접노무비)'!$U$12:$U$503)+SUMIF('Overhead exp(제조경비)'!$C$12:$C$503,'WIP(재공품)'!B470,'Overhead exp(제조경비)'!$U$12:$U$503)</f>
        <v>0</v>
      </c>
      <c r="V470" s="112">
        <f>SUMIF('Direct labour(직접노무비)'!$C$12:$C$503,'WIP(재공품)'!B470,'Direct labour(직접노무비)'!$Q$12:$Q$503)</f>
        <v>21774171</v>
      </c>
      <c r="W470" s="112">
        <f>SUMIF('Overhead exp(제조경비)'!$C$12:$C$503,'WIP(재공품)'!B470,'Overhead exp(제조경비)'!$Q$12:$Q$503)</f>
        <v>42541035</v>
      </c>
      <c r="X470" s="112">
        <f t="shared" si="66"/>
        <v>64315206</v>
      </c>
      <c r="Y470" s="112">
        <f ca="1">ROUND(SUMIF('JUNE (물량흐름)'!$C$13:$C$502,'WIP(재공품)'!B470,'JUNE (물량흐름)'!$N$13:$N$488),0)</f>
        <v>1883</v>
      </c>
      <c r="Z470" s="112">
        <f>ROUND(SUMIF('JUNE (물량흐름)'!$C$13:$C$502,'WIP(재공품)'!B470,'JUNE (물량흐름)'!$O$13:$O$502),0)</f>
        <v>2567</v>
      </c>
      <c r="AA470" s="112">
        <f>ROUND(SUMIF('JUNE (물량흐름)'!$C$13:$C$502,'WIP(재공품)'!B470,'JUNE (물량흐름)'!$P$13:$P$502),0)</f>
        <v>2810</v>
      </c>
      <c r="AB470" s="112">
        <f t="shared" ca="1" si="67"/>
        <v>7260</v>
      </c>
      <c r="AC470" s="112">
        <f t="shared" si="68"/>
        <v>152342054</v>
      </c>
      <c r="AD470" s="381">
        <f t="shared" ca="1" si="69"/>
        <v>0</v>
      </c>
      <c r="AE470" s="381">
        <f t="shared" si="70"/>
        <v>0</v>
      </c>
      <c r="AF470" s="382"/>
      <c r="AG470" s="382"/>
      <c r="AH470" s="383"/>
      <c r="AI470" s="383"/>
      <c r="AJ470" s="383"/>
      <c r="AL470" s="385"/>
      <c r="AM470" s="381"/>
      <c r="AN470" s="382"/>
      <c r="AO470" s="382"/>
      <c r="AP470" s="383"/>
      <c r="AQ470" s="383"/>
    </row>
    <row r="471" spans="1:43" s="384" customFormat="1" ht="27" customHeight="1">
      <c r="A471" s="167">
        <v>482</v>
      </c>
      <c r="B471" s="240" t="str">
        <f>VLOOKUP(A471,'JUNE (물량흐름)'!$A$13:$C$502,3,0)</f>
        <v>472379 (483561)</v>
      </c>
      <c r="C471" s="21" t="str">
        <f>VLOOKUP(A471,'JUNE (물량흐름)'!$A$13:$C$502,2,0)</f>
        <v>ANN TAYLOR</v>
      </c>
      <c r="D471" s="212">
        <v>3.74</v>
      </c>
      <c r="E471" s="6">
        <f>VLOOKUP(B471,'Sales profit (스타일 별 매출이익)'!$D$9:$P$491,13,0)</f>
        <v>84804.5</v>
      </c>
      <c r="F471" s="112">
        <f>IFERROR(VLOOKUP(B471,O.B.JUNE!$N$7:$Q$448,2,0),0)</f>
        <v>0</v>
      </c>
      <c r="G471" s="112">
        <f>IFERROR(VLOOKUP(B471,O.B.JUNE!$N$7:$Q$448,3,0),0)</f>
        <v>0</v>
      </c>
      <c r="H471" s="112">
        <f>IFERROR(VLOOKUP(B471,O.B.JUNE!$N$7:$Q$448,4,0),0)</f>
        <v>0</v>
      </c>
      <c r="I471" s="112">
        <f t="shared" si="71"/>
        <v>0</v>
      </c>
      <c r="J471" s="112">
        <f>IFERROR(VLOOKUP(B471,O.B.JUNE!$AA$7:$AG$448,7,0),0)</f>
        <v>0</v>
      </c>
      <c r="K471" s="112">
        <f>IFERROR(VLOOKUP(B471,O.B.JUNE!$AI$7:$AO$448,7,0),0)</f>
        <v>0</v>
      </c>
      <c r="L471" s="112">
        <f t="shared" si="72"/>
        <v>0</v>
      </c>
      <c r="M471" s="112">
        <f>ROUND(SUMIF('JUNE (물량흐름)'!$C$13:$C$502,'WIP(재공품)'!B471,'JUNE (물량흐름)'!$H$13:$H$502)+SUMIF('JUNE (물량흐름)'!$C$13:$C$502,'WIP(재공품)'!B471,'JUNE (물량흐름)'!$V$13:$V$502),0)</f>
        <v>2914</v>
      </c>
      <c r="N471" s="112">
        <f>SUMIF('Direct labour(직접노무비)'!$C$12:$C$503,'WIP(재공품)'!B471,'Direct labour(직접노무비)'!$O$12:$O$503)</f>
        <v>74329590</v>
      </c>
      <c r="O471" s="112">
        <f>SUMIF('Overhead exp(제조경비)'!$C$12:$C$503,'WIP(재공품)'!B471,'Overhead exp(제조경비)'!$O$12:$O$503)</f>
        <v>145220576</v>
      </c>
      <c r="P471" s="112">
        <f t="shared" si="65"/>
        <v>219550166</v>
      </c>
      <c r="Q471" s="112">
        <v>0</v>
      </c>
      <c r="R471" s="112">
        <v>0</v>
      </c>
      <c r="S471" s="112">
        <f>SUMIF('JUNE (물량흐름)'!$C$13:$C$493,'WIP(재공품)'!B471,'JUNE (물량흐름)'!$T$13:$T$493)+SUMIF('JUNE (물량흐름)'!$C$13:$C$493,'WIP(재공품)'!B471,'JUNE (물량흐름)'!$U$13:$U$493)+SUMIF('JUNE (물량흐름)'!$C$13:$C$493,'WIP(재공품)'!B471,'JUNE (물량흐름)'!$V$13:$V$493)-SUMIF('JUNE (물량흐름)'!$C$13:$C$493,'WIP(재공품)'!B471,'JUNE (물량흐름)'!$Y$13:$Y$493)</f>
        <v>2688</v>
      </c>
      <c r="T471" s="112">
        <f>SUMIF('JUNE (물량흐름)'!$C$13:$C$502,'WIP(재공품)'!B471,'JUNE (물량흐름)'!$Y$13:$Y$502)</f>
        <v>16</v>
      </c>
      <c r="U471" s="167">
        <f>SUMIF('Direct labour(직접노무비)'!$C$12:$C$503,'WIP(재공품)'!B471,'Direct labour(직접노무비)'!$U$12:$U$503)+SUMIF('Overhead exp(제조경비)'!$C$12:$C$503,'WIP(재공품)'!B471,'Overhead exp(제조경비)'!$U$12:$U$503)</f>
        <v>1205492</v>
      </c>
      <c r="V471" s="112">
        <f>SUMIF('Direct labour(직접노무비)'!$C$12:$C$503,'WIP(재공품)'!B471,'Direct labour(직접노무비)'!$Q$12:$Q$503)</f>
        <v>68564838</v>
      </c>
      <c r="W471" s="112">
        <f>SUMIF('Overhead exp(제조경비)'!$C$12:$C$503,'WIP(재공품)'!B471,'Overhead exp(제조경비)'!$Q$12:$Q$503)</f>
        <v>133957759</v>
      </c>
      <c r="X471" s="112">
        <f t="shared" si="66"/>
        <v>202522597</v>
      </c>
      <c r="Y471" s="112">
        <f ca="1">ROUND(SUMIF('JUNE (물량흐름)'!$C$13:$C$502,'WIP(재공품)'!B471,'JUNE (물량흐름)'!$N$13:$N$488),0)</f>
        <v>0</v>
      </c>
      <c r="Z471" s="112">
        <f>ROUND(SUMIF('JUNE (물량흐름)'!$C$13:$C$502,'WIP(재공품)'!B471,'JUNE (물량흐름)'!$O$13:$O$502),0)</f>
        <v>127</v>
      </c>
      <c r="AA471" s="112">
        <f>ROUND(SUMIF('JUNE (물량흐름)'!$C$13:$C$502,'WIP(재공품)'!B471,'JUNE (물량흐름)'!$P$13:$P$502),0)</f>
        <v>83</v>
      </c>
      <c r="AB471" s="112">
        <f t="shared" ca="1" si="67"/>
        <v>210</v>
      </c>
      <c r="AC471" s="112">
        <f t="shared" si="68"/>
        <v>15822077</v>
      </c>
      <c r="AD471" s="381">
        <f t="shared" ca="1" si="69"/>
        <v>0</v>
      </c>
      <c r="AE471" s="381">
        <f t="shared" si="70"/>
        <v>0</v>
      </c>
      <c r="AF471" s="382"/>
      <c r="AG471" s="382"/>
      <c r="AH471" s="383"/>
      <c r="AI471" s="383"/>
      <c r="AJ471" s="383"/>
      <c r="AL471" s="385"/>
      <c r="AM471" s="381"/>
      <c r="AN471" s="382"/>
      <c r="AO471" s="382"/>
      <c r="AP471" s="383"/>
      <c r="AQ471" s="383"/>
    </row>
    <row r="472" spans="1:43" s="384" customFormat="1" ht="27" customHeight="1">
      <c r="A472" s="167">
        <v>483</v>
      </c>
      <c r="B472" s="240">
        <f>VLOOKUP(A472,'JUNE (물량흐름)'!$A$13:$C$502,3,0)</f>
        <v>473781</v>
      </c>
      <c r="C472" s="21" t="str">
        <f>VLOOKUP(A472,'JUNE (물량흐름)'!$A$13:$C$502,2,0)</f>
        <v>ANN TAYLOR</v>
      </c>
      <c r="D472" s="212">
        <v>2.4500000000000002</v>
      </c>
      <c r="E472" s="6">
        <f>VLOOKUP(B472,'Sales profit (스타일 별 매출이익)'!$D$9:$P$491,13,0)</f>
        <v>55553.750000000007</v>
      </c>
      <c r="F472" s="112">
        <f>IFERROR(VLOOKUP(B472,O.B.JUNE!$N$7:$Q$448,2,0),0)</f>
        <v>0</v>
      </c>
      <c r="G472" s="112">
        <f>IFERROR(VLOOKUP(B472,O.B.JUNE!$N$7:$Q$448,3,0),0)</f>
        <v>0</v>
      </c>
      <c r="H472" s="112">
        <f>IFERROR(VLOOKUP(B472,O.B.JUNE!$N$7:$Q$448,4,0),0)</f>
        <v>0</v>
      </c>
      <c r="I472" s="112">
        <f t="shared" si="71"/>
        <v>0</v>
      </c>
      <c r="J472" s="112">
        <f>IFERROR(VLOOKUP(B472,O.B.JUNE!$AA$7:$AG$448,7,0),0)</f>
        <v>0</v>
      </c>
      <c r="K472" s="112">
        <f>IFERROR(VLOOKUP(B472,O.B.JUNE!$AI$7:$AO$448,7,0),0)</f>
        <v>0</v>
      </c>
      <c r="L472" s="112">
        <f t="shared" si="72"/>
        <v>0</v>
      </c>
      <c r="M472" s="112">
        <f>ROUND(SUMIF('JUNE (물량흐름)'!$C$13:$C$502,'WIP(재공품)'!B472,'JUNE (물량흐름)'!$H$13:$H$502)+SUMIF('JUNE (물량흐름)'!$C$13:$C$502,'WIP(재공품)'!B472,'JUNE (물량흐름)'!$V$13:$V$502),0)</f>
        <v>1300</v>
      </c>
      <c r="N472" s="112">
        <f>SUMIF('Direct labour(직접노무비)'!$C$12:$C$503,'WIP(재공품)'!B472,'Direct labour(직접노무비)'!$O$12:$O$503)</f>
        <v>11270942</v>
      </c>
      <c r="O472" s="112">
        <f>SUMIF('Overhead exp(제조경비)'!$C$12:$C$503,'WIP(재공품)'!B472,'Overhead exp(제조경비)'!$O$12:$O$503)</f>
        <v>22020472</v>
      </c>
      <c r="P472" s="112">
        <f t="shared" si="65"/>
        <v>33291414</v>
      </c>
      <c r="Q472" s="112">
        <v>0</v>
      </c>
      <c r="R472" s="112">
        <v>0</v>
      </c>
      <c r="S472" s="112">
        <f>SUMIF('JUNE (물량흐름)'!$C$13:$C$493,'WIP(재공품)'!B472,'JUNE (물량흐름)'!$T$13:$T$493)+SUMIF('JUNE (물량흐름)'!$C$13:$C$493,'WIP(재공품)'!B472,'JUNE (물량흐름)'!$U$13:$U$493)+SUMIF('JUNE (물량흐름)'!$C$13:$C$493,'WIP(재공품)'!B472,'JUNE (물량흐름)'!$V$13:$V$493)-SUMIF('JUNE (물량흐름)'!$C$13:$C$493,'WIP(재공품)'!B472,'JUNE (물량흐름)'!$Y$13:$Y$493)</f>
        <v>0</v>
      </c>
      <c r="T472" s="112">
        <f>SUMIF('JUNE (물량흐름)'!$C$13:$C$502,'WIP(재공품)'!B472,'JUNE (물량흐름)'!$Y$13:$Y$502)</f>
        <v>0</v>
      </c>
      <c r="U472" s="167">
        <f>SUMIF('Direct labour(직접노무비)'!$C$12:$C$503,'WIP(재공품)'!B472,'Direct labour(직접노무비)'!$U$12:$U$503)+SUMIF('Overhead exp(제조경비)'!$C$12:$C$503,'WIP(재공품)'!B472,'Overhead exp(제조경비)'!$U$12:$U$503)</f>
        <v>0</v>
      </c>
      <c r="V472" s="112">
        <f>SUMIF('Direct labour(직접노무비)'!$C$12:$C$503,'WIP(재공품)'!B472,'Direct labour(직접노무비)'!$Q$12:$Q$503)</f>
        <v>0</v>
      </c>
      <c r="W472" s="112">
        <f>SUMIF('Overhead exp(제조경비)'!$C$12:$C$503,'WIP(재공품)'!B472,'Overhead exp(제조경비)'!$Q$12:$Q$503)</f>
        <v>0</v>
      </c>
      <c r="X472" s="112">
        <f t="shared" si="66"/>
        <v>0</v>
      </c>
      <c r="Y472" s="112">
        <f ca="1">ROUND(SUMIF('JUNE (물량흐름)'!$C$13:$C$502,'WIP(재공품)'!B472,'JUNE (물량흐름)'!$N$13:$N$488),0)</f>
        <v>0</v>
      </c>
      <c r="Z472" s="112">
        <f>ROUND(SUMIF('JUNE (물량흐름)'!$C$13:$C$502,'WIP(재공품)'!B472,'JUNE (물량흐름)'!$O$13:$O$502),0)</f>
        <v>1281</v>
      </c>
      <c r="AA472" s="112">
        <f>ROUND(SUMIF('JUNE (물량흐름)'!$C$13:$C$502,'WIP(재공품)'!B472,'JUNE (물량흐름)'!$P$13:$P$502),0)</f>
        <v>19</v>
      </c>
      <c r="AB472" s="112">
        <f t="shared" ca="1" si="67"/>
        <v>1300</v>
      </c>
      <c r="AC472" s="112">
        <f t="shared" si="68"/>
        <v>33291414</v>
      </c>
      <c r="AD472" s="381">
        <f t="shared" ca="1" si="69"/>
        <v>0</v>
      </c>
      <c r="AE472" s="381">
        <f t="shared" si="70"/>
        <v>0</v>
      </c>
      <c r="AF472" s="382"/>
      <c r="AG472" s="382"/>
      <c r="AH472" s="383"/>
      <c r="AI472" s="383"/>
      <c r="AJ472" s="383"/>
      <c r="AL472" s="385"/>
      <c r="AM472" s="381"/>
      <c r="AN472" s="382"/>
      <c r="AO472" s="382"/>
      <c r="AP472" s="383"/>
      <c r="AQ472" s="383"/>
    </row>
    <row r="473" spans="1:43" s="384" customFormat="1" ht="27" customHeight="1">
      <c r="A473" s="167">
        <v>484</v>
      </c>
      <c r="B473" s="240">
        <f>VLOOKUP(A473,'JUNE (물량흐름)'!$A$13:$C$502,3,0)</f>
        <v>475813</v>
      </c>
      <c r="C473" s="21" t="str">
        <f>VLOOKUP(A473,'JUNE (물량흐름)'!$A$13:$C$502,2,0)</f>
        <v>ANN TAYLOR</v>
      </c>
      <c r="D473" s="212">
        <v>2.65</v>
      </c>
      <c r="E473" s="6">
        <f>VLOOKUP(B473,'Sales profit (스타일 별 매출이익)'!$D$9:$P$491,13,0)</f>
        <v>60088.75</v>
      </c>
      <c r="F473" s="112">
        <f>IFERROR(VLOOKUP(B473,O.B.JUNE!$N$7:$Q$448,2,0),0)</f>
        <v>0</v>
      </c>
      <c r="G473" s="112">
        <f>IFERROR(VLOOKUP(B473,O.B.JUNE!$N$7:$Q$448,3,0),0)</f>
        <v>0</v>
      </c>
      <c r="H473" s="112">
        <f>IFERROR(VLOOKUP(B473,O.B.JUNE!$N$7:$Q$448,4,0),0)</f>
        <v>0</v>
      </c>
      <c r="I473" s="112">
        <f t="shared" si="71"/>
        <v>0</v>
      </c>
      <c r="J473" s="112">
        <f>IFERROR(VLOOKUP(B473,O.B.JUNE!$AA$7:$AG$448,7,0),0)</f>
        <v>0</v>
      </c>
      <c r="K473" s="112">
        <f>IFERROR(VLOOKUP(B473,O.B.JUNE!$AI$7:$AO$448,7,0),0)</f>
        <v>0</v>
      </c>
      <c r="L473" s="112">
        <f t="shared" si="72"/>
        <v>0</v>
      </c>
      <c r="M473" s="112">
        <f>ROUND(SUMIF('JUNE (물량흐름)'!$C$13:$C$502,'WIP(재공품)'!B473,'JUNE (물량흐름)'!$H$13:$H$502)+SUMIF('JUNE (물량흐름)'!$C$13:$C$502,'WIP(재공품)'!B473,'JUNE (물량흐름)'!$V$13:$V$502),0)</f>
        <v>11569</v>
      </c>
      <c r="N473" s="112">
        <f>SUMIF('Direct labour(직접노무비)'!$C$12:$C$503,'WIP(재공품)'!B473,'Direct labour(직접노무비)'!$O$12:$O$503)</f>
        <v>187158158</v>
      </c>
      <c r="O473" s="112">
        <f>SUMIF('Overhead exp(제조경비)'!$C$12:$C$503,'WIP(재공품)'!B473,'Overhead exp(제조경비)'!$O$12:$O$503)</f>
        <v>365658082</v>
      </c>
      <c r="P473" s="112">
        <f t="shared" si="65"/>
        <v>552816240</v>
      </c>
      <c r="Q473" s="112">
        <v>0</v>
      </c>
      <c r="R473" s="112">
        <v>0</v>
      </c>
      <c r="S473" s="112">
        <f>SUMIF('JUNE (물량흐름)'!$C$13:$C$493,'WIP(재공품)'!B473,'JUNE (물량흐름)'!$T$13:$T$493)+SUMIF('JUNE (물량흐름)'!$C$13:$C$493,'WIP(재공품)'!B473,'JUNE (물량흐름)'!$U$13:$U$493)+SUMIF('JUNE (물량흐름)'!$C$13:$C$493,'WIP(재공품)'!B473,'JUNE (물량흐름)'!$V$13:$V$493)-SUMIF('JUNE (물량흐름)'!$C$13:$C$493,'WIP(재공품)'!B473,'JUNE (물량흐름)'!$Y$13:$Y$493)</f>
        <v>8383</v>
      </c>
      <c r="T473" s="112">
        <f>SUMIF('JUNE (물량흐름)'!$C$13:$C$502,'WIP(재공품)'!B473,'JUNE (물량흐름)'!$Y$13:$Y$502)</f>
        <v>0</v>
      </c>
      <c r="U473" s="167">
        <f>SUMIF('Direct labour(직접노무비)'!$C$12:$C$503,'WIP(재공품)'!B473,'Direct labour(직접노무비)'!$U$12:$U$503)+SUMIF('Overhead exp(제조경비)'!$C$12:$C$503,'WIP(재공품)'!B473,'Overhead exp(제조경비)'!$U$12:$U$503)</f>
        <v>0</v>
      </c>
      <c r="V473" s="112">
        <f>SUMIF('Direct labour(직접노무비)'!$C$12:$C$503,'WIP(재공품)'!B473,'Direct labour(직접노무비)'!$Q$12:$Q$503)</f>
        <v>135616461</v>
      </c>
      <c r="W473" s="112">
        <f>SUMIF('Overhead exp(제조경비)'!$C$12:$C$503,'WIP(재공품)'!B473,'Overhead exp(제조경비)'!$Q$12:$Q$503)</f>
        <v>264959089</v>
      </c>
      <c r="X473" s="112">
        <f t="shared" si="66"/>
        <v>400575550</v>
      </c>
      <c r="Y473" s="112">
        <f ca="1">ROUND(SUMIF('JUNE (물량흐름)'!$C$13:$C$502,'WIP(재공품)'!B473,'JUNE (물량흐름)'!$N$13:$N$488),0)</f>
        <v>312</v>
      </c>
      <c r="Z473" s="112">
        <f>ROUND(SUMIF('JUNE (물량흐름)'!$C$13:$C$502,'WIP(재공품)'!B473,'JUNE (물량흐름)'!$O$13:$O$502),0)</f>
        <v>2245</v>
      </c>
      <c r="AA473" s="112">
        <f>ROUND(SUMIF('JUNE (물량흐름)'!$C$13:$C$502,'WIP(재공품)'!B473,'JUNE (물량흐름)'!$P$13:$P$502),0)</f>
        <v>629</v>
      </c>
      <c r="AB473" s="112">
        <f t="shared" ca="1" si="67"/>
        <v>3186</v>
      </c>
      <c r="AC473" s="112">
        <f t="shared" si="68"/>
        <v>152240690</v>
      </c>
      <c r="AD473" s="381">
        <f t="shared" ca="1" si="69"/>
        <v>0</v>
      </c>
      <c r="AE473" s="381">
        <f t="shared" si="70"/>
        <v>0</v>
      </c>
      <c r="AF473" s="382"/>
      <c r="AG473" s="382"/>
      <c r="AH473" s="383"/>
      <c r="AI473" s="383"/>
      <c r="AJ473" s="383"/>
      <c r="AL473" s="385"/>
      <c r="AM473" s="381"/>
      <c r="AN473" s="382"/>
      <c r="AO473" s="382"/>
      <c r="AP473" s="383"/>
      <c r="AQ473" s="383"/>
    </row>
    <row r="474" spans="1:43" s="384" customFormat="1" ht="27" customHeight="1">
      <c r="A474" s="167">
        <v>485</v>
      </c>
      <c r="B474" s="240">
        <f>VLOOKUP(A474,'JUNE (물량흐름)'!$A$13:$C$502,3,0)</f>
        <v>476148</v>
      </c>
      <c r="C474" s="21" t="str">
        <f>VLOOKUP(A474,'JUNE (물량흐름)'!$A$13:$C$502,2,0)</f>
        <v>ANN TAYLOR</v>
      </c>
      <c r="D474" s="212">
        <v>2.78</v>
      </c>
      <c r="E474" s="6">
        <f>VLOOKUP(B474,'Sales profit (스타일 별 매출이익)'!$D$9:$P$491,13,0)</f>
        <v>63036.499999999993</v>
      </c>
      <c r="F474" s="112">
        <f>IFERROR(VLOOKUP(B474,O.B.JUNE!$N$7:$Q$448,2,0),0)</f>
        <v>0</v>
      </c>
      <c r="G474" s="112">
        <f>IFERROR(VLOOKUP(B474,O.B.JUNE!$N$7:$Q$448,3,0),0)</f>
        <v>0</v>
      </c>
      <c r="H474" s="112">
        <f>IFERROR(VLOOKUP(B474,O.B.JUNE!$N$7:$Q$448,4,0),0)</f>
        <v>0</v>
      </c>
      <c r="I474" s="112">
        <f t="shared" si="71"/>
        <v>0</v>
      </c>
      <c r="J474" s="112">
        <f>IFERROR(VLOOKUP(B474,O.B.JUNE!$AA$7:$AG$448,7,0),0)</f>
        <v>0</v>
      </c>
      <c r="K474" s="112">
        <f>IFERROR(VLOOKUP(B474,O.B.JUNE!$AI$7:$AO$448,7,0),0)</f>
        <v>0</v>
      </c>
      <c r="L474" s="112">
        <f t="shared" si="72"/>
        <v>0</v>
      </c>
      <c r="M474" s="112">
        <f>ROUND(SUMIF('JUNE (물량흐름)'!$C$13:$C$502,'WIP(재공품)'!B474,'JUNE (물량흐름)'!$H$13:$H$502)+SUMIF('JUNE (물량흐름)'!$C$13:$C$502,'WIP(재공품)'!B474,'JUNE (물량흐름)'!$V$13:$V$502),0)</f>
        <v>10233</v>
      </c>
      <c r="N474" s="112">
        <f>SUMIF('Direct labour(직접노무비)'!$C$12:$C$503,'WIP(재공품)'!B474,'Direct labour(직접노무비)'!$O$12:$O$503)</f>
        <v>193610127</v>
      </c>
      <c r="O474" s="112">
        <f>SUMIF('Overhead exp(제조경비)'!$C$12:$C$503,'WIP(재공품)'!B474,'Overhead exp(제조경비)'!$O$12:$O$503)</f>
        <v>378263542</v>
      </c>
      <c r="P474" s="112">
        <f t="shared" si="65"/>
        <v>571873669</v>
      </c>
      <c r="Q474" s="112">
        <v>0</v>
      </c>
      <c r="R474" s="112">
        <v>0</v>
      </c>
      <c r="S474" s="112">
        <f>SUMIF('JUNE (물량흐름)'!$C$13:$C$493,'WIP(재공품)'!B474,'JUNE (물량흐름)'!$T$13:$T$493)+SUMIF('JUNE (물량흐름)'!$C$13:$C$493,'WIP(재공품)'!B474,'JUNE (물량흐름)'!$U$13:$U$493)+SUMIF('JUNE (물량흐름)'!$C$13:$C$493,'WIP(재공품)'!B474,'JUNE (물량흐름)'!$V$13:$V$493)-SUMIF('JUNE (물량흐름)'!$C$13:$C$493,'WIP(재공품)'!B474,'JUNE (물량흐름)'!$Y$13:$Y$493)</f>
        <v>9416</v>
      </c>
      <c r="T474" s="112">
        <f>SUMIF('JUNE (물량흐름)'!$C$13:$C$502,'WIP(재공품)'!B474,'JUNE (물량흐름)'!$Y$13:$Y$502)</f>
        <v>0</v>
      </c>
      <c r="U474" s="167">
        <f>SUMIF('Direct labour(직접노무비)'!$C$12:$C$503,'WIP(재공품)'!B474,'Direct labour(직접노무비)'!$U$12:$U$503)+SUMIF('Overhead exp(제조경비)'!$C$12:$C$503,'WIP(재공품)'!B474,'Overhead exp(제조경비)'!$U$12:$U$503)</f>
        <v>0</v>
      </c>
      <c r="V474" s="112">
        <f>SUMIF('Direct labour(직접노무비)'!$C$12:$C$503,'WIP(재공품)'!B474,'Direct labour(직접노무비)'!$Q$12:$Q$503)</f>
        <v>178152346</v>
      </c>
      <c r="W474" s="112">
        <f>SUMIF('Overhead exp(제조경비)'!$C$12:$C$503,'WIP(재공품)'!B474,'Overhead exp(제조경비)'!$Q$12:$Q$503)</f>
        <v>348063081</v>
      </c>
      <c r="X474" s="112">
        <f t="shared" si="66"/>
        <v>526215427</v>
      </c>
      <c r="Y474" s="112">
        <f ca="1">ROUND(SUMIF('JUNE (물량흐름)'!$C$13:$C$502,'WIP(재공품)'!B474,'JUNE (물량흐름)'!$N$13:$N$488),0)</f>
        <v>0</v>
      </c>
      <c r="Z474" s="112">
        <f>ROUND(SUMIF('JUNE (물량흐름)'!$C$13:$C$502,'WIP(재공품)'!B474,'JUNE (물량흐름)'!$O$13:$O$502),0)</f>
        <v>462</v>
      </c>
      <c r="AA474" s="112">
        <f>ROUND(SUMIF('JUNE (물량흐름)'!$C$13:$C$502,'WIP(재공품)'!B474,'JUNE (물량흐름)'!$P$13:$P$502),0)</f>
        <v>355</v>
      </c>
      <c r="AB474" s="112">
        <f t="shared" ca="1" si="67"/>
        <v>817</v>
      </c>
      <c r="AC474" s="112">
        <f t="shared" si="68"/>
        <v>45658242</v>
      </c>
      <c r="AD474" s="381">
        <f t="shared" ca="1" si="69"/>
        <v>0</v>
      </c>
      <c r="AE474" s="381">
        <f t="shared" si="70"/>
        <v>0</v>
      </c>
      <c r="AF474" s="382"/>
      <c r="AG474" s="382"/>
      <c r="AH474" s="383"/>
      <c r="AI474" s="383"/>
      <c r="AJ474" s="383"/>
      <c r="AL474" s="385"/>
      <c r="AM474" s="381"/>
      <c r="AN474" s="382"/>
      <c r="AO474" s="382"/>
      <c r="AP474" s="383"/>
      <c r="AQ474" s="383"/>
    </row>
    <row r="475" spans="1:43" s="384" customFormat="1" ht="27" customHeight="1">
      <c r="A475" s="167">
        <v>486</v>
      </c>
      <c r="B475" s="240">
        <f>VLOOKUP(A475,'JUNE (물량흐름)'!$A$13:$C$502,3,0)</f>
        <v>476239</v>
      </c>
      <c r="C475" s="21" t="str">
        <f>VLOOKUP(A475,'JUNE (물량흐름)'!$A$13:$C$502,2,0)</f>
        <v>ANN TAYLOR</v>
      </c>
      <c r="D475" s="212">
        <v>2.95</v>
      </c>
      <c r="E475" s="6">
        <f>VLOOKUP(B475,'Sales profit (스타일 별 매출이익)'!$D$9:$P$491,13,0)</f>
        <v>66891.25</v>
      </c>
      <c r="F475" s="112">
        <f>IFERROR(VLOOKUP(B475,O.B.JUNE!$N$7:$Q$448,2,0),0)</f>
        <v>0</v>
      </c>
      <c r="G475" s="112">
        <f>IFERROR(VLOOKUP(B475,O.B.JUNE!$N$7:$Q$448,3,0),0)</f>
        <v>0</v>
      </c>
      <c r="H475" s="112">
        <f>IFERROR(VLOOKUP(B475,O.B.JUNE!$N$7:$Q$448,4,0),0)</f>
        <v>0</v>
      </c>
      <c r="I475" s="112">
        <f t="shared" si="71"/>
        <v>0</v>
      </c>
      <c r="J475" s="112">
        <f>IFERROR(VLOOKUP(B475,O.B.JUNE!$AA$7:$AG$448,7,0),0)</f>
        <v>0</v>
      </c>
      <c r="K475" s="112">
        <f>IFERROR(VLOOKUP(B475,O.B.JUNE!$AI$7:$AO$448,7,0),0)</f>
        <v>0</v>
      </c>
      <c r="L475" s="112">
        <f t="shared" si="72"/>
        <v>0</v>
      </c>
      <c r="M475" s="112">
        <f>ROUND(SUMIF('JUNE (물량흐름)'!$C$13:$C$502,'WIP(재공품)'!B475,'JUNE (물량흐름)'!$H$13:$H$502)+SUMIF('JUNE (물량흐름)'!$C$13:$C$502,'WIP(재공품)'!B475,'JUNE (물량흐름)'!$V$13:$V$502),0)</f>
        <v>3553</v>
      </c>
      <c r="N475" s="112">
        <f>SUMIF('Direct labour(직접노무비)'!$C$12:$C$503,'WIP(재공품)'!B475,'Direct labour(직접노무비)'!$O$12:$O$503)</f>
        <v>67338479</v>
      </c>
      <c r="O475" s="112">
        <f>SUMIF('Overhead exp(제조경비)'!$C$12:$C$503,'WIP(재공품)'!B475,'Overhead exp(제조경비)'!$O$12:$O$503)</f>
        <v>131561773</v>
      </c>
      <c r="P475" s="112">
        <f t="shared" si="65"/>
        <v>198900252</v>
      </c>
      <c r="Q475" s="112">
        <v>0</v>
      </c>
      <c r="R475" s="112">
        <v>0</v>
      </c>
      <c r="S475" s="112">
        <f>SUMIF('JUNE (물량흐름)'!$C$13:$C$493,'WIP(재공품)'!B475,'JUNE (물량흐름)'!$T$13:$T$493)+SUMIF('JUNE (물량흐름)'!$C$13:$C$493,'WIP(재공품)'!B475,'JUNE (물량흐름)'!$U$13:$U$493)+SUMIF('JUNE (물량흐름)'!$C$13:$C$493,'WIP(재공품)'!B475,'JUNE (물량흐름)'!$V$13:$V$493)-SUMIF('JUNE (물량흐름)'!$C$13:$C$493,'WIP(재공품)'!B475,'JUNE (물량흐름)'!$Y$13:$Y$493)</f>
        <v>2329</v>
      </c>
      <c r="T475" s="112">
        <f>SUMIF('JUNE (물량흐름)'!$C$13:$C$502,'WIP(재공품)'!B475,'JUNE (물량흐름)'!$Y$13:$Y$502)</f>
        <v>0</v>
      </c>
      <c r="U475" s="167">
        <f>SUMIF('Direct labour(직접노무비)'!$C$12:$C$503,'WIP(재공품)'!B475,'Direct labour(직접노무비)'!$U$12:$U$503)+SUMIF('Overhead exp(제조경비)'!$C$12:$C$503,'WIP(재공품)'!B475,'Overhead exp(제조경비)'!$U$12:$U$503)</f>
        <v>0</v>
      </c>
      <c r="V475" s="112">
        <f>SUMIF('Direct labour(직접노무비)'!$C$12:$C$503,'WIP(재공품)'!B475,'Direct labour(직접노무비)'!$Q$12:$Q$503)</f>
        <v>44140534</v>
      </c>
      <c r="W475" s="112">
        <f>SUMIF('Overhead exp(제조경비)'!$C$12:$C$503,'WIP(재공품)'!B475,'Overhead exp(제조경비)'!$Q$12:$Q$503)</f>
        <v>86239057</v>
      </c>
      <c r="X475" s="112">
        <f t="shared" si="66"/>
        <v>130379591</v>
      </c>
      <c r="Y475" s="112">
        <f ca="1">ROUND(SUMIF('JUNE (물량흐름)'!$C$13:$C$502,'WIP(재공품)'!B475,'JUNE (물량흐름)'!$N$13:$N$488),0)</f>
        <v>0</v>
      </c>
      <c r="Z475" s="112">
        <f>ROUND(SUMIF('JUNE (물량흐름)'!$C$13:$C$502,'WIP(재공품)'!B475,'JUNE (물량흐름)'!$O$13:$O$502),0)</f>
        <v>176</v>
      </c>
      <c r="AA475" s="112">
        <f>ROUND(SUMIF('JUNE (물량흐름)'!$C$13:$C$502,'WIP(재공품)'!B475,'JUNE (물량흐름)'!$P$13:$P$502),0)</f>
        <v>1048</v>
      </c>
      <c r="AB475" s="112">
        <f t="shared" ca="1" si="67"/>
        <v>1224</v>
      </c>
      <c r="AC475" s="112">
        <f t="shared" si="68"/>
        <v>68520661</v>
      </c>
      <c r="AD475" s="381">
        <f t="shared" ca="1" si="69"/>
        <v>0</v>
      </c>
      <c r="AE475" s="381">
        <f t="shared" si="70"/>
        <v>0</v>
      </c>
      <c r="AF475" s="382"/>
      <c r="AG475" s="382"/>
      <c r="AH475" s="383"/>
      <c r="AI475" s="383"/>
      <c r="AJ475" s="383"/>
      <c r="AL475" s="385"/>
      <c r="AM475" s="381"/>
      <c r="AN475" s="382"/>
      <c r="AO475" s="382"/>
      <c r="AP475" s="383"/>
      <c r="AQ475" s="383"/>
    </row>
    <row r="476" spans="1:43" s="384" customFormat="1" ht="27" customHeight="1">
      <c r="A476" s="167">
        <v>487</v>
      </c>
      <c r="B476" s="240">
        <f>VLOOKUP(A476,'JUNE (물량흐름)'!$A$13:$C$502,3,0)</f>
        <v>476545</v>
      </c>
      <c r="C476" s="21" t="str">
        <f>VLOOKUP(A476,'JUNE (물량흐름)'!$A$13:$C$502,2,0)</f>
        <v>ANN TAYLOR</v>
      </c>
      <c r="D476" s="212">
        <v>3.45</v>
      </c>
      <c r="E476" s="6">
        <f>VLOOKUP(B476,'Sales profit (스타일 별 매출이익)'!$D$9:$P$491,13,0)</f>
        <v>78228.75</v>
      </c>
      <c r="F476" s="112">
        <f>IFERROR(VLOOKUP(B476,O.B.JUNE!$N$7:$Q$448,2,0),0)</f>
        <v>0</v>
      </c>
      <c r="G476" s="112">
        <f>IFERROR(VLOOKUP(B476,O.B.JUNE!$N$7:$Q$448,3,0),0)</f>
        <v>0</v>
      </c>
      <c r="H476" s="112">
        <f>IFERROR(VLOOKUP(B476,O.B.JUNE!$N$7:$Q$448,4,0),0)</f>
        <v>0</v>
      </c>
      <c r="I476" s="112">
        <f t="shared" si="71"/>
        <v>0</v>
      </c>
      <c r="J476" s="112">
        <f>IFERROR(VLOOKUP(B476,O.B.JUNE!$AA$7:$AG$448,7,0),0)</f>
        <v>0</v>
      </c>
      <c r="K476" s="112">
        <f>IFERROR(VLOOKUP(B476,O.B.JUNE!$AI$7:$AO$448,7,0),0)</f>
        <v>0</v>
      </c>
      <c r="L476" s="112">
        <f t="shared" si="72"/>
        <v>0</v>
      </c>
      <c r="M476" s="112">
        <f>ROUND(SUMIF('JUNE (물량흐름)'!$C$13:$C$502,'WIP(재공품)'!B476,'JUNE (물량흐름)'!$H$13:$H$502)+SUMIF('JUNE (물량흐름)'!$C$13:$C$502,'WIP(재공품)'!B476,'JUNE (물량흐름)'!$V$13:$V$502),0)</f>
        <v>3534</v>
      </c>
      <c r="N476" s="112">
        <f>SUMIF('Direct labour(직접노무비)'!$C$12:$C$503,'WIP(재공품)'!B476,'Direct labour(직접노무비)'!$O$12:$O$503)</f>
        <v>17105225</v>
      </c>
      <c r="O476" s="112">
        <f>SUMIF('Overhead exp(제조경비)'!$C$12:$C$503,'WIP(재공품)'!B476,'Overhead exp(제조경비)'!$O$12:$O$503)</f>
        <v>33419136</v>
      </c>
      <c r="P476" s="112">
        <f t="shared" si="65"/>
        <v>50524361</v>
      </c>
      <c r="Q476" s="112">
        <v>0</v>
      </c>
      <c r="R476" s="112">
        <v>0</v>
      </c>
      <c r="S476" s="112">
        <f>SUMIF('JUNE (물량흐름)'!$C$13:$C$493,'WIP(재공품)'!B476,'JUNE (물량흐름)'!$T$13:$T$493)+SUMIF('JUNE (물량흐름)'!$C$13:$C$493,'WIP(재공품)'!B476,'JUNE (물량흐름)'!$U$13:$U$493)+SUMIF('JUNE (물량흐름)'!$C$13:$C$493,'WIP(재공품)'!B476,'JUNE (물량흐름)'!$V$13:$V$493)-SUMIF('JUNE (물량흐름)'!$C$13:$C$493,'WIP(재공품)'!B476,'JUNE (물량흐름)'!$Y$13:$Y$493)</f>
        <v>0</v>
      </c>
      <c r="T476" s="112">
        <f>SUMIF('JUNE (물량흐름)'!$C$13:$C$502,'WIP(재공품)'!B476,'JUNE (물량흐름)'!$Y$13:$Y$502)</f>
        <v>0</v>
      </c>
      <c r="U476" s="167">
        <f>SUMIF('Direct labour(직접노무비)'!$C$12:$C$503,'WIP(재공품)'!B476,'Direct labour(직접노무비)'!$U$12:$U$503)+SUMIF('Overhead exp(제조경비)'!$C$12:$C$503,'WIP(재공품)'!B476,'Overhead exp(제조경비)'!$U$12:$U$503)</f>
        <v>0</v>
      </c>
      <c r="V476" s="112">
        <f>SUMIF('Direct labour(직접노무비)'!$C$12:$C$503,'WIP(재공품)'!B476,'Direct labour(직접노무비)'!$Q$12:$Q$503)</f>
        <v>0</v>
      </c>
      <c r="W476" s="112">
        <f>SUMIF('Overhead exp(제조경비)'!$C$12:$C$503,'WIP(재공품)'!B476,'Overhead exp(제조경비)'!$Q$12:$Q$503)</f>
        <v>0</v>
      </c>
      <c r="X476" s="112">
        <f t="shared" si="66"/>
        <v>0</v>
      </c>
      <c r="Y476" s="112">
        <f ca="1">ROUND(SUMIF('JUNE (물량흐름)'!$C$13:$C$502,'WIP(재공품)'!B476,'JUNE (물량흐름)'!$N$13:$N$488),0)</f>
        <v>3534</v>
      </c>
      <c r="Z476" s="112">
        <f>ROUND(SUMIF('JUNE (물량흐름)'!$C$13:$C$502,'WIP(재공품)'!B476,'JUNE (물량흐름)'!$O$13:$O$502),0)</f>
        <v>0</v>
      </c>
      <c r="AA476" s="112">
        <f>ROUND(SUMIF('JUNE (물량흐름)'!$C$13:$C$502,'WIP(재공품)'!B476,'JUNE (물량흐름)'!$P$13:$P$502),0)</f>
        <v>0</v>
      </c>
      <c r="AB476" s="112">
        <f t="shared" ca="1" si="67"/>
        <v>3534</v>
      </c>
      <c r="AC476" s="112">
        <f t="shared" si="68"/>
        <v>50524361</v>
      </c>
      <c r="AD476" s="381">
        <f t="shared" ca="1" si="69"/>
        <v>0</v>
      </c>
      <c r="AE476" s="381">
        <f t="shared" si="70"/>
        <v>0</v>
      </c>
      <c r="AF476" s="382"/>
      <c r="AG476" s="382"/>
      <c r="AH476" s="383"/>
      <c r="AI476" s="383"/>
      <c r="AJ476" s="383"/>
      <c r="AL476" s="385"/>
      <c r="AM476" s="381"/>
      <c r="AN476" s="382"/>
      <c r="AO476" s="382"/>
      <c r="AP476" s="383"/>
      <c r="AQ476" s="383"/>
    </row>
    <row r="477" spans="1:43" s="384" customFormat="1" ht="27" customHeight="1">
      <c r="A477" s="167">
        <v>488</v>
      </c>
      <c r="B477" s="240">
        <f>VLOOKUP(A477,'JUNE (물량흐름)'!$A$13:$C$502,3,0)</f>
        <v>477891</v>
      </c>
      <c r="C477" s="21" t="str">
        <f>VLOOKUP(A477,'JUNE (물량흐름)'!$A$13:$C$502,2,0)</f>
        <v>ANN TAYLOR</v>
      </c>
      <c r="D477" s="212">
        <v>3.15</v>
      </c>
      <c r="E477" s="6">
        <f>VLOOKUP(B477,'Sales profit (스타일 별 매출이익)'!$D$9:$P$491,13,0)</f>
        <v>71426.25</v>
      </c>
      <c r="F477" s="112">
        <f>IFERROR(VLOOKUP(B477,O.B.JUNE!$N$7:$Q$448,2,0),0)</f>
        <v>0</v>
      </c>
      <c r="G477" s="112">
        <f>IFERROR(VLOOKUP(B477,O.B.JUNE!$N$7:$Q$448,3,0),0)</f>
        <v>0</v>
      </c>
      <c r="H477" s="112">
        <f>IFERROR(VLOOKUP(B477,O.B.JUNE!$N$7:$Q$448,4,0),0)</f>
        <v>0</v>
      </c>
      <c r="I477" s="112">
        <f t="shared" si="71"/>
        <v>0</v>
      </c>
      <c r="J477" s="112">
        <f>IFERROR(VLOOKUP(B477,O.B.JUNE!$AA$7:$AG$448,7,0),0)</f>
        <v>0</v>
      </c>
      <c r="K477" s="112">
        <f>IFERROR(VLOOKUP(B477,O.B.JUNE!$AI$7:$AO$448,7,0),0)</f>
        <v>0</v>
      </c>
      <c r="L477" s="112">
        <f t="shared" si="72"/>
        <v>0</v>
      </c>
      <c r="M477" s="112">
        <f>ROUND(SUMIF('JUNE (물량흐름)'!$C$13:$C$502,'WIP(재공품)'!B477,'JUNE (물량흐름)'!$H$13:$H$502)+SUMIF('JUNE (물량흐름)'!$C$13:$C$502,'WIP(재공품)'!B477,'JUNE (물량흐름)'!$V$13:$V$502),0)</f>
        <v>502</v>
      </c>
      <c r="N477" s="112">
        <f>SUMIF('Direct labour(직접노무비)'!$C$12:$C$503,'WIP(재공품)'!B477,'Direct labour(직접노무비)'!$O$12:$O$503)</f>
        <v>3026366</v>
      </c>
      <c r="O477" s="112">
        <f>SUMIF('Overhead exp(제조경비)'!$C$12:$C$503,'WIP(재공품)'!B477,'Overhead exp(제조경비)'!$O$12:$O$503)</f>
        <v>5912727</v>
      </c>
      <c r="P477" s="112">
        <f t="shared" si="65"/>
        <v>8939093</v>
      </c>
      <c r="Q477" s="112">
        <v>0</v>
      </c>
      <c r="R477" s="112">
        <v>0</v>
      </c>
      <c r="S477" s="112">
        <f>SUMIF('JUNE (물량흐름)'!$C$13:$C$493,'WIP(재공품)'!B477,'JUNE (물량흐름)'!$T$13:$T$493)+SUMIF('JUNE (물량흐름)'!$C$13:$C$493,'WIP(재공품)'!B477,'JUNE (물량흐름)'!$U$13:$U$493)+SUMIF('JUNE (물량흐름)'!$C$13:$C$493,'WIP(재공품)'!B477,'JUNE (물량흐름)'!$V$13:$V$493)-SUMIF('JUNE (물량흐름)'!$C$13:$C$493,'WIP(재공품)'!B477,'JUNE (물량흐름)'!$Y$13:$Y$493)</f>
        <v>0</v>
      </c>
      <c r="T477" s="112">
        <f>SUMIF('JUNE (물량흐름)'!$C$13:$C$502,'WIP(재공품)'!B477,'JUNE (물량흐름)'!$Y$13:$Y$502)</f>
        <v>0</v>
      </c>
      <c r="U477" s="167">
        <f>SUMIF('Direct labour(직접노무비)'!$C$12:$C$503,'WIP(재공품)'!B477,'Direct labour(직접노무비)'!$U$12:$U$503)+SUMIF('Overhead exp(제조경비)'!$C$12:$C$503,'WIP(재공품)'!B477,'Overhead exp(제조경비)'!$U$12:$U$503)</f>
        <v>0</v>
      </c>
      <c r="V477" s="112">
        <f>SUMIF('Direct labour(직접노무비)'!$C$12:$C$503,'WIP(재공품)'!B477,'Direct labour(직접노무비)'!$Q$12:$Q$503)</f>
        <v>0</v>
      </c>
      <c r="W477" s="112">
        <f>SUMIF('Overhead exp(제조경비)'!$C$12:$C$503,'WIP(재공품)'!B477,'Overhead exp(제조경비)'!$Q$12:$Q$503)</f>
        <v>0</v>
      </c>
      <c r="X477" s="112">
        <f t="shared" si="66"/>
        <v>0</v>
      </c>
      <c r="Y477" s="112">
        <f ca="1">ROUND(SUMIF('JUNE (물량흐름)'!$C$13:$C$502,'WIP(재공품)'!B477,'JUNE (물량흐름)'!$N$13:$N$488),0)</f>
        <v>379</v>
      </c>
      <c r="Z477" s="112">
        <f>ROUND(SUMIF('JUNE (물량흐름)'!$C$13:$C$502,'WIP(재공품)'!B477,'JUNE (물량흐름)'!$O$13:$O$502),0)</f>
        <v>123</v>
      </c>
      <c r="AA477" s="112">
        <f>ROUND(SUMIF('JUNE (물량흐름)'!$C$13:$C$502,'WIP(재공품)'!B477,'JUNE (물량흐름)'!$P$13:$P$502),0)</f>
        <v>0</v>
      </c>
      <c r="AB477" s="112">
        <f t="shared" ca="1" si="67"/>
        <v>502</v>
      </c>
      <c r="AC477" s="112">
        <f t="shared" si="68"/>
        <v>8939093</v>
      </c>
      <c r="AD477" s="381">
        <f t="shared" ca="1" si="69"/>
        <v>0</v>
      </c>
      <c r="AE477" s="381">
        <f t="shared" si="70"/>
        <v>0</v>
      </c>
      <c r="AF477" s="382"/>
      <c r="AG477" s="382"/>
      <c r="AH477" s="383"/>
      <c r="AI477" s="383"/>
      <c r="AJ477" s="383"/>
      <c r="AL477" s="385"/>
      <c r="AM477" s="381"/>
      <c r="AN477" s="382"/>
      <c r="AO477" s="382"/>
      <c r="AP477" s="383"/>
      <c r="AQ477" s="383"/>
    </row>
    <row r="478" spans="1:43" s="384" customFormat="1" ht="27" customHeight="1">
      <c r="A478" s="167">
        <v>489</v>
      </c>
      <c r="B478" s="240" t="str">
        <f>VLOOKUP(A478,'JUNE (물량흐름)'!$A$13:$C$502,3,0)</f>
        <v>6X717</v>
      </c>
      <c r="C478" s="21" t="str">
        <f>VLOOKUP(A478,'JUNE (물량흐름)'!$A$13:$C$502,2,0)</f>
        <v>ALFANI</v>
      </c>
      <c r="D478" s="212">
        <v>1.8</v>
      </c>
      <c r="E478" s="6">
        <f>VLOOKUP(B478,'Sales profit (스타일 별 매출이익)'!$D$9:$P$491,13,0)</f>
        <v>40815</v>
      </c>
      <c r="F478" s="112">
        <f>IFERROR(VLOOKUP(B478,O.B.JUNE!$N$7:$Q$448,2,0),0)</f>
        <v>0</v>
      </c>
      <c r="G478" s="112">
        <f>IFERROR(VLOOKUP(B478,O.B.JUNE!$N$7:$Q$448,3,0),0)</f>
        <v>0</v>
      </c>
      <c r="H478" s="112">
        <f>IFERROR(VLOOKUP(B478,O.B.JUNE!$N$7:$Q$448,4,0),0)</f>
        <v>0</v>
      </c>
      <c r="I478" s="112">
        <f t="shared" si="71"/>
        <v>0</v>
      </c>
      <c r="J478" s="112">
        <f>IFERROR(VLOOKUP(B478,O.B.JUNE!$AA$7:$AG$448,7,0),0)</f>
        <v>0</v>
      </c>
      <c r="K478" s="112">
        <f>IFERROR(VLOOKUP(B478,O.B.JUNE!$AI$7:$AO$448,7,0),0)</f>
        <v>0</v>
      </c>
      <c r="L478" s="112">
        <f t="shared" si="72"/>
        <v>0</v>
      </c>
      <c r="M478" s="112">
        <f>ROUND(SUMIF('JUNE (물량흐름)'!$C$13:$C$502,'WIP(재공품)'!B478,'JUNE (물량흐름)'!$H$13:$H$502)+SUMIF('JUNE (물량흐름)'!$C$13:$C$502,'WIP(재공품)'!B478,'JUNE (물량흐름)'!$V$13:$V$502),0)</f>
        <v>7198</v>
      </c>
      <c r="N478" s="112">
        <f>SUMIF('Direct labour(직접노무비)'!$C$12:$C$503,'WIP(재공품)'!B478,'Direct labour(직접노무비)'!$O$12:$O$503)</f>
        <v>88878587</v>
      </c>
      <c r="O478" s="112">
        <f>SUMIF('Overhead exp(제조경비)'!$C$12:$C$503,'WIP(재공품)'!B478,'Overhead exp(제조경비)'!$O$12:$O$503)</f>
        <v>173645509</v>
      </c>
      <c r="P478" s="112">
        <f t="shared" si="65"/>
        <v>262524096</v>
      </c>
      <c r="Q478" s="112">
        <v>0</v>
      </c>
      <c r="R478" s="112">
        <v>0</v>
      </c>
      <c r="S478" s="112">
        <f>SUMIF('JUNE (물량흐름)'!$C$13:$C$493,'WIP(재공품)'!B478,'JUNE (물량흐름)'!$T$13:$T$493)+SUMIF('JUNE (물량흐름)'!$C$13:$C$493,'WIP(재공품)'!B478,'JUNE (물량흐름)'!$U$13:$U$493)+SUMIF('JUNE (물량흐름)'!$C$13:$C$493,'WIP(재공품)'!B478,'JUNE (물량흐름)'!$V$13:$V$493)-SUMIF('JUNE (물량흐름)'!$C$13:$C$493,'WIP(재공품)'!B478,'JUNE (물량흐름)'!$Y$13:$Y$493)</f>
        <v>6817</v>
      </c>
      <c r="T478" s="112">
        <f>SUMIF('JUNE (물량흐름)'!$C$13:$C$502,'WIP(재공품)'!B478,'JUNE (물량흐름)'!$Y$13:$Y$502)</f>
        <v>0</v>
      </c>
      <c r="U478" s="167">
        <f>SUMIF('Direct labour(직접노무비)'!$C$12:$C$503,'WIP(재공품)'!B478,'Direct labour(직접노무비)'!$U$12:$U$503)+SUMIF('Overhead exp(제조경비)'!$C$12:$C$503,'WIP(재공품)'!B478,'Overhead exp(제조경비)'!$U$12:$U$503)</f>
        <v>0</v>
      </c>
      <c r="V478" s="112">
        <f>SUMIF('Direct labour(직접노무비)'!$C$12:$C$503,'WIP(재공품)'!B478,'Direct labour(직접노무비)'!$Q$12:$Q$503)</f>
        <v>84174122</v>
      </c>
      <c r="W478" s="112">
        <f>SUMIF('Overhead exp(제조경비)'!$C$12:$C$503,'WIP(재공품)'!B478,'Overhead exp(제조경비)'!$Q$12:$Q$503)</f>
        <v>164454214</v>
      </c>
      <c r="X478" s="112">
        <f t="shared" si="66"/>
        <v>248628336</v>
      </c>
      <c r="Y478" s="112">
        <f ca="1">ROUND(SUMIF('JUNE (물량흐름)'!$C$13:$C$502,'WIP(재공품)'!B478,'JUNE (물량흐름)'!$N$13:$N$488),0)</f>
        <v>55</v>
      </c>
      <c r="Z478" s="112">
        <f>ROUND(SUMIF('JUNE (물량흐름)'!$C$13:$C$502,'WIP(재공품)'!B478,'JUNE (물량흐름)'!$O$13:$O$502),0)</f>
        <v>160</v>
      </c>
      <c r="AA478" s="112">
        <f>ROUND(SUMIF('JUNE (물량흐름)'!$C$13:$C$502,'WIP(재공품)'!B478,'JUNE (물량흐름)'!$P$13:$P$502),0)</f>
        <v>166</v>
      </c>
      <c r="AB478" s="112">
        <f t="shared" ca="1" si="67"/>
        <v>381</v>
      </c>
      <c r="AC478" s="112">
        <f t="shared" si="68"/>
        <v>13895760</v>
      </c>
      <c r="AD478" s="381">
        <f t="shared" ca="1" si="69"/>
        <v>0</v>
      </c>
      <c r="AE478" s="381">
        <f t="shared" si="70"/>
        <v>0</v>
      </c>
      <c r="AF478" s="382"/>
      <c r="AG478" s="382"/>
      <c r="AH478" s="383"/>
      <c r="AI478" s="383"/>
      <c r="AJ478" s="383"/>
      <c r="AL478" s="385"/>
      <c r="AM478" s="381"/>
      <c r="AN478" s="382"/>
      <c r="AO478" s="382"/>
      <c r="AP478" s="383"/>
      <c r="AQ478" s="383"/>
    </row>
    <row r="479" spans="1:43" s="384" customFormat="1" ht="27" customHeight="1">
      <c r="A479" s="167">
        <v>490</v>
      </c>
      <c r="B479" s="240" t="str">
        <f>VLOOKUP(A479,'JUNE (물량흐름)'!$A$13:$C$502,3,0)</f>
        <v>7X721</v>
      </c>
      <c r="C479" s="21" t="str">
        <f>VLOOKUP(A479,'JUNE (물량흐름)'!$A$13:$C$502,2,0)</f>
        <v>ALFANI</v>
      </c>
      <c r="D479" s="212">
        <v>2.2000000000000002</v>
      </c>
      <c r="E479" s="6">
        <f>VLOOKUP(B479,'Sales profit (스타일 별 매출이익)'!$D$9:$P$491,13,0)</f>
        <v>49885.000000000007</v>
      </c>
      <c r="F479" s="112">
        <f>IFERROR(VLOOKUP(B479,O.B.JUNE!$N$7:$Q$448,2,0),0)</f>
        <v>0</v>
      </c>
      <c r="G479" s="112">
        <f>IFERROR(VLOOKUP(B479,O.B.JUNE!$N$7:$Q$448,3,0),0)</f>
        <v>0</v>
      </c>
      <c r="H479" s="112">
        <f>IFERROR(VLOOKUP(B479,O.B.JUNE!$N$7:$Q$448,4,0),0)</f>
        <v>0</v>
      </c>
      <c r="I479" s="112">
        <f t="shared" si="71"/>
        <v>0</v>
      </c>
      <c r="J479" s="112">
        <f>IFERROR(VLOOKUP(B479,O.B.JUNE!$AA$7:$AG$448,7,0),0)</f>
        <v>0</v>
      </c>
      <c r="K479" s="112">
        <f>IFERROR(VLOOKUP(B479,O.B.JUNE!$AI$7:$AO$448,7,0),0)</f>
        <v>0</v>
      </c>
      <c r="L479" s="112">
        <f t="shared" si="72"/>
        <v>0</v>
      </c>
      <c r="M479" s="112">
        <f>ROUND(SUMIF('JUNE (물량흐름)'!$C$13:$C$502,'WIP(재공품)'!B479,'JUNE (물량흐름)'!$H$13:$H$502)+SUMIF('JUNE (물량흐름)'!$C$13:$C$502,'WIP(재공품)'!B479,'JUNE (물량흐름)'!$V$13:$V$502),0)</f>
        <v>1576</v>
      </c>
      <c r="N479" s="112">
        <f>SUMIF('Direct labour(직접노무비)'!$C$12:$C$503,'WIP(재공품)'!B479,'Direct labour(직접노무비)'!$O$12:$O$503)</f>
        <v>23558737</v>
      </c>
      <c r="O479" s="112">
        <f>SUMIF('Overhead exp(제조경비)'!$C$12:$C$503,'WIP(재공품)'!B479,'Overhead exp(제조경비)'!$O$12:$O$503)</f>
        <v>46027610</v>
      </c>
      <c r="P479" s="112">
        <f t="shared" si="65"/>
        <v>69586347</v>
      </c>
      <c r="Q479" s="112">
        <v>0</v>
      </c>
      <c r="R479" s="112">
        <v>0</v>
      </c>
      <c r="S479" s="112">
        <f>SUMIF('JUNE (물량흐름)'!$C$13:$C$493,'WIP(재공품)'!B479,'JUNE (물량흐름)'!$T$13:$T$493)+SUMIF('JUNE (물량흐름)'!$C$13:$C$493,'WIP(재공품)'!B479,'JUNE (물량흐름)'!$U$13:$U$493)+SUMIF('JUNE (물량흐름)'!$C$13:$C$493,'WIP(재공품)'!B479,'JUNE (물량흐름)'!$V$13:$V$493)-SUMIF('JUNE (물량흐름)'!$C$13:$C$493,'WIP(재공품)'!B479,'JUNE (물량흐름)'!$Y$13:$Y$493)</f>
        <v>1331</v>
      </c>
      <c r="T479" s="112">
        <f>SUMIF('JUNE (물량흐름)'!$C$13:$C$502,'WIP(재공품)'!B479,'JUNE (물량흐름)'!$Y$13:$Y$502)</f>
        <v>0</v>
      </c>
      <c r="U479" s="167">
        <f>SUMIF('Direct labour(직접노무비)'!$C$12:$C$503,'WIP(재공품)'!B479,'Direct labour(직접노무비)'!$U$12:$U$503)+SUMIF('Overhead exp(제조경비)'!$C$12:$C$503,'WIP(재공품)'!B479,'Overhead exp(제조경비)'!$U$12:$U$503)</f>
        <v>0</v>
      </c>
      <c r="V479" s="112">
        <f>SUMIF('Direct labour(직접노무비)'!$C$12:$C$503,'WIP(재공품)'!B479,'Direct labour(직접노무비)'!$Q$12:$Q$503)</f>
        <v>19896370</v>
      </c>
      <c r="W479" s="112">
        <f>SUMIF('Overhead exp(제조경비)'!$C$12:$C$503,'WIP(재공품)'!B479,'Overhead exp(제조경비)'!$Q$12:$Q$503)</f>
        <v>38872303</v>
      </c>
      <c r="X479" s="112">
        <f t="shared" si="66"/>
        <v>58768673</v>
      </c>
      <c r="Y479" s="112">
        <f ca="1">ROUND(SUMIF('JUNE (물량흐름)'!$C$13:$C$502,'WIP(재공품)'!B479,'JUNE (물량흐름)'!$N$13:$N$488),0)</f>
        <v>0</v>
      </c>
      <c r="Z479" s="112">
        <f>ROUND(SUMIF('JUNE (물량흐름)'!$C$13:$C$502,'WIP(재공품)'!B479,'JUNE (물량흐름)'!$O$13:$O$502),0)</f>
        <v>0</v>
      </c>
      <c r="AA479" s="112">
        <f>ROUND(SUMIF('JUNE (물량흐름)'!$C$13:$C$502,'WIP(재공품)'!B479,'JUNE (물량흐름)'!$P$13:$P$502),0)</f>
        <v>245</v>
      </c>
      <c r="AB479" s="112">
        <f t="shared" ca="1" si="67"/>
        <v>245</v>
      </c>
      <c r="AC479" s="112">
        <f t="shared" si="68"/>
        <v>10817674</v>
      </c>
      <c r="AD479" s="381">
        <f t="shared" ca="1" si="69"/>
        <v>0</v>
      </c>
      <c r="AE479" s="381">
        <f t="shared" si="70"/>
        <v>0</v>
      </c>
      <c r="AF479" s="382"/>
      <c r="AG479" s="382"/>
      <c r="AH479" s="383"/>
      <c r="AI479" s="383"/>
      <c r="AJ479" s="383"/>
      <c r="AL479" s="385"/>
      <c r="AM479" s="381"/>
      <c r="AN479" s="382"/>
      <c r="AO479" s="382"/>
      <c r="AP479" s="383"/>
      <c r="AQ479" s="383"/>
    </row>
    <row r="480" spans="1:43" s="384" customFormat="1" ht="27" customHeight="1">
      <c r="A480" s="167">
        <v>491</v>
      </c>
      <c r="B480" s="240">
        <f>VLOOKUP(A480,'JUNE (물량흐름)'!$A$13:$C$502,3,0)</f>
        <v>100035724</v>
      </c>
      <c r="C480" s="21" t="str">
        <f>VLOOKUP(A480,'JUNE (물량흐름)'!$A$13:$C$502,2,0)</f>
        <v>BAR III</v>
      </c>
      <c r="D480" s="212">
        <v>3.2</v>
      </c>
      <c r="E480" s="6">
        <f>VLOOKUP(B480,'Sales profit (스타일 별 매출이익)'!$D$9:$P$491,13,0)</f>
        <v>72560</v>
      </c>
      <c r="F480" s="112">
        <f>IFERROR(VLOOKUP(B480,O.B.JUNE!$N$7:$Q$448,2,0),0)</f>
        <v>0</v>
      </c>
      <c r="G480" s="112">
        <f>IFERROR(VLOOKUP(B480,O.B.JUNE!$N$7:$Q$448,3,0),0)</f>
        <v>0</v>
      </c>
      <c r="H480" s="112">
        <f>IFERROR(VLOOKUP(B480,O.B.JUNE!$N$7:$Q$448,4,0),0)</f>
        <v>0</v>
      </c>
      <c r="I480" s="112">
        <f t="shared" si="71"/>
        <v>0</v>
      </c>
      <c r="J480" s="112">
        <f>IFERROR(VLOOKUP(B480,O.B.JUNE!$AA$7:$AG$448,7,0),0)</f>
        <v>0</v>
      </c>
      <c r="K480" s="112">
        <f>IFERROR(VLOOKUP(B480,O.B.JUNE!$AI$7:$AO$448,7,0),0)</f>
        <v>0</v>
      </c>
      <c r="L480" s="112">
        <f t="shared" si="72"/>
        <v>0</v>
      </c>
      <c r="M480" s="112">
        <f>ROUND(SUMIF('JUNE (물량흐름)'!$C$13:$C$502,'WIP(재공품)'!B480,'JUNE (물량흐름)'!$H$13:$H$502)+SUMIF('JUNE (물량흐름)'!$C$13:$C$502,'WIP(재공품)'!B480,'JUNE (물량흐름)'!$V$13:$V$502),0)</f>
        <v>1992</v>
      </c>
      <c r="N480" s="112">
        <f>SUMIF('Direct labour(직접노무비)'!$C$12:$C$503,'WIP(재공품)'!B480,'Direct labour(직접노무비)'!$O$12:$O$503)</f>
        <v>28387738</v>
      </c>
      <c r="O480" s="112">
        <f>SUMIF('Overhead exp(제조경비)'!$C$12:$C$503,'WIP(재공품)'!B480,'Overhead exp(제조경비)'!$O$12:$O$503)</f>
        <v>55462215</v>
      </c>
      <c r="P480" s="112">
        <f t="shared" si="65"/>
        <v>83849953</v>
      </c>
      <c r="Q480" s="112">
        <v>0</v>
      </c>
      <c r="R480" s="112">
        <v>0</v>
      </c>
      <c r="S480" s="112">
        <f>SUMIF('JUNE (물량흐름)'!$C$13:$C$493,'WIP(재공품)'!B480,'JUNE (물량흐름)'!$T$13:$T$493)+SUMIF('JUNE (물량흐름)'!$C$13:$C$493,'WIP(재공품)'!B480,'JUNE (물량흐름)'!$U$13:$U$493)+SUMIF('JUNE (물량흐름)'!$C$13:$C$493,'WIP(재공품)'!B480,'JUNE (물량흐름)'!$V$13:$V$493)-SUMIF('JUNE (물량흐름)'!$C$13:$C$493,'WIP(재공품)'!B480,'JUNE (물량흐름)'!$Y$13:$Y$493)</f>
        <v>0</v>
      </c>
      <c r="T480" s="112">
        <f>SUMIF('JUNE (물량흐름)'!$C$13:$C$502,'WIP(재공품)'!B480,'JUNE (물량흐름)'!$Y$13:$Y$502)</f>
        <v>0</v>
      </c>
      <c r="U480" s="167">
        <f>SUMIF('Direct labour(직접노무비)'!$C$12:$C$503,'WIP(재공품)'!B480,'Direct labour(직접노무비)'!$U$12:$U$503)+SUMIF('Overhead exp(제조경비)'!$C$12:$C$503,'WIP(재공품)'!B480,'Overhead exp(제조경비)'!$U$12:$U$503)</f>
        <v>0</v>
      </c>
      <c r="V480" s="112">
        <f>SUMIF('Direct labour(직접노무비)'!$C$12:$C$503,'WIP(재공품)'!B480,'Direct labour(직접노무비)'!$Q$12:$Q$503)</f>
        <v>0</v>
      </c>
      <c r="W480" s="112">
        <f>SUMIF('Overhead exp(제조경비)'!$C$12:$C$503,'WIP(재공품)'!B480,'Overhead exp(제조경비)'!$Q$12:$Q$503)</f>
        <v>0</v>
      </c>
      <c r="X480" s="112">
        <f t="shared" si="66"/>
        <v>0</v>
      </c>
      <c r="Y480" s="112">
        <f ca="1">ROUND(SUMIF('JUNE (물량흐름)'!$C$13:$C$502,'WIP(재공품)'!B480,'JUNE (물량흐름)'!$N$13:$N$488),0)</f>
        <v>504</v>
      </c>
      <c r="Z480" s="112">
        <f>ROUND(SUMIF('JUNE (물량흐름)'!$C$13:$C$502,'WIP(재공품)'!B480,'JUNE (물량흐름)'!$O$13:$O$502),0)</f>
        <v>88</v>
      </c>
      <c r="AA480" s="112">
        <f>ROUND(SUMIF('JUNE (물량흐름)'!$C$13:$C$502,'WIP(재공품)'!B480,'JUNE (물량흐름)'!$P$13:$P$502),0)</f>
        <v>1400</v>
      </c>
      <c r="AB480" s="112">
        <f t="shared" ca="1" si="67"/>
        <v>1992</v>
      </c>
      <c r="AC480" s="112">
        <f t="shared" si="68"/>
        <v>83849953</v>
      </c>
      <c r="AD480" s="381">
        <f t="shared" ca="1" si="69"/>
        <v>0</v>
      </c>
      <c r="AE480" s="381">
        <f t="shared" si="70"/>
        <v>0</v>
      </c>
      <c r="AF480" s="382"/>
      <c r="AG480" s="382"/>
      <c r="AH480" s="383"/>
      <c r="AI480" s="383"/>
      <c r="AJ480" s="383"/>
      <c r="AL480" s="385"/>
      <c r="AM480" s="381"/>
      <c r="AN480" s="382"/>
      <c r="AO480" s="382"/>
      <c r="AP480" s="383"/>
      <c r="AQ480" s="383"/>
    </row>
    <row r="481" spans="1:43" s="384" customFormat="1" ht="27" customHeight="1">
      <c r="A481" s="167">
        <v>492</v>
      </c>
      <c r="B481" s="240" t="str">
        <f>VLOOKUP(A481,'JUNE (물량흐름)'!$A$13:$C$502,3,0)</f>
        <v>F8SOQ-T4368</v>
      </c>
      <c r="C481" s="21" t="str">
        <f>VLOOKUP(A481,'JUNE (물량흐름)'!$A$13:$C$502,2,0)</f>
        <v>EILEEN FISHER</v>
      </c>
      <c r="D481" s="212">
        <v>2.58</v>
      </c>
      <c r="E481" s="6">
        <f>VLOOKUP(B481,'Sales profit (스타일 별 매출이익)'!$D$9:$P$491,13,0)</f>
        <v>58501.5</v>
      </c>
      <c r="F481" s="112">
        <f>IFERROR(VLOOKUP(B481,O.B.JUNE!$N$7:$Q$448,2,0),0)</f>
        <v>0</v>
      </c>
      <c r="G481" s="112">
        <f>IFERROR(VLOOKUP(B481,O.B.JUNE!$N$7:$Q$448,3,0),0)</f>
        <v>0</v>
      </c>
      <c r="H481" s="112">
        <f>IFERROR(VLOOKUP(B481,O.B.JUNE!$N$7:$Q$448,4,0),0)</f>
        <v>0</v>
      </c>
      <c r="I481" s="112">
        <f t="shared" si="71"/>
        <v>0</v>
      </c>
      <c r="J481" s="112">
        <f>IFERROR(VLOOKUP(B481,O.B.JUNE!$AA$7:$AG$448,7,0),0)</f>
        <v>0</v>
      </c>
      <c r="K481" s="112">
        <f>IFERROR(VLOOKUP(B481,O.B.JUNE!$AI$7:$AO$448,7,0),0)</f>
        <v>0</v>
      </c>
      <c r="L481" s="112">
        <f t="shared" si="72"/>
        <v>0</v>
      </c>
      <c r="M481" s="112">
        <f>ROUND(SUMIF('JUNE (물량흐름)'!$C$13:$C$502,'WIP(재공품)'!B481,'JUNE (물량흐름)'!$H$13:$H$502)+SUMIF('JUNE (물량흐름)'!$C$13:$C$502,'WIP(재공품)'!B481,'JUNE (물량흐름)'!$V$13:$V$502),0)</f>
        <v>6598</v>
      </c>
      <c r="N481" s="112">
        <f>SUMIF('Direct labour(직접노무비)'!$C$12:$C$503,'WIP(재공품)'!B481,'Direct labour(직접노무비)'!$O$12:$O$503)</f>
        <v>118038573</v>
      </c>
      <c r="O481" s="112">
        <f>SUMIF('Overhead exp(제조경비)'!$C$12:$C$503,'WIP(재공품)'!B481,'Overhead exp(제조경비)'!$O$12:$O$503)</f>
        <v>230616494</v>
      </c>
      <c r="P481" s="112">
        <f t="shared" si="65"/>
        <v>348655067</v>
      </c>
      <c r="Q481" s="112">
        <v>0</v>
      </c>
      <c r="R481" s="112">
        <v>0</v>
      </c>
      <c r="S481" s="112">
        <f>SUMIF('JUNE (물량흐름)'!$C$13:$C$493,'WIP(재공품)'!B481,'JUNE (물량흐름)'!$T$13:$T$493)+SUMIF('JUNE (물량흐름)'!$C$13:$C$493,'WIP(재공품)'!B481,'JUNE (물량흐름)'!$U$13:$U$493)+SUMIF('JUNE (물량흐름)'!$C$13:$C$493,'WIP(재공품)'!B481,'JUNE (물량흐름)'!$V$13:$V$493)-SUMIF('JUNE (물량흐름)'!$C$13:$C$493,'WIP(재공품)'!B481,'JUNE (물량흐름)'!$Y$13:$Y$493)</f>
        <v>6317</v>
      </c>
      <c r="T481" s="112">
        <f>SUMIF('JUNE (물량흐름)'!$C$13:$C$502,'WIP(재공품)'!B481,'JUNE (물량흐름)'!$Y$13:$Y$502)</f>
        <v>1</v>
      </c>
      <c r="U481" s="167">
        <f>SUMIF('Direct labour(직접노무비)'!$C$12:$C$503,'WIP(재공품)'!B481,'Direct labour(직접노무비)'!$U$12:$U$503)+SUMIF('Overhead exp(제조경비)'!$C$12:$C$503,'WIP(재공품)'!B481,'Overhead exp(제조경비)'!$U$12:$U$503)</f>
        <v>52842</v>
      </c>
      <c r="V481" s="112">
        <f>SUMIF('Direct labour(직접노무비)'!$C$12:$C$503,'WIP(재공품)'!B481,'Direct labour(직접노무비)'!$Q$12:$Q$503)</f>
        <v>113011468</v>
      </c>
      <c r="W481" s="112">
        <f>SUMIF('Overhead exp(제조경비)'!$C$12:$C$503,'WIP(재공품)'!B481,'Overhead exp(제조경비)'!$Q$12:$Q$503)</f>
        <v>220794846</v>
      </c>
      <c r="X481" s="112">
        <f t="shared" si="66"/>
        <v>333806314</v>
      </c>
      <c r="Y481" s="112">
        <f ca="1">ROUND(SUMIF('JUNE (물량흐름)'!$C$13:$C$502,'WIP(재공품)'!B481,'JUNE (물량흐름)'!$N$13:$N$488),0)</f>
        <v>0</v>
      </c>
      <c r="Z481" s="112">
        <f>ROUND(SUMIF('JUNE (물량흐름)'!$C$13:$C$502,'WIP(재공품)'!B481,'JUNE (물량흐름)'!$O$13:$O$502),0)</f>
        <v>61</v>
      </c>
      <c r="AA481" s="112">
        <f>ROUND(SUMIF('JUNE (물량흐름)'!$C$13:$C$502,'WIP(재공품)'!B481,'JUNE (물량흐름)'!$P$13:$P$502),0)</f>
        <v>219</v>
      </c>
      <c r="AB481" s="112">
        <f t="shared" ca="1" si="67"/>
        <v>280</v>
      </c>
      <c r="AC481" s="112">
        <f t="shared" si="68"/>
        <v>14795911</v>
      </c>
      <c r="AD481" s="381">
        <f t="shared" ca="1" si="69"/>
        <v>0</v>
      </c>
      <c r="AE481" s="381">
        <f t="shared" si="70"/>
        <v>0</v>
      </c>
      <c r="AF481" s="382"/>
      <c r="AG481" s="382"/>
      <c r="AH481" s="383"/>
      <c r="AI481" s="383"/>
      <c r="AJ481" s="383"/>
      <c r="AL481" s="385"/>
      <c r="AM481" s="381"/>
      <c r="AN481" s="382"/>
      <c r="AO481" s="382"/>
      <c r="AP481" s="383"/>
      <c r="AQ481" s="383"/>
    </row>
    <row r="482" spans="1:43" s="384" customFormat="1" ht="27" customHeight="1">
      <c r="A482" s="167">
        <v>493</v>
      </c>
      <c r="B482" s="240" t="str">
        <f>VLOOKUP(A482,'JUNE (물량흐름)'!$A$13:$C$502,3,0)</f>
        <v>EESOQ-T4607</v>
      </c>
      <c r="C482" s="21" t="str">
        <f>VLOOKUP(A482,'JUNE (물량흐름)'!$A$13:$C$502,2,0)</f>
        <v>EILEEN FISHER</v>
      </c>
      <c r="D482" s="212">
        <v>6.44</v>
      </c>
      <c r="E482" s="6">
        <f>VLOOKUP(B482,'Sales profit (스타일 별 매출이익)'!$D$9:$P$491,13,0)</f>
        <v>146027</v>
      </c>
      <c r="F482" s="112">
        <f>IFERROR(VLOOKUP(B482,O.B.JUNE!$N$7:$Q$448,2,0),0)</f>
        <v>0</v>
      </c>
      <c r="G482" s="112">
        <f>IFERROR(VLOOKUP(B482,O.B.JUNE!$N$7:$Q$448,3,0),0)</f>
        <v>0</v>
      </c>
      <c r="H482" s="112">
        <f>IFERROR(VLOOKUP(B482,O.B.JUNE!$N$7:$Q$448,4,0),0)</f>
        <v>0</v>
      </c>
      <c r="I482" s="112">
        <f t="shared" si="71"/>
        <v>0</v>
      </c>
      <c r="J482" s="112">
        <f>IFERROR(VLOOKUP(B482,O.B.JUNE!$AA$7:$AG$448,7,0),0)</f>
        <v>0</v>
      </c>
      <c r="K482" s="112">
        <f>IFERROR(VLOOKUP(B482,O.B.JUNE!$AI$7:$AO$448,7,0),0)</f>
        <v>0</v>
      </c>
      <c r="L482" s="112">
        <f t="shared" si="72"/>
        <v>0</v>
      </c>
      <c r="M482" s="112">
        <f>ROUND(SUMIF('JUNE (물량흐름)'!$C$13:$C$502,'WIP(재공품)'!B482,'JUNE (물량흐름)'!$H$13:$H$502)+SUMIF('JUNE (물량흐름)'!$C$13:$C$502,'WIP(재공품)'!B482,'JUNE (물량흐름)'!$V$13:$V$502),0)</f>
        <v>1000</v>
      </c>
      <c r="N482" s="112">
        <f>SUMIF('Direct labour(직접노무비)'!$C$12:$C$503,'WIP(재공품)'!B482,'Direct labour(직접노무비)'!$O$12:$O$503)</f>
        <v>43039683</v>
      </c>
      <c r="O482" s="112">
        <f>SUMIF('Overhead exp(제조경비)'!$C$12:$C$503,'WIP(재공품)'!B482,'Overhead exp(제조경비)'!$O$12:$O$503)</f>
        <v>84088281</v>
      </c>
      <c r="P482" s="112">
        <f t="shared" si="65"/>
        <v>127127964</v>
      </c>
      <c r="Q482" s="112">
        <v>0</v>
      </c>
      <c r="R482" s="112">
        <v>0</v>
      </c>
      <c r="S482" s="112">
        <f>SUMIF('JUNE (물량흐름)'!$C$13:$C$493,'WIP(재공품)'!B482,'JUNE (물량흐름)'!$T$13:$T$493)+SUMIF('JUNE (물량흐름)'!$C$13:$C$493,'WIP(재공품)'!B482,'JUNE (물량흐름)'!$U$13:$U$493)+SUMIF('JUNE (물량흐름)'!$C$13:$C$493,'WIP(재공품)'!B482,'JUNE (물량흐름)'!$V$13:$V$493)-SUMIF('JUNE (물량흐름)'!$C$13:$C$493,'WIP(재공품)'!B482,'JUNE (물량흐름)'!$Y$13:$Y$493)</f>
        <v>804</v>
      </c>
      <c r="T482" s="112">
        <f>SUMIF('JUNE (물량흐름)'!$C$13:$C$502,'WIP(재공품)'!B482,'JUNE (물량흐름)'!$Y$13:$Y$502)</f>
        <v>21</v>
      </c>
      <c r="U482" s="167">
        <f>SUMIF('Direct labour(직접노무비)'!$C$12:$C$503,'WIP(재공품)'!B482,'Direct labour(직접노무비)'!$U$12:$U$503)+SUMIF('Overhead exp(제조경비)'!$C$12:$C$503,'WIP(재공품)'!B482,'Overhead exp(제조경비)'!$U$12:$U$503)</f>
        <v>2669687</v>
      </c>
      <c r="V482" s="112">
        <f>SUMIF('Direct labour(직접노무비)'!$C$12:$C$503,'WIP(재공품)'!B482,'Direct labour(직접노무비)'!$Q$12:$Q$503)</f>
        <v>34603905</v>
      </c>
      <c r="W482" s="112">
        <f>SUMIF('Overhead exp(제조경비)'!$C$12:$C$503,'WIP(재공품)'!B482,'Overhead exp(제조경비)'!$Q$12:$Q$503)</f>
        <v>67606978</v>
      </c>
      <c r="X482" s="112">
        <f t="shared" si="66"/>
        <v>102210883</v>
      </c>
      <c r="Y482" s="112">
        <f ca="1">ROUND(SUMIF('JUNE (물량흐름)'!$C$13:$C$502,'WIP(재공품)'!B482,'JUNE (물량흐름)'!$N$13:$N$488),0)</f>
        <v>0</v>
      </c>
      <c r="Z482" s="112">
        <f>ROUND(SUMIF('JUNE (물량흐름)'!$C$13:$C$502,'WIP(재공품)'!B482,'JUNE (물량흐름)'!$O$13:$O$502),0)</f>
        <v>39</v>
      </c>
      <c r="AA482" s="112">
        <f>ROUND(SUMIF('JUNE (물량흐름)'!$C$13:$C$502,'WIP(재공품)'!B482,'JUNE (물량흐름)'!$P$13:$P$502),0)</f>
        <v>136</v>
      </c>
      <c r="AB482" s="112">
        <f t="shared" ca="1" si="67"/>
        <v>175</v>
      </c>
      <c r="AC482" s="112">
        <f t="shared" si="68"/>
        <v>22247394</v>
      </c>
      <c r="AD482" s="381">
        <f t="shared" ca="1" si="69"/>
        <v>0</v>
      </c>
      <c r="AE482" s="381">
        <f t="shared" si="70"/>
        <v>0</v>
      </c>
      <c r="AF482" s="382"/>
      <c r="AG482" s="382"/>
      <c r="AH482" s="383"/>
      <c r="AI482" s="383"/>
      <c r="AJ482" s="383"/>
      <c r="AL482" s="385"/>
      <c r="AM482" s="381"/>
      <c r="AN482" s="382"/>
      <c r="AO482" s="382"/>
      <c r="AP482" s="383"/>
      <c r="AQ482" s="383"/>
    </row>
    <row r="483" spans="1:43" s="384" customFormat="1" ht="27" customHeight="1">
      <c r="A483" s="167">
        <v>494</v>
      </c>
      <c r="B483" s="240" t="str">
        <f>VLOOKUP(A483,'JUNE (물량흐름)'!$A$13:$C$502,3,0)</f>
        <v>KDR132731</v>
      </c>
      <c r="C483" s="21" t="str">
        <f>VLOOKUP(A483,'JUNE (물량흐름)'!$A$13:$C$502,2,0)</f>
        <v>J JILL</v>
      </c>
      <c r="D483" s="212">
        <v>3.5</v>
      </c>
      <c r="E483" s="6">
        <f>VLOOKUP(B483,'Sales profit (스타일 별 매출이익)'!$D$9:$P$491,13,0)</f>
        <v>79362.5</v>
      </c>
      <c r="F483" s="112">
        <f>IFERROR(VLOOKUP(B483,O.B.JUNE!$N$7:$Q$448,2,0),0)</f>
        <v>0</v>
      </c>
      <c r="G483" s="112">
        <f>IFERROR(VLOOKUP(B483,O.B.JUNE!$N$7:$Q$448,3,0),0)</f>
        <v>0</v>
      </c>
      <c r="H483" s="112">
        <f>IFERROR(VLOOKUP(B483,O.B.JUNE!$N$7:$Q$448,4,0),0)</f>
        <v>0</v>
      </c>
      <c r="I483" s="112">
        <f t="shared" si="71"/>
        <v>0</v>
      </c>
      <c r="J483" s="112">
        <f>IFERROR(VLOOKUP(B483,O.B.JUNE!$AA$7:$AG$448,7,0),0)</f>
        <v>0</v>
      </c>
      <c r="K483" s="112">
        <f>IFERROR(VLOOKUP(B483,O.B.JUNE!$AI$7:$AO$448,7,0),0)</f>
        <v>0</v>
      </c>
      <c r="L483" s="112">
        <f t="shared" si="72"/>
        <v>0</v>
      </c>
      <c r="M483" s="112">
        <f>ROUND(SUMIF('JUNE (물량흐름)'!$C$13:$C$502,'WIP(재공품)'!B483,'JUNE (물량흐름)'!$H$13:$H$502)+SUMIF('JUNE (물량흐름)'!$C$13:$C$502,'WIP(재공품)'!B483,'JUNE (물량흐름)'!$V$13:$V$502),0)</f>
        <v>5962</v>
      </c>
      <c r="N483" s="112">
        <f>SUMIF('Direct labour(직접노무비)'!$C$12:$C$503,'WIP(재공품)'!B483,'Direct labour(직접노무비)'!$O$12:$O$503)</f>
        <v>107530481</v>
      </c>
      <c r="O483" s="112">
        <f>SUMIF('Overhead exp(제조경비)'!$C$12:$C$503,'WIP(재공품)'!B483,'Overhead exp(제조경비)'!$O$12:$O$503)</f>
        <v>210086432</v>
      </c>
      <c r="P483" s="112">
        <f t="shared" si="65"/>
        <v>317616913</v>
      </c>
      <c r="Q483" s="112">
        <v>0</v>
      </c>
      <c r="R483" s="112">
        <v>0</v>
      </c>
      <c r="S483" s="112">
        <f>SUMIF('JUNE (물량흐름)'!$C$13:$C$493,'WIP(재공품)'!B483,'JUNE (물량흐름)'!$T$13:$T$493)+SUMIF('JUNE (물량흐름)'!$C$13:$C$493,'WIP(재공품)'!B483,'JUNE (물량흐름)'!$U$13:$U$493)+SUMIF('JUNE (물량흐름)'!$C$13:$C$493,'WIP(재공품)'!B483,'JUNE (물량흐름)'!$V$13:$V$493)-SUMIF('JUNE (물량흐름)'!$C$13:$C$493,'WIP(재공품)'!B483,'JUNE (물량흐름)'!$Y$13:$Y$493)</f>
        <v>2600</v>
      </c>
      <c r="T483" s="112">
        <f>SUMIF('JUNE (물량흐름)'!$C$13:$C$502,'WIP(재공품)'!B483,'JUNE (물량흐름)'!$Y$13:$Y$502)</f>
        <v>0</v>
      </c>
      <c r="U483" s="167">
        <f>SUMIF('Direct labour(직접노무비)'!$C$12:$C$503,'WIP(재공품)'!B483,'Direct labour(직접노무비)'!$U$12:$U$503)+SUMIF('Overhead exp(제조경비)'!$C$12:$C$503,'WIP(재공품)'!B483,'Overhead exp(제조경비)'!$U$12:$U$503)</f>
        <v>0</v>
      </c>
      <c r="V483" s="112">
        <f>SUMIF('Direct labour(직접노무비)'!$C$12:$C$503,'WIP(재공품)'!B483,'Direct labour(직접노무비)'!$Q$12:$Q$503)</f>
        <v>46893534</v>
      </c>
      <c r="W483" s="112">
        <f>SUMIF('Overhead exp(제조경비)'!$C$12:$C$503,'WIP(재공품)'!B483,'Overhead exp(제조경비)'!$Q$12:$Q$503)</f>
        <v>91617699</v>
      </c>
      <c r="X483" s="112">
        <f t="shared" si="66"/>
        <v>138511233</v>
      </c>
      <c r="Y483" s="112">
        <f ca="1">ROUND(SUMIF('JUNE (물량흐름)'!$C$13:$C$502,'WIP(재공품)'!B483,'JUNE (물량흐름)'!$N$13:$N$488),0)</f>
        <v>1290</v>
      </c>
      <c r="Z483" s="112">
        <f>ROUND(SUMIF('JUNE (물량흐름)'!$C$13:$C$502,'WIP(재공품)'!B483,'JUNE (물량흐름)'!$O$13:$O$502),0)</f>
        <v>448</v>
      </c>
      <c r="AA483" s="112">
        <f>ROUND(SUMIF('JUNE (물량흐름)'!$C$13:$C$502,'WIP(재공품)'!B483,'JUNE (물량흐름)'!$P$13:$P$502),0)</f>
        <v>1624</v>
      </c>
      <c r="AB483" s="112">
        <f t="shared" ca="1" si="67"/>
        <v>3362</v>
      </c>
      <c r="AC483" s="112">
        <f t="shared" si="68"/>
        <v>179105680</v>
      </c>
      <c r="AD483" s="381">
        <f t="shared" ca="1" si="69"/>
        <v>0</v>
      </c>
      <c r="AE483" s="381">
        <f t="shared" si="70"/>
        <v>0</v>
      </c>
      <c r="AF483" s="382"/>
      <c r="AG483" s="382"/>
      <c r="AH483" s="383"/>
      <c r="AI483" s="383"/>
      <c r="AJ483" s="383"/>
      <c r="AL483" s="385"/>
      <c r="AM483" s="381"/>
      <c r="AN483" s="382"/>
      <c r="AO483" s="382"/>
      <c r="AP483" s="383"/>
      <c r="AQ483" s="383"/>
    </row>
    <row r="484" spans="1:43" s="384" customFormat="1" ht="27" customHeight="1">
      <c r="A484" s="167">
        <v>495</v>
      </c>
      <c r="B484" s="240" t="str">
        <f>VLOOKUP(A484,'JUNE (물량흐름)'!$A$13:$C$502,3,0)</f>
        <v>KJT138251</v>
      </c>
      <c r="C484" s="21" t="str">
        <f>VLOOKUP(A484,'JUNE (물량흐름)'!$A$13:$C$502,2,0)</f>
        <v>J JILL</v>
      </c>
      <c r="D484" s="212">
        <v>4.5999999999999996</v>
      </c>
      <c r="E484" s="6">
        <f>VLOOKUP(B484,'Sales profit (스타일 별 매출이익)'!$D$9:$P$491,13,0)</f>
        <v>104304.99999999999</v>
      </c>
      <c r="F484" s="112">
        <f>IFERROR(VLOOKUP(B484,O.B.JUNE!$N$7:$Q$448,2,0),0)</f>
        <v>0</v>
      </c>
      <c r="G484" s="112">
        <f>IFERROR(VLOOKUP(B484,O.B.JUNE!$N$7:$Q$448,3,0),0)</f>
        <v>0</v>
      </c>
      <c r="H484" s="112">
        <f>IFERROR(VLOOKUP(B484,O.B.JUNE!$N$7:$Q$448,4,0),0)</f>
        <v>0</v>
      </c>
      <c r="I484" s="112">
        <f t="shared" si="71"/>
        <v>0</v>
      </c>
      <c r="J484" s="112">
        <f>IFERROR(VLOOKUP(B484,O.B.JUNE!$AA$7:$AG$448,7,0),0)</f>
        <v>0</v>
      </c>
      <c r="K484" s="112">
        <f>IFERROR(VLOOKUP(B484,O.B.JUNE!$AI$7:$AO$448,7,0),0)</f>
        <v>0</v>
      </c>
      <c r="L484" s="112">
        <f t="shared" si="72"/>
        <v>0</v>
      </c>
      <c r="M484" s="112">
        <f>ROUND(SUMIF('JUNE (물량흐름)'!$C$13:$C$502,'WIP(재공품)'!B484,'JUNE (물량흐름)'!$H$13:$H$502)+SUMIF('JUNE (물량흐름)'!$C$13:$C$502,'WIP(재공품)'!B484,'JUNE (물량흐름)'!$V$13:$V$502),0)</f>
        <v>2676</v>
      </c>
      <c r="N484" s="112">
        <f>SUMIF('Direct labour(직접노무비)'!$C$12:$C$503,'WIP(재공품)'!B484,'Direct labour(직접노무비)'!$O$12:$O$503)</f>
        <v>42613867</v>
      </c>
      <c r="O484" s="112">
        <f>SUMIF('Overhead exp(제조경비)'!$C$12:$C$503,'WIP(재공품)'!B484,'Overhead exp(제조경비)'!$O$12:$O$503)</f>
        <v>83256348</v>
      </c>
      <c r="P484" s="112">
        <f t="shared" si="65"/>
        <v>125870215</v>
      </c>
      <c r="Q484" s="112">
        <v>0</v>
      </c>
      <c r="R484" s="112">
        <v>0</v>
      </c>
      <c r="S484" s="112">
        <f>SUMIF('JUNE (물량흐름)'!$C$13:$C$493,'WIP(재공품)'!B484,'JUNE (물량흐름)'!$T$13:$T$493)+SUMIF('JUNE (물량흐름)'!$C$13:$C$493,'WIP(재공품)'!B484,'JUNE (물량흐름)'!$U$13:$U$493)+SUMIF('JUNE (물량흐름)'!$C$13:$C$493,'WIP(재공품)'!B484,'JUNE (물량흐름)'!$V$13:$V$493)-SUMIF('JUNE (물량흐름)'!$C$13:$C$493,'WIP(재공품)'!B484,'JUNE (물량흐름)'!$Y$13:$Y$493)</f>
        <v>0</v>
      </c>
      <c r="T484" s="112">
        <f>SUMIF('JUNE (물량흐름)'!$C$13:$C$502,'WIP(재공품)'!B484,'JUNE (물량흐름)'!$Y$13:$Y$502)</f>
        <v>0</v>
      </c>
      <c r="U484" s="167">
        <f>SUMIF('Direct labour(직접노무비)'!$C$12:$C$503,'WIP(재공품)'!B484,'Direct labour(직접노무비)'!$U$12:$U$503)+SUMIF('Overhead exp(제조경비)'!$C$12:$C$503,'WIP(재공품)'!B484,'Overhead exp(제조경비)'!$U$12:$U$503)</f>
        <v>0</v>
      </c>
      <c r="V484" s="112">
        <f>SUMIF('Direct labour(직접노무비)'!$C$12:$C$503,'WIP(재공품)'!B484,'Direct labour(직접노무비)'!$Q$12:$Q$503)</f>
        <v>0</v>
      </c>
      <c r="W484" s="112">
        <f>SUMIF('Overhead exp(제조경비)'!$C$12:$C$503,'WIP(재공품)'!B484,'Overhead exp(제조경비)'!$Q$12:$Q$503)</f>
        <v>0</v>
      </c>
      <c r="X484" s="112">
        <f t="shared" si="66"/>
        <v>0</v>
      </c>
      <c r="Y484" s="112">
        <f ca="1">ROUND(SUMIF('JUNE (물량흐름)'!$C$13:$C$502,'WIP(재공품)'!B484,'JUNE (물량흐름)'!$N$13:$N$488),0)</f>
        <v>332</v>
      </c>
      <c r="Z484" s="112">
        <f>ROUND(SUMIF('JUNE (물량흐름)'!$C$13:$C$502,'WIP(재공품)'!B484,'JUNE (물량흐름)'!$O$13:$O$502),0)</f>
        <v>2068</v>
      </c>
      <c r="AA484" s="112">
        <f>ROUND(SUMIF('JUNE (물량흐름)'!$C$13:$C$502,'WIP(재공품)'!B484,'JUNE (물량흐름)'!$P$13:$P$502),0)</f>
        <v>276</v>
      </c>
      <c r="AB484" s="112">
        <f t="shared" ca="1" si="67"/>
        <v>2676</v>
      </c>
      <c r="AC484" s="112">
        <f t="shared" si="68"/>
        <v>125870215</v>
      </c>
      <c r="AD484" s="381">
        <f t="shared" ca="1" si="69"/>
        <v>0</v>
      </c>
      <c r="AE484" s="381">
        <f t="shared" si="70"/>
        <v>0</v>
      </c>
      <c r="AF484" s="382"/>
      <c r="AG484" s="382"/>
      <c r="AH484" s="383"/>
      <c r="AI484" s="383"/>
      <c r="AJ484" s="383"/>
      <c r="AL484" s="385"/>
      <c r="AM484" s="381"/>
      <c r="AN484" s="382"/>
      <c r="AO484" s="382"/>
      <c r="AP484" s="383"/>
      <c r="AQ484" s="383"/>
    </row>
    <row r="485" spans="1:43" s="384" customFormat="1" ht="27" customHeight="1">
      <c r="A485" s="167">
        <v>496</v>
      </c>
      <c r="B485" s="240" t="str">
        <f>VLOOKUP(A485,'JUNE (물량흐름)'!$A$13:$C$502,3,0)</f>
        <v>KPT130311</v>
      </c>
      <c r="C485" s="21" t="str">
        <f>VLOOKUP(A485,'JUNE (물량흐름)'!$A$13:$C$502,2,0)</f>
        <v>J JILL</v>
      </c>
      <c r="D485" s="212">
        <v>1.4</v>
      </c>
      <c r="E485" s="6">
        <f>VLOOKUP(B485,'Sales profit (스타일 별 매출이익)'!$D$9:$P$491,13,0)</f>
        <v>31744.999999999996</v>
      </c>
      <c r="F485" s="112">
        <f>IFERROR(VLOOKUP(B485,O.B.JUNE!$N$7:$Q$448,2,0),0)</f>
        <v>0</v>
      </c>
      <c r="G485" s="112">
        <f>IFERROR(VLOOKUP(B485,O.B.JUNE!$N$7:$Q$448,3,0),0)</f>
        <v>0</v>
      </c>
      <c r="H485" s="112">
        <f>IFERROR(VLOOKUP(B485,O.B.JUNE!$N$7:$Q$448,4,0),0)</f>
        <v>0</v>
      </c>
      <c r="I485" s="112">
        <f t="shared" si="71"/>
        <v>0</v>
      </c>
      <c r="J485" s="112">
        <f>IFERROR(VLOOKUP(B485,O.B.JUNE!$AA$7:$AG$448,7,0),0)</f>
        <v>0</v>
      </c>
      <c r="K485" s="112">
        <f>IFERROR(VLOOKUP(B485,O.B.JUNE!$AI$7:$AO$448,7,0),0)</f>
        <v>0</v>
      </c>
      <c r="L485" s="112">
        <f t="shared" si="72"/>
        <v>0</v>
      </c>
      <c r="M485" s="112">
        <f>ROUND(SUMIF('JUNE (물량흐름)'!$C$13:$C$502,'WIP(재공품)'!B485,'JUNE (물량흐름)'!$H$13:$H$502)+SUMIF('JUNE (물량흐름)'!$C$13:$C$502,'WIP(재공품)'!B485,'JUNE (물량흐름)'!$V$13:$V$502),0)</f>
        <v>1489</v>
      </c>
      <c r="N485" s="112">
        <f>SUMIF('Direct labour(직접노무비)'!$C$12:$C$503,'WIP(재공품)'!B485,'Direct labour(직접노무비)'!$O$12:$O$503)</f>
        <v>14334125</v>
      </c>
      <c r="O485" s="112">
        <f>SUMIF('Overhead exp(제조경비)'!$C$12:$C$503,'WIP(재공품)'!B485,'Overhead exp(제조경비)'!$O$12:$O$503)</f>
        <v>28005130</v>
      </c>
      <c r="P485" s="112">
        <f t="shared" si="65"/>
        <v>42339255</v>
      </c>
      <c r="Q485" s="112">
        <v>0</v>
      </c>
      <c r="R485" s="112">
        <v>0</v>
      </c>
      <c r="S485" s="112">
        <f>SUMIF('JUNE (물량흐름)'!$C$13:$C$493,'WIP(재공품)'!B485,'JUNE (물량흐름)'!$T$13:$T$493)+SUMIF('JUNE (물량흐름)'!$C$13:$C$493,'WIP(재공품)'!B485,'JUNE (물량흐름)'!$U$13:$U$493)+SUMIF('JUNE (물량흐름)'!$C$13:$C$493,'WIP(재공품)'!B485,'JUNE (물량흐름)'!$V$13:$V$493)-SUMIF('JUNE (물량흐름)'!$C$13:$C$493,'WIP(재공품)'!B485,'JUNE (물량흐름)'!$Y$13:$Y$493)</f>
        <v>1379</v>
      </c>
      <c r="T485" s="112">
        <f>SUMIF('JUNE (물량흐름)'!$C$13:$C$502,'WIP(재공품)'!B485,'JUNE (물량흐름)'!$Y$13:$Y$502)</f>
        <v>0</v>
      </c>
      <c r="U485" s="167">
        <f>SUMIF('Direct labour(직접노무비)'!$C$12:$C$503,'WIP(재공품)'!B485,'Direct labour(직접노무비)'!$U$12:$U$503)+SUMIF('Overhead exp(제조경비)'!$C$12:$C$503,'WIP(재공품)'!B485,'Overhead exp(제조경비)'!$U$12:$U$503)</f>
        <v>0</v>
      </c>
      <c r="V485" s="112">
        <f>SUMIF('Direct labour(직접노무비)'!$C$12:$C$503,'WIP(재공품)'!B485,'Direct labour(직접노무비)'!$Q$12:$Q$503)</f>
        <v>13275190</v>
      </c>
      <c r="W485" s="112">
        <f>SUMIF('Overhead exp(제조경비)'!$C$12:$C$503,'WIP(재공품)'!B485,'Overhead exp(제조경비)'!$Q$12:$Q$503)</f>
        <v>25936249</v>
      </c>
      <c r="X485" s="112">
        <f t="shared" si="66"/>
        <v>39211439</v>
      </c>
      <c r="Y485" s="112">
        <f ca="1">ROUND(SUMIF('JUNE (물량흐름)'!$C$13:$C$502,'WIP(재공품)'!B485,'JUNE (물량흐름)'!$N$13:$N$488),0)</f>
        <v>0</v>
      </c>
      <c r="Z485" s="112">
        <f>ROUND(SUMIF('JUNE (물량흐름)'!$C$13:$C$502,'WIP(재공품)'!B485,'JUNE (물량흐름)'!$O$13:$O$502),0)</f>
        <v>25</v>
      </c>
      <c r="AA485" s="112">
        <f>ROUND(SUMIF('JUNE (물량흐름)'!$C$13:$C$502,'WIP(재공품)'!B485,'JUNE (물량흐름)'!$P$13:$P$502),0)</f>
        <v>85</v>
      </c>
      <c r="AB485" s="112">
        <f t="shared" ca="1" si="67"/>
        <v>110</v>
      </c>
      <c r="AC485" s="112">
        <f t="shared" si="68"/>
        <v>3127816</v>
      </c>
      <c r="AD485" s="381">
        <f t="shared" ca="1" si="69"/>
        <v>0</v>
      </c>
      <c r="AE485" s="381">
        <f t="shared" si="70"/>
        <v>0</v>
      </c>
      <c r="AF485" s="382"/>
      <c r="AG485" s="382"/>
      <c r="AH485" s="383"/>
      <c r="AJ485" s="383"/>
      <c r="AL485" s="385"/>
      <c r="AM485" s="381"/>
      <c r="AN485" s="382"/>
      <c r="AO485" s="382"/>
      <c r="AP485" s="383"/>
      <c r="AQ485" s="383"/>
    </row>
    <row r="486" spans="1:43" s="384" customFormat="1" ht="27" customHeight="1">
      <c r="A486" s="167">
        <v>497</v>
      </c>
      <c r="B486" s="240" t="str">
        <f>VLOOKUP(A486,'JUNE (물량흐름)'!$A$13:$C$502,3,0)</f>
        <v>KTP134791</v>
      </c>
      <c r="C486" s="21" t="str">
        <f>VLOOKUP(A486,'JUNE (물량흐름)'!$A$13:$C$502,2,0)</f>
        <v>J JILL</v>
      </c>
      <c r="D486" s="212">
        <v>2.6</v>
      </c>
      <c r="E486" s="6">
        <f>VLOOKUP(B486,'Sales profit (스타일 별 매출이익)'!$D$9:$P$491,13,0)</f>
        <v>58955</v>
      </c>
      <c r="F486" s="112">
        <f>IFERROR(VLOOKUP(B486,O.B.JUNE!$N$7:$Q$448,2,0),0)</f>
        <v>0</v>
      </c>
      <c r="G486" s="112">
        <f>IFERROR(VLOOKUP(B486,O.B.JUNE!$N$7:$Q$448,3,0),0)</f>
        <v>0</v>
      </c>
      <c r="H486" s="112">
        <f>IFERROR(VLOOKUP(B486,O.B.JUNE!$N$7:$Q$448,4,0),0)</f>
        <v>0</v>
      </c>
      <c r="I486" s="112">
        <f t="shared" si="71"/>
        <v>0</v>
      </c>
      <c r="J486" s="112">
        <f>IFERROR(VLOOKUP(B486,O.B.JUNE!$AA$7:$AG$448,7,0),0)</f>
        <v>0</v>
      </c>
      <c r="K486" s="112">
        <f>IFERROR(VLOOKUP(B486,O.B.JUNE!$AI$7:$AO$448,7,0),0)</f>
        <v>0</v>
      </c>
      <c r="L486" s="112">
        <f t="shared" si="72"/>
        <v>0</v>
      </c>
      <c r="M486" s="112">
        <f>ROUND(SUMIF('JUNE (물량흐름)'!$C$13:$C$502,'WIP(재공품)'!B486,'JUNE (물량흐름)'!$H$13:$H$502)+SUMIF('JUNE (물량흐름)'!$C$13:$C$502,'WIP(재공품)'!B486,'JUNE (물량흐름)'!$V$13:$V$502),0)</f>
        <v>6385</v>
      </c>
      <c r="N486" s="112">
        <f>SUMIF('Direct labour(직접노무비)'!$C$12:$C$503,'WIP(재공품)'!B486,'Direct labour(직접노무비)'!$O$12:$O$503)</f>
        <v>93755275</v>
      </c>
      <c r="O486" s="112">
        <f>SUMIF('Overhead exp(제조경비)'!$C$12:$C$503,'WIP(재공품)'!B486,'Overhead exp(제조경비)'!$O$12:$O$503)</f>
        <v>183173282</v>
      </c>
      <c r="P486" s="112">
        <f t="shared" si="65"/>
        <v>276928557</v>
      </c>
      <c r="Q486" s="112">
        <v>0</v>
      </c>
      <c r="R486" s="112">
        <v>0</v>
      </c>
      <c r="S486" s="112">
        <f>SUMIF('JUNE (물량흐름)'!$C$13:$C$493,'WIP(재공품)'!B486,'JUNE (물량흐름)'!$T$13:$T$493)+SUMIF('JUNE (물량흐름)'!$C$13:$C$493,'WIP(재공품)'!B486,'JUNE (물량흐름)'!$U$13:$U$493)+SUMIF('JUNE (물량흐름)'!$C$13:$C$493,'WIP(재공품)'!B486,'JUNE (물량흐름)'!$V$13:$V$493)-SUMIF('JUNE (물량흐름)'!$C$13:$C$493,'WIP(재공품)'!B486,'JUNE (물량흐름)'!$Y$13:$Y$493)</f>
        <v>2793</v>
      </c>
      <c r="T486" s="112">
        <f>SUMIF('JUNE (물량흐름)'!$C$13:$C$502,'WIP(재공품)'!B486,'JUNE (물량흐름)'!$Y$13:$Y$502)</f>
        <v>0</v>
      </c>
      <c r="U486" s="167">
        <f>SUMIF('Direct labour(직접노무비)'!$C$12:$C$503,'WIP(재공품)'!B486,'Direct labour(직접노무비)'!$U$12:$U$503)+SUMIF('Overhead exp(제조경비)'!$C$12:$C$503,'WIP(재공품)'!B486,'Overhead exp(제조경비)'!$U$12:$U$503)</f>
        <v>0</v>
      </c>
      <c r="V486" s="112">
        <f>SUMIF('Direct labour(직접노무비)'!$C$12:$C$503,'WIP(재공품)'!B486,'Direct labour(직접노무비)'!$Q$12:$Q$503)</f>
        <v>41011509</v>
      </c>
      <c r="W486" s="112">
        <f>SUMIF('Overhead exp(제조경비)'!$C$12:$C$503,'WIP(재공품)'!B486,'Overhead exp(제조경비)'!$Q$12:$Q$503)</f>
        <v>80125760</v>
      </c>
      <c r="X486" s="112">
        <f t="shared" si="66"/>
        <v>121137269</v>
      </c>
      <c r="Y486" s="112">
        <f ca="1">ROUND(SUMIF('JUNE (물량흐름)'!$C$13:$C$502,'WIP(재공품)'!B486,'JUNE (물량흐름)'!$N$13:$N$488),0)</f>
        <v>296</v>
      </c>
      <c r="Z486" s="112">
        <f>ROUND(SUMIF('JUNE (물량흐름)'!$C$13:$C$502,'WIP(재공품)'!B486,'JUNE (물량흐름)'!$O$13:$O$502),0)</f>
        <v>1157</v>
      </c>
      <c r="AA486" s="112">
        <f>ROUND(SUMIF('JUNE (물량흐름)'!$C$13:$C$502,'WIP(재공품)'!B486,'JUNE (물량흐름)'!$P$13:$P$502),0)</f>
        <v>2139</v>
      </c>
      <c r="AB486" s="112">
        <f t="shared" ca="1" si="67"/>
        <v>3592</v>
      </c>
      <c r="AC486" s="112">
        <f t="shared" si="68"/>
        <v>155791288</v>
      </c>
      <c r="AD486" s="381">
        <f t="shared" ca="1" si="69"/>
        <v>0</v>
      </c>
      <c r="AE486" s="381">
        <f t="shared" si="70"/>
        <v>0</v>
      </c>
      <c r="AF486" s="382"/>
      <c r="AG486" s="382"/>
      <c r="AH486" s="383"/>
      <c r="AI486" s="383"/>
      <c r="AJ486" s="383"/>
      <c r="AL486" s="385"/>
      <c r="AM486" s="381"/>
      <c r="AN486" s="382"/>
      <c r="AO486" s="382"/>
      <c r="AP486" s="383"/>
      <c r="AQ486" s="383"/>
    </row>
    <row r="487" spans="1:43" s="384" customFormat="1" ht="27" customHeight="1">
      <c r="A487" s="167">
        <v>498</v>
      </c>
      <c r="B487" s="240" t="str">
        <f>VLOOKUP(A487,'JUNE (물량흐름)'!$A$13:$C$502,3,0)</f>
        <v>KTP142391</v>
      </c>
      <c r="C487" s="21" t="str">
        <f>VLOOKUP(A487,'JUNE (물량흐름)'!$A$13:$C$502,2,0)</f>
        <v>J JILL</v>
      </c>
      <c r="D487" s="212">
        <v>2.2000000000000002</v>
      </c>
      <c r="E487" s="6">
        <f>VLOOKUP(B487,'Sales profit (스타일 별 매출이익)'!$D$9:$P$491,13,0)</f>
        <v>49885.000000000007</v>
      </c>
      <c r="F487" s="112">
        <f>IFERROR(VLOOKUP(B487,O.B.JUNE!$N$7:$Q$448,2,0),0)</f>
        <v>0</v>
      </c>
      <c r="G487" s="112">
        <f>IFERROR(VLOOKUP(B487,O.B.JUNE!$N$7:$Q$448,3,0),0)</f>
        <v>0</v>
      </c>
      <c r="H487" s="112">
        <f>IFERROR(VLOOKUP(B487,O.B.JUNE!$N$7:$Q$448,4,0),0)</f>
        <v>0</v>
      </c>
      <c r="I487" s="112">
        <f t="shared" si="71"/>
        <v>0</v>
      </c>
      <c r="J487" s="112">
        <f>IFERROR(VLOOKUP(B487,O.B.JUNE!$AA$7:$AG$448,7,0),0)</f>
        <v>0</v>
      </c>
      <c r="K487" s="112">
        <f>IFERROR(VLOOKUP(B487,O.B.JUNE!$AI$7:$AO$448,7,0),0)</f>
        <v>0</v>
      </c>
      <c r="L487" s="112">
        <f t="shared" si="72"/>
        <v>0</v>
      </c>
      <c r="M487" s="112">
        <f>ROUND(SUMIF('JUNE (물량흐름)'!$C$13:$C$502,'WIP(재공품)'!B487,'JUNE (물량흐름)'!$H$13:$H$502)+SUMIF('JUNE (물량흐름)'!$C$13:$C$502,'WIP(재공품)'!B487,'JUNE (물량흐름)'!$V$13:$V$502),0)</f>
        <v>15654</v>
      </c>
      <c r="N487" s="112">
        <f>SUMIF('Direct labour(직접노무비)'!$C$12:$C$503,'WIP(재공품)'!B487,'Direct labour(직접노무비)'!$O$12:$O$503)</f>
        <v>201722652</v>
      </c>
      <c r="O487" s="112">
        <f>SUMIF('Overhead exp(제조경비)'!$C$12:$C$503,'WIP(재공품)'!B487,'Overhead exp(제조경비)'!$O$12:$O$503)</f>
        <v>394113295</v>
      </c>
      <c r="P487" s="112">
        <f t="shared" si="65"/>
        <v>595835947</v>
      </c>
      <c r="Q487" s="112">
        <v>0</v>
      </c>
      <c r="R487" s="112">
        <v>0</v>
      </c>
      <c r="S487" s="112">
        <f>SUMIF('JUNE (물량흐름)'!$C$13:$C$493,'WIP(재공품)'!B487,'JUNE (물량흐름)'!$T$13:$T$493)+SUMIF('JUNE (물량흐름)'!$C$13:$C$493,'WIP(재공품)'!B487,'JUNE (물량흐름)'!$U$13:$U$493)+SUMIF('JUNE (물량흐름)'!$C$13:$C$493,'WIP(재공품)'!B487,'JUNE (물량흐름)'!$V$13:$V$493)-SUMIF('JUNE (물량흐름)'!$C$13:$C$493,'WIP(재공품)'!B487,'JUNE (물량흐름)'!$Y$13:$Y$493)</f>
        <v>10468</v>
      </c>
      <c r="T487" s="112">
        <f>SUMIF('JUNE (물량흐름)'!$C$13:$C$502,'WIP(재공품)'!B487,'JUNE (물량흐름)'!$Y$13:$Y$502)</f>
        <v>0</v>
      </c>
      <c r="U487" s="167">
        <f>SUMIF('Direct labour(직접노무비)'!$C$12:$C$503,'WIP(재공품)'!B487,'Direct labour(직접노무비)'!$U$12:$U$503)+SUMIF('Overhead exp(제조경비)'!$C$12:$C$503,'WIP(재공품)'!B487,'Overhead exp(제조경비)'!$U$12:$U$503)</f>
        <v>0</v>
      </c>
      <c r="V487" s="112">
        <f>SUMIF('Direct labour(직접노무비)'!$C$12:$C$503,'WIP(재공품)'!B487,'Direct labour(직접노무비)'!$Q$12:$Q$503)</f>
        <v>134894131</v>
      </c>
      <c r="W487" s="112">
        <f>SUMIF('Overhead exp(제조경비)'!$C$12:$C$503,'WIP(재공품)'!B487,'Overhead exp(제조경비)'!$Q$12:$Q$503)</f>
        <v>263547845</v>
      </c>
      <c r="X487" s="112">
        <f t="shared" si="66"/>
        <v>398441976</v>
      </c>
      <c r="Y487" s="112">
        <f ca="1">ROUND(SUMIF('JUNE (물량흐름)'!$C$13:$C$502,'WIP(재공품)'!B487,'JUNE (물량흐름)'!$N$13:$N$488),0)</f>
        <v>1199</v>
      </c>
      <c r="Z487" s="112">
        <f>ROUND(SUMIF('JUNE (물량흐름)'!$C$13:$C$502,'WIP(재공품)'!B487,'JUNE (물량흐름)'!$O$13:$O$502),0)</f>
        <v>2743</v>
      </c>
      <c r="AA487" s="112">
        <f>ROUND(SUMIF('JUNE (물량흐름)'!$C$13:$C$502,'WIP(재공품)'!B487,'JUNE (물량흐름)'!$P$13:$P$502),0)</f>
        <v>1244</v>
      </c>
      <c r="AB487" s="112">
        <f t="shared" ca="1" si="67"/>
        <v>5186</v>
      </c>
      <c r="AC487" s="112">
        <f t="shared" si="68"/>
        <v>197393971</v>
      </c>
      <c r="AD487" s="381">
        <f t="shared" ca="1" si="69"/>
        <v>0</v>
      </c>
      <c r="AE487" s="381">
        <f t="shared" si="70"/>
        <v>0</v>
      </c>
      <c r="AF487" s="382"/>
      <c r="AG487" s="382"/>
      <c r="AH487" s="383"/>
      <c r="AI487" s="383"/>
      <c r="AJ487" s="383"/>
      <c r="AL487" s="385"/>
      <c r="AM487" s="381"/>
      <c r="AN487" s="382"/>
      <c r="AO487" s="382"/>
      <c r="AP487" s="383"/>
      <c r="AQ487" s="383"/>
    </row>
    <row r="488" spans="1:43" s="384" customFormat="1" ht="27" customHeight="1">
      <c r="A488" s="167">
        <v>499</v>
      </c>
      <c r="B488" s="240" t="str">
        <f>VLOOKUP(A488,'JUNE (물량흐름)'!$A$13:$C$502,3,0)</f>
        <v>HA385921MI</v>
      </c>
      <c r="C488" s="21" t="str">
        <f>VLOOKUP(A488,'JUNE (물량흐름)'!$A$13:$C$502,2,0)</f>
        <v>NORDSTROM</v>
      </c>
      <c r="D488" s="212">
        <v>1.6</v>
      </c>
      <c r="E488" s="6">
        <f>VLOOKUP(B488,'Sales profit (스타일 별 매출이익)'!$D$9:$P$491,13,0)</f>
        <v>36280</v>
      </c>
      <c r="F488" s="112">
        <f>IFERROR(VLOOKUP(B488,O.B.JUNE!$N$7:$Q$448,2,0),0)</f>
        <v>0</v>
      </c>
      <c r="G488" s="112">
        <f>IFERROR(VLOOKUP(B488,O.B.JUNE!$N$7:$Q$448,3,0),0)</f>
        <v>0</v>
      </c>
      <c r="H488" s="112">
        <f>IFERROR(VLOOKUP(B488,O.B.JUNE!$N$7:$Q$448,4,0),0)</f>
        <v>0</v>
      </c>
      <c r="I488" s="112">
        <f t="shared" si="71"/>
        <v>0</v>
      </c>
      <c r="J488" s="112">
        <f>IFERROR(VLOOKUP(B488,O.B.JUNE!$AA$7:$AG$448,7,0),0)</f>
        <v>0</v>
      </c>
      <c r="K488" s="112">
        <f>IFERROR(VLOOKUP(B488,O.B.JUNE!$AI$7:$AO$448,7,0),0)</f>
        <v>0</v>
      </c>
      <c r="L488" s="112">
        <f t="shared" si="72"/>
        <v>0</v>
      </c>
      <c r="M488" s="112">
        <f>ROUND(SUMIF('JUNE (물량흐름)'!$C$13:$C$502,'WIP(재공품)'!B488,'JUNE (물량흐름)'!$H$13:$H$502)+SUMIF('JUNE (물량흐름)'!$C$13:$C$502,'WIP(재공품)'!B488,'JUNE (물량흐름)'!$V$13:$V$502),0)</f>
        <v>2592</v>
      </c>
      <c r="N488" s="112">
        <f>SUMIF('Direct labour(직접노무비)'!$C$12:$C$503,'WIP(재공품)'!B488,'Direct labour(직접노무비)'!$O$12:$O$503)</f>
        <v>29083406</v>
      </c>
      <c r="O488" s="112">
        <f>SUMIF('Overhead exp(제조경비)'!$C$12:$C$503,'WIP(재공품)'!B488,'Overhead exp(제조경비)'!$O$12:$O$503)</f>
        <v>56821368</v>
      </c>
      <c r="P488" s="112">
        <f t="shared" ref="P488:P492" si="73">ROUND(N488+O488,0)</f>
        <v>85904774</v>
      </c>
      <c r="Q488" s="112">
        <v>0</v>
      </c>
      <c r="R488" s="112">
        <v>0</v>
      </c>
      <c r="S488" s="112">
        <f>SUMIF('JUNE (물량흐름)'!$C$13:$C$493,'WIP(재공품)'!B488,'JUNE (물량흐름)'!$T$13:$T$493)+SUMIF('JUNE (물량흐름)'!$C$13:$C$493,'WIP(재공품)'!B488,'JUNE (물량흐름)'!$U$13:$U$493)+SUMIF('JUNE (물량흐름)'!$C$13:$C$493,'WIP(재공품)'!B488,'JUNE (물량흐름)'!$V$13:$V$493)-SUMIF('JUNE (물량흐름)'!$C$13:$C$493,'WIP(재공품)'!B488,'JUNE (물량흐름)'!$Y$13:$Y$493)</f>
        <v>2592</v>
      </c>
      <c r="T488" s="112">
        <f>SUMIF('JUNE (물량흐름)'!$C$13:$C$502,'WIP(재공품)'!B488,'JUNE (물량흐름)'!$Y$13:$Y$502)</f>
        <v>0</v>
      </c>
      <c r="U488" s="167">
        <f>SUMIF('Direct labour(직접노무비)'!$C$12:$C$503,'WIP(재공품)'!B488,'Direct labour(직접노무비)'!$U$12:$U$503)+SUMIF('Overhead exp(제조경비)'!$C$12:$C$503,'WIP(재공품)'!B488,'Overhead exp(제조경비)'!$U$12:$U$503)</f>
        <v>0</v>
      </c>
      <c r="V488" s="112">
        <f>SUMIF('Direct labour(직접노무비)'!$C$12:$C$503,'WIP(재공품)'!B488,'Direct labour(직접노무비)'!$Q$12:$Q$503)</f>
        <v>29083406</v>
      </c>
      <c r="W488" s="112">
        <f>SUMIF('Overhead exp(제조경비)'!$C$12:$C$503,'WIP(재공품)'!B488,'Overhead exp(제조경비)'!$Q$12:$Q$503)</f>
        <v>56821368</v>
      </c>
      <c r="X488" s="112">
        <f t="shared" ref="X488:X492" si="74">ROUND(V488+W488,0)</f>
        <v>85904774</v>
      </c>
      <c r="Y488" s="112">
        <f ca="1">ROUND(SUMIF('JUNE (물량흐름)'!$C$13:$C$502,'WIP(재공품)'!B488,'JUNE (물량흐름)'!$N$13:$N$488),0)</f>
        <v>0</v>
      </c>
      <c r="Z488" s="112">
        <f>ROUND(SUMIF('JUNE (물량흐름)'!$C$13:$C$502,'WIP(재공품)'!B488,'JUNE (물량흐름)'!$O$13:$O$502),0)</f>
        <v>0</v>
      </c>
      <c r="AA488" s="112">
        <f>ROUND(SUMIF('JUNE (물량흐름)'!$C$13:$C$502,'WIP(재공품)'!B488,'JUNE (물량흐름)'!$P$13:$P$502),0)</f>
        <v>0</v>
      </c>
      <c r="AB488" s="112">
        <f t="shared" ref="AB488:AB492" ca="1" si="75">ROUND(SUM(Y488:AA488),0)</f>
        <v>0</v>
      </c>
      <c r="AC488" s="112">
        <f t="shared" ref="AC488:AC492" si="76">ROUND(L488+P488-X488-U488,0)</f>
        <v>0</v>
      </c>
      <c r="AD488" s="381">
        <f t="shared" ref="AD488:AD492" ca="1" si="77">I488+M488-S488-T488-AB488</f>
        <v>0</v>
      </c>
      <c r="AE488" s="381">
        <f t="shared" ref="AE488:AE492" si="78">+L488+P488-X488-U488-AC488</f>
        <v>0</v>
      </c>
      <c r="AF488" s="382"/>
      <c r="AG488" s="382"/>
      <c r="AH488" s="383"/>
      <c r="AI488" s="383"/>
      <c r="AJ488" s="383"/>
      <c r="AL488" s="385"/>
      <c r="AM488" s="381"/>
      <c r="AN488" s="382"/>
      <c r="AO488" s="382"/>
      <c r="AP488" s="383"/>
      <c r="AQ488" s="383"/>
    </row>
    <row r="489" spans="1:43" s="384" customFormat="1" ht="27" customHeight="1">
      <c r="A489" s="167">
        <v>500</v>
      </c>
      <c r="B489" s="240" t="str">
        <f>VLOOKUP(A489,'JUNE (물량흐름)'!$A$13:$C$502,3,0)</f>
        <v>HA385921MP</v>
      </c>
      <c r="C489" s="21" t="str">
        <f>VLOOKUP(A489,'JUNE (물량흐름)'!$A$13:$C$502,2,0)</f>
        <v>NORDSTROM</v>
      </c>
      <c r="D489" s="212">
        <v>1.6</v>
      </c>
      <c r="E489" s="6">
        <f>VLOOKUP(B489,'Sales profit (스타일 별 매출이익)'!$D$9:$P$491,13,0)</f>
        <v>36280</v>
      </c>
      <c r="F489" s="112">
        <f>IFERROR(VLOOKUP(B489,O.B.JUNE!$N$7:$Q$448,2,0),0)</f>
        <v>0</v>
      </c>
      <c r="G489" s="112">
        <f>IFERROR(VLOOKUP(B489,O.B.JUNE!$N$7:$Q$448,3,0),0)</f>
        <v>0</v>
      </c>
      <c r="H489" s="112">
        <f>IFERROR(VLOOKUP(B489,O.B.JUNE!$N$7:$Q$448,4,0),0)</f>
        <v>0</v>
      </c>
      <c r="I489" s="112">
        <f t="shared" si="71"/>
        <v>0</v>
      </c>
      <c r="J489" s="112">
        <f>IFERROR(VLOOKUP(B489,O.B.JUNE!$AA$7:$AG$448,7,0),0)</f>
        <v>0</v>
      </c>
      <c r="K489" s="112">
        <f>IFERROR(VLOOKUP(B489,O.B.JUNE!$AI$7:$AO$448,7,0),0)</f>
        <v>0</v>
      </c>
      <c r="L489" s="112">
        <f t="shared" si="72"/>
        <v>0</v>
      </c>
      <c r="M489" s="112">
        <f>ROUND(SUMIF('JUNE (물량흐름)'!$C$13:$C$502,'WIP(재공품)'!B489,'JUNE (물량흐름)'!$H$13:$H$502)+SUMIF('JUNE (물량흐름)'!$C$13:$C$502,'WIP(재공품)'!B489,'JUNE (물량흐름)'!$V$13:$V$502),0)</f>
        <v>196</v>
      </c>
      <c r="N489" s="112">
        <f>SUMIF('Direct labour(직접노무비)'!$C$12:$C$503,'WIP(재공품)'!B489,'Direct labour(직접노무비)'!$O$12:$O$503)</f>
        <v>2199208</v>
      </c>
      <c r="O489" s="112">
        <f>SUMIF('Overhead exp(제조경비)'!$C$12:$C$503,'WIP(재공품)'!B489,'Overhead exp(제조경비)'!$O$12:$O$503)</f>
        <v>4296678</v>
      </c>
      <c r="P489" s="112">
        <f t="shared" si="73"/>
        <v>6495886</v>
      </c>
      <c r="Q489" s="112">
        <v>0</v>
      </c>
      <c r="R489" s="112">
        <v>0</v>
      </c>
      <c r="S489" s="112">
        <f>SUMIF('JUNE (물량흐름)'!$C$13:$C$493,'WIP(재공품)'!B489,'JUNE (물량흐름)'!$T$13:$T$493)+SUMIF('JUNE (물량흐름)'!$C$13:$C$493,'WIP(재공품)'!B489,'JUNE (물량흐름)'!$U$13:$U$493)+SUMIF('JUNE (물량흐름)'!$C$13:$C$493,'WIP(재공품)'!B489,'JUNE (물량흐름)'!$V$13:$V$493)-SUMIF('JUNE (물량흐름)'!$C$13:$C$493,'WIP(재공품)'!B489,'JUNE (물량흐름)'!$Y$13:$Y$493)</f>
        <v>196</v>
      </c>
      <c r="T489" s="112">
        <f>SUMIF('JUNE (물량흐름)'!$C$13:$C$502,'WIP(재공품)'!B489,'JUNE (물량흐름)'!$Y$13:$Y$502)</f>
        <v>0</v>
      </c>
      <c r="U489" s="167">
        <f>SUMIF('Direct labour(직접노무비)'!$C$12:$C$503,'WIP(재공품)'!B489,'Direct labour(직접노무비)'!$U$12:$U$503)+SUMIF('Overhead exp(제조경비)'!$C$12:$C$503,'WIP(재공품)'!B489,'Overhead exp(제조경비)'!$U$12:$U$503)</f>
        <v>0</v>
      </c>
      <c r="V489" s="112">
        <f>SUMIF('Direct labour(직접노무비)'!$C$12:$C$503,'WIP(재공품)'!B489,'Direct labour(직접노무비)'!$Q$12:$Q$503)</f>
        <v>2199208</v>
      </c>
      <c r="W489" s="112">
        <f>SUMIF('Overhead exp(제조경비)'!$C$12:$C$503,'WIP(재공품)'!B489,'Overhead exp(제조경비)'!$Q$12:$Q$503)</f>
        <v>4296678</v>
      </c>
      <c r="X489" s="112">
        <f t="shared" si="74"/>
        <v>6495886</v>
      </c>
      <c r="Y489" s="112">
        <f ca="1">ROUND(SUMIF('JUNE (물량흐름)'!$C$13:$C$502,'WIP(재공품)'!B489,'JUNE (물량흐름)'!$N$13:$N$488),0)</f>
        <v>0</v>
      </c>
      <c r="Z489" s="112">
        <f>ROUND(SUMIF('JUNE (물량흐름)'!$C$13:$C$502,'WIP(재공품)'!B489,'JUNE (물량흐름)'!$O$13:$O$502),0)</f>
        <v>0</v>
      </c>
      <c r="AA489" s="112">
        <f>ROUND(SUMIF('JUNE (물량흐름)'!$C$13:$C$502,'WIP(재공품)'!B489,'JUNE (물량흐름)'!$P$13:$P$502),0)</f>
        <v>0</v>
      </c>
      <c r="AB489" s="112">
        <f t="shared" ca="1" si="75"/>
        <v>0</v>
      </c>
      <c r="AC489" s="112">
        <f t="shared" si="76"/>
        <v>0</v>
      </c>
      <c r="AD489" s="381">
        <f t="shared" ca="1" si="77"/>
        <v>0</v>
      </c>
      <c r="AE489" s="381">
        <f t="shared" si="78"/>
        <v>0</v>
      </c>
      <c r="AF489" s="382"/>
      <c r="AG489" s="382"/>
      <c r="AH489" s="383"/>
      <c r="AI489" s="383"/>
      <c r="AJ489" s="383"/>
      <c r="AL489" s="385"/>
      <c r="AM489" s="381"/>
      <c r="AN489" s="382"/>
      <c r="AO489" s="382"/>
      <c r="AP489" s="383"/>
      <c r="AQ489" s="383"/>
    </row>
    <row r="490" spans="1:43" s="384" customFormat="1" ht="27" customHeight="1">
      <c r="A490" s="167">
        <v>501</v>
      </c>
      <c r="B490" s="240" t="str">
        <f>VLOOKUP(A490,'JUNE (물량흐름)'!$A$13:$C$502,3,0)</f>
        <v>SJ301654WN</v>
      </c>
      <c r="C490" s="21" t="str">
        <f>VLOOKUP(A490,'JUNE (물량흐름)'!$A$13:$C$502,2,0)</f>
        <v>NORDSTROM</v>
      </c>
      <c r="D490" s="212">
        <v>0.8</v>
      </c>
      <c r="E490" s="6">
        <f>VLOOKUP(B490,'Sales profit (스타일 별 매출이익)'!$D$9:$P$491,13,0)</f>
        <v>18140</v>
      </c>
      <c r="F490" s="112">
        <f>IFERROR(VLOOKUP(B490,O.B.JUNE!$N$7:$Q$448,2,0),0)</f>
        <v>0</v>
      </c>
      <c r="G490" s="112">
        <f>IFERROR(VLOOKUP(B490,O.B.JUNE!$N$7:$Q$448,3,0),0)</f>
        <v>0</v>
      </c>
      <c r="H490" s="112">
        <f>IFERROR(VLOOKUP(B490,O.B.JUNE!$N$7:$Q$448,4,0),0)</f>
        <v>0</v>
      </c>
      <c r="I490" s="112">
        <f t="shared" si="71"/>
        <v>0</v>
      </c>
      <c r="J490" s="112">
        <f>IFERROR(VLOOKUP(B490,O.B.JUNE!$AA$7:$AG$448,7,0),0)</f>
        <v>0</v>
      </c>
      <c r="K490" s="112">
        <f>IFERROR(VLOOKUP(B490,O.B.JUNE!$AI$7:$AO$448,7,0),0)</f>
        <v>0</v>
      </c>
      <c r="L490" s="112">
        <f t="shared" si="72"/>
        <v>0</v>
      </c>
      <c r="M490" s="112">
        <f>ROUND(SUMIF('JUNE (물량흐름)'!$C$13:$C$502,'WIP(재공품)'!B490,'JUNE (물량흐름)'!$H$13:$H$502)+SUMIF('JUNE (물량흐름)'!$C$13:$C$502,'WIP(재공품)'!B490,'JUNE (물량흐름)'!$V$13:$V$502),0)</f>
        <v>3250</v>
      </c>
      <c r="N490" s="112">
        <f>SUMIF('Direct labour(직접노무비)'!$C$12:$C$503,'WIP(재공품)'!B490,'Direct labour(직접노무비)'!$O$12:$O$503)</f>
        <v>18233231</v>
      </c>
      <c r="O490" s="112">
        <f>SUMIF('Overhead exp(제조경비)'!$C$12:$C$503,'WIP(재공품)'!B490,'Overhead exp(제조경비)'!$O$12:$O$503)</f>
        <v>35622964</v>
      </c>
      <c r="P490" s="112">
        <f t="shared" si="73"/>
        <v>53856195</v>
      </c>
      <c r="Q490" s="112">
        <v>0</v>
      </c>
      <c r="R490" s="112">
        <v>0</v>
      </c>
      <c r="S490" s="112">
        <f>SUMIF('JUNE (물량흐름)'!$C$13:$C$493,'WIP(재공품)'!B490,'JUNE (물량흐름)'!$T$13:$T$493)+SUMIF('JUNE (물량흐름)'!$C$13:$C$493,'WIP(재공품)'!B490,'JUNE (물량흐름)'!$U$13:$U$493)+SUMIF('JUNE (물량흐름)'!$C$13:$C$493,'WIP(재공품)'!B490,'JUNE (물량흐름)'!$V$13:$V$493)-SUMIF('JUNE (물량흐름)'!$C$13:$C$493,'WIP(재공품)'!B490,'JUNE (물량흐름)'!$Y$13:$Y$493)</f>
        <v>3250</v>
      </c>
      <c r="T490" s="112">
        <f>SUMIF('JUNE (물량흐름)'!$C$13:$C$502,'WIP(재공품)'!B490,'JUNE (물량흐름)'!$Y$13:$Y$502)</f>
        <v>0</v>
      </c>
      <c r="U490" s="167">
        <f>SUMIF('Direct labour(직접노무비)'!$C$12:$C$503,'WIP(재공품)'!B490,'Direct labour(직접노무비)'!$U$12:$U$503)+SUMIF('Overhead exp(제조경비)'!$C$12:$C$503,'WIP(재공품)'!B490,'Overhead exp(제조경비)'!$U$12:$U$503)</f>
        <v>0</v>
      </c>
      <c r="V490" s="112">
        <f>SUMIF('Direct labour(직접노무비)'!$C$12:$C$503,'WIP(재공품)'!B490,'Direct labour(직접노무비)'!$Q$12:$Q$503)</f>
        <v>18233231</v>
      </c>
      <c r="W490" s="112">
        <f>SUMIF('Overhead exp(제조경비)'!$C$12:$C$503,'WIP(재공품)'!B490,'Overhead exp(제조경비)'!$Q$12:$Q$503)</f>
        <v>35622964</v>
      </c>
      <c r="X490" s="112">
        <f t="shared" si="74"/>
        <v>53856195</v>
      </c>
      <c r="Y490" s="112">
        <f ca="1">ROUND(SUMIF('JUNE (물량흐름)'!$C$13:$C$502,'WIP(재공품)'!B490,'JUNE (물량흐름)'!$N$13:$N$488),0)</f>
        <v>0</v>
      </c>
      <c r="Z490" s="112">
        <f>ROUND(SUMIF('JUNE (물량흐름)'!$C$13:$C$502,'WIP(재공품)'!B490,'JUNE (물량흐름)'!$O$13:$O$502),0)</f>
        <v>0</v>
      </c>
      <c r="AA490" s="112">
        <f>ROUND(SUMIF('JUNE (물량흐름)'!$C$13:$C$502,'WIP(재공품)'!B490,'JUNE (물량흐름)'!$P$13:$P$502),0)</f>
        <v>0</v>
      </c>
      <c r="AB490" s="112">
        <f t="shared" ca="1" si="75"/>
        <v>0</v>
      </c>
      <c r="AC490" s="112">
        <f t="shared" si="76"/>
        <v>0</v>
      </c>
      <c r="AD490" s="381">
        <f t="shared" ca="1" si="77"/>
        <v>0</v>
      </c>
      <c r="AE490" s="381">
        <f t="shared" si="78"/>
        <v>0</v>
      </c>
      <c r="AF490" s="382"/>
      <c r="AG490" s="382"/>
      <c r="AH490" s="383"/>
      <c r="AI490" s="383"/>
      <c r="AJ490" s="383"/>
      <c r="AL490" s="385"/>
      <c r="AM490" s="381"/>
      <c r="AN490" s="382"/>
      <c r="AO490" s="382"/>
      <c r="AP490" s="383"/>
      <c r="AQ490" s="383"/>
    </row>
    <row r="491" spans="1:43" s="384" customFormat="1" ht="27" customHeight="1">
      <c r="A491" s="167">
        <v>502</v>
      </c>
      <c r="B491" s="240" t="str">
        <f>VLOOKUP(A491,'JUNE (물량흐름)'!$A$13:$C$502,3,0)</f>
        <v>TL298630MI</v>
      </c>
      <c r="C491" s="21" t="str">
        <f>VLOOKUP(A491,'JUNE (물량흐름)'!$A$13:$C$502,2,0)</f>
        <v>NORDSTROM</v>
      </c>
      <c r="D491" s="212">
        <v>1.9</v>
      </c>
      <c r="E491" s="6">
        <f>VLOOKUP(B491,'Sales profit (스타일 별 매출이익)'!$D$9:$P$491,13,0)</f>
        <v>43082.5</v>
      </c>
      <c r="F491" s="112">
        <f>IFERROR(VLOOKUP(B491,O.B.JUNE!$N$7:$Q$448,2,0),0)</f>
        <v>0</v>
      </c>
      <c r="G491" s="112">
        <f>IFERROR(VLOOKUP(B491,O.B.JUNE!$N$7:$Q$448,3,0),0)</f>
        <v>0</v>
      </c>
      <c r="H491" s="112">
        <f>IFERROR(VLOOKUP(B491,O.B.JUNE!$N$7:$Q$448,4,0),0)</f>
        <v>0</v>
      </c>
      <c r="I491" s="112">
        <f t="shared" si="71"/>
        <v>0</v>
      </c>
      <c r="J491" s="112">
        <f>IFERROR(VLOOKUP(B491,O.B.JUNE!$AA$7:$AG$448,7,0),0)</f>
        <v>0</v>
      </c>
      <c r="K491" s="112">
        <f>IFERROR(VLOOKUP(B491,O.B.JUNE!$AI$7:$AO$448,7,0),0)</f>
        <v>0</v>
      </c>
      <c r="L491" s="112">
        <f t="shared" si="72"/>
        <v>0</v>
      </c>
      <c r="M491" s="112">
        <f>ROUND(SUMIF('JUNE (물량흐름)'!$C$13:$C$502,'WIP(재공품)'!B491,'JUNE (물량흐름)'!$H$13:$H$502)+SUMIF('JUNE (물량흐름)'!$C$13:$C$502,'WIP(재공품)'!B491,'JUNE (물량흐름)'!$V$13:$V$502),0)</f>
        <v>6933</v>
      </c>
      <c r="N491" s="112">
        <f>SUMIF('Direct labour(직접노무비)'!$C$12:$C$503,'WIP(재공품)'!B491,'Direct labour(직접노무비)'!$O$12:$O$503)</f>
        <v>92377263</v>
      </c>
      <c r="O491" s="112">
        <f>SUMIF('Overhead exp(제조경비)'!$C$12:$C$503,'WIP(재공품)'!B491,'Overhead exp(제조경비)'!$O$12:$O$503)</f>
        <v>180481008</v>
      </c>
      <c r="P491" s="112">
        <f t="shared" si="73"/>
        <v>272858271</v>
      </c>
      <c r="Q491" s="112">
        <v>0</v>
      </c>
      <c r="R491" s="112">
        <v>0</v>
      </c>
      <c r="S491" s="112">
        <f>SUMIF('JUNE (물량흐름)'!$C$13:$C$493,'WIP(재공품)'!B491,'JUNE (물량흐름)'!$T$13:$T$493)+SUMIF('JUNE (물량흐름)'!$C$13:$C$493,'WIP(재공품)'!B491,'JUNE (물량흐름)'!$U$13:$U$493)+SUMIF('JUNE (물량흐름)'!$C$13:$C$493,'WIP(재공품)'!B491,'JUNE (물량흐름)'!$V$13:$V$493)-SUMIF('JUNE (물량흐름)'!$C$13:$C$493,'WIP(재공품)'!B491,'JUNE (물량흐름)'!$Y$13:$Y$493)</f>
        <v>6933</v>
      </c>
      <c r="T491" s="112">
        <f>SUMIF('JUNE (물량흐름)'!$C$13:$C$502,'WIP(재공품)'!B491,'JUNE (물량흐름)'!$Y$13:$Y$502)</f>
        <v>0</v>
      </c>
      <c r="U491" s="167">
        <f>SUMIF('Direct labour(직접노무비)'!$C$12:$C$503,'WIP(재공품)'!B491,'Direct labour(직접노무비)'!$U$12:$U$503)+SUMIF('Overhead exp(제조경비)'!$C$12:$C$503,'WIP(재공품)'!B491,'Overhead exp(제조경비)'!$U$12:$U$503)</f>
        <v>0</v>
      </c>
      <c r="V491" s="112">
        <f>SUMIF('Direct labour(직접노무비)'!$C$12:$C$503,'WIP(재공품)'!B491,'Direct labour(직접노무비)'!$Q$12:$Q$503)</f>
        <v>92377263</v>
      </c>
      <c r="W491" s="112">
        <f>SUMIF('Overhead exp(제조경비)'!$C$12:$C$503,'WIP(재공품)'!B491,'Overhead exp(제조경비)'!$Q$12:$Q$503)</f>
        <v>180481008</v>
      </c>
      <c r="X491" s="112">
        <f t="shared" si="74"/>
        <v>272858271</v>
      </c>
      <c r="Y491" s="112">
        <f ca="1">ROUND(SUMIF('JUNE (물량흐름)'!$C$13:$C$502,'WIP(재공품)'!B491,'JUNE (물량흐름)'!$N$13:$N$488),0)</f>
        <v>0</v>
      </c>
      <c r="Z491" s="112">
        <f>ROUND(SUMIF('JUNE (물량흐름)'!$C$13:$C$502,'WIP(재공품)'!B491,'JUNE (물량흐름)'!$O$13:$O$502),0)</f>
        <v>0</v>
      </c>
      <c r="AA491" s="112">
        <f>ROUND(SUMIF('JUNE (물량흐름)'!$C$13:$C$502,'WIP(재공품)'!B491,'JUNE (물량흐름)'!$P$13:$P$502),0)</f>
        <v>0</v>
      </c>
      <c r="AB491" s="112">
        <f t="shared" ca="1" si="75"/>
        <v>0</v>
      </c>
      <c r="AC491" s="112">
        <f t="shared" si="76"/>
        <v>0</v>
      </c>
      <c r="AD491" s="381">
        <f t="shared" ca="1" si="77"/>
        <v>0</v>
      </c>
      <c r="AE491" s="381">
        <f t="shared" si="78"/>
        <v>0</v>
      </c>
      <c r="AF491" s="382"/>
      <c r="AG491" s="382"/>
      <c r="AH491" s="383"/>
      <c r="AI491" s="383"/>
      <c r="AJ491" s="383"/>
      <c r="AL491" s="385"/>
      <c r="AM491" s="381"/>
      <c r="AN491" s="382"/>
      <c r="AO491" s="382"/>
      <c r="AP491" s="383"/>
      <c r="AQ491" s="383"/>
    </row>
    <row r="492" spans="1:43" s="384" customFormat="1" ht="27" customHeight="1">
      <c r="A492" s="167">
        <v>503</v>
      </c>
      <c r="B492" s="240">
        <f>VLOOKUP(A492,'JUNE (물량흐름)'!$A$13:$C$502,3,0)</f>
        <v>183034537</v>
      </c>
      <c r="C492" s="21" t="str">
        <f>VLOOKUP(A492,'JUNE (물량흐름)'!$A$13:$C$502,2,0)</f>
        <v xml:space="preserve">TALBOTS </v>
      </c>
      <c r="D492" s="212">
        <v>2.58</v>
      </c>
      <c r="E492" s="6">
        <f>VLOOKUP(B492,'Sales profit (스타일 별 매출이익)'!$D$9:$P$491,13,0)</f>
        <v>58630.5</v>
      </c>
      <c r="F492" s="112">
        <f>IFERROR(VLOOKUP(B492,O.B.JUNE!$N$7:$Q$448,2,0),0)</f>
        <v>0</v>
      </c>
      <c r="G492" s="112">
        <f>IFERROR(VLOOKUP(B492,O.B.JUNE!$N$7:$Q$448,3,0),0)</f>
        <v>0</v>
      </c>
      <c r="H492" s="112">
        <f>IFERROR(VLOOKUP(B492,O.B.JUNE!$N$7:$Q$448,4,0),0)</f>
        <v>0</v>
      </c>
      <c r="I492" s="112">
        <f t="shared" si="71"/>
        <v>0</v>
      </c>
      <c r="J492" s="112">
        <f>IFERROR(VLOOKUP(B492,O.B.JUNE!$AA$7:$AG$448,7,0),0)</f>
        <v>0</v>
      </c>
      <c r="K492" s="112">
        <f>IFERROR(VLOOKUP(B492,O.B.JUNE!$AI$7:$AO$448,7,0),0)</f>
        <v>0</v>
      </c>
      <c r="L492" s="112">
        <f t="shared" si="72"/>
        <v>0</v>
      </c>
      <c r="M492" s="112">
        <f>ROUND(SUMIF('JUNE (물량흐름)'!$C$13:$C$502,'WIP(재공품)'!B492,'JUNE (물량흐름)'!$H$13:$H$502)+SUMIF('JUNE (물량흐름)'!$C$13:$C$502,'WIP(재공품)'!B492,'JUNE (물량흐름)'!$V$13:$V$502),0)</f>
        <v>17819</v>
      </c>
      <c r="N492" s="112">
        <f>SUMIF('Direct labour(직접노무비)'!$C$12:$C$503,'WIP(재공품)'!B492,'Direct labour(직접노무비)'!$O$12:$O$503)</f>
        <v>323109645</v>
      </c>
      <c r="O492" s="112">
        <f>SUMIF('Overhead exp(제조경비)'!$C$12:$C$503,'WIP(재공품)'!B492,'Overhead exp(제조경비)'!$O$12:$O$503)</f>
        <v>631271725</v>
      </c>
      <c r="P492" s="112">
        <f t="shared" si="73"/>
        <v>954381370</v>
      </c>
      <c r="Q492" s="112">
        <v>0</v>
      </c>
      <c r="R492" s="112">
        <v>0</v>
      </c>
      <c r="S492" s="112">
        <f>SUMIF('JUNE (물량흐름)'!$C$13:$C$493,'WIP(재공품)'!B492,'JUNE (물량흐름)'!$T$13:$T$493)+SUMIF('JUNE (물량흐름)'!$C$13:$C$493,'WIP(재공품)'!B492,'JUNE (물량흐름)'!$U$13:$U$493)+SUMIF('JUNE (물량흐름)'!$C$13:$C$493,'WIP(재공품)'!B492,'JUNE (물량흐름)'!$V$13:$V$493)-SUMIF('JUNE (물량흐름)'!$C$13:$C$493,'WIP(재공품)'!B492,'JUNE (물량흐름)'!$Y$13:$Y$493)</f>
        <v>17819</v>
      </c>
      <c r="T492" s="112">
        <f>SUMIF('JUNE (물량흐름)'!$C$13:$C$502,'WIP(재공품)'!B492,'JUNE (물량흐름)'!$Y$13:$Y$502)</f>
        <v>0</v>
      </c>
      <c r="U492" s="167">
        <f>SUMIF('Direct labour(직접노무비)'!$C$12:$C$503,'WIP(재공품)'!B492,'Direct labour(직접노무비)'!$U$12:$U$503)+SUMIF('Overhead exp(제조경비)'!$C$12:$C$503,'WIP(재공품)'!B492,'Overhead exp(제조경비)'!$U$12:$U$503)</f>
        <v>0</v>
      </c>
      <c r="V492" s="112">
        <f>SUMIF('Direct labour(직접노무비)'!$C$12:$C$503,'WIP(재공품)'!B492,'Direct labour(직접노무비)'!$Q$12:$Q$503)</f>
        <v>323109645</v>
      </c>
      <c r="W492" s="112">
        <f>SUMIF('Overhead exp(제조경비)'!$C$12:$C$503,'WIP(재공품)'!B492,'Overhead exp(제조경비)'!$Q$12:$Q$503)</f>
        <v>631271725</v>
      </c>
      <c r="X492" s="112">
        <f t="shared" si="74"/>
        <v>954381370</v>
      </c>
      <c r="Y492" s="112">
        <f ca="1">ROUND(SUMIF('JUNE (물량흐름)'!$C$13:$C$502,'WIP(재공품)'!B492,'JUNE (물량흐름)'!$N$13:$N$488),0)</f>
        <v>0</v>
      </c>
      <c r="Z492" s="112">
        <f>ROUND(SUMIF('JUNE (물량흐름)'!$C$13:$C$502,'WIP(재공품)'!B492,'JUNE (물량흐름)'!$O$13:$O$502),0)</f>
        <v>0</v>
      </c>
      <c r="AA492" s="112">
        <f>ROUND(SUMIF('JUNE (물량흐름)'!$C$13:$C$502,'WIP(재공품)'!B492,'JUNE (물량흐름)'!$P$13:$P$502),0)</f>
        <v>0</v>
      </c>
      <c r="AB492" s="112">
        <f t="shared" ca="1" si="75"/>
        <v>0</v>
      </c>
      <c r="AC492" s="112">
        <f t="shared" si="76"/>
        <v>0</v>
      </c>
      <c r="AD492" s="381">
        <f t="shared" ca="1" si="77"/>
        <v>0</v>
      </c>
      <c r="AE492" s="381">
        <f t="shared" si="78"/>
        <v>0</v>
      </c>
      <c r="AF492" s="382"/>
      <c r="AG492" s="382"/>
      <c r="AH492" s="383"/>
      <c r="AI492" s="383"/>
      <c r="AJ492" s="383"/>
      <c r="AL492" s="385"/>
      <c r="AM492" s="381"/>
      <c r="AN492" s="382"/>
      <c r="AO492" s="382"/>
      <c r="AP492" s="383"/>
      <c r="AQ492" s="383"/>
    </row>
    <row r="493" spans="1:43" ht="27" customHeight="1">
      <c r="A493" s="241" t="s">
        <v>0</v>
      </c>
      <c r="B493" s="241"/>
      <c r="C493" s="114"/>
      <c r="D493" s="114"/>
      <c r="E493" s="114"/>
      <c r="F493" s="114">
        <f t="shared" ref="F493:AC493" si="79">SUBTOTAL(9,F12:F492)</f>
        <v>29157</v>
      </c>
      <c r="G493" s="114">
        <f t="shared" si="79"/>
        <v>77476</v>
      </c>
      <c r="H493" s="114">
        <f t="shared" si="79"/>
        <v>183906</v>
      </c>
      <c r="I493" s="114">
        <f t="shared" si="79"/>
        <v>290539</v>
      </c>
      <c r="J493" s="114">
        <f t="shared" si="79"/>
        <v>2982751877</v>
      </c>
      <c r="K493" s="114">
        <f t="shared" si="79"/>
        <v>5142904789</v>
      </c>
      <c r="L493" s="114">
        <f t="shared" si="79"/>
        <v>8125656666</v>
      </c>
      <c r="M493" s="114">
        <f t="shared" si="79"/>
        <v>482727</v>
      </c>
      <c r="N493" s="114">
        <f t="shared" si="79"/>
        <v>6782821103</v>
      </c>
      <c r="O493" s="114">
        <f t="shared" si="79"/>
        <v>13251858135</v>
      </c>
      <c r="P493" s="114">
        <f t="shared" si="79"/>
        <v>20034679238</v>
      </c>
      <c r="Q493" s="114">
        <f t="shared" si="79"/>
        <v>0</v>
      </c>
      <c r="R493" s="114">
        <f t="shared" si="79"/>
        <v>0</v>
      </c>
      <c r="S493" s="114">
        <f t="shared" si="79"/>
        <v>445561</v>
      </c>
      <c r="T493" s="114">
        <f t="shared" si="79"/>
        <v>605</v>
      </c>
      <c r="U493" s="114">
        <f t="shared" si="79"/>
        <v>28190139</v>
      </c>
      <c r="V493" s="114">
        <f t="shared" si="79"/>
        <v>6260644579</v>
      </c>
      <c r="W493" s="114">
        <f t="shared" si="79"/>
        <v>12031157198</v>
      </c>
      <c r="X493" s="114">
        <f t="shared" si="79"/>
        <v>18291801777</v>
      </c>
      <c r="Y493" s="114">
        <f t="shared" ca="1" si="79"/>
        <v>35663</v>
      </c>
      <c r="Z493" s="114">
        <f t="shared" si="79"/>
        <v>90847</v>
      </c>
      <c r="AA493" s="114">
        <f t="shared" si="79"/>
        <v>200590</v>
      </c>
      <c r="AB493" s="114">
        <f t="shared" ca="1" si="79"/>
        <v>327100</v>
      </c>
      <c r="AC493" s="114">
        <f t="shared" si="79"/>
        <v>9840343988</v>
      </c>
    </row>
    <row r="494" spans="1:43" ht="27" customHeight="1">
      <c r="A494" s="242"/>
      <c r="B494" s="243"/>
      <c r="C494" s="115"/>
      <c r="D494" s="116"/>
      <c r="E494" s="113"/>
      <c r="F494" s="87"/>
      <c r="G494" s="87"/>
      <c r="H494" s="87"/>
      <c r="I494" s="87"/>
      <c r="J494" s="87"/>
      <c r="K494" s="87"/>
      <c r="L494" s="87"/>
      <c r="M494" s="113"/>
      <c r="N494" s="113"/>
      <c r="O494" s="113"/>
      <c r="P494" s="113"/>
      <c r="Q494" s="87"/>
      <c r="R494" s="87"/>
      <c r="S494" s="87"/>
      <c r="T494" s="87"/>
      <c r="U494" s="87"/>
      <c r="V494" s="87"/>
      <c r="W494" s="87"/>
      <c r="X494" s="87"/>
      <c r="Y494" s="113"/>
      <c r="Z494" s="113"/>
      <c r="AA494" s="113"/>
      <c r="AB494" s="113"/>
      <c r="AC494" s="87"/>
    </row>
    <row r="495" spans="1:43" ht="27" customHeight="1">
      <c r="A495" s="242"/>
      <c r="B495" s="243"/>
      <c r="C495" s="115"/>
      <c r="D495" s="116"/>
      <c r="E495" s="113"/>
      <c r="F495" s="87"/>
      <c r="G495" s="87"/>
      <c r="H495" s="87"/>
      <c r="I495" s="87"/>
      <c r="J495" s="87"/>
      <c r="K495" s="87"/>
      <c r="L495" s="87"/>
      <c r="M495" s="113"/>
      <c r="N495" s="113"/>
      <c r="O495" s="113"/>
      <c r="P495" s="113"/>
      <c r="Q495" s="87"/>
      <c r="R495" s="87"/>
      <c r="S495" s="87"/>
      <c r="T495" s="87"/>
      <c r="U495" s="87"/>
      <c r="V495" s="87"/>
      <c r="W495" s="87"/>
      <c r="X495" s="87"/>
      <c r="Y495" s="113"/>
      <c r="Z495" s="113"/>
      <c r="AA495" s="113"/>
      <c r="AB495" s="113"/>
      <c r="AC495" s="87"/>
    </row>
    <row r="496" spans="1:43" ht="27" customHeight="1">
      <c r="A496" s="242"/>
      <c r="B496" s="243"/>
      <c r="C496" s="115"/>
      <c r="D496" s="116"/>
      <c r="E496" s="113"/>
      <c r="F496" s="87"/>
      <c r="G496" s="87"/>
      <c r="H496" s="87"/>
      <c r="I496" s="87"/>
      <c r="J496" s="87"/>
      <c r="K496" s="87"/>
      <c r="L496" s="87"/>
      <c r="M496" s="113"/>
      <c r="N496" s="113"/>
      <c r="O496" s="113"/>
      <c r="P496" s="113"/>
      <c r="Q496" s="87"/>
      <c r="R496" s="87"/>
      <c r="S496" s="87"/>
      <c r="T496" s="87"/>
      <c r="U496" s="87"/>
      <c r="V496" s="87"/>
      <c r="W496" s="87"/>
      <c r="X496" s="87"/>
      <c r="Y496" s="113"/>
      <c r="Z496" s="113"/>
      <c r="AA496" s="113"/>
      <c r="AB496" s="113"/>
      <c r="AC496" s="87"/>
    </row>
    <row r="497" spans="1:29" ht="27" customHeight="1">
      <c r="A497" s="242"/>
      <c r="B497" s="243"/>
      <c r="C497" s="115"/>
      <c r="D497" s="116"/>
      <c r="E497" s="281"/>
      <c r="F497" s="87"/>
      <c r="G497" s="87"/>
      <c r="H497" s="87"/>
      <c r="I497" s="87"/>
      <c r="J497" s="87"/>
      <c r="K497" s="87"/>
      <c r="L497" s="87"/>
      <c r="M497" s="113"/>
      <c r="N497" s="113"/>
      <c r="O497" s="113"/>
      <c r="P497" s="113"/>
      <c r="Q497" s="87"/>
      <c r="R497" s="87"/>
      <c r="S497" s="87"/>
      <c r="T497" s="87"/>
      <c r="U497" s="87"/>
      <c r="V497" s="87"/>
      <c r="W497" s="87"/>
      <c r="X497" s="87"/>
      <c r="Y497" s="113"/>
      <c r="Z497" s="113"/>
      <c r="AA497" s="113"/>
      <c r="AB497" s="113"/>
      <c r="AC497" s="87"/>
    </row>
    <row r="498" spans="1:29" ht="27" customHeight="1">
      <c r="A498" s="242"/>
      <c r="B498" s="243"/>
      <c r="C498" s="115"/>
      <c r="D498" s="116"/>
      <c r="E498" s="113"/>
      <c r="F498" s="87"/>
      <c r="G498" s="87"/>
      <c r="H498" s="87"/>
      <c r="I498" s="87"/>
      <c r="J498" s="87"/>
      <c r="K498" s="87"/>
      <c r="L498" s="87"/>
      <c r="M498" s="113"/>
      <c r="N498" s="113"/>
      <c r="O498" s="113"/>
      <c r="P498" s="113"/>
      <c r="Q498" s="87"/>
      <c r="R498" s="87"/>
      <c r="S498" s="87"/>
      <c r="T498" s="87"/>
      <c r="U498" s="87"/>
      <c r="V498" s="87"/>
      <c r="W498" s="87"/>
      <c r="X498" s="87"/>
      <c r="Y498" s="113"/>
      <c r="Z498" s="113"/>
      <c r="AA498" s="113"/>
      <c r="AB498" s="113"/>
      <c r="AC498" s="87"/>
    </row>
    <row r="499" spans="1:29" ht="27" customHeight="1">
      <c r="A499" s="242"/>
      <c r="B499" s="243"/>
      <c r="C499" s="115"/>
      <c r="D499" s="116"/>
      <c r="E499" s="113"/>
      <c r="F499" s="87"/>
      <c r="G499" s="87"/>
      <c r="H499" s="87"/>
      <c r="I499" s="87"/>
      <c r="J499" s="87"/>
      <c r="K499" s="87"/>
      <c r="L499" s="87"/>
      <c r="M499" s="113"/>
      <c r="N499" s="113"/>
      <c r="O499" s="113"/>
      <c r="P499" s="113"/>
      <c r="Q499" s="87"/>
      <c r="R499" s="87"/>
      <c r="S499" s="87"/>
      <c r="T499" s="87"/>
      <c r="U499" s="87"/>
      <c r="V499" s="87"/>
      <c r="W499" s="87"/>
      <c r="X499" s="87"/>
      <c r="Y499" s="113"/>
      <c r="Z499" s="113"/>
      <c r="AA499" s="113"/>
      <c r="AB499" s="113"/>
      <c r="AC499" s="87"/>
    </row>
    <row r="500" spans="1:29" ht="27" customHeight="1">
      <c r="A500" s="242"/>
      <c r="B500" s="243"/>
      <c r="C500" s="115"/>
      <c r="D500" s="116"/>
      <c r="E500" s="113"/>
      <c r="F500" s="87"/>
      <c r="G500" s="87"/>
      <c r="H500" s="87"/>
      <c r="I500" s="87"/>
      <c r="J500" s="87"/>
      <c r="K500" s="87"/>
      <c r="L500" s="87"/>
      <c r="M500" s="113"/>
      <c r="N500" s="113"/>
      <c r="O500" s="113"/>
      <c r="P500" s="113"/>
      <c r="Q500" s="87"/>
      <c r="R500" s="87"/>
      <c r="S500" s="87"/>
      <c r="T500" s="87"/>
      <c r="U500" s="87"/>
      <c r="V500" s="87"/>
      <c r="W500" s="87"/>
      <c r="X500" s="87"/>
      <c r="Y500" s="113"/>
      <c r="Z500" s="113"/>
      <c r="AA500" s="113"/>
      <c r="AB500" s="113"/>
      <c r="AC500" s="87"/>
    </row>
    <row r="501" spans="1:29" ht="27" customHeight="1">
      <c r="A501" s="242"/>
      <c r="B501" s="243"/>
      <c r="C501" s="115"/>
      <c r="D501" s="116"/>
      <c r="E501" s="113"/>
      <c r="F501" s="87"/>
      <c r="G501" s="87"/>
      <c r="H501" s="87"/>
      <c r="I501" s="87"/>
      <c r="J501" s="87"/>
      <c r="K501" s="87"/>
      <c r="L501" s="87"/>
      <c r="M501" s="113"/>
      <c r="N501" s="113"/>
      <c r="O501" s="113"/>
      <c r="P501" s="113"/>
      <c r="Q501" s="87"/>
      <c r="R501" s="87"/>
      <c r="S501" s="87"/>
      <c r="T501" s="87"/>
      <c r="U501" s="87"/>
      <c r="V501" s="87"/>
      <c r="W501" s="87"/>
      <c r="X501" s="87"/>
      <c r="Y501" s="113"/>
      <c r="Z501" s="113"/>
      <c r="AA501" s="113"/>
      <c r="AB501" s="113"/>
      <c r="AC501" s="87"/>
    </row>
    <row r="502" spans="1:29" ht="27" customHeight="1">
      <c r="A502" s="242"/>
      <c r="B502" s="243"/>
      <c r="C502" s="115"/>
      <c r="D502" s="116"/>
      <c r="E502" s="113"/>
      <c r="F502" s="87"/>
      <c r="G502" s="87"/>
      <c r="H502" s="87"/>
      <c r="I502" s="87"/>
      <c r="J502" s="87"/>
      <c r="K502" s="87"/>
      <c r="L502" s="87"/>
      <c r="M502" s="113"/>
      <c r="N502" s="113"/>
      <c r="O502" s="113"/>
      <c r="P502" s="113"/>
      <c r="Q502" s="87"/>
      <c r="R502" s="87"/>
      <c r="S502" s="87"/>
      <c r="T502" s="87"/>
      <c r="U502" s="87"/>
      <c r="V502" s="87"/>
      <c r="W502" s="87"/>
      <c r="X502" s="87"/>
      <c r="Y502" s="113"/>
      <c r="Z502" s="113"/>
      <c r="AA502" s="113"/>
      <c r="AB502" s="113"/>
      <c r="AC502" s="87"/>
    </row>
    <row r="503" spans="1:29" ht="27" customHeight="1">
      <c r="A503" s="242"/>
      <c r="B503" s="243"/>
      <c r="C503" s="115"/>
      <c r="D503" s="116"/>
      <c r="E503" s="113"/>
      <c r="F503" s="87"/>
      <c r="G503" s="87"/>
      <c r="H503" s="87"/>
      <c r="I503" s="87"/>
      <c r="J503" s="87"/>
      <c r="K503" s="87"/>
      <c r="L503" s="87"/>
      <c r="M503" s="113"/>
      <c r="N503" s="113"/>
      <c r="O503" s="113"/>
      <c r="P503" s="113"/>
      <c r="Q503" s="87"/>
      <c r="R503" s="87"/>
      <c r="S503" s="87"/>
      <c r="T503" s="87"/>
      <c r="U503" s="87"/>
      <c r="V503" s="87"/>
      <c r="W503" s="87"/>
      <c r="X503" s="87"/>
      <c r="Y503" s="113"/>
      <c r="Z503" s="113"/>
      <c r="AA503" s="113"/>
      <c r="AB503" s="113"/>
      <c r="AC503" s="87"/>
    </row>
    <row r="504" spans="1:29" ht="27" customHeight="1">
      <c r="A504" s="242"/>
      <c r="B504" s="243"/>
      <c r="C504" s="115"/>
      <c r="D504" s="116"/>
      <c r="E504" s="113"/>
      <c r="F504" s="87"/>
      <c r="G504" s="87"/>
      <c r="H504" s="87"/>
      <c r="I504" s="87"/>
      <c r="J504" s="87"/>
      <c r="K504" s="87"/>
      <c r="L504" s="87"/>
      <c r="M504" s="113"/>
      <c r="N504" s="113"/>
      <c r="O504" s="113"/>
      <c r="P504" s="113"/>
      <c r="Q504" s="87"/>
      <c r="R504" s="87"/>
      <c r="S504" s="87"/>
      <c r="T504" s="87"/>
      <c r="U504" s="87"/>
      <c r="V504" s="87"/>
      <c r="W504" s="87"/>
      <c r="X504" s="87"/>
      <c r="Y504" s="113"/>
      <c r="Z504" s="113"/>
      <c r="AA504" s="113"/>
      <c r="AB504" s="113"/>
      <c r="AC504" s="87"/>
    </row>
    <row r="505" spans="1:29" ht="27" customHeight="1">
      <c r="A505" s="242"/>
      <c r="B505" s="243"/>
      <c r="C505" s="115"/>
      <c r="D505" s="116"/>
      <c r="E505" s="113"/>
      <c r="F505" s="87"/>
      <c r="G505" s="87"/>
      <c r="H505" s="87"/>
      <c r="I505" s="87"/>
      <c r="J505" s="87"/>
      <c r="K505" s="87"/>
      <c r="L505" s="87"/>
      <c r="M505" s="113"/>
      <c r="N505" s="113"/>
      <c r="O505" s="113"/>
      <c r="P505" s="113"/>
      <c r="Q505" s="87"/>
      <c r="R505" s="87"/>
      <c r="S505" s="87"/>
      <c r="T505" s="87"/>
      <c r="U505" s="87"/>
      <c r="V505" s="87"/>
      <c r="W505" s="87"/>
      <c r="X505" s="87"/>
      <c r="Y505" s="113"/>
      <c r="Z505" s="113"/>
      <c r="AA505" s="113"/>
      <c r="AB505" s="113"/>
      <c r="AC505" s="87"/>
    </row>
    <row r="506" spans="1:29" ht="27" customHeight="1">
      <c r="A506" s="242"/>
      <c r="B506" s="243"/>
      <c r="C506" s="115"/>
      <c r="D506" s="116"/>
      <c r="E506" s="113"/>
      <c r="F506" s="87"/>
      <c r="G506" s="87"/>
      <c r="H506" s="87"/>
      <c r="I506" s="87"/>
      <c r="J506" s="87"/>
      <c r="K506" s="87"/>
      <c r="L506" s="87"/>
      <c r="M506" s="113"/>
      <c r="N506" s="113"/>
      <c r="O506" s="113"/>
      <c r="P506" s="113"/>
      <c r="Q506" s="87"/>
      <c r="R506" s="87"/>
      <c r="S506" s="87"/>
      <c r="T506" s="87"/>
      <c r="U506" s="87"/>
      <c r="V506" s="87"/>
      <c r="W506" s="87"/>
      <c r="X506" s="87"/>
      <c r="Y506" s="113"/>
      <c r="Z506" s="113"/>
      <c r="AA506" s="113"/>
      <c r="AB506" s="113"/>
      <c r="AC506" s="87"/>
    </row>
    <row r="507" spans="1:29" ht="27" customHeight="1">
      <c r="A507" s="242"/>
      <c r="B507" s="243"/>
      <c r="C507" s="115"/>
      <c r="D507" s="116"/>
      <c r="E507" s="113"/>
      <c r="F507" s="87"/>
      <c r="G507" s="87"/>
      <c r="H507" s="87"/>
      <c r="I507" s="87"/>
      <c r="J507" s="87"/>
      <c r="K507" s="87"/>
      <c r="L507" s="87"/>
      <c r="M507" s="113"/>
      <c r="N507" s="113"/>
      <c r="O507" s="113"/>
      <c r="P507" s="113"/>
      <c r="Q507" s="87"/>
      <c r="R507" s="87"/>
      <c r="S507" s="87"/>
      <c r="T507" s="87"/>
      <c r="U507" s="87"/>
      <c r="V507" s="87"/>
      <c r="W507" s="87"/>
      <c r="X507" s="87"/>
      <c r="Y507" s="113"/>
      <c r="Z507" s="113"/>
      <c r="AA507" s="113"/>
      <c r="AB507" s="113"/>
      <c r="AC507" s="87"/>
    </row>
    <row r="508" spans="1:29" ht="27" customHeight="1">
      <c r="A508" s="242"/>
      <c r="B508" s="243"/>
      <c r="C508" s="115"/>
      <c r="D508" s="116"/>
      <c r="E508" s="113"/>
      <c r="F508" s="87"/>
      <c r="G508" s="87"/>
      <c r="H508" s="87"/>
      <c r="I508" s="87"/>
      <c r="J508" s="87"/>
      <c r="K508" s="87"/>
      <c r="L508" s="87"/>
      <c r="M508" s="113"/>
      <c r="N508" s="113"/>
      <c r="O508" s="113"/>
      <c r="P508" s="113"/>
      <c r="Q508" s="87"/>
      <c r="R508" s="87"/>
      <c r="S508" s="87"/>
      <c r="T508" s="87"/>
      <c r="U508" s="87"/>
      <c r="V508" s="87"/>
      <c r="W508" s="87"/>
      <c r="X508" s="87"/>
      <c r="Y508" s="113"/>
      <c r="Z508" s="113"/>
      <c r="AA508" s="113"/>
      <c r="AB508" s="113"/>
      <c r="AC508" s="87"/>
    </row>
    <row r="509" spans="1:29" ht="27" customHeight="1">
      <c r="A509" s="242"/>
      <c r="B509" s="243"/>
      <c r="C509" s="115"/>
      <c r="D509" s="116"/>
      <c r="E509" s="113"/>
      <c r="F509" s="87"/>
      <c r="G509" s="87"/>
      <c r="H509" s="87"/>
      <c r="I509" s="87"/>
      <c r="J509" s="87"/>
      <c r="K509" s="87"/>
      <c r="L509" s="87"/>
      <c r="M509" s="113"/>
      <c r="N509" s="113"/>
      <c r="O509" s="113"/>
      <c r="P509" s="113"/>
      <c r="Q509" s="87"/>
      <c r="R509" s="87"/>
      <c r="S509" s="87"/>
      <c r="T509" s="87"/>
      <c r="U509" s="87"/>
      <c r="V509" s="87"/>
      <c r="W509" s="87"/>
      <c r="X509" s="87"/>
      <c r="Y509" s="113"/>
      <c r="Z509" s="113"/>
      <c r="AA509" s="113"/>
      <c r="AB509" s="113"/>
      <c r="AC509" s="87"/>
    </row>
    <row r="510" spans="1:29" ht="27" customHeight="1">
      <c r="A510" s="242"/>
      <c r="B510" s="243"/>
      <c r="C510" s="115"/>
      <c r="D510" s="116"/>
      <c r="E510" s="113"/>
      <c r="F510" s="87"/>
      <c r="G510" s="87"/>
      <c r="H510" s="87"/>
      <c r="I510" s="87"/>
      <c r="J510" s="87"/>
      <c r="K510" s="87"/>
      <c r="L510" s="87"/>
      <c r="M510" s="113"/>
      <c r="N510" s="113"/>
      <c r="O510" s="113"/>
      <c r="P510" s="113"/>
      <c r="Q510" s="87"/>
      <c r="R510" s="87"/>
      <c r="S510" s="87"/>
      <c r="T510" s="87"/>
      <c r="U510" s="87"/>
      <c r="V510" s="87"/>
      <c r="W510" s="87"/>
      <c r="X510" s="87"/>
      <c r="Y510" s="113"/>
      <c r="Z510" s="113"/>
      <c r="AA510" s="113"/>
      <c r="AB510" s="113"/>
      <c r="AC510" s="87"/>
    </row>
    <row r="511" spans="1:29" ht="27" customHeight="1">
      <c r="A511" s="242"/>
      <c r="B511" s="243"/>
      <c r="C511" s="115"/>
      <c r="D511" s="116"/>
      <c r="E511" s="113"/>
      <c r="F511" s="87"/>
      <c r="G511" s="87"/>
      <c r="H511" s="87"/>
      <c r="I511" s="87"/>
      <c r="J511" s="87"/>
      <c r="K511" s="87"/>
      <c r="L511" s="87"/>
      <c r="M511" s="113"/>
      <c r="N511" s="113"/>
      <c r="O511" s="113"/>
      <c r="P511" s="113"/>
      <c r="Q511" s="87"/>
      <c r="R511" s="87"/>
      <c r="S511" s="87"/>
      <c r="T511" s="87"/>
      <c r="U511" s="87"/>
      <c r="V511" s="87"/>
      <c r="W511" s="87"/>
      <c r="X511" s="87"/>
      <c r="Y511" s="113"/>
      <c r="Z511" s="113"/>
      <c r="AA511" s="113"/>
      <c r="AB511" s="113"/>
      <c r="AC511" s="87"/>
    </row>
    <row r="512" spans="1:29" ht="27" customHeight="1">
      <c r="A512" s="242"/>
      <c r="B512" s="243"/>
      <c r="C512" s="115"/>
      <c r="D512" s="116"/>
      <c r="E512" s="113"/>
      <c r="F512" s="87"/>
      <c r="G512" s="87"/>
      <c r="H512" s="87"/>
      <c r="I512" s="87"/>
      <c r="J512" s="87"/>
      <c r="K512" s="87"/>
      <c r="L512" s="87"/>
      <c r="M512" s="113"/>
      <c r="N512" s="113"/>
      <c r="O512" s="113"/>
      <c r="P512" s="113"/>
      <c r="Q512" s="87"/>
      <c r="R512" s="87"/>
      <c r="S512" s="87"/>
      <c r="T512" s="87"/>
      <c r="U512" s="87"/>
      <c r="V512" s="87"/>
      <c r="W512" s="87"/>
      <c r="X512" s="87"/>
      <c r="Y512" s="113"/>
      <c r="Z512" s="113"/>
      <c r="AA512" s="113"/>
      <c r="AB512" s="113"/>
      <c r="AC512" s="87"/>
    </row>
    <row r="513" spans="1:29" ht="27" customHeight="1">
      <c r="A513" s="242"/>
      <c r="B513" s="243"/>
      <c r="C513" s="115"/>
      <c r="D513" s="116"/>
      <c r="E513" s="113"/>
      <c r="F513" s="87"/>
      <c r="G513" s="87"/>
      <c r="H513" s="87"/>
      <c r="I513" s="87"/>
      <c r="J513" s="87"/>
      <c r="K513" s="87"/>
      <c r="L513" s="87"/>
      <c r="M513" s="113"/>
      <c r="N513" s="113"/>
      <c r="O513" s="113"/>
      <c r="P513" s="113"/>
      <c r="Q513" s="87"/>
      <c r="R513" s="87"/>
      <c r="S513" s="87"/>
      <c r="T513" s="87"/>
      <c r="U513" s="87"/>
      <c r="V513" s="87"/>
      <c r="W513" s="87"/>
      <c r="X513" s="87"/>
      <c r="Y513" s="113"/>
      <c r="Z513" s="113"/>
      <c r="AA513" s="113"/>
      <c r="AB513" s="113"/>
      <c r="AC513" s="87"/>
    </row>
    <row r="514" spans="1:29" ht="27" customHeight="1">
      <c r="A514" s="242"/>
      <c r="B514" s="243"/>
      <c r="C514" s="115"/>
      <c r="D514" s="116"/>
      <c r="E514" s="113"/>
      <c r="F514" s="87"/>
      <c r="G514" s="87"/>
      <c r="H514" s="87"/>
      <c r="I514" s="87"/>
      <c r="J514" s="87"/>
      <c r="K514" s="87"/>
      <c r="L514" s="87"/>
      <c r="M514" s="113"/>
      <c r="N514" s="113"/>
      <c r="O514" s="113"/>
      <c r="P514" s="113"/>
      <c r="Q514" s="87"/>
      <c r="R514" s="87"/>
      <c r="S514" s="87"/>
      <c r="T514" s="87"/>
      <c r="U514" s="87"/>
      <c r="V514" s="87"/>
      <c r="W514" s="87"/>
      <c r="X514" s="87"/>
      <c r="Y514" s="113"/>
      <c r="Z514" s="113"/>
      <c r="AA514" s="113"/>
      <c r="AB514" s="113"/>
      <c r="AC514" s="87"/>
    </row>
    <row r="515" spans="1:29" ht="27" customHeight="1">
      <c r="A515" s="242"/>
      <c r="B515" s="243"/>
      <c r="C515" s="115"/>
      <c r="D515" s="116"/>
      <c r="E515" s="113"/>
      <c r="F515" s="87"/>
      <c r="G515" s="87"/>
      <c r="H515" s="87"/>
      <c r="I515" s="87"/>
      <c r="J515" s="87"/>
      <c r="K515" s="87"/>
      <c r="L515" s="87"/>
      <c r="M515" s="113"/>
      <c r="N515" s="113"/>
      <c r="O515" s="113"/>
      <c r="P515" s="113"/>
      <c r="Q515" s="87"/>
      <c r="R515" s="87"/>
      <c r="S515" s="87"/>
      <c r="T515" s="87"/>
      <c r="U515" s="87"/>
      <c r="V515" s="87"/>
      <c r="W515" s="87"/>
      <c r="X515" s="87"/>
      <c r="Y515" s="113"/>
      <c r="Z515" s="113"/>
      <c r="AA515" s="113"/>
      <c r="AB515" s="113"/>
      <c r="AC515" s="87"/>
    </row>
    <row r="516" spans="1:29" ht="27" customHeight="1">
      <c r="A516" s="242"/>
      <c r="B516" s="243"/>
      <c r="C516" s="115"/>
      <c r="D516" s="116"/>
      <c r="E516" s="113"/>
      <c r="F516" s="87"/>
      <c r="G516" s="87"/>
      <c r="H516" s="87"/>
      <c r="I516" s="87"/>
      <c r="J516" s="87"/>
      <c r="K516" s="87"/>
      <c r="L516" s="87"/>
      <c r="M516" s="113"/>
      <c r="N516" s="113"/>
      <c r="O516" s="113"/>
      <c r="P516" s="113"/>
      <c r="Q516" s="87"/>
      <c r="R516" s="87"/>
      <c r="S516" s="87"/>
      <c r="T516" s="87"/>
      <c r="U516" s="87"/>
      <c r="V516" s="87"/>
      <c r="W516" s="87"/>
      <c r="X516" s="87"/>
      <c r="Y516" s="113"/>
      <c r="Z516" s="113"/>
      <c r="AA516" s="113"/>
      <c r="AB516" s="113"/>
      <c r="AC516" s="87"/>
    </row>
    <row r="517" spans="1:29" ht="27" customHeight="1">
      <c r="A517" s="242"/>
      <c r="B517" s="243"/>
      <c r="C517" s="115"/>
      <c r="D517" s="116"/>
      <c r="E517" s="113"/>
      <c r="F517" s="87"/>
      <c r="G517" s="87"/>
      <c r="H517" s="87"/>
      <c r="I517" s="87"/>
      <c r="J517" s="87"/>
      <c r="K517" s="87"/>
      <c r="L517" s="87"/>
      <c r="M517" s="113"/>
      <c r="N517" s="113"/>
      <c r="O517" s="113"/>
      <c r="P517" s="113"/>
      <c r="Q517" s="87"/>
      <c r="R517" s="87"/>
      <c r="S517" s="87"/>
      <c r="T517" s="87"/>
      <c r="U517" s="87"/>
      <c r="V517" s="87"/>
      <c r="W517" s="87"/>
      <c r="X517" s="87"/>
      <c r="Y517" s="113"/>
      <c r="Z517" s="113"/>
      <c r="AA517" s="113"/>
      <c r="AB517" s="113"/>
      <c r="AC517" s="87"/>
    </row>
    <row r="518" spans="1:29" ht="27" customHeight="1">
      <c r="A518" s="242"/>
      <c r="B518" s="243"/>
      <c r="C518" s="115"/>
      <c r="D518" s="116"/>
      <c r="E518" s="113"/>
      <c r="F518" s="87"/>
      <c r="G518" s="87"/>
      <c r="H518" s="87"/>
      <c r="I518" s="87"/>
      <c r="J518" s="87"/>
      <c r="K518" s="87"/>
      <c r="L518" s="87"/>
      <c r="M518" s="113"/>
      <c r="N518" s="113"/>
      <c r="O518" s="113"/>
      <c r="P518" s="113"/>
      <c r="Q518" s="87"/>
      <c r="R518" s="87"/>
      <c r="S518" s="87"/>
      <c r="T518" s="87"/>
      <c r="U518" s="87"/>
      <c r="V518" s="87"/>
      <c r="W518" s="87"/>
      <c r="X518" s="87"/>
      <c r="Y518" s="113"/>
      <c r="Z518" s="113"/>
      <c r="AA518" s="113"/>
      <c r="AB518" s="113"/>
      <c r="AC518" s="87"/>
    </row>
  </sheetData>
  <autoFilter ref="A11:AQ492" xr:uid="{00000000-0009-0000-0000-000006000000}"/>
  <mergeCells count="19">
    <mergeCell ref="W4:X4"/>
    <mergeCell ref="Q8:R8"/>
    <mergeCell ref="Q9:Q10"/>
    <mergeCell ref="R9:R10"/>
    <mergeCell ref="B8:B10"/>
    <mergeCell ref="A8:A10"/>
    <mergeCell ref="F8:L8"/>
    <mergeCell ref="F9:H9"/>
    <mergeCell ref="Y8:AC8"/>
    <mergeCell ref="S8:X8"/>
    <mergeCell ref="Y9:AA9"/>
    <mergeCell ref="AB9:AB10"/>
    <mergeCell ref="AC9:AC10"/>
    <mergeCell ref="S9:S10"/>
    <mergeCell ref="T9:T10"/>
    <mergeCell ref="U9:U10"/>
    <mergeCell ref="M8:P8"/>
    <mergeCell ref="E8:E10"/>
    <mergeCell ref="C8:C10"/>
  </mergeCells>
  <phoneticPr fontId="0" type="noConversion"/>
  <conditionalFormatting sqref="AR58:FL58 AK58">
    <cfRule type="cellIs" dxfId="11" priority="41" stopIfTrue="1" operator="lessThan">
      <formula>0</formula>
    </cfRule>
  </conditionalFormatting>
  <printOptions horizontalCentered="1"/>
  <pageMargins left="0" right="0" top="0.04" bottom="0.19" header="0.32" footer="0.13"/>
  <pageSetup paperSize="8" scale="50" fitToHeight="5" orientation="landscape" r:id="rId1"/>
  <headerFooter alignWithMargins="0">
    <oddFooter>Page &amp;P of &amp;N</oddFooter>
  </headerFooter>
  <ignoredErrors>
    <ignoredError sqref="P12 AE12 O2" evalError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/>
  <dimension ref="A1:AD514"/>
  <sheetViews>
    <sheetView tabSelected="1" view="pageBreakPreview" zoomScale="87" zoomScaleNormal="100" zoomScaleSheetLayoutView="87" workbookViewId="0">
      <pane ySplit="11" topLeftCell="A360" activePane="bottomLeft" state="frozen"/>
      <selection pane="bottomLeft"/>
    </sheetView>
  </sheetViews>
  <sheetFormatPr defaultColWidth="9.140625" defaultRowHeight="12.75"/>
  <cols>
    <col min="1" max="1" width="6.140625" style="307" customWidth="1"/>
    <col min="2" max="2" width="18.28515625" style="307" customWidth="1"/>
    <col min="3" max="3" width="20.28515625" style="307" customWidth="1"/>
    <col min="4" max="4" width="10.7109375" style="304" customWidth="1"/>
    <col min="5" max="5" width="8.85546875" style="207" customWidth="1"/>
    <col min="6" max="6" width="9.140625" style="207" customWidth="1"/>
    <col min="7" max="7" width="9.28515625" style="207" customWidth="1"/>
    <col min="8" max="8" width="15" style="207" customWidth="1"/>
    <col min="9" max="9" width="10.140625" style="207" bestFit="1" customWidth="1"/>
    <col min="10" max="10" width="11.85546875" style="207" bestFit="1" customWidth="1"/>
    <col min="11" max="11" width="14.42578125" style="207" bestFit="1" customWidth="1"/>
    <col min="12" max="12" width="9.7109375" style="207" bestFit="1" customWidth="1"/>
    <col min="13" max="13" width="14" style="207" customWidth="1"/>
    <col min="14" max="14" width="18.7109375" style="207" customWidth="1"/>
    <col min="15" max="15" width="22.85546875" style="207" customWidth="1"/>
    <col min="16" max="16" width="12.5703125" style="207" customWidth="1"/>
    <col min="17" max="17" width="15.42578125" style="304" bestFit="1" customWidth="1"/>
    <col min="18" max="18" width="15.7109375" style="207" bestFit="1" customWidth="1"/>
    <col min="19" max="19" width="15" style="207" bestFit="1" customWidth="1"/>
    <col min="20" max="20" width="8.28515625" style="207" bestFit="1" customWidth="1"/>
    <col min="21" max="21" width="12" style="207" customWidth="1"/>
    <col min="22" max="23" width="8.5703125" style="207" customWidth="1"/>
    <col min="24" max="24" width="10" style="207" customWidth="1"/>
    <col min="25" max="25" width="10.5703125" style="207" customWidth="1"/>
    <col min="26" max="26" width="12" style="207" customWidth="1"/>
    <col min="27" max="27" width="31.85546875" style="207" bestFit="1" customWidth="1"/>
    <col min="28" max="28" width="15.28515625" style="196" customWidth="1"/>
    <col min="29" max="29" width="9.140625" style="196" customWidth="1"/>
    <col min="30" max="30" width="9.140625" style="196"/>
    <col min="31" max="16384" width="9.140625" style="177"/>
  </cols>
  <sheetData>
    <row r="1" spans="1:30" s="10" customFormat="1" ht="24" customHeight="1">
      <c r="A1" s="258">
        <f>'Overhead exp(제조경비)'!A1</f>
        <v>0</v>
      </c>
      <c r="B1" s="258"/>
      <c r="C1" s="258"/>
      <c r="D1" s="1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3"/>
      <c r="Q1" s="12"/>
      <c r="R1" s="11"/>
      <c r="S1" s="11"/>
      <c r="T1" s="11"/>
      <c r="U1" s="11"/>
      <c r="V1" s="11"/>
      <c r="W1" s="11"/>
      <c r="X1" s="11"/>
      <c r="Y1" s="11"/>
      <c r="Z1" s="11"/>
      <c r="AA1" s="11"/>
      <c r="AB1" s="18"/>
      <c r="AC1" s="18"/>
      <c r="AD1" s="18"/>
    </row>
    <row r="2" spans="1:30" s="10" customFormat="1" ht="21.75" customHeight="1">
      <c r="A2" s="258"/>
      <c r="B2" s="258"/>
      <c r="C2" s="258"/>
      <c r="D2" s="12"/>
      <c r="E2" s="11"/>
      <c r="F2" s="11"/>
      <c r="G2" s="11"/>
      <c r="H2" s="13"/>
      <c r="I2" s="11"/>
      <c r="J2" s="11"/>
      <c r="K2" s="13"/>
      <c r="L2" s="11"/>
      <c r="M2" s="11"/>
      <c r="N2" s="11"/>
      <c r="O2" s="11"/>
      <c r="P2" s="11"/>
      <c r="Q2" s="12"/>
      <c r="R2" s="11"/>
      <c r="S2" s="11"/>
      <c r="T2" s="11"/>
      <c r="U2" s="11"/>
      <c r="V2" s="11"/>
      <c r="W2" s="11"/>
      <c r="X2" s="11"/>
      <c r="Y2" s="11"/>
      <c r="Z2" s="11"/>
      <c r="AA2" s="11"/>
      <c r="AB2" s="18"/>
      <c r="AC2" s="18"/>
      <c r="AD2" s="18"/>
    </row>
    <row r="3" spans="1:30" s="10" customFormat="1" ht="21" customHeight="1">
      <c r="A3" s="258"/>
      <c r="B3" s="258"/>
      <c r="C3" s="259"/>
      <c r="D3" s="18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18"/>
      <c r="AC3" s="18"/>
      <c r="AD3" s="18"/>
    </row>
    <row r="4" spans="1:30" s="10" customFormat="1" ht="12.75" hidden="1" customHeight="1">
      <c r="A4" s="258"/>
      <c r="B4" s="258"/>
      <c r="C4" s="259"/>
      <c r="D4" s="18"/>
      <c r="E4" s="220"/>
      <c r="G4" s="11"/>
      <c r="H4" s="11"/>
      <c r="I4" s="11"/>
      <c r="J4" s="11"/>
      <c r="K4" s="13">
        <f>K7+O7-Q7-U7-AA7</f>
        <v>5</v>
      </c>
      <c r="L4" s="11"/>
      <c r="M4" s="11"/>
      <c r="N4" s="11"/>
      <c r="O4" s="11"/>
      <c r="P4" s="11"/>
      <c r="Q4" s="12"/>
      <c r="R4" s="11"/>
      <c r="S4" s="11"/>
      <c r="T4" s="11"/>
      <c r="U4" s="11"/>
      <c r="V4" s="11"/>
      <c r="W4" s="11"/>
      <c r="X4" s="11"/>
      <c r="Y4" s="11"/>
      <c r="Z4" s="11"/>
      <c r="AA4" s="11"/>
      <c r="AB4" s="18"/>
      <c r="AC4" s="18"/>
      <c r="AD4" s="18"/>
    </row>
    <row r="5" spans="1:30" s="17" customFormat="1" ht="31.5" customHeight="1">
      <c r="A5" s="260" t="s">
        <v>116</v>
      </c>
      <c r="B5" s="261"/>
      <c r="C5" s="259"/>
      <c r="D5" s="214"/>
      <c r="E5" s="220"/>
      <c r="F5" s="215"/>
      <c r="G5" s="213"/>
      <c r="H5" s="213"/>
      <c r="I5" s="213"/>
      <c r="J5" s="213"/>
      <c r="K5" s="216"/>
      <c r="L5" s="213"/>
      <c r="M5" s="213"/>
      <c r="N5" s="213"/>
      <c r="O5" s="216"/>
      <c r="P5" s="217"/>
      <c r="Q5" s="218"/>
      <c r="R5" s="213"/>
      <c r="S5" s="213"/>
      <c r="T5" s="213"/>
      <c r="U5" s="218"/>
      <c r="V5" s="213"/>
      <c r="W5" s="213"/>
      <c r="X5" s="213"/>
      <c r="Y5" s="213"/>
      <c r="Z5" s="213"/>
      <c r="AA5" s="213"/>
      <c r="AB5" s="308"/>
      <c r="AC5" s="308"/>
      <c r="AD5" s="308"/>
    </row>
    <row r="6" spans="1:30" s="17" customFormat="1" ht="31.5" customHeight="1">
      <c r="A6" s="262" t="str">
        <f>'JUNE (물량흐름)'!A6</f>
        <v>THÁNG 06 /JUNE '18</v>
      </c>
      <c r="B6" s="263"/>
      <c r="C6" s="263"/>
      <c r="D6" s="14"/>
      <c r="E6" s="14"/>
      <c r="F6" s="14"/>
      <c r="G6" s="14"/>
      <c r="H6" s="435"/>
      <c r="I6" s="435"/>
      <c r="J6" s="25"/>
      <c r="K6" s="25"/>
      <c r="L6" s="15"/>
      <c r="M6" s="15"/>
      <c r="N6" s="15"/>
      <c r="O6" s="15"/>
      <c r="P6" s="16"/>
      <c r="Q6" s="16"/>
      <c r="R6" s="15"/>
      <c r="S6" s="15"/>
      <c r="T6" s="15"/>
      <c r="U6" s="15"/>
      <c r="V6" s="15"/>
      <c r="W6" s="15"/>
      <c r="X6" s="15"/>
      <c r="Y6" s="15"/>
      <c r="Z6" s="15"/>
      <c r="AA6" s="15"/>
      <c r="AB6" s="308"/>
      <c r="AC6" s="308"/>
      <c r="AD6" s="308"/>
    </row>
    <row r="7" spans="1:30" s="10" customFormat="1" ht="20.25" customHeight="1">
      <c r="A7" s="264"/>
      <c r="B7" s="264"/>
      <c r="C7" s="264"/>
      <c r="D7" s="7"/>
      <c r="E7" s="343">
        <f>SUBTOTAL(9,E12:E492)</f>
        <v>29157</v>
      </c>
      <c r="F7" s="343">
        <f>SUBTOTAL(9,F12:F492)</f>
        <v>77476</v>
      </c>
      <c r="G7" s="343">
        <f>SUBTOTAL(9,G12:G492)</f>
        <v>183906</v>
      </c>
      <c r="H7" s="343">
        <f>SUBTOTAL(9,H12:H492)</f>
        <v>290539</v>
      </c>
      <c r="I7" s="343">
        <f>SUBTOTAL(9,I12:I492)</f>
        <v>191701</v>
      </c>
      <c r="J7" s="343">
        <f>SUBTOTAL(9,J12:J433)</f>
        <v>0</v>
      </c>
      <c r="K7" s="432">
        <f>SUBTOTAL(9,K12:K492)</f>
        <v>2982751877</v>
      </c>
      <c r="L7" s="343">
        <f>SUBTOTAL(9,L12:L492)</f>
        <v>482727</v>
      </c>
      <c r="M7" s="343">
        <f>SUBTOTAL(9,M12:M492)</f>
        <v>453427</v>
      </c>
      <c r="N7" s="343">
        <f>SUBTOTAL(9,N12:N492)</f>
        <v>21931451051</v>
      </c>
      <c r="O7" s="432">
        <f>SUBTOTAL(9,O12:O492)</f>
        <v>6782821103</v>
      </c>
      <c r="P7" s="343">
        <f t="shared" ref="P7:AA7" si="0">SUBTOTAL(9,P12:P493)</f>
        <v>445561</v>
      </c>
      <c r="Q7" s="343">
        <f t="shared" si="0"/>
        <v>6260644579</v>
      </c>
      <c r="R7" s="343">
        <f t="shared" si="0"/>
        <v>0</v>
      </c>
      <c r="S7" s="343">
        <f t="shared" si="0"/>
        <v>0</v>
      </c>
      <c r="T7" s="343">
        <f t="shared" si="0"/>
        <v>605</v>
      </c>
      <c r="U7" s="343">
        <f t="shared" si="0"/>
        <v>9593164</v>
      </c>
      <c r="V7" s="343">
        <f t="shared" si="0"/>
        <v>35663</v>
      </c>
      <c r="W7" s="343">
        <f t="shared" si="0"/>
        <v>90847</v>
      </c>
      <c r="X7" s="343">
        <f t="shared" si="0"/>
        <v>200590</v>
      </c>
      <c r="Y7" s="343">
        <f t="shared" si="0"/>
        <v>327100</v>
      </c>
      <c r="Z7" s="343">
        <f t="shared" si="0"/>
        <v>213036</v>
      </c>
      <c r="AA7" s="343">
        <f t="shared" si="0"/>
        <v>3495335232</v>
      </c>
      <c r="AB7" s="18"/>
      <c r="AC7" s="18"/>
      <c r="AD7" s="18"/>
    </row>
    <row r="8" spans="1:30" s="10" customFormat="1" ht="16.5" customHeight="1">
      <c r="A8" s="614" t="s">
        <v>37</v>
      </c>
      <c r="B8" s="617" t="s">
        <v>175</v>
      </c>
      <c r="C8" s="617" t="s">
        <v>176</v>
      </c>
      <c r="D8" s="619" t="s">
        <v>64</v>
      </c>
      <c r="E8" s="621" t="s">
        <v>16</v>
      </c>
      <c r="F8" s="621"/>
      <c r="G8" s="621"/>
      <c r="H8" s="621"/>
      <c r="I8" s="621"/>
      <c r="J8" s="621"/>
      <c r="K8" s="621"/>
      <c r="L8" s="621" t="s">
        <v>66</v>
      </c>
      <c r="M8" s="621"/>
      <c r="N8" s="621"/>
      <c r="O8" s="621"/>
      <c r="P8" s="621" t="s">
        <v>14</v>
      </c>
      <c r="Q8" s="621"/>
      <c r="R8" s="621"/>
      <c r="S8" s="621"/>
      <c r="T8" s="621"/>
      <c r="U8" s="621"/>
      <c r="V8" s="621" t="s">
        <v>68</v>
      </c>
      <c r="W8" s="621"/>
      <c r="X8" s="621"/>
      <c r="Y8" s="621"/>
      <c r="Z8" s="621"/>
      <c r="AA8" s="624"/>
      <c r="AB8" s="18"/>
      <c r="AC8" s="18"/>
      <c r="AD8" s="18"/>
    </row>
    <row r="9" spans="1:30" s="10" customFormat="1" ht="17.25" customHeight="1">
      <c r="A9" s="615"/>
      <c r="B9" s="618"/>
      <c r="C9" s="618"/>
      <c r="D9" s="620"/>
      <c r="E9" s="622" t="s">
        <v>65</v>
      </c>
      <c r="F9" s="622"/>
      <c r="G9" s="622"/>
      <c r="H9" s="622"/>
      <c r="I9" s="616" t="s">
        <v>76</v>
      </c>
      <c r="J9" s="622" t="s">
        <v>71</v>
      </c>
      <c r="K9" s="622"/>
      <c r="L9" s="616" t="s">
        <v>74</v>
      </c>
      <c r="M9" s="616" t="s">
        <v>76</v>
      </c>
      <c r="N9" s="616" t="s">
        <v>75</v>
      </c>
      <c r="O9" s="616" t="s">
        <v>78</v>
      </c>
      <c r="P9" s="622" t="s">
        <v>67</v>
      </c>
      <c r="Q9" s="622"/>
      <c r="R9" s="622"/>
      <c r="S9" s="616" t="s">
        <v>69</v>
      </c>
      <c r="T9" s="616" t="s">
        <v>81</v>
      </c>
      <c r="U9" s="616" t="s">
        <v>72</v>
      </c>
      <c r="V9" s="622" t="s">
        <v>15</v>
      </c>
      <c r="W9" s="622"/>
      <c r="X9" s="622"/>
      <c r="Y9" s="622"/>
      <c r="Z9" s="623" t="s">
        <v>73</v>
      </c>
      <c r="AA9" s="27"/>
      <c r="AB9" s="18"/>
      <c r="AC9" s="18"/>
      <c r="AD9" s="18"/>
    </row>
    <row r="10" spans="1:30" s="10" customFormat="1" ht="39" customHeight="1">
      <c r="A10" s="615"/>
      <c r="B10" s="618"/>
      <c r="C10" s="618"/>
      <c r="D10" s="620"/>
      <c r="E10" s="221">
        <v>0.2</v>
      </c>
      <c r="F10" s="221">
        <v>0.5</v>
      </c>
      <c r="G10" s="221">
        <v>0.8</v>
      </c>
      <c r="H10" s="8" t="s">
        <v>11</v>
      </c>
      <c r="I10" s="616"/>
      <c r="J10" s="9" t="s">
        <v>1</v>
      </c>
      <c r="K10" s="24" t="s">
        <v>2</v>
      </c>
      <c r="L10" s="616"/>
      <c r="M10" s="616"/>
      <c r="N10" s="616"/>
      <c r="O10" s="625"/>
      <c r="P10" s="8" t="s">
        <v>12</v>
      </c>
      <c r="Q10" s="23" t="s">
        <v>70</v>
      </c>
      <c r="R10" s="22" t="s">
        <v>61</v>
      </c>
      <c r="S10" s="625"/>
      <c r="T10" s="616"/>
      <c r="U10" s="616"/>
      <c r="V10" s="221">
        <v>0.2</v>
      </c>
      <c r="W10" s="221">
        <v>0.5</v>
      </c>
      <c r="X10" s="221">
        <v>0.8</v>
      </c>
      <c r="Y10" s="9" t="s">
        <v>11</v>
      </c>
      <c r="Z10" s="622"/>
      <c r="AA10" s="28" t="s">
        <v>119</v>
      </c>
      <c r="AB10" s="18"/>
      <c r="AC10" s="18"/>
      <c r="AD10" s="18"/>
    </row>
    <row r="11" spans="1:30" s="271" customFormat="1">
      <c r="A11" s="265">
        <v>1</v>
      </c>
      <c r="B11" s="266">
        <v>3</v>
      </c>
      <c r="C11" s="266">
        <v>4</v>
      </c>
      <c r="D11" s="266">
        <v>5</v>
      </c>
      <c r="E11" s="266">
        <v>6</v>
      </c>
      <c r="F11" s="266">
        <v>7</v>
      </c>
      <c r="G11" s="266">
        <v>8</v>
      </c>
      <c r="H11" s="266">
        <v>9</v>
      </c>
      <c r="I11" s="266">
        <v>10</v>
      </c>
      <c r="J11" s="266">
        <v>11</v>
      </c>
      <c r="K11" s="266">
        <v>12</v>
      </c>
      <c r="L11" s="266">
        <v>13</v>
      </c>
      <c r="M11" s="266">
        <v>14</v>
      </c>
      <c r="N11" s="266">
        <v>15</v>
      </c>
      <c r="O11" s="266">
        <v>17</v>
      </c>
      <c r="P11" s="266">
        <v>18</v>
      </c>
      <c r="Q11" s="269">
        <v>19</v>
      </c>
      <c r="R11" s="266">
        <v>20</v>
      </c>
      <c r="S11" s="266">
        <v>21</v>
      </c>
      <c r="T11" s="266">
        <v>22</v>
      </c>
      <c r="U11" s="266">
        <v>23</v>
      </c>
      <c r="V11" s="266">
        <v>24</v>
      </c>
      <c r="W11" s="266">
        <v>25</v>
      </c>
      <c r="X11" s="266">
        <v>26</v>
      </c>
      <c r="Y11" s="266">
        <v>27</v>
      </c>
      <c r="Z11" s="266">
        <v>28</v>
      </c>
      <c r="AA11" s="270">
        <v>30</v>
      </c>
      <c r="AB11" s="18"/>
      <c r="AC11" s="18"/>
      <c r="AD11" s="18"/>
    </row>
    <row r="12" spans="1:30" s="390" customFormat="1" ht="15" customHeight="1">
      <c r="A12" s="167">
        <v>1</v>
      </c>
      <c r="B12" s="267" t="str">
        <f>VLOOKUP(A12,'JUNE (물량흐름)'!$A$13:$C$502,2,0)</f>
        <v>ALFANI</v>
      </c>
      <c r="C12" s="240">
        <f>VLOOKUP(A12,'JUNE (물량흐름)'!$A$13:$C$502,3,0)</f>
        <v>69717</v>
      </c>
      <c r="D12" s="6">
        <f>VLOOKUP(C12,'WIP(재공품)'!$B$12:$E$493,4,0)</f>
        <v>46937.25</v>
      </c>
      <c r="E12" s="6">
        <f>IFERROR(VLOOKUP(C12,O.B.JUNE!$AA$7:$AG$448,2,0),0)</f>
        <v>906</v>
      </c>
      <c r="F12" s="6">
        <f>IFERROR(VLOOKUP(C12,O.B.JUNE!$AA$7:$AG$448,3,0),0)</f>
        <v>1305</v>
      </c>
      <c r="G12" s="6">
        <f>IFERROR(VLOOKUP(C12,O.B.JUNE!$AA$7:$AD$448,4,0),0)</f>
        <v>1244</v>
      </c>
      <c r="H12" s="6">
        <f>ROUND(SUM(E12:G12),0)</f>
        <v>3455</v>
      </c>
      <c r="I12" s="6">
        <f>IFERROR(VLOOKUP(C12,O.B.JUNE!$AA$7:$AF$448,6,0),0)</f>
        <v>1829</v>
      </c>
      <c r="J12" s="6"/>
      <c r="K12" s="6">
        <f>IFERROR(VLOOKUP(C12,O.B.JUNE!$AA$7:$AG$448,7,0),0)</f>
        <v>15027404</v>
      </c>
      <c r="L12" s="6">
        <f>SUMIF('JUNE (물량흐름)'!$C$13:$C$502,'Direct labour(직접노무비)'!C12,'JUNE (물량흐름)'!$H$13:$H$502)+SUMIF('JUNE (물량흐름)'!$C$13:$C$502,'Direct labour(직접노무비)'!C12,'JUNE (물량흐름)'!$I$13:$I$502)</f>
        <v>0</v>
      </c>
      <c r="M12" s="6">
        <f>ROUND(IF(OR(L12&lt;=0,P12+T12+R12+Z12-I12&lt;0),0,ROUND(P12+T12+R12+Z12-I12,0)),0)</f>
        <v>0</v>
      </c>
      <c r="N12" s="6">
        <f>ROUND(M12*D12,0)</f>
        <v>0</v>
      </c>
      <c r="O12" s="6">
        <f t="shared" ref="O12:O43" si="1">ROUND(M12*D12*$O$493/$N$493,0)</f>
        <v>0</v>
      </c>
      <c r="P12" s="6">
        <f>SUMIF('JUNE (물량흐름)'!$C$13:$C$502,C12,'JUNE (물량흐름)'!$T$13:$T$502)+SUMIF('JUNE (물량흐름)'!$C$13:$C$502,C12,'JUNE (물량흐름)'!$V$13:$V$502)+SUMIF('JUNE (물량흐름)'!$C$13:$C$502,C12,'JUNE (물량흐름)'!$U$13:$U$502)-SUMIF('JUNE (물량흐름)'!$C$13:$C$502,C12,'JUNE (물량흐름)'!$Y$13:$Y$502)</f>
        <v>2500</v>
      </c>
      <c r="Q12" s="6">
        <f>IFERROR(ROUND(IF(OR(P12&lt;=0,($I12+$M12)=0),$P12*($K12+$O12)/($I12+$M12),$P12*($K12+$O12)/($H12+$L12)),0),0)</f>
        <v>10873664</v>
      </c>
      <c r="R12" s="6">
        <f>ROUND(IF(ISERROR(VLOOKUP(#REF!,'WIP(재공품)'!$B$12:$AB$38,13,0)),0,VLOOKUP(#REF!,'WIP(재공품)'!$B$12:$AB$38,13,0)),0)</f>
        <v>0</v>
      </c>
      <c r="S12" s="6">
        <f>IF(ISERROR(VLOOKUP(#REF!,'WIP(재공품)'!$B$12:$AB$38,10,0)),0,VLOOKUP(#REF!,'WIP(재공품)'!$B$12:$AB$38,10,0))</f>
        <v>0</v>
      </c>
      <c r="T12" s="6">
        <f>SUMIF('JUNE (물량흐름)'!$C$13:$C$502,'Direct labour(직접노무비)'!C12,'JUNE (물량흐름)'!$Y$13:$Y$502)</f>
        <v>0</v>
      </c>
      <c r="U12" s="6">
        <f>IFERROR(ROUND(IF(AND(T12&lt;=0,($I12+$M12)=0),T12*(K12+O12)/(I12+M12),T12*(K12+O12)/(H12+L12)),0),0)</f>
        <v>0</v>
      </c>
      <c r="V12" s="6">
        <f>ROUND(SUMIF('JUNE (물량흐름)'!$C$13:$C$502,'Direct labour(직접노무비)'!C12,'JUNE (물량흐름)'!$N$13:$N$502),0)</f>
        <v>0</v>
      </c>
      <c r="W12" s="6">
        <f>ROUND(SUMIF('JUNE (물량흐름)'!$C$13:$C$502,'Direct labour(직접노무비)'!C12,'JUNE (물량흐름)'!$O$13:$O$502),0)</f>
        <v>224</v>
      </c>
      <c r="X12" s="6">
        <f>ROUND(SUMIF('JUNE (물량흐름)'!$C$13:$C$502,'Direct labour(직접노무비)'!C12,'JUNE (물량흐름)'!$P$13:$P$502),0)</f>
        <v>731</v>
      </c>
      <c r="Y12" s="6">
        <f>ROUND(SUM(V12:X12),0)</f>
        <v>955</v>
      </c>
      <c r="Z12" s="6">
        <f>ROUND(V12*$V$10+W12*$W$10+X12*$X$10,0)</f>
        <v>697</v>
      </c>
      <c r="AA12" s="6">
        <f>IFERROR(ROUND(IF(OR(Z12&lt;=0,($I12+$M12)=0),$Z12*($K12+$O12)/($I12+$M12),$Y12*($K12+$O12)/($H12+$L12)),0),0)</f>
        <v>4153740</v>
      </c>
      <c r="AB12" s="389">
        <f>K12+O12-Q12-U12-AA12</f>
        <v>0</v>
      </c>
      <c r="AC12" s="389">
        <f>H12+L12-P12-T12-Y12</f>
        <v>0</v>
      </c>
      <c r="AD12" s="389">
        <f>H12+L12-P12-T12-Y12</f>
        <v>0</v>
      </c>
    </row>
    <row r="13" spans="1:30" s="390" customFormat="1" ht="15" customHeight="1">
      <c r="A13" s="167">
        <v>2</v>
      </c>
      <c r="B13" s="267" t="str">
        <f>VLOOKUP(A13,'JUNE (물량흐름)'!$A$13:$C$502,2,0)</f>
        <v>ALFANI</v>
      </c>
      <c r="C13" s="240">
        <f>VLOOKUP(A13,'JUNE (물량흐름)'!$A$13:$C$502,3,0)</f>
        <v>73738</v>
      </c>
      <c r="D13" s="6">
        <f>VLOOKUP(C13,'WIP(재공품)'!$B$12:$E$493,4,0)</f>
        <v>40815</v>
      </c>
      <c r="E13" s="6">
        <f>IFERROR(VLOOKUP(C13,O.B.JUNE!$AA$7:$AG$448,2,0),0)</f>
        <v>0</v>
      </c>
      <c r="F13" s="6">
        <f>IFERROR(VLOOKUP(C13,O.B.JUNE!$AA$7:$AG$448,3,0),0)</f>
        <v>0</v>
      </c>
      <c r="G13" s="6">
        <f>IFERROR(VLOOKUP(C13,O.B.JUNE!$AA$7:$AD$448,4,0),0)</f>
        <v>473</v>
      </c>
      <c r="H13" s="6">
        <f t="shared" ref="H13:H76" si="2">ROUND(SUM(E13:G13),0)</f>
        <v>473</v>
      </c>
      <c r="I13" s="6">
        <f>IFERROR(VLOOKUP(C13,O.B.JUNE!$AA$7:$AF$448,6,0),0)</f>
        <v>378</v>
      </c>
      <c r="J13" s="6"/>
      <c r="K13" s="6">
        <f>IFERROR(VLOOKUP(C13,O.B.JUNE!$AA$7:$AG$448,7,0),0)</f>
        <v>5570974</v>
      </c>
      <c r="L13" s="6">
        <f>SUMIF('JUNE (물량흐름)'!$C$13:$C$502,'Direct labour(직접노무비)'!C13,'JUNE (물량흐름)'!$H$13:$H$502)+SUMIF('JUNE (물량흐름)'!$C$13:$C$502,'Direct labour(직접노무비)'!C13,'JUNE (물량흐름)'!$I$13:$I$502)</f>
        <v>0</v>
      </c>
      <c r="M13" s="6">
        <f t="shared" ref="M13:M76" si="3">ROUND(IF(OR(L13&lt;=0,P13+T13+R13+Z13-I13&lt;0),0,ROUND(P13+T13+R13+Z13-I13,0)),0)</f>
        <v>0</v>
      </c>
      <c r="N13" s="6">
        <f t="shared" ref="N13:N76" si="4">ROUND(M13*D13,0)</f>
        <v>0</v>
      </c>
      <c r="O13" s="6">
        <f t="shared" si="1"/>
        <v>0</v>
      </c>
      <c r="P13" s="6">
        <f>SUMIF('JUNE (물량흐름)'!$C$13:$C$502,C13,'JUNE (물량흐름)'!$T$13:$T$502)+SUMIF('JUNE (물량흐름)'!$C$13:$C$502,C13,'JUNE (물량흐름)'!$V$13:$V$502)+SUMIF('JUNE (물량흐름)'!$C$13:$C$502,C13,'JUNE (물량흐름)'!$U$13:$U$502)-SUMIF('JUNE (물량흐름)'!$C$13:$C$502,C13,'JUNE (물량흐름)'!$Y$13:$Y$502)</f>
        <v>473</v>
      </c>
      <c r="Q13" s="6">
        <f t="shared" ref="Q13:Q76" si="5">IFERROR(ROUND(IF(OR(P13&lt;=0,($I13+$M13)=0),$P13*($K13+$O13)/($I13+$M13),$P13*($K13+$O13)/($H13+$L13)),0),0)</f>
        <v>5570974</v>
      </c>
      <c r="R13" s="6">
        <f>ROUND(IF(ISERROR(VLOOKUP(#REF!,'WIP(재공품)'!$B$12:$AB$38,13,0)),0,VLOOKUP(#REF!,'WIP(재공품)'!$B$12:$AB$38,13,0)),0)</f>
        <v>0</v>
      </c>
      <c r="S13" s="6">
        <f>IF(ISERROR(VLOOKUP(#REF!,'WIP(재공품)'!$B$12:$AB$38,10,0)),0,VLOOKUP(#REF!,'WIP(재공품)'!$B$12:$AB$38,10,0))</f>
        <v>0</v>
      </c>
      <c r="T13" s="6">
        <f>SUMIF('JUNE (물량흐름)'!$C$13:$C$502,'Direct labour(직접노무비)'!C13,'JUNE (물량흐름)'!$Y$13:$Y$502)</f>
        <v>0</v>
      </c>
      <c r="U13" s="6">
        <f t="shared" ref="U13:U76" si="6">IFERROR(ROUND(IF(AND(T13&lt;=0,($I13+$M13)=0),T13*(K13+O13)/(I13+M13),T13*(K13+O13)/(H13+L13)),0),0)</f>
        <v>0</v>
      </c>
      <c r="V13" s="6">
        <f>ROUND(SUMIF('JUNE (물량흐름)'!$C$13:$C$502,'Direct labour(직접노무비)'!C13,'JUNE (물량흐름)'!$N$13:$N$502),0)</f>
        <v>0</v>
      </c>
      <c r="W13" s="6">
        <f>ROUND(SUMIF('JUNE (물량흐름)'!$C$13:$C$502,'Direct labour(직접노무비)'!C13,'JUNE (물량흐름)'!$O$13:$O$502),0)</f>
        <v>0</v>
      </c>
      <c r="X13" s="6">
        <f>ROUND(SUMIF('JUNE (물량흐름)'!$C$13:$C$502,'Direct labour(직접노무비)'!C13,'JUNE (물량흐름)'!$P$13:$P$502),0)</f>
        <v>0</v>
      </c>
      <c r="Y13" s="6">
        <f t="shared" ref="Y13:Y76" si="7">ROUND(SUM(V13:X13),0)</f>
        <v>0</v>
      </c>
      <c r="Z13" s="6">
        <f t="shared" ref="Z13:Z76" si="8">ROUND(V13*$V$10+W13*$W$10+X13*$X$10,0)</f>
        <v>0</v>
      </c>
      <c r="AA13" s="6">
        <f t="shared" ref="AA13:AA76" si="9">IFERROR(ROUND(IF(OR(Z13&lt;=0,($I13+$M13)=0),$Z13*($K13+$O13)/($I13+$M13),$Y13*($K13+$O13)/($H13+$L13)),0),0)</f>
        <v>0</v>
      </c>
      <c r="AB13" s="389">
        <f t="shared" ref="AB13:AB76" si="10">K13+O13-Q13-U13-AA13</f>
        <v>0</v>
      </c>
      <c r="AC13" s="389">
        <f t="shared" ref="AC13:AC76" si="11">H13+L13-P13-T13-Y13</f>
        <v>0</v>
      </c>
      <c r="AD13" s="389">
        <f t="shared" ref="AD13:AD76" si="12">H13+L13-P13-T13-Y13</f>
        <v>0</v>
      </c>
    </row>
    <row r="14" spans="1:30" s="390" customFormat="1" ht="15" customHeight="1">
      <c r="A14" s="167">
        <v>3</v>
      </c>
      <c r="B14" s="267" t="str">
        <f>VLOOKUP(A14,'JUNE (물량흐름)'!$A$13:$C$502,2,0)</f>
        <v>ALFANI</v>
      </c>
      <c r="C14" s="240">
        <f>VLOOKUP(A14,'JUNE (물량흐름)'!$A$13:$C$502,3,0)</f>
        <v>73746</v>
      </c>
      <c r="D14" s="6">
        <f>VLOOKUP(C14,'WIP(재공품)'!$B$12:$E$493,4,0)</f>
        <v>7936.2499999999991</v>
      </c>
      <c r="E14" s="6">
        <f>IFERROR(VLOOKUP(C14,O.B.JUNE!$AA$7:$AG$448,2,0),0)</f>
        <v>0</v>
      </c>
      <c r="F14" s="6">
        <f>IFERROR(VLOOKUP(C14,O.B.JUNE!$AA$7:$AG$448,3,0),0)</f>
        <v>0</v>
      </c>
      <c r="G14" s="6">
        <f>IFERROR(VLOOKUP(C14,O.B.JUNE!$AA$7:$AD$448,4,0),0)</f>
        <v>0</v>
      </c>
      <c r="H14" s="6">
        <f t="shared" si="2"/>
        <v>0</v>
      </c>
      <c r="I14" s="6">
        <f>IFERROR(VLOOKUP(C14,O.B.JUNE!$AA$7:$AF$448,6,0),0)</f>
        <v>0</v>
      </c>
      <c r="J14" s="6"/>
      <c r="K14" s="6">
        <f>IFERROR(VLOOKUP(C14,O.B.JUNE!$AA$7:$AG$448,7,0),0)</f>
        <v>0</v>
      </c>
      <c r="L14" s="6">
        <f>SUMIF('JUNE (물량흐름)'!$C$13:$C$502,'Direct labour(직접노무비)'!C14,'JUNE (물량흐름)'!$H$13:$H$502)+SUMIF('JUNE (물량흐름)'!$C$13:$C$502,'Direct labour(직접노무비)'!C14,'JUNE (물량흐름)'!$I$13:$I$502)</f>
        <v>0</v>
      </c>
      <c r="M14" s="6">
        <f t="shared" si="3"/>
        <v>0</v>
      </c>
      <c r="N14" s="6">
        <f t="shared" si="4"/>
        <v>0</v>
      </c>
      <c r="O14" s="6">
        <f t="shared" si="1"/>
        <v>0</v>
      </c>
      <c r="P14" s="6">
        <f>SUMIF('JUNE (물량흐름)'!$C$13:$C$502,C14,'JUNE (물량흐름)'!$T$13:$T$502)+SUMIF('JUNE (물량흐름)'!$C$13:$C$502,C14,'JUNE (물량흐름)'!$V$13:$V$502)+SUMIF('JUNE (물량흐름)'!$C$13:$C$502,C14,'JUNE (물량흐름)'!$U$13:$U$502)-SUMIF('JUNE (물량흐름)'!$C$13:$C$502,C14,'JUNE (물량흐름)'!$Y$13:$Y$502)</f>
        <v>0</v>
      </c>
      <c r="Q14" s="6">
        <f t="shared" si="5"/>
        <v>0</v>
      </c>
      <c r="R14" s="6">
        <f>ROUND(IF(ISERROR(VLOOKUP(#REF!,'WIP(재공품)'!$B$12:$AB$38,13,0)),0,VLOOKUP(#REF!,'WIP(재공품)'!$B$12:$AB$38,13,0)),0)</f>
        <v>0</v>
      </c>
      <c r="S14" s="6">
        <f>IF(ISERROR(VLOOKUP(#REF!,'WIP(재공품)'!$B$12:$AB$38,10,0)),0,VLOOKUP(#REF!,'WIP(재공품)'!$B$12:$AB$38,10,0))</f>
        <v>0</v>
      </c>
      <c r="T14" s="6">
        <f>SUMIF('JUNE (물량흐름)'!$C$13:$C$502,'Direct labour(직접노무비)'!C14,'JUNE (물량흐름)'!$Y$13:$Y$502)</f>
        <v>0</v>
      </c>
      <c r="U14" s="6">
        <f t="shared" si="6"/>
        <v>0</v>
      </c>
      <c r="V14" s="6">
        <f>ROUND(SUMIF('JUNE (물량흐름)'!$C$13:$C$502,'Direct labour(직접노무비)'!C14,'JUNE (물량흐름)'!$N$13:$N$502),0)</f>
        <v>0</v>
      </c>
      <c r="W14" s="6">
        <f>ROUND(SUMIF('JUNE (물량흐름)'!$C$13:$C$502,'Direct labour(직접노무비)'!C14,'JUNE (물량흐름)'!$O$13:$O$502),0)</f>
        <v>0</v>
      </c>
      <c r="X14" s="6">
        <f>ROUND(SUMIF('JUNE (물량흐름)'!$C$13:$C$502,'Direct labour(직접노무비)'!C14,'JUNE (물량흐름)'!$P$13:$P$502),0)</f>
        <v>0</v>
      </c>
      <c r="Y14" s="6">
        <f t="shared" si="7"/>
        <v>0</v>
      </c>
      <c r="Z14" s="6">
        <f t="shared" si="8"/>
        <v>0</v>
      </c>
      <c r="AA14" s="6">
        <f t="shared" si="9"/>
        <v>0</v>
      </c>
      <c r="AB14" s="389">
        <f t="shared" si="10"/>
        <v>0</v>
      </c>
      <c r="AC14" s="389">
        <f t="shared" si="11"/>
        <v>0</v>
      </c>
      <c r="AD14" s="389">
        <f t="shared" si="12"/>
        <v>0</v>
      </c>
    </row>
    <row r="15" spans="1:30" s="390" customFormat="1" ht="15" customHeight="1">
      <c r="A15" s="167">
        <v>4</v>
      </c>
      <c r="B15" s="267" t="str">
        <f>VLOOKUP(A15,'JUNE (물량흐름)'!$A$13:$C$502,2,0)</f>
        <v>ALFANI</v>
      </c>
      <c r="C15" s="240">
        <f>VLOOKUP(A15,'JUNE (물량흐름)'!$A$13:$C$502,3,0)</f>
        <v>74211</v>
      </c>
      <c r="D15" s="6">
        <f>VLOOKUP(C15,'WIP(재공품)'!$B$12:$E$493,4,0)</f>
        <v>45350</v>
      </c>
      <c r="E15" s="6">
        <f>IFERROR(VLOOKUP(C15,O.B.JUNE!$AA$7:$AG$448,2,0),0)</f>
        <v>0</v>
      </c>
      <c r="F15" s="6">
        <f>IFERROR(VLOOKUP(C15,O.B.JUNE!$AA$7:$AG$448,3,0),0)</f>
        <v>0</v>
      </c>
      <c r="G15" s="6">
        <f>IFERROR(VLOOKUP(C15,O.B.JUNE!$AA$7:$AD$448,4,0),0)</f>
        <v>37</v>
      </c>
      <c r="H15" s="6">
        <f t="shared" si="2"/>
        <v>37</v>
      </c>
      <c r="I15" s="6">
        <f>IFERROR(VLOOKUP(C15,O.B.JUNE!$AA$7:$AF$448,6,0),0)</f>
        <v>30</v>
      </c>
      <c r="J15" s="6"/>
      <c r="K15" s="6">
        <f>IFERROR(VLOOKUP(C15,O.B.JUNE!$AA$7:$AG$448,7,0),0)</f>
        <v>263270</v>
      </c>
      <c r="L15" s="6">
        <f>SUMIF('JUNE (물량흐름)'!$C$13:$C$502,'Direct labour(직접노무비)'!C15,'JUNE (물량흐름)'!$H$13:$H$502)+SUMIF('JUNE (물량흐름)'!$C$13:$C$502,'Direct labour(직접노무비)'!C15,'JUNE (물량흐름)'!$I$13:$I$502)</f>
        <v>0</v>
      </c>
      <c r="M15" s="6">
        <f t="shared" si="3"/>
        <v>0</v>
      </c>
      <c r="N15" s="6">
        <f t="shared" si="4"/>
        <v>0</v>
      </c>
      <c r="O15" s="6">
        <f t="shared" si="1"/>
        <v>0</v>
      </c>
      <c r="P15" s="6">
        <f>SUMIF('JUNE (물량흐름)'!$C$13:$C$502,C15,'JUNE (물량흐름)'!$T$13:$T$502)+SUMIF('JUNE (물량흐름)'!$C$13:$C$502,C15,'JUNE (물량흐름)'!$V$13:$V$502)+SUMIF('JUNE (물량흐름)'!$C$13:$C$502,C15,'JUNE (물량흐름)'!$U$13:$U$502)-SUMIF('JUNE (물량흐름)'!$C$13:$C$502,C15,'JUNE (물량흐름)'!$Y$13:$Y$502)</f>
        <v>37</v>
      </c>
      <c r="Q15" s="6">
        <f t="shared" si="5"/>
        <v>263270</v>
      </c>
      <c r="R15" s="6">
        <f>ROUND(IF(ISERROR(VLOOKUP(#REF!,'WIP(재공품)'!$B$12:$AB$38,13,0)),0,VLOOKUP(#REF!,'WIP(재공품)'!$B$12:$AB$38,13,0)),0)</f>
        <v>0</v>
      </c>
      <c r="S15" s="6">
        <f>IF(ISERROR(VLOOKUP(#REF!,'WIP(재공품)'!$B$12:$AB$38,10,0)),0,VLOOKUP(#REF!,'WIP(재공품)'!$B$12:$AB$38,10,0))</f>
        <v>0</v>
      </c>
      <c r="T15" s="6">
        <f>SUMIF('JUNE (물량흐름)'!$C$13:$C$502,'Direct labour(직접노무비)'!C15,'JUNE (물량흐름)'!$Y$13:$Y$502)</f>
        <v>0</v>
      </c>
      <c r="U15" s="6">
        <f t="shared" si="6"/>
        <v>0</v>
      </c>
      <c r="V15" s="6">
        <f>ROUND(SUMIF('JUNE (물량흐름)'!$C$13:$C$502,'Direct labour(직접노무비)'!C15,'JUNE (물량흐름)'!$N$13:$N$502),0)</f>
        <v>0</v>
      </c>
      <c r="W15" s="6">
        <f>ROUND(SUMIF('JUNE (물량흐름)'!$C$13:$C$502,'Direct labour(직접노무비)'!C15,'JUNE (물량흐름)'!$O$13:$O$502),0)</f>
        <v>0</v>
      </c>
      <c r="X15" s="6">
        <f>ROUND(SUMIF('JUNE (물량흐름)'!$C$13:$C$502,'Direct labour(직접노무비)'!C15,'JUNE (물량흐름)'!$P$13:$P$502),0)</f>
        <v>0</v>
      </c>
      <c r="Y15" s="6">
        <f t="shared" si="7"/>
        <v>0</v>
      </c>
      <c r="Z15" s="6">
        <f t="shared" si="8"/>
        <v>0</v>
      </c>
      <c r="AA15" s="6">
        <f t="shared" si="9"/>
        <v>0</v>
      </c>
      <c r="AB15" s="389">
        <f t="shared" si="10"/>
        <v>0</v>
      </c>
      <c r="AC15" s="389">
        <f t="shared" si="11"/>
        <v>0</v>
      </c>
      <c r="AD15" s="389">
        <f t="shared" si="12"/>
        <v>0</v>
      </c>
    </row>
    <row r="16" spans="1:30" s="390" customFormat="1" ht="15" customHeight="1">
      <c r="A16" s="167">
        <v>5</v>
      </c>
      <c r="B16" s="267" t="str">
        <f>VLOOKUP(A16,'JUNE (물량흐름)'!$A$13:$C$502,2,0)</f>
        <v>ALFANI</v>
      </c>
      <c r="C16" s="240">
        <f>VLOOKUP(A16,'JUNE (물량흐름)'!$A$13:$C$502,3,0)</f>
        <v>2072</v>
      </c>
      <c r="D16" s="6">
        <f>VLOOKUP(C16,'WIP(재공품)'!$B$12:$E$493,4,0)</f>
        <v>28570.5</v>
      </c>
      <c r="E16" s="6">
        <f>IFERROR(VLOOKUP(C16,O.B.JUNE!$AA$7:$AG$448,2,0),0)</f>
        <v>64</v>
      </c>
      <c r="F16" s="6">
        <f>IFERROR(VLOOKUP(C16,O.B.JUNE!$AA$7:$AG$448,3,0),0)</f>
        <v>861</v>
      </c>
      <c r="G16" s="6">
        <f>IFERROR(VLOOKUP(C16,O.B.JUNE!$AA$7:$AD$448,4,0),0)</f>
        <v>9453</v>
      </c>
      <c r="H16" s="6">
        <f t="shared" si="2"/>
        <v>10378</v>
      </c>
      <c r="I16" s="6">
        <f>IFERROR(VLOOKUP(C16,O.B.JUNE!$AA$7:$AF$448,6,0),0)</f>
        <v>8006</v>
      </c>
      <c r="J16" s="6"/>
      <c r="K16" s="6">
        <f>IFERROR(VLOOKUP(C16,O.B.JUNE!$AA$7:$AG$448,7,0),0)</f>
        <v>83856048</v>
      </c>
      <c r="L16" s="6">
        <f>SUMIF('JUNE (물량흐름)'!$C$13:$C$502,'Direct labour(직접노무비)'!C16,'JUNE (물량흐름)'!$H$13:$H$502)+SUMIF('JUNE (물량흐름)'!$C$13:$C$502,'Direct labour(직접노무비)'!C16,'JUNE (물량흐름)'!$I$13:$I$502)</f>
        <v>17463</v>
      </c>
      <c r="M16" s="6">
        <f t="shared" si="3"/>
        <v>17194</v>
      </c>
      <c r="N16" s="6">
        <f t="shared" si="4"/>
        <v>491241177</v>
      </c>
      <c r="O16" s="6">
        <f t="shared" si="1"/>
        <v>151927978</v>
      </c>
      <c r="P16" s="6">
        <f>SUMIF('JUNE (물량흐름)'!$C$13:$C$502,C16,'JUNE (물량흐름)'!$T$13:$T$502)+SUMIF('JUNE (물량흐름)'!$C$13:$C$502,C16,'JUNE (물량흐름)'!$V$13:$V$502)+SUMIF('JUNE (물량흐름)'!$C$13:$C$502,C16,'JUNE (물량흐름)'!$U$13:$U$502)-SUMIF('JUNE (물량흐름)'!$C$13:$C$502,C16,'JUNE (물량흐름)'!$Y$13:$Y$502)</f>
        <v>15677</v>
      </c>
      <c r="Q16" s="6">
        <f t="shared" si="5"/>
        <v>132767723</v>
      </c>
      <c r="R16" s="6">
        <f>ROUND(IF(ISERROR(VLOOKUP(#REF!,'WIP(재공품)'!$B$12:$AB$38,13,0)),0,VLOOKUP(#REF!,'WIP(재공품)'!$B$12:$AB$38,13,0)),0)</f>
        <v>0</v>
      </c>
      <c r="S16" s="6">
        <f>IF(ISERROR(VLOOKUP(#REF!,'WIP(재공품)'!$B$12:$AB$38,10,0)),0,VLOOKUP(#REF!,'WIP(재공품)'!$B$12:$AB$38,10,0))</f>
        <v>0</v>
      </c>
      <c r="T16" s="6">
        <f>SUMIF('JUNE (물량흐름)'!$C$13:$C$502,'Direct labour(직접노무비)'!C16,'JUNE (물량흐름)'!$Y$13:$Y$502)</f>
        <v>0</v>
      </c>
      <c r="U16" s="6">
        <f t="shared" si="6"/>
        <v>0</v>
      </c>
      <c r="V16" s="6">
        <f>ROUND(SUMIF('JUNE (물량흐름)'!$C$13:$C$502,'Direct labour(직접노무비)'!C16,'JUNE (물량흐름)'!$N$13:$N$502),0)</f>
        <v>50</v>
      </c>
      <c r="W16" s="6">
        <f>ROUND(SUMIF('JUNE (물량흐름)'!$C$13:$C$502,'Direct labour(직접노무비)'!C16,'JUNE (물량흐름)'!$O$13:$O$502),0)</f>
        <v>595</v>
      </c>
      <c r="X16" s="6">
        <f>ROUND(SUMIF('JUNE (물량흐름)'!$C$13:$C$502,'Direct labour(직접노무비)'!C16,'JUNE (물량흐름)'!$P$13:$P$502),0)</f>
        <v>11519</v>
      </c>
      <c r="Y16" s="6">
        <f t="shared" si="7"/>
        <v>12164</v>
      </c>
      <c r="Z16" s="6">
        <f t="shared" si="8"/>
        <v>9523</v>
      </c>
      <c r="AA16" s="6">
        <f t="shared" si="9"/>
        <v>103016303</v>
      </c>
      <c r="AB16" s="389">
        <f t="shared" si="10"/>
        <v>0</v>
      </c>
      <c r="AC16" s="389">
        <f t="shared" si="11"/>
        <v>0</v>
      </c>
      <c r="AD16" s="389">
        <f t="shared" si="12"/>
        <v>0</v>
      </c>
    </row>
    <row r="17" spans="1:30" s="390" customFormat="1" ht="15" customHeight="1">
      <c r="A17" s="167">
        <v>6</v>
      </c>
      <c r="B17" s="267" t="str">
        <f>VLOOKUP(A17,'JUNE (물량흐름)'!$A$13:$C$502,2,0)</f>
        <v>J JILL</v>
      </c>
      <c r="C17" s="240" t="str">
        <f>VLOOKUP(A17,'JUNE (물량흐름)'!$A$13:$C$502,3,0)</f>
        <v>KPT001611</v>
      </c>
      <c r="D17" s="6">
        <f>VLOOKUP(C17,'WIP(재공품)'!$B$12:$E$493,4,0)</f>
        <v>28570.5</v>
      </c>
      <c r="E17" s="6">
        <f>IFERROR(VLOOKUP(C17,O.B.JUNE!$AA$7:$AG$448,2,0),0)</f>
        <v>79</v>
      </c>
      <c r="F17" s="6">
        <f>IFERROR(VLOOKUP(C17,O.B.JUNE!$AA$7:$AG$448,3,0),0)</f>
        <v>129</v>
      </c>
      <c r="G17" s="6">
        <f>IFERROR(VLOOKUP(C17,O.B.JUNE!$AA$7:$AD$448,4,0),0)</f>
        <v>16488</v>
      </c>
      <c r="H17" s="6">
        <f t="shared" si="2"/>
        <v>16696</v>
      </c>
      <c r="I17" s="6">
        <f>IFERROR(VLOOKUP(C17,O.B.JUNE!$AA$7:$AF$448,6,0),0)</f>
        <v>13271</v>
      </c>
      <c r="J17" s="6"/>
      <c r="K17" s="6">
        <f>IFERROR(VLOOKUP(C17,O.B.JUNE!$AA$7:$AG$448,7,0),0)</f>
        <v>177821244</v>
      </c>
      <c r="L17" s="6">
        <f>SUMIF('JUNE (물량흐름)'!$C$13:$C$502,'Direct labour(직접노무비)'!C17,'JUNE (물량흐름)'!$H$13:$H$502)+SUMIF('JUNE (물량흐름)'!$C$13:$C$502,'Direct labour(직접노무비)'!C17,'JUNE (물량흐름)'!$I$13:$I$502)</f>
        <v>0</v>
      </c>
      <c r="M17" s="6">
        <f t="shared" si="3"/>
        <v>0</v>
      </c>
      <c r="N17" s="6">
        <f t="shared" si="4"/>
        <v>0</v>
      </c>
      <c r="O17" s="6">
        <f t="shared" si="1"/>
        <v>0</v>
      </c>
      <c r="P17" s="6">
        <f>SUMIF('JUNE (물량흐름)'!$C$13:$C$502,C17,'JUNE (물량흐름)'!$T$13:$T$502)+SUMIF('JUNE (물량흐름)'!$C$13:$C$502,C17,'JUNE (물량흐름)'!$V$13:$V$502)+SUMIF('JUNE (물량흐름)'!$C$13:$C$502,C17,'JUNE (물량흐름)'!$U$13:$U$502)-SUMIF('JUNE (물량흐름)'!$C$13:$C$502,C17,'JUNE (물량흐름)'!$Y$13:$Y$502)</f>
        <v>0</v>
      </c>
      <c r="Q17" s="6">
        <f t="shared" si="5"/>
        <v>0</v>
      </c>
      <c r="R17" s="6">
        <f>ROUND(IF(ISERROR(VLOOKUP(#REF!,'WIP(재공품)'!$B$12:$AB$38,13,0)),0,VLOOKUP(#REF!,'WIP(재공품)'!$B$12:$AB$38,13,0)),0)</f>
        <v>0</v>
      </c>
      <c r="S17" s="6">
        <f>IF(ISERROR(VLOOKUP(#REF!,'WIP(재공품)'!$B$12:$AB$38,10,0)),0,VLOOKUP(#REF!,'WIP(재공품)'!$B$12:$AB$38,10,0))</f>
        <v>0</v>
      </c>
      <c r="T17" s="6">
        <f>SUMIF('JUNE (물량흐름)'!$C$13:$C$502,'Direct labour(직접노무비)'!C17,'JUNE (물량흐름)'!$Y$13:$Y$502)</f>
        <v>0</v>
      </c>
      <c r="U17" s="6">
        <f t="shared" si="6"/>
        <v>0</v>
      </c>
      <c r="V17" s="6">
        <f>ROUND(SUMIF('JUNE (물량흐름)'!$C$13:$C$502,'Direct labour(직접노무비)'!C17,'JUNE (물량흐름)'!$N$13:$N$502),0)</f>
        <v>79</v>
      </c>
      <c r="W17" s="6">
        <f>ROUND(SUMIF('JUNE (물량흐름)'!$C$13:$C$502,'Direct labour(직접노무비)'!C17,'JUNE (물량흐름)'!$O$13:$O$502),0)</f>
        <v>129</v>
      </c>
      <c r="X17" s="6">
        <f>ROUND(SUMIF('JUNE (물량흐름)'!$C$13:$C$502,'Direct labour(직접노무비)'!C17,'JUNE (물량흐름)'!$P$13:$P$502),0)</f>
        <v>16488</v>
      </c>
      <c r="Y17" s="6">
        <f t="shared" si="7"/>
        <v>16696</v>
      </c>
      <c r="Z17" s="6">
        <f t="shared" si="8"/>
        <v>13271</v>
      </c>
      <c r="AA17" s="6">
        <f t="shared" si="9"/>
        <v>177821244</v>
      </c>
      <c r="AB17" s="389">
        <f t="shared" si="10"/>
        <v>0</v>
      </c>
      <c r="AC17" s="389">
        <f t="shared" si="11"/>
        <v>0</v>
      </c>
      <c r="AD17" s="389">
        <f t="shared" si="12"/>
        <v>0</v>
      </c>
    </row>
    <row r="18" spans="1:30" s="390" customFormat="1" ht="15" customHeight="1">
      <c r="A18" s="167">
        <v>7</v>
      </c>
      <c r="B18" s="267" t="str">
        <f>VLOOKUP(A18,'JUNE (물량흐름)'!$A$13:$C$502,2,0)</f>
        <v>J JILL</v>
      </c>
      <c r="C18" s="240" t="str">
        <f>VLOOKUP(A18,'JUNE (물량흐름)'!$A$13:$C$502,3,0)</f>
        <v>KPT101081</v>
      </c>
      <c r="D18" s="6">
        <f>VLOOKUP(C18,'WIP(재공품)'!$B$12:$E$493,4,0)</f>
        <v>35146.25</v>
      </c>
      <c r="E18" s="6">
        <f>IFERROR(VLOOKUP(C18,O.B.JUNE!$AA$7:$AG$448,2,0),0)</f>
        <v>230</v>
      </c>
      <c r="F18" s="6">
        <f>IFERROR(VLOOKUP(C18,O.B.JUNE!$AA$7:$AG$448,3,0),0)</f>
        <v>328</v>
      </c>
      <c r="G18" s="6">
        <f>IFERROR(VLOOKUP(C18,O.B.JUNE!$AA$7:$AD$448,4,0),0)</f>
        <v>2102</v>
      </c>
      <c r="H18" s="6">
        <f t="shared" si="2"/>
        <v>2660</v>
      </c>
      <c r="I18" s="6">
        <f>IFERROR(VLOOKUP(C18,O.B.JUNE!$AA$7:$AF$448,6,0),0)</f>
        <v>1892</v>
      </c>
      <c r="J18" s="6"/>
      <c r="K18" s="6">
        <f>IFERROR(VLOOKUP(C18,O.B.JUNE!$AA$7:$AG$448,7,0),0)</f>
        <v>22123052</v>
      </c>
      <c r="L18" s="6">
        <f>SUMIF('JUNE (물량흐름)'!$C$13:$C$502,'Direct labour(직접노무비)'!C18,'JUNE (물량흐름)'!$H$13:$H$502)+SUMIF('JUNE (물량흐름)'!$C$13:$C$502,'Direct labour(직접노무비)'!C18,'JUNE (물량흐름)'!$I$13:$I$502)</f>
        <v>4453</v>
      </c>
      <c r="M18" s="6">
        <f t="shared" si="3"/>
        <v>4408</v>
      </c>
      <c r="N18" s="6">
        <f t="shared" si="4"/>
        <v>154924670</v>
      </c>
      <c r="O18" s="6">
        <f t="shared" si="1"/>
        <v>47914127</v>
      </c>
      <c r="P18" s="6">
        <f>SUMIF('JUNE (물량흐름)'!$C$13:$C$502,C18,'JUNE (물량흐름)'!$T$13:$T$502)+SUMIF('JUNE (물량흐름)'!$C$13:$C$502,C18,'JUNE (물량흐름)'!$V$13:$V$502)+SUMIF('JUNE (물량흐름)'!$C$13:$C$502,C18,'JUNE (물량흐름)'!$U$13:$U$502)-SUMIF('JUNE (물량흐름)'!$C$13:$C$502,C18,'JUNE (물량흐름)'!$Y$13:$Y$502)</f>
        <v>4292</v>
      </c>
      <c r="Q18" s="6">
        <f t="shared" si="5"/>
        <v>42260589</v>
      </c>
      <c r="R18" s="6">
        <f>ROUND(IF(ISERROR(VLOOKUP(#REF!,'WIP(재공품)'!$B$12:$AB$38,13,0)),0,VLOOKUP(#REF!,'WIP(재공품)'!$B$12:$AB$38,13,0)),0)</f>
        <v>0</v>
      </c>
      <c r="S18" s="6">
        <f>IF(ISERROR(VLOOKUP(#REF!,'WIP(재공품)'!$B$12:$AB$38,10,0)),0,VLOOKUP(#REF!,'WIP(재공품)'!$B$12:$AB$38,10,0))</f>
        <v>0</v>
      </c>
      <c r="T18" s="6">
        <f>SUMIF('JUNE (물량흐름)'!$C$13:$C$502,'Direct labour(직접노무비)'!C18,'JUNE (물량흐름)'!$Y$13:$Y$502)</f>
        <v>0</v>
      </c>
      <c r="U18" s="6">
        <f t="shared" si="6"/>
        <v>0</v>
      </c>
      <c r="V18" s="6">
        <f>ROUND(SUMIF('JUNE (물량흐름)'!$C$13:$C$502,'Direct labour(직접노무비)'!C18,'JUNE (물량흐름)'!$N$13:$N$502),0)</f>
        <v>234</v>
      </c>
      <c r="W18" s="6">
        <f>ROUND(SUMIF('JUNE (물량흐름)'!$C$13:$C$502,'Direct labour(직접노무비)'!C18,'JUNE (물량흐름)'!$O$13:$O$502),0)</f>
        <v>362</v>
      </c>
      <c r="X18" s="6">
        <f>ROUND(SUMIF('JUNE (물량흐름)'!$C$13:$C$502,'Direct labour(직접노무비)'!C18,'JUNE (물량흐름)'!$P$13:$P$502),0)</f>
        <v>2225</v>
      </c>
      <c r="Y18" s="6">
        <f t="shared" si="7"/>
        <v>2821</v>
      </c>
      <c r="Z18" s="6">
        <f t="shared" si="8"/>
        <v>2008</v>
      </c>
      <c r="AA18" s="6">
        <f t="shared" si="9"/>
        <v>27776590</v>
      </c>
      <c r="AB18" s="389">
        <f t="shared" si="10"/>
        <v>0</v>
      </c>
      <c r="AC18" s="389">
        <f t="shared" si="11"/>
        <v>0</v>
      </c>
      <c r="AD18" s="389">
        <f t="shared" si="12"/>
        <v>0</v>
      </c>
    </row>
    <row r="19" spans="1:30" s="390" customFormat="1" ht="15" customHeight="1">
      <c r="A19" s="167">
        <v>8</v>
      </c>
      <c r="B19" s="267" t="str">
        <f>VLOOKUP(A19,'JUNE (물량흐름)'!$A$13:$C$502,2,0)</f>
        <v>ALFANI</v>
      </c>
      <c r="C19" s="240">
        <f>VLOOKUP(A19,'JUNE (물량흐름)'!$A$13:$C$502,3,0)</f>
        <v>7285</v>
      </c>
      <c r="D19" s="6">
        <f>VLOOKUP(C19,'WIP(재공품)'!$B$12:$E$493,4,0)</f>
        <v>35146.25</v>
      </c>
      <c r="E19" s="6">
        <f>IFERROR(VLOOKUP(C19,O.B.JUNE!$AA$7:$AG$448,2,0),0)</f>
        <v>0</v>
      </c>
      <c r="F19" s="6">
        <f>IFERROR(VLOOKUP(C19,O.B.JUNE!$AA$7:$AG$448,3,0),0)</f>
        <v>0</v>
      </c>
      <c r="G19" s="6">
        <f>IFERROR(VLOOKUP(C19,O.B.JUNE!$AA$7:$AD$448,4,0),0)</f>
        <v>32</v>
      </c>
      <c r="H19" s="6">
        <f t="shared" si="2"/>
        <v>32</v>
      </c>
      <c r="I19" s="6">
        <f>IFERROR(VLOOKUP(C19,O.B.JUNE!$AA$7:$AF$448,6,0),0)</f>
        <v>26</v>
      </c>
      <c r="J19" s="6"/>
      <c r="K19" s="6">
        <f>IFERROR(VLOOKUP(C19,O.B.JUNE!$AA$7:$AG$448,7,0),0)</f>
        <v>569868</v>
      </c>
      <c r="L19" s="6">
        <f>SUMIF('JUNE (물량흐름)'!$C$13:$C$502,'Direct labour(직접노무비)'!C19,'JUNE (물량흐름)'!$H$13:$H$502)+SUMIF('JUNE (물량흐름)'!$C$13:$C$502,'Direct labour(직접노무비)'!C19,'JUNE (물량흐름)'!$I$13:$I$502)</f>
        <v>0</v>
      </c>
      <c r="M19" s="6">
        <f t="shared" si="3"/>
        <v>0</v>
      </c>
      <c r="N19" s="6">
        <f t="shared" si="4"/>
        <v>0</v>
      </c>
      <c r="O19" s="6">
        <f t="shared" si="1"/>
        <v>0</v>
      </c>
      <c r="P19" s="6">
        <f>SUMIF('JUNE (물량흐름)'!$C$13:$C$502,C19,'JUNE (물량흐름)'!$T$13:$T$502)+SUMIF('JUNE (물량흐름)'!$C$13:$C$502,C19,'JUNE (물량흐름)'!$V$13:$V$502)+SUMIF('JUNE (물량흐름)'!$C$13:$C$502,C19,'JUNE (물량흐름)'!$U$13:$U$502)-SUMIF('JUNE (물량흐름)'!$C$13:$C$502,C19,'JUNE (물량흐름)'!$Y$13:$Y$502)</f>
        <v>32</v>
      </c>
      <c r="Q19" s="6">
        <f t="shared" si="5"/>
        <v>569868</v>
      </c>
      <c r="R19" s="6">
        <f>ROUND(IF(ISERROR(VLOOKUP(#REF!,'WIP(재공품)'!$B$12:$AB$38,13,0)),0,VLOOKUP(#REF!,'WIP(재공품)'!$B$12:$AB$38,13,0)),0)</f>
        <v>0</v>
      </c>
      <c r="S19" s="6">
        <f>IF(ISERROR(VLOOKUP(#REF!,'WIP(재공품)'!$B$12:$AB$38,10,0)),0,VLOOKUP(#REF!,'WIP(재공품)'!$B$12:$AB$38,10,0))</f>
        <v>0</v>
      </c>
      <c r="T19" s="6">
        <f>SUMIF('JUNE (물량흐름)'!$C$13:$C$502,'Direct labour(직접노무비)'!C19,'JUNE (물량흐름)'!$Y$13:$Y$502)</f>
        <v>0</v>
      </c>
      <c r="U19" s="6">
        <f t="shared" si="6"/>
        <v>0</v>
      </c>
      <c r="V19" s="6">
        <f>ROUND(SUMIF('JUNE (물량흐름)'!$C$13:$C$502,'Direct labour(직접노무비)'!C19,'JUNE (물량흐름)'!$N$13:$N$502),0)</f>
        <v>0</v>
      </c>
      <c r="W19" s="6">
        <f>ROUND(SUMIF('JUNE (물량흐름)'!$C$13:$C$502,'Direct labour(직접노무비)'!C19,'JUNE (물량흐름)'!$O$13:$O$502),0)</f>
        <v>0</v>
      </c>
      <c r="X19" s="6">
        <f>ROUND(SUMIF('JUNE (물량흐름)'!$C$13:$C$502,'Direct labour(직접노무비)'!C19,'JUNE (물량흐름)'!$P$13:$P$502),0)</f>
        <v>0</v>
      </c>
      <c r="Y19" s="6">
        <f t="shared" si="7"/>
        <v>0</v>
      </c>
      <c r="Z19" s="6">
        <f t="shared" si="8"/>
        <v>0</v>
      </c>
      <c r="AA19" s="6">
        <f t="shared" si="9"/>
        <v>0</v>
      </c>
      <c r="AB19" s="389">
        <f t="shared" si="10"/>
        <v>0</v>
      </c>
      <c r="AC19" s="389">
        <f t="shared" si="11"/>
        <v>0</v>
      </c>
      <c r="AD19" s="389">
        <f t="shared" si="12"/>
        <v>0</v>
      </c>
    </row>
    <row r="20" spans="1:30" s="390" customFormat="1" ht="15" customHeight="1">
      <c r="A20" s="167">
        <v>9</v>
      </c>
      <c r="B20" s="267" t="str">
        <f>VLOOKUP(A20,'JUNE (물량흐름)'!$A$13:$C$502,2,0)</f>
        <v>ALFANI</v>
      </c>
      <c r="C20" s="240">
        <f>VLOOKUP(A20,'JUNE (물량흐름)'!$A$13:$C$502,3,0)</f>
        <v>100004407</v>
      </c>
      <c r="D20" s="6">
        <f>VLOOKUP(C20,'WIP(재공품)'!$B$12:$E$493,4,0)</f>
        <v>7936.2499999999991</v>
      </c>
      <c r="E20" s="6">
        <f>IFERROR(VLOOKUP(C20,O.B.JUNE!$AA$7:$AG$448,2,0),0)</f>
        <v>0</v>
      </c>
      <c r="F20" s="6">
        <f>IFERROR(VLOOKUP(C20,O.B.JUNE!$AA$7:$AG$448,3,0),0)</f>
        <v>116</v>
      </c>
      <c r="G20" s="6">
        <f>IFERROR(VLOOKUP(C20,O.B.JUNE!$AA$7:$AD$448,4,0),0)</f>
        <v>189</v>
      </c>
      <c r="H20" s="6">
        <f t="shared" si="2"/>
        <v>305</v>
      </c>
      <c r="I20" s="6">
        <f>IFERROR(VLOOKUP(C20,O.B.JUNE!$AA$7:$AF$448,6,0),0)</f>
        <v>209</v>
      </c>
      <c r="J20" s="6"/>
      <c r="K20" s="6">
        <f>IFERROR(VLOOKUP(C20,O.B.JUNE!$AA$7:$AG$448,7,0),0)</f>
        <v>1959476</v>
      </c>
      <c r="L20" s="6">
        <f>SUMIF('JUNE (물량흐름)'!$C$13:$C$502,'Direct labour(직접노무비)'!C20,'JUNE (물량흐름)'!$H$13:$H$502)+SUMIF('JUNE (물량흐름)'!$C$13:$C$502,'Direct labour(직접노무비)'!C20,'JUNE (물량흐름)'!$I$13:$I$502)</f>
        <v>0</v>
      </c>
      <c r="M20" s="6">
        <f t="shared" si="3"/>
        <v>0</v>
      </c>
      <c r="N20" s="6">
        <f t="shared" si="4"/>
        <v>0</v>
      </c>
      <c r="O20" s="6">
        <f t="shared" si="1"/>
        <v>0</v>
      </c>
      <c r="P20" s="6">
        <f>SUMIF('JUNE (물량흐름)'!$C$13:$C$502,C20,'JUNE (물량흐름)'!$T$13:$T$502)+SUMIF('JUNE (물량흐름)'!$C$13:$C$502,C20,'JUNE (물량흐름)'!$V$13:$V$502)+SUMIF('JUNE (물량흐름)'!$C$13:$C$502,C20,'JUNE (물량흐름)'!$U$13:$U$502)-SUMIF('JUNE (물량흐름)'!$C$13:$C$502,C20,'JUNE (물량흐름)'!$Y$13:$Y$502)</f>
        <v>0</v>
      </c>
      <c r="Q20" s="6">
        <f t="shared" si="5"/>
        <v>0</v>
      </c>
      <c r="R20" s="6">
        <f>ROUND(IF(ISERROR(VLOOKUP(#REF!,'WIP(재공품)'!$B$12:$AB$38,13,0)),0,VLOOKUP(#REF!,'WIP(재공품)'!$B$12:$AB$38,13,0)),0)</f>
        <v>0</v>
      </c>
      <c r="S20" s="6">
        <f>IF(ISERROR(VLOOKUP(#REF!,'WIP(재공품)'!$B$12:$AB$38,10,0)),0,VLOOKUP(#REF!,'WIP(재공품)'!$B$12:$AB$38,10,0))</f>
        <v>0</v>
      </c>
      <c r="T20" s="6">
        <f>SUMIF('JUNE (물량흐름)'!$C$13:$C$502,'Direct labour(직접노무비)'!C20,'JUNE (물량흐름)'!$Y$13:$Y$502)</f>
        <v>0</v>
      </c>
      <c r="U20" s="6">
        <f t="shared" si="6"/>
        <v>0</v>
      </c>
      <c r="V20" s="6">
        <f>ROUND(SUMIF('JUNE (물량흐름)'!$C$13:$C$502,'Direct labour(직접노무비)'!C20,'JUNE (물량흐름)'!$N$13:$N$502),0)</f>
        <v>0</v>
      </c>
      <c r="W20" s="6">
        <f>ROUND(SUMIF('JUNE (물량흐름)'!$C$13:$C$502,'Direct labour(직접노무비)'!C20,'JUNE (물량흐름)'!$O$13:$O$502),0)</f>
        <v>116</v>
      </c>
      <c r="X20" s="6">
        <f>ROUND(SUMIF('JUNE (물량흐름)'!$C$13:$C$502,'Direct labour(직접노무비)'!C20,'JUNE (물량흐름)'!$P$13:$P$502),0)</f>
        <v>189</v>
      </c>
      <c r="Y20" s="6">
        <f t="shared" si="7"/>
        <v>305</v>
      </c>
      <c r="Z20" s="6">
        <f t="shared" si="8"/>
        <v>209</v>
      </c>
      <c r="AA20" s="6">
        <f t="shared" si="9"/>
        <v>1959476</v>
      </c>
      <c r="AB20" s="389">
        <f t="shared" si="10"/>
        <v>0</v>
      </c>
      <c r="AC20" s="389">
        <f t="shared" si="11"/>
        <v>0</v>
      </c>
      <c r="AD20" s="389">
        <f t="shared" si="12"/>
        <v>0</v>
      </c>
    </row>
    <row r="21" spans="1:30" s="390" customFormat="1" ht="15" customHeight="1">
      <c r="A21" s="167">
        <v>10</v>
      </c>
      <c r="B21" s="267" t="str">
        <f>VLOOKUP(A21,'JUNE (물량흐름)'!$A$13:$C$502,2,0)</f>
        <v>ANN TAYLOR</v>
      </c>
      <c r="C21" s="240">
        <f>VLOOKUP(A21,'JUNE (물량흐름)'!$A$13:$C$502,3,0)</f>
        <v>446749</v>
      </c>
      <c r="D21" s="6">
        <f>VLOOKUP(C21,'WIP(재공품)'!$B$12:$E$493,4,0)</f>
        <v>7936.2499999999991</v>
      </c>
      <c r="E21" s="6">
        <f>IFERROR(VLOOKUP(C21,O.B.JUNE!$AA$7:$AG$448,2,0),0)</f>
        <v>0</v>
      </c>
      <c r="F21" s="6">
        <f>IFERROR(VLOOKUP(C21,O.B.JUNE!$AA$7:$AG$448,3,0),0)</f>
        <v>0</v>
      </c>
      <c r="G21" s="6">
        <f>IFERROR(VLOOKUP(C21,O.B.JUNE!$AA$7:$AD$448,4,0),0)</f>
        <v>165</v>
      </c>
      <c r="H21" s="6">
        <f t="shared" si="2"/>
        <v>165</v>
      </c>
      <c r="I21" s="6">
        <f>IFERROR(VLOOKUP(C21,O.B.JUNE!$AA$7:$AF$448,6,0),0)</f>
        <v>132</v>
      </c>
      <c r="J21" s="6"/>
      <c r="K21" s="6">
        <f>IFERROR(VLOOKUP(C21,O.B.JUNE!$AA$7:$AG$448,7,0),0)</f>
        <v>2743703</v>
      </c>
      <c r="L21" s="6">
        <f>SUMIF('JUNE (물량흐름)'!$C$13:$C$502,'Direct labour(직접노무비)'!C21,'JUNE (물량흐름)'!$H$13:$H$502)+SUMIF('JUNE (물량흐름)'!$C$13:$C$502,'Direct labour(직접노무비)'!C21,'JUNE (물량흐름)'!$I$13:$I$502)</f>
        <v>0</v>
      </c>
      <c r="M21" s="6">
        <f t="shared" si="3"/>
        <v>0</v>
      </c>
      <c r="N21" s="6">
        <f t="shared" si="4"/>
        <v>0</v>
      </c>
      <c r="O21" s="6">
        <f t="shared" si="1"/>
        <v>0</v>
      </c>
      <c r="P21" s="6">
        <f>SUMIF('JUNE (물량흐름)'!$C$13:$C$502,C21,'JUNE (물량흐름)'!$T$13:$T$502)+SUMIF('JUNE (물량흐름)'!$C$13:$C$502,C21,'JUNE (물량흐름)'!$V$13:$V$502)+SUMIF('JUNE (물량흐름)'!$C$13:$C$502,C21,'JUNE (물량흐름)'!$U$13:$U$502)-SUMIF('JUNE (물량흐름)'!$C$13:$C$502,C21,'JUNE (물량흐름)'!$Y$13:$Y$502)</f>
        <v>165</v>
      </c>
      <c r="Q21" s="6">
        <f t="shared" si="5"/>
        <v>2743703</v>
      </c>
      <c r="R21" s="6">
        <f>ROUND(IF(ISERROR(VLOOKUP(#REF!,'WIP(재공품)'!$B$12:$AB$38,13,0)),0,VLOOKUP(#REF!,'WIP(재공품)'!$B$12:$AB$38,13,0)),0)</f>
        <v>0</v>
      </c>
      <c r="S21" s="6">
        <f>IF(ISERROR(VLOOKUP(#REF!,'WIP(재공품)'!$B$12:$AB$38,10,0)),0,VLOOKUP(#REF!,'WIP(재공품)'!$B$12:$AB$38,10,0))</f>
        <v>0</v>
      </c>
      <c r="T21" s="6">
        <f>SUMIF('JUNE (물량흐름)'!$C$13:$C$502,'Direct labour(직접노무비)'!C21,'JUNE (물량흐름)'!$Y$13:$Y$502)</f>
        <v>0</v>
      </c>
      <c r="U21" s="6">
        <f t="shared" si="6"/>
        <v>0</v>
      </c>
      <c r="V21" s="6">
        <f>ROUND(SUMIF('JUNE (물량흐름)'!$C$13:$C$502,'Direct labour(직접노무비)'!C21,'JUNE (물량흐름)'!$N$13:$N$502),0)</f>
        <v>0</v>
      </c>
      <c r="W21" s="6">
        <f>ROUND(SUMIF('JUNE (물량흐름)'!$C$13:$C$502,'Direct labour(직접노무비)'!C21,'JUNE (물량흐름)'!$O$13:$O$502),0)</f>
        <v>0</v>
      </c>
      <c r="X21" s="6">
        <f>ROUND(SUMIF('JUNE (물량흐름)'!$C$13:$C$502,'Direct labour(직접노무비)'!C21,'JUNE (물량흐름)'!$P$13:$P$502),0)</f>
        <v>0</v>
      </c>
      <c r="Y21" s="6">
        <f t="shared" si="7"/>
        <v>0</v>
      </c>
      <c r="Z21" s="6">
        <f t="shared" si="8"/>
        <v>0</v>
      </c>
      <c r="AA21" s="6">
        <f t="shared" si="9"/>
        <v>0</v>
      </c>
      <c r="AB21" s="389">
        <f>K21+O21-Q21-U21-AA21</f>
        <v>0</v>
      </c>
      <c r="AC21" s="389">
        <f>H21+L21-P21-T21-Y21</f>
        <v>0</v>
      </c>
      <c r="AD21" s="389">
        <f>H21+L21-P21-T21-Y21</f>
        <v>0</v>
      </c>
    </row>
    <row r="22" spans="1:30" s="390" customFormat="1" ht="15" customHeight="1">
      <c r="A22" s="167">
        <v>11</v>
      </c>
      <c r="B22" s="267" t="str">
        <f>VLOOKUP(A22,'JUNE (물량흐름)'!$A$13:$C$502,2,0)</f>
        <v>ANN TAYLOR</v>
      </c>
      <c r="C22" s="240">
        <f>VLOOKUP(A22,'JUNE (물량흐름)'!$A$13:$C$502,3,0)</f>
        <v>446053</v>
      </c>
      <c r="D22" s="6">
        <f>VLOOKUP(C22,'WIP(재공품)'!$B$12:$E$493,4,0)</f>
        <v>40815</v>
      </c>
      <c r="E22" s="6">
        <f>IFERROR(VLOOKUP(C22,O.B.JUNE!$AA$7:$AG$448,2,0),0)</f>
        <v>0</v>
      </c>
      <c r="F22" s="6">
        <f>IFERROR(VLOOKUP(C22,O.B.JUNE!$AA$7:$AG$448,3,0),0)</f>
        <v>0</v>
      </c>
      <c r="G22" s="6">
        <f>IFERROR(VLOOKUP(C22,O.B.JUNE!$AA$7:$AD$448,4,0),0)</f>
        <v>63</v>
      </c>
      <c r="H22" s="6">
        <f t="shared" si="2"/>
        <v>63</v>
      </c>
      <c r="I22" s="6">
        <f>IFERROR(VLOOKUP(C22,O.B.JUNE!$AA$7:$AF$448,6,0),0)</f>
        <v>50</v>
      </c>
      <c r="J22" s="6"/>
      <c r="K22" s="6">
        <f>IFERROR(VLOOKUP(C22,O.B.JUNE!$AA$7:$AG$448,7,0),0)</f>
        <v>433160</v>
      </c>
      <c r="L22" s="6">
        <f>SUMIF('JUNE (물량흐름)'!$C$13:$C$502,'Direct labour(직접노무비)'!C22,'JUNE (물량흐름)'!$H$13:$H$502)+SUMIF('JUNE (물량흐름)'!$C$13:$C$502,'Direct labour(직접노무비)'!C22,'JUNE (물량흐름)'!$I$13:$I$502)</f>
        <v>0</v>
      </c>
      <c r="M22" s="6">
        <f t="shared" si="3"/>
        <v>0</v>
      </c>
      <c r="N22" s="6">
        <f t="shared" si="4"/>
        <v>0</v>
      </c>
      <c r="O22" s="6">
        <f t="shared" si="1"/>
        <v>0</v>
      </c>
      <c r="P22" s="6">
        <f>SUMIF('JUNE (물량흐름)'!$C$13:$C$502,C22,'JUNE (물량흐름)'!$T$13:$T$502)+SUMIF('JUNE (물량흐름)'!$C$13:$C$502,C22,'JUNE (물량흐름)'!$V$13:$V$502)+SUMIF('JUNE (물량흐름)'!$C$13:$C$502,C22,'JUNE (물량흐름)'!$U$13:$U$502)-SUMIF('JUNE (물량흐름)'!$C$13:$C$502,C22,'JUNE (물량흐름)'!$Y$13:$Y$502)</f>
        <v>63</v>
      </c>
      <c r="Q22" s="6">
        <f t="shared" si="5"/>
        <v>433160</v>
      </c>
      <c r="R22" s="6">
        <f>ROUND(IF(ISERROR(VLOOKUP(#REF!,'WIP(재공품)'!$B$12:$AB$38,13,0)),0,VLOOKUP(#REF!,'WIP(재공품)'!$B$12:$AB$38,13,0)),0)</f>
        <v>0</v>
      </c>
      <c r="S22" s="6">
        <f>IF(ISERROR(VLOOKUP(#REF!,'WIP(재공품)'!$B$12:$AB$38,10,0)),0,VLOOKUP(#REF!,'WIP(재공품)'!$B$12:$AB$38,10,0))</f>
        <v>0</v>
      </c>
      <c r="T22" s="6">
        <f>SUMIF('JUNE (물량흐름)'!$C$13:$C$502,'Direct labour(직접노무비)'!C22,'JUNE (물량흐름)'!$Y$13:$Y$502)</f>
        <v>0</v>
      </c>
      <c r="U22" s="6">
        <f t="shared" si="6"/>
        <v>0</v>
      </c>
      <c r="V22" s="6">
        <f>ROUND(SUMIF('JUNE (물량흐름)'!$C$13:$C$502,'Direct labour(직접노무비)'!C22,'JUNE (물량흐름)'!$N$13:$N$502),0)</f>
        <v>0</v>
      </c>
      <c r="W22" s="6">
        <f>ROUND(SUMIF('JUNE (물량흐름)'!$C$13:$C$502,'Direct labour(직접노무비)'!C22,'JUNE (물량흐름)'!$O$13:$O$502),0)</f>
        <v>0</v>
      </c>
      <c r="X22" s="6">
        <f>ROUND(SUMIF('JUNE (물량흐름)'!$C$13:$C$502,'Direct labour(직접노무비)'!C22,'JUNE (물량흐름)'!$P$13:$P$502),0)</f>
        <v>0</v>
      </c>
      <c r="Y22" s="6">
        <f t="shared" si="7"/>
        <v>0</v>
      </c>
      <c r="Z22" s="6">
        <f t="shared" si="8"/>
        <v>0</v>
      </c>
      <c r="AA22" s="6">
        <f t="shared" si="9"/>
        <v>0</v>
      </c>
      <c r="AB22" s="389">
        <f t="shared" si="10"/>
        <v>0</v>
      </c>
      <c r="AC22" s="389">
        <f t="shared" si="11"/>
        <v>0</v>
      </c>
      <c r="AD22" s="389">
        <f t="shared" si="12"/>
        <v>0</v>
      </c>
    </row>
    <row r="23" spans="1:30" s="390" customFormat="1" ht="15" customHeight="1">
      <c r="A23" s="167">
        <v>12</v>
      </c>
      <c r="B23" s="267" t="str">
        <f>VLOOKUP(A23,'JUNE (물량흐름)'!$A$13:$C$502,2,0)</f>
        <v>ALFANI</v>
      </c>
      <c r="C23" s="240">
        <f>VLOOKUP(A23,'JUNE (물량흐름)'!$A$13:$C$502,3,0)</f>
        <v>100004405</v>
      </c>
      <c r="D23" s="6">
        <f>VLOOKUP(C23,'WIP(재공품)'!$B$12:$E$493,4,0)</f>
        <v>7936.2499999999991</v>
      </c>
      <c r="E23" s="6">
        <f>IFERROR(VLOOKUP(C23,O.B.JUNE!$AA$7:$AG$448,2,0),0)</f>
        <v>0</v>
      </c>
      <c r="F23" s="6">
        <f>IFERROR(VLOOKUP(C23,O.B.JUNE!$AA$7:$AG$448,3,0),0)</f>
        <v>0</v>
      </c>
      <c r="G23" s="6">
        <f>IFERROR(VLOOKUP(C23,O.B.JUNE!$AA$7:$AD$448,4,0),0)</f>
        <v>79</v>
      </c>
      <c r="H23" s="6">
        <f t="shared" si="2"/>
        <v>79</v>
      </c>
      <c r="I23" s="6">
        <f>IFERROR(VLOOKUP(C23,O.B.JUNE!$AA$7:$AF$448,6,0),0)</f>
        <v>63</v>
      </c>
      <c r="J23" s="6"/>
      <c r="K23" s="6">
        <f>IFERROR(VLOOKUP(C23,O.B.JUNE!$AA$7:$AG$448,7,0),0)</f>
        <v>525166</v>
      </c>
      <c r="L23" s="6">
        <f>SUMIF('JUNE (물량흐름)'!$C$13:$C$502,'Direct labour(직접노무비)'!C23,'JUNE (물량흐름)'!$H$13:$H$502)+SUMIF('JUNE (물량흐름)'!$C$13:$C$502,'Direct labour(직접노무비)'!C23,'JUNE (물량흐름)'!$I$13:$I$502)</f>
        <v>0</v>
      </c>
      <c r="M23" s="6">
        <f t="shared" si="3"/>
        <v>0</v>
      </c>
      <c r="N23" s="6">
        <f t="shared" si="4"/>
        <v>0</v>
      </c>
      <c r="O23" s="6">
        <f t="shared" si="1"/>
        <v>0</v>
      </c>
      <c r="P23" s="6">
        <f>SUMIF('JUNE (물량흐름)'!$C$13:$C$502,C23,'JUNE (물량흐름)'!$T$13:$T$502)+SUMIF('JUNE (물량흐름)'!$C$13:$C$502,C23,'JUNE (물량흐름)'!$V$13:$V$502)+SUMIF('JUNE (물량흐름)'!$C$13:$C$502,C23,'JUNE (물량흐름)'!$U$13:$U$502)-SUMIF('JUNE (물량흐름)'!$C$13:$C$502,C23,'JUNE (물량흐름)'!$Y$13:$Y$502)</f>
        <v>79</v>
      </c>
      <c r="Q23" s="6">
        <f t="shared" si="5"/>
        <v>525166</v>
      </c>
      <c r="R23" s="6">
        <f>ROUND(IF(ISERROR(VLOOKUP(#REF!,'WIP(재공품)'!$B$12:$AB$38,13,0)),0,VLOOKUP(#REF!,'WIP(재공품)'!$B$12:$AB$38,13,0)),0)</f>
        <v>0</v>
      </c>
      <c r="S23" s="6">
        <f>IF(ISERROR(VLOOKUP(#REF!,'WIP(재공품)'!$B$12:$AB$38,10,0)),0,VLOOKUP(#REF!,'WIP(재공품)'!$B$12:$AB$38,10,0))</f>
        <v>0</v>
      </c>
      <c r="T23" s="6">
        <f>SUMIF('JUNE (물량흐름)'!$C$13:$C$502,'Direct labour(직접노무비)'!C23,'JUNE (물량흐름)'!$Y$13:$Y$502)</f>
        <v>0</v>
      </c>
      <c r="U23" s="6">
        <f t="shared" si="6"/>
        <v>0</v>
      </c>
      <c r="V23" s="6">
        <f>ROUND(SUMIF('JUNE (물량흐름)'!$C$13:$C$502,'Direct labour(직접노무비)'!C23,'JUNE (물량흐름)'!$N$13:$N$502),0)</f>
        <v>0</v>
      </c>
      <c r="W23" s="6">
        <f>ROUND(SUMIF('JUNE (물량흐름)'!$C$13:$C$502,'Direct labour(직접노무비)'!C23,'JUNE (물량흐름)'!$O$13:$O$502),0)</f>
        <v>0</v>
      </c>
      <c r="X23" s="6">
        <f>ROUND(SUMIF('JUNE (물량흐름)'!$C$13:$C$502,'Direct labour(직접노무비)'!C23,'JUNE (물량흐름)'!$P$13:$P$502),0)</f>
        <v>0</v>
      </c>
      <c r="Y23" s="6">
        <f t="shared" si="7"/>
        <v>0</v>
      </c>
      <c r="Z23" s="6">
        <f t="shared" si="8"/>
        <v>0</v>
      </c>
      <c r="AA23" s="6">
        <f t="shared" si="9"/>
        <v>0</v>
      </c>
      <c r="AB23" s="389">
        <f t="shared" si="10"/>
        <v>0</v>
      </c>
      <c r="AC23" s="389">
        <f t="shared" si="11"/>
        <v>0</v>
      </c>
      <c r="AD23" s="389">
        <f t="shared" si="12"/>
        <v>0</v>
      </c>
    </row>
    <row r="24" spans="1:30" s="390" customFormat="1" ht="15" customHeight="1">
      <c r="A24" s="167">
        <v>13</v>
      </c>
      <c r="B24" s="267" t="str">
        <f>VLOOKUP(A24,'JUNE (물량흐름)'!$A$13:$C$502,2,0)</f>
        <v>ALFANI</v>
      </c>
      <c r="C24" s="240">
        <f>VLOOKUP(A24,'JUNE (물량흐름)'!$A$13:$C$502,3,0)</f>
        <v>100003246</v>
      </c>
      <c r="D24" s="6">
        <f>VLOOKUP(C24,'WIP(재공품)'!$B$12:$E$493,4,0)</f>
        <v>7936.2499999999991</v>
      </c>
      <c r="E24" s="6">
        <f>IFERROR(VLOOKUP(C24,O.B.JUNE!$AA$7:$AG$448,2,0),0)</f>
        <v>0</v>
      </c>
      <c r="F24" s="6">
        <f>IFERROR(VLOOKUP(C24,O.B.JUNE!$AA$7:$AG$448,3,0),0)</f>
        <v>0</v>
      </c>
      <c r="G24" s="6">
        <f>IFERROR(VLOOKUP(C24,O.B.JUNE!$AA$7:$AD$448,4,0),0)</f>
        <v>377</v>
      </c>
      <c r="H24" s="6">
        <f t="shared" si="2"/>
        <v>377</v>
      </c>
      <c r="I24" s="6">
        <f>IFERROR(VLOOKUP(C24,O.B.JUNE!$AA$7:$AF$448,6,0),0)</f>
        <v>302</v>
      </c>
      <c r="J24" s="6"/>
      <c r="K24" s="6">
        <f>IFERROR(VLOOKUP(C24,O.B.JUNE!$AA$7:$AG$448,7,0),0)</f>
        <v>2474021</v>
      </c>
      <c r="L24" s="6">
        <f>SUMIF('JUNE (물량흐름)'!$C$13:$C$502,'Direct labour(직접노무비)'!C24,'JUNE (물량흐름)'!$H$13:$H$502)+SUMIF('JUNE (물량흐름)'!$C$13:$C$502,'Direct labour(직접노무비)'!C24,'JUNE (물량흐름)'!$I$13:$I$502)</f>
        <v>0</v>
      </c>
      <c r="M24" s="6">
        <f t="shared" si="3"/>
        <v>0</v>
      </c>
      <c r="N24" s="6">
        <f t="shared" si="4"/>
        <v>0</v>
      </c>
      <c r="O24" s="6">
        <f t="shared" si="1"/>
        <v>0</v>
      </c>
      <c r="P24" s="6">
        <f>SUMIF('JUNE (물량흐름)'!$C$13:$C$502,C24,'JUNE (물량흐름)'!$T$13:$T$502)+SUMIF('JUNE (물량흐름)'!$C$13:$C$502,C24,'JUNE (물량흐름)'!$V$13:$V$502)+SUMIF('JUNE (물량흐름)'!$C$13:$C$502,C24,'JUNE (물량흐름)'!$U$13:$U$502)-SUMIF('JUNE (물량흐름)'!$C$13:$C$502,C24,'JUNE (물량흐름)'!$Y$13:$Y$502)</f>
        <v>377</v>
      </c>
      <c r="Q24" s="6">
        <f t="shared" si="5"/>
        <v>2474021</v>
      </c>
      <c r="R24" s="6">
        <f>ROUND(IF(ISERROR(VLOOKUP(#REF!,'WIP(재공품)'!$B$12:$AB$38,13,0)),0,VLOOKUP(#REF!,'WIP(재공품)'!$B$12:$AB$38,13,0)),0)</f>
        <v>0</v>
      </c>
      <c r="S24" s="6">
        <f>IF(ISERROR(VLOOKUP(#REF!,'WIP(재공품)'!$B$12:$AB$38,10,0)),0,VLOOKUP(#REF!,'WIP(재공품)'!$B$12:$AB$38,10,0))</f>
        <v>0</v>
      </c>
      <c r="T24" s="6">
        <f>SUMIF('JUNE (물량흐름)'!$C$13:$C$502,'Direct labour(직접노무비)'!C24,'JUNE (물량흐름)'!$Y$13:$Y$502)</f>
        <v>0</v>
      </c>
      <c r="U24" s="6">
        <f t="shared" si="6"/>
        <v>0</v>
      </c>
      <c r="V24" s="6">
        <f>ROUND(SUMIF('JUNE (물량흐름)'!$C$13:$C$502,'Direct labour(직접노무비)'!C24,'JUNE (물량흐름)'!$N$13:$N$502),0)</f>
        <v>0</v>
      </c>
      <c r="W24" s="6">
        <f>ROUND(SUMIF('JUNE (물량흐름)'!$C$13:$C$502,'Direct labour(직접노무비)'!C24,'JUNE (물량흐름)'!$O$13:$O$502),0)</f>
        <v>0</v>
      </c>
      <c r="X24" s="6">
        <f>ROUND(SUMIF('JUNE (물량흐름)'!$C$13:$C$502,'Direct labour(직접노무비)'!C24,'JUNE (물량흐름)'!$P$13:$P$502),0)</f>
        <v>0</v>
      </c>
      <c r="Y24" s="6">
        <f t="shared" si="7"/>
        <v>0</v>
      </c>
      <c r="Z24" s="6">
        <f t="shared" si="8"/>
        <v>0</v>
      </c>
      <c r="AA24" s="6">
        <f t="shared" si="9"/>
        <v>0</v>
      </c>
      <c r="AB24" s="389">
        <f t="shared" si="10"/>
        <v>0</v>
      </c>
      <c r="AC24" s="389">
        <f t="shared" si="11"/>
        <v>0</v>
      </c>
      <c r="AD24" s="389">
        <f t="shared" si="12"/>
        <v>0</v>
      </c>
    </row>
    <row r="25" spans="1:30" s="390" customFormat="1" ht="15" customHeight="1">
      <c r="A25" s="167">
        <v>14</v>
      </c>
      <c r="B25" s="267" t="str">
        <f>VLOOKUP(A25,'JUNE (물량흐름)'!$A$13:$C$502,2,0)</f>
        <v>ALFANI</v>
      </c>
      <c r="C25" s="240">
        <f>VLOOKUP(A25,'JUNE (물량흐름)'!$A$13:$C$502,3,0)</f>
        <v>100001802</v>
      </c>
      <c r="D25" s="6">
        <f>VLOOKUP(C25,'WIP(재공품)'!$B$12:$E$493,4,0)</f>
        <v>7936.2499999999991</v>
      </c>
      <c r="E25" s="6">
        <f>IFERROR(VLOOKUP(C25,O.B.JUNE!$AA$7:$AG$448,2,0),0)</f>
        <v>0</v>
      </c>
      <c r="F25" s="6">
        <f>IFERROR(VLOOKUP(C25,O.B.JUNE!$AA$7:$AG$448,3,0),0)</f>
        <v>0</v>
      </c>
      <c r="G25" s="6">
        <f>IFERROR(VLOOKUP(C25,O.B.JUNE!$AA$7:$AD$448,4,0),0)</f>
        <v>103</v>
      </c>
      <c r="H25" s="6">
        <f t="shared" si="2"/>
        <v>103</v>
      </c>
      <c r="I25" s="6">
        <f>IFERROR(VLOOKUP(C25,O.B.JUNE!$AA$7:$AF$448,6,0),0)</f>
        <v>82</v>
      </c>
      <c r="J25" s="6"/>
      <c r="K25" s="6">
        <f>IFERROR(VLOOKUP(C25,O.B.JUNE!$AA$7:$AG$448,7,0),0)</f>
        <v>1254920</v>
      </c>
      <c r="L25" s="6">
        <f>SUMIF('JUNE (물량흐름)'!$C$13:$C$502,'Direct labour(직접노무비)'!C25,'JUNE (물량흐름)'!$H$13:$H$502)+SUMIF('JUNE (물량흐름)'!$C$13:$C$502,'Direct labour(직접노무비)'!C25,'JUNE (물량흐름)'!$I$13:$I$502)</f>
        <v>0</v>
      </c>
      <c r="M25" s="6">
        <f t="shared" si="3"/>
        <v>0</v>
      </c>
      <c r="N25" s="6">
        <f t="shared" si="4"/>
        <v>0</v>
      </c>
      <c r="O25" s="6">
        <f t="shared" si="1"/>
        <v>0</v>
      </c>
      <c r="P25" s="6">
        <f>SUMIF('JUNE (물량흐름)'!$C$13:$C$502,C25,'JUNE (물량흐름)'!$T$13:$T$502)+SUMIF('JUNE (물량흐름)'!$C$13:$C$502,C25,'JUNE (물량흐름)'!$V$13:$V$502)+SUMIF('JUNE (물량흐름)'!$C$13:$C$502,C25,'JUNE (물량흐름)'!$U$13:$U$502)-SUMIF('JUNE (물량흐름)'!$C$13:$C$502,C25,'JUNE (물량흐름)'!$Y$13:$Y$502)</f>
        <v>0</v>
      </c>
      <c r="Q25" s="6">
        <f t="shared" si="5"/>
        <v>0</v>
      </c>
      <c r="R25" s="6">
        <f>ROUND(IF(ISERROR(VLOOKUP(#REF!,'WIP(재공품)'!$B$12:$AB$38,13,0)),0,VLOOKUP(#REF!,'WIP(재공품)'!$B$12:$AB$38,13,0)),0)</f>
        <v>0</v>
      </c>
      <c r="S25" s="6">
        <f>IF(ISERROR(VLOOKUP(#REF!,'WIP(재공품)'!$B$12:$AB$38,10,0)),0,VLOOKUP(#REF!,'WIP(재공품)'!$B$12:$AB$38,10,0))</f>
        <v>0</v>
      </c>
      <c r="T25" s="6">
        <f>SUMIF('JUNE (물량흐름)'!$C$13:$C$502,'Direct labour(직접노무비)'!C25,'JUNE (물량흐름)'!$Y$13:$Y$502)</f>
        <v>0</v>
      </c>
      <c r="U25" s="6">
        <f t="shared" si="6"/>
        <v>0</v>
      </c>
      <c r="V25" s="6">
        <f>ROUND(SUMIF('JUNE (물량흐름)'!$C$13:$C$502,'Direct labour(직접노무비)'!C25,'JUNE (물량흐름)'!$N$13:$N$502),0)</f>
        <v>0</v>
      </c>
      <c r="W25" s="6">
        <f>ROUND(SUMIF('JUNE (물량흐름)'!$C$13:$C$502,'Direct labour(직접노무비)'!C25,'JUNE (물량흐름)'!$O$13:$O$502),0)</f>
        <v>0</v>
      </c>
      <c r="X25" s="6">
        <f>ROUND(SUMIF('JUNE (물량흐름)'!$C$13:$C$502,'Direct labour(직접노무비)'!C25,'JUNE (물량흐름)'!$P$13:$P$502),0)</f>
        <v>103</v>
      </c>
      <c r="Y25" s="6">
        <f t="shared" si="7"/>
        <v>103</v>
      </c>
      <c r="Z25" s="6">
        <f t="shared" si="8"/>
        <v>82</v>
      </c>
      <c r="AA25" s="6">
        <f t="shared" si="9"/>
        <v>1254920</v>
      </c>
      <c r="AB25" s="389">
        <f t="shared" si="10"/>
        <v>0</v>
      </c>
      <c r="AC25" s="389">
        <f t="shared" si="11"/>
        <v>0</v>
      </c>
      <c r="AD25" s="389">
        <f t="shared" si="12"/>
        <v>0</v>
      </c>
    </row>
    <row r="26" spans="1:30" s="390" customFormat="1" ht="15" customHeight="1">
      <c r="A26" s="167">
        <v>15</v>
      </c>
      <c r="B26" s="267" t="str">
        <f>VLOOKUP(A26,'JUNE (물량흐름)'!$A$13:$C$502,2,0)</f>
        <v>ALFANI</v>
      </c>
      <c r="C26" s="240">
        <f>VLOOKUP(A26,'JUNE (물량흐름)'!$A$13:$C$502,3,0)</f>
        <v>68416</v>
      </c>
      <c r="D26" s="6">
        <f>VLOOKUP(C26,'WIP(재공품)'!$B$12:$E$493,4,0)</f>
        <v>46937.25</v>
      </c>
      <c r="E26" s="6">
        <f>IFERROR(VLOOKUP(C26,O.B.JUNE!$AA$7:$AG$448,2,0),0)</f>
        <v>56</v>
      </c>
      <c r="F26" s="6">
        <f>IFERROR(VLOOKUP(C26,O.B.JUNE!$AA$7:$AG$448,3,0),0)</f>
        <v>361</v>
      </c>
      <c r="G26" s="6">
        <f>IFERROR(VLOOKUP(C26,O.B.JUNE!$AA$7:$AD$448,4,0),0)</f>
        <v>455</v>
      </c>
      <c r="H26" s="6">
        <f t="shared" si="2"/>
        <v>872</v>
      </c>
      <c r="I26" s="6">
        <f>IFERROR(VLOOKUP(C26,O.B.JUNE!$AA$7:$AF$448,6,0),0)</f>
        <v>556</v>
      </c>
      <c r="J26" s="6"/>
      <c r="K26" s="6">
        <f>IFERROR(VLOOKUP(C26,O.B.JUNE!$AA$7:$AG$448,7,0),0)</f>
        <v>5097760</v>
      </c>
      <c r="L26" s="6">
        <f>SUMIF('JUNE (물량흐름)'!$C$13:$C$502,'Direct labour(직접노무비)'!C26,'JUNE (물량흐름)'!$H$13:$H$502)+SUMIF('JUNE (물량흐름)'!$C$13:$C$502,'Direct labour(직접노무비)'!C26,'JUNE (물량흐름)'!$I$13:$I$502)</f>
        <v>32</v>
      </c>
      <c r="M26" s="6">
        <f t="shared" si="3"/>
        <v>297</v>
      </c>
      <c r="N26" s="6">
        <f t="shared" si="4"/>
        <v>13940363</v>
      </c>
      <c r="O26" s="6">
        <f t="shared" si="1"/>
        <v>4311388</v>
      </c>
      <c r="P26" s="6">
        <f>SUMIF('JUNE (물량흐름)'!$C$13:$C$502,C26,'JUNE (물량흐름)'!$T$13:$T$502)+SUMIF('JUNE (물량흐름)'!$C$13:$C$502,C26,'JUNE (물량흐름)'!$V$13:$V$502)+SUMIF('JUNE (물량흐름)'!$C$13:$C$502,C26,'JUNE (물량흐름)'!$U$13:$U$502)-SUMIF('JUNE (물량흐름)'!$C$13:$C$502,C26,'JUNE (물량흐름)'!$Y$13:$Y$502)</f>
        <v>683</v>
      </c>
      <c r="Q26" s="6">
        <f t="shared" si="5"/>
        <v>7108903</v>
      </c>
      <c r="R26" s="6">
        <f>ROUND(IF(ISERROR(VLOOKUP(#REF!,'WIP(재공품)'!$B$12:$AB$38,13,0)),0,VLOOKUP(#REF!,'WIP(재공품)'!$B$12:$AB$38,13,0)),0)</f>
        <v>0</v>
      </c>
      <c r="S26" s="6">
        <f>IF(ISERROR(VLOOKUP(#REF!,'WIP(재공품)'!$B$12:$AB$38,10,0)),0,VLOOKUP(#REF!,'WIP(재공품)'!$B$12:$AB$38,10,0))</f>
        <v>0</v>
      </c>
      <c r="T26" s="6">
        <f>SUMIF('JUNE (물량흐름)'!$C$13:$C$502,'Direct labour(직접노무비)'!C26,'JUNE (물량흐름)'!$Y$13:$Y$502)</f>
        <v>5</v>
      </c>
      <c r="U26" s="6">
        <f t="shared" si="6"/>
        <v>52042</v>
      </c>
      <c r="V26" s="6">
        <f>ROUND(SUMIF('JUNE (물량흐름)'!$C$13:$C$502,'Direct labour(직접노무비)'!C26,'JUNE (물량흐름)'!$N$13:$N$502),0)</f>
        <v>0</v>
      </c>
      <c r="W26" s="6">
        <f>ROUND(SUMIF('JUNE (물량흐름)'!$C$13:$C$502,'Direct labour(직접노무비)'!C26,'JUNE (물량흐름)'!$O$13:$O$502),0)</f>
        <v>27</v>
      </c>
      <c r="X26" s="6">
        <f>ROUND(SUMIF('JUNE (물량흐름)'!$C$13:$C$502,'Direct labour(직접노무비)'!C26,'JUNE (물량흐름)'!$P$13:$P$502),0)</f>
        <v>189</v>
      </c>
      <c r="Y26" s="6">
        <f t="shared" si="7"/>
        <v>216</v>
      </c>
      <c r="Z26" s="6">
        <f t="shared" si="8"/>
        <v>165</v>
      </c>
      <c r="AA26" s="6">
        <f t="shared" si="9"/>
        <v>2248204</v>
      </c>
      <c r="AB26" s="389">
        <f t="shared" si="10"/>
        <v>-1</v>
      </c>
      <c r="AC26" s="389">
        <f t="shared" si="11"/>
        <v>0</v>
      </c>
      <c r="AD26" s="389">
        <f t="shared" si="12"/>
        <v>0</v>
      </c>
    </row>
    <row r="27" spans="1:30" s="390" customFormat="1" ht="15" customHeight="1">
      <c r="A27" s="167">
        <v>16</v>
      </c>
      <c r="B27" s="267" t="str">
        <f>VLOOKUP(A27,'JUNE (물량흐름)'!$A$13:$C$502,2,0)</f>
        <v>ALFANI</v>
      </c>
      <c r="C27" s="240" t="str">
        <f>VLOOKUP(A27,'JUNE (물량흐름)'!$A$13:$C$502,3,0)</f>
        <v>7X408</v>
      </c>
      <c r="D27" s="6">
        <f>VLOOKUP(C27,'WIP(재공품)'!$B$12:$E$493,4,0)</f>
        <v>7936.2499999999991</v>
      </c>
      <c r="E27" s="6">
        <f>IFERROR(VLOOKUP(C27,O.B.JUNE!$AA$7:$AG$448,2,0),0)</f>
        <v>0</v>
      </c>
      <c r="F27" s="6">
        <f>IFERROR(VLOOKUP(C27,O.B.JUNE!$AA$7:$AG$448,3,0),0)</f>
        <v>0</v>
      </c>
      <c r="G27" s="6">
        <f>IFERROR(VLOOKUP(C27,O.B.JUNE!$AA$7:$AD$448,4,0),0)</f>
        <v>108</v>
      </c>
      <c r="H27" s="6">
        <f t="shared" si="2"/>
        <v>108</v>
      </c>
      <c r="I27" s="6">
        <f>IFERROR(VLOOKUP(C27,O.B.JUNE!$AA$7:$AF$448,6,0),0)</f>
        <v>86</v>
      </c>
      <c r="J27" s="6"/>
      <c r="K27" s="6">
        <f>IFERROR(VLOOKUP(C27,O.B.JUNE!$AA$7:$AG$448,7,0),0)</f>
        <v>1477379</v>
      </c>
      <c r="L27" s="6">
        <f>SUMIF('JUNE (물량흐름)'!$C$13:$C$502,'Direct labour(직접노무비)'!C27,'JUNE (물량흐름)'!$H$13:$H$502)+SUMIF('JUNE (물량흐름)'!$C$13:$C$502,'Direct labour(직접노무비)'!C27,'JUNE (물량흐름)'!$I$13:$I$502)</f>
        <v>0</v>
      </c>
      <c r="M27" s="6">
        <f t="shared" si="3"/>
        <v>0</v>
      </c>
      <c r="N27" s="6">
        <f t="shared" si="4"/>
        <v>0</v>
      </c>
      <c r="O27" s="6">
        <f t="shared" si="1"/>
        <v>0</v>
      </c>
      <c r="P27" s="6">
        <f>SUMIF('JUNE (물량흐름)'!$C$13:$C$502,C27,'JUNE (물량흐름)'!$T$13:$T$502)+SUMIF('JUNE (물량흐름)'!$C$13:$C$502,C27,'JUNE (물량흐름)'!$V$13:$V$502)+SUMIF('JUNE (물량흐름)'!$C$13:$C$502,C27,'JUNE (물량흐름)'!$U$13:$U$502)-SUMIF('JUNE (물량흐름)'!$C$13:$C$502,C27,'JUNE (물량흐름)'!$Y$13:$Y$502)</f>
        <v>108</v>
      </c>
      <c r="Q27" s="6">
        <f t="shared" si="5"/>
        <v>1477379</v>
      </c>
      <c r="R27" s="6">
        <f>ROUND(IF(ISERROR(VLOOKUP(#REF!,'WIP(재공품)'!$B$12:$AB$38,13,0)),0,VLOOKUP(#REF!,'WIP(재공품)'!$B$12:$AB$38,13,0)),0)</f>
        <v>0</v>
      </c>
      <c r="S27" s="6">
        <f>IF(ISERROR(VLOOKUP(#REF!,'WIP(재공품)'!$B$12:$AB$38,10,0)),0,VLOOKUP(#REF!,'WIP(재공품)'!$B$12:$AB$38,10,0))</f>
        <v>0</v>
      </c>
      <c r="T27" s="6">
        <f>SUMIF('JUNE (물량흐름)'!$C$13:$C$502,'Direct labour(직접노무비)'!C27,'JUNE (물량흐름)'!$Y$13:$Y$502)</f>
        <v>0</v>
      </c>
      <c r="U27" s="6">
        <f t="shared" si="6"/>
        <v>0</v>
      </c>
      <c r="V27" s="6">
        <f>ROUND(SUMIF('JUNE (물량흐름)'!$C$13:$C$502,'Direct labour(직접노무비)'!C27,'JUNE (물량흐름)'!$N$13:$N$502),0)</f>
        <v>0</v>
      </c>
      <c r="W27" s="6">
        <f>ROUND(SUMIF('JUNE (물량흐름)'!$C$13:$C$502,'Direct labour(직접노무비)'!C27,'JUNE (물량흐름)'!$O$13:$O$502),0)</f>
        <v>0</v>
      </c>
      <c r="X27" s="6">
        <f>ROUND(SUMIF('JUNE (물량흐름)'!$C$13:$C$502,'Direct labour(직접노무비)'!C27,'JUNE (물량흐름)'!$P$13:$P$502),0)</f>
        <v>0</v>
      </c>
      <c r="Y27" s="6">
        <f t="shared" si="7"/>
        <v>0</v>
      </c>
      <c r="Z27" s="6">
        <f t="shared" si="8"/>
        <v>0</v>
      </c>
      <c r="AA27" s="6">
        <f t="shared" si="9"/>
        <v>0</v>
      </c>
      <c r="AB27" s="389">
        <f t="shared" si="10"/>
        <v>0</v>
      </c>
      <c r="AC27" s="389">
        <f t="shared" si="11"/>
        <v>0</v>
      </c>
      <c r="AD27" s="389">
        <f t="shared" si="12"/>
        <v>0</v>
      </c>
    </row>
    <row r="28" spans="1:30" s="390" customFormat="1" ht="15" customHeight="1">
      <c r="A28" s="167">
        <v>17</v>
      </c>
      <c r="B28" s="267" t="str">
        <f>VLOOKUP(A28,'JUNE (물량흐름)'!$A$13:$C$502,2,0)</f>
        <v>ALFANI</v>
      </c>
      <c r="C28" s="240" t="str">
        <f>VLOOKUP(A28,'JUNE (물량흐름)'!$A$13:$C$502,3,0)</f>
        <v>7X708</v>
      </c>
      <c r="D28" s="6">
        <f>VLOOKUP(C28,'WIP(재공품)'!$B$12:$E$493,4,0)</f>
        <v>60088.75</v>
      </c>
      <c r="E28" s="6">
        <f>IFERROR(VLOOKUP(C28,O.B.JUNE!$AA$7:$AG$448,2,0),0)</f>
        <v>0</v>
      </c>
      <c r="F28" s="6">
        <f>IFERROR(VLOOKUP(C28,O.B.JUNE!$AA$7:$AG$448,3,0),0)</f>
        <v>0</v>
      </c>
      <c r="G28" s="6">
        <f>IFERROR(VLOOKUP(C28,O.B.JUNE!$AA$7:$AD$448,4,0),0)</f>
        <v>187</v>
      </c>
      <c r="H28" s="6">
        <f t="shared" si="2"/>
        <v>187</v>
      </c>
      <c r="I28" s="6">
        <f>IFERROR(VLOOKUP(C28,O.B.JUNE!$AA$7:$AF$448,6,0),0)</f>
        <v>150</v>
      </c>
      <c r="J28" s="6"/>
      <c r="K28" s="6">
        <f>IFERROR(VLOOKUP(C28,O.B.JUNE!$AA$7:$AG$448,7,0),0)</f>
        <v>2744030</v>
      </c>
      <c r="L28" s="6">
        <f>SUMIF('JUNE (물량흐름)'!$C$13:$C$502,'Direct labour(직접노무비)'!C28,'JUNE (물량흐름)'!$H$13:$H$502)+SUMIF('JUNE (물량흐름)'!$C$13:$C$502,'Direct labour(직접노무비)'!C28,'JUNE (물량흐름)'!$I$13:$I$502)</f>
        <v>0</v>
      </c>
      <c r="M28" s="6">
        <f t="shared" si="3"/>
        <v>0</v>
      </c>
      <c r="N28" s="6">
        <f t="shared" si="4"/>
        <v>0</v>
      </c>
      <c r="O28" s="6">
        <f t="shared" si="1"/>
        <v>0</v>
      </c>
      <c r="P28" s="6">
        <f>SUMIF('JUNE (물량흐름)'!$C$13:$C$502,C28,'JUNE (물량흐름)'!$T$13:$T$502)+SUMIF('JUNE (물량흐름)'!$C$13:$C$502,C28,'JUNE (물량흐름)'!$V$13:$V$502)+SUMIF('JUNE (물량흐름)'!$C$13:$C$502,C28,'JUNE (물량흐름)'!$U$13:$U$502)-SUMIF('JUNE (물량흐름)'!$C$13:$C$502,C28,'JUNE (물량흐름)'!$Y$13:$Y$502)</f>
        <v>187</v>
      </c>
      <c r="Q28" s="6">
        <f t="shared" si="5"/>
        <v>2744030</v>
      </c>
      <c r="R28" s="6">
        <f>ROUND(IF(ISERROR(VLOOKUP(#REF!,'WIP(재공품)'!$B$12:$AB$38,13,0)),0,VLOOKUP(#REF!,'WIP(재공품)'!$B$12:$AB$38,13,0)),0)</f>
        <v>0</v>
      </c>
      <c r="S28" s="6">
        <f>IF(ISERROR(VLOOKUP(#REF!,'WIP(재공품)'!$B$12:$AB$38,10,0)),0,VLOOKUP(#REF!,'WIP(재공품)'!$B$12:$AB$38,10,0))</f>
        <v>0</v>
      </c>
      <c r="T28" s="6">
        <f>SUMIF('JUNE (물량흐름)'!$C$13:$C$502,'Direct labour(직접노무비)'!C28,'JUNE (물량흐름)'!$Y$13:$Y$502)</f>
        <v>0</v>
      </c>
      <c r="U28" s="6">
        <f t="shared" si="6"/>
        <v>0</v>
      </c>
      <c r="V28" s="6">
        <f>ROUND(SUMIF('JUNE (물량흐름)'!$C$13:$C$502,'Direct labour(직접노무비)'!C28,'JUNE (물량흐름)'!$N$13:$N$502),0)</f>
        <v>0</v>
      </c>
      <c r="W28" s="6">
        <f>ROUND(SUMIF('JUNE (물량흐름)'!$C$13:$C$502,'Direct labour(직접노무비)'!C28,'JUNE (물량흐름)'!$O$13:$O$502),0)</f>
        <v>0</v>
      </c>
      <c r="X28" s="6">
        <f>ROUND(SUMIF('JUNE (물량흐름)'!$C$13:$C$502,'Direct labour(직접노무비)'!C28,'JUNE (물량흐름)'!$P$13:$P$502),0)</f>
        <v>0</v>
      </c>
      <c r="Y28" s="6">
        <f t="shared" si="7"/>
        <v>0</v>
      </c>
      <c r="Z28" s="6">
        <f t="shared" si="8"/>
        <v>0</v>
      </c>
      <c r="AA28" s="6">
        <f t="shared" si="9"/>
        <v>0</v>
      </c>
      <c r="AB28" s="389">
        <f t="shared" si="10"/>
        <v>0</v>
      </c>
      <c r="AC28" s="389">
        <f t="shared" si="11"/>
        <v>0</v>
      </c>
      <c r="AD28" s="389">
        <f t="shared" si="12"/>
        <v>0</v>
      </c>
    </row>
    <row r="29" spans="1:30" s="390" customFormat="1" ht="15" customHeight="1">
      <c r="A29" s="167">
        <v>18</v>
      </c>
      <c r="B29" s="267" t="str">
        <f>VLOOKUP(A29,'JUNE (물량흐름)'!$A$13:$C$502,2,0)</f>
        <v>ALFANI</v>
      </c>
      <c r="C29" s="240" t="str">
        <f>VLOOKUP(A29,'JUNE (물량흐름)'!$A$13:$C$502,3,0)</f>
        <v>7N900</v>
      </c>
      <c r="D29" s="6">
        <f>VLOOKUP(C29,'WIP(재공품)'!$B$12:$E$493,4,0)</f>
        <v>7936.2499999999991</v>
      </c>
      <c r="E29" s="6">
        <f>IFERROR(VLOOKUP(C29,O.B.JUNE!$AA$7:$AG$448,2,0),0)</f>
        <v>0</v>
      </c>
      <c r="F29" s="6">
        <f>IFERROR(VLOOKUP(C29,O.B.JUNE!$AA$7:$AG$448,3,0),0)</f>
        <v>22</v>
      </c>
      <c r="G29" s="6">
        <f>IFERROR(VLOOKUP(C29,O.B.JUNE!$AA$7:$AD$448,4,0),0)</f>
        <v>122</v>
      </c>
      <c r="H29" s="6">
        <f t="shared" si="2"/>
        <v>144</v>
      </c>
      <c r="I29" s="6">
        <f>IFERROR(VLOOKUP(C29,O.B.JUNE!$AA$7:$AF$448,6,0),0)</f>
        <v>109</v>
      </c>
      <c r="J29" s="6"/>
      <c r="K29" s="6">
        <f>IFERROR(VLOOKUP(C29,O.B.JUNE!$AA$7:$AG$448,7,0),0)</f>
        <v>1627393</v>
      </c>
      <c r="L29" s="6">
        <f>SUMIF('JUNE (물량흐름)'!$C$13:$C$502,'Direct labour(직접노무비)'!C29,'JUNE (물량흐름)'!$H$13:$H$502)+SUMIF('JUNE (물량흐름)'!$C$13:$C$502,'Direct labour(직접노무비)'!C29,'JUNE (물량흐름)'!$I$13:$I$502)</f>
        <v>0</v>
      </c>
      <c r="M29" s="6">
        <f t="shared" si="3"/>
        <v>0</v>
      </c>
      <c r="N29" s="6">
        <f t="shared" si="4"/>
        <v>0</v>
      </c>
      <c r="O29" s="6">
        <f t="shared" si="1"/>
        <v>0</v>
      </c>
      <c r="P29" s="6">
        <f>SUMIF('JUNE (물량흐름)'!$C$13:$C$502,C29,'JUNE (물량흐름)'!$T$13:$T$502)+SUMIF('JUNE (물량흐름)'!$C$13:$C$502,C29,'JUNE (물량흐름)'!$V$13:$V$502)+SUMIF('JUNE (물량흐름)'!$C$13:$C$502,C29,'JUNE (물량흐름)'!$U$13:$U$502)-SUMIF('JUNE (물량흐름)'!$C$13:$C$502,C29,'JUNE (물량흐름)'!$Y$13:$Y$502)</f>
        <v>144</v>
      </c>
      <c r="Q29" s="6">
        <f t="shared" si="5"/>
        <v>1627393</v>
      </c>
      <c r="R29" s="6">
        <f>ROUND(IF(ISERROR(VLOOKUP(#REF!,'WIP(재공품)'!$B$12:$AB$38,13,0)),0,VLOOKUP(#REF!,'WIP(재공품)'!$B$12:$AB$38,13,0)),0)</f>
        <v>0</v>
      </c>
      <c r="S29" s="6">
        <f>IF(ISERROR(VLOOKUP(#REF!,'WIP(재공품)'!$B$12:$AB$38,10,0)),0,VLOOKUP(#REF!,'WIP(재공품)'!$B$12:$AB$38,10,0))</f>
        <v>0</v>
      </c>
      <c r="T29" s="6">
        <f>SUMIF('JUNE (물량흐름)'!$C$13:$C$502,'Direct labour(직접노무비)'!C29,'JUNE (물량흐름)'!$Y$13:$Y$502)</f>
        <v>0</v>
      </c>
      <c r="U29" s="6">
        <f t="shared" si="6"/>
        <v>0</v>
      </c>
      <c r="V29" s="6">
        <f>ROUND(SUMIF('JUNE (물량흐름)'!$C$13:$C$502,'Direct labour(직접노무비)'!C29,'JUNE (물량흐름)'!$N$13:$N$502),0)</f>
        <v>0</v>
      </c>
      <c r="W29" s="6">
        <f>ROUND(SUMIF('JUNE (물량흐름)'!$C$13:$C$502,'Direct labour(직접노무비)'!C29,'JUNE (물량흐름)'!$O$13:$O$502),0)</f>
        <v>0</v>
      </c>
      <c r="X29" s="6">
        <f>ROUND(SUMIF('JUNE (물량흐름)'!$C$13:$C$502,'Direct labour(직접노무비)'!C29,'JUNE (물량흐름)'!$P$13:$P$502),0)</f>
        <v>0</v>
      </c>
      <c r="Y29" s="6">
        <f t="shared" si="7"/>
        <v>0</v>
      </c>
      <c r="Z29" s="6">
        <f t="shared" si="8"/>
        <v>0</v>
      </c>
      <c r="AA29" s="6">
        <f t="shared" si="9"/>
        <v>0</v>
      </c>
      <c r="AB29" s="389">
        <f t="shared" si="10"/>
        <v>0</v>
      </c>
      <c r="AC29" s="389">
        <f t="shared" si="11"/>
        <v>0</v>
      </c>
      <c r="AD29" s="389">
        <f t="shared" si="12"/>
        <v>0</v>
      </c>
    </row>
    <row r="30" spans="1:30" s="390" customFormat="1" ht="15" customHeight="1">
      <c r="A30" s="167">
        <v>19</v>
      </c>
      <c r="B30" s="267" t="str">
        <f>VLOOKUP(A30,'JUNE (물량흐름)'!$A$13:$C$502,2,0)</f>
        <v>ALFANI</v>
      </c>
      <c r="C30" s="240">
        <f>VLOOKUP(A30,'JUNE (물량흐름)'!$A$13:$C$502,3,0)</f>
        <v>100004400</v>
      </c>
      <c r="D30" s="6">
        <f>VLOOKUP(C30,'WIP(재공품)'!$B$12:$E$493,4,0)</f>
        <v>8163</v>
      </c>
      <c r="E30" s="6">
        <f>IFERROR(VLOOKUP(C30,O.B.JUNE!$AA$7:$AG$448,2,0),0)</f>
        <v>0</v>
      </c>
      <c r="F30" s="6">
        <f>IFERROR(VLOOKUP(C30,O.B.JUNE!$AA$7:$AG$448,3,0),0)</f>
        <v>0</v>
      </c>
      <c r="G30" s="6">
        <f>IFERROR(VLOOKUP(C30,O.B.JUNE!$AA$7:$AD$448,4,0),0)</f>
        <v>66</v>
      </c>
      <c r="H30" s="6">
        <f t="shared" si="2"/>
        <v>66</v>
      </c>
      <c r="I30" s="6">
        <f>IFERROR(VLOOKUP(C30,O.B.JUNE!$AA$7:$AF$448,6,0),0)</f>
        <v>53</v>
      </c>
      <c r="J30" s="6"/>
      <c r="K30" s="6">
        <f>IFERROR(VLOOKUP(C30,O.B.JUNE!$AA$7:$AG$448,7,0),0)</f>
        <v>1905620</v>
      </c>
      <c r="L30" s="6">
        <f>SUMIF('JUNE (물량흐름)'!$C$13:$C$502,'Direct labour(직접노무비)'!C30,'JUNE (물량흐름)'!$H$13:$H$502)+SUMIF('JUNE (물량흐름)'!$C$13:$C$502,'Direct labour(직접노무비)'!C30,'JUNE (물량흐름)'!$I$13:$I$502)</f>
        <v>0</v>
      </c>
      <c r="M30" s="6">
        <f t="shared" si="3"/>
        <v>0</v>
      </c>
      <c r="N30" s="6">
        <f t="shared" si="4"/>
        <v>0</v>
      </c>
      <c r="O30" s="6">
        <f t="shared" si="1"/>
        <v>0</v>
      </c>
      <c r="P30" s="6">
        <f>SUMIF('JUNE (물량흐름)'!$C$13:$C$502,C30,'JUNE (물량흐름)'!$T$13:$T$502)+SUMIF('JUNE (물량흐름)'!$C$13:$C$502,C30,'JUNE (물량흐름)'!$V$13:$V$502)+SUMIF('JUNE (물량흐름)'!$C$13:$C$502,C30,'JUNE (물량흐름)'!$U$13:$U$502)-SUMIF('JUNE (물량흐름)'!$C$13:$C$502,C30,'JUNE (물량흐름)'!$Y$13:$Y$502)</f>
        <v>66</v>
      </c>
      <c r="Q30" s="6">
        <f t="shared" si="5"/>
        <v>1905620</v>
      </c>
      <c r="R30" s="6">
        <f>ROUND(IF(ISERROR(VLOOKUP(#REF!,'WIP(재공품)'!$B$12:$AB$38,13,0)),0,VLOOKUP(#REF!,'WIP(재공품)'!$B$12:$AB$38,13,0)),0)</f>
        <v>0</v>
      </c>
      <c r="S30" s="6">
        <f>IF(ISERROR(VLOOKUP(#REF!,'WIP(재공품)'!$B$12:$AB$38,10,0)),0,VLOOKUP(#REF!,'WIP(재공품)'!$B$12:$AB$38,10,0))</f>
        <v>0</v>
      </c>
      <c r="T30" s="6">
        <f>SUMIF('JUNE (물량흐름)'!$C$13:$C$502,'Direct labour(직접노무비)'!C30,'JUNE (물량흐름)'!$Y$13:$Y$502)</f>
        <v>0</v>
      </c>
      <c r="U30" s="6">
        <f t="shared" si="6"/>
        <v>0</v>
      </c>
      <c r="V30" s="6">
        <f>ROUND(SUMIF('JUNE (물량흐름)'!$C$13:$C$502,'Direct labour(직접노무비)'!C30,'JUNE (물량흐름)'!$N$13:$N$502),0)</f>
        <v>0</v>
      </c>
      <c r="W30" s="6">
        <f>ROUND(SUMIF('JUNE (물량흐름)'!$C$13:$C$502,'Direct labour(직접노무비)'!C30,'JUNE (물량흐름)'!$O$13:$O$502),0)</f>
        <v>0</v>
      </c>
      <c r="X30" s="6">
        <f>ROUND(SUMIF('JUNE (물량흐름)'!$C$13:$C$502,'Direct labour(직접노무비)'!C30,'JUNE (물량흐름)'!$P$13:$P$502),0)</f>
        <v>0</v>
      </c>
      <c r="Y30" s="6">
        <f t="shared" si="7"/>
        <v>0</v>
      </c>
      <c r="Z30" s="6">
        <f t="shared" si="8"/>
        <v>0</v>
      </c>
      <c r="AA30" s="6">
        <f t="shared" si="9"/>
        <v>0</v>
      </c>
      <c r="AB30" s="389">
        <f t="shared" si="10"/>
        <v>0</v>
      </c>
      <c r="AC30" s="389">
        <f t="shared" si="11"/>
        <v>0</v>
      </c>
      <c r="AD30" s="389">
        <f t="shared" si="12"/>
        <v>0</v>
      </c>
    </row>
    <row r="31" spans="1:30" s="390" customFormat="1" ht="15" customHeight="1">
      <c r="A31" s="167">
        <v>20</v>
      </c>
      <c r="B31" s="267" t="str">
        <f>VLOOKUP(A31,'JUNE (물량흐름)'!$A$13:$C$502,2,0)</f>
        <v>ALFANI</v>
      </c>
      <c r="C31" s="240">
        <f>VLOOKUP(A31,'JUNE (물량흐름)'!$A$13:$C$502,3,0)</f>
        <v>100008889</v>
      </c>
      <c r="D31" s="6">
        <f>VLOOKUP(C31,'WIP(재공품)'!$B$12:$E$493,4,0)</f>
        <v>8163</v>
      </c>
      <c r="E31" s="6">
        <f>IFERROR(VLOOKUP(C31,O.B.JUNE!$AA$7:$AG$448,2,0),0)</f>
        <v>0</v>
      </c>
      <c r="F31" s="6">
        <f>IFERROR(VLOOKUP(C31,O.B.JUNE!$AA$7:$AG$448,3,0),0)</f>
        <v>0</v>
      </c>
      <c r="G31" s="6">
        <f>IFERROR(VLOOKUP(C31,O.B.JUNE!$AA$7:$AD$448,4,0),0)</f>
        <v>164</v>
      </c>
      <c r="H31" s="6">
        <f t="shared" si="2"/>
        <v>164</v>
      </c>
      <c r="I31" s="6">
        <f>IFERROR(VLOOKUP(C31,O.B.JUNE!$AA$7:$AF$448,6,0),0)</f>
        <v>131</v>
      </c>
      <c r="J31" s="6"/>
      <c r="K31" s="6">
        <f>IFERROR(VLOOKUP(C31,O.B.JUNE!$AA$7:$AG$448,7,0),0)</f>
        <v>2334808</v>
      </c>
      <c r="L31" s="6">
        <f>SUMIF('JUNE (물량흐름)'!$C$13:$C$502,'Direct labour(직접노무비)'!C31,'JUNE (물량흐름)'!$H$13:$H$502)+SUMIF('JUNE (물량흐름)'!$C$13:$C$502,'Direct labour(직접노무비)'!C31,'JUNE (물량흐름)'!$I$13:$I$502)</f>
        <v>0</v>
      </c>
      <c r="M31" s="6">
        <f t="shared" si="3"/>
        <v>0</v>
      </c>
      <c r="N31" s="6">
        <f t="shared" si="4"/>
        <v>0</v>
      </c>
      <c r="O31" s="6">
        <f t="shared" si="1"/>
        <v>0</v>
      </c>
      <c r="P31" s="6">
        <f>SUMIF('JUNE (물량흐름)'!$C$13:$C$502,C31,'JUNE (물량흐름)'!$T$13:$T$502)+SUMIF('JUNE (물량흐름)'!$C$13:$C$502,C31,'JUNE (물량흐름)'!$V$13:$V$502)+SUMIF('JUNE (물량흐름)'!$C$13:$C$502,C31,'JUNE (물량흐름)'!$U$13:$U$502)-SUMIF('JUNE (물량흐름)'!$C$13:$C$502,C31,'JUNE (물량흐름)'!$Y$13:$Y$502)</f>
        <v>164</v>
      </c>
      <c r="Q31" s="6">
        <f t="shared" si="5"/>
        <v>2334808</v>
      </c>
      <c r="R31" s="6">
        <f>ROUND(IF(ISERROR(VLOOKUP(#REF!,'WIP(재공품)'!$B$12:$AB$38,13,0)),0,VLOOKUP(#REF!,'WIP(재공품)'!$B$12:$AB$38,13,0)),0)</f>
        <v>0</v>
      </c>
      <c r="S31" s="6">
        <f>IF(ISERROR(VLOOKUP(#REF!,'WIP(재공품)'!$B$12:$AB$38,10,0)),0,VLOOKUP(#REF!,'WIP(재공품)'!$B$12:$AB$38,10,0))</f>
        <v>0</v>
      </c>
      <c r="T31" s="6">
        <f>SUMIF('JUNE (물량흐름)'!$C$13:$C$502,'Direct labour(직접노무비)'!C31,'JUNE (물량흐름)'!$Y$13:$Y$502)</f>
        <v>0</v>
      </c>
      <c r="U31" s="6">
        <f t="shared" si="6"/>
        <v>0</v>
      </c>
      <c r="V31" s="6">
        <f>ROUND(SUMIF('JUNE (물량흐름)'!$C$13:$C$502,'Direct labour(직접노무비)'!C31,'JUNE (물량흐름)'!$N$13:$N$502),0)</f>
        <v>0</v>
      </c>
      <c r="W31" s="6">
        <f>ROUND(SUMIF('JUNE (물량흐름)'!$C$13:$C$502,'Direct labour(직접노무비)'!C31,'JUNE (물량흐름)'!$O$13:$O$502),0)</f>
        <v>0</v>
      </c>
      <c r="X31" s="6">
        <f>ROUND(SUMIF('JUNE (물량흐름)'!$C$13:$C$502,'Direct labour(직접노무비)'!C31,'JUNE (물량흐름)'!$P$13:$P$502),0)</f>
        <v>0</v>
      </c>
      <c r="Y31" s="6">
        <f t="shared" si="7"/>
        <v>0</v>
      </c>
      <c r="Z31" s="6">
        <f t="shared" si="8"/>
        <v>0</v>
      </c>
      <c r="AA31" s="6">
        <f t="shared" si="9"/>
        <v>0</v>
      </c>
      <c r="AB31" s="389">
        <f t="shared" si="10"/>
        <v>0</v>
      </c>
      <c r="AC31" s="389">
        <f t="shared" si="11"/>
        <v>0</v>
      </c>
      <c r="AD31" s="389">
        <f t="shared" si="12"/>
        <v>0</v>
      </c>
    </row>
    <row r="32" spans="1:30" s="390" customFormat="1" ht="15" customHeight="1">
      <c r="A32" s="167">
        <v>21</v>
      </c>
      <c r="B32" s="267" t="str">
        <f>VLOOKUP(A32,'JUNE (물량흐름)'!$A$13:$C$502,2,0)</f>
        <v>ALFANI</v>
      </c>
      <c r="C32" s="240">
        <f>VLOOKUP(A32,'JUNE (물량흐름)'!$A$13:$C$502,3,0)</f>
        <v>100010579</v>
      </c>
      <c r="D32" s="6">
        <f>VLOOKUP(C32,'WIP(재공품)'!$B$12:$E$493,4,0)</f>
        <v>44896.5</v>
      </c>
      <c r="E32" s="6">
        <f>IFERROR(VLOOKUP(C32,O.B.JUNE!$AA$7:$AG$448,2,0),0)</f>
        <v>0</v>
      </c>
      <c r="F32" s="6">
        <f>IFERROR(VLOOKUP(C32,O.B.JUNE!$AA$7:$AG$448,3,0),0)</f>
        <v>442</v>
      </c>
      <c r="G32" s="6">
        <f>IFERROR(VLOOKUP(C32,O.B.JUNE!$AA$7:$AD$448,4,0),0)</f>
        <v>1015</v>
      </c>
      <c r="H32" s="6">
        <f t="shared" si="2"/>
        <v>1457</v>
      </c>
      <c r="I32" s="6">
        <f>IFERROR(VLOOKUP(C32,O.B.JUNE!$AA$7:$AF$448,6,0),0)</f>
        <v>1033</v>
      </c>
      <c r="J32" s="6"/>
      <c r="K32" s="6">
        <f>IFERROR(VLOOKUP(C32,O.B.JUNE!$AA$7:$AG$448,7,0),0)</f>
        <v>19418002</v>
      </c>
      <c r="L32" s="6">
        <f>SUMIF('JUNE (물량흐름)'!$C$13:$C$502,'Direct labour(직접노무비)'!C32,'JUNE (물량흐름)'!$H$13:$H$502)+SUMIF('JUNE (물량흐름)'!$C$13:$C$502,'Direct labour(직접노무비)'!C32,'JUNE (물량흐름)'!$I$13:$I$502)</f>
        <v>859</v>
      </c>
      <c r="M32" s="6">
        <f t="shared" si="3"/>
        <v>977</v>
      </c>
      <c r="N32" s="6">
        <f t="shared" si="4"/>
        <v>43863881</v>
      </c>
      <c r="O32" s="6">
        <f t="shared" si="1"/>
        <v>13565945</v>
      </c>
      <c r="P32" s="6">
        <f>SUMIF('JUNE (물량흐름)'!$C$13:$C$502,C32,'JUNE (물량흐름)'!$T$13:$T$502)+SUMIF('JUNE (물량흐름)'!$C$13:$C$502,C32,'JUNE (물량흐름)'!$V$13:$V$502)+SUMIF('JUNE (물량흐름)'!$C$13:$C$502,C32,'JUNE (물량흐름)'!$U$13:$U$502)-SUMIF('JUNE (물량흐름)'!$C$13:$C$502,C32,'JUNE (물량흐름)'!$Y$13:$Y$502)</f>
        <v>1367</v>
      </c>
      <c r="Q32" s="6">
        <f t="shared" si="5"/>
        <v>19468504</v>
      </c>
      <c r="R32" s="6">
        <f>ROUND(IF(ISERROR(VLOOKUP(#REF!,'WIP(재공품)'!$B$12:$AB$38,13,0)),0,VLOOKUP(#REF!,'WIP(재공품)'!$B$12:$AB$38,13,0)),0)</f>
        <v>0</v>
      </c>
      <c r="S32" s="6">
        <f>IF(ISERROR(VLOOKUP(#REF!,'WIP(재공품)'!$B$12:$AB$38,10,0)),0,VLOOKUP(#REF!,'WIP(재공품)'!$B$12:$AB$38,10,0))</f>
        <v>0</v>
      </c>
      <c r="T32" s="6">
        <f>SUMIF('JUNE (물량흐름)'!$C$13:$C$502,'Direct labour(직접노무비)'!C32,'JUNE (물량흐름)'!$Y$13:$Y$502)</f>
        <v>0</v>
      </c>
      <c r="U32" s="6">
        <f t="shared" si="6"/>
        <v>0</v>
      </c>
      <c r="V32" s="6">
        <f>ROUND(SUMIF('JUNE (물량흐름)'!$C$13:$C$502,'Direct labour(직접노무비)'!C32,'JUNE (물량흐름)'!$N$13:$N$502),0)</f>
        <v>0</v>
      </c>
      <c r="W32" s="6">
        <f>ROUND(SUMIF('JUNE (물량흐름)'!$C$13:$C$502,'Direct labour(직접노무비)'!C32,'JUNE (물량흐름)'!$O$13:$O$502),0)</f>
        <v>389</v>
      </c>
      <c r="X32" s="6">
        <f>ROUND(SUMIF('JUNE (물량흐름)'!$C$13:$C$502,'Direct labour(직접노무비)'!C32,'JUNE (물량흐름)'!$P$13:$P$502),0)</f>
        <v>560</v>
      </c>
      <c r="Y32" s="6">
        <f t="shared" si="7"/>
        <v>949</v>
      </c>
      <c r="Z32" s="6">
        <f t="shared" si="8"/>
        <v>643</v>
      </c>
      <c r="AA32" s="6">
        <f t="shared" si="9"/>
        <v>13515443</v>
      </c>
      <c r="AB32" s="389">
        <f t="shared" si="10"/>
        <v>0</v>
      </c>
      <c r="AC32" s="389">
        <f t="shared" si="11"/>
        <v>0</v>
      </c>
      <c r="AD32" s="389">
        <f t="shared" si="12"/>
        <v>0</v>
      </c>
    </row>
    <row r="33" spans="1:30" s="390" customFormat="1" ht="15" customHeight="1">
      <c r="A33" s="167">
        <v>22</v>
      </c>
      <c r="B33" s="267" t="str">
        <f>VLOOKUP(A33,'JUNE (물량흐름)'!$A$13:$C$502,2,0)</f>
        <v>TALBOTS</v>
      </c>
      <c r="C33" s="240">
        <f>VLOOKUP(A33,'JUNE (물량흐름)'!$A$13:$C$502,3,0)</f>
        <v>174034722</v>
      </c>
      <c r="D33" s="6">
        <f>VLOOKUP(C33,'WIP(재공품)'!$B$12:$E$493,4,0)</f>
        <v>7936.2499999999991</v>
      </c>
      <c r="E33" s="6">
        <f>IFERROR(VLOOKUP(C33,O.B.JUNE!$AA$7:$AG$448,2,0),0)</f>
        <v>0</v>
      </c>
      <c r="F33" s="6">
        <f>IFERROR(VLOOKUP(C33,O.B.JUNE!$AA$7:$AG$448,3,0),0)</f>
        <v>0</v>
      </c>
      <c r="G33" s="6">
        <f>IFERROR(VLOOKUP(C33,O.B.JUNE!$AA$7:$AD$448,4,0),0)</f>
        <v>182</v>
      </c>
      <c r="H33" s="6">
        <f t="shared" si="2"/>
        <v>182</v>
      </c>
      <c r="I33" s="6">
        <f>IFERROR(VLOOKUP(C33,O.B.JUNE!$AA$7:$AF$448,6,0),0)</f>
        <v>146</v>
      </c>
      <c r="J33" s="6"/>
      <c r="K33" s="6">
        <f>IFERROR(VLOOKUP(C33,O.B.JUNE!$AA$7:$AG$448,7,0),0)</f>
        <v>4500604</v>
      </c>
      <c r="L33" s="6">
        <f>SUMIF('JUNE (물량흐름)'!$C$13:$C$502,'Direct labour(직접노무비)'!C33,'JUNE (물량흐름)'!$H$13:$H$502)+SUMIF('JUNE (물량흐름)'!$C$13:$C$502,'Direct labour(직접노무비)'!C33,'JUNE (물량흐름)'!$I$13:$I$502)</f>
        <v>0</v>
      </c>
      <c r="M33" s="6">
        <f t="shared" si="3"/>
        <v>0</v>
      </c>
      <c r="N33" s="6">
        <f t="shared" si="4"/>
        <v>0</v>
      </c>
      <c r="O33" s="6">
        <f t="shared" si="1"/>
        <v>0</v>
      </c>
      <c r="P33" s="6">
        <f>SUMIF('JUNE (물량흐름)'!$C$13:$C$502,C33,'JUNE (물량흐름)'!$T$13:$T$502)+SUMIF('JUNE (물량흐름)'!$C$13:$C$502,C33,'JUNE (물량흐름)'!$V$13:$V$502)+SUMIF('JUNE (물량흐름)'!$C$13:$C$502,C33,'JUNE (물량흐름)'!$U$13:$U$502)-SUMIF('JUNE (물량흐름)'!$C$13:$C$502,C33,'JUNE (물량흐름)'!$Y$13:$Y$502)</f>
        <v>182</v>
      </c>
      <c r="Q33" s="6">
        <f t="shared" si="5"/>
        <v>4500604</v>
      </c>
      <c r="R33" s="6">
        <f>ROUND(IF(ISERROR(VLOOKUP(#REF!,'WIP(재공품)'!$B$12:$AB$38,13,0)),0,VLOOKUP(#REF!,'WIP(재공품)'!$B$12:$AB$38,13,0)),0)</f>
        <v>0</v>
      </c>
      <c r="S33" s="6">
        <f>IF(ISERROR(VLOOKUP(#REF!,'WIP(재공품)'!$B$12:$AB$38,10,0)),0,VLOOKUP(#REF!,'WIP(재공품)'!$B$12:$AB$38,10,0))</f>
        <v>0</v>
      </c>
      <c r="T33" s="6">
        <f>SUMIF('JUNE (물량흐름)'!$C$13:$C$502,'Direct labour(직접노무비)'!C33,'JUNE (물량흐름)'!$Y$13:$Y$502)</f>
        <v>0</v>
      </c>
      <c r="U33" s="6">
        <f t="shared" si="6"/>
        <v>0</v>
      </c>
      <c r="V33" s="6">
        <f>ROUND(SUMIF('JUNE (물량흐름)'!$C$13:$C$502,'Direct labour(직접노무비)'!C33,'JUNE (물량흐름)'!$N$13:$N$502),0)</f>
        <v>0</v>
      </c>
      <c r="W33" s="6">
        <f>ROUND(SUMIF('JUNE (물량흐름)'!$C$13:$C$502,'Direct labour(직접노무비)'!C33,'JUNE (물량흐름)'!$O$13:$O$502),0)</f>
        <v>0</v>
      </c>
      <c r="X33" s="6">
        <f>ROUND(SUMIF('JUNE (물량흐름)'!$C$13:$C$502,'Direct labour(직접노무비)'!C33,'JUNE (물량흐름)'!$P$13:$P$502),0)</f>
        <v>0</v>
      </c>
      <c r="Y33" s="6">
        <f t="shared" si="7"/>
        <v>0</v>
      </c>
      <c r="Z33" s="6">
        <f t="shared" si="8"/>
        <v>0</v>
      </c>
      <c r="AA33" s="6">
        <f t="shared" si="9"/>
        <v>0</v>
      </c>
      <c r="AB33" s="389">
        <f t="shared" si="10"/>
        <v>0</v>
      </c>
      <c r="AC33" s="389">
        <f t="shared" si="11"/>
        <v>0</v>
      </c>
      <c r="AD33" s="389">
        <f t="shared" si="12"/>
        <v>0</v>
      </c>
    </row>
    <row r="34" spans="1:30" s="390" customFormat="1" ht="15" customHeight="1">
      <c r="A34" s="167">
        <v>23</v>
      </c>
      <c r="B34" s="267" t="str">
        <f>VLOOKUP(A34,'JUNE (물량흐름)'!$A$13:$C$502,2,0)</f>
        <v>TALBOTS</v>
      </c>
      <c r="C34" s="240">
        <f>VLOOKUP(A34,'JUNE (물량흐름)'!$A$13:$C$502,3,0)</f>
        <v>174034719</v>
      </c>
      <c r="D34" s="6">
        <f>VLOOKUP(C34,'WIP(재공품)'!$B$12:$E$493,4,0)</f>
        <v>7936.2499999999991</v>
      </c>
      <c r="E34" s="6">
        <f>IFERROR(VLOOKUP(C34,O.B.JUNE!$AA$7:$AG$448,2,0),0)</f>
        <v>0</v>
      </c>
      <c r="F34" s="6">
        <f>IFERROR(VLOOKUP(C34,O.B.JUNE!$AA$7:$AG$448,3,0),0)</f>
        <v>0</v>
      </c>
      <c r="G34" s="6">
        <f>IFERROR(VLOOKUP(C34,O.B.JUNE!$AA$7:$AD$448,4,0),0)</f>
        <v>129</v>
      </c>
      <c r="H34" s="6">
        <f t="shared" si="2"/>
        <v>129</v>
      </c>
      <c r="I34" s="6">
        <f>IFERROR(VLOOKUP(C34,O.B.JUNE!$AA$7:$AF$448,6,0),0)</f>
        <v>103</v>
      </c>
      <c r="J34" s="6"/>
      <c r="K34" s="6">
        <f>IFERROR(VLOOKUP(C34,O.B.JUNE!$AA$7:$AG$448,7,0),0)</f>
        <v>2903453</v>
      </c>
      <c r="L34" s="6">
        <f>SUMIF('JUNE (물량흐름)'!$C$13:$C$502,'Direct labour(직접노무비)'!C34,'JUNE (물량흐름)'!$H$13:$H$502)+SUMIF('JUNE (물량흐름)'!$C$13:$C$502,'Direct labour(직접노무비)'!C34,'JUNE (물량흐름)'!$I$13:$I$502)</f>
        <v>0</v>
      </c>
      <c r="M34" s="6">
        <f t="shared" si="3"/>
        <v>0</v>
      </c>
      <c r="N34" s="6">
        <f t="shared" si="4"/>
        <v>0</v>
      </c>
      <c r="O34" s="6">
        <f t="shared" si="1"/>
        <v>0</v>
      </c>
      <c r="P34" s="6">
        <f>SUMIF('JUNE (물량흐름)'!$C$13:$C$502,C34,'JUNE (물량흐름)'!$T$13:$T$502)+SUMIF('JUNE (물량흐름)'!$C$13:$C$502,C34,'JUNE (물량흐름)'!$V$13:$V$502)+SUMIF('JUNE (물량흐름)'!$C$13:$C$502,C34,'JUNE (물량흐름)'!$U$13:$U$502)-SUMIF('JUNE (물량흐름)'!$C$13:$C$502,C34,'JUNE (물량흐름)'!$Y$13:$Y$502)</f>
        <v>129</v>
      </c>
      <c r="Q34" s="6">
        <f t="shared" si="5"/>
        <v>2903453</v>
      </c>
      <c r="R34" s="6">
        <f>ROUND(IF(ISERROR(VLOOKUP(#REF!,'WIP(재공품)'!$B$12:$AB$38,13,0)),0,VLOOKUP(#REF!,'WIP(재공품)'!$B$12:$AB$38,13,0)),0)</f>
        <v>0</v>
      </c>
      <c r="S34" s="6">
        <f>IF(ISERROR(VLOOKUP(#REF!,'WIP(재공품)'!$B$12:$AB$38,10,0)),0,VLOOKUP(#REF!,'WIP(재공품)'!$B$12:$AB$38,10,0))</f>
        <v>0</v>
      </c>
      <c r="T34" s="6">
        <f>SUMIF('JUNE (물량흐름)'!$C$13:$C$502,'Direct labour(직접노무비)'!C34,'JUNE (물량흐름)'!$Y$13:$Y$502)</f>
        <v>0</v>
      </c>
      <c r="U34" s="6">
        <f t="shared" si="6"/>
        <v>0</v>
      </c>
      <c r="V34" s="6">
        <f>ROUND(SUMIF('JUNE (물량흐름)'!$C$13:$C$502,'Direct labour(직접노무비)'!C34,'JUNE (물량흐름)'!$N$13:$N$502),0)</f>
        <v>0</v>
      </c>
      <c r="W34" s="6">
        <f>ROUND(SUMIF('JUNE (물량흐름)'!$C$13:$C$502,'Direct labour(직접노무비)'!C34,'JUNE (물량흐름)'!$O$13:$O$502),0)</f>
        <v>0</v>
      </c>
      <c r="X34" s="6">
        <f>ROUND(SUMIF('JUNE (물량흐름)'!$C$13:$C$502,'Direct labour(직접노무비)'!C34,'JUNE (물량흐름)'!$P$13:$P$502),0)</f>
        <v>0</v>
      </c>
      <c r="Y34" s="6">
        <f t="shared" si="7"/>
        <v>0</v>
      </c>
      <c r="Z34" s="6">
        <f t="shared" si="8"/>
        <v>0</v>
      </c>
      <c r="AA34" s="6">
        <f t="shared" si="9"/>
        <v>0</v>
      </c>
      <c r="AB34" s="389">
        <f t="shared" si="10"/>
        <v>0</v>
      </c>
      <c r="AC34" s="389">
        <f t="shared" si="11"/>
        <v>0</v>
      </c>
      <c r="AD34" s="389">
        <f t="shared" si="12"/>
        <v>0</v>
      </c>
    </row>
    <row r="35" spans="1:30" s="390" customFormat="1" ht="15" customHeight="1">
      <c r="A35" s="167">
        <v>24</v>
      </c>
      <c r="B35" s="267" t="str">
        <f>VLOOKUP(A35,'JUNE (물량흐름)'!$A$13:$C$502,2,0)</f>
        <v>TALBOTS</v>
      </c>
      <c r="C35" s="240">
        <f>VLOOKUP(A35,'JUNE (물량흐름)'!$A$13:$C$502,3,0)</f>
        <v>174034721</v>
      </c>
      <c r="D35" s="6">
        <f>VLOOKUP(C35,'WIP(재공품)'!$B$12:$E$493,4,0)</f>
        <v>7936.2499999999991</v>
      </c>
      <c r="E35" s="6">
        <f>IFERROR(VLOOKUP(C35,O.B.JUNE!$AA$7:$AG$448,2,0),0)</f>
        <v>0</v>
      </c>
      <c r="F35" s="6">
        <f>IFERROR(VLOOKUP(C35,O.B.JUNE!$AA$7:$AG$448,3,0),0)</f>
        <v>0</v>
      </c>
      <c r="G35" s="6">
        <f>IFERROR(VLOOKUP(C35,O.B.JUNE!$AA$7:$AD$448,4,0),0)</f>
        <v>109</v>
      </c>
      <c r="H35" s="6">
        <f t="shared" si="2"/>
        <v>109</v>
      </c>
      <c r="I35" s="6">
        <f>IFERROR(VLOOKUP(C35,O.B.JUNE!$AA$7:$AF$448,6,0),0)</f>
        <v>87</v>
      </c>
      <c r="J35" s="6"/>
      <c r="K35" s="6">
        <f>IFERROR(VLOOKUP(C35,O.B.JUNE!$AA$7:$AG$448,7,0),0)</f>
        <v>2979602</v>
      </c>
      <c r="L35" s="6">
        <f>SUMIF('JUNE (물량흐름)'!$C$13:$C$502,'Direct labour(직접노무비)'!C35,'JUNE (물량흐름)'!$H$13:$H$502)+SUMIF('JUNE (물량흐름)'!$C$13:$C$502,'Direct labour(직접노무비)'!C35,'JUNE (물량흐름)'!$I$13:$I$502)</f>
        <v>0</v>
      </c>
      <c r="M35" s="6">
        <f t="shared" si="3"/>
        <v>0</v>
      </c>
      <c r="N35" s="6">
        <f t="shared" si="4"/>
        <v>0</v>
      </c>
      <c r="O35" s="6">
        <f t="shared" si="1"/>
        <v>0</v>
      </c>
      <c r="P35" s="6">
        <f>SUMIF('JUNE (물량흐름)'!$C$13:$C$502,C35,'JUNE (물량흐름)'!$T$13:$T$502)+SUMIF('JUNE (물량흐름)'!$C$13:$C$502,C35,'JUNE (물량흐름)'!$V$13:$V$502)+SUMIF('JUNE (물량흐름)'!$C$13:$C$502,C35,'JUNE (물량흐름)'!$U$13:$U$502)-SUMIF('JUNE (물량흐름)'!$C$13:$C$502,C35,'JUNE (물량흐름)'!$Y$13:$Y$502)</f>
        <v>109</v>
      </c>
      <c r="Q35" s="6">
        <f t="shared" si="5"/>
        <v>2979602</v>
      </c>
      <c r="R35" s="6">
        <f>ROUND(IF(ISERROR(VLOOKUP(#REF!,'WIP(재공품)'!$B$12:$AB$38,13,0)),0,VLOOKUP(#REF!,'WIP(재공품)'!$B$12:$AB$38,13,0)),0)</f>
        <v>0</v>
      </c>
      <c r="S35" s="6">
        <f>IF(ISERROR(VLOOKUP(#REF!,'WIP(재공품)'!$B$12:$AB$38,10,0)),0,VLOOKUP(#REF!,'WIP(재공품)'!$B$12:$AB$38,10,0))</f>
        <v>0</v>
      </c>
      <c r="T35" s="6">
        <f>SUMIF('JUNE (물량흐름)'!$C$13:$C$502,'Direct labour(직접노무비)'!C35,'JUNE (물량흐름)'!$Y$13:$Y$502)</f>
        <v>0</v>
      </c>
      <c r="U35" s="6">
        <f t="shared" si="6"/>
        <v>0</v>
      </c>
      <c r="V35" s="6">
        <f>ROUND(SUMIF('JUNE (물량흐름)'!$C$13:$C$502,'Direct labour(직접노무비)'!C35,'JUNE (물량흐름)'!$N$13:$N$502),0)</f>
        <v>0</v>
      </c>
      <c r="W35" s="6">
        <f>ROUND(SUMIF('JUNE (물량흐름)'!$C$13:$C$502,'Direct labour(직접노무비)'!C35,'JUNE (물량흐름)'!$O$13:$O$502),0)</f>
        <v>0</v>
      </c>
      <c r="X35" s="6">
        <f>ROUND(SUMIF('JUNE (물량흐름)'!$C$13:$C$502,'Direct labour(직접노무비)'!C35,'JUNE (물량흐름)'!$P$13:$P$502),0)</f>
        <v>0</v>
      </c>
      <c r="Y35" s="6">
        <f t="shared" si="7"/>
        <v>0</v>
      </c>
      <c r="Z35" s="6">
        <f t="shared" si="8"/>
        <v>0</v>
      </c>
      <c r="AA35" s="6">
        <f t="shared" si="9"/>
        <v>0</v>
      </c>
      <c r="AB35" s="389">
        <f t="shared" si="10"/>
        <v>0</v>
      </c>
      <c r="AC35" s="389">
        <f t="shared" si="11"/>
        <v>0</v>
      </c>
      <c r="AD35" s="389">
        <f t="shared" si="12"/>
        <v>0</v>
      </c>
    </row>
    <row r="36" spans="1:30" s="390" customFormat="1" ht="15" customHeight="1">
      <c r="A36" s="167">
        <v>25</v>
      </c>
      <c r="B36" s="267" t="str">
        <f>VLOOKUP(A36,'JUNE (물량흐름)'!$A$13:$C$502,2,0)</f>
        <v>ALFANI</v>
      </c>
      <c r="C36" s="240">
        <f>VLOOKUP(A36,'JUNE (물량흐름)'!$A$13:$C$502,3,0)</f>
        <v>100003226</v>
      </c>
      <c r="D36" s="6">
        <f>VLOOKUP(C36,'WIP(재공품)'!$B$12:$E$493,4,0)</f>
        <v>7936.2499999999991</v>
      </c>
      <c r="E36" s="6">
        <f>IFERROR(VLOOKUP(C36,O.B.JUNE!$AA$7:$AG$448,2,0),0)</f>
        <v>0</v>
      </c>
      <c r="F36" s="6">
        <f>IFERROR(VLOOKUP(C36,O.B.JUNE!$AA$7:$AG$448,3,0),0)</f>
        <v>0</v>
      </c>
      <c r="G36" s="6">
        <f>IFERROR(VLOOKUP(C36,O.B.JUNE!$AA$7:$AD$448,4,0),0)</f>
        <v>101</v>
      </c>
      <c r="H36" s="6">
        <f t="shared" si="2"/>
        <v>101</v>
      </c>
      <c r="I36" s="6">
        <f>IFERROR(VLOOKUP(C36,O.B.JUNE!$AA$7:$AF$448,6,0),0)</f>
        <v>81</v>
      </c>
      <c r="J36" s="6"/>
      <c r="K36" s="6">
        <f>IFERROR(VLOOKUP(C36,O.B.JUNE!$AA$7:$AG$448,7,0),0)</f>
        <v>2661513</v>
      </c>
      <c r="L36" s="6">
        <f>SUMIF('JUNE (물량흐름)'!$C$13:$C$502,'Direct labour(직접노무비)'!C36,'JUNE (물량흐름)'!$H$13:$H$502)+SUMIF('JUNE (물량흐름)'!$C$13:$C$502,'Direct labour(직접노무비)'!C36,'JUNE (물량흐름)'!$I$13:$I$502)</f>
        <v>0</v>
      </c>
      <c r="M36" s="6">
        <f t="shared" si="3"/>
        <v>0</v>
      </c>
      <c r="N36" s="6">
        <f t="shared" si="4"/>
        <v>0</v>
      </c>
      <c r="O36" s="6">
        <f t="shared" si="1"/>
        <v>0</v>
      </c>
      <c r="P36" s="6">
        <f>SUMIF('JUNE (물량흐름)'!$C$13:$C$502,C36,'JUNE (물량흐름)'!$T$13:$T$502)+SUMIF('JUNE (물량흐름)'!$C$13:$C$502,C36,'JUNE (물량흐름)'!$V$13:$V$502)+SUMIF('JUNE (물량흐름)'!$C$13:$C$502,C36,'JUNE (물량흐름)'!$U$13:$U$502)-SUMIF('JUNE (물량흐름)'!$C$13:$C$502,C36,'JUNE (물량흐름)'!$Y$13:$Y$502)</f>
        <v>101</v>
      </c>
      <c r="Q36" s="6">
        <f t="shared" si="5"/>
        <v>2661513</v>
      </c>
      <c r="R36" s="6">
        <f>ROUND(IF(ISERROR(VLOOKUP(#REF!,'WIP(재공품)'!$B$12:$AB$38,13,0)),0,VLOOKUP(#REF!,'WIP(재공품)'!$B$12:$AB$38,13,0)),0)</f>
        <v>0</v>
      </c>
      <c r="S36" s="6">
        <f>IF(ISERROR(VLOOKUP(#REF!,'WIP(재공품)'!$B$12:$AB$38,10,0)),0,VLOOKUP(#REF!,'WIP(재공품)'!$B$12:$AB$38,10,0))</f>
        <v>0</v>
      </c>
      <c r="T36" s="6">
        <f>SUMIF('JUNE (물량흐름)'!$C$13:$C$502,'Direct labour(직접노무비)'!C36,'JUNE (물량흐름)'!$Y$13:$Y$502)</f>
        <v>0</v>
      </c>
      <c r="U36" s="6">
        <f t="shared" si="6"/>
        <v>0</v>
      </c>
      <c r="V36" s="6">
        <f>ROUND(SUMIF('JUNE (물량흐름)'!$C$13:$C$502,'Direct labour(직접노무비)'!C36,'JUNE (물량흐름)'!$N$13:$N$502),0)</f>
        <v>0</v>
      </c>
      <c r="W36" s="6">
        <f>ROUND(SUMIF('JUNE (물량흐름)'!$C$13:$C$502,'Direct labour(직접노무비)'!C36,'JUNE (물량흐름)'!$O$13:$O$502),0)</f>
        <v>0</v>
      </c>
      <c r="X36" s="6">
        <f>ROUND(SUMIF('JUNE (물량흐름)'!$C$13:$C$502,'Direct labour(직접노무비)'!C36,'JUNE (물량흐름)'!$P$13:$P$502),0)</f>
        <v>0</v>
      </c>
      <c r="Y36" s="6">
        <f t="shared" si="7"/>
        <v>0</v>
      </c>
      <c r="Z36" s="6">
        <f t="shared" si="8"/>
        <v>0</v>
      </c>
      <c r="AA36" s="6">
        <f t="shared" si="9"/>
        <v>0</v>
      </c>
      <c r="AB36" s="389">
        <f t="shared" si="10"/>
        <v>0</v>
      </c>
      <c r="AC36" s="389">
        <f t="shared" si="11"/>
        <v>0</v>
      </c>
      <c r="AD36" s="389">
        <f t="shared" si="12"/>
        <v>0</v>
      </c>
    </row>
    <row r="37" spans="1:30" s="390" customFormat="1" ht="15" customHeight="1">
      <c r="A37" s="167">
        <v>26</v>
      </c>
      <c r="B37" s="267" t="str">
        <f>VLOOKUP(A37,'JUNE (물량흐름)'!$A$13:$C$502,2,0)</f>
        <v>TALBOTS</v>
      </c>
      <c r="C37" s="240">
        <f>VLOOKUP(A37,'JUNE (물량흐름)'!$A$13:$C$502,3,0)</f>
        <v>174034717</v>
      </c>
      <c r="D37" s="6">
        <f>VLOOKUP(C37,'WIP(재공품)'!$B$12:$E$493,4,0)</f>
        <v>7936.2499999999991</v>
      </c>
      <c r="E37" s="6">
        <f>IFERROR(VLOOKUP(C37,O.B.JUNE!$AA$7:$AG$448,2,0),0)</f>
        <v>0</v>
      </c>
      <c r="F37" s="6">
        <f>IFERROR(VLOOKUP(C37,O.B.JUNE!$AA$7:$AG$448,3,0),0)</f>
        <v>0</v>
      </c>
      <c r="G37" s="6">
        <f>IFERROR(VLOOKUP(C37,O.B.JUNE!$AA$7:$AD$448,4,0),0)</f>
        <v>99</v>
      </c>
      <c r="H37" s="6">
        <f t="shared" si="2"/>
        <v>99</v>
      </c>
      <c r="I37" s="6">
        <f>IFERROR(VLOOKUP(C37,O.B.JUNE!$AA$7:$AF$448,6,0),0)</f>
        <v>79</v>
      </c>
      <c r="J37" s="6"/>
      <c r="K37" s="6">
        <f>IFERROR(VLOOKUP(C37,O.B.JUNE!$AA$7:$AG$448,7,0),0)</f>
        <v>3183266</v>
      </c>
      <c r="L37" s="6">
        <f>SUMIF('JUNE (물량흐름)'!$C$13:$C$502,'Direct labour(직접노무비)'!C37,'JUNE (물량흐름)'!$H$13:$H$502)+SUMIF('JUNE (물량흐름)'!$C$13:$C$502,'Direct labour(직접노무비)'!C37,'JUNE (물량흐름)'!$I$13:$I$502)</f>
        <v>0</v>
      </c>
      <c r="M37" s="6">
        <f t="shared" si="3"/>
        <v>0</v>
      </c>
      <c r="N37" s="6">
        <f t="shared" si="4"/>
        <v>0</v>
      </c>
      <c r="O37" s="6">
        <f t="shared" si="1"/>
        <v>0</v>
      </c>
      <c r="P37" s="6">
        <f>SUMIF('JUNE (물량흐름)'!$C$13:$C$502,C37,'JUNE (물량흐름)'!$T$13:$T$502)+SUMIF('JUNE (물량흐름)'!$C$13:$C$502,C37,'JUNE (물량흐름)'!$V$13:$V$502)+SUMIF('JUNE (물량흐름)'!$C$13:$C$502,C37,'JUNE (물량흐름)'!$U$13:$U$502)-SUMIF('JUNE (물량흐름)'!$C$13:$C$502,C37,'JUNE (물량흐름)'!$Y$13:$Y$502)</f>
        <v>99</v>
      </c>
      <c r="Q37" s="6">
        <f t="shared" si="5"/>
        <v>3183266</v>
      </c>
      <c r="R37" s="6">
        <f>ROUND(IF(ISERROR(VLOOKUP(#REF!,'WIP(재공품)'!$B$12:$AB$38,13,0)),0,VLOOKUP(#REF!,'WIP(재공품)'!$B$12:$AB$38,13,0)),0)</f>
        <v>0</v>
      </c>
      <c r="S37" s="6">
        <f>IF(ISERROR(VLOOKUP(#REF!,'WIP(재공품)'!$B$12:$AB$38,10,0)),0,VLOOKUP(#REF!,'WIP(재공품)'!$B$12:$AB$38,10,0))</f>
        <v>0</v>
      </c>
      <c r="T37" s="6">
        <f>SUMIF('JUNE (물량흐름)'!$C$13:$C$502,'Direct labour(직접노무비)'!C37,'JUNE (물량흐름)'!$Y$13:$Y$502)</f>
        <v>0</v>
      </c>
      <c r="U37" s="6">
        <f t="shared" si="6"/>
        <v>0</v>
      </c>
      <c r="V37" s="6">
        <f>ROUND(SUMIF('JUNE (물량흐름)'!$C$13:$C$502,'Direct labour(직접노무비)'!C37,'JUNE (물량흐름)'!$N$13:$N$502),0)</f>
        <v>0</v>
      </c>
      <c r="W37" s="6">
        <f>ROUND(SUMIF('JUNE (물량흐름)'!$C$13:$C$502,'Direct labour(직접노무비)'!C37,'JUNE (물량흐름)'!$O$13:$O$502),0)</f>
        <v>0</v>
      </c>
      <c r="X37" s="6">
        <f>ROUND(SUMIF('JUNE (물량흐름)'!$C$13:$C$502,'Direct labour(직접노무비)'!C37,'JUNE (물량흐름)'!$P$13:$P$502),0)</f>
        <v>0</v>
      </c>
      <c r="Y37" s="6">
        <f t="shared" si="7"/>
        <v>0</v>
      </c>
      <c r="Z37" s="6">
        <f t="shared" si="8"/>
        <v>0</v>
      </c>
      <c r="AA37" s="6">
        <f t="shared" si="9"/>
        <v>0</v>
      </c>
      <c r="AB37" s="389">
        <f t="shared" si="10"/>
        <v>0</v>
      </c>
      <c r="AC37" s="389">
        <f t="shared" si="11"/>
        <v>0</v>
      </c>
      <c r="AD37" s="389">
        <f t="shared" si="12"/>
        <v>0</v>
      </c>
    </row>
    <row r="38" spans="1:30" s="390" customFormat="1" ht="15" customHeight="1">
      <c r="A38" s="167">
        <v>27</v>
      </c>
      <c r="B38" s="267" t="str">
        <f>VLOOKUP(A38,'JUNE (물량흐름)'!$A$13:$C$502,2,0)</f>
        <v>ALFANI</v>
      </c>
      <c r="C38" s="240" t="str">
        <f>VLOOKUP(A38,'JUNE (물량흐름)'!$A$13:$C$502,3,0)</f>
        <v>7N713</v>
      </c>
      <c r="D38" s="6">
        <f>VLOOKUP(C38,'WIP(재공품)'!$B$12:$E$493,4,0)</f>
        <v>7936.2499999999991</v>
      </c>
      <c r="E38" s="6">
        <f>IFERROR(VLOOKUP(C38,O.B.JUNE!$AA$7:$AG$448,2,0),0)</f>
        <v>0</v>
      </c>
      <c r="F38" s="6">
        <f>IFERROR(VLOOKUP(C38,O.B.JUNE!$AA$7:$AG$448,3,0),0)</f>
        <v>0</v>
      </c>
      <c r="G38" s="6">
        <f>IFERROR(VLOOKUP(C38,O.B.JUNE!$AA$7:$AD$448,4,0),0)</f>
        <v>179</v>
      </c>
      <c r="H38" s="6">
        <f t="shared" si="2"/>
        <v>179</v>
      </c>
      <c r="I38" s="6">
        <f>IFERROR(VLOOKUP(C38,O.B.JUNE!$AA$7:$AF$448,6,0),0)</f>
        <v>143</v>
      </c>
      <c r="J38" s="6"/>
      <c r="K38" s="6">
        <f>IFERROR(VLOOKUP(C38,O.B.JUNE!$AA$7:$AG$448,7,0),0)</f>
        <v>2473011</v>
      </c>
      <c r="L38" s="6">
        <f>SUMIF('JUNE (물량흐름)'!$C$13:$C$502,'Direct labour(직접노무비)'!C38,'JUNE (물량흐름)'!$H$13:$H$502)+SUMIF('JUNE (물량흐름)'!$C$13:$C$502,'Direct labour(직접노무비)'!C38,'JUNE (물량흐름)'!$I$13:$I$502)</f>
        <v>0</v>
      </c>
      <c r="M38" s="6">
        <f t="shared" si="3"/>
        <v>0</v>
      </c>
      <c r="N38" s="6">
        <f t="shared" si="4"/>
        <v>0</v>
      </c>
      <c r="O38" s="6">
        <f t="shared" si="1"/>
        <v>0</v>
      </c>
      <c r="P38" s="6">
        <f>SUMIF('JUNE (물량흐름)'!$C$13:$C$502,C38,'JUNE (물량흐름)'!$T$13:$T$502)+SUMIF('JUNE (물량흐름)'!$C$13:$C$502,C38,'JUNE (물량흐름)'!$V$13:$V$502)+SUMIF('JUNE (물량흐름)'!$C$13:$C$502,C38,'JUNE (물량흐름)'!$U$13:$U$502)-SUMIF('JUNE (물량흐름)'!$C$13:$C$502,C38,'JUNE (물량흐름)'!$Y$13:$Y$502)</f>
        <v>0</v>
      </c>
      <c r="Q38" s="6">
        <f t="shared" si="5"/>
        <v>0</v>
      </c>
      <c r="R38" s="6">
        <f>ROUND(IF(ISERROR(VLOOKUP(#REF!,'WIP(재공품)'!$B$12:$AB$38,13,0)),0,VLOOKUP(#REF!,'WIP(재공품)'!$B$12:$AB$38,13,0)),0)</f>
        <v>0</v>
      </c>
      <c r="S38" s="6">
        <f>IF(ISERROR(VLOOKUP(#REF!,'WIP(재공품)'!$B$12:$AB$38,10,0)),0,VLOOKUP(#REF!,'WIP(재공품)'!$B$12:$AB$38,10,0))</f>
        <v>0</v>
      </c>
      <c r="T38" s="6">
        <f>SUMIF('JUNE (물량흐름)'!$C$13:$C$502,'Direct labour(직접노무비)'!C38,'JUNE (물량흐름)'!$Y$13:$Y$502)</f>
        <v>0</v>
      </c>
      <c r="U38" s="6">
        <f t="shared" si="6"/>
        <v>0</v>
      </c>
      <c r="V38" s="6">
        <f>ROUND(SUMIF('JUNE (물량흐름)'!$C$13:$C$502,'Direct labour(직접노무비)'!C38,'JUNE (물량흐름)'!$N$13:$N$502),0)</f>
        <v>0</v>
      </c>
      <c r="W38" s="6">
        <f>ROUND(SUMIF('JUNE (물량흐름)'!$C$13:$C$502,'Direct labour(직접노무비)'!C38,'JUNE (물량흐름)'!$O$13:$O$502),0)</f>
        <v>0</v>
      </c>
      <c r="X38" s="6">
        <f>ROUND(SUMIF('JUNE (물량흐름)'!$C$13:$C$502,'Direct labour(직접노무비)'!C38,'JUNE (물량흐름)'!$P$13:$P$502),0)</f>
        <v>179</v>
      </c>
      <c r="Y38" s="6">
        <f t="shared" si="7"/>
        <v>179</v>
      </c>
      <c r="Z38" s="6">
        <f t="shared" si="8"/>
        <v>143</v>
      </c>
      <c r="AA38" s="6">
        <f t="shared" si="9"/>
        <v>2473011</v>
      </c>
      <c r="AB38" s="389">
        <f t="shared" si="10"/>
        <v>0</v>
      </c>
      <c r="AC38" s="389">
        <f t="shared" si="11"/>
        <v>0</v>
      </c>
      <c r="AD38" s="389">
        <f t="shared" si="12"/>
        <v>0</v>
      </c>
    </row>
    <row r="39" spans="1:30" s="390" customFormat="1" ht="15" customHeight="1">
      <c r="A39" s="167">
        <v>28</v>
      </c>
      <c r="B39" s="267" t="str">
        <f>VLOOKUP(A39,'JUNE (물량흐름)'!$A$13:$C$502,2,0)</f>
        <v>NORDSTROM</v>
      </c>
      <c r="C39" s="240" t="str">
        <f>VLOOKUP(A39,'JUNE (물량흐름)'!$A$13:$C$502,3,0)</f>
        <v>RK368419MI</v>
      </c>
      <c r="D39" s="6">
        <f>VLOOKUP(C39,'WIP(재공품)'!$B$12:$E$493,4,0)</f>
        <v>7936.2499999999991</v>
      </c>
      <c r="E39" s="6">
        <f>IFERROR(VLOOKUP(C39,O.B.JUNE!$AA$7:$AG$448,2,0),0)</f>
        <v>0</v>
      </c>
      <c r="F39" s="6">
        <f>IFERROR(VLOOKUP(C39,O.B.JUNE!$AA$7:$AG$448,3,0),0)</f>
        <v>0</v>
      </c>
      <c r="G39" s="6">
        <f>IFERROR(VLOOKUP(C39,O.B.JUNE!$AA$7:$AD$448,4,0),0)</f>
        <v>71</v>
      </c>
      <c r="H39" s="6">
        <f t="shared" si="2"/>
        <v>71</v>
      </c>
      <c r="I39" s="6">
        <f>IFERROR(VLOOKUP(C39,O.B.JUNE!$AA$7:$AF$448,6,0),0)</f>
        <v>57</v>
      </c>
      <c r="J39" s="6"/>
      <c r="K39" s="6">
        <f>IFERROR(VLOOKUP(C39,O.B.JUNE!$AA$7:$AG$448,7,0),0)</f>
        <v>1897560</v>
      </c>
      <c r="L39" s="6">
        <f>SUMIF('JUNE (물량흐름)'!$C$13:$C$502,'Direct labour(직접노무비)'!C39,'JUNE (물량흐름)'!$H$13:$H$502)+SUMIF('JUNE (물량흐름)'!$C$13:$C$502,'Direct labour(직접노무비)'!C39,'JUNE (물량흐름)'!$I$13:$I$502)</f>
        <v>0</v>
      </c>
      <c r="M39" s="6">
        <f t="shared" si="3"/>
        <v>0</v>
      </c>
      <c r="N39" s="6">
        <f t="shared" si="4"/>
        <v>0</v>
      </c>
      <c r="O39" s="6">
        <f t="shared" si="1"/>
        <v>0</v>
      </c>
      <c r="P39" s="6">
        <f>SUMIF('JUNE (물량흐름)'!$C$13:$C$502,C39,'JUNE (물량흐름)'!$T$13:$T$502)+SUMIF('JUNE (물량흐름)'!$C$13:$C$502,C39,'JUNE (물량흐름)'!$V$13:$V$502)+SUMIF('JUNE (물량흐름)'!$C$13:$C$502,C39,'JUNE (물량흐름)'!$U$13:$U$502)-SUMIF('JUNE (물량흐름)'!$C$13:$C$502,C39,'JUNE (물량흐름)'!$Y$13:$Y$502)</f>
        <v>71</v>
      </c>
      <c r="Q39" s="6">
        <f t="shared" si="5"/>
        <v>1897560</v>
      </c>
      <c r="R39" s="6">
        <f>ROUND(IF(ISERROR(VLOOKUP(#REF!,'WIP(재공품)'!$B$12:$AB$38,13,0)),0,VLOOKUP(#REF!,'WIP(재공품)'!$B$12:$AB$38,13,0)),0)</f>
        <v>0</v>
      </c>
      <c r="S39" s="6">
        <f>IF(ISERROR(VLOOKUP(#REF!,'WIP(재공품)'!$B$12:$AB$38,10,0)),0,VLOOKUP(#REF!,'WIP(재공품)'!$B$12:$AB$38,10,0))</f>
        <v>0</v>
      </c>
      <c r="T39" s="6">
        <f>SUMIF('JUNE (물량흐름)'!$C$13:$C$502,'Direct labour(직접노무비)'!C39,'JUNE (물량흐름)'!$Y$13:$Y$502)</f>
        <v>0</v>
      </c>
      <c r="U39" s="6">
        <f t="shared" si="6"/>
        <v>0</v>
      </c>
      <c r="V39" s="6">
        <f>ROUND(SUMIF('JUNE (물량흐름)'!$C$13:$C$502,'Direct labour(직접노무비)'!C39,'JUNE (물량흐름)'!$N$13:$N$502),0)</f>
        <v>0</v>
      </c>
      <c r="W39" s="6">
        <f>ROUND(SUMIF('JUNE (물량흐름)'!$C$13:$C$502,'Direct labour(직접노무비)'!C39,'JUNE (물량흐름)'!$O$13:$O$502),0)</f>
        <v>0</v>
      </c>
      <c r="X39" s="6">
        <f>ROUND(SUMIF('JUNE (물량흐름)'!$C$13:$C$502,'Direct labour(직접노무비)'!C39,'JUNE (물량흐름)'!$P$13:$P$502),0)</f>
        <v>0</v>
      </c>
      <c r="Y39" s="6">
        <f t="shared" si="7"/>
        <v>0</v>
      </c>
      <c r="Z39" s="6">
        <f t="shared" si="8"/>
        <v>0</v>
      </c>
      <c r="AA39" s="6">
        <f t="shared" si="9"/>
        <v>0</v>
      </c>
      <c r="AB39" s="389">
        <f t="shared" si="10"/>
        <v>0</v>
      </c>
      <c r="AC39" s="389">
        <f t="shared" si="11"/>
        <v>0</v>
      </c>
      <c r="AD39" s="389">
        <f t="shared" si="12"/>
        <v>0</v>
      </c>
    </row>
    <row r="40" spans="1:30" s="390" customFormat="1" ht="15" customHeight="1">
      <c r="A40" s="167">
        <v>29</v>
      </c>
      <c r="B40" s="267" t="str">
        <f>VLOOKUP(A40,'JUNE (물량흐름)'!$A$13:$C$502,2,0)</f>
        <v>ANN TAYLOR</v>
      </c>
      <c r="C40" s="240">
        <f>VLOOKUP(A40,'JUNE (물량흐름)'!$A$13:$C$502,3,0)</f>
        <v>453280</v>
      </c>
      <c r="D40" s="6">
        <f>VLOOKUP(C40,'WIP(재공품)'!$B$12:$E$493,4,0)</f>
        <v>7936.2499999999991</v>
      </c>
      <c r="E40" s="6">
        <f>IFERROR(VLOOKUP(C40,O.B.JUNE!$AA$7:$AG$448,2,0),0)</f>
        <v>0</v>
      </c>
      <c r="F40" s="6">
        <f>IFERROR(VLOOKUP(C40,O.B.JUNE!$AA$7:$AG$448,3,0),0)</f>
        <v>0</v>
      </c>
      <c r="G40" s="6">
        <f>IFERROR(VLOOKUP(C40,O.B.JUNE!$AA$7:$AD$448,4,0),0)</f>
        <v>196</v>
      </c>
      <c r="H40" s="6">
        <f t="shared" si="2"/>
        <v>196</v>
      </c>
      <c r="I40" s="6">
        <f>IFERROR(VLOOKUP(C40,O.B.JUNE!$AA$7:$AF$448,6,0),0)</f>
        <v>157</v>
      </c>
      <c r="J40" s="6"/>
      <c r="K40" s="6">
        <f>IFERROR(VLOOKUP(C40,O.B.JUNE!$AA$7:$AG$448,7,0),0)</f>
        <v>2511489</v>
      </c>
      <c r="L40" s="6">
        <f>SUMIF('JUNE (물량흐름)'!$C$13:$C$502,'Direct labour(직접노무비)'!C40,'JUNE (물량흐름)'!$H$13:$H$502)+SUMIF('JUNE (물량흐름)'!$C$13:$C$502,'Direct labour(직접노무비)'!C40,'JUNE (물량흐름)'!$I$13:$I$502)</f>
        <v>0</v>
      </c>
      <c r="M40" s="6">
        <f t="shared" si="3"/>
        <v>0</v>
      </c>
      <c r="N40" s="6">
        <f t="shared" si="4"/>
        <v>0</v>
      </c>
      <c r="O40" s="6">
        <f t="shared" si="1"/>
        <v>0</v>
      </c>
      <c r="P40" s="6">
        <f>SUMIF('JUNE (물량흐름)'!$C$13:$C$502,C40,'JUNE (물량흐름)'!$T$13:$T$502)+SUMIF('JUNE (물량흐름)'!$C$13:$C$502,C40,'JUNE (물량흐름)'!$V$13:$V$502)+SUMIF('JUNE (물량흐름)'!$C$13:$C$502,C40,'JUNE (물량흐름)'!$U$13:$U$502)-SUMIF('JUNE (물량흐름)'!$C$13:$C$502,C40,'JUNE (물량흐름)'!$Y$13:$Y$502)</f>
        <v>196</v>
      </c>
      <c r="Q40" s="6">
        <f t="shared" si="5"/>
        <v>2511489</v>
      </c>
      <c r="R40" s="6">
        <f>ROUND(IF(ISERROR(VLOOKUP(#REF!,'WIP(재공품)'!$B$12:$AB$38,13,0)),0,VLOOKUP(#REF!,'WIP(재공품)'!$B$12:$AB$38,13,0)),0)</f>
        <v>0</v>
      </c>
      <c r="S40" s="6">
        <f>IF(ISERROR(VLOOKUP(#REF!,'WIP(재공품)'!$B$12:$AB$38,10,0)),0,VLOOKUP(#REF!,'WIP(재공품)'!$B$12:$AB$38,10,0))</f>
        <v>0</v>
      </c>
      <c r="T40" s="6">
        <f>SUMIF('JUNE (물량흐름)'!$C$13:$C$502,'Direct labour(직접노무비)'!C40,'JUNE (물량흐름)'!$Y$13:$Y$502)</f>
        <v>0</v>
      </c>
      <c r="U40" s="6">
        <f t="shared" si="6"/>
        <v>0</v>
      </c>
      <c r="V40" s="6">
        <f>ROUND(SUMIF('JUNE (물량흐름)'!$C$13:$C$502,'Direct labour(직접노무비)'!C40,'JUNE (물량흐름)'!$N$13:$N$502),0)</f>
        <v>0</v>
      </c>
      <c r="W40" s="6">
        <f>ROUND(SUMIF('JUNE (물량흐름)'!$C$13:$C$502,'Direct labour(직접노무비)'!C40,'JUNE (물량흐름)'!$O$13:$O$502),0)</f>
        <v>0</v>
      </c>
      <c r="X40" s="6">
        <f>ROUND(SUMIF('JUNE (물량흐름)'!$C$13:$C$502,'Direct labour(직접노무비)'!C40,'JUNE (물량흐름)'!$P$13:$P$502),0)</f>
        <v>0</v>
      </c>
      <c r="Y40" s="6">
        <f t="shared" si="7"/>
        <v>0</v>
      </c>
      <c r="Z40" s="6">
        <f t="shared" si="8"/>
        <v>0</v>
      </c>
      <c r="AA40" s="6">
        <f t="shared" si="9"/>
        <v>0</v>
      </c>
      <c r="AB40" s="389">
        <f t="shared" si="10"/>
        <v>0</v>
      </c>
      <c r="AC40" s="389">
        <f t="shared" si="11"/>
        <v>0</v>
      </c>
      <c r="AD40" s="389">
        <f t="shared" si="12"/>
        <v>0</v>
      </c>
    </row>
    <row r="41" spans="1:30" s="390" customFormat="1" ht="15" customHeight="1">
      <c r="A41" s="167">
        <v>30</v>
      </c>
      <c r="B41" s="267" t="str">
        <f>VLOOKUP(A41,'JUNE (물량흐름)'!$A$13:$C$502,2,0)</f>
        <v>ALFANI</v>
      </c>
      <c r="C41" s="240">
        <f>VLOOKUP(A41,'JUNE (물량흐름)'!$A$13:$C$502,3,0)</f>
        <v>100003227</v>
      </c>
      <c r="D41" s="6">
        <f>VLOOKUP(C41,'WIP(재공품)'!$B$12:$E$493,4,0)</f>
        <v>7936.2499999999991</v>
      </c>
      <c r="E41" s="6">
        <f>IFERROR(VLOOKUP(C41,O.B.JUNE!$AA$7:$AG$448,2,0),0)</f>
        <v>0</v>
      </c>
      <c r="F41" s="6">
        <f>IFERROR(VLOOKUP(C41,O.B.JUNE!$AA$7:$AG$448,3,0),0)</f>
        <v>0</v>
      </c>
      <c r="G41" s="6">
        <f>IFERROR(VLOOKUP(C41,O.B.JUNE!$AA$7:$AD$448,4,0),0)</f>
        <v>378</v>
      </c>
      <c r="H41" s="6">
        <f t="shared" si="2"/>
        <v>378</v>
      </c>
      <c r="I41" s="6">
        <f>IFERROR(VLOOKUP(C41,O.B.JUNE!$AA$7:$AF$448,6,0),0)</f>
        <v>302</v>
      </c>
      <c r="J41" s="6"/>
      <c r="K41" s="6">
        <f>IFERROR(VLOOKUP(C41,O.B.JUNE!$AA$7:$AG$448,7,0),0)</f>
        <v>4025106</v>
      </c>
      <c r="L41" s="6">
        <f>SUMIF('JUNE (물량흐름)'!$C$13:$C$502,'Direct labour(직접노무비)'!C41,'JUNE (물량흐름)'!$H$13:$H$502)+SUMIF('JUNE (물량흐름)'!$C$13:$C$502,'Direct labour(직접노무비)'!C41,'JUNE (물량흐름)'!$I$13:$I$502)</f>
        <v>0</v>
      </c>
      <c r="M41" s="6">
        <f t="shared" si="3"/>
        <v>0</v>
      </c>
      <c r="N41" s="6">
        <f t="shared" si="4"/>
        <v>0</v>
      </c>
      <c r="O41" s="6">
        <f t="shared" si="1"/>
        <v>0</v>
      </c>
      <c r="P41" s="6">
        <f>SUMIF('JUNE (물량흐름)'!$C$13:$C$502,C41,'JUNE (물량흐름)'!$T$13:$T$502)+SUMIF('JUNE (물량흐름)'!$C$13:$C$502,C41,'JUNE (물량흐름)'!$V$13:$V$502)+SUMIF('JUNE (물량흐름)'!$C$13:$C$502,C41,'JUNE (물량흐름)'!$U$13:$U$502)-SUMIF('JUNE (물량흐름)'!$C$13:$C$502,C41,'JUNE (물량흐름)'!$Y$13:$Y$502)</f>
        <v>0</v>
      </c>
      <c r="Q41" s="6">
        <f t="shared" si="5"/>
        <v>0</v>
      </c>
      <c r="R41" s="6">
        <f>ROUND(IF(ISERROR(VLOOKUP(#REF!,'WIP(재공품)'!$B$12:$AB$38,13,0)),0,VLOOKUP(#REF!,'WIP(재공품)'!$B$12:$AB$38,13,0)),0)</f>
        <v>0</v>
      </c>
      <c r="S41" s="6">
        <f>IF(ISERROR(VLOOKUP(#REF!,'WIP(재공품)'!$B$12:$AB$38,10,0)),0,VLOOKUP(#REF!,'WIP(재공품)'!$B$12:$AB$38,10,0))</f>
        <v>0</v>
      </c>
      <c r="T41" s="6">
        <f>SUMIF('JUNE (물량흐름)'!$C$13:$C$502,'Direct labour(직접노무비)'!C41,'JUNE (물량흐름)'!$Y$13:$Y$502)</f>
        <v>0</v>
      </c>
      <c r="U41" s="6">
        <f t="shared" si="6"/>
        <v>0</v>
      </c>
      <c r="V41" s="6">
        <f>ROUND(SUMIF('JUNE (물량흐름)'!$C$13:$C$502,'Direct labour(직접노무비)'!C41,'JUNE (물량흐름)'!$N$13:$N$502),0)</f>
        <v>0</v>
      </c>
      <c r="W41" s="6">
        <f>ROUND(SUMIF('JUNE (물량흐름)'!$C$13:$C$502,'Direct labour(직접노무비)'!C41,'JUNE (물량흐름)'!$O$13:$O$502),0)</f>
        <v>0</v>
      </c>
      <c r="X41" s="6">
        <f>ROUND(SUMIF('JUNE (물량흐름)'!$C$13:$C$502,'Direct labour(직접노무비)'!C41,'JUNE (물량흐름)'!$P$13:$P$502),0)</f>
        <v>378</v>
      </c>
      <c r="Y41" s="6">
        <f t="shared" si="7"/>
        <v>378</v>
      </c>
      <c r="Z41" s="6">
        <f t="shared" si="8"/>
        <v>302</v>
      </c>
      <c r="AA41" s="6">
        <f t="shared" si="9"/>
        <v>4025106</v>
      </c>
      <c r="AB41" s="389">
        <f t="shared" si="10"/>
        <v>0</v>
      </c>
      <c r="AC41" s="389">
        <f t="shared" si="11"/>
        <v>0</v>
      </c>
      <c r="AD41" s="389">
        <f t="shared" si="12"/>
        <v>0</v>
      </c>
    </row>
    <row r="42" spans="1:30" s="390" customFormat="1" ht="15" customHeight="1">
      <c r="A42" s="167">
        <v>31</v>
      </c>
      <c r="B42" s="267" t="str">
        <f>VLOOKUP(A42,'JUNE (물량흐름)'!$A$13:$C$502,2,0)</f>
        <v>ALFANI</v>
      </c>
      <c r="C42" s="240">
        <f>VLOOKUP(A42,'JUNE (물량흐름)'!$A$13:$C$502,3,0)</f>
        <v>100003486</v>
      </c>
      <c r="D42" s="6">
        <f>VLOOKUP(C42,'WIP(재공품)'!$B$12:$E$493,4,0)</f>
        <v>44896.5</v>
      </c>
      <c r="E42" s="6">
        <f>IFERROR(VLOOKUP(C42,O.B.JUNE!$AA$7:$AG$448,2,0),0)</f>
        <v>0</v>
      </c>
      <c r="F42" s="6">
        <f>IFERROR(VLOOKUP(C42,O.B.JUNE!$AA$7:$AG$448,3,0),0)</f>
        <v>0</v>
      </c>
      <c r="G42" s="6">
        <f>IFERROR(VLOOKUP(C42,O.B.JUNE!$AA$7:$AD$448,4,0),0)</f>
        <v>249</v>
      </c>
      <c r="H42" s="6">
        <f t="shared" si="2"/>
        <v>249</v>
      </c>
      <c r="I42" s="6">
        <f>IFERROR(VLOOKUP(C42,O.B.JUNE!$AA$7:$AF$448,6,0),0)</f>
        <v>199</v>
      </c>
      <c r="J42" s="6"/>
      <c r="K42" s="6">
        <f>IFERROR(VLOOKUP(C42,O.B.JUNE!$AA$7:$AG$448,7,0),0)</f>
        <v>3229345</v>
      </c>
      <c r="L42" s="6">
        <f>SUMIF('JUNE (물량흐름)'!$C$13:$C$502,'Direct labour(직접노무비)'!C42,'JUNE (물량흐름)'!$H$13:$H$502)+SUMIF('JUNE (물량흐름)'!$C$13:$C$502,'Direct labour(직접노무비)'!C42,'JUNE (물량흐름)'!$I$13:$I$502)</f>
        <v>0</v>
      </c>
      <c r="M42" s="6">
        <f t="shared" si="3"/>
        <v>0</v>
      </c>
      <c r="N42" s="6">
        <f t="shared" si="4"/>
        <v>0</v>
      </c>
      <c r="O42" s="6">
        <f t="shared" si="1"/>
        <v>0</v>
      </c>
      <c r="P42" s="6">
        <f>SUMIF('JUNE (물량흐름)'!$C$13:$C$502,C42,'JUNE (물량흐름)'!$T$13:$T$502)+SUMIF('JUNE (물량흐름)'!$C$13:$C$502,C42,'JUNE (물량흐름)'!$V$13:$V$502)+SUMIF('JUNE (물량흐름)'!$C$13:$C$502,C42,'JUNE (물량흐름)'!$U$13:$U$502)-SUMIF('JUNE (물량흐름)'!$C$13:$C$502,C42,'JUNE (물량흐름)'!$Y$13:$Y$502)</f>
        <v>0</v>
      </c>
      <c r="Q42" s="6">
        <f t="shared" si="5"/>
        <v>0</v>
      </c>
      <c r="R42" s="6">
        <f>ROUND(IF(ISERROR(VLOOKUP(#REF!,'WIP(재공품)'!$B$12:$AB$38,13,0)),0,VLOOKUP(#REF!,'WIP(재공품)'!$B$12:$AB$38,13,0)),0)</f>
        <v>0</v>
      </c>
      <c r="S42" s="6">
        <f>IF(ISERROR(VLOOKUP(#REF!,'WIP(재공품)'!$B$12:$AB$38,10,0)),0,VLOOKUP(#REF!,'WIP(재공품)'!$B$12:$AB$38,10,0))</f>
        <v>0</v>
      </c>
      <c r="T42" s="6">
        <f>SUMIF('JUNE (물량흐름)'!$C$13:$C$502,'Direct labour(직접노무비)'!C42,'JUNE (물량흐름)'!$Y$13:$Y$502)</f>
        <v>0</v>
      </c>
      <c r="U42" s="6">
        <f t="shared" si="6"/>
        <v>0</v>
      </c>
      <c r="V42" s="6">
        <f>ROUND(SUMIF('JUNE (물량흐름)'!$C$13:$C$502,'Direct labour(직접노무비)'!C42,'JUNE (물량흐름)'!$N$13:$N$502),0)</f>
        <v>0</v>
      </c>
      <c r="W42" s="6">
        <f>ROUND(SUMIF('JUNE (물량흐름)'!$C$13:$C$502,'Direct labour(직접노무비)'!C42,'JUNE (물량흐름)'!$O$13:$O$502),0)</f>
        <v>0</v>
      </c>
      <c r="X42" s="6">
        <f>ROUND(SUMIF('JUNE (물량흐름)'!$C$13:$C$502,'Direct labour(직접노무비)'!C42,'JUNE (물량흐름)'!$P$13:$P$502),0)</f>
        <v>249</v>
      </c>
      <c r="Y42" s="6">
        <f t="shared" si="7"/>
        <v>249</v>
      </c>
      <c r="Z42" s="6">
        <f t="shared" si="8"/>
        <v>199</v>
      </c>
      <c r="AA42" s="6">
        <f t="shared" si="9"/>
        <v>3229345</v>
      </c>
      <c r="AB42" s="389">
        <f t="shared" si="10"/>
        <v>0</v>
      </c>
      <c r="AC42" s="389">
        <f t="shared" si="11"/>
        <v>0</v>
      </c>
      <c r="AD42" s="389">
        <f t="shared" si="12"/>
        <v>0</v>
      </c>
    </row>
    <row r="43" spans="1:30" s="390" customFormat="1" ht="15" customHeight="1">
      <c r="A43" s="167">
        <v>32</v>
      </c>
      <c r="B43" s="267" t="str">
        <f>VLOOKUP(A43,'JUNE (물량흐름)'!$A$13:$C$502,2,0)</f>
        <v>ALFANI</v>
      </c>
      <c r="C43" s="240">
        <f>VLOOKUP(A43,'JUNE (물량흐름)'!$A$13:$C$502,3,0)</f>
        <v>100003532</v>
      </c>
      <c r="D43" s="6">
        <f>VLOOKUP(C43,'WIP(재공품)'!$B$12:$E$493,4,0)</f>
        <v>7936.2499999999991</v>
      </c>
      <c r="E43" s="6">
        <f>IFERROR(VLOOKUP(C43,O.B.JUNE!$AA$7:$AG$448,2,0),0)</f>
        <v>0</v>
      </c>
      <c r="F43" s="6">
        <f>IFERROR(VLOOKUP(C43,O.B.JUNE!$AA$7:$AG$448,3,0),0)</f>
        <v>0</v>
      </c>
      <c r="G43" s="6">
        <f>IFERROR(VLOOKUP(C43,O.B.JUNE!$AA$7:$AD$448,4,0),0)</f>
        <v>68</v>
      </c>
      <c r="H43" s="6">
        <f t="shared" si="2"/>
        <v>68</v>
      </c>
      <c r="I43" s="6">
        <f>IFERROR(VLOOKUP(C43,O.B.JUNE!$AA$7:$AF$448,6,0),0)</f>
        <v>54</v>
      </c>
      <c r="J43" s="6"/>
      <c r="K43" s="6">
        <f>IFERROR(VLOOKUP(C43,O.B.JUNE!$AA$7:$AG$448,7,0),0)</f>
        <v>778886</v>
      </c>
      <c r="L43" s="6">
        <f>SUMIF('JUNE (물량흐름)'!$C$13:$C$502,'Direct labour(직접노무비)'!C43,'JUNE (물량흐름)'!$H$13:$H$502)+SUMIF('JUNE (물량흐름)'!$C$13:$C$502,'Direct labour(직접노무비)'!C43,'JUNE (물량흐름)'!$I$13:$I$502)</f>
        <v>0</v>
      </c>
      <c r="M43" s="6">
        <f t="shared" si="3"/>
        <v>0</v>
      </c>
      <c r="N43" s="6">
        <f t="shared" si="4"/>
        <v>0</v>
      </c>
      <c r="O43" s="6">
        <f t="shared" si="1"/>
        <v>0</v>
      </c>
      <c r="P43" s="6">
        <f>SUMIF('JUNE (물량흐름)'!$C$13:$C$502,C43,'JUNE (물량흐름)'!$T$13:$T$502)+SUMIF('JUNE (물량흐름)'!$C$13:$C$502,C43,'JUNE (물량흐름)'!$V$13:$V$502)+SUMIF('JUNE (물량흐름)'!$C$13:$C$502,C43,'JUNE (물량흐름)'!$U$13:$U$502)-SUMIF('JUNE (물량흐름)'!$C$13:$C$502,C43,'JUNE (물량흐름)'!$Y$13:$Y$502)</f>
        <v>0</v>
      </c>
      <c r="Q43" s="6">
        <f t="shared" si="5"/>
        <v>0</v>
      </c>
      <c r="R43" s="6">
        <f>ROUND(IF(ISERROR(VLOOKUP(#REF!,'WIP(재공품)'!$B$12:$AB$38,13,0)),0,VLOOKUP(#REF!,'WIP(재공품)'!$B$12:$AB$38,13,0)),0)</f>
        <v>0</v>
      </c>
      <c r="S43" s="6">
        <f>IF(ISERROR(VLOOKUP(#REF!,'WIP(재공품)'!$B$12:$AB$38,10,0)),0,VLOOKUP(#REF!,'WIP(재공품)'!$B$12:$AB$38,10,0))</f>
        <v>0</v>
      </c>
      <c r="T43" s="6">
        <f>SUMIF('JUNE (물량흐름)'!$C$13:$C$502,'Direct labour(직접노무비)'!C43,'JUNE (물량흐름)'!$Y$13:$Y$502)</f>
        <v>0</v>
      </c>
      <c r="U43" s="6">
        <f t="shared" si="6"/>
        <v>0</v>
      </c>
      <c r="V43" s="6">
        <f>ROUND(SUMIF('JUNE (물량흐름)'!$C$13:$C$502,'Direct labour(직접노무비)'!C43,'JUNE (물량흐름)'!$N$13:$N$502),0)</f>
        <v>0</v>
      </c>
      <c r="W43" s="6">
        <f>ROUND(SUMIF('JUNE (물량흐름)'!$C$13:$C$502,'Direct labour(직접노무비)'!C43,'JUNE (물량흐름)'!$O$13:$O$502),0)</f>
        <v>0</v>
      </c>
      <c r="X43" s="6">
        <f>ROUND(SUMIF('JUNE (물량흐름)'!$C$13:$C$502,'Direct labour(직접노무비)'!C43,'JUNE (물량흐름)'!$P$13:$P$502),0)</f>
        <v>68</v>
      </c>
      <c r="Y43" s="6">
        <f t="shared" si="7"/>
        <v>68</v>
      </c>
      <c r="Z43" s="6">
        <f t="shared" si="8"/>
        <v>54</v>
      </c>
      <c r="AA43" s="6">
        <f t="shared" si="9"/>
        <v>778886</v>
      </c>
      <c r="AB43" s="389">
        <f t="shared" si="10"/>
        <v>0</v>
      </c>
      <c r="AC43" s="389">
        <f t="shared" si="11"/>
        <v>0</v>
      </c>
      <c r="AD43" s="389">
        <f t="shared" si="12"/>
        <v>0</v>
      </c>
    </row>
    <row r="44" spans="1:30" s="390" customFormat="1" ht="15" customHeight="1">
      <c r="A44" s="167">
        <v>33</v>
      </c>
      <c r="B44" s="267" t="str">
        <f>VLOOKUP(A44,'JUNE (물량흐름)'!$A$13:$C$502,2,0)</f>
        <v>ALFANI</v>
      </c>
      <c r="C44" s="240">
        <f>VLOOKUP(A44,'JUNE (물량흐름)'!$A$13:$C$502,3,0)</f>
        <v>100003576</v>
      </c>
      <c r="D44" s="6">
        <f>VLOOKUP(C44,'WIP(재공품)'!$B$12:$E$493,4,0)</f>
        <v>7936.2499999999991</v>
      </c>
      <c r="E44" s="6">
        <f>IFERROR(VLOOKUP(C44,O.B.JUNE!$AA$7:$AG$448,2,0),0)</f>
        <v>0</v>
      </c>
      <c r="F44" s="6">
        <f>IFERROR(VLOOKUP(C44,O.B.JUNE!$AA$7:$AG$448,3,0),0)</f>
        <v>0</v>
      </c>
      <c r="G44" s="6">
        <f>IFERROR(VLOOKUP(C44,O.B.JUNE!$AA$7:$AD$448,4,0),0)</f>
        <v>96</v>
      </c>
      <c r="H44" s="6">
        <f t="shared" si="2"/>
        <v>96</v>
      </c>
      <c r="I44" s="6">
        <f>IFERROR(VLOOKUP(C44,O.B.JUNE!$AA$7:$AF$448,6,0),0)</f>
        <v>77</v>
      </c>
      <c r="J44" s="6"/>
      <c r="K44" s="6">
        <f>IFERROR(VLOOKUP(C44,O.B.JUNE!$AA$7:$AG$448,7,0),0)</f>
        <v>703516</v>
      </c>
      <c r="L44" s="6">
        <f>SUMIF('JUNE (물량흐름)'!$C$13:$C$502,'Direct labour(직접노무비)'!C44,'JUNE (물량흐름)'!$H$13:$H$502)+SUMIF('JUNE (물량흐름)'!$C$13:$C$502,'Direct labour(직접노무비)'!C44,'JUNE (물량흐름)'!$I$13:$I$502)</f>
        <v>0</v>
      </c>
      <c r="M44" s="6">
        <f t="shared" si="3"/>
        <v>0</v>
      </c>
      <c r="N44" s="6">
        <f t="shared" si="4"/>
        <v>0</v>
      </c>
      <c r="O44" s="6">
        <f t="shared" ref="O44:O75" si="13">ROUND(M44*D44*$O$493/$N$493,0)</f>
        <v>0</v>
      </c>
      <c r="P44" s="6">
        <f>SUMIF('JUNE (물량흐름)'!$C$13:$C$502,C44,'JUNE (물량흐름)'!$T$13:$T$502)+SUMIF('JUNE (물량흐름)'!$C$13:$C$502,C44,'JUNE (물량흐름)'!$V$13:$V$502)+SUMIF('JUNE (물량흐름)'!$C$13:$C$502,C44,'JUNE (물량흐름)'!$U$13:$U$502)-SUMIF('JUNE (물량흐름)'!$C$13:$C$502,C44,'JUNE (물량흐름)'!$Y$13:$Y$502)</f>
        <v>0</v>
      </c>
      <c r="Q44" s="6">
        <f t="shared" si="5"/>
        <v>0</v>
      </c>
      <c r="R44" s="6">
        <f>ROUND(IF(ISERROR(VLOOKUP(#REF!,'WIP(재공품)'!$B$12:$AB$38,13,0)),0,VLOOKUP(#REF!,'WIP(재공품)'!$B$12:$AB$38,13,0)),0)</f>
        <v>0</v>
      </c>
      <c r="S44" s="6">
        <f>IF(ISERROR(VLOOKUP(#REF!,'WIP(재공품)'!$B$12:$AB$38,10,0)),0,VLOOKUP(#REF!,'WIP(재공품)'!$B$12:$AB$38,10,0))</f>
        <v>0</v>
      </c>
      <c r="T44" s="6">
        <f>SUMIF('JUNE (물량흐름)'!$C$13:$C$502,'Direct labour(직접노무비)'!C44,'JUNE (물량흐름)'!$Y$13:$Y$502)</f>
        <v>0</v>
      </c>
      <c r="U44" s="6">
        <f t="shared" si="6"/>
        <v>0</v>
      </c>
      <c r="V44" s="6">
        <f>ROUND(SUMIF('JUNE (물량흐름)'!$C$13:$C$502,'Direct labour(직접노무비)'!C44,'JUNE (물량흐름)'!$N$13:$N$502),0)</f>
        <v>0</v>
      </c>
      <c r="W44" s="6">
        <f>ROUND(SUMIF('JUNE (물량흐름)'!$C$13:$C$502,'Direct labour(직접노무비)'!C44,'JUNE (물량흐름)'!$O$13:$O$502),0)</f>
        <v>0</v>
      </c>
      <c r="X44" s="6">
        <f>ROUND(SUMIF('JUNE (물량흐름)'!$C$13:$C$502,'Direct labour(직접노무비)'!C44,'JUNE (물량흐름)'!$P$13:$P$502),0)</f>
        <v>96</v>
      </c>
      <c r="Y44" s="6">
        <f t="shared" si="7"/>
        <v>96</v>
      </c>
      <c r="Z44" s="6">
        <f t="shared" si="8"/>
        <v>77</v>
      </c>
      <c r="AA44" s="6">
        <f t="shared" si="9"/>
        <v>703516</v>
      </c>
      <c r="AB44" s="389">
        <f t="shared" si="10"/>
        <v>0</v>
      </c>
      <c r="AC44" s="389">
        <f t="shared" si="11"/>
        <v>0</v>
      </c>
      <c r="AD44" s="389">
        <f t="shared" si="12"/>
        <v>0</v>
      </c>
    </row>
    <row r="45" spans="1:30" s="390" customFormat="1" ht="15" customHeight="1">
      <c r="A45" s="167">
        <v>34</v>
      </c>
      <c r="B45" s="267" t="str">
        <f>VLOOKUP(A45,'JUNE (물량흐름)'!$A$13:$C$502,2,0)</f>
        <v>ALFANI</v>
      </c>
      <c r="C45" s="240">
        <f>VLOOKUP(A45,'JUNE (물량흐름)'!$A$13:$C$502,3,0)</f>
        <v>100004422</v>
      </c>
      <c r="D45" s="6">
        <f>VLOOKUP(C45,'WIP(재공품)'!$B$12:$E$493,4,0)</f>
        <v>7936.2499999999991</v>
      </c>
      <c r="E45" s="6">
        <f>IFERROR(VLOOKUP(C45,O.B.JUNE!$AA$7:$AG$448,2,0),0)</f>
        <v>0</v>
      </c>
      <c r="F45" s="6">
        <f>IFERROR(VLOOKUP(C45,O.B.JUNE!$AA$7:$AG$448,3,0),0)</f>
        <v>0</v>
      </c>
      <c r="G45" s="6">
        <f>IFERROR(VLOOKUP(C45,O.B.JUNE!$AA$7:$AD$448,4,0),0)</f>
        <v>63</v>
      </c>
      <c r="H45" s="6">
        <f t="shared" si="2"/>
        <v>63</v>
      </c>
      <c r="I45" s="6">
        <f>IFERROR(VLOOKUP(C45,O.B.JUNE!$AA$7:$AF$448,6,0),0)</f>
        <v>50</v>
      </c>
      <c r="J45" s="6"/>
      <c r="K45" s="6">
        <f>IFERROR(VLOOKUP(C45,O.B.JUNE!$AA$7:$AG$448,7,0),0)</f>
        <v>493357</v>
      </c>
      <c r="L45" s="6">
        <f>SUMIF('JUNE (물량흐름)'!$C$13:$C$502,'Direct labour(직접노무비)'!C45,'JUNE (물량흐름)'!$H$13:$H$502)+SUMIF('JUNE (물량흐름)'!$C$13:$C$502,'Direct labour(직접노무비)'!C45,'JUNE (물량흐름)'!$I$13:$I$502)</f>
        <v>0</v>
      </c>
      <c r="M45" s="6">
        <f t="shared" si="3"/>
        <v>0</v>
      </c>
      <c r="N45" s="6">
        <f t="shared" si="4"/>
        <v>0</v>
      </c>
      <c r="O45" s="6">
        <f t="shared" si="13"/>
        <v>0</v>
      </c>
      <c r="P45" s="6">
        <f>SUMIF('JUNE (물량흐름)'!$C$13:$C$502,C45,'JUNE (물량흐름)'!$T$13:$T$502)+SUMIF('JUNE (물량흐름)'!$C$13:$C$502,C45,'JUNE (물량흐름)'!$V$13:$V$502)+SUMIF('JUNE (물량흐름)'!$C$13:$C$502,C45,'JUNE (물량흐름)'!$U$13:$U$502)-SUMIF('JUNE (물량흐름)'!$C$13:$C$502,C45,'JUNE (물량흐름)'!$Y$13:$Y$502)</f>
        <v>0</v>
      </c>
      <c r="Q45" s="6">
        <f t="shared" si="5"/>
        <v>0</v>
      </c>
      <c r="R45" s="6">
        <f>ROUND(IF(ISERROR(VLOOKUP(#REF!,'WIP(재공품)'!$B$12:$AB$38,13,0)),0,VLOOKUP(#REF!,'WIP(재공품)'!$B$12:$AB$38,13,0)),0)</f>
        <v>0</v>
      </c>
      <c r="S45" s="6">
        <f>IF(ISERROR(VLOOKUP(#REF!,'WIP(재공품)'!$B$12:$AB$38,10,0)),0,VLOOKUP(#REF!,'WIP(재공품)'!$B$12:$AB$38,10,0))</f>
        <v>0</v>
      </c>
      <c r="T45" s="6">
        <f>SUMIF('JUNE (물량흐름)'!$C$13:$C$502,'Direct labour(직접노무비)'!C45,'JUNE (물량흐름)'!$Y$13:$Y$502)</f>
        <v>0</v>
      </c>
      <c r="U45" s="6">
        <f t="shared" si="6"/>
        <v>0</v>
      </c>
      <c r="V45" s="6">
        <f>ROUND(SUMIF('JUNE (물량흐름)'!$C$13:$C$502,'Direct labour(직접노무비)'!C45,'JUNE (물량흐름)'!$N$13:$N$502),0)</f>
        <v>0</v>
      </c>
      <c r="W45" s="6">
        <f>ROUND(SUMIF('JUNE (물량흐름)'!$C$13:$C$502,'Direct labour(직접노무비)'!C45,'JUNE (물량흐름)'!$O$13:$O$502),0)</f>
        <v>0</v>
      </c>
      <c r="X45" s="6">
        <f>ROUND(SUMIF('JUNE (물량흐름)'!$C$13:$C$502,'Direct labour(직접노무비)'!C45,'JUNE (물량흐름)'!$P$13:$P$502),0)</f>
        <v>63</v>
      </c>
      <c r="Y45" s="6">
        <f t="shared" si="7"/>
        <v>63</v>
      </c>
      <c r="Z45" s="6">
        <f t="shared" si="8"/>
        <v>50</v>
      </c>
      <c r="AA45" s="6">
        <f t="shared" si="9"/>
        <v>493357</v>
      </c>
      <c r="AB45" s="389">
        <f t="shared" si="10"/>
        <v>0</v>
      </c>
      <c r="AC45" s="389">
        <f t="shared" si="11"/>
        <v>0</v>
      </c>
      <c r="AD45" s="389">
        <f t="shared" si="12"/>
        <v>0</v>
      </c>
    </row>
    <row r="46" spans="1:30" s="390" customFormat="1" ht="15" customHeight="1">
      <c r="A46" s="167">
        <v>35</v>
      </c>
      <c r="B46" s="267" t="str">
        <f>VLOOKUP(A46,'JUNE (물량흐름)'!$A$13:$C$502,2,0)</f>
        <v>ALFANI</v>
      </c>
      <c r="C46" s="240">
        <f>VLOOKUP(A46,'JUNE (물량흐름)'!$A$13:$C$502,3,0)</f>
        <v>100004424</v>
      </c>
      <c r="D46" s="6">
        <f>VLOOKUP(C46,'WIP(재공품)'!$B$12:$E$493,4,0)</f>
        <v>7936.2499999999991</v>
      </c>
      <c r="E46" s="6">
        <f>IFERROR(VLOOKUP(C46,O.B.JUNE!$AA$7:$AG$448,2,0),0)</f>
        <v>0</v>
      </c>
      <c r="F46" s="6">
        <f>IFERROR(VLOOKUP(C46,O.B.JUNE!$AA$7:$AG$448,3,0),0)</f>
        <v>0</v>
      </c>
      <c r="G46" s="6">
        <f>IFERROR(VLOOKUP(C46,O.B.JUNE!$AA$7:$AD$448,4,0),0)</f>
        <v>81</v>
      </c>
      <c r="H46" s="6">
        <f t="shared" si="2"/>
        <v>81</v>
      </c>
      <c r="I46" s="6">
        <f>IFERROR(VLOOKUP(C46,O.B.JUNE!$AA$7:$AF$448,6,0),0)</f>
        <v>65</v>
      </c>
      <c r="J46" s="6"/>
      <c r="K46" s="6">
        <f>IFERROR(VLOOKUP(C46,O.B.JUNE!$AA$7:$AG$448,7,0),0)</f>
        <v>641364</v>
      </c>
      <c r="L46" s="6">
        <f>SUMIF('JUNE (물량흐름)'!$C$13:$C$502,'Direct labour(직접노무비)'!C46,'JUNE (물량흐름)'!$H$13:$H$502)+SUMIF('JUNE (물량흐름)'!$C$13:$C$502,'Direct labour(직접노무비)'!C46,'JUNE (물량흐름)'!$I$13:$I$502)</f>
        <v>0</v>
      </c>
      <c r="M46" s="6">
        <f t="shared" si="3"/>
        <v>0</v>
      </c>
      <c r="N46" s="6">
        <f t="shared" si="4"/>
        <v>0</v>
      </c>
      <c r="O46" s="6">
        <f t="shared" si="13"/>
        <v>0</v>
      </c>
      <c r="P46" s="6">
        <f>SUMIF('JUNE (물량흐름)'!$C$13:$C$502,C46,'JUNE (물량흐름)'!$T$13:$T$502)+SUMIF('JUNE (물량흐름)'!$C$13:$C$502,C46,'JUNE (물량흐름)'!$V$13:$V$502)+SUMIF('JUNE (물량흐름)'!$C$13:$C$502,C46,'JUNE (물량흐름)'!$U$13:$U$502)-SUMIF('JUNE (물량흐름)'!$C$13:$C$502,C46,'JUNE (물량흐름)'!$Y$13:$Y$502)</f>
        <v>0</v>
      </c>
      <c r="Q46" s="6">
        <f t="shared" si="5"/>
        <v>0</v>
      </c>
      <c r="R46" s="6">
        <f>ROUND(IF(ISERROR(VLOOKUP(#REF!,'WIP(재공품)'!$B$12:$AB$38,13,0)),0,VLOOKUP(#REF!,'WIP(재공품)'!$B$12:$AB$38,13,0)),0)</f>
        <v>0</v>
      </c>
      <c r="S46" s="6">
        <f>IF(ISERROR(VLOOKUP(#REF!,'WIP(재공품)'!$B$12:$AB$38,10,0)),0,VLOOKUP(#REF!,'WIP(재공품)'!$B$12:$AB$38,10,0))</f>
        <v>0</v>
      </c>
      <c r="T46" s="6">
        <f>SUMIF('JUNE (물량흐름)'!$C$13:$C$502,'Direct labour(직접노무비)'!C46,'JUNE (물량흐름)'!$Y$13:$Y$502)</f>
        <v>0</v>
      </c>
      <c r="U46" s="6">
        <f t="shared" si="6"/>
        <v>0</v>
      </c>
      <c r="V46" s="6">
        <f>ROUND(SUMIF('JUNE (물량흐름)'!$C$13:$C$502,'Direct labour(직접노무비)'!C46,'JUNE (물량흐름)'!$N$13:$N$502),0)</f>
        <v>0</v>
      </c>
      <c r="W46" s="6">
        <f>ROUND(SUMIF('JUNE (물량흐름)'!$C$13:$C$502,'Direct labour(직접노무비)'!C46,'JUNE (물량흐름)'!$O$13:$O$502),0)</f>
        <v>0</v>
      </c>
      <c r="X46" s="6">
        <f>ROUND(SUMIF('JUNE (물량흐름)'!$C$13:$C$502,'Direct labour(직접노무비)'!C46,'JUNE (물량흐름)'!$P$13:$P$502),0)</f>
        <v>81</v>
      </c>
      <c r="Y46" s="6">
        <f t="shared" si="7"/>
        <v>81</v>
      </c>
      <c r="Z46" s="6">
        <f t="shared" si="8"/>
        <v>65</v>
      </c>
      <c r="AA46" s="6">
        <f t="shared" si="9"/>
        <v>641364</v>
      </c>
      <c r="AB46" s="389">
        <f t="shared" si="10"/>
        <v>0</v>
      </c>
      <c r="AC46" s="389">
        <f t="shared" si="11"/>
        <v>0</v>
      </c>
      <c r="AD46" s="389">
        <f t="shared" si="12"/>
        <v>0</v>
      </c>
    </row>
    <row r="47" spans="1:30" s="390" customFormat="1" ht="15" customHeight="1">
      <c r="A47" s="167">
        <v>36</v>
      </c>
      <c r="B47" s="267" t="str">
        <f>VLOOKUP(A47,'JUNE (물량흐름)'!$A$13:$C$502,2,0)</f>
        <v>ALFANI</v>
      </c>
      <c r="C47" s="240">
        <f>VLOOKUP(A47,'JUNE (물량흐름)'!$A$13:$C$502,3,0)</f>
        <v>100005621</v>
      </c>
      <c r="D47" s="6">
        <f>VLOOKUP(C47,'WIP(재공품)'!$B$12:$E$493,4,0)</f>
        <v>7936.2499999999991</v>
      </c>
      <c r="E47" s="6">
        <f>IFERROR(VLOOKUP(C47,O.B.JUNE!$AA$7:$AG$448,2,0),0)</f>
        <v>0</v>
      </c>
      <c r="F47" s="6">
        <f>IFERROR(VLOOKUP(C47,O.B.JUNE!$AA$7:$AG$448,3,0),0)</f>
        <v>0</v>
      </c>
      <c r="G47" s="6">
        <f>IFERROR(VLOOKUP(C47,O.B.JUNE!$AA$7:$AD$448,4,0),0)</f>
        <v>56</v>
      </c>
      <c r="H47" s="6">
        <f t="shared" si="2"/>
        <v>56</v>
      </c>
      <c r="I47" s="6">
        <f>IFERROR(VLOOKUP(C47,O.B.JUNE!$AA$7:$AF$448,6,0),0)</f>
        <v>45</v>
      </c>
      <c r="J47" s="6"/>
      <c r="K47" s="6">
        <f>IFERROR(VLOOKUP(C47,O.B.JUNE!$AA$7:$AG$448,7,0),0)</f>
        <v>1614622</v>
      </c>
      <c r="L47" s="6">
        <f>SUMIF('JUNE (물량흐름)'!$C$13:$C$502,'Direct labour(직접노무비)'!C47,'JUNE (물량흐름)'!$H$13:$H$502)+SUMIF('JUNE (물량흐름)'!$C$13:$C$502,'Direct labour(직접노무비)'!C47,'JUNE (물량흐름)'!$I$13:$I$502)</f>
        <v>0</v>
      </c>
      <c r="M47" s="6">
        <f t="shared" si="3"/>
        <v>0</v>
      </c>
      <c r="N47" s="6">
        <f t="shared" si="4"/>
        <v>0</v>
      </c>
      <c r="O47" s="6">
        <f t="shared" si="13"/>
        <v>0</v>
      </c>
      <c r="P47" s="6">
        <f>SUMIF('JUNE (물량흐름)'!$C$13:$C$502,C47,'JUNE (물량흐름)'!$T$13:$T$502)+SUMIF('JUNE (물량흐름)'!$C$13:$C$502,C47,'JUNE (물량흐름)'!$V$13:$V$502)+SUMIF('JUNE (물량흐름)'!$C$13:$C$502,C47,'JUNE (물량흐름)'!$U$13:$U$502)-SUMIF('JUNE (물량흐름)'!$C$13:$C$502,C47,'JUNE (물량흐름)'!$Y$13:$Y$502)</f>
        <v>56</v>
      </c>
      <c r="Q47" s="6">
        <f t="shared" si="5"/>
        <v>1614622</v>
      </c>
      <c r="R47" s="6">
        <f>ROUND(IF(ISERROR(VLOOKUP(#REF!,'WIP(재공품)'!$B$12:$AB$38,13,0)),0,VLOOKUP(#REF!,'WIP(재공품)'!$B$12:$AB$38,13,0)),0)</f>
        <v>0</v>
      </c>
      <c r="S47" s="6">
        <f>IF(ISERROR(VLOOKUP(#REF!,'WIP(재공품)'!$B$12:$AB$38,10,0)),0,VLOOKUP(#REF!,'WIP(재공품)'!$B$12:$AB$38,10,0))</f>
        <v>0</v>
      </c>
      <c r="T47" s="6">
        <f>SUMIF('JUNE (물량흐름)'!$C$13:$C$502,'Direct labour(직접노무비)'!C47,'JUNE (물량흐름)'!$Y$13:$Y$502)</f>
        <v>0</v>
      </c>
      <c r="U47" s="6">
        <f t="shared" si="6"/>
        <v>0</v>
      </c>
      <c r="V47" s="6">
        <f>ROUND(SUMIF('JUNE (물량흐름)'!$C$13:$C$502,'Direct labour(직접노무비)'!C47,'JUNE (물량흐름)'!$N$13:$N$502),0)</f>
        <v>0</v>
      </c>
      <c r="W47" s="6">
        <f>ROUND(SUMIF('JUNE (물량흐름)'!$C$13:$C$502,'Direct labour(직접노무비)'!C47,'JUNE (물량흐름)'!$O$13:$O$502),0)</f>
        <v>0</v>
      </c>
      <c r="X47" s="6">
        <f>ROUND(SUMIF('JUNE (물량흐름)'!$C$13:$C$502,'Direct labour(직접노무비)'!C47,'JUNE (물량흐름)'!$P$13:$P$502),0)</f>
        <v>0</v>
      </c>
      <c r="Y47" s="6">
        <f t="shared" si="7"/>
        <v>0</v>
      </c>
      <c r="Z47" s="6">
        <f t="shared" si="8"/>
        <v>0</v>
      </c>
      <c r="AA47" s="6">
        <f t="shared" si="9"/>
        <v>0</v>
      </c>
      <c r="AB47" s="389">
        <f t="shared" si="10"/>
        <v>0</v>
      </c>
      <c r="AC47" s="389">
        <f t="shared" si="11"/>
        <v>0</v>
      </c>
      <c r="AD47" s="389">
        <f t="shared" si="12"/>
        <v>0</v>
      </c>
    </row>
    <row r="48" spans="1:30" s="390" customFormat="1" ht="15" customHeight="1">
      <c r="A48" s="167">
        <v>37</v>
      </c>
      <c r="B48" s="267" t="str">
        <f>VLOOKUP(A48,'JUNE (물량흐름)'!$A$13:$C$502,2,0)</f>
        <v>ALFANI</v>
      </c>
      <c r="C48" s="240">
        <f>VLOOKUP(A48,'JUNE (물량흐름)'!$A$13:$C$502,3,0)</f>
        <v>100005705</v>
      </c>
      <c r="D48" s="6">
        <f>VLOOKUP(C48,'WIP(재공품)'!$B$12:$E$493,4,0)</f>
        <v>7936.2499999999991</v>
      </c>
      <c r="E48" s="6">
        <f>IFERROR(VLOOKUP(C48,O.B.JUNE!$AA$7:$AG$448,2,0),0)</f>
        <v>0</v>
      </c>
      <c r="F48" s="6">
        <f>IFERROR(VLOOKUP(C48,O.B.JUNE!$AA$7:$AG$448,3,0),0)</f>
        <v>69</v>
      </c>
      <c r="G48" s="6">
        <f>IFERROR(VLOOKUP(C48,O.B.JUNE!$AA$7:$AD$448,4,0),0)</f>
        <v>283</v>
      </c>
      <c r="H48" s="6">
        <f t="shared" si="2"/>
        <v>352</v>
      </c>
      <c r="I48" s="6">
        <f>IFERROR(VLOOKUP(C48,O.B.JUNE!$AA$7:$AF$448,6,0),0)</f>
        <v>261</v>
      </c>
      <c r="J48" s="6"/>
      <c r="K48" s="6">
        <f>IFERROR(VLOOKUP(C48,O.B.JUNE!$AA$7:$AG$448,7,0),0)</f>
        <v>4115074</v>
      </c>
      <c r="L48" s="6">
        <f>SUMIF('JUNE (물량흐름)'!$C$13:$C$502,'Direct labour(직접노무비)'!C48,'JUNE (물량흐름)'!$H$13:$H$502)+SUMIF('JUNE (물량흐름)'!$C$13:$C$502,'Direct labour(직접노무비)'!C48,'JUNE (물량흐름)'!$I$13:$I$502)</f>
        <v>0</v>
      </c>
      <c r="M48" s="6">
        <f t="shared" si="3"/>
        <v>0</v>
      </c>
      <c r="N48" s="6">
        <f t="shared" si="4"/>
        <v>0</v>
      </c>
      <c r="O48" s="6">
        <f t="shared" si="13"/>
        <v>0</v>
      </c>
      <c r="P48" s="6">
        <f>SUMIF('JUNE (물량흐름)'!$C$13:$C$502,C48,'JUNE (물량흐름)'!$T$13:$T$502)+SUMIF('JUNE (물량흐름)'!$C$13:$C$502,C48,'JUNE (물량흐름)'!$V$13:$V$502)+SUMIF('JUNE (물량흐름)'!$C$13:$C$502,C48,'JUNE (물량흐름)'!$U$13:$U$502)-SUMIF('JUNE (물량흐름)'!$C$13:$C$502,C48,'JUNE (물량흐름)'!$Y$13:$Y$502)</f>
        <v>0</v>
      </c>
      <c r="Q48" s="6">
        <f t="shared" si="5"/>
        <v>0</v>
      </c>
      <c r="R48" s="6">
        <f>ROUND(IF(ISERROR(VLOOKUP(#REF!,'WIP(재공품)'!$B$12:$AB$38,13,0)),0,VLOOKUP(#REF!,'WIP(재공품)'!$B$12:$AB$38,13,0)),0)</f>
        <v>0</v>
      </c>
      <c r="S48" s="6">
        <f>IF(ISERROR(VLOOKUP(#REF!,'WIP(재공품)'!$B$12:$AB$38,10,0)),0,VLOOKUP(#REF!,'WIP(재공품)'!$B$12:$AB$38,10,0))</f>
        <v>0</v>
      </c>
      <c r="T48" s="6">
        <f>SUMIF('JUNE (물량흐름)'!$C$13:$C$502,'Direct labour(직접노무비)'!C48,'JUNE (물량흐름)'!$Y$13:$Y$502)</f>
        <v>0</v>
      </c>
      <c r="U48" s="6">
        <f t="shared" si="6"/>
        <v>0</v>
      </c>
      <c r="V48" s="6">
        <f>ROUND(SUMIF('JUNE (물량흐름)'!$C$13:$C$502,'Direct labour(직접노무비)'!C48,'JUNE (물량흐름)'!$N$13:$N$502),0)</f>
        <v>0</v>
      </c>
      <c r="W48" s="6">
        <f>ROUND(SUMIF('JUNE (물량흐름)'!$C$13:$C$502,'Direct labour(직접노무비)'!C48,'JUNE (물량흐름)'!$O$13:$O$502),0)</f>
        <v>69</v>
      </c>
      <c r="X48" s="6">
        <f>ROUND(SUMIF('JUNE (물량흐름)'!$C$13:$C$502,'Direct labour(직접노무비)'!C48,'JUNE (물량흐름)'!$P$13:$P$502),0)</f>
        <v>283</v>
      </c>
      <c r="Y48" s="6">
        <f t="shared" si="7"/>
        <v>352</v>
      </c>
      <c r="Z48" s="6">
        <f t="shared" si="8"/>
        <v>261</v>
      </c>
      <c r="AA48" s="6">
        <f t="shared" si="9"/>
        <v>4115074</v>
      </c>
      <c r="AB48" s="389">
        <f t="shared" si="10"/>
        <v>0</v>
      </c>
      <c r="AC48" s="389">
        <f t="shared" si="11"/>
        <v>0</v>
      </c>
      <c r="AD48" s="389">
        <f t="shared" si="12"/>
        <v>0</v>
      </c>
    </row>
    <row r="49" spans="1:30" s="390" customFormat="1" ht="15" customHeight="1">
      <c r="A49" s="167">
        <v>38</v>
      </c>
      <c r="B49" s="267" t="str">
        <f>VLOOKUP(A49,'JUNE (물량흐름)'!$A$13:$C$502,2,0)</f>
        <v>ALFANI</v>
      </c>
      <c r="C49" s="240">
        <f>VLOOKUP(A49,'JUNE (물량흐름)'!$A$13:$C$502,3,0)</f>
        <v>100005710</v>
      </c>
      <c r="D49" s="6">
        <f>VLOOKUP(C49,'WIP(재공품)'!$B$12:$E$493,4,0)</f>
        <v>7936.2499999999991</v>
      </c>
      <c r="E49" s="6">
        <f>IFERROR(VLOOKUP(C49,O.B.JUNE!$AA$7:$AG$448,2,0),0)</f>
        <v>0</v>
      </c>
      <c r="F49" s="6">
        <f>IFERROR(VLOOKUP(C49,O.B.JUNE!$AA$7:$AG$448,3,0),0)</f>
        <v>69</v>
      </c>
      <c r="G49" s="6">
        <f>IFERROR(VLOOKUP(C49,O.B.JUNE!$AA$7:$AD$448,4,0),0)</f>
        <v>40</v>
      </c>
      <c r="H49" s="6">
        <f t="shared" si="2"/>
        <v>109</v>
      </c>
      <c r="I49" s="6">
        <f>IFERROR(VLOOKUP(C49,O.B.JUNE!$AA$7:$AF$448,6,0),0)</f>
        <v>67</v>
      </c>
      <c r="J49" s="6"/>
      <c r="K49" s="6">
        <f>IFERROR(VLOOKUP(C49,O.B.JUNE!$AA$7:$AG$448,7,0),0)</f>
        <v>2112361</v>
      </c>
      <c r="L49" s="6">
        <f>SUMIF('JUNE (물량흐름)'!$C$13:$C$502,'Direct labour(직접노무비)'!C49,'JUNE (물량흐름)'!$H$13:$H$502)+SUMIF('JUNE (물량흐름)'!$C$13:$C$502,'Direct labour(직접노무비)'!C49,'JUNE (물량흐름)'!$I$13:$I$502)</f>
        <v>0</v>
      </c>
      <c r="M49" s="6">
        <f t="shared" si="3"/>
        <v>0</v>
      </c>
      <c r="N49" s="6">
        <f t="shared" si="4"/>
        <v>0</v>
      </c>
      <c r="O49" s="6">
        <f t="shared" si="13"/>
        <v>0</v>
      </c>
      <c r="P49" s="6">
        <f>SUMIF('JUNE (물량흐름)'!$C$13:$C$502,C49,'JUNE (물량흐름)'!$T$13:$T$502)+SUMIF('JUNE (물량흐름)'!$C$13:$C$502,C49,'JUNE (물량흐름)'!$V$13:$V$502)+SUMIF('JUNE (물량흐름)'!$C$13:$C$502,C49,'JUNE (물량흐름)'!$U$13:$U$502)-SUMIF('JUNE (물량흐름)'!$C$13:$C$502,C49,'JUNE (물량흐름)'!$Y$13:$Y$502)</f>
        <v>0</v>
      </c>
      <c r="Q49" s="6">
        <f t="shared" si="5"/>
        <v>0</v>
      </c>
      <c r="R49" s="6">
        <f>ROUND(IF(ISERROR(VLOOKUP(#REF!,'WIP(재공품)'!$B$12:$AB$38,13,0)),0,VLOOKUP(#REF!,'WIP(재공품)'!$B$12:$AB$38,13,0)),0)</f>
        <v>0</v>
      </c>
      <c r="S49" s="6">
        <f>IF(ISERROR(VLOOKUP(#REF!,'WIP(재공품)'!$B$12:$AB$38,10,0)),0,VLOOKUP(#REF!,'WIP(재공품)'!$B$12:$AB$38,10,0))</f>
        <v>0</v>
      </c>
      <c r="T49" s="6">
        <f>SUMIF('JUNE (물량흐름)'!$C$13:$C$502,'Direct labour(직접노무비)'!C49,'JUNE (물량흐름)'!$Y$13:$Y$502)</f>
        <v>0</v>
      </c>
      <c r="U49" s="6">
        <f t="shared" si="6"/>
        <v>0</v>
      </c>
      <c r="V49" s="6">
        <f>ROUND(SUMIF('JUNE (물량흐름)'!$C$13:$C$502,'Direct labour(직접노무비)'!C49,'JUNE (물량흐름)'!$N$13:$N$502),0)</f>
        <v>0</v>
      </c>
      <c r="W49" s="6">
        <f>ROUND(SUMIF('JUNE (물량흐름)'!$C$13:$C$502,'Direct labour(직접노무비)'!C49,'JUNE (물량흐름)'!$O$13:$O$502),0)</f>
        <v>69</v>
      </c>
      <c r="X49" s="6">
        <f>ROUND(SUMIF('JUNE (물량흐름)'!$C$13:$C$502,'Direct labour(직접노무비)'!C49,'JUNE (물량흐름)'!$P$13:$P$502),0)</f>
        <v>40</v>
      </c>
      <c r="Y49" s="6">
        <f t="shared" si="7"/>
        <v>109</v>
      </c>
      <c r="Z49" s="6">
        <f t="shared" si="8"/>
        <v>67</v>
      </c>
      <c r="AA49" s="6">
        <f t="shared" si="9"/>
        <v>2112361</v>
      </c>
      <c r="AB49" s="389">
        <f t="shared" si="10"/>
        <v>0</v>
      </c>
      <c r="AC49" s="389">
        <f t="shared" si="11"/>
        <v>0</v>
      </c>
      <c r="AD49" s="389">
        <f t="shared" si="12"/>
        <v>0</v>
      </c>
    </row>
    <row r="50" spans="1:30" s="390" customFormat="1" ht="15" customHeight="1">
      <c r="A50" s="167">
        <v>39</v>
      </c>
      <c r="B50" s="267" t="str">
        <f>VLOOKUP(A50,'JUNE (물량흐름)'!$A$13:$C$502,2,0)</f>
        <v>ALFANI</v>
      </c>
      <c r="C50" s="240">
        <f>VLOOKUP(A50,'JUNE (물량흐름)'!$A$13:$C$502,3,0)</f>
        <v>100008197</v>
      </c>
      <c r="D50" s="6">
        <f>VLOOKUP(C50,'WIP(재공품)'!$B$12:$E$493,4,0)</f>
        <v>8163</v>
      </c>
      <c r="E50" s="6">
        <f>IFERROR(VLOOKUP(C50,O.B.JUNE!$AA$7:$AG$448,2,0),0)</f>
        <v>0</v>
      </c>
      <c r="F50" s="6">
        <f>IFERROR(VLOOKUP(C50,O.B.JUNE!$AA$7:$AG$448,3,0),0)</f>
        <v>0</v>
      </c>
      <c r="G50" s="6">
        <f>IFERROR(VLOOKUP(C50,O.B.JUNE!$AA$7:$AD$448,4,0),0)</f>
        <v>461</v>
      </c>
      <c r="H50" s="6">
        <f t="shared" si="2"/>
        <v>461</v>
      </c>
      <c r="I50" s="6">
        <f>IFERROR(VLOOKUP(C50,O.B.JUNE!$AA$7:$AF$448,6,0),0)</f>
        <v>369</v>
      </c>
      <c r="J50" s="6"/>
      <c r="K50" s="6">
        <f>IFERROR(VLOOKUP(C50,O.B.JUNE!$AA$7:$AG$448,7,0),0)</f>
        <v>4170768</v>
      </c>
      <c r="L50" s="6">
        <f>SUMIF('JUNE (물량흐름)'!$C$13:$C$502,'Direct labour(직접노무비)'!C50,'JUNE (물량흐름)'!$H$13:$H$502)+SUMIF('JUNE (물량흐름)'!$C$13:$C$502,'Direct labour(직접노무비)'!C50,'JUNE (물량흐름)'!$I$13:$I$502)</f>
        <v>0</v>
      </c>
      <c r="M50" s="6">
        <f t="shared" si="3"/>
        <v>0</v>
      </c>
      <c r="N50" s="6">
        <f t="shared" si="4"/>
        <v>0</v>
      </c>
      <c r="O50" s="6">
        <f t="shared" si="13"/>
        <v>0</v>
      </c>
      <c r="P50" s="6">
        <f>SUMIF('JUNE (물량흐름)'!$C$13:$C$502,C50,'JUNE (물량흐름)'!$T$13:$T$502)+SUMIF('JUNE (물량흐름)'!$C$13:$C$502,C50,'JUNE (물량흐름)'!$V$13:$V$502)+SUMIF('JUNE (물량흐름)'!$C$13:$C$502,C50,'JUNE (물량흐름)'!$U$13:$U$502)-SUMIF('JUNE (물량흐름)'!$C$13:$C$502,C50,'JUNE (물량흐름)'!$Y$13:$Y$502)</f>
        <v>0</v>
      </c>
      <c r="Q50" s="6">
        <f t="shared" si="5"/>
        <v>0</v>
      </c>
      <c r="R50" s="6">
        <f>ROUND(IF(ISERROR(VLOOKUP(#REF!,'WIP(재공품)'!$B$12:$AB$38,13,0)),0,VLOOKUP(#REF!,'WIP(재공품)'!$B$12:$AB$38,13,0)),0)</f>
        <v>0</v>
      </c>
      <c r="S50" s="6">
        <f>IF(ISERROR(VLOOKUP(#REF!,'WIP(재공품)'!$B$12:$AB$38,10,0)),0,VLOOKUP(#REF!,'WIP(재공품)'!$B$12:$AB$38,10,0))</f>
        <v>0</v>
      </c>
      <c r="T50" s="6">
        <f>SUMIF('JUNE (물량흐름)'!$C$13:$C$502,'Direct labour(직접노무비)'!C50,'JUNE (물량흐름)'!$Y$13:$Y$502)</f>
        <v>0</v>
      </c>
      <c r="U50" s="6">
        <f t="shared" si="6"/>
        <v>0</v>
      </c>
      <c r="V50" s="6">
        <f>ROUND(SUMIF('JUNE (물량흐름)'!$C$13:$C$502,'Direct labour(직접노무비)'!C50,'JUNE (물량흐름)'!$N$13:$N$502),0)</f>
        <v>0</v>
      </c>
      <c r="W50" s="6">
        <f>ROUND(SUMIF('JUNE (물량흐름)'!$C$13:$C$502,'Direct labour(직접노무비)'!C50,'JUNE (물량흐름)'!$O$13:$O$502),0)</f>
        <v>0</v>
      </c>
      <c r="X50" s="6">
        <f>ROUND(SUMIF('JUNE (물량흐름)'!$C$13:$C$502,'Direct labour(직접노무비)'!C50,'JUNE (물량흐름)'!$P$13:$P$502),0)</f>
        <v>461</v>
      </c>
      <c r="Y50" s="6">
        <f t="shared" si="7"/>
        <v>461</v>
      </c>
      <c r="Z50" s="6">
        <f t="shared" si="8"/>
        <v>369</v>
      </c>
      <c r="AA50" s="6">
        <f t="shared" si="9"/>
        <v>4170768</v>
      </c>
      <c r="AB50" s="389">
        <f t="shared" si="10"/>
        <v>0</v>
      </c>
      <c r="AC50" s="389">
        <f t="shared" si="11"/>
        <v>0</v>
      </c>
      <c r="AD50" s="389">
        <f t="shared" si="12"/>
        <v>0</v>
      </c>
    </row>
    <row r="51" spans="1:30" s="390" customFormat="1" ht="15" customHeight="1">
      <c r="A51" s="167">
        <v>40</v>
      </c>
      <c r="B51" s="267" t="str">
        <f>VLOOKUP(A51,'JUNE (물량흐름)'!$A$13:$C$502,2,0)</f>
        <v>ALFANI</v>
      </c>
      <c r="C51" s="240">
        <f>VLOOKUP(A51,'JUNE (물량흐름)'!$A$13:$C$502,3,0)</f>
        <v>100008887</v>
      </c>
      <c r="D51" s="6">
        <f>VLOOKUP(C51,'WIP(재공품)'!$B$12:$E$493,4,0)</f>
        <v>8163</v>
      </c>
      <c r="E51" s="6">
        <f>IFERROR(VLOOKUP(C51,O.B.JUNE!$AA$7:$AG$448,2,0),0)</f>
        <v>0</v>
      </c>
      <c r="F51" s="6">
        <f>IFERROR(VLOOKUP(C51,O.B.JUNE!$AA$7:$AG$448,3,0),0)</f>
        <v>0</v>
      </c>
      <c r="G51" s="6">
        <f>IFERROR(VLOOKUP(C51,O.B.JUNE!$AA$7:$AD$448,4,0),0)</f>
        <v>200</v>
      </c>
      <c r="H51" s="6">
        <f t="shared" si="2"/>
        <v>200</v>
      </c>
      <c r="I51" s="6">
        <f>IFERROR(VLOOKUP(C51,O.B.JUNE!$AA$7:$AF$448,6,0),0)</f>
        <v>160</v>
      </c>
      <c r="J51" s="6"/>
      <c r="K51" s="6">
        <f>IFERROR(VLOOKUP(C51,O.B.JUNE!$AA$7:$AG$448,7,0),0)</f>
        <v>3875093</v>
      </c>
      <c r="L51" s="6">
        <f>SUMIF('JUNE (물량흐름)'!$C$13:$C$502,'Direct labour(직접노무비)'!C51,'JUNE (물량흐름)'!$H$13:$H$502)+SUMIF('JUNE (물량흐름)'!$C$13:$C$502,'Direct labour(직접노무비)'!C51,'JUNE (물량흐름)'!$I$13:$I$502)</f>
        <v>0</v>
      </c>
      <c r="M51" s="6">
        <f t="shared" si="3"/>
        <v>0</v>
      </c>
      <c r="N51" s="6">
        <f t="shared" si="4"/>
        <v>0</v>
      </c>
      <c r="O51" s="6">
        <f t="shared" si="13"/>
        <v>0</v>
      </c>
      <c r="P51" s="6">
        <f>SUMIF('JUNE (물량흐름)'!$C$13:$C$502,C51,'JUNE (물량흐름)'!$T$13:$T$502)+SUMIF('JUNE (물량흐름)'!$C$13:$C$502,C51,'JUNE (물량흐름)'!$V$13:$V$502)+SUMIF('JUNE (물량흐름)'!$C$13:$C$502,C51,'JUNE (물량흐름)'!$U$13:$U$502)-SUMIF('JUNE (물량흐름)'!$C$13:$C$502,C51,'JUNE (물량흐름)'!$Y$13:$Y$502)</f>
        <v>0</v>
      </c>
      <c r="Q51" s="6">
        <f t="shared" si="5"/>
        <v>0</v>
      </c>
      <c r="R51" s="6">
        <f>ROUND(IF(ISERROR(VLOOKUP(#REF!,'WIP(재공품)'!$B$12:$AB$38,13,0)),0,VLOOKUP(#REF!,'WIP(재공품)'!$B$12:$AB$38,13,0)),0)</f>
        <v>0</v>
      </c>
      <c r="S51" s="6">
        <f>IF(ISERROR(VLOOKUP(#REF!,'WIP(재공품)'!$B$12:$AB$38,10,0)),0,VLOOKUP(#REF!,'WIP(재공품)'!$B$12:$AB$38,10,0))</f>
        <v>0</v>
      </c>
      <c r="T51" s="6">
        <f>SUMIF('JUNE (물량흐름)'!$C$13:$C$502,'Direct labour(직접노무비)'!C51,'JUNE (물량흐름)'!$Y$13:$Y$502)</f>
        <v>0</v>
      </c>
      <c r="U51" s="6">
        <f t="shared" si="6"/>
        <v>0</v>
      </c>
      <c r="V51" s="6">
        <f>ROUND(SUMIF('JUNE (물량흐름)'!$C$13:$C$502,'Direct labour(직접노무비)'!C51,'JUNE (물량흐름)'!$N$13:$N$502),0)</f>
        <v>0</v>
      </c>
      <c r="W51" s="6">
        <f>ROUND(SUMIF('JUNE (물량흐름)'!$C$13:$C$502,'Direct labour(직접노무비)'!C51,'JUNE (물량흐름)'!$O$13:$O$502),0)</f>
        <v>0</v>
      </c>
      <c r="X51" s="6">
        <f>ROUND(SUMIF('JUNE (물량흐름)'!$C$13:$C$502,'Direct labour(직접노무비)'!C51,'JUNE (물량흐름)'!$P$13:$P$502),0)</f>
        <v>200</v>
      </c>
      <c r="Y51" s="6">
        <f t="shared" si="7"/>
        <v>200</v>
      </c>
      <c r="Z51" s="6">
        <f t="shared" si="8"/>
        <v>160</v>
      </c>
      <c r="AA51" s="6">
        <f t="shared" si="9"/>
        <v>3875093</v>
      </c>
      <c r="AB51" s="389">
        <f t="shared" si="10"/>
        <v>0</v>
      </c>
      <c r="AC51" s="389">
        <f t="shared" si="11"/>
        <v>0</v>
      </c>
      <c r="AD51" s="389">
        <f t="shared" si="12"/>
        <v>0</v>
      </c>
    </row>
    <row r="52" spans="1:30" s="390" customFormat="1" ht="15" customHeight="1">
      <c r="A52" s="167">
        <v>41</v>
      </c>
      <c r="B52" s="267" t="str">
        <f>VLOOKUP(A52,'JUNE (물량흐름)'!$A$13:$C$502,2,0)</f>
        <v>ALFANI</v>
      </c>
      <c r="C52" s="240">
        <f>VLOOKUP(A52,'JUNE (물량흐름)'!$A$13:$C$502,3,0)</f>
        <v>100010879</v>
      </c>
      <c r="D52" s="6">
        <f>VLOOKUP(C52,'WIP(재공품)'!$B$12:$E$493,4,0)</f>
        <v>45350</v>
      </c>
      <c r="E52" s="6">
        <f>IFERROR(VLOOKUP(C52,O.B.JUNE!$AA$7:$AG$448,2,0),0)</f>
        <v>0</v>
      </c>
      <c r="F52" s="6">
        <f>IFERROR(VLOOKUP(C52,O.B.JUNE!$AA$7:$AG$448,3,0),0)</f>
        <v>0</v>
      </c>
      <c r="G52" s="6">
        <f>IFERROR(VLOOKUP(C52,O.B.JUNE!$AA$7:$AD$448,4,0),0)</f>
        <v>250</v>
      </c>
      <c r="H52" s="6">
        <f t="shared" si="2"/>
        <v>250</v>
      </c>
      <c r="I52" s="6">
        <f>IFERROR(VLOOKUP(C52,O.B.JUNE!$AA$7:$AF$448,6,0),0)</f>
        <v>200</v>
      </c>
      <c r="J52" s="6"/>
      <c r="K52" s="6">
        <f>IFERROR(VLOOKUP(C52,O.B.JUNE!$AA$7:$AG$448,7,0),0)</f>
        <v>3841830</v>
      </c>
      <c r="L52" s="6">
        <f>SUMIF('JUNE (물량흐름)'!$C$13:$C$502,'Direct labour(직접노무비)'!C52,'JUNE (물량흐름)'!$H$13:$H$502)+SUMIF('JUNE (물량흐름)'!$C$13:$C$502,'Direct labour(직접노무비)'!C52,'JUNE (물량흐름)'!$I$13:$I$502)</f>
        <v>0</v>
      </c>
      <c r="M52" s="6">
        <f t="shared" si="3"/>
        <v>0</v>
      </c>
      <c r="N52" s="6">
        <f t="shared" si="4"/>
        <v>0</v>
      </c>
      <c r="O52" s="6">
        <f t="shared" si="13"/>
        <v>0</v>
      </c>
      <c r="P52" s="6">
        <f>SUMIF('JUNE (물량흐름)'!$C$13:$C$502,C52,'JUNE (물량흐름)'!$T$13:$T$502)+SUMIF('JUNE (물량흐름)'!$C$13:$C$502,C52,'JUNE (물량흐름)'!$V$13:$V$502)+SUMIF('JUNE (물량흐름)'!$C$13:$C$502,C52,'JUNE (물량흐름)'!$U$13:$U$502)-SUMIF('JUNE (물량흐름)'!$C$13:$C$502,C52,'JUNE (물량흐름)'!$Y$13:$Y$502)</f>
        <v>0</v>
      </c>
      <c r="Q52" s="6">
        <f t="shared" si="5"/>
        <v>0</v>
      </c>
      <c r="R52" s="6">
        <f>ROUND(IF(ISERROR(VLOOKUP(#REF!,'WIP(재공품)'!$B$12:$AB$38,13,0)),0,VLOOKUP(#REF!,'WIP(재공품)'!$B$12:$AB$38,13,0)),0)</f>
        <v>0</v>
      </c>
      <c r="S52" s="6">
        <f>IF(ISERROR(VLOOKUP(#REF!,'WIP(재공품)'!$B$12:$AB$38,10,0)),0,VLOOKUP(#REF!,'WIP(재공품)'!$B$12:$AB$38,10,0))</f>
        <v>0</v>
      </c>
      <c r="T52" s="6">
        <f>SUMIF('JUNE (물량흐름)'!$C$13:$C$502,'Direct labour(직접노무비)'!C52,'JUNE (물량흐름)'!$Y$13:$Y$502)</f>
        <v>0</v>
      </c>
      <c r="U52" s="6">
        <f t="shared" si="6"/>
        <v>0</v>
      </c>
      <c r="V52" s="6">
        <f>ROUND(SUMIF('JUNE (물량흐름)'!$C$13:$C$502,'Direct labour(직접노무비)'!C52,'JUNE (물량흐름)'!$N$13:$N$502),0)</f>
        <v>0</v>
      </c>
      <c r="W52" s="6">
        <f>ROUND(SUMIF('JUNE (물량흐름)'!$C$13:$C$502,'Direct labour(직접노무비)'!C52,'JUNE (물량흐름)'!$O$13:$O$502),0)</f>
        <v>0</v>
      </c>
      <c r="X52" s="6">
        <f>ROUND(SUMIF('JUNE (물량흐름)'!$C$13:$C$502,'Direct labour(직접노무비)'!C52,'JUNE (물량흐름)'!$P$13:$P$502),0)</f>
        <v>250</v>
      </c>
      <c r="Y52" s="6">
        <f t="shared" si="7"/>
        <v>250</v>
      </c>
      <c r="Z52" s="6">
        <f t="shared" si="8"/>
        <v>200</v>
      </c>
      <c r="AA52" s="6">
        <f t="shared" si="9"/>
        <v>3841830</v>
      </c>
      <c r="AB52" s="389">
        <f t="shared" si="10"/>
        <v>0</v>
      </c>
      <c r="AC52" s="389">
        <f t="shared" si="11"/>
        <v>0</v>
      </c>
      <c r="AD52" s="389">
        <f t="shared" si="12"/>
        <v>0</v>
      </c>
    </row>
    <row r="53" spans="1:30" s="390" customFormat="1" ht="15" customHeight="1">
      <c r="A53" s="167">
        <v>42</v>
      </c>
      <c r="B53" s="267" t="str">
        <f>VLOOKUP(A53,'JUNE (물량흐름)'!$A$13:$C$502,2,0)</f>
        <v>ALFANI</v>
      </c>
      <c r="C53" s="240">
        <f>VLOOKUP(A53,'JUNE (물량흐름)'!$A$13:$C$502,3,0)</f>
        <v>100010914</v>
      </c>
      <c r="D53" s="6">
        <f>VLOOKUP(C53,'WIP(재공품)'!$B$12:$E$493,4,0)</f>
        <v>7936.2499999999991</v>
      </c>
      <c r="E53" s="6">
        <f>IFERROR(VLOOKUP(C53,O.B.JUNE!$AA$7:$AG$448,2,0),0)</f>
        <v>0</v>
      </c>
      <c r="F53" s="6">
        <f>IFERROR(VLOOKUP(C53,O.B.JUNE!$AA$7:$AG$448,3,0),0)</f>
        <v>0</v>
      </c>
      <c r="G53" s="6">
        <f>IFERROR(VLOOKUP(C53,O.B.JUNE!$AA$7:$AD$448,4,0),0)</f>
        <v>55</v>
      </c>
      <c r="H53" s="6">
        <f t="shared" si="2"/>
        <v>55</v>
      </c>
      <c r="I53" s="6">
        <f>IFERROR(VLOOKUP(C53,O.B.JUNE!$AA$7:$AF$448,6,0),0)</f>
        <v>44</v>
      </c>
      <c r="J53" s="6"/>
      <c r="K53" s="6">
        <f>IFERROR(VLOOKUP(C53,O.B.JUNE!$AA$7:$AG$448,7,0),0)</f>
        <v>861665</v>
      </c>
      <c r="L53" s="6">
        <f>SUMIF('JUNE (물량흐름)'!$C$13:$C$502,'Direct labour(직접노무비)'!C53,'JUNE (물량흐름)'!$H$13:$H$502)+SUMIF('JUNE (물량흐름)'!$C$13:$C$502,'Direct labour(직접노무비)'!C53,'JUNE (물량흐름)'!$I$13:$I$502)</f>
        <v>0</v>
      </c>
      <c r="M53" s="6">
        <f t="shared" si="3"/>
        <v>0</v>
      </c>
      <c r="N53" s="6">
        <f t="shared" si="4"/>
        <v>0</v>
      </c>
      <c r="O53" s="6">
        <f t="shared" si="13"/>
        <v>0</v>
      </c>
      <c r="P53" s="6">
        <f>SUMIF('JUNE (물량흐름)'!$C$13:$C$502,C53,'JUNE (물량흐름)'!$T$13:$T$502)+SUMIF('JUNE (물량흐름)'!$C$13:$C$502,C53,'JUNE (물량흐름)'!$V$13:$V$502)+SUMIF('JUNE (물량흐름)'!$C$13:$C$502,C53,'JUNE (물량흐름)'!$U$13:$U$502)-SUMIF('JUNE (물량흐름)'!$C$13:$C$502,C53,'JUNE (물량흐름)'!$Y$13:$Y$502)</f>
        <v>0</v>
      </c>
      <c r="Q53" s="6">
        <f t="shared" si="5"/>
        <v>0</v>
      </c>
      <c r="R53" s="6">
        <f>ROUND(IF(ISERROR(VLOOKUP(#REF!,'WIP(재공품)'!$B$12:$AB$38,13,0)),0,VLOOKUP(#REF!,'WIP(재공품)'!$B$12:$AB$38,13,0)),0)</f>
        <v>0</v>
      </c>
      <c r="S53" s="6">
        <f>IF(ISERROR(VLOOKUP(#REF!,'WIP(재공품)'!$B$12:$AB$38,10,0)),0,VLOOKUP(#REF!,'WIP(재공품)'!$B$12:$AB$38,10,0))</f>
        <v>0</v>
      </c>
      <c r="T53" s="6">
        <f>SUMIF('JUNE (물량흐름)'!$C$13:$C$502,'Direct labour(직접노무비)'!C53,'JUNE (물량흐름)'!$Y$13:$Y$502)</f>
        <v>0</v>
      </c>
      <c r="U53" s="6">
        <f t="shared" si="6"/>
        <v>0</v>
      </c>
      <c r="V53" s="6">
        <f>ROUND(SUMIF('JUNE (물량흐름)'!$C$13:$C$502,'Direct labour(직접노무비)'!C53,'JUNE (물량흐름)'!$N$13:$N$502),0)</f>
        <v>0</v>
      </c>
      <c r="W53" s="6">
        <f>ROUND(SUMIF('JUNE (물량흐름)'!$C$13:$C$502,'Direct labour(직접노무비)'!C53,'JUNE (물량흐름)'!$O$13:$O$502),0)</f>
        <v>0</v>
      </c>
      <c r="X53" s="6">
        <f>ROUND(SUMIF('JUNE (물량흐름)'!$C$13:$C$502,'Direct labour(직접노무비)'!C53,'JUNE (물량흐름)'!$P$13:$P$502),0)</f>
        <v>55</v>
      </c>
      <c r="Y53" s="6">
        <f t="shared" si="7"/>
        <v>55</v>
      </c>
      <c r="Z53" s="6">
        <f t="shared" si="8"/>
        <v>44</v>
      </c>
      <c r="AA53" s="6">
        <f t="shared" si="9"/>
        <v>861665</v>
      </c>
      <c r="AB53" s="389">
        <f t="shared" si="10"/>
        <v>0</v>
      </c>
      <c r="AC53" s="389">
        <f t="shared" si="11"/>
        <v>0</v>
      </c>
      <c r="AD53" s="389">
        <f t="shared" si="12"/>
        <v>0</v>
      </c>
    </row>
    <row r="54" spans="1:30" s="390" customFormat="1" ht="15" customHeight="1">
      <c r="A54" s="167">
        <v>43</v>
      </c>
      <c r="B54" s="267" t="str">
        <f>VLOOKUP(A54,'JUNE (물량흐름)'!$A$13:$C$502,2,0)</f>
        <v>ALFANI</v>
      </c>
      <c r="C54" s="240">
        <f>VLOOKUP(A54,'JUNE (물량흐름)'!$A$13:$C$502,3,0)</f>
        <v>100011006</v>
      </c>
      <c r="D54" s="6">
        <f>VLOOKUP(C54,'WIP(재공품)'!$B$12:$E$493,4,0)</f>
        <v>7936.2499999999991</v>
      </c>
      <c r="E54" s="6">
        <f>IFERROR(VLOOKUP(C54,O.B.JUNE!$AA$7:$AG$448,2,0),0)</f>
        <v>0</v>
      </c>
      <c r="F54" s="6">
        <f>IFERROR(VLOOKUP(C54,O.B.JUNE!$AA$7:$AG$448,3,0),0)</f>
        <v>0</v>
      </c>
      <c r="G54" s="6">
        <f>IFERROR(VLOOKUP(C54,O.B.JUNE!$AA$7:$AD$448,4,0),0)</f>
        <v>94</v>
      </c>
      <c r="H54" s="6">
        <f t="shared" si="2"/>
        <v>94</v>
      </c>
      <c r="I54" s="6">
        <f>IFERROR(VLOOKUP(C54,O.B.JUNE!$AA$7:$AF$448,6,0),0)</f>
        <v>75</v>
      </c>
      <c r="J54" s="6"/>
      <c r="K54" s="6">
        <f>IFERROR(VLOOKUP(C54,O.B.JUNE!$AA$7:$AG$448,7,0),0)</f>
        <v>1080212</v>
      </c>
      <c r="L54" s="6">
        <f>SUMIF('JUNE (물량흐름)'!$C$13:$C$502,'Direct labour(직접노무비)'!C54,'JUNE (물량흐름)'!$H$13:$H$502)+SUMIF('JUNE (물량흐름)'!$C$13:$C$502,'Direct labour(직접노무비)'!C54,'JUNE (물량흐름)'!$I$13:$I$502)</f>
        <v>0</v>
      </c>
      <c r="M54" s="6">
        <f t="shared" si="3"/>
        <v>0</v>
      </c>
      <c r="N54" s="6">
        <f t="shared" si="4"/>
        <v>0</v>
      </c>
      <c r="O54" s="6">
        <f t="shared" si="13"/>
        <v>0</v>
      </c>
      <c r="P54" s="6">
        <f>SUMIF('JUNE (물량흐름)'!$C$13:$C$502,C54,'JUNE (물량흐름)'!$T$13:$T$502)+SUMIF('JUNE (물량흐름)'!$C$13:$C$502,C54,'JUNE (물량흐름)'!$V$13:$V$502)+SUMIF('JUNE (물량흐름)'!$C$13:$C$502,C54,'JUNE (물량흐름)'!$U$13:$U$502)-SUMIF('JUNE (물량흐름)'!$C$13:$C$502,C54,'JUNE (물량흐름)'!$Y$13:$Y$502)</f>
        <v>0</v>
      </c>
      <c r="Q54" s="6">
        <f t="shared" si="5"/>
        <v>0</v>
      </c>
      <c r="R54" s="6">
        <f>ROUND(IF(ISERROR(VLOOKUP(#REF!,'WIP(재공품)'!$B$12:$AB$38,13,0)),0,VLOOKUP(#REF!,'WIP(재공품)'!$B$12:$AB$38,13,0)),0)</f>
        <v>0</v>
      </c>
      <c r="S54" s="6">
        <f>IF(ISERROR(VLOOKUP(#REF!,'WIP(재공품)'!$B$12:$AB$38,10,0)),0,VLOOKUP(#REF!,'WIP(재공품)'!$B$12:$AB$38,10,0))</f>
        <v>0</v>
      </c>
      <c r="T54" s="6">
        <f>SUMIF('JUNE (물량흐름)'!$C$13:$C$502,'Direct labour(직접노무비)'!C54,'JUNE (물량흐름)'!$Y$13:$Y$502)</f>
        <v>0</v>
      </c>
      <c r="U54" s="6">
        <f t="shared" si="6"/>
        <v>0</v>
      </c>
      <c r="V54" s="6">
        <f>ROUND(SUMIF('JUNE (물량흐름)'!$C$13:$C$502,'Direct labour(직접노무비)'!C54,'JUNE (물량흐름)'!$N$13:$N$502),0)</f>
        <v>0</v>
      </c>
      <c r="W54" s="6">
        <f>ROUND(SUMIF('JUNE (물량흐름)'!$C$13:$C$502,'Direct labour(직접노무비)'!C54,'JUNE (물량흐름)'!$O$13:$O$502),0)</f>
        <v>0</v>
      </c>
      <c r="X54" s="6">
        <f>ROUND(SUMIF('JUNE (물량흐름)'!$C$13:$C$502,'Direct labour(직접노무비)'!C54,'JUNE (물량흐름)'!$P$13:$P$502),0)</f>
        <v>94</v>
      </c>
      <c r="Y54" s="6">
        <f t="shared" si="7"/>
        <v>94</v>
      </c>
      <c r="Z54" s="6">
        <f t="shared" si="8"/>
        <v>75</v>
      </c>
      <c r="AA54" s="6">
        <f t="shared" si="9"/>
        <v>1080212</v>
      </c>
      <c r="AB54" s="389">
        <f t="shared" si="10"/>
        <v>0</v>
      </c>
      <c r="AC54" s="389">
        <f t="shared" si="11"/>
        <v>0</v>
      </c>
      <c r="AD54" s="389">
        <f t="shared" si="12"/>
        <v>0</v>
      </c>
    </row>
    <row r="55" spans="1:30" s="390" customFormat="1" ht="15" customHeight="1">
      <c r="A55" s="167">
        <v>44</v>
      </c>
      <c r="B55" s="267" t="str">
        <f>VLOOKUP(A55,'JUNE (물량흐름)'!$A$13:$C$502,2,0)</f>
        <v>ALFANI</v>
      </c>
      <c r="C55" s="240">
        <f>VLOOKUP(A55,'JUNE (물량흐름)'!$A$13:$C$502,3,0)</f>
        <v>100011101</v>
      </c>
      <c r="D55" s="6">
        <f>VLOOKUP(C55,'WIP(재공품)'!$B$12:$E$493,4,0)</f>
        <v>8163</v>
      </c>
      <c r="E55" s="6">
        <f>IFERROR(VLOOKUP(C55,O.B.JUNE!$AA$7:$AG$448,2,0),0)</f>
        <v>0</v>
      </c>
      <c r="F55" s="6">
        <f>IFERROR(VLOOKUP(C55,O.B.JUNE!$AA$7:$AG$448,3,0),0)</f>
        <v>0</v>
      </c>
      <c r="G55" s="6">
        <f>IFERROR(VLOOKUP(C55,O.B.JUNE!$AA$7:$AD$448,4,0),0)</f>
        <v>21</v>
      </c>
      <c r="H55" s="6">
        <f t="shared" si="2"/>
        <v>21</v>
      </c>
      <c r="I55" s="6">
        <f>IFERROR(VLOOKUP(C55,O.B.JUNE!$AA$7:$AF$448,6,0),0)</f>
        <v>17</v>
      </c>
      <c r="J55" s="6"/>
      <c r="K55" s="6">
        <f>IFERROR(VLOOKUP(C55,O.B.JUNE!$AA$7:$AG$448,7,0),0)</f>
        <v>165621</v>
      </c>
      <c r="L55" s="6">
        <f>SUMIF('JUNE (물량흐름)'!$C$13:$C$502,'Direct labour(직접노무비)'!C55,'JUNE (물량흐름)'!$H$13:$H$502)+SUMIF('JUNE (물량흐름)'!$C$13:$C$502,'Direct labour(직접노무비)'!C55,'JUNE (물량흐름)'!$I$13:$I$502)</f>
        <v>0</v>
      </c>
      <c r="M55" s="6">
        <f t="shared" si="3"/>
        <v>0</v>
      </c>
      <c r="N55" s="6">
        <f t="shared" si="4"/>
        <v>0</v>
      </c>
      <c r="O55" s="6">
        <f t="shared" si="13"/>
        <v>0</v>
      </c>
      <c r="P55" s="6">
        <f>SUMIF('JUNE (물량흐름)'!$C$13:$C$502,C55,'JUNE (물량흐름)'!$T$13:$T$502)+SUMIF('JUNE (물량흐름)'!$C$13:$C$502,C55,'JUNE (물량흐름)'!$V$13:$V$502)+SUMIF('JUNE (물량흐름)'!$C$13:$C$502,C55,'JUNE (물량흐름)'!$U$13:$U$502)-SUMIF('JUNE (물량흐름)'!$C$13:$C$502,C55,'JUNE (물량흐름)'!$Y$13:$Y$502)</f>
        <v>0</v>
      </c>
      <c r="Q55" s="6">
        <f t="shared" si="5"/>
        <v>0</v>
      </c>
      <c r="R55" s="6">
        <f>ROUND(IF(ISERROR(VLOOKUP(#REF!,'WIP(재공품)'!$B$12:$AB$38,13,0)),0,VLOOKUP(#REF!,'WIP(재공품)'!$B$12:$AB$38,13,0)),0)</f>
        <v>0</v>
      </c>
      <c r="S55" s="6">
        <f>IF(ISERROR(VLOOKUP(#REF!,'WIP(재공품)'!$B$12:$AB$38,10,0)),0,VLOOKUP(#REF!,'WIP(재공품)'!$B$12:$AB$38,10,0))</f>
        <v>0</v>
      </c>
      <c r="T55" s="6">
        <f>SUMIF('JUNE (물량흐름)'!$C$13:$C$502,'Direct labour(직접노무비)'!C55,'JUNE (물량흐름)'!$Y$13:$Y$502)</f>
        <v>0</v>
      </c>
      <c r="U55" s="6">
        <f t="shared" si="6"/>
        <v>0</v>
      </c>
      <c r="V55" s="6">
        <f>ROUND(SUMIF('JUNE (물량흐름)'!$C$13:$C$502,'Direct labour(직접노무비)'!C55,'JUNE (물량흐름)'!$N$13:$N$502),0)</f>
        <v>0</v>
      </c>
      <c r="W55" s="6">
        <f>ROUND(SUMIF('JUNE (물량흐름)'!$C$13:$C$502,'Direct labour(직접노무비)'!C55,'JUNE (물량흐름)'!$O$13:$O$502),0)</f>
        <v>0</v>
      </c>
      <c r="X55" s="6">
        <f>ROUND(SUMIF('JUNE (물량흐름)'!$C$13:$C$502,'Direct labour(직접노무비)'!C55,'JUNE (물량흐름)'!$P$13:$P$502),0)</f>
        <v>21</v>
      </c>
      <c r="Y55" s="6">
        <f t="shared" si="7"/>
        <v>21</v>
      </c>
      <c r="Z55" s="6">
        <f t="shared" si="8"/>
        <v>17</v>
      </c>
      <c r="AA55" s="6">
        <f t="shared" si="9"/>
        <v>165621</v>
      </c>
      <c r="AB55" s="389">
        <f t="shared" si="10"/>
        <v>0</v>
      </c>
      <c r="AC55" s="389">
        <f t="shared" si="11"/>
        <v>0</v>
      </c>
      <c r="AD55" s="389">
        <f t="shared" si="12"/>
        <v>0</v>
      </c>
    </row>
    <row r="56" spans="1:30" s="390" customFormat="1" ht="15" customHeight="1">
      <c r="A56" s="167">
        <v>45</v>
      </c>
      <c r="B56" s="267" t="str">
        <f>VLOOKUP(A56,'JUNE (물량흐름)'!$A$13:$C$502,2,0)</f>
        <v>ALFANI</v>
      </c>
      <c r="C56" s="240">
        <f>VLOOKUP(A56,'JUNE (물량흐름)'!$A$13:$C$502,3,0)</f>
        <v>100011102</v>
      </c>
      <c r="D56" s="6">
        <f>VLOOKUP(C56,'WIP(재공품)'!$B$12:$E$493,4,0)</f>
        <v>7936.2499999999991</v>
      </c>
      <c r="E56" s="6">
        <f>IFERROR(VLOOKUP(C56,O.B.JUNE!$AA$7:$AG$448,2,0),0)</f>
        <v>0</v>
      </c>
      <c r="F56" s="6">
        <f>IFERROR(VLOOKUP(C56,O.B.JUNE!$AA$7:$AG$448,3,0),0)</f>
        <v>0</v>
      </c>
      <c r="G56" s="6">
        <f>IFERROR(VLOOKUP(C56,O.B.JUNE!$AA$7:$AD$448,4,0),0)</f>
        <v>31</v>
      </c>
      <c r="H56" s="6">
        <f t="shared" si="2"/>
        <v>31</v>
      </c>
      <c r="I56" s="6">
        <f>IFERROR(VLOOKUP(C56,O.B.JUNE!$AA$7:$AF$448,6,0),0)</f>
        <v>25</v>
      </c>
      <c r="J56" s="6"/>
      <c r="K56" s="6">
        <f>IFERROR(VLOOKUP(C56,O.B.JUNE!$AA$7:$AG$448,7,0),0)</f>
        <v>244768</v>
      </c>
      <c r="L56" s="6">
        <f>SUMIF('JUNE (물량흐름)'!$C$13:$C$502,'Direct labour(직접노무비)'!C56,'JUNE (물량흐름)'!$H$13:$H$502)+SUMIF('JUNE (물량흐름)'!$C$13:$C$502,'Direct labour(직접노무비)'!C56,'JUNE (물량흐름)'!$I$13:$I$502)</f>
        <v>0</v>
      </c>
      <c r="M56" s="6">
        <f t="shared" si="3"/>
        <v>0</v>
      </c>
      <c r="N56" s="6">
        <f t="shared" si="4"/>
        <v>0</v>
      </c>
      <c r="O56" s="6">
        <f t="shared" si="13"/>
        <v>0</v>
      </c>
      <c r="P56" s="6">
        <f>SUMIF('JUNE (물량흐름)'!$C$13:$C$502,C56,'JUNE (물량흐름)'!$T$13:$T$502)+SUMIF('JUNE (물량흐름)'!$C$13:$C$502,C56,'JUNE (물량흐름)'!$V$13:$V$502)+SUMIF('JUNE (물량흐름)'!$C$13:$C$502,C56,'JUNE (물량흐름)'!$U$13:$U$502)-SUMIF('JUNE (물량흐름)'!$C$13:$C$502,C56,'JUNE (물량흐름)'!$Y$13:$Y$502)</f>
        <v>0</v>
      </c>
      <c r="Q56" s="6">
        <f t="shared" si="5"/>
        <v>0</v>
      </c>
      <c r="R56" s="6">
        <f>ROUND(IF(ISERROR(VLOOKUP(#REF!,'WIP(재공품)'!$B$12:$AB$38,13,0)),0,VLOOKUP(#REF!,'WIP(재공품)'!$B$12:$AB$38,13,0)),0)</f>
        <v>0</v>
      </c>
      <c r="S56" s="6">
        <f>IF(ISERROR(VLOOKUP(#REF!,'WIP(재공품)'!$B$12:$AB$38,10,0)),0,VLOOKUP(#REF!,'WIP(재공품)'!$B$12:$AB$38,10,0))</f>
        <v>0</v>
      </c>
      <c r="T56" s="6">
        <f>SUMIF('JUNE (물량흐름)'!$C$13:$C$502,'Direct labour(직접노무비)'!C56,'JUNE (물량흐름)'!$Y$13:$Y$502)</f>
        <v>0</v>
      </c>
      <c r="U56" s="6">
        <f t="shared" si="6"/>
        <v>0</v>
      </c>
      <c r="V56" s="6">
        <f>ROUND(SUMIF('JUNE (물량흐름)'!$C$13:$C$502,'Direct labour(직접노무비)'!C56,'JUNE (물량흐름)'!$N$13:$N$502),0)</f>
        <v>0</v>
      </c>
      <c r="W56" s="6">
        <f>ROUND(SUMIF('JUNE (물량흐름)'!$C$13:$C$502,'Direct labour(직접노무비)'!C56,'JUNE (물량흐름)'!$O$13:$O$502),0)</f>
        <v>0</v>
      </c>
      <c r="X56" s="6">
        <f>ROUND(SUMIF('JUNE (물량흐름)'!$C$13:$C$502,'Direct labour(직접노무비)'!C56,'JUNE (물량흐름)'!$P$13:$P$502),0)</f>
        <v>31</v>
      </c>
      <c r="Y56" s="6">
        <f t="shared" si="7"/>
        <v>31</v>
      </c>
      <c r="Z56" s="6">
        <f t="shared" si="8"/>
        <v>25</v>
      </c>
      <c r="AA56" s="6">
        <f t="shared" si="9"/>
        <v>244768</v>
      </c>
      <c r="AB56" s="389">
        <f t="shared" si="10"/>
        <v>0</v>
      </c>
      <c r="AC56" s="389">
        <f t="shared" si="11"/>
        <v>0</v>
      </c>
      <c r="AD56" s="389">
        <f t="shared" si="12"/>
        <v>0</v>
      </c>
    </row>
    <row r="57" spans="1:30" s="390" customFormat="1" ht="15" customHeight="1">
      <c r="A57" s="167">
        <v>46</v>
      </c>
      <c r="B57" s="267" t="str">
        <f>VLOOKUP(A57,'JUNE (물량흐름)'!$A$13:$C$502,2,0)</f>
        <v>ALFANI</v>
      </c>
      <c r="C57" s="240">
        <f>VLOOKUP(A57,'JUNE (물량흐름)'!$A$13:$C$502,3,0)</f>
        <v>2335</v>
      </c>
      <c r="D57" s="6">
        <f>VLOOKUP(C57,'WIP(재공품)'!$B$12:$E$493,4,0)</f>
        <v>8163</v>
      </c>
      <c r="E57" s="6">
        <f>IFERROR(VLOOKUP(C57,O.B.JUNE!$AA$7:$AG$448,2,0),0)</f>
        <v>0</v>
      </c>
      <c r="F57" s="6">
        <f>IFERROR(VLOOKUP(C57,O.B.JUNE!$AA$7:$AG$448,3,0),0)</f>
        <v>328</v>
      </c>
      <c r="G57" s="6">
        <f>IFERROR(VLOOKUP(C57,O.B.JUNE!$AA$7:$AD$448,4,0),0)</f>
        <v>945</v>
      </c>
      <c r="H57" s="6">
        <f t="shared" si="2"/>
        <v>1273</v>
      </c>
      <c r="I57" s="6">
        <f>IFERROR(VLOOKUP(C57,O.B.JUNE!$AA$7:$AF$448,6,0),0)</f>
        <v>920</v>
      </c>
      <c r="J57" s="6"/>
      <c r="K57" s="6">
        <f>IFERROR(VLOOKUP(C57,O.B.JUNE!$AA$7:$AG$448,7,0),0)</f>
        <v>9497959</v>
      </c>
      <c r="L57" s="6">
        <f>SUMIF('JUNE (물량흐름)'!$C$13:$C$502,'Direct labour(직접노무비)'!C57,'JUNE (물량흐름)'!$H$13:$H$502)+SUMIF('JUNE (물량흐름)'!$C$13:$C$502,'Direct labour(직접노무비)'!C57,'JUNE (물량흐름)'!$I$13:$I$502)</f>
        <v>0</v>
      </c>
      <c r="M57" s="6">
        <f t="shared" si="3"/>
        <v>0</v>
      </c>
      <c r="N57" s="6">
        <f t="shared" si="4"/>
        <v>0</v>
      </c>
      <c r="O57" s="6">
        <f t="shared" si="13"/>
        <v>0</v>
      </c>
      <c r="P57" s="6">
        <f>SUMIF('JUNE (물량흐름)'!$C$13:$C$502,C57,'JUNE (물량흐름)'!$T$13:$T$502)+SUMIF('JUNE (물량흐름)'!$C$13:$C$502,C57,'JUNE (물량흐름)'!$V$13:$V$502)+SUMIF('JUNE (물량흐름)'!$C$13:$C$502,C57,'JUNE (물량흐름)'!$U$13:$U$502)-SUMIF('JUNE (물량흐름)'!$C$13:$C$502,C57,'JUNE (물량흐름)'!$Y$13:$Y$502)</f>
        <v>0</v>
      </c>
      <c r="Q57" s="6">
        <f t="shared" si="5"/>
        <v>0</v>
      </c>
      <c r="R57" s="6">
        <f>ROUND(IF(ISERROR(VLOOKUP(#REF!,'WIP(재공품)'!$B$12:$AB$38,13,0)),0,VLOOKUP(#REF!,'WIP(재공품)'!$B$12:$AB$38,13,0)),0)</f>
        <v>0</v>
      </c>
      <c r="S57" s="6">
        <f>IF(ISERROR(VLOOKUP(#REF!,'WIP(재공품)'!$B$12:$AB$38,10,0)),0,VLOOKUP(#REF!,'WIP(재공품)'!$B$12:$AB$38,10,0))</f>
        <v>0</v>
      </c>
      <c r="T57" s="6">
        <f>SUMIF('JUNE (물량흐름)'!$C$13:$C$502,'Direct labour(직접노무비)'!C57,'JUNE (물량흐름)'!$Y$13:$Y$502)</f>
        <v>0</v>
      </c>
      <c r="U57" s="6">
        <f t="shared" si="6"/>
        <v>0</v>
      </c>
      <c r="V57" s="6">
        <f>ROUND(SUMIF('JUNE (물량흐름)'!$C$13:$C$502,'Direct labour(직접노무비)'!C57,'JUNE (물량흐름)'!$N$13:$N$502),0)</f>
        <v>0</v>
      </c>
      <c r="W57" s="6">
        <f>ROUND(SUMIF('JUNE (물량흐름)'!$C$13:$C$502,'Direct labour(직접노무비)'!C57,'JUNE (물량흐름)'!$O$13:$O$502),0)</f>
        <v>4</v>
      </c>
      <c r="X57" s="6">
        <f>ROUND(SUMIF('JUNE (물량흐름)'!$C$13:$C$502,'Direct labour(직접노무비)'!C57,'JUNE (물량흐름)'!$P$13:$P$502),0)</f>
        <v>1269</v>
      </c>
      <c r="Y57" s="6">
        <f t="shared" si="7"/>
        <v>1273</v>
      </c>
      <c r="Z57" s="6">
        <f t="shared" si="8"/>
        <v>1017</v>
      </c>
      <c r="AA57" s="6">
        <f t="shared" si="9"/>
        <v>9497959</v>
      </c>
      <c r="AB57" s="389">
        <f t="shared" si="10"/>
        <v>0</v>
      </c>
      <c r="AC57" s="389">
        <f t="shared" si="11"/>
        <v>0</v>
      </c>
      <c r="AD57" s="389">
        <f t="shared" si="12"/>
        <v>0</v>
      </c>
    </row>
    <row r="58" spans="1:30" s="390" customFormat="1" ht="15" customHeight="1">
      <c r="A58" s="167">
        <v>47</v>
      </c>
      <c r="B58" s="267" t="str">
        <f>VLOOKUP(A58,'JUNE (물량흐름)'!$A$13:$C$502,2,0)</f>
        <v>ALFANI</v>
      </c>
      <c r="C58" s="240">
        <f>VLOOKUP(A58,'JUNE (물량흐름)'!$A$13:$C$502,3,0)</f>
        <v>7220</v>
      </c>
      <c r="D58" s="6">
        <f>VLOOKUP(C58,'WIP(재공품)'!$B$12:$E$493,4,0)</f>
        <v>51472.25</v>
      </c>
      <c r="E58" s="6">
        <f>IFERROR(VLOOKUP(C58,O.B.JUNE!$AA$7:$AG$448,2,0),0)</f>
        <v>0</v>
      </c>
      <c r="F58" s="6">
        <f>IFERROR(VLOOKUP(C58,O.B.JUNE!$AA$7:$AG$448,3,0),0)</f>
        <v>1281</v>
      </c>
      <c r="G58" s="6">
        <f>IFERROR(VLOOKUP(C58,O.B.JUNE!$AA$7:$AD$448,4,0),0)</f>
        <v>80</v>
      </c>
      <c r="H58" s="6">
        <f t="shared" si="2"/>
        <v>1361</v>
      </c>
      <c r="I58" s="6">
        <f>IFERROR(VLOOKUP(C58,O.B.JUNE!$AA$7:$AF$448,6,0),0)</f>
        <v>705</v>
      </c>
      <c r="J58" s="6"/>
      <c r="K58" s="6">
        <f>IFERROR(VLOOKUP(C58,O.B.JUNE!$AA$7:$AG$448,7,0),0)</f>
        <v>6279854</v>
      </c>
      <c r="L58" s="6">
        <f>SUMIF('JUNE (물량흐름)'!$C$13:$C$502,'Direct labour(직접노무비)'!C58,'JUNE (물량흐름)'!$H$13:$H$502)+SUMIF('JUNE (물량흐름)'!$C$13:$C$502,'Direct labour(직접노무비)'!C58,'JUNE (물량흐름)'!$I$13:$I$502)</f>
        <v>0</v>
      </c>
      <c r="M58" s="6">
        <f t="shared" si="3"/>
        <v>0</v>
      </c>
      <c r="N58" s="6">
        <f t="shared" si="4"/>
        <v>0</v>
      </c>
      <c r="O58" s="6">
        <f t="shared" si="13"/>
        <v>0</v>
      </c>
      <c r="P58" s="6">
        <f>SUMIF('JUNE (물량흐름)'!$C$13:$C$502,C58,'JUNE (물량흐름)'!$T$13:$T$502)+SUMIF('JUNE (물량흐름)'!$C$13:$C$502,C58,'JUNE (물량흐름)'!$V$13:$V$502)+SUMIF('JUNE (물량흐름)'!$C$13:$C$502,C58,'JUNE (물량흐름)'!$U$13:$U$502)-SUMIF('JUNE (물량흐름)'!$C$13:$C$502,C58,'JUNE (물량흐름)'!$Y$13:$Y$502)</f>
        <v>1140</v>
      </c>
      <c r="Q58" s="6">
        <f t="shared" si="5"/>
        <v>5260128</v>
      </c>
      <c r="R58" s="6">
        <f>ROUND(IF(ISERROR(VLOOKUP(#REF!,'WIP(재공품)'!$B$12:$AB$38,13,0)),0,VLOOKUP(#REF!,'WIP(재공품)'!$B$12:$AB$38,13,0)),0)</f>
        <v>0</v>
      </c>
      <c r="S58" s="6">
        <f>IF(ISERROR(VLOOKUP(#REF!,'WIP(재공품)'!$B$12:$AB$38,10,0)),0,VLOOKUP(#REF!,'WIP(재공품)'!$B$12:$AB$38,10,0))</f>
        <v>0</v>
      </c>
      <c r="T58" s="6">
        <f>SUMIF('JUNE (물량흐름)'!$C$13:$C$502,'Direct labour(직접노무비)'!C58,'JUNE (물량흐름)'!$Y$13:$Y$502)</f>
        <v>2</v>
      </c>
      <c r="U58" s="6">
        <f t="shared" si="6"/>
        <v>9228</v>
      </c>
      <c r="V58" s="6">
        <f>ROUND(SUMIF('JUNE (물량흐름)'!$C$13:$C$502,'Direct labour(직접노무비)'!C58,'JUNE (물량흐름)'!$N$13:$N$502),0)</f>
        <v>0</v>
      </c>
      <c r="W58" s="6">
        <f>ROUND(SUMIF('JUNE (물량흐름)'!$C$13:$C$502,'Direct labour(직접노무비)'!C58,'JUNE (물량흐름)'!$O$13:$O$502),0)</f>
        <v>101</v>
      </c>
      <c r="X58" s="6">
        <f>ROUND(SUMIF('JUNE (물량흐름)'!$C$13:$C$502,'Direct labour(직접노무비)'!C58,'JUNE (물량흐름)'!$P$13:$P$502),0)</f>
        <v>118</v>
      </c>
      <c r="Y58" s="6">
        <f t="shared" si="7"/>
        <v>219</v>
      </c>
      <c r="Z58" s="6">
        <f t="shared" si="8"/>
        <v>145</v>
      </c>
      <c r="AA58" s="6">
        <f t="shared" si="9"/>
        <v>1010498</v>
      </c>
      <c r="AB58" s="389">
        <f t="shared" si="10"/>
        <v>0</v>
      </c>
      <c r="AC58" s="389">
        <f t="shared" si="11"/>
        <v>0</v>
      </c>
      <c r="AD58" s="389">
        <f t="shared" si="12"/>
        <v>0</v>
      </c>
    </row>
    <row r="59" spans="1:30" s="390" customFormat="1" ht="15" customHeight="1">
      <c r="A59" s="167">
        <v>48</v>
      </c>
      <c r="B59" s="267" t="str">
        <f>VLOOKUP(A59,'JUNE (물량흐름)'!$A$13:$C$502,2,0)</f>
        <v>ALFANI</v>
      </c>
      <c r="C59" s="240" t="str">
        <f>VLOOKUP(A59,'JUNE (물량흐름)'!$A$13:$C$502,3,0)</f>
        <v>7D400</v>
      </c>
      <c r="D59" s="6">
        <f>VLOOKUP(C59,'WIP(재공품)'!$B$12:$E$493,4,0)</f>
        <v>24942.500000000004</v>
      </c>
      <c r="E59" s="6">
        <f>IFERROR(VLOOKUP(C59,O.B.JUNE!$AA$7:$AG$448,2,0),0)</f>
        <v>0</v>
      </c>
      <c r="F59" s="6">
        <f>IFERROR(VLOOKUP(C59,O.B.JUNE!$AA$7:$AG$448,3,0),0)</f>
        <v>0</v>
      </c>
      <c r="G59" s="6">
        <f>IFERROR(VLOOKUP(C59,O.B.JUNE!$AA$7:$AD$448,4,0),0)</f>
        <v>72</v>
      </c>
      <c r="H59" s="6">
        <f t="shared" si="2"/>
        <v>72</v>
      </c>
      <c r="I59" s="6">
        <f>IFERROR(VLOOKUP(C59,O.B.JUNE!$AA$7:$AF$448,6,0),0)</f>
        <v>58</v>
      </c>
      <c r="J59" s="6"/>
      <c r="K59" s="6">
        <f>IFERROR(VLOOKUP(C59,O.B.JUNE!$AA$7:$AG$448,7,0),0)</f>
        <v>1977015</v>
      </c>
      <c r="L59" s="6">
        <f>SUMIF('JUNE (물량흐름)'!$C$13:$C$502,'Direct labour(직접노무비)'!C59,'JUNE (물량흐름)'!$H$13:$H$502)+SUMIF('JUNE (물량흐름)'!$C$13:$C$502,'Direct labour(직접노무비)'!C59,'JUNE (물량흐름)'!$I$13:$I$502)</f>
        <v>0</v>
      </c>
      <c r="M59" s="6">
        <f t="shared" si="3"/>
        <v>0</v>
      </c>
      <c r="N59" s="6">
        <f t="shared" si="4"/>
        <v>0</v>
      </c>
      <c r="O59" s="6">
        <f t="shared" si="13"/>
        <v>0</v>
      </c>
      <c r="P59" s="6">
        <f>SUMIF('JUNE (물량흐름)'!$C$13:$C$502,C59,'JUNE (물량흐름)'!$T$13:$T$502)+SUMIF('JUNE (물량흐름)'!$C$13:$C$502,C59,'JUNE (물량흐름)'!$V$13:$V$502)+SUMIF('JUNE (물량흐름)'!$C$13:$C$502,C59,'JUNE (물량흐름)'!$U$13:$U$502)-SUMIF('JUNE (물량흐름)'!$C$13:$C$502,C59,'JUNE (물량흐름)'!$Y$13:$Y$502)</f>
        <v>72</v>
      </c>
      <c r="Q59" s="6">
        <f t="shared" si="5"/>
        <v>1977015</v>
      </c>
      <c r="R59" s="6">
        <f>ROUND(IF(ISERROR(VLOOKUP(#REF!,'WIP(재공품)'!$B$12:$AB$38,13,0)),0,VLOOKUP(#REF!,'WIP(재공품)'!$B$12:$AB$38,13,0)),0)</f>
        <v>0</v>
      </c>
      <c r="S59" s="6">
        <f>IF(ISERROR(VLOOKUP(#REF!,'WIP(재공품)'!$B$12:$AB$38,10,0)),0,VLOOKUP(#REF!,'WIP(재공품)'!$B$12:$AB$38,10,0))</f>
        <v>0</v>
      </c>
      <c r="T59" s="6">
        <f>SUMIF('JUNE (물량흐름)'!$C$13:$C$502,'Direct labour(직접노무비)'!C59,'JUNE (물량흐름)'!$Y$13:$Y$502)</f>
        <v>0</v>
      </c>
      <c r="U59" s="6">
        <f t="shared" si="6"/>
        <v>0</v>
      </c>
      <c r="V59" s="6">
        <f>ROUND(SUMIF('JUNE (물량흐름)'!$C$13:$C$502,'Direct labour(직접노무비)'!C59,'JUNE (물량흐름)'!$N$13:$N$502),0)</f>
        <v>0</v>
      </c>
      <c r="W59" s="6">
        <f>ROUND(SUMIF('JUNE (물량흐름)'!$C$13:$C$502,'Direct labour(직접노무비)'!C59,'JUNE (물량흐름)'!$O$13:$O$502),0)</f>
        <v>0</v>
      </c>
      <c r="X59" s="6">
        <f>ROUND(SUMIF('JUNE (물량흐름)'!$C$13:$C$502,'Direct labour(직접노무비)'!C59,'JUNE (물량흐름)'!$P$13:$P$502),0)</f>
        <v>0</v>
      </c>
      <c r="Y59" s="6">
        <f t="shared" si="7"/>
        <v>0</v>
      </c>
      <c r="Z59" s="6">
        <f t="shared" si="8"/>
        <v>0</v>
      </c>
      <c r="AA59" s="6">
        <f t="shared" si="9"/>
        <v>0</v>
      </c>
      <c r="AB59" s="389">
        <f t="shared" si="10"/>
        <v>0</v>
      </c>
      <c r="AC59" s="389">
        <f t="shared" si="11"/>
        <v>0</v>
      </c>
      <c r="AD59" s="389">
        <f t="shared" si="12"/>
        <v>0</v>
      </c>
    </row>
    <row r="60" spans="1:30" s="390" customFormat="1" ht="15" customHeight="1">
      <c r="A60" s="167">
        <v>49</v>
      </c>
      <c r="B60" s="267" t="str">
        <f>VLOOKUP(A60,'JUNE (물량흐름)'!$A$13:$C$502,2,0)</f>
        <v>ALFANI</v>
      </c>
      <c r="C60" s="240" t="str">
        <f>VLOOKUP(A60,'JUNE (물량흐름)'!$A$13:$C$502,3,0)</f>
        <v>7D701</v>
      </c>
      <c r="D60" s="6">
        <f>VLOOKUP(C60,'WIP(재공품)'!$B$12:$E$493,4,0)</f>
        <v>7936.2499999999991</v>
      </c>
      <c r="E60" s="6">
        <f>IFERROR(VLOOKUP(C60,O.B.JUNE!$AA$7:$AG$448,2,0),0)</f>
        <v>0</v>
      </c>
      <c r="F60" s="6">
        <f>IFERROR(VLOOKUP(C60,O.B.JUNE!$AA$7:$AG$448,3,0),0)</f>
        <v>0</v>
      </c>
      <c r="G60" s="6">
        <f>IFERROR(VLOOKUP(C60,O.B.JUNE!$AA$7:$AD$448,4,0),0)</f>
        <v>180</v>
      </c>
      <c r="H60" s="6">
        <f t="shared" si="2"/>
        <v>180</v>
      </c>
      <c r="I60" s="6">
        <f>IFERROR(VLOOKUP(C60,O.B.JUNE!$AA$7:$AF$448,6,0),0)</f>
        <v>144</v>
      </c>
      <c r="J60" s="6"/>
      <c r="K60" s="6">
        <f>IFERROR(VLOOKUP(C60,O.B.JUNE!$AA$7:$AG$448,7,0),0)</f>
        <v>2513519</v>
      </c>
      <c r="L60" s="6">
        <f>SUMIF('JUNE (물량흐름)'!$C$13:$C$502,'Direct labour(직접노무비)'!C60,'JUNE (물량흐름)'!$H$13:$H$502)+SUMIF('JUNE (물량흐름)'!$C$13:$C$502,'Direct labour(직접노무비)'!C60,'JUNE (물량흐름)'!$I$13:$I$502)</f>
        <v>0</v>
      </c>
      <c r="M60" s="6">
        <f t="shared" si="3"/>
        <v>0</v>
      </c>
      <c r="N60" s="6">
        <f t="shared" si="4"/>
        <v>0</v>
      </c>
      <c r="O60" s="6">
        <f t="shared" si="13"/>
        <v>0</v>
      </c>
      <c r="P60" s="6">
        <f>SUMIF('JUNE (물량흐름)'!$C$13:$C$502,C60,'JUNE (물량흐름)'!$T$13:$T$502)+SUMIF('JUNE (물량흐름)'!$C$13:$C$502,C60,'JUNE (물량흐름)'!$V$13:$V$502)+SUMIF('JUNE (물량흐름)'!$C$13:$C$502,C60,'JUNE (물량흐름)'!$U$13:$U$502)-SUMIF('JUNE (물량흐름)'!$C$13:$C$502,C60,'JUNE (물량흐름)'!$Y$13:$Y$502)</f>
        <v>180</v>
      </c>
      <c r="Q60" s="6">
        <f t="shared" si="5"/>
        <v>2513519</v>
      </c>
      <c r="R60" s="6">
        <f>ROUND(IF(ISERROR(VLOOKUP(#REF!,'WIP(재공품)'!$B$12:$AB$38,13,0)),0,VLOOKUP(#REF!,'WIP(재공품)'!$B$12:$AB$38,13,0)),0)</f>
        <v>0</v>
      </c>
      <c r="S60" s="6">
        <f>IF(ISERROR(VLOOKUP(#REF!,'WIP(재공품)'!$B$12:$AB$38,10,0)),0,VLOOKUP(#REF!,'WIP(재공품)'!$B$12:$AB$38,10,0))</f>
        <v>0</v>
      </c>
      <c r="T60" s="6">
        <f>SUMIF('JUNE (물량흐름)'!$C$13:$C$502,'Direct labour(직접노무비)'!C60,'JUNE (물량흐름)'!$Y$13:$Y$502)</f>
        <v>0</v>
      </c>
      <c r="U60" s="6">
        <f t="shared" si="6"/>
        <v>0</v>
      </c>
      <c r="V60" s="6">
        <f>ROUND(SUMIF('JUNE (물량흐름)'!$C$13:$C$502,'Direct labour(직접노무비)'!C60,'JUNE (물량흐름)'!$N$13:$N$502),0)</f>
        <v>0</v>
      </c>
      <c r="W60" s="6">
        <f>ROUND(SUMIF('JUNE (물량흐름)'!$C$13:$C$502,'Direct labour(직접노무비)'!C60,'JUNE (물량흐름)'!$O$13:$O$502),0)</f>
        <v>0</v>
      </c>
      <c r="X60" s="6">
        <f>ROUND(SUMIF('JUNE (물량흐름)'!$C$13:$C$502,'Direct labour(직접노무비)'!C60,'JUNE (물량흐름)'!$P$13:$P$502),0)</f>
        <v>0</v>
      </c>
      <c r="Y60" s="6">
        <f t="shared" si="7"/>
        <v>0</v>
      </c>
      <c r="Z60" s="6">
        <f t="shared" si="8"/>
        <v>0</v>
      </c>
      <c r="AA60" s="6">
        <f t="shared" si="9"/>
        <v>0</v>
      </c>
      <c r="AB60" s="389">
        <f t="shared" si="10"/>
        <v>0</v>
      </c>
      <c r="AC60" s="389">
        <f t="shared" si="11"/>
        <v>0</v>
      </c>
      <c r="AD60" s="389">
        <f t="shared" si="12"/>
        <v>0</v>
      </c>
    </row>
    <row r="61" spans="1:30" s="390" customFormat="1" ht="15" customHeight="1">
      <c r="A61" s="167">
        <v>50</v>
      </c>
      <c r="B61" s="267" t="str">
        <f>VLOOKUP(A61,'JUNE (물량흐름)'!$A$13:$C$502,2,0)</f>
        <v>ALFANI</v>
      </c>
      <c r="C61" s="240" t="str">
        <f>VLOOKUP(A61,'JUNE (물량흐름)'!$A$13:$C$502,3,0)</f>
        <v>7D707</v>
      </c>
      <c r="D61" s="6">
        <f>VLOOKUP(C61,'WIP(재공품)'!$B$12:$E$493,4,0)</f>
        <v>7936.2499999999991</v>
      </c>
      <c r="E61" s="6">
        <f>IFERROR(VLOOKUP(C61,O.B.JUNE!$AA$7:$AG$448,2,0),0)</f>
        <v>0</v>
      </c>
      <c r="F61" s="6">
        <f>IFERROR(VLOOKUP(C61,O.B.JUNE!$AA$7:$AG$448,3,0),0)</f>
        <v>0</v>
      </c>
      <c r="G61" s="6">
        <f>IFERROR(VLOOKUP(C61,O.B.JUNE!$AA$7:$AD$448,4,0),0)</f>
        <v>387</v>
      </c>
      <c r="H61" s="6">
        <f t="shared" si="2"/>
        <v>387</v>
      </c>
      <c r="I61" s="6">
        <f>IFERROR(VLOOKUP(C61,O.B.JUNE!$AA$7:$AF$448,6,0),0)</f>
        <v>310</v>
      </c>
      <c r="J61" s="6"/>
      <c r="K61" s="6">
        <f>IFERROR(VLOOKUP(C61,O.B.JUNE!$AA$7:$AG$448,7,0),0)</f>
        <v>10552620</v>
      </c>
      <c r="L61" s="6">
        <f>SUMIF('JUNE (물량흐름)'!$C$13:$C$502,'Direct labour(직접노무비)'!C61,'JUNE (물량흐름)'!$H$13:$H$502)+SUMIF('JUNE (물량흐름)'!$C$13:$C$502,'Direct labour(직접노무비)'!C61,'JUNE (물량흐름)'!$I$13:$I$502)</f>
        <v>0</v>
      </c>
      <c r="M61" s="6">
        <f t="shared" si="3"/>
        <v>0</v>
      </c>
      <c r="N61" s="6">
        <f t="shared" si="4"/>
        <v>0</v>
      </c>
      <c r="O61" s="6">
        <f t="shared" si="13"/>
        <v>0</v>
      </c>
      <c r="P61" s="6">
        <f>SUMIF('JUNE (물량흐름)'!$C$13:$C$502,C61,'JUNE (물량흐름)'!$T$13:$T$502)+SUMIF('JUNE (물량흐름)'!$C$13:$C$502,C61,'JUNE (물량흐름)'!$V$13:$V$502)+SUMIF('JUNE (물량흐름)'!$C$13:$C$502,C61,'JUNE (물량흐름)'!$U$13:$U$502)-SUMIF('JUNE (물량흐름)'!$C$13:$C$502,C61,'JUNE (물량흐름)'!$Y$13:$Y$502)</f>
        <v>0</v>
      </c>
      <c r="Q61" s="6">
        <f t="shared" si="5"/>
        <v>0</v>
      </c>
      <c r="R61" s="6">
        <f>ROUND(IF(ISERROR(VLOOKUP(#REF!,'WIP(재공품)'!$B$12:$AB$38,13,0)),0,VLOOKUP(#REF!,'WIP(재공품)'!$B$12:$AB$38,13,0)),0)</f>
        <v>0</v>
      </c>
      <c r="S61" s="6">
        <f>IF(ISERROR(VLOOKUP(#REF!,'WIP(재공품)'!$B$12:$AB$38,10,0)),0,VLOOKUP(#REF!,'WIP(재공품)'!$B$12:$AB$38,10,0))</f>
        <v>0</v>
      </c>
      <c r="T61" s="6">
        <f>SUMIF('JUNE (물량흐름)'!$C$13:$C$502,'Direct labour(직접노무비)'!C61,'JUNE (물량흐름)'!$Y$13:$Y$502)</f>
        <v>0</v>
      </c>
      <c r="U61" s="6">
        <f t="shared" si="6"/>
        <v>0</v>
      </c>
      <c r="V61" s="6">
        <f>ROUND(SUMIF('JUNE (물량흐름)'!$C$13:$C$502,'Direct labour(직접노무비)'!C61,'JUNE (물량흐름)'!$N$13:$N$502),0)</f>
        <v>0</v>
      </c>
      <c r="W61" s="6">
        <f>ROUND(SUMIF('JUNE (물량흐름)'!$C$13:$C$502,'Direct labour(직접노무비)'!C61,'JUNE (물량흐름)'!$O$13:$O$502),0)</f>
        <v>0</v>
      </c>
      <c r="X61" s="6">
        <f>ROUND(SUMIF('JUNE (물량흐름)'!$C$13:$C$502,'Direct labour(직접노무비)'!C61,'JUNE (물량흐름)'!$P$13:$P$502),0)</f>
        <v>387</v>
      </c>
      <c r="Y61" s="6">
        <f t="shared" si="7"/>
        <v>387</v>
      </c>
      <c r="Z61" s="6">
        <f t="shared" si="8"/>
        <v>310</v>
      </c>
      <c r="AA61" s="6">
        <f t="shared" si="9"/>
        <v>10552620</v>
      </c>
      <c r="AB61" s="389">
        <f t="shared" si="10"/>
        <v>0</v>
      </c>
      <c r="AC61" s="389">
        <f t="shared" si="11"/>
        <v>0</v>
      </c>
      <c r="AD61" s="389">
        <f t="shared" si="12"/>
        <v>0</v>
      </c>
    </row>
    <row r="62" spans="1:30" s="390" customFormat="1" ht="15" customHeight="1">
      <c r="A62" s="167">
        <v>51</v>
      </c>
      <c r="B62" s="267" t="str">
        <f>VLOOKUP(A62,'JUNE (물량흐름)'!$A$13:$C$502,2,0)</f>
        <v>ALFANI</v>
      </c>
      <c r="C62" s="240" t="str">
        <f>VLOOKUP(A62,'JUNE (물량흐름)'!$A$13:$C$502,3,0)</f>
        <v>7D902</v>
      </c>
      <c r="D62" s="6">
        <f>VLOOKUP(C62,'WIP(재공품)'!$B$12:$E$493,4,0)</f>
        <v>62809.75</v>
      </c>
      <c r="E62" s="6">
        <f>IFERROR(VLOOKUP(C62,O.B.JUNE!$AA$7:$AG$448,2,0),0)</f>
        <v>0</v>
      </c>
      <c r="F62" s="6">
        <f>IFERROR(VLOOKUP(C62,O.B.JUNE!$AA$7:$AG$448,3,0),0)</f>
        <v>0</v>
      </c>
      <c r="G62" s="6">
        <f>IFERROR(VLOOKUP(C62,O.B.JUNE!$AA$7:$AD$448,4,0),0)</f>
        <v>92</v>
      </c>
      <c r="H62" s="6">
        <f t="shared" si="2"/>
        <v>92</v>
      </c>
      <c r="I62" s="6">
        <f>IFERROR(VLOOKUP(C62,O.B.JUNE!$AA$7:$AF$448,6,0),0)</f>
        <v>74</v>
      </c>
      <c r="J62" s="6"/>
      <c r="K62" s="6">
        <f>IFERROR(VLOOKUP(C62,O.B.JUNE!$AA$7:$AG$448,7,0),0)</f>
        <v>1194820</v>
      </c>
      <c r="L62" s="6">
        <f>SUMIF('JUNE (물량흐름)'!$C$13:$C$502,'Direct labour(직접노무비)'!C62,'JUNE (물량흐름)'!$H$13:$H$502)+SUMIF('JUNE (물량흐름)'!$C$13:$C$502,'Direct labour(직접노무비)'!C62,'JUNE (물량흐름)'!$I$13:$I$502)</f>
        <v>0</v>
      </c>
      <c r="M62" s="6">
        <f t="shared" si="3"/>
        <v>0</v>
      </c>
      <c r="N62" s="6">
        <f t="shared" si="4"/>
        <v>0</v>
      </c>
      <c r="O62" s="6">
        <f t="shared" si="13"/>
        <v>0</v>
      </c>
      <c r="P62" s="6">
        <f>SUMIF('JUNE (물량흐름)'!$C$13:$C$502,C62,'JUNE (물량흐름)'!$T$13:$T$502)+SUMIF('JUNE (물량흐름)'!$C$13:$C$502,C62,'JUNE (물량흐름)'!$V$13:$V$502)+SUMIF('JUNE (물량흐름)'!$C$13:$C$502,C62,'JUNE (물량흐름)'!$U$13:$U$502)-SUMIF('JUNE (물량흐름)'!$C$13:$C$502,C62,'JUNE (물량흐름)'!$Y$13:$Y$502)</f>
        <v>0</v>
      </c>
      <c r="Q62" s="6">
        <f t="shared" si="5"/>
        <v>0</v>
      </c>
      <c r="R62" s="6">
        <f>ROUND(IF(ISERROR(VLOOKUP(#REF!,'WIP(재공품)'!$B$12:$AB$38,13,0)),0,VLOOKUP(#REF!,'WIP(재공품)'!$B$12:$AB$38,13,0)),0)</f>
        <v>0</v>
      </c>
      <c r="S62" s="6">
        <f>IF(ISERROR(VLOOKUP(#REF!,'WIP(재공품)'!$B$12:$AB$38,10,0)),0,VLOOKUP(#REF!,'WIP(재공품)'!$B$12:$AB$38,10,0))</f>
        <v>0</v>
      </c>
      <c r="T62" s="6">
        <f>SUMIF('JUNE (물량흐름)'!$C$13:$C$502,'Direct labour(직접노무비)'!C62,'JUNE (물량흐름)'!$Y$13:$Y$502)</f>
        <v>0</v>
      </c>
      <c r="U62" s="6">
        <f t="shared" si="6"/>
        <v>0</v>
      </c>
      <c r="V62" s="6">
        <f>ROUND(SUMIF('JUNE (물량흐름)'!$C$13:$C$502,'Direct labour(직접노무비)'!C62,'JUNE (물량흐름)'!$N$13:$N$502),0)</f>
        <v>0</v>
      </c>
      <c r="W62" s="6">
        <f>ROUND(SUMIF('JUNE (물량흐름)'!$C$13:$C$502,'Direct labour(직접노무비)'!C62,'JUNE (물량흐름)'!$O$13:$O$502),0)</f>
        <v>0</v>
      </c>
      <c r="X62" s="6">
        <f>ROUND(SUMIF('JUNE (물량흐름)'!$C$13:$C$502,'Direct labour(직접노무비)'!C62,'JUNE (물량흐름)'!$P$13:$P$502),0)</f>
        <v>92</v>
      </c>
      <c r="Y62" s="6">
        <f t="shared" si="7"/>
        <v>92</v>
      </c>
      <c r="Z62" s="6">
        <f t="shared" si="8"/>
        <v>74</v>
      </c>
      <c r="AA62" s="6">
        <f t="shared" si="9"/>
        <v>1194820</v>
      </c>
      <c r="AB62" s="389">
        <f t="shared" si="10"/>
        <v>0</v>
      </c>
      <c r="AC62" s="389">
        <f t="shared" si="11"/>
        <v>0</v>
      </c>
      <c r="AD62" s="389">
        <f t="shared" si="12"/>
        <v>0</v>
      </c>
    </row>
    <row r="63" spans="1:30" s="390" customFormat="1" ht="15" customHeight="1">
      <c r="A63" s="167">
        <v>52</v>
      </c>
      <c r="B63" s="267" t="str">
        <f>VLOOKUP(A63,'JUNE (물량흐름)'!$A$13:$C$502,2,0)</f>
        <v>ALFANI</v>
      </c>
      <c r="C63" s="240" t="str">
        <f>VLOOKUP(A63,'JUNE (물량흐름)'!$A$13:$C$502,3,0)</f>
        <v>7N714</v>
      </c>
      <c r="D63" s="6">
        <f>VLOOKUP(C63,'WIP(재공품)'!$B$12:$E$493,4,0)</f>
        <v>8163</v>
      </c>
      <c r="E63" s="6">
        <f>IFERROR(VLOOKUP(C63,O.B.JUNE!$AA$7:$AG$448,2,0),0)</f>
        <v>0</v>
      </c>
      <c r="F63" s="6">
        <f>IFERROR(VLOOKUP(C63,O.B.JUNE!$AA$7:$AG$448,3,0),0)</f>
        <v>0</v>
      </c>
      <c r="G63" s="6">
        <f>IFERROR(VLOOKUP(C63,O.B.JUNE!$AA$7:$AD$448,4,0),0)</f>
        <v>100</v>
      </c>
      <c r="H63" s="6">
        <f t="shared" si="2"/>
        <v>100</v>
      </c>
      <c r="I63" s="6">
        <f>IFERROR(VLOOKUP(C63,O.B.JUNE!$AA$7:$AF$448,6,0),0)</f>
        <v>80</v>
      </c>
      <c r="J63" s="6"/>
      <c r="K63" s="6">
        <f>IFERROR(VLOOKUP(C63,O.B.JUNE!$AA$7:$AG$448,7,0),0)</f>
        <v>2649579</v>
      </c>
      <c r="L63" s="6">
        <f>SUMIF('JUNE (물량흐름)'!$C$13:$C$502,'Direct labour(직접노무비)'!C63,'JUNE (물량흐름)'!$H$13:$H$502)+SUMIF('JUNE (물량흐름)'!$C$13:$C$502,'Direct labour(직접노무비)'!C63,'JUNE (물량흐름)'!$I$13:$I$502)</f>
        <v>0</v>
      </c>
      <c r="M63" s="6">
        <f t="shared" si="3"/>
        <v>0</v>
      </c>
      <c r="N63" s="6">
        <f t="shared" si="4"/>
        <v>0</v>
      </c>
      <c r="O63" s="6">
        <f t="shared" si="13"/>
        <v>0</v>
      </c>
      <c r="P63" s="6">
        <f>SUMIF('JUNE (물량흐름)'!$C$13:$C$502,C63,'JUNE (물량흐름)'!$T$13:$T$502)+SUMIF('JUNE (물량흐름)'!$C$13:$C$502,C63,'JUNE (물량흐름)'!$V$13:$V$502)+SUMIF('JUNE (물량흐름)'!$C$13:$C$502,C63,'JUNE (물량흐름)'!$U$13:$U$502)-SUMIF('JUNE (물량흐름)'!$C$13:$C$502,C63,'JUNE (물량흐름)'!$Y$13:$Y$502)</f>
        <v>100</v>
      </c>
      <c r="Q63" s="6">
        <f t="shared" si="5"/>
        <v>2649579</v>
      </c>
      <c r="R63" s="6">
        <f>ROUND(IF(ISERROR(VLOOKUP(#REF!,'WIP(재공품)'!$B$12:$AB$38,13,0)),0,VLOOKUP(#REF!,'WIP(재공품)'!$B$12:$AB$38,13,0)),0)</f>
        <v>0</v>
      </c>
      <c r="S63" s="6">
        <f>IF(ISERROR(VLOOKUP(#REF!,'WIP(재공품)'!$B$12:$AB$38,10,0)),0,VLOOKUP(#REF!,'WIP(재공품)'!$B$12:$AB$38,10,0))</f>
        <v>0</v>
      </c>
      <c r="T63" s="6">
        <f>SUMIF('JUNE (물량흐름)'!$C$13:$C$502,'Direct labour(직접노무비)'!C63,'JUNE (물량흐름)'!$Y$13:$Y$502)</f>
        <v>0</v>
      </c>
      <c r="U63" s="6">
        <f t="shared" si="6"/>
        <v>0</v>
      </c>
      <c r="V63" s="6">
        <f>ROUND(SUMIF('JUNE (물량흐름)'!$C$13:$C$502,'Direct labour(직접노무비)'!C63,'JUNE (물량흐름)'!$N$13:$N$502),0)</f>
        <v>0</v>
      </c>
      <c r="W63" s="6">
        <f>ROUND(SUMIF('JUNE (물량흐름)'!$C$13:$C$502,'Direct labour(직접노무비)'!C63,'JUNE (물량흐름)'!$O$13:$O$502),0)</f>
        <v>0</v>
      </c>
      <c r="X63" s="6">
        <f>ROUND(SUMIF('JUNE (물량흐름)'!$C$13:$C$502,'Direct labour(직접노무비)'!C63,'JUNE (물량흐름)'!$P$13:$P$502),0)</f>
        <v>0</v>
      </c>
      <c r="Y63" s="6">
        <f t="shared" si="7"/>
        <v>0</v>
      </c>
      <c r="Z63" s="6">
        <f t="shared" si="8"/>
        <v>0</v>
      </c>
      <c r="AA63" s="6">
        <f t="shared" si="9"/>
        <v>0</v>
      </c>
      <c r="AB63" s="389">
        <f t="shared" si="10"/>
        <v>0</v>
      </c>
      <c r="AC63" s="389">
        <f t="shared" si="11"/>
        <v>0</v>
      </c>
      <c r="AD63" s="389">
        <f t="shared" si="12"/>
        <v>0</v>
      </c>
    </row>
    <row r="64" spans="1:30" s="390" customFormat="1" ht="15" customHeight="1">
      <c r="A64" s="167">
        <v>53</v>
      </c>
      <c r="B64" s="267" t="str">
        <f>VLOOKUP(A64,'JUNE (물량흐름)'!$A$13:$C$502,2,0)</f>
        <v>ANN TAYLOR</v>
      </c>
      <c r="C64" s="240">
        <f>VLOOKUP(A64,'JUNE (물량흐름)'!$A$13:$C$502,3,0)</f>
        <v>448556</v>
      </c>
      <c r="D64" s="6">
        <f>VLOOKUP(C64,'WIP(재공품)'!$B$12:$E$493,4,0)</f>
        <v>8163</v>
      </c>
      <c r="E64" s="6">
        <f>IFERROR(VLOOKUP(C64,O.B.JUNE!$AA$7:$AG$448,2,0),0)</f>
        <v>0</v>
      </c>
      <c r="F64" s="6">
        <f>IFERROR(VLOOKUP(C64,O.B.JUNE!$AA$7:$AG$448,3,0),0)</f>
        <v>0</v>
      </c>
      <c r="G64" s="6">
        <f>IFERROR(VLOOKUP(C64,O.B.JUNE!$AA$7:$AD$448,4,0),0)</f>
        <v>56</v>
      </c>
      <c r="H64" s="6">
        <f t="shared" si="2"/>
        <v>56</v>
      </c>
      <c r="I64" s="6">
        <f>IFERROR(VLOOKUP(C64,O.B.JUNE!$AA$7:$AF$448,6,0),0)</f>
        <v>45</v>
      </c>
      <c r="J64" s="6"/>
      <c r="K64" s="6">
        <f>IFERROR(VLOOKUP(C64,O.B.JUNE!$AA$7:$AG$448,7,0),0)</f>
        <v>1073521</v>
      </c>
      <c r="L64" s="6">
        <f>SUMIF('JUNE (물량흐름)'!$C$13:$C$502,'Direct labour(직접노무비)'!C64,'JUNE (물량흐름)'!$H$13:$H$502)+SUMIF('JUNE (물량흐름)'!$C$13:$C$502,'Direct labour(직접노무비)'!C64,'JUNE (물량흐름)'!$I$13:$I$502)</f>
        <v>0</v>
      </c>
      <c r="M64" s="6">
        <f t="shared" si="3"/>
        <v>0</v>
      </c>
      <c r="N64" s="6">
        <f t="shared" si="4"/>
        <v>0</v>
      </c>
      <c r="O64" s="6">
        <f t="shared" si="13"/>
        <v>0</v>
      </c>
      <c r="P64" s="6">
        <f>SUMIF('JUNE (물량흐름)'!$C$13:$C$502,C64,'JUNE (물량흐름)'!$T$13:$T$502)+SUMIF('JUNE (물량흐름)'!$C$13:$C$502,C64,'JUNE (물량흐름)'!$V$13:$V$502)+SUMIF('JUNE (물량흐름)'!$C$13:$C$502,C64,'JUNE (물량흐름)'!$U$13:$U$502)-SUMIF('JUNE (물량흐름)'!$C$13:$C$502,C64,'JUNE (물량흐름)'!$Y$13:$Y$502)</f>
        <v>56</v>
      </c>
      <c r="Q64" s="6">
        <f t="shared" si="5"/>
        <v>1073521</v>
      </c>
      <c r="R64" s="6">
        <f>ROUND(IF(ISERROR(VLOOKUP(#REF!,'WIP(재공품)'!$B$12:$AB$38,13,0)),0,VLOOKUP(#REF!,'WIP(재공품)'!$B$12:$AB$38,13,0)),0)</f>
        <v>0</v>
      </c>
      <c r="S64" s="6">
        <f>IF(ISERROR(VLOOKUP(#REF!,'WIP(재공품)'!$B$12:$AB$38,10,0)),0,VLOOKUP(#REF!,'WIP(재공품)'!$B$12:$AB$38,10,0))</f>
        <v>0</v>
      </c>
      <c r="T64" s="6">
        <f>SUMIF('JUNE (물량흐름)'!$C$13:$C$502,'Direct labour(직접노무비)'!C64,'JUNE (물량흐름)'!$Y$13:$Y$502)</f>
        <v>0</v>
      </c>
      <c r="U64" s="6">
        <f t="shared" si="6"/>
        <v>0</v>
      </c>
      <c r="V64" s="6">
        <f>ROUND(SUMIF('JUNE (물량흐름)'!$C$13:$C$502,'Direct labour(직접노무비)'!C64,'JUNE (물량흐름)'!$N$13:$N$502),0)</f>
        <v>0</v>
      </c>
      <c r="W64" s="6">
        <f>ROUND(SUMIF('JUNE (물량흐름)'!$C$13:$C$502,'Direct labour(직접노무비)'!C64,'JUNE (물량흐름)'!$O$13:$O$502),0)</f>
        <v>0</v>
      </c>
      <c r="X64" s="6">
        <f>ROUND(SUMIF('JUNE (물량흐름)'!$C$13:$C$502,'Direct labour(직접노무비)'!C64,'JUNE (물량흐름)'!$P$13:$P$502),0)</f>
        <v>0</v>
      </c>
      <c r="Y64" s="6">
        <f t="shared" si="7"/>
        <v>0</v>
      </c>
      <c r="Z64" s="6">
        <f t="shared" si="8"/>
        <v>0</v>
      </c>
      <c r="AA64" s="6">
        <f t="shared" si="9"/>
        <v>0</v>
      </c>
      <c r="AB64" s="389">
        <f t="shared" si="10"/>
        <v>0</v>
      </c>
      <c r="AC64" s="389">
        <f t="shared" si="11"/>
        <v>0</v>
      </c>
      <c r="AD64" s="389">
        <f t="shared" si="12"/>
        <v>0</v>
      </c>
    </row>
    <row r="65" spans="1:30" s="390" customFormat="1" ht="15" customHeight="1">
      <c r="A65" s="167">
        <v>54</v>
      </c>
      <c r="B65" s="267" t="str">
        <f>VLOOKUP(A65,'JUNE (물량흐름)'!$A$13:$C$502,2,0)</f>
        <v>ANN TAYLOR</v>
      </c>
      <c r="C65" s="240">
        <f>VLOOKUP(A65,'JUNE (물량흐름)'!$A$13:$C$502,3,0)</f>
        <v>454819</v>
      </c>
      <c r="D65" s="6">
        <f>VLOOKUP(C65,'WIP(재공품)'!$B$12:$E$493,4,0)</f>
        <v>7936.2499999999991</v>
      </c>
      <c r="E65" s="6">
        <f>IFERROR(VLOOKUP(C65,O.B.JUNE!$AA$7:$AG$448,2,0),0)</f>
        <v>0</v>
      </c>
      <c r="F65" s="6">
        <f>IFERROR(VLOOKUP(C65,O.B.JUNE!$AA$7:$AG$448,3,0),0)</f>
        <v>0</v>
      </c>
      <c r="G65" s="6">
        <f>IFERROR(VLOOKUP(C65,O.B.JUNE!$AA$7:$AD$448,4,0),0)</f>
        <v>121</v>
      </c>
      <c r="H65" s="6">
        <f t="shared" si="2"/>
        <v>121</v>
      </c>
      <c r="I65" s="6">
        <f>IFERROR(VLOOKUP(C65,O.B.JUNE!$AA$7:$AF$448,6,0),0)</f>
        <v>97</v>
      </c>
      <c r="J65" s="6"/>
      <c r="K65" s="6">
        <f>IFERROR(VLOOKUP(C65,O.B.JUNE!$AA$7:$AG$448,7,0),0)</f>
        <v>2734353</v>
      </c>
      <c r="L65" s="6">
        <f>SUMIF('JUNE (물량흐름)'!$C$13:$C$502,'Direct labour(직접노무비)'!C65,'JUNE (물량흐름)'!$H$13:$H$502)+SUMIF('JUNE (물량흐름)'!$C$13:$C$502,'Direct labour(직접노무비)'!C65,'JUNE (물량흐름)'!$I$13:$I$502)</f>
        <v>0</v>
      </c>
      <c r="M65" s="6">
        <f t="shared" si="3"/>
        <v>0</v>
      </c>
      <c r="N65" s="6">
        <f t="shared" si="4"/>
        <v>0</v>
      </c>
      <c r="O65" s="6">
        <f t="shared" si="13"/>
        <v>0</v>
      </c>
      <c r="P65" s="6">
        <f>SUMIF('JUNE (물량흐름)'!$C$13:$C$502,C65,'JUNE (물량흐름)'!$T$13:$T$502)+SUMIF('JUNE (물량흐름)'!$C$13:$C$502,C65,'JUNE (물량흐름)'!$V$13:$V$502)+SUMIF('JUNE (물량흐름)'!$C$13:$C$502,C65,'JUNE (물량흐름)'!$U$13:$U$502)-SUMIF('JUNE (물량흐름)'!$C$13:$C$502,C65,'JUNE (물량흐름)'!$Y$13:$Y$502)</f>
        <v>121</v>
      </c>
      <c r="Q65" s="6">
        <f t="shared" si="5"/>
        <v>2734353</v>
      </c>
      <c r="R65" s="6">
        <f>ROUND(IF(ISERROR(VLOOKUP(#REF!,'WIP(재공품)'!$B$12:$AB$38,13,0)),0,VLOOKUP(#REF!,'WIP(재공품)'!$B$12:$AB$38,13,0)),0)</f>
        <v>0</v>
      </c>
      <c r="S65" s="6">
        <f>IF(ISERROR(VLOOKUP(#REF!,'WIP(재공품)'!$B$12:$AB$38,10,0)),0,VLOOKUP(#REF!,'WIP(재공품)'!$B$12:$AB$38,10,0))</f>
        <v>0</v>
      </c>
      <c r="T65" s="6">
        <f>SUMIF('JUNE (물량흐름)'!$C$13:$C$502,'Direct labour(직접노무비)'!C65,'JUNE (물량흐름)'!$Y$13:$Y$502)</f>
        <v>0</v>
      </c>
      <c r="U65" s="6">
        <f t="shared" si="6"/>
        <v>0</v>
      </c>
      <c r="V65" s="6">
        <f>ROUND(SUMIF('JUNE (물량흐름)'!$C$13:$C$502,'Direct labour(직접노무비)'!C65,'JUNE (물량흐름)'!$N$13:$N$502),0)</f>
        <v>0</v>
      </c>
      <c r="W65" s="6">
        <f>ROUND(SUMIF('JUNE (물량흐름)'!$C$13:$C$502,'Direct labour(직접노무비)'!C65,'JUNE (물량흐름)'!$O$13:$O$502),0)</f>
        <v>0</v>
      </c>
      <c r="X65" s="6">
        <f>ROUND(SUMIF('JUNE (물량흐름)'!$C$13:$C$502,'Direct labour(직접노무비)'!C65,'JUNE (물량흐름)'!$P$13:$P$502),0)</f>
        <v>0</v>
      </c>
      <c r="Y65" s="6">
        <f t="shared" si="7"/>
        <v>0</v>
      </c>
      <c r="Z65" s="6">
        <f t="shared" si="8"/>
        <v>0</v>
      </c>
      <c r="AA65" s="6">
        <f t="shared" si="9"/>
        <v>0</v>
      </c>
      <c r="AB65" s="389">
        <f t="shared" si="10"/>
        <v>0</v>
      </c>
      <c r="AC65" s="389">
        <f t="shared" si="11"/>
        <v>0</v>
      </c>
      <c r="AD65" s="389">
        <f t="shared" si="12"/>
        <v>0</v>
      </c>
    </row>
    <row r="66" spans="1:30" s="390" customFormat="1" ht="15" customHeight="1">
      <c r="A66" s="167">
        <v>55</v>
      </c>
      <c r="B66" s="267" t="str">
        <f>VLOOKUP(A66,'JUNE (물량흐름)'!$A$13:$C$502,2,0)</f>
        <v>ANN TAYLOR</v>
      </c>
      <c r="C66" s="240">
        <f>VLOOKUP(A66,'JUNE (물량흐름)'!$A$13:$C$502,3,0)</f>
        <v>457050</v>
      </c>
      <c r="D66" s="6">
        <f>VLOOKUP(C66,'WIP(재공품)'!$B$12:$E$493,4,0)</f>
        <v>7936.2499999999991</v>
      </c>
      <c r="E66" s="6">
        <f>IFERROR(VLOOKUP(C66,O.B.JUNE!$AA$7:$AG$448,2,0),0)</f>
        <v>0</v>
      </c>
      <c r="F66" s="6">
        <f>IFERROR(VLOOKUP(C66,O.B.JUNE!$AA$7:$AG$448,3,0),0)</f>
        <v>0</v>
      </c>
      <c r="G66" s="6">
        <f>IFERROR(VLOOKUP(C66,O.B.JUNE!$AA$7:$AD$448,4,0),0)</f>
        <v>262</v>
      </c>
      <c r="H66" s="6">
        <f t="shared" si="2"/>
        <v>262</v>
      </c>
      <c r="I66" s="6">
        <f>IFERROR(VLOOKUP(C66,O.B.JUNE!$AA$7:$AF$448,6,0),0)</f>
        <v>210</v>
      </c>
      <c r="J66" s="6"/>
      <c r="K66" s="6">
        <f>IFERROR(VLOOKUP(C66,O.B.JUNE!$AA$7:$AG$448,7,0),0)</f>
        <v>4419099</v>
      </c>
      <c r="L66" s="6">
        <f>SUMIF('JUNE (물량흐름)'!$C$13:$C$502,'Direct labour(직접노무비)'!C66,'JUNE (물량흐름)'!$H$13:$H$502)+SUMIF('JUNE (물량흐름)'!$C$13:$C$502,'Direct labour(직접노무비)'!C66,'JUNE (물량흐름)'!$I$13:$I$502)</f>
        <v>0</v>
      </c>
      <c r="M66" s="6">
        <f t="shared" si="3"/>
        <v>0</v>
      </c>
      <c r="N66" s="6">
        <f t="shared" si="4"/>
        <v>0</v>
      </c>
      <c r="O66" s="6">
        <f t="shared" si="13"/>
        <v>0</v>
      </c>
      <c r="P66" s="6">
        <f>SUMIF('JUNE (물량흐름)'!$C$13:$C$502,C66,'JUNE (물량흐름)'!$T$13:$T$502)+SUMIF('JUNE (물량흐름)'!$C$13:$C$502,C66,'JUNE (물량흐름)'!$V$13:$V$502)+SUMIF('JUNE (물량흐름)'!$C$13:$C$502,C66,'JUNE (물량흐름)'!$U$13:$U$502)-SUMIF('JUNE (물량흐름)'!$C$13:$C$502,C66,'JUNE (물량흐름)'!$Y$13:$Y$502)</f>
        <v>0</v>
      </c>
      <c r="Q66" s="6">
        <f t="shared" si="5"/>
        <v>0</v>
      </c>
      <c r="R66" s="6">
        <f>ROUND(IF(ISERROR(VLOOKUP(#REF!,'WIP(재공품)'!$B$12:$AB$38,13,0)),0,VLOOKUP(#REF!,'WIP(재공품)'!$B$12:$AB$38,13,0)),0)</f>
        <v>0</v>
      </c>
      <c r="S66" s="6">
        <f>IF(ISERROR(VLOOKUP(#REF!,'WIP(재공품)'!$B$12:$AB$38,10,0)),0,VLOOKUP(#REF!,'WIP(재공품)'!$B$12:$AB$38,10,0))</f>
        <v>0</v>
      </c>
      <c r="T66" s="6">
        <f>SUMIF('JUNE (물량흐름)'!$C$13:$C$502,'Direct labour(직접노무비)'!C66,'JUNE (물량흐름)'!$Y$13:$Y$502)</f>
        <v>0</v>
      </c>
      <c r="U66" s="6">
        <f t="shared" si="6"/>
        <v>0</v>
      </c>
      <c r="V66" s="6">
        <f>ROUND(SUMIF('JUNE (물량흐름)'!$C$13:$C$502,'Direct labour(직접노무비)'!C66,'JUNE (물량흐름)'!$N$13:$N$502),0)</f>
        <v>0</v>
      </c>
      <c r="W66" s="6">
        <f>ROUND(SUMIF('JUNE (물량흐름)'!$C$13:$C$502,'Direct labour(직접노무비)'!C66,'JUNE (물량흐름)'!$O$13:$O$502),0)</f>
        <v>0</v>
      </c>
      <c r="X66" s="6">
        <f>ROUND(SUMIF('JUNE (물량흐름)'!$C$13:$C$502,'Direct labour(직접노무비)'!C66,'JUNE (물량흐름)'!$P$13:$P$502),0)</f>
        <v>262</v>
      </c>
      <c r="Y66" s="6">
        <f t="shared" si="7"/>
        <v>262</v>
      </c>
      <c r="Z66" s="6">
        <f t="shared" si="8"/>
        <v>210</v>
      </c>
      <c r="AA66" s="6">
        <f t="shared" si="9"/>
        <v>4419099</v>
      </c>
      <c r="AB66" s="389">
        <f t="shared" si="10"/>
        <v>0</v>
      </c>
      <c r="AC66" s="389">
        <f t="shared" si="11"/>
        <v>0</v>
      </c>
      <c r="AD66" s="389">
        <f t="shared" si="12"/>
        <v>0</v>
      </c>
    </row>
    <row r="67" spans="1:30" s="390" customFormat="1" ht="15" customHeight="1">
      <c r="A67" s="167">
        <v>56</v>
      </c>
      <c r="B67" s="267" t="str">
        <f>VLOOKUP(A67,'JUNE (물량흐름)'!$A$13:$C$502,2,0)</f>
        <v>INC</v>
      </c>
      <c r="C67" s="240">
        <f>VLOOKUP(A67,'JUNE (물량흐름)'!$A$13:$C$502,3,0)</f>
        <v>100007750</v>
      </c>
      <c r="D67" s="6">
        <f>VLOOKUP(C67,'WIP(재공품)'!$B$12:$E$493,4,0)</f>
        <v>7936.2499999999991</v>
      </c>
      <c r="E67" s="6">
        <f>IFERROR(VLOOKUP(C67,O.B.JUNE!$AA$7:$AG$448,2,0),0)</f>
        <v>0</v>
      </c>
      <c r="F67" s="6">
        <f>IFERROR(VLOOKUP(C67,O.B.JUNE!$AA$7:$AG$448,3,0),0)</f>
        <v>0</v>
      </c>
      <c r="G67" s="6">
        <f>IFERROR(VLOOKUP(C67,O.B.JUNE!$AA$7:$AD$448,4,0),0)</f>
        <v>42</v>
      </c>
      <c r="H67" s="6">
        <f t="shared" si="2"/>
        <v>42</v>
      </c>
      <c r="I67" s="6">
        <f>IFERROR(VLOOKUP(C67,O.B.JUNE!$AA$7:$AF$448,6,0),0)</f>
        <v>34</v>
      </c>
      <c r="J67" s="6"/>
      <c r="K67" s="6">
        <f>IFERROR(VLOOKUP(C67,O.B.JUNE!$AA$7:$AG$448,7,0),0)</f>
        <v>903970</v>
      </c>
      <c r="L67" s="6">
        <f>SUMIF('JUNE (물량흐름)'!$C$13:$C$502,'Direct labour(직접노무비)'!C67,'JUNE (물량흐름)'!$H$13:$H$502)+SUMIF('JUNE (물량흐름)'!$C$13:$C$502,'Direct labour(직접노무비)'!C67,'JUNE (물량흐름)'!$I$13:$I$502)</f>
        <v>0</v>
      </c>
      <c r="M67" s="6">
        <f t="shared" si="3"/>
        <v>0</v>
      </c>
      <c r="N67" s="6">
        <f t="shared" si="4"/>
        <v>0</v>
      </c>
      <c r="O67" s="6">
        <f t="shared" si="13"/>
        <v>0</v>
      </c>
      <c r="P67" s="6">
        <f>SUMIF('JUNE (물량흐름)'!$C$13:$C$502,C67,'JUNE (물량흐름)'!$T$13:$T$502)+SUMIF('JUNE (물량흐름)'!$C$13:$C$502,C67,'JUNE (물량흐름)'!$V$13:$V$502)+SUMIF('JUNE (물량흐름)'!$C$13:$C$502,C67,'JUNE (물량흐름)'!$U$13:$U$502)-SUMIF('JUNE (물량흐름)'!$C$13:$C$502,C67,'JUNE (물량흐름)'!$Y$13:$Y$502)</f>
        <v>42</v>
      </c>
      <c r="Q67" s="6">
        <f t="shared" si="5"/>
        <v>903970</v>
      </c>
      <c r="R67" s="6">
        <f>ROUND(IF(ISERROR(VLOOKUP(#REF!,'WIP(재공품)'!$B$12:$AB$38,13,0)),0,VLOOKUP(#REF!,'WIP(재공품)'!$B$12:$AB$38,13,0)),0)</f>
        <v>0</v>
      </c>
      <c r="S67" s="6">
        <f>IF(ISERROR(VLOOKUP(#REF!,'WIP(재공품)'!$B$12:$AB$38,10,0)),0,VLOOKUP(#REF!,'WIP(재공품)'!$B$12:$AB$38,10,0))</f>
        <v>0</v>
      </c>
      <c r="T67" s="6">
        <f>SUMIF('JUNE (물량흐름)'!$C$13:$C$502,'Direct labour(직접노무비)'!C67,'JUNE (물량흐름)'!$Y$13:$Y$502)</f>
        <v>0</v>
      </c>
      <c r="U67" s="6">
        <f t="shared" si="6"/>
        <v>0</v>
      </c>
      <c r="V67" s="6">
        <f>ROUND(SUMIF('JUNE (물량흐름)'!$C$13:$C$502,'Direct labour(직접노무비)'!C67,'JUNE (물량흐름)'!$N$13:$N$502),0)</f>
        <v>0</v>
      </c>
      <c r="W67" s="6">
        <f>ROUND(SUMIF('JUNE (물량흐름)'!$C$13:$C$502,'Direct labour(직접노무비)'!C67,'JUNE (물량흐름)'!$O$13:$O$502),0)</f>
        <v>0</v>
      </c>
      <c r="X67" s="6">
        <f>ROUND(SUMIF('JUNE (물량흐름)'!$C$13:$C$502,'Direct labour(직접노무비)'!C67,'JUNE (물량흐름)'!$P$13:$P$502),0)</f>
        <v>0</v>
      </c>
      <c r="Y67" s="6">
        <f t="shared" si="7"/>
        <v>0</v>
      </c>
      <c r="Z67" s="6">
        <f t="shared" si="8"/>
        <v>0</v>
      </c>
      <c r="AA67" s="6">
        <f t="shared" si="9"/>
        <v>0</v>
      </c>
      <c r="AB67" s="389">
        <f t="shared" si="10"/>
        <v>0</v>
      </c>
      <c r="AC67" s="389">
        <f t="shared" si="11"/>
        <v>0</v>
      </c>
      <c r="AD67" s="389">
        <f t="shared" si="12"/>
        <v>0</v>
      </c>
    </row>
    <row r="68" spans="1:30" s="390" customFormat="1" ht="15" customHeight="1">
      <c r="A68" s="167">
        <v>57</v>
      </c>
      <c r="B68" s="267" t="str">
        <f>VLOOKUP(A68,'JUNE (물량흐름)'!$A$13:$C$502,2,0)</f>
        <v>INC</v>
      </c>
      <c r="C68" s="240">
        <f>VLOOKUP(A68,'JUNE (물량흐름)'!$A$13:$C$502,3,0)</f>
        <v>100008168</v>
      </c>
      <c r="D68" s="6">
        <f>VLOOKUP(C68,'WIP(재공품)'!$B$12:$E$493,4,0)</f>
        <v>49885.000000000007</v>
      </c>
      <c r="E68" s="6">
        <f>IFERROR(VLOOKUP(C68,O.B.JUNE!$AA$7:$AG$448,2,0),0)</f>
        <v>0</v>
      </c>
      <c r="F68" s="6">
        <f>IFERROR(VLOOKUP(C68,O.B.JUNE!$AA$7:$AG$448,3,0),0)</f>
        <v>0</v>
      </c>
      <c r="G68" s="6">
        <f>IFERROR(VLOOKUP(C68,O.B.JUNE!$AA$7:$AD$448,4,0),0)</f>
        <v>94</v>
      </c>
      <c r="H68" s="6">
        <f t="shared" si="2"/>
        <v>94</v>
      </c>
      <c r="I68" s="6">
        <f>IFERROR(VLOOKUP(C68,O.B.JUNE!$AA$7:$AF$448,6,0),0)</f>
        <v>75</v>
      </c>
      <c r="J68" s="6"/>
      <c r="K68" s="6">
        <f>IFERROR(VLOOKUP(C68,O.B.JUNE!$AA$7:$AG$448,7,0),0)</f>
        <v>2152830</v>
      </c>
      <c r="L68" s="6">
        <f>SUMIF('JUNE (물량흐름)'!$C$13:$C$502,'Direct labour(직접노무비)'!C68,'JUNE (물량흐름)'!$H$13:$H$502)+SUMIF('JUNE (물량흐름)'!$C$13:$C$502,'Direct labour(직접노무비)'!C68,'JUNE (물량흐름)'!$I$13:$I$502)</f>
        <v>0</v>
      </c>
      <c r="M68" s="6">
        <f t="shared" si="3"/>
        <v>0</v>
      </c>
      <c r="N68" s="6">
        <f t="shared" si="4"/>
        <v>0</v>
      </c>
      <c r="O68" s="6">
        <f t="shared" si="13"/>
        <v>0</v>
      </c>
      <c r="P68" s="6">
        <f>SUMIF('JUNE (물량흐름)'!$C$13:$C$502,C68,'JUNE (물량흐름)'!$T$13:$T$502)+SUMIF('JUNE (물량흐름)'!$C$13:$C$502,C68,'JUNE (물량흐름)'!$V$13:$V$502)+SUMIF('JUNE (물량흐름)'!$C$13:$C$502,C68,'JUNE (물량흐름)'!$U$13:$U$502)-SUMIF('JUNE (물량흐름)'!$C$13:$C$502,C68,'JUNE (물량흐름)'!$Y$13:$Y$502)</f>
        <v>94</v>
      </c>
      <c r="Q68" s="6">
        <f t="shared" si="5"/>
        <v>2152830</v>
      </c>
      <c r="R68" s="6">
        <f>ROUND(IF(ISERROR(VLOOKUP(#REF!,'WIP(재공품)'!$B$12:$AB$38,13,0)),0,VLOOKUP(#REF!,'WIP(재공품)'!$B$12:$AB$38,13,0)),0)</f>
        <v>0</v>
      </c>
      <c r="S68" s="6">
        <f>IF(ISERROR(VLOOKUP(#REF!,'WIP(재공품)'!$B$12:$AB$38,10,0)),0,VLOOKUP(#REF!,'WIP(재공품)'!$B$12:$AB$38,10,0))</f>
        <v>0</v>
      </c>
      <c r="T68" s="6">
        <f>SUMIF('JUNE (물량흐름)'!$C$13:$C$502,'Direct labour(직접노무비)'!C68,'JUNE (물량흐름)'!$Y$13:$Y$502)</f>
        <v>0</v>
      </c>
      <c r="U68" s="6">
        <f t="shared" si="6"/>
        <v>0</v>
      </c>
      <c r="V68" s="6">
        <f>ROUND(SUMIF('JUNE (물량흐름)'!$C$13:$C$502,'Direct labour(직접노무비)'!C68,'JUNE (물량흐름)'!$N$13:$N$502),0)</f>
        <v>0</v>
      </c>
      <c r="W68" s="6">
        <f>ROUND(SUMIF('JUNE (물량흐름)'!$C$13:$C$502,'Direct labour(직접노무비)'!C68,'JUNE (물량흐름)'!$O$13:$O$502),0)</f>
        <v>0</v>
      </c>
      <c r="X68" s="6">
        <f>ROUND(SUMIF('JUNE (물량흐름)'!$C$13:$C$502,'Direct labour(직접노무비)'!C68,'JUNE (물량흐름)'!$P$13:$P$502),0)</f>
        <v>0</v>
      </c>
      <c r="Y68" s="6">
        <f t="shared" si="7"/>
        <v>0</v>
      </c>
      <c r="Z68" s="6">
        <f t="shared" si="8"/>
        <v>0</v>
      </c>
      <c r="AA68" s="6">
        <f t="shared" si="9"/>
        <v>0</v>
      </c>
      <c r="AB68" s="389">
        <f t="shared" si="10"/>
        <v>0</v>
      </c>
      <c r="AC68" s="389">
        <f t="shared" si="11"/>
        <v>0</v>
      </c>
      <c r="AD68" s="389">
        <f t="shared" si="12"/>
        <v>0</v>
      </c>
    </row>
    <row r="69" spans="1:30" s="390" customFormat="1" ht="15" customHeight="1">
      <c r="A69" s="167">
        <v>58</v>
      </c>
      <c r="B69" s="267" t="str">
        <f>VLOOKUP(A69,'JUNE (물량흐름)'!$A$13:$C$502,2,0)</f>
        <v>INC</v>
      </c>
      <c r="C69" s="240" t="str">
        <f>VLOOKUP(A69,'JUNE (물량흐름)'!$A$13:$C$502,3,0)</f>
        <v>10010195(7D324)</v>
      </c>
      <c r="D69" s="6">
        <f>VLOOKUP(C69,'WIP(재공품)'!$B$12:$E$493,4,0)</f>
        <v>7936.2499999999991</v>
      </c>
      <c r="E69" s="6">
        <f>IFERROR(VLOOKUP(C69,O.B.JUNE!$AA$7:$AG$448,2,0),0)</f>
        <v>0</v>
      </c>
      <c r="F69" s="6">
        <f>IFERROR(VLOOKUP(C69,O.B.JUNE!$AA$7:$AG$448,3,0),0)</f>
        <v>0</v>
      </c>
      <c r="G69" s="6">
        <f>IFERROR(VLOOKUP(C69,O.B.JUNE!$AA$7:$AD$448,4,0),0)</f>
        <v>48</v>
      </c>
      <c r="H69" s="6">
        <f t="shared" si="2"/>
        <v>48</v>
      </c>
      <c r="I69" s="6">
        <f>IFERROR(VLOOKUP(C69,O.B.JUNE!$AA$7:$AF$448,6,0),0)</f>
        <v>38</v>
      </c>
      <c r="J69" s="6"/>
      <c r="K69" s="6">
        <f>IFERROR(VLOOKUP(C69,O.B.JUNE!$AA$7:$AG$448,7,0),0)</f>
        <v>1431632</v>
      </c>
      <c r="L69" s="6">
        <f>SUMIF('JUNE (물량흐름)'!$C$13:$C$502,'Direct labour(직접노무비)'!C69,'JUNE (물량흐름)'!$H$13:$H$502)+SUMIF('JUNE (물량흐름)'!$C$13:$C$502,'Direct labour(직접노무비)'!C69,'JUNE (물량흐름)'!$I$13:$I$502)</f>
        <v>0</v>
      </c>
      <c r="M69" s="6">
        <f t="shared" si="3"/>
        <v>0</v>
      </c>
      <c r="N69" s="6">
        <f t="shared" si="4"/>
        <v>0</v>
      </c>
      <c r="O69" s="6">
        <f t="shared" si="13"/>
        <v>0</v>
      </c>
      <c r="P69" s="6">
        <f>SUMIF('JUNE (물량흐름)'!$C$13:$C$502,C69,'JUNE (물량흐름)'!$T$13:$T$502)+SUMIF('JUNE (물량흐름)'!$C$13:$C$502,C69,'JUNE (물량흐름)'!$V$13:$V$502)+SUMIF('JUNE (물량흐름)'!$C$13:$C$502,C69,'JUNE (물량흐름)'!$U$13:$U$502)-SUMIF('JUNE (물량흐름)'!$C$13:$C$502,C69,'JUNE (물량흐름)'!$Y$13:$Y$502)</f>
        <v>48</v>
      </c>
      <c r="Q69" s="6">
        <f t="shared" si="5"/>
        <v>1431632</v>
      </c>
      <c r="R69" s="6">
        <f>ROUND(IF(ISERROR(VLOOKUP(#REF!,'WIP(재공품)'!$B$12:$AB$38,13,0)),0,VLOOKUP(#REF!,'WIP(재공품)'!$B$12:$AB$38,13,0)),0)</f>
        <v>0</v>
      </c>
      <c r="S69" s="6">
        <f>IF(ISERROR(VLOOKUP(#REF!,'WIP(재공품)'!$B$12:$AB$38,10,0)),0,VLOOKUP(#REF!,'WIP(재공품)'!$B$12:$AB$38,10,0))</f>
        <v>0</v>
      </c>
      <c r="T69" s="6">
        <f>SUMIF('JUNE (물량흐름)'!$C$13:$C$502,'Direct labour(직접노무비)'!C69,'JUNE (물량흐름)'!$Y$13:$Y$502)</f>
        <v>0</v>
      </c>
      <c r="U69" s="6">
        <f t="shared" si="6"/>
        <v>0</v>
      </c>
      <c r="V69" s="6">
        <f>ROUND(SUMIF('JUNE (물량흐름)'!$C$13:$C$502,'Direct labour(직접노무비)'!C69,'JUNE (물량흐름)'!$N$13:$N$502),0)</f>
        <v>0</v>
      </c>
      <c r="W69" s="6">
        <f>ROUND(SUMIF('JUNE (물량흐름)'!$C$13:$C$502,'Direct labour(직접노무비)'!C69,'JUNE (물량흐름)'!$O$13:$O$502),0)</f>
        <v>0</v>
      </c>
      <c r="X69" s="6">
        <f>ROUND(SUMIF('JUNE (물량흐름)'!$C$13:$C$502,'Direct labour(직접노무비)'!C69,'JUNE (물량흐름)'!$P$13:$P$502),0)</f>
        <v>0</v>
      </c>
      <c r="Y69" s="6">
        <f t="shared" si="7"/>
        <v>0</v>
      </c>
      <c r="Z69" s="6">
        <f t="shared" si="8"/>
        <v>0</v>
      </c>
      <c r="AA69" s="6">
        <f t="shared" si="9"/>
        <v>0</v>
      </c>
      <c r="AB69" s="389">
        <f t="shared" si="10"/>
        <v>0</v>
      </c>
      <c r="AC69" s="389">
        <f t="shared" si="11"/>
        <v>0</v>
      </c>
      <c r="AD69" s="389">
        <f t="shared" si="12"/>
        <v>0</v>
      </c>
    </row>
    <row r="70" spans="1:30" s="390" customFormat="1" ht="15" customHeight="1">
      <c r="A70" s="167">
        <v>59</v>
      </c>
      <c r="B70" s="267" t="str">
        <f>VLOOKUP(A70,'JUNE (물량흐름)'!$A$13:$C$502,2,0)</f>
        <v>INC</v>
      </c>
      <c r="C70" s="240" t="str">
        <f>VLOOKUP(A70,'JUNE (물량흐름)'!$A$13:$C$502,3,0)</f>
        <v>6D398</v>
      </c>
      <c r="D70" s="6">
        <f>VLOOKUP(C70,'WIP(재공품)'!$B$12:$E$493,4,0)</f>
        <v>72106.5</v>
      </c>
      <c r="E70" s="6">
        <f>IFERROR(VLOOKUP(C70,O.B.JUNE!$AA$7:$AG$448,2,0),0)</f>
        <v>1789</v>
      </c>
      <c r="F70" s="6">
        <f>IFERROR(VLOOKUP(C70,O.B.JUNE!$AA$7:$AG$448,3,0),0)</f>
        <v>941</v>
      </c>
      <c r="G70" s="6">
        <f>IFERROR(VLOOKUP(C70,O.B.JUNE!$AA$7:$AD$448,4,0),0)</f>
        <v>816</v>
      </c>
      <c r="H70" s="6">
        <f t="shared" si="2"/>
        <v>3546</v>
      </c>
      <c r="I70" s="6">
        <f>IFERROR(VLOOKUP(C70,O.B.JUNE!$AA$7:$AF$448,6,0),0)</f>
        <v>1481</v>
      </c>
      <c r="J70" s="6"/>
      <c r="K70" s="6">
        <f>IFERROR(VLOOKUP(C70,O.B.JUNE!$AA$7:$AG$448,7,0),0)</f>
        <v>64448719</v>
      </c>
      <c r="L70" s="6">
        <f>SUMIF('JUNE (물량흐름)'!$C$13:$C$502,'Direct labour(직접노무비)'!C70,'JUNE (물량흐름)'!$H$13:$H$502)+SUMIF('JUNE (물량흐름)'!$C$13:$C$502,'Direct labour(직접노무비)'!C70,'JUNE (물량흐름)'!$I$13:$I$502)</f>
        <v>10072</v>
      </c>
      <c r="M70" s="6">
        <f t="shared" si="3"/>
        <v>10334</v>
      </c>
      <c r="N70" s="6">
        <f t="shared" si="4"/>
        <v>745148571</v>
      </c>
      <c r="O70" s="6">
        <f t="shared" si="13"/>
        <v>230454859</v>
      </c>
      <c r="P70" s="6">
        <f>SUMIF('JUNE (물량흐름)'!$C$13:$C$502,C70,'JUNE (물량흐름)'!$T$13:$T$502)+SUMIF('JUNE (물량흐름)'!$C$13:$C$502,C70,'JUNE (물량흐름)'!$V$13:$V$502)+SUMIF('JUNE (물량흐름)'!$C$13:$C$502,C70,'JUNE (물량흐름)'!$U$13:$U$502)-SUMIF('JUNE (물량흐름)'!$C$13:$C$502,C70,'JUNE (물량흐름)'!$Y$13:$Y$502)</f>
        <v>10137</v>
      </c>
      <c r="Q70" s="6">
        <f t="shared" si="5"/>
        <v>219521043</v>
      </c>
      <c r="R70" s="6">
        <f>ROUND(IF(ISERROR(VLOOKUP(#REF!,'WIP(재공품)'!$B$12:$AB$38,13,0)),0,VLOOKUP(#REF!,'WIP(재공품)'!$B$12:$AB$38,13,0)),0)</f>
        <v>0</v>
      </c>
      <c r="S70" s="6">
        <f>IF(ISERROR(VLOOKUP(#REF!,'WIP(재공품)'!$B$12:$AB$38,10,0)),0,VLOOKUP(#REF!,'WIP(재공품)'!$B$12:$AB$38,10,0))</f>
        <v>0</v>
      </c>
      <c r="T70" s="6">
        <f>SUMIF('JUNE (물량흐름)'!$C$13:$C$502,'Direct labour(직접노무비)'!C70,'JUNE (물량흐름)'!$Y$13:$Y$502)</f>
        <v>0</v>
      </c>
      <c r="U70" s="6">
        <f t="shared" si="6"/>
        <v>0</v>
      </c>
      <c r="V70" s="6">
        <f>ROUND(SUMIF('JUNE (물량흐름)'!$C$13:$C$502,'Direct labour(직접노무비)'!C70,'JUNE (물량흐름)'!$N$13:$N$502),0)</f>
        <v>930</v>
      </c>
      <c r="W70" s="6">
        <f>ROUND(SUMIF('JUNE (물량흐름)'!$C$13:$C$502,'Direct labour(직접노무비)'!C70,'JUNE (물량흐름)'!$O$13:$O$502),0)</f>
        <v>1829</v>
      </c>
      <c r="X70" s="6">
        <f>ROUND(SUMIF('JUNE (물량흐름)'!$C$13:$C$502,'Direct labour(직접노무비)'!C70,'JUNE (물량흐름)'!$P$13:$P$502),0)</f>
        <v>722</v>
      </c>
      <c r="Y70" s="6">
        <f t="shared" si="7"/>
        <v>3481</v>
      </c>
      <c r="Z70" s="6">
        <f t="shared" si="8"/>
        <v>1678</v>
      </c>
      <c r="AA70" s="6">
        <f t="shared" si="9"/>
        <v>75382535</v>
      </c>
      <c r="AB70" s="389">
        <f t="shared" si="10"/>
        <v>0</v>
      </c>
      <c r="AC70" s="389">
        <f t="shared" si="11"/>
        <v>0</v>
      </c>
      <c r="AD70" s="389">
        <f t="shared" si="12"/>
        <v>0</v>
      </c>
    </row>
    <row r="71" spans="1:30" s="390" customFormat="1" ht="15" customHeight="1">
      <c r="A71" s="167">
        <v>60</v>
      </c>
      <c r="B71" s="267" t="str">
        <f>VLOOKUP(A71,'JUNE (물량흐름)'!$A$13:$C$502,2,0)</f>
        <v>INC</v>
      </c>
      <c r="C71" s="240" t="str">
        <f>VLOOKUP(A71,'JUNE (물량흐름)'!$A$13:$C$502,3,0)</f>
        <v>7D320(100010192)</v>
      </c>
      <c r="D71" s="6">
        <f>VLOOKUP(C71,'WIP(재공품)'!$B$12:$E$493,4,0)</f>
        <v>7936.2499999999991</v>
      </c>
      <c r="E71" s="6">
        <f>IFERROR(VLOOKUP(C71,O.B.JUNE!$AA$7:$AG$448,2,0),0)</f>
        <v>0</v>
      </c>
      <c r="F71" s="6">
        <f>IFERROR(VLOOKUP(C71,O.B.JUNE!$AA$7:$AG$448,3,0),0)</f>
        <v>0</v>
      </c>
      <c r="G71" s="6">
        <f>IFERROR(VLOOKUP(C71,O.B.JUNE!$AA$7:$AD$448,4,0),0)</f>
        <v>73</v>
      </c>
      <c r="H71" s="6">
        <f t="shared" si="2"/>
        <v>73</v>
      </c>
      <c r="I71" s="6">
        <f>IFERROR(VLOOKUP(C71,O.B.JUNE!$AA$7:$AF$448,6,0),0)</f>
        <v>58</v>
      </c>
      <c r="J71" s="6"/>
      <c r="K71" s="6">
        <f>IFERROR(VLOOKUP(C71,O.B.JUNE!$AA$7:$AG$448,7,0),0)</f>
        <v>1508775</v>
      </c>
      <c r="L71" s="6">
        <f>SUMIF('JUNE (물량흐름)'!$C$13:$C$502,'Direct labour(직접노무비)'!C71,'JUNE (물량흐름)'!$H$13:$H$502)+SUMIF('JUNE (물량흐름)'!$C$13:$C$502,'Direct labour(직접노무비)'!C71,'JUNE (물량흐름)'!$I$13:$I$502)</f>
        <v>0</v>
      </c>
      <c r="M71" s="6">
        <f t="shared" si="3"/>
        <v>0</v>
      </c>
      <c r="N71" s="6">
        <f t="shared" si="4"/>
        <v>0</v>
      </c>
      <c r="O71" s="6">
        <f t="shared" si="13"/>
        <v>0</v>
      </c>
      <c r="P71" s="6">
        <f>SUMIF('JUNE (물량흐름)'!$C$13:$C$502,C71,'JUNE (물량흐름)'!$T$13:$T$502)+SUMIF('JUNE (물량흐름)'!$C$13:$C$502,C71,'JUNE (물량흐름)'!$V$13:$V$502)+SUMIF('JUNE (물량흐름)'!$C$13:$C$502,C71,'JUNE (물량흐름)'!$U$13:$U$502)-SUMIF('JUNE (물량흐름)'!$C$13:$C$502,C71,'JUNE (물량흐름)'!$Y$13:$Y$502)</f>
        <v>73</v>
      </c>
      <c r="Q71" s="6">
        <f t="shared" si="5"/>
        <v>1508775</v>
      </c>
      <c r="R71" s="6">
        <f>ROUND(IF(ISERROR(VLOOKUP(#REF!,'WIP(재공품)'!$B$12:$AB$38,13,0)),0,VLOOKUP(#REF!,'WIP(재공품)'!$B$12:$AB$38,13,0)),0)</f>
        <v>0</v>
      </c>
      <c r="S71" s="6">
        <f>IF(ISERROR(VLOOKUP(#REF!,'WIP(재공품)'!$B$12:$AB$38,10,0)),0,VLOOKUP(#REF!,'WIP(재공품)'!$B$12:$AB$38,10,0))</f>
        <v>0</v>
      </c>
      <c r="T71" s="6">
        <f>SUMIF('JUNE (물량흐름)'!$C$13:$C$502,'Direct labour(직접노무비)'!C71,'JUNE (물량흐름)'!$Y$13:$Y$502)</f>
        <v>0</v>
      </c>
      <c r="U71" s="6">
        <f t="shared" si="6"/>
        <v>0</v>
      </c>
      <c r="V71" s="6">
        <f>ROUND(SUMIF('JUNE (물량흐름)'!$C$13:$C$502,'Direct labour(직접노무비)'!C71,'JUNE (물량흐름)'!$N$13:$N$502),0)</f>
        <v>0</v>
      </c>
      <c r="W71" s="6">
        <f>ROUND(SUMIF('JUNE (물량흐름)'!$C$13:$C$502,'Direct labour(직접노무비)'!C71,'JUNE (물량흐름)'!$O$13:$O$502),0)</f>
        <v>0</v>
      </c>
      <c r="X71" s="6">
        <f>ROUND(SUMIF('JUNE (물량흐름)'!$C$13:$C$502,'Direct labour(직접노무비)'!C71,'JUNE (물량흐름)'!$P$13:$P$502),0)</f>
        <v>0</v>
      </c>
      <c r="Y71" s="6">
        <f t="shared" si="7"/>
        <v>0</v>
      </c>
      <c r="Z71" s="6">
        <f t="shared" si="8"/>
        <v>0</v>
      </c>
      <c r="AA71" s="6">
        <f t="shared" si="9"/>
        <v>0</v>
      </c>
      <c r="AB71" s="389">
        <f t="shared" si="10"/>
        <v>0</v>
      </c>
      <c r="AC71" s="389">
        <f t="shared" si="11"/>
        <v>0</v>
      </c>
      <c r="AD71" s="389">
        <f t="shared" si="12"/>
        <v>0</v>
      </c>
    </row>
    <row r="72" spans="1:30" s="390" customFormat="1" ht="15" customHeight="1">
      <c r="A72" s="167">
        <v>61</v>
      </c>
      <c r="B72" s="267" t="str">
        <f>VLOOKUP(A72,'JUNE (물량흐름)'!$A$13:$C$502,2,0)</f>
        <v>INC</v>
      </c>
      <c r="C72" s="240" t="str">
        <f>VLOOKUP(A72,'JUNE (물량흐름)'!$A$13:$C$502,3,0)</f>
        <v>7D534(100010660)</v>
      </c>
      <c r="D72" s="6">
        <f>VLOOKUP(C72,'WIP(재공품)'!$B$12:$E$493,4,0)</f>
        <v>7936.2499999999991</v>
      </c>
      <c r="E72" s="6">
        <f>IFERROR(VLOOKUP(C72,O.B.JUNE!$AA$7:$AG$448,2,0),0)</f>
        <v>0</v>
      </c>
      <c r="F72" s="6">
        <f>IFERROR(VLOOKUP(C72,O.B.JUNE!$AA$7:$AG$448,3,0),0)</f>
        <v>0</v>
      </c>
      <c r="G72" s="6">
        <f>IFERROR(VLOOKUP(C72,O.B.JUNE!$AA$7:$AD$448,4,0),0)</f>
        <v>27</v>
      </c>
      <c r="H72" s="6">
        <f t="shared" si="2"/>
        <v>27</v>
      </c>
      <c r="I72" s="6">
        <f>IFERROR(VLOOKUP(C72,O.B.JUNE!$AA$7:$AF$448,6,0),0)</f>
        <v>22</v>
      </c>
      <c r="J72" s="6"/>
      <c r="K72" s="6">
        <f>IFERROR(VLOOKUP(C72,O.B.JUNE!$AA$7:$AG$448,7,0),0)</f>
        <v>789371</v>
      </c>
      <c r="L72" s="6">
        <f>SUMIF('JUNE (물량흐름)'!$C$13:$C$502,'Direct labour(직접노무비)'!C72,'JUNE (물량흐름)'!$H$13:$H$502)+SUMIF('JUNE (물량흐름)'!$C$13:$C$502,'Direct labour(직접노무비)'!C72,'JUNE (물량흐름)'!$I$13:$I$502)</f>
        <v>0</v>
      </c>
      <c r="M72" s="6">
        <f t="shared" si="3"/>
        <v>0</v>
      </c>
      <c r="N72" s="6">
        <f t="shared" si="4"/>
        <v>0</v>
      </c>
      <c r="O72" s="6">
        <f t="shared" si="13"/>
        <v>0</v>
      </c>
      <c r="P72" s="6">
        <f>SUMIF('JUNE (물량흐름)'!$C$13:$C$502,C72,'JUNE (물량흐름)'!$T$13:$T$502)+SUMIF('JUNE (물량흐름)'!$C$13:$C$502,C72,'JUNE (물량흐름)'!$V$13:$V$502)+SUMIF('JUNE (물량흐름)'!$C$13:$C$502,C72,'JUNE (물량흐름)'!$U$13:$U$502)-SUMIF('JUNE (물량흐름)'!$C$13:$C$502,C72,'JUNE (물량흐름)'!$Y$13:$Y$502)</f>
        <v>27</v>
      </c>
      <c r="Q72" s="6">
        <f t="shared" si="5"/>
        <v>789371</v>
      </c>
      <c r="R72" s="6">
        <f>ROUND(IF(ISERROR(VLOOKUP(#REF!,'WIP(재공품)'!$B$12:$AB$38,13,0)),0,VLOOKUP(#REF!,'WIP(재공품)'!$B$12:$AB$38,13,0)),0)</f>
        <v>0</v>
      </c>
      <c r="S72" s="6">
        <f>IF(ISERROR(VLOOKUP(#REF!,'WIP(재공품)'!$B$12:$AB$38,10,0)),0,VLOOKUP(#REF!,'WIP(재공품)'!$B$12:$AB$38,10,0))</f>
        <v>0</v>
      </c>
      <c r="T72" s="6">
        <f>SUMIF('JUNE (물량흐름)'!$C$13:$C$502,'Direct labour(직접노무비)'!C72,'JUNE (물량흐름)'!$Y$13:$Y$502)</f>
        <v>0</v>
      </c>
      <c r="U72" s="6">
        <f t="shared" si="6"/>
        <v>0</v>
      </c>
      <c r="V72" s="6">
        <f>ROUND(SUMIF('JUNE (물량흐름)'!$C$13:$C$502,'Direct labour(직접노무비)'!C72,'JUNE (물량흐름)'!$N$13:$N$502),0)</f>
        <v>0</v>
      </c>
      <c r="W72" s="6">
        <f>ROUND(SUMIF('JUNE (물량흐름)'!$C$13:$C$502,'Direct labour(직접노무비)'!C72,'JUNE (물량흐름)'!$O$13:$O$502),0)</f>
        <v>0</v>
      </c>
      <c r="X72" s="6">
        <f>ROUND(SUMIF('JUNE (물량흐름)'!$C$13:$C$502,'Direct labour(직접노무비)'!C72,'JUNE (물량흐름)'!$P$13:$P$502),0)</f>
        <v>0</v>
      </c>
      <c r="Y72" s="6">
        <f t="shared" si="7"/>
        <v>0</v>
      </c>
      <c r="Z72" s="6">
        <f t="shared" si="8"/>
        <v>0</v>
      </c>
      <c r="AA72" s="6">
        <f t="shared" si="9"/>
        <v>0</v>
      </c>
      <c r="AB72" s="389">
        <f t="shared" si="10"/>
        <v>0</v>
      </c>
      <c r="AC72" s="389">
        <f t="shared" si="11"/>
        <v>0</v>
      </c>
      <c r="AD72" s="389">
        <f t="shared" si="12"/>
        <v>0</v>
      </c>
    </row>
    <row r="73" spans="1:30" s="390" customFormat="1" ht="15" customHeight="1">
      <c r="A73" s="167">
        <v>62</v>
      </c>
      <c r="B73" s="267" t="str">
        <f>VLOOKUP(A73,'JUNE (물량흐름)'!$A$13:$C$502,2,0)</f>
        <v>INC</v>
      </c>
      <c r="C73" s="240" t="str">
        <f>VLOOKUP(A73,'JUNE (물량흐름)'!$A$13:$C$502,3,0)</f>
        <v>7D650(100010275)</v>
      </c>
      <c r="D73" s="6">
        <f>VLOOKUP(C73,'WIP(재공품)'!$B$12:$E$493,4,0)</f>
        <v>27890.25</v>
      </c>
      <c r="E73" s="6">
        <f>IFERROR(VLOOKUP(C73,O.B.JUNE!$AA$7:$AG$448,2,0),0)</f>
        <v>0</v>
      </c>
      <c r="F73" s="6">
        <f>IFERROR(VLOOKUP(C73,O.B.JUNE!$AA$7:$AG$448,3,0),0)</f>
        <v>0</v>
      </c>
      <c r="G73" s="6">
        <f>IFERROR(VLOOKUP(C73,O.B.JUNE!$AA$7:$AD$448,4,0),0)</f>
        <v>112</v>
      </c>
      <c r="H73" s="6">
        <f t="shared" si="2"/>
        <v>112</v>
      </c>
      <c r="I73" s="6">
        <f>IFERROR(VLOOKUP(C73,O.B.JUNE!$AA$7:$AF$448,6,0),0)</f>
        <v>90</v>
      </c>
      <c r="J73" s="6"/>
      <c r="K73" s="6">
        <f>IFERROR(VLOOKUP(C73,O.B.JUNE!$AA$7:$AG$448,7,0),0)</f>
        <v>1937547</v>
      </c>
      <c r="L73" s="6">
        <f>SUMIF('JUNE (물량흐름)'!$C$13:$C$502,'Direct labour(직접노무비)'!C73,'JUNE (물량흐름)'!$H$13:$H$502)+SUMIF('JUNE (물량흐름)'!$C$13:$C$502,'Direct labour(직접노무비)'!C73,'JUNE (물량흐름)'!$I$13:$I$502)</f>
        <v>0</v>
      </c>
      <c r="M73" s="6">
        <f t="shared" si="3"/>
        <v>0</v>
      </c>
      <c r="N73" s="6">
        <f t="shared" si="4"/>
        <v>0</v>
      </c>
      <c r="O73" s="6">
        <f t="shared" si="13"/>
        <v>0</v>
      </c>
      <c r="P73" s="6">
        <f>SUMIF('JUNE (물량흐름)'!$C$13:$C$502,C73,'JUNE (물량흐름)'!$T$13:$T$502)+SUMIF('JUNE (물량흐름)'!$C$13:$C$502,C73,'JUNE (물량흐름)'!$V$13:$V$502)+SUMIF('JUNE (물량흐름)'!$C$13:$C$502,C73,'JUNE (물량흐름)'!$U$13:$U$502)-SUMIF('JUNE (물량흐름)'!$C$13:$C$502,C73,'JUNE (물량흐름)'!$Y$13:$Y$502)</f>
        <v>112</v>
      </c>
      <c r="Q73" s="6">
        <f t="shared" si="5"/>
        <v>1937547</v>
      </c>
      <c r="R73" s="6">
        <f>ROUND(IF(ISERROR(VLOOKUP(#REF!,'WIP(재공품)'!$B$12:$AB$38,13,0)),0,VLOOKUP(#REF!,'WIP(재공품)'!$B$12:$AB$38,13,0)),0)</f>
        <v>0</v>
      </c>
      <c r="S73" s="6">
        <f>IF(ISERROR(VLOOKUP(#REF!,'WIP(재공품)'!$B$12:$AB$38,10,0)),0,VLOOKUP(#REF!,'WIP(재공품)'!$B$12:$AB$38,10,0))</f>
        <v>0</v>
      </c>
      <c r="T73" s="6">
        <f>SUMIF('JUNE (물량흐름)'!$C$13:$C$502,'Direct labour(직접노무비)'!C73,'JUNE (물량흐름)'!$Y$13:$Y$502)</f>
        <v>0</v>
      </c>
      <c r="U73" s="6">
        <f t="shared" si="6"/>
        <v>0</v>
      </c>
      <c r="V73" s="6">
        <f>ROUND(SUMIF('JUNE (물량흐름)'!$C$13:$C$502,'Direct labour(직접노무비)'!C73,'JUNE (물량흐름)'!$N$13:$N$502),0)</f>
        <v>0</v>
      </c>
      <c r="W73" s="6">
        <f>ROUND(SUMIF('JUNE (물량흐름)'!$C$13:$C$502,'Direct labour(직접노무비)'!C73,'JUNE (물량흐름)'!$O$13:$O$502),0)</f>
        <v>0</v>
      </c>
      <c r="X73" s="6">
        <f>ROUND(SUMIF('JUNE (물량흐름)'!$C$13:$C$502,'Direct labour(직접노무비)'!C73,'JUNE (물량흐름)'!$P$13:$P$502),0)</f>
        <v>0</v>
      </c>
      <c r="Y73" s="6">
        <f t="shared" si="7"/>
        <v>0</v>
      </c>
      <c r="Z73" s="6">
        <f t="shared" si="8"/>
        <v>0</v>
      </c>
      <c r="AA73" s="6">
        <f t="shared" si="9"/>
        <v>0</v>
      </c>
      <c r="AB73" s="389">
        <f t="shared" si="10"/>
        <v>0</v>
      </c>
      <c r="AC73" s="389">
        <f t="shared" si="11"/>
        <v>0</v>
      </c>
      <c r="AD73" s="389">
        <f t="shared" si="12"/>
        <v>0</v>
      </c>
    </row>
    <row r="74" spans="1:30" s="390" customFormat="1" ht="15" customHeight="1">
      <c r="A74" s="167">
        <v>63</v>
      </c>
      <c r="B74" s="267" t="str">
        <f>VLOOKUP(A74,'JUNE (물량흐름)'!$A$13:$C$502,2,0)</f>
        <v>INC</v>
      </c>
      <c r="C74" s="240" t="str">
        <f>VLOOKUP(A74,'JUNE (물량흐름)'!$A$13:$C$502,3,0)</f>
        <v>7D664(100007920)</v>
      </c>
      <c r="D74" s="6">
        <f>VLOOKUP(C74,'WIP(재공품)'!$B$12:$E$493,4,0)</f>
        <v>8163</v>
      </c>
      <c r="E74" s="6">
        <f>IFERROR(VLOOKUP(C74,O.B.JUNE!$AA$7:$AG$448,2,0),0)</f>
        <v>0</v>
      </c>
      <c r="F74" s="6">
        <f>IFERROR(VLOOKUP(C74,O.B.JUNE!$AA$7:$AG$448,3,0),0)</f>
        <v>0</v>
      </c>
      <c r="G74" s="6">
        <f>IFERROR(VLOOKUP(C74,O.B.JUNE!$AA$7:$AD$448,4,0),0)</f>
        <v>46</v>
      </c>
      <c r="H74" s="6">
        <f t="shared" si="2"/>
        <v>46</v>
      </c>
      <c r="I74" s="6">
        <f>IFERROR(VLOOKUP(C74,O.B.JUNE!$AA$7:$AF$448,6,0),0)</f>
        <v>37</v>
      </c>
      <c r="J74" s="6"/>
      <c r="K74" s="6">
        <f>IFERROR(VLOOKUP(C74,O.B.JUNE!$AA$7:$AG$448,7,0),0)</f>
        <v>796547</v>
      </c>
      <c r="L74" s="6">
        <f>SUMIF('JUNE (물량흐름)'!$C$13:$C$502,'Direct labour(직접노무비)'!C74,'JUNE (물량흐름)'!$H$13:$H$502)+SUMIF('JUNE (물량흐름)'!$C$13:$C$502,'Direct labour(직접노무비)'!C74,'JUNE (물량흐름)'!$I$13:$I$502)</f>
        <v>0</v>
      </c>
      <c r="M74" s="6">
        <f t="shared" si="3"/>
        <v>0</v>
      </c>
      <c r="N74" s="6">
        <f t="shared" si="4"/>
        <v>0</v>
      </c>
      <c r="O74" s="6">
        <f t="shared" si="13"/>
        <v>0</v>
      </c>
      <c r="P74" s="6">
        <f>SUMIF('JUNE (물량흐름)'!$C$13:$C$502,C74,'JUNE (물량흐름)'!$T$13:$T$502)+SUMIF('JUNE (물량흐름)'!$C$13:$C$502,C74,'JUNE (물량흐름)'!$V$13:$V$502)+SUMIF('JUNE (물량흐름)'!$C$13:$C$502,C74,'JUNE (물량흐름)'!$U$13:$U$502)-SUMIF('JUNE (물량흐름)'!$C$13:$C$502,C74,'JUNE (물량흐름)'!$Y$13:$Y$502)</f>
        <v>46</v>
      </c>
      <c r="Q74" s="6">
        <f t="shared" si="5"/>
        <v>796547</v>
      </c>
      <c r="R74" s="6">
        <f>ROUND(IF(ISERROR(VLOOKUP(#REF!,'WIP(재공품)'!$B$12:$AB$38,13,0)),0,VLOOKUP(#REF!,'WIP(재공품)'!$B$12:$AB$38,13,0)),0)</f>
        <v>0</v>
      </c>
      <c r="S74" s="6">
        <f>IF(ISERROR(VLOOKUP(#REF!,'WIP(재공품)'!$B$12:$AB$38,10,0)),0,VLOOKUP(#REF!,'WIP(재공품)'!$B$12:$AB$38,10,0))</f>
        <v>0</v>
      </c>
      <c r="T74" s="6">
        <f>SUMIF('JUNE (물량흐름)'!$C$13:$C$502,'Direct labour(직접노무비)'!C74,'JUNE (물량흐름)'!$Y$13:$Y$502)</f>
        <v>0</v>
      </c>
      <c r="U74" s="6">
        <f t="shared" si="6"/>
        <v>0</v>
      </c>
      <c r="V74" s="6">
        <f>ROUND(SUMIF('JUNE (물량흐름)'!$C$13:$C$502,'Direct labour(직접노무비)'!C74,'JUNE (물량흐름)'!$N$13:$N$502),0)</f>
        <v>0</v>
      </c>
      <c r="W74" s="6">
        <f>ROUND(SUMIF('JUNE (물량흐름)'!$C$13:$C$502,'Direct labour(직접노무비)'!C74,'JUNE (물량흐름)'!$O$13:$O$502),0)</f>
        <v>0</v>
      </c>
      <c r="X74" s="6">
        <f>ROUND(SUMIF('JUNE (물량흐름)'!$C$13:$C$502,'Direct labour(직접노무비)'!C74,'JUNE (물량흐름)'!$P$13:$P$502),0)</f>
        <v>0</v>
      </c>
      <c r="Y74" s="6">
        <f t="shared" si="7"/>
        <v>0</v>
      </c>
      <c r="Z74" s="6">
        <f t="shared" si="8"/>
        <v>0</v>
      </c>
      <c r="AA74" s="6">
        <f t="shared" si="9"/>
        <v>0</v>
      </c>
      <c r="AB74" s="389">
        <f t="shared" si="10"/>
        <v>0</v>
      </c>
      <c r="AC74" s="389">
        <f t="shared" si="11"/>
        <v>0</v>
      </c>
      <c r="AD74" s="389">
        <f t="shared" si="12"/>
        <v>0</v>
      </c>
    </row>
    <row r="75" spans="1:30" s="390" customFormat="1" ht="15" customHeight="1">
      <c r="A75" s="167">
        <v>64</v>
      </c>
      <c r="B75" s="267" t="str">
        <f>VLOOKUP(A75,'JUNE (물량흐름)'!$A$13:$C$502,2,0)</f>
        <v>INC</v>
      </c>
      <c r="C75" s="240" t="str">
        <f>VLOOKUP(A75,'JUNE (물량흐름)'!$A$13:$C$502,3,0)</f>
        <v>7D670(10007909)</v>
      </c>
      <c r="D75" s="6">
        <f>VLOOKUP(C75,'WIP(재공품)'!$B$12:$E$493,4,0)</f>
        <v>8163</v>
      </c>
      <c r="E75" s="6">
        <f>IFERROR(VLOOKUP(C75,O.B.JUNE!$AA$7:$AG$448,2,0),0)</f>
        <v>0</v>
      </c>
      <c r="F75" s="6">
        <f>IFERROR(VLOOKUP(C75,O.B.JUNE!$AA$7:$AG$448,3,0),0)</f>
        <v>0</v>
      </c>
      <c r="G75" s="6">
        <f>IFERROR(VLOOKUP(C75,O.B.JUNE!$AA$7:$AD$448,4,0),0)</f>
        <v>356</v>
      </c>
      <c r="H75" s="6">
        <f t="shared" si="2"/>
        <v>356</v>
      </c>
      <c r="I75" s="6">
        <f>IFERROR(VLOOKUP(C75,O.B.JUNE!$AA$7:$AF$448,6,0),0)</f>
        <v>285</v>
      </c>
      <c r="J75" s="6"/>
      <c r="K75" s="6">
        <f>IFERROR(VLOOKUP(C75,O.B.JUNE!$AA$7:$AG$448,7,0),0)</f>
        <v>5112971</v>
      </c>
      <c r="L75" s="6">
        <f>SUMIF('JUNE (물량흐름)'!$C$13:$C$502,'Direct labour(직접노무비)'!C75,'JUNE (물량흐름)'!$H$13:$H$502)+SUMIF('JUNE (물량흐름)'!$C$13:$C$502,'Direct labour(직접노무비)'!C75,'JUNE (물량흐름)'!$I$13:$I$502)</f>
        <v>0</v>
      </c>
      <c r="M75" s="6">
        <f t="shared" si="3"/>
        <v>0</v>
      </c>
      <c r="N75" s="6">
        <f t="shared" si="4"/>
        <v>0</v>
      </c>
      <c r="O75" s="6">
        <f t="shared" si="13"/>
        <v>0</v>
      </c>
      <c r="P75" s="6">
        <f>SUMIF('JUNE (물량흐름)'!$C$13:$C$502,C75,'JUNE (물량흐름)'!$T$13:$T$502)+SUMIF('JUNE (물량흐름)'!$C$13:$C$502,C75,'JUNE (물량흐름)'!$V$13:$V$502)+SUMIF('JUNE (물량흐름)'!$C$13:$C$502,C75,'JUNE (물량흐름)'!$U$13:$U$502)-SUMIF('JUNE (물량흐름)'!$C$13:$C$502,C75,'JUNE (물량흐름)'!$Y$13:$Y$502)</f>
        <v>356</v>
      </c>
      <c r="Q75" s="6">
        <f t="shared" si="5"/>
        <v>5112971</v>
      </c>
      <c r="R75" s="6">
        <f>ROUND(IF(ISERROR(VLOOKUP(#REF!,'WIP(재공품)'!$B$12:$AB$38,13,0)),0,VLOOKUP(#REF!,'WIP(재공품)'!$B$12:$AB$38,13,0)),0)</f>
        <v>0</v>
      </c>
      <c r="S75" s="6">
        <f>IF(ISERROR(VLOOKUP(#REF!,'WIP(재공품)'!$B$12:$AB$38,10,0)),0,VLOOKUP(#REF!,'WIP(재공품)'!$B$12:$AB$38,10,0))</f>
        <v>0</v>
      </c>
      <c r="T75" s="6">
        <f>SUMIF('JUNE (물량흐름)'!$C$13:$C$502,'Direct labour(직접노무비)'!C75,'JUNE (물량흐름)'!$Y$13:$Y$502)</f>
        <v>0</v>
      </c>
      <c r="U75" s="6">
        <f t="shared" si="6"/>
        <v>0</v>
      </c>
      <c r="V75" s="6">
        <f>ROUND(SUMIF('JUNE (물량흐름)'!$C$13:$C$502,'Direct labour(직접노무비)'!C75,'JUNE (물량흐름)'!$N$13:$N$502),0)</f>
        <v>0</v>
      </c>
      <c r="W75" s="6">
        <f>ROUND(SUMIF('JUNE (물량흐름)'!$C$13:$C$502,'Direct labour(직접노무비)'!C75,'JUNE (물량흐름)'!$O$13:$O$502),0)</f>
        <v>0</v>
      </c>
      <c r="X75" s="6">
        <f>ROUND(SUMIF('JUNE (물량흐름)'!$C$13:$C$502,'Direct labour(직접노무비)'!C75,'JUNE (물량흐름)'!$P$13:$P$502),0)</f>
        <v>0</v>
      </c>
      <c r="Y75" s="6">
        <f t="shared" si="7"/>
        <v>0</v>
      </c>
      <c r="Z75" s="6">
        <f t="shared" si="8"/>
        <v>0</v>
      </c>
      <c r="AA75" s="6">
        <f t="shared" si="9"/>
        <v>0</v>
      </c>
      <c r="AB75" s="389">
        <f t="shared" si="10"/>
        <v>0</v>
      </c>
      <c r="AC75" s="389">
        <f t="shared" si="11"/>
        <v>0</v>
      </c>
      <c r="AD75" s="389">
        <f t="shared" si="12"/>
        <v>0</v>
      </c>
    </row>
    <row r="76" spans="1:30" s="390" customFormat="1" ht="15" customHeight="1">
      <c r="A76" s="167">
        <v>65</v>
      </c>
      <c r="B76" s="267" t="str">
        <f>VLOOKUP(A76,'JUNE (물량흐름)'!$A$13:$C$502,2,0)</f>
        <v>ALFANI</v>
      </c>
      <c r="C76" s="240">
        <f>VLOOKUP(A76,'JUNE (물량흐름)'!$A$13:$C$502,3,0)</f>
        <v>100003487</v>
      </c>
      <c r="D76" s="6">
        <f>VLOOKUP(C76,'WIP(재공품)'!$B$12:$E$493,4,0)</f>
        <v>8163</v>
      </c>
      <c r="E76" s="6">
        <f>IFERROR(VLOOKUP(C76,O.B.JUNE!$AA$7:$AG$448,2,0),0)</f>
        <v>0</v>
      </c>
      <c r="F76" s="6">
        <f>IFERROR(VLOOKUP(C76,O.B.JUNE!$AA$7:$AG$448,3,0),0)</f>
        <v>0</v>
      </c>
      <c r="G76" s="6">
        <f>IFERROR(VLOOKUP(C76,O.B.JUNE!$AA$7:$AD$448,4,0),0)</f>
        <v>87</v>
      </c>
      <c r="H76" s="6">
        <f t="shared" si="2"/>
        <v>87</v>
      </c>
      <c r="I76" s="6">
        <f>IFERROR(VLOOKUP(C76,O.B.JUNE!$AA$7:$AF$448,6,0),0)</f>
        <v>70</v>
      </c>
      <c r="J76" s="6"/>
      <c r="K76" s="6">
        <f>IFERROR(VLOOKUP(C76,O.B.JUNE!$AA$7:$AG$448,7,0),0)</f>
        <v>1125603</v>
      </c>
      <c r="L76" s="6">
        <f>SUMIF('JUNE (물량흐름)'!$C$13:$C$502,'Direct labour(직접노무비)'!C76,'JUNE (물량흐름)'!$H$13:$H$502)+SUMIF('JUNE (물량흐름)'!$C$13:$C$502,'Direct labour(직접노무비)'!C76,'JUNE (물량흐름)'!$I$13:$I$502)</f>
        <v>0</v>
      </c>
      <c r="M76" s="6">
        <f t="shared" si="3"/>
        <v>0</v>
      </c>
      <c r="N76" s="6">
        <f t="shared" si="4"/>
        <v>0</v>
      </c>
      <c r="O76" s="6">
        <f t="shared" ref="O76:O107" si="14">ROUND(M76*D76*$O$493/$N$493,0)</f>
        <v>0</v>
      </c>
      <c r="P76" s="6">
        <f>SUMIF('JUNE (물량흐름)'!$C$13:$C$502,C76,'JUNE (물량흐름)'!$T$13:$T$502)+SUMIF('JUNE (물량흐름)'!$C$13:$C$502,C76,'JUNE (물량흐름)'!$V$13:$V$502)+SUMIF('JUNE (물량흐름)'!$C$13:$C$502,C76,'JUNE (물량흐름)'!$U$13:$U$502)-SUMIF('JUNE (물량흐름)'!$C$13:$C$502,C76,'JUNE (물량흐름)'!$Y$13:$Y$502)</f>
        <v>0</v>
      </c>
      <c r="Q76" s="6">
        <f t="shared" si="5"/>
        <v>0</v>
      </c>
      <c r="R76" s="6">
        <f>ROUND(IF(ISERROR(VLOOKUP(#REF!,'WIP(재공품)'!$B$12:$AB$38,13,0)),0,VLOOKUP(#REF!,'WIP(재공품)'!$B$12:$AB$38,13,0)),0)</f>
        <v>0</v>
      </c>
      <c r="S76" s="6">
        <f>IF(ISERROR(VLOOKUP(#REF!,'WIP(재공품)'!$B$12:$AB$38,10,0)),0,VLOOKUP(#REF!,'WIP(재공품)'!$B$12:$AB$38,10,0))</f>
        <v>0</v>
      </c>
      <c r="T76" s="6">
        <f>SUMIF('JUNE (물량흐름)'!$C$13:$C$502,'Direct labour(직접노무비)'!C76,'JUNE (물량흐름)'!$Y$13:$Y$502)</f>
        <v>0</v>
      </c>
      <c r="U76" s="6">
        <f t="shared" si="6"/>
        <v>0</v>
      </c>
      <c r="V76" s="6">
        <f>ROUND(SUMIF('JUNE (물량흐름)'!$C$13:$C$502,'Direct labour(직접노무비)'!C76,'JUNE (물량흐름)'!$N$13:$N$502),0)</f>
        <v>0</v>
      </c>
      <c r="W76" s="6">
        <f>ROUND(SUMIF('JUNE (물량흐름)'!$C$13:$C$502,'Direct labour(직접노무비)'!C76,'JUNE (물량흐름)'!$O$13:$O$502),0)</f>
        <v>0</v>
      </c>
      <c r="X76" s="6">
        <f>ROUND(SUMIF('JUNE (물량흐름)'!$C$13:$C$502,'Direct labour(직접노무비)'!C76,'JUNE (물량흐름)'!$P$13:$P$502),0)</f>
        <v>87</v>
      </c>
      <c r="Y76" s="6">
        <f t="shared" si="7"/>
        <v>87</v>
      </c>
      <c r="Z76" s="6">
        <f t="shared" si="8"/>
        <v>70</v>
      </c>
      <c r="AA76" s="6">
        <f t="shared" si="9"/>
        <v>1125603</v>
      </c>
      <c r="AB76" s="389">
        <f t="shared" si="10"/>
        <v>0</v>
      </c>
      <c r="AC76" s="389">
        <f t="shared" si="11"/>
        <v>0</v>
      </c>
      <c r="AD76" s="389">
        <f t="shared" si="12"/>
        <v>0</v>
      </c>
    </row>
    <row r="77" spans="1:30" s="390" customFormat="1" ht="15" customHeight="1">
      <c r="A77" s="167">
        <v>66</v>
      </c>
      <c r="B77" s="267" t="str">
        <f>VLOOKUP(A77,'JUNE (물량흐름)'!$A$13:$C$502,2,0)</f>
        <v>ALFANI</v>
      </c>
      <c r="C77" s="240">
        <f>VLOOKUP(A77,'JUNE (물량흐름)'!$A$13:$C$502,3,0)</f>
        <v>100003506</v>
      </c>
      <c r="D77" s="6">
        <f>VLOOKUP(C77,'WIP(재공품)'!$B$12:$E$493,4,0)</f>
        <v>8163</v>
      </c>
      <c r="E77" s="6">
        <f>IFERROR(VLOOKUP(C77,O.B.JUNE!$AA$7:$AG$448,2,0),0)</f>
        <v>0</v>
      </c>
      <c r="F77" s="6">
        <f>IFERROR(VLOOKUP(C77,O.B.JUNE!$AA$7:$AG$448,3,0),0)</f>
        <v>0</v>
      </c>
      <c r="G77" s="6">
        <f>IFERROR(VLOOKUP(C77,O.B.JUNE!$AA$7:$AD$448,4,0),0)</f>
        <v>59</v>
      </c>
      <c r="H77" s="6">
        <f t="shared" ref="H77:H139" si="15">ROUND(SUM(E77:G77),0)</f>
        <v>59</v>
      </c>
      <c r="I77" s="6">
        <f>IFERROR(VLOOKUP(C77,O.B.JUNE!$AA$7:$AF$448,6,0),0)</f>
        <v>47</v>
      </c>
      <c r="J77" s="6"/>
      <c r="K77" s="6">
        <f>IFERROR(VLOOKUP(C77,O.B.JUNE!$AA$7:$AG$448,7,0),0)</f>
        <v>768762</v>
      </c>
      <c r="L77" s="6">
        <f>SUMIF('JUNE (물량흐름)'!$C$13:$C$502,'Direct labour(직접노무비)'!C77,'JUNE (물량흐름)'!$H$13:$H$502)+SUMIF('JUNE (물량흐름)'!$C$13:$C$502,'Direct labour(직접노무비)'!C77,'JUNE (물량흐름)'!$I$13:$I$502)</f>
        <v>3080</v>
      </c>
      <c r="M77" s="6">
        <f t="shared" ref="M77:M139" si="16">ROUND(IF(OR(L77&lt;=0,P77+T77+R77+Z77-I77&lt;0),0,ROUND(P77+T77+R77+Z77-I77,0)),0)</f>
        <v>2975</v>
      </c>
      <c r="N77" s="6">
        <f t="shared" ref="N77:N139" si="17">ROUND(M77*D77,0)</f>
        <v>24284925</v>
      </c>
      <c r="O77" s="6">
        <f t="shared" si="14"/>
        <v>7510689</v>
      </c>
      <c r="P77" s="6">
        <f>SUMIF('JUNE (물량흐름)'!$C$13:$C$502,C77,'JUNE (물량흐름)'!$T$13:$T$502)+SUMIF('JUNE (물량흐름)'!$C$13:$C$502,C77,'JUNE (물량흐름)'!$V$13:$V$502)+SUMIF('JUNE (물량흐름)'!$C$13:$C$502,C77,'JUNE (물량흐름)'!$U$13:$U$502)-SUMIF('JUNE (물량흐름)'!$C$13:$C$502,C77,'JUNE (물량흐름)'!$Y$13:$Y$502)</f>
        <v>2765</v>
      </c>
      <c r="Q77" s="6">
        <f t="shared" ref="Q77:Q140" si="18">IFERROR(ROUND(IF(OR(P77&lt;=0,($I77+$M77)=0),$P77*($K77+$O77)/($I77+$M77),$P77*($K77+$O77)/($H77+$L77)),0),0)</f>
        <v>7292986</v>
      </c>
      <c r="R77" s="6">
        <f>ROUND(IF(ISERROR(VLOOKUP(#REF!,'WIP(재공품)'!$B$12:$AB$38,13,0)),0,VLOOKUP(#REF!,'WIP(재공품)'!$B$12:$AB$38,13,0)),0)</f>
        <v>0</v>
      </c>
      <c r="S77" s="6">
        <f>IF(ISERROR(VLOOKUP(#REF!,'WIP(재공품)'!$B$12:$AB$38,10,0)),0,VLOOKUP(#REF!,'WIP(재공품)'!$B$12:$AB$38,10,0))</f>
        <v>0</v>
      </c>
      <c r="T77" s="6">
        <f>SUMIF('JUNE (물량흐름)'!$C$13:$C$502,'Direct labour(직접노무비)'!C77,'JUNE (물량흐름)'!$Y$13:$Y$502)</f>
        <v>0</v>
      </c>
      <c r="U77" s="6">
        <f t="shared" ref="U77:U139" si="19">IFERROR(ROUND(IF(AND(T77&lt;=0,($I77+$M77)=0),T77*(K77+O77)/(I77+M77),T77*(K77+O77)/(H77+L77)),0),0)</f>
        <v>0</v>
      </c>
      <c r="V77" s="6">
        <f>ROUND(SUMIF('JUNE (물량흐름)'!$C$13:$C$502,'Direct labour(직접노무비)'!C77,'JUNE (물량흐름)'!$N$13:$N$502),0)</f>
        <v>0</v>
      </c>
      <c r="W77" s="6">
        <f>ROUND(SUMIF('JUNE (물량흐름)'!$C$13:$C$502,'Direct labour(직접노무비)'!C77,'JUNE (물량흐름)'!$O$13:$O$502),0)</f>
        <v>141</v>
      </c>
      <c r="X77" s="6">
        <f>ROUND(SUMIF('JUNE (물량흐름)'!$C$13:$C$502,'Direct labour(직접노무비)'!C77,'JUNE (물량흐름)'!$P$13:$P$502),0)</f>
        <v>233</v>
      </c>
      <c r="Y77" s="6">
        <f t="shared" ref="Y77:Y139" si="20">ROUND(SUM(V77:X77),0)</f>
        <v>374</v>
      </c>
      <c r="Z77" s="6">
        <f t="shared" ref="Z77:Z139" si="21">ROUND(V77*$V$10+W77*$W$10+X77*$X$10,0)</f>
        <v>257</v>
      </c>
      <c r="AA77" s="6">
        <f t="shared" ref="AA77:AA140" si="22">IFERROR(ROUND(IF(OR(Z77&lt;=0,($I77+$M77)=0),$Z77*($K77+$O77)/($I77+$M77),$Y77*($K77+$O77)/($H77+$L77)),0),0)</f>
        <v>986465</v>
      </c>
      <c r="AB77" s="389">
        <f t="shared" ref="AB77:AB139" si="23">K77+O77-Q77-U77-AA77</f>
        <v>0</v>
      </c>
      <c r="AC77" s="389">
        <f t="shared" ref="AC77:AC139" si="24">H77+L77-P77-T77-Y77</f>
        <v>0</v>
      </c>
      <c r="AD77" s="389">
        <f t="shared" ref="AD77:AD139" si="25">H77+L77-P77-T77-Y77</f>
        <v>0</v>
      </c>
    </row>
    <row r="78" spans="1:30" s="390" customFormat="1" ht="15" customHeight="1">
      <c r="A78" s="167">
        <v>67</v>
      </c>
      <c r="B78" s="267" t="str">
        <f>VLOOKUP(A78,'JUNE (물량흐름)'!$A$13:$C$502,2,0)</f>
        <v>ALFANI</v>
      </c>
      <c r="C78" s="240">
        <f>VLOOKUP(A78,'JUNE (물량흐름)'!$A$13:$C$502,3,0)</f>
        <v>100003522</v>
      </c>
      <c r="D78" s="6">
        <f>VLOOKUP(C78,'WIP(재공품)'!$B$12:$E$493,4,0)</f>
        <v>7936.2499999999991</v>
      </c>
      <c r="E78" s="6">
        <f>IFERROR(VLOOKUP(C78,O.B.JUNE!$AA$7:$AG$448,2,0),0)</f>
        <v>0</v>
      </c>
      <c r="F78" s="6">
        <f>IFERROR(VLOOKUP(C78,O.B.JUNE!$AA$7:$AG$448,3,0),0)</f>
        <v>0</v>
      </c>
      <c r="G78" s="6">
        <f>IFERROR(VLOOKUP(C78,O.B.JUNE!$AA$7:$AD$448,4,0),0)</f>
        <v>113</v>
      </c>
      <c r="H78" s="6">
        <f t="shared" si="15"/>
        <v>113</v>
      </c>
      <c r="I78" s="6">
        <f>IFERROR(VLOOKUP(C78,O.B.JUNE!$AA$7:$AF$448,6,0),0)</f>
        <v>90</v>
      </c>
      <c r="J78" s="6"/>
      <c r="K78" s="6">
        <f>IFERROR(VLOOKUP(C78,O.B.JUNE!$AA$7:$AG$448,7,0),0)</f>
        <v>860500</v>
      </c>
      <c r="L78" s="6">
        <f>SUMIF('JUNE (물량흐름)'!$C$13:$C$502,'Direct labour(직접노무비)'!C78,'JUNE (물량흐름)'!$H$13:$H$502)+SUMIF('JUNE (물량흐름)'!$C$13:$C$502,'Direct labour(직접노무비)'!C78,'JUNE (물량흐름)'!$I$13:$I$502)</f>
        <v>0</v>
      </c>
      <c r="M78" s="6">
        <f t="shared" si="16"/>
        <v>0</v>
      </c>
      <c r="N78" s="6">
        <f t="shared" si="17"/>
        <v>0</v>
      </c>
      <c r="O78" s="6">
        <f t="shared" si="14"/>
        <v>0</v>
      </c>
      <c r="P78" s="6">
        <f>SUMIF('JUNE (물량흐름)'!$C$13:$C$502,C78,'JUNE (물량흐름)'!$T$13:$T$502)+SUMIF('JUNE (물량흐름)'!$C$13:$C$502,C78,'JUNE (물량흐름)'!$V$13:$V$502)+SUMIF('JUNE (물량흐름)'!$C$13:$C$502,C78,'JUNE (물량흐름)'!$U$13:$U$502)-SUMIF('JUNE (물량흐름)'!$C$13:$C$502,C78,'JUNE (물량흐름)'!$Y$13:$Y$502)</f>
        <v>0</v>
      </c>
      <c r="Q78" s="6">
        <f t="shared" si="18"/>
        <v>0</v>
      </c>
      <c r="R78" s="6">
        <f>ROUND(IF(ISERROR(VLOOKUP(#REF!,'WIP(재공품)'!$B$12:$AB$38,13,0)),0,VLOOKUP(#REF!,'WIP(재공품)'!$B$12:$AB$38,13,0)),0)</f>
        <v>0</v>
      </c>
      <c r="S78" s="6">
        <f>IF(ISERROR(VLOOKUP(#REF!,'WIP(재공품)'!$B$12:$AB$38,10,0)),0,VLOOKUP(#REF!,'WIP(재공품)'!$B$12:$AB$38,10,0))</f>
        <v>0</v>
      </c>
      <c r="T78" s="6">
        <f>SUMIF('JUNE (물량흐름)'!$C$13:$C$502,'Direct labour(직접노무비)'!C78,'JUNE (물량흐름)'!$Y$13:$Y$502)</f>
        <v>0</v>
      </c>
      <c r="U78" s="6">
        <f t="shared" si="19"/>
        <v>0</v>
      </c>
      <c r="V78" s="6">
        <f>ROUND(SUMIF('JUNE (물량흐름)'!$C$13:$C$502,'Direct labour(직접노무비)'!C78,'JUNE (물량흐름)'!$N$13:$N$502),0)</f>
        <v>0</v>
      </c>
      <c r="W78" s="6">
        <f>ROUND(SUMIF('JUNE (물량흐름)'!$C$13:$C$502,'Direct labour(직접노무비)'!C78,'JUNE (물량흐름)'!$O$13:$O$502),0)</f>
        <v>0</v>
      </c>
      <c r="X78" s="6">
        <f>ROUND(SUMIF('JUNE (물량흐름)'!$C$13:$C$502,'Direct labour(직접노무비)'!C78,'JUNE (물량흐름)'!$P$13:$P$502),0)</f>
        <v>113</v>
      </c>
      <c r="Y78" s="6">
        <f t="shared" si="20"/>
        <v>113</v>
      </c>
      <c r="Z78" s="6">
        <f t="shared" si="21"/>
        <v>90</v>
      </c>
      <c r="AA78" s="6">
        <f t="shared" si="22"/>
        <v>860500</v>
      </c>
      <c r="AB78" s="389">
        <f t="shared" si="23"/>
        <v>0</v>
      </c>
      <c r="AC78" s="389">
        <f t="shared" si="24"/>
        <v>0</v>
      </c>
      <c r="AD78" s="389">
        <f t="shared" si="25"/>
        <v>0</v>
      </c>
    </row>
    <row r="79" spans="1:30" s="390" customFormat="1" ht="15" customHeight="1">
      <c r="A79" s="167">
        <v>68</v>
      </c>
      <c r="B79" s="267" t="str">
        <f>VLOOKUP(A79,'JUNE (물량흐름)'!$A$13:$C$502,2,0)</f>
        <v>ALFANI</v>
      </c>
      <c r="C79" s="240">
        <f>VLOOKUP(A79,'JUNE (물량흐름)'!$A$13:$C$502,3,0)</f>
        <v>100003523</v>
      </c>
      <c r="D79" s="6">
        <f>VLOOKUP(C79,'WIP(재공품)'!$B$12:$E$493,4,0)</f>
        <v>7936.2499999999991</v>
      </c>
      <c r="E79" s="6">
        <f>IFERROR(VLOOKUP(C79,O.B.JUNE!$AA$7:$AG$448,2,0),0)</f>
        <v>0</v>
      </c>
      <c r="F79" s="6">
        <f>IFERROR(VLOOKUP(C79,O.B.JUNE!$AA$7:$AG$448,3,0),0)</f>
        <v>0</v>
      </c>
      <c r="G79" s="6">
        <f>IFERROR(VLOOKUP(C79,O.B.JUNE!$AA$7:$AD$448,4,0),0)</f>
        <v>113</v>
      </c>
      <c r="H79" s="6">
        <f t="shared" si="15"/>
        <v>113</v>
      </c>
      <c r="I79" s="6">
        <f>IFERROR(VLOOKUP(C79,O.B.JUNE!$AA$7:$AF$448,6,0),0)</f>
        <v>90</v>
      </c>
      <c r="J79" s="6"/>
      <c r="K79" s="6">
        <f>IFERROR(VLOOKUP(C79,O.B.JUNE!$AA$7:$AG$448,7,0),0)</f>
        <v>860500</v>
      </c>
      <c r="L79" s="6">
        <f>SUMIF('JUNE (물량흐름)'!$C$13:$C$502,'Direct labour(직접노무비)'!C79,'JUNE (물량흐름)'!$H$13:$H$502)+SUMIF('JUNE (물량흐름)'!$C$13:$C$502,'Direct labour(직접노무비)'!C79,'JUNE (물량흐름)'!$I$13:$I$502)</f>
        <v>0</v>
      </c>
      <c r="M79" s="6">
        <f t="shared" si="16"/>
        <v>0</v>
      </c>
      <c r="N79" s="6">
        <f t="shared" si="17"/>
        <v>0</v>
      </c>
      <c r="O79" s="6">
        <f t="shared" si="14"/>
        <v>0</v>
      </c>
      <c r="P79" s="6">
        <f>SUMIF('JUNE (물량흐름)'!$C$13:$C$502,C79,'JUNE (물량흐름)'!$T$13:$T$502)+SUMIF('JUNE (물량흐름)'!$C$13:$C$502,C79,'JUNE (물량흐름)'!$V$13:$V$502)+SUMIF('JUNE (물량흐름)'!$C$13:$C$502,C79,'JUNE (물량흐름)'!$U$13:$U$502)-SUMIF('JUNE (물량흐름)'!$C$13:$C$502,C79,'JUNE (물량흐름)'!$Y$13:$Y$502)</f>
        <v>0</v>
      </c>
      <c r="Q79" s="6">
        <f t="shared" si="18"/>
        <v>0</v>
      </c>
      <c r="R79" s="6">
        <f>ROUND(IF(ISERROR(VLOOKUP(#REF!,'WIP(재공품)'!$B$12:$AB$38,13,0)),0,VLOOKUP(#REF!,'WIP(재공품)'!$B$12:$AB$38,13,0)),0)</f>
        <v>0</v>
      </c>
      <c r="S79" s="6">
        <f>IF(ISERROR(VLOOKUP(#REF!,'WIP(재공품)'!$B$12:$AB$38,10,0)),0,VLOOKUP(#REF!,'WIP(재공품)'!$B$12:$AB$38,10,0))</f>
        <v>0</v>
      </c>
      <c r="T79" s="6">
        <f>SUMIF('JUNE (물량흐름)'!$C$13:$C$502,'Direct labour(직접노무비)'!C79,'JUNE (물량흐름)'!$Y$13:$Y$502)</f>
        <v>0</v>
      </c>
      <c r="U79" s="6">
        <f t="shared" si="19"/>
        <v>0</v>
      </c>
      <c r="V79" s="6">
        <f>ROUND(SUMIF('JUNE (물량흐름)'!$C$13:$C$502,'Direct labour(직접노무비)'!C79,'JUNE (물량흐름)'!$N$13:$N$502),0)</f>
        <v>0</v>
      </c>
      <c r="W79" s="6">
        <f>ROUND(SUMIF('JUNE (물량흐름)'!$C$13:$C$502,'Direct labour(직접노무비)'!C79,'JUNE (물량흐름)'!$O$13:$O$502),0)</f>
        <v>0</v>
      </c>
      <c r="X79" s="6">
        <f>ROUND(SUMIF('JUNE (물량흐름)'!$C$13:$C$502,'Direct labour(직접노무비)'!C79,'JUNE (물량흐름)'!$P$13:$P$502),0)</f>
        <v>113</v>
      </c>
      <c r="Y79" s="6">
        <f t="shared" si="20"/>
        <v>113</v>
      </c>
      <c r="Z79" s="6">
        <f t="shared" si="21"/>
        <v>90</v>
      </c>
      <c r="AA79" s="6">
        <f t="shared" si="22"/>
        <v>860500</v>
      </c>
      <c r="AB79" s="389">
        <f t="shared" si="23"/>
        <v>0</v>
      </c>
      <c r="AC79" s="389">
        <f t="shared" si="24"/>
        <v>0</v>
      </c>
      <c r="AD79" s="389">
        <f t="shared" si="25"/>
        <v>0</v>
      </c>
    </row>
    <row r="80" spans="1:30" s="390" customFormat="1" ht="15" customHeight="1">
      <c r="A80" s="167">
        <v>69</v>
      </c>
      <c r="B80" s="267" t="str">
        <f>VLOOKUP(A80,'JUNE (물량흐름)'!$A$13:$C$502,2,0)</f>
        <v>ALFANI</v>
      </c>
      <c r="C80" s="240">
        <f>VLOOKUP(A80,'JUNE (물량흐름)'!$A$13:$C$502,3,0)</f>
        <v>100003547</v>
      </c>
      <c r="D80" s="6">
        <f>VLOOKUP(C80,'WIP(재공품)'!$B$12:$E$493,4,0)</f>
        <v>7936.2499999999991</v>
      </c>
      <c r="E80" s="6">
        <f>IFERROR(VLOOKUP(C80,O.B.JUNE!$AA$7:$AG$448,2,0),0)</f>
        <v>0</v>
      </c>
      <c r="F80" s="6">
        <f>IFERROR(VLOOKUP(C80,O.B.JUNE!$AA$7:$AG$448,3,0),0)</f>
        <v>0</v>
      </c>
      <c r="G80" s="6">
        <f>IFERROR(VLOOKUP(C80,O.B.JUNE!$AA$7:$AD$448,4,0),0)</f>
        <v>324</v>
      </c>
      <c r="H80" s="6">
        <f t="shared" si="15"/>
        <v>324</v>
      </c>
      <c r="I80" s="6">
        <f>IFERROR(VLOOKUP(C80,O.B.JUNE!$AA$7:$AF$448,6,0),0)</f>
        <v>259</v>
      </c>
      <c r="J80" s="6"/>
      <c r="K80" s="6">
        <f>IFERROR(VLOOKUP(C80,O.B.JUNE!$AA$7:$AG$448,7,0),0)</f>
        <v>5177775</v>
      </c>
      <c r="L80" s="6">
        <f>SUMIF('JUNE (물량흐름)'!$C$13:$C$502,'Direct labour(직접노무비)'!C80,'JUNE (물량흐름)'!$H$13:$H$502)+SUMIF('JUNE (물량흐름)'!$C$13:$C$502,'Direct labour(직접노무비)'!C80,'JUNE (물량흐름)'!$I$13:$I$502)</f>
        <v>0</v>
      </c>
      <c r="M80" s="6">
        <f t="shared" si="16"/>
        <v>0</v>
      </c>
      <c r="N80" s="6">
        <f t="shared" si="17"/>
        <v>0</v>
      </c>
      <c r="O80" s="6">
        <f t="shared" si="14"/>
        <v>0</v>
      </c>
      <c r="P80" s="6">
        <f>SUMIF('JUNE (물량흐름)'!$C$13:$C$502,C80,'JUNE (물량흐름)'!$T$13:$T$502)+SUMIF('JUNE (물량흐름)'!$C$13:$C$502,C80,'JUNE (물량흐름)'!$V$13:$V$502)+SUMIF('JUNE (물량흐름)'!$C$13:$C$502,C80,'JUNE (물량흐름)'!$U$13:$U$502)-SUMIF('JUNE (물량흐름)'!$C$13:$C$502,C80,'JUNE (물량흐름)'!$Y$13:$Y$502)</f>
        <v>0</v>
      </c>
      <c r="Q80" s="6">
        <f t="shared" si="18"/>
        <v>0</v>
      </c>
      <c r="R80" s="6">
        <f>ROUND(IF(ISERROR(VLOOKUP(#REF!,'WIP(재공품)'!$B$12:$AB$38,13,0)),0,VLOOKUP(#REF!,'WIP(재공품)'!$B$12:$AB$38,13,0)),0)</f>
        <v>0</v>
      </c>
      <c r="S80" s="6">
        <f>IF(ISERROR(VLOOKUP(#REF!,'WIP(재공품)'!$B$12:$AB$38,10,0)),0,VLOOKUP(#REF!,'WIP(재공품)'!$B$12:$AB$38,10,0))</f>
        <v>0</v>
      </c>
      <c r="T80" s="6">
        <f>SUMIF('JUNE (물량흐름)'!$C$13:$C$502,'Direct labour(직접노무비)'!C80,'JUNE (물량흐름)'!$Y$13:$Y$502)</f>
        <v>0</v>
      </c>
      <c r="U80" s="6">
        <f t="shared" si="19"/>
        <v>0</v>
      </c>
      <c r="V80" s="6">
        <f>ROUND(SUMIF('JUNE (물량흐름)'!$C$13:$C$502,'Direct labour(직접노무비)'!C80,'JUNE (물량흐름)'!$N$13:$N$502),0)</f>
        <v>0</v>
      </c>
      <c r="W80" s="6">
        <f>ROUND(SUMIF('JUNE (물량흐름)'!$C$13:$C$502,'Direct labour(직접노무비)'!C80,'JUNE (물량흐름)'!$O$13:$O$502),0)</f>
        <v>0</v>
      </c>
      <c r="X80" s="6">
        <f>ROUND(SUMIF('JUNE (물량흐름)'!$C$13:$C$502,'Direct labour(직접노무비)'!C80,'JUNE (물량흐름)'!$P$13:$P$502),0)</f>
        <v>324</v>
      </c>
      <c r="Y80" s="6">
        <f t="shared" si="20"/>
        <v>324</v>
      </c>
      <c r="Z80" s="6">
        <f t="shared" si="21"/>
        <v>259</v>
      </c>
      <c r="AA80" s="6">
        <f t="shared" si="22"/>
        <v>5177775</v>
      </c>
      <c r="AB80" s="389">
        <f t="shared" si="23"/>
        <v>0</v>
      </c>
      <c r="AC80" s="389">
        <f t="shared" si="24"/>
        <v>0</v>
      </c>
      <c r="AD80" s="389">
        <f t="shared" si="25"/>
        <v>0</v>
      </c>
    </row>
    <row r="81" spans="1:30" s="390" customFormat="1" ht="15" customHeight="1">
      <c r="A81" s="167">
        <v>70</v>
      </c>
      <c r="B81" s="267" t="str">
        <f>VLOOKUP(A81,'JUNE (물량흐름)'!$A$13:$C$502,2,0)</f>
        <v>ALFANI</v>
      </c>
      <c r="C81" s="240">
        <f>VLOOKUP(A81,'JUNE (물량흐름)'!$A$13:$C$502,3,0)</f>
        <v>100003559</v>
      </c>
      <c r="D81" s="6">
        <f>VLOOKUP(C81,'WIP(재공품)'!$B$12:$E$493,4,0)</f>
        <v>8163</v>
      </c>
      <c r="E81" s="6">
        <f>IFERROR(VLOOKUP(C81,O.B.JUNE!$AA$7:$AG$448,2,0),0)</f>
        <v>0</v>
      </c>
      <c r="F81" s="6">
        <f>IFERROR(VLOOKUP(C81,O.B.JUNE!$AA$7:$AG$448,3,0),0)</f>
        <v>0</v>
      </c>
      <c r="G81" s="6">
        <f>IFERROR(VLOOKUP(C81,O.B.JUNE!$AA$7:$AD$448,4,0),0)</f>
        <v>81</v>
      </c>
      <c r="H81" s="6">
        <f t="shared" si="15"/>
        <v>81</v>
      </c>
      <c r="I81" s="6">
        <f>IFERROR(VLOOKUP(C81,O.B.JUNE!$AA$7:$AF$448,6,0),0)</f>
        <v>65</v>
      </c>
      <c r="J81" s="6"/>
      <c r="K81" s="6">
        <f>IFERROR(VLOOKUP(C81,O.B.JUNE!$AA$7:$AG$448,7,0),0)</f>
        <v>621472</v>
      </c>
      <c r="L81" s="6">
        <f>SUMIF('JUNE (물량흐름)'!$C$13:$C$502,'Direct labour(직접노무비)'!C81,'JUNE (물량흐름)'!$H$13:$H$502)+SUMIF('JUNE (물량흐름)'!$C$13:$C$502,'Direct labour(직접노무비)'!C81,'JUNE (물량흐름)'!$I$13:$I$502)</f>
        <v>0</v>
      </c>
      <c r="M81" s="6">
        <f t="shared" si="16"/>
        <v>0</v>
      </c>
      <c r="N81" s="6">
        <f t="shared" si="17"/>
        <v>0</v>
      </c>
      <c r="O81" s="6">
        <f t="shared" si="14"/>
        <v>0</v>
      </c>
      <c r="P81" s="6">
        <f>SUMIF('JUNE (물량흐름)'!$C$13:$C$502,C81,'JUNE (물량흐름)'!$T$13:$T$502)+SUMIF('JUNE (물량흐름)'!$C$13:$C$502,C81,'JUNE (물량흐름)'!$V$13:$V$502)+SUMIF('JUNE (물량흐름)'!$C$13:$C$502,C81,'JUNE (물량흐름)'!$U$13:$U$502)-SUMIF('JUNE (물량흐름)'!$C$13:$C$502,C81,'JUNE (물량흐름)'!$Y$13:$Y$502)</f>
        <v>0</v>
      </c>
      <c r="Q81" s="6">
        <f t="shared" si="18"/>
        <v>0</v>
      </c>
      <c r="R81" s="6">
        <f>ROUND(IF(ISERROR(VLOOKUP(#REF!,'WIP(재공품)'!$B$12:$AB$38,13,0)),0,VLOOKUP(#REF!,'WIP(재공품)'!$B$12:$AB$38,13,0)),0)</f>
        <v>0</v>
      </c>
      <c r="S81" s="6">
        <f>IF(ISERROR(VLOOKUP(#REF!,'WIP(재공품)'!$B$12:$AB$38,10,0)),0,VLOOKUP(#REF!,'WIP(재공품)'!$B$12:$AB$38,10,0))</f>
        <v>0</v>
      </c>
      <c r="T81" s="6">
        <f>SUMIF('JUNE (물량흐름)'!$C$13:$C$502,'Direct labour(직접노무비)'!C81,'JUNE (물량흐름)'!$Y$13:$Y$502)</f>
        <v>0</v>
      </c>
      <c r="U81" s="6">
        <f t="shared" si="19"/>
        <v>0</v>
      </c>
      <c r="V81" s="6">
        <f>ROUND(SUMIF('JUNE (물량흐름)'!$C$13:$C$502,'Direct labour(직접노무비)'!C81,'JUNE (물량흐름)'!$N$13:$N$502),0)</f>
        <v>0</v>
      </c>
      <c r="W81" s="6">
        <f>ROUND(SUMIF('JUNE (물량흐름)'!$C$13:$C$502,'Direct labour(직접노무비)'!C81,'JUNE (물량흐름)'!$O$13:$O$502),0)</f>
        <v>0</v>
      </c>
      <c r="X81" s="6">
        <f>ROUND(SUMIF('JUNE (물량흐름)'!$C$13:$C$502,'Direct labour(직접노무비)'!C81,'JUNE (물량흐름)'!$P$13:$P$502),0)</f>
        <v>81</v>
      </c>
      <c r="Y81" s="6">
        <f t="shared" si="20"/>
        <v>81</v>
      </c>
      <c r="Z81" s="6">
        <f t="shared" si="21"/>
        <v>65</v>
      </c>
      <c r="AA81" s="6">
        <f t="shared" si="22"/>
        <v>621472</v>
      </c>
      <c r="AB81" s="389">
        <f t="shared" si="23"/>
        <v>0</v>
      </c>
      <c r="AC81" s="389">
        <f t="shared" si="24"/>
        <v>0</v>
      </c>
      <c r="AD81" s="389">
        <f t="shared" si="25"/>
        <v>0</v>
      </c>
    </row>
    <row r="82" spans="1:30" s="390" customFormat="1" ht="15" customHeight="1">
      <c r="A82" s="167">
        <v>71</v>
      </c>
      <c r="B82" s="267" t="str">
        <f>VLOOKUP(A82,'JUNE (물량흐름)'!$A$13:$C$502,2,0)</f>
        <v>ALFANI</v>
      </c>
      <c r="C82" s="240">
        <f>VLOOKUP(A82,'JUNE (물량흐름)'!$A$13:$C$502,3,0)</f>
        <v>100003582</v>
      </c>
      <c r="D82" s="6">
        <f>VLOOKUP(C82,'WIP(재공품)'!$B$12:$E$493,4,0)</f>
        <v>8163</v>
      </c>
      <c r="E82" s="6">
        <f>IFERROR(VLOOKUP(C82,O.B.JUNE!$AA$7:$AG$448,2,0),0)</f>
        <v>0</v>
      </c>
      <c r="F82" s="6">
        <f>IFERROR(VLOOKUP(C82,O.B.JUNE!$AA$7:$AG$448,3,0),0)</f>
        <v>0</v>
      </c>
      <c r="G82" s="6">
        <f>IFERROR(VLOOKUP(C82,O.B.JUNE!$AA$7:$AD$448,4,0),0)</f>
        <v>109</v>
      </c>
      <c r="H82" s="6">
        <f t="shared" si="15"/>
        <v>109</v>
      </c>
      <c r="I82" s="6">
        <f>IFERROR(VLOOKUP(C82,O.B.JUNE!$AA$7:$AF$448,6,0),0)</f>
        <v>87</v>
      </c>
      <c r="J82" s="6"/>
      <c r="K82" s="6">
        <f>IFERROR(VLOOKUP(C82,O.B.JUNE!$AA$7:$AG$448,7,0),0)</f>
        <v>1667903</v>
      </c>
      <c r="L82" s="6">
        <f>SUMIF('JUNE (물량흐름)'!$C$13:$C$502,'Direct labour(직접노무비)'!C82,'JUNE (물량흐름)'!$H$13:$H$502)+SUMIF('JUNE (물량흐름)'!$C$13:$C$502,'Direct labour(직접노무비)'!C82,'JUNE (물량흐름)'!$I$13:$I$502)</f>
        <v>0</v>
      </c>
      <c r="M82" s="6">
        <f t="shared" si="16"/>
        <v>0</v>
      </c>
      <c r="N82" s="6">
        <f t="shared" si="17"/>
        <v>0</v>
      </c>
      <c r="O82" s="6">
        <f t="shared" si="14"/>
        <v>0</v>
      </c>
      <c r="P82" s="6">
        <f>SUMIF('JUNE (물량흐름)'!$C$13:$C$502,C82,'JUNE (물량흐름)'!$T$13:$T$502)+SUMIF('JUNE (물량흐름)'!$C$13:$C$502,C82,'JUNE (물량흐름)'!$V$13:$V$502)+SUMIF('JUNE (물량흐름)'!$C$13:$C$502,C82,'JUNE (물량흐름)'!$U$13:$U$502)-SUMIF('JUNE (물량흐름)'!$C$13:$C$502,C82,'JUNE (물량흐름)'!$Y$13:$Y$502)</f>
        <v>0</v>
      </c>
      <c r="Q82" s="6">
        <f t="shared" si="18"/>
        <v>0</v>
      </c>
      <c r="R82" s="6">
        <f>ROUND(IF(ISERROR(VLOOKUP(#REF!,'WIP(재공품)'!$B$12:$AB$38,13,0)),0,VLOOKUP(#REF!,'WIP(재공품)'!$B$12:$AB$38,13,0)),0)</f>
        <v>0</v>
      </c>
      <c r="S82" s="6">
        <f>IF(ISERROR(VLOOKUP(#REF!,'WIP(재공품)'!$B$12:$AB$38,10,0)),0,VLOOKUP(#REF!,'WIP(재공품)'!$B$12:$AB$38,10,0))</f>
        <v>0</v>
      </c>
      <c r="T82" s="6">
        <f>SUMIF('JUNE (물량흐름)'!$C$13:$C$502,'Direct labour(직접노무비)'!C82,'JUNE (물량흐름)'!$Y$13:$Y$502)</f>
        <v>0</v>
      </c>
      <c r="U82" s="6">
        <f t="shared" si="19"/>
        <v>0</v>
      </c>
      <c r="V82" s="6">
        <f>ROUND(SUMIF('JUNE (물량흐름)'!$C$13:$C$502,'Direct labour(직접노무비)'!C82,'JUNE (물량흐름)'!$N$13:$N$502),0)</f>
        <v>0</v>
      </c>
      <c r="W82" s="6">
        <f>ROUND(SUMIF('JUNE (물량흐름)'!$C$13:$C$502,'Direct labour(직접노무비)'!C82,'JUNE (물량흐름)'!$O$13:$O$502),0)</f>
        <v>0</v>
      </c>
      <c r="X82" s="6">
        <f>ROUND(SUMIF('JUNE (물량흐름)'!$C$13:$C$502,'Direct labour(직접노무비)'!C82,'JUNE (물량흐름)'!$P$13:$P$502),0)</f>
        <v>109</v>
      </c>
      <c r="Y82" s="6">
        <f t="shared" si="20"/>
        <v>109</v>
      </c>
      <c r="Z82" s="6">
        <f t="shared" si="21"/>
        <v>87</v>
      </c>
      <c r="AA82" s="6">
        <f t="shared" si="22"/>
        <v>1667903</v>
      </c>
      <c r="AB82" s="389">
        <f t="shared" si="23"/>
        <v>0</v>
      </c>
      <c r="AC82" s="389">
        <f t="shared" si="24"/>
        <v>0</v>
      </c>
      <c r="AD82" s="389">
        <f t="shared" si="25"/>
        <v>0</v>
      </c>
    </row>
    <row r="83" spans="1:30" s="390" customFormat="1" ht="15" customHeight="1">
      <c r="A83" s="167">
        <v>72</v>
      </c>
      <c r="B83" s="267" t="str">
        <f>VLOOKUP(A83,'JUNE (물량흐름)'!$A$13:$C$502,2,0)</f>
        <v>ALFANI</v>
      </c>
      <c r="C83" s="240">
        <f>VLOOKUP(A83,'JUNE (물량흐름)'!$A$13:$C$502,3,0)</f>
        <v>100003585</v>
      </c>
      <c r="D83" s="6">
        <f>VLOOKUP(C83,'WIP(재공품)'!$B$12:$E$493,4,0)</f>
        <v>7936.2499999999991</v>
      </c>
      <c r="E83" s="6">
        <f>IFERROR(VLOOKUP(C83,O.B.JUNE!$AA$7:$AG$448,2,0),0)</f>
        <v>0</v>
      </c>
      <c r="F83" s="6">
        <f>IFERROR(VLOOKUP(C83,O.B.JUNE!$AA$7:$AG$448,3,0),0)</f>
        <v>0</v>
      </c>
      <c r="G83" s="6">
        <f>IFERROR(VLOOKUP(C83,O.B.JUNE!$AA$7:$AD$448,4,0),0)</f>
        <v>51</v>
      </c>
      <c r="H83" s="6">
        <f t="shared" si="15"/>
        <v>51</v>
      </c>
      <c r="I83" s="6">
        <f>IFERROR(VLOOKUP(C83,O.B.JUNE!$AA$7:$AF$448,6,0),0)</f>
        <v>41</v>
      </c>
      <c r="J83" s="6"/>
      <c r="K83" s="6">
        <f>IFERROR(VLOOKUP(C83,O.B.JUNE!$AA$7:$AG$448,7,0),0)</f>
        <v>892301</v>
      </c>
      <c r="L83" s="6">
        <f>SUMIF('JUNE (물량흐름)'!$C$13:$C$502,'Direct labour(직접노무비)'!C83,'JUNE (물량흐름)'!$H$13:$H$502)+SUMIF('JUNE (물량흐름)'!$C$13:$C$502,'Direct labour(직접노무비)'!C83,'JUNE (물량흐름)'!$I$13:$I$502)</f>
        <v>0</v>
      </c>
      <c r="M83" s="6">
        <f t="shared" si="16"/>
        <v>0</v>
      </c>
      <c r="N83" s="6">
        <f t="shared" si="17"/>
        <v>0</v>
      </c>
      <c r="O83" s="6">
        <f t="shared" si="14"/>
        <v>0</v>
      </c>
      <c r="P83" s="6">
        <f>SUMIF('JUNE (물량흐름)'!$C$13:$C$502,C83,'JUNE (물량흐름)'!$T$13:$T$502)+SUMIF('JUNE (물량흐름)'!$C$13:$C$502,C83,'JUNE (물량흐름)'!$V$13:$V$502)+SUMIF('JUNE (물량흐름)'!$C$13:$C$502,C83,'JUNE (물량흐름)'!$U$13:$U$502)-SUMIF('JUNE (물량흐름)'!$C$13:$C$502,C83,'JUNE (물량흐름)'!$Y$13:$Y$502)</f>
        <v>0</v>
      </c>
      <c r="Q83" s="6">
        <f t="shared" si="18"/>
        <v>0</v>
      </c>
      <c r="R83" s="6">
        <f>ROUND(IF(ISERROR(VLOOKUP(#REF!,'WIP(재공품)'!$B$12:$AB$38,13,0)),0,VLOOKUP(#REF!,'WIP(재공품)'!$B$12:$AB$38,13,0)),0)</f>
        <v>0</v>
      </c>
      <c r="S83" s="6">
        <f>IF(ISERROR(VLOOKUP(#REF!,'WIP(재공품)'!$B$12:$AB$38,10,0)),0,VLOOKUP(#REF!,'WIP(재공품)'!$B$12:$AB$38,10,0))</f>
        <v>0</v>
      </c>
      <c r="T83" s="6">
        <f>SUMIF('JUNE (물량흐름)'!$C$13:$C$502,'Direct labour(직접노무비)'!C83,'JUNE (물량흐름)'!$Y$13:$Y$502)</f>
        <v>0</v>
      </c>
      <c r="U83" s="6">
        <f t="shared" si="19"/>
        <v>0</v>
      </c>
      <c r="V83" s="6">
        <f>ROUND(SUMIF('JUNE (물량흐름)'!$C$13:$C$502,'Direct labour(직접노무비)'!C83,'JUNE (물량흐름)'!$N$13:$N$502),0)</f>
        <v>0</v>
      </c>
      <c r="W83" s="6">
        <f>ROUND(SUMIF('JUNE (물량흐름)'!$C$13:$C$502,'Direct labour(직접노무비)'!C83,'JUNE (물량흐름)'!$O$13:$O$502),0)</f>
        <v>0</v>
      </c>
      <c r="X83" s="6">
        <f>ROUND(SUMIF('JUNE (물량흐름)'!$C$13:$C$502,'Direct labour(직접노무비)'!C83,'JUNE (물량흐름)'!$P$13:$P$502),0)</f>
        <v>51</v>
      </c>
      <c r="Y83" s="6">
        <f t="shared" si="20"/>
        <v>51</v>
      </c>
      <c r="Z83" s="6">
        <f t="shared" si="21"/>
        <v>41</v>
      </c>
      <c r="AA83" s="6">
        <f t="shared" si="22"/>
        <v>892301</v>
      </c>
      <c r="AB83" s="389">
        <f t="shared" si="23"/>
        <v>0</v>
      </c>
      <c r="AC83" s="389">
        <f t="shared" si="24"/>
        <v>0</v>
      </c>
      <c r="AD83" s="389">
        <f t="shared" si="25"/>
        <v>0</v>
      </c>
    </row>
    <row r="84" spans="1:30" s="390" customFormat="1" ht="15" customHeight="1">
      <c r="A84" s="167">
        <v>73</v>
      </c>
      <c r="B84" s="267" t="str">
        <f>VLOOKUP(A84,'JUNE (물량흐름)'!$A$13:$C$502,2,0)</f>
        <v>ALFANI</v>
      </c>
      <c r="C84" s="240">
        <f>VLOOKUP(A84,'JUNE (물량흐름)'!$A$13:$C$502,3,0)</f>
        <v>100003592</v>
      </c>
      <c r="D84" s="6">
        <f>VLOOKUP(C84,'WIP(재공품)'!$B$12:$E$493,4,0)</f>
        <v>68025</v>
      </c>
      <c r="E84" s="6">
        <f>IFERROR(VLOOKUP(C84,O.B.JUNE!$AA$7:$AG$448,2,0),0)</f>
        <v>0</v>
      </c>
      <c r="F84" s="6">
        <f>IFERROR(VLOOKUP(C84,O.B.JUNE!$AA$7:$AG$448,3,0),0)</f>
        <v>0</v>
      </c>
      <c r="G84" s="6">
        <f>IFERROR(VLOOKUP(C84,O.B.JUNE!$AA$7:$AD$448,4,0),0)</f>
        <v>85</v>
      </c>
      <c r="H84" s="6">
        <f t="shared" si="15"/>
        <v>85</v>
      </c>
      <c r="I84" s="6">
        <f>IFERROR(VLOOKUP(C84,O.B.JUNE!$AA$7:$AF$448,6,0),0)</f>
        <v>68</v>
      </c>
      <c r="J84" s="6"/>
      <c r="K84" s="6">
        <f>IFERROR(VLOOKUP(C84,O.B.JUNE!$AA$7:$AG$448,7,0),0)</f>
        <v>600835</v>
      </c>
      <c r="L84" s="6">
        <f>SUMIF('JUNE (물량흐름)'!$C$13:$C$502,'Direct labour(직접노무비)'!C84,'JUNE (물량흐름)'!$H$13:$H$502)+SUMIF('JUNE (물량흐름)'!$C$13:$C$502,'Direct labour(직접노무비)'!C84,'JUNE (물량흐름)'!$I$13:$I$502)</f>
        <v>0</v>
      </c>
      <c r="M84" s="6">
        <f t="shared" si="16"/>
        <v>0</v>
      </c>
      <c r="N84" s="6">
        <f t="shared" si="17"/>
        <v>0</v>
      </c>
      <c r="O84" s="6">
        <f t="shared" si="14"/>
        <v>0</v>
      </c>
      <c r="P84" s="6">
        <f>SUMIF('JUNE (물량흐름)'!$C$13:$C$502,C84,'JUNE (물량흐름)'!$T$13:$T$502)+SUMIF('JUNE (물량흐름)'!$C$13:$C$502,C84,'JUNE (물량흐름)'!$V$13:$V$502)+SUMIF('JUNE (물량흐름)'!$C$13:$C$502,C84,'JUNE (물량흐름)'!$U$13:$U$502)-SUMIF('JUNE (물량흐름)'!$C$13:$C$502,C84,'JUNE (물량흐름)'!$Y$13:$Y$502)</f>
        <v>0</v>
      </c>
      <c r="Q84" s="6">
        <f t="shared" si="18"/>
        <v>0</v>
      </c>
      <c r="R84" s="6">
        <f>ROUND(IF(ISERROR(VLOOKUP(#REF!,'WIP(재공품)'!$B$12:$AB$38,13,0)),0,VLOOKUP(#REF!,'WIP(재공품)'!$B$12:$AB$38,13,0)),0)</f>
        <v>0</v>
      </c>
      <c r="S84" s="6">
        <f>IF(ISERROR(VLOOKUP(#REF!,'WIP(재공품)'!$B$12:$AB$38,10,0)),0,VLOOKUP(#REF!,'WIP(재공품)'!$B$12:$AB$38,10,0))</f>
        <v>0</v>
      </c>
      <c r="T84" s="6">
        <f>SUMIF('JUNE (물량흐름)'!$C$13:$C$502,'Direct labour(직접노무비)'!C84,'JUNE (물량흐름)'!$Y$13:$Y$502)</f>
        <v>0</v>
      </c>
      <c r="U84" s="6">
        <f t="shared" si="19"/>
        <v>0</v>
      </c>
      <c r="V84" s="6">
        <f>ROUND(SUMIF('JUNE (물량흐름)'!$C$13:$C$502,'Direct labour(직접노무비)'!C84,'JUNE (물량흐름)'!$N$13:$N$502),0)</f>
        <v>0</v>
      </c>
      <c r="W84" s="6">
        <f>ROUND(SUMIF('JUNE (물량흐름)'!$C$13:$C$502,'Direct labour(직접노무비)'!C84,'JUNE (물량흐름)'!$O$13:$O$502),0)</f>
        <v>0</v>
      </c>
      <c r="X84" s="6">
        <f>ROUND(SUMIF('JUNE (물량흐름)'!$C$13:$C$502,'Direct labour(직접노무비)'!C84,'JUNE (물량흐름)'!$P$13:$P$502),0)</f>
        <v>85</v>
      </c>
      <c r="Y84" s="6">
        <f t="shared" si="20"/>
        <v>85</v>
      </c>
      <c r="Z84" s="6">
        <f t="shared" si="21"/>
        <v>68</v>
      </c>
      <c r="AA84" s="6">
        <f t="shared" si="22"/>
        <v>600835</v>
      </c>
      <c r="AB84" s="389">
        <f t="shared" si="23"/>
        <v>0</v>
      </c>
      <c r="AC84" s="389">
        <f t="shared" si="24"/>
        <v>0</v>
      </c>
      <c r="AD84" s="389">
        <f t="shared" si="25"/>
        <v>0</v>
      </c>
    </row>
    <row r="85" spans="1:30" s="390" customFormat="1" ht="15" customHeight="1">
      <c r="A85" s="167">
        <v>74</v>
      </c>
      <c r="B85" s="267" t="str">
        <f>VLOOKUP(A85,'JUNE (물량흐름)'!$A$13:$C$502,2,0)</f>
        <v>ALFANI</v>
      </c>
      <c r="C85" s="240">
        <f>VLOOKUP(A85,'JUNE (물량흐름)'!$A$13:$C$502,3,0)</f>
        <v>100004432</v>
      </c>
      <c r="D85" s="6">
        <f>VLOOKUP(C85,'WIP(재공품)'!$B$12:$E$493,4,0)</f>
        <v>72560</v>
      </c>
      <c r="E85" s="6">
        <f>IFERROR(VLOOKUP(C85,O.B.JUNE!$AA$7:$AG$448,2,0),0)</f>
        <v>0</v>
      </c>
      <c r="F85" s="6">
        <f>IFERROR(VLOOKUP(C85,O.B.JUNE!$AA$7:$AG$448,3,0),0)</f>
        <v>0</v>
      </c>
      <c r="G85" s="6">
        <f>IFERROR(VLOOKUP(C85,O.B.JUNE!$AA$7:$AD$448,4,0),0)</f>
        <v>24</v>
      </c>
      <c r="H85" s="6">
        <f t="shared" si="15"/>
        <v>24</v>
      </c>
      <c r="I85" s="6">
        <f>IFERROR(VLOOKUP(C85,O.B.JUNE!$AA$7:$AF$448,6,0),0)</f>
        <v>19</v>
      </c>
      <c r="J85" s="6"/>
      <c r="K85" s="6">
        <f>IFERROR(VLOOKUP(C85,O.B.JUNE!$AA$7:$AG$448,7,0),0)</f>
        <v>617474</v>
      </c>
      <c r="L85" s="6">
        <f>SUMIF('JUNE (물량흐름)'!$C$13:$C$502,'Direct labour(직접노무비)'!C85,'JUNE (물량흐름)'!$H$13:$H$502)+SUMIF('JUNE (물량흐름)'!$C$13:$C$502,'Direct labour(직접노무비)'!C85,'JUNE (물량흐름)'!$I$13:$I$502)</f>
        <v>0</v>
      </c>
      <c r="M85" s="6">
        <f t="shared" si="16"/>
        <v>0</v>
      </c>
      <c r="N85" s="6">
        <f t="shared" si="17"/>
        <v>0</v>
      </c>
      <c r="O85" s="6">
        <f t="shared" si="14"/>
        <v>0</v>
      </c>
      <c r="P85" s="6">
        <f>SUMIF('JUNE (물량흐름)'!$C$13:$C$502,C85,'JUNE (물량흐름)'!$T$13:$T$502)+SUMIF('JUNE (물량흐름)'!$C$13:$C$502,C85,'JUNE (물량흐름)'!$V$13:$V$502)+SUMIF('JUNE (물량흐름)'!$C$13:$C$502,C85,'JUNE (물량흐름)'!$U$13:$U$502)-SUMIF('JUNE (물량흐름)'!$C$13:$C$502,C85,'JUNE (물량흐름)'!$Y$13:$Y$502)</f>
        <v>0</v>
      </c>
      <c r="Q85" s="6">
        <f t="shared" si="18"/>
        <v>0</v>
      </c>
      <c r="R85" s="6">
        <f>ROUND(IF(ISERROR(VLOOKUP(#REF!,'WIP(재공품)'!$B$12:$AB$38,13,0)),0,VLOOKUP(#REF!,'WIP(재공품)'!$B$12:$AB$38,13,0)),0)</f>
        <v>0</v>
      </c>
      <c r="S85" s="6">
        <f>IF(ISERROR(VLOOKUP(#REF!,'WIP(재공품)'!$B$12:$AB$38,10,0)),0,VLOOKUP(#REF!,'WIP(재공품)'!$B$12:$AB$38,10,0))</f>
        <v>0</v>
      </c>
      <c r="T85" s="6">
        <f>SUMIF('JUNE (물량흐름)'!$C$13:$C$502,'Direct labour(직접노무비)'!C85,'JUNE (물량흐름)'!$Y$13:$Y$502)</f>
        <v>0</v>
      </c>
      <c r="U85" s="6">
        <f t="shared" si="19"/>
        <v>0</v>
      </c>
      <c r="V85" s="6">
        <f>ROUND(SUMIF('JUNE (물량흐름)'!$C$13:$C$502,'Direct labour(직접노무비)'!C85,'JUNE (물량흐름)'!$N$13:$N$502),0)</f>
        <v>0</v>
      </c>
      <c r="W85" s="6">
        <f>ROUND(SUMIF('JUNE (물량흐름)'!$C$13:$C$502,'Direct labour(직접노무비)'!C85,'JUNE (물량흐름)'!$O$13:$O$502),0)</f>
        <v>0</v>
      </c>
      <c r="X85" s="6">
        <f>ROUND(SUMIF('JUNE (물량흐름)'!$C$13:$C$502,'Direct labour(직접노무비)'!C85,'JUNE (물량흐름)'!$P$13:$P$502),0)</f>
        <v>24</v>
      </c>
      <c r="Y85" s="6">
        <f t="shared" si="20"/>
        <v>24</v>
      </c>
      <c r="Z85" s="6">
        <f t="shared" si="21"/>
        <v>19</v>
      </c>
      <c r="AA85" s="6">
        <f t="shared" si="22"/>
        <v>617474</v>
      </c>
      <c r="AB85" s="389">
        <f t="shared" si="23"/>
        <v>0</v>
      </c>
      <c r="AC85" s="389">
        <f t="shared" si="24"/>
        <v>0</v>
      </c>
      <c r="AD85" s="389">
        <f t="shared" si="25"/>
        <v>0</v>
      </c>
    </row>
    <row r="86" spans="1:30" s="390" customFormat="1" ht="15" customHeight="1">
      <c r="A86" s="167">
        <v>75</v>
      </c>
      <c r="B86" s="267" t="str">
        <f>VLOOKUP(A86,'JUNE (물량흐름)'!$A$13:$C$502,2,0)</f>
        <v>ALFANI</v>
      </c>
      <c r="C86" s="240">
        <f>VLOOKUP(A86,'JUNE (물량흐름)'!$A$13:$C$502,3,0)</f>
        <v>100008196</v>
      </c>
      <c r="D86" s="6">
        <f>VLOOKUP(C86,'WIP(재공품)'!$B$12:$E$493,4,0)</f>
        <v>95235</v>
      </c>
      <c r="E86" s="6">
        <f>IFERROR(VLOOKUP(C86,O.B.JUNE!$AA$7:$AG$448,2,0),0)</f>
        <v>0</v>
      </c>
      <c r="F86" s="6">
        <f>IFERROR(VLOOKUP(C86,O.B.JUNE!$AA$7:$AG$448,3,0),0)</f>
        <v>0</v>
      </c>
      <c r="G86" s="6">
        <f>IFERROR(VLOOKUP(C86,O.B.JUNE!$AA$7:$AD$448,4,0),0)</f>
        <v>337</v>
      </c>
      <c r="H86" s="6">
        <f t="shared" si="15"/>
        <v>337</v>
      </c>
      <c r="I86" s="6">
        <f>IFERROR(VLOOKUP(C86,O.B.JUNE!$AA$7:$AF$448,6,0),0)</f>
        <v>270</v>
      </c>
      <c r="J86" s="6"/>
      <c r="K86" s="6">
        <f>IFERROR(VLOOKUP(C86,O.B.JUNE!$AA$7:$AG$448,7,0),0)</f>
        <v>4506377</v>
      </c>
      <c r="L86" s="6">
        <f>SUMIF('JUNE (물량흐름)'!$C$13:$C$502,'Direct labour(직접노무비)'!C86,'JUNE (물량흐름)'!$H$13:$H$502)+SUMIF('JUNE (물량흐름)'!$C$13:$C$502,'Direct labour(직접노무비)'!C86,'JUNE (물량흐름)'!$I$13:$I$502)</f>
        <v>0</v>
      </c>
      <c r="M86" s="6">
        <f t="shared" si="16"/>
        <v>0</v>
      </c>
      <c r="N86" s="6">
        <f t="shared" si="17"/>
        <v>0</v>
      </c>
      <c r="O86" s="6">
        <f t="shared" si="14"/>
        <v>0</v>
      </c>
      <c r="P86" s="6">
        <f>SUMIF('JUNE (물량흐름)'!$C$13:$C$502,C86,'JUNE (물량흐름)'!$T$13:$T$502)+SUMIF('JUNE (물량흐름)'!$C$13:$C$502,C86,'JUNE (물량흐름)'!$V$13:$V$502)+SUMIF('JUNE (물량흐름)'!$C$13:$C$502,C86,'JUNE (물량흐름)'!$U$13:$U$502)-SUMIF('JUNE (물량흐름)'!$C$13:$C$502,C86,'JUNE (물량흐름)'!$Y$13:$Y$502)</f>
        <v>0</v>
      </c>
      <c r="Q86" s="6">
        <f t="shared" si="18"/>
        <v>0</v>
      </c>
      <c r="R86" s="6">
        <f>ROUND(IF(ISERROR(VLOOKUP(#REF!,'WIP(재공품)'!$B$12:$AB$38,13,0)),0,VLOOKUP(#REF!,'WIP(재공품)'!$B$12:$AB$38,13,0)),0)</f>
        <v>0</v>
      </c>
      <c r="S86" s="6">
        <f>IF(ISERROR(VLOOKUP(#REF!,'WIP(재공품)'!$B$12:$AB$38,10,0)),0,VLOOKUP(#REF!,'WIP(재공품)'!$B$12:$AB$38,10,0))</f>
        <v>0</v>
      </c>
      <c r="T86" s="6">
        <f>SUMIF('JUNE (물량흐름)'!$C$13:$C$502,'Direct labour(직접노무비)'!C86,'JUNE (물량흐름)'!$Y$13:$Y$502)</f>
        <v>0</v>
      </c>
      <c r="U86" s="6">
        <f t="shared" si="19"/>
        <v>0</v>
      </c>
      <c r="V86" s="6">
        <f>ROUND(SUMIF('JUNE (물량흐름)'!$C$13:$C$502,'Direct labour(직접노무비)'!C86,'JUNE (물량흐름)'!$N$13:$N$502),0)</f>
        <v>0</v>
      </c>
      <c r="W86" s="6">
        <f>ROUND(SUMIF('JUNE (물량흐름)'!$C$13:$C$502,'Direct labour(직접노무비)'!C86,'JUNE (물량흐름)'!$O$13:$O$502),0)</f>
        <v>0</v>
      </c>
      <c r="X86" s="6">
        <f>ROUND(SUMIF('JUNE (물량흐름)'!$C$13:$C$502,'Direct labour(직접노무비)'!C86,'JUNE (물량흐름)'!$P$13:$P$502),0)</f>
        <v>337</v>
      </c>
      <c r="Y86" s="6">
        <f t="shared" si="20"/>
        <v>337</v>
      </c>
      <c r="Z86" s="6">
        <f t="shared" si="21"/>
        <v>270</v>
      </c>
      <c r="AA86" s="6">
        <f t="shared" si="22"/>
        <v>4506377</v>
      </c>
      <c r="AB86" s="389">
        <f t="shared" si="23"/>
        <v>0</v>
      </c>
      <c r="AC86" s="389">
        <f t="shared" si="24"/>
        <v>0</v>
      </c>
      <c r="AD86" s="389">
        <f t="shared" si="25"/>
        <v>0</v>
      </c>
    </row>
    <row r="87" spans="1:30" s="390" customFormat="1" ht="15" customHeight="1">
      <c r="A87" s="167">
        <v>76</v>
      </c>
      <c r="B87" s="267" t="str">
        <f>VLOOKUP(A87,'JUNE (물량흐름)'!$A$13:$C$502,2,0)</f>
        <v>ALFANI</v>
      </c>
      <c r="C87" s="240">
        <f>VLOOKUP(A87,'JUNE (물량흐름)'!$A$13:$C$502,3,0)</f>
        <v>100008212</v>
      </c>
      <c r="D87" s="6">
        <f>VLOOKUP(C87,'WIP(재공품)'!$B$12:$E$493,4,0)</f>
        <v>72106.5</v>
      </c>
      <c r="E87" s="6">
        <f>IFERROR(VLOOKUP(C87,O.B.JUNE!$AA$7:$AG$448,2,0),0)</f>
        <v>0</v>
      </c>
      <c r="F87" s="6">
        <f>IFERROR(VLOOKUP(C87,O.B.JUNE!$AA$7:$AG$448,3,0),0)</f>
        <v>0</v>
      </c>
      <c r="G87" s="6">
        <f>IFERROR(VLOOKUP(C87,O.B.JUNE!$AA$7:$AD$448,4,0),0)</f>
        <v>85</v>
      </c>
      <c r="H87" s="6">
        <f t="shared" si="15"/>
        <v>85</v>
      </c>
      <c r="I87" s="6">
        <f>IFERROR(VLOOKUP(C87,O.B.JUNE!$AA$7:$AF$448,6,0),0)</f>
        <v>68</v>
      </c>
      <c r="J87" s="6"/>
      <c r="K87" s="6">
        <f>IFERROR(VLOOKUP(C87,O.B.JUNE!$AA$7:$AG$448,7,0),0)</f>
        <v>1182101</v>
      </c>
      <c r="L87" s="6">
        <f>SUMIF('JUNE (물량흐름)'!$C$13:$C$502,'Direct labour(직접노무비)'!C87,'JUNE (물량흐름)'!$H$13:$H$502)+SUMIF('JUNE (물량흐름)'!$C$13:$C$502,'Direct labour(직접노무비)'!C87,'JUNE (물량흐름)'!$I$13:$I$502)</f>
        <v>0</v>
      </c>
      <c r="M87" s="6">
        <f t="shared" si="16"/>
        <v>0</v>
      </c>
      <c r="N87" s="6">
        <f t="shared" si="17"/>
        <v>0</v>
      </c>
      <c r="O87" s="6">
        <f t="shared" si="14"/>
        <v>0</v>
      </c>
      <c r="P87" s="6">
        <f>SUMIF('JUNE (물량흐름)'!$C$13:$C$502,C87,'JUNE (물량흐름)'!$T$13:$T$502)+SUMIF('JUNE (물량흐름)'!$C$13:$C$502,C87,'JUNE (물량흐름)'!$V$13:$V$502)+SUMIF('JUNE (물량흐름)'!$C$13:$C$502,C87,'JUNE (물량흐름)'!$U$13:$U$502)-SUMIF('JUNE (물량흐름)'!$C$13:$C$502,C87,'JUNE (물량흐름)'!$Y$13:$Y$502)</f>
        <v>0</v>
      </c>
      <c r="Q87" s="6">
        <f t="shared" si="18"/>
        <v>0</v>
      </c>
      <c r="R87" s="6">
        <f>ROUND(IF(ISERROR(VLOOKUP(#REF!,'WIP(재공품)'!$B$12:$AB$38,13,0)),0,VLOOKUP(#REF!,'WIP(재공품)'!$B$12:$AB$38,13,0)),0)</f>
        <v>0</v>
      </c>
      <c r="S87" s="6">
        <f>IF(ISERROR(VLOOKUP(#REF!,'WIP(재공품)'!$B$12:$AB$38,10,0)),0,VLOOKUP(#REF!,'WIP(재공품)'!$B$12:$AB$38,10,0))</f>
        <v>0</v>
      </c>
      <c r="T87" s="6">
        <f>SUMIF('JUNE (물량흐름)'!$C$13:$C$502,'Direct labour(직접노무비)'!C87,'JUNE (물량흐름)'!$Y$13:$Y$502)</f>
        <v>0</v>
      </c>
      <c r="U87" s="6">
        <f t="shared" si="19"/>
        <v>0</v>
      </c>
      <c r="V87" s="6">
        <f>ROUND(SUMIF('JUNE (물량흐름)'!$C$13:$C$502,'Direct labour(직접노무비)'!C87,'JUNE (물량흐름)'!$N$13:$N$502),0)</f>
        <v>0</v>
      </c>
      <c r="W87" s="6">
        <f>ROUND(SUMIF('JUNE (물량흐름)'!$C$13:$C$502,'Direct labour(직접노무비)'!C87,'JUNE (물량흐름)'!$O$13:$O$502),0)</f>
        <v>0</v>
      </c>
      <c r="X87" s="6">
        <f>ROUND(SUMIF('JUNE (물량흐름)'!$C$13:$C$502,'Direct labour(직접노무비)'!C87,'JUNE (물량흐름)'!$P$13:$P$502),0)</f>
        <v>85</v>
      </c>
      <c r="Y87" s="6">
        <f t="shared" si="20"/>
        <v>85</v>
      </c>
      <c r="Z87" s="6">
        <f t="shared" si="21"/>
        <v>68</v>
      </c>
      <c r="AA87" s="6">
        <f t="shared" si="22"/>
        <v>1182101</v>
      </c>
      <c r="AB87" s="389">
        <f t="shared" si="23"/>
        <v>0</v>
      </c>
      <c r="AC87" s="389">
        <f t="shared" si="24"/>
        <v>0</v>
      </c>
      <c r="AD87" s="389">
        <f t="shared" si="25"/>
        <v>0</v>
      </c>
    </row>
    <row r="88" spans="1:30" s="390" customFormat="1" ht="15" customHeight="1">
      <c r="A88" s="167">
        <v>77</v>
      </c>
      <c r="B88" s="267" t="str">
        <f>VLOOKUP(A88,'JUNE (물량흐름)'!$A$13:$C$502,2,0)</f>
        <v>ALFANI</v>
      </c>
      <c r="C88" s="240">
        <f>VLOOKUP(A88,'JUNE (물량흐름)'!$A$13:$C$502,3,0)</f>
        <v>100008214</v>
      </c>
      <c r="D88" s="6">
        <f>VLOOKUP(C88,'WIP(재공품)'!$B$12:$E$493,4,0)</f>
        <v>7936.2499999999991</v>
      </c>
      <c r="E88" s="6">
        <f>IFERROR(VLOOKUP(C88,O.B.JUNE!$AA$7:$AG$448,2,0),0)</f>
        <v>0</v>
      </c>
      <c r="F88" s="6">
        <f>IFERROR(VLOOKUP(C88,O.B.JUNE!$AA$7:$AG$448,3,0),0)</f>
        <v>0</v>
      </c>
      <c r="G88" s="6">
        <f>IFERROR(VLOOKUP(C88,O.B.JUNE!$AA$7:$AD$448,4,0),0)</f>
        <v>23</v>
      </c>
      <c r="H88" s="6">
        <f t="shared" si="15"/>
        <v>23</v>
      </c>
      <c r="I88" s="6">
        <f>IFERROR(VLOOKUP(C88,O.B.JUNE!$AA$7:$AF$448,6,0),0)</f>
        <v>18</v>
      </c>
      <c r="J88" s="6"/>
      <c r="K88" s="6">
        <f>IFERROR(VLOOKUP(C88,O.B.JUNE!$AA$7:$AG$448,7,0),0)</f>
        <v>268521</v>
      </c>
      <c r="L88" s="6">
        <f>SUMIF('JUNE (물량흐름)'!$C$13:$C$502,'Direct labour(직접노무비)'!C88,'JUNE (물량흐름)'!$H$13:$H$502)+SUMIF('JUNE (물량흐름)'!$C$13:$C$502,'Direct labour(직접노무비)'!C88,'JUNE (물량흐름)'!$I$13:$I$502)</f>
        <v>0</v>
      </c>
      <c r="M88" s="6">
        <f t="shared" si="16"/>
        <v>0</v>
      </c>
      <c r="N88" s="6">
        <f t="shared" si="17"/>
        <v>0</v>
      </c>
      <c r="O88" s="6">
        <f t="shared" si="14"/>
        <v>0</v>
      </c>
      <c r="P88" s="6">
        <f>SUMIF('JUNE (물량흐름)'!$C$13:$C$502,C88,'JUNE (물량흐름)'!$T$13:$T$502)+SUMIF('JUNE (물량흐름)'!$C$13:$C$502,C88,'JUNE (물량흐름)'!$V$13:$V$502)+SUMIF('JUNE (물량흐름)'!$C$13:$C$502,C88,'JUNE (물량흐름)'!$U$13:$U$502)-SUMIF('JUNE (물량흐름)'!$C$13:$C$502,C88,'JUNE (물량흐름)'!$Y$13:$Y$502)</f>
        <v>0</v>
      </c>
      <c r="Q88" s="6">
        <f t="shared" si="18"/>
        <v>0</v>
      </c>
      <c r="R88" s="6">
        <f>ROUND(IF(ISERROR(VLOOKUP(#REF!,'WIP(재공품)'!$B$12:$AB$38,13,0)),0,VLOOKUP(#REF!,'WIP(재공품)'!$B$12:$AB$38,13,0)),0)</f>
        <v>0</v>
      </c>
      <c r="S88" s="6">
        <f>IF(ISERROR(VLOOKUP(#REF!,'WIP(재공품)'!$B$12:$AB$38,10,0)),0,VLOOKUP(#REF!,'WIP(재공품)'!$B$12:$AB$38,10,0))</f>
        <v>0</v>
      </c>
      <c r="T88" s="6">
        <f>SUMIF('JUNE (물량흐름)'!$C$13:$C$502,'Direct labour(직접노무비)'!C88,'JUNE (물량흐름)'!$Y$13:$Y$502)</f>
        <v>0</v>
      </c>
      <c r="U88" s="6">
        <f t="shared" si="19"/>
        <v>0</v>
      </c>
      <c r="V88" s="6">
        <f>ROUND(SUMIF('JUNE (물량흐름)'!$C$13:$C$502,'Direct labour(직접노무비)'!C88,'JUNE (물량흐름)'!$N$13:$N$502),0)</f>
        <v>0</v>
      </c>
      <c r="W88" s="6">
        <f>ROUND(SUMIF('JUNE (물량흐름)'!$C$13:$C$502,'Direct labour(직접노무비)'!C88,'JUNE (물량흐름)'!$O$13:$O$502),0)</f>
        <v>0</v>
      </c>
      <c r="X88" s="6">
        <f>ROUND(SUMIF('JUNE (물량흐름)'!$C$13:$C$502,'Direct labour(직접노무비)'!C88,'JUNE (물량흐름)'!$P$13:$P$502),0)</f>
        <v>23</v>
      </c>
      <c r="Y88" s="6">
        <f t="shared" si="20"/>
        <v>23</v>
      </c>
      <c r="Z88" s="6">
        <f t="shared" si="21"/>
        <v>18</v>
      </c>
      <c r="AA88" s="6">
        <f t="shared" si="22"/>
        <v>268521</v>
      </c>
      <c r="AB88" s="389">
        <f t="shared" si="23"/>
        <v>0</v>
      </c>
      <c r="AC88" s="389">
        <f t="shared" si="24"/>
        <v>0</v>
      </c>
      <c r="AD88" s="389">
        <f t="shared" si="25"/>
        <v>0</v>
      </c>
    </row>
    <row r="89" spans="1:30" s="390" customFormat="1" ht="15" customHeight="1">
      <c r="A89" s="167">
        <v>78</v>
      </c>
      <c r="B89" s="267" t="str">
        <f>VLOOKUP(A89,'JUNE (물량흐름)'!$A$13:$C$502,2,0)</f>
        <v>ALFANI</v>
      </c>
      <c r="C89" s="240">
        <f>VLOOKUP(A89,'JUNE (물량흐름)'!$A$13:$C$502,3,0)</f>
        <v>100008216</v>
      </c>
      <c r="D89" s="6">
        <f>VLOOKUP(C89,'WIP(재공품)'!$B$12:$E$493,4,0)</f>
        <v>8163</v>
      </c>
      <c r="E89" s="6">
        <f>IFERROR(VLOOKUP(C89,O.B.JUNE!$AA$7:$AG$448,2,0),0)</f>
        <v>0</v>
      </c>
      <c r="F89" s="6">
        <f>IFERROR(VLOOKUP(C89,O.B.JUNE!$AA$7:$AG$448,3,0),0)</f>
        <v>0</v>
      </c>
      <c r="G89" s="6">
        <f>IFERROR(VLOOKUP(C89,O.B.JUNE!$AA$7:$AD$448,4,0),0)</f>
        <v>102</v>
      </c>
      <c r="H89" s="6">
        <f t="shared" si="15"/>
        <v>102</v>
      </c>
      <c r="I89" s="6">
        <f>IFERROR(VLOOKUP(C89,O.B.JUNE!$AA$7:$AF$448,6,0),0)</f>
        <v>82</v>
      </c>
      <c r="J89" s="6"/>
      <c r="K89" s="6">
        <f>IFERROR(VLOOKUP(C89,O.B.JUNE!$AA$7:$AG$448,7,0),0)</f>
        <v>1418217</v>
      </c>
      <c r="L89" s="6">
        <f>SUMIF('JUNE (물량흐름)'!$C$13:$C$502,'Direct labour(직접노무비)'!C89,'JUNE (물량흐름)'!$H$13:$H$502)+SUMIF('JUNE (물량흐름)'!$C$13:$C$502,'Direct labour(직접노무비)'!C89,'JUNE (물량흐름)'!$I$13:$I$502)</f>
        <v>0</v>
      </c>
      <c r="M89" s="6">
        <f t="shared" si="16"/>
        <v>0</v>
      </c>
      <c r="N89" s="6">
        <f t="shared" si="17"/>
        <v>0</v>
      </c>
      <c r="O89" s="6">
        <f t="shared" si="14"/>
        <v>0</v>
      </c>
      <c r="P89" s="6">
        <f>SUMIF('JUNE (물량흐름)'!$C$13:$C$502,C89,'JUNE (물량흐름)'!$T$13:$T$502)+SUMIF('JUNE (물량흐름)'!$C$13:$C$502,C89,'JUNE (물량흐름)'!$V$13:$V$502)+SUMIF('JUNE (물량흐름)'!$C$13:$C$502,C89,'JUNE (물량흐름)'!$U$13:$U$502)-SUMIF('JUNE (물량흐름)'!$C$13:$C$502,C89,'JUNE (물량흐름)'!$Y$13:$Y$502)</f>
        <v>0</v>
      </c>
      <c r="Q89" s="6">
        <f t="shared" si="18"/>
        <v>0</v>
      </c>
      <c r="R89" s="6">
        <f>ROUND(IF(ISERROR(VLOOKUP(#REF!,'WIP(재공품)'!$B$12:$AB$38,13,0)),0,VLOOKUP(#REF!,'WIP(재공품)'!$B$12:$AB$38,13,0)),0)</f>
        <v>0</v>
      </c>
      <c r="S89" s="6">
        <f>IF(ISERROR(VLOOKUP(#REF!,'WIP(재공품)'!$B$12:$AB$38,10,0)),0,VLOOKUP(#REF!,'WIP(재공품)'!$B$12:$AB$38,10,0))</f>
        <v>0</v>
      </c>
      <c r="T89" s="6">
        <f>SUMIF('JUNE (물량흐름)'!$C$13:$C$502,'Direct labour(직접노무비)'!C89,'JUNE (물량흐름)'!$Y$13:$Y$502)</f>
        <v>0</v>
      </c>
      <c r="U89" s="6">
        <f t="shared" si="19"/>
        <v>0</v>
      </c>
      <c r="V89" s="6">
        <f>ROUND(SUMIF('JUNE (물량흐름)'!$C$13:$C$502,'Direct labour(직접노무비)'!C89,'JUNE (물량흐름)'!$N$13:$N$502),0)</f>
        <v>0</v>
      </c>
      <c r="W89" s="6">
        <f>ROUND(SUMIF('JUNE (물량흐름)'!$C$13:$C$502,'Direct labour(직접노무비)'!C89,'JUNE (물량흐름)'!$O$13:$O$502),0)</f>
        <v>0</v>
      </c>
      <c r="X89" s="6">
        <f>ROUND(SUMIF('JUNE (물량흐름)'!$C$13:$C$502,'Direct labour(직접노무비)'!C89,'JUNE (물량흐름)'!$P$13:$P$502),0)</f>
        <v>102</v>
      </c>
      <c r="Y89" s="6">
        <f t="shared" si="20"/>
        <v>102</v>
      </c>
      <c r="Z89" s="6">
        <f t="shared" si="21"/>
        <v>82</v>
      </c>
      <c r="AA89" s="6">
        <f t="shared" si="22"/>
        <v>1418217</v>
      </c>
      <c r="AB89" s="389">
        <f t="shared" si="23"/>
        <v>0</v>
      </c>
      <c r="AC89" s="389">
        <f t="shared" si="24"/>
        <v>0</v>
      </c>
      <c r="AD89" s="389">
        <f t="shared" si="25"/>
        <v>0</v>
      </c>
    </row>
    <row r="90" spans="1:30" s="390" customFormat="1" ht="15" customHeight="1">
      <c r="A90" s="167">
        <v>79</v>
      </c>
      <c r="B90" s="267" t="str">
        <f>VLOOKUP(A90,'JUNE (물량흐름)'!$A$13:$C$502,2,0)</f>
        <v>ALFANI</v>
      </c>
      <c r="C90" s="240">
        <f>VLOOKUP(A90,'JUNE (물량흐름)'!$A$13:$C$502,3,0)</f>
        <v>100009597</v>
      </c>
      <c r="D90" s="6">
        <f>VLOOKUP(C90,'WIP(재공품)'!$B$12:$E$493,4,0)</f>
        <v>8163</v>
      </c>
      <c r="E90" s="6">
        <f>IFERROR(VLOOKUP(C90,O.B.JUNE!$AA$7:$AG$448,2,0),0)</f>
        <v>0</v>
      </c>
      <c r="F90" s="6">
        <f>IFERROR(VLOOKUP(C90,O.B.JUNE!$AA$7:$AG$448,3,0),0)</f>
        <v>0</v>
      </c>
      <c r="G90" s="6">
        <f>IFERROR(VLOOKUP(C90,O.B.JUNE!$AA$7:$AD$448,4,0),0)</f>
        <v>552</v>
      </c>
      <c r="H90" s="6">
        <f t="shared" si="15"/>
        <v>552</v>
      </c>
      <c r="I90" s="6">
        <f>IFERROR(VLOOKUP(C90,O.B.JUNE!$AA$7:$AF$448,6,0),0)</f>
        <v>442</v>
      </c>
      <c r="J90" s="6"/>
      <c r="K90" s="6">
        <f>IFERROR(VLOOKUP(C90,O.B.JUNE!$AA$7:$AG$448,7,0),0)</f>
        <v>10439684</v>
      </c>
      <c r="L90" s="6">
        <f>SUMIF('JUNE (물량흐름)'!$C$13:$C$502,'Direct labour(직접노무비)'!C90,'JUNE (물량흐름)'!$H$13:$H$502)+SUMIF('JUNE (물량흐름)'!$C$13:$C$502,'Direct labour(직접노무비)'!C90,'JUNE (물량흐름)'!$I$13:$I$502)</f>
        <v>0</v>
      </c>
      <c r="M90" s="6">
        <f t="shared" si="16"/>
        <v>0</v>
      </c>
      <c r="N90" s="6">
        <f t="shared" si="17"/>
        <v>0</v>
      </c>
      <c r="O90" s="6">
        <f t="shared" si="14"/>
        <v>0</v>
      </c>
      <c r="P90" s="6">
        <f>SUMIF('JUNE (물량흐름)'!$C$13:$C$502,C90,'JUNE (물량흐름)'!$T$13:$T$502)+SUMIF('JUNE (물량흐름)'!$C$13:$C$502,C90,'JUNE (물량흐름)'!$V$13:$V$502)+SUMIF('JUNE (물량흐름)'!$C$13:$C$502,C90,'JUNE (물량흐름)'!$U$13:$U$502)-SUMIF('JUNE (물량흐름)'!$C$13:$C$502,C90,'JUNE (물량흐름)'!$Y$13:$Y$502)</f>
        <v>0</v>
      </c>
      <c r="Q90" s="6">
        <f t="shared" si="18"/>
        <v>0</v>
      </c>
      <c r="R90" s="6">
        <f>ROUND(IF(ISERROR(VLOOKUP(#REF!,'WIP(재공품)'!$B$12:$AB$38,13,0)),0,VLOOKUP(#REF!,'WIP(재공품)'!$B$12:$AB$38,13,0)),0)</f>
        <v>0</v>
      </c>
      <c r="S90" s="6">
        <f>IF(ISERROR(VLOOKUP(#REF!,'WIP(재공품)'!$B$12:$AB$38,10,0)),0,VLOOKUP(#REF!,'WIP(재공품)'!$B$12:$AB$38,10,0))</f>
        <v>0</v>
      </c>
      <c r="T90" s="6">
        <f>SUMIF('JUNE (물량흐름)'!$C$13:$C$502,'Direct labour(직접노무비)'!C90,'JUNE (물량흐름)'!$Y$13:$Y$502)</f>
        <v>0</v>
      </c>
      <c r="U90" s="6">
        <f t="shared" si="19"/>
        <v>0</v>
      </c>
      <c r="V90" s="6">
        <f>ROUND(SUMIF('JUNE (물량흐름)'!$C$13:$C$502,'Direct labour(직접노무비)'!C90,'JUNE (물량흐름)'!$N$13:$N$502),0)</f>
        <v>0</v>
      </c>
      <c r="W90" s="6">
        <f>ROUND(SUMIF('JUNE (물량흐름)'!$C$13:$C$502,'Direct labour(직접노무비)'!C90,'JUNE (물량흐름)'!$O$13:$O$502),0)</f>
        <v>0</v>
      </c>
      <c r="X90" s="6">
        <f>ROUND(SUMIF('JUNE (물량흐름)'!$C$13:$C$502,'Direct labour(직접노무비)'!C90,'JUNE (물량흐름)'!$P$13:$P$502),0)</f>
        <v>552</v>
      </c>
      <c r="Y90" s="6">
        <f t="shared" si="20"/>
        <v>552</v>
      </c>
      <c r="Z90" s="6">
        <f t="shared" si="21"/>
        <v>442</v>
      </c>
      <c r="AA90" s="6">
        <f t="shared" si="22"/>
        <v>10439684</v>
      </c>
      <c r="AB90" s="389">
        <f t="shared" si="23"/>
        <v>0</v>
      </c>
      <c r="AC90" s="389">
        <f t="shared" si="24"/>
        <v>0</v>
      </c>
      <c r="AD90" s="389">
        <f t="shared" si="25"/>
        <v>0</v>
      </c>
    </row>
    <row r="91" spans="1:30" s="390" customFormat="1" ht="15" customHeight="1">
      <c r="A91" s="167">
        <v>80</v>
      </c>
      <c r="B91" s="267" t="str">
        <f>VLOOKUP(A91,'JUNE (물량흐름)'!$A$13:$C$502,2,0)</f>
        <v>ALFANI</v>
      </c>
      <c r="C91" s="240">
        <f>VLOOKUP(A91,'JUNE (물량흐름)'!$A$13:$C$502,3,0)</f>
        <v>74401</v>
      </c>
      <c r="D91" s="6">
        <f>VLOOKUP(C91,'WIP(재공품)'!$B$12:$E$493,4,0)</f>
        <v>55327</v>
      </c>
      <c r="E91" s="6">
        <f>IFERROR(VLOOKUP(C91,O.B.JUNE!$AA$7:$AG$448,2,0),0)</f>
        <v>0</v>
      </c>
      <c r="F91" s="6">
        <f>IFERROR(VLOOKUP(C91,O.B.JUNE!$AA$7:$AG$448,3,0),0)</f>
        <v>0</v>
      </c>
      <c r="G91" s="6">
        <f>IFERROR(VLOOKUP(C91,O.B.JUNE!$AA$7:$AD$448,4,0),0)</f>
        <v>4111</v>
      </c>
      <c r="H91" s="6">
        <f t="shared" si="15"/>
        <v>4111</v>
      </c>
      <c r="I91" s="6">
        <f>IFERROR(VLOOKUP(C91,O.B.JUNE!$AA$7:$AF$448,6,0),0)</f>
        <v>3289</v>
      </c>
      <c r="J91" s="6"/>
      <c r="K91" s="6">
        <f>IFERROR(VLOOKUP(C91,O.B.JUNE!$AA$7:$AG$448,7,0),0)</f>
        <v>9621461</v>
      </c>
      <c r="L91" s="6">
        <f>SUMIF('JUNE (물량흐름)'!$C$13:$C$502,'Direct labour(직접노무비)'!C91,'JUNE (물량흐름)'!$H$13:$H$502)+SUMIF('JUNE (물량흐름)'!$C$13:$C$502,'Direct labour(직접노무비)'!C91,'JUNE (물량흐름)'!$I$13:$I$502)</f>
        <v>5</v>
      </c>
      <c r="M91" s="6">
        <f t="shared" si="16"/>
        <v>804</v>
      </c>
      <c r="N91" s="6">
        <f t="shared" si="17"/>
        <v>44482908</v>
      </c>
      <c r="O91" s="6">
        <f t="shared" si="14"/>
        <v>13757394</v>
      </c>
      <c r="P91" s="6">
        <f>SUMIF('JUNE (물량흐름)'!$C$13:$C$502,C91,'JUNE (물량흐름)'!$T$13:$T$502)+SUMIF('JUNE (물량흐름)'!$C$13:$C$502,C91,'JUNE (물량흐름)'!$V$13:$V$502)+SUMIF('JUNE (물량흐름)'!$C$13:$C$502,C91,'JUNE (물량흐름)'!$U$13:$U$502)-SUMIF('JUNE (물량흐름)'!$C$13:$C$502,C91,'JUNE (물량흐름)'!$Y$13:$Y$502)</f>
        <v>3994</v>
      </c>
      <c r="Q91" s="6">
        <f t="shared" si="18"/>
        <v>22685896</v>
      </c>
      <c r="R91" s="6">
        <f>ROUND(IF(ISERROR(VLOOKUP(#REF!,'WIP(재공품)'!$B$12:$AB$38,13,0)),0,VLOOKUP(#REF!,'WIP(재공품)'!$B$12:$AB$38,13,0)),0)</f>
        <v>0</v>
      </c>
      <c r="S91" s="6">
        <f>IF(ISERROR(VLOOKUP(#REF!,'WIP(재공품)'!$B$12:$AB$38,10,0)),0,VLOOKUP(#REF!,'WIP(재공품)'!$B$12:$AB$38,10,0))</f>
        <v>0</v>
      </c>
      <c r="T91" s="6">
        <f>SUMIF('JUNE (물량흐름)'!$C$13:$C$502,'Direct labour(직접노무비)'!C91,'JUNE (물량흐름)'!$Y$13:$Y$502)</f>
        <v>7</v>
      </c>
      <c r="U91" s="6">
        <f t="shared" si="19"/>
        <v>39760</v>
      </c>
      <c r="V91" s="6">
        <f>ROUND(SUMIF('JUNE (물량흐름)'!$C$13:$C$502,'Direct labour(직접노무비)'!C91,'JUNE (물량흐름)'!$N$13:$N$502),0)</f>
        <v>0</v>
      </c>
      <c r="W91" s="6">
        <f>ROUND(SUMIF('JUNE (물량흐름)'!$C$13:$C$502,'Direct labour(직접노무비)'!C91,'JUNE (물량흐름)'!$O$13:$O$502),0)</f>
        <v>1</v>
      </c>
      <c r="X91" s="6">
        <f>ROUND(SUMIF('JUNE (물량흐름)'!$C$13:$C$502,'Direct labour(직접노무비)'!C91,'JUNE (물량흐름)'!$P$13:$P$502),0)</f>
        <v>114</v>
      </c>
      <c r="Y91" s="6">
        <f t="shared" si="20"/>
        <v>115</v>
      </c>
      <c r="Z91" s="6">
        <f t="shared" si="21"/>
        <v>92</v>
      </c>
      <c r="AA91" s="6">
        <f t="shared" si="22"/>
        <v>653199</v>
      </c>
      <c r="AB91" s="389">
        <f t="shared" si="23"/>
        <v>0</v>
      </c>
      <c r="AC91" s="389">
        <f t="shared" si="24"/>
        <v>0</v>
      </c>
      <c r="AD91" s="389">
        <f t="shared" si="25"/>
        <v>0</v>
      </c>
    </row>
    <row r="92" spans="1:30" s="390" customFormat="1" ht="15" customHeight="1">
      <c r="A92" s="167">
        <v>81</v>
      </c>
      <c r="B92" s="267" t="str">
        <f>VLOOKUP(A92,'JUNE (물량흐름)'!$A$13:$C$502,2,0)</f>
        <v>ALFANI</v>
      </c>
      <c r="C92" s="240" t="str">
        <f>VLOOKUP(A92,'JUNE (물량흐름)'!$A$13:$C$502,3,0)</f>
        <v>7X733</v>
      </c>
      <c r="D92" s="6">
        <f>VLOOKUP(C92,'WIP(재공품)'!$B$12:$E$493,4,0)</f>
        <v>40815</v>
      </c>
      <c r="E92" s="6">
        <f>IFERROR(VLOOKUP(C92,O.B.JUNE!$AA$7:$AG$448,2,0),0)</f>
        <v>0</v>
      </c>
      <c r="F92" s="6">
        <f>IFERROR(VLOOKUP(C92,O.B.JUNE!$AA$7:$AG$448,3,0),0)</f>
        <v>0</v>
      </c>
      <c r="G92" s="6">
        <f>IFERROR(VLOOKUP(C92,O.B.JUNE!$AA$7:$AD$448,4,0),0)</f>
        <v>65</v>
      </c>
      <c r="H92" s="6">
        <f t="shared" si="15"/>
        <v>65</v>
      </c>
      <c r="I92" s="6">
        <f>IFERROR(VLOOKUP(C92,O.B.JUNE!$AA$7:$AF$448,6,0),0)</f>
        <v>52</v>
      </c>
      <c r="J92" s="6"/>
      <c r="K92" s="6">
        <f>IFERROR(VLOOKUP(C92,O.B.JUNE!$AA$7:$AG$448,7,0),0)</f>
        <v>666232</v>
      </c>
      <c r="L92" s="6">
        <f>SUMIF('JUNE (물량흐름)'!$C$13:$C$502,'Direct labour(직접노무비)'!C92,'JUNE (물량흐름)'!$H$13:$H$502)+SUMIF('JUNE (물량흐름)'!$C$13:$C$502,'Direct labour(직접노무비)'!C92,'JUNE (물량흐름)'!$I$13:$I$502)</f>
        <v>0</v>
      </c>
      <c r="M92" s="6">
        <f t="shared" si="16"/>
        <v>0</v>
      </c>
      <c r="N92" s="6">
        <f t="shared" si="17"/>
        <v>0</v>
      </c>
      <c r="O92" s="6">
        <f t="shared" si="14"/>
        <v>0</v>
      </c>
      <c r="P92" s="6">
        <f>SUMIF('JUNE (물량흐름)'!$C$13:$C$502,C92,'JUNE (물량흐름)'!$T$13:$T$502)+SUMIF('JUNE (물량흐름)'!$C$13:$C$502,C92,'JUNE (물량흐름)'!$V$13:$V$502)+SUMIF('JUNE (물량흐름)'!$C$13:$C$502,C92,'JUNE (물량흐름)'!$U$13:$U$502)-SUMIF('JUNE (물량흐름)'!$C$13:$C$502,C92,'JUNE (물량흐름)'!$Y$13:$Y$502)</f>
        <v>65</v>
      </c>
      <c r="Q92" s="6">
        <f t="shared" si="18"/>
        <v>666232</v>
      </c>
      <c r="R92" s="6">
        <f>ROUND(IF(ISERROR(VLOOKUP(#REF!,'WIP(재공품)'!$B$12:$AB$38,13,0)),0,VLOOKUP(#REF!,'WIP(재공품)'!$B$12:$AB$38,13,0)),0)</f>
        <v>0</v>
      </c>
      <c r="S92" s="6">
        <f>IF(ISERROR(VLOOKUP(#REF!,'WIP(재공품)'!$B$12:$AB$38,10,0)),0,VLOOKUP(#REF!,'WIP(재공품)'!$B$12:$AB$38,10,0))</f>
        <v>0</v>
      </c>
      <c r="T92" s="6">
        <f>SUMIF('JUNE (물량흐름)'!$C$13:$C$502,'Direct labour(직접노무비)'!C92,'JUNE (물량흐름)'!$Y$13:$Y$502)</f>
        <v>0</v>
      </c>
      <c r="U92" s="6">
        <f t="shared" si="19"/>
        <v>0</v>
      </c>
      <c r="V92" s="6">
        <f>ROUND(SUMIF('JUNE (물량흐름)'!$C$13:$C$502,'Direct labour(직접노무비)'!C92,'JUNE (물량흐름)'!$N$13:$N$502),0)</f>
        <v>0</v>
      </c>
      <c r="W92" s="6">
        <f>ROUND(SUMIF('JUNE (물량흐름)'!$C$13:$C$502,'Direct labour(직접노무비)'!C92,'JUNE (물량흐름)'!$O$13:$O$502),0)</f>
        <v>0</v>
      </c>
      <c r="X92" s="6">
        <f>ROUND(SUMIF('JUNE (물량흐름)'!$C$13:$C$502,'Direct labour(직접노무비)'!C92,'JUNE (물량흐름)'!$P$13:$P$502),0)</f>
        <v>0</v>
      </c>
      <c r="Y92" s="6">
        <f t="shared" si="20"/>
        <v>0</v>
      </c>
      <c r="Z92" s="6">
        <f t="shared" si="21"/>
        <v>0</v>
      </c>
      <c r="AA92" s="6">
        <f t="shared" si="22"/>
        <v>0</v>
      </c>
      <c r="AB92" s="389">
        <f t="shared" si="23"/>
        <v>0</v>
      </c>
      <c r="AC92" s="389">
        <f t="shared" si="24"/>
        <v>0</v>
      </c>
      <c r="AD92" s="389">
        <f t="shared" si="25"/>
        <v>0</v>
      </c>
    </row>
    <row r="93" spans="1:30" s="390" customFormat="1" ht="15" customHeight="1">
      <c r="A93" s="167">
        <v>82</v>
      </c>
      <c r="B93" s="267" t="str">
        <f>VLOOKUP(A93,'JUNE (물량흐름)'!$A$13:$C$502,2,0)</f>
        <v>ANN TAYLOR</v>
      </c>
      <c r="C93" s="240" t="str">
        <f>VLOOKUP(A93,'JUNE (물량흐름)'!$A$13:$C$502,3,0)</f>
        <v>452172(456261)</v>
      </c>
      <c r="D93" s="6">
        <f>VLOOKUP(C93,'WIP(재공품)'!$B$12:$E$493,4,0)</f>
        <v>41948.75</v>
      </c>
      <c r="E93" s="6">
        <f>IFERROR(VLOOKUP(C93,O.B.JUNE!$AA$7:$AG$448,2,0),0)</f>
        <v>0</v>
      </c>
      <c r="F93" s="6">
        <f>IFERROR(VLOOKUP(C93,O.B.JUNE!$AA$7:$AG$448,3,0),0)</f>
        <v>0</v>
      </c>
      <c r="G93" s="6">
        <f>IFERROR(VLOOKUP(C93,O.B.JUNE!$AA$7:$AD$448,4,0),0)</f>
        <v>329</v>
      </c>
      <c r="H93" s="6">
        <f t="shared" si="15"/>
        <v>329</v>
      </c>
      <c r="I93" s="6">
        <f>IFERROR(VLOOKUP(C93,O.B.JUNE!$AA$7:$AF$448,6,0),0)</f>
        <v>263</v>
      </c>
      <c r="J93" s="6"/>
      <c r="K93" s="6">
        <f>IFERROR(VLOOKUP(C93,O.B.JUNE!$AA$7:$AG$448,7,0),0)</f>
        <v>1822588</v>
      </c>
      <c r="L93" s="6">
        <f>SUMIF('JUNE (물량흐름)'!$C$13:$C$502,'Direct labour(직접노무비)'!C93,'JUNE (물량흐름)'!$H$13:$H$502)+SUMIF('JUNE (물량흐름)'!$C$13:$C$502,'Direct labour(직접노무비)'!C93,'JUNE (물량흐름)'!$I$13:$I$502)</f>
        <v>0</v>
      </c>
      <c r="M93" s="6">
        <f t="shared" si="16"/>
        <v>0</v>
      </c>
      <c r="N93" s="6">
        <f t="shared" si="17"/>
        <v>0</v>
      </c>
      <c r="O93" s="6">
        <f t="shared" si="14"/>
        <v>0</v>
      </c>
      <c r="P93" s="6">
        <f>SUMIF('JUNE (물량흐름)'!$C$13:$C$502,C93,'JUNE (물량흐름)'!$T$13:$T$502)+SUMIF('JUNE (물량흐름)'!$C$13:$C$502,C93,'JUNE (물량흐름)'!$V$13:$V$502)+SUMIF('JUNE (물량흐름)'!$C$13:$C$502,C93,'JUNE (물량흐름)'!$U$13:$U$502)-SUMIF('JUNE (물량흐름)'!$C$13:$C$502,C93,'JUNE (물량흐름)'!$Y$13:$Y$502)</f>
        <v>329</v>
      </c>
      <c r="Q93" s="6">
        <f t="shared" si="18"/>
        <v>1822588</v>
      </c>
      <c r="R93" s="6">
        <f>ROUND(IF(ISERROR(VLOOKUP(#REF!,'WIP(재공품)'!$B$12:$AB$38,13,0)),0,VLOOKUP(#REF!,'WIP(재공품)'!$B$12:$AB$38,13,0)),0)</f>
        <v>0</v>
      </c>
      <c r="S93" s="6">
        <f>IF(ISERROR(VLOOKUP(#REF!,'WIP(재공품)'!$B$12:$AB$38,10,0)),0,VLOOKUP(#REF!,'WIP(재공품)'!$B$12:$AB$38,10,0))</f>
        <v>0</v>
      </c>
      <c r="T93" s="6">
        <f>SUMIF('JUNE (물량흐름)'!$C$13:$C$502,'Direct labour(직접노무비)'!C93,'JUNE (물량흐름)'!$Y$13:$Y$502)</f>
        <v>0</v>
      </c>
      <c r="U93" s="6">
        <f t="shared" si="19"/>
        <v>0</v>
      </c>
      <c r="V93" s="6">
        <f>ROUND(SUMIF('JUNE (물량흐름)'!$C$13:$C$502,'Direct labour(직접노무비)'!C93,'JUNE (물량흐름)'!$N$13:$N$502),0)</f>
        <v>0</v>
      </c>
      <c r="W93" s="6">
        <f>ROUND(SUMIF('JUNE (물량흐름)'!$C$13:$C$502,'Direct labour(직접노무비)'!C93,'JUNE (물량흐름)'!$O$13:$O$502),0)</f>
        <v>0</v>
      </c>
      <c r="X93" s="6">
        <f>ROUND(SUMIF('JUNE (물량흐름)'!$C$13:$C$502,'Direct labour(직접노무비)'!C93,'JUNE (물량흐름)'!$P$13:$P$502),0)</f>
        <v>0</v>
      </c>
      <c r="Y93" s="6">
        <f t="shared" si="20"/>
        <v>0</v>
      </c>
      <c r="Z93" s="6">
        <f t="shared" si="21"/>
        <v>0</v>
      </c>
      <c r="AA93" s="6">
        <f t="shared" si="22"/>
        <v>0</v>
      </c>
      <c r="AB93" s="389">
        <f t="shared" si="23"/>
        <v>0</v>
      </c>
      <c r="AC93" s="389">
        <f t="shared" si="24"/>
        <v>0</v>
      </c>
      <c r="AD93" s="389">
        <f t="shared" si="25"/>
        <v>0</v>
      </c>
    </row>
    <row r="94" spans="1:30" s="390" customFormat="1" ht="15" customHeight="1">
      <c r="A94" s="167">
        <v>83</v>
      </c>
      <c r="B94" s="267" t="str">
        <f>VLOOKUP(A94,'JUNE (물량흐름)'!$A$13:$C$502,2,0)</f>
        <v>ANN TAYLOR</v>
      </c>
      <c r="C94" s="240" t="str">
        <f>VLOOKUP(A94,'JUNE (물량흐름)'!$A$13:$C$502,3,0)</f>
        <v>453516(456278)</v>
      </c>
      <c r="D94" s="6">
        <f>VLOOKUP(C94,'WIP(재공품)'!$B$12:$E$493,4,0)</f>
        <v>7936.2499999999991</v>
      </c>
      <c r="E94" s="6">
        <f>IFERROR(VLOOKUP(C94,O.B.JUNE!$AA$7:$AG$448,2,0),0)</f>
        <v>0</v>
      </c>
      <c r="F94" s="6">
        <f>IFERROR(VLOOKUP(C94,O.B.JUNE!$AA$7:$AG$448,3,0),0)</f>
        <v>0</v>
      </c>
      <c r="G94" s="6">
        <f>IFERROR(VLOOKUP(C94,O.B.JUNE!$AA$7:$AD$448,4,0),0)</f>
        <v>440</v>
      </c>
      <c r="H94" s="6">
        <f t="shared" si="15"/>
        <v>440</v>
      </c>
      <c r="I94" s="6">
        <f>IFERROR(VLOOKUP(C94,O.B.JUNE!$AA$7:$AF$448,6,0),0)</f>
        <v>352</v>
      </c>
      <c r="J94" s="6"/>
      <c r="K94" s="6">
        <f>IFERROR(VLOOKUP(C94,O.B.JUNE!$AA$7:$AG$448,7,0),0)</f>
        <v>5360211</v>
      </c>
      <c r="L94" s="6">
        <f>SUMIF('JUNE (물량흐름)'!$C$13:$C$502,'Direct labour(직접노무비)'!C94,'JUNE (물량흐름)'!$H$13:$H$502)+SUMIF('JUNE (물량흐름)'!$C$13:$C$502,'Direct labour(직접노무비)'!C94,'JUNE (물량흐름)'!$I$13:$I$502)</f>
        <v>0</v>
      </c>
      <c r="M94" s="6">
        <f t="shared" si="16"/>
        <v>0</v>
      </c>
      <c r="N94" s="6">
        <f t="shared" si="17"/>
        <v>0</v>
      </c>
      <c r="O94" s="6">
        <f t="shared" si="14"/>
        <v>0</v>
      </c>
      <c r="P94" s="6">
        <f>SUMIF('JUNE (물량흐름)'!$C$13:$C$502,C94,'JUNE (물량흐름)'!$T$13:$T$502)+SUMIF('JUNE (물량흐름)'!$C$13:$C$502,C94,'JUNE (물량흐름)'!$V$13:$V$502)+SUMIF('JUNE (물량흐름)'!$C$13:$C$502,C94,'JUNE (물량흐름)'!$U$13:$U$502)-SUMIF('JUNE (물량흐름)'!$C$13:$C$502,C94,'JUNE (물량흐름)'!$Y$13:$Y$502)</f>
        <v>440</v>
      </c>
      <c r="Q94" s="6">
        <f t="shared" si="18"/>
        <v>5360211</v>
      </c>
      <c r="R94" s="6">
        <f>ROUND(IF(ISERROR(VLOOKUP(#REF!,'WIP(재공품)'!$B$12:$AB$38,13,0)),0,VLOOKUP(#REF!,'WIP(재공품)'!$B$12:$AB$38,13,0)),0)</f>
        <v>0</v>
      </c>
      <c r="S94" s="6">
        <f>IF(ISERROR(VLOOKUP(#REF!,'WIP(재공품)'!$B$12:$AB$38,10,0)),0,VLOOKUP(#REF!,'WIP(재공품)'!$B$12:$AB$38,10,0))</f>
        <v>0</v>
      </c>
      <c r="T94" s="6">
        <f>SUMIF('JUNE (물량흐름)'!$C$13:$C$502,'Direct labour(직접노무비)'!C94,'JUNE (물량흐름)'!$Y$13:$Y$502)</f>
        <v>0</v>
      </c>
      <c r="U94" s="6">
        <f t="shared" si="19"/>
        <v>0</v>
      </c>
      <c r="V94" s="6">
        <f>ROUND(SUMIF('JUNE (물량흐름)'!$C$13:$C$502,'Direct labour(직접노무비)'!C94,'JUNE (물량흐름)'!$N$13:$N$502),0)</f>
        <v>0</v>
      </c>
      <c r="W94" s="6">
        <f>ROUND(SUMIF('JUNE (물량흐름)'!$C$13:$C$502,'Direct labour(직접노무비)'!C94,'JUNE (물량흐름)'!$O$13:$O$502),0)</f>
        <v>0</v>
      </c>
      <c r="X94" s="6">
        <f>ROUND(SUMIF('JUNE (물량흐름)'!$C$13:$C$502,'Direct labour(직접노무비)'!C94,'JUNE (물량흐름)'!$P$13:$P$502),0)</f>
        <v>0</v>
      </c>
      <c r="Y94" s="6">
        <f t="shared" si="20"/>
        <v>0</v>
      </c>
      <c r="Z94" s="6">
        <f t="shared" si="21"/>
        <v>0</v>
      </c>
      <c r="AA94" s="6">
        <f t="shared" si="22"/>
        <v>0</v>
      </c>
      <c r="AB94" s="389">
        <f t="shared" si="23"/>
        <v>0</v>
      </c>
      <c r="AC94" s="389">
        <f t="shared" si="24"/>
        <v>0</v>
      </c>
      <c r="AD94" s="389">
        <f t="shared" si="25"/>
        <v>0</v>
      </c>
    </row>
    <row r="95" spans="1:30" s="390" customFormat="1" ht="15" customHeight="1">
      <c r="A95" s="167">
        <v>84</v>
      </c>
      <c r="B95" s="267" t="str">
        <f>VLOOKUP(A95,'JUNE (물량흐름)'!$A$13:$C$502,2,0)</f>
        <v>ANN TAYLOR</v>
      </c>
      <c r="C95" s="240">
        <f>VLOOKUP(A95,'JUNE (물량흐름)'!$A$13:$C$502,3,0)</f>
        <v>453609</v>
      </c>
      <c r="D95" s="6">
        <f>VLOOKUP(C95,'WIP(재공품)'!$B$12:$E$493,4,0)</f>
        <v>24942.500000000004</v>
      </c>
      <c r="E95" s="6">
        <f>IFERROR(VLOOKUP(C95,O.B.JUNE!$AA$7:$AG$448,2,0),0)</f>
        <v>0</v>
      </c>
      <c r="F95" s="6">
        <f>IFERROR(VLOOKUP(C95,O.B.JUNE!$AA$7:$AG$448,3,0),0)</f>
        <v>0</v>
      </c>
      <c r="G95" s="6">
        <f>IFERROR(VLOOKUP(C95,O.B.JUNE!$AA$7:$AD$448,4,0),0)</f>
        <v>121</v>
      </c>
      <c r="H95" s="6">
        <f t="shared" si="15"/>
        <v>121</v>
      </c>
      <c r="I95" s="6">
        <f>IFERROR(VLOOKUP(C95,O.B.JUNE!$AA$7:$AF$448,6,0),0)</f>
        <v>97</v>
      </c>
      <c r="J95" s="6"/>
      <c r="K95" s="6">
        <f>IFERROR(VLOOKUP(C95,O.B.JUNE!$AA$7:$AG$448,7,0),0)</f>
        <v>1478207</v>
      </c>
      <c r="L95" s="6">
        <f>SUMIF('JUNE (물량흐름)'!$C$13:$C$502,'Direct labour(직접노무비)'!C95,'JUNE (물량흐름)'!$H$13:$H$502)+SUMIF('JUNE (물량흐름)'!$C$13:$C$502,'Direct labour(직접노무비)'!C95,'JUNE (물량흐름)'!$I$13:$I$502)</f>
        <v>0</v>
      </c>
      <c r="M95" s="6">
        <f t="shared" si="16"/>
        <v>0</v>
      </c>
      <c r="N95" s="6">
        <f t="shared" si="17"/>
        <v>0</v>
      </c>
      <c r="O95" s="6">
        <f t="shared" si="14"/>
        <v>0</v>
      </c>
      <c r="P95" s="6">
        <f>SUMIF('JUNE (물량흐름)'!$C$13:$C$502,C95,'JUNE (물량흐름)'!$T$13:$T$502)+SUMIF('JUNE (물량흐름)'!$C$13:$C$502,C95,'JUNE (물량흐름)'!$V$13:$V$502)+SUMIF('JUNE (물량흐름)'!$C$13:$C$502,C95,'JUNE (물량흐름)'!$U$13:$U$502)-SUMIF('JUNE (물량흐름)'!$C$13:$C$502,C95,'JUNE (물량흐름)'!$Y$13:$Y$502)</f>
        <v>121</v>
      </c>
      <c r="Q95" s="6">
        <f t="shared" si="18"/>
        <v>1478207</v>
      </c>
      <c r="R95" s="6">
        <f>ROUND(IF(ISERROR(VLOOKUP(#REF!,'WIP(재공품)'!$B$12:$AB$38,13,0)),0,VLOOKUP(#REF!,'WIP(재공품)'!$B$12:$AB$38,13,0)),0)</f>
        <v>0</v>
      </c>
      <c r="S95" s="6">
        <f>IF(ISERROR(VLOOKUP(#REF!,'WIP(재공품)'!$B$12:$AB$38,10,0)),0,VLOOKUP(#REF!,'WIP(재공품)'!$B$12:$AB$38,10,0))</f>
        <v>0</v>
      </c>
      <c r="T95" s="6">
        <f>SUMIF('JUNE (물량흐름)'!$C$13:$C$502,'Direct labour(직접노무비)'!C95,'JUNE (물량흐름)'!$Y$13:$Y$502)</f>
        <v>0</v>
      </c>
      <c r="U95" s="6">
        <f t="shared" si="19"/>
        <v>0</v>
      </c>
      <c r="V95" s="6">
        <f>ROUND(SUMIF('JUNE (물량흐름)'!$C$13:$C$502,'Direct labour(직접노무비)'!C95,'JUNE (물량흐름)'!$N$13:$N$502),0)</f>
        <v>0</v>
      </c>
      <c r="W95" s="6">
        <f>ROUND(SUMIF('JUNE (물량흐름)'!$C$13:$C$502,'Direct labour(직접노무비)'!C95,'JUNE (물량흐름)'!$O$13:$O$502),0)</f>
        <v>0</v>
      </c>
      <c r="X95" s="6">
        <f>ROUND(SUMIF('JUNE (물량흐름)'!$C$13:$C$502,'Direct labour(직접노무비)'!C95,'JUNE (물량흐름)'!$P$13:$P$502),0)</f>
        <v>0</v>
      </c>
      <c r="Y95" s="6">
        <f t="shared" si="20"/>
        <v>0</v>
      </c>
      <c r="Z95" s="6">
        <f t="shared" si="21"/>
        <v>0</v>
      </c>
      <c r="AA95" s="6">
        <f t="shared" si="22"/>
        <v>0</v>
      </c>
      <c r="AB95" s="389">
        <f t="shared" si="23"/>
        <v>0</v>
      </c>
      <c r="AC95" s="389">
        <f t="shared" si="24"/>
        <v>0</v>
      </c>
      <c r="AD95" s="389">
        <f t="shared" si="25"/>
        <v>0</v>
      </c>
    </row>
    <row r="96" spans="1:30" s="390" customFormat="1" ht="15" customHeight="1">
      <c r="A96" s="167">
        <v>85</v>
      </c>
      <c r="B96" s="267" t="str">
        <f>VLOOKUP(A96,'JUNE (물량흐름)'!$A$13:$C$502,2,0)</f>
        <v>ANN TAYLOR</v>
      </c>
      <c r="C96" s="240">
        <f>VLOOKUP(A96,'JUNE (물량흐름)'!$A$13:$C$502,3,0)</f>
        <v>455129</v>
      </c>
      <c r="D96" s="6">
        <f>VLOOKUP(C96,'WIP(재공품)'!$B$12:$E$493,4,0)</f>
        <v>7936.2499999999991</v>
      </c>
      <c r="E96" s="6">
        <f>IFERROR(VLOOKUP(C96,O.B.JUNE!$AA$7:$AG$448,2,0),0)</f>
        <v>0</v>
      </c>
      <c r="F96" s="6">
        <f>IFERROR(VLOOKUP(C96,O.B.JUNE!$AA$7:$AG$448,3,0),0)</f>
        <v>0</v>
      </c>
      <c r="G96" s="6">
        <f>IFERROR(VLOOKUP(C96,O.B.JUNE!$AA$7:$AD$448,4,0),0)</f>
        <v>97</v>
      </c>
      <c r="H96" s="6">
        <f t="shared" si="15"/>
        <v>97</v>
      </c>
      <c r="I96" s="6">
        <f>IFERROR(VLOOKUP(C96,O.B.JUNE!$AA$7:$AF$448,6,0),0)</f>
        <v>78</v>
      </c>
      <c r="J96" s="6"/>
      <c r="K96" s="6">
        <f>IFERROR(VLOOKUP(C96,O.B.JUNE!$AA$7:$AG$448,7,0),0)</f>
        <v>1450160</v>
      </c>
      <c r="L96" s="6">
        <f>SUMIF('JUNE (물량흐름)'!$C$13:$C$502,'Direct labour(직접노무비)'!C96,'JUNE (물량흐름)'!$H$13:$H$502)+SUMIF('JUNE (물량흐름)'!$C$13:$C$502,'Direct labour(직접노무비)'!C96,'JUNE (물량흐름)'!$I$13:$I$502)</f>
        <v>0</v>
      </c>
      <c r="M96" s="6">
        <f t="shared" si="16"/>
        <v>0</v>
      </c>
      <c r="N96" s="6">
        <f t="shared" si="17"/>
        <v>0</v>
      </c>
      <c r="O96" s="6">
        <f t="shared" si="14"/>
        <v>0</v>
      </c>
      <c r="P96" s="6">
        <f>SUMIF('JUNE (물량흐름)'!$C$13:$C$502,C96,'JUNE (물량흐름)'!$T$13:$T$502)+SUMIF('JUNE (물량흐름)'!$C$13:$C$502,C96,'JUNE (물량흐름)'!$V$13:$V$502)+SUMIF('JUNE (물량흐름)'!$C$13:$C$502,C96,'JUNE (물량흐름)'!$U$13:$U$502)-SUMIF('JUNE (물량흐름)'!$C$13:$C$502,C96,'JUNE (물량흐름)'!$Y$13:$Y$502)</f>
        <v>97</v>
      </c>
      <c r="Q96" s="6">
        <f t="shared" si="18"/>
        <v>1450160</v>
      </c>
      <c r="R96" s="6">
        <f>ROUND(IF(ISERROR(VLOOKUP(#REF!,'WIP(재공품)'!$B$12:$AB$38,13,0)),0,VLOOKUP(#REF!,'WIP(재공품)'!$B$12:$AB$38,13,0)),0)</f>
        <v>0</v>
      </c>
      <c r="S96" s="6">
        <f>IF(ISERROR(VLOOKUP(#REF!,'WIP(재공품)'!$B$12:$AB$38,10,0)),0,VLOOKUP(#REF!,'WIP(재공품)'!$B$12:$AB$38,10,0))</f>
        <v>0</v>
      </c>
      <c r="T96" s="6">
        <f>SUMIF('JUNE (물량흐름)'!$C$13:$C$502,'Direct labour(직접노무비)'!C96,'JUNE (물량흐름)'!$Y$13:$Y$502)</f>
        <v>0</v>
      </c>
      <c r="U96" s="6">
        <f t="shared" si="19"/>
        <v>0</v>
      </c>
      <c r="V96" s="6">
        <f>ROUND(SUMIF('JUNE (물량흐름)'!$C$13:$C$502,'Direct labour(직접노무비)'!C96,'JUNE (물량흐름)'!$N$13:$N$502),0)</f>
        <v>0</v>
      </c>
      <c r="W96" s="6">
        <f>ROUND(SUMIF('JUNE (물량흐름)'!$C$13:$C$502,'Direct labour(직접노무비)'!C96,'JUNE (물량흐름)'!$O$13:$O$502),0)</f>
        <v>0</v>
      </c>
      <c r="X96" s="6">
        <f>ROUND(SUMIF('JUNE (물량흐름)'!$C$13:$C$502,'Direct labour(직접노무비)'!C96,'JUNE (물량흐름)'!$P$13:$P$502),0)</f>
        <v>0</v>
      </c>
      <c r="Y96" s="6">
        <f t="shared" si="20"/>
        <v>0</v>
      </c>
      <c r="Z96" s="6">
        <f t="shared" si="21"/>
        <v>0</v>
      </c>
      <c r="AA96" s="6">
        <f t="shared" si="22"/>
        <v>0</v>
      </c>
      <c r="AB96" s="389">
        <f t="shared" si="23"/>
        <v>0</v>
      </c>
      <c r="AC96" s="389">
        <f t="shared" si="24"/>
        <v>0</v>
      </c>
      <c r="AD96" s="389">
        <f t="shared" si="25"/>
        <v>0</v>
      </c>
    </row>
    <row r="97" spans="1:30" s="390" customFormat="1" ht="15" customHeight="1">
      <c r="A97" s="167">
        <v>86</v>
      </c>
      <c r="B97" s="267" t="str">
        <f>VLOOKUP(A97,'JUNE (물량흐름)'!$A$13:$C$502,2,0)</f>
        <v>ANN TAYLOR</v>
      </c>
      <c r="C97" s="240">
        <f>VLOOKUP(A97,'JUNE (물량흐름)'!$A$13:$C$502,3,0)</f>
        <v>455571</v>
      </c>
      <c r="D97" s="6">
        <f>VLOOKUP(C97,'WIP(재공품)'!$B$12:$E$493,4,0)</f>
        <v>7936.2499999999991</v>
      </c>
      <c r="E97" s="6">
        <f>IFERROR(VLOOKUP(C97,O.B.JUNE!$AA$7:$AG$448,2,0),0)</f>
        <v>0</v>
      </c>
      <c r="F97" s="6">
        <f>IFERROR(VLOOKUP(C97,O.B.JUNE!$AA$7:$AG$448,3,0),0)</f>
        <v>0</v>
      </c>
      <c r="G97" s="6">
        <f>IFERROR(VLOOKUP(C97,O.B.JUNE!$AA$7:$AD$448,4,0),0)</f>
        <v>491</v>
      </c>
      <c r="H97" s="6">
        <f t="shared" si="15"/>
        <v>491</v>
      </c>
      <c r="I97" s="6">
        <f>IFERROR(VLOOKUP(C97,O.B.JUNE!$AA$7:$AF$448,6,0),0)</f>
        <v>393</v>
      </c>
      <c r="J97" s="6"/>
      <c r="K97" s="6">
        <f>IFERROR(VLOOKUP(C97,O.B.JUNE!$AA$7:$AG$448,7,0),0)</f>
        <v>6734967</v>
      </c>
      <c r="L97" s="6">
        <f>SUMIF('JUNE (물량흐름)'!$C$13:$C$502,'Direct labour(직접노무비)'!C97,'JUNE (물량흐름)'!$H$13:$H$502)+SUMIF('JUNE (물량흐름)'!$C$13:$C$502,'Direct labour(직접노무비)'!C97,'JUNE (물량흐름)'!$I$13:$I$502)</f>
        <v>0</v>
      </c>
      <c r="M97" s="6">
        <f t="shared" si="16"/>
        <v>0</v>
      </c>
      <c r="N97" s="6">
        <f t="shared" si="17"/>
        <v>0</v>
      </c>
      <c r="O97" s="6">
        <f t="shared" si="14"/>
        <v>0</v>
      </c>
      <c r="P97" s="6">
        <f>SUMIF('JUNE (물량흐름)'!$C$13:$C$502,C97,'JUNE (물량흐름)'!$T$13:$T$502)+SUMIF('JUNE (물량흐름)'!$C$13:$C$502,C97,'JUNE (물량흐름)'!$V$13:$V$502)+SUMIF('JUNE (물량흐름)'!$C$13:$C$502,C97,'JUNE (물량흐름)'!$U$13:$U$502)-SUMIF('JUNE (물량흐름)'!$C$13:$C$502,C97,'JUNE (물량흐름)'!$Y$13:$Y$502)</f>
        <v>491</v>
      </c>
      <c r="Q97" s="6">
        <f t="shared" si="18"/>
        <v>6734967</v>
      </c>
      <c r="R97" s="6">
        <f>ROUND(IF(ISERROR(VLOOKUP(#REF!,'WIP(재공품)'!$B$12:$AB$38,13,0)),0,VLOOKUP(#REF!,'WIP(재공품)'!$B$12:$AB$38,13,0)),0)</f>
        <v>0</v>
      </c>
      <c r="S97" s="6">
        <f>IF(ISERROR(VLOOKUP(#REF!,'WIP(재공품)'!$B$12:$AB$38,10,0)),0,VLOOKUP(#REF!,'WIP(재공품)'!$B$12:$AB$38,10,0))</f>
        <v>0</v>
      </c>
      <c r="T97" s="6">
        <f>SUMIF('JUNE (물량흐름)'!$C$13:$C$502,'Direct labour(직접노무비)'!C97,'JUNE (물량흐름)'!$Y$13:$Y$502)</f>
        <v>0</v>
      </c>
      <c r="U97" s="6">
        <f t="shared" si="19"/>
        <v>0</v>
      </c>
      <c r="V97" s="6">
        <f>ROUND(SUMIF('JUNE (물량흐름)'!$C$13:$C$502,'Direct labour(직접노무비)'!C97,'JUNE (물량흐름)'!$N$13:$N$502),0)</f>
        <v>0</v>
      </c>
      <c r="W97" s="6">
        <f>ROUND(SUMIF('JUNE (물량흐름)'!$C$13:$C$502,'Direct labour(직접노무비)'!C97,'JUNE (물량흐름)'!$O$13:$O$502),0)</f>
        <v>0</v>
      </c>
      <c r="X97" s="6">
        <f>ROUND(SUMIF('JUNE (물량흐름)'!$C$13:$C$502,'Direct labour(직접노무비)'!C97,'JUNE (물량흐름)'!$P$13:$P$502),0)</f>
        <v>0</v>
      </c>
      <c r="Y97" s="6">
        <f t="shared" si="20"/>
        <v>0</v>
      </c>
      <c r="Z97" s="6">
        <f t="shared" si="21"/>
        <v>0</v>
      </c>
      <c r="AA97" s="6">
        <f t="shared" si="22"/>
        <v>0</v>
      </c>
      <c r="AB97" s="389">
        <f t="shared" si="23"/>
        <v>0</v>
      </c>
      <c r="AC97" s="389">
        <f t="shared" si="24"/>
        <v>0</v>
      </c>
      <c r="AD97" s="389">
        <f t="shared" si="25"/>
        <v>0</v>
      </c>
    </row>
    <row r="98" spans="1:30" s="390" customFormat="1" ht="15" customHeight="1">
      <c r="A98" s="167">
        <v>87</v>
      </c>
      <c r="B98" s="267" t="str">
        <f>VLOOKUP(A98,'JUNE (물량흐름)'!$A$13:$C$502,2,0)</f>
        <v>ANN TAYLOR</v>
      </c>
      <c r="C98" s="240" t="str">
        <f>VLOOKUP(A98,'JUNE (물량흐름)'!$A$13:$C$502,3,0)</f>
        <v>456532(456692)</v>
      </c>
      <c r="D98" s="6">
        <f>VLOOKUP(C98,'WIP(재공품)'!$B$12:$E$493,4,0)</f>
        <v>7936.2499999999991</v>
      </c>
      <c r="E98" s="6">
        <f>IFERROR(VLOOKUP(C98,O.B.JUNE!$AA$7:$AG$448,2,0),0)</f>
        <v>0</v>
      </c>
      <c r="F98" s="6">
        <f>IFERROR(VLOOKUP(C98,O.B.JUNE!$AA$7:$AG$448,3,0),0)</f>
        <v>0</v>
      </c>
      <c r="G98" s="6">
        <f>IFERROR(VLOOKUP(C98,O.B.JUNE!$AA$7:$AD$448,4,0),0)</f>
        <v>143</v>
      </c>
      <c r="H98" s="6">
        <f t="shared" si="15"/>
        <v>143</v>
      </c>
      <c r="I98" s="6">
        <f>IFERROR(VLOOKUP(C98,O.B.JUNE!$AA$7:$AF$448,6,0),0)</f>
        <v>114</v>
      </c>
      <c r="J98" s="6"/>
      <c r="K98" s="6">
        <f>IFERROR(VLOOKUP(C98,O.B.JUNE!$AA$7:$AG$448,7,0),0)</f>
        <v>1734615</v>
      </c>
      <c r="L98" s="6">
        <f>SUMIF('JUNE (물량흐름)'!$C$13:$C$502,'Direct labour(직접노무비)'!C98,'JUNE (물량흐름)'!$H$13:$H$502)+SUMIF('JUNE (물량흐름)'!$C$13:$C$502,'Direct labour(직접노무비)'!C98,'JUNE (물량흐름)'!$I$13:$I$502)</f>
        <v>0</v>
      </c>
      <c r="M98" s="6">
        <f t="shared" si="16"/>
        <v>0</v>
      </c>
      <c r="N98" s="6">
        <f t="shared" si="17"/>
        <v>0</v>
      </c>
      <c r="O98" s="6">
        <f t="shared" si="14"/>
        <v>0</v>
      </c>
      <c r="P98" s="6">
        <f>SUMIF('JUNE (물량흐름)'!$C$13:$C$502,C98,'JUNE (물량흐름)'!$T$13:$T$502)+SUMIF('JUNE (물량흐름)'!$C$13:$C$502,C98,'JUNE (물량흐름)'!$V$13:$V$502)+SUMIF('JUNE (물량흐름)'!$C$13:$C$502,C98,'JUNE (물량흐름)'!$U$13:$U$502)-SUMIF('JUNE (물량흐름)'!$C$13:$C$502,C98,'JUNE (물량흐름)'!$Y$13:$Y$502)</f>
        <v>143</v>
      </c>
      <c r="Q98" s="6">
        <f t="shared" si="18"/>
        <v>1734615</v>
      </c>
      <c r="R98" s="6">
        <f>ROUND(IF(ISERROR(VLOOKUP(#REF!,'WIP(재공품)'!$B$12:$AB$38,13,0)),0,VLOOKUP(#REF!,'WIP(재공품)'!$B$12:$AB$38,13,0)),0)</f>
        <v>0</v>
      </c>
      <c r="S98" s="6">
        <f>IF(ISERROR(VLOOKUP(#REF!,'WIP(재공품)'!$B$12:$AB$38,10,0)),0,VLOOKUP(#REF!,'WIP(재공품)'!$B$12:$AB$38,10,0))</f>
        <v>0</v>
      </c>
      <c r="T98" s="6">
        <f>SUMIF('JUNE (물량흐름)'!$C$13:$C$502,'Direct labour(직접노무비)'!C98,'JUNE (물량흐름)'!$Y$13:$Y$502)</f>
        <v>0</v>
      </c>
      <c r="U98" s="6">
        <f t="shared" si="19"/>
        <v>0</v>
      </c>
      <c r="V98" s="6">
        <f>ROUND(SUMIF('JUNE (물량흐름)'!$C$13:$C$502,'Direct labour(직접노무비)'!C98,'JUNE (물량흐름)'!$N$13:$N$502),0)</f>
        <v>0</v>
      </c>
      <c r="W98" s="6">
        <f>ROUND(SUMIF('JUNE (물량흐름)'!$C$13:$C$502,'Direct labour(직접노무비)'!C98,'JUNE (물량흐름)'!$O$13:$O$502),0)</f>
        <v>0</v>
      </c>
      <c r="X98" s="6">
        <f>ROUND(SUMIF('JUNE (물량흐름)'!$C$13:$C$502,'Direct labour(직접노무비)'!C98,'JUNE (물량흐름)'!$P$13:$P$502),0)</f>
        <v>0</v>
      </c>
      <c r="Y98" s="6">
        <f t="shared" si="20"/>
        <v>0</v>
      </c>
      <c r="Z98" s="6">
        <f t="shared" si="21"/>
        <v>0</v>
      </c>
      <c r="AA98" s="6">
        <f t="shared" si="22"/>
        <v>0</v>
      </c>
      <c r="AB98" s="389">
        <f t="shared" si="23"/>
        <v>0</v>
      </c>
      <c r="AC98" s="389">
        <f t="shared" si="24"/>
        <v>0</v>
      </c>
      <c r="AD98" s="389">
        <f t="shared" si="25"/>
        <v>0</v>
      </c>
    </row>
    <row r="99" spans="1:30" s="390" customFormat="1" ht="15" customHeight="1">
      <c r="A99" s="167">
        <v>88</v>
      </c>
      <c r="B99" s="267" t="str">
        <f>VLOOKUP(A99,'JUNE (물량흐름)'!$A$13:$C$502,2,0)</f>
        <v>BUFFALO</v>
      </c>
      <c r="C99" s="240" t="str">
        <f>VLOOKUP(A99,'JUNE (물량흐름)'!$A$13:$C$502,3,0)</f>
        <v>KCL0026</v>
      </c>
      <c r="D99" s="6">
        <f>VLOOKUP(C99,'WIP(재공품)'!$B$12:$E$493,4,0)</f>
        <v>8163</v>
      </c>
      <c r="E99" s="6">
        <f>IFERROR(VLOOKUP(C99,O.B.JUNE!$AA$7:$AG$448,2,0),0)</f>
        <v>0</v>
      </c>
      <c r="F99" s="6">
        <f>IFERROR(VLOOKUP(C99,O.B.JUNE!$AA$7:$AG$448,3,0),0)</f>
        <v>0</v>
      </c>
      <c r="G99" s="6">
        <f>IFERROR(VLOOKUP(C99,O.B.JUNE!$AA$7:$AD$448,4,0),0)</f>
        <v>36</v>
      </c>
      <c r="H99" s="6">
        <f t="shared" si="15"/>
        <v>36</v>
      </c>
      <c r="I99" s="6">
        <f>IFERROR(VLOOKUP(C99,O.B.JUNE!$AA$7:$AF$448,6,0),0)</f>
        <v>29</v>
      </c>
      <c r="J99" s="6"/>
      <c r="K99" s="6">
        <f>IFERROR(VLOOKUP(C99,O.B.JUNE!$AA$7:$AG$448,7,0),0)</f>
        <v>226859</v>
      </c>
      <c r="L99" s="6">
        <f>SUMIF('JUNE (물량흐름)'!$C$13:$C$502,'Direct labour(직접노무비)'!C99,'JUNE (물량흐름)'!$H$13:$H$502)+SUMIF('JUNE (물량흐름)'!$C$13:$C$502,'Direct labour(직접노무비)'!C99,'JUNE (물량흐름)'!$I$13:$I$502)</f>
        <v>0</v>
      </c>
      <c r="M99" s="6">
        <f t="shared" si="16"/>
        <v>0</v>
      </c>
      <c r="N99" s="6">
        <f t="shared" si="17"/>
        <v>0</v>
      </c>
      <c r="O99" s="6">
        <f t="shared" si="14"/>
        <v>0</v>
      </c>
      <c r="P99" s="6">
        <f>SUMIF('JUNE (물량흐름)'!$C$13:$C$502,C99,'JUNE (물량흐름)'!$T$13:$T$502)+SUMIF('JUNE (물량흐름)'!$C$13:$C$502,C99,'JUNE (물량흐름)'!$V$13:$V$502)+SUMIF('JUNE (물량흐름)'!$C$13:$C$502,C99,'JUNE (물량흐름)'!$U$13:$U$502)-SUMIF('JUNE (물량흐름)'!$C$13:$C$502,C99,'JUNE (물량흐름)'!$Y$13:$Y$502)</f>
        <v>36</v>
      </c>
      <c r="Q99" s="6">
        <f t="shared" si="18"/>
        <v>226859</v>
      </c>
      <c r="R99" s="6">
        <f>ROUND(IF(ISERROR(VLOOKUP(#REF!,'WIP(재공품)'!$B$12:$AB$38,13,0)),0,VLOOKUP(#REF!,'WIP(재공품)'!$B$12:$AB$38,13,0)),0)</f>
        <v>0</v>
      </c>
      <c r="S99" s="6">
        <f>IF(ISERROR(VLOOKUP(#REF!,'WIP(재공품)'!$B$12:$AB$38,10,0)),0,VLOOKUP(#REF!,'WIP(재공품)'!$B$12:$AB$38,10,0))</f>
        <v>0</v>
      </c>
      <c r="T99" s="6">
        <f>SUMIF('JUNE (물량흐름)'!$C$13:$C$502,'Direct labour(직접노무비)'!C99,'JUNE (물량흐름)'!$Y$13:$Y$502)</f>
        <v>0</v>
      </c>
      <c r="U99" s="6">
        <f t="shared" si="19"/>
        <v>0</v>
      </c>
      <c r="V99" s="6">
        <f>ROUND(SUMIF('JUNE (물량흐름)'!$C$13:$C$502,'Direct labour(직접노무비)'!C99,'JUNE (물량흐름)'!$N$13:$N$502),0)</f>
        <v>0</v>
      </c>
      <c r="W99" s="6">
        <f>ROUND(SUMIF('JUNE (물량흐름)'!$C$13:$C$502,'Direct labour(직접노무비)'!C99,'JUNE (물량흐름)'!$O$13:$O$502),0)</f>
        <v>0</v>
      </c>
      <c r="X99" s="6">
        <f>ROUND(SUMIF('JUNE (물량흐름)'!$C$13:$C$502,'Direct labour(직접노무비)'!C99,'JUNE (물량흐름)'!$P$13:$P$502),0)</f>
        <v>0</v>
      </c>
      <c r="Y99" s="6">
        <f t="shared" si="20"/>
        <v>0</v>
      </c>
      <c r="Z99" s="6">
        <f t="shared" si="21"/>
        <v>0</v>
      </c>
      <c r="AA99" s="6">
        <f t="shared" si="22"/>
        <v>0</v>
      </c>
      <c r="AB99" s="389">
        <f t="shared" si="23"/>
        <v>0</v>
      </c>
      <c r="AC99" s="389">
        <f t="shared" si="24"/>
        <v>0</v>
      </c>
      <c r="AD99" s="389">
        <f t="shared" si="25"/>
        <v>0</v>
      </c>
    </row>
    <row r="100" spans="1:30" s="390" customFormat="1" ht="15" customHeight="1">
      <c r="A100" s="167">
        <v>89</v>
      </c>
      <c r="B100" s="267" t="str">
        <f>VLOOKUP(A100,'JUNE (물량흐름)'!$A$13:$C$502,2,0)</f>
        <v>INC</v>
      </c>
      <c r="C100" s="240">
        <f>VLOOKUP(A100,'JUNE (물량흐름)'!$A$13:$C$502,3,0)</f>
        <v>100007764</v>
      </c>
      <c r="D100" s="6">
        <f>VLOOKUP(C100,'WIP(재공품)'!$B$12:$E$493,4,0)</f>
        <v>8163</v>
      </c>
      <c r="E100" s="6">
        <f>IFERROR(VLOOKUP(C100,O.B.JUNE!$AA$7:$AG$448,2,0),0)</f>
        <v>0</v>
      </c>
      <c r="F100" s="6">
        <f>IFERROR(VLOOKUP(C100,O.B.JUNE!$AA$7:$AG$448,3,0),0)</f>
        <v>32</v>
      </c>
      <c r="G100" s="6">
        <f>IFERROR(VLOOKUP(C100,O.B.JUNE!$AA$7:$AD$448,4,0),0)</f>
        <v>1251</v>
      </c>
      <c r="H100" s="6">
        <f t="shared" si="15"/>
        <v>1283</v>
      </c>
      <c r="I100" s="6">
        <f>IFERROR(VLOOKUP(C100,O.B.JUNE!$AA$7:$AF$448,6,0),0)</f>
        <v>1017</v>
      </c>
      <c r="J100" s="6"/>
      <c r="K100" s="6">
        <f>IFERROR(VLOOKUP(C100,O.B.JUNE!$AA$7:$AG$448,7,0),0)</f>
        <v>25313353</v>
      </c>
      <c r="L100" s="6">
        <f>SUMIF('JUNE (물량흐름)'!$C$13:$C$502,'Direct labour(직접노무비)'!C100,'JUNE (물량흐름)'!$H$13:$H$502)+SUMIF('JUNE (물량흐름)'!$C$13:$C$502,'Direct labour(직접노무비)'!C100,'JUNE (물량흐름)'!$I$13:$I$502)</f>
        <v>0</v>
      </c>
      <c r="M100" s="6">
        <f t="shared" si="16"/>
        <v>0</v>
      </c>
      <c r="N100" s="6">
        <f t="shared" si="17"/>
        <v>0</v>
      </c>
      <c r="O100" s="6">
        <f t="shared" si="14"/>
        <v>0</v>
      </c>
      <c r="P100" s="6">
        <f>SUMIF('JUNE (물량흐름)'!$C$13:$C$502,C100,'JUNE (물량흐름)'!$T$13:$T$502)+SUMIF('JUNE (물량흐름)'!$C$13:$C$502,C100,'JUNE (물량흐름)'!$V$13:$V$502)+SUMIF('JUNE (물량흐름)'!$C$13:$C$502,C100,'JUNE (물량흐름)'!$U$13:$U$502)-SUMIF('JUNE (물량흐름)'!$C$13:$C$502,C100,'JUNE (물량흐름)'!$Y$13:$Y$502)</f>
        <v>0</v>
      </c>
      <c r="Q100" s="6">
        <f t="shared" si="18"/>
        <v>0</v>
      </c>
      <c r="R100" s="6">
        <f>ROUND(IF(ISERROR(VLOOKUP(#REF!,'WIP(재공품)'!$B$12:$AB$38,13,0)),0,VLOOKUP(#REF!,'WIP(재공품)'!$B$12:$AB$38,13,0)),0)</f>
        <v>0</v>
      </c>
      <c r="S100" s="6">
        <f>IF(ISERROR(VLOOKUP(#REF!,'WIP(재공품)'!$B$12:$AB$38,10,0)),0,VLOOKUP(#REF!,'WIP(재공품)'!$B$12:$AB$38,10,0))</f>
        <v>0</v>
      </c>
      <c r="T100" s="6">
        <f>SUMIF('JUNE (물량흐름)'!$C$13:$C$502,'Direct labour(직접노무비)'!C100,'JUNE (물량흐름)'!$Y$13:$Y$502)</f>
        <v>0</v>
      </c>
      <c r="U100" s="6">
        <f t="shared" si="19"/>
        <v>0</v>
      </c>
      <c r="V100" s="6">
        <f>ROUND(SUMIF('JUNE (물량흐름)'!$C$13:$C$502,'Direct labour(직접노무비)'!C100,'JUNE (물량흐름)'!$N$13:$N$502),0)</f>
        <v>0</v>
      </c>
      <c r="W100" s="6">
        <f>ROUND(SUMIF('JUNE (물량흐름)'!$C$13:$C$502,'Direct labour(직접노무비)'!C100,'JUNE (물량흐름)'!$O$13:$O$502),0)</f>
        <v>32</v>
      </c>
      <c r="X100" s="6">
        <f>ROUND(SUMIF('JUNE (물량흐름)'!$C$13:$C$502,'Direct labour(직접노무비)'!C100,'JUNE (물량흐름)'!$P$13:$P$502),0)</f>
        <v>1251</v>
      </c>
      <c r="Y100" s="6">
        <f t="shared" si="20"/>
        <v>1283</v>
      </c>
      <c r="Z100" s="6">
        <f t="shared" si="21"/>
        <v>1017</v>
      </c>
      <c r="AA100" s="6">
        <f t="shared" si="22"/>
        <v>25313353</v>
      </c>
      <c r="AB100" s="389">
        <f t="shared" si="23"/>
        <v>0</v>
      </c>
      <c r="AC100" s="389">
        <f t="shared" si="24"/>
        <v>0</v>
      </c>
      <c r="AD100" s="389">
        <f t="shared" si="25"/>
        <v>0</v>
      </c>
    </row>
    <row r="101" spans="1:30" s="390" customFormat="1" ht="15" customHeight="1">
      <c r="A101" s="167">
        <v>90</v>
      </c>
      <c r="B101" s="267" t="str">
        <f>VLOOKUP(A101,'JUNE (물량흐름)'!$A$13:$C$502,2,0)</f>
        <v>INC</v>
      </c>
      <c r="C101" s="240">
        <f>VLOOKUP(A101,'JUNE (물량흐름)'!$A$13:$C$502,3,0)</f>
        <v>100007863</v>
      </c>
      <c r="D101" s="6">
        <f>VLOOKUP(C101,'WIP(재공품)'!$B$12:$E$493,4,0)</f>
        <v>7936.2499999999991</v>
      </c>
      <c r="E101" s="6">
        <f>IFERROR(VLOOKUP(C101,O.B.JUNE!$AA$7:$AG$448,2,0),0)</f>
        <v>0</v>
      </c>
      <c r="F101" s="6">
        <f>IFERROR(VLOOKUP(C101,O.B.JUNE!$AA$7:$AG$448,3,0),0)</f>
        <v>0</v>
      </c>
      <c r="G101" s="6">
        <f>IFERROR(VLOOKUP(C101,O.B.JUNE!$AA$7:$AD$448,4,0),0)</f>
        <v>43</v>
      </c>
      <c r="H101" s="6">
        <f t="shared" si="15"/>
        <v>43</v>
      </c>
      <c r="I101" s="6">
        <f>IFERROR(VLOOKUP(C101,O.B.JUNE!$AA$7:$AF$448,6,0),0)</f>
        <v>34</v>
      </c>
      <c r="J101" s="6"/>
      <c r="K101" s="6">
        <f>IFERROR(VLOOKUP(C101,O.B.JUNE!$AA$7:$AG$448,7,0),0)</f>
        <v>1477626</v>
      </c>
      <c r="L101" s="6">
        <f>SUMIF('JUNE (물량흐름)'!$C$13:$C$502,'Direct labour(직접노무비)'!C101,'JUNE (물량흐름)'!$H$13:$H$502)+SUMIF('JUNE (물량흐름)'!$C$13:$C$502,'Direct labour(직접노무비)'!C101,'JUNE (물량흐름)'!$I$13:$I$502)</f>
        <v>0</v>
      </c>
      <c r="M101" s="6">
        <f t="shared" si="16"/>
        <v>0</v>
      </c>
      <c r="N101" s="6">
        <f t="shared" si="17"/>
        <v>0</v>
      </c>
      <c r="O101" s="6">
        <f t="shared" si="14"/>
        <v>0</v>
      </c>
      <c r="P101" s="6">
        <f>SUMIF('JUNE (물량흐름)'!$C$13:$C$502,C101,'JUNE (물량흐름)'!$T$13:$T$502)+SUMIF('JUNE (물량흐름)'!$C$13:$C$502,C101,'JUNE (물량흐름)'!$V$13:$V$502)+SUMIF('JUNE (물량흐름)'!$C$13:$C$502,C101,'JUNE (물량흐름)'!$U$13:$U$502)-SUMIF('JUNE (물량흐름)'!$C$13:$C$502,C101,'JUNE (물량흐름)'!$Y$13:$Y$502)</f>
        <v>43</v>
      </c>
      <c r="Q101" s="6">
        <f t="shared" si="18"/>
        <v>1477626</v>
      </c>
      <c r="R101" s="6">
        <f>ROUND(IF(ISERROR(VLOOKUP(#REF!,'WIP(재공품)'!$B$12:$AB$38,13,0)),0,VLOOKUP(#REF!,'WIP(재공품)'!$B$12:$AB$38,13,0)),0)</f>
        <v>0</v>
      </c>
      <c r="S101" s="6">
        <f>IF(ISERROR(VLOOKUP(#REF!,'WIP(재공품)'!$B$12:$AB$38,10,0)),0,VLOOKUP(#REF!,'WIP(재공품)'!$B$12:$AB$38,10,0))</f>
        <v>0</v>
      </c>
      <c r="T101" s="6">
        <f>SUMIF('JUNE (물량흐름)'!$C$13:$C$502,'Direct labour(직접노무비)'!C101,'JUNE (물량흐름)'!$Y$13:$Y$502)</f>
        <v>0</v>
      </c>
      <c r="U101" s="6">
        <f t="shared" si="19"/>
        <v>0</v>
      </c>
      <c r="V101" s="6">
        <f>ROUND(SUMIF('JUNE (물량흐름)'!$C$13:$C$502,'Direct labour(직접노무비)'!C101,'JUNE (물량흐름)'!$N$13:$N$502),0)</f>
        <v>0</v>
      </c>
      <c r="W101" s="6">
        <f>ROUND(SUMIF('JUNE (물량흐름)'!$C$13:$C$502,'Direct labour(직접노무비)'!C101,'JUNE (물량흐름)'!$O$13:$O$502),0)</f>
        <v>0</v>
      </c>
      <c r="X101" s="6">
        <f>ROUND(SUMIF('JUNE (물량흐름)'!$C$13:$C$502,'Direct labour(직접노무비)'!C101,'JUNE (물량흐름)'!$P$13:$P$502),0)</f>
        <v>0</v>
      </c>
      <c r="Y101" s="6">
        <f t="shared" si="20"/>
        <v>0</v>
      </c>
      <c r="Z101" s="6">
        <f t="shared" si="21"/>
        <v>0</v>
      </c>
      <c r="AA101" s="6">
        <f t="shared" si="22"/>
        <v>0</v>
      </c>
      <c r="AB101" s="389">
        <f t="shared" si="23"/>
        <v>0</v>
      </c>
      <c r="AC101" s="389">
        <f t="shared" si="24"/>
        <v>0</v>
      </c>
      <c r="AD101" s="389">
        <f t="shared" si="25"/>
        <v>0</v>
      </c>
    </row>
    <row r="102" spans="1:30" s="390" customFormat="1" ht="15" customHeight="1">
      <c r="A102" s="167">
        <v>91</v>
      </c>
      <c r="B102" s="267" t="str">
        <f>VLOOKUP(A102,'JUNE (물량흐름)'!$A$13:$C$502,2,0)</f>
        <v>INC</v>
      </c>
      <c r="C102" s="240">
        <f>VLOOKUP(A102,'JUNE (물량흐름)'!$A$13:$C$502,3,0)</f>
        <v>100009688</v>
      </c>
      <c r="D102" s="6">
        <f>VLOOKUP(C102,'WIP(재공품)'!$B$12:$E$493,4,0)</f>
        <v>7936.2499999999991</v>
      </c>
      <c r="E102" s="6">
        <f>IFERROR(VLOOKUP(C102,O.B.JUNE!$AA$7:$AG$448,2,0),0)</f>
        <v>0</v>
      </c>
      <c r="F102" s="6">
        <f>IFERROR(VLOOKUP(C102,O.B.JUNE!$AA$7:$AG$448,3,0),0)</f>
        <v>0</v>
      </c>
      <c r="G102" s="6">
        <f>IFERROR(VLOOKUP(C102,O.B.JUNE!$AA$7:$AD$448,4,0),0)</f>
        <v>48</v>
      </c>
      <c r="H102" s="6">
        <f t="shared" si="15"/>
        <v>48</v>
      </c>
      <c r="I102" s="6">
        <f>IFERROR(VLOOKUP(C102,O.B.JUNE!$AA$7:$AF$448,6,0),0)</f>
        <v>38</v>
      </c>
      <c r="J102" s="6"/>
      <c r="K102" s="6">
        <f>IFERROR(VLOOKUP(C102,O.B.JUNE!$AA$7:$AG$448,7,0),0)</f>
        <v>1056937</v>
      </c>
      <c r="L102" s="6">
        <f>SUMIF('JUNE (물량흐름)'!$C$13:$C$502,'Direct labour(직접노무비)'!C102,'JUNE (물량흐름)'!$H$13:$H$502)+SUMIF('JUNE (물량흐름)'!$C$13:$C$502,'Direct labour(직접노무비)'!C102,'JUNE (물량흐름)'!$I$13:$I$502)</f>
        <v>0</v>
      </c>
      <c r="M102" s="6">
        <f t="shared" si="16"/>
        <v>0</v>
      </c>
      <c r="N102" s="6">
        <f t="shared" si="17"/>
        <v>0</v>
      </c>
      <c r="O102" s="6">
        <f t="shared" si="14"/>
        <v>0</v>
      </c>
      <c r="P102" s="6">
        <f>SUMIF('JUNE (물량흐름)'!$C$13:$C$502,C102,'JUNE (물량흐름)'!$T$13:$T$502)+SUMIF('JUNE (물량흐름)'!$C$13:$C$502,C102,'JUNE (물량흐름)'!$V$13:$V$502)+SUMIF('JUNE (물량흐름)'!$C$13:$C$502,C102,'JUNE (물량흐름)'!$U$13:$U$502)-SUMIF('JUNE (물량흐름)'!$C$13:$C$502,C102,'JUNE (물량흐름)'!$Y$13:$Y$502)</f>
        <v>48</v>
      </c>
      <c r="Q102" s="6">
        <f t="shared" si="18"/>
        <v>1056937</v>
      </c>
      <c r="R102" s="6">
        <f>ROUND(IF(ISERROR(VLOOKUP(#REF!,'WIP(재공품)'!$B$12:$AB$38,13,0)),0,VLOOKUP(#REF!,'WIP(재공품)'!$B$12:$AB$38,13,0)),0)</f>
        <v>0</v>
      </c>
      <c r="S102" s="6">
        <f>IF(ISERROR(VLOOKUP(#REF!,'WIP(재공품)'!$B$12:$AB$38,10,0)),0,VLOOKUP(#REF!,'WIP(재공품)'!$B$12:$AB$38,10,0))</f>
        <v>0</v>
      </c>
      <c r="T102" s="6">
        <f>SUMIF('JUNE (물량흐름)'!$C$13:$C$502,'Direct labour(직접노무비)'!C102,'JUNE (물량흐름)'!$Y$13:$Y$502)</f>
        <v>0</v>
      </c>
      <c r="U102" s="6">
        <f t="shared" si="19"/>
        <v>0</v>
      </c>
      <c r="V102" s="6">
        <f>ROUND(SUMIF('JUNE (물량흐름)'!$C$13:$C$502,'Direct labour(직접노무비)'!C102,'JUNE (물량흐름)'!$N$13:$N$502),0)</f>
        <v>0</v>
      </c>
      <c r="W102" s="6">
        <f>ROUND(SUMIF('JUNE (물량흐름)'!$C$13:$C$502,'Direct labour(직접노무비)'!C102,'JUNE (물량흐름)'!$O$13:$O$502),0)</f>
        <v>0</v>
      </c>
      <c r="X102" s="6">
        <f>ROUND(SUMIF('JUNE (물량흐름)'!$C$13:$C$502,'Direct labour(직접노무비)'!C102,'JUNE (물량흐름)'!$P$13:$P$502),0)</f>
        <v>0</v>
      </c>
      <c r="Y102" s="6">
        <f t="shared" si="20"/>
        <v>0</v>
      </c>
      <c r="Z102" s="6">
        <f t="shared" si="21"/>
        <v>0</v>
      </c>
      <c r="AA102" s="6">
        <f t="shared" si="22"/>
        <v>0</v>
      </c>
      <c r="AB102" s="389">
        <f t="shared" si="23"/>
        <v>0</v>
      </c>
      <c r="AC102" s="389">
        <f t="shared" si="24"/>
        <v>0</v>
      </c>
      <c r="AD102" s="389">
        <f t="shared" si="25"/>
        <v>0</v>
      </c>
    </row>
    <row r="103" spans="1:30" s="390" customFormat="1" ht="15" customHeight="1">
      <c r="A103" s="167">
        <v>92</v>
      </c>
      <c r="B103" s="267" t="str">
        <f>VLOOKUP(A103,'JUNE (물량흐름)'!$A$13:$C$502,2,0)</f>
        <v>INC</v>
      </c>
      <c r="C103" s="240">
        <f>VLOOKUP(A103,'JUNE (물량흐름)'!$A$13:$C$502,3,0)</f>
        <v>100012436</v>
      </c>
      <c r="D103" s="6">
        <f>VLOOKUP(C103,'WIP(재공품)'!$B$12:$E$493,4,0)</f>
        <v>8163</v>
      </c>
      <c r="E103" s="6">
        <f>IFERROR(VLOOKUP(C103,O.B.JUNE!$AA$7:$AG$448,2,0),0)</f>
        <v>0</v>
      </c>
      <c r="F103" s="6">
        <f>IFERROR(VLOOKUP(C103,O.B.JUNE!$AA$7:$AG$448,3,0),0)</f>
        <v>0</v>
      </c>
      <c r="G103" s="6">
        <f>IFERROR(VLOOKUP(C103,O.B.JUNE!$AA$7:$AD$448,4,0),0)</f>
        <v>88</v>
      </c>
      <c r="H103" s="6">
        <f t="shared" si="15"/>
        <v>88</v>
      </c>
      <c r="I103" s="6">
        <f>IFERROR(VLOOKUP(C103,O.B.JUNE!$AA$7:$AF$448,6,0),0)</f>
        <v>70</v>
      </c>
      <c r="J103" s="6"/>
      <c r="K103" s="6">
        <f>IFERROR(VLOOKUP(C103,O.B.JUNE!$AA$7:$AG$448,7,0),0)</f>
        <v>1946990</v>
      </c>
      <c r="L103" s="6">
        <f>SUMIF('JUNE (물량흐름)'!$C$13:$C$502,'Direct labour(직접노무비)'!C103,'JUNE (물량흐름)'!$H$13:$H$502)+SUMIF('JUNE (물량흐름)'!$C$13:$C$502,'Direct labour(직접노무비)'!C103,'JUNE (물량흐름)'!$I$13:$I$502)</f>
        <v>0</v>
      </c>
      <c r="M103" s="6">
        <f t="shared" si="16"/>
        <v>0</v>
      </c>
      <c r="N103" s="6">
        <f t="shared" si="17"/>
        <v>0</v>
      </c>
      <c r="O103" s="6">
        <f t="shared" si="14"/>
        <v>0</v>
      </c>
      <c r="P103" s="6">
        <f>SUMIF('JUNE (물량흐름)'!$C$13:$C$502,C103,'JUNE (물량흐름)'!$T$13:$T$502)+SUMIF('JUNE (물량흐름)'!$C$13:$C$502,C103,'JUNE (물량흐름)'!$V$13:$V$502)+SUMIF('JUNE (물량흐름)'!$C$13:$C$502,C103,'JUNE (물량흐름)'!$U$13:$U$502)-SUMIF('JUNE (물량흐름)'!$C$13:$C$502,C103,'JUNE (물량흐름)'!$Y$13:$Y$502)</f>
        <v>88</v>
      </c>
      <c r="Q103" s="6">
        <f t="shared" si="18"/>
        <v>1946990</v>
      </c>
      <c r="R103" s="6">
        <f>ROUND(IF(ISERROR(VLOOKUP(#REF!,'WIP(재공품)'!$B$12:$AB$38,13,0)),0,VLOOKUP(#REF!,'WIP(재공품)'!$B$12:$AB$38,13,0)),0)</f>
        <v>0</v>
      </c>
      <c r="S103" s="6">
        <f>IF(ISERROR(VLOOKUP(#REF!,'WIP(재공품)'!$B$12:$AB$38,10,0)),0,VLOOKUP(#REF!,'WIP(재공품)'!$B$12:$AB$38,10,0))</f>
        <v>0</v>
      </c>
      <c r="T103" s="6">
        <f>SUMIF('JUNE (물량흐름)'!$C$13:$C$502,'Direct labour(직접노무비)'!C103,'JUNE (물량흐름)'!$Y$13:$Y$502)</f>
        <v>0</v>
      </c>
      <c r="U103" s="6">
        <f t="shared" si="19"/>
        <v>0</v>
      </c>
      <c r="V103" s="6">
        <f>ROUND(SUMIF('JUNE (물량흐름)'!$C$13:$C$502,'Direct labour(직접노무비)'!C103,'JUNE (물량흐름)'!$N$13:$N$502),0)</f>
        <v>0</v>
      </c>
      <c r="W103" s="6">
        <f>ROUND(SUMIF('JUNE (물량흐름)'!$C$13:$C$502,'Direct labour(직접노무비)'!C103,'JUNE (물량흐름)'!$O$13:$O$502),0)</f>
        <v>0</v>
      </c>
      <c r="X103" s="6">
        <f>ROUND(SUMIF('JUNE (물량흐름)'!$C$13:$C$502,'Direct labour(직접노무비)'!C103,'JUNE (물량흐름)'!$P$13:$P$502),0)</f>
        <v>0</v>
      </c>
      <c r="Y103" s="6">
        <f t="shared" si="20"/>
        <v>0</v>
      </c>
      <c r="Z103" s="6">
        <f t="shared" si="21"/>
        <v>0</v>
      </c>
      <c r="AA103" s="6">
        <f t="shared" si="22"/>
        <v>0</v>
      </c>
      <c r="AB103" s="389">
        <f t="shared" si="23"/>
        <v>0</v>
      </c>
      <c r="AC103" s="389">
        <f t="shared" si="24"/>
        <v>0</v>
      </c>
      <c r="AD103" s="389">
        <f t="shared" si="25"/>
        <v>0</v>
      </c>
    </row>
    <row r="104" spans="1:30" s="390" customFormat="1" ht="15" customHeight="1">
      <c r="A104" s="167">
        <v>93</v>
      </c>
      <c r="B104" s="267" t="str">
        <f>VLOOKUP(A104,'JUNE (물량흐름)'!$A$13:$C$502,2,0)</f>
        <v>INC</v>
      </c>
      <c r="C104" s="240">
        <f>VLOOKUP(A104,'JUNE (물량흐름)'!$A$13:$C$502,3,0)</f>
        <v>100012476</v>
      </c>
      <c r="D104" s="6">
        <f>VLOOKUP(C104,'WIP(재공품)'!$B$12:$E$493,4,0)</f>
        <v>7936.2499999999991</v>
      </c>
      <c r="E104" s="6">
        <f>IFERROR(VLOOKUP(C104,O.B.JUNE!$AA$7:$AG$448,2,0),0)</f>
        <v>0</v>
      </c>
      <c r="F104" s="6">
        <f>IFERROR(VLOOKUP(C104,O.B.JUNE!$AA$7:$AG$448,3,0),0)</f>
        <v>0</v>
      </c>
      <c r="G104" s="6">
        <f>IFERROR(VLOOKUP(C104,O.B.JUNE!$AA$7:$AD$448,4,0),0)</f>
        <v>168</v>
      </c>
      <c r="H104" s="6">
        <f t="shared" si="15"/>
        <v>168</v>
      </c>
      <c r="I104" s="6">
        <f>IFERROR(VLOOKUP(C104,O.B.JUNE!$AA$7:$AF$448,6,0),0)</f>
        <v>134</v>
      </c>
      <c r="J104" s="6"/>
      <c r="K104" s="6">
        <f>IFERROR(VLOOKUP(C104,O.B.JUNE!$AA$7:$AG$448,7,0),0)</f>
        <v>3735617</v>
      </c>
      <c r="L104" s="6">
        <f>SUMIF('JUNE (물량흐름)'!$C$13:$C$502,'Direct labour(직접노무비)'!C104,'JUNE (물량흐름)'!$H$13:$H$502)+SUMIF('JUNE (물량흐름)'!$C$13:$C$502,'Direct labour(직접노무비)'!C104,'JUNE (물량흐름)'!$I$13:$I$502)</f>
        <v>0</v>
      </c>
      <c r="M104" s="6">
        <f t="shared" si="16"/>
        <v>0</v>
      </c>
      <c r="N104" s="6">
        <f t="shared" si="17"/>
        <v>0</v>
      </c>
      <c r="O104" s="6">
        <f t="shared" si="14"/>
        <v>0</v>
      </c>
      <c r="P104" s="6">
        <f>SUMIF('JUNE (물량흐름)'!$C$13:$C$502,C104,'JUNE (물량흐름)'!$T$13:$T$502)+SUMIF('JUNE (물량흐름)'!$C$13:$C$502,C104,'JUNE (물량흐름)'!$V$13:$V$502)+SUMIF('JUNE (물량흐름)'!$C$13:$C$502,C104,'JUNE (물량흐름)'!$U$13:$U$502)-SUMIF('JUNE (물량흐름)'!$C$13:$C$502,C104,'JUNE (물량흐름)'!$Y$13:$Y$502)</f>
        <v>168</v>
      </c>
      <c r="Q104" s="6">
        <f t="shared" si="18"/>
        <v>3735617</v>
      </c>
      <c r="R104" s="6">
        <f>ROUND(IF(ISERROR(VLOOKUP(#REF!,'WIP(재공품)'!$B$12:$AB$38,13,0)),0,VLOOKUP(#REF!,'WIP(재공품)'!$B$12:$AB$38,13,0)),0)</f>
        <v>0</v>
      </c>
      <c r="S104" s="6">
        <f>IF(ISERROR(VLOOKUP(#REF!,'WIP(재공품)'!$B$12:$AB$38,10,0)),0,VLOOKUP(#REF!,'WIP(재공품)'!$B$12:$AB$38,10,0))</f>
        <v>0</v>
      </c>
      <c r="T104" s="6">
        <f>SUMIF('JUNE (물량흐름)'!$C$13:$C$502,'Direct labour(직접노무비)'!C104,'JUNE (물량흐름)'!$Y$13:$Y$502)</f>
        <v>0</v>
      </c>
      <c r="U104" s="6">
        <f t="shared" si="19"/>
        <v>0</v>
      </c>
      <c r="V104" s="6">
        <f>ROUND(SUMIF('JUNE (물량흐름)'!$C$13:$C$502,'Direct labour(직접노무비)'!C104,'JUNE (물량흐름)'!$N$13:$N$502),0)</f>
        <v>0</v>
      </c>
      <c r="W104" s="6">
        <f>ROUND(SUMIF('JUNE (물량흐름)'!$C$13:$C$502,'Direct labour(직접노무비)'!C104,'JUNE (물량흐름)'!$O$13:$O$502),0)</f>
        <v>0</v>
      </c>
      <c r="X104" s="6">
        <f>ROUND(SUMIF('JUNE (물량흐름)'!$C$13:$C$502,'Direct labour(직접노무비)'!C104,'JUNE (물량흐름)'!$P$13:$P$502),0)</f>
        <v>0</v>
      </c>
      <c r="Y104" s="6">
        <f t="shared" si="20"/>
        <v>0</v>
      </c>
      <c r="Z104" s="6">
        <f t="shared" si="21"/>
        <v>0</v>
      </c>
      <c r="AA104" s="6">
        <f t="shared" si="22"/>
        <v>0</v>
      </c>
      <c r="AB104" s="389">
        <f t="shared" si="23"/>
        <v>0</v>
      </c>
      <c r="AC104" s="389">
        <f t="shared" si="24"/>
        <v>0</v>
      </c>
      <c r="AD104" s="389">
        <f t="shared" si="25"/>
        <v>0</v>
      </c>
    </row>
    <row r="105" spans="1:30" s="390" customFormat="1" ht="15" customHeight="1">
      <c r="A105" s="167">
        <v>94</v>
      </c>
      <c r="B105" s="267" t="str">
        <f>VLOOKUP(A105,'JUNE (물량흐름)'!$A$13:$C$502,2,0)</f>
        <v>INC</v>
      </c>
      <c r="C105" s="240">
        <f>VLOOKUP(A105,'JUNE (물량흐름)'!$A$13:$C$502,3,0)</f>
        <v>100013564</v>
      </c>
      <c r="D105" s="6">
        <f>VLOOKUP(C105,'WIP(재공품)'!$B$12:$E$493,4,0)</f>
        <v>8163</v>
      </c>
      <c r="E105" s="6">
        <f>IFERROR(VLOOKUP(C105,O.B.JUNE!$AA$7:$AG$448,2,0),0)</f>
        <v>0</v>
      </c>
      <c r="F105" s="6">
        <f>IFERROR(VLOOKUP(C105,O.B.JUNE!$AA$7:$AG$448,3,0),0)</f>
        <v>0</v>
      </c>
      <c r="G105" s="6">
        <f>IFERROR(VLOOKUP(C105,O.B.JUNE!$AA$7:$AD$448,4,0),0)</f>
        <v>198</v>
      </c>
      <c r="H105" s="6">
        <f t="shared" si="15"/>
        <v>198</v>
      </c>
      <c r="I105" s="6">
        <f>IFERROR(VLOOKUP(C105,O.B.JUNE!$AA$7:$AF$448,6,0),0)</f>
        <v>158</v>
      </c>
      <c r="J105" s="6"/>
      <c r="K105" s="6">
        <f>IFERROR(VLOOKUP(C105,O.B.JUNE!$AA$7:$AG$448,7,0),0)</f>
        <v>4669298</v>
      </c>
      <c r="L105" s="6">
        <f>SUMIF('JUNE (물량흐름)'!$C$13:$C$502,'Direct labour(직접노무비)'!C105,'JUNE (물량흐름)'!$H$13:$H$502)+SUMIF('JUNE (물량흐름)'!$C$13:$C$502,'Direct labour(직접노무비)'!C105,'JUNE (물량흐름)'!$I$13:$I$502)</f>
        <v>0</v>
      </c>
      <c r="M105" s="6">
        <f t="shared" si="16"/>
        <v>0</v>
      </c>
      <c r="N105" s="6">
        <f t="shared" si="17"/>
        <v>0</v>
      </c>
      <c r="O105" s="6">
        <f t="shared" si="14"/>
        <v>0</v>
      </c>
      <c r="P105" s="6">
        <f>SUMIF('JUNE (물량흐름)'!$C$13:$C$502,C105,'JUNE (물량흐름)'!$T$13:$T$502)+SUMIF('JUNE (물량흐름)'!$C$13:$C$502,C105,'JUNE (물량흐름)'!$V$13:$V$502)+SUMIF('JUNE (물량흐름)'!$C$13:$C$502,C105,'JUNE (물량흐름)'!$U$13:$U$502)-SUMIF('JUNE (물량흐름)'!$C$13:$C$502,C105,'JUNE (물량흐름)'!$Y$13:$Y$502)</f>
        <v>198</v>
      </c>
      <c r="Q105" s="6">
        <f t="shared" si="18"/>
        <v>4669298</v>
      </c>
      <c r="R105" s="6">
        <f>ROUND(IF(ISERROR(VLOOKUP(#REF!,'WIP(재공품)'!$B$12:$AB$38,13,0)),0,VLOOKUP(#REF!,'WIP(재공품)'!$B$12:$AB$38,13,0)),0)</f>
        <v>0</v>
      </c>
      <c r="S105" s="6">
        <f>IF(ISERROR(VLOOKUP(#REF!,'WIP(재공품)'!$B$12:$AB$38,10,0)),0,VLOOKUP(#REF!,'WIP(재공품)'!$B$12:$AB$38,10,0))</f>
        <v>0</v>
      </c>
      <c r="T105" s="6">
        <f>SUMIF('JUNE (물량흐름)'!$C$13:$C$502,'Direct labour(직접노무비)'!C105,'JUNE (물량흐름)'!$Y$13:$Y$502)</f>
        <v>0</v>
      </c>
      <c r="U105" s="6">
        <f t="shared" si="19"/>
        <v>0</v>
      </c>
      <c r="V105" s="6">
        <f>ROUND(SUMIF('JUNE (물량흐름)'!$C$13:$C$502,'Direct labour(직접노무비)'!C105,'JUNE (물량흐름)'!$N$13:$N$502),0)</f>
        <v>0</v>
      </c>
      <c r="W105" s="6">
        <f>ROUND(SUMIF('JUNE (물량흐름)'!$C$13:$C$502,'Direct labour(직접노무비)'!C105,'JUNE (물량흐름)'!$O$13:$O$502),0)</f>
        <v>0</v>
      </c>
      <c r="X105" s="6">
        <f>ROUND(SUMIF('JUNE (물량흐름)'!$C$13:$C$502,'Direct labour(직접노무비)'!C105,'JUNE (물량흐름)'!$P$13:$P$502),0)</f>
        <v>0</v>
      </c>
      <c r="Y105" s="6">
        <f t="shared" si="20"/>
        <v>0</v>
      </c>
      <c r="Z105" s="6">
        <f t="shared" si="21"/>
        <v>0</v>
      </c>
      <c r="AA105" s="6">
        <f t="shared" si="22"/>
        <v>0</v>
      </c>
      <c r="AB105" s="389">
        <f t="shared" si="23"/>
        <v>0</v>
      </c>
      <c r="AC105" s="389">
        <f t="shared" si="24"/>
        <v>0</v>
      </c>
      <c r="AD105" s="389">
        <f t="shared" si="25"/>
        <v>0</v>
      </c>
    </row>
    <row r="106" spans="1:30" s="390" customFormat="1" ht="15" customHeight="1">
      <c r="A106" s="167">
        <v>95</v>
      </c>
      <c r="B106" s="267" t="str">
        <f>VLOOKUP(A106,'JUNE (물량흐름)'!$A$13:$C$502,2,0)</f>
        <v>J JILL</v>
      </c>
      <c r="C106" s="240" t="str">
        <f>VLOOKUP(A106,'JUNE (물량흐름)'!$A$13:$C$502,3,0)</f>
        <v>KDR112751</v>
      </c>
      <c r="D106" s="6">
        <f>VLOOKUP(C106,'WIP(재공품)'!$B$12:$E$493,4,0)</f>
        <v>7936.2499999999991</v>
      </c>
      <c r="E106" s="6">
        <f>IFERROR(VLOOKUP(C106,O.B.JUNE!$AA$7:$AG$448,2,0),0)</f>
        <v>0</v>
      </c>
      <c r="F106" s="6">
        <f>IFERROR(VLOOKUP(C106,O.B.JUNE!$AA$7:$AG$448,3,0),0)</f>
        <v>0</v>
      </c>
      <c r="G106" s="6">
        <f>IFERROR(VLOOKUP(C106,O.B.JUNE!$AA$7:$AD$448,4,0),0)</f>
        <v>104</v>
      </c>
      <c r="H106" s="6">
        <f t="shared" si="15"/>
        <v>104</v>
      </c>
      <c r="I106" s="6">
        <f>IFERROR(VLOOKUP(C106,O.B.JUNE!$AA$7:$AF$448,6,0),0)</f>
        <v>83</v>
      </c>
      <c r="J106" s="6"/>
      <c r="K106" s="6">
        <f>IFERROR(VLOOKUP(C106,O.B.JUNE!$AA$7:$AG$448,7,0),0)</f>
        <v>2236430</v>
      </c>
      <c r="L106" s="6">
        <f>SUMIF('JUNE (물량흐름)'!$C$13:$C$502,'Direct labour(직접노무비)'!C106,'JUNE (물량흐름)'!$H$13:$H$502)+SUMIF('JUNE (물량흐름)'!$C$13:$C$502,'Direct labour(직접노무비)'!C106,'JUNE (물량흐름)'!$I$13:$I$502)</f>
        <v>0</v>
      </c>
      <c r="M106" s="6">
        <f t="shared" si="16"/>
        <v>0</v>
      </c>
      <c r="N106" s="6">
        <f t="shared" si="17"/>
        <v>0</v>
      </c>
      <c r="O106" s="6">
        <f t="shared" si="14"/>
        <v>0</v>
      </c>
      <c r="P106" s="6">
        <f>SUMIF('JUNE (물량흐름)'!$C$13:$C$502,C106,'JUNE (물량흐름)'!$T$13:$T$502)+SUMIF('JUNE (물량흐름)'!$C$13:$C$502,C106,'JUNE (물량흐름)'!$V$13:$V$502)+SUMIF('JUNE (물량흐름)'!$C$13:$C$502,C106,'JUNE (물량흐름)'!$U$13:$U$502)-SUMIF('JUNE (물량흐름)'!$C$13:$C$502,C106,'JUNE (물량흐름)'!$Y$13:$Y$502)</f>
        <v>104</v>
      </c>
      <c r="Q106" s="6">
        <f t="shared" si="18"/>
        <v>2236430</v>
      </c>
      <c r="R106" s="6">
        <f>ROUND(IF(ISERROR(VLOOKUP(#REF!,'WIP(재공품)'!$B$12:$AB$38,13,0)),0,VLOOKUP(#REF!,'WIP(재공품)'!$B$12:$AB$38,13,0)),0)</f>
        <v>0</v>
      </c>
      <c r="S106" s="6">
        <f>IF(ISERROR(VLOOKUP(#REF!,'WIP(재공품)'!$B$12:$AB$38,10,0)),0,VLOOKUP(#REF!,'WIP(재공품)'!$B$12:$AB$38,10,0))</f>
        <v>0</v>
      </c>
      <c r="T106" s="6">
        <f>SUMIF('JUNE (물량흐름)'!$C$13:$C$502,'Direct labour(직접노무비)'!C106,'JUNE (물량흐름)'!$Y$13:$Y$502)</f>
        <v>0</v>
      </c>
      <c r="U106" s="6">
        <f t="shared" si="19"/>
        <v>0</v>
      </c>
      <c r="V106" s="6">
        <f>ROUND(SUMIF('JUNE (물량흐름)'!$C$13:$C$502,'Direct labour(직접노무비)'!C106,'JUNE (물량흐름)'!$N$13:$N$502),0)</f>
        <v>0</v>
      </c>
      <c r="W106" s="6">
        <f>ROUND(SUMIF('JUNE (물량흐름)'!$C$13:$C$502,'Direct labour(직접노무비)'!C106,'JUNE (물량흐름)'!$O$13:$O$502),0)</f>
        <v>0</v>
      </c>
      <c r="X106" s="6">
        <f>ROUND(SUMIF('JUNE (물량흐름)'!$C$13:$C$502,'Direct labour(직접노무비)'!C106,'JUNE (물량흐름)'!$P$13:$P$502),0)</f>
        <v>0</v>
      </c>
      <c r="Y106" s="6">
        <f t="shared" si="20"/>
        <v>0</v>
      </c>
      <c r="Z106" s="6">
        <f t="shared" si="21"/>
        <v>0</v>
      </c>
      <c r="AA106" s="6">
        <f t="shared" si="22"/>
        <v>0</v>
      </c>
      <c r="AB106" s="389">
        <f t="shared" si="23"/>
        <v>0</v>
      </c>
      <c r="AC106" s="389">
        <f t="shared" si="24"/>
        <v>0</v>
      </c>
      <c r="AD106" s="389">
        <f t="shared" si="25"/>
        <v>0</v>
      </c>
    </row>
    <row r="107" spans="1:30" s="390" customFormat="1" ht="15" customHeight="1">
      <c r="A107" s="167">
        <v>96</v>
      </c>
      <c r="B107" s="267" t="str">
        <f>VLOOKUP(A107,'JUNE (물량흐름)'!$A$13:$C$502,2,0)</f>
        <v>J JILL</v>
      </c>
      <c r="C107" s="240" t="str">
        <f>VLOOKUP(A107,'JUNE (물량흐름)'!$A$13:$C$502,3,0)</f>
        <v>KJT112641</v>
      </c>
      <c r="D107" s="6">
        <f>VLOOKUP(C107,'WIP(재공품)'!$B$12:$E$493,4,0)</f>
        <v>8163</v>
      </c>
      <c r="E107" s="6">
        <f>IFERROR(VLOOKUP(C107,O.B.JUNE!$AA$7:$AG$448,2,0),0)</f>
        <v>0</v>
      </c>
      <c r="F107" s="6">
        <f>IFERROR(VLOOKUP(C107,O.B.JUNE!$AA$7:$AG$448,3,0),0)</f>
        <v>0</v>
      </c>
      <c r="G107" s="6">
        <f>IFERROR(VLOOKUP(C107,O.B.JUNE!$AA$7:$AD$448,4,0),0)</f>
        <v>278</v>
      </c>
      <c r="H107" s="6">
        <f t="shared" si="15"/>
        <v>278</v>
      </c>
      <c r="I107" s="6">
        <f>IFERROR(VLOOKUP(C107,O.B.JUNE!$AA$7:$AF$448,6,0),0)</f>
        <v>222</v>
      </c>
      <c r="J107" s="6"/>
      <c r="K107" s="6">
        <f>IFERROR(VLOOKUP(C107,O.B.JUNE!$AA$7:$AG$448,7,0),0)</f>
        <v>7623342</v>
      </c>
      <c r="L107" s="6">
        <f>SUMIF('JUNE (물량흐름)'!$C$13:$C$502,'Direct labour(직접노무비)'!C107,'JUNE (물량흐름)'!$H$13:$H$502)+SUMIF('JUNE (물량흐름)'!$C$13:$C$502,'Direct labour(직접노무비)'!C107,'JUNE (물량흐름)'!$I$13:$I$502)</f>
        <v>0</v>
      </c>
      <c r="M107" s="6">
        <f t="shared" si="16"/>
        <v>0</v>
      </c>
      <c r="N107" s="6">
        <f t="shared" si="17"/>
        <v>0</v>
      </c>
      <c r="O107" s="6">
        <f t="shared" si="14"/>
        <v>0</v>
      </c>
      <c r="P107" s="6">
        <f>SUMIF('JUNE (물량흐름)'!$C$13:$C$502,C107,'JUNE (물량흐름)'!$T$13:$T$502)+SUMIF('JUNE (물량흐름)'!$C$13:$C$502,C107,'JUNE (물량흐름)'!$V$13:$V$502)+SUMIF('JUNE (물량흐름)'!$C$13:$C$502,C107,'JUNE (물량흐름)'!$U$13:$U$502)-SUMIF('JUNE (물량흐름)'!$C$13:$C$502,C107,'JUNE (물량흐름)'!$Y$13:$Y$502)</f>
        <v>278</v>
      </c>
      <c r="Q107" s="6">
        <f t="shared" si="18"/>
        <v>7623342</v>
      </c>
      <c r="R107" s="6">
        <f>ROUND(IF(ISERROR(VLOOKUP(#REF!,'WIP(재공품)'!$B$12:$AB$38,13,0)),0,VLOOKUP(#REF!,'WIP(재공품)'!$B$12:$AB$38,13,0)),0)</f>
        <v>0</v>
      </c>
      <c r="S107" s="6">
        <f>IF(ISERROR(VLOOKUP(#REF!,'WIP(재공품)'!$B$12:$AB$38,10,0)),0,VLOOKUP(#REF!,'WIP(재공품)'!$B$12:$AB$38,10,0))</f>
        <v>0</v>
      </c>
      <c r="T107" s="6">
        <f>SUMIF('JUNE (물량흐름)'!$C$13:$C$502,'Direct labour(직접노무비)'!C107,'JUNE (물량흐름)'!$Y$13:$Y$502)</f>
        <v>0</v>
      </c>
      <c r="U107" s="6">
        <f t="shared" si="19"/>
        <v>0</v>
      </c>
      <c r="V107" s="6">
        <f>ROUND(SUMIF('JUNE (물량흐름)'!$C$13:$C$502,'Direct labour(직접노무비)'!C107,'JUNE (물량흐름)'!$N$13:$N$502),0)</f>
        <v>0</v>
      </c>
      <c r="W107" s="6">
        <f>ROUND(SUMIF('JUNE (물량흐름)'!$C$13:$C$502,'Direct labour(직접노무비)'!C107,'JUNE (물량흐름)'!$O$13:$O$502),0)</f>
        <v>0</v>
      </c>
      <c r="X107" s="6">
        <f>ROUND(SUMIF('JUNE (물량흐름)'!$C$13:$C$502,'Direct labour(직접노무비)'!C107,'JUNE (물량흐름)'!$P$13:$P$502),0)</f>
        <v>0</v>
      </c>
      <c r="Y107" s="6">
        <f t="shared" si="20"/>
        <v>0</v>
      </c>
      <c r="Z107" s="6">
        <f t="shared" si="21"/>
        <v>0</v>
      </c>
      <c r="AA107" s="6">
        <f t="shared" si="22"/>
        <v>0</v>
      </c>
      <c r="AB107" s="389">
        <f t="shared" si="23"/>
        <v>0</v>
      </c>
      <c r="AC107" s="389">
        <f t="shared" si="24"/>
        <v>0</v>
      </c>
      <c r="AD107" s="389">
        <f t="shared" si="25"/>
        <v>0</v>
      </c>
    </row>
    <row r="108" spans="1:30" s="390" customFormat="1" ht="15" customHeight="1">
      <c r="A108" s="167">
        <v>97</v>
      </c>
      <c r="B108" s="267" t="str">
        <f>VLOOKUP(A108,'JUNE (물량흐름)'!$A$13:$C$502,2,0)</f>
        <v>J JILL</v>
      </c>
      <c r="C108" s="240" t="str">
        <f>VLOOKUP(A108,'JUNE (물량흐름)'!$A$13:$C$502,3,0)</f>
        <v>KJT113771</v>
      </c>
      <c r="D108" s="6">
        <f>VLOOKUP(C108,'WIP(재공품)'!$B$12:$E$493,4,0)</f>
        <v>8163</v>
      </c>
      <c r="E108" s="6">
        <f>IFERROR(VLOOKUP(C108,O.B.JUNE!$AA$7:$AG$448,2,0),0)</f>
        <v>0</v>
      </c>
      <c r="F108" s="6">
        <f>IFERROR(VLOOKUP(C108,O.B.JUNE!$AA$7:$AG$448,3,0),0)</f>
        <v>0</v>
      </c>
      <c r="G108" s="6">
        <f>IFERROR(VLOOKUP(C108,O.B.JUNE!$AA$7:$AD$448,4,0),0)</f>
        <v>115</v>
      </c>
      <c r="H108" s="6">
        <f t="shared" si="15"/>
        <v>115</v>
      </c>
      <c r="I108" s="6">
        <f>IFERROR(VLOOKUP(C108,O.B.JUNE!$AA$7:$AF$448,6,0),0)</f>
        <v>92</v>
      </c>
      <c r="J108" s="6"/>
      <c r="K108" s="6">
        <f>IFERROR(VLOOKUP(C108,O.B.JUNE!$AA$7:$AG$448,7,0),0)</f>
        <v>3678420</v>
      </c>
      <c r="L108" s="6">
        <f>SUMIF('JUNE (물량흐름)'!$C$13:$C$502,'Direct labour(직접노무비)'!C108,'JUNE (물량흐름)'!$H$13:$H$502)+SUMIF('JUNE (물량흐름)'!$C$13:$C$502,'Direct labour(직접노무비)'!C108,'JUNE (물량흐름)'!$I$13:$I$502)</f>
        <v>0</v>
      </c>
      <c r="M108" s="6">
        <f t="shared" si="16"/>
        <v>0</v>
      </c>
      <c r="N108" s="6">
        <f t="shared" si="17"/>
        <v>0</v>
      </c>
      <c r="O108" s="6">
        <f t="shared" ref="O108:O138" si="26">ROUND(M108*D108*$O$493/$N$493,0)</f>
        <v>0</v>
      </c>
      <c r="P108" s="6">
        <f>SUMIF('JUNE (물량흐름)'!$C$13:$C$502,C108,'JUNE (물량흐름)'!$T$13:$T$502)+SUMIF('JUNE (물량흐름)'!$C$13:$C$502,C108,'JUNE (물량흐름)'!$V$13:$V$502)+SUMIF('JUNE (물량흐름)'!$C$13:$C$502,C108,'JUNE (물량흐름)'!$U$13:$U$502)-SUMIF('JUNE (물량흐름)'!$C$13:$C$502,C108,'JUNE (물량흐름)'!$Y$13:$Y$502)</f>
        <v>115</v>
      </c>
      <c r="Q108" s="6">
        <f t="shared" si="18"/>
        <v>3678420</v>
      </c>
      <c r="R108" s="6">
        <f>ROUND(IF(ISERROR(VLOOKUP(#REF!,'WIP(재공품)'!$B$12:$AB$38,13,0)),0,VLOOKUP(#REF!,'WIP(재공품)'!$B$12:$AB$38,13,0)),0)</f>
        <v>0</v>
      </c>
      <c r="S108" s="6">
        <f>IF(ISERROR(VLOOKUP(#REF!,'WIP(재공품)'!$B$12:$AB$38,10,0)),0,VLOOKUP(#REF!,'WIP(재공품)'!$B$12:$AB$38,10,0))</f>
        <v>0</v>
      </c>
      <c r="T108" s="6">
        <f>SUMIF('JUNE (물량흐름)'!$C$13:$C$502,'Direct labour(직접노무비)'!C108,'JUNE (물량흐름)'!$Y$13:$Y$502)</f>
        <v>0</v>
      </c>
      <c r="U108" s="6">
        <f t="shared" si="19"/>
        <v>0</v>
      </c>
      <c r="V108" s="6">
        <f>ROUND(SUMIF('JUNE (물량흐름)'!$C$13:$C$502,'Direct labour(직접노무비)'!C108,'JUNE (물량흐름)'!$N$13:$N$502),0)</f>
        <v>0</v>
      </c>
      <c r="W108" s="6">
        <f>ROUND(SUMIF('JUNE (물량흐름)'!$C$13:$C$502,'Direct labour(직접노무비)'!C108,'JUNE (물량흐름)'!$O$13:$O$502),0)</f>
        <v>0</v>
      </c>
      <c r="X108" s="6">
        <f>ROUND(SUMIF('JUNE (물량흐름)'!$C$13:$C$502,'Direct labour(직접노무비)'!C108,'JUNE (물량흐름)'!$P$13:$P$502),0)</f>
        <v>0</v>
      </c>
      <c r="Y108" s="6">
        <f t="shared" si="20"/>
        <v>0</v>
      </c>
      <c r="Z108" s="6">
        <f t="shared" si="21"/>
        <v>0</v>
      </c>
      <c r="AA108" s="6">
        <f t="shared" si="22"/>
        <v>0</v>
      </c>
      <c r="AB108" s="389">
        <f t="shared" si="23"/>
        <v>0</v>
      </c>
      <c r="AC108" s="389">
        <f t="shared" si="24"/>
        <v>0</v>
      </c>
      <c r="AD108" s="389">
        <f t="shared" si="25"/>
        <v>0</v>
      </c>
    </row>
    <row r="109" spans="1:30" s="390" customFormat="1" ht="15" customHeight="1">
      <c r="A109" s="167">
        <v>98</v>
      </c>
      <c r="B109" s="267" t="str">
        <f>VLOOKUP(A109,'JUNE (물량흐름)'!$A$13:$C$502,2,0)</f>
        <v>J JILL</v>
      </c>
      <c r="C109" s="240" t="str">
        <f>VLOOKUP(A109,'JUNE (물량흐름)'!$A$13:$C$502,3,0)</f>
        <v>KPT128561</v>
      </c>
      <c r="D109" s="6">
        <f>VLOOKUP(C109,'WIP(재공품)'!$B$12:$E$493,4,0)</f>
        <v>34692.75</v>
      </c>
      <c r="E109" s="6">
        <f>IFERROR(VLOOKUP(C109,O.B.JUNE!$AA$7:$AG$448,2,0),0)</f>
        <v>2919</v>
      </c>
      <c r="F109" s="6">
        <f>IFERROR(VLOOKUP(C109,O.B.JUNE!$AA$7:$AG$448,3,0),0)</f>
        <v>2829</v>
      </c>
      <c r="G109" s="6">
        <f>IFERROR(VLOOKUP(C109,O.B.JUNE!$AA$7:$AD$448,4,0),0)</f>
        <v>4991</v>
      </c>
      <c r="H109" s="6">
        <f t="shared" si="15"/>
        <v>10739</v>
      </c>
      <c r="I109" s="6">
        <f>IFERROR(VLOOKUP(C109,O.B.JUNE!$AA$7:$AF$448,6,0),0)</f>
        <v>5991</v>
      </c>
      <c r="J109" s="6"/>
      <c r="K109" s="6">
        <f>IFERROR(VLOOKUP(C109,O.B.JUNE!$AA$7:$AG$448,7,0),0)</f>
        <v>74943778</v>
      </c>
      <c r="L109" s="6">
        <f>SUMIF('JUNE (물량흐름)'!$C$13:$C$502,'Direct labour(직접노무비)'!C109,'JUNE (물량흐름)'!$H$13:$H$502)+SUMIF('JUNE (물량흐름)'!$C$13:$C$502,'Direct labour(직접노무비)'!C109,'JUNE (물량흐름)'!$I$13:$I$502)</f>
        <v>1036</v>
      </c>
      <c r="M109" s="6">
        <f t="shared" si="16"/>
        <v>4113</v>
      </c>
      <c r="N109" s="6">
        <f t="shared" si="17"/>
        <v>142691281</v>
      </c>
      <c r="O109" s="6">
        <f t="shared" si="26"/>
        <v>44130661</v>
      </c>
      <c r="P109" s="6">
        <f>SUMIF('JUNE (물량흐름)'!$C$13:$C$502,C109,'JUNE (물량흐름)'!$T$13:$T$502)+SUMIF('JUNE (물량흐름)'!$C$13:$C$502,C109,'JUNE (물량흐름)'!$V$13:$V$502)+SUMIF('JUNE (물량흐름)'!$C$13:$C$502,C109,'JUNE (물량흐름)'!$U$13:$U$502)-SUMIF('JUNE (물량흐름)'!$C$13:$C$502,C109,'JUNE (물량흐름)'!$Y$13:$Y$502)</f>
        <v>6785</v>
      </c>
      <c r="Q109" s="6">
        <f t="shared" si="18"/>
        <v>68613169</v>
      </c>
      <c r="R109" s="6">
        <f>ROUND(IF(ISERROR(VLOOKUP(#REF!,'WIP(재공품)'!$B$12:$AB$38,13,0)),0,VLOOKUP(#REF!,'WIP(재공품)'!$B$12:$AB$38,13,0)),0)</f>
        <v>0</v>
      </c>
      <c r="S109" s="6">
        <f>IF(ISERROR(VLOOKUP(#REF!,'WIP(재공품)'!$B$12:$AB$38,10,0)),0,VLOOKUP(#REF!,'WIP(재공품)'!$B$12:$AB$38,10,0))</f>
        <v>0</v>
      </c>
      <c r="T109" s="6">
        <f>SUMIF('JUNE (물량흐름)'!$C$13:$C$502,'Direct labour(직접노무비)'!C109,'JUNE (물량흐름)'!$Y$13:$Y$502)</f>
        <v>17</v>
      </c>
      <c r="U109" s="6">
        <f t="shared" si="19"/>
        <v>171912</v>
      </c>
      <c r="V109" s="6">
        <f>ROUND(SUMIF('JUNE (물량흐름)'!$C$13:$C$502,'Direct labour(직접노무비)'!C109,'JUNE (물량흐름)'!$N$13:$N$502),0)</f>
        <v>654</v>
      </c>
      <c r="W109" s="6">
        <f>ROUND(SUMIF('JUNE (물량흐름)'!$C$13:$C$502,'Direct labour(직접노무비)'!C109,'JUNE (물량흐름)'!$O$13:$O$502),0)</f>
        <v>947</v>
      </c>
      <c r="X109" s="6">
        <f>ROUND(SUMIF('JUNE (물량흐름)'!$C$13:$C$502,'Direct labour(직접노무비)'!C109,'JUNE (물량흐름)'!$P$13:$P$502),0)</f>
        <v>3372</v>
      </c>
      <c r="Y109" s="6">
        <f t="shared" si="20"/>
        <v>4973</v>
      </c>
      <c r="Z109" s="6">
        <f t="shared" si="21"/>
        <v>3302</v>
      </c>
      <c r="AA109" s="6">
        <f t="shared" si="22"/>
        <v>50289358</v>
      </c>
      <c r="AB109" s="389">
        <f t="shared" si="23"/>
        <v>0</v>
      </c>
      <c r="AC109" s="389">
        <f t="shared" si="24"/>
        <v>0</v>
      </c>
      <c r="AD109" s="389">
        <f t="shared" si="25"/>
        <v>0</v>
      </c>
    </row>
    <row r="110" spans="1:30" s="390" customFormat="1" ht="15" customHeight="1">
      <c r="A110" s="167">
        <v>99</v>
      </c>
      <c r="B110" s="267" t="str">
        <f>VLOOKUP(A110,'JUNE (물량흐름)'!$A$13:$C$502,2,0)</f>
        <v>J JILL</v>
      </c>
      <c r="C110" s="240" t="str">
        <f>VLOOKUP(A110,'JUNE (물량흐름)'!$A$13:$C$502,3,0)</f>
        <v>KTP101721</v>
      </c>
      <c r="D110" s="6">
        <f>VLOOKUP(C110,'WIP(재공품)'!$B$12:$E$493,4,0)</f>
        <v>48751.25</v>
      </c>
      <c r="E110" s="6">
        <f>IFERROR(VLOOKUP(C110,O.B.JUNE!$AA$7:$AG$448,2,0),0)</f>
        <v>0</v>
      </c>
      <c r="F110" s="6">
        <f>IFERROR(VLOOKUP(C110,O.B.JUNE!$AA$7:$AG$448,3,0),0)</f>
        <v>0</v>
      </c>
      <c r="G110" s="6">
        <f>IFERROR(VLOOKUP(C110,O.B.JUNE!$AA$7:$AD$448,4,0),0)</f>
        <v>440</v>
      </c>
      <c r="H110" s="6">
        <f t="shared" si="15"/>
        <v>440</v>
      </c>
      <c r="I110" s="6">
        <f>IFERROR(VLOOKUP(C110,O.B.JUNE!$AA$7:$AF$448,6,0),0)</f>
        <v>352</v>
      </c>
      <c r="J110" s="6"/>
      <c r="K110" s="6">
        <f>IFERROR(VLOOKUP(C110,O.B.JUNE!$AA$7:$AG$448,7,0),0)</f>
        <v>8868761</v>
      </c>
      <c r="L110" s="6">
        <f>SUMIF('JUNE (물량흐름)'!$C$13:$C$502,'Direct labour(직접노무비)'!C110,'JUNE (물량흐름)'!$H$13:$H$502)+SUMIF('JUNE (물량흐름)'!$C$13:$C$502,'Direct labour(직접노무비)'!C110,'JUNE (물량흐름)'!$I$13:$I$502)</f>
        <v>0</v>
      </c>
      <c r="M110" s="6">
        <f t="shared" si="16"/>
        <v>0</v>
      </c>
      <c r="N110" s="6">
        <f t="shared" si="17"/>
        <v>0</v>
      </c>
      <c r="O110" s="6">
        <f t="shared" si="26"/>
        <v>0</v>
      </c>
      <c r="P110" s="6">
        <f>SUMIF('JUNE (물량흐름)'!$C$13:$C$502,C110,'JUNE (물량흐름)'!$T$13:$T$502)+SUMIF('JUNE (물량흐름)'!$C$13:$C$502,C110,'JUNE (물량흐름)'!$V$13:$V$502)+SUMIF('JUNE (물량흐름)'!$C$13:$C$502,C110,'JUNE (물량흐름)'!$U$13:$U$502)-SUMIF('JUNE (물량흐름)'!$C$13:$C$502,C110,'JUNE (물량흐름)'!$Y$13:$Y$502)</f>
        <v>440</v>
      </c>
      <c r="Q110" s="6">
        <f t="shared" si="18"/>
        <v>8868761</v>
      </c>
      <c r="R110" s="6">
        <f>ROUND(IF(ISERROR(VLOOKUP(#REF!,'WIP(재공품)'!$B$12:$AB$38,13,0)),0,VLOOKUP(#REF!,'WIP(재공품)'!$B$12:$AB$38,13,0)),0)</f>
        <v>0</v>
      </c>
      <c r="S110" s="6">
        <f>IF(ISERROR(VLOOKUP(#REF!,'WIP(재공품)'!$B$12:$AB$38,10,0)),0,VLOOKUP(#REF!,'WIP(재공품)'!$B$12:$AB$38,10,0))</f>
        <v>0</v>
      </c>
      <c r="T110" s="6">
        <f>SUMIF('JUNE (물량흐름)'!$C$13:$C$502,'Direct labour(직접노무비)'!C110,'JUNE (물량흐름)'!$Y$13:$Y$502)</f>
        <v>0</v>
      </c>
      <c r="U110" s="6">
        <f t="shared" si="19"/>
        <v>0</v>
      </c>
      <c r="V110" s="6">
        <f>ROUND(SUMIF('JUNE (물량흐름)'!$C$13:$C$502,'Direct labour(직접노무비)'!C110,'JUNE (물량흐름)'!$N$13:$N$502),0)</f>
        <v>0</v>
      </c>
      <c r="W110" s="6">
        <f>ROUND(SUMIF('JUNE (물량흐름)'!$C$13:$C$502,'Direct labour(직접노무비)'!C110,'JUNE (물량흐름)'!$O$13:$O$502),0)</f>
        <v>0</v>
      </c>
      <c r="X110" s="6">
        <f>ROUND(SUMIF('JUNE (물량흐름)'!$C$13:$C$502,'Direct labour(직접노무비)'!C110,'JUNE (물량흐름)'!$P$13:$P$502),0)</f>
        <v>0</v>
      </c>
      <c r="Y110" s="6">
        <f t="shared" si="20"/>
        <v>0</v>
      </c>
      <c r="Z110" s="6">
        <f t="shared" si="21"/>
        <v>0</v>
      </c>
      <c r="AA110" s="6">
        <f t="shared" si="22"/>
        <v>0</v>
      </c>
      <c r="AB110" s="389">
        <f t="shared" si="23"/>
        <v>0</v>
      </c>
      <c r="AC110" s="389">
        <f t="shared" si="24"/>
        <v>0</v>
      </c>
      <c r="AD110" s="389">
        <f t="shared" si="25"/>
        <v>0</v>
      </c>
    </row>
    <row r="111" spans="1:30" s="390" customFormat="1" ht="15" customHeight="1">
      <c r="A111" s="167">
        <v>100</v>
      </c>
      <c r="B111" s="267" t="str">
        <f>VLOOKUP(A111,'JUNE (물량흐름)'!$A$13:$C$502,2,0)</f>
        <v>J JILL</v>
      </c>
      <c r="C111" s="240" t="str">
        <f>VLOOKUP(A111,'JUNE (물량흐름)'!$A$13:$C$502,3,0)</f>
        <v>KTP109571</v>
      </c>
      <c r="D111" s="6">
        <f>VLOOKUP(C111,'WIP(재공품)'!$B$12:$E$493,4,0)</f>
        <v>39681.25</v>
      </c>
      <c r="E111" s="6">
        <f>IFERROR(VLOOKUP(C111,O.B.JUNE!$AA$7:$AG$448,2,0),0)</f>
        <v>0</v>
      </c>
      <c r="F111" s="6">
        <f>IFERROR(VLOOKUP(C111,O.B.JUNE!$AA$7:$AG$448,3,0),0)</f>
        <v>0</v>
      </c>
      <c r="G111" s="6">
        <f>IFERROR(VLOOKUP(C111,O.B.JUNE!$AA$7:$AD$448,4,0),0)</f>
        <v>79</v>
      </c>
      <c r="H111" s="6">
        <f t="shared" si="15"/>
        <v>79</v>
      </c>
      <c r="I111" s="6">
        <f>IFERROR(VLOOKUP(C111,O.B.JUNE!$AA$7:$AF$448,6,0),0)</f>
        <v>63</v>
      </c>
      <c r="J111" s="6"/>
      <c r="K111" s="6">
        <f>IFERROR(VLOOKUP(C111,O.B.JUNE!$AA$7:$AG$448,7,0),0)</f>
        <v>1310306</v>
      </c>
      <c r="L111" s="6">
        <f>SUMIF('JUNE (물량흐름)'!$C$13:$C$502,'Direct labour(직접노무비)'!C111,'JUNE (물량흐름)'!$H$13:$H$502)+SUMIF('JUNE (물량흐름)'!$C$13:$C$502,'Direct labour(직접노무비)'!C111,'JUNE (물량흐름)'!$I$13:$I$502)</f>
        <v>0</v>
      </c>
      <c r="M111" s="6">
        <f t="shared" si="16"/>
        <v>0</v>
      </c>
      <c r="N111" s="6">
        <f t="shared" si="17"/>
        <v>0</v>
      </c>
      <c r="O111" s="6">
        <f t="shared" si="26"/>
        <v>0</v>
      </c>
      <c r="P111" s="6">
        <f>SUMIF('JUNE (물량흐름)'!$C$13:$C$502,C111,'JUNE (물량흐름)'!$T$13:$T$502)+SUMIF('JUNE (물량흐름)'!$C$13:$C$502,C111,'JUNE (물량흐름)'!$V$13:$V$502)+SUMIF('JUNE (물량흐름)'!$C$13:$C$502,C111,'JUNE (물량흐름)'!$U$13:$U$502)-SUMIF('JUNE (물량흐름)'!$C$13:$C$502,C111,'JUNE (물량흐름)'!$Y$13:$Y$502)</f>
        <v>79</v>
      </c>
      <c r="Q111" s="6">
        <f t="shared" si="18"/>
        <v>1310306</v>
      </c>
      <c r="R111" s="6">
        <f>ROUND(IF(ISERROR(VLOOKUP(#REF!,'WIP(재공품)'!$B$12:$AB$38,13,0)),0,VLOOKUP(#REF!,'WIP(재공품)'!$B$12:$AB$38,13,0)),0)</f>
        <v>0</v>
      </c>
      <c r="S111" s="6">
        <f>IF(ISERROR(VLOOKUP(#REF!,'WIP(재공품)'!$B$12:$AB$38,10,0)),0,VLOOKUP(#REF!,'WIP(재공품)'!$B$12:$AB$38,10,0))</f>
        <v>0</v>
      </c>
      <c r="T111" s="6">
        <f>SUMIF('JUNE (물량흐름)'!$C$13:$C$502,'Direct labour(직접노무비)'!C111,'JUNE (물량흐름)'!$Y$13:$Y$502)</f>
        <v>0</v>
      </c>
      <c r="U111" s="6">
        <f t="shared" si="19"/>
        <v>0</v>
      </c>
      <c r="V111" s="6">
        <f>ROUND(SUMIF('JUNE (물량흐름)'!$C$13:$C$502,'Direct labour(직접노무비)'!C111,'JUNE (물량흐름)'!$N$13:$N$502),0)</f>
        <v>0</v>
      </c>
      <c r="W111" s="6">
        <f>ROUND(SUMIF('JUNE (물량흐름)'!$C$13:$C$502,'Direct labour(직접노무비)'!C111,'JUNE (물량흐름)'!$O$13:$O$502),0)</f>
        <v>0</v>
      </c>
      <c r="X111" s="6">
        <f>ROUND(SUMIF('JUNE (물량흐름)'!$C$13:$C$502,'Direct labour(직접노무비)'!C111,'JUNE (물량흐름)'!$P$13:$P$502),0)</f>
        <v>0</v>
      </c>
      <c r="Y111" s="6">
        <f t="shared" si="20"/>
        <v>0</v>
      </c>
      <c r="Z111" s="6">
        <f t="shared" si="21"/>
        <v>0</v>
      </c>
      <c r="AA111" s="6">
        <f t="shared" si="22"/>
        <v>0</v>
      </c>
      <c r="AB111" s="389">
        <f t="shared" si="23"/>
        <v>0</v>
      </c>
      <c r="AC111" s="389">
        <f t="shared" si="24"/>
        <v>0</v>
      </c>
      <c r="AD111" s="389">
        <f t="shared" si="25"/>
        <v>0</v>
      </c>
    </row>
    <row r="112" spans="1:30" s="390" customFormat="1" ht="15" customHeight="1">
      <c r="A112" s="167">
        <v>101</v>
      </c>
      <c r="B112" s="267" t="str">
        <f>VLOOKUP(A112,'JUNE (물량흐름)'!$A$13:$C$502,2,0)</f>
        <v>J JILL</v>
      </c>
      <c r="C112" s="240" t="str">
        <f>VLOOKUP(A112,'JUNE (물량흐름)'!$A$13:$C$502,3,0)</f>
        <v>KTP109581</v>
      </c>
      <c r="D112" s="6">
        <f>VLOOKUP(C112,'WIP(재공품)'!$B$12:$E$493,4,0)</f>
        <v>39681.25</v>
      </c>
      <c r="E112" s="6">
        <f>IFERROR(VLOOKUP(C112,O.B.JUNE!$AA$7:$AG$448,2,0),0)</f>
        <v>0</v>
      </c>
      <c r="F112" s="6">
        <f>IFERROR(VLOOKUP(C112,O.B.JUNE!$AA$7:$AG$448,3,0),0)</f>
        <v>0</v>
      </c>
      <c r="G112" s="6">
        <f>IFERROR(VLOOKUP(C112,O.B.JUNE!$AA$7:$AD$448,4,0),0)</f>
        <v>434</v>
      </c>
      <c r="H112" s="6">
        <f t="shared" si="15"/>
        <v>434</v>
      </c>
      <c r="I112" s="6">
        <f>IFERROR(VLOOKUP(C112,O.B.JUNE!$AA$7:$AF$448,6,0),0)</f>
        <v>347</v>
      </c>
      <c r="J112" s="6"/>
      <c r="K112" s="6">
        <f>IFERROR(VLOOKUP(C112,O.B.JUNE!$AA$7:$AG$448,7,0),0)</f>
        <v>9772047</v>
      </c>
      <c r="L112" s="6">
        <f>SUMIF('JUNE (물량흐름)'!$C$13:$C$502,'Direct labour(직접노무비)'!C112,'JUNE (물량흐름)'!$H$13:$H$502)+SUMIF('JUNE (물량흐름)'!$C$13:$C$502,'Direct labour(직접노무비)'!C112,'JUNE (물량흐름)'!$I$13:$I$502)</f>
        <v>0</v>
      </c>
      <c r="M112" s="6">
        <f t="shared" si="16"/>
        <v>0</v>
      </c>
      <c r="N112" s="6">
        <f t="shared" si="17"/>
        <v>0</v>
      </c>
      <c r="O112" s="6">
        <f t="shared" si="26"/>
        <v>0</v>
      </c>
      <c r="P112" s="6">
        <f>SUMIF('JUNE (물량흐름)'!$C$13:$C$502,C112,'JUNE (물량흐름)'!$T$13:$T$502)+SUMIF('JUNE (물량흐름)'!$C$13:$C$502,C112,'JUNE (물량흐름)'!$V$13:$V$502)+SUMIF('JUNE (물량흐름)'!$C$13:$C$502,C112,'JUNE (물량흐름)'!$U$13:$U$502)-SUMIF('JUNE (물량흐름)'!$C$13:$C$502,C112,'JUNE (물량흐름)'!$Y$13:$Y$502)</f>
        <v>434</v>
      </c>
      <c r="Q112" s="6">
        <f t="shared" si="18"/>
        <v>9772047</v>
      </c>
      <c r="R112" s="6">
        <f>ROUND(IF(ISERROR(VLOOKUP(#REF!,'WIP(재공품)'!$B$12:$AB$38,13,0)),0,VLOOKUP(#REF!,'WIP(재공품)'!$B$12:$AB$38,13,0)),0)</f>
        <v>0</v>
      </c>
      <c r="S112" s="6">
        <f>IF(ISERROR(VLOOKUP(#REF!,'WIP(재공품)'!$B$12:$AB$38,10,0)),0,VLOOKUP(#REF!,'WIP(재공품)'!$B$12:$AB$38,10,0))</f>
        <v>0</v>
      </c>
      <c r="T112" s="6">
        <f>SUMIF('JUNE (물량흐름)'!$C$13:$C$502,'Direct labour(직접노무비)'!C112,'JUNE (물량흐름)'!$Y$13:$Y$502)</f>
        <v>0</v>
      </c>
      <c r="U112" s="6">
        <f t="shared" si="19"/>
        <v>0</v>
      </c>
      <c r="V112" s="6">
        <f>ROUND(SUMIF('JUNE (물량흐름)'!$C$13:$C$502,'Direct labour(직접노무비)'!C112,'JUNE (물량흐름)'!$N$13:$N$502),0)</f>
        <v>0</v>
      </c>
      <c r="W112" s="6">
        <f>ROUND(SUMIF('JUNE (물량흐름)'!$C$13:$C$502,'Direct labour(직접노무비)'!C112,'JUNE (물량흐름)'!$O$13:$O$502),0)</f>
        <v>0</v>
      </c>
      <c r="X112" s="6">
        <f>ROUND(SUMIF('JUNE (물량흐름)'!$C$13:$C$502,'Direct labour(직접노무비)'!C112,'JUNE (물량흐름)'!$P$13:$P$502),0)</f>
        <v>0</v>
      </c>
      <c r="Y112" s="6">
        <f t="shared" si="20"/>
        <v>0</v>
      </c>
      <c r="Z112" s="6">
        <f t="shared" si="21"/>
        <v>0</v>
      </c>
      <c r="AA112" s="6">
        <f t="shared" si="22"/>
        <v>0</v>
      </c>
      <c r="AB112" s="389">
        <f t="shared" si="23"/>
        <v>0</v>
      </c>
      <c r="AC112" s="389">
        <f t="shared" si="24"/>
        <v>0</v>
      </c>
      <c r="AD112" s="389">
        <f t="shared" si="25"/>
        <v>0</v>
      </c>
    </row>
    <row r="113" spans="1:30" s="390" customFormat="1" ht="15" customHeight="1">
      <c r="A113" s="167">
        <v>102</v>
      </c>
      <c r="B113" s="267" t="str">
        <f>VLOOKUP(A113,'JUNE (물량흐름)'!$A$13:$C$502,2,0)</f>
        <v>J JILL</v>
      </c>
      <c r="C113" s="240" t="str">
        <f>VLOOKUP(A113,'JUNE (물량흐름)'!$A$13:$C$502,3,0)</f>
        <v>KTP112701</v>
      </c>
      <c r="D113" s="6">
        <f>VLOOKUP(C113,'WIP(재공품)'!$B$12:$E$493,4,0)</f>
        <v>7936.2499999999991</v>
      </c>
      <c r="E113" s="6">
        <f>IFERROR(VLOOKUP(C113,O.B.JUNE!$AA$7:$AG$448,2,0),0)</f>
        <v>0</v>
      </c>
      <c r="F113" s="6">
        <f>IFERROR(VLOOKUP(C113,O.B.JUNE!$AA$7:$AG$448,3,0),0)</f>
        <v>0</v>
      </c>
      <c r="G113" s="6">
        <f>IFERROR(VLOOKUP(C113,O.B.JUNE!$AA$7:$AD$448,4,0),0)</f>
        <v>727</v>
      </c>
      <c r="H113" s="6">
        <f t="shared" si="15"/>
        <v>727</v>
      </c>
      <c r="I113" s="6">
        <f>IFERROR(VLOOKUP(C113,O.B.JUNE!$AA$7:$AF$448,6,0),0)</f>
        <v>582</v>
      </c>
      <c r="J113" s="6"/>
      <c r="K113" s="6">
        <f>IFERROR(VLOOKUP(C113,O.B.JUNE!$AA$7:$AG$448,7,0),0)</f>
        <v>12680520</v>
      </c>
      <c r="L113" s="6">
        <f>SUMIF('JUNE (물량흐름)'!$C$13:$C$502,'Direct labour(직접노무비)'!C113,'JUNE (물량흐름)'!$H$13:$H$502)+SUMIF('JUNE (물량흐름)'!$C$13:$C$502,'Direct labour(직접노무비)'!C113,'JUNE (물량흐름)'!$I$13:$I$502)</f>
        <v>0</v>
      </c>
      <c r="M113" s="6">
        <f t="shared" si="16"/>
        <v>0</v>
      </c>
      <c r="N113" s="6">
        <f t="shared" si="17"/>
        <v>0</v>
      </c>
      <c r="O113" s="6">
        <f t="shared" si="26"/>
        <v>0</v>
      </c>
      <c r="P113" s="6">
        <f>SUMIF('JUNE (물량흐름)'!$C$13:$C$502,C113,'JUNE (물량흐름)'!$T$13:$T$502)+SUMIF('JUNE (물량흐름)'!$C$13:$C$502,C113,'JUNE (물량흐름)'!$V$13:$V$502)+SUMIF('JUNE (물량흐름)'!$C$13:$C$502,C113,'JUNE (물량흐름)'!$U$13:$U$502)-SUMIF('JUNE (물량흐름)'!$C$13:$C$502,C113,'JUNE (물량흐름)'!$Y$13:$Y$502)</f>
        <v>727</v>
      </c>
      <c r="Q113" s="6">
        <f t="shared" si="18"/>
        <v>12680520</v>
      </c>
      <c r="R113" s="6">
        <f>ROUND(IF(ISERROR(VLOOKUP(#REF!,'WIP(재공품)'!$B$12:$AB$38,13,0)),0,VLOOKUP(#REF!,'WIP(재공품)'!$B$12:$AB$38,13,0)),0)</f>
        <v>0</v>
      </c>
      <c r="S113" s="6">
        <f>IF(ISERROR(VLOOKUP(#REF!,'WIP(재공품)'!$B$12:$AB$38,10,0)),0,VLOOKUP(#REF!,'WIP(재공품)'!$B$12:$AB$38,10,0))</f>
        <v>0</v>
      </c>
      <c r="T113" s="6">
        <f>SUMIF('JUNE (물량흐름)'!$C$13:$C$502,'Direct labour(직접노무비)'!C113,'JUNE (물량흐름)'!$Y$13:$Y$502)</f>
        <v>0</v>
      </c>
      <c r="U113" s="6">
        <f t="shared" si="19"/>
        <v>0</v>
      </c>
      <c r="V113" s="6">
        <f>ROUND(SUMIF('JUNE (물량흐름)'!$C$13:$C$502,'Direct labour(직접노무비)'!C113,'JUNE (물량흐름)'!$N$13:$N$502),0)</f>
        <v>0</v>
      </c>
      <c r="W113" s="6">
        <f>ROUND(SUMIF('JUNE (물량흐름)'!$C$13:$C$502,'Direct labour(직접노무비)'!C113,'JUNE (물량흐름)'!$O$13:$O$502),0)</f>
        <v>0</v>
      </c>
      <c r="X113" s="6">
        <f>ROUND(SUMIF('JUNE (물량흐름)'!$C$13:$C$502,'Direct labour(직접노무비)'!C113,'JUNE (물량흐름)'!$P$13:$P$502),0)</f>
        <v>0</v>
      </c>
      <c r="Y113" s="6">
        <f t="shared" si="20"/>
        <v>0</v>
      </c>
      <c r="Z113" s="6">
        <f t="shared" si="21"/>
        <v>0</v>
      </c>
      <c r="AA113" s="6">
        <f t="shared" si="22"/>
        <v>0</v>
      </c>
      <c r="AB113" s="389">
        <f t="shared" si="23"/>
        <v>0</v>
      </c>
      <c r="AC113" s="389">
        <f t="shared" si="24"/>
        <v>0</v>
      </c>
      <c r="AD113" s="389">
        <f t="shared" si="25"/>
        <v>0</v>
      </c>
    </row>
    <row r="114" spans="1:30" s="390" customFormat="1" ht="15" customHeight="1">
      <c r="A114" s="167">
        <v>103</v>
      </c>
      <c r="B114" s="267" t="str">
        <f>VLOOKUP(A114,'JUNE (물량흐름)'!$A$13:$C$502,2,0)</f>
        <v>JONES NY</v>
      </c>
      <c r="C114" s="240" t="str">
        <f>VLOOKUP(A114,'JUNE (물량흐름)'!$A$13:$C$502,3,0)</f>
        <v>JMML9R1668</v>
      </c>
      <c r="D114" s="6">
        <f>VLOOKUP(C114,'WIP(재공품)'!$B$12:$E$493,4,0)</f>
        <v>7936.2499999999991</v>
      </c>
      <c r="E114" s="6">
        <f>IFERROR(VLOOKUP(C114,O.B.JUNE!$AA$7:$AG$448,2,0),0)</f>
        <v>0</v>
      </c>
      <c r="F114" s="6">
        <f>IFERROR(VLOOKUP(C114,O.B.JUNE!$AA$7:$AG$448,3,0),0)</f>
        <v>0</v>
      </c>
      <c r="G114" s="6">
        <f>IFERROR(VLOOKUP(C114,O.B.JUNE!$AA$7:$AD$448,4,0),0)</f>
        <v>614</v>
      </c>
      <c r="H114" s="6">
        <f t="shared" si="15"/>
        <v>614</v>
      </c>
      <c r="I114" s="6">
        <f>IFERROR(VLOOKUP(C114,O.B.JUNE!$AA$7:$AF$448,6,0),0)</f>
        <v>491</v>
      </c>
      <c r="J114" s="6"/>
      <c r="K114" s="6">
        <f>IFERROR(VLOOKUP(C114,O.B.JUNE!$AA$7:$AG$448,7,0),0)</f>
        <v>4267732</v>
      </c>
      <c r="L114" s="6">
        <f>SUMIF('JUNE (물량흐름)'!$C$13:$C$502,'Direct labour(직접노무비)'!C114,'JUNE (물량흐름)'!$H$13:$H$502)+SUMIF('JUNE (물량흐름)'!$C$13:$C$502,'Direct labour(직접노무비)'!C114,'JUNE (물량흐름)'!$I$13:$I$502)</f>
        <v>0</v>
      </c>
      <c r="M114" s="6">
        <f t="shared" si="16"/>
        <v>0</v>
      </c>
      <c r="N114" s="6">
        <f t="shared" si="17"/>
        <v>0</v>
      </c>
      <c r="O114" s="6">
        <f t="shared" si="26"/>
        <v>0</v>
      </c>
      <c r="P114" s="6">
        <f>SUMIF('JUNE (물량흐름)'!$C$13:$C$502,C114,'JUNE (물량흐름)'!$T$13:$T$502)+SUMIF('JUNE (물량흐름)'!$C$13:$C$502,C114,'JUNE (물량흐름)'!$V$13:$V$502)+SUMIF('JUNE (물량흐름)'!$C$13:$C$502,C114,'JUNE (물량흐름)'!$U$13:$U$502)-SUMIF('JUNE (물량흐름)'!$C$13:$C$502,C114,'JUNE (물량흐름)'!$Y$13:$Y$502)</f>
        <v>614</v>
      </c>
      <c r="Q114" s="6">
        <f t="shared" si="18"/>
        <v>4267732</v>
      </c>
      <c r="R114" s="6">
        <f>ROUND(IF(ISERROR(VLOOKUP(#REF!,'WIP(재공품)'!$B$12:$AB$38,13,0)),0,VLOOKUP(#REF!,'WIP(재공품)'!$B$12:$AB$38,13,0)),0)</f>
        <v>0</v>
      </c>
      <c r="S114" s="6">
        <f>IF(ISERROR(VLOOKUP(#REF!,'WIP(재공품)'!$B$12:$AB$38,10,0)),0,VLOOKUP(#REF!,'WIP(재공품)'!$B$12:$AB$38,10,0))</f>
        <v>0</v>
      </c>
      <c r="T114" s="6">
        <f>SUMIF('JUNE (물량흐름)'!$C$13:$C$502,'Direct labour(직접노무비)'!C114,'JUNE (물량흐름)'!$Y$13:$Y$502)</f>
        <v>0</v>
      </c>
      <c r="U114" s="6">
        <f t="shared" si="19"/>
        <v>0</v>
      </c>
      <c r="V114" s="6">
        <f>ROUND(SUMIF('JUNE (물량흐름)'!$C$13:$C$502,'Direct labour(직접노무비)'!C114,'JUNE (물량흐름)'!$N$13:$N$502),0)</f>
        <v>0</v>
      </c>
      <c r="W114" s="6">
        <f>ROUND(SUMIF('JUNE (물량흐름)'!$C$13:$C$502,'Direct labour(직접노무비)'!C114,'JUNE (물량흐름)'!$O$13:$O$502),0)</f>
        <v>0</v>
      </c>
      <c r="X114" s="6">
        <f>ROUND(SUMIF('JUNE (물량흐름)'!$C$13:$C$502,'Direct labour(직접노무비)'!C114,'JUNE (물량흐름)'!$P$13:$P$502),0)</f>
        <v>0</v>
      </c>
      <c r="Y114" s="6">
        <f t="shared" si="20"/>
        <v>0</v>
      </c>
      <c r="Z114" s="6">
        <f t="shared" si="21"/>
        <v>0</v>
      </c>
      <c r="AA114" s="6">
        <f t="shared" si="22"/>
        <v>0</v>
      </c>
      <c r="AB114" s="389">
        <f t="shared" si="23"/>
        <v>0</v>
      </c>
      <c r="AC114" s="389">
        <f t="shared" si="24"/>
        <v>0</v>
      </c>
      <c r="AD114" s="389">
        <f t="shared" si="25"/>
        <v>0</v>
      </c>
    </row>
    <row r="115" spans="1:30" s="390" customFormat="1" ht="15" customHeight="1">
      <c r="A115" s="167">
        <v>104</v>
      </c>
      <c r="B115" s="267" t="str">
        <f>VLOOKUP(A115,'JUNE (물량흐름)'!$A$13:$C$502,2,0)</f>
        <v>JONES NY</v>
      </c>
      <c r="C115" s="240" t="str">
        <f>VLOOKUP(A115,'JUNE (물량흐름)'!$A$13:$C$502,3,0)</f>
        <v>JPMR8KT003</v>
      </c>
      <c r="D115" s="6">
        <f>VLOOKUP(C115,'WIP(재공품)'!$B$12:$E$493,4,0)</f>
        <v>39681.25</v>
      </c>
      <c r="E115" s="6">
        <f>IFERROR(VLOOKUP(C115,O.B.JUNE!$AA$7:$AG$448,2,0),0)</f>
        <v>0</v>
      </c>
      <c r="F115" s="6">
        <f>IFERROR(VLOOKUP(C115,O.B.JUNE!$AA$7:$AG$448,3,0),0)</f>
        <v>0</v>
      </c>
      <c r="G115" s="6">
        <f>IFERROR(VLOOKUP(C115,O.B.JUNE!$AA$7:$AD$448,4,0),0)</f>
        <v>58</v>
      </c>
      <c r="H115" s="6">
        <f t="shared" si="15"/>
        <v>58</v>
      </c>
      <c r="I115" s="6">
        <f>IFERROR(VLOOKUP(C115,O.B.JUNE!$AA$7:$AF$448,6,0),0)</f>
        <v>46</v>
      </c>
      <c r="J115" s="6"/>
      <c r="K115" s="6">
        <f>IFERROR(VLOOKUP(C115,O.B.JUNE!$AA$7:$AG$448,7,0),0)</f>
        <v>124973</v>
      </c>
      <c r="L115" s="6">
        <f>SUMIF('JUNE (물량흐름)'!$C$13:$C$502,'Direct labour(직접노무비)'!C115,'JUNE (물량흐름)'!$H$13:$H$502)+SUMIF('JUNE (물량흐름)'!$C$13:$C$502,'Direct labour(직접노무비)'!C115,'JUNE (물량흐름)'!$I$13:$I$502)</f>
        <v>0</v>
      </c>
      <c r="M115" s="6">
        <f t="shared" si="16"/>
        <v>0</v>
      </c>
      <c r="N115" s="6">
        <f t="shared" si="17"/>
        <v>0</v>
      </c>
      <c r="O115" s="6">
        <f t="shared" si="26"/>
        <v>0</v>
      </c>
      <c r="P115" s="6">
        <f>SUMIF('JUNE (물량흐름)'!$C$13:$C$502,C115,'JUNE (물량흐름)'!$T$13:$T$502)+SUMIF('JUNE (물량흐름)'!$C$13:$C$502,C115,'JUNE (물량흐름)'!$V$13:$V$502)+SUMIF('JUNE (물량흐름)'!$C$13:$C$502,C115,'JUNE (물량흐름)'!$U$13:$U$502)-SUMIF('JUNE (물량흐름)'!$C$13:$C$502,C115,'JUNE (물량흐름)'!$Y$13:$Y$502)</f>
        <v>58</v>
      </c>
      <c r="Q115" s="6">
        <f t="shared" si="18"/>
        <v>124973</v>
      </c>
      <c r="R115" s="6">
        <f>ROUND(IF(ISERROR(VLOOKUP(#REF!,'WIP(재공품)'!$B$12:$AB$38,13,0)),0,VLOOKUP(#REF!,'WIP(재공품)'!$B$12:$AB$38,13,0)),0)</f>
        <v>0</v>
      </c>
      <c r="S115" s="6">
        <f>IF(ISERROR(VLOOKUP(#REF!,'WIP(재공품)'!$B$12:$AB$38,10,0)),0,VLOOKUP(#REF!,'WIP(재공품)'!$B$12:$AB$38,10,0))</f>
        <v>0</v>
      </c>
      <c r="T115" s="6">
        <f>SUMIF('JUNE (물량흐름)'!$C$13:$C$502,'Direct labour(직접노무비)'!C115,'JUNE (물량흐름)'!$Y$13:$Y$502)</f>
        <v>0</v>
      </c>
      <c r="U115" s="6">
        <f t="shared" si="19"/>
        <v>0</v>
      </c>
      <c r="V115" s="6">
        <f>ROUND(SUMIF('JUNE (물량흐름)'!$C$13:$C$502,'Direct labour(직접노무비)'!C115,'JUNE (물량흐름)'!$N$13:$N$502),0)</f>
        <v>0</v>
      </c>
      <c r="W115" s="6">
        <f>ROUND(SUMIF('JUNE (물량흐름)'!$C$13:$C$502,'Direct labour(직접노무비)'!C115,'JUNE (물량흐름)'!$O$13:$O$502),0)</f>
        <v>0</v>
      </c>
      <c r="X115" s="6">
        <f>ROUND(SUMIF('JUNE (물량흐름)'!$C$13:$C$502,'Direct labour(직접노무비)'!C115,'JUNE (물량흐름)'!$P$13:$P$502),0)</f>
        <v>0</v>
      </c>
      <c r="Y115" s="6">
        <f t="shared" si="20"/>
        <v>0</v>
      </c>
      <c r="Z115" s="6">
        <f t="shared" si="21"/>
        <v>0</v>
      </c>
      <c r="AA115" s="6">
        <f t="shared" si="22"/>
        <v>0</v>
      </c>
      <c r="AB115" s="389">
        <f t="shared" si="23"/>
        <v>0</v>
      </c>
      <c r="AC115" s="389">
        <f t="shared" si="24"/>
        <v>0</v>
      </c>
      <c r="AD115" s="389">
        <f t="shared" si="25"/>
        <v>0</v>
      </c>
    </row>
    <row r="116" spans="1:30" s="390" customFormat="1" ht="15" customHeight="1">
      <c r="A116" s="167">
        <v>105</v>
      </c>
      <c r="B116" s="267" t="str">
        <f>VLOOKUP(A116,'JUNE (물량흐름)'!$A$13:$C$502,2,0)</f>
        <v>NORDSTROM</v>
      </c>
      <c r="C116" s="240" t="str">
        <f>VLOOKUP(A116,'JUNE (물량흐름)'!$A$13:$C$502,3,0)</f>
        <v>RK381915MI</v>
      </c>
      <c r="D116" s="6">
        <f>VLOOKUP(C116,'WIP(재공품)'!$B$12:$E$493,4,0)</f>
        <v>20407.5</v>
      </c>
      <c r="E116" s="6">
        <f>IFERROR(VLOOKUP(C116,O.B.JUNE!$AA$7:$AG$448,2,0),0)</f>
        <v>0</v>
      </c>
      <c r="F116" s="6">
        <f>IFERROR(VLOOKUP(C116,O.B.JUNE!$AA$7:$AG$448,3,0),0)</f>
        <v>0</v>
      </c>
      <c r="G116" s="6">
        <f>IFERROR(VLOOKUP(C116,O.B.JUNE!$AA$7:$AD$448,4,0),0)</f>
        <v>6</v>
      </c>
      <c r="H116" s="6">
        <f t="shared" si="15"/>
        <v>6</v>
      </c>
      <c r="I116" s="6">
        <f>IFERROR(VLOOKUP(C116,O.B.JUNE!$AA$7:$AF$448,6,0),0)</f>
        <v>5</v>
      </c>
      <c r="J116" s="6"/>
      <c r="K116" s="6">
        <f>IFERROR(VLOOKUP(C116,O.B.JUNE!$AA$7:$AG$448,7,0),0)</f>
        <v>135402</v>
      </c>
      <c r="L116" s="6">
        <f>SUMIF('JUNE (물량흐름)'!$C$13:$C$502,'Direct labour(직접노무비)'!C116,'JUNE (물량흐름)'!$H$13:$H$502)+SUMIF('JUNE (물량흐름)'!$C$13:$C$502,'Direct labour(직접노무비)'!C116,'JUNE (물량흐름)'!$I$13:$I$502)</f>
        <v>0</v>
      </c>
      <c r="M116" s="6">
        <f t="shared" si="16"/>
        <v>0</v>
      </c>
      <c r="N116" s="6">
        <f t="shared" si="17"/>
        <v>0</v>
      </c>
      <c r="O116" s="6">
        <f t="shared" si="26"/>
        <v>0</v>
      </c>
      <c r="P116" s="6">
        <f>SUMIF('JUNE (물량흐름)'!$C$13:$C$502,C116,'JUNE (물량흐름)'!$T$13:$T$502)+SUMIF('JUNE (물량흐름)'!$C$13:$C$502,C116,'JUNE (물량흐름)'!$V$13:$V$502)+SUMIF('JUNE (물량흐름)'!$C$13:$C$502,C116,'JUNE (물량흐름)'!$U$13:$U$502)-SUMIF('JUNE (물량흐름)'!$C$13:$C$502,C116,'JUNE (물량흐름)'!$Y$13:$Y$502)</f>
        <v>6</v>
      </c>
      <c r="Q116" s="6">
        <f t="shared" si="18"/>
        <v>135402</v>
      </c>
      <c r="R116" s="6">
        <f>ROUND(IF(ISERROR(VLOOKUP(#REF!,'WIP(재공품)'!$B$12:$AB$38,13,0)),0,VLOOKUP(#REF!,'WIP(재공품)'!$B$12:$AB$38,13,0)),0)</f>
        <v>0</v>
      </c>
      <c r="S116" s="6">
        <f>IF(ISERROR(VLOOKUP(#REF!,'WIP(재공품)'!$B$12:$AB$38,10,0)),0,VLOOKUP(#REF!,'WIP(재공품)'!$B$12:$AB$38,10,0))</f>
        <v>0</v>
      </c>
      <c r="T116" s="6">
        <f>SUMIF('JUNE (물량흐름)'!$C$13:$C$502,'Direct labour(직접노무비)'!C116,'JUNE (물량흐름)'!$Y$13:$Y$502)</f>
        <v>0</v>
      </c>
      <c r="U116" s="6">
        <f t="shared" si="19"/>
        <v>0</v>
      </c>
      <c r="V116" s="6">
        <f>ROUND(SUMIF('JUNE (물량흐름)'!$C$13:$C$502,'Direct labour(직접노무비)'!C116,'JUNE (물량흐름)'!$N$13:$N$502),0)</f>
        <v>0</v>
      </c>
      <c r="W116" s="6">
        <f>ROUND(SUMIF('JUNE (물량흐름)'!$C$13:$C$502,'Direct labour(직접노무비)'!C116,'JUNE (물량흐름)'!$O$13:$O$502),0)</f>
        <v>0</v>
      </c>
      <c r="X116" s="6">
        <f>ROUND(SUMIF('JUNE (물량흐름)'!$C$13:$C$502,'Direct labour(직접노무비)'!C116,'JUNE (물량흐름)'!$P$13:$P$502),0)</f>
        <v>0</v>
      </c>
      <c r="Y116" s="6">
        <f t="shared" si="20"/>
        <v>0</v>
      </c>
      <c r="Z116" s="6">
        <f t="shared" si="21"/>
        <v>0</v>
      </c>
      <c r="AA116" s="6">
        <f t="shared" si="22"/>
        <v>0</v>
      </c>
      <c r="AB116" s="389">
        <f t="shared" si="23"/>
        <v>0</v>
      </c>
      <c r="AC116" s="389">
        <f t="shared" si="24"/>
        <v>0</v>
      </c>
      <c r="AD116" s="389">
        <f t="shared" si="25"/>
        <v>0</v>
      </c>
    </row>
    <row r="117" spans="1:30" s="392" customFormat="1" ht="15" customHeight="1">
      <c r="A117" s="167">
        <v>106</v>
      </c>
      <c r="B117" s="267" t="str">
        <f>VLOOKUP(A117,'JUNE (물량흐름)'!$A$13:$C$502,2,0)</f>
        <v>NORDSTROM</v>
      </c>
      <c r="C117" s="240" t="str">
        <f>VLOOKUP(A117,'JUNE (물량흐름)'!$A$13:$C$502,3,0)</f>
        <v>BP381321MI</v>
      </c>
      <c r="D117" s="6">
        <f>VLOOKUP(C117,'WIP(재공품)'!$B$12:$E$493,4,0)</f>
        <v>7936.2499999999991</v>
      </c>
      <c r="E117" s="6">
        <f>IFERROR(VLOOKUP(C117,O.B.JUNE!$AA$7:$AG$448,2,0),0)</f>
        <v>0</v>
      </c>
      <c r="F117" s="6">
        <f>IFERROR(VLOOKUP(C117,O.B.JUNE!$AA$7:$AG$448,3,0),0)</f>
        <v>0</v>
      </c>
      <c r="G117" s="6">
        <f>IFERROR(VLOOKUP(C117,O.B.JUNE!$AA$7:$AD$448,4,0),0)</f>
        <v>144</v>
      </c>
      <c r="H117" s="6">
        <f t="shared" si="15"/>
        <v>144</v>
      </c>
      <c r="I117" s="6">
        <f>IFERROR(VLOOKUP(C117,O.B.JUNE!$AA$7:$AF$448,6,0),0)</f>
        <v>115</v>
      </c>
      <c r="J117" s="6"/>
      <c r="K117" s="6">
        <f>IFERROR(VLOOKUP(C117,O.B.JUNE!$AA$7:$AG$448,7,0),0)</f>
        <v>1998957</v>
      </c>
      <c r="L117" s="6">
        <f>SUMIF('JUNE (물량흐름)'!$C$13:$C$502,'Direct labour(직접노무비)'!C117,'JUNE (물량흐름)'!$H$13:$H$502)+SUMIF('JUNE (물량흐름)'!$C$13:$C$502,'Direct labour(직접노무비)'!C117,'JUNE (물량흐름)'!$I$13:$I$502)</f>
        <v>0</v>
      </c>
      <c r="M117" s="6">
        <f t="shared" si="16"/>
        <v>0</v>
      </c>
      <c r="N117" s="6">
        <f t="shared" si="17"/>
        <v>0</v>
      </c>
      <c r="O117" s="6">
        <f t="shared" si="26"/>
        <v>0</v>
      </c>
      <c r="P117" s="6">
        <f>SUMIF('JUNE (물량흐름)'!$C$13:$C$502,C117,'JUNE (물량흐름)'!$T$13:$T$502)+SUMIF('JUNE (물량흐름)'!$C$13:$C$502,C117,'JUNE (물량흐름)'!$V$13:$V$502)+SUMIF('JUNE (물량흐름)'!$C$13:$C$502,C117,'JUNE (물량흐름)'!$U$13:$U$502)-SUMIF('JUNE (물량흐름)'!$C$13:$C$502,C117,'JUNE (물량흐름)'!$Y$13:$Y$502)</f>
        <v>144</v>
      </c>
      <c r="Q117" s="6">
        <f t="shared" si="18"/>
        <v>1998957</v>
      </c>
      <c r="R117" s="6">
        <f>ROUND(IF(ISERROR(VLOOKUP(#REF!,'WIP(재공품)'!$B$12:$AB$38,13,0)),0,VLOOKUP(#REF!,'WIP(재공품)'!$B$12:$AB$38,13,0)),0)</f>
        <v>0</v>
      </c>
      <c r="S117" s="6">
        <f>IF(ISERROR(VLOOKUP(#REF!,'WIP(재공품)'!$B$12:$AB$38,10,0)),0,VLOOKUP(#REF!,'WIP(재공품)'!$B$12:$AB$38,10,0))</f>
        <v>0</v>
      </c>
      <c r="T117" s="6">
        <f>SUMIF('JUNE (물량흐름)'!$C$13:$C$502,'Direct labour(직접노무비)'!C117,'JUNE (물량흐름)'!$Y$13:$Y$502)</f>
        <v>0</v>
      </c>
      <c r="U117" s="6">
        <f t="shared" si="19"/>
        <v>0</v>
      </c>
      <c r="V117" s="6">
        <f>ROUND(SUMIF('JUNE (물량흐름)'!$C$13:$C$502,'Direct labour(직접노무비)'!C117,'JUNE (물량흐름)'!$N$13:$N$502),0)</f>
        <v>0</v>
      </c>
      <c r="W117" s="6">
        <f>ROUND(SUMIF('JUNE (물량흐름)'!$C$13:$C$502,'Direct labour(직접노무비)'!C117,'JUNE (물량흐름)'!$O$13:$O$502),0)</f>
        <v>0</v>
      </c>
      <c r="X117" s="6">
        <f>ROUND(SUMIF('JUNE (물량흐름)'!$C$13:$C$502,'Direct labour(직접노무비)'!C117,'JUNE (물량흐름)'!$P$13:$P$502),0)</f>
        <v>0</v>
      </c>
      <c r="Y117" s="6">
        <f t="shared" si="20"/>
        <v>0</v>
      </c>
      <c r="Z117" s="6">
        <f t="shared" si="21"/>
        <v>0</v>
      </c>
      <c r="AA117" s="6">
        <f t="shared" si="22"/>
        <v>0</v>
      </c>
      <c r="AB117" s="389">
        <f t="shared" si="23"/>
        <v>0</v>
      </c>
      <c r="AC117" s="389">
        <f t="shared" si="24"/>
        <v>0</v>
      </c>
      <c r="AD117" s="389">
        <f t="shared" si="25"/>
        <v>0</v>
      </c>
    </row>
    <row r="118" spans="1:30" s="390" customFormat="1" ht="15" customHeight="1">
      <c r="A118" s="167">
        <v>107</v>
      </c>
      <c r="B118" s="267" t="str">
        <f>VLOOKUP(A118,'JUNE (물량흐름)'!$A$13:$C$502,2,0)</f>
        <v>NORDSTROM</v>
      </c>
      <c r="C118" s="240" t="str">
        <f>VLOOKUP(A118,'JUNE (물량흐름)'!$A$13:$C$502,3,0)</f>
        <v>HA372336MI</v>
      </c>
      <c r="D118" s="6">
        <f>VLOOKUP(C118,'WIP(재공품)'!$B$12:$E$493,4,0)</f>
        <v>158725</v>
      </c>
      <c r="E118" s="6">
        <f>IFERROR(VLOOKUP(C118,O.B.JUNE!$AA$7:$AG$448,2,0),0)</f>
        <v>0</v>
      </c>
      <c r="F118" s="6">
        <f>IFERROR(VLOOKUP(C118,O.B.JUNE!$AA$7:$AG$448,3,0),0)</f>
        <v>0</v>
      </c>
      <c r="G118" s="6">
        <f>IFERROR(VLOOKUP(C118,O.B.JUNE!$AA$7:$AD$448,4,0),0)</f>
        <v>252</v>
      </c>
      <c r="H118" s="6">
        <f t="shared" si="15"/>
        <v>252</v>
      </c>
      <c r="I118" s="6">
        <f>IFERROR(VLOOKUP(C118,O.B.JUNE!$AA$7:$AF$448,6,0),0)</f>
        <v>202</v>
      </c>
      <c r="J118" s="6"/>
      <c r="K118" s="6">
        <f>IFERROR(VLOOKUP(C118,O.B.JUNE!$AA$7:$AG$448,7,0),0)</f>
        <v>4126053</v>
      </c>
      <c r="L118" s="6">
        <f>SUMIF('JUNE (물량흐름)'!$C$13:$C$502,'Direct labour(직접노무비)'!C118,'JUNE (물량흐름)'!$H$13:$H$502)+SUMIF('JUNE (물량흐름)'!$C$13:$C$502,'Direct labour(직접노무비)'!C118,'JUNE (물량흐름)'!$I$13:$I$502)</f>
        <v>0</v>
      </c>
      <c r="M118" s="6">
        <f t="shared" si="16"/>
        <v>0</v>
      </c>
      <c r="N118" s="6">
        <f t="shared" si="17"/>
        <v>0</v>
      </c>
      <c r="O118" s="6">
        <f t="shared" si="26"/>
        <v>0</v>
      </c>
      <c r="P118" s="6">
        <f>SUMIF('JUNE (물량흐름)'!$C$13:$C$502,C118,'JUNE (물량흐름)'!$T$13:$T$502)+SUMIF('JUNE (물량흐름)'!$C$13:$C$502,C118,'JUNE (물량흐름)'!$V$13:$V$502)+SUMIF('JUNE (물량흐름)'!$C$13:$C$502,C118,'JUNE (물량흐름)'!$U$13:$U$502)-SUMIF('JUNE (물량흐름)'!$C$13:$C$502,C118,'JUNE (물량흐름)'!$Y$13:$Y$502)</f>
        <v>252</v>
      </c>
      <c r="Q118" s="6">
        <f t="shared" si="18"/>
        <v>4126053</v>
      </c>
      <c r="R118" s="6">
        <f>ROUND(IF(ISERROR(VLOOKUP(#REF!,'WIP(재공품)'!$B$12:$AB$38,13,0)),0,VLOOKUP(#REF!,'WIP(재공품)'!$B$12:$AB$38,13,0)),0)</f>
        <v>0</v>
      </c>
      <c r="S118" s="6">
        <f>IF(ISERROR(VLOOKUP(#REF!,'WIP(재공품)'!$B$12:$AB$38,10,0)),0,VLOOKUP(#REF!,'WIP(재공품)'!$B$12:$AB$38,10,0))</f>
        <v>0</v>
      </c>
      <c r="T118" s="6">
        <f>SUMIF('JUNE (물량흐름)'!$C$13:$C$502,'Direct labour(직접노무비)'!C118,'JUNE (물량흐름)'!$Y$13:$Y$502)</f>
        <v>0</v>
      </c>
      <c r="U118" s="6">
        <f t="shared" si="19"/>
        <v>0</v>
      </c>
      <c r="V118" s="6">
        <f>ROUND(SUMIF('JUNE (물량흐름)'!$C$13:$C$502,'Direct labour(직접노무비)'!C118,'JUNE (물량흐름)'!$N$13:$N$502),0)</f>
        <v>0</v>
      </c>
      <c r="W118" s="6">
        <f>ROUND(SUMIF('JUNE (물량흐름)'!$C$13:$C$502,'Direct labour(직접노무비)'!C118,'JUNE (물량흐름)'!$O$13:$O$502),0)</f>
        <v>0</v>
      </c>
      <c r="X118" s="6">
        <f>ROUND(SUMIF('JUNE (물량흐름)'!$C$13:$C$502,'Direct labour(직접노무비)'!C118,'JUNE (물량흐름)'!$P$13:$P$502),0)</f>
        <v>0</v>
      </c>
      <c r="Y118" s="6">
        <f t="shared" si="20"/>
        <v>0</v>
      </c>
      <c r="Z118" s="6">
        <f t="shared" si="21"/>
        <v>0</v>
      </c>
      <c r="AA118" s="6">
        <f t="shared" si="22"/>
        <v>0</v>
      </c>
      <c r="AB118" s="389">
        <f t="shared" si="23"/>
        <v>0</v>
      </c>
      <c r="AC118" s="389">
        <f t="shared" si="24"/>
        <v>0</v>
      </c>
      <c r="AD118" s="389">
        <f t="shared" si="25"/>
        <v>0</v>
      </c>
    </row>
    <row r="119" spans="1:30" s="390" customFormat="1" ht="15" customHeight="1">
      <c r="A119" s="167">
        <v>108</v>
      </c>
      <c r="B119" s="267" t="str">
        <f>VLOOKUP(A119,'JUNE (물량흐름)'!$A$13:$C$502,2,0)</f>
        <v>NORDSTROM</v>
      </c>
      <c r="C119" s="240" t="str">
        <f>VLOOKUP(A119,'JUNE (물량흐름)'!$A$13:$C$502,3,0)</f>
        <v>RK381125MI</v>
      </c>
      <c r="D119" s="6">
        <f>VLOOKUP(C119,'WIP(재공품)'!$B$12:$E$493,4,0)</f>
        <v>8163</v>
      </c>
      <c r="E119" s="6">
        <f>IFERROR(VLOOKUP(C119,O.B.JUNE!$AA$7:$AG$448,2,0),0)</f>
        <v>0</v>
      </c>
      <c r="F119" s="6">
        <f>IFERROR(VLOOKUP(C119,O.B.JUNE!$AA$7:$AG$448,3,0),0)</f>
        <v>0</v>
      </c>
      <c r="G119" s="6">
        <f>IFERROR(VLOOKUP(C119,O.B.JUNE!$AA$7:$AD$448,4,0),0)</f>
        <v>70</v>
      </c>
      <c r="H119" s="6">
        <f t="shared" si="15"/>
        <v>70</v>
      </c>
      <c r="I119" s="6">
        <f>IFERROR(VLOOKUP(C119,O.B.JUNE!$AA$7:$AF$448,6,0),0)</f>
        <v>56</v>
      </c>
      <c r="J119" s="6"/>
      <c r="K119" s="6">
        <f>IFERROR(VLOOKUP(C119,O.B.JUNE!$AA$7:$AG$448,7,0),0)</f>
        <v>1581929</v>
      </c>
      <c r="L119" s="6">
        <f>SUMIF('JUNE (물량흐름)'!$C$13:$C$502,'Direct labour(직접노무비)'!C119,'JUNE (물량흐름)'!$H$13:$H$502)+SUMIF('JUNE (물량흐름)'!$C$13:$C$502,'Direct labour(직접노무비)'!C119,'JUNE (물량흐름)'!$I$13:$I$502)</f>
        <v>0</v>
      </c>
      <c r="M119" s="6">
        <f t="shared" si="16"/>
        <v>0</v>
      </c>
      <c r="N119" s="6">
        <f t="shared" si="17"/>
        <v>0</v>
      </c>
      <c r="O119" s="6">
        <f t="shared" si="26"/>
        <v>0</v>
      </c>
      <c r="P119" s="6">
        <f>SUMIF('JUNE (물량흐름)'!$C$13:$C$502,C119,'JUNE (물량흐름)'!$T$13:$T$502)+SUMIF('JUNE (물량흐름)'!$C$13:$C$502,C119,'JUNE (물량흐름)'!$V$13:$V$502)+SUMIF('JUNE (물량흐름)'!$C$13:$C$502,C119,'JUNE (물량흐름)'!$U$13:$U$502)-SUMIF('JUNE (물량흐름)'!$C$13:$C$502,C119,'JUNE (물량흐름)'!$Y$13:$Y$502)</f>
        <v>70</v>
      </c>
      <c r="Q119" s="6">
        <f t="shared" si="18"/>
        <v>1581929</v>
      </c>
      <c r="R119" s="6">
        <f>ROUND(IF(ISERROR(VLOOKUP(#REF!,'WIP(재공품)'!$B$12:$AB$38,13,0)),0,VLOOKUP(#REF!,'WIP(재공품)'!$B$12:$AB$38,13,0)),0)</f>
        <v>0</v>
      </c>
      <c r="S119" s="6">
        <f>IF(ISERROR(VLOOKUP(#REF!,'WIP(재공품)'!$B$12:$AB$38,10,0)),0,VLOOKUP(#REF!,'WIP(재공품)'!$B$12:$AB$38,10,0))</f>
        <v>0</v>
      </c>
      <c r="T119" s="6">
        <f>SUMIF('JUNE (물량흐름)'!$C$13:$C$502,'Direct labour(직접노무비)'!C119,'JUNE (물량흐름)'!$Y$13:$Y$502)</f>
        <v>0</v>
      </c>
      <c r="U119" s="6">
        <f t="shared" si="19"/>
        <v>0</v>
      </c>
      <c r="V119" s="6">
        <f>ROUND(SUMIF('JUNE (물량흐름)'!$C$13:$C$502,'Direct labour(직접노무비)'!C119,'JUNE (물량흐름)'!$N$13:$N$502),0)</f>
        <v>0</v>
      </c>
      <c r="W119" s="6">
        <f>ROUND(SUMIF('JUNE (물량흐름)'!$C$13:$C$502,'Direct labour(직접노무비)'!C119,'JUNE (물량흐름)'!$O$13:$O$502),0)</f>
        <v>0</v>
      </c>
      <c r="X119" s="6">
        <f>ROUND(SUMIF('JUNE (물량흐름)'!$C$13:$C$502,'Direct labour(직접노무비)'!C119,'JUNE (물량흐름)'!$P$13:$P$502),0)</f>
        <v>0</v>
      </c>
      <c r="Y119" s="6">
        <f t="shared" si="20"/>
        <v>0</v>
      </c>
      <c r="Z119" s="6">
        <f t="shared" si="21"/>
        <v>0</v>
      </c>
      <c r="AA119" s="6">
        <f t="shared" si="22"/>
        <v>0</v>
      </c>
      <c r="AB119" s="389">
        <f t="shared" si="23"/>
        <v>0</v>
      </c>
      <c r="AC119" s="389">
        <f t="shared" si="24"/>
        <v>0</v>
      </c>
      <c r="AD119" s="389">
        <f t="shared" si="25"/>
        <v>0</v>
      </c>
    </row>
    <row r="120" spans="1:30" s="390" customFormat="1" ht="15" customHeight="1">
      <c r="A120" s="167">
        <v>109</v>
      </c>
      <c r="B120" s="267" t="str">
        <f>VLOOKUP(A120,'JUNE (물량흐름)'!$A$13:$C$502,2,0)</f>
        <v>ANN TAYLOR</v>
      </c>
      <c r="C120" s="240">
        <f>VLOOKUP(A120,'JUNE (물량흐름)'!$A$13:$C$502,3,0)</f>
        <v>444136</v>
      </c>
      <c r="D120" s="6">
        <f>VLOOKUP(C120,'WIP(재공품)'!$B$12:$E$493,4,0)</f>
        <v>72560</v>
      </c>
      <c r="E120" s="6">
        <f>IFERROR(VLOOKUP(C120,O.B.JUNE!$AA$7:$AG$448,2,0),0)</f>
        <v>0</v>
      </c>
      <c r="F120" s="6">
        <f>IFERROR(VLOOKUP(C120,O.B.JUNE!$AA$7:$AG$448,3,0),0)</f>
        <v>0</v>
      </c>
      <c r="G120" s="6">
        <f>IFERROR(VLOOKUP(C120,O.B.JUNE!$AA$7:$AD$448,4,0),0)</f>
        <v>957</v>
      </c>
      <c r="H120" s="6">
        <f t="shared" si="15"/>
        <v>957</v>
      </c>
      <c r="I120" s="6">
        <f>IFERROR(VLOOKUP(C120,O.B.JUNE!$AA$7:$AF$448,6,0),0)</f>
        <v>765</v>
      </c>
      <c r="J120" s="6"/>
      <c r="K120" s="6">
        <f>IFERROR(VLOOKUP(C120,O.B.JUNE!$AA$7:$AG$448,7,0),0)</f>
        <v>3660257</v>
      </c>
      <c r="L120" s="6">
        <f>SUMIF('JUNE (물량흐름)'!$C$13:$C$502,'Direct labour(직접노무비)'!C120,'JUNE (물량흐름)'!$H$13:$H$502)+SUMIF('JUNE (물량흐름)'!$C$13:$C$502,'Direct labour(직접노무비)'!C120,'JUNE (물량흐름)'!$I$13:$I$502)</f>
        <v>0</v>
      </c>
      <c r="M120" s="6">
        <f t="shared" si="16"/>
        <v>0</v>
      </c>
      <c r="N120" s="6">
        <f t="shared" si="17"/>
        <v>0</v>
      </c>
      <c r="O120" s="6">
        <f t="shared" si="26"/>
        <v>0</v>
      </c>
      <c r="P120" s="6">
        <f>SUMIF('JUNE (물량흐름)'!$C$13:$C$502,C120,'JUNE (물량흐름)'!$T$13:$T$502)+SUMIF('JUNE (물량흐름)'!$C$13:$C$502,C120,'JUNE (물량흐름)'!$V$13:$V$502)+SUMIF('JUNE (물량흐름)'!$C$13:$C$502,C120,'JUNE (물량흐름)'!$U$13:$U$502)-SUMIF('JUNE (물량흐름)'!$C$13:$C$502,C120,'JUNE (물량흐름)'!$Y$13:$Y$502)</f>
        <v>957</v>
      </c>
      <c r="Q120" s="6">
        <f t="shared" si="18"/>
        <v>3660257</v>
      </c>
      <c r="R120" s="6">
        <f>ROUND(IF(ISERROR(VLOOKUP(#REF!,'WIP(재공품)'!$B$12:$AB$38,13,0)),0,VLOOKUP(#REF!,'WIP(재공품)'!$B$12:$AB$38,13,0)),0)</f>
        <v>0</v>
      </c>
      <c r="S120" s="6">
        <f>IF(ISERROR(VLOOKUP(#REF!,'WIP(재공품)'!$B$12:$AB$38,10,0)),0,VLOOKUP(#REF!,'WIP(재공품)'!$B$12:$AB$38,10,0))</f>
        <v>0</v>
      </c>
      <c r="T120" s="6">
        <f>SUMIF('JUNE (물량흐름)'!$C$13:$C$502,'Direct labour(직접노무비)'!C120,'JUNE (물량흐름)'!$Y$13:$Y$502)</f>
        <v>0</v>
      </c>
      <c r="U120" s="6">
        <f t="shared" si="19"/>
        <v>0</v>
      </c>
      <c r="V120" s="6">
        <f>ROUND(SUMIF('JUNE (물량흐름)'!$C$13:$C$502,'Direct labour(직접노무비)'!C120,'JUNE (물량흐름)'!$N$13:$N$502),0)</f>
        <v>0</v>
      </c>
      <c r="W120" s="6">
        <f>ROUND(SUMIF('JUNE (물량흐름)'!$C$13:$C$502,'Direct labour(직접노무비)'!C120,'JUNE (물량흐름)'!$O$13:$O$502),0)</f>
        <v>0</v>
      </c>
      <c r="X120" s="6">
        <f>ROUND(SUMIF('JUNE (물량흐름)'!$C$13:$C$502,'Direct labour(직접노무비)'!C120,'JUNE (물량흐름)'!$P$13:$P$502),0)</f>
        <v>0</v>
      </c>
      <c r="Y120" s="6">
        <f t="shared" si="20"/>
        <v>0</v>
      </c>
      <c r="Z120" s="6">
        <f t="shared" si="21"/>
        <v>0</v>
      </c>
      <c r="AA120" s="6">
        <f t="shared" si="22"/>
        <v>0</v>
      </c>
      <c r="AB120" s="389">
        <f t="shared" si="23"/>
        <v>0</v>
      </c>
      <c r="AC120" s="389">
        <f t="shared" si="24"/>
        <v>0</v>
      </c>
      <c r="AD120" s="389">
        <f t="shared" si="25"/>
        <v>0</v>
      </c>
    </row>
    <row r="121" spans="1:30" s="390" customFormat="1" ht="15" customHeight="1">
      <c r="A121" s="167">
        <v>110</v>
      </c>
      <c r="B121" s="267" t="str">
        <f>VLOOKUP(A121,'JUNE (물량흐름)'!$A$13:$C$502,2,0)</f>
        <v>NAMYANG</v>
      </c>
      <c r="C121" s="240" t="str">
        <f>VLOOKUP(A121,'JUNE (물량흐름)'!$A$13:$C$502,3,0)</f>
        <v>258G827</v>
      </c>
      <c r="D121" s="6">
        <f>VLOOKUP(C121,'WIP(재공품)'!$B$12:$E$493,4,0)</f>
        <v>72560</v>
      </c>
      <c r="E121" s="6">
        <f>IFERROR(VLOOKUP(C121,O.B.JUNE!$AA$7:$AG$448,2,0),0)</f>
        <v>0</v>
      </c>
      <c r="F121" s="6">
        <f>IFERROR(VLOOKUP(C121,O.B.JUNE!$AA$7:$AG$448,3,0),0)</f>
        <v>0</v>
      </c>
      <c r="G121" s="6">
        <f>IFERROR(VLOOKUP(C121,O.B.JUNE!$AA$7:$AD$448,4,0),0)</f>
        <v>397</v>
      </c>
      <c r="H121" s="6">
        <f t="shared" si="15"/>
        <v>397</v>
      </c>
      <c r="I121" s="6">
        <f>IFERROR(VLOOKUP(C121,O.B.JUNE!$AA$7:$AF$448,6,0),0)</f>
        <v>318</v>
      </c>
      <c r="J121" s="6"/>
      <c r="K121" s="6">
        <f>IFERROR(VLOOKUP(C121,O.B.JUNE!$AA$7:$AG$448,7,0),0)</f>
        <v>1677199</v>
      </c>
      <c r="L121" s="6">
        <f>SUMIF('JUNE (물량흐름)'!$C$13:$C$502,'Direct labour(직접노무비)'!C121,'JUNE (물량흐름)'!$H$13:$H$502)+SUMIF('JUNE (물량흐름)'!$C$13:$C$502,'Direct labour(직접노무비)'!C121,'JUNE (물량흐름)'!$I$13:$I$502)</f>
        <v>0</v>
      </c>
      <c r="M121" s="6">
        <f t="shared" si="16"/>
        <v>0</v>
      </c>
      <c r="N121" s="6">
        <f t="shared" si="17"/>
        <v>0</v>
      </c>
      <c r="O121" s="6">
        <f t="shared" si="26"/>
        <v>0</v>
      </c>
      <c r="P121" s="6">
        <f>SUMIF('JUNE (물량흐름)'!$C$13:$C$502,C121,'JUNE (물량흐름)'!$T$13:$T$502)+SUMIF('JUNE (물량흐름)'!$C$13:$C$502,C121,'JUNE (물량흐름)'!$V$13:$V$502)+SUMIF('JUNE (물량흐름)'!$C$13:$C$502,C121,'JUNE (물량흐름)'!$U$13:$U$502)-SUMIF('JUNE (물량흐름)'!$C$13:$C$502,C121,'JUNE (물량흐름)'!$Y$13:$Y$502)</f>
        <v>397</v>
      </c>
      <c r="Q121" s="6">
        <f t="shared" si="18"/>
        <v>1677199</v>
      </c>
      <c r="R121" s="6">
        <f>ROUND(IF(ISERROR(VLOOKUP(#REF!,'WIP(재공품)'!$B$12:$AB$38,13,0)),0,VLOOKUP(#REF!,'WIP(재공품)'!$B$12:$AB$38,13,0)),0)</f>
        <v>0</v>
      </c>
      <c r="S121" s="6">
        <f>IF(ISERROR(VLOOKUP(#REF!,'WIP(재공품)'!$B$12:$AB$38,10,0)),0,VLOOKUP(#REF!,'WIP(재공품)'!$B$12:$AB$38,10,0))</f>
        <v>0</v>
      </c>
      <c r="T121" s="6">
        <f>SUMIF('JUNE (물량흐름)'!$C$13:$C$502,'Direct labour(직접노무비)'!C121,'JUNE (물량흐름)'!$Y$13:$Y$502)</f>
        <v>0</v>
      </c>
      <c r="U121" s="6">
        <f t="shared" si="19"/>
        <v>0</v>
      </c>
      <c r="V121" s="6">
        <f>ROUND(SUMIF('JUNE (물량흐름)'!$C$13:$C$502,'Direct labour(직접노무비)'!C121,'JUNE (물량흐름)'!$N$13:$N$502),0)</f>
        <v>0</v>
      </c>
      <c r="W121" s="6">
        <f>ROUND(SUMIF('JUNE (물량흐름)'!$C$13:$C$502,'Direct labour(직접노무비)'!C121,'JUNE (물량흐름)'!$O$13:$O$502),0)</f>
        <v>0</v>
      </c>
      <c r="X121" s="6">
        <f>ROUND(SUMIF('JUNE (물량흐름)'!$C$13:$C$502,'Direct labour(직접노무비)'!C121,'JUNE (물량흐름)'!$P$13:$P$502),0)</f>
        <v>0</v>
      </c>
      <c r="Y121" s="6">
        <f t="shared" si="20"/>
        <v>0</v>
      </c>
      <c r="Z121" s="6">
        <f t="shared" si="21"/>
        <v>0</v>
      </c>
      <c r="AA121" s="6">
        <f t="shared" si="22"/>
        <v>0</v>
      </c>
      <c r="AB121" s="389">
        <f t="shared" si="23"/>
        <v>0</v>
      </c>
      <c r="AC121" s="389">
        <f t="shared" si="24"/>
        <v>0</v>
      </c>
      <c r="AD121" s="389">
        <f t="shared" si="25"/>
        <v>0</v>
      </c>
    </row>
    <row r="122" spans="1:30" s="390" customFormat="1" ht="15" customHeight="1">
      <c r="A122" s="167">
        <v>111</v>
      </c>
      <c r="B122" s="267" t="str">
        <f>VLOOKUP(A122,'JUNE (물량흐름)'!$A$13:$C$502,2,0)</f>
        <v>TALBOTS</v>
      </c>
      <c r="C122" s="240">
        <f>VLOOKUP(A122,'JUNE (물량흐름)'!$A$13:$C$502,3,0)</f>
        <v>174034833</v>
      </c>
      <c r="D122" s="6">
        <f>VLOOKUP(C122,'WIP(재공품)'!$B$12:$E$493,4,0)</f>
        <v>8163</v>
      </c>
      <c r="E122" s="6">
        <f>IFERROR(VLOOKUP(C122,O.B.JUNE!$AA$7:$AG$448,2,0),0)</f>
        <v>0</v>
      </c>
      <c r="F122" s="6">
        <f>IFERROR(VLOOKUP(C122,O.B.JUNE!$AA$7:$AG$448,3,0),0)</f>
        <v>0</v>
      </c>
      <c r="G122" s="6">
        <f>IFERROR(VLOOKUP(C122,O.B.JUNE!$AA$7:$AD$448,4,0),0)</f>
        <v>303</v>
      </c>
      <c r="H122" s="6">
        <f t="shared" si="15"/>
        <v>303</v>
      </c>
      <c r="I122" s="6">
        <f>IFERROR(VLOOKUP(C122,O.B.JUNE!$AA$7:$AF$448,6,0),0)</f>
        <v>242</v>
      </c>
      <c r="J122" s="6"/>
      <c r="K122" s="6">
        <f>IFERROR(VLOOKUP(C122,O.B.JUNE!$AA$7:$AG$448,7,0),0)</f>
        <v>7359994</v>
      </c>
      <c r="L122" s="6">
        <f>SUMIF('JUNE (물량흐름)'!$C$13:$C$502,'Direct labour(직접노무비)'!C122,'JUNE (물량흐름)'!$H$13:$H$502)+SUMIF('JUNE (물량흐름)'!$C$13:$C$502,'Direct labour(직접노무비)'!C122,'JUNE (물량흐름)'!$I$13:$I$502)</f>
        <v>0</v>
      </c>
      <c r="M122" s="6">
        <f t="shared" si="16"/>
        <v>0</v>
      </c>
      <c r="N122" s="6">
        <f t="shared" si="17"/>
        <v>0</v>
      </c>
      <c r="O122" s="6">
        <f t="shared" si="26"/>
        <v>0</v>
      </c>
      <c r="P122" s="6">
        <f>SUMIF('JUNE (물량흐름)'!$C$13:$C$502,C122,'JUNE (물량흐름)'!$T$13:$T$502)+SUMIF('JUNE (물량흐름)'!$C$13:$C$502,C122,'JUNE (물량흐름)'!$V$13:$V$502)+SUMIF('JUNE (물량흐름)'!$C$13:$C$502,C122,'JUNE (물량흐름)'!$U$13:$U$502)-SUMIF('JUNE (물량흐름)'!$C$13:$C$502,C122,'JUNE (물량흐름)'!$Y$13:$Y$502)</f>
        <v>303</v>
      </c>
      <c r="Q122" s="6">
        <f t="shared" si="18"/>
        <v>7359994</v>
      </c>
      <c r="R122" s="6">
        <f>ROUND(IF(ISERROR(VLOOKUP(#REF!,'WIP(재공품)'!$B$12:$AB$38,13,0)),0,VLOOKUP(#REF!,'WIP(재공품)'!$B$12:$AB$38,13,0)),0)</f>
        <v>0</v>
      </c>
      <c r="S122" s="6">
        <f>IF(ISERROR(VLOOKUP(#REF!,'WIP(재공품)'!$B$12:$AB$38,10,0)),0,VLOOKUP(#REF!,'WIP(재공품)'!$B$12:$AB$38,10,0))</f>
        <v>0</v>
      </c>
      <c r="T122" s="6">
        <f>SUMIF('JUNE (물량흐름)'!$C$13:$C$502,'Direct labour(직접노무비)'!C122,'JUNE (물량흐름)'!$Y$13:$Y$502)</f>
        <v>0</v>
      </c>
      <c r="U122" s="6">
        <f t="shared" si="19"/>
        <v>0</v>
      </c>
      <c r="V122" s="6">
        <f>ROUND(SUMIF('JUNE (물량흐름)'!$C$13:$C$502,'Direct labour(직접노무비)'!C122,'JUNE (물량흐름)'!$N$13:$N$502),0)</f>
        <v>0</v>
      </c>
      <c r="W122" s="6">
        <f>ROUND(SUMIF('JUNE (물량흐름)'!$C$13:$C$502,'Direct labour(직접노무비)'!C122,'JUNE (물량흐름)'!$O$13:$O$502),0)</f>
        <v>0</v>
      </c>
      <c r="X122" s="6">
        <f>ROUND(SUMIF('JUNE (물량흐름)'!$C$13:$C$502,'Direct labour(직접노무비)'!C122,'JUNE (물량흐름)'!$P$13:$P$502),0)</f>
        <v>0</v>
      </c>
      <c r="Y122" s="6">
        <f t="shared" si="20"/>
        <v>0</v>
      </c>
      <c r="Z122" s="6">
        <f t="shared" si="21"/>
        <v>0</v>
      </c>
      <c r="AA122" s="6">
        <f t="shared" si="22"/>
        <v>0</v>
      </c>
      <c r="AB122" s="389">
        <f t="shared" si="23"/>
        <v>0</v>
      </c>
      <c r="AC122" s="389">
        <f t="shared" si="24"/>
        <v>0</v>
      </c>
      <c r="AD122" s="389">
        <f t="shared" si="25"/>
        <v>0</v>
      </c>
    </row>
    <row r="123" spans="1:30" s="390" customFormat="1" ht="15" customHeight="1">
      <c r="A123" s="167">
        <v>112</v>
      </c>
      <c r="B123" s="267" t="str">
        <f>VLOOKUP(A123,'JUNE (물량흐름)'!$A$13:$C$502,2,0)</f>
        <v>TALBOTS</v>
      </c>
      <c r="C123" s="240">
        <f>VLOOKUP(A123,'JUNE (물량흐름)'!$A$13:$C$502,3,0)</f>
        <v>174034834</v>
      </c>
      <c r="D123" s="6">
        <f>VLOOKUP(C123,'WIP(재공품)'!$B$12:$E$493,4,0)</f>
        <v>8163</v>
      </c>
      <c r="E123" s="6">
        <f>IFERROR(VLOOKUP(C123,O.B.JUNE!$AA$7:$AG$448,2,0),0)</f>
        <v>0</v>
      </c>
      <c r="F123" s="6">
        <f>IFERROR(VLOOKUP(C123,O.B.JUNE!$AA$7:$AG$448,3,0),0)</f>
        <v>0</v>
      </c>
      <c r="G123" s="6">
        <f>IFERROR(VLOOKUP(C123,O.B.JUNE!$AA$7:$AD$448,4,0),0)</f>
        <v>255</v>
      </c>
      <c r="H123" s="6">
        <f t="shared" si="15"/>
        <v>255</v>
      </c>
      <c r="I123" s="6">
        <f>IFERROR(VLOOKUP(C123,O.B.JUNE!$AA$7:$AF$448,6,0),0)</f>
        <v>204</v>
      </c>
      <c r="J123" s="6"/>
      <c r="K123" s="6">
        <f>IFERROR(VLOOKUP(C123,O.B.JUNE!$AA$7:$AG$448,7,0),0)</f>
        <v>5730427</v>
      </c>
      <c r="L123" s="6">
        <f>SUMIF('JUNE (물량흐름)'!$C$13:$C$502,'Direct labour(직접노무비)'!C123,'JUNE (물량흐름)'!$H$13:$H$502)+SUMIF('JUNE (물량흐름)'!$C$13:$C$502,'Direct labour(직접노무비)'!C123,'JUNE (물량흐름)'!$I$13:$I$502)</f>
        <v>0</v>
      </c>
      <c r="M123" s="6">
        <f t="shared" si="16"/>
        <v>0</v>
      </c>
      <c r="N123" s="6">
        <f t="shared" si="17"/>
        <v>0</v>
      </c>
      <c r="O123" s="6">
        <f t="shared" si="26"/>
        <v>0</v>
      </c>
      <c r="P123" s="6">
        <f>SUMIF('JUNE (물량흐름)'!$C$13:$C$502,C123,'JUNE (물량흐름)'!$T$13:$T$502)+SUMIF('JUNE (물량흐름)'!$C$13:$C$502,C123,'JUNE (물량흐름)'!$V$13:$V$502)+SUMIF('JUNE (물량흐름)'!$C$13:$C$502,C123,'JUNE (물량흐름)'!$U$13:$U$502)-SUMIF('JUNE (물량흐름)'!$C$13:$C$502,C123,'JUNE (물량흐름)'!$Y$13:$Y$502)</f>
        <v>255</v>
      </c>
      <c r="Q123" s="6">
        <f t="shared" si="18"/>
        <v>5730427</v>
      </c>
      <c r="R123" s="6">
        <f>ROUND(IF(ISERROR(VLOOKUP(#REF!,'WIP(재공품)'!$B$12:$AB$38,13,0)),0,VLOOKUP(#REF!,'WIP(재공품)'!$B$12:$AB$38,13,0)),0)</f>
        <v>0</v>
      </c>
      <c r="S123" s="6">
        <f>IF(ISERROR(VLOOKUP(#REF!,'WIP(재공품)'!$B$12:$AB$38,10,0)),0,VLOOKUP(#REF!,'WIP(재공품)'!$B$12:$AB$38,10,0))</f>
        <v>0</v>
      </c>
      <c r="T123" s="6">
        <f>SUMIF('JUNE (물량흐름)'!$C$13:$C$502,'Direct labour(직접노무비)'!C123,'JUNE (물량흐름)'!$Y$13:$Y$502)</f>
        <v>0</v>
      </c>
      <c r="U123" s="6">
        <f t="shared" si="19"/>
        <v>0</v>
      </c>
      <c r="V123" s="6">
        <f>ROUND(SUMIF('JUNE (물량흐름)'!$C$13:$C$502,'Direct labour(직접노무비)'!C123,'JUNE (물량흐름)'!$N$13:$N$502),0)</f>
        <v>0</v>
      </c>
      <c r="W123" s="6">
        <f>ROUND(SUMIF('JUNE (물량흐름)'!$C$13:$C$502,'Direct labour(직접노무비)'!C123,'JUNE (물량흐름)'!$O$13:$O$502),0)</f>
        <v>0</v>
      </c>
      <c r="X123" s="6">
        <f>ROUND(SUMIF('JUNE (물량흐름)'!$C$13:$C$502,'Direct labour(직접노무비)'!C123,'JUNE (물량흐름)'!$P$13:$P$502),0)</f>
        <v>0</v>
      </c>
      <c r="Y123" s="6">
        <f t="shared" si="20"/>
        <v>0</v>
      </c>
      <c r="Z123" s="6">
        <f t="shared" si="21"/>
        <v>0</v>
      </c>
      <c r="AA123" s="6">
        <f t="shared" si="22"/>
        <v>0</v>
      </c>
      <c r="AB123" s="389">
        <f t="shared" si="23"/>
        <v>0</v>
      </c>
      <c r="AC123" s="389">
        <f t="shared" si="24"/>
        <v>0</v>
      </c>
      <c r="AD123" s="389">
        <f t="shared" si="25"/>
        <v>0</v>
      </c>
    </row>
    <row r="124" spans="1:30" s="390" customFormat="1" ht="15" customHeight="1">
      <c r="A124" s="167">
        <v>113</v>
      </c>
      <c r="B124" s="267" t="str">
        <f>VLOOKUP(A124,'JUNE (물량흐름)'!$A$13:$C$502,2,0)</f>
        <v>TALBOTS</v>
      </c>
      <c r="C124" s="240">
        <f>VLOOKUP(A124,'JUNE (물량흐름)'!$A$13:$C$502,3,0)</f>
        <v>174034840</v>
      </c>
      <c r="D124" s="6">
        <f>VLOOKUP(C124,'WIP(재공품)'!$B$12:$E$493,4,0)</f>
        <v>7936.2499999999991</v>
      </c>
      <c r="E124" s="6">
        <f>IFERROR(VLOOKUP(C124,O.B.JUNE!$AA$7:$AG$448,2,0),0)</f>
        <v>0</v>
      </c>
      <c r="F124" s="6">
        <f>IFERROR(VLOOKUP(C124,O.B.JUNE!$AA$7:$AG$448,3,0),0)</f>
        <v>0</v>
      </c>
      <c r="G124" s="6">
        <f>IFERROR(VLOOKUP(C124,O.B.JUNE!$AA$7:$AD$448,4,0),0)</f>
        <v>391</v>
      </c>
      <c r="H124" s="6">
        <f t="shared" si="15"/>
        <v>391</v>
      </c>
      <c r="I124" s="6">
        <f>IFERROR(VLOOKUP(C124,O.B.JUNE!$AA$7:$AF$448,6,0),0)</f>
        <v>313</v>
      </c>
      <c r="J124" s="6"/>
      <c r="K124" s="6">
        <f>IFERROR(VLOOKUP(C124,O.B.JUNE!$AA$7:$AG$448,7,0),0)</f>
        <v>9179776</v>
      </c>
      <c r="L124" s="6">
        <f>SUMIF('JUNE (물량흐름)'!$C$13:$C$502,'Direct labour(직접노무비)'!C124,'JUNE (물량흐름)'!$H$13:$H$502)+SUMIF('JUNE (물량흐름)'!$C$13:$C$502,'Direct labour(직접노무비)'!C124,'JUNE (물량흐름)'!$I$13:$I$502)</f>
        <v>0</v>
      </c>
      <c r="M124" s="6">
        <f t="shared" si="16"/>
        <v>0</v>
      </c>
      <c r="N124" s="6">
        <f t="shared" si="17"/>
        <v>0</v>
      </c>
      <c r="O124" s="6">
        <f t="shared" si="26"/>
        <v>0</v>
      </c>
      <c r="P124" s="6">
        <f>SUMIF('JUNE (물량흐름)'!$C$13:$C$502,C124,'JUNE (물량흐름)'!$T$13:$T$502)+SUMIF('JUNE (물량흐름)'!$C$13:$C$502,C124,'JUNE (물량흐름)'!$V$13:$V$502)+SUMIF('JUNE (물량흐름)'!$C$13:$C$502,C124,'JUNE (물량흐름)'!$U$13:$U$502)-SUMIF('JUNE (물량흐름)'!$C$13:$C$502,C124,'JUNE (물량흐름)'!$Y$13:$Y$502)</f>
        <v>391</v>
      </c>
      <c r="Q124" s="6">
        <f t="shared" si="18"/>
        <v>9179776</v>
      </c>
      <c r="R124" s="6">
        <f>ROUND(IF(ISERROR(VLOOKUP(#REF!,'WIP(재공품)'!$B$12:$AB$38,13,0)),0,VLOOKUP(#REF!,'WIP(재공품)'!$B$12:$AB$38,13,0)),0)</f>
        <v>0</v>
      </c>
      <c r="S124" s="6">
        <f>IF(ISERROR(VLOOKUP(#REF!,'WIP(재공품)'!$B$12:$AB$38,10,0)),0,VLOOKUP(#REF!,'WIP(재공품)'!$B$12:$AB$38,10,0))</f>
        <v>0</v>
      </c>
      <c r="T124" s="6">
        <f>SUMIF('JUNE (물량흐름)'!$C$13:$C$502,'Direct labour(직접노무비)'!C124,'JUNE (물량흐름)'!$Y$13:$Y$502)</f>
        <v>0</v>
      </c>
      <c r="U124" s="6">
        <f t="shared" si="19"/>
        <v>0</v>
      </c>
      <c r="V124" s="6">
        <f>ROUND(SUMIF('JUNE (물량흐름)'!$C$13:$C$502,'Direct labour(직접노무비)'!C124,'JUNE (물량흐름)'!$N$13:$N$502),0)</f>
        <v>0</v>
      </c>
      <c r="W124" s="6">
        <f>ROUND(SUMIF('JUNE (물량흐름)'!$C$13:$C$502,'Direct labour(직접노무비)'!C124,'JUNE (물량흐름)'!$O$13:$O$502),0)</f>
        <v>0</v>
      </c>
      <c r="X124" s="6">
        <f>ROUND(SUMIF('JUNE (물량흐름)'!$C$13:$C$502,'Direct labour(직접노무비)'!C124,'JUNE (물량흐름)'!$P$13:$P$502),0)</f>
        <v>0</v>
      </c>
      <c r="Y124" s="6">
        <f t="shared" si="20"/>
        <v>0</v>
      </c>
      <c r="Z124" s="6">
        <f t="shared" si="21"/>
        <v>0</v>
      </c>
      <c r="AA124" s="6">
        <f t="shared" si="22"/>
        <v>0</v>
      </c>
      <c r="AB124" s="389">
        <f t="shared" si="23"/>
        <v>0</v>
      </c>
      <c r="AC124" s="389">
        <f t="shared" si="24"/>
        <v>0</v>
      </c>
      <c r="AD124" s="389">
        <f t="shared" si="25"/>
        <v>0</v>
      </c>
    </row>
    <row r="125" spans="1:30" s="390" customFormat="1" ht="15" customHeight="1">
      <c r="A125" s="167">
        <v>114</v>
      </c>
      <c r="B125" s="267" t="str">
        <f>VLOOKUP(A125,'JUNE (물량흐름)'!$A$13:$C$502,2,0)</f>
        <v>TALBOTS</v>
      </c>
      <c r="C125" s="240">
        <f>VLOOKUP(A125,'JUNE (물량흐름)'!$A$13:$C$502,3,0)</f>
        <v>174034863</v>
      </c>
      <c r="D125" s="6">
        <f>VLOOKUP(C125,'WIP(재공품)'!$B$12:$E$493,4,0)</f>
        <v>104304.99999999999</v>
      </c>
      <c r="E125" s="6">
        <f>IFERROR(VLOOKUP(C125,O.B.JUNE!$AA$7:$AG$448,2,0),0)</f>
        <v>0</v>
      </c>
      <c r="F125" s="6">
        <f>IFERROR(VLOOKUP(C125,O.B.JUNE!$AA$7:$AG$448,3,0),0)</f>
        <v>0</v>
      </c>
      <c r="G125" s="6">
        <f>IFERROR(VLOOKUP(C125,O.B.JUNE!$AA$7:$AD$448,4,0),0)</f>
        <v>139</v>
      </c>
      <c r="H125" s="6">
        <f t="shared" si="15"/>
        <v>139</v>
      </c>
      <c r="I125" s="6">
        <f>IFERROR(VLOOKUP(C125,O.B.JUNE!$AA$7:$AF$448,6,0),0)</f>
        <v>111</v>
      </c>
      <c r="J125" s="6"/>
      <c r="K125" s="6">
        <f>IFERROR(VLOOKUP(C125,O.B.JUNE!$AA$7:$AG$448,7,0),0)</f>
        <v>3094394</v>
      </c>
      <c r="L125" s="6">
        <f>SUMIF('JUNE (물량흐름)'!$C$13:$C$502,'Direct labour(직접노무비)'!C125,'JUNE (물량흐름)'!$H$13:$H$502)+SUMIF('JUNE (물량흐름)'!$C$13:$C$502,'Direct labour(직접노무비)'!C125,'JUNE (물량흐름)'!$I$13:$I$502)</f>
        <v>0</v>
      </c>
      <c r="M125" s="6">
        <f t="shared" si="16"/>
        <v>0</v>
      </c>
      <c r="N125" s="6">
        <f t="shared" si="17"/>
        <v>0</v>
      </c>
      <c r="O125" s="6">
        <f t="shared" si="26"/>
        <v>0</v>
      </c>
      <c r="P125" s="6">
        <f>SUMIF('JUNE (물량흐름)'!$C$13:$C$502,C125,'JUNE (물량흐름)'!$T$13:$T$502)+SUMIF('JUNE (물량흐름)'!$C$13:$C$502,C125,'JUNE (물량흐름)'!$V$13:$V$502)+SUMIF('JUNE (물량흐름)'!$C$13:$C$502,C125,'JUNE (물량흐름)'!$U$13:$U$502)-SUMIF('JUNE (물량흐름)'!$C$13:$C$502,C125,'JUNE (물량흐름)'!$Y$13:$Y$502)</f>
        <v>139</v>
      </c>
      <c r="Q125" s="6">
        <f t="shared" si="18"/>
        <v>3094394</v>
      </c>
      <c r="R125" s="6">
        <f>ROUND(IF(ISERROR(VLOOKUP(#REF!,'WIP(재공품)'!$B$12:$AB$38,13,0)),0,VLOOKUP(#REF!,'WIP(재공품)'!$B$12:$AB$38,13,0)),0)</f>
        <v>0</v>
      </c>
      <c r="S125" s="6">
        <f>IF(ISERROR(VLOOKUP(#REF!,'WIP(재공품)'!$B$12:$AB$38,10,0)),0,VLOOKUP(#REF!,'WIP(재공품)'!$B$12:$AB$38,10,0))</f>
        <v>0</v>
      </c>
      <c r="T125" s="6">
        <f>SUMIF('JUNE (물량흐름)'!$C$13:$C$502,'Direct labour(직접노무비)'!C125,'JUNE (물량흐름)'!$Y$13:$Y$502)</f>
        <v>0</v>
      </c>
      <c r="U125" s="6">
        <f t="shared" si="19"/>
        <v>0</v>
      </c>
      <c r="V125" s="6">
        <f>ROUND(SUMIF('JUNE (물량흐름)'!$C$13:$C$502,'Direct labour(직접노무비)'!C125,'JUNE (물량흐름)'!$N$13:$N$502),0)</f>
        <v>0</v>
      </c>
      <c r="W125" s="6">
        <f>ROUND(SUMIF('JUNE (물량흐름)'!$C$13:$C$502,'Direct labour(직접노무비)'!C125,'JUNE (물량흐름)'!$O$13:$O$502),0)</f>
        <v>0</v>
      </c>
      <c r="X125" s="6">
        <f>ROUND(SUMIF('JUNE (물량흐름)'!$C$13:$C$502,'Direct labour(직접노무비)'!C125,'JUNE (물량흐름)'!$P$13:$P$502),0)</f>
        <v>0</v>
      </c>
      <c r="Y125" s="6">
        <f t="shared" si="20"/>
        <v>0</v>
      </c>
      <c r="Z125" s="6">
        <f t="shared" si="21"/>
        <v>0</v>
      </c>
      <c r="AA125" s="6">
        <f t="shared" si="22"/>
        <v>0</v>
      </c>
      <c r="AB125" s="389">
        <f t="shared" si="23"/>
        <v>0</v>
      </c>
      <c r="AC125" s="389">
        <f t="shared" si="24"/>
        <v>0</v>
      </c>
      <c r="AD125" s="389">
        <f t="shared" si="25"/>
        <v>0</v>
      </c>
    </row>
    <row r="126" spans="1:30" s="390" customFormat="1" ht="15" customHeight="1">
      <c r="A126" s="167">
        <v>115</v>
      </c>
      <c r="B126" s="267" t="str">
        <f>VLOOKUP(A126,'JUNE (물량흐름)'!$A$13:$C$502,2,0)</f>
        <v>TALBOTS</v>
      </c>
      <c r="C126" s="240">
        <f>VLOOKUP(A126,'JUNE (물량흐름)'!$A$13:$C$502,3,0)</f>
        <v>181013004</v>
      </c>
      <c r="D126" s="6">
        <f>VLOOKUP(C126,'WIP(재공품)'!$B$12:$E$493,4,0)</f>
        <v>34692.75</v>
      </c>
      <c r="E126" s="6">
        <f>IFERROR(VLOOKUP(C126,O.B.JUNE!$AA$7:$AG$448,2,0),0)</f>
        <v>0</v>
      </c>
      <c r="F126" s="6">
        <f>IFERROR(VLOOKUP(C126,O.B.JUNE!$AA$7:$AG$448,3,0),0)</f>
        <v>0</v>
      </c>
      <c r="G126" s="6">
        <f>IFERROR(VLOOKUP(C126,O.B.JUNE!$AA$7:$AD$448,4,0),0)</f>
        <v>1236</v>
      </c>
      <c r="H126" s="6">
        <f t="shared" si="15"/>
        <v>1236</v>
      </c>
      <c r="I126" s="6">
        <f>IFERROR(VLOOKUP(C126,O.B.JUNE!$AA$7:$AF$448,6,0),0)</f>
        <v>989</v>
      </c>
      <c r="J126" s="6"/>
      <c r="K126" s="6">
        <f>IFERROR(VLOOKUP(C126,O.B.JUNE!$AA$7:$AG$448,7,0),0)</f>
        <v>17898454</v>
      </c>
      <c r="L126" s="6">
        <f>SUMIF('JUNE (물량흐름)'!$C$13:$C$502,'Direct labour(직접노무비)'!C126,'JUNE (물량흐름)'!$H$13:$H$502)+SUMIF('JUNE (물량흐름)'!$C$13:$C$502,'Direct labour(직접노무비)'!C126,'JUNE (물량흐름)'!$I$13:$I$502)</f>
        <v>0</v>
      </c>
      <c r="M126" s="6">
        <f t="shared" si="16"/>
        <v>0</v>
      </c>
      <c r="N126" s="6">
        <f t="shared" si="17"/>
        <v>0</v>
      </c>
      <c r="O126" s="6">
        <f t="shared" si="26"/>
        <v>0</v>
      </c>
      <c r="P126" s="6">
        <f>SUMIF('JUNE (물량흐름)'!$C$13:$C$502,C126,'JUNE (물량흐름)'!$T$13:$T$502)+SUMIF('JUNE (물량흐름)'!$C$13:$C$502,C126,'JUNE (물량흐름)'!$V$13:$V$502)+SUMIF('JUNE (물량흐름)'!$C$13:$C$502,C126,'JUNE (물량흐름)'!$U$13:$U$502)-SUMIF('JUNE (물량흐름)'!$C$13:$C$502,C126,'JUNE (물량흐름)'!$Y$13:$Y$502)</f>
        <v>0</v>
      </c>
      <c r="Q126" s="6">
        <f t="shared" si="18"/>
        <v>0</v>
      </c>
      <c r="R126" s="6">
        <f>ROUND(IF(ISERROR(VLOOKUP(#REF!,'WIP(재공품)'!$B$12:$AB$38,13,0)),0,VLOOKUP(#REF!,'WIP(재공품)'!$B$12:$AB$38,13,0)),0)</f>
        <v>0</v>
      </c>
      <c r="S126" s="6">
        <f>IF(ISERROR(VLOOKUP(#REF!,'WIP(재공품)'!$B$12:$AB$38,10,0)),0,VLOOKUP(#REF!,'WIP(재공품)'!$B$12:$AB$38,10,0))</f>
        <v>0</v>
      </c>
      <c r="T126" s="6">
        <f>SUMIF('JUNE (물량흐름)'!$C$13:$C$502,'Direct labour(직접노무비)'!C126,'JUNE (물량흐름)'!$Y$13:$Y$502)</f>
        <v>0</v>
      </c>
      <c r="U126" s="6">
        <f t="shared" si="19"/>
        <v>0</v>
      </c>
      <c r="V126" s="6">
        <f>ROUND(SUMIF('JUNE (물량흐름)'!$C$13:$C$502,'Direct labour(직접노무비)'!C126,'JUNE (물량흐름)'!$N$13:$N$502),0)</f>
        <v>0</v>
      </c>
      <c r="W126" s="6">
        <f>ROUND(SUMIF('JUNE (물량흐름)'!$C$13:$C$502,'Direct labour(직접노무비)'!C126,'JUNE (물량흐름)'!$O$13:$O$502),0)</f>
        <v>0</v>
      </c>
      <c r="X126" s="6">
        <f>ROUND(SUMIF('JUNE (물량흐름)'!$C$13:$C$502,'Direct labour(직접노무비)'!C126,'JUNE (물량흐름)'!$P$13:$P$502),0)</f>
        <v>1236</v>
      </c>
      <c r="Y126" s="6">
        <f t="shared" si="20"/>
        <v>1236</v>
      </c>
      <c r="Z126" s="6">
        <f t="shared" si="21"/>
        <v>989</v>
      </c>
      <c r="AA126" s="6">
        <f t="shared" si="22"/>
        <v>17898454</v>
      </c>
      <c r="AB126" s="389">
        <f t="shared" si="23"/>
        <v>0</v>
      </c>
      <c r="AC126" s="389">
        <f t="shared" si="24"/>
        <v>0</v>
      </c>
      <c r="AD126" s="389">
        <f t="shared" si="25"/>
        <v>0</v>
      </c>
    </row>
    <row r="127" spans="1:30" s="390" customFormat="1" ht="15" customHeight="1">
      <c r="A127" s="167">
        <v>116</v>
      </c>
      <c r="B127" s="267" t="str">
        <f>VLOOKUP(A127,'JUNE (물량흐름)'!$A$13:$C$502,2,0)</f>
        <v>ALFANI</v>
      </c>
      <c r="C127" s="240">
        <f>VLOOKUP(A127,'JUNE (물량흐름)'!$A$13:$C$502,3,0)</f>
        <v>100003498</v>
      </c>
      <c r="D127" s="6">
        <f>VLOOKUP(C127,'WIP(재공품)'!$B$12:$E$493,4,0)</f>
        <v>8163</v>
      </c>
      <c r="E127" s="6">
        <f>IFERROR(VLOOKUP(C127,O.B.JUNE!$AA$7:$AG$448,2,0),0)</f>
        <v>0</v>
      </c>
      <c r="F127" s="6">
        <f>IFERROR(VLOOKUP(C127,O.B.JUNE!$AA$7:$AG$448,3,0),0)</f>
        <v>0</v>
      </c>
      <c r="G127" s="6">
        <f>IFERROR(VLOOKUP(C127,O.B.JUNE!$AA$7:$AD$448,4,0),0)</f>
        <v>344</v>
      </c>
      <c r="H127" s="6">
        <f t="shared" si="15"/>
        <v>344</v>
      </c>
      <c r="I127" s="6">
        <f>IFERROR(VLOOKUP(C127,O.B.JUNE!$AA$7:$AF$448,6,0),0)</f>
        <v>275</v>
      </c>
      <c r="J127" s="6"/>
      <c r="K127" s="6">
        <f>IFERROR(VLOOKUP(C127,O.B.JUNE!$AA$7:$AG$448,7,0),0)</f>
        <v>4479428</v>
      </c>
      <c r="L127" s="6">
        <f>SUMIF('JUNE (물량흐름)'!$C$13:$C$502,'Direct labour(직접노무비)'!C127,'JUNE (물량흐름)'!$H$13:$H$502)+SUMIF('JUNE (물량흐름)'!$C$13:$C$502,'Direct labour(직접노무비)'!C127,'JUNE (물량흐름)'!$I$13:$I$502)</f>
        <v>0</v>
      </c>
      <c r="M127" s="6">
        <f t="shared" si="16"/>
        <v>0</v>
      </c>
      <c r="N127" s="6">
        <f t="shared" si="17"/>
        <v>0</v>
      </c>
      <c r="O127" s="6">
        <f t="shared" si="26"/>
        <v>0</v>
      </c>
      <c r="P127" s="6">
        <f>SUMIF('JUNE (물량흐름)'!$C$13:$C$502,C127,'JUNE (물량흐름)'!$T$13:$T$502)+SUMIF('JUNE (물량흐름)'!$C$13:$C$502,C127,'JUNE (물량흐름)'!$V$13:$V$502)+SUMIF('JUNE (물량흐름)'!$C$13:$C$502,C127,'JUNE (물량흐름)'!$U$13:$U$502)-SUMIF('JUNE (물량흐름)'!$C$13:$C$502,C127,'JUNE (물량흐름)'!$Y$13:$Y$502)</f>
        <v>0</v>
      </c>
      <c r="Q127" s="6">
        <f t="shared" si="18"/>
        <v>0</v>
      </c>
      <c r="R127" s="6">
        <f>ROUND(IF(ISERROR(VLOOKUP(#REF!,'WIP(재공품)'!$B$12:$AB$38,13,0)),0,VLOOKUP(#REF!,'WIP(재공품)'!$B$12:$AB$38,13,0)),0)</f>
        <v>0</v>
      </c>
      <c r="S127" s="6">
        <f>IF(ISERROR(VLOOKUP(#REF!,'WIP(재공품)'!$B$12:$AB$38,10,0)),0,VLOOKUP(#REF!,'WIP(재공품)'!$B$12:$AB$38,10,0))</f>
        <v>0</v>
      </c>
      <c r="T127" s="6">
        <f>SUMIF('JUNE (물량흐름)'!$C$13:$C$502,'Direct labour(직접노무비)'!C127,'JUNE (물량흐름)'!$Y$13:$Y$502)</f>
        <v>0</v>
      </c>
      <c r="U127" s="6">
        <f t="shared" si="19"/>
        <v>0</v>
      </c>
      <c r="V127" s="6">
        <f>ROUND(SUMIF('JUNE (물량흐름)'!$C$13:$C$502,'Direct labour(직접노무비)'!C127,'JUNE (물량흐름)'!$N$13:$N$502),0)</f>
        <v>0</v>
      </c>
      <c r="W127" s="6">
        <f>ROUND(SUMIF('JUNE (물량흐름)'!$C$13:$C$502,'Direct labour(직접노무비)'!C127,'JUNE (물량흐름)'!$O$13:$O$502),0)</f>
        <v>0</v>
      </c>
      <c r="X127" s="6">
        <f>ROUND(SUMIF('JUNE (물량흐름)'!$C$13:$C$502,'Direct labour(직접노무비)'!C127,'JUNE (물량흐름)'!$P$13:$P$502),0)</f>
        <v>344</v>
      </c>
      <c r="Y127" s="6">
        <f t="shared" si="20"/>
        <v>344</v>
      </c>
      <c r="Z127" s="6">
        <f t="shared" si="21"/>
        <v>275</v>
      </c>
      <c r="AA127" s="6">
        <f t="shared" si="22"/>
        <v>4479428</v>
      </c>
      <c r="AB127" s="389">
        <f t="shared" si="23"/>
        <v>0</v>
      </c>
      <c r="AC127" s="389">
        <f t="shared" si="24"/>
        <v>0</v>
      </c>
      <c r="AD127" s="389">
        <f t="shared" si="25"/>
        <v>0</v>
      </c>
    </row>
    <row r="128" spans="1:30" s="390" customFormat="1" ht="15" customHeight="1">
      <c r="A128" s="167">
        <v>117</v>
      </c>
      <c r="B128" s="267" t="str">
        <f>VLOOKUP(A128,'JUNE (물량흐름)'!$A$13:$C$502,2,0)</f>
        <v>ALFANI</v>
      </c>
      <c r="C128" s="240">
        <f>VLOOKUP(A128,'JUNE (물량흐름)'!$A$13:$C$502,3,0)</f>
        <v>100003560</v>
      </c>
      <c r="D128" s="6">
        <f>VLOOKUP(C128,'WIP(재공품)'!$B$12:$E$493,4,0)</f>
        <v>7936.2499999999991</v>
      </c>
      <c r="E128" s="6">
        <f>IFERROR(VLOOKUP(C128,O.B.JUNE!$AA$7:$AG$448,2,0),0)</f>
        <v>0</v>
      </c>
      <c r="F128" s="6">
        <f>IFERROR(VLOOKUP(C128,O.B.JUNE!$AA$7:$AG$448,3,0),0)</f>
        <v>0</v>
      </c>
      <c r="G128" s="6">
        <f>IFERROR(VLOOKUP(C128,O.B.JUNE!$AA$7:$AD$448,4,0),0)</f>
        <v>66</v>
      </c>
      <c r="H128" s="6">
        <f t="shared" si="15"/>
        <v>66</v>
      </c>
      <c r="I128" s="6">
        <f>IFERROR(VLOOKUP(C128,O.B.JUNE!$AA$7:$AF$448,6,0),0)</f>
        <v>53</v>
      </c>
      <c r="J128" s="6"/>
      <c r="K128" s="6">
        <f>IFERROR(VLOOKUP(C128,O.B.JUNE!$AA$7:$AG$448,7,0),0)</f>
        <v>512669</v>
      </c>
      <c r="L128" s="6">
        <f>SUMIF('JUNE (물량흐름)'!$C$13:$C$502,'Direct labour(직접노무비)'!C128,'JUNE (물량흐름)'!$H$13:$H$502)+SUMIF('JUNE (물량흐름)'!$C$13:$C$502,'Direct labour(직접노무비)'!C128,'JUNE (물량흐름)'!$I$13:$I$502)</f>
        <v>0</v>
      </c>
      <c r="M128" s="6">
        <f t="shared" si="16"/>
        <v>0</v>
      </c>
      <c r="N128" s="6">
        <f t="shared" si="17"/>
        <v>0</v>
      </c>
      <c r="O128" s="6">
        <f t="shared" si="26"/>
        <v>0</v>
      </c>
      <c r="P128" s="6">
        <f>SUMIF('JUNE (물량흐름)'!$C$13:$C$502,C128,'JUNE (물량흐름)'!$T$13:$T$502)+SUMIF('JUNE (물량흐름)'!$C$13:$C$502,C128,'JUNE (물량흐름)'!$V$13:$V$502)+SUMIF('JUNE (물량흐름)'!$C$13:$C$502,C128,'JUNE (물량흐름)'!$U$13:$U$502)-SUMIF('JUNE (물량흐름)'!$C$13:$C$502,C128,'JUNE (물량흐름)'!$Y$13:$Y$502)</f>
        <v>0</v>
      </c>
      <c r="Q128" s="6">
        <f t="shared" si="18"/>
        <v>0</v>
      </c>
      <c r="R128" s="6">
        <f>ROUND(IF(ISERROR(VLOOKUP(#REF!,'WIP(재공품)'!$B$12:$AB$38,13,0)),0,VLOOKUP(#REF!,'WIP(재공품)'!$B$12:$AB$38,13,0)),0)</f>
        <v>0</v>
      </c>
      <c r="S128" s="6">
        <f>IF(ISERROR(VLOOKUP(#REF!,'WIP(재공품)'!$B$12:$AB$38,10,0)),0,VLOOKUP(#REF!,'WIP(재공품)'!$B$12:$AB$38,10,0))</f>
        <v>0</v>
      </c>
      <c r="T128" s="6">
        <f>SUMIF('JUNE (물량흐름)'!$C$13:$C$502,'Direct labour(직접노무비)'!C128,'JUNE (물량흐름)'!$Y$13:$Y$502)</f>
        <v>0</v>
      </c>
      <c r="U128" s="6">
        <f t="shared" si="19"/>
        <v>0</v>
      </c>
      <c r="V128" s="6">
        <f>ROUND(SUMIF('JUNE (물량흐름)'!$C$13:$C$502,'Direct labour(직접노무비)'!C128,'JUNE (물량흐름)'!$N$13:$N$502),0)</f>
        <v>0</v>
      </c>
      <c r="W128" s="6">
        <f>ROUND(SUMIF('JUNE (물량흐름)'!$C$13:$C$502,'Direct labour(직접노무비)'!C128,'JUNE (물량흐름)'!$O$13:$O$502),0)</f>
        <v>0</v>
      </c>
      <c r="X128" s="6">
        <f>ROUND(SUMIF('JUNE (물량흐름)'!$C$13:$C$502,'Direct labour(직접노무비)'!C128,'JUNE (물량흐름)'!$P$13:$P$502),0)</f>
        <v>66</v>
      </c>
      <c r="Y128" s="6">
        <f t="shared" si="20"/>
        <v>66</v>
      </c>
      <c r="Z128" s="6">
        <f t="shared" si="21"/>
        <v>53</v>
      </c>
      <c r="AA128" s="6">
        <f t="shared" si="22"/>
        <v>512669</v>
      </c>
      <c r="AB128" s="389">
        <f t="shared" si="23"/>
        <v>0</v>
      </c>
      <c r="AC128" s="389">
        <f t="shared" si="24"/>
        <v>0</v>
      </c>
      <c r="AD128" s="389">
        <f t="shared" si="25"/>
        <v>0</v>
      </c>
    </row>
    <row r="129" spans="1:30" s="390" customFormat="1" ht="15" customHeight="1">
      <c r="A129" s="167">
        <v>118</v>
      </c>
      <c r="B129" s="267" t="str">
        <f>VLOOKUP(A129,'JUNE (물량흐름)'!$A$13:$C$502,2,0)</f>
        <v>ALFANI</v>
      </c>
      <c r="C129" s="240">
        <f>VLOOKUP(A129,'JUNE (물량흐름)'!$A$13:$C$502,3,0)</f>
        <v>100003581</v>
      </c>
      <c r="D129" s="6">
        <f>VLOOKUP(C129,'WIP(재공품)'!$B$12:$E$493,4,0)</f>
        <v>70292.5</v>
      </c>
      <c r="E129" s="6">
        <f>IFERROR(VLOOKUP(C129,O.B.JUNE!$AA$7:$AG$448,2,0),0)</f>
        <v>0</v>
      </c>
      <c r="F129" s="6">
        <f>IFERROR(VLOOKUP(C129,O.B.JUNE!$AA$7:$AG$448,3,0),0)</f>
        <v>0</v>
      </c>
      <c r="G129" s="6">
        <f>IFERROR(VLOOKUP(C129,O.B.JUNE!$AA$7:$AD$448,4,0),0)</f>
        <v>223</v>
      </c>
      <c r="H129" s="6">
        <f t="shared" si="15"/>
        <v>223</v>
      </c>
      <c r="I129" s="6">
        <f>IFERROR(VLOOKUP(C129,O.B.JUNE!$AA$7:$AF$448,6,0),0)</f>
        <v>178</v>
      </c>
      <c r="J129" s="6"/>
      <c r="K129" s="6">
        <f>IFERROR(VLOOKUP(C129,O.B.JUNE!$AA$7:$AG$448,7,0),0)</f>
        <v>3137567</v>
      </c>
      <c r="L129" s="6">
        <f>SUMIF('JUNE (물량흐름)'!$C$13:$C$502,'Direct labour(직접노무비)'!C129,'JUNE (물량흐름)'!$H$13:$H$502)+SUMIF('JUNE (물량흐름)'!$C$13:$C$502,'Direct labour(직접노무비)'!C129,'JUNE (물량흐름)'!$I$13:$I$502)</f>
        <v>0</v>
      </c>
      <c r="M129" s="6">
        <f t="shared" si="16"/>
        <v>0</v>
      </c>
      <c r="N129" s="6">
        <f t="shared" si="17"/>
        <v>0</v>
      </c>
      <c r="O129" s="6">
        <f t="shared" si="26"/>
        <v>0</v>
      </c>
      <c r="P129" s="6">
        <f>SUMIF('JUNE (물량흐름)'!$C$13:$C$502,C129,'JUNE (물량흐름)'!$T$13:$T$502)+SUMIF('JUNE (물량흐름)'!$C$13:$C$502,C129,'JUNE (물량흐름)'!$V$13:$V$502)+SUMIF('JUNE (물량흐름)'!$C$13:$C$502,C129,'JUNE (물량흐름)'!$U$13:$U$502)-SUMIF('JUNE (물량흐름)'!$C$13:$C$502,C129,'JUNE (물량흐름)'!$Y$13:$Y$502)</f>
        <v>0</v>
      </c>
      <c r="Q129" s="6">
        <f t="shared" si="18"/>
        <v>0</v>
      </c>
      <c r="R129" s="6">
        <f>ROUND(IF(ISERROR(VLOOKUP(#REF!,'WIP(재공품)'!$B$12:$AB$38,13,0)),0,VLOOKUP(#REF!,'WIP(재공품)'!$B$12:$AB$38,13,0)),0)</f>
        <v>0</v>
      </c>
      <c r="S129" s="6">
        <f>IF(ISERROR(VLOOKUP(#REF!,'WIP(재공품)'!$B$12:$AB$38,10,0)),0,VLOOKUP(#REF!,'WIP(재공품)'!$B$12:$AB$38,10,0))</f>
        <v>0</v>
      </c>
      <c r="T129" s="6">
        <f>SUMIF('JUNE (물량흐름)'!$C$13:$C$502,'Direct labour(직접노무비)'!C129,'JUNE (물량흐름)'!$Y$13:$Y$502)</f>
        <v>0</v>
      </c>
      <c r="U129" s="6">
        <f t="shared" si="19"/>
        <v>0</v>
      </c>
      <c r="V129" s="6">
        <f>ROUND(SUMIF('JUNE (물량흐름)'!$C$13:$C$502,'Direct labour(직접노무비)'!C129,'JUNE (물량흐름)'!$N$13:$N$502),0)</f>
        <v>0</v>
      </c>
      <c r="W129" s="6">
        <f>ROUND(SUMIF('JUNE (물량흐름)'!$C$13:$C$502,'Direct labour(직접노무비)'!C129,'JUNE (물량흐름)'!$O$13:$O$502),0)</f>
        <v>0</v>
      </c>
      <c r="X129" s="6">
        <f>ROUND(SUMIF('JUNE (물량흐름)'!$C$13:$C$502,'Direct labour(직접노무비)'!C129,'JUNE (물량흐름)'!$P$13:$P$502),0)</f>
        <v>223</v>
      </c>
      <c r="Y129" s="6">
        <f t="shared" si="20"/>
        <v>223</v>
      </c>
      <c r="Z129" s="6">
        <f t="shared" si="21"/>
        <v>178</v>
      </c>
      <c r="AA129" s="6">
        <f t="shared" si="22"/>
        <v>3137567</v>
      </c>
      <c r="AB129" s="389">
        <f t="shared" si="23"/>
        <v>0</v>
      </c>
      <c r="AC129" s="389">
        <f t="shared" si="24"/>
        <v>0</v>
      </c>
      <c r="AD129" s="389">
        <f t="shared" si="25"/>
        <v>0</v>
      </c>
    </row>
    <row r="130" spans="1:30" s="390" customFormat="1" ht="15" customHeight="1">
      <c r="A130" s="167">
        <v>119</v>
      </c>
      <c r="B130" s="267" t="str">
        <f>VLOOKUP(A130,'JUNE (물량흐름)'!$A$13:$C$502,2,0)</f>
        <v>ALFANI</v>
      </c>
      <c r="C130" s="240">
        <f>VLOOKUP(A130,'JUNE (물량흐름)'!$A$13:$C$502,3,0)</f>
        <v>100003599</v>
      </c>
      <c r="D130" s="6">
        <f>VLOOKUP(C130,'WIP(재공품)'!$B$12:$E$493,4,0)</f>
        <v>8163</v>
      </c>
      <c r="E130" s="6">
        <f>IFERROR(VLOOKUP(C130,O.B.JUNE!$AA$7:$AG$448,2,0),0)</f>
        <v>0</v>
      </c>
      <c r="F130" s="6">
        <f>IFERROR(VLOOKUP(C130,O.B.JUNE!$AA$7:$AG$448,3,0),0)</f>
        <v>0</v>
      </c>
      <c r="G130" s="6">
        <f>IFERROR(VLOOKUP(C130,O.B.JUNE!$AA$7:$AD$448,4,0),0)</f>
        <v>92</v>
      </c>
      <c r="H130" s="6">
        <f t="shared" si="15"/>
        <v>92</v>
      </c>
      <c r="I130" s="6">
        <f>IFERROR(VLOOKUP(C130,O.B.JUNE!$AA$7:$AF$448,6,0),0)</f>
        <v>74</v>
      </c>
      <c r="J130" s="6"/>
      <c r="K130" s="6">
        <f>IFERROR(VLOOKUP(C130,O.B.JUNE!$AA$7:$AG$448,7,0),0)</f>
        <v>1073702</v>
      </c>
      <c r="L130" s="6">
        <f>SUMIF('JUNE (물량흐름)'!$C$13:$C$502,'Direct labour(직접노무비)'!C130,'JUNE (물량흐름)'!$H$13:$H$502)+SUMIF('JUNE (물량흐름)'!$C$13:$C$502,'Direct labour(직접노무비)'!C130,'JUNE (물량흐름)'!$I$13:$I$502)</f>
        <v>4614</v>
      </c>
      <c r="M130" s="6">
        <f t="shared" si="16"/>
        <v>4589</v>
      </c>
      <c r="N130" s="6">
        <f t="shared" si="17"/>
        <v>37460007</v>
      </c>
      <c r="O130" s="6">
        <f t="shared" si="26"/>
        <v>11585395</v>
      </c>
      <c r="P130" s="6">
        <f>SUMIF('JUNE (물량흐름)'!$C$13:$C$502,C130,'JUNE (물량흐름)'!$T$13:$T$502)+SUMIF('JUNE (물량흐름)'!$C$13:$C$502,C130,'JUNE (물량흐름)'!$V$13:$V$502)+SUMIF('JUNE (물량흐름)'!$C$13:$C$502,C130,'JUNE (물량흐름)'!$U$13:$U$502)-SUMIF('JUNE (물량흐름)'!$C$13:$C$502,C130,'JUNE (물량흐름)'!$Y$13:$Y$502)</f>
        <v>4602</v>
      </c>
      <c r="Q130" s="6">
        <f t="shared" si="18"/>
        <v>12379338</v>
      </c>
      <c r="R130" s="6">
        <f>ROUND(IF(ISERROR(VLOOKUP(#REF!,'WIP(재공품)'!$B$12:$AB$38,13,0)),0,VLOOKUP(#REF!,'WIP(재공품)'!$B$12:$AB$38,13,0)),0)</f>
        <v>0</v>
      </c>
      <c r="S130" s="6">
        <f>IF(ISERROR(VLOOKUP(#REF!,'WIP(재공품)'!$B$12:$AB$38,10,0)),0,VLOOKUP(#REF!,'WIP(재공품)'!$B$12:$AB$38,10,0))</f>
        <v>0</v>
      </c>
      <c r="T130" s="6">
        <f>SUMIF('JUNE (물량흐름)'!$C$13:$C$502,'Direct labour(직접노무비)'!C130,'JUNE (물량흐름)'!$Y$13:$Y$502)</f>
        <v>0</v>
      </c>
      <c r="U130" s="6">
        <f t="shared" si="19"/>
        <v>0</v>
      </c>
      <c r="V130" s="6">
        <f>ROUND(SUMIF('JUNE (물량흐름)'!$C$13:$C$502,'Direct labour(직접노무비)'!C130,'JUNE (물량흐름)'!$N$13:$N$502),0)</f>
        <v>0</v>
      </c>
      <c r="W130" s="6">
        <f>ROUND(SUMIF('JUNE (물량흐름)'!$C$13:$C$502,'Direct labour(직접노무비)'!C130,'JUNE (물량흐름)'!$O$13:$O$502),0)</f>
        <v>74</v>
      </c>
      <c r="X130" s="6">
        <f>ROUND(SUMIF('JUNE (물량흐름)'!$C$13:$C$502,'Direct labour(직접노무비)'!C130,'JUNE (물량흐름)'!$P$13:$P$502),0)</f>
        <v>30</v>
      </c>
      <c r="Y130" s="6">
        <f t="shared" si="20"/>
        <v>104</v>
      </c>
      <c r="Z130" s="6">
        <f t="shared" si="21"/>
        <v>61</v>
      </c>
      <c r="AA130" s="6">
        <f t="shared" si="22"/>
        <v>279759</v>
      </c>
      <c r="AB130" s="389">
        <f t="shared" si="23"/>
        <v>0</v>
      </c>
      <c r="AC130" s="389">
        <f t="shared" si="24"/>
        <v>0</v>
      </c>
      <c r="AD130" s="389">
        <f t="shared" si="25"/>
        <v>0</v>
      </c>
    </row>
    <row r="131" spans="1:30" s="390" customFormat="1" ht="15" customHeight="1">
      <c r="A131" s="167">
        <v>120</v>
      </c>
      <c r="B131" s="267" t="str">
        <f>VLOOKUP(A131,'JUNE (물량흐름)'!$A$13:$C$502,2,0)</f>
        <v>ALFANI</v>
      </c>
      <c r="C131" s="240">
        <f>VLOOKUP(A131,'JUNE (물량흐름)'!$A$13:$C$502,3,0)</f>
        <v>100016414</v>
      </c>
      <c r="D131" s="6">
        <f>VLOOKUP(C131,'WIP(재공품)'!$B$12:$E$493,4,0)</f>
        <v>7936.2499999999991</v>
      </c>
      <c r="E131" s="6">
        <f>IFERROR(VLOOKUP(C131,O.B.JUNE!$AA$7:$AG$448,2,0),0)</f>
        <v>0</v>
      </c>
      <c r="F131" s="6">
        <f>IFERROR(VLOOKUP(C131,O.B.JUNE!$AA$7:$AG$448,3,0),0)</f>
        <v>0</v>
      </c>
      <c r="G131" s="6">
        <f>IFERROR(VLOOKUP(C131,O.B.JUNE!$AA$7:$AD$448,4,0),0)</f>
        <v>41</v>
      </c>
      <c r="H131" s="6">
        <f t="shared" si="15"/>
        <v>41</v>
      </c>
      <c r="I131" s="6">
        <f>IFERROR(VLOOKUP(C131,O.B.JUNE!$AA$7:$AF$448,6,0),0)</f>
        <v>33</v>
      </c>
      <c r="J131" s="6"/>
      <c r="K131" s="6">
        <f>IFERROR(VLOOKUP(C131,O.B.JUNE!$AA$7:$AG$448,7,0),0)</f>
        <v>463550</v>
      </c>
      <c r="L131" s="6">
        <f>SUMIF('JUNE (물량흐름)'!$C$13:$C$502,'Direct labour(직접노무비)'!C131,'JUNE (물량흐름)'!$H$13:$H$502)+SUMIF('JUNE (물량흐름)'!$C$13:$C$502,'Direct labour(직접노무비)'!C131,'JUNE (물량흐름)'!$I$13:$I$502)</f>
        <v>0</v>
      </c>
      <c r="M131" s="6">
        <f t="shared" si="16"/>
        <v>0</v>
      </c>
      <c r="N131" s="6">
        <f t="shared" si="17"/>
        <v>0</v>
      </c>
      <c r="O131" s="6">
        <f t="shared" si="26"/>
        <v>0</v>
      </c>
      <c r="P131" s="6">
        <f>SUMIF('JUNE (물량흐름)'!$C$13:$C$502,C131,'JUNE (물량흐름)'!$T$13:$T$502)+SUMIF('JUNE (물량흐름)'!$C$13:$C$502,C131,'JUNE (물량흐름)'!$V$13:$V$502)+SUMIF('JUNE (물량흐름)'!$C$13:$C$502,C131,'JUNE (물량흐름)'!$U$13:$U$502)-SUMIF('JUNE (물량흐름)'!$C$13:$C$502,C131,'JUNE (물량흐름)'!$Y$13:$Y$502)</f>
        <v>0</v>
      </c>
      <c r="Q131" s="6">
        <f t="shared" si="18"/>
        <v>0</v>
      </c>
      <c r="R131" s="6">
        <f>ROUND(IF(ISERROR(VLOOKUP(#REF!,'WIP(재공품)'!$B$12:$AB$38,13,0)),0,VLOOKUP(#REF!,'WIP(재공품)'!$B$12:$AB$38,13,0)),0)</f>
        <v>0</v>
      </c>
      <c r="S131" s="6">
        <f>IF(ISERROR(VLOOKUP(#REF!,'WIP(재공품)'!$B$12:$AB$38,10,0)),0,VLOOKUP(#REF!,'WIP(재공품)'!$B$12:$AB$38,10,0))</f>
        <v>0</v>
      </c>
      <c r="T131" s="6">
        <f>SUMIF('JUNE (물량흐름)'!$C$13:$C$502,'Direct labour(직접노무비)'!C131,'JUNE (물량흐름)'!$Y$13:$Y$502)</f>
        <v>0</v>
      </c>
      <c r="U131" s="6">
        <f t="shared" si="19"/>
        <v>0</v>
      </c>
      <c r="V131" s="6">
        <f>ROUND(SUMIF('JUNE (물량흐름)'!$C$13:$C$502,'Direct labour(직접노무비)'!C131,'JUNE (물량흐름)'!$N$13:$N$502),0)</f>
        <v>0</v>
      </c>
      <c r="W131" s="6">
        <f>ROUND(SUMIF('JUNE (물량흐름)'!$C$13:$C$502,'Direct labour(직접노무비)'!C131,'JUNE (물량흐름)'!$O$13:$O$502),0)</f>
        <v>0</v>
      </c>
      <c r="X131" s="6">
        <f>ROUND(SUMIF('JUNE (물량흐름)'!$C$13:$C$502,'Direct labour(직접노무비)'!C131,'JUNE (물량흐름)'!$P$13:$P$502),0)</f>
        <v>41</v>
      </c>
      <c r="Y131" s="6">
        <f t="shared" si="20"/>
        <v>41</v>
      </c>
      <c r="Z131" s="6">
        <f t="shared" si="21"/>
        <v>33</v>
      </c>
      <c r="AA131" s="6">
        <f t="shared" si="22"/>
        <v>463550</v>
      </c>
      <c r="AB131" s="389">
        <f t="shared" si="23"/>
        <v>0</v>
      </c>
      <c r="AC131" s="389">
        <f t="shared" si="24"/>
        <v>0</v>
      </c>
      <c r="AD131" s="389">
        <f t="shared" si="25"/>
        <v>0</v>
      </c>
    </row>
    <row r="132" spans="1:30" s="390" customFormat="1" ht="15" customHeight="1">
      <c r="A132" s="167">
        <v>121</v>
      </c>
      <c r="B132" s="267" t="str">
        <f>VLOOKUP(A132,'JUNE (물량흐름)'!$A$13:$C$502,2,0)</f>
        <v>ALFANI</v>
      </c>
      <c r="C132" s="240">
        <f>VLOOKUP(A132,'JUNE (물량흐름)'!$A$13:$C$502,3,0)</f>
        <v>69216</v>
      </c>
      <c r="D132" s="6">
        <f>VLOOKUP(C132,'WIP(재공품)'!$B$12:$E$493,4,0)</f>
        <v>7936.2499999999991</v>
      </c>
      <c r="E132" s="6">
        <f>IFERROR(VLOOKUP(C132,O.B.JUNE!$AA$7:$AG$448,2,0),0)</f>
        <v>0</v>
      </c>
      <c r="F132" s="6">
        <f>IFERROR(VLOOKUP(C132,O.B.JUNE!$AA$7:$AG$448,3,0),0)</f>
        <v>0</v>
      </c>
      <c r="G132" s="6">
        <f>IFERROR(VLOOKUP(C132,O.B.JUNE!$AA$7:$AD$448,4,0),0)</f>
        <v>302</v>
      </c>
      <c r="H132" s="6">
        <f t="shared" si="15"/>
        <v>302</v>
      </c>
      <c r="I132" s="6">
        <f>IFERROR(VLOOKUP(C132,O.B.JUNE!$AA$7:$AF$448,6,0),0)</f>
        <v>242</v>
      </c>
      <c r="J132" s="6"/>
      <c r="K132" s="6">
        <f>IFERROR(VLOOKUP(C132,O.B.JUNE!$AA$7:$AG$448,7,0),0)</f>
        <v>1510265</v>
      </c>
      <c r="L132" s="6">
        <f>SUMIF('JUNE (물량흐름)'!$C$13:$C$502,'Direct labour(직접노무비)'!C132,'JUNE (물량흐름)'!$H$13:$H$502)+SUMIF('JUNE (물량흐름)'!$C$13:$C$502,'Direct labour(직접노무비)'!C132,'JUNE (물량흐름)'!$I$13:$I$502)</f>
        <v>0</v>
      </c>
      <c r="M132" s="6">
        <f t="shared" si="16"/>
        <v>0</v>
      </c>
      <c r="N132" s="6">
        <f t="shared" si="17"/>
        <v>0</v>
      </c>
      <c r="O132" s="6">
        <f t="shared" si="26"/>
        <v>0</v>
      </c>
      <c r="P132" s="6">
        <f>SUMIF('JUNE (물량흐름)'!$C$13:$C$502,C132,'JUNE (물량흐름)'!$T$13:$T$502)+SUMIF('JUNE (물량흐름)'!$C$13:$C$502,C132,'JUNE (물량흐름)'!$V$13:$V$502)+SUMIF('JUNE (물량흐름)'!$C$13:$C$502,C132,'JUNE (물량흐름)'!$U$13:$U$502)-SUMIF('JUNE (물량흐름)'!$C$13:$C$502,C132,'JUNE (물량흐름)'!$Y$13:$Y$502)</f>
        <v>302</v>
      </c>
      <c r="Q132" s="6">
        <f t="shared" si="18"/>
        <v>1510265</v>
      </c>
      <c r="R132" s="6">
        <f>ROUND(IF(ISERROR(VLOOKUP(#REF!,'WIP(재공품)'!$B$12:$AB$38,13,0)),0,VLOOKUP(#REF!,'WIP(재공품)'!$B$12:$AB$38,13,0)),0)</f>
        <v>0</v>
      </c>
      <c r="S132" s="6">
        <f>IF(ISERROR(VLOOKUP(#REF!,'WIP(재공품)'!$B$12:$AB$38,10,0)),0,VLOOKUP(#REF!,'WIP(재공품)'!$B$12:$AB$38,10,0))</f>
        <v>0</v>
      </c>
      <c r="T132" s="6">
        <f>SUMIF('JUNE (물량흐름)'!$C$13:$C$502,'Direct labour(직접노무비)'!C132,'JUNE (물량흐름)'!$Y$13:$Y$502)</f>
        <v>0</v>
      </c>
      <c r="U132" s="6">
        <f t="shared" si="19"/>
        <v>0</v>
      </c>
      <c r="V132" s="6">
        <f>ROUND(SUMIF('JUNE (물량흐름)'!$C$13:$C$502,'Direct labour(직접노무비)'!C132,'JUNE (물량흐름)'!$N$13:$N$502),0)</f>
        <v>0</v>
      </c>
      <c r="W132" s="6">
        <f>ROUND(SUMIF('JUNE (물량흐름)'!$C$13:$C$502,'Direct labour(직접노무비)'!C132,'JUNE (물량흐름)'!$O$13:$O$502),0)</f>
        <v>0</v>
      </c>
      <c r="X132" s="6">
        <f>ROUND(SUMIF('JUNE (물량흐름)'!$C$13:$C$502,'Direct labour(직접노무비)'!C132,'JUNE (물량흐름)'!$P$13:$P$502),0)</f>
        <v>0</v>
      </c>
      <c r="Y132" s="6">
        <f t="shared" si="20"/>
        <v>0</v>
      </c>
      <c r="Z132" s="6">
        <f t="shared" si="21"/>
        <v>0</v>
      </c>
      <c r="AA132" s="6">
        <f t="shared" si="22"/>
        <v>0</v>
      </c>
      <c r="AB132" s="389">
        <f t="shared" si="23"/>
        <v>0</v>
      </c>
      <c r="AC132" s="389">
        <f t="shared" si="24"/>
        <v>0</v>
      </c>
      <c r="AD132" s="389">
        <f t="shared" si="25"/>
        <v>0</v>
      </c>
    </row>
    <row r="133" spans="1:30" s="390" customFormat="1" ht="15" customHeight="1">
      <c r="A133" s="167">
        <v>123</v>
      </c>
      <c r="B133" s="267" t="str">
        <f>VLOOKUP(A133,'JUNE (물량흐름)'!$A$13:$C$502,2,0)</f>
        <v>ANN TAYLOR</v>
      </c>
      <c r="C133" s="240">
        <f>VLOOKUP(A133,'JUNE (물량흐름)'!$A$13:$C$502,3,0)</f>
        <v>451230</v>
      </c>
      <c r="D133" s="6">
        <f>VLOOKUP(C133,'WIP(재공품)'!$B$12:$E$493,4,0)</f>
        <v>7936.2499999999991</v>
      </c>
      <c r="E133" s="6">
        <f>IFERROR(VLOOKUP(C133,O.B.JUNE!$AA$7:$AG$448,2,0),0)</f>
        <v>0</v>
      </c>
      <c r="F133" s="6">
        <f>IFERROR(VLOOKUP(C133,O.B.JUNE!$AA$7:$AG$448,3,0),0)</f>
        <v>0</v>
      </c>
      <c r="G133" s="6">
        <f>IFERROR(VLOOKUP(C133,O.B.JUNE!$AA$7:$AD$448,4,0),0)</f>
        <v>866</v>
      </c>
      <c r="H133" s="6">
        <f t="shared" si="15"/>
        <v>866</v>
      </c>
      <c r="I133" s="6">
        <f>IFERROR(VLOOKUP(C133,O.B.JUNE!$AA$7:$AF$448,6,0),0)</f>
        <v>693</v>
      </c>
      <c r="J133" s="6"/>
      <c r="K133" s="6">
        <f>IFERROR(VLOOKUP(C133,O.B.JUNE!$AA$7:$AG$448,7,0),0)</f>
        <v>9820745</v>
      </c>
      <c r="L133" s="6">
        <f>SUMIF('JUNE (물량흐름)'!$C$13:$C$502,'Direct labour(직접노무비)'!C133,'JUNE (물량흐름)'!$H$13:$H$502)+SUMIF('JUNE (물량흐름)'!$C$13:$C$502,'Direct labour(직접노무비)'!C133,'JUNE (물량흐름)'!$I$13:$I$502)</f>
        <v>0</v>
      </c>
      <c r="M133" s="6">
        <f t="shared" si="16"/>
        <v>0</v>
      </c>
      <c r="N133" s="6">
        <f t="shared" si="17"/>
        <v>0</v>
      </c>
      <c r="O133" s="6">
        <f t="shared" si="26"/>
        <v>0</v>
      </c>
      <c r="P133" s="6">
        <f>SUMIF('JUNE (물량흐름)'!$C$13:$C$502,C133,'JUNE (물량흐름)'!$T$13:$T$502)+SUMIF('JUNE (물량흐름)'!$C$13:$C$502,C133,'JUNE (물량흐름)'!$V$13:$V$502)+SUMIF('JUNE (물량흐름)'!$C$13:$C$502,C133,'JUNE (물량흐름)'!$U$13:$U$502)-SUMIF('JUNE (물량흐름)'!$C$13:$C$502,C133,'JUNE (물량흐름)'!$Y$13:$Y$502)</f>
        <v>866</v>
      </c>
      <c r="Q133" s="6">
        <f t="shared" si="18"/>
        <v>9820745</v>
      </c>
      <c r="R133" s="6">
        <f>ROUND(IF(ISERROR(VLOOKUP(#REF!,'WIP(재공품)'!$B$12:$AB$38,13,0)),0,VLOOKUP(#REF!,'WIP(재공품)'!$B$12:$AB$38,13,0)),0)</f>
        <v>0</v>
      </c>
      <c r="S133" s="6">
        <f>IF(ISERROR(VLOOKUP(#REF!,'WIP(재공품)'!$B$12:$AB$38,10,0)),0,VLOOKUP(#REF!,'WIP(재공품)'!$B$12:$AB$38,10,0))</f>
        <v>0</v>
      </c>
      <c r="T133" s="6">
        <f>SUMIF('JUNE (물량흐름)'!$C$13:$C$502,'Direct labour(직접노무비)'!C133,'JUNE (물량흐름)'!$Y$13:$Y$502)</f>
        <v>0</v>
      </c>
      <c r="U133" s="6">
        <f t="shared" si="19"/>
        <v>0</v>
      </c>
      <c r="V133" s="6">
        <f>ROUND(SUMIF('JUNE (물량흐름)'!$C$13:$C$502,'Direct labour(직접노무비)'!C133,'JUNE (물량흐름)'!$N$13:$N$502),0)</f>
        <v>0</v>
      </c>
      <c r="W133" s="6">
        <f>ROUND(SUMIF('JUNE (물량흐름)'!$C$13:$C$502,'Direct labour(직접노무비)'!C133,'JUNE (물량흐름)'!$O$13:$O$502),0)</f>
        <v>0</v>
      </c>
      <c r="X133" s="6">
        <f>ROUND(SUMIF('JUNE (물량흐름)'!$C$13:$C$502,'Direct labour(직접노무비)'!C133,'JUNE (물량흐름)'!$P$13:$P$502),0)</f>
        <v>0</v>
      </c>
      <c r="Y133" s="6">
        <f t="shared" si="20"/>
        <v>0</v>
      </c>
      <c r="Z133" s="6">
        <f t="shared" si="21"/>
        <v>0</v>
      </c>
      <c r="AA133" s="6">
        <f t="shared" si="22"/>
        <v>0</v>
      </c>
      <c r="AB133" s="389">
        <f t="shared" si="23"/>
        <v>0</v>
      </c>
      <c r="AC133" s="389">
        <f t="shared" si="24"/>
        <v>0</v>
      </c>
      <c r="AD133" s="389">
        <f t="shared" si="25"/>
        <v>0</v>
      </c>
    </row>
    <row r="134" spans="1:30" s="390" customFormat="1" ht="15" customHeight="1">
      <c r="A134" s="167">
        <v>124</v>
      </c>
      <c r="B134" s="267" t="str">
        <f>VLOOKUP(A134,'JUNE (물량흐름)'!$A$13:$C$502,2,0)</f>
        <v>ANN TAYLOR</v>
      </c>
      <c r="C134" s="240">
        <f>VLOOKUP(A134,'JUNE (물량흐름)'!$A$13:$C$502,3,0)</f>
        <v>451311</v>
      </c>
      <c r="D134" s="6">
        <f>VLOOKUP(C134,'WIP(재공품)'!$B$12:$E$493,4,0)</f>
        <v>8163</v>
      </c>
      <c r="E134" s="6">
        <f>IFERROR(VLOOKUP(C134,O.B.JUNE!$AA$7:$AG$448,2,0),0)</f>
        <v>0</v>
      </c>
      <c r="F134" s="6">
        <f>IFERROR(VLOOKUP(C134,O.B.JUNE!$AA$7:$AG$448,3,0),0)</f>
        <v>0</v>
      </c>
      <c r="G134" s="6">
        <f>IFERROR(VLOOKUP(C134,O.B.JUNE!$AA$7:$AD$448,4,0),0)</f>
        <v>292</v>
      </c>
      <c r="H134" s="6">
        <f t="shared" si="15"/>
        <v>292</v>
      </c>
      <c r="I134" s="6">
        <f>IFERROR(VLOOKUP(C134,O.B.JUNE!$AA$7:$AF$448,6,0),0)</f>
        <v>234</v>
      </c>
      <c r="J134" s="6"/>
      <c r="K134" s="6">
        <f>IFERROR(VLOOKUP(C134,O.B.JUNE!$AA$7:$AG$448,7,0),0)</f>
        <v>1091696</v>
      </c>
      <c r="L134" s="6">
        <f>SUMIF('JUNE (물량흐름)'!$C$13:$C$502,'Direct labour(직접노무비)'!C134,'JUNE (물량흐름)'!$H$13:$H$502)+SUMIF('JUNE (물량흐름)'!$C$13:$C$502,'Direct labour(직접노무비)'!C134,'JUNE (물량흐름)'!$I$13:$I$502)</f>
        <v>0</v>
      </c>
      <c r="M134" s="6">
        <f t="shared" si="16"/>
        <v>0</v>
      </c>
      <c r="N134" s="6">
        <f t="shared" si="17"/>
        <v>0</v>
      </c>
      <c r="O134" s="6">
        <f t="shared" si="26"/>
        <v>0</v>
      </c>
      <c r="P134" s="6">
        <f>SUMIF('JUNE (물량흐름)'!$C$13:$C$502,C134,'JUNE (물량흐름)'!$T$13:$T$502)+SUMIF('JUNE (물량흐름)'!$C$13:$C$502,C134,'JUNE (물량흐름)'!$V$13:$V$502)+SUMIF('JUNE (물량흐름)'!$C$13:$C$502,C134,'JUNE (물량흐름)'!$U$13:$U$502)-SUMIF('JUNE (물량흐름)'!$C$13:$C$502,C134,'JUNE (물량흐름)'!$Y$13:$Y$502)</f>
        <v>292</v>
      </c>
      <c r="Q134" s="6">
        <f t="shared" si="18"/>
        <v>1091696</v>
      </c>
      <c r="R134" s="6">
        <f>ROUND(IF(ISERROR(VLOOKUP(#REF!,'WIP(재공품)'!$B$12:$AB$38,13,0)),0,VLOOKUP(#REF!,'WIP(재공품)'!$B$12:$AB$38,13,0)),0)</f>
        <v>0</v>
      </c>
      <c r="S134" s="6">
        <f>IF(ISERROR(VLOOKUP(#REF!,'WIP(재공품)'!$B$12:$AB$38,10,0)),0,VLOOKUP(#REF!,'WIP(재공품)'!$B$12:$AB$38,10,0))</f>
        <v>0</v>
      </c>
      <c r="T134" s="6">
        <f>SUMIF('JUNE (물량흐름)'!$C$13:$C$502,'Direct labour(직접노무비)'!C134,'JUNE (물량흐름)'!$Y$13:$Y$502)</f>
        <v>0</v>
      </c>
      <c r="U134" s="6">
        <f t="shared" si="19"/>
        <v>0</v>
      </c>
      <c r="V134" s="6">
        <f>ROUND(SUMIF('JUNE (물량흐름)'!$C$13:$C$502,'Direct labour(직접노무비)'!C134,'JUNE (물량흐름)'!$N$13:$N$502),0)</f>
        <v>0</v>
      </c>
      <c r="W134" s="6">
        <f>ROUND(SUMIF('JUNE (물량흐름)'!$C$13:$C$502,'Direct labour(직접노무비)'!C134,'JUNE (물량흐름)'!$O$13:$O$502),0)</f>
        <v>0</v>
      </c>
      <c r="X134" s="6">
        <f>ROUND(SUMIF('JUNE (물량흐름)'!$C$13:$C$502,'Direct labour(직접노무비)'!C134,'JUNE (물량흐름)'!$P$13:$P$502),0)</f>
        <v>0</v>
      </c>
      <c r="Y134" s="6">
        <f t="shared" si="20"/>
        <v>0</v>
      </c>
      <c r="Z134" s="6">
        <f t="shared" si="21"/>
        <v>0</v>
      </c>
      <c r="AA134" s="6">
        <f t="shared" si="22"/>
        <v>0</v>
      </c>
      <c r="AB134" s="389">
        <f t="shared" si="23"/>
        <v>0</v>
      </c>
      <c r="AC134" s="389">
        <f t="shared" si="24"/>
        <v>0</v>
      </c>
      <c r="AD134" s="389">
        <f t="shared" si="25"/>
        <v>0</v>
      </c>
    </row>
    <row r="135" spans="1:30" s="390" customFormat="1" ht="15" customHeight="1">
      <c r="A135" s="167">
        <v>125</v>
      </c>
      <c r="B135" s="267" t="str">
        <f>VLOOKUP(A135,'JUNE (물량흐름)'!$A$13:$C$502,2,0)</f>
        <v>ANN TAYLOR</v>
      </c>
      <c r="C135" s="240">
        <f>VLOOKUP(A135,'JUNE (물량흐름)'!$A$13:$C$502,3,0)</f>
        <v>451365</v>
      </c>
      <c r="D135" s="6">
        <f>VLOOKUP(C135,'WIP(재공품)'!$B$12:$E$493,4,0)</f>
        <v>7936.2499999999991</v>
      </c>
      <c r="E135" s="6">
        <f>IFERROR(VLOOKUP(C135,O.B.JUNE!$AA$7:$AG$448,2,0),0)</f>
        <v>0</v>
      </c>
      <c r="F135" s="6">
        <f>IFERROR(VLOOKUP(C135,O.B.JUNE!$AA$7:$AG$448,3,0),0)</f>
        <v>0</v>
      </c>
      <c r="G135" s="6">
        <f>IFERROR(VLOOKUP(C135,O.B.JUNE!$AA$7:$AD$448,4,0),0)</f>
        <v>386</v>
      </c>
      <c r="H135" s="6">
        <f t="shared" si="15"/>
        <v>386</v>
      </c>
      <c r="I135" s="6">
        <f>IFERROR(VLOOKUP(C135,O.B.JUNE!$AA$7:$AF$448,6,0),0)</f>
        <v>309</v>
      </c>
      <c r="J135" s="6"/>
      <c r="K135" s="6">
        <f>IFERROR(VLOOKUP(C135,O.B.JUNE!$AA$7:$AG$448,7,0),0)</f>
        <v>1470591</v>
      </c>
      <c r="L135" s="6">
        <f>SUMIF('JUNE (물량흐름)'!$C$13:$C$502,'Direct labour(직접노무비)'!C135,'JUNE (물량흐름)'!$H$13:$H$502)+SUMIF('JUNE (물량흐름)'!$C$13:$C$502,'Direct labour(직접노무비)'!C135,'JUNE (물량흐름)'!$I$13:$I$502)</f>
        <v>0</v>
      </c>
      <c r="M135" s="6">
        <f t="shared" si="16"/>
        <v>0</v>
      </c>
      <c r="N135" s="6">
        <f t="shared" si="17"/>
        <v>0</v>
      </c>
      <c r="O135" s="6">
        <f t="shared" si="26"/>
        <v>0</v>
      </c>
      <c r="P135" s="6">
        <f>SUMIF('JUNE (물량흐름)'!$C$13:$C$502,C135,'JUNE (물량흐름)'!$T$13:$T$502)+SUMIF('JUNE (물량흐름)'!$C$13:$C$502,C135,'JUNE (물량흐름)'!$V$13:$V$502)+SUMIF('JUNE (물량흐름)'!$C$13:$C$502,C135,'JUNE (물량흐름)'!$U$13:$U$502)-SUMIF('JUNE (물량흐름)'!$C$13:$C$502,C135,'JUNE (물량흐름)'!$Y$13:$Y$502)</f>
        <v>386</v>
      </c>
      <c r="Q135" s="6">
        <f t="shared" si="18"/>
        <v>1470591</v>
      </c>
      <c r="R135" s="6">
        <f>ROUND(IF(ISERROR(VLOOKUP(#REF!,'WIP(재공품)'!$B$12:$AB$38,13,0)),0,VLOOKUP(#REF!,'WIP(재공품)'!$B$12:$AB$38,13,0)),0)</f>
        <v>0</v>
      </c>
      <c r="S135" s="6">
        <f>IF(ISERROR(VLOOKUP(#REF!,'WIP(재공품)'!$B$12:$AB$38,10,0)),0,VLOOKUP(#REF!,'WIP(재공품)'!$B$12:$AB$38,10,0))</f>
        <v>0</v>
      </c>
      <c r="T135" s="6">
        <f>SUMIF('JUNE (물량흐름)'!$C$13:$C$502,'Direct labour(직접노무비)'!C135,'JUNE (물량흐름)'!$Y$13:$Y$502)</f>
        <v>0</v>
      </c>
      <c r="U135" s="6">
        <f t="shared" si="19"/>
        <v>0</v>
      </c>
      <c r="V135" s="6">
        <f>ROUND(SUMIF('JUNE (물량흐름)'!$C$13:$C$502,'Direct labour(직접노무비)'!C135,'JUNE (물량흐름)'!$N$13:$N$502),0)</f>
        <v>0</v>
      </c>
      <c r="W135" s="6">
        <f>ROUND(SUMIF('JUNE (물량흐름)'!$C$13:$C$502,'Direct labour(직접노무비)'!C135,'JUNE (물량흐름)'!$O$13:$O$502),0)</f>
        <v>0</v>
      </c>
      <c r="X135" s="6">
        <f>ROUND(SUMIF('JUNE (물량흐름)'!$C$13:$C$502,'Direct labour(직접노무비)'!C135,'JUNE (물량흐름)'!$P$13:$P$502),0)</f>
        <v>0</v>
      </c>
      <c r="Y135" s="6">
        <f t="shared" si="20"/>
        <v>0</v>
      </c>
      <c r="Z135" s="6">
        <f t="shared" si="21"/>
        <v>0</v>
      </c>
      <c r="AA135" s="6">
        <f t="shared" si="22"/>
        <v>0</v>
      </c>
      <c r="AB135" s="389">
        <f t="shared" si="23"/>
        <v>0</v>
      </c>
      <c r="AC135" s="389">
        <f t="shared" si="24"/>
        <v>0</v>
      </c>
      <c r="AD135" s="389">
        <f t="shared" si="25"/>
        <v>0</v>
      </c>
    </row>
    <row r="136" spans="1:30" s="390" customFormat="1" ht="15" customHeight="1">
      <c r="A136" s="167">
        <v>126</v>
      </c>
      <c r="B136" s="267" t="str">
        <f>VLOOKUP(A136,'JUNE (물량흐름)'!$A$13:$C$502,2,0)</f>
        <v>ANN TAYLOR</v>
      </c>
      <c r="C136" s="240">
        <f>VLOOKUP(A136,'JUNE (물량흐름)'!$A$13:$C$502,3,0)</f>
        <v>453089</v>
      </c>
      <c r="D136" s="6">
        <f>VLOOKUP(C136,'WIP(재공품)'!$B$12:$E$493,4,0)</f>
        <v>7936.2499999999991</v>
      </c>
      <c r="E136" s="6">
        <f>IFERROR(VLOOKUP(C136,O.B.JUNE!$AA$7:$AG$448,2,0),0)</f>
        <v>0</v>
      </c>
      <c r="F136" s="6">
        <f>IFERROR(VLOOKUP(C136,O.B.JUNE!$AA$7:$AG$448,3,0),0)</f>
        <v>0</v>
      </c>
      <c r="G136" s="6">
        <f>IFERROR(VLOOKUP(C136,O.B.JUNE!$AA$7:$AD$448,4,0),0)</f>
        <v>323</v>
      </c>
      <c r="H136" s="6">
        <f t="shared" si="15"/>
        <v>323</v>
      </c>
      <c r="I136" s="6">
        <f>IFERROR(VLOOKUP(C136,O.B.JUNE!$AA$7:$AF$448,6,0),0)</f>
        <v>258</v>
      </c>
      <c r="J136" s="6"/>
      <c r="K136" s="6">
        <f>IFERROR(VLOOKUP(C136,O.B.JUNE!$AA$7:$AG$448,7,0),0)</f>
        <v>1289573</v>
      </c>
      <c r="L136" s="6">
        <f>SUMIF('JUNE (물량흐름)'!$C$13:$C$502,'Direct labour(직접노무비)'!C136,'JUNE (물량흐름)'!$H$13:$H$502)+SUMIF('JUNE (물량흐름)'!$C$13:$C$502,'Direct labour(직접노무비)'!C136,'JUNE (물량흐름)'!$I$13:$I$502)</f>
        <v>0</v>
      </c>
      <c r="M136" s="6">
        <f t="shared" si="16"/>
        <v>0</v>
      </c>
      <c r="N136" s="6">
        <f t="shared" si="17"/>
        <v>0</v>
      </c>
      <c r="O136" s="6">
        <f t="shared" si="26"/>
        <v>0</v>
      </c>
      <c r="P136" s="6">
        <f>SUMIF('JUNE (물량흐름)'!$C$13:$C$502,C136,'JUNE (물량흐름)'!$T$13:$T$502)+SUMIF('JUNE (물량흐름)'!$C$13:$C$502,C136,'JUNE (물량흐름)'!$V$13:$V$502)+SUMIF('JUNE (물량흐름)'!$C$13:$C$502,C136,'JUNE (물량흐름)'!$U$13:$U$502)-SUMIF('JUNE (물량흐름)'!$C$13:$C$502,C136,'JUNE (물량흐름)'!$Y$13:$Y$502)</f>
        <v>323</v>
      </c>
      <c r="Q136" s="6">
        <f t="shared" si="18"/>
        <v>1289573</v>
      </c>
      <c r="R136" s="6">
        <f>ROUND(IF(ISERROR(VLOOKUP(#REF!,'WIP(재공품)'!$B$12:$AB$38,13,0)),0,VLOOKUP(#REF!,'WIP(재공품)'!$B$12:$AB$38,13,0)),0)</f>
        <v>0</v>
      </c>
      <c r="S136" s="6">
        <f>IF(ISERROR(VLOOKUP(#REF!,'WIP(재공품)'!$B$12:$AB$38,10,0)),0,VLOOKUP(#REF!,'WIP(재공품)'!$B$12:$AB$38,10,0))</f>
        <v>0</v>
      </c>
      <c r="T136" s="6">
        <f>SUMIF('JUNE (물량흐름)'!$C$13:$C$502,'Direct labour(직접노무비)'!C136,'JUNE (물량흐름)'!$Y$13:$Y$502)</f>
        <v>0</v>
      </c>
      <c r="U136" s="6">
        <f t="shared" si="19"/>
        <v>0</v>
      </c>
      <c r="V136" s="6">
        <f>ROUND(SUMIF('JUNE (물량흐름)'!$C$13:$C$502,'Direct labour(직접노무비)'!C136,'JUNE (물량흐름)'!$N$13:$N$502),0)</f>
        <v>0</v>
      </c>
      <c r="W136" s="6">
        <f>ROUND(SUMIF('JUNE (물량흐름)'!$C$13:$C$502,'Direct labour(직접노무비)'!C136,'JUNE (물량흐름)'!$O$13:$O$502),0)</f>
        <v>0</v>
      </c>
      <c r="X136" s="6">
        <f>ROUND(SUMIF('JUNE (물량흐름)'!$C$13:$C$502,'Direct labour(직접노무비)'!C136,'JUNE (물량흐름)'!$P$13:$P$502),0)</f>
        <v>0</v>
      </c>
      <c r="Y136" s="6">
        <f t="shared" si="20"/>
        <v>0</v>
      </c>
      <c r="Z136" s="6">
        <f t="shared" si="21"/>
        <v>0</v>
      </c>
      <c r="AA136" s="6">
        <f t="shared" si="22"/>
        <v>0</v>
      </c>
      <c r="AB136" s="389">
        <f t="shared" si="23"/>
        <v>0</v>
      </c>
      <c r="AC136" s="389">
        <f t="shared" si="24"/>
        <v>0</v>
      </c>
      <c r="AD136" s="389">
        <f t="shared" si="25"/>
        <v>0</v>
      </c>
    </row>
    <row r="137" spans="1:30" s="390" customFormat="1" ht="15" customHeight="1">
      <c r="A137" s="167">
        <v>127</v>
      </c>
      <c r="B137" s="267" t="str">
        <f>VLOOKUP(A137,'JUNE (물량흐름)'!$A$13:$C$502,2,0)</f>
        <v>ANN TAYLOR</v>
      </c>
      <c r="C137" s="240" t="str">
        <f>VLOOKUP(A137,'JUNE (물량흐름)'!$A$13:$C$502,3,0)</f>
        <v>453289(456581)</v>
      </c>
      <c r="D137" s="6">
        <f>VLOOKUP(C137,'WIP(재공품)'!$B$12:$E$493,4,0)</f>
        <v>13605</v>
      </c>
      <c r="E137" s="6">
        <f>IFERROR(VLOOKUP(C137,O.B.JUNE!$AA$7:$AG$448,2,0),0)</f>
        <v>0</v>
      </c>
      <c r="F137" s="6">
        <f>IFERROR(VLOOKUP(C137,O.B.JUNE!$AA$7:$AG$448,3,0),0)</f>
        <v>0</v>
      </c>
      <c r="G137" s="6">
        <f>IFERROR(VLOOKUP(C137,O.B.JUNE!$AA$7:$AD$448,4,0),0)</f>
        <v>1964</v>
      </c>
      <c r="H137" s="6">
        <f t="shared" si="15"/>
        <v>1964</v>
      </c>
      <c r="I137" s="6">
        <f>IFERROR(VLOOKUP(C137,O.B.JUNE!$AA$7:$AF$448,6,0),0)</f>
        <v>1571</v>
      </c>
      <c r="J137" s="6"/>
      <c r="K137" s="6">
        <f>IFERROR(VLOOKUP(C137,O.B.JUNE!$AA$7:$AG$448,7,0),0)</f>
        <v>17822882</v>
      </c>
      <c r="L137" s="6">
        <f>SUMIF('JUNE (물량흐름)'!$C$13:$C$502,'Direct labour(직접노무비)'!C137,'JUNE (물량흐름)'!$H$13:$H$502)+SUMIF('JUNE (물량흐름)'!$C$13:$C$502,'Direct labour(직접노무비)'!C137,'JUNE (물량흐름)'!$I$13:$I$502)</f>
        <v>0</v>
      </c>
      <c r="M137" s="6">
        <f t="shared" si="16"/>
        <v>0</v>
      </c>
      <c r="N137" s="6">
        <f t="shared" si="17"/>
        <v>0</v>
      </c>
      <c r="O137" s="6">
        <f t="shared" si="26"/>
        <v>0</v>
      </c>
      <c r="P137" s="6">
        <f>SUMIF('JUNE (물량흐름)'!$C$13:$C$502,C137,'JUNE (물량흐름)'!$T$13:$T$502)+SUMIF('JUNE (물량흐름)'!$C$13:$C$502,C137,'JUNE (물량흐름)'!$V$13:$V$502)+SUMIF('JUNE (물량흐름)'!$C$13:$C$502,C137,'JUNE (물량흐름)'!$U$13:$U$502)-SUMIF('JUNE (물량흐름)'!$C$13:$C$502,C137,'JUNE (물량흐름)'!$Y$13:$Y$502)</f>
        <v>151</v>
      </c>
      <c r="Q137" s="6">
        <f t="shared" si="18"/>
        <v>1370293</v>
      </c>
      <c r="R137" s="6">
        <f>ROUND(IF(ISERROR(VLOOKUP(#REF!,'WIP(재공품)'!$B$12:$AB$38,13,0)),0,VLOOKUP(#REF!,'WIP(재공품)'!$B$12:$AB$38,13,0)),0)</f>
        <v>0</v>
      </c>
      <c r="S137" s="6">
        <f>IF(ISERROR(VLOOKUP(#REF!,'WIP(재공품)'!$B$12:$AB$38,10,0)),0,VLOOKUP(#REF!,'WIP(재공품)'!$B$12:$AB$38,10,0))</f>
        <v>0</v>
      </c>
      <c r="T137" s="6">
        <f>SUMIF('JUNE (물량흐름)'!$C$13:$C$502,'Direct labour(직접노무비)'!C137,'JUNE (물량흐름)'!$Y$13:$Y$502)</f>
        <v>0</v>
      </c>
      <c r="U137" s="6">
        <f t="shared" si="19"/>
        <v>0</v>
      </c>
      <c r="V137" s="6">
        <f>ROUND(SUMIF('JUNE (물량흐름)'!$C$13:$C$502,'Direct labour(직접노무비)'!C137,'JUNE (물량흐름)'!$N$13:$N$502),0)</f>
        <v>0</v>
      </c>
      <c r="W137" s="6">
        <f>ROUND(SUMIF('JUNE (물량흐름)'!$C$13:$C$502,'Direct labour(직접노무비)'!C137,'JUNE (물량흐름)'!$O$13:$O$502),0)</f>
        <v>0</v>
      </c>
      <c r="X137" s="6">
        <f>ROUND(SUMIF('JUNE (물량흐름)'!$C$13:$C$502,'Direct labour(직접노무비)'!C137,'JUNE (물량흐름)'!$P$13:$P$502),0)</f>
        <v>1813</v>
      </c>
      <c r="Y137" s="6">
        <f t="shared" si="20"/>
        <v>1813</v>
      </c>
      <c r="Z137" s="6">
        <f t="shared" si="21"/>
        <v>1450</v>
      </c>
      <c r="AA137" s="6">
        <f t="shared" si="22"/>
        <v>16452589</v>
      </c>
      <c r="AB137" s="389">
        <f t="shared" si="23"/>
        <v>0</v>
      </c>
      <c r="AC137" s="389">
        <f t="shared" si="24"/>
        <v>0</v>
      </c>
      <c r="AD137" s="389">
        <f t="shared" si="25"/>
        <v>0</v>
      </c>
    </row>
    <row r="138" spans="1:30" s="390" customFormat="1" ht="15" customHeight="1">
      <c r="A138" s="167">
        <v>128</v>
      </c>
      <c r="B138" s="267" t="str">
        <f>VLOOKUP(A138,'JUNE (물량흐름)'!$A$13:$C$502,2,0)</f>
        <v>ANN TAYLOR</v>
      </c>
      <c r="C138" s="240">
        <f>VLOOKUP(A138,'JUNE (물량흐름)'!$A$13:$C$502,3,0)</f>
        <v>453590</v>
      </c>
      <c r="D138" s="6">
        <f>VLOOKUP(C138,'WIP(재공품)'!$B$12:$E$493,4,0)</f>
        <v>8163</v>
      </c>
      <c r="E138" s="6">
        <f>IFERROR(VLOOKUP(C138,O.B.JUNE!$AA$7:$AG$448,2,0),0)</f>
        <v>0</v>
      </c>
      <c r="F138" s="6">
        <f>IFERROR(VLOOKUP(C138,O.B.JUNE!$AA$7:$AG$448,3,0),0)</f>
        <v>0</v>
      </c>
      <c r="G138" s="6">
        <f>IFERROR(VLOOKUP(C138,O.B.JUNE!$AA$7:$AD$448,4,0),0)</f>
        <v>463</v>
      </c>
      <c r="H138" s="6">
        <f t="shared" si="15"/>
        <v>463</v>
      </c>
      <c r="I138" s="6">
        <f>IFERROR(VLOOKUP(C138,O.B.JUNE!$AA$7:$AF$448,6,0),0)</f>
        <v>370</v>
      </c>
      <c r="J138" s="6"/>
      <c r="K138" s="6">
        <f>IFERROR(VLOOKUP(C138,O.B.JUNE!$AA$7:$AG$448,7,0),0)</f>
        <v>4720391</v>
      </c>
      <c r="L138" s="6">
        <f>SUMIF('JUNE (물량흐름)'!$C$13:$C$502,'Direct labour(직접노무비)'!C138,'JUNE (물량흐름)'!$H$13:$H$502)+SUMIF('JUNE (물량흐름)'!$C$13:$C$502,'Direct labour(직접노무비)'!C138,'JUNE (물량흐름)'!$I$13:$I$502)</f>
        <v>0</v>
      </c>
      <c r="M138" s="6">
        <f t="shared" si="16"/>
        <v>0</v>
      </c>
      <c r="N138" s="6">
        <f t="shared" si="17"/>
        <v>0</v>
      </c>
      <c r="O138" s="6">
        <f t="shared" si="26"/>
        <v>0</v>
      </c>
      <c r="P138" s="6">
        <f>SUMIF('JUNE (물량흐름)'!$C$13:$C$502,C138,'JUNE (물량흐름)'!$T$13:$T$502)+SUMIF('JUNE (물량흐름)'!$C$13:$C$502,C138,'JUNE (물량흐름)'!$V$13:$V$502)+SUMIF('JUNE (물량흐름)'!$C$13:$C$502,C138,'JUNE (물량흐름)'!$U$13:$U$502)-SUMIF('JUNE (물량흐름)'!$C$13:$C$502,C138,'JUNE (물량흐름)'!$Y$13:$Y$502)</f>
        <v>463</v>
      </c>
      <c r="Q138" s="6">
        <f t="shared" si="18"/>
        <v>4720391</v>
      </c>
      <c r="R138" s="6">
        <f>ROUND(IF(ISERROR(VLOOKUP(#REF!,'WIP(재공품)'!$B$12:$AB$38,13,0)),0,VLOOKUP(#REF!,'WIP(재공품)'!$B$12:$AB$38,13,0)),0)</f>
        <v>0</v>
      </c>
      <c r="S138" s="6">
        <f>IF(ISERROR(VLOOKUP(#REF!,'WIP(재공품)'!$B$12:$AB$38,10,0)),0,VLOOKUP(#REF!,'WIP(재공품)'!$B$12:$AB$38,10,0))</f>
        <v>0</v>
      </c>
      <c r="T138" s="6">
        <f>SUMIF('JUNE (물량흐름)'!$C$13:$C$502,'Direct labour(직접노무비)'!C138,'JUNE (물량흐름)'!$Y$13:$Y$502)</f>
        <v>0</v>
      </c>
      <c r="U138" s="6">
        <f t="shared" si="19"/>
        <v>0</v>
      </c>
      <c r="V138" s="6">
        <f>ROUND(SUMIF('JUNE (물량흐름)'!$C$13:$C$502,'Direct labour(직접노무비)'!C138,'JUNE (물량흐름)'!$N$13:$N$502),0)</f>
        <v>0</v>
      </c>
      <c r="W138" s="6">
        <f>ROUND(SUMIF('JUNE (물량흐름)'!$C$13:$C$502,'Direct labour(직접노무비)'!C138,'JUNE (물량흐름)'!$O$13:$O$502),0)</f>
        <v>0</v>
      </c>
      <c r="X138" s="6">
        <f>ROUND(SUMIF('JUNE (물량흐름)'!$C$13:$C$502,'Direct labour(직접노무비)'!C138,'JUNE (물량흐름)'!$P$13:$P$502),0)</f>
        <v>0</v>
      </c>
      <c r="Y138" s="6">
        <f t="shared" si="20"/>
        <v>0</v>
      </c>
      <c r="Z138" s="6">
        <f t="shared" si="21"/>
        <v>0</v>
      </c>
      <c r="AA138" s="6">
        <f t="shared" si="22"/>
        <v>0</v>
      </c>
      <c r="AB138" s="389">
        <f t="shared" si="23"/>
        <v>0</v>
      </c>
      <c r="AC138" s="389">
        <f t="shared" si="24"/>
        <v>0</v>
      </c>
      <c r="AD138" s="389">
        <f t="shared" si="25"/>
        <v>0</v>
      </c>
    </row>
    <row r="139" spans="1:30" s="390" customFormat="1" ht="15" customHeight="1">
      <c r="A139" s="167">
        <v>129</v>
      </c>
      <c r="B139" s="267" t="str">
        <f>VLOOKUP(A139,'JUNE (물량흐름)'!$A$13:$C$502,2,0)</f>
        <v>ANN TAYLOR</v>
      </c>
      <c r="C139" s="240" t="str">
        <f>VLOOKUP(A139,'JUNE (물량흐름)'!$A$13:$C$502,3,0)</f>
        <v>453595(456582)</v>
      </c>
      <c r="D139" s="6">
        <f>VLOOKUP(C139,'WIP(재공품)'!$B$12:$E$493,4,0)</f>
        <v>7936.2499999999991</v>
      </c>
      <c r="E139" s="6">
        <f>IFERROR(VLOOKUP(C139,O.B.JUNE!$AA$7:$AG$448,2,0),0)</f>
        <v>0</v>
      </c>
      <c r="F139" s="6">
        <f>IFERROR(VLOOKUP(C139,O.B.JUNE!$AA$7:$AG$448,3,0),0)</f>
        <v>0</v>
      </c>
      <c r="G139" s="6">
        <f>IFERROR(VLOOKUP(C139,O.B.JUNE!$AA$7:$AD$448,4,0),0)</f>
        <v>1052</v>
      </c>
      <c r="H139" s="6">
        <f t="shared" si="15"/>
        <v>1052</v>
      </c>
      <c r="I139" s="6">
        <f>IFERROR(VLOOKUP(C139,O.B.JUNE!$AA$7:$AF$448,6,0),0)</f>
        <v>842</v>
      </c>
      <c r="J139" s="6"/>
      <c r="K139" s="6">
        <f>IFERROR(VLOOKUP(C139,O.B.JUNE!$AA$7:$AG$448,7,0),0)</f>
        <v>6548150</v>
      </c>
      <c r="L139" s="6">
        <f>SUMIF('JUNE (물량흐름)'!$C$13:$C$502,'Direct labour(직접노무비)'!C139,'JUNE (물량흐름)'!$H$13:$H$502)+SUMIF('JUNE (물량흐름)'!$C$13:$C$502,'Direct labour(직접노무비)'!C139,'JUNE (물량흐름)'!$I$13:$I$502)</f>
        <v>0</v>
      </c>
      <c r="M139" s="6">
        <f t="shared" si="16"/>
        <v>0</v>
      </c>
      <c r="N139" s="6">
        <f t="shared" si="17"/>
        <v>0</v>
      </c>
      <c r="O139" s="6">
        <f t="shared" ref="O139:O202" si="27">ROUND(M139*D139*$O$493/$N$493,0)</f>
        <v>0</v>
      </c>
      <c r="P139" s="6">
        <f>SUMIF('JUNE (물량흐름)'!$C$13:$C$502,C139,'JUNE (물량흐름)'!$T$13:$T$502)+SUMIF('JUNE (물량흐름)'!$C$13:$C$502,C139,'JUNE (물량흐름)'!$V$13:$V$502)+SUMIF('JUNE (물량흐름)'!$C$13:$C$502,C139,'JUNE (물량흐름)'!$U$13:$U$502)-SUMIF('JUNE (물량흐름)'!$C$13:$C$502,C139,'JUNE (물량흐름)'!$Y$13:$Y$502)</f>
        <v>1052</v>
      </c>
      <c r="Q139" s="6">
        <f t="shared" si="18"/>
        <v>6548150</v>
      </c>
      <c r="R139" s="6">
        <f>ROUND(IF(ISERROR(VLOOKUP(#REF!,'WIP(재공품)'!$B$12:$AB$38,13,0)),0,VLOOKUP(#REF!,'WIP(재공품)'!$B$12:$AB$38,13,0)),0)</f>
        <v>0</v>
      </c>
      <c r="S139" s="6">
        <f>IF(ISERROR(VLOOKUP(#REF!,'WIP(재공품)'!$B$12:$AB$38,10,0)),0,VLOOKUP(#REF!,'WIP(재공품)'!$B$12:$AB$38,10,0))</f>
        <v>0</v>
      </c>
      <c r="T139" s="6">
        <f>SUMIF('JUNE (물량흐름)'!$C$13:$C$502,'Direct labour(직접노무비)'!C139,'JUNE (물량흐름)'!$Y$13:$Y$502)</f>
        <v>0</v>
      </c>
      <c r="U139" s="6">
        <f t="shared" si="19"/>
        <v>0</v>
      </c>
      <c r="V139" s="6">
        <f>ROUND(SUMIF('JUNE (물량흐름)'!$C$13:$C$502,'Direct labour(직접노무비)'!C139,'JUNE (물량흐름)'!$N$13:$N$502),0)</f>
        <v>0</v>
      </c>
      <c r="W139" s="6">
        <f>ROUND(SUMIF('JUNE (물량흐름)'!$C$13:$C$502,'Direct labour(직접노무비)'!C139,'JUNE (물량흐름)'!$O$13:$O$502),0)</f>
        <v>0</v>
      </c>
      <c r="X139" s="6">
        <f>ROUND(SUMIF('JUNE (물량흐름)'!$C$13:$C$502,'Direct labour(직접노무비)'!C139,'JUNE (물량흐름)'!$P$13:$P$502),0)</f>
        <v>0</v>
      </c>
      <c r="Y139" s="6">
        <f t="shared" si="20"/>
        <v>0</v>
      </c>
      <c r="Z139" s="6">
        <f t="shared" si="21"/>
        <v>0</v>
      </c>
      <c r="AA139" s="6">
        <f t="shared" si="22"/>
        <v>0</v>
      </c>
      <c r="AB139" s="389">
        <f t="shared" si="23"/>
        <v>0</v>
      </c>
      <c r="AC139" s="389">
        <f t="shared" si="24"/>
        <v>0</v>
      </c>
      <c r="AD139" s="389">
        <f t="shared" si="25"/>
        <v>0</v>
      </c>
    </row>
    <row r="140" spans="1:30" s="390" customFormat="1" ht="15" customHeight="1">
      <c r="A140" s="167">
        <v>130</v>
      </c>
      <c r="B140" s="267" t="str">
        <f>VLOOKUP(A140,'JUNE (물량흐름)'!$A$13:$C$502,2,0)</f>
        <v>ANN TAYLOR</v>
      </c>
      <c r="C140" s="240" t="str">
        <f>VLOOKUP(A140,'JUNE (물량흐름)'!$A$13:$C$502,3,0)</f>
        <v>456729(456854)</v>
      </c>
      <c r="D140" s="6">
        <f>VLOOKUP(C140,'WIP(재공품)'!$B$12:$E$493,4,0)</f>
        <v>8163</v>
      </c>
      <c r="E140" s="6">
        <f>IFERROR(VLOOKUP(C140,O.B.JUNE!$AA$7:$AG$448,2,0),0)</f>
        <v>0</v>
      </c>
      <c r="F140" s="6">
        <f>IFERROR(VLOOKUP(C140,O.B.JUNE!$AA$7:$AG$448,3,0),0)</f>
        <v>0</v>
      </c>
      <c r="G140" s="6">
        <f>IFERROR(VLOOKUP(C140,O.B.JUNE!$AA$7:$AD$448,4,0),0)</f>
        <v>410</v>
      </c>
      <c r="H140" s="6">
        <f t="shared" ref="H140:H203" si="28">ROUND(SUM(E140:G140),0)</f>
        <v>410</v>
      </c>
      <c r="I140" s="6">
        <f>IFERROR(VLOOKUP(C140,O.B.JUNE!$AA$7:$AF$448,6,0),0)</f>
        <v>328</v>
      </c>
      <c r="J140" s="6"/>
      <c r="K140" s="6">
        <f>IFERROR(VLOOKUP(C140,O.B.JUNE!$AA$7:$AG$448,7,0),0)</f>
        <v>2814056</v>
      </c>
      <c r="L140" s="6">
        <f>SUMIF('JUNE (물량흐름)'!$C$13:$C$502,'Direct labour(직접노무비)'!C140,'JUNE (물량흐름)'!$H$13:$H$502)+SUMIF('JUNE (물량흐름)'!$C$13:$C$502,'Direct labour(직접노무비)'!C140,'JUNE (물량흐름)'!$I$13:$I$502)</f>
        <v>0</v>
      </c>
      <c r="M140" s="6">
        <f t="shared" ref="M140:M203" si="29">ROUND(IF(OR(L140&lt;=0,P140+T140+R140+Z140-I140&lt;0),0,ROUND(P140+T140+R140+Z140-I140,0)),0)</f>
        <v>0</v>
      </c>
      <c r="N140" s="6">
        <f t="shared" ref="N140:N203" si="30">ROUND(M140*D140,0)</f>
        <v>0</v>
      </c>
      <c r="O140" s="6">
        <f t="shared" si="27"/>
        <v>0</v>
      </c>
      <c r="P140" s="6">
        <f>SUMIF('JUNE (물량흐름)'!$C$13:$C$502,C140,'JUNE (물량흐름)'!$T$13:$T$502)+SUMIF('JUNE (물량흐름)'!$C$13:$C$502,C140,'JUNE (물량흐름)'!$V$13:$V$502)+SUMIF('JUNE (물량흐름)'!$C$13:$C$502,C140,'JUNE (물량흐름)'!$U$13:$U$502)-SUMIF('JUNE (물량흐름)'!$C$13:$C$502,C140,'JUNE (물량흐름)'!$Y$13:$Y$502)</f>
        <v>410</v>
      </c>
      <c r="Q140" s="6">
        <f t="shared" si="18"/>
        <v>2814056</v>
      </c>
      <c r="R140" s="6">
        <f>ROUND(IF(ISERROR(VLOOKUP(#REF!,'WIP(재공품)'!$B$12:$AB$38,13,0)),0,VLOOKUP(#REF!,'WIP(재공품)'!$B$12:$AB$38,13,0)),0)</f>
        <v>0</v>
      </c>
      <c r="S140" s="6">
        <f>IF(ISERROR(VLOOKUP(#REF!,'WIP(재공품)'!$B$12:$AB$38,10,0)),0,VLOOKUP(#REF!,'WIP(재공품)'!$B$12:$AB$38,10,0))</f>
        <v>0</v>
      </c>
      <c r="T140" s="6">
        <f>SUMIF('JUNE (물량흐름)'!$C$13:$C$502,'Direct labour(직접노무비)'!C140,'JUNE (물량흐름)'!$Y$13:$Y$502)</f>
        <v>0</v>
      </c>
      <c r="U140" s="6">
        <f t="shared" ref="U140:U203" si="31">IFERROR(ROUND(IF(AND(T140&lt;=0,($I140+$M140)=0),T140*(K140+O140)/(I140+M140),T140*(K140+O140)/(H140+L140)),0),0)</f>
        <v>0</v>
      </c>
      <c r="V140" s="6">
        <f>ROUND(SUMIF('JUNE (물량흐름)'!$C$13:$C$502,'Direct labour(직접노무비)'!C140,'JUNE (물량흐름)'!$N$13:$N$502),0)</f>
        <v>0</v>
      </c>
      <c r="W140" s="6">
        <f>ROUND(SUMIF('JUNE (물량흐름)'!$C$13:$C$502,'Direct labour(직접노무비)'!C140,'JUNE (물량흐름)'!$O$13:$O$502),0)</f>
        <v>0</v>
      </c>
      <c r="X140" s="6">
        <f>ROUND(SUMIF('JUNE (물량흐름)'!$C$13:$C$502,'Direct labour(직접노무비)'!C140,'JUNE (물량흐름)'!$P$13:$P$502),0)</f>
        <v>0</v>
      </c>
      <c r="Y140" s="6">
        <f t="shared" ref="Y140:Y203" si="32">ROUND(SUM(V140:X140),0)</f>
        <v>0</v>
      </c>
      <c r="Z140" s="6">
        <f t="shared" ref="Z140:Z203" si="33">ROUND(V140*$V$10+W140*$W$10+X140*$X$10,0)</f>
        <v>0</v>
      </c>
      <c r="AA140" s="6">
        <f t="shared" si="22"/>
        <v>0</v>
      </c>
      <c r="AB140" s="389">
        <f t="shared" ref="AB140:AB203" si="34">K140+O140-Q140-U140-AA140</f>
        <v>0</v>
      </c>
      <c r="AC140" s="389">
        <f t="shared" ref="AC140:AC188" si="35">H140+L140-P140-T140-Y140</f>
        <v>0</v>
      </c>
      <c r="AD140" s="389">
        <f t="shared" ref="AD140:AD203" si="36">H140+L140-P140-T140-Y140</f>
        <v>0</v>
      </c>
    </row>
    <row r="141" spans="1:30" s="390" customFormat="1" ht="15" customHeight="1">
      <c r="A141" s="167">
        <v>131</v>
      </c>
      <c r="B141" s="267" t="str">
        <f>VLOOKUP(A141,'JUNE (물량흐름)'!$A$13:$C$502,2,0)</f>
        <v>ANN TAYLOR</v>
      </c>
      <c r="C141" s="240">
        <f>VLOOKUP(A141,'JUNE (물량흐름)'!$A$13:$C$502,3,0)</f>
        <v>457839</v>
      </c>
      <c r="D141" s="6">
        <f>VLOOKUP(C141,'WIP(재공품)'!$B$12:$E$493,4,0)</f>
        <v>7936.2499999999991</v>
      </c>
      <c r="E141" s="6">
        <f>IFERROR(VLOOKUP(C141,O.B.JUNE!$AA$7:$AG$448,2,0),0)</f>
        <v>0</v>
      </c>
      <c r="F141" s="6">
        <f>IFERROR(VLOOKUP(C141,O.B.JUNE!$AA$7:$AG$448,3,0),0)</f>
        <v>0</v>
      </c>
      <c r="G141" s="6">
        <f>IFERROR(VLOOKUP(C141,O.B.JUNE!$AA$7:$AD$448,4,0),0)</f>
        <v>279</v>
      </c>
      <c r="H141" s="6">
        <f t="shared" si="28"/>
        <v>279</v>
      </c>
      <c r="I141" s="6">
        <f>IFERROR(VLOOKUP(C141,O.B.JUNE!$AA$7:$AF$448,6,0),0)</f>
        <v>223</v>
      </c>
      <c r="J141" s="6"/>
      <c r="K141" s="6">
        <f>IFERROR(VLOOKUP(C141,O.B.JUNE!$AA$7:$AG$448,7,0),0)</f>
        <v>1468370</v>
      </c>
      <c r="L141" s="6">
        <f>SUMIF('JUNE (물량흐름)'!$C$13:$C$502,'Direct labour(직접노무비)'!C141,'JUNE (물량흐름)'!$H$13:$H$502)+SUMIF('JUNE (물량흐름)'!$C$13:$C$502,'Direct labour(직접노무비)'!C141,'JUNE (물량흐름)'!$I$13:$I$502)</f>
        <v>0</v>
      </c>
      <c r="M141" s="6">
        <f t="shared" si="29"/>
        <v>0</v>
      </c>
      <c r="N141" s="6">
        <f t="shared" si="30"/>
        <v>0</v>
      </c>
      <c r="O141" s="6">
        <f t="shared" si="27"/>
        <v>0</v>
      </c>
      <c r="P141" s="6">
        <f>SUMIF('JUNE (물량흐름)'!$C$13:$C$502,C141,'JUNE (물량흐름)'!$T$13:$T$502)+SUMIF('JUNE (물량흐름)'!$C$13:$C$502,C141,'JUNE (물량흐름)'!$V$13:$V$502)+SUMIF('JUNE (물량흐름)'!$C$13:$C$502,C141,'JUNE (물량흐름)'!$U$13:$U$502)-SUMIF('JUNE (물량흐름)'!$C$13:$C$502,C141,'JUNE (물량흐름)'!$Y$13:$Y$502)</f>
        <v>0</v>
      </c>
      <c r="Q141" s="6">
        <f t="shared" ref="Q141:Q204" si="37">IFERROR(ROUND(IF(OR(P141&lt;=0,($I141+$M141)=0),$P141*($K141+$O141)/($I141+$M141),$P141*($K141+$O141)/($H141+$L141)),0),0)</f>
        <v>0</v>
      </c>
      <c r="R141" s="6">
        <f>ROUND(IF(ISERROR(VLOOKUP(#REF!,'WIP(재공품)'!$B$12:$AB$38,13,0)),0,VLOOKUP(#REF!,'WIP(재공품)'!$B$12:$AB$38,13,0)),0)</f>
        <v>0</v>
      </c>
      <c r="S141" s="6">
        <f>IF(ISERROR(VLOOKUP(#REF!,'WIP(재공품)'!$B$12:$AB$38,10,0)),0,VLOOKUP(#REF!,'WIP(재공품)'!$B$12:$AB$38,10,0))</f>
        <v>0</v>
      </c>
      <c r="T141" s="6">
        <f>SUMIF('JUNE (물량흐름)'!$C$13:$C$502,'Direct labour(직접노무비)'!C141,'JUNE (물량흐름)'!$Y$13:$Y$502)</f>
        <v>0</v>
      </c>
      <c r="U141" s="6">
        <f t="shared" si="31"/>
        <v>0</v>
      </c>
      <c r="V141" s="6">
        <f>ROUND(SUMIF('JUNE (물량흐름)'!$C$13:$C$502,'Direct labour(직접노무비)'!C141,'JUNE (물량흐름)'!$N$13:$N$502),0)</f>
        <v>0</v>
      </c>
      <c r="W141" s="6">
        <f>ROUND(SUMIF('JUNE (물량흐름)'!$C$13:$C$502,'Direct labour(직접노무비)'!C141,'JUNE (물량흐름)'!$O$13:$O$502),0)</f>
        <v>0</v>
      </c>
      <c r="X141" s="6">
        <f>ROUND(SUMIF('JUNE (물량흐름)'!$C$13:$C$502,'Direct labour(직접노무비)'!C141,'JUNE (물량흐름)'!$P$13:$P$502),0)</f>
        <v>279</v>
      </c>
      <c r="Y141" s="6">
        <f t="shared" si="32"/>
        <v>279</v>
      </c>
      <c r="Z141" s="6">
        <f t="shared" si="33"/>
        <v>223</v>
      </c>
      <c r="AA141" s="6">
        <f t="shared" ref="AA141:AA204" si="38">IFERROR(ROUND(IF(OR(Z141&lt;=0,($I141+$M141)=0),$Z141*($K141+$O141)/($I141+$M141),$Y141*($K141+$O141)/($H141+$L141)),0),0)</f>
        <v>1468370</v>
      </c>
      <c r="AB141" s="389">
        <f t="shared" si="34"/>
        <v>0</v>
      </c>
      <c r="AC141" s="389">
        <f t="shared" si="35"/>
        <v>0</v>
      </c>
      <c r="AD141" s="389">
        <f t="shared" si="36"/>
        <v>0</v>
      </c>
    </row>
    <row r="142" spans="1:30" s="390" customFormat="1" ht="15" customHeight="1">
      <c r="A142" s="167">
        <v>132</v>
      </c>
      <c r="B142" s="267" t="str">
        <f>VLOOKUP(A142,'JUNE (물량흐름)'!$A$13:$C$502,2,0)</f>
        <v>ANN TAYLOR</v>
      </c>
      <c r="C142" s="240">
        <f>VLOOKUP(A142,'JUNE (물량흐름)'!$A$13:$C$502,3,0)</f>
        <v>457840</v>
      </c>
      <c r="D142" s="6">
        <f>VLOOKUP(C142,'WIP(재공품)'!$B$12:$E$493,4,0)</f>
        <v>7936.2499999999991</v>
      </c>
      <c r="E142" s="6">
        <f>IFERROR(VLOOKUP(C142,O.B.JUNE!$AA$7:$AG$448,2,0),0)</f>
        <v>0</v>
      </c>
      <c r="F142" s="6">
        <f>IFERROR(VLOOKUP(C142,O.B.JUNE!$AA$7:$AG$448,3,0),0)</f>
        <v>0</v>
      </c>
      <c r="G142" s="6">
        <f>IFERROR(VLOOKUP(C142,O.B.JUNE!$AA$7:$AD$448,4,0),0)</f>
        <v>845</v>
      </c>
      <c r="H142" s="6">
        <f t="shared" si="28"/>
        <v>845</v>
      </c>
      <c r="I142" s="6">
        <f>IFERROR(VLOOKUP(C142,O.B.JUNE!$AA$7:$AF$448,6,0),0)</f>
        <v>676</v>
      </c>
      <c r="J142" s="6"/>
      <c r="K142" s="6">
        <f>IFERROR(VLOOKUP(C142,O.B.JUNE!$AA$7:$AG$448,7,0),0)</f>
        <v>4187589</v>
      </c>
      <c r="L142" s="6">
        <f>SUMIF('JUNE (물량흐름)'!$C$13:$C$502,'Direct labour(직접노무비)'!C142,'JUNE (물량흐름)'!$H$13:$H$502)+SUMIF('JUNE (물량흐름)'!$C$13:$C$502,'Direct labour(직접노무비)'!C142,'JUNE (물량흐름)'!$I$13:$I$502)</f>
        <v>0</v>
      </c>
      <c r="M142" s="6">
        <f t="shared" si="29"/>
        <v>0</v>
      </c>
      <c r="N142" s="6">
        <f t="shared" si="30"/>
        <v>0</v>
      </c>
      <c r="O142" s="6">
        <f t="shared" si="27"/>
        <v>0</v>
      </c>
      <c r="P142" s="6">
        <f>SUMIF('JUNE (물량흐름)'!$C$13:$C$502,C142,'JUNE (물량흐름)'!$T$13:$T$502)+SUMIF('JUNE (물량흐름)'!$C$13:$C$502,C142,'JUNE (물량흐름)'!$V$13:$V$502)+SUMIF('JUNE (물량흐름)'!$C$13:$C$502,C142,'JUNE (물량흐름)'!$U$13:$U$502)-SUMIF('JUNE (물량흐름)'!$C$13:$C$502,C142,'JUNE (물량흐름)'!$Y$13:$Y$502)</f>
        <v>0</v>
      </c>
      <c r="Q142" s="6">
        <f t="shared" si="37"/>
        <v>0</v>
      </c>
      <c r="R142" s="6">
        <f>ROUND(IF(ISERROR(VLOOKUP(#REF!,'WIP(재공품)'!$B$12:$AB$38,13,0)),0,VLOOKUP(#REF!,'WIP(재공품)'!$B$12:$AB$38,13,0)),0)</f>
        <v>0</v>
      </c>
      <c r="S142" s="6">
        <f>IF(ISERROR(VLOOKUP(#REF!,'WIP(재공품)'!$B$12:$AB$38,10,0)),0,VLOOKUP(#REF!,'WIP(재공품)'!$B$12:$AB$38,10,0))</f>
        <v>0</v>
      </c>
      <c r="T142" s="6">
        <f>SUMIF('JUNE (물량흐름)'!$C$13:$C$502,'Direct labour(직접노무비)'!C142,'JUNE (물량흐름)'!$Y$13:$Y$502)</f>
        <v>0</v>
      </c>
      <c r="U142" s="6">
        <f t="shared" si="31"/>
        <v>0</v>
      </c>
      <c r="V142" s="6">
        <f>ROUND(SUMIF('JUNE (물량흐름)'!$C$13:$C$502,'Direct labour(직접노무비)'!C142,'JUNE (물량흐름)'!$N$13:$N$502),0)</f>
        <v>0</v>
      </c>
      <c r="W142" s="6">
        <f>ROUND(SUMIF('JUNE (물량흐름)'!$C$13:$C$502,'Direct labour(직접노무비)'!C142,'JUNE (물량흐름)'!$O$13:$O$502),0)</f>
        <v>0</v>
      </c>
      <c r="X142" s="6">
        <f>ROUND(SUMIF('JUNE (물량흐름)'!$C$13:$C$502,'Direct labour(직접노무비)'!C142,'JUNE (물량흐름)'!$P$13:$P$502),0)</f>
        <v>845</v>
      </c>
      <c r="Y142" s="6">
        <f t="shared" si="32"/>
        <v>845</v>
      </c>
      <c r="Z142" s="6">
        <f t="shared" si="33"/>
        <v>676</v>
      </c>
      <c r="AA142" s="6">
        <f t="shared" si="38"/>
        <v>4187589</v>
      </c>
      <c r="AB142" s="389">
        <f t="shared" si="34"/>
        <v>0</v>
      </c>
      <c r="AC142" s="389">
        <f t="shared" si="35"/>
        <v>0</v>
      </c>
      <c r="AD142" s="389">
        <f t="shared" si="36"/>
        <v>0</v>
      </c>
    </row>
    <row r="143" spans="1:30" s="390" customFormat="1" ht="15" customHeight="1">
      <c r="A143" s="167">
        <v>133</v>
      </c>
      <c r="B143" s="267" t="str">
        <f>VLOOKUP(A143,'JUNE (물량흐름)'!$A$13:$C$502,2,0)</f>
        <v>ANN TAYLOR</v>
      </c>
      <c r="C143" s="240">
        <f>VLOOKUP(A143,'JUNE (물량흐름)'!$A$13:$C$502,3,0)</f>
        <v>457841</v>
      </c>
      <c r="D143" s="6">
        <f>VLOOKUP(C143,'WIP(재공품)'!$B$12:$E$493,4,0)</f>
        <v>41948.75</v>
      </c>
      <c r="E143" s="6">
        <f>IFERROR(VLOOKUP(C143,O.B.JUNE!$AA$7:$AG$448,2,0),0)</f>
        <v>0</v>
      </c>
      <c r="F143" s="6">
        <f>IFERROR(VLOOKUP(C143,O.B.JUNE!$AA$7:$AG$448,3,0),0)</f>
        <v>0</v>
      </c>
      <c r="G143" s="6">
        <f>IFERROR(VLOOKUP(C143,O.B.JUNE!$AA$7:$AD$448,4,0),0)</f>
        <v>73</v>
      </c>
      <c r="H143" s="6">
        <f t="shared" si="28"/>
        <v>73</v>
      </c>
      <c r="I143" s="6">
        <f>IFERROR(VLOOKUP(C143,O.B.JUNE!$AA$7:$AF$448,6,0),0)</f>
        <v>58</v>
      </c>
      <c r="J143" s="6"/>
      <c r="K143" s="6">
        <f>IFERROR(VLOOKUP(C143,O.B.JUNE!$AA$7:$AG$448,7,0),0)</f>
        <v>693394</v>
      </c>
      <c r="L143" s="6">
        <f>SUMIF('JUNE (물량흐름)'!$C$13:$C$502,'Direct labour(직접노무비)'!C143,'JUNE (물량흐름)'!$H$13:$H$502)+SUMIF('JUNE (물량흐름)'!$C$13:$C$502,'Direct labour(직접노무비)'!C143,'JUNE (물량흐름)'!$I$13:$I$502)</f>
        <v>0</v>
      </c>
      <c r="M143" s="6">
        <f t="shared" si="29"/>
        <v>0</v>
      </c>
      <c r="N143" s="6">
        <f t="shared" si="30"/>
        <v>0</v>
      </c>
      <c r="O143" s="6">
        <f t="shared" si="27"/>
        <v>0</v>
      </c>
      <c r="P143" s="6">
        <f>SUMIF('JUNE (물량흐름)'!$C$13:$C$502,C143,'JUNE (물량흐름)'!$T$13:$T$502)+SUMIF('JUNE (물량흐름)'!$C$13:$C$502,C143,'JUNE (물량흐름)'!$V$13:$V$502)+SUMIF('JUNE (물량흐름)'!$C$13:$C$502,C143,'JUNE (물량흐름)'!$U$13:$U$502)-SUMIF('JUNE (물량흐름)'!$C$13:$C$502,C143,'JUNE (물량흐름)'!$Y$13:$Y$502)</f>
        <v>0</v>
      </c>
      <c r="Q143" s="6">
        <f t="shared" si="37"/>
        <v>0</v>
      </c>
      <c r="R143" s="6">
        <f>ROUND(IF(ISERROR(VLOOKUP(#REF!,'WIP(재공품)'!$B$12:$AB$38,13,0)),0,VLOOKUP(#REF!,'WIP(재공품)'!$B$12:$AB$38,13,0)),0)</f>
        <v>0</v>
      </c>
      <c r="S143" s="6">
        <f>IF(ISERROR(VLOOKUP(#REF!,'WIP(재공품)'!$B$12:$AB$38,10,0)),0,VLOOKUP(#REF!,'WIP(재공품)'!$B$12:$AB$38,10,0))</f>
        <v>0</v>
      </c>
      <c r="T143" s="6">
        <f>SUMIF('JUNE (물량흐름)'!$C$13:$C$502,'Direct labour(직접노무비)'!C143,'JUNE (물량흐름)'!$Y$13:$Y$502)</f>
        <v>0</v>
      </c>
      <c r="U143" s="6">
        <f t="shared" si="31"/>
        <v>0</v>
      </c>
      <c r="V143" s="6">
        <f>ROUND(SUMIF('JUNE (물량흐름)'!$C$13:$C$502,'Direct labour(직접노무비)'!C143,'JUNE (물량흐름)'!$N$13:$N$502),0)</f>
        <v>0</v>
      </c>
      <c r="W143" s="6">
        <f>ROUND(SUMIF('JUNE (물량흐름)'!$C$13:$C$502,'Direct labour(직접노무비)'!C143,'JUNE (물량흐름)'!$O$13:$O$502),0)</f>
        <v>0</v>
      </c>
      <c r="X143" s="6">
        <f>ROUND(SUMIF('JUNE (물량흐름)'!$C$13:$C$502,'Direct labour(직접노무비)'!C143,'JUNE (물량흐름)'!$P$13:$P$502),0)</f>
        <v>73</v>
      </c>
      <c r="Y143" s="6">
        <f t="shared" si="32"/>
        <v>73</v>
      </c>
      <c r="Z143" s="6">
        <f t="shared" si="33"/>
        <v>58</v>
      </c>
      <c r="AA143" s="6">
        <f t="shared" si="38"/>
        <v>693394</v>
      </c>
      <c r="AB143" s="389">
        <f t="shared" si="34"/>
        <v>0</v>
      </c>
      <c r="AC143" s="389">
        <f t="shared" si="35"/>
        <v>0</v>
      </c>
      <c r="AD143" s="389">
        <f t="shared" si="36"/>
        <v>0</v>
      </c>
    </row>
    <row r="144" spans="1:30" s="390" customFormat="1" ht="15" customHeight="1">
      <c r="A144" s="167">
        <v>134</v>
      </c>
      <c r="B144" s="267" t="str">
        <f>VLOOKUP(A144,'JUNE (물량흐름)'!$A$13:$C$502,2,0)</f>
        <v>ANN TAYLOR</v>
      </c>
      <c r="C144" s="240">
        <f>VLOOKUP(A144,'JUNE (물량흐름)'!$A$13:$C$502,3,0)</f>
        <v>457842</v>
      </c>
      <c r="D144" s="6">
        <f>VLOOKUP(C144,'WIP(재공품)'!$B$12:$E$493,4,0)</f>
        <v>24942.500000000004</v>
      </c>
      <c r="E144" s="6">
        <f>IFERROR(VLOOKUP(C144,O.B.JUNE!$AA$7:$AG$448,2,0),0)</f>
        <v>0</v>
      </c>
      <c r="F144" s="6">
        <f>IFERROR(VLOOKUP(C144,O.B.JUNE!$AA$7:$AG$448,3,0),0)</f>
        <v>0</v>
      </c>
      <c r="G144" s="6">
        <f>IFERROR(VLOOKUP(C144,O.B.JUNE!$AA$7:$AD$448,4,0),0)</f>
        <v>374</v>
      </c>
      <c r="H144" s="6">
        <f t="shared" si="28"/>
        <v>374</v>
      </c>
      <c r="I144" s="6">
        <f>IFERROR(VLOOKUP(C144,O.B.JUNE!$AA$7:$AF$448,6,0),0)</f>
        <v>299</v>
      </c>
      <c r="J144" s="6"/>
      <c r="K144" s="6">
        <f>IFERROR(VLOOKUP(C144,O.B.JUNE!$AA$7:$AG$448,7,0),0)</f>
        <v>1934417</v>
      </c>
      <c r="L144" s="6">
        <f>SUMIF('JUNE (물량흐름)'!$C$13:$C$502,'Direct labour(직접노무비)'!C144,'JUNE (물량흐름)'!$H$13:$H$502)+SUMIF('JUNE (물량흐름)'!$C$13:$C$502,'Direct labour(직접노무비)'!C144,'JUNE (물량흐름)'!$I$13:$I$502)</f>
        <v>0</v>
      </c>
      <c r="M144" s="6">
        <f t="shared" si="29"/>
        <v>0</v>
      </c>
      <c r="N144" s="6">
        <f t="shared" si="30"/>
        <v>0</v>
      </c>
      <c r="O144" s="6">
        <f t="shared" si="27"/>
        <v>0</v>
      </c>
      <c r="P144" s="6">
        <f>SUMIF('JUNE (물량흐름)'!$C$13:$C$502,C144,'JUNE (물량흐름)'!$T$13:$T$502)+SUMIF('JUNE (물량흐름)'!$C$13:$C$502,C144,'JUNE (물량흐름)'!$V$13:$V$502)+SUMIF('JUNE (물량흐름)'!$C$13:$C$502,C144,'JUNE (물량흐름)'!$U$13:$U$502)-SUMIF('JUNE (물량흐름)'!$C$13:$C$502,C144,'JUNE (물량흐름)'!$Y$13:$Y$502)</f>
        <v>0</v>
      </c>
      <c r="Q144" s="6">
        <f t="shared" si="37"/>
        <v>0</v>
      </c>
      <c r="R144" s="6">
        <f>ROUND(IF(ISERROR(VLOOKUP(#REF!,'WIP(재공품)'!$B$12:$AB$38,13,0)),0,VLOOKUP(#REF!,'WIP(재공품)'!$B$12:$AB$38,13,0)),0)</f>
        <v>0</v>
      </c>
      <c r="S144" s="6">
        <f>IF(ISERROR(VLOOKUP(#REF!,'WIP(재공품)'!$B$12:$AB$38,10,0)),0,VLOOKUP(#REF!,'WIP(재공품)'!$B$12:$AB$38,10,0))</f>
        <v>0</v>
      </c>
      <c r="T144" s="6">
        <f>SUMIF('JUNE (물량흐름)'!$C$13:$C$502,'Direct labour(직접노무비)'!C144,'JUNE (물량흐름)'!$Y$13:$Y$502)</f>
        <v>0</v>
      </c>
      <c r="U144" s="6">
        <f t="shared" si="31"/>
        <v>0</v>
      </c>
      <c r="V144" s="6">
        <f>ROUND(SUMIF('JUNE (물량흐름)'!$C$13:$C$502,'Direct labour(직접노무비)'!C144,'JUNE (물량흐름)'!$N$13:$N$502),0)</f>
        <v>0</v>
      </c>
      <c r="W144" s="6">
        <f>ROUND(SUMIF('JUNE (물량흐름)'!$C$13:$C$502,'Direct labour(직접노무비)'!C144,'JUNE (물량흐름)'!$O$13:$O$502),0)</f>
        <v>0</v>
      </c>
      <c r="X144" s="6">
        <f>ROUND(SUMIF('JUNE (물량흐름)'!$C$13:$C$502,'Direct labour(직접노무비)'!C144,'JUNE (물량흐름)'!$P$13:$P$502),0)</f>
        <v>374</v>
      </c>
      <c r="Y144" s="6">
        <f t="shared" si="32"/>
        <v>374</v>
      </c>
      <c r="Z144" s="6">
        <f t="shared" si="33"/>
        <v>299</v>
      </c>
      <c r="AA144" s="6">
        <f t="shared" si="38"/>
        <v>1934417</v>
      </c>
      <c r="AB144" s="389">
        <f t="shared" si="34"/>
        <v>0</v>
      </c>
      <c r="AC144" s="389">
        <f t="shared" si="35"/>
        <v>0</v>
      </c>
      <c r="AD144" s="389">
        <f t="shared" si="36"/>
        <v>0</v>
      </c>
    </row>
    <row r="145" spans="1:30" s="390" customFormat="1" ht="15" customHeight="1">
      <c r="A145" s="167">
        <v>135</v>
      </c>
      <c r="B145" s="267" t="str">
        <f>VLOOKUP(A145,'JUNE (물량흐름)'!$A$13:$C$502,2,0)</f>
        <v>ANN TAYLOR</v>
      </c>
      <c r="C145" s="240" t="str">
        <f>VLOOKUP(A145,'JUNE (물량흐름)'!$A$13:$C$502,3,0)</f>
        <v>458244(458839)</v>
      </c>
      <c r="D145" s="6">
        <f>VLOOKUP(C145,'WIP(재공품)'!$B$12:$E$493,4,0)</f>
        <v>7936.2499999999991</v>
      </c>
      <c r="E145" s="6">
        <f>IFERROR(VLOOKUP(C145,O.B.JUNE!$AA$7:$AG$448,2,0),0)</f>
        <v>0</v>
      </c>
      <c r="F145" s="6">
        <f>IFERROR(VLOOKUP(C145,O.B.JUNE!$AA$7:$AG$448,3,0),0)</f>
        <v>0</v>
      </c>
      <c r="G145" s="6">
        <f>IFERROR(VLOOKUP(C145,O.B.JUNE!$AA$7:$AD$448,4,0),0)</f>
        <v>570</v>
      </c>
      <c r="H145" s="6">
        <f t="shared" si="28"/>
        <v>570</v>
      </c>
      <c r="I145" s="6">
        <f>IFERROR(VLOOKUP(C145,O.B.JUNE!$AA$7:$AF$448,6,0),0)</f>
        <v>456</v>
      </c>
      <c r="J145" s="6"/>
      <c r="K145" s="6">
        <f>IFERROR(VLOOKUP(C145,O.B.JUNE!$AA$7:$AG$448,7,0),0)</f>
        <v>3228585</v>
      </c>
      <c r="L145" s="6">
        <f>SUMIF('JUNE (물량흐름)'!$C$13:$C$502,'Direct labour(직접노무비)'!C145,'JUNE (물량흐름)'!$H$13:$H$502)+SUMIF('JUNE (물량흐름)'!$C$13:$C$502,'Direct labour(직접노무비)'!C145,'JUNE (물량흐름)'!$I$13:$I$502)</f>
        <v>0</v>
      </c>
      <c r="M145" s="6">
        <f t="shared" si="29"/>
        <v>0</v>
      </c>
      <c r="N145" s="6">
        <f t="shared" si="30"/>
        <v>0</v>
      </c>
      <c r="O145" s="6">
        <f t="shared" si="27"/>
        <v>0</v>
      </c>
      <c r="P145" s="6">
        <f>SUMIF('JUNE (물량흐름)'!$C$13:$C$502,C145,'JUNE (물량흐름)'!$T$13:$T$502)+SUMIF('JUNE (물량흐름)'!$C$13:$C$502,C145,'JUNE (물량흐름)'!$V$13:$V$502)+SUMIF('JUNE (물량흐름)'!$C$13:$C$502,C145,'JUNE (물량흐름)'!$U$13:$U$502)-SUMIF('JUNE (물량흐름)'!$C$13:$C$502,C145,'JUNE (물량흐름)'!$Y$13:$Y$502)</f>
        <v>0</v>
      </c>
      <c r="Q145" s="6">
        <f t="shared" si="37"/>
        <v>0</v>
      </c>
      <c r="R145" s="6">
        <f>ROUND(IF(ISERROR(VLOOKUP(#REF!,'WIP(재공품)'!$B$12:$AB$38,13,0)),0,VLOOKUP(#REF!,'WIP(재공품)'!$B$12:$AB$38,13,0)),0)</f>
        <v>0</v>
      </c>
      <c r="S145" s="6">
        <f>IF(ISERROR(VLOOKUP(#REF!,'WIP(재공품)'!$B$12:$AB$38,10,0)),0,VLOOKUP(#REF!,'WIP(재공품)'!$B$12:$AB$38,10,0))</f>
        <v>0</v>
      </c>
      <c r="T145" s="6">
        <f>SUMIF('JUNE (물량흐름)'!$C$13:$C$502,'Direct labour(직접노무비)'!C145,'JUNE (물량흐름)'!$Y$13:$Y$502)</f>
        <v>0</v>
      </c>
      <c r="U145" s="6">
        <f t="shared" si="31"/>
        <v>0</v>
      </c>
      <c r="V145" s="6">
        <f>ROUND(SUMIF('JUNE (물량흐름)'!$C$13:$C$502,'Direct labour(직접노무비)'!C145,'JUNE (물량흐름)'!$N$13:$N$502),0)</f>
        <v>0</v>
      </c>
      <c r="W145" s="6">
        <f>ROUND(SUMIF('JUNE (물량흐름)'!$C$13:$C$502,'Direct labour(직접노무비)'!C145,'JUNE (물량흐름)'!$O$13:$O$502),0)</f>
        <v>0</v>
      </c>
      <c r="X145" s="6">
        <f>ROUND(SUMIF('JUNE (물량흐름)'!$C$13:$C$502,'Direct labour(직접노무비)'!C145,'JUNE (물량흐름)'!$P$13:$P$502),0)</f>
        <v>570</v>
      </c>
      <c r="Y145" s="6">
        <f t="shared" si="32"/>
        <v>570</v>
      </c>
      <c r="Z145" s="6">
        <f t="shared" si="33"/>
        <v>456</v>
      </c>
      <c r="AA145" s="6">
        <f t="shared" si="38"/>
        <v>3228585</v>
      </c>
      <c r="AB145" s="389">
        <f t="shared" si="34"/>
        <v>0</v>
      </c>
      <c r="AC145" s="389">
        <f t="shared" si="35"/>
        <v>0</v>
      </c>
      <c r="AD145" s="389">
        <f t="shared" si="36"/>
        <v>0</v>
      </c>
    </row>
    <row r="146" spans="1:30" s="390" customFormat="1" ht="15" customHeight="1">
      <c r="A146" s="167">
        <v>136</v>
      </c>
      <c r="B146" s="267" t="str">
        <f>VLOOKUP(A146,'JUNE (물량흐름)'!$A$13:$C$502,2,0)</f>
        <v>ANN TAYLOR</v>
      </c>
      <c r="C146" s="240">
        <f>VLOOKUP(A146,'JUNE (물량흐름)'!$A$13:$C$502,3,0)</f>
        <v>458624</v>
      </c>
      <c r="D146" s="6">
        <f>VLOOKUP(C146,'WIP(재공품)'!$B$12:$E$493,4,0)</f>
        <v>7936.2499999999991</v>
      </c>
      <c r="E146" s="6">
        <f>IFERROR(VLOOKUP(C146,O.B.JUNE!$AA$7:$AG$448,2,0),0)</f>
        <v>0</v>
      </c>
      <c r="F146" s="6">
        <f>IFERROR(VLOOKUP(C146,O.B.JUNE!$AA$7:$AG$448,3,0),0)</f>
        <v>0</v>
      </c>
      <c r="G146" s="6">
        <f>IFERROR(VLOOKUP(C146,O.B.JUNE!$AA$7:$AD$448,4,0),0)</f>
        <v>298</v>
      </c>
      <c r="H146" s="6">
        <f t="shared" si="28"/>
        <v>298</v>
      </c>
      <c r="I146" s="6">
        <f>IFERROR(VLOOKUP(C146,O.B.JUNE!$AA$7:$AF$448,6,0),0)</f>
        <v>238</v>
      </c>
      <c r="J146" s="6"/>
      <c r="K146" s="6">
        <f>IFERROR(VLOOKUP(C146,O.B.JUNE!$AA$7:$AG$448,7,0),0)</f>
        <v>3098296</v>
      </c>
      <c r="L146" s="6">
        <f>SUMIF('JUNE (물량흐름)'!$C$13:$C$502,'Direct labour(직접노무비)'!C146,'JUNE (물량흐름)'!$H$13:$H$502)+SUMIF('JUNE (물량흐름)'!$C$13:$C$502,'Direct labour(직접노무비)'!C146,'JUNE (물량흐름)'!$I$13:$I$502)</f>
        <v>0</v>
      </c>
      <c r="M146" s="6">
        <f t="shared" si="29"/>
        <v>0</v>
      </c>
      <c r="N146" s="6">
        <f t="shared" si="30"/>
        <v>0</v>
      </c>
      <c r="O146" s="6">
        <f t="shared" si="27"/>
        <v>0</v>
      </c>
      <c r="P146" s="6">
        <f>SUMIF('JUNE (물량흐름)'!$C$13:$C$502,C146,'JUNE (물량흐름)'!$T$13:$T$502)+SUMIF('JUNE (물량흐름)'!$C$13:$C$502,C146,'JUNE (물량흐름)'!$V$13:$V$502)+SUMIF('JUNE (물량흐름)'!$C$13:$C$502,C146,'JUNE (물량흐름)'!$U$13:$U$502)-SUMIF('JUNE (물량흐름)'!$C$13:$C$502,C146,'JUNE (물량흐름)'!$Y$13:$Y$502)</f>
        <v>0</v>
      </c>
      <c r="Q146" s="6">
        <f t="shared" si="37"/>
        <v>0</v>
      </c>
      <c r="R146" s="6">
        <f>ROUND(IF(ISERROR(VLOOKUP(#REF!,'WIP(재공품)'!$B$12:$AB$38,13,0)),0,VLOOKUP(#REF!,'WIP(재공품)'!$B$12:$AB$38,13,0)),0)</f>
        <v>0</v>
      </c>
      <c r="S146" s="6">
        <f>IF(ISERROR(VLOOKUP(#REF!,'WIP(재공품)'!$B$12:$AB$38,10,0)),0,VLOOKUP(#REF!,'WIP(재공품)'!$B$12:$AB$38,10,0))</f>
        <v>0</v>
      </c>
      <c r="T146" s="6">
        <f>SUMIF('JUNE (물량흐름)'!$C$13:$C$502,'Direct labour(직접노무비)'!C146,'JUNE (물량흐름)'!$Y$13:$Y$502)</f>
        <v>0</v>
      </c>
      <c r="U146" s="6">
        <f t="shared" si="31"/>
        <v>0</v>
      </c>
      <c r="V146" s="6">
        <f>ROUND(SUMIF('JUNE (물량흐름)'!$C$13:$C$502,'Direct labour(직접노무비)'!C146,'JUNE (물량흐름)'!$N$13:$N$502),0)</f>
        <v>0</v>
      </c>
      <c r="W146" s="6">
        <f>ROUND(SUMIF('JUNE (물량흐름)'!$C$13:$C$502,'Direct labour(직접노무비)'!C146,'JUNE (물량흐름)'!$O$13:$O$502),0)</f>
        <v>0</v>
      </c>
      <c r="X146" s="6">
        <f>ROUND(SUMIF('JUNE (물량흐름)'!$C$13:$C$502,'Direct labour(직접노무비)'!C146,'JUNE (물량흐름)'!$P$13:$P$502),0)</f>
        <v>298</v>
      </c>
      <c r="Y146" s="6">
        <f t="shared" si="32"/>
        <v>298</v>
      </c>
      <c r="Z146" s="6">
        <f t="shared" si="33"/>
        <v>238</v>
      </c>
      <c r="AA146" s="6">
        <f t="shared" si="38"/>
        <v>3098296</v>
      </c>
      <c r="AB146" s="389">
        <f t="shared" si="34"/>
        <v>0</v>
      </c>
      <c r="AC146" s="389">
        <f t="shared" si="35"/>
        <v>0</v>
      </c>
      <c r="AD146" s="389">
        <f t="shared" si="36"/>
        <v>0</v>
      </c>
    </row>
    <row r="147" spans="1:30" s="390" customFormat="1" ht="15" customHeight="1">
      <c r="A147" s="167">
        <v>137</v>
      </c>
      <c r="B147" s="267" t="str">
        <f>VLOOKUP(A147,'JUNE (물량흐름)'!$A$13:$C$502,2,0)</f>
        <v>ANN TAYLOR</v>
      </c>
      <c r="C147" s="240">
        <f>VLOOKUP(A147,'JUNE (물량흐름)'!$A$13:$C$502,3,0)</f>
        <v>458626</v>
      </c>
      <c r="D147" s="6">
        <f>VLOOKUP(C147,'WIP(재공품)'!$B$12:$E$493,4,0)</f>
        <v>7936.2499999999991</v>
      </c>
      <c r="E147" s="6">
        <f>IFERROR(VLOOKUP(C147,O.B.JUNE!$AA$7:$AG$448,2,0),0)</f>
        <v>0</v>
      </c>
      <c r="F147" s="6">
        <f>IFERROR(VLOOKUP(C147,O.B.JUNE!$AA$7:$AG$448,3,0),0)</f>
        <v>0</v>
      </c>
      <c r="G147" s="6">
        <f>IFERROR(VLOOKUP(C147,O.B.JUNE!$AA$7:$AD$448,4,0),0)</f>
        <v>165</v>
      </c>
      <c r="H147" s="6">
        <f t="shared" si="28"/>
        <v>165</v>
      </c>
      <c r="I147" s="6">
        <f>IFERROR(VLOOKUP(C147,O.B.JUNE!$AA$7:$AF$448,6,0),0)</f>
        <v>132</v>
      </c>
      <c r="J147" s="6"/>
      <c r="K147" s="6">
        <f>IFERROR(VLOOKUP(C147,O.B.JUNE!$AA$7:$AG$448,7,0),0)</f>
        <v>1050115</v>
      </c>
      <c r="L147" s="6">
        <f>SUMIF('JUNE (물량흐름)'!$C$13:$C$502,'Direct labour(직접노무비)'!C147,'JUNE (물량흐름)'!$H$13:$H$502)+SUMIF('JUNE (물량흐름)'!$C$13:$C$502,'Direct labour(직접노무비)'!C147,'JUNE (물량흐름)'!$I$13:$I$502)</f>
        <v>0</v>
      </c>
      <c r="M147" s="6">
        <f t="shared" si="29"/>
        <v>0</v>
      </c>
      <c r="N147" s="6">
        <f t="shared" si="30"/>
        <v>0</v>
      </c>
      <c r="O147" s="6">
        <f t="shared" si="27"/>
        <v>0</v>
      </c>
      <c r="P147" s="6">
        <f>SUMIF('JUNE (물량흐름)'!$C$13:$C$502,C147,'JUNE (물량흐름)'!$T$13:$T$502)+SUMIF('JUNE (물량흐름)'!$C$13:$C$502,C147,'JUNE (물량흐름)'!$V$13:$V$502)+SUMIF('JUNE (물량흐름)'!$C$13:$C$502,C147,'JUNE (물량흐름)'!$U$13:$U$502)-SUMIF('JUNE (물량흐름)'!$C$13:$C$502,C147,'JUNE (물량흐름)'!$Y$13:$Y$502)</f>
        <v>0</v>
      </c>
      <c r="Q147" s="6">
        <f t="shared" si="37"/>
        <v>0</v>
      </c>
      <c r="R147" s="6">
        <f>ROUND(IF(ISERROR(VLOOKUP(#REF!,'WIP(재공품)'!$B$12:$AB$38,13,0)),0,VLOOKUP(#REF!,'WIP(재공품)'!$B$12:$AB$38,13,0)),0)</f>
        <v>0</v>
      </c>
      <c r="S147" s="6">
        <f>IF(ISERROR(VLOOKUP(#REF!,'WIP(재공품)'!$B$12:$AB$38,10,0)),0,VLOOKUP(#REF!,'WIP(재공품)'!$B$12:$AB$38,10,0))</f>
        <v>0</v>
      </c>
      <c r="T147" s="6">
        <f>SUMIF('JUNE (물량흐름)'!$C$13:$C$502,'Direct labour(직접노무비)'!C147,'JUNE (물량흐름)'!$Y$13:$Y$502)</f>
        <v>0</v>
      </c>
      <c r="U147" s="6">
        <f t="shared" si="31"/>
        <v>0</v>
      </c>
      <c r="V147" s="6">
        <f>ROUND(SUMIF('JUNE (물량흐름)'!$C$13:$C$502,'Direct labour(직접노무비)'!C147,'JUNE (물량흐름)'!$N$13:$N$502),0)</f>
        <v>0</v>
      </c>
      <c r="W147" s="6">
        <f>ROUND(SUMIF('JUNE (물량흐름)'!$C$13:$C$502,'Direct labour(직접노무비)'!C147,'JUNE (물량흐름)'!$O$13:$O$502),0)</f>
        <v>0</v>
      </c>
      <c r="X147" s="6">
        <f>ROUND(SUMIF('JUNE (물량흐름)'!$C$13:$C$502,'Direct labour(직접노무비)'!C147,'JUNE (물량흐름)'!$P$13:$P$502),0)</f>
        <v>165</v>
      </c>
      <c r="Y147" s="6">
        <f t="shared" si="32"/>
        <v>165</v>
      </c>
      <c r="Z147" s="6">
        <f t="shared" si="33"/>
        <v>132</v>
      </c>
      <c r="AA147" s="6">
        <f t="shared" si="38"/>
        <v>1050115</v>
      </c>
      <c r="AB147" s="389">
        <f t="shared" si="34"/>
        <v>0</v>
      </c>
      <c r="AC147" s="389">
        <f t="shared" si="35"/>
        <v>0</v>
      </c>
      <c r="AD147" s="389">
        <f t="shared" si="36"/>
        <v>0</v>
      </c>
    </row>
    <row r="148" spans="1:30" s="390" customFormat="1" ht="15" customHeight="1">
      <c r="A148" s="167">
        <v>138</v>
      </c>
      <c r="B148" s="267" t="str">
        <f>VLOOKUP(A148,'JUNE (물량흐름)'!$A$13:$C$502,2,0)</f>
        <v>ANN TAYLOR</v>
      </c>
      <c r="C148" s="240">
        <f>VLOOKUP(A148,'JUNE (물량흐름)'!$A$13:$C$502,3,0)</f>
        <v>459044</v>
      </c>
      <c r="D148" s="6">
        <f>VLOOKUP(C148,'WIP(재공품)'!$B$12:$E$493,4,0)</f>
        <v>7936.2499999999991</v>
      </c>
      <c r="E148" s="6">
        <f>IFERROR(VLOOKUP(C148,O.B.JUNE!$AA$7:$AG$448,2,0),0)</f>
        <v>0</v>
      </c>
      <c r="F148" s="6">
        <f>IFERROR(VLOOKUP(C148,O.B.JUNE!$AA$7:$AG$448,3,0),0)</f>
        <v>0</v>
      </c>
      <c r="G148" s="6">
        <f>IFERROR(VLOOKUP(C148,O.B.JUNE!$AA$7:$AD$448,4,0),0)</f>
        <v>109</v>
      </c>
      <c r="H148" s="6">
        <f t="shared" si="28"/>
        <v>109</v>
      </c>
      <c r="I148" s="6">
        <f>IFERROR(VLOOKUP(C148,O.B.JUNE!$AA$7:$AF$448,6,0),0)</f>
        <v>87</v>
      </c>
      <c r="J148" s="6"/>
      <c r="K148" s="6">
        <f>IFERROR(VLOOKUP(C148,O.B.JUNE!$AA$7:$AG$448,7,0),0)</f>
        <v>643496</v>
      </c>
      <c r="L148" s="6">
        <f>SUMIF('JUNE (물량흐름)'!$C$13:$C$502,'Direct labour(직접노무비)'!C148,'JUNE (물량흐름)'!$H$13:$H$502)+SUMIF('JUNE (물량흐름)'!$C$13:$C$502,'Direct labour(직접노무비)'!C148,'JUNE (물량흐름)'!$I$13:$I$502)</f>
        <v>0</v>
      </c>
      <c r="M148" s="6">
        <f t="shared" si="29"/>
        <v>0</v>
      </c>
      <c r="N148" s="6">
        <f t="shared" si="30"/>
        <v>0</v>
      </c>
      <c r="O148" s="6">
        <f t="shared" si="27"/>
        <v>0</v>
      </c>
      <c r="P148" s="6">
        <f>SUMIF('JUNE (물량흐름)'!$C$13:$C$502,C148,'JUNE (물량흐름)'!$T$13:$T$502)+SUMIF('JUNE (물량흐름)'!$C$13:$C$502,C148,'JUNE (물량흐름)'!$V$13:$V$502)+SUMIF('JUNE (물량흐름)'!$C$13:$C$502,C148,'JUNE (물량흐름)'!$U$13:$U$502)-SUMIF('JUNE (물량흐름)'!$C$13:$C$502,C148,'JUNE (물량흐름)'!$Y$13:$Y$502)</f>
        <v>0</v>
      </c>
      <c r="Q148" s="6">
        <f t="shared" si="37"/>
        <v>0</v>
      </c>
      <c r="R148" s="6">
        <f>ROUND(IF(ISERROR(VLOOKUP(#REF!,'WIP(재공품)'!$B$12:$AB$38,13,0)),0,VLOOKUP(#REF!,'WIP(재공품)'!$B$12:$AB$38,13,0)),0)</f>
        <v>0</v>
      </c>
      <c r="S148" s="6">
        <f>IF(ISERROR(VLOOKUP(#REF!,'WIP(재공품)'!$B$12:$AB$38,10,0)),0,VLOOKUP(#REF!,'WIP(재공품)'!$B$12:$AB$38,10,0))</f>
        <v>0</v>
      </c>
      <c r="T148" s="6">
        <f>SUMIF('JUNE (물량흐름)'!$C$13:$C$502,'Direct labour(직접노무비)'!C148,'JUNE (물량흐름)'!$Y$13:$Y$502)</f>
        <v>0</v>
      </c>
      <c r="U148" s="6">
        <f t="shared" si="31"/>
        <v>0</v>
      </c>
      <c r="V148" s="6">
        <f>ROUND(SUMIF('JUNE (물량흐름)'!$C$13:$C$502,'Direct labour(직접노무비)'!C148,'JUNE (물량흐름)'!$N$13:$N$502),0)</f>
        <v>0</v>
      </c>
      <c r="W148" s="6">
        <f>ROUND(SUMIF('JUNE (물량흐름)'!$C$13:$C$502,'Direct labour(직접노무비)'!C148,'JUNE (물량흐름)'!$O$13:$O$502),0)</f>
        <v>0</v>
      </c>
      <c r="X148" s="6">
        <f>ROUND(SUMIF('JUNE (물량흐름)'!$C$13:$C$502,'Direct labour(직접노무비)'!C148,'JUNE (물량흐름)'!$P$13:$P$502),0)</f>
        <v>109</v>
      </c>
      <c r="Y148" s="6">
        <f t="shared" si="32"/>
        <v>109</v>
      </c>
      <c r="Z148" s="6">
        <f t="shared" si="33"/>
        <v>87</v>
      </c>
      <c r="AA148" s="6">
        <f t="shared" si="38"/>
        <v>643496</v>
      </c>
      <c r="AB148" s="389">
        <f t="shared" si="34"/>
        <v>0</v>
      </c>
      <c r="AC148" s="389">
        <f t="shared" si="35"/>
        <v>0</v>
      </c>
      <c r="AD148" s="389">
        <f t="shared" si="36"/>
        <v>0</v>
      </c>
    </row>
    <row r="149" spans="1:30" s="390" customFormat="1" ht="15" customHeight="1">
      <c r="A149" s="167">
        <v>139</v>
      </c>
      <c r="B149" s="267" t="str">
        <f>VLOOKUP(A149,'JUNE (물량흐름)'!$A$13:$C$502,2,0)</f>
        <v>ANN TAYLOR</v>
      </c>
      <c r="C149" s="240">
        <f>VLOOKUP(A149,'JUNE (물량흐름)'!$A$13:$C$502,3,0)</f>
        <v>459046</v>
      </c>
      <c r="D149" s="6">
        <f>VLOOKUP(C149,'WIP(재공품)'!$B$12:$E$493,4,0)</f>
        <v>36280</v>
      </c>
      <c r="E149" s="6">
        <f>IFERROR(VLOOKUP(C149,O.B.JUNE!$AA$7:$AG$448,2,0),0)</f>
        <v>0</v>
      </c>
      <c r="F149" s="6">
        <f>IFERROR(VLOOKUP(C149,O.B.JUNE!$AA$7:$AG$448,3,0),0)</f>
        <v>0</v>
      </c>
      <c r="G149" s="6">
        <f>IFERROR(VLOOKUP(C149,O.B.JUNE!$AA$7:$AD$448,4,0),0)</f>
        <v>126</v>
      </c>
      <c r="H149" s="6">
        <f t="shared" si="28"/>
        <v>126</v>
      </c>
      <c r="I149" s="6">
        <f>IFERROR(VLOOKUP(C149,O.B.JUNE!$AA$7:$AF$448,6,0),0)</f>
        <v>101</v>
      </c>
      <c r="J149" s="6"/>
      <c r="K149" s="6">
        <f>IFERROR(VLOOKUP(C149,O.B.JUNE!$AA$7:$AG$448,7,0),0)</f>
        <v>713081</v>
      </c>
      <c r="L149" s="6">
        <f>SUMIF('JUNE (물량흐름)'!$C$13:$C$502,'Direct labour(직접노무비)'!C149,'JUNE (물량흐름)'!$H$13:$H$502)+SUMIF('JUNE (물량흐름)'!$C$13:$C$502,'Direct labour(직접노무비)'!C149,'JUNE (물량흐름)'!$I$13:$I$502)</f>
        <v>0</v>
      </c>
      <c r="M149" s="6">
        <f t="shared" si="29"/>
        <v>0</v>
      </c>
      <c r="N149" s="6">
        <f t="shared" si="30"/>
        <v>0</v>
      </c>
      <c r="O149" s="6">
        <f t="shared" si="27"/>
        <v>0</v>
      </c>
      <c r="P149" s="6">
        <f>SUMIF('JUNE (물량흐름)'!$C$13:$C$502,C149,'JUNE (물량흐름)'!$T$13:$T$502)+SUMIF('JUNE (물량흐름)'!$C$13:$C$502,C149,'JUNE (물량흐름)'!$V$13:$V$502)+SUMIF('JUNE (물량흐름)'!$C$13:$C$502,C149,'JUNE (물량흐름)'!$U$13:$U$502)-SUMIF('JUNE (물량흐름)'!$C$13:$C$502,C149,'JUNE (물량흐름)'!$Y$13:$Y$502)</f>
        <v>0</v>
      </c>
      <c r="Q149" s="6">
        <f t="shared" si="37"/>
        <v>0</v>
      </c>
      <c r="R149" s="6">
        <f>ROUND(IF(ISERROR(VLOOKUP(#REF!,'WIP(재공품)'!$B$12:$AB$38,13,0)),0,VLOOKUP(#REF!,'WIP(재공품)'!$B$12:$AB$38,13,0)),0)</f>
        <v>0</v>
      </c>
      <c r="S149" s="6">
        <f>IF(ISERROR(VLOOKUP(#REF!,'WIP(재공품)'!$B$12:$AB$38,10,0)),0,VLOOKUP(#REF!,'WIP(재공품)'!$B$12:$AB$38,10,0))</f>
        <v>0</v>
      </c>
      <c r="T149" s="6">
        <f>SUMIF('JUNE (물량흐름)'!$C$13:$C$502,'Direct labour(직접노무비)'!C149,'JUNE (물량흐름)'!$Y$13:$Y$502)</f>
        <v>0</v>
      </c>
      <c r="U149" s="6">
        <f t="shared" si="31"/>
        <v>0</v>
      </c>
      <c r="V149" s="6">
        <f>ROUND(SUMIF('JUNE (물량흐름)'!$C$13:$C$502,'Direct labour(직접노무비)'!C149,'JUNE (물량흐름)'!$N$13:$N$502),0)</f>
        <v>0</v>
      </c>
      <c r="W149" s="6">
        <f>ROUND(SUMIF('JUNE (물량흐름)'!$C$13:$C$502,'Direct labour(직접노무비)'!C149,'JUNE (물량흐름)'!$O$13:$O$502),0)</f>
        <v>0</v>
      </c>
      <c r="X149" s="6">
        <f>ROUND(SUMIF('JUNE (물량흐름)'!$C$13:$C$502,'Direct labour(직접노무비)'!C149,'JUNE (물량흐름)'!$P$13:$P$502),0)</f>
        <v>126</v>
      </c>
      <c r="Y149" s="6">
        <f t="shared" si="32"/>
        <v>126</v>
      </c>
      <c r="Z149" s="6">
        <f t="shared" si="33"/>
        <v>101</v>
      </c>
      <c r="AA149" s="6">
        <f t="shared" si="38"/>
        <v>713081</v>
      </c>
      <c r="AB149" s="389">
        <f t="shared" si="34"/>
        <v>0</v>
      </c>
      <c r="AC149" s="389">
        <f t="shared" si="35"/>
        <v>0</v>
      </c>
      <c r="AD149" s="389">
        <f t="shared" si="36"/>
        <v>0</v>
      </c>
    </row>
    <row r="150" spans="1:30" s="390" customFormat="1" ht="15" customHeight="1">
      <c r="A150" s="167">
        <v>140</v>
      </c>
      <c r="B150" s="267" t="str">
        <f>VLOOKUP(A150,'JUNE (물량흐름)'!$A$13:$C$502,2,0)</f>
        <v>ANN TAYLOR</v>
      </c>
      <c r="C150" s="240">
        <f>VLOOKUP(A150,'JUNE (물량흐름)'!$A$13:$C$502,3,0)</f>
        <v>459199</v>
      </c>
      <c r="D150" s="6">
        <f>VLOOKUP(C150,'WIP(재공품)'!$B$12:$E$493,4,0)</f>
        <v>7936.2499999999991</v>
      </c>
      <c r="E150" s="6">
        <f>IFERROR(VLOOKUP(C150,O.B.JUNE!$AA$7:$AG$448,2,0),0)</f>
        <v>0</v>
      </c>
      <c r="F150" s="6">
        <f>IFERROR(VLOOKUP(C150,O.B.JUNE!$AA$7:$AG$448,3,0),0)</f>
        <v>0</v>
      </c>
      <c r="G150" s="6">
        <f>IFERROR(VLOOKUP(C150,O.B.JUNE!$AA$7:$AD$448,4,0),0)</f>
        <v>130</v>
      </c>
      <c r="H150" s="6">
        <f t="shared" si="28"/>
        <v>130</v>
      </c>
      <c r="I150" s="6">
        <f>IFERROR(VLOOKUP(C150,O.B.JUNE!$AA$7:$AF$448,6,0),0)</f>
        <v>104</v>
      </c>
      <c r="J150" s="6"/>
      <c r="K150" s="6">
        <f>IFERROR(VLOOKUP(C150,O.B.JUNE!$AA$7:$AG$448,7,0),0)</f>
        <v>1321275</v>
      </c>
      <c r="L150" s="6">
        <f>SUMIF('JUNE (물량흐름)'!$C$13:$C$502,'Direct labour(직접노무비)'!C150,'JUNE (물량흐름)'!$H$13:$H$502)+SUMIF('JUNE (물량흐름)'!$C$13:$C$502,'Direct labour(직접노무비)'!C150,'JUNE (물량흐름)'!$I$13:$I$502)</f>
        <v>0</v>
      </c>
      <c r="M150" s="6">
        <f t="shared" si="29"/>
        <v>0</v>
      </c>
      <c r="N150" s="6">
        <f t="shared" si="30"/>
        <v>0</v>
      </c>
      <c r="O150" s="6">
        <f t="shared" si="27"/>
        <v>0</v>
      </c>
      <c r="P150" s="6">
        <f>SUMIF('JUNE (물량흐름)'!$C$13:$C$502,C150,'JUNE (물량흐름)'!$T$13:$T$502)+SUMIF('JUNE (물량흐름)'!$C$13:$C$502,C150,'JUNE (물량흐름)'!$V$13:$V$502)+SUMIF('JUNE (물량흐름)'!$C$13:$C$502,C150,'JUNE (물량흐름)'!$U$13:$U$502)-SUMIF('JUNE (물량흐름)'!$C$13:$C$502,C150,'JUNE (물량흐름)'!$Y$13:$Y$502)</f>
        <v>0</v>
      </c>
      <c r="Q150" s="6">
        <f t="shared" si="37"/>
        <v>0</v>
      </c>
      <c r="R150" s="6">
        <f>ROUND(IF(ISERROR(VLOOKUP(#REF!,'WIP(재공품)'!$B$12:$AB$38,13,0)),0,VLOOKUP(#REF!,'WIP(재공품)'!$B$12:$AB$38,13,0)),0)</f>
        <v>0</v>
      </c>
      <c r="S150" s="6">
        <f>IF(ISERROR(VLOOKUP(#REF!,'WIP(재공품)'!$B$12:$AB$38,10,0)),0,VLOOKUP(#REF!,'WIP(재공품)'!$B$12:$AB$38,10,0))</f>
        <v>0</v>
      </c>
      <c r="T150" s="6">
        <f>SUMIF('JUNE (물량흐름)'!$C$13:$C$502,'Direct labour(직접노무비)'!C150,'JUNE (물량흐름)'!$Y$13:$Y$502)</f>
        <v>0</v>
      </c>
      <c r="U150" s="6">
        <f t="shared" si="31"/>
        <v>0</v>
      </c>
      <c r="V150" s="6">
        <f>ROUND(SUMIF('JUNE (물량흐름)'!$C$13:$C$502,'Direct labour(직접노무비)'!C150,'JUNE (물량흐름)'!$N$13:$N$502),0)</f>
        <v>0</v>
      </c>
      <c r="W150" s="6">
        <f>ROUND(SUMIF('JUNE (물량흐름)'!$C$13:$C$502,'Direct labour(직접노무비)'!C150,'JUNE (물량흐름)'!$O$13:$O$502),0)</f>
        <v>0</v>
      </c>
      <c r="X150" s="6">
        <f>ROUND(SUMIF('JUNE (물량흐름)'!$C$13:$C$502,'Direct labour(직접노무비)'!C150,'JUNE (물량흐름)'!$P$13:$P$502),0)</f>
        <v>130</v>
      </c>
      <c r="Y150" s="6">
        <f t="shared" si="32"/>
        <v>130</v>
      </c>
      <c r="Z150" s="6">
        <f t="shared" si="33"/>
        <v>104</v>
      </c>
      <c r="AA150" s="6">
        <f t="shared" si="38"/>
        <v>1321275</v>
      </c>
      <c r="AB150" s="389">
        <f t="shared" si="34"/>
        <v>0</v>
      </c>
      <c r="AC150" s="389">
        <f t="shared" si="35"/>
        <v>0</v>
      </c>
      <c r="AD150" s="389">
        <f t="shared" si="36"/>
        <v>0</v>
      </c>
    </row>
    <row r="151" spans="1:30" s="390" customFormat="1" ht="15" customHeight="1">
      <c r="A151" s="167">
        <v>141</v>
      </c>
      <c r="B151" s="267" t="str">
        <f>VLOOKUP(A151,'JUNE (물량흐름)'!$A$13:$C$502,2,0)</f>
        <v>ANN TAYLOR</v>
      </c>
      <c r="C151" s="240">
        <f>VLOOKUP(A151,'JUNE (물량흐름)'!$A$13:$C$502,3,0)</f>
        <v>459200</v>
      </c>
      <c r="D151" s="6">
        <f>VLOOKUP(C151,'WIP(재공품)'!$B$12:$E$493,4,0)</f>
        <v>7936.2499999999991</v>
      </c>
      <c r="E151" s="6">
        <f>IFERROR(VLOOKUP(C151,O.B.JUNE!$AA$7:$AG$448,2,0),0)</f>
        <v>0</v>
      </c>
      <c r="F151" s="6">
        <f>IFERROR(VLOOKUP(C151,O.B.JUNE!$AA$7:$AG$448,3,0),0)</f>
        <v>0</v>
      </c>
      <c r="G151" s="6">
        <f>IFERROR(VLOOKUP(C151,O.B.JUNE!$AA$7:$AD$448,4,0),0)</f>
        <v>91</v>
      </c>
      <c r="H151" s="6">
        <f t="shared" si="28"/>
        <v>91</v>
      </c>
      <c r="I151" s="6">
        <f>IFERROR(VLOOKUP(C151,O.B.JUNE!$AA$7:$AF$448,6,0),0)</f>
        <v>73</v>
      </c>
      <c r="J151" s="6"/>
      <c r="K151" s="6">
        <f>IFERROR(VLOOKUP(C151,O.B.JUNE!$AA$7:$AG$448,7,0),0)</f>
        <v>509571</v>
      </c>
      <c r="L151" s="6">
        <f>SUMIF('JUNE (물량흐름)'!$C$13:$C$502,'Direct labour(직접노무비)'!C151,'JUNE (물량흐름)'!$H$13:$H$502)+SUMIF('JUNE (물량흐름)'!$C$13:$C$502,'Direct labour(직접노무비)'!C151,'JUNE (물량흐름)'!$I$13:$I$502)</f>
        <v>0</v>
      </c>
      <c r="M151" s="6">
        <f t="shared" si="29"/>
        <v>0</v>
      </c>
      <c r="N151" s="6">
        <f t="shared" si="30"/>
        <v>0</v>
      </c>
      <c r="O151" s="6">
        <f t="shared" si="27"/>
        <v>0</v>
      </c>
      <c r="P151" s="6">
        <f>SUMIF('JUNE (물량흐름)'!$C$13:$C$502,C151,'JUNE (물량흐름)'!$T$13:$T$502)+SUMIF('JUNE (물량흐름)'!$C$13:$C$502,C151,'JUNE (물량흐름)'!$V$13:$V$502)+SUMIF('JUNE (물량흐름)'!$C$13:$C$502,C151,'JUNE (물량흐름)'!$U$13:$U$502)-SUMIF('JUNE (물량흐름)'!$C$13:$C$502,C151,'JUNE (물량흐름)'!$Y$13:$Y$502)</f>
        <v>0</v>
      </c>
      <c r="Q151" s="6">
        <f t="shared" si="37"/>
        <v>0</v>
      </c>
      <c r="R151" s="6">
        <f>ROUND(IF(ISERROR(VLOOKUP(#REF!,'WIP(재공품)'!$B$12:$AB$38,13,0)),0,VLOOKUP(#REF!,'WIP(재공품)'!$B$12:$AB$38,13,0)),0)</f>
        <v>0</v>
      </c>
      <c r="S151" s="6">
        <f>IF(ISERROR(VLOOKUP(#REF!,'WIP(재공품)'!$B$12:$AB$38,10,0)),0,VLOOKUP(#REF!,'WIP(재공품)'!$B$12:$AB$38,10,0))</f>
        <v>0</v>
      </c>
      <c r="T151" s="6">
        <f>SUMIF('JUNE (물량흐름)'!$C$13:$C$502,'Direct labour(직접노무비)'!C151,'JUNE (물량흐름)'!$Y$13:$Y$502)</f>
        <v>0</v>
      </c>
      <c r="U151" s="6">
        <f t="shared" si="31"/>
        <v>0</v>
      </c>
      <c r="V151" s="6">
        <f>ROUND(SUMIF('JUNE (물량흐름)'!$C$13:$C$502,'Direct labour(직접노무비)'!C151,'JUNE (물량흐름)'!$N$13:$N$502),0)</f>
        <v>0</v>
      </c>
      <c r="W151" s="6">
        <f>ROUND(SUMIF('JUNE (물량흐름)'!$C$13:$C$502,'Direct labour(직접노무비)'!C151,'JUNE (물량흐름)'!$O$13:$O$502),0)</f>
        <v>0</v>
      </c>
      <c r="X151" s="6">
        <f>ROUND(SUMIF('JUNE (물량흐름)'!$C$13:$C$502,'Direct labour(직접노무비)'!C151,'JUNE (물량흐름)'!$P$13:$P$502),0)</f>
        <v>91</v>
      </c>
      <c r="Y151" s="6">
        <f t="shared" si="32"/>
        <v>91</v>
      </c>
      <c r="Z151" s="6">
        <f t="shared" si="33"/>
        <v>73</v>
      </c>
      <c r="AA151" s="6">
        <f t="shared" si="38"/>
        <v>509571</v>
      </c>
      <c r="AB151" s="389">
        <f t="shared" si="34"/>
        <v>0</v>
      </c>
      <c r="AC151" s="389">
        <f t="shared" si="35"/>
        <v>0</v>
      </c>
      <c r="AD151" s="389">
        <f t="shared" si="36"/>
        <v>0</v>
      </c>
    </row>
    <row r="152" spans="1:30" s="390" customFormat="1" ht="15" customHeight="1">
      <c r="A152" s="167">
        <v>142</v>
      </c>
      <c r="B152" s="267" t="str">
        <f>VLOOKUP(A152,'JUNE (물량흐름)'!$A$13:$C$502,2,0)</f>
        <v>ANN TAYLOR</v>
      </c>
      <c r="C152" s="240">
        <f>VLOOKUP(A152,'JUNE (물량흐름)'!$A$13:$C$502,3,0)</f>
        <v>459648</v>
      </c>
      <c r="D152" s="6">
        <f>VLOOKUP(C152,'WIP(재공품)'!$B$12:$E$493,4,0)</f>
        <v>7936.2499999999991</v>
      </c>
      <c r="E152" s="6">
        <f>IFERROR(VLOOKUP(C152,O.B.JUNE!$AA$7:$AG$448,2,0),0)</f>
        <v>0</v>
      </c>
      <c r="F152" s="6">
        <f>IFERROR(VLOOKUP(C152,O.B.JUNE!$AA$7:$AG$448,3,0),0)</f>
        <v>0</v>
      </c>
      <c r="G152" s="6">
        <f>IFERROR(VLOOKUP(C152,O.B.JUNE!$AA$7:$AD$448,4,0),0)</f>
        <v>111</v>
      </c>
      <c r="H152" s="6">
        <f t="shared" si="28"/>
        <v>111</v>
      </c>
      <c r="I152" s="6">
        <f>IFERROR(VLOOKUP(C152,O.B.JUNE!$AA$7:$AF$448,6,0),0)</f>
        <v>89</v>
      </c>
      <c r="J152" s="6"/>
      <c r="K152" s="6">
        <f>IFERROR(VLOOKUP(C152,O.B.JUNE!$AA$7:$AG$448,7,0),0)</f>
        <v>704031</v>
      </c>
      <c r="L152" s="6">
        <f>SUMIF('JUNE (물량흐름)'!$C$13:$C$502,'Direct labour(직접노무비)'!C152,'JUNE (물량흐름)'!$H$13:$H$502)+SUMIF('JUNE (물량흐름)'!$C$13:$C$502,'Direct labour(직접노무비)'!C152,'JUNE (물량흐름)'!$I$13:$I$502)</f>
        <v>0</v>
      </c>
      <c r="M152" s="6">
        <f t="shared" si="29"/>
        <v>0</v>
      </c>
      <c r="N152" s="6">
        <f t="shared" si="30"/>
        <v>0</v>
      </c>
      <c r="O152" s="6">
        <f t="shared" si="27"/>
        <v>0</v>
      </c>
      <c r="P152" s="6">
        <f>SUMIF('JUNE (물량흐름)'!$C$13:$C$502,C152,'JUNE (물량흐름)'!$T$13:$T$502)+SUMIF('JUNE (물량흐름)'!$C$13:$C$502,C152,'JUNE (물량흐름)'!$V$13:$V$502)+SUMIF('JUNE (물량흐름)'!$C$13:$C$502,C152,'JUNE (물량흐름)'!$U$13:$U$502)-SUMIF('JUNE (물량흐름)'!$C$13:$C$502,C152,'JUNE (물량흐름)'!$Y$13:$Y$502)</f>
        <v>0</v>
      </c>
      <c r="Q152" s="6">
        <f t="shared" si="37"/>
        <v>0</v>
      </c>
      <c r="R152" s="6">
        <f>ROUND(IF(ISERROR(VLOOKUP(#REF!,'WIP(재공품)'!$B$12:$AB$38,13,0)),0,VLOOKUP(#REF!,'WIP(재공품)'!$B$12:$AB$38,13,0)),0)</f>
        <v>0</v>
      </c>
      <c r="S152" s="6">
        <f>IF(ISERROR(VLOOKUP(#REF!,'WIP(재공품)'!$B$12:$AB$38,10,0)),0,VLOOKUP(#REF!,'WIP(재공품)'!$B$12:$AB$38,10,0))</f>
        <v>0</v>
      </c>
      <c r="T152" s="6">
        <f>SUMIF('JUNE (물량흐름)'!$C$13:$C$502,'Direct labour(직접노무비)'!C152,'JUNE (물량흐름)'!$Y$13:$Y$502)</f>
        <v>0</v>
      </c>
      <c r="U152" s="6">
        <f t="shared" si="31"/>
        <v>0</v>
      </c>
      <c r="V152" s="6">
        <f>ROUND(SUMIF('JUNE (물량흐름)'!$C$13:$C$502,'Direct labour(직접노무비)'!C152,'JUNE (물량흐름)'!$N$13:$N$502),0)</f>
        <v>0</v>
      </c>
      <c r="W152" s="6">
        <f>ROUND(SUMIF('JUNE (물량흐름)'!$C$13:$C$502,'Direct labour(직접노무비)'!C152,'JUNE (물량흐름)'!$O$13:$O$502),0)</f>
        <v>0</v>
      </c>
      <c r="X152" s="6">
        <f>ROUND(SUMIF('JUNE (물량흐름)'!$C$13:$C$502,'Direct labour(직접노무비)'!C152,'JUNE (물량흐름)'!$P$13:$P$502),0)</f>
        <v>111</v>
      </c>
      <c r="Y152" s="6">
        <f t="shared" si="32"/>
        <v>111</v>
      </c>
      <c r="Z152" s="6">
        <f t="shared" si="33"/>
        <v>89</v>
      </c>
      <c r="AA152" s="6">
        <f t="shared" si="38"/>
        <v>704031</v>
      </c>
      <c r="AB152" s="389">
        <f t="shared" si="34"/>
        <v>0</v>
      </c>
      <c r="AC152" s="389">
        <f t="shared" si="35"/>
        <v>0</v>
      </c>
      <c r="AD152" s="389">
        <f t="shared" si="36"/>
        <v>0</v>
      </c>
    </row>
    <row r="153" spans="1:30" s="390" customFormat="1" ht="15" customHeight="1">
      <c r="A153" s="167">
        <v>143</v>
      </c>
      <c r="B153" s="267" t="str">
        <f>VLOOKUP(A153,'JUNE (물량흐름)'!$A$13:$C$502,2,0)</f>
        <v>ANN TAYLOR</v>
      </c>
      <c r="C153" s="240">
        <f>VLOOKUP(A153,'JUNE (물량흐름)'!$A$13:$C$502,3,0)</f>
        <v>459700</v>
      </c>
      <c r="D153" s="6">
        <f>VLOOKUP(C153,'WIP(재공품)'!$B$12:$E$493,4,0)</f>
        <v>32878.75</v>
      </c>
      <c r="E153" s="6">
        <f>IFERROR(VLOOKUP(C153,O.B.JUNE!$AA$7:$AG$448,2,0),0)</f>
        <v>0</v>
      </c>
      <c r="F153" s="6">
        <f>IFERROR(VLOOKUP(C153,O.B.JUNE!$AA$7:$AG$448,3,0),0)</f>
        <v>0</v>
      </c>
      <c r="G153" s="6">
        <f>IFERROR(VLOOKUP(C153,O.B.JUNE!$AA$7:$AD$448,4,0),0)</f>
        <v>78</v>
      </c>
      <c r="H153" s="6">
        <f t="shared" si="28"/>
        <v>78</v>
      </c>
      <c r="I153" s="6">
        <f>IFERROR(VLOOKUP(C153,O.B.JUNE!$AA$7:$AF$448,6,0),0)</f>
        <v>62</v>
      </c>
      <c r="J153" s="6"/>
      <c r="K153" s="6">
        <f>IFERROR(VLOOKUP(C153,O.B.JUNE!$AA$7:$AG$448,7,0),0)</f>
        <v>391007</v>
      </c>
      <c r="L153" s="6">
        <f>SUMIF('JUNE (물량흐름)'!$C$13:$C$502,'Direct labour(직접노무비)'!C153,'JUNE (물량흐름)'!$H$13:$H$502)+SUMIF('JUNE (물량흐름)'!$C$13:$C$502,'Direct labour(직접노무비)'!C153,'JUNE (물량흐름)'!$I$13:$I$502)</f>
        <v>0</v>
      </c>
      <c r="M153" s="6">
        <f t="shared" si="29"/>
        <v>0</v>
      </c>
      <c r="N153" s="6">
        <f t="shared" si="30"/>
        <v>0</v>
      </c>
      <c r="O153" s="6">
        <f t="shared" si="27"/>
        <v>0</v>
      </c>
      <c r="P153" s="6">
        <f>SUMIF('JUNE (물량흐름)'!$C$13:$C$502,C153,'JUNE (물량흐름)'!$T$13:$T$502)+SUMIF('JUNE (물량흐름)'!$C$13:$C$502,C153,'JUNE (물량흐름)'!$V$13:$V$502)+SUMIF('JUNE (물량흐름)'!$C$13:$C$502,C153,'JUNE (물량흐름)'!$U$13:$U$502)-SUMIF('JUNE (물량흐름)'!$C$13:$C$502,C153,'JUNE (물량흐름)'!$Y$13:$Y$502)</f>
        <v>0</v>
      </c>
      <c r="Q153" s="6">
        <f t="shared" si="37"/>
        <v>0</v>
      </c>
      <c r="R153" s="6">
        <f>ROUND(IF(ISERROR(VLOOKUP(#REF!,'WIP(재공품)'!$B$12:$AB$38,13,0)),0,VLOOKUP(#REF!,'WIP(재공품)'!$B$12:$AB$38,13,0)),0)</f>
        <v>0</v>
      </c>
      <c r="S153" s="6">
        <f>IF(ISERROR(VLOOKUP(#REF!,'WIP(재공품)'!$B$12:$AB$38,10,0)),0,VLOOKUP(#REF!,'WIP(재공품)'!$B$12:$AB$38,10,0))</f>
        <v>0</v>
      </c>
      <c r="T153" s="6">
        <f>SUMIF('JUNE (물량흐름)'!$C$13:$C$502,'Direct labour(직접노무비)'!C153,'JUNE (물량흐름)'!$Y$13:$Y$502)</f>
        <v>0</v>
      </c>
      <c r="U153" s="6">
        <f t="shared" si="31"/>
        <v>0</v>
      </c>
      <c r="V153" s="6">
        <f>ROUND(SUMIF('JUNE (물량흐름)'!$C$13:$C$502,'Direct labour(직접노무비)'!C153,'JUNE (물량흐름)'!$N$13:$N$502),0)</f>
        <v>0</v>
      </c>
      <c r="W153" s="6">
        <f>ROUND(SUMIF('JUNE (물량흐름)'!$C$13:$C$502,'Direct labour(직접노무비)'!C153,'JUNE (물량흐름)'!$O$13:$O$502),0)</f>
        <v>0</v>
      </c>
      <c r="X153" s="6">
        <f>ROUND(SUMIF('JUNE (물량흐름)'!$C$13:$C$502,'Direct labour(직접노무비)'!C153,'JUNE (물량흐름)'!$P$13:$P$502),0)</f>
        <v>78</v>
      </c>
      <c r="Y153" s="6">
        <f t="shared" si="32"/>
        <v>78</v>
      </c>
      <c r="Z153" s="6">
        <f t="shared" si="33"/>
        <v>62</v>
      </c>
      <c r="AA153" s="6">
        <f t="shared" si="38"/>
        <v>391007</v>
      </c>
      <c r="AB153" s="389">
        <f t="shared" si="34"/>
        <v>0</v>
      </c>
      <c r="AC153" s="389">
        <f t="shared" si="35"/>
        <v>0</v>
      </c>
      <c r="AD153" s="389">
        <f t="shared" si="36"/>
        <v>0</v>
      </c>
    </row>
    <row r="154" spans="1:30" s="390" customFormat="1" ht="15" customHeight="1">
      <c r="A154" s="167">
        <v>144</v>
      </c>
      <c r="B154" s="267" t="str">
        <f>VLOOKUP(A154,'JUNE (물량흐름)'!$A$13:$C$502,2,0)</f>
        <v>ANN TAYLOR</v>
      </c>
      <c r="C154" s="240">
        <f>VLOOKUP(A154,'JUNE (물량흐름)'!$A$13:$C$502,3,0)</f>
        <v>459701</v>
      </c>
      <c r="D154" s="6">
        <f>VLOOKUP(C154,'WIP(재공품)'!$B$12:$E$493,4,0)</f>
        <v>34012.5</v>
      </c>
      <c r="E154" s="6">
        <f>IFERROR(VLOOKUP(C154,O.B.JUNE!$AA$7:$AG$448,2,0),0)</f>
        <v>0</v>
      </c>
      <c r="F154" s="6">
        <f>IFERROR(VLOOKUP(C154,O.B.JUNE!$AA$7:$AG$448,3,0),0)</f>
        <v>0</v>
      </c>
      <c r="G154" s="6">
        <f>IFERROR(VLOOKUP(C154,O.B.JUNE!$AA$7:$AD$448,4,0),0)</f>
        <v>133</v>
      </c>
      <c r="H154" s="6">
        <f t="shared" si="28"/>
        <v>133</v>
      </c>
      <c r="I154" s="6">
        <f>IFERROR(VLOOKUP(C154,O.B.JUNE!$AA$7:$AF$448,6,0),0)</f>
        <v>106</v>
      </c>
      <c r="J154" s="6"/>
      <c r="K154" s="6">
        <f>IFERROR(VLOOKUP(C154,O.B.JUNE!$AA$7:$AG$448,7,0),0)</f>
        <v>328384</v>
      </c>
      <c r="L154" s="6">
        <f>SUMIF('JUNE (물량흐름)'!$C$13:$C$502,'Direct labour(직접노무비)'!C154,'JUNE (물량흐름)'!$H$13:$H$502)+SUMIF('JUNE (물량흐름)'!$C$13:$C$502,'Direct labour(직접노무비)'!C154,'JUNE (물량흐름)'!$I$13:$I$502)</f>
        <v>0</v>
      </c>
      <c r="M154" s="6">
        <f t="shared" si="29"/>
        <v>0</v>
      </c>
      <c r="N154" s="6">
        <f t="shared" si="30"/>
        <v>0</v>
      </c>
      <c r="O154" s="6">
        <f t="shared" si="27"/>
        <v>0</v>
      </c>
      <c r="P154" s="6">
        <f>SUMIF('JUNE (물량흐름)'!$C$13:$C$502,C154,'JUNE (물량흐름)'!$T$13:$T$502)+SUMIF('JUNE (물량흐름)'!$C$13:$C$502,C154,'JUNE (물량흐름)'!$V$13:$V$502)+SUMIF('JUNE (물량흐름)'!$C$13:$C$502,C154,'JUNE (물량흐름)'!$U$13:$U$502)-SUMIF('JUNE (물량흐름)'!$C$13:$C$502,C154,'JUNE (물량흐름)'!$Y$13:$Y$502)</f>
        <v>0</v>
      </c>
      <c r="Q154" s="6">
        <f t="shared" si="37"/>
        <v>0</v>
      </c>
      <c r="R154" s="6">
        <f>ROUND(IF(ISERROR(VLOOKUP(#REF!,'WIP(재공품)'!$B$12:$AB$38,13,0)),0,VLOOKUP(#REF!,'WIP(재공품)'!$B$12:$AB$38,13,0)),0)</f>
        <v>0</v>
      </c>
      <c r="S154" s="6">
        <f>IF(ISERROR(VLOOKUP(#REF!,'WIP(재공품)'!$B$12:$AB$38,10,0)),0,VLOOKUP(#REF!,'WIP(재공품)'!$B$12:$AB$38,10,0))</f>
        <v>0</v>
      </c>
      <c r="T154" s="6">
        <f>SUMIF('JUNE (물량흐름)'!$C$13:$C$502,'Direct labour(직접노무비)'!C154,'JUNE (물량흐름)'!$Y$13:$Y$502)</f>
        <v>0</v>
      </c>
      <c r="U154" s="6">
        <f t="shared" si="31"/>
        <v>0</v>
      </c>
      <c r="V154" s="6">
        <f>ROUND(SUMIF('JUNE (물량흐름)'!$C$13:$C$502,'Direct labour(직접노무비)'!C154,'JUNE (물량흐름)'!$N$13:$N$502),0)</f>
        <v>0</v>
      </c>
      <c r="W154" s="6">
        <f>ROUND(SUMIF('JUNE (물량흐름)'!$C$13:$C$502,'Direct labour(직접노무비)'!C154,'JUNE (물량흐름)'!$O$13:$O$502),0)</f>
        <v>0</v>
      </c>
      <c r="X154" s="6">
        <f>ROUND(SUMIF('JUNE (물량흐름)'!$C$13:$C$502,'Direct labour(직접노무비)'!C154,'JUNE (물량흐름)'!$P$13:$P$502),0)</f>
        <v>133</v>
      </c>
      <c r="Y154" s="6">
        <f t="shared" si="32"/>
        <v>133</v>
      </c>
      <c r="Z154" s="6">
        <f t="shared" si="33"/>
        <v>106</v>
      </c>
      <c r="AA154" s="6">
        <f t="shared" si="38"/>
        <v>328384</v>
      </c>
      <c r="AB154" s="389">
        <f t="shared" si="34"/>
        <v>0</v>
      </c>
      <c r="AC154" s="389">
        <f t="shared" si="35"/>
        <v>0</v>
      </c>
      <c r="AD154" s="389">
        <f t="shared" si="36"/>
        <v>0</v>
      </c>
    </row>
    <row r="155" spans="1:30" s="390" customFormat="1" ht="15" customHeight="1">
      <c r="A155" s="167">
        <v>145</v>
      </c>
      <c r="B155" s="267" t="str">
        <f>VLOOKUP(A155,'JUNE (물량흐름)'!$A$13:$C$502,2,0)</f>
        <v>ANN TAYLOR</v>
      </c>
      <c r="C155" s="240">
        <f>VLOOKUP(A155,'JUNE (물량흐름)'!$A$13:$C$502,3,0)</f>
        <v>459702</v>
      </c>
      <c r="D155" s="6">
        <f>VLOOKUP(C155,'WIP(재공품)'!$B$12:$E$493,4,0)</f>
        <v>8163</v>
      </c>
      <c r="E155" s="6">
        <f>IFERROR(VLOOKUP(C155,O.B.JUNE!$AA$7:$AG$448,2,0),0)</f>
        <v>0</v>
      </c>
      <c r="F155" s="6">
        <f>IFERROR(VLOOKUP(C155,O.B.JUNE!$AA$7:$AG$448,3,0),0)</f>
        <v>0</v>
      </c>
      <c r="G155" s="6">
        <f>IFERROR(VLOOKUP(C155,O.B.JUNE!$AA$7:$AD$448,4,0),0)</f>
        <v>42</v>
      </c>
      <c r="H155" s="6">
        <f t="shared" si="28"/>
        <v>42</v>
      </c>
      <c r="I155" s="6">
        <f>IFERROR(VLOOKUP(C155,O.B.JUNE!$AA$7:$AF$448,6,0),0)</f>
        <v>34</v>
      </c>
      <c r="J155" s="6"/>
      <c r="K155" s="6">
        <f>IFERROR(VLOOKUP(C155,O.B.JUNE!$AA$7:$AG$448,7,0),0)</f>
        <v>241533</v>
      </c>
      <c r="L155" s="6">
        <f>SUMIF('JUNE (물량흐름)'!$C$13:$C$502,'Direct labour(직접노무비)'!C155,'JUNE (물량흐름)'!$H$13:$H$502)+SUMIF('JUNE (물량흐름)'!$C$13:$C$502,'Direct labour(직접노무비)'!C155,'JUNE (물량흐름)'!$I$13:$I$502)</f>
        <v>0</v>
      </c>
      <c r="M155" s="6">
        <f t="shared" si="29"/>
        <v>0</v>
      </c>
      <c r="N155" s="6">
        <f t="shared" si="30"/>
        <v>0</v>
      </c>
      <c r="O155" s="6">
        <f t="shared" si="27"/>
        <v>0</v>
      </c>
      <c r="P155" s="6">
        <f>SUMIF('JUNE (물량흐름)'!$C$13:$C$502,C155,'JUNE (물량흐름)'!$T$13:$T$502)+SUMIF('JUNE (물량흐름)'!$C$13:$C$502,C155,'JUNE (물량흐름)'!$V$13:$V$502)+SUMIF('JUNE (물량흐름)'!$C$13:$C$502,C155,'JUNE (물량흐름)'!$U$13:$U$502)-SUMIF('JUNE (물량흐름)'!$C$13:$C$502,C155,'JUNE (물량흐름)'!$Y$13:$Y$502)</f>
        <v>0</v>
      </c>
      <c r="Q155" s="6">
        <f t="shared" si="37"/>
        <v>0</v>
      </c>
      <c r="R155" s="6">
        <f>ROUND(IF(ISERROR(VLOOKUP(#REF!,'WIP(재공품)'!$B$12:$AB$38,13,0)),0,VLOOKUP(#REF!,'WIP(재공품)'!$B$12:$AB$38,13,0)),0)</f>
        <v>0</v>
      </c>
      <c r="S155" s="6">
        <f>IF(ISERROR(VLOOKUP(#REF!,'WIP(재공품)'!$B$12:$AB$38,10,0)),0,VLOOKUP(#REF!,'WIP(재공품)'!$B$12:$AB$38,10,0))</f>
        <v>0</v>
      </c>
      <c r="T155" s="6">
        <f>SUMIF('JUNE (물량흐름)'!$C$13:$C$502,'Direct labour(직접노무비)'!C155,'JUNE (물량흐름)'!$Y$13:$Y$502)</f>
        <v>0</v>
      </c>
      <c r="U155" s="6">
        <f t="shared" si="31"/>
        <v>0</v>
      </c>
      <c r="V155" s="6">
        <f>ROUND(SUMIF('JUNE (물량흐름)'!$C$13:$C$502,'Direct labour(직접노무비)'!C155,'JUNE (물량흐름)'!$N$13:$N$502),0)</f>
        <v>0</v>
      </c>
      <c r="W155" s="6">
        <f>ROUND(SUMIF('JUNE (물량흐름)'!$C$13:$C$502,'Direct labour(직접노무비)'!C155,'JUNE (물량흐름)'!$O$13:$O$502),0)</f>
        <v>0</v>
      </c>
      <c r="X155" s="6">
        <f>ROUND(SUMIF('JUNE (물량흐름)'!$C$13:$C$502,'Direct labour(직접노무비)'!C155,'JUNE (물량흐름)'!$P$13:$P$502),0)</f>
        <v>42</v>
      </c>
      <c r="Y155" s="6">
        <f t="shared" si="32"/>
        <v>42</v>
      </c>
      <c r="Z155" s="6">
        <f t="shared" si="33"/>
        <v>34</v>
      </c>
      <c r="AA155" s="6">
        <f t="shared" si="38"/>
        <v>241533</v>
      </c>
      <c r="AB155" s="389">
        <f t="shared" si="34"/>
        <v>0</v>
      </c>
      <c r="AC155" s="389">
        <f t="shared" si="35"/>
        <v>0</v>
      </c>
      <c r="AD155" s="389">
        <f t="shared" si="36"/>
        <v>0</v>
      </c>
    </row>
    <row r="156" spans="1:30" s="390" customFormat="1" ht="15" customHeight="1">
      <c r="A156" s="167">
        <v>146</v>
      </c>
      <c r="B156" s="267" t="str">
        <f>VLOOKUP(A156,'JUNE (물량흐름)'!$A$13:$C$502,2,0)</f>
        <v>ANN TAYLOR</v>
      </c>
      <c r="C156" s="240">
        <f>VLOOKUP(A156,'JUNE (물량흐름)'!$A$13:$C$502,3,0)</f>
        <v>459703</v>
      </c>
      <c r="D156" s="6">
        <f>VLOOKUP(C156,'WIP(재공품)'!$B$12:$E$493,4,0)</f>
        <v>34012.5</v>
      </c>
      <c r="E156" s="6">
        <f>IFERROR(VLOOKUP(C156,O.B.JUNE!$AA$7:$AG$448,2,0),0)</f>
        <v>0</v>
      </c>
      <c r="F156" s="6">
        <f>IFERROR(VLOOKUP(C156,O.B.JUNE!$AA$7:$AG$448,3,0),0)</f>
        <v>0</v>
      </c>
      <c r="G156" s="6">
        <f>IFERROR(VLOOKUP(C156,O.B.JUNE!$AA$7:$AD$448,4,0),0)</f>
        <v>45</v>
      </c>
      <c r="H156" s="6">
        <f t="shared" si="28"/>
        <v>45</v>
      </c>
      <c r="I156" s="6">
        <f>IFERROR(VLOOKUP(C156,O.B.JUNE!$AA$7:$AF$448,6,0),0)</f>
        <v>36</v>
      </c>
      <c r="J156" s="6"/>
      <c r="K156" s="6">
        <f>IFERROR(VLOOKUP(C156,O.B.JUNE!$AA$7:$AG$448,7,0),0)</f>
        <v>469808</v>
      </c>
      <c r="L156" s="6">
        <f>SUMIF('JUNE (물량흐름)'!$C$13:$C$502,'Direct labour(직접노무비)'!C156,'JUNE (물량흐름)'!$H$13:$H$502)+SUMIF('JUNE (물량흐름)'!$C$13:$C$502,'Direct labour(직접노무비)'!C156,'JUNE (물량흐름)'!$I$13:$I$502)</f>
        <v>0</v>
      </c>
      <c r="M156" s="6">
        <f t="shared" si="29"/>
        <v>0</v>
      </c>
      <c r="N156" s="6">
        <f t="shared" si="30"/>
        <v>0</v>
      </c>
      <c r="O156" s="6">
        <f t="shared" si="27"/>
        <v>0</v>
      </c>
      <c r="P156" s="6">
        <f>SUMIF('JUNE (물량흐름)'!$C$13:$C$502,C156,'JUNE (물량흐름)'!$T$13:$T$502)+SUMIF('JUNE (물량흐름)'!$C$13:$C$502,C156,'JUNE (물량흐름)'!$V$13:$V$502)+SUMIF('JUNE (물량흐름)'!$C$13:$C$502,C156,'JUNE (물량흐름)'!$U$13:$U$502)-SUMIF('JUNE (물량흐름)'!$C$13:$C$502,C156,'JUNE (물량흐름)'!$Y$13:$Y$502)</f>
        <v>0</v>
      </c>
      <c r="Q156" s="6">
        <f t="shared" si="37"/>
        <v>0</v>
      </c>
      <c r="R156" s="6">
        <f>ROUND(IF(ISERROR(VLOOKUP(#REF!,'WIP(재공품)'!$B$12:$AB$38,13,0)),0,VLOOKUP(#REF!,'WIP(재공품)'!$B$12:$AB$38,13,0)),0)</f>
        <v>0</v>
      </c>
      <c r="S156" s="6">
        <f>IF(ISERROR(VLOOKUP(#REF!,'WIP(재공품)'!$B$12:$AB$38,10,0)),0,VLOOKUP(#REF!,'WIP(재공품)'!$B$12:$AB$38,10,0))</f>
        <v>0</v>
      </c>
      <c r="T156" s="6">
        <f>SUMIF('JUNE (물량흐름)'!$C$13:$C$502,'Direct labour(직접노무비)'!C156,'JUNE (물량흐름)'!$Y$13:$Y$502)</f>
        <v>0</v>
      </c>
      <c r="U156" s="6">
        <f t="shared" si="31"/>
        <v>0</v>
      </c>
      <c r="V156" s="6">
        <f>ROUND(SUMIF('JUNE (물량흐름)'!$C$13:$C$502,'Direct labour(직접노무비)'!C156,'JUNE (물량흐름)'!$N$13:$N$502),0)</f>
        <v>0</v>
      </c>
      <c r="W156" s="6">
        <f>ROUND(SUMIF('JUNE (물량흐름)'!$C$13:$C$502,'Direct labour(직접노무비)'!C156,'JUNE (물량흐름)'!$O$13:$O$502),0)</f>
        <v>0</v>
      </c>
      <c r="X156" s="6">
        <f>ROUND(SUMIF('JUNE (물량흐름)'!$C$13:$C$502,'Direct labour(직접노무비)'!C156,'JUNE (물량흐름)'!$P$13:$P$502),0)</f>
        <v>45</v>
      </c>
      <c r="Y156" s="6">
        <f t="shared" si="32"/>
        <v>45</v>
      </c>
      <c r="Z156" s="6">
        <f t="shared" si="33"/>
        <v>36</v>
      </c>
      <c r="AA156" s="6">
        <f t="shared" si="38"/>
        <v>469808</v>
      </c>
      <c r="AB156" s="389">
        <f t="shared" si="34"/>
        <v>0</v>
      </c>
      <c r="AC156" s="389">
        <f t="shared" si="35"/>
        <v>0</v>
      </c>
      <c r="AD156" s="389">
        <f t="shared" si="36"/>
        <v>0</v>
      </c>
    </row>
    <row r="157" spans="1:30" s="390" customFormat="1" ht="15" customHeight="1">
      <c r="A157" s="167">
        <v>147</v>
      </c>
      <c r="B157" s="267" t="str">
        <f>VLOOKUP(A157,'JUNE (물량흐름)'!$A$13:$C$502,2,0)</f>
        <v>ANN TAYLOR</v>
      </c>
      <c r="C157" s="240">
        <f>VLOOKUP(A157,'JUNE (물량흐름)'!$A$13:$C$502,3,0)</f>
        <v>459704</v>
      </c>
      <c r="D157" s="6">
        <f>VLOOKUP(C157,'WIP(재공품)'!$B$12:$E$493,4,0)</f>
        <v>41948.75</v>
      </c>
      <c r="E157" s="6">
        <f>IFERROR(VLOOKUP(C157,O.B.JUNE!$AA$7:$AG$448,2,0),0)</f>
        <v>0</v>
      </c>
      <c r="F157" s="6">
        <f>IFERROR(VLOOKUP(C157,O.B.JUNE!$AA$7:$AG$448,3,0),0)</f>
        <v>0</v>
      </c>
      <c r="G157" s="6">
        <f>IFERROR(VLOOKUP(C157,O.B.JUNE!$AA$7:$AD$448,4,0),0)</f>
        <v>48</v>
      </c>
      <c r="H157" s="6">
        <f t="shared" si="28"/>
        <v>48</v>
      </c>
      <c r="I157" s="6">
        <f>IFERROR(VLOOKUP(C157,O.B.JUNE!$AA$7:$AF$448,6,0),0)</f>
        <v>38</v>
      </c>
      <c r="J157" s="6"/>
      <c r="K157" s="6">
        <f>IFERROR(VLOOKUP(C157,O.B.JUNE!$AA$7:$AG$448,7,0),0)</f>
        <v>575330</v>
      </c>
      <c r="L157" s="6">
        <f>SUMIF('JUNE (물량흐름)'!$C$13:$C$502,'Direct labour(직접노무비)'!C157,'JUNE (물량흐름)'!$H$13:$H$502)+SUMIF('JUNE (물량흐름)'!$C$13:$C$502,'Direct labour(직접노무비)'!C157,'JUNE (물량흐름)'!$I$13:$I$502)</f>
        <v>0</v>
      </c>
      <c r="M157" s="6">
        <f t="shared" si="29"/>
        <v>0</v>
      </c>
      <c r="N157" s="6">
        <f t="shared" si="30"/>
        <v>0</v>
      </c>
      <c r="O157" s="6">
        <f t="shared" si="27"/>
        <v>0</v>
      </c>
      <c r="P157" s="6">
        <f>SUMIF('JUNE (물량흐름)'!$C$13:$C$502,C157,'JUNE (물량흐름)'!$T$13:$T$502)+SUMIF('JUNE (물량흐름)'!$C$13:$C$502,C157,'JUNE (물량흐름)'!$V$13:$V$502)+SUMIF('JUNE (물량흐름)'!$C$13:$C$502,C157,'JUNE (물량흐름)'!$U$13:$U$502)-SUMIF('JUNE (물량흐름)'!$C$13:$C$502,C157,'JUNE (물량흐름)'!$Y$13:$Y$502)</f>
        <v>0</v>
      </c>
      <c r="Q157" s="6">
        <f t="shared" si="37"/>
        <v>0</v>
      </c>
      <c r="R157" s="6">
        <f>ROUND(IF(ISERROR(VLOOKUP(#REF!,'WIP(재공품)'!$B$12:$AB$38,13,0)),0,VLOOKUP(#REF!,'WIP(재공품)'!$B$12:$AB$38,13,0)),0)</f>
        <v>0</v>
      </c>
      <c r="S157" s="6">
        <f>IF(ISERROR(VLOOKUP(#REF!,'WIP(재공품)'!$B$12:$AB$38,10,0)),0,VLOOKUP(#REF!,'WIP(재공품)'!$B$12:$AB$38,10,0))</f>
        <v>0</v>
      </c>
      <c r="T157" s="6">
        <f>SUMIF('JUNE (물량흐름)'!$C$13:$C$502,'Direct labour(직접노무비)'!C157,'JUNE (물량흐름)'!$Y$13:$Y$502)</f>
        <v>0</v>
      </c>
      <c r="U157" s="6">
        <f t="shared" si="31"/>
        <v>0</v>
      </c>
      <c r="V157" s="6">
        <f>ROUND(SUMIF('JUNE (물량흐름)'!$C$13:$C$502,'Direct labour(직접노무비)'!C157,'JUNE (물량흐름)'!$N$13:$N$502),0)</f>
        <v>0</v>
      </c>
      <c r="W157" s="6">
        <f>ROUND(SUMIF('JUNE (물량흐름)'!$C$13:$C$502,'Direct labour(직접노무비)'!C157,'JUNE (물량흐름)'!$O$13:$O$502),0)</f>
        <v>0</v>
      </c>
      <c r="X157" s="6">
        <f>ROUND(SUMIF('JUNE (물량흐름)'!$C$13:$C$502,'Direct labour(직접노무비)'!C157,'JUNE (물량흐름)'!$P$13:$P$502),0)</f>
        <v>48</v>
      </c>
      <c r="Y157" s="6">
        <f t="shared" si="32"/>
        <v>48</v>
      </c>
      <c r="Z157" s="6">
        <f t="shared" si="33"/>
        <v>38</v>
      </c>
      <c r="AA157" s="6">
        <f t="shared" si="38"/>
        <v>575330</v>
      </c>
      <c r="AB157" s="389">
        <f t="shared" si="34"/>
        <v>0</v>
      </c>
      <c r="AC157" s="389">
        <f t="shared" si="35"/>
        <v>0</v>
      </c>
      <c r="AD157" s="389">
        <f t="shared" si="36"/>
        <v>0</v>
      </c>
    </row>
    <row r="158" spans="1:30" s="390" customFormat="1" ht="15" customHeight="1">
      <c r="A158" s="167">
        <v>148</v>
      </c>
      <c r="B158" s="267" t="str">
        <f>VLOOKUP(A158,'JUNE (물량흐름)'!$A$13:$C$502,2,0)</f>
        <v>ANN TAYLOR</v>
      </c>
      <c r="C158" s="240">
        <f>VLOOKUP(A158,'JUNE (물량흐름)'!$A$13:$C$502,3,0)</f>
        <v>459715</v>
      </c>
      <c r="D158" s="6">
        <f>VLOOKUP(C158,'WIP(재공품)'!$B$12:$E$493,4,0)</f>
        <v>7936.2499999999991</v>
      </c>
      <c r="E158" s="6">
        <f>IFERROR(VLOOKUP(C158,O.B.JUNE!$AA$7:$AG$448,2,0),0)</f>
        <v>0</v>
      </c>
      <c r="F158" s="6">
        <f>IFERROR(VLOOKUP(C158,O.B.JUNE!$AA$7:$AG$448,3,0),0)</f>
        <v>0</v>
      </c>
      <c r="G158" s="6">
        <f>IFERROR(VLOOKUP(C158,O.B.JUNE!$AA$7:$AD$448,4,0),0)</f>
        <v>31</v>
      </c>
      <c r="H158" s="6">
        <f t="shared" si="28"/>
        <v>31</v>
      </c>
      <c r="I158" s="6">
        <f>IFERROR(VLOOKUP(C158,O.B.JUNE!$AA$7:$AF$448,6,0),0)</f>
        <v>25</v>
      </c>
      <c r="J158" s="6"/>
      <c r="K158" s="6">
        <f>IFERROR(VLOOKUP(C158,O.B.JUNE!$AA$7:$AG$448,7,0),0)</f>
        <v>176611</v>
      </c>
      <c r="L158" s="6">
        <f>SUMIF('JUNE (물량흐름)'!$C$13:$C$502,'Direct labour(직접노무비)'!C158,'JUNE (물량흐름)'!$H$13:$H$502)+SUMIF('JUNE (물량흐름)'!$C$13:$C$502,'Direct labour(직접노무비)'!C158,'JUNE (물량흐름)'!$I$13:$I$502)</f>
        <v>0</v>
      </c>
      <c r="M158" s="6">
        <f t="shared" si="29"/>
        <v>0</v>
      </c>
      <c r="N158" s="6">
        <f t="shared" si="30"/>
        <v>0</v>
      </c>
      <c r="O158" s="6">
        <f t="shared" si="27"/>
        <v>0</v>
      </c>
      <c r="P158" s="6">
        <f>SUMIF('JUNE (물량흐름)'!$C$13:$C$502,C158,'JUNE (물량흐름)'!$T$13:$T$502)+SUMIF('JUNE (물량흐름)'!$C$13:$C$502,C158,'JUNE (물량흐름)'!$V$13:$V$502)+SUMIF('JUNE (물량흐름)'!$C$13:$C$502,C158,'JUNE (물량흐름)'!$U$13:$U$502)-SUMIF('JUNE (물량흐름)'!$C$13:$C$502,C158,'JUNE (물량흐름)'!$Y$13:$Y$502)</f>
        <v>0</v>
      </c>
      <c r="Q158" s="6">
        <f t="shared" si="37"/>
        <v>0</v>
      </c>
      <c r="R158" s="6">
        <f>ROUND(IF(ISERROR(VLOOKUP(#REF!,'WIP(재공품)'!$B$12:$AB$38,13,0)),0,VLOOKUP(#REF!,'WIP(재공품)'!$B$12:$AB$38,13,0)),0)</f>
        <v>0</v>
      </c>
      <c r="S158" s="6">
        <f>IF(ISERROR(VLOOKUP(#REF!,'WIP(재공품)'!$B$12:$AB$38,10,0)),0,VLOOKUP(#REF!,'WIP(재공품)'!$B$12:$AB$38,10,0))</f>
        <v>0</v>
      </c>
      <c r="T158" s="6">
        <f>SUMIF('JUNE (물량흐름)'!$C$13:$C$502,'Direct labour(직접노무비)'!C158,'JUNE (물량흐름)'!$Y$13:$Y$502)</f>
        <v>0</v>
      </c>
      <c r="U158" s="6">
        <f t="shared" si="31"/>
        <v>0</v>
      </c>
      <c r="V158" s="6">
        <f>ROUND(SUMIF('JUNE (물량흐름)'!$C$13:$C$502,'Direct labour(직접노무비)'!C158,'JUNE (물량흐름)'!$N$13:$N$502),0)</f>
        <v>0</v>
      </c>
      <c r="W158" s="6">
        <f>ROUND(SUMIF('JUNE (물량흐름)'!$C$13:$C$502,'Direct labour(직접노무비)'!C158,'JUNE (물량흐름)'!$O$13:$O$502),0)</f>
        <v>0</v>
      </c>
      <c r="X158" s="6">
        <f>ROUND(SUMIF('JUNE (물량흐름)'!$C$13:$C$502,'Direct labour(직접노무비)'!C158,'JUNE (물량흐름)'!$P$13:$P$502),0)</f>
        <v>31</v>
      </c>
      <c r="Y158" s="6">
        <f t="shared" si="32"/>
        <v>31</v>
      </c>
      <c r="Z158" s="6">
        <f t="shared" si="33"/>
        <v>25</v>
      </c>
      <c r="AA158" s="6">
        <f t="shared" si="38"/>
        <v>176611</v>
      </c>
      <c r="AB158" s="389">
        <f t="shared" si="34"/>
        <v>0</v>
      </c>
      <c r="AC158" s="389">
        <f t="shared" si="35"/>
        <v>0</v>
      </c>
      <c r="AD158" s="389">
        <f t="shared" si="36"/>
        <v>0</v>
      </c>
    </row>
    <row r="159" spans="1:30" s="390" customFormat="1" ht="15" customHeight="1">
      <c r="A159" s="167">
        <v>149</v>
      </c>
      <c r="B159" s="267" t="str">
        <f>VLOOKUP(A159,'JUNE (물량흐름)'!$A$13:$C$502,2,0)</f>
        <v>ANN TAYLOR</v>
      </c>
      <c r="C159" s="240">
        <f>VLOOKUP(A159,'JUNE (물량흐름)'!$A$13:$C$502,3,0)</f>
        <v>460424</v>
      </c>
      <c r="D159" s="6">
        <f>VLOOKUP(C159,'WIP(재공품)'!$B$12:$E$493,4,0)</f>
        <v>7936.2499999999991</v>
      </c>
      <c r="E159" s="6">
        <f>IFERROR(VLOOKUP(C159,O.B.JUNE!$AA$7:$AG$448,2,0),0)</f>
        <v>0</v>
      </c>
      <c r="F159" s="6">
        <f>IFERROR(VLOOKUP(C159,O.B.JUNE!$AA$7:$AG$448,3,0),0)</f>
        <v>0</v>
      </c>
      <c r="G159" s="6">
        <f>IFERROR(VLOOKUP(C159,O.B.JUNE!$AA$7:$AD$448,4,0),0)</f>
        <v>208</v>
      </c>
      <c r="H159" s="6">
        <f t="shared" si="28"/>
        <v>208</v>
      </c>
      <c r="I159" s="6">
        <f>IFERROR(VLOOKUP(C159,O.B.JUNE!$AA$7:$AF$448,6,0),0)</f>
        <v>166</v>
      </c>
      <c r="J159" s="6"/>
      <c r="K159" s="6">
        <f>IFERROR(VLOOKUP(C159,O.B.JUNE!$AA$7:$AG$448,7,0),0)</f>
        <v>3138446</v>
      </c>
      <c r="L159" s="6">
        <f>SUMIF('JUNE (물량흐름)'!$C$13:$C$502,'Direct labour(직접노무비)'!C159,'JUNE (물량흐름)'!$H$13:$H$502)+SUMIF('JUNE (물량흐름)'!$C$13:$C$502,'Direct labour(직접노무비)'!C159,'JUNE (물량흐름)'!$I$13:$I$502)</f>
        <v>0</v>
      </c>
      <c r="M159" s="6">
        <f t="shared" si="29"/>
        <v>0</v>
      </c>
      <c r="N159" s="6">
        <f t="shared" si="30"/>
        <v>0</v>
      </c>
      <c r="O159" s="6">
        <f t="shared" si="27"/>
        <v>0</v>
      </c>
      <c r="P159" s="6">
        <f>SUMIF('JUNE (물량흐름)'!$C$13:$C$502,C159,'JUNE (물량흐름)'!$T$13:$T$502)+SUMIF('JUNE (물량흐름)'!$C$13:$C$502,C159,'JUNE (물량흐름)'!$V$13:$V$502)+SUMIF('JUNE (물량흐름)'!$C$13:$C$502,C159,'JUNE (물량흐름)'!$U$13:$U$502)-SUMIF('JUNE (물량흐름)'!$C$13:$C$502,C159,'JUNE (물량흐름)'!$Y$13:$Y$502)</f>
        <v>0</v>
      </c>
      <c r="Q159" s="6">
        <f t="shared" si="37"/>
        <v>0</v>
      </c>
      <c r="R159" s="6">
        <f>ROUND(IF(ISERROR(VLOOKUP(#REF!,'WIP(재공품)'!$B$12:$AB$38,13,0)),0,VLOOKUP(#REF!,'WIP(재공품)'!$B$12:$AB$38,13,0)),0)</f>
        <v>0</v>
      </c>
      <c r="S159" s="6">
        <f>IF(ISERROR(VLOOKUP(#REF!,'WIP(재공품)'!$B$12:$AB$38,10,0)),0,VLOOKUP(#REF!,'WIP(재공품)'!$B$12:$AB$38,10,0))</f>
        <v>0</v>
      </c>
      <c r="T159" s="6">
        <f>SUMIF('JUNE (물량흐름)'!$C$13:$C$502,'Direct labour(직접노무비)'!C159,'JUNE (물량흐름)'!$Y$13:$Y$502)</f>
        <v>0</v>
      </c>
      <c r="U159" s="6">
        <f t="shared" si="31"/>
        <v>0</v>
      </c>
      <c r="V159" s="6">
        <f>ROUND(SUMIF('JUNE (물량흐름)'!$C$13:$C$502,'Direct labour(직접노무비)'!C159,'JUNE (물량흐름)'!$N$13:$N$502),0)</f>
        <v>0</v>
      </c>
      <c r="W159" s="6">
        <f>ROUND(SUMIF('JUNE (물량흐름)'!$C$13:$C$502,'Direct labour(직접노무비)'!C159,'JUNE (물량흐름)'!$O$13:$O$502),0)</f>
        <v>0</v>
      </c>
      <c r="X159" s="6">
        <f>ROUND(SUMIF('JUNE (물량흐름)'!$C$13:$C$502,'Direct labour(직접노무비)'!C159,'JUNE (물량흐름)'!$P$13:$P$502),0)</f>
        <v>208</v>
      </c>
      <c r="Y159" s="6">
        <f t="shared" si="32"/>
        <v>208</v>
      </c>
      <c r="Z159" s="6">
        <f t="shared" si="33"/>
        <v>166</v>
      </c>
      <c r="AA159" s="6">
        <f t="shared" si="38"/>
        <v>3138446</v>
      </c>
      <c r="AB159" s="389">
        <f t="shared" si="34"/>
        <v>0</v>
      </c>
      <c r="AC159" s="389">
        <f t="shared" si="35"/>
        <v>0</v>
      </c>
      <c r="AD159" s="389">
        <f t="shared" si="36"/>
        <v>0</v>
      </c>
    </row>
    <row r="160" spans="1:30" s="390" customFormat="1" ht="15" customHeight="1">
      <c r="A160" s="167">
        <v>150</v>
      </c>
      <c r="B160" s="267" t="str">
        <f>VLOOKUP(A160,'JUNE (물량흐름)'!$A$13:$C$502,2,0)</f>
        <v>ANN TAYLOR</v>
      </c>
      <c r="C160" s="240">
        <f>VLOOKUP(A160,'JUNE (물량흐름)'!$A$13:$C$502,3,0)</f>
        <v>460886</v>
      </c>
      <c r="D160" s="6">
        <f>VLOOKUP(C160,'WIP(재공품)'!$B$12:$E$493,4,0)</f>
        <v>7936.2499999999991</v>
      </c>
      <c r="E160" s="6">
        <f>IFERROR(VLOOKUP(C160,O.B.JUNE!$AA$7:$AG$448,2,0),0)</f>
        <v>0</v>
      </c>
      <c r="F160" s="6">
        <f>IFERROR(VLOOKUP(C160,O.B.JUNE!$AA$7:$AG$448,3,0),0)</f>
        <v>0</v>
      </c>
      <c r="G160" s="6">
        <f>IFERROR(VLOOKUP(C160,O.B.JUNE!$AA$7:$AD$448,4,0),0)</f>
        <v>30</v>
      </c>
      <c r="H160" s="6">
        <f t="shared" si="28"/>
        <v>30</v>
      </c>
      <c r="I160" s="6">
        <f>IFERROR(VLOOKUP(C160,O.B.JUNE!$AA$7:$AF$448,6,0),0)</f>
        <v>24</v>
      </c>
      <c r="J160" s="6"/>
      <c r="K160" s="6">
        <f>IFERROR(VLOOKUP(C160,O.B.JUNE!$AA$7:$AG$448,7,0),0)</f>
        <v>372074</v>
      </c>
      <c r="L160" s="6">
        <f>SUMIF('JUNE (물량흐름)'!$C$13:$C$502,'Direct labour(직접노무비)'!C160,'JUNE (물량흐름)'!$H$13:$H$502)+SUMIF('JUNE (물량흐름)'!$C$13:$C$502,'Direct labour(직접노무비)'!C160,'JUNE (물량흐름)'!$I$13:$I$502)</f>
        <v>0</v>
      </c>
      <c r="M160" s="6">
        <f t="shared" si="29"/>
        <v>0</v>
      </c>
      <c r="N160" s="6">
        <f t="shared" si="30"/>
        <v>0</v>
      </c>
      <c r="O160" s="6">
        <f t="shared" si="27"/>
        <v>0</v>
      </c>
      <c r="P160" s="6">
        <f>SUMIF('JUNE (물량흐름)'!$C$13:$C$502,C160,'JUNE (물량흐름)'!$T$13:$T$502)+SUMIF('JUNE (물량흐름)'!$C$13:$C$502,C160,'JUNE (물량흐름)'!$V$13:$V$502)+SUMIF('JUNE (물량흐름)'!$C$13:$C$502,C160,'JUNE (물량흐름)'!$U$13:$U$502)-SUMIF('JUNE (물량흐름)'!$C$13:$C$502,C160,'JUNE (물량흐름)'!$Y$13:$Y$502)</f>
        <v>0</v>
      </c>
      <c r="Q160" s="6">
        <f t="shared" si="37"/>
        <v>0</v>
      </c>
      <c r="R160" s="6">
        <f>ROUND(IF(ISERROR(VLOOKUP(#REF!,'WIP(재공품)'!$B$12:$AB$38,13,0)),0,VLOOKUP(#REF!,'WIP(재공품)'!$B$12:$AB$38,13,0)),0)</f>
        <v>0</v>
      </c>
      <c r="S160" s="6">
        <f>IF(ISERROR(VLOOKUP(#REF!,'WIP(재공품)'!$B$12:$AB$38,10,0)),0,VLOOKUP(#REF!,'WIP(재공품)'!$B$12:$AB$38,10,0))</f>
        <v>0</v>
      </c>
      <c r="T160" s="6">
        <f>SUMIF('JUNE (물량흐름)'!$C$13:$C$502,'Direct labour(직접노무비)'!C160,'JUNE (물량흐름)'!$Y$13:$Y$502)</f>
        <v>0</v>
      </c>
      <c r="U160" s="6">
        <f t="shared" si="31"/>
        <v>0</v>
      </c>
      <c r="V160" s="6">
        <f>ROUND(SUMIF('JUNE (물량흐름)'!$C$13:$C$502,'Direct labour(직접노무비)'!C160,'JUNE (물량흐름)'!$N$13:$N$502),0)</f>
        <v>0</v>
      </c>
      <c r="W160" s="6">
        <f>ROUND(SUMIF('JUNE (물량흐름)'!$C$13:$C$502,'Direct labour(직접노무비)'!C160,'JUNE (물량흐름)'!$O$13:$O$502),0)</f>
        <v>0</v>
      </c>
      <c r="X160" s="6">
        <f>ROUND(SUMIF('JUNE (물량흐름)'!$C$13:$C$502,'Direct labour(직접노무비)'!C160,'JUNE (물량흐름)'!$P$13:$P$502),0)</f>
        <v>30</v>
      </c>
      <c r="Y160" s="6">
        <f t="shared" si="32"/>
        <v>30</v>
      </c>
      <c r="Z160" s="6">
        <f t="shared" si="33"/>
        <v>24</v>
      </c>
      <c r="AA160" s="6">
        <f t="shared" si="38"/>
        <v>372074</v>
      </c>
      <c r="AB160" s="389">
        <f t="shared" si="34"/>
        <v>0</v>
      </c>
      <c r="AC160" s="389">
        <f t="shared" si="35"/>
        <v>0</v>
      </c>
      <c r="AD160" s="389">
        <f t="shared" si="36"/>
        <v>0</v>
      </c>
    </row>
    <row r="161" spans="1:30" s="389" customFormat="1" ht="15" customHeight="1">
      <c r="A161" s="167">
        <v>151</v>
      </c>
      <c r="B161" s="267" t="str">
        <f>VLOOKUP(A161,'JUNE (물량흐름)'!$A$13:$C$502,2,0)</f>
        <v>INC</v>
      </c>
      <c r="C161" s="240">
        <f>VLOOKUP(A161,'JUNE (물량흐름)'!$A$13:$C$502,3,0)</f>
        <v>100014612</v>
      </c>
      <c r="D161" s="6">
        <f>VLOOKUP(C161,'WIP(재공품)'!$B$12:$E$493,4,0)</f>
        <v>8163</v>
      </c>
      <c r="E161" s="6">
        <f>IFERROR(VLOOKUP(C161,O.B.JUNE!$AA$7:$AG$448,2,0),0)</f>
        <v>0</v>
      </c>
      <c r="F161" s="6">
        <f>IFERROR(VLOOKUP(C161,O.B.JUNE!$AA$7:$AG$448,3,0),0)</f>
        <v>0</v>
      </c>
      <c r="G161" s="6">
        <f>IFERROR(VLOOKUP(C161,O.B.JUNE!$AA$7:$AD$448,4,0),0)</f>
        <v>223</v>
      </c>
      <c r="H161" s="6">
        <f t="shared" si="28"/>
        <v>223</v>
      </c>
      <c r="I161" s="6">
        <f>IFERROR(VLOOKUP(C161,O.B.JUNE!$AA$7:$AF$448,6,0),0)</f>
        <v>178</v>
      </c>
      <c r="J161" s="6"/>
      <c r="K161" s="6">
        <f>IFERROR(VLOOKUP(C161,O.B.JUNE!$AA$7:$AG$448,7,0),0)</f>
        <v>1765302</v>
      </c>
      <c r="L161" s="6">
        <f>SUMIF('JUNE (물량흐름)'!$C$13:$C$502,'Direct labour(직접노무비)'!C161,'JUNE (물량흐름)'!$H$13:$H$502)+SUMIF('JUNE (물량흐름)'!$C$13:$C$502,'Direct labour(직접노무비)'!C161,'JUNE (물량흐름)'!$I$13:$I$502)</f>
        <v>0</v>
      </c>
      <c r="M161" s="6">
        <f t="shared" si="29"/>
        <v>0</v>
      </c>
      <c r="N161" s="6">
        <f t="shared" si="30"/>
        <v>0</v>
      </c>
      <c r="O161" s="6">
        <f t="shared" si="27"/>
        <v>0</v>
      </c>
      <c r="P161" s="6">
        <f>SUMIF('JUNE (물량흐름)'!$C$13:$C$502,C161,'JUNE (물량흐름)'!$T$13:$T$502)+SUMIF('JUNE (물량흐름)'!$C$13:$C$502,C161,'JUNE (물량흐름)'!$V$13:$V$502)+SUMIF('JUNE (물량흐름)'!$C$13:$C$502,C161,'JUNE (물량흐름)'!$U$13:$U$502)-SUMIF('JUNE (물량흐름)'!$C$13:$C$502,C161,'JUNE (물량흐름)'!$Y$13:$Y$502)</f>
        <v>223</v>
      </c>
      <c r="Q161" s="6">
        <f t="shared" si="37"/>
        <v>1765302</v>
      </c>
      <c r="R161" s="6">
        <f>ROUND(IF(ISERROR(VLOOKUP(#REF!,'WIP(재공품)'!$B$12:$AB$38,13,0)),0,VLOOKUP(#REF!,'WIP(재공품)'!$B$12:$AB$38,13,0)),0)</f>
        <v>0</v>
      </c>
      <c r="S161" s="6">
        <f>IF(ISERROR(VLOOKUP(#REF!,'WIP(재공품)'!$B$12:$AB$38,10,0)),0,VLOOKUP(#REF!,'WIP(재공품)'!$B$12:$AB$38,10,0))</f>
        <v>0</v>
      </c>
      <c r="T161" s="6">
        <f>SUMIF('JUNE (물량흐름)'!$C$13:$C$502,'Direct labour(직접노무비)'!C161,'JUNE (물량흐름)'!$Y$13:$Y$502)</f>
        <v>0</v>
      </c>
      <c r="U161" s="6">
        <f t="shared" si="31"/>
        <v>0</v>
      </c>
      <c r="V161" s="6">
        <f>ROUND(SUMIF('JUNE (물량흐름)'!$C$13:$C$502,'Direct labour(직접노무비)'!C161,'JUNE (물량흐름)'!$N$13:$N$502),0)</f>
        <v>0</v>
      </c>
      <c r="W161" s="6">
        <f>ROUND(SUMIF('JUNE (물량흐름)'!$C$13:$C$502,'Direct labour(직접노무비)'!C161,'JUNE (물량흐름)'!$O$13:$O$502),0)</f>
        <v>0</v>
      </c>
      <c r="X161" s="6">
        <f>ROUND(SUMIF('JUNE (물량흐름)'!$C$13:$C$502,'Direct labour(직접노무비)'!C161,'JUNE (물량흐름)'!$P$13:$P$502),0)</f>
        <v>0</v>
      </c>
      <c r="Y161" s="6">
        <f t="shared" si="32"/>
        <v>0</v>
      </c>
      <c r="Z161" s="6">
        <f t="shared" si="33"/>
        <v>0</v>
      </c>
      <c r="AA161" s="6">
        <f t="shared" si="38"/>
        <v>0</v>
      </c>
      <c r="AB161" s="389">
        <f t="shared" si="34"/>
        <v>0</v>
      </c>
      <c r="AC161" s="389">
        <f t="shared" si="35"/>
        <v>0</v>
      </c>
      <c r="AD161" s="389">
        <f t="shared" si="36"/>
        <v>0</v>
      </c>
    </row>
    <row r="162" spans="1:30" s="390" customFormat="1" ht="15" customHeight="1">
      <c r="A162" s="167">
        <v>152</v>
      </c>
      <c r="B162" s="267" t="str">
        <f>VLOOKUP(A162,'JUNE (물량흐름)'!$A$13:$C$502,2,0)</f>
        <v>INC</v>
      </c>
      <c r="C162" s="240">
        <f>VLOOKUP(A162,'JUNE (물량흐름)'!$A$13:$C$502,3,0)</f>
        <v>100014882</v>
      </c>
      <c r="D162" s="6">
        <f>VLOOKUP(C162,'WIP(재공품)'!$B$12:$E$493,4,0)</f>
        <v>71426.25</v>
      </c>
      <c r="E162" s="6">
        <f>IFERROR(VLOOKUP(C162,O.B.JUNE!$AA$7:$AG$448,2,0),0)</f>
        <v>0</v>
      </c>
      <c r="F162" s="6">
        <f>IFERROR(VLOOKUP(C162,O.B.JUNE!$AA$7:$AG$448,3,0),0)</f>
        <v>0</v>
      </c>
      <c r="G162" s="6">
        <f>IFERROR(VLOOKUP(C162,O.B.JUNE!$AA$7:$AD$448,4,0),0)</f>
        <v>25</v>
      </c>
      <c r="H162" s="6">
        <f t="shared" si="28"/>
        <v>25</v>
      </c>
      <c r="I162" s="6">
        <f>IFERROR(VLOOKUP(C162,O.B.JUNE!$AA$7:$AF$448,6,0),0)</f>
        <v>20</v>
      </c>
      <c r="J162" s="6"/>
      <c r="K162" s="6">
        <f>IFERROR(VLOOKUP(C162,O.B.JUNE!$AA$7:$AG$448,7,0),0)</f>
        <v>650729</v>
      </c>
      <c r="L162" s="6">
        <f>SUMIF('JUNE (물량흐름)'!$C$13:$C$502,'Direct labour(직접노무비)'!C162,'JUNE (물량흐름)'!$H$13:$H$502)+SUMIF('JUNE (물량흐름)'!$C$13:$C$502,'Direct labour(직접노무비)'!C162,'JUNE (물량흐름)'!$I$13:$I$502)</f>
        <v>0</v>
      </c>
      <c r="M162" s="6">
        <f t="shared" si="29"/>
        <v>0</v>
      </c>
      <c r="N162" s="6">
        <f t="shared" si="30"/>
        <v>0</v>
      </c>
      <c r="O162" s="6">
        <f t="shared" si="27"/>
        <v>0</v>
      </c>
      <c r="P162" s="6">
        <f>SUMIF('JUNE (물량흐름)'!$C$13:$C$502,C162,'JUNE (물량흐름)'!$T$13:$T$502)+SUMIF('JUNE (물량흐름)'!$C$13:$C$502,C162,'JUNE (물량흐름)'!$V$13:$V$502)+SUMIF('JUNE (물량흐름)'!$C$13:$C$502,C162,'JUNE (물량흐름)'!$U$13:$U$502)-SUMIF('JUNE (물량흐름)'!$C$13:$C$502,C162,'JUNE (물량흐름)'!$Y$13:$Y$502)</f>
        <v>25</v>
      </c>
      <c r="Q162" s="6">
        <f t="shared" si="37"/>
        <v>650729</v>
      </c>
      <c r="R162" s="6">
        <f>ROUND(IF(ISERROR(VLOOKUP(#REF!,'WIP(재공품)'!$B$12:$AB$38,13,0)),0,VLOOKUP(#REF!,'WIP(재공품)'!$B$12:$AB$38,13,0)),0)</f>
        <v>0</v>
      </c>
      <c r="S162" s="6">
        <f>IF(ISERROR(VLOOKUP(#REF!,'WIP(재공품)'!$B$12:$AB$38,10,0)),0,VLOOKUP(#REF!,'WIP(재공품)'!$B$12:$AB$38,10,0))</f>
        <v>0</v>
      </c>
      <c r="T162" s="6">
        <f>SUMIF('JUNE (물량흐름)'!$C$13:$C$502,'Direct labour(직접노무비)'!C162,'JUNE (물량흐름)'!$Y$13:$Y$502)</f>
        <v>0</v>
      </c>
      <c r="U162" s="6">
        <f t="shared" si="31"/>
        <v>0</v>
      </c>
      <c r="V162" s="6">
        <f>ROUND(SUMIF('JUNE (물량흐름)'!$C$13:$C$502,'Direct labour(직접노무비)'!C162,'JUNE (물량흐름)'!$N$13:$N$502),0)</f>
        <v>0</v>
      </c>
      <c r="W162" s="6">
        <f>ROUND(SUMIF('JUNE (물량흐름)'!$C$13:$C$502,'Direct labour(직접노무비)'!C162,'JUNE (물량흐름)'!$O$13:$O$502),0)</f>
        <v>0</v>
      </c>
      <c r="X162" s="6">
        <f>ROUND(SUMIF('JUNE (물량흐름)'!$C$13:$C$502,'Direct labour(직접노무비)'!C162,'JUNE (물량흐름)'!$P$13:$P$502),0)</f>
        <v>0</v>
      </c>
      <c r="Y162" s="6">
        <f t="shared" si="32"/>
        <v>0</v>
      </c>
      <c r="Z162" s="6">
        <f t="shared" si="33"/>
        <v>0</v>
      </c>
      <c r="AA162" s="6">
        <f t="shared" si="38"/>
        <v>0</v>
      </c>
      <c r="AB162" s="389">
        <f t="shared" si="34"/>
        <v>0</v>
      </c>
      <c r="AC162" s="389">
        <f t="shared" si="35"/>
        <v>0</v>
      </c>
      <c r="AD162" s="389">
        <f t="shared" si="36"/>
        <v>0</v>
      </c>
    </row>
    <row r="163" spans="1:30" s="390" customFormat="1" ht="15" customHeight="1">
      <c r="A163" s="167">
        <v>153</v>
      </c>
      <c r="B163" s="267" t="str">
        <f>VLOOKUP(A163,'JUNE (물량흐름)'!$A$13:$C$502,2,0)</f>
        <v>NORDSTROM</v>
      </c>
      <c r="C163" s="240" t="str">
        <f>VLOOKUP(A163,'JUNE (물량흐름)'!$A$13:$C$502,3,0)</f>
        <v>CN380880MI</v>
      </c>
      <c r="D163" s="6">
        <f>VLOOKUP(C163,'WIP(재공품)'!$B$12:$E$493,4,0)</f>
        <v>30611.250000000004</v>
      </c>
      <c r="E163" s="6">
        <f>IFERROR(VLOOKUP(C163,O.B.JUNE!$AA$7:$AG$448,2,0),0)</f>
        <v>0</v>
      </c>
      <c r="F163" s="6">
        <f>IFERROR(VLOOKUP(C163,O.B.JUNE!$AA$7:$AG$448,3,0),0)</f>
        <v>0</v>
      </c>
      <c r="G163" s="6">
        <f>IFERROR(VLOOKUP(C163,O.B.JUNE!$AA$7:$AD$448,4,0),0)</f>
        <v>362</v>
      </c>
      <c r="H163" s="6">
        <f t="shared" si="28"/>
        <v>362</v>
      </c>
      <c r="I163" s="6">
        <f>IFERROR(VLOOKUP(C163,O.B.JUNE!$AA$7:$AF$448,6,0),0)</f>
        <v>290</v>
      </c>
      <c r="J163" s="6"/>
      <c r="K163" s="6">
        <f>IFERROR(VLOOKUP(C163,O.B.JUNE!$AA$7:$AG$448,7,0),0)</f>
        <v>1581224</v>
      </c>
      <c r="L163" s="6">
        <f>SUMIF('JUNE (물량흐름)'!$C$13:$C$502,'Direct labour(직접노무비)'!C163,'JUNE (물량흐름)'!$H$13:$H$502)+SUMIF('JUNE (물량흐름)'!$C$13:$C$502,'Direct labour(직접노무비)'!C163,'JUNE (물량흐름)'!$I$13:$I$502)</f>
        <v>0</v>
      </c>
      <c r="M163" s="6">
        <f t="shared" si="29"/>
        <v>0</v>
      </c>
      <c r="N163" s="6">
        <f t="shared" si="30"/>
        <v>0</v>
      </c>
      <c r="O163" s="6">
        <f t="shared" si="27"/>
        <v>0</v>
      </c>
      <c r="P163" s="6">
        <f>SUMIF('JUNE (물량흐름)'!$C$13:$C$502,C163,'JUNE (물량흐름)'!$T$13:$T$502)+SUMIF('JUNE (물량흐름)'!$C$13:$C$502,C163,'JUNE (물량흐름)'!$V$13:$V$502)+SUMIF('JUNE (물량흐름)'!$C$13:$C$502,C163,'JUNE (물량흐름)'!$U$13:$U$502)-SUMIF('JUNE (물량흐름)'!$C$13:$C$502,C163,'JUNE (물량흐름)'!$Y$13:$Y$502)</f>
        <v>362</v>
      </c>
      <c r="Q163" s="6">
        <f t="shared" si="37"/>
        <v>1581224</v>
      </c>
      <c r="R163" s="6">
        <f>ROUND(IF(ISERROR(VLOOKUP(#REF!,'WIP(재공품)'!$B$12:$AB$38,13,0)),0,VLOOKUP(#REF!,'WIP(재공품)'!$B$12:$AB$38,13,0)),0)</f>
        <v>0</v>
      </c>
      <c r="S163" s="6">
        <f>IF(ISERROR(VLOOKUP(#REF!,'WIP(재공품)'!$B$12:$AB$38,10,0)),0,VLOOKUP(#REF!,'WIP(재공품)'!$B$12:$AB$38,10,0))</f>
        <v>0</v>
      </c>
      <c r="T163" s="6">
        <f>SUMIF('JUNE (물량흐름)'!$C$13:$C$502,'Direct labour(직접노무비)'!C163,'JUNE (물량흐름)'!$Y$13:$Y$502)</f>
        <v>0</v>
      </c>
      <c r="U163" s="6">
        <f t="shared" si="31"/>
        <v>0</v>
      </c>
      <c r="V163" s="6">
        <f>ROUND(SUMIF('JUNE (물량흐름)'!$C$13:$C$502,'Direct labour(직접노무비)'!C163,'JUNE (물량흐름)'!$N$13:$N$502),0)</f>
        <v>0</v>
      </c>
      <c r="W163" s="6">
        <f>ROUND(SUMIF('JUNE (물량흐름)'!$C$13:$C$502,'Direct labour(직접노무비)'!C163,'JUNE (물량흐름)'!$O$13:$O$502),0)</f>
        <v>0</v>
      </c>
      <c r="X163" s="6">
        <f>ROUND(SUMIF('JUNE (물량흐름)'!$C$13:$C$502,'Direct labour(직접노무비)'!C163,'JUNE (물량흐름)'!$P$13:$P$502),0)</f>
        <v>0</v>
      </c>
      <c r="Y163" s="6">
        <f t="shared" si="32"/>
        <v>0</v>
      </c>
      <c r="Z163" s="6">
        <f t="shared" si="33"/>
        <v>0</v>
      </c>
      <c r="AA163" s="6">
        <f t="shared" si="38"/>
        <v>0</v>
      </c>
      <c r="AB163" s="389">
        <f t="shared" si="34"/>
        <v>0</v>
      </c>
      <c r="AC163" s="389">
        <f t="shared" si="35"/>
        <v>0</v>
      </c>
      <c r="AD163" s="389">
        <f t="shared" si="36"/>
        <v>0</v>
      </c>
    </row>
    <row r="164" spans="1:30" s="390" customFormat="1" ht="15" customHeight="1">
      <c r="A164" s="167">
        <v>154</v>
      </c>
      <c r="B164" s="267" t="str">
        <f>VLOOKUP(A164,'JUNE (물량흐름)'!$A$13:$C$502,2,0)</f>
        <v>NORDSTROM</v>
      </c>
      <c r="C164" s="240" t="str">
        <f>VLOOKUP(A164,'JUNE (물량흐름)'!$A$13:$C$502,3,0)</f>
        <v>RK381912MI</v>
      </c>
      <c r="D164" s="6">
        <f>VLOOKUP(C164,'WIP(재공품)'!$B$12:$E$493,4,0)</f>
        <v>30611.250000000004</v>
      </c>
      <c r="E164" s="6">
        <f>IFERROR(VLOOKUP(C164,O.B.JUNE!$AA$7:$AG$448,2,0),0)</f>
        <v>0</v>
      </c>
      <c r="F164" s="6">
        <f>IFERROR(VLOOKUP(C164,O.B.JUNE!$AA$7:$AG$448,3,0),0)</f>
        <v>0</v>
      </c>
      <c r="G164" s="6">
        <f>IFERROR(VLOOKUP(C164,O.B.JUNE!$AA$7:$AD$448,4,0),0)</f>
        <v>213</v>
      </c>
      <c r="H164" s="6">
        <f t="shared" si="28"/>
        <v>213</v>
      </c>
      <c r="I164" s="6">
        <f>IFERROR(VLOOKUP(C164,O.B.JUNE!$AA$7:$AF$448,6,0),0)</f>
        <v>170</v>
      </c>
      <c r="J164" s="6"/>
      <c r="K164" s="6">
        <f>IFERROR(VLOOKUP(C164,O.B.JUNE!$AA$7:$AG$448,7,0),0)</f>
        <v>887367</v>
      </c>
      <c r="L164" s="6">
        <f>SUMIF('JUNE (물량흐름)'!$C$13:$C$502,'Direct labour(직접노무비)'!C164,'JUNE (물량흐름)'!$H$13:$H$502)+SUMIF('JUNE (물량흐름)'!$C$13:$C$502,'Direct labour(직접노무비)'!C164,'JUNE (물량흐름)'!$I$13:$I$502)</f>
        <v>0</v>
      </c>
      <c r="M164" s="6">
        <f t="shared" si="29"/>
        <v>0</v>
      </c>
      <c r="N164" s="6">
        <f t="shared" si="30"/>
        <v>0</v>
      </c>
      <c r="O164" s="6">
        <f t="shared" si="27"/>
        <v>0</v>
      </c>
      <c r="P164" s="6">
        <f>SUMIF('JUNE (물량흐름)'!$C$13:$C$502,C164,'JUNE (물량흐름)'!$T$13:$T$502)+SUMIF('JUNE (물량흐름)'!$C$13:$C$502,C164,'JUNE (물량흐름)'!$V$13:$V$502)+SUMIF('JUNE (물량흐름)'!$C$13:$C$502,C164,'JUNE (물량흐름)'!$U$13:$U$502)-SUMIF('JUNE (물량흐름)'!$C$13:$C$502,C164,'JUNE (물량흐름)'!$Y$13:$Y$502)</f>
        <v>213</v>
      </c>
      <c r="Q164" s="6">
        <f t="shared" si="37"/>
        <v>887367</v>
      </c>
      <c r="R164" s="6">
        <f>ROUND(IF(ISERROR(VLOOKUP(#REF!,'WIP(재공품)'!$B$12:$AB$38,13,0)),0,VLOOKUP(#REF!,'WIP(재공품)'!$B$12:$AB$38,13,0)),0)</f>
        <v>0</v>
      </c>
      <c r="S164" s="6">
        <f>IF(ISERROR(VLOOKUP(#REF!,'WIP(재공품)'!$B$12:$AB$38,10,0)),0,VLOOKUP(#REF!,'WIP(재공품)'!$B$12:$AB$38,10,0))</f>
        <v>0</v>
      </c>
      <c r="T164" s="6">
        <f>SUMIF('JUNE (물량흐름)'!$C$13:$C$502,'Direct labour(직접노무비)'!C164,'JUNE (물량흐름)'!$Y$13:$Y$502)</f>
        <v>0</v>
      </c>
      <c r="U164" s="6">
        <f t="shared" si="31"/>
        <v>0</v>
      </c>
      <c r="V164" s="6">
        <f>ROUND(SUMIF('JUNE (물량흐름)'!$C$13:$C$502,'Direct labour(직접노무비)'!C164,'JUNE (물량흐름)'!$N$13:$N$502),0)</f>
        <v>0</v>
      </c>
      <c r="W164" s="6">
        <f>ROUND(SUMIF('JUNE (물량흐름)'!$C$13:$C$502,'Direct labour(직접노무비)'!C164,'JUNE (물량흐름)'!$O$13:$O$502),0)</f>
        <v>0</v>
      </c>
      <c r="X164" s="6">
        <f>ROUND(SUMIF('JUNE (물량흐름)'!$C$13:$C$502,'Direct labour(직접노무비)'!C164,'JUNE (물량흐름)'!$P$13:$P$502),0)</f>
        <v>0</v>
      </c>
      <c r="Y164" s="6">
        <f t="shared" si="32"/>
        <v>0</v>
      </c>
      <c r="Z164" s="6">
        <f t="shared" si="33"/>
        <v>0</v>
      </c>
      <c r="AA164" s="6">
        <f t="shared" si="38"/>
        <v>0</v>
      </c>
      <c r="AB164" s="389">
        <f t="shared" si="34"/>
        <v>0</v>
      </c>
      <c r="AC164" s="389">
        <f t="shared" si="35"/>
        <v>0</v>
      </c>
      <c r="AD164" s="389">
        <f t="shared" si="36"/>
        <v>0</v>
      </c>
    </row>
    <row r="165" spans="1:30" s="390" customFormat="1" ht="15" customHeight="1">
      <c r="A165" s="167">
        <v>155</v>
      </c>
      <c r="B165" s="267" t="str">
        <f>VLOOKUP(A165,'JUNE (물량흐름)'!$A$13:$C$502,2,0)</f>
        <v>ALFANI</v>
      </c>
      <c r="C165" s="240">
        <f>VLOOKUP(A165,'JUNE (물량흐름)'!$A$13:$C$502,3,0)</f>
        <v>100008562</v>
      </c>
      <c r="D165" s="6">
        <f>VLOOKUP(C165,'WIP(재공품)'!$B$12:$E$493,4,0)</f>
        <v>7936.2499999999991</v>
      </c>
      <c r="E165" s="6">
        <f>IFERROR(VLOOKUP(C165,O.B.JUNE!$AA$7:$AG$448,2,0),0)</f>
        <v>0</v>
      </c>
      <c r="F165" s="6">
        <f>IFERROR(VLOOKUP(C165,O.B.JUNE!$AA$7:$AG$448,3,0),0)</f>
        <v>0</v>
      </c>
      <c r="G165" s="6">
        <f>IFERROR(VLOOKUP(C165,O.B.JUNE!$AA$7:$AD$448,4,0),0)</f>
        <v>55</v>
      </c>
      <c r="H165" s="6">
        <f t="shared" si="28"/>
        <v>55</v>
      </c>
      <c r="I165" s="6">
        <f>IFERROR(VLOOKUP(C165,O.B.JUNE!$AA$7:$AF$448,6,0),0)</f>
        <v>44</v>
      </c>
      <c r="J165" s="6"/>
      <c r="K165" s="6">
        <f>IFERROR(VLOOKUP(C165,O.B.JUNE!$AA$7:$AG$448,7,0),0)</f>
        <v>193134</v>
      </c>
      <c r="L165" s="6">
        <f>SUMIF('JUNE (물량흐름)'!$C$13:$C$502,'Direct labour(직접노무비)'!C165,'JUNE (물량흐름)'!$H$13:$H$502)+SUMIF('JUNE (물량흐름)'!$C$13:$C$502,'Direct labour(직접노무비)'!C165,'JUNE (물량흐름)'!$I$13:$I$502)</f>
        <v>0</v>
      </c>
      <c r="M165" s="6">
        <f t="shared" si="29"/>
        <v>0</v>
      </c>
      <c r="N165" s="6">
        <f t="shared" si="30"/>
        <v>0</v>
      </c>
      <c r="O165" s="6">
        <f t="shared" si="27"/>
        <v>0</v>
      </c>
      <c r="P165" s="6">
        <f>SUMIF('JUNE (물량흐름)'!$C$13:$C$502,C165,'JUNE (물량흐름)'!$T$13:$T$502)+SUMIF('JUNE (물량흐름)'!$C$13:$C$502,C165,'JUNE (물량흐름)'!$V$13:$V$502)+SUMIF('JUNE (물량흐름)'!$C$13:$C$502,C165,'JUNE (물량흐름)'!$U$13:$U$502)-SUMIF('JUNE (물량흐름)'!$C$13:$C$502,C165,'JUNE (물량흐름)'!$Y$13:$Y$502)</f>
        <v>0</v>
      </c>
      <c r="Q165" s="6">
        <f t="shared" si="37"/>
        <v>0</v>
      </c>
      <c r="R165" s="6">
        <f>ROUND(IF(ISERROR(VLOOKUP(#REF!,'WIP(재공품)'!$B$12:$AB$38,13,0)),0,VLOOKUP(#REF!,'WIP(재공품)'!$B$12:$AB$38,13,0)),0)</f>
        <v>0</v>
      </c>
      <c r="S165" s="6">
        <f>IF(ISERROR(VLOOKUP(#REF!,'WIP(재공품)'!$B$12:$AB$38,10,0)),0,VLOOKUP(#REF!,'WIP(재공품)'!$B$12:$AB$38,10,0))</f>
        <v>0</v>
      </c>
      <c r="T165" s="6">
        <f>SUMIF('JUNE (물량흐름)'!$C$13:$C$502,'Direct labour(직접노무비)'!C165,'JUNE (물량흐름)'!$Y$13:$Y$502)</f>
        <v>0</v>
      </c>
      <c r="U165" s="6">
        <f t="shared" si="31"/>
        <v>0</v>
      </c>
      <c r="V165" s="6">
        <f>ROUND(SUMIF('JUNE (물량흐름)'!$C$13:$C$502,'Direct labour(직접노무비)'!C165,'JUNE (물량흐름)'!$N$13:$N$502),0)</f>
        <v>0</v>
      </c>
      <c r="W165" s="6">
        <f>ROUND(SUMIF('JUNE (물량흐름)'!$C$13:$C$502,'Direct labour(직접노무비)'!C165,'JUNE (물량흐름)'!$O$13:$O$502),0)</f>
        <v>0</v>
      </c>
      <c r="X165" s="6">
        <f>ROUND(SUMIF('JUNE (물량흐름)'!$C$13:$C$502,'Direct labour(직접노무비)'!C165,'JUNE (물량흐름)'!$P$13:$P$502),0)</f>
        <v>55</v>
      </c>
      <c r="Y165" s="6">
        <f t="shared" si="32"/>
        <v>55</v>
      </c>
      <c r="Z165" s="6">
        <f t="shared" si="33"/>
        <v>44</v>
      </c>
      <c r="AA165" s="6">
        <f t="shared" si="38"/>
        <v>193134</v>
      </c>
      <c r="AB165" s="389">
        <f t="shared" si="34"/>
        <v>0</v>
      </c>
      <c r="AC165" s="389">
        <f t="shared" si="35"/>
        <v>0</v>
      </c>
      <c r="AD165" s="389">
        <f t="shared" si="36"/>
        <v>0</v>
      </c>
    </row>
    <row r="166" spans="1:30" s="390" customFormat="1" ht="15" customHeight="1">
      <c r="A166" s="167">
        <v>156</v>
      </c>
      <c r="B166" s="267" t="str">
        <f>VLOOKUP(A166,'JUNE (물량흐름)'!$A$13:$C$502,2,0)</f>
        <v>ALFANI</v>
      </c>
      <c r="C166" s="240">
        <f>VLOOKUP(A166,'JUNE (물량흐름)'!$A$13:$C$502,3,0)</f>
        <v>100008572</v>
      </c>
      <c r="D166" s="6">
        <f>VLOOKUP(C166,'WIP(재공품)'!$B$12:$E$493,4,0)</f>
        <v>30611.250000000004</v>
      </c>
      <c r="E166" s="6">
        <f>IFERROR(VLOOKUP(C166,O.B.JUNE!$AA$7:$AG$448,2,0),0)</f>
        <v>0</v>
      </c>
      <c r="F166" s="6">
        <f>IFERROR(VLOOKUP(C166,O.B.JUNE!$AA$7:$AG$448,3,0),0)</f>
        <v>0</v>
      </c>
      <c r="G166" s="6">
        <f>IFERROR(VLOOKUP(C166,O.B.JUNE!$AA$7:$AD$448,4,0),0)</f>
        <v>126</v>
      </c>
      <c r="H166" s="6">
        <f t="shared" si="28"/>
        <v>126</v>
      </c>
      <c r="I166" s="6">
        <f>IFERROR(VLOOKUP(C166,O.B.JUNE!$AA$7:$AF$448,6,0),0)</f>
        <v>101</v>
      </c>
      <c r="J166" s="6"/>
      <c r="K166" s="6">
        <f>IFERROR(VLOOKUP(C166,O.B.JUNE!$AA$7:$AG$448,7,0),0)</f>
        <v>516151</v>
      </c>
      <c r="L166" s="6">
        <f>SUMIF('JUNE (물량흐름)'!$C$13:$C$502,'Direct labour(직접노무비)'!C166,'JUNE (물량흐름)'!$H$13:$H$502)+SUMIF('JUNE (물량흐름)'!$C$13:$C$502,'Direct labour(직접노무비)'!C166,'JUNE (물량흐름)'!$I$13:$I$502)</f>
        <v>0</v>
      </c>
      <c r="M166" s="6">
        <f t="shared" si="29"/>
        <v>0</v>
      </c>
      <c r="N166" s="6">
        <f t="shared" si="30"/>
        <v>0</v>
      </c>
      <c r="O166" s="6">
        <f t="shared" si="27"/>
        <v>0</v>
      </c>
      <c r="P166" s="6">
        <f>SUMIF('JUNE (물량흐름)'!$C$13:$C$502,C166,'JUNE (물량흐름)'!$T$13:$T$502)+SUMIF('JUNE (물량흐름)'!$C$13:$C$502,C166,'JUNE (물량흐름)'!$V$13:$V$502)+SUMIF('JUNE (물량흐름)'!$C$13:$C$502,C166,'JUNE (물량흐름)'!$U$13:$U$502)-SUMIF('JUNE (물량흐름)'!$C$13:$C$502,C166,'JUNE (물량흐름)'!$Y$13:$Y$502)</f>
        <v>0</v>
      </c>
      <c r="Q166" s="6">
        <f t="shared" si="37"/>
        <v>0</v>
      </c>
      <c r="R166" s="6">
        <f>ROUND(IF(ISERROR(VLOOKUP(#REF!,'WIP(재공품)'!$B$12:$AB$38,13,0)),0,VLOOKUP(#REF!,'WIP(재공품)'!$B$12:$AB$38,13,0)),0)</f>
        <v>0</v>
      </c>
      <c r="S166" s="6">
        <f>IF(ISERROR(VLOOKUP(#REF!,'WIP(재공품)'!$B$12:$AB$38,10,0)),0,VLOOKUP(#REF!,'WIP(재공품)'!$B$12:$AB$38,10,0))</f>
        <v>0</v>
      </c>
      <c r="T166" s="6">
        <f>SUMIF('JUNE (물량흐름)'!$C$13:$C$502,'Direct labour(직접노무비)'!C166,'JUNE (물량흐름)'!$Y$13:$Y$502)</f>
        <v>0</v>
      </c>
      <c r="U166" s="6">
        <f t="shared" si="31"/>
        <v>0</v>
      </c>
      <c r="V166" s="6">
        <f>ROUND(SUMIF('JUNE (물량흐름)'!$C$13:$C$502,'Direct labour(직접노무비)'!C166,'JUNE (물량흐름)'!$N$13:$N$502),0)</f>
        <v>0</v>
      </c>
      <c r="W166" s="6">
        <f>ROUND(SUMIF('JUNE (물량흐름)'!$C$13:$C$502,'Direct labour(직접노무비)'!C166,'JUNE (물량흐름)'!$O$13:$O$502),0)</f>
        <v>0</v>
      </c>
      <c r="X166" s="6">
        <f>ROUND(SUMIF('JUNE (물량흐름)'!$C$13:$C$502,'Direct labour(직접노무비)'!C166,'JUNE (물량흐름)'!$P$13:$P$502),0)</f>
        <v>126</v>
      </c>
      <c r="Y166" s="6">
        <f t="shared" si="32"/>
        <v>126</v>
      </c>
      <c r="Z166" s="6">
        <f t="shared" si="33"/>
        <v>101</v>
      </c>
      <c r="AA166" s="6">
        <f t="shared" si="38"/>
        <v>516151</v>
      </c>
      <c r="AB166" s="389">
        <f t="shared" si="34"/>
        <v>0</v>
      </c>
      <c r="AC166" s="389">
        <f t="shared" si="35"/>
        <v>0</v>
      </c>
      <c r="AD166" s="389">
        <f t="shared" si="36"/>
        <v>0</v>
      </c>
    </row>
    <row r="167" spans="1:30" s="390" customFormat="1" ht="15" customHeight="1">
      <c r="A167" s="167">
        <v>157</v>
      </c>
      <c r="B167" s="267" t="str">
        <f>VLOOKUP(A167,'JUNE (물량흐름)'!$A$13:$C$502,2,0)</f>
        <v>ALFANI</v>
      </c>
      <c r="C167" s="240">
        <f>VLOOKUP(A167,'JUNE (물량흐름)'!$A$13:$C$502,3,0)</f>
        <v>100008587</v>
      </c>
      <c r="D167" s="6">
        <f>VLOOKUP(C167,'WIP(재공품)'!$B$12:$E$493,4,0)</f>
        <v>7936.2499999999991</v>
      </c>
      <c r="E167" s="6">
        <f>IFERROR(VLOOKUP(C167,O.B.JUNE!$AA$7:$AG$448,2,0),0)</f>
        <v>0</v>
      </c>
      <c r="F167" s="6">
        <f>IFERROR(VLOOKUP(C167,O.B.JUNE!$AA$7:$AG$448,3,0),0)</f>
        <v>0</v>
      </c>
      <c r="G167" s="6">
        <f>IFERROR(VLOOKUP(C167,O.B.JUNE!$AA$7:$AD$448,4,0),0)</f>
        <v>113</v>
      </c>
      <c r="H167" s="6">
        <f t="shared" si="28"/>
        <v>113</v>
      </c>
      <c r="I167" s="6">
        <f>IFERROR(VLOOKUP(C167,O.B.JUNE!$AA$7:$AF$448,6,0),0)</f>
        <v>90</v>
      </c>
      <c r="J167" s="6"/>
      <c r="K167" s="6">
        <f>IFERROR(VLOOKUP(C167,O.B.JUNE!$AA$7:$AG$448,7,0),0)</f>
        <v>885453</v>
      </c>
      <c r="L167" s="6">
        <f>SUMIF('JUNE (물량흐름)'!$C$13:$C$502,'Direct labour(직접노무비)'!C167,'JUNE (물량흐름)'!$H$13:$H$502)+SUMIF('JUNE (물량흐름)'!$C$13:$C$502,'Direct labour(직접노무비)'!C167,'JUNE (물량흐름)'!$I$13:$I$502)</f>
        <v>0</v>
      </c>
      <c r="M167" s="6">
        <f t="shared" si="29"/>
        <v>0</v>
      </c>
      <c r="N167" s="6">
        <f t="shared" si="30"/>
        <v>0</v>
      </c>
      <c r="O167" s="6">
        <f t="shared" si="27"/>
        <v>0</v>
      </c>
      <c r="P167" s="6">
        <f>SUMIF('JUNE (물량흐름)'!$C$13:$C$502,C167,'JUNE (물량흐름)'!$T$13:$T$502)+SUMIF('JUNE (물량흐름)'!$C$13:$C$502,C167,'JUNE (물량흐름)'!$V$13:$V$502)+SUMIF('JUNE (물량흐름)'!$C$13:$C$502,C167,'JUNE (물량흐름)'!$U$13:$U$502)-SUMIF('JUNE (물량흐름)'!$C$13:$C$502,C167,'JUNE (물량흐름)'!$Y$13:$Y$502)</f>
        <v>0</v>
      </c>
      <c r="Q167" s="6">
        <f t="shared" si="37"/>
        <v>0</v>
      </c>
      <c r="R167" s="6">
        <f>ROUND(IF(ISERROR(VLOOKUP(#REF!,'WIP(재공품)'!$B$12:$AB$38,13,0)),0,VLOOKUP(#REF!,'WIP(재공품)'!$B$12:$AB$38,13,0)),0)</f>
        <v>0</v>
      </c>
      <c r="S167" s="6">
        <f>IF(ISERROR(VLOOKUP(#REF!,'WIP(재공품)'!$B$12:$AB$38,10,0)),0,VLOOKUP(#REF!,'WIP(재공품)'!$B$12:$AB$38,10,0))</f>
        <v>0</v>
      </c>
      <c r="T167" s="6">
        <f>SUMIF('JUNE (물량흐름)'!$C$13:$C$502,'Direct labour(직접노무비)'!C167,'JUNE (물량흐름)'!$Y$13:$Y$502)</f>
        <v>0</v>
      </c>
      <c r="U167" s="6">
        <f t="shared" si="31"/>
        <v>0</v>
      </c>
      <c r="V167" s="6">
        <f>ROUND(SUMIF('JUNE (물량흐름)'!$C$13:$C$502,'Direct labour(직접노무비)'!C167,'JUNE (물량흐름)'!$N$13:$N$502),0)</f>
        <v>0</v>
      </c>
      <c r="W167" s="6">
        <f>ROUND(SUMIF('JUNE (물량흐름)'!$C$13:$C$502,'Direct labour(직접노무비)'!C167,'JUNE (물량흐름)'!$O$13:$O$502),0)</f>
        <v>0</v>
      </c>
      <c r="X167" s="6">
        <f>ROUND(SUMIF('JUNE (물량흐름)'!$C$13:$C$502,'Direct labour(직접노무비)'!C167,'JUNE (물량흐름)'!$P$13:$P$502),0)</f>
        <v>113</v>
      </c>
      <c r="Y167" s="6">
        <f t="shared" si="32"/>
        <v>113</v>
      </c>
      <c r="Z167" s="6">
        <f t="shared" si="33"/>
        <v>90</v>
      </c>
      <c r="AA167" s="6">
        <f t="shared" si="38"/>
        <v>885453</v>
      </c>
      <c r="AB167" s="389">
        <f t="shared" si="34"/>
        <v>0</v>
      </c>
      <c r="AC167" s="389">
        <f t="shared" si="35"/>
        <v>0</v>
      </c>
      <c r="AD167" s="389">
        <f t="shared" si="36"/>
        <v>0</v>
      </c>
    </row>
    <row r="168" spans="1:30" s="390" customFormat="1" ht="15" customHeight="1">
      <c r="A168" s="167">
        <v>158</v>
      </c>
      <c r="B168" s="267" t="str">
        <f>VLOOKUP(A168,'JUNE (물량흐름)'!$A$13:$C$502,2,0)</f>
        <v>ALFANI</v>
      </c>
      <c r="C168" s="240">
        <f>VLOOKUP(A168,'JUNE (물량흐름)'!$A$13:$C$502,3,0)</f>
        <v>100008588</v>
      </c>
      <c r="D168" s="6">
        <f>VLOOKUP(C168,'WIP(재공품)'!$B$12:$E$493,4,0)</f>
        <v>7936.2499999999991</v>
      </c>
      <c r="E168" s="6">
        <f>IFERROR(VLOOKUP(C168,O.B.JUNE!$AA$7:$AG$448,2,0),0)</f>
        <v>0</v>
      </c>
      <c r="F168" s="6">
        <f>IFERROR(VLOOKUP(C168,O.B.JUNE!$AA$7:$AG$448,3,0),0)</f>
        <v>0</v>
      </c>
      <c r="G168" s="6">
        <f>IFERROR(VLOOKUP(C168,O.B.JUNE!$AA$7:$AD$448,4,0),0)</f>
        <v>51</v>
      </c>
      <c r="H168" s="6">
        <f t="shared" si="28"/>
        <v>51</v>
      </c>
      <c r="I168" s="6">
        <f>IFERROR(VLOOKUP(C168,O.B.JUNE!$AA$7:$AF$448,6,0),0)</f>
        <v>41</v>
      </c>
      <c r="J168" s="6"/>
      <c r="K168" s="6">
        <f>IFERROR(VLOOKUP(C168,O.B.JUNE!$AA$7:$AG$448,7,0),0)</f>
        <v>189283</v>
      </c>
      <c r="L168" s="6">
        <f>SUMIF('JUNE (물량흐름)'!$C$13:$C$502,'Direct labour(직접노무비)'!C168,'JUNE (물량흐름)'!$H$13:$H$502)+SUMIF('JUNE (물량흐름)'!$C$13:$C$502,'Direct labour(직접노무비)'!C168,'JUNE (물량흐름)'!$I$13:$I$502)</f>
        <v>0</v>
      </c>
      <c r="M168" s="6">
        <f t="shared" si="29"/>
        <v>0</v>
      </c>
      <c r="N168" s="6">
        <f t="shared" si="30"/>
        <v>0</v>
      </c>
      <c r="O168" s="6">
        <f t="shared" si="27"/>
        <v>0</v>
      </c>
      <c r="P168" s="6">
        <f>SUMIF('JUNE (물량흐름)'!$C$13:$C$502,C168,'JUNE (물량흐름)'!$T$13:$T$502)+SUMIF('JUNE (물량흐름)'!$C$13:$C$502,C168,'JUNE (물량흐름)'!$V$13:$V$502)+SUMIF('JUNE (물량흐름)'!$C$13:$C$502,C168,'JUNE (물량흐름)'!$U$13:$U$502)-SUMIF('JUNE (물량흐름)'!$C$13:$C$502,C168,'JUNE (물량흐름)'!$Y$13:$Y$502)</f>
        <v>0</v>
      </c>
      <c r="Q168" s="6">
        <f t="shared" si="37"/>
        <v>0</v>
      </c>
      <c r="R168" s="6">
        <f>ROUND(IF(ISERROR(VLOOKUP(#REF!,'WIP(재공품)'!$B$12:$AB$38,13,0)),0,VLOOKUP(#REF!,'WIP(재공품)'!$B$12:$AB$38,13,0)),0)</f>
        <v>0</v>
      </c>
      <c r="S168" s="6">
        <f>IF(ISERROR(VLOOKUP(#REF!,'WIP(재공품)'!$B$12:$AB$38,10,0)),0,VLOOKUP(#REF!,'WIP(재공품)'!$B$12:$AB$38,10,0))</f>
        <v>0</v>
      </c>
      <c r="T168" s="6">
        <f>SUMIF('JUNE (물량흐름)'!$C$13:$C$502,'Direct labour(직접노무비)'!C168,'JUNE (물량흐름)'!$Y$13:$Y$502)</f>
        <v>0</v>
      </c>
      <c r="U168" s="6">
        <f t="shared" si="31"/>
        <v>0</v>
      </c>
      <c r="V168" s="6">
        <f>ROUND(SUMIF('JUNE (물량흐름)'!$C$13:$C$502,'Direct labour(직접노무비)'!C168,'JUNE (물량흐름)'!$N$13:$N$502),0)</f>
        <v>0</v>
      </c>
      <c r="W168" s="6">
        <f>ROUND(SUMIF('JUNE (물량흐름)'!$C$13:$C$502,'Direct labour(직접노무비)'!C168,'JUNE (물량흐름)'!$O$13:$O$502),0)</f>
        <v>0</v>
      </c>
      <c r="X168" s="6">
        <f>ROUND(SUMIF('JUNE (물량흐름)'!$C$13:$C$502,'Direct labour(직접노무비)'!C168,'JUNE (물량흐름)'!$P$13:$P$502),0)</f>
        <v>51</v>
      </c>
      <c r="Y168" s="6">
        <f t="shared" si="32"/>
        <v>51</v>
      </c>
      <c r="Z168" s="6">
        <f t="shared" si="33"/>
        <v>41</v>
      </c>
      <c r="AA168" s="6">
        <f t="shared" si="38"/>
        <v>189283</v>
      </c>
      <c r="AB168" s="389">
        <f t="shared" si="34"/>
        <v>0</v>
      </c>
      <c r="AC168" s="389">
        <f t="shared" si="35"/>
        <v>0</v>
      </c>
      <c r="AD168" s="389">
        <f t="shared" si="36"/>
        <v>0</v>
      </c>
    </row>
    <row r="169" spans="1:30" s="390" customFormat="1" ht="15" customHeight="1">
      <c r="A169" s="167">
        <v>159</v>
      </c>
      <c r="B169" s="267" t="str">
        <f>VLOOKUP(A169,'JUNE (물량흐름)'!$A$13:$C$502,2,0)</f>
        <v>ALFANI</v>
      </c>
      <c r="C169" s="240">
        <f>VLOOKUP(A169,'JUNE (물량흐름)'!$A$13:$C$502,3,0)</f>
        <v>100008624</v>
      </c>
      <c r="D169" s="6">
        <f>VLOOKUP(C169,'WIP(재공품)'!$B$12:$E$493,4,0)</f>
        <v>30611.250000000004</v>
      </c>
      <c r="E169" s="6">
        <f>IFERROR(VLOOKUP(C169,O.B.JUNE!$AA$7:$AG$448,2,0),0)</f>
        <v>0</v>
      </c>
      <c r="F169" s="6">
        <f>IFERROR(VLOOKUP(C169,O.B.JUNE!$AA$7:$AG$448,3,0),0)</f>
        <v>0</v>
      </c>
      <c r="G169" s="6">
        <f>IFERROR(VLOOKUP(C169,O.B.JUNE!$AA$7:$AD$448,4,0),0)</f>
        <v>143</v>
      </c>
      <c r="H169" s="6">
        <f t="shared" si="28"/>
        <v>143</v>
      </c>
      <c r="I169" s="6">
        <f>IFERROR(VLOOKUP(C169,O.B.JUNE!$AA$7:$AF$448,6,0),0)</f>
        <v>114</v>
      </c>
      <c r="J169" s="6"/>
      <c r="K169" s="6">
        <f>IFERROR(VLOOKUP(C169,O.B.JUNE!$AA$7:$AG$448,7,0),0)</f>
        <v>2089600</v>
      </c>
      <c r="L169" s="6">
        <f>SUMIF('JUNE (물량흐름)'!$C$13:$C$502,'Direct labour(직접노무비)'!C169,'JUNE (물량흐름)'!$H$13:$H$502)+SUMIF('JUNE (물량흐름)'!$C$13:$C$502,'Direct labour(직접노무비)'!C169,'JUNE (물량흐름)'!$I$13:$I$502)</f>
        <v>0</v>
      </c>
      <c r="M169" s="6">
        <f t="shared" si="29"/>
        <v>0</v>
      </c>
      <c r="N169" s="6">
        <f t="shared" si="30"/>
        <v>0</v>
      </c>
      <c r="O169" s="6">
        <f t="shared" si="27"/>
        <v>0</v>
      </c>
      <c r="P169" s="6">
        <f>SUMIF('JUNE (물량흐름)'!$C$13:$C$502,C169,'JUNE (물량흐름)'!$T$13:$T$502)+SUMIF('JUNE (물량흐름)'!$C$13:$C$502,C169,'JUNE (물량흐름)'!$V$13:$V$502)+SUMIF('JUNE (물량흐름)'!$C$13:$C$502,C169,'JUNE (물량흐름)'!$U$13:$U$502)-SUMIF('JUNE (물량흐름)'!$C$13:$C$502,C169,'JUNE (물량흐름)'!$Y$13:$Y$502)</f>
        <v>0</v>
      </c>
      <c r="Q169" s="6">
        <f t="shared" si="37"/>
        <v>0</v>
      </c>
      <c r="R169" s="6">
        <f>ROUND(IF(ISERROR(VLOOKUP(#REF!,'WIP(재공품)'!$B$12:$AB$38,13,0)),0,VLOOKUP(#REF!,'WIP(재공품)'!$B$12:$AB$38,13,0)),0)</f>
        <v>0</v>
      </c>
      <c r="S169" s="6">
        <f>IF(ISERROR(VLOOKUP(#REF!,'WIP(재공품)'!$B$12:$AB$38,10,0)),0,VLOOKUP(#REF!,'WIP(재공품)'!$B$12:$AB$38,10,0))</f>
        <v>0</v>
      </c>
      <c r="T169" s="6">
        <f>SUMIF('JUNE (물량흐름)'!$C$13:$C$502,'Direct labour(직접노무비)'!C169,'JUNE (물량흐름)'!$Y$13:$Y$502)</f>
        <v>0</v>
      </c>
      <c r="U169" s="6">
        <f t="shared" si="31"/>
        <v>0</v>
      </c>
      <c r="V169" s="6">
        <f>ROUND(SUMIF('JUNE (물량흐름)'!$C$13:$C$502,'Direct labour(직접노무비)'!C169,'JUNE (물량흐름)'!$N$13:$N$502),0)</f>
        <v>0</v>
      </c>
      <c r="W169" s="6">
        <f>ROUND(SUMIF('JUNE (물량흐름)'!$C$13:$C$502,'Direct labour(직접노무비)'!C169,'JUNE (물량흐름)'!$O$13:$O$502),0)</f>
        <v>0</v>
      </c>
      <c r="X169" s="6">
        <f>ROUND(SUMIF('JUNE (물량흐름)'!$C$13:$C$502,'Direct labour(직접노무비)'!C169,'JUNE (물량흐름)'!$P$13:$P$502),0)</f>
        <v>143</v>
      </c>
      <c r="Y169" s="6">
        <f t="shared" si="32"/>
        <v>143</v>
      </c>
      <c r="Z169" s="6">
        <f t="shared" si="33"/>
        <v>114</v>
      </c>
      <c r="AA169" s="6">
        <f t="shared" si="38"/>
        <v>2089600</v>
      </c>
      <c r="AB169" s="389">
        <f t="shared" si="34"/>
        <v>0</v>
      </c>
      <c r="AC169" s="389">
        <f t="shared" si="35"/>
        <v>0</v>
      </c>
      <c r="AD169" s="389">
        <f t="shared" si="36"/>
        <v>0</v>
      </c>
    </row>
    <row r="170" spans="1:30" s="390" customFormat="1" ht="15" customHeight="1">
      <c r="A170" s="167">
        <v>160</v>
      </c>
      <c r="B170" s="267" t="str">
        <f>VLOOKUP(A170,'JUNE (물량흐름)'!$A$13:$C$502,2,0)</f>
        <v>ALFANI</v>
      </c>
      <c r="C170" s="240">
        <f>VLOOKUP(A170,'JUNE (물량흐름)'!$A$13:$C$502,3,0)</f>
        <v>100008652</v>
      </c>
      <c r="D170" s="6">
        <f>VLOOKUP(C170,'WIP(재공품)'!$B$12:$E$493,4,0)</f>
        <v>30611.250000000004</v>
      </c>
      <c r="E170" s="6">
        <f>IFERROR(VLOOKUP(C170,O.B.JUNE!$AA$7:$AG$448,2,0),0)</f>
        <v>0</v>
      </c>
      <c r="F170" s="6">
        <f>IFERROR(VLOOKUP(C170,O.B.JUNE!$AA$7:$AG$448,3,0),0)</f>
        <v>0</v>
      </c>
      <c r="G170" s="6">
        <f>IFERROR(VLOOKUP(C170,O.B.JUNE!$AA$7:$AD$448,4,0),0)</f>
        <v>122</v>
      </c>
      <c r="H170" s="6">
        <f t="shared" si="28"/>
        <v>122</v>
      </c>
      <c r="I170" s="6">
        <f>IFERROR(VLOOKUP(C170,O.B.JUNE!$AA$7:$AF$448,6,0),0)</f>
        <v>98</v>
      </c>
      <c r="J170" s="6"/>
      <c r="K170" s="6">
        <f>IFERROR(VLOOKUP(C170,O.B.JUNE!$AA$7:$AG$448,7,0),0)</f>
        <v>2873519</v>
      </c>
      <c r="L170" s="6">
        <f>SUMIF('JUNE (물량흐름)'!$C$13:$C$502,'Direct labour(직접노무비)'!C170,'JUNE (물량흐름)'!$H$13:$H$502)+SUMIF('JUNE (물량흐름)'!$C$13:$C$502,'Direct labour(직접노무비)'!C170,'JUNE (물량흐름)'!$I$13:$I$502)</f>
        <v>0</v>
      </c>
      <c r="M170" s="6">
        <f t="shared" si="29"/>
        <v>0</v>
      </c>
      <c r="N170" s="6">
        <f t="shared" si="30"/>
        <v>0</v>
      </c>
      <c r="O170" s="6">
        <f t="shared" si="27"/>
        <v>0</v>
      </c>
      <c r="P170" s="6">
        <f>SUMIF('JUNE (물량흐름)'!$C$13:$C$502,C170,'JUNE (물량흐름)'!$T$13:$T$502)+SUMIF('JUNE (물량흐름)'!$C$13:$C$502,C170,'JUNE (물량흐름)'!$V$13:$V$502)+SUMIF('JUNE (물량흐름)'!$C$13:$C$502,C170,'JUNE (물량흐름)'!$U$13:$U$502)-SUMIF('JUNE (물량흐름)'!$C$13:$C$502,C170,'JUNE (물량흐름)'!$Y$13:$Y$502)</f>
        <v>0</v>
      </c>
      <c r="Q170" s="6">
        <f t="shared" si="37"/>
        <v>0</v>
      </c>
      <c r="R170" s="6">
        <f>ROUND(IF(ISERROR(VLOOKUP(#REF!,'WIP(재공품)'!$B$12:$AB$38,13,0)),0,VLOOKUP(#REF!,'WIP(재공품)'!$B$12:$AB$38,13,0)),0)</f>
        <v>0</v>
      </c>
      <c r="S170" s="6">
        <f>IF(ISERROR(VLOOKUP(#REF!,'WIP(재공품)'!$B$12:$AB$38,10,0)),0,VLOOKUP(#REF!,'WIP(재공품)'!$B$12:$AB$38,10,0))</f>
        <v>0</v>
      </c>
      <c r="T170" s="6">
        <f>SUMIF('JUNE (물량흐름)'!$C$13:$C$502,'Direct labour(직접노무비)'!C170,'JUNE (물량흐름)'!$Y$13:$Y$502)</f>
        <v>0</v>
      </c>
      <c r="U170" s="6">
        <f t="shared" si="31"/>
        <v>0</v>
      </c>
      <c r="V170" s="6">
        <f>ROUND(SUMIF('JUNE (물량흐름)'!$C$13:$C$502,'Direct labour(직접노무비)'!C170,'JUNE (물량흐름)'!$N$13:$N$502),0)</f>
        <v>0</v>
      </c>
      <c r="W170" s="6">
        <f>ROUND(SUMIF('JUNE (물량흐름)'!$C$13:$C$502,'Direct labour(직접노무비)'!C170,'JUNE (물량흐름)'!$O$13:$O$502),0)</f>
        <v>0</v>
      </c>
      <c r="X170" s="6">
        <f>ROUND(SUMIF('JUNE (물량흐름)'!$C$13:$C$502,'Direct labour(직접노무비)'!C170,'JUNE (물량흐름)'!$P$13:$P$502),0)</f>
        <v>122</v>
      </c>
      <c r="Y170" s="6">
        <f t="shared" si="32"/>
        <v>122</v>
      </c>
      <c r="Z170" s="6">
        <f t="shared" si="33"/>
        <v>98</v>
      </c>
      <c r="AA170" s="6">
        <f t="shared" si="38"/>
        <v>2873519</v>
      </c>
      <c r="AB170" s="389">
        <f t="shared" si="34"/>
        <v>0</v>
      </c>
      <c r="AC170" s="389">
        <f t="shared" si="35"/>
        <v>0</v>
      </c>
      <c r="AD170" s="389">
        <f t="shared" si="36"/>
        <v>0</v>
      </c>
    </row>
    <row r="171" spans="1:30" s="390" customFormat="1" ht="15" customHeight="1">
      <c r="A171" s="167">
        <v>161</v>
      </c>
      <c r="B171" s="267" t="str">
        <f>VLOOKUP(A171,'JUNE (물량흐름)'!$A$13:$C$502,2,0)</f>
        <v>ALFANI</v>
      </c>
      <c r="C171" s="240">
        <f>VLOOKUP(A171,'JUNE (물량흐름)'!$A$13:$C$502,3,0)</f>
        <v>100008653</v>
      </c>
      <c r="D171" s="6">
        <f>VLOOKUP(C171,'WIP(재공품)'!$B$12:$E$493,4,0)</f>
        <v>30611.250000000004</v>
      </c>
      <c r="E171" s="6">
        <f>IFERROR(VLOOKUP(C171,O.B.JUNE!$AA$7:$AG$448,2,0),0)</f>
        <v>0</v>
      </c>
      <c r="F171" s="6">
        <f>IFERROR(VLOOKUP(C171,O.B.JUNE!$AA$7:$AG$448,3,0),0)</f>
        <v>0</v>
      </c>
      <c r="G171" s="6">
        <f>IFERROR(VLOOKUP(C171,O.B.JUNE!$AA$7:$AD$448,4,0),0)</f>
        <v>69</v>
      </c>
      <c r="H171" s="6">
        <f t="shared" si="28"/>
        <v>69</v>
      </c>
      <c r="I171" s="6">
        <f>IFERROR(VLOOKUP(C171,O.B.JUNE!$AA$7:$AF$448,6,0),0)</f>
        <v>55</v>
      </c>
      <c r="J171" s="6"/>
      <c r="K171" s="6">
        <f>IFERROR(VLOOKUP(C171,O.B.JUNE!$AA$7:$AG$448,7,0),0)</f>
        <v>525345</v>
      </c>
      <c r="L171" s="6">
        <f>SUMIF('JUNE (물량흐름)'!$C$13:$C$502,'Direct labour(직접노무비)'!C171,'JUNE (물량흐름)'!$H$13:$H$502)+SUMIF('JUNE (물량흐름)'!$C$13:$C$502,'Direct labour(직접노무비)'!C171,'JUNE (물량흐름)'!$I$13:$I$502)</f>
        <v>0</v>
      </c>
      <c r="M171" s="6">
        <f t="shared" si="29"/>
        <v>0</v>
      </c>
      <c r="N171" s="6">
        <f t="shared" si="30"/>
        <v>0</v>
      </c>
      <c r="O171" s="6">
        <f t="shared" si="27"/>
        <v>0</v>
      </c>
      <c r="P171" s="6">
        <f>SUMIF('JUNE (물량흐름)'!$C$13:$C$502,C171,'JUNE (물량흐름)'!$T$13:$T$502)+SUMIF('JUNE (물량흐름)'!$C$13:$C$502,C171,'JUNE (물량흐름)'!$V$13:$V$502)+SUMIF('JUNE (물량흐름)'!$C$13:$C$502,C171,'JUNE (물량흐름)'!$U$13:$U$502)-SUMIF('JUNE (물량흐름)'!$C$13:$C$502,C171,'JUNE (물량흐름)'!$Y$13:$Y$502)</f>
        <v>0</v>
      </c>
      <c r="Q171" s="6">
        <f t="shared" si="37"/>
        <v>0</v>
      </c>
      <c r="R171" s="6">
        <f>ROUND(IF(ISERROR(VLOOKUP(#REF!,'WIP(재공품)'!$B$12:$AB$38,13,0)),0,VLOOKUP(#REF!,'WIP(재공품)'!$B$12:$AB$38,13,0)),0)</f>
        <v>0</v>
      </c>
      <c r="S171" s="6">
        <f>IF(ISERROR(VLOOKUP(#REF!,'WIP(재공품)'!$B$12:$AB$38,10,0)),0,VLOOKUP(#REF!,'WIP(재공품)'!$B$12:$AB$38,10,0))</f>
        <v>0</v>
      </c>
      <c r="T171" s="6">
        <f>SUMIF('JUNE (물량흐름)'!$C$13:$C$502,'Direct labour(직접노무비)'!C171,'JUNE (물량흐름)'!$Y$13:$Y$502)</f>
        <v>0</v>
      </c>
      <c r="U171" s="6">
        <f t="shared" si="31"/>
        <v>0</v>
      </c>
      <c r="V171" s="6">
        <f>ROUND(SUMIF('JUNE (물량흐름)'!$C$13:$C$502,'Direct labour(직접노무비)'!C171,'JUNE (물량흐름)'!$N$13:$N$502),0)</f>
        <v>0</v>
      </c>
      <c r="W171" s="6">
        <f>ROUND(SUMIF('JUNE (물량흐름)'!$C$13:$C$502,'Direct labour(직접노무비)'!C171,'JUNE (물량흐름)'!$O$13:$O$502),0)</f>
        <v>0</v>
      </c>
      <c r="X171" s="6">
        <f>ROUND(SUMIF('JUNE (물량흐름)'!$C$13:$C$502,'Direct labour(직접노무비)'!C171,'JUNE (물량흐름)'!$P$13:$P$502),0)</f>
        <v>69</v>
      </c>
      <c r="Y171" s="6">
        <f t="shared" si="32"/>
        <v>69</v>
      </c>
      <c r="Z171" s="6">
        <f t="shared" si="33"/>
        <v>55</v>
      </c>
      <c r="AA171" s="6">
        <f t="shared" si="38"/>
        <v>525345</v>
      </c>
      <c r="AB171" s="389">
        <f t="shared" si="34"/>
        <v>0</v>
      </c>
      <c r="AC171" s="389">
        <f t="shared" si="35"/>
        <v>0</v>
      </c>
      <c r="AD171" s="389">
        <f t="shared" si="36"/>
        <v>0</v>
      </c>
    </row>
    <row r="172" spans="1:30" s="390" customFormat="1" ht="15" customHeight="1">
      <c r="A172" s="167">
        <v>162</v>
      </c>
      <c r="B172" s="267" t="str">
        <f>VLOOKUP(A172,'JUNE (물량흐름)'!$A$13:$C$502,2,0)</f>
        <v>ALFANI</v>
      </c>
      <c r="C172" s="240">
        <f>VLOOKUP(A172,'JUNE (물량흐름)'!$A$13:$C$502,3,0)</f>
        <v>100008702</v>
      </c>
      <c r="D172" s="6">
        <f>VLOOKUP(C172,'WIP(재공품)'!$B$12:$E$493,4,0)</f>
        <v>30611.250000000004</v>
      </c>
      <c r="E172" s="6">
        <f>IFERROR(VLOOKUP(C172,O.B.JUNE!$AA$7:$AG$448,2,0),0)</f>
        <v>0</v>
      </c>
      <c r="F172" s="6">
        <f>IFERROR(VLOOKUP(C172,O.B.JUNE!$AA$7:$AG$448,3,0),0)</f>
        <v>0</v>
      </c>
      <c r="G172" s="6">
        <f>IFERROR(VLOOKUP(C172,O.B.JUNE!$AA$7:$AD$448,4,0),0)</f>
        <v>59</v>
      </c>
      <c r="H172" s="6">
        <f t="shared" si="28"/>
        <v>59</v>
      </c>
      <c r="I172" s="6">
        <f>IFERROR(VLOOKUP(C172,O.B.JUNE!$AA$7:$AF$448,6,0),0)</f>
        <v>47</v>
      </c>
      <c r="J172" s="6"/>
      <c r="K172" s="6">
        <f>IFERROR(VLOOKUP(C172,O.B.JUNE!$AA$7:$AG$448,7,0),0)</f>
        <v>424394</v>
      </c>
      <c r="L172" s="6">
        <f>SUMIF('JUNE (물량흐름)'!$C$13:$C$502,'Direct labour(직접노무비)'!C172,'JUNE (물량흐름)'!$H$13:$H$502)+SUMIF('JUNE (물량흐름)'!$C$13:$C$502,'Direct labour(직접노무비)'!C172,'JUNE (물량흐름)'!$I$13:$I$502)</f>
        <v>0</v>
      </c>
      <c r="M172" s="6">
        <f t="shared" si="29"/>
        <v>0</v>
      </c>
      <c r="N172" s="6">
        <f t="shared" si="30"/>
        <v>0</v>
      </c>
      <c r="O172" s="6">
        <f t="shared" si="27"/>
        <v>0</v>
      </c>
      <c r="P172" s="6">
        <f>SUMIF('JUNE (물량흐름)'!$C$13:$C$502,C172,'JUNE (물량흐름)'!$T$13:$T$502)+SUMIF('JUNE (물량흐름)'!$C$13:$C$502,C172,'JUNE (물량흐름)'!$V$13:$V$502)+SUMIF('JUNE (물량흐름)'!$C$13:$C$502,C172,'JUNE (물량흐름)'!$U$13:$U$502)-SUMIF('JUNE (물량흐름)'!$C$13:$C$502,C172,'JUNE (물량흐름)'!$Y$13:$Y$502)</f>
        <v>0</v>
      </c>
      <c r="Q172" s="6">
        <f t="shared" si="37"/>
        <v>0</v>
      </c>
      <c r="R172" s="6">
        <f>ROUND(IF(ISERROR(VLOOKUP(#REF!,'WIP(재공품)'!$B$12:$AB$38,13,0)),0,VLOOKUP(#REF!,'WIP(재공품)'!$B$12:$AB$38,13,0)),0)</f>
        <v>0</v>
      </c>
      <c r="S172" s="6">
        <f>IF(ISERROR(VLOOKUP(#REF!,'WIP(재공품)'!$B$12:$AB$38,10,0)),0,VLOOKUP(#REF!,'WIP(재공품)'!$B$12:$AB$38,10,0))</f>
        <v>0</v>
      </c>
      <c r="T172" s="6">
        <f>SUMIF('JUNE (물량흐름)'!$C$13:$C$502,'Direct labour(직접노무비)'!C172,'JUNE (물량흐름)'!$Y$13:$Y$502)</f>
        <v>0</v>
      </c>
      <c r="U172" s="6">
        <f t="shared" si="31"/>
        <v>0</v>
      </c>
      <c r="V172" s="6">
        <f>ROUND(SUMIF('JUNE (물량흐름)'!$C$13:$C$502,'Direct labour(직접노무비)'!C172,'JUNE (물량흐름)'!$N$13:$N$502),0)</f>
        <v>0</v>
      </c>
      <c r="W172" s="6">
        <f>ROUND(SUMIF('JUNE (물량흐름)'!$C$13:$C$502,'Direct labour(직접노무비)'!C172,'JUNE (물량흐름)'!$O$13:$O$502),0)</f>
        <v>0</v>
      </c>
      <c r="X172" s="6">
        <f>ROUND(SUMIF('JUNE (물량흐름)'!$C$13:$C$502,'Direct labour(직접노무비)'!C172,'JUNE (물량흐름)'!$P$13:$P$502),0)</f>
        <v>59</v>
      </c>
      <c r="Y172" s="6">
        <f t="shared" si="32"/>
        <v>59</v>
      </c>
      <c r="Z172" s="6">
        <f t="shared" si="33"/>
        <v>47</v>
      </c>
      <c r="AA172" s="6">
        <f t="shared" si="38"/>
        <v>424394</v>
      </c>
      <c r="AB172" s="389">
        <f t="shared" si="34"/>
        <v>0</v>
      </c>
      <c r="AC172" s="389">
        <f t="shared" si="35"/>
        <v>0</v>
      </c>
      <c r="AD172" s="389">
        <f t="shared" si="36"/>
        <v>0</v>
      </c>
    </row>
    <row r="173" spans="1:30" s="390" customFormat="1" ht="15" customHeight="1">
      <c r="A173" s="167">
        <v>163</v>
      </c>
      <c r="B173" s="267" t="str">
        <f>VLOOKUP(A173,'JUNE (물량흐름)'!$A$13:$C$502,2,0)</f>
        <v>ALFANI</v>
      </c>
      <c r="C173" s="240">
        <f>VLOOKUP(A173,'JUNE (물량흐름)'!$A$13:$C$502,3,0)</f>
        <v>100008703</v>
      </c>
      <c r="D173" s="6">
        <f>VLOOKUP(C173,'WIP(재공품)'!$B$12:$E$493,4,0)</f>
        <v>7936.2499999999991</v>
      </c>
      <c r="E173" s="6">
        <f>IFERROR(VLOOKUP(C173,O.B.JUNE!$AA$7:$AG$448,2,0),0)</f>
        <v>0</v>
      </c>
      <c r="F173" s="6">
        <f>IFERROR(VLOOKUP(C173,O.B.JUNE!$AA$7:$AG$448,3,0),0)</f>
        <v>0</v>
      </c>
      <c r="G173" s="6">
        <f>IFERROR(VLOOKUP(C173,O.B.JUNE!$AA$7:$AD$448,4,0),0)</f>
        <v>78</v>
      </c>
      <c r="H173" s="6">
        <f t="shared" si="28"/>
        <v>78</v>
      </c>
      <c r="I173" s="6">
        <f>IFERROR(VLOOKUP(C173,O.B.JUNE!$AA$7:$AF$448,6,0),0)</f>
        <v>62</v>
      </c>
      <c r="J173" s="6"/>
      <c r="K173" s="6">
        <f>IFERROR(VLOOKUP(C173,O.B.JUNE!$AA$7:$AG$448,7,0),0)</f>
        <v>825890</v>
      </c>
      <c r="L173" s="6">
        <f>SUMIF('JUNE (물량흐름)'!$C$13:$C$502,'Direct labour(직접노무비)'!C173,'JUNE (물량흐름)'!$H$13:$H$502)+SUMIF('JUNE (물량흐름)'!$C$13:$C$502,'Direct labour(직접노무비)'!C173,'JUNE (물량흐름)'!$I$13:$I$502)</f>
        <v>0</v>
      </c>
      <c r="M173" s="6">
        <f t="shared" si="29"/>
        <v>0</v>
      </c>
      <c r="N173" s="6">
        <f t="shared" si="30"/>
        <v>0</v>
      </c>
      <c r="O173" s="6">
        <f t="shared" si="27"/>
        <v>0</v>
      </c>
      <c r="P173" s="6">
        <f>SUMIF('JUNE (물량흐름)'!$C$13:$C$502,C173,'JUNE (물량흐름)'!$T$13:$T$502)+SUMIF('JUNE (물량흐름)'!$C$13:$C$502,C173,'JUNE (물량흐름)'!$V$13:$V$502)+SUMIF('JUNE (물량흐름)'!$C$13:$C$502,C173,'JUNE (물량흐름)'!$U$13:$U$502)-SUMIF('JUNE (물량흐름)'!$C$13:$C$502,C173,'JUNE (물량흐름)'!$Y$13:$Y$502)</f>
        <v>0</v>
      </c>
      <c r="Q173" s="6">
        <f t="shared" si="37"/>
        <v>0</v>
      </c>
      <c r="R173" s="6">
        <f>ROUND(IF(ISERROR(VLOOKUP(#REF!,'WIP(재공품)'!$B$12:$AB$38,13,0)),0,VLOOKUP(#REF!,'WIP(재공품)'!$B$12:$AB$38,13,0)),0)</f>
        <v>0</v>
      </c>
      <c r="S173" s="6">
        <f>IF(ISERROR(VLOOKUP(#REF!,'WIP(재공품)'!$B$12:$AB$38,10,0)),0,VLOOKUP(#REF!,'WIP(재공품)'!$B$12:$AB$38,10,0))</f>
        <v>0</v>
      </c>
      <c r="T173" s="6">
        <f>SUMIF('JUNE (물량흐름)'!$C$13:$C$502,'Direct labour(직접노무비)'!C173,'JUNE (물량흐름)'!$Y$13:$Y$502)</f>
        <v>0</v>
      </c>
      <c r="U173" s="6">
        <f t="shared" si="31"/>
        <v>0</v>
      </c>
      <c r="V173" s="6">
        <f>ROUND(SUMIF('JUNE (물량흐름)'!$C$13:$C$502,'Direct labour(직접노무비)'!C173,'JUNE (물량흐름)'!$N$13:$N$502),0)</f>
        <v>0</v>
      </c>
      <c r="W173" s="6">
        <f>ROUND(SUMIF('JUNE (물량흐름)'!$C$13:$C$502,'Direct labour(직접노무비)'!C173,'JUNE (물량흐름)'!$O$13:$O$502),0)</f>
        <v>0</v>
      </c>
      <c r="X173" s="6">
        <f>ROUND(SUMIF('JUNE (물량흐름)'!$C$13:$C$502,'Direct labour(직접노무비)'!C173,'JUNE (물량흐름)'!$P$13:$P$502),0)</f>
        <v>78</v>
      </c>
      <c r="Y173" s="6">
        <f t="shared" si="32"/>
        <v>78</v>
      </c>
      <c r="Z173" s="6">
        <f t="shared" si="33"/>
        <v>62</v>
      </c>
      <c r="AA173" s="6">
        <f t="shared" si="38"/>
        <v>825890</v>
      </c>
      <c r="AB173" s="389">
        <f t="shared" si="34"/>
        <v>0</v>
      </c>
      <c r="AC173" s="389">
        <f t="shared" si="35"/>
        <v>0</v>
      </c>
      <c r="AD173" s="389">
        <f t="shared" si="36"/>
        <v>0</v>
      </c>
    </row>
    <row r="174" spans="1:30" s="390" customFormat="1" ht="15" customHeight="1">
      <c r="A174" s="167">
        <v>164</v>
      </c>
      <c r="B174" s="267" t="str">
        <f>VLOOKUP(A174,'JUNE (물량흐름)'!$A$13:$C$502,2,0)</f>
        <v>ALFANI</v>
      </c>
      <c r="C174" s="240">
        <f>VLOOKUP(A174,'JUNE (물량흐름)'!$A$13:$C$502,3,0)</f>
        <v>100008704</v>
      </c>
      <c r="D174" s="6">
        <f>VLOOKUP(C174,'WIP(재공품)'!$B$12:$E$493,4,0)</f>
        <v>35146.25</v>
      </c>
      <c r="E174" s="6">
        <f>IFERROR(VLOOKUP(C174,O.B.JUNE!$AA$7:$AG$448,2,0),0)</f>
        <v>0</v>
      </c>
      <c r="F174" s="6">
        <f>IFERROR(VLOOKUP(C174,O.B.JUNE!$AA$7:$AG$448,3,0),0)</f>
        <v>0</v>
      </c>
      <c r="G174" s="6">
        <f>IFERROR(VLOOKUP(C174,O.B.JUNE!$AA$7:$AD$448,4,0),0)</f>
        <v>102</v>
      </c>
      <c r="H174" s="6">
        <f t="shared" si="28"/>
        <v>102</v>
      </c>
      <c r="I174" s="6">
        <f>IFERROR(VLOOKUP(C174,O.B.JUNE!$AA$7:$AF$448,6,0),0)</f>
        <v>82</v>
      </c>
      <c r="J174" s="6"/>
      <c r="K174" s="6">
        <f>IFERROR(VLOOKUP(C174,O.B.JUNE!$AA$7:$AG$448,7,0),0)</f>
        <v>1126769</v>
      </c>
      <c r="L174" s="6">
        <f>SUMIF('JUNE (물량흐름)'!$C$13:$C$502,'Direct labour(직접노무비)'!C174,'JUNE (물량흐름)'!$H$13:$H$502)+SUMIF('JUNE (물량흐름)'!$C$13:$C$502,'Direct labour(직접노무비)'!C174,'JUNE (물량흐름)'!$I$13:$I$502)</f>
        <v>0</v>
      </c>
      <c r="M174" s="6">
        <f t="shared" si="29"/>
        <v>0</v>
      </c>
      <c r="N174" s="6">
        <f t="shared" si="30"/>
        <v>0</v>
      </c>
      <c r="O174" s="6">
        <f t="shared" si="27"/>
        <v>0</v>
      </c>
      <c r="P174" s="6">
        <f>SUMIF('JUNE (물량흐름)'!$C$13:$C$502,C174,'JUNE (물량흐름)'!$T$13:$T$502)+SUMIF('JUNE (물량흐름)'!$C$13:$C$502,C174,'JUNE (물량흐름)'!$V$13:$V$502)+SUMIF('JUNE (물량흐름)'!$C$13:$C$502,C174,'JUNE (물량흐름)'!$U$13:$U$502)-SUMIF('JUNE (물량흐름)'!$C$13:$C$502,C174,'JUNE (물량흐름)'!$Y$13:$Y$502)</f>
        <v>0</v>
      </c>
      <c r="Q174" s="6">
        <f t="shared" si="37"/>
        <v>0</v>
      </c>
      <c r="R174" s="6">
        <f>ROUND(IF(ISERROR(VLOOKUP(#REF!,'WIP(재공품)'!$B$12:$AB$38,13,0)),0,VLOOKUP(#REF!,'WIP(재공품)'!$B$12:$AB$38,13,0)),0)</f>
        <v>0</v>
      </c>
      <c r="S174" s="6">
        <f>IF(ISERROR(VLOOKUP(#REF!,'WIP(재공품)'!$B$12:$AB$38,10,0)),0,VLOOKUP(#REF!,'WIP(재공품)'!$B$12:$AB$38,10,0))</f>
        <v>0</v>
      </c>
      <c r="T174" s="6">
        <f>SUMIF('JUNE (물량흐름)'!$C$13:$C$502,'Direct labour(직접노무비)'!C174,'JUNE (물량흐름)'!$Y$13:$Y$502)</f>
        <v>0</v>
      </c>
      <c r="U174" s="6">
        <f t="shared" si="31"/>
        <v>0</v>
      </c>
      <c r="V174" s="6">
        <f>ROUND(SUMIF('JUNE (물량흐름)'!$C$13:$C$502,'Direct labour(직접노무비)'!C174,'JUNE (물량흐름)'!$N$13:$N$502),0)</f>
        <v>0</v>
      </c>
      <c r="W174" s="6">
        <f>ROUND(SUMIF('JUNE (물량흐름)'!$C$13:$C$502,'Direct labour(직접노무비)'!C174,'JUNE (물량흐름)'!$O$13:$O$502),0)</f>
        <v>0</v>
      </c>
      <c r="X174" s="6">
        <f>ROUND(SUMIF('JUNE (물량흐름)'!$C$13:$C$502,'Direct labour(직접노무비)'!C174,'JUNE (물량흐름)'!$P$13:$P$502),0)</f>
        <v>102</v>
      </c>
      <c r="Y174" s="6">
        <f t="shared" si="32"/>
        <v>102</v>
      </c>
      <c r="Z174" s="6">
        <f t="shared" si="33"/>
        <v>82</v>
      </c>
      <c r="AA174" s="6">
        <f t="shared" si="38"/>
        <v>1126769</v>
      </c>
      <c r="AB174" s="389">
        <f t="shared" si="34"/>
        <v>0</v>
      </c>
      <c r="AC174" s="389">
        <f t="shared" si="35"/>
        <v>0</v>
      </c>
      <c r="AD174" s="389">
        <f t="shared" si="36"/>
        <v>0</v>
      </c>
    </row>
    <row r="175" spans="1:30" s="390" customFormat="1" ht="15" customHeight="1">
      <c r="A175" s="167">
        <v>165</v>
      </c>
      <c r="B175" s="267" t="str">
        <f>VLOOKUP(A175,'JUNE (물량흐름)'!$A$13:$C$502,2,0)</f>
        <v>ALFANI</v>
      </c>
      <c r="C175" s="240">
        <f>VLOOKUP(A175,'JUNE (물량흐름)'!$A$13:$C$502,3,0)</f>
        <v>100008706</v>
      </c>
      <c r="D175" s="6">
        <f>VLOOKUP(C175,'WIP(재공품)'!$B$12:$E$493,4,0)</f>
        <v>30611.250000000004</v>
      </c>
      <c r="E175" s="6">
        <f>IFERROR(VLOOKUP(C175,O.B.JUNE!$AA$7:$AG$448,2,0),0)</f>
        <v>0</v>
      </c>
      <c r="F175" s="6">
        <f>IFERROR(VLOOKUP(C175,O.B.JUNE!$AA$7:$AG$448,3,0),0)</f>
        <v>0</v>
      </c>
      <c r="G175" s="6">
        <f>IFERROR(VLOOKUP(C175,O.B.JUNE!$AA$7:$AD$448,4,0),0)</f>
        <v>220</v>
      </c>
      <c r="H175" s="6">
        <f t="shared" si="28"/>
        <v>220</v>
      </c>
      <c r="I175" s="6">
        <f>IFERROR(VLOOKUP(C175,O.B.JUNE!$AA$7:$AF$448,6,0),0)</f>
        <v>176</v>
      </c>
      <c r="J175" s="6"/>
      <c r="K175" s="6">
        <f>IFERROR(VLOOKUP(C175,O.B.JUNE!$AA$7:$AG$448,7,0),0)</f>
        <v>3731621</v>
      </c>
      <c r="L175" s="6">
        <f>SUMIF('JUNE (물량흐름)'!$C$13:$C$502,'Direct labour(직접노무비)'!C175,'JUNE (물량흐름)'!$H$13:$H$502)+SUMIF('JUNE (물량흐름)'!$C$13:$C$502,'Direct labour(직접노무비)'!C175,'JUNE (물량흐름)'!$I$13:$I$502)</f>
        <v>0</v>
      </c>
      <c r="M175" s="6">
        <f t="shared" si="29"/>
        <v>0</v>
      </c>
      <c r="N175" s="6">
        <f t="shared" si="30"/>
        <v>0</v>
      </c>
      <c r="O175" s="6">
        <f t="shared" si="27"/>
        <v>0</v>
      </c>
      <c r="P175" s="6">
        <f>SUMIF('JUNE (물량흐름)'!$C$13:$C$502,C175,'JUNE (물량흐름)'!$T$13:$T$502)+SUMIF('JUNE (물량흐름)'!$C$13:$C$502,C175,'JUNE (물량흐름)'!$V$13:$V$502)+SUMIF('JUNE (물량흐름)'!$C$13:$C$502,C175,'JUNE (물량흐름)'!$U$13:$U$502)-SUMIF('JUNE (물량흐름)'!$C$13:$C$502,C175,'JUNE (물량흐름)'!$Y$13:$Y$502)</f>
        <v>0</v>
      </c>
      <c r="Q175" s="6">
        <f t="shared" si="37"/>
        <v>0</v>
      </c>
      <c r="R175" s="6">
        <f>ROUND(IF(ISERROR(VLOOKUP(#REF!,'WIP(재공품)'!$B$12:$AB$38,13,0)),0,VLOOKUP(#REF!,'WIP(재공품)'!$B$12:$AB$38,13,0)),0)</f>
        <v>0</v>
      </c>
      <c r="S175" s="6">
        <f>IF(ISERROR(VLOOKUP(#REF!,'WIP(재공품)'!$B$12:$AB$38,10,0)),0,VLOOKUP(#REF!,'WIP(재공품)'!$B$12:$AB$38,10,0))</f>
        <v>0</v>
      </c>
      <c r="T175" s="6">
        <f>SUMIF('JUNE (물량흐름)'!$C$13:$C$502,'Direct labour(직접노무비)'!C175,'JUNE (물량흐름)'!$Y$13:$Y$502)</f>
        <v>0</v>
      </c>
      <c r="U175" s="6">
        <f t="shared" si="31"/>
        <v>0</v>
      </c>
      <c r="V175" s="6">
        <f>ROUND(SUMIF('JUNE (물량흐름)'!$C$13:$C$502,'Direct labour(직접노무비)'!C175,'JUNE (물량흐름)'!$N$13:$N$502),0)</f>
        <v>0</v>
      </c>
      <c r="W175" s="6">
        <f>ROUND(SUMIF('JUNE (물량흐름)'!$C$13:$C$502,'Direct labour(직접노무비)'!C175,'JUNE (물량흐름)'!$O$13:$O$502),0)</f>
        <v>0</v>
      </c>
      <c r="X175" s="6">
        <f>ROUND(SUMIF('JUNE (물량흐름)'!$C$13:$C$502,'Direct labour(직접노무비)'!C175,'JUNE (물량흐름)'!$P$13:$P$502),0)</f>
        <v>220</v>
      </c>
      <c r="Y175" s="6">
        <f t="shared" si="32"/>
        <v>220</v>
      </c>
      <c r="Z175" s="6">
        <f t="shared" si="33"/>
        <v>176</v>
      </c>
      <c r="AA175" s="6">
        <f t="shared" si="38"/>
        <v>3731621</v>
      </c>
      <c r="AB175" s="389">
        <f t="shared" si="34"/>
        <v>0</v>
      </c>
      <c r="AC175" s="389">
        <f t="shared" si="35"/>
        <v>0</v>
      </c>
      <c r="AD175" s="389">
        <f t="shared" si="36"/>
        <v>0</v>
      </c>
    </row>
    <row r="176" spans="1:30" s="390" customFormat="1" ht="15" customHeight="1">
      <c r="A176" s="167">
        <v>166</v>
      </c>
      <c r="B176" s="267" t="str">
        <f>VLOOKUP(A176,'JUNE (물량흐름)'!$A$13:$C$502,2,0)</f>
        <v>ALFANI</v>
      </c>
      <c r="C176" s="240">
        <f>VLOOKUP(A176,'JUNE (물량흐름)'!$A$13:$C$502,3,0)</f>
        <v>100008707</v>
      </c>
      <c r="D176" s="6">
        <f>VLOOKUP(C176,'WIP(재공품)'!$B$12:$E$493,4,0)</f>
        <v>8163</v>
      </c>
      <c r="E176" s="6">
        <f>IFERROR(VLOOKUP(C176,O.B.JUNE!$AA$7:$AG$448,2,0),0)</f>
        <v>0</v>
      </c>
      <c r="F176" s="6">
        <f>IFERROR(VLOOKUP(C176,O.B.JUNE!$AA$7:$AG$448,3,0),0)</f>
        <v>183</v>
      </c>
      <c r="G176" s="6">
        <f>IFERROR(VLOOKUP(C176,O.B.JUNE!$AA$7:$AD$448,4,0),0)</f>
        <v>92</v>
      </c>
      <c r="H176" s="6">
        <f t="shared" si="28"/>
        <v>275</v>
      </c>
      <c r="I176" s="6">
        <f>IFERROR(VLOOKUP(C176,O.B.JUNE!$AA$7:$AF$448,6,0),0)</f>
        <v>165</v>
      </c>
      <c r="J176" s="6"/>
      <c r="K176" s="6">
        <f>IFERROR(VLOOKUP(C176,O.B.JUNE!$AA$7:$AG$448,7,0),0)</f>
        <v>3997192</v>
      </c>
      <c r="L176" s="6">
        <f>SUMIF('JUNE (물량흐름)'!$C$13:$C$502,'Direct labour(직접노무비)'!C176,'JUNE (물량흐름)'!$H$13:$H$502)+SUMIF('JUNE (물량흐름)'!$C$13:$C$502,'Direct labour(직접노무비)'!C176,'JUNE (물량흐름)'!$I$13:$I$502)</f>
        <v>0</v>
      </c>
      <c r="M176" s="6">
        <f t="shared" si="29"/>
        <v>0</v>
      </c>
      <c r="N176" s="6">
        <f t="shared" si="30"/>
        <v>0</v>
      </c>
      <c r="O176" s="6">
        <f t="shared" si="27"/>
        <v>0</v>
      </c>
      <c r="P176" s="6">
        <f>SUMIF('JUNE (물량흐름)'!$C$13:$C$502,C176,'JUNE (물량흐름)'!$T$13:$T$502)+SUMIF('JUNE (물량흐름)'!$C$13:$C$502,C176,'JUNE (물량흐름)'!$V$13:$V$502)+SUMIF('JUNE (물량흐름)'!$C$13:$C$502,C176,'JUNE (물량흐름)'!$U$13:$U$502)-SUMIF('JUNE (물량흐름)'!$C$13:$C$502,C176,'JUNE (물량흐름)'!$Y$13:$Y$502)</f>
        <v>0</v>
      </c>
      <c r="Q176" s="6">
        <f t="shared" si="37"/>
        <v>0</v>
      </c>
      <c r="R176" s="6">
        <f>ROUND(IF(ISERROR(VLOOKUP(#REF!,'WIP(재공품)'!$B$12:$AB$38,13,0)),0,VLOOKUP(#REF!,'WIP(재공품)'!$B$12:$AB$38,13,0)),0)</f>
        <v>0</v>
      </c>
      <c r="S176" s="6">
        <f>IF(ISERROR(VLOOKUP(#REF!,'WIP(재공품)'!$B$12:$AB$38,10,0)),0,VLOOKUP(#REF!,'WIP(재공품)'!$B$12:$AB$38,10,0))</f>
        <v>0</v>
      </c>
      <c r="T176" s="6">
        <f>SUMIF('JUNE (물량흐름)'!$C$13:$C$502,'Direct labour(직접노무비)'!C176,'JUNE (물량흐름)'!$Y$13:$Y$502)</f>
        <v>0</v>
      </c>
      <c r="U176" s="6">
        <f t="shared" si="31"/>
        <v>0</v>
      </c>
      <c r="V176" s="6">
        <f>ROUND(SUMIF('JUNE (물량흐름)'!$C$13:$C$502,'Direct labour(직접노무비)'!C176,'JUNE (물량흐름)'!$N$13:$N$502),0)</f>
        <v>0</v>
      </c>
      <c r="W176" s="6">
        <f>ROUND(SUMIF('JUNE (물량흐름)'!$C$13:$C$502,'Direct labour(직접노무비)'!C176,'JUNE (물량흐름)'!$O$13:$O$502),0)</f>
        <v>183</v>
      </c>
      <c r="X176" s="6">
        <f>ROUND(SUMIF('JUNE (물량흐름)'!$C$13:$C$502,'Direct labour(직접노무비)'!C176,'JUNE (물량흐름)'!$P$13:$P$502),0)</f>
        <v>92</v>
      </c>
      <c r="Y176" s="6">
        <f t="shared" si="32"/>
        <v>275</v>
      </c>
      <c r="Z176" s="6">
        <f t="shared" si="33"/>
        <v>165</v>
      </c>
      <c r="AA176" s="6">
        <f t="shared" si="38"/>
        <v>3997192</v>
      </c>
      <c r="AB176" s="389">
        <f t="shared" si="34"/>
        <v>0</v>
      </c>
      <c r="AC176" s="389">
        <f t="shared" si="35"/>
        <v>0</v>
      </c>
      <c r="AD176" s="389">
        <f t="shared" si="36"/>
        <v>0</v>
      </c>
    </row>
    <row r="177" spans="1:30" s="390" customFormat="1" ht="15" customHeight="1">
      <c r="A177" s="167">
        <v>167</v>
      </c>
      <c r="B177" s="267" t="str">
        <f>VLOOKUP(A177,'JUNE (물량흐름)'!$A$13:$C$502,2,0)</f>
        <v>ALFANI</v>
      </c>
      <c r="C177" s="240">
        <f>VLOOKUP(A177,'JUNE (물량흐름)'!$A$13:$C$502,3,0)</f>
        <v>100008708</v>
      </c>
      <c r="D177" s="6">
        <f>VLOOKUP(C177,'WIP(재공품)'!$B$12:$E$493,4,0)</f>
        <v>36280</v>
      </c>
      <c r="E177" s="6">
        <f>IFERROR(VLOOKUP(C177,O.B.JUNE!$AA$7:$AG$448,2,0),0)</f>
        <v>0</v>
      </c>
      <c r="F177" s="6">
        <f>IFERROR(VLOOKUP(C177,O.B.JUNE!$AA$7:$AG$448,3,0),0)</f>
        <v>0</v>
      </c>
      <c r="G177" s="6">
        <f>IFERROR(VLOOKUP(C177,O.B.JUNE!$AA$7:$AD$448,4,0),0)</f>
        <v>97</v>
      </c>
      <c r="H177" s="6">
        <f t="shared" si="28"/>
        <v>97</v>
      </c>
      <c r="I177" s="6">
        <f>IFERROR(VLOOKUP(C177,O.B.JUNE!$AA$7:$AF$448,6,0),0)</f>
        <v>78</v>
      </c>
      <c r="J177" s="6"/>
      <c r="K177" s="6">
        <f>IFERROR(VLOOKUP(C177,O.B.JUNE!$AA$7:$AG$448,7,0),0)</f>
        <v>1032703</v>
      </c>
      <c r="L177" s="6">
        <f>SUMIF('JUNE (물량흐름)'!$C$13:$C$502,'Direct labour(직접노무비)'!C177,'JUNE (물량흐름)'!$H$13:$H$502)+SUMIF('JUNE (물량흐름)'!$C$13:$C$502,'Direct labour(직접노무비)'!C177,'JUNE (물량흐름)'!$I$13:$I$502)</f>
        <v>0</v>
      </c>
      <c r="M177" s="6">
        <f t="shared" si="29"/>
        <v>0</v>
      </c>
      <c r="N177" s="6">
        <f t="shared" si="30"/>
        <v>0</v>
      </c>
      <c r="O177" s="6">
        <f t="shared" si="27"/>
        <v>0</v>
      </c>
      <c r="P177" s="6">
        <f>SUMIF('JUNE (물량흐름)'!$C$13:$C$502,C177,'JUNE (물량흐름)'!$T$13:$T$502)+SUMIF('JUNE (물량흐름)'!$C$13:$C$502,C177,'JUNE (물량흐름)'!$V$13:$V$502)+SUMIF('JUNE (물량흐름)'!$C$13:$C$502,C177,'JUNE (물량흐름)'!$U$13:$U$502)-SUMIF('JUNE (물량흐름)'!$C$13:$C$502,C177,'JUNE (물량흐름)'!$Y$13:$Y$502)</f>
        <v>0</v>
      </c>
      <c r="Q177" s="6">
        <f t="shared" si="37"/>
        <v>0</v>
      </c>
      <c r="R177" s="6">
        <f>ROUND(IF(ISERROR(VLOOKUP(#REF!,'WIP(재공품)'!$B$12:$AB$38,13,0)),0,VLOOKUP(#REF!,'WIP(재공품)'!$B$12:$AB$38,13,0)),0)</f>
        <v>0</v>
      </c>
      <c r="S177" s="6">
        <f>IF(ISERROR(VLOOKUP(#REF!,'WIP(재공품)'!$B$12:$AB$38,10,0)),0,VLOOKUP(#REF!,'WIP(재공품)'!$B$12:$AB$38,10,0))</f>
        <v>0</v>
      </c>
      <c r="T177" s="6">
        <f>SUMIF('JUNE (물량흐름)'!$C$13:$C$502,'Direct labour(직접노무비)'!C177,'JUNE (물량흐름)'!$Y$13:$Y$502)</f>
        <v>0</v>
      </c>
      <c r="U177" s="6">
        <f t="shared" si="31"/>
        <v>0</v>
      </c>
      <c r="V177" s="6">
        <f>ROUND(SUMIF('JUNE (물량흐름)'!$C$13:$C$502,'Direct labour(직접노무비)'!C177,'JUNE (물량흐름)'!$N$13:$N$502),0)</f>
        <v>0</v>
      </c>
      <c r="W177" s="6">
        <f>ROUND(SUMIF('JUNE (물량흐름)'!$C$13:$C$502,'Direct labour(직접노무비)'!C177,'JUNE (물량흐름)'!$O$13:$O$502),0)</f>
        <v>0</v>
      </c>
      <c r="X177" s="6">
        <f>ROUND(SUMIF('JUNE (물량흐름)'!$C$13:$C$502,'Direct labour(직접노무비)'!C177,'JUNE (물량흐름)'!$P$13:$P$502),0)</f>
        <v>97</v>
      </c>
      <c r="Y177" s="6">
        <f t="shared" si="32"/>
        <v>97</v>
      </c>
      <c r="Z177" s="6">
        <f t="shared" si="33"/>
        <v>78</v>
      </c>
      <c r="AA177" s="6">
        <f t="shared" si="38"/>
        <v>1032703</v>
      </c>
      <c r="AB177" s="389">
        <f t="shared" si="34"/>
        <v>0</v>
      </c>
      <c r="AC177" s="389">
        <f t="shared" si="35"/>
        <v>0</v>
      </c>
      <c r="AD177" s="389">
        <f t="shared" si="36"/>
        <v>0</v>
      </c>
    </row>
    <row r="178" spans="1:30" s="390" customFormat="1" ht="15" customHeight="1">
      <c r="A178" s="167">
        <v>168</v>
      </c>
      <c r="B178" s="267" t="str">
        <f>VLOOKUP(A178,'JUNE (물량흐름)'!$A$13:$C$502,2,0)</f>
        <v>ALFANI</v>
      </c>
      <c r="C178" s="240">
        <f>VLOOKUP(A178,'JUNE (물량흐름)'!$A$13:$C$502,3,0)</f>
        <v>100008709</v>
      </c>
      <c r="D178" s="6">
        <f>VLOOKUP(C178,'WIP(재공품)'!$B$12:$E$493,4,0)</f>
        <v>7936.2499999999991</v>
      </c>
      <c r="E178" s="6">
        <f>IFERROR(VLOOKUP(C178,O.B.JUNE!$AA$7:$AG$448,2,0),0)</f>
        <v>0</v>
      </c>
      <c r="F178" s="6">
        <f>IFERROR(VLOOKUP(C178,O.B.JUNE!$AA$7:$AG$448,3,0),0)</f>
        <v>27</v>
      </c>
      <c r="G178" s="6">
        <f>IFERROR(VLOOKUP(C178,O.B.JUNE!$AA$7:$AD$448,4,0),0)</f>
        <v>194</v>
      </c>
      <c r="H178" s="6">
        <f t="shared" si="28"/>
        <v>221</v>
      </c>
      <c r="I178" s="6">
        <f>IFERROR(VLOOKUP(C178,O.B.JUNE!$AA$7:$AF$448,6,0),0)</f>
        <v>169</v>
      </c>
      <c r="J178" s="6"/>
      <c r="K178" s="6">
        <f>IFERROR(VLOOKUP(C178,O.B.JUNE!$AA$7:$AG$448,7,0),0)</f>
        <v>3343374</v>
      </c>
      <c r="L178" s="6">
        <f>SUMIF('JUNE (물량흐름)'!$C$13:$C$502,'Direct labour(직접노무비)'!C178,'JUNE (물량흐름)'!$H$13:$H$502)+SUMIF('JUNE (물량흐름)'!$C$13:$C$502,'Direct labour(직접노무비)'!C178,'JUNE (물량흐름)'!$I$13:$I$502)</f>
        <v>4892</v>
      </c>
      <c r="M178" s="6">
        <f t="shared" si="29"/>
        <v>3726</v>
      </c>
      <c r="N178" s="6">
        <f t="shared" si="30"/>
        <v>29570468</v>
      </c>
      <c r="O178" s="6">
        <f t="shared" si="27"/>
        <v>9145368</v>
      </c>
      <c r="P178" s="6">
        <f>SUMIF('JUNE (물량흐름)'!$C$13:$C$502,C178,'JUNE (물량흐름)'!$T$13:$T$502)+SUMIF('JUNE (물량흐름)'!$C$13:$C$502,C178,'JUNE (물량흐름)'!$V$13:$V$502)+SUMIF('JUNE (물량흐름)'!$C$13:$C$502,C178,'JUNE (물량흐름)'!$U$13:$U$502)-SUMIF('JUNE (물량흐름)'!$C$13:$C$502,C178,'JUNE (물량흐름)'!$Y$13:$Y$502)</f>
        <v>0</v>
      </c>
      <c r="Q178" s="6">
        <f t="shared" si="37"/>
        <v>0</v>
      </c>
      <c r="R178" s="6">
        <f>ROUND(IF(ISERROR(VLOOKUP(#REF!,'WIP(재공품)'!$B$12:$AB$38,13,0)),0,VLOOKUP(#REF!,'WIP(재공품)'!$B$12:$AB$38,13,0)),0)</f>
        <v>0</v>
      </c>
      <c r="S178" s="6">
        <f>IF(ISERROR(VLOOKUP(#REF!,'WIP(재공품)'!$B$12:$AB$38,10,0)),0,VLOOKUP(#REF!,'WIP(재공품)'!$B$12:$AB$38,10,0))</f>
        <v>0</v>
      </c>
      <c r="T178" s="6">
        <f>SUMIF('JUNE (물량흐름)'!$C$13:$C$502,'Direct labour(직접노무비)'!C178,'JUNE (물량흐름)'!$Y$13:$Y$502)</f>
        <v>0</v>
      </c>
      <c r="U178" s="6">
        <f t="shared" si="31"/>
        <v>0</v>
      </c>
      <c r="V178" s="6">
        <f>ROUND(SUMIF('JUNE (물량흐름)'!$C$13:$C$502,'Direct labour(직접노무비)'!C178,'JUNE (물량흐름)'!$N$13:$N$502),0)</f>
        <v>0</v>
      </c>
      <c r="W178" s="6">
        <f>ROUND(SUMIF('JUNE (물량흐름)'!$C$13:$C$502,'Direct labour(직접노무비)'!C178,'JUNE (물량흐름)'!$O$13:$O$502),0)</f>
        <v>653</v>
      </c>
      <c r="X178" s="6">
        <f>ROUND(SUMIF('JUNE (물량흐름)'!$C$13:$C$502,'Direct labour(직접노무비)'!C178,'JUNE (물량흐름)'!$P$13:$P$502),0)</f>
        <v>4460</v>
      </c>
      <c r="Y178" s="6">
        <f t="shared" si="32"/>
        <v>5113</v>
      </c>
      <c r="Z178" s="6">
        <f t="shared" si="33"/>
        <v>3895</v>
      </c>
      <c r="AA178" s="6">
        <f t="shared" si="38"/>
        <v>12488742</v>
      </c>
      <c r="AB178" s="389">
        <f t="shared" si="34"/>
        <v>0</v>
      </c>
      <c r="AC178" s="389">
        <f t="shared" si="35"/>
        <v>0</v>
      </c>
      <c r="AD178" s="389">
        <f t="shared" si="36"/>
        <v>0</v>
      </c>
    </row>
    <row r="179" spans="1:30" s="390" customFormat="1" ht="15" customHeight="1">
      <c r="A179" s="167">
        <v>169</v>
      </c>
      <c r="B179" s="267" t="str">
        <f>VLOOKUP(A179,'JUNE (물량흐름)'!$A$13:$C$502,2,0)</f>
        <v>ALFANI</v>
      </c>
      <c r="C179" s="240">
        <f>VLOOKUP(A179,'JUNE (물량흐름)'!$A$13:$C$502,3,0)</f>
        <v>100008714</v>
      </c>
      <c r="D179" s="6">
        <f>VLOOKUP(C179,'WIP(재공품)'!$B$12:$E$493,4,0)</f>
        <v>7936.2499999999991</v>
      </c>
      <c r="E179" s="6">
        <f>IFERROR(VLOOKUP(C179,O.B.JUNE!$AA$7:$AG$448,2,0),0)</f>
        <v>0</v>
      </c>
      <c r="F179" s="6">
        <f>IFERROR(VLOOKUP(C179,O.B.JUNE!$AA$7:$AG$448,3,0),0)</f>
        <v>100</v>
      </c>
      <c r="G179" s="6">
        <f>IFERROR(VLOOKUP(C179,O.B.JUNE!$AA$7:$AD$448,4,0),0)</f>
        <v>511</v>
      </c>
      <c r="H179" s="6">
        <f t="shared" si="28"/>
        <v>611</v>
      </c>
      <c r="I179" s="6">
        <f>IFERROR(VLOOKUP(C179,O.B.JUNE!$AA$7:$AF$448,6,0),0)</f>
        <v>459</v>
      </c>
      <c r="J179" s="6"/>
      <c r="K179" s="6">
        <f>IFERROR(VLOOKUP(C179,O.B.JUNE!$AA$7:$AG$448,7,0),0)</f>
        <v>8016922</v>
      </c>
      <c r="L179" s="6">
        <f>SUMIF('JUNE (물량흐름)'!$C$13:$C$502,'Direct labour(직접노무비)'!C179,'JUNE (물량흐름)'!$H$13:$H$502)+SUMIF('JUNE (물량흐름)'!$C$13:$C$502,'Direct labour(직접노무비)'!C179,'JUNE (물량흐름)'!$I$13:$I$502)</f>
        <v>0</v>
      </c>
      <c r="M179" s="6">
        <f t="shared" si="29"/>
        <v>0</v>
      </c>
      <c r="N179" s="6">
        <f t="shared" si="30"/>
        <v>0</v>
      </c>
      <c r="O179" s="6">
        <f t="shared" si="27"/>
        <v>0</v>
      </c>
      <c r="P179" s="6">
        <f>SUMIF('JUNE (물량흐름)'!$C$13:$C$502,C179,'JUNE (물량흐름)'!$T$13:$T$502)+SUMIF('JUNE (물량흐름)'!$C$13:$C$502,C179,'JUNE (물량흐름)'!$V$13:$V$502)+SUMIF('JUNE (물량흐름)'!$C$13:$C$502,C179,'JUNE (물량흐름)'!$U$13:$U$502)-SUMIF('JUNE (물량흐름)'!$C$13:$C$502,C179,'JUNE (물량흐름)'!$Y$13:$Y$502)</f>
        <v>0</v>
      </c>
      <c r="Q179" s="6">
        <f t="shared" si="37"/>
        <v>0</v>
      </c>
      <c r="R179" s="6">
        <f>ROUND(IF(ISERROR(VLOOKUP(#REF!,'WIP(재공품)'!$B$12:$AB$38,13,0)),0,VLOOKUP(#REF!,'WIP(재공품)'!$B$12:$AB$38,13,0)),0)</f>
        <v>0</v>
      </c>
      <c r="S179" s="6">
        <f>IF(ISERROR(VLOOKUP(#REF!,'WIP(재공품)'!$B$12:$AB$38,10,0)),0,VLOOKUP(#REF!,'WIP(재공품)'!$B$12:$AB$38,10,0))</f>
        <v>0</v>
      </c>
      <c r="T179" s="6">
        <f>SUMIF('JUNE (물량흐름)'!$C$13:$C$502,'Direct labour(직접노무비)'!C179,'JUNE (물량흐름)'!$Y$13:$Y$502)</f>
        <v>0</v>
      </c>
      <c r="U179" s="6">
        <f t="shared" si="31"/>
        <v>0</v>
      </c>
      <c r="V179" s="6">
        <f>ROUND(SUMIF('JUNE (물량흐름)'!$C$13:$C$502,'Direct labour(직접노무비)'!C179,'JUNE (물량흐름)'!$N$13:$N$502),0)</f>
        <v>0</v>
      </c>
      <c r="W179" s="6">
        <f>ROUND(SUMIF('JUNE (물량흐름)'!$C$13:$C$502,'Direct labour(직접노무비)'!C179,'JUNE (물량흐름)'!$O$13:$O$502),0)</f>
        <v>100</v>
      </c>
      <c r="X179" s="6">
        <f>ROUND(SUMIF('JUNE (물량흐름)'!$C$13:$C$502,'Direct labour(직접노무비)'!C179,'JUNE (물량흐름)'!$P$13:$P$502),0)</f>
        <v>511</v>
      </c>
      <c r="Y179" s="6">
        <f t="shared" si="32"/>
        <v>611</v>
      </c>
      <c r="Z179" s="6">
        <f t="shared" si="33"/>
        <v>459</v>
      </c>
      <c r="AA179" s="6">
        <f t="shared" si="38"/>
        <v>8016922</v>
      </c>
      <c r="AB179" s="389">
        <f t="shared" si="34"/>
        <v>0</v>
      </c>
      <c r="AC179" s="389">
        <f t="shared" si="35"/>
        <v>0</v>
      </c>
      <c r="AD179" s="389">
        <f t="shared" si="36"/>
        <v>0</v>
      </c>
    </row>
    <row r="180" spans="1:30" s="390" customFormat="1" ht="15" customHeight="1">
      <c r="A180" s="167">
        <v>170</v>
      </c>
      <c r="B180" s="267" t="str">
        <f>VLOOKUP(A180,'JUNE (물량흐름)'!$A$13:$C$502,2,0)</f>
        <v>ALFANI</v>
      </c>
      <c r="C180" s="240">
        <f>VLOOKUP(A180,'JUNE (물량흐름)'!$A$13:$C$502,3,0)</f>
        <v>100008716</v>
      </c>
      <c r="D180" s="6">
        <f>VLOOKUP(C180,'WIP(재공품)'!$B$12:$E$493,4,0)</f>
        <v>7936.2499999999991</v>
      </c>
      <c r="E180" s="6">
        <f>IFERROR(VLOOKUP(C180,O.B.JUNE!$AA$7:$AG$448,2,0),0)</f>
        <v>0</v>
      </c>
      <c r="F180" s="6">
        <f>IFERROR(VLOOKUP(C180,O.B.JUNE!$AA$7:$AG$448,3,0),0)</f>
        <v>23</v>
      </c>
      <c r="G180" s="6">
        <f>IFERROR(VLOOKUP(C180,O.B.JUNE!$AA$7:$AD$448,4,0),0)</f>
        <v>55</v>
      </c>
      <c r="H180" s="6">
        <f t="shared" si="28"/>
        <v>78</v>
      </c>
      <c r="I180" s="6">
        <f>IFERROR(VLOOKUP(C180,O.B.JUNE!$AA$7:$AF$448,6,0),0)</f>
        <v>56</v>
      </c>
      <c r="J180" s="6"/>
      <c r="K180" s="6">
        <f>IFERROR(VLOOKUP(C180,O.B.JUNE!$AA$7:$AG$448,7,0),0)</f>
        <v>836309</v>
      </c>
      <c r="L180" s="6">
        <f>SUMIF('JUNE (물량흐름)'!$C$13:$C$502,'Direct labour(직접노무비)'!C180,'JUNE (물량흐름)'!$H$13:$H$502)+SUMIF('JUNE (물량흐름)'!$C$13:$C$502,'Direct labour(직접노무비)'!C180,'JUNE (물량흐름)'!$I$13:$I$502)</f>
        <v>0</v>
      </c>
      <c r="M180" s="6">
        <f t="shared" si="29"/>
        <v>0</v>
      </c>
      <c r="N180" s="6">
        <f t="shared" si="30"/>
        <v>0</v>
      </c>
      <c r="O180" s="6">
        <f t="shared" si="27"/>
        <v>0</v>
      </c>
      <c r="P180" s="6">
        <f>SUMIF('JUNE (물량흐름)'!$C$13:$C$502,C180,'JUNE (물량흐름)'!$T$13:$T$502)+SUMIF('JUNE (물량흐름)'!$C$13:$C$502,C180,'JUNE (물량흐름)'!$V$13:$V$502)+SUMIF('JUNE (물량흐름)'!$C$13:$C$502,C180,'JUNE (물량흐름)'!$U$13:$U$502)-SUMIF('JUNE (물량흐름)'!$C$13:$C$502,C180,'JUNE (물량흐름)'!$Y$13:$Y$502)</f>
        <v>0</v>
      </c>
      <c r="Q180" s="6">
        <f t="shared" si="37"/>
        <v>0</v>
      </c>
      <c r="R180" s="6">
        <f>ROUND(IF(ISERROR(VLOOKUP(#REF!,'WIP(재공품)'!$B$12:$AB$38,13,0)),0,VLOOKUP(#REF!,'WIP(재공품)'!$B$12:$AB$38,13,0)),0)</f>
        <v>0</v>
      </c>
      <c r="S180" s="6">
        <f>IF(ISERROR(VLOOKUP(#REF!,'WIP(재공품)'!$B$12:$AB$38,10,0)),0,VLOOKUP(#REF!,'WIP(재공품)'!$B$12:$AB$38,10,0))</f>
        <v>0</v>
      </c>
      <c r="T180" s="6">
        <f>SUMIF('JUNE (물량흐름)'!$C$13:$C$502,'Direct labour(직접노무비)'!C180,'JUNE (물량흐름)'!$Y$13:$Y$502)</f>
        <v>0</v>
      </c>
      <c r="U180" s="6">
        <f t="shared" si="31"/>
        <v>0</v>
      </c>
      <c r="V180" s="6">
        <f>ROUND(SUMIF('JUNE (물량흐름)'!$C$13:$C$502,'Direct labour(직접노무비)'!C180,'JUNE (물량흐름)'!$N$13:$N$502),0)</f>
        <v>0</v>
      </c>
      <c r="W180" s="6">
        <f>ROUND(SUMIF('JUNE (물량흐름)'!$C$13:$C$502,'Direct labour(직접노무비)'!C180,'JUNE (물량흐름)'!$O$13:$O$502),0)</f>
        <v>23</v>
      </c>
      <c r="X180" s="6">
        <f>ROUND(SUMIF('JUNE (물량흐름)'!$C$13:$C$502,'Direct labour(직접노무비)'!C180,'JUNE (물량흐름)'!$P$13:$P$502),0)</f>
        <v>55</v>
      </c>
      <c r="Y180" s="6">
        <f t="shared" si="32"/>
        <v>78</v>
      </c>
      <c r="Z180" s="6">
        <f t="shared" si="33"/>
        <v>56</v>
      </c>
      <c r="AA180" s="6">
        <f t="shared" si="38"/>
        <v>836309</v>
      </c>
      <c r="AB180" s="389">
        <f t="shared" si="34"/>
        <v>0</v>
      </c>
      <c r="AC180" s="389">
        <f t="shared" si="35"/>
        <v>0</v>
      </c>
      <c r="AD180" s="389">
        <f t="shared" si="36"/>
        <v>0</v>
      </c>
    </row>
    <row r="181" spans="1:30" s="390" customFormat="1" ht="15" customHeight="1">
      <c r="A181" s="167">
        <v>171</v>
      </c>
      <c r="B181" s="267" t="str">
        <f>VLOOKUP(A181,'JUNE (물량흐름)'!$A$13:$C$502,2,0)</f>
        <v>ALFANI</v>
      </c>
      <c r="C181" s="240">
        <f>VLOOKUP(A181,'JUNE (물량흐름)'!$A$13:$C$502,3,0)</f>
        <v>100008730</v>
      </c>
      <c r="D181" s="6">
        <f>VLOOKUP(C181,'WIP(재공품)'!$B$12:$E$493,4,0)</f>
        <v>7936.2499999999991</v>
      </c>
      <c r="E181" s="6">
        <f>IFERROR(VLOOKUP(C181,O.B.JUNE!$AA$7:$AG$448,2,0),0)</f>
        <v>0</v>
      </c>
      <c r="F181" s="6">
        <f>IFERROR(VLOOKUP(C181,O.B.JUNE!$AA$7:$AG$448,3,0),0)</f>
        <v>0</v>
      </c>
      <c r="G181" s="6">
        <f>IFERROR(VLOOKUP(C181,O.B.JUNE!$AA$7:$AD$448,4,0),0)</f>
        <v>130</v>
      </c>
      <c r="H181" s="6">
        <f t="shared" si="28"/>
        <v>130</v>
      </c>
      <c r="I181" s="6">
        <f>IFERROR(VLOOKUP(C181,O.B.JUNE!$AA$7:$AF$448,6,0),0)</f>
        <v>104</v>
      </c>
      <c r="J181" s="6"/>
      <c r="K181" s="6">
        <f>IFERROR(VLOOKUP(C181,O.B.JUNE!$AA$7:$AG$448,7,0),0)</f>
        <v>1075137</v>
      </c>
      <c r="L181" s="6">
        <f>SUMIF('JUNE (물량흐름)'!$C$13:$C$502,'Direct labour(직접노무비)'!C181,'JUNE (물량흐름)'!$H$13:$H$502)+SUMIF('JUNE (물량흐름)'!$C$13:$C$502,'Direct labour(직접노무비)'!C181,'JUNE (물량흐름)'!$I$13:$I$502)</f>
        <v>0</v>
      </c>
      <c r="M181" s="6">
        <f t="shared" si="29"/>
        <v>0</v>
      </c>
      <c r="N181" s="6">
        <f t="shared" si="30"/>
        <v>0</v>
      </c>
      <c r="O181" s="6">
        <f t="shared" si="27"/>
        <v>0</v>
      </c>
      <c r="P181" s="6">
        <f>SUMIF('JUNE (물량흐름)'!$C$13:$C$502,C181,'JUNE (물량흐름)'!$T$13:$T$502)+SUMIF('JUNE (물량흐름)'!$C$13:$C$502,C181,'JUNE (물량흐름)'!$V$13:$V$502)+SUMIF('JUNE (물량흐름)'!$C$13:$C$502,C181,'JUNE (물량흐름)'!$U$13:$U$502)-SUMIF('JUNE (물량흐름)'!$C$13:$C$502,C181,'JUNE (물량흐름)'!$Y$13:$Y$502)</f>
        <v>0</v>
      </c>
      <c r="Q181" s="6">
        <f t="shared" si="37"/>
        <v>0</v>
      </c>
      <c r="R181" s="6">
        <f>ROUND(IF(ISERROR(VLOOKUP(#REF!,'WIP(재공품)'!$B$12:$AB$38,13,0)),0,VLOOKUP(#REF!,'WIP(재공품)'!$B$12:$AB$38,13,0)),0)</f>
        <v>0</v>
      </c>
      <c r="S181" s="6">
        <f>IF(ISERROR(VLOOKUP(#REF!,'WIP(재공품)'!$B$12:$AB$38,10,0)),0,VLOOKUP(#REF!,'WIP(재공품)'!$B$12:$AB$38,10,0))</f>
        <v>0</v>
      </c>
      <c r="T181" s="6">
        <f>SUMIF('JUNE (물량흐름)'!$C$13:$C$502,'Direct labour(직접노무비)'!C181,'JUNE (물량흐름)'!$Y$13:$Y$502)</f>
        <v>0</v>
      </c>
      <c r="U181" s="6">
        <f t="shared" si="31"/>
        <v>0</v>
      </c>
      <c r="V181" s="6">
        <f>ROUND(SUMIF('JUNE (물량흐름)'!$C$13:$C$502,'Direct labour(직접노무비)'!C181,'JUNE (물량흐름)'!$N$13:$N$502),0)</f>
        <v>0</v>
      </c>
      <c r="W181" s="6">
        <f>ROUND(SUMIF('JUNE (물량흐름)'!$C$13:$C$502,'Direct labour(직접노무비)'!C181,'JUNE (물량흐름)'!$O$13:$O$502),0)</f>
        <v>0</v>
      </c>
      <c r="X181" s="6">
        <f>ROUND(SUMIF('JUNE (물량흐름)'!$C$13:$C$502,'Direct labour(직접노무비)'!C181,'JUNE (물량흐름)'!$P$13:$P$502),0)</f>
        <v>130</v>
      </c>
      <c r="Y181" s="6">
        <f t="shared" si="32"/>
        <v>130</v>
      </c>
      <c r="Z181" s="6">
        <f t="shared" si="33"/>
        <v>104</v>
      </c>
      <c r="AA181" s="6">
        <f t="shared" si="38"/>
        <v>1075137</v>
      </c>
      <c r="AB181" s="389">
        <f t="shared" si="34"/>
        <v>0</v>
      </c>
      <c r="AC181" s="389">
        <f t="shared" si="35"/>
        <v>0</v>
      </c>
      <c r="AD181" s="389">
        <f t="shared" si="36"/>
        <v>0</v>
      </c>
    </row>
    <row r="182" spans="1:30" s="390" customFormat="1" ht="15" customHeight="1">
      <c r="A182" s="167">
        <v>172</v>
      </c>
      <c r="B182" s="267" t="str">
        <f>VLOOKUP(A182,'JUNE (물량흐름)'!$A$13:$C$502,2,0)</f>
        <v>ALFANI</v>
      </c>
      <c r="C182" s="240">
        <f>VLOOKUP(A182,'JUNE (물량흐름)'!$A$13:$C$502,3,0)</f>
        <v>100008747</v>
      </c>
      <c r="D182" s="6">
        <f>VLOOKUP(C182,'WIP(재공품)'!$B$12:$E$493,4,0)</f>
        <v>7936.2499999999991</v>
      </c>
      <c r="E182" s="6">
        <f>IFERROR(VLOOKUP(C182,O.B.JUNE!$AA$7:$AG$448,2,0),0)</f>
        <v>0</v>
      </c>
      <c r="F182" s="6">
        <f>IFERROR(VLOOKUP(C182,O.B.JUNE!$AA$7:$AG$448,3,0),0)</f>
        <v>0</v>
      </c>
      <c r="G182" s="6">
        <f>IFERROR(VLOOKUP(C182,O.B.JUNE!$AA$7:$AD$448,4,0),0)</f>
        <v>683</v>
      </c>
      <c r="H182" s="6">
        <f t="shared" si="28"/>
        <v>683</v>
      </c>
      <c r="I182" s="6">
        <f>IFERROR(VLOOKUP(C182,O.B.JUNE!$AA$7:$AF$448,6,0),0)</f>
        <v>546</v>
      </c>
      <c r="J182" s="6"/>
      <c r="K182" s="6">
        <f>IFERROR(VLOOKUP(C182,O.B.JUNE!$AA$7:$AG$448,7,0),0)</f>
        <v>2901079</v>
      </c>
      <c r="L182" s="6">
        <f>SUMIF('JUNE (물량흐름)'!$C$13:$C$502,'Direct labour(직접노무비)'!C182,'JUNE (물량흐름)'!$H$13:$H$502)+SUMIF('JUNE (물량흐름)'!$C$13:$C$502,'Direct labour(직접노무비)'!C182,'JUNE (물량흐름)'!$I$13:$I$502)</f>
        <v>0</v>
      </c>
      <c r="M182" s="6">
        <f t="shared" si="29"/>
        <v>0</v>
      </c>
      <c r="N182" s="6">
        <f t="shared" si="30"/>
        <v>0</v>
      </c>
      <c r="O182" s="6">
        <f t="shared" si="27"/>
        <v>0</v>
      </c>
      <c r="P182" s="6">
        <f>SUMIF('JUNE (물량흐름)'!$C$13:$C$502,C182,'JUNE (물량흐름)'!$T$13:$T$502)+SUMIF('JUNE (물량흐름)'!$C$13:$C$502,C182,'JUNE (물량흐름)'!$V$13:$V$502)+SUMIF('JUNE (물량흐름)'!$C$13:$C$502,C182,'JUNE (물량흐름)'!$U$13:$U$502)-SUMIF('JUNE (물량흐름)'!$C$13:$C$502,C182,'JUNE (물량흐름)'!$Y$13:$Y$502)</f>
        <v>0</v>
      </c>
      <c r="Q182" s="6">
        <f t="shared" si="37"/>
        <v>0</v>
      </c>
      <c r="R182" s="6">
        <f>ROUND(IF(ISERROR(VLOOKUP(#REF!,'WIP(재공품)'!$B$12:$AB$38,13,0)),0,VLOOKUP(#REF!,'WIP(재공품)'!$B$12:$AB$38,13,0)),0)</f>
        <v>0</v>
      </c>
      <c r="S182" s="6">
        <f>IF(ISERROR(VLOOKUP(#REF!,'WIP(재공품)'!$B$12:$AB$38,10,0)),0,VLOOKUP(#REF!,'WIP(재공품)'!$B$12:$AB$38,10,0))</f>
        <v>0</v>
      </c>
      <c r="T182" s="6">
        <f>SUMIF('JUNE (물량흐름)'!$C$13:$C$502,'Direct labour(직접노무비)'!C182,'JUNE (물량흐름)'!$Y$13:$Y$502)</f>
        <v>0</v>
      </c>
      <c r="U182" s="6">
        <f t="shared" si="31"/>
        <v>0</v>
      </c>
      <c r="V182" s="6">
        <f>ROUND(SUMIF('JUNE (물량흐름)'!$C$13:$C$502,'Direct labour(직접노무비)'!C182,'JUNE (물량흐름)'!$N$13:$N$502),0)</f>
        <v>0</v>
      </c>
      <c r="W182" s="6">
        <f>ROUND(SUMIF('JUNE (물량흐름)'!$C$13:$C$502,'Direct labour(직접노무비)'!C182,'JUNE (물량흐름)'!$O$13:$O$502),0)</f>
        <v>0</v>
      </c>
      <c r="X182" s="6">
        <f>ROUND(SUMIF('JUNE (물량흐름)'!$C$13:$C$502,'Direct labour(직접노무비)'!C182,'JUNE (물량흐름)'!$P$13:$P$502),0)</f>
        <v>683</v>
      </c>
      <c r="Y182" s="6">
        <f t="shared" si="32"/>
        <v>683</v>
      </c>
      <c r="Z182" s="6">
        <f t="shared" si="33"/>
        <v>546</v>
      </c>
      <c r="AA182" s="6">
        <f t="shared" si="38"/>
        <v>2901079</v>
      </c>
      <c r="AB182" s="389">
        <f t="shared" si="34"/>
        <v>0</v>
      </c>
      <c r="AC182" s="389">
        <f t="shared" si="35"/>
        <v>0</v>
      </c>
      <c r="AD182" s="389">
        <f t="shared" si="36"/>
        <v>0</v>
      </c>
    </row>
    <row r="183" spans="1:30" s="390" customFormat="1" ht="15" customHeight="1">
      <c r="A183" s="167">
        <v>173</v>
      </c>
      <c r="B183" s="267" t="str">
        <f>VLOOKUP(A183,'JUNE (물량흐름)'!$A$13:$C$502,2,0)</f>
        <v>ALFANI</v>
      </c>
      <c r="C183" s="240">
        <f>VLOOKUP(A183,'JUNE (물량흐름)'!$A$13:$C$502,3,0)</f>
        <v>100008749</v>
      </c>
      <c r="D183" s="6">
        <f>VLOOKUP(C183,'WIP(재공품)'!$B$12:$E$493,4,0)</f>
        <v>8163</v>
      </c>
      <c r="E183" s="6">
        <f>IFERROR(VLOOKUP(C183,O.B.JUNE!$AA$7:$AG$448,2,0),0)</f>
        <v>0</v>
      </c>
      <c r="F183" s="6">
        <f>IFERROR(VLOOKUP(C183,O.B.JUNE!$AA$7:$AG$448,3,0),0)</f>
        <v>0</v>
      </c>
      <c r="G183" s="6">
        <f>IFERROR(VLOOKUP(C183,O.B.JUNE!$AA$7:$AD$448,4,0),0)</f>
        <v>201</v>
      </c>
      <c r="H183" s="6">
        <f t="shared" si="28"/>
        <v>201</v>
      </c>
      <c r="I183" s="6">
        <f>IFERROR(VLOOKUP(C183,O.B.JUNE!$AA$7:$AF$448,6,0),0)</f>
        <v>161</v>
      </c>
      <c r="J183" s="6"/>
      <c r="K183" s="6">
        <f>IFERROR(VLOOKUP(C183,O.B.JUNE!$AA$7:$AG$448,7,0),0)</f>
        <v>3705127</v>
      </c>
      <c r="L183" s="6">
        <f>SUMIF('JUNE (물량흐름)'!$C$13:$C$502,'Direct labour(직접노무비)'!C183,'JUNE (물량흐름)'!$H$13:$H$502)+SUMIF('JUNE (물량흐름)'!$C$13:$C$502,'Direct labour(직접노무비)'!C183,'JUNE (물량흐름)'!$I$13:$I$502)</f>
        <v>5640</v>
      </c>
      <c r="M183" s="6">
        <f t="shared" si="29"/>
        <v>4462</v>
      </c>
      <c r="N183" s="6">
        <f t="shared" si="30"/>
        <v>36423306</v>
      </c>
      <c r="O183" s="6">
        <f t="shared" si="27"/>
        <v>11264771</v>
      </c>
      <c r="P183" s="6">
        <f>SUMIF('JUNE (물량흐름)'!$C$13:$C$502,C183,'JUNE (물량흐름)'!$T$13:$T$502)+SUMIF('JUNE (물량흐름)'!$C$13:$C$502,C183,'JUNE (물량흐름)'!$V$13:$V$502)+SUMIF('JUNE (물량흐름)'!$C$13:$C$502,C183,'JUNE (물량흐름)'!$U$13:$U$502)-SUMIF('JUNE (물량흐름)'!$C$13:$C$502,C183,'JUNE (물량흐름)'!$Y$13:$Y$502)</f>
        <v>0</v>
      </c>
      <c r="Q183" s="6">
        <f t="shared" si="37"/>
        <v>0</v>
      </c>
      <c r="R183" s="6">
        <f>ROUND(IF(ISERROR(VLOOKUP(#REF!,'WIP(재공품)'!$B$12:$AB$38,13,0)),0,VLOOKUP(#REF!,'WIP(재공품)'!$B$12:$AB$38,13,0)),0)</f>
        <v>0</v>
      </c>
      <c r="S183" s="6">
        <f>IF(ISERROR(VLOOKUP(#REF!,'WIP(재공품)'!$B$12:$AB$38,10,0)),0,VLOOKUP(#REF!,'WIP(재공품)'!$B$12:$AB$38,10,0))</f>
        <v>0</v>
      </c>
      <c r="T183" s="6">
        <f>SUMIF('JUNE (물량흐름)'!$C$13:$C$502,'Direct labour(직접노무비)'!C183,'JUNE (물량흐름)'!$Y$13:$Y$502)</f>
        <v>0</v>
      </c>
      <c r="U183" s="6">
        <f t="shared" si="31"/>
        <v>0</v>
      </c>
      <c r="V183" s="6">
        <f>ROUND(SUMIF('JUNE (물량흐름)'!$C$13:$C$502,'Direct labour(직접노무비)'!C183,'JUNE (물량흐름)'!$N$13:$N$502),0)</f>
        <v>0</v>
      </c>
      <c r="W183" s="6">
        <f>ROUND(SUMIF('JUNE (물량흐름)'!$C$13:$C$502,'Direct labour(직접노무비)'!C183,'JUNE (물량흐름)'!$O$13:$O$502),0)</f>
        <v>166</v>
      </c>
      <c r="X183" s="6">
        <f>ROUND(SUMIF('JUNE (물량흐름)'!$C$13:$C$502,'Direct labour(직접노무비)'!C183,'JUNE (물량흐름)'!$P$13:$P$502),0)</f>
        <v>5675</v>
      </c>
      <c r="Y183" s="6">
        <f t="shared" si="32"/>
        <v>5841</v>
      </c>
      <c r="Z183" s="6">
        <f t="shared" si="33"/>
        <v>4623</v>
      </c>
      <c r="AA183" s="6">
        <f t="shared" si="38"/>
        <v>14969898</v>
      </c>
      <c r="AB183" s="389">
        <f t="shared" si="34"/>
        <v>0</v>
      </c>
      <c r="AC183" s="389">
        <f t="shared" si="35"/>
        <v>0</v>
      </c>
      <c r="AD183" s="389">
        <f t="shared" si="36"/>
        <v>0</v>
      </c>
    </row>
    <row r="184" spans="1:30" s="390" customFormat="1" ht="15" customHeight="1">
      <c r="A184" s="167">
        <v>174</v>
      </c>
      <c r="B184" s="267" t="str">
        <f>VLOOKUP(A184,'JUNE (물량흐름)'!$A$13:$C$502,2,0)</f>
        <v>ALFANI</v>
      </c>
      <c r="C184" s="240">
        <f>VLOOKUP(A184,'JUNE (물량흐름)'!$A$13:$C$502,3,0)</f>
        <v>100008773</v>
      </c>
      <c r="D184" s="6">
        <f>VLOOKUP(C184,'WIP(재공품)'!$B$12:$E$493,4,0)</f>
        <v>8163</v>
      </c>
      <c r="E184" s="6">
        <f>IFERROR(VLOOKUP(C184,O.B.JUNE!$AA$7:$AG$448,2,0),0)</f>
        <v>0</v>
      </c>
      <c r="F184" s="6">
        <f>IFERROR(VLOOKUP(C184,O.B.JUNE!$AA$7:$AG$448,3,0),0)</f>
        <v>0</v>
      </c>
      <c r="G184" s="6">
        <f>IFERROR(VLOOKUP(C184,O.B.JUNE!$AA$7:$AD$448,4,0),0)</f>
        <v>70</v>
      </c>
      <c r="H184" s="6">
        <f t="shared" si="28"/>
        <v>70</v>
      </c>
      <c r="I184" s="6">
        <f>IFERROR(VLOOKUP(C184,O.B.JUNE!$AA$7:$AF$448,6,0),0)</f>
        <v>56</v>
      </c>
      <c r="J184" s="6"/>
      <c r="K184" s="6">
        <f>IFERROR(VLOOKUP(C184,O.B.JUNE!$AA$7:$AG$448,7,0),0)</f>
        <v>797512</v>
      </c>
      <c r="L184" s="6">
        <f>SUMIF('JUNE (물량흐름)'!$C$13:$C$502,'Direct labour(직접노무비)'!C184,'JUNE (물량흐름)'!$H$13:$H$502)+SUMIF('JUNE (물량흐름)'!$C$13:$C$502,'Direct labour(직접노무비)'!C184,'JUNE (물량흐름)'!$I$13:$I$502)</f>
        <v>0</v>
      </c>
      <c r="M184" s="6">
        <f t="shared" si="29"/>
        <v>0</v>
      </c>
      <c r="N184" s="6">
        <f t="shared" si="30"/>
        <v>0</v>
      </c>
      <c r="O184" s="6">
        <f t="shared" si="27"/>
        <v>0</v>
      </c>
      <c r="P184" s="6">
        <f>SUMIF('JUNE (물량흐름)'!$C$13:$C$502,C184,'JUNE (물량흐름)'!$T$13:$T$502)+SUMIF('JUNE (물량흐름)'!$C$13:$C$502,C184,'JUNE (물량흐름)'!$V$13:$V$502)+SUMIF('JUNE (물량흐름)'!$C$13:$C$502,C184,'JUNE (물량흐름)'!$U$13:$U$502)-SUMIF('JUNE (물량흐름)'!$C$13:$C$502,C184,'JUNE (물량흐름)'!$Y$13:$Y$502)</f>
        <v>0</v>
      </c>
      <c r="Q184" s="6">
        <f t="shared" si="37"/>
        <v>0</v>
      </c>
      <c r="R184" s="6">
        <f>ROUND(IF(ISERROR(VLOOKUP(#REF!,'WIP(재공품)'!$B$12:$AB$38,13,0)),0,VLOOKUP(#REF!,'WIP(재공품)'!$B$12:$AB$38,13,0)),0)</f>
        <v>0</v>
      </c>
      <c r="S184" s="6">
        <f>IF(ISERROR(VLOOKUP(#REF!,'WIP(재공품)'!$B$12:$AB$38,10,0)),0,VLOOKUP(#REF!,'WIP(재공품)'!$B$12:$AB$38,10,0))</f>
        <v>0</v>
      </c>
      <c r="T184" s="6">
        <f>SUMIF('JUNE (물량흐름)'!$C$13:$C$502,'Direct labour(직접노무비)'!C184,'JUNE (물량흐름)'!$Y$13:$Y$502)</f>
        <v>0</v>
      </c>
      <c r="U184" s="6">
        <f t="shared" si="31"/>
        <v>0</v>
      </c>
      <c r="V184" s="6">
        <f>ROUND(SUMIF('JUNE (물량흐름)'!$C$13:$C$502,'Direct labour(직접노무비)'!C184,'JUNE (물량흐름)'!$N$13:$N$502),0)</f>
        <v>0</v>
      </c>
      <c r="W184" s="6">
        <f>ROUND(SUMIF('JUNE (물량흐름)'!$C$13:$C$502,'Direct labour(직접노무비)'!C184,'JUNE (물량흐름)'!$O$13:$O$502),0)</f>
        <v>0</v>
      </c>
      <c r="X184" s="6">
        <f>ROUND(SUMIF('JUNE (물량흐름)'!$C$13:$C$502,'Direct labour(직접노무비)'!C184,'JUNE (물량흐름)'!$P$13:$P$502),0)</f>
        <v>70</v>
      </c>
      <c r="Y184" s="6">
        <f t="shared" si="32"/>
        <v>70</v>
      </c>
      <c r="Z184" s="6">
        <f t="shared" si="33"/>
        <v>56</v>
      </c>
      <c r="AA184" s="6">
        <f t="shared" si="38"/>
        <v>797512</v>
      </c>
      <c r="AB184" s="389">
        <f t="shared" si="34"/>
        <v>0</v>
      </c>
      <c r="AC184" s="389">
        <f t="shared" si="35"/>
        <v>0</v>
      </c>
      <c r="AD184" s="389">
        <f t="shared" si="36"/>
        <v>0</v>
      </c>
    </row>
    <row r="185" spans="1:30" s="390" customFormat="1" ht="15" customHeight="1">
      <c r="A185" s="167">
        <v>175</v>
      </c>
      <c r="B185" s="267" t="str">
        <f>VLOOKUP(A185,'JUNE (물량흐름)'!$A$13:$C$502,2,0)</f>
        <v>ALFANI</v>
      </c>
      <c r="C185" s="240">
        <f>VLOOKUP(A185,'JUNE (물량흐름)'!$A$13:$C$502,3,0)</f>
        <v>100009618</v>
      </c>
      <c r="D185" s="6">
        <f>VLOOKUP(C185,'WIP(재공품)'!$B$12:$E$493,4,0)</f>
        <v>7936.2499999999991</v>
      </c>
      <c r="E185" s="6">
        <f>IFERROR(VLOOKUP(C185,O.B.JUNE!$AA$7:$AG$448,2,0),0)</f>
        <v>0</v>
      </c>
      <c r="F185" s="6">
        <f>IFERROR(VLOOKUP(C185,O.B.JUNE!$AA$7:$AG$448,3,0),0)</f>
        <v>0</v>
      </c>
      <c r="G185" s="6">
        <f>IFERROR(VLOOKUP(C185,O.B.JUNE!$AA$7:$AD$448,4,0),0)</f>
        <v>66</v>
      </c>
      <c r="H185" s="6">
        <f t="shared" si="28"/>
        <v>66</v>
      </c>
      <c r="I185" s="6">
        <f>IFERROR(VLOOKUP(C185,O.B.JUNE!$AA$7:$AF$448,6,0),0)</f>
        <v>53</v>
      </c>
      <c r="J185" s="6"/>
      <c r="K185" s="6">
        <f>IFERROR(VLOOKUP(C185,O.B.JUNE!$AA$7:$AG$448,7,0),0)</f>
        <v>351860</v>
      </c>
      <c r="L185" s="6">
        <f>SUMIF('JUNE (물량흐름)'!$C$13:$C$502,'Direct labour(직접노무비)'!C185,'JUNE (물량흐름)'!$H$13:$H$502)+SUMIF('JUNE (물량흐름)'!$C$13:$C$502,'Direct labour(직접노무비)'!C185,'JUNE (물량흐름)'!$I$13:$I$502)</f>
        <v>1578</v>
      </c>
      <c r="M185" s="6">
        <f t="shared" si="29"/>
        <v>1540</v>
      </c>
      <c r="N185" s="6">
        <f t="shared" si="30"/>
        <v>12221825</v>
      </c>
      <c r="O185" s="6">
        <f t="shared" si="27"/>
        <v>3779889</v>
      </c>
      <c r="P185" s="6">
        <f>SUMIF('JUNE (물량흐름)'!$C$13:$C$502,C185,'JUNE (물량흐름)'!$T$13:$T$502)+SUMIF('JUNE (물량흐름)'!$C$13:$C$502,C185,'JUNE (물량흐름)'!$V$13:$V$502)+SUMIF('JUNE (물량흐름)'!$C$13:$C$502,C185,'JUNE (물량흐름)'!$U$13:$U$502)-SUMIF('JUNE (물량흐름)'!$C$13:$C$502,C185,'JUNE (물량흐름)'!$Y$13:$Y$502)</f>
        <v>1455</v>
      </c>
      <c r="Q185" s="6">
        <f t="shared" si="37"/>
        <v>3656749</v>
      </c>
      <c r="R185" s="6">
        <f>ROUND(IF(ISERROR(VLOOKUP(#REF!,'WIP(재공품)'!$B$12:$AB$38,13,0)),0,VLOOKUP(#REF!,'WIP(재공품)'!$B$12:$AB$38,13,0)),0)</f>
        <v>0</v>
      </c>
      <c r="S185" s="6">
        <f>IF(ISERROR(VLOOKUP(#REF!,'WIP(재공품)'!$B$12:$AB$38,10,0)),0,VLOOKUP(#REF!,'WIP(재공품)'!$B$12:$AB$38,10,0))</f>
        <v>0</v>
      </c>
      <c r="T185" s="6">
        <f>SUMIF('JUNE (물량흐름)'!$C$13:$C$502,'Direct labour(직접노무비)'!C185,'JUNE (물량흐름)'!$Y$13:$Y$502)</f>
        <v>0</v>
      </c>
      <c r="U185" s="6">
        <f t="shared" si="31"/>
        <v>0</v>
      </c>
      <c r="V185" s="6">
        <f>ROUND(SUMIF('JUNE (물량흐름)'!$C$13:$C$502,'Direct labour(직접노무비)'!C185,'JUNE (물량흐름)'!$N$13:$N$502),0)</f>
        <v>0</v>
      </c>
      <c r="W185" s="6">
        <f>ROUND(SUMIF('JUNE (물량흐름)'!$C$13:$C$502,'Direct labour(직접노무비)'!C185,'JUNE (물량흐름)'!$O$13:$O$502),0)</f>
        <v>45</v>
      </c>
      <c r="X185" s="6">
        <f>ROUND(SUMIF('JUNE (물량흐름)'!$C$13:$C$502,'Direct labour(직접노무비)'!C185,'JUNE (물량흐름)'!$P$13:$P$502),0)</f>
        <v>144</v>
      </c>
      <c r="Y185" s="6">
        <f t="shared" si="32"/>
        <v>189</v>
      </c>
      <c r="Z185" s="6">
        <f t="shared" si="33"/>
        <v>138</v>
      </c>
      <c r="AA185" s="6">
        <f t="shared" si="38"/>
        <v>475000</v>
      </c>
      <c r="AB185" s="389">
        <f t="shared" si="34"/>
        <v>0</v>
      </c>
      <c r="AC185" s="389">
        <f t="shared" si="35"/>
        <v>0</v>
      </c>
      <c r="AD185" s="389">
        <f t="shared" si="36"/>
        <v>0</v>
      </c>
    </row>
    <row r="186" spans="1:30" s="390" customFormat="1" ht="15" customHeight="1">
      <c r="A186" s="167">
        <v>176</v>
      </c>
      <c r="B186" s="267" t="str">
        <f>VLOOKUP(A186,'JUNE (물량흐름)'!$A$13:$C$502,2,0)</f>
        <v>ALFANI</v>
      </c>
      <c r="C186" s="240">
        <f>VLOOKUP(A186,'JUNE (물량흐름)'!$A$13:$C$502,3,0)</f>
        <v>100011932</v>
      </c>
      <c r="D186" s="6">
        <f>VLOOKUP(C186,'WIP(재공품)'!$B$12:$E$493,4,0)</f>
        <v>7936.2499999999991</v>
      </c>
      <c r="E186" s="6">
        <f>IFERROR(VLOOKUP(C186,O.B.JUNE!$AA$7:$AG$448,2,0),0)</f>
        <v>0</v>
      </c>
      <c r="F186" s="6">
        <f>IFERROR(VLOOKUP(C186,O.B.JUNE!$AA$7:$AG$448,3,0),0)</f>
        <v>0</v>
      </c>
      <c r="G186" s="6">
        <f>IFERROR(VLOOKUP(C186,O.B.JUNE!$AA$7:$AD$448,4,0),0)</f>
        <v>11</v>
      </c>
      <c r="H186" s="6">
        <f t="shared" si="28"/>
        <v>11</v>
      </c>
      <c r="I186" s="6">
        <f>IFERROR(VLOOKUP(C186,O.B.JUNE!$AA$7:$AF$448,6,0),0)</f>
        <v>9</v>
      </c>
      <c r="J186" s="6"/>
      <c r="K186" s="6">
        <f>IFERROR(VLOOKUP(C186,O.B.JUNE!$AA$7:$AG$448,7,0),0)</f>
        <v>59045</v>
      </c>
      <c r="L186" s="6">
        <f>SUMIF('JUNE (물량흐름)'!$C$13:$C$502,'Direct labour(직접노무비)'!C186,'JUNE (물량흐름)'!$H$13:$H$502)+SUMIF('JUNE (물량흐름)'!$C$13:$C$502,'Direct labour(직접노무비)'!C186,'JUNE (물량흐름)'!$I$13:$I$502)</f>
        <v>0</v>
      </c>
      <c r="M186" s="6">
        <f t="shared" si="29"/>
        <v>0</v>
      </c>
      <c r="N186" s="6">
        <f t="shared" si="30"/>
        <v>0</v>
      </c>
      <c r="O186" s="6">
        <f t="shared" si="27"/>
        <v>0</v>
      </c>
      <c r="P186" s="6">
        <f>SUMIF('JUNE (물량흐름)'!$C$13:$C$502,C186,'JUNE (물량흐름)'!$T$13:$T$502)+SUMIF('JUNE (물량흐름)'!$C$13:$C$502,C186,'JUNE (물량흐름)'!$V$13:$V$502)+SUMIF('JUNE (물량흐름)'!$C$13:$C$502,C186,'JUNE (물량흐름)'!$U$13:$U$502)-SUMIF('JUNE (물량흐름)'!$C$13:$C$502,C186,'JUNE (물량흐름)'!$Y$13:$Y$502)</f>
        <v>0</v>
      </c>
      <c r="Q186" s="6">
        <f t="shared" si="37"/>
        <v>0</v>
      </c>
      <c r="R186" s="6">
        <f>ROUND(IF(ISERROR(VLOOKUP(#REF!,'WIP(재공품)'!$B$12:$AB$38,13,0)),0,VLOOKUP(#REF!,'WIP(재공품)'!$B$12:$AB$38,13,0)),0)</f>
        <v>0</v>
      </c>
      <c r="S186" s="6">
        <f>IF(ISERROR(VLOOKUP(#REF!,'WIP(재공품)'!$B$12:$AB$38,10,0)),0,VLOOKUP(#REF!,'WIP(재공품)'!$B$12:$AB$38,10,0))</f>
        <v>0</v>
      </c>
      <c r="T186" s="6">
        <f>SUMIF('JUNE (물량흐름)'!$C$13:$C$502,'Direct labour(직접노무비)'!C186,'JUNE (물량흐름)'!$Y$13:$Y$502)</f>
        <v>0</v>
      </c>
      <c r="U186" s="6">
        <f t="shared" si="31"/>
        <v>0</v>
      </c>
      <c r="V186" s="6">
        <f>ROUND(SUMIF('JUNE (물량흐름)'!$C$13:$C$502,'Direct labour(직접노무비)'!C186,'JUNE (물량흐름)'!$N$13:$N$502),0)</f>
        <v>0</v>
      </c>
      <c r="W186" s="6">
        <f>ROUND(SUMIF('JUNE (물량흐름)'!$C$13:$C$502,'Direct labour(직접노무비)'!C186,'JUNE (물량흐름)'!$O$13:$O$502),0)</f>
        <v>0</v>
      </c>
      <c r="X186" s="6">
        <f>ROUND(SUMIF('JUNE (물량흐름)'!$C$13:$C$502,'Direct labour(직접노무비)'!C186,'JUNE (물량흐름)'!$P$13:$P$502),0)</f>
        <v>11</v>
      </c>
      <c r="Y186" s="6">
        <f t="shared" si="32"/>
        <v>11</v>
      </c>
      <c r="Z186" s="6">
        <f t="shared" si="33"/>
        <v>9</v>
      </c>
      <c r="AA186" s="6">
        <f t="shared" si="38"/>
        <v>59045</v>
      </c>
      <c r="AB186" s="389">
        <f t="shared" si="34"/>
        <v>0</v>
      </c>
      <c r="AC186" s="389">
        <f t="shared" si="35"/>
        <v>0</v>
      </c>
      <c r="AD186" s="389">
        <f t="shared" si="36"/>
        <v>0</v>
      </c>
    </row>
    <row r="187" spans="1:30" s="390" customFormat="1" ht="15" customHeight="1">
      <c r="A187" s="167">
        <v>177</v>
      </c>
      <c r="B187" s="267" t="str">
        <f>VLOOKUP(A187,'JUNE (물량흐름)'!$A$13:$C$502,2,0)</f>
        <v>ALFANI</v>
      </c>
      <c r="C187" s="240">
        <f>VLOOKUP(A187,'JUNE (물량흐름)'!$A$13:$C$502,3,0)</f>
        <v>100011935</v>
      </c>
      <c r="D187" s="6">
        <f>VLOOKUP(C187,'WIP(재공품)'!$B$12:$E$493,4,0)</f>
        <v>7936.2499999999991</v>
      </c>
      <c r="E187" s="6">
        <f>IFERROR(VLOOKUP(C187,O.B.JUNE!$AA$7:$AG$448,2,0),0)</f>
        <v>0</v>
      </c>
      <c r="F187" s="6">
        <f>IFERROR(VLOOKUP(C187,O.B.JUNE!$AA$7:$AG$448,3,0),0)</f>
        <v>0</v>
      </c>
      <c r="G187" s="6">
        <f>IFERROR(VLOOKUP(C187,O.B.JUNE!$AA$7:$AD$448,4,0),0)</f>
        <v>85</v>
      </c>
      <c r="H187" s="6">
        <f t="shared" si="28"/>
        <v>85</v>
      </c>
      <c r="I187" s="6">
        <f>IFERROR(VLOOKUP(C187,O.B.JUNE!$AA$7:$AF$448,6,0),0)</f>
        <v>68</v>
      </c>
      <c r="J187" s="6"/>
      <c r="K187" s="6">
        <f>IFERROR(VLOOKUP(C187,O.B.JUNE!$AA$7:$AG$448,7,0),0)</f>
        <v>529334</v>
      </c>
      <c r="L187" s="6">
        <f>SUMIF('JUNE (물량흐름)'!$C$13:$C$502,'Direct labour(직접노무비)'!C187,'JUNE (물량흐름)'!$H$13:$H$502)+SUMIF('JUNE (물량흐름)'!$C$13:$C$502,'Direct labour(직접노무비)'!C187,'JUNE (물량흐름)'!$I$13:$I$502)</f>
        <v>0</v>
      </c>
      <c r="M187" s="6">
        <f t="shared" si="29"/>
        <v>0</v>
      </c>
      <c r="N187" s="6">
        <f t="shared" si="30"/>
        <v>0</v>
      </c>
      <c r="O187" s="6">
        <f t="shared" si="27"/>
        <v>0</v>
      </c>
      <c r="P187" s="6">
        <f>SUMIF('JUNE (물량흐름)'!$C$13:$C$502,C187,'JUNE (물량흐름)'!$T$13:$T$502)+SUMIF('JUNE (물량흐름)'!$C$13:$C$502,C187,'JUNE (물량흐름)'!$V$13:$V$502)+SUMIF('JUNE (물량흐름)'!$C$13:$C$502,C187,'JUNE (물량흐름)'!$U$13:$U$502)-SUMIF('JUNE (물량흐름)'!$C$13:$C$502,C187,'JUNE (물량흐름)'!$Y$13:$Y$502)</f>
        <v>0</v>
      </c>
      <c r="Q187" s="6">
        <f t="shared" si="37"/>
        <v>0</v>
      </c>
      <c r="R187" s="6">
        <f>ROUND(IF(ISERROR(VLOOKUP(#REF!,'WIP(재공품)'!$B$12:$AB$38,13,0)),0,VLOOKUP(#REF!,'WIP(재공품)'!$B$12:$AB$38,13,0)),0)</f>
        <v>0</v>
      </c>
      <c r="S187" s="6">
        <f>IF(ISERROR(VLOOKUP(#REF!,'WIP(재공품)'!$B$12:$AB$38,10,0)),0,VLOOKUP(#REF!,'WIP(재공품)'!$B$12:$AB$38,10,0))</f>
        <v>0</v>
      </c>
      <c r="T187" s="6">
        <f>SUMIF('JUNE (물량흐름)'!$C$13:$C$502,'Direct labour(직접노무비)'!C187,'JUNE (물량흐름)'!$Y$13:$Y$502)</f>
        <v>0</v>
      </c>
      <c r="U187" s="6">
        <f t="shared" si="31"/>
        <v>0</v>
      </c>
      <c r="V187" s="6">
        <f>ROUND(SUMIF('JUNE (물량흐름)'!$C$13:$C$502,'Direct labour(직접노무비)'!C187,'JUNE (물량흐름)'!$N$13:$N$502),0)</f>
        <v>0</v>
      </c>
      <c r="W187" s="6">
        <f>ROUND(SUMIF('JUNE (물량흐름)'!$C$13:$C$502,'Direct labour(직접노무비)'!C187,'JUNE (물량흐름)'!$O$13:$O$502),0)</f>
        <v>0</v>
      </c>
      <c r="X187" s="6">
        <f>ROUND(SUMIF('JUNE (물량흐름)'!$C$13:$C$502,'Direct labour(직접노무비)'!C187,'JUNE (물량흐름)'!$P$13:$P$502),0)</f>
        <v>85</v>
      </c>
      <c r="Y187" s="6">
        <f t="shared" si="32"/>
        <v>85</v>
      </c>
      <c r="Z187" s="6">
        <f t="shared" si="33"/>
        <v>68</v>
      </c>
      <c r="AA187" s="6">
        <f t="shared" si="38"/>
        <v>529334</v>
      </c>
      <c r="AB187" s="389">
        <f t="shared" si="34"/>
        <v>0</v>
      </c>
      <c r="AC187" s="389">
        <f t="shared" si="35"/>
        <v>0</v>
      </c>
      <c r="AD187" s="389">
        <f t="shared" si="36"/>
        <v>0</v>
      </c>
    </row>
    <row r="188" spans="1:30" s="390" customFormat="1" ht="15" customHeight="1">
      <c r="A188" s="167">
        <v>178</v>
      </c>
      <c r="B188" s="267" t="str">
        <f>VLOOKUP(A188,'JUNE (물량흐름)'!$A$13:$C$502,2,0)</f>
        <v>ALFANI</v>
      </c>
      <c r="C188" s="240">
        <f>VLOOKUP(A188,'JUNE (물량흐름)'!$A$13:$C$502,3,0)</f>
        <v>100013594</v>
      </c>
      <c r="D188" s="6">
        <f>VLOOKUP(C188,'WIP(재공품)'!$B$12:$E$493,4,0)</f>
        <v>7936.2499999999991</v>
      </c>
      <c r="E188" s="6">
        <f>IFERROR(VLOOKUP(C188,O.B.JUNE!$AA$7:$AG$448,2,0),0)</f>
        <v>0</v>
      </c>
      <c r="F188" s="6">
        <f>IFERROR(VLOOKUP(C188,O.B.JUNE!$AA$7:$AG$448,3,0),0)</f>
        <v>0</v>
      </c>
      <c r="G188" s="6">
        <f>IFERROR(VLOOKUP(C188,O.B.JUNE!$AA$7:$AD$448,4,0),0)</f>
        <v>45</v>
      </c>
      <c r="H188" s="6">
        <f t="shared" si="28"/>
        <v>45</v>
      </c>
      <c r="I188" s="6">
        <f>IFERROR(VLOOKUP(C188,O.B.JUNE!$AA$7:$AF$448,6,0),0)</f>
        <v>36</v>
      </c>
      <c r="J188" s="6"/>
      <c r="K188" s="6">
        <f>IFERROR(VLOOKUP(C188,O.B.JUNE!$AA$7:$AG$448,7,0),0)</f>
        <v>335343</v>
      </c>
      <c r="L188" s="6">
        <f>SUMIF('JUNE (물량흐름)'!$C$13:$C$502,'Direct labour(직접노무비)'!C188,'JUNE (물량흐름)'!$H$13:$H$502)+SUMIF('JUNE (물량흐름)'!$C$13:$C$502,'Direct labour(직접노무비)'!C188,'JUNE (물량흐름)'!$I$13:$I$502)</f>
        <v>0</v>
      </c>
      <c r="M188" s="6">
        <f t="shared" si="29"/>
        <v>0</v>
      </c>
      <c r="N188" s="6">
        <f t="shared" si="30"/>
        <v>0</v>
      </c>
      <c r="O188" s="6">
        <f t="shared" si="27"/>
        <v>0</v>
      </c>
      <c r="P188" s="6">
        <f>SUMIF('JUNE (물량흐름)'!$C$13:$C$502,C188,'JUNE (물량흐름)'!$T$13:$T$502)+SUMIF('JUNE (물량흐름)'!$C$13:$C$502,C188,'JUNE (물량흐름)'!$V$13:$V$502)+SUMIF('JUNE (물량흐름)'!$C$13:$C$502,C188,'JUNE (물량흐름)'!$U$13:$U$502)-SUMIF('JUNE (물량흐름)'!$C$13:$C$502,C188,'JUNE (물량흐름)'!$Y$13:$Y$502)</f>
        <v>0</v>
      </c>
      <c r="Q188" s="6">
        <f t="shared" si="37"/>
        <v>0</v>
      </c>
      <c r="R188" s="6">
        <f>ROUND(IF(ISERROR(VLOOKUP(#REF!,'WIP(재공품)'!$B$12:$AB$38,13,0)),0,VLOOKUP(#REF!,'WIP(재공품)'!$B$12:$AB$38,13,0)),0)</f>
        <v>0</v>
      </c>
      <c r="S188" s="6">
        <f>IF(ISERROR(VLOOKUP(#REF!,'WIP(재공품)'!$B$12:$AB$38,10,0)),0,VLOOKUP(#REF!,'WIP(재공품)'!$B$12:$AB$38,10,0))</f>
        <v>0</v>
      </c>
      <c r="T188" s="6">
        <f>SUMIF('JUNE (물량흐름)'!$C$13:$C$502,'Direct labour(직접노무비)'!C188,'JUNE (물량흐름)'!$Y$13:$Y$502)</f>
        <v>0</v>
      </c>
      <c r="U188" s="6">
        <f t="shared" si="31"/>
        <v>0</v>
      </c>
      <c r="V188" s="6">
        <f>ROUND(SUMIF('JUNE (물량흐름)'!$C$13:$C$502,'Direct labour(직접노무비)'!C188,'JUNE (물량흐름)'!$N$13:$N$502),0)</f>
        <v>0</v>
      </c>
      <c r="W188" s="6">
        <f>ROUND(SUMIF('JUNE (물량흐름)'!$C$13:$C$502,'Direct labour(직접노무비)'!C188,'JUNE (물량흐름)'!$O$13:$O$502),0)</f>
        <v>0</v>
      </c>
      <c r="X188" s="6">
        <f>ROUND(SUMIF('JUNE (물량흐름)'!$C$13:$C$502,'Direct labour(직접노무비)'!C188,'JUNE (물량흐름)'!$P$13:$P$502),0)</f>
        <v>45</v>
      </c>
      <c r="Y188" s="6">
        <f t="shared" si="32"/>
        <v>45</v>
      </c>
      <c r="Z188" s="6">
        <f t="shared" si="33"/>
        <v>36</v>
      </c>
      <c r="AA188" s="6">
        <f t="shared" si="38"/>
        <v>335343</v>
      </c>
      <c r="AB188" s="389">
        <f t="shared" si="34"/>
        <v>0</v>
      </c>
      <c r="AC188" s="389">
        <f t="shared" si="35"/>
        <v>0</v>
      </c>
      <c r="AD188" s="389">
        <f t="shared" si="36"/>
        <v>0</v>
      </c>
    </row>
    <row r="189" spans="1:30" s="499" customFormat="1" ht="15" customHeight="1">
      <c r="A189" s="490">
        <v>179</v>
      </c>
      <c r="B189" s="501" t="str">
        <f>VLOOKUP(A189,'JUNE (물량흐름)'!$A$13:$C$502,2,0)</f>
        <v>ALFANI</v>
      </c>
      <c r="C189" s="502">
        <f>VLOOKUP(A189,'JUNE (물량흐름)'!$A$13:$C$502,3,0)</f>
        <v>100016320</v>
      </c>
      <c r="D189" s="29">
        <f>VLOOKUP(C189,'WIP(재공품)'!$B$12:$E$493,4,0)</f>
        <v>47164</v>
      </c>
      <c r="E189" s="29">
        <f>IFERROR(VLOOKUP(C189,O.B.JUNE!$AA$7:$AG$448,2,0),0)</f>
        <v>0</v>
      </c>
      <c r="F189" s="29">
        <f>IFERROR(VLOOKUP(C189,O.B.JUNE!$AA$7:$AG$448,3,0),0)</f>
        <v>281</v>
      </c>
      <c r="G189" s="29">
        <f>IFERROR(VLOOKUP(C189,O.B.JUNE!$AA$7:$AD$448,4,0),0)</f>
        <v>325</v>
      </c>
      <c r="H189" s="29">
        <f t="shared" si="28"/>
        <v>606</v>
      </c>
      <c r="I189" s="29">
        <f>IFERROR(VLOOKUP(C189,O.B.JUNE!$AA$7:$AF$448,6,0),0)</f>
        <v>401</v>
      </c>
      <c r="J189" s="6"/>
      <c r="K189" s="29">
        <f>IFERROR(VLOOKUP(C189,O.B.JUNE!$AA$7:$AG$448,7,0),0)</f>
        <v>1528557</v>
      </c>
      <c r="L189" s="29">
        <f>SUMIF('JUNE (물량흐름)'!$C$13:$C$502,'Direct labour(직접노무비)'!C189,'JUNE (물량흐름)'!$H$13:$H$502)+SUMIF('JUNE (물량흐름)'!$C$13:$C$502,'Direct labour(직접노무비)'!C189,'JUNE (물량흐름)'!$I$13:$I$502)</f>
        <v>0</v>
      </c>
      <c r="M189" s="29">
        <f t="shared" si="29"/>
        <v>0</v>
      </c>
      <c r="N189" s="29">
        <f t="shared" si="30"/>
        <v>0</v>
      </c>
      <c r="O189" s="29">
        <f t="shared" si="27"/>
        <v>0</v>
      </c>
      <c r="P189" s="6">
        <f>SUMIF('JUNE (물량흐름)'!$C$13:$C$502,C189,'JUNE (물량흐름)'!$T$13:$T$502)+SUMIF('JUNE (물량흐름)'!$C$13:$C$502,C189,'JUNE (물량흐름)'!$V$13:$V$502)+SUMIF('JUNE (물량흐름)'!$C$13:$C$502,C189,'JUNE (물량흐름)'!$U$13:$U$502)-SUMIF('JUNE (물량흐름)'!$C$13:$C$502,C189,'JUNE (물량흐름)'!$Y$13:$Y$502)</f>
        <v>0</v>
      </c>
      <c r="Q189" s="6">
        <f t="shared" si="37"/>
        <v>0</v>
      </c>
      <c r="R189" s="6">
        <f>ROUND(IF(ISERROR(VLOOKUP(#REF!,'WIP(재공품)'!$B$12:$AB$38,13,0)),0,VLOOKUP(#REF!,'WIP(재공품)'!$B$12:$AB$38,13,0)),0)</f>
        <v>0</v>
      </c>
      <c r="S189" s="6">
        <f>IF(ISERROR(VLOOKUP(#REF!,'WIP(재공품)'!$B$12:$AB$38,10,0)),0,VLOOKUP(#REF!,'WIP(재공품)'!$B$12:$AB$38,10,0))</f>
        <v>0</v>
      </c>
      <c r="T189" s="29">
        <f>SUMIF('JUNE (물량흐름)'!$C$13:$C$502,'Direct labour(직접노무비)'!C189,'JUNE (물량흐름)'!$Y$13:$Y$502)</f>
        <v>0</v>
      </c>
      <c r="U189" s="29">
        <f t="shared" si="31"/>
        <v>0</v>
      </c>
      <c r="V189" s="29">
        <f>ROUND(SUMIF('JUNE (물량흐름)'!$C$13:$C$502,'Direct labour(직접노무비)'!C189,'JUNE (물량흐름)'!$N$13:$N$502),0)</f>
        <v>0</v>
      </c>
      <c r="W189" s="29">
        <f>ROUND(SUMIF('JUNE (물량흐름)'!$C$13:$C$502,'Direct labour(직접노무비)'!C189,'JUNE (물량흐름)'!$O$13:$O$502),0)</f>
        <v>281</v>
      </c>
      <c r="X189" s="29">
        <f>ROUND(SUMIF('JUNE (물량흐름)'!$C$13:$C$502,'Direct labour(직접노무비)'!C189,'JUNE (물량흐름)'!$P$13:$P$502),0)</f>
        <v>325</v>
      </c>
      <c r="Y189" s="29">
        <f t="shared" si="32"/>
        <v>606</v>
      </c>
      <c r="Z189" s="29">
        <f t="shared" si="33"/>
        <v>401</v>
      </c>
      <c r="AA189" s="6">
        <f t="shared" si="38"/>
        <v>1528557</v>
      </c>
      <c r="AB189" s="503">
        <f>K189+O189-Q189-U189-AA189</f>
        <v>0</v>
      </c>
      <c r="AC189" s="503">
        <f>H189+L189-P189-T189-Y189</f>
        <v>0</v>
      </c>
      <c r="AD189" s="503">
        <f t="shared" si="36"/>
        <v>0</v>
      </c>
    </row>
    <row r="190" spans="1:30" s="390" customFormat="1" ht="15" customHeight="1">
      <c r="A190" s="167">
        <v>180</v>
      </c>
      <c r="B190" s="267" t="str">
        <f>VLOOKUP(A190,'JUNE (물량흐름)'!$A$13:$C$502,2,0)</f>
        <v>ALFANI</v>
      </c>
      <c r="C190" s="240">
        <f>VLOOKUP(A190,'JUNE (물량흐름)'!$A$13:$C$502,3,0)</f>
        <v>100016323</v>
      </c>
      <c r="D190" s="6">
        <f>VLOOKUP(C190,'WIP(재공품)'!$B$12:$E$493,4,0)</f>
        <v>7936.2499999999991</v>
      </c>
      <c r="E190" s="6">
        <f>IFERROR(VLOOKUP(C190,O.B.JUNE!$AA$7:$AG$448,2,0),0)</f>
        <v>0</v>
      </c>
      <c r="F190" s="6">
        <f>IFERROR(VLOOKUP(C190,O.B.JUNE!$AA$7:$AG$448,3,0),0)</f>
        <v>0</v>
      </c>
      <c r="G190" s="6">
        <f>IFERROR(VLOOKUP(C190,O.B.JUNE!$AA$7:$AD$448,4,0),0)</f>
        <v>5</v>
      </c>
      <c r="H190" s="6">
        <f t="shared" si="28"/>
        <v>5</v>
      </c>
      <c r="I190" s="6">
        <f>IFERROR(VLOOKUP(C190,O.B.JUNE!$AA$7:$AF$448,6,0),0)</f>
        <v>4</v>
      </c>
      <c r="J190" s="6"/>
      <c r="K190" s="6">
        <f>IFERROR(VLOOKUP(C190,O.B.JUNE!$AA$7:$AG$448,7,0),0)</f>
        <v>60568</v>
      </c>
      <c r="L190" s="6">
        <f>SUMIF('JUNE (물량흐름)'!$C$13:$C$502,'Direct labour(직접노무비)'!C190,'JUNE (물량흐름)'!$H$13:$H$502)+SUMIF('JUNE (물량흐름)'!$C$13:$C$502,'Direct labour(직접노무비)'!C190,'JUNE (물량흐름)'!$I$13:$I$502)</f>
        <v>0</v>
      </c>
      <c r="M190" s="6">
        <f t="shared" si="29"/>
        <v>0</v>
      </c>
      <c r="N190" s="6">
        <f t="shared" si="30"/>
        <v>0</v>
      </c>
      <c r="O190" s="6">
        <f t="shared" si="27"/>
        <v>0</v>
      </c>
      <c r="P190" s="6">
        <f>SUMIF('JUNE (물량흐름)'!$C$13:$C$502,C190,'JUNE (물량흐름)'!$T$13:$T$502)+SUMIF('JUNE (물량흐름)'!$C$13:$C$502,C190,'JUNE (물량흐름)'!$V$13:$V$502)+SUMIF('JUNE (물량흐름)'!$C$13:$C$502,C190,'JUNE (물량흐름)'!$U$13:$U$502)-SUMIF('JUNE (물량흐름)'!$C$13:$C$502,C190,'JUNE (물량흐름)'!$Y$13:$Y$502)</f>
        <v>0</v>
      </c>
      <c r="Q190" s="6">
        <f t="shared" si="37"/>
        <v>0</v>
      </c>
      <c r="R190" s="6">
        <f>ROUND(IF(ISERROR(VLOOKUP(#REF!,'WIP(재공품)'!$B$12:$AB$38,13,0)),0,VLOOKUP(#REF!,'WIP(재공품)'!$B$12:$AB$38,13,0)),0)</f>
        <v>0</v>
      </c>
      <c r="S190" s="6">
        <f>IF(ISERROR(VLOOKUP(#REF!,'WIP(재공품)'!$B$12:$AB$38,10,0)),0,VLOOKUP(#REF!,'WIP(재공품)'!$B$12:$AB$38,10,0))</f>
        <v>0</v>
      </c>
      <c r="T190" s="6">
        <f>SUMIF('JUNE (물량흐름)'!$C$13:$C$502,'Direct labour(직접노무비)'!C190,'JUNE (물량흐름)'!$Y$13:$Y$502)</f>
        <v>0</v>
      </c>
      <c r="U190" s="6">
        <f t="shared" si="31"/>
        <v>0</v>
      </c>
      <c r="V190" s="6">
        <f>ROUND(SUMIF('JUNE (물량흐름)'!$C$13:$C$502,'Direct labour(직접노무비)'!C190,'JUNE (물량흐름)'!$N$13:$N$502),0)</f>
        <v>0</v>
      </c>
      <c r="W190" s="6">
        <f>ROUND(SUMIF('JUNE (물량흐름)'!$C$13:$C$502,'Direct labour(직접노무비)'!C190,'JUNE (물량흐름)'!$O$13:$O$502),0)</f>
        <v>0</v>
      </c>
      <c r="X190" s="6">
        <f>ROUND(SUMIF('JUNE (물량흐름)'!$C$13:$C$502,'Direct labour(직접노무비)'!C190,'JUNE (물량흐름)'!$P$13:$P$502),0)</f>
        <v>5</v>
      </c>
      <c r="Y190" s="6">
        <f t="shared" si="32"/>
        <v>5</v>
      </c>
      <c r="Z190" s="6">
        <f t="shared" si="33"/>
        <v>4</v>
      </c>
      <c r="AA190" s="6">
        <f t="shared" si="38"/>
        <v>60568</v>
      </c>
      <c r="AB190" s="389">
        <f t="shared" si="34"/>
        <v>0</v>
      </c>
      <c r="AC190" s="503">
        <f t="shared" ref="AC190:AC253" si="39">H190+L190-P190-T190-Y190</f>
        <v>0</v>
      </c>
      <c r="AD190" s="389">
        <f t="shared" si="36"/>
        <v>0</v>
      </c>
    </row>
    <row r="191" spans="1:30" s="390" customFormat="1" ht="15" customHeight="1">
      <c r="A191" s="167">
        <v>181</v>
      </c>
      <c r="B191" s="267" t="str">
        <f>VLOOKUP(A191,'JUNE (물량흐름)'!$A$13:$C$502,2,0)</f>
        <v>ALFANI</v>
      </c>
      <c r="C191" s="240">
        <f>VLOOKUP(A191,'JUNE (물량흐름)'!$A$13:$C$502,3,0)</f>
        <v>100016362</v>
      </c>
      <c r="D191" s="6">
        <f>VLOOKUP(C191,'WIP(재공품)'!$B$12:$E$493,4,0)</f>
        <v>52152.499999999993</v>
      </c>
      <c r="E191" s="6">
        <f>IFERROR(VLOOKUP(C191,O.B.JUNE!$AA$7:$AG$448,2,0),0)</f>
        <v>0</v>
      </c>
      <c r="F191" s="6">
        <f>IFERROR(VLOOKUP(C191,O.B.JUNE!$AA$7:$AG$448,3,0),0)</f>
        <v>0</v>
      </c>
      <c r="G191" s="6">
        <f>IFERROR(VLOOKUP(C191,O.B.JUNE!$AA$7:$AD$448,4,0),0)</f>
        <v>110</v>
      </c>
      <c r="H191" s="6">
        <f t="shared" si="28"/>
        <v>110</v>
      </c>
      <c r="I191" s="6">
        <f>IFERROR(VLOOKUP(C191,O.B.JUNE!$AA$7:$AF$448,6,0),0)</f>
        <v>88</v>
      </c>
      <c r="J191" s="6"/>
      <c r="K191" s="6">
        <f>IFERROR(VLOOKUP(C191,O.B.JUNE!$AA$7:$AG$448,7,0),0)</f>
        <v>835208</v>
      </c>
      <c r="L191" s="6">
        <f>SUMIF('JUNE (물량흐름)'!$C$13:$C$502,'Direct labour(직접노무비)'!C191,'JUNE (물량흐름)'!$H$13:$H$502)+SUMIF('JUNE (물량흐름)'!$C$13:$C$502,'Direct labour(직접노무비)'!C191,'JUNE (물량흐름)'!$I$13:$I$502)</f>
        <v>0</v>
      </c>
      <c r="M191" s="6">
        <f t="shared" si="29"/>
        <v>0</v>
      </c>
      <c r="N191" s="6">
        <f t="shared" si="30"/>
        <v>0</v>
      </c>
      <c r="O191" s="6">
        <f t="shared" si="27"/>
        <v>0</v>
      </c>
      <c r="P191" s="6">
        <f>SUMIF('JUNE (물량흐름)'!$C$13:$C$502,C191,'JUNE (물량흐름)'!$T$13:$T$502)+SUMIF('JUNE (물량흐름)'!$C$13:$C$502,C191,'JUNE (물량흐름)'!$V$13:$V$502)+SUMIF('JUNE (물량흐름)'!$C$13:$C$502,C191,'JUNE (물량흐름)'!$U$13:$U$502)-SUMIF('JUNE (물량흐름)'!$C$13:$C$502,C191,'JUNE (물량흐름)'!$Y$13:$Y$502)</f>
        <v>0</v>
      </c>
      <c r="Q191" s="6">
        <f t="shared" si="37"/>
        <v>0</v>
      </c>
      <c r="R191" s="6">
        <f>ROUND(IF(ISERROR(VLOOKUP(#REF!,'WIP(재공품)'!$B$12:$AB$38,13,0)),0,VLOOKUP(#REF!,'WIP(재공품)'!$B$12:$AB$38,13,0)),0)</f>
        <v>0</v>
      </c>
      <c r="S191" s="6">
        <f>IF(ISERROR(VLOOKUP(#REF!,'WIP(재공품)'!$B$12:$AB$38,10,0)),0,VLOOKUP(#REF!,'WIP(재공품)'!$B$12:$AB$38,10,0))</f>
        <v>0</v>
      </c>
      <c r="T191" s="6">
        <f>SUMIF('JUNE (물량흐름)'!$C$13:$C$502,'Direct labour(직접노무비)'!C191,'JUNE (물량흐름)'!$Y$13:$Y$502)</f>
        <v>0</v>
      </c>
      <c r="U191" s="6">
        <f t="shared" si="31"/>
        <v>0</v>
      </c>
      <c r="V191" s="6">
        <f>ROUND(SUMIF('JUNE (물량흐름)'!$C$13:$C$502,'Direct labour(직접노무비)'!C191,'JUNE (물량흐름)'!$N$13:$N$502),0)</f>
        <v>0</v>
      </c>
      <c r="W191" s="6">
        <f>ROUND(SUMIF('JUNE (물량흐름)'!$C$13:$C$502,'Direct labour(직접노무비)'!C191,'JUNE (물량흐름)'!$O$13:$O$502),0)</f>
        <v>0</v>
      </c>
      <c r="X191" s="6">
        <f>ROUND(SUMIF('JUNE (물량흐름)'!$C$13:$C$502,'Direct labour(직접노무비)'!C191,'JUNE (물량흐름)'!$P$13:$P$502),0)</f>
        <v>110</v>
      </c>
      <c r="Y191" s="6">
        <f t="shared" si="32"/>
        <v>110</v>
      </c>
      <c r="Z191" s="6">
        <f t="shared" si="33"/>
        <v>88</v>
      </c>
      <c r="AA191" s="6">
        <f t="shared" si="38"/>
        <v>835208</v>
      </c>
      <c r="AB191" s="389">
        <f t="shared" si="34"/>
        <v>0</v>
      </c>
      <c r="AC191" s="503">
        <f t="shared" si="39"/>
        <v>0</v>
      </c>
      <c r="AD191" s="389">
        <f t="shared" si="36"/>
        <v>0</v>
      </c>
    </row>
    <row r="192" spans="1:30" s="390" customFormat="1" ht="15" customHeight="1">
      <c r="A192" s="167">
        <v>182</v>
      </c>
      <c r="B192" s="267" t="str">
        <f>VLOOKUP(A192,'JUNE (물량흐름)'!$A$13:$C$502,2,0)</f>
        <v>ALFANI</v>
      </c>
      <c r="C192" s="240">
        <f>VLOOKUP(A192,'JUNE (물량흐름)'!$A$13:$C$502,3,0)</f>
        <v>100017250</v>
      </c>
      <c r="D192" s="6">
        <f>VLOOKUP(C192,'WIP(재공품)'!$B$12:$E$493,4,0)</f>
        <v>7936.2499999999991</v>
      </c>
      <c r="E192" s="6">
        <f>IFERROR(VLOOKUP(C192,O.B.JUNE!$AA$7:$AG$448,2,0),0)</f>
        <v>0</v>
      </c>
      <c r="F192" s="6">
        <f>IFERROR(VLOOKUP(C192,O.B.JUNE!$AA$7:$AG$448,3,0),0)</f>
        <v>0</v>
      </c>
      <c r="G192" s="6">
        <f>IFERROR(VLOOKUP(C192,O.B.JUNE!$AA$7:$AD$448,4,0),0)</f>
        <v>12</v>
      </c>
      <c r="H192" s="6">
        <f t="shared" si="28"/>
        <v>12</v>
      </c>
      <c r="I192" s="6">
        <f>IFERROR(VLOOKUP(C192,O.B.JUNE!$AA$7:$AF$448,6,0),0)</f>
        <v>10</v>
      </c>
      <c r="J192" s="6"/>
      <c r="K192" s="6">
        <f>IFERROR(VLOOKUP(C192,O.B.JUNE!$AA$7:$AG$448,7,0),0)</f>
        <v>286909</v>
      </c>
      <c r="L192" s="6">
        <f>SUMIF('JUNE (물량흐름)'!$C$13:$C$502,'Direct labour(직접노무비)'!C192,'JUNE (물량흐름)'!$H$13:$H$502)+SUMIF('JUNE (물량흐름)'!$C$13:$C$502,'Direct labour(직접노무비)'!C192,'JUNE (물량흐름)'!$I$13:$I$502)</f>
        <v>1043</v>
      </c>
      <c r="M192" s="6">
        <f t="shared" si="29"/>
        <v>537</v>
      </c>
      <c r="N192" s="6">
        <f t="shared" si="30"/>
        <v>4261766</v>
      </c>
      <c r="O192" s="6">
        <f t="shared" si="27"/>
        <v>1318052</v>
      </c>
      <c r="P192" s="6">
        <f>SUMIF('JUNE (물량흐름)'!$C$13:$C$502,C192,'JUNE (물량흐름)'!$T$13:$T$502)+SUMIF('JUNE (물량흐름)'!$C$13:$C$502,C192,'JUNE (물량흐름)'!$V$13:$V$502)+SUMIF('JUNE (물량흐름)'!$C$13:$C$502,C192,'JUNE (물량흐름)'!$U$13:$U$502)-SUMIF('JUNE (물량흐름)'!$C$13:$C$502,C192,'JUNE (물량흐름)'!$Y$13:$Y$502)</f>
        <v>0</v>
      </c>
      <c r="Q192" s="6">
        <f t="shared" si="37"/>
        <v>0</v>
      </c>
      <c r="R192" s="6">
        <f>ROUND(IF(ISERROR(VLOOKUP(#REF!,'WIP(재공품)'!$B$12:$AB$38,13,0)),0,VLOOKUP(#REF!,'WIP(재공품)'!$B$12:$AB$38,13,0)),0)</f>
        <v>0</v>
      </c>
      <c r="S192" s="6">
        <f>IF(ISERROR(VLOOKUP(#REF!,'WIP(재공품)'!$B$12:$AB$38,10,0)),0,VLOOKUP(#REF!,'WIP(재공품)'!$B$12:$AB$38,10,0))</f>
        <v>0</v>
      </c>
      <c r="T192" s="6">
        <f>SUMIF('JUNE (물량흐름)'!$C$13:$C$502,'Direct labour(직접노무비)'!C192,'JUNE (물량흐름)'!$Y$13:$Y$502)</f>
        <v>0</v>
      </c>
      <c r="U192" s="6">
        <f t="shared" si="31"/>
        <v>0</v>
      </c>
      <c r="V192" s="6">
        <f>ROUND(SUMIF('JUNE (물량흐름)'!$C$13:$C$502,'Direct labour(직접노무비)'!C192,'JUNE (물량흐름)'!$N$13:$N$502),0)</f>
        <v>0</v>
      </c>
      <c r="W192" s="6">
        <f>ROUND(SUMIF('JUNE (물량흐름)'!$C$13:$C$502,'Direct labour(직접노무비)'!C192,'JUNE (물량흐름)'!$O$13:$O$502),0)</f>
        <v>990</v>
      </c>
      <c r="X192" s="6">
        <f>ROUND(SUMIF('JUNE (물량흐름)'!$C$13:$C$502,'Direct labour(직접노무비)'!C192,'JUNE (물량흐름)'!$P$13:$P$502),0)</f>
        <v>65</v>
      </c>
      <c r="Y192" s="6">
        <f t="shared" si="32"/>
        <v>1055</v>
      </c>
      <c r="Z192" s="6">
        <f t="shared" si="33"/>
        <v>547</v>
      </c>
      <c r="AA192" s="6">
        <f t="shared" si="38"/>
        <v>1604961</v>
      </c>
      <c r="AB192" s="389">
        <f t="shared" si="34"/>
        <v>0</v>
      </c>
      <c r="AC192" s="503">
        <f t="shared" si="39"/>
        <v>0</v>
      </c>
      <c r="AD192" s="389">
        <f t="shared" si="36"/>
        <v>0</v>
      </c>
    </row>
    <row r="193" spans="1:30" s="390" customFormat="1" ht="15" customHeight="1">
      <c r="A193" s="167">
        <v>183</v>
      </c>
      <c r="B193" s="267" t="str">
        <f>VLOOKUP(A193,'JUNE (물량흐름)'!$A$13:$C$502,2,0)</f>
        <v>ALFANI</v>
      </c>
      <c r="C193" s="240">
        <f>VLOOKUP(A193,'JUNE (물량흐름)'!$A$13:$C$502,3,0)</f>
        <v>100017251</v>
      </c>
      <c r="D193" s="6">
        <f>VLOOKUP(C193,'WIP(재공품)'!$B$12:$E$493,4,0)</f>
        <v>7936.2499999999991</v>
      </c>
      <c r="E193" s="6">
        <f>IFERROR(VLOOKUP(C193,O.B.JUNE!$AA$7:$AG$448,2,0),0)</f>
        <v>0</v>
      </c>
      <c r="F193" s="6">
        <f>IFERROR(VLOOKUP(C193,O.B.JUNE!$AA$7:$AG$448,3,0),0)</f>
        <v>0</v>
      </c>
      <c r="G193" s="6">
        <f>IFERROR(VLOOKUP(C193,O.B.JUNE!$AA$7:$AD$448,4,0),0)</f>
        <v>8</v>
      </c>
      <c r="H193" s="6">
        <f t="shared" si="28"/>
        <v>8</v>
      </c>
      <c r="I193" s="6">
        <f>IFERROR(VLOOKUP(C193,O.B.JUNE!$AA$7:$AF$448,6,0),0)</f>
        <v>6</v>
      </c>
      <c r="J193" s="6"/>
      <c r="K193" s="6">
        <f>IFERROR(VLOOKUP(C193,O.B.JUNE!$AA$7:$AG$448,7,0),0)</f>
        <v>109978</v>
      </c>
      <c r="L193" s="6">
        <f>SUMIF('JUNE (물량흐름)'!$C$13:$C$502,'Direct labour(직접노무비)'!C193,'JUNE (물량흐름)'!$H$13:$H$502)+SUMIF('JUNE (물량흐름)'!$C$13:$C$502,'Direct labour(직접노무비)'!C193,'JUNE (물량흐름)'!$I$13:$I$502)</f>
        <v>0</v>
      </c>
      <c r="M193" s="6">
        <f t="shared" si="29"/>
        <v>0</v>
      </c>
      <c r="N193" s="6">
        <f t="shared" si="30"/>
        <v>0</v>
      </c>
      <c r="O193" s="6">
        <f t="shared" si="27"/>
        <v>0</v>
      </c>
      <c r="P193" s="6">
        <f>SUMIF('JUNE (물량흐름)'!$C$13:$C$502,C193,'JUNE (물량흐름)'!$T$13:$T$502)+SUMIF('JUNE (물량흐름)'!$C$13:$C$502,C193,'JUNE (물량흐름)'!$V$13:$V$502)+SUMIF('JUNE (물량흐름)'!$C$13:$C$502,C193,'JUNE (물량흐름)'!$U$13:$U$502)-SUMIF('JUNE (물량흐름)'!$C$13:$C$502,C193,'JUNE (물량흐름)'!$Y$13:$Y$502)</f>
        <v>0</v>
      </c>
      <c r="Q193" s="6">
        <f t="shared" si="37"/>
        <v>0</v>
      </c>
      <c r="R193" s="6">
        <f>ROUND(IF(ISERROR(VLOOKUP(#REF!,'WIP(재공품)'!$B$12:$AB$38,13,0)),0,VLOOKUP(#REF!,'WIP(재공품)'!$B$12:$AB$38,13,0)),0)</f>
        <v>0</v>
      </c>
      <c r="S193" s="6">
        <f>IF(ISERROR(VLOOKUP(#REF!,'WIP(재공품)'!$B$12:$AB$38,10,0)),0,VLOOKUP(#REF!,'WIP(재공품)'!$B$12:$AB$38,10,0))</f>
        <v>0</v>
      </c>
      <c r="T193" s="6">
        <f>SUMIF('JUNE (물량흐름)'!$C$13:$C$502,'Direct labour(직접노무비)'!C193,'JUNE (물량흐름)'!$Y$13:$Y$502)</f>
        <v>0</v>
      </c>
      <c r="U193" s="6">
        <f t="shared" si="31"/>
        <v>0</v>
      </c>
      <c r="V193" s="6">
        <f>ROUND(SUMIF('JUNE (물량흐름)'!$C$13:$C$502,'Direct labour(직접노무비)'!C193,'JUNE (물량흐름)'!$N$13:$N$502),0)</f>
        <v>0</v>
      </c>
      <c r="W193" s="6">
        <f>ROUND(SUMIF('JUNE (물량흐름)'!$C$13:$C$502,'Direct labour(직접노무비)'!C193,'JUNE (물량흐름)'!$O$13:$O$502),0)</f>
        <v>0</v>
      </c>
      <c r="X193" s="6">
        <f>ROUND(SUMIF('JUNE (물량흐름)'!$C$13:$C$502,'Direct labour(직접노무비)'!C193,'JUNE (물량흐름)'!$P$13:$P$502),0)</f>
        <v>8</v>
      </c>
      <c r="Y193" s="6">
        <f t="shared" si="32"/>
        <v>8</v>
      </c>
      <c r="Z193" s="6">
        <f t="shared" si="33"/>
        <v>6</v>
      </c>
      <c r="AA193" s="6">
        <f t="shared" si="38"/>
        <v>109978</v>
      </c>
      <c r="AB193" s="389">
        <f t="shared" si="34"/>
        <v>0</v>
      </c>
      <c r="AC193" s="503">
        <f t="shared" si="39"/>
        <v>0</v>
      </c>
      <c r="AD193" s="389">
        <f t="shared" si="36"/>
        <v>0</v>
      </c>
    </row>
    <row r="194" spans="1:30" s="390" customFormat="1" ht="15" customHeight="1">
      <c r="A194" s="167">
        <v>184</v>
      </c>
      <c r="B194" s="267" t="str">
        <f>VLOOKUP(A194,'JUNE (물량흐름)'!$A$13:$C$502,2,0)</f>
        <v>ALFANI</v>
      </c>
      <c r="C194" s="240">
        <f>VLOOKUP(A194,'JUNE (물량흐름)'!$A$13:$C$502,3,0)</f>
        <v>100017339</v>
      </c>
      <c r="D194" s="6">
        <f>VLOOKUP(C194,'WIP(재공품)'!$B$12:$E$493,4,0)</f>
        <v>40815</v>
      </c>
      <c r="E194" s="6">
        <f>IFERROR(VLOOKUP(C194,O.B.JUNE!$AA$7:$AG$448,2,0),0)</f>
        <v>0</v>
      </c>
      <c r="F194" s="6">
        <f>IFERROR(VLOOKUP(C194,O.B.JUNE!$AA$7:$AG$448,3,0),0)</f>
        <v>4</v>
      </c>
      <c r="G194" s="6">
        <f>IFERROR(VLOOKUP(C194,O.B.JUNE!$AA$7:$AD$448,4,0),0)</f>
        <v>80</v>
      </c>
      <c r="H194" s="6">
        <f t="shared" si="28"/>
        <v>84</v>
      </c>
      <c r="I194" s="6">
        <f>IFERROR(VLOOKUP(C194,O.B.JUNE!$AA$7:$AF$448,6,0),0)</f>
        <v>66</v>
      </c>
      <c r="J194" s="6"/>
      <c r="K194" s="6">
        <f>IFERROR(VLOOKUP(C194,O.B.JUNE!$AA$7:$AG$448,7,0),0)</f>
        <v>567620</v>
      </c>
      <c r="L194" s="6">
        <f>SUMIF('JUNE (물량흐름)'!$C$13:$C$502,'Direct labour(직접노무비)'!C194,'JUNE (물량흐름)'!$H$13:$H$502)+SUMIF('JUNE (물량흐름)'!$C$13:$C$502,'Direct labour(직접노무비)'!C194,'JUNE (물량흐름)'!$I$13:$I$502)</f>
        <v>0</v>
      </c>
      <c r="M194" s="6">
        <f t="shared" si="29"/>
        <v>0</v>
      </c>
      <c r="N194" s="6">
        <f t="shared" si="30"/>
        <v>0</v>
      </c>
      <c r="O194" s="6">
        <f t="shared" si="27"/>
        <v>0</v>
      </c>
      <c r="P194" s="6">
        <f>SUMIF('JUNE (물량흐름)'!$C$13:$C$502,C194,'JUNE (물량흐름)'!$T$13:$T$502)+SUMIF('JUNE (물량흐름)'!$C$13:$C$502,C194,'JUNE (물량흐름)'!$V$13:$V$502)+SUMIF('JUNE (물량흐름)'!$C$13:$C$502,C194,'JUNE (물량흐름)'!$U$13:$U$502)-SUMIF('JUNE (물량흐름)'!$C$13:$C$502,C194,'JUNE (물량흐름)'!$Y$13:$Y$502)</f>
        <v>0</v>
      </c>
      <c r="Q194" s="6">
        <f t="shared" si="37"/>
        <v>0</v>
      </c>
      <c r="R194" s="6">
        <f>ROUND(IF(ISERROR(VLOOKUP(#REF!,'WIP(재공품)'!$B$12:$AB$38,13,0)),0,VLOOKUP(#REF!,'WIP(재공품)'!$B$12:$AB$38,13,0)),0)</f>
        <v>0</v>
      </c>
      <c r="S194" s="6">
        <f>IF(ISERROR(VLOOKUP(#REF!,'WIP(재공품)'!$B$12:$AB$38,10,0)),0,VLOOKUP(#REF!,'WIP(재공품)'!$B$12:$AB$38,10,0))</f>
        <v>0</v>
      </c>
      <c r="T194" s="6">
        <f>SUMIF('JUNE (물량흐름)'!$C$13:$C$502,'Direct labour(직접노무비)'!C194,'JUNE (물량흐름)'!$Y$13:$Y$502)</f>
        <v>0</v>
      </c>
      <c r="U194" s="6">
        <f t="shared" si="31"/>
        <v>0</v>
      </c>
      <c r="V194" s="6">
        <f>ROUND(SUMIF('JUNE (물량흐름)'!$C$13:$C$502,'Direct labour(직접노무비)'!C194,'JUNE (물량흐름)'!$N$13:$N$502),0)</f>
        <v>0</v>
      </c>
      <c r="W194" s="6">
        <f>ROUND(SUMIF('JUNE (물량흐름)'!$C$13:$C$502,'Direct labour(직접노무비)'!C194,'JUNE (물량흐름)'!$O$13:$O$502),0)</f>
        <v>4</v>
      </c>
      <c r="X194" s="6">
        <f>ROUND(SUMIF('JUNE (물량흐름)'!$C$13:$C$502,'Direct labour(직접노무비)'!C194,'JUNE (물량흐름)'!$P$13:$P$502),0)</f>
        <v>80</v>
      </c>
      <c r="Y194" s="6">
        <f t="shared" si="32"/>
        <v>84</v>
      </c>
      <c r="Z194" s="6">
        <f t="shared" si="33"/>
        <v>66</v>
      </c>
      <c r="AA194" s="6">
        <f t="shared" si="38"/>
        <v>567620</v>
      </c>
      <c r="AB194" s="389">
        <f t="shared" si="34"/>
        <v>0</v>
      </c>
      <c r="AC194" s="503">
        <f t="shared" si="39"/>
        <v>0</v>
      </c>
      <c r="AD194" s="389">
        <f t="shared" si="36"/>
        <v>0</v>
      </c>
    </row>
    <row r="195" spans="1:30" s="390" customFormat="1" ht="15" customHeight="1">
      <c r="A195" s="167">
        <v>185</v>
      </c>
      <c r="B195" s="267" t="str">
        <f>VLOOKUP(A195,'JUNE (물량흐름)'!$A$13:$C$502,2,0)</f>
        <v>ALFANI</v>
      </c>
      <c r="C195" s="240">
        <f>VLOOKUP(A195,'JUNE (물량흐름)'!$A$13:$C$502,3,0)</f>
        <v>100018342</v>
      </c>
      <c r="D195" s="6">
        <f>VLOOKUP(C195,'WIP(재공품)'!$B$12:$E$493,4,0)</f>
        <v>7936.2499999999991</v>
      </c>
      <c r="E195" s="6">
        <f>IFERROR(VLOOKUP(C195,O.B.JUNE!$AA$7:$AG$448,2,0),0)</f>
        <v>0</v>
      </c>
      <c r="F195" s="6">
        <f>IFERROR(VLOOKUP(C195,O.B.JUNE!$AA$7:$AG$448,3,0),0)</f>
        <v>0</v>
      </c>
      <c r="G195" s="6">
        <f>IFERROR(VLOOKUP(C195,O.B.JUNE!$AA$7:$AD$448,4,0),0)</f>
        <v>108</v>
      </c>
      <c r="H195" s="6">
        <f t="shared" si="28"/>
        <v>108</v>
      </c>
      <c r="I195" s="6">
        <f>IFERROR(VLOOKUP(C195,O.B.JUNE!$AA$7:$AF$448,6,0),0)</f>
        <v>86</v>
      </c>
      <c r="J195" s="6"/>
      <c r="K195" s="6">
        <f>IFERROR(VLOOKUP(C195,O.B.JUNE!$AA$7:$AG$448,7,0),0)</f>
        <v>781252</v>
      </c>
      <c r="L195" s="6">
        <f>SUMIF('JUNE (물량흐름)'!$C$13:$C$502,'Direct labour(직접노무비)'!C195,'JUNE (물량흐름)'!$H$13:$H$502)+SUMIF('JUNE (물량흐름)'!$C$13:$C$502,'Direct labour(직접노무비)'!C195,'JUNE (물량흐름)'!$I$13:$I$502)</f>
        <v>0</v>
      </c>
      <c r="M195" s="6">
        <f t="shared" si="29"/>
        <v>0</v>
      </c>
      <c r="N195" s="6">
        <f t="shared" si="30"/>
        <v>0</v>
      </c>
      <c r="O195" s="6">
        <f t="shared" si="27"/>
        <v>0</v>
      </c>
      <c r="P195" s="6">
        <f>SUMIF('JUNE (물량흐름)'!$C$13:$C$502,C195,'JUNE (물량흐름)'!$T$13:$T$502)+SUMIF('JUNE (물량흐름)'!$C$13:$C$502,C195,'JUNE (물량흐름)'!$V$13:$V$502)+SUMIF('JUNE (물량흐름)'!$C$13:$C$502,C195,'JUNE (물량흐름)'!$U$13:$U$502)-SUMIF('JUNE (물량흐름)'!$C$13:$C$502,C195,'JUNE (물량흐름)'!$Y$13:$Y$502)</f>
        <v>0</v>
      </c>
      <c r="Q195" s="6">
        <f t="shared" si="37"/>
        <v>0</v>
      </c>
      <c r="R195" s="6">
        <f>ROUND(IF(ISERROR(VLOOKUP(#REF!,'WIP(재공품)'!$B$12:$AB$38,13,0)),0,VLOOKUP(#REF!,'WIP(재공품)'!$B$12:$AB$38,13,0)),0)</f>
        <v>0</v>
      </c>
      <c r="S195" s="6">
        <f>IF(ISERROR(VLOOKUP(#REF!,'WIP(재공품)'!$B$12:$AB$38,10,0)),0,VLOOKUP(#REF!,'WIP(재공품)'!$B$12:$AB$38,10,0))</f>
        <v>0</v>
      </c>
      <c r="T195" s="6">
        <f>SUMIF('JUNE (물량흐름)'!$C$13:$C$502,'Direct labour(직접노무비)'!C195,'JUNE (물량흐름)'!$Y$13:$Y$502)</f>
        <v>0</v>
      </c>
      <c r="U195" s="6">
        <f t="shared" si="31"/>
        <v>0</v>
      </c>
      <c r="V195" s="6">
        <f>ROUND(SUMIF('JUNE (물량흐름)'!$C$13:$C$502,'Direct labour(직접노무비)'!C195,'JUNE (물량흐름)'!$N$13:$N$502),0)</f>
        <v>0</v>
      </c>
      <c r="W195" s="6">
        <f>ROUND(SUMIF('JUNE (물량흐름)'!$C$13:$C$502,'Direct labour(직접노무비)'!C195,'JUNE (물량흐름)'!$O$13:$O$502),0)</f>
        <v>0</v>
      </c>
      <c r="X195" s="6">
        <f>ROUND(SUMIF('JUNE (물량흐름)'!$C$13:$C$502,'Direct labour(직접노무비)'!C195,'JUNE (물량흐름)'!$P$13:$P$502),0)</f>
        <v>108</v>
      </c>
      <c r="Y195" s="6">
        <f t="shared" si="32"/>
        <v>108</v>
      </c>
      <c r="Z195" s="6">
        <f t="shared" si="33"/>
        <v>86</v>
      </c>
      <c r="AA195" s="6">
        <f t="shared" si="38"/>
        <v>781252</v>
      </c>
      <c r="AB195" s="389">
        <f t="shared" si="34"/>
        <v>0</v>
      </c>
      <c r="AC195" s="503">
        <f t="shared" si="39"/>
        <v>0</v>
      </c>
      <c r="AD195" s="389">
        <f t="shared" si="36"/>
        <v>0</v>
      </c>
    </row>
    <row r="196" spans="1:30" s="390" customFormat="1" ht="15" customHeight="1">
      <c r="A196" s="167">
        <v>186</v>
      </c>
      <c r="B196" s="267" t="str">
        <f>VLOOKUP(A196,'JUNE (물량흐름)'!$A$13:$C$502,2,0)</f>
        <v>STOCK</v>
      </c>
      <c r="C196" s="240" t="str">
        <f>VLOOKUP(A196,'JUNE (물량흐름)'!$A$13:$C$502,3,0)</f>
        <v>S-69717</v>
      </c>
      <c r="D196" s="6">
        <f>VLOOKUP(C196,'WIP(재공품)'!$B$12:$E$493,4,0)</f>
        <v>7936.2499999999991</v>
      </c>
      <c r="E196" s="6">
        <f>IFERROR(VLOOKUP(C196,O.B.JUNE!$AA$7:$AG$448,2,0),0)</f>
        <v>0</v>
      </c>
      <c r="F196" s="6">
        <f>IFERROR(VLOOKUP(C196,O.B.JUNE!$AA$7:$AG$448,3,0),0)</f>
        <v>0</v>
      </c>
      <c r="G196" s="6">
        <f>IFERROR(VLOOKUP(C196,O.B.JUNE!$AA$7:$AD$448,4,0),0)</f>
        <v>5784</v>
      </c>
      <c r="H196" s="6">
        <f t="shared" si="28"/>
        <v>5784</v>
      </c>
      <c r="I196" s="6">
        <f>IFERROR(VLOOKUP(C196,O.B.JUNE!$AA$7:$AF$448,6,0),0)</f>
        <v>4627</v>
      </c>
      <c r="J196" s="6"/>
      <c r="K196" s="6">
        <f>IFERROR(VLOOKUP(C196,O.B.JUNE!$AA$7:$AG$448,7,0),0)</f>
        <v>26250436</v>
      </c>
      <c r="L196" s="6">
        <f>SUMIF('JUNE (물량흐름)'!$C$13:$C$502,'Direct labour(직접노무비)'!C196,'JUNE (물량흐름)'!$H$13:$H$502)+SUMIF('JUNE (물량흐름)'!$C$13:$C$502,'Direct labour(직접노무비)'!C196,'JUNE (물량흐름)'!$I$13:$I$502)</f>
        <v>0</v>
      </c>
      <c r="M196" s="6">
        <f t="shared" si="29"/>
        <v>0</v>
      </c>
      <c r="N196" s="6">
        <f t="shared" si="30"/>
        <v>0</v>
      </c>
      <c r="O196" s="6">
        <f t="shared" si="27"/>
        <v>0</v>
      </c>
      <c r="P196" s="6">
        <f>SUMIF('JUNE (물량흐름)'!$C$13:$C$502,C196,'JUNE (물량흐름)'!$T$13:$T$502)+SUMIF('JUNE (물량흐름)'!$C$13:$C$502,C196,'JUNE (물량흐름)'!$V$13:$V$502)+SUMIF('JUNE (물량흐름)'!$C$13:$C$502,C196,'JUNE (물량흐름)'!$U$13:$U$502)-SUMIF('JUNE (물량흐름)'!$C$13:$C$502,C196,'JUNE (물량흐름)'!$Y$13:$Y$502)</f>
        <v>5784</v>
      </c>
      <c r="Q196" s="6">
        <f t="shared" si="37"/>
        <v>26250436</v>
      </c>
      <c r="R196" s="6">
        <f>ROUND(IF(ISERROR(VLOOKUP(#REF!,'WIP(재공품)'!$B$12:$AB$38,13,0)),0,VLOOKUP(#REF!,'WIP(재공품)'!$B$12:$AB$38,13,0)),0)</f>
        <v>0</v>
      </c>
      <c r="S196" s="6">
        <f>IF(ISERROR(VLOOKUP(#REF!,'WIP(재공품)'!$B$12:$AB$38,10,0)),0,VLOOKUP(#REF!,'WIP(재공품)'!$B$12:$AB$38,10,0))</f>
        <v>0</v>
      </c>
      <c r="T196" s="6">
        <f>SUMIF('JUNE (물량흐름)'!$C$13:$C$502,'Direct labour(직접노무비)'!C196,'JUNE (물량흐름)'!$Y$13:$Y$502)</f>
        <v>0</v>
      </c>
      <c r="U196" s="6">
        <f t="shared" si="31"/>
        <v>0</v>
      </c>
      <c r="V196" s="6">
        <f>ROUND(SUMIF('JUNE (물량흐름)'!$C$13:$C$502,'Direct labour(직접노무비)'!C196,'JUNE (물량흐름)'!$N$13:$N$502),0)</f>
        <v>0</v>
      </c>
      <c r="W196" s="6">
        <f>ROUND(SUMIF('JUNE (물량흐름)'!$C$13:$C$502,'Direct labour(직접노무비)'!C196,'JUNE (물량흐름)'!$O$13:$O$502),0)</f>
        <v>0</v>
      </c>
      <c r="X196" s="6">
        <f>ROUND(SUMIF('JUNE (물량흐름)'!$C$13:$C$502,'Direct labour(직접노무비)'!C196,'JUNE (물량흐름)'!$P$13:$P$502),0)</f>
        <v>0</v>
      </c>
      <c r="Y196" s="6">
        <f t="shared" si="32"/>
        <v>0</v>
      </c>
      <c r="Z196" s="6">
        <f t="shared" si="33"/>
        <v>0</v>
      </c>
      <c r="AA196" s="6">
        <f t="shared" si="38"/>
        <v>0</v>
      </c>
      <c r="AB196" s="389">
        <f t="shared" si="34"/>
        <v>0</v>
      </c>
      <c r="AC196" s="503">
        <f t="shared" si="39"/>
        <v>0</v>
      </c>
      <c r="AD196" s="389">
        <f t="shared" si="36"/>
        <v>0</v>
      </c>
    </row>
    <row r="197" spans="1:30" s="390" customFormat="1" ht="15" customHeight="1">
      <c r="A197" s="167">
        <v>187</v>
      </c>
      <c r="B197" s="267" t="str">
        <f>VLOOKUP(A197,'JUNE (물량흐름)'!$A$13:$C$502,2,0)</f>
        <v>ANN TAYLOR</v>
      </c>
      <c r="C197" s="240">
        <f>VLOOKUP(A197,'JUNE (물량흐름)'!$A$13:$C$502,3,0)</f>
        <v>453088</v>
      </c>
      <c r="D197" s="6">
        <f>VLOOKUP(C197,'WIP(재공품)'!$B$12:$E$493,4,0)</f>
        <v>7936.2499999999991</v>
      </c>
      <c r="E197" s="6">
        <f>IFERROR(VLOOKUP(C197,O.B.JUNE!$AA$7:$AG$448,2,0),0)</f>
        <v>0</v>
      </c>
      <c r="F197" s="6">
        <f>IFERROR(VLOOKUP(C197,O.B.JUNE!$AA$7:$AG$448,3,0),0)</f>
        <v>0</v>
      </c>
      <c r="G197" s="6">
        <f>IFERROR(VLOOKUP(C197,O.B.JUNE!$AA$7:$AD$448,4,0),0)</f>
        <v>745</v>
      </c>
      <c r="H197" s="6">
        <f t="shared" si="28"/>
        <v>745</v>
      </c>
      <c r="I197" s="6">
        <f>IFERROR(VLOOKUP(C197,O.B.JUNE!$AA$7:$AF$448,6,0),0)</f>
        <v>596</v>
      </c>
      <c r="J197" s="6"/>
      <c r="K197" s="6">
        <f>IFERROR(VLOOKUP(C197,O.B.JUNE!$AA$7:$AG$448,7,0),0)</f>
        <v>8527149</v>
      </c>
      <c r="L197" s="6">
        <f>SUMIF('JUNE (물량흐름)'!$C$13:$C$502,'Direct labour(직접노무비)'!C197,'JUNE (물량흐름)'!$H$13:$H$502)+SUMIF('JUNE (물량흐름)'!$C$13:$C$502,'Direct labour(직접노무비)'!C197,'JUNE (물량흐름)'!$I$13:$I$502)</f>
        <v>0</v>
      </c>
      <c r="M197" s="6">
        <f t="shared" si="29"/>
        <v>0</v>
      </c>
      <c r="N197" s="6">
        <f t="shared" si="30"/>
        <v>0</v>
      </c>
      <c r="O197" s="6">
        <f t="shared" si="27"/>
        <v>0</v>
      </c>
      <c r="P197" s="6">
        <f>SUMIF('JUNE (물량흐름)'!$C$13:$C$502,C197,'JUNE (물량흐름)'!$T$13:$T$502)+SUMIF('JUNE (물량흐름)'!$C$13:$C$502,C197,'JUNE (물량흐름)'!$V$13:$V$502)+SUMIF('JUNE (물량흐름)'!$C$13:$C$502,C197,'JUNE (물량흐름)'!$U$13:$U$502)-SUMIF('JUNE (물량흐름)'!$C$13:$C$502,C197,'JUNE (물량흐름)'!$Y$13:$Y$502)</f>
        <v>745</v>
      </c>
      <c r="Q197" s="6">
        <f t="shared" si="37"/>
        <v>8527149</v>
      </c>
      <c r="R197" s="6">
        <f>ROUND(IF(ISERROR(VLOOKUP(#REF!,'WIP(재공품)'!$B$12:$AB$38,13,0)),0,VLOOKUP(#REF!,'WIP(재공품)'!$B$12:$AB$38,13,0)),0)</f>
        <v>0</v>
      </c>
      <c r="S197" s="6">
        <f>IF(ISERROR(VLOOKUP(#REF!,'WIP(재공품)'!$B$12:$AB$38,10,0)),0,VLOOKUP(#REF!,'WIP(재공품)'!$B$12:$AB$38,10,0))</f>
        <v>0</v>
      </c>
      <c r="T197" s="6">
        <f>SUMIF('JUNE (물량흐름)'!$C$13:$C$502,'Direct labour(직접노무비)'!C197,'JUNE (물량흐름)'!$Y$13:$Y$502)</f>
        <v>0</v>
      </c>
      <c r="U197" s="6">
        <f t="shared" si="31"/>
        <v>0</v>
      </c>
      <c r="V197" s="6">
        <f>ROUND(SUMIF('JUNE (물량흐름)'!$C$13:$C$502,'Direct labour(직접노무비)'!C197,'JUNE (물량흐름)'!$N$13:$N$502),0)</f>
        <v>0</v>
      </c>
      <c r="W197" s="6">
        <f>ROUND(SUMIF('JUNE (물량흐름)'!$C$13:$C$502,'Direct labour(직접노무비)'!C197,'JUNE (물량흐름)'!$O$13:$O$502),0)</f>
        <v>0</v>
      </c>
      <c r="X197" s="6">
        <f>ROUND(SUMIF('JUNE (물량흐름)'!$C$13:$C$502,'Direct labour(직접노무비)'!C197,'JUNE (물량흐름)'!$P$13:$P$502),0)</f>
        <v>0</v>
      </c>
      <c r="Y197" s="6">
        <f t="shared" si="32"/>
        <v>0</v>
      </c>
      <c r="Z197" s="6">
        <f t="shared" si="33"/>
        <v>0</v>
      </c>
      <c r="AA197" s="6">
        <f t="shared" si="38"/>
        <v>0</v>
      </c>
      <c r="AB197" s="389">
        <f t="shared" si="34"/>
        <v>0</v>
      </c>
      <c r="AC197" s="503">
        <f t="shared" si="39"/>
        <v>0</v>
      </c>
      <c r="AD197" s="389">
        <f t="shared" si="36"/>
        <v>0</v>
      </c>
    </row>
    <row r="198" spans="1:30" s="390" customFormat="1" ht="15" customHeight="1">
      <c r="A198" s="167">
        <v>188</v>
      </c>
      <c r="B198" s="267" t="str">
        <f>VLOOKUP(A198,'JUNE (물량흐름)'!$A$13:$C$502,2,0)</f>
        <v>ANN TAYLOR</v>
      </c>
      <c r="C198" s="240">
        <f>VLOOKUP(A198,'JUNE (물량흐름)'!$A$13:$C$502,3,0)</f>
        <v>453616</v>
      </c>
      <c r="D198" s="6">
        <f>VLOOKUP(C198,'WIP(재공품)'!$B$12:$E$493,4,0)</f>
        <v>7936.2499999999991</v>
      </c>
      <c r="E198" s="6">
        <f>IFERROR(VLOOKUP(C198,O.B.JUNE!$AA$7:$AG$448,2,0),0)</f>
        <v>0</v>
      </c>
      <c r="F198" s="6">
        <f>IFERROR(VLOOKUP(C198,O.B.JUNE!$AA$7:$AG$448,3,0),0)</f>
        <v>219</v>
      </c>
      <c r="G198" s="6">
        <f>IFERROR(VLOOKUP(C198,O.B.JUNE!$AA$7:$AD$448,4,0),0)</f>
        <v>93</v>
      </c>
      <c r="H198" s="6">
        <f t="shared" si="28"/>
        <v>312</v>
      </c>
      <c r="I198" s="6">
        <f>IFERROR(VLOOKUP(C198,O.B.JUNE!$AA$7:$AF$448,6,0),0)</f>
        <v>184</v>
      </c>
      <c r="J198" s="6"/>
      <c r="K198" s="6">
        <f>IFERROR(VLOOKUP(C198,O.B.JUNE!$AA$7:$AG$448,7,0),0)</f>
        <v>2464372</v>
      </c>
      <c r="L198" s="6">
        <f>SUMIF('JUNE (물량흐름)'!$C$13:$C$502,'Direct labour(직접노무비)'!C198,'JUNE (물량흐름)'!$H$13:$H$502)+SUMIF('JUNE (물량흐름)'!$C$13:$C$502,'Direct labour(직접노무비)'!C198,'JUNE (물량흐름)'!$I$13:$I$502)</f>
        <v>0</v>
      </c>
      <c r="M198" s="6">
        <f t="shared" si="29"/>
        <v>0</v>
      </c>
      <c r="N198" s="6">
        <f t="shared" si="30"/>
        <v>0</v>
      </c>
      <c r="O198" s="6">
        <f t="shared" si="27"/>
        <v>0</v>
      </c>
      <c r="P198" s="6">
        <f>SUMIF('JUNE (물량흐름)'!$C$13:$C$502,C198,'JUNE (물량흐름)'!$T$13:$T$502)+SUMIF('JUNE (물량흐름)'!$C$13:$C$502,C198,'JUNE (물량흐름)'!$V$13:$V$502)+SUMIF('JUNE (물량흐름)'!$C$13:$C$502,C198,'JUNE (물량흐름)'!$U$13:$U$502)-SUMIF('JUNE (물량흐름)'!$C$13:$C$502,C198,'JUNE (물량흐름)'!$Y$13:$Y$502)</f>
        <v>312</v>
      </c>
      <c r="Q198" s="6">
        <f t="shared" si="37"/>
        <v>2464372</v>
      </c>
      <c r="R198" s="6">
        <f>ROUND(IF(ISERROR(VLOOKUP(#REF!,'WIP(재공품)'!$B$12:$AB$38,13,0)),0,VLOOKUP(#REF!,'WIP(재공품)'!$B$12:$AB$38,13,0)),0)</f>
        <v>0</v>
      </c>
      <c r="S198" s="6">
        <f>IF(ISERROR(VLOOKUP(#REF!,'WIP(재공품)'!$B$12:$AB$38,10,0)),0,VLOOKUP(#REF!,'WIP(재공품)'!$B$12:$AB$38,10,0))</f>
        <v>0</v>
      </c>
      <c r="T198" s="6">
        <f>SUMIF('JUNE (물량흐름)'!$C$13:$C$502,'Direct labour(직접노무비)'!C198,'JUNE (물량흐름)'!$Y$13:$Y$502)</f>
        <v>0</v>
      </c>
      <c r="U198" s="6">
        <f t="shared" si="31"/>
        <v>0</v>
      </c>
      <c r="V198" s="6">
        <f>ROUND(SUMIF('JUNE (물량흐름)'!$C$13:$C$502,'Direct labour(직접노무비)'!C198,'JUNE (물량흐름)'!$N$13:$N$502),0)</f>
        <v>0</v>
      </c>
      <c r="W198" s="6">
        <f>ROUND(SUMIF('JUNE (물량흐름)'!$C$13:$C$502,'Direct labour(직접노무비)'!C198,'JUNE (물량흐름)'!$O$13:$O$502),0)</f>
        <v>0</v>
      </c>
      <c r="X198" s="6">
        <f>ROUND(SUMIF('JUNE (물량흐름)'!$C$13:$C$502,'Direct labour(직접노무비)'!C198,'JUNE (물량흐름)'!$P$13:$P$502),0)</f>
        <v>0</v>
      </c>
      <c r="Y198" s="6">
        <f t="shared" si="32"/>
        <v>0</v>
      </c>
      <c r="Z198" s="6">
        <f t="shared" si="33"/>
        <v>0</v>
      </c>
      <c r="AA198" s="6">
        <f t="shared" si="38"/>
        <v>0</v>
      </c>
      <c r="AB198" s="389">
        <f t="shared" si="34"/>
        <v>0</v>
      </c>
      <c r="AC198" s="503">
        <f t="shared" si="39"/>
        <v>0</v>
      </c>
      <c r="AD198" s="389">
        <f t="shared" si="36"/>
        <v>0</v>
      </c>
    </row>
    <row r="199" spans="1:30" s="390" customFormat="1" ht="15" customHeight="1">
      <c r="A199" s="167">
        <v>189</v>
      </c>
      <c r="B199" s="267" t="str">
        <f>VLOOKUP(A199,'JUNE (물량흐름)'!$A$13:$C$502,2,0)</f>
        <v>ANN TAYLOR</v>
      </c>
      <c r="C199" s="240">
        <f>VLOOKUP(A199,'JUNE (물량흐름)'!$A$13:$C$502,3,0)</f>
        <v>453707</v>
      </c>
      <c r="D199" s="6">
        <f>VLOOKUP(C199,'WIP(재공품)'!$B$12:$E$493,4,0)</f>
        <v>7936.2499999999991</v>
      </c>
      <c r="E199" s="6">
        <f>IFERROR(VLOOKUP(C199,O.B.JUNE!$AA$7:$AG$448,2,0),0)</f>
        <v>0</v>
      </c>
      <c r="F199" s="6">
        <f>IFERROR(VLOOKUP(C199,O.B.JUNE!$AA$7:$AG$448,3,0),0)</f>
        <v>0</v>
      </c>
      <c r="G199" s="6">
        <f>IFERROR(VLOOKUP(C199,O.B.JUNE!$AA$7:$AD$448,4,0),0)</f>
        <v>343</v>
      </c>
      <c r="H199" s="6">
        <f t="shared" si="28"/>
        <v>343</v>
      </c>
      <c r="I199" s="6">
        <f>IFERROR(VLOOKUP(C199,O.B.JUNE!$AA$7:$AF$448,6,0),0)</f>
        <v>274</v>
      </c>
      <c r="J199" s="6"/>
      <c r="K199" s="6">
        <f>IFERROR(VLOOKUP(C199,O.B.JUNE!$AA$7:$AG$448,7,0),0)</f>
        <v>2244766</v>
      </c>
      <c r="L199" s="6">
        <f>SUMIF('JUNE (물량흐름)'!$C$13:$C$502,'Direct labour(직접노무비)'!C199,'JUNE (물량흐름)'!$H$13:$H$502)+SUMIF('JUNE (물량흐름)'!$C$13:$C$502,'Direct labour(직접노무비)'!C199,'JUNE (물량흐름)'!$I$13:$I$502)</f>
        <v>0</v>
      </c>
      <c r="M199" s="6">
        <f t="shared" si="29"/>
        <v>0</v>
      </c>
      <c r="N199" s="6">
        <f t="shared" si="30"/>
        <v>0</v>
      </c>
      <c r="O199" s="6">
        <f t="shared" si="27"/>
        <v>0</v>
      </c>
      <c r="P199" s="6">
        <f>SUMIF('JUNE (물량흐름)'!$C$13:$C$502,C199,'JUNE (물량흐름)'!$T$13:$T$502)+SUMIF('JUNE (물량흐름)'!$C$13:$C$502,C199,'JUNE (물량흐름)'!$V$13:$V$502)+SUMIF('JUNE (물량흐름)'!$C$13:$C$502,C199,'JUNE (물량흐름)'!$U$13:$U$502)-SUMIF('JUNE (물량흐름)'!$C$13:$C$502,C199,'JUNE (물량흐름)'!$Y$13:$Y$502)</f>
        <v>343</v>
      </c>
      <c r="Q199" s="6">
        <f t="shared" si="37"/>
        <v>2244766</v>
      </c>
      <c r="R199" s="6">
        <f>ROUND(IF(ISERROR(VLOOKUP(#REF!,'WIP(재공품)'!$B$12:$AB$38,13,0)),0,VLOOKUP(#REF!,'WIP(재공품)'!$B$12:$AB$38,13,0)),0)</f>
        <v>0</v>
      </c>
      <c r="S199" s="6">
        <f>IF(ISERROR(VLOOKUP(#REF!,'WIP(재공품)'!$B$12:$AB$38,10,0)),0,VLOOKUP(#REF!,'WIP(재공품)'!$B$12:$AB$38,10,0))</f>
        <v>0</v>
      </c>
      <c r="T199" s="6">
        <f>SUMIF('JUNE (물량흐름)'!$C$13:$C$502,'Direct labour(직접노무비)'!C199,'JUNE (물량흐름)'!$Y$13:$Y$502)</f>
        <v>0</v>
      </c>
      <c r="U199" s="6">
        <f t="shared" si="31"/>
        <v>0</v>
      </c>
      <c r="V199" s="6">
        <f>ROUND(SUMIF('JUNE (물량흐름)'!$C$13:$C$502,'Direct labour(직접노무비)'!C199,'JUNE (물량흐름)'!$N$13:$N$502),0)</f>
        <v>0</v>
      </c>
      <c r="W199" s="6">
        <f>ROUND(SUMIF('JUNE (물량흐름)'!$C$13:$C$502,'Direct labour(직접노무비)'!C199,'JUNE (물량흐름)'!$O$13:$O$502),0)</f>
        <v>0</v>
      </c>
      <c r="X199" s="6">
        <f>ROUND(SUMIF('JUNE (물량흐름)'!$C$13:$C$502,'Direct labour(직접노무비)'!C199,'JUNE (물량흐름)'!$P$13:$P$502),0)</f>
        <v>0</v>
      </c>
      <c r="Y199" s="6">
        <f t="shared" si="32"/>
        <v>0</v>
      </c>
      <c r="Z199" s="6">
        <f t="shared" si="33"/>
        <v>0</v>
      </c>
      <c r="AA199" s="6">
        <f t="shared" si="38"/>
        <v>0</v>
      </c>
      <c r="AB199" s="389">
        <f t="shared" si="34"/>
        <v>0</v>
      </c>
      <c r="AC199" s="503">
        <f t="shared" si="39"/>
        <v>0</v>
      </c>
      <c r="AD199" s="389">
        <f t="shared" si="36"/>
        <v>0</v>
      </c>
    </row>
    <row r="200" spans="1:30" s="390" customFormat="1" ht="15" customHeight="1">
      <c r="A200" s="167">
        <v>190</v>
      </c>
      <c r="B200" s="267" t="str">
        <f>VLOOKUP(A200,'JUNE (물량흐름)'!$A$13:$C$502,2,0)</f>
        <v>ANN TAYLOR</v>
      </c>
      <c r="C200" s="240">
        <f>VLOOKUP(A200,'JUNE (물량흐름)'!$A$13:$C$502,3,0)</f>
        <v>454208</v>
      </c>
      <c r="D200" s="6">
        <f>VLOOKUP(C200,'WIP(재공품)'!$B$12:$E$493,4,0)</f>
        <v>7936.2499999999991</v>
      </c>
      <c r="E200" s="6">
        <f>IFERROR(VLOOKUP(C200,O.B.JUNE!$AA$7:$AG$448,2,0),0)</f>
        <v>7</v>
      </c>
      <c r="F200" s="6">
        <f>IFERROR(VLOOKUP(C200,O.B.JUNE!$AA$7:$AG$448,3,0),0)</f>
        <v>1522</v>
      </c>
      <c r="G200" s="6">
        <f>IFERROR(VLOOKUP(C200,O.B.JUNE!$AA$7:$AD$448,4,0),0)</f>
        <v>1527</v>
      </c>
      <c r="H200" s="6">
        <f t="shared" si="28"/>
        <v>3056</v>
      </c>
      <c r="I200" s="6">
        <f>IFERROR(VLOOKUP(C200,O.B.JUNE!$AA$7:$AF$448,6,0),0)</f>
        <v>1984</v>
      </c>
      <c r="J200" s="6"/>
      <c r="K200" s="6">
        <f>IFERROR(VLOOKUP(C200,O.B.JUNE!$AA$7:$AG$448,7,0),0)</f>
        <v>27265369</v>
      </c>
      <c r="L200" s="6">
        <f>SUMIF('JUNE (물량흐름)'!$C$13:$C$502,'Direct labour(직접노무비)'!C200,'JUNE (물량흐름)'!$H$13:$H$502)+SUMIF('JUNE (물량흐름)'!$C$13:$C$502,'Direct labour(직접노무비)'!C200,'JUNE (물량흐름)'!$I$13:$I$502)</f>
        <v>0</v>
      </c>
      <c r="M200" s="6">
        <f t="shared" si="29"/>
        <v>0</v>
      </c>
      <c r="N200" s="6">
        <f t="shared" si="30"/>
        <v>0</v>
      </c>
      <c r="O200" s="6">
        <f t="shared" si="27"/>
        <v>0</v>
      </c>
      <c r="P200" s="6">
        <f>SUMIF('JUNE (물량흐름)'!$C$13:$C$502,C200,'JUNE (물량흐름)'!$T$13:$T$502)+SUMIF('JUNE (물량흐름)'!$C$13:$C$502,C200,'JUNE (물량흐름)'!$V$13:$V$502)+SUMIF('JUNE (물량흐름)'!$C$13:$C$502,C200,'JUNE (물량흐름)'!$U$13:$U$502)-SUMIF('JUNE (물량흐름)'!$C$13:$C$502,C200,'JUNE (물량흐름)'!$Y$13:$Y$502)</f>
        <v>3056</v>
      </c>
      <c r="Q200" s="6">
        <f t="shared" si="37"/>
        <v>27265369</v>
      </c>
      <c r="R200" s="6">
        <f>ROUND(IF(ISERROR(VLOOKUP(#REF!,'WIP(재공품)'!$B$12:$AB$38,13,0)),0,VLOOKUP(#REF!,'WIP(재공품)'!$B$12:$AB$38,13,0)),0)</f>
        <v>0</v>
      </c>
      <c r="S200" s="6">
        <f>IF(ISERROR(VLOOKUP(#REF!,'WIP(재공품)'!$B$12:$AB$38,10,0)),0,VLOOKUP(#REF!,'WIP(재공품)'!$B$12:$AB$38,10,0))</f>
        <v>0</v>
      </c>
      <c r="T200" s="6">
        <f>SUMIF('JUNE (물량흐름)'!$C$13:$C$502,'Direct labour(직접노무비)'!C200,'JUNE (물량흐름)'!$Y$13:$Y$502)</f>
        <v>0</v>
      </c>
      <c r="U200" s="6">
        <f t="shared" si="31"/>
        <v>0</v>
      </c>
      <c r="V200" s="6">
        <f>ROUND(SUMIF('JUNE (물량흐름)'!$C$13:$C$502,'Direct labour(직접노무비)'!C200,'JUNE (물량흐름)'!$N$13:$N$502),0)</f>
        <v>0</v>
      </c>
      <c r="W200" s="6">
        <f>ROUND(SUMIF('JUNE (물량흐름)'!$C$13:$C$502,'Direct labour(직접노무비)'!C200,'JUNE (물량흐름)'!$O$13:$O$502),0)</f>
        <v>0</v>
      </c>
      <c r="X200" s="6">
        <f>ROUND(SUMIF('JUNE (물량흐름)'!$C$13:$C$502,'Direct labour(직접노무비)'!C200,'JUNE (물량흐름)'!$P$13:$P$502),0)</f>
        <v>0</v>
      </c>
      <c r="Y200" s="6">
        <f t="shared" si="32"/>
        <v>0</v>
      </c>
      <c r="Z200" s="6">
        <f t="shared" si="33"/>
        <v>0</v>
      </c>
      <c r="AA200" s="6">
        <f t="shared" si="38"/>
        <v>0</v>
      </c>
      <c r="AB200" s="389">
        <f t="shared" si="34"/>
        <v>0</v>
      </c>
      <c r="AC200" s="503">
        <f t="shared" si="39"/>
        <v>0</v>
      </c>
      <c r="AD200" s="389">
        <f t="shared" si="36"/>
        <v>0</v>
      </c>
    </row>
    <row r="201" spans="1:30" s="390" customFormat="1" ht="15" customHeight="1">
      <c r="A201" s="167">
        <v>191</v>
      </c>
      <c r="B201" s="267" t="str">
        <f>VLOOKUP(A201,'JUNE (물량흐름)'!$A$13:$C$502,2,0)</f>
        <v>ANN TAYLOR</v>
      </c>
      <c r="C201" s="240">
        <f>VLOOKUP(A201,'JUNE (물량흐름)'!$A$13:$C$502,3,0)</f>
        <v>455769</v>
      </c>
      <c r="D201" s="6">
        <f>VLOOKUP(C201,'WIP(재공품)'!$B$12:$E$493,4,0)</f>
        <v>7936.2499999999991</v>
      </c>
      <c r="E201" s="6">
        <f>IFERROR(VLOOKUP(C201,O.B.JUNE!$AA$7:$AG$448,2,0),0)</f>
        <v>0</v>
      </c>
      <c r="F201" s="6">
        <f>IFERROR(VLOOKUP(C201,O.B.JUNE!$AA$7:$AG$448,3,0),0)</f>
        <v>48</v>
      </c>
      <c r="G201" s="6">
        <f>IFERROR(VLOOKUP(C201,O.B.JUNE!$AA$7:$AD$448,4,0),0)</f>
        <v>66</v>
      </c>
      <c r="H201" s="6">
        <f t="shared" si="28"/>
        <v>114</v>
      </c>
      <c r="I201" s="6">
        <f>IFERROR(VLOOKUP(C201,O.B.JUNE!$AA$7:$AF$448,6,0),0)</f>
        <v>77</v>
      </c>
      <c r="J201" s="6"/>
      <c r="K201" s="6">
        <f>IFERROR(VLOOKUP(C201,O.B.JUNE!$AA$7:$AG$448,7,0),0)</f>
        <v>1109758</v>
      </c>
      <c r="L201" s="6">
        <f>SUMIF('JUNE (물량흐름)'!$C$13:$C$502,'Direct labour(직접노무비)'!C201,'JUNE (물량흐름)'!$H$13:$H$502)+SUMIF('JUNE (물량흐름)'!$C$13:$C$502,'Direct labour(직접노무비)'!C201,'JUNE (물량흐름)'!$I$13:$I$502)</f>
        <v>0</v>
      </c>
      <c r="M201" s="6">
        <f t="shared" si="29"/>
        <v>0</v>
      </c>
      <c r="N201" s="6">
        <f t="shared" si="30"/>
        <v>0</v>
      </c>
      <c r="O201" s="6">
        <f t="shared" si="27"/>
        <v>0</v>
      </c>
      <c r="P201" s="6">
        <f>SUMIF('JUNE (물량흐름)'!$C$13:$C$502,C201,'JUNE (물량흐름)'!$T$13:$T$502)+SUMIF('JUNE (물량흐름)'!$C$13:$C$502,C201,'JUNE (물량흐름)'!$V$13:$V$502)+SUMIF('JUNE (물량흐름)'!$C$13:$C$502,C201,'JUNE (물량흐름)'!$U$13:$U$502)-SUMIF('JUNE (물량흐름)'!$C$13:$C$502,C201,'JUNE (물량흐름)'!$Y$13:$Y$502)</f>
        <v>114</v>
      </c>
      <c r="Q201" s="6">
        <f t="shared" si="37"/>
        <v>1109758</v>
      </c>
      <c r="R201" s="6">
        <f>ROUND(IF(ISERROR(VLOOKUP(#REF!,'WIP(재공품)'!$B$12:$AB$38,13,0)),0,VLOOKUP(#REF!,'WIP(재공품)'!$B$12:$AB$38,13,0)),0)</f>
        <v>0</v>
      </c>
      <c r="S201" s="6">
        <f>IF(ISERROR(VLOOKUP(#REF!,'WIP(재공품)'!$B$12:$AB$38,10,0)),0,VLOOKUP(#REF!,'WIP(재공품)'!$B$12:$AB$38,10,0))</f>
        <v>0</v>
      </c>
      <c r="T201" s="6">
        <f>SUMIF('JUNE (물량흐름)'!$C$13:$C$502,'Direct labour(직접노무비)'!C201,'JUNE (물량흐름)'!$Y$13:$Y$502)</f>
        <v>0</v>
      </c>
      <c r="U201" s="6">
        <f t="shared" si="31"/>
        <v>0</v>
      </c>
      <c r="V201" s="6">
        <f>ROUND(SUMIF('JUNE (물량흐름)'!$C$13:$C$502,'Direct labour(직접노무비)'!C201,'JUNE (물량흐름)'!$N$13:$N$502),0)</f>
        <v>0</v>
      </c>
      <c r="W201" s="6">
        <f>ROUND(SUMIF('JUNE (물량흐름)'!$C$13:$C$502,'Direct labour(직접노무비)'!C201,'JUNE (물량흐름)'!$O$13:$O$502),0)</f>
        <v>0</v>
      </c>
      <c r="X201" s="6">
        <f>ROUND(SUMIF('JUNE (물량흐름)'!$C$13:$C$502,'Direct labour(직접노무비)'!C201,'JUNE (물량흐름)'!$P$13:$P$502),0)</f>
        <v>0</v>
      </c>
      <c r="Y201" s="6">
        <f t="shared" si="32"/>
        <v>0</v>
      </c>
      <c r="Z201" s="6">
        <f t="shared" si="33"/>
        <v>0</v>
      </c>
      <c r="AA201" s="6">
        <f t="shared" si="38"/>
        <v>0</v>
      </c>
      <c r="AB201" s="389">
        <f t="shared" si="34"/>
        <v>0</v>
      </c>
      <c r="AC201" s="503">
        <f t="shared" si="39"/>
        <v>0</v>
      </c>
      <c r="AD201" s="389">
        <f t="shared" si="36"/>
        <v>0</v>
      </c>
    </row>
    <row r="202" spans="1:30" s="390" customFormat="1" ht="15" customHeight="1">
      <c r="A202" s="167">
        <v>192</v>
      </c>
      <c r="B202" s="267" t="str">
        <f>VLOOKUP(A202,'JUNE (물량흐름)'!$A$13:$C$502,2,0)</f>
        <v>ANN TAYLOR</v>
      </c>
      <c r="C202" s="240">
        <f>VLOOKUP(A202,'JUNE (물량흐름)'!$A$13:$C$502,3,0)</f>
        <v>455770</v>
      </c>
      <c r="D202" s="6">
        <f>VLOOKUP(C202,'WIP(재공품)'!$B$12:$E$493,4,0)</f>
        <v>7936.2499999999991</v>
      </c>
      <c r="E202" s="6">
        <f>IFERROR(VLOOKUP(C202,O.B.JUNE!$AA$7:$AG$448,2,0),0)</f>
        <v>0</v>
      </c>
      <c r="F202" s="6">
        <f>IFERROR(VLOOKUP(C202,O.B.JUNE!$AA$7:$AG$448,3,0),0)</f>
        <v>92</v>
      </c>
      <c r="G202" s="6">
        <f>IFERROR(VLOOKUP(C202,O.B.JUNE!$AA$7:$AD$448,4,0),0)</f>
        <v>109</v>
      </c>
      <c r="H202" s="6">
        <f t="shared" si="28"/>
        <v>201</v>
      </c>
      <c r="I202" s="6">
        <f>IFERROR(VLOOKUP(C202,O.B.JUNE!$AA$7:$AF$448,6,0),0)</f>
        <v>133</v>
      </c>
      <c r="J202" s="6"/>
      <c r="K202" s="6">
        <f>IFERROR(VLOOKUP(C202,O.B.JUNE!$AA$7:$AG$448,7,0),0)</f>
        <v>1864529</v>
      </c>
      <c r="L202" s="6">
        <f>SUMIF('JUNE (물량흐름)'!$C$13:$C$502,'Direct labour(직접노무비)'!C202,'JUNE (물량흐름)'!$H$13:$H$502)+SUMIF('JUNE (물량흐름)'!$C$13:$C$502,'Direct labour(직접노무비)'!C202,'JUNE (물량흐름)'!$I$13:$I$502)</f>
        <v>0</v>
      </c>
      <c r="M202" s="6">
        <f t="shared" si="29"/>
        <v>0</v>
      </c>
      <c r="N202" s="6">
        <f t="shared" si="30"/>
        <v>0</v>
      </c>
      <c r="O202" s="6">
        <f t="shared" si="27"/>
        <v>0</v>
      </c>
      <c r="P202" s="6">
        <f>SUMIF('JUNE (물량흐름)'!$C$13:$C$502,C202,'JUNE (물량흐름)'!$T$13:$T$502)+SUMIF('JUNE (물량흐름)'!$C$13:$C$502,C202,'JUNE (물량흐름)'!$V$13:$V$502)+SUMIF('JUNE (물량흐름)'!$C$13:$C$502,C202,'JUNE (물량흐름)'!$U$13:$U$502)-SUMIF('JUNE (물량흐름)'!$C$13:$C$502,C202,'JUNE (물량흐름)'!$Y$13:$Y$502)</f>
        <v>201</v>
      </c>
      <c r="Q202" s="6">
        <f t="shared" si="37"/>
        <v>1864529</v>
      </c>
      <c r="R202" s="6">
        <f>ROUND(IF(ISERROR(VLOOKUP(#REF!,'WIP(재공품)'!$B$12:$AB$38,13,0)),0,VLOOKUP(#REF!,'WIP(재공품)'!$B$12:$AB$38,13,0)),0)</f>
        <v>0</v>
      </c>
      <c r="S202" s="6">
        <f>IF(ISERROR(VLOOKUP(#REF!,'WIP(재공품)'!$B$12:$AB$38,10,0)),0,VLOOKUP(#REF!,'WIP(재공품)'!$B$12:$AB$38,10,0))</f>
        <v>0</v>
      </c>
      <c r="T202" s="6">
        <f>SUMIF('JUNE (물량흐름)'!$C$13:$C$502,'Direct labour(직접노무비)'!C202,'JUNE (물량흐름)'!$Y$13:$Y$502)</f>
        <v>0</v>
      </c>
      <c r="U202" s="6">
        <f t="shared" si="31"/>
        <v>0</v>
      </c>
      <c r="V202" s="6">
        <f>ROUND(SUMIF('JUNE (물량흐름)'!$C$13:$C$502,'Direct labour(직접노무비)'!C202,'JUNE (물량흐름)'!$N$13:$N$502),0)</f>
        <v>0</v>
      </c>
      <c r="W202" s="6">
        <f>ROUND(SUMIF('JUNE (물량흐름)'!$C$13:$C$502,'Direct labour(직접노무비)'!C202,'JUNE (물량흐름)'!$O$13:$O$502),0)</f>
        <v>0</v>
      </c>
      <c r="X202" s="6">
        <f>ROUND(SUMIF('JUNE (물량흐름)'!$C$13:$C$502,'Direct labour(직접노무비)'!C202,'JUNE (물량흐름)'!$P$13:$P$502),0)</f>
        <v>0</v>
      </c>
      <c r="Y202" s="6">
        <f t="shared" si="32"/>
        <v>0</v>
      </c>
      <c r="Z202" s="6">
        <f t="shared" si="33"/>
        <v>0</v>
      </c>
      <c r="AA202" s="6">
        <f t="shared" si="38"/>
        <v>0</v>
      </c>
      <c r="AB202" s="389">
        <f t="shared" si="34"/>
        <v>0</v>
      </c>
      <c r="AC202" s="503">
        <f t="shared" si="39"/>
        <v>0</v>
      </c>
      <c r="AD202" s="389">
        <f t="shared" si="36"/>
        <v>0</v>
      </c>
    </row>
    <row r="203" spans="1:30" s="390" customFormat="1" ht="15" customHeight="1">
      <c r="A203" s="167">
        <v>193</v>
      </c>
      <c r="B203" s="267" t="str">
        <f>VLOOKUP(A203,'JUNE (물량흐름)'!$A$13:$C$502,2,0)</f>
        <v>ANN TAYLOR</v>
      </c>
      <c r="C203" s="240">
        <f>VLOOKUP(A203,'JUNE (물량흐름)'!$A$13:$C$502,3,0)</f>
        <v>456858</v>
      </c>
      <c r="D203" s="6">
        <f>VLOOKUP(C203,'WIP(재공품)'!$B$12:$E$493,4,0)</f>
        <v>7936.2499999999991</v>
      </c>
      <c r="E203" s="6">
        <f>IFERROR(VLOOKUP(C203,O.B.JUNE!$AA$7:$AG$448,2,0),0)</f>
        <v>0</v>
      </c>
      <c r="F203" s="6">
        <f>IFERROR(VLOOKUP(C203,O.B.JUNE!$AA$7:$AG$448,3,0),0)</f>
        <v>0</v>
      </c>
      <c r="G203" s="6">
        <f>IFERROR(VLOOKUP(C203,O.B.JUNE!$AA$7:$AD$448,4,0),0)</f>
        <v>450</v>
      </c>
      <c r="H203" s="6">
        <f t="shared" si="28"/>
        <v>450</v>
      </c>
      <c r="I203" s="6">
        <f>IFERROR(VLOOKUP(C203,O.B.JUNE!$AA$7:$AF$448,6,0),0)</f>
        <v>360</v>
      </c>
      <c r="J203" s="6"/>
      <c r="K203" s="6">
        <f>IFERROR(VLOOKUP(C203,O.B.JUNE!$AA$7:$AG$448,7,0),0)</f>
        <v>2575313</v>
      </c>
      <c r="L203" s="6">
        <f>SUMIF('JUNE (물량흐름)'!$C$13:$C$502,'Direct labour(직접노무비)'!C203,'JUNE (물량흐름)'!$H$13:$H$502)+SUMIF('JUNE (물량흐름)'!$C$13:$C$502,'Direct labour(직접노무비)'!C203,'JUNE (물량흐름)'!$I$13:$I$502)</f>
        <v>0</v>
      </c>
      <c r="M203" s="6">
        <f t="shared" si="29"/>
        <v>0</v>
      </c>
      <c r="N203" s="6">
        <f t="shared" si="30"/>
        <v>0</v>
      </c>
      <c r="O203" s="6">
        <f t="shared" ref="O203:O266" si="40">ROUND(M203*D203*$O$493/$N$493,0)</f>
        <v>0</v>
      </c>
      <c r="P203" s="6">
        <f>SUMIF('JUNE (물량흐름)'!$C$13:$C$502,C203,'JUNE (물량흐름)'!$T$13:$T$502)+SUMIF('JUNE (물량흐름)'!$C$13:$C$502,C203,'JUNE (물량흐름)'!$V$13:$V$502)+SUMIF('JUNE (물량흐름)'!$C$13:$C$502,C203,'JUNE (물량흐름)'!$U$13:$U$502)-SUMIF('JUNE (물량흐름)'!$C$13:$C$502,C203,'JUNE (물량흐름)'!$Y$13:$Y$502)</f>
        <v>0</v>
      </c>
      <c r="Q203" s="6">
        <f t="shared" si="37"/>
        <v>0</v>
      </c>
      <c r="R203" s="6">
        <f>ROUND(IF(ISERROR(VLOOKUP(#REF!,'WIP(재공품)'!$B$12:$AB$38,13,0)),0,VLOOKUP(#REF!,'WIP(재공품)'!$B$12:$AB$38,13,0)),0)</f>
        <v>0</v>
      </c>
      <c r="S203" s="6">
        <f>IF(ISERROR(VLOOKUP(#REF!,'WIP(재공품)'!$B$12:$AB$38,10,0)),0,VLOOKUP(#REF!,'WIP(재공품)'!$B$12:$AB$38,10,0))</f>
        <v>0</v>
      </c>
      <c r="T203" s="6">
        <f>SUMIF('JUNE (물량흐름)'!$C$13:$C$502,'Direct labour(직접노무비)'!C203,'JUNE (물량흐름)'!$Y$13:$Y$502)</f>
        <v>0</v>
      </c>
      <c r="U203" s="6">
        <f t="shared" si="31"/>
        <v>0</v>
      </c>
      <c r="V203" s="6">
        <f>ROUND(SUMIF('JUNE (물량흐름)'!$C$13:$C$502,'Direct labour(직접노무비)'!C203,'JUNE (물량흐름)'!$N$13:$N$502),0)</f>
        <v>0</v>
      </c>
      <c r="W203" s="6">
        <f>ROUND(SUMIF('JUNE (물량흐름)'!$C$13:$C$502,'Direct labour(직접노무비)'!C203,'JUNE (물량흐름)'!$O$13:$O$502),0)</f>
        <v>0</v>
      </c>
      <c r="X203" s="6">
        <f>ROUND(SUMIF('JUNE (물량흐름)'!$C$13:$C$502,'Direct labour(직접노무비)'!C203,'JUNE (물량흐름)'!$P$13:$P$502),0)</f>
        <v>450</v>
      </c>
      <c r="Y203" s="6">
        <f t="shared" si="32"/>
        <v>450</v>
      </c>
      <c r="Z203" s="6">
        <f t="shared" si="33"/>
        <v>360</v>
      </c>
      <c r="AA203" s="6">
        <f t="shared" si="38"/>
        <v>2575313</v>
      </c>
      <c r="AB203" s="389">
        <f t="shared" si="34"/>
        <v>0</v>
      </c>
      <c r="AC203" s="503">
        <f t="shared" si="39"/>
        <v>0</v>
      </c>
      <c r="AD203" s="389">
        <f t="shared" si="36"/>
        <v>0</v>
      </c>
    </row>
    <row r="204" spans="1:30" s="390" customFormat="1" ht="15" customHeight="1">
      <c r="A204" s="167">
        <v>194</v>
      </c>
      <c r="B204" s="267" t="str">
        <f>VLOOKUP(A204,'JUNE (물량흐름)'!$A$13:$C$502,2,0)</f>
        <v>ANN TAYLOR</v>
      </c>
      <c r="C204" s="240">
        <f>VLOOKUP(A204,'JUNE (물량흐름)'!$A$13:$C$502,3,0)</f>
        <v>465443</v>
      </c>
      <c r="D204" s="6">
        <f>VLOOKUP(C204,'WIP(재공품)'!$B$12:$E$493,4,0)</f>
        <v>7936.2499999999991</v>
      </c>
      <c r="E204" s="6">
        <f>IFERROR(VLOOKUP(C204,O.B.JUNE!$AA$7:$AG$448,2,0),0)</f>
        <v>0</v>
      </c>
      <c r="F204" s="6">
        <f>IFERROR(VLOOKUP(C204,O.B.JUNE!$AA$7:$AG$448,3,0),0)</f>
        <v>0</v>
      </c>
      <c r="G204" s="6">
        <f>IFERROR(VLOOKUP(C204,O.B.JUNE!$AA$7:$AD$448,4,0),0)</f>
        <v>42</v>
      </c>
      <c r="H204" s="6">
        <f t="shared" ref="H204:H267" si="41">ROUND(SUM(E204:G204),0)</f>
        <v>42</v>
      </c>
      <c r="I204" s="6">
        <f>IFERROR(VLOOKUP(C204,O.B.JUNE!$AA$7:$AF$448,6,0),0)</f>
        <v>34</v>
      </c>
      <c r="J204" s="6"/>
      <c r="K204" s="6">
        <f>IFERROR(VLOOKUP(C204,O.B.JUNE!$AA$7:$AG$448,7,0),0)</f>
        <v>452900</v>
      </c>
      <c r="L204" s="6">
        <f>SUMIF('JUNE (물량흐름)'!$C$13:$C$502,'Direct labour(직접노무비)'!C204,'JUNE (물량흐름)'!$H$13:$H$502)+SUMIF('JUNE (물량흐름)'!$C$13:$C$502,'Direct labour(직접노무비)'!C204,'JUNE (물량흐름)'!$I$13:$I$502)</f>
        <v>0</v>
      </c>
      <c r="M204" s="6">
        <f t="shared" ref="M204:M267" si="42">ROUND(IF(OR(L204&lt;=0,P204+T204+R204+Z204-I204&lt;0),0,ROUND(P204+T204+R204+Z204-I204,0)),0)</f>
        <v>0</v>
      </c>
      <c r="N204" s="6">
        <f t="shared" ref="N204:N267" si="43">ROUND(M204*D204,0)</f>
        <v>0</v>
      </c>
      <c r="O204" s="6">
        <f t="shared" si="40"/>
        <v>0</v>
      </c>
      <c r="P204" s="6">
        <f>SUMIF('JUNE (물량흐름)'!$C$13:$C$502,C204,'JUNE (물량흐름)'!$T$13:$T$502)+SUMIF('JUNE (물량흐름)'!$C$13:$C$502,C204,'JUNE (물량흐름)'!$V$13:$V$502)+SUMIF('JUNE (물량흐름)'!$C$13:$C$502,C204,'JUNE (물량흐름)'!$U$13:$U$502)-SUMIF('JUNE (물량흐름)'!$C$13:$C$502,C204,'JUNE (물량흐름)'!$Y$13:$Y$502)</f>
        <v>0</v>
      </c>
      <c r="Q204" s="6">
        <f t="shared" si="37"/>
        <v>0</v>
      </c>
      <c r="R204" s="6">
        <f>ROUND(IF(ISERROR(VLOOKUP(#REF!,'WIP(재공품)'!$B$12:$AB$38,13,0)),0,VLOOKUP(#REF!,'WIP(재공품)'!$B$12:$AB$38,13,0)),0)</f>
        <v>0</v>
      </c>
      <c r="S204" s="6">
        <f>IF(ISERROR(VLOOKUP(#REF!,'WIP(재공품)'!$B$12:$AB$38,10,0)),0,VLOOKUP(#REF!,'WIP(재공품)'!$B$12:$AB$38,10,0))</f>
        <v>0</v>
      </c>
      <c r="T204" s="6">
        <f>SUMIF('JUNE (물량흐름)'!$C$13:$C$502,'Direct labour(직접노무비)'!C204,'JUNE (물량흐름)'!$Y$13:$Y$502)</f>
        <v>0</v>
      </c>
      <c r="U204" s="6">
        <f t="shared" ref="U204:U267" si="44">IFERROR(ROUND(IF(AND(T204&lt;=0,($I204+$M204)=0),T204*(K204+O204)/(I204+M204),T204*(K204+O204)/(H204+L204)),0),0)</f>
        <v>0</v>
      </c>
      <c r="V204" s="6">
        <f>ROUND(SUMIF('JUNE (물량흐름)'!$C$13:$C$502,'Direct labour(직접노무비)'!C204,'JUNE (물량흐름)'!$N$13:$N$502),0)</f>
        <v>0</v>
      </c>
      <c r="W204" s="6">
        <f>ROUND(SUMIF('JUNE (물량흐름)'!$C$13:$C$502,'Direct labour(직접노무비)'!C204,'JUNE (물량흐름)'!$O$13:$O$502),0)</f>
        <v>0</v>
      </c>
      <c r="X204" s="6">
        <f>ROUND(SUMIF('JUNE (물량흐름)'!$C$13:$C$502,'Direct labour(직접노무비)'!C204,'JUNE (물량흐름)'!$P$13:$P$502),0)</f>
        <v>42</v>
      </c>
      <c r="Y204" s="6">
        <f t="shared" ref="Y204:Y267" si="45">ROUND(SUM(V204:X204),0)</f>
        <v>42</v>
      </c>
      <c r="Z204" s="6">
        <f t="shared" ref="Z204:Z267" si="46">ROUND(V204*$V$10+W204*$W$10+X204*$X$10,0)</f>
        <v>34</v>
      </c>
      <c r="AA204" s="6">
        <f t="shared" si="38"/>
        <v>452900</v>
      </c>
      <c r="AB204" s="389">
        <f t="shared" ref="AB204:AB267" si="47">K204+O204-Q204-U204-AA204</f>
        <v>0</v>
      </c>
      <c r="AC204" s="503">
        <f t="shared" si="39"/>
        <v>0</v>
      </c>
      <c r="AD204" s="389">
        <f t="shared" ref="AD204:AD267" si="48">H204+L204-P204-T204-Y204</f>
        <v>0</v>
      </c>
    </row>
    <row r="205" spans="1:30" s="390" customFormat="1" ht="15" customHeight="1">
      <c r="A205" s="167">
        <v>195</v>
      </c>
      <c r="B205" s="267" t="str">
        <f>VLOOKUP(A205,'JUNE (물량흐름)'!$A$13:$C$502,2,0)</f>
        <v>ANN TAYLOR</v>
      </c>
      <c r="C205" s="240">
        <f>VLOOKUP(A205,'JUNE (물량흐름)'!$A$13:$C$502,3,0)</f>
        <v>465452</v>
      </c>
      <c r="D205" s="6">
        <f>VLOOKUP(C205,'WIP(재공품)'!$B$12:$E$493,4,0)</f>
        <v>7936.2499999999991</v>
      </c>
      <c r="E205" s="6">
        <f>IFERROR(VLOOKUP(C205,O.B.JUNE!$AA$7:$AG$448,2,0),0)</f>
        <v>0</v>
      </c>
      <c r="F205" s="6">
        <f>IFERROR(VLOOKUP(C205,O.B.JUNE!$AA$7:$AG$448,3,0),0)</f>
        <v>0</v>
      </c>
      <c r="G205" s="6">
        <f>IFERROR(VLOOKUP(C205,O.B.JUNE!$AA$7:$AD$448,4,0),0)</f>
        <v>62</v>
      </c>
      <c r="H205" s="6">
        <f t="shared" si="41"/>
        <v>62</v>
      </c>
      <c r="I205" s="6">
        <f>IFERROR(VLOOKUP(C205,O.B.JUNE!$AA$7:$AF$448,6,0),0)</f>
        <v>50</v>
      </c>
      <c r="J205" s="6"/>
      <c r="K205" s="6">
        <f>IFERROR(VLOOKUP(C205,O.B.JUNE!$AA$7:$AG$448,7,0),0)</f>
        <v>359656</v>
      </c>
      <c r="L205" s="6">
        <f>SUMIF('JUNE (물량흐름)'!$C$13:$C$502,'Direct labour(직접노무비)'!C205,'JUNE (물량흐름)'!$H$13:$H$502)+SUMIF('JUNE (물량흐름)'!$C$13:$C$502,'Direct labour(직접노무비)'!C205,'JUNE (물량흐름)'!$I$13:$I$502)</f>
        <v>0</v>
      </c>
      <c r="M205" s="6">
        <f t="shared" si="42"/>
        <v>0</v>
      </c>
      <c r="N205" s="6">
        <f t="shared" si="43"/>
        <v>0</v>
      </c>
      <c r="O205" s="6">
        <f t="shared" si="40"/>
        <v>0</v>
      </c>
      <c r="P205" s="6">
        <f>SUMIF('JUNE (물량흐름)'!$C$13:$C$502,C205,'JUNE (물량흐름)'!$T$13:$T$502)+SUMIF('JUNE (물량흐름)'!$C$13:$C$502,C205,'JUNE (물량흐름)'!$V$13:$V$502)+SUMIF('JUNE (물량흐름)'!$C$13:$C$502,C205,'JUNE (물량흐름)'!$U$13:$U$502)-SUMIF('JUNE (물량흐름)'!$C$13:$C$502,C205,'JUNE (물량흐름)'!$Y$13:$Y$502)</f>
        <v>0</v>
      </c>
      <c r="Q205" s="6">
        <f t="shared" ref="Q205:Q268" si="49">IFERROR(ROUND(IF(OR(P205&lt;=0,($I205+$M205)=0),$P205*($K205+$O205)/($I205+$M205),$P205*($K205+$O205)/($H205+$L205)),0),0)</f>
        <v>0</v>
      </c>
      <c r="R205" s="6">
        <f>ROUND(IF(ISERROR(VLOOKUP(#REF!,'WIP(재공품)'!$B$12:$AB$38,13,0)),0,VLOOKUP(#REF!,'WIP(재공품)'!$B$12:$AB$38,13,0)),0)</f>
        <v>0</v>
      </c>
      <c r="S205" s="6">
        <f>IF(ISERROR(VLOOKUP(#REF!,'WIP(재공품)'!$B$12:$AB$38,10,0)),0,VLOOKUP(#REF!,'WIP(재공품)'!$B$12:$AB$38,10,0))</f>
        <v>0</v>
      </c>
      <c r="T205" s="6">
        <f>SUMIF('JUNE (물량흐름)'!$C$13:$C$502,'Direct labour(직접노무비)'!C205,'JUNE (물량흐름)'!$Y$13:$Y$502)</f>
        <v>0</v>
      </c>
      <c r="U205" s="6">
        <f t="shared" si="44"/>
        <v>0</v>
      </c>
      <c r="V205" s="6">
        <f>ROUND(SUMIF('JUNE (물량흐름)'!$C$13:$C$502,'Direct labour(직접노무비)'!C205,'JUNE (물량흐름)'!$N$13:$N$502),0)</f>
        <v>0</v>
      </c>
      <c r="W205" s="6">
        <f>ROUND(SUMIF('JUNE (물량흐름)'!$C$13:$C$502,'Direct labour(직접노무비)'!C205,'JUNE (물량흐름)'!$O$13:$O$502),0)</f>
        <v>0</v>
      </c>
      <c r="X205" s="6">
        <f>ROUND(SUMIF('JUNE (물량흐름)'!$C$13:$C$502,'Direct labour(직접노무비)'!C205,'JUNE (물량흐름)'!$P$13:$P$502),0)</f>
        <v>62</v>
      </c>
      <c r="Y205" s="6">
        <f t="shared" si="45"/>
        <v>62</v>
      </c>
      <c r="Z205" s="6">
        <f t="shared" si="46"/>
        <v>50</v>
      </c>
      <c r="AA205" s="6">
        <f t="shared" ref="AA205:AA268" si="50">IFERROR(ROUND(IF(OR(Z205&lt;=0,($I205+$M205)=0),$Z205*($K205+$O205)/($I205+$M205),$Y205*($K205+$O205)/($H205+$L205)),0),0)</f>
        <v>359656</v>
      </c>
      <c r="AB205" s="389">
        <f t="shared" si="47"/>
        <v>0</v>
      </c>
      <c r="AC205" s="503">
        <f t="shared" si="39"/>
        <v>0</v>
      </c>
      <c r="AD205" s="389">
        <f t="shared" si="48"/>
        <v>0</v>
      </c>
    </row>
    <row r="206" spans="1:30" s="390" customFormat="1" ht="15" customHeight="1">
      <c r="A206" s="167">
        <v>196</v>
      </c>
      <c r="B206" s="267" t="str">
        <f>VLOOKUP(A206,'JUNE (물량흐름)'!$A$13:$C$502,2,0)</f>
        <v>ANN TAYLOR</v>
      </c>
      <c r="C206" s="240">
        <f>VLOOKUP(A206,'JUNE (물량흐름)'!$A$13:$C$502,3,0)</f>
        <v>465456</v>
      </c>
      <c r="D206" s="6">
        <f>VLOOKUP(C206,'WIP(재공품)'!$B$12:$E$493,4,0)</f>
        <v>7936.2499999999991</v>
      </c>
      <c r="E206" s="6">
        <f>IFERROR(VLOOKUP(C206,O.B.JUNE!$AA$7:$AG$448,2,0),0)</f>
        <v>0</v>
      </c>
      <c r="F206" s="6">
        <f>IFERROR(VLOOKUP(C206,O.B.JUNE!$AA$7:$AG$448,3,0),0)</f>
        <v>0</v>
      </c>
      <c r="G206" s="6">
        <f>IFERROR(VLOOKUP(C206,O.B.JUNE!$AA$7:$AD$448,4,0),0)</f>
        <v>20</v>
      </c>
      <c r="H206" s="6">
        <f t="shared" si="41"/>
        <v>20</v>
      </c>
      <c r="I206" s="6">
        <f>IFERROR(VLOOKUP(C206,O.B.JUNE!$AA$7:$AF$448,6,0),0)</f>
        <v>16</v>
      </c>
      <c r="J206" s="6"/>
      <c r="K206" s="6">
        <f>IFERROR(VLOOKUP(C206,O.B.JUNE!$AA$7:$AG$448,7,0),0)</f>
        <v>249967</v>
      </c>
      <c r="L206" s="6">
        <f>SUMIF('JUNE (물량흐름)'!$C$13:$C$502,'Direct labour(직접노무비)'!C206,'JUNE (물량흐름)'!$H$13:$H$502)+SUMIF('JUNE (물량흐름)'!$C$13:$C$502,'Direct labour(직접노무비)'!C206,'JUNE (물량흐름)'!$I$13:$I$502)</f>
        <v>0</v>
      </c>
      <c r="M206" s="6">
        <f t="shared" si="42"/>
        <v>0</v>
      </c>
      <c r="N206" s="6">
        <f t="shared" si="43"/>
        <v>0</v>
      </c>
      <c r="O206" s="6">
        <f t="shared" si="40"/>
        <v>0</v>
      </c>
      <c r="P206" s="6">
        <f>SUMIF('JUNE (물량흐름)'!$C$13:$C$502,C206,'JUNE (물량흐름)'!$T$13:$T$502)+SUMIF('JUNE (물량흐름)'!$C$13:$C$502,C206,'JUNE (물량흐름)'!$V$13:$V$502)+SUMIF('JUNE (물량흐름)'!$C$13:$C$502,C206,'JUNE (물량흐름)'!$U$13:$U$502)-SUMIF('JUNE (물량흐름)'!$C$13:$C$502,C206,'JUNE (물량흐름)'!$Y$13:$Y$502)</f>
        <v>0</v>
      </c>
      <c r="Q206" s="6">
        <f t="shared" si="49"/>
        <v>0</v>
      </c>
      <c r="R206" s="6">
        <f>ROUND(IF(ISERROR(VLOOKUP(#REF!,'WIP(재공품)'!$B$12:$AB$38,13,0)),0,VLOOKUP(#REF!,'WIP(재공품)'!$B$12:$AB$38,13,0)),0)</f>
        <v>0</v>
      </c>
      <c r="S206" s="6">
        <f>IF(ISERROR(VLOOKUP(#REF!,'WIP(재공품)'!$B$12:$AB$38,10,0)),0,VLOOKUP(#REF!,'WIP(재공품)'!$B$12:$AB$38,10,0))</f>
        <v>0</v>
      </c>
      <c r="T206" s="6">
        <f>SUMIF('JUNE (물량흐름)'!$C$13:$C$502,'Direct labour(직접노무비)'!C206,'JUNE (물량흐름)'!$Y$13:$Y$502)</f>
        <v>0</v>
      </c>
      <c r="U206" s="6">
        <f t="shared" si="44"/>
        <v>0</v>
      </c>
      <c r="V206" s="6">
        <f>ROUND(SUMIF('JUNE (물량흐름)'!$C$13:$C$502,'Direct labour(직접노무비)'!C206,'JUNE (물량흐름)'!$N$13:$N$502),0)</f>
        <v>0</v>
      </c>
      <c r="W206" s="6">
        <f>ROUND(SUMIF('JUNE (물량흐름)'!$C$13:$C$502,'Direct labour(직접노무비)'!C206,'JUNE (물량흐름)'!$O$13:$O$502),0)</f>
        <v>0</v>
      </c>
      <c r="X206" s="6">
        <f>ROUND(SUMIF('JUNE (물량흐름)'!$C$13:$C$502,'Direct labour(직접노무비)'!C206,'JUNE (물량흐름)'!$P$13:$P$502),0)</f>
        <v>20</v>
      </c>
      <c r="Y206" s="6">
        <f t="shared" si="45"/>
        <v>20</v>
      </c>
      <c r="Z206" s="6">
        <f t="shared" si="46"/>
        <v>16</v>
      </c>
      <c r="AA206" s="6">
        <f t="shared" si="50"/>
        <v>249967</v>
      </c>
      <c r="AB206" s="389">
        <f t="shared" si="47"/>
        <v>0</v>
      </c>
      <c r="AC206" s="503">
        <f t="shared" si="39"/>
        <v>0</v>
      </c>
      <c r="AD206" s="389">
        <f t="shared" si="48"/>
        <v>0</v>
      </c>
    </row>
    <row r="207" spans="1:30" s="390" customFormat="1" ht="15" customHeight="1">
      <c r="A207" s="167">
        <v>197</v>
      </c>
      <c r="B207" s="267" t="str">
        <f>VLOOKUP(A207,'JUNE (물량흐름)'!$A$13:$C$502,2,0)</f>
        <v>INC</v>
      </c>
      <c r="C207" s="240">
        <f>VLOOKUP(A207,'JUNE (물량흐름)'!$A$13:$C$502,3,0)</f>
        <v>100003058</v>
      </c>
      <c r="D207" s="6">
        <f>VLOOKUP(C207,'WIP(재공품)'!$B$12:$E$493,4,0)</f>
        <v>7936.2499999999991</v>
      </c>
      <c r="E207" s="6">
        <f>IFERROR(VLOOKUP(C207,O.B.JUNE!$AA$7:$AG$448,2,0),0)</f>
        <v>0</v>
      </c>
      <c r="F207" s="6">
        <f>IFERROR(VLOOKUP(C207,O.B.JUNE!$AA$7:$AG$448,3,0),0)</f>
        <v>0</v>
      </c>
      <c r="G207" s="6">
        <f>IFERROR(VLOOKUP(C207,O.B.JUNE!$AA$7:$AD$448,4,0),0)</f>
        <v>28</v>
      </c>
      <c r="H207" s="6">
        <f t="shared" si="41"/>
        <v>28</v>
      </c>
      <c r="I207" s="6">
        <f>IFERROR(VLOOKUP(C207,O.B.JUNE!$AA$7:$AF$448,6,0),0)</f>
        <v>22</v>
      </c>
      <c r="J207" s="6"/>
      <c r="K207" s="6">
        <f>IFERROR(VLOOKUP(C207,O.B.JUNE!$AA$7:$AG$448,7,0),0)</f>
        <v>221023</v>
      </c>
      <c r="L207" s="6">
        <f>SUMIF('JUNE (물량흐름)'!$C$13:$C$502,'Direct labour(직접노무비)'!C207,'JUNE (물량흐름)'!$H$13:$H$502)+SUMIF('JUNE (물량흐름)'!$C$13:$C$502,'Direct labour(직접노무비)'!C207,'JUNE (물량흐름)'!$I$13:$I$502)</f>
        <v>0</v>
      </c>
      <c r="M207" s="6">
        <f t="shared" si="42"/>
        <v>0</v>
      </c>
      <c r="N207" s="6">
        <f t="shared" si="43"/>
        <v>0</v>
      </c>
      <c r="O207" s="6">
        <f t="shared" si="40"/>
        <v>0</v>
      </c>
      <c r="P207" s="6">
        <f>SUMIF('JUNE (물량흐름)'!$C$13:$C$502,C207,'JUNE (물량흐름)'!$T$13:$T$502)+SUMIF('JUNE (물량흐름)'!$C$13:$C$502,C207,'JUNE (물량흐름)'!$V$13:$V$502)+SUMIF('JUNE (물량흐름)'!$C$13:$C$502,C207,'JUNE (물량흐름)'!$U$13:$U$502)-SUMIF('JUNE (물량흐름)'!$C$13:$C$502,C207,'JUNE (물량흐름)'!$Y$13:$Y$502)</f>
        <v>28</v>
      </c>
      <c r="Q207" s="6">
        <f t="shared" si="49"/>
        <v>221023</v>
      </c>
      <c r="R207" s="6">
        <f>ROUND(IF(ISERROR(VLOOKUP(#REF!,'WIP(재공품)'!$B$12:$AB$38,13,0)),0,VLOOKUP(#REF!,'WIP(재공품)'!$B$12:$AB$38,13,0)),0)</f>
        <v>0</v>
      </c>
      <c r="S207" s="6">
        <f>IF(ISERROR(VLOOKUP(#REF!,'WIP(재공품)'!$B$12:$AB$38,10,0)),0,VLOOKUP(#REF!,'WIP(재공품)'!$B$12:$AB$38,10,0))</f>
        <v>0</v>
      </c>
      <c r="T207" s="6">
        <f>SUMIF('JUNE (물량흐름)'!$C$13:$C$502,'Direct labour(직접노무비)'!C207,'JUNE (물량흐름)'!$Y$13:$Y$502)</f>
        <v>0</v>
      </c>
      <c r="U207" s="6">
        <f t="shared" si="44"/>
        <v>0</v>
      </c>
      <c r="V207" s="6">
        <f>ROUND(SUMIF('JUNE (물량흐름)'!$C$13:$C$502,'Direct labour(직접노무비)'!C207,'JUNE (물량흐름)'!$N$13:$N$502),0)</f>
        <v>0</v>
      </c>
      <c r="W207" s="6">
        <f>ROUND(SUMIF('JUNE (물량흐름)'!$C$13:$C$502,'Direct labour(직접노무비)'!C207,'JUNE (물량흐름)'!$O$13:$O$502),0)</f>
        <v>0</v>
      </c>
      <c r="X207" s="6">
        <f>ROUND(SUMIF('JUNE (물량흐름)'!$C$13:$C$502,'Direct labour(직접노무비)'!C207,'JUNE (물량흐름)'!$P$13:$P$502),0)</f>
        <v>0</v>
      </c>
      <c r="Y207" s="6">
        <f t="shared" si="45"/>
        <v>0</v>
      </c>
      <c r="Z207" s="6">
        <f t="shared" si="46"/>
        <v>0</v>
      </c>
      <c r="AA207" s="6">
        <f t="shared" si="50"/>
        <v>0</v>
      </c>
      <c r="AB207" s="389">
        <f t="shared" si="47"/>
        <v>0</v>
      </c>
      <c r="AC207" s="503">
        <f t="shared" si="39"/>
        <v>0</v>
      </c>
      <c r="AD207" s="389">
        <f t="shared" si="48"/>
        <v>0</v>
      </c>
    </row>
    <row r="208" spans="1:30" s="390" customFormat="1" ht="15" customHeight="1">
      <c r="A208" s="167">
        <v>198</v>
      </c>
      <c r="B208" s="267" t="str">
        <f>VLOOKUP(A208,'JUNE (물량흐름)'!$A$13:$C$502,2,0)</f>
        <v>INC</v>
      </c>
      <c r="C208" s="240">
        <f>VLOOKUP(A208,'JUNE (물량흐름)'!$A$13:$C$502,3,0)</f>
        <v>100014739</v>
      </c>
      <c r="D208" s="6">
        <f>VLOOKUP(C208,'WIP(재공품)'!$B$12:$E$493,4,0)</f>
        <v>7936.2499999999991</v>
      </c>
      <c r="E208" s="6">
        <f>IFERROR(VLOOKUP(C208,O.B.JUNE!$AA$7:$AG$448,2,0),0)</f>
        <v>0</v>
      </c>
      <c r="F208" s="6">
        <f>IFERROR(VLOOKUP(C208,O.B.JUNE!$AA$7:$AG$448,3,0),0)</f>
        <v>0</v>
      </c>
      <c r="G208" s="6">
        <f>IFERROR(VLOOKUP(C208,O.B.JUNE!$AA$7:$AD$448,4,0),0)</f>
        <v>397</v>
      </c>
      <c r="H208" s="6">
        <f t="shared" si="41"/>
        <v>397</v>
      </c>
      <c r="I208" s="6">
        <f>IFERROR(VLOOKUP(C208,O.B.JUNE!$AA$7:$AF$448,6,0),0)</f>
        <v>318</v>
      </c>
      <c r="J208" s="6"/>
      <c r="K208" s="6">
        <f>IFERROR(VLOOKUP(C208,O.B.JUNE!$AA$7:$AG$448,7,0),0)</f>
        <v>3402897</v>
      </c>
      <c r="L208" s="6">
        <f>SUMIF('JUNE (물량흐름)'!$C$13:$C$502,'Direct labour(직접노무비)'!C208,'JUNE (물량흐름)'!$H$13:$H$502)+SUMIF('JUNE (물량흐름)'!$C$13:$C$502,'Direct labour(직접노무비)'!C208,'JUNE (물량흐름)'!$I$13:$I$502)</f>
        <v>0</v>
      </c>
      <c r="M208" s="6">
        <f t="shared" si="42"/>
        <v>0</v>
      </c>
      <c r="N208" s="6">
        <f t="shared" si="43"/>
        <v>0</v>
      </c>
      <c r="O208" s="6">
        <f t="shared" si="40"/>
        <v>0</v>
      </c>
      <c r="P208" s="6">
        <f>SUMIF('JUNE (물량흐름)'!$C$13:$C$502,C208,'JUNE (물량흐름)'!$T$13:$T$502)+SUMIF('JUNE (물량흐름)'!$C$13:$C$502,C208,'JUNE (물량흐름)'!$V$13:$V$502)+SUMIF('JUNE (물량흐름)'!$C$13:$C$502,C208,'JUNE (물량흐름)'!$U$13:$U$502)-SUMIF('JUNE (물량흐름)'!$C$13:$C$502,C208,'JUNE (물량흐름)'!$Y$13:$Y$502)</f>
        <v>397</v>
      </c>
      <c r="Q208" s="6">
        <f t="shared" si="49"/>
        <v>3402897</v>
      </c>
      <c r="R208" s="6">
        <f>ROUND(IF(ISERROR(VLOOKUP(#REF!,'WIP(재공품)'!$B$12:$AB$38,13,0)),0,VLOOKUP(#REF!,'WIP(재공품)'!$B$12:$AB$38,13,0)),0)</f>
        <v>0</v>
      </c>
      <c r="S208" s="6">
        <f>IF(ISERROR(VLOOKUP(#REF!,'WIP(재공품)'!$B$12:$AB$38,10,0)),0,VLOOKUP(#REF!,'WIP(재공품)'!$B$12:$AB$38,10,0))</f>
        <v>0</v>
      </c>
      <c r="T208" s="6">
        <f>SUMIF('JUNE (물량흐름)'!$C$13:$C$502,'Direct labour(직접노무비)'!C208,'JUNE (물량흐름)'!$Y$13:$Y$502)</f>
        <v>0</v>
      </c>
      <c r="U208" s="6">
        <f t="shared" si="44"/>
        <v>0</v>
      </c>
      <c r="V208" s="6">
        <f>ROUND(SUMIF('JUNE (물량흐름)'!$C$13:$C$502,'Direct labour(직접노무비)'!C208,'JUNE (물량흐름)'!$N$13:$N$502),0)</f>
        <v>0</v>
      </c>
      <c r="W208" s="6">
        <f>ROUND(SUMIF('JUNE (물량흐름)'!$C$13:$C$502,'Direct labour(직접노무비)'!C208,'JUNE (물량흐름)'!$O$13:$O$502),0)</f>
        <v>0</v>
      </c>
      <c r="X208" s="6">
        <f>ROUND(SUMIF('JUNE (물량흐름)'!$C$13:$C$502,'Direct labour(직접노무비)'!C208,'JUNE (물량흐름)'!$P$13:$P$502),0)</f>
        <v>0</v>
      </c>
      <c r="Y208" s="6">
        <f t="shared" si="45"/>
        <v>0</v>
      </c>
      <c r="Z208" s="6">
        <f t="shared" si="46"/>
        <v>0</v>
      </c>
      <c r="AA208" s="6">
        <f t="shared" si="50"/>
        <v>0</v>
      </c>
      <c r="AB208" s="389">
        <f t="shared" si="47"/>
        <v>0</v>
      </c>
      <c r="AC208" s="503">
        <f t="shared" si="39"/>
        <v>0</v>
      </c>
      <c r="AD208" s="389">
        <f t="shared" si="48"/>
        <v>0</v>
      </c>
    </row>
    <row r="209" spans="1:30" s="390" customFormat="1" ht="15" customHeight="1">
      <c r="A209" s="167">
        <v>199</v>
      </c>
      <c r="B209" s="267" t="str">
        <f>VLOOKUP(A209,'JUNE (물량흐름)'!$A$13:$C$502,2,0)</f>
        <v>J JILL</v>
      </c>
      <c r="C209" s="240" t="str">
        <f>VLOOKUP(A209,'JUNE (물량흐름)'!$A$13:$C$502,3,0)</f>
        <v>KPT128571</v>
      </c>
      <c r="D209" s="6">
        <f>VLOOKUP(C209,'WIP(재공품)'!$B$12:$E$493,4,0)</f>
        <v>7936.2499999999991</v>
      </c>
      <c r="E209" s="6">
        <f>IFERROR(VLOOKUP(C209,O.B.JUNE!$AA$7:$AG$448,2,0),0)</f>
        <v>627</v>
      </c>
      <c r="F209" s="6">
        <f>IFERROR(VLOOKUP(C209,O.B.JUNE!$AA$7:$AG$448,3,0),0)</f>
        <v>32</v>
      </c>
      <c r="G209" s="6">
        <f>IFERROR(VLOOKUP(C209,O.B.JUNE!$AA$7:$AD$448,4,0),0)</f>
        <v>594</v>
      </c>
      <c r="H209" s="6">
        <f t="shared" si="41"/>
        <v>1253</v>
      </c>
      <c r="I209" s="6">
        <f>IFERROR(VLOOKUP(C209,O.B.JUNE!$AA$7:$AF$448,6,0),0)</f>
        <v>617</v>
      </c>
      <c r="J209" s="6"/>
      <c r="K209" s="6">
        <f>IFERROR(VLOOKUP(C209,O.B.JUNE!$AA$7:$AG$448,7,0),0)</f>
        <v>8639980</v>
      </c>
      <c r="L209" s="6">
        <f>SUMIF('JUNE (물량흐름)'!$C$13:$C$502,'Direct labour(직접노무비)'!C209,'JUNE (물량흐름)'!$H$13:$H$502)+SUMIF('JUNE (물량흐름)'!$C$13:$C$502,'Direct labour(직접노무비)'!C209,'JUNE (물량흐름)'!$I$13:$I$502)</f>
        <v>0</v>
      </c>
      <c r="M209" s="6">
        <f t="shared" si="42"/>
        <v>0</v>
      </c>
      <c r="N209" s="6">
        <f t="shared" si="43"/>
        <v>0</v>
      </c>
      <c r="O209" s="6">
        <f t="shared" si="40"/>
        <v>0</v>
      </c>
      <c r="P209" s="6">
        <f>SUMIF('JUNE (물량흐름)'!$C$13:$C$502,C209,'JUNE (물량흐름)'!$T$13:$T$502)+SUMIF('JUNE (물량흐름)'!$C$13:$C$502,C209,'JUNE (물량흐름)'!$V$13:$V$502)+SUMIF('JUNE (물량흐름)'!$C$13:$C$502,C209,'JUNE (물량흐름)'!$U$13:$U$502)-SUMIF('JUNE (물량흐름)'!$C$13:$C$502,C209,'JUNE (물량흐름)'!$Y$13:$Y$502)</f>
        <v>0</v>
      </c>
      <c r="Q209" s="6">
        <f t="shared" si="49"/>
        <v>0</v>
      </c>
      <c r="R209" s="6">
        <f>ROUND(IF(ISERROR(VLOOKUP(#REF!,'WIP(재공품)'!$B$12:$AB$38,13,0)),0,VLOOKUP(#REF!,'WIP(재공품)'!$B$12:$AB$38,13,0)),0)</f>
        <v>0</v>
      </c>
      <c r="S209" s="6">
        <f>IF(ISERROR(VLOOKUP(#REF!,'WIP(재공품)'!$B$12:$AB$38,10,0)),0,VLOOKUP(#REF!,'WIP(재공품)'!$B$12:$AB$38,10,0))</f>
        <v>0</v>
      </c>
      <c r="T209" s="6">
        <f>SUMIF('JUNE (물량흐름)'!$C$13:$C$502,'Direct labour(직접노무비)'!C209,'JUNE (물량흐름)'!$Y$13:$Y$502)</f>
        <v>0</v>
      </c>
      <c r="U209" s="6">
        <f t="shared" si="44"/>
        <v>0</v>
      </c>
      <c r="V209" s="6">
        <f>ROUND(SUMIF('JUNE (물량흐름)'!$C$13:$C$502,'Direct labour(직접노무비)'!C209,'JUNE (물량흐름)'!$N$13:$N$502),0)</f>
        <v>531</v>
      </c>
      <c r="W209" s="6">
        <f>ROUND(SUMIF('JUNE (물량흐름)'!$C$13:$C$502,'Direct labour(직접노무비)'!C209,'JUNE (물량흐름)'!$O$13:$O$502),0)</f>
        <v>0</v>
      </c>
      <c r="X209" s="6">
        <f>ROUND(SUMIF('JUNE (물량흐름)'!$C$13:$C$502,'Direct labour(직접노무비)'!C209,'JUNE (물량흐름)'!$P$13:$P$502),0)</f>
        <v>722</v>
      </c>
      <c r="Y209" s="6">
        <f t="shared" si="45"/>
        <v>1253</v>
      </c>
      <c r="Z209" s="6">
        <f t="shared" si="46"/>
        <v>684</v>
      </c>
      <c r="AA209" s="6">
        <f t="shared" si="50"/>
        <v>8639980</v>
      </c>
      <c r="AB209" s="389">
        <f t="shared" si="47"/>
        <v>0</v>
      </c>
      <c r="AC209" s="503">
        <f t="shared" si="39"/>
        <v>0</v>
      </c>
      <c r="AD209" s="389">
        <f t="shared" si="48"/>
        <v>0</v>
      </c>
    </row>
    <row r="210" spans="1:30" s="390" customFormat="1" ht="15" customHeight="1">
      <c r="A210" s="167">
        <v>200</v>
      </c>
      <c r="B210" s="267" t="str">
        <f>VLOOKUP(A210,'JUNE (물량흐름)'!$A$13:$C$502,2,0)</f>
        <v>J JILL</v>
      </c>
      <c r="C210" s="240" t="str">
        <f>VLOOKUP(A210,'JUNE (물량흐름)'!$A$13:$C$502,3,0)</f>
        <v>KPT128581</v>
      </c>
      <c r="D210" s="6">
        <f>VLOOKUP(C210,'WIP(재공품)'!$B$12:$E$493,4,0)</f>
        <v>8163</v>
      </c>
      <c r="E210" s="6">
        <f>IFERROR(VLOOKUP(C210,O.B.JUNE!$AA$7:$AG$448,2,0),0)</f>
        <v>9</v>
      </c>
      <c r="F210" s="6">
        <f>IFERROR(VLOOKUP(C210,O.B.JUNE!$AA$7:$AG$448,3,0),0)</f>
        <v>57</v>
      </c>
      <c r="G210" s="6">
        <f>IFERROR(VLOOKUP(C210,O.B.JUNE!$AA$7:$AD$448,4,0),0)</f>
        <v>150</v>
      </c>
      <c r="H210" s="6">
        <f t="shared" si="41"/>
        <v>216</v>
      </c>
      <c r="I210" s="6">
        <f>IFERROR(VLOOKUP(C210,O.B.JUNE!$AA$7:$AF$448,6,0),0)</f>
        <v>150</v>
      </c>
      <c r="J210" s="6"/>
      <c r="K210" s="6">
        <f>IFERROR(VLOOKUP(C210,O.B.JUNE!$AA$7:$AG$448,7,0),0)</f>
        <v>1577437</v>
      </c>
      <c r="L210" s="6">
        <f>SUMIF('JUNE (물량흐름)'!$C$13:$C$502,'Direct labour(직접노무비)'!C210,'JUNE (물량흐름)'!$H$13:$H$502)+SUMIF('JUNE (물량흐름)'!$C$13:$C$502,'Direct labour(직접노무비)'!C210,'JUNE (물량흐름)'!$I$13:$I$502)</f>
        <v>0</v>
      </c>
      <c r="M210" s="6">
        <f t="shared" si="42"/>
        <v>0</v>
      </c>
      <c r="N210" s="6">
        <f t="shared" si="43"/>
        <v>0</v>
      </c>
      <c r="O210" s="6">
        <f t="shared" si="40"/>
        <v>0</v>
      </c>
      <c r="P210" s="6">
        <f>SUMIF('JUNE (물량흐름)'!$C$13:$C$502,C210,'JUNE (물량흐름)'!$T$13:$T$502)+SUMIF('JUNE (물량흐름)'!$C$13:$C$502,C210,'JUNE (물량흐름)'!$V$13:$V$502)+SUMIF('JUNE (물량흐름)'!$C$13:$C$502,C210,'JUNE (물량흐름)'!$U$13:$U$502)-SUMIF('JUNE (물량흐름)'!$C$13:$C$502,C210,'JUNE (물량흐름)'!$Y$13:$Y$502)</f>
        <v>0</v>
      </c>
      <c r="Q210" s="6">
        <f t="shared" si="49"/>
        <v>0</v>
      </c>
      <c r="R210" s="6">
        <f>ROUND(IF(ISERROR(VLOOKUP(#REF!,'WIP(재공품)'!$B$12:$AB$38,13,0)),0,VLOOKUP(#REF!,'WIP(재공품)'!$B$12:$AB$38,13,0)),0)</f>
        <v>0</v>
      </c>
      <c r="S210" s="6">
        <f>IF(ISERROR(VLOOKUP(#REF!,'WIP(재공품)'!$B$12:$AB$38,10,0)),0,VLOOKUP(#REF!,'WIP(재공품)'!$B$12:$AB$38,10,0))</f>
        <v>0</v>
      </c>
      <c r="T210" s="6">
        <f>SUMIF('JUNE (물량흐름)'!$C$13:$C$502,'Direct labour(직접노무비)'!C210,'JUNE (물량흐름)'!$Y$13:$Y$502)</f>
        <v>0</v>
      </c>
      <c r="U210" s="6">
        <f t="shared" si="44"/>
        <v>0</v>
      </c>
      <c r="V210" s="6">
        <f>ROUND(SUMIF('JUNE (물량흐름)'!$C$13:$C$502,'Direct labour(직접노무비)'!C210,'JUNE (물량흐름)'!$N$13:$N$502),0)</f>
        <v>9</v>
      </c>
      <c r="W210" s="6">
        <f>ROUND(SUMIF('JUNE (물량흐름)'!$C$13:$C$502,'Direct labour(직접노무비)'!C210,'JUNE (물량흐름)'!$O$13:$O$502),0)</f>
        <v>57</v>
      </c>
      <c r="X210" s="6">
        <f>ROUND(SUMIF('JUNE (물량흐름)'!$C$13:$C$502,'Direct labour(직접노무비)'!C210,'JUNE (물량흐름)'!$P$13:$P$502),0)</f>
        <v>150</v>
      </c>
      <c r="Y210" s="6">
        <f t="shared" si="45"/>
        <v>216</v>
      </c>
      <c r="Z210" s="6">
        <f t="shared" si="46"/>
        <v>150</v>
      </c>
      <c r="AA210" s="6">
        <f t="shared" si="50"/>
        <v>1577437</v>
      </c>
      <c r="AB210" s="389">
        <f t="shared" si="47"/>
        <v>0</v>
      </c>
      <c r="AC210" s="503">
        <f t="shared" si="39"/>
        <v>0</v>
      </c>
      <c r="AD210" s="389">
        <f t="shared" si="48"/>
        <v>0</v>
      </c>
    </row>
    <row r="211" spans="1:30" s="390" customFormat="1" ht="15" customHeight="1">
      <c r="A211" s="167">
        <v>201</v>
      </c>
      <c r="B211" s="267" t="str">
        <f>VLOOKUP(A211,'JUNE (물량흐름)'!$A$13:$C$502,2,0)</f>
        <v>J JILL</v>
      </c>
      <c r="C211" s="240" t="str">
        <f>VLOOKUP(A211,'JUNE (물량흐름)'!$A$13:$C$502,3,0)</f>
        <v>KTP115221</v>
      </c>
      <c r="D211" s="6">
        <f>VLOOKUP(C211,'WIP(재공품)'!$B$12:$E$493,4,0)</f>
        <v>7936.2499999999991</v>
      </c>
      <c r="E211" s="6">
        <f>IFERROR(VLOOKUP(C211,O.B.JUNE!$AA$7:$AG$448,2,0),0)</f>
        <v>0</v>
      </c>
      <c r="F211" s="6">
        <f>IFERROR(VLOOKUP(C211,O.B.JUNE!$AA$7:$AG$448,3,0),0)</f>
        <v>0</v>
      </c>
      <c r="G211" s="6">
        <f>IFERROR(VLOOKUP(C211,O.B.JUNE!$AA$7:$AD$448,4,0),0)</f>
        <v>899</v>
      </c>
      <c r="H211" s="6">
        <f t="shared" si="41"/>
        <v>899</v>
      </c>
      <c r="I211" s="6">
        <f>IFERROR(VLOOKUP(C211,O.B.JUNE!$AA$7:$AF$448,6,0),0)</f>
        <v>719</v>
      </c>
      <c r="J211" s="6"/>
      <c r="K211" s="6">
        <f>IFERROR(VLOOKUP(C211,O.B.JUNE!$AA$7:$AG$448,7,0),0)</f>
        <v>9472452</v>
      </c>
      <c r="L211" s="6">
        <f>SUMIF('JUNE (물량흐름)'!$C$13:$C$502,'Direct labour(직접노무비)'!C211,'JUNE (물량흐름)'!$H$13:$H$502)+SUMIF('JUNE (물량흐름)'!$C$13:$C$502,'Direct labour(직접노무비)'!C211,'JUNE (물량흐름)'!$I$13:$I$502)</f>
        <v>0</v>
      </c>
      <c r="M211" s="6">
        <f t="shared" si="42"/>
        <v>0</v>
      </c>
      <c r="N211" s="6">
        <f t="shared" si="43"/>
        <v>0</v>
      </c>
      <c r="O211" s="6">
        <f t="shared" si="40"/>
        <v>0</v>
      </c>
      <c r="P211" s="6">
        <f>SUMIF('JUNE (물량흐름)'!$C$13:$C$502,C211,'JUNE (물량흐름)'!$T$13:$T$502)+SUMIF('JUNE (물량흐름)'!$C$13:$C$502,C211,'JUNE (물량흐름)'!$V$13:$V$502)+SUMIF('JUNE (물량흐름)'!$C$13:$C$502,C211,'JUNE (물량흐름)'!$U$13:$U$502)-SUMIF('JUNE (물량흐름)'!$C$13:$C$502,C211,'JUNE (물량흐름)'!$Y$13:$Y$502)</f>
        <v>899</v>
      </c>
      <c r="Q211" s="6">
        <f t="shared" si="49"/>
        <v>9472452</v>
      </c>
      <c r="R211" s="6">
        <f>ROUND(IF(ISERROR(VLOOKUP(#REF!,'WIP(재공품)'!$B$12:$AB$38,13,0)),0,VLOOKUP(#REF!,'WIP(재공품)'!$B$12:$AB$38,13,0)),0)</f>
        <v>0</v>
      </c>
      <c r="S211" s="6">
        <f>IF(ISERROR(VLOOKUP(#REF!,'WIP(재공품)'!$B$12:$AB$38,10,0)),0,VLOOKUP(#REF!,'WIP(재공품)'!$B$12:$AB$38,10,0))</f>
        <v>0</v>
      </c>
      <c r="T211" s="6">
        <f>SUMIF('JUNE (물량흐름)'!$C$13:$C$502,'Direct labour(직접노무비)'!C211,'JUNE (물량흐름)'!$Y$13:$Y$502)</f>
        <v>0</v>
      </c>
      <c r="U211" s="6">
        <f t="shared" si="44"/>
        <v>0</v>
      </c>
      <c r="V211" s="6">
        <f>ROUND(SUMIF('JUNE (물량흐름)'!$C$13:$C$502,'Direct labour(직접노무비)'!C211,'JUNE (물량흐름)'!$N$13:$N$502),0)</f>
        <v>0</v>
      </c>
      <c r="W211" s="6">
        <f>ROUND(SUMIF('JUNE (물량흐름)'!$C$13:$C$502,'Direct labour(직접노무비)'!C211,'JUNE (물량흐름)'!$O$13:$O$502),0)</f>
        <v>0</v>
      </c>
      <c r="X211" s="6">
        <f>ROUND(SUMIF('JUNE (물량흐름)'!$C$13:$C$502,'Direct labour(직접노무비)'!C211,'JUNE (물량흐름)'!$P$13:$P$502),0)</f>
        <v>0</v>
      </c>
      <c r="Y211" s="6">
        <f t="shared" si="45"/>
        <v>0</v>
      </c>
      <c r="Z211" s="6">
        <f t="shared" si="46"/>
        <v>0</v>
      </c>
      <c r="AA211" s="6">
        <f t="shared" si="50"/>
        <v>0</v>
      </c>
      <c r="AB211" s="389">
        <f t="shared" si="47"/>
        <v>0</v>
      </c>
      <c r="AC211" s="503">
        <f t="shared" si="39"/>
        <v>0</v>
      </c>
      <c r="AD211" s="389">
        <f t="shared" si="48"/>
        <v>0</v>
      </c>
    </row>
    <row r="212" spans="1:30" s="390" customFormat="1" ht="15" customHeight="1">
      <c r="A212" s="167">
        <v>202</v>
      </c>
      <c r="B212" s="267" t="str">
        <f>VLOOKUP(A212,'JUNE (물량흐름)'!$A$13:$C$502,2,0)</f>
        <v>TALBOTS</v>
      </c>
      <c r="C212" s="240">
        <f>VLOOKUP(A212,'JUNE (물량흐름)'!$A$13:$C$502,3,0)</f>
        <v>181034126</v>
      </c>
      <c r="D212" s="6">
        <f>VLOOKUP(C212,'WIP(재공품)'!$B$12:$E$493,4,0)</f>
        <v>8163</v>
      </c>
      <c r="E212" s="6">
        <f>IFERROR(VLOOKUP(C212,O.B.JUNE!$AA$7:$AG$448,2,0),0)</f>
        <v>0</v>
      </c>
      <c r="F212" s="6">
        <f>IFERROR(VLOOKUP(C212,O.B.JUNE!$AA$7:$AG$448,3,0),0)</f>
        <v>0</v>
      </c>
      <c r="G212" s="6">
        <f>IFERROR(VLOOKUP(C212,O.B.JUNE!$AA$7:$AD$448,4,0),0)</f>
        <v>36</v>
      </c>
      <c r="H212" s="6">
        <f t="shared" si="41"/>
        <v>36</v>
      </c>
      <c r="I212" s="6">
        <f>IFERROR(VLOOKUP(C212,O.B.JUNE!$AA$7:$AF$448,6,0),0)</f>
        <v>29</v>
      </c>
      <c r="J212" s="6"/>
      <c r="K212" s="6">
        <f>IFERROR(VLOOKUP(C212,O.B.JUNE!$AA$7:$AG$448,7,0),0)</f>
        <v>381220</v>
      </c>
      <c r="L212" s="6">
        <f>SUMIF('JUNE (물량흐름)'!$C$13:$C$502,'Direct labour(직접노무비)'!C212,'JUNE (물량흐름)'!$H$13:$H$502)+SUMIF('JUNE (물량흐름)'!$C$13:$C$502,'Direct labour(직접노무비)'!C212,'JUNE (물량흐름)'!$I$13:$I$502)</f>
        <v>0</v>
      </c>
      <c r="M212" s="6">
        <f t="shared" si="42"/>
        <v>0</v>
      </c>
      <c r="N212" s="6">
        <f t="shared" si="43"/>
        <v>0</v>
      </c>
      <c r="O212" s="6">
        <f t="shared" si="40"/>
        <v>0</v>
      </c>
      <c r="P212" s="6">
        <f>SUMIF('JUNE (물량흐름)'!$C$13:$C$502,C212,'JUNE (물량흐름)'!$T$13:$T$502)+SUMIF('JUNE (물량흐름)'!$C$13:$C$502,C212,'JUNE (물량흐름)'!$V$13:$V$502)+SUMIF('JUNE (물량흐름)'!$C$13:$C$502,C212,'JUNE (물량흐름)'!$U$13:$U$502)-SUMIF('JUNE (물량흐름)'!$C$13:$C$502,C212,'JUNE (물량흐름)'!$Y$13:$Y$502)</f>
        <v>36</v>
      </c>
      <c r="Q212" s="6">
        <f t="shared" si="49"/>
        <v>381220</v>
      </c>
      <c r="R212" s="6">
        <f>ROUND(IF(ISERROR(VLOOKUP(#REF!,'WIP(재공품)'!$B$12:$AB$38,13,0)),0,VLOOKUP(#REF!,'WIP(재공품)'!$B$12:$AB$38,13,0)),0)</f>
        <v>0</v>
      </c>
      <c r="S212" s="6">
        <f>IF(ISERROR(VLOOKUP(#REF!,'WIP(재공품)'!$B$12:$AB$38,10,0)),0,VLOOKUP(#REF!,'WIP(재공품)'!$B$12:$AB$38,10,0))</f>
        <v>0</v>
      </c>
      <c r="T212" s="6">
        <f>SUMIF('JUNE (물량흐름)'!$C$13:$C$502,'Direct labour(직접노무비)'!C212,'JUNE (물량흐름)'!$Y$13:$Y$502)</f>
        <v>0</v>
      </c>
      <c r="U212" s="6">
        <f t="shared" si="44"/>
        <v>0</v>
      </c>
      <c r="V212" s="6">
        <f>ROUND(SUMIF('JUNE (물량흐름)'!$C$13:$C$502,'Direct labour(직접노무비)'!C212,'JUNE (물량흐름)'!$N$13:$N$502),0)</f>
        <v>0</v>
      </c>
      <c r="W212" s="6">
        <f>ROUND(SUMIF('JUNE (물량흐름)'!$C$13:$C$502,'Direct labour(직접노무비)'!C212,'JUNE (물량흐름)'!$O$13:$O$502),0)</f>
        <v>0</v>
      </c>
      <c r="X212" s="6">
        <f>ROUND(SUMIF('JUNE (물량흐름)'!$C$13:$C$502,'Direct labour(직접노무비)'!C212,'JUNE (물량흐름)'!$P$13:$P$502),0)</f>
        <v>0</v>
      </c>
      <c r="Y212" s="6">
        <f t="shared" si="45"/>
        <v>0</v>
      </c>
      <c r="Z212" s="6">
        <f t="shared" si="46"/>
        <v>0</v>
      </c>
      <c r="AA212" s="6">
        <f t="shared" si="50"/>
        <v>0</v>
      </c>
      <c r="AB212" s="389">
        <f t="shared" si="47"/>
        <v>0</v>
      </c>
      <c r="AC212" s="503">
        <f t="shared" si="39"/>
        <v>0</v>
      </c>
      <c r="AD212" s="389">
        <f t="shared" si="48"/>
        <v>0</v>
      </c>
    </row>
    <row r="213" spans="1:30" s="390" customFormat="1" ht="15" customHeight="1">
      <c r="A213" s="167">
        <v>203</v>
      </c>
      <c r="B213" s="267" t="str">
        <f>VLOOKUP(A213,'JUNE (물량흐름)'!$A$13:$C$502,2,0)</f>
        <v>TALBOTS</v>
      </c>
      <c r="C213" s="240">
        <f>VLOOKUP(A213,'JUNE (물량흐름)'!$A$13:$C$502,3,0)</f>
        <v>181034892</v>
      </c>
      <c r="D213" s="6">
        <f>VLOOKUP(C213,'WIP(재공품)'!$B$12:$E$493,4,0)</f>
        <v>52152.499999999993</v>
      </c>
      <c r="E213" s="6">
        <f>IFERROR(VLOOKUP(C213,O.B.JUNE!$AA$7:$AG$448,2,0),0)</f>
        <v>0</v>
      </c>
      <c r="F213" s="6">
        <f>IFERROR(VLOOKUP(C213,O.B.JUNE!$AA$7:$AG$448,3,0),0)</f>
        <v>46</v>
      </c>
      <c r="G213" s="6">
        <f>IFERROR(VLOOKUP(C213,O.B.JUNE!$AA$7:$AD$448,4,0),0)</f>
        <v>22</v>
      </c>
      <c r="H213" s="6">
        <f t="shared" si="41"/>
        <v>68</v>
      </c>
      <c r="I213" s="6">
        <f>IFERROR(VLOOKUP(C213,O.B.JUNE!$AA$7:$AF$448,6,0),0)</f>
        <v>41</v>
      </c>
      <c r="J213" s="6"/>
      <c r="K213" s="6">
        <f>IFERROR(VLOOKUP(C213,O.B.JUNE!$AA$7:$AG$448,7,0),0)</f>
        <v>1177928</v>
      </c>
      <c r="L213" s="6">
        <f>SUMIF('JUNE (물량흐름)'!$C$13:$C$502,'Direct labour(직접노무비)'!C213,'JUNE (물량흐름)'!$H$13:$H$502)+SUMIF('JUNE (물량흐름)'!$C$13:$C$502,'Direct labour(직접노무비)'!C213,'JUNE (물량흐름)'!$I$13:$I$502)</f>
        <v>0</v>
      </c>
      <c r="M213" s="6">
        <f t="shared" si="42"/>
        <v>0</v>
      </c>
      <c r="N213" s="6">
        <f t="shared" si="43"/>
        <v>0</v>
      </c>
      <c r="O213" s="6">
        <f t="shared" si="40"/>
        <v>0</v>
      </c>
      <c r="P213" s="6">
        <f>SUMIF('JUNE (물량흐름)'!$C$13:$C$502,C213,'JUNE (물량흐름)'!$T$13:$T$502)+SUMIF('JUNE (물량흐름)'!$C$13:$C$502,C213,'JUNE (물량흐름)'!$V$13:$V$502)+SUMIF('JUNE (물량흐름)'!$C$13:$C$502,C213,'JUNE (물량흐름)'!$U$13:$U$502)-SUMIF('JUNE (물량흐름)'!$C$13:$C$502,C213,'JUNE (물량흐름)'!$Y$13:$Y$502)</f>
        <v>68</v>
      </c>
      <c r="Q213" s="6">
        <f t="shared" si="49"/>
        <v>1177928</v>
      </c>
      <c r="R213" s="6">
        <f>ROUND(IF(ISERROR(VLOOKUP(#REF!,'WIP(재공품)'!$B$12:$AB$38,13,0)),0,VLOOKUP(#REF!,'WIP(재공품)'!$B$12:$AB$38,13,0)),0)</f>
        <v>0</v>
      </c>
      <c r="S213" s="6">
        <f>IF(ISERROR(VLOOKUP(#REF!,'WIP(재공품)'!$B$12:$AB$38,10,0)),0,VLOOKUP(#REF!,'WIP(재공품)'!$B$12:$AB$38,10,0))</f>
        <v>0</v>
      </c>
      <c r="T213" s="6">
        <f>SUMIF('JUNE (물량흐름)'!$C$13:$C$502,'Direct labour(직접노무비)'!C213,'JUNE (물량흐름)'!$Y$13:$Y$502)</f>
        <v>0</v>
      </c>
      <c r="U213" s="6">
        <f t="shared" si="44"/>
        <v>0</v>
      </c>
      <c r="V213" s="6">
        <f>ROUND(SUMIF('JUNE (물량흐름)'!$C$13:$C$502,'Direct labour(직접노무비)'!C213,'JUNE (물량흐름)'!$N$13:$N$502),0)</f>
        <v>0</v>
      </c>
      <c r="W213" s="6">
        <f>ROUND(SUMIF('JUNE (물량흐름)'!$C$13:$C$502,'Direct labour(직접노무비)'!C213,'JUNE (물량흐름)'!$O$13:$O$502),0)</f>
        <v>0</v>
      </c>
      <c r="X213" s="6">
        <f>ROUND(SUMIF('JUNE (물량흐름)'!$C$13:$C$502,'Direct labour(직접노무비)'!C213,'JUNE (물량흐름)'!$P$13:$P$502),0)</f>
        <v>0</v>
      </c>
      <c r="Y213" s="6">
        <f t="shared" si="45"/>
        <v>0</v>
      </c>
      <c r="Z213" s="6">
        <f t="shared" si="46"/>
        <v>0</v>
      </c>
      <c r="AA213" s="6">
        <f t="shared" si="50"/>
        <v>0</v>
      </c>
      <c r="AB213" s="389">
        <f t="shared" si="47"/>
        <v>0</v>
      </c>
      <c r="AC213" s="503">
        <f t="shared" si="39"/>
        <v>0</v>
      </c>
      <c r="AD213" s="389">
        <f t="shared" si="48"/>
        <v>0</v>
      </c>
    </row>
    <row r="214" spans="1:30" s="390" customFormat="1" ht="15" customHeight="1">
      <c r="A214" s="167">
        <v>204</v>
      </c>
      <c r="B214" s="267" t="str">
        <f>VLOOKUP(A214,'JUNE (물량흐름)'!$A$13:$C$502,2,0)</f>
        <v>ANN TAYLOR</v>
      </c>
      <c r="C214" s="240">
        <f>VLOOKUP(A214,'JUNE (물량흐름)'!$A$13:$C$502,3,0)</f>
        <v>466852</v>
      </c>
      <c r="D214" s="6">
        <f>VLOOKUP(C214,'WIP(재공품)'!$B$12:$E$493,4,0)</f>
        <v>7936.2499999999991</v>
      </c>
      <c r="E214" s="6">
        <f>IFERROR(VLOOKUP(C214,O.B.JUNE!$AA$7:$AG$448,2,0),0)</f>
        <v>0</v>
      </c>
      <c r="F214" s="6">
        <f>IFERROR(VLOOKUP(C214,O.B.JUNE!$AA$7:$AG$448,3,0),0)</f>
        <v>0</v>
      </c>
      <c r="G214" s="6">
        <f>IFERROR(VLOOKUP(C214,O.B.JUNE!$AA$7:$AD$448,4,0),0)</f>
        <v>418</v>
      </c>
      <c r="H214" s="6">
        <f t="shared" si="41"/>
        <v>418</v>
      </c>
      <c r="I214" s="6">
        <f>IFERROR(VLOOKUP(C214,O.B.JUNE!$AA$7:$AF$448,6,0),0)</f>
        <v>334</v>
      </c>
      <c r="J214" s="6"/>
      <c r="K214" s="6">
        <f>IFERROR(VLOOKUP(C214,O.B.JUNE!$AA$7:$AG$448,7,0),0)</f>
        <v>4799827</v>
      </c>
      <c r="L214" s="6">
        <f>SUMIF('JUNE (물량흐름)'!$C$13:$C$502,'Direct labour(직접노무비)'!C214,'JUNE (물량흐름)'!$H$13:$H$502)+SUMIF('JUNE (물량흐름)'!$C$13:$C$502,'Direct labour(직접노무비)'!C214,'JUNE (물량흐름)'!$I$13:$I$502)</f>
        <v>0</v>
      </c>
      <c r="M214" s="6">
        <f t="shared" si="42"/>
        <v>0</v>
      </c>
      <c r="N214" s="6">
        <f t="shared" si="43"/>
        <v>0</v>
      </c>
      <c r="O214" s="6">
        <f t="shared" si="40"/>
        <v>0</v>
      </c>
      <c r="P214" s="6">
        <f>SUMIF('JUNE (물량흐름)'!$C$13:$C$502,C214,'JUNE (물량흐름)'!$T$13:$T$502)+SUMIF('JUNE (물량흐름)'!$C$13:$C$502,C214,'JUNE (물량흐름)'!$V$13:$V$502)+SUMIF('JUNE (물량흐름)'!$C$13:$C$502,C214,'JUNE (물량흐름)'!$U$13:$U$502)-SUMIF('JUNE (물량흐름)'!$C$13:$C$502,C214,'JUNE (물량흐름)'!$Y$13:$Y$502)</f>
        <v>0</v>
      </c>
      <c r="Q214" s="6">
        <f t="shared" si="49"/>
        <v>0</v>
      </c>
      <c r="R214" s="6">
        <f>ROUND(IF(ISERROR(VLOOKUP(#REF!,'WIP(재공품)'!$B$12:$AB$38,13,0)),0,VLOOKUP(#REF!,'WIP(재공품)'!$B$12:$AB$38,13,0)),0)</f>
        <v>0</v>
      </c>
      <c r="S214" s="6">
        <f>IF(ISERROR(VLOOKUP(#REF!,'WIP(재공품)'!$B$12:$AB$38,10,0)),0,VLOOKUP(#REF!,'WIP(재공품)'!$B$12:$AB$38,10,0))</f>
        <v>0</v>
      </c>
      <c r="T214" s="6">
        <f>SUMIF('JUNE (물량흐름)'!$C$13:$C$502,'Direct labour(직접노무비)'!C214,'JUNE (물량흐름)'!$Y$13:$Y$502)</f>
        <v>0</v>
      </c>
      <c r="U214" s="6">
        <f t="shared" si="44"/>
        <v>0</v>
      </c>
      <c r="V214" s="6">
        <f>ROUND(SUMIF('JUNE (물량흐름)'!$C$13:$C$502,'Direct labour(직접노무비)'!C214,'JUNE (물량흐름)'!$N$13:$N$502),0)</f>
        <v>1</v>
      </c>
      <c r="W214" s="6">
        <f>ROUND(SUMIF('JUNE (물량흐름)'!$C$13:$C$502,'Direct labour(직접노무비)'!C214,'JUNE (물량흐름)'!$O$13:$O$502),0)</f>
        <v>193</v>
      </c>
      <c r="X214" s="6">
        <f>ROUND(SUMIF('JUNE (물량흐름)'!$C$13:$C$502,'Direct labour(직접노무비)'!C214,'JUNE (물량흐름)'!$P$13:$P$502),0)</f>
        <v>224</v>
      </c>
      <c r="Y214" s="6">
        <f t="shared" si="45"/>
        <v>418</v>
      </c>
      <c r="Z214" s="6">
        <f t="shared" si="46"/>
        <v>276</v>
      </c>
      <c r="AA214" s="6">
        <f t="shared" si="50"/>
        <v>4799827</v>
      </c>
      <c r="AB214" s="389">
        <f t="shared" si="47"/>
        <v>0</v>
      </c>
      <c r="AC214" s="503">
        <f t="shared" si="39"/>
        <v>0</v>
      </c>
      <c r="AD214" s="389">
        <f t="shared" si="48"/>
        <v>0</v>
      </c>
    </row>
    <row r="215" spans="1:30" s="390" customFormat="1" ht="15" customHeight="1">
      <c r="A215" s="167">
        <v>205</v>
      </c>
      <c r="B215" s="267" t="str">
        <f>VLOOKUP(A215,'JUNE (물량흐름)'!$A$13:$C$502,2,0)</f>
        <v>NORDSTROM</v>
      </c>
      <c r="C215" s="240" t="str">
        <f>VLOOKUP(A215,'JUNE (물량흐름)'!$A$13:$C$502,3,0)</f>
        <v>BP381295MI</v>
      </c>
      <c r="D215" s="6">
        <f>VLOOKUP(C215,'WIP(재공품)'!$B$12:$E$493,4,0)</f>
        <v>27210</v>
      </c>
      <c r="E215" s="6">
        <f>IFERROR(VLOOKUP(C215,O.B.JUNE!$AA$7:$AG$448,2,0),0)</f>
        <v>0</v>
      </c>
      <c r="F215" s="6">
        <f>IFERROR(VLOOKUP(C215,O.B.JUNE!$AA$7:$AG$448,3,0),0)</f>
        <v>0</v>
      </c>
      <c r="G215" s="6">
        <f>IFERROR(VLOOKUP(C215,O.B.JUNE!$AA$7:$AD$448,4,0),0)</f>
        <v>70</v>
      </c>
      <c r="H215" s="6">
        <f t="shared" si="41"/>
        <v>70</v>
      </c>
      <c r="I215" s="6">
        <f>IFERROR(VLOOKUP(C215,O.B.JUNE!$AA$7:$AF$448,6,0),0)</f>
        <v>56</v>
      </c>
      <c r="J215" s="6"/>
      <c r="K215" s="6">
        <f>IFERROR(VLOOKUP(C215,O.B.JUNE!$AA$7:$AG$448,7,0),0)</f>
        <v>1208720</v>
      </c>
      <c r="L215" s="6">
        <f>SUMIF('JUNE (물량흐름)'!$C$13:$C$502,'Direct labour(직접노무비)'!C215,'JUNE (물량흐름)'!$H$13:$H$502)+SUMIF('JUNE (물량흐름)'!$C$13:$C$502,'Direct labour(직접노무비)'!C215,'JUNE (물량흐름)'!$I$13:$I$502)</f>
        <v>0</v>
      </c>
      <c r="M215" s="6">
        <f t="shared" si="42"/>
        <v>0</v>
      </c>
      <c r="N215" s="6">
        <f t="shared" si="43"/>
        <v>0</v>
      </c>
      <c r="O215" s="6">
        <f t="shared" si="40"/>
        <v>0</v>
      </c>
      <c r="P215" s="6">
        <f>SUMIF('JUNE (물량흐름)'!$C$13:$C$502,C215,'JUNE (물량흐름)'!$T$13:$T$502)+SUMIF('JUNE (물량흐름)'!$C$13:$C$502,C215,'JUNE (물량흐름)'!$V$13:$V$502)+SUMIF('JUNE (물량흐름)'!$C$13:$C$502,C215,'JUNE (물량흐름)'!$U$13:$U$502)-SUMIF('JUNE (물량흐름)'!$C$13:$C$502,C215,'JUNE (물량흐름)'!$Y$13:$Y$502)</f>
        <v>70</v>
      </c>
      <c r="Q215" s="6">
        <f t="shared" si="49"/>
        <v>1208720</v>
      </c>
      <c r="R215" s="6">
        <f>ROUND(IF(ISERROR(VLOOKUP(#REF!,'WIP(재공품)'!$B$12:$AB$38,13,0)),0,VLOOKUP(#REF!,'WIP(재공품)'!$B$12:$AB$38,13,0)),0)</f>
        <v>0</v>
      </c>
      <c r="S215" s="6">
        <f>IF(ISERROR(VLOOKUP(#REF!,'WIP(재공품)'!$B$12:$AB$38,10,0)),0,VLOOKUP(#REF!,'WIP(재공품)'!$B$12:$AB$38,10,0))</f>
        <v>0</v>
      </c>
      <c r="T215" s="6">
        <f>SUMIF('JUNE (물량흐름)'!$C$13:$C$502,'Direct labour(직접노무비)'!C215,'JUNE (물량흐름)'!$Y$13:$Y$502)</f>
        <v>0</v>
      </c>
      <c r="U215" s="6">
        <f t="shared" si="44"/>
        <v>0</v>
      </c>
      <c r="V215" s="6">
        <f>ROUND(SUMIF('JUNE (물량흐름)'!$C$13:$C$502,'Direct labour(직접노무비)'!C215,'JUNE (물량흐름)'!$N$13:$N$502),0)</f>
        <v>0</v>
      </c>
      <c r="W215" s="6">
        <f>ROUND(SUMIF('JUNE (물량흐름)'!$C$13:$C$502,'Direct labour(직접노무비)'!C215,'JUNE (물량흐름)'!$O$13:$O$502),0)</f>
        <v>0</v>
      </c>
      <c r="X215" s="6">
        <f>ROUND(SUMIF('JUNE (물량흐름)'!$C$13:$C$502,'Direct labour(직접노무비)'!C215,'JUNE (물량흐름)'!$P$13:$P$502),0)</f>
        <v>0</v>
      </c>
      <c r="Y215" s="6">
        <f t="shared" si="45"/>
        <v>0</v>
      </c>
      <c r="Z215" s="6">
        <f t="shared" si="46"/>
        <v>0</v>
      </c>
      <c r="AA215" s="6">
        <f t="shared" si="50"/>
        <v>0</v>
      </c>
      <c r="AB215" s="389">
        <f t="shared" si="47"/>
        <v>0</v>
      </c>
      <c r="AC215" s="503">
        <f t="shared" si="39"/>
        <v>0</v>
      </c>
      <c r="AD215" s="389">
        <f t="shared" si="48"/>
        <v>0</v>
      </c>
    </row>
    <row r="216" spans="1:30" s="390" customFormat="1" ht="15" customHeight="1">
      <c r="A216" s="167">
        <v>206</v>
      </c>
      <c r="B216" s="267" t="str">
        <f>VLOOKUP(A216,'JUNE (물량흐름)'!$A$13:$C$502,2,0)</f>
        <v>ALFANI</v>
      </c>
      <c r="C216" s="240">
        <f>VLOOKUP(A216,'JUNE (물량흐름)'!$A$13:$C$502,3,0)</f>
        <v>100008598</v>
      </c>
      <c r="D216" s="6">
        <f>VLOOKUP(C216,'WIP(재공품)'!$B$12:$E$493,4,0)</f>
        <v>7936.2499999999991</v>
      </c>
      <c r="E216" s="6">
        <f>IFERROR(VLOOKUP(C216,O.B.JUNE!$AA$7:$AG$448,2,0),0)</f>
        <v>0</v>
      </c>
      <c r="F216" s="6">
        <f>IFERROR(VLOOKUP(C216,O.B.JUNE!$AA$7:$AG$448,3,0),0)</f>
        <v>0</v>
      </c>
      <c r="G216" s="6">
        <f>IFERROR(VLOOKUP(C216,O.B.JUNE!$AA$7:$AD$448,4,0),0)</f>
        <v>91</v>
      </c>
      <c r="H216" s="6">
        <f t="shared" si="41"/>
        <v>91</v>
      </c>
      <c r="I216" s="6">
        <f>IFERROR(VLOOKUP(C216,O.B.JUNE!$AA$7:$AF$448,6,0),0)</f>
        <v>73</v>
      </c>
      <c r="J216" s="6"/>
      <c r="K216" s="6">
        <f>IFERROR(VLOOKUP(C216,O.B.JUNE!$AA$7:$AG$448,7,0),0)</f>
        <v>742631</v>
      </c>
      <c r="L216" s="6">
        <f>SUMIF('JUNE (물량흐름)'!$C$13:$C$502,'Direct labour(직접노무비)'!C216,'JUNE (물량흐름)'!$H$13:$H$502)+SUMIF('JUNE (물량흐름)'!$C$13:$C$502,'Direct labour(직접노무비)'!C216,'JUNE (물량흐름)'!$I$13:$I$502)</f>
        <v>0</v>
      </c>
      <c r="M216" s="6">
        <f t="shared" si="42"/>
        <v>0</v>
      </c>
      <c r="N216" s="6">
        <f t="shared" si="43"/>
        <v>0</v>
      </c>
      <c r="O216" s="6">
        <f t="shared" si="40"/>
        <v>0</v>
      </c>
      <c r="P216" s="6">
        <f>SUMIF('JUNE (물량흐름)'!$C$13:$C$502,C216,'JUNE (물량흐름)'!$T$13:$T$502)+SUMIF('JUNE (물량흐름)'!$C$13:$C$502,C216,'JUNE (물량흐름)'!$V$13:$V$502)+SUMIF('JUNE (물량흐름)'!$C$13:$C$502,C216,'JUNE (물량흐름)'!$U$13:$U$502)-SUMIF('JUNE (물량흐름)'!$C$13:$C$502,C216,'JUNE (물량흐름)'!$Y$13:$Y$502)</f>
        <v>0</v>
      </c>
      <c r="Q216" s="6">
        <f t="shared" si="49"/>
        <v>0</v>
      </c>
      <c r="R216" s="6">
        <f>ROUND(IF(ISERROR(VLOOKUP(#REF!,'WIP(재공품)'!$B$12:$AB$38,13,0)),0,VLOOKUP(#REF!,'WIP(재공품)'!$B$12:$AB$38,13,0)),0)</f>
        <v>0</v>
      </c>
      <c r="S216" s="6">
        <f>IF(ISERROR(VLOOKUP(#REF!,'WIP(재공품)'!$B$12:$AB$38,10,0)),0,VLOOKUP(#REF!,'WIP(재공품)'!$B$12:$AB$38,10,0))</f>
        <v>0</v>
      </c>
      <c r="T216" s="6">
        <f>SUMIF('JUNE (물량흐름)'!$C$13:$C$502,'Direct labour(직접노무비)'!C216,'JUNE (물량흐름)'!$Y$13:$Y$502)</f>
        <v>0</v>
      </c>
      <c r="U216" s="6">
        <f t="shared" si="44"/>
        <v>0</v>
      </c>
      <c r="V216" s="6">
        <f>ROUND(SUMIF('JUNE (물량흐름)'!$C$13:$C$502,'Direct labour(직접노무비)'!C216,'JUNE (물량흐름)'!$N$13:$N$502),0)</f>
        <v>0</v>
      </c>
      <c r="W216" s="6">
        <f>ROUND(SUMIF('JUNE (물량흐름)'!$C$13:$C$502,'Direct labour(직접노무비)'!C216,'JUNE (물량흐름)'!$O$13:$O$502),0)</f>
        <v>0</v>
      </c>
      <c r="X216" s="6">
        <f>ROUND(SUMIF('JUNE (물량흐름)'!$C$13:$C$502,'Direct labour(직접노무비)'!C216,'JUNE (물량흐름)'!$P$13:$P$502),0)</f>
        <v>91</v>
      </c>
      <c r="Y216" s="6">
        <f t="shared" si="45"/>
        <v>91</v>
      </c>
      <c r="Z216" s="6">
        <f t="shared" si="46"/>
        <v>73</v>
      </c>
      <c r="AA216" s="6">
        <f t="shared" si="50"/>
        <v>742631</v>
      </c>
      <c r="AB216" s="389">
        <f t="shared" si="47"/>
        <v>0</v>
      </c>
      <c r="AC216" s="503">
        <f t="shared" si="39"/>
        <v>0</v>
      </c>
      <c r="AD216" s="389">
        <f t="shared" si="48"/>
        <v>0</v>
      </c>
    </row>
    <row r="217" spans="1:30" s="390" customFormat="1" ht="15" customHeight="1">
      <c r="A217" s="167">
        <v>207</v>
      </c>
      <c r="B217" s="267" t="str">
        <f>VLOOKUP(A217,'JUNE (물량흐름)'!$A$13:$C$502,2,0)</f>
        <v>ALFANI</v>
      </c>
      <c r="C217" s="240">
        <f>VLOOKUP(A217,'JUNE (물량흐름)'!$A$13:$C$502,3,0)</f>
        <v>100008604</v>
      </c>
      <c r="D217" s="6">
        <f>VLOOKUP(C217,'WIP(재공품)'!$B$12:$E$493,4,0)</f>
        <v>7936.2499999999991</v>
      </c>
      <c r="E217" s="6">
        <f>IFERROR(VLOOKUP(C217,O.B.JUNE!$AA$7:$AG$448,2,0),0)</f>
        <v>0</v>
      </c>
      <c r="F217" s="6">
        <f>IFERROR(VLOOKUP(C217,O.B.JUNE!$AA$7:$AG$448,3,0),0)</f>
        <v>21</v>
      </c>
      <c r="G217" s="6">
        <f>IFERROR(VLOOKUP(C217,O.B.JUNE!$AA$7:$AD$448,4,0),0)</f>
        <v>133</v>
      </c>
      <c r="H217" s="6">
        <f t="shared" si="41"/>
        <v>154</v>
      </c>
      <c r="I217" s="6">
        <f>IFERROR(VLOOKUP(C217,O.B.JUNE!$AA$7:$AF$448,6,0),0)</f>
        <v>117</v>
      </c>
      <c r="J217" s="6"/>
      <c r="K217" s="6">
        <f>IFERROR(VLOOKUP(C217,O.B.JUNE!$AA$7:$AG$448,7,0),0)</f>
        <v>1060628</v>
      </c>
      <c r="L217" s="6">
        <f>SUMIF('JUNE (물량흐름)'!$C$13:$C$502,'Direct labour(직접노무비)'!C217,'JUNE (물량흐름)'!$H$13:$H$502)+SUMIF('JUNE (물량흐름)'!$C$13:$C$502,'Direct labour(직접노무비)'!C217,'JUNE (물량흐름)'!$I$13:$I$502)</f>
        <v>0</v>
      </c>
      <c r="M217" s="6">
        <f t="shared" si="42"/>
        <v>0</v>
      </c>
      <c r="N217" s="6">
        <f t="shared" si="43"/>
        <v>0</v>
      </c>
      <c r="O217" s="6">
        <f t="shared" si="40"/>
        <v>0</v>
      </c>
      <c r="P217" s="6">
        <f>SUMIF('JUNE (물량흐름)'!$C$13:$C$502,C217,'JUNE (물량흐름)'!$T$13:$T$502)+SUMIF('JUNE (물량흐름)'!$C$13:$C$502,C217,'JUNE (물량흐름)'!$V$13:$V$502)+SUMIF('JUNE (물량흐름)'!$C$13:$C$502,C217,'JUNE (물량흐름)'!$U$13:$U$502)-SUMIF('JUNE (물량흐름)'!$C$13:$C$502,C217,'JUNE (물량흐름)'!$Y$13:$Y$502)</f>
        <v>0</v>
      </c>
      <c r="Q217" s="6">
        <f t="shared" si="49"/>
        <v>0</v>
      </c>
      <c r="R217" s="6">
        <f>ROUND(IF(ISERROR(VLOOKUP(#REF!,'WIP(재공품)'!$B$12:$AB$38,13,0)),0,VLOOKUP(#REF!,'WIP(재공품)'!$B$12:$AB$38,13,0)),0)</f>
        <v>0</v>
      </c>
      <c r="S217" s="6">
        <f>IF(ISERROR(VLOOKUP(#REF!,'WIP(재공품)'!$B$12:$AB$38,10,0)),0,VLOOKUP(#REF!,'WIP(재공품)'!$B$12:$AB$38,10,0))</f>
        <v>0</v>
      </c>
      <c r="T217" s="6">
        <f>SUMIF('JUNE (물량흐름)'!$C$13:$C$502,'Direct labour(직접노무비)'!C217,'JUNE (물량흐름)'!$Y$13:$Y$502)</f>
        <v>0</v>
      </c>
      <c r="U217" s="6">
        <f t="shared" si="44"/>
        <v>0</v>
      </c>
      <c r="V217" s="6">
        <f>ROUND(SUMIF('JUNE (물량흐름)'!$C$13:$C$502,'Direct labour(직접노무비)'!C217,'JUNE (물량흐름)'!$N$13:$N$502),0)</f>
        <v>0</v>
      </c>
      <c r="W217" s="6">
        <f>ROUND(SUMIF('JUNE (물량흐름)'!$C$13:$C$502,'Direct labour(직접노무비)'!C217,'JUNE (물량흐름)'!$O$13:$O$502),0)</f>
        <v>21</v>
      </c>
      <c r="X217" s="6">
        <f>ROUND(SUMIF('JUNE (물량흐름)'!$C$13:$C$502,'Direct labour(직접노무비)'!C217,'JUNE (물량흐름)'!$P$13:$P$502),0)</f>
        <v>133</v>
      </c>
      <c r="Y217" s="6">
        <f t="shared" si="45"/>
        <v>154</v>
      </c>
      <c r="Z217" s="6">
        <f t="shared" si="46"/>
        <v>117</v>
      </c>
      <c r="AA217" s="6">
        <f t="shared" si="50"/>
        <v>1060628</v>
      </c>
      <c r="AB217" s="389">
        <f t="shared" si="47"/>
        <v>0</v>
      </c>
      <c r="AC217" s="503">
        <f t="shared" si="39"/>
        <v>0</v>
      </c>
      <c r="AD217" s="389">
        <f t="shared" si="48"/>
        <v>0</v>
      </c>
    </row>
    <row r="218" spans="1:30" s="390" customFormat="1" ht="15" customHeight="1">
      <c r="A218" s="167">
        <v>208</v>
      </c>
      <c r="B218" s="267" t="str">
        <f>VLOOKUP(A218,'JUNE (물량흐름)'!$A$13:$C$502,2,0)</f>
        <v>ALFANI</v>
      </c>
      <c r="C218" s="240">
        <f>VLOOKUP(A218,'JUNE (물량흐름)'!$A$13:$C$502,3,0)</f>
        <v>100008605</v>
      </c>
      <c r="D218" s="6">
        <f>VLOOKUP(C218,'WIP(재공품)'!$B$12:$E$493,4,0)</f>
        <v>7936.2499999999991</v>
      </c>
      <c r="E218" s="6">
        <f>IFERROR(VLOOKUP(C218,O.B.JUNE!$AA$7:$AG$448,2,0),0)</f>
        <v>0</v>
      </c>
      <c r="F218" s="6">
        <f>IFERROR(VLOOKUP(C218,O.B.JUNE!$AA$7:$AG$448,3,0),0)</f>
        <v>0</v>
      </c>
      <c r="G218" s="6">
        <f>IFERROR(VLOOKUP(C218,O.B.JUNE!$AA$7:$AD$448,4,0),0)</f>
        <v>222</v>
      </c>
      <c r="H218" s="6">
        <f t="shared" si="41"/>
        <v>222</v>
      </c>
      <c r="I218" s="6">
        <f>IFERROR(VLOOKUP(C218,O.B.JUNE!$AA$7:$AF$448,6,0),0)</f>
        <v>178</v>
      </c>
      <c r="J218" s="6"/>
      <c r="K218" s="6">
        <f>IFERROR(VLOOKUP(C218,O.B.JUNE!$AA$7:$AG$448,7,0),0)</f>
        <v>1656935</v>
      </c>
      <c r="L218" s="6">
        <f>SUMIF('JUNE (물량흐름)'!$C$13:$C$502,'Direct labour(직접노무비)'!C218,'JUNE (물량흐름)'!$H$13:$H$502)+SUMIF('JUNE (물량흐름)'!$C$13:$C$502,'Direct labour(직접노무비)'!C218,'JUNE (물량흐름)'!$I$13:$I$502)</f>
        <v>0</v>
      </c>
      <c r="M218" s="6">
        <f t="shared" si="42"/>
        <v>0</v>
      </c>
      <c r="N218" s="6">
        <f t="shared" si="43"/>
        <v>0</v>
      </c>
      <c r="O218" s="6">
        <f t="shared" si="40"/>
        <v>0</v>
      </c>
      <c r="P218" s="6">
        <f>SUMIF('JUNE (물량흐름)'!$C$13:$C$502,C218,'JUNE (물량흐름)'!$T$13:$T$502)+SUMIF('JUNE (물량흐름)'!$C$13:$C$502,C218,'JUNE (물량흐름)'!$V$13:$V$502)+SUMIF('JUNE (물량흐름)'!$C$13:$C$502,C218,'JUNE (물량흐름)'!$U$13:$U$502)-SUMIF('JUNE (물량흐름)'!$C$13:$C$502,C218,'JUNE (물량흐름)'!$Y$13:$Y$502)</f>
        <v>0</v>
      </c>
      <c r="Q218" s="6">
        <f t="shared" si="49"/>
        <v>0</v>
      </c>
      <c r="R218" s="6">
        <f>ROUND(IF(ISERROR(VLOOKUP(#REF!,'WIP(재공품)'!$B$12:$AB$38,13,0)),0,VLOOKUP(#REF!,'WIP(재공품)'!$B$12:$AB$38,13,0)),0)</f>
        <v>0</v>
      </c>
      <c r="S218" s="6">
        <f>IF(ISERROR(VLOOKUP(#REF!,'WIP(재공품)'!$B$12:$AB$38,10,0)),0,VLOOKUP(#REF!,'WIP(재공품)'!$B$12:$AB$38,10,0))</f>
        <v>0</v>
      </c>
      <c r="T218" s="6">
        <f>SUMIF('JUNE (물량흐름)'!$C$13:$C$502,'Direct labour(직접노무비)'!C218,'JUNE (물량흐름)'!$Y$13:$Y$502)</f>
        <v>0</v>
      </c>
      <c r="U218" s="6">
        <f t="shared" si="44"/>
        <v>0</v>
      </c>
      <c r="V218" s="6">
        <f>ROUND(SUMIF('JUNE (물량흐름)'!$C$13:$C$502,'Direct labour(직접노무비)'!C218,'JUNE (물량흐름)'!$N$13:$N$502),0)</f>
        <v>0</v>
      </c>
      <c r="W218" s="6">
        <f>ROUND(SUMIF('JUNE (물량흐름)'!$C$13:$C$502,'Direct labour(직접노무비)'!C218,'JUNE (물량흐름)'!$O$13:$O$502),0)</f>
        <v>0</v>
      </c>
      <c r="X218" s="6">
        <f>ROUND(SUMIF('JUNE (물량흐름)'!$C$13:$C$502,'Direct labour(직접노무비)'!C218,'JUNE (물량흐름)'!$P$13:$P$502),0)</f>
        <v>222</v>
      </c>
      <c r="Y218" s="6">
        <f t="shared" si="45"/>
        <v>222</v>
      </c>
      <c r="Z218" s="6">
        <f t="shared" si="46"/>
        <v>178</v>
      </c>
      <c r="AA218" s="6">
        <f t="shared" si="50"/>
        <v>1656935</v>
      </c>
      <c r="AB218" s="389">
        <f t="shared" si="47"/>
        <v>0</v>
      </c>
      <c r="AC218" s="503">
        <f t="shared" si="39"/>
        <v>0</v>
      </c>
      <c r="AD218" s="389">
        <f t="shared" si="48"/>
        <v>0</v>
      </c>
    </row>
    <row r="219" spans="1:30" s="390" customFormat="1" ht="15" customHeight="1">
      <c r="A219" s="167">
        <v>209</v>
      </c>
      <c r="B219" s="267" t="str">
        <f>VLOOKUP(A219,'JUNE (물량흐름)'!$A$13:$C$502,2,0)</f>
        <v>ALFANI</v>
      </c>
      <c r="C219" s="240">
        <f>VLOOKUP(A219,'JUNE (물량흐름)'!$A$13:$C$502,3,0)</f>
        <v>100008607</v>
      </c>
      <c r="D219" s="6">
        <f>VLOOKUP(C219,'WIP(재공품)'!$B$12:$E$493,4,0)</f>
        <v>7936.2499999999991</v>
      </c>
      <c r="E219" s="6">
        <f>IFERROR(VLOOKUP(C219,O.B.JUNE!$AA$7:$AG$448,2,0),0)</f>
        <v>0</v>
      </c>
      <c r="F219" s="6">
        <f>IFERROR(VLOOKUP(C219,O.B.JUNE!$AA$7:$AG$448,3,0),0)</f>
        <v>0</v>
      </c>
      <c r="G219" s="6">
        <f>IFERROR(VLOOKUP(C219,O.B.JUNE!$AA$7:$AD$448,4,0),0)</f>
        <v>146</v>
      </c>
      <c r="H219" s="6">
        <f t="shared" si="41"/>
        <v>146</v>
      </c>
      <c r="I219" s="6">
        <f>IFERROR(VLOOKUP(C219,O.B.JUNE!$AA$7:$AF$448,6,0),0)</f>
        <v>117</v>
      </c>
      <c r="J219" s="6"/>
      <c r="K219" s="6">
        <f>IFERROR(VLOOKUP(C219,O.B.JUNE!$AA$7:$AG$448,7,0),0)</f>
        <v>1831994</v>
      </c>
      <c r="L219" s="6">
        <f>SUMIF('JUNE (물량흐름)'!$C$13:$C$502,'Direct labour(직접노무비)'!C219,'JUNE (물량흐름)'!$H$13:$H$502)+SUMIF('JUNE (물량흐름)'!$C$13:$C$502,'Direct labour(직접노무비)'!C219,'JUNE (물량흐름)'!$I$13:$I$502)</f>
        <v>0</v>
      </c>
      <c r="M219" s="6">
        <f t="shared" si="42"/>
        <v>0</v>
      </c>
      <c r="N219" s="6">
        <f t="shared" si="43"/>
        <v>0</v>
      </c>
      <c r="O219" s="6">
        <f t="shared" si="40"/>
        <v>0</v>
      </c>
      <c r="P219" s="6">
        <f>SUMIF('JUNE (물량흐름)'!$C$13:$C$502,C219,'JUNE (물량흐름)'!$T$13:$T$502)+SUMIF('JUNE (물량흐름)'!$C$13:$C$502,C219,'JUNE (물량흐름)'!$V$13:$V$502)+SUMIF('JUNE (물량흐름)'!$C$13:$C$502,C219,'JUNE (물량흐름)'!$U$13:$U$502)-SUMIF('JUNE (물량흐름)'!$C$13:$C$502,C219,'JUNE (물량흐름)'!$Y$13:$Y$502)</f>
        <v>0</v>
      </c>
      <c r="Q219" s="6">
        <f t="shared" si="49"/>
        <v>0</v>
      </c>
      <c r="R219" s="6">
        <f>ROUND(IF(ISERROR(VLOOKUP(#REF!,'WIP(재공품)'!$B$12:$AB$38,13,0)),0,VLOOKUP(#REF!,'WIP(재공품)'!$B$12:$AB$38,13,0)),0)</f>
        <v>0</v>
      </c>
      <c r="S219" s="6">
        <f>IF(ISERROR(VLOOKUP(#REF!,'WIP(재공품)'!$B$12:$AB$38,10,0)),0,VLOOKUP(#REF!,'WIP(재공품)'!$B$12:$AB$38,10,0))</f>
        <v>0</v>
      </c>
      <c r="T219" s="6">
        <f>SUMIF('JUNE (물량흐름)'!$C$13:$C$502,'Direct labour(직접노무비)'!C219,'JUNE (물량흐름)'!$Y$13:$Y$502)</f>
        <v>0</v>
      </c>
      <c r="U219" s="6">
        <f t="shared" si="44"/>
        <v>0</v>
      </c>
      <c r="V219" s="6">
        <f>ROUND(SUMIF('JUNE (물량흐름)'!$C$13:$C$502,'Direct labour(직접노무비)'!C219,'JUNE (물량흐름)'!$N$13:$N$502),0)</f>
        <v>0</v>
      </c>
      <c r="W219" s="6">
        <f>ROUND(SUMIF('JUNE (물량흐름)'!$C$13:$C$502,'Direct labour(직접노무비)'!C219,'JUNE (물량흐름)'!$O$13:$O$502),0)</f>
        <v>0</v>
      </c>
      <c r="X219" s="6">
        <f>ROUND(SUMIF('JUNE (물량흐름)'!$C$13:$C$502,'Direct labour(직접노무비)'!C219,'JUNE (물량흐름)'!$P$13:$P$502),0)</f>
        <v>146</v>
      </c>
      <c r="Y219" s="6">
        <f t="shared" si="45"/>
        <v>146</v>
      </c>
      <c r="Z219" s="6">
        <f t="shared" si="46"/>
        <v>117</v>
      </c>
      <c r="AA219" s="6">
        <f t="shared" si="50"/>
        <v>1831994</v>
      </c>
      <c r="AB219" s="389">
        <f t="shared" si="47"/>
        <v>0</v>
      </c>
      <c r="AC219" s="503">
        <f t="shared" si="39"/>
        <v>0</v>
      </c>
      <c r="AD219" s="389">
        <f t="shared" si="48"/>
        <v>0</v>
      </c>
    </row>
    <row r="220" spans="1:30" s="390" customFormat="1" ht="15" customHeight="1">
      <c r="A220" s="167">
        <v>210</v>
      </c>
      <c r="B220" s="267" t="str">
        <f>VLOOKUP(A220,'JUNE (물량흐름)'!$A$13:$C$502,2,0)</f>
        <v>ALFANI</v>
      </c>
      <c r="C220" s="240">
        <f>VLOOKUP(A220,'JUNE (물량흐름)'!$A$13:$C$502,3,0)</f>
        <v>100008660</v>
      </c>
      <c r="D220" s="6">
        <f>VLOOKUP(C220,'WIP(재공품)'!$B$12:$E$493,4,0)</f>
        <v>7936.2499999999991</v>
      </c>
      <c r="E220" s="6">
        <f>IFERROR(VLOOKUP(C220,O.B.JUNE!$AA$7:$AG$448,2,0),0)</f>
        <v>0</v>
      </c>
      <c r="F220" s="6">
        <f>IFERROR(VLOOKUP(C220,O.B.JUNE!$AA$7:$AG$448,3,0),0)</f>
        <v>0</v>
      </c>
      <c r="G220" s="6">
        <f>IFERROR(VLOOKUP(C220,O.B.JUNE!$AA$7:$AD$448,4,0),0)</f>
        <v>195</v>
      </c>
      <c r="H220" s="6">
        <f t="shared" si="41"/>
        <v>195</v>
      </c>
      <c r="I220" s="6">
        <f>IFERROR(VLOOKUP(C220,O.B.JUNE!$AA$7:$AF$448,6,0),0)</f>
        <v>156</v>
      </c>
      <c r="J220" s="6"/>
      <c r="K220" s="6">
        <f>IFERROR(VLOOKUP(C220,O.B.JUNE!$AA$7:$AG$448,7,0),0)</f>
        <v>2735548</v>
      </c>
      <c r="L220" s="6">
        <f>SUMIF('JUNE (물량흐름)'!$C$13:$C$502,'Direct labour(직접노무비)'!C220,'JUNE (물량흐름)'!$H$13:$H$502)+SUMIF('JUNE (물량흐름)'!$C$13:$C$502,'Direct labour(직접노무비)'!C220,'JUNE (물량흐름)'!$I$13:$I$502)</f>
        <v>0</v>
      </c>
      <c r="M220" s="6">
        <f t="shared" si="42"/>
        <v>0</v>
      </c>
      <c r="N220" s="6">
        <f t="shared" si="43"/>
        <v>0</v>
      </c>
      <c r="O220" s="6">
        <f t="shared" si="40"/>
        <v>0</v>
      </c>
      <c r="P220" s="6">
        <f>SUMIF('JUNE (물량흐름)'!$C$13:$C$502,C220,'JUNE (물량흐름)'!$T$13:$T$502)+SUMIF('JUNE (물량흐름)'!$C$13:$C$502,C220,'JUNE (물량흐름)'!$V$13:$V$502)+SUMIF('JUNE (물량흐름)'!$C$13:$C$502,C220,'JUNE (물량흐름)'!$U$13:$U$502)-SUMIF('JUNE (물량흐름)'!$C$13:$C$502,C220,'JUNE (물량흐름)'!$Y$13:$Y$502)</f>
        <v>0</v>
      </c>
      <c r="Q220" s="6">
        <f t="shared" si="49"/>
        <v>0</v>
      </c>
      <c r="R220" s="6">
        <f>ROUND(IF(ISERROR(VLOOKUP(#REF!,'WIP(재공품)'!$B$12:$AB$38,13,0)),0,VLOOKUP(#REF!,'WIP(재공품)'!$B$12:$AB$38,13,0)),0)</f>
        <v>0</v>
      </c>
      <c r="S220" s="6">
        <f>IF(ISERROR(VLOOKUP(#REF!,'WIP(재공품)'!$B$12:$AB$38,10,0)),0,VLOOKUP(#REF!,'WIP(재공품)'!$B$12:$AB$38,10,0))</f>
        <v>0</v>
      </c>
      <c r="T220" s="6">
        <f>SUMIF('JUNE (물량흐름)'!$C$13:$C$502,'Direct labour(직접노무비)'!C220,'JUNE (물량흐름)'!$Y$13:$Y$502)</f>
        <v>0</v>
      </c>
      <c r="U220" s="6">
        <f t="shared" si="44"/>
        <v>0</v>
      </c>
      <c r="V220" s="6">
        <f>ROUND(SUMIF('JUNE (물량흐름)'!$C$13:$C$502,'Direct labour(직접노무비)'!C220,'JUNE (물량흐름)'!$N$13:$N$502),0)</f>
        <v>0</v>
      </c>
      <c r="W220" s="6">
        <f>ROUND(SUMIF('JUNE (물량흐름)'!$C$13:$C$502,'Direct labour(직접노무비)'!C220,'JUNE (물량흐름)'!$O$13:$O$502),0)</f>
        <v>0</v>
      </c>
      <c r="X220" s="6">
        <f>ROUND(SUMIF('JUNE (물량흐름)'!$C$13:$C$502,'Direct labour(직접노무비)'!C220,'JUNE (물량흐름)'!$P$13:$P$502),0)</f>
        <v>195</v>
      </c>
      <c r="Y220" s="6">
        <f t="shared" si="45"/>
        <v>195</v>
      </c>
      <c r="Z220" s="6">
        <f t="shared" si="46"/>
        <v>156</v>
      </c>
      <c r="AA220" s="6">
        <f t="shared" si="50"/>
        <v>2735548</v>
      </c>
      <c r="AB220" s="389">
        <f t="shared" si="47"/>
        <v>0</v>
      </c>
      <c r="AC220" s="503">
        <f t="shared" si="39"/>
        <v>0</v>
      </c>
      <c r="AD220" s="389">
        <f t="shared" si="48"/>
        <v>0</v>
      </c>
    </row>
    <row r="221" spans="1:30" s="390" customFormat="1" ht="15" customHeight="1">
      <c r="A221" s="167">
        <v>211</v>
      </c>
      <c r="B221" s="267" t="str">
        <f>VLOOKUP(A221,'JUNE (물량흐름)'!$A$13:$C$502,2,0)</f>
        <v>ALFANI</v>
      </c>
      <c r="C221" s="240">
        <f>VLOOKUP(A221,'JUNE (물량흐름)'!$A$13:$C$502,3,0)</f>
        <v>100008746</v>
      </c>
      <c r="D221" s="6">
        <f>VLOOKUP(C221,'WIP(재공품)'!$B$12:$E$493,4,0)</f>
        <v>7936.2499999999991</v>
      </c>
      <c r="E221" s="6">
        <f>IFERROR(VLOOKUP(C221,O.B.JUNE!$AA$7:$AG$448,2,0),0)</f>
        <v>0</v>
      </c>
      <c r="F221" s="6">
        <f>IFERROR(VLOOKUP(C221,O.B.JUNE!$AA$7:$AG$448,3,0),0)</f>
        <v>0</v>
      </c>
      <c r="G221" s="6">
        <f>IFERROR(VLOOKUP(C221,O.B.JUNE!$AA$7:$AD$448,4,0),0)</f>
        <v>25</v>
      </c>
      <c r="H221" s="6">
        <f t="shared" si="41"/>
        <v>25</v>
      </c>
      <c r="I221" s="6">
        <f>IFERROR(VLOOKUP(C221,O.B.JUNE!$AA$7:$AF$448,6,0),0)</f>
        <v>20</v>
      </c>
      <c r="J221" s="6"/>
      <c r="K221" s="6">
        <f>IFERROR(VLOOKUP(C221,O.B.JUNE!$AA$7:$AG$448,7,0),0)</f>
        <v>626323</v>
      </c>
      <c r="L221" s="6">
        <f>SUMIF('JUNE (물량흐름)'!$C$13:$C$502,'Direct labour(직접노무비)'!C221,'JUNE (물량흐름)'!$H$13:$H$502)+SUMIF('JUNE (물량흐름)'!$C$13:$C$502,'Direct labour(직접노무비)'!C221,'JUNE (물량흐름)'!$I$13:$I$502)</f>
        <v>0</v>
      </c>
      <c r="M221" s="6">
        <f t="shared" si="42"/>
        <v>0</v>
      </c>
      <c r="N221" s="6">
        <f t="shared" si="43"/>
        <v>0</v>
      </c>
      <c r="O221" s="6">
        <f t="shared" si="40"/>
        <v>0</v>
      </c>
      <c r="P221" s="6">
        <f>SUMIF('JUNE (물량흐름)'!$C$13:$C$502,C221,'JUNE (물량흐름)'!$T$13:$T$502)+SUMIF('JUNE (물량흐름)'!$C$13:$C$502,C221,'JUNE (물량흐름)'!$V$13:$V$502)+SUMIF('JUNE (물량흐름)'!$C$13:$C$502,C221,'JUNE (물량흐름)'!$U$13:$U$502)-SUMIF('JUNE (물량흐름)'!$C$13:$C$502,C221,'JUNE (물량흐름)'!$Y$13:$Y$502)</f>
        <v>0</v>
      </c>
      <c r="Q221" s="6">
        <f t="shared" si="49"/>
        <v>0</v>
      </c>
      <c r="R221" s="6">
        <f>ROUND(IF(ISERROR(VLOOKUP(#REF!,'WIP(재공품)'!$B$12:$AB$38,13,0)),0,VLOOKUP(#REF!,'WIP(재공품)'!$B$12:$AB$38,13,0)),0)</f>
        <v>0</v>
      </c>
      <c r="S221" s="6">
        <f>IF(ISERROR(VLOOKUP(#REF!,'WIP(재공품)'!$B$12:$AB$38,10,0)),0,VLOOKUP(#REF!,'WIP(재공품)'!$B$12:$AB$38,10,0))</f>
        <v>0</v>
      </c>
      <c r="T221" s="6">
        <f>SUMIF('JUNE (물량흐름)'!$C$13:$C$502,'Direct labour(직접노무비)'!C221,'JUNE (물량흐름)'!$Y$13:$Y$502)</f>
        <v>0</v>
      </c>
      <c r="U221" s="6">
        <f t="shared" si="44"/>
        <v>0</v>
      </c>
      <c r="V221" s="6">
        <f>ROUND(SUMIF('JUNE (물량흐름)'!$C$13:$C$502,'Direct labour(직접노무비)'!C221,'JUNE (물량흐름)'!$N$13:$N$502),0)</f>
        <v>0</v>
      </c>
      <c r="W221" s="6">
        <f>ROUND(SUMIF('JUNE (물량흐름)'!$C$13:$C$502,'Direct labour(직접노무비)'!C221,'JUNE (물량흐름)'!$O$13:$O$502),0)</f>
        <v>0</v>
      </c>
      <c r="X221" s="6">
        <f>ROUND(SUMIF('JUNE (물량흐름)'!$C$13:$C$502,'Direct labour(직접노무비)'!C221,'JUNE (물량흐름)'!$P$13:$P$502),0)</f>
        <v>25</v>
      </c>
      <c r="Y221" s="6">
        <f t="shared" si="45"/>
        <v>25</v>
      </c>
      <c r="Z221" s="6">
        <f t="shared" si="46"/>
        <v>20</v>
      </c>
      <c r="AA221" s="6">
        <f t="shared" si="50"/>
        <v>626323</v>
      </c>
      <c r="AB221" s="389">
        <f t="shared" si="47"/>
        <v>0</v>
      </c>
      <c r="AC221" s="503">
        <f t="shared" si="39"/>
        <v>0</v>
      </c>
      <c r="AD221" s="389">
        <f t="shared" si="48"/>
        <v>0</v>
      </c>
    </row>
    <row r="222" spans="1:30" s="390" customFormat="1" ht="15" customHeight="1">
      <c r="A222" s="167">
        <v>212</v>
      </c>
      <c r="B222" s="267" t="str">
        <f>VLOOKUP(A222,'JUNE (물량흐름)'!$A$13:$C$502,2,0)</f>
        <v>ALFANI</v>
      </c>
      <c r="C222" s="240">
        <f>VLOOKUP(A222,'JUNE (물량흐름)'!$A$13:$C$502,3,0)</f>
        <v>100009162</v>
      </c>
      <c r="D222" s="6">
        <f>VLOOKUP(C222,'WIP(재공품)'!$B$12:$E$493,4,0)</f>
        <v>32878.75</v>
      </c>
      <c r="E222" s="6">
        <f>IFERROR(VLOOKUP(C222,O.B.JUNE!$AA$7:$AG$448,2,0),0)</f>
        <v>0</v>
      </c>
      <c r="F222" s="6">
        <f>IFERROR(VLOOKUP(C222,O.B.JUNE!$AA$7:$AG$448,3,0),0)</f>
        <v>0</v>
      </c>
      <c r="G222" s="6">
        <f>IFERROR(VLOOKUP(C222,O.B.JUNE!$AA$7:$AD$448,4,0),0)</f>
        <v>86</v>
      </c>
      <c r="H222" s="6">
        <f t="shared" si="41"/>
        <v>86</v>
      </c>
      <c r="I222" s="6">
        <f>IFERROR(VLOOKUP(C222,O.B.JUNE!$AA$7:$AF$448,6,0),0)</f>
        <v>69</v>
      </c>
      <c r="J222" s="6"/>
      <c r="K222" s="6">
        <f>IFERROR(VLOOKUP(C222,O.B.JUNE!$AA$7:$AG$448,7,0),0)</f>
        <v>1137270</v>
      </c>
      <c r="L222" s="6">
        <f>SUMIF('JUNE (물량흐름)'!$C$13:$C$502,'Direct labour(직접노무비)'!C222,'JUNE (물량흐름)'!$H$13:$H$502)+SUMIF('JUNE (물량흐름)'!$C$13:$C$502,'Direct labour(직접노무비)'!C222,'JUNE (물량흐름)'!$I$13:$I$502)</f>
        <v>0</v>
      </c>
      <c r="M222" s="6">
        <f t="shared" si="42"/>
        <v>0</v>
      </c>
      <c r="N222" s="6">
        <f t="shared" si="43"/>
        <v>0</v>
      </c>
      <c r="O222" s="6">
        <f t="shared" si="40"/>
        <v>0</v>
      </c>
      <c r="P222" s="6">
        <f>SUMIF('JUNE (물량흐름)'!$C$13:$C$502,C222,'JUNE (물량흐름)'!$T$13:$T$502)+SUMIF('JUNE (물량흐름)'!$C$13:$C$502,C222,'JUNE (물량흐름)'!$V$13:$V$502)+SUMIF('JUNE (물량흐름)'!$C$13:$C$502,C222,'JUNE (물량흐름)'!$U$13:$U$502)-SUMIF('JUNE (물량흐름)'!$C$13:$C$502,C222,'JUNE (물량흐름)'!$Y$13:$Y$502)</f>
        <v>0</v>
      </c>
      <c r="Q222" s="6">
        <f t="shared" si="49"/>
        <v>0</v>
      </c>
      <c r="R222" s="6">
        <f>ROUND(IF(ISERROR(VLOOKUP(#REF!,'WIP(재공품)'!$B$12:$AB$38,13,0)),0,VLOOKUP(#REF!,'WIP(재공품)'!$B$12:$AB$38,13,0)),0)</f>
        <v>0</v>
      </c>
      <c r="S222" s="6">
        <f>IF(ISERROR(VLOOKUP(#REF!,'WIP(재공품)'!$B$12:$AB$38,10,0)),0,VLOOKUP(#REF!,'WIP(재공품)'!$B$12:$AB$38,10,0))</f>
        <v>0</v>
      </c>
      <c r="T222" s="6">
        <f>SUMIF('JUNE (물량흐름)'!$C$13:$C$502,'Direct labour(직접노무비)'!C222,'JUNE (물량흐름)'!$Y$13:$Y$502)</f>
        <v>0</v>
      </c>
      <c r="U222" s="6">
        <f t="shared" si="44"/>
        <v>0</v>
      </c>
      <c r="V222" s="6">
        <f>ROUND(SUMIF('JUNE (물량흐름)'!$C$13:$C$502,'Direct labour(직접노무비)'!C222,'JUNE (물량흐름)'!$N$13:$N$502),0)</f>
        <v>0</v>
      </c>
      <c r="W222" s="6">
        <f>ROUND(SUMIF('JUNE (물량흐름)'!$C$13:$C$502,'Direct labour(직접노무비)'!C222,'JUNE (물량흐름)'!$O$13:$O$502),0)</f>
        <v>0</v>
      </c>
      <c r="X222" s="6">
        <f>ROUND(SUMIF('JUNE (물량흐름)'!$C$13:$C$502,'Direct labour(직접노무비)'!C222,'JUNE (물량흐름)'!$P$13:$P$502),0)</f>
        <v>86</v>
      </c>
      <c r="Y222" s="6">
        <f t="shared" si="45"/>
        <v>86</v>
      </c>
      <c r="Z222" s="6">
        <f t="shared" si="46"/>
        <v>69</v>
      </c>
      <c r="AA222" s="6">
        <f t="shared" si="50"/>
        <v>1137270</v>
      </c>
      <c r="AB222" s="389">
        <f t="shared" si="47"/>
        <v>0</v>
      </c>
      <c r="AC222" s="503">
        <f t="shared" si="39"/>
        <v>0</v>
      </c>
      <c r="AD222" s="389">
        <f t="shared" si="48"/>
        <v>0</v>
      </c>
    </row>
    <row r="223" spans="1:30" s="390" customFormat="1" ht="15" customHeight="1">
      <c r="A223" s="167">
        <v>213</v>
      </c>
      <c r="B223" s="267" t="str">
        <f>VLOOKUP(A223,'JUNE (물량흐름)'!$A$13:$C$502,2,0)</f>
        <v>ALFANI</v>
      </c>
      <c r="C223" s="240">
        <f>VLOOKUP(A223,'JUNE (물량흐름)'!$A$13:$C$502,3,0)</f>
        <v>100009622</v>
      </c>
      <c r="D223" s="6">
        <f>VLOOKUP(C223,'WIP(재공품)'!$B$12:$E$493,4,0)</f>
        <v>30611.250000000004</v>
      </c>
      <c r="E223" s="6">
        <f>IFERROR(VLOOKUP(C223,O.B.JUNE!$AA$7:$AG$448,2,0),0)</f>
        <v>0</v>
      </c>
      <c r="F223" s="6">
        <f>IFERROR(VLOOKUP(C223,O.B.JUNE!$AA$7:$AG$448,3,0),0)</f>
        <v>189</v>
      </c>
      <c r="G223" s="6">
        <f>IFERROR(VLOOKUP(C223,O.B.JUNE!$AA$7:$AD$448,4,0),0)</f>
        <v>236</v>
      </c>
      <c r="H223" s="6">
        <f t="shared" si="41"/>
        <v>425</v>
      </c>
      <c r="I223" s="6">
        <f>IFERROR(VLOOKUP(C223,O.B.JUNE!$AA$7:$AF$448,6,0),0)</f>
        <v>283</v>
      </c>
      <c r="J223" s="6"/>
      <c r="K223" s="6">
        <f>IFERROR(VLOOKUP(C223,O.B.JUNE!$AA$7:$AG$448,7,0),0)</f>
        <v>11198699</v>
      </c>
      <c r="L223" s="6">
        <f>SUMIF('JUNE (물량흐름)'!$C$13:$C$502,'Direct labour(직접노무비)'!C223,'JUNE (물량흐름)'!$H$13:$H$502)+SUMIF('JUNE (물량흐름)'!$C$13:$C$502,'Direct labour(직접노무비)'!C223,'JUNE (물량흐름)'!$I$13:$I$502)</f>
        <v>0</v>
      </c>
      <c r="M223" s="6">
        <f t="shared" si="42"/>
        <v>0</v>
      </c>
      <c r="N223" s="6">
        <f t="shared" si="43"/>
        <v>0</v>
      </c>
      <c r="O223" s="6">
        <f t="shared" si="40"/>
        <v>0</v>
      </c>
      <c r="P223" s="6">
        <f>SUMIF('JUNE (물량흐름)'!$C$13:$C$502,C223,'JUNE (물량흐름)'!$T$13:$T$502)+SUMIF('JUNE (물량흐름)'!$C$13:$C$502,C223,'JUNE (물량흐름)'!$V$13:$V$502)+SUMIF('JUNE (물량흐름)'!$C$13:$C$502,C223,'JUNE (물량흐름)'!$U$13:$U$502)-SUMIF('JUNE (물량흐름)'!$C$13:$C$502,C223,'JUNE (물량흐름)'!$Y$13:$Y$502)</f>
        <v>0</v>
      </c>
      <c r="Q223" s="6">
        <f t="shared" si="49"/>
        <v>0</v>
      </c>
      <c r="R223" s="6">
        <f>ROUND(IF(ISERROR(VLOOKUP(#REF!,'WIP(재공품)'!$B$12:$AB$38,13,0)),0,VLOOKUP(#REF!,'WIP(재공품)'!$B$12:$AB$38,13,0)),0)</f>
        <v>0</v>
      </c>
      <c r="S223" s="6">
        <f>IF(ISERROR(VLOOKUP(#REF!,'WIP(재공품)'!$B$12:$AB$38,10,0)),0,VLOOKUP(#REF!,'WIP(재공품)'!$B$12:$AB$38,10,0))</f>
        <v>0</v>
      </c>
      <c r="T223" s="6">
        <f>SUMIF('JUNE (물량흐름)'!$C$13:$C$502,'Direct labour(직접노무비)'!C223,'JUNE (물량흐름)'!$Y$13:$Y$502)</f>
        <v>0</v>
      </c>
      <c r="U223" s="6">
        <f t="shared" si="44"/>
        <v>0</v>
      </c>
      <c r="V223" s="6">
        <f>ROUND(SUMIF('JUNE (물량흐름)'!$C$13:$C$502,'Direct labour(직접노무비)'!C223,'JUNE (물량흐름)'!$N$13:$N$502),0)</f>
        <v>0</v>
      </c>
      <c r="W223" s="6">
        <f>ROUND(SUMIF('JUNE (물량흐름)'!$C$13:$C$502,'Direct labour(직접노무비)'!C223,'JUNE (물량흐름)'!$O$13:$O$502),0)</f>
        <v>189</v>
      </c>
      <c r="X223" s="6">
        <f>ROUND(SUMIF('JUNE (물량흐름)'!$C$13:$C$502,'Direct labour(직접노무비)'!C223,'JUNE (물량흐름)'!$P$13:$P$502),0)</f>
        <v>236</v>
      </c>
      <c r="Y223" s="6">
        <f t="shared" si="45"/>
        <v>425</v>
      </c>
      <c r="Z223" s="6">
        <f t="shared" si="46"/>
        <v>283</v>
      </c>
      <c r="AA223" s="6">
        <f t="shared" si="50"/>
        <v>11198699</v>
      </c>
      <c r="AB223" s="389">
        <f t="shared" si="47"/>
        <v>0</v>
      </c>
      <c r="AC223" s="503">
        <f t="shared" si="39"/>
        <v>0</v>
      </c>
      <c r="AD223" s="389">
        <f t="shared" si="48"/>
        <v>0</v>
      </c>
    </row>
    <row r="224" spans="1:30" s="390" customFormat="1" ht="15" customHeight="1">
      <c r="A224" s="167">
        <v>214</v>
      </c>
      <c r="B224" s="267" t="str">
        <f>VLOOKUP(A224,'JUNE (물량흐름)'!$A$13:$C$502,2,0)</f>
        <v>ALFANI</v>
      </c>
      <c r="C224" s="240">
        <f>VLOOKUP(A224,'JUNE (물량흐름)'!$A$13:$C$502,3,0)</f>
        <v>100015352</v>
      </c>
      <c r="D224" s="6">
        <f>VLOOKUP(C224,'WIP(재공품)'!$B$12:$E$493,4,0)</f>
        <v>30611.250000000004</v>
      </c>
      <c r="E224" s="6">
        <f>IFERROR(VLOOKUP(C224,O.B.JUNE!$AA$7:$AG$448,2,0),0)</f>
        <v>0</v>
      </c>
      <c r="F224" s="6">
        <f>IFERROR(VLOOKUP(C224,O.B.JUNE!$AA$7:$AG$448,3,0),0)</f>
        <v>163</v>
      </c>
      <c r="G224" s="6">
        <f>IFERROR(VLOOKUP(C224,O.B.JUNE!$AA$7:$AD$448,4,0),0)</f>
        <v>98</v>
      </c>
      <c r="H224" s="6">
        <f t="shared" si="41"/>
        <v>261</v>
      </c>
      <c r="I224" s="6">
        <f>IFERROR(VLOOKUP(C224,O.B.JUNE!$AA$7:$AF$448,6,0),0)</f>
        <v>160</v>
      </c>
      <c r="J224" s="6"/>
      <c r="K224" s="6">
        <f>IFERROR(VLOOKUP(C224,O.B.JUNE!$AA$7:$AG$448,7,0),0)</f>
        <v>3808395</v>
      </c>
      <c r="L224" s="6">
        <f>SUMIF('JUNE (물량흐름)'!$C$13:$C$502,'Direct labour(직접노무비)'!C224,'JUNE (물량흐름)'!$H$13:$H$502)+SUMIF('JUNE (물량흐름)'!$C$13:$C$502,'Direct labour(직접노무비)'!C224,'JUNE (물량흐름)'!$I$13:$I$502)</f>
        <v>0</v>
      </c>
      <c r="M224" s="6">
        <f t="shared" si="42"/>
        <v>0</v>
      </c>
      <c r="N224" s="6">
        <f t="shared" si="43"/>
        <v>0</v>
      </c>
      <c r="O224" s="6">
        <f t="shared" si="40"/>
        <v>0</v>
      </c>
      <c r="P224" s="6">
        <f>SUMIF('JUNE (물량흐름)'!$C$13:$C$502,C224,'JUNE (물량흐름)'!$T$13:$T$502)+SUMIF('JUNE (물량흐름)'!$C$13:$C$502,C224,'JUNE (물량흐름)'!$V$13:$V$502)+SUMIF('JUNE (물량흐름)'!$C$13:$C$502,C224,'JUNE (물량흐름)'!$U$13:$U$502)-SUMIF('JUNE (물량흐름)'!$C$13:$C$502,C224,'JUNE (물량흐름)'!$Y$13:$Y$502)</f>
        <v>0</v>
      </c>
      <c r="Q224" s="6">
        <f t="shared" si="49"/>
        <v>0</v>
      </c>
      <c r="R224" s="6">
        <f>ROUND(IF(ISERROR(VLOOKUP(#REF!,'WIP(재공품)'!$B$12:$AB$38,13,0)),0,VLOOKUP(#REF!,'WIP(재공품)'!$B$12:$AB$38,13,0)),0)</f>
        <v>0</v>
      </c>
      <c r="S224" s="6">
        <f>IF(ISERROR(VLOOKUP(#REF!,'WIP(재공품)'!$B$12:$AB$38,10,0)),0,VLOOKUP(#REF!,'WIP(재공품)'!$B$12:$AB$38,10,0))</f>
        <v>0</v>
      </c>
      <c r="T224" s="6">
        <f>SUMIF('JUNE (물량흐름)'!$C$13:$C$502,'Direct labour(직접노무비)'!C224,'JUNE (물량흐름)'!$Y$13:$Y$502)</f>
        <v>0</v>
      </c>
      <c r="U224" s="6">
        <f t="shared" si="44"/>
        <v>0</v>
      </c>
      <c r="V224" s="6">
        <f>ROUND(SUMIF('JUNE (물량흐름)'!$C$13:$C$502,'Direct labour(직접노무비)'!C224,'JUNE (물량흐름)'!$N$13:$N$502),0)</f>
        <v>0</v>
      </c>
      <c r="W224" s="6">
        <f>ROUND(SUMIF('JUNE (물량흐름)'!$C$13:$C$502,'Direct labour(직접노무비)'!C224,'JUNE (물량흐름)'!$O$13:$O$502),0)</f>
        <v>163</v>
      </c>
      <c r="X224" s="6">
        <f>ROUND(SUMIF('JUNE (물량흐름)'!$C$13:$C$502,'Direct labour(직접노무비)'!C224,'JUNE (물량흐름)'!$P$13:$P$502),0)</f>
        <v>98</v>
      </c>
      <c r="Y224" s="6">
        <f t="shared" si="45"/>
        <v>261</v>
      </c>
      <c r="Z224" s="6">
        <f t="shared" si="46"/>
        <v>160</v>
      </c>
      <c r="AA224" s="6">
        <f t="shared" si="50"/>
        <v>3808395</v>
      </c>
      <c r="AB224" s="389">
        <f t="shared" si="47"/>
        <v>0</v>
      </c>
      <c r="AC224" s="503">
        <f t="shared" si="39"/>
        <v>0</v>
      </c>
      <c r="AD224" s="389">
        <f t="shared" si="48"/>
        <v>0</v>
      </c>
    </row>
    <row r="225" spans="1:30" s="390" customFormat="1" ht="15" customHeight="1">
      <c r="A225" s="167">
        <v>215</v>
      </c>
      <c r="B225" s="267" t="str">
        <f>VLOOKUP(A225,'JUNE (물량흐름)'!$A$13:$C$502,2,0)</f>
        <v>ALFANI</v>
      </c>
      <c r="C225" s="240">
        <f>VLOOKUP(A225,'JUNE (물량흐름)'!$A$13:$C$502,3,0)</f>
        <v>100015355</v>
      </c>
      <c r="D225" s="6">
        <f>VLOOKUP(C225,'WIP(재공품)'!$B$12:$E$493,4,0)</f>
        <v>36280</v>
      </c>
      <c r="E225" s="6">
        <f>IFERROR(VLOOKUP(C225,O.B.JUNE!$AA$7:$AG$448,2,0),0)</f>
        <v>0</v>
      </c>
      <c r="F225" s="6">
        <f>IFERROR(VLOOKUP(C225,O.B.JUNE!$AA$7:$AG$448,3,0),0)</f>
        <v>104</v>
      </c>
      <c r="G225" s="6">
        <f>IFERROR(VLOOKUP(C225,O.B.JUNE!$AA$7:$AD$448,4,0),0)</f>
        <v>240</v>
      </c>
      <c r="H225" s="6">
        <f t="shared" si="41"/>
        <v>344</v>
      </c>
      <c r="I225" s="6">
        <f>IFERROR(VLOOKUP(C225,O.B.JUNE!$AA$7:$AF$448,6,0),0)</f>
        <v>244</v>
      </c>
      <c r="J225" s="6"/>
      <c r="K225" s="6">
        <f>IFERROR(VLOOKUP(C225,O.B.JUNE!$AA$7:$AG$448,7,0),0)</f>
        <v>4571791</v>
      </c>
      <c r="L225" s="6">
        <f>SUMIF('JUNE (물량흐름)'!$C$13:$C$502,'Direct labour(직접노무비)'!C225,'JUNE (물량흐름)'!$H$13:$H$502)+SUMIF('JUNE (물량흐름)'!$C$13:$C$502,'Direct labour(직접노무비)'!C225,'JUNE (물량흐름)'!$I$13:$I$502)</f>
        <v>0</v>
      </c>
      <c r="M225" s="6">
        <f t="shared" si="42"/>
        <v>0</v>
      </c>
      <c r="N225" s="6">
        <f t="shared" si="43"/>
        <v>0</v>
      </c>
      <c r="O225" s="6">
        <f t="shared" si="40"/>
        <v>0</v>
      </c>
      <c r="P225" s="6">
        <f>SUMIF('JUNE (물량흐름)'!$C$13:$C$502,C225,'JUNE (물량흐름)'!$T$13:$T$502)+SUMIF('JUNE (물량흐름)'!$C$13:$C$502,C225,'JUNE (물량흐름)'!$V$13:$V$502)+SUMIF('JUNE (물량흐름)'!$C$13:$C$502,C225,'JUNE (물량흐름)'!$U$13:$U$502)-SUMIF('JUNE (물량흐름)'!$C$13:$C$502,C225,'JUNE (물량흐름)'!$Y$13:$Y$502)</f>
        <v>0</v>
      </c>
      <c r="Q225" s="6">
        <f t="shared" si="49"/>
        <v>0</v>
      </c>
      <c r="R225" s="6">
        <f>ROUND(IF(ISERROR(VLOOKUP(#REF!,'WIP(재공품)'!$B$12:$AB$38,13,0)),0,VLOOKUP(#REF!,'WIP(재공품)'!$B$12:$AB$38,13,0)),0)</f>
        <v>0</v>
      </c>
      <c r="S225" s="6">
        <f>IF(ISERROR(VLOOKUP(#REF!,'WIP(재공품)'!$B$12:$AB$38,10,0)),0,VLOOKUP(#REF!,'WIP(재공품)'!$B$12:$AB$38,10,0))</f>
        <v>0</v>
      </c>
      <c r="T225" s="6">
        <f>SUMIF('JUNE (물량흐름)'!$C$13:$C$502,'Direct labour(직접노무비)'!C225,'JUNE (물량흐름)'!$Y$13:$Y$502)</f>
        <v>0</v>
      </c>
      <c r="U225" s="6">
        <f t="shared" si="44"/>
        <v>0</v>
      </c>
      <c r="V225" s="6">
        <f>ROUND(SUMIF('JUNE (물량흐름)'!$C$13:$C$502,'Direct labour(직접노무비)'!C225,'JUNE (물량흐름)'!$N$13:$N$502),0)</f>
        <v>0</v>
      </c>
      <c r="W225" s="6">
        <f>ROUND(SUMIF('JUNE (물량흐름)'!$C$13:$C$502,'Direct labour(직접노무비)'!C225,'JUNE (물량흐름)'!$O$13:$O$502),0)</f>
        <v>104</v>
      </c>
      <c r="X225" s="6">
        <f>ROUND(SUMIF('JUNE (물량흐름)'!$C$13:$C$502,'Direct labour(직접노무비)'!C225,'JUNE (물량흐름)'!$P$13:$P$502),0)</f>
        <v>240</v>
      </c>
      <c r="Y225" s="6">
        <f t="shared" si="45"/>
        <v>344</v>
      </c>
      <c r="Z225" s="6">
        <f t="shared" si="46"/>
        <v>244</v>
      </c>
      <c r="AA225" s="6">
        <f t="shared" si="50"/>
        <v>4571791</v>
      </c>
      <c r="AB225" s="389">
        <f t="shared" si="47"/>
        <v>0</v>
      </c>
      <c r="AC225" s="503">
        <f t="shared" si="39"/>
        <v>0</v>
      </c>
      <c r="AD225" s="389">
        <f t="shared" si="48"/>
        <v>0</v>
      </c>
    </row>
    <row r="226" spans="1:30" s="390" customFormat="1" ht="15" customHeight="1">
      <c r="A226" s="167">
        <v>216</v>
      </c>
      <c r="B226" s="267" t="str">
        <f>VLOOKUP(A226,'JUNE (물량흐름)'!$A$13:$C$502,2,0)</f>
        <v>ALFANI</v>
      </c>
      <c r="C226" s="240">
        <f>VLOOKUP(A226,'JUNE (물량흐름)'!$A$13:$C$502,3,0)</f>
        <v>100015669</v>
      </c>
      <c r="D226" s="6">
        <f>VLOOKUP(C226,'WIP(재공품)'!$B$12:$E$493,4,0)</f>
        <v>8163</v>
      </c>
      <c r="E226" s="6">
        <f>IFERROR(VLOOKUP(C226,O.B.JUNE!$AA$7:$AG$448,2,0),0)</f>
        <v>0</v>
      </c>
      <c r="F226" s="6">
        <f>IFERROR(VLOOKUP(C226,O.B.JUNE!$AA$7:$AG$448,3,0),0)</f>
        <v>0</v>
      </c>
      <c r="G226" s="6">
        <f>IFERROR(VLOOKUP(C226,O.B.JUNE!$AA$7:$AD$448,4,0),0)</f>
        <v>14</v>
      </c>
      <c r="H226" s="6">
        <f t="shared" si="41"/>
        <v>14</v>
      </c>
      <c r="I226" s="6">
        <f>IFERROR(VLOOKUP(C226,O.B.JUNE!$AA$7:$AF$448,6,0),0)</f>
        <v>11</v>
      </c>
      <c r="J226" s="6"/>
      <c r="K226" s="6">
        <f>IFERROR(VLOOKUP(C226,O.B.JUNE!$AA$7:$AG$448,7,0),0)</f>
        <v>143440</v>
      </c>
      <c r="L226" s="6">
        <f>SUMIF('JUNE (물량흐름)'!$C$13:$C$502,'Direct labour(직접노무비)'!C226,'JUNE (물량흐름)'!$H$13:$H$502)+SUMIF('JUNE (물량흐름)'!$C$13:$C$502,'Direct labour(직접노무비)'!C226,'JUNE (물량흐름)'!$I$13:$I$502)</f>
        <v>6295</v>
      </c>
      <c r="M226" s="6">
        <f t="shared" si="42"/>
        <v>5036</v>
      </c>
      <c r="N226" s="6">
        <f t="shared" si="43"/>
        <v>41108868</v>
      </c>
      <c r="O226" s="6">
        <f t="shared" si="40"/>
        <v>12713892</v>
      </c>
      <c r="P226" s="6">
        <f>SUMIF('JUNE (물량흐름)'!$C$13:$C$502,C226,'JUNE (물량흐름)'!$T$13:$T$502)+SUMIF('JUNE (물량흐름)'!$C$13:$C$502,C226,'JUNE (물량흐름)'!$V$13:$V$502)+SUMIF('JUNE (물량흐름)'!$C$13:$C$502,C226,'JUNE (물량흐름)'!$U$13:$U$502)-SUMIF('JUNE (물량흐름)'!$C$13:$C$502,C226,'JUNE (물량흐름)'!$Y$13:$Y$502)</f>
        <v>0</v>
      </c>
      <c r="Q226" s="6">
        <f t="shared" si="49"/>
        <v>0</v>
      </c>
      <c r="R226" s="6">
        <f>ROUND(IF(ISERROR(VLOOKUP(#REF!,'WIP(재공품)'!$B$12:$AB$38,13,0)),0,VLOOKUP(#REF!,'WIP(재공품)'!$B$12:$AB$38,13,0)),0)</f>
        <v>0</v>
      </c>
      <c r="S226" s="6">
        <f>IF(ISERROR(VLOOKUP(#REF!,'WIP(재공품)'!$B$12:$AB$38,10,0)),0,VLOOKUP(#REF!,'WIP(재공품)'!$B$12:$AB$38,10,0))</f>
        <v>0</v>
      </c>
      <c r="T226" s="6">
        <f>SUMIF('JUNE (물량흐름)'!$C$13:$C$502,'Direct labour(직접노무비)'!C226,'JUNE (물량흐름)'!$Y$13:$Y$502)</f>
        <v>0</v>
      </c>
      <c r="U226" s="6">
        <f t="shared" si="44"/>
        <v>0</v>
      </c>
      <c r="V226" s="6">
        <f>ROUND(SUMIF('JUNE (물량흐름)'!$C$13:$C$502,'Direct labour(직접노무비)'!C226,'JUNE (물량흐름)'!$N$13:$N$502),0)</f>
        <v>0</v>
      </c>
      <c r="W226" s="6">
        <f>ROUND(SUMIF('JUNE (물량흐름)'!$C$13:$C$502,'Direct labour(직접노무비)'!C226,'JUNE (물량흐름)'!$O$13:$O$502),0)</f>
        <v>0</v>
      </c>
      <c r="X226" s="6">
        <f>ROUND(SUMIF('JUNE (물량흐름)'!$C$13:$C$502,'Direct labour(직접노무비)'!C226,'JUNE (물량흐름)'!$P$13:$P$502),0)</f>
        <v>6309</v>
      </c>
      <c r="Y226" s="6">
        <f t="shared" si="45"/>
        <v>6309</v>
      </c>
      <c r="Z226" s="6">
        <f t="shared" si="46"/>
        <v>5047</v>
      </c>
      <c r="AA226" s="6">
        <f t="shared" si="50"/>
        <v>12857332</v>
      </c>
      <c r="AB226" s="389">
        <f t="shared" si="47"/>
        <v>0</v>
      </c>
      <c r="AC226" s="503">
        <f t="shared" si="39"/>
        <v>0</v>
      </c>
      <c r="AD226" s="389">
        <f t="shared" si="48"/>
        <v>0</v>
      </c>
    </row>
    <row r="227" spans="1:30" s="390" customFormat="1" ht="15" customHeight="1">
      <c r="A227" s="167">
        <v>217</v>
      </c>
      <c r="B227" s="267" t="str">
        <f>VLOOKUP(A227,'JUNE (물량흐름)'!$A$13:$C$502,2,0)</f>
        <v>ALFANI</v>
      </c>
      <c r="C227" s="240">
        <f>VLOOKUP(A227,'JUNE (물량흐름)'!$A$13:$C$502,3,0)</f>
        <v>100018310</v>
      </c>
      <c r="D227" s="6">
        <f>VLOOKUP(C227,'WIP(재공품)'!$B$12:$E$493,4,0)</f>
        <v>7971.522222222221</v>
      </c>
      <c r="E227" s="6">
        <f>IFERROR(VLOOKUP(C227,O.B.JUNE!$AA$7:$AG$448,2,0),0)</f>
        <v>0</v>
      </c>
      <c r="F227" s="6">
        <f>IFERROR(VLOOKUP(C227,O.B.JUNE!$AA$7:$AG$448,3,0),0)</f>
        <v>97</v>
      </c>
      <c r="G227" s="6">
        <f>IFERROR(VLOOKUP(C227,O.B.JUNE!$AA$7:$AD$448,4,0),0)</f>
        <v>98</v>
      </c>
      <c r="H227" s="6">
        <f t="shared" si="41"/>
        <v>195</v>
      </c>
      <c r="I227" s="6">
        <f>IFERROR(VLOOKUP(C227,O.B.JUNE!$AA$7:$AF$448,6,0),0)</f>
        <v>127</v>
      </c>
      <c r="J227" s="6"/>
      <c r="K227" s="6">
        <f>IFERROR(VLOOKUP(C227,O.B.JUNE!$AA$7:$AG$448,7,0),0)</f>
        <v>2077414</v>
      </c>
      <c r="L227" s="6">
        <f>SUMIF('JUNE (물량흐름)'!$C$13:$C$502,'Direct labour(직접노무비)'!C227,'JUNE (물량흐름)'!$H$13:$H$502)+SUMIF('JUNE (물량흐름)'!$C$13:$C$502,'Direct labour(직접노무비)'!C227,'JUNE (물량흐름)'!$I$13:$I$502)</f>
        <v>0</v>
      </c>
      <c r="M227" s="6">
        <f t="shared" si="42"/>
        <v>0</v>
      </c>
      <c r="N227" s="6">
        <f t="shared" si="43"/>
        <v>0</v>
      </c>
      <c r="O227" s="6">
        <f t="shared" si="40"/>
        <v>0</v>
      </c>
      <c r="P227" s="6">
        <f>SUMIF('JUNE (물량흐름)'!$C$13:$C$502,C227,'JUNE (물량흐름)'!$T$13:$T$502)+SUMIF('JUNE (물량흐름)'!$C$13:$C$502,C227,'JUNE (물량흐름)'!$V$13:$V$502)+SUMIF('JUNE (물량흐름)'!$C$13:$C$502,C227,'JUNE (물량흐름)'!$U$13:$U$502)-SUMIF('JUNE (물량흐름)'!$C$13:$C$502,C227,'JUNE (물량흐름)'!$Y$13:$Y$502)</f>
        <v>0</v>
      </c>
      <c r="Q227" s="6">
        <f t="shared" si="49"/>
        <v>0</v>
      </c>
      <c r="R227" s="6">
        <f>ROUND(IF(ISERROR(VLOOKUP(#REF!,'WIP(재공품)'!$B$12:$AB$38,13,0)),0,VLOOKUP(#REF!,'WIP(재공품)'!$B$12:$AB$38,13,0)),0)</f>
        <v>0</v>
      </c>
      <c r="S227" s="6">
        <f>IF(ISERROR(VLOOKUP(#REF!,'WIP(재공품)'!$B$12:$AB$38,10,0)),0,VLOOKUP(#REF!,'WIP(재공품)'!$B$12:$AB$38,10,0))</f>
        <v>0</v>
      </c>
      <c r="T227" s="6">
        <f>SUMIF('JUNE (물량흐름)'!$C$13:$C$502,'Direct labour(직접노무비)'!C227,'JUNE (물량흐름)'!$Y$13:$Y$502)</f>
        <v>0</v>
      </c>
      <c r="U227" s="6">
        <f t="shared" si="44"/>
        <v>0</v>
      </c>
      <c r="V227" s="6">
        <f>ROUND(SUMIF('JUNE (물량흐름)'!$C$13:$C$502,'Direct labour(직접노무비)'!C227,'JUNE (물량흐름)'!$N$13:$N$502),0)</f>
        <v>0</v>
      </c>
      <c r="W227" s="6">
        <f>ROUND(SUMIF('JUNE (물량흐름)'!$C$13:$C$502,'Direct labour(직접노무비)'!C227,'JUNE (물량흐름)'!$O$13:$O$502),0)</f>
        <v>97</v>
      </c>
      <c r="X227" s="6">
        <f>ROUND(SUMIF('JUNE (물량흐름)'!$C$13:$C$502,'Direct labour(직접노무비)'!C227,'JUNE (물량흐름)'!$P$13:$P$502),0)</f>
        <v>98</v>
      </c>
      <c r="Y227" s="6">
        <f t="shared" si="45"/>
        <v>195</v>
      </c>
      <c r="Z227" s="6">
        <f t="shared" si="46"/>
        <v>127</v>
      </c>
      <c r="AA227" s="6">
        <f t="shared" si="50"/>
        <v>2077414</v>
      </c>
      <c r="AB227" s="389">
        <f t="shared" si="47"/>
        <v>0</v>
      </c>
      <c r="AC227" s="503">
        <f t="shared" si="39"/>
        <v>0</v>
      </c>
      <c r="AD227" s="389">
        <f t="shared" si="48"/>
        <v>0</v>
      </c>
    </row>
    <row r="228" spans="1:30" s="390" customFormat="1" ht="15" customHeight="1">
      <c r="A228" s="167">
        <v>218</v>
      </c>
      <c r="B228" s="267" t="str">
        <f>VLOOKUP(A228,'JUNE (물량흐름)'!$A$13:$C$502,2,0)</f>
        <v>ALFANI</v>
      </c>
      <c r="C228" s="240">
        <f>VLOOKUP(A228,'JUNE (물량흐름)'!$A$13:$C$502,3,0)</f>
        <v>100021064</v>
      </c>
      <c r="D228" s="6">
        <f>VLOOKUP(C228,'WIP(재공품)'!$B$12:$E$493,4,0)</f>
        <v>30838.000000000004</v>
      </c>
      <c r="E228" s="6">
        <f>IFERROR(VLOOKUP(C228,O.B.JUNE!$AA$7:$AG$448,2,0),0)</f>
        <v>0</v>
      </c>
      <c r="F228" s="6">
        <f>IFERROR(VLOOKUP(C228,O.B.JUNE!$AA$7:$AG$448,3,0),0)</f>
        <v>80</v>
      </c>
      <c r="G228" s="6">
        <f>IFERROR(VLOOKUP(C228,O.B.JUNE!$AA$7:$AD$448,4,0),0)</f>
        <v>80</v>
      </c>
      <c r="H228" s="6">
        <f t="shared" si="41"/>
        <v>160</v>
      </c>
      <c r="I228" s="6">
        <f>IFERROR(VLOOKUP(C228,O.B.JUNE!$AA$7:$AF$448,6,0),0)</f>
        <v>104</v>
      </c>
      <c r="J228" s="6"/>
      <c r="K228" s="6">
        <f>IFERROR(VLOOKUP(C228,O.B.JUNE!$AA$7:$AG$448,7,0),0)</f>
        <v>1661402</v>
      </c>
      <c r="L228" s="6">
        <f>SUMIF('JUNE (물량흐름)'!$C$13:$C$502,'Direct labour(직접노무비)'!C228,'JUNE (물량흐름)'!$H$13:$H$502)+SUMIF('JUNE (물량흐름)'!$C$13:$C$502,'Direct labour(직접노무비)'!C228,'JUNE (물량흐름)'!$I$13:$I$502)</f>
        <v>0</v>
      </c>
      <c r="M228" s="6">
        <f t="shared" si="42"/>
        <v>0</v>
      </c>
      <c r="N228" s="6">
        <f t="shared" si="43"/>
        <v>0</v>
      </c>
      <c r="O228" s="6">
        <f t="shared" si="40"/>
        <v>0</v>
      </c>
      <c r="P228" s="6">
        <f>SUMIF('JUNE (물량흐름)'!$C$13:$C$502,C228,'JUNE (물량흐름)'!$T$13:$T$502)+SUMIF('JUNE (물량흐름)'!$C$13:$C$502,C228,'JUNE (물량흐름)'!$V$13:$V$502)+SUMIF('JUNE (물량흐름)'!$C$13:$C$502,C228,'JUNE (물량흐름)'!$U$13:$U$502)-SUMIF('JUNE (물량흐름)'!$C$13:$C$502,C228,'JUNE (물량흐름)'!$Y$13:$Y$502)</f>
        <v>0</v>
      </c>
      <c r="Q228" s="6">
        <f t="shared" si="49"/>
        <v>0</v>
      </c>
      <c r="R228" s="6">
        <f>ROUND(IF(ISERROR(VLOOKUP(#REF!,'WIP(재공품)'!$B$12:$AB$38,13,0)),0,VLOOKUP(#REF!,'WIP(재공품)'!$B$12:$AB$38,13,0)),0)</f>
        <v>0</v>
      </c>
      <c r="S228" s="6">
        <f>IF(ISERROR(VLOOKUP(#REF!,'WIP(재공품)'!$B$12:$AB$38,10,0)),0,VLOOKUP(#REF!,'WIP(재공품)'!$B$12:$AB$38,10,0))</f>
        <v>0</v>
      </c>
      <c r="T228" s="6">
        <f>SUMIF('JUNE (물량흐름)'!$C$13:$C$502,'Direct labour(직접노무비)'!C228,'JUNE (물량흐름)'!$Y$13:$Y$502)</f>
        <v>0</v>
      </c>
      <c r="U228" s="6">
        <f t="shared" si="44"/>
        <v>0</v>
      </c>
      <c r="V228" s="6">
        <f>ROUND(SUMIF('JUNE (물량흐름)'!$C$13:$C$502,'Direct labour(직접노무비)'!C228,'JUNE (물량흐름)'!$N$13:$N$502),0)</f>
        <v>0</v>
      </c>
      <c r="W228" s="6">
        <f>ROUND(SUMIF('JUNE (물량흐름)'!$C$13:$C$502,'Direct labour(직접노무비)'!C228,'JUNE (물량흐름)'!$O$13:$O$502),0)</f>
        <v>80</v>
      </c>
      <c r="X228" s="6">
        <f>ROUND(SUMIF('JUNE (물량흐름)'!$C$13:$C$502,'Direct labour(직접노무비)'!C228,'JUNE (물량흐름)'!$P$13:$P$502),0)</f>
        <v>80</v>
      </c>
      <c r="Y228" s="6">
        <f t="shared" si="45"/>
        <v>160</v>
      </c>
      <c r="Z228" s="6">
        <f t="shared" si="46"/>
        <v>104</v>
      </c>
      <c r="AA228" s="6">
        <f t="shared" si="50"/>
        <v>1661402</v>
      </c>
      <c r="AB228" s="389">
        <f t="shared" si="47"/>
        <v>0</v>
      </c>
      <c r="AC228" s="503">
        <f t="shared" si="39"/>
        <v>0</v>
      </c>
      <c r="AD228" s="389">
        <f t="shared" si="48"/>
        <v>0</v>
      </c>
    </row>
    <row r="229" spans="1:30" s="390" customFormat="1" ht="15" customHeight="1">
      <c r="A229" s="167">
        <v>219</v>
      </c>
      <c r="B229" s="267" t="str">
        <f>VLOOKUP(A229,'JUNE (물량흐름)'!$A$13:$C$502,2,0)</f>
        <v>ALFANI</v>
      </c>
      <c r="C229" s="240">
        <f>VLOOKUP(A229,'JUNE (물량흐름)'!$A$13:$C$502,3,0)</f>
        <v>73301</v>
      </c>
      <c r="D229" s="6">
        <f>VLOOKUP(C229,'WIP(재공품)'!$B$12:$E$493,4,0)</f>
        <v>44443</v>
      </c>
      <c r="E229" s="6">
        <f>IFERROR(VLOOKUP(C229,O.B.JUNE!$AA$7:$AG$448,2,0),0)</f>
        <v>0</v>
      </c>
      <c r="F229" s="6">
        <f>IFERROR(VLOOKUP(C229,O.B.JUNE!$AA$7:$AG$448,3,0),0)</f>
        <v>121</v>
      </c>
      <c r="G229" s="6">
        <f>IFERROR(VLOOKUP(C229,O.B.JUNE!$AA$7:$AD$448,4,0),0)</f>
        <v>350</v>
      </c>
      <c r="H229" s="6">
        <f t="shared" si="41"/>
        <v>471</v>
      </c>
      <c r="I229" s="6">
        <f>IFERROR(VLOOKUP(C229,O.B.JUNE!$AA$7:$AF$448,6,0),0)</f>
        <v>341</v>
      </c>
      <c r="J229" s="6"/>
      <c r="K229" s="6">
        <f>IFERROR(VLOOKUP(C229,O.B.JUNE!$AA$7:$AG$448,7,0),0)</f>
        <v>5435806</v>
      </c>
      <c r="L229" s="6">
        <f>SUMIF('JUNE (물량흐름)'!$C$13:$C$502,'Direct labour(직접노무비)'!C229,'JUNE (물량흐름)'!$H$13:$H$502)+SUMIF('JUNE (물량흐름)'!$C$13:$C$502,'Direct labour(직접노무비)'!C229,'JUNE (물량흐름)'!$I$13:$I$502)</f>
        <v>3765</v>
      </c>
      <c r="M229" s="6">
        <f t="shared" si="42"/>
        <v>3752</v>
      </c>
      <c r="N229" s="6">
        <f t="shared" si="43"/>
        <v>166750136</v>
      </c>
      <c r="O229" s="6">
        <f t="shared" si="40"/>
        <v>51571432</v>
      </c>
      <c r="P229" s="6">
        <f>SUMIF('JUNE (물량흐름)'!$C$13:$C$502,C229,'JUNE (물량흐름)'!$T$13:$T$502)+SUMIF('JUNE (물량흐름)'!$C$13:$C$502,C229,'JUNE (물량흐름)'!$V$13:$V$502)+SUMIF('JUNE (물량흐름)'!$C$13:$C$502,C229,'JUNE (물량흐름)'!$U$13:$U$502)-SUMIF('JUNE (물량흐름)'!$C$13:$C$502,C229,'JUNE (물량흐름)'!$Y$13:$Y$502)</f>
        <v>3600</v>
      </c>
      <c r="Q229" s="6">
        <f t="shared" si="49"/>
        <v>48448078</v>
      </c>
      <c r="R229" s="6">
        <f>ROUND(IF(ISERROR(VLOOKUP(#REF!,'WIP(재공품)'!$B$12:$AB$38,13,0)),0,VLOOKUP(#REF!,'WIP(재공품)'!$B$12:$AB$38,13,0)),0)</f>
        <v>0</v>
      </c>
      <c r="S229" s="6">
        <f>IF(ISERROR(VLOOKUP(#REF!,'WIP(재공품)'!$B$12:$AB$38,10,0)),0,VLOOKUP(#REF!,'WIP(재공품)'!$B$12:$AB$38,10,0))</f>
        <v>0</v>
      </c>
      <c r="T229" s="6">
        <f>SUMIF('JUNE (물량흐름)'!$C$13:$C$502,'Direct labour(직접노무비)'!C229,'JUNE (물량흐름)'!$Y$13:$Y$502)</f>
        <v>0</v>
      </c>
      <c r="U229" s="6">
        <f t="shared" si="44"/>
        <v>0</v>
      </c>
      <c r="V229" s="6">
        <f>ROUND(SUMIF('JUNE (물량흐름)'!$C$13:$C$502,'Direct labour(직접노무비)'!C229,'JUNE (물량흐름)'!$N$13:$N$502),0)</f>
        <v>0</v>
      </c>
      <c r="W229" s="6">
        <f>ROUND(SUMIF('JUNE (물량흐름)'!$C$13:$C$502,'Direct labour(직접노무비)'!C229,'JUNE (물량흐름)'!$O$13:$O$502),0)</f>
        <v>54</v>
      </c>
      <c r="X229" s="6">
        <f>ROUND(SUMIF('JUNE (물량흐름)'!$C$13:$C$502,'Direct labour(직접노무비)'!C229,'JUNE (물량흐름)'!$P$13:$P$502),0)</f>
        <v>582</v>
      </c>
      <c r="Y229" s="6">
        <f t="shared" si="45"/>
        <v>636</v>
      </c>
      <c r="Z229" s="6">
        <f t="shared" si="46"/>
        <v>493</v>
      </c>
      <c r="AA229" s="6">
        <f t="shared" si="50"/>
        <v>8559160</v>
      </c>
      <c r="AB229" s="389">
        <f t="shared" si="47"/>
        <v>0</v>
      </c>
      <c r="AC229" s="503">
        <f t="shared" si="39"/>
        <v>0</v>
      </c>
      <c r="AD229" s="389">
        <f t="shared" si="48"/>
        <v>0</v>
      </c>
    </row>
    <row r="230" spans="1:30" s="392" customFormat="1" ht="15" customHeight="1">
      <c r="A230" s="167">
        <v>220</v>
      </c>
      <c r="B230" s="267" t="str">
        <f>VLOOKUP(A230,'JUNE (물량흐름)'!$A$13:$C$502,2,0)</f>
        <v>ALFANI</v>
      </c>
      <c r="C230" s="240">
        <f>VLOOKUP(A230,'JUNE (물량흐름)'!$A$13:$C$502,3,0)</f>
        <v>74902</v>
      </c>
      <c r="D230" s="6">
        <f>VLOOKUP(C230,'WIP(재공품)'!$B$12:$E$493,4,0)</f>
        <v>7936.2499999999991</v>
      </c>
      <c r="E230" s="6">
        <f>IFERROR(VLOOKUP(C230,O.B.JUNE!$AA$7:$AG$448,2,0),0)</f>
        <v>47</v>
      </c>
      <c r="F230" s="6">
        <f>IFERROR(VLOOKUP(C230,O.B.JUNE!$AA$7:$AG$448,3,0),0)</f>
        <v>337</v>
      </c>
      <c r="G230" s="6">
        <f>IFERROR(VLOOKUP(C230,O.B.JUNE!$AA$7:$AD$448,4,0),0)</f>
        <v>1151</v>
      </c>
      <c r="H230" s="6">
        <f t="shared" si="41"/>
        <v>1535</v>
      </c>
      <c r="I230" s="6">
        <f>IFERROR(VLOOKUP(C230,O.B.JUNE!$AA$7:$AF$448,6,0),0)</f>
        <v>1099</v>
      </c>
      <c r="J230" s="6"/>
      <c r="K230" s="6">
        <f>IFERROR(VLOOKUP(C230,O.B.JUNE!$AA$7:$AG$448,7,0),0)</f>
        <v>17013916</v>
      </c>
      <c r="L230" s="6">
        <f>SUMIF('JUNE (물량흐름)'!$C$13:$C$502,'Direct labour(직접노무비)'!C230,'JUNE (물량흐름)'!$H$13:$H$502)+SUMIF('JUNE (물량흐름)'!$C$13:$C$502,'Direct labour(직접노무비)'!C230,'JUNE (물량흐름)'!$I$13:$I$502)</f>
        <v>0</v>
      </c>
      <c r="M230" s="6">
        <f t="shared" si="42"/>
        <v>0</v>
      </c>
      <c r="N230" s="6">
        <f t="shared" si="43"/>
        <v>0</v>
      </c>
      <c r="O230" s="6">
        <f t="shared" si="40"/>
        <v>0</v>
      </c>
      <c r="P230" s="6">
        <f>SUMIF('JUNE (물량흐름)'!$C$13:$C$502,C230,'JUNE (물량흐름)'!$T$13:$T$502)+SUMIF('JUNE (물량흐름)'!$C$13:$C$502,C230,'JUNE (물량흐름)'!$V$13:$V$502)+SUMIF('JUNE (물량흐름)'!$C$13:$C$502,C230,'JUNE (물량흐름)'!$U$13:$U$502)-SUMIF('JUNE (물량흐름)'!$C$13:$C$502,C230,'JUNE (물량흐름)'!$Y$13:$Y$502)</f>
        <v>0</v>
      </c>
      <c r="Q230" s="6">
        <f t="shared" si="49"/>
        <v>0</v>
      </c>
      <c r="R230" s="6">
        <f>ROUND(IF(ISERROR(VLOOKUP(#REF!,'WIP(재공품)'!$B$12:$AB$38,13,0)),0,VLOOKUP(#REF!,'WIP(재공품)'!$B$12:$AB$38,13,0)),0)</f>
        <v>0</v>
      </c>
      <c r="S230" s="6">
        <f>IF(ISERROR(VLOOKUP(#REF!,'WIP(재공품)'!$B$12:$AB$38,10,0)),0,VLOOKUP(#REF!,'WIP(재공품)'!$B$12:$AB$38,10,0))</f>
        <v>0</v>
      </c>
      <c r="T230" s="6">
        <f>SUMIF('JUNE (물량흐름)'!$C$13:$C$502,'Direct labour(직접노무비)'!C230,'JUNE (물량흐름)'!$Y$13:$Y$502)</f>
        <v>0</v>
      </c>
      <c r="U230" s="6">
        <f t="shared" si="44"/>
        <v>0</v>
      </c>
      <c r="V230" s="6">
        <f>ROUND(SUMIF('JUNE (물량흐름)'!$C$13:$C$502,'Direct labour(직접노무비)'!C230,'JUNE (물량흐름)'!$N$13:$N$502),0)</f>
        <v>47</v>
      </c>
      <c r="W230" s="6">
        <f>ROUND(SUMIF('JUNE (물량흐름)'!$C$13:$C$502,'Direct labour(직접노무비)'!C230,'JUNE (물량흐름)'!$O$13:$O$502),0)</f>
        <v>337</v>
      </c>
      <c r="X230" s="6">
        <f>ROUND(SUMIF('JUNE (물량흐름)'!$C$13:$C$502,'Direct labour(직접노무비)'!C230,'JUNE (물량흐름)'!$P$13:$P$502),0)</f>
        <v>1151</v>
      </c>
      <c r="Y230" s="6">
        <f t="shared" si="45"/>
        <v>1535</v>
      </c>
      <c r="Z230" s="6">
        <f t="shared" si="46"/>
        <v>1099</v>
      </c>
      <c r="AA230" s="6">
        <f t="shared" si="50"/>
        <v>17013916</v>
      </c>
      <c r="AB230" s="389">
        <f t="shared" si="47"/>
        <v>0</v>
      </c>
      <c r="AC230" s="503">
        <f t="shared" si="39"/>
        <v>0</v>
      </c>
      <c r="AD230" s="389">
        <f t="shared" si="48"/>
        <v>0</v>
      </c>
    </row>
    <row r="231" spans="1:30" s="390" customFormat="1" ht="15" customHeight="1">
      <c r="A231" s="167">
        <v>221</v>
      </c>
      <c r="B231" s="267" t="str">
        <f>VLOOKUP(A231,'JUNE (물량흐름)'!$A$13:$C$502,2,0)</f>
        <v>ALFANI</v>
      </c>
      <c r="C231" s="240">
        <f>VLOOKUP(A231,'JUNE (물량흐름)'!$A$13:$C$502,3,0)</f>
        <v>75303</v>
      </c>
      <c r="D231" s="6">
        <f>VLOOKUP(C231,'WIP(재공품)'!$B$12:$E$493,4,0)</f>
        <v>7936.2499999999991</v>
      </c>
      <c r="E231" s="6">
        <f>IFERROR(VLOOKUP(C231,O.B.JUNE!$AA$7:$AG$448,2,0),0)</f>
        <v>5</v>
      </c>
      <c r="F231" s="6">
        <f>IFERROR(VLOOKUP(C231,O.B.JUNE!$AA$7:$AG$448,3,0),0)</f>
        <v>11</v>
      </c>
      <c r="G231" s="6">
        <f>IFERROR(VLOOKUP(C231,O.B.JUNE!$AA$7:$AD$448,4,0),0)</f>
        <v>443</v>
      </c>
      <c r="H231" s="6">
        <f t="shared" si="41"/>
        <v>459</v>
      </c>
      <c r="I231" s="6">
        <f>IFERROR(VLOOKUP(C231,O.B.JUNE!$AA$7:$AF$448,6,0),0)</f>
        <v>361</v>
      </c>
      <c r="J231" s="6"/>
      <c r="K231" s="6">
        <f>IFERROR(VLOOKUP(C231,O.B.JUNE!$AA$7:$AG$448,7,0),0)</f>
        <v>5709739</v>
      </c>
      <c r="L231" s="6">
        <f>SUMIF('JUNE (물량흐름)'!$C$13:$C$502,'Direct labour(직접노무비)'!C231,'JUNE (물량흐름)'!$H$13:$H$502)+SUMIF('JUNE (물량흐름)'!$C$13:$C$502,'Direct labour(직접노무비)'!C231,'JUNE (물량흐름)'!$I$13:$I$502)</f>
        <v>0</v>
      </c>
      <c r="M231" s="6">
        <f t="shared" si="42"/>
        <v>0</v>
      </c>
      <c r="N231" s="6">
        <f t="shared" si="43"/>
        <v>0</v>
      </c>
      <c r="O231" s="6">
        <f t="shared" si="40"/>
        <v>0</v>
      </c>
      <c r="P231" s="6">
        <f>SUMIF('JUNE (물량흐름)'!$C$13:$C$502,C231,'JUNE (물량흐름)'!$T$13:$T$502)+SUMIF('JUNE (물량흐름)'!$C$13:$C$502,C231,'JUNE (물량흐름)'!$V$13:$V$502)+SUMIF('JUNE (물량흐름)'!$C$13:$C$502,C231,'JUNE (물량흐름)'!$U$13:$U$502)-SUMIF('JUNE (물량흐름)'!$C$13:$C$502,C231,'JUNE (물량흐름)'!$Y$13:$Y$502)</f>
        <v>0</v>
      </c>
      <c r="Q231" s="6">
        <f t="shared" si="49"/>
        <v>0</v>
      </c>
      <c r="R231" s="6">
        <f>ROUND(IF(ISERROR(VLOOKUP(#REF!,'WIP(재공품)'!$B$12:$AB$38,13,0)),0,VLOOKUP(#REF!,'WIP(재공품)'!$B$12:$AB$38,13,0)),0)</f>
        <v>0</v>
      </c>
      <c r="S231" s="6">
        <f>IF(ISERROR(VLOOKUP(#REF!,'WIP(재공품)'!$B$12:$AB$38,10,0)),0,VLOOKUP(#REF!,'WIP(재공품)'!$B$12:$AB$38,10,0))</f>
        <v>0</v>
      </c>
      <c r="T231" s="6">
        <f>SUMIF('JUNE (물량흐름)'!$C$13:$C$502,'Direct labour(직접노무비)'!C231,'JUNE (물량흐름)'!$Y$13:$Y$502)</f>
        <v>0</v>
      </c>
      <c r="U231" s="6">
        <f t="shared" si="44"/>
        <v>0</v>
      </c>
      <c r="V231" s="6">
        <f>ROUND(SUMIF('JUNE (물량흐름)'!$C$13:$C$502,'Direct labour(직접노무비)'!C231,'JUNE (물량흐름)'!$N$13:$N$502),0)</f>
        <v>1</v>
      </c>
      <c r="W231" s="6">
        <f>ROUND(SUMIF('JUNE (물량흐름)'!$C$13:$C$502,'Direct labour(직접노무비)'!C231,'JUNE (물량흐름)'!$O$13:$O$502),0)</f>
        <v>313</v>
      </c>
      <c r="X231" s="6">
        <f>ROUND(SUMIF('JUNE (물량흐름)'!$C$13:$C$502,'Direct labour(직접노무비)'!C231,'JUNE (물량흐름)'!$P$13:$P$502),0)</f>
        <v>145</v>
      </c>
      <c r="Y231" s="6">
        <f t="shared" si="45"/>
        <v>459</v>
      </c>
      <c r="Z231" s="6">
        <f t="shared" si="46"/>
        <v>273</v>
      </c>
      <c r="AA231" s="6">
        <f t="shared" si="50"/>
        <v>5709739</v>
      </c>
      <c r="AB231" s="389">
        <f t="shared" si="47"/>
        <v>0</v>
      </c>
      <c r="AC231" s="503">
        <f t="shared" si="39"/>
        <v>0</v>
      </c>
      <c r="AD231" s="389">
        <f t="shared" si="48"/>
        <v>0</v>
      </c>
    </row>
    <row r="232" spans="1:30" s="390" customFormat="1" ht="15" customHeight="1">
      <c r="A232" s="167">
        <v>222</v>
      </c>
      <c r="B232" s="267" t="str">
        <f>VLOOKUP(A232,'JUNE (물량흐름)'!$A$13:$C$502,2,0)</f>
        <v>ALFANI</v>
      </c>
      <c r="C232" s="240">
        <f>VLOOKUP(A232,'JUNE (물량흐름)'!$A$13:$C$502,3,0)</f>
        <v>7999</v>
      </c>
      <c r="D232" s="6">
        <f>VLOOKUP(C232,'WIP(재공품)'!$B$12:$E$493,4,0)</f>
        <v>7936.2499999999991</v>
      </c>
      <c r="E232" s="6">
        <f>IFERROR(VLOOKUP(C232,O.B.JUNE!$AA$7:$AG$448,2,0),0)</f>
        <v>0</v>
      </c>
      <c r="F232" s="6">
        <f>IFERROR(VLOOKUP(C232,O.B.JUNE!$AA$7:$AG$448,3,0),0)</f>
        <v>83</v>
      </c>
      <c r="G232" s="6">
        <f>IFERROR(VLOOKUP(C232,O.B.JUNE!$AA$7:$AD$448,4,0),0)</f>
        <v>59</v>
      </c>
      <c r="H232" s="6">
        <f t="shared" si="41"/>
        <v>142</v>
      </c>
      <c r="I232" s="6">
        <f>IFERROR(VLOOKUP(C232,O.B.JUNE!$AA$7:$AF$448,6,0),0)</f>
        <v>89</v>
      </c>
      <c r="J232" s="6"/>
      <c r="K232" s="6">
        <f>IFERROR(VLOOKUP(C232,O.B.JUNE!$AA$7:$AG$448,7,0),0)</f>
        <v>1466914</v>
      </c>
      <c r="L232" s="6">
        <f>SUMIF('JUNE (물량흐름)'!$C$13:$C$502,'Direct labour(직접노무비)'!C232,'JUNE (물량흐름)'!$H$13:$H$502)+SUMIF('JUNE (물량흐름)'!$C$13:$C$502,'Direct labour(직접노무비)'!C232,'JUNE (물량흐름)'!$I$13:$I$502)</f>
        <v>0</v>
      </c>
      <c r="M232" s="6">
        <f t="shared" si="42"/>
        <v>0</v>
      </c>
      <c r="N232" s="6">
        <f t="shared" si="43"/>
        <v>0</v>
      </c>
      <c r="O232" s="6">
        <f t="shared" si="40"/>
        <v>0</v>
      </c>
      <c r="P232" s="6">
        <f>SUMIF('JUNE (물량흐름)'!$C$13:$C$502,C232,'JUNE (물량흐름)'!$T$13:$T$502)+SUMIF('JUNE (물량흐름)'!$C$13:$C$502,C232,'JUNE (물량흐름)'!$V$13:$V$502)+SUMIF('JUNE (물량흐름)'!$C$13:$C$502,C232,'JUNE (물량흐름)'!$U$13:$U$502)-SUMIF('JUNE (물량흐름)'!$C$13:$C$502,C232,'JUNE (물량흐름)'!$Y$13:$Y$502)</f>
        <v>142</v>
      </c>
      <c r="Q232" s="6">
        <f t="shared" si="49"/>
        <v>1466914</v>
      </c>
      <c r="R232" s="6">
        <f>ROUND(IF(ISERROR(VLOOKUP(#REF!,'WIP(재공품)'!$B$12:$AB$38,13,0)),0,VLOOKUP(#REF!,'WIP(재공품)'!$B$12:$AB$38,13,0)),0)</f>
        <v>0</v>
      </c>
      <c r="S232" s="6">
        <f>IF(ISERROR(VLOOKUP(#REF!,'WIP(재공품)'!$B$12:$AB$38,10,0)),0,VLOOKUP(#REF!,'WIP(재공품)'!$B$12:$AB$38,10,0))</f>
        <v>0</v>
      </c>
      <c r="T232" s="6">
        <f>SUMIF('JUNE (물량흐름)'!$C$13:$C$502,'Direct labour(직접노무비)'!C232,'JUNE (물량흐름)'!$Y$13:$Y$502)</f>
        <v>0</v>
      </c>
      <c r="U232" s="6">
        <f t="shared" si="44"/>
        <v>0</v>
      </c>
      <c r="V232" s="6">
        <f>ROUND(SUMIF('JUNE (물량흐름)'!$C$13:$C$502,'Direct labour(직접노무비)'!C232,'JUNE (물량흐름)'!$N$13:$N$502),0)</f>
        <v>0</v>
      </c>
      <c r="W232" s="6">
        <f>ROUND(SUMIF('JUNE (물량흐름)'!$C$13:$C$502,'Direct labour(직접노무비)'!C232,'JUNE (물량흐름)'!$O$13:$O$502),0)</f>
        <v>0</v>
      </c>
      <c r="X232" s="6">
        <f>ROUND(SUMIF('JUNE (물량흐름)'!$C$13:$C$502,'Direct labour(직접노무비)'!C232,'JUNE (물량흐름)'!$P$13:$P$502),0)</f>
        <v>0</v>
      </c>
      <c r="Y232" s="6">
        <f t="shared" si="45"/>
        <v>0</v>
      </c>
      <c r="Z232" s="6">
        <f t="shared" si="46"/>
        <v>0</v>
      </c>
      <c r="AA232" s="6">
        <f t="shared" si="50"/>
        <v>0</v>
      </c>
      <c r="AB232" s="389">
        <f t="shared" si="47"/>
        <v>0</v>
      </c>
      <c r="AC232" s="503">
        <f t="shared" si="39"/>
        <v>0</v>
      </c>
      <c r="AD232" s="389">
        <f t="shared" si="48"/>
        <v>0</v>
      </c>
    </row>
    <row r="233" spans="1:30" s="390" customFormat="1" ht="15" customHeight="1">
      <c r="A233" s="167">
        <v>223</v>
      </c>
      <c r="B233" s="267" t="str">
        <f>VLOOKUP(A233,'JUNE (물량흐름)'!$A$13:$C$502,2,0)</f>
        <v>ANN TAYLOR</v>
      </c>
      <c r="C233" s="240">
        <f>VLOOKUP(A233,'JUNE (물량흐름)'!$A$13:$C$502,3,0)</f>
        <v>460895</v>
      </c>
      <c r="D233" s="6">
        <f>VLOOKUP(C233,'WIP(재공품)'!$B$12:$E$493,4,0)</f>
        <v>8163</v>
      </c>
      <c r="E233" s="6">
        <f>IFERROR(VLOOKUP(C233,O.B.JUNE!$AA$7:$AG$448,2,0),0)</f>
        <v>0</v>
      </c>
      <c r="F233" s="6">
        <f>IFERROR(VLOOKUP(C233,O.B.JUNE!$AA$7:$AG$448,3,0),0)</f>
        <v>20</v>
      </c>
      <c r="G233" s="6">
        <f>IFERROR(VLOOKUP(C233,O.B.JUNE!$AA$7:$AD$448,4,0),0)</f>
        <v>0</v>
      </c>
      <c r="H233" s="6">
        <f t="shared" si="41"/>
        <v>20</v>
      </c>
      <c r="I233" s="6">
        <f>IFERROR(VLOOKUP(C233,O.B.JUNE!$AA$7:$AF$448,6,0),0)</f>
        <v>10</v>
      </c>
      <c r="J233" s="6"/>
      <c r="K233" s="6">
        <f>IFERROR(VLOOKUP(C233,O.B.JUNE!$AA$7:$AG$448,7,0),0)</f>
        <v>259594</v>
      </c>
      <c r="L233" s="6">
        <f>SUMIF('JUNE (물량흐름)'!$C$13:$C$502,'Direct labour(직접노무비)'!C233,'JUNE (물량흐름)'!$H$13:$H$502)+SUMIF('JUNE (물량흐름)'!$C$13:$C$502,'Direct labour(직접노무비)'!C233,'JUNE (물량흐름)'!$I$13:$I$502)</f>
        <v>0</v>
      </c>
      <c r="M233" s="6">
        <f t="shared" si="42"/>
        <v>0</v>
      </c>
      <c r="N233" s="6">
        <f t="shared" si="43"/>
        <v>0</v>
      </c>
      <c r="O233" s="6">
        <f t="shared" si="40"/>
        <v>0</v>
      </c>
      <c r="P233" s="6">
        <f>SUMIF('JUNE (물량흐름)'!$C$13:$C$502,C233,'JUNE (물량흐름)'!$T$13:$T$502)+SUMIF('JUNE (물량흐름)'!$C$13:$C$502,C233,'JUNE (물량흐름)'!$V$13:$V$502)+SUMIF('JUNE (물량흐름)'!$C$13:$C$502,C233,'JUNE (물량흐름)'!$U$13:$U$502)-SUMIF('JUNE (물량흐름)'!$C$13:$C$502,C233,'JUNE (물량흐름)'!$Y$13:$Y$502)</f>
        <v>20</v>
      </c>
      <c r="Q233" s="6">
        <f t="shared" si="49"/>
        <v>259594</v>
      </c>
      <c r="R233" s="6">
        <f>ROUND(IF(ISERROR(VLOOKUP(#REF!,'WIP(재공품)'!$B$12:$AB$38,13,0)),0,VLOOKUP(#REF!,'WIP(재공품)'!$B$12:$AB$38,13,0)),0)</f>
        <v>0</v>
      </c>
      <c r="S233" s="6">
        <f>IF(ISERROR(VLOOKUP(#REF!,'WIP(재공품)'!$B$12:$AB$38,10,0)),0,VLOOKUP(#REF!,'WIP(재공품)'!$B$12:$AB$38,10,0))</f>
        <v>0</v>
      </c>
      <c r="T233" s="6">
        <f>SUMIF('JUNE (물량흐름)'!$C$13:$C$502,'Direct labour(직접노무비)'!C233,'JUNE (물량흐름)'!$Y$13:$Y$502)</f>
        <v>0</v>
      </c>
      <c r="U233" s="6">
        <f t="shared" si="44"/>
        <v>0</v>
      </c>
      <c r="V233" s="6">
        <f>ROUND(SUMIF('JUNE (물량흐름)'!$C$13:$C$502,'Direct labour(직접노무비)'!C233,'JUNE (물량흐름)'!$N$13:$N$502),0)</f>
        <v>0</v>
      </c>
      <c r="W233" s="6">
        <f>ROUND(SUMIF('JUNE (물량흐름)'!$C$13:$C$502,'Direct labour(직접노무비)'!C233,'JUNE (물량흐름)'!$O$13:$O$502),0)</f>
        <v>0</v>
      </c>
      <c r="X233" s="6">
        <f>ROUND(SUMIF('JUNE (물량흐름)'!$C$13:$C$502,'Direct labour(직접노무비)'!C233,'JUNE (물량흐름)'!$P$13:$P$502),0)</f>
        <v>0</v>
      </c>
      <c r="Y233" s="6">
        <f t="shared" si="45"/>
        <v>0</v>
      </c>
      <c r="Z233" s="6">
        <f t="shared" si="46"/>
        <v>0</v>
      </c>
      <c r="AA233" s="6">
        <f t="shared" si="50"/>
        <v>0</v>
      </c>
      <c r="AB233" s="389">
        <f t="shared" si="47"/>
        <v>0</v>
      </c>
      <c r="AC233" s="503">
        <f t="shared" si="39"/>
        <v>0</v>
      </c>
      <c r="AD233" s="389">
        <f t="shared" si="48"/>
        <v>0</v>
      </c>
    </row>
    <row r="234" spans="1:30" s="390" customFormat="1" ht="15" customHeight="1">
      <c r="A234" s="167">
        <v>224</v>
      </c>
      <c r="B234" s="267" t="str">
        <f>VLOOKUP(A234,'JUNE (물량흐름)'!$A$13:$C$502,2,0)</f>
        <v>ANN TAYLOR</v>
      </c>
      <c r="C234" s="240">
        <f>VLOOKUP(A234,'JUNE (물량흐름)'!$A$13:$C$502,3,0)</f>
        <v>452546</v>
      </c>
      <c r="D234" s="6">
        <f>VLOOKUP(C234,'WIP(재공품)'!$B$12:$E$493,4,0)</f>
        <v>7936.2499999999991</v>
      </c>
      <c r="E234" s="6">
        <f>IFERROR(VLOOKUP(C234,O.B.JUNE!$AA$7:$AG$448,2,0),0)</f>
        <v>37</v>
      </c>
      <c r="F234" s="6">
        <f>IFERROR(VLOOKUP(C234,O.B.JUNE!$AA$7:$AG$448,3,0),0)</f>
        <v>306</v>
      </c>
      <c r="G234" s="6">
        <f>IFERROR(VLOOKUP(C234,O.B.JUNE!$AA$7:$AD$448,4,0),0)</f>
        <v>226</v>
      </c>
      <c r="H234" s="6">
        <f t="shared" si="41"/>
        <v>569</v>
      </c>
      <c r="I234" s="6">
        <f>IFERROR(VLOOKUP(C234,O.B.JUNE!$AA$7:$AF$448,6,0),0)</f>
        <v>341</v>
      </c>
      <c r="J234" s="6"/>
      <c r="K234" s="6">
        <f>IFERROR(VLOOKUP(C234,O.B.JUNE!$AA$7:$AG$448,7,0),0)</f>
        <v>8852167</v>
      </c>
      <c r="L234" s="6">
        <f>SUMIF('JUNE (물량흐름)'!$C$13:$C$502,'Direct labour(직접노무비)'!C234,'JUNE (물량흐름)'!$H$13:$H$502)+SUMIF('JUNE (물량흐름)'!$C$13:$C$502,'Direct labour(직접노무비)'!C234,'JUNE (물량흐름)'!$I$13:$I$502)</f>
        <v>0</v>
      </c>
      <c r="M234" s="6">
        <f t="shared" si="42"/>
        <v>0</v>
      </c>
      <c r="N234" s="6">
        <f t="shared" si="43"/>
        <v>0</v>
      </c>
      <c r="O234" s="6">
        <f t="shared" si="40"/>
        <v>0</v>
      </c>
      <c r="P234" s="6">
        <f>SUMIF('JUNE (물량흐름)'!$C$13:$C$502,C234,'JUNE (물량흐름)'!$T$13:$T$502)+SUMIF('JUNE (물량흐름)'!$C$13:$C$502,C234,'JUNE (물량흐름)'!$V$13:$V$502)+SUMIF('JUNE (물량흐름)'!$C$13:$C$502,C234,'JUNE (물량흐름)'!$U$13:$U$502)-SUMIF('JUNE (물량흐름)'!$C$13:$C$502,C234,'JUNE (물량흐름)'!$Y$13:$Y$502)</f>
        <v>569</v>
      </c>
      <c r="Q234" s="6">
        <f t="shared" si="49"/>
        <v>8852167</v>
      </c>
      <c r="R234" s="6">
        <f>ROUND(IF(ISERROR(VLOOKUP(#REF!,'WIP(재공품)'!$B$12:$AB$38,13,0)),0,VLOOKUP(#REF!,'WIP(재공품)'!$B$12:$AB$38,13,0)),0)</f>
        <v>0</v>
      </c>
      <c r="S234" s="6">
        <f>IF(ISERROR(VLOOKUP(#REF!,'WIP(재공품)'!$B$12:$AB$38,10,0)),0,VLOOKUP(#REF!,'WIP(재공품)'!$B$12:$AB$38,10,0))</f>
        <v>0</v>
      </c>
      <c r="T234" s="6">
        <f>SUMIF('JUNE (물량흐름)'!$C$13:$C$502,'Direct labour(직접노무비)'!C234,'JUNE (물량흐름)'!$Y$13:$Y$502)</f>
        <v>0</v>
      </c>
      <c r="U234" s="6">
        <f t="shared" si="44"/>
        <v>0</v>
      </c>
      <c r="V234" s="6">
        <f>ROUND(SUMIF('JUNE (물량흐름)'!$C$13:$C$502,'Direct labour(직접노무비)'!C234,'JUNE (물량흐름)'!$N$13:$N$502),0)</f>
        <v>0</v>
      </c>
      <c r="W234" s="6">
        <f>ROUND(SUMIF('JUNE (물량흐름)'!$C$13:$C$502,'Direct labour(직접노무비)'!C234,'JUNE (물량흐름)'!$O$13:$O$502),0)</f>
        <v>0</v>
      </c>
      <c r="X234" s="6">
        <f>ROUND(SUMIF('JUNE (물량흐름)'!$C$13:$C$502,'Direct labour(직접노무비)'!C234,'JUNE (물량흐름)'!$P$13:$P$502),0)</f>
        <v>0</v>
      </c>
      <c r="Y234" s="6">
        <f t="shared" si="45"/>
        <v>0</v>
      </c>
      <c r="Z234" s="6">
        <f t="shared" si="46"/>
        <v>0</v>
      </c>
      <c r="AA234" s="6">
        <f t="shared" si="50"/>
        <v>0</v>
      </c>
      <c r="AB234" s="389">
        <f t="shared" si="47"/>
        <v>0</v>
      </c>
      <c r="AC234" s="503">
        <f t="shared" si="39"/>
        <v>0</v>
      </c>
      <c r="AD234" s="389">
        <f t="shared" si="48"/>
        <v>0</v>
      </c>
    </row>
    <row r="235" spans="1:30" s="390" customFormat="1" ht="15" customHeight="1">
      <c r="A235" s="167">
        <v>225</v>
      </c>
      <c r="B235" s="267" t="str">
        <f>VLOOKUP(A235,'JUNE (물량흐름)'!$A$13:$C$502,2,0)</f>
        <v>ANN TAYLOR</v>
      </c>
      <c r="C235" s="240">
        <f>VLOOKUP(A235,'JUNE (물량흐름)'!$A$13:$C$502,3,0)</f>
        <v>457802</v>
      </c>
      <c r="D235" s="6">
        <f>VLOOKUP(C235,'WIP(재공품)'!$B$12:$E$493,4,0)</f>
        <v>7936.2499999999991</v>
      </c>
      <c r="E235" s="6">
        <f>IFERROR(VLOOKUP(C235,O.B.JUNE!$AA$7:$AG$448,2,0),0)</f>
        <v>65</v>
      </c>
      <c r="F235" s="6">
        <f>IFERROR(VLOOKUP(C235,O.B.JUNE!$AA$7:$AG$448,3,0),0)</f>
        <v>658</v>
      </c>
      <c r="G235" s="6">
        <f>IFERROR(VLOOKUP(C235,O.B.JUNE!$AA$7:$AD$448,4,0),0)</f>
        <v>975</v>
      </c>
      <c r="H235" s="6">
        <f t="shared" si="41"/>
        <v>1698</v>
      </c>
      <c r="I235" s="6">
        <f>IFERROR(VLOOKUP(C235,O.B.JUNE!$AA$7:$AF$448,6,0),0)</f>
        <v>1122</v>
      </c>
      <c r="J235" s="6"/>
      <c r="K235" s="6">
        <f>IFERROR(VLOOKUP(C235,O.B.JUNE!$AA$7:$AG$448,7,0),0)</f>
        <v>12021019</v>
      </c>
      <c r="L235" s="6">
        <f>SUMIF('JUNE (물량흐름)'!$C$13:$C$502,'Direct labour(직접노무비)'!C235,'JUNE (물량흐름)'!$H$13:$H$502)+SUMIF('JUNE (물량흐름)'!$C$13:$C$502,'Direct labour(직접노무비)'!C235,'JUNE (물량흐름)'!$I$13:$I$502)</f>
        <v>0</v>
      </c>
      <c r="M235" s="6">
        <f t="shared" si="42"/>
        <v>0</v>
      </c>
      <c r="N235" s="6">
        <f t="shared" si="43"/>
        <v>0</v>
      </c>
      <c r="O235" s="6">
        <f t="shared" si="40"/>
        <v>0</v>
      </c>
      <c r="P235" s="6">
        <f>SUMIF('JUNE (물량흐름)'!$C$13:$C$502,C235,'JUNE (물량흐름)'!$T$13:$T$502)+SUMIF('JUNE (물량흐름)'!$C$13:$C$502,C235,'JUNE (물량흐름)'!$V$13:$V$502)+SUMIF('JUNE (물량흐름)'!$C$13:$C$502,C235,'JUNE (물량흐름)'!$U$13:$U$502)-SUMIF('JUNE (물량흐름)'!$C$13:$C$502,C235,'JUNE (물량흐름)'!$Y$13:$Y$502)</f>
        <v>0</v>
      </c>
      <c r="Q235" s="6">
        <f t="shared" si="49"/>
        <v>0</v>
      </c>
      <c r="R235" s="6">
        <f>ROUND(IF(ISERROR(VLOOKUP(#REF!,'WIP(재공품)'!$B$12:$AB$38,13,0)),0,VLOOKUP(#REF!,'WIP(재공품)'!$B$12:$AB$38,13,0)),0)</f>
        <v>0</v>
      </c>
      <c r="S235" s="6">
        <f>IF(ISERROR(VLOOKUP(#REF!,'WIP(재공품)'!$B$12:$AB$38,10,0)),0,VLOOKUP(#REF!,'WIP(재공품)'!$B$12:$AB$38,10,0))</f>
        <v>0</v>
      </c>
      <c r="T235" s="6">
        <f>SUMIF('JUNE (물량흐름)'!$C$13:$C$502,'Direct labour(직접노무비)'!C235,'JUNE (물량흐름)'!$Y$13:$Y$502)</f>
        <v>0</v>
      </c>
      <c r="U235" s="6">
        <f t="shared" si="44"/>
        <v>0</v>
      </c>
      <c r="V235" s="6">
        <f>ROUND(SUMIF('JUNE (물량흐름)'!$C$13:$C$502,'Direct labour(직접노무비)'!C235,'JUNE (물량흐름)'!$N$13:$N$502),0)</f>
        <v>65</v>
      </c>
      <c r="W235" s="6">
        <f>ROUND(SUMIF('JUNE (물량흐름)'!$C$13:$C$502,'Direct labour(직접노무비)'!C235,'JUNE (물량흐름)'!$O$13:$O$502),0)</f>
        <v>658</v>
      </c>
      <c r="X235" s="6">
        <f>ROUND(SUMIF('JUNE (물량흐름)'!$C$13:$C$502,'Direct labour(직접노무비)'!C235,'JUNE (물량흐름)'!$P$13:$P$502),0)</f>
        <v>975</v>
      </c>
      <c r="Y235" s="6">
        <f t="shared" si="45"/>
        <v>1698</v>
      </c>
      <c r="Z235" s="6">
        <f t="shared" si="46"/>
        <v>1122</v>
      </c>
      <c r="AA235" s="6">
        <f t="shared" si="50"/>
        <v>12021019</v>
      </c>
      <c r="AB235" s="389">
        <f t="shared" si="47"/>
        <v>0</v>
      </c>
      <c r="AC235" s="503">
        <f t="shared" si="39"/>
        <v>0</v>
      </c>
      <c r="AD235" s="389">
        <f t="shared" si="48"/>
        <v>0</v>
      </c>
    </row>
    <row r="236" spans="1:30" s="390" customFormat="1">
      <c r="A236" s="167">
        <v>226</v>
      </c>
      <c r="B236" s="267" t="str">
        <f>VLOOKUP(A236,'JUNE (물량흐름)'!$A$13:$C$502,2,0)</f>
        <v>ANN TAYLOR</v>
      </c>
      <c r="C236" s="240">
        <f>VLOOKUP(A236,'JUNE (물량흐름)'!$A$13:$C$502,3,0)</f>
        <v>457814</v>
      </c>
      <c r="D236" s="6">
        <f>VLOOKUP(C236,'WIP(재공품)'!$B$12:$E$493,4,0)</f>
        <v>7936.2499999999991</v>
      </c>
      <c r="E236" s="6">
        <f>IFERROR(VLOOKUP(C236,O.B.JUNE!$AA$7:$AG$448,2,0),0)</f>
        <v>0</v>
      </c>
      <c r="F236" s="6">
        <f>IFERROR(VLOOKUP(C236,O.B.JUNE!$AA$7:$AG$448,3,0),0)</f>
        <v>209</v>
      </c>
      <c r="G236" s="6">
        <f>IFERROR(VLOOKUP(C236,O.B.JUNE!$AA$7:$AD$448,4,0),0)</f>
        <v>146</v>
      </c>
      <c r="H236" s="6">
        <f t="shared" si="41"/>
        <v>355</v>
      </c>
      <c r="I236" s="6">
        <f>IFERROR(VLOOKUP(C236,O.B.JUNE!$AA$7:$AF$448,6,0),0)</f>
        <v>221</v>
      </c>
      <c r="J236" s="6"/>
      <c r="K236" s="6">
        <f>IFERROR(VLOOKUP(C236,O.B.JUNE!$AA$7:$AG$448,7,0),0)</f>
        <v>3551498</v>
      </c>
      <c r="L236" s="6">
        <f>SUMIF('JUNE (물량흐름)'!$C$13:$C$502,'Direct labour(직접노무비)'!C236,'JUNE (물량흐름)'!$H$13:$H$502)+SUMIF('JUNE (물량흐름)'!$C$13:$C$502,'Direct labour(직접노무비)'!C236,'JUNE (물량흐름)'!$I$13:$I$502)</f>
        <v>0</v>
      </c>
      <c r="M236" s="6">
        <f t="shared" si="42"/>
        <v>0</v>
      </c>
      <c r="N236" s="6">
        <f t="shared" si="43"/>
        <v>0</v>
      </c>
      <c r="O236" s="6">
        <f t="shared" si="40"/>
        <v>0</v>
      </c>
      <c r="P236" s="6">
        <f>SUMIF('JUNE (물량흐름)'!$C$13:$C$502,C236,'JUNE (물량흐름)'!$T$13:$T$502)+SUMIF('JUNE (물량흐름)'!$C$13:$C$502,C236,'JUNE (물량흐름)'!$V$13:$V$502)+SUMIF('JUNE (물량흐름)'!$C$13:$C$502,C236,'JUNE (물량흐름)'!$U$13:$U$502)-SUMIF('JUNE (물량흐름)'!$C$13:$C$502,C236,'JUNE (물량흐름)'!$Y$13:$Y$502)</f>
        <v>0</v>
      </c>
      <c r="Q236" s="6">
        <f t="shared" si="49"/>
        <v>0</v>
      </c>
      <c r="R236" s="6">
        <f>ROUND(IF(ISERROR(VLOOKUP(#REF!,'WIP(재공품)'!$B$12:$AB$38,13,0)),0,VLOOKUP(#REF!,'WIP(재공품)'!$B$12:$AB$38,13,0)),0)</f>
        <v>0</v>
      </c>
      <c r="S236" s="6">
        <f>IF(ISERROR(VLOOKUP(#REF!,'WIP(재공품)'!$B$12:$AB$38,10,0)),0,VLOOKUP(#REF!,'WIP(재공품)'!$B$12:$AB$38,10,0))</f>
        <v>0</v>
      </c>
      <c r="T236" s="6">
        <f>SUMIF('JUNE (물량흐름)'!$C$13:$C$502,'Direct labour(직접노무비)'!C236,'JUNE (물량흐름)'!$Y$13:$Y$502)</f>
        <v>0</v>
      </c>
      <c r="U236" s="6">
        <f t="shared" si="44"/>
        <v>0</v>
      </c>
      <c r="V236" s="6">
        <f>ROUND(SUMIF('JUNE (물량흐름)'!$C$13:$C$502,'Direct labour(직접노무비)'!C236,'JUNE (물량흐름)'!$N$13:$N$502),0)</f>
        <v>0</v>
      </c>
      <c r="W236" s="6">
        <f>ROUND(SUMIF('JUNE (물량흐름)'!$C$13:$C$502,'Direct labour(직접노무비)'!C236,'JUNE (물량흐름)'!$O$13:$O$502),0)</f>
        <v>209</v>
      </c>
      <c r="X236" s="6">
        <f>ROUND(SUMIF('JUNE (물량흐름)'!$C$13:$C$502,'Direct labour(직접노무비)'!C236,'JUNE (물량흐름)'!$P$13:$P$502),0)</f>
        <v>146</v>
      </c>
      <c r="Y236" s="6">
        <f t="shared" si="45"/>
        <v>355</v>
      </c>
      <c r="Z236" s="6">
        <f t="shared" si="46"/>
        <v>221</v>
      </c>
      <c r="AA236" s="6">
        <f t="shared" si="50"/>
        <v>3551498</v>
      </c>
      <c r="AB236" s="389">
        <f t="shared" si="47"/>
        <v>0</v>
      </c>
      <c r="AC236" s="503">
        <f t="shared" si="39"/>
        <v>0</v>
      </c>
      <c r="AD236" s="389">
        <f t="shared" si="48"/>
        <v>0</v>
      </c>
    </row>
    <row r="237" spans="1:30" s="390" customFormat="1">
      <c r="A237" s="167">
        <v>227</v>
      </c>
      <c r="B237" s="267" t="str">
        <f>VLOOKUP(A237,'JUNE (물량흐름)'!$A$13:$C$502,2,0)</f>
        <v>ANN TAYLOR</v>
      </c>
      <c r="C237" s="240">
        <f>VLOOKUP(A237,'JUNE (물량흐름)'!$A$13:$C$502,3,0)</f>
        <v>457815</v>
      </c>
      <c r="D237" s="6">
        <f>VLOOKUP(C237,'WIP(재공품)'!$B$12:$E$493,4,0)</f>
        <v>7936.2499999999991</v>
      </c>
      <c r="E237" s="6">
        <f>IFERROR(VLOOKUP(C237,O.B.JUNE!$AA$7:$AG$448,2,0),0)</f>
        <v>140</v>
      </c>
      <c r="F237" s="6">
        <f>IFERROR(VLOOKUP(C237,O.B.JUNE!$AA$7:$AG$448,3,0),0)</f>
        <v>52</v>
      </c>
      <c r="G237" s="6">
        <f>IFERROR(VLOOKUP(C237,O.B.JUNE!$AA$7:$AD$448,4,0),0)</f>
        <v>17</v>
      </c>
      <c r="H237" s="6">
        <f t="shared" si="41"/>
        <v>209</v>
      </c>
      <c r="I237" s="6">
        <f>IFERROR(VLOOKUP(C237,O.B.JUNE!$AA$7:$AF$448,6,0),0)</f>
        <v>68</v>
      </c>
      <c r="J237" s="6"/>
      <c r="K237" s="6">
        <f>IFERROR(VLOOKUP(C237,O.B.JUNE!$AA$7:$AG$448,7,0),0)</f>
        <v>2448833</v>
      </c>
      <c r="L237" s="6">
        <f>SUMIF('JUNE (물량흐름)'!$C$13:$C$502,'Direct labour(직접노무비)'!C237,'JUNE (물량흐름)'!$H$13:$H$502)+SUMIF('JUNE (물량흐름)'!$C$13:$C$502,'Direct labour(직접노무비)'!C237,'JUNE (물량흐름)'!$I$13:$I$502)</f>
        <v>0</v>
      </c>
      <c r="M237" s="6">
        <f t="shared" si="42"/>
        <v>0</v>
      </c>
      <c r="N237" s="6">
        <f t="shared" si="43"/>
        <v>0</v>
      </c>
      <c r="O237" s="6">
        <f t="shared" si="40"/>
        <v>0</v>
      </c>
      <c r="P237" s="6">
        <f>SUMIF('JUNE (물량흐름)'!$C$13:$C$502,C237,'JUNE (물량흐름)'!$T$13:$T$502)+SUMIF('JUNE (물량흐름)'!$C$13:$C$502,C237,'JUNE (물량흐름)'!$V$13:$V$502)+SUMIF('JUNE (물량흐름)'!$C$13:$C$502,C237,'JUNE (물량흐름)'!$U$13:$U$502)-SUMIF('JUNE (물량흐름)'!$C$13:$C$502,C237,'JUNE (물량흐름)'!$Y$13:$Y$502)</f>
        <v>0</v>
      </c>
      <c r="Q237" s="6">
        <f t="shared" si="49"/>
        <v>0</v>
      </c>
      <c r="R237" s="6">
        <f>ROUND(IF(ISERROR(VLOOKUP(#REF!,'WIP(재공품)'!$B$12:$AB$38,13,0)),0,VLOOKUP(#REF!,'WIP(재공품)'!$B$12:$AB$38,13,0)),0)</f>
        <v>0</v>
      </c>
      <c r="S237" s="6">
        <f>IF(ISERROR(VLOOKUP(#REF!,'WIP(재공품)'!$B$12:$AB$38,10,0)),0,VLOOKUP(#REF!,'WIP(재공품)'!$B$12:$AB$38,10,0))</f>
        <v>0</v>
      </c>
      <c r="T237" s="6">
        <f>SUMIF('JUNE (물량흐름)'!$C$13:$C$502,'Direct labour(직접노무비)'!C237,'JUNE (물량흐름)'!$Y$13:$Y$502)</f>
        <v>0</v>
      </c>
      <c r="U237" s="6">
        <f t="shared" si="44"/>
        <v>0</v>
      </c>
      <c r="V237" s="6">
        <f>ROUND(SUMIF('JUNE (물량흐름)'!$C$13:$C$502,'Direct labour(직접노무비)'!C237,'JUNE (물량흐름)'!$N$13:$N$502),0)</f>
        <v>140</v>
      </c>
      <c r="W237" s="6">
        <f>ROUND(SUMIF('JUNE (물량흐름)'!$C$13:$C$502,'Direct labour(직접노무비)'!C237,'JUNE (물량흐름)'!$O$13:$O$502),0)</f>
        <v>52</v>
      </c>
      <c r="X237" s="6">
        <f>ROUND(SUMIF('JUNE (물량흐름)'!$C$13:$C$502,'Direct labour(직접노무비)'!C237,'JUNE (물량흐름)'!$P$13:$P$502),0)</f>
        <v>17</v>
      </c>
      <c r="Y237" s="6">
        <f t="shared" si="45"/>
        <v>209</v>
      </c>
      <c r="Z237" s="6">
        <f t="shared" si="46"/>
        <v>68</v>
      </c>
      <c r="AA237" s="6">
        <f t="shared" si="50"/>
        <v>2448833</v>
      </c>
      <c r="AB237" s="389">
        <f t="shared" si="47"/>
        <v>0</v>
      </c>
      <c r="AC237" s="503">
        <f t="shared" si="39"/>
        <v>0</v>
      </c>
      <c r="AD237" s="389">
        <f t="shared" si="48"/>
        <v>0</v>
      </c>
    </row>
    <row r="238" spans="1:30" s="390" customFormat="1">
      <c r="A238" s="167">
        <v>228</v>
      </c>
      <c r="B238" s="267" t="str">
        <f>VLOOKUP(A238,'JUNE (물량흐름)'!$A$13:$C$502,2,0)</f>
        <v>ANN TAYLOR</v>
      </c>
      <c r="C238" s="240">
        <f>VLOOKUP(A238,'JUNE (물량흐름)'!$A$13:$C$502,3,0)</f>
        <v>459065</v>
      </c>
      <c r="D238" s="6">
        <f>VLOOKUP(C238,'WIP(재공품)'!$B$12:$E$493,4,0)</f>
        <v>7936.2499999999991</v>
      </c>
      <c r="E238" s="6">
        <f>IFERROR(VLOOKUP(C238,O.B.JUNE!$AA$7:$AG$448,2,0),0)</f>
        <v>0</v>
      </c>
      <c r="F238" s="6">
        <f>IFERROR(VLOOKUP(C238,O.B.JUNE!$AA$7:$AG$448,3,0),0)</f>
        <v>123</v>
      </c>
      <c r="G238" s="6">
        <f>IFERROR(VLOOKUP(C238,O.B.JUNE!$AA$7:$AD$448,4,0),0)</f>
        <v>30</v>
      </c>
      <c r="H238" s="6">
        <f t="shared" si="41"/>
        <v>153</v>
      </c>
      <c r="I238" s="6">
        <f>IFERROR(VLOOKUP(C238,O.B.JUNE!$AA$7:$AF$448,6,0),0)</f>
        <v>86</v>
      </c>
      <c r="J238" s="6"/>
      <c r="K238" s="6">
        <f>IFERROR(VLOOKUP(C238,O.B.JUNE!$AA$7:$AG$448,7,0),0)</f>
        <v>1133974</v>
      </c>
      <c r="L238" s="6">
        <f>SUMIF('JUNE (물량흐름)'!$C$13:$C$502,'Direct labour(직접노무비)'!C238,'JUNE (물량흐름)'!$H$13:$H$502)+SUMIF('JUNE (물량흐름)'!$C$13:$C$502,'Direct labour(직접노무비)'!C238,'JUNE (물량흐름)'!$I$13:$I$502)</f>
        <v>0</v>
      </c>
      <c r="M238" s="6">
        <f t="shared" si="42"/>
        <v>0</v>
      </c>
      <c r="N238" s="6">
        <f t="shared" si="43"/>
        <v>0</v>
      </c>
      <c r="O238" s="6">
        <f t="shared" si="40"/>
        <v>0</v>
      </c>
      <c r="P238" s="6">
        <f>SUMIF('JUNE (물량흐름)'!$C$13:$C$502,C238,'JUNE (물량흐름)'!$T$13:$T$502)+SUMIF('JUNE (물량흐름)'!$C$13:$C$502,C238,'JUNE (물량흐름)'!$V$13:$V$502)+SUMIF('JUNE (물량흐름)'!$C$13:$C$502,C238,'JUNE (물량흐름)'!$U$13:$U$502)-SUMIF('JUNE (물량흐름)'!$C$13:$C$502,C238,'JUNE (물량흐름)'!$Y$13:$Y$502)</f>
        <v>0</v>
      </c>
      <c r="Q238" s="6">
        <f t="shared" si="49"/>
        <v>0</v>
      </c>
      <c r="R238" s="6">
        <f>ROUND(IF(ISERROR(VLOOKUP(#REF!,'WIP(재공품)'!$B$12:$AB$38,13,0)),0,VLOOKUP(#REF!,'WIP(재공품)'!$B$12:$AB$38,13,0)),0)</f>
        <v>0</v>
      </c>
      <c r="S238" s="6">
        <f>IF(ISERROR(VLOOKUP(#REF!,'WIP(재공품)'!$B$12:$AB$38,10,0)),0,VLOOKUP(#REF!,'WIP(재공품)'!$B$12:$AB$38,10,0))</f>
        <v>0</v>
      </c>
      <c r="T238" s="6">
        <f>SUMIF('JUNE (물량흐름)'!$C$13:$C$502,'Direct labour(직접노무비)'!C238,'JUNE (물량흐름)'!$Y$13:$Y$502)</f>
        <v>0</v>
      </c>
      <c r="U238" s="6">
        <f t="shared" si="44"/>
        <v>0</v>
      </c>
      <c r="V238" s="6">
        <f>ROUND(SUMIF('JUNE (물량흐름)'!$C$13:$C$502,'Direct labour(직접노무비)'!C238,'JUNE (물량흐름)'!$N$13:$N$502),0)</f>
        <v>0</v>
      </c>
      <c r="W238" s="6">
        <f>ROUND(SUMIF('JUNE (물량흐름)'!$C$13:$C$502,'Direct labour(직접노무비)'!C238,'JUNE (물량흐름)'!$O$13:$O$502),0)</f>
        <v>123</v>
      </c>
      <c r="X238" s="6">
        <f>ROUND(SUMIF('JUNE (물량흐름)'!$C$13:$C$502,'Direct labour(직접노무비)'!C238,'JUNE (물량흐름)'!$P$13:$P$502),0)</f>
        <v>30</v>
      </c>
      <c r="Y238" s="6">
        <f t="shared" si="45"/>
        <v>153</v>
      </c>
      <c r="Z238" s="6">
        <f t="shared" si="46"/>
        <v>86</v>
      </c>
      <c r="AA238" s="6">
        <f t="shared" si="50"/>
        <v>1133974</v>
      </c>
      <c r="AB238" s="389">
        <f t="shared" si="47"/>
        <v>0</v>
      </c>
      <c r="AC238" s="503">
        <f t="shared" si="39"/>
        <v>0</v>
      </c>
      <c r="AD238" s="389">
        <f t="shared" si="48"/>
        <v>0</v>
      </c>
    </row>
    <row r="239" spans="1:30" s="390" customFormat="1">
      <c r="A239" s="167">
        <v>229</v>
      </c>
      <c r="B239" s="267" t="str">
        <f>VLOOKUP(A239,'JUNE (물량흐름)'!$A$13:$C$502,2,0)</f>
        <v>ANN TAYLOR</v>
      </c>
      <c r="C239" s="240">
        <f>VLOOKUP(A239,'JUNE (물량흐름)'!$A$13:$C$502,3,0)</f>
        <v>460586</v>
      </c>
      <c r="D239" s="6">
        <f>VLOOKUP(C239,'WIP(재공품)'!$B$12:$E$493,4,0)</f>
        <v>8163</v>
      </c>
      <c r="E239" s="6">
        <f>IFERROR(VLOOKUP(C239,O.B.JUNE!$AA$7:$AG$448,2,0),0)</f>
        <v>116</v>
      </c>
      <c r="F239" s="6">
        <f>IFERROR(VLOOKUP(C239,O.B.JUNE!$AA$7:$AG$448,3,0),0)</f>
        <v>176</v>
      </c>
      <c r="G239" s="6">
        <f>IFERROR(VLOOKUP(C239,O.B.JUNE!$AA$7:$AD$448,4,0),0)</f>
        <v>224</v>
      </c>
      <c r="H239" s="6">
        <f t="shared" si="41"/>
        <v>516</v>
      </c>
      <c r="I239" s="6">
        <f>IFERROR(VLOOKUP(C239,O.B.JUNE!$AA$7:$AF$448,6,0),0)</f>
        <v>290</v>
      </c>
      <c r="J239" s="6"/>
      <c r="K239" s="6">
        <f>IFERROR(VLOOKUP(C239,O.B.JUNE!$AA$7:$AG$448,7,0),0)</f>
        <v>3245606</v>
      </c>
      <c r="L239" s="6">
        <f>SUMIF('JUNE (물량흐름)'!$C$13:$C$502,'Direct labour(직접노무비)'!C239,'JUNE (물량흐름)'!$H$13:$H$502)+SUMIF('JUNE (물량흐름)'!$C$13:$C$502,'Direct labour(직접노무비)'!C239,'JUNE (물량흐름)'!$I$13:$I$502)</f>
        <v>0</v>
      </c>
      <c r="M239" s="6">
        <f t="shared" si="42"/>
        <v>0</v>
      </c>
      <c r="N239" s="6">
        <f t="shared" si="43"/>
        <v>0</v>
      </c>
      <c r="O239" s="6">
        <f t="shared" si="40"/>
        <v>0</v>
      </c>
      <c r="P239" s="6">
        <f>SUMIF('JUNE (물량흐름)'!$C$13:$C$502,C239,'JUNE (물량흐름)'!$T$13:$T$502)+SUMIF('JUNE (물량흐름)'!$C$13:$C$502,C239,'JUNE (물량흐름)'!$V$13:$V$502)+SUMIF('JUNE (물량흐름)'!$C$13:$C$502,C239,'JUNE (물량흐름)'!$U$13:$U$502)-SUMIF('JUNE (물량흐름)'!$C$13:$C$502,C239,'JUNE (물량흐름)'!$Y$13:$Y$502)</f>
        <v>0</v>
      </c>
      <c r="Q239" s="6">
        <f t="shared" si="49"/>
        <v>0</v>
      </c>
      <c r="R239" s="6">
        <f>ROUND(IF(ISERROR(VLOOKUP(#REF!,'WIP(재공품)'!$B$12:$AB$38,13,0)),0,VLOOKUP(#REF!,'WIP(재공품)'!$B$12:$AB$38,13,0)),0)</f>
        <v>0</v>
      </c>
      <c r="S239" s="6">
        <f>IF(ISERROR(VLOOKUP(#REF!,'WIP(재공품)'!$B$12:$AB$38,10,0)),0,VLOOKUP(#REF!,'WIP(재공품)'!$B$12:$AB$38,10,0))</f>
        <v>0</v>
      </c>
      <c r="T239" s="6">
        <f>SUMIF('JUNE (물량흐름)'!$C$13:$C$502,'Direct labour(직접노무비)'!C239,'JUNE (물량흐름)'!$Y$13:$Y$502)</f>
        <v>0</v>
      </c>
      <c r="U239" s="6">
        <f t="shared" si="44"/>
        <v>0</v>
      </c>
      <c r="V239" s="6">
        <f>ROUND(SUMIF('JUNE (물량흐름)'!$C$13:$C$502,'Direct labour(직접노무비)'!C239,'JUNE (물량흐름)'!$N$13:$N$502),0)</f>
        <v>116</v>
      </c>
      <c r="W239" s="6">
        <f>ROUND(SUMIF('JUNE (물량흐름)'!$C$13:$C$502,'Direct labour(직접노무비)'!C239,'JUNE (물량흐름)'!$O$13:$O$502),0)</f>
        <v>176</v>
      </c>
      <c r="X239" s="6">
        <f>ROUND(SUMIF('JUNE (물량흐름)'!$C$13:$C$502,'Direct labour(직접노무비)'!C239,'JUNE (물량흐름)'!$P$13:$P$502),0)</f>
        <v>224</v>
      </c>
      <c r="Y239" s="6">
        <f t="shared" si="45"/>
        <v>516</v>
      </c>
      <c r="Z239" s="6">
        <f t="shared" si="46"/>
        <v>290</v>
      </c>
      <c r="AA239" s="6">
        <f t="shared" si="50"/>
        <v>3245606</v>
      </c>
      <c r="AB239" s="389">
        <f t="shared" si="47"/>
        <v>0</v>
      </c>
      <c r="AC239" s="503">
        <f t="shared" si="39"/>
        <v>0</v>
      </c>
      <c r="AD239" s="389">
        <f t="shared" si="48"/>
        <v>0</v>
      </c>
    </row>
    <row r="240" spans="1:30" s="390" customFormat="1">
      <c r="A240" s="167">
        <v>230</v>
      </c>
      <c r="B240" s="267" t="str">
        <f>VLOOKUP(A240,'JUNE (물량흐름)'!$A$13:$C$502,2,0)</f>
        <v>ANN TAYLOR</v>
      </c>
      <c r="C240" s="240">
        <f>VLOOKUP(A240,'JUNE (물량흐름)'!$A$13:$C$502,3,0)</f>
        <v>460588</v>
      </c>
      <c r="D240" s="6">
        <f>VLOOKUP(C240,'WIP(재공품)'!$B$12:$E$493,4,0)</f>
        <v>7936.2499999999991</v>
      </c>
      <c r="E240" s="6">
        <f>IFERROR(VLOOKUP(C240,O.B.JUNE!$AA$7:$AG$448,2,0),0)</f>
        <v>0</v>
      </c>
      <c r="F240" s="6">
        <f>IFERROR(VLOOKUP(C240,O.B.JUNE!$AA$7:$AG$448,3,0),0)</f>
        <v>198</v>
      </c>
      <c r="G240" s="6">
        <f>IFERROR(VLOOKUP(C240,O.B.JUNE!$AA$7:$AD$448,4,0),0)</f>
        <v>209</v>
      </c>
      <c r="H240" s="6">
        <f t="shared" si="41"/>
        <v>407</v>
      </c>
      <c r="I240" s="6">
        <f>IFERROR(VLOOKUP(C240,O.B.JUNE!$AA$7:$AF$448,6,0),0)</f>
        <v>266</v>
      </c>
      <c r="J240" s="6"/>
      <c r="K240" s="6">
        <f>IFERROR(VLOOKUP(C240,O.B.JUNE!$AA$7:$AG$448,7,0),0)</f>
        <v>2849769</v>
      </c>
      <c r="L240" s="6">
        <f>SUMIF('JUNE (물량흐름)'!$C$13:$C$502,'Direct labour(직접노무비)'!C240,'JUNE (물량흐름)'!$H$13:$H$502)+SUMIF('JUNE (물량흐름)'!$C$13:$C$502,'Direct labour(직접노무비)'!C240,'JUNE (물량흐름)'!$I$13:$I$502)</f>
        <v>0</v>
      </c>
      <c r="M240" s="6">
        <f t="shared" si="42"/>
        <v>0</v>
      </c>
      <c r="N240" s="6">
        <f t="shared" si="43"/>
        <v>0</v>
      </c>
      <c r="O240" s="6">
        <f t="shared" si="40"/>
        <v>0</v>
      </c>
      <c r="P240" s="6">
        <f>SUMIF('JUNE (물량흐름)'!$C$13:$C$502,C240,'JUNE (물량흐름)'!$T$13:$T$502)+SUMIF('JUNE (물량흐름)'!$C$13:$C$502,C240,'JUNE (물량흐름)'!$V$13:$V$502)+SUMIF('JUNE (물량흐름)'!$C$13:$C$502,C240,'JUNE (물량흐름)'!$U$13:$U$502)-SUMIF('JUNE (물량흐름)'!$C$13:$C$502,C240,'JUNE (물량흐름)'!$Y$13:$Y$502)</f>
        <v>0</v>
      </c>
      <c r="Q240" s="6">
        <f t="shared" si="49"/>
        <v>0</v>
      </c>
      <c r="R240" s="6">
        <f>ROUND(IF(ISERROR(VLOOKUP(#REF!,'WIP(재공품)'!$B$12:$AB$38,13,0)),0,VLOOKUP(#REF!,'WIP(재공품)'!$B$12:$AB$38,13,0)),0)</f>
        <v>0</v>
      </c>
      <c r="S240" s="6">
        <f>IF(ISERROR(VLOOKUP(#REF!,'WIP(재공품)'!$B$12:$AB$38,10,0)),0,VLOOKUP(#REF!,'WIP(재공품)'!$B$12:$AB$38,10,0))</f>
        <v>0</v>
      </c>
      <c r="T240" s="6">
        <f>SUMIF('JUNE (물량흐름)'!$C$13:$C$502,'Direct labour(직접노무비)'!C240,'JUNE (물량흐름)'!$Y$13:$Y$502)</f>
        <v>0</v>
      </c>
      <c r="U240" s="6">
        <f t="shared" si="44"/>
        <v>0</v>
      </c>
      <c r="V240" s="6">
        <f>ROUND(SUMIF('JUNE (물량흐름)'!$C$13:$C$502,'Direct labour(직접노무비)'!C240,'JUNE (물량흐름)'!$N$13:$N$502),0)</f>
        <v>0</v>
      </c>
      <c r="W240" s="6">
        <f>ROUND(SUMIF('JUNE (물량흐름)'!$C$13:$C$502,'Direct labour(직접노무비)'!C240,'JUNE (물량흐름)'!$O$13:$O$502),0)</f>
        <v>198</v>
      </c>
      <c r="X240" s="6">
        <f>ROUND(SUMIF('JUNE (물량흐름)'!$C$13:$C$502,'Direct labour(직접노무비)'!C240,'JUNE (물량흐름)'!$P$13:$P$502),0)</f>
        <v>209</v>
      </c>
      <c r="Y240" s="6">
        <f t="shared" si="45"/>
        <v>407</v>
      </c>
      <c r="Z240" s="6">
        <f t="shared" si="46"/>
        <v>266</v>
      </c>
      <c r="AA240" s="6">
        <f t="shared" si="50"/>
        <v>2849769</v>
      </c>
      <c r="AB240" s="389">
        <f t="shared" si="47"/>
        <v>0</v>
      </c>
      <c r="AC240" s="503">
        <f t="shared" si="39"/>
        <v>0</v>
      </c>
      <c r="AD240" s="389">
        <f t="shared" si="48"/>
        <v>0</v>
      </c>
    </row>
    <row r="241" spans="1:30" s="390" customFormat="1">
      <c r="A241" s="167">
        <v>231</v>
      </c>
      <c r="B241" s="267" t="str">
        <f>VLOOKUP(A241,'JUNE (물량흐름)'!$A$13:$C$502,2,0)</f>
        <v>ANN TAYLOR</v>
      </c>
      <c r="C241" s="240">
        <f>VLOOKUP(A241,'JUNE (물량흐름)'!$A$13:$C$502,3,0)</f>
        <v>460591</v>
      </c>
      <c r="D241" s="6">
        <f>VLOOKUP(C241,'WIP(재공품)'!$B$12:$E$493,4,0)</f>
        <v>7936.2499999999991</v>
      </c>
      <c r="E241" s="6">
        <f>IFERROR(VLOOKUP(C241,O.B.JUNE!$AA$7:$AG$448,2,0),0)</f>
        <v>0</v>
      </c>
      <c r="F241" s="6">
        <f>IFERROR(VLOOKUP(C241,O.B.JUNE!$AA$7:$AG$448,3,0),0)</f>
        <v>111</v>
      </c>
      <c r="G241" s="6">
        <f>IFERROR(VLOOKUP(C241,O.B.JUNE!$AA$7:$AD$448,4,0),0)</f>
        <v>193</v>
      </c>
      <c r="H241" s="6">
        <f t="shared" si="41"/>
        <v>304</v>
      </c>
      <c r="I241" s="6">
        <f>IFERROR(VLOOKUP(C241,O.B.JUNE!$AA$7:$AF$448,6,0),0)</f>
        <v>210</v>
      </c>
      <c r="J241" s="6"/>
      <c r="K241" s="6">
        <f>IFERROR(VLOOKUP(C241,O.B.JUNE!$AA$7:$AG$448,7,0),0)</f>
        <v>2249818</v>
      </c>
      <c r="L241" s="6">
        <f>SUMIF('JUNE (물량흐름)'!$C$13:$C$502,'Direct labour(직접노무비)'!C241,'JUNE (물량흐름)'!$H$13:$H$502)+SUMIF('JUNE (물량흐름)'!$C$13:$C$502,'Direct labour(직접노무비)'!C241,'JUNE (물량흐름)'!$I$13:$I$502)</f>
        <v>0</v>
      </c>
      <c r="M241" s="6">
        <f t="shared" si="42"/>
        <v>0</v>
      </c>
      <c r="N241" s="6">
        <f t="shared" si="43"/>
        <v>0</v>
      </c>
      <c r="O241" s="6">
        <f t="shared" si="40"/>
        <v>0</v>
      </c>
      <c r="P241" s="6">
        <f>SUMIF('JUNE (물량흐름)'!$C$13:$C$502,C241,'JUNE (물량흐름)'!$T$13:$T$502)+SUMIF('JUNE (물량흐름)'!$C$13:$C$502,C241,'JUNE (물량흐름)'!$V$13:$V$502)+SUMIF('JUNE (물량흐름)'!$C$13:$C$502,C241,'JUNE (물량흐름)'!$U$13:$U$502)-SUMIF('JUNE (물량흐름)'!$C$13:$C$502,C241,'JUNE (물량흐름)'!$Y$13:$Y$502)</f>
        <v>0</v>
      </c>
      <c r="Q241" s="6">
        <f t="shared" si="49"/>
        <v>0</v>
      </c>
      <c r="R241" s="6">
        <f>ROUND(IF(ISERROR(VLOOKUP(#REF!,'WIP(재공품)'!$B$12:$AB$38,13,0)),0,VLOOKUP(#REF!,'WIP(재공품)'!$B$12:$AB$38,13,0)),0)</f>
        <v>0</v>
      </c>
      <c r="S241" s="6">
        <f>IF(ISERROR(VLOOKUP(#REF!,'WIP(재공품)'!$B$12:$AB$38,10,0)),0,VLOOKUP(#REF!,'WIP(재공품)'!$B$12:$AB$38,10,0))</f>
        <v>0</v>
      </c>
      <c r="T241" s="6">
        <f>SUMIF('JUNE (물량흐름)'!$C$13:$C$502,'Direct labour(직접노무비)'!C241,'JUNE (물량흐름)'!$Y$13:$Y$502)</f>
        <v>0</v>
      </c>
      <c r="U241" s="6">
        <f t="shared" si="44"/>
        <v>0</v>
      </c>
      <c r="V241" s="6">
        <f>ROUND(SUMIF('JUNE (물량흐름)'!$C$13:$C$502,'Direct labour(직접노무비)'!C241,'JUNE (물량흐름)'!$N$13:$N$502),0)</f>
        <v>0</v>
      </c>
      <c r="W241" s="6">
        <f>ROUND(SUMIF('JUNE (물량흐름)'!$C$13:$C$502,'Direct labour(직접노무비)'!C241,'JUNE (물량흐름)'!$O$13:$O$502),0)</f>
        <v>111</v>
      </c>
      <c r="X241" s="6">
        <f>ROUND(SUMIF('JUNE (물량흐름)'!$C$13:$C$502,'Direct labour(직접노무비)'!C241,'JUNE (물량흐름)'!$P$13:$P$502),0)</f>
        <v>193</v>
      </c>
      <c r="Y241" s="6">
        <f t="shared" si="45"/>
        <v>304</v>
      </c>
      <c r="Z241" s="6">
        <f t="shared" si="46"/>
        <v>210</v>
      </c>
      <c r="AA241" s="6">
        <f t="shared" si="50"/>
        <v>2249818</v>
      </c>
      <c r="AB241" s="389">
        <f t="shared" si="47"/>
        <v>0</v>
      </c>
      <c r="AC241" s="503">
        <f t="shared" si="39"/>
        <v>0</v>
      </c>
      <c r="AD241" s="389">
        <f t="shared" si="48"/>
        <v>0</v>
      </c>
    </row>
    <row r="242" spans="1:30" s="390" customFormat="1">
      <c r="A242" s="167">
        <v>232</v>
      </c>
      <c r="B242" s="267" t="str">
        <f>VLOOKUP(A242,'JUNE (물량흐름)'!$A$13:$C$502,2,0)</f>
        <v>ANN TAYLOR</v>
      </c>
      <c r="C242" s="240">
        <f>VLOOKUP(A242,'JUNE (물량흐름)'!$A$13:$C$502,3,0)</f>
        <v>460727</v>
      </c>
      <c r="D242" s="6">
        <f>VLOOKUP(C242,'WIP(재공품)'!$B$12:$E$493,4,0)</f>
        <v>7936.2499999999991</v>
      </c>
      <c r="E242" s="6">
        <f>IFERROR(VLOOKUP(C242,O.B.JUNE!$AA$7:$AG$448,2,0),0)</f>
        <v>30</v>
      </c>
      <c r="F242" s="6">
        <f>IFERROR(VLOOKUP(C242,O.B.JUNE!$AA$7:$AG$448,3,0),0)</f>
        <v>15</v>
      </c>
      <c r="G242" s="6">
        <f>IFERROR(VLOOKUP(C242,O.B.JUNE!$AA$7:$AD$448,4,0),0)</f>
        <v>53</v>
      </c>
      <c r="H242" s="6">
        <f t="shared" si="41"/>
        <v>98</v>
      </c>
      <c r="I242" s="6">
        <f>IFERROR(VLOOKUP(C242,O.B.JUNE!$AA$7:$AF$448,6,0),0)</f>
        <v>56</v>
      </c>
      <c r="J242" s="6"/>
      <c r="K242" s="6">
        <f>IFERROR(VLOOKUP(C242,O.B.JUNE!$AA$7:$AG$448,7,0),0)</f>
        <v>1453728</v>
      </c>
      <c r="L242" s="6">
        <f>SUMIF('JUNE (물량흐름)'!$C$13:$C$502,'Direct labour(직접노무비)'!C242,'JUNE (물량흐름)'!$H$13:$H$502)+SUMIF('JUNE (물량흐름)'!$C$13:$C$502,'Direct labour(직접노무비)'!C242,'JUNE (물량흐름)'!$I$13:$I$502)</f>
        <v>0</v>
      </c>
      <c r="M242" s="6">
        <f t="shared" si="42"/>
        <v>0</v>
      </c>
      <c r="N242" s="6">
        <f t="shared" si="43"/>
        <v>0</v>
      </c>
      <c r="O242" s="6">
        <f t="shared" si="40"/>
        <v>0</v>
      </c>
      <c r="P242" s="6">
        <f>SUMIF('JUNE (물량흐름)'!$C$13:$C$502,C242,'JUNE (물량흐름)'!$T$13:$T$502)+SUMIF('JUNE (물량흐름)'!$C$13:$C$502,C242,'JUNE (물량흐름)'!$V$13:$V$502)+SUMIF('JUNE (물량흐름)'!$C$13:$C$502,C242,'JUNE (물량흐름)'!$U$13:$U$502)-SUMIF('JUNE (물량흐름)'!$C$13:$C$502,C242,'JUNE (물량흐름)'!$Y$13:$Y$502)</f>
        <v>0</v>
      </c>
      <c r="Q242" s="6">
        <f t="shared" si="49"/>
        <v>0</v>
      </c>
      <c r="R242" s="6">
        <f>ROUND(IF(ISERROR(VLOOKUP(#REF!,'WIP(재공품)'!$B$12:$AB$38,13,0)),0,VLOOKUP(#REF!,'WIP(재공품)'!$B$12:$AB$38,13,0)),0)</f>
        <v>0</v>
      </c>
      <c r="S242" s="6">
        <f>IF(ISERROR(VLOOKUP(#REF!,'WIP(재공품)'!$B$12:$AB$38,10,0)),0,VLOOKUP(#REF!,'WIP(재공품)'!$B$12:$AB$38,10,0))</f>
        <v>0</v>
      </c>
      <c r="T242" s="6">
        <f>SUMIF('JUNE (물량흐름)'!$C$13:$C$502,'Direct labour(직접노무비)'!C242,'JUNE (물량흐름)'!$Y$13:$Y$502)</f>
        <v>0</v>
      </c>
      <c r="U242" s="6">
        <f t="shared" si="44"/>
        <v>0</v>
      </c>
      <c r="V242" s="6">
        <f>ROUND(SUMIF('JUNE (물량흐름)'!$C$13:$C$502,'Direct labour(직접노무비)'!C242,'JUNE (물량흐름)'!$N$13:$N$502),0)</f>
        <v>30</v>
      </c>
      <c r="W242" s="6">
        <f>ROUND(SUMIF('JUNE (물량흐름)'!$C$13:$C$502,'Direct labour(직접노무비)'!C242,'JUNE (물량흐름)'!$O$13:$O$502),0)</f>
        <v>15</v>
      </c>
      <c r="X242" s="6">
        <f>ROUND(SUMIF('JUNE (물량흐름)'!$C$13:$C$502,'Direct labour(직접노무비)'!C242,'JUNE (물량흐름)'!$P$13:$P$502),0)</f>
        <v>53</v>
      </c>
      <c r="Y242" s="6">
        <f t="shared" si="45"/>
        <v>98</v>
      </c>
      <c r="Z242" s="6">
        <f t="shared" si="46"/>
        <v>56</v>
      </c>
      <c r="AA242" s="6">
        <f t="shared" si="50"/>
        <v>1453728</v>
      </c>
      <c r="AB242" s="389">
        <f t="shared" si="47"/>
        <v>0</v>
      </c>
      <c r="AC242" s="503">
        <f t="shared" si="39"/>
        <v>0</v>
      </c>
      <c r="AD242" s="389">
        <f t="shared" si="48"/>
        <v>0</v>
      </c>
    </row>
    <row r="243" spans="1:30" s="390" customFormat="1">
      <c r="A243" s="167">
        <v>233</v>
      </c>
      <c r="B243" s="267" t="str">
        <f>VLOOKUP(A243,'JUNE (물량흐름)'!$A$13:$C$502,2,0)</f>
        <v>ANN TAYLOR</v>
      </c>
      <c r="C243" s="240">
        <f>VLOOKUP(A243,'JUNE (물량흐름)'!$A$13:$C$502,3,0)</f>
        <v>461609</v>
      </c>
      <c r="D243" s="6">
        <f>VLOOKUP(C243,'WIP(재공품)'!$B$12:$E$493,4,0)</f>
        <v>7936.2499999999991</v>
      </c>
      <c r="E243" s="6">
        <f>IFERROR(VLOOKUP(C243,O.B.JUNE!$AA$7:$AG$448,2,0),0)</f>
        <v>62</v>
      </c>
      <c r="F243" s="6">
        <f>IFERROR(VLOOKUP(C243,O.B.JUNE!$AA$7:$AG$448,3,0),0)</f>
        <v>141</v>
      </c>
      <c r="G243" s="6">
        <f>IFERROR(VLOOKUP(C243,O.B.JUNE!$AA$7:$AD$448,4,0),0)</f>
        <v>287</v>
      </c>
      <c r="H243" s="6">
        <f t="shared" si="41"/>
        <v>490</v>
      </c>
      <c r="I243" s="6">
        <f>IFERROR(VLOOKUP(C243,O.B.JUNE!$AA$7:$AF$448,6,0),0)</f>
        <v>313</v>
      </c>
      <c r="J243" s="6"/>
      <c r="K243" s="6">
        <f>IFERROR(VLOOKUP(C243,O.B.JUNE!$AA$7:$AG$448,7,0),0)</f>
        <v>4228599</v>
      </c>
      <c r="L243" s="6">
        <f>SUMIF('JUNE (물량흐름)'!$C$13:$C$502,'Direct labour(직접노무비)'!C243,'JUNE (물량흐름)'!$H$13:$H$502)+SUMIF('JUNE (물량흐름)'!$C$13:$C$502,'Direct labour(직접노무비)'!C243,'JUNE (물량흐름)'!$I$13:$I$502)</f>
        <v>0</v>
      </c>
      <c r="M243" s="6">
        <f t="shared" si="42"/>
        <v>0</v>
      </c>
      <c r="N243" s="6">
        <f t="shared" si="43"/>
        <v>0</v>
      </c>
      <c r="O243" s="6">
        <f t="shared" si="40"/>
        <v>0</v>
      </c>
      <c r="P243" s="6">
        <f>SUMIF('JUNE (물량흐름)'!$C$13:$C$502,C243,'JUNE (물량흐름)'!$T$13:$T$502)+SUMIF('JUNE (물량흐름)'!$C$13:$C$502,C243,'JUNE (물량흐름)'!$V$13:$V$502)+SUMIF('JUNE (물량흐름)'!$C$13:$C$502,C243,'JUNE (물량흐름)'!$U$13:$U$502)-SUMIF('JUNE (물량흐름)'!$C$13:$C$502,C243,'JUNE (물량흐름)'!$Y$13:$Y$502)</f>
        <v>0</v>
      </c>
      <c r="Q243" s="6">
        <f t="shared" si="49"/>
        <v>0</v>
      </c>
      <c r="R243" s="6">
        <f>ROUND(IF(ISERROR(VLOOKUP(#REF!,'WIP(재공품)'!$B$12:$AB$38,13,0)),0,VLOOKUP(#REF!,'WIP(재공품)'!$B$12:$AB$38,13,0)),0)</f>
        <v>0</v>
      </c>
      <c r="S243" s="6">
        <f>IF(ISERROR(VLOOKUP(#REF!,'WIP(재공품)'!$B$12:$AB$38,10,0)),0,VLOOKUP(#REF!,'WIP(재공품)'!$B$12:$AB$38,10,0))</f>
        <v>0</v>
      </c>
      <c r="T243" s="6">
        <f>SUMIF('JUNE (물량흐름)'!$C$13:$C$502,'Direct labour(직접노무비)'!C243,'JUNE (물량흐름)'!$Y$13:$Y$502)</f>
        <v>0</v>
      </c>
      <c r="U243" s="6">
        <f t="shared" si="44"/>
        <v>0</v>
      </c>
      <c r="V243" s="6">
        <f>ROUND(SUMIF('JUNE (물량흐름)'!$C$13:$C$502,'Direct labour(직접노무비)'!C243,'JUNE (물량흐름)'!$N$13:$N$502),0)</f>
        <v>62</v>
      </c>
      <c r="W243" s="6">
        <f>ROUND(SUMIF('JUNE (물량흐름)'!$C$13:$C$502,'Direct labour(직접노무비)'!C243,'JUNE (물량흐름)'!$O$13:$O$502),0)</f>
        <v>141</v>
      </c>
      <c r="X243" s="6">
        <f>ROUND(SUMIF('JUNE (물량흐름)'!$C$13:$C$502,'Direct labour(직접노무비)'!C243,'JUNE (물량흐름)'!$P$13:$P$502),0)</f>
        <v>287</v>
      </c>
      <c r="Y243" s="6">
        <f t="shared" si="45"/>
        <v>490</v>
      </c>
      <c r="Z243" s="6">
        <f t="shared" si="46"/>
        <v>313</v>
      </c>
      <c r="AA243" s="6">
        <f t="shared" si="50"/>
        <v>4228599</v>
      </c>
      <c r="AB243" s="389">
        <f t="shared" si="47"/>
        <v>0</v>
      </c>
      <c r="AC243" s="503">
        <f t="shared" si="39"/>
        <v>0</v>
      </c>
      <c r="AD243" s="389">
        <f t="shared" si="48"/>
        <v>0</v>
      </c>
    </row>
    <row r="244" spans="1:30" s="390" customFormat="1">
      <c r="A244" s="167">
        <v>234</v>
      </c>
      <c r="B244" s="267" t="str">
        <f>VLOOKUP(A244,'JUNE (물량흐름)'!$A$13:$C$502,2,0)</f>
        <v>ANN TAYLOR</v>
      </c>
      <c r="C244" s="240">
        <f>VLOOKUP(A244,'JUNE (물량흐름)'!$A$13:$C$502,3,0)</f>
        <v>464818</v>
      </c>
      <c r="D244" s="6">
        <f>VLOOKUP(C244,'WIP(재공품)'!$B$12:$E$493,4,0)</f>
        <v>7936.2499999999991</v>
      </c>
      <c r="E244" s="6">
        <f>IFERROR(VLOOKUP(C244,O.B.JUNE!$AA$7:$AG$448,2,0),0)</f>
        <v>0</v>
      </c>
      <c r="F244" s="6">
        <f>IFERROR(VLOOKUP(C244,O.B.JUNE!$AA$7:$AG$448,3,0),0)</f>
        <v>662</v>
      </c>
      <c r="G244" s="6">
        <f>IFERROR(VLOOKUP(C244,O.B.JUNE!$AA$7:$AD$448,4,0),0)</f>
        <v>713</v>
      </c>
      <c r="H244" s="6">
        <f t="shared" si="41"/>
        <v>1375</v>
      </c>
      <c r="I244" s="6">
        <f>IFERROR(VLOOKUP(C244,O.B.JUNE!$AA$7:$AF$448,6,0),0)</f>
        <v>901</v>
      </c>
      <c r="J244" s="6"/>
      <c r="K244" s="6">
        <f>IFERROR(VLOOKUP(C244,O.B.JUNE!$AA$7:$AG$448,7,0),0)</f>
        <v>20759556</v>
      </c>
      <c r="L244" s="6">
        <f>SUMIF('JUNE (물량흐름)'!$C$13:$C$502,'Direct labour(직접노무비)'!C244,'JUNE (물량흐름)'!$H$13:$H$502)+SUMIF('JUNE (물량흐름)'!$C$13:$C$502,'Direct labour(직접노무비)'!C244,'JUNE (물량흐름)'!$I$13:$I$502)</f>
        <v>0</v>
      </c>
      <c r="M244" s="6">
        <f t="shared" si="42"/>
        <v>0</v>
      </c>
      <c r="N244" s="6">
        <f t="shared" si="43"/>
        <v>0</v>
      </c>
      <c r="O244" s="6">
        <f t="shared" si="40"/>
        <v>0</v>
      </c>
      <c r="P244" s="6">
        <f>SUMIF('JUNE (물량흐름)'!$C$13:$C$502,C244,'JUNE (물량흐름)'!$T$13:$T$502)+SUMIF('JUNE (물량흐름)'!$C$13:$C$502,C244,'JUNE (물량흐름)'!$V$13:$V$502)+SUMIF('JUNE (물량흐름)'!$C$13:$C$502,C244,'JUNE (물량흐름)'!$U$13:$U$502)-SUMIF('JUNE (물량흐름)'!$C$13:$C$502,C244,'JUNE (물량흐름)'!$Y$13:$Y$502)</f>
        <v>0</v>
      </c>
      <c r="Q244" s="6">
        <f t="shared" si="49"/>
        <v>0</v>
      </c>
      <c r="R244" s="6">
        <f>ROUND(IF(ISERROR(VLOOKUP(#REF!,'WIP(재공품)'!$B$12:$AB$38,13,0)),0,VLOOKUP(#REF!,'WIP(재공품)'!$B$12:$AB$38,13,0)),0)</f>
        <v>0</v>
      </c>
      <c r="S244" s="6">
        <f>IF(ISERROR(VLOOKUP(#REF!,'WIP(재공품)'!$B$12:$AB$38,10,0)),0,VLOOKUP(#REF!,'WIP(재공품)'!$B$12:$AB$38,10,0))</f>
        <v>0</v>
      </c>
      <c r="T244" s="6">
        <f>SUMIF('JUNE (물량흐름)'!$C$13:$C$502,'Direct labour(직접노무비)'!C244,'JUNE (물량흐름)'!$Y$13:$Y$502)</f>
        <v>0</v>
      </c>
      <c r="U244" s="6">
        <f t="shared" si="44"/>
        <v>0</v>
      </c>
      <c r="V244" s="6">
        <f>ROUND(SUMIF('JUNE (물량흐름)'!$C$13:$C$502,'Direct labour(직접노무비)'!C244,'JUNE (물량흐름)'!$N$13:$N$502),0)</f>
        <v>0</v>
      </c>
      <c r="W244" s="6">
        <f>ROUND(SUMIF('JUNE (물량흐름)'!$C$13:$C$502,'Direct labour(직접노무비)'!C244,'JUNE (물량흐름)'!$O$13:$O$502),0)</f>
        <v>662</v>
      </c>
      <c r="X244" s="6">
        <f>ROUND(SUMIF('JUNE (물량흐름)'!$C$13:$C$502,'Direct labour(직접노무비)'!C244,'JUNE (물량흐름)'!$P$13:$P$502),0)</f>
        <v>713</v>
      </c>
      <c r="Y244" s="6">
        <f t="shared" si="45"/>
        <v>1375</v>
      </c>
      <c r="Z244" s="6">
        <f t="shared" si="46"/>
        <v>901</v>
      </c>
      <c r="AA244" s="6">
        <f t="shared" si="50"/>
        <v>20759556</v>
      </c>
      <c r="AB244" s="389">
        <f t="shared" si="47"/>
        <v>0</v>
      </c>
      <c r="AC244" s="503">
        <f t="shared" si="39"/>
        <v>0</v>
      </c>
      <c r="AD244" s="389">
        <f t="shared" si="48"/>
        <v>0</v>
      </c>
    </row>
    <row r="245" spans="1:30" s="390" customFormat="1">
      <c r="A245" s="167">
        <v>235</v>
      </c>
      <c r="B245" s="267" t="str">
        <f>VLOOKUP(A245,'JUNE (물량흐름)'!$A$13:$C$502,2,0)</f>
        <v>ANN TAYLOR</v>
      </c>
      <c r="C245" s="240">
        <f>VLOOKUP(A245,'JUNE (물량흐름)'!$A$13:$C$502,3,0)</f>
        <v>465184</v>
      </c>
      <c r="D245" s="6">
        <f>VLOOKUP(C245,'WIP(재공품)'!$B$12:$E$493,4,0)</f>
        <v>8163</v>
      </c>
      <c r="E245" s="6">
        <f>IFERROR(VLOOKUP(C245,O.B.JUNE!$AA$7:$AG$448,2,0),0)</f>
        <v>0</v>
      </c>
      <c r="F245" s="6">
        <f>IFERROR(VLOOKUP(C245,O.B.JUNE!$AA$7:$AG$448,3,0),0)</f>
        <v>16</v>
      </c>
      <c r="G245" s="6">
        <f>IFERROR(VLOOKUP(C245,O.B.JUNE!$AA$7:$AD$448,4,0),0)</f>
        <v>60</v>
      </c>
      <c r="H245" s="6">
        <f t="shared" si="41"/>
        <v>76</v>
      </c>
      <c r="I245" s="6">
        <f>IFERROR(VLOOKUP(C245,O.B.JUNE!$AA$7:$AF$448,6,0),0)</f>
        <v>56</v>
      </c>
      <c r="J245" s="6"/>
      <c r="K245" s="6">
        <f>IFERROR(VLOOKUP(C245,O.B.JUNE!$AA$7:$AG$448,7,0),0)</f>
        <v>1300961</v>
      </c>
      <c r="L245" s="6">
        <f>SUMIF('JUNE (물량흐름)'!$C$13:$C$502,'Direct labour(직접노무비)'!C245,'JUNE (물량흐름)'!$H$13:$H$502)+SUMIF('JUNE (물량흐름)'!$C$13:$C$502,'Direct labour(직접노무비)'!C245,'JUNE (물량흐름)'!$I$13:$I$502)</f>
        <v>0</v>
      </c>
      <c r="M245" s="6">
        <f t="shared" si="42"/>
        <v>0</v>
      </c>
      <c r="N245" s="6">
        <f t="shared" si="43"/>
        <v>0</v>
      </c>
      <c r="O245" s="6">
        <f t="shared" si="40"/>
        <v>0</v>
      </c>
      <c r="P245" s="6">
        <f>SUMIF('JUNE (물량흐름)'!$C$13:$C$502,C245,'JUNE (물량흐름)'!$T$13:$T$502)+SUMIF('JUNE (물량흐름)'!$C$13:$C$502,C245,'JUNE (물량흐름)'!$V$13:$V$502)+SUMIF('JUNE (물량흐름)'!$C$13:$C$502,C245,'JUNE (물량흐름)'!$U$13:$U$502)-SUMIF('JUNE (물량흐름)'!$C$13:$C$502,C245,'JUNE (물량흐름)'!$Y$13:$Y$502)</f>
        <v>0</v>
      </c>
      <c r="Q245" s="6">
        <f t="shared" si="49"/>
        <v>0</v>
      </c>
      <c r="R245" s="6">
        <f>ROUND(IF(ISERROR(VLOOKUP(#REF!,'WIP(재공품)'!$B$12:$AB$38,13,0)),0,VLOOKUP(#REF!,'WIP(재공품)'!$B$12:$AB$38,13,0)),0)</f>
        <v>0</v>
      </c>
      <c r="S245" s="6">
        <f>IF(ISERROR(VLOOKUP(#REF!,'WIP(재공품)'!$B$12:$AB$38,10,0)),0,VLOOKUP(#REF!,'WIP(재공품)'!$B$12:$AB$38,10,0))</f>
        <v>0</v>
      </c>
      <c r="T245" s="6">
        <f>SUMIF('JUNE (물량흐름)'!$C$13:$C$502,'Direct labour(직접노무비)'!C245,'JUNE (물량흐름)'!$Y$13:$Y$502)</f>
        <v>0</v>
      </c>
      <c r="U245" s="6">
        <f t="shared" si="44"/>
        <v>0</v>
      </c>
      <c r="V245" s="6">
        <f>ROUND(SUMIF('JUNE (물량흐름)'!$C$13:$C$502,'Direct labour(직접노무비)'!C245,'JUNE (물량흐름)'!$N$13:$N$502),0)</f>
        <v>0</v>
      </c>
      <c r="W245" s="6">
        <f>ROUND(SUMIF('JUNE (물량흐름)'!$C$13:$C$502,'Direct labour(직접노무비)'!C245,'JUNE (물량흐름)'!$O$13:$O$502),0)</f>
        <v>16</v>
      </c>
      <c r="X245" s="6">
        <f>ROUND(SUMIF('JUNE (물량흐름)'!$C$13:$C$502,'Direct labour(직접노무비)'!C245,'JUNE (물량흐름)'!$P$13:$P$502),0)</f>
        <v>60</v>
      </c>
      <c r="Y245" s="6">
        <f t="shared" si="45"/>
        <v>76</v>
      </c>
      <c r="Z245" s="6">
        <f t="shared" si="46"/>
        <v>56</v>
      </c>
      <c r="AA245" s="6">
        <f t="shared" si="50"/>
        <v>1300961</v>
      </c>
      <c r="AB245" s="389">
        <f t="shared" si="47"/>
        <v>0</v>
      </c>
      <c r="AC245" s="503">
        <f t="shared" si="39"/>
        <v>0</v>
      </c>
      <c r="AD245" s="389">
        <f t="shared" si="48"/>
        <v>0</v>
      </c>
    </row>
    <row r="246" spans="1:30" s="390" customFormat="1">
      <c r="A246" s="167">
        <v>236</v>
      </c>
      <c r="B246" s="267" t="str">
        <f>VLOOKUP(A246,'JUNE (물량흐름)'!$A$13:$C$502,2,0)</f>
        <v>ANN TAYLOR</v>
      </c>
      <c r="C246" s="240">
        <f>VLOOKUP(A246,'JUNE (물량흐름)'!$A$13:$C$502,3,0)</f>
        <v>465409</v>
      </c>
      <c r="D246" s="6">
        <f>VLOOKUP(C246,'WIP(재공품)'!$B$12:$E$493,4,0)</f>
        <v>7936.2499999999991</v>
      </c>
      <c r="E246" s="6">
        <f>IFERROR(VLOOKUP(C246,O.B.JUNE!$AA$7:$AG$448,2,0),0)</f>
        <v>2</v>
      </c>
      <c r="F246" s="6">
        <f>IFERROR(VLOOKUP(C246,O.B.JUNE!$AA$7:$AG$448,3,0),0)</f>
        <v>14</v>
      </c>
      <c r="G246" s="6">
        <f>IFERROR(VLOOKUP(C246,O.B.JUNE!$AA$7:$AD$448,4,0),0)</f>
        <v>1025</v>
      </c>
      <c r="H246" s="6">
        <f t="shared" si="41"/>
        <v>1041</v>
      </c>
      <c r="I246" s="6">
        <f>IFERROR(VLOOKUP(C246,O.B.JUNE!$AA$7:$AF$448,6,0),0)</f>
        <v>827</v>
      </c>
      <c r="J246" s="6"/>
      <c r="K246" s="6">
        <f>IFERROR(VLOOKUP(C246,O.B.JUNE!$AA$7:$AG$448,7,0),0)</f>
        <v>18087276</v>
      </c>
      <c r="L246" s="6">
        <f>SUMIF('JUNE (물량흐름)'!$C$13:$C$502,'Direct labour(직접노무비)'!C246,'JUNE (물량흐름)'!$H$13:$H$502)+SUMIF('JUNE (물량흐름)'!$C$13:$C$502,'Direct labour(직접노무비)'!C246,'JUNE (물량흐름)'!$I$13:$I$502)</f>
        <v>0</v>
      </c>
      <c r="M246" s="6">
        <f t="shared" si="42"/>
        <v>0</v>
      </c>
      <c r="N246" s="6">
        <f t="shared" si="43"/>
        <v>0</v>
      </c>
      <c r="O246" s="6">
        <f t="shared" si="40"/>
        <v>0</v>
      </c>
      <c r="P246" s="6">
        <f>SUMIF('JUNE (물량흐름)'!$C$13:$C$502,C246,'JUNE (물량흐름)'!$T$13:$T$502)+SUMIF('JUNE (물량흐름)'!$C$13:$C$502,C246,'JUNE (물량흐름)'!$V$13:$V$502)+SUMIF('JUNE (물량흐름)'!$C$13:$C$502,C246,'JUNE (물량흐름)'!$U$13:$U$502)-SUMIF('JUNE (물량흐름)'!$C$13:$C$502,C246,'JUNE (물량흐름)'!$Y$13:$Y$502)</f>
        <v>0</v>
      </c>
      <c r="Q246" s="6">
        <f t="shared" si="49"/>
        <v>0</v>
      </c>
      <c r="R246" s="6">
        <f>ROUND(IF(ISERROR(VLOOKUP(#REF!,'WIP(재공품)'!$B$12:$AB$38,13,0)),0,VLOOKUP(#REF!,'WIP(재공품)'!$B$12:$AB$38,13,0)),0)</f>
        <v>0</v>
      </c>
      <c r="S246" s="6">
        <f>IF(ISERROR(VLOOKUP(#REF!,'WIP(재공품)'!$B$12:$AB$38,10,0)),0,VLOOKUP(#REF!,'WIP(재공품)'!$B$12:$AB$38,10,0))</f>
        <v>0</v>
      </c>
      <c r="T246" s="6">
        <f>SUMIF('JUNE (물량흐름)'!$C$13:$C$502,'Direct labour(직접노무비)'!C246,'JUNE (물량흐름)'!$Y$13:$Y$502)</f>
        <v>0</v>
      </c>
      <c r="U246" s="6">
        <f t="shared" si="44"/>
        <v>0</v>
      </c>
      <c r="V246" s="6">
        <f>ROUND(SUMIF('JUNE (물량흐름)'!$C$13:$C$502,'Direct labour(직접노무비)'!C246,'JUNE (물량흐름)'!$N$13:$N$502),0)</f>
        <v>2</v>
      </c>
      <c r="W246" s="6">
        <f>ROUND(SUMIF('JUNE (물량흐름)'!$C$13:$C$502,'Direct labour(직접노무비)'!C246,'JUNE (물량흐름)'!$O$13:$O$502),0)</f>
        <v>14</v>
      </c>
      <c r="X246" s="6">
        <f>ROUND(SUMIF('JUNE (물량흐름)'!$C$13:$C$502,'Direct labour(직접노무비)'!C246,'JUNE (물량흐름)'!$P$13:$P$502),0)</f>
        <v>1025</v>
      </c>
      <c r="Y246" s="6">
        <f t="shared" si="45"/>
        <v>1041</v>
      </c>
      <c r="Z246" s="6">
        <f t="shared" si="46"/>
        <v>827</v>
      </c>
      <c r="AA246" s="6">
        <f t="shared" si="50"/>
        <v>18087276</v>
      </c>
      <c r="AB246" s="389">
        <f t="shared" si="47"/>
        <v>0</v>
      </c>
      <c r="AC246" s="503">
        <f t="shared" si="39"/>
        <v>0</v>
      </c>
      <c r="AD246" s="389">
        <f t="shared" si="48"/>
        <v>0</v>
      </c>
    </row>
    <row r="247" spans="1:30" s="390" customFormat="1">
      <c r="A247" s="167">
        <v>237</v>
      </c>
      <c r="B247" s="267" t="str">
        <f>VLOOKUP(A247,'JUNE (물량흐름)'!$A$13:$C$502,2,0)</f>
        <v>CHARTER CLUB</v>
      </c>
      <c r="C247" s="240">
        <f>VLOOKUP(A247,'JUNE (물량흐름)'!$A$13:$C$502,3,0)</f>
        <v>100010055</v>
      </c>
      <c r="D247" s="6">
        <f>VLOOKUP(C247,'WIP(재공품)'!$B$12:$E$493,4,0)</f>
        <v>7936.2499999999991</v>
      </c>
      <c r="E247" s="6">
        <f>IFERROR(VLOOKUP(C247,O.B.JUNE!$AA$7:$AG$448,2,0),0)</f>
        <v>0</v>
      </c>
      <c r="F247" s="6">
        <f>IFERROR(VLOOKUP(C247,O.B.JUNE!$AA$7:$AG$448,3,0),0)</f>
        <v>17</v>
      </c>
      <c r="G247" s="6">
        <f>IFERROR(VLOOKUP(C247,O.B.JUNE!$AA$7:$AD$448,4,0),0)</f>
        <v>7</v>
      </c>
      <c r="H247" s="6">
        <f t="shared" si="41"/>
        <v>24</v>
      </c>
      <c r="I247" s="6">
        <f>IFERROR(VLOOKUP(C247,O.B.JUNE!$AA$7:$AF$448,6,0),0)</f>
        <v>14</v>
      </c>
      <c r="J247" s="6"/>
      <c r="K247" s="6">
        <f>IFERROR(VLOOKUP(C247,O.B.JUNE!$AA$7:$AG$448,7,0),0)</f>
        <v>846047</v>
      </c>
      <c r="L247" s="6">
        <f>SUMIF('JUNE (물량흐름)'!$C$13:$C$502,'Direct labour(직접노무비)'!C247,'JUNE (물량흐름)'!$H$13:$H$502)+SUMIF('JUNE (물량흐름)'!$C$13:$C$502,'Direct labour(직접노무비)'!C247,'JUNE (물량흐름)'!$I$13:$I$502)</f>
        <v>0</v>
      </c>
      <c r="M247" s="6">
        <f t="shared" si="42"/>
        <v>0</v>
      </c>
      <c r="N247" s="6">
        <f t="shared" si="43"/>
        <v>0</v>
      </c>
      <c r="O247" s="6">
        <f t="shared" si="40"/>
        <v>0</v>
      </c>
      <c r="P247" s="6">
        <f>SUMIF('JUNE (물량흐름)'!$C$13:$C$502,C247,'JUNE (물량흐름)'!$T$13:$T$502)+SUMIF('JUNE (물량흐름)'!$C$13:$C$502,C247,'JUNE (물량흐름)'!$V$13:$V$502)+SUMIF('JUNE (물량흐름)'!$C$13:$C$502,C247,'JUNE (물량흐름)'!$U$13:$U$502)-SUMIF('JUNE (물량흐름)'!$C$13:$C$502,C247,'JUNE (물량흐름)'!$Y$13:$Y$502)</f>
        <v>0</v>
      </c>
      <c r="Q247" s="6">
        <f t="shared" si="49"/>
        <v>0</v>
      </c>
      <c r="R247" s="6">
        <f>ROUND(IF(ISERROR(VLOOKUP(#REF!,'WIP(재공품)'!$B$12:$AB$38,13,0)),0,VLOOKUP(#REF!,'WIP(재공품)'!$B$12:$AB$38,13,0)),0)</f>
        <v>0</v>
      </c>
      <c r="S247" s="6">
        <f>IF(ISERROR(VLOOKUP(#REF!,'WIP(재공품)'!$B$12:$AB$38,10,0)),0,VLOOKUP(#REF!,'WIP(재공품)'!$B$12:$AB$38,10,0))</f>
        <v>0</v>
      </c>
      <c r="T247" s="6">
        <f>SUMIF('JUNE (물량흐름)'!$C$13:$C$502,'Direct labour(직접노무비)'!C247,'JUNE (물량흐름)'!$Y$13:$Y$502)</f>
        <v>0</v>
      </c>
      <c r="U247" s="6">
        <f t="shared" si="44"/>
        <v>0</v>
      </c>
      <c r="V247" s="6">
        <f>ROUND(SUMIF('JUNE (물량흐름)'!$C$13:$C$502,'Direct labour(직접노무비)'!C247,'JUNE (물량흐름)'!$N$13:$N$502),0)</f>
        <v>0</v>
      </c>
      <c r="W247" s="6">
        <f>ROUND(SUMIF('JUNE (물량흐름)'!$C$13:$C$502,'Direct labour(직접노무비)'!C247,'JUNE (물량흐름)'!$O$13:$O$502),0)</f>
        <v>17</v>
      </c>
      <c r="X247" s="6">
        <f>ROUND(SUMIF('JUNE (물량흐름)'!$C$13:$C$502,'Direct labour(직접노무비)'!C247,'JUNE (물량흐름)'!$P$13:$P$502),0)</f>
        <v>7</v>
      </c>
      <c r="Y247" s="6">
        <f t="shared" si="45"/>
        <v>24</v>
      </c>
      <c r="Z247" s="6">
        <f t="shared" si="46"/>
        <v>14</v>
      </c>
      <c r="AA247" s="6">
        <f t="shared" si="50"/>
        <v>846047</v>
      </c>
      <c r="AB247" s="389">
        <f t="shared" si="47"/>
        <v>0</v>
      </c>
      <c r="AC247" s="503">
        <f t="shared" si="39"/>
        <v>0</v>
      </c>
      <c r="AD247" s="389">
        <f t="shared" si="48"/>
        <v>0</v>
      </c>
    </row>
    <row r="248" spans="1:30" s="390" customFormat="1">
      <c r="A248" s="167">
        <v>238</v>
      </c>
      <c r="B248" s="267" t="str">
        <f>VLOOKUP(A248,'JUNE (물량흐름)'!$A$13:$C$502,2,0)</f>
        <v>CHARTER CLUB</v>
      </c>
      <c r="C248" s="240">
        <f>VLOOKUP(A248,'JUNE (물량흐름)'!$A$13:$C$502,3,0)</f>
        <v>100013421</v>
      </c>
      <c r="D248" s="6">
        <f>VLOOKUP(C248,'WIP(재공품)'!$B$12:$E$493,4,0)</f>
        <v>44443</v>
      </c>
      <c r="E248" s="6">
        <f>IFERROR(VLOOKUP(C248,O.B.JUNE!$AA$7:$AG$448,2,0),0)</f>
        <v>0</v>
      </c>
      <c r="F248" s="6">
        <f>IFERROR(VLOOKUP(C248,O.B.JUNE!$AA$7:$AG$448,3,0),0)</f>
        <v>364</v>
      </c>
      <c r="G248" s="6">
        <f>IFERROR(VLOOKUP(C248,O.B.JUNE!$AA$7:$AD$448,4,0),0)</f>
        <v>338</v>
      </c>
      <c r="H248" s="6">
        <f t="shared" si="41"/>
        <v>702</v>
      </c>
      <c r="I248" s="6">
        <f>IFERROR(VLOOKUP(C248,O.B.JUNE!$AA$7:$AF$448,6,0),0)</f>
        <v>452</v>
      </c>
      <c r="J248" s="6"/>
      <c r="K248" s="6">
        <f>IFERROR(VLOOKUP(C248,O.B.JUNE!$AA$7:$AG$448,7,0),0)</f>
        <v>7166537</v>
      </c>
      <c r="L248" s="6">
        <f>SUMIF('JUNE (물량흐름)'!$C$13:$C$502,'Direct labour(직접노무비)'!C248,'JUNE (물량흐름)'!$H$13:$H$502)+SUMIF('JUNE (물량흐름)'!$C$13:$C$502,'Direct labour(직접노무비)'!C248,'JUNE (물량흐름)'!$I$13:$I$502)</f>
        <v>0</v>
      </c>
      <c r="M248" s="6">
        <f t="shared" si="42"/>
        <v>0</v>
      </c>
      <c r="N248" s="6">
        <f t="shared" si="43"/>
        <v>0</v>
      </c>
      <c r="O248" s="6">
        <f t="shared" si="40"/>
        <v>0</v>
      </c>
      <c r="P248" s="6">
        <f>SUMIF('JUNE (물량흐름)'!$C$13:$C$502,C248,'JUNE (물량흐름)'!$T$13:$T$502)+SUMIF('JUNE (물량흐름)'!$C$13:$C$502,C248,'JUNE (물량흐름)'!$V$13:$V$502)+SUMIF('JUNE (물량흐름)'!$C$13:$C$502,C248,'JUNE (물량흐름)'!$U$13:$U$502)-SUMIF('JUNE (물량흐름)'!$C$13:$C$502,C248,'JUNE (물량흐름)'!$Y$13:$Y$502)</f>
        <v>0</v>
      </c>
      <c r="Q248" s="6">
        <f t="shared" si="49"/>
        <v>0</v>
      </c>
      <c r="R248" s="6">
        <f>ROUND(IF(ISERROR(VLOOKUP(#REF!,'WIP(재공품)'!$B$12:$AB$38,13,0)),0,VLOOKUP(#REF!,'WIP(재공품)'!$B$12:$AB$38,13,0)),0)</f>
        <v>0</v>
      </c>
      <c r="S248" s="6">
        <f>IF(ISERROR(VLOOKUP(#REF!,'WIP(재공품)'!$B$12:$AB$38,10,0)),0,VLOOKUP(#REF!,'WIP(재공품)'!$B$12:$AB$38,10,0))</f>
        <v>0</v>
      </c>
      <c r="T248" s="6">
        <f>SUMIF('JUNE (물량흐름)'!$C$13:$C$502,'Direct labour(직접노무비)'!C248,'JUNE (물량흐름)'!$Y$13:$Y$502)</f>
        <v>0</v>
      </c>
      <c r="U248" s="6">
        <f t="shared" si="44"/>
        <v>0</v>
      </c>
      <c r="V248" s="6">
        <f>ROUND(SUMIF('JUNE (물량흐름)'!$C$13:$C$502,'Direct labour(직접노무비)'!C248,'JUNE (물량흐름)'!$N$13:$N$502),0)</f>
        <v>0</v>
      </c>
      <c r="W248" s="6">
        <f>ROUND(SUMIF('JUNE (물량흐름)'!$C$13:$C$502,'Direct labour(직접노무비)'!C248,'JUNE (물량흐름)'!$O$13:$O$502),0)</f>
        <v>364</v>
      </c>
      <c r="X248" s="6">
        <f>ROUND(SUMIF('JUNE (물량흐름)'!$C$13:$C$502,'Direct labour(직접노무비)'!C248,'JUNE (물량흐름)'!$P$13:$P$502),0)</f>
        <v>338</v>
      </c>
      <c r="Y248" s="6">
        <f t="shared" si="45"/>
        <v>702</v>
      </c>
      <c r="Z248" s="6">
        <f t="shared" si="46"/>
        <v>452</v>
      </c>
      <c r="AA248" s="6">
        <f t="shared" si="50"/>
        <v>7166537</v>
      </c>
      <c r="AB248" s="389">
        <f t="shared" si="47"/>
        <v>0</v>
      </c>
      <c r="AC248" s="503">
        <f t="shared" si="39"/>
        <v>0</v>
      </c>
      <c r="AD248" s="389">
        <f t="shared" si="48"/>
        <v>0</v>
      </c>
    </row>
    <row r="249" spans="1:30" s="390" customFormat="1">
      <c r="A249" s="167">
        <v>239</v>
      </c>
      <c r="B249" s="267" t="str">
        <f>VLOOKUP(A249,'JUNE (물량흐름)'!$A$13:$C$502,2,0)</f>
        <v>INC</v>
      </c>
      <c r="C249" s="240">
        <f>VLOOKUP(A249,'JUNE (물량흐름)'!$A$13:$C$502,3,0)</f>
        <v>100006969</v>
      </c>
      <c r="D249" s="6">
        <f>VLOOKUP(C249,'WIP(재공품)'!$B$12:$E$493,4,0)</f>
        <v>44443</v>
      </c>
      <c r="E249" s="6">
        <f>IFERROR(VLOOKUP(C249,O.B.JUNE!$AA$7:$AG$448,2,0),0)</f>
        <v>30</v>
      </c>
      <c r="F249" s="6">
        <f>IFERROR(VLOOKUP(C249,O.B.JUNE!$AA$7:$AG$448,3,0),0)</f>
        <v>73</v>
      </c>
      <c r="G249" s="6">
        <f>IFERROR(VLOOKUP(C249,O.B.JUNE!$AA$7:$AD$448,4,0),0)</f>
        <v>57</v>
      </c>
      <c r="H249" s="6">
        <f t="shared" si="41"/>
        <v>160</v>
      </c>
      <c r="I249" s="6">
        <f>IFERROR(VLOOKUP(C249,O.B.JUNE!$AA$7:$AF$448,6,0),0)</f>
        <v>88</v>
      </c>
      <c r="J249" s="6"/>
      <c r="K249" s="6">
        <f>IFERROR(VLOOKUP(C249,O.B.JUNE!$AA$7:$AG$448,7,0),0)</f>
        <v>4979554</v>
      </c>
      <c r="L249" s="6">
        <f>SUMIF('JUNE (물량흐름)'!$C$13:$C$502,'Direct labour(직접노무비)'!C249,'JUNE (물량흐름)'!$H$13:$H$502)+SUMIF('JUNE (물량흐름)'!$C$13:$C$502,'Direct labour(직접노무비)'!C249,'JUNE (물량흐름)'!$I$13:$I$502)</f>
        <v>0</v>
      </c>
      <c r="M249" s="6">
        <f t="shared" si="42"/>
        <v>0</v>
      </c>
      <c r="N249" s="6">
        <f t="shared" si="43"/>
        <v>0</v>
      </c>
      <c r="O249" s="6">
        <f t="shared" si="40"/>
        <v>0</v>
      </c>
      <c r="P249" s="6">
        <f>SUMIF('JUNE (물량흐름)'!$C$13:$C$502,C249,'JUNE (물량흐름)'!$T$13:$T$502)+SUMIF('JUNE (물량흐름)'!$C$13:$C$502,C249,'JUNE (물량흐름)'!$V$13:$V$502)+SUMIF('JUNE (물량흐름)'!$C$13:$C$502,C249,'JUNE (물량흐름)'!$U$13:$U$502)-SUMIF('JUNE (물량흐름)'!$C$13:$C$502,C249,'JUNE (물량흐름)'!$Y$13:$Y$502)</f>
        <v>0</v>
      </c>
      <c r="Q249" s="6">
        <f t="shared" si="49"/>
        <v>0</v>
      </c>
      <c r="R249" s="6">
        <f>ROUND(IF(ISERROR(VLOOKUP(#REF!,'WIP(재공품)'!$B$12:$AB$38,13,0)),0,VLOOKUP(#REF!,'WIP(재공품)'!$B$12:$AB$38,13,0)),0)</f>
        <v>0</v>
      </c>
      <c r="S249" s="6">
        <f>IF(ISERROR(VLOOKUP(#REF!,'WIP(재공품)'!$B$12:$AB$38,10,0)),0,VLOOKUP(#REF!,'WIP(재공품)'!$B$12:$AB$38,10,0))</f>
        <v>0</v>
      </c>
      <c r="T249" s="6">
        <f>SUMIF('JUNE (물량흐름)'!$C$13:$C$502,'Direct labour(직접노무비)'!C249,'JUNE (물량흐름)'!$Y$13:$Y$502)</f>
        <v>0</v>
      </c>
      <c r="U249" s="6">
        <f t="shared" si="44"/>
        <v>0</v>
      </c>
      <c r="V249" s="6">
        <f>ROUND(SUMIF('JUNE (물량흐름)'!$C$13:$C$502,'Direct labour(직접노무비)'!C249,'JUNE (물량흐름)'!$N$13:$N$502),0)</f>
        <v>30</v>
      </c>
      <c r="W249" s="6">
        <f>ROUND(SUMIF('JUNE (물량흐름)'!$C$13:$C$502,'Direct labour(직접노무비)'!C249,'JUNE (물량흐름)'!$O$13:$O$502),0)</f>
        <v>73</v>
      </c>
      <c r="X249" s="6">
        <f>ROUND(SUMIF('JUNE (물량흐름)'!$C$13:$C$502,'Direct labour(직접노무비)'!C249,'JUNE (물량흐름)'!$P$13:$P$502),0)</f>
        <v>57</v>
      </c>
      <c r="Y249" s="6">
        <f t="shared" si="45"/>
        <v>160</v>
      </c>
      <c r="Z249" s="6">
        <f t="shared" si="46"/>
        <v>88</v>
      </c>
      <c r="AA249" s="6">
        <f t="shared" si="50"/>
        <v>4979554</v>
      </c>
      <c r="AB249" s="389">
        <f t="shared" si="47"/>
        <v>0</v>
      </c>
      <c r="AC249" s="503">
        <f t="shared" si="39"/>
        <v>0</v>
      </c>
      <c r="AD249" s="389">
        <f t="shared" si="48"/>
        <v>0</v>
      </c>
    </row>
    <row r="250" spans="1:30" s="390" customFormat="1">
      <c r="A250" s="167">
        <v>240</v>
      </c>
      <c r="B250" s="267" t="str">
        <f>VLOOKUP(A250,'JUNE (물량흐름)'!$A$13:$C$502,2,0)</f>
        <v>INC</v>
      </c>
      <c r="C250" s="240">
        <f>VLOOKUP(A250,'JUNE (물량흐름)'!$A$13:$C$502,3,0)</f>
        <v>100020548</v>
      </c>
      <c r="D250" s="6">
        <f>VLOOKUP(C250,'WIP(재공품)'!$B$12:$E$493,4,0)</f>
        <v>7936.2499999999991</v>
      </c>
      <c r="E250" s="6">
        <f>IFERROR(VLOOKUP(C250,O.B.JUNE!$AA$7:$AG$448,2,0),0)</f>
        <v>0</v>
      </c>
      <c r="F250" s="6">
        <f>IFERROR(VLOOKUP(C250,O.B.JUNE!$AA$7:$AG$448,3,0),0)</f>
        <v>436</v>
      </c>
      <c r="G250" s="6">
        <f>IFERROR(VLOOKUP(C250,O.B.JUNE!$AA$7:$AD$448,4,0),0)</f>
        <v>414</v>
      </c>
      <c r="H250" s="6">
        <f t="shared" si="41"/>
        <v>850</v>
      </c>
      <c r="I250" s="6">
        <f>IFERROR(VLOOKUP(C250,O.B.JUNE!$AA$7:$AF$448,6,0),0)</f>
        <v>549</v>
      </c>
      <c r="J250" s="6"/>
      <c r="K250" s="6">
        <f>IFERROR(VLOOKUP(C250,O.B.JUNE!$AA$7:$AG$448,7,0),0)</f>
        <v>11763332</v>
      </c>
      <c r="L250" s="6">
        <f>SUMIF('JUNE (물량흐름)'!$C$13:$C$502,'Direct labour(직접노무비)'!C250,'JUNE (물량흐름)'!$H$13:$H$502)+SUMIF('JUNE (물량흐름)'!$C$13:$C$502,'Direct labour(직접노무비)'!C250,'JUNE (물량흐름)'!$I$13:$I$502)</f>
        <v>0</v>
      </c>
      <c r="M250" s="6">
        <f t="shared" si="42"/>
        <v>0</v>
      </c>
      <c r="N250" s="6">
        <f t="shared" si="43"/>
        <v>0</v>
      </c>
      <c r="O250" s="6">
        <f t="shared" si="40"/>
        <v>0</v>
      </c>
      <c r="P250" s="6">
        <f>SUMIF('JUNE (물량흐름)'!$C$13:$C$502,C250,'JUNE (물량흐름)'!$T$13:$T$502)+SUMIF('JUNE (물량흐름)'!$C$13:$C$502,C250,'JUNE (물량흐름)'!$V$13:$V$502)+SUMIF('JUNE (물량흐름)'!$C$13:$C$502,C250,'JUNE (물량흐름)'!$U$13:$U$502)-SUMIF('JUNE (물량흐름)'!$C$13:$C$502,C250,'JUNE (물량흐름)'!$Y$13:$Y$502)</f>
        <v>0</v>
      </c>
      <c r="Q250" s="6">
        <f t="shared" si="49"/>
        <v>0</v>
      </c>
      <c r="R250" s="6">
        <f>ROUND(IF(ISERROR(VLOOKUP(#REF!,'WIP(재공품)'!$B$12:$AB$38,13,0)),0,VLOOKUP(#REF!,'WIP(재공품)'!$B$12:$AB$38,13,0)),0)</f>
        <v>0</v>
      </c>
      <c r="S250" s="6">
        <f>IF(ISERROR(VLOOKUP(#REF!,'WIP(재공품)'!$B$12:$AB$38,10,0)),0,VLOOKUP(#REF!,'WIP(재공품)'!$B$12:$AB$38,10,0))</f>
        <v>0</v>
      </c>
      <c r="T250" s="6">
        <f>SUMIF('JUNE (물량흐름)'!$C$13:$C$502,'Direct labour(직접노무비)'!C250,'JUNE (물량흐름)'!$Y$13:$Y$502)</f>
        <v>0</v>
      </c>
      <c r="U250" s="6">
        <f t="shared" si="44"/>
        <v>0</v>
      </c>
      <c r="V250" s="6">
        <f>ROUND(SUMIF('JUNE (물량흐름)'!$C$13:$C$502,'Direct labour(직접노무비)'!C250,'JUNE (물량흐름)'!$N$13:$N$502),0)</f>
        <v>0</v>
      </c>
      <c r="W250" s="6">
        <f>ROUND(SUMIF('JUNE (물량흐름)'!$C$13:$C$502,'Direct labour(직접노무비)'!C250,'JUNE (물량흐름)'!$O$13:$O$502),0)</f>
        <v>436</v>
      </c>
      <c r="X250" s="6">
        <f>ROUND(SUMIF('JUNE (물량흐름)'!$C$13:$C$502,'Direct labour(직접노무비)'!C250,'JUNE (물량흐름)'!$P$13:$P$502),0)</f>
        <v>414</v>
      </c>
      <c r="Y250" s="6">
        <f t="shared" si="45"/>
        <v>850</v>
      </c>
      <c r="Z250" s="6">
        <f t="shared" si="46"/>
        <v>549</v>
      </c>
      <c r="AA250" s="6">
        <f t="shared" si="50"/>
        <v>11763332</v>
      </c>
      <c r="AB250" s="389">
        <f t="shared" si="47"/>
        <v>0</v>
      </c>
      <c r="AC250" s="503">
        <f t="shared" si="39"/>
        <v>0</v>
      </c>
      <c r="AD250" s="389">
        <f t="shared" si="48"/>
        <v>0</v>
      </c>
    </row>
    <row r="251" spans="1:30" s="390" customFormat="1">
      <c r="A251" s="167">
        <v>241</v>
      </c>
      <c r="B251" s="267" t="str">
        <f>VLOOKUP(A251,'JUNE (물량흐름)'!$A$13:$C$502,2,0)</f>
        <v>INC</v>
      </c>
      <c r="C251" s="240">
        <f>VLOOKUP(A251,'JUNE (물량흐름)'!$A$13:$C$502,3,0)</f>
        <v>77511</v>
      </c>
      <c r="D251" s="6">
        <f>VLOOKUP(C251,'WIP(재공품)'!$B$12:$E$493,4,0)</f>
        <v>8163</v>
      </c>
      <c r="E251" s="6">
        <f>IFERROR(VLOOKUP(C251,O.B.JUNE!$AA$7:$AG$448,2,0),0)</f>
        <v>0</v>
      </c>
      <c r="F251" s="6">
        <f>IFERROR(VLOOKUP(C251,O.B.JUNE!$AA$7:$AG$448,3,0),0)</f>
        <v>0</v>
      </c>
      <c r="G251" s="6">
        <f>IFERROR(VLOOKUP(C251,O.B.JUNE!$AA$7:$AD$448,4,0),0)</f>
        <v>89</v>
      </c>
      <c r="H251" s="6">
        <f t="shared" si="41"/>
        <v>89</v>
      </c>
      <c r="I251" s="6">
        <f>IFERROR(VLOOKUP(C251,O.B.JUNE!$AA$7:$AF$448,6,0),0)</f>
        <v>71</v>
      </c>
      <c r="J251" s="6"/>
      <c r="K251" s="6">
        <f>IFERROR(VLOOKUP(C251,O.B.JUNE!$AA$7:$AG$448,7,0),0)</f>
        <v>2584498</v>
      </c>
      <c r="L251" s="6">
        <f>SUMIF('JUNE (물량흐름)'!$C$13:$C$502,'Direct labour(직접노무비)'!C251,'JUNE (물량흐름)'!$H$13:$H$502)+SUMIF('JUNE (물량흐름)'!$C$13:$C$502,'Direct labour(직접노무비)'!C251,'JUNE (물량흐름)'!$I$13:$I$502)</f>
        <v>0</v>
      </c>
      <c r="M251" s="6">
        <f t="shared" si="42"/>
        <v>0</v>
      </c>
      <c r="N251" s="6">
        <f t="shared" si="43"/>
        <v>0</v>
      </c>
      <c r="O251" s="6">
        <f t="shared" si="40"/>
        <v>0</v>
      </c>
      <c r="P251" s="6">
        <f>SUMIF('JUNE (물량흐름)'!$C$13:$C$502,C251,'JUNE (물량흐름)'!$T$13:$T$502)+SUMIF('JUNE (물량흐름)'!$C$13:$C$502,C251,'JUNE (물량흐름)'!$V$13:$V$502)+SUMIF('JUNE (물량흐름)'!$C$13:$C$502,C251,'JUNE (물량흐름)'!$U$13:$U$502)-SUMIF('JUNE (물량흐름)'!$C$13:$C$502,C251,'JUNE (물량흐름)'!$Y$13:$Y$502)</f>
        <v>89</v>
      </c>
      <c r="Q251" s="6">
        <f t="shared" si="49"/>
        <v>2584498</v>
      </c>
      <c r="R251" s="6">
        <f>ROUND(IF(ISERROR(VLOOKUP(#REF!,'WIP(재공품)'!$B$12:$AB$38,13,0)),0,VLOOKUP(#REF!,'WIP(재공품)'!$B$12:$AB$38,13,0)),0)</f>
        <v>0</v>
      </c>
      <c r="S251" s="6">
        <f>IF(ISERROR(VLOOKUP(#REF!,'WIP(재공품)'!$B$12:$AB$38,10,0)),0,VLOOKUP(#REF!,'WIP(재공품)'!$B$12:$AB$38,10,0))</f>
        <v>0</v>
      </c>
      <c r="T251" s="6">
        <f>SUMIF('JUNE (물량흐름)'!$C$13:$C$502,'Direct labour(직접노무비)'!C251,'JUNE (물량흐름)'!$Y$13:$Y$502)</f>
        <v>0</v>
      </c>
      <c r="U251" s="6">
        <f t="shared" si="44"/>
        <v>0</v>
      </c>
      <c r="V251" s="6">
        <f>ROUND(SUMIF('JUNE (물량흐름)'!$C$13:$C$502,'Direct labour(직접노무비)'!C251,'JUNE (물량흐름)'!$N$13:$N$502),0)</f>
        <v>0</v>
      </c>
      <c r="W251" s="6">
        <f>ROUND(SUMIF('JUNE (물량흐름)'!$C$13:$C$502,'Direct labour(직접노무비)'!C251,'JUNE (물량흐름)'!$O$13:$O$502),0)</f>
        <v>0</v>
      </c>
      <c r="X251" s="6">
        <f>ROUND(SUMIF('JUNE (물량흐름)'!$C$13:$C$502,'Direct labour(직접노무비)'!C251,'JUNE (물량흐름)'!$P$13:$P$502),0)</f>
        <v>0</v>
      </c>
      <c r="Y251" s="6">
        <f t="shared" si="45"/>
        <v>0</v>
      </c>
      <c r="Z251" s="6">
        <f t="shared" si="46"/>
        <v>0</v>
      </c>
      <c r="AA251" s="6">
        <f t="shared" si="50"/>
        <v>0</v>
      </c>
      <c r="AB251" s="389">
        <f t="shared" si="47"/>
        <v>0</v>
      </c>
      <c r="AC251" s="503">
        <f t="shared" si="39"/>
        <v>0</v>
      </c>
      <c r="AD251" s="389">
        <f t="shared" si="48"/>
        <v>0</v>
      </c>
    </row>
    <row r="252" spans="1:30" s="390" customFormat="1">
      <c r="A252" s="167">
        <v>242</v>
      </c>
      <c r="B252" s="267" t="str">
        <f>VLOOKUP(A252,'JUNE (물량흐름)'!$A$13:$C$502,2,0)</f>
        <v>J JILL</v>
      </c>
      <c r="C252" s="240" t="str">
        <f>VLOOKUP(A252,'JUNE (물량흐름)'!$A$13:$C$502,3,0)</f>
        <v>KTP118131</v>
      </c>
      <c r="D252" s="6">
        <f>VLOOKUP(C252,'WIP(재공품)'!$B$12:$E$493,4,0)</f>
        <v>71426.25</v>
      </c>
      <c r="E252" s="6">
        <f>IFERROR(VLOOKUP(C252,O.B.JUNE!$AA$7:$AG$448,2,0),0)</f>
        <v>0</v>
      </c>
      <c r="F252" s="6">
        <f>IFERROR(VLOOKUP(C252,O.B.JUNE!$AA$7:$AG$448,3,0),0)</f>
        <v>0</v>
      </c>
      <c r="G252" s="6">
        <f>IFERROR(VLOOKUP(C252,O.B.JUNE!$AA$7:$AD$448,4,0),0)</f>
        <v>619</v>
      </c>
      <c r="H252" s="6">
        <f t="shared" si="41"/>
        <v>619</v>
      </c>
      <c r="I252" s="6">
        <f>IFERROR(VLOOKUP(C252,O.B.JUNE!$AA$7:$AF$448,6,0),0)</f>
        <v>495</v>
      </c>
      <c r="J252" s="6"/>
      <c r="K252" s="6">
        <f>IFERROR(VLOOKUP(C252,O.B.JUNE!$AA$7:$AG$448,7,0),0)</f>
        <v>7033122</v>
      </c>
      <c r="L252" s="6">
        <f>SUMIF('JUNE (물량흐름)'!$C$13:$C$502,'Direct labour(직접노무비)'!C252,'JUNE (물량흐름)'!$H$13:$H$502)+SUMIF('JUNE (물량흐름)'!$C$13:$C$502,'Direct labour(직접노무비)'!C252,'JUNE (물량흐름)'!$I$13:$I$502)</f>
        <v>0</v>
      </c>
      <c r="M252" s="6">
        <f t="shared" si="42"/>
        <v>0</v>
      </c>
      <c r="N252" s="6">
        <f t="shared" si="43"/>
        <v>0</v>
      </c>
      <c r="O252" s="6">
        <f t="shared" si="40"/>
        <v>0</v>
      </c>
      <c r="P252" s="6">
        <f>SUMIF('JUNE (물량흐름)'!$C$13:$C$502,C252,'JUNE (물량흐름)'!$T$13:$T$502)+SUMIF('JUNE (물량흐름)'!$C$13:$C$502,C252,'JUNE (물량흐름)'!$V$13:$V$502)+SUMIF('JUNE (물량흐름)'!$C$13:$C$502,C252,'JUNE (물량흐름)'!$U$13:$U$502)-SUMIF('JUNE (물량흐름)'!$C$13:$C$502,C252,'JUNE (물량흐름)'!$Y$13:$Y$502)</f>
        <v>0</v>
      </c>
      <c r="Q252" s="6">
        <f t="shared" si="49"/>
        <v>0</v>
      </c>
      <c r="R252" s="6">
        <f>ROUND(IF(ISERROR(VLOOKUP(#REF!,'WIP(재공품)'!$B$12:$AB$38,13,0)),0,VLOOKUP(#REF!,'WIP(재공품)'!$B$12:$AB$38,13,0)),0)</f>
        <v>0</v>
      </c>
      <c r="S252" s="6">
        <f>IF(ISERROR(VLOOKUP(#REF!,'WIP(재공품)'!$B$12:$AB$38,10,0)),0,VLOOKUP(#REF!,'WIP(재공품)'!$B$12:$AB$38,10,0))</f>
        <v>0</v>
      </c>
      <c r="T252" s="6">
        <f>SUMIF('JUNE (물량흐름)'!$C$13:$C$502,'Direct labour(직접노무비)'!C252,'JUNE (물량흐름)'!$Y$13:$Y$502)</f>
        <v>0</v>
      </c>
      <c r="U252" s="6">
        <f t="shared" si="44"/>
        <v>0</v>
      </c>
      <c r="V252" s="6">
        <f>ROUND(SUMIF('JUNE (물량흐름)'!$C$13:$C$502,'Direct labour(직접노무비)'!C252,'JUNE (물량흐름)'!$N$13:$N$502),0)</f>
        <v>0</v>
      </c>
      <c r="W252" s="6">
        <f>ROUND(SUMIF('JUNE (물량흐름)'!$C$13:$C$502,'Direct labour(직접노무비)'!C252,'JUNE (물량흐름)'!$O$13:$O$502),0)</f>
        <v>0</v>
      </c>
      <c r="X252" s="6">
        <f>ROUND(SUMIF('JUNE (물량흐름)'!$C$13:$C$502,'Direct labour(직접노무비)'!C252,'JUNE (물량흐름)'!$P$13:$P$502),0)</f>
        <v>619</v>
      </c>
      <c r="Y252" s="6">
        <f t="shared" si="45"/>
        <v>619</v>
      </c>
      <c r="Z252" s="6">
        <f t="shared" si="46"/>
        <v>495</v>
      </c>
      <c r="AA252" s="6">
        <f t="shared" si="50"/>
        <v>7033122</v>
      </c>
      <c r="AB252" s="389">
        <f t="shared" si="47"/>
        <v>0</v>
      </c>
      <c r="AC252" s="503">
        <f t="shared" si="39"/>
        <v>0</v>
      </c>
      <c r="AD252" s="389">
        <f t="shared" si="48"/>
        <v>0</v>
      </c>
    </row>
    <row r="253" spans="1:30" s="390" customFormat="1">
      <c r="A253" s="167">
        <v>243</v>
      </c>
      <c r="B253" s="267" t="str">
        <f>VLOOKUP(A253,'JUNE (물량흐름)'!$A$13:$C$502,2,0)</f>
        <v>J JILL</v>
      </c>
      <c r="C253" s="240" t="str">
        <f>VLOOKUP(A253,'JUNE (물량흐름)'!$A$13:$C$502,3,0)</f>
        <v>KTP121661</v>
      </c>
      <c r="D253" s="6">
        <f>VLOOKUP(C253,'WIP(재공품)'!$B$12:$E$493,4,0)</f>
        <v>7936.2499999999991</v>
      </c>
      <c r="E253" s="6">
        <f>IFERROR(VLOOKUP(C253,O.B.JUNE!$AA$7:$AG$448,2,0),0)</f>
        <v>0</v>
      </c>
      <c r="F253" s="6">
        <f>IFERROR(VLOOKUP(C253,O.B.JUNE!$AA$7:$AG$448,3,0),0)</f>
        <v>47</v>
      </c>
      <c r="G253" s="6">
        <f>IFERROR(VLOOKUP(C253,O.B.JUNE!$AA$7:$AD$448,4,0),0)</f>
        <v>231</v>
      </c>
      <c r="H253" s="6">
        <f t="shared" si="41"/>
        <v>278</v>
      </c>
      <c r="I253" s="6">
        <f>IFERROR(VLOOKUP(C253,O.B.JUNE!$AA$7:$AF$448,6,0),0)</f>
        <v>208</v>
      </c>
      <c r="J253" s="6"/>
      <c r="K253" s="6">
        <f>IFERROR(VLOOKUP(C253,O.B.JUNE!$AA$7:$AG$448,7,0),0)</f>
        <v>5144719</v>
      </c>
      <c r="L253" s="6">
        <f>SUMIF('JUNE (물량흐름)'!$C$13:$C$502,'Direct labour(직접노무비)'!C253,'JUNE (물량흐름)'!$H$13:$H$502)+SUMIF('JUNE (물량흐름)'!$C$13:$C$502,'Direct labour(직접노무비)'!C253,'JUNE (물량흐름)'!$I$13:$I$502)</f>
        <v>0</v>
      </c>
      <c r="M253" s="6">
        <f t="shared" si="42"/>
        <v>0</v>
      </c>
      <c r="N253" s="6">
        <f t="shared" si="43"/>
        <v>0</v>
      </c>
      <c r="O253" s="6">
        <f t="shared" si="40"/>
        <v>0</v>
      </c>
      <c r="P253" s="6">
        <f>SUMIF('JUNE (물량흐름)'!$C$13:$C$502,C253,'JUNE (물량흐름)'!$T$13:$T$502)+SUMIF('JUNE (물량흐름)'!$C$13:$C$502,C253,'JUNE (물량흐름)'!$V$13:$V$502)+SUMIF('JUNE (물량흐름)'!$C$13:$C$502,C253,'JUNE (물량흐름)'!$U$13:$U$502)-SUMIF('JUNE (물량흐름)'!$C$13:$C$502,C253,'JUNE (물량흐름)'!$Y$13:$Y$502)</f>
        <v>0</v>
      </c>
      <c r="Q253" s="6">
        <f t="shared" si="49"/>
        <v>0</v>
      </c>
      <c r="R253" s="6">
        <f>ROUND(IF(ISERROR(VLOOKUP(#REF!,'WIP(재공품)'!$B$12:$AB$38,13,0)),0,VLOOKUP(#REF!,'WIP(재공품)'!$B$12:$AB$38,13,0)),0)</f>
        <v>0</v>
      </c>
      <c r="S253" s="6">
        <f>IF(ISERROR(VLOOKUP(#REF!,'WIP(재공품)'!$B$12:$AB$38,10,0)),0,VLOOKUP(#REF!,'WIP(재공품)'!$B$12:$AB$38,10,0))</f>
        <v>0</v>
      </c>
      <c r="T253" s="6">
        <f>SUMIF('JUNE (물량흐름)'!$C$13:$C$502,'Direct labour(직접노무비)'!C253,'JUNE (물량흐름)'!$Y$13:$Y$502)</f>
        <v>0</v>
      </c>
      <c r="U253" s="6">
        <f t="shared" si="44"/>
        <v>0</v>
      </c>
      <c r="V253" s="6">
        <f>ROUND(SUMIF('JUNE (물량흐름)'!$C$13:$C$502,'Direct labour(직접노무비)'!C253,'JUNE (물량흐름)'!$N$13:$N$502),0)</f>
        <v>0</v>
      </c>
      <c r="W253" s="6">
        <f>ROUND(SUMIF('JUNE (물량흐름)'!$C$13:$C$502,'Direct labour(직접노무비)'!C253,'JUNE (물량흐름)'!$O$13:$O$502),0)</f>
        <v>47</v>
      </c>
      <c r="X253" s="6">
        <f>ROUND(SUMIF('JUNE (물량흐름)'!$C$13:$C$502,'Direct labour(직접노무비)'!C253,'JUNE (물량흐름)'!$P$13:$P$502),0)</f>
        <v>231</v>
      </c>
      <c r="Y253" s="6">
        <f t="shared" si="45"/>
        <v>278</v>
      </c>
      <c r="Z253" s="6">
        <f t="shared" si="46"/>
        <v>208</v>
      </c>
      <c r="AA253" s="6">
        <f t="shared" si="50"/>
        <v>5144719</v>
      </c>
      <c r="AB253" s="389">
        <f t="shared" si="47"/>
        <v>0</v>
      </c>
      <c r="AC253" s="503">
        <f t="shared" si="39"/>
        <v>0</v>
      </c>
      <c r="AD253" s="389">
        <f t="shared" si="48"/>
        <v>0</v>
      </c>
    </row>
    <row r="254" spans="1:30" s="390" customFormat="1">
      <c r="A254" s="167">
        <v>244</v>
      </c>
      <c r="B254" s="267" t="str">
        <f>VLOOKUP(A254,'JUNE (물량흐름)'!$A$13:$C$502,2,0)</f>
        <v>ALFANI</v>
      </c>
      <c r="C254" s="240">
        <f>VLOOKUP(A254,'JUNE (물량흐름)'!$A$13:$C$502,3,0)</f>
        <v>100015354</v>
      </c>
      <c r="D254" s="6">
        <f>VLOOKUP(C254,'WIP(재공품)'!$B$12:$E$493,4,0)</f>
        <v>7936.2499999999991</v>
      </c>
      <c r="E254" s="6">
        <f>IFERROR(VLOOKUP(C254,O.B.JUNE!$AA$7:$AG$448,2,0),0)</f>
        <v>0</v>
      </c>
      <c r="F254" s="6">
        <f>IFERROR(VLOOKUP(C254,O.B.JUNE!$AA$7:$AG$448,3,0),0)</f>
        <v>8</v>
      </c>
      <c r="G254" s="6">
        <f>IFERROR(VLOOKUP(C254,O.B.JUNE!$AA$7:$AD$448,4,0),0)</f>
        <v>199</v>
      </c>
      <c r="H254" s="6">
        <f t="shared" si="41"/>
        <v>207</v>
      </c>
      <c r="I254" s="6">
        <f>IFERROR(VLOOKUP(C254,O.B.JUNE!$AA$7:$AF$448,6,0),0)</f>
        <v>163</v>
      </c>
      <c r="J254" s="6"/>
      <c r="K254" s="6">
        <f>IFERROR(VLOOKUP(C254,O.B.JUNE!$AA$7:$AG$448,7,0),0)</f>
        <v>2830314</v>
      </c>
      <c r="L254" s="6">
        <f>SUMIF('JUNE (물량흐름)'!$C$13:$C$502,'Direct labour(직접노무비)'!C254,'JUNE (물량흐름)'!$H$13:$H$502)+SUMIF('JUNE (물량흐름)'!$C$13:$C$502,'Direct labour(직접노무비)'!C254,'JUNE (물량흐름)'!$I$13:$I$502)</f>
        <v>0</v>
      </c>
      <c r="M254" s="6">
        <f t="shared" si="42"/>
        <v>0</v>
      </c>
      <c r="N254" s="6">
        <f t="shared" si="43"/>
        <v>0</v>
      </c>
      <c r="O254" s="6">
        <f t="shared" si="40"/>
        <v>0</v>
      </c>
      <c r="P254" s="6">
        <f>SUMIF('JUNE (물량흐름)'!$C$13:$C$502,C254,'JUNE (물량흐름)'!$T$13:$T$502)+SUMIF('JUNE (물량흐름)'!$C$13:$C$502,C254,'JUNE (물량흐름)'!$V$13:$V$502)+SUMIF('JUNE (물량흐름)'!$C$13:$C$502,C254,'JUNE (물량흐름)'!$U$13:$U$502)-SUMIF('JUNE (물량흐름)'!$C$13:$C$502,C254,'JUNE (물량흐름)'!$Y$13:$Y$502)</f>
        <v>0</v>
      </c>
      <c r="Q254" s="6">
        <f t="shared" si="49"/>
        <v>0</v>
      </c>
      <c r="R254" s="6">
        <f>ROUND(IF(ISERROR(VLOOKUP(#REF!,'WIP(재공품)'!$B$12:$AB$38,13,0)),0,VLOOKUP(#REF!,'WIP(재공품)'!$B$12:$AB$38,13,0)),0)</f>
        <v>0</v>
      </c>
      <c r="S254" s="6">
        <f>IF(ISERROR(VLOOKUP(#REF!,'WIP(재공품)'!$B$12:$AB$38,10,0)),0,VLOOKUP(#REF!,'WIP(재공품)'!$B$12:$AB$38,10,0))</f>
        <v>0</v>
      </c>
      <c r="T254" s="6">
        <f>SUMIF('JUNE (물량흐름)'!$C$13:$C$502,'Direct labour(직접노무비)'!C254,'JUNE (물량흐름)'!$Y$13:$Y$502)</f>
        <v>0</v>
      </c>
      <c r="U254" s="6">
        <f t="shared" si="44"/>
        <v>0</v>
      </c>
      <c r="V254" s="6">
        <f>ROUND(SUMIF('JUNE (물량흐름)'!$C$13:$C$502,'Direct labour(직접노무비)'!C254,'JUNE (물량흐름)'!$N$13:$N$502),0)</f>
        <v>0</v>
      </c>
      <c r="W254" s="6">
        <f>ROUND(SUMIF('JUNE (물량흐름)'!$C$13:$C$502,'Direct labour(직접노무비)'!C254,'JUNE (물량흐름)'!$O$13:$O$502),0)</f>
        <v>8</v>
      </c>
      <c r="X254" s="6">
        <f>ROUND(SUMIF('JUNE (물량흐름)'!$C$13:$C$502,'Direct labour(직접노무비)'!C254,'JUNE (물량흐름)'!$P$13:$P$502),0)</f>
        <v>199</v>
      </c>
      <c r="Y254" s="6">
        <f t="shared" si="45"/>
        <v>207</v>
      </c>
      <c r="Z254" s="6">
        <f t="shared" si="46"/>
        <v>163</v>
      </c>
      <c r="AA254" s="6">
        <f t="shared" si="50"/>
        <v>2830314</v>
      </c>
      <c r="AB254" s="389">
        <f t="shared" si="47"/>
        <v>0</v>
      </c>
      <c r="AC254" s="503">
        <f t="shared" ref="AC254:AC317" si="51">H254+L254-P254-T254-Y254</f>
        <v>0</v>
      </c>
      <c r="AD254" s="389">
        <f t="shared" si="48"/>
        <v>0</v>
      </c>
    </row>
    <row r="255" spans="1:30" s="390" customFormat="1">
      <c r="A255" s="167">
        <v>245</v>
      </c>
      <c r="B255" s="267" t="str">
        <f>VLOOKUP(A255,'JUNE (물량흐름)'!$A$13:$C$502,2,0)</f>
        <v>ANN TAYLOR</v>
      </c>
      <c r="C255" s="240">
        <f>VLOOKUP(A255,'JUNE (물량흐름)'!$A$13:$C$502,3,0)</f>
        <v>468248</v>
      </c>
      <c r="D255" s="6">
        <f>VLOOKUP(C255,'WIP(재공품)'!$B$12:$E$493,4,0)</f>
        <v>8163</v>
      </c>
      <c r="E255" s="6">
        <f>IFERROR(VLOOKUP(C255,O.B.JUNE!$AA$7:$AG$448,2,0),0)</f>
        <v>593</v>
      </c>
      <c r="F255" s="6">
        <f>IFERROR(VLOOKUP(C255,O.B.JUNE!$AA$7:$AG$448,3,0),0)</f>
        <v>116</v>
      </c>
      <c r="G255" s="6">
        <f>IFERROR(VLOOKUP(C255,O.B.JUNE!$AA$7:$AD$448,4,0),0)</f>
        <v>114</v>
      </c>
      <c r="H255" s="6">
        <f t="shared" si="41"/>
        <v>823</v>
      </c>
      <c r="I255" s="6">
        <f>IFERROR(VLOOKUP(C255,O.B.JUNE!$AA$7:$AF$448,6,0),0)</f>
        <v>268</v>
      </c>
      <c r="J255" s="6"/>
      <c r="K255" s="6">
        <f>IFERROR(VLOOKUP(C255,O.B.JUNE!$AA$7:$AG$448,7,0),0)</f>
        <v>4519693</v>
      </c>
      <c r="L255" s="6">
        <f>SUMIF('JUNE (물량흐름)'!$C$13:$C$502,'Direct labour(직접노무비)'!C255,'JUNE (물량흐름)'!$H$13:$H$502)+SUMIF('JUNE (물량흐름)'!$C$13:$C$502,'Direct labour(직접노무비)'!C255,'JUNE (물량흐름)'!$I$13:$I$502)</f>
        <v>0</v>
      </c>
      <c r="M255" s="6">
        <f t="shared" si="42"/>
        <v>0</v>
      </c>
      <c r="N255" s="6">
        <f t="shared" si="43"/>
        <v>0</v>
      </c>
      <c r="O255" s="6">
        <f t="shared" si="40"/>
        <v>0</v>
      </c>
      <c r="P255" s="6">
        <f>SUMIF('JUNE (물량흐름)'!$C$13:$C$502,C255,'JUNE (물량흐름)'!$T$13:$T$502)+SUMIF('JUNE (물량흐름)'!$C$13:$C$502,C255,'JUNE (물량흐름)'!$V$13:$V$502)+SUMIF('JUNE (물량흐름)'!$C$13:$C$502,C255,'JUNE (물량흐름)'!$U$13:$U$502)-SUMIF('JUNE (물량흐름)'!$C$13:$C$502,C255,'JUNE (물량흐름)'!$Y$13:$Y$502)</f>
        <v>0</v>
      </c>
      <c r="Q255" s="6">
        <f t="shared" si="49"/>
        <v>0</v>
      </c>
      <c r="R255" s="6">
        <f>ROUND(IF(ISERROR(VLOOKUP(#REF!,'WIP(재공품)'!$B$12:$AB$38,13,0)),0,VLOOKUP(#REF!,'WIP(재공품)'!$B$12:$AB$38,13,0)),0)</f>
        <v>0</v>
      </c>
      <c r="S255" s="6">
        <f>IF(ISERROR(VLOOKUP(#REF!,'WIP(재공품)'!$B$12:$AB$38,10,0)),0,VLOOKUP(#REF!,'WIP(재공품)'!$B$12:$AB$38,10,0))</f>
        <v>0</v>
      </c>
      <c r="T255" s="6">
        <f>SUMIF('JUNE (물량흐름)'!$C$13:$C$502,'Direct labour(직접노무비)'!C255,'JUNE (물량흐름)'!$Y$13:$Y$502)</f>
        <v>0</v>
      </c>
      <c r="U255" s="6">
        <f t="shared" si="44"/>
        <v>0</v>
      </c>
      <c r="V255" s="6">
        <f>ROUND(SUMIF('JUNE (물량흐름)'!$C$13:$C$502,'Direct labour(직접노무비)'!C255,'JUNE (물량흐름)'!$N$13:$N$502),0)</f>
        <v>0</v>
      </c>
      <c r="W255" s="6">
        <f>ROUND(SUMIF('JUNE (물량흐름)'!$C$13:$C$502,'Direct labour(직접노무비)'!C255,'JUNE (물량흐름)'!$O$13:$O$502),0)</f>
        <v>745</v>
      </c>
      <c r="X255" s="6">
        <f>ROUND(SUMIF('JUNE (물량흐름)'!$C$13:$C$502,'Direct labour(직접노무비)'!C255,'JUNE (물량흐름)'!$P$13:$P$502),0)</f>
        <v>78</v>
      </c>
      <c r="Y255" s="6">
        <f t="shared" si="45"/>
        <v>823</v>
      </c>
      <c r="Z255" s="6">
        <f t="shared" si="46"/>
        <v>435</v>
      </c>
      <c r="AA255" s="6">
        <f t="shared" si="50"/>
        <v>4519693</v>
      </c>
      <c r="AB255" s="389">
        <f t="shared" si="47"/>
        <v>0</v>
      </c>
      <c r="AC255" s="503">
        <f t="shared" si="51"/>
        <v>0</v>
      </c>
      <c r="AD255" s="389">
        <f t="shared" si="48"/>
        <v>0</v>
      </c>
    </row>
    <row r="256" spans="1:30" s="390" customFormat="1">
      <c r="A256" s="167">
        <v>246</v>
      </c>
      <c r="B256" s="267" t="str">
        <f>VLOOKUP(A256,'JUNE (물량흐름)'!$A$13:$C$502,2,0)</f>
        <v>ALFANI</v>
      </c>
      <c r="C256" s="240">
        <f>VLOOKUP(A256,'JUNE (물량흐름)'!$A$13:$C$502,3,0)</f>
        <v>100008608</v>
      </c>
      <c r="D256" s="6">
        <f>VLOOKUP(C256,'WIP(재공품)'!$B$12:$E$493,4,0)</f>
        <v>7936.2499999999991</v>
      </c>
      <c r="E256" s="6">
        <f>IFERROR(VLOOKUP(C256,O.B.JUNE!$AA$7:$AG$448,2,0),0)</f>
        <v>0</v>
      </c>
      <c r="F256" s="6">
        <f>IFERROR(VLOOKUP(C256,O.B.JUNE!$AA$7:$AG$448,3,0),0)</f>
        <v>48</v>
      </c>
      <c r="G256" s="6">
        <f>IFERROR(VLOOKUP(C256,O.B.JUNE!$AA$7:$AD$448,4,0),0)</f>
        <v>29</v>
      </c>
      <c r="H256" s="6">
        <f t="shared" si="41"/>
        <v>77</v>
      </c>
      <c r="I256" s="6">
        <f>IFERROR(VLOOKUP(C256,O.B.JUNE!$AA$7:$AF$448,6,0),0)</f>
        <v>47</v>
      </c>
      <c r="J256" s="6"/>
      <c r="K256" s="6">
        <f>IFERROR(VLOOKUP(C256,O.B.JUNE!$AA$7:$AG$448,7,0),0)</f>
        <v>735929</v>
      </c>
      <c r="L256" s="6">
        <f>SUMIF('JUNE (물량흐름)'!$C$13:$C$502,'Direct labour(직접노무비)'!C256,'JUNE (물량흐름)'!$H$13:$H$502)+SUMIF('JUNE (물량흐름)'!$C$13:$C$502,'Direct labour(직접노무비)'!C256,'JUNE (물량흐름)'!$I$13:$I$502)</f>
        <v>0</v>
      </c>
      <c r="M256" s="6">
        <f t="shared" si="42"/>
        <v>0</v>
      </c>
      <c r="N256" s="6">
        <f t="shared" si="43"/>
        <v>0</v>
      </c>
      <c r="O256" s="6">
        <f t="shared" si="40"/>
        <v>0</v>
      </c>
      <c r="P256" s="6">
        <f>SUMIF('JUNE (물량흐름)'!$C$13:$C$502,C256,'JUNE (물량흐름)'!$T$13:$T$502)+SUMIF('JUNE (물량흐름)'!$C$13:$C$502,C256,'JUNE (물량흐름)'!$V$13:$V$502)+SUMIF('JUNE (물량흐름)'!$C$13:$C$502,C256,'JUNE (물량흐름)'!$U$13:$U$502)-SUMIF('JUNE (물량흐름)'!$C$13:$C$502,C256,'JUNE (물량흐름)'!$Y$13:$Y$502)</f>
        <v>0</v>
      </c>
      <c r="Q256" s="6">
        <f t="shared" si="49"/>
        <v>0</v>
      </c>
      <c r="R256" s="6">
        <f>ROUND(IF(ISERROR(VLOOKUP(#REF!,'WIP(재공품)'!$B$12:$AB$38,13,0)),0,VLOOKUP(#REF!,'WIP(재공품)'!$B$12:$AB$38,13,0)),0)</f>
        <v>0</v>
      </c>
      <c r="S256" s="6">
        <f>IF(ISERROR(VLOOKUP(#REF!,'WIP(재공품)'!$B$12:$AB$38,10,0)),0,VLOOKUP(#REF!,'WIP(재공품)'!$B$12:$AB$38,10,0))</f>
        <v>0</v>
      </c>
      <c r="T256" s="6">
        <f>SUMIF('JUNE (물량흐름)'!$C$13:$C$502,'Direct labour(직접노무비)'!C256,'JUNE (물량흐름)'!$Y$13:$Y$502)</f>
        <v>0</v>
      </c>
      <c r="U256" s="6">
        <f t="shared" si="44"/>
        <v>0</v>
      </c>
      <c r="V256" s="6">
        <f>ROUND(SUMIF('JUNE (물량흐름)'!$C$13:$C$502,'Direct labour(직접노무비)'!C256,'JUNE (물량흐름)'!$N$13:$N$502),0)</f>
        <v>0</v>
      </c>
      <c r="W256" s="6">
        <f>ROUND(SUMIF('JUNE (물량흐름)'!$C$13:$C$502,'Direct labour(직접노무비)'!C256,'JUNE (물량흐름)'!$O$13:$O$502),0)</f>
        <v>48</v>
      </c>
      <c r="X256" s="6">
        <f>ROUND(SUMIF('JUNE (물량흐름)'!$C$13:$C$502,'Direct labour(직접노무비)'!C256,'JUNE (물량흐름)'!$P$13:$P$502),0)</f>
        <v>29</v>
      </c>
      <c r="Y256" s="6">
        <f t="shared" si="45"/>
        <v>77</v>
      </c>
      <c r="Z256" s="6">
        <f t="shared" si="46"/>
        <v>47</v>
      </c>
      <c r="AA256" s="6">
        <f t="shared" si="50"/>
        <v>735929</v>
      </c>
      <c r="AB256" s="389">
        <f t="shared" si="47"/>
        <v>0</v>
      </c>
      <c r="AC256" s="503">
        <f t="shared" si="51"/>
        <v>0</v>
      </c>
      <c r="AD256" s="389">
        <f t="shared" si="48"/>
        <v>0</v>
      </c>
    </row>
    <row r="257" spans="1:30" s="390" customFormat="1">
      <c r="A257" s="167">
        <v>247</v>
      </c>
      <c r="B257" s="267" t="str">
        <f>VLOOKUP(A257,'JUNE (물량흐름)'!$A$13:$C$502,2,0)</f>
        <v>CHARTER CLUB</v>
      </c>
      <c r="C257" s="240">
        <f>VLOOKUP(A257,'JUNE (물량흐름)'!$A$13:$C$502,3,0)</f>
        <v>16661</v>
      </c>
      <c r="D257" s="6">
        <f>VLOOKUP(C257,'WIP(재공품)'!$B$12:$E$493,4,0)</f>
        <v>7936.2499999999991</v>
      </c>
      <c r="E257" s="6">
        <f>IFERROR(VLOOKUP(C257,O.B.JUNE!$AA$7:$AG$448,2,0),0)</f>
        <v>0</v>
      </c>
      <c r="F257" s="6">
        <f>IFERROR(VLOOKUP(C257,O.B.JUNE!$AA$7:$AG$448,3,0),0)</f>
        <v>0</v>
      </c>
      <c r="G257" s="6">
        <f>IFERROR(VLOOKUP(C257,O.B.JUNE!$AA$7:$AD$448,4,0),0)</f>
        <v>46</v>
      </c>
      <c r="H257" s="6">
        <f t="shared" si="41"/>
        <v>46</v>
      </c>
      <c r="I257" s="6">
        <f>IFERROR(VLOOKUP(C257,O.B.JUNE!$AA$7:$AF$448,6,0),0)</f>
        <v>37</v>
      </c>
      <c r="J257" s="6"/>
      <c r="K257" s="6">
        <f>IFERROR(VLOOKUP(C257,O.B.JUNE!$AA$7:$AG$448,7,0),0)</f>
        <v>1447934</v>
      </c>
      <c r="L257" s="6">
        <f>SUMIF('JUNE (물량흐름)'!$C$13:$C$502,'Direct labour(직접노무비)'!C257,'JUNE (물량흐름)'!$H$13:$H$502)+SUMIF('JUNE (물량흐름)'!$C$13:$C$502,'Direct labour(직접노무비)'!C257,'JUNE (물량흐름)'!$I$13:$I$502)</f>
        <v>0</v>
      </c>
      <c r="M257" s="6">
        <f t="shared" si="42"/>
        <v>0</v>
      </c>
      <c r="N257" s="6">
        <f t="shared" si="43"/>
        <v>0</v>
      </c>
      <c r="O257" s="6">
        <f t="shared" si="40"/>
        <v>0</v>
      </c>
      <c r="P257" s="6">
        <f>SUMIF('JUNE (물량흐름)'!$C$13:$C$502,C257,'JUNE (물량흐름)'!$T$13:$T$502)+SUMIF('JUNE (물량흐름)'!$C$13:$C$502,C257,'JUNE (물량흐름)'!$V$13:$V$502)+SUMIF('JUNE (물량흐름)'!$C$13:$C$502,C257,'JUNE (물량흐름)'!$U$13:$U$502)-SUMIF('JUNE (물량흐름)'!$C$13:$C$502,C257,'JUNE (물량흐름)'!$Y$13:$Y$502)</f>
        <v>0</v>
      </c>
      <c r="Q257" s="6">
        <f t="shared" si="49"/>
        <v>0</v>
      </c>
      <c r="R257" s="6">
        <f>ROUND(IF(ISERROR(VLOOKUP(#REF!,'WIP(재공품)'!$B$12:$AB$38,13,0)),0,VLOOKUP(#REF!,'WIP(재공품)'!$B$12:$AB$38,13,0)),0)</f>
        <v>0</v>
      </c>
      <c r="S257" s="6">
        <f>IF(ISERROR(VLOOKUP(#REF!,'WIP(재공품)'!$B$12:$AB$38,10,0)),0,VLOOKUP(#REF!,'WIP(재공품)'!$B$12:$AB$38,10,0))</f>
        <v>0</v>
      </c>
      <c r="T257" s="6">
        <f>SUMIF('JUNE (물량흐름)'!$C$13:$C$502,'Direct labour(직접노무비)'!C257,'JUNE (물량흐름)'!$Y$13:$Y$502)</f>
        <v>0</v>
      </c>
      <c r="U257" s="6">
        <f t="shared" si="44"/>
        <v>0</v>
      </c>
      <c r="V257" s="6">
        <f>ROUND(SUMIF('JUNE (물량흐름)'!$C$13:$C$502,'Direct labour(직접노무비)'!C257,'JUNE (물량흐름)'!$N$13:$N$502),0)</f>
        <v>0</v>
      </c>
      <c r="W257" s="6">
        <f>ROUND(SUMIF('JUNE (물량흐름)'!$C$13:$C$502,'Direct labour(직접노무비)'!C257,'JUNE (물량흐름)'!$O$13:$O$502),0)</f>
        <v>40</v>
      </c>
      <c r="X257" s="6">
        <f>ROUND(SUMIF('JUNE (물량흐름)'!$C$13:$C$502,'Direct labour(직접노무비)'!C257,'JUNE (물량흐름)'!$P$13:$P$502),0)</f>
        <v>6</v>
      </c>
      <c r="Y257" s="6">
        <f t="shared" si="45"/>
        <v>46</v>
      </c>
      <c r="Z257" s="6">
        <f t="shared" si="46"/>
        <v>25</v>
      </c>
      <c r="AA257" s="6">
        <f t="shared" si="50"/>
        <v>1447934</v>
      </c>
      <c r="AB257" s="389">
        <f t="shared" si="47"/>
        <v>0</v>
      </c>
      <c r="AC257" s="503">
        <f t="shared" si="51"/>
        <v>0</v>
      </c>
      <c r="AD257" s="389">
        <f t="shared" si="48"/>
        <v>0</v>
      </c>
    </row>
    <row r="258" spans="1:30" s="390" customFormat="1">
      <c r="A258" s="167">
        <v>248</v>
      </c>
      <c r="B258" s="267" t="str">
        <f>VLOOKUP(A258,'JUNE (물량흐름)'!$A$13:$C$502,2,0)</f>
        <v>ALFANI</v>
      </c>
      <c r="C258" s="240">
        <f>VLOOKUP(A258,'JUNE (물량흐름)'!$A$13:$C$502,3,0)</f>
        <v>75740</v>
      </c>
      <c r="D258" s="6">
        <f>VLOOKUP(C258,'WIP(재공품)'!$B$12:$E$493,4,0)</f>
        <v>8163</v>
      </c>
      <c r="E258" s="6">
        <f>IFERROR(VLOOKUP(C258,O.B.JUNE!$AA$7:$AG$448,2,0),0)</f>
        <v>0</v>
      </c>
      <c r="F258" s="6">
        <f>IFERROR(VLOOKUP(C258,O.B.JUNE!$AA$7:$AG$448,3,0),0)</f>
        <v>0</v>
      </c>
      <c r="G258" s="6">
        <f>IFERROR(VLOOKUP(C258,O.B.JUNE!$AA$7:$AD$448,4,0),0)</f>
        <v>12</v>
      </c>
      <c r="H258" s="6">
        <f t="shared" si="41"/>
        <v>12</v>
      </c>
      <c r="I258" s="6">
        <f>IFERROR(VLOOKUP(C258,O.B.JUNE!$AA$7:$AF$448,6,0),0)</f>
        <v>10</v>
      </c>
      <c r="J258" s="6"/>
      <c r="K258" s="6">
        <f>IFERROR(VLOOKUP(C258,O.B.JUNE!$AA$7:$AG$448,7,0),0)</f>
        <v>145915</v>
      </c>
      <c r="L258" s="6">
        <f>SUMIF('JUNE (물량흐름)'!$C$13:$C$502,'Direct labour(직접노무비)'!C258,'JUNE (물량흐름)'!$H$13:$H$502)+SUMIF('JUNE (물량흐름)'!$C$13:$C$502,'Direct labour(직접노무비)'!C258,'JUNE (물량흐름)'!$I$13:$I$502)</f>
        <v>0</v>
      </c>
      <c r="M258" s="6">
        <f t="shared" si="42"/>
        <v>0</v>
      </c>
      <c r="N258" s="6">
        <f t="shared" si="43"/>
        <v>0</v>
      </c>
      <c r="O258" s="6">
        <f t="shared" si="40"/>
        <v>0</v>
      </c>
      <c r="P258" s="6">
        <f>SUMIF('JUNE (물량흐름)'!$C$13:$C$502,C258,'JUNE (물량흐름)'!$T$13:$T$502)+SUMIF('JUNE (물량흐름)'!$C$13:$C$502,C258,'JUNE (물량흐름)'!$V$13:$V$502)+SUMIF('JUNE (물량흐름)'!$C$13:$C$502,C258,'JUNE (물량흐름)'!$U$13:$U$502)-SUMIF('JUNE (물량흐름)'!$C$13:$C$502,C258,'JUNE (물량흐름)'!$Y$13:$Y$502)</f>
        <v>12</v>
      </c>
      <c r="Q258" s="6">
        <f t="shared" si="49"/>
        <v>145915</v>
      </c>
      <c r="R258" s="6">
        <f>ROUND(IF(ISERROR(VLOOKUP(#REF!,'WIP(재공품)'!$B$12:$AB$38,13,0)),0,VLOOKUP(#REF!,'WIP(재공품)'!$B$12:$AB$38,13,0)),0)</f>
        <v>0</v>
      </c>
      <c r="S258" s="6">
        <f>IF(ISERROR(VLOOKUP(#REF!,'WIP(재공품)'!$B$12:$AB$38,10,0)),0,VLOOKUP(#REF!,'WIP(재공품)'!$B$12:$AB$38,10,0))</f>
        <v>0</v>
      </c>
      <c r="T258" s="6">
        <f>SUMIF('JUNE (물량흐름)'!$C$13:$C$502,'Direct labour(직접노무비)'!C258,'JUNE (물량흐름)'!$Y$13:$Y$502)</f>
        <v>0</v>
      </c>
      <c r="U258" s="6">
        <f t="shared" si="44"/>
        <v>0</v>
      </c>
      <c r="V258" s="6">
        <f>ROUND(SUMIF('JUNE (물량흐름)'!$C$13:$C$502,'Direct labour(직접노무비)'!C258,'JUNE (물량흐름)'!$N$13:$N$502),0)</f>
        <v>0</v>
      </c>
      <c r="W258" s="6">
        <f>ROUND(SUMIF('JUNE (물량흐름)'!$C$13:$C$502,'Direct labour(직접노무비)'!C258,'JUNE (물량흐름)'!$O$13:$O$502),0)</f>
        <v>0</v>
      </c>
      <c r="X258" s="6">
        <f>ROUND(SUMIF('JUNE (물량흐름)'!$C$13:$C$502,'Direct labour(직접노무비)'!C258,'JUNE (물량흐름)'!$P$13:$P$502),0)</f>
        <v>0</v>
      </c>
      <c r="Y258" s="6">
        <f t="shared" si="45"/>
        <v>0</v>
      </c>
      <c r="Z258" s="6">
        <f t="shared" si="46"/>
        <v>0</v>
      </c>
      <c r="AA258" s="6">
        <f t="shared" si="50"/>
        <v>0</v>
      </c>
      <c r="AB258" s="389">
        <f t="shared" si="47"/>
        <v>0</v>
      </c>
      <c r="AC258" s="503">
        <f t="shared" si="51"/>
        <v>0</v>
      </c>
      <c r="AD258" s="389">
        <f t="shared" si="48"/>
        <v>0</v>
      </c>
    </row>
    <row r="259" spans="1:30" s="390" customFormat="1">
      <c r="A259" s="167">
        <v>249</v>
      </c>
      <c r="B259" s="267" t="str">
        <f>VLOOKUP(A259,'JUNE (물량흐름)'!$A$13:$C$502,2,0)</f>
        <v>ALFANI</v>
      </c>
      <c r="C259" s="240">
        <f>VLOOKUP(A259,'JUNE (물량흐름)'!$A$13:$C$502,3,0)</f>
        <v>76733</v>
      </c>
      <c r="D259" s="6">
        <f>VLOOKUP(C259,'WIP(재공품)'!$B$12:$E$493,4,0)</f>
        <v>8163</v>
      </c>
      <c r="E259" s="6">
        <f>IFERROR(VLOOKUP(C259,O.B.JUNE!$AA$7:$AG$448,2,0),0)</f>
        <v>0</v>
      </c>
      <c r="F259" s="6">
        <f>IFERROR(VLOOKUP(C259,O.B.JUNE!$AA$7:$AG$448,3,0),0)</f>
        <v>141</v>
      </c>
      <c r="G259" s="6">
        <f>IFERROR(VLOOKUP(C259,O.B.JUNE!$AA$7:$AD$448,4,0),0)</f>
        <v>9</v>
      </c>
      <c r="H259" s="6">
        <f t="shared" si="41"/>
        <v>150</v>
      </c>
      <c r="I259" s="6">
        <f>IFERROR(VLOOKUP(C259,O.B.JUNE!$AA$7:$AF$448,6,0),0)</f>
        <v>78</v>
      </c>
      <c r="J259" s="6"/>
      <c r="K259" s="6">
        <f>IFERROR(VLOOKUP(C259,O.B.JUNE!$AA$7:$AG$448,7,0),0)</f>
        <v>2802570</v>
      </c>
      <c r="L259" s="6">
        <f>SUMIF('JUNE (물량흐름)'!$C$13:$C$502,'Direct labour(직접노무비)'!C259,'JUNE (물량흐름)'!$H$13:$H$502)+SUMIF('JUNE (물량흐름)'!$C$13:$C$502,'Direct labour(직접노무비)'!C259,'JUNE (물량흐름)'!$I$13:$I$502)</f>
        <v>0</v>
      </c>
      <c r="M259" s="6">
        <f t="shared" si="42"/>
        <v>0</v>
      </c>
      <c r="N259" s="6">
        <f t="shared" si="43"/>
        <v>0</v>
      </c>
      <c r="O259" s="6">
        <f t="shared" si="40"/>
        <v>0</v>
      </c>
      <c r="P259" s="6">
        <f>SUMIF('JUNE (물량흐름)'!$C$13:$C$502,C259,'JUNE (물량흐름)'!$T$13:$T$502)+SUMIF('JUNE (물량흐름)'!$C$13:$C$502,C259,'JUNE (물량흐름)'!$V$13:$V$502)+SUMIF('JUNE (물량흐름)'!$C$13:$C$502,C259,'JUNE (물량흐름)'!$U$13:$U$502)-SUMIF('JUNE (물량흐름)'!$C$13:$C$502,C259,'JUNE (물량흐름)'!$Y$13:$Y$502)</f>
        <v>150</v>
      </c>
      <c r="Q259" s="6">
        <f t="shared" si="49"/>
        <v>2802570</v>
      </c>
      <c r="R259" s="6">
        <f>ROUND(IF(ISERROR(VLOOKUP(#REF!,'WIP(재공품)'!$B$12:$AB$38,13,0)),0,VLOOKUP(#REF!,'WIP(재공품)'!$B$12:$AB$38,13,0)),0)</f>
        <v>0</v>
      </c>
      <c r="S259" s="6">
        <f>IF(ISERROR(VLOOKUP(#REF!,'WIP(재공품)'!$B$12:$AB$38,10,0)),0,VLOOKUP(#REF!,'WIP(재공품)'!$B$12:$AB$38,10,0))</f>
        <v>0</v>
      </c>
      <c r="T259" s="6">
        <f>SUMIF('JUNE (물량흐름)'!$C$13:$C$502,'Direct labour(직접노무비)'!C259,'JUNE (물량흐름)'!$Y$13:$Y$502)</f>
        <v>0</v>
      </c>
      <c r="U259" s="6">
        <f t="shared" si="44"/>
        <v>0</v>
      </c>
      <c r="V259" s="6">
        <f>ROUND(SUMIF('JUNE (물량흐름)'!$C$13:$C$502,'Direct labour(직접노무비)'!C259,'JUNE (물량흐름)'!$N$13:$N$502),0)</f>
        <v>0</v>
      </c>
      <c r="W259" s="6">
        <f>ROUND(SUMIF('JUNE (물량흐름)'!$C$13:$C$502,'Direct labour(직접노무비)'!C259,'JUNE (물량흐름)'!$O$13:$O$502),0)</f>
        <v>0</v>
      </c>
      <c r="X259" s="6">
        <f>ROUND(SUMIF('JUNE (물량흐름)'!$C$13:$C$502,'Direct labour(직접노무비)'!C259,'JUNE (물량흐름)'!$P$13:$P$502),0)</f>
        <v>0</v>
      </c>
      <c r="Y259" s="6">
        <f t="shared" si="45"/>
        <v>0</v>
      </c>
      <c r="Z259" s="6">
        <f t="shared" si="46"/>
        <v>0</v>
      </c>
      <c r="AA259" s="6">
        <f t="shared" si="50"/>
        <v>0</v>
      </c>
      <c r="AB259" s="389">
        <f t="shared" si="47"/>
        <v>0</v>
      </c>
      <c r="AC259" s="503">
        <f t="shared" si="51"/>
        <v>0</v>
      </c>
      <c r="AD259" s="389">
        <f t="shared" si="48"/>
        <v>0</v>
      </c>
    </row>
    <row r="260" spans="1:30" s="390" customFormat="1">
      <c r="A260" s="167">
        <v>250</v>
      </c>
      <c r="B260" s="267" t="str">
        <f>VLOOKUP(A260,'JUNE (물량흐름)'!$A$13:$C$502,2,0)</f>
        <v>ANN TAYLOR</v>
      </c>
      <c r="C260" s="240">
        <f>VLOOKUP(A260,'JUNE (물량흐름)'!$A$13:$C$502,3,0)</f>
        <v>467914</v>
      </c>
      <c r="D260" s="6">
        <f>VLOOKUP(C260,'WIP(재공품)'!$B$12:$E$493,4,0)</f>
        <v>8163</v>
      </c>
      <c r="E260" s="6">
        <f>IFERROR(VLOOKUP(C260,O.B.JUNE!$AA$7:$AG$448,2,0),0)</f>
        <v>0</v>
      </c>
      <c r="F260" s="6">
        <f>IFERROR(VLOOKUP(C260,O.B.JUNE!$AA$7:$AG$448,3,0),0)</f>
        <v>83</v>
      </c>
      <c r="G260" s="6">
        <f>IFERROR(VLOOKUP(C260,O.B.JUNE!$AA$7:$AD$448,4,0),0)</f>
        <v>92</v>
      </c>
      <c r="H260" s="6">
        <f t="shared" si="41"/>
        <v>175</v>
      </c>
      <c r="I260" s="6">
        <f>IFERROR(VLOOKUP(C260,O.B.JUNE!$AA$7:$AF$448,6,0),0)</f>
        <v>115</v>
      </c>
      <c r="J260" s="6"/>
      <c r="K260" s="6">
        <f>IFERROR(VLOOKUP(C260,O.B.JUNE!$AA$7:$AG$448,7,0),0)</f>
        <v>3310598</v>
      </c>
      <c r="L260" s="6">
        <f>SUMIF('JUNE (물량흐름)'!$C$13:$C$502,'Direct labour(직접노무비)'!C260,'JUNE (물량흐름)'!$H$13:$H$502)+SUMIF('JUNE (물량흐름)'!$C$13:$C$502,'Direct labour(직접노무비)'!C260,'JUNE (물량흐름)'!$I$13:$I$502)</f>
        <v>0</v>
      </c>
      <c r="M260" s="6">
        <f t="shared" si="42"/>
        <v>0</v>
      </c>
      <c r="N260" s="6">
        <f t="shared" si="43"/>
        <v>0</v>
      </c>
      <c r="O260" s="6">
        <f t="shared" si="40"/>
        <v>0</v>
      </c>
      <c r="P260" s="6">
        <f>SUMIF('JUNE (물량흐름)'!$C$13:$C$502,C260,'JUNE (물량흐름)'!$T$13:$T$502)+SUMIF('JUNE (물량흐름)'!$C$13:$C$502,C260,'JUNE (물량흐름)'!$V$13:$V$502)+SUMIF('JUNE (물량흐름)'!$C$13:$C$502,C260,'JUNE (물량흐름)'!$U$13:$U$502)-SUMIF('JUNE (물량흐름)'!$C$13:$C$502,C260,'JUNE (물량흐름)'!$Y$13:$Y$502)</f>
        <v>0</v>
      </c>
      <c r="Q260" s="6">
        <f t="shared" si="49"/>
        <v>0</v>
      </c>
      <c r="R260" s="6">
        <f>ROUND(IF(ISERROR(VLOOKUP(#REF!,'WIP(재공품)'!$B$12:$AB$38,13,0)),0,VLOOKUP(#REF!,'WIP(재공품)'!$B$12:$AB$38,13,0)),0)</f>
        <v>0</v>
      </c>
      <c r="S260" s="6">
        <f>IF(ISERROR(VLOOKUP(#REF!,'WIP(재공품)'!$B$12:$AB$38,10,0)),0,VLOOKUP(#REF!,'WIP(재공품)'!$B$12:$AB$38,10,0))</f>
        <v>0</v>
      </c>
      <c r="T260" s="6">
        <f>SUMIF('JUNE (물량흐름)'!$C$13:$C$502,'Direct labour(직접노무비)'!C260,'JUNE (물량흐름)'!$Y$13:$Y$502)</f>
        <v>0</v>
      </c>
      <c r="U260" s="6">
        <f t="shared" si="44"/>
        <v>0</v>
      </c>
      <c r="V260" s="6">
        <f>ROUND(SUMIF('JUNE (물량흐름)'!$C$13:$C$502,'Direct labour(직접노무비)'!C260,'JUNE (물량흐름)'!$N$13:$N$502),0)</f>
        <v>0</v>
      </c>
      <c r="W260" s="6">
        <f>ROUND(SUMIF('JUNE (물량흐름)'!$C$13:$C$502,'Direct labour(직접노무비)'!C260,'JUNE (물량흐름)'!$O$13:$O$502),0)</f>
        <v>83</v>
      </c>
      <c r="X260" s="6">
        <f>ROUND(SUMIF('JUNE (물량흐름)'!$C$13:$C$502,'Direct labour(직접노무비)'!C260,'JUNE (물량흐름)'!$P$13:$P$502),0)</f>
        <v>92</v>
      </c>
      <c r="Y260" s="6">
        <f t="shared" si="45"/>
        <v>175</v>
      </c>
      <c r="Z260" s="6">
        <f t="shared" si="46"/>
        <v>115</v>
      </c>
      <c r="AA260" s="6">
        <f t="shared" si="50"/>
        <v>3310598</v>
      </c>
      <c r="AB260" s="389">
        <f t="shared" si="47"/>
        <v>0</v>
      </c>
      <c r="AC260" s="503">
        <f t="shared" si="51"/>
        <v>0</v>
      </c>
      <c r="AD260" s="389">
        <f t="shared" si="48"/>
        <v>0</v>
      </c>
    </row>
    <row r="261" spans="1:30" s="390" customFormat="1">
      <c r="A261" s="167">
        <v>251</v>
      </c>
      <c r="B261" s="267" t="str">
        <f>VLOOKUP(A261,'JUNE (물량흐름)'!$A$13:$C$502,2,0)</f>
        <v>ANN TAYLOR</v>
      </c>
      <c r="C261" s="240">
        <f>VLOOKUP(A261,'JUNE (물량흐름)'!$A$13:$C$502,3,0)</f>
        <v>468229</v>
      </c>
      <c r="D261" s="6">
        <f>VLOOKUP(C261,'WIP(재공품)'!$B$12:$E$493,4,0)</f>
        <v>71426.25</v>
      </c>
      <c r="E261" s="6">
        <f>IFERROR(VLOOKUP(C261,O.B.JUNE!$AA$7:$AG$448,2,0),0)</f>
        <v>29</v>
      </c>
      <c r="F261" s="6">
        <f>IFERROR(VLOOKUP(C261,O.B.JUNE!$AA$7:$AG$448,3,0),0)</f>
        <v>521</v>
      </c>
      <c r="G261" s="6">
        <f>IFERROR(VLOOKUP(C261,O.B.JUNE!$AA$7:$AD$448,4,0),0)</f>
        <v>581</v>
      </c>
      <c r="H261" s="6">
        <f t="shared" si="41"/>
        <v>1131</v>
      </c>
      <c r="I261" s="6">
        <f>IFERROR(VLOOKUP(C261,O.B.JUNE!$AA$7:$AF$448,6,0),0)</f>
        <v>731</v>
      </c>
      <c r="J261" s="6"/>
      <c r="K261" s="6">
        <f>IFERROR(VLOOKUP(C261,O.B.JUNE!$AA$7:$AG$448,7,0),0)</f>
        <v>10494670</v>
      </c>
      <c r="L261" s="6">
        <f>SUMIF('JUNE (물량흐름)'!$C$13:$C$502,'Direct labour(직접노무비)'!C261,'JUNE (물량흐름)'!$H$13:$H$502)+SUMIF('JUNE (물량흐름)'!$C$13:$C$502,'Direct labour(직접노무비)'!C261,'JUNE (물량흐름)'!$I$13:$I$502)</f>
        <v>0</v>
      </c>
      <c r="M261" s="6">
        <f t="shared" si="42"/>
        <v>0</v>
      </c>
      <c r="N261" s="6">
        <f t="shared" si="43"/>
        <v>0</v>
      </c>
      <c r="O261" s="6">
        <f t="shared" si="40"/>
        <v>0</v>
      </c>
      <c r="P261" s="6">
        <f>SUMIF('JUNE (물량흐름)'!$C$13:$C$502,C261,'JUNE (물량흐름)'!$T$13:$T$502)+SUMIF('JUNE (물량흐름)'!$C$13:$C$502,C261,'JUNE (물량흐름)'!$V$13:$V$502)+SUMIF('JUNE (물량흐름)'!$C$13:$C$502,C261,'JUNE (물량흐름)'!$U$13:$U$502)-SUMIF('JUNE (물량흐름)'!$C$13:$C$502,C261,'JUNE (물량흐름)'!$Y$13:$Y$502)</f>
        <v>0</v>
      </c>
      <c r="Q261" s="6">
        <f t="shared" si="49"/>
        <v>0</v>
      </c>
      <c r="R261" s="6">
        <f>ROUND(IF(ISERROR(VLOOKUP(#REF!,'WIP(재공품)'!$B$12:$AB$38,13,0)),0,VLOOKUP(#REF!,'WIP(재공품)'!$B$12:$AB$38,13,0)),0)</f>
        <v>0</v>
      </c>
      <c r="S261" s="6">
        <f>IF(ISERROR(VLOOKUP(#REF!,'WIP(재공품)'!$B$12:$AB$38,10,0)),0,VLOOKUP(#REF!,'WIP(재공품)'!$B$12:$AB$38,10,0))</f>
        <v>0</v>
      </c>
      <c r="T261" s="6">
        <f>SUMIF('JUNE (물량흐름)'!$C$13:$C$502,'Direct labour(직접노무비)'!C261,'JUNE (물량흐름)'!$Y$13:$Y$502)</f>
        <v>0</v>
      </c>
      <c r="U261" s="6">
        <f t="shared" si="44"/>
        <v>0</v>
      </c>
      <c r="V261" s="6">
        <f>ROUND(SUMIF('JUNE (물량흐름)'!$C$13:$C$502,'Direct labour(직접노무비)'!C261,'JUNE (물량흐름)'!$N$13:$N$502),0)</f>
        <v>29</v>
      </c>
      <c r="W261" s="6">
        <f>ROUND(SUMIF('JUNE (물량흐름)'!$C$13:$C$502,'Direct labour(직접노무비)'!C261,'JUNE (물량흐름)'!$O$13:$O$502),0)</f>
        <v>521</v>
      </c>
      <c r="X261" s="6">
        <f>ROUND(SUMIF('JUNE (물량흐름)'!$C$13:$C$502,'Direct labour(직접노무비)'!C261,'JUNE (물량흐름)'!$P$13:$P$502),0)</f>
        <v>581</v>
      </c>
      <c r="Y261" s="6">
        <f t="shared" si="45"/>
        <v>1131</v>
      </c>
      <c r="Z261" s="6">
        <f t="shared" si="46"/>
        <v>731</v>
      </c>
      <c r="AA261" s="6">
        <f t="shared" si="50"/>
        <v>10494670</v>
      </c>
      <c r="AB261" s="389">
        <f t="shared" si="47"/>
        <v>0</v>
      </c>
      <c r="AC261" s="503">
        <f t="shared" si="51"/>
        <v>0</v>
      </c>
      <c r="AD261" s="389">
        <f t="shared" si="48"/>
        <v>0</v>
      </c>
    </row>
    <row r="262" spans="1:30" s="390" customFormat="1">
      <c r="A262" s="167">
        <v>252</v>
      </c>
      <c r="B262" s="267" t="str">
        <f>VLOOKUP(A262,'JUNE (물량흐름)'!$A$13:$C$502,2,0)</f>
        <v>ANN TAYLOR</v>
      </c>
      <c r="C262" s="240">
        <f>VLOOKUP(A262,'JUNE (물량흐름)'!$A$13:$C$502,3,0)</f>
        <v>468230</v>
      </c>
      <c r="D262" s="6">
        <f>VLOOKUP(C262,'WIP(재공품)'!$B$12:$E$493,4,0)</f>
        <v>7936.2499999999991</v>
      </c>
      <c r="E262" s="6">
        <f>IFERROR(VLOOKUP(C262,O.B.JUNE!$AA$7:$AG$448,2,0),0)</f>
        <v>0</v>
      </c>
      <c r="F262" s="6">
        <f>IFERROR(VLOOKUP(C262,O.B.JUNE!$AA$7:$AG$448,3,0),0)</f>
        <v>208</v>
      </c>
      <c r="G262" s="6">
        <f>IFERROR(VLOOKUP(C262,O.B.JUNE!$AA$7:$AD$448,4,0),0)</f>
        <v>468</v>
      </c>
      <c r="H262" s="6">
        <f t="shared" si="41"/>
        <v>676</v>
      </c>
      <c r="I262" s="6">
        <f>IFERROR(VLOOKUP(C262,O.B.JUNE!$AA$7:$AF$448,6,0),0)</f>
        <v>478</v>
      </c>
      <c r="J262" s="6"/>
      <c r="K262" s="6">
        <f>IFERROR(VLOOKUP(C262,O.B.JUNE!$AA$7:$AG$448,7,0),0)</f>
        <v>6606730</v>
      </c>
      <c r="L262" s="6">
        <f>SUMIF('JUNE (물량흐름)'!$C$13:$C$502,'Direct labour(직접노무비)'!C262,'JUNE (물량흐름)'!$H$13:$H$502)+SUMIF('JUNE (물량흐름)'!$C$13:$C$502,'Direct labour(직접노무비)'!C262,'JUNE (물량흐름)'!$I$13:$I$502)</f>
        <v>0</v>
      </c>
      <c r="M262" s="6">
        <f t="shared" si="42"/>
        <v>0</v>
      </c>
      <c r="N262" s="6">
        <f t="shared" si="43"/>
        <v>0</v>
      </c>
      <c r="O262" s="6">
        <f t="shared" si="40"/>
        <v>0</v>
      </c>
      <c r="P262" s="6">
        <f>SUMIF('JUNE (물량흐름)'!$C$13:$C$502,C262,'JUNE (물량흐름)'!$T$13:$T$502)+SUMIF('JUNE (물량흐름)'!$C$13:$C$502,C262,'JUNE (물량흐름)'!$V$13:$V$502)+SUMIF('JUNE (물량흐름)'!$C$13:$C$502,C262,'JUNE (물량흐름)'!$U$13:$U$502)-SUMIF('JUNE (물량흐름)'!$C$13:$C$502,C262,'JUNE (물량흐름)'!$Y$13:$Y$502)</f>
        <v>0</v>
      </c>
      <c r="Q262" s="6">
        <f t="shared" si="49"/>
        <v>0</v>
      </c>
      <c r="R262" s="6">
        <f>ROUND(IF(ISERROR(VLOOKUP(#REF!,'WIP(재공품)'!$B$12:$AB$38,13,0)),0,VLOOKUP(#REF!,'WIP(재공품)'!$B$12:$AB$38,13,0)),0)</f>
        <v>0</v>
      </c>
      <c r="S262" s="6">
        <f>IF(ISERROR(VLOOKUP(#REF!,'WIP(재공품)'!$B$12:$AB$38,10,0)),0,VLOOKUP(#REF!,'WIP(재공품)'!$B$12:$AB$38,10,0))</f>
        <v>0</v>
      </c>
      <c r="T262" s="6">
        <f>SUMIF('JUNE (물량흐름)'!$C$13:$C$502,'Direct labour(직접노무비)'!C262,'JUNE (물량흐름)'!$Y$13:$Y$502)</f>
        <v>0</v>
      </c>
      <c r="U262" s="6">
        <f t="shared" si="44"/>
        <v>0</v>
      </c>
      <c r="V262" s="6">
        <f>ROUND(SUMIF('JUNE (물량흐름)'!$C$13:$C$502,'Direct labour(직접노무비)'!C262,'JUNE (물량흐름)'!$N$13:$N$502),0)</f>
        <v>0</v>
      </c>
      <c r="W262" s="6">
        <f>ROUND(SUMIF('JUNE (물량흐름)'!$C$13:$C$502,'Direct labour(직접노무비)'!C262,'JUNE (물량흐름)'!$O$13:$O$502),0)</f>
        <v>208</v>
      </c>
      <c r="X262" s="6">
        <f>ROUND(SUMIF('JUNE (물량흐름)'!$C$13:$C$502,'Direct labour(직접노무비)'!C262,'JUNE (물량흐름)'!$P$13:$P$502),0)</f>
        <v>468</v>
      </c>
      <c r="Y262" s="6">
        <f t="shared" si="45"/>
        <v>676</v>
      </c>
      <c r="Z262" s="6">
        <f t="shared" si="46"/>
        <v>478</v>
      </c>
      <c r="AA262" s="6">
        <f t="shared" si="50"/>
        <v>6606730</v>
      </c>
      <c r="AB262" s="389">
        <f t="shared" si="47"/>
        <v>0</v>
      </c>
      <c r="AC262" s="503">
        <f t="shared" si="51"/>
        <v>0</v>
      </c>
      <c r="AD262" s="389">
        <f t="shared" si="48"/>
        <v>0</v>
      </c>
    </row>
    <row r="263" spans="1:30" s="390" customFormat="1">
      <c r="A263" s="167">
        <v>253</v>
      </c>
      <c r="B263" s="267" t="str">
        <f>VLOOKUP(A263,'JUNE (물량흐름)'!$A$13:$C$502,2,0)</f>
        <v>ANN TAYLOR</v>
      </c>
      <c r="C263" s="240">
        <f>VLOOKUP(A263,'JUNE (물량흐름)'!$A$13:$C$502,3,0)</f>
        <v>468249</v>
      </c>
      <c r="D263" s="6">
        <f>VLOOKUP(C263,'WIP(재공품)'!$B$12:$E$493,4,0)</f>
        <v>7936.2499999999991</v>
      </c>
      <c r="E263" s="6">
        <f>IFERROR(VLOOKUP(C263,O.B.JUNE!$AA$7:$AG$448,2,0),0)</f>
        <v>0</v>
      </c>
      <c r="F263" s="6">
        <f>IFERROR(VLOOKUP(C263,O.B.JUNE!$AA$7:$AG$448,3,0),0)</f>
        <v>299</v>
      </c>
      <c r="G263" s="6">
        <f>IFERROR(VLOOKUP(C263,O.B.JUNE!$AA$7:$AD$448,4,0),0)</f>
        <v>153</v>
      </c>
      <c r="H263" s="6">
        <f t="shared" si="41"/>
        <v>452</v>
      </c>
      <c r="I263" s="6">
        <f>IFERROR(VLOOKUP(C263,O.B.JUNE!$AA$7:$AF$448,6,0),0)</f>
        <v>272</v>
      </c>
      <c r="J263" s="6"/>
      <c r="K263" s="6">
        <f>IFERROR(VLOOKUP(C263,O.B.JUNE!$AA$7:$AG$448,7,0),0)</f>
        <v>3886342</v>
      </c>
      <c r="L263" s="6">
        <f>SUMIF('JUNE (물량흐름)'!$C$13:$C$502,'Direct labour(직접노무비)'!C263,'JUNE (물량흐름)'!$H$13:$H$502)+SUMIF('JUNE (물량흐름)'!$C$13:$C$502,'Direct labour(직접노무비)'!C263,'JUNE (물량흐름)'!$I$13:$I$502)</f>
        <v>0</v>
      </c>
      <c r="M263" s="6">
        <f t="shared" si="42"/>
        <v>0</v>
      </c>
      <c r="N263" s="6">
        <f t="shared" si="43"/>
        <v>0</v>
      </c>
      <c r="O263" s="6">
        <f t="shared" si="40"/>
        <v>0</v>
      </c>
      <c r="P263" s="6">
        <f>SUMIF('JUNE (물량흐름)'!$C$13:$C$502,C263,'JUNE (물량흐름)'!$T$13:$T$502)+SUMIF('JUNE (물량흐름)'!$C$13:$C$502,C263,'JUNE (물량흐름)'!$V$13:$V$502)+SUMIF('JUNE (물량흐름)'!$C$13:$C$502,C263,'JUNE (물량흐름)'!$U$13:$U$502)-SUMIF('JUNE (물량흐름)'!$C$13:$C$502,C263,'JUNE (물량흐름)'!$Y$13:$Y$502)</f>
        <v>0</v>
      </c>
      <c r="Q263" s="6">
        <f t="shared" si="49"/>
        <v>0</v>
      </c>
      <c r="R263" s="6">
        <f>ROUND(IF(ISERROR(VLOOKUP(#REF!,'WIP(재공품)'!$B$12:$AB$38,13,0)),0,VLOOKUP(#REF!,'WIP(재공품)'!$B$12:$AB$38,13,0)),0)</f>
        <v>0</v>
      </c>
      <c r="S263" s="6">
        <f>IF(ISERROR(VLOOKUP(#REF!,'WIP(재공품)'!$B$12:$AB$38,10,0)),0,VLOOKUP(#REF!,'WIP(재공품)'!$B$12:$AB$38,10,0))</f>
        <v>0</v>
      </c>
      <c r="T263" s="6">
        <f>SUMIF('JUNE (물량흐름)'!$C$13:$C$502,'Direct labour(직접노무비)'!C263,'JUNE (물량흐름)'!$Y$13:$Y$502)</f>
        <v>0</v>
      </c>
      <c r="U263" s="6">
        <f t="shared" si="44"/>
        <v>0</v>
      </c>
      <c r="V263" s="6">
        <f>ROUND(SUMIF('JUNE (물량흐름)'!$C$13:$C$502,'Direct labour(직접노무비)'!C263,'JUNE (물량흐름)'!$N$13:$N$502),0)</f>
        <v>0</v>
      </c>
      <c r="W263" s="6">
        <f>ROUND(SUMIF('JUNE (물량흐름)'!$C$13:$C$502,'Direct labour(직접노무비)'!C263,'JUNE (물량흐름)'!$O$13:$O$502),0)</f>
        <v>299</v>
      </c>
      <c r="X263" s="6">
        <f>ROUND(SUMIF('JUNE (물량흐름)'!$C$13:$C$502,'Direct labour(직접노무비)'!C263,'JUNE (물량흐름)'!$P$13:$P$502),0)</f>
        <v>153</v>
      </c>
      <c r="Y263" s="6">
        <f t="shared" si="45"/>
        <v>452</v>
      </c>
      <c r="Z263" s="6">
        <f t="shared" si="46"/>
        <v>272</v>
      </c>
      <c r="AA263" s="6">
        <f t="shared" si="50"/>
        <v>3886342</v>
      </c>
      <c r="AB263" s="389">
        <f t="shared" si="47"/>
        <v>0</v>
      </c>
      <c r="AC263" s="503">
        <f t="shared" si="51"/>
        <v>0</v>
      </c>
      <c r="AD263" s="389">
        <f t="shared" si="48"/>
        <v>0</v>
      </c>
    </row>
    <row r="264" spans="1:30" s="390" customFormat="1">
      <c r="A264" s="167">
        <v>254</v>
      </c>
      <c r="B264" s="267" t="str">
        <f>VLOOKUP(A264,'JUNE (물량흐름)'!$A$13:$C$502,2,0)</f>
        <v>ALFANI</v>
      </c>
      <c r="C264" s="240">
        <f>VLOOKUP(A264,'JUNE (물량흐름)'!$A$13:$C$502,3,0)</f>
        <v>100013593</v>
      </c>
      <c r="D264" s="6">
        <f>VLOOKUP(C264,'WIP(재공품)'!$B$12:$E$493,4,0)</f>
        <v>7936.2499999999991</v>
      </c>
      <c r="E264" s="6">
        <f>IFERROR(VLOOKUP(C264,O.B.JUNE!$AA$7:$AG$448,2,0),0)</f>
        <v>0</v>
      </c>
      <c r="F264" s="6">
        <f>IFERROR(VLOOKUP(C264,O.B.JUNE!$AA$7:$AG$448,3,0),0)</f>
        <v>67</v>
      </c>
      <c r="G264" s="6">
        <f>IFERROR(VLOOKUP(C264,O.B.JUNE!$AA$7:$AD$448,4,0),0)</f>
        <v>74</v>
      </c>
      <c r="H264" s="6">
        <f t="shared" si="41"/>
        <v>141</v>
      </c>
      <c r="I264" s="6">
        <f>IFERROR(VLOOKUP(C264,O.B.JUNE!$AA$7:$AF$448,6,0),0)</f>
        <v>93</v>
      </c>
      <c r="J264" s="6"/>
      <c r="K264" s="6">
        <f>IFERROR(VLOOKUP(C264,O.B.JUNE!$AA$7:$AG$448,7,0),0)</f>
        <v>1659331</v>
      </c>
      <c r="L264" s="6">
        <f>SUMIF('JUNE (물량흐름)'!$C$13:$C$502,'Direct labour(직접노무비)'!C264,'JUNE (물량흐름)'!$H$13:$H$502)+SUMIF('JUNE (물량흐름)'!$C$13:$C$502,'Direct labour(직접노무비)'!C264,'JUNE (물량흐름)'!$I$13:$I$502)</f>
        <v>0</v>
      </c>
      <c r="M264" s="6">
        <f t="shared" si="42"/>
        <v>0</v>
      </c>
      <c r="N264" s="6">
        <f t="shared" si="43"/>
        <v>0</v>
      </c>
      <c r="O264" s="6">
        <f t="shared" si="40"/>
        <v>0</v>
      </c>
      <c r="P264" s="6">
        <f>SUMIF('JUNE (물량흐름)'!$C$13:$C$502,C264,'JUNE (물량흐름)'!$T$13:$T$502)+SUMIF('JUNE (물량흐름)'!$C$13:$C$502,C264,'JUNE (물량흐름)'!$V$13:$V$502)+SUMIF('JUNE (물량흐름)'!$C$13:$C$502,C264,'JUNE (물량흐름)'!$U$13:$U$502)-SUMIF('JUNE (물량흐름)'!$C$13:$C$502,C264,'JUNE (물량흐름)'!$Y$13:$Y$502)</f>
        <v>0</v>
      </c>
      <c r="Q264" s="6">
        <f t="shared" si="49"/>
        <v>0</v>
      </c>
      <c r="R264" s="6">
        <f>ROUND(IF(ISERROR(VLOOKUP(#REF!,'WIP(재공품)'!$B$12:$AB$38,13,0)),0,VLOOKUP(#REF!,'WIP(재공품)'!$B$12:$AB$38,13,0)),0)</f>
        <v>0</v>
      </c>
      <c r="S264" s="6">
        <f>IF(ISERROR(VLOOKUP(#REF!,'WIP(재공품)'!$B$12:$AB$38,10,0)),0,VLOOKUP(#REF!,'WIP(재공품)'!$B$12:$AB$38,10,0))</f>
        <v>0</v>
      </c>
      <c r="T264" s="6">
        <f>SUMIF('JUNE (물량흐름)'!$C$13:$C$502,'Direct labour(직접노무비)'!C264,'JUNE (물량흐름)'!$Y$13:$Y$502)</f>
        <v>0</v>
      </c>
      <c r="U264" s="6">
        <f t="shared" si="44"/>
        <v>0</v>
      </c>
      <c r="V264" s="6">
        <f>ROUND(SUMIF('JUNE (물량흐름)'!$C$13:$C$502,'Direct labour(직접노무비)'!C264,'JUNE (물량흐름)'!$N$13:$N$502),0)</f>
        <v>0</v>
      </c>
      <c r="W264" s="6">
        <f>ROUND(SUMIF('JUNE (물량흐름)'!$C$13:$C$502,'Direct labour(직접노무비)'!C264,'JUNE (물량흐름)'!$O$13:$O$502),0)</f>
        <v>18</v>
      </c>
      <c r="X264" s="6">
        <f>ROUND(SUMIF('JUNE (물량흐름)'!$C$13:$C$502,'Direct labour(직접노무비)'!C264,'JUNE (물량흐름)'!$P$13:$P$502),0)</f>
        <v>123</v>
      </c>
      <c r="Y264" s="6">
        <f t="shared" si="45"/>
        <v>141</v>
      </c>
      <c r="Z264" s="6">
        <f t="shared" si="46"/>
        <v>107</v>
      </c>
      <c r="AA264" s="6">
        <f t="shared" si="50"/>
        <v>1659331</v>
      </c>
      <c r="AB264" s="389">
        <f t="shared" si="47"/>
        <v>0</v>
      </c>
      <c r="AC264" s="503">
        <f t="shared" si="51"/>
        <v>0</v>
      </c>
      <c r="AD264" s="389">
        <f t="shared" si="48"/>
        <v>0</v>
      </c>
    </row>
    <row r="265" spans="1:30" s="390" customFormat="1">
      <c r="A265" s="167">
        <v>255</v>
      </c>
      <c r="B265" s="267" t="str">
        <f>VLOOKUP(A265,'JUNE (물량흐름)'!$A$13:$C$502,2,0)</f>
        <v>ALFANI</v>
      </c>
      <c r="C265" s="240">
        <f>VLOOKUP(A265,'JUNE (물량흐름)'!$A$13:$C$502,3,0)</f>
        <v>100014855</v>
      </c>
      <c r="D265" s="6">
        <f>VLOOKUP(C265,'WIP(재공품)'!$B$12:$E$493,4,0)</f>
        <v>7936.2499999999991</v>
      </c>
      <c r="E265" s="6">
        <f>IFERROR(VLOOKUP(C265,O.B.JUNE!$AA$7:$AG$448,2,0),0)</f>
        <v>0</v>
      </c>
      <c r="F265" s="6">
        <f>IFERROR(VLOOKUP(C265,O.B.JUNE!$AA$7:$AG$448,3,0),0)</f>
        <v>37</v>
      </c>
      <c r="G265" s="6">
        <f>IFERROR(VLOOKUP(C265,O.B.JUNE!$AA$7:$AD$448,4,0),0)</f>
        <v>75</v>
      </c>
      <c r="H265" s="6">
        <f t="shared" si="41"/>
        <v>112</v>
      </c>
      <c r="I265" s="6">
        <f>IFERROR(VLOOKUP(C265,O.B.JUNE!$AA$7:$AF$448,6,0),0)</f>
        <v>79</v>
      </c>
      <c r="J265" s="6"/>
      <c r="K265" s="6">
        <f>IFERROR(VLOOKUP(C265,O.B.JUNE!$AA$7:$AG$448,7,0),0)</f>
        <v>903347</v>
      </c>
      <c r="L265" s="6">
        <f>SUMIF('JUNE (물량흐름)'!$C$13:$C$502,'Direct labour(직접노무비)'!C265,'JUNE (물량흐름)'!$H$13:$H$502)+SUMIF('JUNE (물량흐름)'!$C$13:$C$502,'Direct labour(직접노무비)'!C265,'JUNE (물량흐름)'!$I$13:$I$502)</f>
        <v>0</v>
      </c>
      <c r="M265" s="6">
        <f t="shared" si="42"/>
        <v>0</v>
      </c>
      <c r="N265" s="6">
        <f t="shared" si="43"/>
        <v>0</v>
      </c>
      <c r="O265" s="6">
        <f t="shared" si="40"/>
        <v>0</v>
      </c>
      <c r="P265" s="6">
        <f>SUMIF('JUNE (물량흐름)'!$C$13:$C$502,C265,'JUNE (물량흐름)'!$T$13:$T$502)+SUMIF('JUNE (물량흐름)'!$C$13:$C$502,C265,'JUNE (물량흐름)'!$V$13:$V$502)+SUMIF('JUNE (물량흐름)'!$C$13:$C$502,C265,'JUNE (물량흐름)'!$U$13:$U$502)-SUMIF('JUNE (물량흐름)'!$C$13:$C$502,C265,'JUNE (물량흐름)'!$Y$13:$Y$502)</f>
        <v>0</v>
      </c>
      <c r="Q265" s="6">
        <f t="shared" si="49"/>
        <v>0</v>
      </c>
      <c r="R265" s="6">
        <f>ROUND(IF(ISERROR(VLOOKUP(#REF!,'WIP(재공품)'!$B$12:$AB$38,13,0)),0,VLOOKUP(#REF!,'WIP(재공품)'!$B$12:$AB$38,13,0)),0)</f>
        <v>0</v>
      </c>
      <c r="S265" s="6">
        <f>IF(ISERROR(VLOOKUP(#REF!,'WIP(재공품)'!$B$12:$AB$38,10,0)),0,VLOOKUP(#REF!,'WIP(재공품)'!$B$12:$AB$38,10,0))</f>
        <v>0</v>
      </c>
      <c r="T265" s="6">
        <f>SUMIF('JUNE (물량흐름)'!$C$13:$C$502,'Direct labour(직접노무비)'!C265,'JUNE (물량흐름)'!$Y$13:$Y$502)</f>
        <v>0</v>
      </c>
      <c r="U265" s="6">
        <f t="shared" si="44"/>
        <v>0</v>
      </c>
      <c r="V265" s="6">
        <f>ROUND(SUMIF('JUNE (물량흐름)'!$C$13:$C$502,'Direct labour(직접노무비)'!C265,'JUNE (물량흐름)'!$N$13:$N$502),0)</f>
        <v>0</v>
      </c>
      <c r="W265" s="6">
        <f>ROUND(SUMIF('JUNE (물량흐름)'!$C$13:$C$502,'Direct labour(직접노무비)'!C265,'JUNE (물량흐름)'!$O$13:$O$502),0)</f>
        <v>37</v>
      </c>
      <c r="X265" s="6">
        <f>ROUND(SUMIF('JUNE (물량흐름)'!$C$13:$C$502,'Direct labour(직접노무비)'!C265,'JUNE (물량흐름)'!$P$13:$P$502),0)</f>
        <v>75</v>
      </c>
      <c r="Y265" s="6">
        <f t="shared" si="45"/>
        <v>112</v>
      </c>
      <c r="Z265" s="6">
        <f t="shared" si="46"/>
        <v>79</v>
      </c>
      <c r="AA265" s="6">
        <f t="shared" si="50"/>
        <v>903347</v>
      </c>
      <c r="AB265" s="389">
        <f t="shared" si="47"/>
        <v>0</v>
      </c>
      <c r="AC265" s="503">
        <f t="shared" si="51"/>
        <v>0</v>
      </c>
      <c r="AD265" s="389">
        <f t="shared" si="48"/>
        <v>0</v>
      </c>
    </row>
    <row r="266" spans="1:30" s="390" customFormat="1">
      <c r="A266" s="167">
        <v>256</v>
      </c>
      <c r="B266" s="267" t="str">
        <f>VLOOKUP(A266,'JUNE (물량흐름)'!$A$13:$C$502,2,0)</f>
        <v>ALFANI</v>
      </c>
      <c r="C266" s="240">
        <f>VLOOKUP(A266,'JUNE (물량흐름)'!$A$13:$C$502,3,0)</f>
        <v>100015130</v>
      </c>
      <c r="D266" s="6">
        <f>VLOOKUP(C266,'WIP(재공품)'!$B$12:$E$493,4,0)</f>
        <v>8163</v>
      </c>
      <c r="E266" s="6">
        <f>IFERROR(VLOOKUP(C266,O.B.JUNE!$AA$7:$AG$448,2,0),0)</f>
        <v>0</v>
      </c>
      <c r="F266" s="6">
        <f>IFERROR(VLOOKUP(C266,O.B.JUNE!$AA$7:$AG$448,3,0),0)</f>
        <v>70</v>
      </c>
      <c r="G266" s="6">
        <f>IFERROR(VLOOKUP(C266,O.B.JUNE!$AA$7:$AD$448,4,0),0)</f>
        <v>123</v>
      </c>
      <c r="H266" s="6">
        <f t="shared" si="41"/>
        <v>193</v>
      </c>
      <c r="I266" s="6">
        <f>IFERROR(VLOOKUP(C266,O.B.JUNE!$AA$7:$AF$448,6,0),0)</f>
        <v>133</v>
      </c>
      <c r="J266" s="6"/>
      <c r="K266" s="6">
        <f>IFERROR(VLOOKUP(C266,O.B.JUNE!$AA$7:$AG$448,7,0),0)</f>
        <v>2690205</v>
      </c>
      <c r="L266" s="6">
        <f>SUMIF('JUNE (물량흐름)'!$C$13:$C$502,'Direct labour(직접노무비)'!C266,'JUNE (물량흐름)'!$H$13:$H$502)+SUMIF('JUNE (물량흐름)'!$C$13:$C$502,'Direct labour(직접노무비)'!C266,'JUNE (물량흐름)'!$I$13:$I$502)</f>
        <v>0</v>
      </c>
      <c r="M266" s="6">
        <f t="shared" si="42"/>
        <v>0</v>
      </c>
      <c r="N266" s="6">
        <f t="shared" si="43"/>
        <v>0</v>
      </c>
      <c r="O266" s="6">
        <f t="shared" si="40"/>
        <v>0</v>
      </c>
      <c r="P266" s="6">
        <f>SUMIF('JUNE (물량흐름)'!$C$13:$C$502,C266,'JUNE (물량흐름)'!$T$13:$T$502)+SUMIF('JUNE (물량흐름)'!$C$13:$C$502,C266,'JUNE (물량흐름)'!$V$13:$V$502)+SUMIF('JUNE (물량흐름)'!$C$13:$C$502,C266,'JUNE (물량흐름)'!$U$13:$U$502)-SUMIF('JUNE (물량흐름)'!$C$13:$C$502,C266,'JUNE (물량흐름)'!$Y$13:$Y$502)</f>
        <v>0</v>
      </c>
      <c r="Q266" s="6">
        <f t="shared" si="49"/>
        <v>0</v>
      </c>
      <c r="R266" s="6">
        <f>ROUND(IF(ISERROR(VLOOKUP(#REF!,'WIP(재공품)'!$B$12:$AB$38,13,0)),0,VLOOKUP(#REF!,'WIP(재공품)'!$B$12:$AB$38,13,0)),0)</f>
        <v>0</v>
      </c>
      <c r="S266" s="6">
        <f>IF(ISERROR(VLOOKUP(#REF!,'WIP(재공품)'!$B$12:$AB$38,10,0)),0,VLOOKUP(#REF!,'WIP(재공품)'!$B$12:$AB$38,10,0))</f>
        <v>0</v>
      </c>
      <c r="T266" s="6">
        <f>SUMIF('JUNE (물량흐름)'!$C$13:$C$502,'Direct labour(직접노무비)'!C266,'JUNE (물량흐름)'!$Y$13:$Y$502)</f>
        <v>0</v>
      </c>
      <c r="U266" s="6">
        <f t="shared" si="44"/>
        <v>0</v>
      </c>
      <c r="V266" s="6">
        <f>ROUND(SUMIF('JUNE (물량흐름)'!$C$13:$C$502,'Direct labour(직접노무비)'!C266,'JUNE (물량흐름)'!$N$13:$N$502),0)</f>
        <v>0</v>
      </c>
      <c r="W266" s="6">
        <f>ROUND(SUMIF('JUNE (물량흐름)'!$C$13:$C$502,'Direct labour(직접노무비)'!C266,'JUNE (물량흐름)'!$O$13:$O$502),0)</f>
        <v>70</v>
      </c>
      <c r="X266" s="6">
        <f>ROUND(SUMIF('JUNE (물량흐름)'!$C$13:$C$502,'Direct labour(직접노무비)'!C266,'JUNE (물량흐름)'!$P$13:$P$502),0)</f>
        <v>123</v>
      </c>
      <c r="Y266" s="6">
        <f t="shared" si="45"/>
        <v>193</v>
      </c>
      <c r="Z266" s="6">
        <f t="shared" si="46"/>
        <v>133</v>
      </c>
      <c r="AA266" s="6">
        <f t="shared" si="50"/>
        <v>2690205</v>
      </c>
      <c r="AB266" s="389">
        <f t="shared" si="47"/>
        <v>0</v>
      </c>
      <c r="AC266" s="503">
        <f t="shared" si="51"/>
        <v>0</v>
      </c>
      <c r="AD266" s="389">
        <f t="shared" si="48"/>
        <v>0</v>
      </c>
    </row>
    <row r="267" spans="1:30" s="390" customFormat="1">
      <c r="A267" s="167">
        <v>257</v>
      </c>
      <c r="B267" s="267" t="str">
        <f>VLOOKUP(A267,'JUNE (물량흐름)'!$A$13:$C$502,2,0)</f>
        <v>ALFANI</v>
      </c>
      <c r="C267" s="240">
        <f>VLOOKUP(A267,'JUNE (물량흐름)'!$A$13:$C$502,3,0)</f>
        <v>100015136</v>
      </c>
      <c r="D267" s="6">
        <f>VLOOKUP(C267,'WIP(재공품)'!$B$12:$E$493,4,0)</f>
        <v>7936.2499999999991</v>
      </c>
      <c r="E267" s="6">
        <f>IFERROR(VLOOKUP(C267,O.B.JUNE!$AA$7:$AG$448,2,0),0)</f>
        <v>0</v>
      </c>
      <c r="F267" s="6">
        <f>IFERROR(VLOOKUP(C267,O.B.JUNE!$AA$7:$AG$448,3,0),0)</f>
        <v>0</v>
      </c>
      <c r="G267" s="6">
        <f>IFERROR(VLOOKUP(C267,O.B.JUNE!$AA$7:$AD$448,4,0),0)</f>
        <v>33</v>
      </c>
      <c r="H267" s="6">
        <f t="shared" si="41"/>
        <v>33</v>
      </c>
      <c r="I267" s="6">
        <f>IFERROR(VLOOKUP(C267,O.B.JUNE!$AA$7:$AF$448,6,0),0)</f>
        <v>26</v>
      </c>
      <c r="J267" s="6"/>
      <c r="K267" s="6">
        <f>IFERROR(VLOOKUP(C267,O.B.JUNE!$AA$7:$AG$448,7,0),0)</f>
        <v>668497</v>
      </c>
      <c r="L267" s="6">
        <f>SUMIF('JUNE (물량흐름)'!$C$13:$C$502,'Direct labour(직접노무비)'!C267,'JUNE (물량흐름)'!$H$13:$H$502)+SUMIF('JUNE (물량흐름)'!$C$13:$C$502,'Direct labour(직접노무비)'!C267,'JUNE (물량흐름)'!$I$13:$I$502)</f>
        <v>0</v>
      </c>
      <c r="M267" s="6">
        <f t="shared" si="42"/>
        <v>0</v>
      </c>
      <c r="N267" s="6">
        <f t="shared" si="43"/>
        <v>0</v>
      </c>
      <c r="O267" s="6">
        <f t="shared" ref="O267:O330" si="52">ROUND(M267*D267*$O$493/$N$493,0)</f>
        <v>0</v>
      </c>
      <c r="P267" s="6">
        <f>SUMIF('JUNE (물량흐름)'!$C$13:$C$502,C267,'JUNE (물량흐름)'!$T$13:$T$502)+SUMIF('JUNE (물량흐름)'!$C$13:$C$502,C267,'JUNE (물량흐름)'!$V$13:$V$502)+SUMIF('JUNE (물량흐름)'!$C$13:$C$502,C267,'JUNE (물량흐름)'!$U$13:$U$502)-SUMIF('JUNE (물량흐름)'!$C$13:$C$502,C267,'JUNE (물량흐름)'!$Y$13:$Y$502)</f>
        <v>0</v>
      </c>
      <c r="Q267" s="6">
        <f t="shared" si="49"/>
        <v>0</v>
      </c>
      <c r="R267" s="6">
        <f>ROUND(IF(ISERROR(VLOOKUP(#REF!,'WIP(재공품)'!$B$12:$AB$38,13,0)),0,VLOOKUP(#REF!,'WIP(재공품)'!$B$12:$AB$38,13,0)),0)</f>
        <v>0</v>
      </c>
      <c r="S267" s="6">
        <f>IF(ISERROR(VLOOKUP(#REF!,'WIP(재공품)'!$B$12:$AB$38,10,0)),0,VLOOKUP(#REF!,'WIP(재공품)'!$B$12:$AB$38,10,0))</f>
        <v>0</v>
      </c>
      <c r="T267" s="6">
        <f>SUMIF('JUNE (물량흐름)'!$C$13:$C$502,'Direct labour(직접노무비)'!C267,'JUNE (물량흐름)'!$Y$13:$Y$502)</f>
        <v>0</v>
      </c>
      <c r="U267" s="6">
        <f t="shared" si="44"/>
        <v>0</v>
      </c>
      <c r="V267" s="6">
        <f>ROUND(SUMIF('JUNE (물량흐름)'!$C$13:$C$502,'Direct labour(직접노무비)'!C267,'JUNE (물량흐름)'!$N$13:$N$502),0)</f>
        <v>0</v>
      </c>
      <c r="W267" s="6">
        <f>ROUND(SUMIF('JUNE (물량흐름)'!$C$13:$C$502,'Direct labour(직접노무비)'!C267,'JUNE (물량흐름)'!$O$13:$O$502),0)</f>
        <v>0</v>
      </c>
      <c r="X267" s="6">
        <f>ROUND(SUMIF('JUNE (물량흐름)'!$C$13:$C$502,'Direct labour(직접노무비)'!C267,'JUNE (물량흐름)'!$P$13:$P$502),0)</f>
        <v>33</v>
      </c>
      <c r="Y267" s="6">
        <f t="shared" si="45"/>
        <v>33</v>
      </c>
      <c r="Z267" s="6">
        <f t="shared" si="46"/>
        <v>26</v>
      </c>
      <c r="AA267" s="6">
        <f t="shared" si="50"/>
        <v>668497</v>
      </c>
      <c r="AB267" s="389">
        <f t="shared" si="47"/>
        <v>0</v>
      </c>
      <c r="AC267" s="503">
        <f t="shared" si="51"/>
        <v>0</v>
      </c>
      <c r="AD267" s="389">
        <f t="shared" si="48"/>
        <v>0</v>
      </c>
    </row>
    <row r="268" spans="1:30" s="390" customFormat="1">
      <c r="A268" s="167">
        <v>258</v>
      </c>
      <c r="B268" s="267" t="str">
        <f>VLOOKUP(A268,'JUNE (물량흐름)'!$A$13:$C$502,2,0)</f>
        <v>ALFANI</v>
      </c>
      <c r="C268" s="240">
        <f>VLOOKUP(A268,'JUNE (물량흐름)'!$A$13:$C$502,3,0)</f>
        <v>100015145</v>
      </c>
      <c r="D268" s="6">
        <f>VLOOKUP(C268,'WIP(재공품)'!$B$12:$E$493,4,0)</f>
        <v>8075.7884615384619</v>
      </c>
      <c r="E268" s="6">
        <f>IFERROR(VLOOKUP(C268,O.B.JUNE!$AA$7:$AG$448,2,0),0)</f>
        <v>0</v>
      </c>
      <c r="F268" s="6">
        <f>IFERROR(VLOOKUP(C268,O.B.JUNE!$AA$7:$AG$448,3,0),0)</f>
        <v>34</v>
      </c>
      <c r="G268" s="6">
        <f>IFERROR(VLOOKUP(C268,O.B.JUNE!$AA$7:$AD$448,4,0),0)</f>
        <v>36</v>
      </c>
      <c r="H268" s="6">
        <f t="shared" ref="H268:H327" si="53">ROUND(SUM(E268:G268),0)</f>
        <v>70</v>
      </c>
      <c r="I268" s="6">
        <f>IFERROR(VLOOKUP(C268,O.B.JUNE!$AA$7:$AF$448,6,0),0)</f>
        <v>46</v>
      </c>
      <c r="J268" s="6"/>
      <c r="K268" s="6">
        <f>IFERROR(VLOOKUP(C268,O.B.JUNE!$AA$7:$AG$448,7,0),0)</f>
        <v>1114470</v>
      </c>
      <c r="L268" s="6">
        <f>SUMIF('JUNE (물량흐름)'!$C$13:$C$502,'Direct labour(직접노무비)'!C268,'JUNE (물량흐름)'!$H$13:$H$502)+SUMIF('JUNE (물량흐름)'!$C$13:$C$502,'Direct labour(직접노무비)'!C268,'JUNE (물량흐름)'!$I$13:$I$502)</f>
        <v>0</v>
      </c>
      <c r="M268" s="6">
        <f t="shared" ref="M268:M327" si="54">ROUND(IF(OR(L268&lt;=0,P268+T268+R268+Z268-I268&lt;0),0,ROUND(P268+T268+R268+Z268-I268,0)),0)</f>
        <v>0</v>
      </c>
      <c r="N268" s="6">
        <f t="shared" ref="N268:N327" si="55">ROUND(M268*D268,0)</f>
        <v>0</v>
      </c>
      <c r="O268" s="6">
        <f t="shared" si="52"/>
        <v>0</v>
      </c>
      <c r="P268" s="6">
        <f>SUMIF('JUNE (물량흐름)'!$C$13:$C$502,C268,'JUNE (물량흐름)'!$T$13:$T$502)+SUMIF('JUNE (물량흐름)'!$C$13:$C$502,C268,'JUNE (물량흐름)'!$V$13:$V$502)+SUMIF('JUNE (물량흐름)'!$C$13:$C$502,C268,'JUNE (물량흐름)'!$U$13:$U$502)-SUMIF('JUNE (물량흐름)'!$C$13:$C$502,C268,'JUNE (물량흐름)'!$Y$13:$Y$502)</f>
        <v>0</v>
      </c>
      <c r="Q268" s="6">
        <f t="shared" si="49"/>
        <v>0</v>
      </c>
      <c r="R268" s="6">
        <f>ROUND(IF(ISERROR(VLOOKUP(#REF!,'WIP(재공품)'!$B$12:$AB$38,13,0)),0,VLOOKUP(#REF!,'WIP(재공품)'!$B$12:$AB$38,13,0)),0)</f>
        <v>0</v>
      </c>
      <c r="S268" s="6">
        <f>IF(ISERROR(VLOOKUP(#REF!,'WIP(재공품)'!$B$12:$AB$38,10,0)),0,VLOOKUP(#REF!,'WIP(재공품)'!$B$12:$AB$38,10,0))</f>
        <v>0</v>
      </c>
      <c r="T268" s="6">
        <f>SUMIF('JUNE (물량흐름)'!$C$13:$C$502,'Direct labour(직접노무비)'!C268,'JUNE (물량흐름)'!$Y$13:$Y$502)</f>
        <v>0</v>
      </c>
      <c r="U268" s="6">
        <f t="shared" ref="U268:U327" si="56">IFERROR(ROUND(IF(AND(T268&lt;=0,($I268+$M268)=0),T268*(K268+O268)/(I268+M268),T268*(K268+O268)/(H268+L268)),0),0)</f>
        <v>0</v>
      </c>
      <c r="V268" s="6">
        <f>ROUND(SUMIF('JUNE (물량흐름)'!$C$13:$C$502,'Direct labour(직접노무비)'!C268,'JUNE (물량흐름)'!$N$13:$N$502),0)</f>
        <v>0</v>
      </c>
      <c r="W268" s="6">
        <f>ROUND(SUMIF('JUNE (물량흐름)'!$C$13:$C$502,'Direct labour(직접노무비)'!C268,'JUNE (물량흐름)'!$O$13:$O$502),0)</f>
        <v>34</v>
      </c>
      <c r="X268" s="6">
        <f>ROUND(SUMIF('JUNE (물량흐름)'!$C$13:$C$502,'Direct labour(직접노무비)'!C268,'JUNE (물량흐름)'!$P$13:$P$502),0)</f>
        <v>36</v>
      </c>
      <c r="Y268" s="6">
        <f t="shared" ref="Y268:Y327" si="57">ROUND(SUM(V268:X268),0)</f>
        <v>70</v>
      </c>
      <c r="Z268" s="6">
        <f t="shared" ref="Z268:Z327" si="58">ROUND(V268*$V$10+W268*$W$10+X268*$X$10,0)</f>
        <v>46</v>
      </c>
      <c r="AA268" s="6">
        <f t="shared" si="50"/>
        <v>1114470</v>
      </c>
      <c r="AB268" s="389">
        <f t="shared" ref="AB268:AB327" si="59">K268+O268-Q268-U268-AA268</f>
        <v>0</v>
      </c>
      <c r="AC268" s="503">
        <f t="shared" si="51"/>
        <v>0</v>
      </c>
      <c r="AD268" s="389">
        <f t="shared" ref="AD268:AD327" si="60">H268+L268-P268-T268-Y268</f>
        <v>0</v>
      </c>
    </row>
    <row r="269" spans="1:30" s="390" customFormat="1">
      <c r="A269" s="167">
        <v>259</v>
      </c>
      <c r="B269" s="267" t="str">
        <f>VLOOKUP(A269,'JUNE (물량흐름)'!$A$13:$C$502,2,0)</f>
        <v>ALFANI</v>
      </c>
      <c r="C269" s="240">
        <f>VLOOKUP(A269,'JUNE (물량흐름)'!$A$13:$C$502,3,0)</f>
        <v>100015153</v>
      </c>
      <c r="D269" s="6">
        <f>VLOOKUP(C269,'WIP(재공품)'!$B$12:$E$493,4,0)</f>
        <v>7936.2499999999991</v>
      </c>
      <c r="E269" s="6">
        <f>IFERROR(VLOOKUP(C269,O.B.JUNE!$AA$7:$AG$448,2,0),0)</f>
        <v>0</v>
      </c>
      <c r="F269" s="6">
        <f>IFERROR(VLOOKUP(C269,O.B.JUNE!$AA$7:$AG$448,3,0),0)</f>
        <v>347</v>
      </c>
      <c r="G269" s="6">
        <f>IFERROR(VLOOKUP(C269,O.B.JUNE!$AA$7:$AD$448,4,0),0)</f>
        <v>36</v>
      </c>
      <c r="H269" s="6">
        <f t="shared" si="53"/>
        <v>383</v>
      </c>
      <c r="I269" s="6">
        <f>IFERROR(VLOOKUP(C269,O.B.JUNE!$AA$7:$AF$448,6,0),0)</f>
        <v>202</v>
      </c>
      <c r="J269" s="6"/>
      <c r="K269" s="6">
        <f>IFERROR(VLOOKUP(C269,O.B.JUNE!$AA$7:$AG$448,7,0),0)</f>
        <v>3477875</v>
      </c>
      <c r="L269" s="6">
        <f>SUMIF('JUNE (물량흐름)'!$C$13:$C$502,'Direct labour(직접노무비)'!C269,'JUNE (물량흐름)'!$H$13:$H$502)+SUMIF('JUNE (물량흐름)'!$C$13:$C$502,'Direct labour(직접노무비)'!C269,'JUNE (물량흐름)'!$I$13:$I$502)</f>
        <v>0</v>
      </c>
      <c r="M269" s="6">
        <f t="shared" si="54"/>
        <v>0</v>
      </c>
      <c r="N269" s="6">
        <f t="shared" si="55"/>
        <v>0</v>
      </c>
      <c r="O269" s="6">
        <f t="shared" si="52"/>
        <v>0</v>
      </c>
      <c r="P269" s="6">
        <f>SUMIF('JUNE (물량흐름)'!$C$13:$C$502,C269,'JUNE (물량흐름)'!$T$13:$T$502)+SUMIF('JUNE (물량흐름)'!$C$13:$C$502,C269,'JUNE (물량흐름)'!$V$13:$V$502)+SUMIF('JUNE (물량흐름)'!$C$13:$C$502,C269,'JUNE (물량흐름)'!$U$13:$U$502)-SUMIF('JUNE (물량흐름)'!$C$13:$C$502,C269,'JUNE (물량흐름)'!$Y$13:$Y$502)</f>
        <v>0</v>
      </c>
      <c r="Q269" s="6">
        <f t="shared" ref="Q269:Q332" si="61">IFERROR(ROUND(IF(OR(P269&lt;=0,($I269+$M269)=0),$P269*($K269+$O269)/($I269+$M269),$P269*($K269+$O269)/($H269+$L269)),0),0)</f>
        <v>0</v>
      </c>
      <c r="R269" s="6">
        <f>ROUND(IF(ISERROR(VLOOKUP(#REF!,'WIP(재공품)'!$B$12:$AB$38,13,0)),0,VLOOKUP(#REF!,'WIP(재공품)'!$B$12:$AB$38,13,0)),0)</f>
        <v>0</v>
      </c>
      <c r="S269" s="6">
        <f>IF(ISERROR(VLOOKUP(#REF!,'WIP(재공품)'!$B$12:$AB$38,10,0)),0,VLOOKUP(#REF!,'WIP(재공품)'!$B$12:$AB$38,10,0))</f>
        <v>0</v>
      </c>
      <c r="T269" s="6">
        <f>SUMIF('JUNE (물량흐름)'!$C$13:$C$502,'Direct labour(직접노무비)'!C269,'JUNE (물량흐름)'!$Y$13:$Y$502)</f>
        <v>0</v>
      </c>
      <c r="U269" s="6">
        <f t="shared" si="56"/>
        <v>0</v>
      </c>
      <c r="V269" s="6">
        <f>ROUND(SUMIF('JUNE (물량흐름)'!$C$13:$C$502,'Direct labour(직접노무비)'!C269,'JUNE (물량흐름)'!$N$13:$N$502),0)</f>
        <v>0</v>
      </c>
      <c r="W269" s="6">
        <f>ROUND(SUMIF('JUNE (물량흐름)'!$C$13:$C$502,'Direct labour(직접노무비)'!C269,'JUNE (물량흐름)'!$O$13:$O$502),0)</f>
        <v>347</v>
      </c>
      <c r="X269" s="6">
        <f>ROUND(SUMIF('JUNE (물량흐름)'!$C$13:$C$502,'Direct labour(직접노무비)'!C269,'JUNE (물량흐름)'!$P$13:$P$502),0)</f>
        <v>36</v>
      </c>
      <c r="Y269" s="6">
        <f t="shared" si="57"/>
        <v>383</v>
      </c>
      <c r="Z269" s="6">
        <f t="shared" si="58"/>
        <v>202</v>
      </c>
      <c r="AA269" s="6">
        <f t="shared" ref="AA269:AA332" si="62">IFERROR(ROUND(IF(OR(Z269&lt;=0,($I269+$M269)=0),$Z269*($K269+$O269)/($I269+$M269),$Y269*($K269+$O269)/($H269+$L269)),0),0)</f>
        <v>3477875</v>
      </c>
      <c r="AB269" s="389">
        <f t="shared" si="59"/>
        <v>0</v>
      </c>
      <c r="AC269" s="503">
        <f t="shared" si="51"/>
        <v>0</v>
      </c>
      <c r="AD269" s="389">
        <f t="shared" si="60"/>
        <v>0</v>
      </c>
    </row>
    <row r="270" spans="1:30" s="390" customFormat="1">
      <c r="A270" s="167">
        <v>260</v>
      </c>
      <c r="B270" s="267" t="str">
        <f>VLOOKUP(A270,'JUNE (물량흐름)'!$A$13:$C$502,2,0)</f>
        <v>ALFANI</v>
      </c>
      <c r="C270" s="240">
        <f>VLOOKUP(A270,'JUNE (물량흐름)'!$A$13:$C$502,3,0)</f>
        <v>100015224</v>
      </c>
      <c r="D270" s="6">
        <f>VLOOKUP(C270,'WIP(재공품)'!$B$12:$E$493,4,0)</f>
        <v>8163</v>
      </c>
      <c r="E270" s="6">
        <f>IFERROR(VLOOKUP(C270,O.B.JUNE!$AA$7:$AG$448,2,0),0)</f>
        <v>0</v>
      </c>
      <c r="F270" s="6">
        <f>IFERROR(VLOOKUP(C270,O.B.JUNE!$AA$7:$AG$448,3,0),0)</f>
        <v>0</v>
      </c>
      <c r="G270" s="6">
        <f>IFERROR(VLOOKUP(C270,O.B.JUNE!$AA$7:$AD$448,4,0),0)</f>
        <v>44</v>
      </c>
      <c r="H270" s="6">
        <f t="shared" si="53"/>
        <v>44</v>
      </c>
      <c r="I270" s="6">
        <f>IFERROR(VLOOKUP(C270,O.B.JUNE!$AA$7:$AF$448,6,0),0)</f>
        <v>35</v>
      </c>
      <c r="J270" s="6"/>
      <c r="K270" s="6">
        <f>IFERROR(VLOOKUP(C270,O.B.JUNE!$AA$7:$AG$448,7,0),0)</f>
        <v>615689</v>
      </c>
      <c r="L270" s="6">
        <f>SUMIF('JUNE (물량흐름)'!$C$13:$C$502,'Direct labour(직접노무비)'!C270,'JUNE (물량흐름)'!$H$13:$H$502)+SUMIF('JUNE (물량흐름)'!$C$13:$C$502,'Direct labour(직접노무비)'!C270,'JUNE (물량흐름)'!$I$13:$I$502)</f>
        <v>0</v>
      </c>
      <c r="M270" s="6">
        <f t="shared" si="54"/>
        <v>0</v>
      </c>
      <c r="N270" s="6">
        <f t="shared" si="55"/>
        <v>0</v>
      </c>
      <c r="O270" s="6">
        <f t="shared" si="52"/>
        <v>0</v>
      </c>
      <c r="P270" s="6">
        <f>SUMIF('JUNE (물량흐름)'!$C$13:$C$502,C270,'JUNE (물량흐름)'!$T$13:$T$502)+SUMIF('JUNE (물량흐름)'!$C$13:$C$502,C270,'JUNE (물량흐름)'!$V$13:$V$502)+SUMIF('JUNE (물량흐름)'!$C$13:$C$502,C270,'JUNE (물량흐름)'!$U$13:$U$502)-SUMIF('JUNE (물량흐름)'!$C$13:$C$502,C270,'JUNE (물량흐름)'!$Y$13:$Y$502)</f>
        <v>0</v>
      </c>
      <c r="Q270" s="6">
        <f t="shared" si="61"/>
        <v>0</v>
      </c>
      <c r="R270" s="6">
        <f>ROUND(IF(ISERROR(VLOOKUP(#REF!,'WIP(재공품)'!$B$12:$AB$38,13,0)),0,VLOOKUP(#REF!,'WIP(재공품)'!$B$12:$AB$38,13,0)),0)</f>
        <v>0</v>
      </c>
      <c r="S270" s="6">
        <f>IF(ISERROR(VLOOKUP(#REF!,'WIP(재공품)'!$B$12:$AB$38,10,0)),0,VLOOKUP(#REF!,'WIP(재공품)'!$B$12:$AB$38,10,0))</f>
        <v>0</v>
      </c>
      <c r="T270" s="6">
        <f>SUMIF('JUNE (물량흐름)'!$C$13:$C$502,'Direct labour(직접노무비)'!C270,'JUNE (물량흐름)'!$Y$13:$Y$502)</f>
        <v>0</v>
      </c>
      <c r="U270" s="6">
        <f t="shared" si="56"/>
        <v>0</v>
      </c>
      <c r="V270" s="6">
        <f>ROUND(SUMIF('JUNE (물량흐름)'!$C$13:$C$502,'Direct labour(직접노무비)'!C270,'JUNE (물량흐름)'!$N$13:$N$502),0)</f>
        <v>0</v>
      </c>
      <c r="W270" s="6">
        <f>ROUND(SUMIF('JUNE (물량흐름)'!$C$13:$C$502,'Direct labour(직접노무비)'!C270,'JUNE (물량흐름)'!$O$13:$O$502),0)</f>
        <v>0</v>
      </c>
      <c r="X270" s="6">
        <f>ROUND(SUMIF('JUNE (물량흐름)'!$C$13:$C$502,'Direct labour(직접노무비)'!C270,'JUNE (물량흐름)'!$P$13:$P$502),0)</f>
        <v>44</v>
      </c>
      <c r="Y270" s="6">
        <f t="shared" si="57"/>
        <v>44</v>
      </c>
      <c r="Z270" s="6">
        <f t="shared" si="58"/>
        <v>35</v>
      </c>
      <c r="AA270" s="6">
        <f t="shared" si="62"/>
        <v>615689</v>
      </c>
      <c r="AB270" s="389">
        <f t="shared" si="59"/>
        <v>0</v>
      </c>
      <c r="AC270" s="503">
        <f t="shared" si="51"/>
        <v>0</v>
      </c>
      <c r="AD270" s="389">
        <f t="shared" si="60"/>
        <v>0</v>
      </c>
    </row>
    <row r="271" spans="1:30" s="390" customFormat="1">
      <c r="A271" s="167">
        <v>261</v>
      </c>
      <c r="B271" s="267" t="str">
        <f>VLOOKUP(A271,'JUNE (물량흐름)'!$A$13:$C$502,2,0)</f>
        <v>ALFANI</v>
      </c>
      <c r="C271" s="240">
        <f>VLOOKUP(A271,'JUNE (물량흐름)'!$A$13:$C$502,3,0)</f>
        <v>100015225</v>
      </c>
      <c r="D271" s="6">
        <f>VLOOKUP(C271,'WIP(재공품)'!$B$12:$E$493,4,0)</f>
        <v>7940.4686046511624</v>
      </c>
      <c r="E271" s="6">
        <f>IFERROR(VLOOKUP(C271,O.B.JUNE!$AA$7:$AG$448,2,0),0)</f>
        <v>4</v>
      </c>
      <c r="F271" s="6">
        <f>IFERROR(VLOOKUP(C271,O.B.JUNE!$AA$7:$AG$448,3,0),0)</f>
        <v>34</v>
      </c>
      <c r="G271" s="6">
        <f>IFERROR(VLOOKUP(C271,O.B.JUNE!$AA$7:$AD$448,4,0),0)</f>
        <v>18</v>
      </c>
      <c r="H271" s="6">
        <f t="shared" si="53"/>
        <v>56</v>
      </c>
      <c r="I271" s="6">
        <f>IFERROR(VLOOKUP(C271,O.B.JUNE!$AA$7:$AF$448,6,0),0)</f>
        <v>32</v>
      </c>
      <c r="J271" s="6"/>
      <c r="K271" s="6">
        <f>IFERROR(VLOOKUP(C271,O.B.JUNE!$AA$7:$AG$448,7,0),0)</f>
        <v>1087892</v>
      </c>
      <c r="L271" s="6">
        <f>SUMIF('JUNE (물량흐름)'!$C$13:$C$502,'Direct labour(직접노무비)'!C271,'JUNE (물량흐름)'!$H$13:$H$502)+SUMIF('JUNE (물량흐름)'!$C$13:$C$502,'Direct labour(직접노무비)'!C271,'JUNE (물량흐름)'!$I$13:$I$502)</f>
        <v>0</v>
      </c>
      <c r="M271" s="6">
        <f t="shared" si="54"/>
        <v>0</v>
      </c>
      <c r="N271" s="6">
        <f t="shared" si="55"/>
        <v>0</v>
      </c>
      <c r="O271" s="6">
        <f t="shared" si="52"/>
        <v>0</v>
      </c>
      <c r="P271" s="6">
        <f>SUMIF('JUNE (물량흐름)'!$C$13:$C$502,C271,'JUNE (물량흐름)'!$T$13:$T$502)+SUMIF('JUNE (물량흐름)'!$C$13:$C$502,C271,'JUNE (물량흐름)'!$V$13:$V$502)+SUMIF('JUNE (물량흐름)'!$C$13:$C$502,C271,'JUNE (물량흐름)'!$U$13:$U$502)-SUMIF('JUNE (물량흐름)'!$C$13:$C$502,C271,'JUNE (물량흐름)'!$Y$13:$Y$502)</f>
        <v>0</v>
      </c>
      <c r="Q271" s="6">
        <f t="shared" si="61"/>
        <v>0</v>
      </c>
      <c r="R271" s="6">
        <f>ROUND(IF(ISERROR(VLOOKUP(#REF!,'WIP(재공품)'!$B$12:$AB$38,13,0)),0,VLOOKUP(#REF!,'WIP(재공품)'!$B$12:$AB$38,13,0)),0)</f>
        <v>0</v>
      </c>
      <c r="S271" s="6">
        <f>IF(ISERROR(VLOOKUP(#REF!,'WIP(재공품)'!$B$12:$AB$38,10,0)),0,VLOOKUP(#REF!,'WIP(재공품)'!$B$12:$AB$38,10,0))</f>
        <v>0</v>
      </c>
      <c r="T271" s="6">
        <f>SUMIF('JUNE (물량흐름)'!$C$13:$C$502,'Direct labour(직접노무비)'!C271,'JUNE (물량흐름)'!$Y$13:$Y$502)</f>
        <v>0</v>
      </c>
      <c r="U271" s="6">
        <f t="shared" si="56"/>
        <v>0</v>
      </c>
      <c r="V271" s="6">
        <f>ROUND(SUMIF('JUNE (물량흐름)'!$C$13:$C$502,'Direct labour(직접노무비)'!C271,'JUNE (물량흐름)'!$N$13:$N$502),0)</f>
        <v>4</v>
      </c>
      <c r="W271" s="6">
        <f>ROUND(SUMIF('JUNE (물량흐름)'!$C$13:$C$502,'Direct labour(직접노무비)'!C271,'JUNE (물량흐름)'!$O$13:$O$502),0)</f>
        <v>34</v>
      </c>
      <c r="X271" s="6">
        <f>ROUND(SUMIF('JUNE (물량흐름)'!$C$13:$C$502,'Direct labour(직접노무비)'!C271,'JUNE (물량흐름)'!$P$13:$P$502),0)</f>
        <v>18</v>
      </c>
      <c r="Y271" s="6">
        <f t="shared" si="57"/>
        <v>56</v>
      </c>
      <c r="Z271" s="6">
        <f t="shared" si="58"/>
        <v>32</v>
      </c>
      <c r="AA271" s="6">
        <f t="shared" si="62"/>
        <v>1087892</v>
      </c>
      <c r="AB271" s="389">
        <f t="shared" si="59"/>
        <v>0</v>
      </c>
      <c r="AC271" s="503">
        <f t="shared" si="51"/>
        <v>0</v>
      </c>
      <c r="AD271" s="389">
        <f t="shared" si="60"/>
        <v>0</v>
      </c>
    </row>
    <row r="272" spans="1:30" s="390" customFormat="1">
      <c r="A272" s="167">
        <v>262</v>
      </c>
      <c r="B272" s="267" t="str">
        <f>VLOOKUP(A272,'JUNE (물량흐름)'!$A$13:$C$502,2,0)</f>
        <v>ALFANI</v>
      </c>
      <c r="C272" s="240">
        <f>VLOOKUP(A272,'JUNE (물량흐름)'!$A$13:$C$502,3,0)</f>
        <v>100015357</v>
      </c>
      <c r="D272" s="6">
        <f>VLOOKUP(C272,'WIP(재공품)'!$B$12:$E$493,4,0)</f>
        <v>55553.750000000007</v>
      </c>
      <c r="E272" s="6">
        <f>IFERROR(VLOOKUP(C272,O.B.JUNE!$AA$7:$AG$448,2,0),0)</f>
        <v>0</v>
      </c>
      <c r="F272" s="6">
        <f>IFERROR(VLOOKUP(C272,O.B.JUNE!$AA$7:$AG$448,3,0),0)</f>
        <v>0</v>
      </c>
      <c r="G272" s="6">
        <f>IFERROR(VLOOKUP(C272,O.B.JUNE!$AA$7:$AD$448,4,0),0)</f>
        <v>44</v>
      </c>
      <c r="H272" s="6">
        <f t="shared" si="53"/>
        <v>44</v>
      </c>
      <c r="I272" s="6">
        <f>IFERROR(VLOOKUP(C272,O.B.JUNE!$AA$7:$AF$448,6,0),0)</f>
        <v>35</v>
      </c>
      <c r="J272" s="6"/>
      <c r="K272" s="6">
        <f>IFERROR(VLOOKUP(C272,O.B.JUNE!$AA$7:$AG$448,7,0),0)</f>
        <v>349495</v>
      </c>
      <c r="L272" s="6">
        <f>SUMIF('JUNE (물량흐름)'!$C$13:$C$502,'Direct labour(직접노무비)'!C272,'JUNE (물량흐름)'!$H$13:$H$502)+SUMIF('JUNE (물량흐름)'!$C$13:$C$502,'Direct labour(직접노무비)'!C272,'JUNE (물량흐름)'!$I$13:$I$502)</f>
        <v>0</v>
      </c>
      <c r="M272" s="6">
        <f t="shared" si="54"/>
        <v>0</v>
      </c>
      <c r="N272" s="6">
        <f t="shared" si="55"/>
        <v>0</v>
      </c>
      <c r="O272" s="6">
        <f t="shared" si="52"/>
        <v>0</v>
      </c>
      <c r="P272" s="6">
        <f>SUMIF('JUNE (물량흐름)'!$C$13:$C$502,C272,'JUNE (물량흐름)'!$T$13:$T$502)+SUMIF('JUNE (물량흐름)'!$C$13:$C$502,C272,'JUNE (물량흐름)'!$V$13:$V$502)+SUMIF('JUNE (물량흐름)'!$C$13:$C$502,C272,'JUNE (물량흐름)'!$U$13:$U$502)-SUMIF('JUNE (물량흐름)'!$C$13:$C$502,C272,'JUNE (물량흐름)'!$Y$13:$Y$502)</f>
        <v>0</v>
      </c>
      <c r="Q272" s="6">
        <f t="shared" si="61"/>
        <v>0</v>
      </c>
      <c r="R272" s="6">
        <f>ROUND(IF(ISERROR(VLOOKUP(#REF!,'WIP(재공품)'!$B$12:$AB$38,13,0)),0,VLOOKUP(#REF!,'WIP(재공품)'!$B$12:$AB$38,13,0)),0)</f>
        <v>0</v>
      </c>
      <c r="S272" s="6">
        <f>IF(ISERROR(VLOOKUP(#REF!,'WIP(재공품)'!$B$12:$AB$38,10,0)),0,VLOOKUP(#REF!,'WIP(재공품)'!$B$12:$AB$38,10,0))</f>
        <v>0</v>
      </c>
      <c r="T272" s="6">
        <f>SUMIF('JUNE (물량흐름)'!$C$13:$C$502,'Direct labour(직접노무비)'!C272,'JUNE (물량흐름)'!$Y$13:$Y$502)</f>
        <v>0</v>
      </c>
      <c r="U272" s="6">
        <f t="shared" si="56"/>
        <v>0</v>
      </c>
      <c r="V272" s="6">
        <f>ROUND(SUMIF('JUNE (물량흐름)'!$C$13:$C$502,'Direct labour(직접노무비)'!C272,'JUNE (물량흐름)'!$N$13:$N$502),0)</f>
        <v>0</v>
      </c>
      <c r="W272" s="6">
        <f>ROUND(SUMIF('JUNE (물량흐름)'!$C$13:$C$502,'Direct labour(직접노무비)'!C272,'JUNE (물량흐름)'!$O$13:$O$502),0)</f>
        <v>0</v>
      </c>
      <c r="X272" s="6">
        <f>ROUND(SUMIF('JUNE (물량흐름)'!$C$13:$C$502,'Direct labour(직접노무비)'!C272,'JUNE (물량흐름)'!$P$13:$P$502),0)</f>
        <v>44</v>
      </c>
      <c r="Y272" s="6">
        <f t="shared" si="57"/>
        <v>44</v>
      </c>
      <c r="Z272" s="6">
        <f t="shared" si="58"/>
        <v>35</v>
      </c>
      <c r="AA272" s="6">
        <f t="shared" si="62"/>
        <v>349495</v>
      </c>
      <c r="AB272" s="389">
        <f t="shared" si="59"/>
        <v>0</v>
      </c>
      <c r="AC272" s="503">
        <f t="shared" si="51"/>
        <v>0</v>
      </c>
      <c r="AD272" s="389">
        <f t="shared" si="60"/>
        <v>0</v>
      </c>
    </row>
    <row r="273" spans="1:30" s="390" customFormat="1">
      <c r="A273" s="167">
        <v>263</v>
      </c>
      <c r="B273" s="267" t="str">
        <f>VLOOKUP(A273,'JUNE (물량흐름)'!$A$13:$C$502,2,0)</f>
        <v>ALFANI</v>
      </c>
      <c r="C273" s="240">
        <f>VLOOKUP(A273,'JUNE (물량흐름)'!$A$13:$C$502,3,0)</f>
        <v>100022985</v>
      </c>
      <c r="D273" s="6">
        <f>VLOOKUP(C273,'WIP(재공품)'!$B$12:$E$493,4,0)</f>
        <v>8163</v>
      </c>
      <c r="E273" s="6">
        <f>IFERROR(VLOOKUP(C273,O.B.JUNE!$AA$7:$AG$448,2,0),0)</f>
        <v>0</v>
      </c>
      <c r="F273" s="6">
        <f>IFERROR(VLOOKUP(C273,O.B.JUNE!$AA$7:$AG$448,3,0),0)</f>
        <v>0</v>
      </c>
      <c r="G273" s="6">
        <f>IFERROR(VLOOKUP(C273,O.B.JUNE!$AA$7:$AD$448,4,0),0)</f>
        <v>42</v>
      </c>
      <c r="H273" s="6">
        <f t="shared" si="53"/>
        <v>42</v>
      </c>
      <c r="I273" s="6">
        <f>IFERROR(VLOOKUP(C273,O.B.JUNE!$AA$7:$AF$448,6,0),0)</f>
        <v>34</v>
      </c>
      <c r="J273" s="6"/>
      <c r="K273" s="6">
        <f>IFERROR(VLOOKUP(C273,O.B.JUNE!$AA$7:$AG$448,7,0),0)</f>
        <v>890709</v>
      </c>
      <c r="L273" s="6">
        <f>SUMIF('JUNE (물량흐름)'!$C$13:$C$502,'Direct labour(직접노무비)'!C273,'JUNE (물량흐름)'!$H$13:$H$502)+SUMIF('JUNE (물량흐름)'!$C$13:$C$502,'Direct labour(직접노무비)'!C273,'JUNE (물량흐름)'!$I$13:$I$502)</f>
        <v>0</v>
      </c>
      <c r="M273" s="6">
        <f t="shared" si="54"/>
        <v>0</v>
      </c>
      <c r="N273" s="6">
        <f t="shared" si="55"/>
        <v>0</v>
      </c>
      <c r="O273" s="6">
        <f t="shared" si="52"/>
        <v>0</v>
      </c>
      <c r="P273" s="6">
        <f>SUMIF('JUNE (물량흐름)'!$C$13:$C$502,C273,'JUNE (물량흐름)'!$T$13:$T$502)+SUMIF('JUNE (물량흐름)'!$C$13:$C$502,C273,'JUNE (물량흐름)'!$V$13:$V$502)+SUMIF('JUNE (물량흐름)'!$C$13:$C$502,C273,'JUNE (물량흐름)'!$U$13:$U$502)-SUMIF('JUNE (물량흐름)'!$C$13:$C$502,C273,'JUNE (물량흐름)'!$Y$13:$Y$502)</f>
        <v>0</v>
      </c>
      <c r="Q273" s="6">
        <f t="shared" si="61"/>
        <v>0</v>
      </c>
      <c r="R273" s="6">
        <f>ROUND(IF(ISERROR(VLOOKUP(#REF!,'WIP(재공품)'!$B$12:$AB$38,13,0)),0,VLOOKUP(#REF!,'WIP(재공품)'!$B$12:$AB$38,13,0)),0)</f>
        <v>0</v>
      </c>
      <c r="S273" s="6">
        <f>IF(ISERROR(VLOOKUP(#REF!,'WIP(재공품)'!$B$12:$AB$38,10,0)),0,VLOOKUP(#REF!,'WIP(재공품)'!$B$12:$AB$38,10,0))</f>
        <v>0</v>
      </c>
      <c r="T273" s="6">
        <f>SUMIF('JUNE (물량흐름)'!$C$13:$C$502,'Direct labour(직접노무비)'!C273,'JUNE (물량흐름)'!$Y$13:$Y$502)</f>
        <v>0</v>
      </c>
      <c r="U273" s="6">
        <f t="shared" si="56"/>
        <v>0</v>
      </c>
      <c r="V273" s="6">
        <f>ROUND(SUMIF('JUNE (물량흐름)'!$C$13:$C$502,'Direct labour(직접노무비)'!C273,'JUNE (물량흐름)'!$N$13:$N$502),0)</f>
        <v>0</v>
      </c>
      <c r="W273" s="6">
        <f>ROUND(SUMIF('JUNE (물량흐름)'!$C$13:$C$502,'Direct labour(직접노무비)'!C273,'JUNE (물량흐름)'!$O$13:$O$502),0)</f>
        <v>0</v>
      </c>
      <c r="X273" s="6">
        <f>ROUND(SUMIF('JUNE (물량흐름)'!$C$13:$C$502,'Direct labour(직접노무비)'!C273,'JUNE (물량흐름)'!$P$13:$P$502),0)</f>
        <v>42</v>
      </c>
      <c r="Y273" s="6">
        <f t="shared" si="57"/>
        <v>42</v>
      </c>
      <c r="Z273" s="6">
        <f t="shared" si="58"/>
        <v>34</v>
      </c>
      <c r="AA273" s="6">
        <f t="shared" si="62"/>
        <v>890709</v>
      </c>
      <c r="AB273" s="389">
        <f t="shared" si="59"/>
        <v>0</v>
      </c>
      <c r="AC273" s="503">
        <f t="shared" si="51"/>
        <v>0</v>
      </c>
      <c r="AD273" s="389">
        <f t="shared" si="60"/>
        <v>0</v>
      </c>
    </row>
    <row r="274" spans="1:30" s="390" customFormat="1">
      <c r="A274" s="167">
        <v>264</v>
      </c>
      <c r="B274" s="267" t="str">
        <f>VLOOKUP(A274,'JUNE (물량흐름)'!$A$13:$C$502,2,0)</f>
        <v>ALFANI</v>
      </c>
      <c r="C274" s="240">
        <f>VLOOKUP(A274,'JUNE (물량흐름)'!$A$13:$C$502,3,0)</f>
        <v>100024114</v>
      </c>
      <c r="D274" s="6">
        <f>VLOOKUP(C274,'WIP(재공품)'!$B$12:$E$493,4,0)</f>
        <v>8163</v>
      </c>
      <c r="E274" s="6">
        <f>IFERROR(VLOOKUP(C274,O.B.JUNE!$AA$7:$AG$448,2,0),0)</f>
        <v>0</v>
      </c>
      <c r="F274" s="6">
        <f>IFERROR(VLOOKUP(C274,O.B.JUNE!$AA$7:$AG$448,3,0),0)</f>
        <v>0</v>
      </c>
      <c r="G274" s="6">
        <f>IFERROR(VLOOKUP(C274,O.B.JUNE!$AA$7:$AD$448,4,0),0)</f>
        <v>26</v>
      </c>
      <c r="H274" s="6">
        <f t="shared" si="53"/>
        <v>26</v>
      </c>
      <c r="I274" s="6">
        <f>IFERROR(VLOOKUP(C274,O.B.JUNE!$AA$7:$AF$448,6,0),0)</f>
        <v>21</v>
      </c>
      <c r="J274" s="6"/>
      <c r="K274" s="6">
        <f>IFERROR(VLOOKUP(C274,O.B.JUNE!$AA$7:$AG$448,7,0),0)</f>
        <v>432458</v>
      </c>
      <c r="L274" s="6">
        <f>SUMIF('JUNE (물량흐름)'!$C$13:$C$502,'Direct labour(직접노무비)'!C274,'JUNE (물량흐름)'!$H$13:$H$502)+SUMIF('JUNE (물량흐름)'!$C$13:$C$502,'Direct labour(직접노무비)'!C274,'JUNE (물량흐름)'!$I$13:$I$502)</f>
        <v>0</v>
      </c>
      <c r="M274" s="6">
        <f t="shared" si="54"/>
        <v>0</v>
      </c>
      <c r="N274" s="6">
        <f t="shared" si="55"/>
        <v>0</v>
      </c>
      <c r="O274" s="6">
        <f t="shared" si="52"/>
        <v>0</v>
      </c>
      <c r="P274" s="6">
        <f>SUMIF('JUNE (물량흐름)'!$C$13:$C$502,C274,'JUNE (물량흐름)'!$T$13:$T$502)+SUMIF('JUNE (물량흐름)'!$C$13:$C$502,C274,'JUNE (물량흐름)'!$V$13:$V$502)+SUMIF('JUNE (물량흐름)'!$C$13:$C$502,C274,'JUNE (물량흐름)'!$U$13:$U$502)-SUMIF('JUNE (물량흐름)'!$C$13:$C$502,C274,'JUNE (물량흐름)'!$Y$13:$Y$502)</f>
        <v>0</v>
      </c>
      <c r="Q274" s="6">
        <f t="shared" si="61"/>
        <v>0</v>
      </c>
      <c r="R274" s="6">
        <f>ROUND(IF(ISERROR(VLOOKUP(#REF!,'WIP(재공품)'!$B$12:$AB$38,13,0)),0,VLOOKUP(#REF!,'WIP(재공품)'!$B$12:$AB$38,13,0)),0)</f>
        <v>0</v>
      </c>
      <c r="S274" s="6">
        <f>IF(ISERROR(VLOOKUP(#REF!,'WIP(재공품)'!$B$12:$AB$38,10,0)),0,VLOOKUP(#REF!,'WIP(재공품)'!$B$12:$AB$38,10,0))</f>
        <v>0</v>
      </c>
      <c r="T274" s="6">
        <f>SUMIF('JUNE (물량흐름)'!$C$13:$C$502,'Direct labour(직접노무비)'!C274,'JUNE (물량흐름)'!$Y$13:$Y$502)</f>
        <v>0</v>
      </c>
      <c r="U274" s="6">
        <f t="shared" si="56"/>
        <v>0</v>
      </c>
      <c r="V274" s="6">
        <f>ROUND(SUMIF('JUNE (물량흐름)'!$C$13:$C$502,'Direct labour(직접노무비)'!C274,'JUNE (물량흐름)'!$N$13:$N$502),0)</f>
        <v>0</v>
      </c>
      <c r="W274" s="6">
        <f>ROUND(SUMIF('JUNE (물량흐름)'!$C$13:$C$502,'Direct labour(직접노무비)'!C274,'JUNE (물량흐름)'!$O$13:$O$502),0)</f>
        <v>0</v>
      </c>
      <c r="X274" s="6">
        <f>ROUND(SUMIF('JUNE (물량흐름)'!$C$13:$C$502,'Direct labour(직접노무비)'!C274,'JUNE (물량흐름)'!$P$13:$P$502),0)</f>
        <v>26</v>
      </c>
      <c r="Y274" s="6">
        <f t="shared" si="57"/>
        <v>26</v>
      </c>
      <c r="Z274" s="6">
        <f t="shared" si="58"/>
        <v>21</v>
      </c>
      <c r="AA274" s="6">
        <f t="shared" si="62"/>
        <v>432458</v>
      </c>
      <c r="AB274" s="389">
        <f t="shared" si="59"/>
        <v>0</v>
      </c>
      <c r="AC274" s="503">
        <f t="shared" si="51"/>
        <v>0</v>
      </c>
      <c r="AD274" s="389">
        <f t="shared" si="60"/>
        <v>0</v>
      </c>
    </row>
    <row r="275" spans="1:30" s="390" customFormat="1">
      <c r="A275" s="167">
        <v>266</v>
      </c>
      <c r="B275" s="267" t="str">
        <f>VLOOKUP(A275,'JUNE (물량흐름)'!$A$13:$C$502,2,0)</f>
        <v>ALFANI</v>
      </c>
      <c r="C275" s="240">
        <f>VLOOKUP(A275,'JUNE (물량흐름)'!$A$13:$C$502,3,0)</f>
        <v>100021859</v>
      </c>
      <c r="D275" s="6">
        <f>VLOOKUP(C275,'WIP(재공품)'!$B$12:$E$493,4,0)</f>
        <v>7936.2499999999991</v>
      </c>
      <c r="E275" s="6">
        <f>IFERROR(VLOOKUP(C275,O.B.JUNE!$AA$7:$AG$448,2,0),0)</f>
        <v>0</v>
      </c>
      <c r="F275" s="6">
        <f>IFERROR(VLOOKUP(C275,O.B.JUNE!$AA$7:$AG$448,3,0),0)</f>
        <v>0</v>
      </c>
      <c r="G275" s="6">
        <f>IFERROR(VLOOKUP(C275,O.B.JUNE!$AA$7:$AD$448,4,0),0)</f>
        <v>174</v>
      </c>
      <c r="H275" s="6">
        <f t="shared" si="53"/>
        <v>174</v>
      </c>
      <c r="I275" s="6">
        <f>IFERROR(VLOOKUP(C275,O.B.JUNE!$AA$7:$AF$448,6,0),0)</f>
        <v>139</v>
      </c>
      <c r="J275" s="6"/>
      <c r="K275" s="6">
        <f>IFERROR(VLOOKUP(C275,O.B.JUNE!$AA$7:$AG$448,7,0),0)</f>
        <v>4154367</v>
      </c>
      <c r="L275" s="6">
        <f>SUMIF('JUNE (물량흐름)'!$C$13:$C$502,'Direct labour(직접노무비)'!C275,'JUNE (물량흐름)'!$H$13:$H$502)+SUMIF('JUNE (물량흐름)'!$C$13:$C$502,'Direct labour(직접노무비)'!C275,'JUNE (물량흐름)'!$I$13:$I$502)</f>
        <v>0</v>
      </c>
      <c r="M275" s="6">
        <f t="shared" si="54"/>
        <v>0</v>
      </c>
      <c r="N275" s="6">
        <f t="shared" si="55"/>
        <v>0</v>
      </c>
      <c r="O275" s="6">
        <f t="shared" si="52"/>
        <v>0</v>
      </c>
      <c r="P275" s="6">
        <f>SUMIF('JUNE (물량흐름)'!$C$13:$C$502,C275,'JUNE (물량흐름)'!$T$13:$T$502)+SUMIF('JUNE (물량흐름)'!$C$13:$C$502,C275,'JUNE (물량흐름)'!$V$13:$V$502)+SUMIF('JUNE (물량흐름)'!$C$13:$C$502,C275,'JUNE (물량흐름)'!$U$13:$U$502)-SUMIF('JUNE (물량흐름)'!$C$13:$C$502,C275,'JUNE (물량흐름)'!$Y$13:$Y$502)</f>
        <v>0</v>
      </c>
      <c r="Q275" s="6">
        <f t="shared" si="61"/>
        <v>0</v>
      </c>
      <c r="R275" s="6">
        <f>ROUND(IF(ISERROR(VLOOKUP(#REF!,'WIP(재공품)'!$B$12:$AB$38,13,0)),0,VLOOKUP(#REF!,'WIP(재공품)'!$B$12:$AB$38,13,0)),0)</f>
        <v>0</v>
      </c>
      <c r="S275" s="6">
        <f>IF(ISERROR(VLOOKUP(#REF!,'WIP(재공품)'!$B$12:$AB$38,10,0)),0,VLOOKUP(#REF!,'WIP(재공품)'!$B$12:$AB$38,10,0))</f>
        <v>0</v>
      </c>
      <c r="T275" s="6">
        <f>SUMIF('JUNE (물량흐름)'!$C$13:$C$502,'Direct labour(직접노무비)'!C275,'JUNE (물량흐름)'!$Y$13:$Y$502)</f>
        <v>0</v>
      </c>
      <c r="U275" s="6">
        <f t="shared" si="56"/>
        <v>0</v>
      </c>
      <c r="V275" s="6">
        <f>ROUND(SUMIF('JUNE (물량흐름)'!$C$13:$C$502,'Direct labour(직접노무비)'!C275,'JUNE (물량흐름)'!$N$13:$N$502),0)</f>
        <v>0</v>
      </c>
      <c r="W275" s="6">
        <f>ROUND(SUMIF('JUNE (물량흐름)'!$C$13:$C$502,'Direct labour(직접노무비)'!C275,'JUNE (물량흐름)'!$O$13:$O$502),0)</f>
        <v>0</v>
      </c>
      <c r="X275" s="6">
        <f>ROUND(SUMIF('JUNE (물량흐름)'!$C$13:$C$502,'Direct labour(직접노무비)'!C275,'JUNE (물량흐름)'!$P$13:$P$502),0)</f>
        <v>174</v>
      </c>
      <c r="Y275" s="6">
        <f t="shared" si="57"/>
        <v>174</v>
      </c>
      <c r="Z275" s="6">
        <f t="shared" si="58"/>
        <v>139</v>
      </c>
      <c r="AA275" s="6">
        <f t="shared" si="62"/>
        <v>4154367</v>
      </c>
      <c r="AB275" s="389">
        <f t="shared" si="59"/>
        <v>0</v>
      </c>
      <c r="AC275" s="503">
        <f t="shared" si="51"/>
        <v>0</v>
      </c>
      <c r="AD275" s="389">
        <f t="shared" si="60"/>
        <v>0</v>
      </c>
    </row>
    <row r="276" spans="1:30" s="390" customFormat="1">
      <c r="A276" s="167">
        <v>268</v>
      </c>
      <c r="B276" s="267" t="str">
        <f>VLOOKUP(A276,'JUNE (물량흐름)'!$A$13:$C$502,2,0)</f>
        <v>TALBOTS</v>
      </c>
      <c r="C276" s="240">
        <f>VLOOKUP(A276,'JUNE (물량흐름)'!$A$13:$C$502,3,0)</f>
        <v>182034355</v>
      </c>
      <c r="D276" s="6">
        <f>VLOOKUP(C276,'WIP(재공품)'!$B$12:$E$493,4,0)</f>
        <v>8163</v>
      </c>
      <c r="E276" s="6">
        <f>IFERROR(VLOOKUP(C276,O.B.JUNE!$AA$7:$AG$448,2,0),0)</f>
        <v>0</v>
      </c>
      <c r="F276" s="6">
        <f>IFERROR(VLOOKUP(C276,O.B.JUNE!$AA$7:$AG$448,3,0),0)</f>
        <v>11</v>
      </c>
      <c r="G276" s="6">
        <f>IFERROR(VLOOKUP(C276,O.B.JUNE!$AA$7:$AD$448,4,0),0)</f>
        <v>72</v>
      </c>
      <c r="H276" s="6">
        <f t="shared" si="53"/>
        <v>83</v>
      </c>
      <c r="I276" s="6">
        <f>IFERROR(VLOOKUP(C276,O.B.JUNE!$AA$7:$AF$448,6,0),0)</f>
        <v>63</v>
      </c>
      <c r="J276" s="6"/>
      <c r="K276" s="6">
        <f>IFERROR(VLOOKUP(C276,O.B.JUNE!$AA$7:$AG$448,7,0),0)</f>
        <v>1302313</v>
      </c>
      <c r="L276" s="6">
        <f>SUMIF('JUNE (물량흐름)'!$C$13:$C$502,'Direct labour(직접노무비)'!C276,'JUNE (물량흐름)'!$H$13:$H$502)+SUMIF('JUNE (물량흐름)'!$C$13:$C$502,'Direct labour(직접노무비)'!C276,'JUNE (물량흐름)'!$I$13:$I$502)</f>
        <v>0</v>
      </c>
      <c r="M276" s="6">
        <f t="shared" si="54"/>
        <v>0</v>
      </c>
      <c r="N276" s="6">
        <f t="shared" si="55"/>
        <v>0</v>
      </c>
      <c r="O276" s="6">
        <f t="shared" si="52"/>
        <v>0</v>
      </c>
      <c r="P276" s="6">
        <f>SUMIF('JUNE (물량흐름)'!$C$13:$C$502,C276,'JUNE (물량흐름)'!$T$13:$T$502)+SUMIF('JUNE (물량흐름)'!$C$13:$C$502,C276,'JUNE (물량흐름)'!$V$13:$V$502)+SUMIF('JUNE (물량흐름)'!$C$13:$C$502,C276,'JUNE (물량흐름)'!$U$13:$U$502)-SUMIF('JUNE (물량흐름)'!$C$13:$C$502,C276,'JUNE (물량흐름)'!$Y$13:$Y$502)</f>
        <v>0</v>
      </c>
      <c r="Q276" s="6">
        <f t="shared" si="61"/>
        <v>0</v>
      </c>
      <c r="R276" s="6">
        <f>ROUND(IF(ISERROR(VLOOKUP(#REF!,'WIP(재공품)'!$B$12:$AB$38,13,0)),0,VLOOKUP(#REF!,'WIP(재공품)'!$B$12:$AB$38,13,0)),0)</f>
        <v>0</v>
      </c>
      <c r="S276" s="6">
        <f>IF(ISERROR(VLOOKUP(#REF!,'WIP(재공품)'!$B$12:$AB$38,10,0)),0,VLOOKUP(#REF!,'WIP(재공품)'!$B$12:$AB$38,10,0))</f>
        <v>0</v>
      </c>
      <c r="T276" s="6">
        <f>SUMIF('JUNE (물량흐름)'!$C$13:$C$502,'Direct labour(직접노무비)'!C276,'JUNE (물량흐름)'!$Y$13:$Y$502)</f>
        <v>0</v>
      </c>
      <c r="U276" s="6">
        <f t="shared" si="56"/>
        <v>0</v>
      </c>
      <c r="V276" s="6">
        <f>ROUND(SUMIF('JUNE (물량흐름)'!$C$13:$C$502,'Direct labour(직접노무비)'!C276,'JUNE (물량흐름)'!$N$13:$N$502),0)</f>
        <v>0</v>
      </c>
      <c r="W276" s="6">
        <f>ROUND(SUMIF('JUNE (물량흐름)'!$C$13:$C$502,'Direct labour(직접노무비)'!C276,'JUNE (물량흐름)'!$O$13:$O$502),0)</f>
        <v>56</v>
      </c>
      <c r="X276" s="6">
        <f>ROUND(SUMIF('JUNE (물량흐름)'!$C$13:$C$502,'Direct labour(직접노무비)'!C276,'JUNE (물량흐름)'!$P$13:$P$502),0)</f>
        <v>27</v>
      </c>
      <c r="Y276" s="6">
        <f t="shared" si="57"/>
        <v>83</v>
      </c>
      <c r="Z276" s="6">
        <f t="shared" si="58"/>
        <v>50</v>
      </c>
      <c r="AA276" s="6">
        <f t="shared" si="62"/>
        <v>1302313</v>
      </c>
      <c r="AB276" s="389">
        <f t="shared" si="59"/>
        <v>0</v>
      </c>
      <c r="AC276" s="503">
        <f t="shared" si="51"/>
        <v>0</v>
      </c>
      <c r="AD276" s="389">
        <f t="shared" si="60"/>
        <v>0</v>
      </c>
    </row>
    <row r="277" spans="1:30" s="390" customFormat="1">
      <c r="A277" s="167">
        <v>269</v>
      </c>
      <c r="B277" s="267" t="str">
        <f>VLOOKUP(A277,'JUNE (물량흐름)'!$A$13:$C$502,2,0)</f>
        <v>TALBOTS</v>
      </c>
      <c r="C277" s="240">
        <f>VLOOKUP(A277,'JUNE (물량흐름)'!$A$13:$C$502,3,0)</f>
        <v>182034365</v>
      </c>
      <c r="D277" s="6">
        <f>VLOOKUP(C277,'WIP(재공품)'!$B$12:$E$493,4,0)</f>
        <v>8163</v>
      </c>
      <c r="E277" s="6">
        <f>IFERROR(VLOOKUP(C277,O.B.JUNE!$AA$7:$AG$448,2,0),0)</f>
        <v>9</v>
      </c>
      <c r="F277" s="6">
        <f>IFERROR(VLOOKUP(C277,O.B.JUNE!$AA$7:$AG$448,3,0),0)</f>
        <v>194</v>
      </c>
      <c r="G277" s="6">
        <f>IFERROR(VLOOKUP(C277,O.B.JUNE!$AA$7:$AD$448,4,0),0)</f>
        <v>472</v>
      </c>
      <c r="H277" s="6">
        <f t="shared" si="53"/>
        <v>675</v>
      </c>
      <c r="I277" s="6">
        <f>IFERROR(VLOOKUP(C277,O.B.JUNE!$AA$7:$AF$448,6,0),0)</f>
        <v>476</v>
      </c>
      <c r="J277" s="6"/>
      <c r="K277" s="6">
        <f>IFERROR(VLOOKUP(C277,O.B.JUNE!$AA$7:$AG$448,7,0),0)</f>
        <v>14575266</v>
      </c>
      <c r="L277" s="6">
        <f>SUMIF('JUNE (물량흐름)'!$C$13:$C$502,'Direct labour(직접노무비)'!C277,'JUNE (물량흐름)'!$H$13:$H$502)+SUMIF('JUNE (물량흐름)'!$C$13:$C$502,'Direct labour(직접노무비)'!C277,'JUNE (물량흐름)'!$I$13:$I$502)</f>
        <v>0</v>
      </c>
      <c r="M277" s="6">
        <f t="shared" si="54"/>
        <v>0</v>
      </c>
      <c r="N277" s="6">
        <f t="shared" si="55"/>
        <v>0</v>
      </c>
      <c r="O277" s="6">
        <f t="shared" si="52"/>
        <v>0</v>
      </c>
      <c r="P277" s="6">
        <f>SUMIF('JUNE (물량흐름)'!$C$13:$C$502,C277,'JUNE (물량흐름)'!$T$13:$T$502)+SUMIF('JUNE (물량흐름)'!$C$13:$C$502,C277,'JUNE (물량흐름)'!$V$13:$V$502)+SUMIF('JUNE (물량흐름)'!$C$13:$C$502,C277,'JUNE (물량흐름)'!$U$13:$U$502)-SUMIF('JUNE (물량흐름)'!$C$13:$C$502,C277,'JUNE (물량흐름)'!$Y$13:$Y$502)</f>
        <v>0</v>
      </c>
      <c r="Q277" s="6">
        <f t="shared" si="61"/>
        <v>0</v>
      </c>
      <c r="R277" s="6">
        <f>ROUND(IF(ISERROR(VLOOKUP(#REF!,'WIP(재공품)'!$B$12:$AB$38,13,0)),0,VLOOKUP(#REF!,'WIP(재공품)'!$B$12:$AB$38,13,0)),0)</f>
        <v>0</v>
      </c>
      <c r="S277" s="6">
        <f>IF(ISERROR(VLOOKUP(#REF!,'WIP(재공품)'!$B$12:$AB$38,10,0)),0,VLOOKUP(#REF!,'WIP(재공품)'!$B$12:$AB$38,10,0))</f>
        <v>0</v>
      </c>
      <c r="T277" s="6">
        <f>SUMIF('JUNE (물량흐름)'!$C$13:$C$502,'Direct labour(직접노무비)'!C277,'JUNE (물량흐름)'!$Y$13:$Y$502)</f>
        <v>0</v>
      </c>
      <c r="U277" s="6">
        <f t="shared" si="56"/>
        <v>0</v>
      </c>
      <c r="V277" s="6">
        <f>ROUND(SUMIF('JUNE (물량흐름)'!$C$13:$C$502,'Direct labour(직접노무비)'!C277,'JUNE (물량흐름)'!$N$13:$N$502),0)</f>
        <v>6</v>
      </c>
      <c r="W277" s="6">
        <f>ROUND(SUMIF('JUNE (물량흐름)'!$C$13:$C$502,'Direct labour(직접노무비)'!C277,'JUNE (물량흐름)'!$O$13:$O$502),0)</f>
        <v>195</v>
      </c>
      <c r="X277" s="6">
        <f>ROUND(SUMIF('JUNE (물량흐름)'!$C$13:$C$502,'Direct labour(직접노무비)'!C277,'JUNE (물량흐름)'!$P$13:$P$502),0)</f>
        <v>474</v>
      </c>
      <c r="Y277" s="6">
        <f t="shared" si="57"/>
        <v>675</v>
      </c>
      <c r="Z277" s="6">
        <f t="shared" si="58"/>
        <v>478</v>
      </c>
      <c r="AA277" s="6">
        <f t="shared" si="62"/>
        <v>14575266</v>
      </c>
      <c r="AB277" s="389">
        <f t="shared" si="59"/>
        <v>0</v>
      </c>
      <c r="AC277" s="503">
        <f t="shared" si="51"/>
        <v>0</v>
      </c>
      <c r="AD277" s="389">
        <f t="shared" si="60"/>
        <v>0</v>
      </c>
    </row>
    <row r="278" spans="1:30" s="390" customFormat="1">
      <c r="A278" s="167">
        <v>270</v>
      </c>
      <c r="B278" s="267" t="str">
        <f>VLOOKUP(A278,'JUNE (물량흐름)'!$A$13:$C$502,2,0)</f>
        <v>ANN TAYLOR</v>
      </c>
      <c r="C278" s="240">
        <f>VLOOKUP(A278,'JUNE (물량흐름)'!$A$13:$C$502,3,0)</f>
        <v>463036</v>
      </c>
      <c r="D278" s="6">
        <f>VLOOKUP(C278,'WIP(재공품)'!$B$12:$E$493,4,0)</f>
        <v>7936.2499999999991</v>
      </c>
      <c r="E278" s="6">
        <f>IFERROR(VLOOKUP(C278,O.B.JUNE!$AA$7:$AG$448,2,0),0)</f>
        <v>31</v>
      </c>
      <c r="F278" s="6">
        <f>IFERROR(VLOOKUP(C278,O.B.JUNE!$AA$7:$AG$448,3,0),0)</f>
        <v>172</v>
      </c>
      <c r="G278" s="6">
        <f>IFERROR(VLOOKUP(C278,O.B.JUNE!$AA$7:$AD$448,4,0),0)</f>
        <v>227</v>
      </c>
      <c r="H278" s="6">
        <f t="shared" si="53"/>
        <v>430</v>
      </c>
      <c r="I278" s="6">
        <f>IFERROR(VLOOKUP(C278,O.B.JUNE!$AA$7:$AF$448,6,0),0)</f>
        <v>274</v>
      </c>
      <c r="J278" s="6"/>
      <c r="K278" s="6">
        <f>IFERROR(VLOOKUP(C278,O.B.JUNE!$AA$7:$AG$448,7,0),0)</f>
        <v>4451506</v>
      </c>
      <c r="L278" s="6">
        <f>SUMIF('JUNE (물량흐름)'!$C$13:$C$502,'Direct labour(직접노무비)'!C278,'JUNE (물량흐름)'!$H$13:$H$502)+SUMIF('JUNE (물량흐름)'!$C$13:$C$502,'Direct labour(직접노무비)'!C278,'JUNE (물량흐름)'!$I$13:$I$502)</f>
        <v>0</v>
      </c>
      <c r="M278" s="6">
        <f t="shared" si="54"/>
        <v>0</v>
      </c>
      <c r="N278" s="6">
        <f t="shared" si="55"/>
        <v>0</v>
      </c>
      <c r="O278" s="6">
        <f t="shared" si="52"/>
        <v>0</v>
      </c>
      <c r="P278" s="6">
        <f>SUMIF('JUNE (물량흐름)'!$C$13:$C$502,C278,'JUNE (물량흐름)'!$T$13:$T$502)+SUMIF('JUNE (물량흐름)'!$C$13:$C$502,C278,'JUNE (물량흐름)'!$V$13:$V$502)+SUMIF('JUNE (물량흐름)'!$C$13:$C$502,C278,'JUNE (물량흐름)'!$U$13:$U$502)-SUMIF('JUNE (물량흐름)'!$C$13:$C$502,C278,'JUNE (물량흐름)'!$Y$13:$Y$502)</f>
        <v>0</v>
      </c>
      <c r="Q278" s="6">
        <f t="shared" si="61"/>
        <v>0</v>
      </c>
      <c r="R278" s="6">
        <f>ROUND(IF(ISERROR(VLOOKUP(#REF!,'WIP(재공품)'!$B$12:$AB$38,13,0)),0,VLOOKUP(#REF!,'WIP(재공품)'!$B$12:$AB$38,13,0)),0)</f>
        <v>0</v>
      </c>
      <c r="S278" s="6">
        <f>IF(ISERROR(VLOOKUP(#REF!,'WIP(재공품)'!$B$12:$AB$38,10,0)),0,VLOOKUP(#REF!,'WIP(재공품)'!$B$12:$AB$38,10,0))</f>
        <v>0</v>
      </c>
      <c r="T278" s="6">
        <f>SUMIF('JUNE (물량흐름)'!$C$13:$C$502,'Direct labour(직접노무비)'!C278,'JUNE (물량흐름)'!$Y$13:$Y$502)</f>
        <v>0</v>
      </c>
      <c r="U278" s="6">
        <f t="shared" si="56"/>
        <v>0</v>
      </c>
      <c r="V278" s="6">
        <f>ROUND(SUMIF('JUNE (물량흐름)'!$C$13:$C$502,'Direct labour(직접노무비)'!C278,'JUNE (물량흐름)'!$N$13:$N$502),0)</f>
        <v>31</v>
      </c>
      <c r="W278" s="6">
        <f>ROUND(SUMIF('JUNE (물량흐름)'!$C$13:$C$502,'Direct labour(직접노무비)'!C278,'JUNE (물량흐름)'!$O$13:$O$502),0)</f>
        <v>172</v>
      </c>
      <c r="X278" s="6">
        <f>ROUND(SUMIF('JUNE (물량흐름)'!$C$13:$C$502,'Direct labour(직접노무비)'!C278,'JUNE (물량흐름)'!$P$13:$P$502),0)</f>
        <v>227</v>
      </c>
      <c r="Y278" s="6">
        <f t="shared" si="57"/>
        <v>430</v>
      </c>
      <c r="Z278" s="6">
        <f t="shared" si="58"/>
        <v>274</v>
      </c>
      <c r="AA278" s="6">
        <f t="shared" si="62"/>
        <v>4451506</v>
      </c>
      <c r="AB278" s="389">
        <f t="shared" si="59"/>
        <v>0</v>
      </c>
      <c r="AC278" s="503">
        <f t="shared" si="51"/>
        <v>0</v>
      </c>
      <c r="AD278" s="389">
        <f t="shared" si="60"/>
        <v>0</v>
      </c>
    </row>
    <row r="279" spans="1:30" s="390" customFormat="1">
      <c r="A279" s="167">
        <v>271</v>
      </c>
      <c r="B279" s="267" t="str">
        <f>VLOOKUP(A279,'JUNE (물량흐름)'!$A$13:$C$502,2,0)</f>
        <v>ANN TAYLOR</v>
      </c>
      <c r="C279" s="240">
        <f>VLOOKUP(A279,'JUNE (물량흐름)'!$A$13:$C$502,3,0)</f>
        <v>468543</v>
      </c>
      <c r="D279" s="6">
        <f>VLOOKUP(C279,'WIP(재공품)'!$B$12:$E$493,4,0)</f>
        <v>37413.75</v>
      </c>
      <c r="E279" s="6">
        <f>IFERROR(VLOOKUP(C279,O.B.JUNE!$AA$7:$AG$448,2,0),0)</f>
        <v>120</v>
      </c>
      <c r="F279" s="6">
        <f>IFERROR(VLOOKUP(C279,O.B.JUNE!$AA$7:$AG$448,3,0),0)</f>
        <v>503</v>
      </c>
      <c r="G279" s="6">
        <f>IFERROR(VLOOKUP(C279,O.B.JUNE!$AA$7:$AD$448,4,0),0)</f>
        <v>216</v>
      </c>
      <c r="H279" s="6">
        <f t="shared" si="53"/>
        <v>839</v>
      </c>
      <c r="I279" s="6">
        <f>IFERROR(VLOOKUP(C279,O.B.JUNE!$AA$7:$AF$448,6,0),0)</f>
        <v>448</v>
      </c>
      <c r="J279" s="6"/>
      <c r="K279" s="6">
        <f>IFERROR(VLOOKUP(C279,O.B.JUNE!$AA$7:$AG$448,7,0),0)</f>
        <v>5596377</v>
      </c>
      <c r="L279" s="6">
        <f>SUMIF('JUNE (물량흐름)'!$C$13:$C$502,'Direct labour(직접노무비)'!C279,'JUNE (물량흐름)'!$H$13:$H$502)+SUMIF('JUNE (물량흐름)'!$C$13:$C$502,'Direct labour(직접노무비)'!C279,'JUNE (물량흐름)'!$I$13:$I$502)</f>
        <v>0</v>
      </c>
      <c r="M279" s="6">
        <f t="shared" si="54"/>
        <v>0</v>
      </c>
      <c r="N279" s="6">
        <f t="shared" si="55"/>
        <v>0</v>
      </c>
      <c r="O279" s="6">
        <f t="shared" si="52"/>
        <v>0</v>
      </c>
      <c r="P279" s="6">
        <f>SUMIF('JUNE (물량흐름)'!$C$13:$C$502,C279,'JUNE (물량흐름)'!$T$13:$T$502)+SUMIF('JUNE (물량흐름)'!$C$13:$C$502,C279,'JUNE (물량흐름)'!$V$13:$V$502)+SUMIF('JUNE (물량흐름)'!$C$13:$C$502,C279,'JUNE (물량흐름)'!$U$13:$U$502)-SUMIF('JUNE (물량흐름)'!$C$13:$C$502,C279,'JUNE (물량흐름)'!$Y$13:$Y$502)</f>
        <v>0</v>
      </c>
      <c r="Q279" s="6">
        <f t="shared" si="61"/>
        <v>0</v>
      </c>
      <c r="R279" s="6">
        <f>ROUND(IF(ISERROR(VLOOKUP(#REF!,'WIP(재공품)'!$B$12:$AB$38,13,0)),0,VLOOKUP(#REF!,'WIP(재공품)'!$B$12:$AB$38,13,0)),0)</f>
        <v>0</v>
      </c>
      <c r="S279" s="6">
        <f>IF(ISERROR(VLOOKUP(#REF!,'WIP(재공품)'!$B$12:$AB$38,10,0)),0,VLOOKUP(#REF!,'WIP(재공품)'!$B$12:$AB$38,10,0))</f>
        <v>0</v>
      </c>
      <c r="T279" s="6">
        <f>SUMIF('JUNE (물량흐름)'!$C$13:$C$502,'Direct labour(직접노무비)'!C279,'JUNE (물량흐름)'!$Y$13:$Y$502)</f>
        <v>0</v>
      </c>
      <c r="U279" s="6">
        <f t="shared" si="56"/>
        <v>0</v>
      </c>
      <c r="V279" s="6">
        <f>ROUND(SUMIF('JUNE (물량흐름)'!$C$13:$C$502,'Direct labour(직접노무비)'!C279,'JUNE (물량흐름)'!$N$13:$N$502),0)</f>
        <v>120</v>
      </c>
      <c r="W279" s="6">
        <f>ROUND(SUMIF('JUNE (물량흐름)'!$C$13:$C$502,'Direct labour(직접노무비)'!C279,'JUNE (물량흐름)'!$O$13:$O$502),0)</f>
        <v>503</v>
      </c>
      <c r="X279" s="6">
        <f>ROUND(SUMIF('JUNE (물량흐름)'!$C$13:$C$502,'Direct labour(직접노무비)'!C279,'JUNE (물량흐름)'!$P$13:$P$502),0)</f>
        <v>216</v>
      </c>
      <c r="Y279" s="6">
        <f t="shared" si="57"/>
        <v>839</v>
      </c>
      <c r="Z279" s="6">
        <f t="shared" si="58"/>
        <v>448</v>
      </c>
      <c r="AA279" s="6">
        <f t="shared" si="62"/>
        <v>5596377</v>
      </c>
      <c r="AB279" s="389">
        <f t="shared" si="59"/>
        <v>0</v>
      </c>
      <c r="AC279" s="503">
        <f t="shared" si="51"/>
        <v>0</v>
      </c>
      <c r="AD279" s="389">
        <f t="shared" si="60"/>
        <v>0</v>
      </c>
    </row>
    <row r="280" spans="1:30" s="390" customFormat="1">
      <c r="A280" s="167">
        <v>272</v>
      </c>
      <c r="B280" s="267" t="str">
        <f>VLOOKUP(A280,'JUNE (물량흐름)'!$A$13:$C$502,2,0)</f>
        <v>ALFANI</v>
      </c>
      <c r="C280" s="240">
        <f>VLOOKUP(A280,'JUNE (물량흐름)'!$A$13:$C$502,3,0)</f>
        <v>73206</v>
      </c>
      <c r="D280" s="6">
        <f>VLOOKUP(C280,'WIP(재공품)'!$B$12:$E$493,4,0)</f>
        <v>7936.2499999999991</v>
      </c>
      <c r="E280" s="6">
        <f>IFERROR(VLOOKUP(C280,O.B.JUNE!$AA$7:$AG$448,2,0),0)</f>
        <v>0</v>
      </c>
      <c r="F280" s="6">
        <f>IFERROR(VLOOKUP(C280,O.B.JUNE!$AA$7:$AG$448,3,0),0)</f>
        <v>0</v>
      </c>
      <c r="G280" s="6">
        <f>IFERROR(VLOOKUP(C280,O.B.JUNE!$AA$7:$AD$448,4,0),0)</f>
        <v>34</v>
      </c>
      <c r="H280" s="6">
        <f t="shared" si="53"/>
        <v>34</v>
      </c>
      <c r="I280" s="6">
        <f>IFERROR(VLOOKUP(C280,O.B.JUNE!$AA$7:$AF$448,6,0),0)</f>
        <v>27</v>
      </c>
      <c r="J280" s="6"/>
      <c r="K280" s="6">
        <f>IFERROR(VLOOKUP(C280,O.B.JUNE!$AA$7:$AG$448,7,0),0)</f>
        <v>244269</v>
      </c>
      <c r="L280" s="6">
        <f>SUMIF('JUNE (물량흐름)'!$C$13:$C$502,'Direct labour(직접노무비)'!C280,'JUNE (물량흐름)'!$H$13:$H$502)+SUMIF('JUNE (물량흐름)'!$C$13:$C$502,'Direct labour(직접노무비)'!C280,'JUNE (물량흐름)'!$I$13:$I$502)</f>
        <v>0</v>
      </c>
      <c r="M280" s="6">
        <f t="shared" si="54"/>
        <v>0</v>
      </c>
      <c r="N280" s="6">
        <f t="shared" si="55"/>
        <v>0</v>
      </c>
      <c r="O280" s="6">
        <f t="shared" si="52"/>
        <v>0</v>
      </c>
      <c r="P280" s="6">
        <f>SUMIF('JUNE (물량흐름)'!$C$13:$C$502,C280,'JUNE (물량흐름)'!$T$13:$T$502)+SUMIF('JUNE (물량흐름)'!$C$13:$C$502,C280,'JUNE (물량흐름)'!$V$13:$V$502)+SUMIF('JUNE (물량흐름)'!$C$13:$C$502,C280,'JUNE (물량흐름)'!$U$13:$U$502)-SUMIF('JUNE (물량흐름)'!$C$13:$C$502,C280,'JUNE (물량흐름)'!$Y$13:$Y$502)</f>
        <v>34</v>
      </c>
      <c r="Q280" s="6">
        <f t="shared" si="61"/>
        <v>244269</v>
      </c>
      <c r="R280" s="6">
        <f>ROUND(IF(ISERROR(VLOOKUP(#REF!,'WIP(재공품)'!$B$12:$AB$38,13,0)),0,VLOOKUP(#REF!,'WIP(재공품)'!$B$12:$AB$38,13,0)),0)</f>
        <v>0</v>
      </c>
      <c r="S280" s="6">
        <f>IF(ISERROR(VLOOKUP(#REF!,'WIP(재공품)'!$B$12:$AB$38,10,0)),0,VLOOKUP(#REF!,'WIP(재공품)'!$B$12:$AB$38,10,0))</f>
        <v>0</v>
      </c>
      <c r="T280" s="6">
        <f>SUMIF('JUNE (물량흐름)'!$C$13:$C$502,'Direct labour(직접노무비)'!C280,'JUNE (물량흐름)'!$Y$13:$Y$502)</f>
        <v>0</v>
      </c>
      <c r="U280" s="6">
        <f t="shared" si="56"/>
        <v>0</v>
      </c>
      <c r="V280" s="6">
        <f>ROUND(SUMIF('JUNE (물량흐름)'!$C$13:$C$502,'Direct labour(직접노무비)'!C280,'JUNE (물량흐름)'!$N$13:$N$502),0)</f>
        <v>0</v>
      </c>
      <c r="W280" s="6">
        <f>ROUND(SUMIF('JUNE (물량흐름)'!$C$13:$C$502,'Direct labour(직접노무비)'!C280,'JUNE (물량흐름)'!$O$13:$O$502),0)</f>
        <v>0</v>
      </c>
      <c r="X280" s="6">
        <f>ROUND(SUMIF('JUNE (물량흐름)'!$C$13:$C$502,'Direct labour(직접노무비)'!C280,'JUNE (물량흐름)'!$P$13:$P$502),0)</f>
        <v>0</v>
      </c>
      <c r="Y280" s="6">
        <f t="shared" si="57"/>
        <v>0</v>
      </c>
      <c r="Z280" s="6">
        <f t="shared" si="58"/>
        <v>0</v>
      </c>
      <c r="AA280" s="6">
        <f t="shared" si="62"/>
        <v>0</v>
      </c>
      <c r="AB280" s="389">
        <f t="shared" si="59"/>
        <v>0</v>
      </c>
      <c r="AC280" s="503">
        <f t="shared" si="51"/>
        <v>0</v>
      </c>
      <c r="AD280" s="389">
        <f t="shared" si="60"/>
        <v>0</v>
      </c>
    </row>
    <row r="281" spans="1:30" s="390" customFormat="1">
      <c r="A281" s="167">
        <v>273</v>
      </c>
      <c r="B281" s="267" t="str">
        <f>VLOOKUP(A281,'JUNE (물량흐름)'!$A$13:$C$502,2,0)</f>
        <v>ALFANI</v>
      </c>
      <c r="C281" s="240">
        <f>VLOOKUP(A281,'JUNE (물량흐름)'!$A$13:$C$502,3,0)</f>
        <v>76203</v>
      </c>
      <c r="D281" s="6">
        <f>VLOOKUP(C281,'WIP(재공품)'!$B$12:$E$493,4,0)</f>
        <v>8163</v>
      </c>
      <c r="E281" s="6">
        <f>IFERROR(VLOOKUP(C281,O.B.JUNE!$AA$7:$AG$448,2,0),0)</f>
        <v>0</v>
      </c>
      <c r="F281" s="6">
        <f>IFERROR(VLOOKUP(C281,O.B.JUNE!$AA$7:$AG$448,3,0),0)</f>
        <v>0</v>
      </c>
      <c r="G281" s="6">
        <f>IFERROR(VLOOKUP(C281,O.B.JUNE!$AA$7:$AD$448,4,0),0)</f>
        <v>22</v>
      </c>
      <c r="H281" s="6">
        <f t="shared" si="53"/>
        <v>22</v>
      </c>
      <c r="I281" s="6">
        <f>IFERROR(VLOOKUP(C281,O.B.JUNE!$AA$7:$AF$448,6,0),0)</f>
        <v>18</v>
      </c>
      <c r="J281" s="6"/>
      <c r="K281" s="6">
        <f>IFERROR(VLOOKUP(C281,O.B.JUNE!$AA$7:$AG$448,7,0),0)</f>
        <v>161112</v>
      </c>
      <c r="L281" s="6">
        <f>SUMIF('JUNE (물량흐름)'!$C$13:$C$502,'Direct labour(직접노무비)'!C281,'JUNE (물량흐름)'!$H$13:$H$502)+SUMIF('JUNE (물량흐름)'!$C$13:$C$502,'Direct labour(직접노무비)'!C281,'JUNE (물량흐름)'!$I$13:$I$502)</f>
        <v>0</v>
      </c>
      <c r="M281" s="6">
        <f t="shared" si="54"/>
        <v>0</v>
      </c>
      <c r="N281" s="6">
        <f t="shared" si="55"/>
        <v>0</v>
      </c>
      <c r="O281" s="6">
        <f t="shared" si="52"/>
        <v>0</v>
      </c>
      <c r="P281" s="6">
        <f>SUMIF('JUNE (물량흐름)'!$C$13:$C$502,C281,'JUNE (물량흐름)'!$T$13:$T$502)+SUMIF('JUNE (물량흐름)'!$C$13:$C$502,C281,'JUNE (물량흐름)'!$V$13:$V$502)+SUMIF('JUNE (물량흐름)'!$C$13:$C$502,C281,'JUNE (물량흐름)'!$U$13:$U$502)-SUMIF('JUNE (물량흐름)'!$C$13:$C$502,C281,'JUNE (물량흐름)'!$Y$13:$Y$502)</f>
        <v>0</v>
      </c>
      <c r="Q281" s="6">
        <f t="shared" si="61"/>
        <v>0</v>
      </c>
      <c r="R281" s="6">
        <f>ROUND(IF(ISERROR(VLOOKUP(#REF!,'WIP(재공품)'!$B$12:$AB$38,13,0)),0,VLOOKUP(#REF!,'WIP(재공품)'!$B$12:$AB$38,13,0)),0)</f>
        <v>0</v>
      </c>
      <c r="S281" s="6">
        <f>IF(ISERROR(VLOOKUP(#REF!,'WIP(재공품)'!$B$12:$AB$38,10,0)),0,VLOOKUP(#REF!,'WIP(재공품)'!$B$12:$AB$38,10,0))</f>
        <v>0</v>
      </c>
      <c r="T281" s="6">
        <f>SUMIF('JUNE (물량흐름)'!$C$13:$C$502,'Direct labour(직접노무비)'!C281,'JUNE (물량흐름)'!$Y$13:$Y$502)</f>
        <v>0</v>
      </c>
      <c r="U281" s="6">
        <f t="shared" si="56"/>
        <v>0</v>
      </c>
      <c r="V281" s="6">
        <f>ROUND(SUMIF('JUNE (물량흐름)'!$C$13:$C$502,'Direct labour(직접노무비)'!C281,'JUNE (물량흐름)'!$N$13:$N$502),0)</f>
        <v>0</v>
      </c>
      <c r="W281" s="6">
        <f>ROUND(SUMIF('JUNE (물량흐름)'!$C$13:$C$502,'Direct labour(직접노무비)'!C281,'JUNE (물량흐름)'!$O$13:$O$502),0)</f>
        <v>10</v>
      </c>
      <c r="X281" s="6">
        <f>ROUND(SUMIF('JUNE (물량흐름)'!$C$13:$C$502,'Direct labour(직접노무비)'!C281,'JUNE (물량흐름)'!$P$13:$P$502),0)</f>
        <v>12</v>
      </c>
      <c r="Y281" s="6">
        <f t="shared" si="57"/>
        <v>22</v>
      </c>
      <c r="Z281" s="6">
        <f t="shared" si="58"/>
        <v>15</v>
      </c>
      <c r="AA281" s="6">
        <f t="shared" si="62"/>
        <v>161112</v>
      </c>
      <c r="AB281" s="389">
        <f t="shared" si="59"/>
        <v>0</v>
      </c>
      <c r="AC281" s="503">
        <f t="shared" si="51"/>
        <v>0</v>
      </c>
      <c r="AD281" s="389">
        <f t="shared" si="60"/>
        <v>0</v>
      </c>
    </row>
    <row r="282" spans="1:30" s="390" customFormat="1">
      <c r="A282" s="167">
        <v>274</v>
      </c>
      <c r="B282" s="267" t="str">
        <f>VLOOKUP(A282,'JUNE (물량흐름)'!$A$13:$C$502,2,0)</f>
        <v>ANN TAYLOR</v>
      </c>
      <c r="C282" s="240">
        <f>VLOOKUP(A282,'JUNE (물량흐름)'!$A$13:$C$502,3,0)</f>
        <v>457309</v>
      </c>
      <c r="D282" s="6">
        <f>VLOOKUP(C282,'WIP(재공품)'!$B$12:$E$493,4,0)</f>
        <v>7936.2499999999991</v>
      </c>
      <c r="E282" s="6">
        <f>IFERROR(VLOOKUP(C282,O.B.JUNE!$AA$7:$AG$448,2,0),0)</f>
        <v>0</v>
      </c>
      <c r="F282" s="6">
        <f>IFERROR(VLOOKUP(C282,O.B.JUNE!$AA$7:$AG$448,3,0),0)</f>
        <v>5210</v>
      </c>
      <c r="G282" s="6">
        <f>IFERROR(VLOOKUP(C282,O.B.JUNE!$AA$7:$AD$448,4,0),0)</f>
        <v>3996</v>
      </c>
      <c r="H282" s="6">
        <f t="shared" si="53"/>
        <v>9206</v>
      </c>
      <c r="I282" s="6">
        <f>IFERROR(VLOOKUP(C282,O.B.JUNE!$AA$7:$AF$448,6,0),0)</f>
        <v>5802</v>
      </c>
      <c r="J282" s="6"/>
      <c r="K282" s="6">
        <f>IFERROR(VLOOKUP(C282,O.B.JUNE!$AA$7:$AG$448,7,0),0)</f>
        <v>76435851</v>
      </c>
      <c r="L282" s="6">
        <f>SUMIF('JUNE (물량흐름)'!$C$13:$C$502,'Direct labour(직접노무비)'!C282,'JUNE (물량흐름)'!$H$13:$H$502)+SUMIF('JUNE (물량흐름)'!$C$13:$C$502,'Direct labour(직접노무비)'!C282,'JUNE (물량흐름)'!$I$13:$I$502)</f>
        <v>0</v>
      </c>
      <c r="M282" s="6">
        <f t="shared" si="54"/>
        <v>0</v>
      </c>
      <c r="N282" s="6">
        <f t="shared" si="55"/>
        <v>0</v>
      </c>
      <c r="O282" s="6">
        <f t="shared" si="52"/>
        <v>0</v>
      </c>
      <c r="P282" s="6">
        <f>SUMIF('JUNE (물량흐름)'!$C$13:$C$502,C282,'JUNE (물량흐름)'!$T$13:$T$502)+SUMIF('JUNE (물량흐름)'!$C$13:$C$502,C282,'JUNE (물량흐름)'!$V$13:$V$502)+SUMIF('JUNE (물량흐름)'!$C$13:$C$502,C282,'JUNE (물량흐름)'!$U$13:$U$502)-SUMIF('JUNE (물량흐름)'!$C$13:$C$502,C282,'JUNE (물량흐름)'!$Y$13:$Y$502)</f>
        <v>0</v>
      </c>
      <c r="Q282" s="6">
        <f t="shared" si="61"/>
        <v>0</v>
      </c>
      <c r="R282" s="6">
        <f>ROUND(IF(ISERROR(VLOOKUP(#REF!,'WIP(재공품)'!$B$12:$AB$38,13,0)),0,VLOOKUP(#REF!,'WIP(재공품)'!$B$12:$AB$38,13,0)),0)</f>
        <v>0</v>
      </c>
      <c r="S282" s="6">
        <f>IF(ISERROR(VLOOKUP(#REF!,'WIP(재공품)'!$B$12:$AB$38,10,0)),0,VLOOKUP(#REF!,'WIP(재공품)'!$B$12:$AB$38,10,0))</f>
        <v>0</v>
      </c>
      <c r="T282" s="6">
        <f>SUMIF('JUNE (물량흐름)'!$C$13:$C$502,'Direct labour(직접노무비)'!C282,'JUNE (물량흐름)'!$Y$13:$Y$502)</f>
        <v>0</v>
      </c>
      <c r="U282" s="6">
        <f t="shared" si="56"/>
        <v>0</v>
      </c>
      <c r="V282" s="6">
        <f>ROUND(SUMIF('JUNE (물량흐름)'!$C$13:$C$502,'Direct labour(직접노무비)'!C282,'JUNE (물량흐름)'!$N$13:$N$502),0)</f>
        <v>0</v>
      </c>
      <c r="W282" s="6">
        <f>ROUND(SUMIF('JUNE (물량흐름)'!$C$13:$C$502,'Direct labour(직접노무비)'!C282,'JUNE (물량흐름)'!$O$13:$O$502),0)</f>
        <v>5210</v>
      </c>
      <c r="X282" s="6">
        <f>ROUND(SUMIF('JUNE (물량흐름)'!$C$13:$C$502,'Direct labour(직접노무비)'!C282,'JUNE (물량흐름)'!$P$13:$P$502),0)</f>
        <v>3996</v>
      </c>
      <c r="Y282" s="6">
        <f t="shared" si="57"/>
        <v>9206</v>
      </c>
      <c r="Z282" s="6">
        <f t="shared" si="58"/>
        <v>5802</v>
      </c>
      <c r="AA282" s="6">
        <f t="shared" si="62"/>
        <v>76435851</v>
      </c>
      <c r="AB282" s="389">
        <f t="shared" si="59"/>
        <v>0</v>
      </c>
      <c r="AC282" s="503">
        <f t="shared" si="51"/>
        <v>0</v>
      </c>
      <c r="AD282" s="389">
        <f t="shared" si="60"/>
        <v>0</v>
      </c>
    </row>
    <row r="283" spans="1:30" s="390" customFormat="1">
      <c r="A283" s="167">
        <v>275</v>
      </c>
      <c r="B283" s="267" t="str">
        <f>VLOOKUP(A283,'JUNE (물량흐름)'!$A$13:$C$502,2,0)</f>
        <v>ANN TAYLOR</v>
      </c>
      <c r="C283" s="240">
        <f>VLOOKUP(A283,'JUNE (물량흐름)'!$A$13:$C$502,3,0)</f>
        <v>462511</v>
      </c>
      <c r="D283" s="6">
        <f>VLOOKUP(C283,'WIP(재공품)'!$B$12:$E$493,4,0)</f>
        <v>7936.2499999999991</v>
      </c>
      <c r="E283" s="6">
        <f>IFERROR(VLOOKUP(C283,O.B.JUNE!$AA$7:$AG$448,2,0),0)</f>
        <v>312</v>
      </c>
      <c r="F283" s="6">
        <f>IFERROR(VLOOKUP(C283,O.B.JUNE!$AA$7:$AG$448,3,0),0)</f>
        <v>434</v>
      </c>
      <c r="G283" s="6">
        <f>IFERROR(VLOOKUP(C283,O.B.JUNE!$AA$7:$AD$448,4,0),0)</f>
        <v>306</v>
      </c>
      <c r="H283" s="6">
        <f t="shared" si="53"/>
        <v>1052</v>
      </c>
      <c r="I283" s="6">
        <f>IFERROR(VLOOKUP(C283,O.B.JUNE!$AA$7:$AF$448,6,0),0)</f>
        <v>524</v>
      </c>
      <c r="J283" s="6"/>
      <c r="K283" s="6">
        <f>IFERROR(VLOOKUP(C283,O.B.JUNE!$AA$7:$AG$448,7,0),0)</f>
        <v>7476689</v>
      </c>
      <c r="L283" s="6">
        <f>SUMIF('JUNE (물량흐름)'!$C$13:$C$502,'Direct labour(직접노무비)'!C283,'JUNE (물량흐름)'!$H$13:$H$502)+SUMIF('JUNE (물량흐름)'!$C$13:$C$502,'Direct labour(직접노무비)'!C283,'JUNE (물량흐름)'!$I$13:$I$502)</f>
        <v>0</v>
      </c>
      <c r="M283" s="6">
        <f t="shared" si="54"/>
        <v>0</v>
      </c>
      <c r="N283" s="6">
        <f t="shared" si="55"/>
        <v>0</v>
      </c>
      <c r="O283" s="6">
        <f t="shared" si="52"/>
        <v>0</v>
      </c>
      <c r="P283" s="6">
        <f>SUMIF('JUNE (물량흐름)'!$C$13:$C$502,C283,'JUNE (물량흐름)'!$T$13:$T$502)+SUMIF('JUNE (물량흐름)'!$C$13:$C$502,C283,'JUNE (물량흐름)'!$V$13:$V$502)+SUMIF('JUNE (물량흐름)'!$C$13:$C$502,C283,'JUNE (물량흐름)'!$U$13:$U$502)-SUMIF('JUNE (물량흐름)'!$C$13:$C$502,C283,'JUNE (물량흐름)'!$Y$13:$Y$502)</f>
        <v>0</v>
      </c>
      <c r="Q283" s="6">
        <f t="shared" si="61"/>
        <v>0</v>
      </c>
      <c r="R283" s="6">
        <f>ROUND(IF(ISERROR(VLOOKUP(#REF!,'WIP(재공품)'!$B$12:$AB$38,13,0)),0,VLOOKUP(#REF!,'WIP(재공품)'!$B$12:$AB$38,13,0)),0)</f>
        <v>0</v>
      </c>
      <c r="S283" s="6">
        <f>IF(ISERROR(VLOOKUP(#REF!,'WIP(재공품)'!$B$12:$AB$38,10,0)),0,VLOOKUP(#REF!,'WIP(재공품)'!$B$12:$AB$38,10,0))</f>
        <v>0</v>
      </c>
      <c r="T283" s="6">
        <f>SUMIF('JUNE (물량흐름)'!$C$13:$C$502,'Direct labour(직접노무비)'!C283,'JUNE (물량흐름)'!$Y$13:$Y$502)</f>
        <v>0</v>
      </c>
      <c r="U283" s="6">
        <f t="shared" si="56"/>
        <v>0</v>
      </c>
      <c r="V283" s="6">
        <f>ROUND(SUMIF('JUNE (물량흐름)'!$C$13:$C$502,'Direct labour(직접노무비)'!C283,'JUNE (물량흐름)'!$N$13:$N$502),0)</f>
        <v>312</v>
      </c>
      <c r="W283" s="6">
        <f>ROUND(SUMIF('JUNE (물량흐름)'!$C$13:$C$502,'Direct labour(직접노무비)'!C283,'JUNE (물량흐름)'!$O$13:$O$502),0)</f>
        <v>434</v>
      </c>
      <c r="X283" s="6">
        <f>ROUND(SUMIF('JUNE (물량흐름)'!$C$13:$C$502,'Direct labour(직접노무비)'!C283,'JUNE (물량흐름)'!$P$13:$P$502),0)</f>
        <v>306</v>
      </c>
      <c r="Y283" s="6">
        <f t="shared" si="57"/>
        <v>1052</v>
      </c>
      <c r="Z283" s="6">
        <f t="shared" si="58"/>
        <v>524</v>
      </c>
      <c r="AA283" s="6">
        <f t="shared" si="62"/>
        <v>7476689</v>
      </c>
      <c r="AB283" s="389">
        <f t="shared" si="59"/>
        <v>0</v>
      </c>
      <c r="AC283" s="503">
        <f t="shared" si="51"/>
        <v>0</v>
      </c>
      <c r="AD283" s="389">
        <f t="shared" si="60"/>
        <v>0</v>
      </c>
    </row>
    <row r="284" spans="1:30" s="390" customFormat="1">
      <c r="A284" s="167">
        <v>276</v>
      </c>
      <c r="B284" s="267" t="str">
        <f>VLOOKUP(A284,'JUNE (물량흐름)'!$A$13:$C$502,2,0)</f>
        <v>ANN TAYLOR</v>
      </c>
      <c r="C284" s="240">
        <f>VLOOKUP(A284,'JUNE (물량흐름)'!$A$13:$C$502,3,0)</f>
        <v>462516</v>
      </c>
      <c r="D284" s="6">
        <f>VLOOKUP(C284,'WIP(재공품)'!$B$12:$E$493,4,0)</f>
        <v>7936.2499999999991</v>
      </c>
      <c r="E284" s="6">
        <f>IFERROR(VLOOKUP(C284,O.B.JUNE!$AA$7:$AG$448,2,0),0)</f>
        <v>0</v>
      </c>
      <c r="F284" s="6">
        <f>IFERROR(VLOOKUP(C284,O.B.JUNE!$AA$7:$AG$448,3,0),0)</f>
        <v>415</v>
      </c>
      <c r="G284" s="6">
        <f>IFERROR(VLOOKUP(C284,O.B.JUNE!$AA$7:$AD$448,4,0),0)</f>
        <v>643</v>
      </c>
      <c r="H284" s="6">
        <f t="shared" si="53"/>
        <v>1058</v>
      </c>
      <c r="I284" s="6">
        <f>IFERROR(VLOOKUP(C284,O.B.JUNE!$AA$7:$AF$448,6,0),0)</f>
        <v>722</v>
      </c>
      <c r="J284" s="6"/>
      <c r="K284" s="6">
        <f>IFERROR(VLOOKUP(C284,O.B.JUNE!$AA$7:$AG$448,7,0),0)</f>
        <v>9738120</v>
      </c>
      <c r="L284" s="6">
        <f>SUMIF('JUNE (물량흐름)'!$C$13:$C$502,'Direct labour(직접노무비)'!C284,'JUNE (물량흐름)'!$H$13:$H$502)+SUMIF('JUNE (물량흐름)'!$C$13:$C$502,'Direct labour(직접노무비)'!C284,'JUNE (물량흐름)'!$I$13:$I$502)</f>
        <v>0</v>
      </c>
      <c r="M284" s="6">
        <f t="shared" si="54"/>
        <v>0</v>
      </c>
      <c r="N284" s="6">
        <f t="shared" si="55"/>
        <v>0</v>
      </c>
      <c r="O284" s="6">
        <f t="shared" si="52"/>
        <v>0</v>
      </c>
      <c r="P284" s="6">
        <f>SUMIF('JUNE (물량흐름)'!$C$13:$C$502,C284,'JUNE (물량흐름)'!$T$13:$T$502)+SUMIF('JUNE (물량흐름)'!$C$13:$C$502,C284,'JUNE (물량흐름)'!$V$13:$V$502)+SUMIF('JUNE (물량흐름)'!$C$13:$C$502,C284,'JUNE (물량흐름)'!$U$13:$U$502)-SUMIF('JUNE (물량흐름)'!$C$13:$C$502,C284,'JUNE (물량흐름)'!$Y$13:$Y$502)</f>
        <v>0</v>
      </c>
      <c r="Q284" s="6">
        <f t="shared" si="61"/>
        <v>0</v>
      </c>
      <c r="R284" s="6">
        <f>ROUND(IF(ISERROR(VLOOKUP(#REF!,'WIP(재공품)'!$B$12:$AB$38,13,0)),0,VLOOKUP(#REF!,'WIP(재공품)'!$B$12:$AB$38,13,0)),0)</f>
        <v>0</v>
      </c>
      <c r="S284" s="6">
        <f>IF(ISERROR(VLOOKUP(#REF!,'WIP(재공품)'!$B$12:$AB$38,10,0)),0,VLOOKUP(#REF!,'WIP(재공품)'!$B$12:$AB$38,10,0))</f>
        <v>0</v>
      </c>
      <c r="T284" s="6">
        <f>SUMIF('JUNE (물량흐름)'!$C$13:$C$502,'Direct labour(직접노무비)'!C284,'JUNE (물량흐름)'!$Y$13:$Y$502)</f>
        <v>2</v>
      </c>
      <c r="U284" s="6">
        <f t="shared" si="56"/>
        <v>18409</v>
      </c>
      <c r="V284" s="6">
        <f>ROUND(SUMIF('JUNE (물량흐름)'!$C$13:$C$502,'Direct labour(직접노무비)'!C284,'JUNE (물량흐름)'!$N$13:$N$502),0)</f>
        <v>0</v>
      </c>
      <c r="W284" s="6">
        <f>ROUND(SUMIF('JUNE (물량흐름)'!$C$13:$C$502,'Direct labour(직접노무비)'!C284,'JUNE (물량흐름)'!$O$13:$O$502),0)</f>
        <v>415</v>
      </c>
      <c r="X284" s="6">
        <f>ROUND(SUMIF('JUNE (물량흐름)'!$C$13:$C$502,'Direct labour(직접노무비)'!C284,'JUNE (물량흐름)'!$P$13:$P$502),0)</f>
        <v>641</v>
      </c>
      <c r="Y284" s="6">
        <f t="shared" si="57"/>
        <v>1056</v>
      </c>
      <c r="Z284" s="6">
        <f t="shared" si="58"/>
        <v>720</v>
      </c>
      <c r="AA284" s="6">
        <f t="shared" si="62"/>
        <v>9719711</v>
      </c>
      <c r="AB284" s="389">
        <f t="shared" si="59"/>
        <v>0</v>
      </c>
      <c r="AC284" s="503">
        <f t="shared" si="51"/>
        <v>0</v>
      </c>
      <c r="AD284" s="389">
        <f t="shared" si="60"/>
        <v>0</v>
      </c>
    </row>
    <row r="285" spans="1:30" s="390" customFormat="1">
      <c r="A285" s="167">
        <v>277</v>
      </c>
      <c r="B285" s="267" t="str">
        <f>VLOOKUP(A285,'JUNE (물량흐름)'!$A$13:$C$502,2,0)</f>
        <v>ANN TAYLOR</v>
      </c>
      <c r="C285" s="240">
        <f>VLOOKUP(A285,'JUNE (물량흐름)'!$A$13:$C$502,3,0)</f>
        <v>464101</v>
      </c>
      <c r="D285" s="6">
        <f>VLOOKUP(C285,'WIP(재공품)'!$B$12:$E$493,4,0)</f>
        <v>7936.2499999999991</v>
      </c>
      <c r="E285" s="6">
        <f>IFERROR(VLOOKUP(C285,O.B.JUNE!$AA$7:$AG$448,2,0),0)</f>
        <v>87</v>
      </c>
      <c r="F285" s="6">
        <f>IFERROR(VLOOKUP(C285,O.B.JUNE!$AA$7:$AG$448,3,0),0)</f>
        <v>320</v>
      </c>
      <c r="G285" s="6">
        <f>IFERROR(VLOOKUP(C285,O.B.JUNE!$AA$7:$AD$448,4,0),0)</f>
        <v>760</v>
      </c>
      <c r="H285" s="6">
        <f t="shared" si="53"/>
        <v>1167</v>
      </c>
      <c r="I285" s="6">
        <f>IFERROR(VLOOKUP(C285,O.B.JUNE!$AA$7:$AF$448,6,0),0)</f>
        <v>785</v>
      </c>
      <c r="J285" s="6"/>
      <c r="K285" s="6">
        <f>IFERROR(VLOOKUP(C285,O.B.JUNE!$AA$7:$AG$448,7,0),0)</f>
        <v>10685125</v>
      </c>
      <c r="L285" s="6">
        <f>SUMIF('JUNE (물량흐름)'!$C$13:$C$502,'Direct labour(직접노무비)'!C285,'JUNE (물량흐름)'!$H$13:$H$502)+SUMIF('JUNE (물량흐름)'!$C$13:$C$502,'Direct labour(직접노무비)'!C285,'JUNE (물량흐름)'!$I$13:$I$502)</f>
        <v>0</v>
      </c>
      <c r="M285" s="6">
        <f t="shared" si="54"/>
        <v>0</v>
      </c>
      <c r="N285" s="6">
        <f t="shared" si="55"/>
        <v>0</v>
      </c>
      <c r="O285" s="6">
        <f t="shared" si="52"/>
        <v>0</v>
      </c>
      <c r="P285" s="6">
        <f>SUMIF('JUNE (물량흐름)'!$C$13:$C$502,C285,'JUNE (물량흐름)'!$T$13:$T$502)+SUMIF('JUNE (물량흐름)'!$C$13:$C$502,C285,'JUNE (물량흐름)'!$V$13:$V$502)+SUMIF('JUNE (물량흐름)'!$C$13:$C$502,C285,'JUNE (물량흐름)'!$U$13:$U$502)-SUMIF('JUNE (물량흐름)'!$C$13:$C$502,C285,'JUNE (물량흐름)'!$Y$13:$Y$502)</f>
        <v>0</v>
      </c>
      <c r="Q285" s="6">
        <f t="shared" si="61"/>
        <v>0</v>
      </c>
      <c r="R285" s="6">
        <f>ROUND(IF(ISERROR(VLOOKUP(#REF!,'WIP(재공품)'!$B$12:$AB$38,13,0)),0,VLOOKUP(#REF!,'WIP(재공품)'!$B$12:$AB$38,13,0)),0)</f>
        <v>0</v>
      </c>
      <c r="S285" s="6">
        <f>IF(ISERROR(VLOOKUP(#REF!,'WIP(재공품)'!$B$12:$AB$38,10,0)),0,VLOOKUP(#REF!,'WIP(재공품)'!$B$12:$AB$38,10,0))</f>
        <v>0</v>
      </c>
      <c r="T285" s="6">
        <f>SUMIF('JUNE (물량흐름)'!$C$13:$C$502,'Direct labour(직접노무비)'!C285,'JUNE (물량흐름)'!$Y$13:$Y$502)</f>
        <v>0</v>
      </c>
      <c r="U285" s="6">
        <f t="shared" si="56"/>
        <v>0</v>
      </c>
      <c r="V285" s="6">
        <f>ROUND(SUMIF('JUNE (물량흐름)'!$C$13:$C$502,'Direct labour(직접노무비)'!C285,'JUNE (물량흐름)'!$N$13:$N$502),0)</f>
        <v>87</v>
      </c>
      <c r="W285" s="6">
        <f>ROUND(SUMIF('JUNE (물량흐름)'!$C$13:$C$502,'Direct labour(직접노무비)'!C285,'JUNE (물량흐름)'!$O$13:$O$502),0)</f>
        <v>320</v>
      </c>
      <c r="X285" s="6">
        <f>ROUND(SUMIF('JUNE (물량흐름)'!$C$13:$C$502,'Direct labour(직접노무비)'!C285,'JUNE (물량흐름)'!$P$13:$P$502),0)</f>
        <v>760</v>
      </c>
      <c r="Y285" s="6">
        <f t="shared" si="57"/>
        <v>1167</v>
      </c>
      <c r="Z285" s="6">
        <f t="shared" si="58"/>
        <v>785</v>
      </c>
      <c r="AA285" s="6">
        <f t="shared" si="62"/>
        <v>10685125</v>
      </c>
      <c r="AB285" s="389">
        <f t="shared" si="59"/>
        <v>0</v>
      </c>
      <c r="AC285" s="503">
        <f t="shared" si="51"/>
        <v>0</v>
      </c>
      <c r="AD285" s="389">
        <f t="shared" si="60"/>
        <v>0</v>
      </c>
    </row>
    <row r="286" spans="1:30" s="390" customFormat="1">
      <c r="A286" s="167">
        <v>278</v>
      </c>
      <c r="B286" s="267" t="str">
        <f>VLOOKUP(A286,'JUNE (물량흐름)'!$A$13:$C$502,2,0)</f>
        <v>ANN TAYLOR</v>
      </c>
      <c r="C286" s="240">
        <f>VLOOKUP(A286,'JUNE (물량흐름)'!$A$13:$C$502,3,0)</f>
        <v>469135</v>
      </c>
      <c r="D286" s="6">
        <f>VLOOKUP(C286,'WIP(재공품)'!$B$12:$E$493,4,0)</f>
        <v>7936.2499999999991</v>
      </c>
      <c r="E286" s="6">
        <f>IFERROR(VLOOKUP(C286,O.B.JUNE!$AA$7:$AG$448,2,0),0)</f>
        <v>0</v>
      </c>
      <c r="F286" s="6">
        <f>IFERROR(VLOOKUP(C286,O.B.JUNE!$AA$7:$AG$448,3,0),0)</f>
        <v>189</v>
      </c>
      <c r="G286" s="6">
        <f>IFERROR(VLOOKUP(C286,O.B.JUNE!$AA$7:$AD$448,4,0),0)</f>
        <v>114</v>
      </c>
      <c r="H286" s="6">
        <f t="shared" si="53"/>
        <v>303</v>
      </c>
      <c r="I286" s="6">
        <f>IFERROR(VLOOKUP(C286,O.B.JUNE!$AA$7:$AF$448,6,0),0)</f>
        <v>186</v>
      </c>
      <c r="J286" s="6"/>
      <c r="K286" s="6">
        <f>IFERROR(VLOOKUP(C286,O.B.JUNE!$AA$7:$AG$448,7,0),0)</f>
        <v>2865668</v>
      </c>
      <c r="L286" s="6">
        <f>SUMIF('JUNE (물량흐름)'!$C$13:$C$502,'Direct labour(직접노무비)'!C286,'JUNE (물량흐름)'!$H$13:$H$502)+SUMIF('JUNE (물량흐름)'!$C$13:$C$502,'Direct labour(직접노무비)'!C286,'JUNE (물량흐름)'!$I$13:$I$502)</f>
        <v>0</v>
      </c>
      <c r="M286" s="6">
        <f t="shared" si="54"/>
        <v>0</v>
      </c>
      <c r="N286" s="6">
        <f t="shared" si="55"/>
        <v>0</v>
      </c>
      <c r="O286" s="6">
        <f t="shared" si="52"/>
        <v>0</v>
      </c>
      <c r="P286" s="6">
        <f>SUMIF('JUNE (물량흐름)'!$C$13:$C$502,C286,'JUNE (물량흐름)'!$T$13:$T$502)+SUMIF('JUNE (물량흐름)'!$C$13:$C$502,C286,'JUNE (물량흐름)'!$V$13:$V$502)+SUMIF('JUNE (물량흐름)'!$C$13:$C$502,C286,'JUNE (물량흐름)'!$U$13:$U$502)-SUMIF('JUNE (물량흐름)'!$C$13:$C$502,C286,'JUNE (물량흐름)'!$Y$13:$Y$502)</f>
        <v>0</v>
      </c>
      <c r="Q286" s="6">
        <f t="shared" si="61"/>
        <v>0</v>
      </c>
      <c r="R286" s="6">
        <f>ROUND(IF(ISERROR(VLOOKUP(#REF!,'WIP(재공품)'!$B$12:$AB$38,13,0)),0,VLOOKUP(#REF!,'WIP(재공품)'!$B$12:$AB$38,13,0)),0)</f>
        <v>0</v>
      </c>
      <c r="S286" s="6">
        <f>IF(ISERROR(VLOOKUP(#REF!,'WIP(재공품)'!$B$12:$AB$38,10,0)),0,VLOOKUP(#REF!,'WIP(재공품)'!$B$12:$AB$38,10,0))</f>
        <v>0</v>
      </c>
      <c r="T286" s="6">
        <f>SUMIF('JUNE (물량흐름)'!$C$13:$C$502,'Direct labour(직접노무비)'!C286,'JUNE (물량흐름)'!$Y$13:$Y$502)</f>
        <v>0</v>
      </c>
      <c r="U286" s="6">
        <f t="shared" si="56"/>
        <v>0</v>
      </c>
      <c r="V286" s="6">
        <f>ROUND(SUMIF('JUNE (물량흐름)'!$C$13:$C$502,'Direct labour(직접노무비)'!C286,'JUNE (물량흐름)'!$N$13:$N$502),0)</f>
        <v>0</v>
      </c>
      <c r="W286" s="6">
        <f>ROUND(SUMIF('JUNE (물량흐름)'!$C$13:$C$502,'Direct labour(직접노무비)'!C286,'JUNE (물량흐름)'!$O$13:$O$502),0)</f>
        <v>189</v>
      </c>
      <c r="X286" s="6">
        <f>ROUND(SUMIF('JUNE (물량흐름)'!$C$13:$C$502,'Direct labour(직접노무비)'!C286,'JUNE (물량흐름)'!$P$13:$P$502),0)</f>
        <v>114</v>
      </c>
      <c r="Y286" s="6">
        <f t="shared" si="57"/>
        <v>303</v>
      </c>
      <c r="Z286" s="6">
        <f t="shared" si="58"/>
        <v>186</v>
      </c>
      <c r="AA286" s="6">
        <f t="shared" si="62"/>
        <v>2865668</v>
      </c>
      <c r="AB286" s="389">
        <f t="shared" si="59"/>
        <v>0</v>
      </c>
      <c r="AC286" s="503">
        <f t="shared" si="51"/>
        <v>0</v>
      </c>
      <c r="AD286" s="389">
        <f t="shared" si="60"/>
        <v>0</v>
      </c>
    </row>
    <row r="287" spans="1:30" s="390" customFormat="1">
      <c r="A287" s="167">
        <v>279</v>
      </c>
      <c r="B287" s="267" t="str">
        <f>VLOOKUP(A287,'JUNE (물량흐름)'!$A$13:$C$502,2,0)</f>
        <v>ANN TAYLOR</v>
      </c>
      <c r="C287" s="240">
        <f>VLOOKUP(A287,'JUNE (물량흐름)'!$A$13:$C$502,3,0)</f>
        <v>469615</v>
      </c>
      <c r="D287" s="6">
        <f>VLOOKUP(C287,'WIP(재공품)'!$B$12:$E$493,4,0)</f>
        <v>7936.2499999999991</v>
      </c>
      <c r="E287" s="6">
        <f>IFERROR(VLOOKUP(C287,O.B.JUNE!$AA$7:$AG$448,2,0),0)</f>
        <v>0</v>
      </c>
      <c r="F287" s="6">
        <f>IFERROR(VLOOKUP(C287,O.B.JUNE!$AA$7:$AG$448,3,0),0)</f>
        <v>44</v>
      </c>
      <c r="G287" s="6">
        <f>IFERROR(VLOOKUP(C287,O.B.JUNE!$AA$7:$AD$448,4,0),0)</f>
        <v>453</v>
      </c>
      <c r="H287" s="6">
        <f t="shared" si="53"/>
        <v>497</v>
      </c>
      <c r="I287" s="6">
        <f>IFERROR(VLOOKUP(C287,O.B.JUNE!$AA$7:$AF$448,6,0),0)</f>
        <v>384</v>
      </c>
      <c r="J287" s="6"/>
      <c r="K287" s="6">
        <f>IFERROR(VLOOKUP(C287,O.B.JUNE!$AA$7:$AG$448,7,0),0)</f>
        <v>4174205</v>
      </c>
      <c r="L287" s="6">
        <f>SUMIF('JUNE (물량흐름)'!$C$13:$C$502,'Direct labour(직접노무비)'!C287,'JUNE (물량흐름)'!$H$13:$H$502)+SUMIF('JUNE (물량흐름)'!$C$13:$C$502,'Direct labour(직접노무비)'!C287,'JUNE (물량흐름)'!$I$13:$I$502)</f>
        <v>0</v>
      </c>
      <c r="M287" s="6">
        <f t="shared" si="54"/>
        <v>0</v>
      </c>
      <c r="N287" s="6">
        <f t="shared" si="55"/>
        <v>0</v>
      </c>
      <c r="O287" s="6">
        <f t="shared" si="52"/>
        <v>0</v>
      </c>
      <c r="P287" s="6">
        <f>SUMIF('JUNE (물량흐름)'!$C$13:$C$502,C287,'JUNE (물량흐름)'!$T$13:$T$502)+SUMIF('JUNE (물량흐름)'!$C$13:$C$502,C287,'JUNE (물량흐름)'!$V$13:$V$502)+SUMIF('JUNE (물량흐름)'!$C$13:$C$502,C287,'JUNE (물량흐름)'!$U$13:$U$502)-SUMIF('JUNE (물량흐름)'!$C$13:$C$502,C287,'JUNE (물량흐름)'!$Y$13:$Y$502)</f>
        <v>0</v>
      </c>
      <c r="Q287" s="6">
        <f t="shared" si="61"/>
        <v>0</v>
      </c>
      <c r="R287" s="6">
        <f>ROUND(IF(ISERROR(VLOOKUP(#REF!,'WIP(재공품)'!$B$12:$AB$38,13,0)),0,VLOOKUP(#REF!,'WIP(재공품)'!$B$12:$AB$38,13,0)),0)</f>
        <v>0</v>
      </c>
      <c r="S287" s="6">
        <f>IF(ISERROR(VLOOKUP(#REF!,'WIP(재공품)'!$B$12:$AB$38,10,0)),0,VLOOKUP(#REF!,'WIP(재공품)'!$B$12:$AB$38,10,0))</f>
        <v>0</v>
      </c>
      <c r="T287" s="6">
        <f>SUMIF('JUNE (물량흐름)'!$C$13:$C$502,'Direct labour(직접노무비)'!C287,'JUNE (물량흐름)'!$Y$13:$Y$502)</f>
        <v>0</v>
      </c>
      <c r="U287" s="6">
        <f t="shared" si="56"/>
        <v>0</v>
      </c>
      <c r="V287" s="6">
        <f>ROUND(SUMIF('JUNE (물량흐름)'!$C$13:$C$502,'Direct labour(직접노무비)'!C287,'JUNE (물량흐름)'!$N$13:$N$502),0)</f>
        <v>0</v>
      </c>
      <c r="W287" s="6">
        <f>ROUND(SUMIF('JUNE (물량흐름)'!$C$13:$C$502,'Direct labour(직접노무비)'!C287,'JUNE (물량흐름)'!$O$13:$O$502),0)</f>
        <v>44</v>
      </c>
      <c r="X287" s="6">
        <f>ROUND(SUMIF('JUNE (물량흐름)'!$C$13:$C$502,'Direct labour(직접노무비)'!C287,'JUNE (물량흐름)'!$P$13:$P$502),0)</f>
        <v>453</v>
      </c>
      <c r="Y287" s="6">
        <f t="shared" si="57"/>
        <v>497</v>
      </c>
      <c r="Z287" s="6">
        <f t="shared" si="58"/>
        <v>384</v>
      </c>
      <c r="AA287" s="6">
        <f t="shared" si="62"/>
        <v>4174205</v>
      </c>
      <c r="AB287" s="389">
        <f t="shared" si="59"/>
        <v>0</v>
      </c>
      <c r="AC287" s="503">
        <f t="shared" si="51"/>
        <v>0</v>
      </c>
      <c r="AD287" s="389">
        <f t="shared" si="60"/>
        <v>0</v>
      </c>
    </row>
    <row r="288" spans="1:30" s="390" customFormat="1">
      <c r="A288" s="167">
        <v>280</v>
      </c>
      <c r="B288" s="267" t="str">
        <f>VLOOKUP(A288,'JUNE (물량흐름)'!$A$13:$C$502,2,0)</f>
        <v>ANN TAYLOR</v>
      </c>
      <c r="C288" s="240">
        <f>VLOOKUP(A288,'JUNE (물량흐름)'!$A$13:$C$502,3,0)</f>
        <v>471355</v>
      </c>
      <c r="D288" s="6">
        <f>VLOOKUP(C288,'WIP(재공품)'!$B$12:$E$493,4,0)</f>
        <v>7936.2499999999991</v>
      </c>
      <c r="E288" s="6">
        <f>IFERROR(VLOOKUP(C288,O.B.JUNE!$AA$7:$AG$448,2,0),0)</f>
        <v>0</v>
      </c>
      <c r="F288" s="6">
        <f>IFERROR(VLOOKUP(C288,O.B.JUNE!$AA$7:$AG$448,3,0),0)</f>
        <v>0</v>
      </c>
      <c r="G288" s="6">
        <f>IFERROR(VLOOKUP(C288,O.B.JUNE!$AA$7:$AD$448,4,0),0)</f>
        <v>340</v>
      </c>
      <c r="H288" s="6">
        <f t="shared" si="53"/>
        <v>340</v>
      </c>
      <c r="I288" s="6">
        <f>IFERROR(VLOOKUP(C288,O.B.JUNE!$AA$7:$AF$448,6,0),0)</f>
        <v>272</v>
      </c>
      <c r="J288" s="6"/>
      <c r="K288" s="6">
        <f>IFERROR(VLOOKUP(C288,O.B.JUNE!$AA$7:$AG$448,7,0),0)</f>
        <v>3109642</v>
      </c>
      <c r="L288" s="6">
        <f>SUMIF('JUNE (물량흐름)'!$C$13:$C$502,'Direct labour(직접노무비)'!C288,'JUNE (물량흐름)'!$H$13:$H$502)+SUMIF('JUNE (물량흐름)'!$C$13:$C$502,'Direct labour(직접노무비)'!C288,'JUNE (물량흐름)'!$I$13:$I$502)</f>
        <v>0</v>
      </c>
      <c r="M288" s="6">
        <f t="shared" si="54"/>
        <v>0</v>
      </c>
      <c r="N288" s="6">
        <f t="shared" si="55"/>
        <v>0</v>
      </c>
      <c r="O288" s="6">
        <f t="shared" si="52"/>
        <v>0</v>
      </c>
      <c r="P288" s="6">
        <f>SUMIF('JUNE (물량흐름)'!$C$13:$C$502,C288,'JUNE (물량흐름)'!$T$13:$T$502)+SUMIF('JUNE (물량흐름)'!$C$13:$C$502,C288,'JUNE (물량흐름)'!$V$13:$V$502)+SUMIF('JUNE (물량흐름)'!$C$13:$C$502,C288,'JUNE (물량흐름)'!$U$13:$U$502)-SUMIF('JUNE (물량흐름)'!$C$13:$C$502,C288,'JUNE (물량흐름)'!$Y$13:$Y$502)</f>
        <v>0</v>
      </c>
      <c r="Q288" s="6">
        <f t="shared" si="61"/>
        <v>0</v>
      </c>
      <c r="R288" s="6">
        <f>ROUND(IF(ISERROR(VLOOKUP(#REF!,'WIP(재공품)'!$B$12:$AB$38,13,0)),0,VLOOKUP(#REF!,'WIP(재공품)'!$B$12:$AB$38,13,0)),0)</f>
        <v>0</v>
      </c>
      <c r="S288" s="6">
        <f>IF(ISERROR(VLOOKUP(#REF!,'WIP(재공품)'!$B$12:$AB$38,10,0)),0,VLOOKUP(#REF!,'WIP(재공품)'!$B$12:$AB$38,10,0))</f>
        <v>0</v>
      </c>
      <c r="T288" s="6">
        <f>SUMIF('JUNE (물량흐름)'!$C$13:$C$502,'Direct labour(직접노무비)'!C288,'JUNE (물량흐름)'!$Y$13:$Y$502)</f>
        <v>0</v>
      </c>
      <c r="U288" s="6">
        <f t="shared" si="56"/>
        <v>0</v>
      </c>
      <c r="V288" s="6">
        <f>ROUND(SUMIF('JUNE (물량흐름)'!$C$13:$C$502,'Direct labour(직접노무비)'!C288,'JUNE (물량흐름)'!$N$13:$N$502),0)</f>
        <v>0</v>
      </c>
      <c r="W288" s="6">
        <f>ROUND(SUMIF('JUNE (물량흐름)'!$C$13:$C$502,'Direct labour(직접노무비)'!C288,'JUNE (물량흐름)'!$O$13:$O$502),0)</f>
        <v>0</v>
      </c>
      <c r="X288" s="6">
        <f>ROUND(SUMIF('JUNE (물량흐름)'!$C$13:$C$502,'Direct labour(직접노무비)'!C288,'JUNE (물량흐름)'!$P$13:$P$502),0)</f>
        <v>340</v>
      </c>
      <c r="Y288" s="6">
        <f t="shared" si="57"/>
        <v>340</v>
      </c>
      <c r="Z288" s="6">
        <f t="shared" si="58"/>
        <v>272</v>
      </c>
      <c r="AA288" s="6">
        <f t="shared" si="62"/>
        <v>3109642</v>
      </c>
      <c r="AB288" s="389">
        <f t="shared" si="59"/>
        <v>0</v>
      </c>
      <c r="AC288" s="503">
        <f t="shared" si="51"/>
        <v>0</v>
      </c>
      <c r="AD288" s="389">
        <f t="shared" si="60"/>
        <v>0</v>
      </c>
    </row>
    <row r="289" spans="1:30" s="390" customFormat="1">
      <c r="A289" s="167">
        <v>283</v>
      </c>
      <c r="B289" s="267" t="str">
        <f>VLOOKUP(A289,'JUNE (물량흐름)'!$A$13:$C$502,2,0)</f>
        <v>ALFANI</v>
      </c>
      <c r="C289" s="240">
        <f>VLOOKUP(A289,'JUNE (물량흐름)'!$A$13:$C$502,3,0)</f>
        <v>100014860</v>
      </c>
      <c r="D289" s="6">
        <f>VLOOKUP(C289,'WIP(재공품)'!$B$12:$E$493,4,0)</f>
        <v>72560</v>
      </c>
      <c r="E289" s="6">
        <f>IFERROR(VLOOKUP(C289,O.B.JUNE!$AA$7:$AG$448,2,0),0)</f>
        <v>0</v>
      </c>
      <c r="F289" s="6">
        <f>IFERROR(VLOOKUP(C289,O.B.JUNE!$AA$7:$AG$448,3,0),0)</f>
        <v>0</v>
      </c>
      <c r="G289" s="6">
        <f>IFERROR(VLOOKUP(C289,O.B.JUNE!$AA$7:$AD$448,4,0),0)</f>
        <v>21</v>
      </c>
      <c r="H289" s="6">
        <f t="shared" si="53"/>
        <v>21</v>
      </c>
      <c r="I289" s="6">
        <f>IFERROR(VLOOKUP(C289,O.B.JUNE!$AA$7:$AF$448,6,0),0)</f>
        <v>17</v>
      </c>
      <c r="J289" s="6"/>
      <c r="K289" s="6">
        <f>IFERROR(VLOOKUP(C289,O.B.JUNE!$AA$7:$AG$448,7,0),0)</f>
        <v>212355</v>
      </c>
      <c r="L289" s="6">
        <f>SUMIF('JUNE (물량흐름)'!$C$13:$C$502,'Direct labour(직접노무비)'!C289,'JUNE (물량흐름)'!$H$13:$H$502)+SUMIF('JUNE (물량흐름)'!$C$13:$C$502,'Direct labour(직접노무비)'!C289,'JUNE (물량흐름)'!$I$13:$I$502)</f>
        <v>0</v>
      </c>
      <c r="M289" s="6">
        <f t="shared" si="54"/>
        <v>0</v>
      </c>
      <c r="N289" s="6">
        <f t="shared" si="55"/>
        <v>0</v>
      </c>
      <c r="O289" s="6">
        <f t="shared" si="52"/>
        <v>0</v>
      </c>
      <c r="P289" s="6">
        <f>SUMIF('JUNE (물량흐름)'!$C$13:$C$502,C289,'JUNE (물량흐름)'!$T$13:$T$502)+SUMIF('JUNE (물량흐름)'!$C$13:$C$502,C289,'JUNE (물량흐름)'!$V$13:$V$502)+SUMIF('JUNE (물량흐름)'!$C$13:$C$502,C289,'JUNE (물량흐름)'!$U$13:$U$502)-SUMIF('JUNE (물량흐름)'!$C$13:$C$502,C289,'JUNE (물량흐름)'!$Y$13:$Y$502)</f>
        <v>0</v>
      </c>
      <c r="Q289" s="6">
        <f t="shared" si="61"/>
        <v>0</v>
      </c>
      <c r="R289" s="6">
        <f>ROUND(IF(ISERROR(VLOOKUP(#REF!,'WIP(재공품)'!$B$12:$AB$38,13,0)),0,VLOOKUP(#REF!,'WIP(재공품)'!$B$12:$AB$38,13,0)),0)</f>
        <v>0</v>
      </c>
      <c r="S289" s="6">
        <f>IF(ISERROR(VLOOKUP(#REF!,'WIP(재공품)'!$B$12:$AB$38,10,0)),0,VLOOKUP(#REF!,'WIP(재공품)'!$B$12:$AB$38,10,0))</f>
        <v>0</v>
      </c>
      <c r="T289" s="6">
        <f>SUMIF('JUNE (물량흐름)'!$C$13:$C$502,'Direct labour(직접노무비)'!C289,'JUNE (물량흐름)'!$Y$13:$Y$502)</f>
        <v>0</v>
      </c>
      <c r="U289" s="6">
        <f t="shared" si="56"/>
        <v>0</v>
      </c>
      <c r="V289" s="6">
        <f>ROUND(SUMIF('JUNE (물량흐름)'!$C$13:$C$502,'Direct labour(직접노무비)'!C289,'JUNE (물량흐름)'!$N$13:$N$502),0)</f>
        <v>0</v>
      </c>
      <c r="W289" s="6">
        <f>ROUND(SUMIF('JUNE (물량흐름)'!$C$13:$C$502,'Direct labour(직접노무비)'!C289,'JUNE (물량흐름)'!$O$13:$O$502),0)</f>
        <v>0</v>
      </c>
      <c r="X289" s="6">
        <f>ROUND(SUMIF('JUNE (물량흐름)'!$C$13:$C$502,'Direct labour(직접노무비)'!C289,'JUNE (물량흐름)'!$P$13:$P$502),0)</f>
        <v>21</v>
      </c>
      <c r="Y289" s="6">
        <f t="shared" si="57"/>
        <v>21</v>
      </c>
      <c r="Z289" s="6">
        <f t="shared" si="58"/>
        <v>17</v>
      </c>
      <c r="AA289" s="6">
        <f t="shared" si="62"/>
        <v>212355</v>
      </c>
      <c r="AB289" s="389">
        <f t="shared" si="59"/>
        <v>0</v>
      </c>
      <c r="AC289" s="503">
        <f t="shared" si="51"/>
        <v>0</v>
      </c>
      <c r="AD289" s="389">
        <f t="shared" si="60"/>
        <v>0</v>
      </c>
    </row>
    <row r="290" spans="1:30" s="390" customFormat="1">
      <c r="A290" s="167">
        <v>284</v>
      </c>
      <c r="B290" s="267" t="str">
        <f>VLOOKUP(A290,'JUNE (물량흐름)'!$A$13:$C$502,2,0)</f>
        <v>ALFANI</v>
      </c>
      <c r="C290" s="240">
        <f>VLOOKUP(A290,'JUNE (물량흐름)'!$A$13:$C$502,3,0)</f>
        <v>100014861</v>
      </c>
      <c r="D290" s="6">
        <f>VLOOKUP(C290,'WIP(재공품)'!$B$12:$E$493,4,0)</f>
        <v>7936.2499999999991</v>
      </c>
      <c r="E290" s="6">
        <f>IFERROR(VLOOKUP(C290,O.B.JUNE!$AA$7:$AG$448,2,0),0)</f>
        <v>0</v>
      </c>
      <c r="F290" s="6">
        <f>IFERROR(VLOOKUP(C290,O.B.JUNE!$AA$7:$AG$448,3,0),0)</f>
        <v>0</v>
      </c>
      <c r="G290" s="6">
        <f>IFERROR(VLOOKUP(C290,O.B.JUNE!$AA$7:$AD$448,4,0),0)</f>
        <v>6</v>
      </c>
      <c r="H290" s="6">
        <f t="shared" si="53"/>
        <v>6</v>
      </c>
      <c r="I290" s="6">
        <f>IFERROR(VLOOKUP(C290,O.B.JUNE!$AA$7:$AF$448,6,0),0)</f>
        <v>5</v>
      </c>
      <c r="J290" s="6"/>
      <c r="K290" s="6">
        <f>IFERROR(VLOOKUP(C290,O.B.JUNE!$AA$7:$AG$448,7,0),0)</f>
        <v>75471</v>
      </c>
      <c r="L290" s="6">
        <f>SUMIF('JUNE (물량흐름)'!$C$13:$C$502,'Direct labour(직접노무비)'!C290,'JUNE (물량흐름)'!$H$13:$H$502)+SUMIF('JUNE (물량흐름)'!$C$13:$C$502,'Direct labour(직접노무비)'!C290,'JUNE (물량흐름)'!$I$13:$I$502)</f>
        <v>0</v>
      </c>
      <c r="M290" s="6">
        <f t="shared" si="54"/>
        <v>0</v>
      </c>
      <c r="N290" s="6">
        <f t="shared" si="55"/>
        <v>0</v>
      </c>
      <c r="O290" s="6">
        <f t="shared" si="52"/>
        <v>0</v>
      </c>
      <c r="P290" s="6">
        <f>SUMIF('JUNE (물량흐름)'!$C$13:$C$502,C290,'JUNE (물량흐름)'!$T$13:$T$502)+SUMIF('JUNE (물량흐름)'!$C$13:$C$502,C290,'JUNE (물량흐름)'!$V$13:$V$502)+SUMIF('JUNE (물량흐름)'!$C$13:$C$502,C290,'JUNE (물량흐름)'!$U$13:$U$502)-SUMIF('JUNE (물량흐름)'!$C$13:$C$502,C290,'JUNE (물량흐름)'!$Y$13:$Y$502)</f>
        <v>0</v>
      </c>
      <c r="Q290" s="6">
        <f t="shared" si="61"/>
        <v>0</v>
      </c>
      <c r="R290" s="6">
        <f>ROUND(IF(ISERROR(VLOOKUP(#REF!,'WIP(재공품)'!$B$12:$AB$38,13,0)),0,VLOOKUP(#REF!,'WIP(재공품)'!$B$12:$AB$38,13,0)),0)</f>
        <v>0</v>
      </c>
      <c r="S290" s="6">
        <f>IF(ISERROR(VLOOKUP(#REF!,'WIP(재공품)'!$B$12:$AB$38,10,0)),0,VLOOKUP(#REF!,'WIP(재공품)'!$B$12:$AB$38,10,0))</f>
        <v>0</v>
      </c>
      <c r="T290" s="6">
        <f>SUMIF('JUNE (물량흐름)'!$C$13:$C$502,'Direct labour(직접노무비)'!C290,'JUNE (물량흐름)'!$Y$13:$Y$502)</f>
        <v>0</v>
      </c>
      <c r="U290" s="6">
        <f t="shared" si="56"/>
        <v>0</v>
      </c>
      <c r="V290" s="6">
        <f>ROUND(SUMIF('JUNE (물량흐름)'!$C$13:$C$502,'Direct labour(직접노무비)'!C290,'JUNE (물량흐름)'!$N$13:$N$502),0)</f>
        <v>0</v>
      </c>
      <c r="W290" s="6">
        <f>ROUND(SUMIF('JUNE (물량흐름)'!$C$13:$C$502,'Direct labour(직접노무비)'!C290,'JUNE (물량흐름)'!$O$13:$O$502),0)</f>
        <v>0</v>
      </c>
      <c r="X290" s="6">
        <f>ROUND(SUMIF('JUNE (물량흐름)'!$C$13:$C$502,'Direct labour(직접노무비)'!C290,'JUNE (물량흐름)'!$P$13:$P$502),0)</f>
        <v>6</v>
      </c>
      <c r="Y290" s="6">
        <f t="shared" si="57"/>
        <v>6</v>
      </c>
      <c r="Z290" s="6">
        <f t="shared" si="58"/>
        <v>5</v>
      </c>
      <c r="AA290" s="6">
        <f t="shared" si="62"/>
        <v>75471</v>
      </c>
      <c r="AB290" s="389">
        <f t="shared" si="59"/>
        <v>0</v>
      </c>
      <c r="AC290" s="503">
        <f t="shared" si="51"/>
        <v>0</v>
      </c>
      <c r="AD290" s="389">
        <f t="shared" si="60"/>
        <v>0</v>
      </c>
    </row>
    <row r="291" spans="1:30" s="390" customFormat="1">
      <c r="A291" s="167">
        <v>285</v>
      </c>
      <c r="B291" s="267" t="str">
        <f>VLOOKUP(A291,'JUNE (물량흐름)'!$A$13:$C$502,2,0)</f>
        <v>ALFANI</v>
      </c>
      <c r="C291" s="240">
        <f>VLOOKUP(A291,'JUNE (물량흐름)'!$A$13:$C$502,3,0)</f>
        <v>100014862</v>
      </c>
      <c r="D291" s="6">
        <f>VLOOKUP(C291,'WIP(재공품)'!$B$12:$E$493,4,0)</f>
        <v>7936.2499999999991</v>
      </c>
      <c r="E291" s="6">
        <f>IFERROR(VLOOKUP(C291,O.B.JUNE!$AA$7:$AG$448,2,0),0)</f>
        <v>0</v>
      </c>
      <c r="F291" s="6">
        <f>IFERROR(VLOOKUP(C291,O.B.JUNE!$AA$7:$AG$448,3,0),0)</f>
        <v>0</v>
      </c>
      <c r="G291" s="6">
        <f>IFERROR(VLOOKUP(C291,O.B.JUNE!$AA$7:$AD$448,4,0),0)</f>
        <v>54</v>
      </c>
      <c r="H291" s="6">
        <f t="shared" si="53"/>
        <v>54</v>
      </c>
      <c r="I291" s="6">
        <f>IFERROR(VLOOKUP(C291,O.B.JUNE!$AA$7:$AF$448,6,0),0)</f>
        <v>43</v>
      </c>
      <c r="J291" s="6"/>
      <c r="K291" s="6">
        <f>IFERROR(VLOOKUP(C291,O.B.JUNE!$AA$7:$AG$448,7,0),0)</f>
        <v>338896</v>
      </c>
      <c r="L291" s="6">
        <f>SUMIF('JUNE (물량흐름)'!$C$13:$C$502,'Direct labour(직접노무비)'!C291,'JUNE (물량흐름)'!$H$13:$H$502)+SUMIF('JUNE (물량흐름)'!$C$13:$C$502,'Direct labour(직접노무비)'!C291,'JUNE (물량흐름)'!$I$13:$I$502)</f>
        <v>0</v>
      </c>
      <c r="M291" s="6">
        <f t="shared" si="54"/>
        <v>0</v>
      </c>
      <c r="N291" s="6">
        <f t="shared" si="55"/>
        <v>0</v>
      </c>
      <c r="O291" s="6">
        <f t="shared" si="52"/>
        <v>0</v>
      </c>
      <c r="P291" s="6">
        <f>SUMIF('JUNE (물량흐름)'!$C$13:$C$502,C291,'JUNE (물량흐름)'!$T$13:$T$502)+SUMIF('JUNE (물량흐름)'!$C$13:$C$502,C291,'JUNE (물량흐름)'!$V$13:$V$502)+SUMIF('JUNE (물량흐름)'!$C$13:$C$502,C291,'JUNE (물량흐름)'!$U$13:$U$502)-SUMIF('JUNE (물량흐름)'!$C$13:$C$502,C291,'JUNE (물량흐름)'!$Y$13:$Y$502)</f>
        <v>0</v>
      </c>
      <c r="Q291" s="6">
        <f t="shared" si="61"/>
        <v>0</v>
      </c>
      <c r="R291" s="6">
        <f>ROUND(IF(ISERROR(VLOOKUP(#REF!,'WIP(재공품)'!$B$12:$AB$38,13,0)),0,VLOOKUP(#REF!,'WIP(재공품)'!$B$12:$AB$38,13,0)),0)</f>
        <v>0</v>
      </c>
      <c r="S291" s="6">
        <f>IF(ISERROR(VLOOKUP(#REF!,'WIP(재공품)'!$B$12:$AB$38,10,0)),0,VLOOKUP(#REF!,'WIP(재공품)'!$B$12:$AB$38,10,0))</f>
        <v>0</v>
      </c>
      <c r="T291" s="6">
        <f>SUMIF('JUNE (물량흐름)'!$C$13:$C$502,'Direct labour(직접노무비)'!C291,'JUNE (물량흐름)'!$Y$13:$Y$502)</f>
        <v>0</v>
      </c>
      <c r="U291" s="6">
        <f t="shared" si="56"/>
        <v>0</v>
      </c>
      <c r="V291" s="6">
        <f>ROUND(SUMIF('JUNE (물량흐름)'!$C$13:$C$502,'Direct labour(직접노무비)'!C291,'JUNE (물량흐름)'!$N$13:$N$502),0)</f>
        <v>0</v>
      </c>
      <c r="W291" s="6">
        <f>ROUND(SUMIF('JUNE (물량흐름)'!$C$13:$C$502,'Direct labour(직접노무비)'!C291,'JUNE (물량흐름)'!$O$13:$O$502),0)</f>
        <v>0</v>
      </c>
      <c r="X291" s="6">
        <f>ROUND(SUMIF('JUNE (물량흐름)'!$C$13:$C$502,'Direct labour(직접노무비)'!C291,'JUNE (물량흐름)'!$P$13:$P$502),0)</f>
        <v>54</v>
      </c>
      <c r="Y291" s="6">
        <f t="shared" si="57"/>
        <v>54</v>
      </c>
      <c r="Z291" s="6">
        <f t="shared" si="58"/>
        <v>43</v>
      </c>
      <c r="AA291" s="6">
        <f t="shared" si="62"/>
        <v>338896</v>
      </c>
      <c r="AB291" s="389">
        <f t="shared" si="59"/>
        <v>0</v>
      </c>
      <c r="AC291" s="503">
        <f t="shared" si="51"/>
        <v>0</v>
      </c>
      <c r="AD291" s="389">
        <f t="shared" si="60"/>
        <v>0</v>
      </c>
    </row>
    <row r="292" spans="1:30" s="390" customFormat="1">
      <c r="A292" s="167">
        <v>286</v>
      </c>
      <c r="B292" s="267" t="str">
        <f>VLOOKUP(A292,'JUNE (물량흐름)'!$A$13:$C$502,2,0)</f>
        <v>ALFANI</v>
      </c>
      <c r="C292" s="240">
        <f>VLOOKUP(A292,'JUNE (물량흐름)'!$A$13:$C$502,3,0)</f>
        <v>100014863</v>
      </c>
      <c r="D292" s="6">
        <f>VLOOKUP(C292,'WIP(재공품)'!$B$12:$E$493,4,0)</f>
        <v>7936.2499999999991</v>
      </c>
      <c r="E292" s="6">
        <f>IFERROR(VLOOKUP(C292,O.B.JUNE!$AA$7:$AG$448,2,0),0)</f>
        <v>0</v>
      </c>
      <c r="F292" s="6">
        <f>IFERROR(VLOOKUP(C292,O.B.JUNE!$AA$7:$AG$448,3,0),0)</f>
        <v>360</v>
      </c>
      <c r="G292" s="6">
        <f>IFERROR(VLOOKUP(C292,O.B.JUNE!$AA$7:$AD$448,4,0),0)</f>
        <v>1296</v>
      </c>
      <c r="H292" s="6">
        <f t="shared" si="53"/>
        <v>1656</v>
      </c>
      <c r="I292" s="6">
        <f>IFERROR(VLOOKUP(C292,O.B.JUNE!$AA$7:$AF$448,6,0),0)</f>
        <v>1217</v>
      </c>
      <c r="J292" s="6"/>
      <c r="K292" s="6">
        <f>IFERROR(VLOOKUP(C292,O.B.JUNE!$AA$7:$AG$448,7,0),0)</f>
        <v>11780529</v>
      </c>
      <c r="L292" s="6">
        <f>SUMIF('JUNE (물량흐름)'!$C$13:$C$502,'Direct labour(직접노무비)'!C292,'JUNE (물량흐름)'!$H$13:$H$502)+SUMIF('JUNE (물량흐름)'!$C$13:$C$502,'Direct labour(직접노무비)'!C292,'JUNE (물량흐름)'!$I$13:$I$502)</f>
        <v>0</v>
      </c>
      <c r="M292" s="6">
        <f t="shared" si="54"/>
        <v>0</v>
      </c>
      <c r="N292" s="6">
        <f t="shared" si="55"/>
        <v>0</v>
      </c>
      <c r="O292" s="6">
        <f t="shared" si="52"/>
        <v>0</v>
      </c>
      <c r="P292" s="6">
        <f>SUMIF('JUNE (물량흐름)'!$C$13:$C$502,C292,'JUNE (물량흐름)'!$T$13:$T$502)+SUMIF('JUNE (물량흐름)'!$C$13:$C$502,C292,'JUNE (물량흐름)'!$V$13:$V$502)+SUMIF('JUNE (물량흐름)'!$C$13:$C$502,C292,'JUNE (물량흐름)'!$U$13:$U$502)-SUMIF('JUNE (물량흐름)'!$C$13:$C$502,C292,'JUNE (물량흐름)'!$Y$13:$Y$502)</f>
        <v>0</v>
      </c>
      <c r="Q292" s="6">
        <f t="shared" si="61"/>
        <v>0</v>
      </c>
      <c r="R292" s="6">
        <f>ROUND(IF(ISERROR(VLOOKUP(#REF!,'WIP(재공품)'!$B$12:$AB$38,13,0)),0,VLOOKUP(#REF!,'WIP(재공품)'!$B$12:$AB$38,13,0)),0)</f>
        <v>0</v>
      </c>
      <c r="S292" s="6">
        <f>IF(ISERROR(VLOOKUP(#REF!,'WIP(재공품)'!$B$12:$AB$38,10,0)),0,VLOOKUP(#REF!,'WIP(재공품)'!$B$12:$AB$38,10,0))</f>
        <v>0</v>
      </c>
      <c r="T292" s="6">
        <f>SUMIF('JUNE (물량흐름)'!$C$13:$C$502,'Direct labour(직접노무비)'!C292,'JUNE (물량흐름)'!$Y$13:$Y$502)</f>
        <v>0</v>
      </c>
      <c r="U292" s="6">
        <f t="shared" si="56"/>
        <v>0</v>
      </c>
      <c r="V292" s="6">
        <f>ROUND(SUMIF('JUNE (물량흐름)'!$C$13:$C$502,'Direct labour(직접노무비)'!C292,'JUNE (물량흐름)'!$N$13:$N$502),0)</f>
        <v>0</v>
      </c>
      <c r="W292" s="6">
        <f>ROUND(SUMIF('JUNE (물량흐름)'!$C$13:$C$502,'Direct labour(직접노무비)'!C292,'JUNE (물량흐름)'!$O$13:$O$502),0)</f>
        <v>360</v>
      </c>
      <c r="X292" s="6">
        <f>ROUND(SUMIF('JUNE (물량흐름)'!$C$13:$C$502,'Direct labour(직접노무비)'!C292,'JUNE (물량흐름)'!$P$13:$P$502),0)</f>
        <v>1296</v>
      </c>
      <c r="Y292" s="6">
        <f t="shared" si="57"/>
        <v>1656</v>
      </c>
      <c r="Z292" s="6">
        <f t="shared" si="58"/>
        <v>1217</v>
      </c>
      <c r="AA292" s="6">
        <f t="shared" si="62"/>
        <v>11780529</v>
      </c>
      <c r="AB292" s="389">
        <f t="shared" si="59"/>
        <v>0</v>
      </c>
      <c r="AC292" s="503">
        <f t="shared" si="51"/>
        <v>0</v>
      </c>
      <c r="AD292" s="389">
        <f t="shared" si="60"/>
        <v>0</v>
      </c>
    </row>
    <row r="293" spans="1:30" s="390" customFormat="1">
      <c r="A293" s="167">
        <v>287</v>
      </c>
      <c r="B293" s="267" t="str">
        <f>VLOOKUP(A293,'JUNE (물량흐름)'!$A$13:$C$502,2,0)</f>
        <v>ALFANI</v>
      </c>
      <c r="C293" s="240">
        <f>VLOOKUP(A293,'JUNE (물량흐름)'!$A$13:$C$502,3,0)</f>
        <v>100014864</v>
      </c>
      <c r="D293" s="6">
        <f>VLOOKUP(C293,'WIP(재공품)'!$B$12:$E$493,4,0)</f>
        <v>8163</v>
      </c>
      <c r="E293" s="6">
        <f>IFERROR(VLOOKUP(C293,O.B.JUNE!$AA$7:$AG$448,2,0),0)</f>
        <v>0</v>
      </c>
      <c r="F293" s="6">
        <f>IFERROR(VLOOKUP(C293,O.B.JUNE!$AA$7:$AG$448,3,0),0)</f>
        <v>0</v>
      </c>
      <c r="G293" s="6">
        <f>IFERROR(VLOOKUP(C293,O.B.JUNE!$AA$7:$AD$448,4,0),0)</f>
        <v>44</v>
      </c>
      <c r="H293" s="6">
        <f t="shared" si="53"/>
        <v>44</v>
      </c>
      <c r="I293" s="6">
        <f>IFERROR(VLOOKUP(C293,O.B.JUNE!$AA$7:$AF$448,6,0),0)</f>
        <v>35</v>
      </c>
      <c r="J293" s="6"/>
      <c r="K293" s="6">
        <f>IFERROR(VLOOKUP(C293,O.B.JUNE!$AA$7:$AG$448,7,0),0)</f>
        <v>312473</v>
      </c>
      <c r="L293" s="6">
        <f>SUMIF('JUNE (물량흐름)'!$C$13:$C$502,'Direct labour(직접노무비)'!C293,'JUNE (물량흐름)'!$H$13:$H$502)+SUMIF('JUNE (물량흐름)'!$C$13:$C$502,'Direct labour(직접노무비)'!C293,'JUNE (물량흐름)'!$I$13:$I$502)</f>
        <v>0</v>
      </c>
      <c r="M293" s="6">
        <f t="shared" si="54"/>
        <v>0</v>
      </c>
      <c r="N293" s="6">
        <f t="shared" si="55"/>
        <v>0</v>
      </c>
      <c r="O293" s="6">
        <f t="shared" si="52"/>
        <v>0</v>
      </c>
      <c r="P293" s="6">
        <f>SUMIF('JUNE (물량흐름)'!$C$13:$C$502,C293,'JUNE (물량흐름)'!$T$13:$T$502)+SUMIF('JUNE (물량흐름)'!$C$13:$C$502,C293,'JUNE (물량흐름)'!$V$13:$V$502)+SUMIF('JUNE (물량흐름)'!$C$13:$C$502,C293,'JUNE (물량흐름)'!$U$13:$U$502)-SUMIF('JUNE (물량흐름)'!$C$13:$C$502,C293,'JUNE (물량흐름)'!$Y$13:$Y$502)</f>
        <v>0</v>
      </c>
      <c r="Q293" s="6">
        <f t="shared" si="61"/>
        <v>0</v>
      </c>
      <c r="R293" s="6">
        <f>ROUND(IF(ISERROR(VLOOKUP(#REF!,'WIP(재공품)'!$B$12:$AB$38,13,0)),0,VLOOKUP(#REF!,'WIP(재공품)'!$B$12:$AB$38,13,0)),0)</f>
        <v>0</v>
      </c>
      <c r="S293" s="6">
        <f>IF(ISERROR(VLOOKUP(#REF!,'WIP(재공품)'!$B$12:$AB$38,10,0)),0,VLOOKUP(#REF!,'WIP(재공품)'!$B$12:$AB$38,10,0))</f>
        <v>0</v>
      </c>
      <c r="T293" s="6">
        <f>SUMIF('JUNE (물량흐름)'!$C$13:$C$502,'Direct labour(직접노무비)'!C293,'JUNE (물량흐름)'!$Y$13:$Y$502)</f>
        <v>0</v>
      </c>
      <c r="U293" s="6">
        <f t="shared" si="56"/>
        <v>0</v>
      </c>
      <c r="V293" s="6">
        <f>ROUND(SUMIF('JUNE (물량흐름)'!$C$13:$C$502,'Direct labour(직접노무비)'!C293,'JUNE (물량흐름)'!$N$13:$N$502),0)</f>
        <v>0</v>
      </c>
      <c r="W293" s="6">
        <f>ROUND(SUMIF('JUNE (물량흐름)'!$C$13:$C$502,'Direct labour(직접노무비)'!C293,'JUNE (물량흐름)'!$O$13:$O$502),0)</f>
        <v>0</v>
      </c>
      <c r="X293" s="6">
        <f>ROUND(SUMIF('JUNE (물량흐름)'!$C$13:$C$502,'Direct labour(직접노무비)'!C293,'JUNE (물량흐름)'!$P$13:$P$502),0)</f>
        <v>44</v>
      </c>
      <c r="Y293" s="6">
        <f t="shared" si="57"/>
        <v>44</v>
      </c>
      <c r="Z293" s="6">
        <f t="shared" si="58"/>
        <v>35</v>
      </c>
      <c r="AA293" s="6">
        <f t="shared" si="62"/>
        <v>312473</v>
      </c>
      <c r="AB293" s="389">
        <f t="shared" si="59"/>
        <v>0</v>
      </c>
      <c r="AC293" s="503">
        <f t="shared" si="51"/>
        <v>0</v>
      </c>
      <c r="AD293" s="389">
        <f t="shared" si="60"/>
        <v>0</v>
      </c>
    </row>
    <row r="294" spans="1:30" s="390" customFormat="1">
      <c r="A294" s="167">
        <v>288</v>
      </c>
      <c r="B294" s="267" t="str">
        <f>VLOOKUP(A294,'JUNE (물량흐름)'!$A$13:$C$502,2,0)</f>
        <v>ALFANI</v>
      </c>
      <c r="C294" s="240">
        <f>VLOOKUP(A294,'JUNE (물량흐름)'!$A$13:$C$502,3,0)</f>
        <v>100014869</v>
      </c>
      <c r="D294" s="6">
        <f>VLOOKUP(C294,'WIP(재공품)'!$B$12:$E$493,4,0)</f>
        <v>7936.2499999999991</v>
      </c>
      <c r="E294" s="6">
        <f>IFERROR(VLOOKUP(C294,O.B.JUNE!$AA$7:$AG$448,2,0),0)</f>
        <v>0</v>
      </c>
      <c r="F294" s="6">
        <f>IFERROR(VLOOKUP(C294,O.B.JUNE!$AA$7:$AG$448,3,0),0)</f>
        <v>24</v>
      </c>
      <c r="G294" s="6">
        <f>IFERROR(VLOOKUP(C294,O.B.JUNE!$AA$7:$AD$448,4,0),0)</f>
        <v>18</v>
      </c>
      <c r="H294" s="6">
        <f t="shared" si="53"/>
        <v>42</v>
      </c>
      <c r="I294" s="6">
        <f>IFERROR(VLOOKUP(C294,O.B.JUNE!$AA$7:$AF$448,6,0),0)</f>
        <v>26</v>
      </c>
      <c r="J294" s="6"/>
      <c r="K294" s="6">
        <f>IFERROR(VLOOKUP(C294,O.B.JUNE!$AA$7:$AG$448,7,0),0)</f>
        <v>460303</v>
      </c>
      <c r="L294" s="6">
        <f>SUMIF('JUNE (물량흐름)'!$C$13:$C$502,'Direct labour(직접노무비)'!C294,'JUNE (물량흐름)'!$H$13:$H$502)+SUMIF('JUNE (물량흐름)'!$C$13:$C$502,'Direct labour(직접노무비)'!C294,'JUNE (물량흐름)'!$I$13:$I$502)</f>
        <v>0</v>
      </c>
      <c r="M294" s="6">
        <f t="shared" si="54"/>
        <v>0</v>
      </c>
      <c r="N294" s="6">
        <f t="shared" si="55"/>
        <v>0</v>
      </c>
      <c r="O294" s="6">
        <f t="shared" si="52"/>
        <v>0</v>
      </c>
      <c r="P294" s="6">
        <f>SUMIF('JUNE (물량흐름)'!$C$13:$C$502,C294,'JUNE (물량흐름)'!$T$13:$T$502)+SUMIF('JUNE (물량흐름)'!$C$13:$C$502,C294,'JUNE (물량흐름)'!$V$13:$V$502)+SUMIF('JUNE (물량흐름)'!$C$13:$C$502,C294,'JUNE (물량흐름)'!$U$13:$U$502)-SUMIF('JUNE (물량흐름)'!$C$13:$C$502,C294,'JUNE (물량흐름)'!$Y$13:$Y$502)</f>
        <v>0</v>
      </c>
      <c r="Q294" s="6">
        <f t="shared" si="61"/>
        <v>0</v>
      </c>
      <c r="R294" s="6">
        <f>ROUND(IF(ISERROR(VLOOKUP(#REF!,'WIP(재공품)'!$B$12:$AB$38,13,0)),0,VLOOKUP(#REF!,'WIP(재공품)'!$B$12:$AB$38,13,0)),0)</f>
        <v>0</v>
      </c>
      <c r="S294" s="6">
        <f>IF(ISERROR(VLOOKUP(#REF!,'WIP(재공품)'!$B$12:$AB$38,10,0)),0,VLOOKUP(#REF!,'WIP(재공품)'!$B$12:$AB$38,10,0))</f>
        <v>0</v>
      </c>
      <c r="T294" s="6">
        <f>SUMIF('JUNE (물량흐름)'!$C$13:$C$502,'Direct labour(직접노무비)'!C294,'JUNE (물량흐름)'!$Y$13:$Y$502)</f>
        <v>0</v>
      </c>
      <c r="U294" s="6">
        <f t="shared" si="56"/>
        <v>0</v>
      </c>
      <c r="V294" s="6">
        <f>ROUND(SUMIF('JUNE (물량흐름)'!$C$13:$C$502,'Direct labour(직접노무비)'!C294,'JUNE (물량흐름)'!$N$13:$N$502),0)</f>
        <v>0</v>
      </c>
      <c r="W294" s="6">
        <f>ROUND(SUMIF('JUNE (물량흐름)'!$C$13:$C$502,'Direct labour(직접노무비)'!C294,'JUNE (물량흐름)'!$O$13:$O$502),0)</f>
        <v>24</v>
      </c>
      <c r="X294" s="6">
        <f>ROUND(SUMIF('JUNE (물량흐름)'!$C$13:$C$502,'Direct labour(직접노무비)'!C294,'JUNE (물량흐름)'!$P$13:$P$502),0)</f>
        <v>18</v>
      </c>
      <c r="Y294" s="6">
        <f t="shared" si="57"/>
        <v>42</v>
      </c>
      <c r="Z294" s="6">
        <f t="shared" si="58"/>
        <v>26</v>
      </c>
      <c r="AA294" s="6">
        <f t="shared" si="62"/>
        <v>460303</v>
      </c>
      <c r="AB294" s="389">
        <f t="shared" si="59"/>
        <v>0</v>
      </c>
      <c r="AC294" s="503">
        <f t="shared" si="51"/>
        <v>0</v>
      </c>
      <c r="AD294" s="389">
        <f t="shared" si="60"/>
        <v>0</v>
      </c>
    </row>
    <row r="295" spans="1:30" s="390" customFormat="1">
      <c r="A295" s="167">
        <v>289</v>
      </c>
      <c r="B295" s="267" t="str">
        <f>VLOOKUP(A295,'JUNE (물량흐름)'!$A$13:$C$502,2,0)</f>
        <v>ALFANI</v>
      </c>
      <c r="C295" s="240">
        <f>VLOOKUP(A295,'JUNE (물량흐름)'!$A$13:$C$502,3,0)</f>
        <v>100015148</v>
      </c>
      <c r="D295" s="6">
        <f>VLOOKUP(C295,'WIP(재공품)'!$B$12:$E$493,4,0)</f>
        <v>7936.2499999999991</v>
      </c>
      <c r="E295" s="6">
        <f>IFERROR(VLOOKUP(C295,O.B.JUNE!$AA$7:$AG$448,2,0),0)</f>
        <v>0</v>
      </c>
      <c r="F295" s="6">
        <f>IFERROR(VLOOKUP(C295,O.B.JUNE!$AA$7:$AG$448,3,0),0)</f>
        <v>0</v>
      </c>
      <c r="G295" s="6">
        <f>IFERROR(VLOOKUP(C295,O.B.JUNE!$AA$7:$AD$448,4,0),0)</f>
        <v>53</v>
      </c>
      <c r="H295" s="6">
        <f t="shared" si="53"/>
        <v>53</v>
      </c>
      <c r="I295" s="6">
        <f>IFERROR(VLOOKUP(C295,O.B.JUNE!$AA$7:$AF$448,6,0),0)</f>
        <v>42</v>
      </c>
      <c r="J295" s="6"/>
      <c r="K295" s="6">
        <f>IFERROR(VLOOKUP(C295,O.B.JUNE!$AA$7:$AG$448,7,0),0)</f>
        <v>655662</v>
      </c>
      <c r="L295" s="6">
        <f>SUMIF('JUNE (물량흐름)'!$C$13:$C$502,'Direct labour(직접노무비)'!C295,'JUNE (물량흐름)'!$H$13:$H$502)+SUMIF('JUNE (물량흐름)'!$C$13:$C$502,'Direct labour(직접노무비)'!C295,'JUNE (물량흐름)'!$I$13:$I$502)</f>
        <v>0</v>
      </c>
      <c r="M295" s="6">
        <f t="shared" si="54"/>
        <v>0</v>
      </c>
      <c r="N295" s="6">
        <f t="shared" si="55"/>
        <v>0</v>
      </c>
      <c r="O295" s="6">
        <f t="shared" si="52"/>
        <v>0</v>
      </c>
      <c r="P295" s="6">
        <f>SUMIF('JUNE (물량흐름)'!$C$13:$C$502,C295,'JUNE (물량흐름)'!$T$13:$T$502)+SUMIF('JUNE (물량흐름)'!$C$13:$C$502,C295,'JUNE (물량흐름)'!$V$13:$V$502)+SUMIF('JUNE (물량흐름)'!$C$13:$C$502,C295,'JUNE (물량흐름)'!$U$13:$U$502)-SUMIF('JUNE (물량흐름)'!$C$13:$C$502,C295,'JUNE (물량흐름)'!$Y$13:$Y$502)</f>
        <v>0</v>
      </c>
      <c r="Q295" s="6">
        <f t="shared" si="61"/>
        <v>0</v>
      </c>
      <c r="R295" s="6">
        <f>ROUND(IF(ISERROR(VLOOKUP(#REF!,'WIP(재공품)'!$B$12:$AB$38,13,0)),0,VLOOKUP(#REF!,'WIP(재공품)'!$B$12:$AB$38,13,0)),0)</f>
        <v>0</v>
      </c>
      <c r="S295" s="6">
        <f>IF(ISERROR(VLOOKUP(#REF!,'WIP(재공품)'!$B$12:$AB$38,10,0)),0,VLOOKUP(#REF!,'WIP(재공품)'!$B$12:$AB$38,10,0))</f>
        <v>0</v>
      </c>
      <c r="T295" s="6">
        <f>SUMIF('JUNE (물량흐름)'!$C$13:$C$502,'Direct labour(직접노무비)'!C295,'JUNE (물량흐름)'!$Y$13:$Y$502)</f>
        <v>0</v>
      </c>
      <c r="U295" s="6">
        <f t="shared" si="56"/>
        <v>0</v>
      </c>
      <c r="V295" s="6">
        <f>ROUND(SUMIF('JUNE (물량흐름)'!$C$13:$C$502,'Direct labour(직접노무비)'!C295,'JUNE (물량흐름)'!$N$13:$N$502),0)</f>
        <v>0</v>
      </c>
      <c r="W295" s="6">
        <f>ROUND(SUMIF('JUNE (물량흐름)'!$C$13:$C$502,'Direct labour(직접노무비)'!C295,'JUNE (물량흐름)'!$O$13:$O$502),0)</f>
        <v>0</v>
      </c>
      <c r="X295" s="6">
        <f>ROUND(SUMIF('JUNE (물량흐름)'!$C$13:$C$502,'Direct labour(직접노무비)'!C295,'JUNE (물량흐름)'!$P$13:$P$502),0)</f>
        <v>53</v>
      </c>
      <c r="Y295" s="6">
        <f t="shared" si="57"/>
        <v>53</v>
      </c>
      <c r="Z295" s="6">
        <f t="shared" si="58"/>
        <v>42</v>
      </c>
      <c r="AA295" s="6">
        <f t="shared" si="62"/>
        <v>655662</v>
      </c>
      <c r="AB295" s="389">
        <f t="shared" si="59"/>
        <v>0</v>
      </c>
      <c r="AC295" s="503">
        <f t="shared" si="51"/>
        <v>0</v>
      </c>
      <c r="AD295" s="389">
        <f t="shared" si="60"/>
        <v>0</v>
      </c>
    </row>
    <row r="296" spans="1:30" s="390" customFormat="1">
      <c r="A296" s="167">
        <v>290</v>
      </c>
      <c r="B296" s="267" t="str">
        <f>VLOOKUP(A296,'JUNE (물량흐름)'!$A$13:$C$502,2,0)</f>
        <v>ALFANI</v>
      </c>
      <c r="C296" s="240">
        <f>VLOOKUP(A296,'JUNE (물량흐름)'!$A$13:$C$502,3,0)</f>
        <v>100015173</v>
      </c>
      <c r="D296" s="6">
        <f>VLOOKUP(C296,'WIP(재공품)'!$B$12:$E$493,4,0)</f>
        <v>7936.2499999999991</v>
      </c>
      <c r="E296" s="6">
        <f>IFERROR(VLOOKUP(C296,O.B.JUNE!$AA$7:$AG$448,2,0),0)</f>
        <v>0</v>
      </c>
      <c r="F296" s="6">
        <f>IFERROR(VLOOKUP(C296,O.B.JUNE!$AA$7:$AG$448,3,0),0)</f>
        <v>0</v>
      </c>
      <c r="G296" s="6">
        <f>IFERROR(VLOOKUP(C296,O.B.JUNE!$AA$7:$AD$448,4,0),0)</f>
        <v>18</v>
      </c>
      <c r="H296" s="6">
        <f t="shared" si="53"/>
        <v>18</v>
      </c>
      <c r="I296" s="6">
        <f>IFERROR(VLOOKUP(C296,O.B.JUNE!$AA$7:$AF$448,6,0),0)</f>
        <v>14</v>
      </c>
      <c r="J296" s="6"/>
      <c r="K296" s="6">
        <f>IFERROR(VLOOKUP(C296,O.B.JUNE!$AA$7:$AG$448,7,0),0)</f>
        <v>341080</v>
      </c>
      <c r="L296" s="6">
        <f>SUMIF('JUNE (물량흐름)'!$C$13:$C$502,'Direct labour(직접노무비)'!C296,'JUNE (물량흐름)'!$H$13:$H$502)+SUMIF('JUNE (물량흐름)'!$C$13:$C$502,'Direct labour(직접노무비)'!C296,'JUNE (물량흐름)'!$I$13:$I$502)</f>
        <v>0</v>
      </c>
      <c r="M296" s="6">
        <f t="shared" si="54"/>
        <v>0</v>
      </c>
      <c r="N296" s="6">
        <f t="shared" si="55"/>
        <v>0</v>
      </c>
      <c r="O296" s="6">
        <f t="shared" si="52"/>
        <v>0</v>
      </c>
      <c r="P296" s="6">
        <f>SUMIF('JUNE (물량흐름)'!$C$13:$C$502,C296,'JUNE (물량흐름)'!$T$13:$T$502)+SUMIF('JUNE (물량흐름)'!$C$13:$C$502,C296,'JUNE (물량흐름)'!$V$13:$V$502)+SUMIF('JUNE (물량흐름)'!$C$13:$C$502,C296,'JUNE (물량흐름)'!$U$13:$U$502)-SUMIF('JUNE (물량흐름)'!$C$13:$C$502,C296,'JUNE (물량흐름)'!$Y$13:$Y$502)</f>
        <v>0</v>
      </c>
      <c r="Q296" s="6">
        <f t="shared" si="61"/>
        <v>0</v>
      </c>
      <c r="R296" s="6">
        <f>ROUND(IF(ISERROR(VLOOKUP(#REF!,'WIP(재공품)'!$B$12:$AB$38,13,0)),0,VLOOKUP(#REF!,'WIP(재공품)'!$B$12:$AB$38,13,0)),0)</f>
        <v>0</v>
      </c>
      <c r="S296" s="6">
        <f>IF(ISERROR(VLOOKUP(#REF!,'WIP(재공품)'!$B$12:$AB$38,10,0)),0,VLOOKUP(#REF!,'WIP(재공품)'!$B$12:$AB$38,10,0))</f>
        <v>0</v>
      </c>
      <c r="T296" s="6">
        <f>SUMIF('JUNE (물량흐름)'!$C$13:$C$502,'Direct labour(직접노무비)'!C296,'JUNE (물량흐름)'!$Y$13:$Y$502)</f>
        <v>0</v>
      </c>
      <c r="U296" s="6">
        <f t="shared" si="56"/>
        <v>0</v>
      </c>
      <c r="V296" s="6">
        <f>ROUND(SUMIF('JUNE (물량흐름)'!$C$13:$C$502,'Direct labour(직접노무비)'!C296,'JUNE (물량흐름)'!$N$13:$N$502),0)</f>
        <v>0</v>
      </c>
      <c r="W296" s="6">
        <f>ROUND(SUMIF('JUNE (물량흐름)'!$C$13:$C$502,'Direct labour(직접노무비)'!C296,'JUNE (물량흐름)'!$O$13:$O$502),0)</f>
        <v>0</v>
      </c>
      <c r="X296" s="6">
        <f>ROUND(SUMIF('JUNE (물량흐름)'!$C$13:$C$502,'Direct labour(직접노무비)'!C296,'JUNE (물량흐름)'!$P$13:$P$502),0)</f>
        <v>18</v>
      </c>
      <c r="Y296" s="6">
        <f t="shared" si="57"/>
        <v>18</v>
      </c>
      <c r="Z296" s="6">
        <f t="shared" si="58"/>
        <v>14</v>
      </c>
      <c r="AA296" s="6">
        <f t="shared" si="62"/>
        <v>341080</v>
      </c>
      <c r="AB296" s="389">
        <f t="shared" si="59"/>
        <v>0</v>
      </c>
      <c r="AC296" s="503">
        <f t="shared" si="51"/>
        <v>0</v>
      </c>
      <c r="AD296" s="389">
        <f t="shared" si="60"/>
        <v>0</v>
      </c>
    </row>
    <row r="297" spans="1:30" s="390" customFormat="1">
      <c r="A297" s="167">
        <v>291</v>
      </c>
      <c r="B297" s="267" t="str">
        <f>VLOOKUP(A297,'JUNE (물량흐름)'!$A$13:$C$502,2,0)</f>
        <v>ALFANI</v>
      </c>
      <c r="C297" s="240">
        <f>VLOOKUP(A297,'JUNE (물량흐름)'!$A$13:$C$502,3,0)</f>
        <v>100015180</v>
      </c>
      <c r="D297" s="6">
        <f>VLOOKUP(C297,'WIP(재공품)'!$B$12:$E$493,4,0)</f>
        <v>7936.2499999999991</v>
      </c>
      <c r="E297" s="6">
        <f>IFERROR(VLOOKUP(C297,O.B.JUNE!$AA$7:$AG$448,2,0),0)</f>
        <v>0</v>
      </c>
      <c r="F297" s="6">
        <f>IFERROR(VLOOKUP(C297,O.B.JUNE!$AA$7:$AG$448,3,0),0)</f>
        <v>9</v>
      </c>
      <c r="G297" s="6">
        <f>IFERROR(VLOOKUP(C297,O.B.JUNE!$AA$7:$AD$448,4,0),0)</f>
        <v>16</v>
      </c>
      <c r="H297" s="6">
        <f t="shared" si="53"/>
        <v>25</v>
      </c>
      <c r="I297" s="6">
        <f>IFERROR(VLOOKUP(C297,O.B.JUNE!$AA$7:$AF$448,6,0),0)</f>
        <v>17</v>
      </c>
      <c r="J297" s="6"/>
      <c r="K297" s="6">
        <f>IFERROR(VLOOKUP(C297,O.B.JUNE!$AA$7:$AG$448,7,0),0)</f>
        <v>316343</v>
      </c>
      <c r="L297" s="6">
        <f>SUMIF('JUNE (물량흐름)'!$C$13:$C$502,'Direct labour(직접노무비)'!C297,'JUNE (물량흐름)'!$H$13:$H$502)+SUMIF('JUNE (물량흐름)'!$C$13:$C$502,'Direct labour(직접노무비)'!C297,'JUNE (물량흐름)'!$I$13:$I$502)</f>
        <v>0</v>
      </c>
      <c r="M297" s="6">
        <f t="shared" si="54"/>
        <v>0</v>
      </c>
      <c r="N297" s="6">
        <f t="shared" si="55"/>
        <v>0</v>
      </c>
      <c r="O297" s="6">
        <f t="shared" si="52"/>
        <v>0</v>
      </c>
      <c r="P297" s="6">
        <f>SUMIF('JUNE (물량흐름)'!$C$13:$C$502,C297,'JUNE (물량흐름)'!$T$13:$T$502)+SUMIF('JUNE (물량흐름)'!$C$13:$C$502,C297,'JUNE (물량흐름)'!$V$13:$V$502)+SUMIF('JUNE (물량흐름)'!$C$13:$C$502,C297,'JUNE (물량흐름)'!$U$13:$U$502)-SUMIF('JUNE (물량흐름)'!$C$13:$C$502,C297,'JUNE (물량흐름)'!$Y$13:$Y$502)</f>
        <v>0</v>
      </c>
      <c r="Q297" s="6">
        <f t="shared" si="61"/>
        <v>0</v>
      </c>
      <c r="R297" s="6">
        <f>ROUND(IF(ISERROR(VLOOKUP(#REF!,'WIP(재공품)'!$B$12:$AB$38,13,0)),0,VLOOKUP(#REF!,'WIP(재공품)'!$B$12:$AB$38,13,0)),0)</f>
        <v>0</v>
      </c>
      <c r="S297" s="6">
        <f>IF(ISERROR(VLOOKUP(#REF!,'WIP(재공품)'!$B$12:$AB$38,10,0)),0,VLOOKUP(#REF!,'WIP(재공품)'!$B$12:$AB$38,10,0))</f>
        <v>0</v>
      </c>
      <c r="T297" s="6">
        <f>SUMIF('JUNE (물량흐름)'!$C$13:$C$502,'Direct labour(직접노무비)'!C297,'JUNE (물량흐름)'!$Y$13:$Y$502)</f>
        <v>0</v>
      </c>
      <c r="U297" s="6">
        <f t="shared" si="56"/>
        <v>0</v>
      </c>
      <c r="V297" s="6">
        <f>ROUND(SUMIF('JUNE (물량흐름)'!$C$13:$C$502,'Direct labour(직접노무비)'!C297,'JUNE (물량흐름)'!$N$13:$N$502),0)</f>
        <v>0</v>
      </c>
      <c r="W297" s="6">
        <f>ROUND(SUMIF('JUNE (물량흐름)'!$C$13:$C$502,'Direct labour(직접노무비)'!C297,'JUNE (물량흐름)'!$O$13:$O$502),0)</f>
        <v>9</v>
      </c>
      <c r="X297" s="6">
        <f>ROUND(SUMIF('JUNE (물량흐름)'!$C$13:$C$502,'Direct labour(직접노무비)'!C297,'JUNE (물량흐름)'!$P$13:$P$502),0)</f>
        <v>16</v>
      </c>
      <c r="Y297" s="6">
        <f t="shared" si="57"/>
        <v>25</v>
      </c>
      <c r="Z297" s="6">
        <f t="shared" si="58"/>
        <v>17</v>
      </c>
      <c r="AA297" s="6">
        <f t="shared" si="62"/>
        <v>316343</v>
      </c>
      <c r="AB297" s="389">
        <f t="shared" si="59"/>
        <v>0</v>
      </c>
      <c r="AC297" s="503">
        <f t="shared" si="51"/>
        <v>0</v>
      </c>
      <c r="AD297" s="389">
        <f t="shared" si="60"/>
        <v>0</v>
      </c>
    </row>
    <row r="298" spans="1:30" s="390" customFormat="1">
      <c r="A298" s="167">
        <v>292</v>
      </c>
      <c r="B298" s="267" t="str">
        <f>VLOOKUP(A298,'JUNE (물량흐름)'!$A$13:$C$502,2,0)</f>
        <v>ALFANI</v>
      </c>
      <c r="C298" s="240">
        <f>VLOOKUP(A298,'JUNE (물량흐름)'!$A$13:$C$502,3,0)</f>
        <v>100015249</v>
      </c>
      <c r="D298" s="6">
        <f>VLOOKUP(C298,'WIP(재공품)'!$B$12:$E$493,4,0)</f>
        <v>28343.75</v>
      </c>
      <c r="E298" s="6">
        <f>IFERROR(VLOOKUP(C298,O.B.JUNE!$AA$7:$AG$448,2,0),0)</f>
        <v>0</v>
      </c>
      <c r="F298" s="6">
        <f>IFERROR(VLOOKUP(C298,O.B.JUNE!$AA$7:$AG$448,3,0),0)</f>
        <v>22</v>
      </c>
      <c r="G298" s="6">
        <f>IFERROR(VLOOKUP(C298,O.B.JUNE!$AA$7:$AD$448,4,0),0)</f>
        <v>40</v>
      </c>
      <c r="H298" s="6">
        <f t="shared" si="53"/>
        <v>62</v>
      </c>
      <c r="I298" s="6">
        <f>IFERROR(VLOOKUP(C298,O.B.JUNE!$AA$7:$AF$448,6,0),0)</f>
        <v>43</v>
      </c>
      <c r="J298" s="6"/>
      <c r="K298" s="6">
        <f>IFERROR(VLOOKUP(C298,O.B.JUNE!$AA$7:$AG$448,7,0),0)</f>
        <v>621250</v>
      </c>
      <c r="L298" s="6">
        <f>SUMIF('JUNE (물량흐름)'!$C$13:$C$502,'Direct labour(직접노무비)'!C298,'JUNE (물량흐름)'!$H$13:$H$502)+SUMIF('JUNE (물량흐름)'!$C$13:$C$502,'Direct labour(직접노무비)'!C298,'JUNE (물량흐름)'!$I$13:$I$502)</f>
        <v>0</v>
      </c>
      <c r="M298" s="6">
        <f t="shared" si="54"/>
        <v>0</v>
      </c>
      <c r="N298" s="6">
        <f t="shared" si="55"/>
        <v>0</v>
      </c>
      <c r="O298" s="6">
        <f t="shared" si="52"/>
        <v>0</v>
      </c>
      <c r="P298" s="6">
        <f>SUMIF('JUNE (물량흐름)'!$C$13:$C$502,C298,'JUNE (물량흐름)'!$T$13:$T$502)+SUMIF('JUNE (물량흐름)'!$C$13:$C$502,C298,'JUNE (물량흐름)'!$V$13:$V$502)+SUMIF('JUNE (물량흐름)'!$C$13:$C$502,C298,'JUNE (물량흐름)'!$U$13:$U$502)-SUMIF('JUNE (물량흐름)'!$C$13:$C$502,C298,'JUNE (물량흐름)'!$Y$13:$Y$502)</f>
        <v>0</v>
      </c>
      <c r="Q298" s="6">
        <f t="shared" si="61"/>
        <v>0</v>
      </c>
      <c r="R298" s="6">
        <f>ROUND(IF(ISERROR(VLOOKUP(#REF!,'WIP(재공품)'!$B$12:$AB$38,13,0)),0,VLOOKUP(#REF!,'WIP(재공품)'!$B$12:$AB$38,13,0)),0)</f>
        <v>0</v>
      </c>
      <c r="S298" s="6">
        <f>IF(ISERROR(VLOOKUP(#REF!,'WIP(재공품)'!$B$12:$AB$38,10,0)),0,VLOOKUP(#REF!,'WIP(재공품)'!$B$12:$AB$38,10,0))</f>
        <v>0</v>
      </c>
      <c r="T298" s="6">
        <f>SUMIF('JUNE (물량흐름)'!$C$13:$C$502,'Direct labour(직접노무비)'!C298,'JUNE (물량흐름)'!$Y$13:$Y$502)</f>
        <v>0</v>
      </c>
      <c r="U298" s="6">
        <f t="shared" si="56"/>
        <v>0</v>
      </c>
      <c r="V298" s="6">
        <f>ROUND(SUMIF('JUNE (물량흐름)'!$C$13:$C$502,'Direct labour(직접노무비)'!C298,'JUNE (물량흐름)'!$N$13:$N$502),0)</f>
        <v>0</v>
      </c>
      <c r="W298" s="6">
        <f>ROUND(SUMIF('JUNE (물량흐름)'!$C$13:$C$502,'Direct labour(직접노무비)'!C298,'JUNE (물량흐름)'!$O$13:$O$502),0)</f>
        <v>22</v>
      </c>
      <c r="X298" s="6">
        <f>ROUND(SUMIF('JUNE (물량흐름)'!$C$13:$C$502,'Direct labour(직접노무비)'!C298,'JUNE (물량흐름)'!$P$13:$P$502),0)</f>
        <v>40</v>
      </c>
      <c r="Y298" s="6">
        <f t="shared" si="57"/>
        <v>62</v>
      </c>
      <c r="Z298" s="6">
        <f t="shared" si="58"/>
        <v>43</v>
      </c>
      <c r="AA298" s="6">
        <f t="shared" si="62"/>
        <v>621250</v>
      </c>
      <c r="AB298" s="389">
        <f t="shared" si="59"/>
        <v>0</v>
      </c>
      <c r="AC298" s="503">
        <f t="shared" si="51"/>
        <v>0</v>
      </c>
      <c r="AD298" s="389">
        <f t="shared" si="60"/>
        <v>0</v>
      </c>
    </row>
    <row r="299" spans="1:30" s="390" customFormat="1">
      <c r="A299" s="167">
        <v>293</v>
      </c>
      <c r="B299" s="267" t="str">
        <f>VLOOKUP(A299,'JUNE (물량흐름)'!$A$13:$C$502,2,0)</f>
        <v>ALFANI</v>
      </c>
      <c r="C299" s="240">
        <f>VLOOKUP(A299,'JUNE (물량흐름)'!$A$13:$C$502,3,0)</f>
        <v>100015301</v>
      </c>
      <c r="D299" s="6">
        <f>VLOOKUP(C299,'WIP(재공품)'!$B$12:$E$493,4,0)</f>
        <v>7936.2499999999991</v>
      </c>
      <c r="E299" s="6">
        <f>IFERROR(VLOOKUP(C299,O.B.JUNE!$AA$7:$AG$448,2,0),0)</f>
        <v>0</v>
      </c>
      <c r="F299" s="6">
        <f>IFERROR(VLOOKUP(C299,O.B.JUNE!$AA$7:$AG$448,3,0),0)</f>
        <v>0</v>
      </c>
      <c r="G299" s="6">
        <f>IFERROR(VLOOKUP(C299,O.B.JUNE!$AA$7:$AD$448,4,0),0)</f>
        <v>443</v>
      </c>
      <c r="H299" s="6">
        <f t="shared" si="53"/>
        <v>443</v>
      </c>
      <c r="I299" s="6">
        <f>IFERROR(VLOOKUP(C299,O.B.JUNE!$AA$7:$AF$448,6,0),0)</f>
        <v>354</v>
      </c>
      <c r="J299" s="6"/>
      <c r="K299" s="6">
        <f>IFERROR(VLOOKUP(C299,O.B.JUNE!$AA$7:$AG$448,7,0),0)</f>
        <v>5976979</v>
      </c>
      <c r="L299" s="6">
        <f>SUMIF('JUNE (물량흐름)'!$C$13:$C$502,'Direct labour(직접노무비)'!C299,'JUNE (물량흐름)'!$H$13:$H$502)+SUMIF('JUNE (물량흐름)'!$C$13:$C$502,'Direct labour(직접노무비)'!C299,'JUNE (물량흐름)'!$I$13:$I$502)</f>
        <v>0</v>
      </c>
      <c r="M299" s="6">
        <f t="shared" si="54"/>
        <v>0</v>
      </c>
      <c r="N299" s="6">
        <f t="shared" si="55"/>
        <v>0</v>
      </c>
      <c r="O299" s="6">
        <f t="shared" si="52"/>
        <v>0</v>
      </c>
      <c r="P299" s="6">
        <f>SUMIF('JUNE (물량흐름)'!$C$13:$C$502,C299,'JUNE (물량흐름)'!$T$13:$T$502)+SUMIF('JUNE (물량흐름)'!$C$13:$C$502,C299,'JUNE (물량흐름)'!$V$13:$V$502)+SUMIF('JUNE (물량흐름)'!$C$13:$C$502,C299,'JUNE (물량흐름)'!$U$13:$U$502)-SUMIF('JUNE (물량흐름)'!$C$13:$C$502,C299,'JUNE (물량흐름)'!$Y$13:$Y$502)</f>
        <v>0</v>
      </c>
      <c r="Q299" s="6">
        <f t="shared" si="61"/>
        <v>0</v>
      </c>
      <c r="R299" s="6">
        <f>ROUND(IF(ISERROR(VLOOKUP(#REF!,'WIP(재공품)'!$B$12:$AB$38,13,0)),0,VLOOKUP(#REF!,'WIP(재공품)'!$B$12:$AB$38,13,0)),0)</f>
        <v>0</v>
      </c>
      <c r="S299" s="6">
        <f>IF(ISERROR(VLOOKUP(#REF!,'WIP(재공품)'!$B$12:$AB$38,10,0)),0,VLOOKUP(#REF!,'WIP(재공품)'!$B$12:$AB$38,10,0))</f>
        <v>0</v>
      </c>
      <c r="T299" s="6">
        <f>SUMIF('JUNE (물량흐름)'!$C$13:$C$502,'Direct labour(직접노무비)'!C299,'JUNE (물량흐름)'!$Y$13:$Y$502)</f>
        <v>0</v>
      </c>
      <c r="U299" s="6">
        <f t="shared" si="56"/>
        <v>0</v>
      </c>
      <c r="V299" s="6">
        <f>ROUND(SUMIF('JUNE (물량흐름)'!$C$13:$C$502,'Direct labour(직접노무비)'!C299,'JUNE (물량흐름)'!$N$13:$N$502),0)</f>
        <v>0</v>
      </c>
      <c r="W299" s="6">
        <f>ROUND(SUMIF('JUNE (물량흐름)'!$C$13:$C$502,'Direct labour(직접노무비)'!C299,'JUNE (물량흐름)'!$O$13:$O$502),0)</f>
        <v>0</v>
      </c>
      <c r="X299" s="6">
        <f>ROUND(SUMIF('JUNE (물량흐름)'!$C$13:$C$502,'Direct labour(직접노무비)'!C299,'JUNE (물량흐름)'!$P$13:$P$502),0)</f>
        <v>443</v>
      </c>
      <c r="Y299" s="6">
        <f t="shared" si="57"/>
        <v>443</v>
      </c>
      <c r="Z299" s="6">
        <f t="shared" si="58"/>
        <v>354</v>
      </c>
      <c r="AA299" s="6">
        <f t="shared" si="62"/>
        <v>5976979</v>
      </c>
      <c r="AB299" s="389">
        <f t="shared" si="59"/>
        <v>0</v>
      </c>
      <c r="AC299" s="503">
        <f t="shared" si="51"/>
        <v>0</v>
      </c>
      <c r="AD299" s="389">
        <f t="shared" si="60"/>
        <v>0</v>
      </c>
    </row>
    <row r="300" spans="1:30" s="390" customFormat="1">
      <c r="A300" s="167">
        <v>294</v>
      </c>
      <c r="B300" s="267" t="str">
        <f>VLOOKUP(A300,'JUNE (물량흐름)'!$A$13:$C$502,2,0)</f>
        <v>ALFANI</v>
      </c>
      <c r="C300" s="240">
        <f>VLOOKUP(A300,'JUNE (물량흐름)'!$A$13:$C$502,3,0)</f>
        <v>100015303</v>
      </c>
      <c r="D300" s="6">
        <f>VLOOKUP(C300,'WIP(재공품)'!$B$12:$E$493,4,0)</f>
        <v>7936.2499999999991</v>
      </c>
      <c r="E300" s="6">
        <f>IFERROR(VLOOKUP(C300,O.B.JUNE!$AA$7:$AG$448,2,0),0)</f>
        <v>0</v>
      </c>
      <c r="F300" s="6">
        <f>IFERROR(VLOOKUP(C300,O.B.JUNE!$AA$7:$AG$448,3,0),0)</f>
        <v>0</v>
      </c>
      <c r="G300" s="6">
        <f>IFERROR(VLOOKUP(C300,O.B.JUNE!$AA$7:$AD$448,4,0),0)</f>
        <v>189</v>
      </c>
      <c r="H300" s="6">
        <f t="shared" si="53"/>
        <v>189</v>
      </c>
      <c r="I300" s="6">
        <f>IFERROR(VLOOKUP(C300,O.B.JUNE!$AA$7:$AF$448,6,0),0)</f>
        <v>151</v>
      </c>
      <c r="J300" s="6"/>
      <c r="K300" s="6">
        <f>IFERROR(VLOOKUP(C300,O.B.JUNE!$AA$7:$AG$448,7,0),0)</f>
        <v>1960968</v>
      </c>
      <c r="L300" s="6">
        <f>SUMIF('JUNE (물량흐름)'!$C$13:$C$502,'Direct labour(직접노무비)'!C300,'JUNE (물량흐름)'!$H$13:$H$502)+SUMIF('JUNE (물량흐름)'!$C$13:$C$502,'Direct labour(직접노무비)'!C300,'JUNE (물량흐름)'!$I$13:$I$502)</f>
        <v>0</v>
      </c>
      <c r="M300" s="6">
        <f t="shared" si="54"/>
        <v>0</v>
      </c>
      <c r="N300" s="6">
        <f t="shared" si="55"/>
        <v>0</v>
      </c>
      <c r="O300" s="6">
        <f t="shared" si="52"/>
        <v>0</v>
      </c>
      <c r="P300" s="6">
        <f>SUMIF('JUNE (물량흐름)'!$C$13:$C$502,C300,'JUNE (물량흐름)'!$T$13:$T$502)+SUMIF('JUNE (물량흐름)'!$C$13:$C$502,C300,'JUNE (물량흐름)'!$V$13:$V$502)+SUMIF('JUNE (물량흐름)'!$C$13:$C$502,C300,'JUNE (물량흐름)'!$U$13:$U$502)-SUMIF('JUNE (물량흐름)'!$C$13:$C$502,C300,'JUNE (물량흐름)'!$Y$13:$Y$502)</f>
        <v>0</v>
      </c>
      <c r="Q300" s="6">
        <f t="shared" si="61"/>
        <v>0</v>
      </c>
      <c r="R300" s="6">
        <f>ROUND(IF(ISERROR(VLOOKUP(#REF!,'WIP(재공품)'!$B$12:$AB$38,13,0)),0,VLOOKUP(#REF!,'WIP(재공품)'!$B$12:$AB$38,13,0)),0)</f>
        <v>0</v>
      </c>
      <c r="S300" s="6">
        <f>IF(ISERROR(VLOOKUP(#REF!,'WIP(재공품)'!$B$12:$AB$38,10,0)),0,VLOOKUP(#REF!,'WIP(재공품)'!$B$12:$AB$38,10,0))</f>
        <v>0</v>
      </c>
      <c r="T300" s="6">
        <f>SUMIF('JUNE (물량흐름)'!$C$13:$C$502,'Direct labour(직접노무비)'!C300,'JUNE (물량흐름)'!$Y$13:$Y$502)</f>
        <v>0</v>
      </c>
      <c r="U300" s="6">
        <f t="shared" si="56"/>
        <v>0</v>
      </c>
      <c r="V300" s="6">
        <f>ROUND(SUMIF('JUNE (물량흐름)'!$C$13:$C$502,'Direct labour(직접노무비)'!C300,'JUNE (물량흐름)'!$N$13:$N$502),0)</f>
        <v>0</v>
      </c>
      <c r="W300" s="6">
        <f>ROUND(SUMIF('JUNE (물량흐름)'!$C$13:$C$502,'Direct labour(직접노무비)'!C300,'JUNE (물량흐름)'!$O$13:$O$502),0)</f>
        <v>0</v>
      </c>
      <c r="X300" s="6">
        <f>ROUND(SUMIF('JUNE (물량흐름)'!$C$13:$C$502,'Direct labour(직접노무비)'!C300,'JUNE (물량흐름)'!$P$13:$P$502),0)</f>
        <v>189</v>
      </c>
      <c r="Y300" s="6">
        <f t="shared" si="57"/>
        <v>189</v>
      </c>
      <c r="Z300" s="6">
        <f t="shared" si="58"/>
        <v>151</v>
      </c>
      <c r="AA300" s="6">
        <f t="shared" si="62"/>
        <v>1960968</v>
      </c>
      <c r="AB300" s="389">
        <f t="shared" si="59"/>
        <v>0</v>
      </c>
      <c r="AC300" s="503">
        <f t="shared" si="51"/>
        <v>0</v>
      </c>
      <c r="AD300" s="389">
        <f t="shared" si="60"/>
        <v>0</v>
      </c>
    </row>
    <row r="301" spans="1:30" s="390" customFormat="1">
      <c r="A301" s="167">
        <v>295</v>
      </c>
      <c r="B301" s="267" t="str">
        <f>VLOOKUP(A301,'JUNE (물량흐름)'!$A$13:$C$502,2,0)</f>
        <v>ALFANI</v>
      </c>
      <c r="C301" s="240">
        <f>VLOOKUP(A301,'JUNE (물량흐름)'!$A$13:$C$502,3,0)</f>
        <v>100015304</v>
      </c>
      <c r="D301" s="6">
        <f>VLOOKUP(C301,'WIP(재공품)'!$B$12:$E$493,4,0)</f>
        <v>40815</v>
      </c>
      <c r="E301" s="6">
        <f>IFERROR(VLOOKUP(C301,O.B.JUNE!$AA$7:$AG$448,2,0),0)</f>
        <v>17</v>
      </c>
      <c r="F301" s="6">
        <f>IFERROR(VLOOKUP(C301,O.B.JUNE!$AA$7:$AG$448,3,0),0)</f>
        <v>80</v>
      </c>
      <c r="G301" s="6">
        <f>IFERROR(VLOOKUP(C301,O.B.JUNE!$AA$7:$AD$448,4,0),0)</f>
        <v>23</v>
      </c>
      <c r="H301" s="6">
        <f t="shared" si="53"/>
        <v>120</v>
      </c>
      <c r="I301" s="6">
        <f>IFERROR(VLOOKUP(C301,O.B.JUNE!$AA$7:$AF$448,6,0),0)</f>
        <v>62</v>
      </c>
      <c r="J301" s="6"/>
      <c r="K301" s="6">
        <f>IFERROR(VLOOKUP(C301,O.B.JUNE!$AA$7:$AG$448,7,0),0)</f>
        <v>1119451</v>
      </c>
      <c r="L301" s="6">
        <f>SUMIF('JUNE (물량흐름)'!$C$13:$C$502,'Direct labour(직접노무비)'!C301,'JUNE (물량흐름)'!$H$13:$H$502)+SUMIF('JUNE (물량흐름)'!$C$13:$C$502,'Direct labour(직접노무비)'!C301,'JUNE (물량흐름)'!$I$13:$I$502)</f>
        <v>0</v>
      </c>
      <c r="M301" s="6">
        <f t="shared" si="54"/>
        <v>0</v>
      </c>
      <c r="N301" s="6">
        <f t="shared" si="55"/>
        <v>0</v>
      </c>
      <c r="O301" s="6">
        <f t="shared" si="52"/>
        <v>0</v>
      </c>
      <c r="P301" s="6">
        <f>SUMIF('JUNE (물량흐름)'!$C$13:$C$502,C301,'JUNE (물량흐름)'!$T$13:$T$502)+SUMIF('JUNE (물량흐름)'!$C$13:$C$502,C301,'JUNE (물량흐름)'!$V$13:$V$502)+SUMIF('JUNE (물량흐름)'!$C$13:$C$502,C301,'JUNE (물량흐름)'!$U$13:$U$502)-SUMIF('JUNE (물량흐름)'!$C$13:$C$502,C301,'JUNE (물량흐름)'!$Y$13:$Y$502)</f>
        <v>0</v>
      </c>
      <c r="Q301" s="6">
        <f t="shared" si="61"/>
        <v>0</v>
      </c>
      <c r="R301" s="6">
        <f>ROUND(IF(ISERROR(VLOOKUP(#REF!,'WIP(재공품)'!$B$12:$AB$38,13,0)),0,VLOOKUP(#REF!,'WIP(재공품)'!$B$12:$AB$38,13,0)),0)</f>
        <v>0</v>
      </c>
      <c r="S301" s="6">
        <f>IF(ISERROR(VLOOKUP(#REF!,'WIP(재공품)'!$B$12:$AB$38,10,0)),0,VLOOKUP(#REF!,'WIP(재공품)'!$B$12:$AB$38,10,0))</f>
        <v>0</v>
      </c>
      <c r="T301" s="6">
        <f>SUMIF('JUNE (물량흐름)'!$C$13:$C$502,'Direct labour(직접노무비)'!C301,'JUNE (물량흐름)'!$Y$13:$Y$502)</f>
        <v>0</v>
      </c>
      <c r="U301" s="6">
        <f t="shared" si="56"/>
        <v>0</v>
      </c>
      <c r="V301" s="6">
        <f>ROUND(SUMIF('JUNE (물량흐름)'!$C$13:$C$502,'Direct labour(직접노무비)'!C301,'JUNE (물량흐름)'!$N$13:$N$502),0)</f>
        <v>17</v>
      </c>
      <c r="W301" s="6">
        <f>ROUND(SUMIF('JUNE (물량흐름)'!$C$13:$C$502,'Direct labour(직접노무비)'!C301,'JUNE (물량흐름)'!$O$13:$O$502),0)</f>
        <v>80</v>
      </c>
      <c r="X301" s="6">
        <f>ROUND(SUMIF('JUNE (물량흐름)'!$C$13:$C$502,'Direct labour(직접노무비)'!C301,'JUNE (물량흐름)'!$P$13:$P$502),0)</f>
        <v>23</v>
      </c>
      <c r="Y301" s="6">
        <f t="shared" si="57"/>
        <v>120</v>
      </c>
      <c r="Z301" s="6">
        <f t="shared" si="58"/>
        <v>62</v>
      </c>
      <c r="AA301" s="6">
        <f t="shared" si="62"/>
        <v>1119451</v>
      </c>
      <c r="AB301" s="389">
        <f t="shared" si="59"/>
        <v>0</v>
      </c>
      <c r="AC301" s="503">
        <f t="shared" si="51"/>
        <v>0</v>
      </c>
      <c r="AD301" s="389">
        <f t="shared" si="60"/>
        <v>0</v>
      </c>
    </row>
    <row r="302" spans="1:30" s="390" customFormat="1">
      <c r="A302" s="167">
        <v>296</v>
      </c>
      <c r="B302" s="267" t="str">
        <f>VLOOKUP(A302,'JUNE (물량흐름)'!$A$13:$C$502,2,0)</f>
        <v>ALFANI</v>
      </c>
      <c r="C302" s="240">
        <f>VLOOKUP(A302,'JUNE (물량흐름)'!$A$13:$C$502,3,0)</f>
        <v>100015356</v>
      </c>
      <c r="D302" s="6">
        <f>VLOOKUP(C302,'WIP(재공품)'!$B$12:$E$493,4,0)</f>
        <v>39227.75</v>
      </c>
      <c r="E302" s="6">
        <f>IFERROR(VLOOKUP(C302,O.B.JUNE!$AA$7:$AG$448,2,0),0)</f>
        <v>0</v>
      </c>
      <c r="F302" s="6">
        <f>IFERROR(VLOOKUP(C302,O.B.JUNE!$AA$7:$AG$448,3,0),0)</f>
        <v>37</v>
      </c>
      <c r="G302" s="6">
        <f>IFERROR(VLOOKUP(C302,O.B.JUNE!$AA$7:$AD$448,4,0),0)</f>
        <v>16</v>
      </c>
      <c r="H302" s="6">
        <f t="shared" si="53"/>
        <v>53</v>
      </c>
      <c r="I302" s="6">
        <f>IFERROR(VLOOKUP(C302,O.B.JUNE!$AA$7:$AF$448,6,0),0)</f>
        <v>31</v>
      </c>
      <c r="J302" s="6"/>
      <c r="K302" s="6">
        <f>IFERROR(VLOOKUP(C302,O.B.JUNE!$AA$7:$AG$448,7,0),0)</f>
        <v>474398</v>
      </c>
      <c r="L302" s="6">
        <f>SUMIF('JUNE (물량흐름)'!$C$13:$C$502,'Direct labour(직접노무비)'!C302,'JUNE (물량흐름)'!$H$13:$H$502)+SUMIF('JUNE (물량흐름)'!$C$13:$C$502,'Direct labour(직접노무비)'!C302,'JUNE (물량흐름)'!$I$13:$I$502)</f>
        <v>0</v>
      </c>
      <c r="M302" s="6">
        <f t="shared" si="54"/>
        <v>0</v>
      </c>
      <c r="N302" s="6">
        <f t="shared" si="55"/>
        <v>0</v>
      </c>
      <c r="O302" s="6">
        <f t="shared" si="52"/>
        <v>0</v>
      </c>
      <c r="P302" s="6">
        <f>SUMIF('JUNE (물량흐름)'!$C$13:$C$502,C302,'JUNE (물량흐름)'!$T$13:$T$502)+SUMIF('JUNE (물량흐름)'!$C$13:$C$502,C302,'JUNE (물량흐름)'!$V$13:$V$502)+SUMIF('JUNE (물량흐름)'!$C$13:$C$502,C302,'JUNE (물량흐름)'!$U$13:$U$502)-SUMIF('JUNE (물량흐름)'!$C$13:$C$502,C302,'JUNE (물량흐름)'!$Y$13:$Y$502)</f>
        <v>0</v>
      </c>
      <c r="Q302" s="6">
        <f t="shared" si="61"/>
        <v>0</v>
      </c>
      <c r="R302" s="6">
        <f>ROUND(IF(ISERROR(VLOOKUP(#REF!,'WIP(재공품)'!$B$12:$AB$38,13,0)),0,VLOOKUP(#REF!,'WIP(재공품)'!$B$12:$AB$38,13,0)),0)</f>
        <v>0</v>
      </c>
      <c r="S302" s="6">
        <f>IF(ISERROR(VLOOKUP(#REF!,'WIP(재공품)'!$B$12:$AB$38,10,0)),0,VLOOKUP(#REF!,'WIP(재공품)'!$B$12:$AB$38,10,0))</f>
        <v>0</v>
      </c>
      <c r="T302" s="6">
        <f>SUMIF('JUNE (물량흐름)'!$C$13:$C$502,'Direct labour(직접노무비)'!C302,'JUNE (물량흐름)'!$Y$13:$Y$502)</f>
        <v>0</v>
      </c>
      <c r="U302" s="6">
        <f t="shared" si="56"/>
        <v>0</v>
      </c>
      <c r="V302" s="6">
        <f>ROUND(SUMIF('JUNE (물량흐름)'!$C$13:$C$502,'Direct labour(직접노무비)'!C302,'JUNE (물량흐름)'!$N$13:$N$502),0)</f>
        <v>0</v>
      </c>
      <c r="W302" s="6">
        <f>ROUND(SUMIF('JUNE (물량흐름)'!$C$13:$C$502,'Direct labour(직접노무비)'!C302,'JUNE (물량흐름)'!$O$13:$O$502),0)</f>
        <v>37</v>
      </c>
      <c r="X302" s="6">
        <f>ROUND(SUMIF('JUNE (물량흐름)'!$C$13:$C$502,'Direct labour(직접노무비)'!C302,'JUNE (물량흐름)'!$P$13:$P$502),0)</f>
        <v>16</v>
      </c>
      <c r="Y302" s="6">
        <f t="shared" si="57"/>
        <v>53</v>
      </c>
      <c r="Z302" s="6">
        <f t="shared" si="58"/>
        <v>31</v>
      </c>
      <c r="AA302" s="6">
        <f t="shared" si="62"/>
        <v>474398</v>
      </c>
      <c r="AB302" s="389">
        <f t="shared" si="59"/>
        <v>0</v>
      </c>
      <c r="AC302" s="503">
        <f t="shared" si="51"/>
        <v>0</v>
      </c>
      <c r="AD302" s="389">
        <f t="shared" si="60"/>
        <v>0</v>
      </c>
    </row>
    <row r="303" spans="1:30" s="390" customFormat="1">
      <c r="A303" s="167">
        <v>297</v>
      </c>
      <c r="B303" s="267" t="str">
        <f>VLOOKUP(A303,'JUNE (물량흐름)'!$A$13:$C$502,2,0)</f>
        <v>ALFANI</v>
      </c>
      <c r="C303" s="240">
        <f>VLOOKUP(A303,'JUNE (물량흐름)'!$A$13:$C$502,3,0)</f>
        <v>100015404</v>
      </c>
      <c r="D303" s="6">
        <f>VLOOKUP(C303,'WIP(재공품)'!$B$12:$E$493,4,0)</f>
        <v>7936.2499999999991</v>
      </c>
      <c r="E303" s="6">
        <f>IFERROR(VLOOKUP(C303,O.B.JUNE!$AA$7:$AG$448,2,0),0)</f>
        <v>0</v>
      </c>
      <c r="F303" s="6">
        <f>IFERROR(VLOOKUP(C303,O.B.JUNE!$AA$7:$AG$448,3,0),0)</f>
        <v>105</v>
      </c>
      <c r="G303" s="6">
        <f>IFERROR(VLOOKUP(C303,O.B.JUNE!$AA$7:$AD$448,4,0),0)</f>
        <v>61</v>
      </c>
      <c r="H303" s="6">
        <f t="shared" si="53"/>
        <v>166</v>
      </c>
      <c r="I303" s="6">
        <f>IFERROR(VLOOKUP(C303,O.B.JUNE!$AA$7:$AF$448,6,0),0)</f>
        <v>101</v>
      </c>
      <c r="J303" s="6"/>
      <c r="K303" s="6">
        <f>IFERROR(VLOOKUP(C303,O.B.JUNE!$AA$7:$AG$448,7,0),0)</f>
        <v>1493091</v>
      </c>
      <c r="L303" s="6">
        <f>SUMIF('JUNE (물량흐름)'!$C$13:$C$502,'Direct labour(직접노무비)'!C303,'JUNE (물량흐름)'!$H$13:$H$502)+SUMIF('JUNE (물량흐름)'!$C$13:$C$502,'Direct labour(직접노무비)'!C303,'JUNE (물량흐름)'!$I$13:$I$502)</f>
        <v>0</v>
      </c>
      <c r="M303" s="6">
        <f t="shared" si="54"/>
        <v>0</v>
      </c>
      <c r="N303" s="6">
        <f t="shared" si="55"/>
        <v>0</v>
      </c>
      <c r="O303" s="6">
        <f t="shared" si="52"/>
        <v>0</v>
      </c>
      <c r="P303" s="6">
        <f>SUMIF('JUNE (물량흐름)'!$C$13:$C$502,C303,'JUNE (물량흐름)'!$T$13:$T$502)+SUMIF('JUNE (물량흐름)'!$C$13:$C$502,C303,'JUNE (물량흐름)'!$V$13:$V$502)+SUMIF('JUNE (물량흐름)'!$C$13:$C$502,C303,'JUNE (물량흐름)'!$U$13:$U$502)-SUMIF('JUNE (물량흐름)'!$C$13:$C$502,C303,'JUNE (물량흐름)'!$Y$13:$Y$502)</f>
        <v>0</v>
      </c>
      <c r="Q303" s="6">
        <f t="shared" si="61"/>
        <v>0</v>
      </c>
      <c r="R303" s="6">
        <f>ROUND(IF(ISERROR(VLOOKUP(#REF!,'WIP(재공품)'!$B$12:$AB$38,13,0)),0,VLOOKUP(#REF!,'WIP(재공품)'!$B$12:$AB$38,13,0)),0)</f>
        <v>0</v>
      </c>
      <c r="S303" s="6">
        <f>IF(ISERROR(VLOOKUP(#REF!,'WIP(재공품)'!$B$12:$AB$38,10,0)),0,VLOOKUP(#REF!,'WIP(재공품)'!$B$12:$AB$38,10,0))</f>
        <v>0</v>
      </c>
      <c r="T303" s="6">
        <f>SUMIF('JUNE (물량흐름)'!$C$13:$C$502,'Direct labour(직접노무비)'!C303,'JUNE (물량흐름)'!$Y$13:$Y$502)</f>
        <v>0</v>
      </c>
      <c r="U303" s="6">
        <f t="shared" si="56"/>
        <v>0</v>
      </c>
      <c r="V303" s="6">
        <f>ROUND(SUMIF('JUNE (물량흐름)'!$C$13:$C$502,'Direct labour(직접노무비)'!C303,'JUNE (물량흐름)'!$N$13:$N$502),0)</f>
        <v>0</v>
      </c>
      <c r="W303" s="6">
        <f>ROUND(SUMIF('JUNE (물량흐름)'!$C$13:$C$502,'Direct labour(직접노무비)'!C303,'JUNE (물량흐름)'!$O$13:$O$502),0)</f>
        <v>105</v>
      </c>
      <c r="X303" s="6">
        <f>ROUND(SUMIF('JUNE (물량흐름)'!$C$13:$C$502,'Direct labour(직접노무비)'!C303,'JUNE (물량흐름)'!$P$13:$P$502),0)</f>
        <v>61</v>
      </c>
      <c r="Y303" s="6">
        <f t="shared" si="57"/>
        <v>166</v>
      </c>
      <c r="Z303" s="6">
        <f t="shared" si="58"/>
        <v>101</v>
      </c>
      <c r="AA303" s="6">
        <f t="shared" si="62"/>
        <v>1493091</v>
      </c>
      <c r="AB303" s="389">
        <f t="shared" si="59"/>
        <v>0</v>
      </c>
      <c r="AC303" s="503">
        <f t="shared" si="51"/>
        <v>0</v>
      </c>
      <c r="AD303" s="389">
        <f t="shared" si="60"/>
        <v>0</v>
      </c>
    </row>
    <row r="304" spans="1:30" s="390" customFormat="1">
      <c r="A304" s="167">
        <v>298</v>
      </c>
      <c r="B304" s="267" t="str">
        <f>VLOOKUP(A304,'JUNE (물량흐름)'!$A$13:$C$502,2,0)</f>
        <v>ALFANI</v>
      </c>
      <c r="C304" s="240">
        <f>VLOOKUP(A304,'JUNE (물량흐름)'!$A$13:$C$502,3,0)</f>
        <v>100015437</v>
      </c>
      <c r="D304" s="6">
        <f>VLOOKUP(C304,'WIP(재공품)'!$B$12:$E$493,4,0)</f>
        <v>7936.2499999999991</v>
      </c>
      <c r="E304" s="6">
        <f>IFERROR(VLOOKUP(C304,O.B.JUNE!$AA$7:$AG$448,2,0),0)</f>
        <v>24</v>
      </c>
      <c r="F304" s="6">
        <f>IFERROR(VLOOKUP(C304,O.B.JUNE!$AA$7:$AG$448,3,0),0)</f>
        <v>0</v>
      </c>
      <c r="G304" s="6">
        <f>IFERROR(VLOOKUP(C304,O.B.JUNE!$AA$7:$AD$448,4,0),0)</f>
        <v>13</v>
      </c>
      <c r="H304" s="6">
        <f t="shared" si="53"/>
        <v>37</v>
      </c>
      <c r="I304" s="6">
        <f>IFERROR(VLOOKUP(C304,O.B.JUNE!$AA$7:$AF$448,6,0),0)</f>
        <v>15</v>
      </c>
      <c r="J304" s="6"/>
      <c r="K304" s="6">
        <f>IFERROR(VLOOKUP(C304,O.B.JUNE!$AA$7:$AG$448,7,0),0)</f>
        <v>236834</v>
      </c>
      <c r="L304" s="6">
        <f>SUMIF('JUNE (물량흐름)'!$C$13:$C$502,'Direct labour(직접노무비)'!C304,'JUNE (물량흐름)'!$H$13:$H$502)+SUMIF('JUNE (물량흐름)'!$C$13:$C$502,'Direct labour(직접노무비)'!C304,'JUNE (물량흐름)'!$I$13:$I$502)</f>
        <v>0</v>
      </c>
      <c r="M304" s="6">
        <f t="shared" si="54"/>
        <v>0</v>
      </c>
      <c r="N304" s="6">
        <f t="shared" si="55"/>
        <v>0</v>
      </c>
      <c r="O304" s="6">
        <f t="shared" si="52"/>
        <v>0</v>
      </c>
      <c r="P304" s="6">
        <f>SUMIF('JUNE (물량흐름)'!$C$13:$C$502,C304,'JUNE (물량흐름)'!$T$13:$T$502)+SUMIF('JUNE (물량흐름)'!$C$13:$C$502,C304,'JUNE (물량흐름)'!$V$13:$V$502)+SUMIF('JUNE (물량흐름)'!$C$13:$C$502,C304,'JUNE (물량흐름)'!$U$13:$U$502)-SUMIF('JUNE (물량흐름)'!$C$13:$C$502,C304,'JUNE (물량흐름)'!$Y$13:$Y$502)</f>
        <v>0</v>
      </c>
      <c r="Q304" s="6">
        <f t="shared" si="61"/>
        <v>0</v>
      </c>
      <c r="R304" s="6">
        <f>ROUND(IF(ISERROR(VLOOKUP(#REF!,'WIP(재공품)'!$B$12:$AB$38,13,0)),0,VLOOKUP(#REF!,'WIP(재공품)'!$B$12:$AB$38,13,0)),0)</f>
        <v>0</v>
      </c>
      <c r="S304" s="6">
        <f>IF(ISERROR(VLOOKUP(#REF!,'WIP(재공품)'!$B$12:$AB$38,10,0)),0,VLOOKUP(#REF!,'WIP(재공품)'!$B$12:$AB$38,10,0))</f>
        <v>0</v>
      </c>
      <c r="T304" s="6">
        <f>SUMIF('JUNE (물량흐름)'!$C$13:$C$502,'Direct labour(직접노무비)'!C304,'JUNE (물량흐름)'!$Y$13:$Y$502)</f>
        <v>0</v>
      </c>
      <c r="U304" s="6">
        <f t="shared" si="56"/>
        <v>0</v>
      </c>
      <c r="V304" s="6">
        <f>ROUND(SUMIF('JUNE (물량흐름)'!$C$13:$C$502,'Direct labour(직접노무비)'!C304,'JUNE (물량흐름)'!$N$13:$N$502),0)</f>
        <v>24</v>
      </c>
      <c r="W304" s="6">
        <f>ROUND(SUMIF('JUNE (물량흐름)'!$C$13:$C$502,'Direct labour(직접노무비)'!C304,'JUNE (물량흐름)'!$O$13:$O$502),0)</f>
        <v>0</v>
      </c>
      <c r="X304" s="6">
        <f>ROUND(SUMIF('JUNE (물량흐름)'!$C$13:$C$502,'Direct labour(직접노무비)'!C304,'JUNE (물량흐름)'!$P$13:$P$502),0)</f>
        <v>13</v>
      </c>
      <c r="Y304" s="6">
        <f t="shared" si="57"/>
        <v>37</v>
      </c>
      <c r="Z304" s="6">
        <f t="shared" si="58"/>
        <v>15</v>
      </c>
      <c r="AA304" s="6">
        <f t="shared" si="62"/>
        <v>236834</v>
      </c>
      <c r="AB304" s="389">
        <f t="shared" si="59"/>
        <v>0</v>
      </c>
      <c r="AC304" s="503">
        <f t="shared" si="51"/>
        <v>0</v>
      </c>
      <c r="AD304" s="389">
        <f t="shared" si="60"/>
        <v>0</v>
      </c>
    </row>
    <row r="305" spans="1:30" s="390" customFormat="1">
      <c r="A305" s="167">
        <v>299</v>
      </c>
      <c r="B305" s="267" t="str">
        <f>VLOOKUP(A305,'JUNE (물량흐름)'!$A$13:$C$502,2,0)</f>
        <v>ALFANI</v>
      </c>
      <c r="C305" s="240">
        <f>VLOOKUP(A305,'JUNE (물량흐름)'!$A$13:$C$502,3,0)</f>
        <v>100016367</v>
      </c>
      <c r="D305" s="6">
        <f>VLOOKUP(C305,'WIP(재공품)'!$B$12:$E$493,4,0)</f>
        <v>7936.2499999999991</v>
      </c>
      <c r="E305" s="6">
        <f>IFERROR(VLOOKUP(C305,O.B.JUNE!$AA$7:$AG$448,2,0),0)</f>
        <v>0</v>
      </c>
      <c r="F305" s="6">
        <f>IFERROR(VLOOKUP(C305,O.B.JUNE!$AA$7:$AG$448,3,0),0)</f>
        <v>29</v>
      </c>
      <c r="G305" s="6">
        <f>IFERROR(VLOOKUP(C305,O.B.JUNE!$AA$7:$AD$448,4,0),0)</f>
        <v>113</v>
      </c>
      <c r="H305" s="6">
        <f t="shared" si="53"/>
        <v>142</v>
      </c>
      <c r="I305" s="6">
        <f>IFERROR(VLOOKUP(C305,O.B.JUNE!$AA$7:$AF$448,6,0),0)</f>
        <v>105</v>
      </c>
      <c r="J305" s="6"/>
      <c r="K305" s="6">
        <f>IFERROR(VLOOKUP(C305,O.B.JUNE!$AA$7:$AG$448,7,0),0)</f>
        <v>1750871</v>
      </c>
      <c r="L305" s="6">
        <f>SUMIF('JUNE (물량흐름)'!$C$13:$C$502,'Direct labour(직접노무비)'!C305,'JUNE (물량흐름)'!$H$13:$H$502)+SUMIF('JUNE (물량흐름)'!$C$13:$C$502,'Direct labour(직접노무비)'!C305,'JUNE (물량흐름)'!$I$13:$I$502)</f>
        <v>0</v>
      </c>
      <c r="M305" s="6">
        <f t="shared" si="54"/>
        <v>0</v>
      </c>
      <c r="N305" s="6">
        <f t="shared" si="55"/>
        <v>0</v>
      </c>
      <c r="O305" s="6">
        <f t="shared" si="52"/>
        <v>0</v>
      </c>
      <c r="P305" s="6">
        <f>SUMIF('JUNE (물량흐름)'!$C$13:$C$502,C305,'JUNE (물량흐름)'!$T$13:$T$502)+SUMIF('JUNE (물량흐름)'!$C$13:$C$502,C305,'JUNE (물량흐름)'!$V$13:$V$502)+SUMIF('JUNE (물량흐름)'!$C$13:$C$502,C305,'JUNE (물량흐름)'!$U$13:$U$502)-SUMIF('JUNE (물량흐름)'!$C$13:$C$502,C305,'JUNE (물량흐름)'!$Y$13:$Y$502)</f>
        <v>0</v>
      </c>
      <c r="Q305" s="6">
        <f t="shared" si="61"/>
        <v>0</v>
      </c>
      <c r="R305" s="6">
        <f>ROUND(IF(ISERROR(VLOOKUP(#REF!,'WIP(재공품)'!$B$12:$AB$38,13,0)),0,VLOOKUP(#REF!,'WIP(재공품)'!$B$12:$AB$38,13,0)),0)</f>
        <v>0</v>
      </c>
      <c r="S305" s="6">
        <f>IF(ISERROR(VLOOKUP(#REF!,'WIP(재공품)'!$B$12:$AB$38,10,0)),0,VLOOKUP(#REF!,'WIP(재공품)'!$B$12:$AB$38,10,0))</f>
        <v>0</v>
      </c>
      <c r="T305" s="6">
        <f>SUMIF('JUNE (물량흐름)'!$C$13:$C$502,'Direct labour(직접노무비)'!C305,'JUNE (물량흐름)'!$Y$13:$Y$502)</f>
        <v>0</v>
      </c>
      <c r="U305" s="6">
        <f t="shared" si="56"/>
        <v>0</v>
      </c>
      <c r="V305" s="6">
        <f>ROUND(SUMIF('JUNE (물량흐름)'!$C$13:$C$502,'Direct labour(직접노무비)'!C305,'JUNE (물량흐름)'!$N$13:$N$502),0)</f>
        <v>0</v>
      </c>
      <c r="W305" s="6">
        <f>ROUND(SUMIF('JUNE (물량흐름)'!$C$13:$C$502,'Direct labour(직접노무비)'!C305,'JUNE (물량흐름)'!$O$13:$O$502),0)</f>
        <v>29</v>
      </c>
      <c r="X305" s="6">
        <f>ROUND(SUMIF('JUNE (물량흐름)'!$C$13:$C$502,'Direct labour(직접노무비)'!C305,'JUNE (물량흐름)'!$P$13:$P$502),0)</f>
        <v>113</v>
      </c>
      <c r="Y305" s="6">
        <f t="shared" si="57"/>
        <v>142</v>
      </c>
      <c r="Z305" s="6">
        <f t="shared" si="58"/>
        <v>105</v>
      </c>
      <c r="AA305" s="6">
        <f t="shared" si="62"/>
        <v>1750871</v>
      </c>
      <c r="AB305" s="389">
        <f t="shared" si="59"/>
        <v>0</v>
      </c>
      <c r="AC305" s="503">
        <f t="shared" si="51"/>
        <v>0</v>
      </c>
      <c r="AD305" s="389">
        <f t="shared" si="60"/>
        <v>0</v>
      </c>
    </row>
    <row r="306" spans="1:30" s="390" customFormat="1">
      <c r="A306" s="167">
        <v>300</v>
      </c>
      <c r="B306" s="267" t="str">
        <f>VLOOKUP(A306,'JUNE (물량흐름)'!$A$13:$C$502,2,0)</f>
        <v>CHARTER CLUB</v>
      </c>
      <c r="C306" s="240">
        <f>VLOOKUP(A306,'JUNE (물량흐름)'!$A$13:$C$502,3,0)</f>
        <v>100016575</v>
      </c>
      <c r="D306" s="6">
        <f>VLOOKUP(C306,'WIP(재공품)'!$B$12:$E$493,4,0)</f>
        <v>7936.2499999999991</v>
      </c>
      <c r="E306" s="6">
        <f>IFERROR(VLOOKUP(C306,O.B.JUNE!$AA$7:$AG$448,2,0),0)</f>
        <v>0</v>
      </c>
      <c r="F306" s="6">
        <f>IFERROR(VLOOKUP(C306,O.B.JUNE!$AA$7:$AG$448,3,0),0)</f>
        <v>6</v>
      </c>
      <c r="G306" s="6">
        <f>IFERROR(VLOOKUP(C306,O.B.JUNE!$AA$7:$AD$448,4,0),0)</f>
        <v>113</v>
      </c>
      <c r="H306" s="6">
        <f t="shared" si="53"/>
        <v>119</v>
      </c>
      <c r="I306" s="6">
        <f>IFERROR(VLOOKUP(C306,O.B.JUNE!$AA$7:$AF$448,6,0),0)</f>
        <v>93</v>
      </c>
      <c r="J306" s="6"/>
      <c r="K306" s="6">
        <f>IFERROR(VLOOKUP(C306,O.B.JUNE!$AA$7:$AG$448,7,0),0)</f>
        <v>2881366</v>
      </c>
      <c r="L306" s="6">
        <f>SUMIF('JUNE (물량흐름)'!$C$13:$C$502,'Direct labour(직접노무비)'!C306,'JUNE (물량흐름)'!$H$13:$H$502)+SUMIF('JUNE (물량흐름)'!$C$13:$C$502,'Direct labour(직접노무비)'!C306,'JUNE (물량흐름)'!$I$13:$I$502)</f>
        <v>0</v>
      </c>
      <c r="M306" s="6">
        <f t="shared" si="54"/>
        <v>0</v>
      </c>
      <c r="N306" s="6">
        <f t="shared" si="55"/>
        <v>0</v>
      </c>
      <c r="O306" s="6">
        <f t="shared" si="52"/>
        <v>0</v>
      </c>
      <c r="P306" s="6">
        <f>SUMIF('JUNE (물량흐름)'!$C$13:$C$502,C306,'JUNE (물량흐름)'!$T$13:$T$502)+SUMIF('JUNE (물량흐름)'!$C$13:$C$502,C306,'JUNE (물량흐름)'!$V$13:$V$502)+SUMIF('JUNE (물량흐름)'!$C$13:$C$502,C306,'JUNE (물량흐름)'!$U$13:$U$502)-SUMIF('JUNE (물량흐름)'!$C$13:$C$502,C306,'JUNE (물량흐름)'!$Y$13:$Y$502)</f>
        <v>0</v>
      </c>
      <c r="Q306" s="6">
        <f t="shared" si="61"/>
        <v>0</v>
      </c>
      <c r="R306" s="6">
        <f>ROUND(IF(ISERROR(VLOOKUP(#REF!,'WIP(재공품)'!$B$12:$AB$38,13,0)),0,VLOOKUP(#REF!,'WIP(재공품)'!$B$12:$AB$38,13,0)),0)</f>
        <v>0</v>
      </c>
      <c r="S306" s="6">
        <f>IF(ISERROR(VLOOKUP(#REF!,'WIP(재공품)'!$B$12:$AB$38,10,0)),0,VLOOKUP(#REF!,'WIP(재공품)'!$B$12:$AB$38,10,0))</f>
        <v>0</v>
      </c>
      <c r="T306" s="6">
        <f>SUMIF('JUNE (물량흐름)'!$C$13:$C$502,'Direct labour(직접노무비)'!C306,'JUNE (물량흐름)'!$Y$13:$Y$502)</f>
        <v>0</v>
      </c>
      <c r="U306" s="6">
        <f t="shared" si="56"/>
        <v>0</v>
      </c>
      <c r="V306" s="6">
        <f>ROUND(SUMIF('JUNE (물량흐름)'!$C$13:$C$502,'Direct labour(직접노무비)'!C306,'JUNE (물량흐름)'!$N$13:$N$502),0)</f>
        <v>0</v>
      </c>
      <c r="W306" s="6">
        <f>ROUND(SUMIF('JUNE (물량흐름)'!$C$13:$C$502,'Direct labour(직접노무비)'!C306,'JUNE (물량흐름)'!$O$13:$O$502),0)</f>
        <v>6</v>
      </c>
      <c r="X306" s="6">
        <f>ROUND(SUMIF('JUNE (물량흐름)'!$C$13:$C$502,'Direct labour(직접노무비)'!C306,'JUNE (물량흐름)'!$P$13:$P$502),0)</f>
        <v>113</v>
      </c>
      <c r="Y306" s="6">
        <f t="shared" si="57"/>
        <v>119</v>
      </c>
      <c r="Z306" s="6">
        <f t="shared" si="58"/>
        <v>93</v>
      </c>
      <c r="AA306" s="6">
        <f t="shared" si="62"/>
        <v>2881366</v>
      </c>
      <c r="AB306" s="389">
        <f t="shared" si="59"/>
        <v>0</v>
      </c>
      <c r="AC306" s="503">
        <f t="shared" si="51"/>
        <v>0</v>
      </c>
      <c r="AD306" s="389">
        <f t="shared" si="60"/>
        <v>0</v>
      </c>
    </row>
    <row r="307" spans="1:30" s="390" customFormat="1">
      <c r="A307" s="167">
        <v>301</v>
      </c>
      <c r="B307" s="267" t="str">
        <f>VLOOKUP(A307,'JUNE (물량흐름)'!$A$13:$C$502,2,0)</f>
        <v>ALFANI</v>
      </c>
      <c r="C307" s="240">
        <f>VLOOKUP(A307,'JUNE (물량흐름)'!$A$13:$C$502,3,0)</f>
        <v>100019839</v>
      </c>
      <c r="D307" s="6">
        <f>VLOOKUP(C307,'WIP(재공품)'!$B$12:$E$493,4,0)</f>
        <v>7936.2499999999991</v>
      </c>
      <c r="E307" s="6">
        <f>IFERROR(VLOOKUP(C307,O.B.JUNE!$AA$7:$AG$448,2,0),0)</f>
        <v>0</v>
      </c>
      <c r="F307" s="6">
        <f>IFERROR(VLOOKUP(C307,O.B.JUNE!$AA$7:$AG$448,3,0),0)</f>
        <v>114</v>
      </c>
      <c r="G307" s="6">
        <f>IFERROR(VLOOKUP(C307,O.B.JUNE!$AA$7:$AD$448,4,0),0)</f>
        <v>189</v>
      </c>
      <c r="H307" s="6">
        <f t="shared" si="53"/>
        <v>303</v>
      </c>
      <c r="I307" s="6">
        <f>IFERROR(VLOOKUP(C307,O.B.JUNE!$AA$7:$AF$448,6,0),0)</f>
        <v>208</v>
      </c>
      <c r="J307" s="6"/>
      <c r="K307" s="6">
        <f>IFERROR(VLOOKUP(C307,O.B.JUNE!$AA$7:$AG$448,7,0),0)</f>
        <v>3405494</v>
      </c>
      <c r="L307" s="6">
        <f>SUMIF('JUNE (물량흐름)'!$C$13:$C$502,'Direct labour(직접노무비)'!C307,'JUNE (물량흐름)'!$H$13:$H$502)+SUMIF('JUNE (물량흐름)'!$C$13:$C$502,'Direct labour(직접노무비)'!C307,'JUNE (물량흐름)'!$I$13:$I$502)</f>
        <v>0</v>
      </c>
      <c r="M307" s="6">
        <f t="shared" si="54"/>
        <v>0</v>
      </c>
      <c r="N307" s="6">
        <f t="shared" si="55"/>
        <v>0</v>
      </c>
      <c r="O307" s="6">
        <f t="shared" si="52"/>
        <v>0</v>
      </c>
      <c r="P307" s="6">
        <f>SUMIF('JUNE (물량흐름)'!$C$13:$C$502,C307,'JUNE (물량흐름)'!$T$13:$T$502)+SUMIF('JUNE (물량흐름)'!$C$13:$C$502,C307,'JUNE (물량흐름)'!$V$13:$V$502)+SUMIF('JUNE (물량흐름)'!$C$13:$C$502,C307,'JUNE (물량흐름)'!$U$13:$U$502)-SUMIF('JUNE (물량흐름)'!$C$13:$C$502,C307,'JUNE (물량흐름)'!$Y$13:$Y$502)</f>
        <v>0</v>
      </c>
      <c r="Q307" s="6">
        <f t="shared" si="61"/>
        <v>0</v>
      </c>
      <c r="R307" s="6">
        <f>ROUND(IF(ISERROR(VLOOKUP(#REF!,'WIP(재공품)'!$B$12:$AB$38,13,0)),0,VLOOKUP(#REF!,'WIP(재공품)'!$B$12:$AB$38,13,0)),0)</f>
        <v>0</v>
      </c>
      <c r="S307" s="6">
        <f>IF(ISERROR(VLOOKUP(#REF!,'WIP(재공품)'!$B$12:$AB$38,10,0)),0,VLOOKUP(#REF!,'WIP(재공품)'!$B$12:$AB$38,10,0))</f>
        <v>0</v>
      </c>
      <c r="T307" s="6">
        <f>SUMIF('JUNE (물량흐름)'!$C$13:$C$502,'Direct labour(직접노무비)'!C307,'JUNE (물량흐름)'!$Y$13:$Y$502)</f>
        <v>0</v>
      </c>
      <c r="U307" s="6">
        <f t="shared" si="56"/>
        <v>0</v>
      </c>
      <c r="V307" s="6">
        <f>ROUND(SUMIF('JUNE (물량흐름)'!$C$13:$C$502,'Direct labour(직접노무비)'!C307,'JUNE (물량흐름)'!$N$13:$N$502),0)</f>
        <v>0</v>
      </c>
      <c r="W307" s="6">
        <f>ROUND(SUMIF('JUNE (물량흐름)'!$C$13:$C$502,'Direct labour(직접노무비)'!C307,'JUNE (물량흐름)'!$O$13:$O$502),0)</f>
        <v>114</v>
      </c>
      <c r="X307" s="6">
        <f>ROUND(SUMIF('JUNE (물량흐름)'!$C$13:$C$502,'Direct labour(직접노무비)'!C307,'JUNE (물량흐름)'!$P$13:$P$502),0)</f>
        <v>189</v>
      </c>
      <c r="Y307" s="6">
        <f t="shared" si="57"/>
        <v>303</v>
      </c>
      <c r="Z307" s="6">
        <f t="shared" si="58"/>
        <v>208</v>
      </c>
      <c r="AA307" s="6">
        <f t="shared" si="62"/>
        <v>3405494</v>
      </c>
      <c r="AB307" s="389">
        <f t="shared" si="59"/>
        <v>0</v>
      </c>
      <c r="AC307" s="503">
        <f t="shared" si="51"/>
        <v>0</v>
      </c>
      <c r="AD307" s="389">
        <f t="shared" si="60"/>
        <v>0</v>
      </c>
    </row>
    <row r="308" spans="1:30" s="390" customFormat="1">
      <c r="A308" s="167">
        <v>302</v>
      </c>
      <c r="B308" s="267" t="str">
        <f>VLOOKUP(A308,'JUNE (물량흐름)'!$A$13:$C$502,2,0)</f>
        <v>CHARTER CLUB</v>
      </c>
      <c r="C308" s="240">
        <f>VLOOKUP(A308,'JUNE (물량흐름)'!$A$13:$C$502,3,0)</f>
        <v>100021862</v>
      </c>
      <c r="D308" s="6">
        <f>VLOOKUP(C308,'WIP(재공품)'!$B$12:$E$493,4,0)</f>
        <v>8163</v>
      </c>
      <c r="E308" s="6">
        <f>IFERROR(VLOOKUP(C308,O.B.JUNE!$AA$7:$AG$448,2,0),0)</f>
        <v>0</v>
      </c>
      <c r="F308" s="6">
        <f>IFERROR(VLOOKUP(C308,O.B.JUNE!$AA$7:$AG$448,3,0),0)</f>
        <v>0</v>
      </c>
      <c r="G308" s="6">
        <f>IFERROR(VLOOKUP(C308,O.B.JUNE!$AA$7:$AD$448,4,0),0)</f>
        <v>7</v>
      </c>
      <c r="H308" s="6">
        <f t="shared" si="53"/>
        <v>7</v>
      </c>
      <c r="I308" s="6">
        <f>IFERROR(VLOOKUP(C308,O.B.JUNE!$AA$7:$AF$448,6,0),0)</f>
        <v>6</v>
      </c>
      <c r="J308" s="6"/>
      <c r="K308" s="6">
        <f>IFERROR(VLOOKUP(C308,O.B.JUNE!$AA$7:$AG$448,7,0),0)</f>
        <v>58794</v>
      </c>
      <c r="L308" s="6">
        <f>SUMIF('JUNE (물량흐름)'!$C$13:$C$502,'Direct labour(직접노무비)'!C308,'JUNE (물량흐름)'!$H$13:$H$502)+SUMIF('JUNE (물량흐름)'!$C$13:$C$502,'Direct labour(직접노무비)'!C308,'JUNE (물량흐름)'!$I$13:$I$502)</f>
        <v>0</v>
      </c>
      <c r="M308" s="6">
        <f t="shared" si="54"/>
        <v>0</v>
      </c>
      <c r="N308" s="6">
        <f t="shared" si="55"/>
        <v>0</v>
      </c>
      <c r="O308" s="6">
        <f t="shared" si="52"/>
        <v>0</v>
      </c>
      <c r="P308" s="6">
        <f>SUMIF('JUNE (물량흐름)'!$C$13:$C$502,C308,'JUNE (물량흐름)'!$T$13:$T$502)+SUMIF('JUNE (물량흐름)'!$C$13:$C$502,C308,'JUNE (물량흐름)'!$V$13:$V$502)+SUMIF('JUNE (물량흐름)'!$C$13:$C$502,C308,'JUNE (물량흐름)'!$U$13:$U$502)-SUMIF('JUNE (물량흐름)'!$C$13:$C$502,C308,'JUNE (물량흐름)'!$Y$13:$Y$502)</f>
        <v>0</v>
      </c>
      <c r="Q308" s="6">
        <f t="shared" si="61"/>
        <v>0</v>
      </c>
      <c r="R308" s="6">
        <f>ROUND(IF(ISERROR(VLOOKUP(#REF!,'WIP(재공품)'!$B$12:$AB$38,13,0)),0,VLOOKUP(#REF!,'WIP(재공품)'!$B$12:$AB$38,13,0)),0)</f>
        <v>0</v>
      </c>
      <c r="S308" s="6">
        <f>IF(ISERROR(VLOOKUP(#REF!,'WIP(재공품)'!$B$12:$AB$38,10,0)),0,VLOOKUP(#REF!,'WIP(재공품)'!$B$12:$AB$38,10,0))</f>
        <v>0</v>
      </c>
      <c r="T308" s="6">
        <f>SUMIF('JUNE (물량흐름)'!$C$13:$C$502,'Direct labour(직접노무비)'!C308,'JUNE (물량흐름)'!$Y$13:$Y$502)</f>
        <v>0</v>
      </c>
      <c r="U308" s="6">
        <f t="shared" si="56"/>
        <v>0</v>
      </c>
      <c r="V308" s="6">
        <f>ROUND(SUMIF('JUNE (물량흐름)'!$C$13:$C$502,'Direct labour(직접노무비)'!C308,'JUNE (물량흐름)'!$N$13:$N$502),0)</f>
        <v>0</v>
      </c>
      <c r="W308" s="6">
        <f>ROUND(SUMIF('JUNE (물량흐름)'!$C$13:$C$502,'Direct labour(직접노무비)'!C308,'JUNE (물량흐름)'!$O$13:$O$502),0)</f>
        <v>0</v>
      </c>
      <c r="X308" s="6">
        <f>ROUND(SUMIF('JUNE (물량흐름)'!$C$13:$C$502,'Direct labour(직접노무비)'!C308,'JUNE (물량흐름)'!$P$13:$P$502),0)</f>
        <v>7</v>
      </c>
      <c r="Y308" s="6">
        <f t="shared" si="57"/>
        <v>7</v>
      </c>
      <c r="Z308" s="6">
        <f t="shared" si="58"/>
        <v>6</v>
      </c>
      <c r="AA308" s="6">
        <f t="shared" si="62"/>
        <v>58794</v>
      </c>
      <c r="AB308" s="389">
        <f t="shared" si="59"/>
        <v>0</v>
      </c>
      <c r="AC308" s="503">
        <f t="shared" si="51"/>
        <v>0</v>
      </c>
      <c r="AD308" s="389">
        <f t="shared" si="60"/>
        <v>0</v>
      </c>
    </row>
    <row r="309" spans="1:30" s="390" customFormat="1">
      <c r="A309" s="167">
        <v>303</v>
      </c>
      <c r="B309" s="267" t="str">
        <f>VLOOKUP(A309,'JUNE (물량흐름)'!$A$13:$C$502,2,0)</f>
        <v>ALFANI</v>
      </c>
      <c r="C309" s="240">
        <f>VLOOKUP(A309,'JUNE (물량흐름)'!$A$13:$C$502,3,0)</f>
        <v>100025244</v>
      </c>
      <c r="D309" s="6">
        <f>VLOOKUP(C309,'WIP(재공품)'!$B$12:$E$493,4,0)</f>
        <v>8163</v>
      </c>
      <c r="E309" s="6">
        <f>IFERROR(VLOOKUP(C309,O.B.JUNE!$AA$7:$AG$448,2,0),0)</f>
        <v>0</v>
      </c>
      <c r="F309" s="6">
        <f>IFERROR(VLOOKUP(C309,O.B.JUNE!$AA$7:$AG$448,3,0),0)</f>
        <v>0</v>
      </c>
      <c r="G309" s="6">
        <f>IFERROR(VLOOKUP(C309,O.B.JUNE!$AA$7:$AD$448,4,0),0)</f>
        <v>12</v>
      </c>
      <c r="H309" s="6">
        <f t="shared" si="53"/>
        <v>12</v>
      </c>
      <c r="I309" s="6">
        <f>IFERROR(VLOOKUP(C309,O.B.JUNE!$AA$7:$AF$448,6,0),0)</f>
        <v>10</v>
      </c>
      <c r="J309" s="6"/>
      <c r="K309" s="6">
        <f>IFERROR(VLOOKUP(C309,O.B.JUNE!$AA$7:$AG$448,7,0),0)</f>
        <v>110200</v>
      </c>
      <c r="L309" s="6">
        <f>SUMIF('JUNE (물량흐름)'!$C$13:$C$502,'Direct labour(직접노무비)'!C309,'JUNE (물량흐름)'!$H$13:$H$502)+SUMIF('JUNE (물량흐름)'!$C$13:$C$502,'Direct labour(직접노무비)'!C309,'JUNE (물량흐름)'!$I$13:$I$502)</f>
        <v>0</v>
      </c>
      <c r="M309" s="6">
        <f t="shared" si="54"/>
        <v>0</v>
      </c>
      <c r="N309" s="6">
        <f t="shared" si="55"/>
        <v>0</v>
      </c>
      <c r="O309" s="6">
        <f t="shared" si="52"/>
        <v>0</v>
      </c>
      <c r="P309" s="6">
        <f>SUMIF('JUNE (물량흐름)'!$C$13:$C$502,C309,'JUNE (물량흐름)'!$T$13:$T$502)+SUMIF('JUNE (물량흐름)'!$C$13:$C$502,C309,'JUNE (물량흐름)'!$V$13:$V$502)+SUMIF('JUNE (물량흐름)'!$C$13:$C$502,C309,'JUNE (물량흐름)'!$U$13:$U$502)-SUMIF('JUNE (물량흐름)'!$C$13:$C$502,C309,'JUNE (물량흐름)'!$Y$13:$Y$502)</f>
        <v>0</v>
      </c>
      <c r="Q309" s="6">
        <f t="shared" si="61"/>
        <v>0</v>
      </c>
      <c r="R309" s="6">
        <f>ROUND(IF(ISERROR(VLOOKUP(#REF!,'WIP(재공품)'!$B$12:$AB$38,13,0)),0,VLOOKUP(#REF!,'WIP(재공품)'!$B$12:$AB$38,13,0)),0)</f>
        <v>0</v>
      </c>
      <c r="S309" s="6">
        <f>IF(ISERROR(VLOOKUP(#REF!,'WIP(재공품)'!$B$12:$AB$38,10,0)),0,VLOOKUP(#REF!,'WIP(재공품)'!$B$12:$AB$38,10,0))</f>
        <v>0</v>
      </c>
      <c r="T309" s="6">
        <f>SUMIF('JUNE (물량흐름)'!$C$13:$C$502,'Direct labour(직접노무비)'!C309,'JUNE (물량흐름)'!$Y$13:$Y$502)</f>
        <v>0</v>
      </c>
      <c r="U309" s="6">
        <f t="shared" si="56"/>
        <v>0</v>
      </c>
      <c r="V309" s="6">
        <f>ROUND(SUMIF('JUNE (물량흐름)'!$C$13:$C$502,'Direct labour(직접노무비)'!C309,'JUNE (물량흐름)'!$N$13:$N$502),0)</f>
        <v>0</v>
      </c>
      <c r="W309" s="6">
        <f>ROUND(SUMIF('JUNE (물량흐름)'!$C$13:$C$502,'Direct labour(직접노무비)'!C309,'JUNE (물량흐름)'!$O$13:$O$502),0)</f>
        <v>0</v>
      </c>
      <c r="X309" s="6">
        <f>ROUND(SUMIF('JUNE (물량흐름)'!$C$13:$C$502,'Direct labour(직접노무비)'!C309,'JUNE (물량흐름)'!$P$13:$P$502),0)</f>
        <v>12</v>
      </c>
      <c r="Y309" s="6">
        <f t="shared" si="57"/>
        <v>12</v>
      </c>
      <c r="Z309" s="6">
        <f t="shared" si="58"/>
        <v>10</v>
      </c>
      <c r="AA309" s="6">
        <f t="shared" si="62"/>
        <v>110200</v>
      </c>
      <c r="AB309" s="389">
        <f t="shared" si="59"/>
        <v>0</v>
      </c>
      <c r="AC309" s="503">
        <f t="shared" si="51"/>
        <v>0</v>
      </c>
      <c r="AD309" s="389">
        <f t="shared" si="60"/>
        <v>0</v>
      </c>
    </row>
    <row r="310" spans="1:30" s="390" customFormat="1">
      <c r="A310" s="167">
        <v>304</v>
      </c>
      <c r="B310" s="267" t="str">
        <f>VLOOKUP(A310,'JUNE (물량흐름)'!$A$13:$C$502,2,0)</f>
        <v>ALFANI</v>
      </c>
      <c r="C310" s="240">
        <f>VLOOKUP(A310,'JUNE (물량흐름)'!$A$13:$C$502,3,0)</f>
        <v>100025245</v>
      </c>
      <c r="D310" s="6">
        <f>VLOOKUP(C310,'WIP(재공품)'!$B$12:$E$493,4,0)</f>
        <v>8163</v>
      </c>
      <c r="E310" s="6">
        <f>IFERROR(VLOOKUP(C310,O.B.JUNE!$AA$7:$AG$448,2,0),0)</f>
        <v>22</v>
      </c>
      <c r="F310" s="6">
        <f>IFERROR(VLOOKUP(C310,O.B.JUNE!$AA$7:$AG$448,3,0),0)</f>
        <v>5</v>
      </c>
      <c r="G310" s="6">
        <f>IFERROR(VLOOKUP(C310,O.B.JUNE!$AA$7:$AD$448,4,0),0)</f>
        <v>11</v>
      </c>
      <c r="H310" s="6">
        <f t="shared" si="53"/>
        <v>38</v>
      </c>
      <c r="I310" s="6">
        <f>IFERROR(VLOOKUP(C310,O.B.JUNE!$AA$7:$AF$448,6,0),0)</f>
        <v>16</v>
      </c>
      <c r="J310" s="6"/>
      <c r="K310" s="6">
        <f>IFERROR(VLOOKUP(C310,O.B.JUNE!$AA$7:$AG$448,7,0),0)</f>
        <v>244890</v>
      </c>
      <c r="L310" s="6">
        <f>SUMIF('JUNE (물량흐름)'!$C$13:$C$502,'Direct labour(직접노무비)'!C310,'JUNE (물량흐름)'!$H$13:$H$502)+SUMIF('JUNE (물량흐름)'!$C$13:$C$502,'Direct labour(직접노무비)'!C310,'JUNE (물량흐름)'!$I$13:$I$502)</f>
        <v>0</v>
      </c>
      <c r="M310" s="6">
        <f t="shared" si="54"/>
        <v>0</v>
      </c>
      <c r="N310" s="6">
        <f t="shared" si="55"/>
        <v>0</v>
      </c>
      <c r="O310" s="6">
        <f t="shared" si="52"/>
        <v>0</v>
      </c>
      <c r="P310" s="6">
        <f>SUMIF('JUNE (물량흐름)'!$C$13:$C$502,C310,'JUNE (물량흐름)'!$T$13:$T$502)+SUMIF('JUNE (물량흐름)'!$C$13:$C$502,C310,'JUNE (물량흐름)'!$V$13:$V$502)+SUMIF('JUNE (물량흐름)'!$C$13:$C$502,C310,'JUNE (물량흐름)'!$U$13:$U$502)-SUMIF('JUNE (물량흐름)'!$C$13:$C$502,C310,'JUNE (물량흐름)'!$Y$13:$Y$502)</f>
        <v>0</v>
      </c>
      <c r="Q310" s="6">
        <f t="shared" si="61"/>
        <v>0</v>
      </c>
      <c r="R310" s="6">
        <f>ROUND(IF(ISERROR(VLOOKUP(#REF!,'WIP(재공품)'!$B$12:$AB$38,13,0)),0,VLOOKUP(#REF!,'WIP(재공품)'!$B$12:$AB$38,13,0)),0)</f>
        <v>0</v>
      </c>
      <c r="S310" s="6">
        <f>IF(ISERROR(VLOOKUP(#REF!,'WIP(재공품)'!$B$12:$AB$38,10,0)),0,VLOOKUP(#REF!,'WIP(재공품)'!$B$12:$AB$38,10,0))</f>
        <v>0</v>
      </c>
      <c r="T310" s="6">
        <f>SUMIF('JUNE (물량흐름)'!$C$13:$C$502,'Direct labour(직접노무비)'!C310,'JUNE (물량흐름)'!$Y$13:$Y$502)</f>
        <v>0</v>
      </c>
      <c r="U310" s="6">
        <f t="shared" si="56"/>
        <v>0</v>
      </c>
      <c r="V310" s="6">
        <f>ROUND(SUMIF('JUNE (물량흐름)'!$C$13:$C$502,'Direct labour(직접노무비)'!C310,'JUNE (물량흐름)'!$N$13:$N$502),0)</f>
        <v>22</v>
      </c>
      <c r="W310" s="6">
        <f>ROUND(SUMIF('JUNE (물량흐름)'!$C$13:$C$502,'Direct labour(직접노무비)'!C310,'JUNE (물량흐름)'!$O$13:$O$502),0)</f>
        <v>5</v>
      </c>
      <c r="X310" s="6">
        <f>ROUND(SUMIF('JUNE (물량흐름)'!$C$13:$C$502,'Direct labour(직접노무비)'!C310,'JUNE (물량흐름)'!$P$13:$P$502),0)</f>
        <v>11</v>
      </c>
      <c r="Y310" s="6">
        <f t="shared" si="57"/>
        <v>38</v>
      </c>
      <c r="Z310" s="6">
        <f t="shared" si="58"/>
        <v>16</v>
      </c>
      <c r="AA310" s="6">
        <f t="shared" si="62"/>
        <v>244890</v>
      </c>
      <c r="AB310" s="389">
        <f t="shared" si="59"/>
        <v>0</v>
      </c>
      <c r="AC310" s="503">
        <f t="shared" si="51"/>
        <v>0</v>
      </c>
      <c r="AD310" s="389">
        <f t="shared" si="60"/>
        <v>0</v>
      </c>
    </row>
    <row r="311" spans="1:30" s="390" customFormat="1">
      <c r="A311" s="167">
        <v>305</v>
      </c>
      <c r="B311" s="267" t="str">
        <f>VLOOKUP(A311,'JUNE (물량흐름)'!$A$13:$C$502,2,0)</f>
        <v>TALBOTS</v>
      </c>
      <c r="C311" s="240">
        <f>VLOOKUP(A311,'JUNE (물량흐름)'!$A$13:$C$502,3,0)</f>
        <v>182013373</v>
      </c>
      <c r="D311" s="6">
        <f>VLOOKUP(C311,'WIP(재공품)'!$B$12:$E$493,4,0)</f>
        <v>7936.2499999999991</v>
      </c>
      <c r="E311" s="6">
        <f>IFERROR(VLOOKUP(C311,O.B.JUNE!$AA$7:$AG$448,2,0),0)</f>
        <v>0</v>
      </c>
      <c r="F311" s="6">
        <f>IFERROR(VLOOKUP(C311,O.B.JUNE!$AA$7:$AG$448,3,0),0)</f>
        <v>318</v>
      </c>
      <c r="G311" s="6">
        <f>IFERROR(VLOOKUP(C311,O.B.JUNE!$AA$7:$AD$448,4,0),0)</f>
        <v>273</v>
      </c>
      <c r="H311" s="6">
        <f t="shared" si="53"/>
        <v>591</v>
      </c>
      <c r="I311" s="6">
        <f>IFERROR(VLOOKUP(C311,O.B.JUNE!$AA$7:$AF$448,6,0),0)</f>
        <v>377</v>
      </c>
      <c r="J311" s="6"/>
      <c r="K311" s="6">
        <f>IFERROR(VLOOKUP(C311,O.B.JUNE!$AA$7:$AG$448,7,0),0)</f>
        <v>3830236</v>
      </c>
      <c r="L311" s="6">
        <f>SUMIF('JUNE (물량흐름)'!$C$13:$C$502,'Direct labour(직접노무비)'!C311,'JUNE (물량흐름)'!$H$13:$H$502)+SUMIF('JUNE (물량흐름)'!$C$13:$C$502,'Direct labour(직접노무비)'!C311,'JUNE (물량흐름)'!$I$13:$I$502)</f>
        <v>0</v>
      </c>
      <c r="M311" s="6">
        <f t="shared" si="54"/>
        <v>0</v>
      </c>
      <c r="N311" s="6">
        <f t="shared" si="55"/>
        <v>0</v>
      </c>
      <c r="O311" s="6">
        <f t="shared" si="52"/>
        <v>0</v>
      </c>
      <c r="P311" s="6">
        <f>SUMIF('JUNE (물량흐름)'!$C$13:$C$502,C311,'JUNE (물량흐름)'!$T$13:$T$502)+SUMIF('JUNE (물량흐름)'!$C$13:$C$502,C311,'JUNE (물량흐름)'!$V$13:$V$502)+SUMIF('JUNE (물량흐름)'!$C$13:$C$502,C311,'JUNE (물량흐름)'!$U$13:$U$502)-SUMIF('JUNE (물량흐름)'!$C$13:$C$502,C311,'JUNE (물량흐름)'!$Y$13:$Y$502)</f>
        <v>0</v>
      </c>
      <c r="Q311" s="6">
        <f t="shared" si="61"/>
        <v>0</v>
      </c>
      <c r="R311" s="6">
        <f>ROUND(IF(ISERROR(VLOOKUP(#REF!,'WIP(재공품)'!$B$12:$AB$38,13,0)),0,VLOOKUP(#REF!,'WIP(재공품)'!$B$12:$AB$38,13,0)),0)</f>
        <v>0</v>
      </c>
      <c r="S311" s="6">
        <f>IF(ISERROR(VLOOKUP(#REF!,'WIP(재공품)'!$B$12:$AB$38,10,0)),0,VLOOKUP(#REF!,'WIP(재공품)'!$B$12:$AB$38,10,0))</f>
        <v>0</v>
      </c>
      <c r="T311" s="6">
        <f>SUMIF('JUNE (물량흐름)'!$C$13:$C$502,'Direct labour(직접노무비)'!C311,'JUNE (물량흐름)'!$Y$13:$Y$502)</f>
        <v>0</v>
      </c>
      <c r="U311" s="6">
        <f t="shared" si="56"/>
        <v>0</v>
      </c>
      <c r="V311" s="6">
        <f>ROUND(SUMIF('JUNE (물량흐름)'!$C$13:$C$502,'Direct labour(직접노무비)'!C311,'JUNE (물량흐름)'!$N$13:$N$502),0)</f>
        <v>0</v>
      </c>
      <c r="W311" s="6">
        <f>ROUND(SUMIF('JUNE (물량흐름)'!$C$13:$C$502,'Direct labour(직접노무비)'!C311,'JUNE (물량흐름)'!$O$13:$O$502),0)</f>
        <v>318</v>
      </c>
      <c r="X311" s="6">
        <f>ROUND(SUMIF('JUNE (물량흐름)'!$C$13:$C$502,'Direct labour(직접노무비)'!C311,'JUNE (물량흐름)'!$P$13:$P$502),0)</f>
        <v>273</v>
      </c>
      <c r="Y311" s="6">
        <f t="shared" si="57"/>
        <v>591</v>
      </c>
      <c r="Z311" s="6">
        <f t="shared" si="58"/>
        <v>377</v>
      </c>
      <c r="AA311" s="6">
        <f t="shared" si="62"/>
        <v>3830236</v>
      </c>
      <c r="AB311" s="389">
        <f t="shared" si="59"/>
        <v>0</v>
      </c>
      <c r="AC311" s="503">
        <f t="shared" si="51"/>
        <v>0</v>
      </c>
      <c r="AD311" s="389">
        <f t="shared" si="60"/>
        <v>0</v>
      </c>
    </row>
    <row r="312" spans="1:30" s="390" customFormat="1">
      <c r="A312" s="167">
        <v>306</v>
      </c>
      <c r="B312" s="267" t="str">
        <f>VLOOKUP(A312,'JUNE (물량흐름)'!$A$13:$C$502,2,0)</f>
        <v>TALBOTS</v>
      </c>
      <c r="C312" s="240">
        <f>VLOOKUP(A312,'JUNE (물량흐름)'!$A$13:$C$502,3,0)</f>
        <v>182013374</v>
      </c>
      <c r="D312" s="6">
        <f>VLOOKUP(C312,'WIP(재공품)'!$B$12:$E$493,4,0)</f>
        <v>7936.2499999999991</v>
      </c>
      <c r="E312" s="6">
        <f>IFERROR(VLOOKUP(C312,O.B.JUNE!$AA$7:$AG$448,2,0),0)</f>
        <v>0</v>
      </c>
      <c r="F312" s="6">
        <f>IFERROR(VLOOKUP(C312,O.B.JUNE!$AA$7:$AG$448,3,0),0)</f>
        <v>69</v>
      </c>
      <c r="G312" s="6">
        <f>IFERROR(VLOOKUP(C312,O.B.JUNE!$AA$7:$AD$448,4,0),0)</f>
        <v>337</v>
      </c>
      <c r="H312" s="6">
        <f t="shared" si="53"/>
        <v>406</v>
      </c>
      <c r="I312" s="6">
        <f>IFERROR(VLOOKUP(C312,O.B.JUNE!$AA$7:$AF$448,6,0),0)</f>
        <v>304</v>
      </c>
      <c r="J312" s="6"/>
      <c r="K312" s="6">
        <f>IFERROR(VLOOKUP(C312,O.B.JUNE!$AA$7:$AG$448,7,0),0)</f>
        <v>3088158</v>
      </c>
      <c r="L312" s="6">
        <f>SUMIF('JUNE (물량흐름)'!$C$13:$C$502,'Direct labour(직접노무비)'!C312,'JUNE (물량흐름)'!$H$13:$H$502)+SUMIF('JUNE (물량흐름)'!$C$13:$C$502,'Direct labour(직접노무비)'!C312,'JUNE (물량흐름)'!$I$13:$I$502)</f>
        <v>0</v>
      </c>
      <c r="M312" s="6">
        <f t="shared" si="54"/>
        <v>0</v>
      </c>
      <c r="N312" s="6">
        <f t="shared" si="55"/>
        <v>0</v>
      </c>
      <c r="O312" s="6">
        <f t="shared" si="52"/>
        <v>0</v>
      </c>
      <c r="P312" s="6">
        <f>SUMIF('JUNE (물량흐름)'!$C$13:$C$502,C312,'JUNE (물량흐름)'!$T$13:$T$502)+SUMIF('JUNE (물량흐름)'!$C$13:$C$502,C312,'JUNE (물량흐름)'!$V$13:$V$502)+SUMIF('JUNE (물량흐름)'!$C$13:$C$502,C312,'JUNE (물량흐름)'!$U$13:$U$502)-SUMIF('JUNE (물량흐름)'!$C$13:$C$502,C312,'JUNE (물량흐름)'!$Y$13:$Y$502)</f>
        <v>0</v>
      </c>
      <c r="Q312" s="6">
        <f t="shared" si="61"/>
        <v>0</v>
      </c>
      <c r="R312" s="6">
        <f>ROUND(IF(ISERROR(VLOOKUP(#REF!,'WIP(재공품)'!$B$12:$AB$38,13,0)),0,VLOOKUP(#REF!,'WIP(재공품)'!$B$12:$AB$38,13,0)),0)</f>
        <v>0</v>
      </c>
      <c r="S312" s="6">
        <f>IF(ISERROR(VLOOKUP(#REF!,'WIP(재공품)'!$B$12:$AB$38,10,0)),0,VLOOKUP(#REF!,'WIP(재공품)'!$B$12:$AB$38,10,0))</f>
        <v>0</v>
      </c>
      <c r="T312" s="6">
        <f>SUMIF('JUNE (물량흐름)'!$C$13:$C$502,'Direct labour(직접노무비)'!C312,'JUNE (물량흐름)'!$Y$13:$Y$502)</f>
        <v>0</v>
      </c>
      <c r="U312" s="6">
        <f t="shared" si="56"/>
        <v>0</v>
      </c>
      <c r="V312" s="6">
        <f>ROUND(SUMIF('JUNE (물량흐름)'!$C$13:$C$502,'Direct labour(직접노무비)'!C312,'JUNE (물량흐름)'!$N$13:$N$502),0)</f>
        <v>0</v>
      </c>
      <c r="W312" s="6">
        <f>ROUND(SUMIF('JUNE (물량흐름)'!$C$13:$C$502,'Direct labour(직접노무비)'!C312,'JUNE (물량흐름)'!$O$13:$O$502),0)</f>
        <v>70</v>
      </c>
      <c r="X312" s="6">
        <f>ROUND(SUMIF('JUNE (물량흐름)'!$C$13:$C$502,'Direct labour(직접노무비)'!C312,'JUNE (물량흐름)'!$P$13:$P$502),0)</f>
        <v>336</v>
      </c>
      <c r="Y312" s="6">
        <f t="shared" si="57"/>
        <v>406</v>
      </c>
      <c r="Z312" s="6">
        <f t="shared" si="58"/>
        <v>304</v>
      </c>
      <c r="AA312" s="6">
        <f t="shared" si="62"/>
        <v>3088158</v>
      </c>
      <c r="AB312" s="389">
        <f t="shared" si="59"/>
        <v>0</v>
      </c>
      <c r="AC312" s="503">
        <f t="shared" si="51"/>
        <v>0</v>
      </c>
      <c r="AD312" s="389">
        <f t="shared" si="60"/>
        <v>0</v>
      </c>
    </row>
    <row r="313" spans="1:30" s="390" customFormat="1">
      <c r="A313" s="167">
        <v>307</v>
      </c>
      <c r="B313" s="267" t="str">
        <f>VLOOKUP(A313,'JUNE (물량흐름)'!$A$13:$C$502,2,0)</f>
        <v>TALBOTS</v>
      </c>
      <c r="C313" s="240">
        <f>VLOOKUP(A313,'JUNE (물량흐름)'!$A$13:$C$502,3,0)</f>
        <v>182034338</v>
      </c>
      <c r="D313" s="6">
        <f>VLOOKUP(C313,'WIP(재공품)'!$B$12:$E$493,4,0)</f>
        <v>7936.2499999999991</v>
      </c>
      <c r="E313" s="6">
        <f>IFERROR(VLOOKUP(C313,O.B.JUNE!$AA$7:$AG$448,2,0),0)</f>
        <v>0</v>
      </c>
      <c r="F313" s="6">
        <f>IFERROR(VLOOKUP(C313,O.B.JUNE!$AA$7:$AG$448,3,0),0)</f>
        <v>61</v>
      </c>
      <c r="G313" s="6">
        <f>IFERROR(VLOOKUP(C313,O.B.JUNE!$AA$7:$AD$448,4,0),0)</f>
        <v>10</v>
      </c>
      <c r="H313" s="6">
        <f t="shared" si="53"/>
        <v>71</v>
      </c>
      <c r="I313" s="6">
        <f>IFERROR(VLOOKUP(C313,O.B.JUNE!$AA$7:$AF$448,6,0),0)</f>
        <v>39</v>
      </c>
      <c r="J313" s="6"/>
      <c r="K313" s="6">
        <f>IFERROR(VLOOKUP(C313,O.B.JUNE!$AA$7:$AG$448,7,0),0)</f>
        <v>1613548</v>
      </c>
      <c r="L313" s="6">
        <f>SUMIF('JUNE (물량흐름)'!$C$13:$C$502,'Direct labour(직접노무비)'!C313,'JUNE (물량흐름)'!$H$13:$H$502)+SUMIF('JUNE (물량흐름)'!$C$13:$C$502,'Direct labour(직접노무비)'!C313,'JUNE (물량흐름)'!$I$13:$I$502)</f>
        <v>0</v>
      </c>
      <c r="M313" s="6">
        <f t="shared" si="54"/>
        <v>0</v>
      </c>
      <c r="N313" s="6">
        <f t="shared" si="55"/>
        <v>0</v>
      </c>
      <c r="O313" s="6">
        <f t="shared" si="52"/>
        <v>0</v>
      </c>
      <c r="P313" s="6">
        <f>SUMIF('JUNE (물량흐름)'!$C$13:$C$502,C313,'JUNE (물량흐름)'!$T$13:$T$502)+SUMIF('JUNE (물량흐름)'!$C$13:$C$502,C313,'JUNE (물량흐름)'!$V$13:$V$502)+SUMIF('JUNE (물량흐름)'!$C$13:$C$502,C313,'JUNE (물량흐름)'!$U$13:$U$502)-SUMIF('JUNE (물량흐름)'!$C$13:$C$502,C313,'JUNE (물량흐름)'!$Y$13:$Y$502)</f>
        <v>0</v>
      </c>
      <c r="Q313" s="6">
        <f t="shared" si="61"/>
        <v>0</v>
      </c>
      <c r="R313" s="6">
        <f>ROUND(IF(ISERROR(VLOOKUP(#REF!,'WIP(재공품)'!$B$12:$AB$38,13,0)),0,VLOOKUP(#REF!,'WIP(재공품)'!$B$12:$AB$38,13,0)),0)</f>
        <v>0</v>
      </c>
      <c r="S313" s="6">
        <f>IF(ISERROR(VLOOKUP(#REF!,'WIP(재공품)'!$B$12:$AB$38,10,0)),0,VLOOKUP(#REF!,'WIP(재공품)'!$B$12:$AB$38,10,0))</f>
        <v>0</v>
      </c>
      <c r="T313" s="6">
        <f>SUMIF('JUNE (물량흐름)'!$C$13:$C$502,'Direct labour(직접노무비)'!C313,'JUNE (물량흐름)'!$Y$13:$Y$502)</f>
        <v>0</v>
      </c>
      <c r="U313" s="6">
        <f t="shared" si="56"/>
        <v>0</v>
      </c>
      <c r="V313" s="6">
        <f>ROUND(SUMIF('JUNE (물량흐름)'!$C$13:$C$502,'Direct labour(직접노무비)'!C313,'JUNE (물량흐름)'!$N$13:$N$502),0)</f>
        <v>0</v>
      </c>
      <c r="W313" s="6">
        <f>ROUND(SUMIF('JUNE (물량흐름)'!$C$13:$C$502,'Direct labour(직접노무비)'!C313,'JUNE (물량흐름)'!$O$13:$O$502),0)</f>
        <v>61</v>
      </c>
      <c r="X313" s="6">
        <f>ROUND(SUMIF('JUNE (물량흐름)'!$C$13:$C$502,'Direct labour(직접노무비)'!C313,'JUNE (물량흐름)'!$P$13:$P$502),0)</f>
        <v>10</v>
      </c>
      <c r="Y313" s="6">
        <f t="shared" si="57"/>
        <v>71</v>
      </c>
      <c r="Z313" s="6">
        <f t="shared" si="58"/>
        <v>39</v>
      </c>
      <c r="AA313" s="6">
        <f t="shared" si="62"/>
        <v>1613548</v>
      </c>
      <c r="AB313" s="389">
        <f t="shared" si="59"/>
        <v>0</v>
      </c>
      <c r="AC313" s="503">
        <f t="shared" si="51"/>
        <v>0</v>
      </c>
      <c r="AD313" s="389">
        <f t="shared" si="60"/>
        <v>0</v>
      </c>
    </row>
    <row r="314" spans="1:30" s="390" customFormat="1">
      <c r="A314" s="167">
        <v>308</v>
      </c>
      <c r="B314" s="267" t="str">
        <f>VLOOKUP(A314,'JUNE (물량흐름)'!$A$13:$C$502,2,0)</f>
        <v>ALFANI</v>
      </c>
      <c r="C314" s="240">
        <f>VLOOKUP(A314,'JUNE (물량흐름)'!$A$13:$C$502,3,0)</f>
        <v>100015358</v>
      </c>
      <c r="D314" s="6">
        <f>VLOOKUP(C314,'WIP(재공품)'!$B$12:$E$493,4,0)</f>
        <v>44443</v>
      </c>
      <c r="E314" s="6">
        <f>IFERROR(VLOOKUP(C314,O.B.JUNE!$AA$7:$AG$448,2,0),0)</f>
        <v>0</v>
      </c>
      <c r="F314" s="6">
        <f>IFERROR(VLOOKUP(C314,O.B.JUNE!$AA$7:$AG$448,3,0),0)</f>
        <v>26</v>
      </c>
      <c r="G314" s="6">
        <f>IFERROR(VLOOKUP(C314,O.B.JUNE!$AA$7:$AD$448,4,0),0)</f>
        <v>36</v>
      </c>
      <c r="H314" s="6">
        <f t="shared" si="53"/>
        <v>62</v>
      </c>
      <c r="I314" s="6">
        <f>IFERROR(VLOOKUP(C314,O.B.JUNE!$AA$7:$AF$448,6,0),0)</f>
        <v>42</v>
      </c>
      <c r="J314" s="6"/>
      <c r="K314" s="6">
        <f>IFERROR(VLOOKUP(C314,O.B.JUNE!$AA$7:$AG$448,7,0),0)</f>
        <v>389753</v>
      </c>
      <c r="L314" s="6">
        <f>SUMIF('JUNE (물량흐름)'!$C$13:$C$502,'Direct labour(직접노무비)'!C314,'JUNE (물량흐름)'!$H$13:$H$502)+SUMIF('JUNE (물량흐름)'!$C$13:$C$502,'Direct labour(직접노무비)'!C314,'JUNE (물량흐름)'!$I$13:$I$502)</f>
        <v>0</v>
      </c>
      <c r="M314" s="6">
        <f t="shared" si="54"/>
        <v>0</v>
      </c>
      <c r="N314" s="6">
        <f t="shared" si="55"/>
        <v>0</v>
      </c>
      <c r="O314" s="6">
        <f t="shared" si="52"/>
        <v>0</v>
      </c>
      <c r="P314" s="6">
        <f>SUMIF('JUNE (물량흐름)'!$C$13:$C$502,C314,'JUNE (물량흐름)'!$T$13:$T$502)+SUMIF('JUNE (물량흐름)'!$C$13:$C$502,C314,'JUNE (물량흐름)'!$V$13:$V$502)+SUMIF('JUNE (물량흐름)'!$C$13:$C$502,C314,'JUNE (물량흐름)'!$U$13:$U$502)-SUMIF('JUNE (물량흐름)'!$C$13:$C$502,C314,'JUNE (물량흐름)'!$Y$13:$Y$502)</f>
        <v>0</v>
      </c>
      <c r="Q314" s="6">
        <f t="shared" si="61"/>
        <v>0</v>
      </c>
      <c r="R314" s="6">
        <f>ROUND(IF(ISERROR(VLOOKUP(#REF!,'WIP(재공품)'!$B$12:$AB$38,13,0)),0,VLOOKUP(#REF!,'WIP(재공품)'!$B$12:$AB$38,13,0)),0)</f>
        <v>0</v>
      </c>
      <c r="S314" s="6">
        <f>IF(ISERROR(VLOOKUP(#REF!,'WIP(재공품)'!$B$12:$AB$38,10,0)),0,VLOOKUP(#REF!,'WIP(재공품)'!$B$12:$AB$38,10,0))</f>
        <v>0</v>
      </c>
      <c r="T314" s="6">
        <f>SUMIF('JUNE (물량흐름)'!$C$13:$C$502,'Direct labour(직접노무비)'!C314,'JUNE (물량흐름)'!$Y$13:$Y$502)</f>
        <v>0</v>
      </c>
      <c r="U314" s="6">
        <f t="shared" si="56"/>
        <v>0</v>
      </c>
      <c r="V314" s="6">
        <f>ROUND(SUMIF('JUNE (물량흐름)'!$C$13:$C$502,'Direct labour(직접노무비)'!C314,'JUNE (물량흐름)'!$N$13:$N$502),0)</f>
        <v>0</v>
      </c>
      <c r="W314" s="6">
        <f>ROUND(SUMIF('JUNE (물량흐름)'!$C$13:$C$502,'Direct labour(직접노무비)'!C314,'JUNE (물량흐름)'!$O$13:$O$502),0)</f>
        <v>26</v>
      </c>
      <c r="X314" s="6">
        <f>ROUND(SUMIF('JUNE (물량흐름)'!$C$13:$C$502,'Direct labour(직접노무비)'!C314,'JUNE (물량흐름)'!$P$13:$P$502),0)</f>
        <v>36</v>
      </c>
      <c r="Y314" s="6">
        <f t="shared" si="57"/>
        <v>62</v>
      </c>
      <c r="Z314" s="6">
        <f t="shared" si="58"/>
        <v>42</v>
      </c>
      <c r="AA314" s="6">
        <f t="shared" si="62"/>
        <v>389753</v>
      </c>
      <c r="AB314" s="389">
        <f t="shared" si="59"/>
        <v>0</v>
      </c>
      <c r="AC314" s="503">
        <f t="shared" si="51"/>
        <v>0</v>
      </c>
      <c r="AD314" s="389">
        <f t="shared" si="60"/>
        <v>0</v>
      </c>
    </row>
    <row r="315" spans="1:30" s="390" customFormat="1">
      <c r="A315" s="167">
        <v>309</v>
      </c>
      <c r="B315" s="267" t="str">
        <f>VLOOKUP(A315,'JUNE (물량흐름)'!$A$13:$C$502,2,0)</f>
        <v>ALFANI</v>
      </c>
      <c r="C315" s="240">
        <f>VLOOKUP(A315,'JUNE (물량흐름)'!$A$13:$C$502,3,0)</f>
        <v>100022090</v>
      </c>
      <c r="D315" s="6">
        <f>VLOOKUP(C315,'WIP(재공품)'!$B$12:$E$493,4,0)</f>
        <v>7936.2499999999991</v>
      </c>
      <c r="E315" s="6">
        <f>IFERROR(VLOOKUP(C315,O.B.JUNE!$AA$7:$AG$448,2,0),0)</f>
        <v>0</v>
      </c>
      <c r="F315" s="6">
        <f>IFERROR(VLOOKUP(C315,O.B.JUNE!$AA$7:$AG$448,3,0),0)</f>
        <v>0</v>
      </c>
      <c r="G315" s="6">
        <f>IFERROR(VLOOKUP(C315,O.B.JUNE!$AA$7:$AD$448,4,0),0)</f>
        <v>335</v>
      </c>
      <c r="H315" s="6">
        <f t="shared" si="53"/>
        <v>335</v>
      </c>
      <c r="I315" s="6">
        <f>IFERROR(VLOOKUP(C315,O.B.JUNE!$AA$7:$AF$448,6,0),0)</f>
        <v>268</v>
      </c>
      <c r="J315" s="6"/>
      <c r="K315" s="6">
        <f>IFERROR(VLOOKUP(C315,O.B.JUNE!$AA$7:$AG$448,7,0),0)</f>
        <v>4746125</v>
      </c>
      <c r="L315" s="6">
        <f>SUMIF('JUNE (물량흐름)'!$C$13:$C$502,'Direct labour(직접노무비)'!C315,'JUNE (물량흐름)'!$H$13:$H$502)+SUMIF('JUNE (물량흐름)'!$C$13:$C$502,'Direct labour(직접노무비)'!C315,'JUNE (물량흐름)'!$I$13:$I$502)</f>
        <v>0</v>
      </c>
      <c r="M315" s="6">
        <f t="shared" si="54"/>
        <v>0</v>
      </c>
      <c r="N315" s="6">
        <f t="shared" si="55"/>
        <v>0</v>
      </c>
      <c r="O315" s="6">
        <f t="shared" si="52"/>
        <v>0</v>
      </c>
      <c r="P315" s="6">
        <f>SUMIF('JUNE (물량흐름)'!$C$13:$C$502,C315,'JUNE (물량흐름)'!$T$13:$T$502)+SUMIF('JUNE (물량흐름)'!$C$13:$C$502,C315,'JUNE (물량흐름)'!$V$13:$V$502)+SUMIF('JUNE (물량흐름)'!$C$13:$C$502,C315,'JUNE (물량흐름)'!$U$13:$U$502)-SUMIF('JUNE (물량흐름)'!$C$13:$C$502,C315,'JUNE (물량흐름)'!$Y$13:$Y$502)</f>
        <v>0</v>
      </c>
      <c r="Q315" s="6">
        <f t="shared" si="61"/>
        <v>0</v>
      </c>
      <c r="R315" s="6">
        <f>ROUND(IF(ISERROR(VLOOKUP(#REF!,'WIP(재공품)'!$B$12:$AB$38,13,0)),0,VLOOKUP(#REF!,'WIP(재공품)'!$B$12:$AB$38,13,0)),0)</f>
        <v>0</v>
      </c>
      <c r="S315" s="6">
        <f>IF(ISERROR(VLOOKUP(#REF!,'WIP(재공품)'!$B$12:$AB$38,10,0)),0,VLOOKUP(#REF!,'WIP(재공품)'!$B$12:$AB$38,10,0))</f>
        <v>0</v>
      </c>
      <c r="T315" s="6">
        <f>SUMIF('JUNE (물량흐름)'!$C$13:$C$502,'Direct labour(직접노무비)'!C315,'JUNE (물량흐름)'!$Y$13:$Y$502)</f>
        <v>0</v>
      </c>
      <c r="U315" s="6">
        <f t="shared" si="56"/>
        <v>0</v>
      </c>
      <c r="V315" s="6">
        <f>ROUND(SUMIF('JUNE (물량흐름)'!$C$13:$C$502,'Direct labour(직접노무비)'!C315,'JUNE (물량흐름)'!$N$13:$N$502),0)</f>
        <v>0</v>
      </c>
      <c r="W315" s="6">
        <f>ROUND(SUMIF('JUNE (물량흐름)'!$C$13:$C$502,'Direct labour(직접노무비)'!C315,'JUNE (물량흐름)'!$O$13:$O$502),0)</f>
        <v>0</v>
      </c>
      <c r="X315" s="6">
        <f>ROUND(SUMIF('JUNE (물량흐름)'!$C$13:$C$502,'Direct labour(직접노무비)'!C315,'JUNE (물량흐름)'!$P$13:$P$502),0)</f>
        <v>335</v>
      </c>
      <c r="Y315" s="6">
        <f t="shared" si="57"/>
        <v>335</v>
      </c>
      <c r="Z315" s="6">
        <f t="shared" si="58"/>
        <v>268</v>
      </c>
      <c r="AA315" s="6">
        <f t="shared" si="62"/>
        <v>4746125</v>
      </c>
      <c r="AB315" s="389">
        <f t="shared" si="59"/>
        <v>0</v>
      </c>
      <c r="AC315" s="503">
        <f t="shared" si="51"/>
        <v>0</v>
      </c>
      <c r="AD315" s="389">
        <f t="shared" si="60"/>
        <v>0</v>
      </c>
    </row>
    <row r="316" spans="1:30" s="390" customFormat="1">
      <c r="A316" s="167">
        <v>310</v>
      </c>
      <c r="B316" s="267" t="str">
        <f>VLOOKUP(A316,'JUNE (물량흐름)'!$A$13:$C$502,2,0)</f>
        <v>TALBOTS</v>
      </c>
      <c r="C316" s="240">
        <f>VLOOKUP(A316,'JUNE (물량흐름)'!$A$13:$C$502,3,0)</f>
        <v>182034820</v>
      </c>
      <c r="D316" s="6">
        <f>VLOOKUP(C316,'WIP(재공품)'!$B$12:$E$493,4,0)</f>
        <v>8163</v>
      </c>
      <c r="E316" s="6">
        <f>IFERROR(VLOOKUP(C316,O.B.JUNE!$AA$7:$AG$448,2,0),0)</f>
        <v>0</v>
      </c>
      <c r="F316" s="6">
        <f>IFERROR(VLOOKUP(C316,O.B.JUNE!$AA$7:$AG$448,3,0),0)</f>
        <v>367</v>
      </c>
      <c r="G316" s="6">
        <f>IFERROR(VLOOKUP(C316,O.B.JUNE!$AA$7:$AD$448,4,0),0)</f>
        <v>509</v>
      </c>
      <c r="H316" s="6">
        <f t="shared" si="53"/>
        <v>876</v>
      </c>
      <c r="I316" s="6">
        <f>IFERROR(VLOOKUP(C316,O.B.JUNE!$AA$7:$AF$448,6,0),0)</f>
        <v>591</v>
      </c>
      <c r="J316" s="6"/>
      <c r="K316" s="6">
        <f>IFERROR(VLOOKUP(C316,O.B.JUNE!$AA$7:$AG$448,7,0),0)</f>
        <v>11496578</v>
      </c>
      <c r="L316" s="6">
        <f>SUMIF('JUNE (물량흐름)'!$C$13:$C$502,'Direct labour(직접노무비)'!C316,'JUNE (물량흐름)'!$H$13:$H$502)+SUMIF('JUNE (물량흐름)'!$C$13:$C$502,'Direct labour(직접노무비)'!C316,'JUNE (물량흐름)'!$I$13:$I$502)</f>
        <v>0</v>
      </c>
      <c r="M316" s="6">
        <f t="shared" si="54"/>
        <v>0</v>
      </c>
      <c r="N316" s="6">
        <f t="shared" si="55"/>
        <v>0</v>
      </c>
      <c r="O316" s="6">
        <f t="shared" si="52"/>
        <v>0</v>
      </c>
      <c r="P316" s="6">
        <f>SUMIF('JUNE (물량흐름)'!$C$13:$C$502,C316,'JUNE (물량흐름)'!$T$13:$T$502)+SUMIF('JUNE (물량흐름)'!$C$13:$C$502,C316,'JUNE (물량흐름)'!$V$13:$V$502)+SUMIF('JUNE (물량흐름)'!$C$13:$C$502,C316,'JUNE (물량흐름)'!$U$13:$U$502)-SUMIF('JUNE (물량흐름)'!$C$13:$C$502,C316,'JUNE (물량흐름)'!$Y$13:$Y$502)</f>
        <v>0</v>
      </c>
      <c r="Q316" s="6">
        <f t="shared" si="61"/>
        <v>0</v>
      </c>
      <c r="R316" s="6">
        <f>ROUND(IF(ISERROR(VLOOKUP(#REF!,'WIP(재공품)'!$B$12:$AB$38,13,0)),0,VLOOKUP(#REF!,'WIP(재공품)'!$B$12:$AB$38,13,0)),0)</f>
        <v>0</v>
      </c>
      <c r="S316" s="6">
        <f>IF(ISERROR(VLOOKUP(#REF!,'WIP(재공품)'!$B$12:$AB$38,10,0)),0,VLOOKUP(#REF!,'WIP(재공품)'!$B$12:$AB$38,10,0))</f>
        <v>0</v>
      </c>
      <c r="T316" s="6">
        <f>SUMIF('JUNE (물량흐름)'!$C$13:$C$502,'Direct labour(직접노무비)'!C316,'JUNE (물량흐름)'!$Y$13:$Y$502)</f>
        <v>0</v>
      </c>
      <c r="U316" s="6">
        <f t="shared" si="56"/>
        <v>0</v>
      </c>
      <c r="V316" s="6">
        <f>ROUND(SUMIF('JUNE (물량흐름)'!$C$13:$C$502,'Direct labour(직접노무비)'!C316,'JUNE (물량흐름)'!$N$13:$N$502),0)</f>
        <v>0</v>
      </c>
      <c r="W316" s="6">
        <f>ROUND(SUMIF('JUNE (물량흐름)'!$C$13:$C$502,'Direct labour(직접노무비)'!C316,'JUNE (물량흐름)'!$O$13:$O$502),0)</f>
        <v>367</v>
      </c>
      <c r="X316" s="6">
        <f>ROUND(SUMIF('JUNE (물량흐름)'!$C$13:$C$502,'Direct labour(직접노무비)'!C316,'JUNE (물량흐름)'!$P$13:$P$502),0)</f>
        <v>509</v>
      </c>
      <c r="Y316" s="6">
        <f t="shared" si="57"/>
        <v>876</v>
      </c>
      <c r="Z316" s="6">
        <f t="shared" si="58"/>
        <v>591</v>
      </c>
      <c r="AA316" s="6">
        <f t="shared" si="62"/>
        <v>11496578</v>
      </c>
      <c r="AB316" s="389">
        <f t="shared" si="59"/>
        <v>0</v>
      </c>
      <c r="AC316" s="503">
        <f t="shared" si="51"/>
        <v>0</v>
      </c>
      <c r="AD316" s="389">
        <f t="shared" si="60"/>
        <v>0</v>
      </c>
    </row>
    <row r="317" spans="1:30" s="390" customFormat="1">
      <c r="A317" s="167">
        <v>311</v>
      </c>
      <c r="B317" s="267" t="str">
        <f>VLOOKUP(A317,'JUNE (물량흐름)'!$A$13:$C$502,2,0)</f>
        <v>ANN TAYLOR</v>
      </c>
      <c r="C317" s="240">
        <f>VLOOKUP(A317,'JUNE (물량흐름)'!$A$13:$C$502,3,0)</f>
        <v>457223</v>
      </c>
      <c r="D317" s="6">
        <f>VLOOKUP(C317,'WIP(재공품)'!$B$12:$E$493,4,0)</f>
        <v>8163</v>
      </c>
      <c r="E317" s="6">
        <f>IFERROR(VLOOKUP(C317,O.B.JUNE!$AA$7:$AG$448,2,0),0)</f>
        <v>0</v>
      </c>
      <c r="F317" s="6">
        <f>IFERROR(VLOOKUP(C317,O.B.JUNE!$AA$7:$AG$448,3,0),0)</f>
        <v>212</v>
      </c>
      <c r="G317" s="6">
        <f>IFERROR(VLOOKUP(C317,O.B.JUNE!$AA$7:$AD$448,4,0),0)</f>
        <v>102</v>
      </c>
      <c r="H317" s="6">
        <f t="shared" si="53"/>
        <v>314</v>
      </c>
      <c r="I317" s="6">
        <f>IFERROR(VLOOKUP(C317,O.B.JUNE!$AA$7:$AF$448,6,0),0)</f>
        <v>188</v>
      </c>
      <c r="J317" s="6"/>
      <c r="K317" s="6">
        <f>IFERROR(VLOOKUP(C317,O.B.JUNE!$AA$7:$AG$448,7,0),0)</f>
        <v>2819322</v>
      </c>
      <c r="L317" s="6">
        <f>SUMIF('JUNE (물량흐름)'!$C$13:$C$502,'Direct labour(직접노무비)'!C317,'JUNE (물량흐름)'!$H$13:$H$502)+SUMIF('JUNE (물량흐름)'!$C$13:$C$502,'Direct labour(직접노무비)'!C317,'JUNE (물량흐름)'!$I$13:$I$502)</f>
        <v>0</v>
      </c>
      <c r="M317" s="6">
        <f t="shared" si="54"/>
        <v>0</v>
      </c>
      <c r="N317" s="6">
        <f t="shared" si="55"/>
        <v>0</v>
      </c>
      <c r="O317" s="6">
        <f t="shared" si="52"/>
        <v>0</v>
      </c>
      <c r="P317" s="6">
        <f>SUMIF('JUNE (물량흐름)'!$C$13:$C$502,C317,'JUNE (물량흐름)'!$T$13:$T$502)+SUMIF('JUNE (물량흐름)'!$C$13:$C$502,C317,'JUNE (물량흐름)'!$V$13:$V$502)+SUMIF('JUNE (물량흐름)'!$C$13:$C$502,C317,'JUNE (물량흐름)'!$U$13:$U$502)-SUMIF('JUNE (물량흐름)'!$C$13:$C$502,C317,'JUNE (물량흐름)'!$Y$13:$Y$502)</f>
        <v>0</v>
      </c>
      <c r="Q317" s="6">
        <f t="shared" si="61"/>
        <v>0</v>
      </c>
      <c r="R317" s="6">
        <f>ROUND(IF(ISERROR(VLOOKUP(#REF!,'WIP(재공품)'!$B$12:$AB$38,13,0)),0,VLOOKUP(#REF!,'WIP(재공품)'!$B$12:$AB$38,13,0)),0)</f>
        <v>0</v>
      </c>
      <c r="S317" s="6">
        <f>IF(ISERROR(VLOOKUP(#REF!,'WIP(재공품)'!$B$12:$AB$38,10,0)),0,VLOOKUP(#REF!,'WIP(재공품)'!$B$12:$AB$38,10,0))</f>
        <v>0</v>
      </c>
      <c r="T317" s="6">
        <f>SUMIF('JUNE (물량흐름)'!$C$13:$C$502,'Direct labour(직접노무비)'!C317,'JUNE (물량흐름)'!$Y$13:$Y$502)</f>
        <v>0</v>
      </c>
      <c r="U317" s="6">
        <f t="shared" si="56"/>
        <v>0</v>
      </c>
      <c r="V317" s="6">
        <f>ROUND(SUMIF('JUNE (물량흐름)'!$C$13:$C$502,'Direct labour(직접노무비)'!C317,'JUNE (물량흐름)'!$N$13:$N$502),0)</f>
        <v>0</v>
      </c>
      <c r="W317" s="6">
        <f>ROUND(SUMIF('JUNE (물량흐름)'!$C$13:$C$502,'Direct labour(직접노무비)'!C317,'JUNE (물량흐름)'!$O$13:$O$502),0)</f>
        <v>212</v>
      </c>
      <c r="X317" s="6">
        <f>ROUND(SUMIF('JUNE (물량흐름)'!$C$13:$C$502,'Direct labour(직접노무비)'!C317,'JUNE (물량흐름)'!$P$13:$P$502),0)</f>
        <v>102</v>
      </c>
      <c r="Y317" s="6">
        <f t="shared" si="57"/>
        <v>314</v>
      </c>
      <c r="Z317" s="6">
        <f t="shared" si="58"/>
        <v>188</v>
      </c>
      <c r="AA317" s="6">
        <f t="shared" si="62"/>
        <v>2819322</v>
      </c>
      <c r="AB317" s="389">
        <f t="shared" si="59"/>
        <v>0</v>
      </c>
      <c r="AC317" s="503">
        <f t="shared" si="51"/>
        <v>0</v>
      </c>
      <c r="AD317" s="389">
        <f t="shared" si="60"/>
        <v>0</v>
      </c>
    </row>
    <row r="318" spans="1:30" s="390" customFormat="1">
      <c r="A318" s="167">
        <v>312</v>
      </c>
      <c r="B318" s="267" t="str">
        <f>VLOOKUP(A318,'JUNE (물량흐름)'!$A$13:$C$502,2,0)</f>
        <v>ANN TAYLOR</v>
      </c>
      <c r="C318" s="240">
        <f>VLOOKUP(A318,'JUNE (물량흐름)'!$A$13:$C$502,3,0)</f>
        <v>461186</v>
      </c>
      <c r="D318" s="6">
        <f>VLOOKUP(C318,'WIP(재공품)'!$B$12:$E$493,4,0)</f>
        <v>43762.75</v>
      </c>
      <c r="E318" s="6">
        <f>IFERROR(VLOOKUP(C318,O.B.JUNE!$AA$7:$AG$448,2,0),0)</f>
        <v>0</v>
      </c>
      <c r="F318" s="6">
        <f>IFERROR(VLOOKUP(C318,O.B.JUNE!$AA$7:$AG$448,3,0),0)</f>
        <v>142</v>
      </c>
      <c r="G318" s="6">
        <f>IFERROR(VLOOKUP(C318,O.B.JUNE!$AA$7:$AD$448,4,0),0)</f>
        <v>85</v>
      </c>
      <c r="H318" s="6">
        <f t="shared" si="53"/>
        <v>227</v>
      </c>
      <c r="I318" s="6">
        <f>IFERROR(VLOOKUP(C318,O.B.JUNE!$AA$7:$AF$448,6,0),0)</f>
        <v>139</v>
      </c>
      <c r="J318" s="6"/>
      <c r="K318" s="6">
        <f>IFERROR(VLOOKUP(C318,O.B.JUNE!$AA$7:$AG$448,7,0),0)</f>
        <v>3527141</v>
      </c>
      <c r="L318" s="6">
        <f>SUMIF('JUNE (물량흐름)'!$C$13:$C$502,'Direct labour(직접노무비)'!C318,'JUNE (물량흐름)'!$H$13:$H$502)+SUMIF('JUNE (물량흐름)'!$C$13:$C$502,'Direct labour(직접노무비)'!C318,'JUNE (물량흐름)'!$I$13:$I$502)</f>
        <v>0</v>
      </c>
      <c r="M318" s="6">
        <f t="shared" si="54"/>
        <v>0</v>
      </c>
      <c r="N318" s="6">
        <f t="shared" si="55"/>
        <v>0</v>
      </c>
      <c r="O318" s="6">
        <f t="shared" si="52"/>
        <v>0</v>
      </c>
      <c r="P318" s="6">
        <f>SUMIF('JUNE (물량흐름)'!$C$13:$C$502,C318,'JUNE (물량흐름)'!$T$13:$T$502)+SUMIF('JUNE (물량흐름)'!$C$13:$C$502,C318,'JUNE (물량흐름)'!$V$13:$V$502)+SUMIF('JUNE (물량흐름)'!$C$13:$C$502,C318,'JUNE (물량흐름)'!$U$13:$U$502)-SUMIF('JUNE (물량흐름)'!$C$13:$C$502,C318,'JUNE (물량흐름)'!$Y$13:$Y$502)</f>
        <v>0</v>
      </c>
      <c r="Q318" s="6">
        <f t="shared" si="61"/>
        <v>0</v>
      </c>
      <c r="R318" s="6">
        <f>ROUND(IF(ISERROR(VLOOKUP(#REF!,'WIP(재공품)'!$B$12:$AB$38,13,0)),0,VLOOKUP(#REF!,'WIP(재공품)'!$B$12:$AB$38,13,0)),0)</f>
        <v>0</v>
      </c>
      <c r="S318" s="6">
        <f>IF(ISERROR(VLOOKUP(#REF!,'WIP(재공품)'!$B$12:$AB$38,10,0)),0,VLOOKUP(#REF!,'WIP(재공품)'!$B$12:$AB$38,10,0))</f>
        <v>0</v>
      </c>
      <c r="T318" s="6">
        <f>SUMIF('JUNE (물량흐름)'!$C$13:$C$502,'Direct labour(직접노무비)'!C318,'JUNE (물량흐름)'!$Y$13:$Y$502)</f>
        <v>0</v>
      </c>
      <c r="U318" s="6">
        <f t="shared" si="56"/>
        <v>0</v>
      </c>
      <c r="V318" s="6">
        <f>ROUND(SUMIF('JUNE (물량흐름)'!$C$13:$C$502,'Direct labour(직접노무비)'!C318,'JUNE (물량흐름)'!$N$13:$N$502),0)</f>
        <v>0</v>
      </c>
      <c r="W318" s="6">
        <f>ROUND(SUMIF('JUNE (물량흐름)'!$C$13:$C$502,'Direct labour(직접노무비)'!C318,'JUNE (물량흐름)'!$O$13:$O$502),0)</f>
        <v>142</v>
      </c>
      <c r="X318" s="6">
        <f>ROUND(SUMIF('JUNE (물량흐름)'!$C$13:$C$502,'Direct labour(직접노무비)'!C318,'JUNE (물량흐름)'!$P$13:$P$502),0)</f>
        <v>85</v>
      </c>
      <c r="Y318" s="6">
        <f t="shared" si="57"/>
        <v>227</v>
      </c>
      <c r="Z318" s="6">
        <f t="shared" si="58"/>
        <v>139</v>
      </c>
      <c r="AA318" s="6">
        <f t="shared" si="62"/>
        <v>3527141</v>
      </c>
      <c r="AB318" s="389">
        <f t="shared" si="59"/>
        <v>0</v>
      </c>
      <c r="AC318" s="503">
        <f t="shared" ref="AC318:AC381" si="63">H318+L318-P318-T318-Y318</f>
        <v>0</v>
      </c>
      <c r="AD318" s="389">
        <f t="shared" si="60"/>
        <v>0</v>
      </c>
    </row>
    <row r="319" spans="1:30" s="390" customFormat="1">
      <c r="A319" s="167">
        <v>313</v>
      </c>
      <c r="B319" s="267" t="str">
        <f>VLOOKUP(A319,'JUNE (물량흐름)'!$A$13:$C$502,2,0)</f>
        <v>ANN TAYLOR</v>
      </c>
      <c r="C319" s="240">
        <f>VLOOKUP(A319,'JUNE (물량흐름)'!$A$13:$C$502,3,0)</f>
        <v>461795</v>
      </c>
      <c r="D319" s="6">
        <f>VLOOKUP(C319,'WIP(재공품)'!$B$12:$E$493,4,0)</f>
        <v>7936.2499999999991</v>
      </c>
      <c r="E319" s="6">
        <f>IFERROR(VLOOKUP(C319,O.B.JUNE!$AA$7:$AG$448,2,0),0)</f>
        <v>0</v>
      </c>
      <c r="F319" s="6">
        <f>IFERROR(VLOOKUP(C319,O.B.JUNE!$AA$7:$AG$448,3,0),0)</f>
        <v>314</v>
      </c>
      <c r="G319" s="6">
        <f>IFERROR(VLOOKUP(C319,O.B.JUNE!$AA$7:$AD$448,4,0),0)</f>
        <v>421</v>
      </c>
      <c r="H319" s="6">
        <f t="shared" si="53"/>
        <v>735</v>
      </c>
      <c r="I319" s="6">
        <f>IFERROR(VLOOKUP(C319,O.B.JUNE!$AA$7:$AF$448,6,0),0)</f>
        <v>494</v>
      </c>
      <c r="J319" s="6"/>
      <c r="K319" s="6">
        <f>IFERROR(VLOOKUP(C319,O.B.JUNE!$AA$7:$AG$448,7,0),0)</f>
        <v>7380494</v>
      </c>
      <c r="L319" s="6">
        <f>SUMIF('JUNE (물량흐름)'!$C$13:$C$502,'Direct labour(직접노무비)'!C319,'JUNE (물량흐름)'!$H$13:$H$502)+SUMIF('JUNE (물량흐름)'!$C$13:$C$502,'Direct labour(직접노무비)'!C319,'JUNE (물량흐름)'!$I$13:$I$502)</f>
        <v>0</v>
      </c>
      <c r="M319" s="6">
        <f t="shared" si="54"/>
        <v>0</v>
      </c>
      <c r="N319" s="6">
        <f t="shared" si="55"/>
        <v>0</v>
      </c>
      <c r="O319" s="6">
        <f t="shared" si="52"/>
        <v>0</v>
      </c>
      <c r="P319" s="6">
        <f>SUMIF('JUNE (물량흐름)'!$C$13:$C$502,C319,'JUNE (물량흐름)'!$T$13:$T$502)+SUMIF('JUNE (물량흐름)'!$C$13:$C$502,C319,'JUNE (물량흐름)'!$V$13:$V$502)+SUMIF('JUNE (물량흐름)'!$C$13:$C$502,C319,'JUNE (물량흐름)'!$U$13:$U$502)-SUMIF('JUNE (물량흐름)'!$C$13:$C$502,C319,'JUNE (물량흐름)'!$Y$13:$Y$502)</f>
        <v>0</v>
      </c>
      <c r="Q319" s="6">
        <f t="shared" si="61"/>
        <v>0</v>
      </c>
      <c r="R319" s="6">
        <f>ROUND(IF(ISERROR(VLOOKUP(#REF!,'WIP(재공품)'!$B$12:$AB$38,13,0)),0,VLOOKUP(#REF!,'WIP(재공품)'!$B$12:$AB$38,13,0)),0)</f>
        <v>0</v>
      </c>
      <c r="S319" s="6">
        <f>IF(ISERROR(VLOOKUP(#REF!,'WIP(재공품)'!$B$12:$AB$38,10,0)),0,VLOOKUP(#REF!,'WIP(재공품)'!$B$12:$AB$38,10,0))</f>
        <v>0</v>
      </c>
      <c r="T319" s="6">
        <f>SUMIF('JUNE (물량흐름)'!$C$13:$C$502,'Direct labour(직접노무비)'!C319,'JUNE (물량흐름)'!$Y$13:$Y$502)</f>
        <v>0</v>
      </c>
      <c r="U319" s="6">
        <f t="shared" si="56"/>
        <v>0</v>
      </c>
      <c r="V319" s="6">
        <f>ROUND(SUMIF('JUNE (물량흐름)'!$C$13:$C$502,'Direct labour(직접노무비)'!C319,'JUNE (물량흐름)'!$N$13:$N$502),0)</f>
        <v>0</v>
      </c>
      <c r="W319" s="6">
        <f>ROUND(SUMIF('JUNE (물량흐름)'!$C$13:$C$502,'Direct labour(직접노무비)'!C319,'JUNE (물량흐름)'!$O$13:$O$502),0)</f>
        <v>314</v>
      </c>
      <c r="X319" s="6">
        <f>ROUND(SUMIF('JUNE (물량흐름)'!$C$13:$C$502,'Direct labour(직접노무비)'!C319,'JUNE (물량흐름)'!$P$13:$P$502),0)</f>
        <v>421</v>
      </c>
      <c r="Y319" s="6">
        <f t="shared" si="57"/>
        <v>735</v>
      </c>
      <c r="Z319" s="6">
        <f t="shared" si="58"/>
        <v>494</v>
      </c>
      <c r="AA319" s="6">
        <f t="shared" si="62"/>
        <v>7380494</v>
      </c>
      <c r="AB319" s="389">
        <f t="shared" si="59"/>
        <v>0</v>
      </c>
      <c r="AC319" s="503">
        <f t="shared" si="63"/>
        <v>0</v>
      </c>
      <c r="AD319" s="389">
        <f t="shared" si="60"/>
        <v>0</v>
      </c>
    </row>
    <row r="320" spans="1:30" s="390" customFormat="1">
      <c r="A320" s="167">
        <v>314</v>
      </c>
      <c r="B320" s="267" t="str">
        <f>VLOOKUP(A320,'JUNE (물량흐름)'!$A$13:$C$502,2,0)</f>
        <v>ANN TAYLOR</v>
      </c>
      <c r="C320" s="240">
        <f>VLOOKUP(A320,'JUNE (물량흐름)'!$A$13:$C$502,3,0)</f>
        <v>463022</v>
      </c>
      <c r="D320" s="6">
        <f>VLOOKUP(C320,'WIP(재공품)'!$B$12:$E$493,4,0)</f>
        <v>7936.2499999999991</v>
      </c>
      <c r="E320" s="6">
        <f>IFERROR(VLOOKUP(C320,O.B.JUNE!$AA$7:$AG$448,2,0),0)</f>
        <v>0</v>
      </c>
      <c r="F320" s="6">
        <f>IFERROR(VLOOKUP(C320,O.B.JUNE!$AA$7:$AG$448,3,0),0)</f>
        <v>0</v>
      </c>
      <c r="G320" s="6">
        <f>IFERROR(VLOOKUP(C320,O.B.JUNE!$AA$7:$AD$448,4,0),0)</f>
        <v>124</v>
      </c>
      <c r="H320" s="6">
        <f t="shared" si="53"/>
        <v>124</v>
      </c>
      <c r="I320" s="6">
        <f>IFERROR(VLOOKUP(C320,O.B.JUNE!$AA$7:$AF$448,6,0),0)</f>
        <v>99</v>
      </c>
      <c r="J320" s="6"/>
      <c r="K320" s="6">
        <f>IFERROR(VLOOKUP(C320,O.B.JUNE!$AA$7:$AG$448,7,0),0)</f>
        <v>1475382</v>
      </c>
      <c r="L320" s="6">
        <f>SUMIF('JUNE (물량흐름)'!$C$13:$C$502,'Direct labour(직접노무비)'!C320,'JUNE (물량흐름)'!$H$13:$H$502)+SUMIF('JUNE (물량흐름)'!$C$13:$C$502,'Direct labour(직접노무비)'!C320,'JUNE (물량흐름)'!$I$13:$I$502)</f>
        <v>0</v>
      </c>
      <c r="M320" s="6">
        <f t="shared" si="54"/>
        <v>0</v>
      </c>
      <c r="N320" s="6">
        <f t="shared" si="55"/>
        <v>0</v>
      </c>
      <c r="O320" s="6">
        <f t="shared" si="52"/>
        <v>0</v>
      </c>
      <c r="P320" s="6">
        <f>SUMIF('JUNE (물량흐름)'!$C$13:$C$502,C320,'JUNE (물량흐름)'!$T$13:$T$502)+SUMIF('JUNE (물량흐름)'!$C$13:$C$502,C320,'JUNE (물량흐름)'!$V$13:$V$502)+SUMIF('JUNE (물량흐름)'!$C$13:$C$502,C320,'JUNE (물량흐름)'!$U$13:$U$502)-SUMIF('JUNE (물량흐름)'!$C$13:$C$502,C320,'JUNE (물량흐름)'!$Y$13:$Y$502)</f>
        <v>0</v>
      </c>
      <c r="Q320" s="6">
        <f t="shared" si="61"/>
        <v>0</v>
      </c>
      <c r="R320" s="6">
        <f>ROUND(IF(ISERROR(VLOOKUP(#REF!,'WIP(재공품)'!$B$12:$AB$38,13,0)),0,VLOOKUP(#REF!,'WIP(재공품)'!$B$12:$AB$38,13,0)),0)</f>
        <v>0</v>
      </c>
      <c r="S320" s="6">
        <f>IF(ISERROR(VLOOKUP(#REF!,'WIP(재공품)'!$B$12:$AB$38,10,0)),0,VLOOKUP(#REF!,'WIP(재공품)'!$B$12:$AB$38,10,0))</f>
        <v>0</v>
      </c>
      <c r="T320" s="6">
        <f>SUMIF('JUNE (물량흐름)'!$C$13:$C$502,'Direct labour(직접노무비)'!C320,'JUNE (물량흐름)'!$Y$13:$Y$502)</f>
        <v>0</v>
      </c>
      <c r="U320" s="6">
        <f t="shared" si="56"/>
        <v>0</v>
      </c>
      <c r="V320" s="6">
        <f>ROUND(SUMIF('JUNE (물량흐름)'!$C$13:$C$502,'Direct labour(직접노무비)'!C320,'JUNE (물량흐름)'!$N$13:$N$502),0)</f>
        <v>0</v>
      </c>
      <c r="W320" s="6">
        <f>ROUND(SUMIF('JUNE (물량흐름)'!$C$13:$C$502,'Direct labour(직접노무비)'!C320,'JUNE (물량흐름)'!$O$13:$O$502),0)</f>
        <v>81</v>
      </c>
      <c r="X320" s="6">
        <f>ROUND(SUMIF('JUNE (물량흐름)'!$C$13:$C$502,'Direct labour(직접노무비)'!C320,'JUNE (물량흐름)'!$P$13:$P$502),0)</f>
        <v>43</v>
      </c>
      <c r="Y320" s="6">
        <f t="shared" si="57"/>
        <v>124</v>
      </c>
      <c r="Z320" s="6">
        <f t="shared" si="58"/>
        <v>75</v>
      </c>
      <c r="AA320" s="6">
        <f t="shared" si="62"/>
        <v>1475382</v>
      </c>
      <c r="AB320" s="389">
        <f t="shared" si="59"/>
        <v>0</v>
      </c>
      <c r="AC320" s="503">
        <f t="shared" si="63"/>
        <v>0</v>
      </c>
      <c r="AD320" s="389">
        <f t="shared" si="60"/>
        <v>0</v>
      </c>
    </row>
    <row r="321" spans="1:30" s="390" customFormat="1">
      <c r="A321" s="167">
        <v>315</v>
      </c>
      <c r="B321" s="267" t="str">
        <f>VLOOKUP(A321,'JUNE (물량흐름)'!$A$13:$C$502,2,0)</f>
        <v>ANN TAYLOR</v>
      </c>
      <c r="C321" s="240">
        <f>VLOOKUP(A321,'JUNE (물량흐름)'!$A$13:$C$502,3,0)</f>
        <v>463024</v>
      </c>
      <c r="D321" s="6">
        <f>VLOOKUP(C321,'WIP(재공품)'!$B$12:$E$493,4,0)</f>
        <v>7936.2499999999991</v>
      </c>
      <c r="E321" s="6">
        <f>IFERROR(VLOOKUP(C321,O.B.JUNE!$AA$7:$AG$448,2,0),0)</f>
        <v>0</v>
      </c>
      <c r="F321" s="6">
        <f>IFERROR(VLOOKUP(C321,O.B.JUNE!$AA$7:$AG$448,3,0),0)</f>
        <v>72</v>
      </c>
      <c r="G321" s="6">
        <f>IFERROR(VLOOKUP(C321,O.B.JUNE!$AA$7:$AD$448,4,0),0)</f>
        <v>111</v>
      </c>
      <c r="H321" s="6">
        <f t="shared" si="53"/>
        <v>183</v>
      </c>
      <c r="I321" s="6">
        <f>IFERROR(VLOOKUP(C321,O.B.JUNE!$AA$7:$AF$448,6,0),0)</f>
        <v>125</v>
      </c>
      <c r="J321" s="6"/>
      <c r="K321" s="6">
        <f>IFERROR(VLOOKUP(C321,O.B.JUNE!$AA$7:$AG$448,7,0),0)</f>
        <v>2700282</v>
      </c>
      <c r="L321" s="6">
        <f>SUMIF('JUNE (물량흐름)'!$C$13:$C$502,'Direct labour(직접노무비)'!C321,'JUNE (물량흐름)'!$H$13:$H$502)+SUMIF('JUNE (물량흐름)'!$C$13:$C$502,'Direct labour(직접노무비)'!C321,'JUNE (물량흐름)'!$I$13:$I$502)</f>
        <v>0</v>
      </c>
      <c r="M321" s="6">
        <f t="shared" si="54"/>
        <v>0</v>
      </c>
      <c r="N321" s="6">
        <f t="shared" si="55"/>
        <v>0</v>
      </c>
      <c r="O321" s="6">
        <f t="shared" si="52"/>
        <v>0</v>
      </c>
      <c r="P321" s="6">
        <f>SUMIF('JUNE (물량흐름)'!$C$13:$C$502,C321,'JUNE (물량흐름)'!$T$13:$T$502)+SUMIF('JUNE (물량흐름)'!$C$13:$C$502,C321,'JUNE (물량흐름)'!$V$13:$V$502)+SUMIF('JUNE (물량흐름)'!$C$13:$C$502,C321,'JUNE (물량흐름)'!$U$13:$U$502)-SUMIF('JUNE (물량흐름)'!$C$13:$C$502,C321,'JUNE (물량흐름)'!$Y$13:$Y$502)</f>
        <v>0</v>
      </c>
      <c r="Q321" s="6">
        <f t="shared" si="61"/>
        <v>0</v>
      </c>
      <c r="R321" s="6">
        <f>ROUND(IF(ISERROR(VLOOKUP(#REF!,'WIP(재공품)'!$B$12:$AB$38,13,0)),0,VLOOKUP(#REF!,'WIP(재공품)'!$B$12:$AB$38,13,0)),0)</f>
        <v>0</v>
      </c>
      <c r="S321" s="6">
        <f>IF(ISERROR(VLOOKUP(#REF!,'WIP(재공품)'!$B$12:$AB$38,10,0)),0,VLOOKUP(#REF!,'WIP(재공품)'!$B$12:$AB$38,10,0))</f>
        <v>0</v>
      </c>
      <c r="T321" s="6">
        <f>SUMIF('JUNE (물량흐름)'!$C$13:$C$502,'Direct labour(직접노무비)'!C321,'JUNE (물량흐름)'!$Y$13:$Y$502)</f>
        <v>0</v>
      </c>
      <c r="U321" s="6">
        <f t="shared" si="56"/>
        <v>0</v>
      </c>
      <c r="V321" s="6">
        <f>ROUND(SUMIF('JUNE (물량흐름)'!$C$13:$C$502,'Direct labour(직접노무비)'!C321,'JUNE (물량흐름)'!$N$13:$N$502),0)</f>
        <v>0</v>
      </c>
      <c r="W321" s="6">
        <f>ROUND(SUMIF('JUNE (물량흐름)'!$C$13:$C$502,'Direct labour(직접노무비)'!C321,'JUNE (물량흐름)'!$O$13:$O$502),0)</f>
        <v>72</v>
      </c>
      <c r="X321" s="6">
        <f>ROUND(SUMIF('JUNE (물량흐름)'!$C$13:$C$502,'Direct labour(직접노무비)'!C321,'JUNE (물량흐름)'!$P$13:$P$502),0)</f>
        <v>111</v>
      </c>
      <c r="Y321" s="6">
        <f t="shared" si="57"/>
        <v>183</v>
      </c>
      <c r="Z321" s="6">
        <f t="shared" si="58"/>
        <v>125</v>
      </c>
      <c r="AA321" s="6">
        <f t="shared" si="62"/>
        <v>2700282</v>
      </c>
      <c r="AB321" s="389">
        <f t="shared" si="59"/>
        <v>0</v>
      </c>
      <c r="AC321" s="503">
        <f t="shared" si="63"/>
        <v>0</v>
      </c>
      <c r="AD321" s="389">
        <f t="shared" si="60"/>
        <v>0</v>
      </c>
    </row>
    <row r="322" spans="1:30" s="390" customFormat="1">
      <c r="A322" s="167">
        <v>316</v>
      </c>
      <c r="B322" s="267" t="str">
        <f>VLOOKUP(A322,'JUNE (물량흐름)'!$A$13:$C$502,2,0)</f>
        <v>ANN TAYLOR</v>
      </c>
      <c r="C322" s="240">
        <f>VLOOKUP(A322,'JUNE (물량흐름)'!$A$13:$C$502,3,0)</f>
        <v>463029</v>
      </c>
      <c r="D322" s="6">
        <f>VLOOKUP(C322,'WIP(재공품)'!$B$12:$E$493,4,0)</f>
        <v>7936.2499999999991</v>
      </c>
      <c r="E322" s="6">
        <f>IFERROR(VLOOKUP(C322,O.B.JUNE!$AA$7:$AG$448,2,0),0)</f>
        <v>0</v>
      </c>
      <c r="F322" s="6">
        <f>IFERROR(VLOOKUP(C322,O.B.JUNE!$AA$7:$AG$448,3,0),0)</f>
        <v>23</v>
      </c>
      <c r="G322" s="6">
        <f>IFERROR(VLOOKUP(C322,O.B.JUNE!$AA$7:$AD$448,4,0),0)</f>
        <v>64</v>
      </c>
      <c r="H322" s="6">
        <f t="shared" si="53"/>
        <v>87</v>
      </c>
      <c r="I322" s="6">
        <f>IFERROR(VLOOKUP(C322,O.B.JUNE!$AA$7:$AF$448,6,0),0)</f>
        <v>63</v>
      </c>
      <c r="J322" s="6"/>
      <c r="K322" s="6">
        <f>IFERROR(VLOOKUP(C322,O.B.JUNE!$AA$7:$AG$448,7,0),0)</f>
        <v>1291701</v>
      </c>
      <c r="L322" s="6">
        <f>SUMIF('JUNE (물량흐름)'!$C$13:$C$502,'Direct labour(직접노무비)'!C322,'JUNE (물량흐름)'!$H$13:$H$502)+SUMIF('JUNE (물량흐름)'!$C$13:$C$502,'Direct labour(직접노무비)'!C322,'JUNE (물량흐름)'!$I$13:$I$502)</f>
        <v>0</v>
      </c>
      <c r="M322" s="6">
        <f t="shared" si="54"/>
        <v>0</v>
      </c>
      <c r="N322" s="6">
        <f t="shared" si="55"/>
        <v>0</v>
      </c>
      <c r="O322" s="6">
        <f t="shared" si="52"/>
        <v>0</v>
      </c>
      <c r="P322" s="6">
        <f>SUMIF('JUNE (물량흐름)'!$C$13:$C$502,C322,'JUNE (물량흐름)'!$T$13:$T$502)+SUMIF('JUNE (물량흐름)'!$C$13:$C$502,C322,'JUNE (물량흐름)'!$V$13:$V$502)+SUMIF('JUNE (물량흐름)'!$C$13:$C$502,C322,'JUNE (물량흐름)'!$U$13:$U$502)-SUMIF('JUNE (물량흐름)'!$C$13:$C$502,C322,'JUNE (물량흐름)'!$Y$13:$Y$502)</f>
        <v>0</v>
      </c>
      <c r="Q322" s="6">
        <f t="shared" si="61"/>
        <v>0</v>
      </c>
      <c r="R322" s="6">
        <f>ROUND(IF(ISERROR(VLOOKUP(#REF!,'WIP(재공품)'!$B$12:$AB$38,13,0)),0,VLOOKUP(#REF!,'WIP(재공품)'!$B$12:$AB$38,13,0)),0)</f>
        <v>0</v>
      </c>
      <c r="S322" s="6">
        <f>IF(ISERROR(VLOOKUP(#REF!,'WIP(재공품)'!$B$12:$AB$38,10,0)),0,VLOOKUP(#REF!,'WIP(재공품)'!$B$12:$AB$38,10,0))</f>
        <v>0</v>
      </c>
      <c r="T322" s="6">
        <f>SUMIF('JUNE (물량흐름)'!$C$13:$C$502,'Direct labour(직접노무비)'!C322,'JUNE (물량흐름)'!$Y$13:$Y$502)</f>
        <v>0</v>
      </c>
      <c r="U322" s="6">
        <f t="shared" si="56"/>
        <v>0</v>
      </c>
      <c r="V322" s="6">
        <f>ROUND(SUMIF('JUNE (물량흐름)'!$C$13:$C$502,'Direct labour(직접노무비)'!C322,'JUNE (물량흐름)'!$N$13:$N$502),0)</f>
        <v>0</v>
      </c>
      <c r="W322" s="6">
        <f>ROUND(SUMIF('JUNE (물량흐름)'!$C$13:$C$502,'Direct labour(직접노무비)'!C322,'JUNE (물량흐름)'!$O$13:$O$502),0)</f>
        <v>23</v>
      </c>
      <c r="X322" s="6">
        <f>ROUND(SUMIF('JUNE (물량흐름)'!$C$13:$C$502,'Direct labour(직접노무비)'!C322,'JUNE (물량흐름)'!$P$13:$P$502),0)</f>
        <v>64</v>
      </c>
      <c r="Y322" s="6">
        <f t="shared" si="57"/>
        <v>87</v>
      </c>
      <c r="Z322" s="6">
        <f t="shared" si="58"/>
        <v>63</v>
      </c>
      <c r="AA322" s="6">
        <f t="shared" si="62"/>
        <v>1291701</v>
      </c>
      <c r="AB322" s="389">
        <f t="shared" si="59"/>
        <v>0</v>
      </c>
      <c r="AC322" s="503">
        <f t="shared" si="63"/>
        <v>0</v>
      </c>
      <c r="AD322" s="389">
        <f t="shared" si="60"/>
        <v>0</v>
      </c>
    </row>
    <row r="323" spans="1:30" s="390" customFormat="1">
      <c r="A323" s="167">
        <v>317</v>
      </c>
      <c r="B323" s="267" t="str">
        <f>VLOOKUP(A323,'JUNE (물량흐름)'!$A$13:$C$502,2,0)</f>
        <v>ANN TAYLOR</v>
      </c>
      <c r="C323" s="240">
        <f>VLOOKUP(A323,'JUNE (물량흐름)'!$A$13:$C$502,3,0)</f>
        <v>463030</v>
      </c>
      <c r="D323" s="6">
        <f>VLOOKUP(C323,'WIP(재공품)'!$B$12:$E$493,4,0)</f>
        <v>8163</v>
      </c>
      <c r="E323" s="6">
        <f>IFERROR(VLOOKUP(C323,O.B.JUNE!$AA$7:$AG$448,2,0),0)</f>
        <v>0</v>
      </c>
      <c r="F323" s="6">
        <f>IFERROR(VLOOKUP(C323,O.B.JUNE!$AA$7:$AG$448,3,0),0)</f>
        <v>101</v>
      </c>
      <c r="G323" s="6">
        <f>IFERROR(VLOOKUP(C323,O.B.JUNE!$AA$7:$AD$448,4,0),0)</f>
        <v>63</v>
      </c>
      <c r="H323" s="6">
        <f t="shared" si="53"/>
        <v>164</v>
      </c>
      <c r="I323" s="6">
        <f>IFERROR(VLOOKUP(C323,O.B.JUNE!$AA$7:$AF$448,6,0),0)</f>
        <v>101</v>
      </c>
      <c r="J323" s="6"/>
      <c r="K323" s="6">
        <f>IFERROR(VLOOKUP(C323,O.B.JUNE!$AA$7:$AG$448,7,0),0)</f>
        <v>2402664</v>
      </c>
      <c r="L323" s="6">
        <f>SUMIF('JUNE (물량흐름)'!$C$13:$C$502,'Direct labour(직접노무비)'!C323,'JUNE (물량흐름)'!$H$13:$H$502)+SUMIF('JUNE (물량흐름)'!$C$13:$C$502,'Direct labour(직접노무비)'!C323,'JUNE (물량흐름)'!$I$13:$I$502)</f>
        <v>0</v>
      </c>
      <c r="M323" s="6">
        <f t="shared" si="54"/>
        <v>0</v>
      </c>
      <c r="N323" s="6">
        <f t="shared" si="55"/>
        <v>0</v>
      </c>
      <c r="O323" s="6">
        <f t="shared" si="52"/>
        <v>0</v>
      </c>
      <c r="P323" s="6">
        <f>SUMIF('JUNE (물량흐름)'!$C$13:$C$502,C323,'JUNE (물량흐름)'!$T$13:$T$502)+SUMIF('JUNE (물량흐름)'!$C$13:$C$502,C323,'JUNE (물량흐름)'!$V$13:$V$502)+SUMIF('JUNE (물량흐름)'!$C$13:$C$502,C323,'JUNE (물량흐름)'!$U$13:$U$502)-SUMIF('JUNE (물량흐름)'!$C$13:$C$502,C323,'JUNE (물량흐름)'!$Y$13:$Y$502)</f>
        <v>0</v>
      </c>
      <c r="Q323" s="6">
        <f t="shared" si="61"/>
        <v>0</v>
      </c>
      <c r="R323" s="6">
        <f>ROUND(IF(ISERROR(VLOOKUP(#REF!,'WIP(재공품)'!$B$12:$AB$38,13,0)),0,VLOOKUP(#REF!,'WIP(재공품)'!$B$12:$AB$38,13,0)),0)</f>
        <v>0</v>
      </c>
      <c r="S323" s="6">
        <f>IF(ISERROR(VLOOKUP(#REF!,'WIP(재공품)'!$B$12:$AB$38,10,0)),0,VLOOKUP(#REF!,'WIP(재공품)'!$B$12:$AB$38,10,0))</f>
        <v>0</v>
      </c>
      <c r="T323" s="6">
        <f>SUMIF('JUNE (물량흐름)'!$C$13:$C$502,'Direct labour(직접노무비)'!C323,'JUNE (물량흐름)'!$Y$13:$Y$502)</f>
        <v>0</v>
      </c>
      <c r="U323" s="6">
        <f t="shared" si="56"/>
        <v>0</v>
      </c>
      <c r="V323" s="6">
        <f>ROUND(SUMIF('JUNE (물량흐름)'!$C$13:$C$502,'Direct labour(직접노무비)'!C323,'JUNE (물량흐름)'!$N$13:$N$502),0)</f>
        <v>0</v>
      </c>
      <c r="W323" s="6">
        <f>ROUND(SUMIF('JUNE (물량흐름)'!$C$13:$C$502,'Direct labour(직접노무비)'!C323,'JUNE (물량흐름)'!$O$13:$O$502),0)</f>
        <v>101</v>
      </c>
      <c r="X323" s="6">
        <f>ROUND(SUMIF('JUNE (물량흐름)'!$C$13:$C$502,'Direct labour(직접노무비)'!C323,'JUNE (물량흐름)'!$P$13:$P$502),0)</f>
        <v>63</v>
      </c>
      <c r="Y323" s="6">
        <f t="shared" si="57"/>
        <v>164</v>
      </c>
      <c r="Z323" s="6">
        <f t="shared" si="58"/>
        <v>101</v>
      </c>
      <c r="AA323" s="6">
        <f t="shared" si="62"/>
        <v>2402664</v>
      </c>
      <c r="AB323" s="389">
        <f t="shared" si="59"/>
        <v>0</v>
      </c>
      <c r="AC323" s="503">
        <f t="shared" si="63"/>
        <v>0</v>
      </c>
      <c r="AD323" s="389">
        <f t="shared" si="60"/>
        <v>0</v>
      </c>
    </row>
    <row r="324" spans="1:30" s="390" customFormat="1">
      <c r="A324" s="167">
        <v>318</v>
      </c>
      <c r="B324" s="267" t="str">
        <f>VLOOKUP(A324,'JUNE (물량흐름)'!$A$13:$C$502,2,0)</f>
        <v>ANN TAYLOR</v>
      </c>
      <c r="C324" s="240">
        <f>VLOOKUP(A324,'JUNE (물량흐름)'!$A$13:$C$502,3,0)</f>
        <v>466459</v>
      </c>
      <c r="D324" s="6">
        <f>VLOOKUP(C324,'WIP(재공품)'!$B$12:$E$493,4,0)</f>
        <v>7936.2499999999991</v>
      </c>
      <c r="E324" s="6">
        <f>IFERROR(VLOOKUP(C324,O.B.JUNE!$AA$7:$AG$448,2,0),0)</f>
        <v>0</v>
      </c>
      <c r="F324" s="6">
        <f>IFERROR(VLOOKUP(C324,O.B.JUNE!$AA$7:$AG$448,3,0),0)</f>
        <v>13</v>
      </c>
      <c r="G324" s="6">
        <f>IFERROR(VLOOKUP(C324,O.B.JUNE!$AA$7:$AD$448,4,0),0)</f>
        <v>246</v>
      </c>
      <c r="H324" s="6">
        <f t="shared" si="53"/>
        <v>259</v>
      </c>
      <c r="I324" s="6">
        <f>IFERROR(VLOOKUP(C324,O.B.JUNE!$AA$7:$AF$448,6,0),0)</f>
        <v>203</v>
      </c>
      <c r="J324" s="6"/>
      <c r="K324" s="6">
        <f>IFERROR(VLOOKUP(C324,O.B.JUNE!$AA$7:$AG$448,7,0),0)</f>
        <v>5151148</v>
      </c>
      <c r="L324" s="6">
        <f>SUMIF('JUNE (물량흐름)'!$C$13:$C$502,'Direct labour(직접노무비)'!C324,'JUNE (물량흐름)'!$H$13:$H$502)+SUMIF('JUNE (물량흐름)'!$C$13:$C$502,'Direct labour(직접노무비)'!C324,'JUNE (물량흐름)'!$I$13:$I$502)</f>
        <v>0</v>
      </c>
      <c r="M324" s="6">
        <f t="shared" si="54"/>
        <v>0</v>
      </c>
      <c r="N324" s="6">
        <f t="shared" si="55"/>
        <v>0</v>
      </c>
      <c r="O324" s="6">
        <f t="shared" si="52"/>
        <v>0</v>
      </c>
      <c r="P324" s="6">
        <f>SUMIF('JUNE (물량흐름)'!$C$13:$C$502,C324,'JUNE (물량흐름)'!$T$13:$T$502)+SUMIF('JUNE (물량흐름)'!$C$13:$C$502,C324,'JUNE (물량흐름)'!$V$13:$V$502)+SUMIF('JUNE (물량흐름)'!$C$13:$C$502,C324,'JUNE (물량흐름)'!$U$13:$U$502)-SUMIF('JUNE (물량흐름)'!$C$13:$C$502,C324,'JUNE (물량흐름)'!$Y$13:$Y$502)</f>
        <v>0</v>
      </c>
      <c r="Q324" s="6">
        <f t="shared" si="61"/>
        <v>0</v>
      </c>
      <c r="R324" s="6">
        <f>ROUND(IF(ISERROR(VLOOKUP(#REF!,'WIP(재공품)'!$B$12:$AB$38,13,0)),0,VLOOKUP(#REF!,'WIP(재공품)'!$B$12:$AB$38,13,0)),0)</f>
        <v>0</v>
      </c>
      <c r="S324" s="6">
        <f>IF(ISERROR(VLOOKUP(#REF!,'WIP(재공품)'!$B$12:$AB$38,10,0)),0,VLOOKUP(#REF!,'WIP(재공품)'!$B$12:$AB$38,10,0))</f>
        <v>0</v>
      </c>
      <c r="T324" s="6">
        <f>SUMIF('JUNE (물량흐름)'!$C$13:$C$502,'Direct labour(직접노무비)'!C324,'JUNE (물량흐름)'!$Y$13:$Y$502)</f>
        <v>0</v>
      </c>
      <c r="U324" s="6">
        <f t="shared" si="56"/>
        <v>0</v>
      </c>
      <c r="V324" s="6">
        <f>ROUND(SUMIF('JUNE (물량흐름)'!$C$13:$C$502,'Direct labour(직접노무비)'!C324,'JUNE (물량흐름)'!$N$13:$N$502),0)</f>
        <v>0</v>
      </c>
      <c r="W324" s="6">
        <f>ROUND(SUMIF('JUNE (물량흐름)'!$C$13:$C$502,'Direct labour(직접노무비)'!C324,'JUNE (물량흐름)'!$O$13:$O$502),0)</f>
        <v>13</v>
      </c>
      <c r="X324" s="6">
        <f>ROUND(SUMIF('JUNE (물량흐름)'!$C$13:$C$502,'Direct labour(직접노무비)'!C324,'JUNE (물량흐름)'!$P$13:$P$502),0)</f>
        <v>246</v>
      </c>
      <c r="Y324" s="6">
        <f t="shared" si="57"/>
        <v>259</v>
      </c>
      <c r="Z324" s="6">
        <f t="shared" si="58"/>
        <v>203</v>
      </c>
      <c r="AA324" s="6">
        <f t="shared" si="62"/>
        <v>5151148</v>
      </c>
      <c r="AB324" s="389">
        <f t="shared" si="59"/>
        <v>0</v>
      </c>
      <c r="AC324" s="503">
        <f t="shared" si="63"/>
        <v>0</v>
      </c>
      <c r="AD324" s="389">
        <f t="shared" si="60"/>
        <v>0</v>
      </c>
    </row>
    <row r="325" spans="1:30" s="390" customFormat="1">
      <c r="A325" s="167">
        <v>319</v>
      </c>
      <c r="B325" s="267" t="str">
        <f>VLOOKUP(A325,'JUNE (물량흐름)'!$A$13:$C$502,2,0)</f>
        <v>ANN TAYLOR</v>
      </c>
      <c r="C325" s="240">
        <f>VLOOKUP(A325,'JUNE (물량흐름)'!$A$13:$C$502,3,0)</f>
        <v>467476</v>
      </c>
      <c r="D325" s="6">
        <f>VLOOKUP(C325,'WIP(재공품)'!$B$12:$E$493,4,0)</f>
        <v>7936.2499999999991</v>
      </c>
      <c r="E325" s="6">
        <f>IFERROR(VLOOKUP(C325,O.B.JUNE!$AA$7:$AG$448,2,0),0)</f>
        <v>0</v>
      </c>
      <c r="F325" s="6">
        <f>IFERROR(VLOOKUP(C325,O.B.JUNE!$AA$7:$AG$448,3,0),0)</f>
        <v>512</v>
      </c>
      <c r="G325" s="6">
        <f>IFERROR(VLOOKUP(C325,O.B.JUNE!$AA$7:$AD$448,4,0),0)</f>
        <v>542</v>
      </c>
      <c r="H325" s="6">
        <f t="shared" si="53"/>
        <v>1054</v>
      </c>
      <c r="I325" s="6">
        <f>IFERROR(VLOOKUP(C325,O.B.JUNE!$AA$7:$AF$448,6,0),0)</f>
        <v>690</v>
      </c>
      <c r="J325" s="6"/>
      <c r="K325" s="6">
        <f>IFERROR(VLOOKUP(C325,O.B.JUNE!$AA$7:$AG$448,7,0),0)</f>
        <v>9016182</v>
      </c>
      <c r="L325" s="6">
        <f>SUMIF('JUNE (물량흐름)'!$C$13:$C$502,'Direct labour(직접노무비)'!C325,'JUNE (물량흐름)'!$H$13:$H$502)+SUMIF('JUNE (물량흐름)'!$C$13:$C$502,'Direct labour(직접노무비)'!C325,'JUNE (물량흐름)'!$I$13:$I$502)</f>
        <v>0</v>
      </c>
      <c r="M325" s="6">
        <f t="shared" si="54"/>
        <v>0</v>
      </c>
      <c r="N325" s="6">
        <f t="shared" si="55"/>
        <v>0</v>
      </c>
      <c r="O325" s="6">
        <f t="shared" si="52"/>
        <v>0</v>
      </c>
      <c r="P325" s="6">
        <f>SUMIF('JUNE (물량흐름)'!$C$13:$C$502,C325,'JUNE (물량흐름)'!$T$13:$T$502)+SUMIF('JUNE (물량흐름)'!$C$13:$C$502,C325,'JUNE (물량흐름)'!$V$13:$V$502)+SUMIF('JUNE (물량흐름)'!$C$13:$C$502,C325,'JUNE (물량흐름)'!$U$13:$U$502)-SUMIF('JUNE (물량흐름)'!$C$13:$C$502,C325,'JUNE (물량흐름)'!$Y$13:$Y$502)</f>
        <v>0</v>
      </c>
      <c r="Q325" s="6">
        <f t="shared" si="61"/>
        <v>0</v>
      </c>
      <c r="R325" s="6">
        <f>ROUND(IF(ISERROR(VLOOKUP(#REF!,'WIP(재공품)'!$B$12:$AB$38,13,0)),0,VLOOKUP(#REF!,'WIP(재공품)'!$B$12:$AB$38,13,0)),0)</f>
        <v>0</v>
      </c>
      <c r="S325" s="6">
        <f>IF(ISERROR(VLOOKUP(#REF!,'WIP(재공품)'!$B$12:$AB$38,10,0)),0,VLOOKUP(#REF!,'WIP(재공품)'!$B$12:$AB$38,10,0))</f>
        <v>0</v>
      </c>
      <c r="T325" s="6">
        <f>SUMIF('JUNE (물량흐름)'!$C$13:$C$502,'Direct labour(직접노무비)'!C325,'JUNE (물량흐름)'!$Y$13:$Y$502)</f>
        <v>0</v>
      </c>
      <c r="U325" s="6">
        <f t="shared" si="56"/>
        <v>0</v>
      </c>
      <c r="V325" s="6">
        <f>ROUND(SUMIF('JUNE (물량흐름)'!$C$13:$C$502,'Direct labour(직접노무비)'!C325,'JUNE (물량흐름)'!$N$13:$N$502),0)</f>
        <v>0</v>
      </c>
      <c r="W325" s="6">
        <f>ROUND(SUMIF('JUNE (물량흐름)'!$C$13:$C$502,'Direct labour(직접노무비)'!C325,'JUNE (물량흐름)'!$O$13:$O$502),0)</f>
        <v>512</v>
      </c>
      <c r="X325" s="6">
        <f>ROUND(SUMIF('JUNE (물량흐름)'!$C$13:$C$502,'Direct labour(직접노무비)'!C325,'JUNE (물량흐름)'!$P$13:$P$502),0)</f>
        <v>542</v>
      </c>
      <c r="Y325" s="6">
        <f t="shared" si="57"/>
        <v>1054</v>
      </c>
      <c r="Z325" s="6">
        <f t="shared" si="58"/>
        <v>690</v>
      </c>
      <c r="AA325" s="6">
        <f t="shared" si="62"/>
        <v>9016182</v>
      </c>
      <c r="AB325" s="389">
        <f t="shared" si="59"/>
        <v>0</v>
      </c>
      <c r="AC325" s="503">
        <f t="shared" si="63"/>
        <v>0</v>
      </c>
      <c r="AD325" s="389">
        <f t="shared" si="60"/>
        <v>0</v>
      </c>
    </row>
    <row r="326" spans="1:30" s="390" customFormat="1">
      <c r="A326" s="167">
        <v>320</v>
      </c>
      <c r="B326" s="267" t="str">
        <f>VLOOKUP(A326,'JUNE (물량흐름)'!$A$13:$C$502,2,0)</f>
        <v>ANN TAYLOR</v>
      </c>
      <c r="C326" s="240">
        <f>VLOOKUP(A326,'JUNE (물량흐름)'!$A$13:$C$502,3,0)</f>
        <v>468585</v>
      </c>
      <c r="D326" s="6">
        <f>VLOOKUP(C326,'WIP(재공품)'!$B$12:$E$493,4,0)</f>
        <v>7936.2499999999991</v>
      </c>
      <c r="E326" s="6">
        <f>IFERROR(VLOOKUP(C326,O.B.JUNE!$AA$7:$AG$448,2,0),0)</f>
        <v>0</v>
      </c>
      <c r="F326" s="6">
        <f>IFERROR(VLOOKUP(C326,O.B.JUNE!$AA$7:$AG$448,3,0),0)</f>
        <v>640</v>
      </c>
      <c r="G326" s="6">
        <f>IFERROR(VLOOKUP(C326,O.B.JUNE!$AA$7:$AD$448,4,0),0)</f>
        <v>1291</v>
      </c>
      <c r="H326" s="6">
        <f t="shared" si="53"/>
        <v>1931</v>
      </c>
      <c r="I326" s="6">
        <f>IFERROR(VLOOKUP(C326,O.B.JUNE!$AA$7:$AF$448,6,0),0)</f>
        <v>1353</v>
      </c>
      <c r="J326" s="6"/>
      <c r="K326" s="6">
        <f>IFERROR(VLOOKUP(C326,O.B.JUNE!$AA$7:$AG$448,7,0),0)</f>
        <v>21837926</v>
      </c>
      <c r="L326" s="6">
        <f>SUMIF('JUNE (물량흐름)'!$C$13:$C$502,'Direct labour(직접노무비)'!C326,'JUNE (물량흐름)'!$H$13:$H$502)+SUMIF('JUNE (물량흐름)'!$C$13:$C$502,'Direct labour(직접노무비)'!C326,'JUNE (물량흐름)'!$I$13:$I$502)</f>
        <v>0</v>
      </c>
      <c r="M326" s="6">
        <f t="shared" si="54"/>
        <v>0</v>
      </c>
      <c r="N326" s="6">
        <f t="shared" si="55"/>
        <v>0</v>
      </c>
      <c r="O326" s="6">
        <f t="shared" si="52"/>
        <v>0</v>
      </c>
      <c r="P326" s="6">
        <f>SUMIF('JUNE (물량흐름)'!$C$13:$C$502,C326,'JUNE (물량흐름)'!$T$13:$T$502)+SUMIF('JUNE (물량흐름)'!$C$13:$C$502,C326,'JUNE (물량흐름)'!$V$13:$V$502)+SUMIF('JUNE (물량흐름)'!$C$13:$C$502,C326,'JUNE (물량흐름)'!$U$13:$U$502)-SUMIF('JUNE (물량흐름)'!$C$13:$C$502,C326,'JUNE (물량흐름)'!$Y$13:$Y$502)</f>
        <v>0</v>
      </c>
      <c r="Q326" s="6">
        <f t="shared" si="61"/>
        <v>0</v>
      </c>
      <c r="R326" s="6">
        <f>ROUND(IF(ISERROR(VLOOKUP(#REF!,'WIP(재공품)'!$B$12:$AB$38,13,0)),0,VLOOKUP(#REF!,'WIP(재공품)'!$B$12:$AB$38,13,0)),0)</f>
        <v>0</v>
      </c>
      <c r="S326" s="6">
        <f>IF(ISERROR(VLOOKUP(#REF!,'WIP(재공품)'!$B$12:$AB$38,10,0)),0,VLOOKUP(#REF!,'WIP(재공품)'!$B$12:$AB$38,10,0))</f>
        <v>0</v>
      </c>
      <c r="T326" s="6">
        <f>SUMIF('JUNE (물량흐름)'!$C$13:$C$502,'Direct labour(직접노무비)'!C326,'JUNE (물량흐름)'!$Y$13:$Y$502)</f>
        <v>0</v>
      </c>
      <c r="U326" s="6">
        <f t="shared" si="56"/>
        <v>0</v>
      </c>
      <c r="V326" s="6">
        <f>ROUND(SUMIF('JUNE (물량흐름)'!$C$13:$C$502,'Direct labour(직접노무비)'!C326,'JUNE (물량흐름)'!$N$13:$N$502),0)</f>
        <v>0</v>
      </c>
      <c r="W326" s="6">
        <f>ROUND(SUMIF('JUNE (물량흐름)'!$C$13:$C$502,'Direct labour(직접노무비)'!C326,'JUNE (물량흐름)'!$O$13:$O$502),0)</f>
        <v>640</v>
      </c>
      <c r="X326" s="6">
        <f>ROUND(SUMIF('JUNE (물량흐름)'!$C$13:$C$502,'Direct labour(직접노무비)'!C326,'JUNE (물량흐름)'!$P$13:$P$502),0)</f>
        <v>1291</v>
      </c>
      <c r="Y326" s="6">
        <f t="shared" si="57"/>
        <v>1931</v>
      </c>
      <c r="Z326" s="6">
        <f t="shared" si="58"/>
        <v>1353</v>
      </c>
      <c r="AA326" s="6">
        <f t="shared" si="62"/>
        <v>21837926</v>
      </c>
      <c r="AB326" s="389">
        <f t="shared" si="59"/>
        <v>0</v>
      </c>
      <c r="AC326" s="503">
        <f t="shared" si="63"/>
        <v>0</v>
      </c>
      <c r="AD326" s="389">
        <f t="shared" si="60"/>
        <v>0</v>
      </c>
    </row>
    <row r="327" spans="1:30" s="390" customFormat="1">
      <c r="A327" s="167">
        <v>321</v>
      </c>
      <c r="B327" s="267" t="str">
        <f>VLOOKUP(A327,'JUNE (물량흐름)'!$A$13:$C$502,2,0)</f>
        <v>ANN TAYLOR</v>
      </c>
      <c r="C327" s="240">
        <f>VLOOKUP(A327,'JUNE (물량흐름)'!$A$13:$C$502,3,0)</f>
        <v>471857</v>
      </c>
      <c r="D327" s="6">
        <f>VLOOKUP(C327,'WIP(재공품)'!$B$12:$E$493,4,0)</f>
        <v>7936.2499999999991</v>
      </c>
      <c r="E327" s="6">
        <f>IFERROR(VLOOKUP(C327,O.B.JUNE!$AA$7:$AG$448,2,0),0)</f>
        <v>0</v>
      </c>
      <c r="F327" s="6">
        <f>IFERROR(VLOOKUP(C327,O.B.JUNE!$AA$7:$AG$448,3,0),0)</f>
        <v>33</v>
      </c>
      <c r="G327" s="6">
        <f>IFERROR(VLOOKUP(C327,O.B.JUNE!$AA$7:$AD$448,4,0),0)</f>
        <v>54</v>
      </c>
      <c r="H327" s="6">
        <f t="shared" si="53"/>
        <v>87</v>
      </c>
      <c r="I327" s="6">
        <f>IFERROR(VLOOKUP(C327,O.B.JUNE!$AA$7:$AF$448,6,0),0)</f>
        <v>60</v>
      </c>
      <c r="J327" s="6"/>
      <c r="K327" s="6">
        <f>IFERROR(VLOOKUP(C327,O.B.JUNE!$AA$7:$AG$448,7,0),0)</f>
        <v>1069003</v>
      </c>
      <c r="L327" s="6">
        <f>SUMIF('JUNE (물량흐름)'!$C$13:$C$502,'Direct labour(직접노무비)'!C327,'JUNE (물량흐름)'!$H$13:$H$502)+SUMIF('JUNE (물량흐름)'!$C$13:$C$502,'Direct labour(직접노무비)'!C327,'JUNE (물량흐름)'!$I$13:$I$502)</f>
        <v>0</v>
      </c>
      <c r="M327" s="6">
        <f t="shared" si="54"/>
        <v>0</v>
      </c>
      <c r="N327" s="6">
        <f t="shared" si="55"/>
        <v>0</v>
      </c>
      <c r="O327" s="6">
        <f t="shared" si="52"/>
        <v>0</v>
      </c>
      <c r="P327" s="6">
        <f>SUMIF('JUNE (물량흐름)'!$C$13:$C$502,C327,'JUNE (물량흐름)'!$T$13:$T$502)+SUMIF('JUNE (물량흐름)'!$C$13:$C$502,C327,'JUNE (물량흐름)'!$V$13:$V$502)+SUMIF('JUNE (물량흐름)'!$C$13:$C$502,C327,'JUNE (물량흐름)'!$U$13:$U$502)-SUMIF('JUNE (물량흐름)'!$C$13:$C$502,C327,'JUNE (물량흐름)'!$Y$13:$Y$502)</f>
        <v>0</v>
      </c>
      <c r="Q327" s="6">
        <f t="shared" si="61"/>
        <v>0</v>
      </c>
      <c r="R327" s="6">
        <f>ROUND(IF(ISERROR(VLOOKUP(#REF!,'WIP(재공품)'!$B$12:$AB$38,13,0)),0,VLOOKUP(#REF!,'WIP(재공품)'!$B$12:$AB$38,13,0)),0)</f>
        <v>0</v>
      </c>
      <c r="S327" s="6">
        <f>IF(ISERROR(VLOOKUP(#REF!,'WIP(재공품)'!$B$12:$AB$38,10,0)),0,VLOOKUP(#REF!,'WIP(재공품)'!$B$12:$AB$38,10,0))</f>
        <v>0</v>
      </c>
      <c r="T327" s="6">
        <f>SUMIF('JUNE (물량흐름)'!$C$13:$C$502,'Direct labour(직접노무비)'!C327,'JUNE (물량흐름)'!$Y$13:$Y$502)</f>
        <v>1</v>
      </c>
      <c r="U327" s="6">
        <f t="shared" si="56"/>
        <v>12287</v>
      </c>
      <c r="V327" s="6">
        <f>ROUND(SUMIF('JUNE (물량흐름)'!$C$13:$C$502,'Direct labour(직접노무비)'!C327,'JUNE (물량흐름)'!$N$13:$N$502),0)</f>
        <v>0</v>
      </c>
      <c r="W327" s="6">
        <f>ROUND(SUMIF('JUNE (물량흐름)'!$C$13:$C$502,'Direct labour(직접노무비)'!C327,'JUNE (물량흐름)'!$O$13:$O$502),0)</f>
        <v>33</v>
      </c>
      <c r="X327" s="6">
        <f>ROUND(SUMIF('JUNE (물량흐름)'!$C$13:$C$502,'Direct labour(직접노무비)'!C327,'JUNE (물량흐름)'!$P$13:$P$502),0)</f>
        <v>53</v>
      </c>
      <c r="Y327" s="6">
        <f t="shared" si="57"/>
        <v>86</v>
      </c>
      <c r="Z327" s="6">
        <f t="shared" si="58"/>
        <v>59</v>
      </c>
      <c r="AA327" s="6">
        <f t="shared" si="62"/>
        <v>1056716</v>
      </c>
      <c r="AB327" s="389">
        <f t="shared" si="59"/>
        <v>0</v>
      </c>
      <c r="AC327" s="503">
        <f t="shared" si="63"/>
        <v>0</v>
      </c>
      <c r="AD327" s="389">
        <f t="shared" si="60"/>
        <v>0</v>
      </c>
    </row>
    <row r="328" spans="1:30" s="390" customFormat="1">
      <c r="A328" s="167">
        <v>322</v>
      </c>
      <c r="B328" s="267" t="str">
        <f>VLOOKUP(A328,'JUNE (물량흐름)'!$A$13:$C$502,2,0)</f>
        <v>J JILL</v>
      </c>
      <c r="C328" s="240" t="str">
        <f>VLOOKUP(A328,'JUNE (물량흐름)'!$A$13:$C$502,3,0)</f>
        <v>KTP122131</v>
      </c>
      <c r="D328" s="6">
        <f>VLOOKUP(C328,'WIP(재공품)'!$B$12:$E$493,4,0)</f>
        <v>8163</v>
      </c>
      <c r="E328" s="6">
        <f>IFERROR(VLOOKUP(C328,O.B.JUNE!$AA$7:$AG$448,2,0),0)</f>
        <v>2</v>
      </c>
      <c r="F328" s="6">
        <f>IFERROR(VLOOKUP(C328,O.B.JUNE!$AA$7:$AG$448,3,0),0)</f>
        <v>309</v>
      </c>
      <c r="G328" s="6">
        <f>IFERROR(VLOOKUP(C328,O.B.JUNE!$AA$7:$AD$448,4,0),0)</f>
        <v>953</v>
      </c>
      <c r="H328" s="6">
        <f t="shared" ref="H328:H388" si="64">ROUND(SUM(E328:G328),0)</f>
        <v>1264</v>
      </c>
      <c r="I328" s="6">
        <f>IFERROR(VLOOKUP(C328,O.B.JUNE!$AA$7:$AF$448,6,0),0)</f>
        <v>917</v>
      </c>
      <c r="J328" s="6"/>
      <c r="K328" s="6">
        <f>IFERROR(VLOOKUP(C328,O.B.JUNE!$AA$7:$AG$448,7,0),0)</f>
        <v>14182703</v>
      </c>
      <c r="L328" s="6">
        <f>SUMIF('JUNE (물량흐름)'!$C$13:$C$502,'Direct labour(직접노무비)'!C328,'JUNE (물량흐름)'!$H$13:$H$502)+SUMIF('JUNE (물량흐름)'!$C$13:$C$502,'Direct labour(직접노무비)'!C328,'JUNE (물량흐름)'!$I$13:$I$502)</f>
        <v>0</v>
      </c>
      <c r="M328" s="6">
        <f t="shared" ref="M328:M388" si="65">ROUND(IF(OR(L328&lt;=0,P328+T328+R328+Z328-I328&lt;0),0,ROUND(P328+T328+R328+Z328-I328,0)),0)</f>
        <v>0</v>
      </c>
      <c r="N328" s="6">
        <f t="shared" ref="N328:N388" si="66">ROUND(M328*D328,0)</f>
        <v>0</v>
      </c>
      <c r="O328" s="6">
        <f t="shared" si="52"/>
        <v>0</v>
      </c>
      <c r="P328" s="6">
        <f>SUMIF('JUNE (물량흐름)'!$C$13:$C$502,C328,'JUNE (물량흐름)'!$T$13:$T$502)+SUMIF('JUNE (물량흐름)'!$C$13:$C$502,C328,'JUNE (물량흐름)'!$V$13:$V$502)+SUMIF('JUNE (물량흐름)'!$C$13:$C$502,C328,'JUNE (물량흐름)'!$U$13:$U$502)-SUMIF('JUNE (물량흐름)'!$C$13:$C$502,C328,'JUNE (물량흐름)'!$Y$13:$Y$502)</f>
        <v>0</v>
      </c>
      <c r="Q328" s="6">
        <f t="shared" si="61"/>
        <v>0</v>
      </c>
      <c r="R328" s="6">
        <f>ROUND(IF(ISERROR(VLOOKUP(#REF!,'WIP(재공품)'!$B$12:$AB$38,13,0)),0,VLOOKUP(#REF!,'WIP(재공품)'!$B$12:$AB$38,13,0)),0)</f>
        <v>0</v>
      </c>
      <c r="S328" s="6">
        <f>IF(ISERROR(VLOOKUP(#REF!,'WIP(재공품)'!$B$12:$AB$38,10,0)),0,VLOOKUP(#REF!,'WIP(재공품)'!$B$12:$AB$38,10,0))</f>
        <v>0</v>
      </c>
      <c r="T328" s="6">
        <f>SUMIF('JUNE (물량흐름)'!$C$13:$C$502,'Direct labour(직접노무비)'!C328,'JUNE (물량흐름)'!$Y$13:$Y$502)</f>
        <v>0</v>
      </c>
      <c r="U328" s="6">
        <f t="shared" ref="U328:U388" si="67">IFERROR(ROUND(IF(AND(T328&lt;=0,($I328+$M328)=0),T328*(K328+O328)/(I328+M328),T328*(K328+O328)/(H328+L328)),0),0)</f>
        <v>0</v>
      </c>
      <c r="V328" s="6">
        <f>ROUND(SUMIF('JUNE (물량흐름)'!$C$13:$C$502,'Direct labour(직접노무비)'!C328,'JUNE (물량흐름)'!$N$13:$N$502),0)</f>
        <v>2</v>
      </c>
      <c r="W328" s="6">
        <f>ROUND(SUMIF('JUNE (물량흐름)'!$C$13:$C$502,'Direct labour(직접노무비)'!C328,'JUNE (물량흐름)'!$O$13:$O$502),0)</f>
        <v>309</v>
      </c>
      <c r="X328" s="6">
        <f>ROUND(SUMIF('JUNE (물량흐름)'!$C$13:$C$502,'Direct labour(직접노무비)'!C328,'JUNE (물량흐름)'!$P$13:$P$502),0)</f>
        <v>953</v>
      </c>
      <c r="Y328" s="6">
        <f t="shared" ref="Y328:Y388" si="68">ROUND(SUM(V328:X328),0)</f>
        <v>1264</v>
      </c>
      <c r="Z328" s="6">
        <f t="shared" ref="Z328:Z388" si="69">ROUND(V328*$V$10+W328*$W$10+X328*$X$10,0)</f>
        <v>917</v>
      </c>
      <c r="AA328" s="6">
        <f t="shared" si="62"/>
        <v>14182703</v>
      </c>
      <c r="AB328" s="389">
        <f t="shared" ref="AB328:AB388" si="70">K328+O328-Q328-U328-AA328</f>
        <v>0</v>
      </c>
      <c r="AC328" s="503">
        <f t="shared" si="63"/>
        <v>0</v>
      </c>
      <c r="AD328" s="389">
        <f t="shared" ref="AD328:AD388" si="71">H328+L328-P328-T328-Y328</f>
        <v>0</v>
      </c>
    </row>
    <row r="329" spans="1:30" s="390" customFormat="1">
      <c r="A329" s="167">
        <v>323</v>
      </c>
      <c r="B329" s="267" t="str">
        <f>VLOOKUP(A329,'JUNE (물량흐름)'!$A$13:$C$502,2,0)</f>
        <v>J JILL</v>
      </c>
      <c r="C329" s="240" t="str">
        <f>VLOOKUP(A329,'JUNE (물량흐름)'!$A$13:$C$502,3,0)</f>
        <v>KTP124011</v>
      </c>
      <c r="D329" s="6">
        <f>VLOOKUP(C329,'WIP(재공품)'!$B$12:$E$493,4,0)</f>
        <v>8163</v>
      </c>
      <c r="E329" s="6">
        <f>IFERROR(VLOOKUP(C329,O.B.JUNE!$AA$7:$AG$448,2,0),0)</f>
        <v>0</v>
      </c>
      <c r="F329" s="6">
        <f>IFERROR(VLOOKUP(C329,O.B.JUNE!$AA$7:$AG$448,3,0),0)</f>
        <v>349</v>
      </c>
      <c r="G329" s="6">
        <f>IFERROR(VLOOKUP(C329,O.B.JUNE!$AA$7:$AD$448,4,0),0)</f>
        <v>732</v>
      </c>
      <c r="H329" s="6">
        <f t="shared" si="64"/>
        <v>1081</v>
      </c>
      <c r="I329" s="6">
        <f>IFERROR(VLOOKUP(C329,O.B.JUNE!$AA$7:$AF$448,6,0),0)</f>
        <v>760</v>
      </c>
      <c r="J329" s="6"/>
      <c r="K329" s="6">
        <f>IFERROR(VLOOKUP(C329,O.B.JUNE!$AA$7:$AG$448,7,0),0)</f>
        <v>12620552</v>
      </c>
      <c r="L329" s="6">
        <f>SUMIF('JUNE (물량흐름)'!$C$13:$C$502,'Direct labour(직접노무비)'!C329,'JUNE (물량흐름)'!$H$13:$H$502)+SUMIF('JUNE (물량흐름)'!$C$13:$C$502,'Direct labour(직접노무비)'!C329,'JUNE (물량흐름)'!$I$13:$I$502)</f>
        <v>0</v>
      </c>
      <c r="M329" s="6">
        <f t="shared" si="65"/>
        <v>0</v>
      </c>
      <c r="N329" s="6">
        <f t="shared" si="66"/>
        <v>0</v>
      </c>
      <c r="O329" s="6">
        <f t="shared" si="52"/>
        <v>0</v>
      </c>
      <c r="P329" s="6">
        <f>SUMIF('JUNE (물량흐름)'!$C$13:$C$502,C329,'JUNE (물량흐름)'!$T$13:$T$502)+SUMIF('JUNE (물량흐름)'!$C$13:$C$502,C329,'JUNE (물량흐름)'!$V$13:$V$502)+SUMIF('JUNE (물량흐름)'!$C$13:$C$502,C329,'JUNE (물량흐름)'!$U$13:$U$502)-SUMIF('JUNE (물량흐름)'!$C$13:$C$502,C329,'JUNE (물량흐름)'!$Y$13:$Y$502)</f>
        <v>0</v>
      </c>
      <c r="Q329" s="6">
        <f t="shared" si="61"/>
        <v>0</v>
      </c>
      <c r="R329" s="6">
        <f>ROUND(IF(ISERROR(VLOOKUP(#REF!,'WIP(재공품)'!$B$12:$AB$38,13,0)),0,VLOOKUP(#REF!,'WIP(재공품)'!$B$12:$AB$38,13,0)),0)</f>
        <v>0</v>
      </c>
      <c r="S329" s="6">
        <f>IF(ISERROR(VLOOKUP(#REF!,'WIP(재공품)'!$B$12:$AB$38,10,0)),0,VLOOKUP(#REF!,'WIP(재공품)'!$B$12:$AB$38,10,0))</f>
        <v>0</v>
      </c>
      <c r="T329" s="6">
        <f>SUMIF('JUNE (물량흐름)'!$C$13:$C$502,'Direct labour(직접노무비)'!C329,'JUNE (물량흐름)'!$Y$13:$Y$502)</f>
        <v>0</v>
      </c>
      <c r="U329" s="6">
        <f t="shared" si="67"/>
        <v>0</v>
      </c>
      <c r="V329" s="6">
        <f>ROUND(SUMIF('JUNE (물량흐름)'!$C$13:$C$502,'Direct labour(직접노무비)'!C329,'JUNE (물량흐름)'!$N$13:$N$502),0)</f>
        <v>0</v>
      </c>
      <c r="W329" s="6">
        <f>ROUND(SUMIF('JUNE (물량흐름)'!$C$13:$C$502,'Direct labour(직접노무비)'!C329,'JUNE (물량흐름)'!$O$13:$O$502),0)</f>
        <v>349</v>
      </c>
      <c r="X329" s="6">
        <f>ROUND(SUMIF('JUNE (물량흐름)'!$C$13:$C$502,'Direct labour(직접노무비)'!C329,'JUNE (물량흐름)'!$P$13:$P$502),0)</f>
        <v>732</v>
      </c>
      <c r="Y329" s="6">
        <f t="shared" si="68"/>
        <v>1081</v>
      </c>
      <c r="Z329" s="6">
        <f t="shared" si="69"/>
        <v>760</v>
      </c>
      <c r="AA329" s="6">
        <f t="shared" si="62"/>
        <v>12620552</v>
      </c>
      <c r="AB329" s="389">
        <f t="shared" si="70"/>
        <v>0</v>
      </c>
      <c r="AC329" s="503">
        <f t="shared" si="63"/>
        <v>0</v>
      </c>
      <c r="AD329" s="389">
        <f t="shared" si="71"/>
        <v>0</v>
      </c>
    </row>
    <row r="330" spans="1:30" s="390" customFormat="1">
      <c r="A330" s="167">
        <v>324</v>
      </c>
      <c r="B330" s="267" t="str">
        <f>VLOOKUP(A330,'JUNE (물량흐름)'!$A$13:$C$502,2,0)</f>
        <v>J JILL</v>
      </c>
      <c r="C330" s="240" t="str">
        <f>VLOOKUP(A330,'JUNE (물량흐름)'!$A$13:$C$502,3,0)</f>
        <v>KTP124021</v>
      </c>
      <c r="D330" s="6">
        <f>VLOOKUP(C330,'WIP(재공품)'!$B$12:$E$493,4,0)</f>
        <v>8163</v>
      </c>
      <c r="E330" s="6">
        <f>IFERROR(VLOOKUP(C330,O.B.JUNE!$AA$7:$AG$448,2,0),0)</f>
        <v>0</v>
      </c>
      <c r="F330" s="6">
        <f>IFERROR(VLOOKUP(C330,O.B.JUNE!$AA$7:$AG$448,3,0),0)</f>
        <v>70</v>
      </c>
      <c r="G330" s="6">
        <f>IFERROR(VLOOKUP(C330,O.B.JUNE!$AA$7:$AD$448,4,0),0)</f>
        <v>357</v>
      </c>
      <c r="H330" s="6">
        <f t="shared" si="64"/>
        <v>427</v>
      </c>
      <c r="I330" s="6">
        <f>IFERROR(VLOOKUP(C330,O.B.JUNE!$AA$7:$AF$448,6,0),0)</f>
        <v>321</v>
      </c>
      <c r="J330" s="6"/>
      <c r="K330" s="6">
        <f>IFERROR(VLOOKUP(C330,O.B.JUNE!$AA$7:$AG$448,7,0),0)</f>
        <v>4683933</v>
      </c>
      <c r="L330" s="6">
        <f>SUMIF('JUNE (물량흐름)'!$C$13:$C$502,'Direct labour(직접노무비)'!C330,'JUNE (물량흐름)'!$H$13:$H$502)+SUMIF('JUNE (물량흐름)'!$C$13:$C$502,'Direct labour(직접노무비)'!C330,'JUNE (물량흐름)'!$I$13:$I$502)</f>
        <v>0</v>
      </c>
      <c r="M330" s="6">
        <f t="shared" si="65"/>
        <v>0</v>
      </c>
      <c r="N330" s="6">
        <f t="shared" si="66"/>
        <v>0</v>
      </c>
      <c r="O330" s="6">
        <f t="shared" si="52"/>
        <v>0</v>
      </c>
      <c r="P330" s="6">
        <f>SUMIF('JUNE (물량흐름)'!$C$13:$C$502,C330,'JUNE (물량흐름)'!$T$13:$T$502)+SUMIF('JUNE (물량흐름)'!$C$13:$C$502,C330,'JUNE (물량흐름)'!$V$13:$V$502)+SUMIF('JUNE (물량흐름)'!$C$13:$C$502,C330,'JUNE (물량흐름)'!$U$13:$U$502)-SUMIF('JUNE (물량흐름)'!$C$13:$C$502,C330,'JUNE (물량흐름)'!$Y$13:$Y$502)</f>
        <v>0</v>
      </c>
      <c r="Q330" s="6">
        <f t="shared" si="61"/>
        <v>0</v>
      </c>
      <c r="R330" s="6">
        <f>ROUND(IF(ISERROR(VLOOKUP(#REF!,'WIP(재공품)'!$B$12:$AB$38,13,0)),0,VLOOKUP(#REF!,'WIP(재공품)'!$B$12:$AB$38,13,0)),0)</f>
        <v>0</v>
      </c>
      <c r="S330" s="6">
        <f>IF(ISERROR(VLOOKUP(#REF!,'WIP(재공품)'!$B$12:$AB$38,10,0)),0,VLOOKUP(#REF!,'WIP(재공품)'!$B$12:$AB$38,10,0))</f>
        <v>0</v>
      </c>
      <c r="T330" s="6">
        <f>SUMIF('JUNE (물량흐름)'!$C$13:$C$502,'Direct labour(직접노무비)'!C330,'JUNE (물량흐름)'!$Y$13:$Y$502)</f>
        <v>0</v>
      </c>
      <c r="U330" s="6">
        <f t="shared" si="67"/>
        <v>0</v>
      </c>
      <c r="V330" s="6">
        <f>ROUND(SUMIF('JUNE (물량흐름)'!$C$13:$C$502,'Direct labour(직접노무비)'!C330,'JUNE (물량흐름)'!$N$13:$N$502),0)</f>
        <v>53</v>
      </c>
      <c r="W330" s="6">
        <f>ROUND(SUMIF('JUNE (물량흐름)'!$C$13:$C$502,'Direct labour(직접노무비)'!C330,'JUNE (물량흐름)'!$O$13:$O$502),0)</f>
        <v>0</v>
      </c>
      <c r="X330" s="6">
        <f>ROUND(SUMIF('JUNE (물량흐름)'!$C$13:$C$502,'Direct labour(직접노무비)'!C330,'JUNE (물량흐름)'!$P$13:$P$502),0)</f>
        <v>374</v>
      </c>
      <c r="Y330" s="6">
        <f t="shared" si="68"/>
        <v>427</v>
      </c>
      <c r="Z330" s="6">
        <f t="shared" si="69"/>
        <v>310</v>
      </c>
      <c r="AA330" s="6">
        <f t="shared" si="62"/>
        <v>4683933</v>
      </c>
      <c r="AB330" s="389">
        <f t="shared" si="70"/>
        <v>0</v>
      </c>
      <c r="AC330" s="503">
        <f t="shared" si="63"/>
        <v>0</v>
      </c>
      <c r="AD330" s="389">
        <f t="shared" si="71"/>
        <v>0</v>
      </c>
    </row>
    <row r="331" spans="1:30" s="390" customFormat="1">
      <c r="A331" s="167">
        <v>325</v>
      </c>
      <c r="B331" s="267" t="str">
        <f>VLOOKUP(A331,'JUNE (물량흐름)'!$A$13:$C$502,2,0)</f>
        <v>INC</v>
      </c>
      <c r="C331" s="240">
        <f>VLOOKUP(A331,'JUNE (물량흐름)'!$A$13:$C$502,3,0)</f>
        <v>100023338</v>
      </c>
      <c r="D331" s="6">
        <f>VLOOKUP(C331,'WIP(재공품)'!$B$12:$E$493,4,0)</f>
        <v>28570.5</v>
      </c>
      <c r="E331" s="6">
        <f>IFERROR(VLOOKUP(C331,O.B.JUNE!$AA$7:$AG$448,2,0),0)</f>
        <v>0</v>
      </c>
      <c r="F331" s="6">
        <f>IFERROR(VLOOKUP(C331,O.B.JUNE!$AA$7:$AG$448,3,0),0)</f>
        <v>144</v>
      </c>
      <c r="G331" s="6">
        <f>IFERROR(VLOOKUP(C331,O.B.JUNE!$AA$7:$AD$448,4,0),0)</f>
        <v>99</v>
      </c>
      <c r="H331" s="6">
        <f t="shared" si="64"/>
        <v>243</v>
      </c>
      <c r="I331" s="6">
        <f>IFERROR(VLOOKUP(C331,O.B.JUNE!$AA$7:$AF$448,6,0),0)</f>
        <v>151</v>
      </c>
      <c r="J331" s="6"/>
      <c r="K331" s="6">
        <f>IFERROR(VLOOKUP(C331,O.B.JUNE!$AA$7:$AG$448,7,0),0)</f>
        <v>3213996</v>
      </c>
      <c r="L331" s="6">
        <f>SUMIF('JUNE (물량흐름)'!$C$13:$C$502,'Direct labour(직접노무비)'!C331,'JUNE (물량흐름)'!$H$13:$H$502)+SUMIF('JUNE (물량흐름)'!$C$13:$C$502,'Direct labour(직접노무비)'!C331,'JUNE (물량흐름)'!$I$13:$I$502)</f>
        <v>0</v>
      </c>
      <c r="M331" s="6">
        <f t="shared" si="65"/>
        <v>0</v>
      </c>
      <c r="N331" s="6">
        <f t="shared" si="66"/>
        <v>0</v>
      </c>
      <c r="O331" s="6">
        <f t="shared" ref="O331:O394" si="72">ROUND(M331*D331*$O$493/$N$493,0)</f>
        <v>0</v>
      </c>
      <c r="P331" s="6">
        <f>SUMIF('JUNE (물량흐름)'!$C$13:$C$502,C331,'JUNE (물량흐름)'!$T$13:$T$502)+SUMIF('JUNE (물량흐름)'!$C$13:$C$502,C331,'JUNE (물량흐름)'!$V$13:$V$502)+SUMIF('JUNE (물량흐름)'!$C$13:$C$502,C331,'JUNE (물량흐름)'!$U$13:$U$502)-SUMIF('JUNE (물량흐름)'!$C$13:$C$502,C331,'JUNE (물량흐름)'!$Y$13:$Y$502)</f>
        <v>0</v>
      </c>
      <c r="Q331" s="6">
        <f t="shared" si="61"/>
        <v>0</v>
      </c>
      <c r="R331" s="6">
        <f>ROUND(IF(ISERROR(VLOOKUP(#REF!,'WIP(재공품)'!$B$12:$AB$38,13,0)),0,VLOOKUP(#REF!,'WIP(재공품)'!$B$12:$AB$38,13,0)),0)</f>
        <v>0</v>
      </c>
      <c r="S331" s="6">
        <f>IF(ISERROR(VLOOKUP(#REF!,'WIP(재공품)'!$B$12:$AB$38,10,0)),0,VLOOKUP(#REF!,'WIP(재공품)'!$B$12:$AB$38,10,0))</f>
        <v>0</v>
      </c>
      <c r="T331" s="6">
        <f>SUMIF('JUNE (물량흐름)'!$C$13:$C$502,'Direct labour(직접노무비)'!C331,'JUNE (물량흐름)'!$Y$13:$Y$502)</f>
        <v>0</v>
      </c>
      <c r="U331" s="6">
        <f t="shared" si="67"/>
        <v>0</v>
      </c>
      <c r="V331" s="6">
        <f>ROUND(SUMIF('JUNE (물량흐름)'!$C$13:$C$502,'Direct labour(직접노무비)'!C331,'JUNE (물량흐름)'!$N$13:$N$502),0)</f>
        <v>0</v>
      </c>
      <c r="W331" s="6">
        <f>ROUND(SUMIF('JUNE (물량흐름)'!$C$13:$C$502,'Direct labour(직접노무비)'!C331,'JUNE (물량흐름)'!$O$13:$O$502),0)</f>
        <v>144</v>
      </c>
      <c r="X331" s="6">
        <f>ROUND(SUMIF('JUNE (물량흐름)'!$C$13:$C$502,'Direct labour(직접노무비)'!C331,'JUNE (물량흐름)'!$P$13:$P$502),0)</f>
        <v>99</v>
      </c>
      <c r="Y331" s="6">
        <f t="shared" si="68"/>
        <v>243</v>
      </c>
      <c r="Z331" s="6">
        <f t="shared" si="69"/>
        <v>151</v>
      </c>
      <c r="AA331" s="6">
        <f t="shared" si="62"/>
        <v>3213996</v>
      </c>
      <c r="AB331" s="389">
        <f t="shared" si="70"/>
        <v>0</v>
      </c>
      <c r="AC331" s="503">
        <f t="shared" si="63"/>
        <v>0</v>
      </c>
      <c r="AD331" s="389">
        <f t="shared" si="71"/>
        <v>0</v>
      </c>
    </row>
    <row r="332" spans="1:30" s="390" customFormat="1">
      <c r="A332" s="167">
        <v>327</v>
      </c>
      <c r="B332" s="267" t="str">
        <f>VLOOKUP(A332,'JUNE (물량흐름)'!$A$13:$C$502,2,0)</f>
        <v>CHARTER CLUB</v>
      </c>
      <c r="C332" s="240">
        <f>VLOOKUP(A332,'JUNE (물량흐름)'!$A$13:$C$502,3,0)</f>
        <v>100025351</v>
      </c>
      <c r="D332" s="6">
        <f>VLOOKUP(C332,'WIP(재공품)'!$B$12:$E$493,4,0)</f>
        <v>7936.2499999999991</v>
      </c>
      <c r="E332" s="6">
        <f>IFERROR(VLOOKUP(C332,O.B.JUNE!$AA$7:$AG$448,2,0),0)</f>
        <v>0</v>
      </c>
      <c r="F332" s="6">
        <f>IFERROR(VLOOKUP(C332,O.B.JUNE!$AA$7:$AG$448,3,0),0)</f>
        <v>24</v>
      </c>
      <c r="G332" s="6">
        <f>IFERROR(VLOOKUP(C332,O.B.JUNE!$AA$7:$AD$448,4,0),0)</f>
        <v>0</v>
      </c>
      <c r="H332" s="6">
        <f t="shared" si="64"/>
        <v>24</v>
      </c>
      <c r="I332" s="6">
        <f>IFERROR(VLOOKUP(C332,O.B.JUNE!$AA$7:$AF$448,6,0),0)</f>
        <v>12</v>
      </c>
      <c r="J332" s="6"/>
      <c r="K332" s="6">
        <f>IFERROR(VLOOKUP(C332,O.B.JUNE!$AA$7:$AG$448,7,0),0)</f>
        <v>341700</v>
      </c>
      <c r="L332" s="6">
        <f>SUMIF('JUNE (물량흐름)'!$C$13:$C$502,'Direct labour(직접노무비)'!C332,'JUNE (물량흐름)'!$H$13:$H$502)+SUMIF('JUNE (물량흐름)'!$C$13:$C$502,'Direct labour(직접노무비)'!C332,'JUNE (물량흐름)'!$I$13:$I$502)</f>
        <v>0</v>
      </c>
      <c r="M332" s="6">
        <f t="shared" si="65"/>
        <v>0</v>
      </c>
      <c r="N332" s="6">
        <f t="shared" si="66"/>
        <v>0</v>
      </c>
      <c r="O332" s="6">
        <f t="shared" si="72"/>
        <v>0</v>
      </c>
      <c r="P332" s="6">
        <f>SUMIF('JUNE (물량흐름)'!$C$13:$C$502,C332,'JUNE (물량흐름)'!$T$13:$T$502)+SUMIF('JUNE (물량흐름)'!$C$13:$C$502,C332,'JUNE (물량흐름)'!$V$13:$V$502)+SUMIF('JUNE (물량흐름)'!$C$13:$C$502,C332,'JUNE (물량흐름)'!$U$13:$U$502)-SUMIF('JUNE (물량흐름)'!$C$13:$C$502,C332,'JUNE (물량흐름)'!$Y$13:$Y$502)</f>
        <v>0</v>
      </c>
      <c r="Q332" s="6">
        <f t="shared" si="61"/>
        <v>0</v>
      </c>
      <c r="R332" s="6">
        <f>ROUND(IF(ISERROR(VLOOKUP(#REF!,'WIP(재공품)'!$B$12:$AB$38,13,0)),0,VLOOKUP(#REF!,'WIP(재공품)'!$B$12:$AB$38,13,0)),0)</f>
        <v>0</v>
      </c>
      <c r="S332" s="6">
        <f>IF(ISERROR(VLOOKUP(#REF!,'WIP(재공품)'!$B$12:$AB$38,10,0)),0,VLOOKUP(#REF!,'WIP(재공품)'!$B$12:$AB$38,10,0))</f>
        <v>0</v>
      </c>
      <c r="T332" s="6">
        <f>SUMIF('JUNE (물량흐름)'!$C$13:$C$502,'Direct labour(직접노무비)'!C332,'JUNE (물량흐름)'!$Y$13:$Y$502)</f>
        <v>0</v>
      </c>
      <c r="U332" s="6">
        <f t="shared" si="67"/>
        <v>0</v>
      </c>
      <c r="V332" s="6">
        <f>ROUND(SUMIF('JUNE (물량흐름)'!$C$13:$C$502,'Direct labour(직접노무비)'!C332,'JUNE (물량흐름)'!$N$13:$N$502),0)</f>
        <v>0</v>
      </c>
      <c r="W332" s="6">
        <f>ROUND(SUMIF('JUNE (물량흐름)'!$C$13:$C$502,'Direct labour(직접노무비)'!C332,'JUNE (물량흐름)'!$O$13:$O$502),0)</f>
        <v>24</v>
      </c>
      <c r="X332" s="6">
        <f>ROUND(SUMIF('JUNE (물량흐름)'!$C$13:$C$502,'Direct labour(직접노무비)'!C332,'JUNE (물량흐름)'!$P$13:$P$502),0)</f>
        <v>0</v>
      </c>
      <c r="Y332" s="6">
        <f t="shared" si="68"/>
        <v>24</v>
      </c>
      <c r="Z332" s="6">
        <f t="shared" si="69"/>
        <v>12</v>
      </c>
      <c r="AA332" s="6">
        <f t="shared" si="62"/>
        <v>341700</v>
      </c>
      <c r="AB332" s="389">
        <f t="shared" si="70"/>
        <v>0</v>
      </c>
      <c r="AC332" s="503">
        <f t="shared" si="63"/>
        <v>0</v>
      </c>
      <c r="AD332" s="389">
        <f t="shared" si="71"/>
        <v>0</v>
      </c>
    </row>
    <row r="333" spans="1:30" s="390" customFormat="1">
      <c r="A333" s="167">
        <v>328</v>
      </c>
      <c r="B333" s="267" t="str">
        <f>VLOOKUP(A333,'JUNE (물량흐름)'!$A$13:$C$502,2,0)</f>
        <v>TALBOTS</v>
      </c>
      <c r="C333" s="240">
        <f>VLOOKUP(A333,'JUNE (물량흐름)'!$A$13:$C$502,3,0)</f>
        <v>182034821</v>
      </c>
      <c r="D333" s="6">
        <f>VLOOKUP(C333,'WIP(재공품)'!$B$12:$E$493,4,0)</f>
        <v>7936.2499999999991</v>
      </c>
      <c r="E333" s="6">
        <f>IFERROR(VLOOKUP(C333,O.B.JUNE!$AA$7:$AG$448,2,0),0)</f>
        <v>41</v>
      </c>
      <c r="F333" s="6">
        <f>IFERROR(VLOOKUP(C333,O.B.JUNE!$AA$7:$AG$448,3,0),0)</f>
        <v>215</v>
      </c>
      <c r="G333" s="6">
        <f>IFERROR(VLOOKUP(C333,O.B.JUNE!$AA$7:$AD$448,4,0),0)</f>
        <v>0</v>
      </c>
      <c r="H333" s="6">
        <f t="shared" si="64"/>
        <v>256</v>
      </c>
      <c r="I333" s="6">
        <f>IFERROR(VLOOKUP(C333,O.B.JUNE!$AA$7:$AF$448,6,0),0)</f>
        <v>116</v>
      </c>
      <c r="J333" s="6"/>
      <c r="K333" s="6">
        <f>IFERROR(VLOOKUP(C333,O.B.JUNE!$AA$7:$AG$448,7,0),0)</f>
        <v>3120328</v>
      </c>
      <c r="L333" s="6">
        <f>SUMIF('JUNE (물량흐름)'!$C$13:$C$502,'Direct labour(직접노무비)'!C333,'JUNE (물량흐름)'!$H$13:$H$502)+SUMIF('JUNE (물량흐름)'!$C$13:$C$502,'Direct labour(직접노무비)'!C333,'JUNE (물량흐름)'!$I$13:$I$502)</f>
        <v>0</v>
      </c>
      <c r="M333" s="6">
        <f t="shared" si="65"/>
        <v>0</v>
      </c>
      <c r="N333" s="6">
        <f t="shared" si="66"/>
        <v>0</v>
      </c>
      <c r="O333" s="6">
        <f t="shared" si="72"/>
        <v>0</v>
      </c>
      <c r="P333" s="6">
        <f>SUMIF('JUNE (물량흐름)'!$C$13:$C$502,C333,'JUNE (물량흐름)'!$T$13:$T$502)+SUMIF('JUNE (물량흐름)'!$C$13:$C$502,C333,'JUNE (물량흐름)'!$V$13:$V$502)+SUMIF('JUNE (물량흐름)'!$C$13:$C$502,C333,'JUNE (물량흐름)'!$U$13:$U$502)-SUMIF('JUNE (물량흐름)'!$C$13:$C$502,C333,'JUNE (물량흐름)'!$Y$13:$Y$502)</f>
        <v>0</v>
      </c>
      <c r="Q333" s="6">
        <f t="shared" ref="Q333:Q396" si="73">IFERROR(ROUND(IF(OR(P333&lt;=0,($I333+$M333)=0),$P333*($K333+$O333)/($I333+$M333),$P333*($K333+$O333)/($H333+$L333)),0),0)</f>
        <v>0</v>
      </c>
      <c r="R333" s="6">
        <f>ROUND(IF(ISERROR(VLOOKUP(#REF!,'WIP(재공품)'!$B$12:$AB$38,13,0)),0,VLOOKUP(#REF!,'WIP(재공품)'!$B$12:$AB$38,13,0)),0)</f>
        <v>0</v>
      </c>
      <c r="S333" s="6">
        <f>IF(ISERROR(VLOOKUP(#REF!,'WIP(재공품)'!$B$12:$AB$38,10,0)),0,VLOOKUP(#REF!,'WIP(재공품)'!$B$12:$AB$38,10,0))</f>
        <v>0</v>
      </c>
      <c r="T333" s="6">
        <f>SUMIF('JUNE (물량흐름)'!$C$13:$C$502,'Direct labour(직접노무비)'!C333,'JUNE (물량흐름)'!$Y$13:$Y$502)</f>
        <v>0</v>
      </c>
      <c r="U333" s="6">
        <f t="shared" si="67"/>
        <v>0</v>
      </c>
      <c r="V333" s="6">
        <f>ROUND(SUMIF('JUNE (물량흐름)'!$C$13:$C$502,'Direct labour(직접노무비)'!C333,'JUNE (물량흐름)'!$N$13:$N$502),0)</f>
        <v>41</v>
      </c>
      <c r="W333" s="6">
        <f>ROUND(SUMIF('JUNE (물량흐름)'!$C$13:$C$502,'Direct labour(직접노무비)'!C333,'JUNE (물량흐름)'!$O$13:$O$502),0)</f>
        <v>215</v>
      </c>
      <c r="X333" s="6">
        <f>ROUND(SUMIF('JUNE (물량흐름)'!$C$13:$C$502,'Direct labour(직접노무비)'!C333,'JUNE (물량흐름)'!$P$13:$P$502),0)</f>
        <v>0</v>
      </c>
      <c r="Y333" s="6">
        <f t="shared" si="68"/>
        <v>256</v>
      </c>
      <c r="Z333" s="6">
        <f t="shared" si="69"/>
        <v>116</v>
      </c>
      <c r="AA333" s="6">
        <f t="shared" ref="AA333:AA396" si="74">IFERROR(ROUND(IF(OR(Z333&lt;=0,($I333+$M333)=0),$Z333*($K333+$O333)/($I333+$M333),$Y333*($K333+$O333)/($H333+$L333)),0),0)</f>
        <v>3120328</v>
      </c>
      <c r="AB333" s="389">
        <f t="shared" si="70"/>
        <v>0</v>
      </c>
      <c r="AC333" s="503">
        <f t="shared" si="63"/>
        <v>0</v>
      </c>
      <c r="AD333" s="389">
        <f t="shared" si="71"/>
        <v>0</v>
      </c>
    </row>
    <row r="334" spans="1:30" s="390" customFormat="1">
      <c r="A334" s="167">
        <v>329</v>
      </c>
      <c r="B334" s="267" t="str">
        <f>VLOOKUP(A334,'JUNE (물량흐름)'!$A$13:$C$502,2,0)</f>
        <v>TALBOTS</v>
      </c>
      <c r="C334" s="240">
        <f>VLOOKUP(A334,'JUNE (물량흐름)'!$A$13:$C$502,3,0)</f>
        <v>182034836</v>
      </c>
      <c r="D334" s="6">
        <f>VLOOKUP(C334,'WIP(재공품)'!$B$12:$E$493,4,0)</f>
        <v>8163</v>
      </c>
      <c r="E334" s="6">
        <f>IFERROR(VLOOKUP(C334,O.B.JUNE!$AA$7:$AG$448,2,0),0)</f>
        <v>0</v>
      </c>
      <c r="F334" s="6">
        <f>IFERROR(VLOOKUP(C334,O.B.JUNE!$AA$7:$AG$448,3,0),0)</f>
        <v>299</v>
      </c>
      <c r="G334" s="6">
        <f>IFERROR(VLOOKUP(C334,O.B.JUNE!$AA$7:$AD$448,4,0),0)</f>
        <v>55</v>
      </c>
      <c r="H334" s="6">
        <f t="shared" si="64"/>
        <v>354</v>
      </c>
      <c r="I334" s="6">
        <f>IFERROR(VLOOKUP(C334,O.B.JUNE!$AA$7:$AF$448,6,0),0)</f>
        <v>194</v>
      </c>
      <c r="J334" s="6"/>
      <c r="K334" s="6">
        <f>IFERROR(VLOOKUP(C334,O.B.JUNE!$AA$7:$AG$448,7,0),0)</f>
        <v>5461839</v>
      </c>
      <c r="L334" s="6">
        <f>SUMIF('JUNE (물량흐름)'!$C$13:$C$502,'Direct labour(직접노무비)'!C334,'JUNE (물량흐름)'!$H$13:$H$502)+SUMIF('JUNE (물량흐름)'!$C$13:$C$502,'Direct labour(직접노무비)'!C334,'JUNE (물량흐름)'!$I$13:$I$502)</f>
        <v>0</v>
      </c>
      <c r="M334" s="6">
        <f t="shared" si="65"/>
        <v>0</v>
      </c>
      <c r="N334" s="6">
        <f t="shared" si="66"/>
        <v>0</v>
      </c>
      <c r="O334" s="6">
        <f t="shared" si="72"/>
        <v>0</v>
      </c>
      <c r="P334" s="6">
        <f>SUMIF('JUNE (물량흐름)'!$C$13:$C$502,C334,'JUNE (물량흐름)'!$T$13:$T$502)+SUMIF('JUNE (물량흐름)'!$C$13:$C$502,C334,'JUNE (물량흐름)'!$V$13:$V$502)+SUMIF('JUNE (물량흐름)'!$C$13:$C$502,C334,'JUNE (물량흐름)'!$U$13:$U$502)-SUMIF('JUNE (물량흐름)'!$C$13:$C$502,C334,'JUNE (물량흐름)'!$Y$13:$Y$502)</f>
        <v>0</v>
      </c>
      <c r="Q334" s="6">
        <f t="shared" si="73"/>
        <v>0</v>
      </c>
      <c r="R334" s="6">
        <f>ROUND(IF(ISERROR(VLOOKUP(#REF!,'WIP(재공품)'!$B$12:$AB$38,13,0)),0,VLOOKUP(#REF!,'WIP(재공품)'!$B$12:$AB$38,13,0)),0)</f>
        <v>0</v>
      </c>
      <c r="S334" s="6">
        <f>IF(ISERROR(VLOOKUP(#REF!,'WIP(재공품)'!$B$12:$AB$38,10,0)),0,VLOOKUP(#REF!,'WIP(재공품)'!$B$12:$AB$38,10,0))</f>
        <v>0</v>
      </c>
      <c r="T334" s="6">
        <f>SUMIF('JUNE (물량흐름)'!$C$13:$C$502,'Direct labour(직접노무비)'!C334,'JUNE (물량흐름)'!$Y$13:$Y$502)</f>
        <v>0</v>
      </c>
      <c r="U334" s="6">
        <f t="shared" si="67"/>
        <v>0</v>
      </c>
      <c r="V334" s="6">
        <f>ROUND(SUMIF('JUNE (물량흐름)'!$C$13:$C$502,'Direct labour(직접노무비)'!C334,'JUNE (물량흐름)'!$N$13:$N$502),0)</f>
        <v>0</v>
      </c>
      <c r="W334" s="6">
        <f>ROUND(SUMIF('JUNE (물량흐름)'!$C$13:$C$502,'Direct labour(직접노무비)'!C334,'JUNE (물량흐름)'!$O$13:$O$502),0)</f>
        <v>299</v>
      </c>
      <c r="X334" s="6">
        <f>ROUND(SUMIF('JUNE (물량흐름)'!$C$13:$C$502,'Direct labour(직접노무비)'!C334,'JUNE (물량흐름)'!$P$13:$P$502),0)</f>
        <v>55</v>
      </c>
      <c r="Y334" s="6">
        <f t="shared" si="68"/>
        <v>354</v>
      </c>
      <c r="Z334" s="6">
        <f t="shared" si="69"/>
        <v>194</v>
      </c>
      <c r="AA334" s="6">
        <f t="shared" si="74"/>
        <v>5461839</v>
      </c>
      <c r="AB334" s="389">
        <f t="shared" si="70"/>
        <v>0</v>
      </c>
      <c r="AC334" s="503">
        <f t="shared" si="63"/>
        <v>0</v>
      </c>
      <c r="AD334" s="389">
        <f t="shared" si="71"/>
        <v>0</v>
      </c>
    </row>
    <row r="335" spans="1:30" s="390" customFormat="1">
      <c r="A335" s="167">
        <v>330</v>
      </c>
      <c r="B335" s="267" t="str">
        <f>VLOOKUP(A335,'JUNE (물량흐름)'!$A$13:$C$502,2,0)</f>
        <v>TALBOTS</v>
      </c>
      <c r="C335" s="240">
        <f>VLOOKUP(A335,'JUNE (물량흐름)'!$A$13:$C$502,3,0)</f>
        <v>182034837</v>
      </c>
      <c r="D335" s="6">
        <f>VLOOKUP(C335,'WIP(재공품)'!$B$12:$E$493,4,0)</f>
        <v>55780.5</v>
      </c>
      <c r="E335" s="6">
        <f>IFERROR(VLOOKUP(C335,O.B.JUNE!$AA$7:$AG$448,2,0),0)</f>
        <v>1</v>
      </c>
      <c r="F335" s="6">
        <f>IFERROR(VLOOKUP(C335,O.B.JUNE!$AA$7:$AG$448,3,0),0)</f>
        <v>9</v>
      </c>
      <c r="G335" s="6">
        <f>IFERROR(VLOOKUP(C335,O.B.JUNE!$AA$7:$AD$448,4,0),0)</f>
        <v>37</v>
      </c>
      <c r="H335" s="6">
        <f t="shared" si="64"/>
        <v>47</v>
      </c>
      <c r="I335" s="6">
        <f>IFERROR(VLOOKUP(C335,O.B.JUNE!$AA$7:$AF$448,6,0),0)</f>
        <v>34</v>
      </c>
      <c r="J335" s="6"/>
      <c r="K335" s="6">
        <f>IFERROR(VLOOKUP(C335,O.B.JUNE!$AA$7:$AG$448,7,0),0)</f>
        <v>1070626</v>
      </c>
      <c r="L335" s="6">
        <f>SUMIF('JUNE (물량흐름)'!$C$13:$C$502,'Direct labour(직접노무비)'!C335,'JUNE (물량흐름)'!$H$13:$H$502)+SUMIF('JUNE (물량흐름)'!$C$13:$C$502,'Direct labour(직접노무비)'!C335,'JUNE (물량흐름)'!$I$13:$I$502)</f>
        <v>0</v>
      </c>
      <c r="M335" s="6">
        <f t="shared" si="65"/>
        <v>0</v>
      </c>
      <c r="N335" s="6">
        <f t="shared" si="66"/>
        <v>0</v>
      </c>
      <c r="O335" s="6">
        <f t="shared" si="72"/>
        <v>0</v>
      </c>
      <c r="P335" s="6">
        <f>SUMIF('JUNE (물량흐름)'!$C$13:$C$502,C335,'JUNE (물량흐름)'!$T$13:$T$502)+SUMIF('JUNE (물량흐름)'!$C$13:$C$502,C335,'JUNE (물량흐름)'!$V$13:$V$502)+SUMIF('JUNE (물량흐름)'!$C$13:$C$502,C335,'JUNE (물량흐름)'!$U$13:$U$502)-SUMIF('JUNE (물량흐름)'!$C$13:$C$502,C335,'JUNE (물량흐름)'!$Y$13:$Y$502)</f>
        <v>0</v>
      </c>
      <c r="Q335" s="6">
        <f t="shared" si="73"/>
        <v>0</v>
      </c>
      <c r="R335" s="6">
        <f>ROUND(IF(ISERROR(VLOOKUP(#REF!,'WIP(재공품)'!$B$12:$AB$38,13,0)),0,VLOOKUP(#REF!,'WIP(재공품)'!$B$12:$AB$38,13,0)),0)</f>
        <v>0</v>
      </c>
      <c r="S335" s="6">
        <f>IF(ISERROR(VLOOKUP(#REF!,'WIP(재공품)'!$B$12:$AB$38,10,0)),0,VLOOKUP(#REF!,'WIP(재공품)'!$B$12:$AB$38,10,0))</f>
        <v>0</v>
      </c>
      <c r="T335" s="6">
        <f>SUMIF('JUNE (물량흐름)'!$C$13:$C$502,'Direct labour(직접노무비)'!C335,'JUNE (물량흐름)'!$Y$13:$Y$502)</f>
        <v>0</v>
      </c>
      <c r="U335" s="6">
        <f t="shared" si="67"/>
        <v>0</v>
      </c>
      <c r="V335" s="6">
        <f>ROUND(SUMIF('JUNE (물량흐름)'!$C$13:$C$502,'Direct labour(직접노무비)'!C335,'JUNE (물량흐름)'!$N$13:$N$502),0)</f>
        <v>1</v>
      </c>
      <c r="W335" s="6">
        <f>ROUND(SUMIF('JUNE (물량흐름)'!$C$13:$C$502,'Direct labour(직접노무비)'!C335,'JUNE (물량흐름)'!$O$13:$O$502),0)</f>
        <v>9</v>
      </c>
      <c r="X335" s="6">
        <f>ROUND(SUMIF('JUNE (물량흐름)'!$C$13:$C$502,'Direct labour(직접노무비)'!C335,'JUNE (물량흐름)'!$P$13:$P$502),0)</f>
        <v>37</v>
      </c>
      <c r="Y335" s="6">
        <f t="shared" si="68"/>
        <v>47</v>
      </c>
      <c r="Z335" s="6">
        <f t="shared" si="69"/>
        <v>34</v>
      </c>
      <c r="AA335" s="6">
        <f t="shared" si="74"/>
        <v>1070626</v>
      </c>
      <c r="AB335" s="389">
        <f t="shared" si="70"/>
        <v>0</v>
      </c>
      <c r="AC335" s="503">
        <f t="shared" si="63"/>
        <v>0</v>
      </c>
      <c r="AD335" s="389">
        <f t="shared" si="71"/>
        <v>0</v>
      </c>
    </row>
    <row r="336" spans="1:30" s="486" customFormat="1">
      <c r="A336" s="481">
        <v>331</v>
      </c>
      <c r="B336" s="482" t="str">
        <f>VLOOKUP(A336,'JUNE (물량흐름)'!$A$13:$C$502,2,0)</f>
        <v>J JILL</v>
      </c>
      <c r="C336" s="483" t="str">
        <f>VLOOKUP(A336,'JUNE (물량흐름)'!$A$13:$C$502,3,0)</f>
        <v>KPT122931</v>
      </c>
      <c r="D336" s="484">
        <f>VLOOKUP(C336,'WIP(재공품)'!$B$12:$E$493,4,0)</f>
        <v>60542.25</v>
      </c>
      <c r="E336" s="484">
        <f>IFERROR(VLOOKUP(C336,O.B.JUNE!$AA$7:$AG$448,2,0),0)</f>
        <v>0</v>
      </c>
      <c r="F336" s="484">
        <f>IFERROR(VLOOKUP(C336,O.B.JUNE!$AA$7:$AG$448,3,0),0)</f>
        <v>164</v>
      </c>
      <c r="G336" s="484">
        <f>IFERROR(VLOOKUP(C336,O.B.JUNE!$AA$7:$AD$448,4,0),0)</f>
        <v>227</v>
      </c>
      <c r="H336" s="484">
        <f t="shared" si="64"/>
        <v>391</v>
      </c>
      <c r="I336" s="484">
        <f>IFERROR(VLOOKUP(C336,O.B.JUNE!$AA$7:$AF$448,6,0),0)</f>
        <v>264</v>
      </c>
      <c r="J336" s="6"/>
      <c r="K336" s="484">
        <f>IFERROR(VLOOKUP(C336,O.B.JUNE!$AA$7:$AG$448,7,0),0)</f>
        <v>4854648</v>
      </c>
      <c r="L336" s="484">
        <f>SUMIF('JUNE (물량흐름)'!$C$13:$C$502,'Direct labour(직접노무비)'!C336,'JUNE (물량흐름)'!$H$13:$H$502)+SUMIF('JUNE (물량흐름)'!$C$13:$C$502,'Direct labour(직접노무비)'!C336,'JUNE (물량흐름)'!$I$13:$I$502)</f>
        <v>618</v>
      </c>
      <c r="M336" s="484">
        <f t="shared" si="65"/>
        <v>381</v>
      </c>
      <c r="N336" s="484">
        <f t="shared" si="66"/>
        <v>23066597</v>
      </c>
      <c r="O336" s="484">
        <f t="shared" si="72"/>
        <v>7133892</v>
      </c>
      <c r="P336" s="6">
        <f>SUMIF('JUNE (물량흐름)'!$C$13:$C$502,C336,'JUNE (물량흐름)'!$T$13:$T$502)+SUMIF('JUNE (물량흐름)'!$C$13:$C$502,C336,'JUNE (물량흐름)'!$V$13:$V$502)+SUMIF('JUNE (물량흐름)'!$C$13:$C$502,C336,'JUNE (물량흐름)'!$U$13:$U$502)-SUMIF('JUNE (물량흐름)'!$C$13:$C$502,C336,'JUNE (물량흐름)'!$Y$13:$Y$502)</f>
        <v>78</v>
      </c>
      <c r="Q336" s="6">
        <f t="shared" si="73"/>
        <v>926765</v>
      </c>
      <c r="R336" s="6">
        <f>ROUND(IF(ISERROR(VLOOKUP(#REF!,'WIP(재공품)'!$B$12:$AB$38,13,0)),0,VLOOKUP(#REF!,'WIP(재공품)'!$B$12:$AB$38,13,0)),0)</f>
        <v>0</v>
      </c>
      <c r="S336" s="6">
        <f>IF(ISERROR(VLOOKUP(#REF!,'WIP(재공품)'!$B$12:$AB$38,10,0)),0,VLOOKUP(#REF!,'WIP(재공품)'!$B$12:$AB$38,10,0))</f>
        <v>0</v>
      </c>
      <c r="T336" s="6">
        <f>SUMIF('JUNE (물량흐름)'!$C$13:$C$502,'Direct labour(직접노무비)'!C336,'JUNE (물량흐름)'!$Y$13:$Y$502)</f>
        <v>9</v>
      </c>
      <c r="U336" s="6">
        <f t="shared" si="67"/>
        <v>106934</v>
      </c>
      <c r="V336" s="484">
        <f>ROUND(SUMIF('JUNE (물량흐름)'!$C$13:$C$502,'Direct labour(직접노무비)'!C336,'JUNE (물량흐름)'!$N$13:$N$502),0)</f>
        <v>0</v>
      </c>
      <c r="W336" s="484">
        <f>ROUND(SUMIF('JUNE (물량흐름)'!$C$13:$C$502,'Direct labour(직접노무비)'!C336,'JUNE (물량흐름)'!$O$13:$O$502),0)</f>
        <v>600</v>
      </c>
      <c r="X336" s="484">
        <f>ROUND(SUMIF('JUNE (물량흐름)'!$C$13:$C$502,'Direct labour(직접노무비)'!C336,'JUNE (물량흐름)'!$P$13:$P$502),0)</f>
        <v>322</v>
      </c>
      <c r="Y336" s="484">
        <f t="shared" si="68"/>
        <v>922</v>
      </c>
      <c r="Z336" s="484">
        <f t="shared" si="69"/>
        <v>558</v>
      </c>
      <c r="AA336" s="6">
        <f t="shared" si="74"/>
        <v>10954840</v>
      </c>
      <c r="AB336" s="485">
        <f t="shared" si="70"/>
        <v>1</v>
      </c>
      <c r="AC336" s="503">
        <f t="shared" si="63"/>
        <v>0</v>
      </c>
      <c r="AD336" s="485">
        <f t="shared" si="71"/>
        <v>0</v>
      </c>
    </row>
    <row r="337" spans="1:30" s="390" customFormat="1">
      <c r="A337" s="167">
        <v>332</v>
      </c>
      <c r="B337" s="267" t="str">
        <f>VLOOKUP(A337,'JUNE (물량흐름)'!$A$13:$C$502,2,0)</f>
        <v>ANN TAYLOR</v>
      </c>
      <c r="C337" s="240">
        <f>VLOOKUP(A337,'JUNE (물량흐름)'!$A$13:$C$502,3,0)</f>
        <v>465318</v>
      </c>
      <c r="D337" s="6">
        <f>VLOOKUP(C337,'WIP(재공품)'!$B$12:$E$493,4,0)</f>
        <v>8163</v>
      </c>
      <c r="E337" s="6">
        <f>IFERROR(VLOOKUP(C337,O.B.JUNE!$AA$7:$AG$448,2,0),0)</f>
        <v>0</v>
      </c>
      <c r="F337" s="6">
        <f>IFERROR(VLOOKUP(C337,O.B.JUNE!$AA$7:$AG$448,3,0),0)</f>
        <v>334</v>
      </c>
      <c r="G337" s="6">
        <f>IFERROR(VLOOKUP(C337,O.B.JUNE!$AA$7:$AD$448,4,0),0)</f>
        <v>63</v>
      </c>
      <c r="H337" s="6">
        <f t="shared" si="64"/>
        <v>397</v>
      </c>
      <c r="I337" s="6">
        <f>IFERROR(VLOOKUP(C337,O.B.JUNE!$AA$7:$AF$448,6,0),0)</f>
        <v>217</v>
      </c>
      <c r="J337" s="6"/>
      <c r="K337" s="6">
        <f>IFERROR(VLOOKUP(C337,O.B.JUNE!$AA$7:$AG$448,7,0),0)</f>
        <v>3142752</v>
      </c>
      <c r="L337" s="6">
        <f>SUMIF('JUNE (물량흐름)'!$C$13:$C$502,'Direct labour(직접노무비)'!C337,'JUNE (물량흐름)'!$H$13:$H$502)+SUMIF('JUNE (물량흐름)'!$C$13:$C$502,'Direct labour(직접노무비)'!C337,'JUNE (물량흐름)'!$I$13:$I$502)</f>
        <v>0</v>
      </c>
      <c r="M337" s="6">
        <f t="shared" si="65"/>
        <v>0</v>
      </c>
      <c r="N337" s="6">
        <f t="shared" si="66"/>
        <v>0</v>
      </c>
      <c r="O337" s="6">
        <f t="shared" si="72"/>
        <v>0</v>
      </c>
      <c r="P337" s="6">
        <f>SUMIF('JUNE (물량흐름)'!$C$13:$C$502,C337,'JUNE (물량흐름)'!$T$13:$T$502)+SUMIF('JUNE (물량흐름)'!$C$13:$C$502,C337,'JUNE (물량흐름)'!$V$13:$V$502)+SUMIF('JUNE (물량흐름)'!$C$13:$C$502,C337,'JUNE (물량흐름)'!$U$13:$U$502)-SUMIF('JUNE (물량흐름)'!$C$13:$C$502,C337,'JUNE (물량흐름)'!$Y$13:$Y$502)</f>
        <v>0</v>
      </c>
      <c r="Q337" s="6">
        <f t="shared" si="73"/>
        <v>0</v>
      </c>
      <c r="R337" s="6">
        <f>ROUND(IF(ISERROR(VLOOKUP(#REF!,'WIP(재공품)'!$B$12:$AB$38,13,0)),0,VLOOKUP(#REF!,'WIP(재공품)'!$B$12:$AB$38,13,0)),0)</f>
        <v>0</v>
      </c>
      <c r="S337" s="6">
        <f>IF(ISERROR(VLOOKUP(#REF!,'WIP(재공품)'!$B$12:$AB$38,10,0)),0,VLOOKUP(#REF!,'WIP(재공품)'!$B$12:$AB$38,10,0))</f>
        <v>0</v>
      </c>
      <c r="T337" s="6">
        <f>SUMIF('JUNE (물량흐름)'!$C$13:$C$502,'Direct labour(직접노무비)'!C337,'JUNE (물량흐름)'!$Y$13:$Y$502)</f>
        <v>8</v>
      </c>
      <c r="U337" s="6">
        <f t="shared" si="67"/>
        <v>63330</v>
      </c>
      <c r="V337" s="6">
        <f>ROUND(SUMIF('JUNE (물량흐름)'!$C$13:$C$502,'Direct labour(직접노무비)'!C337,'JUNE (물량흐름)'!$N$13:$N$502),0)</f>
        <v>0</v>
      </c>
      <c r="W337" s="6">
        <f>ROUND(SUMIF('JUNE (물량흐름)'!$C$13:$C$502,'Direct labour(직접노무비)'!C337,'JUNE (물량흐름)'!$O$13:$O$502),0)</f>
        <v>334</v>
      </c>
      <c r="X337" s="6">
        <f>ROUND(SUMIF('JUNE (물량흐름)'!$C$13:$C$502,'Direct labour(직접노무비)'!C337,'JUNE (물량흐름)'!$P$13:$P$502),0)</f>
        <v>55</v>
      </c>
      <c r="Y337" s="6">
        <f t="shared" si="68"/>
        <v>389</v>
      </c>
      <c r="Z337" s="6">
        <f t="shared" si="69"/>
        <v>211</v>
      </c>
      <c r="AA337" s="6">
        <f t="shared" si="74"/>
        <v>3079422</v>
      </c>
      <c r="AB337" s="389">
        <f t="shared" si="70"/>
        <v>0</v>
      </c>
      <c r="AC337" s="503">
        <f t="shared" si="63"/>
        <v>0</v>
      </c>
      <c r="AD337" s="389">
        <f t="shared" si="71"/>
        <v>0</v>
      </c>
    </row>
    <row r="338" spans="1:30" s="390" customFormat="1">
      <c r="A338" s="167">
        <v>333</v>
      </c>
      <c r="B338" s="267" t="str">
        <f>VLOOKUP(A338,'JUNE (물량흐름)'!$A$13:$C$502,2,0)</f>
        <v>ANN TAYLOR</v>
      </c>
      <c r="C338" s="240">
        <f>VLOOKUP(A338,'JUNE (물량흐름)'!$A$13:$C$502,3,0)</f>
        <v>465985</v>
      </c>
      <c r="D338" s="6">
        <f>VLOOKUP(C338,'WIP(재공품)'!$B$12:$E$493,4,0)</f>
        <v>7936.2499999999991</v>
      </c>
      <c r="E338" s="6">
        <f>IFERROR(VLOOKUP(C338,O.B.JUNE!$AA$7:$AG$448,2,0),0)</f>
        <v>68</v>
      </c>
      <c r="F338" s="6">
        <f>IFERROR(VLOOKUP(C338,O.B.JUNE!$AA$7:$AG$448,3,0),0)</f>
        <v>651</v>
      </c>
      <c r="G338" s="6">
        <f>IFERROR(VLOOKUP(C338,O.B.JUNE!$AA$7:$AD$448,4,0),0)</f>
        <v>74</v>
      </c>
      <c r="H338" s="6">
        <f t="shared" si="64"/>
        <v>793</v>
      </c>
      <c r="I338" s="6">
        <f>IFERROR(VLOOKUP(C338,O.B.JUNE!$AA$7:$AF$448,6,0),0)</f>
        <v>398</v>
      </c>
      <c r="J338" s="6"/>
      <c r="K338" s="6">
        <f>IFERROR(VLOOKUP(C338,O.B.JUNE!$AA$7:$AG$448,7,0),0)</f>
        <v>16780139</v>
      </c>
      <c r="L338" s="6">
        <f>SUMIF('JUNE (물량흐름)'!$C$13:$C$502,'Direct labour(직접노무비)'!C338,'JUNE (물량흐름)'!$H$13:$H$502)+SUMIF('JUNE (물량흐름)'!$C$13:$C$502,'Direct labour(직접노무비)'!C338,'JUNE (물량흐름)'!$I$13:$I$502)</f>
        <v>0</v>
      </c>
      <c r="M338" s="6">
        <f t="shared" si="65"/>
        <v>0</v>
      </c>
      <c r="N338" s="6">
        <f t="shared" si="66"/>
        <v>0</v>
      </c>
      <c r="O338" s="6">
        <f t="shared" si="72"/>
        <v>0</v>
      </c>
      <c r="P338" s="6">
        <f>SUMIF('JUNE (물량흐름)'!$C$13:$C$502,C338,'JUNE (물량흐름)'!$T$13:$T$502)+SUMIF('JUNE (물량흐름)'!$C$13:$C$502,C338,'JUNE (물량흐름)'!$V$13:$V$502)+SUMIF('JUNE (물량흐름)'!$C$13:$C$502,C338,'JUNE (물량흐름)'!$U$13:$U$502)-SUMIF('JUNE (물량흐름)'!$C$13:$C$502,C338,'JUNE (물량흐름)'!$Y$13:$Y$502)</f>
        <v>0</v>
      </c>
      <c r="Q338" s="6">
        <f t="shared" si="73"/>
        <v>0</v>
      </c>
      <c r="R338" s="6">
        <f>ROUND(IF(ISERROR(VLOOKUP(#REF!,'WIP(재공품)'!$B$12:$AB$38,13,0)),0,VLOOKUP(#REF!,'WIP(재공품)'!$B$12:$AB$38,13,0)),0)</f>
        <v>0</v>
      </c>
      <c r="S338" s="6">
        <f>IF(ISERROR(VLOOKUP(#REF!,'WIP(재공품)'!$B$12:$AB$38,10,0)),0,VLOOKUP(#REF!,'WIP(재공품)'!$B$12:$AB$38,10,0))</f>
        <v>0</v>
      </c>
      <c r="T338" s="6">
        <f>SUMIF('JUNE (물량흐름)'!$C$13:$C$502,'Direct labour(직접노무비)'!C338,'JUNE (물량흐름)'!$Y$13:$Y$502)</f>
        <v>8</v>
      </c>
      <c r="U338" s="6">
        <f t="shared" si="67"/>
        <v>169283</v>
      </c>
      <c r="V338" s="6">
        <f>ROUND(SUMIF('JUNE (물량흐름)'!$C$13:$C$502,'Direct labour(직접노무비)'!C338,'JUNE (물량흐름)'!$N$13:$N$502),0)</f>
        <v>68</v>
      </c>
      <c r="W338" s="6">
        <f>ROUND(SUMIF('JUNE (물량흐름)'!$C$13:$C$502,'Direct labour(직접노무비)'!C338,'JUNE (물량흐름)'!$O$13:$O$502),0)</f>
        <v>651</v>
      </c>
      <c r="X338" s="6">
        <f>ROUND(SUMIF('JUNE (물량흐름)'!$C$13:$C$502,'Direct labour(직접노무비)'!C338,'JUNE (물량흐름)'!$P$13:$P$502),0)</f>
        <v>66</v>
      </c>
      <c r="Y338" s="6">
        <f t="shared" si="68"/>
        <v>785</v>
      </c>
      <c r="Z338" s="6">
        <f t="shared" si="69"/>
        <v>392</v>
      </c>
      <c r="AA338" s="6">
        <f t="shared" si="74"/>
        <v>16610856</v>
      </c>
      <c r="AB338" s="389">
        <f t="shared" si="70"/>
        <v>0</v>
      </c>
      <c r="AC338" s="503">
        <f t="shared" si="63"/>
        <v>0</v>
      </c>
      <c r="AD338" s="389">
        <f t="shared" si="71"/>
        <v>0</v>
      </c>
    </row>
    <row r="339" spans="1:30" s="390" customFormat="1">
      <c r="A339" s="167">
        <v>334</v>
      </c>
      <c r="B339" s="267" t="str">
        <f>VLOOKUP(A339,'JUNE (물량흐름)'!$A$13:$C$502,2,0)</f>
        <v>ANN TAYLOR</v>
      </c>
      <c r="C339" s="240">
        <f>VLOOKUP(A339,'JUNE (물량흐름)'!$A$13:$C$502,3,0)</f>
        <v>466092</v>
      </c>
      <c r="D339" s="6">
        <f>VLOOKUP(C339,'WIP(재공품)'!$B$12:$E$493,4,0)</f>
        <v>41948.75</v>
      </c>
      <c r="E339" s="6">
        <f>IFERROR(VLOOKUP(C339,O.B.JUNE!$AA$7:$AG$448,2,0),0)</f>
        <v>0</v>
      </c>
      <c r="F339" s="6">
        <f>IFERROR(VLOOKUP(C339,O.B.JUNE!$AA$7:$AG$448,3,0),0)</f>
        <v>21</v>
      </c>
      <c r="G339" s="6">
        <f>IFERROR(VLOOKUP(C339,O.B.JUNE!$AA$7:$AD$448,4,0),0)</f>
        <v>182</v>
      </c>
      <c r="H339" s="6">
        <f t="shared" si="64"/>
        <v>203</v>
      </c>
      <c r="I339" s="6">
        <f>IFERROR(VLOOKUP(C339,O.B.JUNE!$AA$7:$AF$448,6,0),0)</f>
        <v>156</v>
      </c>
      <c r="J339" s="6"/>
      <c r="K339" s="6">
        <f>IFERROR(VLOOKUP(C339,O.B.JUNE!$AA$7:$AG$448,7,0),0)</f>
        <v>4588134</v>
      </c>
      <c r="L339" s="6">
        <f>SUMIF('JUNE (물량흐름)'!$C$13:$C$502,'Direct labour(직접노무비)'!C339,'JUNE (물량흐름)'!$H$13:$H$502)+SUMIF('JUNE (물량흐름)'!$C$13:$C$502,'Direct labour(직접노무비)'!C339,'JUNE (물량흐름)'!$I$13:$I$502)</f>
        <v>0</v>
      </c>
      <c r="M339" s="6">
        <f t="shared" si="65"/>
        <v>0</v>
      </c>
      <c r="N339" s="6">
        <f t="shared" si="66"/>
        <v>0</v>
      </c>
      <c r="O339" s="6">
        <f t="shared" si="72"/>
        <v>0</v>
      </c>
      <c r="P339" s="6">
        <f>SUMIF('JUNE (물량흐름)'!$C$13:$C$502,C339,'JUNE (물량흐름)'!$T$13:$T$502)+SUMIF('JUNE (물량흐름)'!$C$13:$C$502,C339,'JUNE (물량흐름)'!$V$13:$V$502)+SUMIF('JUNE (물량흐름)'!$C$13:$C$502,C339,'JUNE (물량흐름)'!$U$13:$U$502)-SUMIF('JUNE (물량흐름)'!$C$13:$C$502,C339,'JUNE (물량흐름)'!$Y$13:$Y$502)</f>
        <v>0</v>
      </c>
      <c r="Q339" s="6">
        <f t="shared" si="73"/>
        <v>0</v>
      </c>
      <c r="R339" s="6">
        <f>ROUND(IF(ISERROR(VLOOKUP(#REF!,'WIP(재공품)'!$B$12:$AB$38,13,0)),0,VLOOKUP(#REF!,'WIP(재공품)'!$B$12:$AB$38,13,0)),0)</f>
        <v>0</v>
      </c>
      <c r="S339" s="6">
        <f>IF(ISERROR(VLOOKUP(#REF!,'WIP(재공품)'!$B$12:$AB$38,10,0)),0,VLOOKUP(#REF!,'WIP(재공품)'!$B$12:$AB$38,10,0))</f>
        <v>0</v>
      </c>
      <c r="T339" s="6">
        <f>SUMIF('JUNE (물량흐름)'!$C$13:$C$502,'Direct labour(직접노무비)'!C339,'JUNE (물량흐름)'!$Y$13:$Y$502)</f>
        <v>0</v>
      </c>
      <c r="U339" s="6">
        <f t="shared" si="67"/>
        <v>0</v>
      </c>
      <c r="V339" s="6">
        <f>ROUND(SUMIF('JUNE (물량흐름)'!$C$13:$C$502,'Direct labour(직접노무비)'!C339,'JUNE (물량흐름)'!$N$13:$N$502),0)</f>
        <v>0</v>
      </c>
      <c r="W339" s="6">
        <f>ROUND(SUMIF('JUNE (물량흐름)'!$C$13:$C$502,'Direct labour(직접노무비)'!C339,'JUNE (물량흐름)'!$O$13:$O$502),0)</f>
        <v>21</v>
      </c>
      <c r="X339" s="6">
        <f>ROUND(SUMIF('JUNE (물량흐름)'!$C$13:$C$502,'Direct labour(직접노무비)'!C339,'JUNE (물량흐름)'!$P$13:$P$502),0)</f>
        <v>182</v>
      </c>
      <c r="Y339" s="6">
        <f t="shared" si="68"/>
        <v>203</v>
      </c>
      <c r="Z339" s="6">
        <f t="shared" si="69"/>
        <v>156</v>
      </c>
      <c r="AA339" s="6">
        <f t="shared" si="74"/>
        <v>4588134</v>
      </c>
      <c r="AB339" s="389">
        <f t="shared" si="70"/>
        <v>0</v>
      </c>
      <c r="AC339" s="503">
        <f t="shared" si="63"/>
        <v>0</v>
      </c>
      <c r="AD339" s="389">
        <f t="shared" si="71"/>
        <v>0</v>
      </c>
    </row>
    <row r="340" spans="1:30" s="390" customFormat="1">
      <c r="A340" s="167">
        <v>335</v>
      </c>
      <c r="B340" s="267" t="str">
        <f>VLOOKUP(A340,'JUNE (물량흐름)'!$A$13:$C$502,2,0)</f>
        <v>ANN TAYLOR</v>
      </c>
      <c r="C340" s="240">
        <f>VLOOKUP(A340,'JUNE (물량흐름)'!$A$13:$C$502,3,0)</f>
        <v>470322</v>
      </c>
      <c r="D340" s="6">
        <f>VLOOKUP(C340,'WIP(재공품)'!$B$12:$E$493,4,0)</f>
        <v>41948.75</v>
      </c>
      <c r="E340" s="6">
        <f>IFERROR(VLOOKUP(C340,O.B.JUNE!$AA$7:$AG$448,2,0),0)</f>
        <v>0</v>
      </c>
      <c r="F340" s="6">
        <f>IFERROR(VLOOKUP(C340,O.B.JUNE!$AA$7:$AG$448,3,0),0)</f>
        <v>90</v>
      </c>
      <c r="G340" s="6">
        <f>IFERROR(VLOOKUP(C340,O.B.JUNE!$AA$7:$AD$448,4,0),0)</f>
        <v>221</v>
      </c>
      <c r="H340" s="6">
        <f t="shared" si="64"/>
        <v>311</v>
      </c>
      <c r="I340" s="6">
        <f>IFERROR(VLOOKUP(C340,O.B.JUNE!$AA$7:$AF$448,6,0),0)</f>
        <v>222</v>
      </c>
      <c r="J340" s="6"/>
      <c r="K340" s="6">
        <f>IFERROR(VLOOKUP(C340,O.B.JUNE!$AA$7:$AG$448,7,0),0)</f>
        <v>2910637</v>
      </c>
      <c r="L340" s="6">
        <f>SUMIF('JUNE (물량흐름)'!$C$13:$C$502,'Direct labour(직접노무비)'!C340,'JUNE (물량흐름)'!$H$13:$H$502)+SUMIF('JUNE (물량흐름)'!$C$13:$C$502,'Direct labour(직접노무비)'!C340,'JUNE (물량흐름)'!$I$13:$I$502)</f>
        <v>0</v>
      </c>
      <c r="M340" s="6">
        <f t="shared" si="65"/>
        <v>0</v>
      </c>
      <c r="N340" s="6">
        <f t="shared" si="66"/>
        <v>0</v>
      </c>
      <c r="O340" s="6">
        <f t="shared" si="72"/>
        <v>0</v>
      </c>
      <c r="P340" s="6">
        <f>SUMIF('JUNE (물량흐름)'!$C$13:$C$502,C340,'JUNE (물량흐름)'!$T$13:$T$502)+SUMIF('JUNE (물량흐름)'!$C$13:$C$502,C340,'JUNE (물량흐름)'!$V$13:$V$502)+SUMIF('JUNE (물량흐름)'!$C$13:$C$502,C340,'JUNE (물량흐름)'!$U$13:$U$502)-SUMIF('JUNE (물량흐름)'!$C$13:$C$502,C340,'JUNE (물량흐름)'!$Y$13:$Y$502)</f>
        <v>0</v>
      </c>
      <c r="Q340" s="6">
        <f t="shared" si="73"/>
        <v>0</v>
      </c>
      <c r="R340" s="6">
        <f>ROUND(IF(ISERROR(VLOOKUP(#REF!,'WIP(재공품)'!$B$12:$AB$38,13,0)),0,VLOOKUP(#REF!,'WIP(재공품)'!$B$12:$AB$38,13,0)),0)</f>
        <v>0</v>
      </c>
      <c r="S340" s="6">
        <f>IF(ISERROR(VLOOKUP(#REF!,'WIP(재공품)'!$B$12:$AB$38,10,0)),0,VLOOKUP(#REF!,'WIP(재공품)'!$B$12:$AB$38,10,0))</f>
        <v>0</v>
      </c>
      <c r="T340" s="6">
        <f>SUMIF('JUNE (물량흐름)'!$C$13:$C$502,'Direct labour(직접노무비)'!C340,'JUNE (물량흐름)'!$Y$13:$Y$502)</f>
        <v>1</v>
      </c>
      <c r="U340" s="6">
        <f t="shared" si="67"/>
        <v>9359</v>
      </c>
      <c r="V340" s="6">
        <f>ROUND(SUMIF('JUNE (물량흐름)'!$C$13:$C$502,'Direct labour(직접노무비)'!C340,'JUNE (물량흐름)'!$N$13:$N$502),0)</f>
        <v>0</v>
      </c>
      <c r="W340" s="6">
        <f>ROUND(SUMIF('JUNE (물량흐름)'!$C$13:$C$502,'Direct labour(직접노무비)'!C340,'JUNE (물량흐름)'!$O$13:$O$502),0)</f>
        <v>90</v>
      </c>
      <c r="X340" s="6">
        <f>ROUND(SUMIF('JUNE (물량흐름)'!$C$13:$C$502,'Direct labour(직접노무비)'!C340,'JUNE (물량흐름)'!$P$13:$P$502),0)</f>
        <v>220</v>
      </c>
      <c r="Y340" s="6">
        <f t="shared" si="68"/>
        <v>310</v>
      </c>
      <c r="Z340" s="6">
        <f t="shared" si="69"/>
        <v>221</v>
      </c>
      <c r="AA340" s="6">
        <f t="shared" si="74"/>
        <v>2901278</v>
      </c>
      <c r="AB340" s="389">
        <f t="shared" si="70"/>
        <v>0</v>
      </c>
      <c r="AC340" s="503">
        <f t="shared" si="63"/>
        <v>0</v>
      </c>
      <c r="AD340" s="389">
        <f t="shared" si="71"/>
        <v>0</v>
      </c>
    </row>
    <row r="341" spans="1:30" s="390" customFormat="1">
      <c r="A341" s="167">
        <v>336</v>
      </c>
      <c r="B341" s="267" t="str">
        <f>VLOOKUP(A341,'JUNE (물량흐름)'!$A$13:$C$502,2,0)</f>
        <v>ANN TAYLOR</v>
      </c>
      <c r="C341" s="240">
        <f>VLOOKUP(A341,'JUNE (물량흐름)'!$A$13:$C$502,3,0)</f>
        <v>471823</v>
      </c>
      <c r="D341" s="6">
        <f>VLOOKUP(C341,'WIP(재공품)'!$B$12:$E$493,4,0)</f>
        <v>7936.2499999999991</v>
      </c>
      <c r="E341" s="6">
        <f>IFERROR(VLOOKUP(C341,O.B.JUNE!$AA$7:$AG$448,2,0),0)</f>
        <v>0</v>
      </c>
      <c r="F341" s="6">
        <f>IFERROR(VLOOKUP(C341,O.B.JUNE!$AA$7:$AG$448,3,0),0)</f>
        <v>125</v>
      </c>
      <c r="G341" s="6">
        <f>IFERROR(VLOOKUP(C341,O.B.JUNE!$AA$7:$AD$448,4,0),0)</f>
        <v>888</v>
      </c>
      <c r="H341" s="6">
        <f t="shared" si="64"/>
        <v>1013</v>
      </c>
      <c r="I341" s="6">
        <f>IFERROR(VLOOKUP(C341,O.B.JUNE!$AA$7:$AF$448,6,0),0)</f>
        <v>773</v>
      </c>
      <c r="J341" s="6"/>
      <c r="K341" s="6">
        <f>IFERROR(VLOOKUP(C341,O.B.JUNE!$AA$7:$AG$448,7,0),0)</f>
        <v>14497278</v>
      </c>
      <c r="L341" s="6">
        <f>SUMIF('JUNE (물량흐름)'!$C$13:$C$502,'Direct labour(직접노무비)'!C341,'JUNE (물량흐름)'!$H$13:$H$502)+SUMIF('JUNE (물량흐름)'!$C$13:$C$502,'Direct labour(직접노무비)'!C341,'JUNE (물량흐름)'!$I$13:$I$502)</f>
        <v>0</v>
      </c>
      <c r="M341" s="6">
        <f t="shared" si="65"/>
        <v>0</v>
      </c>
      <c r="N341" s="6">
        <f t="shared" si="66"/>
        <v>0</v>
      </c>
      <c r="O341" s="6">
        <f t="shared" si="72"/>
        <v>0</v>
      </c>
      <c r="P341" s="6">
        <f>SUMIF('JUNE (물량흐름)'!$C$13:$C$502,C341,'JUNE (물량흐름)'!$T$13:$T$502)+SUMIF('JUNE (물량흐름)'!$C$13:$C$502,C341,'JUNE (물량흐름)'!$V$13:$V$502)+SUMIF('JUNE (물량흐름)'!$C$13:$C$502,C341,'JUNE (물량흐름)'!$U$13:$U$502)-SUMIF('JUNE (물량흐름)'!$C$13:$C$502,C341,'JUNE (물량흐름)'!$Y$13:$Y$502)</f>
        <v>0</v>
      </c>
      <c r="Q341" s="6">
        <f t="shared" si="73"/>
        <v>0</v>
      </c>
      <c r="R341" s="6">
        <f>ROUND(IF(ISERROR(VLOOKUP(#REF!,'WIP(재공품)'!$B$12:$AB$38,13,0)),0,VLOOKUP(#REF!,'WIP(재공품)'!$B$12:$AB$38,13,0)),0)</f>
        <v>0</v>
      </c>
      <c r="S341" s="6">
        <f>IF(ISERROR(VLOOKUP(#REF!,'WIP(재공품)'!$B$12:$AB$38,10,0)),0,VLOOKUP(#REF!,'WIP(재공품)'!$B$12:$AB$38,10,0))</f>
        <v>0</v>
      </c>
      <c r="T341" s="6">
        <f>SUMIF('JUNE (물량흐름)'!$C$13:$C$502,'Direct labour(직접노무비)'!C341,'JUNE (물량흐름)'!$Y$13:$Y$502)</f>
        <v>0</v>
      </c>
      <c r="U341" s="6">
        <f t="shared" si="67"/>
        <v>0</v>
      </c>
      <c r="V341" s="6">
        <f>ROUND(SUMIF('JUNE (물량흐름)'!$C$13:$C$502,'Direct labour(직접노무비)'!C341,'JUNE (물량흐름)'!$N$13:$N$502),0)</f>
        <v>0</v>
      </c>
      <c r="W341" s="6">
        <f>ROUND(SUMIF('JUNE (물량흐름)'!$C$13:$C$502,'Direct labour(직접노무비)'!C341,'JUNE (물량흐름)'!$O$13:$O$502),0)</f>
        <v>125</v>
      </c>
      <c r="X341" s="6">
        <f>ROUND(SUMIF('JUNE (물량흐름)'!$C$13:$C$502,'Direct labour(직접노무비)'!C341,'JUNE (물량흐름)'!$P$13:$P$502),0)</f>
        <v>888</v>
      </c>
      <c r="Y341" s="6">
        <f t="shared" si="68"/>
        <v>1013</v>
      </c>
      <c r="Z341" s="6">
        <f t="shared" si="69"/>
        <v>773</v>
      </c>
      <c r="AA341" s="6">
        <f t="shared" si="74"/>
        <v>14497278</v>
      </c>
      <c r="AB341" s="389">
        <f t="shared" si="70"/>
        <v>0</v>
      </c>
      <c r="AC341" s="503">
        <f t="shared" si="63"/>
        <v>0</v>
      </c>
      <c r="AD341" s="389">
        <f t="shared" si="71"/>
        <v>0</v>
      </c>
    </row>
    <row r="342" spans="1:30" s="390" customFormat="1">
      <c r="A342" s="167">
        <v>337</v>
      </c>
      <c r="B342" s="267" t="str">
        <f>VLOOKUP(A342,'JUNE (물량흐름)'!$A$13:$C$502,2,0)</f>
        <v>ANN TAYLOR</v>
      </c>
      <c r="C342" s="240">
        <f>VLOOKUP(A342,'JUNE (물량흐름)'!$A$13:$C$502,3,0)</f>
        <v>471825</v>
      </c>
      <c r="D342" s="6">
        <f>VLOOKUP(C342,'WIP(재공품)'!$B$12:$E$493,4,0)</f>
        <v>7936.2499999999991</v>
      </c>
      <c r="E342" s="6">
        <f>IFERROR(VLOOKUP(C342,O.B.JUNE!$AA$7:$AG$448,2,0),0)</f>
        <v>0</v>
      </c>
      <c r="F342" s="6">
        <f>IFERROR(VLOOKUP(C342,O.B.JUNE!$AA$7:$AG$448,3,0),0)</f>
        <v>50</v>
      </c>
      <c r="G342" s="6">
        <f>IFERROR(VLOOKUP(C342,O.B.JUNE!$AA$7:$AD$448,4,0),0)</f>
        <v>0</v>
      </c>
      <c r="H342" s="6">
        <f t="shared" si="64"/>
        <v>50</v>
      </c>
      <c r="I342" s="6">
        <f>IFERROR(VLOOKUP(C342,O.B.JUNE!$AA$7:$AF$448,6,0),0)</f>
        <v>25</v>
      </c>
      <c r="J342" s="6"/>
      <c r="K342" s="6">
        <f>IFERROR(VLOOKUP(C342,O.B.JUNE!$AA$7:$AG$448,7,0),0)</f>
        <v>652135</v>
      </c>
      <c r="L342" s="6">
        <f>SUMIF('JUNE (물량흐름)'!$C$13:$C$502,'Direct labour(직접노무비)'!C342,'JUNE (물량흐름)'!$H$13:$H$502)+SUMIF('JUNE (물량흐름)'!$C$13:$C$502,'Direct labour(직접노무비)'!C342,'JUNE (물량흐름)'!$I$13:$I$502)</f>
        <v>0</v>
      </c>
      <c r="M342" s="6">
        <f t="shared" si="65"/>
        <v>0</v>
      </c>
      <c r="N342" s="6">
        <f t="shared" si="66"/>
        <v>0</v>
      </c>
      <c r="O342" s="6">
        <f t="shared" si="72"/>
        <v>0</v>
      </c>
      <c r="P342" s="6">
        <f>SUMIF('JUNE (물량흐름)'!$C$13:$C$502,C342,'JUNE (물량흐름)'!$T$13:$T$502)+SUMIF('JUNE (물량흐름)'!$C$13:$C$502,C342,'JUNE (물량흐름)'!$V$13:$V$502)+SUMIF('JUNE (물량흐름)'!$C$13:$C$502,C342,'JUNE (물량흐름)'!$U$13:$U$502)-SUMIF('JUNE (물량흐름)'!$C$13:$C$502,C342,'JUNE (물량흐름)'!$Y$13:$Y$502)</f>
        <v>0</v>
      </c>
      <c r="Q342" s="6">
        <f t="shared" si="73"/>
        <v>0</v>
      </c>
      <c r="R342" s="6">
        <f>ROUND(IF(ISERROR(VLOOKUP(#REF!,'WIP(재공품)'!$B$12:$AB$38,13,0)),0,VLOOKUP(#REF!,'WIP(재공품)'!$B$12:$AB$38,13,0)),0)</f>
        <v>0</v>
      </c>
      <c r="S342" s="6">
        <f>IF(ISERROR(VLOOKUP(#REF!,'WIP(재공품)'!$B$12:$AB$38,10,0)),0,VLOOKUP(#REF!,'WIP(재공품)'!$B$12:$AB$38,10,0))</f>
        <v>0</v>
      </c>
      <c r="T342" s="6">
        <f>SUMIF('JUNE (물량흐름)'!$C$13:$C$502,'Direct labour(직접노무비)'!C342,'JUNE (물량흐름)'!$Y$13:$Y$502)</f>
        <v>11</v>
      </c>
      <c r="U342" s="6">
        <f t="shared" si="67"/>
        <v>143470</v>
      </c>
      <c r="V342" s="6">
        <f>ROUND(SUMIF('JUNE (물량흐름)'!$C$13:$C$502,'Direct labour(직접노무비)'!C342,'JUNE (물량흐름)'!$N$13:$N$502),0)</f>
        <v>0</v>
      </c>
      <c r="W342" s="6">
        <f>ROUND(SUMIF('JUNE (물량흐름)'!$C$13:$C$502,'Direct labour(직접노무비)'!C342,'JUNE (물량흐름)'!$O$13:$O$502),0)</f>
        <v>39</v>
      </c>
      <c r="X342" s="6">
        <f>ROUND(SUMIF('JUNE (물량흐름)'!$C$13:$C$502,'Direct labour(직접노무비)'!C342,'JUNE (물량흐름)'!$P$13:$P$502),0)</f>
        <v>0</v>
      </c>
      <c r="Y342" s="6">
        <f t="shared" si="68"/>
        <v>39</v>
      </c>
      <c r="Z342" s="6">
        <f t="shared" si="69"/>
        <v>20</v>
      </c>
      <c r="AA342" s="6">
        <f t="shared" si="74"/>
        <v>508665</v>
      </c>
      <c r="AB342" s="389">
        <f t="shared" si="70"/>
        <v>0</v>
      </c>
      <c r="AC342" s="503">
        <f t="shared" si="63"/>
        <v>0</v>
      </c>
      <c r="AD342" s="389">
        <f t="shared" si="71"/>
        <v>0</v>
      </c>
    </row>
    <row r="343" spans="1:30" s="390" customFormat="1">
      <c r="A343" s="167">
        <v>338</v>
      </c>
      <c r="B343" s="267" t="str">
        <f>VLOOKUP(A343,'JUNE (물량흐름)'!$A$13:$C$502,2,0)</f>
        <v>ANN TAYLOR</v>
      </c>
      <c r="C343" s="240">
        <f>VLOOKUP(A343,'JUNE (물량흐름)'!$A$13:$C$502,3,0)</f>
        <v>472140</v>
      </c>
      <c r="D343" s="6">
        <f>VLOOKUP(C343,'WIP(재공품)'!$B$12:$E$493,4,0)</f>
        <v>7936.2499999999991</v>
      </c>
      <c r="E343" s="6">
        <f>IFERROR(VLOOKUP(C343,O.B.JUNE!$AA$7:$AG$448,2,0),0)</f>
        <v>0</v>
      </c>
      <c r="F343" s="6">
        <f>IFERROR(VLOOKUP(C343,O.B.JUNE!$AA$7:$AG$448,3,0),0)</f>
        <v>78</v>
      </c>
      <c r="G343" s="6">
        <f>IFERROR(VLOOKUP(C343,O.B.JUNE!$AA$7:$AD$448,4,0),0)</f>
        <v>79</v>
      </c>
      <c r="H343" s="6">
        <f t="shared" si="64"/>
        <v>157</v>
      </c>
      <c r="I343" s="6">
        <f>IFERROR(VLOOKUP(C343,O.B.JUNE!$AA$7:$AF$448,6,0),0)</f>
        <v>102</v>
      </c>
      <c r="J343" s="6"/>
      <c r="K343" s="6">
        <f>IFERROR(VLOOKUP(C343,O.B.JUNE!$AA$7:$AG$448,7,0),0)</f>
        <v>2318412</v>
      </c>
      <c r="L343" s="6">
        <f>SUMIF('JUNE (물량흐름)'!$C$13:$C$502,'Direct labour(직접노무비)'!C343,'JUNE (물량흐름)'!$H$13:$H$502)+SUMIF('JUNE (물량흐름)'!$C$13:$C$502,'Direct labour(직접노무비)'!C343,'JUNE (물량흐름)'!$I$13:$I$502)</f>
        <v>0</v>
      </c>
      <c r="M343" s="6">
        <f t="shared" si="65"/>
        <v>0</v>
      </c>
      <c r="N343" s="6">
        <f t="shared" si="66"/>
        <v>0</v>
      </c>
      <c r="O343" s="6">
        <f t="shared" si="72"/>
        <v>0</v>
      </c>
      <c r="P343" s="6">
        <f>SUMIF('JUNE (물량흐름)'!$C$13:$C$502,C343,'JUNE (물량흐름)'!$T$13:$T$502)+SUMIF('JUNE (물량흐름)'!$C$13:$C$502,C343,'JUNE (물량흐름)'!$V$13:$V$502)+SUMIF('JUNE (물량흐름)'!$C$13:$C$502,C343,'JUNE (물량흐름)'!$U$13:$U$502)-SUMIF('JUNE (물량흐름)'!$C$13:$C$502,C343,'JUNE (물량흐름)'!$Y$13:$Y$502)</f>
        <v>0</v>
      </c>
      <c r="Q343" s="6">
        <f t="shared" si="73"/>
        <v>0</v>
      </c>
      <c r="R343" s="6">
        <f>ROUND(IF(ISERROR(VLOOKUP(#REF!,'WIP(재공품)'!$B$12:$AB$38,13,0)),0,VLOOKUP(#REF!,'WIP(재공품)'!$B$12:$AB$38,13,0)),0)</f>
        <v>0</v>
      </c>
      <c r="S343" s="6">
        <f>IF(ISERROR(VLOOKUP(#REF!,'WIP(재공품)'!$B$12:$AB$38,10,0)),0,VLOOKUP(#REF!,'WIP(재공품)'!$B$12:$AB$38,10,0))</f>
        <v>0</v>
      </c>
      <c r="T343" s="6">
        <f>SUMIF('JUNE (물량흐름)'!$C$13:$C$502,'Direct labour(직접노무비)'!C343,'JUNE (물량흐름)'!$Y$13:$Y$502)</f>
        <v>0</v>
      </c>
      <c r="U343" s="6">
        <f t="shared" si="67"/>
        <v>0</v>
      </c>
      <c r="V343" s="6">
        <f>ROUND(SUMIF('JUNE (물량흐름)'!$C$13:$C$502,'Direct labour(직접노무비)'!C343,'JUNE (물량흐름)'!$N$13:$N$502),0)</f>
        <v>0</v>
      </c>
      <c r="W343" s="6">
        <f>ROUND(SUMIF('JUNE (물량흐름)'!$C$13:$C$502,'Direct labour(직접노무비)'!C343,'JUNE (물량흐름)'!$O$13:$O$502),0)</f>
        <v>78</v>
      </c>
      <c r="X343" s="6">
        <f>ROUND(SUMIF('JUNE (물량흐름)'!$C$13:$C$502,'Direct labour(직접노무비)'!C343,'JUNE (물량흐름)'!$P$13:$P$502),0)</f>
        <v>79</v>
      </c>
      <c r="Y343" s="6">
        <f t="shared" si="68"/>
        <v>157</v>
      </c>
      <c r="Z343" s="6">
        <f t="shared" si="69"/>
        <v>102</v>
      </c>
      <c r="AA343" s="6">
        <f t="shared" si="74"/>
        <v>2318412</v>
      </c>
      <c r="AB343" s="389">
        <f t="shared" si="70"/>
        <v>0</v>
      </c>
      <c r="AC343" s="503">
        <f t="shared" si="63"/>
        <v>0</v>
      </c>
      <c r="AD343" s="389">
        <f t="shared" si="71"/>
        <v>0</v>
      </c>
    </row>
    <row r="344" spans="1:30" s="390" customFormat="1">
      <c r="A344" s="167">
        <v>339</v>
      </c>
      <c r="B344" s="267" t="str">
        <f>VLOOKUP(A344,'JUNE (물량흐름)'!$A$13:$C$502,2,0)</f>
        <v>ANN TAYLOR</v>
      </c>
      <c r="C344" s="240">
        <f>VLOOKUP(A344,'JUNE (물량흐름)'!$A$13:$C$502,3,0)</f>
        <v>472629</v>
      </c>
      <c r="D344" s="6">
        <f>VLOOKUP(C344,'WIP(재공품)'!$B$12:$E$493,4,0)</f>
        <v>7936.2499999999991</v>
      </c>
      <c r="E344" s="6">
        <f>IFERROR(VLOOKUP(C344,O.B.JUNE!$AA$7:$AG$448,2,0),0)</f>
        <v>0</v>
      </c>
      <c r="F344" s="6">
        <f>IFERROR(VLOOKUP(C344,O.B.JUNE!$AA$7:$AG$448,3,0),0)</f>
        <v>0</v>
      </c>
      <c r="G344" s="6">
        <f>IFERROR(VLOOKUP(C344,O.B.JUNE!$AA$7:$AD$448,4,0),0)</f>
        <v>476</v>
      </c>
      <c r="H344" s="6">
        <f t="shared" si="64"/>
        <v>476</v>
      </c>
      <c r="I344" s="6">
        <f>IFERROR(VLOOKUP(C344,O.B.JUNE!$AA$7:$AF$448,6,0),0)</f>
        <v>381</v>
      </c>
      <c r="J344" s="6"/>
      <c r="K344" s="6">
        <f>IFERROR(VLOOKUP(C344,O.B.JUNE!$AA$7:$AG$448,7,0),0)</f>
        <v>4282027</v>
      </c>
      <c r="L344" s="6">
        <f>SUMIF('JUNE (물량흐름)'!$C$13:$C$502,'Direct labour(직접노무비)'!C344,'JUNE (물량흐름)'!$H$13:$H$502)+SUMIF('JUNE (물량흐름)'!$C$13:$C$502,'Direct labour(직접노무비)'!C344,'JUNE (물량흐름)'!$I$13:$I$502)</f>
        <v>0</v>
      </c>
      <c r="M344" s="6">
        <f t="shared" si="65"/>
        <v>0</v>
      </c>
      <c r="N344" s="6">
        <f t="shared" si="66"/>
        <v>0</v>
      </c>
      <c r="O344" s="6">
        <f t="shared" si="72"/>
        <v>0</v>
      </c>
      <c r="P344" s="6">
        <f>SUMIF('JUNE (물량흐름)'!$C$13:$C$502,C344,'JUNE (물량흐름)'!$T$13:$T$502)+SUMIF('JUNE (물량흐름)'!$C$13:$C$502,C344,'JUNE (물량흐름)'!$V$13:$V$502)+SUMIF('JUNE (물량흐름)'!$C$13:$C$502,C344,'JUNE (물량흐름)'!$U$13:$U$502)-SUMIF('JUNE (물량흐름)'!$C$13:$C$502,C344,'JUNE (물량흐름)'!$Y$13:$Y$502)</f>
        <v>0</v>
      </c>
      <c r="Q344" s="6">
        <f t="shared" si="73"/>
        <v>0</v>
      </c>
      <c r="R344" s="6">
        <f>ROUND(IF(ISERROR(VLOOKUP(#REF!,'WIP(재공품)'!$B$12:$AB$38,13,0)),0,VLOOKUP(#REF!,'WIP(재공품)'!$B$12:$AB$38,13,0)),0)</f>
        <v>0</v>
      </c>
      <c r="S344" s="6">
        <f>IF(ISERROR(VLOOKUP(#REF!,'WIP(재공품)'!$B$12:$AB$38,10,0)),0,VLOOKUP(#REF!,'WIP(재공품)'!$B$12:$AB$38,10,0))</f>
        <v>0</v>
      </c>
      <c r="T344" s="6">
        <f>SUMIF('JUNE (물량흐름)'!$C$13:$C$502,'Direct labour(직접노무비)'!C344,'JUNE (물량흐름)'!$Y$13:$Y$502)</f>
        <v>0</v>
      </c>
      <c r="U344" s="6">
        <f t="shared" si="67"/>
        <v>0</v>
      </c>
      <c r="V344" s="6">
        <f>ROUND(SUMIF('JUNE (물량흐름)'!$C$13:$C$502,'Direct labour(직접노무비)'!C344,'JUNE (물량흐름)'!$N$13:$N$502),0)</f>
        <v>0</v>
      </c>
      <c r="W344" s="6">
        <f>ROUND(SUMIF('JUNE (물량흐름)'!$C$13:$C$502,'Direct labour(직접노무비)'!C344,'JUNE (물량흐름)'!$O$13:$O$502),0)</f>
        <v>0</v>
      </c>
      <c r="X344" s="6">
        <f>ROUND(SUMIF('JUNE (물량흐름)'!$C$13:$C$502,'Direct labour(직접노무비)'!C344,'JUNE (물량흐름)'!$P$13:$P$502),0)</f>
        <v>476</v>
      </c>
      <c r="Y344" s="6">
        <f t="shared" si="68"/>
        <v>476</v>
      </c>
      <c r="Z344" s="6">
        <f t="shared" si="69"/>
        <v>381</v>
      </c>
      <c r="AA344" s="6">
        <f t="shared" si="74"/>
        <v>4282027</v>
      </c>
      <c r="AB344" s="389">
        <f t="shared" si="70"/>
        <v>0</v>
      </c>
      <c r="AC344" s="503">
        <f t="shared" si="63"/>
        <v>0</v>
      </c>
      <c r="AD344" s="389">
        <f t="shared" si="71"/>
        <v>0</v>
      </c>
    </row>
    <row r="345" spans="1:30" s="390" customFormat="1">
      <c r="A345" s="167">
        <v>340</v>
      </c>
      <c r="B345" s="267" t="str">
        <f>VLOOKUP(A345,'JUNE (물량흐름)'!$A$13:$C$502,2,0)</f>
        <v>ALFANI</v>
      </c>
      <c r="C345" s="240">
        <f>VLOOKUP(A345,'JUNE (물량흐름)'!$A$13:$C$502,3,0)</f>
        <v>100015200</v>
      </c>
      <c r="D345" s="6">
        <f>VLOOKUP(C345,'WIP(재공품)'!$B$12:$E$493,4,0)</f>
        <v>7936.2499999999991</v>
      </c>
      <c r="E345" s="6">
        <f>IFERROR(VLOOKUP(C345,O.B.JUNE!$AA$7:$AG$448,2,0),0)</f>
        <v>0</v>
      </c>
      <c r="F345" s="6">
        <f>IFERROR(VLOOKUP(C345,O.B.JUNE!$AA$7:$AG$448,3,0),0)</f>
        <v>110</v>
      </c>
      <c r="G345" s="6">
        <f>IFERROR(VLOOKUP(C345,O.B.JUNE!$AA$7:$AD$448,4,0),0)</f>
        <v>139</v>
      </c>
      <c r="H345" s="6">
        <f t="shared" si="64"/>
        <v>249</v>
      </c>
      <c r="I345" s="6">
        <f>IFERROR(VLOOKUP(C345,O.B.JUNE!$AA$7:$AF$448,6,0),0)</f>
        <v>166</v>
      </c>
      <c r="J345" s="6"/>
      <c r="K345" s="6">
        <f>IFERROR(VLOOKUP(C345,O.B.JUNE!$AA$7:$AG$448,7,0),0)</f>
        <v>5205345</v>
      </c>
      <c r="L345" s="6">
        <f>SUMIF('JUNE (물량흐름)'!$C$13:$C$502,'Direct labour(직접노무비)'!C345,'JUNE (물량흐름)'!$H$13:$H$502)+SUMIF('JUNE (물량흐름)'!$C$13:$C$502,'Direct labour(직접노무비)'!C345,'JUNE (물량흐름)'!$I$13:$I$502)</f>
        <v>0</v>
      </c>
      <c r="M345" s="6">
        <f t="shared" si="65"/>
        <v>0</v>
      </c>
      <c r="N345" s="6">
        <f t="shared" si="66"/>
        <v>0</v>
      </c>
      <c r="O345" s="6">
        <f t="shared" si="72"/>
        <v>0</v>
      </c>
      <c r="P345" s="6">
        <f>SUMIF('JUNE (물량흐름)'!$C$13:$C$502,C345,'JUNE (물량흐름)'!$T$13:$T$502)+SUMIF('JUNE (물량흐름)'!$C$13:$C$502,C345,'JUNE (물량흐름)'!$V$13:$V$502)+SUMIF('JUNE (물량흐름)'!$C$13:$C$502,C345,'JUNE (물량흐름)'!$U$13:$U$502)-SUMIF('JUNE (물량흐름)'!$C$13:$C$502,C345,'JUNE (물량흐름)'!$Y$13:$Y$502)</f>
        <v>0</v>
      </c>
      <c r="Q345" s="6">
        <f t="shared" si="73"/>
        <v>0</v>
      </c>
      <c r="R345" s="6">
        <f>ROUND(IF(ISERROR(VLOOKUP(#REF!,'WIP(재공품)'!$B$12:$AB$38,13,0)),0,VLOOKUP(#REF!,'WIP(재공품)'!$B$12:$AB$38,13,0)),0)</f>
        <v>0</v>
      </c>
      <c r="S345" s="6">
        <f>IF(ISERROR(VLOOKUP(#REF!,'WIP(재공품)'!$B$12:$AB$38,10,0)),0,VLOOKUP(#REF!,'WIP(재공품)'!$B$12:$AB$38,10,0))</f>
        <v>0</v>
      </c>
      <c r="T345" s="6">
        <f>SUMIF('JUNE (물량흐름)'!$C$13:$C$502,'Direct labour(직접노무비)'!C345,'JUNE (물량흐름)'!$Y$13:$Y$502)</f>
        <v>0</v>
      </c>
      <c r="U345" s="6">
        <f t="shared" si="67"/>
        <v>0</v>
      </c>
      <c r="V345" s="6">
        <f>ROUND(SUMIF('JUNE (물량흐름)'!$C$13:$C$502,'Direct labour(직접노무비)'!C345,'JUNE (물량흐름)'!$N$13:$N$502),0)</f>
        <v>0</v>
      </c>
      <c r="W345" s="6">
        <f>ROUND(SUMIF('JUNE (물량흐름)'!$C$13:$C$502,'Direct labour(직접노무비)'!C345,'JUNE (물량흐름)'!$O$13:$O$502),0)</f>
        <v>110</v>
      </c>
      <c r="X345" s="6">
        <f>ROUND(SUMIF('JUNE (물량흐름)'!$C$13:$C$502,'Direct labour(직접노무비)'!C345,'JUNE (물량흐름)'!$P$13:$P$502),0)</f>
        <v>139</v>
      </c>
      <c r="Y345" s="6">
        <f t="shared" si="68"/>
        <v>249</v>
      </c>
      <c r="Z345" s="6">
        <f t="shared" si="69"/>
        <v>166</v>
      </c>
      <c r="AA345" s="6">
        <f t="shared" si="74"/>
        <v>5205345</v>
      </c>
      <c r="AB345" s="389">
        <f t="shared" si="70"/>
        <v>0</v>
      </c>
      <c r="AC345" s="503">
        <f t="shared" si="63"/>
        <v>0</v>
      </c>
      <c r="AD345" s="389">
        <f t="shared" si="71"/>
        <v>0</v>
      </c>
    </row>
    <row r="346" spans="1:30" s="390" customFormat="1">
      <c r="A346" s="167">
        <v>341</v>
      </c>
      <c r="B346" s="267" t="str">
        <f>VLOOKUP(A346,'JUNE (물량흐름)'!$A$13:$C$502,2,0)</f>
        <v>ALFANI</v>
      </c>
      <c r="C346" s="240">
        <f>VLOOKUP(A346,'JUNE (물량흐름)'!$A$13:$C$502,3,0)</f>
        <v>100015306</v>
      </c>
      <c r="D346" s="6">
        <f>VLOOKUP(C346,'WIP(재공품)'!$B$12:$E$493,4,0)</f>
        <v>53286.25</v>
      </c>
      <c r="E346" s="6">
        <f>IFERROR(VLOOKUP(C346,O.B.JUNE!$AA$7:$AG$448,2,0),0)</f>
        <v>0</v>
      </c>
      <c r="F346" s="6">
        <f>IFERROR(VLOOKUP(C346,O.B.JUNE!$AA$7:$AG$448,3,0),0)</f>
        <v>0</v>
      </c>
      <c r="G346" s="6">
        <f>IFERROR(VLOOKUP(C346,O.B.JUNE!$AA$7:$AD$448,4,0),0)</f>
        <v>85</v>
      </c>
      <c r="H346" s="6">
        <f t="shared" si="64"/>
        <v>85</v>
      </c>
      <c r="I346" s="6">
        <f>IFERROR(VLOOKUP(C346,O.B.JUNE!$AA$7:$AF$448,6,0),0)</f>
        <v>68</v>
      </c>
      <c r="J346" s="6"/>
      <c r="K346" s="6">
        <f>IFERROR(VLOOKUP(C346,O.B.JUNE!$AA$7:$AG$448,7,0),0)</f>
        <v>791124</v>
      </c>
      <c r="L346" s="6">
        <f>SUMIF('JUNE (물량흐름)'!$C$13:$C$502,'Direct labour(직접노무비)'!C346,'JUNE (물량흐름)'!$H$13:$H$502)+SUMIF('JUNE (물량흐름)'!$C$13:$C$502,'Direct labour(직접노무비)'!C346,'JUNE (물량흐름)'!$I$13:$I$502)</f>
        <v>0</v>
      </c>
      <c r="M346" s="6">
        <f t="shared" si="65"/>
        <v>0</v>
      </c>
      <c r="N346" s="6">
        <f t="shared" si="66"/>
        <v>0</v>
      </c>
      <c r="O346" s="6">
        <f t="shared" si="72"/>
        <v>0</v>
      </c>
      <c r="P346" s="6">
        <f>SUMIF('JUNE (물량흐름)'!$C$13:$C$502,C346,'JUNE (물량흐름)'!$T$13:$T$502)+SUMIF('JUNE (물량흐름)'!$C$13:$C$502,C346,'JUNE (물량흐름)'!$V$13:$V$502)+SUMIF('JUNE (물량흐름)'!$C$13:$C$502,C346,'JUNE (물량흐름)'!$U$13:$U$502)-SUMIF('JUNE (물량흐름)'!$C$13:$C$502,C346,'JUNE (물량흐름)'!$Y$13:$Y$502)</f>
        <v>0</v>
      </c>
      <c r="Q346" s="6">
        <f t="shared" si="73"/>
        <v>0</v>
      </c>
      <c r="R346" s="6">
        <f>ROUND(IF(ISERROR(VLOOKUP(#REF!,'WIP(재공품)'!$B$12:$AB$38,13,0)),0,VLOOKUP(#REF!,'WIP(재공품)'!$B$12:$AB$38,13,0)),0)</f>
        <v>0</v>
      </c>
      <c r="S346" s="6">
        <f>IF(ISERROR(VLOOKUP(#REF!,'WIP(재공품)'!$B$12:$AB$38,10,0)),0,VLOOKUP(#REF!,'WIP(재공품)'!$B$12:$AB$38,10,0))</f>
        <v>0</v>
      </c>
      <c r="T346" s="6">
        <f>SUMIF('JUNE (물량흐름)'!$C$13:$C$502,'Direct labour(직접노무비)'!C346,'JUNE (물량흐름)'!$Y$13:$Y$502)</f>
        <v>0</v>
      </c>
      <c r="U346" s="6">
        <f t="shared" si="67"/>
        <v>0</v>
      </c>
      <c r="V346" s="6">
        <f>ROUND(SUMIF('JUNE (물량흐름)'!$C$13:$C$502,'Direct labour(직접노무비)'!C346,'JUNE (물량흐름)'!$N$13:$N$502),0)</f>
        <v>0</v>
      </c>
      <c r="W346" s="6">
        <f>ROUND(SUMIF('JUNE (물량흐름)'!$C$13:$C$502,'Direct labour(직접노무비)'!C346,'JUNE (물량흐름)'!$O$13:$O$502),0)</f>
        <v>0</v>
      </c>
      <c r="X346" s="6">
        <f>ROUND(SUMIF('JUNE (물량흐름)'!$C$13:$C$502,'Direct labour(직접노무비)'!C346,'JUNE (물량흐름)'!$P$13:$P$502),0)</f>
        <v>85</v>
      </c>
      <c r="Y346" s="6">
        <f t="shared" si="68"/>
        <v>85</v>
      </c>
      <c r="Z346" s="6">
        <f t="shared" si="69"/>
        <v>68</v>
      </c>
      <c r="AA346" s="6">
        <f t="shared" si="74"/>
        <v>791124</v>
      </c>
      <c r="AB346" s="389">
        <f t="shared" si="70"/>
        <v>0</v>
      </c>
      <c r="AC346" s="503">
        <f t="shared" si="63"/>
        <v>0</v>
      </c>
      <c r="AD346" s="389">
        <f t="shared" si="71"/>
        <v>0</v>
      </c>
    </row>
    <row r="347" spans="1:30" s="390" customFormat="1">
      <c r="A347" s="167">
        <v>342</v>
      </c>
      <c r="B347" s="267" t="str">
        <f>VLOOKUP(A347,'JUNE (물량흐름)'!$A$13:$C$502,2,0)</f>
        <v>ALFANI</v>
      </c>
      <c r="C347" s="240">
        <f>VLOOKUP(A347,'JUNE (물량흐름)'!$A$13:$C$502,3,0)</f>
        <v>100016101</v>
      </c>
      <c r="D347" s="6">
        <f>VLOOKUP(C347,'WIP(재공품)'!$B$12:$E$493,4,0)</f>
        <v>46710.5</v>
      </c>
      <c r="E347" s="6">
        <f>IFERROR(VLOOKUP(C347,O.B.JUNE!$AA$7:$AG$448,2,0),0)</f>
        <v>0</v>
      </c>
      <c r="F347" s="6">
        <f>IFERROR(VLOOKUP(C347,O.B.JUNE!$AA$7:$AG$448,3,0),0)</f>
        <v>196</v>
      </c>
      <c r="G347" s="6">
        <f>IFERROR(VLOOKUP(C347,O.B.JUNE!$AA$7:$AD$448,4,0),0)</f>
        <v>105</v>
      </c>
      <c r="H347" s="6">
        <f t="shared" si="64"/>
        <v>301</v>
      </c>
      <c r="I347" s="6">
        <f>IFERROR(VLOOKUP(C347,O.B.JUNE!$AA$7:$AF$448,6,0),0)</f>
        <v>182</v>
      </c>
      <c r="J347" s="6"/>
      <c r="K347" s="6">
        <f>IFERROR(VLOOKUP(C347,O.B.JUNE!$AA$7:$AG$448,7,0),0)</f>
        <v>2454283</v>
      </c>
      <c r="L347" s="6">
        <f>SUMIF('JUNE (물량흐름)'!$C$13:$C$502,'Direct labour(직접노무비)'!C347,'JUNE (물량흐름)'!$H$13:$H$502)+SUMIF('JUNE (물량흐름)'!$C$13:$C$502,'Direct labour(직접노무비)'!C347,'JUNE (물량흐름)'!$I$13:$I$502)</f>
        <v>0</v>
      </c>
      <c r="M347" s="6">
        <f t="shared" si="65"/>
        <v>0</v>
      </c>
      <c r="N347" s="6">
        <f t="shared" si="66"/>
        <v>0</v>
      </c>
      <c r="O347" s="6">
        <f t="shared" si="72"/>
        <v>0</v>
      </c>
      <c r="P347" s="6">
        <f>SUMIF('JUNE (물량흐름)'!$C$13:$C$502,C347,'JUNE (물량흐름)'!$T$13:$T$502)+SUMIF('JUNE (물량흐름)'!$C$13:$C$502,C347,'JUNE (물량흐름)'!$V$13:$V$502)+SUMIF('JUNE (물량흐름)'!$C$13:$C$502,C347,'JUNE (물량흐름)'!$U$13:$U$502)-SUMIF('JUNE (물량흐름)'!$C$13:$C$502,C347,'JUNE (물량흐름)'!$Y$13:$Y$502)</f>
        <v>25</v>
      </c>
      <c r="Q347" s="6">
        <f t="shared" si="73"/>
        <v>203844</v>
      </c>
      <c r="R347" s="6">
        <f>ROUND(IF(ISERROR(VLOOKUP(#REF!,'WIP(재공품)'!$B$12:$AB$38,13,0)),0,VLOOKUP(#REF!,'WIP(재공품)'!$B$12:$AB$38,13,0)),0)</f>
        <v>0</v>
      </c>
      <c r="S347" s="6">
        <f>IF(ISERROR(VLOOKUP(#REF!,'WIP(재공품)'!$B$12:$AB$38,10,0)),0,VLOOKUP(#REF!,'WIP(재공품)'!$B$12:$AB$38,10,0))</f>
        <v>0</v>
      </c>
      <c r="T347" s="6">
        <f>SUMIF('JUNE (물량흐름)'!$C$13:$C$502,'Direct labour(직접노무비)'!C347,'JUNE (물량흐름)'!$Y$13:$Y$502)</f>
        <v>5</v>
      </c>
      <c r="U347" s="6">
        <f t="shared" si="67"/>
        <v>40769</v>
      </c>
      <c r="V347" s="6">
        <f>ROUND(SUMIF('JUNE (물량흐름)'!$C$13:$C$502,'Direct labour(직접노무비)'!C347,'JUNE (물량흐름)'!$N$13:$N$502),0)</f>
        <v>0</v>
      </c>
      <c r="W347" s="6">
        <f>ROUND(SUMIF('JUNE (물량흐름)'!$C$13:$C$502,'Direct labour(직접노무비)'!C347,'JUNE (물량흐름)'!$O$13:$O$502),0)</f>
        <v>196</v>
      </c>
      <c r="X347" s="6">
        <f>ROUND(SUMIF('JUNE (물량흐름)'!$C$13:$C$502,'Direct labour(직접노무비)'!C347,'JUNE (물량흐름)'!$P$13:$P$502),0)</f>
        <v>75</v>
      </c>
      <c r="Y347" s="6">
        <f t="shared" si="68"/>
        <v>271</v>
      </c>
      <c r="Z347" s="6">
        <f t="shared" si="69"/>
        <v>158</v>
      </c>
      <c r="AA347" s="6">
        <f t="shared" si="74"/>
        <v>2209670</v>
      </c>
      <c r="AB347" s="389">
        <f t="shared" si="70"/>
        <v>0</v>
      </c>
      <c r="AC347" s="503">
        <f t="shared" si="63"/>
        <v>0</v>
      </c>
      <c r="AD347" s="389">
        <f t="shared" si="71"/>
        <v>0</v>
      </c>
    </row>
    <row r="348" spans="1:30" s="390" customFormat="1">
      <c r="A348" s="167">
        <v>343</v>
      </c>
      <c r="B348" s="267" t="str">
        <f>VLOOKUP(A348,'JUNE (물량흐름)'!$A$13:$C$502,2,0)</f>
        <v>ALFANI</v>
      </c>
      <c r="C348" s="240">
        <f>VLOOKUP(A348,'JUNE (물량흐름)'!$A$13:$C$502,3,0)</f>
        <v>100017974</v>
      </c>
      <c r="D348" s="6">
        <f>VLOOKUP(C348,'WIP(재공품)'!$B$12:$E$493,4,0)</f>
        <v>45576.749999999993</v>
      </c>
      <c r="E348" s="6">
        <f>IFERROR(VLOOKUP(C348,O.B.JUNE!$AA$7:$AG$448,2,0),0)</f>
        <v>63</v>
      </c>
      <c r="F348" s="6">
        <f>IFERROR(VLOOKUP(C348,O.B.JUNE!$AA$7:$AG$448,3,0),0)</f>
        <v>118</v>
      </c>
      <c r="G348" s="6">
        <f>IFERROR(VLOOKUP(C348,O.B.JUNE!$AA$7:$AD$448,4,0),0)</f>
        <v>120</v>
      </c>
      <c r="H348" s="6">
        <f t="shared" si="64"/>
        <v>301</v>
      </c>
      <c r="I348" s="6">
        <f>IFERROR(VLOOKUP(C348,O.B.JUNE!$AA$7:$AF$448,6,0),0)</f>
        <v>168</v>
      </c>
      <c r="J348" s="6"/>
      <c r="K348" s="6">
        <f>IFERROR(VLOOKUP(C348,O.B.JUNE!$AA$7:$AG$448,7,0),0)</f>
        <v>2465711</v>
      </c>
      <c r="L348" s="6">
        <f>SUMIF('JUNE (물량흐름)'!$C$13:$C$502,'Direct labour(직접노무비)'!C348,'JUNE (물량흐름)'!$H$13:$H$502)+SUMIF('JUNE (물량흐름)'!$C$13:$C$502,'Direct labour(직접노무비)'!C348,'JUNE (물량흐름)'!$I$13:$I$502)</f>
        <v>0</v>
      </c>
      <c r="M348" s="6">
        <f t="shared" si="65"/>
        <v>0</v>
      </c>
      <c r="N348" s="6">
        <f t="shared" si="66"/>
        <v>0</v>
      </c>
      <c r="O348" s="6">
        <f t="shared" si="72"/>
        <v>0</v>
      </c>
      <c r="P348" s="6">
        <f>SUMIF('JUNE (물량흐름)'!$C$13:$C$502,C348,'JUNE (물량흐름)'!$T$13:$T$502)+SUMIF('JUNE (물량흐름)'!$C$13:$C$502,C348,'JUNE (물량흐름)'!$V$13:$V$502)+SUMIF('JUNE (물량흐름)'!$C$13:$C$502,C348,'JUNE (물량흐름)'!$U$13:$U$502)-SUMIF('JUNE (물량흐름)'!$C$13:$C$502,C348,'JUNE (물량흐름)'!$Y$13:$Y$502)</f>
        <v>0</v>
      </c>
      <c r="Q348" s="6">
        <f t="shared" si="73"/>
        <v>0</v>
      </c>
      <c r="R348" s="6">
        <f>ROUND(IF(ISERROR(VLOOKUP(#REF!,'WIP(재공품)'!$B$12:$AB$38,13,0)),0,VLOOKUP(#REF!,'WIP(재공품)'!$B$12:$AB$38,13,0)),0)</f>
        <v>0</v>
      </c>
      <c r="S348" s="6">
        <f>IF(ISERROR(VLOOKUP(#REF!,'WIP(재공품)'!$B$12:$AB$38,10,0)),0,VLOOKUP(#REF!,'WIP(재공품)'!$B$12:$AB$38,10,0))</f>
        <v>0</v>
      </c>
      <c r="T348" s="6">
        <f>SUMIF('JUNE (물량흐름)'!$C$13:$C$502,'Direct labour(직접노무비)'!C348,'JUNE (물량흐름)'!$Y$13:$Y$502)</f>
        <v>0</v>
      </c>
      <c r="U348" s="6">
        <f t="shared" si="67"/>
        <v>0</v>
      </c>
      <c r="V348" s="6">
        <f>ROUND(SUMIF('JUNE (물량흐름)'!$C$13:$C$502,'Direct labour(직접노무비)'!C348,'JUNE (물량흐름)'!$N$13:$N$502),0)</f>
        <v>63</v>
      </c>
      <c r="W348" s="6">
        <f>ROUND(SUMIF('JUNE (물량흐름)'!$C$13:$C$502,'Direct labour(직접노무비)'!C348,'JUNE (물량흐름)'!$O$13:$O$502),0)</f>
        <v>118</v>
      </c>
      <c r="X348" s="6">
        <f>ROUND(SUMIF('JUNE (물량흐름)'!$C$13:$C$502,'Direct labour(직접노무비)'!C348,'JUNE (물량흐름)'!$P$13:$P$502),0)</f>
        <v>120</v>
      </c>
      <c r="Y348" s="6">
        <f t="shared" si="68"/>
        <v>301</v>
      </c>
      <c r="Z348" s="6">
        <f t="shared" si="69"/>
        <v>168</v>
      </c>
      <c r="AA348" s="6">
        <f t="shared" si="74"/>
        <v>2465711</v>
      </c>
      <c r="AB348" s="389">
        <f t="shared" si="70"/>
        <v>0</v>
      </c>
      <c r="AC348" s="503">
        <f t="shared" si="63"/>
        <v>0</v>
      </c>
      <c r="AD348" s="389">
        <f t="shared" si="71"/>
        <v>0</v>
      </c>
    </row>
    <row r="349" spans="1:30" s="390" customFormat="1">
      <c r="A349" s="167">
        <v>344</v>
      </c>
      <c r="B349" s="267" t="str">
        <f>VLOOKUP(A349,'JUNE (물량흐름)'!$A$13:$C$502,2,0)</f>
        <v>ALFANI</v>
      </c>
      <c r="C349" s="240">
        <f>VLOOKUP(A349,'JUNE (물량흐름)'!$A$13:$C$502,3,0)</f>
        <v>100018139</v>
      </c>
      <c r="D349" s="6">
        <f>VLOOKUP(C349,'WIP(재공품)'!$B$12:$E$493,4,0)</f>
        <v>43762.75</v>
      </c>
      <c r="E349" s="6">
        <f>IFERROR(VLOOKUP(C349,O.B.JUNE!$AA$7:$AG$448,2,0),0)</f>
        <v>0</v>
      </c>
      <c r="F349" s="6">
        <f>IFERROR(VLOOKUP(C349,O.B.JUNE!$AA$7:$AG$448,3,0),0)</f>
        <v>222</v>
      </c>
      <c r="G349" s="6">
        <f>IFERROR(VLOOKUP(C349,O.B.JUNE!$AA$7:$AD$448,4,0),0)</f>
        <v>356</v>
      </c>
      <c r="H349" s="6">
        <f t="shared" si="64"/>
        <v>578</v>
      </c>
      <c r="I349" s="6">
        <f>IFERROR(VLOOKUP(C349,O.B.JUNE!$AA$7:$AF$448,6,0),0)</f>
        <v>396</v>
      </c>
      <c r="J349" s="6"/>
      <c r="K349" s="6">
        <f>IFERROR(VLOOKUP(C349,O.B.JUNE!$AA$7:$AG$448,7,0),0)</f>
        <v>6488766</v>
      </c>
      <c r="L349" s="6">
        <f>SUMIF('JUNE (물량흐름)'!$C$13:$C$502,'Direct labour(직접노무비)'!C349,'JUNE (물량흐름)'!$H$13:$H$502)+SUMIF('JUNE (물량흐름)'!$C$13:$C$502,'Direct labour(직접노무비)'!C349,'JUNE (물량흐름)'!$I$13:$I$502)</f>
        <v>195</v>
      </c>
      <c r="M349" s="6">
        <f t="shared" si="65"/>
        <v>242</v>
      </c>
      <c r="N349" s="6">
        <f t="shared" si="66"/>
        <v>10590586</v>
      </c>
      <c r="O349" s="6">
        <f t="shared" si="72"/>
        <v>3275390</v>
      </c>
      <c r="P349" s="6">
        <f>SUMIF('JUNE (물량흐름)'!$C$13:$C$502,C349,'JUNE (물량흐름)'!$T$13:$T$502)+SUMIF('JUNE (물량흐름)'!$C$13:$C$502,C349,'JUNE (물량흐름)'!$V$13:$V$502)+SUMIF('JUNE (물량흐름)'!$C$13:$C$502,C349,'JUNE (물량흐름)'!$U$13:$U$502)-SUMIF('JUNE (물량흐름)'!$C$13:$C$502,C349,'JUNE (물량흐름)'!$Y$13:$Y$502)</f>
        <v>427</v>
      </c>
      <c r="Q349" s="6">
        <f t="shared" si="73"/>
        <v>5393654</v>
      </c>
      <c r="R349" s="6">
        <f>ROUND(IF(ISERROR(VLOOKUP(#REF!,'WIP(재공품)'!$B$12:$AB$38,13,0)),0,VLOOKUP(#REF!,'WIP(재공품)'!$B$12:$AB$38,13,0)),0)</f>
        <v>0</v>
      </c>
      <c r="S349" s="6">
        <f>IF(ISERROR(VLOOKUP(#REF!,'WIP(재공품)'!$B$12:$AB$38,10,0)),0,VLOOKUP(#REF!,'WIP(재공품)'!$B$12:$AB$38,10,0))</f>
        <v>0</v>
      </c>
      <c r="T349" s="6">
        <f>SUMIF('JUNE (물량흐름)'!$C$13:$C$502,'Direct labour(직접노무비)'!C349,'JUNE (물량흐름)'!$Y$13:$Y$502)</f>
        <v>2</v>
      </c>
      <c r="U349" s="6">
        <f t="shared" si="67"/>
        <v>25263</v>
      </c>
      <c r="V349" s="6">
        <f>ROUND(SUMIF('JUNE (물량흐름)'!$C$13:$C$502,'Direct labour(직접노무비)'!C349,'JUNE (물량흐름)'!$N$13:$N$502),0)</f>
        <v>0</v>
      </c>
      <c r="W349" s="6">
        <f>ROUND(SUMIF('JUNE (물량흐름)'!$C$13:$C$502,'Direct labour(직접노무비)'!C349,'JUNE (물량흐름)'!$O$13:$O$502),0)</f>
        <v>222</v>
      </c>
      <c r="X349" s="6">
        <f>ROUND(SUMIF('JUNE (물량흐름)'!$C$13:$C$502,'Direct labour(직접노무비)'!C349,'JUNE (물량흐름)'!$P$13:$P$502),0)</f>
        <v>122</v>
      </c>
      <c r="Y349" s="6">
        <f t="shared" si="68"/>
        <v>344</v>
      </c>
      <c r="Z349" s="6">
        <f t="shared" si="69"/>
        <v>209</v>
      </c>
      <c r="AA349" s="6">
        <f t="shared" si="74"/>
        <v>4345239</v>
      </c>
      <c r="AB349" s="389">
        <f t="shared" si="70"/>
        <v>0</v>
      </c>
      <c r="AC349" s="503">
        <f t="shared" si="63"/>
        <v>0</v>
      </c>
      <c r="AD349" s="389">
        <f t="shared" si="71"/>
        <v>0</v>
      </c>
    </row>
    <row r="350" spans="1:30" s="390" customFormat="1">
      <c r="A350" s="167">
        <v>345</v>
      </c>
      <c r="B350" s="267" t="str">
        <f>VLOOKUP(A350,'JUNE (물량흐름)'!$A$13:$C$502,2,0)</f>
        <v>ALFANI</v>
      </c>
      <c r="C350" s="240">
        <f>VLOOKUP(A350,'JUNE (물량흐름)'!$A$13:$C$502,3,0)</f>
        <v>100018175</v>
      </c>
      <c r="D350" s="6">
        <f>VLOOKUP(C350,'WIP(재공품)'!$B$12:$E$493,4,0)</f>
        <v>8163</v>
      </c>
      <c r="E350" s="6">
        <f>IFERROR(VLOOKUP(C350,O.B.JUNE!$AA$7:$AG$448,2,0),0)</f>
        <v>0</v>
      </c>
      <c r="F350" s="6">
        <f>IFERROR(VLOOKUP(C350,O.B.JUNE!$AA$7:$AG$448,3,0),0)</f>
        <v>50</v>
      </c>
      <c r="G350" s="6">
        <f>IFERROR(VLOOKUP(C350,O.B.JUNE!$AA$7:$AD$448,4,0),0)</f>
        <v>152</v>
      </c>
      <c r="H350" s="6">
        <f t="shared" si="64"/>
        <v>202</v>
      </c>
      <c r="I350" s="6">
        <f>IFERROR(VLOOKUP(C350,O.B.JUNE!$AA$7:$AF$448,6,0),0)</f>
        <v>147</v>
      </c>
      <c r="J350" s="6"/>
      <c r="K350" s="6">
        <f>IFERROR(VLOOKUP(C350,O.B.JUNE!$AA$7:$AG$448,7,0),0)</f>
        <v>2600173</v>
      </c>
      <c r="L350" s="6">
        <f>SUMIF('JUNE (물량흐름)'!$C$13:$C$502,'Direct labour(직접노무비)'!C350,'JUNE (물량흐름)'!$H$13:$H$502)+SUMIF('JUNE (물량흐름)'!$C$13:$C$502,'Direct labour(직접노무비)'!C350,'JUNE (물량흐름)'!$I$13:$I$502)</f>
        <v>0</v>
      </c>
      <c r="M350" s="6">
        <f t="shared" si="65"/>
        <v>0</v>
      </c>
      <c r="N350" s="6">
        <f t="shared" si="66"/>
        <v>0</v>
      </c>
      <c r="O350" s="6">
        <f t="shared" si="72"/>
        <v>0</v>
      </c>
      <c r="P350" s="6">
        <f>SUMIF('JUNE (물량흐름)'!$C$13:$C$502,C350,'JUNE (물량흐름)'!$T$13:$T$502)+SUMIF('JUNE (물량흐름)'!$C$13:$C$502,C350,'JUNE (물량흐름)'!$V$13:$V$502)+SUMIF('JUNE (물량흐름)'!$C$13:$C$502,C350,'JUNE (물량흐름)'!$U$13:$U$502)-SUMIF('JUNE (물량흐름)'!$C$13:$C$502,C350,'JUNE (물량흐름)'!$Y$13:$Y$502)</f>
        <v>0</v>
      </c>
      <c r="Q350" s="6">
        <f t="shared" si="73"/>
        <v>0</v>
      </c>
      <c r="R350" s="6">
        <f>ROUND(IF(ISERROR(VLOOKUP(#REF!,'WIP(재공품)'!$B$12:$AB$38,13,0)),0,VLOOKUP(#REF!,'WIP(재공품)'!$B$12:$AB$38,13,0)),0)</f>
        <v>0</v>
      </c>
      <c r="S350" s="6">
        <f>IF(ISERROR(VLOOKUP(#REF!,'WIP(재공품)'!$B$12:$AB$38,10,0)),0,VLOOKUP(#REF!,'WIP(재공품)'!$B$12:$AB$38,10,0))</f>
        <v>0</v>
      </c>
      <c r="T350" s="6">
        <f>SUMIF('JUNE (물량흐름)'!$C$13:$C$502,'Direct labour(직접노무비)'!C350,'JUNE (물량흐름)'!$Y$13:$Y$502)</f>
        <v>0</v>
      </c>
      <c r="U350" s="6">
        <f t="shared" si="67"/>
        <v>0</v>
      </c>
      <c r="V350" s="6">
        <f>ROUND(SUMIF('JUNE (물량흐름)'!$C$13:$C$502,'Direct labour(직접노무비)'!C350,'JUNE (물량흐름)'!$N$13:$N$502),0)</f>
        <v>0</v>
      </c>
      <c r="W350" s="6">
        <f>ROUND(SUMIF('JUNE (물량흐름)'!$C$13:$C$502,'Direct labour(직접노무비)'!C350,'JUNE (물량흐름)'!$O$13:$O$502),0)</f>
        <v>50</v>
      </c>
      <c r="X350" s="6">
        <f>ROUND(SUMIF('JUNE (물량흐름)'!$C$13:$C$502,'Direct labour(직접노무비)'!C350,'JUNE (물량흐름)'!$P$13:$P$502),0)</f>
        <v>152</v>
      </c>
      <c r="Y350" s="6">
        <f t="shared" si="68"/>
        <v>202</v>
      </c>
      <c r="Z350" s="6">
        <f t="shared" si="69"/>
        <v>147</v>
      </c>
      <c r="AA350" s="6">
        <f t="shared" si="74"/>
        <v>2600173</v>
      </c>
      <c r="AB350" s="389">
        <f t="shared" si="70"/>
        <v>0</v>
      </c>
      <c r="AC350" s="503">
        <f t="shared" si="63"/>
        <v>0</v>
      </c>
      <c r="AD350" s="389">
        <f t="shared" si="71"/>
        <v>0</v>
      </c>
    </row>
    <row r="351" spans="1:30" s="390" customFormat="1">
      <c r="A351" s="167">
        <v>346</v>
      </c>
      <c r="B351" s="267" t="str">
        <f>VLOOKUP(A351,'JUNE (물량흐름)'!$A$13:$C$502,2,0)</f>
        <v>ALFANI</v>
      </c>
      <c r="C351" s="240">
        <f>VLOOKUP(A351,'JUNE (물량흐름)'!$A$13:$C$502,3,0)</f>
        <v>100018176</v>
      </c>
      <c r="D351" s="6">
        <f>VLOOKUP(C351,'WIP(재공품)'!$B$12:$E$493,4,0)</f>
        <v>28570.5</v>
      </c>
      <c r="E351" s="6">
        <f>IFERROR(VLOOKUP(C351,O.B.JUNE!$AA$7:$AG$448,2,0),0)</f>
        <v>0</v>
      </c>
      <c r="F351" s="6">
        <f>IFERROR(VLOOKUP(C351,O.B.JUNE!$AA$7:$AG$448,3,0),0)</f>
        <v>308</v>
      </c>
      <c r="G351" s="6">
        <f>IFERROR(VLOOKUP(C351,O.B.JUNE!$AA$7:$AD$448,4,0),0)</f>
        <v>42</v>
      </c>
      <c r="H351" s="6">
        <f t="shared" si="64"/>
        <v>350</v>
      </c>
      <c r="I351" s="6">
        <f>IFERROR(VLOOKUP(C351,O.B.JUNE!$AA$7:$AF$448,6,0),0)</f>
        <v>188</v>
      </c>
      <c r="J351" s="6"/>
      <c r="K351" s="6">
        <f>IFERROR(VLOOKUP(C351,O.B.JUNE!$AA$7:$AG$448,7,0),0)</f>
        <v>4686477</v>
      </c>
      <c r="L351" s="6">
        <f>SUMIF('JUNE (물량흐름)'!$C$13:$C$502,'Direct labour(직접노무비)'!C351,'JUNE (물량흐름)'!$H$13:$H$502)+SUMIF('JUNE (물량흐름)'!$C$13:$C$502,'Direct labour(직접노무비)'!C351,'JUNE (물량흐름)'!$I$13:$I$502)</f>
        <v>4495</v>
      </c>
      <c r="M351" s="6">
        <f t="shared" si="65"/>
        <v>2298</v>
      </c>
      <c r="N351" s="6">
        <f t="shared" si="66"/>
        <v>65655009</v>
      </c>
      <c r="O351" s="6">
        <f t="shared" si="72"/>
        <v>20305368</v>
      </c>
      <c r="P351" s="6">
        <f>SUMIF('JUNE (물량흐름)'!$C$13:$C$502,C351,'JUNE (물량흐름)'!$T$13:$T$502)+SUMIF('JUNE (물량흐름)'!$C$13:$C$502,C351,'JUNE (물량흐름)'!$V$13:$V$502)+SUMIF('JUNE (물량흐름)'!$C$13:$C$502,C351,'JUNE (물량흐름)'!$U$13:$U$502)-SUMIF('JUNE (물량흐름)'!$C$13:$C$502,C351,'JUNE (물량흐름)'!$Y$13:$Y$502)</f>
        <v>0</v>
      </c>
      <c r="Q351" s="6">
        <f t="shared" si="73"/>
        <v>0</v>
      </c>
      <c r="R351" s="6">
        <f>ROUND(IF(ISERROR(VLOOKUP(#REF!,'WIP(재공품)'!$B$12:$AB$38,13,0)),0,VLOOKUP(#REF!,'WIP(재공품)'!$B$12:$AB$38,13,0)),0)</f>
        <v>0</v>
      </c>
      <c r="S351" s="6">
        <f>IF(ISERROR(VLOOKUP(#REF!,'WIP(재공품)'!$B$12:$AB$38,10,0)),0,VLOOKUP(#REF!,'WIP(재공품)'!$B$12:$AB$38,10,0))</f>
        <v>0</v>
      </c>
      <c r="T351" s="6">
        <f>SUMIF('JUNE (물량흐름)'!$C$13:$C$502,'Direct labour(직접노무비)'!C351,'JUNE (물량흐름)'!$Y$13:$Y$502)</f>
        <v>0</v>
      </c>
      <c r="U351" s="6">
        <f t="shared" si="67"/>
        <v>0</v>
      </c>
      <c r="V351" s="6">
        <f>ROUND(SUMIF('JUNE (물량흐름)'!$C$13:$C$502,'Direct labour(직접노무비)'!C351,'JUNE (물량흐름)'!$N$13:$N$502),0)</f>
        <v>1505</v>
      </c>
      <c r="W351" s="6">
        <f>ROUND(SUMIF('JUNE (물량흐름)'!$C$13:$C$502,'Direct labour(직접노무비)'!C351,'JUNE (물량흐름)'!$O$13:$O$502),0)</f>
        <v>1624</v>
      </c>
      <c r="X351" s="6">
        <f>ROUND(SUMIF('JUNE (물량흐름)'!$C$13:$C$502,'Direct labour(직접노무비)'!C351,'JUNE (물량흐름)'!$P$13:$P$502),0)</f>
        <v>1716</v>
      </c>
      <c r="Y351" s="6">
        <f t="shared" si="68"/>
        <v>4845</v>
      </c>
      <c r="Z351" s="6">
        <f t="shared" si="69"/>
        <v>2486</v>
      </c>
      <c r="AA351" s="6">
        <f t="shared" si="74"/>
        <v>24991845</v>
      </c>
      <c r="AB351" s="389">
        <f t="shared" si="70"/>
        <v>0</v>
      </c>
      <c r="AC351" s="503">
        <f t="shared" si="63"/>
        <v>0</v>
      </c>
      <c r="AD351" s="389">
        <f t="shared" si="71"/>
        <v>0</v>
      </c>
    </row>
    <row r="352" spans="1:30" s="390" customFormat="1">
      <c r="A352" s="167">
        <v>347</v>
      </c>
      <c r="B352" s="267" t="str">
        <f>VLOOKUP(A352,'JUNE (물량흐름)'!$A$13:$C$502,2,0)</f>
        <v>ALFANI</v>
      </c>
      <c r="C352" s="240">
        <f>VLOOKUP(A352,'JUNE (물량흐름)'!$A$13:$C$502,3,0)</f>
        <v>100018178</v>
      </c>
      <c r="D352" s="6">
        <f>VLOOKUP(C352,'WIP(재공품)'!$B$12:$E$493,4,0)</f>
        <v>20407.5</v>
      </c>
      <c r="E352" s="6">
        <f>IFERROR(VLOOKUP(C352,O.B.JUNE!$AA$7:$AG$448,2,0),0)</f>
        <v>0</v>
      </c>
      <c r="F352" s="6">
        <f>IFERROR(VLOOKUP(C352,O.B.JUNE!$AA$7:$AG$448,3,0),0)</f>
        <v>72</v>
      </c>
      <c r="G352" s="6">
        <f>IFERROR(VLOOKUP(C352,O.B.JUNE!$AA$7:$AD$448,4,0),0)</f>
        <v>6</v>
      </c>
      <c r="H352" s="6">
        <f t="shared" si="64"/>
        <v>78</v>
      </c>
      <c r="I352" s="6">
        <f>IFERROR(VLOOKUP(C352,O.B.JUNE!$AA$7:$AF$448,6,0),0)</f>
        <v>41</v>
      </c>
      <c r="J352" s="6"/>
      <c r="K352" s="6">
        <f>IFERROR(VLOOKUP(C352,O.B.JUNE!$AA$7:$AG$448,7,0),0)</f>
        <v>733329</v>
      </c>
      <c r="L352" s="6">
        <f>SUMIF('JUNE (물량흐름)'!$C$13:$C$502,'Direct labour(직접노무비)'!C352,'JUNE (물량흐름)'!$H$13:$H$502)+SUMIF('JUNE (물량흐름)'!$C$13:$C$502,'Direct labour(직접노무비)'!C352,'JUNE (물량흐름)'!$I$13:$I$502)</f>
        <v>0</v>
      </c>
      <c r="M352" s="6">
        <f t="shared" si="65"/>
        <v>0</v>
      </c>
      <c r="N352" s="6">
        <f t="shared" si="66"/>
        <v>0</v>
      </c>
      <c r="O352" s="6">
        <f t="shared" si="72"/>
        <v>0</v>
      </c>
      <c r="P352" s="6">
        <f>SUMIF('JUNE (물량흐름)'!$C$13:$C$502,C352,'JUNE (물량흐름)'!$T$13:$T$502)+SUMIF('JUNE (물량흐름)'!$C$13:$C$502,C352,'JUNE (물량흐름)'!$V$13:$V$502)+SUMIF('JUNE (물량흐름)'!$C$13:$C$502,C352,'JUNE (물량흐름)'!$U$13:$U$502)-SUMIF('JUNE (물량흐름)'!$C$13:$C$502,C352,'JUNE (물량흐름)'!$Y$13:$Y$502)</f>
        <v>0</v>
      </c>
      <c r="Q352" s="6">
        <f t="shared" si="73"/>
        <v>0</v>
      </c>
      <c r="R352" s="6">
        <f>ROUND(IF(ISERROR(VLOOKUP(#REF!,'WIP(재공품)'!$B$12:$AB$38,13,0)),0,VLOOKUP(#REF!,'WIP(재공품)'!$B$12:$AB$38,13,0)),0)</f>
        <v>0</v>
      </c>
      <c r="S352" s="6">
        <f>IF(ISERROR(VLOOKUP(#REF!,'WIP(재공품)'!$B$12:$AB$38,10,0)),0,VLOOKUP(#REF!,'WIP(재공품)'!$B$12:$AB$38,10,0))</f>
        <v>0</v>
      </c>
      <c r="T352" s="6">
        <f>SUMIF('JUNE (물량흐름)'!$C$13:$C$502,'Direct labour(직접노무비)'!C352,'JUNE (물량흐름)'!$Y$13:$Y$502)</f>
        <v>0</v>
      </c>
      <c r="U352" s="6">
        <f t="shared" si="67"/>
        <v>0</v>
      </c>
      <c r="V352" s="6">
        <f>ROUND(SUMIF('JUNE (물량흐름)'!$C$13:$C$502,'Direct labour(직접노무비)'!C352,'JUNE (물량흐름)'!$N$13:$N$502),0)</f>
        <v>0</v>
      </c>
      <c r="W352" s="6">
        <f>ROUND(SUMIF('JUNE (물량흐름)'!$C$13:$C$502,'Direct labour(직접노무비)'!C352,'JUNE (물량흐름)'!$O$13:$O$502),0)</f>
        <v>72</v>
      </c>
      <c r="X352" s="6">
        <f>ROUND(SUMIF('JUNE (물량흐름)'!$C$13:$C$502,'Direct labour(직접노무비)'!C352,'JUNE (물량흐름)'!$P$13:$P$502),0)</f>
        <v>6</v>
      </c>
      <c r="Y352" s="6">
        <f t="shared" si="68"/>
        <v>78</v>
      </c>
      <c r="Z352" s="6">
        <f t="shared" si="69"/>
        <v>41</v>
      </c>
      <c r="AA352" s="6">
        <f t="shared" si="74"/>
        <v>733329</v>
      </c>
      <c r="AB352" s="389">
        <f t="shared" si="70"/>
        <v>0</v>
      </c>
      <c r="AC352" s="503">
        <f t="shared" si="63"/>
        <v>0</v>
      </c>
      <c r="AD352" s="389">
        <f t="shared" si="71"/>
        <v>0</v>
      </c>
    </row>
    <row r="353" spans="1:30" s="390" customFormat="1">
      <c r="A353" s="167">
        <v>348</v>
      </c>
      <c r="B353" s="267" t="str">
        <f>VLOOKUP(A353,'JUNE (물량흐름)'!$A$13:$C$502,2,0)</f>
        <v>ALFANI</v>
      </c>
      <c r="C353" s="240">
        <f>VLOOKUP(A353,'JUNE (물량흐름)'!$A$13:$C$502,3,0)</f>
        <v>100018179</v>
      </c>
      <c r="D353" s="6">
        <f>VLOOKUP(C353,'WIP(재공품)'!$B$12:$E$493,4,0)</f>
        <v>43082.5</v>
      </c>
      <c r="E353" s="6">
        <f>IFERROR(VLOOKUP(C353,O.B.JUNE!$AA$7:$AG$448,2,0),0)</f>
        <v>25</v>
      </c>
      <c r="F353" s="6">
        <f>IFERROR(VLOOKUP(C353,O.B.JUNE!$AA$7:$AG$448,3,0),0)</f>
        <v>32</v>
      </c>
      <c r="G353" s="6">
        <f>IFERROR(VLOOKUP(C353,O.B.JUNE!$AA$7:$AD$448,4,0),0)</f>
        <v>0</v>
      </c>
      <c r="H353" s="6">
        <f t="shared" si="64"/>
        <v>57</v>
      </c>
      <c r="I353" s="6">
        <f>IFERROR(VLOOKUP(C353,O.B.JUNE!$AA$7:$AF$448,6,0),0)</f>
        <v>21</v>
      </c>
      <c r="J353" s="6"/>
      <c r="K353" s="6">
        <f>IFERROR(VLOOKUP(C353,O.B.JUNE!$AA$7:$AG$448,7,0),0)</f>
        <v>1053527</v>
      </c>
      <c r="L353" s="6">
        <f>SUMIF('JUNE (물량흐름)'!$C$13:$C$502,'Direct labour(직접노무비)'!C353,'JUNE (물량흐름)'!$H$13:$H$502)+SUMIF('JUNE (물량흐름)'!$C$13:$C$502,'Direct labour(직접노무비)'!C353,'JUNE (물량흐름)'!$I$13:$I$502)</f>
        <v>0</v>
      </c>
      <c r="M353" s="6">
        <f t="shared" si="65"/>
        <v>0</v>
      </c>
      <c r="N353" s="6">
        <f t="shared" si="66"/>
        <v>0</v>
      </c>
      <c r="O353" s="6">
        <f t="shared" si="72"/>
        <v>0</v>
      </c>
      <c r="P353" s="6">
        <f>SUMIF('JUNE (물량흐름)'!$C$13:$C$502,C353,'JUNE (물량흐름)'!$T$13:$T$502)+SUMIF('JUNE (물량흐름)'!$C$13:$C$502,C353,'JUNE (물량흐름)'!$V$13:$V$502)+SUMIF('JUNE (물량흐름)'!$C$13:$C$502,C353,'JUNE (물량흐름)'!$U$13:$U$502)-SUMIF('JUNE (물량흐름)'!$C$13:$C$502,C353,'JUNE (물량흐름)'!$Y$13:$Y$502)</f>
        <v>0</v>
      </c>
      <c r="Q353" s="6">
        <f t="shared" si="73"/>
        <v>0</v>
      </c>
      <c r="R353" s="6">
        <f>ROUND(IF(ISERROR(VLOOKUP(#REF!,'WIP(재공품)'!$B$12:$AB$38,13,0)),0,VLOOKUP(#REF!,'WIP(재공품)'!$B$12:$AB$38,13,0)),0)</f>
        <v>0</v>
      </c>
      <c r="S353" s="6">
        <f>IF(ISERROR(VLOOKUP(#REF!,'WIP(재공품)'!$B$12:$AB$38,10,0)),0,VLOOKUP(#REF!,'WIP(재공품)'!$B$12:$AB$38,10,0))</f>
        <v>0</v>
      </c>
      <c r="T353" s="6">
        <f>SUMIF('JUNE (물량흐름)'!$C$13:$C$502,'Direct labour(직접노무비)'!C353,'JUNE (물량흐름)'!$Y$13:$Y$502)</f>
        <v>0</v>
      </c>
      <c r="U353" s="6">
        <f t="shared" si="67"/>
        <v>0</v>
      </c>
      <c r="V353" s="6">
        <f>ROUND(SUMIF('JUNE (물량흐름)'!$C$13:$C$502,'Direct labour(직접노무비)'!C353,'JUNE (물량흐름)'!$N$13:$N$502),0)</f>
        <v>25</v>
      </c>
      <c r="W353" s="6">
        <f>ROUND(SUMIF('JUNE (물량흐름)'!$C$13:$C$502,'Direct labour(직접노무비)'!C353,'JUNE (물량흐름)'!$O$13:$O$502),0)</f>
        <v>32</v>
      </c>
      <c r="X353" s="6">
        <f>ROUND(SUMIF('JUNE (물량흐름)'!$C$13:$C$502,'Direct labour(직접노무비)'!C353,'JUNE (물량흐름)'!$P$13:$P$502),0)</f>
        <v>0</v>
      </c>
      <c r="Y353" s="6">
        <f t="shared" si="68"/>
        <v>57</v>
      </c>
      <c r="Z353" s="6">
        <f t="shared" si="69"/>
        <v>21</v>
      </c>
      <c r="AA353" s="6">
        <f t="shared" si="74"/>
        <v>1053527</v>
      </c>
      <c r="AB353" s="389">
        <f t="shared" si="70"/>
        <v>0</v>
      </c>
      <c r="AC353" s="503">
        <f t="shared" si="63"/>
        <v>0</v>
      </c>
      <c r="AD353" s="389">
        <f t="shared" si="71"/>
        <v>0</v>
      </c>
    </row>
    <row r="354" spans="1:30" s="390" customFormat="1">
      <c r="A354" s="167">
        <v>349</v>
      </c>
      <c r="B354" s="267" t="str">
        <f>VLOOKUP(A354,'JUNE (물량흐름)'!$A$13:$C$502,2,0)</f>
        <v>ALFANI</v>
      </c>
      <c r="C354" s="240">
        <f>VLOOKUP(A354,'JUNE (물량흐름)'!$A$13:$C$502,3,0)</f>
        <v>100018235</v>
      </c>
      <c r="D354" s="6">
        <f>VLOOKUP(C354,'WIP(재공품)'!$B$12:$E$493,4,0)</f>
        <v>8163</v>
      </c>
      <c r="E354" s="6">
        <f>IFERROR(VLOOKUP(C354,O.B.JUNE!$AA$7:$AG$448,2,0),0)</f>
        <v>38</v>
      </c>
      <c r="F354" s="6">
        <f>IFERROR(VLOOKUP(C354,O.B.JUNE!$AA$7:$AG$448,3,0),0)</f>
        <v>54</v>
      </c>
      <c r="G354" s="6">
        <f>IFERROR(VLOOKUP(C354,O.B.JUNE!$AA$7:$AD$448,4,0),0)</f>
        <v>168</v>
      </c>
      <c r="H354" s="6">
        <f t="shared" si="64"/>
        <v>260</v>
      </c>
      <c r="I354" s="6">
        <f>IFERROR(VLOOKUP(C354,O.B.JUNE!$AA$7:$AF$448,6,0),0)</f>
        <v>169</v>
      </c>
      <c r="J354" s="6"/>
      <c r="K354" s="6">
        <f>IFERROR(VLOOKUP(C354,O.B.JUNE!$AA$7:$AG$448,7,0),0)</f>
        <v>1658700</v>
      </c>
      <c r="L354" s="6">
        <f>SUMIF('JUNE (물량흐름)'!$C$13:$C$502,'Direct labour(직접노무비)'!C354,'JUNE (물량흐름)'!$H$13:$H$502)+SUMIF('JUNE (물량흐름)'!$C$13:$C$502,'Direct labour(직접노무비)'!C354,'JUNE (물량흐름)'!$I$13:$I$502)</f>
        <v>0</v>
      </c>
      <c r="M354" s="6">
        <f t="shared" si="65"/>
        <v>0</v>
      </c>
      <c r="N354" s="6">
        <f t="shared" si="66"/>
        <v>0</v>
      </c>
      <c r="O354" s="6">
        <f t="shared" si="72"/>
        <v>0</v>
      </c>
      <c r="P354" s="6">
        <f>SUMIF('JUNE (물량흐름)'!$C$13:$C$502,C354,'JUNE (물량흐름)'!$T$13:$T$502)+SUMIF('JUNE (물량흐름)'!$C$13:$C$502,C354,'JUNE (물량흐름)'!$V$13:$V$502)+SUMIF('JUNE (물량흐름)'!$C$13:$C$502,C354,'JUNE (물량흐름)'!$U$13:$U$502)-SUMIF('JUNE (물량흐름)'!$C$13:$C$502,C354,'JUNE (물량흐름)'!$Y$13:$Y$502)</f>
        <v>0</v>
      </c>
      <c r="Q354" s="6">
        <f t="shared" si="73"/>
        <v>0</v>
      </c>
      <c r="R354" s="6">
        <f>ROUND(IF(ISERROR(VLOOKUP(#REF!,'WIP(재공품)'!$B$12:$AB$38,13,0)),0,VLOOKUP(#REF!,'WIP(재공품)'!$B$12:$AB$38,13,0)),0)</f>
        <v>0</v>
      </c>
      <c r="S354" s="6">
        <f>IF(ISERROR(VLOOKUP(#REF!,'WIP(재공품)'!$B$12:$AB$38,10,0)),0,VLOOKUP(#REF!,'WIP(재공품)'!$B$12:$AB$38,10,0))</f>
        <v>0</v>
      </c>
      <c r="T354" s="6">
        <f>SUMIF('JUNE (물량흐름)'!$C$13:$C$502,'Direct labour(직접노무비)'!C354,'JUNE (물량흐름)'!$Y$13:$Y$502)</f>
        <v>0</v>
      </c>
      <c r="U354" s="6">
        <f t="shared" si="67"/>
        <v>0</v>
      </c>
      <c r="V354" s="6">
        <f>ROUND(SUMIF('JUNE (물량흐름)'!$C$13:$C$502,'Direct labour(직접노무비)'!C354,'JUNE (물량흐름)'!$N$13:$N$502),0)</f>
        <v>38</v>
      </c>
      <c r="W354" s="6">
        <f>ROUND(SUMIF('JUNE (물량흐름)'!$C$13:$C$502,'Direct labour(직접노무비)'!C354,'JUNE (물량흐름)'!$O$13:$O$502),0)</f>
        <v>54</v>
      </c>
      <c r="X354" s="6">
        <f>ROUND(SUMIF('JUNE (물량흐름)'!$C$13:$C$502,'Direct labour(직접노무비)'!C354,'JUNE (물량흐름)'!$P$13:$P$502),0)</f>
        <v>168</v>
      </c>
      <c r="Y354" s="6">
        <f t="shared" si="68"/>
        <v>260</v>
      </c>
      <c r="Z354" s="6">
        <f t="shared" si="69"/>
        <v>169</v>
      </c>
      <c r="AA354" s="6">
        <f t="shared" si="74"/>
        <v>1658700</v>
      </c>
      <c r="AB354" s="389">
        <f t="shared" si="70"/>
        <v>0</v>
      </c>
      <c r="AC354" s="503">
        <f t="shared" si="63"/>
        <v>0</v>
      </c>
      <c r="AD354" s="389">
        <f t="shared" si="71"/>
        <v>0</v>
      </c>
    </row>
    <row r="355" spans="1:30" s="390" customFormat="1">
      <c r="A355" s="167">
        <v>350</v>
      </c>
      <c r="B355" s="267" t="str">
        <f>VLOOKUP(A355,'JUNE (물량흐름)'!$A$13:$C$502,2,0)</f>
        <v>ALFANI</v>
      </c>
      <c r="C355" s="240">
        <f>VLOOKUP(A355,'JUNE (물량흐름)'!$A$13:$C$502,3,0)</f>
        <v>100018237</v>
      </c>
      <c r="D355" s="6">
        <f>VLOOKUP(C355,'WIP(재공품)'!$B$12:$E$493,4,0)</f>
        <v>78455.5</v>
      </c>
      <c r="E355" s="6">
        <f>IFERROR(VLOOKUP(C355,O.B.JUNE!$AA$7:$AG$448,2,0),0)</f>
        <v>104</v>
      </c>
      <c r="F355" s="6">
        <f>IFERROR(VLOOKUP(C355,O.B.JUNE!$AA$7:$AG$448,3,0),0)</f>
        <v>37</v>
      </c>
      <c r="G355" s="6">
        <f>IFERROR(VLOOKUP(C355,O.B.JUNE!$AA$7:$AD$448,4,0),0)</f>
        <v>0</v>
      </c>
      <c r="H355" s="6">
        <f t="shared" si="64"/>
        <v>141</v>
      </c>
      <c r="I355" s="6">
        <f>IFERROR(VLOOKUP(C355,O.B.JUNE!$AA$7:$AF$448,6,0),0)</f>
        <v>39</v>
      </c>
      <c r="J355" s="6"/>
      <c r="K355" s="6">
        <f>IFERROR(VLOOKUP(C355,O.B.JUNE!$AA$7:$AG$448,7,0),0)</f>
        <v>672552</v>
      </c>
      <c r="L355" s="6">
        <f>SUMIF('JUNE (물량흐름)'!$C$13:$C$502,'Direct labour(직접노무비)'!C355,'JUNE (물량흐름)'!$H$13:$H$502)+SUMIF('JUNE (물량흐름)'!$C$13:$C$502,'Direct labour(직접노무비)'!C355,'JUNE (물량흐름)'!$I$13:$I$502)</f>
        <v>0</v>
      </c>
      <c r="M355" s="6">
        <f t="shared" si="65"/>
        <v>0</v>
      </c>
      <c r="N355" s="6">
        <f t="shared" si="66"/>
        <v>0</v>
      </c>
      <c r="O355" s="6">
        <f t="shared" si="72"/>
        <v>0</v>
      </c>
      <c r="P355" s="6">
        <f>SUMIF('JUNE (물량흐름)'!$C$13:$C$502,C355,'JUNE (물량흐름)'!$T$13:$T$502)+SUMIF('JUNE (물량흐름)'!$C$13:$C$502,C355,'JUNE (물량흐름)'!$V$13:$V$502)+SUMIF('JUNE (물량흐름)'!$C$13:$C$502,C355,'JUNE (물량흐름)'!$U$13:$U$502)-SUMIF('JUNE (물량흐름)'!$C$13:$C$502,C355,'JUNE (물량흐름)'!$Y$13:$Y$502)</f>
        <v>0</v>
      </c>
      <c r="Q355" s="6">
        <f t="shared" si="73"/>
        <v>0</v>
      </c>
      <c r="R355" s="6">
        <f>ROUND(IF(ISERROR(VLOOKUP(#REF!,'WIP(재공품)'!$B$12:$AB$38,13,0)),0,VLOOKUP(#REF!,'WIP(재공품)'!$B$12:$AB$38,13,0)),0)</f>
        <v>0</v>
      </c>
      <c r="S355" s="6">
        <f>IF(ISERROR(VLOOKUP(#REF!,'WIP(재공품)'!$B$12:$AB$38,10,0)),0,VLOOKUP(#REF!,'WIP(재공품)'!$B$12:$AB$38,10,0))</f>
        <v>0</v>
      </c>
      <c r="T355" s="6">
        <f>SUMIF('JUNE (물량흐름)'!$C$13:$C$502,'Direct labour(직접노무비)'!C355,'JUNE (물량흐름)'!$Y$13:$Y$502)</f>
        <v>0</v>
      </c>
      <c r="U355" s="6">
        <f t="shared" si="67"/>
        <v>0</v>
      </c>
      <c r="V355" s="6">
        <f>ROUND(SUMIF('JUNE (물량흐름)'!$C$13:$C$502,'Direct labour(직접노무비)'!C355,'JUNE (물량흐름)'!$N$13:$N$502),0)</f>
        <v>104</v>
      </c>
      <c r="W355" s="6">
        <f>ROUND(SUMIF('JUNE (물량흐름)'!$C$13:$C$502,'Direct labour(직접노무비)'!C355,'JUNE (물량흐름)'!$O$13:$O$502),0)</f>
        <v>37</v>
      </c>
      <c r="X355" s="6">
        <f>ROUND(SUMIF('JUNE (물량흐름)'!$C$13:$C$502,'Direct labour(직접노무비)'!C355,'JUNE (물량흐름)'!$P$13:$P$502),0)</f>
        <v>0</v>
      </c>
      <c r="Y355" s="6">
        <f t="shared" si="68"/>
        <v>141</v>
      </c>
      <c r="Z355" s="6">
        <f t="shared" si="69"/>
        <v>39</v>
      </c>
      <c r="AA355" s="6">
        <f t="shared" si="74"/>
        <v>672552</v>
      </c>
      <c r="AB355" s="389">
        <f t="shared" si="70"/>
        <v>0</v>
      </c>
      <c r="AC355" s="503">
        <f t="shared" si="63"/>
        <v>0</v>
      </c>
      <c r="AD355" s="389">
        <f t="shared" si="71"/>
        <v>0</v>
      </c>
    </row>
    <row r="356" spans="1:30" s="390" customFormat="1">
      <c r="A356" s="167">
        <v>351</v>
      </c>
      <c r="B356" s="267" t="str">
        <f>VLOOKUP(A356,'JUNE (물량흐름)'!$A$13:$C$502,2,0)</f>
        <v>ALFANI</v>
      </c>
      <c r="C356" s="240">
        <f>VLOOKUP(A356,'JUNE (물량흐름)'!$A$13:$C$502,3,0)</f>
        <v>100018239</v>
      </c>
      <c r="D356" s="6">
        <f>VLOOKUP(C356,'WIP(재공품)'!$B$12:$E$493,4,0)</f>
        <v>8163</v>
      </c>
      <c r="E356" s="6">
        <f>IFERROR(VLOOKUP(C356,O.B.JUNE!$AA$7:$AG$448,2,0),0)</f>
        <v>17</v>
      </c>
      <c r="F356" s="6">
        <f>IFERROR(VLOOKUP(C356,O.B.JUNE!$AA$7:$AG$448,3,0),0)</f>
        <v>48</v>
      </c>
      <c r="G356" s="6">
        <f>IFERROR(VLOOKUP(C356,O.B.JUNE!$AA$7:$AD$448,4,0),0)</f>
        <v>0</v>
      </c>
      <c r="H356" s="6">
        <f t="shared" si="64"/>
        <v>65</v>
      </c>
      <c r="I356" s="6">
        <f>IFERROR(VLOOKUP(C356,O.B.JUNE!$AA$7:$AF$448,6,0),0)</f>
        <v>27</v>
      </c>
      <c r="J356" s="6"/>
      <c r="K356" s="6">
        <f>IFERROR(VLOOKUP(C356,O.B.JUNE!$AA$7:$AG$448,7,0),0)</f>
        <v>447943</v>
      </c>
      <c r="L356" s="6">
        <f>SUMIF('JUNE (물량흐름)'!$C$13:$C$502,'Direct labour(직접노무비)'!C356,'JUNE (물량흐름)'!$H$13:$H$502)+SUMIF('JUNE (물량흐름)'!$C$13:$C$502,'Direct labour(직접노무비)'!C356,'JUNE (물량흐름)'!$I$13:$I$502)</f>
        <v>0</v>
      </c>
      <c r="M356" s="6">
        <f t="shared" si="65"/>
        <v>0</v>
      </c>
      <c r="N356" s="6">
        <f t="shared" si="66"/>
        <v>0</v>
      </c>
      <c r="O356" s="6">
        <f t="shared" si="72"/>
        <v>0</v>
      </c>
      <c r="P356" s="6">
        <f>SUMIF('JUNE (물량흐름)'!$C$13:$C$502,C356,'JUNE (물량흐름)'!$T$13:$T$502)+SUMIF('JUNE (물량흐름)'!$C$13:$C$502,C356,'JUNE (물량흐름)'!$V$13:$V$502)+SUMIF('JUNE (물량흐름)'!$C$13:$C$502,C356,'JUNE (물량흐름)'!$U$13:$U$502)-SUMIF('JUNE (물량흐름)'!$C$13:$C$502,C356,'JUNE (물량흐름)'!$Y$13:$Y$502)</f>
        <v>0</v>
      </c>
      <c r="Q356" s="6">
        <f t="shared" si="73"/>
        <v>0</v>
      </c>
      <c r="R356" s="6">
        <f>ROUND(IF(ISERROR(VLOOKUP(#REF!,'WIP(재공품)'!$B$12:$AB$38,13,0)),0,VLOOKUP(#REF!,'WIP(재공품)'!$B$12:$AB$38,13,0)),0)</f>
        <v>0</v>
      </c>
      <c r="S356" s="6">
        <f>IF(ISERROR(VLOOKUP(#REF!,'WIP(재공품)'!$B$12:$AB$38,10,0)),0,VLOOKUP(#REF!,'WIP(재공품)'!$B$12:$AB$38,10,0))</f>
        <v>0</v>
      </c>
      <c r="T356" s="6">
        <f>SUMIF('JUNE (물량흐름)'!$C$13:$C$502,'Direct labour(직접노무비)'!C356,'JUNE (물량흐름)'!$Y$13:$Y$502)</f>
        <v>0</v>
      </c>
      <c r="U356" s="6">
        <f t="shared" si="67"/>
        <v>0</v>
      </c>
      <c r="V356" s="6">
        <f>ROUND(SUMIF('JUNE (물량흐름)'!$C$13:$C$502,'Direct labour(직접노무비)'!C356,'JUNE (물량흐름)'!$N$13:$N$502),0)</f>
        <v>17</v>
      </c>
      <c r="W356" s="6">
        <f>ROUND(SUMIF('JUNE (물량흐름)'!$C$13:$C$502,'Direct labour(직접노무비)'!C356,'JUNE (물량흐름)'!$O$13:$O$502),0)</f>
        <v>48</v>
      </c>
      <c r="X356" s="6">
        <f>ROUND(SUMIF('JUNE (물량흐름)'!$C$13:$C$502,'Direct labour(직접노무비)'!C356,'JUNE (물량흐름)'!$P$13:$P$502),0)</f>
        <v>0</v>
      </c>
      <c r="Y356" s="6">
        <f t="shared" si="68"/>
        <v>65</v>
      </c>
      <c r="Z356" s="6">
        <f t="shared" si="69"/>
        <v>27</v>
      </c>
      <c r="AA356" s="6">
        <f t="shared" si="74"/>
        <v>447943</v>
      </c>
      <c r="AB356" s="389">
        <f t="shared" si="70"/>
        <v>0</v>
      </c>
      <c r="AC356" s="503">
        <f t="shared" si="63"/>
        <v>0</v>
      </c>
      <c r="AD356" s="389">
        <f t="shared" si="71"/>
        <v>0</v>
      </c>
    </row>
    <row r="357" spans="1:30" s="390" customFormat="1">
      <c r="A357" s="167">
        <v>352</v>
      </c>
      <c r="B357" s="267" t="str">
        <f>VLOOKUP(A357,'JUNE (물량흐름)'!$A$13:$C$502,2,0)</f>
        <v>ALFANI</v>
      </c>
      <c r="C357" s="240">
        <f>VLOOKUP(A357,'JUNE (물량흐름)'!$A$13:$C$502,3,0)</f>
        <v>100018240</v>
      </c>
      <c r="D357" s="6">
        <f>VLOOKUP(C357,'WIP(재공품)'!$B$12:$E$493,4,0)</f>
        <v>94328</v>
      </c>
      <c r="E357" s="6">
        <f>IFERROR(VLOOKUP(C357,O.B.JUNE!$AA$7:$AG$448,2,0),0)</f>
        <v>0</v>
      </c>
      <c r="F357" s="6">
        <f>IFERROR(VLOOKUP(C357,O.B.JUNE!$AA$7:$AG$448,3,0),0)</f>
        <v>44</v>
      </c>
      <c r="G357" s="6">
        <f>IFERROR(VLOOKUP(C357,O.B.JUNE!$AA$7:$AD$448,4,0),0)</f>
        <v>16</v>
      </c>
      <c r="H357" s="6">
        <f t="shared" si="64"/>
        <v>60</v>
      </c>
      <c r="I357" s="6">
        <f>IFERROR(VLOOKUP(C357,O.B.JUNE!$AA$7:$AF$448,6,0),0)</f>
        <v>35</v>
      </c>
      <c r="J357" s="6"/>
      <c r="K357" s="6">
        <f>IFERROR(VLOOKUP(C357,O.B.JUNE!$AA$7:$AG$448,7,0),0)</f>
        <v>591022</v>
      </c>
      <c r="L357" s="6">
        <f>SUMIF('JUNE (물량흐름)'!$C$13:$C$502,'Direct labour(직접노무비)'!C357,'JUNE (물량흐름)'!$H$13:$H$502)+SUMIF('JUNE (물량흐름)'!$C$13:$C$502,'Direct labour(직접노무비)'!C357,'JUNE (물량흐름)'!$I$13:$I$502)</f>
        <v>0</v>
      </c>
      <c r="M357" s="6">
        <f t="shared" si="65"/>
        <v>0</v>
      </c>
      <c r="N357" s="6">
        <f t="shared" si="66"/>
        <v>0</v>
      </c>
      <c r="O357" s="6">
        <f t="shared" si="72"/>
        <v>0</v>
      </c>
      <c r="P357" s="6">
        <f>SUMIF('JUNE (물량흐름)'!$C$13:$C$502,C357,'JUNE (물량흐름)'!$T$13:$T$502)+SUMIF('JUNE (물량흐름)'!$C$13:$C$502,C357,'JUNE (물량흐름)'!$V$13:$V$502)+SUMIF('JUNE (물량흐름)'!$C$13:$C$502,C357,'JUNE (물량흐름)'!$U$13:$U$502)-SUMIF('JUNE (물량흐름)'!$C$13:$C$502,C357,'JUNE (물량흐름)'!$Y$13:$Y$502)</f>
        <v>0</v>
      </c>
      <c r="Q357" s="6">
        <f t="shared" si="73"/>
        <v>0</v>
      </c>
      <c r="R357" s="6">
        <f>ROUND(IF(ISERROR(VLOOKUP(#REF!,'WIP(재공품)'!$B$12:$AB$38,13,0)),0,VLOOKUP(#REF!,'WIP(재공품)'!$B$12:$AB$38,13,0)),0)</f>
        <v>0</v>
      </c>
      <c r="S357" s="6">
        <f>IF(ISERROR(VLOOKUP(#REF!,'WIP(재공품)'!$B$12:$AB$38,10,0)),0,VLOOKUP(#REF!,'WIP(재공품)'!$B$12:$AB$38,10,0))</f>
        <v>0</v>
      </c>
      <c r="T357" s="6">
        <f>SUMIF('JUNE (물량흐름)'!$C$13:$C$502,'Direct labour(직접노무비)'!C357,'JUNE (물량흐름)'!$Y$13:$Y$502)</f>
        <v>0</v>
      </c>
      <c r="U357" s="6">
        <f t="shared" si="67"/>
        <v>0</v>
      </c>
      <c r="V357" s="6">
        <f>ROUND(SUMIF('JUNE (물량흐름)'!$C$13:$C$502,'Direct labour(직접노무비)'!C357,'JUNE (물량흐름)'!$N$13:$N$502),0)</f>
        <v>0</v>
      </c>
      <c r="W357" s="6">
        <f>ROUND(SUMIF('JUNE (물량흐름)'!$C$13:$C$502,'Direct labour(직접노무비)'!C357,'JUNE (물량흐름)'!$O$13:$O$502),0)</f>
        <v>44</v>
      </c>
      <c r="X357" s="6">
        <f>ROUND(SUMIF('JUNE (물량흐름)'!$C$13:$C$502,'Direct labour(직접노무비)'!C357,'JUNE (물량흐름)'!$P$13:$P$502),0)</f>
        <v>16</v>
      </c>
      <c r="Y357" s="6">
        <f t="shared" si="68"/>
        <v>60</v>
      </c>
      <c r="Z357" s="6">
        <f t="shared" si="69"/>
        <v>35</v>
      </c>
      <c r="AA357" s="6">
        <f t="shared" si="74"/>
        <v>591022</v>
      </c>
      <c r="AB357" s="389">
        <f t="shared" si="70"/>
        <v>0</v>
      </c>
      <c r="AC357" s="503">
        <f t="shared" si="63"/>
        <v>0</v>
      </c>
      <c r="AD357" s="389">
        <f t="shared" si="71"/>
        <v>0</v>
      </c>
    </row>
    <row r="358" spans="1:30" s="390" customFormat="1">
      <c r="A358" s="167">
        <v>353</v>
      </c>
      <c r="B358" s="267" t="str">
        <f>VLOOKUP(A358,'JUNE (물량흐름)'!$A$13:$C$502,2,0)</f>
        <v>ALFANI</v>
      </c>
      <c r="C358" s="240">
        <f>VLOOKUP(A358,'JUNE (물량흐름)'!$A$13:$C$502,3,0)</f>
        <v>100018242</v>
      </c>
      <c r="D358" s="6">
        <f>VLOOKUP(C358,'WIP(재공품)'!$B$12:$E$493,4,0)</f>
        <v>60542.25</v>
      </c>
      <c r="E358" s="6">
        <f>IFERROR(VLOOKUP(C358,O.B.JUNE!$AA$7:$AG$448,2,0),0)</f>
        <v>0</v>
      </c>
      <c r="F358" s="6">
        <f>IFERROR(VLOOKUP(C358,O.B.JUNE!$AA$7:$AG$448,3,0),0)</f>
        <v>46</v>
      </c>
      <c r="G358" s="6">
        <f>IFERROR(VLOOKUP(C358,O.B.JUNE!$AA$7:$AD$448,4,0),0)</f>
        <v>0</v>
      </c>
      <c r="H358" s="6">
        <f t="shared" si="64"/>
        <v>46</v>
      </c>
      <c r="I358" s="6">
        <f>IFERROR(VLOOKUP(C358,O.B.JUNE!$AA$7:$AF$448,6,0),0)</f>
        <v>23</v>
      </c>
      <c r="J358" s="6"/>
      <c r="K358" s="6">
        <f>IFERROR(VLOOKUP(C358,O.B.JUNE!$AA$7:$AG$448,7,0),0)</f>
        <v>331464</v>
      </c>
      <c r="L358" s="6">
        <f>SUMIF('JUNE (물량흐름)'!$C$13:$C$502,'Direct labour(직접노무비)'!C358,'JUNE (물량흐름)'!$H$13:$H$502)+SUMIF('JUNE (물량흐름)'!$C$13:$C$502,'Direct labour(직접노무비)'!C358,'JUNE (물량흐름)'!$I$13:$I$502)</f>
        <v>0</v>
      </c>
      <c r="M358" s="6">
        <f t="shared" si="65"/>
        <v>0</v>
      </c>
      <c r="N358" s="6">
        <f t="shared" si="66"/>
        <v>0</v>
      </c>
      <c r="O358" s="6">
        <f t="shared" si="72"/>
        <v>0</v>
      </c>
      <c r="P358" s="6">
        <f>SUMIF('JUNE (물량흐름)'!$C$13:$C$502,C358,'JUNE (물량흐름)'!$T$13:$T$502)+SUMIF('JUNE (물량흐름)'!$C$13:$C$502,C358,'JUNE (물량흐름)'!$V$13:$V$502)+SUMIF('JUNE (물량흐름)'!$C$13:$C$502,C358,'JUNE (물량흐름)'!$U$13:$U$502)-SUMIF('JUNE (물량흐름)'!$C$13:$C$502,C358,'JUNE (물량흐름)'!$Y$13:$Y$502)</f>
        <v>0</v>
      </c>
      <c r="Q358" s="6">
        <f t="shared" si="73"/>
        <v>0</v>
      </c>
      <c r="R358" s="6">
        <f>ROUND(IF(ISERROR(VLOOKUP(#REF!,'WIP(재공품)'!$B$12:$AB$38,13,0)),0,VLOOKUP(#REF!,'WIP(재공품)'!$B$12:$AB$38,13,0)),0)</f>
        <v>0</v>
      </c>
      <c r="S358" s="6">
        <f>IF(ISERROR(VLOOKUP(#REF!,'WIP(재공품)'!$B$12:$AB$38,10,0)),0,VLOOKUP(#REF!,'WIP(재공품)'!$B$12:$AB$38,10,0))</f>
        <v>0</v>
      </c>
      <c r="T358" s="6">
        <f>SUMIF('JUNE (물량흐름)'!$C$13:$C$502,'Direct labour(직접노무비)'!C358,'JUNE (물량흐름)'!$Y$13:$Y$502)</f>
        <v>0</v>
      </c>
      <c r="U358" s="6">
        <f t="shared" si="67"/>
        <v>0</v>
      </c>
      <c r="V358" s="6">
        <f>ROUND(SUMIF('JUNE (물량흐름)'!$C$13:$C$502,'Direct labour(직접노무비)'!C358,'JUNE (물량흐름)'!$N$13:$N$502),0)</f>
        <v>0</v>
      </c>
      <c r="W358" s="6">
        <f>ROUND(SUMIF('JUNE (물량흐름)'!$C$13:$C$502,'Direct labour(직접노무비)'!C358,'JUNE (물량흐름)'!$O$13:$O$502),0)</f>
        <v>46</v>
      </c>
      <c r="X358" s="6">
        <f>ROUND(SUMIF('JUNE (물량흐름)'!$C$13:$C$502,'Direct labour(직접노무비)'!C358,'JUNE (물량흐름)'!$P$13:$P$502),0)</f>
        <v>0</v>
      </c>
      <c r="Y358" s="6">
        <f t="shared" si="68"/>
        <v>46</v>
      </c>
      <c r="Z358" s="6">
        <f t="shared" si="69"/>
        <v>23</v>
      </c>
      <c r="AA358" s="6">
        <f t="shared" si="74"/>
        <v>331464</v>
      </c>
      <c r="AB358" s="389">
        <f t="shared" si="70"/>
        <v>0</v>
      </c>
      <c r="AC358" s="503">
        <f t="shared" si="63"/>
        <v>0</v>
      </c>
      <c r="AD358" s="389">
        <f t="shared" si="71"/>
        <v>0</v>
      </c>
    </row>
    <row r="359" spans="1:30" s="390" customFormat="1">
      <c r="A359" s="167">
        <v>354</v>
      </c>
      <c r="B359" s="267" t="str">
        <f>VLOOKUP(A359,'JUNE (물량흐름)'!$A$13:$C$502,2,0)</f>
        <v>ALFANI</v>
      </c>
      <c r="C359" s="240">
        <f>VLOOKUP(A359,'JUNE (물량흐름)'!$A$13:$C$502,3,0)</f>
        <v>100019044</v>
      </c>
      <c r="D359" s="6">
        <f>VLOOKUP(C359,'WIP(재공품)'!$B$12:$E$493,4,0)</f>
        <v>37413.75</v>
      </c>
      <c r="E359" s="6">
        <f>IFERROR(VLOOKUP(C359,O.B.JUNE!$AA$7:$AG$448,2,0),0)</f>
        <v>0</v>
      </c>
      <c r="F359" s="6">
        <f>IFERROR(VLOOKUP(C359,O.B.JUNE!$AA$7:$AG$448,3,0),0)</f>
        <v>110</v>
      </c>
      <c r="G359" s="6">
        <f>IFERROR(VLOOKUP(C359,O.B.JUNE!$AA$7:$AD$448,4,0),0)</f>
        <v>110</v>
      </c>
      <c r="H359" s="6">
        <f t="shared" si="64"/>
        <v>220</v>
      </c>
      <c r="I359" s="6">
        <f>IFERROR(VLOOKUP(C359,O.B.JUNE!$AA$7:$AF$448,6,0),0)</f>
        <v>143</v>
      </c>
      <c r="J359" s="6"/>
      <c r="K359" s="6">
        <f>IFERROR(VLOOKUP(C359,O.B.JUNE!$AA$7:$AG$448,7,0),0)</f>
        <v>2346808</v>
      </c>
      <c r="L359" s="6">
        <f>SUMIF('JUNE (물량흐름)'!$C$13:$C$502,'Direct labour(직접노무비)'!C359,'JUNE (물량흐름)'!$H$13:$H$502)+SUMIF('JUNE (물량흐름)'!$C$13:$C$502,'Direct labour(직접노무비)'!C359,'JUNE (물량흐름)'!$I$13:$I$502)</f>
        <v>0</v>
      </c>
      <c r="M359" s="6">
        <f t="shared" si="65"/>
        <v>0</v>
      </c>
      <c r="N359" s="6">
        <f t="shared" si="66"/>
        <v>0</v>
      </c>
      <c r="O359" s="6">
        <f t="shared" si="72"/>
        <v>0</v>
      </c>
      <c r="P359" s="6">
        <f>SUMIF('JUNE (물량흐름)'!$C$13:$C$502,C359,'JUNE (물량흐름)'!$T$13:$T$502)+SUMIF('JUNE (물량흐름)'!$C$13:$C$502,C359,'JUNE (물량흐름)'!$V$13:$V$502)+SUMIF('JUNE (물량흐름)'!$C$13:$C$502,C359,'JUNE (물량흐름)'!$U$13:$U$502)-SUMIF('JUNE (물량흐름)'!$C$13:$C$502,C359,'JUNE (물량흐름)'!$Y$13:$Y$502)</f>
        <v>0</v>
      </c>
      <c r="Q359" s="6">
        <f t="shared" si="73"/>
        <v>0</v>
      </c>
      <c r="R359" s="6">
        <f>ROUND(IF(ISERROR(VLOOKUP(#REF!,'WIP(재공품)'!$B$12:$AB$38,13,0)),0,VLOOKUP(#REF!,'WIP(재공품)'!$B$12:$AB$38,13,0)),0)</f>
        <v>0</v>
      </c>
      <c r="S359" s="6">
        <f>IF(ISERROR(VLOOKUP(#REF!,'WIP(재공품)'!$B$12:$AB$38,10,0)),0,VLOOKUP(#REF!,'WIP(재공품)'!$B$12:$AB$38,10,0))</f>
        <v>0</v>
      </c>
      <c r="T359" s="6">
        <f>SUMIF('JUNE (물량흐름)'!$C$13:$C$502,'Direct labour(직접노무비)'!C359,'JUNE (물량흐름)'!$Y$13:$Y$502)</f>
        <v>0</v>
      </c>
      <c r="U359" s="6">
        <f t="shared" si="67"/>
        <v>0</v>
      </c>
      <c r="V359" s="6">
        <f>ROUND(SUMIF('JUNE (물량흐름)'!$C$13:$C$502,'Direct labour(직접노무비)'!C359,'JUNE (물량흐름)'!$N$13:$N$502),0)</f>
        <v>0</v>
      </c>
      <c r="W359" s="6">
        <f>ROUND(SUMIF('JUNE (물량흐름)'!$C$13:$C$502,'Direct labour(직접노무비)'!C359,'JUNE (물량흐름)'!$O$13:$O$502),0)</f>
        <v>110</v>
      </c>
      <c r="X359" s="6">
        <f>ROUND(SUMIF('JUNE (물량흐름)'!$C$13:$C$502,'Direct labour(직접노무비)'!C359,'JUNE (물량흐름)'!$P$13:$P$502),0)</f>
        <v>110</v>
      </c>
      <c r="Y359" s="6">
        <f t="shared" si="68"/>
        <v>220</v>
      </c>
      <c r="Z359" s="6">
        <f t="shared" si="69"/>
        <v>143</v>
      </c>
      <c r="AA359" s="6">
        <f t="shared" si="74"/>
        <v>2346808</v>
      </c>
      <c r="AB359" s="389">
        <f t="shared" si="70"/>
        <v>0</v>
      </c>
      <c r="AC359" s="503">
        <f t="shared" si="63"/>
        <v>0</v>
      </c>
      <c r="AD359" s="389">
        <f t="shared" si="71"/>
        <v>0</v>
      </c>
    </row>
    <row r="360" spans="1:30" s="390" customFormat="1">
      <c r="A360" s="167">
        <v>355</v>
      </c>
      <c r="B360" s="267" t="str">
        <f>VLOOKUP(A360,'JUNE (물량흐름)'!$A$13:$C$502,2,0)</f>
        <v>ALFANI</v>
      </c>
      <c r="C360" s="240">
        <f>VLOOKUP(A360,'JUNE (물량흐름)'!$A$13:$C$502,3,0)</f>
        <v>100023527</v>
      </c>
      <c r="D360" s="6">
        <f>VLOOKUP(C360,'WIP(재공품)'!$B$12:$E$493,4,0)</f>
        <v>34692.75</v>
      </c>
      <c r="E360" s="6">
        <f>IFERROR(VLOOKUP(C360,O.B.JUNE!$AA$7:$AG$448,2,0),0)</f>
        <v>11</v>
      </c>
      <c r="F360" s="6">
        <f>IFERROR(VLOOKUP(C360,O.B.JUNE!$AA$7:$AG$448,3,0),0)</f>
        <v>185</v>
      </c>
      <c r="G360" s="6">
        <f>IFERROR(VLOOKUP(C360,O.B.JUNE!$AA$7:$AD$448,4,0),0)</f>
        <v>438</v>
      </c>
      <c r="H360" s="6">
        <f t="shared" si="64"/>
        <v>634</v>
      </c>
      <c r="I360" s="6">
        <f>IFERROR(VLOOKUP(C360,O.B.JUNE!$AA$7:$AF$448,6,0),0)</f>
        <v>445</v>
      </c>
      <c r="J360" s="6"/>
      <c r="K360" s="6">
        <f>IFERROR(VLOOKUP(C360,O.B.JUNE!$AA$7:$AG$448,7,0),0)</f>
        <v>4166726</v>
      </c>
      <c r="L360" s="6">
        <f>SUMIF('JUNE (물량흐름)'!$C$13:$C$502,'Direct labour(직접노무비)'!C360,'JUNE (물량흐름)'!$H$13:$H$502)+SUMIF('JUNE (물량흐름)'!$C$13:$C$502,'Direct labour(직접노무비)'!C360,'JUNE (물량흐름)'!$I$13:$I$502)</f>
        <v>0</v>
      </c>
      <c r="M360" s="6">
        <f t="shared" si="65"/>
        <v>0</v>
      </c>
      <c r="N360" s="6">
        <f t="shared" si="66"/>
        <v>0</v>
      </c>
      <c r="O360" s="6">
        <f t="shared" si="72"/>
        <v>0</v>
      </c>
      <c r="P360" s="6">
        <f>SUMIF('JUNE (물량흐름)'!$C$13:$C$502,C360,'JUNE (물량흐름)'!$T$13:$T$502)+SUMIF('JUNE (물량흐름)'!$C$13:$C$502,C360,'JUNE (물량흐름)'!$V$13:$V$502)+SUMIF('JUNE (물량흐름)'!$C$13:$C$502,C360,'JUNE (물량흐름)'!$U$13:$U$502)-SUMIF('JUNE (물량흐름)'!$C$13:$C$502,C360,'JUNE (물량흐름)'!$Y$13:$Y$502)</f>
        <v>0</v>
      </c>
      <c r="Q360" s="6">
        <f t="shared" si="73"/>
        <v>0</v>
      </c>
      <c r="R360" s="6">
        <f>ROUND(IF(ISERROR(VLOOKUP(#REF!,'WIP(재공품)'!$B$12:$AB$38,13,0)),0,VLOOKUP(#REF!,'WIP(재공품)'!$B$12:$AB$38,13,0)),0)</f>
        <v>0</v>
      </c>
      <c r="S360" s="6">
        <f>IF(ISERROR(VLOOKUP(#REF!,'WIP(재공품)'!$B$12:$AB$38,10,0)),0,VLOOKUP(#REF!,'WIP(재공품)'!$B$12:$AB$38,10,0))</f>
        <v>0</v>
      </c>
      <c r="T360" s="6">
        <f>SUMIF('JUNE (물량흐름)'!$C$13:$C$502,'Direct labour(직접노무비)'!C360,'JUNE (물량흐름)'!$Y$13:$Y$502)</f>
        <v>0</v>
      </c>
      <c r="U360" s="6">
        <f t="shared" si="67"/>
        <v>0</v>
      </c>
      <c r="V360" s="6">
        <f>ROUND(SUMIF('JUNE (물량흐름)'!$C$13:$C$502,'Direct labour(직접노무비)'!C360,'JUNE (물량흐름)'!$N$13:$N$502),0)</f>
        <v>11</v>
      </c>
      <c r="W360" s="6">
        <f>ROUND(SUMIF('JUNE (물량흐름)'!$C$13:$C$502,'Direct labour(직접노무비)'!C360,'JUNE (물량흐름)'!$O$13:$O$502),0)</f>
        <v>185</v>
      </c>
      <c r="X360" s="6">
        <f>ROUND(SUMIF('JUNE (물량흐름)'!$C$13:$C$502,'Direct labour(직접노무비)'!C360,'JUNE (물량흐름)'!$P$13:$P$502),0)</f>
        <v>438</v>
      </c>
      <c r="Y360" s="6">
        <f t="shared" si="68"/>
        <v>634</v>
      </c>
      <c r="Z360" s="6">
        <f t="shared" si="69"/>
        <v>445</v>
      </c>
      <c r="AA360" s="6">
        <f t="shared" si="74"/>
        <v>4166726</v>
      </c>
      <c r="AB360" s="389">
        <f t="shared" si="70"/>
        <v>0</v>
      </c>
      <c r="AC360" s="503">
        <f t="shared" si="63"/>
        <v>0</v>
      </c>
      <c r="AD360" s="389">
        <f t="shared" si="71"/>
        <v>0</v>
      </c>
    </row>
    <row r="361" spans="1:30" s="390" customFormat="1">
      <c r="A361" s="167">
        <v>356</v>
      </c>
      <c r="B361" s="267" t="str">
        <f>VLOOKUP(A361,'JUNE (물량흐름)'!$A$13:$C$502,2,0)</f>
        <v>ALFANI</v>
      </c>
      <c r="C361" s="240">
        <f>VLOOKUP(A361,'JUNE (물량흐름)'!$A$13:$C$502,3,0)</f>
        <v>100024705</v>
      </c>
      <c r="D361" s="6">
        <f>VLOOKUP(C361,'WIP(재공품)'!$B$12:$E$493,4,0)</f>
        <v>73467</v>
      </c>
      <c r="E361" s="6">
        <f>IFERROR(VLOOKUP(C361,O.B.JUNE!$AA$7:$AG$448,2,0),0)</f>
        <v>0</v>
      </c>
      <c r="F361" s="6">
        <f>IFERROR(VLOOKUP(C361,O.B.JUNE!$AA$7:$AG$448,3,0),0)</f>
        <v>23</v>
      </c>
      <c r="G361" s="6">
        <f>IFERROR(VLOOKUP(C361,O.B.JUNE!$AA$7:$AD$448,4,0),0)</f>
        <v>46</v>
      </c>
      <c r="H361" s="6">
        <f t="shared" si="64"/>
        <v>69</v>
      </c>
      <c r="I361" s="6">
        <f>IFERROR(VLOOKUP(C361,O.B.JUNE!$AA$7:$AF$448,6,0),0)</f>
        <v>48</v>
      </c>
      <c r="J361" s="6"/>
      <c r="K361" s="6">
        <f>IFERROR(VLOOKUP(C361,O.B.JUNE!$AA$7:$AG$448,7,0),0)</f>
        <v>454275</v>
      </c>
      <c r="L361" s="6">
        <f>SUMIF('JUNE (물량흐름)'!$C$13:$C$502,'Direct labour(직접노무비)'!C361,'JUNE (물량흐름)'!$H$13:$H$502)+SUMIF('JUNE (물량흐름)'!$C$13:$C$502,'Direct labour(직접노무비)'!C361,'JUNE (물량흐름)'!$I$13:$I$502)</f>
        <v>0</v>
      </c>
      <c r="M361" s="6">
        <f t="shared" si="65"/>
        <v>0</v>
      </c>
      <c r="N361" s="6">
        <f t="shared" si="66"/>
        <v>0</v>
      </c>
      <c r="O361" s="6">
        <f t="shared" si="72"/>
        <v>0</v>
      </c>
      <c r="P361" s="6">
        <f>SUMIF('JUNE (물량흐름)'!$C$13:$C$502,C361,'JUNE (물량흐름)'!$T$13:$T$502)+SUMIF('JUNE (물량흐름)'!$C$13:$C$502,C361,'JUNE (물량흐름)'!$V$13:$V$502)+SUMIF('JUNE (물량흐름)'!$C$13:$C$502,C361,'JUNE (물량흐름)'!$U$13:$U$502)-SUMIF('JUNE (물량흐름)'!$C$13:$C$502,C361,'JUNE (물량흐름)'!$Y$13:$Y$502)</f>
        <v>0</v>
      </c>
      <c r="Q361" s="6">
        <f t="shared" si="73"/>
        <v>0</v>
      </c>
      <c r="R361" s="6">
        <f>ROUND(IF(ISERROR(VLOOKUP(#REF!,'WIP(재공품)'!$B$12:$AB$38,13,0)),0,VLOOKUP(#REF!,'WIP(재공품)'!$B$12:$AB$38,13,0)),0)</f>
        <v>0</v>
      </c>
      <c r="S361" s="6">
        <f>IF(ISERROR(VLOOKUP(#REF!,'WIP(재공품)'!$B$12:$AB$38,10,0)),0,VLOOKUP(#REF!,'WIP(재공품)'!$B$12:$AB$38,10,0))</f>
        <v>0</v>
      </c>
      <c r="T361" s="6">
        <f>SUMIF('JUNE (물량흐름)'!$C$13:$C$502,'Direct labour(직접노무비)'!C361,'JUNE (물량흐름)'!$Y$13:$Y$502)</f>
        <v>0</v>
      </c>
      <c r="U361" s="6">
        <f t="shared" si="67"/>
        <v>0</v>
      </c>
      <c r="V361" s="6">
        <f>ROUND(SUMIF('JUNE (물량흐름)'!$C$13:$C$502,'Direct labour(직접노무비)'!C361,'JUNE (물량흐름)'!$N$13:$N$502),0)</f>
        <v>0</v>
      </c>
      <c r="W361" s="6">
        <f>ROUND(SUMIF('JUNE (물량흐름)'!$C$13:$C$502,'Direct labour(직접노무비)'!C361,'JUNE (물량흐름)'!$O$13:$O$502),0)</f>
        <v>23</v>
      </c>
      <c r="X361" s="6">
        <f>ROUND(SUMIF('JUNE (물량흐름)'!$C$13:$C$502,'Direct labour(직접노무비)'!C361,'JUNE (물량흐름)'!$P$13:$P$502),0)</f>
        <v>46</v>
      </c>
      <c r="Y361" s="6">
        <f t="shared" si="68"/>
        <v>69</v>
      </c>
      <c r="Z361" s="6">
        <f t="shared" si="69"/>
        <v>48</v>
      </c>
      <c r="AA361" s="6">
        <f t="shared" si="74"/>
        <v>454275</v>
      </c>
      <c r="AB361" s="389">
        <f t="shared" si="70"/>
        <v>0</v>
      </c>
      <c r="AC361" s="503">
        <f t="shared" si="63"/>
        <v>0</v>
      </c>
      <c r="AD361" s="389">
        <f t="shared" si="71"/>
        <v>0</v>
      </c>
    </row>
    <row r="362" spans="1:30" s="390" customFormat="1">
      <c r="A362" s="167">
        <v>357</v>
      </c>
      <c r="B362" s="267" t="str">
        <f>VLOOKUP(A362,'JUNE (물량흐름)'!$A$13:$C$502,2,0)</f>
        <v>ALFANI</v>
      </c>
      <c r="C362" s="240">
        <f>VLOOKUP(A362,'JUNE (물량흐름)'!$A$13:$C$502,3,0)</f>
        <v>100027400</v>
      </c>
      <c r="D362" s="6">
        <f>VLOOKUP(C362,'WIP(재공품)'!$B$12:$E$493,4,0)</f>
        <v>94101.250000000015</v>
      </c>
      <c r="E362" s="6">
        <f>IFERROR(VLOOKUP(C362,O.B.JUNE!$AA$7:$AG$448,2,0),0)</f>
        <v>1</v>
      </c>
      <c r="F362" s="6">
        <f>IFERROR(VLOOKUP(C362,O.B.JUNE!$AA$7:$AG$448,3,0),0)</f>
        <v>12</v>
      </c>
      <c r="G362" s="6">
        <f>IFERROR(VLOOKUP(C362,O.B.JUNE!$AA$7:$AD$448,4,0),0)</f>
        <v>14</v>
      </c>
      <c r="H362" s="6">
        <f t="shared" si="64"/>
        <v>27</v>
      </c>
      <c r="I362" s="6">
        <f>IFERROR(VLOOKUP(C362,O.B.JUNE!$AA$7:$AF$448,6,0),0)</f>
        <v>17</v>
      </c>
      <c r="J362" s="6"/>
      <c r="K362" s="6">
        <f>IFERROR(VLOOKUP(C362,O.B.JUNE!$AA$7:$AG$448,7,0),0)</f>
        <v>238549</v>
      </c>
      <c r="L362" s="6">
        <f>SUMIF('JUNE (물량흐름)'!$C$13:$C$502,'Direct labour(직접노무비)'!C362,'JUNE (물량흐름)'!$H$13:$H$502)+SUMIF('JUNE (물량흐름)'!$C$13:$C$502,'Direct labour(직접노무비)'!C362,'JUNE (물량흐름)'!$I$13:$I$502)</f>
        <v>0</v>
      </c>
      <c r="M362" s="6">
        <f t="shared" si="65"/>
        <v>0</v>
      </c>
      <c r="N362" s="6">
        <f t="shared" si="66"/>
        <v>0</v>
      </c>
      <c r="O362" s="6">
        <f t="shared" si="72"/>
        <v>0</v>
      </c>
      <c r="P362" s="6">
        <f>SUMIF('JUNE (물량흐름)'!$C$13:$C$502,C362,'JUNE (물량흐름)'!$T$13:$T$502)+SUMIF('JUNE (물량흐름)'!$C$13:$C$502,C362,'JUNE (물량흐름)'!$V$13:$V$502)+SUMIF('JUNE (물량흐름)'!$C$13:$C$502,C362,'JUNE (물량흐름)'!$U$13:$U$502)-SUMIF('JUNE (물량흐름)'!$C$13:$C$502,C362,'JUNE (물량흐름)'!$Y$13:$Y$502)</f>
        <v>0</v>
      </c>
      <c r="Q362" s="6">
        <f t="shared" si="73"/>
        <v>0</v>
      </c>
      <c r="R362" s="6">
        <f>ROUND(IF(ISERROR(VLOOKUP(#REF!,'WIP(재공품)'!$B$12:$AB$38,13,0)),0,VLOOKUP(#REF!,'WIP(재공품)'!$B$12:$AB$38,13,0)),0)</f>
        <v>0</v>
      </c>
      <c r="S362" s="6">
        <f>IF(ISERROR(VLOOKUP(#REF!,'WIP(재공품)'!$B$12:$AB$38,10,0)),0,VLOOKUP(#REF!,'WIP(재공품)'!$B$12:$AB$38,10,0))</f>
        <v>0</v>
      </c>
      <c r="T362" s="6">
        <f>SUMIF('JUNE (물량흐름)'!$C$13:$C$502,'Direct labour(직접노무비)'!C362,'JUNE (물량흐름)'!$Y$13:$Y$502)</f>
        <v>0</v>
      </c>
      <c r="U362" s="6">
        <f t="shared" si="67"/>
        <v>0</v>
      </c>
      <c r="V362" s="6">
        <f>ROUND(SUMIF('JUNE (물량흐름)'!$C$13:$C$502,'Direct labour(직접노무비)'!C362,'JUNE (물량흐름)'!$N$13:$N$502),0)</f>
        <v>1</v>
      </c>
      <c r="W362" s="6">
        <f>ROUND(SUMIF('JUNE (물량흐름)'!$C$13:$C$502,'Direct labour(직접노무비)'!C362,'JUNE (물량흐름)'!$O$13:$O$502),0)</f>
        <v>12</v>
      </c>
      <c r="X362" s="6">
        <f>ROUND(SUMIF('JUNE (물량흐름)'!$C$13:$C$502,'Direct labour(직접노무비)'!C362,'JUNE (물량흐름)'!$P$13:$P$502),0)</f>
        <v>14</v>
      </c>
      <c r="Y362" s="6">
        <f t="shared" si="68"/>
        <v>27</v>
      </c>
      <c r="Z362" s="6">
        <f t="shared" si="69"/>
        <v>17</v>
      </c>
      <c r="AA362" s="6">
        <f t="shared" si="74"/>
        <v>238549</v>
      </c>
      <c r="AB362" s="389">
        <f t="shared" si="70"/>
        <v>0</v>
      </c>
      <c r="AC362" s="503">
        <f t="shared" si="63"/>
        <v>0</v>
      </c>
      <c r="AD362" s="389">
        <f t="shared" si="71"/>
        <v>0</v>
      </c>
    </row>
    <row r="363" spans="1:30" s="390" customFormat="1">
      <c r="A363" s="167">
        <v>358</v>
      </c>
      <c r="B363" s="267" t="str">
        <f>VLOOKUP(A363,'JUNE (물량흐름)'!$A$13:$C$502,2,0)</f>
        <v>ALFANI</v>
      </c>
      <c r="C363" s="240">
        <f>VLOOKUP(A363,'JUNE (물량흐름)'!$A$13:$C$502,3,0)</f>
        <v>100027987</v>
      </c>
      <c r="D363" s="6">
        <f>VLOOKUP(C363,'WIP(재공품)'!$B$12:$E$493,4,0)</f>
        <v>7936.2499999999991</v>
      </c>
      <c r="E363" s="6">
        <f>IFERROR(VLOOKUP(C363,O.B.JUNE!$AA$7:$AG$448,2,0),0)</f>
        <v>0</v>
      </c>
      <c r="F363" s="6">
        <f>IFERROR(VLOOKUP(C363,O.B.JUNE!$AA$7:$AG$448,3,0),0)</f>
        <v>38</v>
      </c>
      <c r="G363" s="6">
        <f>IFERROR(VLOOKUP(C363,O.B.JUNE!$AA$7:$AD$448,4,0),0)</f>
        <v>222</v>
      </c>
      <c r="H363" s="6">
        <f t="shared" si="64"/>
        <v>260</v>
      </c>
      <c r="I363" s="6">
        <f>IFERROR(VLOOKUP(C363,O.B.JUNE!$AA$7:$AF$448,6,0),0)</f>
        <v>197</v>
      </c>
      <c r="J363" s="6"/>
      <c r="K363" s="6">
        <f>IFERROR(VLOOKUP(C363,O.B.JUNE!$AA$7:$AG$448,7,0),0)</f>
        <v>2554940</v>
      </c>
      <c r="L363" s="6">
        <f>SUMIF('JUNE (물량흐름)'!$C$13:$C$502,'Direct labour(직접노무비)'!C363,'JUNE (물량흐름)'!$H$13:$H$502)+SUMIF('JUNE (물량흐름)'!$C$13:$C$502,'Direct labour(직접노무비)'!C363,'JUNE (물량흐름)'!$I$13:$I$502)</f>
        <v>0</v>
      </c>
      <c r="M363" s="6">
        <f t="shared" si="65"/>
        <v>0</v>
      </c>
      <c r="N363" s="6">
        <f t="shared" si="66"/>
        <v>0</v>
      </c>
      <c r="O363" s="6">
        <f t="shared" si="72"/>
        <v>0</v>
      </c>
      <c r="P363" s="6">
        <f>SUMIF('JUNE (물량흐름)'!$C$13:$C$502,C363,'JUNE (물량흐름)'!$T$13:$T$502)+SUMIF('JUNE (물량흐름)'!$C$13:$C$502,C363,'JUNE (물량흐름)'!$V$13:$V$502)+SUMIF('JUNE (물량흐름)'!$C$13:$C$502,C363,'JUNE (물량흐름)'!$U$13:$U$502)-SUMIF('JUNE (물량흐름)'!$C$13:$C$502,C363,'JUNE (물량흐름)'!$Y$13:$Y$502)</f>
        <v>0</v>
      </c>
      <c r="Q363" s="6">
        <f t="shared" si="73"/>
        <v>0</v>
      </c>
      <c r="R363" s="6">
        <f>ROUND(IF(ISERROR(VLOOKUP(#REF!,'WIP(재공품)'!$B$12:$AB$38,13,0)),0,VLOOKUP(#REF!,'WIP(재공품)'!$B$12:$AB$38,13,0)),0)</f>
        <v>0</v>
      </c>
      <c r="S363" s="6">
        <f>IF(ISERROR(VLOOKUP(#REF!,'WIP(재공품)'!$B$12:$AB$38,10,0)),0,VLOOKUP(#REF!,'WIP(재공품)'!$B$12:$AB$38,10,0))</f>
        <v>0</v>
      </c>
      <c r="T363" s="6">
        <f>SUMIF('JUNE (물량흐름)'!$C$13:$C$502,'Direct labour(직접노무비)'!C363,'JUNE (물량흐름)'!$Y$13:$Y$502)</f>
        <v>0</v>
      </c>
      <c r="U363" s="6">
        <f t="shared" si="67"/>
        <v>0</v>
      </c>
      <c r="V363" s="6">
        <f>ROUND(SUMIF('JUNE (물량흐름)'!$C$13:$C$502,'Direct labour(직접노무비)'!C363,'JUNE (물량흐름)'!$N$13:$N$502),0)</f>
        <v>0</v>
      </c>
      <c r="W363" s="6">
        <f>ROUND(SUMIF('JUNE (물량흐름)'!$C$13:$C$502,'Direct labour(직접노무비)'!C363,'JUNE (물량흐름)'!$O$13:$O$502),0)</f>
        <v>38</v>
      </c>
      <c r="X363" s="6">
        <f>ROUND(SUMIF('JUNE (물량흐름)'!$C$13:$C$502,'Direct labour(직접노무비)'!C363,'JUNE (물량흐름)'!$P$13:$P$502),0)</f>
        <v>222</v>
      </c>
      <c r="Y363" s="6">
        <f t="shared" si="68"/>
        <v>260</v>
      </c>
      <c r="Z363" s="6">
        <f t="shared" si="69"/>
        <v>197</v>
      </c>
      <c r="AA363" s="6">
        <f t="shared" si="74"/>
        <v>2554940</v>
      </c>
      <c r="AB363" s="389">
        <f t="shared" si="70"/>
        <v>0</v>
      </c>
      <c r="AC363" s="503">
        <f t="shared" si="63"/>
        <v>0</v>
      </c>
      <c r="AD363" s="389">
        <f t="shared" si="71"/>
        <v>0</v>
      </c>
    </row>
    <row r="364" spans="1:30" s="390" customFormat="1">
      <c r="A364" s="167">
        <v>359</v>
      </c>
      <c r="B364" s="267" t="str">
        <f>VLOOKUP(A364,'JUNE (물량흐름)'!$A$13:$C$502,2,0)</f>
        <v>ALFANI</v>
      </c>
      <c r="C364" s="240">
        <f>VLOOKUP(A364,'JUNE (물량흐름)'!$A$13:$C$502,3,0)</f>
        <v>100028764</v>
      </c>
      <c r="D364" s="6">
        <f>VLOOKUP(C364,'WIP(재공품)'!$B$12:$E$493,4,0)</f>
        <v>46710.5</v>
      </c>
      <c r="E364" s="6">
        <f>IFERROR(VLOOKUP(C364,O.B.JUNE!$AA$7:$AG$448,2,0),0)</f>
        <v>0</v>
      </c>
      <c r="F364" s="6">
        <f>IFERROR(VLOOKUP(C364,O.B.JUNE!$AA$7:$AG$448,3,0),0)</f>
        <v>105</v>
      </c>
      <c r="G364" s="6">
        <f>IFERROR(VLOOKUP(C364,O.B.JUNE!$AA$7:$AD$448,4,0),0)</f>
        <v>255</v>
      </c>
      <c r="H364" s="6">
        <f t="shared" si="64"/>
        <v>360</v>
      </c>
      <c r="I364" s="6">
        <f>IFERROR(VLOOKUP(C364,O.B.JUNE!$AA$7:$AF$448,6,0),0)</f>
        <v>257</v>
      </c>
      <c r="J364" s="6"/>
      <c r="K364" s="6">
        <f>IFERROR(VLOOKUP(C364,O.B.JUNE!$AA$7:$AG$448,7,0),0)</f>
        <v>4959449</v>
      </c>
      <c r="L364" s="6">
        <f>SUMIF('JUNE (물량흐름)'!$C$13:$C$502,'Direct labour(직접노무비)'!C364,'JUNE (물량흐름)'!$H$13:$H$502)+SUMIF('JUNE (물량흐름)'!$C$13:$C$502,'Direct labour(직접노무비)'!C364,'JUNE (물량흐름)'!$I$13:$I$502)</f>
        <v>281</v>
      </c>
      <c r="M364" s="6">
        <f t="shared" si="65"/>
        <v>276</v>
      </c>
      <c r="N364" s="6">
        <f t="shared" si="66"/>
        <v>12892098</v>
      </c>
      <c r="O364" s="6">
        <f t="shared" si="72"/>
        <v>3987187</v>
      </c>
      <c r="P364" s="6">
        <f>SUMIF('JUNE (물량흐름)'!$C$13:$C$502,C364,'JUNE (물량흐름)'!$T$13:$T$502)+SUMIF('JUNE (물량흐름)'!$C$13:$C$502,C364,'JUNE (물량흐름)'!$V$13:$V$502)+SUMIF('JUNE (물량흐름)'!$C$13:$C$502,C364,'JUNE (물량흐름)'!$U$13:$U$502)-SUMIF('JUNE (물량흐름)'!$C$13:$C$502,C364,'JUNE (물량흐름)'!$Y$13:$Y$502)</f>
        <v>361</v>
      </c>
      <c r="Q364" s="6">
        <f t="shared" si="73"/>
        <v>5038589</v>
      </c>
      <c r="R364" s="6">
        <f>ROUND(IF(ISERROR(VLOOKUP(#REF!,'WIP(재공품)'!$B$12:$AB$38,13,0)),0,VLOOKUP(#REF!,'WIP(재공품)'!$B$12:$AB$38,13,0)),0)</f>
        <v>0</v>
      </c>
      <c r="S364" s="6">
        <f>IF(ISERROR(VLOOKUP(#REF!,'WIP(재공품)'!$B$12:$AB$38,10,0)),0,VLOOKUP(#REF!,'WIP(재공품)'!$B$12:$AB$38,10,0))</f>
        <v>0</v>
      </c>
      <c r="T364" s="6">
        <f>SUMIF('JUNE (물량흐름)'!$C$13:$C$502,'Direct labour(직접노무비)'!C364,'JUNE (물량흐름)'!$Y$13:$Y$502)</f>
        <v>0</v>
      </c>
      <c r="U364" s="6">
        <f t="shared" si="67"/>
        <v>0</v>
      </c>
      <c r="V364" s="6">
        <f>ROUND(SUMIF('JUNE (물량흐름)'!$C$13:$C$502,'Direct labour(직접노무비)'!C364,'JUNE (물량흐름)'!$N$13:$N$502),0)</f>
        <v>0</v>
      </c>
      <c r="W364" s="6">
        <f>ROUND(SUMIF('JUNE (물량흐름)'!$C$13:$C$502,'Direct labour(직접노무비)'!C364,'JUNE (물량흐름)'!$O$13:$O$502),0)</f>
        <v>173</v>
      </c>
      <c r="X364" s="6">
        <f>ROUND(SUMIF('JUNE (물량흐름)'!$C$13:$C$502,'Direct labour(직접노무비)'!C364,'JUNE (물량흐름)'!$P$13:$P$502),0)</f>
        <v>107</v>
      </c>
      <c r="Y364" s="6">
        <f t="shared" si="68"/>
        <v>280</v>
      </c>
      <c r="Z364" s="6">
        <f t="shared" si="69"/>
        <v>172</v>
      </c>
      <c r="AA364" s="6">
        <f t="shared" si="74"/>
        <v>3908047</v>
      </c>
      <c r="AB364" s="389">
        <f t="shared" si="70"/>
        <v>0</v>
      </c>
      <c r="AC364" s="503">
        <f t="shared" si="63"/>
        <v>0</v>
      </c>
      <c r="AD364" s="389">
        <f t="shared" si="71"/>
        <v>0</v>
      </c>
    </row>
    <row r="365" spans="1:30" s="390" customFormat="1">
      <c r="A365" s="167">
        <v>360</v>
      </c>
      <c r="B365" s="267" t="str">
        <f>VLOOKUP(A365,'JUNE (물량흐름)'!$A$13:$C$502,2,0)</f>
        <v>ALFANI</v>
      </c>
      <c r="C365" s="240">
        <f>VLOOKUP(A365,'JUNE (물량흐름)'!$A$13:$C$502,3,0)</f>
        <v>100033322</v>
      </c>
      <c r="D365" s="6">
        <f>VLOOKUP(C365,'WIP(재공품)'!$B$12:$E$493,4,0)</f>
        <v>60088.75</v>
      </c>
      <c r="E365" s="6">
        <f>IFERROR(VLOOKUP(C365,O.B.JUNE!$AA$7:$AG$448,2,0),0)</f>
        <v>0</v>
      </c>
      <c r="F365" s="6">
        <f>IFERROR(VLOOKUP(C365,O.B.JUNE!$AA$7:$AG$448,3,0),0)</f>
        <v>44</v>
      </c>
      <c r="G365" s="6">
        <f>IFERROR(VLOOKUP(C365,O.B.JUNE!$AA$7:$AD$448,4,0),0)</f>
        <v>19</v>
      </c>
      <c r="H365" s="6">
        <f t="shared" si="64"/>
        <v>63</v>
      </c>
      <c r="I365" s="6">
        <f>IFERROR(VLOOKUP(C365,O.B.JUNE!$AA$7:$AF$448,6,0),0)</f>
        <v>37</v>
      </c>
      <c r="J365" s="6"/>
      <c r="K365" s="6">
        <f>IFERROR(VLOOKUP(C365,O.B.JUNE!$AA$7:$AG$448,7,0),0)</f>
        <v>520969</v>
      </c>
      <c r="L365" s="6">
        <f>SUMIF('JUNE (물량흐름)'!$C$13:$C$502,'Direct labour(직접노무비)'!C365,'JUNE (물량흐름)'!$H$13:$H$502)+SUMIF('JUNE (물량흐름)'!$C$13:$C$502,'Direct labour(직접노무비)'!C365,'JUNE (물량흐름)'!$I$13:$I$502)</f>
        <v>0</v>
      </c>
      <c r="M365" s="6">
        <f t="shared" si="65"/>
        <v>0</v>
      </c>
      <c r="N365" s="6">
        <f t="shared" si="66"/>
        <v>0</v>
      </c>
      <c r="O365" s="6">
        <f t="shared" si="72"/>
        <v>0</v>
      </c>
      <c r="P365" s="6">
        <f>SUMIF('JUNE (물량흐름)'!$C$13:$C$502,C365,'JUNE (물량흐름)'!$T$13:$T$502)+SUMIF('JUNE (물량흐름)'!$C$13:$C$502,C365,'JUNE (물량흐름)'!$V$13:$V$502)+SUMIF('JUNE (물량흐름)'!$C$13:$C$502,C365,'JUNE (물량흐름)'!$U$13:$U$502)-SUMIF('JUNE (물량흐름)'!$C$13:$C$502,C365,'JUNE (물량흐름)'!$Y$13:$Y$502)</f>
        <v>0</v>
      </c>
      <c r="Q365" s="6">
        <f t="shared" si="73"/>
        <v>0</v>
      </c>
      <c r="R365" s="6">
        <f>ROUND(IF(ISERROR(VLOOKUP(#REF!,'WIP(재공품)'!$B$12:$AB$38,13,0)),0,VLOOKUP(#REF!,'WIP(재공품)'!$B$12:$AB$38,13,0)),0)</f>
        <v>0</v>
      </c>
      <c r="S365" s="6">
        <f>IF(ISERROR(VLOOKUP(#REF!,'WIP(재공품)'!$B$12:$AB$38,10,0)),0,VLOOKUP(#REF!,'WIP(재공품)'!$B$12:$AB$38,10,0))</f>
        <v>0</v>
      </c>
      <c r="T365" s="6">
        <f>SUMIF('JUNE (물량흐름)'!$C$13:$C$502,'Direct labour(직접노무비)'!C365,'JUNE (물량흐름)'!$Y$13:$Y$502)</f>
        <v>0</v>
      </c>
      <c r="U365" s="6">
        <f t="shared" si="67"/>
        <v>0</v>
      </c>
      <c r="V365" s="6">
        <f>ROUND(SUMIF('JUNE (물량흐름)'!$C$13:$C$502,'Direct labour(직접노무비)'!C365,'JUNE (물량흐름)'!$N$13:$N$502),0)</f>
        <v>0</v>
      </c>
      <c r="W365" s="6">
        <f>ROUND(SUMIF('JUNE (물량흐름)'!$C$13:$C$502,'Direct labour(직접노무비)'!C365,'JUNE (물량흐름)'!$O$13:$O$502),0)</f>
        <v>44</v>
      </c>
      <c r="X365" s="6">
        <f>ROUND(SUMIF('JUNE (물량흐름)'!$C$13:$C$502,'Direct labour(직접노무비)'!C365,'JUNE (물량흐름)'!$P$13:$P$502),0)</f>
        <v>19</v>
      </c>
      <c r="Y365" s="6">
        <f t="shared" si="68"/>
        <v>63</v>
      </c>
      <c r="Z365" s="6">
        <f t="shared" si="69"/>
        <v>37</v>
      </c>
      <c r="AA365" s="6">
        <f t="shared" si="74"/>
        <v>520969</v>
      </c>
      <c r="AB365" s="389">
        <f t="shared" si="70"/>
        <v>0</v>
      </c>
      <c r="AC365" s="503">
        <f t="shared" si="63"/>
        <v>0</v>
      </c>
      <c r="AD365" s="389">
        <f t="shared" si="71"/>
        <v>0</v>
      </c>
    </row>
    <row r="366" spans="1:30" s="390" customFormat="1">
      <c r="A366" s="167">
        <v>361</v>
      </c>
      <c r="B366" s="267" t="str">
        <f>VLOOKUP(A366,'JUNE (물량흐름)'!$A$13:$C$502,2,0)</f>
        <v>INC</v>
      </c>
      <c r="C366" s="240">
        <f>VLOOKUP(A366,'JUNE (물량흐름)'!$A$13:$C$502,3,0)</f>
        <v>100034173</v>
      </c>
      <c r="D366" s="6">
        <f>VLOOKUP(C366,'WIP(재공품)'!$B$12:$E$493,4,0)</f>
        <v>49658.25</v>
      </c>
      <c r="E366" s="6">
        <f>IFERROR(VLOOKUP(C366,O.B.JUNE!$AA$7:$AG$448,2,0),0)</f>
        <v>49</v>
      </c>
      <c r="F366" s="6">
        <f>IFERROR(VLOOKUP(C366,O.B.JUNE!$AA$7:$AG$448,3,0),0)</f>
        <v>102</v>
      </c>
      <c r="G366" s="6">
        <f>IFERROR(VLOOKUP(C366,O.B.JUNE!$AA$7:$AD$448,4,0),0)</f>
        <v>44</v>
      </c>
      <c r="H366" s="6">
        <f t="shared" si="64"/>
        <v>195</v>
      </c>
      <c r="I366" s="6">
        <f>IFERROR(VLOOKUP(C366,O.B.JUNE!$AA$7:$AF$448,6,0),0)</f>
        <v>96</v>
      </c>
      <c r="J366" s="6"/>
      <c r="K366" s="6">
        <f>IFERROR(VLOOKUP(C366,O.B.JUNE!$AA$7:$AG$448,7,0),0)</f>
        <v>1054372</v>
      </c>
      <c r="L366" s="6">
        <f>SUMIF('JUNE (물량흐름)'!$C$13:$C$502,'Direct labour(직접노무비)'!C366,'JUNE (물량흐름)'!$H$13:$H$502)+SUMIF('JUNE (물량흐름)'!$C$13:$C$502,'Direct labour(직접노무비)'!C366,'JUNE (물량흐름)'!$I$13:$I$502)</f>
        <v>0</v>
      </c>
      <c r="M366" s="6">
        <f t="shared" si="65"/>
        <v>0</v>
      </c>
      <c r="N366" s="6">
        <f t="shared" si="66"/>
        <v>0</v>
      </c>
      <c r="O366" s="6">
        <f t="shared" si="72"/>
        <v>0</v>
      </c>
      <c r="P366" s="6">
        <f>SUMIF('JUNE (물량흐름)'!$C$13:$C$502,C366,'JUNE (물량흐름)'!$T$13:$T$502)+SUMIF('JUNE (물량흐름)'!$C$13:$C$502,C366,'JUNE (물량흐름)'!$V$13:$V$502)+SUMIF('JUNE (물량흐름)'!$C$13:$C$502,C366,'JUNE (물량흐름)'!$U$13:$U$502)-SUMIF('JUNE (물량흐름)'!$C$13:$C$502,C366,'JUNE (물량흐름)'!$Y$13:$Y$502)</f>
        <v>0</v>
      </c>
      <c r="Q366" s="6">
        <f t="shared" si="73"/>
        <v>0</v>
      </c>
      <c r="R366" s="6">
        <f>ROUND(IF(ISERROR(VLOOKUP(#REF!,'WIP(재공품)'!$B$12:$AB$38,13,0)),0,VLOOKUP(#REF!,'WIP(재공품)'!$B$12:$AB$38,13,0)),0)</f>
        <v>0</v>
      </c>
      <c r="S366" s="6">
        <f>IF(ISERROR(VLOOKUP(#REF!,'WIP(재공품)'!$B$12:$AB$38,10,0)),0,VLOOKUP(#REF!,'WIP(재공품)'!$B$12:$AB$38,10,0))</f>
        <v>0</v>
      </c>
      <c r="T366" s="6">
        <f>SUMIF('JUNE (물량흐름)'!$C$13:$C$502,'Direct labour(직접노무비)'!C366,'JUNE (물량흐름)'!$Y$13:$Y$502)</f>
        <v>0</v>
      </c>
      <c r="U366" s="6">
        <f t="shared" si="67"/>
        <v>0</v>
      </c>
      <c r="V366" s="6">
        <f>ROUND(SUMIF('JUNE (물량흐름)'!$C$13:$C$502,'Direct labour(직접노무비)'!C366,'JUNE (물량흐름)'!$N$13:$N$502),0)</f>
        <v>49</v>
      </c>
      <c r="W366" s="6">
        <f>ROUND(SUMIF('JUNE (물량흐름)'!$C$13:$C$502,'Direct labour(직접노무비)'!C366,'JUNE (물량흐름)'!$O$13:$O$502),0)</f>
        <v>102</v>
      </c>
      <c r="X366" s="6">
        <f>ROUND(SUMIF('JUNE (물량흐름)'!$C$13:$C$502,'Direct labour(직접노무비)'!C366,'JUNE (물량흐름)'!$P$13:$P$502),0)</f>
        <v>44</v>
      </c>
      <c r="Y366" s="6">
        <f t="shared" si="68"/>
        <v>195</v>
      </c>
      <c r="Z366" s="6">
        <f t="shared" si="69"/>
        <v>96</v>
      </c>
      <c r="AA366" s="6">
        <f t="shared" si="74"/>
        <v>1054372</v>
      </c>
      <c r="AB366" s="389">
        <f t="shared" si="70"/>
        <v>0</v>
      </c>
      <c r="AC366" s="503">
        <f t="shared" si="63"/>
        <v>0</v>
      </c>
      <c r="AD366" s="389">
        <f t="shared" si="71"/>
        <v>0</v>
      </c>
    </row>
    <row r="367" spans="1:30" s="390" customFormat="1">
      <c r="A367" s="167">
        <v>362</v>
      </c>
      <c r="B367" s="267" t="str">
        <f>VLOOKUP(A367,'JUNE (물량흐름)'!$A$13:$C$502,2,0)</f>
        <v>TALBOTS</v>
      </c>
      <c r="C367" s="240">
        <f>VLOOKUP(A367,'JUNE (물량흐름)'!$A$13:$C$502,3,0)</f>
        <v>182034833</v>
      </c>
      <c r="D367" s="6">
        <f>VLOOKUP(C367,'WIP(재공품)'!$B$12:$E$493,4,0)</f>
        <v>103397.99999999999</v>
      </c>
      <c r="E367" s="6">
        <f>IFERROR(VLOOKUP(C367,O.B.JUNE!$AA$7:$AG$448,2,0),0)</f>
        <v>0</v>
      </c>
      <c r="F367" s="6">
        <f>IFERROR(VLOOKUP(C367,O.B.JUNE!$AA$7:$AG$448,3,0),0)</f>
        <v>133</v>
      </c>
      <c r="G367" s="6">
        <f>IFERROR(VLOOKUP(C367,O.B.JUNE!$AA$7:$AD$448,4,0),0)</f>
        <v>0</v>
      </c>
      <c r="H367" s="6">
        <f t="shared" si="64"/>
        <v>133</v>
      </c>
      <c r="I367" s="6">
        <f>IFERROR(VLOOKUP(C367,O.B.JUNE!$AA$7:$AF$448,6,0),0)</f>
        <v>67</v>
      </c>
      <c r="J367" s="6"/>
      <c r="K367" s="6">
        <f>IFERROR(VLOOKUP(C367,O.B.JUNE!$AA$7:$AG$448,7,0),0)</f>
        <v>4063584</v>
      </c>
      <c r="L367" s="6">
        <f>SUMIF('JUNE (물량흐름)'!$C$13:$C$502,'Direct labour(직접노무비)'!C367,'JUNE (물량흐름)'!$H$13:$H$502)+SUMIF('JUNE (물량흐름)'!$C$13:$C$502,'Direct labour(직접노무비)'!C367,'JUNE (물량흐름)'!$I$13:$I$502)</f>
        <v>0</v>
      </c>
      <c r="M367" s="6">
        <f t="shared" si="65"/>
        <v>0</v>
      </c>
      <c r="N367" s="6">
        <f t="shared" si="66"/>
        <v>0</v>
      </c>
      <c r="O367" s="6">
        <f t="shared" si="72"/>
        <v>0</v>
      </c>
      <c r="P367" s="6">
        <f>SUMIF('JUNE (물량흐름)'!$C$13:$C$502,C367,'JUNE (물량흐름)'!$T$13:$T$502)+SUMIF('JUNE (물량흐름)'!$C$13:$C$502,C367,'JUNE (물량흐름)'!$V$13:$V$502)+SUMIF('JUNE (물량흐름)'!$C$13:$C$502,C367,'JUNE (물량흐름)'!$U$13:$U$502)-SUMIF('JUNE (물량흐름)'!$C$13:$C$502,C367,'JUNE (물량흐름)'!$Y$13:$Y$502)</f>
        <v>0</v>
      </c>
      <c r="Q367" s="6">
        <f t="shared" si="73"/>
        <v>0</v>
      </c>
      <c r="R367" s="6">
        <f>ROUND(IF(ISERROR(VLOOKUP(#REF!,'WIP(재공품)'!$B$12:$AB$38,13,0)),0,VLOOKUP(#REF!,'WIP(재공품)'!$B$12:$AB$38,13,0)),0)</f>
        <v>0</v>
      </c>
      <c r="S367" s="6">
        <f>IF(ISERROR(VLOOKUP(#REF!,'WIP(재공품)'!$B$12:$AB$38,10,0)),0,VLOOKUP(#REF!,'WIP(재공품)'!$B$12:$AB$38,10,0))</f>
        <v>0</v>
      </c>
      <c r="T367" s="6">
        <f>SUMIF('JUNE (물량흐름)'!$C$13:$C$502,'Direct labour(직접노무비)'!C367,'JUNE (물량흐름)'!$Y$13:$Y$502)</f>
        <v>3</v>
      </c>
      <c r="U367" s="6">
        <f t="shared" si="67"/>
        <v>91660</v>
      </c>
      <c r="V367" s="6">
        <f>ROUND(SUMIF('JUNE (물량흐름)'!$C$13:$C$502,'Direct labour(직접노무비)'!C367,'JUNE (물량흐름)'!$N$13:$N$502),0)</f>
        <v>0</v>
      </c>
      <c r="W367" s="6">
        <f>ROUND(SUMIF('JUNE (물량흐름)'!$C$13:$C$502,'Direct labour(직접노무비)'!C367,'JUNE (물량흐름)'!$O$13:$O$502),0)</f>
        <v>0</v>
      </c>
      <c r="X367" s="6">
        <f>ROUND(SUMIF('JUNE (물량흐름)'!$C$13:$C$502,'Direct labour(직접노무비)'!C367,'JUNE (물량흐름)'!$P$13:$P$502),0)</f>
        <v>130</v>
      </c>
      <c r="Y367" s="6">
        <f t="shared" si="68"/>
        <v>130</v>
      </c>
      <c r="Z367" s="6">
        <f t="shared" si="69"/>
        <v>104</v>
      </c>
      <c r="AA367" s="6">
        <f t="shared" si="74"/>
        <v>3971924</v>
      </c>
      <c r="AB367" s="389">
        <f t="shared" si="70"/>
        <v>0</v>
      </c>
      <c r="AC367" s="503">
        <f t="shared" si="63"/>
        <v>0</v>
      </c>
      <c r="AD367" s="389">
        <f t="shared" si="71"/>
        <v>0</v>
      </c>
    </row>
    <row r="368" spans="1:30" s="390" customFormat="1">
      <c r="A368" s="167">
        <v>363</v>
      </c>
      <c r="B368" s="267" t="str">
        <f>VLOOKUP(A368,'JUNE (물량흐름)'!$A$13:$C$502,2,0)</f>
        <v>ANN TAYLOR</v>
      </c>
      <c r="C368" s="240">
        <f>VLOOKUP(A368,'JUNE (물량흐름)'!$A$13:$C$502,3,0)</f>
        <v>464035</v>
      </c>
      <c r="D368" s="6">
        <f>VLOOKUP(C368,'WIP(재공품)'!$B$12:$E$493,4,0)</f>
        <v>93194.25</v>
      </c>
      <c r="E368" s="6">
        <f>IFERROR(VLOOKUP(C368,O.B.JUNE!$AA$7:$AG$448,2,0),0)</f>
        <v>0</v>
      </c>
      <c r="F368" s="6">
        <f>IFERROR(VLOOKUP(C368,O.B.JUNE!$AA$7:$AG$448,3,0),0)</f>
        <v>241</v>
      </c>
      <c r="G368" s="6">
        <f>IFERROR(VLOOKUP(C368,O.B.JUNE!$AA$7:$AD$448,4,0),0)</f>
        <v>146</v>
      </c>
      <c r="H368" s="6">
        <f t="shared" si="64"/>
        <v>387</v>
      </c>
      <c r="I368" s="6">
        <f>IFERROR(VLOOKUP(C368,O.B.JUNE!$AA$7:$AF$448,6,0),0)</f>
        <v>237</v>
      </c>
      <c r="J368" s="6"/>
      <c r="K368" s="6">
        <f>IFERROR(VLOOKUP(C368,O.B.JUNE!$AA$7:$AG$448,7,0),0)</f>
        <v>5842220</v>
      </c>
      <c r="L368" s="6">
        <f>SUMIF('JUNE (물량흐름)'!$C$13:$C$502,'Direct labour(직접노무비)'!C368,'JUNE (물량흐름)'!$H$13:$H$502)+SUMIF('JUNE (물량흐름)'!$C$13:$C$502,'Direct labour(직접노무비)'!C368,'JUNE (물량흐름)'!$I$13:$I$502)</f>
        <v>0</v>
      </c>
      <c r="M368" s="6">
        <f t="shared" si="65"/>
        <v>0</v>
      </c>
      <c r="N368" s="6">
        <f t="shared" si="66"/>
        <v>0</v>
      </c>
      <c r="O368" s="6">
        <f t="shared" si="72"/>
        <v>0</v>
      </c>
      <c r="P368" s="6">
        <f>SUMIF('JUNE (물량흐름)'!$C$13:$C$502,C368,'JUNE (물량흐름)'!$T$13:$T$502)+SUMIF('JUNE (물량흐름)'!$C$13:$C$502,C368,'JUNE (물량흐름)'!$V$13:$V$502)+SUMIF('JUNE (물량흐름)'!$C$13:$C$502,C368,'JUNE (물량흐름)'!$U$13:$U$502)-SUMIF('JUNE (물량흐름)'!$C$13:$C$502,C368,'JUNE (물량흐름)'!$Y$13:$Y$502)</f>
        <v>0</v>
      </c>
      <c r="Q368" s="6">
        <f t="shared" si="73"/>
        <v>0</v>
      </c>
      <c r="R368" s="6">
        <f>ROUND(IF(ISERROR(VLOOKUP(#REF!,'WIP(재공품)'!$B$12:$AB$38,13,0)),0,VLOOKUP(#REF!,'WIP(재공품)'!$B$12:$AB$38,13,0)),0)</f>
        <v>0</v>
      </c>
      <c r="S368" s="6">
        <f>IF(ISERROR(VLOOKUP(#REF!,'WIP(재공품)'!$B$12:$AB$38,10,0)),0,VLOOKUP(#REF!,'WIP(재공품)'!$B$12:$AB$38,10,0))</f>
        <v>0</v>
      </c>
      <c r="T368" s="6">
        <f>SUMIF('JUNE (물량흐름)'!$C$13:$C$502,'Direct labour(직접노무비)'!C368,'JUNE (물량흐름)'!$Y$13:$Y$502)</f>
        <v>20</v>
      </c>
      <c r="U368" s="6">
        <f t="shared" si="67"/>
        <v>301924</v>
      </c>
      <c r="V368" s="6">
        <f>ROUND(SUMIF('JUNE (물량흐름)'!$C$13:$C$502,'Direct labour(직접노무비)'!C368,'JUNE (물량흐름)'!$N$13:$N$502),0)</f>
        <v>0</v>
      </c>
      <c r="W368" s="6">
        <f>ROUND(SUMIF('JUNE (물량흐름)'!$C$13:$C$502,'Direct labour(직접노무비)'!C368,'JUNE (물량흐름)'!$O$13:$O$502),0)</f>
        <v>241</v>
      </c>
      <c r="X368" s="6">
        <f>ROUND(SUMIF('JUNE (물량흐름)'!$C$13:$C$502,'Direct labour(직접노무비)'!C368,'JUNE (물량흐름)'!$P$13:$P$502),0)</f>
        <v>126</v>
      </c>
      <c r="Y368" s="6">
        <f t="shared" si="68"/>
        <v>367</v>
      </c>
      <c r="Z368" s="6">
        <f t="shared" si="69"/>
        <v>221</v>
      </c>
      <c r="AA368" s="6">
        <f t="shared" si="74"/>
        <v>5540296</v>
      </c>
      <c r="AB368" s="389">
        <f t="shared" si="70"/>
        <v>0</v>
      </c>
      <c r="AC368" s="503">
        <f t="shared" si="63"/>
        <v>0</v>
      </c>
      <c r="AD368" s="389">
        <f t="shared" si="71"/>
        <v>0</v>
      </c>
    </row>
    <row r="369" spans="1:30" s="390" customFormat="1">
      <c r="A369" s="167">
        <v>364</v>
      </c>
      <c r="B369" s="267" t="str">
        <f>VLOOKUP(A369,'JUNE (물량흐름)'!$A$13:$C$502,2,0)</f>
        <v>ANN TAYLOR</v>
      </c>
      <c r="C369" s="240">
        <f>VLOOKUP(A369,'JUNE (물량흐름)'!$A$13:$C$502,3,0)</f>
        <v>464354</v>
      </c>
      <c r="D369" s="6">
        <f>VLOOKUP(C369,'WIP(재공품)'!$B$12:$E$493,4,0)</f>
        <v>7936.2499999999991</v>
      </c>
      <c r="E369" s="6">
        <f>IFERROR(VLOOKUP(C369,O.B.JUNE!$AA$7:$AG$448,2,0),0)</f>
        <v>1</v>
      </c>
      <c r="F369" s="6">
        <f>IFERROR(VLOOKUP(C369,O.B.JUNE!$AA$7:$AG$448,3,0),0)</f>
        <v>636</v>
      </c>
      <c r="G369" s="6">
        <f>IFERROR(VLOOKUP(C369,O.B.JUNE!$AA$7:$AD$448,4,0),0)</f>
        <v>3065</v>
      </c>
      <c r="H369" s="6">
        <f t="shared" si="64"/>
        <v>3702</v>
      </c>
      <c r="I369" s="6">
        <f>IFERROR(VLOOKUP(C369,O.B.JUNE!$AA$7:$AF$448,6,0),0)</f>
        <v>2770</v>
      </c>
      <c r="J369" s="6"/>
      <c r="K369" s="6">
        <f>IFERROR(VLOOKUP(C369,O.B.JUNE!$AA$7:$AG$448,7,0),0)</f>
        <v>36577311</v>
      </c>
      <c r="L369" s="6">
        <f>SUMIF('JUNE (물량흐름)'!$C$13:$C$502,'Direct labour(직접노무비)'!C369,'JUNE (물량흐름)'!$H$13:$H$502)+SUMIF('JUNE (물량흐름)'!$C$13:$C$502,'Direct labour(직접노무비)'!C369,'JUNE (물량흐름)'!$I$13:$I$502)</f>
        <v>0</v>
      </c>
      <c r="M369" s="6">
        <f t="shared" si="65"/>
        <v>0</v>
      </c>
      <c r="N369" s="6">
        <f t="shared" si="66"/>
        <v>0</v>
      </c>
      <c r="O369" s="6">
        <f t="shared" si="72"/>
        <v>0</v>
      </c>
      <c r="P369" s="6">
        <f>SUMIF('JUNE (물량흐름)'!$C$13:$C$502,C369,'JUNE (물량흐름)'!$T$13:$T$502)+SUMIF('JUNE (물량흐름)'!$C$13:$C$502,C369,'JUNE (물량흐름)'!$V$13:$V$502)+SUMIF('JUNE (물량흐름)'!$C$13:$C$502,C369,'JUNE (물량흐름)'!$U$13:$U$502)-SUMIF('JUNE (물량흐름)'!$C$13:$C$502,C369,'JUNE (물량흐름)'!$Y$13:$Y$502)</f>
        <v>0</v>
      </c>
      <c r="Q369" s="6">
        <f t="shared" si="73"/>
        <v>0</v>
      </c>
      <c r="R369" s="6">
        <f>ROUND(IF(ISERROR(VLOOKUP(#REF!,'WIP(재공품)'!$B$12:$AB$38,13,0)),0,VLOOKUP(#REF!,'WIP(재공품)'!$B$12:$AB$38,13,0)),0)</f>
        <v>0</v>
      </c>
      <c r="S369" s="6">
        <f>IF(ISERROR(VLOOKUP(#REF!,'WIP(재공품)'!$B$12:$AB$38,10,0)),0,VLOOKUP(#REF!,'WIP(재공품)'!$B$12:$AB$38,10,0))</f>
        <v>0</v>
      </c>
      <c r="T369" s="6">
        <f>SUMIF('JUNE (물량흐름)'!$C$13:$C$502,'Direct labour(직접노무비)'!C369,'JUNE (물량흐름)'!$Y$13:$Y$502)</f>
        <v>0</v>
      </c>
      <c r="U369" s="6">
        <f t="shared" si="67"/>
        <v>0</v>
      </c>
      <c r="V369" s="6">
        <f>ROUND(SUMIF('JUNE (물량흐름)'!$C$13:$C$502,'Direct labour(직접노무비)'!C369,'JUNE (물량흐름)'!$N$13:$N$502),0)</f>
        <v>1</v>
      </c>
      <c r="W369" s="6">
        <f>ROUND(SUMIF('JUNE (물량흐름)'!$C$13:$C$502,'Direct labour(직접노무비)'!C369,'JUNE (물량흐름)'!$O$13:$O$502),0)</f>
        <v>636</v>
      </c>
      <c r="X369" s="6">
        <f>ROUND(SUMIF('JUNE (물량흐름)'!$C$13:$C$502,'Direct labour(직접노무비)'!C369,'JUNE (물량흐름)'!$P$13:$P$502),0)</f>
        <v>3065</v>
      </c>
      <c r="Y369" s="6">
        <f t="shared" si="68"/>
        <v>3702</v>
      </c>
      <c r="Z369" s="6">
        <f t="shared" si="69"/>
        <v>2770</v>
      </c>
      <c r="AA369" s="6">
        <f t="shared" si="74"/>
        <v>36577311</v>
      </c>
      <c r="AB369" s="389">
        <f t="shared" si="70"/>
        <v>0</v>
      </c>
      <c r="AC369" s="503">
        <f t="shared" si="63"/>
        <v>0</v>
      </c>
      <c r="AD369" s="389">
        <f t="shared" si="71"/>
        <v>0</v>
      </c>
    </row>
    <row r="370" spans="1:30" s="390" customFormat="1">
      <c r="A370" s="167">
        <v>365</v>
      </c>
      <c r="B370" s="267" t="str">
        <f>VLOOKUP(A370,'JUNE (물량흐름)'!$A$13:$C$502,2,0)</f>
        <v>ANN TAYLOR</v>
      </c>
      <c r="C370" s="240">
        <f>VLOOKUP(A370,'JUNE (물량흐름)'!$A$13:$C$502,3,0)</f>
        <v>469491</v>
      </c>
      <c r="D370" s="6">
        <f>VLOOKUP(C370,'WIP(재공품)'!$B$12:$E$493,4,0)</f>
        <v>46710.5</v>
      </c>
      <c r="E370" s="6">
        <f>IFERROR(VLOOKUP(C370,O.B.JUNE!$AA$7:$AG$448,2,0),0)</f>
        <v>0</v>
      </c>
      <c r="F370" s="6">
        <f>IFERROR(VLOOKUP(C370,O.B.JUNE!$AA$7:$AG$448,3,0),0)</f>
        <v>92</v>
      </c>
      <c r="G370" s="6">
        <f>IFERROR(VLOOKUP(C370,O.B.JUNE!$AA$7:$AD$448,4,0),0)</f>
        <v>427</v>
      </c>
      <c r="H370" s="6">
        <f t="shared" si="64"/>
        <v>519</v>
      </c>
      <c r="I370" s="6">
        <f>IFERROR(VLOOKUP(C370,O.B.JUNE!$AA$7:$AF$448,6,0),0)</f>
        <v>388</v>
      </c>
      <c r="J370" s="6"/>
      <c r="K370" s="6">
        <f>IFERROR(VLOOKUP(C370,O.B.JUNE!$AA$7:$AG$448,7,0),0)</f>
        <v>4762144</v>
      </c>
      <c r="L370" s="6">
        <f>SUMIF('JUNE (물량흐름)'!$C$13:$C$502,'Direct labour(직접노무비)'!C370,'JUNE (물량흐름)'!$H$13:$H$502)+SUMIF('JUNE (물량흐름)'!$C$13:$C$502,'Direct labour(직접노무비)'!C370,'JUNE (물량흐름)'!$I$13:$I$502)</f>
        <v>0</v>
      </c>
      <c r="M370" s="6">
        <f t="shared" si="65"/>
        <v>0</v>
      </c>
      <c r="N370" s="6">
        <f t="shared" si="66"/>
        <v>0</v>
      </c>
      <c r="O370" s="6">
        <f t="shared" si="72"/>
        <v>0</v>
      </c>
      <c r="P370" s="6">
        <f>SUMIF('JUNE (물량흐름)'!$C$13:$C$502,C370,'JUNE (물량흐름)'!$T$13:$T$502)+SUMIF('JUNE (물량흐름)'!$C$13:$C$502,C370,'JUNE (물량흐름)'!$V$13:$V$502)+SUMIF('JUNE (물량흐름)'!$C$13:$C$502,C370,'JUNE (물량흐름)'!$U$13:$U$502)-SUMIF('JUNE (물량흐름)'!$C$13:$C$502,C370,'JUNE (물량흐름)'!$Y$13:$Y$502)</f>
        <v>0</v>
      </c>
      <c r="Q370" s="6">
        <f t="shared" si="73"/>
        <v>0</v>
      </c>
      <c r="R370" s="6">
        <f>ROUND(IF(ISERROR(VLOOKUP(#REF!,'WIP(재공품)'!$B$12:$AB$38,13,0)),0,VLOOKUP(#REF!,'WIP(재공품)'!$B$12:$AB$38,13,0)),0)</f>
        <v>0</v>
      </c>
      <c r="S370" s="6">
        <f>IF(ISERROR(VLOOKUP(#REF!,'WIP(재공품)'!$B$12:$AB$38,10,0)),0,VLOOKUP(#REF!,'WIP(재공품)'!$B$12:$AB$38,10,0))</f>
        <v>0</v>
      </c>
      <c r="T370" s="6">
        <f>SUMIF('JUNE (물량흐름)'!$C$13:$C$502,'Direct labour(직접노무비)'!C370,'JUNE (물량흐름)'!$Y$13:$Y$502)</f>
        <v>0</v>
      </c>
      <c r="U370" s="6">
        <f t="shared" si="67"/>
        <v>0</v>
      </c>
      <c r="V370" s="6">
        <f>ROUND(SUMIF('JUNE (물량흐름)'!$C$13:$C$502,'Direct labour(직접노무비)'!C370,'JUNE (물량흐름)'!$N$13:$N$502),0)</f>
        <v>0</v>
      </c>
      <c r="W370" s="6">
        <f>ROUND(SUMIF('JUNE (물량흐름)'!$C$13:$C$502,'Direct labour(직접노무비)'!C370,'JUNE (물량흐름)'!$O$13:$O$502),0)</f>
        <v>92</v>
      </c>
      <c r="X370" s="6">
        <f>ROUND(SUMIF('JUNE (물량흐름)'!$C$13:$C$502,'Direct labour(직접노무비)'!C370,'JUNE (물량흐름)'!$P$13:$P$502),0)</f>
        <v>427</v>
      </c>
      <c r="Y370" s="6">
        <f t="shared" si="68"/>
        <v>519</v>
      </c>
      <c r="Z370" s="6">
        <f t="shared" si="69"/>
        <v>388</v>
      </c>
      <c r="AA370" s="6">
        <f t="shared" si="74"/>
        <v>4762144</v>
      </c>
      <c r="AB370" s="389">
        <f t="shared" si="70"/>
        <v>0</v>
      </c>
      <c r="AC370" s="503">
        <f t="shared" si="63"/>
        <v>0</v>
      </c>
      <c r="AD370" s="389">
        <f t="shared" si="71"/>
        <v>0</v>
      </c>
    </row>
    <row r="371" spans="1:30" s="390" customFormat="1">
      <c r="A371" s="167">
        <v>366</v>
      </c>
      <c r="B371" s="267" t="str">
        <f>VLOOKUP(A371,'JUNE (물량흐름)'!$A$13:$C$502,2,0)</f>
        <v>ANN TAYLOR</v>
      </c>
      <c r="C371" s="240">
        <f>VLOOKUP(A371,'JUNE (물량흐름)'!$A$13:$C$502,3,0)</f>
        <v>474304</v>
      </c>
      <c r="D371" s="6">
        <f>VLOOKUP(C371,'WIP(재공품)'!$B$12:$E$493,4,0)</f>
        <v>43762.75</v>
      </c>
      <c r="E371" s="6">
        <f>IFERROR(VLOOKUP(C371,O.B.JUNE!$AA$7:$AG$448,2,0),0)</f>
        <v>0</v>
      </c>
      <c r="F371" s="6">
        <f>IFERROR(VLOOKUP(C371,O.B.JUNE!$AA$7:$AG$448,3,0),0)</f>
        <v>95</v>
      </c>
      <c r="G371" s="6">
        <f>IFERROR(VLOOKUP(C371,O.B.JUNE!$AA$7:$AD$448,4,0),0)</f>
        <v>272</v>
      </c>
      <c r="H371" s="6">
        <f t="shared" si="64"/>
        <v>367</v>
      </c>
      <c r="I371" s="6">
        <f>IFERROR(VLOOKUP(C371,O.B.JUNE!$AA$7:$AF$448,6,0),0)</f>
        <v>265</v>
      </c>
      <c r="J371" s="6"/>
      <c r="K371" s="6">
        <f>IFERROR(VLOOKUP(C371,O.B.JUNE!$AA$7:$AG$448,7,0),0)</f>
        <v>3144933</v>
      </c>
      <c r="L371" s="6">
        <f>SUMIF('JUNE (물량흐름)'!$C$13:$C$502,'Direct labour(직접노무비)'!C371,'JUNE (물량흐름)'!$H$13:$H$502)+SUMIF('JUNE (물량흐름)'!$C$13:$C$502,'Direct labour(직접노무비)'!C371,'JUNE (물량흐름)'!$I$13:$I$502)</f>
        <v>0</v>
      </c>
      <c r="M371" s="6">
        <f t="shared" si="65"/>
        <v>0</v>
      </c>
      <c r="N371" s="6">
        <f t="shared" si="66"/>
        <v>0</v>
      </c>
      <c r="O371" s="6">
        <f t="shared" si="72"/>
        <v>0</v>
      </c>
      <c r="P371" s="6">
        <f>SUMIF('JUNE (물량흐름)'!$C$13:$C$502,C371,'JUNE (물량흐름)'!$T$13:$T$502)+SUMIF('JUNE (물량흐름)'!$C$13:$C$502,C371,'JUNE (물량흐름)'!$V$13:$V$502)+SUMIF('JUNE (물량흐름)'!$C$13:$C$502,C371,'JUNE (물량흐름)'!$U$13:$U$502)-SUMIF('JUNE (물량흐름)'!$C$13:$C$502,C371,'JUNE (물량흐름)'!$Y$13:$Y$502)</f>
        <v>0</v>
      </c>
      <c r="Q371" s="6">
        <f t="shared" si="73"/>
        <v>0</v>
      </c>
      <c r="R371" s="6">
        <f>ROUND(IF(ISERROR(VLOOKUP(#REF!,'WIP(재공품)'!$B$12:$AB$38,13,0)),0,VLOOKUP(#REF!,'WIP(재공품)'!$B$12:$AB$38,13,0)),0)</f>
        <v>0</v>
      </c>
      <c r="S371" s="6">
        <f>IF(ISERROR(VLOOKUP(#REF!,'WIP(재공품)'!$B$12:$AB$38,10,0)),0,VLOOKUP(#REF!,'WIP(재공품)'!$B$12:$AB$38,10,0))</f>
        <v>0</v>
      </c>
      <c r="T371" s="6">
        <f>SUMIF('JUNE (물량흐름)'!$C$13:$C$502,'Direct labour(직접노무비)'!C371,'JUNE (물량흐름)'!$Y$13:$Y$502)</f>
        <v>1</v>
      </c>
      <c r="U371" s="6">
        <f t="shared" si="67"/>
        <v>8569</v>
      </c>
      <c r="V371" s="6">
        <f>ROUND(SUMIF('JUNE (물량흐름)'!$C$13:$C$502,'Direct labour(직접노무비)'!C371,'JUNE (물량흐름)'!$N$13:$N$502),0)</f>
        <v>0</v>
      </c>
      <c r="W371" s="6">
        <f>ROUND(SUMIF('JUNE (물량흐름)'!$C$13:$C$502,'Direct labour(직접노무비)'!C371,'JUNE (물량흐름)'!$O$13:$O$502),0)</f>
        <v>95</v>
      </c>
      <c r="X371" s="6">
        <f>ROUND(SUMIF('JUNE (물량흐름)'!$C$13:$C$502,'Direct labour(직접노무비)'!C371,'JUNE (물량흐름)'!$P$13:$P$502),0)</f>
        <v>271</v>
      </c>
      <c r="Y371" s="6">
        <f t="shared" si="68"/>
        <v>366</v>
      </c>
      <c r="Z371" s="6">
        <f t="shared" si="69"/>
        <v>264</v>
      </c>
      <c r="AA371" s="6">
        <f t="shared" si="74"/>
        <v>3136364</v>
      </c>
      <c r="AB371" s="389">
        <f t="shared" si="70"/>
        <v>0</v>
      </c>
      <c r="AC371" s="503">
        <f t="shared" si="63"/>
        <v>0</v>
      </c>
      <c r="AD371" s="389">
        <f t="shared" si="71"/>
        <v>0</v>
      </c>
    </row>
    <row r="372" spans="1:30" s="390" customFormat="1">
      <c r="A372" s="167">
        <v>367</v>
      </c>
      <c r="B372" s="267" t="str">
        <f>VLOOKUP(A372,'JUNE (물량흐름)'!$A$13:$C$502,2,0)</f>
        <v>ALFANI</v>
      </c>
      <c r="C372" s="240" t="str">
        <f>VLOOKUP(A372,'JUNE (물량흐름)'!$A$13:$C$502,3,0)</f>
        <v>7X211</v>
      </c>
      <c r="D372" s="6">
        <f>VLOOKUP(C372,'WIP(재공품)'!$B$12:$E$493,4,0)</f>
        <v>71426.25</v>
      </c>
      <c r="E372" s="6">
        <f>IFERROR(VLOOKUP(C372,O.B.JUNE!$AA$7:$AG$448,2,0),0)</f>
        <v>0</v>
      </c>
      <c r="F372" s="6">
        <f>IFERROR(VLOOKUP(C372,O.B.JUNE!$AA$7:$AG$448,3,0),0)</f>
        <v>14</v>
      </c>
      <c r="G372" s="6">
        <f>IFERROR(VLOOKUP(C372,O.B.JUNE!$AA$7:$AD$448,4,0),0)</f>
        <v>35</v>
      </c>
      <c r="H372" s="6">
        <f t="shared" si="64"/>
        <v>49</v>
      </c>
      <c r="I372" s="6">
        <f>IFERROR(VLOOKUP(C372,O.B.JUNE!$AA$7:$AF$448,6,0),0)</f>
        <v>35</v>
      </c>
      <c r="J372" s="6"/>
      <c r="K372" s="6">
        <f>IFERROR(VLOOKUP(C372,O.B.JUNE!$AA$7:$AG$448,7,0),0)</f>
        <v>346106</v>
      </c>
      <c r="L372" s="6">
        <f>SUMIF('JUNE (물량흐름)'!$C$13:$C$502,'Direct labour(직접노무비)'!C372,'JUNE (물량흐름)'!$H$13:$H$502)+SUMIF('JUNE (물량흐름)'!$C$13:$C$502,'Direct labour(직접노무비)'!C372,'JUNE (물량흐름)'!$I$13:$I$502)</f>
        <v>0</v>
      </c>
      <c r="M372" s="6">
        <f t="shared" si="65"/>
        <v>0</v>
      </c>
      <c r="N372" s="6">
        <f t="shared" si="66"/>
        <v>0</v>
      </c>
      <c r="O372" s="6">
        <f t="shared" si="72"/>
        <v>0</v>
      </c>
      <c r="P372" s="6">
        <f>SUMIF('JUNE (물량흐름)'!$C$13:$C$502,C372,'JUNE (물량흐름)'!$T$13:$T$502)+SUMIF('JUNE (물량흐름)'!$C$13:$C$502,C372,'JUNE (물량흐름)'!$V$13:$V$502)+SUMIF('JUNE (물량흐름)'!$C$13:$C$502,C372,'JUNE (물량흐름)'!$U$13:$U$502)-SUMIF('JUNE (물량흐름)'!$C$13:$C$502,C372,'JUNE (물량흐름)'!$Y$13:$Y$502)</f>
        <v>49</v>
      </c>
      <c r="Q372" s="6">
        <f t="shared" si="73"/>
        <v>346106</v>
      </c>
      <c r="R372" s="6">
        <f>ROUND(IF(ISERROR(VLOOKUP(#REF!,'WIP(재공품)'!$B$12:$AB$38,13,0)),0,VLOOKUP(#REF!,'WIP(재공품)'!$B$12:$AB$38,13,0)),0)</f>
        <v>0</v>
      </c>
      <c r="S372" s="6">
        <f>IF(ISERROR(VLOOKUP(#REF!,'WIP(재공품)'!$B$12:$AB$38,10,0)),0,VLOOKUP(#REF!,'WIP(재공품)'!$B$12:$AB$38,10,0))</f>
        <v>0</v>
      </c>
      <c r="T372" s="6">
        <f>SUMIF('JUNE (물량흐름)'!$C$13:$C$502,'Direct labour(직접노무비)'!C372,'JUNE (물량흐름)'!$Y$13:$Y$502)</f>
        <v>0</v>
      </c>
      <c r="U372" s="6">
        <f t="shared" si="67"/>
        <v>0</v>
      </c>
      <c r="V372" s="6">
        <f>ROUND(SUMIF('JUNE (물량흐름)'!$C$13:$C$502,'Direct labour(직접노무비)'!C372,'JUNE (물량흐름)'!$N$13:$N$502),0)</f>
        <v>0</v>
      </c>
      <c r="W372" s="6">
        <f>ROUND(SUMIF('JUNE (물량흐름)'!$C$13:$C$502,'Direct labour(직접노무비)'!C372,'JUNE (물량흐름)'!$O$13:$O$502),0)</f>
        <v>0</v>
      </c>
      <c r="X372" s="6">
        <f>ROUND(SUMIF('JUNE (물량흐름)'!$C$13:$C$502,'Direct labour(직접노무비)'!C372,'JUNE (물량흐름)'!$P$13:$P$502),0)</f>
        <v>0</v>
      </c>
      <c r="Y372" s="6">
        <f t="shared" si="68"/>
        <v>0</v>
      </c>
      <c r="Z372" s="6">
        <f t="shared" si="69"/>
        <v>0</v>
      </c>
      <c r="AA372" s="6">
        <f t="shared" si="74"/>
        <v>0</v>
      </c>
      <c r="AB372" s="389">
        <f t="shared" si="70"/>
        <v>0</v>
      </c>
      <c r="AC372" s="503">
        <f t="shared" si="63"/>
        <v>0</v>
      </c>
      <c r="AD372" s="389">
        <f t="shared" si="71"/>
        <v>0</v>
      </c>
    </row>
    <row r="373" spans="1:30" s="390" customFormat="1">
      <c r="A373" s="167">
        <v>368</v>
      </c>
      <c r="B373" s="267" t="str">
        <f>VLOOKUP(A373,'JUNE (물량흐름)'!$A$13:$C$502,2,0)</f>
        <v>J JILL</v>
      </c>
      <c r="C373" s="240" t="str">
        <f>VLOOKUP(A373,'JUNE (물량흐름)'!$A$13:$C$502,3,0)</f>
        <v>KPT116131</v>
      </c>
      <c r="D373" s="6">
        <f>VLOOKUP(C373,'WIP(재공품)'!$B$12:$E$493,4,0)</f>
        <v>34919.5</v>
      </c>
      <c r="E373" s="6">
        <f>IFERROR(VLOOKUP(C373,O.B.JUNE!$AA$7:$AG$448,2,0),0)</f>
        <v>112</v>
      </c>
      <c r="F373" s="6">
        <f>IFERROR(VLOOKUP(C373,O.B.JUNE!$AA$7:$AG$448,3,0),0)</f>
        <v>105</v>
      </c>
      <c r="G373" s="6">
        <f>IFERROR(VLOOKUP(C373,O.B.JUNE!$AA$7:$AD$448,4,0),0)</f>
        <v>144</v>
      </c>
      <c r="H373" s="6">
        <f t="shared" si="64"/>
        <v>361</v>
      </c>
      <c r="I373" s="6">
        <f>IFERROR(VLOOKUP(C373,O.B.JUNE!$AA$7:$AF$448,6,0),0)</f>
        <v>190</v>
      </c>
      <c r="J373" s="6"/>
      <c r="K373" s="6">
        <f>IFERROR(VLOOKUP(C373,O.B.JUNE!$AA$7:$AG$448,7,0),0)</f>
        <v>3195106</v>
      </c>
      <c r="L373" s="6">
        <f>SUMIF('JUNE (물량흐름)'!$C$13:$C$502,'Direct labour(직접노무비)'!C373,'JUNE (물량흐름)'!$H$13:$H$502)+SUMIF('JUNE (물량흐름)'!$C$13:$C$502,'Direct labour(직접노무비)'!C373,'JUNE (물량흐름)'!$I$13:$I$502)</f>
        <v>10486</v>
      </c>
      <c r="M373" s="6">
        <f t="shared" si="65"/>
        <v>10397</v>
      </c>
      <c r="N373" s="6">
        <f t="shared" si="66"/>
        <v>363058042</v>
      </c>
      <c r="O373" s="6">
        <f t="shared" si="72"/>
        <v>112284305</v>
      </c>
      <c r="P373" s="6">
        <f>SUMIF('JUNE (물량흐름)'!$C$13:$C$502,C373,'JUNE (물량흐름)'!$T$13:$T$502)+SUMIF('JUNE (물량흐름)'!$C$13:$C$502,C373,'JUNE (물량흐름)'!$V$13:$V$502)+SUMIF('JUNE (물량흐름)'!$C$13:$C$502,C373,'JUNE (물량흐름)'!$U$13:$U$502)-SUMIF('JUNE (물량흐름)'!$C$13:$C$502,C373,'JUNE (물량흐름)'!$Y$13:$Y$502)</f>
        <v>10238</v>
      </c>
      <c r="Q373" s="6">
        <f t="shared" si="73"/>
        <v>108995871</v>
      </c>
      <c r="R373" s="6">
        <f>ROUND(IF(ISERROR(VLOOKUP(#REF!,'WIP(재공품)'!$B$12:$AB$38,13,0)),0,VLOOKUP(#REF!,'WIP(재공품)'!$B$12:$AB$38,13,0)),0)</f>
        <v>0</v>
      </c>
      <c r="S373" s="6">
        <f>IF(ISERROR(VLOOKUP(#REF!,'WIP(재공품)'!$B$12:$AB$38,10,0)),0,VLOOKUP(#REF!,'WIP(재공품)'!$B$12:$AB$38,10,0))</f>
        <v>0</v>
      </c>
      <c r="T373" s="6">
        <f>SUMIF('JUNE (물량흐름)'!$C$13:$C$502,'Direct labour(직접노무비)'!C373,'JUNE (물량흐름)'!$Y$13:$Y$502)</f>
        <v>7</v>
      </c>
      <c r="U373" s="6">
        <f t="shared" si="67"/>
        <v>74523</v>
      </c>
      <c r="V373" s="6">
        <f>ROUND(SUMIF('JUNE (물량흐름)'!$C$13:$C$502,'Direct labour(직접노무비)'!C373,'JUNE (물량흐름)'!$N$13:$N$502),0)</f>
        <v>125</v>
      </c>
      <c r="W373" s="6">
        <f>ROUND(SUMIF('JUNE (물량흐름)'!$C$13:$C$502,'Direct labour(직접노무비)'!C373,'JUNE (물량흐름)'!$O$13:$O$502),0)</f>
        <v>215</v>
      </c>
      <c r="X373" s="6">
        <f>ROUND(SUMIF('JUNE (물량흐름)'!$C$13:$C$502,'Direct labour(직접노무비)'!C373,'JUNE (물량흐름)'!$P$13:$P$502),0)</f>
        <v>262</v>
      </c>
      <c r="Y373" s="6">
        <f t="shared" si="68"/>
        <v>602</v>
      </c>
      <c r="Z373" s="6">
        <f t="shared" si="69"/>
        <v>342</v>
      </c>
      <c r="AA373" s="6">
        <f t="shared" si="74"/>
        <v>6409017</v>
      </c>
      <c r="AB373" s="389">
        <f t="shared" si="70"/>
        <v>0</v>
      </c>
      <c r="AC373" s="503">
        <f t="shared" si="63"/>
        <v>0</v>
      </c>
      <c r="AD373" s="389">
        <f t="shared" si="71"/>
        <v>0</v>
      </c>
    </row>
    <row r="374" spans="1:30" s="390" customFormat="1">
      <c r="A374" s="167">
        <v>369</v>
      </c>
      <c r="B374" s="267" t="str">
        <f>VLOOKUP(A374,'JUNE (물량흐름)'!$A$13:$C$502,2,0)</f>
        <v>ALFANI</v>
      </c>
      <c r="C374" s="240">
        <f>VLOOKUP(A374,'JUNE (물량흐름)'!$A$13:$C$502,3,0)</f>
        <v>100019047</v>
      </c>
      <c r="D374" s="6">
        <f>VLOOKUP(C374,'WIP(재공품)'!$B$12:$E$493,4,0)</f>
        <v>80042.75</v>
      </c>
      <c r="E374" s="6">
        <f>IFERROR(VLOOKUP(C374,O.B.JUNE!$AA$7:$AG$448,2,0),0)</f>
        <v>0</v>
      </c>
      <c r="F374" s="6">
        <f>IFERROR(VLOOKUP(C374,O.B.JUNE!$AA$7:$AG$448,3,0),0)</f>
        <v>0</v>
      </c>
      <c r="G374" s="6">
        <f>IFERROR(VLOOKUP(C374,O.B.JUNE!$AA$7:$AD$448,4,0),0)</f>
        <v>9642</v>
      </c>
      <c r="H374" s="6">
        <f t="shared" si="64"/>
        <v>9642</v>
      </c>
      <c r="I374" s="6">
        <f>IFERROR(VLOOKUP(C374,O.B.JUNE!$AA$7:$AF$448,6,0),0)</f>
        <v>7714</v>
      </c>
      <c r="J374" s="6"/>
      <c r="K374" s="6">
        <f>IFERROR(VLOOKUP(C374,O.B.JUNE!$AA$7:$AG$448,7,0),0)</f>
        <v>184253353</v>
      </c>
      <c r="L374" s="6">
        <f>SUMIF('JUNE (물량흐름)'!$C$13:$C$502,'Direct labour(직접노무비)'!C374,'JUNE (물량흐름)'!$H$13:$H$502)+SUMIF('JUNE (물량흐름)'!$C$13:$C$502,'Direct labour(직접노무비)'!C374,'JUNE (물량흐름)'!$I$13:$I$502)</f>
        <v>0</v>
      </c>
      <c r="M374" s="6">
        <f t="shared" si="65"/>
        <v>0</v>
      </c>
      <c r="N374" s="6">
        <f t="shared" si="66"/>
        <v>0</v>
      </c>
      <c r="O374" s="6">
        <f t="shared" si="72"/>
        <v>0</v>
      </c>
      <c r="P374" s="6">
        <f>SUMIF('JUNE (물량흐름)'!$C$13:$C$502,C374,'JUNE (물량흐름)'!$T$13:$T$502)+SUMIF('JUNE (물량흐름)'!$C$13:$C$502,C374,'JUNE (물량흐름)'!$V$13:$V$502)+SUMIF('JUNE (물량흐름)'!$C$13:$C$502,C374,'JUNE (물량흐름)'!$U$13:$U$502)-SUMIF('JUNE (물량흐름)'!$C$13:$C$502,C374,'JUNE (물량흐름)'!$Y$13:$Y$502)</f>
        <v>9264</v>
      </c>
      <c r="Q374" s="6">
        <f t="shared" si="73"/>
        <v>177029979</v>
      </c>
      <c r="R374" s="6">
        <f>ROUND(IF(ISERROR(VLOOKUP(#REF!,'WIP(재공품)'!$B$12:$AB$38,13,0)),0,VLOOKUP(#REF!,'WIP(재공품)'!$B$12:$AB$38,13,0)),0)</f>
        <v>0</v>
      </c>
      <c r="S374" s="6">
        <f>IF(ISERROR(VLOOKUP(#REF!,'WIP(재공품)'!$B$12:$AB$38,10,0)),0,VLOOKUP(#REF!,'WIP(재공품)'!$B$12:$AB$38,10,0))</f>
        <v>0</v>
      </c>
      <c r="T374" s="6">
        <f>SUMIF('JUNE (물량흐름)'!$C$13:$C$502,'Direct labour(직접노무비)'!C374,'JUNE (물량흐름)'!$Y$13:$Y$502)</f>
        <v>0</v>
      </c>
      <c r="U374" s="6">
        <f t="shared" si="67"/>
        <v>0</v>
      </c>
      <c r="V374" s="6">
        <f>ROUND(SUMIF('JUNE (물량흐름)'!$C$13:$C$502,'Direct labour(직접노무비)'!C374,'JUNE (물량흐름)'!$N$13:$N$502),0)</f>
        <v>0</v>
      </c>
      <c r="W374" s="6">
        <f>ROUND(SUMIF('JUNE (물량흐름)'!$C$13:$C$502,'Direct labour(직접노무비)'!C374,'JUNE (물량흐름)'!$O$13:$O$502),0)</f>
        <v>0</v>
      </c>
      <c r="X374" s="6">
        <f>ROUND(SUMIF('JUNE (물량흐름)'!$C$13:$C$502,'Direct labour(직접노무비)'!C374,'JUNE (물량흐름)'!$P$13:$P$502),0)</f>
        <v>378</v>
      </c>
      <c r="Y374" s="6">
        <f t="shared" si="68"/>
        <v>378</v>
      </c>
      <c r="Z374" s="6">
        <f t="shared" si="69"/>
        <v>302</v>
      </c>
      <c r="AA374" s="6">
        <f t="shared" si="74"/>
        <v>7223374</v>
      </c>
      <c r="AB374" s="389">
        <f t="shared" si="70"/>
        <v>0</v>
      </c>
      <c r="AC374" s="503">
        <f t="shared" si="63"/>
        <v>0</v>
      </c>
      <c r="AD374" s="389">
        <f t="shared" si="71"/>
        <v>0</v>
      </c>
    </row>
    <row r="375" spans="1:30" s="390" customFormat="1">
      <c r="A375" s="167">
        <v>370</v>
      </c>
      <c r="B375" s="267" t="str">
        <f>VLOOKUP(A375,'JUNE (물량흐름)'!$A$13:$C$502,2,0)</f>
        <v>ANN TAYLOR</v>
      </c>
      <c r="C375" s="240">
        <f>VLOOKUP(A375,'JUNE (물량흐름)'!$A$13:$C$502,3,0)</f>
        <v>466798</v>
      </c>
      <c r="D375" s="6">
        <f>VLOOKUP(C375,'WIP(재공품)'!$B$12:$E$493,4,0)</f>
        <v>68478.5</v>
      </c>
      <c r="E375" s="6">
        <f>IFERROR(VLOOKUP(C375,O.B.JUNE!$AA$7:$AG$448,2,0),0)</f>
        <v>0</v>
      </c>
      <c r="F375" s="6">
        <f>IFERROR(VLOOKUP(C375,O.B.JUNE!$AA$7:$AG$448,3,0),0)</f>
        <v>177</v>
      </c>
      <c r="G375" s="6">
        <f>IFERROR(VLOOKUP(C375,O.B.JUNE!$AA$7:$AD$448,4,0),0)</f>
        <v>371</v>
      </c>
      <c r="H375" s="6">
        <f t="shared" si="64"/>
        <v>548</v>
      </c>
      <c r="I375" s="6">
        <f>IFERROR(VLOOKUP(C375,O.B.JUNE!$AA$7:$AF$448,6,0),0)</f>
        <v>385</v>
      </c>
      <c r="J375" s="6"/>
      <c r="K375" s="6">
        <f>IFERROR(VLOOKUP(C375,O.B.JUNE!$AA$7:$AG$448,7,0),0)</f>
        <v>11183697</v>
      </c>
      <c r="L375" s="6">
        <f>SUMIF('JUNE (물량흐름)'!$C$13:$C$502,'Direct labour(직접노무비)'!C375,'JUNE (물량흐름)'!$H$13:$H$502)+SUMIF('JUNE (물량흐름)'!$C$13:$C$502,'Direct labour(직접노무비)'!C375,'JUNE (물량흐름)'!$I$13:$I$502)</f>
        <v>0</v>
      </c>
      <c r="M375" s="6">
        <f t="shared" si="65"/>
        <v>0</v>
      </c>
      <c r="N375" s="6">
        <f t="shared" si="66"/>
        <v>0</v>
      </c>
      <c r="O375" s="6">
        <f t="shared" si="72"/>
        <v>0</v>
      </c>
      <c r="P375" s="6">
        <f>SUMIF('JUNE (물량흐름)'!$C$13:$C$502,C375,'JUNE (물량흐름)'!$T$13:$T$502)+SUMIF('JUNE (물량흐름)'!$C$13:$C$502,C375,'JUNE (물량흐름)'!$V$13:$V$502)+SUMIF('JUNE (물량흐름)'!$C$13:$C$502,C375,'JUNE (물량흐름)'!$U$13:$U$502)-SUMIF('JUNE (물량흐름)'!$C$13:$C$502,C375,'JUNE (물량흐름)'!$Y$13:$Y$502)</f>
        <v>455</v>
      </c>
      <c r="Q375" s="6">
        <f t="shared" si="73"/>
        <v>9285734</v>
      </c>
      <c r="R375" s="6">
        <f>ROUND(IF(ISERROR(VLOOKUP(#REF!,'WIP(재공품)'!$B$12:$AB$38,13,0)),0,VLOOKUP(#REF!,'WIP(재공품)'!$B$12:$AB$38,13,0)),0)</f>
        <v>0</v>
      </c>
      <c r="S375" s="6">
        <f>IF(ISERROR(VLOOKUP(#REF!,'WIP(재공품)'!$B$12:$AB$38,10,0)),0,VLOOKUP(#REF!,'WIP(재공품)'!$B$12:$AB$38,10,0))</f>
        <v>0</v>
      </c>
      <c r="T375" s="6">
        <f>SUMIF('JUNE (물량흐름)'!$C$13:$C$502,'Direct labour(직접노무비)'!C375,'JUNE (물량흐름)'!$Y$13:$Y$502)</f>
        <v>0</v>
      </c>
      <c r="U375" s="6">
        <f t="shared" si="67"/>
        <v>0</v>
      </c>
      <c r="V375" s="6">
        <f>ROUND(SUMIF('JUNE (물량흐름)'!$C$13:$C$502,'Direct labour(직접노무비)'!C375,'JUNE (물량흐름)'!$N$13:$N$502),0)</f>
        <v>0</v>
      </c>
      <c r="W375" s="6">
        <f>ROUND(SUMIF('JUNE (물량흐름)'!$C$13:$C$502,'Direct labour(직접노무비)'!C375,'JUNE (물량흐름)'!$O$13:$O$502),0)</f>
        <v>32</v>
      </c>
      <c r="X375" s="6">
        <f>ROUND(SUMIF('JUNE (물량흐름)'!$C$13:$C$502,'Direct labour(직접노무비)'!C375,'JUNE (물량흐름)'!$P$13:$P$502),0)</f>
        <v>61</v>
      </c>
      <c r="Y375" s="6">
        <f t="shared" si="68"/>
        <v>93</v>
      </c>
      <c r="Z375" s="6">
        <f t="shared" si="69"/>
        <v>65</v>
      </c>
      <c r="AA375" s="6">
        <f t="shared" si="74"/>
        <v>1897963</v>
      </c>
      <c r="AB375" s="389">
        <f t="shared" si="70"/>
        <v>0</v>
      </c>
      <c r="AC375" s="503">
        <f t="shared" si="63"/>
        <v>0</v>
      </c>
      <c r="AD375" s="389">
        <f t="shared" si="71"/>
        <v>0</v>
      </c>
    </row>
    <row r="376" spans="1:30" s="390" customFormat="1">
      <c r="A376" s="167">
        <v>371</v>
      </c>
      <c r="B376" s="267" t="str">
        <f>VLOOKUP(A376,'JUNE (물량흐름)'!$A$13:$C$502,2,0)</f>
        <v>ANN TAYLOR</v>
      </c>
      <c r="C376" s="240">
        <f>VLOOKUP(A376,'JUNE (물량흐름)'!$A$13:$C$502,3,0)</f>
        <v>468921</v>
      </c>
      <c r="D376" s="6">
        <f>VLOOKUP(C376,'WIP(재공품)'!$B$12:$E$493,4,0)</f>
        <v>71426.25</v>
      </c>
      <c r="E376" s="6">
        <f>IFERROR(VLOOKUP(C376,O.B.JUNE!$AA$7:$AG$448,2,0),0)</f>
        <v>0</v>
      </c>
      <c r="F376" s="6">
        <f>IFERROR(VLOOKUP(C376,O.B.JUNE!$AA$7:$AG$448,3,0),0)</f>
        <v>146</v>
      </c>
      <c r="G376" s="6">
        <f>IFERROR(VLOOKUP(C376,O.B.JUNE!$AA$7:$AD$448,4,0),0)</f>
        <v>263</v>
      </c>
      <c r="H376" s="6">
        <f t="shared" si="64"/>
        <v>409</v>
      </c>
      <c r="I376" s="6">
        <f>IFERROR(VLOOKUP(C376,O.B.JUNE!$AA$7:$AF$448,6,0),0)</f>
        <v>283</v>
      </c>
      <c r="J376" s="6"/>
      <c r="K376" s="6">
        <f>IFERROR(VLOOKUP(C376,O.B.JUNE!$AA$7:$AG$448,7,0),0)</f>
        <v>8858993</v>
      </c>
      <c r="L376" s="6">
        <f>SUMIF('JUNE (물량흐름)'!$C$13:$C$502,'Direct labour(직접노무비)'!C376,'JUNE (물량흐름)'!$H$13:$H$502)+SUMIF('JUNE (물량흐름)'!$C$13:$C$502,'Direct labour(직접노무비)'!C376,'JUNE (물량흐름)'!$I$13:$I$502)</f>
        <v>0</v>
      </c>
      <c r="M376" s="6">
        <f t="shared" si="65"/>
        <v>0</v>
      </c>
      <c r="N376" s="6">
        <f t="shared" si="66"/>
        <v>0</v>
      </c>
      <c r="O376" s="6">
        <f t="shared" si="72"/>
        <v>0</v>
      </c>
      <c r="P376" s="6">
        <f>SUMIF('JUNE (물량흐름)'!$C$13:$C$502,C376,'JUNE (물량흐름)'!$T$13:$T$502)+SUMIF('JUNE (물량흐름)'!$C$13:$C$502,C376,'JUNE (물량흐름)'!$V$13:$V$502)+SUMIF('JUNE (물량흐름)'!$C$13:$C$502,C376,'JUNE (물량흐름)'!$U$13:$U$502)-SUMIF('JUNE (물량흐름)'!$C$13:$C$502,C376,'JUNE (물량흐름)'!$Y$13:$Y$502)</f>
        <v>87</v>
      </c>
      <c r="Q376" s="6">
        <f t="shared" si="73"/>
        <v>1884431</v>
      </c>
      <c r="R376" s="6">
        <f>ROUND(IF(ISERROR(VLOOKUP(#REF!,'WIP(재공품)'!$B$12:$AB$38,13,0)),0,VLOOKUP(#REF!,'WIP(재공품)'!$B$12:$AB$38,13,0)),0)</f>
        <v>0</v>
      </c>
      <c r="S376" s="6">
        <f>IF(ISERROR(VLOOKUP(#REF!,'WIP(재공품)'!$B$12:$AB$38,10,0)),0,VLOOKUP(#REF!,'WIP(재공품)'!$B$12:$AB$38,10,0))</f>
        <v>0</v>
      </c>
      <c r="T376" s="6">
        <f>SUMIF('JUNE (물량흐름)'!$C$13:$C$502,'Direct labour(직접노무비)'!C376,'JUNE (물량흐름)'!$Y$13:$Y$502)</f>
        <v>11</v>
      </c>
      <c r="U376" s="6">
        <f t="shared" si="67"/>
        <v>238261</v>
      </c>
      <c r="V376" s="6">
        <f>ROUND(SUMIF('JUNE (물량흐름)'!$C$13:$C$502,'Direct labour(직접노무비)'!C376,'JUNE (물량흐름)'!$N$13:$N$502),0)</f>
        <v>0</v>
      </c>
      <c r="W376" s="6">
        <f>ROUND(SUMIF('JUNE (물량흐름)'!$C$13:$C$502,'Direct labour(직접노무비)'!C376,'JUNE (물량흐름)'!$O$13:$O$502),0)</f>
        <v>146</v>
      </c>
      <c r="X376" s="6">
        <f>ROUND(SUMIF('JUNE (물량흐름)'!$C$13:$C$502,'Direct labour(직접노무비)'!C376,'JUNE (물량흐름)'!$P$13:$P$502),0)</f>
        <v>165</v>
      </c>
      <c r="Y376" s="6">
        <f t="shared" si="68"/>
        <v>311</v>
      </c>
      <c r="Z376" s="6">
        <f t="shared" si="69"/>
        <v>205</v>
      </c>
      <c r="AA376" s="6">
        <f t="shared" si="74"/>
        <v>6736300</v>
      </c>
      <c r="AB376" s="389">
        <f t="shared" si="70"/>
        <v>1</v>
      </c>
      <c r="AC376" s="503">
        <f t="shared" si="63"/>
        <v>0</v>
      </c>
      <c r="AD376" s="389">
        <f t="shared" si="71"/>
        <v>0</v>
      </c>
    </row>
    <row r="377" spans="1:30" s="390" customFormat="1">
      <c r="A377" s="167">
        <v>372</v>
      </c>
      <c r="B377" s="267" t="str">
        <f>VLOOKUP(A377,'JUNE (물량흐름)'!$A$13:$C$502,2,0)</f>
        <v>ANN TAYLOR</v>
      </c>
      <c r="C377" s="240">
        <f>VLOOKUP(A377,'JUNE (물량흐름)'!$A$13:$C$502,3,0)</f>
        <v>469052</v>
      </c>
      <c r="D377" s="6">
        <f>VLOOKUP(C377,'WIP(재공품)'!$B$12:$E$493,4,0)</f>
        <v>33559</v>
      </c>
      <c r="E377" s="6">
        <f>IFERROR(VLOOKUP(C377,O.B.JUNE!$AA$7:$AG$448,2,0),0)</f>
        <v>0</v>
      </c>
      <c r="F377" s="6">
        <f>IFERROR(VLOOKUP(C377,O.B.JUNE!$AA$7:$AG$448,3,0),0)</f>
        <v>452</v>
      </c>
      <c r="G377" s="6">
        <f>IFERROR(VLOOKUP(C377,O.B.JUNE!$AA$7:$AD$448,4,0),0)</f>
        <v>455</v>
      </c>
      <c r="H377" s="6">
        <f t="shared" si="64"/>
        <v>907</v>
      </c>
      <c r="I377" s="6">
        <f>IFERROR(VLOOKUP(C377,O.B.JUNE!$AA$7:$AF$448,6,0),0)</f>
        <v>590</v>
      </c>
      <c r="J377" s="6"/>
      <c r="K377" s="6">
        <f>IFERROR(VLOOKUP(C377,O.B.JUNE!$AA$7:$AG$448,7,0),0)</f>
        <v>8906042</v>
      </c>
      <c r="L377" s="6">
        <f>SUMIF('JUNE (물량흐름)'!$C$13:$C$502,'Direct labour(직접노무비)'!C377,'JUNE (물량흐름)'!$H$13:$H$502)+SUMIF('JUNE (물량흐름)'!$C$13:$C$502,'Direct labour(직접노무비)'!C377,'JUNE (물량흐름)'!$I$13:$I$502)</f>
        <v>0</v>
      </c>
      <c r="M377" s="6">
        <f t="shared" si="65"/>
        <v>0</v>
      </c>
      <c r="N377" s="6">
        <f t="shared" si="66"/>
        <v>0</v>
      </c>
      <c r="O377" s="6">
        <f t="shared" si="72"/>
        <v>0</v>
      </c>
      <c r="P377" s="6">
        <f>SUMIF('JUNE (물량흐름)'!$C$13:$C$502,C377,'JUNE (물량흐름)'!$T$13:$T$502)+SUMIF('JUNE (물량흐름)'!$C$13:$C$502,C377,'JUNE (물량흐름)'!$V$13:$V$502)+SUMIF('JUNE (물량흐름)'!$C$13:$C$502,C377,'JUNE (물량흐름)'!$U$13:$U$502)-SUMIF('JUNE (물량흐름)'!$C$13:$C$502,C377,'JUNE (물량흐름)'!$Y$13:$Y$502)</f>
        <v>1</v>
      </c>
      <c r="Q377" s="6">
        <f t="shared" si="73"/>
        <v>9819</v>
      </c>
      <c r="R377" s="6">
        <f>ROUND(IF(ISERROR(VLOOKUP(#REF!,'WIP(재공품)'!$B$12:$AB$38,13,0)),0,VLOOKUP(#REF!,'WIP(재공품)'!$B$12:$AB$38,13,0)),0)</f>
        <v>0</v>
      </c>
      <c r="S377" s="6">
        <f>IF(ISERROR(VLOOKUP(#REF!,'WIP(재공품)'!$B$12:$AB$38,10,0)),0,VLOOKUP(#REF!,'WIP(재공품)'!$B$12:$AB$38,10,0))</f>
        <v>0</v>
      </c>
      <c r="T377" s="6">
        <f>SUMIF('JUNE (물량흐름)'!$C$13:$C$502,'Direct labour(직접노무비)'!C377,'JUNE (물량흐름)'!$Y$13:$Y$502)</f>
        <v>10</v>
      </c>
      <c r="U377" s="6">
        <f t="shared" si="67"/>
        <v>98192</v>
      </c>
      <c r="V377" s="6">
        <f>ROUND(SUMIF('JUNE (물량흐름)'!$C$13:$C$502,'Direct labour(직접노무비)'!C377,'JUNE (물량흐름)'!$N$13:$N$502),0)</f>
        <v>0</v>
      </c>
      <c r="W377" s="6">
        <f>ROUND(SUMIF('JUNE (물량흐름)'!$C$13:$C$502,'Direct labour(직접노무비)'!C377,'JUNE (물량흐름)'!$O$13:$O$502),0)</f>
        <v>452</v>
      </c>
      <c r="X377" s="6">
        <f>ROUND(SUMIF('JUNE (물량흐름)'!$C$13:$C$502,'Direct labour(직접노무비)'!C377,'JUNE (물량흐름)'!$P$13:$P$502),0)</f>
        <v>444</v>
      </c>
      <c r="Y377" s="6">
        <f t="shared" si="68"/>
        <v>896</v>
      </c>
      <c r="Z377" s="6">
        <f t="shared" si="69"/>
        <v>581</v>
      </c>
      <c r="AA377" s="6">
        <f t="shared" si="74"/>
        <v>8798030</v>
      </c>
      <c r="AB377" s="389">
        <f t="shared" si="70"/>
        <v>1</v>
      </c>
      <c r="AC377" s="503">
        <f t="shared" si="63"/>
        <v>0</v>
      </c>
      <c r="AD377" s="389">
        <f t="shared" si="71"/>
        <v>0</v>
      </c>
    </row>
    <row r="378" spans="1:30" s="390" customFormat="1">
      <c r="A378" s="167">
        <v>373</v>
      </c>
      <c r="B378" s="267" t="str">
        <f>VLOOKUP(A378,'JUNE (물량흐름)'!$A$13:$C$502,2,0)</f>
        <v>ANN TAYLOR</v>
      </c>
      <c r="C378" s="240">
        <f>VLOOKUP(A378,'JUNE (물량흐름)'!$A$13:$C$502,3,0)</f>
        <v>469493</v>
      </c>
      <c r="D378" s="6">
        <f>VLOOKUP(C378,'WIP(재공품)'!$B$12:$E$493,4,0)</f>
        <v>68478.5</v>
      </c>
      <c r="E378" s="6">
        <f>IFERROR(VLOOKUP(C378,O.B.JUNE!$AA$7:$AG$448,2,0),0)</f>
        <v>0</v>
      </c>
      <c r="F378" s="6">
        <f>IFERROR(VLOOKUP(C378,O.B.JUNE!$AA$7:$AG$448,3,0),0)</f>
        <v>65</v>
      </c>
      <c r="G378" s="6">
        <f>IFERROR(VLOOKUP(C378,O.B.JUNE!$AA$7:$AD$448,4,0),0)</f>
        <v>563</v>
      </c>
      <c r="H378" s="6">
        <f t="shared" si="64"/>
        <v>628</v>
      </c>
      <c r="I378" s="6">
        <f>IFERROR(VLOOKUP(C378,O.B.JUNE!$AA$7:$AF$448,6,0),0)</f>
        <v>483</v>
      </c>
      <c r="J378" s="6"/>
      <c r="K378" s="6">
        <f>IFERROR(VLOOKUP(C378,O.B.JUNE!$AA$7:$AG$448,7,0),0)</f>
        <v>12844452</v>
      </c>
      <c r="L378" s="6">
        <f>SUMIF('JUNE (물량흐름)'!$C$13:$C$502,'Direct labour(직접노무비)'!C378,'JUNE (물량흐름)'!$H$13:$H$502)+SUMIF('JUNE (물량흐름)'!$C$13:$C$502,'Direct labour(직접노무비)'!C378,'JUNE (물량흐름)'!$I$13:$I$502)</f>
        <v>0</v>
      </c>
      <c r="M378" s="6">
        <f t="shared" si="65"/>
        <v>0</v>
      </c>
      <c r="N378" s="6">
        <f t="shared" si="66"/>
        <v>0</v>
      </c>
      <c r="O378" s="6">
        <f t="shared" si="72"/>
        <v>0</v>
      </c>
      <c r="P378" s="6">
        <f>SUMIF('JUNE (물량흐름)'!$C$13:$C$502,C378,'JUNE (물량흐름)'!$T$13:$T$502)+SUMIF('JUNE (물량흐름)'!$C$13:$C$502,C378,'JUNE (물량흐름)'!$V$13:$V$502)+SUMIF('JUNE (물량흐름)'!$C$13:$C$502,C378,'JUNE (물량흐름)'!$U$13:$U$502)-SUMIF('JUNE (물량흐름)'!$C$13:$C$502,C378,'JUNE (물량흐름)'!$Y$13:$Y$502)</f>
        <v>386</v>
      </c>
      <c r="Q378" s="6">
        <f t="shared" si="73"/>
        <v>7894838</v>
      </c>
      <c r="R378" s="6">
        <f>ROUND(IF(ISERROR(VLOOKUP(#REF!,'WIP(재공품)'!$B$12:$AB$38,13,0)),0,VLOOKUP(#REF!,'WIP(재공품)'!$B$12:$AB$38,13,0)),0)</f>
        <v>0</v>
      </c>
      <c r="S378" s="6">
        <f>IF(ISERROR(VLOOKUP(#REF!,'WIP(재공품)'!$B$12:$AB$38,10,0)),0,VLOOKUP(#REF!,'WIP(재공품)'!$B$12:$AB$38,10,0))</f>
        <v>0</v>
      </c>
      <c r="T378" s="6">
        <f>SUMIF('JUNE (물량흐름)'!$C$13:$C$502,'Direct labour(직접노무비)'!C378,'JUNE (물량흐름)'!$Y$13:$Y$502)</f>
        <v>6</v>
      </c>
      <c r="U378" s="6">
        <f t="shared" si="67"/>
        <v>122718</v>
      </c>
      <c r="V378" s="6">
        <f>ROUND(SUMIF('JUNE (물량흐름)'!$C$13:$C$502,'Direct labour(직접노무비)'!C378,'JUNE (물량흐름)'!$N$13:$N$502),0)</f>
        <v>0</v>
      </c>
      <c r="W378" s="6">
        <f>ROUND(SUMIF('JUNE (물량흐름)'!$C$13:$C$502,'Direct labour(직접노무비)'!C378,'JUNE (물량흐름)'!$O$13:$O$502),0)</f>
        <v>31</v>
      </c>
      <c r="X378" s="6">
        <f>ROUND(SUMIF('JUNE (물량흐름)'!$C$13:$C$502,'Direct labour(직접노무비)'!C378,'JUNE (물량흐름)'!$P$13:$P$502),0)</f>
        <v>205</v>
      </c>
      <c r="Y378" s="6">
        <f t="shared" si="68"/>
        <v>236</v>
      </c>
      <c r="Z378" s="6">
        <f t="shared" si="69"/>
        <v>180</v>
      </c>
      <c r="AA378" s="6">
        <f t="shared" si="74"/>
        <v>4826896</v>
      </c>
      <c r="AB378" s="389">
        <f t="shared" si="70"/>
        <v>0</v>
      </c>
      <c r="AC378" s="503">
        <f t="shared" si="63"/>
        <v>0</v>
      </c>
      <c r="AD378" s="389">
        <f t="shared" si="71"/>
        <v>0</v>
      </c>
    </row>
    <row r="379" spans="1:30" s="390" customFormat="1">
      <c r="A379" s="167">
        <v>374</v>
      </c>
      <c r="B379" s="267" t="str">
        <f>VLOOKUP(A379,'JUNE (물량흐름)'!$A$13:$C$502,2,0)</f>
        <v>ANN TAYLOR</v>
      </c>
      <c r="C379" s="240">
        <f>VLOOKUP(A379,'JUNE (물량흐름)'!$A$13:$C$502,3,0)</f>
        <v>470238</v>
      </c>
      <c r="D379" s="6">
        <f>VLOOKUP(C379,'WIP(재공품)'!$B$12:$E$493,4,0)</f>
        <v>34692.75</v>
      </c>
      <c r="E379" s="6">
        <f>IFERROR(VLOOKUP(C379,O.B.JUNE!$AA$7:$AG$448,2,0),0)</f>
        <v>11</v>
      </c>
      <c r="F379" s="6">
        <f>IFERROR(VLOOKUP(C379,O.B.JUNE!$AA$7:$AG$448,3,0),0)</f>
        <v>793</v>
      </c>
      <c r="G379" s="6">
        <f>IFERROR(VLOOKUP(C379,O.B.JUNE!$AA$7:$AD$448,4,0),0)</f>
        <v>66</v>
      </c>
      <c r="H379" s="6">
        <f t="shared" si="64"/>
        <v>870</v>
      </c>
      <c r="I379" s="6">
        <f>IFERROR(VLOOKUP(C379,O.B.JUNE!$AA$7:$AF$448,6,0),0)</f>
        <v>452</v>
      </c>
      <c r="J379" s="6"/>
      <c r="K379" s="6">
        <f>IFERROR(VLOOKUP(C379,O.B.JUNE!$AA$7:$AG$448,7,0),0)</f>
        <v>8491925</v>
      </c>
      <c r="L379" s="6">
        <f>SUMIF('JUNE (물량흐름)'!$C$13:$C$502,'Direct labour(직접노무비)'!C379,'JUNE (물량흐름)'!$H$13:$H$502)+SUMIF('JUNE (물량흐름)'!$C$13:$C$502,'Direct labour(직접노무비)'!C379,'JUNE (물량흐름)'!$I$13:$I$502)</f>
        <v>0</v>
      </c>
      <c r="M379" s="6">
        <f t="shared" si="65"/>
        <v>0</v>
      </c>
      <c r="N379" s="6">
        <f t="shared" si="66"/>
        <v>0</v>
      </c>
      <c r="O379" s="6">
        <f t="shared" si="72"/>
        <v>0</v>
      </c>
      <c r="P379" s="6">
        <f>SUMIF('JUNE (물량흐름)'!$C$13:$C$502,C379,'JUNE (물량흐름)'!$T$13:$T$502)+SUMIF('JUNE (물량흐름)'!$C$13:$C$502,C379,'JUNE (물량흐름)'!$V$13:$V$502)+SUMIF('JUNE (물량흐름)'!$C$13:$C$502,C379,'JUNE (물량흐름)'!$U$13:$U$502)-SUMIF('JUNE (물량흐름)'!$C$13:$C$502,C379,'JUNE (물량흐름)'!$Y$13:$Y$502)</f>
        <v>0</v>
      </c>
      <c r="Q379" s="6">
        <f t="shared" si="73"/>
        <v>0</v>
      </c>
      <c r="R379" s="6">
        <f>ROUND(IF(ISERROR(VLOOKUP(#REF!,'WIP(재공품)'!$B$12:$AB$38,13,0)),0,VLOOKUP(#REF!,'WIP(재공품)'!$B$12:$AB$38,13,0)),0)</f>
        <v>0</v>
      </c>
      <c r="S379" s="6">
        <f>IF(ISERROR(VLOOKUP(#REF!,'WIP(재공품)'!$B$12:$AB$38,10,0)),0,VLOOKUP(#REF!,'WIP(재공품)'!$B$12:$AB$38,10,0))</f>
        <v>0</v>
      </c>
      <c r="T379" s="6">
        <f>SUMIF('JUNE (물량흐름)'!$C$13:$C$502,'Direct labour(직접노무비)'!C379,'JUNE (물량흐름)'!$Y$13:$Y$502)</f>
        <v>12</v>
      </c>
      <c r="U379" s="6">
        <f t="shared" si="67"/>
        <v>117130</v>
      </c>
      <c r="V379" s="6">
        <f>ROUND(SUMIF('JUNE (물량흐름)'!$C$13:$C$502,'Direct labour(직접노무비)'!C379,'JUNE (물량흐름)'!$N$13:$N$502),0)</f>
        <v>11</v>
      </c>
      <c r="W379" s="6">
        <f>ROUND(SUMIF('JUNE (물량흐름)'!$C$13:$C$502,'Direct labour(직접노무비)'!C379,'JUNE (물량흐름)'!$O$13:$O$502),0)</f>
        <v>793</v>
      </c>
      <c r="X379" s="6">
        <f>ROUND(SUMIF('JUNE (물량흐름)'!$C$13:$C$502,'Direct labour(직접노무비)'!C379,'JUNE (물량흐름)'!$P$13:$P$502),0)</f>
        <v>54</v>
      </c>
      <c r="Y379" s="6">
        <f t="shared" si="68"/>
        <v>858</v>
      </c>
      <c r="Z379" s="6">
        <f t="shared" si="69"/>
        <v>442</v>
      </c>
      <c r="AA379" s="6">
        <f t="shared" si="74"/>
        <v>8374795</v>
      </c>
      <c r="AB379" s="389">
        <f t="shared" si="70"/>
        <v>0</v>
      </c>
      <c r="AC379" s="503">
        <f t="shared" si="63"/>
        <v>0</v>
      </c>
      <c r="AD379" s="389">
        <f t="shared" si="71"/>
        <v>0</v>
      </c>
    </row>
    <row r="380" spans="1:30" s="499" customFormat="1">
      <c r="A380" s="490">
        <v>375</v>
      </c>
      <c r="B380" s="501" t="str">
        <f>VLOOKUP(A380,'JUNE (물량흐름)'!$A$13:$C$502,2,0)</f>
        <v>ANN TAYLOR</v>
      </c>
      <c r="C380" s="502">
        <f>VLOOKUP(A380,'JUNE (물량흐름)'!$A$13:$C$502,3,0)</f>
        <v>470342</v>
      </c>
      <c r="D380" s="29">
        <f>VLOOKUP(C380,'WIP(재공품)'!$B$12:$E$493,4,0)</f>
        <v>33332.25</v>
      </c>
      <c r="E380" s="29">
        <f>IFERROR(VLOOKUP(C380,O.B.JUNE!$AA$7:$AG$448,2,0),0)</f>
        <v>0</v>
      </c>
      <c r="F380" s="29">
        <f>IFERROR(VLOOKUP(C380,O.B.JUNE!$AA$7:$AG$448,3,0),0)</f>
        <v>138</v>
      </c>
      <c r="G380" s="29">
        <f>IFERROR(VLOOKUP(C380,O.B.JUNE!$AA$7:$AD$448,4,0),0)</f>
        <v>1288</v>
      </c>
      <c r="H380" s="29">
        <f t="shared" si="64"/>
        <v>1426</v>
      </c>
      <c r="I380" s="29">
        <f>IFERROR(VLOOKUP(C380,O.B.JUNE!$AA$7:$AF$448,6,0),0)</f>
        <v>1099</v>
      </c>
      <c r="J380" s="6"/>
      <c r="K380" s="29">
        <f>IFERROR(VLOOKUP(C380,O.B.JUNE!$AA$7:$AG$448,7,0),0)</f>
        <v>14293033</v>
      </c>
      <c r="L380" s="29">
        <f>SUMIF('JUNE (물량흐름)'!$C$13:$C$502,'Direct labour(직접노무비)'!C380,'JUNE (물량흐름)'!$H$13:$H$502)+SUMIF('JUNE (물량흐름)'!$C$13:$C$502,'Direct labour(직접노무비)'!C380,'JUNE (물량흐름)'!$I$13:$I$502)</f>
        <v>0</v>
      </c>
      <c r="M380" s="29">
        <f t="shared" si="65"/>
        <v>0</v>
      </c>
      <c r="N380" s="29">
        <f t="shared" si="66"/>
        <v>0</v>
      </c>
      <c r="O380" s="29">
        <f>ROUND(M380*D380*$O$493/$N$493,0)</f>
        <v>0</v>
      </c>
      <c r="P380" s="6">
        <f>SUMIF('JUNE (물량흐름)'!$C$13:$C$502,C380,'JUNE (물량흐름)'!$T$13:$T$502)+SUMIF('JUNE (물량흐름)'!$C$13:$C$502,C380,'JUNE (물량흐름)'!$V$13:$V$502)+SUMIF('JUNE (물량흐름)'!$C$13:$C$502,C380,'JUNE (물량흐름)'!$U$13:$U$502)-SUMIF('JUNE (물량흐름)'!$C$13:$C$502,C380,'JUNE (물량흐름)'!$Y$13:$Y$502)</f>
        <v>0</v>
      </c>
      <c r="Q380" s="6">
        <f t="shared" si="73"/>
        <v>0</v>
      </c>
      <c r="R380" s="6">
        <f>ROUND(IF(ISERROR(VLOOKUP(#REF!,'WIP(재공품)'!$B$12:$AB$38,13,0)),0,VLOOKUP(#REF!,'WIP(재공품)'!$B$12:$AB$38,13,0)),0)</f>
        <v>0</v>
      </c>
      <c r="S380" s="6">
        <f>IF(ISERROR(VLOOKUP(#REF!,'WIP(재공품)'!$B$12:$AB$38,10,0)),0,VLOOKUP(#REF!,'WIP(재공품)'!$B$12:$AB$38,10,0))</f>
        <v>0</v>
      </c>
      <c r="T380" s="29">
        <f>SUMIF('JUNE (물량흐름)'!$C$13:$C$502,'Direct labour(직접노무비)'!C380,'JUNE (물량흐름)'!$Y$13:$Y$502)</f>
        <v>0</v>
      </c>
      <c r="U380" s="29">
        <f t="shared" si="67"/>
        <v>0</v>
      </c>
      <c r="V380" s="29">
        <f>ROUND(SUMIF('JUNE (물량흐름)'!$C$13:$C$502,'Direct labour(직접노무비)'!C380,'JUNE (물량흐름)'!$N$13:$N$502),0)</f>
        <v>0</v>
      </c>
      <c r="W380" s="29">
        <f>ROUND(SUMIF('JUNE (물량흐름)'!$C$13:$C$502,'Direct labour(직접노무비)'!C380,'JUNE (물량흐름)'!$O$13:$O$502),0)</f>
        <v>138</v>
      </c>
      <c r="X380" s="29">
        <f>ROUND(SUMIF('JUNE (물량흐름)'!$C$13:$C$502,'Direct labour(직접노무비)'!C380,'JUNE (물량흐름)'!$P$13:$P$502),0)</f>
        <v>1288</v>
      </c>
      <c r="Y380" s="29">
        <f t="shared" si="68"/>
        <v>1426</v>
      </c>
      <c r="Z380" s="29">
        <f>ROUND(V380*$V$10+W380*$W$10+X380*$X$10,0)</f>
        <v>1099</v>
      </c>
      <c r="AA380" s="6">
        <f t="shared" si="74"/>
        <v>14293033</v>
      </c>
      <c r="AB380" s="503">
        <f t="shared" si="70"/>
        <v>0</v>
      </c>
      <c r="AC380" s="503">
        <f>H380+L380-P380-T380-Y380</f>
        <v>0</v>
      </c>
      <c r="AD380" s="503">
        <f t="shared" si="71"/>
        <v>0</v>
      </c>
    </row>
    <row r="381" spans="1:30" s="390" customFormat="1">
      <c r="A381" s="167">
        <v>376</v>
      </c>
      <c r="B381" s="267" t="str">
        <f>VLOOKUP(A381,'JUNE (물량흐름)'!$A$13:$C$502,2,0)</f>
        <v>ANN TAYLOR</v>
      </c>
      <c r="C381" s="240">
        <f>VLOOKUP(A381,'JUNE (물량흐름)'!$A$13:$C$502,3,0)</f>
        <v>474049</v>
      </c>
      <c r="D381" s="6">
        <f>VLOOKUP(C381,'WIP(재공품)'!$B$12:$E$493,4,0)</f>
        <v>37640.5</v>
      </c>
      <c r="E381" s="6">
        <f>IFERROR(VLOOKUP(C381,O.B.JUNE!$AA$7:$AG$448,2,0),0)</f>
        <v>3</v>
      </c>
      <c r="F381" s="6">
        <f>IFERROR(VLOOKUP(C381,O.B.JUNE!$AA$7:$AG$448,3,0),0)</f>
        <v>73</v>
      </c>
      <c r="G381" s="6">
        <f>IFERROR(VLOOKUP(C381,O.B.JUNE!$AA$7:$AD$448,4,0),0)</f>
        <v>907</v>
      </c>
      <c r="H381" s="6">
        <f t="shared" si="64"/>
        <v>983</v>
      </c>
      <c r="I381" s="6">
        <f>IFERROR(VLOOKUP(C381,O.B.JUNE!$AA$7:$AF$448,6,0),0)</f>
        <v>763</v>
      </c>
      <c r="J381" s="6"/>
      <c r="K381" s="6">
        <f>IFERROR(VLOOKUP(C381,O.B.JUNE!$AA$7:$AG$448,7,0),0)</f>
        <v>14944866</v>
      </c>
      <c r="L381" s="6">
        <f>SUMIF('JUNE (물량흐름)'!$C$13:$C$502,'Direct labour(직접노무비)'!C381,'JUNE (물량흐름)'!$H$13:$H$502)+SUMIF('JUNE (물량흐름)'!$C$13:$C$502,'Direct labour(직접노무비)'!C381,'JUNE (물량흐름)'!$I$13:$I$502)</f>
        <v>0</v>
      </c>
      <c r="M381" s="6">
        <f t="shared" si="65"/>
        <v>0</v>
      </c>
      <c r="N381" s="6">
        <f t="shared" si="66"/>
        <v>0</v>
      </c>
      <c r="O381" s="6">
        <f t="shared" si="72"/>
        <v>0</v>
      </c>
      <c r="P381" s="6">
        <f>SUMIF('JUNE (물량흐름)'!$C$13:$C$502,C381,'JUNE (물량흐름)'!$T$13:$T$502)+SUMIF('JUNE (물량흐름)'!$C$13:$C$502,C381,'JUNE (물량흐름)'!$V$13:$V$502)+SUMIF('JUNE (물량흐름)'!$C$13:$C$502,C381,'JUNE (물량흐름)'!$U$13:$U$502)-SUMIF('JUNE (물량흐름)'!$C$13:$C$502,C381,'JUNE (물량흐름)'!$Y$13:$Y$502)</f>
        <v>0</v>
      </c>
      <c r="Q381" s="6">
        <f t="shared" si="73"/>
        <v>0</v>
      </c>
      <c r="R381" s="6">
        <f>ROUND(IF(ISERROR(VLOOKUP(#REF!,'WIP(재공품)'!$B$12:$AB$38,13,0)),0,VLOOKUP(#REF!,'WIP(재공품)'!$B$12:$AB$38,13,0)),0)</f>
        <v>0</v>
      </c>
      <c r="S381" s="6">
        <f>IF(ISERROR(VLOOKUP(#REF!,'WIP(재공품)'!$B$12:$AB$38,10,0)),0,VLOOKUP(#REF!,'WIP(재공품)'!$B$12:$AB$38,10,0))</f>
        <v>0</v>
      </c>
      <c r="T381" s="6">
        <f>SUMIF('JUNE (물량흐름)'!$C$13:$C$502,'Direct labour(직접노무비)'!C381,'JUNE (물량흐름)'!$Y$13:$Y$502)</f>
        <v>0</v>
      </c>
      <c r="U381" s="6">
        <f t="shared" si="67"/>
        <v>0</v>
      </c>
      <c r="V381" s="6">
        <f>ROUND(SUMIF('JUNE (물량흐름)'!$C$13:$C$502,'Direct labour(직접노무비)'!C381,'JUNE (물량흐름)'!$N$13:$N$502),0)</f>
        <v>3</v>
      </c>
      <c r="W381" s="6">
        <f>ROUND(SUMIF('JUNE (물량흐름)'!$C$13:$C$502,'Direct labour(직접노무비)'!C381,'JUNE (물량흐름)'!$O$13:$O$502),0)</f>
        <v>73</v>
      </c>
      <c r="X381" s="6">
        <f>ROUND(SUMIF('JUNE (물량흐름)'!$C$13:$C$502,'Direct labour(직접노무비)'!C381,'JUNE (물량흐름)'!$P$13:$P$502),0)</f>
        <v>907</v>
      </c>
      <c r="Y381" s="6">
        <f t="shared" si="68"/>
        <v>983</v>
      </c>
      <c r="Z381" s="6">
        <f t="shared" si="69"/>
        <v>763</v>
      </c>
      <c r="AA381" s="6">
        <f t="shared" si="74"/>
        <v>14944866</v>
      </c>
      <c r="AB381" s="389">
        <f t="shared" si="70"/>
        <v>0</v>
      </c>
      <c r="AC381" s="503">
        <f t="shared" si="63"/>
        <v>0</v>
      </c>
      <c r="AD381" s="389">
        <f t="shared" si="71"/>
        <v>0</v>
      </c>
    </row>
    <row r="382" spans="1:30" s="390" customFormat="1">
      <c r="A382" s="167">
        <v>377</v>
      </c>
      <c r="B382" s="267" t="str">
        <f>VLOOKUP(A382,'JUNE (물량흐름)'!$A$13:$C$502,2,0)</f>
        <v>ANN TAYLOR</v>
      </c>
      <c r="C382" s="240">
        <f>VLOOKUP(A382,'JUNE (물량흐름)'!$A$13:$C$502,3,0)</f>
        <v>474816</v>
      </c>
      <c r="D382" s="6">
        <f>VLOOKUP(C382,'WIP(재공품)'!$B$12:$E$493,4,0)</f>
        <v>68478.5</v>
      </c>
      <c r="E382" s="6">
        <f>IFERROR(VLOOKUP(C382,O.B.JUNE!$AA$7:$AG$448,2,0),0)</f>
        <v>0</v>
      </c>
      <c r="F382" s="6">
        <f>IFERROR(VLOOKUP(C382,O.B.JUNE!$AA$7:$AG$448,3,0),0)</f>
        <v>309</v>
      </c>
      <c r="G382" s="6">
        <f>IFERROR(VLOOKUP(C382,O.B.JUNE!$AA$7:$AD$448,4,0),0)</f>
        <v>337</v>
      </c>
      <c r="H382" s="6">
        <f t="shared" si="64"/>
        <v>646</v>
      </c>
      <c r="I382" s="6">
        <f>IFERROR(VLOOKUP(C382,O.B.JUNE!$AA$7:$AF$448,6,0),0)</f>
        <v>424</v>
      </c>
      <c r="J382" s="6"/>
      <c r="K382" s="6">
        <f>IFERROR(VLOOKUP(C382,O.B.JUNE!$AA$7:$AG$448,7,0),0)</f>
        <v>13232044</v>
      </c>
      <c r="L382" s="6">
        <f>SUMIF('JUNE (물량흐름)'!$C$13:$C$502,'Direct labour(직접노무비)'!C382,'JUNE (물량흐름)'!$H$13:$H$502)+SUMIF('JUNE (물량흐름)'!$C$13:$C$502,'Direct labour(직접노무비)'!C382,'JUNE (물량흐름)'!$I$13:$I$502)</f>
        <v>0</v>
      </c>
      <c r="M382" s="6">
        <f t="shared" si="65"/>
        <v>0</v>
      </c>
      <c r="N382" s="6">
        <f t="shared" si="66"/>
        <v>0</v>
      </c>
      <c r="O382" s="6">
        <f t="shared" si="72"/>
        <v>0</v>
      </c>
      <c r="P382" s="6">
        <f>SUMIF('JUNE (물량흐름)'!$C$13:$C$502,C382,'JUNE (물량흐름)'!$T$13:$T$502)+SUMIF('JUNE (물량흐름)'!$C$13:$C$502,C382,'JUNE (물량흐름)'!$V$13:$V$502)+SUMIF('JUNE (물량흐름)'!$C$13:$C$502,C382,'JUNE (물량흐름)'!$U$13:$U$502)-SUMIF('JUNE (물량흐름)'!$C$13:$C$502,C382,'JUNE (물량흐름)'!$Y$13:$Y$502)</f>
        <v>178</v>
      </c>
      <c r="Q382" s="6">
        <f t="shared" si="73"/>
        <v>3645981</v>
      </c>
      <c r="R382" s="6">
        <f>ROUND(IF(ISERROR(VLOOKUP(#REF!,'WIP(재공품)'!$B$12:$AB$38,13,0)),0,VLOOKUP(#REF!,'WIP(재공품)'!$B$12:$AB$38,13,0)),0)</f>
        <v>0</v>
      </c>
      <c r="S382" s="6">
        <f>IF(ISERROR(VLOOKUP(#REF!,'WIP(재공품)'!$B$12:$AB$38,10,0)),0,VLOOKUP(#REF!,'WIP(재공품)'!$B$12:$AB$38,10,0))</f>
        <v>0</v>
      </c>
      <c r="T382" s="6">
        <f>SUMIF('JUNE (물량흐름)'!$C$13:$C$502,'Direct labour(직접노무비)'!C382,'JUNE (물량흐름)'!$Y$13:$Y$502)</f>
        <v>12</v>
      </c>
      <c r="U382" s="6">
        <f t="shared" si="67"/>
        <v>245796</v>
      </c>
      <c r="V382" s="6">
        <f>ROUND(SUMIF('JUNE (물량흐름)'!$C$13:$C$502,'Direct labour(직접노무비)'!C382,'JUNE (물량흐름)'!$N$13:$N$502),0)</f>
        <v>0</v>
      </c>
      <c r="W382" s="6">
        <f>ROUND(SUMIF('JUNE (물량흐름)'!$C$13:$C$502,'Direct labour(직접노무비)'!C382,'JUNE (물량흐름)'!$O$13:$O$502),0)</f>
        <v>150</v>
      </c>
      <c r="X382" s="6">
        <f>ROUND(SUMIF('JUNE (물량흐름)'!$C$13:$C$502,'Direct labour(직접노무비)'!C382,'JUNE (물량흐름)'!$P$13:$P$502),0)</f>
        <v>306</v>
      </c>
      <c r="Y382" s="6">
        <f t="shared" si="68"/>
        <v>456</v>
      </c>
      <c r="Z382" s="6">
        <f t="shared" si="69"/>
        <v>320</v>
      </c>
      <c r="AA382" s="6">
        <f t="shared" si="74"/>
        <v>9340266</v>
      </c>
      <c r="AB382" s="389">
        <f t="shared" si="70"/>
        <v>1</v>
      </c>
      <c r="AC382" s="503">
        <f t="shared" ref="AC382:AC445" si="75">H382+L382-P382-T382-Y382</f>
        <v>0</v>
      </c>
      <c r="AD382" s="389">
        <f t="shared" si="71"/>
        <v>0</v>
      </c>
    </row>
    <row r="383" spans="1:30" s="390" customFormat="1">
      <c r="A383" s="167">
        <v>378</v>
      </c>
      <c r="B383" s="267" t="str">
        <f>VLOOKUP(A383,'JUNE (물량흐름)'!$A$13:$C$502,2,0)</f>
        <v>ANN TAYLOR</v>
      </c>
      <c r="C383" s="240">
        <f>VLOOKUP(A383,'JUNE (물량흐름)'!$A$13:$C$502,3,0)</f>
        <v>471157</v>
      </c>
      <c r="D383" s="6">
        <f>VLOOKUP(C383,'WIP(재공품)'!$B$12:$E$493,4,0)</f>
        <v>29704.25</v>
      </c>
      <c r="E383" s="6">
        <f>IFERROR(VLOOKUP(C383,O.B.JUNE!$AA$7:$AG$448,2,0),0)</f>
        <v>0</v>
      </c>
      <c r="F383" s="6">
        <f>IFERROR(VLOOKUP(C383,O.B.JUNE!$AA$7:$AG$448,3,0),0)</f>
        <v>35</v>
      </c>
      <c r="G383" s="6">
        <f>IFERROR(VLOOKUP(C383,O.B.JUNE!$AA$7:$AD$448,4,0),0)</f>
        <v>59</v>
      </c>
      <c r="H383" s="6">
        <f t="shared" si="64"/>
        <v>94</v>
      </c>
      <c r="I383" s="6">
        <f>IFERROR(VLOOKUP(C383,O.B.JUNE!$AA$7:$AF$448,6,0),0)</f>
        <v>65</v>
      </c>
      <c r="J383" s="6"/>
      <c r="K383" s="6">
        <f>IFERROR(VLOOKUP(C383,O.B.JUNE!$AA$7:$AG$448,7,0),0)</f>
        <v>1761065</v>
      </c>
      <c r="L383" s="6">
        <f>SUMIF('JUNE (물량흐름)'!$C$13:$C$502,'Direct labour(직접노무비)'!C383,'JUNE (물량흐름)'!$H$13:$H$502)+SUMIF('JUNE (물량흐름)'!$C$13:$C$502,'Direct labour(직접노무비)'!C383,'JUNE (물량흐름)'!$I$13:$I$502)</f>
        <v>0</v>
      </c>
      <c r="M383" s="6">
        <f t="shared" si="65"/>
        <v>0</v>
      </c>
      <c r="N383" s="6">
        <f t="shared" si="66"/>
        <v>0</v>
      </c>
      <c r="O383" s="6">
        <f t="shared" si="72"/>
        <v>0</v>
      </c>
      <c r="P383" s="6">
        <f>SUMIF('JUNE (물량흐름)'!$C$13:$C$502,C383,'JUNE (물량흐름)'!$T$13:$T$502)+SUMIF('JUNE (물량흐름)'!$C$13:$C$502,C383,'JUNE (물량흐름)'!$V$13:$V$502)+SUMIF('JUNE (물량흐름)'!$C$13:$C$502,C383,'JUNE (물량흐름)'!$U$13:$U$502)-SUMIF('JUNE (물량흐름)'!$C$13:$C$502,C383,'JUNE (물량흐름)'!$Y$13:$Y$502)</f>
        <v>0</v>
      </c>
      <c r="Q383" s="6">
        <f t="shared" si="73"/>
        <v>0</v>
      </c>
      <c r="R383" s="6">
        <f>ROUND(IF(ISERROR(VLOOKUP(#REF!,'WIP(재공품)'!$B$12:$AB$38,13,0)),0,VLOOKUP(#REF!,'WIP(재공품)'!$B$12:$AB$38,13,0)),0)</f>
        <v>0</v>
      </c>
      <c r="S383" s="6">
        <f>IF(ISERROR(VLOOKUP(#REF!,'WIP(재공품)'!$B$12:$AB$38,10,0)),0,VLOOKUP(#REF!,'WIP(재공품)'!$B$12:$AB$38,10,0))</f>
        <v>0</v>
      </c>
      <c r="T383" s="6">
        <f>SUMIF('JUNE (물량흐름)'!$C$13:$C$502,'Direct labour(직접노무비)'!C383,'JUNE (물량흐름)'!$Y$13:$Y$502)</f>
        <v>0</v>
      </c>
      <c r="U383" s="6">
        <f t="shared" si="67"/>
        <v>0</v>
      </c>
      <c r="V383" s="6">
        <f>ROUND(SUMIF('JUNE (물량흐름)'!$C$13:$C$502,'Direct labour(직접노무비)'!C383,'JUNE (물량흐름)'!$N$13:$N$502),0)</f>
        <v>0</v>
      </c>
      <c r="W383" s="6">
        <f>ROUND(SUMIF('JUNE (물량흐름)'!$C$13:$C$502,'Direct labour(직접노무비)'!C383,'JUNE (물량흐름)'!$O$13:$O$502),0)</f>
        <v>35</v>
      </c>
      <c r="X383" s="6">
        <f>ROUND(SUMIF('JUNE (물량흐름)'!$C$13:$C$502,'Direct labour(직접노무비)'!C383,'JUNE (물량흐름)'!$P$13:$P$502),0)</f>
        <v>59</v>
      </c>
      <c r="Y383" s="6">
        <f t="shared" si="68"/>
        <v>94</v>
      </c>
      <c r="Z383" s="6">
        <f t="shared" si="69"/>
        <v>65</v>
      </c>
      <c r="AA383" s="6">
        <f t="shared" si="74"/>
        <v>1761065</v>
      </c>
      <c r="AB383" s="389">
        <f t="shared" si="70"/>
        <v>0</v>
      </c>
      <c r="AC383" s="503">
        <f t="shared" si="75"/>
        <v>0</v>
      </c>
      <c r="AD383" s="389">
        <f t="shared" si="71"/>
        <v>0</v>
      </c>
    </row>
    <row r="384" spans="1:30" s="390" customFormat="1">
      <c r="A384" s="167">
        <v>379</v>
      </c>
      <c r="B384" s="267" t="str">
        <f>VLOOKUP(A384,'JUNE (물량흐름)'!$A$13:$C$502,2,0)</f>
        <v>ANN TAYLOR</v>
      </c>
      <c r="C384" s="240">
        <f>VLOOKUP(A384,'JUNE (물량흐름)'!$A$13:$C$502,3,0)</f>
        <v>482924</v>
      </c>
      <c r="D384" s="6">
        <f>VLOOKUP(C384,'WIP(재공품)'!$B$12:$E$493,4,0)</f>
        <v>28117</v>
      </c>
      <c r="E384" s="6">
        <f>IFERROR(VLOOKUP(C384,O.B.JUNE!$AA$7:$AG$448,2,0),0)</f>
        <v>0</v>
      </c>
      <c r="F384" s="6">
        <f>IFERROR(VLOOKUP(C384,O.B.JUNE!$AA$7:$AG$448,3,0),0)</f>
        <v>11</v>
      </c>
      <c r="G384" s="6">
        <f>IFERROR(VLOOKUP(C384,O.B.JUNE!$AA$7:$AD$448,4,0),0)</f>
        <v>59</v>
      </c>
      <c r="H384" s="6">
        <f t="shared" si="64"/>
        <v>70</v>
      </c>
      <c r="I384" s="6">
        <f>IFERROR(VLOOKUP(C384,O.B.JUNE!$AA$7:$AF$448,6,0),0)</f>
        <v>53</v>
      </c>
      <c r="J384" s="6"/>
      <c r="K384" s="6">
        <f>IFERROR(VLOOKUP(C384,O.B.JUNE!$AA$7:$AG$448,7,0),0)</f>
        <v>1283796</v>
      </c>
      <c r="L384" s="6">
        <f>SUMIF('JUNE (물량흐름)'!$C$13:$C$502,'Direct labour(직접노무비)'!C384,'JUNE (물량흐름)'!$H$13:$H$502)+SUMIF('JUNE (물량흐름)'!$C$13:$C$502,'Direct labour(직접노무비)'!C384,'JUNE (물량흐름)'!$I$13:$I$502)</f>
        <v>0</v>
      </c>
      <c r="M384" s="6">
        <f t="shared" si="65"/>
        <v>0</v>
      </c>
      <c r="N384" s="6">
        <f t="shared" si="66"/>
        <v>0</v>
      </c>
      <c r="O384" s="6">
        <f t="shared" si="72"/>
        <v>0</v>
      </c>
      <c r="P384" s="6">
        <f>SUMIF('JUNE (물량흐름)'!$C$13:$C$502,C384,'JUNE (물량흐름)'!$T$13:$T$502)+SUMIF('JUNE (물량흐름)'!$C$13:$C$502,C384,'JUNE (물량흐름)'!$V$13:$V$502)+SUMIF('JUNE (물량흐름)'!$C$13:$C$502,C384,'JUNE (물량흐름)'!$U$13:$U$502)-SUMIF('JUNE (물량흐름)'!$C$13:$C$502,C384,'JUNE (물량흐름)'!$Y$13:$Y$502)</f>
        <v>0</v>
      </c>
      <c r="Q384" s="6">
        <f t="shared" si="73"/>
        <v>0</v>
      </c>
      <c r="R384" s="6">
        <f>ROUND(IF(ISERROR(VLOOKUP(#REF!,'WIP(재공품)'!$B$12:$AB$38,13,0)),0,VLOOKUP(#REF!,'WIP(재공품)'!$B$12:$AB$38,13,0)),0)</f>
        <v>0</v>
      </c>
      <c r="S384" s="6">
        <f>IF(ISERROR(VLOOKUP(#REF!,'WIP(재공품)'!$B$12:$AB$38,10,0)),0,VLOOKUP(#REF!,'WIP(재공품)'!$B$12:$AB$38,10,0))</f>
        <v>0</v>
      </c>
      <c r="T384" s="6">
        <f>SUMIF('JUNE (물량흐름)'!$C$13:$C$502,'Direct labour(직접노무비)'!C384,'JUNE (물량흐름)'!$Y$13:$Y$502)</f>
        <v>8</v>
      </c>
      <c r="U384" s="6">
        <f t="shared" si="67"/>
        <v>146720</v>
      </c>
      <c r="V384" s="6">
        <f>ROUND(SUMIF('JUNE (물량흐름)'!$C$13:$C$502,'Direct labour(직접노무비)'!C384,'JUNE (물량흐름)'!$N$13:$N$502),0)</f>
        <v>0</v>
      </c>
      <c r="W384" s="6">
        <f>ROUND(SUMIF('JUNE (물량흐름)'!$C$13:$C$502,'Direct labour(직접노무비)'!C384,'JUNE (물량흐름)'!$O$13:$O$502),0)</f>
        <v>11</v>
      </c>
      <c r="X384" s="6">
        <f>ROUND(SUMIF('JUNE (물량흐름)'!$C$13:$C$502,'Direct labour(직접노무비)'!C384,'JUNE (물량흐름)'!$P$13:$P$502),0)</f>
        <v>51</v>
      </c>
      <c r="Y384" s="6">
        <f t="shared" si="68"/>
        <v>62</v>
      </c>
      <c r="Z384" s="6">
        <f t="shared" si="69"/>
        <v>46</v>
      </c>
      <c r="AA384" s="6">
        <f t="shared" si="74"/>
        <v>1137076</v>
      </c>
      <c r="AB384" s="389">
        <f t="shared" si="70"/>
        <v>0</v>
      </c>
      <c r="AC384" s="503">
        <f t="shared" si="75"/>
        <v>0</v>
      </c>
      <c r="AD384" s="389">
        <f t="shared" si="71"/>
        <v>0</v>
      </c>
    </row>
    <row r="385" spans="1:30" s="390" customFormat="1">
      <c r="A385" s="167">
        <v>380</v>
      </c>
      <c r="B385" s="267" t="str">
        <f>VLOOKUP(A385,'JUNE (물량흐름)'!$A$13:$C$502,2,0)</f>
        <v>ANN TAYLOR</v>
      </c>
      <c r="C385" s="240">
        <f>VLOOKUP(A385,'JUNE (물량흐름)'!$A$13:$C$502,3,0)</f>
        <v>466742</v>
      </c>
      <c r="D385" s="6">
        <f>VLOOKUP(C385,'WIP(재공품)'!$B$12:$E$493,4,0)</f>
        <v>34466</v>
      </c>
      <c r="E385" s="6">
        <f>IFERROR(VLOOKUP(C385,O.B.JUNE!$AA$7:$AG$448,2,0),0)</f>
        <v>10</v>
      </c>
      <c r="F385" s="6">
        <f>IFERROR(VLOOKUP(C385,O.B.JUNE!$AA$7:$AG$448,3,0),0)</f>
        <v>444</v>
      </c>
      <c r="G385" s="6">
        <f>IFERROR(VLOOKUP(C385,O.B.JUNE!$AA$7:$AD$448,4,0),0)</f>
        <v>429</v>
      </c>
      <c r="H385" s="6">
        <f t="shared" si="64"/>
        <v>883</v>
      </c>
      <c r="I385" s="6">
        <f>IFERROR(VLOOKUP(C385,O.B.JUNE!$AA$7:$AF$448,6,0),0)</f>
        <v>567</v>
      </c>
      <c r="J385" s="6"/>
      <c r="K385" s="6">
        <f>IFERROR(VLOOKUP(C385,O.B.JUNE!$AA$7:$AG$448,7,0),0)</f>
        <v>9174952</v>
      </c>
      <c r="L385" s="6">
        <f>SUMIF('JUNE (물량흐름)'!$C$13:$C$502,'Direct labour(직접노무비)'!C385,'JUNE (물량흐름)'!$H$13:$H$502)+SUMIF('JUNE (물량흐름)'!$C$13:$C$502,'Direct labour(직접노무비)'!C385,'JUNE (물량흐름)'!$I$13:$I$502)</f>
        <v>610</v>
      </c>
      <c r="M385" s="6">
        <f t="shared" si="65"/>
        <v>599</v>
      </c>
      <c r="N385" s="6">
        <f t="shared" si="66"/>
        <v>20645134</v>
      </c>
      <c r="O385" s="6">
        <f t="shared" si="72"/>
        <v>6384997</v>
      </c>
      <c r="P385" s="6">
        <f>SUMIF('JUNE (물량흐름)'!$C$13:$C$502,C385,'JUNE (물량흐름)'!$T$13:$T$502)+SUMIF('JUNE (물량흐름)'!$C$13:$C$502,C385,'JUNE (물량흐름)'!$V$13:$V$502)+SUMIF('JUNE (물량흐름)'!$C$13:$C$502,C385,'JUNE (물량흐름)'!$U$13:$U$502)-SUMIF('JUNE (물량흐름)'!$C$13:$C$502,C385,'JUNE (물량흐름)'!$Y$13:$Y$502)</f>
        <v>551</v>
      </c>
      <c r="Q385" s="6">
        <f t="shared" si="73"/>
        <v>5742486</v>
      </c>
      <c r="R385" s="6">
        <f>ROUND(IF(ISERROR(VLOOKUP(#REF!,'WIP(재공품)'!$B$12:$AB$38,13,0)),0,VLOOKUP(#REF!,'WIP(재공품)'!$B$12:$AB$38,13,0)),0)</f>
        <v>0</v>
      </c>
      <c r="S385" s="6">
        <f>IF(ISERROR(VLOOKUP(#REF!,'WIP(재공품)'!$B$12:$AB$38,10,0)),0,VLOOKUP(#REF!,'WIP(재공품)'!$B$12:$AB$38,10,0))</f>
        <v>0</v>
      </c>
      <c r="T385" s="6">
        <f>SUMIF('JUNE (물량흐름)'!$C$13:$C$502,'Direct labour(직접노무비)'!C385,'JUNE (물량흐름)'!$Y$13:$Y$502)</f>
        <v>20</v>
      </c>
      <c r="U385" s="6">
        <f t="shared" si="67"/>
        <v>208439</v>
      </c>
      <c r="V385" s="6">
        <f>ROUND(SUMIF('JUNE (물량흐름)'!$C$13:$C$502,'Direct labour(직접노무비)'!C385,'JUNE (물량흐름)'!$N$13:$N$502),0)</f>
        <v>0</v>
      </c>
      <c r="W385" s="6">
        <f>ROUND(SUMIF('JUNE (물량흐름)'!$C$13:$C$502,'Direct labour(직접노무비)'!C385,'JUNE (물량흐름)'!$O$13:$O$502),0)</f>
        <v>474</v>
      </c>
      <c r="X385" s="6">
        <f>ROUND(SUMIF('JUNE (물량흐름)'!$C$13:$C$502,'Direct labour(직접노무비)'!C385,'JUNE (물량흐름)'!$P$13:$P$502),0)</f>
        <v>448</v>
      </c>
      <c r="Y385" s="6">
        <f t="shared" si="68"/>
        <v>922</v>
      </c>
      <c r="Z385" s="6">
        <f t="shared" si="69"/>
        <v>595</v>
      </c>
      <c r="AA385" s="6">
        <f t="shared" si="74"/>
        <v>9609024</v>
      </c>
      <c r="AB385" s="389">
        <f t="shared" si="70"/>
        <v>0</v>
      </c>
      <c r="AC385" s="503">
        <f t="shared" si="75"/>
        <v>0</v>
      </c>
      <c r="AD385" s="389">
        <f t="shared" si="71"/>
        <v>0</v>
      </c>
    </row>
    <row r="386" spans="1:30" s="390" customFormat="1">
      <c r="A386" s="167">
        <v>381</v>
      </c>
      <c r="B386" s="267" t="str">
        <f>VLOOKUP(A386,'JUNE (물량흐름)'!$A$13:$C$502,2,0)</f>
        <v>ALFANI</v>
      </c>
      <c r="C386" s="240">
        <f>VLOOKUP(A386,'JUNE (물량흐름)'!$A$13:$C$502,3,0)</f>
        <v>100018226</v>
      </c>
      <c r="D386" s="6">
        <f>VLOOKUP(C386,'WIP(재공품)'!$B$12:$E$493,4,0)</f>
        <v>41495.25</v>
      </c>
      <c r="E386" s="6">
        <f>IFERROR(VLOOKUP(C386,O.B.JUNE!$AA$7:$AG$448,2,0),0)</f>
        <v>0</v>
      </c>
      <c r="F386" s="6">
        <f>IFERROR(VLOOKUP(C386,O.B.JUNE!$AA$7:$AG$448,3,0),0)</f>
        <v>20</v>
      </c>
      <c r="G386" s="6">
        <f>IFERROR(VLOOKUP(C386,O.B.JUNE!$AA$7:$AD$448,4,0),0)</f>
        <v>61</v>
      </c>
      <c r="H386" s="6">
        <f t="shared" si="64"/>
        <v>81</v>
      </c>
      <c r="I386" s="6">
        <f>IFERROR(VLOOKUP(C386,O.B.JUNE!$AA$7:$AF$448,6,0),0)</f>
        <v>59</v>
      </c>
      <c r="J386" s="6"/>
      <c r="K386" s="6">
        <f>IFERROR(VLOOKUP(C386,O.B.JUNE!$AA$7:$AG$448,7,0),0)</f>
        <v>1539978</v>
      </c>
      <c r="L386" s="6">
        <f>SUMIF('JUNE (물량흐름)'!$C$13:$C$502,'Direct labour(직접노무비)'!C386,'JUNE (물량흐름)'!$H$13:$H$502)+SUMIF('JUNE (물량흐름)'!$C$13:$C$502,'Direct labour(직접노무비)'!C386,'JUNE (물량흐름)'!$I$13:$I$502)</f>
        <v>0</v>
      </c>
      <c r="M386" s="6">
        <f t="shared" si="65"/>
        <v>0</v>
      </c>
      <c r="N386" s="6">
        <f t="shared" si="66"/>
        <v>0</v>
      </c>
      <c r="O386" s="6">
        <f t="shared" si="72"/>
        <v>0</v>
      </c>
      <c r="P386" s="6">
        <f>SUMIF('JUNE (물량흐름)'!$C$13:$C$502,C386,'JUNE (물량흐름)'!$T$13:$T$502)+SUMIF('JUNE (물량흐름)'!$C$13:$C$502,C386,'JUNE (물량흐름)'!$V$13:$V$502)+SUMIF('JUNE (물량흐름)'!$C$13:$C$502,C386,'JUNE (물량흐름)'!$U$13:$U$502)-SUMIF('JUNE (물량흐름)'!$C$13:$C$502,C386,'JUNE (물량흐름)'!$Y$13:$Y$502)</f>
        <v>0</v>
      </c>
      <c r="Q386" s="6">
        <f t="shared" si="73"/>
        <v>0</v>
      </c>
      <c r="R386" s="6">
        <f>ROUND(IF(ISERROR(VLOOKUP(#REF!,'WIP(재공품)'!$B$12:$AB$38,13,0)),0,VLOOKUP(#REF!,'WIP(재공품)'!$B$12:$AB$38,13,0)),0)</f>
        <v>0</v>
      </c>
      <c r="S386" s="6">
        <f>IF(ISERROR(VLOOKUP(#REF!,'WIP(재공품)'!$B$12:$AB$38,10,0)),0,VLOOKUP(#REF!,'WIP(재공품)'!$B$12:$AB$38,10,0))</f>
        <v>0</v>
      </c>
      <c r="T386" s="6">
        <f>SUMIF('JUNE (물량흐름)'!$C$13:$C$502,'Direct labour(직접노무비)'!C386,'JUNE (물량흐름)'!$Y$13:$Y$502)</f>
        <v>2</v>
      </c>
      <c r="U386" s="6">
        <f t="shared" si="67"/>
        <v>38024</v>
      </c>
      <c r="V386" s="6">
        <f>ROUND(SUMIF('JUNE (물량흐름)'!$C$13:$C$502,'Direct labour(직접노무비)'!C386,'JUNE (물량흐름)'!$N$13:$N$502),0)</f>
        <v>0</v>
      </c>
      <c r="W386" s="6">
        <f>ROUND(SUMIF('JUNE (물량흐름)'!$C$13:$C$502,'Direct labour(직접노무비)'!C386,'JUNE (물량흐름)'!$O$13:$O$502),0)</f>
        <v>20</v>
      </c>
      <c r="X386" s="6">
        <f>ROUND(SUMIF('JUNE (물량흐름)'!$C$13:$C$502,'Direct labour(직접노무비)'!C386,'JUNE (물량흐름)'!$P$13:$P$502),0)</f>
        <v>59</v>
      </c>
      <c r="Y386" s="6">
        <f t="shared" si="68"/>
        <v>79</v>
      </c>
      <c r="Z386" s="6">
        <f t="shared" si="69"/>
        <v>57</v>
      </c>
      <c r="AA386" s="6">
        <f t="shared" si="74"/>
        <v>1501954</v>
      </c>
      <c r="AB386" s="389">
        <f t="shared" si="70"/>
        <v>0</v>
      </c>
      <c r="AC386" s="503">
        <f t="shared" si="75"/>
        <v>0</v>
      </c>
      <c r="AD386" s="389">
        <f t="shared" si="71"/>
        <v>0</v>
      </c>
    </row>
    <row r="387" spans="1:30" s="390" customFormat="1">
      <c r="A387" s="167">
        <v>382</v>
      </c>
      <c r="B387" s="267" t="str">
        <f>VLOOKUP(A387,'JUNE (물량흐름)'!$A$13:$C$502,2,0)</f>
        <v>BAR III</v>
      </c>
      <c r="C387" s="240">
        <f>VLOOKUP(A387,'JUNE (물량흐름)'!$A$13:$C$502,3,0)</f>
        <v>100034888</v>
      </c>
      <c r="D387" s="6">
        <f>VLOOKUP(C387,'WIP(재공품)'!$B$12:$E$493,4,0)</f>
        <v>45350</v>
      </c>
      <c r="E387" s="6">
        <f>IFERROR(VLOOKUP(C387,O.B.JUNE!$AA$7:$AG$448,2,0),0)</f>
        <v>0</v>
      </c>
      <c r="F387" s="6">
        <f>IFERROR(VLOOKUP(C387,O.B.JUNE!$AA$7:$AG$448,3,0),0)</f>
        <v>53</v>
      </c>
      <c r="G387" s="6">
        <f>IFERROR(VLOOKUP(C387,O.B.JUNE!$AA$7:$AD$448,4,0),0)</f>
        <v>10</v>
      </c>
      <c r="H387" s="6">
        <f t="shared" si="64"/>
        <v>63</v>
      </c>
      <c r="I387" s="6">
        <f>IFERROR(VLOOKUP(C387,O.B.JUNE!$AA$7:$AF$448,6,0),0)</f>
        <v>35</v>
      </c>
      <c r="J387" s="6"/>
      <c r="K387" s="6">
        <f>IFERROR(VLOOKUP(C387,O.B.JUNE!$AA$7:$AG$448,7,0),0)</f>
        <v>1076253</v>
      </c>
      <c r="L387" s="6">
        <f>SUMIF('JUNE (물량흐름)'!$C$13:$C$502,'Direct labour(직접노무비)'!C387,'JUNE (물량흐름)'!$H$13:$H$502)+SUMIF('JUNE (물량흐름)'!$C$13:$C$502,'Direct labour(직접노무비)'!C387,'JUNE (물량흐름)'!$I$13:$I$502)</f>
        <v>1466</v>
      </c>
      <c r="M387" s="6">
        <f t="shared" si="65"/>
        <v>881</v>
      </c>
      <c r="N387" s="6">
        <f t="shared" si="66"/>
        <v>39953350</v>
      </c>
      <c r="O387" s="6">
        <f t="shared" si="72"/>
        <v>12356521</v>
      </c>
      <c r="P387" s="6">
        <f>SUMIF('JUNE (물량흐름)'!$C$13:$C$502,C387,'JUNE (물량흐름)'!$T$13:$T$502)+SUMIF('JUNE (물량흐름)'!$C$13:$C$502,C387,'JUNE (물량흐름)'!$V$13:$V$502)+SUMIF('JUNE (물량흐름)'!$C$13:$C$502,C387,'JUNE (물량흐름)'!$U$13:$U$502)-SUMIF('JUNE (물량흐름)'!$C$13:$C$502,C387,'JUNE (물량흐름)'!$Y$13:$Y$502)</f>
        <v>105</v>
      </c>
      <c r="Q387" s="6">
        <f t="shared" si="73"/>
        <v>922460</v>
      </c>
      <c r="R387" s="6">
        <f>ROUND(IF(ISERROR(VLOOKUP(#REF!,'WIP(재공품)'!$B$12:$AB$38,13,0)),0,VLOOKUP(#REF!,'WIP(재공품)'!$B$12:$AB$38,13,0)),0)</f>
        <v>0</v>
      </c>
      <c r="S387" s="6">
        <f>IF(ISERROR(VLOOKUP(#REF!,'WIP(재공품)'!$B$12:$AB$38,10,0)),0,VLOOKUP(#REF!,'WIP(재공품)'!$B$12:$AB$38,10,0))</f>
        <v>0</v>
      </c>
      <c r="T387" s="6">
        <f>SUMIF('JUNE (물량흐름)'!$C$13:$C$502,'Direct labour(직접노무비)'!C387,'JUNE (물량흐름)'!$Y$13:$Y$502)</f>
        <v>18</v>
      </c>
      <c r="U387" s="6">
        <f t="shared" si="67"/>
        <v>158136</v>
      </c>
      <c r="V387" s="6">
        <f>ROUND(SUMIF('JUNE (물량흐름)'!$C$13:$C$502,'Direct labour(직접노무비)'!C387,'JUNE (물량흐름)'!$N$13:$N$502),0)</f>
        <v>0</v>
      </c>
      <c r="W387" s="6">
        <f>ROUND(SUMIF('JUNE (물량흐름)'!$C$13:$C$502,'Direct labour(직접노무비)'!C387,'JUNE (물량흐름)'!$O$13:$O$502),0)</f>
        <v>1107</v>
      </c>
      <c r="X387" s="6">
        <f>ROUND(SUMIF('JUNE (물량흐름)'!$C$13:$C$502,'Direct labour(직접노무비)'!C387,'JUNE (물량흐름)'!$P$13:$P$502),0)</f>
        <v>299</v>
      </c>
      <c r="Y387" s="6">
        <f t="shared" si="68"/>
        <v>1406</v>
      </c>
      <c r="Z387" s="6">
        <f t="shared" si="69"/>
        <v>793</v>
      </c>
      <c r="AA387" s="6">
        <f t="shared" si="74"/>
        <v>12352178</v>
      </c>
      <c r="AB387" s="389">
        <f t="shared" si="70"/>
        <v>0</v>
      </c>
      <c r="AC387" s="503">
        <f t="shared" si="75"/>
        <v>0</v>
      </c>
      <c r="AD387" s="389">
        <f t="shared" si="71"/>
        <v>0</v>
      </c>
    </row>
    <row r="388" spans="1:30" s="390" customFormat="1">
      <c r="A388" s="167">
        <v>383</v>
      </c>
      <c r="B388" s="267" t="str">
        <f>VLOOKUP(A388,'JUNE (물량흐름)'!$A$13:$C$502,2,0)</f>
        <v>BAR III</v>
      </c>
      <c r="C388" s="240">
        <f>VLOOKUP(A388,'JUNE (물량흐름)'!$A$13:$C$502,3,0)</f>
        <v>100035009</v>
      </c>
      <c r="D388" s="6">
        <f>VLOOKUP(C388,'WIP(재공품)'!$B$12:$E$493,4,0)</f>
        <v>46937.25</v>
      </c>
      <c r="E388" s="6">
        <f>IFERROR(VLOOKUP(C388,O.B.JUNE!$AA$7:$AG$448,2,0),0)</f>
        <v>796</v>
      </c>
      <c r="F388" s="6">
        <f>IFERROR(VLOOKUP(C388,O.B.JUNE!$AA$7:$AG$448,3,0),0)</f>
        <v>1075</v>
      </c>
      <c r="G388" s="6">
        <f>IFERROR(VLOOKUP(C388,O.B.JUNE!$AA$7:$AD$448,4,0),0)</f>
        <v>29</v>
      </c>
      <c r="H388" s="6">
        <f t="shared" si="64"/>
        <v>1900</v>
      </c>
      <c r="I388" s="6">
        <f>IFERROR(VLOOKUP(C388,O.B.JUNE!$AA$7:$AF$448,6,0),0)</f>
        <v>720</v>
      </c>
      <c r="J388" s="6"/>
      <c r="K388" s="6">
        <f>IFERROR(VLOOKUP(C388,O.B.JUNE!$AA$7:$AG$448,7,0),0)</f>
        <v>21494364</v>
      </c>
      <c r="L388" s="6">
        <f>SUMIF('JUNE (물량흐름)'!$C$13:$C$502,'Direct labour(직접노무비)'!C388,'JUNE (물량흐름)'!$H$13:$H$502)+SUMIF('JUNE (물량흐름)'!$C$13:$C$502,'Direct labour(직접노무비)'!C388,'JUNE (물량흐름)'!$I$13:$I$502)</f>
        <v>2546</v>
      </c>
      <c r="M388" s="6">
        <f t="shared" si="65"/>
        <v>3574</v>
      </c>
      <c r="N388" s="6">
        <f t="shared" si="66"/>
        <v>167753732</v>
      </c>
      <c r="O388" s="6">
        <f t="shared" si="72"/>
        <v>51881818</v>
      </c>
      <c r="P388" s="6">
        <f>SUMIF('JUNE (물량흐름)'!$C$13:$C$502,C388,'JUNE (물량흐름)'!$T$13:$T$502)+SUMIF('JUNE (물량흐름)'!$C$13:$C$502,C388,'JUNE (물량흐름)'!$V$13:$V$502)+SUMIF('JUNE (물량흐름)'!$C$13:$C$502,C388,'JUNE (물량흐름)'!$U$13:$U$502)-SUMIF('JUNE (물량흐름)'!$C$13:$C$502,C388,'JUNE (물량흐름)'!$Y$13:$Y$502)</f>
        <v>3972</v>
      </c>
      <c r="Q388" s="6">
        <f t="shared" si="73"/>
        <v>65553350</v>
      </c>
      <c r="R388" s="6">
        <f>ROUND(IF(ISERROR(VLOOKUP(#REF!,'WIP(재공품)'!$B$12:$AB$38,13,0)),0,VLOOKUP(#REF!,'WIP(재공품)'!$B$12:$AB$38,13,0)),0)</f>
        <v>0</v>
      </c>
      <c r="S388" s="6">
        <f>IF(ISERROR(VLOOKUP(#REF!,'WIP(재공품)'!$B$12:$AB$38,10,0)),0,VLOOKUP(#REF!,'WIP(재공품)'!$B$12:$AB$38,10,0))</f>
        <v>0</v>
      </c>
      <c r="T388" s="6">
        <f>SUMIF('JUNE (물량흐름)'!$C$13:$C$502,'Direct labour(직접노무비)'!C388,'JUNE (물량흐름)'!$Y$13:$Y$502)</f>
        <v>3</v>
      </c>
      <c r="U388" s="6">
        <f t="shared" si="67"/>
        <v>49512</v>
      </c>
      <c r="V388" s="6">
        <f>ROUND(SUMIF('JUNE (물량흐름)'!$C$13:$C$502,'Direct labour(직접노무비)'!C388,'JUNE (물량흐름)'!$N$13:$N$502),0)</f>
        <v>0</v>
      </c>
      <c r="W388" s="6">
        <f>ROUND(SUMIF('JUNE (물량흐름)'!$C$13:$C$502,'Direct labour(직접노무비)'!C388,'JUNE (물량흐름)'!$O$13:$O$502),0)</f>
        <v>193</v>
      </c>
      <c r="X388" s="6">
        <f>ROUND(SUMIF('JUNE (물량흐름)'!$C$13:$C$502,'Direct labour(직접노무비)'!C388,'JUNE (물량흐름)'!$P$13:$P$502),0)</f>
        <v>278</v>
      </c>
      <c r="Y388" s="6">
        <f t="shared" si="68"/>
        <v>471</v>
      </c>
      <c r="Z388" s="6">
        <f t="shared" si="69"/>
        <v>319</v>
      </c>
      <c r="AA388" s="6">
        <f t="shared" si="74"/>
        <v>7773320</v>
      </c>
      <c r="AB388" s="389">
        <f t="shared" si="70"/>
        <v>0</v>
      </c>
      <c r="AC388" s="503">
        <f t="shared" si="75"/>
        <v>0</v>
      </c>
      <c r="AD388" s="389">
        <f t="shared" si="71"/>
        <v>0</v>
      </c>
    </row>
    <row r="389" spans="1:30" s="390" customFormat="1">
      <c r="A389" s="167">
        <v>387</v>
      </c>
      <c r="B389" s="267" t="str">
        <f>VLOOKUP(A389,'JUNE (물량흐름)'!$A$13:$C$502,2,0)</f>
        <v>TALBOTS</v>
      </c>
      <c r="C389" s="240">
        <f>VLOOKUP(A389,'JUNE (물량흐름)'!$A$13:$C$502,3,0)</f>
        <v>174034865</v>
      </c>
      <c r="D389" s="6">
        <f>VLOOKUP(C389,'WIP(재공품)'!$B$12:$E$493,4,0)</f>
        <v>35826.5</v>
      </c>
      <c r="E389" s="6">
        <f>IFERROR(VLOOKUP(C389,O.B.JUNE!$AA$7:$AG$448,2,0),0)</f>
        <v>0</v>
      </c>
      <c r="F389" s="6">
        <f>IFERROR(VLOOKUP(C389,O.B.JUNE!$AA$7:$AG$448,3,0),0)</f>
        <v>236</v>
      </c>
      <c r="G389" s="6">
        <f>IFERROR(VLOOKUP(C389,O.B.JUNE!$AA$7:$AD$448,4,0),0)</f>
        <v>271</v>
      </c>
      <c r="H389" s="6">
        <f t="shared" ref="H389:H433" si="76">ROUND(SUM(E389:G389),0)</f>
        <v>507</v>
      </c>
      <c r="I389" s="6">
        <f>IFERROR(VLOOKUP(C389,O.B.JUNE!$AA$7:$AF$448,6,0),0)</f>
        <v>335</v>
      </c>
      <c r="J389" s="6"/>
      <c r="K389" s="6">
        <f>IFERROR(VLOOKUP(C389,O.B.JUNE!$AA$7:$AG$448,7,0),0)</f>
        <v>8219231</v>
      </c>
      <c r="L389" s="6">
        <f>SUMIF('JUNE (물량흐름)'!$C$13:$C$502,'Direct labour(직접노무비)'!C389,'JUNE (물량흐름)'!$H$13:$H$502)+SUMIF('JUNE (물량흐름)'!$C$13:$C$502,'Direct labour(직접노무비)'!C389,'JUNE (물량흐름)'!$I$13:$I$502)</f>
        <v>0</v>
      </c>
      <c r="M389" s="6">
        <f t="shared" ref="M389:M433" si="77">ROUND(IF(OR(L389&lt;=0,P389+T389+R389+Z389-I389&lt;0),0,ROUND(P389+T389+R389+Z389-I389,0)),0)</f>
        <v>0</v>
      </c>
      <c r="N389" s="6">
        <f t="shared" ref="N389:N433" si="78">ROUND(M389*D389,0)</f>
        <v>0</v>
      </c>
      <c r="O389" s="6">
        <f t="shared" si="72"/>
        <v>0</v>
      </c>
      <c r="P389" s="6">
        <f>SUMIF('JUNE (물량흐름)'!$C$13:$C$502,C389,'JUNE (물량흐름)'!$T$13:$T$502)+SUMIF('JUNE (물량흐름)'!$C$13:$C$502,C389,'JUNE (물량흐름)'!$V$13:$V$502)+SUMIF('JUNE (물량흐름)'!$C$13:$C$502,C389,'JUNE (물량흐름)'!$U$13:$U$502)-SUMIF('JUNE (물량흐름)'!$C$13:$C$502,C389,'JUNE (물량흐름)'!$Y$13:$Y$502)</f>
        <v>0</v>
      </c>
      <c r="Q389" s="6">
        <f t="shared" si="73"/>
        <v>0</v>
      </c>
      <c r="R389" s="6">
        <f>ROUND(IF(ISERROR(VLOOKUP(#REF!,'WIP(재공품)'!$B$12:$AB$38,13,0)),0,VLOOKUP(#REF!,'WIP(재공품)'!$B$12:$AB$38,13,0)),0)</f>
        <v>0</v>
      </c>
      <c r="S389" s="6">
        <f>IF(ISERROR(VLOOKUP(#REF!,'WIP(재공품)'!$B$12:$AB$38,10,0)),0,VLOOKUP(#REF!,'WIP(재공품)'!$B$12:$AB$38,10,0))</f>
        <v>0</v>
      </c>
      <c r="T389" s="6">
        <f>SUMIF('JUNE (물량흐름)'!$C$13:$C$502,'Direct labour(직접노무비)'!C389,'JUNE (물량흐름)'!$Y$13:$Y$502)</f>
        <v>11</v>
      </c>
      <c r="U389" s="6">
        <f t="shared" ref="U389:U439" si="79">IFERROR(ROUND(IF(AND(T389&lt;=0,($I389+$M389)=0),T389*(K389+O389)/(I389+M389),T389*(K389+O389)/(H389+L389)),0),0)</f>
        <v>178327</v>
      </c>
      <c r="V389" s="6">
        <f>ROUND(SUMIF('JUNE (물량흐름)'!$C$13:$C$502,'Direct labour(직접노무비)'!C389,'JUNE (물량흐름)'!$N$13:$N$502),0)</f>
        <v>0</v>
      </c>
      <c r="W389" s="6">
        <f>ROUND(SUMIF('JUNE (물량흐름)'!$C$13:$C$502,'Direct labour(직접노무비)'!C389,'JUNE (물량흐름)'!$O$13:$O$502),0)</f>
        <v>236</v>
      </c>
      <c r="X389" s="6">
        <f>ROUND(SUMIF('JUNE (물량흐름)'!$C$13:$C$502,'Direct labour(직접노무비)'!C389,'JUNE (물량흐름)'!$P$13:$P$502),0)</f>
        <v>260</v>
      </c>
      <c r="Y389" s="6">
        <f t="shared" ref="Y389:Y433" si="80">ROUND(SUM(V389:X389),0)</f>
        <v>496</v>
      </c>
      <c r="Z389" s="6">
        <f t="shared" ref="Z389:Z433" si="81">ROUND(V389*$V$10+W389*$W$10+X389*$X$10,0)</f>
        <v>326</v>
      </c>
      <c r="AA389" s="6">
        <f t="shared" si="74"/>
        <v>8040904</v>
      </c>
      <c r="AB389" s="389">
        <f t="shared" ref="AB389:AB438" si="82">K389+O389-Q389-U389-AA389</f>
        <v>0</v>
      </c>
      <c r="AC389" s="503">
        <f t="shared" si="75"/>
        <v>0</v>
      </c>
      <c r="AD389" s="389">
        <f t="shared" ref="AD389:AD438" si="83">H389+L389-P389-T389-Y389</f>
        <v>0</v>
      </c>
    </row>
    <row r="390" spans="1:30" s="499" customFormat="1">
      <c r="A390" s="490">
        <v>388</v>
      </c>
      <c r="B390" s="501" t="str">
        <f>VLOOKUP(A390,'JUNE (물량흐름)'!$A$13:$C$502,2,0)</f>
        <v>TALBOTS</v>
      </c>
      <c r="C390" s="502">
        <f>VLOOKUP(A390,'JUNE (물량흐름)'!$A$13:$C$502,3,0)</f>
        <v>183034522</v>
      </c>
      <c r="D390" s="29">
        <f>VLOOKUP(C390,'WIP(재공품)'!$B$12:$E$493,4,0)</f>
        <v>58501.5</v>
      </c>
      <c r="E390" s="29">
        <f>IFERROR(VLOOKUP(C390,O.B.JUNE!$AA$7:$AG$448,2,0),0)</f>
        <v>0</v>
      </c>
      <c r="F390" s="29">
        <f>IFERROR(VLOOKUP(C390,O.B.JUNE!$AA$7:$AG$448,3,0),0)</f>
        <v>579</v>
      </c>
      <c r="G390" s="29">
        <f>IFERROR(VLOOKUP(C390,O.B.JUNE!$AA$7:$AD$448,4,0),0)</f>
        <v>1047</v>
      </c>
      <c r="H390" s="29">
        <f t="shared" si="76"/>
        <v>1626</v>
      </c>
      <c r="I390" s="29">
        <f>IFERROR(VLOOKUP(C390,O.B.JUNE!$AA$7:$AF$448,6,0),0)</f>
        <v>1127</v>
      </c>
      <c r="J390" s="6"/>
      <c r="K390" s="29">
        <f>IFERROR(VLOOKUP(C390,O.B.JUNE!$AA$7:$AG$448,7,0),0)</f>
        <v>28159537</v>
      </c>
      <c r="L390" s="29">
        <f>SUMIF('JUNE (물량흐름)'!$C$13:$C$502,'Direct labour(직접노무비)'!C390,'JUNE (물량흐름)'!$H$13:$H$502)+SUMIF('JUNE (물량흐름)'!$C$13:$C$502,'Direct labour(직접노무비)'!C390,'JUNE (물량흐름)'!$I$13:$I$502)</f>
        <v>0</v>
      </c>
      <c r="M390" s="29">
        <f t="shared" si="77"/>
        <v>0</v>
      </c>
      <c r="N390" s="29">
        <f t="shared" si="78"/>
        <v>0</v>
      </c>
      <c r="O390" s="29">
        <f t="shared" si="72"/>
        <v>0</v>
      </c>
      <c r="P390" s="6">
        <f>SUMIF('JUNE (물량흐름)'!$C$13:$C$502,C390,'JUNE (물량흐름)'!$T$13:$T$502)+SUMIF('JUNE (물량흐름)'!$C$13:$C$502,C390,'JUNE (물량흐름)'!$V$13:$V$502)+SUMIF('JUNE (물량흐름)'!$C$13:$C$502,C390,'JUNE (물량흐름)'!$U$13:$U$502)-SUMIF('JUNE (물량흐름)'!$C$13:$C$502,C390,'JUNE (물량흐름)'!$Y$13:$Y$502)</f>
        <v>0</v>
      </c>
      <c r="Q390" s="6">
        <f t="shared" si="73"/>
        <v>0</v>
      </c>
      <c r="R390" s="6">
        <f>ROUND(IF(ISERROR(VLOOKUP(C390,'WIP(재공품)'!$B$12:$AB$38,13,0)),0,VLOOKUP(C390,'WIP(재공품)'!$B$12:$AB$38,13,0)),0)</f>
        <v>0</v>
      </c>
      <c r="S390" s="6">
        <f>IF(ISERROR(VLOOKUP(#REF!,'WIP(재공품)'!$B$12:$AB$38,10,0)),0,VLOOKUP(#REF!,'WIP(재공품)'!$B$12:$AB$38,10,0))</f>
        <v>0</v>
      </c>
      <c r="T390" s="29">
        <f>SUMIF('JUNE (물량흐름)'!$C$13:$C$502,'Direct labour(직접노무비)'!C390,'JUNE (물량흐름)'!$Y$13:$Y$502)</f>
        <v>0</v>
      </c>
      <c r="U390" s="29">
        <f t="shared" si="79"/>
        <v>0</v>
      </c>
      <c r="V390" s="29">
        <f>ROUND(SUMIF('JUNE (물량흐름)'!$C$13:$C$502,'Direct labour(직접노무비)'!C390,'JUNE (물량흐름)'!$N$13:$N$502),0)</f>
        <v>0</v>
      </c>
      <c r="W390" s="29">
        <f>ROUND(SUMIF('JUNE (물량흐름)'!$C$13:$C$502,'Direct labour(직접노무비)'!C390,'JUNE (물량흐름)'!$O$13:$O$502),0)</f>
        <v>579</v>
      </c>
      <c r="X390" s="29">
        <f>ROUND(SUMIF('JUNE (물량흐름)'!$C$13:$C$502,'Direct labour(직접노무비)'!C390,'JUNE (물량흐름)'!$P$13:$P$502),0)</f>
        <v>1047</v>
      </c>
      <c r="Y390" s="29">
        <f t="shared" si="80"/>
        <v>1626</v>
      </c>
      <c r="Z390" s="29">
        <f t="shared" si="81"/>
        <v>1127</v>
      </c>
      <c r="AA390" s="6">
        <f t="shared" si="74"/>
        <v>28159537</v>
      </c>
      <c r="AB390" s="503">
        <f t="shared" si="82"/>
        <v>0</v>
      </c>
      <c r="AC390" s="503">
        <f>H390+L390-P390-T390-Y390</f>
        <v>0</v>
      </c>
      <c r="AD390" s="503">
        <f t="shared" si="83"/>
        <v>0</v>
      </c>
    </row>
    <row r="391" spans="1:30" s="390" customFormat="1">
      <c r="A391" s="167">
        <v>400</v>
      </c>
      <c r="B391" s="267" t="str">
        <f>VLOOKUP(A391,'JUNE (물량흐름)'!$A$13:$C$502,2,0)</f>
        <v>ANN TAYLOR</v>
      </c>
      <c r="C391" s="240">
        <f>VLOOKUP(A391,'JUNE (물량흐름)'!$A$13:$C$502,3,0)</f>
        <v>464202</v>
      </c>
      <c r="D391" s="6">
        <f>VLOOKUP(C391,'WIP(재공품)'!$B$12:$E$493,4,0)</f>
        <v>84804.5</v>
      </c>
      <c r="E391" s="6">
        <f>IFERROR(VLOOKUP(C391,O.B.JUNE!$AA$7:$AG$448,2,0),0)</f>
        <v>210</v>
      </c>
      <c r="F391" s="6">
        <f>IFERROR(VLOOKUP(C391,O.B.JUNE!$AA$7:$AG$448,3,0),0)</f>
        <v>56</v>
      </c>
      <c r="G391" s="6">
        <f>IFERROR(VLOOKUP(C391,O.B.JUNE!$AA$7:$AD$448,4,0),0)</f>
        <v>0</v>
      </c>
      <c r="H391" s="6">
        <f t="shared" si="76"/>
        <v>266</v>
      </c>
      <c r="I391" s="6">
        <f>IFERROR(VLOOKUP(C391,O.B.JUNE!$AA$7:$AF$448,6,0),0)</f>
        <v>70</v>
      </c>
      <c r="J391" s="6"/>
      <c r="K391" s="6">
        <f>IFERROR(VLOOKUP(C391,O.B.JUNE!$AA$7:$AG$448,7,0),0)</f>
        <v>6379305</v>
      </c>
      <c r="L391" s="6">
        <f>SUMIF('JUNE (물량흐름)'!$C$13:$C$502,'Direct labour(직접노무비)'!C391,'JUNE (물량흐름)'!$H$13:$H$502)+SUMIF('JUNE (물량흐름)'!$C$13:$C$502,'Direct labour(직접노무비)'!C391,'JUNE (물량흐름)'!$I$13:$I$502)</f>
        <v>586</v>
      </c>
      <c r="M391" s="6">
        <f t="shared" si="77"/>
        <v>725</v>
      </c>
      <c r="N391" s="6">
        <f t="shared" si="78"/>
        <v>61483263</v>
      </c>
      <c r="O391" s="6">
        <f t="shared" si="72"/>
        <v>19015156</v>
      </c>
      <c r="P391" s="6">
        <f>SUMIF('JUNE (물량흐름)'!$C$13:$C$502,C391,'JUNE (물량흐름)'!$T$13:$T$502)+SUMIF('JUNE (물량흐름)'!$C$13:$C$502,C391,'JUNE (물량흐름)'!$V$13:$V$502)+SUMIF('JUNE (물량흐름)'!$C$13:$C$502,C391,'JUNE (물량흐름)'!$U$13:$U$502)-SUMIF('JUNE (물량흐름)'!$C$13:$C$502,C391,'JUNE (물량흐름)'!$Y$13:$Y$502)</f>
        <v>603</v>
      </c>
      <c r="Q391" s="6">
        <f t="shared" si="73"/>
        <v>17972840</v>
      </c>
      <c r="R391" s="6">
        <f>ROUND(IF(ISERROR(VLOOKUP(#REF!,'WIP(재공품)'!$B$12:$AB$38,13,0)),0,VLOOKUP(#REF!,'WIP(재공품)'!$B$12:$AB$38,13,0)),0)</f>
        <v>0</v>
      </c>
      <c r="S391" s="6">
        <f>IF(ISERROR(VLOOKUP(#REF!,'WIP(재공품)'!$B$12:$AB$38,10,0)),0,VLOOKUP(#REF!,'WIP(재공품)'!$B$12:$AB$38,10,0))</f>
        <v>0</v>
      </c>
      <c r="T391" s="6">
        <f>SUMIF('JUNE (물량흐름)'!$C$13:$C$502,'Direct labour(직접노무비)'!C391,'JUNE (물량흐름)'!$Y$13:$Y$502)</f>
        <v>9</v>
      </c>
      <c r="U391" s="6">
        <f t="shared" si="79"/>
        <v>268251</v>
      </c>
      <c r="V391" s="6">
        <f>ROUND(SUMIF('JUNE (물량흐름)'!$C$13:$C$502,'Direct labour(직접노무비)'!C391,'JUNE (물량흐름)'!$N$13:$N$502),0)</f>
        <v>0</v>
      </c>
      <c r="W391" s="6">
        <f>ROUND(SUMIF('JUNE (물량흐름)'!$C$13:$C$502,'Direct labour(직접노무비)'!C391,'JUNE (물량흐름)'!$O$13:$O$502),0)</f>
        <v>31</v>
      </c>
      <c r="X391" s="6">
        <f>ROUND(SUMIF('JUNE (물량흐름)'!$C$13:$C$502,'Direct labour(직접노무비)'!C391,'JUNE (물량흐름)'!$P$13:$P$502),0)</f>
        <v>209</v>
      </c>
      <c r="Y391" s="6">
        <f t="shared" si="80"/>
        <v>240</v>
      </c>
      <c r="Z391" s="6">
        <f t="shared" si="81"/>
        <v>183</v>
      </c>
      <c r="AA391" s="6">
        <f t="shared" si="74"/>
        <v>7153369</v>
      </c>
      <c r="AB391" s="389">
        <f t="shared" si="82"/>
        <v>1</v>
      </c>
      <c r="AC391" s="503">
        <f t="shared" si="75"/>
        <v>0</v>
      </c>
      <c r="AD391" s="389">
        <f t="shared" si="83"/>
        <v>0</v>
      </c>
    </row>
    <row r="392" spans="1:30" s="499" customFormat="1">
      <c r="A392" s="490">
        <v>401</v>
      </c>
      <c r="B392" s="501" t="str">
        <f>VLOOKUP(A392,'JUNE (물량흐름)'!$A$13:$C$502,2,0)</f>
        <v>ANN TAYLOR</v>
      </c>
      <c r="C392" s="502">
        <f>VLOOKUP(A392,'JUNE (물량흐름)'!$A$13:$C$502,3,0)</f>
        <v>464618</v>
      </c>
      <c r="D392" s="29">
        <f>VLOOKUP(C392,'WIP(재공품)'!$B$12:$E$493,4,0)</f>
        <v>61902.75</v>
      </c>
      <c r="E392" s="29">
        <f>IFERROR(VLOOKUP(C392,O.B.JUNE!$AA$7:$AG$448,2,0),0)</f>
        <v>0</v>
      </c>
      <c r="F392" s="29">
        <f>IFERROR(VLOOKUP(C392,O.B.JUNE!$AA$7:$AG$448,3,0),0)</f>
        <v>127</v>
      </c>
      <c r="G392" s="29">
        <f>IFERROR(VLOOKUP(C392,O.B.JUNE!$AA$7:$AD$448,4,0),0)</f>
        <v>620</v>
      </c>
      <c r="H392" s="29">
        <f t="shared" si="76"/>
        <v>747</v>
      </c>
      <c r="I392" s="29">
        <f>IFERROR(VLOOKUP(C392,O.B.JUNE!$AA$7:$AF$448,6,0),0)</f>
        <v>560</v>
      </c>
      <c r="J392" s="6"/>
      <c r="K392" s="29">
        <f>IFERROR(VLOOKUP(C392,O.B.JUNE!$AA$7:$AG$448,7,0),0)</f>
        <v>18181457</v>
      </c>
      <c r="L392" s="29">
        <f>SUMIF('JUNE (물량흐름)'!$C$13:$C$502,'Direct labour(직접노무비)'!C392,'JUNE (물량흐름)'!$H$13:$H$502)+SUMIF('JUNE (물량흐름)'!$C$13:$C$502,'Direct labour(직접노무비)'!C392,'JUNE (물량흐름)'!$I$13:$I$502)</f>
        <v>0</v>
      </c>
      <c r="M392" s="29">
        <f t="shared" si="77"/>
        <v>0</v>
      </c>
      <c r="N392" s="29">
        <f t="shared" si="78"/>
        <v>0</v>
      </c>
      <c r="O392" s="29">
        <f t="shared" si="72"/>
        <v>0</v>
      </c>
      <c r="P392" s="6">
        <f>SUMIF('JUNE (물량흐름)'!$C$13:$C$502,C392,'JUNE (물량흐름)'!$T$13:$T$502)+SUMIF('JUNE (물량흐름)'!$C$13:$C$502,C392,'JUNE (물량흐름)'!$V$13:$V$502)+SUMIF('JUNE (물량흐름)'!$C$13:$C$502,C392,'JUNE (물량흐름)'!$U$13:$U$502)-SUMIF('JUNE (물량흐름)'!$C$13:$C$502,C392,'JUNE (물량흐름)'!$Y$13:$Y$502)</f>
        <v>0</v>
      </c>
      <c r="Q392" s="6">
        <f t="shared" si="73"/>
        <v>0</v>
      </c>
      <c r="R392" s="6">
        <f>ROUND(IF(ISERROR(VLOOKUP(#REF!,'WIP(재공품)'!$B$12:$AB$38,13,0)),0,VLOOKUP(#REF!,'WIP(재공품)'!$B$12:$AB$38,13,0)),0)</f>
        <v>0</v>
      </c>
      <c r="S392" s="6">
        <f>IF(ISERROR(VLOOKUP(#REF!,'WIP(재공품)'!$B$12:$AB$38,10,0)),0,VLOOKUP(#REF!,'WIP(재공품)'!$B$12:$AB$38,10,0))</f>
        <v>0</v>
      </c>
      <c r="T392" s="29">
        <f>SUMIF('JUNE (물량흐름)'!$C$13:$C$502,'Direct labour(직접노무비)'!C392,'JUNE (물량흐름)'!$Y$13:$Y$502)</f>
        <v>0</v>
      </c>
      <c r="U392" s="29">
        <f t="shared" si="79"/>
        <v>0</v>
      </c>
      <c r="V392" s="29">
        <f>ROUND(SUMIF('JUNE (물량흐름)'!$C$13:$C$502,'Direct labour(직접노무비)'!C392,'JUNE (물량흐름)'!$N$13:$N$502),0)</f>
        <v>0</v>
      </c>
      <c r="W392" s="29">
        <f>ROUND(SUMIF('JUNE (물량흐름)'!$C$13:$C$502,'Direct labour(직접노무비)'!C392,'JUNE (물량흐름)'!$O$13:$O$502),0)</f>
        <v>127</v>
      </c>
      <c r="X392" s="29">
        <f>ROUND(SUMIF('JUNE (물량흐름)'!$C$13:$C$502,'Direct labour(직접노무비)'!C392,'JUNE (물량흐름)'!$P$13:$P$502),0)</f>
        <v>620</v>
      </c>
      <c r="Y392" s="29">
        <f t="shared" si="80"/>
        <v>747</v>
      </c>
      <c r="Z392" s="29">
        <f t="shared" si="81"/>
        <v>560</v>
      </c>
      <c r="AA392" s="6">
        <f t="shared" si="74"/>
        <v>18181457</v>
      </c>
      <c r="AB392" s="503">
        <f t="shared" si="82"/>
        <v>0</v>
      </c>
      <c r="AC392" s="503">
        <f t="shared" si="75"/>
        <v>0</v>
      </c>
      <c r="AD392" s="503">
        <f t="shared" si="83"/>
        <v>0</v>
      </c>
    </row>
    <row r="393" spans="1:30" s="390" customFormat="1">
      <c r="A393" s="167">
        <v>402</v>
      </c>
      <c r="B393" s="267" t="str">
        <f>VLOOKUP(A393,'JUNE (물량흐름)'!$A$13:$C$502,2,0)</f>
        <v>ANN TAYLOR</v>
      </c>
      <c r="C393" s="240">
        <f>VLOOKUP(A393,'JUNE (물량흐름)'!$A$13:$C$502,3,0)</f>
        <v>466748</v>
      </c>
      <c r="D393" s="6">
        <f>VLOOKUP(C393,'WIP(재공품)'!$B$12:$E$493,4,0)</f>
        <v>33332.25</v>
      </c>
      <c r="E393" s="6">
        <f>IFERROR(VLOOKUP(C393,O.B.JUNE!$AA$7:$AG$448,2,0),0)</f>
        <v>0</v>
      </c>
      <c r="F393" s="6">
        <f>IFERROR(VLOOKUP(C393,O.B.JUNE!$AA$7:$AG$448,3,0),0)</f>
        <v>492</v>
      </c>
      <c r="G393" s="6">
        <f>IFERROR(VLOOKUP(C393,O.B.JUNE!$AA$7:$AD$448,4,0),0)</f>
        <v>692</v>
      </c>
      <c r="H393" s="6">
        <f t="shared" si="76"/>
        <v>1184</v>
      </c>
      <c r="I393" s="6">
        <f>IFERROR(VLOOKUP(C393,O.B.JUNE!$AA$7:$AF$448,6,0),0)</f>
        <v>800</v>
      </c>
      <c r="J393" s="6"/>
      <c r="K393" s="6">
        <f>IFERROR(VLOOKUP(C393,O.B.JUNE!$AA$7:$AG$448,7,0),0)</f>
        <v>11892465</v>
      </c>
      <c r="L393" s="6">
        <f>SUMIF('JUNE (물량흐름)'!$C$13:$C$502,'Direct labour(직접노무비)'!C393,'JUNE (물량흐름)'!$H$13:$H$502)+SUMIF('JUNE (물량흐름)'!$C$13:$C$502,'Direct labour(직접노무비)'!C393,'JUNE (물량흐름)'!$I$13:$I$502)</f>
        <v>0</v>
      </c>
      <c r="M393" s="6">
        <f t="shared" si="77"/>
        <v>0</v>
      </c>
      <c r="N393" s="6">
        <f t="shared" si="78"/>
        <v>0</v>
      </c>
      <c r="O393" s="6">
        <f t="shared" si="72"/>
        <v>0</v>
      </c>
      <c r="P393" s="6">
        <f>SUMIF('JUNE (물량흐름)'!$C$13:$C$502,C393,'JUNE (물량흐름)'!$T$13:$T$502)+SUMIF('JUNE (물량흐름)'!$C$13:$C$502,C393,'JUNE (물량흐름)'!$V$13:$V$502)+SUMIF('JUNE (물량흐름)'!$C$13:$C$502,C393,'JUNE (물량흐름)'!$U$13:$U$502)-SUMIF('JUNE (물량흐름)'!$C$13:$C$502,C393,'JUNE (물량흐름)'!$Y$13:$Y$502)</f>
        <v>411</v>
      </c>
      <c r="Q393" s="6">
        <f t="shared" si="73"/>
        <v>4128212</v>
      </c>
      <c r="R393" s="6">
        <f>ROUND(IF(ISERROR(VLOOKUP(#REF!,'WIP(재공품)'!$B$12:$AB$38,13,0)),0,VLOOKUP(#REF!,'WIP(재공품)'!$B$12:$AB$38,13,0)),0)</f>
        <v>0</v>
      </c>
      <c r="S393" s="6">
        <f>IF(ISERROR(VLOOKUP(#REF!,'WIP(재공품)'!$B$12:$AB$38,10,0)),0,VLOOKUP(#REF!,'WIP(재공품)'!$B$12:$AB$38,10,0))</f>
        <v>0</v>
      </c>
      <c r="T393" s="6">
        <f>SUMIF('JUNE (물량흐름)'!$C$13:$C$502,'Direct labour(직접노무비)'!C393,'JUNE (물량흐름)'!$Y$13:$Y$502)</f>
        <v>13</v>
      </c>
      <c r="U393" s="6">
        <f t="shared" si="79"/>
        <v>130576</v>
      </c>
      <c r="V393" s="6">
        <f>ROUND(SUMIF('JUNE (물량흐름)'!$C$13:$C$502,'Direct labour(직접노무비)'!C393,'JUNE (물량흐름)'!$N$13:$N$502),0)</f>
        <v>0</v>
      </c>
      <c r="W393" s="6">
        <f>ROUND(SUMIF('JUNE (물량흐름)'!$C$13:$C$502,'Direct labour(직접노무비)'!C393,'JUNE (물량흐름)'!$O$13:$O$502),0)</f>
        <v>492</v>
      </c>
      <c r="X393" s="6">
        <f>ROUND(SUMIF('JUNE (물량흐름)'!$C$13:$C$502,'Direct labour(직접노무비)'!C393,'JUNE (물량흐름)'!$P$13:$P$502),0)</f>
        <v>268</v>
      </c>
      <c r="Y393" s="6">
        <f t="shared" si="80"/>
        <v>760</v>
      </c>
      <c r="Z393" s="6">
        <f t="shared" si="81"/>
        <v>460</v>
      </c>
      <c r="AA393" s="6">
        <f t="shared" si="74"/>
        <v>7633677</v>
      </c>
      <c r="AB393" s="389">
        <f t="shared" si="82"/>
        <v>0</v>
      </c>
      <c r="AC393" s="503">
        <f t="shared" si="75"/>
        <v>0</v>
      </c>
      <c r="AD393" s="389">
        <f t="shared" si="83"/>
        <v>0</v>
      </c>
    </row>
    <row r="394" spans="1:30" s="390" customFormat="1">
      <c r="A394" s="167">
        <v>403</v>
      </c>
      <c r="B394" s="267" t="str">
        <f>VLOOKUP(A394,'JUNE (물량흐름)'!$A$13:$C$502,2,0)</f>
        <v>ANN TAYLOR</v>
      </c>
      <c r="C394" s="240">
        <f>VLOOKUP(A394,'JUNE (물량흐름)'!$A$13:$C$502,3,0)</f>
        <v>468918</v>
      </c>
      <c r="D394" s="6">
        <f>VLOOKUP(C394,'WIP(재공품)'!$B$12:$E$493,4,0)</f>
        <v>78228.75</v>
      </c>
      <c r="E394" s="6">
        <f>IFERROR(VLOOKUP(C394,O.B.JUNE!$AA$7:$AG$448,2,0),0)</f>
        <v>0</v>
      </c>
      <c r="F394" s="6">
        <f>IFERROR(VLOOKUP(C394,O.B.JUNE!$AA$7:$AG$448,3,0),0)</f>
        <v>52</v>
      </c>
      <c r="G394" s="6">
        <f>IFERROR(VLOOKUP(C394,O.B.JUNE!$AA$7:$AD$448,4,0),0)</f>
        <v>47</v>
      </c>
      <c r="H394" s="6">
        <f t="shared" si="76"/>
        <v>99</v>
      </c>
      <c r="I394" s="6">
        <f>IFERROR(VLOOKUP(C394,O.B.JUNE!$AA$7:$AF$448,6,0),0)</f>
        <v>64</v>
      </c>
      <c r="J394" s="6"/>
      <c r="K394" s="6">
        <f>IFERROR(VLOOKUP(C394,O.B.JUNE!$AA$7:$AG$448,7,0),0)</f>
        <v>2356965</v>
      </c>
      <c r="L394" s="6">
        <f>SUMIF('JUNE (물량흐름)'!$C$13:$C$502,'Direct labour(직접노무비)'!C394,'JUNE (물량흐름)'!$H$13:$H$502)+SUMIF('JUNE (물량흐름)'!$C$13:$C$502,'Direct labour(직접노무비)'!C394,'JUNE (물량흐름)'!$I$13:$I$502)</f>
        <v>0</v>
      </c>
      <c r="M394" s="6">
        <f t="shared" si="77"/>
        <v>0</v>
      </c>
      <c r="N394" s="6">
        <f t="shared" si="78"/>
        <v>0</v>
      </c>
      <c r="O394" s="6">
        <f t="shared" si="72"/>
        <v>0</v>
      </c>
      <c r="P394" s="6">
        <f>SUMIF('JUNE (물량흐름)'!$C$13:$C$502,C394,'JUNE (물량흐름)'!$T$13:$T$502)+SUMIF('JUNE (물량흐름)'!$C$13:$C$502,C394,'JUNE (물량흐름)'!$V$13:$V$502)+SUMIF('JUNE (물량흐름)'!$C$13:$C$502,C394,'JUNE (물량흐름)'!$U$13:$U$502)-SUMIF('JUNE (물량흐름)'!$C$13:$C$502,C394,'JUNE (물량흐름)'!$Y$13:$Y$502)</f>
        <v>0</v>
      </c>
      <c r="Q394" s="6">
        <f t="shared" si="73"/>
        <v>0</v>
      </c>
      <c r="R394" s="6">
        <f>ROUND(IF(ISERROR(VLOOKUP(#REF!,'WIP(재공품)'!$B$12:$AB$38,13,0)),0,VLOOKUP(#REF!,'WIP(재공품)'!$B$12:$AB$38,13,0)),0)</f>
        <v>0</v>
      </c>
      <c r="S394" s="6">
        <f>IF(ISERROR(VLOOKUP(#REF!,'WIP(재공품)'!$B$12:$AB$38,10,0)),0,VLOOKUP(#REF!,'WIP(재공품)'!$B$12:$AB$38,10,0))</f>
        <v>0</v>
      </c>
      <c r="T394" s="6">
        <f>SUMIF('JUNE (물량흐름)'!$C$13:$C$502,'Direct labour(직접노무비)'!C394,'JUNE (물량흐름)'!$Y$13:$Y$502)</f>
        <v>10</v>
      </c>
      <c r="U394" s="6">
        <f t="shared" si="79"/>
        <v>238077</v>
      </c>
      <c r="V394" s="6">
        <f>ROUND(SUMIF('JUNE (물량흐름)'!$C$13:$C$502,'Direct labour(직접노무비)'!C394,'JUNE (물량흐름)'!$N$13:$N$502),0)</f>
        <v>0</v>
      </c>
      <c r="W394" s="6">
        <f>ROUND(SUMIF('JUNE (물량흐름)'!$C$13:$C$502,'Direct labour(직접노무비)'!C394,'JUNE (물량흐름)'!$O$13:$O$502),0)</f>
        <v>52</v>
      </c>
      <c r="X394" s="6">
        <f>ROUND(SUMIF('JUNE (물량흐름)'!$C$13:$C$502,'Direct labour(직접노무비)'!C394,'JUNE (물량흐름)'!$P$13:$P$502),0)</f>
        <v>37</v>
      </c>
      <c r="Y394" s="6">
        <f t="shared" si="80"/>
        <v>89</v>
      </c>
      <c r="Z394" s="6">
        <f t="shared" si="81"/>
        <v>56</v>
      </c>
      <c r="AA394" s="6">
        <f t="shared" si="74"/>
        <v>2118888</v>
      </c>
      <c r="AB394" s="389">
        <f t="shared" si="82"/>
        <v>0</v>
      </c>
      <c r="AC394" s="503">
        <f t="shared" si="75"/>
        <v>0</v>
      </c>
      <c r="AD394" s="389">
        <f t="shared" si="83"/>
        <v>0</v>
      </c>
    </row>
    <row r="395" spans="1:30" s="390" customFormat="1">
      <c r="A395" s="167">
        <v>404</v>
      </c>
      <c r="B395" s="267" t="str">
        <f>VLOOKUP(A395,'JUNE (물량흐름)'!$A$13:$C$502,2,0)</f>
        <v>ANN TAYLOR</v>
      </c>
      <c r="C395" s="240">
        <f>VLOOKUP(A395,'JUNE (물량흐름)'!$A$13:$C$502,3,0)</f>
        <v>469040</v>
      </c>
      <c r="D395" s="6">
        <f>VLOOKUP(C395,'WIP(재공품)'!$B$12:$E$493,4,0)</f>
        <v>34466</v>
      </c>
      <c r="E395" s="6">
        <f>IFERROR(VLOOKUP(C395,O.B.JUNE!$AA$7:$AG$448,2,0),0)</f>
        <v>0</v>
      </c>
      <c r="F395" s="6">
        <f>IFERROR(VLOOKUP(C395,O.B.JUNE!$AA$7:$AG$448,3,0),0)</f>
        <v>379</v>
      </c>
      <c r="G395" s="6">
        <f>IFERROR(VLOOKUP(C395,O.B.JUNE!$AA$7:$AD$448,4,0),0)</f>
        <v>2715</v>
      </c>
      <c r="H395" s="6">
        <f t="shared" si="76"/>
        <v>3094</v>
      </c>
      <c r="I395" s="6">
        <f>IFERROR(VLOOKUP(C395,O.B.JUNE!$AA$7:$AF$448,6,0),0)</f>
        <v>2362</v>
      </c>
      <c r="J395" s="6"/>
      <c r="K395" s="6">
        <f>IFERROR(VLOOKUP(C395,O.B.JUNE!$AA$7:$AG$448,7,0),0)</f>
        <v>29906167</v>
      </c>
      <c r="L395" s="6">
        <f>SUMIF('JUNE (물량흐름)'!$C$13:$C$502,'Direct labour(직접노무비)'!C395,'JUNE (물량흐름)'!$H$13:$H$502)+SUMIF('JUNE (물량흐름)'!$C$13:$C$502,'Direct labour(직접노무비)'!C395,'JUNE (물량흐름)'!$I$13:$I$502)</f>
        <v>380</v>
      </c>
      <c r="M395" s="6">
        <f t="shared" si="77"/>
        <v>730</v>
      </c>
      <c r="N395" s="6">
        <f t="shared" si="78"/>
        <v>25160180</v>
      </c>
      <c r="O395" s="6">
        <f t="shared" ref="O395:O439" si="84">ROUND(M395*D395*$O$493/$N$493,0)</f>
        <v>7781382</v>
      </c>
      <c r="P395" s="6">
        <f>SUMIF('JUNE (물량흐름)'!$C$13:$C$502,C395,'JUNE (물량흐름)'!$T$13:$T$502)+SUMIF('JUNE (물량흐름)'!$C$13:$C$502,C395,'JUNE (물량흐름)'!$V$13:$V$502)+SUMIF('JUNE (물량흐름)'!$C$13:$C$502,C395,'JUNE (물량흐름)'!$U$13:$U$502)-SUMIF('JUNE (물량흐름)'!$C$13:$C$502,C395,'JUNE (물량흐름)'!$Y$13:$Y$502)</f>
        <v>2132</v>
      </c>
      <c r="Q395" s="6">
        <f t="shared" si="73"/>
        <v>23128916</v>
      </c>
      <c r="R395" s="6">
        <f>ROUND(IF(ISERROR(VLOOKUP(#REF!,'WIP(재공품)'!$B$12:$AB$38,13,0)),0,VLOOKUP(#REF!,'WIP(재공품)'!$B$12:$AB$38,13,0)),0)</f>
        <v>0</v>
      </c>
      <c r="S395" s="6">
        <f>IF(ISERROR(VLOOKUP(#REF!,'WIP(재공품)'!$B$12:$AB$38,10,0)),0,VLOOKUP(#REF!,'WIP(재공품)'!$B$12:$AB$38,10,0))</f>
        <v>0</v>
      </c>
      <c r="T395" s="6">
        <f>SUMIF('JUNE (물량흐름)'!$C$13:$C$502,'Direct labour(직접노무비)'!C395,'JUNE (물량흐름)'!$Y$13:$Y$502)</f>
        <v>0</v>
      </c>
      <c r="U395" s="6">
        <f t="shared" si="79"/>
        <v>0</v>
      </c>
      <c r="V395" s="6">
        <f>ROUND(SUMIF('JUNE (물량흐름)'!$C$13:$C$502,'Direct labour(직접노무비)'!C395,'JUNE (물량흐름)'!$N$13:$N$502),0)</f>
        <v>0</v>
      </c>
      <c r="W395" s="6">
        <f>ROUND(SUMIF('JUNE (물량흐름)'!$C$13:$C$502,'Direct labour(직접노무비)'!C395,'JUNE (물량흐름)'!$O$13:$O$502),0)</f>
        <v>379</v>
      </c>
      <c r="X395" s="6">
        <f>ROUND(SUMIF('JUNE (물량흐름)'!$C$13:$C$502,'Direct labour(직접노무비)'!C395,'JUNE (물량흐름)'!$P$13:$P$502),0)</f>
        <v>963</v>
      </c>
      <c r="Y395" s="6">
        <f t="shared" si="80"/>
        <v>1342</v>
      </c>
      <c r="Z395" s="6">
        <f t="shared" si="81"/>
        <v>960</v>
      </c>
      <c r="AA395" s="6">
        <f t="shared" si="74"/>
        <v>14558633</v>
      </c>
      <c r="AB395" s="389">
        <f t="shared" si="82"/>
        <v>0</v>
      </c>
      <c r="AC395" s="503">
        <f t="shared" si="75"/>
        <v>0</v>
      </c>
      <c r="AD395" s="389">
        <f t="shared" si="83"/>
        <v>0</v>
      </c>
    </row>
    <row r="396" spans="1:30" s="390" customFormat="1">
      <c r="A396" s="167">
        <v>405</v>
      </c>
      <c r="B396" s="267" t="str">
        <f>VLOOKUP(A396,'JUNE (물량흐름)'!$A$13:$C$502,2,0)</f>
        <v>ANN TAYLOR</v>
      </c>
      <c r="C396" s="240">
        <f>VLOOKUP(A396,'JUNE (물량흐름)'!$A$13:$C$502,3,0)</f>
        <v>469041</v>
      </c>
      <c r="D396" s="6">
        <f>VLOOKUP(C396,'WIP(재공품)'!$B$12:$E$493,4,0)</f>
        <v>34466</v>
      </c>
      <c r="E396" s="6">
        <f>IFERROR(VLOOKUP(C396,O.B.JUNE!$AA$7:$AG$448,2,0),0)</f>
        <v>55</v>
      </c>
      <c r="F396" s="6">
        <f>IFERROR(VLOOKUP(C396,O.B.JUNE!$AA$7:$AG$448,3,0),0)</f>
        <v>205</v>
      </c>
      <c r="G396" s="6">
        <f>IFERROR(VLOOKUP(C396,O.B.JUNE!$AA$7:$AD$448,4,0),0)</f>
        <v>23</v>
      </c>
      <c r="H396" s="6">
        <f t="shared" si="76"/>
        <v>283</v>
      </c>
      <c r="I396" s="6">
        <f>IFERROR(VLOOKUP(C396,O.B.JUNE!$AA$7:$AF$448,6,0),0)</f>
        <v>132</v>
      </c>
      <c r="J396" s="6"/>
      <c r="K396" s="6">
        <f>IFERROR(VLOOKUP(C396,O.B.JUNE!$AA$7:$AG$448,7,0),0)</f>
        <v>2948355</v>
      </c>
      <c r="L396" s="6">
        <f>SUMIF('JUNE (물량흐름)'!$C$13:$C$502,'Direct labour(직접노무비)'!C396,'JUNE (물량흐름)'!$H$13:$H$502)+SUMIF('JUNE (물량흐름)'!$C$13:$C$502,'Direct labour(직접노무비)'!C396,'JUNE (물량흐름)'!$I$13:$I$502)</f>
        <v>356</v>
      </c>
      <c r="M396" s="6">
        <f t="shared" si="77"/>
        <v>366</v>
      </c>
      <c r="N396" s="6">
        <f t="shared" si="78"/>
        <v>12614556</v>
      </c>
      <c r="O396" s="6">
        <f t="shared" si="84"/>
        <v>3901350</v>
      </c>
      <c r="P396" s="6">
        <f>SUMIF('JUNE (물량흐름)'!$C$13:$C$502,C396,'JUNE (물량흐름)'!$T$13:$T$502)+SUMIF('JUNE (물량흐름)'!$C$13:$C$502,C396,'JUNE (물량흐름)'!$V$13:$V$502)+SUMIF('JUNE (물량흐름)'!$C$13:$C$502,C396,'JUNE (물량흐름)'!$U$13:$U$502)-SUMIF('JUNE (물량흐름)'!$C$13:$C$502,C396,'JUNE (물량흐름)'!$Y$13:$Y$502)</f>
        <v>322</v>
      </c>
      <c r="Q396" s="6">
        <f t="shared" si="73"/>
        <v>3451651</v>
      </c>
      <c r="R396" s="6">
        <f>ROUND(IF(ISERROR(VLOOKUP(#REF!,'WIP(재공품)'!$B$12:$AB$38,13,0)),0,VLOOKUP(#REF!,'WIP(재공품)'!$B$12:$AB$38,13,0)),0)</f>
        <v>0</v>
      </c>
      <c r="S396" s="6">
        <f>IF(ISERROR(VLOOKUP(#REF!,'WIP(재공품)'!$B$12:$AB$38,10,0)),0,VLOOKUP(#REF!,'WIP(재공품)'!$B$12:$AB$38,10,0))</f>
        <v>0</v>
      </c>
      <c r="T396" s="6">
        <f>SUMIF('JUNE (물량흐름)'!$C$13:$C$502,'Direct labour(직접노무비)'!C396,'JUNE (물량흐름)'!$Y$13:$Y$502)</f>
        <v>0</v>
      </c>
      <c r="U396" s="6">
        <f t="shared" si="79"/>
        <v>0</v>
      </c>
      <c r="V396" s="6">
        <f>ROUND(SUMIF('JUNE (물량흐름)'!$C$13:$C$502,'Direct labour(직접노무비)'!C396,'JUNE (물량흐름)'!$N$13:$N$502),0)</f>
        <v>0</v>
      </c>
      <c r="W396" s="6">
        <f>ROUND(SUMIF('JUNE (물량흐름)'!$C$13:$C$502,'Direct labour(직접노무비)'!C396,'JUNE (물량흐름)'!$O$13:$O$502),0)</f>
        <v>260</v>
      </c>
      <c r="X396" s="6">
        <f>ROUND(SUMIF('JUNE (물량흐름)'!$C$13:$C$502,'Direct labour(직접노무비)'!C396,'JUNE (물량흐름)'!$P$13:$P$502),0)</f>
        <v>57</v>
      </c>
      <c r="Y396" s="6">
        <f t="shared" si="80"/>
        <v>317</v>
      </c>
      <c r="Z396" s="6">
        <f t="shared" si="81"/>
        <v>176</v>
      </c>
      <c r="AA396" s="6">
        <f t="shared" si="74"/>
        <v>3398054</v>
      </c>
      <c r="AB396" s="389">
        <f t="shared" si="82"/>
        <v>0</v>
      </c>
      <c r="AC396" s="503">
        <f t="shared" si="75"/>
        <v>0</v>
      </c>
      <c r="AD396" s="389">
        <f t="shared" si="83"/>
        <v>0</v>
      </c>
    </row>
    <row r="397" spans="1:30" s="390" customFormat="1">
      <c r="A397" s="167">
        <v>406</v>
      </c>
      <c r="B397" s="267" t="str">
        <f>VLOOKUP(A397,'JUNE (물량흐름)'!$A$13:$C$502,2,0)</f>
        <v>ANN TAYLOR</v>
      </c>
      <c r="C397" s="240">
        <f>VLOOKUP(A397,'JUNE (물량흐름)'!$A$13:$C$502,3,0)</f>
        <v>469042</v>
      </c>
      <c r="D397" s="6">
        <f>VLOOKUP(C397,'WIP(재공품)'!$B$12:$E$493,4,0)</f>
        <v>34466</v>
      </c>
      <c r="E397" s="6">
        <f>IFERROR(VLOOKUP(C397,O.B.JUNE!$AA$7:$AG$448,2,0),0)</f>
        <v>411</v>
      </c>
      <c r="F397" s="6">
        <f>IFERROR(VLOOKUP(C397,O.B.JUNE!$AA$7:$AG$448,3,0),0)</f>
        <v>150</v>
      </c>
      <c r="G397" s="6">
        <f>IFERROR(VLOOKUP(C397,O.B.JUNE!$AA$7:$AD$448,4,0),0)</f>
        <v>313</v>
      </c>
      <c r="H397" s="6">
        <f t="shared" si="76"/>
        <v>874</v>
      </c>
      <c r="I397" s="6">
        <f>IFERROR(VLOOKUP(C397,O.B.JUNE!$AA$7:$AF$448,6,0),0)</f>
        <v>408</v>
      </c>
      <c r="J397" s="6"/>
      <c r="K397" s="6">
        <f>IFERROR(VLOOKUP(C397,O.B.JUNE!$AA$7:$AG$448,7,0),0)</f>
        <v>8619525</v>
      </c>
      <c r="L397" s="6">
        <f>SUMIF('JUNE (물량흐름)'!$C$13:$C$502,'Direct labour(직접노무비)'!C397,'JUNE (물량흐름)'!$H$13:$H$502)+SUMIF('JUNE (물량흐름)'!$C$13:$C$502,'Direct labour(직접노무비)'!C397,'JUNE (물량흐름)'!$I$13:$I$502)</f>
        <v>0</v>
      </c>
      <c r="M397" s="6">
        <f t="shared" si="77"/>
        <v>0</v>
      </c>
      <c r="N397" s="6">
        <f t="shared" si="78"/>
        <v>0</v>
      </c>
      <c r="O397" s="6">
        <f t="shared" si="84"/>
        <v>0</v>
      </c>
      <c r="P397" s="6">
        <f>SUMIF('JUNE (물량흐름)'!$C$13:$C$502,C397,'JUNE (물량흐름)'!$T$13:$T$502)+SUMIF('JUNE (물량흐름)'!$C$13:$C$502,C397,'JUNE (물량흐름)'!$V$13:$V$502)+SUMIF('JUNE (물량흐름)'!$C$13:$C$502,C397,'JUNE (물량흐름)'!$U$13:$U$502)-SUMIF('JUNE (물량흐름)'!$C$13:$C$502,C397,'JUNE (물량흐름)'!$Y$13:$Y$502)</f>
        <v>393</v>
      </c>
      <c r="Q397" s="6">
        <f t="shared" ref="Q397:Q460" si="85">IFERROR(ROUND(IF(OR(P397&lt;=0,($I397+$M397)=0),$P397*($K397+$O397)/($I397+$M397),$P397*($K397+$O397)/($H397+$L397)),0),0)</f>
        <v>3875828</v>
      </c>
      <c r="R397" s="6">
        <f>ROUND(IF(ISERROR(VLOOKUP(#REF!,'WIP(재공품)'!$B$12:$AB$38,13,0)),0,VLOOKUP(#REF!,'WIP(재공품)'!$B$12:$AB$38,13,0)),0)</f>
        <v>0</v>
      </c>
      <c r="S397" s="6">
        <f>IF(ISERROR(VLOOKUP(#REF!,'WIP(재공품)'!$B$12:$AB$38,10,0)),0,VLOOKUP(#REF!,'WIP(재공품)'!$B$12:$AB$38,10,0))</f>
        <v>0</v>
      </c>
      <c r="T397" s="6">
        <f>SUMIF('JUNE (물량흐름)'!$C$13:$C$502,'Direct labour(직접노무비)'!C397,'JUNE (물량흐름)'!$Y$13:$Y$502)</f>
        <v>17</v>
      </c>
      <c r="U397" s="6">
        <f t="shared" si="79"/>
        <v>167657</v>
      </c>
      <c r="V397" s="6">
        <f>ROUND(SUMIF('JUNE (물량흐름)'!$C$13:$C$502,'Direct labour(직접노무비)'!C397,'JUNE (물량흐름)'!$N$13:$N$502),0)</f>
        <v>0</v>
      </c>
      <c r="W397" s="6">
        <f>ROUND(SUMIF('JUNE (물량흐름)'!$C$13:$C$502,'Direct labour(직접노무비)'!C397,'JUNE (물량흐름)'!$O$13:$O$502),0)</f>
        <v>227</v>
      </c>
      <c r="X397" s="6">
        <f>ROUND(SUMIF('JUNE (물량흐름)'!$C$13:$C$502,'Direct labour(직접노무비)'!C397,'JUNE (물량흐름)'!$P$13:$P$502),0)</f>
        <v>237</v>
      </c>
      <c r="Y397" s="6">
        <f t="shared" si="80"/>
        <v>464</v>
      </c>
      <c r="Z397" s="6">
        <f t="shared" si="81"/>
        <v>303</v>
      </c>
      <c r="AA397" s="6">
        <f t="shared" ref="AA397:AA460" si="86">IFERROR(ROUND(IF(OR(Z397&lt;=0,($I397+$M397)=0),$Z397*($K397+$O397)/($I397+$M397),$Y397*($K397+$O397)/($H397+$L397)),0),0)</f>
        <v>4576041</v>
      </c>
      <c r="AB397" s="389">
        <f t="shared" si="82"/>
        <v>-1</v>
      </c>
      <c r="AC397" s="503">
        <f t="shared" si="75"/>
        <v>0</v>
      </c>
      <c r="AD397" s="389">
        <f t="shared" si="83"/>
        <v>0</v>
      </c>
    </row>
    <row r="398" spans="1:30" s="390" customFormat="1">
      <c r="A398" s="167">
        <v>407</v>
      </c>
      <c r="B398" s="267" t="str">
        <f>VLOOKUP(A398,'JUNE (물량흐름)'!$A$13:$C$502,2,0)</f>
        <v>ANN TAYLOR</v>
      </c>
      <c r="C398" s="240">
        <f>VLOOKUP(A398,'JUNE (물량흐름)'!$A$13:$C$502,3,0)</f>
        <v>470341</v>
      </c>
      <c r="D398" s="6">
        <f>VLOOKUP(C398,'WIP(재공품)'!$B$12:$E$493,4,0)</f>
        <v>33332.25</v>
      </c>
      <c r="E398" s="6">
        <f>IFERROR(VLOOKUP(C398,O.B.JUNE!$AA$7:$AG$448,2,0),0)</f>
        <v>0</v>
      </c>
      <c r="F398" s="6">
        <f>IFERROR(VLOOKUP(C398,O.B.JUNE!$AA$7:$AG$448,3,0),0)</f>
        <v>123</v>
      </c>
      <c r="G398" s="6">
        <f>IFERROR(VLOOKUP(C398,O.B.JUNE!$AA$7:$AD$448,4,0),0)</f>
        <v>324</v>
      </c>
      <c r="H398" s="6">
        <f t="shared" si="76"/>
        <v>447</v>
      </c>
      <c r="I398" s="6">
        <f>IFERROR(VLOOKUP(C398,O.B.JUNE!$AA$7:$AF$448,6,0),0)</f>
        <v>321</v>
      </c>
      <c r="J398" s="6"/>
      <c r="K398" s="6">
        <f>IFERROR(VLOOKUP(C398,O.B.JUNE!$AA$7:$AG$448,7,0),0)</f>
        <v>4536433</v>
      </c>
      <c r="L398" s="6">
        <f>SUMIF('JUNE (물량흐름)'!$C$13:$C$502,'Direct labour(직접노무비)'!C398,'JUNE (물량흐름)'!$H$13:$H$502)+SUMIF('JUNE (물량흐름)'!$C$13:$C$502,'Direct labour(직접노무비)'!C398,'JUNE (물량흐름)'!$I$13:$I$502)</f>
        <v>0</v>
      </c>
      <c r="M398" s="6">
        <f t="shared" si="77"/>
        <v>0</v>
      </c>
      <c r="N398" s="6">
        <f t="shared" si="78"/>
        <v>0</v>
      </c>
      <c r="O398" s="6">
        <f t="shared" si="84"/>
        <v>0</v>
      </c>
      <c r="P398" s="6">
        <f>SUMIF('JUNE (물량흐름)'!$C$13:$C$502,C398,'JUNE (물량흐름)'!$T$13:$T$502)+SUMIF('JUNE (물량흐름)'!$C$13:$C$502,C398,'JUNE (물량흐름)'!$V$13:$V$502)+SUMIF('JUNE (물량흐름)'!$C$13:$C$502,C398,'JUNE (물량흐름)'!$U$13:$U$502)-SUMIF('JUNE (물량흐름)'!$C$13:$C$502,C398,'JUNE (물량흐름)'!$Y$13:$Y$502)</f>
        <v>283</v>
      </c>
      <c r="Q398" s="6">
        <f t="shared" si="85"/>
        <v>2872059</v>
      </c>
      <c r="R398" s="6">
        <f>ROUND(IF(ISERROR(VLOOKUP(#REF!,'WIP(재공품)'!$B$12:$AB$38,13,0)),0,VLOOKUP(#REF!,'WIP(재공품)'!$B$12:$AB$38,13,0)),0)</f>
        <v>0</v>
      </c>
      <c r="S398" s="6">
        <f>IF(ISERROR(VLOOKUP(#REF!,'WIP(재공품)'!$B$12:$AB$38,10,0)),0,VLOOKUP(#REF!,'WIP(재공품)'!$B$12:$AB$38,10,0))</f>
        <v>0</v>
      </c>
      <c r="T398" s="6">
        <f>SUMIF('JUNE (물량흐름)'!$C$13:$C$502,'Direct labour(직접노무비)'!C398,'JUNE (물량흐름)'!$Y$13:$Y$502)</f>
        <v>6</v>
      </c>
      <c r="U398" s="6">
        <f t="shared" si="79"/>
        <v>60892</v>
      </c>
      <c r="V398" s="6">
        <f>ROUND(SUMIF('JUNE (물량흐름)'!$C$13:$C$502,'Direct labour(직접노무비)'!C398,'JUNE (물량흐름)'!$N$13:$N$502),0)</f>
        <v>0</v>
      </c>
      <c r="W398" s="6">
        <f>ROUND(SUMIF('JUNE (물량흐름)'!$C$13:$C$502,'Direct labour(직접노무비)'!C398,'JUNE (물량흐름)'!$O$13:$O$502),0)</f>
        <v>123</v>
      </c>
      <c r="X398" s="6">
        <f>ROUND(SUMIF('JUNE (물량흐름)'!$C$13:$C$502,'Direct labour(직접노무비)'!C398,'JUNE (물량흐름)'!$P$13:$P$502),0)</f>
        <v>35</v>
      </c>
      <c r="Y398" s="6">
        <f t="shared" si="80"/>
        <v>158</v>
      </c>
      <c r="Z398" s="6">
        <f t="shared" si="81"/>
        <v>90</v>
      </c>
      <c r="AA398" s="6">
        <f t="shared" si="86"/>
        <v>1603482</v>
      </c>
      <c r="AB398" s="389">
        <f t="shared" si="82"/>
        <v>0</v>
      </c>
      <c r="AC398" s="503">
        <f t="shared" si="75"/>
        <v>0</v>
      </c>
      <c r="AD398" s="389">
        <f t="shared" si="83"/>
        <v>0</v>
      </c>
    </row>
    <row r="399" spans="1:30" s="390" customFormat="1">
      <c r="A399" s="167">
        <v>408</v>
      </c>
      <c r="B399" s="267" t="str">
        <f>VLOOKUP(A399,'JUNE (물량흐름)'!$A$13:$C$502,2,0)</f>
        <v>ANN TAYLOR</v>
      </c>
      <c r="C399" s="240">
        <f>VLOOKUP(A399,'JUNE (물량흐름)'!$A$13:$C$502,3,0)</f>
        <v>471140</v>
      </c>
      <c r="D399" s="6">
        <f>VLOOKUP(C399,'WIP(재공품)'!$B$12:$E$493,4,0)</f>
        <v>8163</v>
      </c>
      <c r="E399" s="6">
        <f>IFERROR(VLOOKUP(C399,O.B.JUNE!$AA$7:$AG$448,2,0),0)</f>
        <v>0</v>
      </c>
      <c r="F399" s="6">
        <f>IFERROR(VLOOKUP(C399,O.B.JUNE!$AA$7:$AG$448,3,0),0)</f>
        <v>123</v>
      </c>
      <c r="G399" s="6">
        <f>IFERROR(VLOOKUP(C399,O.B.JUNE!$AA$7:$AD$448,4,0),0)</f>
        <v>1468</v>
      </c>
      <c r="H399" s="6">
        <f t="shared" si="76"/>
        <v>1591</v>
      </c>
      <c r="I399" s="6">
        <f>IFERROR(VLOOKUP(C399,O.B.JUNE!$AA$7:$AF$448,6,0),0)</f>
        <v>1236</v>
      </c>
      <c r="J399" s="6"/>
      <c r="K399" s="6">
        <f>IFERROR(VLOOKUP(C399,O.B.JUNE!$AA$7:$AG$448,7,0),0)</f>
        <v>19754607</v>
      </c>
      <c r="L399" s="6">
        <f>SUMIF('JUNE (물량흐름)'!$C$13:$C$502,'Direct labour(직접노무비)'!C399,'JUNE (물량흐름)'!$H$13:$H$502)+SUMIF('JUNE (물량흐름)'!$C$13:$C$502,'Direct labour(직접노무비)'!C399,'JUNE (물량흐름)'!$I$13:$I$502)</f>
        <v>0</v>
      </c>
      <c r="M399" s="6">
        <f t="shared" si="77"/>
        <v>0</v>
      </c>
      <c r="N399" s="6">
        <f t="shared" si="78"/>
        <v>0</v>
      </c>
      <c r="O399" s="6">
        <f t="shared" si="84"/>
        <v>0</v>
      </c>
      <c r="P399" s="6">
        <f>SUMIF('JUNE (물량흐름)'!$C$13:$C$502,C399,'JUNE (물량흐름)'!$T$13:$T$502)+SUMIF('JUNE (물량흐름)'!$C$13:$C$502,C399,'JUNE (물량흐름)'!$V$13:$V$502)+SUMIF('JUNE (물량흐름)'!$C$13:$C$502,C399,'JUNE (물량흐름)'!$U$13:$U$502)-SUMIF('JUNE (물량흐름)'!$C$13:$C$502,C399,'JUNE (물량흐름)'!$Y$13:$Y$502)</f>
        <v>13</v>
      </c>
      <c r="Q399" s="6">
        <f t="shared" si="85"/>
        <v>161414</v>
      </c>
      <c r="R399" s="6">
        <f>ROUND(IF(ISERROR(VLOOKUP(#REF!,'WIP(재공품)'!$B$12:$AB$38,13,0)),0,VLOOKUP(#REF!,'WIP(재공품)'!$B$12:$AB$38,13,0)),0)</f>
        <v>0</v>
      </c>
      <c r="S399" s="6">
        <f>IF(ISERROR(VLOOKUP(#REF!,'WIP(재공품)'!$B$12:$AB$38,10,0)),0,VLOOKUP(#REF!,'WIP(재공품)'!$B$12:$AB$38,10,0))</f>
        <v>0</v>
      </c>
      <c r="T399" s="6">
        <f>SUMIF('JUNE (물량흐름)'!$C$13:$C$502,'Direct labour(직접노무비)'!C399,'JUNE (물량흐름)'!$Y$13:$Y$502)</f>
        <v>33</v>
      </c>
      <c r="U399" s="6">
        <f t="shared" si="79"/>
        <v>409744</v>
      </c>
      <c r="V399" s="6">
        <f>ROUND(SUMIF('JUNE (물량흐름)'!$C$13:$C$502,'Direct labour(직접노무비)'!C399,'JUNE (물량흐름)'!$N$13:$N$502),0)</f>
        <v>0</v>
      </c>
      <c r="W399" s="6">
        <f>ROUND(SUMIF('JUNE (물량흐름)'!$C$13:$C$502,'Direct labour(직접노무비)'!C399,'JUNE (물량흐름)'!$O$13:$O$502),0)</f>
        <v>123</v>
      </c>
      <c r="X399" s="6">
        <f>ROUND(SUMIF('JUNE (물량흐름)'!$C$13:$C$502,'Direct labour(직접노무비)'!C399,'JUNE (물량흐름)'!$P$13:$P$502),0)</f>
        <v>1422</v>
      </c>
      <c r="Y399" s="6">
        <f t="shared" si="80"/>
        <v>1545</v>
      </c>
      <c r="Z399" s="6">
        <f t="shared" si="81"/>
        <v>1199</v>
      </c>
      <c r="AA399" s="6">
        <f t="shared" si="86"/>
        <v>19183449</v>
      </c>
      <c r="AB399" s="389">
        <f t="shared" si="82"/>
        <v>0</v>
      </c>
      <c r="AC399" s="503">
        <f t="shared" si="75"/>
        <v>0</v>
      </c>
      <c r="AD399" s="389">
        <f t="shared" si="83"/>
        <v>0</v>
      </c>
    </row>
    <row r="400" spans="1:30" s="390" customFormat="1">
      <c r="A400" s="167">
        <v>409</v>
      </c>
      <c r="B400" s="267" t="str">
        <f>VLOOKUP(A400,'JUNE (물량흐름)'!$A$13:$C$502,2,0)</f>
        <v>ANN TAYLOR</v>
      </c>
      <c r="C400" s="240">
        <f>VLOOKUP(A400,'JUNE (물량흐름)'!$A$13:$C$502,3,0)</f>
        <v>473551</v>
      </c>
      <c r="D400" s="6">
        <f>VLOOKUP(C400,'WIP(재공품)'!$B$12:$E$493,4,0)</f>
        <v>7936.2499999999991</v>
      </c>
      <c r="E400" s="6">
        <f>IFERROR(VLOOKUP(C400,O.B.JUNE!$AA$7:$AG$448,2,0),0)</f>
        <v>0</v>
      </c>
      <c r="F400" s="6">
        <f>IFERROR(VLOOKUP(C400,O.B.JUNE!$AA$7:$AG$448,3,0),0)</f>
        <v>510</v>
      </c>
      <c r="G400" s="6">
        <f>IFERROR(VLOOKUP(C400,O.B.JUNE!$AA$7:$AD$448,4,0),0)</f>
        <v>379</v>
      </c>
      <c r="H400" s="6">
        <f t="shared" si="76"/>
        <v>889</v>
      </c>
      <c r="I400" s="6">
        <f>IFERROR(VLOOKUP(C400,O.B.JUNE!$AA$7:$AF$448,6,0),0)</f>
        <v>558</v>
      </c>
      <c r="J400" s="6"/>
      <c r="K400" s="6">
        <f>IFERROR(VLOOKUP(C400,O.B.JUNE!$AA$7:$AG$448,7,0),0)</f>
        <v>13573326</v>
      </c>
      <c r="L400" s="6">
        <f>SUMIF('JUNE (물량흐름)'!$C$13:$C$502,'Direct labour(직접노무비)'!C400,'JUNE (물량흐름)'!$H$13:$H$502)+SUMIF('JUNE (물량흐름)'!$C$13:$C$502,'Direct labour(직접노무비)'!C400,'JUNE (물량흐름)'!$I$13:$I$502)</f>
        <v>0</v>
      </c>
      <c r="M400" s="6">
        <f t="shared" si="77"/>
        <v>0</v>
      </c>
      <c r="N400" s="6">
        <f t="shared" si="78"/>
        <v>0</v>
      </c>
      <c r="O400" s="6">
        <f t="shared" si="84"/>
        <v>0</v>
      </c>
      <c r="P400" s="6">
        <f>SUMIF('JUNE (물량흐름)'!$C$13:$C$502,C400,'JUNE (물량흐름)'!$T$13:$T$502)+SUMIF('JUNE (물량흐름)'!$C$13:$C$502,C400,'JUNE (물량흐름)'!$V$13:$V$502)+SUMIF('JUNE (물량흐름)'!$C$13:$C$502,C400,'JUNE (물량흐름)'!$U$13:$U$502)-SUMIF('JUNE (물량흐름)'!$C$13:$C$502,C400,'JUNE (물량흐름)'!$Y$13:$Y$502)</f>
        <v>0</v>
      </c>
      <c r="Q400" s="6">
        <f t="shared" si="85"/>
        <v>0</v>
      </c>
      <c r="R400" s="6">
        <f>ROUND(IF(ISERROR(VLOOKUP(#REF!,'WIP(재공품)'!$B$12:$AB$38,13,0)),0,VLOOKUP(#REF!,'WIP(재공품)'!$B$12:$AB$38,13,0)),0)</f>
        <v>0</v>
      </c>
      <c r="S400" s="6">
        <f>IF(ISERROR(VLOOKUP(#REF!,'WIP(재공품)'!$B$12:$AB$38,10,0)),0,VLOOKUP(#REF!,'WIP(재공품)'!$B$12:$AB$38,10,0))</f>
        <v>0</v>
      </c>
      <c r="T400" s="6">
        <f>SUMIF('JUNE (물량흐름)'!$C$13:$C$502,'Direct labour(직접노무비)'!C400,'JUNE (물량흐름)'!$Y$13:$Y$502)</f>
        <v>20</v>
      </c>
      <c r="U400" s="6">
        <f t="shared" si="79"/>
        <v>305362</v>
      </c>
      <c r="V400" s="6">
        <f>ROUND(SUMIF('JUNE (물량흐름)'!$C$13:$C$502,'Direct labour(직접노무비)'!C400,'JUNE (물량흐름)'!$N$13:$N$502),0)</f>
        <v>0</v>
      </c>
      <c r="W400" s="6">
        <f>ROUND(SUMIF('JUNE (물량흐름)'!$C$13:$C$502,'Direct labour(직접노무비)'!C400,'JUNE (물량흐름)'!$O$13:$O$502),0)</f>
        <v>510</v>
      </c>
      <c r="X400" s="6">
        <f>ROUND(SUMIF('JUNE (물량흐름)'!$C$13:$C$502,'Direct labour(직접노무비)'!C400,'JUNE (물량흐름)'!$P$13:$P$502),0)</f>
        <v>359</v>
      </c>
      <c r="Y400" s="6">
        <f t="shared" si="80"/>
        <v>869</v>
      </c>
      <c r="Z400" s="6">
        <f t="shared" si="81"/>
        <v>542</v>
      </c>
      <c r="AA400" s="6">
        <f t="shared" si="86"/>
        <v>13267964</v>
      </c>
      <c r="AB400" s="389">
        <f t="shared" si="82"/>
        <v>0</v>
      </c>
      <c r="AC400" s="503">
        <f t="shared" si="75"/>
        <v>0</v>
      </c>
      <c r="AD400" s="389">
        <f t="shared" si="83"/>
        <v>0</v>
      </c>
    </row>
    <row r="401" spans="1:30" s="499" customFormat="1">
      <c r="A401" s="490">
        <v>410</v>
      </c>
      <c r="B401" s="501" t="str">
        <f>VLOOKUP(A401,'JUNE (물량흐름)'!$A$13:$C$502,2,0)</f>
        <v>ANN TAYLOR</v>
      </c>
      <c r="C401" s="502">
        <f>VLOOKUP(A401,'JUNE (물량흐름)'!$A$13:$C$502,3,0)</f>
        <v>474753</v>
      </c>
      <c r="D401" s="29">
        <f>VLOOKUP(C401,'WIP(재공품)'!$B$12:$E$493,4,0)</f>
        <v>43762.75</v>
      </c>
      <c r="E401" s="29">
        <f>IFERROR(VLOOKUP(C401,O.B.JUNE!$AA$7:$AG$448,2,0),0)</f>
        <v>4</v>
      </c>
      <c r="F401" s="29">
        <f>IFERROR(VLOOKUP(C401,O.B.JUNE!$AA$7:$AG$448,3,0),0)</f>
        <v>68</v>
      </c>
      <c r="G401" s="29">
        <f>IFERROR(VLOOKUP(C401,O.B.JUNE!$AA$7:$AD$448,4,0),0)</f>
        <v>222</v>
      </c>
      <c r="H401" s="29">
        <f t="shared" si="76"/>
        <v>294</v>
      </c>
      <c r="I401" s="29">
        <f>IFERROR(VLOOKUP(C401,O.B.JUNE!$AA$7:$AF$448,6,0),0)</f>
        <v>212</v>
      </c>
      <c r="J401" s="6"/>
      <c r="K401" s="29">
        <f>IFERROR(VLOOKUP(C401,O.B.JUNE!$AA$7:$AG$448,7,0),0)</f>
        <v>3937056</v>
      </c>
      <c r="L401" s="29">
        <f>SUMIF('JUNE (물량흐름)'!$C$13:$C$502,'Direct labour(직접노무비)'!C401,'JUNE (물량흐름)'!$H$13:$H$502)+SUMIF('JUNE (물량흐름)'!$C$13:$C$502,'Direct labour(직접노무비)'!C401,'JUNE (물량흐름)'!$I$13:$I$502)</f>
        <v>0</v>
      </c>
      <c r="M401" s="29">
        <f t="shared" si="77"/>
        <v>0</v>
      </c>
      <c r="N401" s="29">
        <f t="shared" si="78"/>
        <v>0</v>
      </c>
      <c r="O401" s="29">
        <f t="shared" si="84"/>
        <v>0</v>
      </c>
      <c r="P401" s="6">
        <f>SUMIF('JUNE (물량흐름)'!$C$13:$C$502,C401,'JUNE (물량흐름)'!$T$13:$T$502)+SUMIF('JUNE (물량흐름)'!$C$13:$C$502,C401,'JUNE (물량흐름)'!$V$13:$V$502)+SUMIF('JUNE (물량흐름)'!$C$13:$C$502,C401,'JUNE (물량흐름)'!$U$13:$U$502)-SUMIF('JUNE (물량흐름)'!$C$13:$C$502,C401,'JUNE (물량흐름)'!$Y$13:$Y$502)</f>
        <v>0</v>
      </c>
      <c r="Q401" s="6">
        <f t="shared" si="85"/>
        <v>0</v>
      </c>
      <c r="R401" s="6">
        <f>ROUND(IF(ISERROR(VLOOKUP(#REF!,'WIP(재공품)'!$B$12:$AB$38,13,0)),0,VLOOKUP(#REF!,'WIP(재공품)'!$B$12:$AB$38,13,0)),0)</f>
        <v>0</v>
      </c>
      <c r="S401" s="6">
        <f>IF(ISERROR(VLOOKUP(#REF!,'WIP(재공품)'!$B$12:$AB$38,10,0)),0,VLOOKUP(#REF!,'WIP(재공품)'!$B$12:$AB$38,10,0))</f>
        <v>0</v>
      </c>
      <c r="T401" s="29">
        <f>SUMIF('JUNE (물량흐름)'!$C$13:$C$502,'Direct labour(직접노무비)'!C401,'JUNE (물량흐름)'!$Y$13:$Y$502)</f>
        <v>0</v>
      </c>
      <c r="U401" s="29">
        <f t="shared" si="79"/>
        <v>0</v>
      </c>
      <c r="V401" s="29">
        <f>ROUND(SUMIF('JUNE (물량흐름)'!$C$13:$C$502,'Direct labour(직접노무비)'!C401,'JUNE (물량흐름)'!$N$13:$N$502),0)</f>
        <v>4</v>
      </c>
      <c r="W401" s="29">
        <f>ROUND(SUMIF('JUNE (물량흐름)'!$C$13:$C$502,'Direct labour(직접노무비)'!C401,'JUNE (물량흐름)'!$O$13:$O$502),0)</f>
        <v>68</v>
      </c>
      <c r="X401" s="29">
        <f>ROUND(SUMIF('JUNE (물량흐름)'!$C$13:$C$502,'Direct labour(직접노무비)'!C401,'JUNE (물량흐름)'!$P$13:$P$502),0)</f>
        <v>222</v>
      </c>
      <c r="Y401" s="29">
        <f t="shared" si="80"/>
        <v>294</v>
      </c>
      <c r="Z401" s="29">
        <f t="shared" si="81"/>
        <v>212</v>
      </c>
      <c r="AA401" s="6">
        <f t="shared" si="86"/>
        <v>3937056</v>
      </c>
      <c r="AB401" s="503">
        <f t="shared" si="82"/>
        <v>0</v>
      </c>
      <c r="AC401" s="503">
        <f t="shared" si="75"/>
        <v>0</v>
      </c>
      <c r="AD401" s="503">
        <f t="shared" si="83"/>
        <v>0</v>
      </c>
    </row>
    <row r="402" spans="1:30" s="390" customFormat="1">
      <c r="A402" s="167">
        <v>411</v>
      </c>
      <c r="B402" s="267" t="str">
        <f>VLOOKUP(A402,'JUNE (물량흐름)'!$A$13:$C$502,2,0)</f>
        <v>ANN TAYLOR</v>
      </c>
      <c r="C402" s="240">
        <f>VLOOKUP(A402,'JUNE (물량흐름)'!$A$13:$C$502,3,0)</f>
        <v>474874</v>
      </c>
      <c r="D402" s="6">
        <f>VLOOKUP(C402,'WIP(재공품)'!$B$12:$E$493,4,0)</f>
        <v>58501.5</v>
      </c>
      <c r="E402" s="6">
        <f>IFERROR(VLOOKUP(C402,O.B.JUNE!$AA$7:$AG$448,2,0),0)</f>
        <v>0</v>
      </c>
      <c r="F402" s="6">
        <f>IFERROR(VLOOKUP(C402,O.B.JUNE!$AA$7:$AG$448,3,0),0)</f>
        <v>267</v>
      </c>
      <c r="G402" s="6">
        <f>IFERROR(VLOOKUP(C402,O.B.JUNE!$AA$7:$AD$448,4,0),0)</f>
        <v>306</v>
      </c>
      <c r="H402" s="6">
        <f t="shared" si="76"/>
        <v>573</v>
      </c>
      <c r="I402" s="6">
        <f>IFERROR(VLOOKUP(C402,O.B.JUNE!$AA$7:$AF$448,6,0),0)</f>
        <v>378</v>
      </c>
      <c r="J402" s="6"/>
      <c r="K402" s="6">
        <f>IFERROR(VLOOKUP(C402,O.B.JUNE!$AA$7:$AG$448,7,0),0)</f>
        <v>7596167</v>
      </c>
      <c r="L402" s="6">
        <f>SUMIF('JUNE (물량흐름)'!$C$13:$C$502,'Direct labour(직접노무비)'!C402,'JUNE (물량흐름)'!$H$13:$H$502)+SUMIF('JUNE (물량흐름)'!$C$13:$C$502,'Direct labour(직접노무비)'!C402,'JUNE (물량흐름)'!$I$13:$I$502)</f>
        <v>0</v>
      </c>
      <c r="M402" s="6">
        <f t="shared" si="77"/>
        <v>0</v>
      </c>
      <c r="N402" s="6">
        <f t="shared" si="78"/>
        <v>0</v>
      </c>
      <c r="O402" s="6">
        <f t="shared" si="84"/>
        <v>0</v>
      </c>
      <c r="P402" s="6">
        <f>SUMIF('JUNE (물량흐름)'!$C$13:$C$502,C402,'JUNE (물량흐름)'!$T$13:$T$502)+SUMIF('JUNE (물량흐름)'!$C$13:$C$502,C402,'JUNE (물량흐름)'!$V$13:$V$502)+SUMIF('JUNE (물량흐름)'!$C$13:$C$502,C402,'JUNE (물량흐름)'!$U$13:$U$502)-SUMIF('JUNE (물량흐름)'!$C$13:$C$502,C402,'JUNE (물량흐름)'!$Y$13:$Y$502)</f>
        <v>0</v>
      </c>
      <c r="Q402" s="6">
        <f t="shared" si="85"/>
        <v>0</v>
      </c>
      <c r="R402" s="6">
        <f>ROUND(IF(ISERROR(VLOOKUP(#REF!,'WIP(재공품)'!$B$12:$AB$38,13,0)),0,VLOOKUP(#REF!,'WIP(재공품)'!$B$12:$AB$38,13,0)),0)</f>
        <v>0</v>
      </c>
      <c r="S402" s="6">
        <f>IF(ISERROR(VLOOKUP(#REF!,'WIP(재공품)'!$B$12:$AB$38,10,0)),0,VLOOKUP(#REF!,'WIP(재공품)'!$B$12:$AB$38,10,0))</f>
        <v>0</v>
      </c>
      <c r="T402" s="6">
        <f>SUMIF('JUNE (물량흐름)'!$C$13:$C$502,'Direct labour(직접노무비)'!C402,'JUNE (물량흐름)'!$Y$13:$Y$502)</f>
        <v>6</v>
      </c>
      <c r="U402" s="6">
        <f t="shared" si="79"/>
        <v>79541</v>
      </c>
      <c r="V402" s="6">
        <f>ROUND(SUMIF('JUNE (물량흐름)'!$C$13:$C$502,'Direct labour(직접노무비)'!C402,'JUNE (물량흐름)'!$N$13:$N$502),0)</f>
        <v>0</v>
      </c>
      <c r="W402" s="6">
        <f>ROUND(SUMIF('JUNE (물량흐름)'!$C$13:$C$502,'Direct labour(직접노무비)'!C402,'JUNE (물량흐름)'!$O$13:$O$502),0)</f>
        <v>267</v>
      </c>
      <c r="X402" s="6">
        <f>ROUND(SUMIF('JUNE (물량흐름)'!$C$13:$C$502,'Direct labour(직접노무비)'!C402,'JUNE (물량흐름)'!$P$13:$P$502),0)</f>
        <v>300</v>
      </c>
      <c r="Y402" s="6">
        <f t="shared" si="80"/>
        <v>567</v>
      </c>
      <c r="Z402" s="6">
        <f t="shared" si="81"/>
        <v>374</v>
      </c>
      <c r="AA402" s="6">
        <f t="shared" si="86"/>
        <v>7516626</v>
      </c>
      <c r="AB402" s="389">
        <f t="shared" si="82"/>
        <v>0</v>
      </c>
      <c r="AC402" s="503">
        <f t="shared" si="75"/>
        <v>0</v>
      </c>
      <c r="AD402" s="389">
        <f t="shared" si="83"/>
        <v>0</v>
      </c>
    </row>
    <row r="403" spans="1:30" s="390" customFormat="1">
      <c r="A403" s="167">
        <v>412</v>
      </c>
      <c r="B403" s="267" t="str">
        <f>VLOOKUP(A403,'JUNE (물량흐름)'!$A$13:$C$502,2,0)</f>
        <v>ANN TAYLOR</v>
      </c>
      <c r="C403" s="240">
        <f>VLOOKUP(A403,'JUNE (물량흐름)'!$A$13:$C$502,3,0)</f>
        <v>475746</v>
      </c>
      <c r="D403" s="6">
        <f>VLOOKUP(C403,'WIP(재공품)'!$B$12:$E$493,4,0)</f>
        <v>7936.2499999999991</v>
      </c>
      <c r="E403" s="6">
        <f>IFERROR(VLOOKUP(C403,O.B.JUNE!$AA$7:$AG$448,2,0),0)</f>
        <v>0</v>
      </c>
      <c r="F403" s="6">
        <f>IFERROR(VLOOKUP(C403,O.B.JUNE!$AA$7:$AG$448,3,0),0)</f>
        <v>281</v>
      </c>
      <c r="G403" s="6">
        <f>IFERROR(VLOOKUP(C403,O.B.JUNE!$AA$7:$AD$448,4,0),0)</f>
        <v>118</v>
      </c>
      <c r="H403" s="6">
        <f t="shared" si="76"/>
        <v>399</v>
      </c>
      <c r="I403" s="6">
        <f>IFERROR(VLOOKUP(C403,O.B.JUNE!$AA$7:$AF$448,6,0),0)</f>
        <v>235</v>
      </c>
      <c r="J403" s="6"/>
      <c r="K403" s="6">
        <f>IFERROR(VLOOKUP(C403,O.B.JUNE!$AA$7:$AG$448,7,0),0)</f>
        <v>6013132</v>
      </c>
      <c r="L403" s="6">
        <f>SUMIF('JUNE (물량흐름)'!$C$13:$C$502,'Direct labour(직접노무비)'!C403,'JUNE (물량흐름)'!$H$13:$H$502)+SUMIF('JUNE (물량흐름)'!$C$13:$C$502,'Direct labour(직접노무비)'!C403,'JUNE (물량흐름)'!$I$13:$I$502)</f>
        <v>0</v>
      </c>
      <c r="M403" s="6">
        <f t="shared" si="77"/>
        <v>0</v>
      </c>
      <c r="N403" s="6">
        <f t="shared" si="78"/>
        <v>0</v>
      </c>
      <c r="O403" s="6">
        <f t="shared" si="84"/>
        <v>0</v>
      </c>
      <c r="P403" s="6">
        <f>SUMIF('JUNE (물량흐름)'!$C$13:$C$502,C403,'JUNE (물량흐름)'!$T$13:$T$502)+SUMIF('JUNE (물량흐름)'!$C$13:$C$502,C403,'JUNE (물량흐름)'!$V$13:$V$502)+SUMIF('JUNE (물량흐름)'!$C$13:$C$502,C403,'JUNE (물량흐름)'!$U$13:$U$502)-SUMIF('JUNE (물량흐름)'!$C$13:$C$502,C403,'JUNE (물량흐름)'!$Y$13:$Y$502)</f>
        <v>0</v>
      </c>
      <c r="Q403" s="6">
        <f t="shared" si="85"/>
        <v>0</v>
      </c>
      <c r="R403" s="6">
        <f>ROUND(IF(ISERROR(VLOOKUP(#REF!,'WIP(재공품)'!$B$12:$AB$38,13,0)),0,VLOOKUP(#REF!,'WIP(재공품)'!$B$12:$AB$38,13,0)),0)</f>
        <v>0</v>
      </c>
      <c r="S403" s="6">
        <f>IF(ISERROR(VLOOKUP(#REF!,'WIP(재공품)'!$B$12:$AB$38,10,0)),0,VLOOKUP(#REF!,'WIP(재공품)'!$B$12:$AB$38,10,0))</f>
        <v>0</v>
      </c>
      <c r="T403" s="6">
        <f>SUMIF('JUNE (물량흐름)'!$C$13:$C$502,'Direct labour(직접노무비)'!C403,'JUNE (물량흐름)'!$Y$13:$Y$502)</f>
        <v>9</v>
      </c>
      <c r="U403" s="6">
        <f t="shared" si="79"/>
        <v>135635</v>
      </c>
      <c r="V403" s="6">
        <f>ROUND(SUMIF('JUNE (물량흐름)'!$C$13:$C$502,'Direct labour(직접노무비)'!C403,'JUNE (물량흐름)'!$N$13:$N$502),0)</f>
        <v>0</v>
      </c>
      <c r="W403" s="6">
        <f>ROUND(SUMIF('JUNE (물량흐름)'!$C$13:$C$502,'Direct labour(직접노무비)'!C403,'JUNE (물량흐름)'!$O$13:$O$502),0)</f>
        <v>281</v>
      </c>
      <c r="X403" s="6">
        <f>ROUND(SUMIF('JUNE (물량흐름)'!$C$13:$C$502,'Direct labour(직접노무비)'!C403,'JUNE (물량흐름)'!$P$13:$P$502),0)</f>
        <v>109</v>
      </c>
      <c r="Y403" s="6">
        <f t="shared" si="80"/>
        <v>390</v>
      </c>
      <c r="Z403" s="6">
        <f t="shared" si="81"/>
        <v>228</v>
      </c>
      <c r="AA403" s="6">
        <f t="shared" si="86"/>
        <v>5877497</v>
      </c>
      <c r="AB403" s="389">
        <f t="shared" si="82"/>
        <v>0</v>
      </c>
      <c r="AC403" s="503">
        <f t="shared" si="75"/>
        <v>0</v>
      </c>
      <c r="AD403" s="389">
        <f t="shared" si="83"/>
        <v>0</v>
      </c>
    </row>
    <row r="404" spans="1:30" s="390" customFormat="1">
      <c r="A404" s="167">
        <v>414</v>
      </c>
      <c r="B404" s="267" t="str">
        <f>VLOOKUP(A404,'JUNE (물량흐름)'!$A$13:$C$502,2,0)</f>
        <v>ANN TAYLOR</v>
      </c>
      <c r="C404" s="240">
        <f>VLOOKUP(A404,'JUNE (물량흐름)'!$A$13:$C$502,3,0)</f>
        <v>472085</v>
      </c>
      <c r="D404" s="6">
        <f>VLOOKUP(C404,'WIP(재공품)'!$B$12:$E$493,4,0)</f>
        <v>7936.2499999999991</v>
      </c>
      <c r="E404" s="6">
        <f>IFERROR(VLOOKUP(C404,O.B.JUNE!$AA$7:$AG$448,2,0),0)</f>
        <v>1297</v>
      </c>
      <c r="F404" s="6">
        <f>IFERROR(VLOOKUP(C404,O.B.JUNE!$AA$7:$AG$448,3,0),0)</f>
        <v>1357</v>
      </c>
      <c r="G404" s="6">
        <f>IFERROR(VLOOKUP(C404,O.B.JUNE!$AA$7:$AD$448,4,0),0)</f>
        <v>1205</v>
      </c>
      <c r="H404" s="6">
        <f t="shared" si="76"/>
        <v>3859</v>
      </c>
      <c r="I404" s="6">
        <f>IFERROR(VLOOKUP(C404,O.B.JUNE!$AA$7:$AF$448,6,0),0)</f>
        <v>1902</v>
      </c>
      <c r="J404" s="6"/>
      <c r="K404" s="6">
        <f>IFERROR(VLOOKUP(C404,O.B.JUNE!$AA$7:$AG$448,7,0),0)</f>
        <v>54634791</v>
      </c>
      <c r="L404" s="6">
        <f>SUMIF('JUNE (물량흐름)'!$C$13:$C$502,'Direct labour(직접노무비)'!C404,'JUNE (물량흐름)'!$H$13:$H$502)+SUMIF('JUNE (물량흐름)'!$C$13:$C$502,'Direct labour(직접노무비)'!C404,'JUNE (물량흐름)'!$I$13:$I$502)</f>
        <v>5215</v>
      </c>
      <c r="M404" s="6">
        <f t="shared" si="77"/>
        <v>6759</v>
      </c>
      <c r="N404" s="6">
        <f t="shared" si="78"/>
        <v>53641114</v>
      </c>
      <c r="O404" s="6">
        <f t="shared" si="84"/>
        <v>16589786</v>
      </c>
      <c r="P404" s="6">
        <f>SUMIF('JUNE (물량흐름)'!$C$13:$C$502,C404,'JUNE (물량흐름)'!$T$13:$T$502)+SUMIF('JUNE (물량흐름)'!$C$13:$C$502,C404,'JUNE (물량흐름)'!$V$13:$V$502)+SUMIF('JUNE (물량흐름)'!$C$13:$C$502,C404,'JUNE (물량흐름)'!$U$13:$U$502)-SUMIF('JUNE (물량흐름)'!$C$13:$C$502,C404,'JUNE (물량흐름)'!$Y$13:$Y$502)</f>
        <v>8044</v>
      </c>
      <c r="Q404" s="6">
        <f t="shared" si="85"/>
        <v>63139795</v>
      </c>
      <c r="R404" s="6">
        <f>ROUND(IF(ISERROR(VLOOKUP(#REF!,'WIP(재공품)'!$B$12:$AB$38,13,0)),0,VLOOKUP(#REF!,'WIP(재공품)'!$B$12:$AB$38,13,0)),0)</f>
        <v>0</v>
      </c>
      <c r="S404" s="6">
        <f>IF(ISERROR(VLOOKUP(#REF!,'WIP(재공품)'!$B$12:$AB$38,10,0)),0,VLOOKUP(#REF!,'WIP(재공품)'!$B$12:$AB$38,10,0))</f>
        <v>0</v>
      </c>
      <c r="T404" s="6">
        <f>SUMIF('JUNE (물량흐름)'!$C$13:$C$502,'Direct labour(직접노무비)'!C404,'JUNE (물량흐름)'!$Y$13:$Y$502)</f>
        <v>0</v>
      </c>
      <c r="U404" s="6">
        <f t="shared" si="79"/>
        <v>0</v>
      </c>
      <c r="V404" s="6">
        <f>ROUND(SUMIF('JUNE (물량흐름)'!$C$13:$C$502,'Direct labour(직접노무비)'!C404,'JUNE (물량흐름)'!$N$13:$N$502),0)</f>
        <v>0</v>
      </c>
      <c r="W404" s="6">
        <f>ROUND(SUMIF('JUNE (물량흐름)'!$C$13:$C$502,'Direct labour(직접노무비)'!C404,'JUNE (물량흐름)'!$O$13:$O$502),0)</f>
        <v>690</v>
      </c>
      <c r="X404" s="6">
        <f>ROUND(SUMIF('JUNE (물량흐름)'!$C$13:$C$502,'Direct labour(직접노무비)'!C404,'JUNE (물량흐름)'!$P$13:$P$502),0)</f>
        <v>340</v>
      </c>
      <c r="Y404" s="6">
        <f t="shared" si="80"/>
        <v>1030</v>
      </c>
      <c r="Z404" s="6">
        <f t="shared" si="81"/>
        <v>617</v>
      </c>
      <c r="AA404" s="6">
        <f t="shared" si="86"/>
        <v>8084782</v>
      </c>
      <c r="AB404" s="389">
        <f t="shared" si="82"/>
        <v>0</v>
      </c>
      <c r="AC404" s="503">
        <f t="shared" si="75"/>
        <v>0</v>
      </c>
      <c r="AD404" s="389">
        <f t="shared" si="83"/>
        <v>0</v>
      </c>
    </row>
    <row r="405" spans="1:30" s="390" customFormat="1">
      <c r="A405" s="167">
        <v>415</v>
      </c>
      <c r="B405" s="267" t="str">
        <f>VLOOKUP(A405,'JUNE (물량흐름)'!$A$13:$C$502,2,0)</f>
        <v>ANN TAYLOR</v>
      </c>
      <c r="C405" s="240">
        <f>VLOOKUP(A405,'JUNE (물량흐름)'!$A$13:$C$502,3,0)</f>
        <v>472371</v>
      </c>
      <c r="D405" s="6">
        <f>VLOOKUP(C405,'WIP(재공품)'!$B$12:$E$493,4,0)</f>
        <v>82763.75</v>
      </c>
      <c r="E405" s="6">
        <f>IFERROR(VLOOKUP(C405,O.B.JUNE!$AA$7:$AG$448,2,0),0)</f>
        <v>390</v>
      </c>
      <c r="F405" s="6">
        <f>IFERROR(VLOOKUP(C405,O.B.JUNE!$AA$7:$AG$448,3,0),0)</f>
        <v>910</v>
      </c>
      <c r="G405" s="6">
        <f>IFERROR(VLOOKUP(C405,O.B.JUNE!$AA$7:$AD$448,4,0),0)</f>
        <v>208</v>
      </c>
      <c r="H405" s="6">
        <f t="shared" si="76"/>
        <v>1508</v>
      </c>
      <c r="I405" s="6">
        <f>IFERROR(VLOOKUP(C405,O.B.JUNE!$AA$7:$AF$448,6,0),0)</f>
        <v>699</v>
      </c>
      <c r="J405" s="6"/>
      <c r="K405" s="6">
        <f>IFERROR(VLOOKUP(C405,O.B.JUNE!$AA$7:$AG$448,7,0),0)</f>
        <v>16650643</v>
      </c>
      <c r="L405" s="6">
        <f>SUMIF('JUNE (물량흐름)'!$C$13:$C$502,'Direct labour(직접노무비)'!C405,'JUNE (물량흐름)'!$H$13:$H$502)+SUMIF('JUNE (물량흐름)'!$C$13:$C$502,'Direct labour(직접노무비)'!C405,'JUNE (물량흐름)'!$I$13:$I$502)</f>
        <v>5390</v>
      </c>
      <c r="M405" s="6">
        <f t="shared" si="77"/>
        <v>5982</v>
      </c>
      <c r="N405" s="6">
        <f t="shared" si="78"/>
        <v>495092753</v>
      </c>
      <c r="O405" s="6">
        <f t="shared" si="84"/>
        <v>153119170</v>
      </c>
      <c r="P405" s="6">
        <f>SUMIF('JUNE (물량흐름)'!$C$13:$C$502,C405,'JUNE (물량흐름)'!$T$13:$T$502)+SUMIF('JUNE (물량흐름)'!$C$13:$C$502,C405,'JUNE (물량흐름)'!$V$13:$V$502)+SUMIF('JUNE (물량흐름)'!$C$13:$C$502,C405,'JUNE (물량흐름)'!$U$13:$U$502)-SUMIF('JUNE (물량흐름)'!$C$13:$C$502,C405,'JUNE (물량흐름)'!$Y$13:$Y$502)</f>
        <v>6262</v>
      </c>
      <c r="Q405" s="6">
        <f t="shared" si="85"/>
        <v>154116928</v>
      </c>
      <c r="R405" s="6">
        <f>ROUND(IF(ISERROR(VLOOKUP(#REF!,'WIP(재공품)'!$B$12:$AB$38,13,0)),0,VLOOKUP(#REF!,'WIP(재공품)'!$B$12:$AB$38,13,0)),0)</f>
        <v>0</v>
      </c>
      <c r="S405" s="6">
        <f>IF(ISERROR(VLOOKUP(#REF!,'WIP(재공품)'!$B$12:$AB$38,10,0)),0,VLOOKUP(#REF!,'WIP(재공품)'!$B$12:$AB$38,10,0))</f>
        <v>0</v>
      </c>
      <c r="T405" s="6">
        <f>SUMIF('JUNE (물량흐름)'!$C$13:$C$502,'Direct labour(직접노무비)'!C405,'JUNE (물량흐름)'!$Y$13:$Y$502)</f>
        <v>23</v>
      </c>
      <c r="U405" s="6">
        <f t="shared" si="79"/>
        <v>566063</v>
      </c>
      <c r="V405" s="6">
        <f>ROUND(SUMIF('JUNE (물량흐름)'!$C$13:$C$502,'Direct labour(직접노무비)'!C405,'JUNE (물량흐름)'!$N$13:$N$502),0)</f>
        <v>0</v>
      </c>
      <c r="W405" s="6">
        <f>ROUND(SUMIF('JUNE (물량흐름)'!$C$13:$C$502,'Direct labour(직접노무비)'!C405,'JUNE (물량흐름)'!$O$13:$O$502),0)</f>
        <v>316</v>
      </c>
      <c r="X405" s="6">
        <f>ROUND(SUMIF('JUNE (물량흐름)'!$C$13:$C$502,'Direct labour(직접노무비)'!C405,'JUNE (물량흐름)'!$P$13:$P$502),0)</f>
        <v>297</v>
      </c>
      <c r="Y405" s="6">
        <f t="shared" si="80"/>
        <v>613</v>
      </c>
      <c r="Z405" s="6">
        <f t="shared" si="81"/>
        <v>396</v>
      </c>
      <c r="AA405" s="6">
        <f t="shared" si="86"/>
        <v>15086822</v>
      </c>
      <c r="AB405" s="389">
        <f t="shared" si="82"/>
        <v>0</v>
      </c>
      <c r="AC405" s="503">
        <f t="shared" si="75"/>
        <v>0</v>
      </c>
      <c r="AD405" s="389">
        <f t="shared" si="83"/>
        <v>0</v>
      </c>
    </row>
    <row r="406" spans="1:30" s="390" customFormat="1">
      <c r="A406" s="167">
        <v>416</v>
      </c>
      <c r="B406" s="267" t="str">
        <f>VLOOKUP(A406,'JUNE (물량흐름)'!$A$13:$C$502,2,0)</f>
        <v>ANN TAYLOR</v>
      </c>
      <c r="C406" s="240">
        <f>VLOOKUP(A406,'JUNE (물량흐름)'!$A$13:$C$502,3,0)</f>
        <v>474932</v>
      </c>
      <c r="D406" s="6">
        <f>VLOOKUP(C406,'WIP(재공품)'!$B$12:$E$493,4,0)</f>
        <v>38774.25</v>
      </c>
      <c r="E406" s="6">
        <f>IFERROR(VLOOKUP(C406,O.B.JUNE!$AA$7:$AG$448,2,0),0)</f>
        <v>1278</v>
      </c>
      <c r="F406" s="6">
        <f>IFERROR(VLOOKUP(C406,O.B.JUNE!$AA$7:$AG$448,3,0),0)</f>
        <v>5596</v>
      </c>
      <c r="G406" s="6">
        <f>IFERROR(VLOOKUP(C406,O.B.JUNE!$AA$7:$AD$448,4,0),0)</f>
        <v>2780</v>
      </c>
      <c r="H406" s="6">
        <f t="shared" si="76"/>
        <v>9654</v>
      </c>
      <c r="I406" s="6">
        <f>IFERROR(VLOOKUP(C406,O.B.JUNE!$AA$7:$AF$448,6,0),0)</f>
        <v>5278</v>
      </c>
      <c r="J406" s="6"/>
      <c r="K406" s="6">
        <f>IFERROR(VLOOKUP(C406,O.B.JUNE!$AA$7:$AG$448,7,0),0)</f>
        <v>61013824</v>
      </c>
      <c r="L406" s="6">
        <f>SUMIF('JUNE (물량흐름)'!$C$13:$C$502,'Direct labour(직접노무비)'!C406,'JUNE (물량흐름)'!$H$13:$H$502)+SUMIF('JUNE (물량흐름)'!$C$13:$C$502,'Direct labour(직접노무비)'!C406,'JUNE (물량흐름)'!$I$13:$I$502)</f>
        <v>17820</v>
      </c>
      <c r="M406" s="6">
        <f t="shared" si="77"/>
        <v>21349</v>
      </c>
      <c r="N406" s="6">
        <f t="shared" si="78"/>
        <v>827791463</v>
      </c>
      <c r="O406" s="6">
        <f t="shared" si="84"/>
        <v>256014132</v>
      </c>
      <c r="P406" s="6">
        <f>SUMIF('JUNE (물량흐름)'!$C$13:$C$502,C406,'JUNE (물량흐름)'!$T$13:$T$502)+SUMIF('JUNE (물량흐름)'!$C$13:$C$502,C406,'JUNE (물량흐름)'!$V$13:$V$502)+SUMIF('JUNE (물량흐름)'!$C$13:$C$502,C406,'JUNE (물량흐름)'!$U$13:$U$502)-SUMIF('JUNE (물량흐름)'!$C$13:$C$502,C406,'JUNE (물량흐름)'!$Y$13:$Y$502)</f>
        <v>25256</v>
      </c>
      <c r="Q406" s="6">
        <f t="shared" si="85"/>
        <v>291434012</v>
      </c>
      <c r="R406" s="6">
        <f>ROUND(IF(ISERROR(VLOOKUP(#REF!,'WIP(재공품)'!$B$12:$AB$38,13,0)),0,VLOOKUP(#REF!,'WIP(재공품)'!$B$12:$AB$38,13,0)),0)</f>
        <v>0</v>
      </c>
      <c r="S406" s="6">
        <f>IF(ISERROR(VLOOKUP(#REF!,'WIP(재공품)'!$B$12:$AB$38,10,0)),0,VLOOKUP(#REF!,'WIP(재공품)'!$B$12:$AB$38,10,0))</f>
        <v>0</v>
      </c>
      <c r="T406" s="6">
        <f>SUMIF('JUNE (물량흐름)'!$C$13:$C$502,'Direct labour(직접노무비)'!C406,'JUNE (물량흐름)'!$Y$13:$Y$502)</f>
        <v>7</v>
      </c>
      <c r="U406" s="6">
        <f t="shared" si="79"/>
        <v>80774</v>
      </c>
      <c r="V406" s="6">
        <f>ROUND(SUMIF('JUNE (물량흐름)'!$C$13:$C$502,'Direct labour(직접노무비)'!C406,'JUNE (물량흐름)'!$N$13:$N$502),0)</f>
        <v>185</v>
      </c>
      <c r="W406" s="6">
        <f>ROUND(SUMIF('JUNE (물량흐름)'!$C$13:$C$502,'Direct labour(직접노무비)'!C406,'JUNE (물량흐름)'!$O$13:$O$502),0)</f>
        <v>978</v>
      </c>
      <c r="X406" s="6">
        <f>ROUND(SUMIF('JUNE (물량흐름)'!$C$13:$C$502,'Direct labour(직접노무비)'!C406,'JUNE (물량흐름)'!$P$13:$P$502),0)</f>
        <v>1048</v>
      </c>
      <c r="Y406" s="6">
        <f t="shared" si="80"/>
        <v>2211</v>
      </c>
      <c r="Z406" s="6">
        <f t="shared" si="81"/>
        <v>1364</v>
      </c>
      <c r="AA406" s="6">
        <f t="shared" si="86"/>
        <v>25513169</v>
      </c>
      <c r="AB406" s="389">
        <f t="shared" si="82"/>
        <v>1</v>
      </c>
      <c r="AC406" s="503">
        <f t="shared" si="75"/>
        <v>0</v>
      </c>
      <c r="AD406" s="389">
        <f t="shared" si="83"/>
        <v>0</v>
      </c>
    </row>
    <row r="407" spans="1:30" s="390" customFormat="1">
      <c r="A407" s="167">
        <v>417</v>
      </c>
      <c r="B407" s="267" t="str">
        <f>VLOOKUP(A407,'JUNE (물량흐름)'!$A$13:$C$502,2,0)</f>
        <v>ANN TAYLOR</v>
      </c>
      <c r="C407" s="240">
        <f>VLOOKUP(A407,'JUNE (물량흐름)'!$A$13:$C$502,3,0)</f>
        <v>476091</v>
      </c>
      <c r="D407" s="6">
        <f>VLOOKUP(C407,'WIP(재공품)'!$B$12:$E$493,4,0)</f>
        <v>43762.75</v>
      </c>
      <c r="E407" s="6">
        <f>IFERROR(VLOOKUP(C407,O.B.JUNE!$AA$7:$AG$448,2,0),0)</f>
        <v>0</v>
      </c>
      <c r="F407" s="6">
        <f>IFERROR(VLOOKUP(C407,O.B.JUNE!$AA$7:$AG$448,3,0),0)</f>
        <v>594</v>
      </c>
      <c r="G407" s="6">
        <f>IFERROR(VLOOKUP(C407,O.B.JUNE!$AA$7:$AD$448,4,0),0)</f>
        <v>0</v>
      </c>
      <c r="H407" s="6">
        <f t="shared" si="76"/>
        <v>594</v>
      </c>
      <c r="I407" s="6">
        <f>IFERROR(VLOOKUP(C407,O.B.JUNE!$AA$7:$AF$448,6,0),0)</f>
        <v>297</v>
      </c>
      <c r="J407" s="6"/>
      <c r="K407" s="6">
        <f>IFERROR(VLOOKUP(C407,O.B.JUNE!$AA$7:$AG$448,7,0),0)</f>
        <v>3537368</v>
      </c>
      <c r="L407" s="6">
        <f>SUMIF('JUNE (물량흐름)'!$C$13:$C$502,'Direct labour(직접노무비)'!C407,'JUNE (물량흐름)'!$H$13:$H$502)+SUMIF('JUNE (물량흐름)'!$C$13:$C$502,'Direct labour(직접노무비)'!C407,'JUNE (물량흐름)'!$I$13:$I$502)</f>
        <v>8141</v>
      </c>
      <c r="M407" s="6">
        <f t="shared" si="77"/>
        <v>8236</v>
      </c>
      <c r="N407" s="6">
        <f t="shared" si="78"/>
        <v>360430009</v>
      </c>
      <c r="O407" s="6">
        <f t="shared" si="84"/>
        <v>111471524</v>
      </c>
      <c r="P407" s="6">
        <f>SUMIF('JUNE (물량흐름)'!$C$13:$C$502,C407,'JUNE (물량흐름)'!$T$13:$T$502)+SUMIF('JUNE (물량흐름)'!$C$13:$C$502,C407,'JUNE (물량흐름)'!$V$13:$V$502)+SUMIF('JUNE (물량흐름)'!$C$13:$C$502,C407,'JUNE (물량흐름)'!$U$13:$U$502)-SUMIF('JUNE (물량흐름)'!$C$13:$C$502,C407,'JUNE (물량흐름)'!$Y$13:$Y$502)</f>
        <v>7953</v>
      </c>
      <c r="Q407" s="6">
        <f t="shared" si="85"/>
        <v>104712732</v>
      </c>
      <c r="R407" s="6">
        <f>ROUND(IF(ISERROR(VLOOKUP(#REF!,'WIP(재공품)'!$B$12:$AB$38,13,0)),0,VLOOKUP(#REF!,'WIP(재공품)'!$B$12:$AB$38,13,0)),0)</f>
        <v>0</v>
      </c>
      <c r="S407" s="6">
        <f>IF(ISERROR(VLOOKUP(#REF!,'WIP(재공품)'!$B$12:$AB$38,10,0)),0,VLOOKUP(#REF!,'WIP(재공품)'!$B$12:$AB$38,10,0))</f>
        <v>0</v>
      </c>
      <c r="T407" s="6">
        <f>SUMIF('JUNE (물량흐름)'!$C$13:$C$502,'Direct labour(직접노무비)'!C407,'JUNE (물량흐름)'!$Y$13:$Y$502)</f>
        <v>29</v>
      </c>
      <c r="U407" s="6">
        <f t="shared" si="79"/>
        <v>381827</v>
      </c>
      <c r="V407" s="6">
        <f>ROUND(SUMIF('JUNE (물량흐름)'!$C$13:$C$502,'Direct labour(직접노무비)'!C407,'JUNE (물량흐름)'!$N$13:$N$502),0)</f>
        <v>0</v>
      </c>
      <c r="W407" s="6">
        <f>ROUND(SUMIF('JUNE (물량흐름)'!$C$13:$C$502,'Direct labour(직접노무비)'!C407,'JUNE (물량흐름)'!$O$13:$O$502),0)</f>
        <v>173</v>
      </c>
      <c r="X407" s="6">
        <f>ROUND(SUMIF('JUNE (물량흐름)'!$C$13:$C$502,'Direct labour(직접노무비)'!C407,'JUNE (물량흐름)'!$P$13:$P$502),0)</f>
        <v>580</v>
      </c>
      <c r="Y407" s="6">
        <f t="shared" si="80"/>
        <v>753</v>
      </c>
      <c r="Z407" s="6">
        <f t="shared" si="81"/>
        <v>551</v>
      </c>
      <c r="AA407" s="6">
        <f t="shared" si="86"/>
        <v>9914333</v>
      </c>
      <c r="AB407" s="389">
        <f t="shared" si="82"/>
        <v>0</v>
      </c>
      <c r="AC407" s="503">
        <f t="shared" si="75"/>
        <v>0</v>
      </c>
      <c r="AD407" s="389">
        <f t="shared" si="83"/>
        <v>0</v>
      </c>
    </row>
    <row r="408" spans="1:30" s="390" customFormat="1">
      <c r="A408" s="167">
        <v>418</v>
      </c>
      <c r="B408" s="267" t="str">
        <f>VLOOKUP(A408,'JUNE (물량흐름)'!$A$13:$C$502,2,0)</f>
        <v>ALFANI</v>
      </c>
      <c r="C408" s="240">
        <f>VLOOKUP(A408,'JUNE (물량흐름)'!$A$13:$C$502,3,0)</f>
        <v>100018130</v>
      </c>
      <c r="D408" s="6">
        <f>VLOOKUP(C408,'WIP(재공품)'!$B$12:$E$493,4,0)</f>
        <v>50565.25</v>
      </c>
      <c r="E408" s="6">
        <f>IFERROR(VLOOKUP(C408,O.B.JUNE!$AA$7:$AG$448,2,0),0)</f>
        <v>2937</v>
      </c>
      <c r="F408" s="6">
        <f>IFERROR(VLOOKUP(C408,O.B.JUNE!$AA$7:$AG$448,3,0),0)</f>
        <v>3180</v>
      </c>
      <c r="G408" s="6">
        <f>IFERROR(VLOOKUP(C408,O.B.JUNE!$AA$7:$AD$448,4,0),0)</f>
        <v>320</v>
      </c>
      <c r="H408" s="6">
        <f t="shared" si="76"/>
        <v>6437</v>
      </c>
      <c r="I408" s="6">
        <f>IFERROR(VLOOKUP(C408,O.B.JUNE!$AA$7:$AF$448,6,0),0)</f>
        <v>2433</v>
      </c>
      <c r="J408" s="6"/>
      <c r="K408" s="6">
        <f>IFERROR(VLOOKUP(C408,O.B.JUNE!$AA$7:$AG$448,7,0),0)</f>
        <v>34091572</v>
      </c>
      <c r="L408" s="6">
        <f>SUMIF('JUNE (물량흐름)'!$C$13:$C$502,'Direct labour(직접노무비)'!C408,'JUNE (물량흐름)'!$H$13:$H$502)+SUMIF('JUNE (물량흐름)'!$C$13:$C$502,'Direct labour(직접노무비)'!C408,'JUNE (물량흐름)'!$I$13:$I$502)</f>
        <v>1590</v>
      </c>
      <c r="M408" s="6">
        <f t="shared" si="77"/>
        <v>5578</v>
      </c>
      <c r="N408" s="6">
        <f t="shared" si="78"/>
        <v>282052965</v>
      </c>
      <c r="O408" s="6">
        <f t="shared" si="84"/>
        <v>87231565</v>
      </c>
      <c r="P408" s="6">
        <f>SUMIF('JUNE (물량흐름)'!$C$13:$C$502,C408,'JUNE (물량흐름)'!$T$13:$T$502)+SUMIF('JUNE (물량흐름)'!$C$13:$C$502,C408,'JUNE (물량흐름)'!$V$13:$V$502)+SUMIF('JUNE (물량흐름)'!$C$13:$C$502,C408,'JUNE (물량흐름)'!$U$13:$U$502)-SUMIF('JUNE (물량흐름)'!$C$13:$C$502,C408,'JUNE (물량흐름)'!$Y$13:$Y$502)</f>
        <v>7944</v>
      </c>
      <c r="Q408" s="6">
        <f t="shared" si="85"/>
        <v>120068643</v>
      </c>
      <c r="R408" s="6">
        <f>ROUND(IF(ISERROR(VLOOKUP(#REF!,'WIP(재공품)'!$B$12:$AB$38,13,0)),0,VLOOKUP(#REF!,'WIP(재공품)'!$B$12:$AB$38,13,0)),0)</f>
        <v>0</v>
      </c>
      <c r="S408" s="6">
        <f>IF(ISERROR(VLOOKUP(#REF!,'WIP(재공품)'!$B$12:$AB$38,10,0)),0,VLOOKUP(#REF!,'WIP(재공품)'!$B$12:$AB$38,10,0))</f>
        <v>0</v>
      </c>
      <c r="T408" s="6">
        <f>SUMIF('JUNE (물량흐름)'!$C$13:$C$502,'Direct labour(직접노무비)'!C408,'JUNE (물량흐름)'!$Y$13:$Y$502)</f>
        <v>2</v>
      </c>
      <c r="U408" s="6">
        <f t="shared" si="79"/>
        <v>30229</v>
      </c>
      <c r="V408" s="6">
        <f>ROUND(SUMIF('JUNE (물량흐름)'!$C$13:$C$502,'Direct labour(직접노무비)'!C408,'JUNE (물량흐름)'!$N$13:$N$502),0)</f>
        <v>0</v>
      </c>
      <c r="W408" s="6">
        <f>ROUND(SUMIF('JUNE (물량흐름)'!$C$13:$C$502,'Direct labour(직접노무비)'!C408,'JUNE (물량흐름)'!$O$13:$O$502),0)</f>
        <v>0</v>
      </c>
      <c r="X408" s="6">
        <f>ROUND(SUMIF('JUNE (물량흐름)'!$C$13:$C$502,'Direct labour(직접노무비)'!C408,'JUNE (물량흐름)'!$P$13:$P$502),0)</f>
        <v>81</v>
      </c>
      <c r="Y408" s="6">
        <f t="shared" si="80"/>
        <v>81</v>
      </c>
      <c r="Z408" s="6">
        <f t="shared" si="81"/>
        <v>65</v>
      </c>
      <c r="AA408" s="6">
        <f t="shared" si="86"/>
        <v>1224265</v>
      </c>
      <c r="AB408" s="389">
        <f t="shared" si="82"/>
        <v>0</v>
      </c>
      <c r="AC408" s="503">
        <f t="shared" si="75"/>
        <v>0</v>
      </c>
      <c r="AD408" s="389">
        <f t="shared" si="83"/>
        <v>0</v>
      </c>
    </row>
    <row r="409" spans="1:30" s="390" customFormat="1">
      <c r="A409" s="167">
        <v>419</v>
      </c>
      <c r="B409" s="267" t="str">
        <f>VLOOKUP(A409,'JUNE (물량흐름)'!$A$13:$C$502,2,0)</f>
        <v>ALFANI</v>
      </c>
      <c r="C409" s="240">
        <f>VLOOKUP(A409,'JUNE (물량흐름)'!$A$13:$C$502,3,0)</f>
        <v>100018197</v>
      </c>
      <c r="D409" s="6">
        <f>VLOOKUP(C409,'WIP(재공품)'!$B$12:$E$493,4,0)</f>
        <v>7936.2499999999991</v>
      </c>
      <c r="E409" s="6">
        <f>IFERROR(VLOOKUP(C409,O.B.JUNE!$AA$7:$AG$448,2,0),0)</f>
        <v>0</v>
      </c>
      <c r="F409" s="6">
        <f>IFERROR(VLOOKUP(C409,O.B.JUNE!$AA$7:$AG$448,3,0),0)</f>
        <v>175</v>
      </c>
      <c r="G409" s="6">
        <f>IFERROR(VLOOKUP(C409,O.B.JUNE!$AA$7:$AD$448,4,0),0)</f>
        <v>9380</v>
      </c>
      <c r="H409" s="6">
        <f t="shared" si="76"/>
        <v>9555</v>
      </c>
      <c r="I409" s="6">
        <f>IFERROR(VLOOKUP(C409,O.B.JUNE!$AA$7:$AF$448,6,0),0)</f>
        <v>7592</v>
      </c>
      <c r="J409" s="6"/>
      <c r="K409" s="6">
        <f>IFERROR(VLOOKUP(C409,O.B.JUNE!$AA$7:$AG$448,7,0),0)</f>
        <v>85619253</v>
      </c>
      <c r="L409" s="6">
        <f>SUMIF('JUNE (물량흐름)'!$C$13:$C$502,'Direct labour(직접노무비)'!C409,'JUNE (물량흐름)'!$H$13:$H$502)+SUMIF('JUNE (물량흐름)'!$C$13:$C$502,'Direct labour(직접노무비)'!C409,'JUNE (물량흐름)'!$I$13:$I$502)</f>
        <v>0</v>
      </c>
      <c r="M409" s="6">
        <f t="shared" si="77"/>
        <v>0</v>
      </c>
      <c r="N409" s="6">
        <f t="shared" si="78"/>
        <v>0</v>
      </c>
      <c r="O409" s="6">
        <f t="shared" si="84"/>
        <v>0</v>
      </c>
      <c r="P409" s="6">
        <f>SUMIF('JUNE (물량흐름)'!$C$13:$C$502,C409,'JUNE (물량흐름)'!$T$13:$T$502)+SUMIF('JUNE (물량흐름)'!$C$13:$C$502,C409,'JUNE (물량흐름)'!$V$13:$V$502)+SUMIF('JUNE (물량흐름)'!$C$13:$C$502,C409,'JUNE (물량흐름)'!$U$13:$U$502)-SUMIF('JUNE (물량흐름)'!$C$13:$C$502,C409,'JUNE (물량흐름)'!$Y$13:$Y$502)</f>
        <v>0</v>
      </c>
      <c r="Q409" s="6">
        <f t="shared" si="85"/>
        <v>0</v>
      </c>
      <c r="R409" s="6">
        <f>ROUND(IF(ISERROR(VLOOKUP(#REF!,'WIP(재공품)'!$B$12:$AB$38,13,0)),0,VLOOKUP(#REF!,'WIP(재공품)'!$B$12:$AB$38,13,0)),0)</f>
        <v>0</v>
      </c>
      <c r="S409" s="6">
        <f>IF(ISERROR(VLOOKUP(#REF!,'WIP(재공품)'!$B$12:$AB$38,10,0)),0,VLOOKUP(#REF!,'WIP(재공품)'!$B$12:$AB$38,10,0))</f>
        <v>0</v>
      </c>
      <c r="T409" s="6">
        <f>SUMIF('JUNE (물량흐름)'!$C$13:$C$502,'Direct labour(직접노무비)'!C409,'JUNE (물량흐름)'!$Y$13:$Y$502)</f>
        <v>0</v>
      </c>
      <c r="U409" s="6">
        <f t="shared" si="79"/>
        <v>0</v>
      </c>
      <c r="V409" s="6">
        <f>ROUND(SUMIF('JUNE (물량흐름)'!$C$13:$C$502,'Direct labour(직접노무비)'!C409,'JUNE (물량흐름)'!$N$13:$N$502),0)</f>
        <v>0</v>
      </c>
      <c r="W409" s="6">
        <f>ROUND(SUMIF('JUNE (물량흐름)'!$C$13:$C$502,'Direct labour(직접노무비)'!C409,'JUNE (물량흐름)'!$O$13:$O$502),0)</f>
        <v>175</v>
      </c>
      <c r="X409" s="6">
        <f>ROUND(SUMIF('JUNE (물량흐름)'!$C$13:$C$502,'Direct labour(직접노무비)'!C409,'JUNE (물량흐름)'!$P$13:$P$502),0)</f>
        <v>9380</v>
      </c>
      <c r="Y409" s="6">
        <f t="shared" si="80"/>
        <v>9555</v>
      </c>
      <c r="Z409" s="6">
        <f t="shared" si="81"/>
        <v>7592</v>
      </c>
      <c r="AA409" s="6">
        <f t="shared" si="86"/>
        <v>85619253</v>
      </c>
      <c r="AB409" s="389">
        <f t="shared" si="82"/>
        <v>0</v>
      </c>
      <c r="AC409" s="503">
        <f t="shared" si="75"/>
        <v>0</v>
      </c>
      <c r="AD409" s="389">
        <f t="shared" si="83"/>
        <v>0</v>
      </c>
    </row>
    <row r="410" spans="1:30" s="390" customFormat="1">
      <c r="A410" s="167">
        <v>420</v>
      </c>
      <c r="B410" s="267" t="str">
        <f>VLOOKUP(A410,'JUNE (물량흐름)'!$A$13:$C$502,2,0)</f>
        <v>ALFANI</v>
      </c>
      <c r="C410" s="240">
        <f>VLOOKUP(A410,'JUNE (물량흐름)'!$A$13:$C$502,3,0)</f>
        <v>100018200</v>
      </c>
      <c r="D410" s="6">
        <f>VLOOKUP(C410,'WIP(재공품)'!$B$12:$E$493,4,0)</f>
        <v>51245.499999999993</v>
      </c>
      <c r="E410" s="6">
        <f>IFERROR(VLOOKUP(C410,O.B.JUNE!$AA$7:$AG$448,2,0),0)</f>
        <v>0</v>
      </c>
      <c r="F410" s="6">
        <f>IFERROR(VLOOKUP(C410,O.B.JUNE!$AA$7:$AG$448,3,0),0)</f>
        <v>1180</v>
      </c>
      <c r="G410" s="6">
        <f>IFERROR(VLOOKUP(C410,O.B.JUNE!$AA$7:$AD$448,4,0),0)</f>
        <v>715</v>
      </c>
      <c r="H410" s="6">
        <f t="shared" si="76"/>
        <v>1895</v>
      </c>
      <c r="I410" s="6">
        <f>IFERROR(VLOOKUP(C410,O.B.JUNE!$AA$7:$AF$448,6,0),0)</f>
        <v>1162</v>
      </c>
      <c r="J410" s="6"/>
      <c r="K410" s="6">
        <f>IFERROR(VLOOKUP(C410,O.B.JUNE!$AA$7:$AG$448,7,0),0)</f>
        <v>21896723</v>
      </c>
      <c r="L410" s="6">
        <f>SUMIF('JUNE (물량흐름)'!$C$13:$C$502,'Direct labour(직접노무비)'!C410,'JUNE (물량흐름)'!$H$13:$H$502)+SUMIF('JUNE (물량흐름)'!$C$13:$C$502,'Direct labour(직접노무비)'!C410,'JUNE (물량흐름)'!$I$13:$I$502)</f>
        <v>0</v>
      </c>
      <c r="M410" s="6">
        <f t="shared" si="77"/>
        <v>0</v>
      </c>
      <c r="N410" s="6">
        <f t="shared" si="78"/>
        <v>0</v>
      </c>
      <c r="O410" s="6">
        <f t="shared" si="84"/>
        <v>0</v>
      </c>
      <c r="P410" s="6">
        <f>SUMIF('JUNE (물량흐름)'!$C$13:$C$502,C410,'JUNE (물량흐름)'!$T$13:$T$502)+SUMIF('JUNE (물량흐름)'!$C$13:$C$502,C410,'JUNE (물량흐름)'!$V$13:$V$502)+SUMIF('JUNE (물량흐름)'!$C$13:$C$502,C410,'JUNE (물량흐름)'!$U$13:$U$502)-SUMIF('JUNE (물량흐름)'!$C$13:$C$502,C410,'JUNE (물량흐름)'!$Y$13:$Y$502)</f>
        <v>1753</v>
      </c>
      <c r="Q410" s="6">
        <f t="shared" si="85"/>
        <v>20255913</v>
      </c>
      <c r="R410" s="6">
        <f>ROUND(IF(ISERROR(VLOOKUP(#REF!,'WIP(재공품)'!$B$12:$AB$38,13,0)),0,VLOOKUP(#REF!,'WIP(재공품)'!$B$12:$AB$38,13,0)),0)</f>
        <v>0</v>
      </c>
      <c r="S410" s="6">
        <f>IF(ISERROR(VLOOKUP(#REF!,'WIP(재공품)'!$B$12:$AB$38,10,0)),0,VLOOKUP(#REF!,'WIP(재공품)'!$B$12:$AB$38,10,0))</f>
        <v>0</v>
      </c>
      <c r="T410" s="6">
        <f>SUMIF('JUNE (물량흐름)'!$C$13:$C$502,'Direct labour(직접노무비)'!C410,'JUNE (물량흐름)'!$Y$13:$Y$502)</f>
        <v>4</v>
      </c>
      <c r="U410" s="6">
        <f t="shared" si="79"/>
        <v>46220</v>
      </c>
      <c r="V410" s="6">
        <f>ROUND(SUMIF('JUNE (물량흐름)'!$C$13:$C$502,'Direct labour(직접노무비)'!C410,'JUNE (물량흐름)'!$N$13:$N$502),0)</f>
        <v>0</v>
      </c>
      <c r="W410" s="6">
        <f>ROUND(SUMIF('JUNE (물량흐름)'!$C$13:$C$502,'Direct labour(직접노무비)'!C410,'JUNE (물량흐름)'!$O$13:$O$502),0)</f>
        <v>0</v>
      </c>
      <c r="X410" s="6">
        <f>ROUND(SUMIF('JUNE (물량흐름)'!$C$13:$C$502,'Direct labour(직접노무비)'!C410,'JUNE (물량흐름)'!$P$13:$P$502),0)</f>
        <v>138</v>
      </c>
      <c r="Y410" s="6">
        <f t="shared" si="80"/>
        <v>138</v>
      </c>
      <c r="Z410" s="6">
        <f t="shared" si="81"/>
        <v>110</v>
      </c>
      <c r="AA410" s="6">
        <f t="shared" si="86"/>
        <v>1594590</v>
      </c>
      <c r="AB410" s="389">
        <f t="shared" si="82"/>
        <v>0</v>
      </c>
      <c r="AC410" s="503">
        <f t="shared" si="75"/>
        <v>0</v>
      </c>
      <c r="AD410" s="389">
        <f t="shared" si="83"/>
        <v>0</v>
      </c>
    </row>
    <row r="411" spans="1:30" s="390" customFormat="1">
      <c r="A411" s="167">
        <v>421</v>
      </c>
      <c r="B411" s="267" t="str">
        <f>VLOOKUP(A411,'JUNE (물량흐름)'!$A$13:$C$502,2,0)</f>
        <v>ALFANI</v>
      </c>
      <c r="C411" s="240">
        <f>VLOOKUP(A411,'JUNE (물량흐름)'!$A$13:$C$502,3,0)</f>
        <v>100018207</v>
      </c>
      <c r="D411" s="6">
        <f>VLOOKUP(C411,'WIP(재공품)'!$B$12:$E$493,4,0)</f>
        <v>73240.25</v>
      </c>
      <c r="E411" s="6">
        <f>IFERROR(VLOOKUP(C411,O.B.JUNE!$AA$7:$AG$448,2,0),0)</f>
        <v>2388</v>
      </c>
      <c r="F411" s="6">
        <f>IFERROR(VLOOKUP(C411,O.B.JUNE!$AA$7:$AG$448,3,0),0)</f>
        <v>933</v>
      </c>
      <c r="G411" s="6">
        <f>IFERROR(VLOOKUP(C411,O.B.JUNE!$AA$7:$AD$448,4,0),0)</f>
        <v>0</v>
      </c>
      <c r="H411" s="6">
        <f t="shared" si="76"/>
        <v>3321</v>
      </c>
      <c r="I411" s="6">
        <f>IFERROR(VLOOKUP(C411,O.B.JUNE!$AA$7:$AF$448,6,0),0)</f>
        <v>944</v>
      </c>
      <c r="J411" s="6"/>
      <c r="K411" s="6">
        <f>IFERROR(VLOOKUP(C411,O.B.JUNE!$AA$7:$AG$448,7,0),0)</f>
        <v>19841211</v>
      </c>
      <c r="L411" s="6">
        <f>SUMIF('JUNE (물량흐름)'!$C$13:$C$502,'Direct labour(직접노무비)'!C411,'JUNE (물량흐름)'!$H$13:$H$502)+SUMIF('JUNE (물량흐름)'!$C$13:$C$502,'Direct labour(직접노무비)'!C411,'JUNE (물량흐름)'!$I$13:$I$502)</f>
        <v>3</v>
      </c>
      <c r="M411" s="6">
        <f t="shared" si="77"/>
        <v>2209</v>
      </c>
      <c r="N411" s="6">
        <f t="shared" si="78"/>
        <v>161787712</v>
      </c>
      <c r="O411" s="6">
        <f t="shared" si="84"/>
        <v>50036685</v>
      </c>
      <c r="P411" s="6">
        <f>SUMIF('JUNE (물량흐름)'!$C$13:$C$502,C411,'JUNE (물량흐름)'!$T$13:$T$502)+SUMIF('JUNE (물량흐름)'!$C$13:$C$502,C411,'JUNE (물량흐름)'!$V$13:$V$502)+SUMIF('JUNE (물량흐름)'!$C$13:$C$502,C411,'JUNE (물량흐름)'!$U$13:$U$502)-SUMIF('JUNE (물량흐름)'!$C$13:$C$502,C411,'JUNE (물량흐름)'!$Y$13:$Y$502)</f>
        <v>3058</v>
      </c>
      <c r="Q411" s="6">
        <f t="shared" si="85"/>
        <v>64285983</v>
      </c>
      <c r="R411" s="6">
        <f>ROUND(IF(ISERROR(VLOOKUP(#REF!,'WIP(재공품)'!$B$12:$AB$38,13,0)),0,VLOOKUP(#REF!,'WIP(재공품)'!$B$12:$AB$38,13,0)),0)</f>
        <v>0</v>
      </c>
      <c r="S411" s="6">
        <f>IF(ISERROR(VLOOKUP(#REF!,'WIP(재공품)'!$B$12:$AB$38,10,0)),0,VLOOKUP(#REF!,'WIP(재공품)'!$B$12:$AB$38,10,0))</f>
        <v>0</v>
      </c>
      <c r="T411" s="6">
        <f>SUMIF('JUNE (물량흐름)'!$C$13:$C$502,'Direct labour(직접노무비)'!C411,'JUNE (물량흐름)'!$Y$13:$Y$502)</f>
        <v>0</v>
      </c>
      <c r="U411" s="6">
        <f t="shared" si="79"/>
        <v>0</v>
      </c>
      <c r="V411" s="6">
        <f>ROUND(SUMIF('JUNE (물량흐름)'!$C$13:$C$502,'Direct labour(직접노무비)'!C411,'JUNE (물량흐름)'!$N$13:$N$502),0)</f>
        <v>152</v>
      </c>
      <c r="W411" s="6">
        <f>ROUND(SUMIF('JUNE (물량흐름)'!$C$13:$C$502,'Direct labour(직접노무비)'!C411,'JUNE (물량흐름)'!$O$13:$O$502),0)</f>
        <v>90</v>
      </c>
      <c r="X411" s="6">
        <f>ROUND(SUMIF('JUNE (물량흐름)'!$C$13:$C$502,'Direct labour(직접노무비)'!C411,'JUNE (물량흐름)'!$P$13:$P$502),0)</f>
        <v>24</v>
      </c>
      <c r="Y411" s="6">
        <f t="shared" si="80"/>
        <v>266</v>
      </c>
      <c r="Z411" s="6">
        <f t="shared" si="81"/>
        <v>95</v>
      </c>
      <c r="AA411" s="6">
        <f t="shared" si="86"/>
        <v>5591913</v>
      </c>
      <c r="AB411" s="389">
        <f t="shared" si="82"/>
        <v>0</v>
      </c>
      <c r="AC411" s="503">
        <f t="shared" si="75"/>
        <v>0</v>
      </c>
      <c r="AD411" s="389">
        <f t="shared" si="83"/>
        <v>0</v>
      </c>
    </row>
    <row r="412" spans="1:30" s="499" customFormat="1">
      <c r="A412" s="490">
        <v>422</v>
      </c>
      <c r="B412" s="501" t="str">
        <f>VLOOKUP(A412,'JUNE (물량흐름)'!$A$13:$C$502,2,0)</f>
        <v>ALFANI</v>
      </c>
      <c r="C412" s="502">
        <f>VLOOKUP(A412,'JUNE (물량흐름)'!$A$13:$C$502,3,0)</f>
        <v>100018224</v>
      </c>
      <c r="D412" s="29">
        <f>VLOOKUP(C412,'WIP(재공품)'!$B$12:$E$493,4,0)</f>
        <v>59862</v>
      </c>
      <c r="E412" s="29">
        <f>IFERROR(VLOOKUP(C412,O.B.JUNE!$AA$7:$AG$448,2,0),0)</f>
        <v>0</v>
      </c>
      <c r="F412" s="29">
        <f>IFERROR(VLOOKUP(C412,O.B.JUNE!$AA$7:$AG$448,3,0),0)</f>
        <v>67</v>
      </c>
      <c r="G412" s="29">
        <f>IFERROR(VLOOKUP(C412,O.B.JUNE!$AA$7:$AD$448,4,0),0)</f>
        <v>0</v>
      </c>
      <c r="H412" s="29">
        <f t="shared" si="76"/>
        <v>67</v>
      </c>
      <c r="I412" s="29">
        <f>IFERROR(VLOOKUP(C412,O.B.JUNE!$AA$7:$AF$448,6,0),0)</f>
        <v>34</v>
      </c>
      <c r="J412" s="6"/>
      <c r="K412" s="29">
        <f>IFERROR(VLOOKUP(C412,O.B.JUNE!$AA$7:$AG$448,7,0),0)</f>
        <v>1112989</v>
      </c>
      <c r="L412" s="29">
        <f>SUMIF('JUNE (물량흐름)'!$C$13:$C$502,'Direct labour(직접노무비)'!C412,'JUNE (물량흐름)'!$H$13:$H$502)+SUMIF('JUNE (물량흐름)'!$C$13:$C$502,'Direct labour(직접노무비)'!C412,'JUNE (물량흐름)'!$I$13:$I$502)</f>
        <v>0</v>
      </c>
      <c r="M412" s="29">
        <f t="shared" si="77"/>
        <v>0</v>
      </c>
      <c r="N412" s="29">
        <f t="shared" si="78"/>
        <v>0</v>
      </c>
      <c r="O412" s="29">
        <f t="shared" si="84"/>
        <v>0</v>
      </c>
      <c r="P412" s="6">
        <f>SUMIF('JUNE (물량흐름)'!$C$13:$C$502,C412,'JUNE (물량흐름)'!$T$13:$T$502)+SUMIF('JUNE (물량흐름)'!$C$13:$C$502,C412,'JUNE (물량흐름)'!$V$13:$V$502)+SUMIF('JUNE (물량흐름)'!$C$13:$C$502,C412,'JUNE (물량흐름)'!$U$13:$U$502)-SUMIF('JUNE (물량흐름)'!$C$13:$C$502,C412,'JUNE (물량흐름)'!$Y$13:$Y$502)</f>
        <v>0</v>
      </c>
      <c r="Q412" s="6">
        <f t="shared" si="85"/>
        <v>0</v>
      </c>
      <c r="R412" s="6">
        <f>ROUND(IF(ISERROR(VLOOKUP(#REF!,'WIP(재공품)'!$B$12:$AB$38,13,0)),0,VLOOKUP(#REF!,'WIP(재공품)'!$B$12:$AB$38,13,0)),0)</f>
        <v>0</v>
      </c>
      <c r="S412" s="6">
        <f>IF(ISERROR(VLOOKUP(#REF!,'WIP(재공품)'!$B$12:$AB$38,10,0)),0,VLOOKUP(#REF!,'WIP(재공품)'!$B$12:$AB$38,10,0))</f>
        <v>0</v>
      </c>
      <c r="T412" s="29">
        <f>SUMIF('JUNE (물량흐름)'!$C$13:$C$502,'Direct labour(직접노무비)'!C412,'JUNE (물량흐름)'!$Y$13:$Y$502)</f>
        <v>0</v>
      </c>
      <c r="U412" s="29">
        <f t="shared" si="79"/>
        <v>0</v>
      </c>
      <c r="V412" s="29">
        <f>ROUND(SUMIF('JUNE (물량흐름)'!$C$13:$C$502,'Direct labour(직접노무비)'!C412,'JUNE (물량흐름)'!$N$13:$N$502),0)</f>
        <v>0</v>
      </c>
      <c r="W412" s="29">
        <f>ROUND(SUMIF('JUNE (물량흐름)'!$C$13:$C$502,'Direct labour(직접노무비)'!C412,'JUNE (물량흐름)'!$O$13:$O$502),0)</f>
        <v>67</v>
      </c>
      <c r="X412" s="29">
        <f>ROUND(SUMIF('JUNE (물량흐름)'!$C$13:$C$502,'Direct labour(직접노무비)'!C412,'JUNE (물량흐름)'!$P$13:$P$502),0)</f>
        <v>0</v>
      </c>
      <c r="Y412" s="29">
        <f t="shared" si="80"/>
        <v>67</v>
      </c>
      <c r="Z412" s="29">
        <f t="shared" si="81"/>
        <v>34</v>
      </c>
      <c r="AA412" s="6">
        <f t="shared" si="86"/>
        <v>1112989</v>
      </c>
      <c r="AB412" s="503">
        <f t="shared" si="82"/>
        <v>0</v>
      </c>
      <c r="AC412" s="503">
        <f t="shared" si="75"/>
        <v>0</v>
      </c>
      <c r="AD412" s="503">
        <f t="shared" si="83"/>
        <v>0</v>
      </c>
    </row>
    <row r="413" spans="1:30" s="390" customFormat="1">
      <c r="A413" s="167">
        <v>423</v>
      </c>
      <c r="B413" s="267" t="str">
        <f>VLOOKUP(A413,'JUNE (물량흐름)'!$A$13:$C$502,2,0)</f>
        <v>ALFANI</v>
      </c>
      <c r="C413" s="240">
        <f>VLOOKUP(A413,'JUNE (물량흐름)'!$A$13:$C$502,3,0)</f>
        <v>100018229</v>
      </c>
      <c r="D413" s="6">
        <f>VLOOKUP(C413,'WIP(재공품)'!$B$12:$E$493,4,0)</f>
        <v>65984.25</v>
      </c>
      <c r="E413" s="6">
        <f>IFERROR(VLOOKUP(C413,O.B.JUNE!$AA$7:$AG$448,2,0),0)</f>
        <v>25</v>
      </c>
      <c r="F413" s="6">
        <f>IFERROR(VLOOKUP(C413,O.B.JUNE!$AA$7:$AG$448,3,0),0)</f>
        <v>1047</v>
      </c>
      <c r="G413" s="6">
        <f>IFERROR(VLOOKUP(C413,O.B.JUNE!$AA$7:$AD$448,4,0),0)</f>
        <v>510</v>
      </c>
      <c r="H413" s="6">
        <f t="shared" si="76"/>
        <v>1582</v>
      </c>
      <c r="I413" s="6">
        <f>IFERROR(VLOOKUP(C413,O.B.JUNE!$AA$7:$AF$448,6,0),0)</f>
        <v>937</v>
      </c>
      <c r="J413" s="6"/>
      <c r="K413" s="6">
        <f>IFERROR(VLOOKUP(C413,O.B.JUNE!$AA$7:$AG$448,7,0),0)</f>
        <v>26908862</v>
      </c>
      <c r="L413" s="6">
        <f>SUMIF('JUNE (물량흐름)'!$C$13:$C$502,'Direct labour(직접노무비)'!C413,'JUNE (물량흐름)'!$H$13:$H$502)+SUMIF('JUNE (물량흐름)'!$C$13:$C$502,'Direct labour(직접노무비)'!C413,'JUNE (물량흐름)'!$I$13:$I$502)</f>
        <v>59</v>
      </c>
      <c r="M413" s="6">
        <f t="shared" si="77"/>
        <v>649</v>
      </c>
      <c r="N413" s="6">
        <f t="shared" si="78"/>
        <v>42823778</v>
      </c>
      <c r="O413" s="6">
        <f t="shared" si="84"/>
        <v>13244269</v>
      </c>
      <c r="P413" s="6">
        <f>SUMIF('JUNE (물량흐름)'!$C$13:$C$502,C413,'JUNE (물량흐름)'!$T$13:$T$502)+SUMIF('JUNE (물량흐름)'!$C$13:$C$502,C413,'JUNE (물량흐름)'!$V$13:$V$502)+SUMIF('JUNE (물량흐름)'!$C$13:$C$502,C413,'JUNE (물량흐름)'!$U$13:$U$502)-SUMIF('JUNE (물량흐름)'!$C$13:$C$502,C413,'JUNE (물량흐름)'!$Y$13:$Y$502)</f>
        <v>1377</v>
      </c>
      <c r="Q413" s="6">
        <f t="shared" si="85"/>
        <v>33693395</v>
      </c>
      <c r="R413" s="6">
        <f>ROUND(IF(ISERROR(VLOOKUP(#REF!,'WIP(재공품)'!$B$12:$AB$38,13,0)),0,VLOOKUP(#REF!,'WIP(재공품)'!$B$12:$AB$38,13,0)),0)</f>
        <v>0</v>
      </c>
      <c r="S413" s="6">
        <f>IF(ISERROR(VLOOKUP(#REF!,'WIP(재공품)'!$B$12:$AB$38,10,0)),0,VLOOKUP(#REF!,'WIP(재공품)'!$B$12:$AB$38,10,0))</f>
        <v>0</v>
      </c>
      <c r="T413" s="6">
        <f>SUMIF('JUNE (물량흐름)'!$C$13:$C$502,'Direct labour(직접노무비)'!C413,'JUNE (물량흐름)'!$Y$13:$Y$502)</f>
        <v>4</v>
      </c>
      <c r="U413" s="6">
        <f t="shared" si="79"/>
        <v>97875</v>
      </c>
      <c r="V413" s="6">
        <f>ROUND(SUMIF('JUNE (물량흐름)'!$C$13:$C$502,'Direct labour(직접노무비)'!C413,'JUNE (물량흐름)'!$N$13:$N$502),0)</f>
        <v>0</v>
      </c>
      <c r="W413" s="6">
        <f>ROUND(SUMIF('JUNE (물량흐름)'!$C$13:$C$502,'Direct labour(직접노무비)'!C413,'JUNE (물량흐름)'!$O$13:$O$502),0)</f>
        <v>10</v>
      </c>
      <c r="X413" s="6">
        <f>ROUND(SUMIF('JUNE (물량흐름)'!$C$13:$C$502,'Direct labour(직접노무비)'!C413,'JUNE (물량흐름)'!$P$13:$P$502),0)</f>
        <v>250</v>
      </c>
      <c r="Y413" s="6">
        <f t="shared" si="80"/>
        <v>260</v>
      </c>
      <c r="Z413" s="6">
        <f t="shared" si="81"/>
        <v>205</v>
      </c>
      <c r="AA413" s="6">
        <f t="shared" si="86"/>
        <v>6361861</v>
      </c>
      <c r="AB413" s="389">
        <f t="shared" si="82"/>
        <v>0</v>
      </c>
      <c r="AC413" s="503">
        <f t="shared" si="75"/>
        <v>0</v>
      </c>
      <c r="AD413" s="389">
        <f t="shared" si="83"/>
        <v>0</v>
      </c>
    </row>
    <row r="414" spans="1:30" s="390" customFormat="1">
      <c r="A414" s="167">
        <v>424</v>
      </c>
      <c r="B414" s="267" t="str">
        <f>VLOOKUP(A414,'JUNE (물량흐름)'!$A$13:$C$502,2,0)</f>
        <v>ALFANI</v>
      </c>
      <c r="C414" s="240">
        <f>VLOOKUP(A414,'JUNE (물량흐름)'!$A$13:$C$502,3,0)</f>
        <v>100018250</v>
      </c>
      <c r="D414" s="6">
        <f>VLOOKUP(C414,'WIP(재공품)'!$B$12:$E$493,4,0)</f>
        <v>29704.25</v>
      </c>
      <c r="E414" s="6">
        <f>IFERROR(VLOOKUP(C414,O.B.JUNE!$AA$7:$AG$448,2,0),0)</f>
        <v>0</v>
      </c>
      <c r="F414" s="6">
        <f>IFERROR(VLOOKUP(C414,O.B.JUNE!$AA$7:$AG$448,3,0),0)</f>
        <v>467</v>
      </c>
      <c r="G414" s="6">
        <f>IFERROR(VLOOKUP(C414,O.B.JUNE!$AA$7:$AD$448,4,0),0)</f>
        <v>363</v>
      </c>
      <c r="H414" s="6">
        <f t="shared" si="76"/>
        <v>830</v>
      </c>
      <c r="I414" s="6">
        <f>IFERROR(VLOOKUP(C414,O.B.JUNE!$AA$7:$AF$448,6,0),0)</f>
        <v>524</v>
      </c>
      <c r="J414" s="6"/>
      <c r="K414" s="6">
        <f>IFERROR(VLOOKUP(C414,O.B.JUNE!$AA$7:$AG$448,7,0),0)</f>
        <v>5872104</v>
      </c>
      <c r="L414" s="6">
        <f>SUMIF('JUNE (물량흐름)'!$C$13:$C$502,'Direct labour(직접노무비)'!C414,'JUNE (물량흐름)'!$H$13:$H$502)+SUMIF('JUNE (물량흐름)'!$C$13:$C$502,'Direct labour(직접노무비)'!C414,'JUNE (물량흐름)'!$I$13:$I$502)</f>
        <v>0</v>
      </c>
      <c r="M414" s="6">
        <f t="shared" si="77"/>
        <v>0</v>
      </c>
      <c r="N414" s="6">
        <f t="shared" si="78"/>
        <v>0</v>
      </c>
      <c r="O414" s="6">
        <f t="shared" si="84"/>
        <v>0</v>
      </c>
      <c r="P414" s="6">
        <f>SUMIF('JUNE (물량흐름)'!$C$13:$C$502,C414,'JUNE (물량흐름)'!$T$13:$T$502)+SUMIF('JUNE (물량흐름)'!$C$13:$C$502,C414,'JUNE (물량흐름)'!$V$13:$V$502)+SUMIF('JUNE (물량흐름)'!$C$13:$C$502,C414,'JUNE (물량흐름)'!$U$13:$U$502)-SUMIF('JUNE (물량흐름)'!$C$13:$C$502,C414,'JUNE (물량흐름)'!$Y$13:$Y$502)</f>
        <v>603</v>
      </c>
      <c r="Q414" s="6">
        <f t="shared" si="85"/>
        <v>4266119</v>
      </c>
      <c r="R414" s="6">
        <f>ROUND(IF(ISERROR(VLOOKUP(#REF!,'WIP(재공품)'!$B$12:$AB$38,13,0)),0,VLOOKUP(#REF!,'WIP(재공품)'!$B$12:$AB$38,13,0)),0)</f>
        <v>0</v>
      </c>
      <c r="S414" s="6">
        <f>IF(ISERROR(VLOOKUP(#REF!,'WIP(재공품)'!$B$12:$AB$38,10,0)),0,VLOOKUP(#REF!,'WIP(재공품)'!$B$12:$AB$38,10,0))</f>
        <v>0</v>
      </c>
      <c r="T414" s="6">
        <f>SUMIF('JUNE (물량흐름)'!$C$13:$C$502,'Direct labour(직접노무비)'!C414,'JUNE (물량흐름)'!$Y$13:$Y$502)</f>
        <v>0</v>
      </c>
      <c r="U414" s="6">
        <f t="shared" si="79"/>
        <v>0</v>
      </c>
      <c r="V414" s="6">
        <f>ROUND(SUMIF('JUNE (물량흐름)'!$C$13:$C$502,'Direct labour(직접노무비)'!C414,'JUNE (물량흐름)'!$N$13:$N$502),0)</f>
        <v>0</v>
      </c>
      <c r="W414" s="6">
        <f>ROUND(SUMIF('JUNE (물량흐름)'!$C$13:$C$502,'Direct labour(직접노무비)'!C414,'JUNE (물량흐름)'!$O$13:$O$502),0)</f>
        <v>144</v>
      </c>
      <c r="X414" s="6">
        <f>ROUND(SUMIF('JUNE (물량흐름)'!$C$13:$C$502,'Direct labour(직접노무비)'!C414,'JUNE (물량흐름)'!$P$13:$P$502),0)</f>
        <v>83</v>
      </c>
      <c r="Y414" s="6">
        <f t="shared" si="80"/>
        <v>227</v>
      </c>
      <c r="Z414" s="6">
        <f t="shared" si="81"/>
        <v>138</v>
      </c>
      <c r="AA414" s="6">
        <f t="shared" si="86"/>
        <v>1605985</v>
      </c>
      <c r="AB414" s="389">
        <f t="shared" si="82"/>
        <v>0</v>
      </c>
      <c r="AC414" s="503">
        <f t="shared" si="75"/>
        <v>0</v>
      </c>
      <c r="AD414" s="389">
        <f t="shared" si="83"/>
        <v>0</v>
      </c>
    </row>
    <row r="415" spans="1:30" s="390" customFormat="1">
      <c r="A415" s="167">
        <v>425</v>
      </c>
      <c r="B415" s="267" t="str">
        <f>VLOOKUP(A415,'JUNE (물량흐름)'!$A$13:$C$502,2,0)</f>
        <v>ALFANI</v>
      </c>
      <c r="C415" s="240">
        <f>VLOOKUP(A415,'JUNE (물량흐름)'!$A$13:$C$502,3,0)</f>
        <v>100018251</v>
      </c>
      <c r="D415" s="6">
        <f>VLOOKUP(C415,'WIP(재공품)'!$B$12:$E$493,4,0)</f>
        <v>29250.75</v>
      </c>
      <c r="E415" s="6">
        <f>IFERROR(VLOOKUP(C415,O.B.JUNE!$AA$7:$AG$448,2,0),0)</f>
        <v>0</v>
      </c>
      <c r="F415" s="6">
        <f>IFERROR(VLOOKUP(C415,O.B.JUNE!$AA$7:$AG$448,3,0),0)</f>
        <v>0</v>
      </c>
      <c r="G415" s="6">
        <f>IFERROR(VLOOKUP(C415,O.B.JUNE!$AA$7:$AD$448,4,0),0)</f>
        <v>294</v>
      </c>
      <c r="H415" s="6">
        <f t="shared" si="76"/>
        <v>294</v>
      </c>
      <c r="I415" s="6">
        <f>IFERROR(VLOOKUP(C415,O.B.JUNE!$AA$7:$AF$448,6,0),0)</f>
        <v>235</v>
      </c>
      <c r="J415" s="6"/>
      <c r="K415" s="6">
        <f>IFERROR(VLOOKUP(C415,O.B.JUNE!$AA$7:$AG$448,7,0),0)</f>
        <v>2125896</v>
      </c>
      <c r="L415" s="6">
        <f>SUMIF('JUNE (물량흐름)'!$C$13:$C$502,'Direct labour(직접노무비)'!C415,'JUNE (물량흐름)'!$H$13:$H$502)+SUMIF('JUNE (물량흐름)'!$C$13:$C$502,'Direct labour(직접노무비)'!C415,'JUNE (물량흐름)'!$I$13:$I$502)</f>
        <v>229</v>
      </c>
      <c r="M415" s="6">
        <f t="shared" si="77"/>
        <v>195</v>
      </c>
      <c r="N415" s="6">
        <f t="shared" si="78"/>
        <v>5703896</v>
      </c>
      <c r="O415" s="6">
        <f t="shared" si="84"/>
        <v>1764065</v>
      </c>
      <c r="P415" s="6">
        <f>SUMIF('JUNE (물량흐름)'!$C$13:$C$502,C415,'JUNE (물량흐름)'!$T$13:$T$502)+SUMIF('JUNE (물량흐름)'!$C$13:$C$502,C415,'JUNE (물량흐름)'!$V$13:$V$502)+SUMIF('JUNE (물량흐름)'!$C$13:$C$502,C415,'JUNE (물량흐름)'!$U$13:$U$502)-SUMIF('JUNE (물량흐름)'!$C$13:$C$502,C415,'JUNE (물량흐름)'!$Y$13:$Y$502)</f>
        <v>207</v>
      </c>
      <c r="Q415" s="6">
        <f t="shared" si="85"/>
        <v>1539621</v>
      </c>
      <c r="R415" s="6">
        <f>ROUND(IF(ISERROR(VLOOKUP(#REF!,'WIP(재공품)'!$B$12:$AB$38,13,0)),0,VLOOKUP(#REF!,'WIP(재공품)'!$B$12:$AB$38,13,0)),0)</f>
        <v>0</v>
      </c>
      <c r="S415" s="6">
        <f>IF(ISERROR(VLOOKUP(#REF!,'WIP(재공품)'!$B$12:$AB$38,10,0)),0,VLOOKUP(#REF!,'WIP(재공품)'!$B$12:$AB$38,10,0))</f>
        <v>0</v>
      </c>
      <c r="T415" s="6">
        <f>SUMIF('JUNE (물량흐름)'!$C$13:$C$502,'Direct labour(직접노무비)'!C415,'JUNE (물량흐름)'!$Y$13:$Y$502)</f>
        <v>0</v>
      </c>
      <c r="U415" s="6">
        <f t="shared" si="79"/>
        <v>0</v>
      </c>
      <c r="V415" s="6">
        <f>ROUND(SUMIF('JUNE (물량흐름)'!$C$13:$C$502,'Direct labour(직접노무비)'!C415,'JUNE (물량흐름)'!$N$13:$N$502),0)</f>
        <v>0</v>
      </c>
      <c r="W415" s="6">
        <f>ROUND(SUMIF('JUNE (물량흐름)'!$C$13:$C$502,'Direct labour(직접노무비)'!C415,'JUNE (물량흐름)'!$O$13:$O$502),0)</f>
        <v>101</v>
      </c>
      <c r="X415" s="6">
        <f>ROUND(SUMIF('JUNE (물량흐름)'!$C$13:$C$502,'Direct labour(직접노무비)'!C415,'JUNE (물량흐름)'!$P$13:$P$502),0)</f>
        <v>215</v>
      </c>
      <c r="Y415" s="6">
        <f t="shared" si="80"/>
        <v>316</v>
      </c>
      <c r="Z415" s="6">
        <f t="shared" si="81"/>
        <v>223</v>
      </c>
      <c r="AA415" s="6">
        <f t="shared" si="86"/>
        <v>2350340</v>
      </c>
      <c r="AB415" s="389">
        <f t="shared" si="82"/>
        <v>0</v>
      </c>
      <c r="AC415" s="503">
        <f t="shared" si="75"/>
        <v>0</v>
      </c>
      <c r="AD415" s="389">
        <f t="shared" si="83"/>
        <v>0</v>
      </c>
    </row>
    <row r="416" spans="1:30" s="390" customFormat="1">
      <c r="A416" s="167">
        <v>426</v>
      </c>
      <c r="B416" s="267" t="str">
        <f>VLOOKUP(A416,'JUNE (물량흐름)'!$A$13:$C$502,2,0)</f>
        <v>ALFANI</v>
      </c>
      <c r="C416" s="240">
        <f>VLOOKUP(A416,'JUNE (물량흐름)'!$A$13:$C$502,3,0)</f>
        <v>100018252</v>
      </c>
      <c r="D416" s="6">
        <f>VLOOKUP(C416,'WIP(재공품)'!$B$12:$E$493,4,0)</f>
        <v>29250.75</v>
      </c>
      <c r="E416" s="6">
        <f>IFERROR(VLOOKUP(C416,O.B.JUNE!$AA$7:$AG$448,2,0),0)</f>
        <v>0</v>
      </c>
      <c r="F416" s="6">
        <f>IFERROR(VLOOKUP(C416,O.B.JUNE!$AA$7:$AG$448,3,0),0)</f>
        <v>3</v>
      </c>
      <c r="G416" s="6">
        <f>IFERROR(VLOOKUP(C416,O.B.JUNE!$AA$7:$AD$448,4,0),0)</f>
        <v>90</v>
      </c>
      <c r="H416" s="6">
        <f t="shared" si="76"/>
        <v>93</v>
      </c>
      <c r="I416" s="6">
        <f>IFERROR(VLOOKUP(C416,O.B.JUNE!$AA$7:$AF$448,6,0),0)</f>
        <v>74</v>
      </c>
      <c r="J416" s="6"/>
      <c r="K416" s="6">
        <f>IFERROR(VLOOKUP(C416,O.B.JUNE!$AA$7:$AG$448,7,0),0)</f>
        <v>678819</v>
      </c>
      <c r="L416" s="6">
        <f>SUMIF('JUNE (물량흐름)'!$C$13:$C$502,'Direct labour(직접노무비)'!C416,'JUNE (물량흐름)'!$H$13:$H$502)+SUMIF('JUNE (물량흐름)'!$C$13:$C$502,'Direct labour(직접노무비)'!C416,'JUNE (물량흐름)'!$I$13:$I$502)</f>
        <v>0</v>
      </c>
      <c r="M416" s="6">
        <f t="shared" si="77"/>
        <v>0</v>
      </c>
      <c r="N416" s="6">
        <f t="shared" si="78"/>
        <v>0</v>
      </c>
      <c r="O416" s="6">
        <f t="shared" si="84"/>
        <v>0</v>
      </c>
      <c r="P416" s="6">
        <f>SUMIF('JUNE (물량흐름)'!$C$13:$C$502,C416,'JUNE (물량흐름)'!$T$13:$T$502)+SUMIF('JUNE (물량흐름)'!$C$13:$C$502,C416,'JUNE (물량흐름)'!$V$13:$V$502)+SUMIF('JUNE (물량흐름)'!$C$13:$C$502,C416,'JUNE (물량흐름)'!$U$13:$U$502)-SUMIF('JUNE (물량흐름)'!$C$13:$C$502,C416,'JUNE (물량흐름)'!$Y$13:$Y$502)</f>
        <v>45</v>
      </c>
      <c r="Q416" s="6">
        <f t="shared" si="85"/>
        <v>328461</v>
      </c>
      <c r="R416" s="6">
        <f>ROUND(IF(ISERROR(VLOOKUP(#REF!,'WIP(재공품)'!$B$12:$AB$38,13,0)),0,VLOOKUP(#REF!,'WIP(재공품)'!$B$12:$AB$38,13,0)),0)</f>
        <v>0</v>
      </c>
      <c r="S416" s="6">
        <f>IF(ISERROR(VLOOKUP(#REF!,'WIP(재공품)'!$B$12:$AB$38,10,0)),0,VLOOKUP(#REF!,'WIP(재공품)'!$B$12:$AB$38,10,0))</f>
        <v>0</v>
      </c>
      <c r="T416" s="6">
        <f>SUMIF('JUNE (물량흐름)'!$C$13:$C$502,'Direct labour(직접노무비)'!C416,'JUNE (물량흐름)'!$Y$13:$Y$502)</f>
        <v>2</v>
      </c>
      <c r="U416" s="6">
        <f t="shared" si="79"/>
        <v>14598</v>
      </c>
      <c r="V416" s="6">
        <f>ROUND(SUMIF('JUNE (물량흐름)'!$C$13:$C$502,'Direct labour(직접노무비)'!C416,'JUNE (물량흐름)'!$N$13:$N$502),0)</f>
        <v>0</v>
      </c>
      <c r="W416" s="6">
        <f>ROUND(SUMIF('JUNE (물량흐름)'!$C$13:$C$502,'Direct labour(직접노무비)'!C416,'JUNE (물량흐름)'!$O$13:$O$502),0)</f>
        <v>3</v>
      </c>
      <c r="X416" s="6">
        <f>ROUND(SUMIF('JUNE (물량흐름)'!$C$13:$C$502,'Direct labour(직접노무비)'!C416,'JUNE (물량흐름)'!$P$13:$P$502),0)</f>
        <v>43</v>
      </c>
      <c r="Y416" s="6">
        <f t="shared" si="80"/>
        <v>46</v>
      </c>
      <c r="Z416" s="6">
        <f t="shared" si="81"/>
        <v>36</v>
      </c>
      <c r="AA416" s="6">
        <f t="shared" si="86"/>
        <v>335760</v>
      </c>
      <c r="AB416" s="389">
        <f t="shared" si="82"/>
        <v>0</v>
      </c>
      <c r="AC416" s="503">
        <f t="shared" si="75"/>
        <v>0</v>
      </c>
      <c r="AD416" s="389">
        <f t="shared" si="83"/>
        <v>0</v>
      </c>
    </row>
    <row r="417" spans="1:30" s="390" customFormat="1">
      <c r="A417" s="167">
        <v>427</v>
      </c>
      <c r="B417" s="267" t="str">
        <f>VLOOKUP(A417,'JUNE (물량흐름)'!$A$13:$C$502,2,0)</f>
        <v>ALFANI</v>
      </c>
      <c r="C417" s="240">
        <f>VLOOKUP(A417,'JUNE (물량흐름)'!$A$13:$C$502,3,0)</f>
        <v>100018257</v>
      </c>
      <c r="D417" s="6">
        <f>VLOOKUP(C417,'WIP(재공품)'!$B$12:$E$493,4,0)</f>
        <v>44443</v>
      </c>
      <c r="E417" s="6">
        <f>IFERROR(VLOOKUP(C417,O.B.JUNE!$AA$7:$AG$448,2,0),0)</f>
        <v>0</v>
      </c>
      <c r="F417" s="6">
        <f>IFERROR(VLOOKUP(C417,O.B.JUNE!$AA$7:$AG$448,3,0),0)</f>
        <v>67</v>
      </c>
      <c r="G417" s="6">
        <f>IFERROR(VLOOKUP(C417,O.B.JUNE!$AA$7:$AD$448,4,0),0)</f>
        <v>2346</v>
      </c>
      <c r="H417" s="6">
        <f t="shared" si="76"/>
        <v>2413</v>
      </c>
      <c r="I417" s="6">
        <f>IFERROR(VLOOKUP(C417,O.B.JUNE!$AA$7:$AF$448,6,0),0)</f>
        <v>1910</v>
      </c>
      <c r="J417" s="6"/>
      <c r="K417" s="6">
        <f>IFERROR(VLOOKUP(C417,O.B.JUNE!$AA$7:$AG$448,7,0),0)</f>
        <v>25381665</v>
      </c>
      <c r="L417" s="6">
        <f>SUMIF('JUNE (물량흐름)'!$C$13:$C$502,'Direct labour(직접노무비)'!C417,'JUNE (물량흐름)'!$H$13:$H$502)+SUMIF('JUNE (물량흐름)'!$C$13:$C$502,'Direct labour(직접노무비)'!C417,'JUNE (물량흐름)'!$I$13:$I$502)</f>
        <v>226</v>
      </c>
      <c r="M417" s="6">
        <f t="shared" si="77"/>
        <v>700</v>
      </c>
      <c r="N417" s="6">
        <f t="shared" si="78"/>
        <v>31110100</v>
      </c>
      <c r="O417" s="6">
        <f t="shared" si="84"/>
        <v>9621536</v>
      </c>
      <c r="P417" s="6">
        <f>SUMIF('JUNE (물량흐름)'!$C$13:$C$502,C417,'JUNE (물량흐름)'!$T$13:$T$502)+SUMIF('JUNE (물량흐름)'!$C$13:$C$502,C417,'JUNE (물량흐름)'!$V$13:$V$502)+SUMIF('JUNE (물량흐름)'!$C$13:$C$502,C417,'JUNE (물량흐름)'!$U$13:$U$502)-SUMIF('JUNE (물량흐름)'!$C$13:$C$502,C417,'JUNE (물량흐름)'!$Y$13:$Y$502)</f>
        <v>2580</v>
      </c>
      <c r="Q417" s="6">
        <f t="shared" si="85"/>
        <v>34220636</v>
      </c>
      <c r="R417" s="6">
        <f>ROUND(IF(ISERROR(VLOOKUP(#REF!,'WIP(재공품)'!$B$12:$AB$38,13,0)),0,VLOOKUP(#REF!,'WIP(재공품)'!$B$12:$AB$38,13,0)),0)</f>
        <v>0</v>
      </c>
      <c r="S417" s="6">
        <f>IF(ISERROR(VLOOKUP(#REF!,'WIP(재공품)'!$B$12:$AB$38,10,0)),0,VLOOKUP(#REF!,'WIP(재공품)'!$B$12:$AB$38,10,0))</f>
        <v>0</v>
      </c>
      <c r="T417" s="6">
        <f>SUMIF('JUNE (물량흐름)'!$C$13:$C$502,'Direct labour(직접노무비)'!C417,'JUNE (물량흐름)'!$Y$13:$Y$502)</f>
        <v>0</v>
      </c>
      <c r="U417" s="6">
        <f t="shared" si="79"/>
        <v>0</v>
      </c>
      <c r="V417" s="6">
        <f>ROUND(SUMIF('JUNE (물량흐름)'!$C$13:$C$502,'Direct labour(직접노무비)'!C417,'JUNE (물량흐름)'!$N$13:$N$502),0)</f>
        <v>0</v>
      </c>
      <c r="W417" s="6">
        <f>ROUND(SUMIF('JUNE (물량흐름)'!$C$13:$C$502,'Direct labour(직접노무비)'!C417,'JUNE (물량흐름)'!$O$13:$O$502),0)</f>
        <v>58</v>
      </c>
      <c r="X417" s="6">
        <f>ROUND(SUMIF('JUNE (물량흐름)'!$C$13:$C$502,'Direct labour(직접노무비)'!C417,'JUNE (물량흐름)'!$P$13:$P$502),0)</f>
        <v>1</v>
      </c>
      <c r="Y417" s="6">
        <f t="shared" si="80"/>
        <v>59</v>
      </c>
      <c r="Z417" s="6">
        <f t="shared" si="81"/>
        <v>30</v>
      </c>
      <c r="AA417" s="6">
        <f t="shared" si="86"/>
        <v>782565</v>
      </c>
      <c r="AB417" s="389">
        <f t="shared" si="82"/>
        <v>0</v>
      </c>
      <c r="AC417" s="503">
        <f t="shared" si="75"/>
        <v>0</v>
      </c>
      <c r="AD417" s="389">
        <f t="shared" si="83"/>
        <v>0</v>
      </c>
    </row>
    <row r="418" spans="1:30" s="390" customFormat="1">
      <c r="A418" s="167">
        <v>428</v>
      </c>
      <c r="B418" s="267" t="str">
        <f>VLOOKUP(A418,'JUNE (물량흐름)'!$A$13:$C$502,2,0)</f>
        <v>ALFANI</v>
      </c>
      <c r="C418" s="240">
        <f>VLOOKUP(A418,'JUNE (물량흐름)'!$A$13:$C$502,3,0)</f>
        <v>100018258</v>
      </c>
      <c r="D418" s="6">
        <f>VLOOKUP(C418,'WIP(재공품)'!$B$12:$E$493,4,0)</f>
        <v>44443</v>
      </c>
      <c r="E418" s="6">
        <f>IFERROR(VLOOKUP(C418,O.B.JUNE!$AA$7:$AG$448,2,0),0)</f>
        <v>0</v>
      </c>
      <c r="F418" s="6">
        <f>IFERROR(VLOOKUP(C418,O.B.JUNE!$AA$7:$AG$448,3,0),0)</f>
        <v>217</v>
      </c>
      <c r="G418" s="6">
        <f>IFERROR(VLOOKUP(C418,O.B.JUNE!$AA$7:$AD$448,4,0),0)</f>
        <v>454</v>
      </c>
      <c r="H418" s="6">
        <f t="shared" si="76"/>
        <v>671</v>
      </c>
      <c r="I418" s="6">
        <f>IFERROR(VLOOKUP(C418,O.B.JUNE!$AA$7:$AF$448,6,0),0)</f>
        <v>472</v>
      </c>
      <c r="J418" s="6"/>
      <c r="K418" s="6">
        <f>IFERROR(VLOOKUP(C418,O.B.JUNE!$AA$7:$AG$448,7,0),0)</f>
        <v>7748097</v>
      </c>
      <c r="L418" s="6">
        <f>SUMIF('JUNE (물량흐름)'!$C$13:$C$502,'Direct labour(직접노무비)'!C418,'JUNE (물량흐름)'!$H$13:$H$502)+SUMIF('JUNE (물량흐름)'!$C$13:$C$502,'Direct labour(직접노무비)'!C418,'JUNE (물량흐름)'!$I$13:$I$502)</f>
        <v>0</v>
      </c>
      <c r="M418" s="6">
        <f t="shared" si="77"/>
        <v>0</v>
      </c>
      <c r="N418" s="6">
        <f t="shared" si="78"/>
        <v>0</v>
      </c>
      <c r="O418" s="6">
        <f t="shared" si="84"/>
        <v>0</v>
      </c>
      <c r="P418" s="6">
        <f>SUMIF('JUNE (물량흐름)'!$C$13:$C$502,C418,'JUNE (물량흐름)'!$T$13:$T$502)+SUMIF('JUNE (물량흐름)'!$C$13:$C$502,C418,'JUNE (물량흐름)'!$V$13:$V$502)+SUMIF('JUNE (물량흐름)'!$C$13:$C$502,C418,'JUNE (물량흐름)'!$U$13:$U$502)-SUMIF('JUNE (물량흐름)'!$C$13:$C$502,C418,'JUNE (물량흐름)'!$Y$13:$Y$502)</f>
        <v>500</v>
      </c>
      <c r="Q418" s="6">
        <f t="shared" si="85"/>
        <v>5773545</v>
      </c>
      <c r="R418" s="6">
        <f>ROUND(IF(ISERROR(VLOOKUP(#REF!,'WIP(재공품)'!$B$12:$AB$38,13,0)),0,VLOOKUP(#REF!,'WIP(재공품)'!$B$12:$AB$38,13,0)),0)</f>
        <v>0</v>
      </c>
      <c r="S418" s="6">
        <f>IF(ISERROR(VLOOKUP(#REF!,'WIP(재공품)'!$B$12:$AB$38,10,0)),0,VLOOKUP(#REF!,'WIP(재공품)'!$B$12:$AB$38,10,0))</f>
        <v>0</v>
      </c>
      <c r="T418" s="6">
        <f>SUMIF('JUNE (물량흐름)'!$C$13:$C$502,'Direct labour(직접노무비)'!C418,'JUNE (물량흐름)'!$Y$13:$Y$502)</f>
        <v>1</v>
      </c>
      <c r="U418" s="6">
        <f t="shared" si="79"/>
        <v>11547</v>
      </c>
      <c r="V418" s="6">
        <f>ROUND(SUMIF('JUNE (물량흐름)'!$C$13:$C$502,'Direct labour(직접노무비)'!C418,'JUNE (물량흐름)'!$N$13:$N$502),0)</f>
        <v>0</v>
      </c>
      <c r="W418" s="6">
        <f>ROUND(SUMIF('JUNE (물량흐름)'!$C$13:$C$502,'Direct labour(직접노무비)'!C418,'JUNE (물량흐름)'!$O$13:$O$502),0)</f>
        <v>37</v>
      </c>
      <c r="X418" s="6">
        <f>ROUND(SUMIF('JUNE (물량흐름)'!$C$13:$C$502,'Direct labour(직접노무비)'!C418,'JUNE (물량흐름)'!$P$13:$P$502),0)</f>
        <v>133</v>
      </c>
      <c r="Y418" s="6">
        <f t="shared" si="80"/>
        <v>170</v>
      </c>
      <c r="Z418" s="6">
        <f t="shared" si="81"/>
        <v>125</v>
      </c>
      <c r="AA418" s="6">
        <f t="shared" si="86"/>
        <v>1963005</v>
      </c>
      <c r="AB418" s="389">
        <f t="shared" si="82"/>
        <v>0</v>
      </c>
      <c r="AC418" s="503">
        <f t="shared" si="75"/>
        <v>0</v>
      </c>
      <c r="AD418" s="389">
        <f t="shared" si="83"/>
        <v>0</v>
      </c>
    </row>
    <row r="419" spans="1:30" s="390" customFormat="1">
      <c r="A419" s="167">
        <v>429</v>
      </c>
      <c r="B419" s="267" t="str">
        <f>VLOOKUP(A419,'JUNE (물량흐름)'!$A$13:$C$502,2,0)</f>
        <v>ALFANI</v>
      </c>
      <c r="C419" s="240">
        <f>VLOOKUP(A419,'JUNE (물량흐름)'!$A$13:$C$502,3,0)</f>
        <v>100018259</v>
      </c>
      <c r="D419" s="6">
        <f>VLOOKUP(C419,'WIP(재공품)'!$B$12:$E$493,4,0)</f>
        <v>44669.75</v>
      </c>
      <c r="E419" s="6">
        <f>IFERROR(VLOOKUP(C419,O.B.JUNE!$AA$7:$AG$448,2,0),0)</f>
        <v>0</v>
      </c>
      <c r="F419" s="6">
        <f>IFERROR(VLOOKUP(C419,O.B.JUNE!$AA$7:$AG$448,3,0),0)</f>
        <v>26</v>
      </c>
      <c r="G419" s="6">
        <f>IFERROR(VLOOKUP(C419,O.B.JUNE!$AA$7:$AD$448,4,0),0)</f>
        <v>0</v>
      </c>
      <c r="H419" s="6">
        <f t="shared" si="76"/>
        <v>26</v>
      </c>
      <c r="I419" s="6">
        <f>IFERROR(VLOOKUP(C419,O.B.JUNE!$AA$7:$AF$448,6,0),0)</f>
        <v>13</v>
      </c>
      <c r="J419" s="6"/>
      <c r="K419" s="6">
        <f>IFERROR(VLOOKUP(C419,O.B.JUNE!$AA$7:$AG$448,7,0),0)</f>
        <v>306526</v>
      </c>
      <c r="L419" s="6">
        <f>SUMIF('JUNE (물량흐름)'!$C$13:$C$502,'Direct labour(직접노무비)'!C419,'JUNE (물량흐름)'!$H$13:$H$502)+SUMIF('JUNE (물량흐름)'!$C$13:$C$502,'Direct labour(직접노무비)'!C419,'JUNE (물량흐름)'!$I$13:$I$502)</f>
        <v>0</v>
      </c>
      <c r="M419" s="6">
        <f t="shared" si="77"/>
        <v>0</v>
      </c>
      <c r="N419" s="6">
        <f t="shared" si="78"/>
        <v>0</v>
      </c>
      <c r="O419" s="6">
        <f t="shared" si="84"/>
        <v>0</v>
      </c>
      <c r="P419" s="6">
        <f>SUMIF('JUNE (물량흐름)'!$C$13:$C$502,C419,'JUNE (물량흐름)'!$T$13:$T$502)+SUMIF('JUNE (물량흐름)'!$C$13:$C$502,C419,'JUNE (물량흐름)'!$V$13:$V$502)+SUMIF('JUNE (물량흐름)'!$C$13:$C$502,C419,'JUNE (물량흐름)'!$U$13:$U$502)-SUMIF('JUNE (물량흐름)'!$C$13:$C$502,C419,'JUNE (물량흐름)'!$Y$13:$Y$502)</f>
        <v>0</v>
      </c>
      <c r="Q419" s="6">
        <f t="shared" si="85"/>
        <v>0</v>
      </c>
      <c r="R419" s="6">
        <f>ROUND(IF(ISERROR(VLOOKUP(#REF!,'WIP(재공품)'!$B$12:$AB$38,13,0)),0,VLOOKUP(#REF!,'WIP(재공품)'!$B$12:$AB$38,13,0)),0)</f>
        <v>0</v>
      </c>
      <c r="S419" s="6">
        <f>IF(ISERROR(VLOOKUP(#REF!,'WIP(재공품)'!$B$12:$AB$38,10,0)),0,VLOOKUP(#REF!,'WIP(재공품)'!$B$12:$AB$38,10,0))</f>
        <v>0</v>
      </c>
      <c r="T419" s="6">
        <f>SUMIF('JUNE (물량흐름)'!$C$13:$C$502,'Direct labour(직접노무비)'!C419,'JUNE (물량흐름)'!$Y$13:$Y$502)</f>
        <v>0</v>
      </c>
      <c r="U419" s="6">
        <f t="shared" si="79"/>
        <v>0</v>
      </c>
      <c r="V419" s="6">
        <f>ROUND(SUMIF('JUNE (물량흐름)'!$C$13:$C$502,'Direct labour(직접노무비)'!C419,'JUNE (물량흐름)'!$N$13:$N$502),0)</f>
        <v>0</v>
      </c>
      <c r="W419" s="6">
        <f>ROUND(SUMIF('JUNE (물량흐름)'!$C$13:$C$502,'Direct labour(직접노무비)'!C419,'JUNE (물량흐름)'!$O$13:$O$502),0)</f>
        <v>26</v>
      </c>
      <c r="X419" s="6">
        <f>ROUND(SUMIF('JUNE (물량흐름)'!$C$13:$C$502,'Direct labour(직접노무비)'!C419,'JUNE (물량흐름)'!$P$13:$P$502),0)</f>
        <v>0</v>
      </c>
      <c r="Y419" s="6">
        <f t="shared" si="80"/>
        <v>26</v>
      </c>
      <c r="Z419" s="6">
        <f t="shared" si="81"/>
        <v>13</v>
      </c>
      <c r="AA419" s="6">
        <f t="shared" si="86"/>
        <v>306526</v>
      </c>
      <c r="AB419" s="389">
        <f t="shared" si="82"/>
        <v>0</v>
      </c>
      <c r="AC419" s="503">
        <f t="shared" si="75"/>
        <v>0</v>
      </c>
      <c r="AD419" s="389">
        <f t="shared" si="83"/>
        <v>0</v>
      </c>
    </row>
    <row r="420" spans="1:30" s="390" customFormat="1">
      <c r="A420" s="167">
        <v>430</v>
      </c>
      <c r="B420" s="267" t="str">
        <f>VLOOKUP(A420,'JUNE (물량흐름)'!$A$13:$C$502,2,0)</f>
        <v>ALFANI</v>
      </c>
      <c r="C420" s="240">
        <f>VLOOKUP(A420,'JUNE (물량흐름)'!$A$13:$C$502,3,0)</f>
        <v>100018260</v>
      </c>
      <c r="D420" s="6">
        <f>VLOOKUP(C420,'WIP(재공품)'!$B$12:$E$493,4,0)</f>
        <v>46937.25</v>
      </c>
      <c r="E420" s="6">
        <f>IFERROR(VLOOKUP(C420,O.B.JUNE!$AA$7:$AG$448,2,0),0)</f>
        <v>0</v>
      </c>
      <c r="F420" s="6">
        <f>IFERROR(VLOOKUP(C420,O.B.JUNE!$AA$7:$AG$448,3,0),0)</f>
        <v>992</v>
      </c>
      <c r="G420" s="6">
        <f>IFERROR(VLOOKUP(C420,O.B.JUNE!$AA$7:$AD$448,4,0),0)</f>
        <v>360</v>
      </c>
      <c r="H420" s="6">
        <f t="shared" si="76"/>
        <v>1352</v>
      </c>
      <c r="I420" s="6">
        <f>IFERROR(VLOOKUP(C420,O.B.JUNE!$AA$7:$AF$448,6,0),0)</f>
        <v>784</v>
      </c>
      <c r="J420" s="6"/>
      <c r="K420" s="6">
        <f>IFERROR(VLOOKUP(C420,O.B.JUNE!$AA$7:$AG$448,7,0),0)</f>
        <v>9886976</v>
      </c>
      <c r="L420" s="6">
        <f>SUMIF('JUNE (물량흐름)'!$C$13:$C$502,'Direct labour(직접노무비)'!C420,'JUNE (물량흐름)'!$H$13:$H$502)+SUMIF('JUNE (물량흐름)'!$C$13:$C$502,'Direct labour(직접노무비)'!C420,'JUNE (물량흐름)'!$I$13:$I$502)</f>
        <v>0</v>
      </c>
      <c r="M420" s="6">
        <f t="shared" si="77"/>
        <v>0</v>
      </c>
      <c r="N420" s="6">
        <f t="shared" si="78"/>
        <v>0</v>
      </c>
      <c r="O420" s="6">
        <f t="shared" si="84"/>
        <v>0</v>
      </c>
      <c r="P420" s="6">
        <f>SUMIF('JUNE (물량흐름)'!$C$13:$C$502,C420,'JUNE (물량흐름)'!$T$13:$T$502)+SUMIF('JUNE (물량흐름)'!$C$13:$C$502,C420,'JUNE (물량흐름)'!$V$13:$V$502)+SUMIF('JUNE (물량흐름)'!$C$13:$C$502,C420,'JUNE (물량흐름)'!$U$13:$U$502)-SUMIF('JUNE (물량흐름)'!$C$13:$C$502,C420,'JUNE (물량흐름)'!$Y$13:$Y$502)</f>
        <v>1310</v>
      </c>
      <c r="Q420" s="6">
        <f t="shared" si="85"/>
        <v>9579836</v>
      </c>
      <c r="R420" s="6">
        <f>ROUND(IF(ISERROR(VLOOKUP(#REF!,'WIP(재공품)'!$B$12:$AB$38,13,0)),0,VLOOKUP(#REF!,'WIP(재공품)'!$B$12:$AB$38,13,0)),0)</f>
        <v>0</v>
      </c>
      <c r="S420" s="6">
        <f>IF(ISERROR(VLOOKUP(#REF!,'WIP(재공품)'!$B$12:$AB$38,10,0)),0,VLOOKUP(#REF!,'WIP(재공품)'!$B$12:$AB$38,10,0))</f>
        <v>0</v>
      </c>
      <c r="T420" s="6">
        <f>SUMIF('JUNE (물량흐름)'!$C$13:$C$502,'Direct labour(직접노무비)'!C420,'JUNE (물량흐름)'!$Y$13:$Y$502)</f>
        <v>0</v>
      </c>
      <c r="U420" s="6">
        <f t="shared" si="79"/>
        <v>0</v>
      </c>
      <c r="V420" s="6">
        <f>ROUND(SUMIF('JUNE (물량흐름)'!$C$13:$C$502,'Direct labour(직접노무비)'!C420,'JUNE (물량흐름)'!$N$13:$N$502),0)</f>
        <v>0</v>
      </c>
      <c r="W420" s="6">
        <f>ROUND(SUMIF('JUNE (물량흐름)'!$C$13:$C$502,'Direct labour(직접노무비)'!C420,'JUNE (물량흐름)'!$O$13:$O$502),0)</f>
        <v>0</v>
      </c>
      <c r="X420" s="6">
        <f>ROUND(SUMIF('JUNE (물량흐름)'!$C$13:$C$502,'Direct labour(직접노무비)'!C420,'JUNE (물량흐름)'!$P$13:$P$502),0)</f>
        <v>42</v>
      </c>
      <c r="Y420" s="6">
        <f t="shared" si="80"/>
        <v>42</v>
      </c>
      <c r="Z420" s="6">
        <f t="shared" si="81"/>
        <v>34</v>
      </c>
      <c r="AA420" s="6">
        <f t="shared" si="86"/>
        <v>307140</v>
      </c>
      <c r="AB420" s="389">
        <f t="shared" si="82"/>
        <v>0</v>
      </c>
      <c r="AC420" s="503">
        <f t="shared" si="75"/>
        <v>0</v>
      </c>
      <c r="AD420" s="389">
        <f t="shared" si="83"/>
        <v>0</v>
      </c>
    </row>
    <row r="421" spans="1:30" s="499" customFormat="1">
      <c r="A421" s="490">
        <v>431</v>
      </c>
      <c r="B421" s="501" t="str">
        <f>VLOOKUP(A421,'JUNE (물량흐름)'!$A$13:$C$502,2,0)</f>
        <v>ALFANI</v>
      </c>
      <c r="C421" s="502">
        <f>VLOOKUP(A421,'JUNE (물량흐름)'!$A$13:$C$502,3,0)</f>
        <v>100024706</v>
      </c>
      <c r="D421" s="29">
        <f>VLOOKUP(C421,'WIP(재공품)'!$B$12:$E$493,4,0)</f>
        <v>28117</v>
      </c>
      <c r="E421" s="29">
        <f>IFERROR(VLOOKUP(C421,O.B.JUNE!$AA$7:$AG$448,2,0),0)</f>
        <v>0</v>
      </c>
      <c r="F421" s="29">
        <f>IFERROR(VLOOKUP(C421,O.B.JUNE!$AA$7:$AG$448,3,0),0)</f>
        <v>171</v>
      </c>
      <c r="G421" s="29">
        <f>IFERROR(VLOOKUP(C421,O.B.JUNE!$AA$7:$AD$448,4,0),0)</f>
        <v>57</v>
      </c>
      <c r="H421" s="29">
        <f t="shared" si="76"/>
        <v>228</v>
      </c>
      <c r="I421" s="29">
        <f>IFERROR(VLOOKUP(C421,O.B.JUNE!$AA$7:$AF$448,6,0),0)</f>
        <v>131</v>
      </c>
      <c r="J421" s="6"/>
      <c r="K421" s="29">
        <f>IFERROR(VLOOKUP(C421,O.B.JUNE!$AA$7:$AG$448,7,0),0)</f>
        <v>1508678</v>
      </c>
      <c r="L421" s="29">
        <f>SUMIF('JUNE (물량흐름)'!$C$13:$C$502,'Direct labour(직접노무비)'!C421,'JUNE (물량흐름)'!$H$13:$H$502)+SUMIF('JUNE (물량흐름)'!$C$13:$C$502,'Direct labour(직접노무비)'!C421,'JUNE (물량흐름)'!$I$13:$I$502)</f>
        <v>0</v>
      </c>
      <c r="M421" s="29">
        <f t="shared" si="77"/>
        <v>0</v>
      </c>
      <c r="N421" s="29">
        <f t="shared" si="78"/>
        <v>0</v>
      </c>
      <c r="O421" s="29">
        <f t="shared" si="84"/>
        <v>0</v>
      </c>
      <c r="P421" s="6">
        <f>SUMIF('JUNE (물량흐름)'!$C$13:$C$502,C421,'JUNE (물량흐름)'!$T$13:$T$502)+SUMIF('JUNE (물량흐름)'!$C$13:$C$502,C421,'JUNE (물량흐름)'!$V$13:$V$502)+SUMIF('JUNE (물량흐름)'!$C$13:$C$502,C421,'JUNE (물량흐름)'!$U$13:$U$502)-SUMIF('JUNE (물량흐름)'!$C$13:$C$502,C421,'JUNE (물량흐름)'!$Y$13:$Y$502)</f>
        <v>0</v>
      </c>
      <c r="Q421" s="6">
        <f t="shared" si="85"/>
        <v>0</v>
      </c>
      <c r="R421" s="6">
        <f>ROUND(IF(ISERROR(VLOOKUP(#REF!,'WIP(재공품)'!$B$12:$AB$38,13,0)),0,VLOOKUP(#REF!,'WIP(재공품)'!$B$12:$AB$38,13,0)),0)</f>
        <v>0</v>
      </c>
      <c r="S421" s="6">
        <f>IF(ISERROR(VLOOKUP(#REF!,'WIP(재공품)'!$B$12:$AB$38,10,0)),0,VLOOKUP(#REF!,'WIP(재공품)'!$B$12:$AB$38,10,0))</f>
        <v>0</v>
      </c>
      <c r="T421" s="29">
        <f>SUMIF('JUNE (물량흐름)'!$C$13:$C$502,'Direct labour(직접노무비)'!C421,'JUNE (물량흐름)'!$Y$13:$Y$502)</f>
        <v>0</v>
      </c>
      <c r="U421" s="29">
        <f t="shared" si="79"/>
        <v>0</v>
      </c>
      <c r="V421" s="29">
        <f>ROUND(SUMIF('JUNE (물량흐름)'!$C$13:$C$502,'Direct labour(직접노무비)'!C421,'JUNE (물량흐름)'!$N$13:$N$502),0)</f>
        <v>0</v>
      </c>
      <c r="W421" s="29">
        <f>ROUND(SUMIF('JUNE (물량흐름)'!$C$13:$C$502,'Direct labour(직접노무비)'!C421,'JUNE (물량흐름)'!$O$13:$O$502),0)</f>
        <v>174</v>
      </c>
      <c r="X421" s="29">
        <f>ROUND(SUMIF('JUNE (물량흐름)'!$C$13:$C$502,'Direct labour(직접노무비)'!C421,'JUNE (물량흐름)'!$P$13:$P$502),0)</f>
        <v>54</v>
      </c>
      <c r="Y421" s="29">
        <f t="shared" si="80"/>
        <v>228</v>
      </c>
      <c r="Z421" s="29">
        <f t="shared" si="81"/>
        <v>130</v>
      </c>
      <c r="AA421" s="6">
        <f t="shared" si="86"/>
        <v>1508678</v>
      </c>
      <c r="AB421" s="503">
        <f t="shared" si="82"/>
        <v>0</v>
      </c>
      <c r="AC421" s="503">
        <f t="shared" si="75"/>
        <v>0</v>
      </c>
      <c r="AD421" s="503">
        <f t="shared" si="83"/>
        <v>0</v>
      </c>
    </row>
    <row r="422" spans="1:30" s="390" customFormat="1">
      <c r="A422" s="167">
        <v>432</v>
      </c>
      <c r="B422" s="267" t="str">
        <f>VLOOKUP(A422,'JUNE (물량흐름)'!$A$13:$C$502,2,0)</f>
        <v>ALFANI</v>
      </c>
      <c r="C422" s="240">
        <f>VLOOKUP(A422,'JUNE (물량흐름)'!$A$13:$C$502,3,0)</f>
        <v>100027409</v>
      </c>
      <c r="D422" s="6">
        <f>VLOOKUP(C422,'WIP(재공품)'!$B$12:$E$493,4,0)</f>
        <v>44896.5</v>
      </c>
      <c r="E422" s="6">
        <f>IFERROR(VLOOKUP(C422,O.B.JUNE!$AA$7:$AG$448,2,0),0)</f>
        <v>0</v>
      </c>
      <c r="F422" s="6">
        <f>IFERROR(VLOOKUP(C422,O.B.JUNE!$AA$7:$AG$448,3,0),0)</f>
        <v>173</v>
      </c>
      <c r="G422" s="6">
        <f>IFERROR(VLOOKUP(C422,O.B.JUNE!$AA$7:$AD$448,4,0),0)</f>
        <v>97</v>
      </c>
      <c r="H422" s="6">
        <f t="shared" si="76"/>
        <v>270</v>
      </c>
      <c r="I422" s="6">
        <f>IFERROR(VLOOKUP(C422,O.B.JUNE!$AA$7:$AF$448,6,0),0)</f>
        <v>164</v>
      </c>
      <c r="J422" s="6"/>
      <c r="K422" s="6">
        <f>IFERROR(VLOOKUP(C422,O.B.JUNE!$AA$7:$AG$448,7,0),0)</f>
        <v>3138336</v>
      </c>
      <c r="L422" s="6">
        <f>SUMIF('JUNE (물량흐름)'!$C$13:$C$502,'Direct labour(직접노무비)'!C422,'JUNE (물량흐름)'!$H$13:$H$502)+SUMIF('JUNE (물량흐름)'!$C$13:$C$502,'Direct labour(직접노무비)'!C422,'JUNE (물량흐름)'!$I$13:$I$502)</f>
        <v>0</v>
      </c>
      <c r="M422" s="6">
        <f t="shared" si="77"/>
        <v>0</v>
      </c>
      <c r="N422" s="6">
        <f t="shared" si="78"/>
        <v>0</v>
      </c>
      <c r="O422" s="6">
        <f t="shared" si="84"/>
        <v>0</v>
      </c>
      <c r="P422" s="6">
        <f>SUMIF('JUNE (물량흐름)'!$C$13:$C$502,C422,'JUNE (물량흐름)'!$T$13:$T$502)+SUMIF('JUNE (물량흐름)'!$C$13:$C$502,C422,'JUNE (물량흐름)'!$V$13:$V$502)+SUMIF('JUNE (물량흐름)'!$C$13:$C$502,C422,'JUNE (물량흐름)'!$U$13:$U$502)-SUMIF('JUNE (물량흐름)'!$C$13:$C$502,C422,'JUNE (물량흐름)'!$Y$13:$Y$502)</f>
        <v>65</v>
      </c>
      <c r="Q422" s="6">
        <f t="shared" si="85"/>
        <v>755525</v>
      </c>
      <c r="R422" s="6">
        <f>ROUND(IF(ISERROR(VLOOKUP(#REF!,'WIP(재공품)'!$B$12:$AB$38,13,0)),0,VLOOKUP(#REF!,'WIP(재공품)'!$B$12:$AB$38,13,0)),0)</f>
        <v>0</v>
      </c>
      <c r="S422" s="6">
        <f>IF(ISERROR(VLOOKUP(#REF!,'WIP(재공품)'!$B$12:$AB$38,10,0)),0,VLOOKUP(#REF!,'WIP(재공품)'!$B$12:$AB$38,10,0))</f>
        <v>0</v>
      </c>
      <c r="T422" s="6">
        <f>SUMIF('JUNE (물량흐름)'!$C$13:$C$502,'Direct labour(직접노무비)'!C422,'JUNE (물량흐름)'!$Y$13:$Y$502)</f>
        <v>0</v>
      </c>
      <c r="U422" s="6">
        <f t="shared" si="79"/>
        <v>0</v>
      </c>
      <c r="V422" s="6">
        <f>ROUND(SUMIF('JUNE (물량흐름)'!$C$13:$C$502,'Direct labour(직접노무비)'!C422,'JUNE (물량흐름)'!$N$13:$N$502),0)</f>
        <v>0</v>
      </c>
      <c r="W422" s="6">
        <f>ROUND(SUMIF('JUNE (물량흐름)'!$C$13:$C$502,'Direct labour(직접노무비)'!C422,'JUNE (물량흐름)'!$O$13:$O$502),0)</f>
        <v>152</v>
      </c>
      <c r="X422" s="6">
        <f>ROUND(SUMIF('JUNE (물량흐름)'!$C$13:$C$502,'Direct labour(직접노무비)'!C422,'JUNE (물량흐름)'!$P$13:$P$502),0)</f>
        <v>53</v>
      </c>
      <c r="Y422" s="6">
        <f t="shared" si="80"/>
        <v>205</v>
      </c>
      <c r="Z422" s="6">
        <f t="shared" si="81"/>
        <v>118</v>
      </c>
      <c r="AA422" s="6">
        <f t="shared" si="86"/>
        <v>2382811</v>
      </c>
      <c r="AB422" s="389">
        <f t="shared" si="82"/>
        <v>0</v>
      </c>
      <c r="AC422" s="503">
        <f t="shared" si="75"/>
        <v>0</v>
      </c>
      <c r="AD422" s="389">
        <f t="shared" si="83"/>
        <v>0</v>
      </c>
    </row>
    <row r="423" spans="1:30" s="390" customFormat="1">
      <c r="A423" s="167">
        <v>433</v>
      </c>
      <c r="B423" s="267" t="str">
        <f>VLOOKUP(A423,'JUNE (물량흐름)'!$A$13:$C$502,2,0)</f>
        <v>BAR III</v>
      </c>
      <c r="C423" s="240">
        <f>VLOOKUP(A423,'JUNE (물량흐름)'!$A$13:$C$502,3,0)</f>
        <v>100034267</v>
      </c>
      <c r="D423" s="6">
        <f>VLOOKUP(C423,'WIP(재공품)'!$B$12:$E$493,4,0)</f>
        <v>68478.5</v>
      </c>
      <c r="E423" s="6">
        <f>IFERROR(VLOOKUP(C423,O.B.JUNE!$AA$7:$AG$448,2,0),0)</f>
        <v>40</v>
      </c>
      <c r="F423" s="6">
        <f>IFERROR(VLOOKUP(C423,O.B.JUNE!$AA$7:$AG$448,3,0),0)</f>
        <v>1135</v>
      </c>
      <c r="G423" s="6">
        <f>IFERROR(VLOOKUP(C423,O.B.JUNE!$AA$7:$AD$448,4,0),0)</f>
        <v>571</v>
      </c>
      <c r="H423" s="6">
        <f t="shared" si="76"/>
        <v>1746</v>
      </c>
      <c r="I423" s="6">
        <f>IFERROR(VLOOKUP(C423,O.B.JUNE!$AA$7:$AF$448,6,0),0)</f>
        <v>1032</v>
      </c>
      <c r="J423" s="6"/>
      <c r="K423" s="6">
        <f>IFERROR(VLOOKUP(C423,O.B.JUNE!$AA$7:$AG$448,7,0),0)</f>
        <v>20268786</v>
      </c>
      <c r="L423" s="6">
        <f>SUMIF('JUNE (물량흐름)'!$C$13:$C$502,'Direct labour(직접노무비)'!C423,'JUNE (물량흐름)'!$H$13:$H$502)+SUMIF('JUNE (물량흐름)'!$C$13:$C$502,'Direct labour(직접노무비)'!C423,'JUNE (물량흐름)'!$I$13:$I$502)</f>
        <v>456</v>
      </c>
      <c r="M423" s="6">
        <f t="shared" si="77"/>
        <v>1156</v>
      </c>
      <c r="N423" s="6">
        <f t="shared" si="78"/>
        <v>79161146</v>
      </c>
      <c r="O423" s="6">
        <f t="shared" si="84"/>
        <v>24482461</v>
      </c>
      <c r="P423" s="6">
        <f>SUMIF('JUNE (물량흐름)'!$C$13:$C$502,C423,'JUNE (물량흐름)'!$T$13:$T$502)+SUMIF('JUNE (물량흐름)'!$C$13:$C$502,C423,'JUNE (물량흐름)'!$V$13:$V$502)+SUMIF('JUNE (물량흐름)'!$C$13:$C$502,C423,'JUNE (물량흐름)'!$U$13:$U$502)-SUMIF('JUNE (물량흐름)'!$C$13:$C$502,C423,'JUNE (물량흐름)'!$Y$13:$Y$502)</f>
        <v>2170</v>
      </c>
      <c r="Q423" s="6">
        <f t="shared" si="85"/>
        <v>44100911</v>
      </c>
      <c r="R423" s="6">
        <f>ROUND(IF(ISERROR(VLOOKUP(#REF!,'WIP(재공품)'!$B$12:$AB$38,13,0)),0,VLOOKUP(#REF!,'WIP(재공품)'!$B$12:$AB$38,13,0)),0)</f>
        <v>0</v>
      </c>
      <c r="S423" s="6">
        <f>IF(ISERROR(VLOOKUP(#REF!,'WIP(재공품)'!$B$12:$AB$38,10,0)),0,VLOOKUP(#REF!,'WIP(재공품)'!$B$12:$AB$38,10,0))</f>
        <v>0</v>
      </c>
      <c r="T423" s="6">
        <f>SUMIF('JUNE (물량흐름)'!$C$13:$C$502,'Direct labour(직접노무비)'!C423,'JUNE (물량흐름)'!$Y$13:$Y$502)</f>
        <v>0</v>
      </c>
      <c r="U423" s="6">
        <f t="shared" si="79"/>
        <v>0</v>
      </c>
      <c r="V423" s="6">
        <f>ROUND(SUMIF('JUNE (물량흐름)'!$C$13:$C$502,'Direct labour(직접노무비)'!C423,'JUNE (물량흐름)'!$N$13:$N$502),0)</f>
        <v>0</v>
      </c>
      <c r="W423" s="6">
        <f>ROUND(SUMIF('JUNE (물량흐름)'!$C$13:$C$502,'Direct labour(직접노무비)'!C423,'JUNE (물량흐름)'!$O$13:$O$502),0)</f>
        <v>26</v>
      </c>
      <c r="X423" s="6">
        <f>ROUND(SUMIF('JUNE (물량흐름)'!$C$13:$C$502,'Direct labour(직접노무비)'!C423,'JUNE (물량흐름)'!$P$13:$P$502),0)</f>
        <v>6</v>
      </c>
      <c r="Y423" s="6">
        <f t="shared" si="80"/>
        <v>32</v>
      </c>
      <c r="Z423" s="6">
        <f t="shared" si="81"/>
        <v>18</v>
      </c>
      <c r="AA423" s="6">
        <f t="shared" si="86"/>
        <v>650336</v>
      </c>
      <c r="AB423" s="389">
        <f t="shared" si="82"/>
        <v>0</v>
      </c>
      <c r="AC423" s="503">
        <f t="shared" si="75"/>
        <v>0</v>
      </c>
      <c r="AD423" s="389">
        <f t="shared" si="83"/>
        <v>0</v>
      </c>
    </row>
    <row r="424" spans="1:30" s="499" customFormat="1">
      <c r="A424" s="490">
        <v>434</v>
      </c>
      <c r="B424" s="501" t="str">
        <f>VLOOKUP(A424,'JUNE (물량흐름)'!$A$13:$C$502,2,0)</f>
        <v>TALBOTS</v>
      </c>
      <c r="C424" s="502">
        <f>VLOOKUP(A424,'JUNE (물량흐름)'!$A$13:$C$502,3,0)</f>
        <v>183034591</v>
      </c>
      <c r="D424" s="29">
        <f>VLOOKUP(C424,'WIP(재공품)'!$B$12:$E$493,4,0)</f>
        <v>84804.5</v>
      </c>
      <c r="E424" s="29">
        <f>IFERROR(VLOOKUP(C424,O.B.JUNE!$AA$7:$AG$448,2,0),0)</f>
        <v>0</v>
      </c>
      <c r="F424" s="29">
        <f>IFERROR(VLOOKUP(C424,O.B.JUNE!$AA$7:$AG$448,3,0),0)</f>
        <v>50</v>
      </c>
      <c r="G424" s="29">
        <f>IFERROR(VLOOKUP(C424,O.B.JUNE!$AA$7:$AD$448,4,0),0)</f>
        <v>78</v>
      </c>
      <c r="H424" s="29">
        <f t="shared" si="76"/>
        <v>128</v>
      </c>
      <c r="I424" s="29">
        <f>IFERROR(VLOOKUP(C424,O.B.JUNE!$AA$7:$AF$448,6,0),0)</f>
        <v>87</v>
      </c>
      <c r="J424" s="6"/>
      <c r="K424" s="29">
        <f>IFERROR(VLOOKUP(C424,O.B.JUNE!$AA$7:$AG$448,7,0),0)</f>
        <v>4441413</v>
      </c>
      <c r="L424" s="29">
        <f>SUMIF('JUNE (물량흐름)'!$C$13:$C$502,'Direct labour(직접노무비)'!C424,'JUNE (물량흐름)'!$H$13:$H$502)+SUMIF('JUNE (물량흐름)'!$C$13:$C$502,'Direct labour(직접노무비)'!C424,'JUNE (물량흐름)'!$I$13:$I$502)</f>
        <v>0</v>
      </c>
      <c r="M424" s="29">
        <f t="shared" si="77"/>
        <v>0</v>
      </c>
      <c r="N424" s="29">
        <f t="shared" si="78"/>
        <v>0</v>
      </c>
      <c r="O424" s="29">
        <f t="shared" si="84"/>
        <v>0</v>
      </c>
      <c r="P424" s="6">
        <f>SUMIF('JUNE (물량흐름)'!$C$13:$C$502,C424,'JUNE (물량흐름)'!$T$13:$T$502)+SUMIF('JUNE (물량흐름)'!$C$13:$C$502,C424,'JUNE (물량흐름)'!$V$13:$V$502)+SUMIF('JUNE (물량흐름)'!$C$13:$C$502,C424,'JUNE (물량흐름)'!$U$13:$U$502)-SUMIF('JUNE (물량흐름)'!$C$13:$C$502,C424,'JUNE (물량흐름)'!$Y$13:$Y$502)</f>
        <v>0</v>
      </c>
      <c r="Q424" s="6">
        <f t="shared" si="85"/>
        <v>0</v>
      </c>
      <c r="R424" s="6">
        <f>ROUND(IF(ISERROR(VLOOKUP(#REF!,'WIP(재공품)'!$B$12:$AB$38,13,0)),0,VLOOKUP(#REF!,'WIP(재공품)'!$B$12:$AB$38,13,0)),0)</f>
        <v>0</v>
      </c>
      <c r="S424" s="6">
        <f>IF(ISERROR(VLOOKUP(#REF!,'WIP(재공품)'!$B$12:$AB$38,10,0)),0,VLOOKUP(#REF!,'WIP(재공품)'!$B$12:$AB$38,10,0))</f>
        <v>0</v>
      </c>
      <c r="T424" s="29">
        <f>SUMIF('JUNE (물량흐름)'!$C$13:$C$502,'Direct labour(직접노무비)'!C424,'JUNE (물량흐름)'!$Y$13:$Y$502)</f>
        <v>0</v>
      </c>
      <c r="U424" s="29">
        <f t="shared" si="79"/>
        <v>0</v>
      </c>
      <c r="V424" s="29">
        <f>ROUND(SUMIF('JUNE (물량흐름)'!$C$13:$C$502,'Direct labour(직접노무비)'!C424,'JUNE (물량흐름)'!$N$13:$N$502),0)</f>
        <v>0</v>
      </c>
      <c r="W424" s="29">
        <f>ROUND(SUMIF('JUNE (물량흐름)'!$C$13:$C$502,'Direct labour(직접노무비)'!C424,'JUNE (물량흐름)'!$O$13:$O$502),0)</f>
        <v>50</v>
      </c>
      <c r="X424" s="29">
        <f>ROUND(SUMIF('JUNE (물량흐름)'!$C$13:$C$502,'Direct labour(직접노무비)'!C424,'JUNE (물량흐름)'!$P$13:$P$502),0)</f>
        <v>78</v>
      </c>
      <c r="Y424" s="29">
        <f t="shared" si="80"/>
        <v>128</v>
      </c>
      <c r="Z424" s="29">
        <f t="shared" si="81"/>
        <v>87</v>
      </c>
      <c r="AA424" s="6">
        <f t="shared" si="86"/>
        <v>4441413</v>
      </c>
      <c r="AB424" s="503">
        <f t="shared" si="82"/>
        <v>0</v>
      </c>
      <c r="AC424" s="503">
        <f t="shared" si="75"/>
        <v>0</v>
      </c>
      <c r="AD424" s="503">
        <f t="shared" si="83"/>
        <v>0</v>
      </c>
    </row>
    <row r="425" spans="1:30" s="390" customFormat="1">
      <c r="A425" s="167">
        <v>435</v>
      </c>
      <c r="B425" s="267" t="str">
        <f>VLOOKUP(A425,'JUNE (물량흐름)'!$A$13:$C$502,2,0)</f>
        <v>ALFANI</v>
      </c>
      <c r="C425" s="240" t="str">
        <f>VLOOKUP(A425,'JUNE (물량흐름)'!$A$13:$C$502,3,0)</f>
        <v xml:space="preserve">7X727 </v>
      </c>
      <c r="D425" s="6">
        <f>VLOOKUP(C425,'WIP(재공품)'!$B$12:$E$493,4,0)</f>
        <v>50565.25</v>
      </c>
      <c r="E425" s="6">
        <f>IFERROR(VLOOKUP(C425,O.B.JUNE!$AA$7:$AG$448,2,0),0)</f>
        <v>0</v>
      </c>
      <c r="F425" s="6">
        <f>IFERROR(VLOOKUP(C425,O.B.JUNE!$AA$7:$AG$448,3,0),0)</f>
        <v>5443</v>
      </c>
      <c r="G425" s="6">
        <f>IFERROR(VLOOKUP(C425,O.B.JUNE!$AA$7:$AD$448,4,0),0)</f>
        <v>2000</v>
      </c>
      <c r="H425" s="6">
        <f t="shared" si="76"/>
        <v>7443</v>
      </c>
      <c r="I425" s="6">
        <f>IFERROR(VLOOKUP(C425,O.B.JUNE!$AA$7:$AF$448,6,0),0)</f>
        <v>4322</v>
      </c>
      <c r="J425" s="6"/>
      <c r="K425" s="6">
        <f>IFERROR(VLOOKUP(C425,O.B.JUNE!$AA$7:$AG$448,7,0),0)</f>
        <v>48448426</v>
      </c>
      <c r="L425" s="6">
        <f>SUMIF('JUNE (물량흐름)'!$C$13:$C$502,'Direct labour(직접노무비)'!C425,'JUNE (물량흐름)'!$H$13:$H$502)+SUMIF('JUNE (물량흐름)'!$C$13:$C$502,'Direct labour(직접노무비)'!C425,'JUNE (물량흐름)'!$I$13:$I$502)</f>
        <v>5138</v>
      </c>
      <c r="M425" s="6">
        <f t="shared" si="77"/>
        <v>5743</v>
      </c>
      <c r="N425" s="6">
        <f t="shared" si="78"/>
        <v>290396231</v>
      </c>
      <c r="O425" s="6">
        <f t="shared" si="84"/>
        <v>89811918</v>
      </c>
      <c r="P425" s="6">
        <f>SUMIF('JUNE (물량흐름)'!$C$13:$C$502,C425,'JUNE (물량흐름)'!$T$13:$T$502)+SUMIF('JUNE (물량흐름)'!$C$13:$C$502,C425,'JUNE (물량흐름)'!$V$13:$V$502)+SUMIF('JUNE (물량흐름)'!$C$13:$C$502,C425,'JUNE (물량흐름)'!$U$13:$U$502)-SUMIF('JUNE (물량흐름)'!$C$13:$C$502,C425,'JUNE (물량흐름)'!$Y$13:$Y$502)</f>
        <v>0</v>
      </c>
      <c r="Q425" s="6">
        <f t="shared" si="85"/>
        <v>0</v>
      </c>
      <c r="R425" s="6">
        <f>ROUND(IF(ISERROR(VLOOKUP(#REF!,'WIP(재공품)'!$B$12:$AB$38,13,0)),0,VLOOKUP(#REF!,'WIP(재공품)'!$B$12:$AB$38,13,0)),0)</f>
        <v>0</v>
      </c>
      <c r="S425" s="6">
        <f>IF(ISERROR(VLOOKUP(#REF!,'WIP(재공품)'!$B$12:$AB$38,10,0)),0,VLOOKUP(#REF!,'WIP(재공품)'!$B$12:$AB$38,10,0))</f>
        <v>0</v>
      </c>
      <c r="T425" s="6">
        <f>SUMIF('JUNE (물량흐름)'!$C$13:$C$502,'Direct labour(직접노무비)'!C425,'JUNE (물량흐름)'!$Y$13:$Y$502)</f>
        <v>0</v>
      </c>
      <c r="U425" s="6">
        <f t="shared" si="79"/>
        <v>0</v>
      </c>
      <c r="V425" s="6">
        <f>ROUND(SUMIF('JUNE (물량흐름)'!$C$13:$C$502,'Direct labour(직접노무비)'!C425,'JUNE (물량흐름)'!$N$13:$N$502),0)</f>
        <v>0</v>
      </c>
      <c r="W425" s="6">
        <f>ROUND(SUMIF('JUNE (물량흐름)'!$C$13:$C$502,'Direct labour(직접노무비)'!C425,'JUNE (물량흐름)'!$O$13:$O$502),0)</f>
        <v>0</v>
      </c>
      <c r="X425" s="6">
        <f>ROUND(SUMIF('JUNE (물량흐름)'!$C$13:$C$502,'Direct labour(직접노무비)'!C425,'JUNE (물량흐름)'!$P$13:$P$502),0)</f>
        <v>12581</v>
      </c>
      <c r="Y425" s="6">
        <f t="shared" si="80"/>
        <v>12581</v>
      </c>
      <c r="Z425" s="6">
        <f t="shared" si="81"/>
        <v>10065</v>
      </c>
      <c r="AA425" s="6">
        <f t="shared" si="86"/>
        <v>138260344</v>
      </c>
      <c r="AB425" s="389">
        <f t="shared" si="82"/>
        <v>0</v>
      </c>
      <c r="AC425" s="503">
        <f t="shared" si="75"/>
        <v>0</v>
      </c>
      <c r="AD425" s="389">
        <f t="shared" si="83"/>
        <v>0</v>
      </c>
    </row>
    <row r="426" spans="1:30" s="390" customFormat="1">
      <c r="A426" s="167">
        <v>436</v>
      </c>
      <c r="B426" s="267" t="str">
        <f>VLOOKUP(A426,'JUNE (물량흐름)'!$A$13:$C$502,2,0)</f>
        <v>EILEEN FISHER</v>
      </c>
      <c r="C426" s="240" t="str">
        <f>VLOOKUP(A426,'JUNE (물량흐름)'!$A$13:$C$502,3,0)</f>
        <v>EESOQ-T4577</v>
      </c>
      <c r="D426" s="6">
        <f>VLOOKUP(C426,'WIP(재공품)'!$B$12:$E$493,4,0)</f>
        <v>139224.5</v>
      </c>
      <c r="E426" s="6">
        <f>IFERROR(VLOOKUP(C426,O.B.JUNE!$AA$7:$AG$448,2,0),0)</f>
        <v>0</v>
      </c>
      <c r="F426" s="6">
        <f>IFERROR(VLOOKUP(C426,O.B.JUNE!$AA$7:$AG$448,3,0),0)</f>
        <v>51</v>
      </c>
      <c r="G426" s="6">
        <f>IFERROR(VLOOKUP(C426,O.B.JUNE!$AA$7:$AD$448,4,0),0)</f>
        <v>612</v>
      </c>
      <c r="H426" s="6">
        <f t="shared" si="76"/>
        <v>663</v>
      </c>
      <c r="I426" s="6">
        <f>IFERROR(VLOOKUP(C426,O.B.JUNE!$AA$7:$AF$448,6,0),0)</f>
        <v>515</v>
      </c>
      <c r="J426" s="6"/>
      <c r="K426" s="6">
        <f>IFERROR(VLOOKUP(C426,O.B.JUNE!$AA$7:$AG$448,7,0),0)</f>
        <v>19497299</v>
      </c>
      <c r="L426" s="6">
        <f>SUMIF('JUNE (물량흐름)'!$C$13:$C$502,'Direct labour(직접노무비)'!C426,'JUNE (물량흐름)'!$H$13:$H$502)+SUMIF('JUNE (물량흐름)'!$C$13:$C$502,'Direct labour(직접노무비)'!C426,'JUNE (물량흐름)'!$I$13:$I$502)</f>
        <v>0</v>
      </c>
      <c r="M426" s="6">
        <f t="shared" si="77"/>
        <v>0</v>
      </c>
      <c r="N426" s="6">
        <f t="shared" si="78"/>
        <v>0</v>
      </c>
      <c r="O426" s="6">
        <f t="shared" si="84"/>
        <v>0</v>
      </c>
      <c r="P426" s="6">
        <f>SUMIF('JUNE (물량흐름)'!$C$13:$C$502,C426,'JUNE (물량흐름)'!$T$13:$T$502)+SUMIF('JUNE (물량흐름)'!$C$13:$C$502,C426,'JUNE (물량흐름)'!$V$13:$V$502)+SUMIF('JUNE (물량흐름)'!$C$13:$C$502,C426,'JUNE (물량흐름)'!$U$13:$U$502)-SUMIF('JUNE (물량흐름)'!$C$13:$C$502,C426,'JUNE (물량흐름)'!$Y$13:$Y$502)</f>
        <v>571</v>
      </c>
      <c r="Q426" s="6">
        <f t="shared" si="85"/>
        <v>16791791</v>
      </c>
      <c r="R426" s="6">
        <f>ROUND(IF(ISERROR(VLOOKUP(#REF!,'WIP(재공품)'!$B$12:$AB$38,13,0)),0,VLOOKUP(#REF!,'WIP(재공품)'!$B$12:$AB$38,13,0)),0)</f>
        <v>0</v>
      </c>
      <c r="S426" s="6">
        <f>IF(ISERROR(VLOOKUP(#REF!,'WIP(재공품)'!$B$12:$AB$38,10,0)),0,VLOOKUP(#REF!,'WIP(재공품)'!$B$12:$AB$38,10,0))</f>
        <v>0</v>
      </c>
      <c r="T426" s="6">
        <f>SUMIF('JUNE (물량흐름)'!$C$13:$C$502,'Direct labour(직접노무비)'!C426,'JUNE (물량흐름)'!$Y$13:$Y$502)</f>
        <v>2</v>
      </c>
      <c r="U426" s="6">
        <f t="shared" si="79"/>
        <v>58815</v>
      </c>
      <c r="V426" s="6">
        <f>ROUND(SUMIF('JUNE (물량흐름)'!$C$13:$C$502,'Direct labour(직접노무비)'!C426,'JUNE (물량흐름)'!$N$13:$N$502),0)</f>
        <v>0</v>
      </c>
      <c r="W426" s="6">
        <f>ROUND(SUMIF('JUNE (물량흐름)'!$C$13:$C$502,'Direct labour(직접노무비)'!C426,'JUNE (물량흐름)'!$O$13:$O$502),0)</f>
        <v>51</v>
      </c>
      <c r="X426" s="6">
        <f>ROUND(SUMIF('JUNE (물량흐름)'!$C$13:$C$502,'Direct labour(직접노무비)'!C426,'JUNE (물량흐름)'!$P$13:$P$502),0)</f>
        <v>39</v>
      </c>
      <c r="Y426" s="6">
        <f t="shared" si="80"/>
        <v>90</v>
      </c>
      <c r="Z426" s="6">
        <f t="shared" si="81"/>
        <v>57</v>
      </c>
      <c r="AA426" s="6">
        <f t="shared" si="86"/>
        <v>2646692</v>
      </c>
      <c r="AB426" s="389">
        <f t="shared" si="82"/>
        <v>1</v>
      </c>
      <c r="AC426" s="503">
        <f t="shared" si="75"/>
        <v>0</v>
      </c>
      <c r="AD426" s="389">
        <f t="shared" si="83"/>
        <v>0</v>
      </c>
    </row>
    <row r="427" spans="1:30" s="390" customFormat="1">
      <c r="A427" s="167">
        <v>437</v>
      </c>
      <c r="B427" s="267" t="str">
        <f>VLOOKUP(A427,'JUNE (물량흐름)'!$A$13:$C$502,2,0)</f>
        <v>EILEEN FISHER</v>
      </c>
      <c r="C427" s="240" t="str">
        <f>VLOOKUP(A427,'JUNE (물량흐름)'!$A$13:$C$502,3,0)</f>
        <v>F8SOQ-T4578M</v>
      </c>
      <c r="D427" s="6">
        <f>VLOOKUP(C427,'WIP(재공품)'!$B$12:$E$493,4,0)</f>
        <v>116096</v>
      </c>
      <c r="E427" s="6">
        <f>IFERROR(VLOOKUP(C427,O.B.JUNE!$AA$7:$AG$448,2,0),0)</f>
        <v>0</v>
      </c>
      <c r="F427" s="6">
        <f>IFERROR(VLOOKUP(C427,O.B.JUNE!$AA$7:$AG$448,3,0),0)</f>
        <v>32</v>
      </c>
      <c r="G427" s="6">
        <f>IFERROR(VLOOKUP(C427,O.B.JUNE!$AA$7:$AD$448,4,0),0)</f>
        <v>103</v>
      </c>
      <c r="H427" s="6">
        <f t="shared" si="76"/>
        <v>135</v>
      </c>
      <c r="I427" s="6">
        <f>IFERROR(VLOOKUP(C427,O.B.JUNE!$AA$7:$AF$448,6,0),0)</f>
        <v>98</v>
      </c>
      <c r="J427" s="6"/>
      <c r="K427" s="6">
        <f>IFERROR(VLOOKUP(C427,O.B.JUNE!$AA$7:$AG$448,7,0),0)</f>
        <v>4457269</v>
      </c>
      <c r="L427" s="6">
        <f>SUMIF('JUNE (물량흐름)'!$C$13:$C$502,'Direct labour(직접노무비)'!C427,'JUNE (물량흐름)'!$H$13:$H$502)+SUMIF('JUNE (물량흐름)'!$C$13:$C$502,'Direct labour(직접노무비)'!C427,'JUNE (물량흐름)'!$I$13:$I$502)</f>
        <v>0</v>
      </c>
      <c r="M427" s="6">
        <f t="shared" si="77"/>
        <v>0</v>
      </c>
      <c r="N427" s="6">
        <f t="shared" si="78"/>
        <v>0</v>
      </c>
      <c r="O427" s="6">
        <f t="shared" si="84"/>
        <v>0</v>
      </c>
      <c r="P427" s="6">
        <f>SUMIF('JUNE (물량흐름)'!$C$13:$C$502,C427,'JUNE (물량흐름)'!$T$13:$T$502)+SUMIF('JUNE (물량흐름)'!$C$13:$C$502,C427,'JUNE (물량흐름)'!$V$13:$V$502)+SUMIF('JUNE (물량흐름)'!$C$13:$C$502,C427,'JUNE (물량흐름)'!$U$13:$U$502)-SUMIF('JUNE (물량흐름)'!$C$13:$C$502,C427,'JUNE (물량흐름)'!$Y$13:$Y$502)</f>
        <v>62</v>
      </c>
      <c r="Q427" s="6">
        <f t="shared" si="85"/>
        <v>2047042</v>
      </c>
      <c r="R427" s="6">
        <f>ROUND(IF(ISERROR(VLOOKUP(#REF!,'WIP(재공품)'!$B$12:$AB$38,13,0)),0,VLOOKUP(#REF!,'WIP(재공품)'!$B$12:$AB$38,13,0)),0)</f>
        <v>0</v>
      </c>
      <c r="S427" s="6">
        <f>IF(ISERROR(VLOOKUP(#REF!,'WIP(재공품)'!$B$12:$AB$38,10,0)),0,VLOOKUP(#REF!,'WIP(재공품)'!$B$12:$AB$38,10,0))</f>
        <v>0</v>
      </c>
      <c r="T427" s="6">
        <f>SUMIF('JUNE (물량흐름)'!$C$13:$C$502,'Direct labour(직접노무비)'!C427,'JUNE (물량흐름)'!$Y$13:$Y$502)</f>
        <v>2</v>
      </c>
      <c r="U427" s="6">
        <f t="shared" si="79"/>
        <v>66034</v>
      </c>
      <c r="V427" s="6">
        <f>ROUND(SUMIF('JUNE (물량흐름)'!$C$13:$C$502,'Direct labour(직접노무비)'!C427,'JUNE (물량흐름)'!$N$13:$N$502),0)</f>
        <v>0</v>
      </c>
      <c r="W427" s="6">
        <f>ROUND(SUMIF('JUNE (물량흐름)'!$C$13:$C$502,'Direct labour(직접노무비)'!C427,'JUNE (물량흐름)'!$O$13:$O$502),0)</f>
        <v>32</v>
      </c>
      <c r="X427" s="6">
        <f>ROUND(SUMIF('JUNE (물량흐름)'!$C$13:$C$502,'Direct labour(직접노무비)'!C427,'JUNE (물량흐름)'!$P$13:$P$502),0)</f>
        <v>39</v>
      </c>
      <c r="Y427" s="6">
        <f t="shared" si="80"/>
        <v>71</v>
      </c>
      <c r="Z427" s="6">
        <f t="shared" si="81"/>
        <v>47</v>
      </c>
      <c r="AA427" s="6">
        <f t="shared" si="86"/>
        <v>2344193</v>
      </c>
      <c r="AB427" s="389">
        <f t="shared" si="82"/>
        <v>0</v>
      </c>
      <c r="AC427" s="503">
        <f t="shared" si="75"/>
        <v>0</v>
      </c>
      <c r="AD427" s="389">
        <f t="shared" si="83"/>
        <v>0</v>
      </c>
    </row>
    <row r="428" spans="1:30" s="390" customFormat="1">
      <c r="A428" s="167">
        <v>438</v>
      </c>
      <c r="B428" s="267" t="str">
        <f>VLOOKUP(A428,'JUNE (물량흐름)'!$A$13:$C$502,2,0)</f>
        <v>INC</v>
      </c>
      <c r="C428" s="240">
        <f>VLOOKUP(A428,'JUNE (물량흐름)'!$A$13:$C$502,3,0)</f>
        <v>100034276</v>
      </c>
      <c r="D428" s="6">
        <f>VLOOKUP(C428,'WIP(재공품)'!$B$12:$E$493,4,0)</f>
        <v>53966.5</v>
      </c>
      <c r="E428" s="6">
        <f>IFERROR(VLOOKUP(C428,O.B.JUNE!$AA$7:$AG$448,2,0),0)</f>
        <v>0</v>
      </c>
      <c r="F428" s="6">
        <f>IFERROR(VLOOKUP(C428,O.B.JUNE!$AA$7:$AG$448,3,0),0)</f>
        <v>1114</v>
      </c>
      <c r="G428" s="6">
        <f>IFERROR(VLOOKUP(C428,O.B.JUNE!$AA$7:$AD$448,4,0),0)</f>
        <v>521</v>
      </c>
      <c r="H428" s="6">
        <f t="shared" si="76"/>
        <v>1635</v>
      </c>
      <c r="I428" s="6">
        <f>IFERROR(VLOOKUP(C428,O.B.JUNE!$AA$7:$AF$448,6,0),0)</f>
        <v>974</v>
      </c>
      <c r="J428" s="6"/>
      <c r="K428" s="6">
        <f>IFERROR(VLOOKUP(C428,O.B.JUNE!$AA$7:$AG$448,7,0),0)</f>
        <v>21885663</v>
      </c>
      <c r="L428" s="6">
        <f>SUMIF('JUNE (물량흐름)'!$C$13:$C$502,'Direct labour(직접노무비)'!C428,'JUNE (물량흐름)'!$H$13:$H$502)+SUMIF('JUNE (물량흐름)'!$C$13:$C$502,'Direct labour(직접노무비)'!C428,'JUNE (물량흐름)'!$I$13:$I$502)</f>
        <v>0</v>
      </c>
      <c r="M428" s="6">
        <f t="shared" si="77"/>
        <v>0</v>
      </c>
      <c r="N428" s="6">
        <f t="shared" si="78"/>
        <v>0</v>
      </c>
      <c r="O428" s="6">
        <f t="shared" si="84"/>
        <v>0</v>
      </c>
      <c r="P428" s="6">
        <f>SUMIF('JUNE (물량흐름)'!$C$13:$C$502,C428,'JUNE (물량흐름)'!$T$13:$T$502)+SUMIF('JUNE (물량흐름)'!$C$13:$C$502,C428,'JUNE (물량흐름)'!$V$13:$V$502)+SUMIF('JUNE (물량흐름)'!$C$13:$C$502,C428,'JUNE (물량흐름)'!$U$13:$U$502)-SUMIF('JUNE (물량흐름)'!$C$13:$C$502,C428,'JUNE (물량흐름)'!$Y$13:$Y$502)</f>
        <v>1528</v>
      </c>
      <c r="Q428" s="6">
        <f t="shared" si="85"/>
        <v>20453390</v>
      </c>
      <c r="R428" s="6">
        <f>ROUND(IF(ISERROR(VLOOKUP(#REF!,'WIP(재공품)'!$B$12:$AB$38,13,0)),0,VLOOKUP(#REF!,'WIP(재공품)'!$B$12:$AB$38,13,0)),0)</f>
        <v>0</v>
      </c>
      <c r="S428" s="6">
        <f>IF(ISERROR(VLOOKUP(#REF!,'WIP(재공품)'!$B$12:$AB$38,10,0)),0,VLOOKUP(#REF!,'WIP(재공품)'!$B$12:$AB$38,10,0))</f>
        <v>0</v>
      </c>
      <c r="T428" s="6">
        <f>SUMIF('JUNE (물량흐름)'!$C$13:$C$502,'Direct labour(직접노무비)'!C428,'JUNE (물량흐름)'!$Y$13:$Y$502)</f>
        <v>4</v>
      </c>
      <c r="U428" s="6">
        <f t="shared" si="79"/>
        <v>53543</v>
      </c>
      <c r="V428" s="6">
        <f>ROUND(SUMIF('JUNE (물량흐름)'!$C$13:$C$502,'Direct labour(직접노무비)'!C428,'JUNE (물량흐름)'!$N$13:$N$502),0)</f>
        <v>0</v>
      </c>
      <c r="W428" s="6">
        <f>ROUND(SUMIF('JUNE (물량흐름)'!$C$13:$C$502,'Direct labour(직접노무비)'!C428,'JUNE (물량흐름)'!$O$13:$O$502),0)</f>
        <v>56</v>
      </c>
      <c r="X428" s="6">
        <f>ROUND(SUMIF('JUNE (물량흐름)'!$C$13:$C$502,'Direct labour(직접노무비)'!C428,'JUNE (물량흐름)'!$P$13:$P$502),0)</f>
        <v>47</v>
      </c>
      <c r="Y428" s="6">
        <f t="shared" si="80"/>
        <v>103</v>
      </c>
      <c r="Z428" s="6">
        <f t="shared" si="81"/>
        <v>66</v>
      </c>
      <c r="AA428" s="6">
        <f t="shared" si="86"/>
        <v>1378730</v>
      </c>
      <c r="AB428" s="389">
        <f t="shared" si="82"/>
        <v>0</v>
      </c>
      <c r="AC428" s="503">
        <f t="shared" si="75"/>
        <v>0</v>
      </c>
      <c r="AD428" s="389">
        <f t="shared" si="83"/>
        <v>0</v>
      </c>
    </row>
    <row r="429" spans="1:30" s="390" customFormat="1">
      <c r="A429" s="167">
        <v>439</v>
      </c>
      <c r="B429" s="267" t="str">
        <f>VLOOKUP(A429,'JUNE (물량흐름)'!$A$13:$C$502,2,0)</f>
        <v>TALBOTS</v>
      </c>
      <c r="C429" s="240">
        <f>VLOOKUP(A429,'JUNE (물량흐름)'!$A$13:$C$502,3,0)</f>
        <v>183033602</v>
      </c>
      <c r="D429" s="6">
        <f>VLOOKUP(C429,'WIP(재공품)'!$B$12:$E$493,4,0)</f>
        <v>51698.999999999993</v>
      </c>
      <c r="E429" s="6">
        <f>IFERROR(VLOOKUP(C429,O.B.JUNE!$AA$7:$AG$448,2,0),0)</f>
        <v>8425</v>
      </c>
      <c r="F429" s="6">
        <f>IFERROR(VLOOKUP(C429,O.B.JUNE!$AA$7:$AG$448,3,0),0)</f>
        <v>2902</v>
      </c>
      <c r="G429" s="6">
        <f>IFERROR(VLOOKUP(C429,O.B.JUNE!$AA$7:$AD$448,4,0),0)</f>
        <v>1088</v>
      </c>
      <c r="H429" s="6">
        <f t="shared" si="76"/>
        <v>12415</v>
      </c>
      <c r="I429" s="6">
        <f>IFERROR(VLOOKUP(C429,O.B.JUNE!$AA$7:$AF$448,6,0),0)</f>
        <v>4006</v>
      </c>
      <c r="J429" s="6"/>
      <c r="K429" s="6">
        <f>IFERROR(VLOOKUP(C429,O.B.JUNE!$AA$7:$AG$448,7,0),0)</f>
        <v>68494638</v>
      </c>
      <c r="L429" s="6">
        <f>SUMIF('JUNE (물량흐름)'!$C$13:$C$502,'Direct labour(직접노무비)'!C429,'JUNE (물량흐름)'!$H$13:$H$502)+SUMIF('JUNE (물량흐름)'!$C$13:$C$502,'Direct labour(직접노무비)'!C429,'JUNE (물량흐름)'!$I$13:$I$502)</f>
        <v>26873</v>
      </c>
      <c r="M429" s="6">
        <f t="shared" si="77"/>
        <v>33674</v>
      </c>
      <c r="N429" s="6">
        <f t="shared" si="78"/>
        <v>1740912126</v>
      </c>
      <c r="O429" s="6">
        <f t="shared" si="84"/>
        <v>538418342</v>
      </c>
      <c r="P429" s="6">
        <f>SUMIF('JUNE (물량흐름)'!$C$13:$C$502,C429,'JUNE (물량흐름)'!$T$13:$T$502)+SUMIF('JUNE (물량흐름)'!$C$13:$C$502,C429,'JUNE (물량흐름)'!$V$13:$V$502)+SUMIF('JUNE (물량흐름)'!$C$13:$C$502,C429,'JUNE (물량흐름)'!$U$13:$U$502)-SUMIF('JUNE (물량흐름)'!$C$13:$C$502,C429,'JUNE (물량흐름)'!$Y$13:$Y$502)</f>
        <v>34605</v>
      </c>
      <c r="Q429" s="6">
        <f t="shared" si="85"/>
        <v>534570955</v>
      </c>
      <c r="R429" s="6">
        <f>ROUND(IF(ISERROR(VLOOKUP(#REF!,'WIP(재공품)'!$B$12:$AB$38,13,0)),0,VLOOKUP(#REF!,'WIP(재공품)'!$B$12:$AB$38,13,0)),0)</f>
        <v>0</v>
      </c>
      <c r="S429" s="6">
        <f>IF(ISERROR(VLOOKUP(#REF!,'WIP(재공품)'!$B$12:$AB$38,10,0)),0,VLOOKUP(#REF!,'WIP(재공품)'!$B$12:$AB$38,10,0))</f>
        <v>0</v>
      </c>
      <c r="T429" s="6">
        <f>SUMIF('JUNE (물량흐름)'!$C$13:$C$502,'Direct labour(직접노무비)'!C429,'JUNE (물량흐름)'!$Y$13:$Y$502)</f>
        <v>0</v>
      </c>
      <c r="U429" s="6">
        <f t="shared" si="79"/>
        <v>0</v>
      </c>
      <c r="V429" s="6">
        <f>ROUND(SUMIF('JUNE (물량흐름)'!$C$13:$C$502,'Direct labour(직접노무비)'!C429,'JUNE (물량흐름)'!$N$13:$N$502),0)</f>
        <v>375</v>
      </c>
      <c r="W429" s="6">
        <f>ROUND(SUMIF('JUNE (물량흐름)'!$C$13:$C$502,'Direct labour(직접노무비)'!C429,'JUNE (물량흐름)'!$O$13:$O$502),0)</f>
        <v>1488</v>
      </c>
      <c r="X429" s="6">
        <f>ROUND(SUMIF('JUNE (물량흐름)'!$C$13:$C$502,'Direct labour(직접노무비)'!C429,'JUNE (물량흐름)'!$P$13:$P$502),0)</f>
        <v>2820</v>
      </c>
      <c r="Y429" s="6">
        <f t="shared" si="80"/>
        <v>4683</v>
      </c>
      <c r="Z429" s="6">
        <f t="shared" si="81"/>
        <v>3075</v>
      </c>
      <c r="AA429" s="6">
        <f t="shared" si="86"/>
        <v>72342025</v>
      </c>
      <c r="AB429" s="389">
        <f t="shared" si="82"/>
        <v>0</v>
      </c>
      <c r="AC429" s="503">
        <f t="shared" si="75"/>
        <v>0</v>
      </c>
      <c r="AD429" s="389">
        <f t="shared" si="83"/>
        <v>0</v>
      </c>
    </row>
    <row r="430" spans="1:30" s="390" customFormat="1">
      <c r="A430" s="167">
        <v>440</v>
      </c>
      <c r="B430" s="267" t="str">
        <f>VLOOKUP(A430,'JUNE (물량흐름)'!$A$13:$C$502,2,0)</f>
        <v>TALBOTS</v>
      </c>
      <c r="C430" s="240">
        <f>VLOOKUP(A430,'JUNE (물량흐름)'!$A$13:$C$502,3,0)</f>
        <v>183034592</v>
      </c>
      <c r="D430" s="6">
        <f>VLOOKUP(C430,'WIP(재공품)'!$B$12:$E$493,4,0)</f>
        <v>131061.5</v>
      </c>
      <c r="E430" s="6">
        <f>IFERROR(VLOOKUP(C430,O.B.JUNE!$AA$7:$AG$448,2,0),0)</f>
        <v>0</v>
      </c>
      <c r="F430" s="6">
        <f>IFERROR(VLOOKUP(C430,O.B.JUNE!$AA$7:$AG$448,3,0),0)</f>
        <v>292</v>
      </c>
      <c r="G430" s="6">
        <f>IFERROR(VLOOKUP(C430,O.B.JUNE!$AA$7:$AD$448,4,0),0)</f>
        <v>1287</v>
      </c>
      <c r="H430" s="6">
        <f t="shared" si="76"/>
        <v>1579</v>
      </c>
      <c r="I430" s="6">
        <f>IFERROR(VLOOKUP(C430,O.B.JUNE!$AA$7:$AF$448,6,0),0)</f>
        <v>1176</v>
      </c>
      <c r="J430" s="6"/>
      <c r="K430" s="6">
        <f>IFERROR(VLOOKUP(C430,O.B.JUNE!$AA$7:$AG$448,7,0),0)</f>
        <v>46695262</v>
      </c>
      <c r="L430" s="6">
        <f>SUMIF('JUNE (물량흐름)'!$C$13:$C$502,'Direct labour(직접노무비)'!C430,'JUNE (물량흐름)'!$H$13:$H$502)+SUMIF('JUNE (물량흐름)'!$C$13:$C$502,'Direct labour(직접노무비)'!C430,'JUNE (물량흐름)'!$I$13:$I$502)</f>
        <v>80</v>
      </c>
      <c r="M430" s="6">
        <f t="shared" si="77"/>
        <v>416</v>
      </c>
      <c r="N430" s="6">
        <f t="shared" si="78"/>
        <v>54521584</v>
      </c>
      <c r="O430" s="6">
        <f t="shared" si="84"/>
        <v>16862092</v>
      </c>
      <c r="P430" s="6">
        <f>SUMIF('JUNE (물량흐름)'!$C$13:$C$502,C430,'JUNE (물량흐름)'!$T$13:$T$502)+SUMIF('JUNE (물량흐름)'!$C$13:$C$502,C430,'JUNE (물량흐름)'!$V$13:$V$502)+SUMIF('JUNE (물량흐름)'!$C$13:$C$502,C430,'JUNE (물량흐름)'!$U$13:$U$502)-SUMIF('JUNE (물량흐름)'!$C$13:$C$502,C430,'JUNE (물량흐름)'!$Y$13:$Y$502)</f>
        <v>1483</v>
      </c>
      <c r="Q430" s="6">
        <f t="shared" si="85"/>
        <v>56814681</v>
      </c>
      <c r="R430" s="6">
        <f>ROUND(IF(ISERROR(VLOOKUP(#REF!,'WIP(재공품)'!$B$12:$AB$38,13,0)),0,VLOOKUP(#REF!,'WIP(재공품)'!$B$12:$AB$38,13,0)),0)</f>
        <v>0</v>
      </c>
      <c r="S430" s="6">
        <f>IF(ISERROR(VLOOKUP(#REF!,'WIP(재공품)'!$B$12:$AB$38,10,0)),0,VLOOKUP(#REF!,'WIP(재공품)'!$B$12:$AB$38,10,0))</f>
        <v>0</v>
      </c>
      <c r="T430" s="6">
        <f>SUMIF('JUNE (물량흐름)'!$C$13:$C$502,'Direct labour(직접노무비)'!C430,'JUNE (물량흐름)'!$Y$13:$Y$502)</f>
        <v>4</v>
      </c>
      <c r="U430" s="6">
        <f t="shared" si="79"/>
        <v>153243</v>
      </c>
      <c r="V430" s="6">
        <f>ROUND(SUMIF('JUNE (물량흐름)'!$C$13:$C$502,'Direct labour(직접노무비)'!C430,'JUNE (물량흐름)'!$N$13:$N$502),0)</f>
        <v>0</v>
      </c>
      <c r="W430" s="6">
        <f>ROUND(SUMIF('JUNE (물량흐름)'!$C$13:$C$502,'Direct labour(직접노무비)'!C430,'JUNE (물량흐름)'!$O$13:$O$502),0)</f>
        <v>108</v>
      </c>
      <c r="X430" s="6">
        <f>ROUND(SUMIF('JUNE (물량흐름)'!$C$13:$C$502,'Direct labour(직접노무비)'!C430,'JUNE (물량흐름)'!$P$13:$P$502),0)</f>
        <v>64</v>
      </c>
      <c r="Y430" s="6">
        <f t="shared" si="80"/>
        <v>172</v>
      </c>
      <c r="Z430" s="6">
        <f t="shared" si="81"/>
        <v>105</v>
      </c>
      <c r="AA430" s="6">
        <f t="shared" si="86"/>
        <v>6589430</v>
      </c>
      <c r="AB430" s="389">
        <f t="shared" si="82"/>
        <v>0</v>
      </c>
      <c r="AC430" s="503">
        <f t="shared" si="75"/>
        <v>0</v>
      </c>
      <c r="AD430" s="389">
        <f t="shared" si="83"/>
        <v>0</v>
      </c>
    </row>
    <row r="431" spans="1:30" s="390" customFormat="1">
      <c r="A431" s="167">
        <v>441</v>
      </c>
      <c r="B431" s="267" t="str">
        <f>VLOOKUP(A431,'JUNE (물량흐름)'!$A$13:$C$502,2,0)</f>
        <v>ANN TAYLOR</v>
      </c>
      <c r="C431" s="240">
        <f>VLOOKUP(A431,'JUNE (물량흐름)'!$A$13:$C$502,3,0)</f>
        <v>476154</v>
      </c>
      <c r="D431" s="6">
        <f>VLOOKUP(C431,'WIP(재공품)'!$B$12:$E$493,4,0)</f>
        <v>47844.25</v>
      </c>
      <c r="E431" s="6">
        <f>IFERROR(VLOOKUP(C431,O.B.JUNE!$AA$7:$AG$448,2,0),0)</f>
        <v>0</v>
      </c>
      <c r="F431" s="6">
        <f>IFERROR(VLOOKUP(C431,O.B.JUNE!$AA$7:$AG$448,3,0),0)</f>
        <v>1293</v>
      </c>
      <c r="G431" s="6">
        <f>IFERROR(VLOOKUP(C431,O.B.JUNE!$AA$7:$AD$448,4,0),0)</f>
        <v>5116</v>
      </c>
      <c r="H431" s="6">
        <f t="shared" si="76"/>
        <v>6409</v>
      </c>
      <c r="I431" s="6">
        <f>IFERROR(VLOOKUP(C431,O.B.JUNE!$AA$7:$AF$448,6,0),0)</f>
        <v>4739</v>
      </c>
      <c r="J431" s="6"/>
      <c r="K431" s="6">
        <f>IFERROR(VLOOKUP(C431,O.B.JUNE!$AA$7:$AG$448,7,0),0)</f>
        <v>63083420</v>
      </c>
      <c r="L431" s="6">
        <f>SUMIF('JUNE (물량흐름)'!$C$13:$C$502,'Direct labour(직접노무비)'!C431,'JUNE (물량흐름)'!$H$13:$H$502)+SUMIF('JUNE (물량흐름)'!$C$13:$C$502,'Direct labour(직접노무비)'!C431,'JUNE (물량흐름)'!$I$13:$I$502)</f>
        <v>3704</v>
      </c>
      <c r="M431" s="6">
        <f t="shared" si="77"/>
        <v>5052</v>
      </c>
      <c r="N431" s="6">
        <f t="shared" si="78"/>
        <v>241709151</v>
      </c>
      <c r="O431" s="6">
        <f t="shared" si="84"/>
        <v>74754284</v>
      </c>
      <c r="P431" s="6">
        <f>SUMIF('JUNE (물량흐름)'!$C$13:$C$502,C431,'JUNE (물량흐름)'!$T$13:$T$502)+SUMIF('JUNE (물량흐름)'!$C$13:$C$502,C431,'JUNE (물량흐름)'!$V$13:$V$502)+SUMIF('JUNE (물량흐름)'!$C$13:$C$502,C431,'JUNE (물량흐름)'!$U$13:$U$502)-SUMIF('JUNE (물량흐름)'!$C$13:$C$502,C431,'JUNE (물량흐름)'!$Y$13:$Y$502)</f>
        <v>9170</v>
      </c>
      <c r="Q431" s="6">
        <f t="shared" si="85"/>
        <v>124984846</v>
      </c>
      <c r="R431" s="6">
        <f>ROUND(IF(ISERROR(VLOOKUP(#REF!,'WIP(재공품)'!$B$12:$AB$38,13,0)),0,VLOOKUP(#REF!,'WIP(재공품)'!$B$12:$AB$38,13,0)),0)</f>
        <v>0</v>
      </c>
      <c r="S431" s="6">
        <f>IF(ISERROR(VLOOKUP(#REF!,'WIP(재공품)'!$B$12:$AB$38,10,0)),0,VLOOKUP(#REF!,'WIP(재공품)'!$B$12:$AB$38,10,0))</f>
        <v>0</v>
      </c>
      <c r="T431" s="6">
        <f>SUMIF('JUNE (물량흐름)'!$C$13:$C$502,'Direct labour(직접노무비)'!C431,'JUNE (물량흐름)'!$Y$13:$Y$502)</f>
        <v>20</v>
      </c>
      <c r="U431" s="6">
        <f t="shared" si="79"/>
        <v>272595</v>
      </c>
      <c r="V431" s="6">
        <f>ROUND(SUMIF('JUNE (물량흐름)'!$C$13:$C$502,'Direct labour(직접노무비)'!C431,'JUNE (물량흐름)'!$N$13:$N$502),0)</f>
        <v>0</v>
      </c>
      <c r="W431" s="6">
        <f>ROUND(SUMIF('JUNE (물량흐름)'!$C$13:$C$502,'Direct labour(직접노무비)'!C431,'JUNE (물량흐름)'!$O$13:$O$502),0)</f>
        <v>458</v>
      </c>
      <c r="X431" s="6">
        <f>ROUND(SUMIF('JUNE (물량흐름)'!$C$13:$C$502,'Direct labour(직접노무비)'!C431,'JUNE (물량흐름)'!$P$13:$P$502),0)</f>
        <v>465</v>
      </c>
      <c r="Y431" s="6">
        <f t="shared" si="80"/>
        <v>923</v>
      </c>
      <c r="Z431" s="6">
        <f t="shared" si="81"/>
        <v>601</v>
      </c>
      <c r="AA431" s="6">
        <f t="shared" si="86"/>
        <v>12580263</v>
      </c>
      <c r="AB431" s="389">
        <f t="shared" si="82"/>
        <v>0</v>
      </c>
      <c r="AC431" s="503">
        <f t="shared" si="75"/>
        <v>0</v>
      </c>
      <c r="AD431" s="389">
        <f t="shared" si="83"/>
        <v>0</v>
      </c>
    </row>
    <row r="432" spans="1:30" s="390" customFormat="1">
      <c r="A432" s="167">
        <v>442</v>
      </c>
      <c r="B432" s="267" t="str">
        <f>VLOOKUP(A432,'JUNE (물량흐름)'!$A$13:$C$502,2,0)</f>
        <v>ANN TAYLOR</v>
      </c>
      <c r="C432" s="240">
        <f>VLOOKUP(A432,'JUNE (물량흐름)'!$A$13:$C$502,3,0)</f>
        <v>483830</v>
      </c>
      <c r="D432" s="6">
        <f>VLOOKUP(C432,'WIP(재공품)'!$B$12:$E$493,4,0)</f>
        <v>43536</v>
      </c>
      <c r="E432" s="6">
        <f>IFERROR(VLOOKUP(C432,O.B.JUNE!$AA$7:$AG$448,2,0),0)</f>
        <v>1876</v>
      </c>
      <c r="F432" s="6">
        <f>IFERROR(VLOOKUP(C432,O.B.JUNE!$AA$7:$AG$448,3,0),0)</f>
        <v>4576</v>
      </c>
      <c r="G432" s="6">
        <f>IFERROR(VLOOKUP(C432,O.B.JUNE!$AA$7:$AD$448,4,0),0)</f>
        <v>2975</v>
      </c>
      <c r="H432" s="6">
        <f t="shared" si="76"/>
        <v>9427</v>
      </c>
      <c r="I432" s="6">
        <f>IFERROR(VLOOKUP(C432,O.B.JUNE!$AA$7:$AF$448,6,0),0)</f>
        <v>5043</v>
      </c>
      <c r="J432" s="6"/>
      <c r="K432" s="6">
        <f>IFERROR(VLOOKUP(C432,O.B.JUNE!$AA$7:$AG$448,7,0),0)</f>
        <v>73657945</v>
      </c>
      <c r="L432" s="6">
        <f>SUMIF('JUNE (물량흐름)'!$C$13:$C$502,'Direct labour(직접노무비)'!C432,'JUNE (물량흐름)'!$H$13:$H$502)+SUMIF('JUNE (물량흐름)'!$C$13:$C$502,'Direct labour(직접노무비)'!C432,'JUNE (물량흐름)'!$I$13:$I$502)</f>
        <v>32315</v>
      </c>
      <c r="M432" s="6">
        <f t="shared" si="77"/>
        <v>34763</v>
      </c>
      <c r="N432" s="6">
        <f t="shared" si="78"/>
        <v>1513441968</v>
      </c>
      <c r="O432" s="6">
        <f t="shared" si="84"/>
        <v>468067804</v>
      </c>
      <c r="P432" s="6">
        <f>SUMIF('JUNE (물량흐름)'!$C$13:$C$502,C432,'JUNE (물량흐름)'!$T$13:$T$502)+SUMIF('JUNE (물량흐름)'!$C$13:$C$502,C432,'JUNE (물량흐름)'!$V$13:$V$502)+SUMIF('JUNE (물량흐름)'!$C$13:$C$502,C432,'JUNE (물량흐름)'!$U$13:$U$502)-SUMIF('JUNE (물량흐름)'!$C$13:$C$502,C432,'JUNE (물량흐름)'!$Y$13:$Y$502)</f>
        <v>35092</v>
      </c>
      <c r="Q432" s="6">
        <f t="shared" si="85"/>
        <v>455422356</v>
      </c>
      <c r="R432" s="6">
        <f>ROUND(IF(ISERROR(VLOOKUP(#REF!,'WIP(재공품)'!$B$12:$AB$38,13,0)),0,VLOOKUP(#REF!,'WIP(재공품)'!$B$12:$AB$38,13,0)),0)</f>
        <v>0</v>
      </c>
      <c r="S432" s="6">
        <f>IF(ISERROR(VLOOKUP(#REF!,'WIP(재공품)'!$B$12:$AB$38,10,0)),0,VLOOKUP(#REF!,'WIP(재공품)'!$B$12:$AB$38,10,0))</f>
        <v>0</v>
      </c>
      <c r="T432" s="6">
        <f>SUMIF('JUNE (물량흐름)'!$C$13:$C$502,'Direct labour(직접노무비)'!C432,'JUNE (물량흐름)'!$Y$13:$Y$502)</f>
        <v>74</v>
      </c>
      <c r="U432" s="6">
        <f t="shared" si="79"/>
        <v>960369</v>
      </c>
      <c r="V432" s="6">
        <f>ROUND(SUMIF('JUNE (물량흐름)'!$C$13:$C$502,'Direct labour(직접노무비)'!C432,'JUNE (물량흐름)'!$N$13:$N$502),0)</f>
        <v>397</v>
      </c>
      <c r="W432" s="6">
        <f>ROUND(SUMIF('JUNE (물량흐름)'!$C$13:$C$502,'Direct labour(직접노무비)'!C432,'JUNE (물량흐름)'!$O$13:$O$502),0)</f>
        <v>1274</v>
      </c>
      <c r="X432" s="6">
        <f>ROUND(SUMIF('JUNE (물량흐름)'!$C$13:$C$502,'Direct labour(직접노무비)'!C432,'JUNE (물량흐름)'!$P$13:$P$502),0)</f>
        <v>4905</v>
      </c>
      <c r="Y432" s="6">
        <f t="shared" si="80"/>
        <v>6576</v>
      </c>
      <c r="Z432" s="6">
        <f t="shared" si="81"/>
        <v>4640</v>
      </c>
      <c r="AA432" s="6">
        <f t="shared" si="86"/>
        <v>85343024</v>
      </c>
      <c r="AB432" s="389">
        <f t="shared" si="82"/>
        <v>0</v>
      </c>
      <c r="AC432" s="503">
        <f t="shared" si="75"/>
        <v>0</v>
      </c>
      <c r="AD432" s="389">
        <f t="shared" si="83"/>
        <v>0</v>
      </c>
    </row>
    <row r="433" spans="1:30" s="390" customFormat="1">
      <c r="A433" s="167">
        <v>443</v>
      </c>
      <c r="B433" s="267" t="str">
        <f>VLOOKUP(A433,'JUNE (물량흐름)'!$A$13:$C$502,2,0)</f>
        <v>ALFANI</v>
      </c>
      <c r="C433" s="240">
        <f>VLOOKUP(A433,'JUNE (물량흐름)'!$A$13:$C$502,3,0)</f>
        <v>79718</v>
      </c>
      <c r="D433" s="6">
        <f>VLOOKUP(C433,'WIP(재공품)'!$B$12:$E$493,4,0)</f>
        <v>56687.5</v>
      </c>
      <c r="E433" s="6">
        <f>IFERROR(VLOOKUP(C433,O.B.JUNE!$AA$7:$AG$448,2,0),0)</f>
        <v>0</v>
      </c>
      <c r="F433" s="6">
        <f>IFERROR(VLOOKUP(C433,O.B.JUNE!$AA$7:$AG$448,3,0),0)</f>
        <v>0</v>
      </c>
      <c r="G433" s="6">
        <f>IFERROR(VLOOKUP(C433,O.B.JUNE!$AA$7:$AD$448,4,0),0)</f>
        <v>0</v>
      </c>
      <c r="H433" s="6">
        <f t="shared" si="76"/>
        <v>0</v>
      </c>
      <c r="I433" s="6">
        <f>IFERROR(VLOOKUP(C433,O.B.JUNE!$AA$7:$AF$448,6,0),0)</f>
        <v>0</v>
      </c>
      <c r="J433" s="6"/>
      <c r="K433" s="6">
        <f>IFERROR(VLOOKUP(C433,O.B.JUNE!$AA$7:$AG$448,7,0),0)</f>
        <v>0</v>
      </c>
      <c r="L433" s="6">
        <f>SUMIF('JUNE (물량흐름)'!$C$13:$C$502,'Direct labour(직접노무비)'!C433,'JUNE (물량흐름)'!$H$13:$H$502)+SUMIF('JUNE (물량흐름)'!$C$13:$C$502,'Direct labour(직접노무비)'!C433,'JUNE (물량흐름)'!$I$13:$I$502)</f>
        <v>5399</v>
      </c>
      <c r="M433" s="6">
        <f t="shared" si="77"/>
        <v>4609</v>
      </c>
      <c r="N433" s="6">
        <f t="shared" si="78"/>
        <v>261272688</v>
      </c>
      <c r="O433" s="6">
        <f t="shared" si="84"/>
        <v>80804772</v>
      </c>
      <c r="P433" s="6">
        <f>SUMIF('JUNE (물량흐름)'!$C$13:$C$502,C433,'JUNE (물량흐름)'!$T$13:$T$502)+SUMIF('JUNE (물량흐름)'!$C$13:$C$502,C433,'JUNE (물량흐름)'!$V$13:$V$502)+SUMIF('JUNE (물량흐름)'!$C$13:$C$502,C433,'JUNE (물량흐름)'!$U$13:$U$502)-SUMIF('JUNE (물량흐름)'!$C$13:$C$502,C433,'JUNE (물량흐름)'!$Y$13:$Y$502)</f>
        <v>3120</v>
      </c>
      <c r="Q433" s="6">
        <f t="shared" si="85"/>
        <v>46695849</v>
      </c>
      <c r="R433" s="6">
        <f>ROUND(IF(ISERROR(VLOOKUP(#REF!,'WIP(재공품)'!$B$12:$AB$38,13,0)),0,VLOOKUP(#REF!,'WIP(재공품)'!$B$12:$AB$38,13,0)),0)</f>
        <v>0</v>
      </c>
      <c r="S433" s="6">
        <f>IF(ISERROR(VLOOKUP(#REF!,'WIP(재공품)'!$B$12:$AB$38,10,0)),0,VLOOKUP(#REF!,'WIP(재공품)'!$B$12:$AB$38,10,0))</f>
        <v>0</v>
      </c>
      <c r="T433" s="6">
        <f>SUMIF('JUNE (물량흐름)'!$C$13:$C$502,'Direct labour(직접노무비)'!C433,'JUNE (물량흐름)'!$Y$13:$Y$502)</f>
        <v>0</v>
      </c>
      <c r="U433" s="6">
        <f t="shared" si="79"/>
        <v>0</v>
      </c>
      <c r="V433" s="6">
        <f>ROUND(SUMIF('JUNE (물량흐름)'!$C$13:$C$502,'Direct labour(직접노무비)'!C433,'JUNE (물량흐름)'!$N$13:$N$502),0)</f>
        <v>1</v>
      </c>
      <c r="W433" s="6">
        <f>ROUND(SUMIF('JUNE (물량흐름)'!$C$13:$C$502,'Direct labour(직접노무비)'!C433,'JUNE (물량흐름)'!$O$13:$O$502),0)</f>
        <v>1113</v>
      </c>
      <c r="X433" s="6">
        <f>ROUND(SUMIF('JUNE (물량흐름)'!$C$13:$C$502,'Direct labour(직접노무비)'!C433,'JUNE (물량흐름)'!$P$13:$P$502),0)</f>
        <v>1165</v>
      </c>
      <c r="Y433" s="6">
        <f t="shared" si="80"/>
        <v>2279</v>
      </c>
      <c r="Z433" s="6">
        <f t="shared" si="81"/>
        <v>1489</v>
      </c>
      <c r="AA433" s="6">
        <f t="shared" si="86"/>
        <v>34108923</v>
      </c>
      <c r="AB433" s="389">
        <f t="shared" si="82"/>
        <v>0</v>
      </c>
      <c r="AC433" s="503">
        <f t="shared" si="75"/>
        <v>0</v>
      </c>
      <c r="AD433" s="389">
        <f t="shared" si="83"/>
        <v>0</v>
      </c>
    </row>
    <row r="434" spans="1:30" s="390" customFormat="1">
      <c r="A434" s="167">
        <v>444</v>
      </c>
      <c r="B434" s="267" t="str">
        <f>VLOOKUP(A434,'JUNE (물량흐름)'!$A$13:$C$502,2,0)</f>
        <v>ANN TAYLOR</v>
      </c>
      <c r="C434" s="240">
        <f>VLOOKUP(A434,'JUNE (물량흐름)'!$A$13:$C$502,3,0)</f>
        <v>470392</v>
      </c>
      <c r="D434" s="6">
        <f>VLOOKUP(C434,'WIP(재공품)'!$B$12:$E$493,4,0)</f>
        <v>48751.25</v>
      </c>
      <c r="E434" s="6">
        <f>IFERROR(VLOOKUP(C434,O.B.JUNE!$AA$7:$AG$448,2,0),0)</f>
        <v>0</v>
      </c>
      <c r="F434" s="6">
        <f>IFERROR(VLOOKUP(C434,O.B.JUNE!$AA$7:$AG$448,3,0),0)</f>
        <v>0</v>
      </c>
      <c r="G434" s="6">
        <f>IFERROR(VLOOKUP(C434,O.B.JUNE!$AA$7:$AD$448,4,0),0)</f>
        <v>0</v>
      </c>
      <c r="H434" s="6">
        <f t="shared" ref="H434:H487" si="87">ROUND(SUM(E434:G434),0)</f>
        <v>0</v>
      </c>
      <c r="I434" s="6">
        <f>IFERROR(VLOOKUP(C434,O.B.JUNE!$AA$7:$AF$448,6,0),0)</f>
        <v>0</v>
      </c>
      <c r="J434" s="6"/>
      <c r="K434" s="6">
        <f>IFERROR(VLOOKUP(C434,O.B.JUNE!$AA$7:$AG$448,7,0),0)</f>
        <v>0</v>
      </c>
      <c r="L434" s="6">
        <f>SUMIF('JUNE (물량흐름)'!$C$13:$C$502,'Direct labour(직접노무비)'!C434,'JUNE (물량흐름)'!$H$13:$H$502)+SUMIF('JUNE (물량흐름)'!$C$13:$C$502,'Direct labour(직접노무비)'!C434,'JUNE (물량흐름)'!$I$13:$I$502)</f>
        <v>4122</v>
      </c>
      <c r="M434" s="6">
        <f t="shared" ref="M434:M487" si="88">ROUND(IF(OR(L434&lt;=0,P434+T434+R434+Z434-I434&lt;0),0,ROUND(P434+T434+R434+Z434-I434,0)),0)</f>
        <v>2092</v>
      </c>
      <c r="N434" s="6">
        <f t="shared" ref="N434:N487" si="89">ROUND(M434*D434,0)</f>
        <v>101987615</v>
      </c>
      <c r="O434" s="6">
        <f t="shared" si="84"/>
        <v>31542087</v>
      </c>
      <c r="P434" s="6">
        <f>SUMIF('JUNE (물량흐름)'!$C$13:$C$502,C434,'JUNE (물량흐름)'!$T$13:$T$502)+SUMIF('JUNE (물량흐름)'!$C$13:$C$502,C434,'JUNE (물량흐름)'!$V$13:$V$502)+SUMIF('JUNE (물량흐름)'!$C$13:$C$502,C434,'JUNE (물량흐름)'!$U$13:$U$502)-SUMIF('JUNE (물량흐름)'!$C$13:$C$502,C434,'JUNE (물량흐름)'!$Y$13:$Y$502)</f>
        <v>0</v>
      </c>
      <c r="Q434" s="6">
        <f t="shared" si="85"/>
        <v>0</v>
      </c>
      <c r="R434" s="6">
        <f>ROUND(IF(ISERROR(VLOOKUP(#REF!,'WIP(재공품)'!$B$12:$AB$38,13,0)),0,VLOOKUP(#REF!,'WIP(재공품)'!$B$12:$AB$38,13,0)),0)</f>
        <v>0</v>
      </c>
      <c r="S434" s="6">
        <f>IF(ISERROR(VLOOKUP(#REF!,'WIP(재공품)'!$B$12:$AB$38,10,0)),0,VLOOKUP(#REF!,'WIP(재공품)'!$B$12:$AB$38,10,0))</f>
        <v>0</v>
      </c>
      <c r="T434" s="6">
        <f>SUMIF('JUNE (물량흐름)'!$C$13:$C$502,'Direct labour(직접노무비)'!C434,'JUNE (물량흐름)'!$Y$13:$Y$502)</f>
        <v>0</v>
      </c>
      <c r="U434" s="6">
        <f t="shared" si="79"/>
        <v>0</v>
      </c>
      <c r="V434" s="6">
        <f>ROUND(SUMIF('JUNE (물량흐름)'!$C$13:$C$502,'Direct labour(직접노무비)'!C434,'JUNE (물량흐름)'!$N$13:$N$502),0)</f>
        <v>798</v>
      </c>
      <c r="W434" s="6">
        <f>ROUND(SUMIF('JUNE (물량흐름)'!$C$13:$C$502,'Direct labour(직접노무비)'!C434,'JUNE (물량흐름)'!$O$13:$O$502),0)</f>
        <v>2424</v>
      </c>
      <c r="X434" s="6">
        <f>ROUND(SUMIF('JUNE (물량흐름)'!$C$13:$C$502,'Direct labour(직접노무비)'!C434,'JUNE (물량흐름)'!$P$13:$P$502),0)</f>
        <v>900</v>
      </c>
      <c r="Y434" s="6">
        <f t="shared" ref="Y434:Y487" si="90">ROUND(SUM(V434:X434),0)</f>
        <v>4122</v>
      </c>
      <c r="Z434" s="6">
        <f t="shared" ref="Z434:Z487" si="91">ROUND(V434*$V$10+W434*$W$10+X434*$X$10,0)</f>
        <v>2092</v>
      </c>
      <c r="AA434" s="6">
        <f t="shared" si="86"/>
        <v>31542087</v>
      </c>
      <c r="AB434" s="389">
        <f t="shared" si="82"/>
        <v>0</v>
      </c>
      <c r="AC434" s="503">
        <f t="shared" si="75"/>
        <v>0</v>
      </c>
      <c r="AD434" s="389">
        <f t="shared" si="83"/>
        <v>0</v>
      </c>
    </row>
    <row r="435" spans="1:30" s="390" customFormat="1">
      <c r="A435" s="167">
        <v>445</v>
      </c>
      <c r="B435" s="267" t="str">
        <f>VLOOKUP(A435,'JUNE (물량흐름)'!$A$13:$C$502,2,0)</f>
        <v>ANN TAYLOR</v>
      </c>
      <c r="C435" s="240">
        <f>VLOOKUP(A435,'JUNE (물량흐름)'!$A$13:$C$502,3,0)</f>
        <v>471300</v>
      </c>
      <c r="D435" s="6">
        <f>VLOOKUP(C435,'WIP(재공품)'!$B$12:$E$493,4,0)</f>
        <v>82763.75</v>
      </c>
      <c r="E435" s="6">
        <f>IFERROR(VLOOKUP(C435,O.B.JUNE!$AA$7:$AG$448,2,0),0)</f>
        <v>0</v>
      </c>
      <c r="F435" s="6">
        <f>IFERROR(VLOOKUP(C435,O.B.JUNE!$AA$7:$AG$448,3,0),0)</f>
        <v>0</v>
      </c>
      <c r="G435" s="6">
        <f>IFERROR(VLOOKUP(C435,O.B.JUNE!$AA$7:$AD$448,4,0),0)</f>
        <v>0</v>
      </c>
      <c r="H435" s="6">
        <f t="shared" si="87"/>
        <v>0</v>
      </c>
      <c r="I435" s="6">
        <f>IFERROR(VLOOKUP(C435,O.B.JUNE!$AA$7:$AF$448,6,0),0)</f>
        <v>0</v>
      </c>
      <c r="J435" s="6"/>
      <c r="K435" s="6">
        <f>IFERROR(VLOOKUP(C435,O.B.JUNE!$AA$7:$AG$448,7,0),0)</f>
        <v>0</v>
      </c>
      <c r="L435" s="6">
        <f>SUMIF('JUNE (물량흐름)'!$C$13:$C$502,'Direct labour(직접노무비)'!C435,'JUNE (물량흐름)'!$H$13:$H$502)+SUMIF('JUNE (물량흐름)'!$C$13:$C$502,'Direct labour(직접노무비)'!C435,'JUNE (물량흐름)'!$I$13:$I$502)</f>
        <v>1308</v>
      </c>
      <c r="M435" s="6">
        <f t="shared" si="88"/>
        <v>1250</v>
      </c>
      <c r="N435" s="6">
        <f t="shared" si="89"/>
        <v>103454688</v>
      </c>
      <c r="O435" s="6">
        <f t="shared" si="84"/>
        <v>31995814</v>
      </c>
      <c r="P435" s="6">
        <f>SUMIF('JUNE (물량흐름)'!$C$13:$C$502,C435,'JUNE (물량흐름)'!$T$13:$T$502)+SUMIF('JUNE (물량흐름)'!$C$13:$C$502,C435,'JUNE (물량흐름)'!$V$13:$V$502)+SUMIF('JUNE (물량흐름)'!$C$13:$C$502,C435,'JUNE (물량흐름)'!$U$13:$U$502)-SUMIF('JUNE (물량흐름)'!$C$13:$C$502,C435,'JUNE (물량흐름)'!$Y$13:$Y$502)</f>
        <v>1143</v>
      </c>
      <c r="Q435" s="6">
        <f t="shared" si="85"/>
        <v>27959645</v>
      </c>
      <c r="R435" s="6">
        <f>ROUND(IF(ISERROR(VLOOKUP(#REF!,'WIP(재공품)'!$B$12:$AB$38,13,0)),0,VLOOKUP(#REF!,'WIP(재공품)'!$B$12:$AB$38,13,0)),0)</f>
        <v>0</v>
      </c>
      <c r="S435" s="6">
        <f>IF(ISERROR(VLOOKUP(#REF!,'WIP(재공품)'!$B$12:$AB$38,10,0)),0,VLOOKUP(#REF!,'WIP(재공품)'!$B$12:$AB$38,10,0))</f>
        <v>0</v>
      </c>
      <c r="T435" s="6">
        <f>SUMIF('JUNE (물량흐름)'!$C$13:$C$502,'Direct labour(직접노무비)'!C435,'JUNE (물량흐름)'!$Y$13:$Y$502)</f>
        <v>12</v>
      </c>
      <c r="U435" s="6">
        <f t="shared" si="79"/>
        <v>293540</v>
      </c>
      <c r="V435" s="6">
        <f>ROUND(SUMIF('JUNE (물량흐름)'!$C$13:$C$502,'Direct labour(직접노무비)'!C435,'JUNE (물량흐름)'!$N$13:$N$502),0)</f>
        <v>0</v>
      </c>
      <c r="W435" s="6">
        <f>ROUND(SUMIF('JUNE (물량흐름)'!$C$13:$C$502,'Direct labour(직접노무비)'!C435,'JUNE (물량흐름)'!$O$13:$O$502),0)</f>
        <v>91</v>
      </c>
      <c r="X435" s="6">
        <f>ROUND(SUMIF('JUNE (물량흐름)'!$C$13:$C$502,'Direct labour(직접노무비)'!C435,'JUNE (물량흐름)'!$P$13:$P$502),0)</f>
        <v>62</v>
      </c>
      <c r="Y435" s="6">
        <f t="shared" si="90"/>
        <v>153</v>
      </c>
      <c r="Z435" s="6">
        <f t="shared" si="91"/>
        <v>95</v>
      </c>
      <c r="AA435" s="6">
        <f t="shared" si="86"/>
        <v>3742630</v>
      </c>
      <c r="AB435" s="389">
        <f t="shared" si="82"/>
        <v>-1</v>
      </c>
      <c r="AC435" s="503">
        <f t="shared" si="75"/>
        <v>0</v>
      </c>
      <c r="AD435" s="389">
        <f t="shared" si="83"/>
        <v>0</v>
      </c>
    </row>
    <row r="436" spans="1:30" s="390" customFormat="1">
      <c r="A436" s="167">
        <v>446</v>
      </c>
      <c r="B436" s="267" t="str">
        <f>VLOOKUP(A436,'JUNE (물량흐름)'!$A$13:$C$502,2,0)</f>
        <v>ANN TAYLOR</v>
      </c>
      <c r="C436" s="240">
        <f>VLOOKUP(A436,'JUNE (물량흐름)'!$A$13:$C$502,3,0)</f>
        <v>474934</v>
      </c>
      <c r="D436" s="6">
        <f>VLOOKUP(C436,'WIP(재공품)'!$B$12:$E$493,4,0)</f>
        <v>43309.25</v>
      </c>
      <c r="E436" s="6">
        <f>IFERROR(VLOOKUP(C436,O.B.JUNE!$AA$7:$AG$448,2,0),0)</f>
        <v>0</v>
      </c>
      <c r="F436" s="6">
        <f>IFERROR(VLOOKUP(C436,O.B.JUNE!$AA$7:$AG$448,3,0),0)</f>
        <v>0</v>
      </c>
      <c r="G436" s="6">
        <f>IFERROR(VLOOKUP(C436,O.B.JUNE!$AA$7:$AD$448,4,0),0)</f>
        <v>0</v>
      </c>
      <c r="H436" s="6">
        <f t="shared" si="87"/>
        <v>0</v>
      </c>
      <c r="I436" s="6">
        <f>IFERROR(VLOOKUP(C436,O.B.JUNE!$AA$7:$AF$448,6,0),0)</f>
        <v>0</v>
      </c>
      <c r="J436" s="6"/>
      <c r="K436" s="6">
        <f>IFERROR(VLOOKUP(C436,O.B.JUNE!$AA$7:$AG$448,7,0),0)</f>
        <v>0</v>
      </c>
      <c r="L436" s="6">
        <f>SUMIF('JUNE (물량흐름)'!$C$13:$C$502,'Direct labour(직접노무비)'!C436,'JUNE (물량흐름)'!$H$13:$H$502)+SUMIF('JUNE (물량흐름)'!$C$13:$C$502,'Direct labour(직접노무비)'!C436,'JUNE (물량흐름)'!$I$13:$I$502)</f>
        <v>8958</v>
      </c>
      <c r="M436" s="6">
        <f t="shared" si="88"/>
        <v>4634</v>
      </c>
      <c r="N436" s="6">
        <f t="shared" si="89"/>
        <v>200695065</v>
      </c>
      <c r="O436" s="6">
        <f t="shared" si="84"/>
        <v>62069706</v>
      </c>
      <c r="P436" s="6">
        <f>SUMIF('JUNE (물량흐름)'!$C$13:$C$502,C436,'JUNE (물량흐름)'!$T$13:$T$502)+SUMIF('JUNE (물량흐름)'!$C$13:$C$502,C436,'JUNE (물량흐름)'!$V$13:$V$502)+SUMIF('JUNE (물량흐름)'!$C$13:$C$502,C436,'JUNE (물량흐름)'!$U$13:$U$502)-SUMIF('JUNE (물량흐름)'!$C$13:$C$502,C436,'JUNE (물량흐름)'!$Y$13:$Y$502)</f>
        <v>1573</v>
      </c>
      <c r="Q436" s="6">
        <f t="shared" si="85"/>
        <v>10899269</v>
      </c>
      <c r="R436" s="6">
        <f>ROUND(IF(ISERROR(VLOOKUP(#REF!,'WIP(재공품)'!$B$12:$AB$38,13,0)),0,VLOOKUP(#REF!,'WIP(재공품)'!$B$12:$AB$38,13,0)),0)</f>
        <v>0</v>
      </c>
      <c r="S436" s="6">
        <f>IF(ISERROR(VLOOKUP(#REF!,'WIP(재공품)'!$B$12:$AB$38,10,0)),0,VLOOKUP(#REF!,'WIP(재공품)'!$B$12:$AB$38,10,0))</f>
        <v>0</v>
      </c>
      <c r="T436" s="6">
        <f>SUMIF('JUNE (물량흐름)'!$C$13:$C$502,'Direct labour(직접노무비)'!C436,'JUNE (물량흐름)'!$Y$13:$Y$502)</f>
        <v>0</v>
      </c>
      <c r="U436" s="6">
        <f t="shared" si="79"/>
        <v>0</v>
      </c>
      <c r="V436" s="6">
        <f>ROUND(SUMIF('JUNE (물량흐름)'!$C$13:$C$502,'Direct labour(직접노무비)'!C436,'JUNE (물량흐름)'!$N$13:$N$502),0)</f>
        <v>4217</v>
      </c>
      <c r="W436" s="6">
        <f>ROUND(SUMIF('JUNE (물량흐름)'!$C$13:$C$502,'Direct labour(직접노무비)'!C436,'JUNE (물량흐름)'!$O$13:$O$502),0)</f>
        <v>1055</v>
      </c>
      <c r="X436" s="6">
        <f>ROUND(SUMIF('JUNE (물량흐름)'!$C$13:$C$502,'Direct labour(직접노무비)'!C436,'JUNE (물량흐름)'!$P$13:$P$502),0)</f>
        <v>2113</v>
      </c>
      <c r="Y436" s="6">
        <f t="shared" si="90"/>
        <v>7385</v>
      </c>
      <c r="Z436" s="6">
        <f t="shared" si="91"/>
        <v>3061</v>
      </c>
      <c r="AA436" s="6">
        <f t="shared" si="86"/>
        <v>51170437</v>
      </c>
      <c r="AB436" s="389">
        <f t="shared" si="82"/>
        <v>0</v>
      </c>
      <c r="AC436" s="503">
        <f t="shared" si="75"/>
        <v>0</v>
      </c>
      <c r="AD436" s="389">
        <f t="shared" si="83"/>
        <v>0</v>
      </c>
    </row>
    <row r="437" spans="1:30" s="390" customFormat="1">
      <c r="A437" s="167">
        <v>447</v>
      </c>
      <c r="B437" s="267" t="str">
        <f>VLOOKUP(A437,'JUNE (물량흐름)'!$A$13:$C$502,2,0)</f>
        <v>ANN TAYLOR</v>
      </c>
      <c r="C437" s="240">
        <f>VLOOKUP(A437,'JUNE (물량흐름)'!$A$13:$C$502,3,0)</f>
        <v>474935</v>
      </c>
      <c r="D437" s="6">
        <f>VLOOKUP(C437,'WIP(재공품)'!$B$12:$E$493,4,0)</f>
        <v>38774.25</v>
      </c>
      <c r="E437" s="6">
        <f>IFERROR(VLOOKUP(C437,O.B.JUNE!$AA$7:$AG$448,2,0),0)</f>
        <v>0</v>
      </c>
      <c r="F437" s="6">
        <f>IFERROR(VLOOKUP(C437,O.B.JUNE!$AA$7:$AG$448,3,0),0)</f>
        <v>0</v>
      </c>
      <c r="G437" s="6">
        <f>IFERROR(VLOOKUP(C437,O.B.JUNE!$AA$7:$AD$448,4,0),0)</f>
        <v>0</v>
      </c>
      <c r="H437" s="6">
        <f t="shared" si="87"/>
        <v>0</v>
      </c>
      <c r="I437" s="6">
        <f>IFERROR(VLOOKUP(C437,O.B.JUNE!$AA$7:$AF$448,6,0),0)</f>
        <v>0</v>
      </c>
      <c r="J437" s="6"/>
      <c r="K437" s="6">
        <f>IFERROR(VLOOKUP(C437,O.B.JUNE!$AA$7:$AG$448,7,0),0)</f>
        <v>0</v>
      </c>
      <c r="L437" s="6">
        <f>SUMIF('JUNE (물량흐름)'!$C$13:$C$502,'Direct labour(직접노무비)'!C437,'JUNE (물량흐름)'!$H$13:$H$502)+SUMIF('JUNE (물량흐름)'!$C$13:$C$502,'Direct labour(직접노무비)'!C437,'JUNE (물량흐름)'!$I$13:$I$502)</f>
        <v>11898</v>
      </c>
      <c r="M437" s="6">
        <f t="shared" si="88"/>
        <v>11599</v>
      </c>
      <c r="N437" s="6">
        <f t="shared" si="89"/>
        <v>449742526</v>
      </c>
      <c r="O437" s="6">
        <f t="shared" si="84"/>
        <v>139093537</v>
      </c>
      <c r="P437" s="6">
        <f>SUMIF('JUNE (물량흐름)'!$C$13:$C$502,C437,'JUNE (물량흐름)'!$T$13:$T$502)+SUMIF('JUNE (물량흐름)'!$C$13:$C$502,C437,'JUNE (물량흐름)'!$V$13:$V$502)+SUMIF('JUNE (물량흐름)'!$C$13:$C$502,C437,'JUNE (물량흐름)'!$U$13:$U$502)-SUMIF('JUNE (물량흐름)'!$C$13:$C$502,C437,'JUNE (물량흐름)'!$Y$13:$Y$502)</f>
        <v>10844</v>
      </c>
      <c r="Q437" s="6">
        <f t="shared" si="85"/>
        <v>126771753</v>
      </c>
      <c r="R437" s="6">
        <f>ROUND(IF(ISERROR(VLOOKUP(#REF!,'WIP(재공품)'!$B$12:$AB$38,13,0)),0,VLOOKUP(#REF!,'WIP(재공품)'!$B$12:$AB$38,13,0)),0)</f>
        <v>0</v>
      </c>
      <c r="S437" s="6">
        <f>IF(ISERROR(VLOOKUP(#REF!,'WIP(재공품)'!$B$12:$AB$38,10,0)),0,VLOOKUP(#REF!,'WIP(재공품)'!$B$12:$AB$38,10,0))</f>
        <v>0</v>
      </c>
      <c r="T437" s="6">
        <f>SUMIF('JUNE (물량흐름)'!$C$13:$C$502,'Direct labour(직접노무비)'!C437,'JUNE (물량흐름)'!$Y$13:$Y$502)</f>
        <v>20</v>
      </c>
      <c r="U437" s="6">
        <f t="shared" si="79"/>
        <v>233810</v>
      </c>
      <c r="V437" s="6">
        <f>ROUND(SUMIF('JUNE (물량흐름)'!$C$13:$C$502,'Direct labour(직접노무비)'!C437,'JUNE (물량흐름)'!$N$13:$N$502),0)</f>
        <v>0</v>
      </c>
      <c r="W437" s="6">
        <f>ROUND(SUMIF('JUNE (물량흐름)'!$C$13:$C$502,'Direct labour(직접노무비)'!C437,'JUNE (물량흐름)'!$O$13:$O$502),0)</f>
        <v>308</v>
      </c>
      <c r="X437" s="6">
        <f>ROUND(SUMIF('JUNE (물량흐름)'!$C$13:$C$502,'Direct labour(직접노무비)'!C437,'JUNE (물량흐름)'!$P$13:$P$502),0)</f>
        <v>726</v>
      </c>
      <c r="Y437" s="6">
        <f t="shared" si="90"/>
        <v>1034</v>
      </c>
      <c r="Z437" s="6">
        <f t="shared" si="91"/>
        <v>735</v>
      </c>
      <c r="AA437" s="6">
        <f t="shared" si="86"/>
        <v>12087974</v>
      </c>
      <c r="AB437" s="389">
        <f t="shared" si="82"/>
        <v>0</v>
      </c>
      <c r="AC437" s="503">
        <f t="shared" si="75"/>
        <v>0</v>
      </c>
      <c r="AD437" s="389">
        <f t="shared" si="83"/>
        <v>0</v>
      </c>
    </row>
    <row r="438" spans="1:30" s="390" customFormat="1">
      <c r="A438" s="167">
        <v>448</v>
      </c>
      <c r="B438" s="267" t="str">
        <f>VLOOKUP(A438,'JUNE (물량흐름)'!$A$13:$C$502,2,0)</f>
        <v>ANN TAYLOR</v>
      </c>
      <c r="C438" s="240">
        <f>VLOOKUP(A438,'JUNE (물량흐름)'!$A$13:$C$502,3,0)</f>
        <v>474937</v>
      </c>
      <c r="D438" s="6">
        <f>VLOOKUP(C438,'WIP(재공품)'!$B$12:$E$493,4,0)</f>
        <v>37413.75</v>
      </c>
      <c r="E438" s="6">
        <f>IFERROR(VLOOKUP(C438,O.B.JUNE!$AA$7:$AG$448,2,0),0)</f>
        <v>0</v>
      </c>
      <c r="F438" s="6">
        <f>IFERROR(VLOOKUP(C438,O.B.JUNE!$AA$7:$AG$448,3,0),0)</f>
        <v>0</v>
      </c>
      <c r="G438" s="6">
        <f>IFERROR(VLOOKUP(C438,O.B.JUNE!$AA$7:$AD$448,4,0),0)</f>
        <v>0</v>
      </c>
      <c r="H438" s="6">
        <f t="shared" si="87"/>
        <v>0</v>
      </c>
      <c r="I438" s="6">
        <f>IFERROR(VLOOKUP(C438,O.B.JUNE!$AA$7:$AF$448,6,0),0)</f>
        <v>0</v>
      </c>
      <c r="J438" s="6"/>
      <c r="K438" s="6">
        <f>IFERROR(VLOOKUP(C438,O.B.JUNE!$AA$7:$AG$448,7,0),0)</f>
        <v>0</v>
      </c>
      <c r="L438" s="6">
        <f>SUMIF('JUNE (물량흐름)'!$C$13:$C$502,'Direct labour(직접노무비)'!C438,'JUNE (물량흐름)'!$H$13:$H$502)+SUMIF('JUNE (물량흐름)'!$C$13:$C$502,'Direct labour(직접노무비)'!C438,'JUNE (물량흐름)'!$I$13:$I$502)</f>
        <v>13094</v>
      </c>
      <c r="M438" s="6">
        <f t="shared" si="88"/>
        <v>10702</v>
      </c>
      <c r="N438" s="6">
        <f t="shared" si="89"/>
        <v>400401953</v>
      </c>
      <c r="O438" s="6">
        <f t="shared" si="84"/>
        <v>123833795</v>
      </c>
      <c r="P438" s="6">
        <f>SUMIF('JUNE (물량흐름)'!$C$13:$C$502,C438,'JUNE (물량흐름)'!$T$13:$T$502)+SUMIF('JUNE (물량흐름)'!$C$13:$C$502,C438,'JUNE (물량흐름)'!$V$13:$V$502)+SUMIF('JUNE (물량흐름)'!$C$13:$C$502,C438,'JUNE (물량흐름)'!$U$13:$U$502)-SUMIF('JUNE (물량흐름)'!$C$13:$C$502,C438,'JUNE (물량흐름)'!$Y$13:$Y$502)</f>
        <v>7124</v>
      </c>
      <c r="Q438" s="6">
        <f t="shared" si="85"/>
        <v>67373756</v>
      </c>
      <c r="R438" s="6">
        <f>ROUND(IF(ISERROR(VLOOKUP(#REF!,'WIP(재공품)'!$B$12:$AB$38,13,0)),0,VLOOKUP(#REF!,'WIP(재공품)'!$B$12:$AB$38,13,0)),0)</f>
        <v>0</v>
      </c>
      <c r="S438" s="6">
        <f>IF(ISERROR(VLOOKUP(#REF!,'WIP(재공품)'!$B$12:$AB$38,10,0)),0,VLOOKUP(#REF!,'WIP(재공품)'!$B$12:$AB$38,10,0))</f>
        <v>0</v>
      </c>
      <c r="T438" s="6">
        <f>SUMIF('JUNE (물량흐름)'!$C$13:$C$502,'Direct labour(직접노무비)'!C438,'JUNE (물량흐름)'!$Y$13:$Y$502)</f>
        <v>0</v>
      </c>
      <c r="U438" s="6">
        <f t="shared" si="79"/>
        <v>0</v>
      </c>
      <c r="V438" s="6">
        <f>ROUND(SUMIF('JUNE (물량흐름)'!$C$13:$C$502,'Direct labour(직접노무비)'!C438,'JUNE (물량흐름)'!$N$13:$N$502),0)</f>
        <v>0</v>
      </c>
      <c r="W438" s="6">
        <f>ROUND(SUMIF('JUNE (물량흐름)'!$C$13:$C$502,'Direct labour(직접노무비)'!C438,'JUNE (물량흐름)'!$O$13:$O$502),0)</f>
        <v>3992</v>
      </c>
      <c r="X438" s="6">
        <f>ROUND(SUMIF('JUNE (물량흐름)'!$C$13:$C$502,'Direct labour(직접노무비)'!C438,'JUNE (물량흐름)'!$P$13:$P$502),0)</f>
        <v>1978</v>
      </c>
      <c r="Y438" s="6">
        <f t="shared" si="90"/>
        <v>5970</v>
      </c>
      <c r="Z438" s="6">
        <f t="shared" si="91"/>
        <v>3578</v>
      </c>
      <c r="AA438" s="6">
        <f t="shared" si="86"/>
        <v>56460039</v>
      </c>
      <c r="AB438" s="389">
        <f t="shared" si="82"/>
        <v>0</v>
      </c>
      <c r="AC438" s="503">
        <f t="shared" si="75"/>
        <v>0</v>
      </c>
      <c r="AD438" s="389">
        <f t="shared" si="83"/>
        <v>0</v>
      </c>
    </row>
    <row r="439" spans="1:30" s="390" customFormat="1">
      <c r="A439" s="167">
        <v>449</v>
      </c>
      <c r="B439" s="267" t="str">
        <f>VLOOKUP(A439,'JUNE (물량흐름)'!$A$13:$C$502,2,0)</f>
        <v>ANN TAYLOR</v>
      </c>
      <c r="C439" s="240">
        <f>VLOOKUP(A439,'JUNE (물량흐름)'!$A$13:$C$502,3,0)</f>
        <v>476557</v>
      </c>
      <c r="D439" s="6">
        <f>VLOOKUP(C439,'WIP(재공품)'!$B$12:$E$493,4,0)</f>
        <v>34012.5</v>
      </c>
      <c r="E439" s="6">
        <f>IFERROR(VLOOKUP(C439,O.B.JUNE!$AA$7:$AG$448,2,0),0)</f>
        <v>0</v>
      </c>
      <c r="F439" s="6">
        <f>IFERROR(VLOOKUP(C439,O.B.JUNE!$AA$7:$AG$448,3,0),0)</f>
        <v>0</v>
      </c>
      <c r="G439" s="6">
        <f>IFERROR(VLOOKUP(C439,O.B.JUNE!$AA$7:$AD$448,4,0),0)</f>
        <v>0</v>
      </c>
      <c r="H439" s="6">
        <f t="shared" si="87"/>
        <v>0</v>
      </c>
      <c r="I439" s="6">
        <f>IFERROR(VLOOKUP(C439,O.B.JUNE!$AA$7:$AF$448,6,0),0)</f>
        <v>0</v>
      </c>
      <c r="J439" s="6"/>
      <c r="K439" s="6">
        <f>IFERROR(VLOOKUP(C439,O.B.JUNE!$AA$7:$AG$448,7,0),0)</f>
        <v>0</v>
      </c>
      <c r="L439" s="6">
        <f>SUMIF('JUNE (물량흐름)'!$C$13:$C$502,'Direct labour(직접노무비)'!C439,'JUNE (물량흐름)'!$H$13:$H$502)+SUMIF('JUNE (물량흐름)'!$C$13:$C$502,'Direct labour(직접노무비)'!C439,'JUNE (물량흐름)'!$I$13:$I$502)</f>
        <v>1400</v>
      </c>
      <c r="M439" s="6">
        <f t="shared" si="88"/>
        <v>1151</v>
      </c>
      <c r="N439" s="6">
        <f t="shared" si="89"/>
        <v>39148388</v>
      </c>
      <c r="O439" s="6">
        <f t="shared" si="84"/>
        <v>12107567</v>
      </c>
      <c r="P439" s="6">
        <f>SUMIF('JUNE (물량흐름)'!$C$13:$C$502,C439,'JUNE (물량흐름)'!$T$13:$T$502)+SUMIF('JUNE (물량흐름)'!$C$13:$C$502,C439,'JUNE (물량흐름)'!$V$13:$V$502)+SUMIF('JUNE (물량흐름)'!$C$13:$C$502,C439,'JUNE (물량흐름)'!$U$13:$U$502)-SUMIF('JUNE (물량흐름)'!$C$13:$C$502,C439,'JUNE (물량흐름)'!$Y$13:$Y$502)</f>
        <v>199</v>
      </c>
      <c r="Q439" s="6">
        <f t="shared" si="85"/>
        <v>1721004</v>
      </c>
      <c r="R439" s="6">
        <f>ROUND(IF(ISERROR(VLOOKUP(#REF!,'WIP(재공품)'!$B$12:$AB$38,13,0)),0,VLOOKUP(#REF!,'WIP(재공품)'!$B$12:$AB$38,13,0)),0)</f>
        <v>0</v>
      </c>
      <c r="S439" s="6">
        <f>IF(ISERROR(VLOOKUP(#REF!,'WIP(재공품)'!$B$12:$AB$38,10,0)),0,VLOOKUP(#REF!,'WIP(재공품)'!$B$12:$AB$38,10,0))</f>
        <v>0</v>
      </c>
      <c r="T439" s="6">
        <f>SUMIF('JUNE (물량흐름)'!$C$13:$C$502,'Direct labour(직접노무비)'!C439,'JUNE (물량흐름)'!$Y$13:$Y$502)</f>
        <v>0</v>
      </c>
      <c r="U439" s="6">
        <f t="shared" si="79"/>
        <v>0</v>
      </c>
      <c r="V439" s="6">
        <f>ROUND(SUMIF('JUNE (물량흐름)'!$C$13:$C$502,'Direct labour(직접노무비)'!C439,'JUNE (물량흐름)'!$N$13:$N$502),0)</f>
        <v>0</v>
      </c>
      <c r="W439" s="6">
        <f>ROUND(SUMIF('JUNE (물량흐름)'!$C$13:$C$502,'Direct labour(직접노무비)'!C439,'JUNE (물량흐름)'!$O$13:$O$502),0)</f>
        <v>31</v>
      </c>
      <c r="X439" s="6">
        <f>ROUND(SUMIF('JUNE (물량흐름)'!$C$13:$C$502,'Direct labour(직접노무비)'!C439,'JUNE (물량흐름)'!$P$13:$P$502),0)</f>
        <v>1170</v>
      </c>
      <c r="Y439" s="6">
        <f t="shared" si="90"/>
        <v>1201</v>
      </c>
      <c r="Z439" s="6">
        <f t="shared" si="91"/>
        <v>952</v>
      </c>
      <c r="AA439" s="6">
        <f t="shared" si="86"/>
        <v>10386563</v>
      </c>
      <c r="AB439" s="389">
        <f t="shared" ref="AB439:AB487" si="92">K439+O439-Q439-U439-AA439</f>
        <v>0</v>
      </c>
      <c r="AC439" s="503">
        <f t="shared" si="75"/>
        <v>0</v>
      </c>
      <c r="AD439" s="389">
        <f t="shared" ref="AD439:AD487" si="93">H439+L439-P439-T439-Y439</f>
        <v>0</v>
      </c>
    </row>
    <row r="440" spans="1:30" s="390" customFormat="1">
      <c r="A440" s="167">
        <v>450</v>
      </c>
      <c r="B440" s="267" t="str">
        <f>VLOOKUP(A440,'JUNE (물량흐름)'!$A$13:$C$502,2,0)</f>
        <v>ALFANI</v>
      </c>
      <c r="C440" s="240">
        <f>VLOOKUP(A440,'JUNE (물량흐름)'!$A$13:$C$502,3,0)</f>
        <v>100018225</v>
      </c>
      <c r="D440" s="6">
        <f>VLOOKUP(C440,'WIP(재공품)'!$B$12:$E$493,4,0)</f>
        <v>77095</v>
      </c>
      <c r="E440" s="6">
        <f>IFERROR(VLOOKUP(C440,O.B.JUNE!$AA$7:$AG$448,2,0),0)</f>
        <v>0</v>
      </c>
      <c r="F440" s="6">
        <f>IFERROR(VLOOKUP(C440,O.B.JUNE!$AA$7:$AG$448,3,0),0)</f>
        <v>0</v>
      </c>
      <c r="G440" s="6">
        <f>IFERROR(VLOOKUP(C440,O.B.JUNE!$AA$7:$AD$448,4,0),0)</f>
        <v>0</v>
      </c>
      <c r="H440" s="6">
        <f t="shared" si="87"/>
        <v>0</v>
      </c>
      <c r="I440" s="6">
        <f>IFERROR(VLOOKUP(C440,O.B.JUNE!$AA$7:$AF$448,6,0),0)</f>
        <v>0</v>
      </c>
      <c r="J440" s="6"/>
      <c r="K440" s="6">
        <f>IFERROR(VLOOKUP(C440,O.B.JUNE!$AA$7:$AG$448,7,0),0)</f>
        <v>0</v>
      </c>
      <c r="L440" s="6">
        <f>SUMIF('JUNE (물량흐름)'!$C$13:$C$502,'Direct labour(직접노무비)'!C440,'JUNE (물량흐름)'!$H$13:$H$502)+SUMIF('JUNE (물량흐름)'!$C$13:$C$502,'Direct labour(직접노무비)'!C440,'JUNE (물량흐름)'!$I$13:$I$502)</f>
        <v>1884</v>
      </c>
      <c r="M440" s="6">
        <f t="shared" si="88"/>
        <v>1124</v>
      </c>
      <c r="N440" s="6">
        <f t="shared" si="89"/>
        <v>86654780</v>
      </c>
      <c r="O440" s="6">
        <f t="shared" ref="O440:O492" si="94">ROUND(M440*D440*$O$493/$N$493,0)</f>
        <v>26800045</v>
      </c>
      <c r="P440" s="6">
        <f>SUMIF('JUNE (물량흐름)'!$C$13:$C$502,C440,'JUNE (물량흐름)'!$T$13:$T$502)+SUMIF('JUNE (물량흐름)'!$C$13:$C$502,C440,'JUNE (물량흐름)'!$V$13:$V$502)+SUMIF('JUNE (물량흐름)'!$C$13:$C$502,C440,'JUNE (물량흐름)'!$U$13:$U$502)-SUMIF('JUNE (물량흐름)'!$C$13:$C$502,C440,'JUNE (물량흐름)'!$Y$13:$Y$502)</f>
        <v>255</v>
      </c>
      <c r="Q440" s="6">
        <f t="shared" si="85"/>
        <v>3627395</v>
      </c>
      <c r="R440" s="6">
        <f>ROUND(IF(ISERROR(VLOOKUP(#REF!,'WIP(재공품)'!$B$12:$AB$38,13,0)),0,VLOOKUP(#REF!,'WIP(재공품)'!$B$12:$AB$38,13,0)),0)</f>
        <v>0</v>
      </c>
      <c r="S440" s="6">
        <f>IF(ISERROR(VLOOKUP(#REF!,'WIP(재공품)'!$B$12:$AB$38,10,0)),0,VLOOKUP(#REF!,'WIP(재공품)'!$B$12:$AB$38,10,0))</f>
        <v>0</v>
      </c>
      <c r="T440" s="6">
        <f>SUMIF('JUNE (물량흐름)'!$C$13:$C$502,'Direct labour(직접노무비)'!C440,'JUNE (물량흐름)'!$Y$13:$Y$502)</f>
        <v>0</v>
      </c>
      <c r="U440" s="6">
        <f t="shared" ref="U440:U492" si="95">IFERROR(ROUND(IF(AND(T440&lt;=0,($I440+$M440)=0),T440*(K440+O440)/(I440+M440),T440*(K440+O440)/(H440+L440)),0),0)</f>
        <v>0</v>
      </c>
      <c r="V440" s="6">
        <f>ROUND(SUMIF('JUNE (물량흐름)'!$C$13:$C$502,'Direct labour(직접노무비)'!C440,'JUNE (물량흐름)'!$N$13:$N$502),0)</f>
        <v>46</v>
      </c>
      <c r="W440" s="6">
        <f>ROUND(SUMIF('JUNE (물량흐름)'!$C$13:$C$502,'Direct labour(직접노무비)'!C440,'JUNE (물량흐름)'!$O$13:$O$502),0)</f>
        <v>1354</v>
      </c>
      <c r="X440" s="6">
        <f>ROUND(SUMIF('JUNE (물량흐름)'!$C$13:$C$502,'Direct labour(직접노무비)'!C440,'JUNE (물량흐름)'!$P$13:$P$502),0)</f>
        <v>229</v>
      </c>
      <c r="Y440" s="6">
        <f t="shared" si="90"/>
        <v>1629</v>
      </c>
      <c r="Z440" s="6">
        <f t="shared" si="91"/>
        <v>869</v>
      </c>
      <c r="AA440" s="6">
        <f t="shared" si="86"/>
        <v>23172650</v>
      </c>
      <c r="AB440" s="389">
        <f t="shared" si="92"/>
        <v>0</v>
      </c>
      <c r="AC440" s="503">
        <f t="shared" si="75"/>
        <v>0</v>
      </c>
      <c r="AD440" s="389">
        <f t="shared" si="93"/>
        <v>0</v>
      </c>
    </row>
    <row r="441" spans="1:30" s="390" customFormat="1">
      <c r="A441" s="167">
        <v>451</v>
      </c>
      <c r="B441" s="267" t="str">
        <f>VLOOKUP(A441,'JUNE (물량흐름)'!$A$13:$C$502,2,0)</f>
        <v>ALFANI</v>
      </c>
      <c r="C441" s="240">
        <f>VLOOKUP(A441,'JUNE (물량흐름)'!$A$13:$C$502,3,0)</f>
        <v>100018230</v>
      </c>
      <c r="D441" s="6">
        <f>VLOOKUP(C441,'WIP(재공품)'!$B$12:$E$493,4,0)</f>
        <v>46710.5</v>
      </c>
      <c r="E441" s="6">
        <f>IFERROR(VLOOKUP(C441,O.B.JUNE!$AA$7:$AG$448,2,0),0)</f>
        <v>0</v>
      </c>
      <c r="F441" s="6">
        <f>IFERROR(VLOOKUP(C441,O.B.JUNE!$AA$7:$AG$448,3,0),0)</f>
        <v>0</v>
      </c>
      <c r="G441" s="6">
        <f>IFERROR(VLOOKUP(C441,O.B.JUNE!$AA$7:$AD$448,4,0),0)</f>
        <v>0</v>
      </c>
      <c r="H441" s="6">
        <f t="shared" si="87"/>
        <v>0</v>
      </c>
      <c r="I441" s="6">
        <f>IFERROR(VLOOKUP(C441,O.B.JUNE!$AA$7:$AF$448,6,0),0)</f>
        <v>0</v>
      </c>
      <c r="J441" s="6"/>
      <c r="K441" s="6">
        <f>IFERROR(VLOOKUP(C441,O.B.JUNE!$AA$7:$AG$448,7,0),0)</f>
        <v>0</v>
      </c>
      <c r="L441" s="6">
        <f>SUMIF('JUNE (물량흐름)'!$C$13:$C$502,'Direct labour(직접노무비)'!C441,'JUNE (물량흐름)'!$H$13:$H$502)+SUMIF('JUNE (물량흐름)'!$C$13:$C$502,'Direct labour(직접노무비)'!C441,'JUNE (물량흐름)'!$I$13:$I$502)</f>
        <v>5184</v>
      </c>
      <c r="M441" s="6">
        <f t="shared" si="88"/>
        <v>5123</v>
      </c>
      <c r="N441" s="6">
        <f t="shared" si="89"/>
        <v>239297892</v>
      </c>
      <c r="O441" s="6">
        <f t="shared" si="94"/>
        <v>74008545</v>
      </c>
      <c r="P441" s="6">
        <f>SUMIF('JUNE (물량흐름)'!$C$13:$C$502,C441,'JUNE (물량흐름)'!$T$13:$T$502)+SUMIF('JUNE (물량흐름)'!$C$13:$C$502,C441,'JUNE (물량흐름)'!$V$13:$V$502)+SUMIF('JUNE (물량흐름)'!$C$13:$C$502,C441,'JUNE (물량흐름)'!$U$13:$U$502)-SUMIF('JUNE (물량흐름)'!$C$13:$C$502,C441,'JUNE (물량흐름)'!$Y$13:$Y$502)</f>
        <v>4877</v>
      </c>
      <c r="Q441" s="6">
        <f t="shared" si="85"/>
        <v>69625709</v>
      </c>
      <c r="R441" s="6">
        <f>ROUND(IF(ISERROR(VLOOKUP(#REF!,'WIP(재공품)'!$B$12:$AB$38,13,0)),0,VLOOKUP(#REF!,'WIP(재공품)'!$B$12:$AB$38,13,0)),0)</f>
        <v>0</v>
      </c>
      <c r="S441" s="6">
        <f>IF(ISERROR(VLOOKUP(#REF!,'WIP(재공품)'!$B$12:$AB$38,10,0)),0,VLOOKUP(#REF!,'WIP(재공품)'!$B$12:$AB$38,10,0))</f>
        <v>0</v>
      </c>
      <c r="T441" s="6">
        <f>SUMIF('JUNE (물량흐름)'!$C$13:$C$502,'Direct labour(직접노무비)'!C441,'JUNE (물량흐름)'!$Y$13:$Y$502)</f>
        <v>4</v>
      </c>
      <c r="U441" s="6">
        <f t="shared" si="95"/>
        <v>57105</v>
      </c>
      <c r="V441" s="6">
        <f>ROUND(SUMIF('JUNE (물량흐름)'!$C$13:$C$502,'Direct labour(직접노무비)'!C441,'JUNE (물량흐름)'!$N$13:$N$502),0)</f>
        <v>0</v>
      </c>
      <c r="W441" s="6">
        <f>ROUND(SUMIF('JUNE (물량흐름)'!$C$13:$C$502,'Direct labour(직접노무비)'!C441,'JUNE (물량흐름)'!$O$13:$O$502),0)</f>
        <v>0</v>
      </c>
      <c r="X441" s="6">
        <f>ROUND(SUMIF('JUNE (물량흐름)'!$C$13:$C$502,'Direct labour(직접노무비)'!C441,'JUNE (물량흐름)'!$P$13:$P$502),0)</f>
        <v>303</v>
      </c>
      <c r="Y441" s="6">
        <f t="shared" si="90"/>
        <v>303</v>
      </c>
      <c r="Z441" s="6">
        <f t="shared" si="91"/>
        <v>242</v>
      </c>
      <c r="AA441" s="6">
        <f t="shared" si="86"/>
        <v>4325731</v>
      </c>
      <c r="AB441" s="389">
        <f t="shared" si="92"/>
        <v>0</v>
      </c>
      <c r="AC441" s="503">
        <f t="shared" si="75"/>
        <v>0</v>
      </c>
      <c r="AD441" s="389">
        <f t="shared" si="93"/>
        <v>0</v>
      </c>
    </row>
    <row r="442" spans="1:30" s="390" customFormat="1">
      <c r="A442" s="167">
        <v>452</v>
      </c>
      <c r="B442" s="267" t="str">
        <f>VLOOKUP(A442,'JUNE (물량흐름)'!$A$13:$C$502,2,0)</f>
        <v>ALFANI</v>
      </c>
      <c r="C442" s="240">
        <f>VLOOKUP(A442,'JUNE (물량흐름)'!$A$13:$C$502,3,0)</f>
        <v>100024454</v>
      </c>
      <c r="D442" s="6">
        <f>VLOOKUP(C442,'WIP(재공품)'!$B$12:$E$493,4,0)</f>
        <v>28343.75</v>
      </c>
      <c r="E442" s="6">
        <f>IFERROR(VLOOKUP(C442,O.B.JUNE!$AA$7:$AG$448,2,0),0)</f>
        <v>0</v>
      </c>
      <c r="F442" s="6">
        <f>IFERROR(VLOOKUP(C442,O.B.JUNE!$AA$7:$AG$448,3,0),0)</f>
        <v>0</v>
      </c>
      <c r="G442" s="6">
        <f>IFERROR(VLOOKUP(C442,O.B.JUNE!$AA$7:$AD$448,4,0),0)</f>
        <v>0</v>
      </c>
      <c r="H442" s="6">
        <f t="shared" si="87"/>
        <v>0</v>
      </c>
      <c r="I442" s="6">
        <f>IFERROR(VLOOKUP(C442,O.B.JUNE!$AA$7:$AF$448,6,0),0)</f>
        <v>0</v>
      </c>
      <c r="J442" s="6"/>
      <c r="K442" s="6">
        <f>IFERROR(VLOOKUP(C442,O.B.JUNE!$AA$7:$AG$448,7,0),0)</f>
        <v>0</v>
      </c>
      <c r="L442" s="6">
        <f>SUMIF('JUNE (물량흐름)'!$C$13:$C$502,'Direct labour(직접노무비)'!C442,'JUNE (물량흐름)'!$H$13:$H$502)+SUMIF('JUNE (물량흐름)'!$C$13:$C$502,'Direct labour(직접노무비)'!C442,'JUNE (물량흐름)'!$I$13:$I$502)</f>
        <v>1146</v>
      </c>
      <c r="M442" s="6">
        <f t="shared" si="88"/>
        <v>1108</v>
      </c>
      <c r="N442" s="6">
        <f t="shared" si="89"/>
        <v>31404875</v>
      </c>
      <c r="O442" s="6">
        <f t="shared" si="94"/>
        <v>9712702</v>
      </c>
      <c r="P442" s="6">
        <f>SUMIF('JUNE (물량흐름)'!$C$13:$C$502,C442,'JUNE (물량흐름)'!$T$13:$T$502)+SUMIF('JUNE (물량흐름)'!$C$13:$C$502,C442,'JUNE (물량흐름)'!$V$13:$V$502)+SUMIF('JUNE (물량흐름)'!$C$13:$C$502,C442,'JUNE (물량흐름)'!$U$13:$U$502)-SUMIF('JUNE (물량흐름)'!$C$13:$C$502,C442,'JUNE (물량흐름)'!$Y$13:$Y$502)</f>
        <v>1043</v>
      </c>
      <c r="Q442" s="6">
        <f t="shared" si="85"/>
        <v>8839745</v>
      </c>
      <c r="R442" s="6">
        <f>ROUND(IF(ISERROR(VLOOKUP(#REF!,'WIP(재공품)'!$B$12:$AB$38,13,0)),0,VLOOKUP(#REF!,'WIP(재공품)'!$B$12:$AB$38,13,0)),0)</f>
        <v>0</v>
      </c>
      <c r="S442" s="6">
        <f>IF(ISERROR(VLOOKUP(#REF!,'WIP(재공품)'!$B$12:$AB$38,10,0)),0,VLOOKUP(#REF!,'WIP(재공품)'!$B$12:$AB$38,10,0))</f>
        <v>0</v>
      </c>
      <c r="T442" s="6">
        <f>SUMIF('JUNE (물량흐름)'!$C$13:$C$502,'Direct labour(직접노무비)'!C442,'JUNE (물량흐름)'!$Y$13:$Y$502)</f>
        <v>0</v>
      </c>
      <c r="U442" s="6">
        <f t="shared" si="95"/>
        <v>0</v>
      </c>
      <c r="V442" s="6">
        <f>ROUND(SUMIF('JUNE (물량흐름)'!$C$13:$C$502,'Direct labour(직접노무비)'!C442,'JUNE (물량흐름)'!$N$13:$N$502),0)</f>
        <v>0</v>
      </c>
      <c r="W442" s="6">
        <f>ROUND(SUMIF('JUNE (물량흐름)'!$C$13:$C$502,'Direct labour(직접노무비)'!C442,'JUNE (물량흐름)'!$O$13:$O$502),0)</f>
        <v>59</v>
      </c>
      <c r="X442" s="6">
        <f>ROUND(SUMIF('JUNE (물량흐름)'!$C$13:$C$502,'Direct labour(직접노무비)'!C442,'JUNE (물량흐름)'!$P$13:$P$502),0)</f>
        <v>44</v>
      </c>
      <c r="Y442" s="6">
        <f t="shared" si="90"/>
        <v>103</v>
      </c>
      <c r="Z442" s="6">
        <f t="shared" si="91"/>
        <v>65</v>
      </c>
      <c r="AA442" s="6">
        <f t="shared" si="86"/>
        <v>872957</v>
      </c>
      <c r="AB442" s="389">
        <f t="shared" si="92"/>
        <v>0</v>
      </c>
      <c r="AC442" s="503">
        <f t="shared" si="75"/>
        <v>0</v>
      </c>
      <c r="AD442" s="389">
        <f t="shared" si="93"/>
        <v>0</v>
      </c>
    </row>
    <row r="443" spans="1:30" s="390" customFormat="1">
      <c r="A443" s="167">
        <v>453</v>
      </c>
      <c r="B443" s="267" t="str">
        <f>VLOOKUP(A443,'JUNE (물량흐름)'!$A$13:$C$502,2,0)</f>
        <v>ALFANI</v>
      </c>
      <c r="C443" s="240">
        <f>VLOOKUP(A443,'JUNE (물량흐름)'!$A$13:$C$502,3,0)</f>
        <v>100024455</v>
      </c>
      <c r="D443" s="6">
        <f>VLOOKUP(C443,'WIP(재공품)'!$B$12:$E$493,4,0)</f>
        <v>28343.75</v>
      </c>
      <c r="E443" s="6">
        <f>IFERROR(VLOOKUP(C443,O.B.JUNE!$AA$7:$AG$448,2,0),0)</f>
        <v>0</v>
      </c>
      <c r="F443" s="6">
        <f>IFERROR(VLOOKUP(C443,O.B.JUNE!$AA$7:$AG$448,3,0),0)</f>
        <v>0</v>
      </c>
      <c r="G443" s="6">
        <f>IFERROR(VLOOKUP(C443,O.B.JUNE!$AA$7:$AD$448,4,0),0)</f>
        <v>0</v>
      </c>
      <c r="H443" s="6">
        <f t="shared" si="87"/>
        <v>0</v>
      </c>
      <c r="I443" s="6">
        <f>IFERROR(VLOOKUP(C443,O.B.JUNE!$AA$7:$AF$448,6,0),0)</f>
        <v>0</v>
      </c>
      <c r="J443" s="6"/>
      <c r="K443" s="6">
        <f>IFERROR(VLOOKUP(C443,O.B.JUNE!$AA$7:$AG$448,7,0),0)</f>
        <v>0</v>
      </c>
      <c r="L443" s="6">
        <f>SUMIF('JUNE (물량흐름)'!$C$13:$C$502,'Direct labour(직접노무비)'!C443,'JUNE (물량흐름)'!$H$13:$H$502)+SUMIF('JUNE (물량흐름)'!$C$13:$C$502,'Direct labour(직접노무비)'!C443,'JUNE (물량흐름)'!$I$13:$I$502)</f>
        <v>1785</v>
      </c>
      <c r="M443" s="6">
        <f t="shared" si="88"/>
        <v>1202</v>
      </c>
      <c r="N443" s="6">
        <f t="shared" si="89"/>
        <v>34069188</v>
      </c>
      <c r="O443" s="6">
        <f t="shared" si="94"/>
        <v>10536704</v>
      </c>
      <c r="P443" s="6">
        <f>SUMIF('JUNE (물량흐름)'!$C$13:$C$502,C443,'JUNE (물량흐름)'!$T$13:$T$502)+SUMIF('JUNE (물량흐름)'!$C$13:$C$502,C443,'JUNE (물량흐름)'!$V$13:$V$502)+SUMIF('JUNE (물량흐름)'!$C$13:$C$502,C443,'JUNE (물량흐름)'!$U$13:$U$502)-SUMIF('JUNE (물량흐름)'!$C$13:$C$502,C443,'JUNE (물량흐름)'!$Y$13:$Y$502)</f>
        <v>402</v>
      </c>
      <c r="Q443" s="6">
        <f t="shared" si="85"/>
        <v>2372972</v>
      </c>
      <c r="R443" s="6">
        <f>ROUND(IF(ISERROR(VLOOKUP(#REF!,'WIP(재공품)'!$B$12:$AB$38,13,0)),0,VLOOKUP(#REF!,'WIP(재공품)'!$B$12:$AB$38,13,0)),0)</f>
        <v>0</v>
      </c>
      <c r="S443" s="6">
        <f>IF(ISERROR(VLOOKUP(#REF!,'WIP(재공품)'!$B$12:$AB$38,10,0)),0,VLOOKUP(#REF!,'WIP(재공품)'!$B$12:$AB$38,10,0))</f>
        <v>0</v>
      </c>
      <c r="T443" s="6">
        <f>SUMIF('JUNE (물량흐름)'!$C$13:$C$502,'Direct labour(직접노무비)'!C443,'JUNE (물량흐름)'!$Y$13:$Y$502)</f>
        <v>0</v>
      </c>
      <c r="U443" s="6">
        <f t="shared" si="95"/>
        <v>0</v>
      </c>
      <c r="V443" s="6">
        <f>ROUND(SUMIF('JUNE (물량흐름)'!$C$13:$C$502,'Direct labour(직접노무비)'!C443,'JUNE (물량흐름)'!$N$13:$N$502),0)</f>
        <v>0</v>
      </c>
      <c r="W443" s="6">
        <f>ROUND(SUMIF('JUNE (물량흐름)'!$C$13:$C$502,'Direct labour(직접노무비)'!C443,'JUNE (물량흐름)'!$O$13:$O$502),0)</f>
        <v>1023</v>
      </c>
      <c r="X443" s="6">
        <f>ROUND(SUMIF('JUNE (물량흐름)'!$C$13:$C$502,'Direct labour(직접노무비)'!C443,'JUNE (물량흐름)'!$P$13:$P$502),0)</f>
        <v>360</v>
      </c>
      <c r="Y443" s="6">
        <f t="shared" si="90"/>
        <v>1383</v>
      </c>
      <c r="Z443" s="6">
        <f t="shared" si="91"/>
        <v>800</v>
      </c>
      <c r="AA443" s="6">
        <f t="shared" si="86"/>
        <v>8163732</v>
      </c>
      <c r="AB443" s="389">
        <f t="shared" si="92"/>
        <v>0</v>
      </c>
      <c r="AC443" s="503">
        <f t="shared" si="75"/>
        <v>0</v>
      </c>
      <c r="AD443" s="389">
        <f t="shared" si="93"/>
        <v>0</v>
      </c>
    </row>
    <row r="444" spans="1:30" s="390" customFormat="1">
      <c r="A444" s="167">
        <v>454</v>
      </c>
      <c r="B444" s="267" t="str">
        <f>VLOOKUP(A444,'JUNE (물량흐름)'!$A$13:$C$502,2,0)</f>
        <v>ALFANI</v>
      </c>
      <c r="C444" s="240">
        <f>VLOOKUP(A444,'JUNE (물량흐름)'!$A$13:$C$502,3,0)</f>
        <v>100024464</v>
      </c>
      <c r="D444" s="6">
        <f>VLOOKUP(C444,'WIP(재공품)'!$B$12:$E$493,4,0)</f>
        <v>43082.5</v>
      </c>
      <c r="E444" s="6">
        <f>IFERROR(VLOOKUP(C444,O.B.JUNE!$AA$7:$AG$448,2,0),0)</f>
        <v>0</v>
      </c>
      <c r="F444" s="6">
        <f>IFERROR(VLOOKUP(C444,O.B.JUNE!$AA$7:$AG$448,3,0),0)</f>
        <v>0</v>
      </c>
      <c r="G444" s="6">
        <f>IFERROR(VLOOKUP(C444,O.B.JUNE!$AA$7:$AD$448,4,0),0)</f>
        <v>0</v>
      </c>
      <c r="H444" s="6">
        <f t="shared" si="87"/>
        <v>0</v>
      </c>
      <c r="I444" s="6">
        <f>IFERROR(VLOOKUP(C444,O.B.JUNE!$AA$7:$AF$448,6,0),0)</f>
        <v>0</v>
      </c>
      <c r="J444" s="6"/>
      <c r="K444" s="6">
        <f>IFERROR(VLOOKUP(C444,O.B.JUNE!$AA$7:$AG$448,7,0),0)</f>
        <v>0</v>
      </c>
      <c r="L444" s="6">
        <f>SUMIF('JUNE (물량흐름)'!$C$13:$C$502,'Direct labour(직접노무비)'!C444,'JUNE (물량흐름)'!$H$13:$H$502)+SUMIF('JUNE (물량흐름)'!$C$13:$C$502,'Direct labour(직접노무비)'!C444,'JUNE (물량흐름)'!$I$13:$I$502)</f>
        <v>3526</v>
      </c>
      <c r="M444" s="6">
        <f t="shared" si="88"/>
        <v>3209</v>
      </c>
      <c r="N444" s="6">
        <f t="shared" si="89"/>
        <v>138251743</v>
      </c>
      <c r="O444" s="6">
        <f t="shared" si="94"/>
        <v>42757629</v>
      </c>
      <c r="P444" s="6">
        <f>SUMIF('JUNE (물량흐름)'!$C$13:$C$502,C444,'JUNE (물량흐름)'!$T$13:$T$502)+SUMIF('JUNE (물량흐름)'!$C$13:$C$502,C444,'JUNE (물량흐름)'!$V$13:$V$502)+SUMIF('JUNE (물량흐름)'!$C$13:$C$502,C444,'JUNE (물량흐름)'!$U$13:$U$502)-SUMIF('JUNE (물량흐름)'!$C$13:$C$502,C444,'JUNE (물량흐름)'!$Y$13:$Y$502)</f>
        <v>2065</v>
      </c>
      <c r="Q444" s="6">
        <f t="shared" si="85"/>
        <v>25040982</v>
      </c>
      <c r="R444" s="6">
        <f>ROUND(IF(ISERROR(VLOOKUP(#REF!,'WIP(재공품)'!$B$12:$AB$38,13,0)),0,VLOOKUP(#REF!,'WIP(재공품)'!$B$12:$AB$38,13,0)),0)</f>
        <v>0</v>
      </c>
      <c r="S444" s="6">
        <f>IF(ISERROR(VLOOKUP(#REF!,'WIP(재공품)'!$B$12:$AB$38,10,0)),0,VLOOKUP(#REF!,'WIP(재공품)'!$B$12:$AB$38,10,0))</f>
        <v>0</v>
      </c>
      <c r="T444" s="6">
        <f>SUMIF('JUNE (물량흐름)'!$C$13:$C$502,'Direct labour(직접노무비)'!C444,'JUNE (물량흐름)'!$Y$13:$Y$502)</f>
        <v>0</v>
      </c>
      <c r="U444" s="6">
        <f t="shared" si="95"/>
        <v>0</v>
      </c>
      <c r="V444" s="6">
        <f>ROUND(SUMIF('JUNE (물량흐름)'!$C$13:$C$502,'Direct labour(직접노무비)'!C444,'JUNE (물량흐름)'!$N$13:$N$502),0)</f>
        <v>0</v>
      </c>
      <c r="W444" s="6">
        <f>ROUND(SUMIF('JUNE (물량흐름)'!$C$13:$C$502,'Direct labour(직접노무비)'!C444,'JUNE (물량흐름)'!$O$13:$O$502),0)</f>
        <v>82</v>
      </c>
      <c r="X444" s="6">
        <f>ROUND(SUMIF('JUNE (물량흐름)'!$C$13:$C$502,'Direct labour(직접노무비)'!C444,'JUNE (물량흐름)'!$P$13:$P$502),0)</f>
        <v>1379</v>
      </c>
      <c r="Y444" s="6">
        <f t="shared" si="90"/>
        <v>1461</v>
      </c>
      <c r="Z444" s="6">
        <f t="shared" si="91"/>
        <v>1144</v>
      </c>
      <c r="AA444" s="6">
        <f t="shared" si="86"/>
        <v>17716647</v>
      </c>
      <c r="AB444" s="389">
        <f t="shared" si="92"/>
        <v>0</v>
      </c>
      <c r="AC444" s="503">
        <f t="shared" si="75"/>
        <v>0</v>
      </c>
      <c r="AD444" s="389">
        <f t="shared" si="93"/>
        <v>0</v>
      </c>
    </row>
    <row r="445" spans="1:30" s="390" customFormat="1">
      <c r="A445" s="167">
        <v>455</v>
      </c>
      <c r="B445" s="267" t="str">
        <f>VLOOKUP(A445,'JUNE (물량흐름)'!$A$13:$C$502,2,0)</f>
        <v>ALFANI</v>
      </c>
      <c r="C445" s="240">
        <f>VLOOKUP(A445,'JUNE (물량흐름)'!$A$13:$C$502,3,0)</f>
        <v>100024758</v>
      </c>
      <c r="D445" s="6">
        <f>VLOOKUP(C445,'WIP(재공품)'!$B$12:$E$493,4,0)</f>
        <v>68025</v>
      </c>
      <c r="E445" s="6">
        <f>IFERROR(VLOOKUP(C445,O.B.JUNE!$AA$7:$AG$448,2,0),0)</f>
        <v>0</v>
      </c>
      <c r="F445" s="6">
        <f>IFERROR(VLOOKUP(C445,O.B.JUNE!$AA$7:$AG$448,3,0),0)</f>
        <v>0</v>
      </c>
      <c r="G445" s="6">
        <f>IFERROR(VLOOKUP(C445,O.B.JUNE!$AA$7:$AD$448,4,0),0)</f>
        <v>0</v>
      </c>
      <c r="H445" s="6">
        <f t="shared" si="87"/>
        <v>0</v>
      </c>
      <c r="I445" s="6">
        <f>IFERROR(VLOOKUP(C445,O.B.JUNE!$AA$7:$AF$448,6,0),0)</f>
        <v>0</v>
      </c>
      <c r="J445" s="6"/>
      <c r="K445" s="6">
        <f>IFERROR(VLOOKUP(C445,O.B.JUNE!$AA$7:$AG$448,7,0),0)</f>
        <v>0</v>
      </c>
      <c r="L445" s="6">
        <f>SUMIF('JUNE (물량흐름)'!$C$13:$C$502,'Direct labour(직접노무비)'!C445,'JUNE (물량흐름)'!$H$13:$H$502)+SUMIF('JUNE (물량흐름)'!$C$13:$C$502,'Direct labour(직접노무비)'!C445,'JUNE (물량흐름)'!$I$13:$I$502)</f>
        <v>7292</v>
      </c>
      <c r="M445" s="6">
        <f t="shared" si="88"/>
        <v>2571</v>
      </c>
      <c r="N445" s="6">
        <f t="shared" si="89"/>
        <v>174892275</v>
      </c>
      <c r="O445" s="6">
        <f t="shared" si="94"/>
        <v>54089582</v>
      </c>
      <c r="P445" s="6">
        <f>SUMIF('JUNE (물량흐름)'!$C$13:$C$502,C445,'JUNE (물량흐름)'!$T$13:$T$502)+SUMIF('JUNE (물량흐름)'!$C$13:$C$502,C445,'JUNE (물량흐름)'!$V$13:$V$502)+SUMIF('JUNE (물량흐름)'!$C$13:$C$502,C445,'JUNE (물량흐름)'!$U$13:$U$502)-SUMIF('JUNE (물량흐름)'!$C$13:$C$502,C445,'JUNE (물량흐름)'!$Y$13:$Y$502)</f>
        <v>0</v>
      </c>
      <c r="Q445" s="6">
        <f t="shared" si="85"/>
        <v>0</v>
      </c>
      <c r="R445" s="6">
        <f>ROUND(IF(ISERROR(VLOOKUP(#REF!,'WIP(재공품)'!$B$12:$AB$38,13,0)),0,VLOOKUP(#REF!,'WIP(재공품)'!$B$12:$AB$38,13,0)),0)</f>
        <v>0</v>
      </c>
      <c r="S445" s="6">
        <f>IF(ISERROR(VLOOKUP(#REF!,'WIP(재공품)'!$B$12:$AB$38,10,0)),0,VLOOKUP(#REF!,'WIP(재공품)'!$B$12:$AB$38,10,0))</f>
        <v>0</v>
      </c>
      <c r="T445" s="6">
        <f>SUMIF('JUNE (물량흐름)'!$C$13:$C$502,'Direct labour(직접노무비)'!C445,'JUNE (물량흐름)'!$Y$13:$Y$502)</f>
        <v>0</v>
      </c>
      <c r="U445" s="6">
        <f t="shared" si="95"/>
        <v>0</v>
      </c>
      <c r="V445" s="6">
        <f>ROUND(SUMIF('JUNE (물량흐름)'!$C$13:$C$502,'Direct labour(직접노무비)'!C445,'JUNE (물량흐름)'!$N$13:$N$502),0)</f>
        <v>5329</v>
      </c>
      <c r="W445" s="6">
        <f>ROUND(SUMIF('JUNE (물량흐름)'!$C$13:$C$502,'Direct labour(직접노무비)'!C445,'JUNE (물량흐름)'!$O$13:$O$502),0)</f>
        <v>216</v>
      </c>
      <c r="X445" s="6">
        <f>ROUND(SUMIF('JUNE (물량흐름)'!$C$13:$C$502,'Direct labour(직접노무비)'!C445,'JUNE (물량흐름)'!$P$13:$P$502),0)</f>
        <v>1747</v>
      </c>
      <c r="Y445" s="6">
        <f t="shared" si="90"/>
        <v>7292</v>
      </c>
      <c r="Z445" s="6">
        <f t="shared" si="91"/>
        <v>2571</v>
      </c>
      <c r="AA445" s="6">
        <f t="shared" si="86"/>
        <v>54089582</v>
      </c>
      <c r="AB445" s="389">
        <f t="shared" si="92"/>
        <v>0</v>
      </c>
      <c r="AC445" s="503">
        <f t="shared" si="75"/>
        <v>0</v>
      </c>
      <c r="AD445" s="389">
        <f t="shared" si="93"/>
        <v>0</v>
      </c>
    </row>
    <row r="446" spans="1:30" s="390" customFormat="1">
      <c r="A446" s="167">
        <v>456</v>
      </c>
      <c r="B446" s="267" t="str">
        <f>VLOOKUP(A446,'JUNE (물량흐름)'!$A$13:$C$502,2,0)</f>
        <v>ALFANI</v>
      </c>
      <c r="C446" s="240">
        <f>VLOOKUP(A446,'JUNE (물량흐름)'!$A$13:$C$502,3,0)</f>
        <v>100024806</v>
      </c>
      <c r="D446" s="6">
        <f>VLOOKUP(C446,'WIP(재공품)'!$B$12:$E$493,4,0)</f>
        <v>48751.25</v>
      </c>
      <c r="E446" s="6">
        <f>IFERROR(VLOOKUP(C446,O.B.JUNE!$AA$7:$AG$448,2,0),0)</f>
        <v>0</v>
      </c>
      <c r="F446" s="6">
        <f>IFERROR(VLOOKUP(C446,O.B.JUNE!$AA$7:$AG$448,3,0),0)</f>
        <v>0</v>
      </c>
      <c r="G446" s="6">
        <f>IFERROR(VLOOKUP(C446,O.B.JUNE!$AA$7:$AD$448,4,0),0)</f>
        <v>0</v>
      </c>
      <c r="H446" s="6">
        <f t="shared" si="87"/>
        <v>0</v>
      </c>
      <c r="I446" s="6">
        <f>IFERROR(VLOOKUP(C446,O.B.JUNE!$AA$7:$AF$448,6,0),0)</f>
        <v>0</v>
      </c>
      <c r="J446" s="6"/>
      <c r="K446" s="6">
        <f>IFERROR(VLOOKUP(C446,O.B.JUNE!$AA$7:$AG$448,7,0),0)</f>
        <v>0</v>
      </c>
      <c r="L446" s="6">
        <f>SUMIF('JUNE (물량흐름)'!$C$13:$C$502,'Direct labour(직접노무비)'!C446,'JUNE (물량흐름)'!$H$13:$H$502)+SUMIF('JUNE (물량흐름)'!$C$13:$C$502,'Direct labour(직접노무비)'!C446,'JUNE (물량흐름)'!$I$13:$I$502)</f>
        <v>3272</v>
      </c>
      <c r="M446" s="6">
        <f t="shared" si="88"/>
        <v>3144</v>
      </c>
      <c r="N446" s="6">
        <f t="shared" si="89"/>
        <v>153273930</v>
      </c>
      <c r="O446" s="6">
        <f t="shared" si="94"/>
        <v>47403596</v>
      </c>
      <c r="P446" s="6">
        <f>SUMIF('JUNE (물량흐름)'!$C$13:$C$502,C446,'JUNE (물량흐름)'!$T$13:$T$502)+SUMIF('JUNE (물량흐름)'!$C$13:$C$502,C446,'JUNE (물량흐름)'!$V$13:$V$502)+SUMIF('JUNE (물량흐름)'!$C$13:$C$502,C446,'JUNE (물량흐름)'!$U$13:$U$502)-SUMIF('JUNE (물량흐름)'!$C$13:$C$502,C446,'JUNE (물량흐름)'!$Y$13:$Y$502)</f>
        <v>2630</v>
      </c>
      <c r="Q446" s="6">
        <f t="shared" si="85"/>
        <v>38102524</v>
      </c>
      <c r="R446" s="6">
        <f>ROUND(IF(ISERROR(VLOOKUP(#REF!,'WIP(재공품)'!$B$12:$AB$38,13,0)),0,VLOOKUP(#REF!,'WIP(재공품)'!$B$12:$AB$38,13,0)),0)</f>
        <v>0</v>
      </c>
      <c r="S446" s="6">
        <f>IF(ISERROR(VLOOKUP(#REF!,'WIP(재공품)'!$B$12:$AB$38,10,0)),0,VLOOKUP(#REF!,'WIP(재공품)'!$B$12:$AB$38,10,0))</f>
        <v>0</v>
      </c>
      <c r="T446" s="6">
        <f>SUMIF('JUNE (물량흐름)'!$C$13:$C$502,'Direct labour(직접노무비)'!C446,'JUNE (물량흐름)'!$Y$13:$Y$502)</f>
        <v>0</v>
      </c>
      <c r="U446" s="6">
        <f t="shared" si="95"/>
        <v>0</v>
      </c>
      <c r="V446" s="6">
        <f>ROUND(SUMIF('JUNE (물량흐름)'!$C$13:$C$502,'Direct labour(직접노무비)'!C446,'JUNE (물량흐름)'!$N$13:$N$502),0)</f>
        <v>0</v>
      </c>
      <c r="W446" s="6">
        <f>ROUND(SUMIF('JUNE (물량흐름)'!$C$13:$C$502,'Direct labour(직접노무비)'!C446,'JUNE (물량흐름)'!$O$13:$O$502),0)</f>
        <v>0</v>
      </c>
      <c r="X446" s="6">
        <f>ROUND(SUMIF('JUNE (물량흐름)'!$C$13:$C$502,'Direct labour(직접노무비)'!C446,'JUNE (물량흐름)'!$P$13:$P$502),0)</f>
        <v>642</v>
      </c>
      <c r="Y446" s="6">
        <f t="shared" si="90"/>
        <v>642</v>
      </c>
      <c r="Z446" s="6">
        <f t="shared" si="91"/>
        <v>514</v>
      </c>
      <c r="AA446" s="6">
        <f t="shared" si="86"/>
        <v>9301072</v>
      </c>
      <c r="AB446" s="389">
        <f t="shared" si="92"/>
        <v>0</v>
      </c>
      <c r="AC446" s="503">
        <f t="shared" ref="AC446:AC492" si="96">H446+L446-P446-T446-Y446</f>
        <v>0</v>
      </c>
      <c r="AD446" s="389">
        <f t="shared" si="93"/>
        <v>0</v>
      </c>
    </row>
    <row r="447" spans="1:30" s="390" customFormat="1">
      <c r="A447" s="167">
        <v>457</v>
      </c>
      <c r="B447" s="267" t="str">
        <f>VLOOKUP(A447,'JUNE (물량흐름)'!$A$13:$C$502,2,0)</f>
        <v>ALFANI</v>
      </c>
      <c r="C447" s="240">
        <f>VLOOKUP(A447,'JUNE (물량흐름)'!$A$13:$C$502,3,0)</f>
        <v>100024819</v>
      </c>
      <c r="D447" s="6">
        <f>VLOOKUP(C447,'WIP(재공품)'!$B$12:$E$493,4,0)</f>
        <v>70292.5</v>
      </c>
      <c r="E447" s="6">
        <f>IFERROR(VLOOKUP(C447,O.B.JUNE!$AA$7:$AG$448,2,0),0)</f>
        <v>0</v>
      </c>
      <c r="F447" s="6">
        <f>IFERROR(VLOOKUP(C447,O.B.JUNE!$AA$7:$AG$448,3,0),0)</f>
        <v>0</v>
      </c>
      <c r="G447" s="6">
        <f>IFERROR(VLOOKUP(C447,O.B.JUNE!$AA$7:$AD$448,4,0),0)</f>
        <v>0</v>
      </c>
      <c r="H447" s="6">
        <f t="shared" si="87"/>
        <v>0</v>
      </c>
      <c r="I447" s="6">
        <f>IFERROR(VLOOKUP(C447,O.B.JUNE!$AA$7:$AF$448,6,0),0)</f>
        <v>0</v>
      </c>
      <c r="J447" s="6"/>
      <c r="K447" s="6">
        <f>IFERROR(VLOOKUP(C447,O.B.JUNE!$AA$7:$AG$448,7,0),0)</f>
        <v>0</v>
      </c>
      <c r="L447" s="6">
        <f>SUMIF('JUNE (물량흐름)'!$C$13:$C$502,'Direct labour(직접노무비)'!C447,'JUNE (물량흐름)'!$H$13:$H$502)+SUMIF('JUNE (물량흐름)'!$C$13:$C$502,'Direct labour(직접노무비)'!C447,'JUNE (물량흐름)'!$I$13:$I$502)</f>
        <v>7046</v>
      </c>
      <c r="M447" s="6">
        <f t="shared" si="88"/>
        <v>4492</v>
      </c>
      <c r="N447" s="6">
        <f t="shared" si="89"/>
        <v>315753910</v>
      </c>
      <c r="O447" s="6">
        <f t="shared" si="94"/>
        <v>97654381</v>
      </c>
      <c r="P447" s="6">
        <f>SUMIF('JUNE (물량흐름)'!$C$13:$C$502,C447,'JUNE (물량흐름)'!$T$13:$T$502)+SUMIF('JUNE (물량흐름)'!$C$13:$C$502,C447,'JUNE (물량흐름)'!$V$13:$V$502)+SUMIF('JUNE (물량흐름)'!$C$13:$C$502,C447,'JUNE (물량흐름)'!$U$13:$U$502)-SUMIF('JUNE (물량흐름)'!$C$13:$C$502,C447,'JUNE (물량흐름)'!$Y$13:$Y$502)</f>
        <v>345</v>
      </c>
      <c r="Q447" s="6">
        <f t="shared" si="85"/>
        <v>4781544</v>
      </c>
      <c r="R447" s="6">
        <f>ROUND(IF(ISERROR(VLOOKUP(#REF!,'WIP(재공품)'!$B$12:$AB$38,13,0)),0,VLOOKUP(#REF!,'WIP(재공품)'!$B$12:$AB$38,13,0)),0)</f>
        <v>0</v>
      </c>
      <c r="S447" s="6">
        <f>IF(ISERROR(VLOOKUP(#REF!,'WIP(재공품)'!$B$12:$AB$38,10,0)),0,VLOOKUP(#REF!,'WIP(재공품)'!$B$12:$AB$38,10,0))</f>
        <v>0</v>
      </c>
      <c r="T447" s="6">
        <f>SUMIF('JUNE (물량흐름)'!$C$13:$C$502,'Direct labour(직접노무비)'!C447,'JUNE (물량흐름)'!$Y$13:$Y$502)</f>
        <v>0</v>
      </c>
      <c r="U447" s="6">
        <f t="shared" si="95"/>
        <v>0</v>
      </c>
      <c r="V447" s="6">
        <f>ROUND(SUMIF('JUNE (물량흐름)'!$C$13:$C$502,'Direct labour(직접노무비)'!C447,'JUNE (물량흐름)'!$N$13:$N$502),0)</f>
        <v>0</v>
      </c>
      <c r="W447" s="6">
        <f>ROUND(SUMIF('JUNE (물량흐름)'!$C$13:$C$502,'Direct labour(직접노무비)'!C447,'JUNE (물량흐름)'!$O$13:$O$502),0)</f>
        <v>4046</v>
      </c>
      <c r="X447" s="6">
        <f>ROUND(SUMIF('JUNE (물량흐름)'!$C$13:$C$502,'Direct labour(직접노무비)'!C447,'JUNE (물량흐름)'!$P$13:$P$502),0)</f>
        <v>2655</v>
      </c>
      <c r="Y447" s="6">
        <f t="shared" si="90"/>
        <v>6701</v>
      </c>
      <c r="Z447" s="6">
        <f t="shared" si="91"/>
        <v>4147</v>
      </c>
      <c r="AA447" s="6">
        <f t="shared" si="86"/>
        <v>92872837</v>
      </c>
      <c r="AB447" s="389">
        <f t="shared" si="92"/>
        <v>0</v>
      </c>
      <c r="AC447" s="503">
        <f t="shared" si="96"/>
        <v>0</v>
      </c>
      <c r="AD447" s="389">
        <f t="shared" si="93"/>
        <v>0</v>
      </c>
    </row>
    <row r="448" spans="1:30" s="390" customFormat="1">
      <c r="A448" s="167">
        <v>458</v>
      </c>
      <c r="B448" s="267" t="str">
        <f>VLOOKUP(A448,'JUNE (물량흐름)'!$A$13:$C$502,2,0)</f>
        <v>ALFANI</v>
      </c>
      <c r="C448" s="240">
        <f>VLOOKUP(A448,'JUNE (물량흐름)'!$A$13:$C$502,3,0)</f>
        <v>100024820</v>
      </c>
      <c r="D448" s="6">
        <f>VLOOKUP(C448,'WIP(재공품)'!$B$12:$E$493,4,0)</f>
        <v>38547.5</v>
      </c>
      <c r="E448" s="6">
        <f>IFERROR(VLOOKUP(C448,O.B.JUNE!$AA$7:$AG$448,2,0),0)</f>
        <v>0</v>
      </c>
      <c r="F448" s="6">
        <f>IFERROR(VLOOKUP(C448,O.B.JUNE!$AA$7:$AG$448,3,0),0)</f>
        <v>0</v>
      </c>
      <c r="G448" s="6">
        <f>IFERROR(VLOOKUP(C448,O.B.JUNE!$AA$7:$AD$448,4,0),0)</f>
        <v>0</v>
      </c>
      <c r="H448" s="6">
        <f t="shared" si="87"/>
        <v>0</v>
      </c>
      <c r="I448" s="6">
        <f>IFERROR(VLOOKUP(C448,O.B.JUNE!$AA$7:$AF$448,6,0),0)</f>
        <v>0</v>
      </c>
      <c r="J448" s="6"/>
      <c r="K448" s="6">
        <f>IFERROR(VLOOKUP(C448,O.B.JUNE!$AA$7:$AG$448,7,0),0)</f>
        <v>0</v>
      </c>
      <c r="L448" s="6">
        <f>SUMIF('JUNE (물량흐름)'!$C$13:$C$502,'Direct labour(직접노무비)'!C448,'JUNE (물량흐름)'!$H$13:$H$502)+SUMIF('JUNE (물량흐름)'!$C$13:$C$502,'Direct labour(직접노무비)'!C448,'JUNE (물량흐름)'!$I$13:$I$502)</f>
        <v>9851</v>
      </c>
      <c r="M448" s="6">
        <f t="shared" si="88"/>
        <v>9649</v>
      </c>
      <c r="N448" s="6">
        <f t="shared" si="89"/>
        <v>371944828</v>
      </c>
      <c r="O448" s="6">
        <f t="shared" si="94"/>
        <v>115032755</v>
      </c>
      <c r="P448" s="6">
        <f>SUMIF('JUNE (물량흐름)'!$C$13:$C$502,C448,'JUNE (물량흐름)'!$T$13:$T$502)+SUMIF('JUNE (물량흐름)'!$C$13:$C$502,C448,'JUNE (물량흐름)'!$V$13:$V$502)+SUMIF('JUNE (물량흐름)'!$C$13:$C$502,C448,'JUNE (물량흐름)'!$U$13:$U$502)-SUMIF('JUNE (물량흐름)'!$C$13:$C$502,C448,'JUNE (물량흐름)'!$Y$13:$Y$502)</f>
        <v>8839</v>
      </c>
      <c r="Q448" s="6">
        <f t="shared" si="85"/>
        <v>103215361</v>
      </c>
      <c r="R448" s="6">
        <f>ROUND(IF(ISERROR(VLOOKUP(#REF!,'WIP(재공품)'!$B$12:$AB$38,13,0)),0,VLOOKUP(#REF!,'WIP(재공품)'!$B$12:$AB$38,13,0)),0)</f>
        <v>0</v>
      </c>
      <c r="S448" s="6">
        <f>IF(ISERROR(VLOOKUP(#REF!,'WIP(재공품)'!$B$12:$AB$38,10,0)),0,VLOOKUP(#REF!,'WIP(재공품)'!$B$12:$AB$38,10,0))</f>
        <v>0</v>
      </c>
      <c r="T448" s="6">
        <f>SUMIF('JUNE (물량흐름)'!$C$13:$C$502,'Direct labour(직접노무비)'!C448,'JUNE (물량흐름)'!$Y$13:$Y$502)</f>
        <v>0</v>
      </c>
      <c r="U448" s="6">
        <f t="shared" si="95"/>
        <v>0</v>
      </c>
      <c r="V448" s="6">
        <f>ROUND(SUMIF('JUNE (물량흐름)'!$C$13:$C$502,'Direct labour(직접노무비)'!C448,'JUNE (물량흐름)'!$N$13:$N$502),0)</f>
        <v>0</v>
      </c>
      <c r="W448" s="6">
        <f>ROUND(SUMIF('JUNE (물량흐름)'!$C$13:$C$502,'Direct labour(직접노무비)'!C448,'JUNE (물량흐름)'!$O$13:$O$502),0)</f>
        <v>0</v>
      </c>
      <c r="X448" s="6">
        <f>ROUND(SUMIF('JUNE (물량흐름)'!$C$13:$C$502,'Direct labour(직접노무비)'!C448,'JUNE (물량흐름)'!$P$13:$P$502),0)</f>
        <v>1012</v>
      </c>
      <c r="Y448" s="6">
        <f t="shared" si="90"/>
        <v>1012</v>
      </c>
      <c r="Z448" s="6">
        <f t="shared" si="91"/>
        <v>810</v>
      </c>
      <c r="AA448" s="6">
        <f t="shared" si="86"/>
        <v>11817394</v>
      </c>
      <c r="AB448" s="389">
        <f t="shared" si="92"/>
        <v>0</v>
      </c>
      <c r="AC448" s="503">
        <f t="shared" si="96"/>
        <v>0</v>
      </c>
      <c r="AD448" s="389">
        <f t="shared" si="93"/>
        <v>0</v>
      </c>
    </row>
    <row r="449" spans="1:30" s="390" customFormat="1">
      <c r="A449" s="167">
        <v>459</v>
      </c>
      <c r="B449" s="267" t="str">
        <f>VLOOKUP(A449,'JUNE (물량흐름)'!$A$13:$C$502,2,0)</f>
        <v>ALFANI</v>
      </c>
      <c r="C449" s="240">
        <f>VLOOKUP(A449,'JUNE (물량흐름)'!$A$13:$C$502,3,0)</f>
        <v>100024824</v>
      </c>
      <c r="D449" s="6">
        <f>VLOOKUP(C449,'WIP(재공품)'!$B$12:$E$493,4,0)</f>
        <v>88432.5</v>
      </c>
      <c r="E449" s="6">
        <f>IFERROR(VLOOKUP(C449,O.B.JUNE!$AA$7:$AG$448,2,0),0)</f>
        <v>0</v>
      </c>
      <c r="F449" s="6">
        <f>IFERROR(VLOOKUP(C449,O.B.JUNE!$AA$7:$AG$448,3,0),0)</f>
        <v>0</v>
      </c>
      <c r="G449" s="6">
        <f>IFERROR(VLOOKUP(C449,O.B.JUNE!$AA$7:$AD$448,4,0),0)</f>
        <v>0</v>
      </c>
      <c r="H449" s="6">
        <f t="shared" si="87"/>
        <v>0</v>
      </c>
      <c r="I449" s="6">
        <f>IFERROR(VLOOKUP(C449,O.B.JUNE!$AA$7:$AF$448,6,0),0)</f>
        <v>0</v>
      </c>
      <c r="J449" s="6"/>
      <c r="K449" s="6">
        <f>IFERROR(VLOOKUP(C449,O.B.JUNE!$AA$7:$AG$448,7,0),0)</f>
        <v>0</v>
      </c>
      <c r="L449" s="6">
        <f>SUMIF('JUNE (물량흐름)'!$C$13:$C$502,'Direct labour(직접노무비)'!C449,'JUNE (물량흐름)'!$H$13:$H$502)+SUMIF('JUNE (물량흐름)'!$C$13:$C$502,'Direct labour(직접노무비)'!C449,'JUNE (물량흐름)'!$I$13:$I$502)</f>
        <v>1071</v>
      </c>
      <c r="M449" s="6">
        <f t="shared" si="88"/>
        <v>1067</v>
      </c>
      <c r="N449" s="6">
        <f t="shared" si="89"/>
        <v>94357478</v>
      </c>
      <c r="O449" s="6">
        <f t="shared" si="94"/>
        <v>29182287</v>
      </c>
      <c r="P449" s="6">
        <f>SUMIF('JUNE (물량흐름)'!$C$13:$C$502,C449,'JUNE (물량흐름)'!$T$13:$T$502)+SUMIF('JUNE (물량흐름)'!$C$13:$C$502,C449,'JUNE (물량흐름)'!$V$13:$V$502)+SUMIF('JUNE (물량흐름)'!$C$13:$C$502,C449,'JUNE (물량흐름)'!$U$13:$U$502)-SUMIF('JUNE (물량흐름)'!$C$13:$C$502,C449,'JUNE (물량흐름)'!$Y$13:$Y$502)</f>
        <v>1052</v>
      </c>
      <c r="Q449" s="6">
        <f t="shared" si="85"/>
        <v>28664581</v>
      </c>
      <c r="R449" s="6">
        <f>ROUND(IF(ISERROR(VLOOKUP(#REF!,'WIP(재공품)'!$B$12:$AB$38,13,0)),0,VLOOKUP(#REF!,'WIP(재공품)'!$B$12:$AB$38,13,0)),0)</f>
        <v>0</v>
      </c>
      <c r="S449" s="6">
        <f>IF(ISERROR(VLOOKUP(#REF!,'WIP(재공품)'!$B$12:$AB$38,10,0)),0,VLOOKUP(#REF!,'WIP(재공품)'!$B$12:$AB$38,10,0))</f>
        <v>0</v>
      </c>
      <c r="T449" s="6">
        <f>SUMIF('JUNE (물량흐름)'!$C$13:$C$502,'Direct labour(직접노무비)'!C449,'JUNE (물량흐름)'!$Y$13:$Y$502)</f>
        <v>0</v>
      </c>
      <c r="U449" s="6">
        <f t="shared" si="95"/>
        <v>0</v>
      </c>
      <c r="V449" s="6">
        <f>ROUND(SUMIF('JUNE (물량흐름)'!$C$13:$C$502,'Direct labour(직접노무비)'!C449,'JUNE (물량흐름)'!$N$13:$N$502),0)</f>
        <v>0</v>
      </c>
      <c r="W449" s="6">
        <f>ROUND(SUMIF('JUNE (물량흐름)'!$C$13:$C$502,'Direct labour(직접노무비)'!C449,'JUNE (물량흐름)'!$O$13:$O$502),0)</f>
        <v>0</v>
      </c>
      <c r="X449" s="6">
        <f>ROUND(SUMIF('JUNE (물량흐름)'!$C$13:$C$502,'Direct labour(직접노무비)'!C449,'JUNE (물량흐름)'!$P$13:$P$502),0)</f>
        <v>19</v>
      </c>
      <c r="Y449" s="6">
        <f t="shared" si="90"/>
        <v>19</v>
      </c>
      <c r="Z449" s="6">
        <f t="shared" si="91"/>
        <v>15</v>
      </c>
      <c r="AA449" s="6">
        <f t="shared" si="86"/>
        <v>517706</v>
      </c>
      <c r="AB449" s="389">
        <f t="shared" si="92"/>
        <v>0</v>
      </c>
      <c r="AC449" s="503">
        <f t="shared" si="96"/>
        <v>0</v>
      </c>
      <c r="AD449" s="389">
        <f t="shared" si="93"/>
        <v>0</v>
      </c>
    </row>
    <row r="450" spans="1:30" s="390" customFormat="1">
      <c r="A450" s="167">
        <v>460</v>
      </c>
      <c r="B450" s="267" t="str">
        <f>VLOOKUP(A450,'JUNE (물량흐름)'!$A$13:$C$502,2,0)</f>
        <v>ALFANI</v>
      </c>
      <c r="C450" s="240">
        <f>VLOOKUP(A450,'JUNE (물량흐름)'!$A$13:$C$502,3,0)</f>
        <v>100024853</v>
      </c>
      <c r="D450" s="6">
        <f>VLOOKUP(C450,'WIP(재공품)'!$B$12:$E$493,4,0)</f>
        <v>43082.5</v>
      </c>
      <c r="E450" s="6">
        <f>IFERROR(VLOOKUP(C450,O.B.JUNE!$AA$7:$AG$448,2,0),0)</f>
        <v>0</v>
      </c>
      <c r="F450" s="6">
        <f>IFERROR(VLOOKUP(C450,O.B.JUNE!$AA$7:$AG$448,3,0),0)</f>
        <v>0</v>
      </c>
      <c r="G450" s="6">
        <f>IFERROR(VLOOKUP(C450,O.B.JUNE!$AA$7:$AD$448,4,0),0)</f>
        <v>0</v>
      </c>
      <c r="H450" s="6">
        <f t="shared" si="87"/>
        <v>0</v>
      </c>
      <c r="I450" s="6">
        <f>IFERROR(VLOOKUP(C450,O.B.JUNE!$AA$7:$AF$448,6,0),0)</f>
        <v>0</v>
      </c>
      <c r="J450" s="6"/>
      <c r="K450" s="6">
        <f>IFERROR(VLOOKUP(C450,O.B.JUNE!$AA$7:$AG$448,7,0),0)</f>
        <v>0</v>
      </c>
      <c r="L450" s="6">
        <f>SUMIF('JUNE (물량흐름)'!$C$13:$C$502,'Direct labour(직접노무비)'!C450,'JUNE (물량흐름)'!$H$13:$H$502)+SUMIF('JUNE (물량흐름)'!$C$13:$C$502,'Direct labour(직접노무비)'!C450,'JUNE (물량흐름)'!$I$13:$I$502)</f>
        <v>7725</v>
      </c>
      <c r="M450" s="6">
        <f t="shared" si="88"/>
        <v>7439</v>
      </c>
      <c r="N450" s="6">
        <f t="shared" si="89"/>
        <v>320490718</v>
      </c>
      <c r="O450" s="6">
        <f t="shared" si="94"/>
        <v>99119351</v>
      </c>
      <c r="P450" s="6">
        <f>SUMIF('JUNE (물량흐름)'!$C$13:$C$502,C450,'JUNE (물량흐름)'!$T$13:$T$502)+SUMIF('JUNE (물량흐름)'!$C$13:$C$502,C450,'JUNE (물량흐름)'!$V$13:$V$502)+SUMIF('JUNE (물량흐름)'!$C$13:$C$502,C450,'JUNE (물량흐름)'!$U$13:$U$502)-SUMIF('JUNE (물량흐름)'!$C$13:$C$502,C450,'JUNE (물량흐름)'!$Y$13:$Y$502)</f>
        <v>6948</v>
      </c>
      <c r="Q450" s="6">
        <f t="shared" si="85"/>
        <v>89149676</v>
      </c>
      <c r="R450" s="6">
        <f>ROUND(IF(ISERROR(VLOOKUP(#REF!,'WIP(재공품)'!$B$12:$AB$38,13,0)),0,VLOOKUP(#REF!,'WIP(재공품)'!$B$12:$AB$38,13,0)),0)</f>
        <v>0</v>
      </c>
      <c r="S450" s="6">
        <f>IF(ISERROR(VLOOKUP(#REF!,'WIP(재공품)'!$B$12:$AB$38,10,0)),0,VLOOKUP(#REF!,'WIP(재공품)'!$B$12:$AB$38,10,0))</f>
        <v>0</v>
      </c>
      <c r="T450" s="6">
        <f>SUMIF('JUNE (물량흐름)'!$C$13:$C$502,'Direct labour(직접노무비)'!C450,'JUNE (물량흐름)'!$Y$13:$Y$502)</f>
        <v>0</v>
      </c>
      <c r="U450" s="6">
        <f t="shared" si="95"/>
        <v>0</v>
      </c>
      <c r="V450" s="6">
        <f>ROUND(SUMIF('JUNE (물량흐름)'!$C$13:$C$502,'Direct labour(직접노무비)'!C450,'JUNE (물량흐름)'!$N$13:$N$502),0)</f>
        <v>8</v>
      </c>
      <c r="W450" s="6">
        <f>ROUND(SUMIF('JUNE (물량흐름)'!$C$13:$C$502,'Direct labour(직접노무비)'!C450,'JUNE (물량흐름)'!$O$13:$O$502),0)</f>
        <v>418</v>
      </c>
      <c r="X450" s="6">
        <f>ROUND(SUMIF('JUNE (물량흐름)'!$C$13:$C$502,'Direct labour(직접노무비)'!C450,'JUNE (물량흐름)'!$P$13:$P$502),0)</f>
        <v>351</v>
      </c>
      <c r="Y450" s="6">
        <f t="shared" si="90"/>
        <v>777</v>
      </c>
      <c r="Z450" s="6">
        <f t="shared" si="91"/>
        <v>491</v>
      </c>
      <c r="AA450" s="6">
        <f t="shared" si="86"/>
        <v>9969675</v>
      </c>
      <c r="AB450" s="389">
        <f t="shared" si="92"/>
        <v>0</v>
      </c>
      <c r="AC450" s="503">
        <f t="shared" si="96"/>
        <v>0</v>
      </c>
      <c r="AD450" s="389">
        <f t="shared" si="93"/>
        <v>0</v>
      </c>
    </row>
    <row r="451" spans="1:30" s="390" customFormat="1">
      <c r="A451" s="167">
        <v>461</v>
      </c>
      <c r="B451" s="267" t="str">
        <f>VLOOKUP(A451,'JUNE (물량흐름)'!$A$13:$C$502,2,0)</f>
        <v>ALFANI</v>
      </c>
      <c r="C451" s="240">
        <f>VLOOKUP(A451,'JUNE (물량흐름)'!$A$13:$C$502,3,0)</f>
        <v>100025038</v>
      </c>
      <c r="D451" s="6">
        <f>VLOOKUP(C451,'WIP(재공품)'!$B$12:$E$493,4,0)</f>
        <v>77095</v>
      </c>
      <c r="E451" s="6">
        <f>IFERROR(VLOOKUP(C451,O.B.JUNE!$AA$7:$AG$448,2,0),0)</f>
        <v>0</v>
      </c>
      <c r="F451" s="6">
        <f>IFERROR(VLOOKUP(C451,O.B.JUNE!$AA$7:$AG$448,3,0),0)</f>
        <v>0</v>
      </c>
      <c r="G451" s="6">
        <f>IFERROR(VLOOKUP(C451,O.B.JUNE!$AA$7:$AD$448,4,0),0)</f>
        <v>0</v>
      </c>
      <c r="H451" s="6">
        <f t="shared" si="87"/>
        <v>0</v>
      </c>
      <c r="I451" s="6">
        <f>IFERROR(VLOOKUP(C451,O.B.JUNE!$AA$7:$AF$448,6,0),0)</f>
        <v>0</v>
      </c>
      <c r="J451" s="6"/>
      <c r="K451" s="6">
        <f>IFERROR(VLOOKUP(C451,O.B.JUNE!$AA$7:$AG$448,7,0),0)</f>
        <v>0</v>
      </c>
      <c r="L451" s="6">
        <f>SUMIF('JUNE (물량흐름)'!$C$13:$C$502,'Direct labour(직접노무비)'!C451,'JUNE (물량흐름)'!$H$13:$H$502)+SUMIF('JUNE (물량흐름)'!$C$13:$C$502,'Direct labour(직접노무비)'!C451,'JUNE (물량흐름)'!$I$13:$I$502)</f>
        <v>991</v>
      </c>
      <c r="M451" s="6">
        <f t="shared" si="88"/>
        <v>718</v>
      </c>
      <c r="N451" s="6">
        <f t="shared" si="89"/>
        <v>55354210</v>
      </c>
      <c r="O451" s="6">
        <f t="shared" si="94"/>
        <v>17119602</v>
      </c>
      <c r="P451" s="6">
        <f>SUMIF('JUNE (물량흐름)'!$C$13:$C$502,C451,'JUNE (물량흐름)'!$T$13:$T$502)+SUMIF('JUNE (물량흐름)'!$C$13:$C$502,C451,'JUNE (물량흐름)'!$V$13:$V$502)+SUMIF('JUNE (물량흐름)'!$C$13:$C$502,C451,'JUNE (물량흐름)'!$U$13:$U$502)-SUMIF('JUNE (물량흐름)'!$C$13:$C$502,C451,'JUNE (물량흐름)'!$Y$13:$Y$502)</f>
        <v>0</v>
      </c>
      <c r="Q451" s="6">
        <f t="shared" si="85"/>
        <v>0</v>
      </c>
      <c r="R451" s="6">
        <f>ROUND(IF(ISERROR(VLOOKUP(#REF!,'WIP(재공품)'!$B$12:$AB$38,13,0)),0,VLOOKUP(#REF!,'WIP(재공품)'!$B$12:$AB$38,13,0)),0)</f>
        <v>0</v>
      </c>
      <c r="S451" s="6">
        <f>IF(ISERROR(VLOOKUP(#REF!,'WIP(재공품)'!$B$12:$AB$38,10,0)),0,VLOOKUP(#REF!,'WIP(재공품)'!$B$12:$AB$38,10,0))</f>
        <v>0</v>
      </c>
      <c r="T451" s="6">
        <f>SUMIF('JUNE (물량흐름)'!$C$13:$C$502,'Direct labour(직접노무비)'!C451,'JUNE (물량흐름)'!$Y$13:$Y$502)</f>
        <v>0</v>
      </c>
      <c r="U451" s="6">
        <f t="shared" si="95"/>
        <v>0</v>
      </c>
      <c r="V451" s="6">
        <f>ROUND(SUMIF('JUNE (물량흐름)'!$C$13:$C$502,'Direct labour(직접노무비)'!C451,'JUNE (물량흐름)'!$N$13:$N$502),0)</f>
        <v>0</v>
      </c>
      <c r="W451" s="6">
        <f>ROUND(SUMIF('JUNE (물량흐름)'!$C$13:$C$502,'Direct labour(직접노무비)'!C451,'JUNE (물량흐름)'!$O$13:$O$502),0)</f>
        <v>250</v>
      </c>
      <c r="X451" s="6">
        <f>ROUND(SUMIF('JUNE (물량흐름)'!$C$13:$C$502,'Direct labour(직접노무비)'!C451,'JUNE (물량흐름)'!$P$13:$P$502),0)</f>
        <v>741</v>
      </c>
      <c r="Y451" s="6">
        <f t="shared" si="90"/>
        <v>991</v>
      </c>
      <c r="Z451" s="6">
        <f t="shared" si="91"/>
        <v>718</v>
      </c>
      <c r="AA451" s="6">
        <f t="shared" si="86"/>
        <v>17119602</v>
      </c>
      <c r="AB451" s="389">
        <f t="shared" si="92"/>
        <v>0</v>
      </c>
      <c r="AC451" s="503">
        <f t="shared" si="96"/>
        <v>0</v>
      </c>
      <c r="AD451" s="389">
        <f t="shared" si="93"/>
        <v>0</v>
      </c>
    </row>
    <row r="452" spans="1:30" s="390" customFormat="1">
      <c r="A452" s="167">
        <v>462</v>
      </c>
      <c r="B452" s="267" t="str">
        <f>VLOOKUP(A452,'JUNE (물량흐름)'!$A$13:$C$502,2,0)</f>
        <v>ALFANI</v>
      </c>
      <c r="C452" s="240">
        <f>VLOOKUP(A452,'JUNE (물량흐름)'!$A$13:$C$502,3,0)</f>
        <v>100025039</v>
      </c>
      <c r="D452" s="6">
        <f>VLOOKUP(C452,'WIP(재공품)'!$B$12:$E$493,4,0)</f>
        <v>77095</v>
      </c>
      <c r="E452" s="6">
        <f>IFERROR(VLOOKUP(C452,O.B.JUNE!$AA$7:$AG$448,2,0),0)</f>
        <v>0</v>
      </c>
      <c r="F452" s="6">
        <f>IFERROR(VLOOKUP(C452,O.B.JUNE!$AA$7:$AG$448,3,0),0)</f>
        <v>0</v>
      </c>
      <c r="G452" s="6">
        <f>IFERROR(VLOOKUP(C452,O.B.JUNE!$AA$7:$AD$448,4,0),0)</f>
        <v>0</v>
      </c>
      <c r="H452" s="6">
        <f t="shared" si="87"/>
        <v>0</v>
      </c>
      <c r="I452" s="6">
        <f>IFERROR(VLOOKUP(C452,O.B.JUNE!$AA$7:$AF$448,6,0),0)</f>
        <v>0</v>
      </c>
      <c r="J452" s="6"/>
      <c r="K452" s="6">
        <f>IFERROR(VLOOKUP(C452,O.B.JUNE!$AA$7:$AG$448,7,0),0)</f>
        <v>0</v>
      </c>
      <c r="L452" s="6">
        <f>SUMIF('JUNE (물량흐름)'!$C$13:$C$502,'Direct labour(직접노무비)'!C452,'JUNE (물량흐름)'!$H$13:$H$502)+SUMIF('JUNE (물량흐름)'!$C$13:$C$502,'Direct labour(직접노무비)'!C452,'JUNE (물량흐름)'!$I$13:$I$502)</f>
        <v>4714</v>
      </c>
      <c r="M452" s="6">
        <f t="shared" si="88"/>
        <v>4471</v>
      </c>
      <c r="N452" s="6">
        <f t="shared" si="89"/>
        <v>344691745</v>
      </c>
      <c r="O452" s="6">
        <f t="shared" si="94"/>
        <v>106604093</v>
      </c>
      <c r="P452" s="6">
        <f>SUMIF('JUNE (물량흐름)'!$C$13:$C$502,C452,'JUNE (물량흐름)'!$T$13:$T$502)+SUMIF('JUNE (물량흐름)'!$C$13:$C$502,C452,'JUNE (물량흐름)'!$V$13:$V$502)+SUMIF('JUNE (물량흐름)'!$C$13:$C$502,C452,'JUNE (물량흐름)'!$U$13:$U$502)-SUMIF('JUNE (물량흐름)'!$C$13:$C$502,C452,'JUNE (물량흐름)'!$Y$13:$Y$502)</f>
        <v>3687</v>
      </c>
      <c r="Q452" s="6">
        <f t="shared" si="85"/>
        <v>83379145</v>
      </c>
      <c r="R452" s="6">
        <f>ROUND(IF(ISERROR(VLOOKUP(#REF!,'WIP(재공품)'!$B$12:$AB$38,13,0)),0,VLOOKUP(#REF!,'WIP(재공품)'!$B$12:$AB$38,13,0)),0)</f>
        <v>0</v>
      </c>
      <c r="S452" s="6">
        <f>IF(ISERROR(VLOOKUP(#REF!,'WIP(재공품)'!$B$12:$AB$38,10,0)),0,VLOOKUP(#REF!,'WIP(재공품)'!$B$12:$AB$38,10,0))</f>
        <v>0</v>
      </c>
      <c r="T452" s="6">
        <f>SUMIF('JUNE (물량흐름)'!$C$13:$C$502,'Direct labour(직접노무비)'!C452,'JUNE (물량흐름)'!$Y$13:$Y$502)</f>
        <v>0</v>
      </c>
      <c r="U452" s="6">
        <f t="shared" si="95"/>
        <v>0</v>
      </c>
      <c r="V452" s="6">
        <f>ROUND(SUMIF('JUNE (물량흐름)'!$C$13:$C$502,'Direct labour(직접노무비)'!C452,'JUNE (물량흐름)'!$N$13:$N$502),0)</f>
        <v>2</v>
      </c>
      <c r="W452" s="6">
        <f>ROUND(SUMIF('JUNE (물량흐름)'!$C$13:$C$502,'Direct labour(직접노무비)'!C452,'JUNE (물량흐름)'!$O$13:$O$502),0)</f>
        <v>121</v>
      </c>
      <c r="X452" s="6">
        <f>ROUND(SUMIF('JUNE (물량흐름)'!$C$13:$C$502,'Direct labour(직접노무비)'!C452,'JUNE (물량흐름)'!$P$13:$P$502),0)</f>
        <v>904</v>
      </c>
      <c r="Y452" s="6">
        <f t="shared" si="90"/>
        <v>1027</v>
      </c>
      <c r="Z452" s="6">
        <f t="shared" si="91"/>
        <v>784</v>
      </c>
      <c r="AA452" s="6">
        <f t="shared" si="86"/>
        <v>23224948</v>
      </c>
      <c r="AB452" s="389">
        <f t="shared" si="92"/>
        <v>0</v>
      </c>
      <c r="AC452" s="503">
        <f t="shared" si="96"/>
        <v>0</v>
      </c>
      <c r="AD452" s="389">
        <f t="shared" si="93"/>
        <v>0</v>
      </c>
    </row>
    <row r="453" spans="1:30" s="390" customFormat="1">
      <c r="A453" s="167">
        <v>463</v>
      </c>
      <c r="B453" s="267" t="str">
        <f>VLOOKUP(A453,'JUNE (물량흐름)'!$A$13:$C$502,2,0)</f>
        <v>ALFANI</v>
      </c>
      <c r="C453" s="240">
        <f>VLOOKUP(A453,'JUNE (물량흐름)'!$A$13:$C$502,3,0)</f>
        <v>100027487</v>
      </c>
      <c r="D453" s="6">
        <f>VLOOKUP(C453,'WIP(재공품)'!$B$12:$E$493,4,0)</f>
        <v>44896.5</v>
      </c>
      <c r="E453" s="6">
        <f>IFERROR(VLOOKUP(C453,O.B.JUNE!$AA$7:$AG$448,2,0),0)</f>
        <v>0</v>
      </c>
      <c r="F453" s="6">
        <f>IFERROR(VLOOKUP(C453,O.B.JUNE!$AA$7:$AG$448,3,0),0)</f>
        <v>0</v>
      </c>
      <c r="G453" s="6">
        <f>IFERROR(VLOOKUP(C453,O.B.JUNE!$AA$7:$AD$448,4,0),0)</f>
        <v>0</v>
      </c>
      <c r="H453" s="6">
        <f t="shared" si="87"/>
        <v>0</v>
      </c>
      <c r="I453" s="6">
        <f>IFERROR(VLOOKUP(C453,O.B.JUNE!$AA$7:$AF$448,6,0),0)</f>
        <v>0</v>
      </c>
      <c r="J453" s="6"/>
      <c r="K453" s="6">
        <f>IFERROR(VLOOKUP(C453,O.B.JUNE!$AA$7:$AG$448,7,0),0)</f>
        <v>0</v>
      </c>
      <c r="L453" s="6">
        <f>SUMIF('JUNE (물량흐름)'!$C$13:$C$502,'Direct labour(직접노무비)'!C453,'JUNE (물량흐름)'!$H$13:$H$502)+SUMIF('JUNE (물량흐름)'!$C$13:$C$502,'Direct labour(직접노무비)'!C453,'JUNE (물량흐름)'!$I$13:$I$502)</f>
        <v>1282</v>
      </c>
      <c r="M453" s="6">
        <f t="shared" si="88"/>
        <v>1245</v>
      </c>
      <c r="N453" s="6">
        <f t="shared" si="89"/>
        <v>55896143</v>
      </c>
      <c r="O453" s="6">
        <f t="shared" si="94"/>
        <v>17287207</v>
      </c>
      <c r="P453" s="6">
        <f>SUMIF('JUNE (물량흐름)'!$C$13:$C$502,C453,'JUNE (물량흐름)'!$T$13:$T$502)+SUMIF('JUNE (물량흐름)'!$C$13:$C$502,C453,'JUNE (물량흐름)'!$V$13:$V$502)+SUMIF('JUNE (물량흐름)'!$C$13:$C$502,C453,'JUNE (물량흐름)'!$U$13:$U$502)-SUMIF('JUNE (물량흐름)'!$C$13:$C$502,C453,'JUNE (물량흐름)'!$Y$13:$Y$502)</f>
        <v>1205</v>
      </c>
      <c r="Q453" s="6">
        <f t="shared" si="85"/>
        <v>16248896</v>
      </c>
      <c r="R453" s="6">
        <f>ROUND(IF(ISERROR(VLOOKUP(#REF!,'WIP(재공품)'!$B$12:$AB$38,13,0)),0,VLOOKUP(#REF!,'WIP(재공품)'!$B$12:$AB$38,13,0)),0)</f>
        <v>0</v>
      </c>
      <c r="S453" s="6">
        <f>IF(ISERROR(VLOOKUP(#REF!,'WIP(재공품)'!$B$12:$AB$38,10,0)),0,VLOOKUP(#REF!,'WIP(재공품)'!$B$12:$AB$38,10,0))</f>
        <v>0</v>
      </c>
      <c r="T453" s="6">
        <f>SUMIF('JUNE (물량흐름)'!$C$13:$C$502,'Direct labour(직접노무비)'!C453,'JUNE (물량흐름)'!$Y$13:$Y$502)</f>
        <v>0</v>
      </c>
      <c r="U453" s="6">
        <f t="shared" si="95"/>
        <v>0</v>
      </c>
      <c r="V453" s="6">
        <f>ROUND(SUMIF('JUNE (물량흐름)'!$C$13:$C$502,'Direct labour(직접노무비)'!C453,'JUNE (물량흐름)'!$N$13:$N$502),0)</f>
        <v>0</v>
      </c>
      <c r="W453" s="6">
        <f>ROUND(SUMIF('JUNE (물량흐름)'!$C$13:$C$502,'Direct labour(직접노무비)'!C453,'JUNE (물량흐름)'!$O$13:$O$502),0)</f>
        <v>73</v>
      </c>
      <c r="X453" s="6">
        <f>ROUND(SUMIF('JUNE (물량흐름)'!$C$13:$C$502,'Direct labour(직접노무비)'!C453,'JUNE (물량흐름)'!$P$13:$P$502),0)</f>
        <v>4</v>
      </c>
      <c r="Y453" s="6">
        <f t="shared" si="90"/>
        <v>77</v>
      </c>
      <c r="Z453" s="6">
        <f t="shared" si="91"/>
        <v>40</v>
      </c>
      <c r="AA453" s="6">
        <f t="shared" si="86"/>
        <v>1038311</v>
      </c>
      <c r="AB453" s="389">
        <f t="shared" si="92"/>
        <v>0</v>
      </c>
      <c r="AC453" s="503">
        <f t="shared" si="96"/>
        <v>0</v>
      </c>
      <c r="AD453" s="389">
        <f t="shared" si="93"/>
        <v>0</v>
      </c>
    </row>
    <row r="454" spans="1:30" s="390" customFormat="1">
      <c r="A454" s="167">
        <v>464</v>
      </c>
      <c r="B454" s="267" t="str">
        <f>VLOOKUP(A454,'JUNE (물량흐름)'!$A$13:$C$502,2,0)</f>
        <v>ALFANI</v>
      </c>
      <c r="C454" s="240">
        <f>VLOOKUP(A454,'JUNE (물량흐름)'!$A$13:$C$502,3,0)</f>
        <v>100033970</v>
      </c>
      <c r="D454" s="6">
        <f>VLOOKUP(C454,'WIP(재공품)'!$B$12:$E$493,4,0)</f>
        <v>72560</v>
      </c>
      <c r="E454" s="6">
        <f>IFERROR(VLOOKUP(C454,O.B.JUNE!$AA$7:$AG$448,2,0),0)</f>
        <v>0</v>
      </c>
      <c r="F454" s="6">
        <f>IFERROR(VLOOKUP(C454,O.B.JUNE!$AA$7:$AG$448,3,0),0)</f>
        <v>0</v>
      </c>
      <c r="G454" s="6">
        <f>IFERROR(VLOOKUP(C454,O.B.JUNE!$AA$7:$AD$448,4,0),0)</f>
        <v>0</v>
      </c>
      <c r="H454" s="6">
        <f t="shared" si="87"/>
        <v>0</v>
      </c>
      <c r="I454" s="6">
        <f>IFERROR(VLOOKUP(C454,O.B.JUNE!$AA$7:$AF$448,6,0),0)</f>
        <v>0</v>
      </c>
      <c r="J454" s="6"/>
      <c r="K454" s="6">
        <f>IFERROR(VLOOKUP(C454,O.B.JUNE!$AA$7:$AG$448,7,0),0)</f>
        <v>0</v>
      </c>
      <c r="L454" s="6">
        <f>SUMIF('JUNE (물량흐름)'!$C$13:$C$502,'Direct labour(직접노무비)'!C454,'JUNE (물량흐름)'!$H$13:$H$502)+SUMIF('JUNE (물량흐름)'!$C$13:$C$502,'Direct labour(직접노무비)'!C454,'JUNE (물량흐름)'!$I$13:$I$502)</f>
        <v>1465</v>
      </c>
      <c r="M454" s="6">
        <f t="shared" si="88"/>
        <v>973</v>
      </c>
      <c r="N454" s="6">
        <f t="shared" si="89"/>
        <v>70600880</v>
      </c>
      <c r="O454" s="6">
        <f t="shared" si="94"/>
        <v>21834996</v>
      </c>
      <c r="P454" s="6">
        <f>SUMIF('JUNE (물량흐름)'!$C$13:$C$502,C454,'JUNE (물량흐름)'!$T$13:$T$502)+SUMIF('JUNE (물량흐름)'!$C$13:$C$502,C454,'JUNE (물량흐름)'!$V$13:$V$502)+SUMIF('JUNE (물량흐름)'!$C$13:$C$502,C454,'JUNE (물량흐름)'!$U$13:$U$502)-SUMIF('JUNE (물량흐름)'!$C$13:$C$502,C454,'JUNE (물량흐름)'!$Y$13:$Y$502)</f>
        <v>0</v>
      </c>
      <c r="Q454" s="6">
        <f t="shared" si="85"/>
        <v>0</v>
      </c>
      <c r="R454" s="6">
        <f>ROUND(IF(ISERROR(VLOOKUP(#REF!,'WIP(재공품)'!$B$12:$AB$38,13,0)),0,VLOOKUP(#REF!,'WIP(재공품)'!$B$12:$AB$38,13,0)),0)</f>
        <v>0</v>
      </c>
      <c r="S454" s="6">
        <f>IF(ISERROR(VLOOKUP(#REF!,'WIP(재공품)'!$B$12:$AB$38,10,0)),0,VLOOKUP(#REF!,'WIP(재공품)'!$B$12:$AB$38,10,0))</f>
        <v>0</v>
      </c>
      <c r="T454" s="6">
        <f>SUMIF('JUNE (물량흐름)'!$C$13:$C$502,'Direct labour(직접노무비)'!C454,'JUNE (물량흐름)'!$Y$13:$Y$502)</f>
        <v>0</v>
      </c>
      <c r="U454" s="6">
        <f t="shared" si="95"/>
        <v>0</v>
      </c>
      <c r="V454" s="6">
        <f>ROUND(SUMIF('JUNE (물량흐름)'!$C$13:$C$502,'Direct labour(직접노무비)'!C454,'JUNE (물량흐름)'!$N$13:$N$502),0)</f>
        <v>0</v>
      </c>
      <c r="W454" s="6">
        <f>ROUND(SUMIF('JUNE (물량흐름)'!$C$13:$C$502,'Direct labour(직접노무비)'!C454,'JUNE (물량흐름)'!$O$13:$O$502),0)</f>
        <v>665</v>
      </c>
      <c r="X454" s="6">
        <f>ROUND(SUMIF('JUNE (물량흐름)'!$C$13:$C$502,'Direct labour(직접노무비)'!C454,'JUNE (물량흐름)'!$P$13:$P$502),0)</f>
        <v>800</v>
      </c>
      <c r="Y454" s="6">
        <f t="shared" si="90"/>
        <v>1465</v>
      </c>
      <c r="Z454" s="6">
        <f t="shared" si="91"/>
        <v>973</v>
      </c>
      <c r="AA454" s="6">
        <f t="shared" si="86"/>
        <v>21834996</v>
      </c>
      <c r="AB454" s="389">
        <f t="shared" si="92"/>
        <v>0</v>
      </c>
      <c r="AC454" s="503">
        <f t="shared" si="96"/>
        <v>0</v>
      </c>
      <c r="AD454" s="389">
        <f t="shared" si="93"/>
        <v>0</v>
      </c>
    </row>
    <row r="455" spans="1:30" s="390" customFormat="1">
      <c r="A455" s="167">
        <v>465</v>
      </c>
      <c r="B455" s="267" t="str">
        <f>VLOOKUP(A455,'JUNE (물량흐름)'!$A$13:$C$502,2,0)</f>
        <v>ALFANI</v>
      </c>
      <c r="C455" s="240">
        <f>VLOOKUP(A455,'JUNE (물량흐름)'!$A$13:$C$502,3,0)</f>
        <v>100037213</v>
      </c>
      <c r="D455" s="6">
        <f>VLOOKUP(C455,'WIP(재공품)'!$B$12:$E$493,4,0)</f>
        <v>40815</v>
      </c>
      <c r="E455" s="6">
        <f>IFERROR(VLOOKUP(C455,O.B.JUNE!$AA$7:$AG$448,2,0),0)</f>
        <v>0</v>
      </c>
      <c r="F455" s="6">
        <f>IFERROR(VLOOKUP(C455,O.B.JUNE!$AA$7:$AG$448,3,0),0)</f>
        <v>0</v>
      </c>
      <c r="G455" s="6">
        <f>IFERROR(VLOOKUP(C455,O.B.JUNE!$AA$7:$AD$448,4,0),0)</f>
        <v>0</v>
      </c>
      <c r="H455" s="6">
        <f t="shared" si="87"/>
        <v>0</v>
      </c>
      <c r="I455" s="6">
        <f>IFERROR(VLOOKUP(C455,O.B.JUNE!$AA$7:$AF$448,6,0),0)</f>
        <v>0</v>
      </c>
      <c r="J455" s="6"/>
      <c r="K455" s="6">
        <f>IFERROR(VLOOKUP(C455,O.B.JUNE!$AA$7:$AG$448,7,0),0)</f>
        <v>0</v>
      </c>
      <c r="L455" s="6">
        <f>SUMIF('JUNE (물량흐름)'!$C$13:$C$502,'Direct labour(직접노무비)'!C455,'JUNE (물량흐름)'!$H$13:$H$502)+SUMIF('JUNE (물량흐름)'!$C$13:$C$502,'Direct labour(직접노무비)'!C455,'JUNE (물량흐름)'!$I$13:$I$502)</f>
        <v>2712</v>
      </c>
      <c r="M455" s="6">
        <f t="shared" si="88"/>
        <v>2249</v>
      </c>
      <c r="N455" s="6">
        <f t="shared" si="89"/>
        <v>91792935</v>
      </c>
      <c r="O455" s="6">
        <f t="shared" si="94"/>
        <v>28389141</v>
      </c>
      <c r="P455" s="6">
        <f>SUMIF('JUNE (물량흐름)'!$C$13:$C$502,C455,'JUNE (물량흐름)'!$T$13:$T$502)+SUMIF('JUNE (물량흐름)'!$C$13:$C$502,C455,'JUNE (물량흐름)'!$V$13:$V$502)+SUMIF('JUNE (물량흐름)'!$C$13:$C$502,C455,'JUNE (물량흐름)'!$U$13:$U$502)-SUMIF('JUNE (물량흐름)'!$C$13:$C$502,C455,'JUNE (물량흐름)'!$Y$13:$Y$502)</f>
        <v>1276</v>
      </c>
      <c r="Q455" s="6">
        <f t="shared" si="85"/>
        <v>13357133</v>
      </c>
      <c r="R455" s="6">
        <f>ROUND(IF(ISERROR(VLOOKUP(#REF!,'WIP(재공품)'!$B$12:$AB$38,13,0)),0,VLOOKUP(#REF!,'WIP(재공품)'!$B$12:$AB$38,13,0)),0)</f>
        <v>0</v>
      </c>
      <c r="S455" s="6">
        <f>IF(ISERROR(VLOOKUP(#REF!,'WIP(재공품)'!$B$12:$AB$38,10,0)),0,VLOOKUP(#REF!,'WIP(재공품)'!$B$12:$AB$38,10,0))</f>
        <v>0</v>
      </c>
      <c r="T455" s="6">
        <f>SUMIF('JUNE (물량흐름)'!$C$13:$C$502,'Direct labour(직접노무비)'!C455,'JUNE (물량흐름)'!$Y$13:$Y$502)</f>
        <v>0</v>
      </c>
      <c r="U455" s="6">
        <f t="shared" si="95"/>
        <v>0</v>
      </c>
      <c r="V455" s="6">
        <f>ROUND(SUMIF('JUNE (물량흐름)'!$C$13:$C$502,'Direct labour(직접노무비)'!C455,'JUNE (물량흐름)'!$N$13:$N$502),0)</f>
        <v>0</v>
      </c>
      <c r="W455" s="6">
        <f>ROUND(SUMIF('JUNE (물량흐름)'!$C$13:$C$502,'Direct labour(직접노무비)'!C455,'JUNE (물량흐름)'!$O$13:$O$502),0)</f>
        <v>586</v>
      </c>
      <c r="X455" s="6">
        <f>ROUND(SUMIF('JUNE (물량흐름)'!$C$13:$C$502,'Direct labour(직접노무비)'!C455,'JUNE (물량흐름)'!$P$13:$P$502),0)</f>
        <v>850</v>
      </c>
      <c r="Y455" s="6">
        <f t="shared" si="90"/>
        <v>1436</v>
      </c>
      <c r="Z455" s="6">
        <f t="shared" si="91"/>
        <v>973</v>
      </c>
      <c r="AA455" s="6">
        <f t="shared" si="86"/>
        <v>15032008</v>
      </c>
      <c r="AB455" s="389">
        <f t="shared" si="92"/>
        <v>0</v>
      </c>
      <c r="AC455" s="503">
        <f t="shared" si="96"/>
        <v>0</v>
      </c>
      <c r="AD455" s="389">
        <f t="shared" si="93"/>
        <v>0</v>
      </c>
    </row>
    <row r="456" spans="1:30" s="390" customFormat="1">
      <c r="A456" s="167">
        <v>466</v>
      </c>
      <c r="B456" s="267" t="str">
        <f>VLOOKUP(A456,'JUNE (물량흐름)'!$A$13:$C$502,2,0)</f>
        <v>ALFANI</v>
      </c>
      <c r="C456" s="240">
        <f>VLOOKUP(A456,'JUNE (물량흐름)'!$A$13:$C$502,3,0)</f>
        <v>100037673</v>
      </c>
      <c r="D456" s="6">
        <f>VLOOKUP(C456,'WIP(재공품)'!$B$12:$E$493,4,0)</f>
        <v>38547.5</v>
      </c>
      <c r="E456" s="6">
        <f>IFERROR(VLOOKUP(C456,O.B.JUNE!$AA$7:$AG$448,2,0),0)</f>
        <v>0</v>
      </c>
      <c r="F456" s="6">
        <f>IFERROR(VLOOKUP(C456,O.B.JUNE!$AA$7:$AG$448,3,0),0)</f>
        <v>0</v>
      </c>
      <c r="G456" s="6">
        <f>IFERROR(VLOOKUP(C456,O.B.JUNE!$AA$7:$AD$448,4,0),0)</f>
        <v>0</v>
      </c>
      <c r="H456" s="6">
        <f t="shared" si="87"/>
        <v>0</v>
      </c>
      <c r="I456" s="6">
        <f>IFERROR(VLOOKUP(C456,O.B.JUNE!$AA$7:$AF$448,6,0),0)</f>
        <v>0</v>
      </c>
      <c r="J456" s="6"/>
      <c r="K456" s="6">
        <f>IFERROR(VLOOKUP(C456,O.B.JUNE!$AA$7:$AG$448,7,0),0)</f>
        <v>0</v>
      </c>
      <c r="L456" s="6">
        <f>SUMIF('JUNE (물량흐름)'!$C$13:$C$502,'Direct labour(직접노무비)'!C456,'JUNE (물량흐름)'!$H$13:$H$502)+SUMIF('JUNE (물량흐름)'!$C$13:$C$502,'Direct labour(직접노무비)'!C456,'JUNE (물량흐름)'!$I$13:$I$502)</f>
        <v>1772</v>
      </c>
      <c r="M456" s="6">
        <f t="shared" si="88"/>
        <v>1745</v>
      </c>
      <c r="N456" s="6">
        <f t="shared" si="89"/>
        <v>67265388</v>
      </c>
      <c r="O456" s="6">
        <f t="shared" si="94"/>
        <v>20803416</v>
      </c>
      <c r="P456" s="6">
        <f>SUMIF('JUNE (물량흐름)'!$C$13:$C$502,C456,'JUNE (물량흐름)'!$T$13:$T$502)+SUMIF('JUNE (물량흐름)'!$C$13:$C$502,C456,'JUNE (물량흐름)'!$V$13:$V$502)+SUMIF('JUNE (물량흐름)'!$C$13:$C$502,C456,'JUNE (물량흐름)'!$U$13:$U$502)-SUMIF('JUNE (물량흐름)'!$C$13:$C$502,C456,'JUNE (물량흐름)'!$Y$13:$Y$502)</f>
        <v>1698</v>
      </c>
      <c r="Q456" s="6">
        <f t="shared" si="85"/>
        <v>19934650</v>
      </c>
      <c r="R456" s="6">
        <f>ROUND(IF(ISERROR(VLOOKUP(#REF!,'WIP(재공품)'!$B$12:$AB$38,13,0)),0,VLOOKUP(#REF!,'WIP(재공품)'!$B$12:$AB$38,13,0)),0)</f>
        <v>0</v>
      </c>
      <c r="S456" s="6">
        <f>IF(ISERROR(VLOOKUP(#REF!,'WIP(재공품)'!$B$12:$AB$38,10,0)),0,VLOOKUP(#REF!,'WIP(재공품)'!$B$12:$AB$38,10,0))</f>
        <v>0</v>
      </c>
      <c r="T456" s="6">
        <f>SUMIF('JUNE (물량흐름)'!$C$13:$C$502,'Direct labour(직접노무비)'!C456,'JUNE (물량흐름)'!$Y$13:$Y$502)</f>
        <v>0</v>
      </c>
      <c r="U456" s="6">
        <f t="shared" si="95"/>
        <v>0</v>
      </c>
      <c r="V456" s="6">
        <f>ROUND(SUMIF('JUNE (물량흐름)'!$C$13:$C$502,'Direct labour(직접노무비)'!C456,'JUNE (물량흐름)'!$N$13:$N$502),0)</f>
        <v>0</v>
      </c>
      <c r="W456" s="6">
        <f>ROUND(SUMIF('JUNE (물량흐름)'!$C$13:$C$502,'Direct labour(직접노무비)'!C456,'JUNE (물량흐름)'!$O$13:$O$502),0)</f>
        <v>41</v>
      </c>
      <c r="X456" s="6">
        <f>ROUND(SUMIF('JUNE (물량흐름)'!$C$13:$C$502,'Direct labour(직접노무비)'!C456,'JUNE (물량흐름)'!$P$13:$P$502),0)</f>
        <v>33</v>
      </c>
      <c r="Y456" s="6">
        <f t="shared" si="90"/>
        <v>74</v>
      </c>
      <c r="Z456" s="6">
        <f t="shared" si="91"/>
        <v>47</v>
      </c>
      <c r="AA456" s="6">
        <f t="shared" si="86"/>
        <v>868766</v>
      </c>
      <c r="AB456" s="389">
        <f t="shared" si="92"/>
        <v>0</v>
      </c>
      <c r="AC456" s="503">
        <f t="shared" si="96"/>
        <v>0</v>
      </c>
      <c r="AD456" s="389">
        <f t="shared" si="93"/>
        <v>0</v>
      </c>
    </row>
    <row r="457" spans="1:30" s="390" customFormat="1">
      <c r="A457" s="167">
        <v>467</v>
      </c>
      <c r="B457" s="267" t="str">
        <f>VLOOKUP(A457,'JUNE (물량흐름)'!$A$13:$C$502,2,0)</f>
        <v>ALFANI</v>
      </c>
      <c r="C457" s="240">
        <f>VLOOKUP(A457,'JUNE (물량흐름)'!$A$13:$C$502,3,0)</f>
        <v>100038686</v>
      </c>
      <c r="D457" s="6">
        <f>VLOOKUP(C457,'WIP(재공품)'!$B$12:$E$493,4,0)</f>
        <v>26529.75</v>
      </c>
      <c r="E457" s="6">
        <f>IFERROR(VLOOKUP(C457,O.B.JUNE!$AA$7:$AG$448,2,0),0)</f>
        <v>0</v>
      </c>
      <c r="F457" s="6">
        <f>IFERROR(VLOOKUP(C457,O.B.JUNE!$AA$7:$AG$448,3,0),0)</f>
        <v>0</v>
      </c>
      <c r="G457" s="6">
        <f>IFERROR(VLOOKUP(C457,O.B.JUNE!$AA$7:$AD$448,4,0),0)</f>
        <v>0</v>
      </c>
      <c r="H457" s="6">
        <f t="shared" si="87"/>
        <v>0</v>
      </c>
      <c r="I457" s="6">
        <f>IFERROR(VLOOKUP(C457,O.B.JUNE!$AA$7:$AF$448,6,0),0)</f>
        <v>0</v>
      </c>
      <c r="J457" s="6"/>
      <c r="K457" s="6">
        <f>IFERROR(VLOOKUP(C457,O.B.JUNE!$AA$7:$AG$448,7,0),0)</f>
        <v>0</v>
      </c>
      <c r="L457" s="6">
        <f>SUMIF('JUNE (물량흐름)'!$C$13:$C$502,'Direct labour(직접노무비)'!C457,'JUNE (물량흐름)'!$H$13:$H$502)+SUMIF('JUNE (물량흐름)'!$C$13:$C$502,'Direct labour(직접노무비)'!C457,'JUNE (물량흐름)'!$I$13:$I$502)</f>
        <v>6084</v>
      </c>
      <c r="M457" s="6">
        <f t="shared" si="88"/>
        <v>3526</v>
      </c>
      <c r="N457" s="6">
        <f t="shared" si="89"/>
        <v>93543899</v>
      </c>
      <c r="O457" s="6">
        <f t="shared" si="94"/>
        <v>28930668</v>
      </c>
      <c r="P457" s="6">
        <f>SUMIF('JUNE (물량흐름)'!$C$13:$C$502,C457,'JUNE (물량흐름)'!$T$13:$T$502)+SUMIF('JUNE (물량흐름)'!$C$13:$C$502,C457,'JUNE (물량흐름)'!$V$13:$V$502)+SUMIF('JUNE (물량흐름)'!$C$13:$C$502,C457,'JUNE (물량흐름)'!$U$13:$U$502)-SUMIF('JUNE (물량흐름)'!$C$13:$C$502,C457,'JUNE (물량흐름)'!$Y$13:$Y$502)</f>
        <v>322</v>
      </c>
      <c r="Q457" s="6">
        <f t="shared" si="85"/>
        <v>1531176</v>
      </c>
      <c r="R457" s="6">
        <f>ROUND(IF(ISERROR(VLOOKUP(#REF!,'WIP(재공품)'!$B$12:$AB$38,13,0)),0,VLOOKUP(#REF!,'WIP(재공품)'!$B$12:$AB$38,13,0)),0)</f>
        <v>0</v>
      </c>
      <c r="S457" s="6">
        <f>IF(ISERROR(VLOOKUP(#REF!,'WIP(재공품)'!$B$12:$AB$38,10,0)),0,VLOOKUP(#REF!,'WIP(재공품)'!$B$12:$AB$38,10,0))</f>
        <v>0</v>
      </c>
      <c r="T457" s="6">
        <f>SUMIF('JUNE (물량흐름)'!$C$13:$C$502,'Direct labour(직접노무비)'!C457,'JUNE (물량흐름)'!$Y$13:$Y$502)</f>
        <v>0</v>
      </c>
      <c r="U457" s="6">
        <f t="shared" si="95"/>
        <v>0</v>
      </c>
      <c r="V457" s="6">
        <f>ROUND(SUMIF('JUNE (물량흐름)'!$C$13:$C$502,'Direct labour(직접노무비)'!C457,'JUNE (물량흐름)'!$N$13:$N$502),0)</f>
        <v>0</v>
      </c>
      <c r="W457" s="6">
        <f>ROUND(SUMIF('JUNE (물량흐름)'!$C$13:$C$502,'Direct labour(직접노무비)'!C457,'JUNE (물량흐름)'!$O$13:$O$502),0)</f>
        <v>4684</v>
      </c>
      <c r="X457" s="6">
        <f>ROUND(SUMIF('JUNE (물량흐름)'!$C$13:$C$502,'Direct labour(직접노무비)'!C457,'JUNE (물량흐름)'!$P$13:$P$502),0)</f>
        <v>1078</v>
      </c>
      <c r="Y457" s="6">
        <f t="shared" si="90"/>
        <v>5762</v>
      </c>
      <c r="Z457" s="6">
        <f t="shared" si="91"/>
        <v>3204</v>
      </c>
      <c r="AA457" s="6">
        <f t="shared" si="86"/>
        <v>27399492</v>
      </c>
      <c r="AB457" s="389">
        <f t="shared" si="92"/>
        <v>0</v>
      </c>
      <c r="AC457" s="503">
        <f t="shared" si="96"/>
        <v>0</v>
      </c>
      <c r="AD457" s="389">
        <f t="shared" si="93"/>
        <v>0</v>
      </c>
    </row>
    <row r="458" spans="1:30" s="390" customFormat="1">
      <c r="A458" s="167">
        <v>468</v>
      </c>
      <c r="B458" s="267" t="str">
        <f>VLOOKUP(A458,'JUNE (물량흐름)'!$A$13:$C$502,2,0)</f>
        <v>TALBOTS</v>
      </c>
      <c r="C458" s="240">
        <f>VLOOKUP(A458,'JUNE (물량흐름)'!$A$13:$C$502,3,0)</f>
        <v>183034540</v>
      </c>
      <c r="D458" s="6">
        <f>VLOOKUP(C458,'WIP(재공품)'!$B$12:$E$493,4,0)</f>
        <v>149985</v>
      </c>
      <c r="E458" s="6">
        <f>IFERROR(VLOOKUP(C458,O.B.JUNE!$AA$7:$AG$448,2,0),0)</f>
        <v>0</v>
      </c>
      <c r="F458" s="6">
        <f>IFERROR(VLOOKUP(C458,O.B.JUNE!$AA$7:$AG$448,3,0),0)</f>
        <v>0</v>
      </c>
      <c r="G458" s="6">
        <f>IFERROR(VLOOKUP(C458,O.B.JUNE!$AA$7:$AD$448,4,0),0)</f>
        <v>0</v>
      </c>
      <c r="H458" s="6">
        <f t="shared" si="87"/>
        <v>0</v>
      </c>
      <c r="I458" s="6">
        <f>IFERROR(VLOOKUP(C458,O.B.JUNE!$AA$7:$AF$448,6,0),0)</f>
        <v>0</v>
      </c>
      <c r="J458" s="6"/>
      <c r="K458" s="6">
        <f>IFERROR(VLOOKUP(C458,O.B.JUNE!$AA$7:$AG$448,7,0),0)</f>
        <v>0</v>
      </c>
      <c r="L458" s="6">
        <f>SUMIF('JUNE (물량흐름)'!$C$13:$C$502,'Direct labour(직접노무비)'!C458,'JUNE (물량흐름)'!$H$13:$H$502)+SUMIF('JUNE (물량흐름)'!$C$13:$C$502,'Direct labour(직접노무비)'!C458,'JUNE (물량흐름)'!$I$13:$I$502)</f>
        <v>1209</v>
      </c>
      <c r="M458" s="6">
        <f t="shared" si="88"/>
        <v>1171</v>
      </c>
      <c r="N458" s="6">
        <f t="shared" si="89"/>
        <v>175632435</v>
      </c>
      <c r="O458" s="6">
        <f t="shared" si="94"/>
        <v>54318494</v>
      </c>
      <c r="P458" s="6">
        <f>SUMIF('JUNE (물량흐름)'!$C$13:$C$502,C458,'JUNE (물량흐름)'!$T$13:$T$502)+SUMIF('JUNE (물량흐름)'!$C$13:$C$502,C458,'JUNE (물량흐름)'!$V$13:$V$502)+SUMIF('JUNE (물량흐름)'!$C$13:$C$502,C458,'JUNE (물량흐름)'!$U$13:$U$502)-SUMIF('JUNE (물량흐름)'!$C$13:$C$502,C458,'JUNE (물량흐름)'!$Y$13:$Y$502)</f>
        <v>1105</v>
      </c>
      <c r="Q458" s="6">
        <f t="shared" si="85"/>
        <v>49645935</v>
      </c>
      <c r="R458" s="6">
        <f>ROUND(IF(ISERROR(VLOOKUP(#REF!,'WIP(재공품)'!$B$12:$AB$38,13,0)),0,VLOOKUP(#REF!,'WIP(재공품)'!$B$12:$AB$38,13,0)),0)</f>
        <v>0</v>
      </c>
      <c r="S458" s="6">
        <f>IF(ISERROR(VLOOKUP(#REF!,'WIP(재공품)'!$B$12:$AB$38,10,0)),0,VLOOKUP(#REF!,'WIP(재공품)'!$B$12:$AB$38,10,0))</f>
        <v>0</v>
      </c>
      <c r="T458" s="6">
        <f>SUMIF('JUNE (물량흐름)'!$C$13:$C$502,'Direct labour(직접노무비)'!C458,'JUNE (물량흐름)'!$Y$13:$Y$502)</f>
        <v>0</v>
      </c>
      <c r="U458" s="6">
        <f t="shared" si="95"/>
        <v>0</v>
      </c>
      <c r="V458" s="6">
        <f>ROUND(SUMIF('JUNE (물량흐름)'!$C$13:$C$502,'Direct labour(직접노무비)'!C458,'JUNE (물량흐름)'!$N$13:$N$502),0)</f>
        <v>0</v>
      </c>
      <c r="W458" s="6">
        <f>ROUND(SUMIF('JUNE (물량흐름)'!$C$13:$C$502,'Direct labour(직접노무비)'!C458,'JUNE (물량흐름)'!$O$13:$O$502),0)</f>
        <v>59</v>
      </c>
      <c r="X458" s="6">
        <f>ROUND(SUMIF('JUNE (물량흐름)'!$C$13:$C$502,'Direct labour(직접노무비)'!C458,'JUNE (물량흐름)'!$P$13:$P$502),0)</f>
        <v>45</v>
      </c>
      <c r="Y458" s="6">
        <f t="shared" si="90"/>
        <v>104</v>
      </c>
      <c r="Z458" s="6">
        <f t="shared" si="91"/>
        <v>66</v>
      </c>
      <c r="AA458" s="6">
        <f t="shared" si="86"/>
        <v>4672559</v>
      </c>
      <c r="AB458" s="389">
        <f t="shared" si="92"/>
        <v>0</v>
      </c>
      <c r="AC458" s="503">
        <f t="shared" si="96"/>
        <v>0</v>
      </c>
      <c r="AD458" s="389">
        <f t="shared" si="93"/>
        <v>0</v>
      </c>
    </row>
    <row r="459" spans="1:30" s="390" customFormat="1">
      <c r="A459" s="167">
        <v>469</v>
      </c>
      <c r="B459" s="267" t="str">
        <f>VLOOKUP(A459,'JUNE (물량흐름)'!$A$13:$C$502,2,0)</f>
        <v>BAR III</v>
      </c>
      <c r="C459" s="240">
        <f>VLOOKUP(A459,'JUNE (물량흐름)'!$A$13:$C$502,3,0)</f>
        <v>100033058</v>
      </c>
      <c r="D459" s="6">
        <f>VLOOKUP(C459,'WIP(재공품)'!$B$12:$E$493,4,0)</f>
        <v>57367.749999999993</v>
      </c>
      <c r="E459" s="6">
        <f>IFERROR(VLOOKUP(C459,O.B.JUNE!$AA$7:$AG$448,2,0),0)</f>
        <v>0</v>
      </c>
      <c r="F459" s="6">
        <f>IFERROR(VLOOKUP(C459,O.B.JUNE!$AA$7:$AG$448,3,0),0)</f>
        <v>0</v>
      </c>
      <c r="G459" s="6">
        <f>IFERROR(VLOOKUP(C459,O.B.JUNE!$AA$7:$AD$448,4,0),0)</f>
        <v>0</v>
      </c>
      <c r="H459" s="6">
        <f t="shared" si="87"/>
        <v>0</v>
      </c>
      <c r="I459" s="6">
        <f>IFERROR(VLOOKUP(C459,O.B.JUNE!$AA$7:$AF$448,6,0),0)</f>
        <v>0</v>
      </c>
      <c r="J459" s="6"/>
      <c r="K459" s="6">
        <f>IFERROR(VLOOKUP(C459,O.B.JUNE!$AA$7:$AG$448,7,0),0)</f>
        <v>0</v>
      </c>
      <c r="L459" s="6">
        <f>SUMIF('JUNE (물량흐름)'!$C$13:$C$502,'Direct labour(직접노무비)'!C459,'JUNE (물량흐름)'!$H$13:$H$502)+SUMIF('JUNE (물량흐름)'!$C$13:$C$502,'Direct labour(직접노무비)'!C459,'JUNE (물량흐름)'!$I$13:$I$502)</f>
        <v>1116</v>
      </c>
      <c r="M459" s="6">
        <f t="shared" si="88"/>
        <v>1102</v>
      </c>
      <c r="N459" s="6">
        <f t="shared" si="89"/>
        <v>63219261</v>
      </c>
      <c r="O459" s="6">
        <f t="shared" si="94"/>
        <v>19552055</v>
      </c>
      <c r="P459" s="6">
        <f>SUMIF('JUNE (물량흐름)'!$C$13:$C$502,C459,'JUNE (물량흐름)'!$T$13:$T$502)+SUMIF('JUNE (물량흐름)'!$C$13:$C$502,C459,'JUNE (물량흐름)'!$V$13:$V$502)+SUMIF('JUNE (물량흐름)'!$C$13:$C$502,C459,'JUNE (물량흐름)'!$U$13:$U$502)-SUMIF('JUNE (물량흐름)'!$C$13:$C$502,C459,'JUNE (물량흐름)'!$Y$13:$Y$502)</f>
        <v>1057</v>
      </c>
      <c r="Q459" s="6">
        <f t="shared" si="85"/>
        <v>18518389</v>
      </c>
      <c r="R459" s="6">
        <f>ROUND(IF(ISERROR(VLOOKUP(#REF!,'WIP(재공품)'!$B$12:$AB$38,13,0)),0,VLOOKUP(#REF!,'WIP(재공품)'!$B$12:$AB$38,13,0)),0)</f>
        <v>0</v>
      </c>
      <c r="S459" s="6">
        <f>IF(ISERROR(VLOOKUP(#REF!,'WIP(재공품)'!$B$12:$AB$38,10,0)),0,VLOOKUP(#REF!,'WIP(재공품)'!$B$12:$AB$38,10,0))</f>
        <v>0</v>
      </c>
      <c r="T459" s="6">
        <f>SUMIF('JUNE (물량흐름)'!$C$13:$C$502,'Direct labour(직접노무비)'!C459,'JUNE (물량흐름)'!$Y$13:$Y$502)</f>
        <v>3</v>
      </c>
      <c r="U459" s="6">
        <f t="shared" si="95"/>
        <v>52559</v>
      </c>
      <c r="V459" s="6">
        <f>ROUND(SUMIF('JUNE (물량흐름)'!$C$13:$C$502,'Direct labour(직접노무비)'!C459,'JUNE (물량흐름)'!$N$13:$N$502),0)</f>
        <v>0</v>
      </c>
      <c r="W459" s="6">
        <f>ROUND(SUMIF('JUNE (물량흐름)'!$C$13:$C$502,'Direct labour(직접노무비)'!C459,'JUNE (물량흐름)'!$O$13:$O$502),0)</f>
        <v>8</v>
      </c>
      <c r="X459" s="6">
        <f>ROUND(SUMIF('JUNE (물량흐름)'!$C$13:$C$502,'Direct labour(직접노무비)'!C459,'JUNE (물량흐름)'!$P$13:$P$502),0)</f>
        <v>48</v>
      </c>
      <c r="Y459" s="6">
        <f t="shared" si="90"/>
        <v>56</v>
      </c>
      <c r="Z459" s="6">
        <f t="shared" si="91"/>
        <v>42</v>
      </c>
      <c r="AA459" s="6">
        <f t="shared" si="86"/>
        <v>981107</v>
      </c>
      <c r="AB459" s="389">
        <f t="shared" si="92"/>
        <v>0</v>
      </c>
      <c r="AC459" s="503">
        <f t="shared" si="96"/>
        <v>0</v>
      </c>
      <c r="AD459" s="389">
        <f t="shared" si="93"/>
        <v>0</v>
      </c>
    </row>
    <row r="460" spans="1:30" s="390" customFormat="1">
      <c r="A460" s="167">
        <v>470</v>
      </c>
      <c r="B460" s="267" t="str">
        <f>VLOOKUP(A460,'JUNE (물량흐름)'!$A$13:$C$502,2,0)</f>
        <v>INC</v>
      </c>
      <c r="C460" s="240">
        <f>VLOOKUP(A460,'JUNE (물량흐름)'!$A$13:$C$502,3,0)</f>
        <v>100033483</v>
      </c>
      <c r="D460" s="6">
        <f>VLOOKUP(C460,'WIP(재공품)'!$B$12:$E$493,4,0)</f>
        <v>79362.5</v>
      </c>
      <c r="E460" s="6">
        <f>IFERROR(VLOOKUP(C460,O.B.JUNE!$AA$7:$AG$448,2,0),0)</f>
        <v>0</v>
      </c>
      <c r="F460" s="6">
        <f>IFERROR(VLOOKUP(C460,O.B.JUNE!$AA$7:$AG$448,3,0),0)</f>
        <v>0</v>
      </c>
      <c r="G460" s="6">
        <f>IFERROR(VLOOKUP(C460,O.B.JUNE!$AA$7:$AD$448,4,0),0)</f>
        <v>0</v>
      </c>
      <c r="H460" s="6">
        <f t="shared" si="87"/>
        <v>0</v>
      </c>
      <c r="I460" s="6">
        <f>IFERROR(VLOOKUP(C460,O.B.JUNE!$AA$7:$AF$448,6,0),0)</f>
        <v>0</v>
      </c>
      <c r="J460" s="6"/>
      <c r="K460" s="6">
        <f>IFERROR(VLOOKUP(C460,O.B.JUNE!$AA$7:$AG$448,7,0),0)</f>
        <v>0</v>
      </c>
      <c r="L460" s="6">
        <f>SUMIF('JUNE (물량흐름)'!$C$13:$C$502,'Direct labour(직접노무비)'!C460,'JUNE (물량흐름)'!$H$13:$H$502)+SUMIF('JUNE (물량흐름)'!$C$13:$C$502,'Direct labour(직접노무비)'!C460,'JUNE (물량흐름)'!$I$13:$I$502)</f>
        <v>1488</v>
      </c>
      <c r="M460" s="6">
        <f t="shared" si="88"/>
        <v>1190</v>
      </c>
      <c r="N460" s="6">
        <f t="shared" si="89"/>
        <v>94441375</v>
      </c>
      <c r="O460" s="6">
        <f t="shared" si="94"/>
        <v>29208234</v>
      </c>
      <c r="P460" s="6">
        <f>SUMIF('JUNE (물량흐름)'!$C$13:$C$502,C460,'JUNE (물량흐름)'!$T$13:$T$502)+SUMIF('JUNE (물량흐름)'!$C$13:$C$502,C460,'JUNE (물량흐름)'!$V$13:$V$502)+SUMIF('JUNE (물량흐름)'!$C$13:$C$502,C460,'JUNE (물량흐름)'!$U$13:$U$502)-SUMIF('JUNE (물량흐름)'!$C$13:$C$502,C460,'JUNE (물량흐름)'!$Y$13:$Y$502)</f>
        <v>0</v>
      </c>
      <c r="Q460" s="6">
        <f t="shared" si="85"/>
        <v>0</v>
      </c>
      <c r="R460" s="6">
        <f>ROUND(IF(ISERROR(VLOOKUP(#REF!,'WIP(재공품)'!$B$12:$AB$38,13,0)),0,VLOOKUP(#REF!,'WIP(재공품)'!$B$12:$AB$38,13,0)),0)</f>
        <v>0</v>
      </c>
      <c r="S460" s="6">
        <f>IF(ISERROR(VLOOKUP(#REF!,'WIP(재공품)'!$B$12:$AB$38,10,0)),0,VLOOKUP(#REF!,'WIP(재공품)'!$B$12:$AB$38,10,0))</f>
        <v>0</v>
      </c>
      <c r="T460" s="6">
        <f>SUMIF('JUNE (물량흐름)'!$C$13:$C$502,'Direct labour(직접노무비)'!C460,'JUNE (물량흐름)'!$Y$13:$Y$502)</f>
        <v>0</v>
      </c>
      <c r="U460" s="6">
        <f t="shared" si="95"/>
        <v>0</v>
      </c>
      <c r="V460" s="6">
        <f>ROUND(SUMIF('JUNE (물량흐름)'!$C$13:$C$502,'Direct labour(직접노무비)'!C460,'JUNE (물량흐름)'!$N$13:$N$502),0)</f>
        <v>0</v>
      </c>
      <c r="W460" s="6">
        <f>ROUND(SUMIF('JUNE (물량흐름)'!$C$13:$C$502,'Direct labour(직접노무비)'!C460,'JUNE (물량흐름)'!$O$13:$O$502),0)</f>
        <v>0</v>
      </c>
      <c r="X460" s="6">
        <f>ROUND(SUMIF('JUNE (물량흐름)'!$C$13:$C$502,'Direct labour(직접노무비)'!C460,'JUNE (물량흐름)'!$P$13:$P$502),0)</f>
        <v>1488</v>
      </c>
      <c r="Y460" s="6">
        <f t="shared" si="90"/>
        <v>1488</v>
      </c>
      <c r="Z460" s="6">
        <f t="shared" si="91"/>
        <v>1190</v>
      </c>
      <c r="AA460" s="6">
        <f t="shared" si="86"/>
        <v>29208234</v>
      </c>
      <c r="AB460" s="389">
        <f t="shared" si="92"/>
        <v>0</v>
      </c>
      <c r="AC460" s="503">
        <f t="shared" si="96"/>
        <v>0</v>
      </c>
      <c r="AD460" s="389">
        <f t="shared" si="93"/>
        <v>0</v>
      </c>
    </row>
    <row r="461" spans="1:30" s="390" customFormat="1">
      <c r="A461" s="167">
        <v>471</v>
      </c>
      <c r="B461" s="267" t="str">
        <f>VLOOKUP(A461,'JUNE (물량흐름)'!$A$13:$C$502,2,0)</f>
        <v>INC</v>
      </c>
      <c r="C461" s="240">
        <f>VLOOKUP(A461,'JUNE (물량흐름)'!$A$13:$C$502,3,0)</f>
        <v>100034352</v>
      </c>
      <c r="D461" s="6">
        <f>VLOOKUP(C461,'WIP(재공품)'!$B$12:$E$493,4,0)</f>
        <v>46257</v>
      </c>
      <c r="E461" s="6">
        <f>IFERROR(VLOOKUP(C461,O.B.JUNE!$AA$7:$AG$448,2,0),0)</f>
        <v>0</v>
      </c>
      <c r="F461" s="6">
        <f>IFERROR(VLOOKUP(C461,O.B.JUNE!$AA$7:$AG$448,3,0),0)</f>
        <v>0</v>
      </c>
      <c r="G461" s="6">
        <f>IFERROR(VLOOKUP(C461,O.B.JUNE!$AA$7:$AD$448,4,0),0)</f>
        <v>0</v>
      </c>
      <c r="H461" s="6">
        <f t="shared" si="87"/>
        <v>0</v>
      </c>
      <c r="I461" s="6">
        <f>IFERROR(VLOOKUP(C461,O.B.JUNE!$AA$7:$AF$448,6,0),0)</f>
        <v>0</v>
      </c>
      <c r="J461" s="6"/>
      <c r="K461" s="6">
        <f>IFERROR(VLOOKUP(C461,O.B.JUNE!$AA$7:$AG$448,7,0),0)</f>
        <v>0</v>
      </c>
      <c r="L461" s="6">
        <f>SUMIF('JUNE (물량흐름)'!$C$13:$C$502,'Direct labour(직접노무비)'!C461,'JUNE (물량흐름)'!$H$13:$H$502)+SUMIF('JUNE (물량흐름)'!$C$13:$C$502,'Direct labour(직접노무비)'!C461,'JUNE (물량흐름)'!$I$13:$I$502)</f>
        <v>6199</v>
      </c>
      <c r="M461" s="6">
        <f t="shared" si="88"/>
        <v>6010</v>
      </c>
      <c r="N461" s="6">
        <f t="shared" si="89"/>
        <v>278004570</v>
      </c>
      <c r="O461" s="6">
        <f t="shared" si="94"/>
        <v>85979503</v>
      </c>
      <c r="P461" s="6">
        <f>SUMIF('JUNE (물량흐름)'!$C$13:$C$502,C461,'JUNE (물량흐름)'!$T$13:$T$502)+SUMIF('JUNE (물량흐름)'!$C$13:$C$502,C461,'JUNE (물량흐름)'!$V$13:$V$502)+SUMIF('JUNE (물량흐름)'!$C$13:$C$502,C461,'JUNE (물량흐름)'!$U$13:$U$502)-SUMIF('JUNE (물량흐름)'!$C$13:$C$502,C461,'JUNE (물량흐름)'!$Y$13:$Y$502)</f>
        <v>5891</v>
      </c>
      <c r="Q461" s="6">
        <f t="shared" ref="Q461:Q492" si="97">IFERROR(ROUND(IF(OR(P461&lt;=0,($I461+$M461)=0),$P461*($K461+$O461)/($I461+$M461),$P461*($K461+$O461)/($H461+$L461)),0),0)</f>
        <v>81707574</v>
      </c>
      <c r="R461" s="6">
        <f>ROUND(IF(ISERROR(VLOOKUP(#REF!,'WIP(재공품)'!$B$12:$AB$38,13,0)),0,VLOOKUP(#REF!,'WIP(재공품)'!$B$12:$AB$38,13,0)),0)</f>
        <v>0</v>
      </c>
      <c r="S461" s="6">
        <f>IF(ISERROR(VLOOKUP(#REF!,'WIP(재공품)'!$B$12:$AB$38,10,0)),0,VLOOKUP(#REF!,'WIP(재공품)'!$B$12:$AB$38,10,0))</f>
        <v>0</v>
      </c>
      <c r="T461" s="6">
        <f>SUMIF('JUNE (물량흐름)'!$C$13:$C$502,'Direct labour(직접노무비)'!C461,'JUNE (물량흐름)'!$Y$13:$Y$502)</f>
        <v>3</v>
      </c>
      <c r="U461" s="6">
        <f t="shared" si="95"/>
        <v>41610</v>
      </c>
      <c r="V461" s="6">
        <f>ROUND(SUMIF('JUNE (물량흐름)'!$C$13:$C$502,'Direct labour(직접노무비)'!C461,'JUNE (물량흐름)'!$N$13:$N$502),0)</f>
        <v>129</v>
      </c>
      <c r="W461" s="6">
        <f>ROUND(SUMIF('JUNE (물량흐름)'!$C$13:$C$502,'Direct labour(직접노무비)'!C461,'JUNE (물량흐름)'!$O$13:$O$502),0)</f>
        <v>169</v>
      </c>
      <c r="X461" s="6">
        <f>ROUND(SUMIF('JUNE (물량흐름)'!$C$13:$C$502,'Direct labour(직접노무비)'!C461,'JUNE (물량흐름)'!$P$13:$P$502),0)</f>
        <v>7</v>
      </c>
      <c r="Y461" s="6">
        <f t="shared" si="90"/>
        <v>305</v>
      </c>
      <c r="Z461" s="6">
        <f t="shared" si="91"/>
        <v>116</v>
      </c>
      <c r="AA461" s="6">
        <f t="shared" ref="AA461:AA492" si="98">IFERROR(ROUND(IF(OR(Z461&lt;=0,($I461+$M461)=0),$Z461*($K461+$O461)/($I461+$M461),$Y461*($K461+$O461)/($H461+$L461)),0),0)</f>
        <v>4230319</v>
      </c>
      <c r="AB461" s="389">
        <f t="shared" si="92"/>
        <v>0</v>
      </c>
      <c r="AC461" s="503">
        <f t="shared" si="96"/>
        <v>0</v>
      </c>
      <c r="AD461" s="389">
        <f t="shared" si="93"/>
        <v>0</v>
      </c>
    </row>
    <row r="462" spans="1:30" s="390" customFormat="1">
      <c r="A462" s="167">
        <v>472</v>
      </c>
      <c r="B462" s="267" t="str">
        <f>VLOOKUP(A462,'JUNE (물량흐름)'!$A$13:$C$502,2,0)</f>
        <v>ALFANI</v>
      </c>
      <c r="C462" s="240">
        <f>VLOOKUP(A462,'JUNE (물량흐름)'!$A$13:$C$502,3,0)</f>
        <v>100041571</v>
      </c>
      <c r="D462" s="6">
        <f>VLOOKUP(C462,'WIP(재공품)'!$B$12:$E$493,4,0)</f>
        <v>102037.5</v>
      </c>
      <c r="E462" s="6">
        <f>IFERROR(VLOOKUP(C462,O.B.JUNE!$AA$7:$AG$448,2,0),0)</f>
        <v>0</v>
      </c>
      <c r="F462" s="6">
        <f>IFERROR(VLOOKUP(C462,O.B.JUNE!$AA$7:$AG$448,3,0),0)</f>
        <v>0</v>
      </c>
      <c r="G462" s="6">
        <f>IFERROR(VLOOKUP(C462,O.B.JUNE!$AA$7:$AD$448,4,0),0)</f>
        <v>0</v>
      </c>
      <c r="H462" s="6">
        <f t="shared" si="87"/>
        <v>0</v>
      </c>
      <c r="I462" s="6">
        <f>IFERROR(VLOOKUP(C462,O.B.JUNE!$AA$7:$AF$448,6,0),0)</f>
        <v>0</v>
      </c>
      <c r="J462" s="6"/>
      <c r="K462" s="6">
        <f>IFERROR(VLOOKUP(C462,O.B.JUNE!$AA$7:$AG$448,7,0),0)</f>
        <v>0</v>
      </c>
      <c r="L462" s="6">
        <f>SUMIF('JUNE (물량흐름)'!$C$13:$C$502,'Direct labour(직접노무비)'!C462,'JUNE (물량흐름)'!$H$13:$H$502)+SUMIF('JUNE (물량흐름)'!$C$13:$C$502,'Direct labour(직접노무비)'!C462,'JUNE (물량흐름)'!$I$13:$I$502)</f>
        <v>911</v>
      </c>
      <c r="M462" s="6">
        <f t="shared" si="88"/>
        <v>506</v>
      </c>
      <c r="N462" s="6">
        <f t="shared" si="89"/>
        <v>51630975</v>
      </c>
      <c r="O462" s="6">
        <f t="shared" si="94"/>
        <v>15968103</v>
      </c>
      <c r="P462" s="6">
        <f>SUMIF('JUNE (물량흐름)'!$C$13:$C$502,C462,'JUNE (물량흐름)'!$T$13:$T$502)+SUMIF('JUNE (물량흐름)'!$C$13:$C$502,C462,'JUNE (물량흐름)'!$V$13:$V$502)+SUMIF('JUNE (물량흐름)'!$C$13:$C$502,C462,'JUNE (물량흐름)'!$U$13:$U$502)-SUMIF('JUNE (물량흐름)'!$C$13:$C$502,C462,'JUNE (물량흐름)'!$Y$13:$Y$502)</f>
        <v>0</v>
      </c>
      <c r="Q462" s="6">
        <f t="shared" si="97"/>
        <v>0</v>
      </c>
      <c r="R462" s="6">
        <f>ROUND(IF(ISERROR(VLOOKUP(#REF!,'WIP(재공품)'!$B$12:$AB$38,13,0)),0,VLOOKUP(#REF!,'WIP(재공품)'!$B$12:$AB$38,13,0)),0)</f>
        <v>0</v>
      </c>
      <c r="S462" s="6">
        <f>IF(ISERROR(VLOOKUP(#REF!,'WIP(재공품)'!$B$12:$AB$38,10,0)),0,VLOOKUP(#REF!,'WIP(재공품)'!$B$12:$AB$38,10,0))</f>
        <v>0</v>
      </c>
      <c r="T462" s="6">
        <f>SUMIF('JUNE (물량흐름)'!$C$13:$C$502,'Direct labour(직접노무비)'!C462,'JUNE (물량흐름)'!$Y$13:$Y$502)</f>
        <v>0</v>
      </c>
      <c r="U462" s="6">
        <f t="shared" si="95"/>
        <v>0</v>
      </c>
      <c r="V462" s="6">
        <f>ROUND(SUMIF('JUNE (물량흐름)'!$C$13:$C$502,'Direct labour(직접노무비)'!C462,'JUNE (물량흐름)'!$N$13:$N$502),0)</f>
        <v>0</v>
      </c>
      <c r="W462" s="6">
        <f>ROUND(SUMIF('JUNE (물량흐름)'!$C$13:$C$502,'Direct labour(직접노무비)'!C462,'JUNE (물량흐름)'!$O$13:$O$502),0)</f>
        <v>743</v>
      </c>
      <c r="X462" s="6">
        <f>ROUND(SUMIF('JUNE (물량흐름)'!$C$13:$C$502,'Direct labour(직접노무비)'!C462,'JUNE (물량흐름)'!$P$13:$P$502),0)</f>
        <v>168</v>
      </c>
      <c r="Y462" s="6">
        <f t="shared" si="90"/>
        <v>911</v>
      </c>
      <c r="Z462" s="6">
        <f t="shared" si="91"/>
        <v>506</v>
      </c>
      <c r="AA462" s="6">
        <f t="shared" si="98"/>
        <v>15968103</v>
      </c>
      <c r="AB462" s="389">
        <f t="shared" si="92"/>
        <v>0</v>
      </c>
      <c r="AC462" s="503">
        <f t="shared" si="96"/>
        <v>0</v>
      </c>
      <c r="AD462" s="389">
        <f t="shared" si="93"/>
        <v>0</v>
      </c>
    </row>
    <row r="463" spans="1:30" s="390" customFormat="1">
      <c r="A463" s="167">
        <v>473</v>
      </c>
      <c r="B463" s="267" t="str">
        <f>VLOOKUP(A463,'JUNE (물량흐름)'!$A$13:$C$502,2,0)</f>
        <v>TALBOTS</v>
      </c>
      <c r="C463" s="240">
        <f>VLOOKUP(A463,'JUNE (물량흐름)'!$A$13:$C$502,3,0)</f>
        <v>183013461</v>
      </c>
      <c r="D463" s="6">
        <f>VLOOKUP(C463,'WIP(재공품)'!$B$12:$E$493,4,0)</f>
        <v>85218.75</v>
      </c>
      <c r="E463" s="6">
        <f>IFERROR(VLOOKUP(C463,O.B.JUNE!$AA$7:$AG$448,2,0),0)</f>
        <v>0</v>
      </c>
      <c r="F463" s="6">
        <f>IFERROR(VLOOKUP(C463,O.B.JUNE!$AA$7:$AG$448,3,0),0)</f>
        <v>0</v>
      </c>
      <c r="G463" s="6">
        <f>IFERROR(VLOOKUP(C463,O.B.JUNE!$AA$7:$AD$448,4,0),0)</f>
        <v>0</v>
      </c>
      <c r="H463" s="6">
        <f t="shared" si="87"/>
        <v>0</v>
      </c>
      <c r="I463" s="6">
        <f>IFERROR(VLOOKUP(C463,O.B.JUNE!$AA$7:$AF$448,6,0),0)</f>
        <v>0</v>
      </c>
      <c r="J463" s="6"/>
      <c r="K463" s="6">
        <f>IFERROR(VLOOKUP(C463,O.B.JUNE!$AA$7:$AG$448,7,0),0)</f>
        <v>0</v>
      </c>
      <c r="L463" s="6">
        <f>SUMIF('JUNE (물량흐름)'!$C$13:$C$502,'Direct labour(직접노무비)'!C463,'JUNE (물량흐름)'!$H$13:$H$502)+SUMIF('JUNE (물량흐름)'!$C$13:$C$502,'Direct labour(직접노무비)'!C463,'JUNE (물량흐름)'!$I$13:$I$502)</f>
        <v>1637</v>
      </c>
      <c r="M463" s="6">
        <f t="shared" si="88"/>
        <v>1543</v>
      </c>
      <c r="N463" s="6">
        <f t="shared" si="89"/>
        <v>131492531</v>
      </c>
      <c r="O463" s="6">
        <f t="shared" si="94"/>
        <v>40667182</v>
      </c>
      <c r="P463" s="6">
        <f>SUMIF('JUNE (물량흐름)'!$C$13:$C$502,C463,'JUNE (물량흐름)'!$T$13:$T$502)+SUMIF('JUNE (물량흐름)'!$C$13:$C$502,C463,'JUNE (물량흐름)'!$V$13:$V$502)+SUMIF('JUNE (물량흐름)'!$C$13:$C$502,C463,'JUNE (물량흐름)'!$U$13:$U$502)-SUMIF('JUNE (물량흐름)'!$C$13:$C$502,C463,'JUNE (물량흐름)'!$Y$13:$Y$502)</f>
        <v>1252</v>
      </c>
      <c r="Q463" s="6">
        <f t="shared" si="97"/>
        <v>31102817</v>
      </c>
      <c r="R463" s="6">
        <f>ROUND(IF(ISERROR(VLOOKUP(#REF!,'WIP(재공품)'!$B$12:$AB$38,13,0)),0,VLOOKUP(#REF!,'WIP(재공품)'!$B$12:$AB$38,13,0)),0)</f>
        <v>0</v>
      </c>
      <c r="S463" s="6">
        <f>IF(ISERROR(VLOOKUP(#REF!,'WIP(재공품)'!$B$12:$AB$38,10,0)),0,VLOOKUP(#REF!,'WIP(재공품)'!$B$12:$AB$38,10,0))</f>
        <v>0</v>
      </c>
      <c r="T463" s="6">
        <f>SUMIF('JUNE (물량흐름)'!$C$13:$C$502,'Direct labour(직접노무비)'!C463,'JUNE (물량흐름)'!$Y$13:$Y$502)</f>
        <v>0</v>
      </c>
      <c r="U463" s="6">
        <f t="shared" si="95"/>
        <v>0</v>
      </c>
      <c r="V463" s="6">
        <f>ROUND(SUMIF('JUNE (물량흐름)'!$C$13:$C$502,'Direct labour(직접노무비)'!C463,'JUNE (물량흐름)'!$N$13:$N$502),0)</f>
        <v>21</v>
      </c>
      <c r="W463" s="6">
        <f>ROUND(SUMIF('JUNE (물량흐름)'!$C$13:$C$502,'Direct labour(직접노무비)'!C463,'JUNE (물량흐름)'!$O$13:$O$502),0)</f>
        <v>14</v>
      </c>
      <c r="X463" s="6">
        <f>ROUND(SUMIF('JUNE (물량흐름)'!$C$13:$C$502,'Direct labour(직접노무비)'!C463,'JUNE (물량흐름)'!$P$13:$P$502),0)</f>
        <v>350</v>
      </c>
      <c r="Y463" s="6">
        <f t="shared" si="90"/>
        <v>385</v>
      </c>
      <c r="Z463" s="6">
        <f t="shared" si="91"/>
        <v>291</v>
      </c>
      <c r="AA463" s="6">
        <f t="shared" si="98"/>
        <v>9564365</v>
      </c>
      <c r="AB463" s="389">
        <f t="shared" si="92"/>
        <v>0</v>
      </c>
      <c r="AC463" s="503">
        <f t="shared" si="96"/>
        <v>0</v>
      </c>
      <c r="AD463" s="389">
        <f t="shared" si="93"/>
        <v>0</v>
      </c>
    </row>
    <row r="464" spans="1:30" s="390" customFormat="1">
      <c r="A464" s="167">
        <v>474</v>
      </c>
      <c r="B464" s="267" t="str">
        <f>VLOOKUP(A464,'JUNE (물량흐름)'!$A$13:$C$502,2,0)</f>
        <v>TALBOTS</v>
      </c>
      <c r="C464" s="240">
        <f>VLOOKUP(A464,'JUNE (물량흐름)'!$A$13:$C$502,3,0)</f>
        <v>183034538</v>
      </c>
      <c r="D464" s="6">
        <f>VLOOKUP(C464,'WIP(재공품)'!$B$12:$E$493,4,0)</f>
        <v>101130.5</v>
      </c>
      <c r="E464" s="6">
        <f>IFERROR(VLOOKUP(C464,O.B.JUNE!$AA$7:$AG$448,2,0),0)</f>
        <v>0</v>
      </c>
      <c r="F464" s="6">
        <f>IFERROR(VLOOKUP(C464,O.B.JUNE!$AA$7:$AG$448,3,0),0)</f>
        <v>0</v>
      </c>
      <c r="G464" s="6">
        <f>IFERROR(VLOOKUP(C464,O.B.JUNE!$AA$7:$AD$448,4,0),0)</f>
        <v>0</v>
      </c>
      <c r="H464" s="6">
        <f t="shared" si="87"/>
        <v>0</v>
      </c>
      <c r="I464" s="6">
        <f>IFERROR(VLOOKUP(C464,O.B.JUNE!$AA$7:$AF$448,6,0),0)</f>
        <v>0</v>
      </c>
      <c r="J464" s="6"/>
      <c r="K464" s="6">
        <f>IFERROR(VLOOKUP(C464,O.B.JUNE!$AA$7:$AG$448,7,0),0)</f>
        <v>0</v>
      </c>
      <c r="L464" s="6">
        <f>SUMIF('JUNE (물량흐름)'!$C$13:$C$502,'Direct labour(직접노무비)'!C464,'JUNE (물량흐름)'!$H$13:$H$502)+SUMIF('JUNE (물량흐름)'!$C$13:$C$502,'Direct labour(직접노무비)'!C464,'JUNE (물량흐름)'!$I$13:$I$502)</f>
        <v>11769</v>
      </c>
      <c r="M464" s="6">
        <f t="shared" si="88"/>
        <v>9303</v>
      </c>
      <c r="N464" s="6">
        <f t="shared" si="89"/>
        <v>940817042</v>
      </c>
      <c r="O464" s="6">
        <f t="shared" si="94"/>
        <v>290969971</v>
      </c>
      <c r="P464" s="6">
        <f>SUMIF('JUNE (물량흐름)'!$C$13:$C$502,C464,'JUNE (물량흐름)'!$T$13:$T$502)+SUMIF('JUNE (물량흐름)'!$C$13:$C$502,C464,'JUNE (물량흐름)'!$V$13:$V$502)+SUMIF('JUNE (물량흐름)'!$C$13:$C$502,C464,'JUNE (물량흐름)'!$U$13:$U$502)-SUMIF('JUNE (물량흐름)'!$C$13:$C$502,C464,'JUNE (물량흐름)'!$Y$13:$Y$502)</f>
        <v>7514</v>
      </c>
      <c r="Q464" s="6">
        <f t="shared" si="97"/>
        <v>185771804</v>
      </c>
      <c r="R464" s="6">
        <f>ROUND(IF(ISERROR(VLOOKUP(#REF!,'WIP(재공품)'!$B$12:$AB$38,13,0)),0,VLOOKUP(#REF!,'WIP(재공품)'!$B$12:$AB$38,13,0)),0)</f>
        <v>0</v>
      </c>
      <c r="S464" s="6">
        <f>IF(ISERROR(VLOOKUP(#REF!,'WIP(재공품)'!$B$12:$AB$38,10,0)),0,VLOOKUP(#REF!,'WIP(재공품)'!$B$12:$AB$38,10,0))</f>
        <v>0</v>
      </c>
      <c r="T464" s="6">
        <f>SUMIF('JUNE (물량흐름)'!$C$13:$C$502,'Direct labour(직접노무비)'!C464,'JUNE (물량흐름)'!$Y$13:$Y$502)</f>
        <v>0</v>
      </c>
      <c r="U464" s="6">
        <f t="shared" si="95"/>
        <v>0</v>
      </c>
      <c r="V464" s="6">
        <f>ROUND(SUMIF('JUNE (물량흐름)'!$C$13:$C$502,'Direct labour(직접노무비)'!C464,'JUNE (물량흐름)'!$N$13:$N$502),0)</f>
        <v>2090</v>
      </c>
      <c r="W464" s="6">
        <f>ROUND(SUMIF('JUNE (물량흐름)'!$C$13:$C$502,'Direct labour(직접노무비)'!C464,'JUNE (물량흐름)'!$O$13:$O$502),0)</f>
        <v>1205</v>
      </c>
      <c r="X464" s="6">
        <f>ROUND(SUMIF('JUNE (물량흐름)'!$C$13:$C$502,'Direct labour(직접노무비)'!C464,'JUNE (물량흐름)'!$P$13:$P$502),0)</f>
        <v>960</v>
      </c>
      <c r="Y464" s="6">
        <f t="shared" si="90"/>
        <v>4255</v>
      </c>
      <c r="Z464" s="6">
        <f t="shared" si="91"/>
        <v>1789</v>
      </c>
      <c r="AA464" s="6">
        <f t="shared" si="98"/>
        <v>105198167</v>
      </c>
      <c r="AB464" s="389">
        <f t="shared" si="92"/>
        <v>0</v>
      </c>
      <c r="AC464" s="503">
        <f t="shared" si="96"/>
        <v>0</v>
      </c>
      <c r="AD464" s="389">
        <f t="shared" si="93"/>
        <v>0</v>
      </c>
    </row>
    <row r="465" spans="1:30" s="390" customFormat="1">
      <c r="A465" s="167">
        <v>475</v>
      </c>
      <c r="B465" s="267" t="str">
        <f>VLOOKUP(A465,'JUNE (물량흐름)'!$A$13:$C$502,2,0)</f>
        <v>ANN TAYLOR</v>
      </c>
      <c r="C465" s="240">
        <f>VLOOKUP(A465,'JUNE (물량흐름)'!$A$13:$C$502,3,0)</f>
        <v>466315</v>
      </c>
      <c r="D465" s="6">
        <f>VLOOKUP(C465,'WIP(재공품)'!$B$12:$E$493,4,0)</f>
        <v>91607</v>
      </c>
      <c r="E465" s="6">
        <f>IFERROR(VLOOKUP(C465,O.B.JUNE!$AA$7:$AG$448,2,0),0)</f>
        <v>0</v>
      </c>
      <c r="F465" s="6">
        <f>IFERROR(VLOOKUP(C465,O.B.JUNE!$AA$7:$AG$448,3,0),0)</f>
        <v>0</v>
      </c>
      <c r="G465" s="6">
        <f>IFERROR(VLOOKUP(C465,O.B.JUNE!$AA$7:$AD$448,4,0),0)</f>
        <v>0</v>
      </c>
      <c r="H465" s="6">
        <f t="shared" si="87"/>
        <v>0</v>
      </c>
      <c r="I465" s="6">
        <f>IFERROR(VLOOKUP(C465,O.B.JUNE!$AA$7:$AF$448,6,0),0)</f>
        <v>0</v>
      </c>
      <c r="J465" s="6"/>
      <c r="K465" s="6">
        <f>IFERROR(VLOOKUP(C465,O.B.JUNE!$AA$7:$AG$448,7,0),0)</f>
        <v>0</v>
      </c>
      <c r="L465" s="6">
        <f>SUMIF('JUNE (물량흐름)'!$C$13:$C$502,'Direct labour(직접노무비)'!C465,'JUNE (물량흐름)'!$H$13:$H$502)+SUMIF('JUNE (물량흐름)'!$C$13:$C$502,'Direct labour(직접노무비)'!C465,'JUNE (물량흐름)'!$I$13:$I$502)</f>
        <v>5370</v>
      </c>
      <c r="M465" s="6">
        <f t="shared" si="88"/>
        <v>5236</v>
      </c>
      <c r="N465" s="6">
        <f t="shared" si="89"/>
        <v>479654252</v>
      </c>
      <c r="O465" s="6">
        <f t="shared" si="94"/>
        <v>148344447</v>
      </c>
      <c r="P465" s="6">
        <f>SUMIF('JUNE (물량흐름)'!$C$13:$C$502,C465,'JUNE (물량흐름)'!$T$13:$T$502)+SUMIF('JUNE (물량흐름)'!$C$13:$C$502,C465,'JUNE (물량흐름)'!$V$13:$V$502)+SUMIF('JUNE (물량흐름)'!$C$13:$C$502,C465,'JUNE (물량흐름)'!$U$13:$U$502)-SUMIF('JUNE (물량흐름)'!$C$13:$C$502,C465,'JUNE (물량흐름)'!$Y$13:$Y$502)</f>
        <v>5018</v>
      </c>
      <c r="Q465" s="6">
        <f t="shared" si="97"/>
        <v>138620565</v>
      </c>
      <c r="R465" s="6">
        <f>ROUND(IF(ISERROR(VLOOKUP(#REF!,'WIP(재공품)'!$B$12:$AB$38,13,0)),0,VLOOKUP(#REF!,'WIP(재공품)'!$B$12:$AB$38,13,0)),0)</f>
        <v>0</v>
      </c>
      <c r="S465" s="6">
        <f>IF(ISERROR(VLOOKUP(#REF!,'WIP(재공품)'!$B$12:$AB$38,10,0)),0,VLOOKUP(#REF!,'WIP(재공품)'!$B$12:$AB$38,10,0))</f>
        <v>0</v>
      </c>
      <c r="T465" s="6">
        <f>SUMIF('JUNE (물량흐름)'!$C$13:$C$502,'Direct labour(직접노무비)'!C465,'JUNE (물량흐름)'!$Y$13:$Y$502)</f>
        <v>2</v>
      </c>
      <c r="U465" s="6">
        <f t="shared" si="95"/>
        <v>55249</v>
      </c>
      <c r="V465" s="6">
        <f>ROUND(SUMIF('JUNE (물량흐름)'!$C$13:$C$502,'Direct labour(직접노무비)'!C465,'JUNE (물량흐름)'!$N$13:$N$502),0)</f>
        <v>0</v>
      </c>
      <c r="W465" s="6">
        <f>ROUND(SUMIF('JUNE (물량흐름)'!$C$13:$C$502,'Direct labour(직접노무비)'!C465,'JUNE (물량흐름)'!$O$13:$O$502),0)</f>
        <v>215</v>
      </c>
      <c r="X465" s="6">
        <f>ROUND(SUMIF('JUNE (물량흐름)'!$C$13:$C$502,'Direct labour(직접노무비)'!C465,'JUNE (물량흐름)'!$P$13:$P$502),0)</f>
        <v>135</v>
      </c>
      <c r="Y465" s="6">
        <f t="shared" si="90"/>
        <v>350</v>
      </c>
      <c r="Z465" s="6">
        <f t="shared" si="91"/>
        <v>216</v>
      </c>
      <c r="AA465" s="6">
        <f t="shared" si="98"/>
        <v>9668632</v>
      </c>
      <c r="AB465" s="389">
        <f t="shared" si="92"/>
        <v>1</v>
      </c>
      <c r="AC465" s="503">
        <f t="shared" si="96"/>
        <v>0</v>
      </c>
      <c r="AD465" s="389">
        <f t="shared" si="93"/>
        <v>0</v>
      </c>
    </row>
    <row r="466" spans="1:30" s="390" customFormat="1">
      <c r="A466" s="167">
        <v>476</v>
      </c>
      <c r="B466" s="267" t="str">
        <f>VLOOKUP(A466,'JUNE (물량흐름)'!$A$13:$C$502,2,0)</f>
        <v>ANN TAYLOR</v>
      </c>
      <c r="C466" s="240">
        <f>VLOOKUP(A466,'JUNE (물량흐름)'!$A$13:$C$502,3,0)</f>
        <v>467791</v>
      </c>
      <c r="D466" s="6">
        <f>VLOOKUP(C466,'WIP(재공품)'!$B$12:$E$493,4,0)</f>
        <v>39681.25</v>
      </c>
      <c r="E466" s="6">
        <f>IFERROR(VLOOKUP(C466,O.B.JUNE!$AA$7:$AG$448,2,0),0)</f>
        <v>0</v>
      </c>
      <c r="F466" s="6">
        <f>IFERROR(VLOOKUP(C466,O.B.JUNE!$AA$7:$AG$448,3,0),0)</f>
        <v>0</v>
      </c>
      <c r="G466" s="6">
        <f>IFERROR(VLOOKUP(C466,O.B.JUNE!$AA$7:$AD$448,4,0),0)</f>
        <v>0</v>
      </c>
      <c r="H466" s="6">
        <f t="shared" si="87"/>
        <v>0</v>
      </c>
      <c r="I466" s="6">
        <f>IFERROR(VLOOKUP(C466,O.B.JUNE!$AA$7:$AF$448,6,0),0)</f>
        <v>0</v>
      </c>
      <c r="J466" s="6"/>
      <c r="K466" s="6">
        <f>IFERROR(VLOOKUP(C466,O.B.JUNE!$AA$7:$AG$448,7,0),0)</f>
        <v>0</v>
      </c>
      <c r="L466" s="6">
        <f>SUMIF('JUNE (물량흐름)'!$C$13:$C$502,'Direct labour(직접노무비)'!C466,'JUNE (물량흐름)'!$H$13:$H$502)+SUMIF('JUNE (물량흐름)'!$C$13:$C$502,'Direct labour(직접노무비)'!C466,'JUNE (물량흐름)'!$I$13:$I$502)</f>
        <v>8547</v>
      </c>
      <c r="M466" s="6">
        <f t="shared" si="88"/>
        <v>6049</v>
      </c>
      <c r="N466" s="6">
        <f t="shared" si="89"/>
        <v>240031881</v>
      </c>
      <c r="O466" s="6">
        <f t="shared" si="94"/>
        <v>74235549</v>
      </c>
      <c r="P466" s="6">
        <f>SUMIF('JUNE (물량흐름)'!$C$13:$C$502,C466,'JUNE (물량흐름)'!$T$13:$T$502)+SUMIF('JUNE (물량흐름)'!$C$13:$C$502,C466,'JUNE (물량흐름)'!$V$13:$V$502)+SUMIF('JUNE (물량흐름)'!$C$13:$C$502,C466,'JUNE (물량흐름)'!$U$13:$U$502)-SUMIF('JUNE (물량흐름)'!$C$13:$C$502,C466,'JUNE (물량흐름)'!$Y$13:$Y$502)</f>
        <v>2245</v>
      </c>
      <c r="Q466" s="6">
        <f t="shared" si="97"/>
        <v>19499100</v>
      </c>
      <c r="R466" s="6">
        <f>ROUND(IF(ISERROR(VLOOKUP(#REF!,'WIP(재공품)'!$B$12:$AB$38,13,0)),0,VLOOKUP(#REF!,'WIP(재공품)'!$B$12:$AB$38,13,0)),0)</f>
        <v>0</v>
      </c>
      <c r="S466" s="6">
        <f>IF(ISERROR(VLOOKUP(#REF!,'WIP(재공품)'!$B$12:$AB$38,10,0)),0,VLOOKUP(#REF!,'WIP(재공품)'!$B$12:$AB$38,10,0))</f>
        <v>0</v>
      </c>
      <c r="T466" s="6">
        <f>SUMIF('JUNE (물량흐름)'!$C$13:$C$502,'Direct labour(직접노무비)'!C466,'JUNE (물량흐름)'!$Y$13:$Y$502)</f>
        <v>0</v>
      </c>
      <c r="U466" s="6">
        <f t="shared" si="95"/>
        <v>0</v>
      </c>
      <c r="V466" s="6">
        <f>ROUND(SUMIF('JUNE (물량흐름)'!$C$13:$C$502,'Direct labour(직접노무비)'!C466,'JUNE (물량흐름)'!$N$13:$N$502),0)</f>
        <v>817</v>
      </c>
      <c r="W466" s="6">
        <f>ROUND(SUMIF('JUNE (물량흐름)'!$C$13:$C$502,'Direct labour(직접노무비)'!C466,'JUNE (물량흐름)'!$O$13:$O$502),0)</f>
        <v>2490</v>
      </c>
      <c r="X466" s="6">
        <f>ROUND(SUMIF('JUNE (물량흐름)'!$C$13:$C$502,'Direct labour(직접노무비)'!C466,'JUNE (물량흐름)'!$P$13:$P$502),0)</f>
        <v>2995</v>
      </c>
      <c r="Y466" s="6">
        <f t="shared" si="90"/>
        <v>6302</v>
      </c>
      <c r="Z466" s="6">
        <f t="shared" si="91"/>
        <v>3804</v>
      </c>
      <c r="AA466" s="6">
        <f t="shared" si="98"/>
        <v>54736449</v>
      </c>
      <c r="AB466" s="389">
        <f t="shared" si="92"/>
        <v>0</v>
      </c>
      <c r="AC466" s="503">
        <f t="shared" si="96"/>
        <v>0</v>
      </c>
      <c r="AD466" s="389">
        <f t="shared" si="93"/>
        <v>0</v>
      </c>
    </row>
    <row r="467" spans="1:30" s="390" customFormat="1">
      <c r="A467" s="167">
        <v>477</v>
      </c>
      <c r="B467" s="267" t="str">
        <f>VLOOKUP(A467,'JUNE (물량흐름)'!$A$13:$C$502,2,0)</f>
        <v>ANN TAYLOR</v>
      </c>
      <c r="C467" s="240">
        <f>VLOOKUP(A467,'JUNE (물량흐름)'!$A$13:$C$502,3,0)</f>
        <v>468564</v>
      </c>
      <c r="D467" s="6">
        <f>VLOOKUP(C467,'WIP(재공품)'!$B$12:$E$493,4,0)</f>
        <v>48751.25</v>
      </c>
      <c r="E467" s="6">
        <f>IFERROR(VLOOKUP(C467,O.B.JUNE!$AA$7:$AG$448,2,0),0)</f>
        <v>0</v>
      </c>
      <c r="F467" s="6">
        <f>IFERROR(VLOOKUP(C467,O.B.JUNE!$AA$7:$AG$448,3,0),0)</f>
        <v>0</v>
      </c>
      <c r="G467" s="6">
        <f>IFERROR(VLOOKUP(C467,O.B.JUNE!$AA$7:$AD$448,4,0),0)</f>
        <v>0</v>
      </c>
      <c r="H467" s="6">
        <f t="shared" si="87"/>
        <v>0</v>
      </c>
      <c r="I467" s="6">
        <f>IFERROR(VLOOKUP(C467,O.B.JUNE!$AA$7:$AF$448,6,0),0)</f>
        <v>0</v>
      </c>
      <c r="J467" s="6"/>
      <c r="K467" s="6">
        <f>IFERROR(VLOOKUP(C467,O.B.JUNE!$AA$7:$AG$448,7,0),0)</f>
        <v>0</v>
      </c>
      <c r="L467" s="6">
        <f>SUMIF('JUNE (물량흐름)'!$C$13:$C$502,'Direct labour(직접노무비)'!C467,'JUNE (물량흐름)'!$H$13:$H$502)+SUMIF('JUNE (물량흐름)'!$C$13:$C$502,'Direct labour(직접노무비)'!C467,'JUNE (물량흐름)'!$I$13:$I$502)</f>
        <v>2430</v>
      </c>
      <c r="M467" s="6">
        <f t="shared" si="88"/>
        <v>1254</v>
      </c>
      <c r="N467" s="6">
        <f t="shared" si="89"/>
        <v>61134068</v>
      </c>
      <c r="O467" s="6">
        <f t="shared" si="94"/>
        <v>18907160</v>
      </c>
      <c r="P467" s="6">
        <f>SUMIF('JUNE (물량흐름)'!$C$13:$C$502,C467,'JUNE (물량흐름)'!$T$13:$T$502)+SUMIF('JUNE (물량흐름)'!$C$13:$C$502,C467,'JUNE (물량흐름)'!$V$13:$V$502)+SUMIF('JUNE (물량흐름)'!$C$13:$C$502,C467,'JUNE (물량흐름)'!$U$13:$U$502)-SUMIF('JUNE (물량흐름)'!$C$13:$C$502,C467,'JUNE (물량흐름)'!$Y$13:$Y$502)</f>
        <v>0</v>
      </c>
      <c r="Q467" s="6">
        <f t="shared" si="97"/>
        <v>0</v>
      </c>
      <c r="R467" s="6">
        <f>ROUND(IF(ISERROR(VLOOKUP(#REF!,'WIP(재공품)'!$B$12:$AB$38,13,0)),0,VLOOKUP(#REF!,'WIP(재공품)'!$B$12:$AB$38,13,0)),0)</f>
        <v>0</v>
      </c>
      <c r="S467" s="6">
        <f>IF(ISERROR(VLOOKUP(#REF!,'WIP(재공품)'!$B$12:$AB$38,10,0)),0,VLOOKUP(#REF!,'WIP(재공품)'!$B$12:$AB$38,10,0))</f>
        <v>0</v>
      </c>
      <c r="T467" s="6">
        <f>SUMIF('JUNE (물량흐름)'!$C$13:$C$502,'Direct labour(직접노무비)'!C467,'JUNE (물량흐름)'!$Y$13:$Y$502)</f>
        <v>0</v>
      </c>
      <c r="U467" s="6">
        <f t="shared" si="95"/>
        <v>0</v>
      </c>
      <c r="V467" s="6">
        <f>ROUND(SUMIF('JUNE (물량흐름)'!$C$13:$C$502,'Direct labour(직접노무비)'!C467,'JUNE (물량흐름)'!$N$13:$N$502),0)</f>
        <v>1026</v>
      </c>
      <c r="W467" s="6">
        <f>ROUND(SUMIF('JUNE (물량흐름)'!$C$13:$C$502,'Direct labour(직접노무비)'!C467,'JUNE (물량흐름)'!$O$13:$O$502),0)</f>
        <v>247</v>
      </c>
      <c r="X467" s="6">
        <f>ROUND(SUMIF('JUNE (물량흐름)'!$C$13:$C$502,'Direct labour(직접노무비)'!C467,'JUNE (물량흐름)'!$P$13:$P$502),0)</f>
        <v>1157</v>
      </c>
      <c r="Y467" s="6">
        <f t="shared" si="90"/>
        <v>2430</v>
      </c>
      <c r="Z467" s="6">
        <f t="shared" si="91"/>
        <v>1254</v>
      </c>
      <c r="AA467" s="6">
        <f t="shared" si="98"/>
        <v>18907160</v>
      </c>
      <c r="AB467" s="389">
        <f t="shared" si="92"/>
        <v>0</v>
      </c>
      <c r="AC467" s="503">
        <f t="shared" si="96"/>
        <v>0</v>
      </c>
      <c r="AD467" s="389">
        <f t="shared" si="93"/>
        <v>0</v>
      </c>
    </row>
    <row r="468" spans="1:30" s="390" customFormat="1">
      <c r="A468" s="167">
        <v>478</v>
      </c>
      <c r="B468" s="267" t="str">
        <f>VLOOKUP(A468,'JUNE (물량흐름)'!$A$13:$C$502,2,0)</f>
        <v>ANN TAYLOR</v>
      </c>
      <c r="C468" s="240">
        <f>VLOOKUP(A468,'JUNE (물량흐름)'!$A$13:$C$502,3,0)</f>
        <v>468568</v>
      </c>
      <c r="D468" s="6">
        <f>VLOOKUP(C468,'WIP(재공품)'!$B$12:$E$493,4,0)</f>
        <v>41948.75</v>
      </c>
      <c r="E468" s="6">
        <f>IFERROR(VLOOKUP(C468,O.B.JUNE!$AA$7:$AG$448,2,0),0)</f>
        <v>0</v>
      </c>
      <c r="F468" s="6">
        <f>IFERROR(VLOOKUP(C468,O.B.JUNE!$AA$7:$AG$448,3,0),0)</f>
        <v>0</v>
      </c>
      <c r="G468" s="6">
        <f>IFERROR(VLOOKUP(C468,O.B.JUNE!$AA$7:$AD$448,4,0),0)</f>
        <v>0</v>
      </c>
      <c r="H468" s="6">
        <f t="shared" si="87"/>
        <v>0</v>
      </c>
      <c r="I468" s="6">
        <f>IFERROR(VLOOKUP(C468,O.B.JUNE!$AA$7:$AF$448,6,0),0)</f>
        <v>0</v>
      </c>
      <c r="J468" s="6"/>
      <c r="K468" s="6">
        <f>IFERROR(VLOOKUP(C468,O.B.JUNE!$AA$7:$AG$448,7,0),0)</f>
        <v>0</v>
      </c>
      <c r="L468" s="6">
        <f>SUMIF('JUNE (물량흐름)'!$C$13:$C$502,'Direct labour(직접노무비)'!C468,'JUNE (물량흐름)'!$H$13:$H$502)+SUMIF('JUNE (물량흐름)'!$C$13:$C$502,'Direct labour(직접노무비)'!C468,'JUNE (물량흐름)'!$I$13:$I$502)</f>
        <v>4531</v>
      </c>
      <c r="M468" s="6">
        <f t="shared" si="88"/>
        <v>906</v>
      </c>
      <c r="N468" s="6">
        <f t="shared" si="89"/>
        <v>38005568</v>
      </c>
      <c r="O468" s="6">
        <f t="shared" si="94"/>
        <v>11754123</v>
      </c>
      <c r="P468" s="6">
        <f>SUMIF('JUNE (물량흐름)'!$C$13:$C$502,C468,'JUNE (물량흐름)'!$T$13:$T$502)+SUMIF('JUNE (물량흐름)'!$C$13:$C$502,C468,'JUNE (물량흐름)'!$V$13:$V$502)+SUMIF('JUNE (물량흐름)'!$C$13:$C$502,C468,'JUNE (물량흐름)'!$U$13:$U$502)-SUMIF('JUNE (물량흐름)'!$C$13:$C$502,C468,'JUNE (물량흐름)'!$Y$13:$Y$502)</f>
        <v>0</v>
      </c>
      <c r="Q468" s="6">
        <f t="shared" si="97"/>
        <v>0</v>
      </c>
      <c r="R468" s="6">
        <f>ROUND(IF(ISERROR(VLOOKUP(#REF!,'WIP(재공품)'!$B$12:$AB$38,13,0)),0,VLOOKUP(#REF!,'WIP(재공품)'!$B$12:$AB$38,13,0)),0)</f>
        <v>0</v>
      </c>
      <c r="S468" s="6">
        <f>IF(ISERROR(VLOOKUP(#REF!,'WIP(재공품)'!$B$12:$AB$38,10,0)),0,VLOOKUP(#REF!,'WIP(재공품)'!$B$12:$AB$38,10,0))</f>
        <v>0</v>
      </c>
      <c r="T468" s="6">
        <f>SUMIF('JUNE (물량흐름)'!$C$13:$C$502,'Direct labour(직접노무비)'!C468,'JUNE (물량흐름)'!$Y$13:$Y$502)</f>
        <v>0</v>
      </c>
      <c r="U468" s="6">
        <f t="shared" si="95"/>
        <v>0</v>
      </c>
      <c r="V468" s="6">
        <f>ROUND(SUMIF('JUNE (물량흐름)'!$C$13:$C$502,'Direct labour(직접노무비)'!C468,'JUNE (물량흐름)'!$N$13:$N$502),0)</f>
        <v>4531</v>
      </c>
      <c r="W468" s="6">
        <f>ROUND(SUMIF('JUNE (물량흐름)'!$C$13:$C$502,'Direct labour(직접노무비)'!C468,'JUNE (물량흐름)'!$O$13:$O$502),0)</f>
        <v>0</v>
      </c>
      <c r="X468" s="6">
        <f>ROUND(SUMIF('JUNE (물량흐름)'!$C$13:$C$502,'Direct labour(직접노무비)'!C468,'JUNE (물량흐름)'!$P$13:$P$502),0)</f>
        <v>0</v>
      </c>
      <c r="Y468" s="6">
        <f t="shared" si="90"/>
        <v>4531</v>
      </c>
      <c r="Z468" s="6">
        <f t="shared" si="91"/>
        <v>906</v>
      </c>
      <c r="AA468" s="6">
        <f t="shared" si="98"/>
        <v>11754123</v>
      </c>
      <c r="AB468" s="389">
        <f t="shared" si="92"/>
        <v>0</v>
      </c>
      <c r="AC468" s="503">
        <f t="shared" si="96"/>
        <v>0</v>
      </c>
      <c r="AD468" s="389">
        <f t="shared" si="93"/>
        <v>0</v>
      </c>
    </row>
    <row r="469" spans="1:30" s="390" customFormat="1">
      <c r="A469" s="167">
        <v>480</v>
      </c>
      <c r="B469" s="267" t="str">
        <f>VLOOKUP(A469,'JUNE (물량흐름)'!$A$13:$C$502,2,0)</f>
        <v>ANN TAYLOR</v>
      </c>
      <c r="C469" s="240">
        <f>VLOOKUP(A469,'JUNE (물량흐름)'!$A$13:$C$502,3,0)</f>
        <v>470390</v>
      </c>
      <c r="D469" s="6">
        <f>VLOOKUP(C469,'WIP(재공품)'!$B$12:$E$493,4,0)</f>
        <v>48751.25</v>
      </c>
      <c r="E469" s="6">
        <f>IFERROR(VLOOKUP(C469,O.B.JUNE!$AA$7:$AG$448,2,0),0)</f>
        <v>0</v>
      </c>
      <c r="F469" s="6">
        <f>IFERROR(VLOOKUP(C469,O.B.JUNE!$AA$7:$AG$448,3,0),0)</f>
        <v>0</v>
      </c>
      <c r="G469" s="6">
        <f>IFERROR(VLOOKUP(C469,O.B.JUNE!$AA$7:$AD$448,4,0),0)</f>
        <v>0</v>
      </c>
      <c r="H469" s="6">
        <f t="shared" si="87"/>
        <v>0</v>
      </c>
      <c r="I469" s="6">
        <f>IFERROR(VLOOKUP(C469,O.B.JUNE!$AA$7:$AF$448,6,0),0)</f>
        <v>0</v>
      </c>
      <c r="J469" s="6"/>
      <c r="K469" s="6">
        <f>IFERROR(VLOOKUP(C469,O.B.JUNE!$AA$7:$AG$448,7,0),0)</f>
        <v>0</v>
      </c>
      <c r="L469" s="6">
        <f>SUMIF('JUNE (물량흐름)'!$C$13:$C$502,'Direct labour(직접노무비)'!C469,'JUNE (물량흐름)'!$H$13:$H$502)+SUMIF('JUNE (물량흐름)'!$C$13:$C$502,'Direct labour(직접노무비)'!C469,'JUNE (물량흐름)'!$I$13:$I$502)</f>
        <v>3204</v>
      </c>
      <c r="M469" s="6">
        <f t="shared" si="88"/>
        <v>2348</v>
      </c>
      <c r="N469" s="6">
        <f t="shared" si="89"/>
        <v>114467935</v>
      </c>
      <c r="O469" s="6">
        <f t="shared" si="94"/>
        <v>35401922</v>
      </c>
      <c r="P469" s="6">
        <f>SUMIF('JUNE (물량흐름)'!$C$13:$C$502,C469,'JUNE (물량흐름)'!$T$13:$T$502)+SUMIF('JUNE (물량흐름)'!$C$13:$C$502,C469,'JUNE (물량흐름)'!$V$13:$V$502)+SUMIF('JUNE (물량흐름)'!$C$13:$C$502,C469,'JUNE (물량흐름)'!$U$13:$U$502)-SUMIF('JUNE (물량흐름)'!$C$13:$C$502,C469,'JUNE (물량흐름)'!$Y$13:$Y$502)</f>
        <v>351</v>
      </c>
      <c r="Q469" s="6">
        <f t="shared" si="97"/>
        <v>3878300</v>
      </c>
      <c r="R469" s="6">
        <f>ROUND(IF(ISERROR(VLOOKUP(#REF!,'WIP(재공품)'!$B$12:$AB$38,13,0)),0,VLOOKUP(#REF!,'WIP(재공품)'!$B$12:$AB$38,13,0)),0)</f>
        <v>0</v>
      </c>
      <c r="S469" s="6">
        <f>IF(ISERROR(VLOOKUP(#REF!,'WIP(재공품)'!$B$12:$AB$38,10,0)),0,VLOOKUP(#REF!,'WIP(재공품)'!$B$12:$AB$38,10,0))</f>
        <v>0</v>
      </c>
      <c r="T469" s="6">
        <f>SUMIF('JUNE (물량흐름)'!$C$13:$C$502,'Direct labour(직접노무비)'!C469,'JUNE (물량흐름)'!$Y$13:$Y$502)</f>
        <v>0</v>
      </c>
      <c r="U469" s="6">
        <f t="shared" si="95"/>
        <v>0</v>
      </c>
      <c r="V469" s="6">
        <f>ROUND(SUMIF('JUNE (물량흐름)'!$C$13:$C$502,'Direct labour(직접노무비)'!C469,'JUNE (물량흐름)'!$N$13:$N$502),0)</f>
        <v>0</v>
      </c>
      <c r="W469" s="6">
        <f>ROUND(SUMIF('JUNE (물량흐름)'!$C$13:$C$502,'Direct labour(직접노무비)'!C469,'JUNE (물량흐름)'!$O$13:$O$502),0)</f>
        <v>952</v>
      </c>
      <c r="X469" s="6">
        <f>ROUND(SUMIF('JUNE (물량흐름)'!$C$13:$C$502,'Direct labour(직접노무비)'!C469,'JUNE (물량흐름)'!$P$13:$P$502),0)</f>
        <v>1901</v>
      </c>
      <c r="Y469" s="6">
        <f t="shared" si="90"/>
        <v>2853</v>
      </c>
      <c r="Z469" s="6">
        <f t="shared" si="91"/>
        <v>1997</v>
      </c>
      <c r="AA469" s="6">
        <f t="shared" si="98"/>
        <v>31523622</v>
      </c>
      <c r="AB469" s="389">
        <f t="shared" si="92"/>
        <v>0</v>
      </c>
      <c r="AC469" s="503">
        <f t="shared" si="96"/>
        <v>0</v>
      </c>
      <c r="AD469" s="389">
        <f t="shared" si="93"/>
        <v>0</v>
      </c>
    </row>
    <row r="470" spans="1:30" s="390" customFormat="1">
      <c r="A470" s="167">
        <v>481</v>
      </c>
      <c r="B470" s="267" t="str">
        <f>VLOOKUP(A470,'JUNE (물량흐름)'!$A$13:$C$502,2,0)</f>
        <v>ANN TAYLOR</v>
      </c>
      <c r="C470" s="240">
        <f>VLOOKUP(A470,'JUNE (물량흐름)'!$A$13:$C$502,3,0)</f>
        <v>471627</v>
      </c>
      <c r="D470" s="6">
        <f>VLOOKUP(C470,'WIP(재공품)'!$B$12:$E$493,4,0)</f>
        <v>34012.5</v>
      </c>
      <c r="E470" s="6">
        <f>IFERROR(VLOOKUP(C470,O.B.JUNE!$AA$7:$AG$448,2,0),0)</f>
        <v>0</v>
      </c>
      <c r="F470" s="6">
        <f>IFERROR(VLOOKUP(C470,O.B.JUNE!$AA$7:$AG$448,3,0),0)</f>
        <v>0</v>
      </c>
      <c r="G470" s="6">
        <f>IFERROR(VLOOKUP(C470,O.B.JUNE!$AA$7:$AD$448,4,0),0)</f>
        <v>0</v>
      </c>
      <c r="H470" s="6">
        <f t="shared" si="87"/>
        <v>0</v>
      </c>
      <c r="I470" s="6">
        <f>IFERROR(VLOOKUP(C470,O.B.JUNE!$AA$7:$AF$448,6,0),0)</f>
        <v>0</v>
      </c>
      <c r="J470" s="6"/>
      <c r="K470" s="6">
        <f>IFERROR(VLOOKUP(C470,O.B.JUNE!$AA$7:$AG$448,7,0),0)</f>
        <v>0</v>
      </c>
      <c r="L470" s="6">
        <f>SUMIF('JUNE (물량흐름)'!$C$13:$C$502,'Direct labour(직접노무비)'!C470,'JUNE (물량흐름)'!$H$13:$H$502)+SUMIF('JUNE (물량흐름)'!$C$13:$C$502,'Direct labour(직접노무비)'!C470,'JUNE (물량흐름)'!$I$13:$I$502)</f>
        <v>10325</v>
      </c>
      <c r="M470" s="6">
        <f t="shared" si="88"/>
        <v>6973</v>
      </c>
      <c r="N470" s="6">
        <f t="shared" si="89"/>
        <v>237169163</v>
      </c>
      <c r="O470" s="6">
        <f t="shared" si="94"/>
        <v>73350185</v>
      </c>
      <c r="P470" s="6">
        <f>SUMIF('JUNE (물량흐름)'!$C$13:$C$502,C470,'JUNE (물량흐름)'!$T$13:$T$502)+SUMIF('JUNE (물량흐름)'!$C$13:$C$502,C470,'JUNE (물량흐름)'!$V$13:$V$502)+SUMIF('JUNE (물량흐름)'!$C$13:$C$502,C470,'JUNE (물량흐름)'!$U$13:$U$502)-SUMIF('JUNE (물량흐름)'!$C$13:$C$502,C470,'JUNE (물량흐름)'!$Y$13:$Y$502)</f>
        <v>3065</v>
      </c>
      <c r="Q470" s="6">
        <f t="shared" si="97"/>
        <v>21774171</v>
      </c>
      <c r="R470" s="6">
        <f>ROUND(IF(ISERROR(VLOOKUP(#REF!,'WIP(재공품)'!$B$12:$AB$38,13,0)),0,VLOOKUP(#REF!,'WIP(재공품)'!$B$12:$AB$38,13,0)),0)</f>
        <v>0</v>
      </c>
      <c r="S470" s="6">
        <f>IF(ISERROR(VLOOKUP(#REF!,'WIP(재공품)'!$B$12:$AB$38,10,0)),0,VLOOKUP(#REF!,'WIP(재공품)'!$B$12:$AB$38,10,0))</f>
        <v>0</v>
      </c>
      <c r="T470" s="6">
        <f>SUMIF('JUNE (물량흐름)'!$C$13:$C$502,'Direct labour(직접노무비)'!C470,'JUNE (물량흐름)'!$Y$13:$Y$502)</f>
        <v>0</v>
      </c>
      <c r="U470" s="6">
        <f t="shared" si="95"/>
        <v>0</v>
      </c>
      <c r="V470" s="6">
        <f>ROUND(SUMIF('JUNE (물량흐름)'!$C$13:$C$502,'Direct labour(직접노무비)'!C470,'JUNE (물량흐름)'!$N$13:$N$502),0)</f>
        <v>1883</v>
      </c>
      <c r="W470" s="6">
        <f>ROUND(SUMIF('JUNE (물량흐름)'!$C$13:$C$502,'Direct labour(직접노무비)'!C470,'JUNE (물량흐름)'!$O$13:$O$502),0)</f>
        <v>2567</v>
      </c>
      <c r="X470" s="6">
        <f>ROUND(SUMIF('JUNE (물량흐름)'!$C$13:$C$502,'Direct labour(직접노무비)'!C470,'JUNE (물량흐름)'!$P$13:$P$502),0)</f>
        <v>2810</v>
      </c>
      <c r="Y470" s="6">
        <f t="shared" si="90"/>
        <v>7260</v>
      </c>
      <c r="Z470" s="6">
        <f t="shared" si="91"/>
        <v>3908</v>
      </c>
      <c r="AA470" s="6">
        <f t="shared" si="98"/>
        <v>51576014</v>
      </c>
      <c r="AB470" s="389">
        <f t="shared" si="92"/>
        <v>0</v>
      </c>
      <c r="AC470" s="503">
        <f t="shared" si="96"/>
        <v>0</v>
      </c>
      <c r="AD470" s="389">
        <f t="shared" si="93"/>
        <v>0</v>
      </c>
    </row>
    <row r="471" spans="1:30" s="390" customFormat="1">
      <c r="A471" s="167">
        <v>482</v>
      </c>
      <c r="B471" s="267" t="str">
        <f>VLOOKUP(A471,'JUNE (물량흐름)'!$A$13:$C$502,2,0)</f>
        <v>ANN TAYLOR</v>
      </c>
      <c r="C471" s="240" t="str">
        <f>VLOOKUP(A471,'JUNE (물량흐름)'!$A$13:$C$502,3,0)</f>
        <v>472379 (483561)</v>
      </c>
      <c r="D471" s="6">
        <f>VLOOKUP(C471,'WIP(재공품)'!$B$12:$E$493,4,0)</f>
        <v>84804.5</v>
      </c>
      <c r="E471" s="6">
        <f>IFERROR(VLOOKUP(C471,O.B.JUNE!$AA$7:$AG$448,2,0),0)</f>
        <v>0</v>
      </c>
      <c r="F471" s="6">
        <f>IFERROR(VLOOKUP(C471,O.B.JUNE!$AA$7:$AG$448,3,0),0)</f>
        <v>0</v>
      </c>
      <c r="G471" s="6">
        <f>IFERROR(VLOOKUP(C471,O.B.JUNE!$AA$7:$AD$448,4,0),0)</f>
        <v>0</v>
      </c>
      <c r="H471" s="6">
        <f t="shared" si="87"/>
        <v>0</v>
      </c>
      <c r="I471" s="6">
        <f>IFERROR(VLOOKUP(C471,O.B.JUNE!$AA$7:$AF$448,6,0),0)</f>
        <v>0</v>
      </c>
      <c r="J471" s="6"/>
      <c r="K471" s="6">
        <f>IFERROR(VLOOKUP(C471,O.B.JUNE!$AA$7:$AG$448,7,0),0)</f>
        <v>0</v>
      </c>
      <c r="L471" s="6">
        <f>SUMIF('JUNE (물량흐름)'!$C$13:$C$502,'Direct labour(직접노무비)'!C471,'JUNE (물량흐름)'!$H$13:$H$502)+SUMIF('JUNE (물량흐름)'!$C$13:$C$502,'Direct labour(직접노무비)'!C471,'JUNE (물량흐름)'!$I$13:$I$502)</f>
        <v>2914</v>
      </c>
      <c r="M471" s="6">
        <f t="shared" si="88"/>
        <v>2834</v>
      </c>
      <c r="N471" s="6">
        <f t="shared" si="89"/>
        <v>240335953</v>
      </c>
      <c r="O471" s="6">
        <f t="shared" si="94"/>
        <v>74329590</v>
      </c>
      <c r="P471" s="6">
        <f>SUMIF('JUNE (물량흐름)'!$C$13:$C$502,C471,'JUNE (물량흐름)'!$T$13:$T$502)+SUMIF('JUNE (물량흐름)'!$C$13:$C$502,C471,'JUNE (물량흐름)'!$V$13:$V$502)+SUMIF('JUNE (물량흐름)'!$C$13:$C$502,C471,'JUNE (물량흐름)'!$U$13:$U$502)-SUMIF('JUNE (물량흐름)'!$C$13:$C$502,C471,'JUNE (물량흐름)'!$Y$13:$Y$502)</f>
        <v>2688</v>
      </c>
      <c r="Q471" s="6">
        <f t="shared" si="97"/>
        <v>68564838</v>
      </c>
      <c r="R471" s="6">
        <f>ROUND(IF(ISERROR(VLOOKUP(#REF!,'WIP(재공품)'!$B$12:$AB$38,13,0)),0,VLOOKUP(#REF!,'WIP(재공품)'!$B$12:$AB$38,13,0)),0)</f>
        <v>0</v>
      </c>
      <c r="S471" s="6">
        <f>IF(ISERROR(VLOOKUP(#REF!,'WIP(재공품)'!$B$12:$AB$38,10,0)),0,VLOOKUP(#REF!,'WIP(재공품)'!$B$12:$AB$38,10,0))</f>
        <v>0</v>
      </c>
      <c r="T471" s="6">
        <f>SUMIF('JUNE (물량흐름)'!$C$13:$C$502,'Direct labour(직접노무비)'!C471,'JUNE (물량흐름)'!$Y$13:$Y$502)</f>
        <v>16</v>
      </c>
      <c r="U471" s="6">
        <f t="shared" si="95"/>
        <v>408124</v>
      </c>
      <c r="V471" s="6">
        <f>ROUND(SUMIF('JUNE (물량흐름)'!$C$13:$C$502,'Direct labour(직접노무비)'!C471,'JUNE (물량흐름)'!$N$13:$N$502),0)</f>
        <v>0</v>
      </c>
      <c r="W471" s="6">
        <f>ROUND(SUMIF('JUNE (물량흐름)'!$C$13:$C$502,'Direct labour(직접노무비)'!C471,'JUNE (물량흐름)'!$O$13:$O$502),0)</f>
        <v>127</v>
      </c>
      <c r="X471" s="6">
        <f>ROUND(SUMIF('JUNE (물량흐름)'!$C$13:$C$502,'Direct labour(직접노무비)'!C471,'JUNE (물량흐름)'!$P$13:$P$502),0)</f>
        <v>83</v>
      </c>
      <c r="Y471" s="6">
        <f t="shared" si="90"/>
        <v>210</v>
      </c>
      <c r="Z471" s="6">
        <f t="shared" si="91"/>
        <v>130</v>
      </c>
      <c r="AA471" s="6">
        <f t="shared" si="98"/>
        <v>5356628</v>
      </c>
      <c r="AB471" s="389">
        <f t="shared" si="92"/>
        <v>0</v>
      </c>
      <c r="AC471" s="503">
        <f t="shared" si="96"/>
        <v>0</v>
      </c>
      <c r="AD471" s="389">
        <f t="shared" si="93"/>
        <v>0</v>
      </c>
    </row>
    <row r="472" spans="1:30" s="390" customFormat="1">
      <c r="A472" s="167">
        <v>483</v>
      </c>
      <c r="B472" s="267" t="str">
        <f>VLOOKUP(A472,'JUNE (물량흐름)'!$A$13:$C$502,2,0)</f>
        <v>ANN TAYLOR</v>
      </c>
      <c r="C472" s="240">
        <f>VLOOKUP(A472,'JUNE (물량흐름)'!$A$13:$C$502,3,0)</f>
        <v>473781</v>
      </c>
      <c r="D472" s="6">
        <f>VLOOKUP(C472,'WIP(재공품)'!$B$12:$E$493,4,0)</f>
        <v>55553.750000000007</v>
      </c>
      <c r="E472" s="6">
        <f>IFERROR(VLOOKUP(C472,O.B.JUNE!$AA$7:$AG$448,2,0),0)</f>
        <v>0</v>
      </c>
      <c r="F472" s="6">
        <f>IFERROR(VLOOKUP(C472,O.B.JUNE!$AA$7:$AG$448,3,0),0)</f>
        <v>0</v>
      </c>
      <c r="G472" s="6">
        <f>IFERROR(VLOOKUP(C472,O.B.JUNE!$AA$7:$AD$448,4,0),0)</f>
        <v>0</v>
      </c>
      <c r="H472" s="6">
        <f t="shared" si="87"/>
        <v>0</v>
      </c>
      <c r="I472" s="6">
        <f>IFERROR(VLOOKUP(C472,O.B.JUNE!$AA$7:$AF$448,6,0),0)</f>
        <v>0</v>
      </c>
      <c r="J472" s="6"/>
      <c r="K472" s="6">
        <f>IFERROR(VLOOKUP(C472,O.B.JUNE!$AA$7:$AG$448,7,0),0)</f>
        <v>0</v>
      </c>
      <c r="L472" s="6">
        <f>SUMIF('JUNE (물량흐름)'!$C$13:$C$502,'Direct labour(직접노무비)'!C472,'JUNE (물량흐름)'!$H$13:$H$502)+SUMIF('JUNE (물량흐름)'!$C$13:$C$502,'Direct labour(직접노무비)'!C472,'JUNE (물량흐름)'!$I$13:$I$502)</f>
        <v>1300</v>
      </c>
      <c r="M472" s="6">
        <f t="shared" si="88"/>
        <v>656</v>
      </c>
      <c r="N472" s="6">
        <f t="shared" si="89"/>
        <v>36443260</v>
      </c>
      <c r="O472" s="6">
        <f t="shared" si="94"/>
        <v>11270942</v>
      </c>
      <c r="P472" s="6">
        <f>SUMIF('JUNE (물량흐름)'!$C$13:$C$502,C472,'JUNE (물량흐름)'!$T$13:$T$502)+SUMIF('JUNE (물량흐름)'!$C$13:$C$502,C472,'JUNE (물량흐름)'!$V$13:$V$502)+SUMIF('JUNE (물량흐름)'!$C$13:$C$502,C472,'JUNE (물량흐름)'!$U$13:$U$502)-SUMIF('JUNE (물량흐름)'!$C$13:$C$502,C472,'JUNE (물량흐름)'!$Y$13:$Y$502)</f>
        <v>0</v>
      </c>
      <c r="Q472" s="6">
        <f t="shared" si="97"/>
        <v>0</v>
      </c>
      <c r="R472" s="6">
        <f>ROUND(IF(ISERROR(VLOOKUP(#REF!,'WIP(재공품)'!$B$12:$AB$38,13,0)),0,VLOOKUP(#REF!,'WIP(재공품)'!$B$12:$AB$38,13,0)),0)</f>
        <v>0</v>
      </c>
      <c r="S472" s="6">
        <f>IF(ISERROR(VLOOKUP(#REF!,'WIP(재공품)'!$B$12:$AB$38,10,0)),0,VLOOKUP(#REF!,'WIP(재공품)'!$B$12:$AB$38,10,0))</f>
        <v>0</v>
      </c>
      <c r="T472" s="6">
        <f>SUMIF('JUNE (물량흐름)'!$C$13:$C$502,'Direct labour(직접노무비)'!C472,'JUNE (물량흐름)'!$Y$13:$Y$502)</f>
        <v>0</v>
      </c>
      <c r="U472" s="6">
        <f t="shared" si="95"/>
        <v>0</v>
      </c>
      <c r="V472" s="6">
        <f>ROUND(SUMIF('JUNE (물량흐름)'!$C$13:$C$502,'Direct labour(직접노무비)'!C472,'JUNE (물량흐름)'!$N$13:$N$502),0)</f>
        <v>0</v>
      </c>
      <c r="W472" s="6">
        <f>ROUND(SUMIF('JUNE (물량흐름)'!$C$13:$C$502,'Direct labour(직접노무비)'!C472,'JUNE (물량흐름)'!$O$13:$O$502),0)</f>
        <v>1281</v>
      </c>
      <c r="X472" s="6">
        <f>ROUND(SUMIF('JUNE (물량흐름)'!$C$13:$C$502,'Direct labour(직접노무비)'!C472,'JUNE (물량흐름)'!$P$13:$P$502),0)</f>
        <v>19</v>
      </c>
      <c r="Y472" s="6">
        <f t="shared" si="90"/>
        <v>1300</v>
      </c>
      <c r="Z472" s="6">
        <f t="shared" si="91"/>
        <v>656</v>
      </c>
      <c r="AA472" s="6">
        <f t="shared" si="98"/>
        <v>11270942</v>
      </c>
      <c r="AB472" s="389">
        <f t="shared" si="92"/>
        <v>0</v>
      </c>
      <c r="AC472" s="503">
        <f t="shared" si="96"/>
        <v>0</v>
      </c>
      <c r="AD472" s="389">
        <f t="shared" si="93"/>
        <v>0</v>
      </c>
    </row>
    <row r="473" spans="1:30" s="390" customFormat="1">
      <c r="A473" s="167">
        <v>484</v>
      </c>
      <c r="B473" s="267" t="str">
        <f>VLOOKUP(A473,'JUNE (물량흐름)'!$A$13:$C$502,2,0)</f>
        <v>ANN TAYLOR</v>
      </c>
      <c r="C473" s="240">
        <f>VLOOKUP(A473,'JUNE (물량흐름)'!$A$13:$C$502,3,0)</f>
        <v>475813</v>
      </c>
      <c r="D473" s="6">
        <f>VLOOKUP(C473,'WIP(재공품)'!$B$12:$E$493,4,0)</f>
        <v>60088.75</v>
      </c>
      <c r="E473" s="6">
        <f>IFERROR(VLOOKUP(C473,O.B.JUNE!$AA$7:$AG$448,2,0),0)</f>
        <v>0</v>
      </c>
      <c r="F473" s="6">
        <f>IFERROR(VLOOKUP(C473,O.B.JUNE!$AA$7:$AG$448,3,0),0)</f>
        <v>0</v>
      </c>
      <c r="G473" s="6">
        <f>IFERROR(VLOOKUP(C473,O.B.JUNE!$AA$7:$AD$448,4,0),0)</f>
        <v>0</v>
      </c>
      <c r="H473" s="6">
        <f t="shared" si="87"/>
        <v>0</v>
      </c>
      <c r="I473" s="6">
        <f>IFERROR(VLOOKUP(C473,O.B.JUNE!$AA$7:$AF$448,6,0),0)</f>
        <v>0</v>
      </c>
      <c r="J473" s="6"/>
      <c r="K473" s="6">
        <f>IFERROR(VLOOKUP(C473,O.B.JUNE!$AA$7:$AG$448,7,0),0)</f>
        <v>0</v>
      </c>
      <c r="L473" s="6">
        <f>SUMIF('JUNE (물량흐름)'!$C$13:$C$502,'Direct labour(직접노무비)'!C473,'JUNE (물량흐름)'!$H$13:$H$502)+SUMIF('JUNE (물량흐름)'!$C$13:$C$502,'Direct labour(직접노무비)'!C473,'JUNE (물량흐름)'!$I$13:$I$502)</f>
        <v>11569</v>
      </c>
      <c r="M473" s="6">
        <f t="shared" si="88"/>
        <v>10071</v>
      </c>
      <c r="N473" s="6">
        <f t="shared" si="89"/>
        <v>605153801</v>
      </c>
      <c r="O473" s="6">
        <f t="shared" si="94"/>
        <v>187158158</v>
      </c>
      <c r="P473" s="6">
        <f>SUMIF('JUNE (물량흐름)'!$C$13:$C$502,C473,'JUNE (물량흐름)'!$T$13:$T$502)+SUMIF('JUNE (물량흐름)'!$C$13:$C$502,C473,'JUNE (물량흐름)'!$V$13:$V$502)+SUMIF('JUNE (물량흐름)'!$C$13:$C$502,C473,'JUNE (물량흐름)'!$U$13:$U$502)-SUMIF('JUNE (물량흐름)'!$C$13:$C$502,C473,'JUNE (물량흐름)'!$Y$13:$Y$502)</f>
        <v>8383</v>
      </c>
      <c r="Q473" s="6">
        <f t="shared" si="97"/>
        <v>135616461</v>
      </c>
      <c r="R473" s="6">
        <f>ROUND(IF(ISERROR(VLOOKUP(#REF!,'WIP(재공품)'!$B$12:$AB$38,13,0)),0,VLOOKUP(#REF!,'WIP(재공품)'!$B$12:$AB$38,13,0)),0)</f>
        <v>0</v>
      </c>
      <c r="S473" s="6">
        <f>IF(ISERROR(VLOOKUP(#REF!,'WIP(재공품)'!$B$12:$AB$38,10,0)),0,VLOOKUP(#REF!,'WIP(재공품)'!$B$12:$AB$38,10,0))</f>
        <v>0</v>
      </c>
      <c r="T473" s="6">
        <f>SUMIF('JUNE (물량흐름)'!$C$13:$C$502,'Direct labour(직접노무비)'!C473,'JUNE (물량흐름)'!$Y$13:$Y$502)</f>
        <v>0</v>
      </c>
      <c r="U473" s="6">
        <f t="shared" si="95"/>
        <v>0</v>
      </c>
      <c r="V473" s="6">
        <f>ROUND(SUMIF('JUNE (물량흐름)'!$C$13:$C$502,'Direct labour(직접노무비)'!C473,'JUNE (물량흐름)'!$N$13:$N$502),0)</f>
        <v>312</v>
      </c>
      <c r="W473" s="6">
        <f>ROUND(SUMIF('JUNE (물량흐름)'!$C$13:$C$502,'Direct labour(직접노무비)'!C473,'JUNE (물량흐름)'!$O$13:$O$502),0)</f>
        <v>2245</v>
      </c>
      <c r="X473" s="6">
        <f>ROUND(SUMIF('JUNE (물량흐름)'!$C$13:$C$502,'Direct labour(직접노무비)'!C473,'JUNE (물량흐름)'!$P$13:$P$502),0)</f>
        <v>629</v>
      </c>
      <c r="Y473" s="6">
        <f t="shared" si="90"/>
        <v>3186</v>
      </c>
      <c r="Z473" s="6">
        <f t="shared" si="91"/>
        <v>1688</v>
      </c>
      <c r="AA473" s="6">
        <f t="shared" si="98"/>
        <v>51541697</v>
      </c>
      <c r="AB473" s="389">
        <f t="shared" si="92"/>
        <v>0</v>
      </c>
      <c r="AC473" s="503">
        <f t="shared" si="96"/>
        <v>0</v>
      </c>
      <c r="AD473" s="389">
        <f t="shared" si="93"/>
        <v>0</v>
      </c>
    </row>
    <row r="474" spans="1:30" s="390" customFormat="1">
      <c r="A474" s="167">
        <v>485</v>
      </c>
      <c r="B474" s="267" t="str">
        <f>VLOOKUP(A474,'JUNE (물량흐름)'!$A$13:$C$502,2,0)</f>
        <v>ANN TAYLOR</v>
      </c>
      <c r="C474" s="240">
        <f>VLOOKUP(A474,'JUNE (물량흐름)'!$A$13:$C$502,3,0)</f>
        <v>476148</v>
      </c>
      <c r="D474" s="6">
        <f>VLOOKUP(C474,'WIP(재공품)'!$B$12:$E$493,4,0)</f>
        <v>63036.499999999993</v>
      </c>
      <c r="E474" s="6">
        <f>IFERROR(VLOOKUP(C474,O.B.JUNE!$AA$7:$AG$448,2,0),0)</f>
        <v>0</v>
      </c>
      <c r="F474" s="6">
        <f>IFERROR(VLOOKUP(C474,O.B.JUNE!$AA$7:$AG$448,3,0),0)</f>
        <v>0</v>
      </c>
      <c r="G474" s="6">
        <f>IFERROR(VLOOKUP(C474,O.B.JUNE!$AA$7:$AD$448,4,0),0)</f>
        <v>0</v>
      </c>
      <c r="H474" s="6">
        <f t="shared" si="87"/>
        <v>0</v>
      </c>
      <c r="I474" s="6">
        <f>IFERROR(VLOOKUP(C474,O.B.JUNE!$AA$7:$AF$448,6,0),0)</f>
        <v>0</v>
      </c>
      <c r="J474" s="6"/>
      <c r="K474" s="6">
        <f>IFERROR(VLOOKUP(C474,O.B.JUNE!$AA$7:$AG$448,7,0),0)</f>
        <v>0</v>
      </c>
      <c r="L474" s="6">
        <f>SUMIF('JUNE (물량흐름)'!$C$13:$C$502,'Direct labour(직접노무비)'!C474,'JUNE (물량흐름)'!$H$13:$H$502)+SUMIF('JUNE (물량흐름)'!$C$13:$C$502,'Direct labour(직접노무비)'!C474,'JUNE (물량흐름)'!$I$13:$I$502)</f>
        <v>10233</v>
      </c>
      <c r="M474" s="6">
        <f t="shared" si="88"/>
        <v>9931</v>
      </c>
      <c r="N474" s="6">
        <f t="shared" si="89"/>
        <v>626015482</v>
      </c>
      <c r="O474" s="6">
        <f t="shared" si="94"/>
        <v>193610127</v>
      </c>
      <c r="P474" s="6">
        <f>SUMIF('JUNE (물량흐름)'!$C$13:$C$502,C474,'JUNE (물량흐름)'!$T$13:$T$502)+SUMIF('JUNE (물량흐름)'!$C$13:$C$502,C474,'JUNE (물량흐름)'!$V$13:$V$502)+SUMIF('JUNE (물량흐름)'!$C$13:$C$502,C474,'JUNE (물량흐름)'!$U$13:$U$502)-SUMIF('JUNE (물량흐름)'!$C$13:$C$502,C474,'JUNE (물량흐름)'!$Y$13:$Y$502)</f>
        <v>9416</v>
      </c>
      <c r="Q474" s="6">
        <f t="shared" si="97"/>
        <v>178152346</v>
      </c>
      <c r="R474" s="6">
        <f>ROUND(IF(ISERROR(VLOOKUP(#REF!,'WIP(재공품)'!$B$12:$AB$38,13,0)),0,VLOOKUP(#REF!,'WIP(재공품)'!$B$12:$AB$38,13,0)),0)</f>
        <v>0</v>
      </c>
      <c r="S474" s="6">
        <f>IF(ISERROR(VLOOKUP(#REF!,'WIP(재공품)'!$B$12:$AB$38,10,0)),0,VLOOKUP(#REF!,'WIP(재공품)'!$B$12:$AB$38,10,0))</f>
        <v>0</v>
      </c>
      <c r="T474" s="6">
        <f>SUMIF('JUNE (물량흐름)'!$C$13:$C$502,'Direct labour(직접노무비)'!C474,'JUNE (물량흐름)'!$Y$13:$Y$502)</f>
        <v>0</v>
      </c>
      <c r="U474" s="6">
        <f t="shared" si="95"/>
        <v>0</v>
      </c>
      <c r="V474" s="6">
        <f>ROUND(SUMIF('JUNE (물량흐름)'!$C$13:$C$502,'Direct labour(직접노무비)'!C474,'JUNE (물량흐름)'!$N$13:$N$502),0)</f>
        <v>0</v>
      </c>
      <c r="W474" s="6">
        <f>ROUND(SUMIF('JUNE (물량흐름)'!$C$13:$C$502,'Direct labour(직접노무비)'!C474,'JUNE (물량흐름)'!$O$13:$O$502),0)</f>
        <v>462</v>
      </c>
      <c r="X474" s="6">
        <f>ROUND(SUMIF('JUNE (물량흐름)'!$C$13:$C$502,'Direct labour(직접노무비)'!C474,'JUNE (물량흐름)'!$P$13:$P$502),0)</f>
        <v>355</v>
      </c>
      <c r="Y474" s="6">
        <f t="shared" si="90"/>
        <v>817</v>
      </c>
      <c r="Z474" s="6">
        <f t="shared" si="91"/>
        <v>515</v>
      </c>
      <c r="AA474" s="6">
        <f t="shared" si="98"/>
        <v>15457781</v>
      </c>
      <c r="AB474" s="389">
        <f t="shared" si="92"/>
        <v>0</v>
      </c>
      <c r="AC474" s="503">
        <f t="shared" si="96"/>
        <v>0</v>
      </c>
      <c r="AD474" s="389">
        <f t="shared" si="93"/>
        <v>0</v>
      </c>
    </row>
    <row r="475" spans="1:30" s="390" customFormat="1">
      <c r="A475" s="167">
        <v>486</v>
      </c>
      <c r="B475" s="267" t="str">
        <f>VLOOKUP(A475,'JUNE (물량흐름)'!$A$13:$C$502,2,0)</f>
        <v>ANN TAYLOR</v>
      </c>
      <c r="C475" s="240">
        <f>VLOOKUP(A475,'JUNE (물량흐름)'!$A$13:$C$502,3,0)</f>
        <v>476239</v>
      </c>
      <c r="D475" s="6">
        <f>VLOOKUP(C475,'WIP(재공품)'!$B$12:$E$493,4,0)</f>
        <v>66891.25</v>
      </c>
      <c r="E475" s="6">
        <f>IFERROR(VLOOKUP(C475,O.B.JUNE!$AA$7:$AG$448,2,0),0)</f>
        <v>0</v>
      </c>
      <c r="F475" s="6">
        <f>IFERROR(VLOOKUP(C475,O.B.JUNE!$AA$7:$AG$448,3,0),0)</f>
        <v>0</v>
      </c>
      <c r="G475" s="6">
        <f>IFERROR(VLOOKUP(C475,O.B.JUNE!$AA$7:$AD$448,4,0),0)</f>
        <v>0</v>
      </c>
      <c r="H475" s="6">
        <f t="shared" si="87"/>
        <v>0</v>
      </c>
      <c r="I475" s="6">
        <f>IFERROR(VLOOKUP(C475,O.B.JUNE!$AA$7:$AF$448,6,0),0)</f>
        <v>0</v>
      </c>
      <c r="J475" s="6"/>
      <c r="K475" s="6">
        <f>IFERROR(VLOOKUP(C475,O.B.JUNE!$AA$7:$AG$448,7,0),0)</f>
        <v>0</v>
      </c>
      <c r="L475" s="6">
        <f>SUMIF('JUNE (물량흐름)'!$C$13:$C$502,'Direct labour(직접노무비)'!C475,'JUNE (물량흐름)'!$H$13:$H$502)+SUMIF('JUNE (물량흐름)'!$C$13:$C$502,'Direct labour(직접노무비)'!C475,'JUNE (물량흐름)'!$I$13:$I$502)</f>
        <v>3553</v>
      </c>
      <c r="M475" s="6">
        <f t="shared" si="88"/>
        <v>3255</v>
      </c>
      <c r="N475" s="6">
        <f t="shared" si="89"/>
        <v>217731019</v>
      </c>
      <c r="O475" s="6">
        <f t="shared" si="94"/>
        <v>67338479</v>
      </c>
      <c r="P475" s="6">
        <f>SUMIF('JUNE (물량흐름)'!$C$13:$C$502,C475,'JUNE (물량흐름)'!$T$13:$T$502)+SUMIF('JUNE (물량흐름)'!$C$13:$C$502,C475,'JUNE (물량흐름)'!$V$13:$V$502)+SUMIF('JUNE (물량흐름)'!$C$13:$C$502,C475,'JUNE (물량흐름)'!$U$13:$U$502)-SUMIF('JUNE (물량흐름)'!$C$13:$C$502,C475,'JUNE (물량흐름)'!$Y$13:$Y$502)</f>
        <v>2329</v>
      </c>
      <c r="Q475" s="6">
        <f t="shared" si="97"/>
        <v>44140534</v>
      </c>
      <c r="R475" s="6">
        <f>ROUND(IF(ISERROR(VLOOKUP(#REF!,'WIP(재공품)'!$B$12:$AB$38,13,0)),0,VLOOKUP(#REF!,'WIP(재공품)'!$B$12:$AB$38,13,0)),0)</f>
        <v>0</v>
      </c>
      <c r="S475" s="6">
        <f>IF(ISERROR(VLOOKUP(#REF!,'WIP(재공품)'!$B$12:$AB$38,10,0)),0,VLOOKUP(#REF!,'WIP(재공품)'!$B$12:$AB$38,10,0))</f>
        <v>0</v>
      </c>
      <c r="T475" s="6">
        <f>SUMIF('JUNE (물량흐름)'!$C$13:$C$502,'Direct labour(직접노무비)'!C475,'JUNE (물량흐름)'!$Y$13:$Y$502)</f>
        <v>0</v>
      </c>
      <c r="U475" s="6">
        <f t="shared" si="95"/>
        <v>0</v>
      </c>
      <c r="V475" s="6">
        <f>ROUND(SUMIF('JUNE (물량흐름)'!$C$13:$C$502,'Direct labour(직접노무비)'!C475,'JUNE (물량흐름)'!$N$13:$N$502),0)</f>
        <v>0</v>
      </c>
      <c r="W475" s="6">
        <f>ROUND(SUMIF('JUNE (물량흐름)'!$C$13:$C$502,'Direct labour(직접노무비)'!C475,'JUNE (물량흐름)'!$O$13:$O$502),0)</f>
        <v>176</v>
      </c>
      <c r="X475" s="6">
        <f>ROUND(SUMIF('JUNE (물량흐름)'!$C$13:$C$502,'Direct labour(직접노무비)'!C475,'JUNE (물량흐름)'!$P$13:$P$502),0)</f>
        <v>1048</v>
      </c>
      <c r="Y475" s="6">
        <f t="shared" si="90"/>
        <v>1224</v>
      </c>
      <c r="Z475" s="6">
        <f t="shared" si="91"/>
        <v>926</v>
      </c>
      <c r="AA475" s="6">
        <f t="shared" si="98"/>
        <v>23197945</v>
      </c>
      <c r="AB475" s="389">
        <f t="shared" si="92"/>
        <v>0</v>
      </c>
      <c r="AC475" s="503">
        <f t="shared" si="96"/>
        <v>0</v>
      </c>
      <c r="AD475" s="389">
        <f t="shared" si="93"/>
        <v>0</v>
      </c>
    </row>
    <row r="476" spans="1:30" s="390" customFormat="1">
      <c r="A476" s="167">
        <v>487</v>
      </c>
      <c r="B476" s="267" t="str">
        <f>VLOOKUP(A476,'JUNE (물량흐름)'!$A$13:$C$502,2,0)</f>
        <v>ANN TAYLOR</v>
      </c>
      <c r="C476" s="240">
        <f>VLOOKUP(A476,'JUNE (물량흐름)'!$A$13:$C$502,3,0)</f>
        <v>476545</v>
      </c>
      <c r="D476" s="6">
        <f>VLOOKUP(C476,'WIP(재공품)'!$B$12:$E$493,4,0)</f>
        <v>78228.75</v>
      </c>
      <c r="E476" s="6">
        <f>IFERROR(VLOOKUP(C476,O.B.JUNE!$AA$7:$AG$448,2,0),0)</f>
        <v>0</v>
      </c>
      <c r="F476" s="6">
        <f>IFERROR(VLOOKUP(C476,O.B.JUNE!$AA$7:$AG$448,3,0),0)</f>
        <v>0</v>
      </c>
      <c r="G476" s="6">
        <f>IFERROR(VLOOKUP(C476,O.B.JUNE!$AA$7:$AD$448,4,0),0)</f>
        <v>0</v>
      </c>
      <c r="H476" s="6">
        <f t="shared" si="87"/>
        <v>0</v>
      </c>
      <c r="I476" s="6">
        <f>IFERROR(VLOOKUP(C476,O.B.JUNE!$AA$7:$AF$448,6,0),0)</f>
        <v>0</v>
      </c>
      <c r="J476" s="6"/>
      <c r="K476" s="6">
        <f>IFERROR(VLOOKUP(C476,O.B.JUNE!$AA$7:$AG$448,7,0),0)</f>
        <v>0</v>
      </c>
      <c r="L476" s="6">
        <f>SUMIF('JUNE (물량흐름)'!$C$13:$C$502,'Direct labour(직접노무비)'!C476,'JUNE (물량흐름)'!$H$13:$H$502)+SUMIF('JUNE (물량흐름)'!$C$13:$C$502,'Direct labour(직접노무비)'!C476,'JUNE (물량흐름)'!$I$13:$I$502)</f>
        <v>3534</v>
      </c>
      <c r="M476" s="6">
        <f t="shared" si="88"/>
        <v>707</v>
      </c>
      <c r="N476" s="6">
        <f t="shared" si="89"/>
        <v>55307726</v>
      </c>
      <c r="O476" s="6">
        <f t="shared" si="94"/>
        <v>17105225</v>
      </c>
      <c r="P476" s="6">
        <f>SUMIF('JUNE (물량흐름)'!$C$13:$C$502,C476,'JUNE (물량흐름)'!$T$13:$T$502)+SUMIF('JUNE (물량흐름)'!$C$13:$C$502,C476,'JUNE (물량흐름)'!$V$13:$V$502)+SUMIF('JUNE (물량흐름)'!$C$13:$C$502,C476,'JUNE (물량흐름)'!$U$13:$U$502)-SUMIF('JUNE (물량흐름)'!$C$13:$C$502,C476,'JUNE (물량흐름)'!$Y$13:$Y$502)</f>
        <v>0</v>
      </c>
      <c r="Q476" s="6">
        <f t="shared" si="97"/>
        <v>0</v>
      </c>
      <c r="R476" s="6">
        <f>ROUND(IF(ISERROR(VLOOKUP(#REF!,'WIP(재공품)'!$B$12:$AB$38,13,0)),0,VLOOKUP(#REF!,'WIP(재공품)'!$B$12:$AB$38,13,0)),0)</f>
        <v>0</v>
      </c>
      <c r="S476" s="6">
        <f>IF(ISERROR(VLOOKUP(#REF!,'WIP(재공품)'!$B$12:$AB$38,10,0)),0,VLOOKUP(#REF!,'WIP(재공품)'!$B$12:$AB$38,10,0))</f>
        <v>0</v>
      </c>
      <c r="T476" s="6">
        <f>SUMIF('JUNE (물량흐름)'!$C$13:$C$502,'Direct labour(직접노무비)'!C476,'JUNE (물량흐름)'!$Y$13:$Y$502)</f>
        <v>0</v>
      </c>
      <c r="U476" s="6">
        <f t="shared" si="95"/>
        <v>0</v>
      </c>
      <c r="V476" s="6">
        <f>ROUND(SUMIF('JUNE (물량흐름)'!$C$13:$C$502,'Direct labour(직접노무비)'!C476,'JUNE (물량흐름)'!$N$13:$N$502),0)</f>
        <v>3534</v>
      </c>
      <c r="W476" s="6">
        <f>ROUND(SUMIF('JUNE (물량흐름)'!$C$13:$C$502,'Direct labour(직접노무비)'!C476,'JUNE (물량흐름)'!$O$13:$O$502),0)</f>
        <v>0</v>
      </c>
      <c r="X476" s="6">
        <f>ROUND(SUMIF('JUNE (물량흐름)'!$C$13:$C$502,'Direct labour(직접노무비)'!C476,'JUNE (물량흐름)'!$P$13:$P$502),0)</f>
        <v>0</v>
      </c>
      <c r="Y476" s="6">
        <f t="shared" si="90"/>
        <v>3534</v>
      </c>
      <c r="Z476" s="6">
        <f t="shared" si="91"/>
        <v>707</v>
      </c>
      <c r="AA476" s="6">
        <f t="shared" si="98"/>
        <v>17105225</v>
      </c>
      <c r="AB476" s="389">
        <f t="shared" si="92"/>
        <v>0</v>
      </c>
      <c r="AC476" s="503">
        <f t="shared" si="96"/>
        <v>0</v>
      </c>
      <c r="AD476" s="389">
        <f t="shared" si="93"/>
        <v>0</v>
      </c>
    </row>
    <row r="477" spans="1:30" s="390" customFormat="1">
      <c r="A477" s="167">
        <v>488</v>
      </c>
      <c r="B477" s="267" t="str">
        <f>VLOOKUP(A477,'JUNE (물량흐름)'!$A$13:$C$502,2,0)</f>
        <v>ANN TAYLOR</v>
      </c>
      <c r="C477" s="240">
        <f>VLOOKUP(A477,'JUNE (물량흐름)'!$A$13:$C$502,3,0)</f>
        <v>477891</v>
      </c>
      <c r="D477" s="6">
        <f>VLOOKUP(C477,'WIP(재공품)'!$B$12:$E$493,4,0)</f>
        <v>71426.25</v>
      </c>
      <c r="E477" s="6">
        <f>IFERROR(VLOOKUP(C477,O.B.JUNE!$AA$7:$AG$448,2,0),0)</f>
        <v>0</v>
      </c>
      <c r="F477" s="6">
        <f>IFERROR(VLOOKUP(C477,O.B.JUNE!$AA$7:$AG$448,3,0),0)</f>
        <v>0</v>
      </c>
      <c r="G477" s="6">
        <f>IFERROR(VLOOKUP(C477,O.B.JUNE!$AA$7:$AD$448,4,0),0)</f>
        <v>0</v>
      </c>
      <c r="H477" s="6">
        <f t="shared" si="87"/>
        <v>0</v>
      </c>
      <c r="I477" s="6">
        <f>IFERROR(VLOOKUP(C477,O.B.JUNE!$AA$7:$AF$448,6,0),0)</f>
        <v>0</v>
      </c>
      <c r="J477" s="6"/>
      <c r="K477" s="6">
        <f>IFERROR(VLOOKUP(C477,O.B.JUNE!$AA$7:$AG$448,7,0),0)</f>
        <v>0</v>
      </c>
      <c r="L477" s="6">
        <f>SUMIF('JUNE (물량흐름)'!$C$13:$C$502,'Direct labour(직접노무비)'!C477,'JUNE (물량흐름)'!$H$13:$H$502)+SUMIF('JUNE (물량흐름)'!$C$13:$C$502,'Direct labour(직접노무비)'!C477,'JUNE (물량흐름)'!$I$13:$I$502)</f>
        <v>502</v>
      </c>
      <c r="M477" s="6">
        <f t="shared" si="88"/>
        <v>137</v>
      </c>
      <c r="N477" s="6">
        <f t="shared" si="89"/>
        <v>9785396</v>
      </c>
      <c r="O477" s="6">
        <f t="shared" si="94"/>
        <v>3026366</v>
      </c>
      <c r="P477" s="6">
        <f>SUMIF('JUNE (물량흐름)'!$C$13:$C$502,C477,'JUNE (물량흐름)'!$T$13:$T$502)+SUMIF('JUNE (물량흐름)'!$C$13:$C$502,C477,'JUNE (물량흐름)'!$V$13:$V$502)+SUMIF('JUNE (물량흐름)'!$C$13:$C$502,C477,'JUNE (물량흐름)'!$U$13:$U$502)-SUMIF('JUNE (물량흐름)'!$C$13:$C$502,C477,'JUNE (물량흐름)'!$Y$13:$Y$502)</f>
        <v>0</v>
      </c>
      <c r="Q477" s="6">
        <f t="shared" si="97"/>
        <v>0</v>
      </c>
      <c r="R477" s="6">
        <f>ROUND(IF(ISERROR(VLOOKUP(#REF!,'WIP(재공품)'!$B$12:$AB$38,13,0)),0,VLOOKUP(#REF!,'WIP(재공품)'!$B$12:$AB$38,13,0)),0)</f>
        <v>0</v>
      </c>
      <c r="S477" s="6">
        <f>IF(ISERROR(VLOOKUP(#REF!,'WIP(재공품)'!$B$12:$AB$38,10,0)),0,VLOOKUP(#REF!,'WIP(재공품)'!$B$12:$AB$38,10,0))</f>
        <v>0</v>
      </c>
      <c r="T477" s="6">
        <f>SUMIF('JUNE (물량흐름)'!$C$13:$C$502,'Direct labour(직접노무비)'!C477,'JUNE (물량흐름)'!$Y$13:$Y$502)</f>
        <v>0</v>
      </c>
      <c r="U477" s="6">
        <f t="shared" si="95"/>
        <v>0</v>
      </c>
      <c r="V477" s="6">
        <f>ROUND(SUMIF('JUNE (물량흐름)'!$C$13:$C$502,'Direct labour(직접노무비)'!C477,'JUNE (물량흐름)'!$N$13:$N$502),0)</f>
        <v>379</v>
      </c>
      <c r="W477" s="6">
        <f>ROUND(SUMIF('JUNE (물량흐름)'!$C$13:$C$502,'Direct labour(직접노무비)'!C477,'JUNE (물량흐름)'!$O$13:$O$502),0)</f>
        <v>123</v>
      </c>
      <c r="X477" s="6">
        <f>ROUND(SUMIF('JUNE (물량흐름)'!$C$13:$C$502,'Direct labour(직접노무비)'!C477,'JUNE (물량흐름)'!$P$13:$P$502),0)</f>
        <v>0</v>
      </c>
      <c r="Y477" s="6">
        <f t="shared" si="90"/>
        <v>502</v>
      </c>
      <c r="Z477" s="6">
        <f t="shared" si="91"/>
        <v>137</v>
      </c>
      <c r="AA477" s="6">
        <f t="shared" si="98"/>
        <v>3026366</v>
      </c>
      <c r="AB477" s="389">
        <f t="shared" si="92"/>
        <v>0</v>
      </c>
      <c r="AC477" s="503">
        <f t="shared" si="96"/>
        <v>0</v>
      </c>
      <c r="AD477" s="389">
        <f t="shared" si="93"/>
        <v>0</v>
      </c>
    </row>
    <row r="478" spans="1:30" s="390" customFormat="1">
      <c r="A478" s="167">
        <v>489</v>
      </c>
      <c r="B478" s="267" t="str">
        <f>VLOOKUP(A478,'JUNE (물량흐름)'!$A$13:$C$502,2,0)</f>
        <v>ALFANI</v>
      </c>
      <c r="C478" s="240" t="str">
        <f>VLOOKUP(A478,'JUNE (물량흐름)'!$A$13:$C$502,3,0)</f>
        <v>6X717</v>
      </c>
      <c r="D478" s="6">
        <f>VLOOKUP(C478,'WIP(재공품)'!$B$12:$E$493,4,0)</f>
        <v>40815</v>
      </c>
      <c r="E478" s="6">
        <f>IFERROR(VLOOKUP(C478,O.B.JUNE!$AA$7:$AG$448,2,0),0)</f>
        <v>0</v>
      </c>
      <c r="F478" s="6">
        <f>IFERROR(VLOOKUP(C478,O.B.JUNE!$AA$7:$AG$448,3,0),0)</f>
        <v>0</v>
      </c>
      <c r="G478" s="6">
        <f>IFERROR(VLOOKUP(C478,O.B.JUNE!$AA$7:$AD$448,4,0),0)</f>
        <v>0</v>
      </c>
      <c r="H478" s="6">
        <f t="shared" si="87"/>
        <v>0</v>
      </c>
      <c r="I478" s="6">
        <f>IFERROR(VLOOKUP(C478,O.B.JUNE!$AA$7:$AF$448,6,0),0)</f>
        <v>0</v>
      </c>
      <c r="J478" s="6"/>
      <c r="K478" s="6">
        <f>IFERROR(VLOOKUP(C478,O.B.JUNE!$AA$7:$AG$448,7,0),0)</f>
        <v>0</v>
      </c>
      <c r="L478" s="6">
        <f>SUMIF('JUNE (물량흐름)'!$C$13:$C$502,'Direct labour(직접노무비)'!C478,'JUNE (물량흐름)'!$H$13:$H$502)+SUMIF('JUNE (물량흐름)'!$C$13:$C$502,'Direct labour(직접노무비)'!C478,'JUNE (물량흐름)'!$I$13:$I$502)</f>
        <v>7198</v>
      </c>
      <c r="M478" s="6">
        <f t="shared" si="88"/>
        <v>7041</v>
      </c>
      <c r="N478" s="6">
        <f t="shared" si="89"/>
        <v>287378415</v>
      </c>
      <c r="O478" s="6">
        <f t="shared" si="94"/>
        <v>88878587</v>
      </c>
      <c r="P478" s="6">
        <f>SUMIF('JUNE (물량흐름)'!$C$13:$C$502,C478,'JUNE (물량흐름)'!$T$13:$T$502)+SUMIF('JUNE (물량흐름)'!$C$13:$C$502,C478,'JUNE (물량흐름)'!$V$13:$V$502)+SUMIF('JUNE (물량흐름)'!$C$13:$C$502,C478,'JUNE (물량흐름)'!$U$13:$U$502)-SUMIF('JUNE (물량흐름)'!$C$13:$C$502,C478,'JUNE (물량흐름)'!$Y$13:$Y$502)</f>
        <v>6817</v>
      </c>
      <c r="Q478" s="6">
        <f t="shared" si="97"/>
        <v>84174122</v>
      </c>
      <c r="R478" s="6">
        <f>ROUND(IF(ISERROR(VLOOKUP(#REF!,'WIP(재공품)'!$B$12:$AB$38,13,0)),0,VLOOKUP(#REF!,'WIP(재공품)'!$B$12:$AB$38,13,0)),0)</f>
        <v>0</v>
      </c>
      <c r="S478" s="6">
        <f>IF(ISERROR(VLOOKUP(#REF!,'WIP(재공품)'!$B$12:$AB$38,10,0)),0,VLOOKUP(#REF!,'WIP(재공품)'!$B$12:$AB$38,10,0))</f>
        <v>0</v>
      </c>
      <c r="T478" s="6">
        <f>SUMIF('JUNE (물량흐름)'!$C$13:$C$502,'Direct labour(직접노무비)'!C478,'JUNE (물량흐름)'!$Y$13:$Y$502)</f>
        <v>0</v>
      </c>
      <c r="U478" s="6">
        <f t="shared" si="95"/>
        <v>0</v>
      </c>
      <c r="V478" s="6">
        <f>ROUND(SUMIF('JUNE (물량흐름)'!$C$13:$C$502,'Direct labour(직접노무비)'!C478,'JUNE (물량흐름)'!$N$13:$N$502),0)</f>
        <v>55</v>
      </c>
      <c r="W478" s="6">
        <f>ROUND(SUMIF('JUNE (물량흐름)'!$C$13:$C$502,'Direct labour(직접노무비)'!C478,'JUNE (물량흐름)'!$O$13:$O$502),0)</f>
        <v>160</v>
      </c>
      <c r="X478" s="6">
        <f>ROUND(SUMIF('JUNE (물량흐름)'!$C$13:$C$502,'Direct labour(직접노무비)'!C478,'JUNE (물량흐름)'!$P$13:$P$502),0)</f>
        <v>166</v>
      </c>
      <c r="Y478" s="6">
        <f t="shared" si="90"/>
        <v>381</v>
      </c>
      <c r="Z478" s="6">
        <f t="shared" si="91"/>
        <v>224</v>
      </c>
      <c r="AA478" s="6">
        <f t="shared" si="98"/>
        <v>4704465</v>
      </c>
      <c r="AB478" s="389">
        <f t="shared" si="92"/>
        <v>0</v>
      </c>
      <c r="AC478" s="503">
        <f t="shared" si="96"/>
        <v>0</v>
      </c>
      <c r="AD478" s="389">
        <f t="shared" si="93"/>
        <v>0</v>
      </c>
    </row>
    <row r="479" spans="1:30" s="390" customFormat="1">
      <c r="A479" s="167">
        <v>490</v>
      </c>
      <c r="B479" s="267" t="str">
        <f>VLOOKUP(A479,'JUNE (물량흐름)'!$A$13:$C$502,2,0)</f>
        <v>ALFANI</v>
      </c>
      <c r="C479" s="240" t="str">
        <f>VLOOKUP(A479,'JUNE (물량흐름)'!$A$13:$C$502,3,0)</f>
        <v>7X721</v>
      </c>
      <c r="D479" s="6">
        <f>VLOOKUP(C479,'WIP(재공품)'!$B$12:$E$493,4,0)</f>
        <v>49885.000000000007</v>
      </c>
      <c r="E479" s="6">
        <f>IFERROR(VLOOKUP(C479,O.B.JUNE!$AA$7:$AG$448,2,0),0)</f>
        <v>0</v>
      </c>
      <c r="F479" s="6">
        <f>IFERROR(VLOOKUP(C479,O.B.JUNE!$AA$7:$AG$448,3,0),0)</f>
        <v>0</v>
      </c>
      <c r="G479" s="6">
        <f>IFERROR(VLOOKUP(C479,O.B.JUNE!$AA$7:$AD$448,4,0),0)</f>
        <v>0</v>
      </c>
      <c r="H479" s="6">
        <f t="shared" si="87"/>
        <v>0</v>
      </c>
      <c r="I479" s="6">
        <f>IFERROR(VLOOKUP(C479,O.B.JUNE!$AA$7:$AF$448,6,0),0)</f>
        <v>0</v>
      </c>
      <c r="J479" s="6"/>
      <c r="K479" s="6">
        <f>IFERROR(VLOOKUP(C479,O.B.JUNE!$AA$7:$AG$448,7,0),0)</f>
        <v>0</v>
      </c>
      <c r="L479" s="6">
        <f>SUMIF('JUNE (물량흐름)'!$C$13:$C$502,'Direct labour(직접노무비)'!C479,'JUNE (물량흐름)'!$H$13:$H$502)+SUMIF('JUNE (물량흐름)'!$C$13:$C$502,'Direct labour(직접노무비)'!C479,'JUNE (물량흐름)'!$I$13:$I$502)</f>
        <v>1576</v>
      </c>
      <c r="M479" s="6">
        <f t="shared" si="88"/>
        <v>1527</v>
      </c>
      <c r="N479" s="6">
        <f t="shared" si="89"/>
        <v>76174395</v>
      </c>
      <c r="O479" s="6">
        <f t="shared" si="94"/>
        <v>23558737</v>
      </c>
      <c r="P479" s="6">
        <f>SUMIF('JUNE (물량흐름)'!$C$13:$C$502,C479,'JUNE (물량흐름)'!$T$13:$T$502)+SUMIF('JUNE (물량흐름)'!$C$13:$C$502,C479,'JUNE (물량흐름)'!$V$13:$V$502)+SUMIF('JUNE (물량흐름)'!$C$13:$C$502,C479,'JUNE (물량흐름)'!$U$13:$U$502)-SUMIF('JUNE (물량흐름)'!$C$13:$C$502,C479,'JUNE (물량흐름)'!$Y$13:$Y$502)</f>
        <v>1331</v>
      </c>
      <c r="Q479" s="6">
        <f t="shared" si="97"/>
        <v>19896370</v>
      </c>
      <c r="R479" s="6">
        <f>ROUND(IF(ISERROR(VLOOKUP(#REF!,'WIP(재공품)'!$B$12:$AB$38,13,0)),0,VLOOKUP(#REF!,'WIP(재공품)'!$B$12:$AB$38,13,0)),0)</f>
        <v>0</v>
      </c>
      <c r="S479" s="6">
        <f>IF(ISERROR(VLOOKUP(#REF!,'WIP(재공품)'!$B$12:$AB$38,10,0)),0,VLOOKUP(#REF!,'WIP(재공품)'!$B$12:$AB$38,10,0))</f>
        <v>0</v>
      </c>
      <c r="T479" s="6">
        <f>SUMIF('JUNE (물량흐름)'!$C$13:$C$502,'Direct labour(직접노무비)'!C479,'JUNE (물량흐름)'!$Y$13:$Y$502)</f>
        <v>0</v>
      </c>
      <c r="U479" s="6">
        <f t="shared" si="95"/>
        <v>0</v>
      </c>
      <c r="V479" s="6">
        <f>ROUND(SUMIF('JUNE (물량흐름)'!$C$13:$C$502,'Direct labour(직접노무비)'!C479,'JUNE (물량흐름)'!$N$13:$N$502),0)</f>
        <v>0</v>
      </c>
      <c r="W479" s="6">
        <f>ROUND(SUMIF('JUNE (물량흐름)'!$C$13:$C$502,'Direct labour(직접노무비)'!C479,'JUNE (물량흐름)'!$O$13:$O$502),0)</f>
        <v>0</v>
      </c>
      <c r="X479" s="6">
        <f>ROUND(SUMIF('JUNE (물량흐름)'!$C$13:$C$502,'Direct labour(직접노무비)'!C479,'JUNE (물량흐름)'!$P$13:$P$502),0)</f>
        <v>245</v>
      </c>
      <c r="Y479" s="6">
        <f t="shared" si="90"/>
        <v>245</v>
      </c>
      <c r="Z479" s="6">
        <f t="shared" si="91"/>
        <v>196</v>
      </c>
      <c r="AA479" s="6">
        <f t="shared" si="98"/>
        <v>3662367</v>
      </c>
      <c r="AB479" s="389">
        <f t="shared" si="92"/>
        <v>0</v>
      </c>
      <c r="AC479" s="503">
        <f t="shared" si="96"/>
        <v>0</v>
      </c>
      <c r="AD479" s="389">
        <f t="shared" si="93"/>
        <v>0</v>
      </c>
    </row>
    <row r="480" spans="1:30" s="390" customFormat="1">
      <c r="A480" s="167">
        <v>491</v>
      </c>
      <c r="B480" s="267" t="str">
        <f>VLOOKUP(A480,'JUNE (물량흐름)'!$A$13:$C$502,2,0)</f>
        <v>BAR III</v>
      </c>
      <c r="C480" s="240">
        <f>VLOOKUP(A480,'JUNE (물량흐름)'!$A$13:$C$502,3,0)</f>
        <v>100035724</v>
      </c>
      <c r="D480" s="6">
        <f>VLOOKUP(C480,'WIP(재공품)'!$B$12:$E$493,4,0)</f>
        <v>72560</v>
      </c>
      <c r="E480" s="6">
        <f>IFERROR(VLOOKUP(C480,O.B.JUNE!$AA$7:$AG$448,2,0),0)</f>
        <v>0</v>
      </c>
      <c r="F480" s="6">
        <f>IFERROR(VLOOKUP(C480,O.B.JUNE!$AA$7:$AG$448,3,0),0)</f>
        <v>0</v>
      </c>
      <c r="G480" s="6">
        <f>IFERROR(VLOOKUP(C480,O.B.JUNE!$AA$7:$AD$448,4,0),0)</f>
        <v>0</v>
      </c>
      <c r="H480" s="6">
        <f t="shared" si="87"/>
        <v>0</v>
      </c>
      <c r="I480" s="6">
        <f>IFERROR(VLOOKUP(C480,O.B.JUNE!$AA$7:$AF$448,6,0),0)</f>
        <v>0</v>
      </c>
      <c r="J480" s="6"/>
      <c r="K480" s="6">
        <f>IFERROR(VLOOKUP(C480,O.B.JUNE!$AA$7:$AG$448,7,0),0)</f>
        <v>0</v>
      </c>
      <c r="L480" s="6">
        <f>SUMIF('JUNE (물량흐름)'!$C$13:$C$502,'Direct labour(직접노무비)'!C480,'JUNE (물량흐름)'!$H$13:$H$502)+SUMIF('JUNE (물량흐름)'!$C$13:$C$502,'Direct labour(직접노무비)'!C480,'JUNE (물량흐름)'!$I$13:$I$502)</f>
        <v>1992</v>
      </c>
      <c r="M480" s="6">
        <f t="shared" si="88"/>
        <v>1265</v>
      </c>
      <c r="N480" s="6">
        <f t="shared" si="89"/>
        <v>91788400</v>
      </c>
      <c r="O480" s="6">
        <f t="shared" si="94"/>
        <v>28387738</v>
      </c>
      <c r="P480" s="6">
        <f>SUMIF('JUNE (물량흐름)'!$C$13:$C$502,C480,'JUNE (물량흐름)'!$T$13:$T$502)+SUMIF('JUNE (물량흐름)'!$C$13:$C$502,C480,'JUNE (물량흐름)'!$V$13:$V$502)+SUMIF('JUNE (물량흐름)'!$C$13:$C$502,C480,'JUNE (물량흐름)'!$U$13:$U$502)-SUMIF('JUNE (물량흐름)'!$C$13:$C$502,C480,'JUNE (물량흐름)'!$Y$13:$Y$502)</f>
        <v>0</v>
      </c>
      <c r="Q480" s="6">
        <f t="shared" si="97"/>
        <v>0</v>
      </c>
      <c r="R480" s="6">
        <f>ROUND(IF(ISERROR(VLOOKUP(#REF!,'WIP(재공품)'!$B$12:$AB$38,13,0)),0,VLOOKUP(#REF!,'WIP(재공품)'!$B$12:$AB$38,13,0)),0)</f>
        <v>0</v>
      </c>
      <c r="S480" s="6">
        <f>IF(ISERROR(VLOOKUP(#REF!,'WIP(재공품)'!$B$12:$AB$38,10,0)),0,VLOOKUP(#REF!,'WIP(재공품)'!$B$12:$AB$38,10,0))</f>
        <v>0</v>
      </c>
      <c r="T480" s="6">
        <f>SUMIF('JUNE (물량흐름)'!$C$13:$C$502,'Direct labour(직접노무비)'!C480,'JUNE (물량흐름)'!$Y$13:$Y$502)</f>
        <v>0</v>
      </c>
      <c r="U480" s="6">
        <f t="shared" si="95"/>
        <v>0</v>
      </c>
      <c r="V480" s="6">
        <f>ROUND(SUMIF('JUNE (물량흐름)'!$C$13:$C$502,'Direct labour(직접노무비)'!C480,'JUNE (물량흐름)'!$N$13:$N$502),0)</f>
        <v>504</v>
      </c>
      <c r="W480" s="6">
        <f>ROUND(SUMIF('JUNE (물량흐름)'!$C$13:$C$502,'Direct labour(직접노무비)'!C480,'JUNE (물량흐름)'!$O$13:$O$502),0)</f>
        <v>88</v>
      </c>
      <c r="X480" s="6">
        <f>ROUND(SUMIF('JUNE (물량흐름)'!$C$13:$C$502,'Direct labour(직접노무비)'!C480,'JUNE (물량흐름)'!$P$13:$P$502),0)</f>
        <v>1400</v>
      </c>
      <c r="Y480" s="6">
        <f t="shared" si="90"/>
        <v>1992</v>
      </c>
      <c r="Z480" s="6">
        <f t="shared" si="91"/>
        <v>1265</v>
      </c>
      <c r="AA480" s="6">
        <f t="shared" si="98"/>
        <v>28387738</v>
      </c>
      <c r="AB480" s="389">
        <f t="shared" si="92"/>
        <v>0</v>
      </c>
      <c r="AC480" s="503">
        <f t="shared" si="96"/>
        <v>0</v>
      </c>
      <c r="AD480" s="389">
        <f t="shared" si="93"/>
        <v>0</v>
      </c>
    </row>
    <row r="481" spans="1:30" s="390" customFormat="1">
      <c r="A481" s="167">
        <v>492</v>
      </c>
      <c r="B481" s="267" t="str">
        <f>VLOOKUP(A481,'JUNE (물량흐름)'!$A$13:$C$502,2,0)</f>
        <v>EILEEN FISHER</v>
      </c>
      <c r="C481" s="240" t="str">
        <f>VLOOKUP(A481,'JUNE (물량흐름)'!$A$13:$C$502,3,0)</f>
        <v>F8SOQ-T4368</v>
      </c>
      <c r="D481" s="6">
        <f>VLOOKUP(C481,'WIP(재공품)'!$B$12:$E$493,4,0)</f>
        <v>58501.5</v>
      </c>
      <c r="E481" s="6">
        <f>IFERROR(VLOOKUP(C481,O.B.JUNE!$AA$7:$AG$448,2,0),0)</f>
        <v>0</v>
      </c>
      <c r="F481" s="6">
        <f>IFERROR(VLOOKUP(C481,O.B.JUNE!$AA$7:$AG$448,3,0),0)</f>
        <v>0</v>
      </c>
      <c r="G481" s="6">
        <f>IFERROR(VLOOKUP(C481,O.B.JUNE!$AA$7:$AD$448,4,0),0)</f>
        <v>0</v>
      </c>
      <c r="H481" s="6">
        <f t="shared" si="87"/>
        <v>0</v>
      </c>
      <c r="I481" s="6">
        <f>IFERROR(VLOOKUP(C481,O.B.JUNE!$AA$7:$AF$448,6,0),0)</f>
        <v>0</v>
      </c>
      <c r="J481" s="6"/>
      <c r="K481" s="6">
        <f>IFERROR(VLOOKUP(C481,O.B.JUNE!$AA$7:$AG$448,7,0),0)</f>
        <v>0</v>
      </c>
      <c r="L481" s="6">
        <f>SUMIF('JUNE (물량흐름)'!$C$13:$C$502,'Direct labour(직접노무비)'!C481,'JUNE (물량흐름)'!$H$13:$H$502)+SUMIF('JUNE (물량흐름)'!$C$13:$C$502,'Direct labour(직접노무비)'!C481,'JUNE (물량흐름)'!$I$13:$I$502)</f>
        <v>6598</v>
      </c>
      <c r="M481" s="6">
        <f t="shared" si="88"/>
        <v>6524</v>
      </c>
      <c r="N481" s="6">
        <f t="shared" si="89"/>
        <v>381663786</v>
      </c>
      <c r="O481" s="6">
        <f t="shared" si="94"/>
        <v>118038573</v>
      </c>
      <c r="P481" s="6">
        <f>SUMIF('JUNE (물량흐름)'!$C$13:$C$502,C481,'JUNE (물량흐름)'!$T$13:$T$502)+SUMIF('JUNE (물량흐름)'!$C$13:$C$502,C481,'JUNE (물량흐름)'!$V$13:$V$502)+SUMIF('JUNE (물량흐름)'!$C$13:$C$502,C481,'JUNE (물량흐름)'!$U$13:$U$502)-SUMIF('JUNE (물량흐름)'!$C$13:$C$502,C481,'JUNE (물량흐름)'!$Y$13:$Y$502)</f>
        <v>6317</v>
      </c>
      <c r="Q481" s="6">
        <f t="shared" si="97"/>
        <v>113011468</v>
      </c>
      <c r="R481" s="6">
        <f>ROUND(IF(ISERROR(VLOOKUP(#REF!,'WIP(재공품)'!$B$12:$AB$38,13,0)),0,VLOOKUP(#REF!,'WIP(재공품)'!$B$12:$AB$38,13,0)),0)</f>
        <v>0</v>
      </c>
      <c r="S481" s="6">
        <f>IF(ISERROR(VLOOKUP(#REF!,'WIP(재공품)'!$B$12:$AB$38,10,0)),0,VLOOKUP(#REF!,'WIP(재공품)'!$B$12:$AB$38,10,0))</f>
        <v>0</v>
      </c>
      <c r="T481" s="6">
        <f>SUMIF('JUNE (물량흐름)'!$C$13:$C$502,'Direct labour(직접노무비)'!C481,'JUNE (물량흐름)'!$Y$13:$Y$502)</f>
        <v>1</v>
      </c>
      <c r="U481" s="6">
        <f t="shared" si="95"/>
        <v>17890</v>
      </c>
      <c r="V481" s="6">
        <f>ROUND(SUMIF('JUNE (물량흐름)'!$C$13:$C$502,'Direct labour(직접노무비)'!C481,'JUNE (물량흐름)'!$N$13:$N$502),0)</f>
        <v>0</v>
      </c>
      <c r="W481" s="6">
        <f>ROUND(SUMIF('JUNE (물량흐름)'!$C$13:$C$502,'Direct labour(직접노무비)'!C481,'JUNE (물량흐름)'!$O$13:$O$502),0)</f>
        <v>61</v>
      </c>
      <c r="X481" s="6">
        <f>ROUND(SUMIF('JUNE (물량흐름)'!$C$13:$C$502,'Direct labour(직접노무비)'!C481,'JUNE (물량흐름)'!$P$13:$P$502),0)</f>
        <v>219</v>
      </c>
      <c r="Y481" s="6">
        <f t="shared" si="90"/>
        <v>280</v>
      </c>
      <c r="Z481" s="6">
        <f t="shared" si="91"/>
        <v>206</v>
      </c>
      <c r="AA481" s="6">
        <f t="shared" si="98"/>
        <v>5009215</v>
      </c>
      <c r="AB481" s="389">
        <f>K481+O481-Q481-U481-AA481</f>
        <v>0</v>
      </c>
      <c r="AC481" s="503">
        <f t="shared" si="96"/>
        <v>0</v>
      </c>
      <c r="AD481" s="389">
        <f t="shared" si="93"/>
        <v>0</v>
      </c>
    </row>
    <row r="482" spans="1:30" s="390" customFormat="1">
      <c r="A482" s="167">
        <v>493</v>
      </c>
      <c r="B482" s="267" t="str">
        <f>VLOOKUP(A482,'JUNE (물량흐름)'!$A$13:$C$502,2,0)</f>
        <v>EILEEN FISHER</v>
      </c>
      <c r="C482" s="240" t="str">
        <f>VLOOKUP(A482,'JUNE (물량흐름)'!$A$13:$C$502,3,0)</f>
        <v>EESOQ-T4607</v>
      </c>
      <c r="D482" s="6">
        <f>VLOOKUP(C482,'WIP(재공품)'!$B$12:$E$493,4,0)</f>
        <v>146027</v>
      </c>
      <c r="E482" s="6">
        <f>IFERROR(VLOOKUP(C482,O.B.JUNE!$AA$7:$AG$448,2,0),0)</f>
        <v>0</v>
      </c>
      <c r="F482" s="6">
        <f>IFERROR(VLOOKUP(C482,O.B.JUNE!$AA$7:$AG$448,3,0),0)</f>
        <v>0</v>
      </c>
      <c r="G482" s="6">
        <f>IFERROR(VLOOKUP(C482,O.B.JUNE!$AA$7:$AD$448,4,0),0)</f>
        <v>0</v>
      </c>
      <c r="H482" s="6">
        <f t="shared" si="87"/>
        <v>0</v>
      </c>
      <c r="I482" s="6">
        <f>IFERROR(VLOOKUP(C482,O.B.JUNE!$AA$7:$AF$448,6,0),0)</f>
        <v>0</v>
      </c>
      <c r="J482" s="6"/>
      <c r="K482" s="6">
        <f>IFERROR(VLOOKUP(C482,O.B.JUNE!$AA$7:$AG$448,7,0),0)</f>
        <v>0</v>
      </c>
      <c r="L482" s="6">
        <f>SUMIF('JUNE (물량흐름)'!$C$13:$C$502,'Direct labour(직접노무비)'!C482,'JUNE (물량흐름)'!$H$13:$H$502)+SUMIF('JUNE (물량흐름)'!$C$13:$C$502,'Direct labour(직접노무비)'!C482,'JUNE (물량흐름)'!$I$13:$I$502)</f>
        <v>1000</v>
      </c>
      <c r="M482" s="6">
        <f t="shared" si="88"/>
        <v>953</v>
      </c>
      <c r="N482" s="6">
        <f t="shared" si="89"/>
        <v>139163731</v>
      </c>
      <c r="O482" s="6">
        <f t="shared" si="94"/>
        <v>43039683</v>
      </c>
      <c r="P482" s="6">
        <f>SUMIF('JUNE (물량흐름)'!$C$13:$C$502,C482,'JUNE (물량흐름)'!$T$13:$T$502)+SUMIF('JUNE (물량흐름)'!$C$13:$C$502,C482,'JUNE (물량흐름)'!$V$13:$V$502)+SUMIF('JUNE (물량흐름)'!$C$13:$C$502,C482,'JUNE (물량흐름)'!$U$13:$U$502)-SUMIF('JUNE (물량흐름)'!$C$13:$C$502,C482,'JUNE (물량흐름)'!$Y$13:$Y$502)</f>
        <v>804</v>
      </c>
      <c r="Q482" s="6">
        <f t="shared" si="97"/>
        <v>34603905</v>
      </c>
      <c r="R482" s="6">
        <f>ROUND(IF(ISERROR(VLOOKUP(#REF!,'WIP(재공품)'!$B$12:$AB$38,13,0)),0,VLOOKUP(#REF!,'WIP(재공품)'!$B$12:$AB$38,13,0)),0)</f>
        <v>0</v>
      </c>
      <c r="S482" s="6">
        <f>IF(ISERROR(VLOOKUP(#REF!,'WIP(재공품)'!$B$12:$AB$38,10,0)),0,VLOOKUP(#REF!,'WIP(재공품)'!$B$12:$AB$38,10,0))</f>
        <v>0</v>
      </c>
      <c r="T482" s="6">
        <f>SUMIF('JUNE (물량흐름)'!$C$13:$C$502,'Direct labour(직접노무비)'!C482,'JUNE (물량흐름)'!$Y$13:$Y$502)</f>
        <v>21</v>
      </c>
      <c r="U482" s="6">
        <f t="shared" si="95"/>
        <v>903833</v>
      </c>
      <c r="V482" s="6">
        <f>ROUND(SUMIF('JUNE (물량흐름)'!$C$13:$C$502,'Direct labour(직접노무비)'!C482,'JUNE (물량흐름)'!$N$13:$N$502),0)</f>
        <v>0</v>
      </c>
      <c r="W482" s="6">
        <f>ROUND(SUMIF('JUNE (물량흐름)'!$C$13:$C$502,'Direct labour(직접노무비)'!C482,'JUNE (물량흐름)'!$O$13:$O$502),0)</f>
        <v>39</v>
      </c>
      <c r="X482" s="6">
        <f>ROUND(SUMIF('JUNE (물량흐름)'!$C$13:$C$502,'Direct labour(직접노무비)'!C482,'JUNE (물량흐름)'!$P$13:$P$502),0)</f>
        <v>136</v>
      </c>
      <c r="Y482" s="6">
        <f t="shared" si="90"/>
        <v>175</v>
      </c>
      <c r="Z482" s="6">
        <f t="shared" si="91"/>
        <v>128</v>
      </c>
      <c r="AA482" s="6">
        <f t="shared" si="98"/>
        <v>7531945</v>
      </c>
      <c r="AB482" s="389">
        <f t="shared" si="92"/>
        <v>0</v>
      </c>
      <c r="AC482" s="503">
        <f t="shared" si="96"/>
        <v>0</v>
      </c>
      <c r="AD482" s="389">
        <f t="shared" si="93"/>
        <v>0</v>
      </c>
    </row>
    <row r="483" spans="1:30" s="390" customFormat="1">
      <c r="A483" s="167">
        <v>494</v>
      </c>
      <c r="B483" s="267" t="str">
        <f>VLOOKUP(A483,'JUNE (물량흐름)'!$A$13:$C$502,2,0)</f>
        <v>J JILL</v>
      </c>
      <c r="C483" s="240" t="str">
        <f>VLOOKUP(A483,'JUNE (물량흐름)'!$A$13:$C$502,3,0)</f>
        <v>KDR132731</v>
      </c>
      <c r="D483" s="6">
        <f>VLOOKUP(C483,'WIP(재공품)'!$B$12:$E$493,4,0)</f>
        <v>79362.5</v>
      </c>
      <c r="E483" s="6">
        <f>IFERROR(VLOOKUP(C483,O.B.JUNE!$AA$7:$AG$448,2,0),0)</f>
        <v>0</v>
      </c>
      <c r="F483" s="6">
        <f>IFERROR(VLOOKUP(C483,O.B.JUNE!$AA$7:$AG$448,3,0),0)</f>
        <v>0</v>
      </c>
      <c r="G483" s="6">
        <f>IFERROR(VLOOKUP(C483,O.B.JUNE!$AA$7:$AD$448,4,0),0)</f>
        <v>0</v>
      </c>
      <c r="H483" s="6">
        <f t="shared" si="87"/>
        <v>0</v>
      </c>
      <c r="I483" s="6">
        <f>IFERROR(VLOOKUP(C483,O.B.JUNE!$AA$7:$AF$448,6,0),0)</f>
        <v>0</v>
      </c>
      <c r="J483" s="6"/>
      <c r="K483" s="6">
        <f>IFERROR(VLOOKUP(C483,O.B.JUNE!$AA$7:$AG$448,7,0),0)</f>
        <v>0</v>
      </c>
      <c r="L483" s="6">
        <f>SUMIF('JUNE (물량흐름)'!$C$13:$C$502,'Direct labour(직접노무비)'!C483,'JUNE (물량흐름)'!$H$13:$H$502)+SUMIF('JUNE (물량흐름)'!$C$13:$C$502,'Direct labour(직접노무비)'!C483,'JUNE (물량흐름)'!$I$13:$I$502)</f>
        <v>5962</v>
      </c>
      <c r="M483" s="6">
        <f t="shared" si="88"/>
        <v>4381</v>
      </c>
      <c r="N483" s="6">
        <f t="shared" si="89"/>
        <v>347687113</v>
      </c>
      <c r="O483" s="6">
        <f t="shared" si="94"/>
        <v>107530481</v>
      </c>
      <c r="P483" s="6">
        <f>SUMIF('JUNE (물량흐름)'!$C$13:$C$502,C483,'JUNE (물량흐름)'!$T$13:$T$502)+SUMIF('JUNE (물량흐름)'!$C$13:$C$502,C483,'JUNE (물량흐름)'!$V$13:$V$502)+SUMIF('JUNE (물량흐름)'!$C$13:$C$502,C483,'JUNE (물량흐름)'!$U$13:$U$502)-SUMIF('JUNE (물량흐름)'!$C$13:$C$502,C483,'JUNE (물량흐름)'!$Y$13:$Y$502)</f>
        <v>2600</v>
      </c>
      <c r="Q483" s="6">
        <f t="shared" si="97"/>
        <v>46893534</v>
      </c>
      <c r="R483" s="6">
        <f>ROUND(IF(ISERROR(VLOOKUP(#REF!,'WIP(재공품)'!$B$12:$AB$38,13,0)),0,VLOOKUP(#REF!,'WIP(재공품)'!$B$12:$AB$38,13,0)),0)</f>
        <v>0</v>
      </c>
      <c r="S483" s="6">
        <f>IF(ISERROR(VLOOKUP(#REF!,'WIP(재공품)'!$B$12:$AB$38,10,0)),0,VLOOKUP(#REF!,'WIP(재공품)'!$B$12:$AB$38,10,0))</f>
        <v>0</v>
      </c>
      <c r="T483" s="6">
        <f>SUMIF('JUNE (물량흐름)'!$C$13:$C$502,'Direct labour(직접노무비)'!C483,'JUNE (물량흐름)'!$Y$13:$Y$502)</f>
        <v>0</v>
      </c>
      <c r="U483" s="6">
        <f t="shared" si="95"/>
        <v>0</v>
      </c>
      <c r="V483" s="6">
        <f>ROUND(SUMIF('JUNE (물량흐름)'!$C$13:$C$502,'Direct labour(직접노무비)'!C483,'JUNE (물량흐름)'!$N$13:$N$502),0)</f>
        <v>1290</v>
      </c>
      <c r="W483" s="6">
        <f>ROUND(SUMIF('JUNE (물량흐름)'!$C$13:$C$502,'Direct labour(직접노무비)'!C483,'JUNE (물량흐름)'!$O$13:$O$502),0)</f>
        <v>448</v>
      </c>
      <c r="X483" s="6">
        <f>ROUND(SUMIF('JUNE (물량흐름)'!$C$13:$C$502,'Direct labour(직접노무비)'!C483,'JUNE (물량흐름)'!$P$13:$P$502),0)</f>
        <v>1624</v>
      </c>
      <c r="Y483" s="6">
        <f t="shared" si="90"/>
        <v>3362</v>
      </c>
      <c r="Z483" s="6">
        <f t="shared" si="91"/>
        <v>1781</v>
      </c>
      <c r="AA483" s="6">
        <f t="shared" si="98"/>
        <v>60636947</v>
      </c>
      <c r="AB483" s="389">
        <f t="shared" si="92"/>
        <v>0</v>
      </c>
      <c r="AC483" s="503">
        <f t="shared" si="96"/>
        <v>0</v>
      </c>
      <c r="AD483" s="389">
        <f t="shared" si="93"/>
        <v>0</v>
      </c>
    </row>
    <row r="484" spans="1:30" s="390" customFormat="1">
      <c r="A484" s="167">
        <v>495</v>
      </c>
      <c r="B484" s="267" t="str">
        <f>VLOOKUP(A484,'JUNE (물량흐름)'!$A$13:$C$502,2,0)</f>
        <v>J JILL</v>
      </c>
      <c r="C484" s="240" t="str">
        <f>VLOOKUP(A484,'JUNE (물량흐름)'!$A$13:$C$502,3,0)</f>
        <v>KJT138251</v>
      </c>
      <c r="D484" s="6">
        <f>VLOOKUP(C484,'WIP(재공품)'!$B$12:$E$493,4,0)</f>
        <v>104304.99999999999</v>
      </c>
      <c r="E484" s="6">
        <f>IFERROR(VLOOKUP(C484,O.B.JUNE!$AA$7:$AG$448,2,0),0)</f>
        <v>0</v>
      </c>
      <c r="F484" s="6">
        <f>IFERROR(VLOOKUP(C484,O.B.JUNE!$AA$7:$AG$448,3,0),0)</f>
        <v>0</v>
      </c>
      <c r="G484" s="6">
        <f>IFERROR(VLOOKUP(C484,O.B.JUNE!$AA$7:$AD$448,4,0),0)</f>
        <v>0</v>
      </c>
      <c r="H484" s="6">
        <f t="shared" si="87"/>
        <v>0</v>
      </c>
      <c r="I484" s="6">
        <f>IFERROR(VLOOKUP(C484,O.B.JUNE!$AA$7:$AF$448,6,0),0)</f>
        <v>0</v>
      </c>
      <c r="J484" s="6"/>
      <c r="K484" s="6">
        <f>IFERROR(VLOOKUP(C484,O.B.JUNE!$AA$7:$AG$448,7,0),0)</f>
        <v>0</v>
      </c>
      <c r="L484" s="6">
        <f>SUMIF('JUNE (물량흐름)'!$C$13:$C$502,'Direct labour(직접노무비)'!C484,'JUNE (물량흐름)'!$H$13:$H$502)+SUMIF('JUNE (물량흐름)'!$C$13:$C$502,'Direct labour(직접노무비)'!C484,'JUNE (물량흐름)'!$I$13:$I$502)</f>
        <v>2676</v>
      </c>
      <c r="M484" s="6">
        <f t="shared" si="88"/>
        <v>1321</v>
      </c>
      <c r="N484" s="6">
        <f t="shared" si="89"/>
        <v>137786905</v>
      </c>
      <c r="O484" s="6">
        <f t="shared" si="94"/>
        <v>42613867</v>
      </c>
      <c r="P484" s="6">
        <f>SUMIF('JUNE (물량흐름)'!$C$13:$C$502,C484,'JUNE (물량흐름)'!$T$13:$T$502)+SUMIF('JUNE (물량흐름)'!$C$13:$C$502,C484,'JUNE (물량흐름)'!$V$13:$V$502)+SUMIF('JUNE (물량흐름)'!$C$13:$C$502,C484,'JUNE (물량흐름)'!$U$13:$U$502)-SUMIF('JUNE (물량흐름)'!$C$13:$C$502,C484,'JUNE (물량흐름)'!$Y$13:$Y$502)</f>
        <v>0</v>
      </c>
      <c r="Q484" s="6">
        <f t="shared" si="97"/>
        <v>0</v>
      </c>
      <c r="R484" s="6">
        <f>ROUND(IF(ISERROR(VLOOKUP(#REF!,'WIP(재공품)'!$B$12:$AB$38,13,0)),0,VLOOKUP(#REF!,'WIP(재공품)'!$B$12:$AB$38,13,0)),0)</f>
        <v>0</v>
      </c>
      <c r="S484" s="6">
        <f>IF(ISERROR(VLOOKUP(#REF!,'WIP(재공품)'!$B$12:$AB$38,10,0)),0,VLOOKUP(#REF!,'WIP(재공품)'!$B$12:$AB$38,10,0))</f>
        <v>0</v>
      </c>
      <c r="T484" s="6">
        <f>SUMIF('JUNE (물량흐름)'!$C$13:$C$502,'Direct labour(직접노무비)'!C484,'JUNE (물량흐름)'!$Y$13:$Y$502)</f>
        <v>0</v>
      </c>
      <c r="U484" s="6">
        <f t="shared" si="95"/>
        <v>0</v>
      </c>
      <c r="V484" s="6">
        <f>ROUND(SUMIF('JUNE (물량흐름)'!$C$13:$C$502,'Direct labour(직접노무비)'!C484,'JUNE (물량흐름)'!$N$13:$N$502),0)</f>
        <v>332</v>
      </c>
      <c r="W484" s="6">
        <f>ROUND(SUMIF('JUNE (물량흐름)'!$C$13:$C$502,'Direct labour(직접노무비)'!C484,'JUNE (물량흐름)'!$O$13:$O$502),0)</f>
        <v>2068</v>
      </c>
      <c r="X484" s="6">
        <f>ROUND(SUMIF('JUNE (물량흐름)'!$C$13:$C$502,'Direct labour(직접노무비)'!C484,'JUNE (물량흐름)'!$P$13:$P$502),0)</f>
        <v>276</v>
      </c>
      <c r="Y484" s="6">
        <f t="shared" si="90"/>
        <v>2676</v>
      </c>
      <c r="Z484" s="6">
        <f t="shared" si="91"/>
        <v>1321</v>
      </c>
      <c r="AA484" s="6">
        <f t="shared" si="98"/>
        <v>42613867</v>
      </c>
      <c r="AB484" s="389">
        <f t="shared" si="92"/>
        <v>0</v>
      </c>
      <c r="AC484" s="503">
        <f t="shared" si="96"/>
        <v>0</v>
      </c>
      <c r="AD484" s="389">
        <f t="shared" si="93"/>
        <v>0</v>
      </c>
    </row>
    <row r="485" spans="1:30" s="390" customFormat="1">
      <c r="A485" s="167">
        <v>496</v>
      </c>
      <c r="B485" s="267" t="str">
        <f>VLOOKUP(A485,'JUNE (물량흐름)'!$A$13:$C$502,2,0)</f>
        <v>J JILL</v>
      </c>
      <c r="C485" s="240" t="str">
        <f>VLOOKUP(A485,'JUNE (물량흐름)'!$A$13:$C$502,3,0)</f>
        <v>KPT130311</v>
      </c>
      <c r="D485" s="6">
        <f>VLOOKUP(C485,'WIP(재공품)'!$B$12:$E$493,4,0)</f>
        <v>31744.999999999996</v>
      </c>
      <c r="E485" s="6">
        <f>IFERROR(VLOOKUP(C485,O.B.JUNE!$AA$7:$AG$448,2,0),0)</f>
        <v>0</v>
      </c>
      <c r="F485" s="6">
        <f>IFERROR(VLOOKUP(C485,O.B.JUNE!$AA$7:$AG$448,3,0),0)</f>
        <v>0</v>
      </c>
      <c r="G485" s="6">
        <f>IFERROR(VLOOKUP(C485,O.B.JUNE!$AA$7:$AD$448,4,0),0)</f>
        <v>0</v>
      </c>
      <c r="H485" s="6">
        <f t="shared" si="87"/>
        <v>0</v>
      </c>
      <c r="I485" s="6">
        <f>IFERROR(VLOOKUP(C485,O.B.JUNE!$AA$7:$AF$448,6,0),0)</f>
        <v>0</v>
      </c>
      <c r="J485" s="6"/>
      <c r="K485" s="6">
        <f>IFERROR(VLOOKUP(C485,O.B.JUNE!$AA$7:$AG$448,7,0),0)</f>
        <v>0</v>
      </c>
      <c r="L485" s="6">
        <f>SUMIF('JUNE (물량흐름)'!$C$13:$C$502,'Direct labour(직접노무비)'!C485,'JUNE (물량흐름)'!$H$13:$H$502)+SUMIF('JUNE (물량흐름)'!$C$13:$C$502,'Direct labour(직접노무비)'!C485,'JUNE (물량흐름)'!$I$13:$I$502)</f>
        <v>1489</v>
      </c>
      <c r="M485" s="6">
        <f t="shared" si="88"/>
        <v>1460</v>
      </c>
      <c r="N485" s="6">
        <f t="shared" si="89"/>
        <v>46347700</v>
      </c>
      <c r="O485" s="6">
        <f t="shared" si="94"/>
        <v>14334125</v>
      </c>
      <c r="P485" s="6">
        <f>SUMIF('JUNE (물량흐름)'!$C$13:$C$502,C485,'JUNE (물량흐름)'!$T$13:$T$502)+SUMIF('JUNE (물량흐름)'!$C$13:$C$502,C485,'JUNE (물량흐름)'!$V$13:$V$502)+SUMIF('JUNE (물량흐름)'!$C$13:$C$502,C485,'JUNE (물량흐름)'!$U$13:$U$502)-SUMIF('JUNE (물량흐름)'!$C$13:$C$502,C485,'JUNE (물량흐름)'!$Y$13:$Y$502)</f>
        <v>1379</v>
      </c>
      <c r="Q485" s="6">
        <f t="shared" si="97"/>
        <v>13275190</v>
      </c>
      <c r="R485" s="6">
        <f>ROUND(IF(ISERROR(VLOOKUP(#REF!,'WIP(재공품)'!$B$12:$AB$38,13,0)),0,VLOOKUP(#REF!,'WIP(재공품)'!$B$12:$AB$38,13,0)),0)</f>
        <v>0</v>
      </c>
      <c r="S485" s="6">
        <f>IF(ISERROR(VLOOKUP(#REF!,'WIP(재공품)'!$B$12:$AB$38,10,0)),0,VLOOKUP(#REF!,'WIP(재공품)'!$B$12:$AB$38,10,0))</f>
        <v>0</v>
      </c>
      <c r="T485" s="6">
        <f>SUMIF('JUNE (물량흐름)'!$C$13:$C$502,'Direct labour(직접노무비)'!C485,'JUNE (물량흐름)'!$Y$13:$Y$502)</f>
        <v>0</v>
      </c>
      <c r="U485" s="6">
        <f t="shared" si="95"/>
        <v>0</v>
      </c>
      <c r="V485" s="6">
        <f>ROUND(SUMIF('JUNE (물량흐름)'!$C$13:$C$502,'Direct labour(직접노무비)'!C485,'JUNE (물량흐름)'!$N$13:$N$502),0)</f>
        <v>0</v>
      </c>
      <c r="W485" s="6">
        <f>ROUND(SUMIF('JUNE (물량흐름)'!$C$13:$C$502,'Direct labour(직접노무비)'!C485,'JUNE (물량흐름)'!$O$13:$O$502),0)</f>
        <v>25</v>
      </c>
      <c r="X485" s="6">
        <f>ROUND(SUMIF('JUNE (물량흐름)'!$C$13:$C$502,'Direct labour(직접노무비)'!C485,'JUNE (물량흐름)'!$P$13:$P$502),0)</f>
        <v>85</v>
      </c>
      <c r="Y485" s="6">
        <f t="shared" si="90"/>
        <v>110</v>
      </c>
      <c r="Z485" s="6">
        <f t="shared" si="91"/>
        <v>81</v>
      </c>
      <c r="AA485" s="6">
        <f t="shared" si="98"/>
        <v>1058935</v>
      </c>
      <c r="AB485" s="389">
        <f t="shared" si="92"/>
        <v>0</v>
      </c>
      <c r="AC485" s="503">
        <f t="shared" si="96"/>
        <v>0</v>
      </c>
      <c r="AD485" s="389">
        <f t="shared" si="93"/>
        <v>0</v>
      </c>
    </row>
    <row r="486" spans="1:30" s="390" customFormat="1">
      <c r="A486" s="167">
        <v>497</v>
      </c>
      <c r="B486" s="267" t="str">
        <f>VLOOKUP(A486,'JUNE (물량흐름)'!$A$13:$C$502,2,0)</f>
        <v>J JILL</v>
      </c>
      <c r="C486" s="240" t="str">
        <f>VLOOKUP(A486,'JUNE (물량흐름)'!$A$13:$C$502,3,0)</f>
        <v>KTP134791</v>
      </c>
      <c r="D486" s="6">
        <f>VLOOKUP(C486,'WIP(재공품)'!$B$12:$E$493,4,0)</f>
        <v>58955</v>
      </c>
      <c r="E486" s="6">
        <f>IFERROR(VLOOKUP(C486,O.B.JUNE!$AA$7:$AG$448,2,0),0)</f>
        <v>0</v>
      </c>
      <c r="F486" s="6">
        <f>IFERROR(VLOOKUP(C486,O.B.JUNE!$AA$7:$AG$448,3,0),0)</f>
        <v>0</v>
      </c>
      <c r="G486" s="6">
        <f>IFERROR(VLOOKUP(C486,O.B.JUNE!$AA$7:$AD$448,4,0),0)</f>
        <v>0</v>
      </c>
      <c r="H486" s="6">
        <f t="shared" si="87"/>
        <v>0</v>
      </c>
      <c r="I486" s="6">
        <f>IFERROR(VLOOKUP(C486,O.B.JUNE!$AA$7:$AF$448,6,0),0)</f>
        <v>0</v>
      </c>
      <c r="J486" s="6"/>
      <c r="K486" s="6">
        <f>IFERROR(VLOOKUP(C486,O.B.JUNE!$AA$7:$AG$448,7,0),0)</f>
        <v>0</v>
      </c>
      <c r="L486" s="6">
        <f>SUMIF('JUNE (물량흐름)'!$C$13:$C$502,'Direct labour(직접노무비)'!C486,'JUNE (물량흐름)'!$H$13:$H$502)+SUMIF('JUNE (물량흐름)'!$C$13:$C$502,'Direct labour(직접노무비)'!C486,'JUNE (물량흐름)'!$I$13:$I$502)</f>
        <v>6385</v>
      </c>
      <c r="M486" s="6">
        <f t="shared" si="88"/>
        <v>5142</v>
      </c>
      <c r="N486" s="6">
        <f t="shared" si="89"/>
        <v>303146610</v>
      </c>
      <c r="O486" s="6">
        <f t="shared" si="94"/>
        <v>93755275</v>
      </c>
      <c r="P486" s="6">
        <f>SUMIF('JUNE (물량흐름)'!$C$13:$C$502,C486,'JUNE (물량흐름)'!$T$13:$T$502)+SUMIF('JUNE (물량흐름)'!$C$13:$C$502,C486,'JUNE (물량흐름)'!$V$13:$V$502)+SUMIF('JUNE (물량흐름)'!$C$13:$C$502,C486,'JUNE (물량흐름)'!$U$13:$U$502)-SUMIF('JUNE (물량흐름)'!$C$13:$C$502,C486,'JUNE (물량흐름)'!$Y$13:$Y$502)</f>
        <v>2793</v>
      </c>
      <c r="Q486" s="6">
        <f t="shared" si="97"/>
        <v>41011509</v>
      </c>
      <c r="R486" s="6">
        <f>ROUND(IF(ISERROR(VLOOKUP(#REF!,'WIP(재공품)'!$B$12:$AB$38,13,0)),0,VLOOKUP(#REF!,'WIP(재공품)'!$B$12:$AB$38,13,0)),0)</f>
        <v>0</v>
      </c>
      <c r="S486" s="6">
        <f>IF(ISERROR(VLOOKUP(#REF!,'WIP(재공품)'!$B$12:$AB$38,10,0)),0,VLOOKUP(#REF!,'WIP(재공품)'!$B$12:$AB$38,10,0))</f>
        <v>0</v>
      </c>
      <c r="T486" s="6">
        <f>SUMIF('JUNE (물량흐름)'!$C$13:$C$502,'Direct labour(직접노무비)'!C486,'JUNE (물량흐름)'!$Y$13:$Y$502)</f>
        <v>0</v>
      </c>
      <c r="U486" s="6">
        <f t="shared" si="95"/>
        <v>0</v>
      </c>
      <c r="V486" s="6">
        <f>ROUND(SUMIF('JUNE (물량흐름)'!$C$13:$C$502,'Direct labour(직접노무비)'!C486,'JUNE (물량흐름)'!$N$13:$N$502),0)</f>
        <v>296</v>
      </c>
      <c r="W486" s="6">
        <f>ROUND(SUMIF('JUNE (물량흐름)'!$C$13:$C$502,'Direct labour(직접노무비)'!C486,'JUNE (물량흐름)'!$O$13:$O$502),0)</f>
        <v>1157</v>
      </c>
      <c r="X486" s="6">
        <f>ROUND(SUMIF('JUNE (물량흐름)'!$C$13:$C$502,'Direct labour(직접노무비)'!C486,'JUNE (물량흐름)'!$P$13:$P$502),0)</f>
        <v>2139</v>
      </c>
      <c r="Y486" s="6">
        <f t="shared" si="90"/>
        <v>3592</v>
      </c>
      <c r="Z486" s="6">
        <f t="shared" si="91"/>
        <v>2349</v>
      </c>
      <c r="AA486" s="6">
        <f t="shared" si="98"/>
        <v>52743766</v>
      </c>
      <c r="AB486" s="389">
        <f t="shared" si="92"/>
        <v>0</v>
      </c>
      <c r="AC486" s="503">
        <f t="shared" si="96"/>
        <v>0</v>
      </c>
      <c r="AD486" s="389">
        <f t="shared" si="93"/>
        <v>0</v>
      </c>
    </row>
    <row r="487" spans="1:30" s="390" customFormat="1">
      <c r="A487" s="167">
        <v>498</v>
      </c>
      <c r="B487" s="267" t="str">
        <f>VLOOKUP(A487,'JUNE (물량흐름)'!$A$13:$C$502,2,0)</f>
        <v>J JILL</v>
      </c>
      <c r="C487" s="240" t="str">
        <f>VLOOKUP(A487,'JUNE (물량흐름)'!$A$13:$C$502,3,0)</f>
        <v>KTP142391</v>
      </c>
      <c r="D487" s="6">
        <f>VLOOKUP(C487,'WIP(재공품)'!$B$12:$E$493,4,0)</f>
        <v>49885.000000000007</v>
      </c>
      <c r="E487" s="6">
        <f>IFERROR(VLOOKUP(C487,O.B.JUNE!$AA$7:$AG$448,2,0),0)</f>
        <v>0</v>
      </c>
      <c r="F487" s="6">
        <f>IFERROR(VLOOKUP(C487,O.B.JUNE!$AA$7:$AG$448,3,0),0)</f>
        <v>0</v>
      </c>
      <c r="G487" s="6">
        <f>IFERROR(VLOOKUP(C487,O.B.JUNE!$AA$7:$AD$448,4,0),0)</f>
        <v>0</v>
      </c>
      <c r="H487" s="6">
        <f t="shared" si="87"/>
        <v>0</v>
      </c>
      <c r="I487" s="6">
        <f>IFERROR(VLOOKUP(C487,O.B.JUNE!$AA$7:$AF$448,6,0),0)</f>
        <v>0</v>
      </c>
      <c r="J487" s="6"/>
      <c r="K487" s="6">
        <f>IFERROR(VLOOKUP(C487,O.B.JUNE!$AA$7:$AG$448,7,0),0)</f>
        <v>0</v>
      </c>
      <c r="L487" s="6">
        <f>SUMIF('JUNE (물량흐름)'!$C$13:$C$502,'Direct labour(직접노무비)'!C487,'JUNE (물량흐름)'!$H$13:$H$502)+SUMIF('JUNE (물량흐름)'!$C$13:$C$502,'Direct labour(직접노무비)'!C487,'JUNE (물량흐름)'!$I$13:$I$502)</f>
        <v>15654</v>
      </c>
      <c r="M487" s="6">
        <f t="shared" si="88"/>
        <v>13075</v>
      </c>
      <c r="N487" s="6">
        <f t="shared" si="89"/>
        <v>652246375</v>
      </c>
      <c r="O487" s="6">
        <f t="shared" si="94"/>
        <v>201722652</v>
      </c>
      <c r="P487" s="6">
        <f>SUMIF('JUNE (물량흐름)'!$C$13:$C$502,C487,'JUNE (물량흐름)'!$T$13:$T$502)+SUMIF('JUNE (물량흐름)'!$C$13:$C$502,C487,'JUNE (물량흐름)'!$V$13:$V$502)+SUMIF('JUNE (물량흐름)'!$C$13:$C$502,C487,'JUNE (물량흐름)'!$U$13:$U$502)-SUMIF('JUNE (물량흐름)'!$C$13:$C$502,C487,'JUNE (물량흐름)'!$Y$13:$Y$502)</f>
        <v>10468</v>
      </c>
      <c r="Q487" s="6">
        <f t="shared" si="97"/>
        <v>134894131</v>
      </c>
      <c r="R487" s="6">
        <f>ROUND(IF(ISERROR(VLOOKUP(#REF!,'WIP(재공품)'!$B$12:$AB$38,13,0)),0,VLOOKUP(#REF!,'WIP(재공품)'!$B$12:$AB$38,13,0)),0)</f>
        <v>0</v>
      </c>
      <c r="S487" s="6">
        <f>IF(ISERROR(VLOOKUP(#REF!,'WIP(재공품)'!$B$12:$AB$38,10,0)),0,VLOOKUP(#REF!,'WIP(재공품)'!$B$12:$AB$38,10,0))</f>
        <v>0</v>
      </c>
      <c r="T487" s="6">
        <f>SUMIF('JUNE (물량흐름)'!$C$13:$C$502,'Direct labour(직접노무비)'!C487,'JUNE (물량흐름)'!$Y$13:$Y$502)</f>
        <v>0</v>
      </c>
      <c r="U487" s="6">
        <f t="shared" si="95"/>
        <v>0</v>
      </c>
      <c r="V487" s="6">
        <f>ROUND(SUMIF('JUNE (물량흐름)'!$C$13:$C$502,'Direct labour(직접노무비)'!C487,'JUNE (물량흐름)'!$N$13:$N$502),0)</f>
        <v>1199</v>
      </c>
      <c r="W487" s="6">
        <f>ROUND(SUMIF('JUNE (물량흐름)'!$C$13:$C$502,'Direct labour(직접노무비)'!C487,'JUNE (물량흐름)'!$O$13:$O$502),0)</f>
        <v>2743</v>
      </c>
      <c r="X487" s="6">
        <f>ROUND(SUMIF('JUNE (물량흐름)'!$C$13:$C$502,'Direct labour(직접노무비)'!C487,'JUNE (물량흐름)'!$P$13:$P$502),0)</f>
        <v>1244</v>
      </c>
      <c r="Y487" s="6">
        <f t="shared" si="90"/>
        <v>5186</v>
      </c>
      <c r="Z487" s="6">
        <f t="shared" si="91"/>
        <v>2607</v>
      </c>
      <c r="AA487" s="6">
        <f t="shared" si="98"/>
        <v>66828521</v>
      </c>
      <c r="AB487" s="389">
        <f t="shared" si="92"/>
        <v>0</v>
      </c>
      <c r="AC487" s="503">
        <f t="shared" si="96"/>
        <v>0</v>
      </c>
      <c r="AD487" s="389">
        <f t="shared" si="93"/>
        <v>0</v>
      </c>
    </row>
    <row r="488" spans="1:30" s="390" customFormat="1">
      <c r="A488" s="167">
        <v>499</v>
      </c>
      <c r="B488" s="267" t="str">
        <f>VLOOKUP(A488,'JUNE (물량흐름)'!$A$13:$C$502,2,0)</f>
        <v>NORDSTROM</v>
      </c>
      <c r="C488" s="240" t="str">
        <f>VLOOKUP(A488,'JUNE (물량흐름)'!$A$13:$C$502,3,0)</f>
        <v>HA385921MI</v>
      </c>
      <c r="D488" s="6">
        <f>VLOOKUP(C488,'WIP(재공품)'!$B$12:$E$493,4,0)</f>
        <v>36280</v>
      </c>
      <c r="E488" s="6">
        <f>IFERROR(VLOOKUP(C488,O.B.JUNE!$AA$7:$AG$448,2,0),0)</f>
        <v>0</v>
      </c>
      <c r="F488" s="6">
        <f>IFERROR(VLOOKUP(C488,O.B.JUNE!$AA$7:$AG$448,3,0),0)</f>
        <v>0</v>
      </c>
      <c r="G488" s="6">
        <f>IFERROR(VLOOKUP(C488,O.B.JUNE!$AA$7:$AD$448,4,0),0)</f>
        <v>0</v>
      </c>
      <c r="H488" s="6">
        <f t="shared" ref="H488:H492" si="99">ROUND(SUM(E488:G488),0)</f>
        <v>0</v>
      </c>
      <c r="I488" s="6">
        <f>IFERROR(VLOOKUP(C488,O.B.JUNE!$AA$7:$AF$448,6,0),0)</f>
        <v>0</v>
      </c>
      <c r="J488" s="6"/>
      <c r="K488" s="6">
        <f>IFERROR(VLOOKUP(C488,O.B.JUNE!$AA$7:$AG$448,7,0),0)</f>
        <v>0</v>
      </c>
      <c r="L488" s="6">
        <f>SUMIF('JUNE (물량흐름)'!$C$13:$C$502,'Direct labour(직접노무비)'!C488,'JUNE (물량흐름)'!$H$13:$H$502)+SUMIF('JUNE (물량흐름)'!$C$13:$C$502,'Direct labour(직접노무비)'!C488,'JUNE (물량흐름)'!$I$13:$I$502)</f>
        <v>2592</v>
      </c>
      <c r="M488" s="6">
        <f t="shared" ref="M488:M492" si="100">ROUND(IF(OR(L488&lt;=0,P488+T488+R488+Z488-I488&lt;0),0,ROUND(P488+T488+R488+Z488-I488,0)),0)</f>
        <v>2592</v>
      </c>
      <c r="N488" s="6">
        <f t="shared" ref="N488:N492" si="101">ROUND(M488*D488,0)</f>
        <v>94037760</v>
      </c>
      <c r="O488" s="6">
        <f t="shared" si="94"/>
        <v>29083406</v>
      </c>
      <c r="P488" s="6">
        <f>SUMIF('JUNE (물량흐름)'!$C$13:$C$502,C488,'JUNE (물량흐름)'!$T$13:$T$502)+SUMIF('JUNE (물량흐름)'!$C$13:$C$502,C488,'JUNE (물량흐름)'!$V$13:$V$502)+SUMIF('JUNE (물량흐름)'!$C$13:$C$502,C488,'JUNE (물량흐름)'!$U$13:$U$502)-SUMIF('JUNE (물량흐름)'!$C$13:$C$502,C488,'JUNE (물량흐름)'!$Y$13:$Y$502)</f>
        <v>2592</v>
      </c>
      <c r="Q488" s="6">
        <f t="shared" si="97"/>
        <v>29083406</v>
      </c>
      <c r="R488" s="6">
        <f>ROUND(IF(ISERROR(VLOOKUP(#REF!,'WIP(재공품)'!$B$12:$AB$38,13,0)),0,VLOOKUP(#REF!,'WIP(재공품)'!$B$12:$AB$38,13,0)),0)</f>
        <v>0</v>
      </c>
      <c r="S488" s="6">
        <f>IF(ISERROR(VLOOKUP(#REF!,'WIP(재공품)'!$B$12:$AB$38,10,0)),0,VLOOKUP(#REF!,'WIP(재공품)'!$B$12:$AB$38,10,0))</f>
        <v>0</v>
      </c>
      <c r="T488" s="6">
        <f>SUMIF('JUNE (물량흐름)'!$C$13:$C$502,'Direct labour(직접노무비)'!C488,'JUNE (물량흐름)'!$Y$13:$Y$502)</f>
        <v>0</v>
      </c>
      <c r="U488" s="6">
        <f t="shared" si="95"/>
        <v>0</v>
      </c>
      <c r="V488" s="6">
        <f>ROUND(SUMIF('JUNE (물량흐름)'!$C$13:$C$502,'Direct labour(직접노무비)'!C488,'JUNE (물량흐름)'!$N$13:$N$502),0)</f>
        <v>0</v>
      </c>
      <c r="W488" s="6">
        <f>ROUND(SUMIF('JUNE (물량흐름)'!$C$13:$C$502,'Direct labour(직접노무비)'!C488,'JUNE (물량흐름)'!$O$13:$O$502),0)</f>
        <v>0</v>
      </c>
      <c r="X488" s="6">
        <f>ROUND(SUMIF('JUNE (물량흐름)'!$C$13:$C$502,'Direct labour(직접노무비)'!C488,'JUNE (물량흐름)'!$P$13:$P$502),0)</f>
        <v>0</v>
      </c>
      <c r="Y488" s="6">
        <f t="shared" ref="Y488:Y492" si="102">ROUND(SUM(V488:X488),0)</f>
        <v>0</v>
      </c>
      <c r="Z488" s="6">
        <f t="shared" ref="Z488:Z492" si="103">ROUND(V488*$V$10+W488*$W$10+X488*$X$10,0)</f>
        <v>0</v>
      </c>
      <c r="AA488" s="6">
        <f t="shared" si="98"/>
        <v>0</v>
      </c>
      <c r="AB488" s="389">
        <f t="shared" ref="AB488:AB491" si="104">K488+O488-Q488-U488-AA488</f>
        <v>0</v>
      </c>
      <c r="AC488" s="503">
        <f t="shared" si="96"/>
        <v>0</v>
      </c>
      <c r="AD488" s="389">
        <f t="shared" ref="AD488:AD492" si="105">H488+L488-P488-T488-Y488</f>
        <v>0</v>
      </c>
    </row>
    <row r="489" spans="1:30" s="390" customFormat="1">
      <c r="A489" s="167">
        <v>500</v>
      </c>
      <c r="B489" s="267" t="str">
        <f>VLOOKUP(A489,'JUNE (물량흐름)'!$A$13:$C$502,2,0)</f>
        <v>NORDSTROM</v>
      </c>
      <c r="C489" s="240" t="str">
        <f>VLOOKUP(A489,'JUNE (물량흐름)'!$A$13:$C$502,3,0)</f>
        <v>HA385921MP</v>
      </c>
      <c r="D489" s="6">
        <f>VLOOKUP(C489,'WIP(재공품)'!$B$12:$E$493,4,0)</f>
        <v>36280</v>
      </c>
      <c r="E489" s="6">
        <f>IFERROR(VLOOKUP(C489,O.B.JUNE!$AA$7:$AG$448,2,0),0)</f>
        <v>0</v>
      </c>
      <c r="F489" s="6">
        <f>IFERROR(VLOOKUP(C489,O.B.JUNE!$AA$7:$AG$448,3,0),0)</f>
        <v>0</v>
      </c>
      <c r="G489" s="6">
        <f>IFERROR(VLOOKUP(C489,O.B.JUNE!$AA$7:$AD$448,4,0),0)</f>
        <v>0</v>
      </c>
      <c r="H489" s="6">
        <f t="shared" si="99"/>
        <v>0</v>
      </c>
      <c r="I489" s="6">
        <f>IFERROR(VLOOKUP(C489,O.B.JUNE!$AA$7:$AF$448,6,0),0)</f>
        <v>0</v>
      </c>
      <c r="J489" s="6"/>
      <c r="K489" s="6">
        <f>IFERROR(VLOOKUP(C489,O.B.JUNE!$AA$7:$AG$448,7,0),0)</f>
        <v>0</v>
      </c>
      <c r="L489" s="6">
        <f>SUMIF('JUNE (물량흐름)'!$C$13:$C$502,'Direct labour(직접노무비)'!C489,'JUNE (물량흐름)'!$H$13:$H$502)+SUMIF('JUNE (물량흐름)'!$C$13:$C$502,'Direct labour(직접노무비)'!C489,'JUNE (물량흐름)'!$I$13:$I$502)</f>
        <v>196</v>
      </c>
      <c r="M489" s="6">
        <f t="shared" si="100"/>
        <v>196</v>
      </c>
      <c r="N489" s="6">
        <f t="shared" si="101"/>
        <v>7110880</v>
      </c>
      <c r="O489" s="6">
        <f t="shared" si="94"/>
        <v>2199208</v>
      </c>
      <c r="P489" s="6">
        <f>SUMIF('JUNE (물량흐름)'!$C$13:$C$502,C489,'JUNE (물량흐름)'!$T$13:$T$502)+SUMIF('JUNE (물량흐름)'!$C$13:$C$502,C489,'JUNE (물량흐름)'!$V$13:$V$502)+SUMIF('JUNE (물량흐름)'!$C$13:$C$502,C489,'JUNE (물량흐름)'!$U$13:$U$502)-SUMIF('JUNE (물량흐름)'!$C$13:$C$502,C489,'JUNE (물량흐름)'!$Y$13:$Y$502)</f>
        <v>196</v>
      </c>
      <c r="Q489" s="6">
        <f t="shared" si="97"/>
        <v>2199208</v>
      </c>
      <c r="R489" s="6">
        <f>ROUND(IF(ISERROR(VLOOKUP(#REF!,'WIP(재공품)'!$B$12:$AB$38,13,0)),0,VLOOKUP(#REF!,'WIP(재공품)'!$B$12:$AB$38,13,0)),0)</f>
        <v>0</v>
      </c>
      <c r="S489" s="6">
        <f>IF(ISERROR(VLOOKUP(#REF!,'WIP(재공품)'!$B$12:$AB$38,10,0)),0,VLOOKUP(#REF!,'WIP(재공품)'!$B$12:$AB$38,10,0))</f>
        <v>0</v>
      </c>
      <c r="T489" s="6">
        <f>SUMIF('JUNE (물량흐름)'!$C$13:$C$502,'Direct labour(직접노무비)'!C489,'JUNE (물량흐름)'!$Y$13:$Y$502)</f>
        <v>0</v>
      </c>
      <c r="U489" s="6">
        <f t="shared" si="95"/>
        <v>0</v>
      </c>
      <c r="V489" s="6">
        <f>ROUND(SUMIF('JUNE (물량흐름)'!$C$13:$C$502,'Direct labour(직접노무비)'!C489,'JUNE (물량흐름)'!$N$13:$N$502),0)</f>
        <v>0</v>
      </c>
      <c r="W489" s="6">
        <f>ROUND(SUMIF('JUNE (물량흐름)'!$C$13:$C$502,'Direct labour(직접노무비)'!C489,'JUNE (물량흐름)'!$O$13:$O$502),0)</f>
        <v>0</v>
      </c>
      <c r="X489" s="6">
        <f>ROUND(SUMIF('JUNE (물량흐름)'!$C$13:$C$502,'Direct labour(직접노무비)'!C489,'JUNE (물량흐름)'!$P$13:$P$502),0)</f>
        <v>0</v>
      </c>
      <c r="Y489" s="6">
        <f t="shared" si="102"/>
        <v>0</v>
      </c>
      <c r="Z489" s="6">
        <f t="shared" si="103"/>
        <v>0</v>
      </c>
      <c r="AA489" s="6">
        <f t="shared" si="98"/>
        <v>0</v>
      </c>
      <c r="AB489" s="389">
        <f t="shared" si="104"/>
        <v>0</v>
      </c>
      <c r="AC489" s="503">
        <f t="shared" si="96"/>
        <v>0</v>
      </c>
      <c r="AD489" s="389">
        <f t="shared" si="105"/>
        <v>0</v>
      </c>
    </row>
    <row r="490" spans="1:30" s="390" customFormat="1">
      <c r="A490" s="167">
        <v>501</v>
      </c>
      <c r="B490" s="267" t="str">
        <f>VLOOKUP(A490,'JUNE (물량흐름)'!$A$13:$C$502,2,0)</f>
        <v>NORDSTROM</v>
      </c>
      <c r="C490" s="240" t="str">
        <f>VLOOKUP(A490,'JUNE (물량흐름)'!$A$13:$C$502,3,0)</f>
        <v>SJ301654WN</v>
      </c>
      <c r="D490" s="6">
        <f>VLOOKUP(C490,'WIP(재공품)'!$B$12:$E$493,4,0)</f>
        <v>18140</v>
      </c>
      <c r="E490" s="6">
        <f>IFERROR(VLOOKUP(C490,O.B.JUNE!$AA$7:$AG$448,2,0),0)</f>
        <v>0</v>
      </c>
      <c r="F490" s="6">
        <f>IFERROR(VLOOKUP(C490,O.B.JUNE!$AA$7:$AG$448,3,0),0)</f>
        <v>0</v>
      </c>
      <c r="G490" s="6">
        <f>IFERROR(VLOOKUP(C490,O.B.JUNE!$AA$7:$AD$448,4,0),0)</f>
        <v>0</v>
      </c>
      <c r="H490" s="6">
        <f t="shared" si="99"/>
        <v>0</v>
      </c>
      <c r="I490" s="6">
        <f>IFERROR(VLOOKUP(C490,O.B.JUNE!$AA$7:$AF$448,6,0),0)</f>
        <v>0</v>
      </c>
      <c r="J490" s="6"/>
      <c r="K490" s="6">
        <f>IFERROR(VLOOKUP(C490,O.B.JUNE!$AA$7:$AG$448,7,0),0)</f>
        <v>0</v>
      </c>
      <c r="L490" s="6">
        <f>SUMIF('JUNE (물량흐름)'!$C$13:$C$502,'Direct labour(직접노무비)'!C490,'JUNE (물량흐름)'!$H$13:$H$502)+SUMIF('JUNE (물량흐름)'!$C$13:$C$502,'Direct labour(직접노무비)'!C490,'JUNE (물량흐름)'!$I$13:$I$502)</f>
        <v>3250</v>
      </c>
      <c r="M490" s="6">
        <f t="shared" si="100"/>
        <v>3250</v>
      </c>
      <c r="N490" s="6">
        <f t="shared" si="101"/>
        <v>58955000</v>
      </c>
      <c r="O490" s="6">
        <f t="shared" si="94"/>
        <v>18233231</v>
      </c>
      <c r="P490" s="6">
        <f>SUMIF('JUNE (물량흐름)'!$C$13:$C$502,C490,'JUNE (물량흐름)'!$T$13:$T$502)+SUMIF('JUNE (물량흐름)'!$C$13:$C$502,C490,'JUNE (물량흐름)'!$V$13:$V$502)+SUMIF('JUNE (물량흐름)'!$C$13:$C$502,C490,'JUNE (물량흐름)'!$U$13:$U$502)-SUMIF('JUNE (물량흐름)'!$C$13:$C$502,C490,'JUNE (물량흐름)'!$Y$13:$Y$502)</f>
        <v>3250</v>
      </c>
      <c r="Q490" s="6">
        <f t="shared" si="97"/>
        <v>18233231</v>
      </c>
      <c r="R490" s="6">
        <f>ROUND(IF(ISERROR(VLOOKUP(#REF!,'WIP(재공품)'!$B$12:$AB$38,13,0)),0,VLOOKUP(#REF!,'WIP(재공품)'!$B$12:$AB$38,13,0)),0)</f>
        <v>0</v>
      </c>
      <c r="S490" s="6">
        <f>IF(ISERROR(VLOOKUP(#REF!,'WIP(재공품)'!$B$12:$AB$38,10,0)),0,VLOOKUP(#REF!,'WIP(재공품)'!$B$12:$AB$38,10,0))</f>
        <v>0</v>
      </c>
      <c r="T490" s="6">
        <f>SUMIF('JUNE (물량흐름)'!$C$13:$C$502,'Direct labour(직접노무비)'!C490,'JUNE (물량흐름)'!$Y$13:$Y$502)</f>
        <v>0</v>
      </c>
      <c r="U490" s="6">
        <f t="shared" si="95"/>
        <v>0</v>
      </c>
      <c r="V490" s="6">
        <f>ROUND(SUMIF('JUNE (물량흐름)'!$C$13:$C$502,'Direct labour(직접노무비)'!C490,'JUNE (물량흐름)'!$N$13:$N$502),0)</f>
        <v>0</v>
      </c>
      <c r="W490" s="6">
        <f>ROUND(SUMIF('JUNE (물량흐름)'!$C$13:$C$502,'Direct labour(직접노무비)'!C490,'JUNE (물량흐름)'!$O$13:$O$502),0)</f>
        <v>0</v>
      </c>
      <c r="X490" s="6">
        <f>ROUND(SUMIF('JUNE (물량흐름)'!$C$13:$C$502,'Direct labour(직접노무비)'!C490,'JUNE (물량흐름)'!$P$13:$P$502),0)</f>
        <v>0</v>
      </c>
      <c r="Y490" s="6">
        <f t="shared" si="102"/>
        <v>0</v>
      </c>
      <c r="Z490" s="6">
        <f t="shared" si="103"/>
        <v>0</v>
      </c>
      <c r="AA490" s="6">
        <f t="shared" si="98"/>
        <v>0</v>
      </c>
      <c r="AB490" s="389">
        <f t="shared" si="104"/>
        <v>0</v>
      </c>
      <c r="AC490" s="503">
        <f t="shared" si="96"/>
        <v>0</v>
      </c>
      <c r="AD490" s="389">
        <f t="shared" si="105"/>
        <v>0</v>
      </c>
    </row>
    <row r="491" spans="1:30" s="390" customFormat="1">
      <c r="A491" s="167">
        <v>502</v>
      </c>
      <c r="B491" s="267" t="str">
        <f>VLOOKUP(A491,'JUNE (물량흐름)'!$A$13:$C$502,2,0)</f>
        <v>NORDSTROM</v>
      </c>
      <c r="C491" s="240" t="str">
        <f>VLOOKUP(A491,'JUNE (물량흐름)'!$A$13:$C$502,3,0)</f>
        <v>TL298630MI</v>
      </c>
      <c r="D491" s="6">
        <f>VLOOKUP(C491,'WIP(재공품)'!$B$12:$E$493,4,0)</f>
        <v>43082.5</v>
      </c>
      <c r="E491" s="6">
        <f>IFERROR(VLOOKUP(C491,O.B.JUNE!$AA$7:$AG$448,2,0),0)</f>
        <v>0</v>
      </c>
      <c r="F491" s="6">
        <f>IFERROR(VLOOKUP(C491,O.B.JUNE!$AA$7:$AG$448,3,0),0)</f>
        <v>0</v>
      </c>
      <c r="G491" s="6">
        <f>IFERROR(VLOOKUP(C491,O.B.JUNE!$AA$7:$AD$448,4,0),0)</f>
        <v>0</v>
      </c>
      <c r="H491" s="6">
        <f t="shared" si="99"/>
        <v>0</v>
      </c>
      <c r="I491" s="6">
        <f>IFERROR(VLOOKUP(C491,O.B.JUNE!$AA$7:$AF$448,6,0),0)</f>
        <v>0</v>
      </c>
      <c r="J491" s="6"/>
      <c r="K491" s="6">
        <f>IFERROR(VLOOKUP(C491,O.B.JUNE!$AA$7:$AG$448,7,0),0)</f>
        <v>0</v>
      </c>
      <c r="L491" s="6">
        <f>SUMIF('JUNE (물량흐름)'!$C$13:$C$502,'Direct labour(직접노무비)'!C491,'JUNE (물량흐름)'!$H$13:$H$502)+SUMIF('JUNE (물량흐름)'!$C$13:$C$502,'Direct labour(직접노무비)'!C491,'JUNE (물량흐름)'!$I$13:$I$502)</f>
        <v>6933</v>
      </c>
      <c r="M491" s="6">
        <f t="shared" si="100"/>
        <v>6933</v>
      </c>
      <c r="N491" s="6">
        <f t="shared" si="101"/>
        <v>298690973</v>
      </c>
      <c r="O491" s="6">
        <f t="shared" si="94"/>
        <v>92377263</v>
      </c>
      <c r="P491" s="6">
        <f>SUMIF('JUNE (물량흐름)'!$C$13:$C$502,C491,'JUNE (물량흐름)'!$T$13:$T$502)+SUMIF('JUNE (물량흐름)'!$C$13:$C$502,C491,'JUNE (물량흐름)'!$V$13:$V$502)+SUMIF('JUNE (물량흐름)'!$C$13:$C$502,C491,'JUNE (물량흐름)'!$U$13:$U$502)-SUMIF('JUNE (물량흐름)'!$C$13:$C$502,C491,'JUNE (물량흐름)'!$Y$13:$Y$502)</f>
        <v>6933</v>
      </c>
      <c r="Q491" s="6">
        <f t="shared" si="97"/>
        <v>92377263</v>
      </c>
      <c r="R491" s="6">
        <f>ROUND(IF(ISERROR(VLOOKUP(#REF!,'WIP(재공품)'!$B$12:$AB$38,13,0)),0,VLOOKUP(#REF!,'WIP(재공품)'!$B$12:$AB$38,13,0)),0)</f>
        <v>0</v>
      </c>
      <c r="S491" s="6">
        <f>IF(ISERROR(VLOOKUP(#REF!,'WIP(재공품)'!$B$12:$AB$38,10,0)),0,VLOOKUP(#REF!,'WIP(재공품)'!$B$12:$AB$38,10,0))</f>
        <v>0</v>
      </c>
      <c r="T491" s="6">
        <f>SUMIF('JUNE (물량흐름)'!$C$13:$C$502,'Direct labour(직접노무비)'!C491,'JUNE (물량흐름)'!$Y$13:$Y$502)</f>
        <v>0</v>
      </c>
      <c r="U491" s="6">
        <f t="shared" si="95"/>
        <v>0</v>
      </c>
      <c r="V491" s="6">
        <f>ROUND(SUMIF('JUNE (물량흐름)'!$C$13:$C$502,'Direct labour(직접노무비)'!C491,'JUNE (물량흐름)'!$N$13:$N$502),0)</f>
        <v>0</v>
      </c>
      <c r="W491" s="6">
        <f>ROUND(SUMIF('JUNE (물량흐름)'!$C$13:$C$502,'Direct labour(직접노무비)'!C491,'JUNE (물량흐름)'!$O$13:$O$502),0)</f>
        <v>0</v>
      </c>
      <c r="X491" s="6">
        <f>ROUND(SUMIF('JUNE (물량흐름)'!$C$13:$C$502,'Direct labour(직접노무비)'!C491,'JUNE (물량흐름)'!$P$13:$P$502),0)</f>
        <v>0</v>
      </c>
      <c r="Y491" s="6">
        <f t="shared" si="102"/>
        <v>0</v>
      </c>
      <c r="Z491" s="6">
        <f t="shared" si="103"/>
        <v>0</v>
      </c>
      <c r="AA491" s="6">
        <f t="shared" si="98"/>
        <v>0</v>
      </c>
      <c r="AB491" s="389">
        <f t="shared" si="104"/>
        <v>0</v>
      </c>
      <c r="AC491" s="503">
        <f t="shared" si="96"/>
        <v>0</v>
      </c>
      <c r="AD491" s="389">
        <f t="shared" si="105"/>
        <v>0</v>
      </c>
    </row>
    <row r="492" spans="1:30" s="390" customFormat="1">
      <c r="A492" s="167">
        <v>503</v>
      </c>
      <c r="B492" s="267" t="str">
        <f>VLOOKUP(A492,'JUNE (물량흐름)'!$A$13:$C$502,2,0)</f>
        <v xml:space="preserve">TALBOTS </v>
      </c>
      <c r="C492" s="240">
        <f>VLOOKUP(A492,'JUNE (물량흐름)'!$A$13:$C$502,3,0)</f>
        <v>183034537</v>
      </c>
      <c r="D492" s="6">
        <f>VLOOKUP(C492,'WIP(재공품)'!$B$12:$E$493,4,0)</f>
        <v>58630.5</v>
      </c>
      <c r="E492" s="6">
        <f>IFERROR(VLOOKUP(C492,O.B.JUNE!$AA$7:$AG$448,2,0),0)</f>
        <v>0</v>
      </c>
      <c r="F492" s="6">
        <f>IFERROR(VLOOKUP(C492,O.B.JUNE!$AA$7:$AG$448,3,0),0)</f>
        <v>0</v>
      </c>
      <c r="G492" s="6">
        <f>IFERROR(VLOOKUP(C492,O.B.JUNE!$AA$7:$AD$448,4,0),0)</f>
        <v>0</v>
      </c>
      <c r="H492" s="6">
        <f t="shared" si="99"/>
        <v>0</v>
      </c>
      <c r="I492" s="6">
        <f>IFERROR(VLOOKUP(C492,O.B.JUNE!$AA$7:$AF$448,6,0),0)</f>
        <v>0</v>
      </c>
      <c r="J492" s="6"/>
      <c r="K492" s="6">
        <f>IFERROR(VLOOKUP(C492,O.B.JUNE!$AA$7:$AG$448,7,0),0)</f>
        <v>0</v>
      </c>
      <c r="L492" s="6">
        <f>SUMIF('JUNE (물량흐름)'!$C$13:$C$502,'Direct labour(직접노무비)'!C492,'JUNE (물량흐름)'!$H$13:$H$502)+SUMIF('JUNE (물량흐름)'!$C$13:$C$502,'Direct labour(직접노무비)'!C492,'JUNE (물량흐름)'!$I$13:$I$502)</f>
        <v>17819</v>
      </c>
      <c r="M492" s="6">
        <f t="shared" si="100"/>
        <v>17819</v>
      </c>
      <c r="N492" s="6">
        <f t="shared" si="101"/>
        <v>1044736880</v>
      </c>
      <c r="O492" s="6">
        <f t="shared" si="94"/>
        <v>323109645</v>
      </c>
      <c r="P492" s="6">
        <f>SUMIF('JUNE (물량흐름)'!$C$13:$C$502,C492,'JUNE (물량흐름)'!$T$13:$T$502)+SUMIF('JUNE (물량흐름)'!$C$13:$C$502,C492,'JUNE (물량흐름)'!$V$13:$V$502)+SUMIF('JUNE (물량흐름)'!$C$13:$C$502,C492,'JUNE (물량흐름)'!$U$13:$U$502)-SUMIF('JUNE (물량흐름)'!$C$13:$C$502,C492,'JUNE (물량흐름)'!$Y$13:$Y$502)</f>
        <v>17819</v>
      </c>
      <c r="Q492" s="6">
        <f t="shared" si="97"/>
        <v>323109645</v>
      </c>
      <c r="R492" s="6">
        <f>ROUND(IF(ISERROR(VLOOKUP(#REF!,'WIP(재공품)'!$B$12:$AB$38,13,0)),0,VLOOKUP(#REF!,'WIP(재공품)'!$B$12:$AB$38,13,0)),0)</f>
        <v>0</v>
      </c>
      <c r="S492" s="6">
        <f>IF(ISERROR(VLOOKUP(#REF!,'WIP(재공품)'!$B$12:$AB$38,10,0)),0,VLOOKUP(#REF!,'WIP(재공품)'!$B$12:$AB$38,10,0))</f>
        <v>0</v>
      </c>
      <c r="T492" s="6">
        <f>SUMIF('JUNE (물량흐름)'!$C$13:$C$502,'Direct labour(직접노무비)'!C492,'JUNE (물량흐름)'!$Y$13:$Y$502)</f>
        <v>0</v>
      </c>
      <c r="U492" s="6">
        <f t="shared" si="95"/>
        <v>0</v>
      </c>
      <c r="V492" s="6">
        <f>ROUND(SUMIF('JUNE (물량흐름)'!$C$13:$C$502,'Direct labour(직접노무비)'!C492,'JUNE (물량흐름)'!$N$13:$N$502),0)</f>
        <v>0</v>
      </c>
      <c r="W492" s="6">
        <f>ROUND(SUMIF('JUNE (물량흐름)'!$C$13:$C$502,'Direct labour(직접노무비)'!C492,'JUNE (물량흐름)'!$O$13:$O$502),0)</f>
        <v>0</v>
      </c>
      <c r="X492" s="6">
        <f>ROUND(SUMIF('JUNE (물량흐름)'!$C$13:$C$502,'Direct labour(직접노무비)'!C492,'JUNE (물량흐름)'!$P$13:$P$502),0)</f>
        <v>0</v>
      </c>
      <c r="Y492" s="6">
        <f t="shared" si="102"/>
        <v>0</v>
      </c>
      <c r="Z492" s="6">
        <f t="shared" si="103"/>
        <v>0</v>
      </c>
      <c r="AA492" s="6">
        <f t="shared" si="98"/>
        <v>0</v>
      </c>
      <c r="AB492" s="389">
        <f>K492+O492-Q492-U492-AA492</f>
        <v>0</v>
      </c>
      <c r="AC492" s="503">
        <f t="shared" si="96"/>
        <v>0</v>
      </c>
      <c r="AD492" s="389">
        <f t="shared" si="105"/>
        <v>0</v>
      </c>
    </row>
    <row r="493" spans="1:30" s="10" customFormat="1">
      <c r="A493" s="268"/>
      <c r="B493" s="267"/>
      <c r="C493" s="240"/>
      <c r="D493" s="6"/>
      <c r="E493" s="82">
        <f t="shared" ref="E493:N493" si="106">SUBTOTAL(9,E12:E492)</f>
        <v>29157</v>
      </c>
      <c r="F493" s="82">
        <f t="shared" si="106"/>
        <v>77476</v>
      </c>
      <c r="G493" s="82">
        <f t="shared" si="106"/>
        <v>183906</v>
      </c>
      <c r="H493" s="82">
        <f t="shared" si="106"/>
        <v>290539</v>
      </c>
      <c r="I493" s="82">
        <f t="shared" si="106"/>
        <v>191701</v>
      </c>
      <c r="J493" s="82">
        <f t="shared" si="106"/>
        <v>0</v>
      </c>
      <c r="K493" s="82">
        <f t="shared" si="106"/>
        <v>2982751877</v>
      </c>
      <c r="L493" s="82">
        <f t="shared" si="106"/>
        <v>482727</v>
      </c>
      <c r="M493" s="82">
        <f t="shared" si="106"/>
        <v>453427</v>
      </c>
      <c r="N493" s="82">
        <f t="shared" si="106"/>
        <v>21931451051</v>
      </c>
      <c r="O493" s="29">
        <f>'COGS(매출원가+재공품+완성제품)'!D7</f>
        <v>6782821106</v>
      </c>
      <c r="P493" s="82">
        <f t="shared" ref="P493:AA493" si="107">SUBTOTAL(9,P12:P492)</f>
        <v>445561</v>
      </c>
      <c r="Q493" s="82">
        <f t="shared" si="107"/>
        <v>6260644579</v>
      </c>
      <c r="R493" s="82">
        <f t="shared" si="107"/>
        <v>0</v>
      </c>
      <c r="S493" s="82">
        <f t="shared" si="107"/>
        <v>0</v>
      </c>
      <c r="T493" s="82">
        <f t="shared" si="107"/>
        <v>605</v>
      </c>
      <c r="U493" s="82">
        <f t="shared" si="107"/>
        <v>9593164</v>
      </c>
      <c r="V493" s="82">
        <f t="shared" si="107"/>
        <v>35663</v>
      </c>
      <c r="W493" s="82">
        <f t="shared" si="107"/>
        <v>90847</v>
      </c>
      <c r="X493" s="82">
        <f t="shared" si="107"/>
        <v>200590</v>
      </c>
      <c r="Y493" s="82">
        <f t="shared" si="107"/>
        <v>327100</v>
      </c>
      <c r="Z493" s="82">
        <f t="shared" si="107"/>
        <v>213036</v>
      </c>
      <c r="AA493" s="82">
        <f t="shared" si="107"/>
        <v>3495335232</v>
      </c>
      <c r="AB493" s="18"/>
      <c r="AC493" s="18"/>
      <c r="AD493" s="18"/>
    </row>
    <row r="494" spans="1:30">
      <c r="A494" s="303"/>
      <c r="B494" s="305"/>
      <c r="C494" s="306"/>
      <c r="D494" s="196"/>
      <c r="E494" s="177"/>
      <c r="F494" s="177"/>
      <c r="G494" s="177"/>
      <c r="H494" s="177"/>
      <c r="I494" s="177"/>
      <c r="J494" s="177"/>
      <c r="K494" s="177"/>
      <c r="L494" s="177"/>
      <c r="M494" s="177"/>
      <c r="N494" s="177"/>
      <c r="O494" s="177"/>
      <c r="P494" s="177"/>
      <c r="Q494" s="196"/>
      <c r="R494" s="177"/>
      <c r="S494" s="177"/>
      <c r="T494" s="177"/>
      <c r="U494" s="177"/>
      <c r="V494" s="177"/>
      <c r="W494" s="177"/>
      <c r="X494" s="177"/>
      <c r="Y494" s="177"/>
      <c r="Z494" s="177"/>
      <c r="AA494" s="177"/>
    </row>
    <row r="495" spans="1:30">
      <c r="A495" s="303"/>
      <c r="B495" s="305"/>
      <c r="C495" s="306"/>
      <c r="D495" s="196"/>
      <c r="E495" s="177"/>
      <c r="F495" s="177"/>
      <c r="G495" s="177"/>
      <c r="H495" s="177"/>
      <c r="I495" s="177"/>
      <c r="J495" s="177"/>
      <c r="K495" s="177"/>
      <c r="L495" s="177"/>
      <c r="N495" s="177"/>
      <c r="O495" s="177"/>
      <c r="P495" s="177"/>
      <c r="Q495" s="196"/>
      <c r="R495" s="177"/>
      <c r="S495" s="177"/>
      <c r="T495" s="177"/>
      <c r="U495" s="177"/>
      <c r="V495" s="177"/>
      <c r="W495" s="177"/>
      <c r="X495" s="177"/>
      <c r="Y495" s="177"/>
      <c r="Z495" s="177"/>
      <c r="AA495" s="177"/>
    </row>
    <row r="496" spans="1:30">
      <c r="A496" s="303"/>
      <c r="B496" s="305"/>
      <c r="C496" s="306"/>
      <c r="D496" s="196"/>
      <c r="E496" s="177"/>
      <c r="F496" s="177"/>
      <c r="G496" s="177"/>
      <c r="H496" s="177"/>
      <c r="I496" s="177"/>
      <c r="J496" s="177"/>
      <c r="K496" s="177"/>
      <c r="L496" s="177"/>
      <c r="M496" s="177"/>
      <c r="N496" s="177"/>
      <c r="O496" s="177"/>
      <c r="P496" s="177"/>
      <c r="Q496" s="196"/>
      <c r="R496" s="177"/>
      <c r="S496" s="177"/>
      <c r="T496" s="177"/>
      <c r="U496" s="177"/>
      <c r="V496" s="177"/>
      <c r="W496" s="177"/>
      <c r="X496" s="177"/>
      <c r="Y496" s="177"/>
      <c r="Z496" s="177"/>
      <c r="AA496" s="177"/>
    </row>
    <row r="497" spans="1:27">
      <c r="A497" s="303"/>
      <c r="B497" s="305"/>
      <c r="C497" s="306"/>
      <c r="D497" s="196"/>
      <c r="E497" s="177"/>
      <c r="F497" s="177"/>
      <c r="G497" s="177"/>
      <c r="H497" s="177"/>
      <c r="I497" s="177"/>
      <c r="J497" s="177"/>
      <c r="K497" s="177"/>
      <c r="L497" s="177"/>
      <c r="M497" s="177"/>
      <c r="N497" s="177"/>
      <c r="O497" s="177"/>
      <c r="P497" s="177"/>
      <c r="Q497" s="196"/>
      <c r="R497" s="177"/>
      <c r="S497" s="177"/>
      <c r="T497" s="177"/>
      <c r="U497" s="177"/>
      <c r="V497" s="177"/>
      <c r="W497" s="177"/>
      <c r="X497" s="177"/>
      <c r="Y497" s="177"/>
      <c r="Z497" s="177"/>
      <c r="AA497" s="177"/>
    </row>
    <row r="498" spans="1:27">
      <c r="A498" s="303"/>
      <c r="B498" s="305"/>
      <c r="C498" s="306"/>
      <c r="D498" s="196"/>
      <c r="E498" s="177"/>
      <c r="F498" s="177"/>
      <c r="G498" s="177"/>
      <c r="H498" s="177"/>
      <c r="I498" s="177"/>
      <c r="J498" s="177"/>
      <c r="K498" s="177"/>
      <c r="L498" s="177"/>
      <c r="M498" s="177"/>
      <c r="N498" s="177"/>
      <c r="O498" s="177"/>
      <c r="P498" s="177"/>
      <c r="Q498" s="196"/>
      <c r="R498" s="177"/>
      <c r="S498" s="177"/>
      <c r="T498" s="177"/>
      <c r="U498" s="177"/>
      <c r="V498" s="177"/>
      <c r="W498" s="177"/>
      <c r="X498" s="177"/>
      <c r="Y498" s="177"/>
      <c r="Z498" s="177"/>
      <c r="AA498" s="177"/>
    </row>
    <row r="499" spans="1:27">
      <c r="A499" s="303"/>
      <c r="B499" s="305"/>
      <c r="C499" s="306"/>
      <c r="D499" s="196"/>
      <c r="E499" s="177"/>
      <c r="F499" s="177"/>
      <c r="G499" s="177"/>
      <c r="H499" s="177"/>
      <c r="I499" s="177"/>
      <c r="J499" s="177"/>
      <c r="K499" s="177"/>
      <c r="L499" s="177"/>
      <c r="M499" s="177"/>
      <c r="N499" s="177"/>
      <c r="O499" s="177"/>
      <c r="P499" s="177"/>
      <c r="Q499" s="196"/>
      <c r="R499" s="177"/>
      <c r="S499" s="177"/>
      <c r="T499" s="177"/>
      <c r="U499" s="177"/>
      <c r="V499" s="177"/>
      <c r="W499" s="177"/>
      <c r="X499" s="177"/>
      <c r="Y499" s="177"/>
      <c r="Z499" s="177"/>
      <c r="AA499" s="177"/>
    </row>
    <row r="500" spans="1:27">
      <c r="A500" s="303"/>
      <c r="B500" s="305"/>
      <c r="C500" s="306"/>
      <c r="D500" s="196"/>
      <c r="E500" s="177"/>
      <c r="F500" s="177"/>
      <c r="G500" s="177"/>
      <c r="H500" s="177"/>
      <c r="I500" s="177"/>
      <c r="J500" s="177"/>
      <c r="K500" s="177"/>
      <c r="L500" s="177"/>
      <c r="M500" s="177"/>
      <c r="N500" s="177"/>
      <c r="O500" s="177"/>
      <c r="P500" s="177"/>
      <c r="Q500" s="196"/>
      <c r="R500" s="177"/>
      <c r="S500" s="177"/>
      <c r="T500" s="177"/>
      <c r="U500" s="177"/>
      <c r="V500" s="177"/>
      <c r="W500" s="177"/>
      <c r="X500" s="177"/>
      <c r="Y500" s="177"/>
      <c r="Z500" s="177"/>
      <c r="AA500" s="177"/>
    </row>
    <row r="501" spans="1:27">
      <c r="A501" s="303"/>
      <c r="B501" s="305"/>
      <c r="C501" s="306"/>
      <c r="D501" s="196"/>
      <c r="E501" s="177"/>
      <c r="F501" s="177"/>
      <c r="G501" s="177"/>
      <c r="H501" s="177"/>
      <c r="I501" s="177"/>
      <c r="J501" s="177"/>
      <c r="K501" s="177"/>
      <c r="L501" s="177"/>
      <c r="M501" s="177"/>
      <c r="N501" s="177"/>
      <c r="O501" s="177"/>
      <c r="P501" s="177"/>
      <c r="Q501" s="196"/>
      <c r="R501" s="177"/>
      <c r="S501" s="177"/>
      <c r="T501" s="177"/>
      <c r="U501" s="177"/>
      <c r="V501" s="177"/>
      <c r="W501" s="177"/>
      <c r="X501" s="177"/>
      <c r="Y501" s="177"/>
      <c r="Z501" s="177"/>
      <c r="AA501" s="177"/>
    </row>
    <row r="502" spans="1:27">
      <c r="A502" s="303"/>
      <c r="B502" s="305"/>
      <c r="C502" s="306"/>
      <c r="D502" s="196"/>
      <c r="E502" s="177"/>
      <c r="F502" s="177"/>
      <c r="G502" s="177"/>
      <c r="H502" s="177"/>
      <c r="I502" s="177"/>
      <c r="J502" s="177"/>
      <c r="K502" s="177"/>
      <c r="L502" s="177"/>
      <c r="M502" s="177"/>
      <c r="N502" s="177"/>
      <c r="O502" s="177"/>
      <c r="P502" s="177"/>
      <c r="Q502" s="196"/>
      <c r="R502" s="177"/>
      <c r="S502" s="177"/>
      <c r="T502" s="177"/>
      <c r="U502" s="177"/>
      <c r="V502" s="177"/>
      <c r="W502" s="177"/>
      <c r="X502" s="177"/>
      <c r="Y502" s="177"/>
      <c r="Z502" s="177"/>
      <c r="AA502" s="177"/>
    </row>
    <row r="503" spans="1:27">
      <c r="A503" s="303"/>
      <c r="B503" s="305"/>
      <c r="C503" s="306"/>
      <c r="D503" s="196"/>
      <c r="E503" s="177"/>
      <c r="F503" s="177"/>
      <c r="G503" s="177"/>
      <c r="H503" s="177"/>
      <c r="I503" s="177"/>
      <c r="J503" s="177"/>
      <c r="K503" s="177"/>
      <c r="L503" s="177"/>
      <c r="M503" s="177"/>
      <c r="N503" s="177"/>
      <c r="O503" s="177"/>
      <c r="P503" s="177"/>
      <c r="Q503" s="196"/>
      <c r="R503" s="177"/>
      <c r="S503" s="177"/>
      <c r="T503" s="177"/>
      <c r="U503" s="177"/>
      <c r="V503" s="177"/>
      <c r="W503" s="177"/>
      <c r="X503" s="177"/>
      <c r="Y503" s="177"/>
      <c r="Z503" s="177"/>
      <c r="AA503" s="177"/>
    </row>
    <row r="504" spans="1:27">
      <c r="A504" s="303"/>
      <c r="B504" s="305"/>
      <c r="C504" s="306"/>
      <c r="D504" s="196"/>
      <c r="E504" s="177"/>
      <c r="F504" s="177"/>
      <c r="G504" s="177"/>
      <c r="H504" s="177"/>
      <c r="I504" s="177"/>
      <c r="J504" s="177"/>
      <c r="K504" s="177"/>
      <c r="L504" s="177"/>
      <c r="M504" s="177"/>
      <c r="N504" s="177"/>
      <c r="O504" s="177"/>
      <c r="P504" s="177"/>
      <c r="Q504" s="196"/>
      <c r="R504" s="177"/>
      <c r="S504" s="177"/>
      <c r="T504" s="177"/>
      <c r="U504" s="177"/>
      <c r="V504" s="177"/>
      <c r="W504" s="177"/>
      <c r="X504" s="177"/>
      <c r="Y504" s="177"/>
      <c r="Z504" s="177"/>
      <c r="AA504" s="177"/>
    </row>
    <row r="505" spans="1:27">
      <c r="A505" s="303"/>
      <c r="B505" s="305"/>
      <c r="C505" s="306"/>
      <c r="D505" s="196"/>
      <c r="E505" s="177"/>
      <c r="F505" s="177"/>
      <c r="G505" s="177"/>
      <c r="H505" s="177"/>
      <c r="I505" s="177"/>
      <c r="J505" s="177"/>
      <c r="K505" s="177"/>
      <c r="L505" s="177"/>
      <c r="M505" s="177"/>
      <c r="N505" s="177"/>
      <c r="O505" s="177"/>
      <c r="P505" s="177"/>
      <c r="Q505" s="196"/>
      <c r="R505" s="177"/>
      <c r="S505" s="177"/>
      <c r="T505" s="177"/>
      <c r="U505" s="177"/>
      <c r="V505" s="177"/>
      <c r="W505" s="177"/>
      <c r="X505" s="177"/>
      <c r="Y505" s="177"/>
      <c r="Z505" s="177"/>
      <c r="AA505" s="177"/>
    </row>
    <row r="506" spans="1:27">
      <c r="A506" s="303"/>
      <c r="B506" s="305"/>
      <c r="C506" s="306"/>
      <c r="D506" s="196"/>
      <c r="E506" s="177"/>
      <c r="F506" s="177"/>
      <c r="G506" s="177"/>
      <c r="H506" s="177"/>
      <c r="I506" s="177"/>
      <c r="J506" s="177"/>
      <c r="K506" s="177"/>
      <c r="L506" s="177"/>
      <c r="M506" s="177"/>
      <c r="N506" s="177"/>
      <c r="O506" s="177"/>
      <c r="P506" s="177"/>
      <c r="Q506" s="196"/>
      <c r="R506" s="177"/>
      <c r="S506" s="177"/>
      <c r="T506" s="177"/>
      <c r="U506" s="177"/>
      <c r="V506" s="177"/>
      <c r="W506" s="177"/>
      <c r="X506" s="177"/>
      <c r="Y506" s="177"/>
      <c r="Z506" s="177"/>
      <c r="AA506" s="177"/>
    </row>
    <row r="507" spans="1:27">
      <c r="A507" s="303"/>
      <c r="B507" s="305"/>
      <c r="C507" s="306"/>
      <c r="D507" s="196"/>
      <c r="E507" s="177"/>
      <c r="F507" s="177"/>
      <c r="G507" s="177"/>
      <c r="H507" s="177"/>
      <c r="I507" s="177"/>
      <c r="J507" s="177"/>
      <c r="K507" s="177"/>
      <c r="L507" s="177"/>
      <c r="M507" s="177"/>
      <c r="N507" s="177"/>
      <c r="O507" s="177"/>
      <c r="P507" s="177"/>
      <c r="Q507" s="196"/>
      <c r="R507" s="177"/>
      <c r="S507" s="177"/>
      <c r="T507" s="177"/>
      <c r="U507" s="177"/>
      <c r="V507" s="177"/>
      <c r="W507" s="177"/>
      <c r="X507" s="177"/>
      <c r="Y507" s="177"/>
      <c r="Z507" s="177"/>
      <c r="AA507" s="177"/>
    </row>
    <row r="508" spans="1:27">
      <c r="A508" s="303"/>
      <c r="B508" s="305"/>
      <c r="C508" s="306"/>
      <c r="D508" s="196"/>
      <c r="E508" s="177"/>
      <c r="F508" s="177"/>
      <c r="G508" s="177"/>
      <c r="H508" s="177"/>
      <c r="I508" s="177"/>
      <c r="J508" s="177"/>
      <c r="K508" s="177"/>
      <c r="L508" s="177"/>
      <c r="M508" s="177"/>
      <c r="N508" s="177"/>
      <c r="O508" s="177"/>
      <c r="P508" s="177"/>
      <c r="Q508" s="196"/>
      <c r="R508" s="177"/>
      <c r="S508" s="177"/>
      <c r="T508" s="177"/>
      <c r="U508" s="177"/>
      <c r="V508" s="177"/>
      <c r="W508" s="177"/>
      <c r="X508" s="177"/>
      <c r="Y508" s="177"/>
      <c r="Z508" s="177"/>
      <c r="AA508" s="177"/>
    </row>
    <row r="509" spans="1:27">
      <c r="A509" s="303"/>
      <c r="B509" s="305"/>
      <c r="C509" s="306"/>
      <c r="D509" s="196"/>
      <c r="E509" s="177"/>
      <c r="F509" s="177"/>
      <c r="G509" s="177"/>
      <c r="H509" s="177"/>
      <c r="I509" s="177"/>
      <c r="J509" s="177"/>
      <c r="K509" s="177"/>
      <c r="L509" s="177"/>
      <c r="M509" s="177"/>
      <c r="N509" s="177"/>
      <c r="O509" s="177"/>
      <c r="P509" s="177"/>
      <c r="Q509" s="196"/>
      <c r="R509" s="177"/>
      <c r="S509" s="177"/>
      <c r="T509" s="177"/>
      <c r="U509" s="177"/>
      <c r="V509" s="177"/>
      <c r="W509" s="177"/>
      <c r="X509" s="177"/>
      <c r="Y509" s="177"/>
      <c r="Z509" s="177"/>
      <c r="AA509" s="177"/>
    </row>
    <row r="510" spans="1:27">
      <c r="A510" s="303"/>
      <c r="B510" s="305"/>
      <c r="C510" s="306"/>
      <c r="D510" s="196"/>
      <c r="E510" s="177"/>
      <c r="F510" s="177"/>
      <c r="G510" s="177"/>
      <c r="H510" s="177"/>
      <c r="I510" s="177"/>
      <c r="J510" s="177"/>
      <c r="K510" s="177"/>
      <c r="L510" s="177"/>
      <c r="M510" s="177"/>
      <c r="N510" s="177"/>
      <c r="O510" s="177"/>
      <c r="P510" s="177"/>
      <c r="Q510" s="196"/>
      <c r="R510" s="177"/>
      <c r="S510" s="177"/>
      <c r="T510" s="177"/>
      <c r="U510" s="177"/>
      <c r="V510" s="177"/>
      <c r="W510" s="177"/>
      <c r="X510" s="177"/>
      <c r="Y510" s="177"/>
      <c r="Z510" s="177"/>
      <c r="AA510" s="177"/>
    </row>
    <row r="511" spans="1:27">
      <c r="A511" s="303"/>
      <c r="B511" s="305"/>
      <c r="C511" s="306"/>
      <c r="D511" s="196"/>
      <c r="E511" s="177"/>
      <c r="F511" s="177"/>
      <c r="G511" s="177"/>
      <c r="H511" s="177"/>
      <c r="I511" s="177"/>
      <c r="J511" s="177"/>
      <c r="K511" s="177"/>
      <c r="L511" s="177"/>
      <c r="M511" s="177"/>
      <c r="N511" s="177"/>
      <c r="O511" s="177"/>
      <c r="P511" s="177"/>
      <c r="Q511" s="196"/>
      <c r="R511" s="177"/>
      <c r="S511" s="177"/>
      <c r="T511" s="177"/>
      <c r="U511" s="177"/>
      <c r="V511" s="177"/>
      <c r="W511" s="177"/>
      <c r="X511" s="177"/>
      <c r="Y511" s="177"/>
      <c r="Z511" s="177"/>
      <c r="AA511" s="177"/>
    </row>
    <row r="512" spans="1:27">
      <c r="A512" s="303"/>
      <c r="B512" s="305"/>
      <c r="C512" s="306"/>
      <c r="D512" s="196"/>
      <c r="E512" s="177"/>
      <c r="F512" s="177"/>
      <c r="G512" s="177"/>
      <c r="H512" s="177"/>
      <c r="I512" s="177"/>
      <c r="J512" s="177"/>
      <c r="K512" s="177"/>
      <c r="L512" s="177"/>
      <c r="M512" s="177"/>
      <c r="N512" s="177"/>
      <c r="O512" s="177"/>
      <c r="P512" s="177"/>
      <c r="Q512" s="196"/>
      <c r="R512" s="177"/>
      <c r="S512" s="177"/>
      <c r="T512" s="177"/>
      <c r="U512" s="177"/>
      <c r="V512" s="177"/>
      <c r="W512" s="177"/>
      <c r="X512" s="177"/>
      <c r="Y512" s="177"/>
      <c r="Z512" s="177"/>
      <c r="AA512" s="177"/>
    </row>
    <row r="513" spans="1:27">
      <c r="A513" s="303"/>
      <c r="B513" s="305"/>
      <c r="C513" s="306"/>
      <c r="D513" s="196"/>
      <c r="E513" s="177"/>
      <c r="F513" s="177"/>
      <c r="G513" s="177"/>
      <c r="H513" s="177"/>
      <c r="I513" s="177"/>
      <c r="J513" s="177"/>
      <c r="K513" s="177"/>
      <c r="L513" s="177"/>
      <c r="M513" s="177"/>
      <c r="N513" s="177"/>
      <c r="O513" s="177"/>
      <c r="P513" s="177"/>
      <c r="Q513" s="196"/>
      <c r="R513" s="177"/>
      <c r="S513" s="177"/>
      <c r="T513" s="177"/>
      <c r="U513" s="177"/>
      <c r="V513" s="177"/>
      <c r="W513" s="177"/>
      <c r="X513" s="177"/>
      <c r="Y513" s="177"/>
      <c r="Z513" s="177"/>
      <c r="AA513" s="177"/>
    </row>
    <row r="514" spans="1:27">
      <c r="A514" s="303"/>
      <c r="B514" s="305"/>
      <c r="C514" s="306"/>
      <c r="D514" s="196"/>
      <c r="E514" s="177"/>
      <c r="F514" s="177"/>
      <c r="G514" s="177"/>
      <c r="H514" s="177"/>
      <c r="I514" s="177"/>
      <c r="J514" s="177"/>
      <c r="K514" s="177"/>
      <c r="L514" s="177"/>
      <c r="M514" s="177"/>
      <c r="N514" s="177"/>
      <c r="O514" s="177"/>
      <c r="P514" s="177"/>
      <c r="Q514" s="196"/>
      <c r="R514" s="177"/>
      <c r="S514" s="177"/>
      <c r="T514" s="177"/>
      <c r="U514" s="177"/>
      <c r="V514" s="177"/>
      <c r="W514" s="177"/>
      <c r="X514" s="177"/>
      <c r="Y514" s="177"/>
      <c r="Z514" s="177"/>
      <c r="AA514" s="177"/>
    </row>
  </sheetData>
  <autoFilter ref="A11:AD492" xr:uid="{00000000-0009-0000-0000-000007000000}"/>
  <mergeCells count="21">
    <mergeCell ref="Z9:Z10"/>
    <mergeCell ref="V8:AA8"/>
    <mergeCell ref="O9:O10"/>
    <mergeCell ref="U9:U10"/>
    <mergeCell ref="T9:T10"/>
    <mergeCell ref="S9:S10"/>
    <mergeCell ref="P9:R9"/>
    <mergeCell ref="L8:O8"/>
    <mergeCell ref="P8:U8"/>
    <mergeCell ref="V9:Y9"/>
    <mergeCell ref="A8:A10"/>
    <mergeCell ref="I9:I10"/>
    <mergeCell ref="L9:L10"/>
    <mergeCell ref="M9:M10"/>
    <mergeCell ref="N9:N10"/>
    <mergeCell ref="C8:C10"/>
    <mergeCell ref="D8:D10"/>
    <mergeCell ref="B8:B10"/>
    <mergeCell ref="E8:K8"/>
    <mergeCell ref="J9:K9"/>
    <mergeCell ref="E9:H9"/>
  </mergeCells>
  <phoneticPr fontId="0" type="noConversion"/>
  <conditionalFormatting sqref="D8 W9:Y10 F9:K10 E8:E10 D10 A7 V8:V10 S8:U8 AA9:AA10 L8:R10 A11:AA11 A6:H6 A5:B5 A515:AA65323 D5 F5:AA5 A493:A514 D495:L495 N495:AA495 D496:AA514 D12:AA494 AB5:IG1048576">
    <cfRule type="cellIs" dxfId="10" priority="311" stopIfTrue="1" operator="lessThan">
      <formula>0</formula>
    </cfRule>
  </conditionalFormatting>
  <printOptions horizontalCentered="1"/>
  <pageMargins left="0" right="0" top="0" bottom="0" header="0" footer="0"/>
  <pageSetup paperSize="8" scale="65" fitToHeight="4" orientation="landscape" r:id="rId1"/>
  <headerFooter alignWithMargins="0">
    <oddFooter>Page &amp;P of &amp;N</oddFooter>
  </headerFooter>
  <ignoredErrors>
    <ignoredError sqref="K4" evalError="1"/>
  </ignoredError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AE493"/>
  <sheetViews>
    <sheetView view="pageBreakPreview" zoomScale="75" zoomScaleNormal="80" zoomScaleSheetLayoutView="75" workbookViewId="0">
      <pane ySplit="11" topLeftCell="A450" activePane="bottomLeft" state="frozen"/>
      <selection pane="bottomLeft"/>
    </sheetView>
  </sheetViews>
  <sheetFormatPr defaultColWidth="9.140625" defaultRowHeight="12.75"/>
  <cols>
    <col min="1" max="1" width="7.7109375" style="258" customWidth="1"/>
    <col min="2" max="2" width="16.42578125" style="11" customWidth="1"/>
    <col min="3" max="3" width="15.5703125" style="258" customWidth="1"/>
    <col min="4" max="4" width="12.140625" style="12" customWidth="1"/>
    <col min="5" max="8" width="11.28515625" style="11" customWidth="1"/>
    <col min="9" max="9" width="17.85546875" style="11" customWidth="1"/>
    <col min="10" max="10" width="10.85546875" style="11" customWidth="1"/>
    <col min="11" max="11" width="19.140625" style="11" customWidth="1"/>
    <col min="12" max="12" width="14" style="11" customWidth="1"/>
    <col min="13" max="13" width="16.140625" style="11" customWidth="1"/>
    <col min="14" max="14" width="19.28515625" style="11" customWidth="1"/>
    <col min="15" max="15" width="19.5703125" style="11" customWidth="1"/>
    <col min="16" max="16" width="14" style="11" customWidth="1"/>
    <col min="17" max="17" width="21.42578125" style="11" customWidth="1"/>
    <col min="18" max="18" width="7.5703125" style="11" hidden="1" customWidth="1"/>
    <col min="19" max="19" width="6.42578125" style="11" hidden="1" customWidth="1"/>
    <col min="20" max="20" width="10" style="11" customWidth="1"/>
    <col min="21" max="21" width="16" style="12" customWidth="1"/>
    <col min="22" max="22" width="11.5703125" style="11" customWidth="1"/>
    <col min="23" max="23" width="10.140625" style="11" customWidth="1"/>
    <col min="24" max="24" width="12.42578125" style="11" customWidth="1"/>
    <col min="25" max="25" width="13" style="11" customWidth="1"/>
    <col min="26" max="26" width="17.28515625" style="12" customWidth="1"/>
    <col min="27" max="27" width="32" style="11" bestFit="1" customWidth="1"/>
    <col min="28" max="28" width="16.28515625" style="177" customWidth="1"/>
    <col min="29" max="30" width="9.140625" style="177"/>
    <col min="31" max="31" width="17.5703125" style="177" customWidth="1"/>
    <col min="32" max="16384" width="9.140625" style="177"/>
  </cols>
  <sheetData>
    <row r="2" spans="1:31">
      <c r="A2" s="258">
        <f>'JUNE (물량흐름)'!A2</f>
        <v>0</v>
      </c>
      <c r="K2" s="19"/>
    </row>
    <row r="4" spans="1:31">
      <c r="U4" s="11"/>
      <c r="Z4" s="11"/>
    </row>
    <row r="5" spans="1:31">
      <c r="A5" s="360" t="s">
        <v>117</v>
      </c>
      <c r="O5" s="13"/>
      <c r="P5" s="628"/>
      <c r="Q5" s="628"/>
    </row>
    <row r="6" spans="1:31" ht="23.25" customHeight="1">
      <c r="A6" s="361" t="str">
        <f>'JUNE (물량흐름)'!A6</f>
        <v>THÁNG 06 /JUNE '18</v>
      </c>
      <c r="B6" s="362"/>
      <c r="C6" s="363"/>
      <c r="D6" s="364"/>
      <c r="E6" s="364"/>
      <c r="F6" s="364"/>
      <c r="G6" s="364"/>
      <c r="H6" s="436"/>
      <c r="I6" s="365"/>
      <c r="J6" s="365"/>
      <c r="K6" s="219"/>
      <c r="L6" s="219"/>
      <c r="M6" s="366"/>
      <c r="N6" s="366"/>
      <c r="O6" s="366"/>
      <c r="P6" s="366"/>
      <c r="Q6" s="44"/>
      <c r="R6" s="366"/>
      <c r="S6" s="366"/>
      <c r="T6" s="366"/>
      <c r="U6" s="366"/>
      <c r="V6" s="366"/>
      <c r="W6" s="366"/>
      <c r="X6" s="366"/>
      <c r="Y6" s="366"/>
      <c r="Z6" s="367"/>
      <c r="AA6" s="366"/>
    </row>
    <row r="7" spans="1:31" s="198" customFormat="1" ht="23.25" customHeight="1">
      <c r="A7" s="368"/>
      <c r="B7" s="366"/>
      <c r="C7" s="368"/>
      <c r="D7" s="366"/>
      <c r="E7" s="369">
        <f t="shared" ref="E7:Z7" si="0">SUBTOTAL(9,E12:E492)</f>
        <v>29157</v>
      </c>
      <c r="F7" s="369">
        <f t="shared" si="0"/>
        <v>77476</v>
      </c>
      <c r="G7" s="369">
        <f t="shared" si="0"/>
        <v>183906</v>
      </c>
      <c r="H7" s="369">
        <f t="shared" si="0"/>
        <v>290539</v>
      </c>
      <c r="I7" s="369">
        <f t="shared" si="0"/>
        <v>191701</v>
      </c>
      <c r="J7" s="369">
        <f t="shared" si="0"/>
        <v>0</v>
      </c>
      <c r="K7" s="369">
        <f t="shared" si="0"/>
        <v>5142904789</v>
      </c>
      <c r="L7" s="369">
        <f t="shared" si="0"/>
        <v>482727</v>
      </c>
      <c r="M7" s="369">
        <f t="shared" si="0"/>
        <v>453427</v>
      </c>
      <c r="N7" s="369">
        <f t="shared" si="0"/>
        <v>21931451051</v>
      </c>
      <c r="O7" s="369">
        <f t="shared" si="0"/>
        <v>13251858135</v>
      </c>
      <c r="P7" s="369">
        <f t="shared" si="0"/>
        <v>445561</v>
      </c>
      <c r="Q7" s="369">
        <f t="shared" si="0"/>
        <v>12031157198</v>
      </c>
      <c r="R7" s="369">
        <f t="shared" si="0"/>
        <v>0</v>
      </c>
      <c r="S7" s="369">
        <f t="shared" si="0"/>
        <v>0</v>
      </c>
      <c r="T7" s="369">
        <f t="shared" si="0"/>
        <v>605</v>
      </c>
      <c r="U7" s="369">
        <f t="shared" si="0"/>
        <v>18596975</v>
      </c>
      <c r="V7" s="369">
        <f t="shared" si="0"/>
        <v>35663</v>
      </c>
      <c r="W7" s="369">
        <f t="shared" si="0"/>
        <v>90847</v>
      </c>
      <c r="X7" s="369">
        <f t="shared" si="0"/>
        <v>200590</v>
      </c>
      <c r="Y7" s="369">
        <f t="shared" si="0"/>
        <v>327100</v>
      </c>
      <c r="Z7" s="369">
        <f t="shared" si="0"/>
        <v>213036</v>
      </c>
      <c r="AA7" s="369">
        <f>SUBTOTAL(9,AA12:AA492)</f>
        <v>6345008754</v>
      </c>
    </row>
    <row r="8" spans="1:31" s="303" customFormat="1" ht="21.75" customHeight="1">
      <c r="A8" s="614" t="s">
        <v>37</v>
      </c>
      <c r="B8" s="617" t="s">
        <v>175</v>
      </c>
      <c r="C8" s="617" t="s">
        <v>176</v>
      </c>
      <c r="D8" s="617" t="s">
        <v>64</v>
      </c>
      <c r="E8" s="633" t="s">
        <v>7</v>
      </c>
      <c r="F8" s="633"/>
      <c r="G8" s="633"/>
      <c r="H8" s="633"/>
      <c r="I8" s="633"/>
      <c r="J8" s="633"/>
      <c r="K8" s="633"/>
      <c r="L8" s="633" t="s">
        <v>13</v>
      </c>
      <c r="M8" s="633"/>
      <c r="N8" s="633"/>
      <c r="O8" s="633"/>
      <c r="P8" s="633" t="s">
        <v>14</v>
      </c>
      <c r="Q8" s="633"/>
      <c r="R8" s="633"/>
      <c r="S8" s="633"/>
      <c r="T8" s="633"/>
      <c r="U8" s="633"/>
      <c r="V8" s="633" t="s">
        <v>17</v>
      </c>
      <c r="W8" s="633"/>
      <c r="X8" s="633"/>
      <c r="Y8" s="633"/>
      <c r="Z8" s="633"/>
      <c r="AA8" s="631" t="s">
        <v>120</v>
      </c>
    </row>
    <row r="9" spans="1:31" s="303" customFormat="1" ht="38.25" customHeight="1">
      <c r="A9" s="615"/>
      <c r="B9" s="618"/>
      <c r="C9" s="618"/>
      <c r="D9" s="618"/>
      <c r="E9" s="630" t="s">
        <v>65</v>
      </c>
      <c r="F9" s="630"/>
      <c r="G9" s="630"/>
      <c r="H9" s="630"/>
      <c r="I9" s="629" t="s">
        <v>76</v>
      </c>
      <c r="J9" s="630" t="s">
        <v>10</v>
      </c>
      <c r="K9" s="630"/>
      <c r="L9" s="629" t="s">
        <v>74</v>
      </c>
      <c r="M9" s="629" t="s">
        <v>76</v>
      </c>
      <c r="N9" s="629" t="s">
        <v>75</v>
      </c>
      <c r="O9" s="629" t="s">
        <v>78</v>
      </c>
      <c r="P9" s="629" t="s">
        <v>79</v>
      </c>
      <c r="Q9" s="629" t="s">
        <v>54</v>
      </c>
      <c r="R9" s="629" t="s">
        <v>82</v>
      </c>
      <c r="S9" s="629" t="s">
        <v>80</v>
      </c>
      <c r="T9" s="629" t="s">
        <v>80</v>
      </c>
      <c r="U9" s="356" t="s">
        <v>118</v>
      </c>
      <c r="V9" s="630" t="s">
        <v>15</v>
      </c>
      <c r="W9" s="630"/>
      <c r="X9" s="630"/>
      <c r="Y9" s="630"/>
      <c r="Z9" s="618" t="s">
        <v>73</v>
      </c>
      <c r="AA9" s="632"/>
    </row>
    <row r="10" spans="1:31" s="303" customFormat="1" ht="51" customHeight="1">
      <c r="A10" s="615"/>
      <c r="B10" s="618"/>
      <c r="C10" s="618"/>
      <c r="D10" s="618"/>
      <c r="E10" s="221">
        <v>0.2</v>
      </c>
      <c r="F10" s="221">
        <v>0.5</v>
      </c>
      <c r="G10" s="221">
        <v>0.8</v>
      </c>
      <c r="H10" s="357" t="s">
        <v>11</v>
      </c>
      <c r="I10" s="629"/>
      <c r="J10" s="358" t="s">
        <v>53</v>
      </c>
      <c r="K10" s="358" t="s">
        <v>77</v>
      </c>
      <c r="L10" s="629"/>
      <c r="M10" s="629"/>
      <c r="N10" s="629"/>
      <c r="O10" s="630"/>
      <c r="P10" s="629"/>
      <c r="Q10" s="629"/>
      <c r="R10" s="630"/>
      <c r="S10" s="629"/>
      <c r="T10" s="629"/>
      <c r="U10" s="356" t="s">
        <v>3</v>
      </c>
      <c r="V10" s="221">
        <v>0.2</v>
      </c>
      <c r="W10" s="221">
        <v>0.5</v>
      </c>
      <c r="X10" s="221">
        <v>0.8</v>
      </c>
      <c r="Y10" s="357" t="s">
        <v>11</v>
      </c>
      <c r="Z10" s="634"/>
      <c r="AA10" s="632"/>
    </row>
    <row r="11" spans="1:31" s="303" customFormat="1">
      <c r="A11" s="265">
        <v>1</v>
      </c>
      <c r="B11" s="266">
        <v>3</v>
      </c>
      <c r="C11" s="266">
        <v>4</v>
      </c>
      <c r="D11" s="269">
        <v>5</v>
      </c>
      <c r="E11" s="266">
        <v>6</v>
      </c>
      <c r="F11" s="266">
        <v>7</v>
      </c>
      <c r="G11" s="266">
        <v>8</v>
      </c>
      <c r="H11" s="266">
        <v>9</v>
      </c>
      <c r="I11" s="266">
        <v>10</v>
      </c>
      <c r="J11" s="266">
        <v>11</v>
      </c>
      <c r="K11" s="266">
        <v>12</v>
      </c>
      <c r="L11" s="266">
        <v>13</v>
      </c>
      <c r="M11" s="266">
        <v>14</v>
      </c>
      <c r="N11" s="266">
        <v>15</v>
      </c>
      <c r="O11" s="266">
        <v>17</v>
      </c>
      <c r="P11" s="266">
        <v>18</v>
      </c>
      <c r="Q11" s="266">
        <v>19</v>
      </c>
      <c r="R11" s="266">
        <v>20</v>
      </c>
      <c r="S11" s="266">
        <v>21</v>
      </c>
      <c r="T11" s="266">
        <v>22</v>
      </c>
      <c r="U11" s="273">
        <v>23</v>
      </c>
      <c r="V11" s="266">
        <v>24</v>
      </c>
      <c r="W11" s="266">
        <v>25</v>
      </c>
      <c r="X11" s="266">
        <v>26</v>
      </c>
      <c r="Y11" s="266">
        <v>27</v>
      </c>
      <c r="Z11" s="274">
        <v>28</v>
      </c>
      <c r="AA11" s="270">
        <v>30</v>
      </c>
    </row>
    <row r="12" spans="1:31" s="390" customFormat="1" ht="24" customHeight="1">
      <c r="A12" s="167">
        <v>1</v>
      </c>
      <c r="B12" s="20" t="str">
        <f>IFERROR(VLOOKUP(A12,'JUNE (물량흐름)'!$A$13:$C$502,2,0),0)</f>
        <v>ALFANI</v>
      </c>
      <c r="C12" s="272">
        <f>VLOOKUP(A12,'JUNE (물량흐름)'!$A$13:$C$502,3,0)</f>
        <v>69717</v>
      </c>
      <c r="D12" s="6">
        <f>VLOOKUP(C12,'WIP(재공품)'!$B$12:$E$493,4,0)</f>
        <v>46937.25</v>
      </c>
      <c r="E12" s="6">
        <f>IFERROR(VLOOKUP(C12,O.B.JUNE!$AI$7:$AJ$448,2,0),0)</f>
        <v>906</v>
      </c>
      <c r="F12" s="6">
        <f>IFERROR(VLOOKUP(C12,O.B.JUNE!$AI$7:$AK$448,3,0),0)</f>
        <v>1305</v>
      </c>
      <c r="G12" s="6">
        <f>IFERROR(VLOOKUP(C12,O.B.JUNE!$AI$7:$AL$448,4,0),0)</f>
        <v>1244</v>
      </c>
      <c r="H12" s="6">
        <f t="shared" ref="H12" si="1">+E12+F12+G12</f>
        <v>3455</v>
      </c>
      <c r="I12" s="6">
        <f>IFERROR(VLOOKUP(C12,O.B.JUNE!$AI$7:$AN$448,6,0),0)</f>
        <v>1829</v>
      </c>
      <c r="J12" s="6"/>
      <c r="K12" s="6">
        <f>IFERROR(VLOOKUP(C12,O.B.JUNE!$AI$7:$AO$448,7,0),0)</f>
        <v>24455195</v>
      </c>
      <c r="L12" s="6">
        <f>SUMIF('JUNE (물량흐름)'!$C$13:$C$488,'Overhead exp(제조경비)'!C12,'JUNE (물량흐름)'!$H$13:$H$493)+SUMIF('JUNE (물량흐름)'!$C$13:$C$493,'Overhead exp(제조경비)'!C12,'JUNE (물량흐름)'!$V$13:$V$493)</f>
        <v>0</v>
      </c>
      <c r="M12" s="6">
        <f>IF(OR(L12&lt;=0,P12+T12+R12+Z12-I12&lt;0),0,ROUND(P12+T12+R12+Z12-I12,0))</f>
        <v>0</v>
      </c>
      <c r="N12" s="6">
        <f>ROUND(M12*D12,0)</f>
        <v>0</v>
      </c>
      <c r="O12" s="6">
        <f t="shared" ref="O12:O43" si="2">ROUND(M12*D12*$O$493/$N$493,0)</f>
        <v>0</v>
      </c>
      <c r="P12" s="6">
        <f>SUMIF('JUNE (물량흐름)'!$C$13:$C$502,C12,'JUNE (물량흐름)'!$T$13:$T$502)+SUMIF('JUNE (물량흐름)'!$C$13:$C$502,C12,'JUNE (물량흐름)'!$V$13:$V$502)+SUMIF('JUNE (물량흐름)'!$C$13:$C$502,C12,'JUNE (물량흐름)'!$U$13:$U$502)-SUMIF('JUNE (물량흐름)'!$C$13:$C$502,C12,'JUNE (물량흐름)'!$Y$13:$Y$502)</f>
        <v>2500</v>
      </c>
      <c r="Q12" s="6">
        <f>IFERROR(ROUND(IF(OR(P12&lt;=0,($I12+$M12)=0),$P12*($K12+$O12)/($I12+$M12),$P12*($K12+$O12)/($H12+$L12)),0),0)</f>
        <v>17695510</v>
      </c>
      <c r="R12" s="6">
        <f>IF(ISERROR(VLOOKUP(#REF!,'WIP(재공품)'!$B$12:$AB$38,13,0)),0,VLOOKUP(#REF!,'WIP(재공품)'!$B$12:$AB$38,13,0))</f>
        <v>0</v>
      </c>
      <c r="S12" s="6">
        <f>IF(ISERROR(VLOOKUP(#REF!,'WIP(재공품)'!$B$12:$AB$38,10,0)),0,VLOOKUP(#REF!,'WIP(재공품)'!$B$12:$AB$38,10,0))</f>
        <v>0</v>
      </c>
      <c r="T12" s="6">
        <f>SUMIF('JUNE (물량흐름)'!$C$13:$C$502,'Overhead exp(제조경비)'!C12,'JUNE (물량흐름)'!$Y$13:$Y$502)</f>
        <v>0</v>
      </c>
      <c r="U12" s="6">
        <f>IFERROR(ROUND(IF(AND(T12&lt;=0,($I12+$M12)=0),T12*(K12+O12)/(I12+M12),T12*(K12+O12)/(H12+L12)),0),0)</f>
        <v>0</v>
      </c>
      <c r="V12" s="6">
        <f>ROUND(SUMIF('JUNE (물량흐름)'!$C$13:$C$502,'Overhead exp(제조경비)'!C12,'JUNE (물량흐름)'!$N$13:$N$502),0)</f>
        <v>0</v>
      </c>
      <c r="W12" s="6">
        <f>ROUND(SUMIF('JUNE (물량흐름)'!$C$13:$C$502,'Overhead exp(제조경비)'!C12,'JUNE (물량흐름)'!$O$13:$O$502),0)</f>
        <v>224</v>
      </c>
      <c r="X12" s="6">
        <f>ROUND(SUMIF('JUNE (물량흐름)'!$C$13:$C$502,'Overhead exp(제조경비)'!C12,'JUNE (물량흐름)'!$P$13:$P$502),0)</f>
        <v>731</v>
      </c>
      <c r="Y12" s="6">
        <f>ROUND(SUM(V12:X12),0)</f>
        <v>955</v>
      </c>
      <c r="Z12" s="6">
        <f>ROUND(V12*$V$10+W12*$W$10+X12*$X$10,0)</f>
        <v>697</v>
      </c>
      <c r="AA12" s="6">
        <f>IFERROR(ROUND(IF(OR(Z12&lt;=0,($I12+$M12)=0),$Z12*($K12+$O12)/($I12+$M12),$Y12*($K12+$O12)/($H12+$L12)),0),0)</f>
        <v>6759685</v>
      </c>
      <c r="AB12" s="391">
        <f>K12+O12-Q12-U12-AA12</f>
        <v>0</v>
      </c>
      <c r="AC12" s="391">
        <f>H12+L12-P12-T12-Y12</f>
        <v>0</v>
      </c>
      <c r="AE12" s="393"/>
    </row>
    <row r="13" spans="1:31" s="390" customFormat="1" ht="24" customHeight="1">
      <c r="A13" s="167">
        <v>2</v>
      </c>
      <c r="B13" s="20" t="str">
        <f>IFERROR(VLOOKUP(A13,'JUNE (물량흐름)'!$A$13:$C$502,2,0),0)</f>
        <v>ALFANI</v>
      </c>
      <c r="C13" s="272">
        <f>VLOOKUP(A13,'JUNE (물량흐름)'!$A$13:$C$502,3,0)</f>
        <v>73738</v>
      </c>
      <c r="D13" s="6">
        <f>VLOOKUP(C13,'WIP(재공품)'!$B$12:$E$493,4,0)</f>
        <v>40815</v>
      </c>
      <c r="E13" s="6">
        <f>IFERROR(VLOOKUP(C13,O.B.JUNE!$AI$7:$AJ$448,2,0),0)</f>
        <v>0</v>
      </c>
      <c r="F13" s="6">
        <f>IFERROR(VLOOKUP(C13,O.B.JUNE!$AI$7:$AK$448,3,0),0)</f>
        <v>0</v>
      </c>
      <c r="G13" s="6">
        <f>IFERROR(VLOOKUP(C13,O.B.JUNE!$AI$7:$AL$448,4,0),0)</f>
        <v>473</v>
      </c>
      <c r="H13" s="6">
        <f t="shared" ref="H13:H76" si="3">+E13+F13+G13</f>
        <v>473</v>
      </c>
      <c r="I13" s="6">
        <f>IFERROR(VLOOKUP(C13,O.B.JUNE!$AI$7:$AN$448,6,0),0)</f>
        <v>378</v>
      </c>
      <c r="J13" s="6"/>
      <c r="K13" s="6">
        <f>IFERROR(VLOOKUP(C13,O.B.JUNE!$AI$7:$AO$448,7,0),0)</f>
        <v>8581603</v>
      </c>
      <c r="L13" s="6">
        <f>SUMIF('JUNE (물량흐름)'!$C$13:$C$488,'Overhead exp(제조경비)'!C13,'JUNE (물량흐름)'!$H$13:$H$493)+SUMIF('JUNE (물량흐름)'!$C$13:$C$493,'Overhead exp(제조경비)'!C13,'JUNE (물량흐름)'!$V$13:$V$493)</f>
        <v>0</v>
      </c>
      <c r="M13" s="6">
        <f t="shared" ref="M13:M76" si="4">IF(OR(L13&lt;=0,P13+T13+R13+Z13-I13&lt;0),0,ROUND(P13+T13+R13+Z13-I13,0))</f>
        <v>0</v>
      </c>
      <c r="N13" s="6">
        <f t="shared" ref="N13:N76" si="5">ROUND(M13*D13,0)</f>
        <v>0</v>
      </c>
      <c r="O13" s="6">
        <f t="shared" si="2"/>
        <v>0</v>
      </c>
      <c r="P13" s="6">
        <f>SUMIF('JUNE (물량흐름)'!$C$13:$C$502,C13,'JUNE (물량흐름)'!$T$13:$T$502)+SUMIF('JUNE (물량흐름)'!$C$13:$C$502,C13,'JUNE (물량흐름)'!$V$13:$V$502)+SUMIF('JUNE (물량흐름)'!$C$13:$C$502,C13,'JUNE (물량흐름)'!$U$13:$U$502)-SUMIF('JUNE (물량흐름)'!$C$13:$C$502,C13,'JUNE (물량흐름)'!$Y$13:$Y$502)</f>
        <v>473</v>
      </c>
      <c r="Q13" s="6">
        <f t="shared" ref="Q13:Q76" si="6">IFERROR(ROUND(IF(OR(P13&lt;=0,($I13+$M13)=0),$P13*($K13+$O13)/($I13+$M13),$P13*($K13+$O13)/($H13+$L13)),0),0)</f>
        <v>8581603</v>
      </c>
      <c r="R13" s="6">
        <f>IF(ISERROR(VLOOKUP(#REF!,'WIP(재공품)'!$B$12:$AB$38,13,0)),0,VLOOKUP(#REF!,'WIP(재공품)'!$B$12:$AB$38,13,0))</f>
        <v>0</v>
      </c>
      <c r="S13" s="6">
        <f>IF(ISERROR(VLOOKUP(#REF!,'WIP(재공품)'!$B$12:$AB$38,10,0)),0,VLOOKUP(#REF!,'WIP(재공품)'!$B$12:$AB$38,10,0))</f>
        <v>0</v>
      </c>
      <c r="T13" s="6">
        <f>SUMIF('JUNE (물량흐름)'!$C$13:$C$502,'Overhead exp(제조경비)'!C13,'JUNE (물량흐름)'!$Y$13:$Y$502)</f>
        <v>0</v>
      </c>
      <c r="U13" s="6">
        <f t="shared" ref="U13:U76" si="7">IFERROR(ROUND(IF(AND(T13&lt;=0,($I13+$M13)=0),T13*(K13+O13)/(I13+M13),T13*(K13+O13)/(H13+L13)),0),0)</f>
        <v>0</v>
      </c>
      <c r="V13" s="6">
        <f>ROUND(SUMIF('JUNE (물량흐름)'!$C$13:$C$502,'Overhead exp(제조경비)'!C13,'JUNE (물량흐름)'!$N$13:$N$502),0)</f>
        <v>0</v>
      </c>
      <c r="W13" s="6">
        <f>ROUND(SUMIF('JUNE (물량흐름)'!$C$13:$C$502,'Overhead exp(제조경비)'!C13,'JUNE (물량흐름)'!$O$13:$O$502),0)</f>
        <v>0</v>
      </c>
      <c r="X13" s="6">
        <f>ROUND(SUMIF('JUNE (물량흐름)'!$C$13:$C$502,'Overhead exp(제조경비)'!C13,'JUNE (물량흐름)'!$P$13:$P$502),0)</f>
        <v>0</v>
      </c>
      <c r="Y13" s="6">
        <f t="shared" ref="Y13:Y76" si="8">ROUND(SUM(V13:X13),0)</f>
        <v>0</v>
      </c>
      <c r="Z13" s="6">
        <f t="shared" ref="Z13:Z76" si="9">ROUND(V13*$V$10+W13*$W$10+X13*$X$10,0)</f>
        <v>0</v>
      </c>
      <c r="AA13" s="6">
        <f t="shared" ref="AA13:AA76" si="10">IFERROR(ROUND(IF(OR(Z13&lt;=0,($I13+$M13)=0),$Z13*($K13+$O13)/($I13+$M13),$Y13*($K13+$O13)/($H13+$L13)),0),0)</f>
        <v>0</v>
      </c>
      <c r="AB13" s="391">
        <f t="shared" ref="AB13:AB76" si="11">K13+O13-Q13-U13-AA13</f>
        <v>0</v>
      </c>
      <c r="AC13" s="391">
        <f t="shared" ref="AC13:AC76" si="12">H13+L13-P13-T13-Y13</f>
        <v>0</v>
      </c>
      <c r="AE13" s="393"/>
    </row>
    <row r="14" spans="1:31" s="390" customFormat="1" ht="24" customHeight="1">
      <c r="A14" s="167">
        <v>3</v>
      </c>
      <c r="B14" s="20" t="str">
        <f>IFERROR(VLOOKUP(A14,'JUNE (물량흐름)'!$A$13:$C$502,2,0),0)</f>
        <v>ALFANI</v>
      </c>
      <c r="C14" s="272">
        <f>VLOOKUP(A14,'JUNE (물량흐름)'!$A$13:$C$502,3,0)</f>
        <v>73746</v>
      </c>
      <c r="D14" s="6">
        <f>VLOOKUP(C14,'WIP(재공품)'!$B$12:$E$493,4,0)</f>
        <v>7936.2499999999991</v>
      </c>
      <c r="E14" s="6">
        <f>IFERROR(VLOOKUP(C14,O.B.JUNE!$AI$7:$AJ$448,2,0),0)</f>
        <v>0</v>
      </c>
      <c r="F14" s="6">
        <f>IFERROR(VLOOKUP(C14,O.B.JUNE!$AI$7:$AK$448,3,0),0)</f>
        <v>0</v>
      </c>
      <c r="G14" s="6">
        <f>IFERROR(VLOOKUP(C14,O.B.JUNE!$AI$7:$AL$448,4,0),0)</f>
        <v>0</v>
      </c>
      <c r="H14" s="6">
        <f t="shared" si="3"/>
        <v>0</v>
      </c>
      <c r="I14" s="6">
        <f>IFERROR(VLOOKUP(C14,O.B.JUNE!$AI$7:$AN$448,6,0),0)</f>
        <v>0</v>
      </c>
      <c r="J14" s="6"/>
      <c r="K14" s="6">
        <f>IFERROR(VLOOKUP(C14,O.B.JUNE!$AI$7:$AO$448,7,0),0)</f>
        <v>0</v>
      </c>
      <c r="L14" s="6">
        <f>SUMIF('JUNE (물량흐름)'!$C$13:$C$488,'Overhead exp(제조경비)'!C14,'JUNE (물량흐름)'!$H$13:$H$493)+SUMIF('JUNE (물량흐름)'!$C$13:$C$493,'Overhead exp(제조경비)'!C14,'JUNE (물량흐름)'!$V$13:$V$493)</f>
        <v>0</v>
      </c>
      <c r="M14" s="6">
        <f t="shared" si="4"/>
        <v>0</v>
      </c>
      <c r="N14" s="6">
        <f t="shared" si="5"/>
        <v>0</v>
      </c>
      <c r="O14" s="6">
        <f t="shared" si="2"/>
        <v>0</v>
      </c>
      <c r="P14" s="6">
        <f>SUMIF('JUNE (물량흐름)'!$C$13:$C$502,C14,'JUNE (물량흐름)'!$T$13:$T$502)+SUMIF('JUNE (물량흐름)'!$C$13:$C$502,C14,'JUNE (물량흐름)'!$V$13:$V$502)+SUMIF('JUNE (물량흐름)'!$C$13:$C$502,C14,'JUNE (물량흐름)'!$U$13:$U$502)-SUMIF('JUNE (물량흐름)'!$C$13:$C$502,C14,'JUNE (물량흐름)'!$Y$13:$Y$502)</f>
        <v>0</v>
      </c>
      <c r="Q14" s="6">
        <f t="shared" si="6"/>
        <v>0</v>
      </c>
      <c r="R14" s="6">
        <f>IF(ISERROR(VLOOKUP(#REF!,'WIP(재공품)'!$B$12:$AB$38,13,0)),0,VLOOKUP(#REF!,'WIP(재공품)'!$B$12:$AB$38,13,0))</f>
        <v>0</v>
      </c>
      <c r="S14" s="6">
        <f>IF(ISERROR(VLOOKUP(#REF!,'WIP(재공품)'!$B$12:$AB$38,10,0)),0,VLOOKUP(#REF!,'WIP(재공품)'!$B$12:$AB$38,10,0))</f>
        <v>0</v>
      </c>
      <c r="T14" s="6">
        <f>SUMIF('JUNE (물량흐름)'!$C$13:$C$502,'Overhead exp(제조경비)'!C14,'JUNE (물량흐름)'!$Y$13:$Y$502)</f>
        <v>0</v>
      </c>
      <c r="U14" s="6">
        <f t="shared" si="7"/>
        <v>0</v>
      </c>
      <c r="V14" s="6">
        <f>ROUND(SUMIF('JUNE (물량흐름)'!$C$13:$C$502,'Overhead exp(제조경비)'!C14,'JUNE (물량흐름)'!$N$13:$N$502),0)</f>
        <v>0</v>
      </c>
      <c r="W14" s="6">
        <f>ROUND(SUMIF('JUNE (물량흐름)'!$C$13:$C$502,'Overhead exp(제조경비)'!C14,'JUNE (물량흐름)'!$O$13:$O$502),0)</f>
        <v>0</v>
      </c>
      <c r="X14" s="6">
        <f>ROUND(SUMIF('JUNE (물량흐름)'!$C$13:$C$502,'Overhead exp(제조경비)'!C14,'JUNE (물량흐름)'!$P$13:$P$502),0)</f>
        <v>0</v>
      </c>
      <c r="Y14" s="6">
        <f t="shared" si="8"/>
        <v>0</v>
      </c>
      <c r="Z14" s="6">
        <f t="shared" si="9"/>
        <v>0</v>
      </c>
      <c r="AA14" s="6">
        <f t="shared" si="10"/>
        <v>0</v>
      </c>
      <c r="AB14" s="391">
        <f t="shared" si="11"/>
        <v>0</v>
      </c>
      <c r="AC14" s="391">
        <f t="shared" si="12"/>
        <v>0</v>
      </c>
      <c r="AE14" s="393"/>
    </row>
    <row r="15" spans="1:31" s="390" customFormat="1" ht="24" customHeight="1">
      <c r="A15" s="167">
        <v>4</v>
      </c>
      <c r="B15" s="20" t="str">
        <f>IFERROR(VLOOKUP(A15,'JUNE (물량흐름)'!$A$13:$C$502,2,0),0)</f>
        <v>ALFANI</v>
      </c>
      <c r="C15" s="272">
        <f>VLOOKUP(A15,'JUNE (물량흐름)'!$A$13:$C$502,3,0)</f>
        <v>74211</v>
      </c>
      <c r="D15" s="6">
        <f>VLOOKUP(C15,'WIP(재공품)'!$B$12:$E$493,4,0)</f>
        <v>45350</v>
      </c>
      <c r="E15" s="6">
        <f>IFERROR(VLOOKUP(C15,O.B.JUNE!$AI$7:$AJ$448,2,0),0)</f>
        <v>0</v>
      </c>
      <c r="F15" s="6">
        <f>IFERROR(VLOOKUP(C15,O.B.JUNE!$AI$7:$AK$448,3,0),0)</f>
        <v>0</v>
      </c>
      <c r="G15" s="6">
        <f>IFERROR(VLOOKUP(C15,O.B.JUNE!$AI$7:$AL$448,4,0),0)</f>
        <v>37</v>
      </c>
      <c r="H15" s="6">
        <f t="shared" si="3"/>
        <v>37</v>
      </c>
      <c r="I15" s="6">
        <f>IFERROR(VLOOKUP(C15,O.B.JUNE!$AI$7:$AN$448,6,0),0)</f>
        <v>30</v>
      </c>
      <c r="J15" s="6"/>
      <c r="K15" s="6">
        <f>IFERROR(VLOOKUP(C15,O.B.JUNE!$AI$7:$AO$448,7,0),0)</f>
        <v>387617</v>
      </c>
      <c r="L15" s="6">
        <f>SUMIF('JUNE (물량흐름)'!$C$13:$C$488,'Overhead exp(제조경비)'!C15,'JUNE (물량흐름)'!$H$13:$H$493)+SUMIF('JUNE (물량흐름)'!$C$13:$C$493,'Overhead exp(제조경비)'!C15,'JUNE (물량흐름)'!$V$13:$V$493)</f>
        <v>0</v>
      </c>
      <c r="M15" s="6">
        <f t="shared" si="4"/>
        <v>0</v>
      </c>
      <c r="N15" s="6">
        <f t="shared" si="5"/>
        <v>0</v>
      </c>
      <c r="O15" s="6">
        <f t="shared" si="2"/>
        <v>0</v>
      </c>
      <c r="P15" s="6">
        <f>SUMIF('JUNE (물량흐름)'!$C$13:$C$502,C15,'JUNE (물량흐름)'!$T$13:$T$502)+SUMIF('JUNE (물량흐름)'!$C$13:$C$502,C15,'JUNE (물량흐름)'!$V$13:$V$502)+SUMIF('JUNE (물량흐름)'!$C$13:$C$502,C15,'JUNE (물량흐름)'!$U$13:$U$502)-SUMIF('JUNE (물량흐름)'!$C$13:$C$502,C15,'JUNE (물량흐름)'!$Y$13:$Y$502)</f>
        <v>37</v>
      </c>
      <c r="Q15" s="6">
        <f t="shared" si="6"/>
        <v>387617</v>
      </c>
      <c r="R15" s="6">
        <f>IF(ISERROR(VLOOKUP(#REF!,'WIP(재공품)'!$B$12:$AB$38,13,0)),0,VLOOKUP(#REF!,'WIP(재공품)'!$B$12:$AB$38,13,0))</f>
        <v>0</v>
      </c>
      <c r="S15" s="6">
        <f>IF(ISERROR(VLOOKUP(#REF!,'WIP(재공품)'!$B$12:$AB$38,10,0)),0,VLOOKUP(#REF!,'WIP(재공품)'!$B$12:$AB$38,10,0))</f>
        <v>0</v>
      </c>
      <c r="T15" s="6">
        <f>SUMIF('JUNE (물량흐름)'!$C$13:$C$502,'Overhead exp(제조경비)'!C15,'JUNE (물량흐름)'!$Y$13:$Y$502)</f>
        <v>0</v>
      </c>
      <c r="U15" s="6">
        <f t="shared" si="7"/>
        <v>0</v>
      </c>
      <c r="V15" s="6">
        <f>ROUND(SUMIF('JUNE (물량흐름)'!$C$13:$C$502,'Overhead exp(제조경비)'!C15,'JUNE (물량흐름)'!$N$13:$N$502),0)</f>
        <v>0</v>
      </c>
      <c r="W15" s="6">
        <f>ROUND(SUMIF('JUNE (물량흐름)'!$C$13:$C$502,'Overhead exp(제조경비)'!C15,'JUNE (물량흐름)'!$O$13:$O$502),0)</f>
        <v>0</v>
      </c>
      <c r="X15" s="6">
        <f>ROUND(SUMIF('JUNE (물량흐름)'!$C$13:$C$502,'Overhead exp(제조경비)'!C15,'JUNE (물량흐름)'!$P$13:$P$502),0)</f>
        <v>0</v>
      </c>
      <c r="Y15" s="6">
        <f t="shared" si="8"/>
        <v>0</v>
      </c>
      <c r="Z15" s="6">
        <f t="shared" si="9"/>
        <v>0</v>
      </c>
      <c r="AA15" s="6">
        <f t="shared" si="10"/>
        <v>0</v>
      </c>
      <c r="AB15" s="391">
        <f t="shared" si="11"/>
        <v>0</v>
      </c>
      <c r="AC15" s="391">
        <f t="shared" si="12"/>
        <v>0</v>
      </c>
      <c r="AE15" s="393"/>
    </row>
    <row r="16" spans="1:31" s="390" customFormat="1" ht="24" customHeight="1">
      <c r="A16" s="167">
        <v>5</v>
      </c>
      <c r="B16" s="20" t="str">
        <f>IFERROR(VLOOKUP(A16,'JUNE (물량흐름)'!$A$13:$C$502,2,0),0)</f>
        <v>ALFANI</v>
      </c>
      <c r="C16" s="272">
        <f>VLOOKUP(A16,'JUNE (물량흐름)'!$A$13:$C$502,3,0)</f>
        <v>2072</v>
      </c>
      <c r="D16" s="6">
        <f>VLOOKUP(C16,'WIP(재공품)'!$B$12:$E$493,4,0)</f>
        <v>28570.5</v>
      </c>
      <c r="E16" s="6">
        <f>IFERROR(VLOOKUP(C16,O.B.JUNE!$AI$7:$AJ$448,2,0),0)</f>
        <v>64</v>
      </c>
      <c r="F16" s="6">
        <f>IFERROR(VLOOKUP(C16,O.B.JUNE!$AI$7:$AK$448,3,0),0)</f>
        <v>861</v>
      </c>
      <c r="G16" s="6">
        <f>IFERROR(VLOOKUP(C16,O.B.JUNE!$AI$7:$AL$448,4,0),0)</f>
        <v>9453</v>
      </c>
      <c r="H16" s="6">
        <f t="shared" si="3"/>
        <v>10378</v>
      </c>
      <c r="I16" s="6">
        <f>IFERROR(VLOOKUP(C16,O.B.JUNE!$AI$7:$AN$448,6,0),0)</f>
        <v>8006</v>
      </c>
      <c r="J16" s="6"/>
      <c r="K16" s="6">
        <f>IFERROR(VLOOKUP(C16,O.B.JUNE!$AI$7:$AO$448,7,0),0)</f>
        <v>156420337</v>
      </c>
      <c r="L16" s="6">
        <f>SUMIF('JUNE (물량흐름)'!$C$13:$C$488,'Overhead exp(제조경비)'!C16,'JUNE (물량흐름)'!$H$13:$H$493)+SUMIF('JUNE (물량흐름)'!$C$13:$C$493,'Overhead exp(제조경비)'!C16,'JUNE (물량흐름)'!$V$13:$V$493)</f>
        <v>17463</v>
      </c>
      <c r="M16" s="6">
        <f t="shared" si="4"/>
        <v>17194</v>
      </c>
      <c r="N16" s="6">
        <f t="shared" si="5"/>
        <v>491241177</v>
      </c>
      <c r="O16" s="6">
        <f t="shared" si="2"/>
        <v>296827528</v>
      </c>
      <c r="P16" s="6">
        <f>SUMIF('JUNE (물량흐름)'!$C$13:$C$502,C16,'JUNE (물량흐름)'!$T$13:$T$502)+SUMIF('JUNE (물량흐름)'!$C$13:$C$502,C16,'JUNE (물량흐름)'!$V$13:$V$502)+SUMIF('JUNE (물량흐름)'!$C$13:$C$502,C16,'JUNE (물량흐름)'!$U$13:$U$502)-SUMIF('JUNE (물량흐름)'!$C$13:$C$502,C16,'JUNE (물량흐름)'!$Y$13:$Y$502)</f>
        <v>15677</v>
      </c>
      <c r="Q16" s="6">
        <f t="shared" si="6"/>
        <v>255219524</v>
      </c>
      <c r="R16" s="6">
        <f>IF(ISERROR(VLOOKUP(#REF!,'WIP(재공품)'!$B$12:$AB$38,13,0)),0,VLOOKUP(#REF!,'WIP(재공품)'!$B$12:$AB$38,13,0))</f>
        <v>0</v>
      </c>
      <c r="S16" s="6">
        <f>IF(ISERROR(VLOOKUP(#REF!,'WIP(재공품)'!$B$12:$AB$38,10,0)),0,VLOOKUP(#REF!,'WIP(재공품)'!$B$12:$AB$38,10,0))</f>
        <v>0</v>
      </c>
      <c r="T16" s="6">
        <f>SUMIF('JUNE (물량흐름)'!$C$13:$C$502,'Overhead exp(제조경비)'!C16,'JUNE (물량흐름)'!$Y$13:$Y$502)</f>
        <v>0</v>
      </c>
      <c r="U16" s="6">
        <f t="shared" si="7"/>
        <v>0</v>
      </c>
      <c r="V16" s="6">
        <f>ROUND(SUMIF('JUNE (물량흐름)'!$C$13:$C$502,'Overhead exp(제조경비)'!C16,'JUNE (물량흐름)'!$N$13:$N$502),0)</f>
        <v>50</v>
      </c>
      <c r="W16" s="6">
        <f>ROUND(SUMIF('JUNE (물량흐름)'!$C$13:$C$502,'Overhead exp(제조경비)'!C16,'JUNE (물량흐름)'!$O$13:$O$502),0)</f>
        <v>595</v>
      </c>
      <c r="X16" s="6">
        <f>ROUND(SUMIF('JUNE (물량흐름)'!$C$13:$C$502,'Overhead exp(제조경비)'!C16,'JUNE (물량흐름)'!$P$13:$P$502),0)</f>
        <v>11519</v>
      </c>
      <c r="Y16" s="167">
        <f t="shared" si="8"/>
        <v>12164</v>
      </c>
      <c r="Z16" s="167">
        <f t="shared" si="9"/>
        <v>9523</v>
      </c>
      <c r="AA16" s="6">
        <f t="shared" si="10"/>
        <v>198028341</v>
      </c>
      <c r="AB16" s="391">
        <f t="shared" si="11"/>
        <v>0</v>
      </c>
      <c r="AC16" s="391">
        <f t="shared" si="12"/>
        <v>0</v>
      </c>
      <c r="AE16" s="393"/>
    </row>
    <row r="17" spans="1:31" s="390" customFormat="1" ht="24" customHeight="1">
      <c r="A17" s="167">
        <v>6</v>
      </c>
      <c r="B17" s="20" t="str">
        <f>IFERROR(VLOOKUP(A17,'JUNE (물량흐름)'!$A$13:$C$502,2,0),0)</f>
        <v>J JILL</v>
      </c>
      <c r="C17" s="272" t="str">
        <f>VLOOKUP(A17,'JUNE (물량흐름)'!$A$13:$C$502,3,0)</f>
        <v>KPT001611</v>
      </c>
      <c r="D17" s="6">
        <f>VLOOKUP(C17,'WIP(재공품)'!$B$12:$E$493,4,0)</f>
        <v>28570.5</v>
      </c>
      <c r="E17" s="6">
        <f>IFERROR(VLOOKUP(C17,O.B.JUNE!$AI$7:$AJ$448,2,0),0)</f>
        <v>79</v>
      </c>
      <c r="F17" s="6">
        <f>IFERROR(VLOOKUP(C17,O.B.JUNE!$AI$7:$AK$448,3,0),0)</f>
        <v>129</v>
      </c>
      <c r="G17" s="6">
        <f>IFERROR(VLOOKUP(C17,O.B.JUNE!$AI$7:$AL$448,4,0),0)</f>
        <v>16488</v>
      </c>
      <c r="H17" s="6">
        <f t="shared" si="3"/>
        <v>16696</v>
      </c>
      <c r="I17" s="6">
        <f>IFERROR(VLOOKUP(C17,O.B.JUNE!$AI$7:$AN$448,6,0),0)</f>
        <v>13271</v>
      </c>
      <c r="J17" s="6"/>
      <c r="K17" s="6">
        <f>IFERROR(VLOOKUP(C17,O.B.JUNE!$AI$7:$AO$448,7,0),0)</f>
        <v>228205061</v>
      </c>
      <c r="L17" s="6">
        <f>SUMIF('JUNE (물량흐름)'!$C$13:$C$488,'Overhead exp(제조경비)'!C17,'JUNE (물량흐름)'!$H$13:$H$493)+SUMIF('JUNE (물량흐름)'!$C$13:$C$493,'Overhead exp(제조경비)'!C17,'JUNE (물량흐름)'!$V$13:$V$493)</f>
        <v>0</v>
      </c>
      <c r="M17" s="6">
        <f t="shared" si="4"/>
        <v>0</v>
      </c>
      <c r="N17" s="6">
        <f t="shared" si="5"/>
        <v>0</v>
      </c>
      <c r="O17" s="6">
        <f t="shared" si="2"/>
        <v>0</v>
      </c>
      <c r="P17" s="6">
        <f>SUMIF('JUNE (물량흐름)'!$C$13:$C$502,C17,'JUNE (물량흐름)'!$T$13:$T$502)+SUMIF('JUNE (물량흐름)'!$C$13:$C$502,C17,'JUNE (물량흐름)'!$V$13:$V$502)+SUMIF('JUNE (물량흐름)'!$C$13:$C$502,C17,'JUNE (물량흐름)'!$U$13:$U$502)-SUMIF('JUNE (물량흐름)'!$C$13:$C$502,C17,'JUNE (물량흐름)'!$Y$13:$Y$502)</f>
        <v>0</v>
      </c>
      <c r="Q17" s="6">
        <f t="shared" si="6"/>
        <v>0</v>
      </c>
      <c r="R17" s="6">
        <f>IF(ISERROR(VLOOKUP(#REF!,'WIP(재공품)'!$B$12:$AB$38,13,0)),0,VLOOKUP(#REF!,'WIP(재공품)'!$B$12:$AB$38,13,0))</f>
        <v>0</v>
      </c>
      <c r="S17" s="6">
        <f>IF(ISERROR(VLOOKUP(#REF!,'WIP(재공품)'!$B$12:$AB$38,10,0)),0,VLOOKUP(#REF!,'WIP(재공품)'!$B$12:$AB$38,10,0))</f>
        <v>0</v>
      </c>
      <c r="T17" s="6">
        <f>SUMIF('JUNE (물량흐름)'!$C$13:$C$502,'Overhead exp(제조경비)'!C17,'JUNE (물량흐름)'!$Y$13:$Y$502)</f>
        <v>0</v>
      </c>
      <c r="U17" s="6">
        <f t="shared" si="7"/>
        <v>0</v>
      </c>
      <c r="V17" s="6">
        <f>ROUND(SUMIF('JUNE (물량흐름)'!$C$13:$C$502,'Overhead exp(제조경비)'!C17,'JUNE (물량흐름)'!$N$13:$N$502),0)</f>
        <v>79</v>
      </c>
      <c r="W17" s="6">
        <f>ROUND(SUMIF('JUNE (물량흐름)'!$C$13:$C$502,'Overhead exp(제조경비)'!C17,'JUNE (물량흐름)'!$O$13:$O$502),0)</f>
        <v>129</v>
      </c>
      <c r="X17" s="6">
        <f>ROUND(SUMIF('JUNE (물량흐름)'!$C$13:$C$502,'Overhead exp(제조경비)'!C17,'JUNE (물량흐름)'!$P$13:$P$502),0)</f>
        <v>16488</v>
      </c>
      <c r="Y17" s="6">
        <f t="shared" si="8"/>
        <v>16696</v>
      </c>
      <c r="Z17" s="6">
        <f t="shared" si="9"/>
        <v>13271</v>
      </c>
      <c r="AA17" s="6">
        <f t="shared" si="10"/>
        <v>228205061</v>
      </c>
      <c r="AB17" s="391">
        <f t="shared" si="11"/>
        <v>0</v>
      </c>
      <c r="AC17" s="391">
        <f t="shared" si="12"/>
        <v>0</v>
      </c>
      <c r="AE17" s="393"/>
    </row>
    <row r="18" spans="1:31" s="390" customFormat="1" ht="24" customHeight="1">
      <c r="A18" s="167">
        <v>7</v>
      </c>
      <c r="B18" s="20" t="str">
        <f>IFERROR(VLOOKUP(A18,'JUNE (물량흐름)'!$A$13:$C$502,2,0),0)</f>
        <v>J JILL</v>
      </c>
      <c r="C18" s="272" t="str">
        <f>VLOOKUP(A18,'JUNE (물량흐름)'!$A$13:$C$502,3,0)</f>
        <v>KPT101081</v>
      </c>
      <c r="D18" s="6">
        <f>VLOOKUP(C18,'WIP(재공품)'!$B$12:$E$493,4,0)</f>
        <v>35146.25</v>
      </c>
      <c r="E18" s="6">
        <f>IFERROR(VLOOKUP(C18,O.B.JUNE!$AI$7:$AJ$448,2,0),0)</f>
        <v>230</v>
      </c>
      <c r="F18" s="6">
        <f>IFERROR(VLOOKUP(C18,O.B.JUNE!$AI$7:$AK$448,3,0),0)</f>
        <v>328</v>
      </c>
      <c r="G18" s="6">
        <f>IFERROR(VLOOKUP(C18,O.B.JUNE!$AI$7:$AL$448,4,0),0)</f>
        <v>2102</v>
      </c>
      <c r="H18" s="6">
        <f t="shared" si="3"/>
        <v>2660</v>
      </c>
      <c r="I18" s="6">
        <f>IFERROR(VLOOKUP(C18,O.B.JUNE!$AI$7:$AN$448,6,0),0)</f>
        <v>1892</v>
      </c>
      <c r="J18" s="6"/>
      <c r="K18" s="6">
        <f>IFERROR(VLOOKUP(C18,O.B.JUNE!$AI$7:$AO$448,7,0),0)</f>
        <v>40221969</v>
      </c>
      <c r="L18" s="6">
        <f>SUMIF('JUNE (물량흐름)'!$C$13:$C$488,'Overhead exp(제조경비)'!C18,'JUNE (물량흐름)'!$H$13:$H$493)+SUMIF('JUNE (물량흐름)'!$C$13:$C$493,'Overhead exp(제조경비)'!C18,'JUNE (물량흐름)'!$V$13:$V$493)</f>
        <v>4453</v>
      </c>
      <c r="M18" s="6">
        <f t="shared" si="4"/>
        <v>4408</v>
      </c>
      <c r="N18" s="6">
        <f t="shared" si="5"/>
        <v>154924670</v>
      </c>
      <c r="O18" s="6">
        <f t="shared" si="2"/>
        <v>93611670</v>
      </c>
      <c r="P18" s="6">
        <f>SUMIF('JUNE (물량흐름)'!$C$13:$C$502,C18,'JUNE (물량흐름)'!$T$13:$T$502)+SUMIF('JUNE (물량흐름)'!$C$13:$C$502,C18,'JUNE (물량흐름)'!$V$13:$V$502)+SUMIF('JUNE (물량흐름)'!$C$13:$C$502,C18,'JUNE (물량흐름)'!$U$13:$U$502)-SUMIF('JUNE (물량흐름)'!$C$13:$C$502,C18,'JUNE (물량흐름)'!$Y$13:$Y$502)</f>
        <v>4292</v>
      </c>
      <c r="Q18" s="6">
        <f t="shared" si="6"/>
        <v>80755515</v>
      </c>
      <c r="R18" s="6">
        <f>IF(ISERROR(VLOOKUP(#REF!,'WIP(재공품)'!$B$12:$AB$38,13,0)),0,VLOOKUP(#REF!,'WIP(재공품)'!$B$12:$AB$38,13,0))</f>
        <v>0</v>
      </c>
      <c r="S18" s="6">
        <f>IF(ISERROR(VLOOKUP(#REF!,'WIP(재공품)'!$B$12:$AB$38,10,0)),0,VLOOKUP(#REF!,'WIP(재공품)'!$B$12:$AB$38,10,0))</f>
        <v>0</v>
      </c>
      <c r="T18" s="6">
        <f>SUMIF('JUNE (물량흐름)'!$C$13:$C$502,'Overhead exp(제조경비)'!C18,'JUNE (물량흐름)'!$Y$13:$Y$502)</f>
        <v>0</v>
      </c>
      <c r="U18" s="6">
        <f t="shared" si="7"/>
        <v>0</v>
      </c>
      <c r="V18" s="6">
        <f>ROUND(SUMIF('JUNE (물량흐름)'!$C$13:$C$502,'Overhead exp(제조경비)'!C18,'JUNE (물량흐름)'!$N$13:$N$502),0)</f>
        <v>234</v>
      </c>
      <c r="W18" s="6">
        <f>ROUND(SUMIF('JUNE (물량흐름)'!$C$13:$C$502,'Overhead exp(제조경비)'!C18,'JUNE (물량흐름)'!$O$13:$O$502),0)</f>
        <v>362</v>
      </c>
      <c r="X18" s="6">
        <f>ROUND(SUMIF('JUNE (물량흐름)'!$C$13:$C$502,'Overhead exp(제조경비)'!C18,'JUNE (물량흐름)'!$P$13:$P$502),0)</f>
        <v>2225</v>
      </c>
      <c r="Y18" s="6">
        <f t="shared" si="8"/>
        <v>2821</v>
      </c>
      <c r="Z18" s="6">
        <f t="shared" si="9"/>
        <v>2008</v>
      </c>
      <c r="AA18" s="6">
        <f t="shared" si="10"/>
        <v>53078124</v>
      </c>
      <c r="AB18" s="391">
        <f t="shared" si="11"/>
        <v>0</v>
      </c>
      <c r="AC18" s="391">
        <f t="shared" si="12"/>
        <v>0</v>
      </c>
      <c r="AE18" s="393"/>
    </row>
    <row r="19" spans="1:31" s="390" customFormat="1" ht="24" customHeight="1">
      <c r="A19" s="167">
        <v>8</v>
      </c>
      <c r="B19" s="20" t="str">
        <f>IFERROR(VLOOKUP(A19,'JUNE (물량흐름)'!$A$13:$C$502,2,0),0)</f>
        <v>ALFANI</v>
      </c>
      <c r="C19" s="272">
        <f>VLOOKUP(A19,'JUNE (물량흐름)'!$A$13:$C$502,3,0)</f>
        <v>7285</v>
      </c>
      <c r="D19" s="6">
        <f>VLOOKUP(C19,'WIP(재공품)'!$B$12:$E$493,4,0)</f>
        <v>35146.25</v>
      </c>
      <c r="E19" s="6">
        <f>IFERROR(VLOOKUP(C19,O.B.JUNE!$AI$7:$AJ$448,2,0),0)</f>
        <v>0</v>
      </c>
      <c r="F19" s="6">
        <f>IFERROR(VLOOKUP(C19,O.B.JUNE!$AI$7:$AK$448,3,0),0)</f>
        <v>0</v>
      </c>
      <c r="G19" s="6">
        <f>IFERROR(VLOOKUP(C19,O.B.JUNE!$AI$7:$AL$448,4,0),0)</f>
        <v>32</v>
      </c>
      <c r="H19" s="6">
        <f t="shared" si="3"/>
        <v>32</v>
      </c>
      <c r="I19" s="6">
        <f>IFERROR(VLOOKUP(C19,O.B.JUNE!$AI$7:$AN$448,6,0),0)</f>
        <v>26</v>
      </c>
      <c r="J19" s="6"/>
      <c r="K19" s="6">
        <f>IFERROR(VLOOKUP(C19,O.B.JUNE!$AI$7:$AO$448,7,0),0)</f>
        <v>785952</v>
      </c>
      <c r="L19" s="6">
        <f>SUMIF('JUNE (물량흐름)'!$C$13:$C$488,'Overhead exp(제조경비)'!C19,'JUNE (물량흐름)'!$H$13:$H$493)+SUMIF('JUNE (물량흐름)'!$C$13:$C$493,'Overhead exp(제조경비)'!C19,'JUNE (물량흐름)'!$V$13:$V$493)</f>
        <v>0</v>
      </c>
      <c r="M19" s="6">
        <f t="shared" si="4"/>
        <v>0</v>
      </c>
      <c r="N19" s="6">
        <f t="shared" si="5"/>
        <v>0</v>
      </c>
      <c r="O19" s="6">
        <f t="shared" si="2"/>
        <v>0</v>
      </c>
      <c r="P19" s="6">
        <f>SUMIF('JUNE (물량흐름)'!$C$13:$C$502,C19,'JUNE (물량흐름)'!$T$13:$T$502)+SUMIF('JUNE (물량흐름)'!$C$13:$C$502,C19,'JUNE (물량흐름)'!$V$13:$V$502)+SUMIF('JUNE (물량흐름)'!$C$13:$C$502,C19,'JUNE (물량흐름)'!$U$13:$U$502)-SUMIF('JUNE (물량흐름)'!$C$13:$C$502,C19,'JUNE (물량흐름)'!$Y$13:$Y$502)</f>
        <v>32</v>
      </c>
      <c r="Q19" s="6">
        <f t="shared" si="6"/>
        <v>785952</v>
      </c>
      <c r="R19" s="6">
        <f>IF(ISERROR(VLOOKUP(#REF!,'WIP(재공품)'!$B$12:$AB$38,13,0)),0,VLOOKUP(#REF!,'WIP(재공품)'!$B$12:$AB$38,13,0))</f>
        <v>0</v>
      </c>
      <c r="S19" s="6">
        <f>IF(ISERROR(VLOOKUP(#REF!,'WIP(재공품)'!$B$12:$AB$38,10,0)),0,VLOOKUP(#REF!,'WIP(재공품)'!$B$12:$AB$38,10,0))</f>
        <v>0</v>
      </c>
      <c r="T19" s="6">
        <f>SUMIF('JUNE (물량흐름)'!$C$13:$C$502,'Overhead exp(제조경비)'!C19,'JUNE (물량흐름)'!$Y$13:$Y$502)</f>
        <v>0</v>
      </c>
      <c r="U19" s="6">
        <f t="shared" si="7"/>
        <v>0</v>
      </c>
      <c r="V19" s="6">
        <f>ROUND(SUMIF('JUNE (물량흐름)'!$C$13:$C$502,'Overhead exp(제조경비)'!C19,'JUNE (물량흐름)'!$N$13:$N$502),0)</f>
        <v>0</v>
      </c>
      <c r="W19" s="6">
        <f>ROUND(SUMIF('JUNE (물량흐름)'!$C$13:$C$502,'Overhead exp(제조경비)'!C19,'JUNE (물량흐름)'!$O$13:$O$502),0)</f>
        <v>0</v>
      </c>
      <c r="X19" s="6">
        <f>ROUND(SUMIF('JUNE (물량흐름)'!$C$13:$C$502,'Overhead exp(제조경비)'!C19,'JUNE (물량흐름)'!$P$13:$P$502),0)</f>
        <v>0</v>
      </c>
      <c r="Y19" s="6">
        <f t="shared" si="8"/>
        <v>0</v>
      </c>
      <c r="Z19" s="6">
        <f t="shared" si="9"/>
        <v>0</v>
      </c>
      <c r="AA19" s="6">
        <f t="shared" si="10"/>
        <v>0</v>
      </c>
      <c r="AB19" s="391">
        <f t="shared" si="11"/>
        <v>0</v>
      </c>
      <c r="AC19" s="391">
        <f t="shared" si="12"/>
        <v>0</v>
      </c>
      <c r="AE19" s="393"/>
    </row>
    <row r="20" spans="1:31" s="390" customFormat="1" ht="24" customHeight="1">
      <c r="A20" s="167">
        <v>9</v>
      </c>
      <c r="B20" s="20" t="str">
        <f>IFERROR(VLOOKUP(A20,'JUNE (물량흐름)'!$A$13:$C$502,2,0),0)</f>
        <v>ALFANI</v>
      </c>
      <c r="C20" s="272">
        <f>VLOOKUP(A20,'JUNE (물량흐름)'!$A$13:$C$502,3,0)</f>
        <v>100004407</v>
      </c>
      <c r="D20" s="6">
        <f>VLOOKUP(C20,'WIP(재공품)'!$B$12:$E$493,4,0)</f>
        <v>7936.2499999999991</v>
      </c>
      <c r="E20" s="6">
        <f>IFERROR(VLOOKUP(C20,O.B.JUNE!$AI$7:$AJ$448,2,0),0)</f>
        <v>0</v>
      </c>
      <c r="F20" s="6">
        <f>IFERROR(VLOOKUP(C20,O.B.JUNE!$AI$7:$AK$448,3,0),0)</f>
        <v>116</v>
      </c>
      <c r="G20" s="6">
        <f>IFERROR(VLOOKUP(C20,O.B.JUNE!$AI$7:$AL$448,4,0),0)</f>
        <v>189</v>
      </c>
      <c r="H20" s="6">
        <f t="shared" si="3"/>
        <v>305</v>
      </c>
      <c r="I20" s="6">
        <f>IFERROR(VLOOKUP(C20,O.B.JUNE!$AI$7:$AN$448,6,0),0)</f>
        <v>209</v>
      </c>
      <c r="J20" s="6"/>
      <c r="K20" s="6">
        <f>IFERROR(VLOOKUP(C20,O.B.JUNE!$AI$7:$AO$448,7,0),0)</f>
        <v>3309575</v>
      </c>
      <c r="L20" s="6">
        <f>SUMIF('JUNE (물량흐름)'!$C$13:$C$488,'Overhead exp(제조경비)'!C20,'JUNE (물량흐름)'!$H$13:$H$493)+SUMIF('JUNE (물량흐름)'!$C$13:$C$493,'Overhead exp(제조경비)'!C20,'JUNE (물량흐름)'!$V$13:$V$493)</f>
        <v>0</v>
      </c>
      <c r="M20" s="6">
        <f t="shared" si="4"/>
        <v>0</v>
      </c>
      <c r="N20" s="6">
        <f t="shared" si="5"/>
        <v>0</v>
      </c>
      <c r="O20" s="6">
        <f t="shared" si="2"/>
        <v>0</v>
      </c>
      <c r="P20" s="6">
        <f>SUMIF('JUNE (물량흐름)'!$C$13:$C$502,C20,'JUNE (물량흐름)'!$T$13:$T$502)+SUMIF('JUNE (물량흐름)'!$C$13:$C$502,C20,'JUNE (물량흐름)'!$V$13:$V$502)+SUMIF('JUNE (물량흐름)'!$C$13:$C$502,C20,'JUNE (물량흐름)'!$U$13:$U$502)-SUMIF('JUNE (물량흐름)'!$C$13:$C$502,C20,'JUNE (물량흐름)'!$Y$13:$Y$502)</f>
        <v>0</v>
      </c>
      <c r="Q20" s="6">
        <f t="shared" si="6"/>
        <v>0</v>
      </c>
      <c r="R20" s="6">
        <f>IF(ISERROR(VLOOKUP(#REF!,'WIP(재공품)'!$B$12:$AB$38,13,0)),0,VLOOKUP(#REF!,'WIP(재공품)'!$B$12:$AB$38,13,0))</f>
        <v>0</v>
      </c>
      <c r="S20" s="6">
        <f>IF(ISERROR(VLOOKUP(#REF!,'WIP(재공품)'!$B$12:$AB$38,10,0)),0,VLOOKUP(#REF!,'WIP(재공품)'!$B$12:$AB$38,10,0))</f>
        <v>0</v>
      </c>
      <c r="T20" s="6">
        <f>SUMIF('JUNE (물량흐름)'!$C$13:$C$502,'Overhead exp(제조경비)'!C20,'JUNE (물량흐름)'!$Y$13:$Y$502)</f>
        <v>0</v>
      </c>
      <c r="U20" s="6">
        <f t="shared" si="7"/>
        <v>0</v>
      </c>
      <c r="V20" s="6">
        <f>ROUND(SUMIF('JUNE (물량흐름)'!$C$13:$C$502,'Overhead exp(제조경비)'!C20,'JUNE (물량흐름)'!$N$13:$N$502),0)</f>
        <v>0</v>
      </c>
      <c r="W20" s="6">
        <f>ROUND(SUMIF('JUNE (물량흐름)'!$C$13:$C$502,'Overhead exp(제조경비)'!C20,'JUNE (물량흐름)'!$O$13:$O$502),0)</f>
        <v>116</v>
      </c>
      <c r="X20" s="6">
        <f>ROUND(SUMIF('JUNE (물량흐름)'!$C$13:$C$502,'Overhead exp(제조경비)'!C20,'JUNE (물량흐름)'!$P$13:$P$502),0)</f>
        <v>189</v>
      </c>
      <c r="Y20" s="6">
        <f t="shared" si="8"/>
        <v>305</v>
      </c>
      <c r="Z20" s="6">
        <f t="shared" si="9"/>
        <v>209</v>
      </c>
      <c r="AA20" s="6">
        <f t="shared" si="10"/>
        <v>3309575</v>
      </c>
      <c r="AB20" s="391">
        <f t="shared" si="11"/>
        <v>0</v>
      </c>
      <c r="AC20" s="391">
        <f t="shared" si="12"/>
        <v>0</v>
      </c>
      <c r="AE20" s="393"/>
    </row>
    <row r="21" spans="1:31" s="390" customFormat="1" ht="24" customHeight="1">
      <c r="A21" s="167">
        <v>10</v>
      </c>
      <c r="B21" s="20" t="str">
        <f>IFERROR(VLOOKUP(A21,'JUNE (물량흐름)'!$A$13:$C$502,2,0),0)</f>
        <v>ANN TAYLOR</v>
      </c>
      <c r="C21" s="272">
        <f>VLOOKUP(A21,'JUNE (물량흐름)'!$A$13:$C$502,3,0)</f>
        <v>446749</v>
      </c>
      <c r="D21" s="6">
        <f>VLOOKUP(C21,'WIP(재공품)'!$B$12:$E$493,4,0)</f>
        <v>7936.2499999999991</v>
      </c>
      <c r="E21" s="6">
        <f>IFERROR(VLOOKUP(C21,O.B.JUNE!$AI$7:$AJ$448,2,0),0)</f>
        <v>0</v>
      </c>
      <c r="F21" s="6">
        <f>IFERROR(VLOOKUP(C21,O.B.JUNE!$AI$7:$AK$448,3,0),0)</f>
        <v>0</v>
      </c>
      <c r="G21" s="6">
        <f>IFERROR(VLOOKUP(C21,O.B.JUNE!$AI$7:$AL$448,4,0),0)</f>
        <v>165</v>
      </c>
      <c r="H21" s="6">
        <f t="shared" si="3"/>
        <v>165</v>
      </c>
      <c r="I21" s="6">
        <f>IFERROR(VLOOKUP(C21,O.B.JUNE!$AI$7:$AN$448,6,0),0)</f>
        <v>132</v>
      </c>
      <c r="J21" s="6"/>
      <c r="K21" s="6">
        <f>IFERROR(VLOOKUP(C21,O.B.JUNE!$AI$7:$AO$448,7,0),0)</f>
        <v>4512890</v>
      </c>
      <c r="L21" s="6">
        <f>SUMIF('JUNE (물량흐름)'!$C$13:$C$488,'Overhead exp(제조경비)'!C21,'JUNE (물량흐름)'!$H$13:$H$493)+SUMIF('JUNE (물량흐름)'!$C$13:$C$493,'Overhead exp(제조경비)'!C21,'JUNE (물량흐름)'!$V$13:$V$493)</f>
        <v>0</v>
      </c>
      <c r="M21" s="6">
        <f t="shared" si="4"/>
        <v>0</v>
      </c>
      <c r="N21" s="6">
        <f t="shared" si="5"/>
        <v>0</v>
      </c>
      <c r="O21" s="6">
        <f t="shared" si="2"/>
        <v>0</v>
      </c>
      <c r="P21" s="6">
        <f>SUMIF('JUNE (물량흐름)'!$C$13:$C$502,C21,'JUNE (물량흐름)'!$T$13:$T$502)+SUMIF('JUNE (물량흐름)'!$C$13:$C$502,C21,'JUNE (물량흐름)'!$V$13:$V$502)+SUMIF('JUNE (물량흐름)'!$C$13:$C$502,C21,'JUNE (물량흐름)'!$U$13:$U$502)-SUMIF('JUNE (물량흐름)'!$C$13:$C$502,C21,'JUNE (물량흐름)'!$Y$13:$Y$502)</f>
        <v>165</v>
      </c>
      <c r="Q21" s="6">
        <f t="shared" si="6"/>
        <v>4512890</v>
      </c>
      <c r="R21" s="6">
        <f>IF(ISERROR(VLOOKUP(#REF!,'WIP(재공품)'!$B$12:$AB$38,13,0)),0,VLOOKUP(#REF!,'WIP(재공품)'!$B$12:$AB$38,13,0))</f>
        <v>0</v>
      </c>
      <c r="S21" s="6">
        <f>IF(ISERROR(VLOOKUP(#REF!,'WIP(재공품)'!$B$12:$AB$38,10,0)),0,VLOOKUP(#REF!,'WIP(재공품)'!$B$12:$AB$38,10,0))</f>
        <v>0</v>
      </c>
      <c r="T21" s="6">
        <f>SUMIF('JUNE (물량흐름)'!$C$13:$C$502,'Overhead exp(제조경비)'!C21,'JUNE (물량흐름)'!$Y$13:$Y$502)</f>
        <v>0</v>
      </c>
      <c r="U21" s="6">
        <f t="shared" si="7"/>
        <v>0</v>
      </c>
      <c r="V21" s="6">
        <f>ROUND(SUMIF('JUNE (물량흐름)'!$C$13:$C$502,'Overhead exp(제조경비)'!C21,'JUNE (물량흐름)'!$N$13:$N$502),0)</f>
        <v>0</v>
      </c>
      <c r="W21" s="6">
        <f>ROUND(SUMIF('JUNE (물량흐름)'!$C$13:$C$502,'Overhead exp(제조경비)'!C21,'JUNE (물량흐름)'!$O$13:$O$502),0)</f>
        <v>0</v>
      </c>
      <c r="X21" s="6">
        <f>ROUND(SUMIF('JUNE (물량흐름)'!$C$13:$C$502,'Overhead exp(제조경비)'!C21,'JUNE (물량흐름)'!$P$13:$P$502),0)</f>
        <v>0</v>
      </c>
      <c r="Y21" s="6">
        <f t="shared" si="8"/>
        <v>0</v>
      </c>
      <c r="Z21" s="6">
        <f t="shared" si="9"/>
        <v>0</v>
      </c>
      <c r="AA21" s="6">
        <f t="shared" si="10"/>
        <v>0</v>
      </c>
      <c r="AB21" s="391">
        <f t="shared" si="11"/>
        <v>0</v>
      </c>
      <c r="AC21" s="391">
        <f t="shared" si="12"/>
        <v>0</v>
      </c>
      <c r="AE21" s="393"/>
    </row>
    <row r="22" spans="1:31" s="390" customFormat="1" ht="24" customHeight="1">
      <c r="A22" s="167">
        <v>11</v>
      </c>
      <c r="B22" s="20" t="str">
        <f>IFERROR(VLOOKUP(A22,'JUNE (물량흐름)'!$A$13:$C$502,2,0),0)</f>
        <v>ANN TAYLOR</v>
      </c>
      <c r="C22" s="272">
        <f>VLOOKUP(A22,'JUNE (물량흐름)'!$A$13:$C$502,3,0)</f>
        <v>446053</v>
      </c>
      <c r="D22" s="6">
        <f>VLOOKUP(C22,'WIP(재공품)'!$B$12:$E$493,4,0)</f>
        <v>40815</v>
      </c>
      <c r="E22" s="6">
        <f>IFERROR(VLOOKUP(C22,O.B.JUNE!$AI$7:$AJ$448,2,0),0)</f>
        <v>0</v>
      </c>
      <c r="F22" s="6">
        <f>IFERROR(VLOOKUP(C22,O.B.JUNE!$AI$7:$AK$448,3,0),0)</f>
        <v>0</v>
      </c>
      <c r="G22" s="6">
        <f>IFERROR(VLOOKUP(C22,O.B.JUNE!$AI$7:$AL$448,4,0),0)</f>
        <v>63</v>
      </c>
      <c r="H22" s="6">
        <f t="shared" si="3"/>
        <v>63</v>
      </c>
      <c r="I22" s="6">
        <f>IFERROR(VLOOKUP(C22,O.B.JUNE!$AI$7:$AN$448,6,0),0)</f>
        <v>50</v>
      </c>
      <c r="J22" s="6"/>
      <c r="K22" s="6">
        <f>IFERROR(VLOOKUP(C22,O.B.JUNE!$AI$7:$AO$448,7,0),0)</f>
        <v>712469</v>
      </c>
      <c r="L22" s="6">
        <f>SUMIF('JUNE (물량흐름)'!$C$13:$C$488,'Overhead exp(제조경비)'!C22,'JUNE (물량흐름)'!$H$13:$H$493)+SUMIF('JUNE (물량흐름)'!$C$13:$C$493,'Overhead exp(제조경비)'!C22,'JUNE (물량흐름)'!$V$13:$V$493)</f>
        <v>0</v>
      </c>
      <c r="M22" s="6">
        <f t="shared" si="4"/>
        <v>0</v>
      </c>
      <c r="N22" s="6">
        <f t="shared" si="5"/>
        <v>0</v>
      </c>
      <c r="O22" s="6">
        <f t="shared" si="2"/>
        <v>0</v>
      </c>
      <c r="P22" s="6">
        <f>SUMIF('JUNE (물량흐름)'!$C$13:$C$502,C22,'JUNE (물량흐름)'!$T$13:$T$502)+SUMIF('JUNE (물량흐름)'!$C$13:$C$502,C22,'JUNE (물량흐름)'!$V$13:$V$502)+SUMIF('JUNE (물량흐름)'!$C$13:$C$502,C22,'JUNE (물량흐름)'!$U$13:$U$502)-SUMIF('JUNE (물량흐름)'!$C$13:$C$502,C22,'JUNE (물량흐름)'!$Y$13:$Y$502)</f>
        <v>63</v>
      </c>
      <c r="Q22" s="6">
        <f t="shared" si="6"/>
        <v>712469</v>
      </c>
      <c r="R22" s="6">
        <f>IF(ISERROR(VLOOKUP(#REF!,'WIP(재공품)'!$B$12:$AB$38,13,0)),0,VLOOKUP(#REF!,'WIP(재공품)'!$B$12:$AB$38,13,0))</f>
        <v>0</v>
      </c>
      <c r="S22" s="6">
        <f>IF(ISERROR(VLOOKUP(#REF!,'WIP(재공품)'!$B$12:$AB$38,10,0)),0,VLOOKUP(#REF!,'WIP(재공품)'!$B$12:$AB$38,10,0))</f>
        <v>0</v>
      </c>
      <c r="T22" s="6">
        <f>SUMIF('JUNE (물량흐름)'!$C$13:$C$502,'Overhead exp(제조경비)'!C22,'JUNE (물량흐름)'!$Y$13:$Y$502)</f>
        <v>0</v>
      </c>
      <c r="U22" s="6">
        <f t="shared" si="7"/>
        <v>0</v>
      </c>
      <c r="V22" s="6">
        <f>ROUND(SUMIF('JUNE (물량흐름)'!$C$13:$C$502,'Overhead exp(제조경비)'!C22,'JUNE (물량흐름)'!$N$13:$N$502),0)</f>
        <v>0</v>
      </c>
      <c r="W22" s="6">
        <f>ROUND(SUMIF('JUNE (물량흐름)'!$C$13:$C$502,'Overhead exp(제조경비)'!C22,'JUNE (물량흐름)'!$O$13:$O$502),0)</f>
        <v>0</v>
      </c>
      <c r="X22" s="6">
        <f>ROUND(SUMIF('JUNE (물량흐름)'!$C$13:$C$502,'Overhead exp(제조경비)'!C22,'JUNE (물량흐름)'!$P$13:$P$502),0)</f>
        <v>0</v>
      </c>
      <c r="Y22" s="6">
        <f t="shared" si="8"/>
        <v>0</v>
      </c>
      <c r="Z22" s="6">
        <f t="shared" si="9"/>
        <v>0</v>
      </c>
      <c r="AA22" s="6">
        <f t="shared" si="10"/>
        <v>0</v>
      </c>
      <c r="AB22" s="391">
        <f t="shared" si="11"/>
        <v>0</v>
      </c>
      <c r="AC22" s="391">
        <f t="shared" si="12"/>
        <v>0</v>
      </c>
      <c r="AE22" s="393"/>
    </row>
    <row r="23" spans="1:31" s="390" customFormat="1" ht="24" customHeight="1">
      <c r="A23" s="167">
        <v>12</v>
      </c>
      <c r="B23" s="20" t="str">
        <f>IFERROR(VLOOKUP(A23,'JUNE (물량흐름)'!$A$13:$C$502,2,0),0)</f>
        <v>ALFANI</v>
      </c>
      <c r="C23" s="272">
        <f>VLOOKUP(A23,'JUNE (물량흐름)'!$A$13:$C$502,3,0)</f>
        <v>100004405</v>
      </c>
      <c r="D23" s="6">
        <f>VLOOKUP(C23,'WIP(재공품)'!$B$12:$E$493,4,0)</f>
        <v>7936.2499999999991</v>
      </c>
      <c r="E23" s="6">
        <f>IFERROR(VLOOKUP(C23,O.B.JUNE!$AI$7:$AJ$448,2,0),0)</f>
        <v>0</v>
      </c>
      <c r="F23" s="6">
        <f>IFERROR(VLOOKUP(C23,O.B.JUNE!$AI$7:$AK$448,3,0),0)</f>
        <v>0</v>
      </c>
      <c r="G23" s="6">
        <f>IFERROR(VLOOKUP(C23,O.B.JUNE!$AI$7:$AL$448,4,0),0)</f>
        <v>79</v>
      </c>
      <c r="H23" s="6">
        <f t="shared" si="3"/>
        <v>79</v>
      </c>
      <c r="I23" s="6">
        <f>IFERROR(VLOOKUP(C23,O.B.JUNE!$AI$7:$AN$448,6,0),0)</f>
        <v>63</v>
      </c>
      <c r="J23" s="6"/>
      <c r="K23" s="6">
        <f>IFERROR(VLOOKUP(C23,O.B.JUNE!$AI$7:$AO$448,7,0),0)</f>
        <v>845006</v>
      </c>
      <c r="L23" s="6">
        <f>SUMIF('JUNE (물량흐름)'!$C$13:$C$488,'Overhead exp(제조경비)'!C23,'JUNE (물량흐름)'!$H$13:$H$493)+SUMIF('JUNE (물량흐름)'!$C$13:$C$493,'Overhead exp(제조경비)'!C23,'JUNE (물량흐름)'!$V$13:$V$493)</f>
        <v>0</v>
      </c>
      <c r="M23" s="6">
        <f t="shared" si="4"/>
        <v>0</v>
      </c>
      <c r="N23" s="6">
        <f t="shared" si="5"/>
        <v>0</v>
      </c>
      <c r="O23" s="6">
        <f t="shared" si="2"/>
        <v>0</v>
      </c>
      <c r="P23" s="6">
        <f>SUMIF('JUNE (물량흐름)'!$C$13:$C$502,C23,'JUNE (물량흐름)'!$T$13:$T$502)+SUMIF('JUNE (물량흐름)'!$C$13:$C$502,C23,'JUNE (물량흐름)'!$V$13:$V$502)+SUMIF('JUNE (물량흐름)'!$C$13:$C$502,C23,'JUNE (물량흐름)'!$U$13:$U$502)-SUMIF('JUNE (물량흐름)'!$C$13:$C$502,C23,'JUNE (물량흐름)'!$Y$13:$Y$502)</f>
        <v>79</v>
      </c>
      <c r="Q23" s="6">
        <f t="shared" si="6"/>
        <v>845006</v>
      </c>
      <c r="R23" s="6">
        <f>IF(ISERROR(VLOOKUP(#REF!,'WIP(재공품)'!$B$12:$AB$38,13,0)),0,VLOOKUP(#REF!,'WIP(재공품)'!$B$12:$AB$38,13,0))</f>
        <v>0</v>
      </c>
      <c r="S23" s="6">
        <f>IF(ISERROR(VLOOKUP(#REF!,'WIP(재공품)'!$B$12:$AB$38,10,0)),0,VLOOKUP(#REF!,'WIP(재공품)'!$B$12:$AB$38,10,0))</f>
        <v>0</v>
      </c>
      <c r="T23" s="6">
        <f>SUMIF('JUNE (물량흐름)'!$C$13:$C$502,'Overhead exp(제조경비)'!C23,'JUNE (물량흐름)'!$Y$13:$Y$502)</f>
        <v>0</v>
      </c>
      <c r="U23" s="6">
        <f t="shared" si="7"/>
        <v>0</v>
      </c>
      <c r="V23" s="6">
        <f>ROUND(SUMIF('JUNE (물량흐름)'!$C$13:$C$502,'Overhead exp(제조경비)'!C23,'JUNE (물량흐름)'!$N$13:$N$502),0)</f>
        <v>0</v>
      </c>
      <c r="W23" s="6">
        <f>ROUND(SUMIF('JUNE (물량흐름)'!$C$13:$C$502,'Overhead exp(제조경비)'!C23,'JUNE (물량흐름)'!$O$13:$O$502),0)</f>
        <v>0</v>
      </c>
      <c r="X23" s="6">
        <f>ROUND(SUMIF('JUNE (물량흐름)'!$C$13:$C$502,'Overhead exp(제조경비)'!C23,'JUNE (물량흐름)'!$P$13:$P$502),0)</f>
        <v>0</v>
      </c>
      <c r="Y23" s="6">
        <f t="shared" si="8"/>
        <v>0</v>
      </c>
      <c r="Z23" s="6">
        <f t="shared" si="9"/>
        <v>0</v>
      </c>
      <c r="AA23" s="6">
        <f t="shared" si="10"/>
        <v>0</v>
      </c>
      <c r="AB23" s="391">
        <f t="shared" si="11"/>
        <v>0</v>
      </c>
      <c r="AC23" s="391">
        <f t="shared" si="12"/>
        <v>0</v>
      </c>
      <c r="AE23" s="393"/>
    </row>
    <row r="24" spans="1:31" s="390" customFormat="1" ht="24" customHeight="1">
      <c r="A24" s="167">
        <v>13</v>
      </c>
      <c r="B24" s="20" t="str">
        <f>IFERROR(VLOOKUP(A24,'JUNE (물량흐름)'!$A$13:$C$502,2,0),0)</f>
        <v>ALFANI</v>
      </c>
      <c r="C24" s="272">
        <f>VLOOKUP(A24,'JUNE (물량흐름)'!$A$13:$C$502,3,0)</f>
        <v>100003246</v>
      </c>
      <c r="D24" s="6">
        <f>VLOOKUP(C24,'WIP(재공품)'!$B$12:$E$493,4,0)</f>
        <v>7936.2499999999991</v>
      </c>
      <c r="E24" s="6">
        <f>IFERROR(VLOOKUP(C24,O.B.JUNE!$AI$7:$AJ$448,2,0),0)</f>
        <v>0</v>
      </c>
      <c r="F24" s="6">
        <f>IFERROR(VLOOKUP(C24,O.B.JUNE!$AI$7:$AK$448,3,0),0)</f>
        <v>0</v>
      </c>
      <c r="G24" s="6">
        <f>IFERROR(VLOOKUP(C24,O.B.JUNE!$AI$7:$AL$448,4,0),0)</f>
        <v>377</v>
      </c>
      <c r="H24" s="6">
        <f t="shared" si="3"/>
        <v>377</v>
      </c>
      <c r="I24" s="6">
        <f>IFERROR(VLOOKUP(C24,O.B.JUNE!$AI$7:$AN$448,6,0),0)</f>
        <v>302</v>
      </c>
      <c r="J24" s="6"/>
      <c r="K24" s="6">
        <f>IFERROR(VLOOKUP(C24,O.B.JUNE!$AI$7:$AO$448,7,0),0)</f>
        <v>3981989</v>
      </c>
      <c r="L24" s="6">
        <f>SUMIF('JUNE (물량흐름)'!$C$13:$C$488,'Overhead exp(제조경비)'!C24,'JUNE (물량흐름)'!$H$13:$H$493)+SUMIF('JUNE (물량흐름)'!$C$13:$C$493,'Overhead exp(제조경비)'!C24,'JUNE (물량흐름)'!$V$13:$V$493)</f>
        <v>0</v>
      </c>
      <c r="M24" s="6">
        <f t="shared" si="4"/>
        <v>0</v>
      </c>
      <c r="N24" s="6">
        <f t="shared" si="5"/>
        <v>0</v>
      </c>
      <c r="O24" s="6">
        <f t="shared" si="2"/>
        <v>0</v>
      </c>
      <c r="P24" s="6">
        <f>SUMIF('JUNE (물량흐름)'!$C$13:$C$502,C24,'JUNE (물량흐름)'!$T$13:$T$502)+SUMIF('JUNE (물량흐름)'!$C$13:$C$502,C24,'JUNE (물량흐름)'!$V$13:$V$502)+SUMIF('JUNE (물량흐름)'!$C$13:$C$502,C24,'JUNE (물량흐름)'!$U$13:$U$502)-SUMIF('JUNE (물량흐름)'!$C$13:$C$502,C24,'JUNE (물량흐름)'!$Y$13:$Y$502)</f>
        <v>377</v>
      </c>
      <c r="Q24" s="6">
        <f t="shared" si="6"/>
        <v>3981989</v>
      </c>
      <c r="R24" s="6">
        <f>IF(ISERROR(VLOOKUP(#REF!,'WIP(재공품)'!$B$12:$AB$38,13,0)),0,VLOOKUP(#REF!,'WIP(재공품)'!$B$12:$AB$38,13,0))</f>
        <v>0</v>
      </c>
      <c r="S24" s="6">
        <f>IF(ISERROR(VLOOKUP(#REF!,'WIP(재공품)'!$B$12:$AB$38,10,0)),0,VLOOKUP(#REF!,'WIP(재공품)'!$B$12:$AB$38,10,0))</f>
        <v>0</v>
      </c>
      <c r="T24" s="6">
        <f>SUMIF('JUNE (물량흐름)'!$C$13:$C$502,'Overhead exp(제조경비)'!C24,'JUNE (물량흐름)'!$Y$13:$Y$502)</f>
        <v>0</v>
      </c>
      <c r="U24" s="6">
        <f t="shared" si="7"/>
        <v>0</v>
      </c>
      <c r="V24" s="6">
        <f>ROUND(SUMIF('JUNE (물량흐름)'!$C$13:$C$502,'Overhead exp(제조경비)'!C24,'JUNE (물량흐름)'!$N$13:$N$502),0)</f>
        <v>0</v>
      </c>
      <c r="W24" s="6">
        <f>ROUND(SUMIF('JUNE (물량흐름)'!$C$13:$C$502,'Overhead exp(제조경비)'!C24,'JUNE (물량흐름)'!$O$13:$O$502),0)</f>
        <v>0</v>
      </c>
      <c r="X24" s="6">
        <f>ROUND(SUMIF('JUNE (물량흐름)'!$C$13:$C$502,'Overhead exp(제조경비)'!C24,'JUNE (물량흐름)'!$P$13:$P$502),0)</f>
        <v>0</v>
      </c>
      <c r="Y24" s="6">
        <f t="shared" si="8"/>
        <v>0</v>
      </c>
      <c r="Z24" s="6">
        <f t="shared" si="9"/>
        <v>0</v>
      </c>
      <c r="AA24" s="6">
        <f t="shared" si="10"/>
        <v>0</v>
      </c>
      <c r="AB24" s="391">
        <f t="shared" si="11"/>
        <v>0</v>
      </c>
      <c r="AC24" s="391">
        <f t="shared" si="12"/>
        <v>0</v>
      </c>
      <c r="AE24" s="393"/>
    </row>
    <row r="25" spans="1:31" s="390" customFormat="1" ht="24" customHeight="1">
      <c r="A25" s="167">
        <v>14</v>
      </c>
      <c r="B25" s="20" t="str">
        <f>IFERROR(VLOOKUP(A25,'JUNE (물량흐름)'!$A$13:$C$502,2,0),0)</f>
        <v>ALFANI</v>
      </c>
      <c r="C25" s="272">
        <f>VLOOKUP(A25,'JUNE (물량흐름)'!$A$13:$C$502,3,0)</f>
        <v>100001802</v>
      </c>
      <c r="D25" s="6">
        <f>VLOOKUP(C25,'WIP(재공품)'!$B$12:$E$493,4,0)</f>
        <v>7936.2499999999991</v>
      </c>
      <c r="E25" s="6">
        <f>IFERROR(VLOOKUP(C25,O.B.JUNE!$AI$7:$AJ$448,2,0),0)</f>
        <v>0</v>
      </c>
      <c r="F25" s="6">
        <f>IFERROR(VLOOKUP(C25,O.B.JUNE!$AI$7:$AK$448,3,0),0)</f>
        <v>0</v>
      </c>
      <c r="G25" s="6">
        <f>IFERROR(VLOOKUP(C25,O.B.JUNE!$AI$7:$AL$448,4,0),0)</f>
        <v>103</v>
      </c>
      <c r="H25" s="6">
        <f t="shared" si="3"/>
        <v>103</v>
      </c>
      <c r="I25" s="6">
        <f>IFERROR(VLOOKUP(C25,O.B.JUNE!$AI$7:$AN$448,6,0),0)</f>
        <v>82</v>
      </c>
      <c r="J25" s="6"/>
      <c r="K25" s="6">
        <f>IFERROR(VLOOKUP(C25,O.B.JUNE!$AI$7:$AO$448,7,0),0)</f>
        <v>2064114</v>
      </c>
      <c r="L25" s="6">
        <f>SUMIF('JUNE (물량흐름)'!$C$13:$C$488,'Overhead exp(제조경비)'!C25,'JUNE (물량흐름)'!$H$13:$H$493)+SUMIF('JUNE (물량흐름)'!$C$13:$C$493,'Overhead exp(제조경비)'!C25,'JUNE (물량흐름)'!$V$13:$V$493)</f>
        <v>0</v>
      </c>
      <c r="M25" s="6">
        <f t="shared" si="4"/>
        <v>0</v>
      </c>
      <c r="N25" s="6">
        <f t="shared" si="5"/>
        <v>0</v>
      </c>
      <c r="O25" s="6">
        <f t="shared" si="2"/>
        <v>0</v>
      </c>
      <c r="P25" s="6">
        <f>SUMIF('JUNE (물량흐름)'!$C$13:$C$502,C25,'JUNE (물량흐름)'!$T$13:$T$502)+SUMIF('JUNE (물량흐름)'!$C$13:$C$502,C25,'JUNE (물량흐름)'!$V$13:$V$502)+SUMIF('JUNE (물량흐름)'!$C$13:$C$502,C25,'JUNE (물량흐름)'!$U$13:$U$502)-SUMIF('JUNE (물량흐름)'!$C$13:$C$502,C25,'JUNE (물량흐름)'!$Y$13:$Y$502)</f>
        <v>0</v>
      </c>
      <c r="Q25" s="6">
        <f t="shared" si="6"/>
        <v>0</v>
      </c>
      <c r="R25" s="6">
        <f>IF(ISERROR(VLOOKUP(#REF!,'WIP(재공품)'!$B$12:$AB$38,13,0)),0,VLOOKUP(#REF!,'WIP(재공품)'!$B$12:$AB$38,13,0))</f>
        <v>0</v>
      </c>
      <c r="S25" s="6">
        <f>IF(ISERROR(VLOOKUP(#REF!,'WIP(재공품)'!$B$12:$AB$38,10,0)),0,VLOOKUP(#REF!,'WIP(재공품)'!$B$12:$AB$38,10,0))</f>
        <v>0</v>
      </c>
      <c r="T25" s="6">
        <f>SUMIF('JUNE (물량흐름)'!$C$13:$C$502,'Overhead exp(제조경비)'!C25,'JUNE (물량흐름)'!$Y$13:$Y$502)</f>
        <v>0</v>
      </c>
      <c r="U25" s="6">
        <f t="shared" si="7"/>
        <v>0</v>
      </c>
      <c r="V25" s="6">
        <f>ROUND(SUMIF('JUNE (물량흐름)'!$C$13:$C$502,'Overhead exp(제조경비)'!C25,'JUNE (물량흐름)'!$N$13:$N$502),0)</f>
        <v>0</v>
      </c>
      <c r="W25" s="6">
        <f>ROUND(SUMIF('JUNE (물량흐름)'!$C$13:$C$502,'Overhead exp(제조경비)'!C25,'JUNE (물량흐름)'!$O$13:$O$502),0)</f>
        <v>0</v>
      </c>
      <c r="X25" s="6">
        <f>ROUND(SUMIF('JUNE (물량흐름)'!$C$13:$C$502,'Overhead exp(제조경비)'!C25,'JUNE (물량흐름)'!$P$13:$P$502),0)</f>
        <v>103</v>
      </c>
      <c r="Y25" s="6">
        <f t="shared" si="8"/>
        <v>103</v>
      </c>
      <c r="Z25" s="6">
        <f t="shared" si="9"/>
        <v>82</v>
      </c>
      <c r="AA25" s="6">
        <f t="shared" si="10"/>
        <v>2064114</v>
      </c>
      <c r="AB25" s="391">
        <f t="shared" si="11"/>
        <v>0</v>
      </c>
      <c r="AC25" s="391">
        <f t="shared" si="12"/>
        <v>0</v>
      </c>
      <c r="AE25" s="393"/>
    </row>
    <row r="26" spans="1:31" s="390" customFormat="1" ht="24" customHeight="1">
      <c r="A26" s="167">
        <v>15</v>
      </c>
      <c r="B26" s="20" t="str">
        <f>IFERROR(VLOOKUP(A26,'JUNE (물량흐름)'!$A$13:$C$502,2,0),0)</f>
        <v>ALFANI</v>
      </c>
      <c r="C26" s="272">
        <f>VLOOKUP(A26,'JUNE (물량흐름)'!$A$13:$C$502,3,0)</f>
        <v>68416</v>
      </c>
      <c r="D26" s="6">
        <f>VLOOKUP(C26,'WIP(재공품)'!$B$12:$E$493,4,0)</f>
        <v>46937.25</v>
      </c>
      <c r="E26" s="6">
        <f>IFERROR(VLOOKUP(C26,O.B.JUNE!$AI$7:$AJ$448,2,0),0)</f>
        <v>56</v>
      </c>
      <c r="F26" s="6">
        <f>IFERROR(VLOOKUP(C26,O.B.JUNE!$AI$7:$AK$448,3,0),0)</f>
        <v>361</v>
      </c>
      <c r="G26" s="6">
        <f>IFERROR(VLOOKUP(C26,O.B.JUNE!$AI$7:$AL$448,4,0),0)</f>
        <v>455</v>
      </c>
      <c r="H26" s="6">
        <f t="shared" si="3"/>
        <v>872</v>
      </c>
      <c r="I26" s="6">
        <f>IFERROR(VLOOKUP(C26,O.B.JUNE!$AI$7:$AN$448,6,0),0)</f>
        <v>556</v>
      </c>
      <c r="J26" s="6"/>
      <c r="K26" s="6">
        <f>IFERROR(VLOOKUP(C26,O.B.JUNE!$AI$7:$AO$448,7,0),0)</f>
        <v>7749784</v>
      </c>
      <c r="L26" s="6">
        <f>SUMIF('JUNE (물량흐름)'!$C$13:$C$488,'Overhead exp(제조경비)'!C26,'JUNE (물량흐름)'!$H$13:$H$493)+SUMIF('JUNE (물량흐름)'!$C$13:$C$493,'Overhead exp(제조경비)'!C26,'JUNE (물량흐름)'!$V$13:$V$493)</f>
        <v>32</v>
      </c>
      <c r="M26" s="6">
        <f t="shared" si="4"/>
        <v>297</v>
      </c>
      <c r="N26" s="6">
        <f t="shared" si="5"/>
        <v>13940363</v>
      </c>
      <c r="O26" s="6">
        <f t="shared" si="2"/>
        <v>8423324</v>
      </c>
      <c r="P26" s="6">
        <f>SUMIF('JUNE (물량흐름)'!$C$13:$C$502,C26,'JUNE (물량흐름)'!$T$13:$T$502)+SUMIF('JUNE (물량흐름)'!$C$13:$C$502,C26,'JUNE (물량흐름)'!$V$13:$V$502)+SUMIF('JUNE (물량흐름)'!$C$13:$C$502,C26,'JUNE (물량흐름)'!$U$13:$U$502)-SUMIF('JUNE (물량흐름)'!$C$13:$C$502,C26,'JUNE (물량흐름)'!$Y$13:$Y$502)</f>
        <v>683</v>
      </c>
      <c r="Q26" s="6">
        <f t="shared" si="6"/>
        <v>12219284</v>
      </c>
      <c r="R26" s="6">
        <f>IF(ISERROR(VLOOKUP(#REF!,'WIP(재공품)'!$B$12:$AB$38,13,0)),0,VLOOKUP(#REF!,'WIP(재공품)'!$B$12:$AB$38,13,0))</f>
        <v>0</v>
      </c>
      <c r="S26" s="6">
        <f>IF(ISERROR(VLOOKUP(#REF!,'WIP(재공품)'!$B$12:$AB$38,10,0)),0,VLOOKUP(#REF!,'WIP(재공품)'!$B$12:$AB$38,10,0))</f>
        <v>0</v>
      </c>
      <c r="T26" s="6">
        <f>SUMIF('JUNE (물량흐름)'!$C$13:$C$502,'Overhead exp(제조경비)'!C26,'JUNE (물량흐름)'!$Y$13:$Y$502)</f>
        <v>5</v>
      </c>
      <c r="U26" s="6">
        <f t="shared" si="7"/>
        <v>89453</v>
      </c>
      <c r="V26" s="6">
        <f>ROUND(SUMIF('JUNE (물량흐름)'!$C$13:$C$502,'Overhead exp(제조경비)'!C26,'JUNE (물량흐름)'!$N$13:$N$502),0)</f>
        <v>0</v>
      </c>
      <c r="W26" s="6">
        <f>ROUND(SUMIF('JUNE (물량흐름)'!$C$13:$C$502,'Overhead exp(제조경비)'!C26,'JUNE (물량흐름)'!$O$13:$O$502),0)</f>
        <v>27</v>
      </c>
      <c r="X26" s="6">
        <f>ROUND(SUMIF('JUNE (물량흐름)'!$C$13:$C$502,'Overhead exp(제조경비)'!C26,'JUNE (물량흐름)'!$P$13:$P$502),0)</f>
        <v>189</v>
      </c>
      <c r="Y26" s="167">
        <f t="shared" ref="Y26" si="13">ROUND(SUM(V26:X26),0)</f>
        <v>216</v>
      </c>
      <c r="Z26" s="167">
        <f t="shared" ref="Z26" si="14">ROUND(V26*$V$10+W26*$W$10+X26*$X$10,0)</f>
        <v>165</v>
      </c>
      <c r="AA26" s="6">
        <f t="shared" si="10"/>
        <v>3864371</v>
      </c>
      <c r="AB26" s="391">
        <f t="shared" si="11"/>
        <v>0</v>
      </c>
      <c r="AC26" s="391">
        <f t="shared" si="12"/>
        <v>0</v>
      </c>
      <c r="AE26" s="393"/>
    </row>
    <row r="27" spans="1:31" s="390" customFormat="1" ht="24" customHeight="1">
      <c r="A27" s="167">
        <v>16</v>
      </c>
      <c r="B27" s="20" t="str">
        <f>IFERROR(VLOOKUP(A27,'JUNE (물량흐름)'!$A$13:$C$502,2,0),0)</f>
        <v>ALFANI</v>
      </c>
      <c r="C27" s="272" t="str">
        <f>VLOOKUP(A27,'JUNE (물량흐름)'!$A$13:$C$502,3,0)</f>
        <v>7X408</v>
      </c>
      <c r="D27" s="6">
        <f>VLOOKUP(C27,'WIP(재공품)'!$B$12:$E$493,4,0)</f>
        <v>7936.2499999999991</v>
      </c>
      <c r="E27" s="6">
        <f>IFERROR(VLOOKUP(C27,O.B.JUNE!$AI$7:$AJ$448,2,0),0)</f>
        <v>0</v>
      </c>
      <c r="F27" s="6">
        <f>IFERROR(VLOOKUP(C27,O.B.JUNE!$AI$7:$AK$448,3,0),0)</f>
        <v>0</v>
      </c>
      <c r="G27" s="6">
        <f>IFERROR(VLOOKUP(C27,O.B.JUNE!$AI$7:$AL$448,4,0),0)</f>
        <v>108</v>
      </c>
      <c r="H27" s="6">
        <f t="shared" si="3"/>
        <v>108</v>
      </c>
      <c r="I27" s="6">
        <f>IFERROR(VLOOKUP(C27,O.B.JUNE!$AI$7:$AN$448,6,0),0)</f>
        <v>86</v>
      </c>
      <c r="J27" s="6"/>
      <c r="K27" s="6">
        <f>IFERROR(VLOOKUP(C27,O.B.JUNE!$AI$7:$AO$448,7,0),0)</f>
        <v>2050690</v>
      </c>
      <c r="L27" s="6">
        <f>SUMIF('JUNE (물량흐름)'!$C$13:$C$488,'Overhead exp(제조경비)'!C27,'JUNE (물량흐름)'!$H$13:$H$493)+SUMIF('JUNE (물량흐름)'!$C$13:$C$493,'Overhead exp(제조경비)'!C27,'JUNE (물량흐름)'!$V$13:$V$493)</f>
        <v>0</v>
      </c>
      <c r="M27" s="6">
        <f t="shared" si="4"/>
        <v>0</v>
      </c>
      <c r="N27" s="6">
        <f t="shared" si="5"/>
        <v>0</v>
      </c>
      <c r="O27" s="6">
        <f t="shared" si="2"/>
        <v>0</v>
      </c>
      <c r="P27" s="6">
        <f>SUMIF('JUNE (물량흐름)'!$C$13:$C$502,C27,'JUNE (물량흐름)'!$T$13:$T$502)+SUMIF('JUNE (물량흐름)'!$C$13:$C$502,C27,'JUNE (물량흐름)'!$V$13:$V$502)+SUMIF('JUNE (물량흐름)'!$C$13:$C$502,C27,'JUNE (물량흐름)'!$U$13:$U$502)-SUMIF('JUNE (물량흐름)'!$C$13:$C$502,C27,'JUNE (물량흐름)'!$Y$13:$Y$502)</f>
        <v>108</v>
      </c>
      <c r="Q27" s="6">
        <f t="shared" si="6"/>
        <v>2050690</v>
      </c>
      <c r="R27" s="6">
        <f>IF(ISERROR(VLOOKUP(#REF!,'WIP(재공품)'!$B$12:$AB$38,13,0)),0,VLOOKUP(#REF!,'WIP(재공품)'!$B$12:$AB$38,13,0))</f>
        <v>0</v>
      </c>
      <c r="S27" s="6">
        <f>IF(ISERROR(VLOOKUP(#REF!,'WIP(재공품)'!$B$12:$AB$38,10,0)),0,VLOOKUP(#REF!,'WIP(재공품)'!$B$12:$AB$38,10,0))</f>
        <v>0</v>
      </c>
      <c r="T27" s="6">
        <f>SUMIF('JUNE (물량흐름)'!$C$13:$C$502,'Overhead exp(제조경비)'!C27,'JUNE (물량흐름)'!$Y$13:$Y$502)</f>
        <v>0</v>
      </c>
      <c r="U27" s="6">
        <f t="shared" si="7"/>
        <v>0</v>
      </c>
      <c r="V27" s="6">
        <f>ROUND(SUMIF('JUNE (물량흐름)'!$C$13:$C$502,'Overhead exp(제조경비)'!C27,'JUNE (물량흐름)'!$N$13:$N$502),0)</f>
        <v>0</v>
      </c>
      <c r="W27" s="6">
        <f>ROUND(SUMIF('JUNE (물량흐름)'!$C$13:$C$502,'Overhead exp(제조경비)'!C27,'JUNE (물량흐름)'!$O$13:$O$502),0)</f>
        <v>0</v>
      </c>
      <c r="X27" s="6">
        <f>ROUND(SUMIF('JUNE (물량흐름)'!$C$13:$C$502,'Overhead exp(제조경비)'!C27,'JUNE (물량흐름)'!$P$13:$P$502),0)</f>
        <v>0</v>
      </c>
      <c r="Y27" s="6">
        <f t="shared" si="8"/>
        <v>0</v>
      </c>
      <c r="Z27" s="6">
        <f t="shared" si="9"/>
        <v>0</v>
      </c>
      <c r="AA27" s="6">
        <f t="shared" si="10"/>
        <v>0</v>
      </c>
      <c r="AB27" s="391">
        <f t="shared" si="11"/>
        <v>0</v>
      </c>
      <c r="AC27" s="391">
        <f t="shared" si="12"/>
        <v>0</v>
      </c>
      <c r="AE27" s="393"/>
    </row>
    <row r="28" spans="1:31" s="390" customFormat="1" ht="24" customHeight="1">
      <c r="A28" s="167">
        <v>17</v>
      </c>
      <c r="B28" s="20" t="str">
        <f>IFERROR(VLOOKUP(A28,'JUNE (물량흐름)'!$A$13:$C$502,2,0),0)</f>
        <v>ALFANI</v>
      </c>
      <c r="C28" s="272" t="str">
        <f>VLOOKUP(A28,'JUNE (물량흐름)'!$A$13:$C$502,3,0)</f>
        <v>7X708</v>
      </c>
      <c r="D28" s="6">
        <f>VLOOKUP(C28,'WIP(재공품)'!$B$12:$E$493,4,0)</f>
        <v>60088.75</v>
      </c>
      <c r="E28" s="6">
        <f>IFERROR(VLOOKUP(C28,O.B.JUNE!$AI$7:$AJ$448,2,0),0)</f>
        <v>0</v>
      </c>
      <c r="F28" s="6">
        <f>IFERROR(VLOOKUP(C28,O.B.JUNE!$AI$7:$AK$448,3,0),0)</f>
        <v>0</v>
      </c>
      <c r="G28" s="6">
        <f>IFERROR(VLOOKUP(C28,O.B.JUNE!$AI$7:$AL$448,4,0),0)</f>
        <v>187</v>
      </c>
      <c r="H28" s="6">
        <f t="shared" si="3"/>
        <v>187</v>
      </c>
      <c r="I28" s="6">
        <f>IFERROR(VLOOKUP(C28,O.B.JUNE!$AI$7:$AN$448,6,0),0)</f>
        <v>150</v>
      </c>
      <c r="J28" s="6"/>
      <c r="K28" s="6">
        <f>IFERROR(VLOOKUP(C28,O.B.JUNE!$AI$7:$AO$448,7,0),0)</f>
        <v>3743683</v>
      </c>
      <c r="L28" s="6">
        <f>SUMIF('JUNE (물량흐름)'!$C$13:$C$488,'Overhead exp(제조경비)'!C28,'JUNE (물량흐름)'!$H$13:$H$493)+SUMIF('JUNE (물량흐름)'!$C$13:$C$493,'Overhead exp(제조경비)'!C28,'JUNE (물량흐름)'!$V$13:$V$493)</f>
        <v>0</v>
      </c>
      <c r="M28" s="6">
        <f t="shared" si="4"/>
        <v>0</v>
      </c>
      <c r="N28" s="6">
        <f t="shared" si="5"/>
        <v>0</v>
      </c>
      <c r="O28" s="6">
        <f t="shared" si="2"/>
        <v>0</v>
      </c>
      <c r="P28" s="6">
        <f>SUMIF('JUNE (물량흐름)'!$C$13:$C$502,C28,'JUNE (물량흐름)'!$T$13:$T$502)+SUMIF('JUNE (물량흐름)'!$C$13:$C$502,C28,'JUNE (물량흐름)'!$V$13:$V$502)+SUMIF('JUNE (물량흐름)'!$C$13:$C$502,C28,'JUNE (물량흐름)'!$U$13:$U$502)-SUMIF('JUNE (물량흐름)'!$C$13:$C$502,C28,'JUNE (물량흐름)'!$Y$13:$Y$502)</f>
        <v>187</v>
      </c>
      <c r="Q28" s="6">
        <f t="shared" si="6"/>
        <v>3743683</v>
      </c>
      <c r="R28" s="6">
        <f>IF(ISERROR(VLOOKUP(#REF!,'WIP(재공품)'!$B$12:$AB$38,13,0)),0,VLOOKUP(#REF!,'WIP(재공품)'!$B$12:$AB$38,13,0))</f>
        <v>0</v>
      </c>
      <c r="S28" s="6">
        <f>IF(ISERROR(VLOOKUP(#REF!,'WIP(재공품)'!$B$12:$AB$38,10,0)),0,VLOOKUP(#REF!,'WIP(재공품)'!$B$12:$AB$38,10,0))</f>
        <v>0</v>
      </c>
      <c r="T28" s="6">
        <f>SUMIF('JUNE (물량흐름)'!$C$13:$C$502,'Overhead exp(제조경비)'!C28,'JUNE (물량흐름)'!$Y$13:$Y$502)</f>
        <v>0</v>
      </c>
      <c r="U28" s="6">
        <f t="shared" si="7"/>
        <v>0</v>
      </c>
      <c r="V28" s="6">
        <f>ROUND(SUMIF('JUNE (물량흐름)'!$C$13:$C$502,'Overhead exp(제조경비)'!C28,'JUNE (물량흐름)'!$N$13:$N$502),0)</f>
        <v>0</v>
      </c>
      <c r="W28" s="6">
        <f>ROUND(SUMIF('JUNE (물량흐름)'!$C$13:$C$502,'Overhead exp(제조경비)'!C28,'JUNE (물량흐름)'!$O$13:$O$502),0)</f>
        <v>0</v>
      </c>
      <c r="X28" s="6">
        <f>ROUND(SUMIF('JUNE (물량흐름)'!$C$13:$C$502,'Overhead exp(제조경비)'!C28,'JUNE (물량흐름)'!$P$13:$P$502),0)</f>
        <v>0</v>
      </c>
      <c r="Y28" s="6">
        <f t="shared" si="8"/>
        <v>0</v>
      </c>
      <c r="Z28" s="6">
        <f t="shared" si="9"/>
        <v>0</v>
      </c>
      <c r="AA28" s="6">
        <f t="shared" si="10"/>
        <v>0</v>
      </c>
      <c r="AB28" s="391">
        <f t="shared" si="11"/>
        <v>0</v>
      </c>
      <c r="AC28" s="391">
        <f t="shared" si="12"/>
        <v>0</v>
      </c>
      <c r="AE28" s="393"/>
    </row>
    <row r="29" spans="1:31" s="390" customFormat="1" ht="24" customHeight="1">
      <c r="A29" s="167">
        <v>18</v>
      </c>
      <c r="B29" s="20" t="str">
        <f>IFERROR(VLOOKUP(A29,'JUNE (물량흐름)'!$A$13:$C$502,2,0),0)</f>
        <v>ALFANI</v>
      </c>
      <c r="C29" s="272" t="str">
        <f>VLOOKUP(A29,'JUNE (물량흐름)'!$A$13:$C$502,3,0)</f>
        <v>7N900</v>
      </c>
      <c r="D29" s="6">
        <f>VLOOKUP(C29,'WIP(재공품)'!$B$12:$E$493,4,0)</f>
        <v>7936.2499999999991</v>
      </c>
      <c r="E29" s="6">
        <f>IFERROR(VLOOKUP(C29,O.B.JUNE!$AI$7:$AJ$448,2,0),0)</f>
        <v>0</v>
      </c>
      <c r="F29" s="6">
        <f>IFERROR(VLOOKUP(C29,O.B.JUNE!$AI$7:$AK$448,3,0),0)</f>
        <v>22</v>
      </c>
      <c r="G29" s="6">
        <f>IFERROR(VLOOKUP(C29,O.B.JUNE!$AI$7:$AL$448,4,0),0)</f>
        <v>122</v>
      </c>
      <c r="H29" s="6">
        <f t="shared" si="3"/>
        <v>144</v>
      </c>
      <c r="I29" s="6">
        <f>IFERROR(VLOOKUP(C29,O.B.JUNE!$AI$7:$AN$448,6,0),0)</f>
        <v>109</v>
      </c>
      <c r="J29" s="6"/>
      <c r="K29" s="6">
        <f>IFERROR(VLOOKUP(C29,O.B.JUNE!$AI$7:$AO$448,7,0),0)</f>
        <v>2676764</v>
      </c>
      <c r="L29" s="6">
        <f>SUMIF('JUNE (물량흐름)'!$C$13:$C$488,'Overhead exp(제조경비)'!C29,'JUNE (물량흐름)'!$H$13:$H$493)+SUMIF('JUNE (물량흐름)'!$C$13:$C$493,'Overhead exp(제조경비)'!C29,'JUNE (물량흐름)'!$V$13:$V$493)</f>
        <v>0</v>
      </c>
      <c r="M29" s="6">
        <f t="shared" si="4"/>
        <v>0</v>
      </c>
      <c r="N29" s="6">
        <f t="shared" si="5"/>
        <v>0</v>
      </c>
      <c r="O29" s="6">
        <f t="shared" si="2"/>
        <v>0</v>
      </c>
      <c r="P29" s="6">
        <f>SUMIF('JUNE (물량흐름)'!$C$13:$C$502,C29,'JUNE (물량흐름)'!$T$13:$T$502)+SUMIF('JUNE (물량흐름)'!$C$13:$C$502,C29,'JUNE (물량흐름)'!$V$13:$V$502)+SUMIF('JUNE (물량흐름)'!$C$13:$C$502,C29,'JUNE (물량흐름)'!$U$13:$U$502)-SUMIF('JUNE (물량흐름)'!$C$13:$C$502,C29,'JUNE (물량흐름)'!$Y$13:$Y$502)</f>
        <v>144</v>
      </c>
      <c r="Q29" s="6">
        <f t="shared" si="6"/>
        <v>2676764</v>
      </c>
      <c r="R29" s="6">
        <f>IF(ISERROR(VLOOKUP(#REF!,'WIP(재공품)'!$B$12:$AB$38,13,0)),0,VLOOKUP(#REF!,'WIP(재공품)'!$B$12:$AB$38,13,0))</f>
        <v>0</v>
      </c>
      <c r="S29" s="6">
        <f>IF(ISERROR(VLOOKUP(#REF!,'WIP(재공품)'!$B$12:$AB$38,10,0)),0,VLOOKUP(#REF!,'WIP(재공품)'!$B$12:$AB$38,10,0))</f>
        <v>0</v>
      </c>
      <c r="T29" s="6">
        <f>SUMIF('JUNE (물량흐름)'!$C$13:$C$502,'Overhead exp(제조경비)'!C29,'JUNE (물량흐름)'!$Y$13:$Y$502)</f>
        <v>0</v>
      </c>
      <c r="U29" s="6">
        <f t="shared" si="7"/>
        <v>0</v>
      </c>
      <c r="V29" s="6">
        <f>ROUND(SUMIF('JUNE (물량흐름)'!$C$13:$C$502,'Overhead exp(제조경비)'!C29,'JUNE (물량흐름)'!$N$13:$N$502),0)</f>
        <v>0</v>
      </c>
      <c r="W29" s="6">
        <f>ROUND(SUMIF('JUNE (물량흐름)'!$C$13:$C$502,'Overhead exp(제조경비)'!C29,'JUNE (물량흐름)'!$O$13:$O$502),0)</f>
        <v>0</v>
      </c>
      <c r="X29" s="6">
        <f>ROUND(SUMIF('JUNE (물량흐름)'!$C$13:$C$502,'Overhead exp(제조경비)'!C29,'JUNE (물량흐름)'!$P$13:$P$502),0)</f>
        <v>0</v>
      </c>
      <c r="Y29" s="6">
        <f t="shared" si="8"/>
        <v>0</v>
      </c>
      <c r="Z29" s="6">
        <f t="shared" si="9"/>
        <v>0</v>
      </c>
      <c r="AA29" s="6">
        <f t="shared" si="10"/>
        <v>0</v>
      </c>
      <c r="AB29" s="391">
        <f t="shared" si="11"/>
        <v>0</v>
      </c>
      <c r="AC29" s="391">
        <f t="shared" si="12"/>
        <v>0</v>
      </c>
      <c r="AE29" s="393"/>
    </row>
    <row r="30" spans="1:31" s="390" customFormat="1" ht="24" customHeight="1">
      <c r="A30" s="167">
        <v>19</v>
      </c>
      <c r="B30" s="20" t="str">
        <f>IFERROR(VLOOKUP(A30,'JUNE (물량흐름)'!$A$13:$C$502,2,0),0)</f>
        <v>ALFANI</v>
      </c>
      <c r="C30" s="272">
        <f>VLOOKUP(A30,'JUNE (물량흐름)'!$A$13:$C$502,3,0)</f>
        <v>100004400</v>
      </c>
      <c r="D30" s="6">
        <f>VLOOKUP(C30,'WIP(재공품)'!$B$12:$E$493,4,0)</f>
        <v>8163</v>
      </c>
      <c r="E30" s="6">
        <f>IFERROR(VLOOKUP(C30,O.B.JUNE!$AI$7:$AJ$448,2,0),0)</f>
        <v>0</v>
      </c>
      <c r="F30" s="6">
        <f>IFERROR(VLOOKUP(C30,O.B.JUNE!$AI$7:$AK$448,3,0),0)</f>
        <v>0</v>
      </c>
      <c r="G30" s="6">
        <f>IFERROR(VLOOKUP(C30,O.B.JUNE!$AI$7:$AL$448,4,0),0)</f>
        <v>66</v>
      </c>
      <c r="H30" s="6">
        <f t="shared" si="3"/>
        <v>66</v>
      </c>
      <c r="I30" s="6">
        <f>IFERROR(VLOOKUP(C30,O.B.JUNE!$AI$7:$AN$448,6,0),0)</f>
        <v>53</v>
      </c>
      <c r="J30" s="6"/>
      <c r="K30" s="6">
        <f>IFERROR(VLOOKUP(C30,O.B.JUNE!$AI$7:$AO$448,7,0),0)</f>
        <v>2672033</v>
      </c>
      <c r="L30" s="6">
        <f>SUMIF('JUNE (물량흐름)'!$C$13:$C$488,'Overhead exp(제조경비)'!C30,'JUNE (물량흐름)'!$H$13:$H$493)+SUMIF('JUNE (물량흐름)'!$C$13:$C$493,'Overhead exp(제조경비)'!C30,'JUNE (물량흐름)'!$V$13:$V$493)</f>
        <v>0</v>
      </c>
      <c r="M30" s="6">
        <f t="shared" si="4"/>
        <v>0</v>
      </c>
      <c r="N30" s="6">
        <f t="shared" si="5"/>
        <v>0</v>
      </c>
      <c r="O30" s="6">
        <f t="shared" si="2"/>
        <v>0</v>
      </c>
      <c r="P30" s="6">
        <f>SUMIF('JUNE (물량흐름)'!$C$13:$C$502,C30,'JUNE (물량흐름)'!$T$13:$T$502)+SUMIF('JUNE (물량흐름)'!$C$13:$C$502,C30,'JUNE (물량흐름)'!$V$13:$V$502)+SUMIF('JUNE (물량흐름)'!$C$13:$C$502,C30,'JUNE (물량흐름)'!$U$13:$U$502)-SUMIF('JUNE (물량흐름)'!$C$13:$C$502,C30,'JUNE (물량흐름)'!$Y$13:$Y$502)</f>
        <v>66</v>
      </c>
      <c r="Q30" s="6">
        <f t="shared" si="6"/>
        <v>2672033</v>
      </c>
      <c r="R30" s="6">
        <f>IF(ISERROR(VLOOKUP(#REF!,'WIP(재공품)'!$B$12:$AB$38,13,0)),0,VLOOKUP(#REF!,'WIP(재공품)'!$B$12:$AB$38,13,0))</f>
        <v>0</v>
      </c>
      <c r="S30" s="6">
        <f>IF(ISERROR(VLOOKUP(#REF!,'WIP(재공품)'!$B$12:$AB$38,10,0)),0,VLOOKUP(#REF!,'WIP(재공품)'!$B$12:$AB$38,10,0))</f>
        <v>0</v>
      </c>
      <c r="T30" s="6">
        <f>SUMIF('JUNE (물량흐름)'!$C$13:$C$502,'Overhead exp(제조경비)'!C30,'JUNE (물량흐름)'!$Y$13:$Y$502)</f>
        <v>0</v>
      </c>
      <c r="U30" s="6">
        <f t="shared" si="7"/>
        <v>0</v>
      </c>
      <c r="V30" s="6">
        <f>ROUND(SUMIF('JUNE (물량흐름)'!$C$13:$C$502,'Overhead exp(제조경비)'!C30,'JUNE (물량흐름)'!$N$13:$N$502),0)</f>
        <v>0</v>
      </c>
      <c r="W30" s="6">
        <f>ROUND(SUMIF('JUNE (물량흐름)'!$C$13:$C$502,'Overhead exp(제조경비)'!C30,'JUNE (물량흐름)'!$O$13:$O$502),0)</f>
        <v>0</v>
      </c>
      <c r="X30" s="6">
        <f>ROUND(SUMIF('JUNE (물량흐름)'!$C$13:$C$502,'Overhead exp(제조경비)'!C30,'JUNE (물량흐름)'!$P$13:$P$502),0)</f>
        <v>0</v>
      </c>
      <c r="Y30" s="6">
        <f t="shared" si="8"/>
        <v>0</v>
      </c>
      <c r="Z30" s="6">
        <f t="shared" si="9"/>
        <v>0</v>
      </c>
      <c r="AA30" s="6">
        <f t="shared" si="10"/>
        <v>0</v>
      </c>
      <c r="AB30" s="391">
        <f t="shared" si="11"/>
        <v>0</v>
      </c>
      <c r="AC30" s="391">
        <f t="shared" si="12"/>
        <v>0</v>
      </c>
      <c r="AE30" s="393"/>
    </row>
    <row r="31" spans="1:31" s="390" customFormat="1" ht="24" customHeight="1">
      <c r="A31" s="167">
        <v>20</v>
      </c>
      <c r="B31" s="20" t="str">
        <f>IFERROR(VLOOKUP(A31,'JUNE (물량흐름)'!$A$13:$C$502,2,0),0)</f>
        <v>ALFANI</v>
      </c>
      <c r="C31" s="272">
        <f>VLOOKUP(A31,'JUNE (물량흐름)'!$A$13:$C$502,3,0)</f>
        <v>100008889</v>
      </c>
      <c r="D31" s="6">
        <f>VLOOKUP(C31,'WIP(재공품)'!$B$12:$E$493,4,0)</f>
        <v>8163</v>
      </c>
      <c r="E31" s="6">
        <f>IFERROR(VLOOKUP(C31,O.B.JUNE!$AI$7:$AJ$448,2,0),0)</f>
        <v>0</v>
      </c>
      <c r="F31" s="6">
        <f>IFERROR(VLOOKUP(C31,O.B.JUNE!$AI$7:$AK$448,3,0),0)</f>
        <v>0</v>
      </c>
      <c r="G31" s="6">
        <f>IFERROR(VLOOKUP(C31,O.B.JUNE!$AI$7:$AL$448,4,0),0)</f>
        <v>164</v>
      </c>
      <c r="H31" s="6">
        <f t="shared" si="3"/>
        <v>164</v>
      </c>
      <c r="I31" s="6">
        <f>IFERROR(VLOOKUP(C31,O.B.JUNE!$AI$7:$AN$448,6,0),0)</f>
        <v>131</v>
      </c>
      <c r="J31" s="6"/>
      <c r="K31" s="6">
        <f>IFERROR(VLOOKUP(C31,O.B.JUNE!$AI$7:$AO$448,7,0),0)</f>
        <v>3240857</v>
      </c>
      <c r="L31" s="6">
        <f>SUMIF('JUNE (물량흐름)'!$C$13:$C$488,'Overhead exp(제조경비)'!C31,'JUNE (물량흐름)'!$H$13:$H$493)+SUMIF('JUNE (물량흐름)'!$C$13:$C$493,'Overhead exp(제조경비)'!C31,'JUNE (물량흐름)'!$V$13:$V$493)</f>
        <v>0</v>
      </c>
      <c r="M31" s="6">
        <f t="shared" si="4"/>
        <v>0</v>
      </c>
      <c r="N31" s="6">
        <f t="shared" si="5"/>
        <v>0</v>
      </c>
      <c r="O31" s="6">
        <f t="shared" si="2"/>
        <v>0</v>
      </c>
      <c r="P31" s="6">
        <f>SUMIF('JUNE (물량흐름)'!$C$13:$C$502,C31,'JUNE (물량흐름)'!$T$13:$T$502)+SUMIF('JUNE (물량흐름)'!$C$13:$C$502,C31,'JUNE (물량흐름)'!$V$13:$V$502)+SUMIF('JUNE (물량흐름)'!$C$13:$C$502,C31,'JUNE (물량흐름)'!$U$13:$U$502)-SUMIF('JUNE (물량흐름)'!$C$13:$C$502,C31,'JUNE (물량흐름)'!$Y$13:$Y$502)</f>
        <v>164</v>
      </c>
      <c r="Q31" s="6">
        <f t="shared" si="6"/>
        <v>3240857</v>
      </c>
      <c r="R31" s="6">
        <f>IF(ISERROR(VLOOKUP(#REF!,'WIP(재공품)'!$B$12:$AB$38,13,0)),0,VLOOKUP(#REF!,'WIP(재공품)'!$B$12:$AB$38,13,0))</f>
        <v>0</v>
      </c>
      <c r="S31" s="6">
        <f>IF(ISERROR(VLOOKUP(#REF!,'WIP(재공품)'!$B$12:$AB$38,10,0)),0,VLOOKUP(#REF!,'WIP(재공품)'!$B$12:$AB$38,10,0))</f>
        <v>0</v>
      </c>
      <c r="T31" s="6">
        <f>SUMIF('JUNE (물량흐름)'!$C$13:$C$502,'Overhead exp(제조경비)'!C31,'JUNE (물량흐름)'!$Y$13:$Y$502)</f>
        <v>0</v>
      </c>
      <c r="U31" s="6">
        <f t="shared" si="7"/>
        <v>0</v>
      </c>
      <c r="V31" s="6">
        <f>ROUND(SUMIF('JUNE (물량흐름)'!$C$13:$C$502,'Overhead exp(제조경비)'!C31,'JUNE (물량흐름)'!$N$13:$N$502),0)</f>
        <v>0</v>
      </c>
      <c r="W31" s="6">
        <f>ROUND(SUMIF('JUNE (물량흐름)'!$C$13:$C$502,'Overhead exp(제조경비)'!C31,'JUNE (물량흐름)'!$O$13:$O$502),0)</f>
        <v>0</v>
      </c>
      <c r="X31" s="6">
        <f>ROUND(SUMIF('JUNE (물량흐름)'!$C$13:$C$502,'Overhead exp(제조경비)'!C31,'JUNE (물량흐름)'!$P$13:$P$502),0)</f>
        <v>0</v>
      </c>
      <c r="Y31" s="6">
        <f t="shared" si="8"/>
        <v>0</v>
      </c>
      <c r="Z31" s="6">
        <f t="shared" si="9"/>
        <v>0</v>
      </c>
      <c r="AA31" s="6">
        <f t="shared" si="10"/>
        <v>0</v>
      </c>
      <c r="AB31" s="391">
        <f t="shared" si="11"/>
        <v>0</v>
      </c>
      <c r="AC31" s="391">
        <f t="shared" si="12"/>
        <v>0</v>
      </c>
      <c r="AE31" s="393"/>
    </row>
    <row r="32" spans="1:31" s="390" customFormat="1" ht="24" customHeight="1">
      <c r="A32" s="167">
        <v>21</v>
      </c>
      <c r="B32" s="20" t="str">
        <f>IFERROR(VLOOKUP(A32,'JUNE (물량흐름)'!$A$13:$C$502,2,0),0)</f>
        <v>ALFANI</v>
      </c>
      <c r="C32" s="272">
        <f>VLOOKUP(A32,'JUNE (물량흐름)'!$A$13:$C$502,3,0)</f>
        <v>100010579</v>
      </c>
      <c r="D32" s="6">
        <f>VLOOKUP(C32,'WIP(재공품)'!$B$12:$E$493,4,0)</f>
        <v>44896.5</v>
      </c>
      <c r="E32" s="6">
        <f>IFERROR(VLOOKUP(C32,O.B.JUNE!$AI$7:$AJ$448,2,0),0)</f>
        <v>0</v>
      </c>
      <c r="F32" s="6">
        <f>IFERROR(VLOOKUP(C32,O.B.JUNE!$AI$7:$AK$448,3,0),0)</f>
        <v>442</v>
      </c>
      <c r="G32" s="6">
        <f>IFERROR(VLOOKUP(C32,O.B.JUNE!$AI$7:$AL$448,4,0),0)</f>
        <v>1015</v>
      </c>
      <c r="H32" s="6">
        <f t="shared" si="3"/>
        <v>1457</v>
      </c>
      <c r="I32" s="6">
        <f>IFERROR(VLOOKUP(C32,O.B.JUNE!$AI$7:$AN$448,6,0),0)</f>
        <v>1033</v>
      </c>
      <c r="J32" s="6"/>
      <c r="K32" s="6">
        <f>IFERROR(VLOOKUP(C32,O.B.JUNE!$AI$7:$AO$448,7,0),0)</f>
        <v>37742053</v>
      </c>
      <c r="L32" s="6">
        <f>SUMIF('JUNE (물량흐름)'!$C$13:$C$488,'Overhead exp(제조경비)'!C32,'JUNE (물량흐름)'!$H$13:$H$493)+SUMIF('JUNE (물량흐름)'!$C$13:$C$493,'Overhead exp(제조경비)'!C32,'JUNE (물량흐름)'!$V$13:$V$493)</f>
        <v>859</v>
      </c>
      <c r="M32" s="6">
        <f t="shared" si="4"/>
        <v>977</v>
      </c>
      <c r="N32" s="6">
        <f t="shared" si="5"/>
        <v>43863881</v>
      </c>
      <c r="O32" s="6">
        <f t="shared" si="2"/>
        <v>26504307</v>
      </c>
      <c r="P32" s="6">
        <f>SUMIF('JUNE (물량흐름)'!$C$13:$C$502,C32,'JUNE (물량흐름)'!$T$13:$T$502)+SUMIF('JUNE (물량흐름)'!$C$13:$C$502,C32,'JUNE (물량흐름)'!$V$13:$V$502)+SUMIF('JUNE (물량흐름)'!$C$13:$C$502,C32,'JUNE (물량흐름)'!$U$13:$U$502)-SUMIF('JUNE (물량흐름)'!$C$13:$C$502,C32,'JUNE (물량흐름)'!$Y$13:$Y$502)</f>
        <v>1367</v>
      </c>
      <c r="Q32" s="6">
        <f t="shared" si="6"/>
        <v>37920887</v>
      </c>
      <c r="R32" s="6">
        <f>IF(ISERROR(VLOOKUP(#REF!,'WIP(재공품)'!$B$12:$AB$38,13,0)),0,VLOOKUP(#REF!,'WIP(재공품)'!$B$12:$AB$38,13,0))</f>
        <v>0</v>
      </c>
      <c r="S32" s="6">
        <f>IF(ISERROR(VLOOKUP(#REF!,'WIP(재공품)'!$B$12:$AB$38,10,0)),0,VLOOKUP(#REF!,'WIP(재공품)'!$B$12:$AB$38,10,0))</f>
        <v>0</v>
      </c>
      <c r="T32" s="6">
        <f>SUMIF('JUNE (물량흐름)'!$C$13:$C$502,'Overhead exp(제조경비)'!C32,'JUNE (물량흐름)'!$Y$13:$Y$502)</f>
        <v>0</v>
      </c>
      <c r="U32" s="6">
        <f t="shared" si="7"/>
        <v>0</v>
      </c>
      <c r="V32" s="6">
        <f>ROUND(SUMIF('JUNE (물량흐름)'!$C$13:$C$502,'Overhead exp(제조경비)'!C32,'JUNE (물량흐름)'!$N$13:$N$502),0)</f>
        <v>0</v>
      </c>
      <c r="W32" s="6">
        <f>ROUND(SUMIF('JUNE (물량흐름)'!$C$13:$C$502,'Overhead exp(제조경비)'!C32,'JUNE (물량흐름)'!$O$13:$O$502),0)</f>
        <v>389</v>
      </c>
      <c r="X32" s="6">
        <f>ROUND(SUMIF('JUNE (물량흐름)'!$C$13:$C$502,'Overhead exp(제조경비)'!C32,'JUNE (물량흐름)'!$P$13:$P$502),0)</f>
        <v>560</v>
      </c>
      <c r="Y32" s="6">
        <f t="shared" si="8"/>
        <v>949</v>
      </c>
      <c r="Z32" s="6">
        <f t="shared" si="9"/>
        <v>643</v>
      </c>
      <c r="AA32" s="6">
        <f t="shared" si="10"/>
        <v>26325473</v>
      </c>
      <c r="AB32" s="391">
        <f t="shared" si="11"/>
        <v>0</v>
      </c>
      <c r="AC32" s="391">
        <f t="shared" si="12"/>
        <v>0</v>
      </c>
      <c r="AE32" s="393"/>
    </row>
    <row r="33" spans="1:31" s="390" customFormat="1" ht="24" customHeight="1">
      <c r="A33" s="167">
        <v>22</v>
      </c>
      <c r="B33" s="20" t="str">
        <f>IFERROR(VLOOKUP(A33,'JUNE (물량흐름)'!$A$13:$C$502,2,0),0)</f>
        <v>TALBOTS</v>
      </c>
      <c r="C33" s="272">
        <f>VLOOKUP(A33,'JUNE (물량흐름)'!$A$13:$C$502,3,0)</f>
        <v>174034722</v>
      </c>
      <c r="D33" s="6">
        <f>VLOOKUP(C33,'WIP(재공품)'!$B$12:$E$493,4,0)</f>
        <v>7936.2499999999991</v>
      </c>
      <c r="E33" s="6">
        <f>IFERROR(VLOOKUP(C33,O.B.JUNE!$AI$7:$AJ$448,2,0),0)</f>
        <v>0</v>
      </c>
      <c r="F33" s="6">
        <f>IFERROR(VLOOKUP(C33,O.B.JUNE!$AI$7:$AK$448,3,0),0)</f>
        <v>0</v>
      </c>
      <c r="G33" s="6">
        <f>IFERROR(VLOOKUP(C33,O.B.JUNE!$AI$7:$AL$448,4,0),0)</f>
        <v>182</v>
      </c>
      <c r="H33" s="6">
        <f t="shared" si="3"/>
        <v>182</v>
      </c>
      <c r="I33" s="6">
        <f>IFERROR(VLOOKUP(C33,O.B.JUNE!$AI$7:$AN$448,6,0),0)</f>
        <v>146</v>
      </c>
      <c r="J33" s="6"/>
      <c r="K33" s="6">
        <f>IFERROR(VLOOKUP(C33,O.B.JUNE!$AI$7:$AO$448,7,0),0)</f>
        <v>6251283</v>
      </c>
      <c r="L33" s="6">
        <f>SUMIF('JUNE (물량흐름)'!$C$13:$C$488,'Overhead exp(제조경비)'!C33,'JUNE (물량흐름)'!$H$13:$H$493)+SUMIF('JUNE (물량흐름)'!$C$13:$C$493,'Overhead exp(제조경비)'!C33,'JUNE (물량흐름)'!$V$13:$V$493)</f>
        <v>0</v>
      </c>
      <c r="M33" s="6">
        <f t="shared" si="4"/>
        <v>0</v>
      </c>
      <c r="N33" s="6">
        <f t="shared" si="5"/>
        <v>0</v>
      </c>
      <c r="O33" s="6">
        <f t="shared" si="2"/>
        <v>0</v>
      </c>
      <c r="P33" s="6">
        <f>SUMIF('JUNE (물량흐름)'!$C$13:$C$502,C33,'JUNE (물량흐름)'!$T$13:$T$502)+SUMIF('JUNE (물량흐름)'!$C$13:$C$502,C33,'JUNE (물량흐름)'!$V$13:$V$502)+SUMIF('JUNE (물량흐름)'!$C$13:$C$502,C33,'JUNE (물량흐름)'!$U$13:$U$502)-SUMIF('JUNE (물량흐름)'!$C$13:$C$502,C33,'JUNE (물량흐름)'!$Y$13:$Y$502)</f>
        <v>182</v>
      </c>
      <c r="Q33" s="6">
        <f t="shared" si="6"/>
        <v>6251283</v>
      </c>
      <c r="R33" s="6">
        <f>IF(ISERROR(VLOOKUP(#REF!,'WIP(재공품)'!$B$12:$AB$38,13,0)),0,VLOOKUP(#REF!,'WIP(재공품)'!$B$12:$AB$38,13,0))</f>
        <v>0</v>
      </c>
      <c r="S33" s="6">
        <f>IF(ISERROR(VLOOKUP(#REF!,'WIP(재공품)'!$B$12:$AB$38,10,0)),0,VLOOKUP(#REF!,'WIP(재공품)'!$B$12:$AB$38,10,0))</f>
        <v>0</v>
      </c>
      <c r="T33" s="6">
        <f>SUMIF('JUNE (물량흐름)'!$C$13:$C$502,'Overhead exp(제조경비)'!C33,'JUNE (물량흐름)'!$Y$13:$Y$502)</f>
        <v>0</v>
      </c>
      <c r="U33" s="6">
        <f t="shared" si="7"/>
        <v>0</v>
      </c>
      <c r="V33" s="6">
        <f>ROUND(SUMIF('JUNE (물량흐름)'!$C$13:$C$502,'Overhead exp(제조경비)'!C33,'JUNE (물량흐름)'!$N$13:$N$502),0)</f>
        <v>0</v>
      </c>
      <c r="W33" s="6">
        <f>ROUND(SUMIF('JUNE (물량흐름)'!$C$13:$C$502,'Overhead exp(제조경비)'!C33,'JUNE (물량흐름)'!$O$13:$O$502),0)</f>
        <v>0</v>
      </c>
      <c r="X33" s="6">
        <f>ROUND(SUMIF('JUNE (물량흐름)'!$C$13:$C$502,'Overhead exp(제조경비)'!C33,'JUNE (물량흐름)'!$P$13:$P$502),0)</f>
        <v>0</v>
      </c>
      <c r="Y33" s="6">
        <f t="shared" si="8"/>
        <v>0</v>
      </c>
      <c r="Z33" s="6">
        <f t="shared" si="9"/>
        <v>0</v>
      </c>
      <c r="AA33" s="6">
        <f t="shared" si="10"/>
        <v>0</v>
      </c>
      <c r="AB33" s="391">
        <f t="shared" si="11"/>
        <v>0</v>
      </c>
      <c r="AC33" s="391">
        <f t="shared" si="12"/>
        <v>0</v>
      </c>
      <c r="AE33" s="393"/>
    </row>
    <row r="34" spans="1:31" s="390" customFormat="1" ht="24" customHeight="1">
      <c r="A34" s="167">
        <v>23</v>
      </c>
      <c r="B34" s="20" t="str">
        <f>IFERROR(VLOOKUP(A34,'JUNE (물량흐름)'!$A$13:$C$502,2,0),0)</f>
        <v>TALBOTS</v>
      </c>
      <c r="C34" s="272">
        <f>VLOOKUP(A34,'JUNE (물량흐름)'!$A$13:$C$502,3,0)</f>
        <v>174034719</v>
      </c>
      <c r="D34" s="6">
        <f>VLOOKUP(C34,'WIP(재공품)'!$B$12:$E$493,4,0)</f>
        <v>7936.2499999999991</v>
      </c>
      <c r="E34" s="6">
        <f>IFERROR(VLOOKUP(C34,O.B.JUNE!$AI$7:$AJ$448,2,0),0)</f>
        <v>0</v>
      </c>
      <c r="F34" s="6">
        <f>IFERROR(VLOOKUP(C34,O.B.JUNE!$AI$7:$AK$448,3,0),0)</f>
        <v>0</v>
      </c>
      <c r="G34" s="6">
        <f>IFERROR(VLOOKUP(C34,O.B.JUNE!$AI$7:$AL$448,4,0),0)</f>
        <v>129</v>
      </c>
      <c r="H34" s="6">
        <f t="shared" si="3"/>
        <v>129</v>
      </c>
      <c r="I34" s="6">
        <f>IFERROR(VLOOKUP(C34,O.B.JUNE!$AI$7:$AN$448,6,0),0)</f>
        <v>103</v>
      </c>
      <c r="J34" s="6"/>
      <c r="K34" s="6">
        <f>IFERROR(VLOOKUP(C34,O.B.JUNE!$AI$7:$AO$448,7,0),0)</f>
        <v>4360958</v>
      </c>
      <c r="L34" s="6">
        <f>SUMIF('JUNE (물량흐름)'!$C$13:$C$488,'Overhead exp(제조경비)'!C34,'JUNE (물량흐름)'!$H$13:$H$493)+SUMIF('JUNE (물량흐름)'!$C$13:$C$493,'Overhead exp(제조경비)'!C34,'JUNE (물량흐름)'!$V$13:$V$493)</f>
        <v>0</v>
      </c>
      <c r="M34" s="6">
        <f t="shared" si="4"/>
        <v>0</v>
      </c>
      <c r="N34" s="6">
        <f t="shared" si="5"/>
        <v>0</v>
      </c>
      <c r="O34" s="6">
        <f t="shared" si="2"/>
        <v>0</v>
      </c>
      <c r="P34" s="6">
        <f>SUMIF('JUNE (물량흐름)'!$C$13:$C$502,C34,'JUNE (물량흐름)'!$T$13:$T$502)+SUMIF('JUNE (물량흐름)'!$C$13:$C$502,C34,'JUNE (물량흐름)'!$V$13:$V$502)+SUMIF('JUNE (물량흐름)'!$C$13:$C$502,C34,'JUNE (물량흐름)'!$U$13:$U$502)-SUMIF('JUNE (물량흐름)'!$C$13:$C$502,C34,'JUNE (물량흐름)'!$Y$13:$Y$502)</f>
        <v>129</v>
      </c>
      <c r="Q34" s="6">
        <f t="shared" si="6"/>
        <v>4360958</v>
      </c>
      <c r="R34" s="6">
        <f>IF(ISERROR(VLOOKUP(#REF!,'WIP(재공품)'!$B$12:$AB$38,13,0)),0,VLOOKUP(#REF!,'WIP(재공품)'!$B$12:$AB$38,13,0))</f>
        <v>0</v>
      </c>
      <c r="S34" s="6">
        <f>IF(ISERROR(VLOOKUP(#REF!,'WIP(재공품)'!$B$12:$AB$38,10,0)),0,VLOOKUP(#REF!,'WIP(재공품)'!$B$12:$AB$38,10,0))</f>
        <v>0</v>
      </c>
      <c r="T34" s="6">
        <f>SUMIF('JUNE (물량흐름)'!$C$13:$C$502,'Overhead exp(제조경비)'!C34,'JUNE (물량흐름)'!$Y$13:$Y$502)</f>
        <v>0</v>
      </c>
      <c r="U34" s="6">
        <f t="shared" si="7"/>
        <v>0</v>
      </c>
      <c r="V34" s="6">
        <f>ROUND(SUMIF('JUNE (물량흐름)'!$C$13:$C$502,'Overhead exp(제조경비)'!C34,'JUNE (물량흐름)'!$N$13:$N$502),0)</f>
        <v>0</v>
      </c>
      <c r="W34" s="6">
        <f>ROUND(SUMIF('JUNE (물량흐름)'!$C$13:$C$502,'Overhead exp(제조경비)'!C34,'JUNE (물량흐름)'!$O$13:$O$502),0)</f>
        <v>0</v>
      </c>
      <c r="X34" s="6">
        <f>ROUND(SUMIF('JUNE (물량흐름)'!$C$13:$C$502,'Overhead exp(제조경비)'!C34,'JUNE (물량흐름)'!$P$13:$P$502),0)</f>
        <v>0</v>
      </c>
      <c r="Y34" s="6">
        <f t="shared" si="8"/>
        <v>0</v>
      </c>
      <c r="Z34" s="6">
        <f t="shared" si="9"/>
        <v>0</v>
      </c>
      <c r="AA34" s="6">
        <f t="shared" si="10"/>
        <v>0</v>
      </c>
      <c r="AB34" s="391">
        <f t="shared" si="11"/>
        <v>0</v>
      </c>
      <c r="AC34" s="391">
        <f t="shared" si="12"/>
        <v>0</v>
      </c>
      <c r="AE34" s="393"/>
    </row>
    <row r="35" spans="1:31" s="390" customFormat="1" ht="24" customHeight="1">
      <c r="A35" s="167">
        <v>24</v>
      </c>
      <c r="B35" s="20" t="str">
        <f>IFERROR(VLOOKUP(A35,'JUNE (물량흐름)'!$A$13:$C$502,2,0),0)</f>
        <v>TALBOTS</v>
      </c>
      <c r="C35" s="272">
        <f>VLOOKUP(A35,'JUNE (물량흐름)'!$A$13:$C$502,3,0)</f>
        <v>174034721</v>
      </c>
      <c r="D35" s="6">
        <f>VLOOKUP(C35,'WIP(재공품)'!$B$12:$E$493,4,0)</f>
        <v>7936.2499999999991</v>
      </c>
      <c r="E35" s="6">
        <f>IFERROR(VLOOKUP(C35,O.B.JUNE!$AI$7:$AJ$448,2,0),0)</f>
        <v>0</v>
      </c>
      <c r="F35" s="6">
        <f>IFERROR(VLOOKUP(C35,O.B.JUNE!$AI$7:$AK$448,3,0),0)</f>
        <v>0</v>
      </c>
      <c r="G35" s="6">
        <f>IFERROR(VLOOKUP(C35,O.B.JUNE!$AI$7:$AL$448,4,0),0)</f>
        <v>109</v>
      </c>
      <c r="H35" s="6">
        <f t="shared" si="3"/>
        <v>109</v>
      </c>
      <c r="I35" s="6">
        <f>IFERROR(VLOOKUP(C35,O.B.JUNE!$AI$7:$AN$448,6,0),0)</f>
        <v>87</v>
      </c>
      <c r="J35" s="6"/>
      <c r="K35" s="6">
        <f>IFERROR(VLOOKUP(C35,O.B.JUNE!$AI$7:$AO$448,7,0),0)</f>
        <v>4475333</v>
      </c>
      <c r="L35" s="6">
        <f>SUMIF('JUNE (물량흐름)'!$C$13:$C$488,'Overhead exp(제조경비)'!C35,'JUNE (물량흐름)'!$H$13:$H$493)+SUMIF('JUNE (물량흐름)'!$C$13:$C$493,'Overhead exp(제조경비)'!C35,'JUNE (물량흐름)'!$V$13:$V$493)</f>
        <v>0</v>
      </c>
      <c r="M35" s="6">
        <f t="shared" si="4"/>
        <v>0</v>
      </c>
      <c r="N35" s="6">
        <f t="shared" si="5"/>
        <v>0</v>
      </c>
      <c r="O35" s="6">
        <f t="shared" si="2"/>
        <v>0</v>
      </c>
      <c r="P35" s="6">
        <f>SUMIF('JUNE (물량흐름)'!$C$13:$C$502,C35,'JUNE (물량흐름)'!$T$13:$T$502)+SUMIF('JUNE (물량흐름)'!$C$13:$C$502,C35,'JUNE (물량흐름)'!$V$13:$V$502)+SUMIF('JUNE (물량흐름)'!$C$13:$C$502,C35,'JUNE (물량흐름)'!$U$13:$U$502)-SUMIF('JUNE (물량흐름)'!$C$13:$C$502,C35,'JUNE (물량흐름)'!$Y$13:$Y$502)</f>
        <v>109</v>
      </c>
      <c r="Q35" s="6">
        <f t="shared" si="6"/>
        <v>4475333</v>
      </c>
      <c r="R35" s="6">
        <f>IF(ISERROR(VLOOKUP(#REF!,'WIP(재공품)'!$B$12:$AB$38,13,0)),0,VLOOKUP(#REF!,'WIP(재공품)'!$B$12:$AB$38,13,0))</f>
        <v>0</v>
      </c>
      <c r="S35" s="6">
        <f>IF(ISERROR(VLOOKUP(#REF!,'WIP(재공품)'!$B$12:$AB$38,10,0)),0,VLOOKUP(#REF!,'WIP(재공품)'!$B$12:$AB$38,10,0))</f>
        <v>0</v>
      </c>
      <c r="T35" s="6">
        <f>SUMIF('JUNE (물량흐름)'!$C$13:$C$502,'Overhead exp(제조경비)'!C35,'JUNE (물량흐름)'!$Y$13:$Y$502)</f>
        <v>0</v>
      </c>
      <c r="U35" s="6">
        <f t="shared" si="7"/>
        <v>0</v>
      </c>
      <c r="V35" s="6">
        <f>ROUND(SUMIF('JUNE (물량흐름)'!$C$13:$C$502,'Overhead exp(제조경비)'!C35,'JUNE (물량흐름)'!$N$13:$N$502),0)</f>
        <v>0</v>
      </c>
      <c r="W35" s="6">
        <f>ROUND(SUMIF('JUNE (물량흐름)'!$C$13:$C$502,'Overhead exp(제조경비)'!C35,'JUNE (물량흐름)'!$O$13:$O$502),0)</f>
        <v>0</v>
      </c>
      <c r="X35" s="6">
        <f>ROUND(SUMIF('JUNE (물량흐름)'!$C$13:$C$502,'Overhead exp(제조경비)'!C35,'JUNE (물량흐름)'!$P$13:$P$502),0)</f>
        <v>0</v>
      </c>
      <c r="Y35" s="6">
        <f t="shared" si="8"/>
        <v>0</v>
      </c>
      <c r="Z35" s="6">
        <f t="shared" si="9"/>
        <v>0</v>
      </c>
      <c r="AA35" s="6">
        <f t="shared" si="10"/>
        <v>0</v>
      </c>
      <c r="AB35" s="391">
        <f t="shared" si="11"/>
        <v>0</v>
      </c>
      <c r="AC35" s="391">
        <f t="shared" si="12"/>
        <v>0</v>
      </c>
      <c r="AE35" s="393"/>
    </row>
    <row r="36" spans="1:31" s="390" customFormat="1" ht="24" customHeight="1">
      <c r="A36" s="167">
        <v>25</v>
      </c>
      <c r="B36" s="20" t="str">
        <f>IFERROR(VLOOKUP(A36,'JUNE (물량흐름)'!$A$13:$C$502,2,0),0)</f>
        <v>ALFANI</v>
      </c>
      <c r="C36" s="272">
        <f>VLOOKUP(A36,'JUNE (물량흐름)'!$A$13:$C$502,3,0)</f>
        <v>100003226</v>
      </c>
      <c r="D36" s="6">
        <f>VLOOKUP(C36,'WIP(재공품)'!$B$12:$E$493,4,0)</f>
        <v>7936.2499999999991</v>
      </c>
      <c r="E36" s="6">
        <f>IFERROR(VLOOKUP(C36,O.B.JUNE!$AI$7:$AJ$448,2,0),0)</f>
        <v>0</v>
      </c>
      <c r="F36" s="6">
        <f>IFERROR(VLOOKUP(C36,O.B.JUNE!$AI$7:$AK$448,3,0),0)</f>
        <v>0</v>
      </c>
      <c r="G36" s="6">
        <f>IFERROR(VLOOKUP(C36,O.B.JUNE!$AI$7:$AL$448,4,0),0)</f>
        <v>101</v>
      </c>
      <c r="H36" s="6">
        <f t="shared" si="3"/>
        <v>101</v>
      </c>
      <c r="I36" s="6">
        <f>IFERROR(VLOOKUP(C36,O.B.JUNE!$AI$7:$AN$448,6,0),0)</f>
        <v>81</v>
      </c>
      <c r="J36" s="6"/>
      <c r="K36" s="6">
        <f>IFERROR(VLOOKUP(C36,O.B.JUNE!$AI$7:$AO$448,7,0),0)</f>
        <v>3997566</v>
      </c>
      <c r="L36" s="6">
        <f>SUMIF('JUNE (물량흐름)'!$C$13:$C$488,'Overhead exp(제조경비)'!C36,'JUNE (물량흐름)'!$H$13:$H$493)+SUMIF('JUNE (물량흐름)'!$C$13:$C$493,'Overhead exp(제조경비)'!C36,'JUNE (물량흐름)'!$V$13:$V$493)</f>
        <v>0</v>
      </c>
      <c r="M36" s="6">
        <f t="shared" si="4"/>
        <v>0</v>
      </c>
      <c r="N36" s="6">
        <f t="shared" si="5"/>
        <v>0</v>
      </c>
      <c r="O36" s="6">
        <f t="shared" si="2"/>
        <v>0</v>
      </c>
      <c r="P36" s="6">
        <f>SUMIF('JUNE (물량흐름)'!$C$13:$C$502,C36,'JUNE (물량흐름)'!$T$13:$T$502)+SUMIF('JUNE (물량흐름)'!$C$13:$C$502,C36,'JUNE (물량흐름)'!$V$13:$V$502)+SUMIF('JUNE (물량흐름)'!$C$13:$C$502,C36,'JUNE (물량흐름)'!$U$13:$U$502)-SUMIF('JUNE (물량흐름)'!$C$13:$C$502,C36,'JUNE (물량흐름)'!$Y$13:$Y$502)</f>
        <v>101</v>
      </c>
      <c r="Q36" s="6">
        <f t="shared" si="6"/>
        <v>3997566</v>
      </c>
      <c r="R36" s="6">
        <f>IF(ISERROR(VLOOKUP(#REF!,'WIP(재공품)'!$B$12:$AB$38,13,0)),0,VLOOKUP(#REF!,'WIP(재공품)'!$B$12:$AB$38,13,0))</f>
        <v>0</v>
      </c>
      <c r="S36" s="6">
        <f>IF(ISERROR(VLOOKUP(#REF!,'WIP(재공품)'!$B$12:$AB$38,10,0)),0,VLOOKUP(#REF!,'WIP(재공품)'!$B$12:$AB$38,10,0))</f>
        <v>0</v>
      </c>
      <c r="T36" s="6">
        <f>SUMIF('JUNE (물량흐름)'!$C$13:$C$502,'Overhead exp(제조경비)'!C36,'JUNE (물량흐름)'!$Y$13:$Y$502)</f>
        <v>0</v>
      </c>
      <c r="U36" s="6">
        <f t="shared" si="7"/>
        <v>0</v>
      </c>
      <c r="V36" s="6">
        <f>ROUND(SUMIF('JUNE (물량흐름)'!$C$13:$C$502,'Overhead exp(제조경비)'!C36,'JUNE (물량흐름)'!$N$13:$N$502),0)</f>
        <v>0</v>
      </c>
      <c r="W36" s="6">
        <f>ROUND(SUMIF('JUNE (물량흐름)'!$C$13:$C$502,'Overhead exp(제조경비)'!C36,'JUNE (물량흐름)'!$O$13:$O$502),0)</f>
        <v>0</v>
      </c>
      <c r="X36" s="6">
        <f>ROUND(SUMIF('JUNE (물량흐름)'!$C$13:$C$502,'Overhead exp(제조경비)'!C36,'JUNE (물량흐름)'!$P$13:$P$502),0)</f>
        <v>0</v>
      </c>
      <c r="Y36" s="6">
        <f t="shared" si="8"/>
        <v>0</v>
      </c>
      <c r="Z36" s="6">
        <f t="shared" si="9"/>
        <v>0</v>
      </c>
      <c r="AA36" s="6">
        <f t="shared" si="10"/>
        <v>0</v>
      </c>
      <c r="AB36" s="391">
        <f t="shared" si="11"/>
        <v>0</v>
      </c>
      <c r="AC36" s="391">
        <f t="shared" si="12"/>
        <v>0</v>
      </c>
      <c r="AE36" s="393"/>
    </row>
    <row r="37" spans="1:31" s="390" customFormat="1" ht="24" customHeight="1">
      <c r="A37" s="167">
        <v>26</v>
      </c>
      <c r="B37" s="20" t="str">
        <f>IFERROR(VLOOKUP(A37,'JUNE (물량흐름)'!$A$13:$C$502,2,0),0)</f>
        <v>TALBOTS</v>
      </c>
      <c r="C37" s="272">
        <f>VLOOKUP(A37,'JUNE (물량흐름)'!$A$13:$C$502,3,0)</f>
        <v>174034717</v>
      </c>
      <c r="D37" s="6">
        <f>VLOOKUP(C37,'WIP(재공품)'!$B$12:$E$493,4,0)</f>
        <v>7936.2499999999991</v>
      </c>
      <c r="E37" s="6">
        <f>IFERROR(VLOOKUP(C37,O.B.JUNE!$AI$7:$AJ$448,2,0),0)</f>
        <v>0</v>
      </c>
      <c r="F37" s="6">
        <f>IFERROR(VLOOKUP(C37,O.B.JUNE!$AI$7:$AK$448,3,0),0)</f>
        <v>0</v>
      </c>
      <c r="G37" s="6">
        <f>IFERROR(VLOOKUP(C37,O.B.JUNE!$AI$7:$AL$448,4,0),0)</f>
        <v>99</v>
      </c>
      <c r="H37" s="6">
        <f t="shared" si="3"/>
        <v>99</v>
      </c>
      <c r="I37" s="6">
        <f>IFERROR(VLOOKUP(C37,O.B.JUNE!$AI$7:$AN$448,6,0),0)</f>
        <v>79</v>
      </c>
      <c r="J37" s="6"/>
      <c r="K37" s="6">
        <f>IFERROR(VLOOKUP(C37,O.B.JUNE!$AI$7:$AO$448,7,0),0)</f>
        <v>4781235</v>
      </c>
      <c r="L37" s="6">
        <f>SUMIF('JUNE (물량흐름)'!$C$13:$C$488,'Overhead exp(제조경비)'!C37,'JUNE (물량흐름)'!$H$13:$H$493)+SUMIF('JUNE (물량흐름)'!$C$13:$C$493,'Overhead exp(제조경비)'!C37,'JUNE (물량흐름)'!$V$13:$V$493)</f>
        <v>0</v>
      </c>
      <c r="M37" s="6">
        <f t="shared" si="4"/>
        <v>0</v>
      </c>
      <c r="N37" s="6">
        <f t="shared" si="5"/>
        <v>0</v>
      </c>
      <c r="O37" s="6">
        <f t="shared" si="2"/>
        <v>0</v>
      </c>
      <c r="P37" s="6">
        <f>SUMIF('JUNE (물량흐름)'!$C$13:$C$502,C37,'JUNE (물량흐름)'!$T$13:$T$502)+SUMIF('JUNE (물량흐름)'!$C$13:$C$502,C37,'JUNE (물량흐름)'!$V$13:$V$502)+SUMIF('JUNE (물량흐름)'!$C$13:$C$502,C37,'JUNE (물량흐름)'!$U$13:$U$502)-SUMIF('JUNE (물량흐름)'!$C$13:$C$502,C37,'JUNE (물량흐름)'!$Y$13:$Y$502)</f>
        <v>99</v>
      </c>
      <c r="Q37" s="6">
        <f t="shared" si="6"/>
        <v>4781235</v>
      </c>
      <c r="R37" s="6">
        <f>IF(ISERROR(VLOOKUP(#REF!,'WIP(재공품)'!$B$12:$AB$38,13,0)),0,VLOOKUP(#REF!,'WIP(재공품)'!$B$12:$AB$38,13,0))</f>
        <v>0</v>
      </c>
      <c r="S37" s="6">
        <f>IF(ISERROR(VLOOKUP(#REF!,'WIP(재공품)'!$B$12:$AB$38,10,0)),0,VLOOKUP(#REF!,'WIP(재공품)'!$B$12:$AB$38,10,0))</f>
        <v>0</v>
      </c>
      <c r="T37" s="6">
        <f>SUMIF('JUNE (물량흐름)'!$C$13:$C$502,'Overhead exp(제조경비)'!C37,'JUNE (물량흐름)'!$Y$13:$Y$502)</f>
        <v>0</v>
      </c>
      <c r="U37" s="6">
        <f t="shared" si="7"/>
        <v>0</v>
      </c>
      <c r="V37" s="6">
        <f>ROUND(SUMIF('JUNE (물량흐름)'!$C$13:$C$502,'Overhead exp(제조경비)'!C37,'JUNE (물량흐름)'!$N$13:$N$502),0)</f>
        <v>0</v>
      </c>
      <c r="W37" s="6">
        <f>ROUND(SUMIF('JUNE (물량흐름)'!$C$13:$C$502,'Overhead exp(제조경비)'!C37,'JUNE (물량흐름)'!$O$13:$O$502),0)</f>
        <v>0</v>
      </c>
      <c r="X37" s="6">
        <f>ROUND(SUMIF('JUNE (물량흐름)'!$C$13:$C$502,'Overhead exp(제조경비)'!C37,'JUNE (물량흐름)'!$P$13:$P$502),0)</f>
        <v>0</v>
      </c>
      <c r="Y37" s="167">
        <f t="shared" si="8"/>
        <v>0</v>
      </c>
      <c r="Z37" s="167">
        <f t="shared" si="9"/>
        <v>0</v>
      </c>
      <c r="AA37" s="6">
        <f t="shared" si="10"/>
        <v>0</v>
      </c>
      <c r="AB37" s="391">
        <f t="shared" si="11"/>
        <v>0</v>
      </c>
      <c r="AC37" s="391">
        <f t="shared" si="12"/>
        <v>0</v>
      </c>
      <c r="AE37" s="393"/>
    </row>
    <row r="38" spans="1:31" s="390" customFormat="1" ht="24" customHeight="1">
      <c r="A38" s="167">
        <v>27</v>
      </c>
      <c r="B38" s="20" t="str">
        <f>IFERROR(VLOOKUP(A38,'JUNE (물량흐름)'!$A$13:$C$502,2,0),0)</f>
        <v>ALFANI</v>
      </c>
      <c r="C38" s="272" t="str">
        <f>VLOOKUP(A38,'JUNE (물량흐름)'!$A$13:$C$502,3,0)</f>
        <v>7N713</v>
      </c>
      <c r="D38" s="6">
        <f>VLOOKUP(C38,'WIP(재공품)'!$B$12:$E$493,4,0)</f>
        <v>7936.2499999999991</v>
      </c>
      <c r="E38" s="6">
        <f>IFERROR(VLOOKUP(C38,O.B.JUNE!$AI$7:$AJ$448,2,0),0)</f>
        <v>0</v>
      </c>
      <c r="F38" s="6">
        <f>IFERROR(VLOOKUP(C38,O.B.JUNE!$AI$7:$AK$448,3,0),0)</f>
        <v>0</v>
      </c>
      <c r="G38" s="6">
        <f>IFERROR(VLOOKUP(C38,O.B.JUNE!$AI$7:$AL$448,4,0),0)</f>
        <v>179</v>
      </c>
      <c r="H38" s="6">
        <f t="shared" si="3"/>
        <v>179</v>
      </c>
      <c r="I38" s="6">
        <f>IFERROR(VLOOKUP(C38,O.B.JUNE!$AI$7:$AN$448,6,0),0)</f>
        <v>143</v>
      </c>
      <c r="J38" s="6"/>
      <c r="K38" s="6">
        <f>IFERROR(VLOOKUP(C38,O.B.JUNE!$AI$7:$AO$448,7,0),0)</f>
        <v>3714438</v>
      </c>
      <c r="L38" s="6">
        <f>SUMIF('JUNE (물량흐름)'!$C$13:$C$488,'Overhead exp(제조경비)'!C38,'JUNE (물량흐름)'!$H$13:$H$493)+SUMIF('JUNE (물량흐름)'!$C$13:$C$493,'Overhead exp(제조경비)'!C38,'JUNE (물량흐름)'!$V$13:$V$493)</f>
        <v>0</v>
      </c>
      <c r="M38" s="6">
        <f t="shared" si="4"/>
        <v>0</v>
      </c>
      <c r="N38" s="6">
        <f t="shared" si="5"/>
        <v>0</v>
      </c>
      <c r="O38" s="6">
        <f t="shared" si="2"/>
        <v>0</v>
      </c>
      <c r="P38" s="6">
        <f>SUMIF('JUNE (물량흐름)'!$C$13:$C$502,C38,'JUNE (물량흐름)'!$T$13:$T$502)+SUMIF('JUNE (물량흐름)'!$C$13:$C$502,C38,'JUNE (물량흐름)'!$V$13:$V$502)+SUMIF('JUNE (물량흐름)'!$C$13:$C$502,C38,'JUNE (물량흐름)'!$U$13:$U$502)-SUMIF('JUNE (물량흐름)'!$C$13:$C$502,C38,'JUNE (물량흐름)'!$Y$13:$Y$502)</f>
        <v>0</v>
      </c>
      <c r="Q38" s="6">
        <f t="shared" si="6"/>
        <v>0</v>
      </c>
      <c r="R38" s="6">
        <f>IF(ISERROR(VLOOKUP(#REF!,'WIP(재공품)'!$B$12:$AB$38,13,0)),0,VLOOKUP(#REF!,'WIP(재공품)'!$B$12:$AB$38,13,0))</f>
        <v>0</v>
      </c>
      <c r="S38" s="6">
        <f>IF(ISERROR(VLOOKUP(#REF!,'WIP(재공품)'!$B$12:$AB$38,10,0)),0,VLOOKUP(#REF!,'WIP(재공품)'!$B$12:$AB$38,10,0))</f>
        <v>0</v>
      </c>
      <c r="T38" s="6">
        <f>SUMIF('JUNE (물량흐름)'!$C$13:$C$502,'Overhead exp(제조경비)'!C38,'JUNE (물량흐름)'!$Y$13:$Y$502)</f>
        <v>0</v>
      </c>
      <c r="U38" s="6">
        <f t="shared" si="7"/>
        <v>0</v>
      </c>
      <c r="V38" s="6">
        <f>ROUND(SUMIF('JUNE (물량흐름)'!$C$13:$C$502,'Overhead exp(제조경비)'!C38,'JUNE (물량흐름)'!$N$13:$N$502),0)</f>
        <v>0</v>
      </c>
      <c r="W38" s="6">
        <f>ROUND(SUMIF('JUNE (물량흐름)'!$C$13:$C$502,'Overhead exp(제조경비)'!C38,'JUNE (물량흐름)'!$O$13:$O$502),0)</f>
        <v>0</v>
      </c>
      <c r="X38" s="6">
        <f>ROUND(SUMIF('JUNE (물량흐름)'!$C$13:$C$502,'Overhead exp(제조경비)'!C38,'JUNE (물량흐름)'!$P$13:$P$502),0)</f>
        <v>179</v>
      </c>
      <c r="Y38" s="167">
        <f t="shared" si="8"/>
        <v>179</v>
      </c>
      <c r="Z38" s="167">
        <f t="shared" si="9"/>
        <v>143</v>
      </c>
      <c r="AA38" s="6">
        <f t="shared" si="10"/>
        <v>3714438</v>
      </c>
      <c r="AB38" s="391">
        <f t="shared" si="11"/>
        <v>0</v>
      </c>
      <c r="AC38" s="391">
        <f t="shared" si="12"/>
        <v>0</v>
      </c>
      <c r="AE38" s="393"/>
    </row>
    <row r="39" spans="1:31" s="390" customFormat="1" ht="24" customHeight="1">
      <c r="A39" s="167">
        <v>28</v>
      </c>
      <c r="B39" s="20" t="str">
        <f>IFERROR(VLOOKUP(A39,'JUNE (물량흐름)'!$A$13:$C$502,2,0),0)</f>
        <v>NORDSTROM</v>
      </c>
      <c r="C39" s="272" t="str">
        <f>VLOOKUP(A39,'JUNE (물량흐름)'!$A$13:$C$502,3,0)</f>
        <v>RK368419MI</v>
      </c>
      <c r="D39" s="6">
        <f>VLOOKUP(C39,'WIP(재공품)'!$B$12:$E$493,4,0)</f>
        <v>7936.2499999999991</v>
      </c>
      <c r="E39" s="6">
        <f>IFERROR(VLOOKUP(C39,O.B.JUNE!$AI$7:$AJ$448,2,0),0)</f>
        <v>0</v>
      </c>
      <c r="F39" s="6">
        <f>IFERROR(VLOOKUP(C39,O.B.JUNE!$AI$7:$AK$448,3,0),0)</f>
        <v>0</v>
      </c>
      <c r="G39" s="6">
        <f>IFERROR(VLOOKUP(C39,O.B.JUNE!$AI$7:$AL$448,4,0),0)</f>
        <v>71</v>
      </c>
      <c r="H39" s="6">
        <f t="shared" si="3"/>
        <v>71</v>
      </c>
      <c r="I39" s="6">
        <f>IFERROR(VLOOKUP(C39,O.B.JUNE!$AI$7:$AN$448,6,0),0)</f>
        <v>57</v>
      </c>
      <c r="J39" s="6"/>
      <c r="K39" s="6">
        <f>IFERROR(VLOOKUP(C39,O.B.JUNE!$AI$7:$AO$448,7,0),0)</f>
        <v>2850117</v>
      </c>
      <c r="L39" s="6">
        <f>SUMIF('JUNE (물량흐름)'!$C$13:$C$488,'Overhead exp(제조경비)'!C39,'JUNE (물량흐름)'!$H$13:$H$493)+SUMIF('JUNE (물량흐름)'!$C$13:$C$493,'Overhead exp(제조경비)'!C39,'JUNE (물량흐름)'!$V$13:$V$493)</f>
        <v>0</v>
      </c>
      <c r="M39" s="6">
        <f t="shared" si="4"/>
        <v>0</v>
      </c>
      <c r="N39" s="6">
        <f t="shared" si="5"/>
        <v>0</v>
      </c>
      <c r="O39" s="6">
        <f t="shared" si="2"/>
        <v>0</v>
      </c>
      <c r="P39" s="6">
        <f>SUMIF('JUNE (물량흐름)'!$C$13:$C$502,C39,'JUNE (물량흐름)'!$T$13:$T$502)+SUMIF('JUNE (물량흐름)'!$C$13:$C$502,C39,'JUNE (물량흐름)'!$V$13:$V$502)+SUMIF('JUNE (물량흐름)'!$C$13:$C$502,C39,'JUNE (물량흐름)'!$U$13:$U$502)-SUMIF('JUNE (물량흐름)'!$C$13:$C$502,C39,'JUNE (물량흐름)'!$Y$13:$Y$502)</f>
        <v>71</v>
      </c>
      <c r="Q39" s="6">
        <f t="shared" si="6"/>
        <v>2850117</v>
      </c>
      <c r="R39" s="6">
        <f>IF(ISERROR(VLOOKUP(#REF!,'WIP(재공품)'!$B$12:$AB$38,13,0)),0,VLOOKUP(#REF!,'WIP(재공품)'!$B$12:$AB$38,13,0))</f>
        <v>0</v>
      </c>
      <c r="S39" s="6">
        <f>IF(ISERROR(VLOOKUP(#REF!,'WIP(재공품)'!$B$12:$AB$38,10,0)),0,VLOOKUP(#REF!,'WIP(재공품)'!$B$12:$AB$38,10,0))</f>
        <v>0</v>
      </c>
      <c r="T39" s="6">
        <f>SUMIF('JUNE (물량흐름)'!$C$13:$C$502,'Overhead exp(제조경비)'!C39,'JUNE (물량흐름)'!$Y$13:$Y$502)</f>
        <v>0</v>
      </c>
      <c r="U39" s="6">
        <f t="shared" si="7"/>
        <v>0</v>
      </c>
      <c r="V39" s="6">
        <f>ROUND(SUMIF('JUNE (물량흐름)'!$C$13:$C$502,'Overhead exp(제조경비)'!C39,'JUNE (물량흐름)'!$N$13:$N$502),0)</f>
        <v>0</v>
      </c>
      <c r="W39" s="6">
        <f>ROUND(SUMIF('JUNE (물량흐름)'!$C$13:$C$502,'Overhead exp(제조경비)'!C39,'JUNE (물량흐름)'!$O$13:$O$502),0)</f>
        <v>0</v>
      </c>
      <c r="X39" s="6">
        <f>ROUND(SUMIF('JUNE (물량흐름)'!$C$13:$C$502,'Overhead exp(제조경비)'!C39,'JUNE (물량흐름)'!$P$13:$P$502),0)</f>
        <v>0</v>
      </c>
      <c r="Y39" s="6">
        <f t="shared" si="8"/>
        <v>0</v>
      </c>
      <c r="Z39" s="6">
        <f t="shared" si="9"/>
        <v>0</v>
      </c>
      <c r="AA39" s="6">
        <f t="shared" si="10"/>
        <v>0</v>
      </c>
      <c r="AB39" s="391">
        <f t="shared" si="11"/>
        <v>0</v>
      </c>
      <c r="AC39" s="391">
        <f t="shared" si="12"/>
        <v>0</v>
      </c>
      <c r="AE39" s="393"/>
    </row>
    <row r="40" spans="1:31" s="390" customFormat="1" ht="24" customHeight="1">
      <c r="A40" s="167">
        <v>29</v>
      </c>
      <c r="B40" s="20" t="str">
        <f>IFERROR(VLOOKUP(A40,'JUNE (물량흐름)'!$A$13:$C$502,2,0),0)</f>
        <v>ANN TAYLOR</v>
      </c>
      <c r="C40" s="272">
        <f>VLOOKUP(A40,'JUNE (물량흐름)'!$A$13:$C$502,3,0)</f>
        <v>453280</v>
      </c>
      <c r="D40" s="6">
        <f>VLOOKUP(C40,'WIP(재공품)'!$B$12:$E$493,4,0)</f>
        <v>7936.2499999999991</v>
      </c>
      <c r="E40" s="6">
        <f>IFERROR(VLOOKUP(C40,O.B.JUNE!$AI$7:$AJ$448,2,0),0)</f>
        <v>0</v>
      </c>
      <c r="F40" s="6">
        <f>IFERROR(VLOOKUP(C40,O.B.JUNE!$AI$7:$AK$448,3,0),0)</f>
        <v>0</v>
      </c>
      <c r="G40" s="6">
        <f>IFERROR(VLOOKUP(C40,O.B.JUNE!$AI$7:$AL$448,4,0),0)</f>
        <v>196</v>
      </c>
      <c r="H40" s="6">
        <f t="shared" si="3"/>
        <v>196</v>
      </c>
      <c r="I40" s="6">
        <f>IFERROR(VLOOKUP(C40,O.B.JUNE!$AI$7:$AN$448,6,0),0)</f>
        <v>157</v>
      </c>
      <c r="J40" s="6"/>
      <c r="K40" s="6">
        <f>IFERROR(VLOOKUP(C40,O.B.JUNE!$AI$7:$AO$448,7,0),0)</f>
        <v>3772232</v>
      </c>
      <c r="L40" s="6">
        <f>SUMIF('JUNE (물량흐름)'!$C$13:$C$488,'Overhead exp(제조경비)'!C40,'JUNE (물량흐름)'!$H$13:$H$493)+SUMIF('JUNE (물량흐름)'!$C$13:$C$493,'Overhead exp(제조경비)'!C40,'JUNE (물량흐름)'!$V$13:$V$493)</f>
        <v>0</v>
      </c>
      <c r="M40" s="6">
        <f t="shared" si="4"/>
        <v>0</v>
      </c>
      <c r="N40" s="6">
        <f t="shared" si="5"/>
        <v>0</v>
      </c>
      <c r="O40" s="6">
        <f t="shared" si="2"/>
        <v>0</v>
      </c>
      <c r="P40" s="6">
        <f>SUMIF('JUNE (물량흐름)'!$C$13:$C$502,C40,'JUNE (물량흐름)'!$T$13:$T$502)+SUMIF('JUNE (물량흐름)'!$C$13:$C$502,C40,'JUNE (물량흐름)'!$V$13:$V$502)+SUMIF('JUNE (물량흐름)'!$C$13:$C$502,C40,'JUNE (물량흐름)'!$U$13:$U$502)-SUMIF('JUNE (물량흐름)'!$C$13:$C$502,C40,'JUNE (물량흐름)'!$Y$13:$Y$502)</f>
        <v>196</v>
      </c>
      <c r="Q40" s="6">
        <f t="shared" si="6"/>
        <v>3772232</v>
      </c>
      <c r="R40" s="6">
        <f>IF(ISERROR(VLOOKUP(#REF!,'WIP(재공품)'!$B$12:$AB$38,13,0)),0,VLOOKUP(#REF!,'WIP(재공품)'!$B$12:$AB$38,13,0))</f>
        <v>0</v>
      </c>
      <c r="S40" s="6">
        <f>IF(ISERROR(VLOOKUP(#REF!,'WIP(재공품)'!$B$12:$AB$38,10,0)),0,VLOOKUP(#REF!,'WIP(재공품)'!$B$12:$AB$38,10,0))</f>
        <v>0</v>
      </c>
      <c r="T40" s="6">
        <f>SUMIF('JUNE (물량흐름)'!$C$13:$C$502,'Overhead exp(제조경비)'!C40,'JUNE (물량흐름)'!$Y$13:$Y$502)</f>
        <v>0</v>
      </c>
      <c r="U40" s="6">
        <f t="shared" si="7"/>
        <v>0</v>
      </c>
      <c r="V40" s="6">
        <f>ROUND(SUMIF('JUNE (물량흐름)'!$C$13:$C$502,'Overhead exp(제조경비)'!C40,'JUNE (물량흐름)'!$N$13:$N$502),0)</f>
        <v>0</v>
      </c>
      <c r="W40" s="6">
        <f>ROUND(SUMIF('JUNE (물량흐름)'!$C$13:$C$502,'Overhead exp(제조경비)'!C40,'JUNE (물량흐름)'!$O$13:$O$502),0)</f>
        <v>0</v>
      </c>
      <c r="X40" s="6">
        <f>ROUND(SUMIF('JUNE (물량흐름)'!$C$13:$C$502,'Overhead exp(제조경비)'!C40,'JUNE (물량흐름)'!$P$13:$P$502),0)</f>
        <v>0</v>
      </c>
      <c r="Y40" s="6">
        <f t="shared" si="8"/>
        <v>0</v>
      </c>
      <c r="Z40" s="6">
        <f t="shared" si="9"/>
        <v>0</v>
      </c>
      <c r="AA40" s="6">
        <f t="shared" si="10"/>
        <v>0</v>
      </c>
      <c r="AB40" s="391">
        <f t="shared" si="11"/>
        <v>0</v>
      </c>
      <c r="AC40" s="391">
        <f t="shared" si="12"/>
        <v>0</v>
      </c>
      <c r="AE40" s="393"/>
    </row>
    <row r="41" spans="1:31" s="390" customFormat="1" ht="24" customHeight="1">
      <c r="A41" s="167">
        <v>30</v>
      </c>
      <c r="B41" s="20" t="str">
        <f>IFERROR(VLOOKUP(A41,'JUNE (물량흐름)'!$A$13:$C$502,2,0),0)</f>
        <v>ALFANI</v>
      </c>
      <c r="C41" s="272">
        <f>VLOOKUP(A41,'JUNE (물량흐름)'!$A$13:$C$502,3,0)</f>
        <v>100003227</v>
      </c>
      <c r="D41" s="6">
        <f>VLOOKUP(C41,'WIP(재공품)'!$B$12:$E$493,4,0)</f>
        <v>7936.2499999999991</v>
      </c>
      <c r="E41" s="6">
        <f>IFERROR(VLOOKUP(C41,O.B.JUNE!$AI$7:$AJ$448,2,0),0)</f>
        <v>0</v>
      </c>
      <c r="F41" s="6">
        <f>IFERROR(VLOOKUP(C41,O.B.JUNE!$AI$7:$AK$448,3,0),0)</f>
        <v>0</v>
      </c>
      <c r="G41" s="6">
        <f>IFERROR(VLOOKUP(C41,O.B.JUNE!$AI$7:$AL$448,4,0),0)</f>
        <v>378</v>
      </c>
      <c r="H41" s="6">
        <f t="shared" si="3"/>
        <v>378</v>
      </c>
      <c r="I41" s="6">
        <f>IFERROR(VLOOKUP(C41,O.B.JUNE!$AI$7:$AN$448,6,0),0)</f>
        <v>302</v>
      </c>
      <c r="J41" s="6"/>
      <c r="K41" s="6">
        <f>IFERROR(VLOOKUP(C41,O.B.JUNE!$AI$7:$AO$448,7,0),0)</f>
        <v>5477663</v>
      </c>
      <c r="L41" s="6">
        <f>SUMIF('JUNE (물량흐름)'!$C$13:$C$488,'Overhead exp(제조경비)'!C41,'JUNE (물량흐름)'!$H$13:$H$493)+SUMIF('JUNE (물량흐름)'!$C$13:$C$493,'Overhead exp(제조경비)'!C41,'JUNE (물량흐름)'!$V$13:$V$493)</f>
        <v>0</v>
      </c>
      <c r="M41" s="6">
        <f t="shared" si="4"/>
        <v>0</v>
      </c>
      <c r="N41" s="6">
        <f t="shared" si="5"/>
        <v>0</v>
      </c>
      <c r="O41" s="6">
        <f t="shared" si="2"/>
        <v>0</v>
      </c>
      <c r="P41" s="6">
        <f>SUMIF('JUNE (물량흐름)'!$C$13:$C$502,C41,'JUNE (물량흐름)'!$T$13:$T$502)+SUMIF('JUNE (물량흐름)'!$C$13:$C$502,C41,'JUNE (물량흐름)'!$V$13:$V$502)+SUMIF('JUNE (물량흐름)'!$C$13:$C$502,C41,'JUNE (물량흐름)'!$U$13:$U$502)-SUMIF('JUNE (물량흐름)'!$C$13:$C$502,C41,'JUNE (물량흐름)'!$Y$13:$Y$502)</f>
        <v>0</v>
      </c>
      <c r="Q41" s="6">
        <f t="shared" si="6"/>
        <v>0</v>
      </c>
      <c r="R41" s="6">
        <f>IF(ISERROR(VLOOKUP(#REF!,'WIP(재공품)'!$B$12:$AB$38,13,0)),0,VLOOKUP(#REF!,'WIP(재공품)'!$B$12:$AB$38,13,0))</f>
        <v>0</v>
      </c>
      <c r="S41" s="6">
        <f>IF(ISERROR(VLOOKUP(#REF!,'WIP(재공품)'!$B$12:$AB$38,10,0)),0,VLOOKUP(#REF!,'WIP(재공품)'!$B$12:$AB$38,10,0))</f>
        <v>0</v>
      </c>
      <c r="T41" s="6">
        <f>SUMIF('JUNE (물량흐름)'!$C$13:$C$502,'Overhead exp(제조경비)'!C41,'JUNE (물량흐름)'!$Y$13:$Y$502)</f>
        <v>0</v>
      </c>
      <c r="U41" s="6">
        <f t="shared" si="7"/>
        <v>0</v>
      </c>
      <c r="V41" s="6">
        <f>ROUND(SUMIF('JUNE (물량흐름)'!$C$13:$C$502,'Overhead exp(제조경비)'!C41,'JUNE (물량흐름)'!$N$13:$N$502),0)</f>
        <v>0</v>
      </c>
      <c r="W41" s="6">
        <f>ROUND(SUMIF('JUNE (물량흐름)'!$C$13:$C$502,'Overhead exp(제조경비)'!C41,'JUNE (물량흐름)'!$O$13:$O$502),0)</f>
        <v>0</v>
      </c>
      <c r="X41" s="6">
        <f>ROUND(SUMIF('JUNE (물량흐름)'!$C$13:$C$502,'Overhead exp(제조경비)'!C41,'JUNE (물량흐름)'!$P$13:$P$502),0)</f>
        <v>378</v>
      </c>
      <c r="Y41" s="6">
        <f t="shared" si="8"/>
        <v>378</v>
      </c>
      <c r="Z41" s="6">
        <f t="shared" si="9"/>
        <v>302</v>
      </c>
      <c r="AA41" s="6">
        <f t="shared" si="10"/>
        <v>5477663</v>
      </c>
      <c r="AB41" s="391">
        <f t="shared" si="11"/>
        <v>0</v>
      </c>
      <c r="AC41" s="391">
        <f t="shared" si="12"/>
        <v>0</v>
      </c>
      <c r="AE41" s="393"/>
    </row>
    <row r="42" spans="1:31" s="390" customFormat="1" ht="24" customHeight="1">
      <c r="A42" s="167">
        <v>31</v>
      </c>
      <c r="B42" s="20" t="str">
        <f>IFERROR(VLOOKUP(A42,'JUNE (물량흐름)'!$A$13:$C$502,2,0),0)</f>
        <v>ALFANI</v>
      </c>
      <c r="C42" s="272">
        <f>VLOOKUP(A42,'JUNE (물량흐름)'!$A$13:$C$502,3,0)</f>
        <v>100003486</v>
      </c>
      <c r="D42" s="6">
        <f>VLOOKUP(C42,'WIP(재공품)'!$B$12:$E$493,4,0)</f>
        <v>44896.5</v>
      </c>
      <c r="E42" s="6">
        <f>IFERROR(VLOOKUP(C42,O.B.JUNE!$AI$7:$AJ$448,2,0),0)</f>
        <v>0</v>
      </c>
      <c r="F42" s="6">
        <f>IFERROR(VLOOKUP(C42,O.B.JUNE!$AI$7:$AK$448,3,0),0)</f>
        <v>0</v>
      </c>
      <c r="G42" s="6">
        <f>IFERROR(VLOOKUP(C42,O.B.JUNE!$AI$7:$AL$448,4,0),0)</f>
        <v>249</v>
      </c>
      <c r="H42" s="6">
        <f t="shared" si="3"/>
        <v>249</v>
      </c>
      <c r="I42" s="6">
        <f>IFERROR(VLOOKUP(C42,O.B.JUNE!$AI$7:$AN$448,6,0),0)</f>
        <v>199</v>
      </c>
      <c r="J42" s="6"/>
      <c r="K42" s="6">
        <f>IFERROR(VLOOKUP(C42,O.B.JUNE!$AI$7:$AO$448,7,0),0)</f>
        <v>4623327</v>
      </c>
      <c r="L42" s="6">
        <f>SUMIF('JUNE (물량흐름)'!$C$13:$C$488,'Overhead exp(제조경비)'!C42,'JUNE (물량흐름)'!$H$13:$H$493)+SUMIF('JUNE (물량흐름)'!$C$13:$C$493,'Overhead exp(제조경비)'!C42,'JUNE (물량흐름)'!$V$13:$V$493)</f>
        <v>0</v>
      </c>
      <c r="M42" s="6">
        <f t="shared" si="4"/>
        <v>0</v>
      </c>
      <c r="N42" s="6">
        <f t="shared" si="5"/>
        <v>0</v>
      </c>
      <c r="O42" s="6">
        <f t="shared" si="2"/>
        <v>0</v>
      </c>
      <c r="P42" s="6">
        <f>SUMIF('JUNE (물량흐름)'!$C$13:$C$502,C42,'JUNE (물량흐름)'!$T$13:$T$502)+SUMIF('JUNE (물량흐름)'!$C$13:$C$502,C42,'JUNE (물량흐름)'!$V$13:$V$502)+SUMIF('JUNE (물량흐름)'!$C$13:$C$502,C42,'JUNE (물량흐름)'!$U$13:$U$502)-SUMIF('JUNE (물량흐름)'!$C$13:$C$502,C42,'JUNE (물량흐름)'!$Y$13:$Y$502)</f>
        <v>0</v>
      </c>
      <c r="Q42" s="6">
        <f t="shared" si="6"/>
        <v>0</v>
      </c>
      <c r="R42" s="6">
        <f>IF(ISERROR(VLOOKUP(#REF!,'WIP(재공품)'!$B$12:$AB$38,13,0)),0,VLOOKUP(#REF!,'WIP(재공품)'!$B$12:$AB$38,13,0))</f>
        <v>0</v>
      </c>
      <c r="S42" s="6">
        <f>IF(ISERROR(VLOOKUP(#REF!,'WIP(재공품)'!$B$12:$AB$38,10,0)),0,VLOOKUP(#REF!,'WIP(재공품)'!$B$12:$AB$38,10,0))</f>
        <v>0</v>
      </c>
      <c r="T42" s="6">
        <f>SUMIF('JUNE (물량흐름)'!$C$13:$C$502,'Overhead exp(제조경비)'!C42,'JUNE (물량흐름)'!$Y$13:$Y$502)</f>
        <v>0</v>
      </c>
      <c r="U42" s="6">
        <f t="shared" si="7"/>
        <v>0</v>
      </c>
      <c r="V42" s="6">
        <f>ROUND(SUMIF('JUNE (물량흐름)'!$C$13:$C$502,'Overhead exp(제조경비)'!C42,'JUNE (물량흐름)'!$N$13:$N$502),0)</f>
        <v>0</v>
      </c>
      <c r="W42" s="6">
        <f>ROUND(SUMIF('JUNE (물량흐름)'!$C$13:$C$502,'Overhead exp(제조경비)'!C42,'JUNE (물량흐름)'!$O$13:$O$502),0)</f>
        <v>0</v>
      </c>
      <c r="X42" s="6">
        <f>ROUND(SUMIF('JUNE (물량흐름)'!$C$13:$C$502,'Overhead exp(제조경비)'!C42,'JUNE (물량흐름)'!$P$13:$P$502),0)</f>
        <v>249</v>
      </c>
      <c r="Y42" s="6">
        <f t="shared" si="8"/>
        <v>249</v>
      </c>
      <c r="Z42" s="6">
        <f t="shared" si="9"/>
        <v>199</v>
      </c>
      <c r="AA42" s="6">
        <f t="shared" si="10"/>
        <v>4623327</v>
      </c>
      <c r="AB42" s="391">
        <f t="shared" si="11"/>
        <v>0</v>
      </c>
      <c r="AC42" s="391">
        <f t="shared" si="12"/>
        <v>0</v>
      </c>
      <c r="AE42" s="393"/>
    </row>
    <row r="43" spans="1:31" s="390" customFormat="1" ht="24" customHeight="1">
      <c r="A43" s="167">
        <v>32</v>
      </c>
      <c r="B43" s="20" t="str">
        <f>IFERROR(VLOOKUP(A43,'JUNE (물량흐름)'!$A$13:$C$502,2,0),0)</f>
        <v>ALFANI</v>
      </c>
      <c r="C43" s="272">
        <f>VLOOKUP(A43,'JUNE (물량흐름)'!$A$13:$C$502,3,0)</f>
        <v>100003532</v>
      </c>
      <c r="D43" s="6">
        <f>VLOOKUP(C43,'WIP(재공품)'!$B$12:$E$493,4,0)</f>
        <v>7936.2499999999991</v>
      </c>
      <c r="E43" s="6">
        <f>IFERROR(VLOOKUP(C43,O.B.JUNE!$AI$7:$AJ$448,2,0),0)</f>
        <v>0</v>
      </c>
      <c r="F43" s="6">
        <f>IFERROR(VLOOKUP(C43,O.B.JUNE!$AI$7:$AK$448,3,0),0)</f>
        <v>0</v>
      </c>
      <c r="G43" s="6">
        <f>IFERROR(VLOOKUP(C43,O.B.JUNE!$AI$7:$AL$448,4,0),0)</f>
        <v>68</v>
      </c>
      <c r="H43" s="6">
        <f t="shared" si="3"/>
        <v>68</v>
      </c>
      <c r="I43" s="6">
        <f>IFERROR(VLOOKUP(C43,O.B.JUNE!$AI$7:$AN$448,6,0),0)</f>
        <v>54</v>
      </c>
      <c r="J43" s="6"/>
      <c r="K43" s="6">
        <f>IFERROR(VLOOKUP(C43,O.B.JUNE!$AI$7:$AO$448,7,0),0)</f>
        <v>1123347</v>
      </c>
      <c r="L43" s="6">
        <f>SUMIF('JUNE (물량흐름)'!$C$13:$C$488,'Overhead exp(제조경비)'!C43,'JUNE (물량흐름)'!$H$13:$H$493)+SUMIF('JUNE (물량흐름)'!$C$13:$C$493,'Overhead exp(제조경비)'!C43,'JUNE (물량흐름)'!$V$13:$V$493)</f>
        <v>0</v>
      </c>
      <c r="M43" s="6">
        <f t="shared" si="4"/>
        <v>0</v>
      </c>
      <c r="N43" s="6">
        <f t="shared" si="5"/>
        <v>0</v>
      </c>
      <c r="O43" s="6">
        <f t="shared" si="2"/>
        <v>0</v>
      </c>
      <c r="P43" s="6">
        <f>SUMIF('JUNE (물량흐름)'!$C$13:$C$502,C43,'JUNE (물량흐름)'!$T$13:$T$502)+SUMIF('JUNE (물량흐름)'!$C$13:$C$502,C43,'JUNE (물량흐름)'!$V$13:$V$502)+SUMIF('JUNE (물량흐름)'!$C$13:$C$502,C43,'JUNE (물량흐름)'!$U$13:$U$502)-SUMIF('JUNE (물량흐름)'!$C$13:$C$502,C43,'JUNE (물량흐름)'!$Y$13:$Y$502)</f>
        <v>0</v>
      </c>
      <c r="Q43" s="6">
        <f t="shared" si="6"/>
        <v>0</v>
      </c>
      <c r="R43" s="6">
        <f>IF(ISERROR(VLOOKUP(#REF!,'WIP(재공품)'!$B$12:$AB$38,13,0)),0,VLOOKUP(#REF!,'WIP(재공품)'!$B$12:$AB$38,13,0))</f>
        <v>0</v>
      </c>
      <c r="S43" s="6">
        <f>IF(ISERROR(VLOOKUP(#REF!,'WIP(재공품)'!$B$12:$AB$38,10,0)),0,VLOOKUP(#REF!,'WIP(재공품)'!$B$12:$AB$38,10,0))</f>
        <v>0</v>
      </c>
      <c r="T43" s="6">
        <f>SUMIF('JUNE (물량흐름)'!$C$13:$C$502,'Overhead exp(제조경비)'!C43,'JUNE (물량흐름)'!$Y$13:$Y$502)</f>
        <v>0</v>
      </c>
      <c r="U43" s="6">
        <f t="shared" si="7"/>
        <v>0</v>
      </c>
      <c r="V43" s="6">
        <f>ROUND(SUMIF('JUNE (물량흐름)'!$C$13:$C$502,'Overhead exp(제조경비)'!C43,'JUNE (물량흐름)'!$N$13:$N$502),0)</f>
        <v>0</v>
      </c>
      <c r="W43" s="6">
        <f>ROUND(SUMIF('JUNE (물량흐름)'!$C$13:$C$502,'Overhead exp(제조경비)'!C43,'JUNE (물량흐름)'!$O$13:$O$502),0)</f>
        <v>0</v>
      </c>
      <c r="X43" s="6">
        <f>ROUND(SUMIF('JUNE (물량흐름)'!$C$13:$C$502,'Overhead exp(제조경비)'!C43,'JUNE (물량흐름)'!$P$13:$P$502),0)</f>
        <v>68</v>
      </c>
      <c r="Y43" s="6">
        <f t="shared" si="8"/>
        <v>68</v>
      </c>
      <c r="Z43" s="6">
        <f t="shared" si="9"/>
        <v>54</v>
      </c>
      <c r="AA43" s="6">
        <f t="shared" si="10"/>
        <v>1123347</v>
      </c>
      <c r="AB43" s="391">
        <f t="shared" si="11"/>
        <v>0</v>
      </c>
      <c r="AC43" s="391">
        <f t="shared" si="12"/>
        <v>0</v>
      </c>
      <c r="AE43" s="393"/>
    </row>
    <row r="44" spans="1:31" s="390" customFormat="1" ht="24" customHeight="1">
      <c r="A44" s="167">
        <v>33</v>
      </c>
      <c r="B44" s="20" t="str">
        <f>IFERROR(VLOOKUP(A44,'JUNE (물량흐름)'!$A$13:$C$502,2,0),0)</f>
        <v>ALFANI</v>
      </c>
      <c r="C44" s="272">
        <f>VLOOKUP(A44,'JUNE (물량흐름)'!$A$13:$C$502,3,0)</f>
        <v>100003576</v>
      </c>
      <c r="D44" s="6">
        <f>VLOOKUP(C44,'WIP(재공품)'!$B$12:$E$493,4,0)</f>
        <v>7936.2499999999991</v>
      </c>
      <c r="E44" s="6">
        <f>IFERROR(VLOOKUP(C44,O.B.JUNE!$AI$7:$AJ$448,2,0),0)</f>
        <v>0</v>
      </c>
      <c r="F44" s="6">
        <f>IFERROR(VLOOKUP(C44,O.B.JUNE!$AI$7:$AK$448,3,0),0)</f>
        <v>0</v>
      </c>
      <c r="G44" s="6">
        <f>IFERROR(VLOOKUP(C44,O.B.JUNE!$AI$7:$AL$448,4,0),0)</f>
        <v>96</v>
      </c>
      <c r="H44" s="6">
        <f t="shared" si="3"/>
        <v>96</v>
      </c>
      <c r="I44" s="6">
        <f>IFERROR(VLOOKUP(C44,O.B.JUNE!$AI$7:$AN$448,6,0),0)</f>
        <v>77</v>
      </c>
      <c r="J44" s="6"/>
      <c r="K44" s="6">
        <f>IFERROR(VLOOKUP(C44,O.B.JUNE!$AI$7:$AO$448,7,0),0)</f>
        <v>959399</v>
      </c>
      <c r="L44" s="6">
        <f>SUMIF('JUNE (물량흐름)'!$C$13:$C$488,'Overhead exp(제조경비)'!C44,'JUNE (물량흐름)'!$H$13:$H$493)+SUMIF('JUNE (물량흐름)'!$C$13:$C$493,'Overhead exp(제조경비)'!C44,'JUNE (물량흐름)'!$V$13:$V$493)</f>
        <v>0</v>
      </c>
      <c r="M44" s="6">
        <f t="shared" si="4"/>
        <v>0</v>
      </c>
      <c r="N44" s="6">
        <f t="shared" si="5"/>
        <v>0</v>
      </c>
      <c r="O44" s="6">
        <f t="shared" ref="O44:O75" si="15">ROUND(M44*D44*$O$493/$N$493,0)</f>
        <v>0</v>
      </c>
      <c r="P44" s="6">
        <f>SUMIF('JUNE (물량흐름)'!$C$13:$C$502,C44,'JUNE (물량흐름)'!$T$13:$T$502)+SUMIF('JUNE (물량흐름)'!$C$13:$C$502,C44,'JUNE (물량흐름)'!$V$13:$V$502)+SUMIF('JUNE (물량흐름)'!$C$13:$C$502,C44,'JUNE (물량흐름)'!$U$13:$U$502)-SUMIF('JUNE (물량흐름)'!$C$13:$C$502,C44,'JUNE (물량흐름)'!$Y$13:$Y$502)</f>
        <v>0</v>
      </c>
      <c r="Q44" s="6">
        <f t="shared" si="6"/>
        <v>0</v>
      </c>
      <c r="R44" s="6">
        <f>IF(ISERROR(VLOOKUP(#REF!,'WIP(재공품)'!$B$12:$AB$38,13,0)),0,VLOOKUP(#REF!,'WIP(재공품)'!$B$12:$AB$38,13,0))</f>
        <v>0</v>
      </c>
      <c r="S44" s="6">
        <f>IF(ISERROR(VLOOKUP(#REF!,'WIP(재공품)'!$B$12:$AB$38,10,0)),0,VLOOKUP(#REF!,'WIP(재공품)'!$B$12:$AB$38,10,0))</f>
        <v>0</v>
      </c>
      <c r="T44" s="6">
        <f>SUMIF('JUNE (물량흐름)'!$C$13:$C$502,'Overhead exp(제조경비)'!C44,'JUNE (물량흐름)'!$Y$13:$Y$502)</f>
        <v>0</v>
      </c>
      <c r="U44" s="6">
        <f t="shared" si="7"/>
        <v>0</v>
      </c>
      <c r="V44" s="6">
        <f>ROUND(SUMIF('JUNE (물량흐름)'!$C$13:$C$502,'Overhead exp(제조경비)'!C44,'JUNE (물량흐름)'!$N$13:$N$502),0)</f>
        <v>0</v>
      </c>
      <c r="W44" s="6">
        <f>ROUND(SUMIF('JUNE (물량흐름)'!$C$13:$C$502,'Overhead exp(제조경비)'!C44,'JUNE (물량흐름)'!$O$13:$O$502),0)</f>
        <v>0</v>
      </c>
      <c r="X44" s="6">
        <f>ROUND(SUMIF('JUNE (물량흐름)'!$C$13:$C$502,'Overhead exp(제조경비)'!C44,'JUNE (물량흐름)'!$P$13:$P$502),0)</f>
        <v>96</v>
      </c>
      <c r="Y44" s="6">
        <f t="shared" si="8"/>
        <v>96</v>
      </c>
      <c r="Z44" s="6">
        <f t="shared" si="9"/>
        <v>77</v>
      </c>
      <c r="AA44" s="6">
        <f t="shared" si="10"/>
        <v>959399</v>
      </c>
      <c r="AB44" s="391">
        <f t="shared" si="11"/>
        <v>0</v>
      </c>
      <c r="AC44" s="391">
        <f t="shared" si="12"/>
        <v>0</v>
      </c>
      <c r="AE44" s="393"/>
    </row>
    <row r="45" spans="1:31" s="390" customFormat="1" ht="24" customHeight="1">
      <c r="A45" s="167">
        <v>34</v>
      </c>
      <c r="B45" s="20" t="str">
        <f>IFERROR(VLOOKUP(A45,'JUNE (물량흐름)'!$A$13:$C$502,2,0),0)</f>
        <v>ALFANI</v>
      </c>
      <c r="C45" s="272">
        <f>VLOOKUP(A45,'JUNE (물량흐름)'!$A$13:$C$502,3,0)</f>
        <v>100004422</v>
      </c>
      <c r="D45" s="6">
        <f>VLOOKUP(C45,'WIP(재공품)'!$B$12:$E$493,4,0)</f>
        <v>7936.2499999999991</v>
      </c>
      <c r="E45" s="6">
        <f>IFERROR(VLOOKUP(C45,O.B.JUNE!$AI$7:$AJ$448,2,0),0)</f>
        <v>0</v>
      </c>
      <c r="F45" s="6">
        <f>IFERROR(VLOOKUP(C45,O.B.JUNE!$AI$7:$AK$448,3,0),0)</f>
        <v>0</v>
      </c>
      <c r="G45" s="6">
        <f>IFERROR(VLOOKUP(C45,O.B.JUNE!$AI$7:$AL$448,4,0),0)</f>
        <v>63</v>
      </c>
      <c r="H45" s="6">
        <f t="shared" si="3"/>
        <v>63</v>
      </c>
      <c r="I45" s="6">
        <f>IFERROR(VLOOKUP(C45,O.B.JUNE!$AI$7:$AN$448,6,0),0)</f>
        <v>50</v>
      </c>
      <c r="J45" s="6"/>
      <c r="K45" s="6">
        <f>IFERROR(VLOOKUP(C45,O.B.JUNE!$AI$7:$AO$448,7,0),0)</f>
        <v>672801</v>
      </c>
      <c r="L45" s="6">
        <f>SUMIF('JUNE (물량흐름)'!$C$13:$C$488,'Overhead exp(제조경비)'!C45,'JUNE (물량흐름)'!$H$13:$H$493)+SUMIF('JUNE (물량흐름)'!$C$13:$C$493,'Overhead exp(제조경비)'!C45,'JUNE (물량흐름)'!$V$13:$V$493)</f>
        <v>0</v>
      </c>
      <c r="M45" s="6">
        <f t="shared" si="4"/>
        <v>0</v>
      </c>
      <c r="N45" s="6">
        <f t="shared" si="5"/>
        <v>0</v>
      </c>
      <c r="O45" s="6">
        <f t="shared" si="15"/>
        <v>0</v>
      </c>
      <c r="P45" s="6">
        <f>SUMIF('JUNE (물량흐름)'!$C$13:$C$502,C45,'JUNE (물량흐름)'!$T$13:$T$502)+SUMIF('JUNE (물량흐름)'!$C$13:$C$502,C45,'JUNE (물량흐름)'!$V$13:$V$502)+SUMIF('JUNE (물량흐름)'!$C$13:$C$502,C45,'JUNE (물량흐름)'!$U$13:$U$502)-SUMIF('JUNE (물량흐름)'!$C$13:$C$502,C45,'JUNE (물량흐름)'!$Y$13:$Y$502)</f>
        <v>0</v>
      </c>
      <c r="Q45" s="6">
        <f t="shared" si="6"/>
        <v>0</v>
      </c>
      <c r="R45" s="6">
        <f>IF(ISERROR(VLOOKUP(#REF!,'WIP(재공품)'!$B$12:$AB$38,13,0)),0,VLOOKUP(#REF!,'WIP(재공품)'!$B$12:$AB$38,13,0))</f>
        <v>0</v>
      </c>
      <c r="S45" s="6">
        <f>IF(ISERROR(VLOOKUP(#REF!,'WIP(재공품)'!$B$12:$AB$38,10,0)),0,VLOOKUP(#REF!,'WIP(재공품)'!$B$12:$AB$38,10,0))</f>
        <v>0</v>
      </c>
      <c r="T45" s="6">
        <f>SUMIF('JUNE (물량흐름)'!$C$13:$C$502,'Overhead exp(제조경비)'!C45,'JUNE (물량흐름)'!$Y$13:$Y$502)</f>
        <v>0</v>
      </c>
      <c r="U45" s="6">
        <f t="shared" si="7"/>
        <v>0</v>
      </c>
      <c r="V45" s="6">
        <f>ROUND(SUMIF('JUNE (물량흐름)'!$C$13:$C$502,'Overhead exp(제조경비)'!C45,'JUNE (물량흐름)'!$N$13:$N$502),0)</f>
        <v>0</v>
      </c>
      <c r="W45" s="6">
        <f>ROUND(SUMIF('JUNE (물량흐름)'!$C$13:$C$502,'Overhead exp(제조경비)'!C45,'JUNE (물량흐름)'!$O$13:$O$502),0)</f>
        <v>0</v>
      </c>
      <c r="X45" s="6">
        <f>ROUND(SUMIF('JUNE (물량흐름)'!$C$13:$C$502,'Overhead exp(제조경비)'!C45,'JUNE (물량흐름)'!$P$13:$P$502),0)</f>
        <v>63</v>
      </c>
      <c r="Y45" s="6">
        <f t="shared" si="8"/>
        <v>63</v>
      </c>
      <c r="Z45" s="6">
        <f t="shared" si="9"/>
        <v>50</v>
      </c>
      <c r="AA45" s="6">
        <f t="shared" si="10"/>
        <v>672801</v>
      </c>
      <c r="AB45" s="391">
        <f t="shared" si="11"/>
        <v>0</v>
      </c>
      <c r="AC45" s="391">
        <f t="shared" si="12"/>
        <v>0</v>
      </c>
      <c r="AE45" s="393"/>
    </row>
    <row r="46" spans="1:31" s="390" customFormat="1" ht="24" customHeight="1">
      <c r="A46" s="167">
        <v>35</v>
      </c>
      <c r="B46" s="20" t="str">
        <f>IFERROR(VLOOKUP(A46,'JUNE (물량흐름)'!$A$13:$C$502,2,0),0)</f>
        <v>ALFANI</v>
      </c>
      <c r="C46" s="272">
        <f>VLOOKUP(A46,'JUNE (물량흐름)'!$A$13:$C$502,3,0)</f>
        <v>100004424</v>
      </c>
      <c r="D46" s="6">
        <f>VLOOKUP(C46,'WIP(재공품)'!$B$12:$E$493,4,0)</f>
        <v>7936.2499999999991</v>
      </c>
      <c r="E46" s="6">
        <f>IFERROR(VLOOKUP(C46,O.B.JUNE!$AI$7:$AJ$448,2,0),0)</f>
        <v>0</v>
      </c>
      <c r="F46" s="6">
        <f>IFERROR(VLOOKUP(C46,O.B.JUNE!$AI$7:$AK$448,3,0),0)</f>
        <v>0</v>
      </c>
      <c r="G46" s="6">
        <f>IFERROR(VLOOKUP(C46,O.B.JUNE!$AI$7:$AL$448,4,0),0)</f>
        <v>81</v>
      </c>
      <c r="H46" s="6">
        <f t="shared" si="3"/>
        <v>81</v>
      </c>
      <c r="I46" s="6">
        <f>IFERROR(VLOOKUP(C46,O.B.JUNE!$AI$7:$AN$448,6,0),0)</f>
        <v>65</v>
      </c>
      <c r="J46" s="6"/>
      <c r="K46" s="6">
        <f>IFERROR(VLOOKUP(C46,O.B.JUNE!$AI$7:$AO$448,7,0),0)</f>
        <v>874641</v>
      </c>
      <c r="L46" s="6">
        <f>SUMIF('JUNE (물량흐름)'!$C$13:$C$488,'Overhead exp(제조경비)'!C46,'JUNE (물량흐름)'!$H$13:$H$493)+SUMIF('JUNE (물량흐름)'!$C$13:$C$493,'Overhead exp(제조경비)'!C46,'JUNE (물량흐름)'!$V$13:$V$493)</f>
        <v>0</v>
      </c>
      <c r="M46" s="6">
        <f t="shared" si="4"/>
        <v>0</v>
      </c>
      <c r="N46" s="6">
        <f t="shared" si="5"/>
        <v>0</v>
      </c>
      <c r="O46" s="6">
        <f t="shared" si="15"/>
        <v>0</v>
      </c>
      <c r="P46" s="6">
        <f>SUMIF('JUNE (물량흐름)'!$C$13:$C$502,C46,'JUNE (물량흐름)'!$T$13:$T$502)+SUMIF('JUNE (물량흐름)'!$C$13:$C$502,C46,'JUNE (물량흐름)'!$V$13:$V$502)+SUMIF('JUNE (물량흐름)'!$C$13:$C$502,C46,'JUNE (물량흐름)'!$U$13:$U$502)-SUMIF('JUNE (물량흐름)'!$C$13:$C$502,C46,'JUNE (물량흐름)'!$Y$13:$Y$502)</f>
        <v>0</v>
      </c>
      <c r="Q46" s="6">
        <f t="shared" si="6"/>
        <v>0</v>
      </c>
      <c r="R46" s="6">
        <f>IF(ISERROR(VLOOKUP(#REF!,'WIP(재공품)'!$B$12:$AB$38,13,0)),0,VLOOKUP(#REF!,'WIP(재공품)'!$B$12:$AB$38,13,0))</f>
        <v>0</v>
      </c>
      <c r="S46" s="6">
        <f>IF(ISERROR(VLOOKUP(#REF!,'WIP(재공품)'!$B$12:$AB$38,10,0)),0,VLOOKUP(#REF!,'WIP(재공품)'!$B$12:$AB$38,10,0))</f>
        <v>0</v>
      </c>
      <c r="T46" s="6">
        <f>SUMIF('JUNE (물량흐름)'!$C$13:$C$502,'Overhead exp(제조경비)'!C46,'JUNE (물량흐름)'!$Y$13:$Y$502)</f>
        <v>0</v>
      </c>
      <c r="U46" s="6">
        <f t="shared" si="7"/>
        <v>0</v>
      </c>
      <c r="V46" s="6">
        <f>ROUND(SUMIF('JUNE (물량흐름)'!$C$13:$C$502,'Overhead exp(제조경비)'!C46,'JUNE (물량흐름)'!$N$13:$N$502),0)</f>
        <v>0</v>
      </c>
      <c r="W46" s="6">
        <f>ROUND(SUMIF('JUNE (물량흐름)'!$C$13:$C$502,'Overhead exp(제조경비)'!C46,'JUNE (물량흐름)'!$O$13:$O$502),0)</f>
        <v>0</v>
      </c>
      <c r="X46" s="6">
        <f>ROUND(SUMIF('JUNE (물량흐름)'!$C$13:$C$502,'Overhead exp(제조경비)'!C46,'JUNE (물량흐름)'!$P$13:$P$502),0)</f>
        <v>81</v>
      </c>
      <c r="Y46" s="6">
        <f t="shared" si="8"/>
        <v>81</v>
      </c>
      <c r="Z46" s="6">
        <f t="shared" si="9"/>
        <v>65</v>
      </c>
      <c r="AA46" s="6">
        <f t="shared" si="10"/>
        <v>874641</v>
      </c>
      <c r="AB46" s="391">
        <f t="shared" si="11"/>
        <v>0</v>
      </c>
      <c r="AC46" s="391">
        <f t="shared" si="12"/>
        <v>0</v>
      </c>
      <c r="AE46" s="393"/>
    </row>
    <row r="47" spans="1:31" s="390" customFormat="1" ht="24" customHeight="1">
      <c r="A47" s="167">
        <v>36</v>
      </c>
      <c r="B47" s="20" t="str">
        <f>IFERROR(VLOOKUP(A47,'JUNE (물량흐름)'!$A$13:$C$502,2,0),0)</f>
        <v>ALFANI</v>
      </c>
      <c r="C47" s="272">
        <f>VLOOKUP(A47,'JUNE (물량흐름)'!$A$13:$C$502,3,0)</f>
        <v>100005621</v>
      </c>
      <c r="D47" s="6">
        <f>VLOOKUP(C47,'WIP(재공품)'!$B$12:$E$493,4,0)</f>
        <v>7936.2499999999991</v>
      </c>
      <c r="E47" s="6">
        <f>IFERROR(VLOOKUP(C47,O.B.JUNE!$AI$7:$AJ$448,2,0),0)</f>
        <v>0</v>
      </c>
      <c r="F47" s="6">
        <f>IFERROR(VLOOKUP(C47,O.B.JUNE!$AI$7:$AK$448,3,0),0)</f>
        <v>0</v>
      </c>
      <c r="G47" s="6">
        <f>IFERROR(VLOOKUP(C47,O.B.JUNE!$AI$7:$AL$448,4,0),0)</f>
        <v>56</v>
      </c>
      <c r="H47" s="6">
        <f t="shared" si="3"/>
        <v>56</v>
      </c>
      <c r="I47" s="6">
        <f>IFERROR(VLOOKUP(C47,O.B.JUNE!$AI$7:$AN$448,6,0),0)</f>
        <v>45</v>
      </c>
      <c r="J47" s="6"/>
      <c r="K47" s="6">
        <f>IFERROR(VLOOKUP(C47,O.B.JUNE!$AI$7:$AO$448,7,0),0)</f>
        <v>2201893</v>
      </c>
      <c r="L47" s="6">
        <f>SUMIF('JUNE (물량흐름)'!$C$13:$C$488,'Overhead exp(제조경비)'!C47,'JUNE (물량흐름)'!$H$13:$H$493)+SUMIF('JUNE (물량흐름)'!$C$13:$C$493,'Overhead exp(제조경비)'!C47,'JUNE (물량흐름)'!$V$13:$V$493)</f>
        <v>0</v>
      </c>
      <c r="M47" s="6">
        <f t="shared" si="4"/>
        <v>0</v>
      </c>
      <c r="N47" s="6">
        <f t="shared" si="5"/>
        <v>0</v>
      </c>
      <c r="O47" s="6">
        <f t="shared" si="15"/>
        <v>0</v>
      </c>
      <c r="P47" s="6">
        <f>SUMIF('JUNE (물량흐름)'!$C$13:$C$502,C47,'JUNE (물량흐름)'!$T$13:$T$502)+SUMIF('JUNE (물량흐름)'!$C$13:$C$502,C47,'JUNE (물량흐름)'!$V$13:$V$502)+SUMIF('JUNE (물량흐름)'!$C$13:$C$502,C47,'JUNE (물량흐름)'!$U$13:$U$502)-SUMIF('JUNE (물량흐름)'!$C$13:$C$502,C47,'JUNE (물량흐름)'!$Y$13:$Y$502)</f>
        <v>56</v>
      </c>
      <c r="Q47" s="6">
        <f t="shared" si="6"/>
        <v>2201893</v>
      </c>
      <c r="R47" s="6">
        <f>IF(ISERROR(VLOOKUP(#REF!,'WIP(재공품)'!$B$12:$AB$38,13,0)),0,VLOOKUP(#REF!,'WIP(재공품)'!$B$12:$AB$38,13,0))</f>
        <v>0</v>
      </c>
      <c r="S47" s="6">
        <f>IF(ISERROR(VLOOKUP(#REF!,'WIP(재공품)'!$B$12:$AB$38,10,0)),0,VLOOKUP(#REF!,'WIP(재공품)'!$B$12:$AB$38,10,0))</f>
        <v>0</v>
      </c>
      <c r="T47" s="6">
        <f>SUMIF('JUNE (물량흐름)'!$C$13:$C$502,'Overhead exp(제조경비)'!C47,'JUNE (물량흐름)'!$Y$13:$Y$502)</f>
        <v>0</v>
      </c>
      <c r="U47" s="6">
        <f t="shared" si="7"/>
        <v>0</v>
      </c>
      <c r="V47" s="6">
        <f>ROUND(SUMIF('JUNE (물량흐름)'!$C$13:$C$502,'Overhead exp(제조경비)'!C47,'JUNE (물량흐름)'!$N$13:$N$502),0)</f>
        <v>0</v>
      </c>
      <c r="W47" s="6">
        <f>ROUND(SUMIF('JUNE (물량흐름)'!$C$13:$C$502,'Overhead exp(제조경비)'!C47,'JUNE (물량흐름)'!$O$13:$O$502),0)</f>
        <v>0</v>
      </c>
      <c r="X47" s="6">
        <f>ROUND(SUMIF('JUNE (물량흐름)'!$C$13:$C$502,'Overhead exp(제조경비)'!C47,'JUNE (물량흐름)'!$P$13:$P$502),0)</f>
        <v>0</v>
      </c>
      <c r="Y47" s="6">
        <f t="shared" si="8"/>
        <v>0</v>
      </c>
      <c r="Z47" s="6">
        <f t="shared" si="9"/>
        <v>0</v>
      </c>
      <c r="AA47" s="6">
        <f t="shared" si="10"/>
        <v>0</v>
      </c>
      <c r="AB47" s="391">
        <f t="shared" si="11"/>
        <v>0</v>
      </c>
      <c r="AC47" s="391">
        <f t="shared" si="12"/>
        <v>0</v>
      </c>
      <c r="AE47" s="393"/>
    </row>
    <row r="48" spans="1:31" s="390" customFormat="1" ht="24" customHeight="1">
      <c r="A48" s="167">
        <v>37</v>
      </c>
      <c r="B48" s="20" t="str">
        <f>IFERROR(VLOOKUP(A48,'JUNE (물량흐름)'!$A$13:$C$502,2,0),0)</f>
        <v>ALFANI</v>
      </c>
      <c r="C48" s="272">
        <f>VLOOKUP(A48,'JUNE (물량흐름)'!$A$13:$C$502,3,0)</f>
        <v>100005705</v>
      </c>
      <c r="D48" s="6">
        <f>VLOOKUP(C48,'WIP(재공품)'!$B$12:$E$493,4,0)</f>
        <v>7936.2499999999991</v>
      </c>
      <c r="E48" s="6">
        <f>IFERROR(VLOOKUP(C48,O.B.JUNE!$AI$7:$AJ$448,2,0),0)</f>
        <v>0</v>
      </c>
      <c r="F48" s="6">
        <f>IFERROR(VLOOKUP(C48,O.B.JUNE!$AI$7:$AK$448,3,0),0)</f>
        <v>69</v>
      </c>
      <c r="G48" s="6">
        <f>IFERROR(VLOOKUP(C48,O.B.JUNE!$AI$7:$AL$448,4,0),0)</f>
        <v>283</v>
      </c>
      <c r="H48" s="6">
        <f t="shared" si="3"/>
        <v>352</v>
      </c>
      <c r="I48" s="6">
        <f>IFERROR(VLOOKUP(C48,O.B.JUNE!$AI$7:$AN$448,6,0),0)</f>
        <v>261</v>
      </c>
      <c r="J48" s="6"/>
      <c r="K48" s="6">
        <f>IFERROR(VLOOKUP(C48,O.B.JUNE!$AI$7:$AO$448,7,0),0)</f>
        <v>7340104</v>
      </c>
      <c r="L48" s="6">
        <f>SUMIF('JUNE (물량흐름)'!$C$13:$C$488,'Overhead exp(제조경비)'!C48,'JUNE (물량흐름)'!$H$13:$H$493)+SUMIF('JUNE (물량흐름)'!$C$13:$C$493,'Overhead exp(제조경비)'!C48,'JUNE (물량흐름)'!$V$13:$V$493)</f>
        <v>0</v>
      </c>
      <c r="M48" s="6">
        <f t="shared" si="4"/>
        <v>0</v>
      </c>
      <c r="N48" s="6">
        <f t="shared" si="5"/>
        <v>0</v>
      </c>
      <c r="O48" s="6">
        <f t="shared" si="15"/>
        <v>0</v>
      </c>
      <c r="P48" s="6">
        <f>SUMIF('JUNE (물량흐름)'!$C$13:$C$502,C48,'JUNE (물량흐름)'!$T$13:$T$502)+SUMIF('JUNE (물량흐름)'!$C$13:$C$502,C48,'JUNE (물량흐름)'!$V$13:$V$502)+SUMIF('JUNE (물량흐름)'!$C$13:$C$502,C48,'JUNE (물량흐름)'!$U$13:$U$502)-SUMIF('JUNE (물량흐름)'!$C$13:$C$502,C48,'JUNE (물량흐름)'!$Y$13:$Y$502)</f>
        <v>0</v>
      </c>
      <c r="Q48" s="6">
        <f>IFERROR(ROUND(IF(OR(P48&lt;=0,($I48+$M48)=0),$P48*($K48+$O48)/($I48+$M48),$P48*($K48+$O48)/($H48+$L48)),0),0)</f>
        <v>0</v>
      </c>
      <c r="R48" s="6">
        <f>IF(ISERROR(VLOOKUP(#REF!,'WIP(재공품)'!$B$12:$AB$38,13,0)),0,VLOOKUP(#REF!,'WIP(재공품)'!$B$12:$AB$38,13,0))</f>
        <v>0</v>
      </c>
      <c r="S48" s="6">
        <f>IF(ISERROR(VLOOKUP(#REF!,'WIP(재공품)'!$B$12:$AB$38,10,0)),0,VLOOKUP(#REF!,'WIP(재공품)'!$B$12:$AB$38,10,0))</f>
        <v>0</v>
      </c>
      <c r="T48" s="6">
        <f>SUMIF('JUNE (물량흐름)'!$C$13:$C$502,'Overhead exp(제조경비)'!C48,'JUNE (물량흐름)'!$Y$13:$Y$502)</f>
        <v>0</v>
      </c>
      <c r="U48" s="6">
        <f t="shared" si="7"/>
        <v>0</v>
      </c>
      <c r="V48" s="6">
        <f>ROUND(SUMIF('JUNE (물량흐름)'!$C$13:$C$502,'Overhead exp(제조경비)'!C48,'JUNE (물량흐름)'!$N$13:$N$502),0)</f>
        <v>0</v>
      </c>
      <c r="W48" s="6">
        <f>ROUND(SUMIF('JUNE (물량흐름)'!$C$13:$C$502,'Overhead exp(제조경비)'!C48,'JUNE (물량흐름)'!$O$13:$O$502),0)</f>
        <v>69</v>
      </c>
      <c r="X48" s="6">
        <f>ROUND(SUMIF('JUNE (물량흐름)'!$C$13:$C$502,'Overhead exp(제조경비)'!C48,'JUNE (물량흐름)'!$P$13:$P$502),0)</f>
        <v>283</v>
      </c>
      <c r="Y48" s="6">
        <f t="shared" si="8"/>
        <v>352</v>
      </c>
      <c r="Z48" s="6">
        <f t="shared" si="9"/>
        <v>261</v>
      </c>
      <c r="AA48" s="6">
        <f t="shared" si="10"/>
        <v>7340104</v>
      </c>
      <c r="AB48" s="391">
        <f t="shared" si="11"/>
        <v>0</v>
      </c>
      <c r="AC48" s="391">
        <f t="shared" si="12"/>
        <v>0</v>
      </c>
      <c r="AE48" s="393"/>
    </row>
    <row r="49" spans="1:31" s="390" customFormat="1" ht="24" customHeight="1">
      <c r="A49" s="167">
        <v>38</v>
      </c>
      <c r="B49" s="20" t="str">
        <f>IFERROR(VLOOKUP(A49,'JUNE (물량흐름)'!$A$13:$C$502,2,0),0)</f>
        <v>ALFANI</v>
      </c>
      <c r="C49" s="272">
        <f>VLOOKUP(A49,'JUNE (물량흐름)'!$A$13:$C$502,3,0)</f>
        <v>100005710</v>
      </c>
      <c r="D49" s="6">
        <f>VLOOKUP(C49,'WIP(재공품)'!$B$12:$E$493,4,0)</f>
        <v>7936.2499999999991</v>
      </c>
      <c r="E49" s="6">
        <f>IFERROR(VLOOKUP(C49,O.B.JUNE!$AI$7:$AJ$448,2,0),0)</f>
        <v>0</v>
      </c>
      <c r="F49" s="6">
        <f>IFERROR(VLOOKUP(C49,O.B.JUNE!$AI$7:$AK$448,3,0),0)</f>
        <v>69</v>
      </c>
      <c r="G49" s="6">
        <f>IFERROR(VLOOKUP(C49,O.B.JUNE!$AI$7:$AL$448,4,0),0)</f>
        <v>40</v>
      </c>
      <c r="H49" s="6">
        <f t="shared" si="3"/>
        <v>109</v>
      </c>
      <c r="I49" s="6">
        <f>IFERROR(VLOOKUP(C49,O.B.JUNE!$AI$7:$AN$448,6,0),0)</f>
        <v>67</v>
      </c>
      <c r="J49" s="6"/>
      <c r="K49" s="6">
        <f>IFERROR(VLOOKUP(C49,O.B.JUNE!$AI$7:$AO$448,7,0),0)</f>
        <v>2880669</v>
      </c>
      <c r="L49" s="6">
        <f>SUMIF('JUNE (물량흐름)'!$C$13:$C$488,'Overhead exp(제조경비)'!C49,'JUNE (물량흐름)'!$H$13:$H$493)+SUMIF('JUNE (물량흐름)'!$C$13:$C$493,'Overhead exp(제조경비)'!C49,'JUNE (물량흐름)'!$V$13:$V$493)</f>
        <v>0</v>
      </c>
      <c r="M49" s="6">
        <f t="shared" si="4"/>
        <v>0</v>
      </c>
      <c r="N49" s="6">
        <f t="shared" si="5"/>
        <v>0</v>
      </c>
      <c r="O49" s="6">
        <f t="shared" si="15"/>
        <v>0</v>
      </c>
      <c r="P49" s="6">
        <f>SUMIF('JUNE (물량흐름)'!$C$13:$C$502,C49,'JUNE (물량흐름)'!$T$13:$T$502)+SUMIF('JUNE (물량흐름)'!$C$13:$C$502,C49,'JUNE (물량흐름)'!$V$13:$V$502)+SUMIF('JUNE (물량흐름)'!$C$13:$C$502,C49,'JUNE (물량흐름)'!$U$13:$U$502)-SUMIF('JUNE (물량흐름)'!$C$13:$C$502,C49,'JUNE (물량흐름)'!$Y$13:$Y$502)</f>
        <v>0</v>
      </c>
      <c r="Q49" s="6">
        <f t="shared" si="6"/>
        <v>0</v>
      </c>
      <c r="R49" s="6">
        <f>IF(ISERROR(VLOOKUP(#REF!,'WIP(재공품)'!$B$12:$AB$38,13,0)),0,VLOOKUP(#REF!,'WIP(재공품)'!$B$12:$AB$38,13,0))</f>
        <v>0</v>
      </c>
      <c r="S49" s="6">
        <f>IF(ISERROR(VLOOKUP(#REF!,'WIP(재공품)'!$B$12:$AB$38,10,0)),0,VLOOKUP(#REF!,'WIP(재공품)'!$B$12:$AB$38,10,0))</f>
        <v>0</v>
      </c>
      <c r="T49" s="6">
        <f>SUMIF('JUNE (물량흐름)'!$C$13:$C$502,'Overhead exp(제조경비)'!C49,'JUNE (물량흐름)'!$Y$13:$Y$502)</f>
        <v>0</v>
      </c>
      <c r="U49" s="6">
        <f t="shared" si="7"/>
        <v>0</v>
      </c>
      <c r="V49" s="6">
        <f>ROUND(SUMIF('JUNE (물량흐름)'!$C$13:$C$502,'Overhead exp(제조경비)'!C49,'JUNE (물량흐름)'!$N$13:$N$502),0)</f>
        <v>0</v>
      </c>
      <c r="W49" s="6">
        <f>ROUND(SUMIF('JUNE (물량흐름)'!$C$13:$C$502,'Overhead exp(제조경비)'!C49,'JUNE (물량흐름)'!$O$13:$O$502),0)</f>
        <v>69</v>
      </c>
      <c r="X49" s="6">
        <f>ROUND(SUMIF('JUNE (물량흐름)'!$C$13:$C$502,'Overhead exp(제조경비)'!C49,'JUNE (물량흐름)'!$P$13:$P$502),0)</f>
        <v>40</v>
      </c>
      <c r="Y49" s="6">
        <f t="shared" si="8"/>
        <v>109</v>
      </c>
      <c r="Z49" s="6">
        <f t="shared" si="9"/>
        <v>67</v>
      </c>
      <c r="AA49" s="6">
        <f t="shared" si="10"/>
        <v>2880669</v>
      </c>
      <c r="AB49" s="391">
        <f t="shared" si="11"/>
        <v>0</v>
      </c>
      <c r="AC49" s="391">
        <f t="shared" si="12"/>
        <v>0</v>
      </c>
      <c r="AE49" s="393"/>
    </row>
    <row r="50" spans="1:31" s="390" customFormat="1" ht="24" customHeight="1">
      <c r="A50" s="167">
        <v>39</v>
      </c>
      <c r="B50" s="20" t="str">
        <f>IFERROR(VLOOKUP(A50,'JUNE (물량흐름)'!$A$13:$C$502,2,0),0)</f>
        <v>ALFANI</v>
      </c>
      <c r="C50" s="272">
        <f>VLOOKUP(A50,'JUNE (물량흐름)'!$A$13:$C$502,3,0)</f>
        <v>100008197</v>
      </c>
      <c r="D50" s="6">
        <f>VLOOKUP(C50,'WIP(재공품)'!$B$12:$E$493,4,0)</f>
        <v>8163</v>
      </c>
      <c r="E50" s="6">
        <f>IFERROR(VLOOKUP(C50,O.B.JUNE!$AI$7:$AJ$448,2,0),0)</f>
        <v>0</v>
      </c>
      <c r="F50" s="6">
        <f>IFERROR(VLOOKUP(C50,O.B.JUNE!$AI$7:$AK$448,3,0),0)</f>
        <v>0</v>
      </c>
      <c r="G50" s="6">
        <f>IFERROR(VLOOKUP(C50,O.B.JUNE!$AI$7:$AL$448,4,0),0)</f>
        <v>461</v>
      </c>
      <c r="H50" s="6">
        <f t="shared" si="3"/>
        <v>461</v>
      </c>
      <c r="I50" s="6">
        <f>IFERROR(VLOOKUP(C50,O.B.JUNE!$AI$7:$AN$448,6,0),0)</f>
        <v>369</v>
      </c>
      <c r="J50" s="6"/>
      <c r="K50" s="6">
        <f>IFERROR(VLOOKUP(C50,O.B.JUNE!$AI$7:$AO$448,7,0),0)</f>
        <v>7491236</v>
      </c>
      <c r="L50" s="6">
        <f>SUMIF('JUNE (물량흐름)'!$C$13:$C$488,'Overhead exp(제조경비)'!C50,'JUNE (물량흐름)'!$H$13:$H$493)+SUMIF('JUNE (물량흐름)'!$C$13:$C$493,'Overhead exp(제조경비)'!C50,'JUNE (물량흐름)'!$V$13:$V$493)</f>
        <v>0</v>
      </c>
      <c r="M50" s="6">
        <f t="shared" si="4"/>
        <v>0</v>
      </c>
      <c r="N50" s="6">
        <f t="shared" si="5"/>
        <v>0</v>
      </c>
      <c r="O50" s="6">
        <f t="shared" si="15"/>
        <v>0</v>
      </c>
      <c r="P50" s="6">
        <f>SUMIF('JUNE (물량흐름)'!$C$13:$C$502,C50,'JUNE (물량흐름)'!$T$13:$T$502)+SUMIF('JUNE (물량흐름)'!$C$13:$C$502,C50,'JUNE (물량흐름)'!$V$13:$V$502)+SUMIF('JUNE (물량흐름)'!$C$13:$C$502,C50,'JUNE (물량흐름)'!$U$13:$U$502)-SUMIF('JUNE (물량흐름)'!$C$13:$C$502,C50,'JUNE (물량흐름)'!$Y$13:$Y$502)</f>
        <v>0</v>
      </c>
      <c r="Q50" s="6">
        <f t="shared" si="6"/>
        <v>0</v>
      </c>
      <c r="R50" s="6">
        <f>IF(ISERROR(VLOOKUP(#REF!,'WIP(재공품)'!$B$12:$AB$38,13,0)),0,VLOOKUP(#REF!,'WIP(재공품)'!$B$12:$AB$38,13,0))</f>
        <v>0</v>
      </c>
      <c r="S50" s="6">
        <f>IF(ISERROR(VLOOKUP(#REF!,'WIP(재공품)'!$B$12:$AB$38,10,0)),0,VLOOKUP(#REF!,'WIP(재공품)'!$B$12:$AB$38,10,0))</f>
        <v>0</v>
      </c>
      <c r="T50" s="6">
        <f>SUMIF('JUNE (물량흐름)'!$C$13:$C$502,'Overhead exp(제조경비)'!C50,'JUNE (물량흐름)'!$Y$13:$Y$502)</f>
        <v>0</v>
      </c>
      <c r="U50" s="6">
        <f t="shared" si="7"/>
        <v>0</v>
      </c>
      <c r="V50" s="6">
        <f>ROUND(SUMIF('JUNE (물량흐름)'!$C$13:$C$502,'Overhead exp(제조경비)'!C50,'JUNE (물량흐름)'!$N$13:$N$502),0)</f>
        <v>0</v>
      </c>
      <c r="W50" s="6">
        <f>ROUND(SUMIF('JUNE (물량흐름)'!$C$13:$C$502,'Overhead exp(제조경비)'!C50,'JUNE (물량흐름)'!$O$13:$O$502),0)</f>
        <v>0</v>
      </c>
      <c r="X50" s="6">
        <f>ROUND(SUMIF('JUNE (물량흐름)'!$C$13:$C$502,'Overhead exp(제조경비)'!C50,'JUNE (물량흐름)'!$P$13:$P$502),0)</f>
        <v>461</v>
      </c>
      <c r="Y50" s="6">
        <f t="shared" si="8"/>
        <v>461</v>
      </c>
      <c r="Z50" s="6">
        <f t="shared" si="9"/>
        <v>369</v>
      </c>
      <c r="AA50" s="6">
        <f t="shared" si="10"/>
        <v>7491236</v>
      </c>
      <c r="AB50" s="391">
        <f t="shared" si="11"/>
        <v>0</v>
      </c>
      <c r="AC50" s="391">
        <f t="shared" si="12"/>
        <v>0</v>
      </c>
      <c r="AE50" s="393"/>
    </row>
    <row r="51" spans="1:31" s="390" customFormat="1" ht="24" customHeight="1">
      <c r="A51" s="167">
        <v>40</v>
      </c>
      <c r="B51" s="20" t="str">
        <f>IFERROR(VLOOKUP(A51,'JUNE (물량흐름)'!$A$13:$C$502,2,0),0)</f>
        <v>ALFANI</v>
      </c>
      <c r="C51" s="272">
        <f>VLOOKUP(A51,'JUNE (물량흐름)'!$A$13:$C$502,3,0)</f>
        <v>100008887</v>
      </c>
      <c r="D51" s="6">
        <f>VLOOKUP(C51,'WIP(재공품)'!$B$12:$E$493,4,0)</f>
        <v>8163</v>
      </c>
      <c r="E51" s="6">
        <f>IFERROR(VLOOKUP(C51,O.B.JUNE!$AI$7:$AJ$448,2,0),0)</f>
        <v>0</v>
      </c>
      <c r="F51" s="6">
        <f>IFERROR(VLOOKUP(C51,O.B.JUNE!$AI$7:$AK$448,3,0),0)</f>
        <v>0</v>
      </c>
      <c r="G51" s="6">
        <f>IFERROR(VLOOKUP(C51,O.B.JUNE!$AI$7:$AL$448,4,0),0)</f>
        <v>200</v>
      </c>
      <c r="H51" s="6">
        <f t="shared" si="3"/>
        <v>200</v>
      </c>
      <c r="I51" s="6">
        <f>IFERROR(VLOOKUP(C51,O.B.JUNE!$AI$7:$AN$448,6,0),0)</f>
        <v>160</v>
      </c>
      <c r="J51" s="6"/>
      <c r="K51" s="6">
        <f>IFERROR(VLOOKUP(C51,O.B.JUNE!$AI$7:$AO$448,7,0),0)</f>
        <v>5284544</v>
      </c>
      <c r="L51" s="6">
        <f>SUMIF('JUNE (물량흐름)'!$C$13:$C$488,'Overhead exp(제조경비)'!C51,'JUNE (물량흐름)'!$H$13:$H$493)+SUMIF('JUNE (물량흐름)'!$C$13:$C$493,'Overhead exp(제조경비)'!C51,'JUNE (물량흐름)'!$V$13:$V$493)</f>
        <v>0</v>
      </c>
      <c r="M51" s="6">
        <f t="shared" si="4"/>
        <v>0</v>
      </c>
      <c r="N51" s="6">
        <f t="shared" si="5"/>
        <v>0</v>
      </c>
      <c r="O51" s="6">
        <f t="shared" si="15"/>
        <v>0</v>
      </c>
      <c r="P51" s="6">
        <f>SUMIF('JUNE (물량흐름)'!$C$13:$C$502,C51,'JUNE (물량흐름)'!$T$13:$T$502)+SUMIF('JUNE (물량흐름)'!$C$13:$C$502,C51,'JUNE (물량흐름)'!$V$13:$V$502)+SUMIF('JUNE (물량흐름)'!$C$13:$C$502,C51,'JUNE (물량흐름)'!$U$13:$U$502)-SUMIF('JUNE (물량흐름)'!$C$13:$C$502,C51,'JUNE (물량흐름)'!$Y$13:$Y$502)</f>
        <v>0</v>
      </c>
      <c r="Q51" s="6">
        <f t="shared" si="6"/>
        <v>0</v>
      </c>
      <c r="R51" s="6">
        <f>IF(ISERROR(VLOOKUP(#REF!,'WIP(재공품)'!$B$12:$AB$38,13,0)),0,VLOOKUP(#REF!,'WIP(재공품)'!$B$12:$AB$38,13,0))</f>
        <v>0</v>
      </c>
      <c r="S51" s="6">
        <f>IF(ISERROR(VLOOKUP(#REF!,'WIP(재공품)'!$B$12:$AB$38,10,0)),0,VLOOKUP(#REF!,'WIP(재공품)'!$B$12:$AB$38,10,0))</f>
        <v>0</v>
      </c>
      <c r="T51" s="6">
        <f>SUMIF('JUNE (물량흐름)'!$C$13:$C$502,'Overhead exp(제조경비)'!C51,'JUNE (물량흐름)'!$Y$13:$Y$502)</f>
        <v>0</v>
      </c>
      <c r="U51" s="6">
        <f t="shared" si="7"/>
        <v>0</v>
      </c>
      <c r="V51" s="6">
        <f>ROUND(SUMIF('JUNE (물량흐름)'!$C$13:$C$502,'Overhead exp(제조경비)'!C51,'JUNE (물량흐름)'!$N$13:$N$502),0)</f>
        <v>0</v>
      </c>
      <c r="W51" s="6">
        <f>ROUND(SUMIF('JUNE (물량흐름)'!$C$13:$C$502,'Overhead exp(제조경비)'!C51,'JUNE (물량흐름)'!$O$13:$O$502),0)</f>
        <v>0</v>
      </c>
      <c r="X51" s="6">
        <f>ROUND(SUMIF('JUNE (물량흐름)'!$C$13:$C$502,'Overhead exp(제조경비)'!C51,'JUNE (물량흐름)'!$P$13:$P$502),0)</f>
        <v>200</v>
      </c>
      <c r="Y51" s="6">
        <f t="shared" si="8"/>
        <v>200</v>
      </c>
      <c r="Z51" s="6">
        <f t="shared" si="9"/>
        <v>160</v>
      </c>
      <c r="AA51" s="6">
        <f t="shared" si="10"/>
        <v>5284544</v>
      </c>
      <c r="AB51" s="391">
        <f t="shared" si="11"/>
        <v>0</v>
      </c>
      <c r="AC51" s="391">
        <f t="shared" si="12"/>
        <v>0</v>
      </c>
      <c r="AE51" s="393"/>
    </row>
    <row r="52" spans="1:31" s="390" customFormat="1" ht="24" customHeight="1">
      <c r="A52" s="167">
        <v>41</v>
      </c>
      <c r="B52" s="20" t="str">
        <f>IFERROR(VLOOKUP(A52,'JUNE (물량흐름)'!$A$13:$C$502,2,0),0)</f>
        <v>ALFANI</v>
      </c>
      <c r="C52" s="272">
        <f>VLOOKUP(A52,'JUNE (물량흐름)'!$A$13:$C$502,3,0)</f>
        <v>100010879</v>
      </c>
      <c r="D52" s="6">
        <f>VLOOKUP(C52,'WIP(재공품)'!$B$12:$E$493,4,0)</f>
        <v>45350</v>
      </c>
      <c r="E52" s="6">
        <f>IFERROR(VLOOKUP(C52,O.B.JUNE!$AI$7:$AJ$448,2,0),0)</f>
        <v>0</v>
      </c>
      <c r="F52" s="6">
        <f>IFERROR(VLOOKUP(C52,O.B.JUNE!$AI$7:$AK$448,3,0),0)</f>
        <v>0</v>
      </c>
      <c r="G52" s="6">
        <f>IFERROR(VLOOKUP(C52,O.B.JUNE!$AI$7:$AL$448,4,0),0)</f>
        <v>250</v>
      </c>
      <c r="H52" s="6">
        <f t="shared" si="3"/>
        <v>250</v>
      </c>
      <c r="I52" s="6">
        <f>IFERROR(VLOOKUP(C52,O.B.JUNE!$AI$7:$AN$448,6,0),0)</f>
        <v>200</v>
      </c>
      <c r="J52" s="6"/>
      <c r="K52" s="6">
        <f>IFERROR(VLOOKUP(C52,O.B.JUNE!$AI$7:$AO$448,7,0),0)</f>
        <v>5554809</v>
      </c>
      <c r="L52" s="6">
        <f>SUMIF('JUNE (물량흐름)'!$C$13:$C$488,'Overhead exp(제조경비)'!C52,'JUNE (물량흐름)'!$H$13:$H$493)+SUMIF('JUNE (물량흐름)'!$C$13:$C$493,'Overhead exp(제조경비)'!C52,'JUNE (물량흐름)'!$V$13:$V$493)</f>
        <v>0</v>
      </c>
      <c r="M52" s="6">
        <f t="shared" si="4"/>
        <v>0</v>
      </c>
      <c r="N52" s="6">
        <f t="shared" si="5"/>
        <v>0</v>
      </c>
      <c r="O52" s="6">
        <f t="shared" si="15"/>
        <v>0</v>
      </c>
      <c r="P52" s="6">
        <f>SUMIF('JUNE (물량흐름)'!$C$13:$C$502,C52,'JUNE (물량흐름)'!$T$13:$T$502)+SUMIF('JUNE (물량흐름)'!$C$13:$C$502,C52,'JUNE (물량흐름)'!$V$13:$V$502)+SUMIF('JUNE (물량흐름)'!$C$13:$C$502,C52,'JUNE (물량흐름)'!$U$13:$U$502)-SUMIF('JUNE (물량흐름)'!$C$13:$C$502,C52,'JUNE (물량흐름)'!$Y$13:$Y$502)</f>
        <v>0</v>
      </c>
      <c r="Q52" s="6">
        <f t="shared" si="6"/>
        <v>0</v>
      </c>
      <c r="R52" s="6">
        <f>IF(ISERROR(VLOOKUP(#REF!,'WIP(재공품)'!$B$12:$AB$38,13,0)),0,VLOOKUP(#REF!,'WIP(재공품)'!$B$12:$AB$38,13,0))</f>
        <v>0</v>
      </c>
      <c r="S52" s="6">
        <f>IF(ISERROR(VLOOKUP(#REF!,'WIP(재공품)'!$B$12:$AB$38,10,0)),0,VLOOKUP(#REF!,'WIP(재공품)'!$B$12:$AB$38,10,0))</f>
        <v>0</v>
      </c>
      <c r="T52" s="6">
        <f>SUMIF('JUNE (물량흐름)'!$C$13:$C$502,'Overhead exp(제조경비)'!C52,'JUNE (물량흐름)'!$Y$13:$Y$502)</f>
        <v>0</v>
      </c>
      <c r="U52" s="6">
        <f t="shared" si="7"/>
        <v>0</v>
      </c>
      <c r="V52" s="6">
        <f>ROUND(SUMIF('JUNE (물량흐름)'!$C$13:$C$502,'Overhead exp(제조경비)'!C52,'JUNE (물량흐름)'!$N$13:$N$502),0)</f>
        <v>0</v>
      </c>
      <c r="W52" s="6">
        <f>ROUND(SUMIF('JUNE (물량흐름)'!$C$13:$C$502,'Overhead exp(제조경비)'!C52,'JUNE (물량흐름)'!$O$13:$O$502),0)</f>
        <v>0</v>
      </c>
      <c r="X52" s="6">
        <f>ROUND(SUMIF('JUNE (물량흐름)'!$C$13:$C$502,'Overhead exp(제조경비)'!C52,'JUNE (물량흐름)'!$P$13:$P$502),0)</f>
        <v>250</v>
      </c>
      <c r="Y52" s="6">
        <f t="shared" si="8"/>
        <v>250</v>
      </c>
      <c r="Z52" s="6">
        <f t="shared" si="9"/>
        <v>200</v>
      </c>
      <c r="AA52" s="6">
        <f t="shared" si="10"/>
        <v>5554809</v>
      </c>
      <c r="AB52" s="391">
        <f t="shared" si="11"/>
        <v>0</v>
      </c>
      <c r="AC52" s="391">
        <f t="shared" si="12"/>
        <v>0</v>
      </c>
      <c r="AE52" s="393"/>
    </row>
    <row r="53" spans="1:31" s="390" customFormat="1" ht="24" customHeight="1">
      <c r="A53" s="167">
        <v>42</v>
      </c>
      <c r="B53" s="20" t="str">
        <f>IFERROR(VLOOKUP(A53,'JUNE (물량흐름)'!$A$13:$C$502,2,0),0)</f>
        <v>ALFANI</v>
      </c>
      <c r="C53" s="272">
        <f>VLOOKUP(A53,'JUNE (물량흐름)'!$A$13:$C$502,3,0)</f>
        <v>100010914</v>
      </c>
      <c r="D53" s="6">
        <f>VLOOKUP(C53,'WIP(재공품)'!$B$12:$E$493,4,0)</f>
        <v>7936.2499999999991</v>
      </c>
      <c r="E53" s="6">
        <f>IFERROR(VLOOKUP(C53,O.B.JUNE!$AI$7:$AJ$448,2,0),0)</f>
        <v>0</v>
      </c>
      <c r="F53" s="6">
        <f>IFERROR(VLOOKUP(C53,O.B.JUNE!$AI$7:$AK$448,3,0),0)</f>
        <v>0</v>
      </c>
      <c r="G53" s="6">
        <f>IFERROR(VLOOKUP(C53,O.B.JUNE!$AI$7:$AL$448,4,0),0)</f>
        <v>55</v>
      </c>
      <c r="H53" s="6">
        <f t="shared" si="3"/>
        <v>55</v>
      </c>
      <c r="I53" s="6">
        <f>IFERROR(VLOOKUP(C53,O.B.JUNE!$AI$7:$AN$448,6,0),0)</f>
        <v>44</v>
      </c>
      <c r="J53" s="6"/>
      <c r="K53" s="6">
        <f>IFERROR(VLOOKUP(C53,O.B.JUNE!$AI$7:$AO$448,7,0),0)</f>
        <v>1195034</v>
      </c>
      <c r="L53" s="6">
        <f>SUMIF('JUNE (물량흐름)'!$C$13:$C$488,'Overhead exp(제조경비)'!C53,'JUNE (물량흐름)'!$H$13:$H$493)+SUMIF('JUNE (물량흐름)'!$C$13:$C$493,'Overhead exp(제조경비)'!C53,'JUNE (물량흐름)'!$V$13:$V$493)</f>
        <v>0</v>
      </c>
      <c r="M53" s="6">
        <f t="shared" si="4"/>
        <v>0</v>
      </c>
      <c r="N53" s="6">
        <f t="shared" si="5"/>
        <v>0</v>
      </c>
      <c r="O53" s="6">
        <f t="shared" si="15"/>
        <v>0</v>
      </c>
      <c r="P53" s="6">
        <f>SUMIF('JUNE (물량흐름)'!$C$13:$C$502,C53,'JUNE (물량흐름)'!$T$13:$T$502)+SUMIF('JUNE (물량흐름)'!$C$13:$C$502,C53,'JUNE (물량흐름)'!$V$13:$V$502)+SUMIF('JUNE (물량흐름)'!$C$13:$C$502,C53,'JUNE (물량흐름)'!$U$13:$U$502)-SUMIF('JUNE (물량흐름)'!$C$13:$C$502,C53,'JUNE (물량흐름)'!$Y$13:$Y$502)</f>
        <v>0</v>
      </c>
      <c r="Q53" s="6">
        <f t="shared" si="6"/>
        <v>0</v>
      </c>
      <c r="R53" s="6">
        <f>IF(ISERROR(VLOOKUP(#REF!,'WIP(재공품)'!$B$12:$AB$38,13,0)),0,VLOOKUP(#REF!,'WIP(재공품)'!$B$12:$AB$38,13,0))</f>
        <v>0</v>
      </c>
      <c r="S53" s="6">
        <f>IF(ISERROR(VLOOKUP(#REF!,'WIP(재공품)'!$B$12:$AB$38,10,0)),0,VLOOKUP(#REF!,'WIP(재공품)'!$B$12:$AB$38,10,0))</f>
        <v>0</v>
      </c>
      <c r="T53" s="6">
        <f>SUMIF('JUNE (물량흐름)'!$C$13:$C$502,'Overhead exp(제조경비)'!C53,'JUNE (물량흐름)'!$Y$13:$Y$502)</f>
        <v>0</v>
      </c>
      <c r="U53" s="6">
        <f t="shared" si="7"/>
        <v>0</v>
      </c>
      <c r="V53" s="6">
        <f>ROUND(SUMIF('JUNE (물량흐름)'!$C$13:$C$502,'Overhead exp(제조경비)'!C53,'JUNE (물량흐름)'!$N$13:$N$502),0)</f>
        <v>0</v>
      </c>
      <c r="W53" s="6">
        <f>ROUND(SUMIF('JUNE (물량흐름)'!$C$13:$C$502,'Overhead exp(제조경비)'!C53,'JUNE (물량흐름)'!$O$13:$O$502),0)</f>
        <v>0</v>
      </c>
      <c r="X53" s="6">
        <f>ROUND(SUMIF('JUNE (물량흐름)'!$C$13:$C$502,'Overhead exp(제조경비)'!C53,'JUNE (물량흐름)'!$P$13:$P$502),0)</f>
        <v>55</v>
      </c>
      <c r="Y53" s="6">
        <f t="shared" si="8"/>
        <v>55</v>
      </c>
      <c r="Z53" s="6">
        <f t="shared" si="9"/>
        <v>44</v>
      </c>
      <c r="AA53" s="6">
        <f t="shared" si="10"/>
        <v>1195034</v>
      </c>
      <c r="AB53" s="391">
        <f t="shared" si="11"/>
        <v>0</v>
      </c>
      <c r="AC53" s="391">
        <f t="shared" si="12"/>
        <v>0</v>
      </c>
      <c r="AE53" s="393"/>
    </row>
    <row r="54" spans="1:31" s="390" customFormat="1" ht="24" customHeight="1">
      <c r="A54" s="167">
        <v>43</v>
      </c>
      <c r="B54" s="20" t="str">
        <f>IFERROR(VLOOKUP(A54,'JUNE (물량흐름)'!$A$13:$C$502,2,0),0)</f>
        <v>ALFANI</v>
      </c>
      <c r="C54" s="272">
        <f>VLOOKUP(A54,'JUNE (물량흐름)'!$A$13:$C$502,3,0)</f>
        <v>100011006</v>
      </c>
      <c r="D54" s="6">
        <f>VLOOKUP(C54,'WIP(재공품)'!$B$12:$E$493,4,0)</f>
        <v>7936.2499999999991</v>
      </c>
      <c r="E54" s="6">
        <f>IFERROR(VLOOKUP(C54,O.B.JUNE!$AI$7:$AJ$448,2,0),0)</f>
        <v>0</v>
      </c>
      <c r="F54" s="6">
        <f>IFERROR(VLOOKUP(C54,O.B.JUNE!$AI$7:$AK$448,3,0),0)</f>
        <v>0</v>
      </c>
      <c r="G54" s="6">
        <f>IFERROR(VLOOKUP(C54,O.B.JUNE!$AI$7:$AL$448,4,0),0)</f>
        <v>94</v>
      </c>
      <c r="H54" s="6">
        <f t="shared" si="3"/>
        <v>94</v>
      </c>
      <c r="I54" s="6">
        <f>IFERROR(VLOOKUP(C54,O.B.JUNE!$AI$7:$AN$448,6,0),0)</f>
        <v>75</v>
      </c>
      <c r="J54" s="6"/>
      <c r="K54" s="6">
        <f>IFERROR(VLOOKUP(C54,O.B.JUNE!$AI$7:$AO$448,7,0),0)</f>
        <v>1473108</v>
      </c>
      <c r="L54" s="6">
        <f>SUMIF('JUNE (물량흐름)'!$C$13:$C$488,'Overhead exp(제조경비)'!C54,'JUNE (물량흐름)'!$H$13:$H$493)+SUMIF('JUNE (물량흐름)'!$C$13:$C$493,'Overhead exp(제조경비)'!C54,'JUNE (물량흐름)'!$V$13:$V$493)</f>
        <v>0</v>
      </c>
      <c r="M54" s="6">
        <f t="shared" si="4"/>
        <v>0</v>
      </c>
      <c r="N54" s="6">
        <f t="shared" si="5"/>
        <v>0</v>
      </c>
      <c r="O54" s="6">
        <f t="shared" si="15"/>
        <v>0</v>
      </c>
      <c r="P54" s="6">
        <f>SUMIF('JUNE (물량흐름)'!$C$13:$C$502,C54,'JUNE (물량흐름)'!$T$13:$T$502)+SUMIF('JUNE (물량흐름)'!$C$13:$C$502,C54,'JUNE (물량흐름)'!$V$13:$V$502)+SUMIF('JUNE (물량흐름)'!$C$13:$C$502,C54,'JUNE (물량흐름)'!$U$13:$U$502)-SUMIF('JUNE (물량흐름)'!$C$13:$C$502,C54,'JUNE (물량흐름)'!$Y$13:$Y$502)</f>
        <v>0</v>
      </c>
      <c r="Q54" s="6">
        <f t="shared" si="6"/>
        <v>0</v>
      </c>
      <c r="R54" s="6">
        <f>IF(ISERROR(VLOOKUP(#REF!,'WIP(재공품)'!$B$12:$AB$38,13,0)),0,VLOOKUP(#REF!,'WIP(재공품)'!$B$12:$AB$38,13,0))</f>
        <v>0</v>
      </c>
      <c r="S54" s="6">
        <f>IF(ISERROR(VLOOKUP(#REF!,'WIP(재공품)'!$B$12:$AB$38,10,0)),0,VLOOKUP(#REF!,'WIP(재공품)'!$B$12:$AB$38,10,0))</f>
        <v>0</v>
      </c>
      <c r="T54" s="6">
        <f>SUMIF('JUNE (물량흐름)'!$C$13:$C$502,'Overhead exp(제조경비)'!C54,'JUNE (물량흐름)'!$Y$13:$Y$502)</f>
        <v>0</v>
      </c>
      <c r="U54" s="6">
        <f t="shared" si="7"/>
        <v>0</v>
      </c>
      <c r="V54" s="6">
        <f>ROUND(SUMIF('JUNE (물량흐름)'!$C$13:$C$502,'Overhead exp(제조경비)'!C54,'JUNE (물량흐름)'!$N$13:$N$502),0)</f>
        <v>0</v>
      </c>
      <c r="W54" s="6">
        <f>ROUND(SUMIF('JUNE (물량흐름)'!$C$13:$C$502,'Overhead exp(제조경비)'!C54,'JUNE (물량흐름)'!$O$13:$O$502),0)</f>
        <v>0</v>
      </c>
      <c r="X54" s="6">
        <f>ROUND(SUMIF('JUNE (물량흐름)'!$C$13:$C$502,'Overhead exp(제조경비)'!C54,'JUNE (물량흐름)'!$P$13:$P$502),0)</f>
        <v>94</v>
      </c>
      <c r="Y54" s="6">
        <f t="shared" si="8"/>
        <v>94</v>
      </c>
      <c r="Z54" s="6">
        <f t="shared" si="9"/>
        <v>75</v>
      </c>
      <c r="AA54" s="6">
        <f t="shared" si="10"/>
        <v>1473108</v>
      </c>
      <c r="AB54" s="391">
        <f t="shared" si="11"/>
        <v>0</v>
      </c>
      <c r="AC54" s="391">
        <f t="shared" si="12"/>
        <v>0</v>
      </c>
      <c r="AE54" s="393"/>
    </row>
    <row r="55" spans="1:31" s="390" customFormat="1" ht="24" customHeight="1">
      <c r="A55" s="167">
        <v>44</v>
      </c>
      <c r="B55" s="20" t="str">
        <f>IFERROR(VLOOKUP(A55,'JUNE (물량흐름)'!$A$13:$C$502,2,0),0)</f>
        <v>ALFANI</v>
      </c>
      <c r="C55" s="272">
        <f>VLOOKUP(A55,'JUNE (물량흐름)'!$A$13:$C$502,3,0)</f>
        <v>100011101</v>
      </c>
      <c r="D55" s="6">
        <f>VLOOKUP(C55,'WIP(재공품)'!$B$12:$E$493,4,0)</f>
        <v>8163</v>
      </c>
      <c r="E55" s="6">
        <f>IFERROR(VLOOKUP(C55,O.B.JUNE!$AI$7:$AJ$448,2,0),0)</f>
        <v>0</v>
      </c>
      <c r="F55" s="6">
        <f>IFERROR(VLOOKUP(C55,O.B.JUNE!$AI$7:$AK$448,3,0),0)</f>
        <v>0</v>
      </c>
      <c r="G55" s="6">
        <f>IFERROR(VLOOKUP(C55,O.B.JUNE!$AI$7:$AL$448,4,0),0)</f>
        <v>21</v>
      </c>
      <c r="H55" s="6">
        <f t="shared" si="3"/>
        <v>21</v>
      </c>
      <c r="I55" s="6">
        <f>IFERROR(VLOOKUP(C55,O.B.JUNE!$AI$7:$AN$448,6,0),0)</f>
        <v>17</v>
      </c>
      <c r="J55" s="6"/>
      <c r="K55" s="6">
        <f>IFERROR(VLOOKUP(C55,O.B.JUNE!$AI$7:$AO$448,7,0),0)</f>
        <v>225860</v>
      </c>
      <c r="L55" s="6">
        <f>SUMIF('JUNE (물량흐름)'!$C$13:$C$488,'Overhead exp(제조경비)'!C55,'JUNE (물량흐름)'!$H$13:$H$493)+SUMIF('JUNE (물량흐름)'!$C$13:$C$493,'Overhead exp(제조경비)'!C55,'JUNE (물량흐름)'!$V$13:$V$493)</f>
        <v>0</v>
      </c>
      <c r="M55" s="6">
        <f t="shared" si="4"/>
        <v>0</v>
      </c>
      <c r="N55" s="6">
        <f t="shared" si="5"/>
        <v>0</v>
      </c>
      <c r="O55" s="6">
        <f t="shared" si="15"/>
        <v>0</v>
      </c>
      <c r="P55" s="6">
        <f>SUMIF('JUNE (물량흐름)'!$C$13:$C$502,C55,'JUNE (물량흐름)'!$T$13:$T$502)+SUMIF('JUNE (물량흐름)'!$C$13:$C$502,C55,'JUNE (물량흐름)'!$V$13:$V$502)+SUMIF('JUNE (물량흐름)'!$C$13:$C$502,C55,'JUNE (물량흐름)'!$U$13:$U$502)-SUMIF('JUNE (물량흐름)'!$C$13:$C$502,C55,'JUNE (물량흐름)'!$Y$13:$Y$502)</f>
        <v>0</v>
      </c>
      <c r="Q55" s="6">
        <f t="shared" si="6"/>
        <v>0</v>
      </c>
      <c r="R55" s="6">
        <f>IF(ISERROR(VLOOKUP(#REF!,'WIP(재공품)'!$B$12:$AB$38,13,0)),0,VLOOKUP(#REF!,'WIP(재공품)'!$B$12:$AB$38,13,0))</f>
        <v>0</v>
      </c>
      <c r="S55" s="6">
        <f>IF(ISERROR(VLOOKUP(#REF!,'WIP(재공품)'!$B$12:$AB$38,10,0)),0,VLOOKUP(#REF!,'WIP(재공품)'!$B$12:$AB$38,10,0))</f>
        <v>0</v>
      </c>
      <c r="T55" s="6">
        <f>SUMIF('JUNE (물량흐름)'!$C$13:$C$502,'Overhead exp(제조경비)'!C55,'JUNE (물량흐름)'!$Y$13:$Y$502)</f>
        <v>0</v>
      </c>
      <c r="U55" s="6">
        <f t="shared" si="7"/>
        <v>0</v>
      </c>
      <c r="V55" s="6">
        <f>ROUND(SUMIF('JUNE (물량흐름)'!$C$13:$C$502,'Overhead exp(제조경비)'!C55,'JUNE (물량흐름)'!$N$13:$N$502),0)</f>
        <v>0</v>
      </c>
      <c r="W55" s="6">
        <f>ROUND(SUMIF('JUNE (물량흐름)'!$C$13:$C$502,'Overhead exp(제조경비)'!C55,'JUNE (물량흐름)'!$O$13:$O$502),0)</f>
        <v>0</v>
      </c>
      <c r="X55" s="6">
        <f>ROUND(SUMIF('JUNE (물량흐름)'!$C$13:$C$502,'Overhead exp(제조경비)'!C55,'JUNE (물량흐름)'!$P$13:$P$502),0)</f>
        <v>21</v>
      </c>
      <c r="Y55" s="167">
        <f t="shared" si="8"/>
        <v>21</v>
      </c>
      <c r="Z55" s="167">
        <f t="shared" si="9"/>
        <v>17</v>
      </c>
      <c r="AA55" s="6">
        <f t="shared" si="10"/>
        <v>225860</v>
      </c>
      <c r="AB55" s="391">
        <f t="shared" si="11"/>
        <v>0</v>
      </c>
      <c r="AC55" s="391">
        <f t="shared" si="12"/>
        <v>0</v>
      </c>
      <c r="AE55" s="393"/>
    </row>
    <row r="56" spans="1:31" s="390" customFormat="1" ht="24" customHeight="1">
      <c r="A56" s="167">
        <v>45</v>
      </c>
      <c r="B56" s="20" t="str">
        <f>IFERROR(VLOOKUP(A56,'JUNE (물량흐름)'!$A$13:$C$502,2,0),0)</f>
        <v>ALFANI</v>
      </c>
      <c r="C56" s="272">
        <f>VLOOKUP(A56,'JUNE (물량흐름)'!$A$13:$C$502,3,0)</f>
        <v>100011102</v>
      </c>
      <c r="D56" s="6">
        <f>VLOOKUP(C56,'WIP(재공품)'!$B$12:$E$493,4,0)</f>
        <v>7936.2499999999991</v>
      </c>
      <c r="E56" s="6">
        <f>IFERROR(VLOOKUP(C56,O.B.JUNE!$AI$7:$AJ$448,2,0),0)</f>
        <v>0</v>
      </c>
      <c r="F56" s="6">
        <f>IFERROR(VLOOKUP(C56,O.B.JUNE!$AI$7:$AK$448,3,0),0)</f>
        <v>0</v>
      </c>
      <c r="G56" s="6">
        <f>IFERROR(VLOOKUP(C56,O.B.JUNE!$AI$7:$AL$448,4,0),0)</f>
        <v>31</v>
      </c>
      <c r="H56" s="6">
        <f t="shared" si="3"/>
        <v>31</v>
      </c>
      <c r="I56" s="6">
        <f>IFERROR(VLOOKUP(C56,O.B.JUNE!$AI$7:$AN$448,6,0),0)</f>
        <v>25</v>
      </c>
      <c r="J56" s="6"/>
      <c r="K56" s="6">
        <f>IFERROR(VLOOKUP(C56,O.B.JUNE!$AI$7:$AO$448,7,0),0)</f>
        <v>333795</v>
      </c>
      <c r="L56" s="6">
        <f>SUMIF('JUNE (물량흐름)'!$C$13:$C$488,'Overhead exp(제조경비)'!C56,'JUNE (물량흐름)'!$H$13:$H$493)+SUMIF('JUNE (물량흐름)'!$C$13:$C$493,'Overhead exp(제조경비)'!C56,'JUNE (물량흐름)'!$V$13:$V$493)</f>
        <v>0</v>
      </c>
      <c r="M56" s="6">
        <f t="shared" si="4"/>
        <v>0</v>
      </c>
      <c r="N56" s="6">
        <f t="shared" si="5"/>
        <v>0</v>
      </c>
      <c r="O56" s="6">
        <f t="shared" si="15"/>
        <v>0</v>
      </c>
      <c r="P56" s="6">
        <f>SUMIF('JUNE (물량흐름)'!$C$13:$C$502,C56,'JUNE (물량흐름)'!$T$13:$T$502)+SUMIF('JUNE (물량흐름)'!$C$13:$C$502,C56,'JUNE (물량흐름)'!$V$13:$V$502)+SUMIF('JUNE (물량흐름)'!$C$13:$C$502,C56,'JUNE (물량흐름)'!$U$13:$U$502)-SUMIF('JUNE (물량흐름)'!$C$13:$C$502,C56,'JUNE (물량흐름)'!$Y$13:$Y$502)</f>
        <v>0</v>
      </c>
      <c r="Q56" s="6">
        <f t="shared" si="6"/>
        <v>0</v>
      </c>
      <c r="R56" s="6">
        <f>IF(ISERROR(VLOOKUP(#REF!,'WIP(재공품)'!$B$12:$AB$38,13,0)),0,VLOOKUP(#REF!,'WIP(재공품)'!$B$12:$AB$38,13,0))</f>
        <v>0</v>
      </c>
      <c r="S56" s="6">
        <f>IF(ISERROR(VLOOKUP(#REF!,'WIP(재공품)'!$B$12:$AB$38,10,0)),0,VLOOKUP(#REF!,'WIP(재공품)'!$B$12:$AB$38,10,0))</f>
        <v>0</v>
      </c>
      <c r="T56" s="6">
        <f>SUMIF('JUNE (물량흐름)'!$C$13:$C$502,'Overhead exp(제조경비)'!C56,'JUNE (물량흐름)'!$Y$13:$Y$502)</f>
        <v>0</v>
      </c>
      <c r="U56" s="6">
        <f t="shared" si="7"/>
        <v>0</v>
      </c>
      <c r="V56" s="6">
        <f>ROUND(SUMIF('JUNE (물량흐름)'!$C$13:$C$502,'Overhead exp(제조경비)'!C56,'JUNE (물량흐름)'!$N$13:$N$502),0)</f>
        <v>0</v>
      </c>
      <c r="W56" s="6">
        <f>ROUND(SUMIF('JUNE (물량흐름)'!$C$13:$C$502,'Overhead exp(제조경비)'!C56,'JUNE (물량흐름)'!$O$13:$O$502),0)</f>
        <v>0</v>
      </c>
      <c r="X56" s="6">
        <f>ROUND(SUMIF('JUNE (물량흐름)'!$C$13:$C$502,'Overhead exp(제조경비)'!C56,'JUNE (물량흐름)'!$P$13:$P$502),0)</f>
        <v>31</v>
      </c>
      <c r="Y56" s="6">
        <f t="shared" si="8"/>
        <v>31</v>
      </c>
      <c r="Z56" s="6">
        <f t="shared" si="9"/>
        <v>25</v>
      </c>
      <c r="AA56" s="6">
        <f t="shared" si="10"/>
        <v>333795</v>
      </c>
      <c r="AB56" s="391">
        <f t="shared" si="11"/>
        <v>0</v>
      </c>
      <c r="AC56" s="391">
        <f t="shared" si="12"/>
        <v>0</v>
      </c>
      <c r="AE56" s="393"/>
    </row>
    <row r="57" spans="1:31" s="390" customFormat="1" ht="24" customHeight="1">
      <c r="A57" s="167">
        <v>46</v>
      </c>
      <c r="B57" s="20" t="str">
        <f>IFERROR(VLOOKUP(A57,'JUNE (물량흐름)'!$A$13:$C$502,2,0),0)</f>
        <v>ALFANI</v>
      </c>
      <c r="C57" s="272">
        <f>VLOOKUP(A57,'JUNE (물량흐름)'!$A$13:$C$502,3,0)</f>
        <v>2335</v>
      </c>
      <c r="D57" s="6">
        <f>VLOOKUP(C57,'WIP(재공품)'!$B$12:$E$493,4,0)</f>
        <v>8163</v>
      </c>
      <c r="E57" s="6">
        <f>IFERROR(VLOOKUP(C57,O.B.JUNE!$AI$7:$AJ$448,2,0),0)</f>
        <v>0</v>
      </c>
      <c r="F57" s="6">
        <f>IFERROR(VLOOKUP(C57,O.B.JUNE!$AI$7:$AK$448,3,0),0)</f>
        <v>328</v>
      </c>
      <c r="G57" s="6">
        <f>IFERROR(VLOOKUP(C57,O.B.JUNE!$AI$7:$AL$448,4,0),0)</f>
        <v>945</v>
      </c>
      <c r="H57" s="6">
        <f t="shared" si="3"/>
        <v>1273</v>
      </c>
      <c r="I57" s="6">
        <f>IFERROR(VLOOKUP(C57,O.B.JUNE!$AI$7:$AN$448,6,0),0)</f>
        <v>920</v>
      </c>
      <c r="J57" s="6"/>
      <c r="K57" s="6">
        <f>IFERROR(VLOOKUP(C57,O.B.JUNE!$AI$7:$AO$448,7,0),0)</f>
        <v>17204332</v>
      </c>
      <c r="L57" s="6">
        <f>SUMIF('JUNE (물량흐름)'!$C$13:$C$488,'Overhead exp(제조경비)'!C57,'JUNE (물량흐름)'!$H$13:$H$493)+SUMIF('JUNE (물량흐름)'!$C$13:$C$493,'Overhead exp(제조경비)'!C57,'JUNE (물량흐름)'!$V$13:$V$493)</f>
        <v>0</v>
      </c>
      <c r="M57" s="6">
        <f t="shared" si="4"/>
        <v>0</v>
      </c>
      <c r="N57" s="6">
        <f t="shared" si="5"/>
        <v>0</v>
      </c>
      <c r="O57" s="6">
        <f t="shared" si="15"/>
        <v>0</v>
      </c>
      <c r="P57" s="6">
        <f>SUMIF('JUNE (물량흐름)'!$C$13:$C$502,C57,'JUNE (물량흐름)'!$T$13:$T$502)+SUMIF('JUNE (물량흐름)'!$C$13:$C$502,C57,'JUNE (물량흐름)'!$V$13:$V$502)+SUMIF('JUNE (물량흐름)'!$C$13:$C$502,C57,'JUNE (물량흐름)'!$U$13:$U$502)-SUMIF('JUNE (물량흐름)'!$C$13:$C$502,C57,'JUNE (물량흐름)'!$Y$13:$Y$502)</f>
        <v>0</v>
      </c>
      <c r="Q57" s="6">
        <f t="shared" si="6"/>
        <v>0</v>
      </c>
      <c r="R57" s="6">
        <f>IF(ISERROR(VLOOKUP(#REF!,'WIP(재공품)'!$B$12:$AB$38,13,0)),0,VLOOKUP(#REF!,'WIP(재공품)'!$B$12:$AB$38,13,0))</f>
        <v>0</v>
      </c>
      <c r="S57" s="6">
        <f>IF(ISERROR(VLOOKUP(#REF!,'WIP(재공품)'!$B$12:$AB$38,10,0)),0,VLOOKUP(#REF!,'WIP(재공품)'!$B$12:$AB$38,10,0))</f>
        <v>0</v>
      </c>
      <c r="T57" s="6">
        <f>SUMIF('JUNE (물량흐름)'!$C$13:$C$502,'Overhead exp(제조경비)'!C57,'JUNE (물량흐름)'!$Y$13:$Y$502)</f>
        <v>0</v>
      </c>
      <c r="U57" s="6">
        <f t="shared" si="7"/>
        <v>0</v>
      </c>
      <c r="V57" s="6">
        <f>ROUND(SUMIF('JUNE (물량흐름)'!$C$13:$C$502,'Overhead exp(제조경비)'!C57,'JUNE (물량흐름)'!$N$13:$N$502),0)</f>
        <v>0</v>
      </c>
      <c r="W57" s="6">
        <f>ROUND(SUMIF('JUNE (물량흐름)'!$C$13:$C$502,'Overhead exp(제조경비)'!C57,'JUNE (물량흐름)'!$O$13:$O$502),0)</f>
        <v>4</v>
      </c>
      <c r="X57" s="6">
        <f>ROUND(SUMIF('JUNE (물량흐름)'!$C$13:$C$502,'Overhead exp(제조경비)'!C57,'JUNE (물량흐름)'!$P$13:$P$502),0)</f>
        <v>1269</v>
      </c>
      <c r="Y57" s="6">
        <f t="shared" si="8"/>
        <v>1273</v>
      </c>
      <c r="Z57" s="6">
        <f t="shared" si="9"/>
        <v>1017</v>
      </c>
      <c r="AA57" s="6">
        <f t="shared" si="10"/>
        <v>17204332</v>
      </c>
      <c r="AB57" s="391">
        <f t="shared" si="11"/>
        <v>0</v>
      </c>
      <c r="AC57" s="391">
        <f t="shared" si="12"/>
        <v>0</v>
      </c>
      <c r="AE57" s="393"/>
    </row>
    <row r="58" spans="1:31" s="390" customFormat="1" ht="24" customHeight="1">
      <c r="A58" s="167">
        <v>47</v>
      </c>
      <c r="B58" s="20" t="str">
        <f>IFERROR(VLOOKUP(A58,'JUNE (물량흐름)'!$A$13:$C$502,2,0),0)</f>
        <v>ALFANI</v>
      </c>
      <c r="C58" s="272">
        <f>VLOOKUP(A58,'JUNE (물량흐름)'!$A$13:$C$502,3,0)</f>
        <v>7220</v>
      </c>
      <c r="D58" s="6">
        <f>VLOOKUP(C58,'WIP(재공품)'!$B$12:$E$493,4,0)</f>
        <v>51472.25</v>
      </c>
      <c r="E58" s="6">
        <f>IFERROR(VLOOKUP(C58,O.B.JUNE!$AI$7:$AJ$448,2,0),0)</f>
        <v>0</v>
      </c>
      <c r="F58" s="6">
        <f>IFERROR(VLOOKUP(C58,O.B.JUNE!$AI$7:$AK$448,3,0),0)</f>
        <v>1281</v>
      </c>
      <c r="G58" s="6">
        <f>IFERROR(VLOOKUP(C58,O.B.JUNE!$AI$7:$AL$448,4,0),0)</f>
        <v>80</v>
      </c>
      <c r="H58" s="6">
        <f t="shared" si="3"/>
        <v>1361</v>
      </c>
      <c r="I58" s="6">
        <f>IFERROR(VLOOKUP(C58,O.B.JUNE!$AI$7:$AN$448,6,0),0)</f>
        <v>705</v>
      </c>
      <c r="J58" s="6"/>
      <c r="K58" s="6">
        <f>IFERROR(VLOOKUP(C58,O.B.JUNE!$AI$7:$AO$448,7,0),0)</f>
        <v>9711703</v>
      </c>
      <c r="L58" s="6">
        <f>SUMIF('JUNE (물량흐름)'!$C$13:$C$488,'Overhead exp(제조경비)'!C58,'JUNE (물량흐름)'!$H$13:$H$493)+SUMIF('JUNE (물량흐름)'!$C$13:$C$493,'Overhead exp(제조경비)'!C58,'JUNE (물량흐름)'!$V$13:$V$493)</f>
        <v>0</v>
      </c>
      <c r="M58" s="6">
        <f t="shared" si="4"/>
        <v>0</v>
      </c>
      <c r="N58" s="6">
        <f t="shared" si="5"/>
        <v>0</v>
      </c>
      <c r="O58" s="6">
        <f t="shared" si="15"/>
        <v>0</v>
      </c>
      <c r="P58" s="6">
        <f>SUMIF('JUNE (물량흐름)'!$C$13:$C$502,C58,'JUNE (물량흐름)'!$T$13:$T$502)+SUMIF('JUNE (물량흐름)'!$C$13:$C$502,C58,'JUNE (물량흐름)'!$V$13:$V$502)+SUMIF('JUNE (물량흐름)'!$C$13:$C$502,C58,'JUNE (물량흐름)'!$U$13:$U$502)-SUMIF('JUNE (물량흐름)'!$C$13:$C$502,C58,'JUNE (물량흐름)'!$Y$13:$Y$502)</f>
        <v>1140</v>
      </c>
      <c r="Q58" s="6">
        <f t="shared" si="6"/>
        <v>8134711</v>
      </c>
      <c r="R58" s="6">
        <f>IF(ISERROR(VLOOKUP(#REF!,'WIP(재공품)'!$B$12:$AB$38,13,0)),0,VLOOKUP(#REF!,'WIP(재공품)'!$B$12:$AB$38,13,0))</f>
        <v>0</v>
      </c>
      <c r="S58" s="6">
        <f>IF(ISERROR(VLOOKUP(#REF!,'WIP(재공품)'!$B$12:$AB$38,10,0)),0,VLOOKUP(#REF!,'WIP(재공품)'!$B$12:$AB$38,10,0))</f>
        <v>0</v>
      </c>
      <c r="T58" s="6">
        <f>SUMIF('JUNE (물량흐름)'!$C$13:$C$502,'Overhead exp(제조경비)'!C58,'JUNE (물량흐름)'!$Y$13:$Y$502)</f>
        <v>2</v>
      </c>
      <c r="U58" s="6">
        <f t="shared" si="7"/>
        <v>14271</v>
      </c>
      <c r="V58" s="6">
        <f>ROUND(SUMIF('JUNE (물량흐름)'!$C$13:$C$502,'Overhead exp(제조경비)'!C58,'JUNE (물량흐름)'!$N$13:$N$502),0)</f>
        <v>0</v>
      </c>
      <c r="W58" s="6">
        <f>ROUND(SUMIF('JUNE (물량흐름)'!$C$13:$C$502,'Overhead exp(제조경비)'!C58,'JUNE (물량흐름)'!$O$13:$O$502),0)</f>
        <v>101</v>
      </c>
      <c r="X58" s="6">
        <f>ROUND(SUMIF('JUNE (물량흐름)'!$C$13:$C$502,'Overhead exp(제조경비)'!C58,'JUNE (물량흐름)'!$P$13:$P$502),0)</f>
        <v>118</v>
      </c>
      <c r="Y58" s="6">
        <f t="shared" si="8"/>
        <v>219</v>
      </c>
      <c r="Z58" s="6">
        <f t="shared" si="9"/>
        <v>145</v>
      </c>
      <c r="AA58" s="6">
        <f t="shared" si="10"/>
        <v>1562721</v>
      </c>
      <c r="AB58" s="391">
        <f t="shared" si="11"/>
        <v>0</v>
      </c>
      <c r="AC58" s="391">
        <f t="shared" si="12"/>
        <v>0</v>
      </c>
      <c r="AE58" s="393"/>
    </row>
    <row r="59" spans="1:31" s="390" customFormat="1" ht="24" customHeight="1">
      <c r="A59" s="167">
        <v>48</v>
      </c>
      <c r="B59" s="20" t="str">
        <f>IFERROR(VLOOKUP(A59,'JUNE (물량흐름)'!$A$13:$C$502,2,0),0)</f>
        <v>ALFANI</v>
      </c>
      <c r="C59" s="272" t="str">
        <f>VLOOKUP(A59,'JUNE (물량흐름)'!$A$13:$C$502,3,0)</f>
        <v>7D400</v>
      </c>
      <c r="D59" s="6">
        <f>VLOOKUP(C59,'WIP(재공품)'!$B$12:$E$493,4,0)</f>
        <v>24942.500000000004</v>
      </c>
      <c r="E59" s="6">
        <f>IFERROR(VLOOKUP(C59,O.B.JUNE!$AI$7:$AJ$448,2,0),0)</f>
        <v>0</v>
      </c>
      <c r="F59" s="6">
        <f>IFERROR(VLOOKUP(C59,O.B.JUNE!$AI$7:$AK$448,3,0),0)</f>
        <v>0</v>
      </c>
      <c r="G59" s="6">
        <f>IFERROR(VLOOKUP(C59,O.B.JUNE!$AI$7:$AL$448,4,0),0)</f>
        <v>72</v>
      </c>
      <c r="H59" s="6">
        <f t="shared" si="3"/>
        <v>72</v>
      </c>
      <c r="I59" s="6">
        <f>IFERROR(VLOOKUP(C59,O.B.JUNE!$AI$7:$AN$448,6,0),0)</f>
        <v>58</v>
      </c>
      <c r="J59" s="6"/>
      <c r="K59" s="6">
        <f>IFERROR(VLOOKUP(C59,O.B.JUNE!$AI$7:$AO$448,7,0),0)</f>
        <v>2696096</v>
      </c>
      <c r="L59" s="6">
        <f>SUMIF('JUNE (물량흐름)'!$C$13:$C$488,'Overhead exp(제조경비)'!C59,'JUNE (물량흐름)'!$H$13:$H$493)+SUMIF('JUNE (물량흐름)'!$C$13:$C$493,'Overhead exp(제조경비)'!C59,'JUNE (물량흐름)'!$V$13:$V$493)</f>
        <v>0</v>
      </c>
      <c r="M59" s="6">
        <f t="shared" si="4"/>
        <v>0</v>
      </c>
      <c r="N59" s="6">
        <f t="shared" si="5"/>
        <v>0</v>
      </c>
      <c r="O59" s="6">
        <f t="shared" si="15"/>
        <v>0</v>
      </c>
      <c r="P59" s="6">
        <f>SUMIF('JUNE (물량흐름)'!$C$13:$C$502,C59,'JUNE (물량흐름)'!$T$13:$T$502)+SUMIF('JUNE (물량흐름)'!$C$13:$C$502,C59,'JUNE (물량흐름)'!$V$13:$V$502)+SUMIF('JUNE (물량흐름)'!$C$13:$C$502,C59,'JUNE (물량흐름)'!$U$13:$U$502)-SUMIF('JUNE (물량흐름)'!$C$13:$C$502,C59,'JUNE (물량흐름)'!$Y$13:$Y$502)</f>
        <v>72</v>
      </c>
      <c r="Q59" s="6">
        <f t="shared" si="6"/>
        <v>2696096</v>
      </c>
      <c r="R59" s="6">
        <f>IF(ISERROR(VLOOKUP(#REF!,'WIP(재공품)'!$B$12:$AB$38,13,0)),0,VLOOKUP(#REF!,'WIP(재공품)'!$B$12:$AB$38,13,0))</f>
        <v>0</v>
      </c>
      <c r="S59" s="6">
        <f>IF(ISERROR(VLOOKUP(#REF!,'WIP(재공품)'!$B$12:$AB$38,10,0)),0,VLOOKUP(#REF!,'WIP(재공품)'!$B$12:$AB$38,10,0))</f>
        <v>0</v>
      </c>
      <c r="T59" s="6">
        <f>SUMIF('JUNE (물량흐름)'!$C$13:$C$502,'Overhead exp(제조경비)'!C59,'JUNE (물량흐름)'!$Y$13:$Y$502)</f>
        <v>0</v>
      </c>
      <c r="U59" s="6">
        <f t="shared" si="7"/>
        <v>0</v>
      </c>
      <c r="V59" s="6">
        <f>ROUND(SUMIF('JUNE (물량흐름)'!$C$13:$C$502,'Overhead exp(제조경비)'!C59,'JUNE (물량흐름)'!$N$13:$N$502),0)</f>
        <v>0</v>
      </c>
      <c r="W59" s="6">
        <f>ROUND(SUMIF('JUNE (물량흐름)'!$C$13:$C$502,'Overhead exp(제조경비)'!C59,'JUNE (물량흐름)'!$O$13:$O$502),0)</f>
        <v>0</v>
      </c>
      <c r="X59" s="6">
        <f>ROUND(SUMIF('JUNE (물량흐름)'!$C$13:$C$502,'Overhead exp(제조경비)'!C59,'JUNE (물량흐름)'!$P$13:$P$502),0)</f>
        <v>0</v>
      </c>
      <c r="Y59" s="6">
        <f t="shared" si="8"/>
        <v>0</v>
      </c>
      <c r="Z59" s="6">
        <f t="shared" si="9"/>
        <v>0</v>
      </c>
      <c r="AA59" s="6">
        <f t="shared" si="10"/>
        <v>0</v>
      </c>
      <c r="AB59" s="391">
        <f t="shared" si="11"/>
        <v>0</v>
      </c>
      <c r="AC59" s="391">
        <f t="shared" si="12"/>
        <v>0</v>
      </c>
      <c r="AE59" s="393"/>
    </row>
    <row r="60" spans="1:31" s="390" customFormat="1" ht="24" customHeight="1">
      <c r="A60" s="167">
        <v>49</v>
      </c>
      <c r="B60" s="20" t="str">
        <f>IFERROR(VLOOKUP(A60,'JUNE (물량흐름)'!$A$13:$C$502,2,0),0)</f>
        <v>ALFANI</v>
      </c>
      <c r="C60" s="272" t="str">
        <f>VLOOKUP(A60,'JUNE (물량흐름)'!$A$13:$C$502,3,0)</f>
        <v>7D701</v>
      </c>
      <c r="D60" s="6">
        <f>VLOOKUP(C60,'WIP(재공품)'!$B$12:$E$493,4,0)</f>
        <v>7936.2499999999991</v>
      </c>
      <c r="E60" s="6">
        <f>IFERROR(VLOOKUP(C60,O.B.JUNE!$AI$7:$AJ$448,2,0),0)</f>
        <v>0</v>
      </c>
      <c r="F60" s="6">
        <f>IFERROR(VLOOKUP(C60,O.B.JUNE!$AI$7:$AK$448,3,0),0)</f>
        <v>0</v>
      </c>
      <c r="G60" s="6">
        <f>IFERROR(VLOOKUP(C60,O.B.JUNE!$AI$7:$AL$448,4,0),0)</f>
        <v>180</v>
      </c>
      <c r="H60" s="6">
        <f t="shared" si="3"/>
        <v>180</v>
      </c>
      <c r="I60" s="6">
        <f>IFERROR(VLOOKUP(C60,O.B.JUNE!$AI$7:$AN$448,6,0),0)</f>
        <v>144</v>
      </c>
      <c r="J60" s="6"/>
      <c r="K60" s="6">
        <f>IFERROR(VLOOKUP(C60,O.B.JUNE!$AI$7:$AO$448,7,0),0)</f>
        <v>3427737</v>
      </c>
      <c r="L60" s="6">
        <f>SUMIF('JUNE (물량흐름)'!$C$13:$C$488,'Overhead exp(제조경비)'!C60,'JUNE (물량흐름)'!$H$13:$H$493)+SUMIF('JUNE (물량흐름)'!$C$13:$C$493,'Overhead exp(제조경비)'!C60,'JUNE (물량흐름)'!$V$13:$V$493)</f>
        <v>0</v>
      </c>
      <c r="M60" s="6">
        <f t="shared" si="4"/>
        <v>0</v>
      </c>
      <c r="N60" s="6">
        <f t="shared" si="5"/>
        <v>0</v>
      </c>
      <c r="O60" s="6">
        <f t="shared" si="15"/>
        <v>0</v>
      </c>
      <c r="P60" s="6">
        <f>SUMIF('JUNE (물량흐름)'!$C$13:$C$502,C60,'JUNE (물량흐름)'!$T$13:$T$502)+SUMIF('JUNE (물량흐름)'!$C$13:$C$502,C60,'JUNE (물량흐름)'!$V$13:$V$502)+SUMIF('JUNE (물량흐름)'!$C$13:$C$502,C60,'JUNE (물량흐름)'!$U$13:$U$502)-SUMIF('JUNE (물량흐름)'!$C$13:$C$502,C60,'JUNE (물량흐름)'!$Y$13:$Y$502)</f>
        <v>180</v>
      </c>
      <c r="Q60" s="6">
        <f t="shared" si="6"/>
        <v>3427737</v>
      </c>
      <c r="R60" s="6">
        <f>IF(ISERROR(VLOOKUP(#REF!,'WIP(재공품)'!$B$12:$AB$38,13,0)),0,VLOOKUP(#REF!,'WIP(재공품)'!$B$12:$AB$38,13,0))</f>
        <v>0</v>
      </c>
      <c r="S60" s="6">
        <f>IF(ISERROR(VLOOKUP(#REF!,'WIP(재공품)'!$B$12:$AB$38,10,0)),0,VLOOKUP(#REF!,'WIP(재공품)'!$B$12:$AB$38,10,0))</f>
        <v>0</v>
      </c>
      <c r="T60" s="6">
        <f>SUMIF('JUNE (물량흐름)'!$C$13:$C$502,'Overhead exp(제조경비)'!C60,'JUNE (물량흐름)'!$Y$13:$Y$502)</f>
        <v>0</v>
      </c>
      <c r="U60" s="6">
        <f t="shared" si="7"/>
        <v>0</v>
      </c>
      <c r="V60" s="6">
        <f>ROUND(SUMIF('JUNE (물량흐름)'!$C$13:$C$502,'Overhead exp(제조경비)'!C60,'JUNE (물량흐름)'!$N$13:$N$502),0)</f>
        <v>0</v>
      </c>
      <c r="W60" s="6">
        <f>ROUND(SUMIF('JUNE (물량흐름)'!$C$13:$C$502,'Overhead exp(제조경비)'!C60,'JUNE (물량흐름)'!$O$13:$O$502),0)</f>
        <v>0</v>
      </c>
      <c r="X60" s="6">
        <f>ROUND(SUMIF('JUNE (물량흐름)'!$C$13:$C$502,'Overhead exp(제조경비)'!C60,'JUNE (물량흐름)'!$P$13:$P$502),0)</f>
        <v>0</v>
      </c>
      <c r="Y60" s="6">
        <f t="shared" si="8"/>
        <v>0</v>
      </c>
      <c r="Z60" s="6">
        <f t="shared" si="9"/>
        <v>0</v>
      </c>
      <c r="AA60" s="6">
        <f t="shared" si="10"/>
        <v>0</v>
      </c>
      <c r="AB60" s="391">
        <f t="shared" si="11"/>
        <v>0</v>
      </c>
      <c r="AC60" s="391">
        <f t="shared" si="12"/>
        <v>0</v>
      </c>
      <c r="AE60" s="393"/>
    </row>
    <row r="61" spans="1:31" s="390" customFormat="1" ht="24" customHeight="1">
      <c r="A61" s="167">
        <v>50</v>
      </c>
      <c r="B61" s="20" t="str">
        <f>IFERROR(VLOOKUP(A61,'JUNE (물량흐름)'!$A$13:$C$502,2,0),0)</f>
        <v>ALFANI</v>
      </c>
      <c r="C61" s="272" t="str">
        <f>VLOOKUP(A61,'JUNE (물량흐름)'!$A$13:$C$502,3,0)</f>
        <v>7D707</v>
      </c>
      <c r="D61" s="6">
        <f>VLOOKUP(C61,'WIP(재공품)'!$B$12:$E$493,4,0)</f>
        <v>7936.2499999999991</v>
      </c>
      <c r="E61" s="6">
        <f>IFERROR(VLOOKUP(C61,O.B.JUNE!$AI$7:$AJ$448,2,0),0)</f>
        <v>0</v>
      </c>
      <c r="F61" s="6">
        <f>IFERROR(VLOOKUP(C61,O.B.JUNE!$AI$7:$AK$448,3,0),0)</f>
        <v>0</v>
      </c>
      <c r="G61" s="6">
        <f>IFERROR(VLOOKUP(C61,O.B.JUNE!$AI$7:$AL$448,4,0),0)</f>
        <v>387</v>
      </c>
      <c r="H61" s="6">
        <f t="shared" si="3"/>
        <v>387</v>
      </c>
      <c r="I61" s="6">
        <f>IFERROR(VLOOKUP(C61,O.B.JUNE!$AI$7:$AN$448,6,0),0)</f>
        <v>310</v>
      </c>
      <c r="J61" s="6"/>
      <c r="K61" s="6">
        <f>IFERROR(VLOOKUP(C61,O.B.JUNE!$AI$7:$AO$448,7,0),0)</f>
        <v>14390822</v>
      </c>
      <c r="L61" s="6">
        <f>SUMIF('JUNE (물량흐름)'!$C$13:$C$488,'Overhead exp(제조경비)'!C61,'JUNE (물량흐름)'!$H$13:$H$493)+SUMIF('JUNE (물량흐름)'!$C$13:$C$493,'Overhead exp(제조경비)'!C61,'JUNE (물량흐름)'!$V$13:$V$493)</f>
        <v>0</v>
      </c>
      <c r="M61" s="6">
        <f t="shared" si="4"/>
        <v>0</v>
      </c>
      <c r="N61" s="6">
        <f t="shared" si="5"/>
        <v>0</v>
      </c>
      <c r="O61" s="6">
        <f t="shared" si="15"/>
        <v>0</v>
      </c>
      <c r="P61" s="6">
        <f>SUMIF('JUNE (물량흐름)'!$C$13:$C$502,C61,'JUNE (물량흐름)'!$T$13:$T$502)+SUMIF('JUNE (물량흐름)'!$C$13:$C$502,C61,'JUNE (물량흐름)'!$V$13:$V$502)+SUMIF('JUNE (물량흐름)'!$C$13:$C$502,C61,'JUNE (물량흐름)'!$U$13:$U$502)-SUMIF('JUNE (물량흐름)'!$C$13:$C$502,C61,'JUNE (물량흐름)'!$Y$13:$Y$502)</f>
        <v>0</v>
      </c>
      <c r="Q61" s="6">
        <f t="shared" si="6"/>
        <v>0</v>
      </c>
      <c r="R61" s="6">
        <f>IF(ISERROR(VLOOKUP(#REF!,'WIP(재공품)'!$B$12:$AB$38,13,0)),0,VLOOKUP(#REF!,'WIP(재공품)'!$B$12:$AB$38,13,0))</f>
        <v>0</v>
      </c>
      <c r="S61" s="6">
        <f>IF(ISERROR(VLOOKUP(#REF!,'WIP(재공품)'!$B$12:$AB$38,10,0)),0,VLOOKUP(#REF!,'WIP(재공품)'!$B$12:$AB$38,10,0))</f>
        <v>0</v>
      </c>
      <c r="T61" s="6">
        <f>SUMIF('JUNE (물량흐름)'!$C$13:$C$502,'Overhead exp(제조경비)'!C61,'JUNE (물량흐름)'!$Y$13:$Y$502)</f>
        <v>0</v>
      </c>
      <c r="U61" s="6">
        <f t="shared" si="7"/>
        <v>0</v>
      </c>
      <c r="V61" s="6">
        <f>ROUND(SUMIF('JUNE (물량흐름)'!$C$13:$C$502,'Overhead exp(제조경비)'!C61,'JUNE (물량흐름)'!$N$13:$N$502),0)</f>
        <v>0</v>
      </c>
      <c r="W61" s="6">
        <f>ROUND(SUMIF('JUNE (물량흐름)'!$C$13:$C$502,'Overhead exp(제조경비)'!C61,'JUNE (물량흐름)'!$O$13:$O$502),0)</f>
        <v>0</v>
      </c>
      <c r="X61" s="6">
        <f>ROUND(SUMIF('JUNE (물량흐름)'!$C$13:$C$502,'Overhead exp(제조경비)'!C61,'JUNE (물량흐름)'!$P$13:$P$502),0)</f>
        <v>387</v>
      </c>
      <c r="Y61" s="6">
        <f t="shared" si="8"/>
        <v>387</v>
      </c>
      <c r="Z61" s="6">
        <f t="shared" si="9"/>
        <v>310</v>
      </c>
      <c r="AA61" s="6">
        <f t="shared" si="10"/>
        <v>14390822</v>
      </c>
      <c r="AB61" s="391">
        <f t="shared" si="11"/>
        <v>0</v>
      </c>
      <c r="AC61" s="391">
        <f t="shared" si="12"/>
        <v>0</v>
      </c>
      <c r="AE61" s="393"/>
    </row>
    <row r="62" spans="1:31" s="390" customFormat="1" ht="24" customHeight="1">
      <c r="A62" s="167">
        <v>51</v>
      </c>
      <c r="B62" s="20" t="str">
        <f>IFERROR(VLOOKUP(A62,'JUNE (물량흐름)'!$A$13:$C$502,2,0),0)</f>
        <v>ALFANI</v>
      </c>
      <c r="C62" s="439" t="str">
        <f>VLOOKUP(A62,'JUNE (물량흐름)'!$A$13:$C$502,3,0)</f>
        <v>7D902</v>
      </c>
      <c r="D62" s="6">
        <f>VLOOKUP(C62,'WIP(재공품)'!$B$12:$E$493,4,0)</f>
        <v>62809.75</v>
      </c>
      <c r="E62" s="6">
        <f>IFERROR(VLOOKUP(C62,O.B.JUNE!$AI$7:$AJ$448,2,0),0)</f>
        <v>0</v>
      </c>
      <c r="F62" s="6">
        <f>IFERROR(VLOOKUP(C62,O.B.JUNE!$AI$7:$AK$448,3,0),0)</f>
        <v>0</v>
      </c>
      <c r="G62" s="6">
        <f>IFERROR(VLOOKUP(C62,O.B.JUNE!$AI$7:$AL$448,4,0),0)</f>
        <v>92</v>
      </c>
      <c r="H62" s="6">
        <f t="shared" si="3"/>
        <v>92</v>
      </c>
      <c r="I62" s="6">
        <f>IFERROR(VLOOKUP(C62,O.B.JUNE!$AI$7:$AN$448,6,0),0)</f>
        <v>74</v>
      </c>
      <c r="J62" s="6"/>
      <c r="K62" s="6">
        <f>IFERROR(VLOOKUP(C62,O.B.JUNE!$AI$7:$AO$448,7,0),0)</f>
        <v>1629401</v>
      </c>
      <c r="L62" s="6">
        <f>SUMIF('JUNE (물량흐름)'!$C$13:$C$488,'Overhead exp(제조경비)'!C62,'JUNE (물량흐름)'!$H$13:$H$493)+SUMIF('JUNE (물량흐름)'!$C$13:$C$493,'Overhead exp(제조경비)'!C62,'JUNE (물량흐름)'!$V$13:$V$493)</f>
        <v>0</v>
      </c>
      <c r="M62" s="6">
        <f t="shared" si="4"/>
        <v>0</v>
      </c>
      <c r="N62" s="6">
        <f t="shared" si="5"/>
        <v>0</v>
      </c>
      <c r="O62" s="6">
        <f t="shared" si="15"/>
        <v>0</v>
      </c>
      <c r="P62" s="6">
        <f>SUMIF('JUNE (물량흐름)'!$C$13:$C$502,C62,'JUNE (물량흐름)'!$T$13:$T$502)+SUMIF('JUNE (물량흐름)'!$C$13:$C$502,C62,'JUNE (물량흐름)'!$V$13:$V$502)+SUMIF('JUNE (물량흐름)'!$C$13:$C$502,C62,'JUNE (물량흐름)'!$U$13:$U$502)-SUMIF('JUNE (물량흐름)'!$C$13:$C$502,C62,'JUNE (물량흐름)'!$Y$13:$Y$502)</f>
        <v>0</v>
      </c>
      <c r="Q62" s="6">
        <f t="shared" si="6"/>
        <v>0</v>
      </c>
      <c r="R62" s="6">
        <f>IF(ISERROR(VLOOKUP(#REF!,'WIP(재공품)'!$B$12:$AB$38,13,0)),0,VLOOKUP(#REF!,'WIP(재공품)'!$B$12:$AB$38,13,0))</f>
        <v>0</v>
      </c>
      <c r="S62" s="6">
        <f>IF(ISERROR(VLOOKUP(#REF!,'WIP(재공품)'!$B$12:$AB$38,10,0)),0,VLOOKUP(#REF!,'WIP(재공품)'!$B$12:$AB$38,10,0))</f>
        <v>0</v>
      </c>
      <c r="T62" s="6">
        <f>SUMIF('JUNE (물량흐름)'!$C$13:$C$502,'Overhead exp(제조경비)'!C62,'JUNE (물량흐름)'!$Y$13:$Y$502)</f>
        <v>0</v>
      </c>
      <c r="U62" s="6">
        <f t="shared" si="7"/>
        <v>0</v>
      </c>
      <c r="V62" s="6">
        <f>ROUND(SUMIF('JUNE (물량흐름)'!$C$13:$C$502,'Overhead exp(제조경비)'!C62,'JUNE (물량흐름)'!$N$13:$N$502),0)</f>
        <v>0</v>
      </c>
      <c r="W62" s="6">
        <f>ROUND(SUMIF('JUNE (물량흐름)'!$C$13:$C$502,'Overhead exp(제조경비)'!C62,'JUNE (물량흐름)'!$O$13:$O$502),0)</f>
        <v>0</v>
      </c>
      <c r="X62" s="6">
        <f>ROUND(SUMIF('JUNE (물량흐름)'!$C$13:$C$502,'Overhead exp(제조경비)'!C62,'JUNE (물량흐름)'!$P$13:$P$502),0)</f>
        <v>92</v>
      </c>
      <c r="Y62" s="167">
        <f t="shared" si="8"/>
        <v>92</v>
      </c>
      <c r="Z62" s="167">
        <f t="shared" si="9"/>
        <v>74</v>
      </c>
      <c r="AA62" s="6">
        <f t="shared" si="10"/>
        <v>1629401</v>
      </c>
      <c r="AB62" s="391">
        <f t="shared" si="11"/>
        <v>0</v>
      </c>
      <c r="AC62" s="391">
        <f t="shared" si="12"/>
        <v>0</v>
      </c>
      <c r="AE62" s="393"/>
    </row>
    <row r="63" spans="1:31" s="390" customFormat="1" ht="24" customHeight="1">
      <c r="A63" s="167">
        <v>52</v>
      </c>
      <c r="B63" s="20" t="str">
        <f>IFERROR(VLOOKUP(A63,'JUNE (물량흐름)'!$A$13:$C$502,2,0),0)</f>
        <v>ALFANI</v>
      </c>
      <c r="C63" s="272" t="str">
        <f>VLOOKUP(A63,'JUNE (물량흐름)'!$A$13:$C$502,3,0)</f>
        <v>7N714</v>
      </c>
      <c r="D63" s="6">
        <f>VLOOKUP(C63,'WIP(재공품)'!$B$12:$E$493,4,0)</f>
        <v>8163</v>
      </c>
      <c r="E63" s="6">
        <f>IFERROR(VLOOKUP(C63,O.B.JUNE!$AI$7:$AJ$448,2,0),0)</f>
        <v>0</v>
      </c>
      <c r="F63" s="6">
        <f>IFERROR(VLOOKUP(C63,O.B.JUNE!$AI$7:$AK$448,3,0),0)</f>
        <v>0</v>
      </c>
      <c r="G63" s="6">
        <f>IFERROR(VLOOKUP(C63,O.B.JUNE!$AI$7:$AL$448,4,0),0)</f>
        <v>100</v>
      </c>
      <c r="H63" s="6">
        <f t="shared" si="3"/>
        <v>100</v>
      </c>
      <c r="I63" s="6">
        <f>IFERROR(VLOOKUP(C63,O.B.JUNE!$AI$7:$AN$448,6,0),0)</f>
        <v>80</v>
      </c>
      <c r="J63" s="6"/>
      <c r="K63" s="6">
        <f>IFERROR(VLOOKUP(C63,O.B.JUNE!$AI$7:$AO$448,7,0),0)</f>
        <v>3613284</v>
      </c>
      <c r="L63" s="6">
        <f>SUMIF('JUNE (물량흐름)'!$C$13:$C$488,'Overhead exp(제조경비)'!C63,'JUNE (물량흐름)'!$H$13:$H$493)+SUMIF('JUNE (물량흐름)'!$C$13:$C$493,'Overhead exp(제조경비)'!C63,'JUNE (물량흐름)'!$V$13:$V$493)</f>
        <v>0</v>
      </c>
      <c r="M63" s="6">
        <f t="shared" si="4"/>
        <v>0</v>
      </c>
      <c r="N63" s="6">
        <f t="shared" si="5"/>
        <v>0</v>
      </c>
      <c r="O63" s="6">
        <f t="shared" si="15"/>
        <v>0</v>
      </c>
      <c r="P63" s="6">
        <f>SUMIF('JUNE (물량흐름)'!$C$13:$C$502,C63,'JUNE (물량흐름)'!$T$13:$T$502)+SUMIF('JUNE (물량흐름)'!$C$13:$C$502,C63,'JUNE (물량흐름)'!$V$13:$V$502)+SUMIF('JUNE (물량흐름)'!$C$13:$C$502,C63,'JUNE (물량흐름)'!$U$13:$U$502)-SUMIF('JUNE (물량흐름)'!$C$13:$C$502,C63,'JUNE (물량흐름)'!$Y$13:$Y$502)</f>
        <v>100</v>
      </c>
      <c r="Q63" s="6">
        <f t="shared" si="6"/>
        <v>3613284</v>
      </c>
      <c r="R63" s="6">
        <f>IF(ISERROR(VLOOKUP(#REF!,'WIP(재공품)'!$B$12:$AB$38,13,0)),0,VLOOKUP(#REF!,'WIP(재공품)'!$B$12:$AB$38,13,0))</f>
        <v>0</v>
      </c>
      <c r="S63" s="6">
        <f>IF(ISERROR(VLOOKUP(#REF!,'WIP(재공품)'!$B$12:$AB$38,10,0)),0,VLOOKUP(#REF!,'WIP(재공품)'!$B$12:$AB$38,10,0))</f>
        <v>0</v>
      </c>
      <c r="T63" s="6">
        <f>SUMIF('JUNE (물량흐름)'!$C$13:$C$502,'Overhead exp(제조경비)'!C63,'JUNE (물량흐름)'!$Y$13:$Y$502)</f>
        <v>0</v>
      </c>
      <c r="U63" s="6">
        <f t="shared" si="7"/>
        <v>0</v>
      </c>
      <c r="V63" s="6">
        <f>ROUND(SUMIF('JUNE (물량흐름)'!$C$13:$C$502,'Overhead exp(제조경비)'!C63,'JUNE (물량흐름)'!$N$13:$N$502),0)</f>
        <v>0</v>
      </c>
      <c r="W63" s="6">
        <f>ROUND(SUMIF('JUNE (물량흐름)'!$C$13:$C$502,'Overhead exp(제조경비)'!C63,'JUNE (물량흐름)'!$O$13:$O$502),0)</f>
        <v>0</v>
      </c>
      <c r="X63" s="6">
        <f>ROUND(SUMIF('JUNE (물량흐름)'!$C$13:$C$502,'Overhead exp(제조경비)'!C63,'JUNE (물량흐름)'!$P$13:$P$502),0)</f>
        <v>0</v>
      </c>
      <c r="Y63" s="167">
        <f t="shared" si="8"/>
        <v>0</v>
      </c>
      <c r="Z63" s="167">
        <f t="shared" si="9"/>
        <v>0</v>
      </c>
      <c r="AA63" s="6">
        <f>IFERROR(ROUND(IF(OR(Z63&lt;=0,($I63+$M63)=0),$Z63*($K63+$O63)/($I63+$M63),$Y63*($K63+$O63)/($H63+$L63)),0),0)</f>
        <v>0</v>
      </c>
      <c r="AB63" s="391">
        <f t="shared" si="11"/>
        <v>0</v>
      </c>
      <c r="AC63" s="391">
        <f t="shared" si="12"/>
        <v>0</v>
      </c>
      <c r="AE63" s="393"/>
    </row>
    <row r="64" spans="1:31" s="390" customFormat="1" ht="24" customHeight="1">
      <c r="A64" s="167">
        <v>53</v>
      </c>
      <c r="B64" s="20" t="str">
        <f>IFERROR(VLOOKUP(A64,'JUNE (물량흐름)'!$A$13:$C$502,2,0),0)</f>
        <v>ANN TAYLOR</v>
      </c>
      <c r="C64" s="272">
        <f>VLOOKUP(A64,'JUNE (물량흐름)'!$A$13:$C$502,3,0)</f>
        <v>448556</v>
      </c>
      <c r="D64" s="6">
        <f>VLOOKUP(C64,'WIP(재공품)'!$B$12:$E$493,4,0)</f>
        <v>8163</v>
      </c>
      <c r="E64" s="6">
        <f>IFERROR(VLOOKUP(C64,O.B.JUNE!$AI$7:$AJ$448,2,0),0)</f>
        <v>0</v>
      </c>
      <c r="F64" s="6">
        <f>IFERROR(VLOOKUP(C64,O.B.JUNE!$AI$7:$AK$448,3,0),0)</f>
        <v>0</v>
      </c>
      <c r="G64" s="6">
        <f>IFERROR(VLOOKUP(C64,O.B.JUNE!$AI$7:$AL$448,4,0),0)</f>
        <v>56</v>
      </c>
      <c r="H64" s="6">
        <f t="shared" si="3"/>
        <v>56</v>
      </c>
      <c r="I64" s="6">
        <f>IFERROR(VLOOKUP(C64,O.B.JUNE!$AI$7:$AN$448,6,0),0)</f>
        <v>45</v>
      </c>
      <c r="J64" s="6"/>
      <c r="K64" s="6">
        <f>IFERROR(VLOOKUP(C64,O.B.JUNE!$AI$7:$AO$448,7,0),0)</f>
        <v>1463983</v>
      </c>
      <c r="L64" s="6">
        <f>SUMIF('JUNE (물량흐름)'!$C$13:$C$488,'Overhead exp(제조경비)'!C64,'JUNE (물량흐름)'!$H$13:$H$493)+SUMIF('JUNE (물량흐름)'!$C$13:$C$493,'Overhead exp(제조경비)'!C64,'JUNE (물량흐름)'!$V$13:$V$493)</f>
        <v>0</v>
      </c>
      <c r="M64" s="6">
        <f t="shared" si="4"/>
        <v>0</v>
      </c>
      <c r="N64" s="6">
        <f t="shared" si="5"/>
        <v>0</v>
      </c>
      <c r="O64" s="6">
        <f t="shared" si="15"/>
        <v>0</v>
      </c>
      <c r="P64" s="6">
        <f>SUMIF('JUNE (물량흐름)'!$C$13:$C$502,C64,'JUNE (물량흐름)'!$T$13:$T$502)+SUMIF('JUNE (물량흐름)'!$C$13:$C$502,C64,'JUNE (물량흐름)'!$V$13:$V$502)+SUMIF('JUNE (물량흐름)'!$C$13:$C$502,C64,'JUNE (물량흐름)'!$U$13:$U$502)-SUMIF('JUNE (물량흐름)'!$C$13:$C$502,C64,'JUNE (물량흐름)'!$Y$13:$Y$502)</f>
        <v>56</v>
      </c>
      <c r="Q64" s="6">
        <f t="shared" si="6"/>
        <v>1463983</v>
      </c>
      <c r="R64" s="6">
        <f>IF(ISERROR(VLOOKUP(#REF!,'WIP(재공품)'!$B$12:$AB$38,13,0)),0,VLOOKUP(#REF!,'WIP(재공품)'!$B$12:$AB$38,13,0))</f>
        <v>0</v>
      </c>
      <c r="S64" s="6">
        <f>IF(ISERROR(VLOOKUP(#REF!,'WIP(재공품)'!$B$12:$AB$38,10,0)),0,VLOOKUP(#REF!,'WIP(재공품)'!$B$12:$AB$38,10,0))</f>
        <v>0</v>
      </c>
      <c r="T64" s="6">
        <f>SUMIF('JUNE (물량흐름)'!$C$13:$C$502,'Overhead exp(제조경비)'!C64,'JUNE (물량흐름)'!$Y$13:$Y$502)</f>
        <v>0</v>
      </c>
      <c r="U64" s="6">
        <f t="shared" si="7"/>
        <v>0</v>
      </c>
      <c r="V64" s="6">
        <f>ROUND(SUMIF('JUNE (물량흐름)'!$C$13:$C$502,'Overhead exp(제조경비)'!C64,'JUNE (물량흐름)'!$N$13:$N$502),0)</f>
        <v>0</v>
      </c>
      <c r="W64" s="6">
        <f>ROUND(SUMIF('JUNE (물량흐름)'!$C$13:$C$502,'Overhead exp(제조경비)'!C64,'JUNE (물량흐름)'!$O$13:$O$502),0)</f>
        <v>0</v>
      </c>
      <c r="X64" s="6">
        <f>ROUND(SUMIF('JUNE (물량흐름)'!$C$13:$C$502,'Overhead exp(제조경비)'!C64,'JUNE (물량흐름)'!$P$13:$P$502),0)</f>
        <v>0</v>
      </c>
      <c r="Y64" s="6">
        <f t="shared" si="8"/>
        <v>0</v>
      </c>
      <c r="Z64" s="6">
        <f t="shared" si="9"/>
        <v>0</v>
      </c>
      <c r="AA64" s="6">
        <f>IFERROR(ROUND(IF(OR(Z64&lt;=0,($I64+$M64)=0),$Z64*($K64+$O64)/($I64+$M64),$Y64*($K64+$O64)/($H64+$L64)),0),0)</f>
        <v>0</v>
      </c>
      <c r="AB64" s="391">
        <f t="shared" si="11"/>
        <v>0</v>
      </c>
      <c r="AC64" s="391">
        <f t="shared" si="12"/>
        <v>0</v>
      </c>
      <c r="AE64" s="393"/>
    </row>
    <row r="65" spans="1:31" s="390" customFormat="1" ht="24" customHeight="1">
      <c r="A65" s="167">
        <v>54</v>
      </c>
      <c r="B65" s="20" t="str">
        <f>IFERROR(VLOOKUP(A65,'JUNE (물량흐름)'!$A$13:$C$502,2,0),0)</f>
        <v>ANN TAYLOR</v>
      </c>
      <c r="C65" s="272">
        <f>VLOOKUP(A65,'JUNE (물량흐름)'!$A$13:$C$502,3,0)</f>
        <v>454819</v>
      </c>
      <c r="D65" s="6">
        <f>VLOOKUP(C65,'WIP(재공품)'!$B$12:$E$493,4,0)</f>
        <v>7936.2499999999991</v>
      </c>
      <c r="E65" s="6">
        <f>IFERROR(VLOOKUP(C65,O.B.JUNE!$AI$7:$AJ$448,2,0),0)</f>
        <v>0</v>
      </c>
      <c r="F65" s="6">
        <f>IFERROR(VLOOKUP(C65,O.B.JUNE!$AI$7:$AK$448,3,0),0)</f>
        <v>0</v>
      </c>
      <c r="G65" s="6">
        <f>IFERROR(VLOOKUP(C65,O.B.JUNE!$AI$7:$AL$448,4,0),0)</f>
        <v>121</v>
      </c>
      <c r="H65" s="6">
        <f t="shared" si="3"/>
        <v>121</v>
      </c>
      <c r="I65" s="6">
        <f>IFERROR(VLOOKUP(C65,O.B.JUNE!$AI$7:$AN$448,6,0),0)</f>
        <v>97</v>
      </c>
      <c r="J65" s="6"/>
      <c r="K65" s="6">
        <f>IFERROR(VLOOKUP(C65,O.B.JUNE!$AI$7:$AO$448,7,0),0)</f>
        <v>3728892</v>
      </c>
      <c r="L65" s="6">
        <f>SUMIF('JUNE (물량흐름)'!$C$13:$C$488,'Overhead exp(제조경비)'!C65,'JUNE (물량흐름)'!$H$13:$H$493)+SUMIF('JUNE (물량흐름)'!$C$13:$C$493,'Overhead exp(제조경비)'!C65,'JUNE (물량흐름)'!$V$13:$V$493)</f>
        <v>0</v>
      </c>
      <c r="M65" s="6">
        <f t="shared" si="4"/>
        <v>0</v>
      </c>
      <c r="N65" s="6">
        <f t="shared" si="5"/>
        <v>0</v>
      </c>
      <c r="O65" s="6">
        <f t="shared" si="15"/>
        <v>0</v>
      </c>
      <c r="P65" s="6">
        <f>SUMIF('JUNE (물량흐름)'!$C$13:$C$502,C65,'JUNE (물량흐름)'!$T$13:$T$502)+SUMIF('JUNE (물량흐름)'!$C$13:$C$502,C65,'JUNE (물량흐름)'!$V$13:$V$502)+SUMIF('JUNE (물량흐름)'!$C$13:$C$502,C65,'JUNE (물량흐름)'!$U$13:$U$502)-SUMIF('JUNE (물량흐름)'!$C$13:$C$502,C65,'JUNE (물량흐름)'!$Y$13:$Y$502)</f>
        <v>121</v>
      </c>
      <c r="Q65" s="6">
        <f t="shared" si="6"/>
        <v>3728892</v>
      </c>
      <c r="R65" s="6">
        <f>IF(ISERROR(VLOOKUP(#REF!,'WIP(재공품)'!$B$12:$AB$38,13,0)),0,VLOOKUP(#REF!,'WIP(재공품)'!$B$12:$AB$38,13,0))</f>
        <v>0</v>
      </c>
      <c r="S65" s="6">
        <f>IF(ISERROR(VLOOKUP(#REF!,'WIP(재공품)'!$B$12:$AB$38,10,0)),0,VLOOKUP(#REF!,'WIP(재공품)'!$B$12:$AB$38,10,0))</f>
        <v>0</v>
      </c>
      <c r="T65" s="6">
        <f>SUMIF('JUNE (물량흐름)'!$C$13:$C$502,'Overhead exp(제조경비)'!C65,'JUNE (물량흐름)'!$Y$13:$Y$502)</f>
        <v>0</v>
      </c>
      <c r="U65" s="6">
        <f t="shared" si="7"/>
        <v>0</v>
      </c>
      <c r="V65" s="6">
        <f>ROUND(SUMIF('JUNE (물량흐름)'!$C$13:$C$502,'Overhead exp(제조경비)'!C65,'JUNE (물량흐름)'!$N$13:$N$502),0)</f>
        <v>0</v>
      </c>
      <c r="W65" s="6">
        <f>ROUND(SUMIF('JUNE (물량흐름)'!$C$13:$C$502,'Overhead exp(제조경비)'!C65,'JUNE (물량흐름)'!$O$13:$O$502),0)</f>
        <v>0</v>
      </c>
      <c r="X65" s="6">
        <f>ROUND(SUMIF('JUNE (물량흐름)'!$C$13:$C$502,'Overhead exp(제조경비)'!C65,'JUNE (물량흐름)'!$P$13:$P$502),0)</f>
        <v>0</v>
      </c>
      <c r="Y65" s="6">
        <f t="shared" si="8"/>
        <v>0</v>
      </c>
      <c r="Z65" s="6">
        <f t="shared" si="9"/>
        <v>0</v>
      </c>
      <c r="AA65" s="6">
        <f t="shared" si="10"/>
        <v>0</v>
      </c>
      <c r="AB65" s="391">
        <f t="shared" si="11"/>
        <v>0</v>
      </c>
      <c r="AC65" s="391">
        <f t="shared" si="12"/>
        <v>0</v>
      </c>
      <c r="AE65" s="393"/>
    </row>
    <row r="66" spans="1:31" s="390" customFormat="1" ht="24" customHeight="1">
      <c r="A66" s="167">
        <v>55</v>
      </c>
      <c r="B66" s="20" t="str">
        <f>IFERROR(VLOOKUP(A66,'JUNE (물량흐름)'!$A$13:$C$502,2,0),0)</f>
        <v>ANN TAYLOR</v>
      </c>
      <c r="C66" s="272">
        <f>VLOOKUP(A66,'JUNE (물량흐름)'!$A$13:$C$502,3,0)</f>
        <v>457050</v>
      </c>
      <c r="D66" s="6">
        <f>VLOOKUP(C66,'WIP(재공품)'!$B$12:$E$493,4,0)</f>
        <v>7936.2499999999991</v>
      </c>
      <c r="E66" s="6">
        <f>IFERROR(VLOOKUP(C66,O.B.JUNE!$AI$7:$AJ$448,2,0),0)</f>
        <v>0</v>
      </c>
      <c r="F66" s="6">
        <f>IFERROR(VLOOKUP(C66,O.B.JUNE!$AI$7:$AK$448,3,0),0)</f>
        <v>0</v>
      </c>
      <c r="G66" s="6">
        <f>IFERROR(VLOOKUP(C66,O.B.JUNE!$AI$7:$AL$448,4,0),0)</f>
        <v>262</v>
      </c>
      <c r="H66" s="6">
        <f t="shared" si="3"/>
        <v>262</v>
      </c>
      <c r="I66" s="6">
        <f>IFERROR(VLOOKUP(C66,O.B.JUNE!$AI$7:$AN$448,6,0),0)</f>
        <v>210</v>
      </c>
      <c r="J66" s="6"/>
      <c r="K66" s="6">
        <f>IFERROR(VLOOKUP(C66,O.B.JUNE!$AI$7:$AO$448,7,0),0)</f>
        <v>6026415</v>
      </c>
      <c r="L66" s="6">
        <f>SUMIF('JUNE (물량흐름)'!$C$13:$C$488,'Overhead exp(제조경비)'!C66,'JUNE (물량흐름)'!$H$13:$H$493)+SUMIF('JUNE (물량흐름)'!$C$13:$C$493,'Overhead exp(제조경비)'!C66,'JUNE (물량흐름)'!$V$13:$V$493)</f>
        <v>0</v>
      </c>
      <c r="M66" s="6">
        <f t="shared" si="4"/>
        <v>0</v>
      </c>
      <c r="N66" s="6">
        <f t="shared" si="5"/>
        <v>0</v>
      </c>
      <c r="O66" s="6">
        <f t="shared" si="15"/>
        <v>0</v>
      </c>
      <c r="P66" s="6">
        <f>SUMIF('JUNE (물량흐름)'!$C$13:$C$502,C66,'JUNE (물량흐름)'!$T$13:$T$502)+SUMIF('JUNE (물량흐름)'!$C$13:$C$502,C66,'JUNE (물량흐름)'!$V$13:$V$502)+SUMIF('JUNE (물량흐름)'!$C$13:$C$502,C66,'JUNE (물량흐름)'!$U$13:$U$502)-SUMIF('JUNE (물량흐름)'!$C$13:$C$502,C66,'JUNE (물량흐름)'!$Y$13:$Y$502)</f>
        <v>0</v>
      </c>
      <c r="Q66" s="6">
        <f t="shared" si="6"/>
        <v>0</v>
      </c>
      <c r="R66" s="6">
        <f>IF(ISERROR(VLOOKUP(#REF!,'WIP(재공품)'!$B$12:$AB$38,13,0)),0,VLOOKUP(#REF!,'WIP(재공품)'!$B$12:$AB$38,13,0))</f>
        <v>0</v>
      </c>
      <c r="S66" s="6">
        <f>IF(ISERROR(VLOOKUP(#REF!,'WIP(재공품)'!$B$12:$AB$38,10,0)),0,VLOOKUP(#REF!,'WIP(재공품)'!$B$12:$AB$38,10,0))</f>
        <v>0</v>
      </c>
      <c r="T66" s="6">
        <f>SUMIF('JUNE (물량흐름)'!$C$13:$C$502,'Overhead exp(제조경비)'!C66,'JUNE (물량흐름)'!$Y$13:$Y$502)</f>
        <v>0</v>
      </c>
      <c r="U66" s="6">
        <f t="shared" si="7"/>
        <v>0</v>
      </c>
      <c r="V66" s="6">
        <f>ROUND(SUMIF('JUNE (물량흐름)'!$C$13:$C$502,'Overhead exp(제조경비)'!C66,'JUNE (물량흐름)'!$N$13:$N$502),0)</f>
        <v>0</v>
      </c>
      <c r="W66" s="6">
        <f>ROUND(SUMIF('JUNE (물량흐름)'!$C$13:$C$502,'Overhead exp(제조경비)'!C66,'JUNE (물량흐름)'!$O$13:$O$502),0)</f>
        <v>0</v>
      </c>
      <c r="X66" s="6">
        <f>ROUND(SUMIF('JUNE (물량흐름)'!$C$13:$C$502,'Overhead exp(제조경비)'!C66,'JUNE (물량흐름)'!$P$13:$P$502),0)</f>
        <v>262</v>
      </c>
      <c r="Y66" s="167">
        <f t="shared" si="8"/>
        <v>262</v>
      </c>
      <c r="Z66" s="167">
        <f t="shared" si="9"/>
        <v>210</v>
      </c>
      <c r="AA66" s="6">
        <f t="shared" si="10"/>
        <v>6026415</v>
      </c>
      <c r="AB66" s="391">
        <f t="shared" si="11"/>
        <v>0</v>
      </c>
      <c r="AC66" s="391">
        <f t="shared" si="12"/>
        <v>0</v>
      </c>
      <c r="AE66" s="393"/>
    </row>
    <row r="67" spans="1:31" s="390" customFormat="1" ht="24" customHeight="1">
      <c r="A67" s="167">
        <v>56</v>
      </c>
      <c r="B67" s="20" t="str">
        <f>IFERROR(VLOOKUP(A67,'JUNE (물량흐름)'!$A$13:$C$502,2,0),0)</f>
        <v>INC</v>
      </c>
      <c r="C67" s="272">
        <f>VLOOKUP(A67,'JUNE (물량흐름)'!$A$13:$C$502,3,0)</f>
        <v>100007750</v>
      </c>
      <c r="D67" s="6">
        <f>VLOOKUP(C67,'WIP(재공품)'!$B$12:$E$493,4,0)</f>
        <v>7936.2499999999991</v>
      </c>
      <c r="E67" s="6">
        <f>IFERROR(VLOOKUP(C67,O.B.JUNE!$AI$7:$AJ$448,2,0),0)</f>
        <v>0</v>
      </c>
      <c r="F67" s="6">
        <f>IFERROR(VLOOKUP(C67,O.B.JUNE!$AI$7:$AK$448,3,0),0)</f>
        <v>0</v>
      </c>
      <c r="G67" s="6">
        <f>IFERROR(VLOOKUP(C67,O.B.JUNE!$AI$7:$AL$448,4,0),0)</f>
        <v>42</v>
      </c>
      <c r="H67" s="6">
        <f t="shared" si="3"/>
        <v>42</v>
      </c>
      <c r="I67" s="6">
        <f>IFERROR(VLOOKUP(C67,O.B.JUNE!$AI$7:$AN$448,6,0),0)</f>
        <v>34</v>
      </c>
      <c r="J67" s="6"/>
      <c r="K67" s="6">
        <f>IFERROR(VLOOKUP(C67,O.B.JUNE!$AI$7:$AO$448,7,0),0)</f>
        <v>1232762</v>
      </c>
      <c r="L67" s="6">
        <f>SUMIF('JUNE (물량흐름)'!$C$13:$C$488,'Overhead exp(제조경비)'!C67,'JUNE (물량흐름)'!$H$13:$H$493)+SUMIF('JUNE (물량흐름)'!$C$13:$C$493,'Overhead exp(제조경비)'!C67,'JUNE (물량흐름)'!$V$13:$V$493)</f>
        <v>0</v>
      </c>
      <c r="M67" s="6">
        <f t="shared" si="4"/>
        <v>0</v>
      </c>
      <c r="N67" s="6">
        <f t="shared" si="5"/>
        <v>0</v>
      </c>
      <c r="O67" s="6">
        <f t="shared" si="15"/>
        <v>0</v>
      </c>
      <c r="P67" s="6">
        <f>SUMIF('JUNE (물량흐름)'!$C$13:$C$502,C67,'JUNE (물량흐름)'!$T$13:$T$502)+SUMIF('JUNE (물량흐름)'!$C$13:$C$502,C67,'JUNE (물량흐름)'!$V$13:$V$502)+SUMIF('JUNE (물량흐름)'!$C$13:$C$502,C67,'JUNE (물량흐름)'!$U$13:$U$502)-SUMIF('JUNE (물량흐름)'!$C$13:$C$502,C67,'JUNE (물량흐름)'!$Y$13:$Y$502)</f>
        <v>42</v>
      </c>
      <c r="Q67" s="6">
        <f t="shared" si="6"/>
        <v>1232762</v>
      </c>
      <c r="R67" s="6">
        <f>IF(ISERROR(VLOOKUP(#REF!,'WIP(재공품)'!$B$12:$AB$38,13,0)),0,VLOOKUP(#REF!,'WIP(재공품)'!$B$12:$AB$38,13,0))</f>
        <v>0</v>
      </c>
      <c r="S67" s="6">
        <f>IF(ISERROR(VLOOKUP(#REF!,'WIP(재공품)'!$B$12:$AB$38,10,0)),0,VLOOKUP(#REF!,'WIP(재공품)'!$B$12:$AB$38,10,0))</f>
        <v>0</v>
      </c>
      <c r="T67" s="6">
        <f>SUMIF('JUNE (물량흐름)'!$C$13:$C$502,'Overhead exp(제조경비)'!C67,'JUNE (물량흐름)'!$Y$13:$Y$502)</f>
        <v>0</v>
      </c>
      <c r="U67" s="6">
        <f t="shared" si="7"/>
        <v>0</v>
      </c>
      <c r="V67" s="6">
        <f>ROUND(SUMIF('JUNE (물량흐름)'!$C$13:$C$502,'Overhead exp(제조경비)'!C67,'JUNE (물량흐름)'!$N$13:$N$502),0)</f>
        <v>0</v>
      </c>
      <c r="W67" s="6">
        <f>ROUND(SUMIF('JUNE (물량흐름)'!$C$13:$C$502,'Overhead exp(제조경비)'!C67,'JUNE (물량흐름)'!$O$13:$O$502),0)</f>
        <v>0</v>
      </c>
      <c r="X67" s="6">
        <f>ROUND(SUMIF('JUNE (물량흐름)'!$C$13:$C$502,'Overhead exp(제조경비)'!C67,'JUNE (물량흐름)'!$P$13:$P$502),0)</f>
        <v>0</v>
      </c>
      <c r="Y67" s="6">
        <f t="shared" si="8"/>
        <v>0</v>
      </c>
      <c r="Z67" s="6">
        <f t="shared" si="9"/>
        <v>0</v>
      </c>
      <c r="AA67" s="6">
        <f t="shared" si="10"/>
        <v>0</v>
      </c>
      <c r="AB67" s="391">
        <f t="shared" si="11"/>
        <v>0</v>
      </c>
      <c r="AC67" s="391">
        <f t="shared" si="12"/>
        <v>0</v>
      </c>
      <c r="AE67" s="393"/>
    </row>
    <row r="68" spans="1:31" s="390" customFormat="1" ht="24" customHeight="1">
      <c r="A68" s="167">
        <v>57</v>
      </c>
      <c r="B68" s="20" t="str">
        <f>IFERROR(VLOOKUP(A68,'JUNE (물량흐름)'!$A$13:$C$502,2,0),0)</f>
        <v>INC</v>
      </c>
      <c r="C68" s="272">
        <f>VLOOKUP(A68,'JUNE (물량흐름)'!$A$13:$C$502,3,0)</f>
        <v>100008168</v>
      </c>
      <c r="D68" s="6">
        <f>VLOOKUP(C68,'WIP(재공품)'!$B$12:$E$493,4,0)</f>
        <v>49885.000000000007</v>
      </c>
      <c r="E68" s="6">
        <f>IFERROR(VLOOKUP(C68,O.B.JUNE!$AI$7:$AJ$448,2,0),0)</f>
        <v>0</v>
      </c>
      <c r="F68" s="6">
        <f>IFERROR(VLOOKUP(C68,O.B.JUNE!$AI$7:$AK$448,3,0),0)</f>
        <v>0</v>
      </c>
      <c r="G68" s="6">
        <f>IFERROR(VLOOKUP(C68,O.B.JUNE!$AI$7:$AL$448,4,0),0)</f>
        <v>94</v>
      </c>
      <c r="H68" s="6">
        <f t="shared" si="3"/>
        <v>94</v>
      </c>
      <c r="I68" s="6">
        <f>IFERROR(VLOOKUP(C68,O.B.JUNE!$AI$7:$AN$448,6,0),0)</f>
        <v>75</v>
      </c>
      <c r="J68" s="6"/>
      <c r="K68" s="6">
        <f>IFERROR(VLOOKUP(C68,O.B.JUNE!$AI$7:$AO$448,7,0),0)</f>
        <v>2935858</v>
      </c>
      <c r="L68" s="6">
        <f>SUMIF('JUNE (물량흐름)'!$C$13:$C$488,'Overhead exp(제조경비)'!C68,'JUNE (물량흐름)'!$H$13:$H$493)+SUMIF('JUNE (물량흐름)'!$C$13:$C$493,'Overhead exp(제조경비)'!C68,'JUNE (물량흐름)'!$V$13:$V$493)</f>
        <v>0</v>
      </c>
      <c r="M68" s="6">
        <f t="shared" si="4"/>
        <v>0</v>
      </c>
      <c r="N68" s="6">
        <f t="shared" si="5"/>
        <v>0</v>
      </c>
      <c r="O68" s="6">
        <f t="shared" si="15"/>
        <v>0</v>
      </c>
      <c r="P68" s="6">
        <f>SUMIF('JUNE (물량흐름)'!$C$13:$C$502,C68,'JUNE (물량흐름)'!$T$13:$T$502)+SUMIF('JUNE (물량흐름)'!$C$13:$C$502,C68,'JUNE (물량흐름)'!$V$13:$V$502)+SUMIF('JUNE (물량흐름)'!$C$13:$C$502,C68,'JUNE (물량흐름)'!$U$13:$U$502)-SUMIF('JUNE (물량흐름)'!$C$13:$C$502,C68,'JUNE (물량흐름)'!$Y$13:$Y$502)</f>
        <v>94</v>
      </c>
      <c r="Q68" s="6">
        <f t="shared" si="6"/>
        <v>2935858</v>
      </c>
      <c r="R68" s="6">
        <f>IF(ISERROR(VLOOKUP(#REF!,'WIP(재공품)'!$B$12:$AB$38,13,0)),0,VLOOKUP(#REF!,'WIP(재공품)'!$B$12:$AB$38,13,0))</f>
        <v>0</v>
      </c>
      <c r="S68" s="6">
        <f>IF(ISERROR(VLOOKUP(#REF!,'WIP(재공품)'!$B$12:$AB$38,10,0)),0,VLOOKUP(#REF!,'WIP(재공품)'!$B$12:$AB$38,10,0))</f>
        <v>0</v>
      </c>
      <c r="T68" s="6">
        <f>SUMIF('JUNE (물량흐름)'!$C$13:$C$502,'Overhead exp(제조경비)'!C68,'JUNE (물량흐름)'!$Y$13:$Y$502)</f>
        <v>0</v>
      </c>
      <c r="U68" s="6">
        <f t="shared" si="7"/>
        <v>0</v>
      </c>
      <c r="V68" s="6">
        <f>ROUND(SUMIF('JUNE (물량흐름)'!$C$13:$C$502,'Overhead exp(제조경비)'!C68,'JUNE (물량흐름)'!$N$13:$N$502),0)</f>
        <v>0</v>
      </c>
      <c r="W68" s="6">
        <f>ROUND(SUMIF('JUNE (물량흐름)'!$C$13:$C$502,'Overhead exp(제조경비)'!C68,'JUNE (물량흐름)'!$O$13:$O$502),0)</f>
        <v>0</v>
      </c>
      <c r="X68" s="6">
        <f>ROUND(SUMIF('JUNE (물량흐름)'!$C$13:$C$502,'Overhead exp(제조경비)'!C68,'JUNE (물량흐름)'!$P$13:$P$502),0)</f>
        <v>0</v>
      </c>
      <c r="Y68" s="6">
        <f t="shared" si="8"/>
        <v>0</v>
      </c>
      <c r="Z68" s="6">
        <f t="shared" si="9"/>
        <v>0</v>
      </c>
      <c r="AA68" s="6">
        <f t="shared" si="10"/>
        <v>0</v>
      </c>
      <c r="AB68" s="391">
        <f t="shared" si="11"/>
        <v>0</v>
      </c>
      <c r="AC68" s="391">
        <f t="shared" si="12"/>
        <v>0</v>
      </c>
      <c r="AE68" s="393"/>
    </row>
    <row r="69" spans="1:31" s="390" customFormat="1" ht="24" customHeight="1">
      <c r="A69" s="167">
        <v>58</v>
      </c>
      <c r="B69" s="20" t="str">
        <f>IFERROR(VLOOKUP(A69,'JUNE (물량흐름)'!$A$13:$C$502,2,0),0)</f>
        <v>INC</v>
      </c>
      <c r="C69" s="272" t="str">
        <f>VLOOKUP(A69,'JUNE (물량흐름)'!$A$13:$C$502,3,0)</f>
        <v>10010195(7D324)</v>
      </c>
      <c r="D69" s="6">
        <f>VLOOKUP(C69,'WIP(재공품)'!$B$12:$E$493,4,0)</f>
        <v>7936.2499999999991</v>
      </c>
      <c r="E69" s="6">
        <f>IFERROR(VLOOKUP(C69,O.B.JUNE!$AI$7:$AJ$448,2,0),0)</f>
        <v>0</v>
      </c>
      <c r="F69" s="6">
        <f>IFERROR(VLOOKUP(C69,O.B.JUNE!$AI$7:$AK$448,3,0),0)</f>
        <v>0</v>
      </c>
      <c r="G69" s="6">
        <f>IFERROR(VLOOKUP(C69,O.B.JUNE!$AI$7:$AL$448,4,0),0)</f>
        <v>48</v>
      </c>
      <c r="H69" s="6">
        <f t="shared" si="3"/>
        <v>48</v>
      </c>
      <c r="I69" s="6">
        <f>IFERROR(VLOOKUP(C69,O.B.JUNE!$AI$7:$AN$448,6,0),0)</f>
        <v>38</v>
      </c>
      <c r="J69" s="6"/>
      <c r="K69" s="6">
        <f>IFERROR(VLOOKUP(C69,O.B.JUNE!$AI$7:$AO$448,7,0),0)</f>
        <v>1952345</v>
      </c>
      <c r="L69" s="6">
        <f>SUMIF('JUNE (물량흐름)'!$C$13:$C$488,'Overhead exp(제조경비)'!C69,'JUNE (물량흐름)'!$H$13:$H$493)+SUMIF('JUNE (물량흐름)'!$C$13:$C$493,'Overhead exp(제조경비)'!C69,'JUNE (물량흐름)'!$V$13:$V$493)</f>
        <v>0</v>
      </c>
      <c r="M69" s="6">
        <f t="shared" si="4"/>
        <v>0</v>
      </c>
      <c r="N69" s="6">
        <f t="shared" si="5"/>
        <v>0</v>
      </c>
      <c r="O69" s="6">
        <f t="shared" si="15"/>
        <v>0</v>
      </c>
      <c r="P69" s="6">
        <f>SUMIF('JUNE (물량흐름)'!$C$13:$C$502,C69,'JUNE (물량흐름)'!$T$13:$T$502)+SUMIF('JUNE (물량흐름)'!$C$13:$C$502,C69,'JUNE (물량흐름)'!$V$13:$V$502)+SUMIF('JUNE (물량흐름)'!$C$13:$C$502,C69,'JUNE (물량흐름)'!$U$13:$U$502)-SUMIF('JUNE (물량흐름)'!$C$13:$C$502,C69,'JUNE (물량흐름)'!$Y$13:$Y$502)</f>
        <v>48</v>
      </c>
      <c r="Q69" s="6">
        <f t="shared" si="6"/>
        <v>1952345</v>
      </c>
      <c r="R69" s="6">
        <f>IF(ISERROR(VLOOKUP(#REF!,'WIP(재공품)'!$B$12:$AB$38,13,0)),0,VLOOKUP(#REF!,'WIP(재공품)'!$B$12:$AB$38,13,0))</f>
        <v>0</v>
      </c>
      <c r="S69" s="6">
        <f>IF(ISERROR(VLOOKUP(#REF!,'WIP(재공품)'!$B$12:$AB$38,10,0)),0,VLOOKUP(#REF!,'WIP(재공품)'!$B$12:$AB$38,10,0))</f>
        <v>0</v>
      </c>
      <c r="T69" s="6">
        <f>SUMIF('JUNE (물량흐름)'!$C$13:$C$502,'Overhead exp(제조경비)'!C69,'JUNE (물량흐름)'!$Y$13:$Y$502)</f>
        <v>0</v>
      </c>
      <c r="U69" s="6">
        <f t="shared" si="7"/>
        <v>0</v>
      </c>
      <c r="V69" s="6">
        <f>ROUND(SUMIF('JUNE (물량흐름)'!$C$13:$C$502,'Overhead exp(제조경비)'!C69,'JUNE (물량흐름)'!$N$13:$N$502),0)</f>
        <v>0</v>
      </c>
      <c r="W69" s="6">
        <f>ROUND(SUMIF('JUNE (물량흐름)'!$C$13:$C$502,'Overhead exp(제조경비)'!C69,'JUNE (물량흐름)'!$O$13:$O$502),0)</f>
        <v>0</v>
      </c>
      <c r="X69" s="6">
        <f>ROUND(SUMIF('JUNE (물량흐름)'!$C$13:$C$502,'Overhead exp(제조경비)'!C69,'JUNE (물량흐름)'!$P$13:$P$502),0)</f>
        <v>0</v>
      </c>
      <c r="Y69" s="6">
        <f t="shared" si="8"/>
        <v>0</v>
      </c>
      <c r="Z69" s="6">
        <f t="shared" si="9"/>
        <v>0</v>
      </c>
      <c r="AA69" s="6">
        <f t="shared" si="10"/>
        <v>0</v>
      </c>
      <c r="AB69" s="391">
        <f t="shared" si="11"/>
        <v>0</v>
      </c>
      <c r="AC69" s="391">
        <f t="shared" si="12"/>
        <v>0</v>
      </c>
      <c r="AE69" s="393"/>
    </row>
    <row r="70" spans="1:31" s="390" customFormat="1" ht="24" customHeight="1">
      <c r="A70" s="167">
        <v>59</v>
      </c>
      <c r="B70" s="20" t="str">
        <f>IFERROR(VLOOKUP(A70,'JUNE (물량흐름)'!$A$13:$C$502,2,0),0)</f>
        <v>INC</v>
      </c>
      <c r="C70" s="272" t="str">
        <f>VLOOKUP(A70,'JUNE (물량흐름)'!$A$13:$C$502,3,0)</f>
        <v>6D398</v>
      </c>
      <c r="D70" s="6">
        <f>VLOOKUP(C70,'WIP(재공품)'!$B$12:$E$493,4,0)</f>
        <v>72106.5</v>
      </c>
      <c r="E70" s="6">
        <f>IFERROR(VLOOKUP(C70,O.B.JUNE!$AI$7:$AJ$448,2,0),0)</f>
        <v>1789</v>
      </c>
      <c r="F70" s="6">
        <f>IFERROR(VLOOKUP(C70,O.B.JUNE!$AI$7:$AK$448,3,0),0)</f>
        <v>941</v>
      </c>
      <c r="G70" s="6">
        <f>IFERROR(VLOOKUP(C70,O.B.JUNE!$AI$7:$AL$448,4,0),0)</f>
        <v>816</v>
      </c>
      <c r="H70" s="6">
        <f t="shared" si="3"/>
        <v>3546</v>
      </c>
      <c r="I70" s="6">
        <f>IFERROR(VLOOKUP(C70,O.B.JUNE!$AI$7:$AN$448,6,0),0)</f>
        <v>1481</v>
      </c>
      <c r="J70" s="6"/>
      <c r="K70" s="6">
        <f>IFERROR(VLOOKUP(C70,O.B.JUNE!$AI$7:$AO$448,7,0),0)</f>
        <v>122728657</v>
      </c>
      <c r="L70" s="6">
        <f>SUMIF('JUNE (물량흐름)'!$C$13:$C$488,'Overhead exp(제조경비)'!C70,'JUNE (물량흐름)'!$H$13:$H$493)+SUMIF('JUNE (물량흐름)'!$C$13:$C$493,'Overhead exp(제조경비)'!C70,'JUNE (물량흐름)'!$V$13:$V$493)</f>
        <v>10072</v>
      </c>
      <c r="M70" s="6">
        <f t="shared" si="4"/>
        <v>10334</v>
      </c>
      <c r="N70" s="6">
        <f t="shared" si="5"/>
        <v>745148571</v>
      </c>
      <c r="O70" s="6">
        <f t="shared" si="15"/>
        <v>450248510</v>
      </c>
      <c r="P70" s="6">
        <f>SUMIF('JUNE (물량흐름)'!$C$13:$C$502,C70,'JUNE (물량흐름)'!$T$13:$T$502)+SUMIF('JUNE (물량흐름)'!$C$13:$C$502,C70,'JUNE (물량흐름)'!$V$13:$V$502)+SUMIF('JUNE (물량흐름)'!$C$13:$C$502,C70,'JUNE (물량흐름)'!$U$13:$U$502)-SUMIF('JUNE (물량흐름)'!$C$13:$C$502,C70,'JUNE (물량흐름)'!$Y$13:$Y$502)</f>
        <v>10137</v>
      </c>
      <c r="Q70" s="6">
        <f t="shared" si="6"/>
        <v>426514139</v>
      </c>
      <c r="R70" s="6">
        <f>IF(ISERROR(VLOOKUP(#REF!,'WIP(재공품)'!$B$12:$AB$38,13,0)),0,VLOOKUP(#REF!,'WIP(재공품)'!$B$12:$AB$38,13,0))</f>
        <v>0</v>
      </c>
      <c r="S70" s="6">
        <f>IF(ISERROR(VLOOKUP(#REF!,'WIP(재공품)'!$B$12:$AB$38,10,0)),0,VLOOKUP(#REF!,'WIP(재공품)'!$B$12:$AB$38,10,0))</f>
        <v>0</v>
      </c>
      <c r="T70" s="6">
        <f>SUMIF('JUNE (물량흐름)'!$C$13:$C$502,'Overhead exp(제조경비)'!C70,'JUNE (물량흐름)'!$Y$13:$Y$502)</f>
        <v>0</v>
      </c>
      <c r="U70" s="6">
        <f t="shared" si="7"/>
        <v>0</v>
      </c>
      <c r="V70" s="6">
        <f>ROUND(SUMIF('JUNE (물량흐름)'!$C$13:$C$502,'Overhead exp(제조경비)'!C70,'JUNE (물량흐름)'!$N$13:$N$502),0)</f>
        <v>930</v>
      </c>
      <c r="W70" s="6">
        <f>ROUND(SUMIF('JUNE (물량흐름)'!$C$13:$C$502,'Overhead exp(제조경비)'!C70,'JUNE (물량흐름)'!$O$13:$O$502),0)</f>
        <v>1829</v>
      </c>
      <c r="X70" s="6">
        <f>ROUND(SUMIF('JUNE (물량흐름)'!$C$13:$C$502,'Overhead exp(제조경비)'!C70,'JUNE (물량흐름)'!$P$13:$P$502),0)</f>
        <v>722</v>
      </c>
      <c r="Y70" s="6">
        <f t="shared" si="8"/>
        <v>3481</v>
      </c>
      <c r="Z70" s="6">
        <f t="shared" si="9"/>
        <v>1678</v>
      </c>
      <c r="AA70" s="6">
        <f t="shared" si="10"/>
        <v>146463028</v>
      </c>
      <c r="AB70" s="391">
        <f t="shared" si="11"/>
        <v>0</v>
      </c>
      <c r="AC70" s="391">
        <f t="shared" si="12"/>
        <v>0</v>
      </c>
      <c r="AE70" s="393"/>
    </row>
    <row r="71" spans="1:31" s="389" customFormat="1" ht="24" customHeight="1">
      <c r="A71" s="167">
        <v>60</v>
      </c>
      <c r="B71" s="20" t="str">
        <f>IFERROR(VLOOKUP(A71,'JUNE (물량흐름)'!$A$13:$C$502,2,0),0)</f>
        <v>INC</v>
      </c>
      <c r="C71" s="272" t="str">
        <f>VLOOKUP(A71,'JUNE (물량흐름)'!$A$13:$C$502,3,0)</f>
        <v>7D320(100010192)</v>
      </c>
      <c r="D71" s="6">
        <f>VLOOKUP(C71,'WIP(재공품)'!$B$12:$E$493,4,0)</f>
        <v>7936.2499999999991</v>
      </c>
      <c r="E71" s="6">
        <f>IFERROR(VLOOKUP(C71,O.B.JUNE!$AI$7:$AJ$448,2,0),0)</f>
        <v>0</v>
      </c>
      <c r="F71" s="6">
        <f>IFERROR(VLOOKUP(C71,O.B.JUNE!$AI$7:$AK$448,3,0),0)</f>
        <v>0</v>
      </c>
      <c r="G71" s="6">
        <f>IFERROR(VLOOKUP(C71,O.B.JUNE!$AI$7:$AL$448,4,0),0)</f>
        <v>73</v>
      </c>
      <c r="H71" s="6">
        <f t="shared" si="3"/>
        <v>73</v>
      </c>
      <c r="I71" s="6">
        <f>IFERROR(VLOOKUP(C71,O.B.JUNE!$AI$7:$AN$448,6,0),0)</f>
        <v>58</v>
      </c>
      <c r="J71" s="6"/>
      <c r="K71" s="6">
        <f>IFERROR(VLOOKUP(C71,O.B.JUNE!$AI$7:$AO$448,7,0),0)</f>
        <v>2057547</v>
      </c>
      <c r="L71" s="6">
        <f>SUMIF('JUNE (물량흐름)'!$C$13:$C$488,'Overhead exp(제조경비)'!C71,'JUNE (물량흐름)'!$H$13:$H$493)+SUMIF('JUNE (물량흐름)'!$C$13:$C$493,'Overhead exp(제조경비)'!C71,'JUNE (물량흐름)'!$V$13:$V$493)</f>
        <v>0</v>
      </c>
      <c r="M71" s="6">
        <f t="shared" si="4"/>
        <v>0</v>
      </c>
      <c r="N71" s="6">
        <f t="shared" si="5"/>
        <v>0</v>
      </c>
      <c r="O71" s="6">
        <f t="shared" si="15"/>
        <v>0</v>
      </c>
      <c r="P71" s="6">
        <f>SUMIF('JUNE (물량흐름)'!$C$13:$C$502,C71,'JUNE (물량흐름)'!$T$13:$T$502)+SUMIF('JUNE (물량흐름)'!$C$13:$C$502,C71,'JUNE (물량흐름)'!$V$13:$V$502)+SUMIF('JUNE (물량흐름)'!$C$13:$C$502,C71,'JUNE (물량흐름)'!$U$13:$U$502)-SUMIF('JUNE (물량흐름)'!$C$13:$C$502,C71,'JUNE (물량흐름)'!$Y$13:$Y$502)</f>
        <v>73</v>
      </c>
      <c r="Q71" s="6">
        <f t="shared" si="6"/>
        <v>2057547</v>
      </c>
      <c r="R71" s="6">
        <f>IF(ISERROR(VLOOKUP(#REF!,'WIP(재공품)'!$B$12:$AB$38,13,0)),0,VLOOKUP(#REF!,'WIP(재공품)'!$B$12:$AB$38,13,0))</f>
        <v>0</v>
      </c>
      <c r="S71" s="6">
        <f>IF(ISERROR(VLOOKUP(#REF!,'WIP(재공품)'!$B$12:$AB$38,10,0)),0,VLOOKUP(#REF!,'WIP(재공품)'!$B$12:$AB$38,10,0))</f>
        <v>0</v>
      </c>
      <c r="T71" s="6">
        <f>SUMIF('JUNE (물량흐름)'!$C$13:$C$502,'Overhead exp(제조경비)'!C71,'JUNE (물량흐름)'!$Y$13:$Y$502)</f>
        <v>0</v>
      </c>
      <c r="U71" s="6">
        <f t="shared" si="7"/>
        <v>0</v>
      </c>
      <c r="V71" s="6">
        <f>ROUND(SUMIF('JUNE (물량흐름)'!$C$13:$C$502,'Overhead exp(제조경비)'!C71,'JUNE (물량흐름)'!$N$13:$N$502),0)</f>
        <v>0</v>
      </c>
      <c r="W71" s="6">
        <f>ROUND(SUMIF('JUNE (물량흐름)'!$C$13:$C$502,'Overhead exp(제조경비)'!C71,'JUNE (물량흐름)'!$O$13:$O$502),0)</f>
        <v>0</v>
      </c>
      <c r="X71" s="6">
        <f>ROUND(SUMIF('JUNE (물량흐름)'!$C$13:$C$502,'Overhead exp(제조경비)'!C71,'JUNE (물량흐름)'!$P$13:$P$502),0)</f>
        <v>0</v>
      </c>
      <c r="Y71" s="6">
        <f t="shared" si="8"/>
        <v>0</v>
      </c>
      <c r="Z71" s="6">
        <f t="shared" si="9"/>
        <v>0</v>
      </c>
      <c r="AA71" s="6">
        <f t="shared" si="10"/>
        <v>0</v>
      </c>
      <c r="AB71" s="391">
        <f t="shared" si="11"/>
        <v>0</v>
      </c>
      <c r="AC71" s="391">
        <f t="shared" si="12"/>
        <v>0</v>
      </c>
      <c r="AE71" s="393"/>
    </row>
    <row r="72" spans="1:31" s="390" customFormat="1" ht="24" customHeight="1">
      <c r="A72" s="167">
        <v>61</v>
      </c>
      <c r="B72" s="20" t="str">
        <f>IFERROR(VLOOKUP(A72,'JUNE (물량흐름)'!$A$13:$C$502,2,0),0)</f>
        <v>INC</v>
      </c>
      <c r="C72" s="272" t="str">
        <f>VLOOKUP(A72,'JUNE (물량흐름)'!$A$13:$C$502,3,0)</f>
        <v>7D534(100010660)</v>
      </c>
      <c r="D72" s="6">
        <f>VLOOKUP(C72,'WIP(재공품)'!$B$12:$E$493,4,0)</f>
        <v>7936.2499999999991</v>
      </c>
      <c r="E72" s="6">
        <f>IFERROR(VLOOKUP(C72,O.B.JUNE!$AI$7:$AJ$448,2,0),0)</f>
        <v>0</v>
      </c>
      <c r="F72" s="6">
        <f>IFERROR(VLOOKUP(C72,O.B.JUNE!$AI$7:$AK$448,3,0),0)</f>
        <v>0</v>
      </c>
      <c r="G72" s="6">
        <f>IFERROR(VLOOKUP(C72,O.B.JUNE!$AI$7:$AL$448,4,0),0)</f>
        <v>27</v>
      </c>
      <c r="H72" s="6">
        <f t="shared" si="3"/>
        <v>27</v>
      </c>
      <c r="I72" s="6">
        <f>IFERROR(VLOOKUP(C72,O.B.JUNE!$AI$7:$AN$448,6,0),0)</f>
        <v>22</v>
      </c>
      <c r="J72" s="6"/>
      <c r="K72" s="6">
        <f>IFERROR(VLOOKUP(C72,O.B.JUNE!$AI$7:$AO$448,7,0),0)</f>
        <v>1076481</v>
      </c>
      <c r="L72" s="6">
        <f>SUMIF('JUNE (물량흐름)'!$C$13:$C$488,'Overhead exp(제조경비)'!C72,'JUNE (물량흐름)'!$H$13:$H$493)+SUMIF('JUNE (물량흐름)'!$C$13:$C$493,'Overhead exp(제조경비)'!C72,'JUNE (물량흐름)'!$V$13:$V$493)</f>
        <v>0</v>
      </c>
      <c r="M72" s="6">
        <f t="shared" si="4"/>
        <v>0</v>
      </c>
      <c r="N72" s="6">
        <f t="shared" si="5"/>
        <v>0</v>
      </c>
      <c r="O72" s="6">
        <f t="shared" si="15"/>
        <v>0</v>
      </c>
      <c r="P72" s="6">
        <f>SUMIF('JUNE (물량흐름)'!$C$13:$C$502,C72,'JUNE (물량흐름)'!$T$13:$T$502)+SUMIF('JUNE (물량흐름)'!$C$13:$C$502,C72,'JUNE (물량흐름)'!$V$13:$V$502)+SUMIF('JUNE (물량흐름)'!$C$13:$C$502,C72,'JUNE (물량흐름)'!$U$13:$U$502)-SUMIF('JUNE (물량흐름)'!$C$13:$C$502,C72,'JUNE (물량흐름)'!$Y$13:$Y$502)</f>
        <v>27</v>
      </c>
      <c r="Q72" s="6">
        <f t="shared" si="6"/>
        <v>1076481</v>
      </c>
      <c r="R72" s="6">
        <f>IF(ISERROR(VLOOKUP(#REF!,'WIP(재공품)'!$B$12:$AB$38,13,0)),0,VLOOKUP(#REF!,'WIP(재공품)'!$B$12:$AB$38,13,0))</f>
        <v>0</v>
      </c>
      <c r="S72" s="6">
        <f>IF(ISERROR(VLOOKUP(#REF!,'WIP(재공품)'!$B$12:$AB$38,10,0)),0,VLOOKUP(#REF!,'WIP(재공품)'!$B$12:$AB$38,10,0))</f>
        <v>0</v>
      </c>
      <c r="T72" s="6">
        <f>SUMIF('JUNE (물량흐름)'!$C$13:$C$502,'Overhead exp(제조경비)'!C72,'JUNE (물량흐름)'!$Y$13:$Y$502)</f>
        <v>0</v>
      </c>
      <c r="U72" s="6">
        <f t="shared" si="7"/>
        <v>0</v>
      </c>
      <c r="V72" s="6">
        <f>ROUND(SUMIF('JUNE (물량흐름)'!$C$13:$C$502,'Overhead exp(제조경비)'!C72,'JUNE (물량흐름)'!$N$13:$N$502),0)</f>
        <v>0</v>
      </c>
      <c r="W72" s="6">
        <f>ROUND(SUMIF('JUNE (물량흐름)'!$C$13:$C$502,'Overhead exp(제조경비)'!C72,'JUNE (물량흐름)'!$O$13:$O$502),0)</f>
        <v>0</v>
      </c>
      <c r="X72" s="6">
        <f>ROUND(SUMIF('JUNE (물량흐름)'!$C$13:$C$502,'Overhead exp(제조경비)'!C72,'JUNE (물량흐름)'!$P$13:$P$502),0)</f>
        <v>0</v>
      </c>
      <c r="Y72" s="6">
        <f t="shared" si="8"/>
        <v>0</v>
      </c>
      <c r="Z72" s="6">
        <f t="shared" si="9"/>
        <v>0</v>
      </c>
      <c r="AA72" s="6">
        <f t="shared" si="10"/>
        <v>0</v>
      </c>
      <c r="AB72" s="391">
        <f t="shared" si="11"/>
        <v>0</v>
      </c>
      <c r="AC72" s="391">
        <f t="shared" si="12"/>
        <v>0</v>
      </c>
      <c r="AE72" s="393"/>
    </row>
    <row r="73" spans="1:31" s="390" customFormat="1" ht="24" customHeight="1">
      <c r="A73" s="167">
        <v>62</v>
      </c>
      <c r="B73" s="20" t="str">
        <f>IFERROR(VLOOKUP(A73,'JUNE (물량흐름)'!$A$13:$C$502,2,0),0)</f>
        <v>INC</v>
      </c>
      <c r="C73" s="272" t="str">
        <f>VLOOKUP(A73,'JUNE (물량흐름)'!$A$13:$C$502,3,0)</f>
        <v>7D650(100010275)</v>
      </c>
      <c r="D73" s="6">
        <f>VLOOKUP(C73,'WIP(재공품)'!$B$12:$E$493,4,0)</f>
        <v>27890.25</v>
      </c>
      <c r="E73" s="6">
        <f>IFERROR(VLOOKUP(C73,O.B.JUNE!$AI$7:$AJ$448,2,0),0)</f>
        <v>0</v>
      </c>
      <c r="F73" s="6">
        <f>IFERROR(VLOOKUP(C73,O.B.JUNE!$AI$7:$AK$448,3,0),0)</f>
        <v>0</v>
      </c>
      <c r="G73" s="6">
        <f>IFERROR(VLOOKUP(C73,O.B.JUNE!$AI$7:$AL$448,4,0),0)</f>
        <v>112</v>
      </c>
      <c r="H73" s="6">
        <f t="shared" si="3"/>
        <v>112</v>
      </c>
      <c r="I73" s="6">
        <f>IFERROR(VLOOKUP(C73,O.B.JUNE!$AI$7:$AN$448,6,0),0)</f>
        <v>90</v>
      </c>
      <c r="J73" s="6"/>
      <c r="K73" s="6">
        <f>IFERROR(VLOOKUP(C73,O.B.JUNE!$AI$7:$AO$448,7,0),0)</f>
        <v>2642272</v>
      </c>
      <c r="L73" s="6">
        <f>SUMIF('JUNE (물량흐름)'!$C$13:$C$488,'Overhead exp(제조경비)'!C73,'JUNE (물량흐름)'!$H$13:$H$493)+SUMIF('JUNE (물량흐름)'!$C$13:$C$493,'Overhead exp(제조경비)'!C73,'JUNE (물량흐름)'!$V$13:$V$493)</f>
        <v>0</v>
      </c>
      <c r="M73" s="6">
        <f t="shared" si="4"/>
        <v>0</v>
      </c>
      <c r="N73" s="6">
        <f t="shared" si="5"/>
        <v>0</v>
      </c>
      <c r="O73" s="6">
        <f t="shared" si="15"/>
        <v>0</v>
      </c>
      <c r="P73" s="6">
        <f>SUMIF('JUNE (물량흐름)'!$C$13:$C$502,C73,'JUNE (물량흐름)'!$T$13:$T$502)+SUMIF('JUNE (물량흐름)'!$C$13:$C$502,C73,'JUNE (물량흐름)'!$V$13:$V$502)+SUMIF('JUNE (물량흐름)'!$C$13:$C$502,C73,'JUNE (물량흐름)'!$U$13:$U$502)-SUMIF('JUNE (물량흐름)'!$C$13:$C$502,C73,'JUNE (물량흐름)'!$Y$13:$Y$502)</f>
        <v>112</v>
      </c>
      <c r="Q73" s="6">
        <f t="shared" si="6"/>
        <v>2642272</v>
      </c>
      <c r="R73" s="6">
        <f>IF(ISERROR(VLOOKUP(#REF!,'WIP(재공품)'!$B$12:$AB$38,13,0)),0,VLOOKUP(#REF!,'WIP(재공품)'!$B$12:$AB$38,13,0))</f>
        <v>0</v>
      </c>
      <c r="S73" s="6">
        <f>IF(ISERROR(VLOOKUP(#REF!,'WIP(재공품)'!$B$12:$AB$38,10,0)),0,VLOOKUP(#REF!,'WIP(재공품)'!$B$12:$AB$38,10,0))</f>
        <v>0</v>
      </c>
      <c r="T73" s="6">
        <f>SUMIF('JUNE (물량흐름)'!$C$13:$C$502,'Overhead exp(제조경비)'!C73,'JUNE (물량흐름)'!$Y$13:$Y$502)</f>
        <v>0</v>
      </c>
      <c r="U73" s="6">
        <f t="shared" si="7"/>
        <v>0</v>
      </c>
      <c r="V73" s="6">
        <f>ROUND(SUMIF('JUNE (물량흐름)'!$C$13:$C$502,'Overhead exp(제조경비)'!C73,'JUNE (물량흐름)'!$N$13:$N$502),0)</f>
        <v>0</v>
      </c>
      <c r="W73" s="6">
        <f>ROUND(SUMIF('JUNE (물량흐름)'!$C$13:$C$502,'Overhead exp(제조경비)'!C73,'JUNE (물량흐름)'!$O$13:$O$502),0)</f>
        <v>0</v>
      </c>
      <c r="X73" s="6">
        <f>ROUND(SUMIF('JUNE (물량흐름)'!$C$13:$C$502,'Overhead exp(제조경비)'!C73,'JUNE (물량흐름)'!$P$13:$P$502),0)</f>
        <v>0</v>
      </c>
      <c r="Y73" s="6">
        <f t="shared" si="8"/>
        <v>0</v>
      </c>
      <c r="Z73" s="6">
        <f t="shared" si="9"/>
        <v>0</v>
      </c>
      <c r="AA73" s="6">
        <f t="shared" si="10"/>
        <v>0</v>
      </c>
      <c r="AB73" s="391">
        <f t="shared" si="11"/>
        <v>0</v>
      </c>
      <c r="AC73" s="391">
        <f t="shared" si="12"/>
        <v>0</v>
      </c>
      <c r="AE73" s="393"/>
    </row>
    <row r="74" spans="1:31" s="390" customFormat="1" ht="24" customHeight="1">
      <c r="A74" s="167">
        <v>63</v>
      </c>
      <c r="B74" s="20" t="str">
        <f>IFERROR(VLOOKUP(A74,'JUNE (물량흐름)'!$A$13:$C$502,2,0),0)</f>
        <v>INC</v>
      </c>
      <c r="C74" s="272" t="str">
        <f>VLOOKUP(A74,'JUNE (물량흐름)'!$A$13:$C$502,3,0)</f>
        <v>7D664(100007920)</v>
      </c>
      <c r="D74" s="6">
        <f>VLOOKUP(C74,'WIP(재공품)'!$B$12:$E$493,4,0)</f>
        <v>8163</v>
      </c>
      <c r="E74" s="6">
        <f>IFERROR(VLOOKUP(C74,O.B.JUNE!$AI$7:$AJ$448,2,0),0)</f>
        <v>0</v>
      </c>
      <c r="F74" s="6">
        <f>IFERROR(VLOOKUP(C74,O.B.JUNE!$AI$7:$AK$448,3,0),0)</f>
        <v>0</v>
      </c>
      <c r="G74" s="6">
        <f>IFERROR(VLOOKUP(C74,O.B.JUNE!$AI$7:$AL$448,4,0),0)</f>
        <v>46</v>
      </c>
      <c r="H74" s="6">
        <f t="shared" si="3"/>
        <v>46</v>
      </c>
      <c r="I74" s="6">
        <f>IFERROR(VLOOKUP(C74,O.B.JUNE!$AI$7:$AN$448,6,0),0)</f>
        <v>37</v>
      </c>
      <c r="J74" s="6"/>
      <c r="K74" s="6">
        <f>IFERROR(VLOOKUP(C74,O.B.JUNE!$AI$7:$AO$448,7,0),0)</f>
        <v>1086267</v>
      </c>
      <c r="L74" s="6">
        <f>SUMIF('JUNE (물량흐름)'!$C$13:$C$488,'Overhead exp(제조경비)'!C74,'JUNE (물량흐름)'!$H$13:$H$493)+SUMIF('JUNE (물량흐름)'!$C$13:$C$493,'Overhead exp(제조경비)'!C74,'JUNE (물량흐름)'!$V$13:$V$493)</f>
        <v>0</v>
      </c>
      <c r="M74" s="6">
        <f t="shared" si="4"/>
        <v>0</v>
      </c>
      <c r="N74" s="6">
        <f t="shared" si="5"/>
        <v>0</v>
      </c>
      <c r="O74" s="6">
        <f t="shared" si="15"/>
        <v>0</v>
      </c>
      <c r="P74" s="6">
        <f>SUMIF('JUNE (물량흐름)'!$C$13:$C$502,C74,'JUNE (물량흐름)'!$T$13:$T$502)+SUMIF('JUNE (물량흐름)'!$C$13:$C$502,C74,'JUNE (물량흐름)'!$V$13:$V$502)+SUMIF('JUNE (물량흐름)'!$C$13:$C$502,C74,'JUNE (물량흐름)'!$U$13:$U$502)-SUMIF('JUNE (물량흐름)'!$C$13:$C$502,C74,'JUNE (물량흐름)'!$Y$13:$Y$502)</f>
        <v>46</v>
      </c>
      <c r="Q74" s="6">
        <f t="shared" si="6"/>
        <v>1086267</v>
      </c>
      <c r="R74" s="6">
        <f>IF(ISERROR(VLOOKUP(#REF!,'WIP(재공품)'!$B$12:$AB$38,13,0)),0,VLOOKUP(#REF!,'WIP(재공품)'!$B$12:$AB$38,13,0))</f>
        <v>0</v>
      </c>
      <c r="S74" s="6">
        <f>IF(ISERROR(VLOOKUP(#REF!,'WIP(재공품)'!$B$12:$AB$38,10,0)),0,VLOOKUP(#REF!,'WIP(재공품)'!$B$12:$AB$38,10,0))</f>
        <v>0</v>
      </c>
      <c r="T74" s="6">
        <f>SUMIF('JUNE (물량흐름)'!$C$13:$C$502,'Overhead exp(제조경비)'!C74,'JUNE (물량흐름)'!$Y$13:$Y$502)</f>
        <v>0</v>
      </c>
      <c r="U74" s="6">
        <f t="shared" si="7"/>
        <v>0</v>
      </c>
      <c r="V74" s="6">
        <f>ROUND(SUMIF('JUNE (물량흐름)'!$C$13:$C$502,'Overhead exp(제조경비)'!C74,'JUNE (물량흐름)'!$N$13:$N$502),0)</f>
        <v>0</v>
      </c>
      <c r="W74" s="6">
        <f>ROUND(SUMIF('JUNE (물량흐름)'!$C$13:$C$502,'Overhead exp(제조경비)'!C74,'JUNE (물량흐름)'!$O$13:$O$502),0)</f>
        <v>0</v>
      </c>
      <c r="X74" s="6">
        <f>ROUND(SUMIF('JUNE (물량흐름)'!$C$13:$C$502,'Overhead exp(제조경비)'!C74,'JUNE (물량흐름)'!$P$13:$P$502),0)</f>
        <v>0</v>
      </c>
      <c r="Y74" s="6">
        <f t="shared" si="8"/>
        <v>0</v>
      </c>
      <c r="Z74" s="6">
        <f t="shared" si="9"/>
        <v>0</v>
      </c>
      <c r="AA74" s="6">
        <f t="shared" si="10"/>
        <v>0</v>
      </c>
      <c r="AB74" s="391">
        <f t="shared" si="11"/>
        <v>0</v>
      </c>
      <c r="AC74" s="391">
        <f t="shared" si="12"/>
        <v>0</v>
      </c>
      <c r="AE74" s="393"/>
    </row>
    <row r="75" spans="1:31" s="390" customFormat="1" ht="24" customHeight="1">
      <c r="A75" s="167">
        <v>64</v>
      </c>
      <c r="B75" s="20" t="str">
        <f>IFERROR(VLOOKUP(A75,'JUNE (물량흐름)'!$A$13:$C$502,2,0),0)</f>
        <v>INC</v>
      </c>
      <c r="C75" s="272" t="str">
        <f>VLOOKUP(A75,'JUNE (물량흐름)'!$A$13:$C$502,3,0)</f>
        <v>7D670(10007909)</v>
      </c>
      <c r="D75" s="6">
        <f>VLOOKUP(C75,'WIP(재공품)'!$B$12:$E$493,4,0)</f>
        <v>8163</v>
      </c>
      <c r="E75" s="6">
        <f>IFERROR(VLOOKUP(C75,O.B.JUNE!$AI$7:$AJ$448,2,0),0)</f>
        <v>0</v>
      </c>
      <c r="F75" s="6">
        <f>IFERROR(VLOOKUP(C75,O.B.JUNE!$AI$7:$AK$448,3,0),0)</f>
        <v>0</v>
      </c>
      <c r="G75" s="6">
        <f>IFERROR(VLOOKUP(C75,O.B.JUNE!$AI$7:$AL$448,4,0),0)</f>
        <v>356</v>
      </c>
      <c r="H75" s="6">
        <f t="shared" si="3"/>
        <v>356</v>
      </c>
      <c r="I75" s="6">
        <f>IFERROR(VLOOKUP(C75,O.B.JUNE!$AI$7:$AN$448,6,0),0)</f>
        <v>285</v>
      </c>
      <c r="J75" s="6"/>
      <c r="K75" s="6">
        <f>IFERROR(VLOOKUP(C75,O.B.JUNE!$AI$7:$AO$448,7,0),0)</f>
        <v>6972662</v>
      </c>
      <c r="L75" s="6">
        <f>SUMIF('JUNE (물량흐름)'!$C$13:$C$488,'Overhead exp(제조경비)'!C75,'JUNE (물량흐름)'!$H$13:$H$493)+SUMIF('JUNE (물량흐름)'!$C$13:$C$493,'Overhead exp(제조경비)'!C75,'JUNE (물량흐름)'!$V$13:$V$493)</f>
        <v>0</v>
      </c>
      <c r="M75" s="6">
        <f t="shared" si="4"/>
        <v>0</v>
      </c>
      <c r="N75" s="6">
        <f t="shared" si="5"/>
        <v>0</v>
      </c>
      <c r="O75" s="6">
        <f t="shared" si="15"/>
        <v>0</v>
      </c>
      <c r="P75" s="6">
        <f>SUMIF('JUNE (물량흐름)'!$C$13:$C$502,C75,'JUNE (물량흐름)'!$T$13:$T$502)+SUMIF('JUNE (물량흐름)'!$C$13:$C$502,C75,'JUNE (물량흐름)'!$V$13:$V$502)+SUMIF('JUNE (물량흐름)'!$C$13:$C$502,C75,'JUNE (물량흐름)'!$U$13:$U$502)-SUMIF('JUNE (물량흐름)'!$C$13:$C$502,C75,'JUNE (물량흐름)'!$Y$13:$Y$502)</f>
        <v>356</v>
      </c>
      <c r="Q75" s="6">
        <f t="shared" si="6"/>
        <v>6972662</v>
      </c>
      <c r="R75" s="6">
        <f>IF(ISERROR(VLOOKUP(#REF!,'WIP(재공품)'!$B$12:$AB$38,13,0)),0,VLOOKUP(#REF!,'WIP(재공품)'!$B$12:$AB$38,13,0))</f>
        <v>0</v>
      </c>
      <c r="S75" s="6">
        <f>IF(ISERROR(VLOOKUP(#REF!,'WIP(재공품)'!$B$12:$AB$38,10,0)),0,VLOOKUP(#REF!,'WIP(재공품)'!$B$12:$AB$38,10,0))</f>
        <v>0</v>
      </c>
      <c r="T75" s="6">
        <f>SUMIF('JUNE (물량흐름)'!$C$13:$C$502,'Overhead exp(제조경비)'!C75,'JUNE (물량흐름)'!$Y$13:$Y$502)</f>
        <v>0</v>
      </c>
      <c r="U75" s="6">
        <f t="shared" si="7"/>
        <v>0</v>
      </c>
      <c r="V75" s="6">
        <f>ROUND(SUMIF('JUNE (물량흐름)'!$C$13:$C$502,'Overhead exp(제조경비)'!C75,'JUNE (물량흐름)'!$N$13:$N$502),0)</f>
        <v>0</v>
      </c>
      <c r="W75" s="6">
        <f>ROUND(SUMIF('JUNE (물량흐름)'!$C$13:$C$502,'Overhead exp(제조경비)'!C75,'JUNE (물량흐름)'!$O$13:$O$502),0)</f>
        <v>0</v>
      </c>
      <c r="X75" s="6">
        <f>ROUND(SUMIF('JUNE (물량흐름)'!$C$13:$C$502,'Overhead exp(제조경비)'!C75,'JUNE (물량흐름)'!$P$13:$P$502),0)</f>
        <v>0</v>
      </c>
      <c r="Y75" s="6">
        <f t="shared" si="8"/>
        <v>0</v>
      </c>
      <c r="Z75" s="6">
        <f t="shared" si="9"/>
        <v>0</v>
      </c>
      <c r="AA75" s="6">
        <f t="shared" si="10"/>
        <v>0</v>
      </c>
      <c r="AB75" s="391">
        <f t="shared" si="11"/>
        <v>0</v>
      </c>
      <c r="AC75" s="391">
        <f t="shared" si="12"/>
        <v>0</v>
      </c>
      <c r="AE75" s="393"/>
    </row>
    <row r="76" spans="1:31" s="390" customFormat="1" ht="24" customHeight="1">
      <c r="A76" s="167">
        <v>65</v>
      </c>
      <c r="B76" s="20" t="str">
        <f>IFERROR(VLOOKUP(A76,'JUNE (물량흐름)'!$A$13:$C$502,2,0),0)</f>
        <v>ALFANI</v>
      </c>
      <c r="C76" s="272">
        <f>VLOOKUP(A76,'JUNE (물량흐름)'!$A$13:$C$502,3,0)</f>
        <v>100003487</v>
      </c>
      <c r="D76" s="6">
        <f>VLOOKUP(C76,'WIP(재공품)'!$B$12:$E$493,4,0)</f>
        <v>8163</v>
      </c>
      <c r="E76" s="6">
        <f>IFERROR(VLOOKUP(C76,O.B.JUNE!$AI$7:$AJ$448,2,0),0)</f>
        <v>0</v>
      </c>
      <c r="F76" s="6">
        <f>IFERROR(VLOOKUP(C76,O.B.JUNE!$AI$7:$AK$448,3,0),0)</f>
        <v>0</v>
      </c>
      <c r="G76" s="6">
        <f>IFERROR(VLOOKUP(C76,O.B.JUNE!$AI$7:$AL$448,4,0),0)</f>
        <v>87</v>
      </c>
      <c r="H76" s="6">
        <f t="shared" si="3"/>
        <v>87</v>
      </c>
      <c r="I76" s="6">
        <f>IFERROR(VLOOKUP(C76,O.B.JUNE!$AI$7:$AN$448,6,0),0)</f>
        <v>70</v>
      </c>
      <c r="J76" s="6"/>
      <c r="K76" s="6">
        <f>IFERROR(VLOOKUP(C76,O.B.JUNE!$AI$7:$AO$448,7,0),0)</f>
        <v>1643281</v>
      </c>
      <c r="L76" s="6">
        <f>SUMIF('JUNE (물량흐름)'!$C$13:$C$488,'Overhead exp(제조경비)'!C76,'JUNE (물량흐름)'!$H$13:$H$493)+SUMIF('JUNE (물량흐름)'!$C$13:$C$493,'Overhead exp(제조경비)'!C76,'JUNE (물량흐름)'!$V$13:$V$493)</f>
        <v>0</v>
      </c>
      <c r="M76" s="6">
        <f t="shared" si="4"/>
        <v>0</v>
      </c>
      <c r="N76" s="6">
        <f t="shared" si="5"/>
        <v>0</v>
      </c>
      <c r="O76" s="6">
        <f t="shared" ref="O76:O107" si="16">ROUND(M76*D76*$O$493/$N$493,0)</f>
        <v>0</v>
      </c>
      <c r="P76" s="6">
        <f>SUMIF('JUNE (물량흐름)'!$C$13:$C$502,C76,'JUNE (물량흐름)'!$T$13:$T$502)+SUMIF('JUNE (물량흐름)'!$C$13:$C$502,C76,'JUNE (물량흐름)'!$V$13:$V$502)+SUMIF('JUNE (물량흐름)'!$C$13:$C$502,C76,'JUNE (물량흐름)'!$U$13:$U$502)-SUMIF('JUNE (물량흐름)'!$C$13:$C$502,C76,'JUNE (물량흐름)'!$Y$13:$Y$502)</f>
        <v>0</v>
      </c>
      <c r="Q76" s="6">
        <f t="shared" si="6"/>
        <v>0</v>
      </c>
      <c r="R76" s="6">
        <f>IF(ISERROR(VLOOKUP(#REF!,'WIP(재공품)'!$B$12:$AB$38,13,0)),0,VLOOKUP(#REF!,'WIP(재공품)'!$B$12:$AB$38,13,0))</f>
        <v>0</v>
      </c>
      <c r="S76" s="6">
        <f>IF(ISERROR(VLOOKUP(#REF!,'WIP(재공품)'!$B$12:$AB$38,10,0)),0,VLOOKUP(#REF!,'WIP(재공품)'!$B$12:$AB$38,10,0))</f>
        <v>0</v>
      </c>
      <c r="T76" s="6">
        <f>SUMIF('JUNE (물량흐름)'!$C$13:$C$502,'Overhead exp(제조경비)'!C76,'JUNE (물량흐름)'!$Y$13:$Y$502)</f>
        <v>0</v>
      </c>
      <c r="U76" s="6">
        <f t="shared" si="7"/>
        <v>0</v>
      </c>
      <c r="V76" s="6">
        <f>ROUND(SUMIF('JUNE (물량흐름)'!$C$13:$C$502,'Overhead exp(제조경비)'!C76,'JUNE (물량흐름)'!$N$13:$N$502),0)</f>
        <v>0</v>
      </c>
      <c r="W76" s="6">
        <f>ROUND(SUMIF('JUNE (물량흐름)'!$C$13:$C$502,'Overhead exp(제조경비)'!C76,'JUNE (물량흐름)'!$O$13:$O$502),0)</f>
        <v>0</v>
      </c>
      <c r="X76" s="6">
        <f>ROUND(SUMIF('JUNE (물량흐름)'!$C$13:$C$502,'Overhead exp(제조경비)'!C76,'JUNE (물량흐름)'!$P$13:$P$502),0)</f>
        <v>87</v>
      </c>
      <c r="Y76" s="6">
        <f t="shared" si="8"/>
        <v>87</v>
      </c>
      <c r="Z76" s="6">
        <f t="shared" si="9"/>
        <v>70</v>
      </c>
      <c r="AA76" s="6">
        <f t="shared" si="10"/>
        <v>1643281</v>
      </c>
      <c r="AB76" s="391">
        <f t="shared" si="11"/>
        <v>0</v>
      </c>
      <c r="AC76" s="391">
        <f t="shared" si="12"/>
        <v>0</v>
      </c>
      <c r="AE76" s="393"/>
    </row>
    <row r="77" spans="1:31" s="390" customFormat="1" ht="24" customHeight="1">
      <c r="A77" s="167">
        <v>66</v>
      </c>
      <c r="B77" s="20" t="str">
        <f>IFERROR(VLOOKUP(A77,'JUNE (물량흐름)'!$A$13:$C$502,2,0),0)</f>
        <v>ALFANI</v>
      </c>
      <c r="C77" s="272">
        <f>VLOOKUP(A77,'JUNE (물량흐름)'!$A$13:$C$502,3,0)</f>
        <v>100003506</v>
      </c>
      <c r="D77" s="6">
        <f>VLOOKUP(C77,'WIP(재공품)'!$B$12:$E$493,4,0)</f>
        <v>8163</v>
      </c>
      <c r="E77" s="6">
        <f>IFERROR(VLOOKUP(C77,O.B.JUNE!$AI$7:$AJ$448,2,0),0)</f>
        <v>0</v>
      </c>
      <c r="F77" s="6">
        <f>IFERROR(VLOOKUP(C77,O.B.JUNE!$AI$7:$AK$448,3,0),0)</f>
        <v>0</v>
      </c>
      <c r="G77" s="6">
        <f>IFERROR(VLOOKUP(C77,O.B.JUNE!$AI$7:$AL$448,4,0),0)</f>
        <v>59</v>
      </c>
      <c r="H77" s="6">
        <f t="shared" ref="H77:H139" si="17">+E77+F77+G77</f>
        <v>59</v>
      </c>
      <c r="I77" s="6">
        <f>IFERROR(VLOOKUP(C77,O.B.JUNE!$AI$7:$AN$448,6,0),0)</f>
        <v>47</v>
      </c>
      <c r="J77" s="6"/>
      <c r="K77" s="6">
        <f>IFERROR(VLOOKUP(C77,O.B.JUNE!$AI$7:$AO$448,7,0),0)</f>
        <v>1122324</v>
      </c>
      <c r="L77" s="6">
        <f>SUMIF('JUNE (물량흐름)'!$C$13:$C$488,'Overhead exp(제조경비)'!C77,'JUNE (물량흐름)'!$H$13:$H$493)+SUMIF('JUNE (물량흐름)'!$C$13:$C$493,'Overhead exp(제조경비)'!C77,'JUNE (물량흐름)'!$V$13:$V$493)</f>
        <v>3080</v>
      </c>
      <c r="M77" s="6">
        <f t="shared" ref="M77:M139" si="18">IF(OR(L77&lt;=0,P77+T77+R77+Z77-I77&lt;0),0,ROUND(P77+T77+R77+Z77-I77,0))</f>
        <v>2975</v>
      </c>
      <c r="N77" s="6">
        <f t="shared" ref="N77:N139" si="19">ROUND(M77*D77,0)</f>
        <v>24284925</v>
      </c>
      <c r="O77" s="6">
        <f t="shared" si="16"/>
        <v>14673921</v>
      </c>
      <c r="P77" s="6">
        <f>SUMIF('JUNE (물량흐름)'!$C$13:$C$502,C77,'JUNE (물량흐름)'!$T$13:$T$502)+SUMIF('JUNE (물량흐름)'!$C$13:$C$502,C77,'JUNE (물량흐름)'!$V$13:$V$502)+SUMIF('JUNE (물량흐름)'!$C$13:$C$502,C77,'JUNE (물량흐름)'!$U$13:$U$502)-SUMIF('JUNE (물량흐름)'!$C$13:$C$502,C77,'JUNE (물량흐름)'!$Y$13:$Y$502)</f>
        <v>2765</v>
      </c>
      <c r="Q77" s="6">
        <f t="shared" ref="Q77:Q140" si="20">IFERROR(ROUND(IF(OR(P77&lt;=0,($I77+$M77)=0),$P77*($K77+$O77)/($I77+$M77),$P77*($K77+$O77)/($H77+$L77)),0),0)</f>
        <v>13914182</v>
      </c>
      <c r="R77" s="6">
        <f>IF(ISERROR(VLOOKUP(#REF!,'WIP(재공품)'!$B$12:$AB$38,13,0)),0,VLOOKUP(#REF!,'WIP(재공품)'!$B$12:$AB$38,13,0))</f>
        <v>0</v>
      </c>
      <c r="S77" s="6">
        <f>IF(ISERROR(VLOOKUP(#REF!,'WIP(재공품)'!$B$12:$AB$38,10,0)),0,VLOOKUP(#REF!,'WIP(재공품)'!$B$12:$AB$38,10,0))</f>
        <v>0</v>
      </c>
      <c r="T77" s="6">
        <f>SUMIF('JUNE (물량흐름)'!$C$13:$C$502,'Overhead exp(제조경비)'!C77,'JUNE (물량흐름)'!$Y$13:$Y$502)</f>
        <v>0</v>
      </c>
      <c r="U77" s="6">
        <f t="shared" ref="U77:U139" si="21">IFERROR(ROUND(IF(AND(T77&lt;=0,($I77+$M77)=0),T77*(K77+O77)/(I77+M77),T77*(K77+O77)/(H77+L77)),0),0)</f>
        <v>0</v>
      </c>
      <c r="V77" s="6">
        <f>ROUND(SUMIF('JUNE (물량흐름)'!$C$13:$C$502,'Overhead exp(제조경비)'!C77,'JUNE (물량흐름)'!$N$13:$N$502),0)</f>
        <v>0</v>
      </c>
      <c r="W77" s="6">
        <f>ROUND(SUMIF('JUNE (물량흐름)'!$C$13:$C$502,'Overhead exp(제조경비)'!C77,'JUNE (물량흐름)'!$O$13:$O$502),0)</f>
        <v>141</v>
      </c>
      <c r="X77" s="6">
        <f>ROUND(SUMIF('JUNE (물량흐름)'!$C$13:$C$502,'Overhead exp(제조경비)'!C77,'JUNE (물량흐름)'!$P$13:$P$502),0)</f>
        <v>233</v>
      </c>
      <c r="Y77" s="6">
        <f t="shared" ref="Y77:Y138" si="22">ROUND(SUM(V77:X77),0)</f>
        <v>374</v>
      </c>
      <c r="Z77" s="6">
        <f t="shared" ref="Z77:Z138" si="23">ROUND(V77*$V$10+W77*$W$10+X77*$X$10,0)</f>
        <v>257</v>
      </c>
      <c r="AA77" s="6">
        <f t="shared" ref="AA77:AA140" si="24">IFERROR(ROUND(IF(OR(Z77&lt;=0,($I77+$M77)=0),$Z77*($K77+$O77)/($I77+$M77),$Y77*($K77+$O77)/($H77+$L77)),0),0)</f>
        <v>1882063</v>
      </c>
      <c r="AB77" s="391">
        <f t="shared" ref="AB77:AB139" si="25">K77+O77-Q77-U77-AA77</f>
        <v>0</v>
      </c>
      <c r="AC77" s="391">
        <f t="shared" ref="AC77:AC139" si="26">H77+L77-P77-T77-Y77</f>
        <v>0</v>
      </c>
      <c r="AE77" s="393"/>
    </row>
    <row r="78" spans="1:31" s="390" customFormat="1" ht="24" customHeight="1">
      <c r="A78" s="167">
        <v>67</v>
      </c>
      <c r="B78" s="20" t="str">
        <f>IFERROR(VLOOKUP(A78,'JUNE (물량흐름)'!$A$13:$C$502,2,0),0)</f>
        <v>ALFANI</v>
      </c>
      <c r="C78" s="272">
        <f>VLOOKUP(A78,'JUNE (물량흐름)'!$A$13:$C$502,3,0)</f>
        <v>100003522</v>
      </c>
      <c r="D78" s="6">
        <f>VLOOKUP(C78,'WIP(재공품)'!$B$12:$E$493,4,0)</f>
        <v>7936.2499999999991</v>
      </c>
      <c r="E78" s="6">
        <f>IFERROR(VLOOKUP(C78,O.B.JUNE!$AI$7:$AJ$448,2,0),0)</f>
        <v>0</v>
      </c>
      <c r="F78" s="6">
        <f>IFERROR(VLOOKUP(C78,O.B.JUNE!$AI$7:$AK$448,3,0),0)</f>
        <v>0</v>
      </c>
      <c r="G78" s="6">
        <f>IFERROR(VLOOKUP(C78,O.B.JUNE!$AI$7:$AL$448,4,0),0)</f>
        <v>113</v>
      </c>
      <c r="H78" s="6">
        <f t="shared" si="17"/>
        <v>113</v>
      </c>
      <c r="I78" s="6">
        <f>IFERROR(VLOOKUP(C78,O.B.JUNE!$AI$7:$AN$448,6,0),0)</f>
        <v>90</v>
      </c>
      <c r="J78" s="6"/>
      <c r="K78" s="6">
        <f>IFERROR(VLOOKUP(C78,O.B.JUNE!$AI$7:$AO$448,7,0),0)</f>
        <v>1256254</v>
      </c>
      <c r="L78" s="6">
        <f>SUMIF('JUNE (물량흐름)'!$C$13:$C$488,'Overhead exp(제조경비)'!C78,'JUNE (물량흐름)'!$H$13:$H$493)+SUMIF('JUNE (물량흐름)'!$C$13:$C$493,'Overhead exp(제조경비)'!C78,'JUNE (물량흐름)'!$V$13:$V$493)</f>
        <v>0</v>
      </c>
      <c r="M78" s="6">
        <f t="shared" si="18"/>
        <v>0</v>
      </c>
      <c r="N78" s="6">
        <f t="shared" si="19"/>
        <v>0</v>
      </c>
      <c r="O78" s="6">
        <f t="shared" si="16"/>
        <v>0</v>
      </c>
      <c r="P78" s="6">
        <f>SUMIF('JUNE (물량흐름)'!$C$13:$C$502,C78,'JUNE (물량흐름)'!$T$13:$T$502)+SUMIF('JUNE (물량흐름)'!$C$13:$C$502,C78,'JUNE (물량흐름)'!$V$13:$V$502)+SUMIF('JUNE (물량흐름)'!$C$13:$C$502,C78,'JUNE (물량흐름)'!$U$13:$U$502)-SUMIF('JUNE (물량흐름)'!$C$13:$C$502,C78,'JUNE (물량흐름)'!$Y$13:$Y$502)</f>
        <v>0</v>
      </c>
      <c r="Q78" s="6">
        <f t="shared" si="20"/>
        <v>0</v>
      </c>
      <c r="R78" s="6">
        <f>IF(ISERROR(VLOOKUP(#REF!,'WIP(재공품)'!$B$12:$AB$38,13,0)),0,VLOOKUP(#REF!,'WIP(재공품)'!$B$12:$AB$38,13,0))</f>
        <v>0</v>
      </c>
      <c r="S78" s="6">
        <f>IF(ISERROR(VLOOKUP(#REF!,'WIP(재공품)'!$B$12:$AB$38,10,0)),0,VLOOKUP(#REF!,'WIP(재공품)'!$B$12:$AB$38,10,0))</f>
        <v>0</v>
      </c>
      <c r="T78" s="6">
        <f>SUMIF('JUNE (물량흐름)'!$C$13:$C$502,'Overhead exp(제조경비)'!C78,'JUNE (물량흐름)'!$Y$13:$Y$502)</f>
        <v>0</v>
      </c>
      <c r="U78" s="6">
        <f t="shared" si="21"/>
        <v>0</v>
      </c>
      <c r="V78" s="6">
        <f>ROUND(SUMIF('JUNE (물량흐름)'!$C$13:$C$502,'Overhead exp(제조경비)'!C78,'JUNE (물량흐름)'!$N$13:$N$502),0)</f>
        <v>0</v>
      </c>
      <c r="W78" s="6">
        <f>ROUND(SUMIF('JUNE (물량흐름)'!$C$13:$C$502,'Overhead exp(제조경비)'!C78,'JUNE (물량흐름)'!$O$13:$O$502),0)</f>
        <v>0</v>
      </c>
      <c r="X78" s="6">
        <f>ROUND(SUMIF('JUNE (물량흐름)'!$C$13:$C$502,'Overhead exp(제조경비)'!C78,'JUNE (물량흐름)'!$P$13:$P$502),0)</f>
        <v>113</v>
      </c>
      <c r="Y78" s="6">
        <f t="shared" si="22"/>
        <v>113</v>
      </c>
      <c r="Z78" s="6">
        <f t="shared" si="23"/>
        <v>90</v>
      </c>
      <c r="AA78" s="6">
        <f t="shared" si="24"/>
        <v>1256254</v>
      </c>
      <c r="AB78" s="391">
        <f t="shared" si="25"/>
        <v>0</v>
      </c>
      <c r="AC78" s="391">
        <f t="shared" si="26"/>
        <v>0</v>
      </c>
      <c r="AE78" s="393"/>
    </row>
    <row r="79" spans="1:31" s="390" customFormat="1" ht="24" customHeight="1">
      <c r="A79" s="167">
        <v>68</v>
      </c>
      <c r="B79" s="20" t="str">
        <f>IFERROR(VLOOKUP(A79,'JUNE (물량흐름)'!$A$13:$C$502,2,0),0)</f>
        <v>ALFANI</v>
      </c>
      <c r="C79" s="272">
        <f>VLOOKUP(A79,'JUNE (물량흐름)'!$A$13:$C$502,3,0)</f>
        <v>100003523</v>
      </c>
      <c r="D79" s="6">
        <f>VLOOKUP(C79,'WIP(재공품)'!$B$12:$E$493,4,0)</f>
        <v>7936.2499999999991</v>
      </c>
      <c r="E79" s="6">
        <f>IFERROR(VLOOKUP(C79,O.B.JUNE!$AI$7:$AJ$448,2,0),0)</f>
        <v>0</v>
      </c>
      <c r="F79" s="6">
        <f>IFERROR(VLOOKUP(C79,O.B.JUNE!$AI$7:$AK$448,3,0),0)</f>
        <v>0</v>
      </c>
      <c r="G79" s="6">
        <f>IFERROR(VLOOKUP(C79,O.B.JUNE!$AI$7:$AL$448,4,0),0)</f>
        <v>113</v>
      </c>
      <c r="H79" s="6">
        <f t="shared" si="17"/>
        <v>113</v>
      </c>
      <c r="I79" s="6">
        <f>IFERROR(VLOOKUP(C79,O.B.JUNE!$AI$7:$AN$448,6,0),0)</f>
        <v>90</v>
      </c>
      <c r="J79" s="6"/>
      <c r="K79" s="6">
        <f>IFERROR(VLOOKUP(C79,O.B.JUNE!$AI$7:$AO$448,7,0),0)</f>
        <v>1256254</v>
      </c>
      <c r="L79" s="6">
        <f>SUMIF('JUNE (물량흐름)'!$C$13:$C$488,'Overhead exp(제조경비)'!C79,'JUNE (물량흐름)'!$H$13:$H$493)+SUMIF('JUNE (물량흐름)'!$C$13:$C$493,'Overhead exp(제조경비)'!C79,'JUNE (물량흐름)'!$V$13:$V$493)</f>
        <v>0</v>
      </c>
      <c r="M79" s="6">
        <f t="shared" si="18"/>
        <v>0</v>
      </c>
      <c r="N79" s="6">
        <f t="shared" si="19"/>
        <v>0</v>
      </c>
      <c r="O79" s="6">
        <f t="shared" si="16"/>
        <v>0</v>
      </c>
      <c r="P79" s="6">
        <f>SUMIF('JUNE (물량흐름)'!$C$13:$C$502,C79,'JUNE (물량흐름)'!$T$13:$T$502)+SUMIF('JUNE (물량흐름)'!$C$13:$C$502,C79,'JUNE (물량흐름)'!$V$13:$V$502)+SUMIF('JUNE (물량흐름)'!$C$13:$C$502,C79,'JUNE (물량흐름)'!$U$13:$U$502)-SUMIF('JUNE (물량흐름)'!$C$13:$C$502,C79,'JUNE (물량흐름)'!$Y$13:$Y$502)</f>
        <v>0</v>
      </c>
      <c r="Q79" s="6">
        <f t="shared" si="20"/>
        <v>0</v>
      </c>
      <c r="R79" s="6">
        <f>IF(ISERROR(VLOOKUP(#REF!,'WIP(재공품)'!$B$12:$AB$38,13,0)),0,VLOOKUP(#REF!,'WIP(재공품)'!$B$12:$AB$38,13,0))</f>
        <v>0</v>
      </c>
      <c r="S79" s="6">
        <f>IF(ISERROR(VLOOKUP(#REF!,'WIP(재공품)'!$B$12:$AB$38,10,0)),0,VLOOKUP(#REF!,'WIP(재공품)'!$B$12:$AB$38,10,0))</f>
        <v>0</v>
      </c>
      <c r="T79" s="6">
        <f>SUMIF('JUNE (물량흐름)'!$C$13:$C$502,'Overhead exp(제조경비)'!C79,'JUNE (물량흐름)'!$Y$13:$Y$502)</f>
        <v>0</v>
      </c>
      <c r="U79" s="6">
        <f t="shared" si="21"/>
        <v>0</v>
      </c>
      <c r="V79" s="6">
        <f>ROUND(SUMIF('JUNE (물량흐름)'!$C$13:$C$502,'Overhead exp(제조경비)'!C79,'JUNE (물량흐름)'!$N$13:$N$502),0)</f>
        <v>0</v>
      </c>
      <c r="W79" s="6">
        <f>ROUND(SUMIF('JUNE (물량흐름)'!$C$13:$C$502,'Overhead exp(제조경비)'!C79,'JUNE (물량흐름)'!$O$13:$O$502),0)</f>
        <v>0</v>
      </c>
      <c r="X79" s="6">
        <f>ROUND(SUMIF('JUNE (물량흐름)'!$C$13:$C$502,'Overhead exp(제조경비)'!C79,'JUNE (물량흐름)'!$P$13:$P$502),0)</f>
        <v>113</v>
      </c>
      <c r="Y79" s="6">
        <f t="shared" si="22"/>
        <v>113</v>
      </c>
      <c r="Z79" s="6">
        <f t="shared" si="23"/>
        <v>90</v>
      </c>
      <c r="AA79" s="6">
        <f t="shared" si="24"/>
        <v>1256254</v>
      </c>
      <c r="AB79" s="391">
        <f t="shared" si="25"/>
        <v>0</v>
      </c>
      <c r="AC79" s="391">
        <f t="shared" si="26"/>
        <v>0</v>
      </c>
      <c r="AE79" s="393"/>
    </row>
    <row r="80" spans="1:31" s="390" customFormat="1" ht="24" customHeight="1">
      <c r="A80" s="167">
        <v>69</v>
      </c>
      <c r="B80" s="20" t="str">
        <f>IFERROR(VLOOKUP(A80,'JUNE (물량흐름)'!$A$13:$C$502,2,0),0)</f>
        <v>ALFANI</v>
      </c>
      <c r="C80" s="272">
        <f>VLOOKUP(A80,'JUNE (물량흐름)'!$A$13:$C$502,3,0)</f>
        <v>100003547</v>
      </c>
      <c r="D80" s="6">
        <f>VLOOKUP(C80,'WIP(재공품)'!$B$12:$E$493,4,0)</f>
        <v>7936.2499999999991</v>
      </c>
      <c r="E80" s="6">
        <f>IFERROR(VLOOKUP(C80,O.B.JUNE!$AI$7:$AJ$448,2,0),0)</f>
        <v>0</v>
      </c>
      <c r="F80" s="6">
        <f>IFERROR(VLOOKUP(C80,O.B.JUNE!$AI$7:$AK$448,3,0),0)</f>
        <v>0</v>
      </c>
      <c r="G80" s="6">
        <f>IFERROR(VLOOKUP(C80,O.B.JUNE!$AI$7:$AL$448,4,0),0)</f>
        <v>324</v>
      </c>
      <c r="H80" s="6">
        <f t="shared" si="17"/>
        <v>324</v>
      </c>
      <c r="I80" s="6">
        <f>IFERROR(VLOOKUP(C80,O.B.JUNE!$AI$7:$AN$448,6,0),0)</f>
        <v>259</v>
      </c>
      <c r="J80" s="6"/>
      <c r="K80" s="6">
        <f>IFERROR(VLOOKUP(C80,O.B.JUNE!$AI$7:$AO$448,7,0),0)</f>
        <v>7559093</v>
      </c>
      <c r="L80" s="6">
        <f>SUMIF('JUNE (물량흐름)'!$C$13:$C$488,'Overhead exp(제조경비)'!C80,'JUNE (물량흐름)'!$H$13:$H$493)+SUMIF('JUNE (물량흐름)'!$C$13:$C$493,'Overhead exp(제조경비)'!C80,'JUNE (물량흐름)'!$V$13:$V$493)</f>
        <v>0</v>
      </c>
      <c r="M80" s="6">
        <f t="shared" si="18"/>
        <v>0</v>
      </c>
      <c r="N80" s="6">
        <f t="shared" si="19"/>
        <v>0</v>
      </c>
      <c r="O80" s="6">
        <f t="shared" si="16"/>
        <v>0</v>
      </c>
      <c r="P80" s="6">
        <f>SUMIF('JUNE (물량흐름)'!$C$13:$C$502,C80,'JUNE (물량흐름)'!$T$13:$T$502)+SUMIF('JUNE (물량흐름)'!$C$13:$C$502,C80,'JUNE (물량흐름)'!$V$13:$V$502)+SUMIF('JUNE (물량흐름)'!$C$13:$C$502,C80,'JUNE (물량흐름)'!$U$13:$U$502)-SUMIF('JUNE (물량흐름)'!$C$13:$C$502,C80,'JUNE (물량흐름)'!$Y$13:$Y$502)</f>
        <v>0</v>
      </c>
      <c r="Q80" s="6">
        <f t="shared" si="20"/>
        <v>0</v>
      </c>
      <c r="R80" s="6">
        <f>IF(ISERROR(VLOOKUP(#REF!,'WIP(재공품)'!$B$12:$AB$38,13,0)),0,VLOOKUP(#REF!,'WIP(재공품)'!$B$12:$AB$38,13,0))</f>
        <v>0</v>
      </c>
      <c r="S80" s="6">
        <f>IF(ISERROR(VLOOKUP(#REF!,'WIP(재공품)'!$B$12:$AB$38,10,0)),0,VLOOKUP(#REF!,'WIP(재공품)'!$B$12:$AB$38,10,0))</f>
        <v>0</v>
      </c>
      <c r="T80" s="6">
        <f>SUMIF('JUNE (물량흐름)'!$C$13:$C$502,'Overhead exp(제조경비)'!C80,'JUNE (물량흐름)'!$Y$13:$Y$502)</f>
        <v>0</v>
      </c>
      <c r="U80" s="6">
        <f t="shared" si="21"/>
        <v>0</v>
      </c>
      <c r="V80" s="6">
        <f>ROUND(SUMIF('JUNE (물량흐름)'!$C$13:$C$502,'Overhead exp(제조경비)'!C80,'JUNE (물량흐름)'!$N$13:$N$502),0)</f>
        <v>0</v>
      </c>
      <c r="W80" s="6">
        <f>ROUND(SUMIF('JUNE (물량흐름)'!$C$13:$C$502,'Overhead exp(제조경비)'!C80,'JUNE (물량흐름)'!$O$13:$O$502),0)</f>
        <v>0</v>
      </c>
      <c r="X80" s="6">
        <f>ROUND(SUMIF('JUNE (물량흐름)'!$C$13:$C$502,'Overhead exp(제조경비)'!C80,'JUNE (물량흐름)'!$P$13:$P$502),0)</f>
        <v>324</v>
      </c>
      <c r="Y80" s="167">
        <f t="shared" ref="Y80" si="27">ROUND(SUM(V80:X80),0)</f>
        <v>324</v>
      </c>
      <c r="Z80" s="167">
        <f t="shared" si="23"/>
        <v>259</v>
      </c>
      <c r="AA80" s="6">
        <f t="shared" si="24"/>
        <v>7559093</v>
      </c>
      <c r="AB80" s="391">
        <f t="shared" si="25"/>
        <v>0</v>
      </c>
      <c r="AC80" s="391">
        <f t="shared" si="26"/>
        <v>0</v>
      </c>
      <c r="AE80" s="393"/>
    </row>
    <row r="81" spans="1:31" s="390" customFormat="1" ht="24" customHeight="1">
      <c r="A81" s="167">
        <v>70</v>
      </c>
      <c r="B81" s="20" t="str">
        <f>IFERROR(VLOOKUP(A81,'JUNE (물량흐름)'!$A$13:$C$502,2,0),0)</f>
        <v>ALFANI</v>
      </c>
      <c r="C81" s="272">
        <f>VLOOKUP(A81,'JUNE (물량흐름)'!$A$13:$C$502,3,0)</f>
        <v>100003559</v>
      </c>
      <c r="D81" s="6">
        <f>VLOOKUP(C81,'WIP(재공품)'!$B$12:$E$493,4,0)</f>
        <v>8163</v>
      </c>
      <c r="E81" s="6">
        <f>IFERROR(VLOOKUP(C81,O.B.JUNE!$AI$7:$AJ$448,2,0),0)</f>
        <v>0</v>
      </c>
      <c r="F81" s="6">
        <f>IFERROR(VLOOKUP(C81,O.B.JUNE!$AI$7:$AK$448,3,0),0)</f>
        <v>0</v>
      </c>
      <c r="G81" s="6">
        <f>IFERROR(VLOOKUP(C81,O.B.JUNE!$AI$7:$AL$448,4,0),0)</f>
        <v>81</v>
      </c>
      <c r="H81" s="6">
        <f t="shared" si="17"/>
        <v>81</v>
      </c>
      <c r="I81" s="6">
        <f>IFERROR(VLOOKUP(C81,O.B.JUNE!$AI$7:$AN$448,6,0),0)</f>
        <v>65</v>
      </c>
      <c r="J81" s="6"/>
      <c r="K81" s="6">
        <f>IFERROR(VLOOKUP(C81,O.B.JUNE!$AI$7:$AO$448,7,0),0)</f>
        <v>907294</v>
      </c>
      <c r="L81" s="6">
        <f>SUMIF('JUNE (물량흐름)'!$C$13:$C$488,'Overhead exp(제조경비)'!C81,'JUNE (물량흐름)'!$H$13:$H$493)+SUMIF('JUNE (물량흐름)'!$C$13:$C$493,'Overhead exp(제조경비)'!C81,'JUNE (물량흐름)'!$V$13:$V$493)</f>
        <v>0</v>
      </c>
      <c r="M81" s="6">
        <f t="shared" si="18"/>
        <v>0</v>
      </c>
      <c r="N81" s="6">
        <f t="shared" si="19"/>
        <v>0</v>
      </c>
      <c r="O81" s="6">
        <f t="shared" si="16"/>
        <v>0</v>
      </c>
      <c r="P81" s="6">
        <f>SUMIF('JUNE (물량흐름)'!$C$13:$C$502,C81,'JUNE (물량흐름)'!$T$13:$T$502)+SUMIF('JUNE (물량흐름)'!$C$13:$C$502,C81,'JUNE (물량흐름)'!$V$13:$V$502)+SUMIF('JUNE (물량흐름)'!$C$13:$C$502,C81,'JUNE (물량흐름)'!$U$13:$U$502)-SUMIF('JUNE (물량흐름)'!$C$13:$C$502,C81,'JUNE (물량흐름)'!$Y$13:$Y$502)</f>
        <v>0</v>
      </c>
      <c r="Q81" s="6">
        <f t="shared" si="20"/>
        <v>0</v>
      </c>
      <c r="R81" s="6">
        <f>IF(ISERROR(VLOOKUP(#REF!,'WIP(재공품)'!$B$12:$AB$38,13,0)),0,VLOOKUP(#REF!,'WIP(재공품)'!$B$12:$AB$38,13,0))</f>
        <v>0</v>
      </c>
      <c r="S81" s="6">
        <f>IF(ISERROR(VLOOKUP(#REF!,'WIP(재공품)'!$B$12:$AB$38,10,0)),0,VLOOKUP(#REF!,'WIP(재공품)'!$B$12:$AB$38,10,0))</f>
        <v>0</v>
      </c>
      <c r="T81" s="6">
        <f>SUMIF('JUNE (물량흐름)'!$C$13:$C$502,'Overhead exp(제조경비)'!C81,'JUNE (물량흐름)'!$Y$13:$Y$502)</f>
        <v>0</v>
      </c>
      <c r="U81" s="6">
        <f t="shared" si="21"/>
        <v>0</v>
      </c>
      <c r="V81" s="6">
        <f>ROUND(SUMIF('JUNE (물량흐름)'!$C$13:$C$502,'Overhead exp(제조경비)'!C81,'JUNE (물량흐름)'!$N$13:$N$502),0)</f>
        <v>0</v>
      </c>
      <c r="W81" s="6">
        <f>ROUND(SUMIF('JUNE (물량흐름)'!$C$13:$C$502,'Overhead exp(제조경비)'!C81,'JUNE (물량흐름)'!$O$13:$O$502),0)</f>
        <v>0</v>
      </c>
      <c r="X81" s="6">
        <f>ROUND(SUMIF('JUNE (물량흐름)'!$C$13:$C$502,'Overhead exp(제조경비)'!C81,'JUNE (물량흐름)'!$P$13:$P$502),0)</f>
        <v>81</v>
      </c>
      <c r="Y81" s="6">
        <f t="shared" si="22"/>
        <v>81</v>
      </c>
      <c r="Z81" s="6">
        <f t="shared" si="23"/>
        <v>65</v>
      </c>
      <c r="AA81" s="6">
        <f t="shared" si="24"/>
        <v>907294</v>
      </c>
      <c r="AB81" s="391">
        <f t="shared" si="25"/>
        <v>0</v>
      </c>
      <c r="AC81" s="391">
        <f t="shared" si="26"/>
        <v>0</v>
      </c>
      <c r="AE81" s="393"/>
    </row>
    <row r="82" spans="1:31" s="390" customFormat="1" ht="24" customHeight="1">
      <c r="A82" s="167">
        <v>71</v>
      </c>
      <c r="B82" s="20" t="str">
        <f>IFERROR(VLOOKUP(A82,'JUNE (물량흐름)'!$A$13:$C$502,2,0),0)</f>
        <v>ALFANI</v>
      </c>
      <c r="C82" s="272">
        <f>VLOOKUP(A82,'JUNE (물량흐름)'!$A$13:$C$502,3,0)</f>
        <v>100003582</v>
      </c>
      <c r="D82" s="6">
        <f>VLOOKUP(C82,'WIP(재공품)'!$B$12:$E$493,4,0)</f>
        <v>8163</v>
      </c>
      <c r="E82" s="6">
        <f>IFERROR(VLOOKUP(C82,O.B.JUNE!$AI$7:$AJ$448,2,0),0)</f>
        <v>0</v>
      </c>
      <c r="F82" s="6">
        <f>IFERROR(VLOOKUP(C82,O.B.JUNE!$AI$7:$AK$448,3,0),0)</f>
        <v>0</v>
      </c>
      <c r="G82" s="6">
        <f>IFERROR(VLOOKUP(C82,O.B.JUNE!$AI$7:$AL$448,4,0),0)</f>
        <v>109</v>
      </c>
      <c r="H82" s="6">
        <f t="shared" si="17"/>
        <v>109</v>
      </c>
      <c r="I82" s="6">
        <f>IFERROR(VLOOKUP(C82,O.B.JUNE!$AI$7:$AN$448,6,0),0)</f>
        <v>87</v>
      </c>
      <c r="J82" s="6"/>
      <c r="K82" s="6">
        <f>IFERROR(VLOOKUP(C82,O.B.JUNE!$AI$7:$AO$448,7,0),0)</f>
        <v>2461588</v>
      </c>
      <c r="L82" s="6">
        <f>SUMIF('JUNE (물량흐름)'!$C$13:$C$488,'Overhead exp(제조경비)'!C82,'JUNE (물량흐름)'!$H$13:$H$493)+SUMIF('JUNE (물량흐름)'!$C$13:$C$493,'Overhead exp(제조경비)'!C82,'JUNE (물량흐름)'!$V$13:$V$493)</f>
        <v>0</v>
      </c>
      <c r="M82" s="6">
        <f t="shared" si="18"/>
        <v>0</v>
      </c>
      <c r="N82" s="6">
        <f t="shared" si="19"/>
        <v>0</v>
      </c>
      <c r="O82" s="6">
        <f t="shared" si="16"/>
        <v>0</v>
      </c>
      <c r="P82" s="6">
        <f>SUMIF('JUNE (물량흐름)'!$C$13:$C$502,C82,'JUNE (물량흐름)'!$T$13:$T$502)+SUMIF('JUNE (물량흐름)'!$C$13:$C$502,C82,'JUNE (물량흐름)'!$V$13:$V$502)+SUMIF('JUNE (물량흐름)'!$C$13:$C$502,C82,'JUNE (물량흐름)'!$U$13:$U$502)-SUMIF('JUNE (물량흐름)'!$C$13:$C$502,C82,'JUNE (물량흐름)'!$Y$13:$Y$502)</f>
        <v>0</v>
      </c>
      <c r="Q82" s="6">
        <f t="shared" si="20"/>
        <v>0</v>
      </c>
      <c r="R82" s="6">
        <f>IF(ISERROR(VLOOKUP(#REF!,'WIP(재공품)'!$B$12:$AB$38,13,0)),0,VLOOKUP(#REF!,'WIP(재공품)'!$B$12:$AB$38,13,0))</f>
        <v>0</v>
      </c>
      <c r="S82" s="6">
        <f>IF(ISERROR(VLOOKUP(#REF!,'WIP(재공품)'!$B$12:$AB$38,10,0)),0,VLOOKUP(#REF!,'WIP(재공품)'!$B$12:$AB$38,10,0))</f>
        <v>0</v>
      </c>
      <c r="T82" s="6">
        <f>SUMIF('JUNE (물량흐름)'!$C$13:$C$502,'Overhead exp(제조경비)'!C82,'JUNE (물량흐름)'!$Y$13:$Y$502)</f>
        <v>0</v>
      </c>
      <c r="U82" s="6">
        <f t="shared" si="21"/>
        <v>0</v>
      </c>
      <c r="V82" s="6">
        <f>ROUND(SUMIF('JUNE (물량흐름)'!$C$13:$C$502,'Overhead exp(제조경비)'!C82,'JUNE (물량흐름)'!$N$13:$N$502),0)</f>
        <v>0</v>
      </c>
      <c r="W82" s="6">
        <f>ROUND(SUMIF('JUNE (물량흐름)'!$C$13:$C$502,'Overhead exp(제조경비)'!C82,'JUNE (물량흐름)'!$O$13:$O$502),0)</f>
        <v>0</v>
      </c>
      <c r="X82" s="6">
        <f>ROUND(SUMIF('JUNE (물량흐름)'!$C$13:$C$502,'Overhead exp(제조경비)'!C82,'JUNE (물량흐름)'!$P$13:$P$502),0)</f>
        <v>109</v>
      </c>
      <c r="Y82" s="6">
        <f t="shared" si="22"/>
        <v>109</v>
      </c>
      <c r="Z82" s="6">
        <f t="shared" si="23"/>
        <v>87</v>
      </c>
      <c r="AA82" s="6">
        <f t="shared" si="24"/>
        <v>2461588</v>
      </c>
      <c r="AB82" s="391">
        <f t="shared" si="25"/>
        <v>0</v>
      </c>
      <c r="AC82" s="391">
        <f t="shared" si="26"/>
        <v>0</v>
      </c>
      <c r="AE82" s="393"/>
    </row>
    <row r="83" spans="1:31" s="390" customFormat="1" ht="24" customHeight="1">
      <c r="A83" s="167">
        <v>72</v>
      </c>
      <c r="B83" s="20" t="str">
        <f>IFERROR(VLOOKUP(A83,'JUNE (물량흐름)'!$A$13:$C$502,2,0),0)</f>
        <v>ALFANI</v>
      </c>
      <c r="C83" s="272">
        <f>VLOOKUP(A83,'JUNE (물량흐름)'!$A$13:$C$502,3,0)</f>
        <v>100003585</v>
      </c>
      <c r="D83" s="6">
        <f>VLOOKUP(C83,'WIP(재공품)'!$B$12:$E$493,4,0)</f>
        <v>7936.2499999999991</v>
      </c>
      <c r="E83" s="6">
        <f>IFERROR(VLOOKUP(C83,O.B.JUNE!$AI$7:$AJ$448,2,0),0)</f>
        <v>0</v>
      </c>
      <c r="F83" s="6">
        <f>IFERROR(VLOOKUP(C83,O.B.JUNE!$AI$7:$AK$448,3,0),0)</f>
        <v>0</v>
      </c>
      <c r="G83" s="6">
        <f>IFERROR(VLOOKUP(C83,O.B.JUNE!$AI$7:$AL$448,4,0),0)</f>
        <v>51</v>
      </c>
      <c r="H83" s="6">
        <f t="shared" si="17"/>
        <v>51</v>
      </c>
      <c r="I83" s="6">
        <f>IFERROR(VLOOKUP(C83,O.B.JUNE!$AI$7:$AN$448,6,0),0)</f>
        <v>41</v>
      </c>
      <c r="J83" s="6"/>
      <c r="K83" s="6">
        <f>IFERROR(VLOOKUP(C83,O.B.JUNE!$AI$7:$AO$448,7,0),0)</f>
        <v>1349483</v>
      </c>
      <c r="L83" s="6">
        <f>SUMIF('JUNE (물량흐름)'!$C$13:$C$488,'Overhead exp(제조경비)'!C83,'JUNE (물량흐름)'!$H$13:$H$493)+SUMIF('JUNE (물량흐름)'!$C$13:$C$493,'Overhead exp(제조경비)'!C83,'JUNE (물량흐름)'!$V$13:$V$493)</f>
        <v>0</v>
      </c>
      <c r="M83" s="6">
        <f t="shared" si="18"/>
        <v>0</v>
      </c>
      <c r="N83" s="6">
        <f t="shared" si="19"/>
        <v>0</v>
      </c>
      <c r="O83" s="6">
        <f t="shared" si="16"/>
        <v>0</v>
      </c>
      <c r="P83" s="6">
        <f>SUMIF('JUNE (물량흐름)'!$C$13:$C$502,C83,'JUNE (물량흐름)'!$T$13:$T$502)+SUMIF('JUNE (물량흐름)'!$C$13:$C$502,C83,'JUNE (물량흐름)'!$V$13:$V$502)+SUMIF('JUNE (물량흐름)'!$C$13:$C$502,C83,'JUNE (물량흐름)'!$U$13:$U$502)-SUMIF('JUNE (물량흐름)'!$C$13:$C$502,C83,'JUNE (물량흐름)'!$Y$13:$Y$502)</f>
        <v>0</v>
      </c>
      <c r="Q83" s="6">
        <f t="shared" si="20"/>
        <v>0</v>
      </c>
      <c r="R83" s="6">
        <f>IF(ISERROR(VLOOKUP(#REF!,'WIP(재공품)'!$B$12:$AB$38,13,0)),0,VLOOKUP(#REF!,'WIP(재공품)'!$B$12:$AB$38,13,0))</f>
        <v>0</v>
      </c>
      <c r="S83" s="6">
        <f>IF(ISERROR(VLOOKUP(#REF!,'WIP(재공품)'!$B$12:$AB$38,10,0)),0,VLOOKUP(#REF!,'WIP(재공품)'!$B$12:$AB$38,10,0))</f>
        <v>0</v>
      </c>
      <c r="T83" s="6">
        <f>SUMIF('JUNE (물량흐름)'!$C$13:$C$502,'Overhead exp(제조경비)'!C83,'JUNE (물량흐름)'!$Y$13:$Y$502)</f>
        <v>0</v>
      </c>
      <c r="U83" s="6">
        <f t="shared" si="21"/>
        <v>0</v>
      </c>
      <c r="V83" s="6">
        <f>ROUND(SUMIF('JUNE (물량흐름)'!$C$13:$C$502,'Overhead exp(제조경비)'!C83,'JUNE (물량흐름)'!$N$13:$N$502),0)</f>
        <v>0</v>
      </c>
      <c r="W83" s="6">
        <f>ROUND(SUMIF('JUNE (물량흐름)'!$C$13:$C$502,'Overhead exp(제조경비)'!C83,'JUNE (물량흐름)'!$O$13:$O$502),0)</f>
        <v>0</v>
      </c>
      <c r="X83" s="6">
        <f>ROUND(SUMIF('JUNE (물량흐름)'!$C$13:$C$502,'Overhead exp(제조경비)'!C83,'JUNE (물량흐름)'!$P$13:$P$502),0)</f>
        <v>51</v>
      </c>
      <c r="Y83" s="6">
        <f t="shared" si="22"/>
        <v>51</v>
      </c>
      <c r="Z83" s="6">
        <f t="shared" si="23"/>
        <v>41</v>
      </c>
      <c r="AA83" s="6">
        <f t="shared" si="24"/>
        <v>1349483</v>
      </c>
      <c r="AB83" s="391">
        <f t="shared" si="25"/>
        <v>0</v>
      </c>
      <c r="AC83" s="391">
        <f t="shared" si="26"/>
        <v>0</v>
      </c>
      <c r="AE83" s="393"/>
    </row>
    <row r="84" spans="1:31" s="390" customFormat="1" ht="24" customHeight="1">
      <c r="A84" s="167">
        <v>73</v>
      </c>
      <c r="B84" s="20" t="str">
        <f>IFERROR(VLOOKUP(A84,'JUNE (물량흐름)'!$A$13:$C$502,2,0),0)</f>
        <v>ALFANI</v>
      </c>
      <c r="C84" s="272">
        <f>VLOOKUP(A84,'JUNE (물량흐름)'!$A$13:$C$502,3,0)</f>
        <v>100003592</v>
      </c>
      <c r="D84" s="6">
        <f>VLOOKUP(C84,'WIP(재공품)'!$B$12:$E$493,4,0)</f>
        <v>68025</v>
      </c>
      <c r="E84" s="6">
        <f>IFERROR(VLOOKUP(C84,O.B.JUNE!$AI$7:$AJ$448,2,0),0)</f>
        <v>0</v>
      </c>
      <c r="F84" s="6">
        <f>IFERROR(VLOOKUP(C84,O.B.JUNE!$AI$7:$AK$448,3,0),0)</f>
        <v>0</v>
      </c>
      <c r="G84" s="6">
        <f>IFERROR(VLOOKUP(C84,O.B.JUNE!$AI$7:$AL$448,4,0),0)</f>
        <v>85</v>
      </c>
      <c r="H84" s="6">
        <f t="shared" si="17"/>
        <v>85</v>
      </c>
      <c r="I84" s="6">
        <f>IFERROR(VLOOKUP(C84,O.B.JUNE!$AI$7:$AN$448,6,0),0)</f>
        <v>68</v>
      </c>
      <c r="J84" s="6"/>
      <c r="K84" s="6">
        <f>IFERROR(VLOOKUP(C84,O.B.JUNE!$AI$7:$AO$448,7,0),0)</f>
        <v>877166</v>
      </c>
      <c r="L84" s="6">
        <f>SUMIF('JUNE (물량흐름)'!$C$13:$C$488,'Overhead exp(제조경비)'!C84,'JUNE (물량흐름)'!$H$13:$H$493)+SUMIF('JUNE (물량흐름)'!$C$13:$C$493,'Overhead exp(제조경비)'!C84,'JUNE (물량흐름)'!$V$13:$V$493)</f>
        <v>0</v>
      </c>
      <c r="M84" s="6">
        <f t="shared" si="18"/>
        <v>0</v>
      </c>
      <c r="N84" s="6">
        <f t="shared" si="19"/>
        <v>0</v>
      </c>
      <c r="O84" s="6">
        <f t="shared" si="16"/>
        <v>0</v>
      </c>
      <c r="P84" s="6">
        <f>SUMIF('JUNE (물량흐름)'!$C$13:$C$502,C84,'JUNE (물량흐름)'!$T$13:$T$502)+SUMIF('JUNE (물량흐름)'!$C$13:$C$502,C84,'JUNE (물량흐름)'!$V$13:$V$502)+SUMIF('JUNE (물량흐름)'!$C$13:$C$502,C84,'JUNE (물량흐름)'!$U$13:$U$502)-SUMIF('JUNE (물량흐름)'!$C$13:$C$502,C84,'JUNE (물량흐름)'!$Y$13:$Y$502)</f>
        <v>0</v>
      </c>
      <c r="Q84" s="6">
        <f t="shared" si="20"/>
        <v>0</v>
      </c>
      <c r="R84" s="6">
        <f>IF(ISERROR(VLOOKUP(#REF!,'WIP(재공품)'!$B$12:$AB$38,13,0)),0,VLOOKUP(#REF!,'WIP(재공품)'!$B$12:$AB$38,13,0))</f>
        <v>0</v>
      </c>
      <c r="S84" s="6">
        <f>IF(ISERROR(VLOOKUP(#REF!,'WIP(재공품)'!$B$12:$AB$38,10,0)),0,VLOOKUP(#REF!,'WIP(재공품)'!$B$12:$AB$38,10,0))</f>
        <v>0</v>
      </c>
      <c r="T84" s="6">
        <f>SUMIF('JUNE (물량흐름)'!$C$13:$C$502,'Overhead exp(제조경비)'!C84,'JUNE (물량흐름)'!$Y$13:$Y$502)</f>
        <v>0</v>
      </c>
      <c r="U84" s="6">
        <f t="shared" si="21"/>
        <v>0</v>
      </c>
      <c r="V84" s="6">
        <f>ROUND(SUMIF('JUNE (물량흐름)'!$C$13:$C$502,'Overhead exp(제조경비)'!C84,'JUNE (물량흐름)'!$N$13:$N$502),0)</f>
        <v>0</v>
      </c>
      <c r="W84" s="6">
        <f>ROUND(SUMIF('JUNE (물량흐름)'!$C$13:$C$502,'Overhead exp(제조경비)'!C84,'JUNE (물량흐름)'!$O$13:$O$502),0)</f>
        <v>0</v>
      </c>
      <c r="X84" s="6">
        <f>ROUND(SUMIF('JUNE (물량흐름)'!$C$13:$C$502,'Overhead exp(제조경비)'!C84,'JUNE (물량흐름)'!$P$13:$P$502),0)</f>
        <v>85</v>
      </c>
      <c r="Y84" s="6">
        <f t="shared" si="22"/>
        <v>85</v>
      </c>
      <c r="Z84" s="6">
        <f t="shared" si="23"/>
        <v>68</v>
      </c>
      <c r="AA84" s="6">
        <f t="shared" si="24"/>
        <v>877166</v>
      </c>
      <c r="AB84" s="391">
        <f t="shared" si="25"/>
        <v>0</v>
      </c>
      <c r="AC84" s="391">
        <f t="shared" si="26"/>
        <v>0</v>
      </c>
      <c r="AE84" s="393"/>
    </row>
    <row r="85" spans="1:31" s="390" customFormat="1" ht="24" customHeight="1">
      <c r="A85" s="167">
        <v>74</v>
      </c>
      <c r="B85" s="20" t="str">
        <f>IFERROR(VLOOKUP(A85,'JUNE (물량흐름)'!$A$13:$C$502,2,0),0)</f>
        <v>ALFANI</v>
      </c>
      <c r="C85" s="272">
        <f>VLOOKUP(A85,'JUNE (물량흐름)'!$A$13:$C$502,3,0)</f>
        <v>100004432</v>
      </c>
      <c r="D85" s="6">
        <f>VLOOKUP(C85,'WIP(재공품)'!$B$12:$E$493,4,0)</f>
        <v>72560</v>
      </c>
      <c r="E85" s="6">
        <f>IFERROR(VLOOKUP(C85,O.B.JUNE!$AI$7:$AJ$448,2,0),0)</f>
        <v>0</v>
      </c>
      <c r="F85" s="6">
        <f>IFERROR(VLOOKUP(C85,O.B.JUNE!$AI$7:$AK$448,3,0),0)</f>
        <v>0</v>
      </c>
      <c r="G85" s="6">
        <f>IFERROR(VLOOKUP(C85,O.B.JUNE!$AI$7:$AL$448,4,0),0)</f>
        <v>24</v>
      </c>
      <c r="H85" s="6">
        <f t="shared" si="17"/>
        <v>24</v>
      </c>
      <c r="I85" s="6">
        <f>IFERROR(VLOOKUP(C85,O.B.JUNE!$AI$7:$AN$448,6,0),0)</f>
        <v>19</v>
      </c>
      <c r="J85" s="6"/>
      <c r="K85" s="6">
        <f>IFERROR(VLOOKUP(C85,O.B.JUNE!$AI$7:$AO$448,7,0),0)</f>
        <v>901457</v>
      </c>
      <c r="L85" s="6">
        <f>SUMIF('JUNE (물량흐름)'!$C$13:$C$488,'Overhead exp(제조경비)'!C85,'JUNE (물량흐름)'!$H$13:$H$493)+SUMIF('JUNE (물량흐름)'!$C$13:$C$493,'Overhead exp(제조경비)'!C85,'JUNE (물량흐름)'!$V$13:$V$493)</f>
        <v>0</v>
      </c>
      <c r="M85" s="6">
        <f t="shared" si="18"/>
        <v>0</v>
      </c>
      <c r="N85" s="6">
        <f t="shared" si="19"/>
        <v>0</v>
      </c>
      <c r="O85" s="6">
        <f t="shared" si="16"/>
        <v>0</v>
      </c>
      <c r="P85" s="6">
        <f>SUMIF('JUNE (물량흐름)'!$C$13:$C$502,C85,'JUNE (물량흐름)'!$T$13:$T$502)+SUMIF('JUNE (물량흐름)'!$C$13:$C$502,C85,'JUNE (물량흐름)'!$V$13:$V$502)+SUMIF('JUNE (물량흐름)'!$C$13:$C$502,C85,'JUNE (물량흐름)'!$U$13:$U$502)-SUMIF('JUNE (물량흐름)'!$C$13:$C$502,C85,'JUNE (물량흐름)'!$Y$13:$Y$502)</f>
        <v>0</v>
      </c>
      <c r="Q85" s="6">
        <f t="shared" si="20"/>
        <v>0</v>
      </c>
      <c r="R85" s="6">
        <f>IF(ISERROR(VLOOKUP(#REF!,'WIP(재공품)'!$B$12:$AB$38,13,0)),0,VLOOKUP(#REF!,'WIP(재공품)'!$B$12:$AB$38,13,0))</f>
        <v>0</v>
      </c>
      <c r="S85" s="6">
        <f>IF(ISERROR(VLOOKUP(#REF!,'WIP(재공품)'!$B$12:$AB$38,10,0)),0,VLOOKUP(#REF!,'WIP(재공품)'!$B$12:$AB$38,10,0))</f>
        <v>0</v>
      </c>
      <c r="T85" s="6">
        <f>SUMIF('JUNE (물량흐름)'!$C$13:$C$502,'Overhead exp(제조경비)'!C85,'JUNE (물량흐름)'!$Y$13:$Y$502)</f>
        <v>0</v>
      </c>
      <c r="U85" s="6">
        <f t="shared" si="21"/>
        <v>0</v>
      </c>
      <c r="V85" s="6">
        <f>ROUND(SUMIF('JUNE (물량흐름)'!$C$13:$C$502,'Overhead exp(제조경비)'!C85,'JUNE (물량흐름)'!$N$13:$N$502),0)</f>
        <v>0</v>
      </c>
      <c r="W85" s="6">
        <f>ROUND(SUMIF('JUNE (물량흐름)'!$C$13:$C$502,'Overhead exp(제조경비)'!C85,'JUNE (물량흐름)'!$O$13:$O$502),0)</f>
        <v>0</v>
      </c>
      <c r="X85" s="6">
        <f>ROUND(SUMIF('JUNE (물량흐름)'!$C$13:$C$502,'Overhead exp(제조경비)'!C85,'JUNE (물량흐름)'!$P$13:$P$502),0)</f>
        <v>24</v>
      </c>
      <c r="Y85" s="6">
        <f t="shared" si="22"/>
        <v>24</v>
      </c>
      <c r="Z85" s="6">
        <f t="shared" si="23"/>
        <v>19</v>
      </c>
      <c r="AA85" s="6">
        <f t="shared" si="24"/>
        <v>901457</v>
      </c>
      <c r="AB85" s="391">
        <f t="shared" si="25"/>
        <v>0</v>
      </c>
      <c r="AC85" s="391">
        <f t="shared" si="26"/>
        <v>0</v>
      </c>
      <c r="AE85" s="393"/>
    </row>
    <row r="86" spans="1:31" s="390" customFormat="1" ht="24" customHeight="1">
      <c r="A86" s="167">
        <v>75</v>
      </c>
      <c r="B86" s="20" t="str">
        <f>IFERROR(VLOOKUP(A86,'JUNE (물량흐름)'!$A$13:$C$502,2,0),0)</f>
        <v>ALFANI</v>
      </c>
      <c r="C86" s="272">
        <f>VLOOKUP(A86,'JUNE (물량흐름)'!$A$13:$C$502,3,0)</f>
        <v>100008196</v>
      </c>
      <c r="D86" s="6">
        <f>VLOOKUP(C86,'WIP(재공품)'!$B$12:$E$493,4,0)</f>
        <v>95235</v>
      </c>
      <c r="E86" s="6">
        <f>IFERROR(VLOOKUP(C86,O.B.JUNE!$AI$7:$AJ$448,2,0),0)</f>
        <v>0</v>
      </c>
      <c r="F86" s="6">
        <f>IFERROR(VLOOKUP(C86,O.B.JUNE!$AI$7:$AK$448,3,0),0)</f>
        <v>0</v>
      </c>
      <c r="G86" s="6">
        <f>IFERROR(VLOOKUP(C86,O.B.JUNE!$AI$7:$AL$448,4,0),0)</f>
        <v>337</v>
      </c>
      <c r="H86" s="6">
        <f t="shared" si="17"/>
        <v>337</v>
      </c>
      <c r="I86" s="6">
        <f>IFERROR(VLOOKUP(C86,O.B.JUNE!$AI$7:$AN$448,6,0),0)</f>
        <v>270</v>
      </c>
      <c r="J86" s="6"/>
      <c r="K86" s="6">
        <f>IFERROR(VLOOKUP(C86,O.B.JUNE!$AI$7:$AO$448,7,0),0)</f>
        <v>6874340</v>
      </c>
      <c r="L86" s="6">
        <f>SUMIF('JUNE (물량흐름)'!$C$13:$C$488,'Overhead exp(제조경비)'!C86,'JUNE (물량흐름)'!$H$13:$H$493)+SUMIF('JUNE (물량흐름)'!$C$13:$C$493,'Overhead exp(제조경비)'!C86,'JUNE (물량흐름)'!$V$13:$V$493)</f>
        <v>0</v>
      </c>
      <c r="M86" s="6">
        <f t="shared" si="18"/>
        <v>0</v>
      </c>
      <c r="N86" s="6">
        <f t="shared" si="19"/>
        <v>0</v>
      </c>
      <c r="O86" s="6">
        <f t="shared" si="16"/>
        <v>0</v>
      </c>
      <c r="P86" s="6">
        <f>SUMIF('JUNE (물량흐름)'!$C$13:$C$502,C86,'JUNE (물량흐름)'!$T$13:$T$502)+SUMIF('JUNE (물량흐름)'!$C$13:$C$502,C86,'JUNE (물량흐름)'!$V$13:$V$502)+SUMIF('JUNE (물량흐름)'!$C$13:$C$502,C86,'JUNE (물량흐름)'!$U$13:$U$502)-SUMIF('JUNE (물량흐름)'!$C$13:$C$502,C86,'JUNE (물량흐름)'!$Y$13:$Y$502)</f>
        <v>0</v>
      </c>
      <c r="Q86" s="6">
        <f t="shared" si="20"/>
        <v>0</v>
      </c>
      <c r="R86" s="6">
        <f>IF(ISERROR(VLOOKUP(#REF!,'WIP(재공품)'!$B$12:$AB$38,13,0)),0,VLOOKUP(#REF!,'WIP(재공품)'!$B$12:$AB$38,13,0))</f>
        <v>0</v>
      </c>
      <c r="S86" s="6">
        <f>IF(ISERROR(VLOOKUP(#REF!,'WIP(재공품)'!$B$12:$AB$38,10,0)),0,VLOOKUP(#REF!,'WIP(재공품)'!$B$12:$AB$38,10,0))</f>
        <v>0</v>
      </c>
      <c r="T86" s="6">
        <f>SUMIF('JUNE (물량흐름)'!$C$13:$C$502,'Overhead exp(제조경비)'!C86,'JUNE (물량흐름)'!$Y$13:$Y$502)</f>
        <v>0</v>
      </c>
      <c r="U86" s="6">
        <f t="shared" si="21"/>
        <v>0</v>
      </c>
      <c r="V86" s="6">
        <f>ROUND(SUMIF('JUNE (물량흐름)'!$C$13:$C$502,'Overhead exp(제조경비)'!C86,'JUNE (물량흐름)'!$N$13:$N$502),0)</f>
        <v>0</v>
      </c>
      <c r="W86" s="6">
        <f>ROUND(SUMIF('JUNE (물량흐름)'!$C$13:$C$502,'Overhead exp(제조경비)'!C86,'JUNE (물량흐름)'!$O$13:$O$502),0)</f>
        <v>0</v>
      </c>
      <c r="X86" s="6">
        <f>ROUND(SUMIF('JUNE (물량흐름)'!$C$13:$C$502,'Overhead exp(제조경비)'!C86,'JUNE (물량흐름)'!$P$13:$P$502),0)</f>
        <v>337</v>
      </c>
      <c r="Y86" s="6">
        <f t="shared" si="22"/>
        <v>337</v>
      </c>
      <c r="Z86" s="6">
        <f t="shared" si="23"/>
        <v>270</v>
      </c>
      <c r="AA86" s="6">
        <f t="shared" si="24"/>
        <v>6874340</v>
      </c>
      <c r="AB86" s="391">
        <f t="shared" si="25"/>
        <v>0</v>
      </c>
      <c r="AC86" s="391">
        <f t="shared" si="26"/>
        <v>0</v>
      </c>
      <c r="AE86" s="393"/>
    </row>
    <row r="87" spans="1:31" s="390" customFormat="1" ht="24" customHeight="1">
      <c r="A87" s="167">
        <v>76</v>
      </c>
      <c r="B87" s="20" t="str">
        <f>IFERROR(VLOOKUP(A87,'JUNE (물량흐름)'!$A$13:$C$502,2,0),0)</f>
        <v>ALFANI</v>
      </c>
      <c r="C87" s="272">
        <f>VLOOKUP(A87,'JUNE (물량흐름)'!$A$13:$C$502,3,0)</f>
        <v>100008212</v>
      </c>
      <c r="D87" s="6">
        <f>VLOOKUP(C87,'WIP(재공품)'!$B$12:$E$493,4,0)</f>
        <v>72106.5</v>
      </c>
      <c r="E87" s="6">
        <f>IFERROR(VLOOKUP(C87,O.B.JUNE!$AI$7:$AJ$448,2,0),0)</f>
        <v>0</v>
      </c>
      <c r="F87" s="6">
        <f>IFERROR(VLOOKUP(C87,O.B.JUNE!$AI$7:$AK$448,3,0),0)</f>
        <v>0</v>
      </c>
      <c r="G87" s="6">
        <f>IFERROR(VLOOKUP(C87,O.B.JUNE!$AI$7:$AL$448,4,0),0)</f>
        <v>85</v>
      </c>
      <c r="H87" s="6">
        <f t="shared" si="17"/>
        <v>85</v>
      </c>
      <c r="I87" s="6">
        <f>IFERROR(VLOOKUP(C87,O.B.JUNE!$AI$7:$AN$448,6,0),0)</f>
        <v>68</v>
      </c>
      <c r="J87" s="6"/>
      <c r="K87" s="6">
        <f>IFERROR(VLOOKUP(C87,O.B.JUNE!$AI$7:$AO$448,7,0),0)</f>
        <v>1725762</v>
      </c>
      <c r="L87" s="6">
        <f>SUMIF('JUNE (물량흐름)'!$C$13:$C$488,'Overhead exp(제조경비)'!C87,'JUNE (물량흐름)'!$H$13:$H$493)+SUMIF('JUNE (물량흐름)'!$C$13:$C$493,'Overhead exp(제조경비)'!C87,'JUNE (물량흐름)'!$V$13:$V$493)</f>
        <v>0</v>
      </c>
      <c r="M87" s="6">
        <f t="shared" si="18"/>
        <v>0</v>
      </c>
      <c r="N87" s="6">
        <f t="shared" si="19"/>
        <v>0</v>
      </c>
      <c r="O87" s="6">
        <f t="shared" si="16"/>
        <v>0</v>
      </c>
      <c r="P87" s="6">
        <f>SUMIF('JUNE (물량흐름)'!$C$13:$C$502,C87,'JUNE (물량흐름)'!$T$13:$T$502)+SUMIF('JUNE (물량흐름)'!$C$13:$C$502,C87,'JUNE (물량흐름)'!$V$13:$V$502)+SUMIF('JUNE (물량흐름)'!$C$13:$C$502,C87,'JUNE (물량흐름)'!$U$13:$U$502)-SUMIF('JUNE (물량흐름)'!$C$13:$C$502,C87,'JUNE (물량흐름)'!$Y$13:$Y$502)</f>
        <v>0</v>
      </c>
      <c r="Q87" s="6">
        <f t="shared" si="20"/>
        <v>0</v>
      </c>
      <c r="R87" s="6">
        <f>IF(ISERROR(VLOOKUP(#REF!,'WIP(재공품)'!$B$12:$AB$38,13,0)),0,VLOOKUP(#REF!,'WIP(재공품)'!$B$12:$AB$38,13,0))</f>
        <v>0</v>
      </c>
      <c r="S87" s="6">
        <f>IF(ISERROR(VLOOKUP(#REF!,'WIP(재공품)'!$B$12:$AB$38,10,0)),0,VLOOKUP(#REF!,'WIP(재공품)'!$B$12:$AB$38,10,0))</f>
        <v>0</v>
      </c>
      <c r="T87" s="6">
        <f>SUMIF('JUNE (물량흐름)'!$C$13:$C$502,'Overhead exp(제조경비)'!C87,'JUNE (물량흐름)'!$Y$13:$Y$502)</f>
        <v>0</v>
      </c>
      <c r="U87" s="6">
        <f t="shared" si="21"/>
        <v>0</v>
      </c>
      <c r="V87" s="6">
        <f>ROUND(SUMIF('JUNE (물량흐름)'!$C$13:$C$502,'Overhead exp(제조경비)'!C87,'JUNE (물량흐름)'!$N$13:$N$502),0)</f>
        <v>0</v>
      </c>
      <c r="W87" s="6">
        <f>ROUND(SUMIF('JUNE (물량흐름)'!$C$13:$C$502,'Overhead exp(제조경비)'!C87,'JUNE (물량흐름)'!$O$13:$O$502),0)</f>
        <v>0</v>
      </c>
      <c r="X87" s="6">
        <f>ROUND(SUMIF('JUNE (물량흐름)'!$C$13:$C$502,'Overhead exp(제조경비)'!C87,'JUNE (물량흐름)'!$P$13:$P$502),0)</f>
        <v>85</v>
      </c>
      <c r="Y87" s="6">
        <f t="shared" si="22"/>
        <v>85</v>
      </c>
      <c r="Z87" s="6">
        <f t="shared" si="23"/>
        <v>68</v>
      </c>
      <c r="AA87" s="6">
        <f t="shared" si="24"/>
        <v>1725762</v>
      </c>
      <c r="AB87" s="391">
        <f t="shared" si="25"/>
        <v>0</v>
      </c>
      <c r="AC87" s="391">
        <f t="shared" si="26"/>
        <v>0</v>
      </c>
      <c r="AE87" s="393"/>
    </row>
    <row r="88" spans="1:31" s="390" customFormat="1" ht="24" customHeight="1">
      <c r="A88" s="167">
        <v>77</v>
      </c>
      <c r="B88" s="20" t="str">
        <f>IFERROR(VLOOKUP(A88,'JUNE (물량흐름)'!$A$13:$C$502,2,0),0)</f>
        <v>ALFANI</v>
      </c>
      <c r="C88" s="272">
        <f>VLOOKUP(A88,'JUNE (물량흐름)'!$A$13:$C$502,3,0)</f>
        <v>100008214</v>
      </c>
      <c r="D88" s="6">
        <f>VLOOKUP(C88,'WIP(재공품)'!$B$12:$E$493,4,0)</f>
        <v>7936.2499999999991</v>
      </c>
      <c r="E88" s="6">
        <f>IFERROR(VLOOKUP(C88,O.B.JUNE!$AI$7:$AJ$448,2,0),0)</f>
        <v>0</v>
      </c>
      <c r="F88" s="6">
        <f>IFERROR(VLOOKUP(C88,O.B.JUNE!$AI$7:$AK$448,3,0),0)</f>
        <v>0</v>
      </c>
      <c r="G88" s="6">
        <f>IFERROR(VLOOKUP(C88,O.B.JUNE!$AI$7:$AL$448,4,0),0)</f>
        <v>23</v>
      </c>
      <c r="H88" s="6">
        <f t="shared" si="17"/>
        <v>23</v>
      </c>
      <c r="I88" s="6">
        <f>IFERROR(VLOOKUP(C88,O.B.JUNE!$AI$7:$AN$448,6,0),0)</f>
        <v>18</v>
      </c>
      <c r="J88" s="6"/>
      <c r="K88" s="6">
        <f>IFERROR(VLOOKUP(C88,O.B.JUNE!$AI$7:$AO$448,7,0),0)</f>
        <v>407894</v>
      </c>
      <c r="L88" s="6">
        <f>SUMIF('JUNE (물량흐름)'!$C$13:$C$488,'Overhead exp(제조경비)'!C88,'JUNE (물량흐름)'!$H$13:$H$493)+SUMIF('JUNE (물량흐름)'!$C$13:$C$493,'Overhead exp(제조경비)'!C88,'JUNE (물량흐름)'!$V$13:$V$493)</f>
        <v>0</v>
      </c>
      <c r="M88" s="6">
        <f t="shared" si="18"/>
        <v>0</v>
      </c>
      <c r="N88" s="6">
        <f t="shared" si="19"/>
        <v>0</v>
      </c>
      <c r="O88" s="6">
        <f t="shared" si="16"/>
        <v>0</v>
      </c>
      <c r="P88" s="6">
        <f>SUMIF('JUNE (물량흐름)'!$C$13:$C$502,C88,'JUNE (물량흐름)'!$T$13:$T$502)+SUMIF('JUNE (물량흐름)'!$C$13:$C$502,C88,'JUNE (물량흐름)'!$V$13:$V$502)+SUMIF('JUNE (물량흐름)'!$C$13:$C$502,C88,'JUNE (물량흐름)'!$U$13:$U$502)-SUMIF('JUNE (물량흐름)'!$C$13:$C$502,C88,'JUNE (물량흐름)'!$Y$13:$Y$502)</f>
        <v>0</v>
      </c>
      <c r="Q88" s="6">
        <f t="shared" si="20"/>
        <v>0</v>
      </c>
      <c r="R88" s="6">
        <f>IF(ISERROR(VLOOKUP(#REF!,'WIP(재공품)'!$B$12:$AB$38,13,0)),0,VLOOKUP(#REF!,'WIP(재공품)'!$B$12:$AB$38,13,0))</f>
        <v>0</v>
      </c>
      <c r="S88" s="6">
        <f>IF(ISERROR(VLOOKUP(#REF!,'WIP(재공품)'!$B$12:$AB$38,10,0)),0,VLOOKUP(#REF!,'WIP(재공품)'!$B$12:$AB$38,10,0))</f>
        <v>0</v>
      </c>
      <c r="T88" s="6">
        <f>SUMIF('JUNE (물량흐름)'!$C$13:$C$502,'Overhead exp(제조경비)'!C88,'JUNE (물량흐름)'!$Y$13:$Y$502)</f>
        <v>0</v>
      </c>
      <c r="U88" s="6">
        <f t="shared" si="21"/>
        <v>0</v>
      </c>
      <c r="V88" s="6">
        <f>ROUND(SUMIF('JUNE (물량흐름)'!$C$13:$C$502,'Overhead exp(제조경비)'!C88,'JUNE (물량흐름)'!$N$13:$N$502),0)</f>
        <v>0</v>
      </c>
      <c r="W88" s="6">
        <f>ROUND(SUMIF('JUNE (물량흐름)'!$C$13:$C$502,'Overhead exp(제조경비)'!C88,'JUNE (물량흐름)'!$O$13:$O$502),0)</f>
        <v>0</v>
      </c>
      <c r="X88" s="6">
        <f>ROUND(SUMIF('JUNE (물량흐름)'!$C$13:$C$502,'Overhead exp(제조경비)'!C88,'JUNE (물량흐름)'!$P$13:$P$502),0)</f>
        <v>23</v>
      </c>
      <c r="Y88" s="6">
        <f t="shared" si="22"/>
        <v>23</v>
      </c>
      <c r="Z88" s="6">
        <f t="shared" si="23"/>
        <v>18</v>
      </c>
      <c r="AA88" s="6">
        <f t="shared" si="24"/>
        <v>407894</v>
      </c>
      <c r="AB88" s="391">
        <f t="shared" si="25"/>
        <v>0</v>
      </c>
      <c r="AC88" s="391">
        <f t="shared" si="26"/>
        <v>0</v>
      </c>
      <c r="AE88" s="393"/>
    </row>
    <row r="89" spans="1:31" s="390" customFormat="1" ht="24" customHeight="1">
      <c r="A89" s="167">
        <v>78</v>
      </c>
      <c r="B89" s="20" t="str">
        <f>IFERROR(VLOOKUP(A89,'JUNE (물량흐름)'!$A$13:$C$502,2,0),0)</f>
        <v>ALFANI</v>
      </c>
      <c r="C89" s="272">
        <f>VLOOKUP(A89,'JUNE (물량흐름)'!$A$13:$C$502,3,0)</f>
        <v>100008216</v>
      </c>
      <c r="D89" s="6">
        <f>VLOOKUP(C89,'WIP(재공품)'!$B$12:$E$493,4,0)</f>
        <v>8163</v>
      </c>
      <c r="E89" s="6">
        <f>IFERROR(VLOOKUP(C89,O.B.JUNE!$AI$7:$AJ$448,2,0),0)</f>
        <v>0</v>
      </c>
      <c r="F89" s="6">
        <f>IFERROR(VLOOKUP(C89,O.B.JUNE!$AI$7:$AK$448,3,0),0)</f>
        <v>0</v>
      </c>
      <c r="G89" s="6">
        <f>IFERROR(VLOOKUP(C89,O.B.JUNE!$AI$7:$AL$448,4,0),0)</f>
        <v>102</v>
      </c>
      <c r="H89" s="6">
        <f t="shared" si="17"/>
        <v>102</v>
      </c>
      <c r="I89" s="6">
        <f>IFERROR(VLOOKUP(C89,O.B.JUNE!$AI$7:$AN$448,6,0),0)</f>
        <v>82</v>
      </c>
      <c r="J89" s="6"/>
      <c r="K89" s="6">
        <f>IFERROR(VLOOKUP(C89,O.B.JUNE!$AI$7:$AO$448,7,0),0)</f>
        <v>2070471</v>
      </c>
      <c r="L89" s="6">
        <f>SUMIF('JUNE (물량흐름)'!$C$13:$C$488,'Overhead exp(제조경비)'!C89,'JUNE (물량흐름)'!$H$13:$H$493)+SUMIF('JUNE (물량흐름)'!$C$13:$C$493,'Overhead exp(제조경비)'!C89,'JUNE (물량흐름)'!$V$13:$V$493)</f>
        <v>0</v>
      </c>
      <c r="M89" s="6">
        <f t="shared" si="18"/>
        <v>0</v>
      </c>
      <c r="N89" s="6">
        <f t="shared" si="19"/>
        <v>0</v>
      </c>
      <c r="O89" s="6">
        <f t="shared" si="16"/>
        <v>0</v>
      </c>
      <c r="P89" s="6">
        <f>SUMIF('JUNE (물량흐름)'!$C$13:$C$502,C89,'JUNE (물량흐름)'!$T$13:$T$502)+SUMIF('JUNE (물량흐름)'!$C$13:$C$502,C89,'JUNE (물량흐름)'!$V$13:$V$502)+SUMIF('JUNE (물량흐름)'!$C$13:$C$502,C89,'JUNE (물량흐름)'!$U$13:$U$502)-SUMIF('JUNE (물량흐름)'!$C$13:$C$502,C89,'JUNE (물량흐름)'!$Y$13:$Y$502)</f>
        <v>0</v>
      </c>
      <c r="Q89" s="6">
        <f t="shared" si="20"/>
        <v>0</v>
      </c>
      <c r="R89" s="6">
        <f>IF(ISERROR(VLOOKUP(#REF!,'WIP(재공품)'!$B$12:$AB$38,13,0)),0,VLOOKUP(#REF!,'WIP(재공품)'!$B$12:$AB$38,13,0))</f>
        <v>0</v>
      </c>
      <c r="S89" s="6">
        <f>IF(ISERROR(VLOOKUP(#REF!,'WIP(재공품)'!$B$12:$AB$38,10,0)),0,VLOOKUP(#REF!,'WIP(재공품)'!$B$12:$AB$38,10,0))</f>
        <v>0</v>
      </c>
      <c r="T89" s="6">
        <f>SUMIF('JUNE (물량흐름)'!$C$13:$C$502,'Overhead exp(제조경비)'!C89,'JUNE (물량흐름)'!$Y$13:$Y$502)</f>
        <v>0</v>
      </c>
      <c r="U89" s="6">
        <f t="shared" si="21"/>
        <v>0</v>
      </c>
      <c r="V89" s="6">
        <f>ROUND(SUMIF('JUNE (물량흐름)'!$C$13:$C$502,'Overhead exp(제조경비)'!C89,'JUNE (물량흐름)'!$N$13:$N$502),0)</f>
        <v>0</v>
      </c>
      <c r="W89" s="6">
        <f>ROUND(SUMIF('JUNE (물량흐름)'!$C$13:$C$502,'Overhead exp(제조경비)'!C89,'JUNE (물량흐름)'!$O$13:$O$502),0)</f>
        <v>0</v>
      </c>
      <c r="X89" s="6">
        <f>ROUND(SUMIF('JUNE (물량흐름)'!$C$13:$C$502,'Overhead exp(제조경비)'!C89,'JUNE (물량흐름)'!$P$13:$P$502),0)</f>
        <v>102</v>
      </c>
      <c r="Y89" s="6">
        <f t="shared" si="22"/>
        <v>102</v>
      </c>
      <c r="Z89" s="6">
        <f t="shared" si="23"/>
        <v>82</v>
      </c>
      <c r="AA89" s="6">
        <f t="shared" si="24"/>
        <v>2070471</v>
      </c>
      <c r="AB89" s="391">
        <f t="shared" si="25"/>
        <v>0</v>
      </c>
      <c r="AC89" s="391">
        <f t="shared" si="26"/>
        <v>0</v>
      </c>
      <c r="AE89" s="393"/>
    </row>
    <row r="90" spans="1:31" s="390" customFormat="1" ht="24" customHeight="1">
      <c r="A90" s="167">
        <v>79</v>
      </c>
      <c r="B90" s="20" t="str">
        <f>IFERROR(VLOOKUP(A90,'JUNE (물량흐름)'!$A$13:$C$502,2,0),0)</f>
        <v>ALFANI</v>
      </c>
      <c r="C90" s="272">
        <f>VLOOKUP(A90,'JUNE (물량흐름)'!$A$13:$C$502,3,0)</f>
        <v>100009597</v>
      </c>
      <c r="D90" s="6">
        <f>VLOOKUP(C90,'WIP(재공품)'!$B$12:$E$493,4,0)</f>
        <v>8163</v>
      </c>
      <c r="E90" s="6">
        <f>IFERROR(VLOOKUP(C90,O.B.JUNE!$AI$7:$AJ$448,2,0),0)</f>
        <v>0</v>
      </c>
      <c r="F90" s="6">
        <f>IFERROR(VLOOKUP(C90,O.B.JUNE!$AI$7:$AK$448,3,0),0)</f>
        <v>0</v>
      </c>
      <c r="G90" s="6">
        <f>IFERROR(VLOOKUP(C90,O.B.JUNE!$AI$7:$AL$448,4,0),0)</f>
        <v>552</v>
      </c>
      <c r="H90" s="6">
        <f t="shared" si="17"/>
        <v>552</v>
      </c>
      <c r="I90" s="6">
        <f>IFERROR(VLOOKUP(C90,O.B.JUNE!$AI$7:$AN$448,6,0),0)</f>
        <v>442</v>
      </c>
      <c r="J90" s="6"/>
      <c r="K90" s="6">
        <f>IFERROR(VLOOKUP(C90,O.B.JUNE!$AI$7:$AO$448,7,0),0)</f>
        <v>15430206</v>
      </c>
      <c r="L90" s="6">
        <f>SUMIF('JUNE (물량흐름)'!$C$13:$C$488,'Overhead exp(제조경비)'!C90,'JUNE (물량흐름)'!$H$13:$H$493)+SUMIF('JUNE (물량흐름)'!$C$13:$C$493,'Overhead exp(제조경비)'!C90,'JUNE (물량흐름)'!$V$13:$V$493)</f>
        <v>0</v>
      </c>
      <c r="M90" s="6">
        <f t="shared" si="18"/>
        <v>0</v>
      </c>
      <c r="N90" s="6">
        <f t="shared" si="19"/>
        <v>0</v>
      </c>
      <c r="O90" s="6">
        <f t="shared" si="16"/>
        <v>0</v>
      </c>
      <c r="P90" s="6">
        <f>SUMIF('JUNE (물량흐름)'!$C$13:$C$502,C90,'JUNE (물량흐름)'!$T$13:$T$502)+SUMIF('JUNE (물량흐름)'!$C$13:$C$502,C90,'JUNE (물량흐름)'!$V$13:$V$502)+SUMIF('JUNE (물량흐름)'!$C$13:$C$502,C90,'JUNE (물량흐름)'!$U$13:$U$502)-SUMIF('JUNE (물량흐름)'!$C$13:$C$502,C90,'JUNE (물량흐름)'!$Y$13:$Y$502)</f>
        <v>0</v>
      </c>
      <c r="Q90" s="6">
        <f t="shared" si="20"/>
        <v>0</v>
      </c>
      <c r="R90" s="6">
        <f>IF(ISERROR(VLOOKUP(#REF!,'WIP(재공품)'!$B$12:$AB$38,13,0)),0,VLOOKUP(#REF!,'WIP(재공품)'!$B$12:$AB$38,13,0))</f>
        <v>0</v>
      </c>
      <c r="S90" s="6">
        <f>IF(ISERROR(VLOOKUP(#REF!,'WIP(재공품)'!$B$12:$AB$38,10,0)),0,VLOOKUP(#REF!,'WIP(재공품)'!$B$12:$AB$38,10,0))</f>
        <v>0</v>
      </c>
      <c r="T90" s="6">
        <f>SUMIF('JUNE (물량흐름)'!$C$13:$C$502,'Overhead exp(제조경비)'!C90,'JUNE (물량흐름)'!$Y$13:$Y$502)</f>
        <v>0</v>
      </c>
      <c r="U90" s="6">
        <f t="shared" si="21"/>
        <v>0</v>
      </c>
      <c r="V90" s="6">
        <f>ROUND(SUMIF('JUNE (물량흐름)'!$C$13:$C$502,'Overhead exp(제조경비)'!C90,'JUNE (물량흐름)'!$N$13:$N$502),0)</f>
        <v>0</v>
      </c>
      <c r="W90" s="6">
        <f>ROUND(SUMIF('JUNE (물량흐름)'!$C$13:$C$502,'Overhead exp(제조경비)'!C90,'JUNE (물량흐름)'!$O$13:$O$502),0)</f>
        <v>0</v>
      </c>
      <c r="X90" s="6">
        <f>ROUND(SUMIF('JUNE (물량흐름)'!$C$13:$C$502,'Overhead exp(제조경비)'!C90,'JUNE (물량흐름)'!$P$13:$P$502),0)</f>
        <v>552</v>
      </c>
      <c r="Y90" s="6">
        <f t="shared" si="22"/>
        <v>552</v>
      </c>
      <c r="Z90" s="6">
        <f t="shared" si="23"/>
        <v>442</v>
      </c>
      <c r="AA90" s="6">
        <f t="shared" si="24"/>
        <v>15430206</v>
      </c>
      <c r="AB90" s="391">
        <f t="shared" si="25"/>
        <v>0</v>
      </c>
      <c r="AC90" s="391">
        <f t="shared" si="26"/>
        <v>0</v>
      </c>
      <c r="AE90" s="393"/>
    </row>
    <row r="91" spans="1:31" s="390" customFormat="1" ht="24" customHeight="1">
      <c r="A91" s="167">
        <v>80</v>
      </c>
      <c r="B91" s="20" t="str">
        <f>IFERROR(VLOOKUP(A91,'JUNE (물량흐름)'!$A$13:$C$502,2,0),0)</f>
        <v>ALFANI</v>
      </c>
      <c r="C91" s="272">
        <f>VLOOKUP(A91,'JUNE (물량흐름)'!$A$13:$C$502,3,0)</f>
        <v>74401</v>
      </c>
      <c r="D91" s="6">
        <f>VLOOKUP(C91,'WIP(재공품)'!$B$12:$E$493,4,0)</f>
        <v>55327</v>
      </c>
      <c r="E91" s="6">
        <f>IFERROR(VLOOKUP(C91,O.B.JUNE!$AI$7:$AJ$448,2,0),0)</f>
        <v>0</v>
      </c>
      <c r="F91" s="6">
        <f>IFERROR(VLOOKUP(C91,O.B.JUNE!$AI$7:$AK$448,3,0),0)</f>
        <v>0</v>
      </c>
      <c r="G91" s="6">
        <f>IFERROR(VLOOKUP(C91,O.B.JUNE!$AI$7:$AL$448,4,0),0)</f>
        <v>4111</v>
      </c>
      <c r="H91" s="6">
        <f t="shared" si="17"/>
        <v>4111</v>
      </c>
      <c r="I91" s="6">
        <f>IFERROR(VLOOKUP(C91,O.B.JUNE!$AI$7:$AN$448,6,0),0)</f>
        <v>3289</v>
      </c>
      <c r="J91" s="6"/>
      <c r="K91" s="6">
        <f>IFERROR(VLOOKUP(C91,O.B.JUNE!$AI$7:$AO$448,7,0),0)</f>
        <v>18797817</v>
      </c>
      <c r="L91" s="6">
        <f>SUMIF('JUNE (물량흐름)'!$C$13:$C$488,'Overhead exp(제조경비)'!C91,'JUNE (물량흐름)'!$H$13:$H$493)+SUMIF('JUNE (물량흐름)'!$C$13:$C$493,'Overhead exp(제조경비)'!C91,'JUNE (물량흐름)'!$V$13:$V$493)</f>
        <v>5</v>
      </c>
      <c r="M91" s="6">
        <f t="shared" si="18"/>
        <v>804</v>
      </c>
      <c r="N91" s="6">
        <f t="shared" si="19"/>
        <v>44482908</v>
      </c>
      <c r="O91" s="6">
        <f t="shared" si="16"/>
        <v>26878349</v>
      </c>
      <c r="P91" s="6">
        <f>SUMIF('JUNE (물량흐름)'!$C$13:$C$502,C91,'JUNE (물량흐름)'!$T$13:$T$502)+SUMIF('JUNE (물량흐름)'!$C$13:$C$502,C91,'JUNE (물량흐름)'!$V$13:$V$502)+SUMIF('JUNE (물량흐름)'!$C$13:$C$502,C91,'JUNE (물량흐름)'!$U$13:$U$502)-SUMIF('JUNE (물량흐름)'!$C$13:$C$502,C91,'JUNE (물량흐름)'!$Y$13:$Y$502)</f>
        <v>3994</v>
      </c>
      <c r="Q91" s="6">
        <f t="shared" si="20"/>
        <v>44322305</v>
      </c>
      <c r="R91" s="6">
        <f>IF(ISERROR(VLOOKUP(#REF!,'WIP(재공품)'!$B$12:$AB$38,13,0)),0,VLOOKUP(#REF!,'WIP(재공품)'!$B$12:$AB$38,13,0))</f>
        <v>0</v>
      </c>
      <c r="S91" s="6">
        <f>IF(ISERROR(VLOOKUP(#REF!,'WIP(재공품)'!$B$12:$AB$38,10,0)),0,VLOOKUP(#REF!,'WIP(재공품)'!$B$12:$AB$38,10,0))</f>
        <v>0</v>
      </c>
      <c r="T91" s="6">
        <f>SUMIF('JUNE (물량흐름)'!$C$13:$C$502,'Overhead exp(제조경비)'!C91,'JUNE (물량흐름)'!$Y$13:$Y$502)</f>
        <v>7</v>
      </c>
      <c r="U91" s="6">
        <f t="shared" si="21"/>
        <v>77681</v>
      </c>
      <c r="V91" s="6">
        <f>ROUND(SUMIF('JUNE (물량흐름)'!$C$13:$C$502,'Overhead exp(제조경비)'!C91,'JUNE (물량흐름)'!$N$13:$N$502),0)</f>
        <v>0</v>
      </c>
      <c r="W91" s="6">
        <f>ROUND(SUMIF('JUNE (물량흐름)'!$C$13:$C$502,'Overhead exp(제조경비)'!C91,'JUNE (물량흐름)'!$O$13:$O$502),0)</f>
        <v>1</v>
      </c>
      <c r="X91" s="6">
        <f>ROUND(SUMIF('JUNE (물량흐름)'!$C$13:$C$502,'Overhead exp(제조경비)'!C91,'JUNE (물량흐름)'!$P$13:$P$502),0)</f>
        <v>114</v>
      </c>
      <c r="Y91" s="6">
        <f t="shared" si="22"/>
        <v>115</v>
      </c>
      <c r="Z91" s="6">
        <f t="shared" si="23"/>
        <v>92</v>
      </c>
      <c r="AA91" s="6">
        <f t="shared" si="24"/>
        <v>1276181</v>
      </c>
      <c r="AB91" s="391">
        <f t="shared" si="25"/>
        <v>-1</v>
      </c>
      <c r="AC91" s="391">
        <f t="shared" si="26"/>
        <v>0</v>
      </c>
      <c r="AE91" s="393"/>
    </row>
    <row r="92" spans="1:31" s="390" customFormat="1" ht="24" customHeight="1">
      <c r="A92" s="167">
        <v>81</v>
      </c>
      <c r="B92" s="20" t="str">
        <f>IFERROR(VLOOKUP(A92,'JUNE (물량흐름)'!$A$13:$C$502,2,0),0)</f>
        <v>ALFANI</v>
      </c>
      <c r="C92" s="272" t="str">
        <f>VLOOKUP(A92,'JUNE (물량흐름)'!$A$13:$C$502,3,0)</f>
        <v>7X733</v>
      </c>
      <c r="D92" s="6">
        <f>VLOOKUP(C92,'WIP(재공품)'!$B$12:$E$493,4,0)</f>
        <v>40815</v>
      </c>
      <c r="E92" s="6">
        <f>IFERROR(VLOOKUP(C92,O.B.JUNE!$AI$7:$AJ$448,2,0),0)</f>
        <v>0</v>
      </c>
      <c r="F92" s="6">
        <f>IFERROR(VLOOKUP(C92,O.B.JUNE!$AI$7:$AK$448,3,0),0)</f>
        <v>0</v>
      </c>
      <c r="G92" s="6">
        <f>IFERROR(VLOOKUP(C92,O.B.JUNE!$AI$7:$AL$448,4,0),0)</f>
        <v>65</v>
      </c>
      <c r="H92" s="6">
        <f t="shared" si="17"/>
        <v>65</v>
      </c>
      <c r="I92" s="6">
        <f>IFERROR(VLOOKUP(C92,O.B.JUNE!$AI$7:$AN$448,6,0),0)</f>
        <v>52</v>
      </c>
      <c r="J92" s="6"/>
      <c r="K92" s="6">
        <f>IFERROR(VLOOKUP(C92,O.B.JUNE!$AI$7:$AO$448,7,0),0)</f>
        <v>919962</v>
      </c>
      <c r="L92" s="6">
        <f>SUMIF('JUNE (물량흐름)'!$C$13:$C$488,'Overhead exp(제조경비)'!C92,'JUNE (물량흐름)'!$H$13:$H$493)+SUMIF('JUNE (물량흐름)'!$C$13:$C$493,'Overhead exp(제조경비)'!C92,'JUNE (물량흐름)'!$V$13:$V$493)</f>
        <v>0</v>
      </c>
      <c r="M92" s="6">
        <f t="shared" si="18"/>
        <v>0</v>
      </c>
      <c r="N92" s="6">
        <f t="shared" si="19"/>
        <v>0</v>
      </c>
      <c r="O92" s="6">
        <f t="shared" si="16"/>
        <v>0</v>
      </c>
      <c r="P92" s="6">
        <f>SUMIF('JUNE (물량흐름)'!$C$13:$C$502,C92,'JUNE (물량흐름)'!$T$13:$T$502)+SUMIF('JUNE (물량흐름)'!$C$13:$C$502,C92,'JUNE (물량흐름)'!$V$13:$V$502)+SUMIF('JUNE (물량흐름)'!$C$13:$C$502,C92,'JUNE (물량흐름)'!$U$13:$U$502)-SUMIF('JUNE (물량흐름)'!$C$13:$C$502,C92,'JUNE (물량흐름)'!$Y$13:$Y$502)</f>
        <v>65</v>
      </c>
      <c r="Q92" s="6">
        <f t="shared" si="20"/>
        <v>919962</v>
      </c>
      <c r="R92" s="6">
        <f>IF(ISERROR(VLOOKUP(#REF!,'WIP(재공품)'!$B$12:$AB$38,13,0)),0,VLOOKUP(#REF!,'WIP(재공품)'!$B$12:$AB$38,13,0))</f>
        <v>0</v>
      </c>
      <c r="S92" s="6">
        <f>IF(ISERROR(VLOOKUP(#REF!,'WIP(재공품)'!$B$12:$AB$38,10,0)),0,VLOOKUP(#REF!,'WIP(재공품)'!$B$12:$AB$38,10,0))</f>
        <v>0</v>
      </c>
      <c r="T92" s="6">
        <f>SUMIF('JUNE (물량흐름)'!$C$13:$C$502,'Overhead exp(제조경비)'!C92,'JUNE (물량흐름)'!$Y$13:$Y$502)</f>
        <v>0</v>
      </c>
      <c r="U92" s="6">
        <f t="shared" si="21"/>
        <v>0</v>
      </c>
      <c r="V92" s="6">
        <f>ROUND(SUMIF('JUNE (물량흐름)'!$C$13:$C$502,'Overhead exp(제조경비)'!C92,'JUNE (물량흐름)'!$N$13:$N$502),0)</f>
        <v>0</v>
      </c>
      <c r="W92" s="6">
        <f>ROUND(SUMIF('JUNE (물량흐름)'!$C$13:$C$502,'Overhead exp(제조경비)'!C92,'JUNE (물량흐름)'!$O$13:$O$502),0)</f>
        <v>0</v>
      </c>
      <c r="X92" s="6">
        <f>ROUND(SUMIF('JUNE (물량흐름)'!$C$13:$C$502,'Overhead exp(제조경비)'!C92,'JUNE (물량흐름)'!$P$13:$P$502),0)</f>
        <v>0</v>
      </c>
      <c r="Y92" s="6">
        <f t="shared" si="22"/>
        <v>0</v>
      </c>
      <c r="Z92" s="6">
        <f t="shared" si="23"/>
        <v>0</v>
      </c>
      <c r="AA92" s="6">
        <f t="shared" si="24"/>
        <v>0</v>
      </c>
      <c r="AB92" s="391">
        <f t="shared" si="25"/>
        <v>0</v>
      </c>
      <c r="AC92" s="391">
        <f t="shared" si="26"/>
        <v>0</v>
      </c>
      <c r="AE92" s="393"/>
    </row>
    <row r="93" spans="1:31" s="390" customFormat="1" ht="24" customHeight="1">
      <c r="A93" s="167">
        <v>82</v>
      </c>
      <c r="B93" s="20" t="str">
        <f>IFERROR(VLOOKUP(A93,'JUNE (물량흐름)'!$A$13:$C$502,2,0),0)</f>
        <v>ANN TAYLOR</v>
      </c>
      <c r="C93" s="272" t="str">
        <f>VLOOKUP(A93,'JUNE (물량흐름)'!$A$13:$C$502,3,0)</f>
        <v>452172(456261)</v>
      </c>
      <c r="D93" s="6">
        <f>VLOOKUP(C93,'WIP(재공품)'!$B$12:$E$493,4,0)</f>
        <v>41948.75</v>
      </c>
      <c r="E93" s="6">
        <f>IFERROR(VLOOKUP(C93,O.B.JUNE!$AI$7:$AJ$448,2,0),0)</f>
        <v>0</v>
      </c>
      <c r="F93" s="6">
        <f>IFERROR(VLOOKUP(C93,O.B.JUNE!$AI$7:$AK$448,3,0),0)</f>
        <v>0</v>
      </c>
      <c r="G93" s="6">
        <f>IFERROR(VLOOKUP(C93,O.B.JUNE!$AI$7:$AL$448,4,0),0)</f>
        <v>329</v>
      </c>
      <c r="H93" s="6">
        <f t="shared" si="17"/>
        <v>329</v>
      </c>
      <c r="I93" s="6">
        <f>IFERROR(VLOOKUP(C93,O.B.JUNE!$AI$7:$AN$448,6,0),0)</f>
        <v>263</v>
      </c>
      <c r="J93" s="6"/>
      <c r="K93" s="6">
        <f>IFERROR(VLOOKUP(C93,O.B.JUNE!$AI$7:$AO$448,7,0),0)</f>
        <v>2660817</v>
      </c>
      <c r="L93" s="6">
        <f>SUMIF('JUNE (물량흐름)'!$C$13:$C$488,'Overhead exp(제조경비)'!C93,'JUNE (물량흐름)'!$H$13:$H$493)+SUMIF('JUNE (물량흐름)'!$C$13:$C$493,'Overhead exp(제조경비)'!C93,'JUNE (물량흐름)'!$V$13:$V$493)</f>
        <v>0</v>
      </c>
      <c r="M93" s="6">
        <f t="shared" si="18"/>
        <v>0</v>
      </c>
      <c r="N93" s="6">
        <f t="shared" si="19"/>
        <v>0</v>
      </c>
      <c r="O93" s="6">
        <f t="shared" si="16"/>
        <v>0</v>
      </c>
      <c r="P93" s="6">
        <f>SUMIF('JUNE (물량흐름)'!$C$13:$C$502,C93,'JUNE (물량흐름)'!$T$13:$T$502)+SUMIF('JUNE (물량흐름)'!$C$13:$C$502,C93,'JUNE (물량흐름)'!$V$13:$V$502)+SUMIF('JUNE (물량흐름)'!$C$13:$C$502,C93,'JUNE (물량흐름)'!$U$13:$U$502)-SUMIF('JUNE (물량흐름)'!$C$13:$C$502,C93,'JUNE (물량흐름)'!$Y$13:$Y$502)</f>
        <v>329</v>
      </c>
      <c r="Q93" s="6">
        <f t="shared" si="20"/>
        <v>2660817</v>
      </c>
      <c r="R93" s="6">
        <f>IF(ISERROR(VLOOKUP(#REF!,'WIP(재공품)'!$B$12:$AB$38,13,0)),0,VLOOKUP(#REF!,'WIP(재공품)'!$B$12:$AB$38,13,0))</f>
        <v>0</v>
      </c>
      <c r="S93" s="6">
        <f>IF(ISERROR(VLOOKUP(#REF!,'WIP(재공품)'!$B$12:$AB$38,10,0)),0,VLOOKUP(#REF!,'WIP(재공품)'!$B$12:$AB$38,10,0))</f>
        <v>0</v>
      </c>
      <c r="T93" s="6">
        <f>SUMIF('JUNE (물량흐름)'!$C$13:$C$502,'Overhead exp(제조경비)'!C93,'JUNE (물량흐름)'!$Y$13:$Y$502)</f>
        <v>0</v>
      </c>
      <c r="U93" s="6">
        <f t="shared" si="21"/>
        <v>0</v>
      </c>
      <c r="V93" s="6">
        <f>ROUND(SUMIF('JUNE (물량흐름)'!$C$13:$C$502,'Overhead exp(제조경비)'!C93,'JUNE (물량흐름)'!$N$13:$N$502),0)</f>
        <v>0</v>
      </c>
      <c r="W93" s="6">
        <f>ROUND(SUMIF('JUNE (물량흐름)'!$C$13:$C$502,'Overhead exp(제조경비)'!C93,'JUNE (물량흐름)'!$O$13:$O$502),0)</f>
        <v>0</v>
      </c>
      <c r="X93" s="6">
        <f>ROUND(SUMIF('JUNE (물량흐름)'!$C$13:$C$502,'Overhead exp(제조경비)'!C93,'JUNE (물량흐름)'!$P$13:$P$502),0)</f>
        <v>0</v>
      </c>
      <c r="Y93" s="6">
        <f t="shared" si="22"/>
        <v>0</v>
      </c>
      <c r="Z93" s="6">
        <f t="shared" si="23"/>
        <v>0</v>
      </c>
      <c r="AA93" s="6">
        <f t="shared" si="24"/>
        <v>0</v>
      </c>
      <c r="AB93" s="391">
        <f t="shared" si="25"/>
        <v>0</v>
      </c>
      <c r="AC93" s="391">
        <f t="shared" si="26"/>
        <v>0</v>
      </c>
      <c r="AE93" s="393"/>
    </row>
    <row r="94" spans="1:31" s="390" customFormat="1" ht="24" customHeight="1">
      <c r="A94" s="167">
        <v>83</v>
      </c>
      <c r="B94" s="20" t="str">
        <f>IFERROR(VLOOKUP(A94,'JUNE (물량흐름)'!$A$13:$C$502,2,0),0)</f>
        <v>ANN TAYLOR</v>
      </c>
      <c r="C94" s="272" t="str">
        <f>VLOOKUP(A94,'JUNE (물량흐름)'!$A$13:$C$502,3,0)</f>
        <v>453516(456278)</v>
      </c>
      <c r="D94" s="6">
        <f>VLOOKUP(C94,'WIP(재공품)'!$B$12:$E$493,4,0)</f>
        <v>7936.2499999999991</v>
      </c>
      <c r="E94" s="6">
        <f>IFERROR(VLOOKUP(C94,O.B.JUNE!$AI$7:$AJ$448,2,0),0)</f>
        <v>0</v>
      </c>
      <c r="F94" s="6">
        <f>IFERROR(VLOOKUP(C94,O.B.JUNE!$AI$7:$AK$448,3,0),0)</f>
        <v>0</v>
      </c>
      <c r="G94" s="6">
        <f>IFERROR(VLOOKUP(C94,O.B.JUNE!$AI$7:$AL$448,4,0),0)</f>
        <v>440</v>
      </c>
      <c r="H94" s="6">
        <f t="shared" si="17"/>
        <v>440</v>
      </c>
      <c r="I94" s="6">
        <f>IFERROR(VLOOKUP(C94,O.B.JUNE!$AI$7:$AN$448,6,0),0)</f>
        <v>352</v>
      </c>
      <c r="J94" s="6"/>
      <c r="K94" s="6">
        <f>IFERROR(VLOOKUP(C94,O.B.JUNE!$AI$7:$AO$448,7,0),0)</f>
        <v>7825432</v>
      </c>
      <c r="L94" s="6">
        <f>SUMIF('JUNE (물량흐름)'!$C$13:$C$488,'Overhead exp(제조경비)'!C94,'JUNE (물량흐름)'!$H$13:$H$493)+SUMIF('JUNE (물량흐름)'!$C$13:$C$493,'Overhead exp(제조경비)'!C94,'JUNE (물량흐름)'!$V$13:$V$493)</f>
        <v>0</v>
      </c>
      <c r="M94" s="6">
        <f t="shared" si="18"/>
        <v>0</v>
      </c>
      <c r="N94" s="6">
        <f t="shared" si="19"/>
        <v>0</v>
      </c>
      <c r="O94" s="6">
        <f t="shared" si="16"/>
        <v>0</v>
      </c>
      <c r="P94" s="6">
        <f>SUMIF('JUNE (물량흐름)'!$C$13:$C$502,C94,'JUNE (물량흐름)'!$T$13:$T$502)+SUMIF('JUNE (물량흐름)'!$C$13:$C$502,C94,'JUNE (물량흐름)'!$V$13:$V$502)+SUMIF('JUNE (물량흐름)'!$C$13:$C$502,C94,'JUNE (물량흐름)'!$U$13:$U$502)-SUMIF('JUNE (물량흐름)'!$C$13:$C$502,C94,'JUNE (물량흐름)'!$Y$13:$Y$502)</f>
        <v>440</v>
      </c>
      <c r="Q94" s="6">
        <f t="shared" si="20"/>
        <v>7825432</v>
      </c>
      <c r="R94" s="6">
        <f>IF(ISERROR(VLOOKUP(#REF!,'WIP(재공품)'!$B$12:$AB$38,13,0)),0,VLOOKUP(#REF!,'WIP(재공품)'!$B$12:$AB$38,13,0))</f>
        <v>0</v>
      </c>
      <c r="S94" s="6">
        <f>IF(ISERROR(VLOOKUP(#REF!,'WIP(재공품)'!$B$12:$AB$38,10,0)),0,VLOOKUP(#REF!,'WIP(재공품)'!$B$12:$AB$38,10,0))</f>
        <v>0</v>
      </c>
      <c r="T94" s="6">
        <f>SUMIF('JUNE (물량흐름)'!$C$13:$C$502,'Overhead exp(제조경비)'!C94,'JUNE (물량흐름)'!$Y$13:$Y$502)</f>
        <v>0</v>
      </c>
      <c r="U94" s="6">
        <f t="shared" si="21"/>
        <v>0</v>
      </c>
      <c r="V94" s="6">
        <f>ROUND(SUMIF('JUNE (물량흐름)'!$C$13:$C$502,'Overhead exp(제조경비)'!C94,'JUNE (물량흐름)'!$N$13:$N$502),0)</f>
        <v>0</v>
      </c>
      <c r="W94" s="6">
        <f>ROUND(SUMIF('JUNE (물량흐름)'!$C$13:$C$502,'Overhead exp(제조경비)'!C94,'JUNE (물량흐름)'!$O$13:$O$502),0)</f>
        <v>0</v>
      </c>
      <c r="X94" s="6">
        <f>ROUND(SUMIF('JUNE (물량흐름)'!$C$13:$C$502,'Overhead exp(제조경비)'!C94,'JUNE (물량흐름)'!$P$13:$P$502),0)</f>
        <v>0</v>
      </c>
      <c r="Y94" s="6">
        <f t="shared" si="22"/>
        <v>0</v>
      </c>
      <c r="Z94" s="6">
        <f t="shared" si="23"/>
        <v>0</v>
      </c>
      <c r="AA94" s="6">
        <f t="shared" si="24"/>
        <v>0</v>
      </c>
      <c r="AB94" s="391">
        <f t="shared" si="25"/>
        <v>0</v>
      </c>
      <c r="AC94" s="391">
        <f t="shared" si="26"/>
        <v>0</v>
      </c>
      <c r="AE94" s="393"/>
    </row>
    <row r="95" spans="1:31" s="390" customFormat="1" ht="24" customHeight="1">
      <c r="A95" s="167">
        <v>84</v>
      </c>
      <c r="B95" s="20" t="str">
        <f>IFERROR(VLOOKUP(A95,'JUNE (물량흐름)'!$A$13:$C$502,2,0),0)</f>
        <v>ANN TAYLOR</v>
      </c>
      <c r="C95" s="272">
        <f>VLOOKUP(A95,'JUNE (물량흐름)'!$A$13:$C$502,3,0)</f>
        <v>453609</v>
      </c>
      <c r="D95" s="6">
        <f>VLOOKUP(C95,'WIP(재공품)'!$B$12:$E$493,4,0)</f>
        <v>24942.500000000004</v>
      </c>
      <c r="E95" s="6">
        <f>IFERROR(VLOOKUP(C95,O.B.JUNE!$AI$7:$AJ$448,2,0),0)</f>
        <v>0</v>
      </c>
      <c r="F95" s="6">
        <f>IFERROR(VLOOKUP(C95,O.B.JUNE!$AI$7:$AK$448,3,0),0)</f>
        <v>0</v>
      </c>
      <c r="G95" s="6">
        <f>IFERROR(VLOOKUP(C95,O.B.JUNE!$AI$7:$AL$448,4,0),0)</f>
        <v>121</v>
      </c>
      <c r="H95" s="6">
        <f t="shared" si="17"/>
        <v>121</v>
      </c>
      <c r="I95" s="6">
        <f>IFERROR(VLOOKUP(C95,O.B.JUNE!$AI$7:$AN$448,6,0),0)</f>
        <v>97</v>
      </c>
      <c r="J95" s="6"/>
      <c r="K95" s="6">
        <f>IFERROR(VLOOKUP(C95,O.B.JUNE!$AI$7:$AO$448,7,0),0)</f>
        <v>2158052</v>
      </c>
      <c r="L95" s="6">
        <f>SUMIF('JUNE (물량흐름)'!$C$13:$C$488,'Overhead exp(제조경비)'!C95,'JUNE (물량흐름)'!$H$13:$H$493)+SUMIF('JUNE (물량흐름)'!$C$13:$C$493,'Overhead exp(제조경비)'!C95,'JUNE (물량흐름)'!$V$13:$V$493)</f>
        <v>0</v>
      </c>
      <c r="M95" s="6">
        <f t="shared" si="18"/>
        <v>0</v>
      </c>
      <c r="N95" s="6">
        <f t="shared" si="19"/>
        <v>0</v>
      </c>
      <c r="O95" s="6">
        <f t="shared" si="16"/>
        <v>0</v>
      </c>
      <c r="P95" s="6">
        <f>SUMIF('JUNE (물량흐름)'!$C$13:$C$502,C95,'JUNE (물량흐름)'!$T$13:$T$502)+SUMIF('JUNE (물량흐름)'!$C$13:$C$502,C95,'JUNE (물량흐름)'!$V$13:$V$502)+SUMIF('JUNE (물량흐름)'!$C$13:$C$502,C95,'JUNE (물량흐름)'!$U$13:$U$502)-SUMIF('JUNE (물량흐름)'!$C$13:$C$502,C95,'JUNE (물량흐름)'!$Y$13:$Y$502)</f>
        <v>121</v>
      </c>
      <c r="Q95" s="6">
        <f t="shared" si="20"/>
        <v>2158052</v>
      </c>
      <c r="R95" s="6">
        <f>IF(ISERROR(VLOOKUP(#REF!,'WIP(재공품)'!$B$12:$AB$38,13,0)),0,VLOOKUP(#REF!,'WIP(재공품)'!$B$12:$AB$38,13,0))</f>
        <v>0</v>
      </c>
      <c r="S95" s="6">
        <f>IF(ISERROR(VLOOKUP(#REF!,'WIP(재공품)'!$B$12:$AB$38,10,0)),0,VLOOKUP(#REF!,'WIP(재공품)'!$B$12:$AB$38,10,0))</f>
        <v>0</v>
      </c>
      <c r="T95" s="6">
        <f>SUMIF('JUNE (물량흐름)'!$C$13:$C$502,'Overhead exp(제조경비)'!C95,'JUNE (물량흐름)'!$Y$13:$Y$502)</f>
        <v>0</v>
      </c>
      <c r="U95" s="6">
        <f t="shared" si="21"/>
        <v>0</v>
      </c>
      <c r="V95" s="6">
        <f>ROUND(SUMIF('JUNE (물량흐름)'!$C$13:$C$502,'Overhead exp(제조경비)'!C95,'JUNE (물량흐름)'!$N$13:$N$502),0)</f>
        <v>0</v>
      </c>
      <c r="W95" s="6">
        <f>ROUND(SUMIF('JUNE (물량흐름)'!$C$13:$C$502,'Overhead exp(제조경비)'!C95,'JUNE (물량흐름)'!$O$13:$O$502),0)</f>
        <v>0</v>
      </c>
      <c r="X95" s="6">
        <f>ROUND(SUMIF('JUNE (물량흐름)'!$C$13:$C$502,'Overhead exp(제조경비)'!C95,'JUNE (물량흐름)'!$P$13:$P$502),0)</f>
        <v>0</v>
      </c>
      <c r="Y95" s="6">
        <f t="shared" si="22"/>
        <v>0</v>
      </c>
      <c r="Z95" s="6">
        <f t="shared" si="23"/>
        <v>0</v>
      </c>
      <c r="AA95" s="6">
        <f t="shared" si="24"/>
        <v>0</v>
      </c>
      <c r="AB95" s="391">
        <f t="shared" si="25"/>
        <v>0</v>
      </c>
      <c r="AC95" s="391">
        <f t="shared" si="26"/>
        <v>0</v>
      </c>
      <c r="AE95" s="393"/>
    </row>
    <row r="96" spans="1:31" s="390" customFormat="1" ht="24" customHeight="1">
      <c r="A96" s="167">
        <v>85</v>
      </c>
      <c r="B96" s="20" t="str">
        <f>IFERROR(VLOOKUP(A96,'JUNE (물량흐름)'!$A$13:$C$502,2,0),0)</f>
        <v>ANN TAYLOR</v>
      </c>
      <c r="C96" s="272">
        <f>VLOOKUP(A96,'JUNE (물량흐름)'!$A$13:$C$502,3,0)</f>
        <v>455129</v>
      </c>
      <c r="D96" s="6">
        <f>VLOOKUP(C96,'WIP(재공품)'!$B$12:$E$493,4,0)</f>
        <v>7936.2499999999991</v>
      </c>
      <c r="E96" s="6">
        <f>IFERROR(VLOOKUP(C96,O.B.JUNE!$AI$7:$AJ$448,2,0),0)</f>
        <v>0</v>
      </c>
      <c r="F96" s="6">
        <f>IFERROR(VLOOKUP(C96,O.B.JUNE!$AI$7:$AK$448,3,0),0)</f>
        <v>0</v>
      </c>
      <c r="G96" s="6">
        <f>IFERROR(VLOOKUP(C96,O.B.JUNE!$AI$7:$AL$448,4,0),0)</f>
        <v>97</v>
      </c>
      <c r="H96" s="6">
        <f t="shared" si="17"/>
        <v>97</v>
      </c>
      <c r="I96" s="6">
        <f>IFERROR(VLOOKUP(C96,O.B.JUNE!$AI$7:$AN$448,6,0),0)</f>
        <v>78</v>
      </c>
      <c r="J96" s="6"/>
      <c r="K96" s="6">
        <f>IFERROR(VLOOKUP(C96,O.B.JUNE!$AI$7:$AO$448,7,0),0)</f>
        <v>2117104</v>
      </c>
      <c r="L96" s="6">
        <f>SUMIF('JUNE (물량흐름)'!$C$13:$C$488,'Overhead exp(제조경비)'!C96,'JUNE (물량흐름)'!$H$13:$H$493)+SUMIF('JUNE (물량흐름)'!$C$13:$C$493,'Overhead exp(제조경비)'!C96,'JUNE (물량흐름)'!$V$13:$V$493)</f>
        <v>0</v>
      </c>
      <c r="M96" s="6">
        <f t="shared" si="18"/>
        <v>0</v>
      </c>
      <c r="N96" s="6">
        <f t="shared" si="19"/>
        <v>0</v>
      </c>
      <c r="O96" s="6">
        <f t="shared" si="16"/>
        <v>0</v>
      </c>
      <c r="P96" s="6">
        <f>SUMIF('JUNE (물량흐름)'!$C$13:$C$502,C96,'JUNE (물량흐름)'!$T$13:$T$502)+SUMIF('JUNE (물량흐름)'!$C$13:$C$502,C96,'JUNE (물량흐름)'!$V$13:$V$502)+SUMIF('JUNE (물량흐름)'!$C$13:$C$502,C96,'JUNE (물량흐름)'!$U$13:$U$502)-SUMIF('JUNE (물량흐름)'!$C$13:$C$502,C96,'JUNE (물량흐름)'!$Y$13:$Y$502)</f>
        <v>97</v>
      </c>
      <c r="Q96" s="6">
        <f t="shared" si="20"/>
        <v>2117104</v>
      </c>
      <c r="R96" s="6">
        <f>IF(ISERROR(VLOOKUP(#REF!,'WIP(재공품)'!$B$12:$AB$38,13,0)),0,VLOOKUP(#REF!,'WIP(재공품)'!$B$12:$AB$38,13,0))</f>
        <v>0</v>
      </c>
      <c r="S96" s="6">
        <f>IF(ISERROR(VLOOKUP(#REF!,'WIP(재공품)'!$B$12:$AB$38,10,0)),0,VLOOKUP(#REF!,'WIP(재공품)'!$B$12:$AB$38,10,0))</f>
        <v>0</v>
      </c>
      <c r="T96" s="6">
        <f>SUMIF('JUNE (물량흐름)'!$C$13:$C$502,'Overhead exp(제조경비)'!C96,'JUNE (물량흐름)'!$Y$13:$Y$502)</f>
        <v>0</v>
      </c>
      <c r="U96" s="6">
        <f t="shared" si="21"/>
        <v>0</v>
      </c>
      <c r="V96" s="6">
        <f>ROUND(SUMIF('JUNE (물량흐름)'!$C$13:$C$502,'Overhead exp(제조경비)'!C96,'JUNE (물량흐름)'!$N$13:$N$502),0)</f>
        <v>0</v>
      </c>
      <c r="W96" s="6">
        <f>ROUND(SUMIF('JUNE (물량흐름)'!$C$13:$C$502,'Overhead exp(제조경비)'!C96,'JUNE (물량흐름)'!$O$13:$O$502),0)</f>
        <v>0</v>
      </c>
      <c r="X96" s="6">
        <f>ROUND(SUMIF('JUNE (물량흐름)'!$C$13:$C$502,'Overhead exp(제조경비)'!C96,'JUNE (물량흐름)'!$P$13:$P$502),0)</f>
        <v>0</v>
      </c>
      <c r="Y96" s="6">
        <f t="shared" si="22"/>
        <v>0</v>
      </c>
      <c r="Z96" s="6">
        <f t="shared" si="23"/>
        <v>0</v>
      </c>
      <c r="AA96" s="6">
        <f t="shared" si="24"/>
        <v>0</v>
      </c>
      <c r="AB96" s="391">
        <f t="shared" si="25"/>
        <v>0</v>
      </c>
      <c r="AC96" s="391">
        <f t="shared" si="26"/>
        <v>0</v>
      </c>
      <c r="AE96" s="393"/>
    </row>
    <row r="97" spans="1:31" s="390" customFormat="1" ht="24" customHeight="1">
      <c r="A97" s="167">
        <v>86</v>
      </c>
      <c r="B97" s="20" t="str">
        <f>IFERROR(VLOOKUP(A97,'JUNE (물량흐름)'!$A$13:$C$502,2,0),0)</f>
        <v>ANN TAYLOR</v>
      </c>
      <c r="C97" s="272">
        <f>VLOOKUP(A97,'JUNE (물량흐름)'!$A$13:$C$502,3,0)</f>
        <v>455571</v>
      </c>
      <c r="D97" s="6">
        <f>VLOOKUP(C97,'WIP(재공품)'!$B$12:$E$493,4,0)</f>
        <v>7936.2499999999991</v>
      </c>
      <c r="E97" s="6">
        <f>IFERROR(VLOOKUP(C97,O.B.JUNE!$AI$7:$AJ$448,2,0),0)</f>
        <v>0</v>
      </c>
      <c r="F97" s="6">
        <f>IFERROR(VLOOKUP(C97,O.B.JUNE!$AI$7:$AK$448,3,0),0)</f>
        <v>0</v>
      </c>
      <c r="G97" s="6">
        <f>IFERROR(VLOOKUP(C97,O.B.JUNE!$AI$7:$AL$448,4,0),0)</f>
        <v>491</v>
      </c>
      <c r="H97" s="6">
        <f t="shared" si="17"/>
        <v>491</v>
      </c>
      <c r="I97" s="6">
        <f>IFERROR(VLOOKUP(C97,O.B.JUNE!$AI$7:$AN$448,6,0),0)</f>
        <v>393</v>
      </c>
      <c r="J97" s="6"/>
      <c r="K97" s="6">
        <f>IFERROR(VLOOKUP(C97,O.B.JUNE!$AI$7:$AO$448,7,0),0)</f>
        <v>10314048</v>
      </c>
      <c r="L97" s="6">
        <f>SUMIF('JUNE (물량흐름)'!$C$13:$C$488,'Overhead exp(제조경비)'!C97,'JUNE (물량흐름)'!$H$13:$H$493)+SUMIF('JUNE (물량흐름)'!$C$13:$C$493,'Overhead exp(제조경비)'!C97,'JUNE (물량흐름)'!$V$13:$V$493)</f>
        <v>0</v>
      </c>
      <c r="M97" s="6">
        <f t="shared" si="18"/>
        <v>0</v>
      </c>
      <c r="N97" s="6">
        <f t="shared" si="19"/>
        <v>0</v>
      </c>
      <c r="O97" s="6">
        <f t="shared" si="16"/>
        <v>0</v>
      </c>
      <c r="P97" s="6">
        <f>SUMIF('JUNE (물량흐름)'!$C$13:$C$502,C97,'JUNE (물량흐름)'!$T$13:$T$502)+SUMIF('JUNE (물량흐름)'!$C$13:$C$502,C97,'JUNE (물량흐름)'!$V$13:$V$502)+SUMIF('JUNE (물량흐름)'!$C$13:$C$502,C97,'JUNE (물량흐름)'!$U$13:$U$502)-SUMIF('JUNE (물량흐름)'!$C$13:$C$502,C97,'JUNE (물량흐름)'!$Y$13:$Y$502)</f>
        <v>491</v>
      </c>
      <c r="Q97" s="6">
        <f t="shared" si="20"/>
        <v>10314048</v>
      </c>
      <c r="R97" s="6">
        <f>IF(ISERROR(VLOOKUP(#REF!,'WIP(재공품)'!$B$12:$AB$38,13,0)),0,VLOOKUP(#REF!,'WIP(재공품)'!$B$12:$AB$38,13,0))</f>
        <v>0</v>
      </c>
      <c r="S97" s="6">
        <f>IF(ISERROR(VLOOKUP(#REF!,'WIP(재공품)'!$B$12:$AB$38,10,0)),0,VLOOKUP(#REF!,'WIP(재공품)'!$B$12:$AB$38,10,0))</f>
        <v>0</v>
      </c>
      <c r="T97" s="6">
        <f>SUMIF('JUNE (물량흐름)'!$C$13:$C$502,'Overhead exp(제조경비)'!C97,'JUNE (물량흐름)'!$Y$13:$Y$502)</f>
        <v>0</v>
      </c>
      <c r="U97" s="6">
        <f t="shared" si="21"/>
        <v>0</v>
      </c>
      <c r="V97" s="6">
        <f>ROUND(SUMIF('JUNE (물량흐름)'!$C$13:$C$502,'Overhead exp(제조경비)'!C97,'JUNE (물량흐름)'!$N$13:$N$502),0)</f>
        <v>0</v>
      </c>
      <c r="W97" s="6">
        <f>ROUND(SUMIF('JUNE (물량흐름)'!$C$13:$C$502,'Overhead exp(제조경비)'!C97,'JUNE (물량흐름)'!$O$13:$O$502),0)</f>
        <v>0</v>
      </c>
      <c r="X97" s="6">
        <f>ROUND(SUMIF('JUNE (물량흐름)'!$C$13:$C$502,'Overhead exp(제조경비)'!C97,'JUNE (물량흐름)'!$P$13:$P$502),0)</f>
        <v>0</v>
      </c>
      <c r="Y97" s="6">
        <f t="shared" si="22"/>
        <v>0</v>
      </c>
      <c r="Z97" s="6">
        <f t="shared" si="23"/>
        <v>0</v>
      </c>
      <c r="AA97" s="6">
        <f t="shared" si="24"/>
        <v>0</v>
      </c>
      <c r="AB97" s="391">
        <f t="shared" si="25"/>
        <v>0</v>
      </c>
      <c r="AC97" s="391">
        <f t="shared" si="26"/>
        <v>0</v>
      </c>
      <c r="AE97" s="393"/>
    </row>
    <row r="98" spans="1:31" s="390" customFormat="1" ht="24" customHeight="1">
      <c r="A98" s="167">
        <v>87</v>
      </c>
      <c r="B98" s="20" t="str">
        <f>IFERROR(VLOOKUP(A98,'JUNE (물량흐름)'!$A$13:$C$502,2,0),0)</f>
        <v>ANN TAYLOR</v>
      </c>
      <c r="C98" s="272" t="str">
        <f>VLOOKUP(A98,'JUNE (물량흐름)'!$A$13:$C$502,3,0)</f>
        <v>456532(456692)</v>
      </c>
      <c r="D98" s="6">
        <f>VLOOKUP(C98,'WIP(재공품)'!$B$12:$E$493,4,0)</f>
        <v>7936.2499999999991</v>
      </c>
      <c r="E98" s="6">
        <f>IFERROR(VLOOKUP(C98,O.B.JUNE!$AI$7:$AJ$448,2,0),0)</f>
        <v>0</v>
      </c>
      <c r="F98" s="6">
        <f>IFERROR(VLOOKUP(C98,O.B.JUNE!$AI$7:$AK$448,3,0),0)</f>
        <v>0</v>
      </c>
      <c r="G98" s="6">
        <f>IFERROR(VLOOKUP(C98,O.B.JUNE!$AI$7:$AL$448,4,0),0)</f>
        <v>143</v>
      </c>
      <c r="H98" s="6">
        <f t="shared" si="17"/>
        <v>143</v>
      </c>
      <c r="I98" s="6">
        <f>IFERROR(VLOOKUP(C98,O.B.JUNE!$AI$7:$AN$448,6,0),0)</f>
        <v>114</v>
      </c>
      <c r="J98" s="6"/>
      <c r="K98" s="6">
        <f>IFERROR(VLOOKUP(C98,O.B.JUNE!$AI$7:$AO$448,7,0),0)</f>
        <v>2532384</v>
      </c>
      <c r="L98" s="6">
        <f>SUMIF('JUNE (물량흐름)'!$C$13:$C$488,'Overhead exp(제조경비)'!C98,'JUNE (물량흐름)'!$H$13:$H$493)+SUMIF('JUNE (물량흐름)'!$C$13:$C$493,'Overhead exp(제조경비)'!C98,'JUNE (물량흐름)'!$V$13:$V$493)</f>
        <v>0</v>
      </c>
      <c r="M98" s="6">
        <f t="shared" si="18"/>
        <v>0</v>
      </c>
      <c r="N98" s="6">
        <f t="shared" si="19"/>
        <v>0</v>
      </c>
      <c r="O98" s="6">
        <f t="shared" si="16"/>
        <v>0</v>
      </c>
      <c r="P98" s="6">
        <f>SUMIF('JUNE (물량흐름)'!$C$13:$C$502,C98,'JUNE (물량흐름)'!$T$13:$T$502)+SUMIF('JUNE (물량흐름)'!$C$13:$C$502,C98,'JUNE (물량흐름)'!$V$13:$V$502)+SUMIF('JUNE (물량흐름)'!$C$13:$C$502,C98,'JUNE (물량흐름)'!$U$13:$U$502)-SUMIF('JUNE (물량흐름)'!$C$13:$C$502,C98,'JUNE (물량흐름)'!$Y$13:$Y$502)</f>
        <v>143</v>
      </c>
      <c r="Q98" s="6">
        <f t="shared" si="20"/>
        <v>2532384</v>
      </c>
      <c r="R98" s="6">
        <f>IF(ISERROR(VLOOKUP(#REF!,'WIP(재공품)'!$B$12:$AB$38,13,0)),0,VLOOKUP(#REF!,'WIP(재공품)'!$B$12:$AB$38,13,0))</f>
        <v>0</v>
      </c>
      <c r="S98" s="6">
        <f>IF(ISERROR(VLOOKUP(#REF!,'WIP(재공품)'!$B$12:$AB$38,10,0)),0,VLOOKUP(#REF!,'WIP(재공품)'!$B$12:$AB$38,10,0))</f>
        <v>0</v>
      </c>
      <c r="T98" s="6">
        <f>SUMIF('JUNE (물량흐름)'!$C$13:$C$502,'Overhead exp(제조경비)'!C98,'JUNE (물량흐름)'!$Y$13:$Y$502)</f>
        <v>0</v>
      </c>
      <c r="U98" s="6">
        <f t="shared" si="21"/>
        <v>0</v>
      </c>
      <c r="V98" s="6">
        <f>ROUND(SUMIF('JUNE (물량흐름)'!$C$13:$C$502,'Overhead exp(제조경비)'!C98,'JUNE (물량흐름)'!$N$13:$N$502),0)</f>
        <v>0</v>
      </c>
      <c r="W98" s="6">
        <f>ROUND(SUMIF('JUNE (물량흐름)'!$C$13:$C$502,'Overhead exp(제조경비)'!C98,'JUNE (물량흐름)'!$O$13:$O$502),0)</f>
        <v>0</v>
      </c>
      <c r="X98" s="6">
        <f>ROUND(SUMIF('JUNE (물량흐름)'!$C$13:$C$502,'Overhead exp(제조경비)'!C98,'JUNE (물량흐름)'!$P$13:$P$502),0)</f>
        <v>0</v>
      </c>
      <c r="Y98" s="6">
        <f t="shared" si="22"/>
        <v>0</v>
      </c>
      <c r="Z98" s="6">
        <f t="shared" si="23"/>
        <v>0</v>
      </c>
      <c r="AA98" s="6">
        <f t="shared" si="24"/>
        <v>0</v>
      </c>
      <c r="AB98" s="391">
        <f t="shared" si="25"/>
        <v>0</v>
      </c>
      <c r="AC98" s="391">
        <f t="shared" si="26"/>
        <v>0</v>
      </c>
      <c r="AE98" s="393"/>
    </row>
    <row r="99" spans="1:31" s="390" customFormat="1" ht="24" customHeight="1">
      <c r="A99" s="167">
        <v>88</v>
      </c>
      <c r="B99" s="20" t="str">
        <f>IFERROR(VLOOKUP(A99,'JUNE (물량흐름)'!$A$13:$C$502,2,0),0)</f>
        <v>BUFFALO</v>
      </c>
      <c r="C99" s="272" t="str">
        <f>VLOOKUP(A99,'JUNE (물량흐름)'!$A$13:$C$502,3,0)</f>
        <v>KCL0026</v>
      </c>
      <c r="D99" s="6">
        <f>VLOOKUP(C99,'WIP(재공품)'!$B$12:$E$493,4,0)</f>
        <v>8163</v>
      </c>
      <c r="E99" s="6">
        <f>IFERROR(VLOOKUP(C99,O.B.JUNE!$AI$7:$AJ$448,2,0),0)</f>
        <v>0</v>
      </c>
      <c r="F99" s="6">
        <f>IFERROR(VLOOKUP(C99,O.B.JUNE!$AI$7:$AK$448,3,0),0)</f>
        <v>0</v>
      </c>
      <c r="G99" s="6">
        <f>IFERROR(VLOOKUP(C99,O.B.JUNE!$AI$7:$AL$448,4,0),0)</f>
        <v>36</v>
      </c>
      <c r="H99" s="6">
        <f t="shared" si="17"/>
        <v>36</v>
      </c>
      <c r="I99" s="6">
        <f>IFERROR(VLOOKUP(C99,O.B.JUNE!$AI$7:$AN$448,6,0),0)</f>
        <v>29</v>
      </c>
      <c r="J99" s="6"/>
      <c r="K99" s="6">
        <f>IFERROR(VLOOKUP(C99,O.B.JUNE!$AI$7:$AO$448,7,0),0)</f>
        <v>331194</v>
      </c>
      <c r="L99" s="6">
        <f>SUMIF('JUNE (물량흐름)'!$C$13:$C$488,'Overhead exp(제조경비)'!C99,'JUNE (물량흐름)'!$H$13:$H$493)+SUMIF('JUNE (물량흐름)'!$C$13:$C$493,'Overhead exp(제조경비)'!C99,'JUNE (물량흐름)'!$V$13:$V$493)</f>
        <v>0</v>
      </c>
      <c r="M99" s="6">
        <f t="shared" si="18"/>
        <v>0</v>
      </c>
      <c r="N99" s="6">
        <f t="shared" si="19"/>
        <v>0</v>
      </c>
      <c r="O99" s="6">
        <f t="shared" si="16"/>
        <v>0</v>
      </c>
      <c r="P99" s="6">
        <f>SUMIF('JUNE (물량흐름)'!$C$13:$C$502,C99,'JUNE (물량흐름)'!$T$13:$T$502)+SUMIF('JUNE (물량흐름)'!$C$13:$C$502,C99,'JUNE (물량흐름)'!$V$13:$V$502)+SUMIF('JUNE (물량흐름)'!$C$13:$C$502,C99,'JUNE (물량흐름)'!$U$13:$U$502)-SUMIF('JUNE (물량흐름)'!$C$13:$C$502,C99,'JUNE (물량흐름)'!$Y$13:$Y$502)</f>
        <v>36</v>
      </c>
      <c r="Q99" s="6">
        <f t="shared" si="20"/>
        <v>331194</v>
      </c>
      <c r="R99" s="6">
        <f>IF(ISERROR(VLOOKUP(#REF!,'WIP(재공품)'!$B$12:$AB$38,13,0)),0,VLOOKUP(#REF!,'WIP(재공품)'!$B$12:$AB$38,13,0))</f>
        <v>0</v>
      </c>
      <c r="S99" s="6">
        <f>IF(ISERROR(VLOOKUP(#REF!,'WIP(재공품)'!$B$12:$AB$38,10,0)),0,VLOOKUP(#REF!,'WIP(재공품)'!$B$12:$AB$38,10,0))</f>
        <v>0</v>
      </c>
      <c r="T99" s="6">
        <f>SUMIF('JUNE (물량흐름)'!$C$13:$C$502,'Overhead exp(제조경비)'!C99,'JUNE (물량흐름)'!$Y$13:$Y$502)</f>
        <v>0</v>
      </c>
      <c r="U99" s="6">
        <f t="shared" si="21"/>
        <v>0</v>
      </c>
      <c r="V99" s="6">
        <f>ROUND(SUMIF('JUNE (물량흐름)'!$C$13:$C$502,'Overhead exp(제조경비)'!C99,'JUNE (물량흐름)'!$N$13:$N$502),0)</f>
        <v>0</v>
      </c>
      <c r="W99" s="6">
        <f>ROUND(SUMIF('JUNE (물량흐름)'!$C$13:$C$502,'Overhead exp(제조경비)'!C99,'JUNE (물량흐름)'!$O$13:$O$502),0)</f>
        <v>0</v>
      </c>
      <c r="X99" s="6">
        <f>ROUND(SUMIF('JUNE (물량흐름)'!$C$13:$C$502,'Overhead exp(제조경비)'!C99,'JUNE (물량흐름)'!$P$13:$P$502),0)</f>
        <v>0</v>
      </c>
      <c r="Y99" s="6">
        <f t="shared" si="22"/>
        <v>0</v>
      </c>
      <c r="Z99" s="6">
        <f t="shared" si="23"/>
        <v>0</v>
      </c>
      <c r="AA99" s="6">
        <f t="shared" si="24"/>
        <v>0</v>
      </c>
      <c r="AB99" s="391">
        <f t="shared" si="25"/>
        <v>0</v>
      </c>
      <c r="AC99" s="391">
        <f t="shared" si="26"/>
        <v>0</v>
      </c>
      <c r="AE99" s="393"/>
    </row>
    <row r="100" spans="1:31" s="390" customFormat="1" ht="24" customHeight="1">
      <c r="A100" s="167">
        <v>89</v>
      </c>
      <c r="B100" s="20" t="str">
        <f>IFERROR(VLOOKUP(A100,'JUNE (물량흐름)'!$A$13:$C$502,2,0),0)</f>
        <v>INC</v>
      </c>
      <c r="C100" s="272">
        <f>VLOOKUP(A100,'JUNE (물량흐름)'!$A$13:$C$502,3,0)</f>
        <v>100007764</v>
      </c>
      <c r="D100" s="6">
        <f>VLOOKUP(C100,'WIP(재공품)'!$B$12:$E$493,4,0)</f>
        <v>8163</v>
      </c>
      <c r="E100" s="6">
        <f>IFERROR(VLOOKUP(C100,O.B.JUNE!$AI$7:$AJ$448,2,0),0)</f>
        <v>0</v>
      </c>
      <c r="F100" s="6">
        <f>IFERROR(VLOOKUP(C100,O.B.JUNE!$AI$7:$AK$448,3,0),0)</f>
        <v>32</v>
      </c>
      <c r="G100" s="6">
        <f>IFERROR(VLOOKUP(C100,O.B.JUNE!$AI$7:$AL$448,4,0),0)</f>
        <v>1251</v>
      </c>
      <c r="H100" s="6">
        <f t="shared" si="17"/>
        <v>1283</v>
      </c>
      <c r="I100" s="6">
        <f>IFERROR(VLOOKUP(C100,O.B.JUNE!$AI$7:$AN$448,6,0),0)</f>
        <v>1017</v>
      </c>
      <c r="J100" s="6"/>
      <c r="K100" s="6">
        <f>IFERROR(VLOOKUP(C100,O.B.JUNE!$AI$7:$AO$448,7,0),0)</f>
        <v>34970220</v>
      </c>
      <c r="L100" s="6">
        <f>SUMIF('JUNE (물량흐름)'!$C$13:$C$488,'Overhead exp(제조경비)'!C100,'JUNE (물량흐름)'!$H$13:$H$493)+SUMIF('JUNE (물량흐름)'!$C$13:$C$493,'Overhead exp(제조경비)'!C100,'JUNE (물량흐름)'!$V$13:$V$493)</f>
        <v>0</v>
      </c>
      <c r="M100" s="6">
        <f t="shared" si="18"/>
        <v>0</v>
      </c>
      <c r="N100" s="6">
        <f t="shared" si="19"/>
        <v>0</v>
      </c>
      <c r="O100" s="6">
        <f t="shared" si="16"/>
        <v>0</v>
      </c>
      <c r="P100" s="6">
        <f>SUMIF('JUNE (물량흐름)'!$C$13:$C$502,C100,'JUNE (물량흐름)'!$T$13:$T$502)+SUMIF('JUNE (물량흐름)'!$C$13:$C$502,C100,'JUNE (물량흐름)'!$V$13:$V$502)+SUMIF('JUNE (물량흐름)'!$C$13:$C$502,C100,'JUNE (물량흐름)'!$U$13:$U$502)-SUMIF('JUNE (물량흐름)'!$C$13:$C$502,C100,'JUNE (물량흐름)'!$Y$13:$Y$502)</f>
        <v>0</v>
      </c>
      <c r="Q100" s="6">
        <f t="shared" si="20"/>
        <v>0</v>
      </c>
      <c r="R100" s="6">
        <f>IF(ISERROR(VLOOKUP(#REF!,'WIP(재공품)'!$B$12:$AB$38,13,0)),0,VLOOKUP(#REF!,'WIP(재공품)'!$B$12:$AB$38,13,0))</f>
        <v>0</v>
      </c>
      <c r="S100" s="6">
        <f>IF(ISERROR(VLOOKUP(#REF!,'WIP(재공품)'!$B$12:$AB$38,10,0)),0,VLOOKUP(#REF!,'WIP(재공품)'!$B$12:$AB$38,10,0))</f>
        <v>0</v>
      </c>
      <c r="T100" s="6">
        <f>SUMIF('JUNE (물량흐름)'!$C$13:$C$502,'Overhead exp(제조경비)'!C100,'JUNE (물량흐름)'!$Y$13:$Y$502)</f>
        <v>0</v>
      </c>
      <c r="U100" s="6">
        <f t="shared" si="21"/>
        <v>0</v>
      </c>
      <c r="V100" s="6">
        <f>ROUND(SUMIF('JUNE (물량흐름)'!$C$13:$C$502,'Overhead exp(제조경비)'!C100,'JUNE (물량흐름)'!$N$13:$N$502),0)</f>
        <v>0</v>
      </c>
      <c r="W100" s="6">
        <f>ROUND(SUMIF('JUNE (물량흐름)'!$C$13:$C$502,'Overhead exp(제조경비)'!C100,'JUNE (물량흐름)'!$O$13:$O$502),0)</f>
        <v>32</v>
      </c>
      <c r="X100" s="6">
        <f>ROUND(SUMIF('JUNE (물량흐름)'!$C$13:$C$502,'Overhead exp(제조경비)'!C100,'JUNE (물량흐름)'!$P$13:$P$502),0)</f>
        <v>1251</v>
      </c>
      <c r="Y100" s="6">
        <f t="shared" si="22"/>
        <v>1283</v>
      </c>
      <c r="Z100" s="6">
        <f t="shared" si="23"/>
        <v>1017</v>
      </c>
      <c r="AA100" s="6">
        <f t="shared" si="24"/>
        <v>34970220</v>
      </c>
      <c r="AB100" s="391">
        <f t="shared" si="25"/>
        <v>0</v>
      </c>
      <c r="AC100" s="391">
        <f t="shared" si="26"/>
        <v>0</v>
      </c>
      <c r="AE100" s="393"/>
    </row>
    <row r="101" spans="1:31" s="390" customFormat="1" ht="24" customHeight="1">
      <c r="A101" s="167">
        <v>90</v>
      </c>
      <c r="B101" s="20" t="str">
        <f>IFERROR(VLOOKUP(A101,'JUNE (물량흐름)'!$A$13:$C$502,2,0),0)</f>
        <v>INC</v>
      </c>
      <c r="C101" s="272">
        <f>VLOOKUP(A101,'JUNE (물량흐름)'!$A$13:$C$502,3,0)</f>
        <v>100007863</v>
      </c>
      <c r="D101" s="6">
        <f>VLOOKUP(C101,'WIP(재공품)'!$B$12:$E$493,4,0)</f>
        <v>7936.2499999999991</v>
      </c>
      <c r="E101" s="6">
        <f>IFERROR(VLOOKUP(C101,O.B.JUNE!$AI$7:$AJ$448,2,0),0)</f>
        <v>0</v>
      </c>
      <c r="F101" s="6">
        <f>IFERROR(VLOOKUP(C101,O.B.JUNE!$AI$7:$AK$448,3,0),0)</f>
        <v>0</v>
      </c>
      <c r="G101" s="6">
        <f>IFERROR(VLOOKUP(C101,O.B.JUNE!$AI$7:$AL$448,4,0),0)</f>
        <v>43</v>
      </c>
      <c r="H101" s="6">
        <f t="shared" si="17"/>
        <v>43</v>
      </c>
      <c r="I101" s="6">
        <f>IFERROR(VLOOKUP(C101,O.B.JUNE!$AI$7:$AN$448,6,0),0)</f>
        <v>34</v>
      </c>
      <c r="J101" s="6"/>
      <c r="K101" s="6">
        <f>IFERROR(VLOOKUP(C101,O.B.JUNE!$AI$7:$AO$448,7,0),0)</f>
        <v>2157203</v>
      </c>
      <c r="L101" s="6">
        <f>SUMIF('JUNE (물량흐름)'!$C$13:$C$488,'Overhead exp(제조경비)'!C101,'JUNE (물량흐름)'!$H$13:$H$493)+SUMIF('JUNE (물량흐름)'!$C$13:$C$493,'Overhead exp(제조경비)'!C101,'JUNE (물량흐름)'!$V$13:$V$493)</f>
        <v>0</v>
      </c>
      <c r="M101" s="6">
        <f t="shared" si="18"/>
        <v>0</v>
      </c>
      <c r="N101" s="6">
        <f t="shared" si="19"/>
        <v>0</v>
      </c>
      <c r="O101" s="6">
        <f t="shared" si="16"/>
        <v>0</v>
      </c>
      <c r="P101" s="6">
        <f>SUMIF('JUNE (물량흐름)'!$C$13:$C$502,C101,'JUNE (물량흐름)'!$T$13:$T$502)+SUMIF('JUNE (물량흐름)'!$C$13:$C$502,C101,'JUNE (물량흐름)'!$V$13:$V$502)+SUMIF('JUNE (물량흐름)'!$C$13:$C$502,C101,'JUNE (물량흐름)'!$U$13:$U$502)-SUMIF('JUNE (물량흐름)'!$C$13:$C$502,C101,'JUNE (물량흐름)'!$Y$13:$Y$502)</f>
        <v>43</v>
      </c>
      <c r="Q101" s="6">
        <f t="shared" si="20"/>
        <v>2157203</v>
      </c>
      <c r="R101" s="6">
        <f>IF(ISERROR(VLOOKUP(#REF!,'WIP(재공품)'!$B$12:$AB$38,13,0)),0,VLOOKUP(#REF!,'WIP(재공품)'!$B$12:$AB$38,13,0))</f>
        <v>0</v>
      </c>
      <c r="S101" s="6">
        <f>IF(ISERROR(VLOOKUP(#REF!,'WIP(재공품)'!$B$12:$AB$38,10,0)),0,VLOOKUP(#REF!,'WIP(재공품)'!$B$12:$AB$38,10,0))</f>
        <v>0</v>
      </c>
      <c r="T101" s="6">
        <f>SUMIF('JUNE (물량흐름)'!$C$13:$C$502,'Overhead exp(제조경비)'!C101,'JUNE (물량흐름)'!$Y$13:$Y$502)</f>
        <v>0</v>
      </c>
      <c r="U101" s="6">
        <f t="shared" si="21"/>
        <v>0</v>
      </c>
      <c r="V101" s="6">
        <f>ROUND(SUMIF('JUNE (물량흐름)'!$C$13:$C$502,'Overhead exp(제조경비)'!C101,'JUNE (물량흐름)'!$N$13:$N$502),0)</f>
        <v>0</v>
      </c>
      <c r="W101" s="6">
        <f>ROUND(SUMIF('JUNE (물량흐름)'!$C$13:$C$502,'Overhead exp(제조경비)'!C101,'JUNE (물량흐름)'!$O$13:$O$502),0)</f>
        <v>0</v>
      </c>
      <c r="X101" s="6">
        <f>ROUND(SUMIF('JUNE (물량흐름)'!$C$13:$C$502,'Overhead exp(제조경비)'!C101,'JUNE (물량흐름)'!$P$13:$P$502),0)</f>
        <v>0</v>
      </c>
      <c r="Y101" s="6">
        <f t="shared" si="22"/>
        <v>0</v>
      </c>
      <c r="Z101" s="6">
        <f t="shared" si="23"/>
        <v>0</v>
      </c>
      <c r="AA101" s="6">
        <f t="shared" si="24"/>
        <v>0</v>
      </c>
      <c r="AB101" s="391">
        <f t="shared" si="25"/>
        <v>0</v>
      </c>
      <c r="AC101" s="391">
        <f t="shared" si="26"/>
        <v>0</v>
      </c>
      <c r="AE101" s="393"/>
    </row>
    <row r="102" spans="1:31" s="390" customFormat="1" ht="24" customHeight="1">
      <c r="A102" s="167">
        <v>91</v>
      </c>
      <c r="B102" s="20" t="str">
        <f>IFERROR(VLOOKUP(A102,'JUNE (물량흐름)'!$A$13:$C$502,2,0),0)</f>
        <v>INC</v>
      </c>
      <c r="C102" s="272">
        <f>VLOOKUP(A102,'JUNE (물량흐름)'!$A$13:$C$502,3,0)</f>
        <v>100009688</v>
      </c>
      <c r="D102" s="6">
        <f>VLOOKUP(C102,'WIP(재공품)'!$B$12:$E$493,4,0)</f>
        <v>7936.2499999999991</v>
      </c>
      <c r="E102" s="6">
        <f>IFERROR(VLOOKUP(C102,O.B.JUNE!$AI$7:$AJ$448,2,0),0)</f>
        <v>0</v>
      </c>
      <c r="F102" s="6">
        <f>IFERROR(VLOOKUP(C102,O.B.JUNE!$AI$7:$AK$448,3,0),0)</f>
        <v>0</v>
      </c>
      <c r="G102" s="6">
        <f>IFERROR(VLOOKUP(C102,O.B.JUNE!$AI$7:$AL$448,4,0),0)</f>
        <v>48</v>
      </c>
      <c r="H102" s="6">
        <f t="shared" si="17"/>
        <v>48</v>
      </c>
      <c r="I102" s="6">
        <f>IFERROR(VLOOKUP(C102,O.B.JUNE!$AI$7:$AN$448,6,0),0)</f>
        <v>38</v>
      </c>
      <c r="J102" s="6"/>
      <c r="K102" s="6">
        <f>IFERROR(VLOOKUP(C102,O.B.JUNE!$AI$7:$AO$448,7,0),0)</f>
        <v>1543035</v>
      </c>
      <c r="L102" s="6">
        <f>SUMIF('JUNE (물량흐름)'!$C$13:$C$488,'Overhead exp(제조경비)'!C102,'JUNE (물량흐름)'!$H$13:$H$493)+SUMIF('JUNE (물량흐름)'!$C$13:$C$493,'Overhead exp(제조경비)'!C102,'JUNE (물량흐름)'!$V$13:$V$493)</f>
        <v>0</v>
      </c>
      <c r="M102" s="6">
        <f t="shared" si="18"/>
        <v>0</v>
      </c>
      <c r="N102" s="6">
        <f t="shared" si="19"/>
        <v>0</v>
      </c>
      <c r="O102" s="6">
        <f t="shared" si="16"/>
        <v>0</v>
      </c>
      <c r="P102" s="6">
        <f>SUMIF('JUNE (물량흐름)'!$C$13:$C$502,C102,'JUNE (물량흐름)'!$T$13:$T$502)+SUMIF('JUNE (물량흐름)'!$C$13:$C$502,C102,'JUNE (물량흐름)'!$V$13:$V$502)+SUMIF('JUNE (물량흐름)'!$C$13:$C$502,C102,'JUNE (물량흐름)'!$U$13:$U$502)-SUMIF('JUNE (물량흐름)'!$C$13:$C$502,C102,'JUNE (물량흐름)'!$Y$13:$Y$502)</f>
        <v>48</v>
      </c>
      <c r="Q102" s="6">
        <f t="shared" si="20"/>
        <v>1543035</v>
      </c>
      <c r="R102" s="6">
        <f>IF(ISERROR(VLOOKUP(#REF!,'WIP(재공품)'!$B$12:$AB$38,13,0)),0,VLOOKUP(#REF!,'WIP(재공품)'!$B$12:$AB$38,13,0))</f>
        <v>0</v>
      </c>
      <c r="S102" s="6">
        <f>IF(ISERROR(VLOOKUP(#REF!,'WIP(재공품)'!$B$12:$AB$38,10,0)),0,VLOOKUP(#REF!,'WIP(재공품)'!$B$12:$AB$38,10,0))</f>
        <v>0</v>
      </c>
      <c r="T102" s="6">
        <f>SUMIF('JUNE (물량흐름)'!$C$13:$C$502,'Overhead exp(제조경비)'!C102,'JUNE (물량흐름)'!$Y$13:$Y$502)</f>
        <v>0</v>
      </c>
      <c r="U102" s="6">
        <f t="shared" si="21"/>
        <v>0</v>
      </c>
      <c r="V102" s="6">
        <f>ROUND(SUMIF('JUNE (물량흐름)'!$C$13:$C$502,'Overhead exp(제조경비)'!C102,'JUNE (물량흐름)'!$N$13:$N$502),0)</f>
        <v>0</v>
      </c>
      <c r="W102" s="6">
        <f>ROUND(SUMIF('JUNE (물량흐름)'!$C$13:$C$502,'Overhead exp(제조경비)'!C102,'JUNE (물량흐름)'!$O$13:$O$502),0)</f>
        <v>0</v>
      </c>
      <c r="X102" s="6">
        <f>ROUND(SUMIF('JUNE (물량흐름)'!$C$13:$C$502,'Overhead exp(제조경비)'!C102,'JUNE (물량흐름)'!$P$13:$P$502),0)</f>
        <v>0</v>
      </c>
      <c r="Y102" s="6">
        <f t="shared" si="22"/>
        <v>0</v>
      </c>
      <c r="Z102" s="6">
        <f t="shared" si="23"/>
        <v>0</v>
      </c>
      <c r="AA102" s="6">
        <f t="shared" si="24"/>
        <v>0</v>
      </c>
      <c r="AB102" s="391">
        <f t="shared" si="25"/>
        <v>0</v>
      </c>
      <c r="AC102" s="391">
        <f t="shared" si="26"/>
        <v>0</v>
      </c>
      <c r="AE102" s="393"/>
    </row>
    <row r="103" spans="1:31" s="390" customFormat="1" ht="24" customHeight="1">
      <c r="A103" s="167">
        <v>92</v>
      </c>
      <c r="B103" s="20" t="str">
        <f>IFERROR(VLOOKUP(A103,'JUNE (물량흐름)'!$A$13:$C$502,2,0),0)</f>
        <v>INC</v>
      </c>
      <c r="C103" s="272">
        <f>VLOOKUP(A103,'JUNE (물량흐름)'!$A$13:$C$502,3,0)</f>
        <v>100012436</v>
      </c>
      <c r="D103" s="6">
        <f>VLOOKUP(C103,'WIP(재공품)'!$B$12:$E$493,4,0)</f>
        <v>8163</v>
      </c>
      <c r="E103" s="6">
        <f>IFERROR(VLOOKUP(C103,O.B.JUNE!$AI$7:$AJ$448,2,0),0)</f>
        <v>0</v>
      </c>
      <c r="F103" s="6">
        <f>IFERROR(VLOOKUP(C103,O.B.JUNE!$AI$7:$AK$448,3,0),0)</f>
        <v>0</v>
      </c>
      <c r="G103" s="6">
        <f>IFERROR(VLOOKUP(C103,O.B.JUNE!$AI$7:$AL$448,4,0),0)</f>
        <v>88</v>
      </c>
      <c r="H103" s="6">
        <f t="shared" si="17"/>
        <v>88</v>
      </c>
      <c r="I103" s="6">
        <f>IFERROR(VLOOKUP(C103,O.B.JUNE!$AI$7:$AN$448,6,0),0)</f>
        <v>70</v>
      </c>
      <c r="J103" s="6"/>
      <c r="K103" s="6">
        <f>IFERROR(VLOOKUP(C103,O.B.JUNE!$AI$7:$AO$448,7,0),0)</f>
        <v>2842432</v>
      </c>
      <c r="L103" s="6">
        <f>SUMIF('JUNE (물량흐름)'!$C$13:$C$488,'Overhead exp(제조경비)'!C103,'JUNE (물량흐름)'!$H$13:$H$493)+SUMIF('JUNE (물량흐름)'!$C$13:$C$493,'Overhead exp(제조경비)'!C103,'JUNE (물량흐름)'!$V$13:$V$493)</f>
        <v>0</v>
      </c>
      <c r="M103" s="6">
        <f t="shared" si="18"/>
        <v>0</v>
      </c>
      <c r="N103" s="6">
        <f t="shared" si="19"/>
        <v>0</v>
      </c>
      <c r="O103" s="6">
        <f t="shared" si="16"/>
        <v>0</v>
      </c>
      <c r="P103" s="6">
        <f>SUMIF('JUNE (물량흐름)'!$C$13:$C$502,C103,'JUNE (물량흐름)'!$T$13:$T$502)+SUMIF('JUNE (물량흐름)'!$C$13:$C$502,C103,'JUNE (물량흐름)'!$V$13:$V$502)+SUMIF('JUNE (물량흐름)'!$C$13:$C$502,C103,'JUNE (물량흐름)'!$U$13:$U$502)-SUMIF('JUNE (물량흐름)'!$C$13:$C$502,C103,'JUNE (물량흐름)'!$Y$13:$Y$502)</f>
        <v>88</v>
      </c>
      <c r="Q103" s="6">
        <f t="shared" si="20"/>
        <v>2842432</v>
      </c>
      <c r="R103" s="6">
        <f>IF(ISERROR(VLOOKUP(#REF!,'WIP(재공품)'!$B$12:$AB$38,13,0)),0,VLOOKUP(#REF!,'WIP(재공품)'!$B$12:$AB$38,13,0))</f>
        <v>0</v>
      </c>
      <c r="S103" s="6">
        <f>IF(ISERROR(VLOOKUP(#REF!,'WIP(재공품)'!$B$12:$AB$38,10,0)),0,VLOOKUP(#REF!,'WIP(재공품)'!$B$12:$AB$38,10,0))</f>
        <v>0</v>
      </c>
      <c r="T103" s="6">
        <f>SUMIF('JUNE (물량흐름)'!$C$13:$C$502,'Overhead exp(제조경비)'!C103,'JUNE (물량흐름)'!$Y$13:$Y$502)</f>
        <v>0</v>
      </c>
      <c r="U103" s="6">
        <f t="shared" si="21"/>
        <v>0</v>
      </c>
      <c r="V103" s="6">
        <f>ROUND(SUMIF('JUNE (물량흐름)'!$C$13:$C$502,'Overhead exp(제조경비)'!C103,'JUNE (물량흐름)'!$N$13:$N$502),0)</f>
        <v>0</v>
      </c>
      <c r="W103" s="6">
        <f>ROUND(SUMIF('JUNE (물량흐름)'!$C$13:$C$502,'Overhead exp(제조경비)'!C103,'JUNE (물량흐름)'!$O$13:$O$502),0)</f>
        <v>0</v>
      </c>
      <c r="X103" s="6">
        <f>ROUND(SUMIF('JUNE (물량흐름)'!$C$13:$C$502,'Overhead exp(제조경비)'!C103,'JUNE (물량흐름)'!$P$13:$P$502),0)</f>
        <v>0</v>
      </c>
      <c r="Y103" s="6">
        <f t="shared" si="22"/>
        <v>0</v>
      </c>
      <c r="Z103" s="6">
        <f t="shared" si="23"/>
        <v>0</v>
      </c>
      <c r="AA103" s="6">
        <f t="shared" si="24"/>
        <v>0</v>
      </c>
      <c r="AB103" s="391">
        <f t="shared" si="25"/>
        <v>0</v>
      </c>
      <c r="AC103" s="391">
        <f t="shared" si="26"/>
        <v>0</v>
      </c>
      <c r="AE103" s="393"/>
    </row>
    <row r="104" spans="1:31" s="390" customFormat="1" ht="24" customHeight="1">
      <c r="A104" s="167">
        <v>93</v>
      </c>
      <c r="B104" s="20" t="str">
        <f>IFERROR(VLOOKUP(A104,'JUNE (물량흐름)'!$A$13:$C$502,2,0),0)</f>
        <v>INC</v>
      </c>
      <c r="C104" s="272">
        <f>VLOOKUP(A104,'JUNE (물량흐름)'!$A$13:$C$502,3,0)</f>
        <v>100012476</v>
      </c>
      <c r="D104" s="6">
        <f>VLOOKUP(C104,'WIP(재공품)'!$B$12:$E$493,4,0)</f>
        <v>7936.2499999999991</v>
      </c>
      <c r="E104" s="6">
        <f>IFERROR(VLOOKUP(C104,O.B.JUNE!$AI$7:$AJ$448,2,0),0)</f>
        <v>0</v>
      </c>
      <c r="F104" s="6">
        <f>IFERROR(VLOOKUP(C104,O.B.JUNE!$AI$7:$AK$448,3,0),0)</f>
        <v>0</v>
      </c>
      <c r="G104" s="6">
        <f>IFERROR(VLOOKUP(C104,O.B.JUNE!$AI$7:$AL$448,4,0),0)</f>
        <v>168</v>
      </c>
      <c r="H104" s="6">
        <f t="shared" si="17"/>
        <v>168</v>
      </c>
      <c r="I104" s="6">
        <f>IFERROR(VLOOKUP(C104,O.B.JUNE!$AI$7:$AN$448,6,0),0)</f>
        <v>134</v>
      </c>
      <c r="J104" s="6"/>
      <c r="K104" s="6">
        <f>IFERROR(VLOOKUP(C104,O.B.JUNE!$AI$7:$AO$448,7,0),0)</f>
        <v>5453669</v>
      </c>
      <c r="L104" s="6">
        <f>SUMIF('JUNE (물량흐름)'!$C$13:$C$488,'Overhead exp(제조경비)'!C104,'JUNE (물량흐름)'!$H$13:$H$493)+SUMIF('JUNE (물량흐름)'!$C$13:$C$493,'Overhead exp(제조경비)'!C104,'JUNE (물량흐름)'!$V$13:$V$493)</f>
        <v>0</v>
      </c>
      <c r="M104" s="6">
        <f t="shared" si="18"/>
        <v>0</v>
      </c>
      <c r="N104" s="6">
        <f t="shared" si="19"/>
        <v>0</v>
      </c>
      <c r="O104" s="6">
        <f t="shared" si="16"/>
        <v>0</v>
      </c>
      <c r="P104" s="6">
        <f>SUMIF('JUNE (물량흐름)'!$C$13:$C$502,C104,'JUNE (물량흐름)'!$T$13:$T$502)+SUMIF('JUNE (물량흐름)'!$C$13:$C$502,C104,'JUNE (물량흐름)'!$V$13:$V$502)+SUMIF('JUNE (물량흐름)'!$C$13:$C$502,C104,'JUNE (물량흐름)'!$U$13:$U$502)-SUMIF('JUNE (물량흐름)'!$C$13:$C$502,C104,'JUNE (물량흐름)'!$Y$13:$Y$502)</f>
        <v>168</v>
      </c>
      <c r="Q104" s="6">
        <f t="shared" si="20"/>
        <v>5453669</v>
      </c>
      <c r="R104" s="6">
        <f>IF(ISERROR(VLOOKUP(#REF!,'WIP(재공품)'!$B$12:$AB$38,13,0)),0,VLOOKUP(#REF!,'WIP(재공품)'!$B$12:$AB$38,13,0))</f>
        <v>0</v>
      </c>
      <c r="S104" s="6">
        <f>IF(ISERROR(VLOOKUP(#REF!,'WIP(재공품)'!$B$12:$AB$38,10,0)),0,VLOOKUP(#REF!,'WIP(재공품)'!$B$12:$AB$38,10,0))</f>
        <v>0</v>
      </c>
      <c r="T104" s="6">
        <f>SUMIF('JUNE (물량흐름)'!$C$13:$C$502,'Overhead exp(제조경비)'!C104,'JUNE (물량흐름)'!$Y$13:$Y$502)</f>
        <v>0</v>
      </c>
      <c r="U104" s="6">
        <f t="shared" si="21"/>
        <v>0</v>
      </c>
      <c r="V104" s="6">
        <f>ROUND(SUMIF('JUNE (물량흐름)'!$C$13:$C$502,'Overhead exp(제조경비)'!C104,'JUNE (물량흐름)'!$N$13:$N$502),0)</f>
        <v>0</v>
      </c>
      <c r="W104" s="6">
        <f>ROUND(SUMIF('JUNE (물량흐름)'!$C$13:$C$502,'Overhead exp(제조경비)'!C104,'JUNE (물량흐름)'!$O$13:$O$502),0)</f>
        <v>0</v>
      </c>
      <c r="X104" s="6">
        <f>ROUND(SUMIF('JUNE (물량흐름)'!$C$13:$C$502,'Overhead exp(제조경비)'!C104,'JUNE (물량흐름)'!$P$13:$P$502),0)</f>
        <v>0</v>
      </c>
      <c r="Y104" s="6">
        <f t="shared" si="22"/>
        <v>0</v>
      </c>
      <c r="Z104" s="6">
        <f t="shared" si="23"/>
        <v>0</v>
      </c>
      <c r="AA104" s="6">
        <f t="shared" si="24"/>
        <v>0</v>
      </c>
      <c r="AB104" s="391">
        <f t="shared" si="25"/>
        <v>0</v>
      </c>
      <c r="AC104" s="391">
        <f t="shared" si="26"/>
        <v>0</v>
      </c>
      <c r="AE104" s="393"/>
    </row>
    <row r="105" spans="1:31" s="390" customFormat="1" ht="24" customHeight="1">
      <c r="A105" s="167">
        <v>94</v>
      </c>
      <c r="B105" s="20" t="str">
        <f>IFERROR(VLOOKUP(A105,'JUNE (물량흐름)'!$A$13:$C$502,2,0),0)</f>
        <v>INC</v>
      </c>
      <c r="C105" s="272">
        <f>VLOOKUP(A105,'JUNE (물량흐름)'!$A$13:$C$502,3,0)</f>
        <v>100013564</v>
      </c>
      <c r="D105" s="6">
        <f>VLOOKUP(C105,'WIP(재공품)'!$B$12:$E$493,4,0)</f>
        <v>8163</v>
      </c>
      <c r="E105" s="6">
        <f>IFERROR(VLOOKUP(C105,O.B.JUNE!$AI$7:$AJ$448,2,0),0)</f>
        <v>0</v>
      </c>
      <c r="F105" s="6">
        <f>IFERROR(VLOOKUP(C105,O.B.JUNE!$AI$7:$AK$448,3,0),0)</f>
        <v>0</v>
      </c>
      <c r="G105" s="6">
        <f>IFERROR(VLOOKUP(C105,O.B.JUNE!$AI$7:$AL$448,4,0),0)</f>
        <v>198</v>
      </c>
      <c r="H105" s="6">
        <f t="shared" si="17"/>
        <v>198</v>
      </c>
      <c r="I105" s="6">
        <f>IFERROR(VLOOKUP(C105,O.B.JUNE!$AI$7:$AN$448,6,0),0)</f>
        <v>158</v>
      </c>
      <c r="J105" s="6"/>
      <c r="K105" s="6">
        <f>IFERROR(VLOOKUP(C105,O.B.JUNE!$AI$7:$AO$448,7,0),0)</f>
        <v>6816761</v>
      </c>
      <c r="L105" s="6">
        <f>SUMIF('JUNE (물량흐름)'!$C$13:$C$488,'Overhead exp(제조경비)'!C105,'JUNE (물량흐름)'!$H$13:$H$493)+SUMIF('JUNE (물량흐름)'!$C$13:$C$493,'Overhead exp(제조경비)'!C105,'JUNE (물량흐름)'!$V$13:$V$493)</f>
        <v>0</v>
      </c>
      <c r="M105" s="6">
        <f t="shared" si="18"/>
        <v>0</v>
      </c>
      <c r="N105" s="6">
        <f t="shared" si="19"/>
        <v>0</v>
      </c>
      <c r="O105" s="6">
        <f t="shared" si="16"/>
        <v>0</v>
      </c>
      <c r="P105" s="6">
        <f>SUMIF('JUNE (물량흐름)'!$C$13:$C$502,C105,'JUNE (물량흐름)'!$T$13:$T$502)+SUMIF('JUNE (물량흐름)'!$C$13:$C$502,C105,'JUNE (물량흐름)'!$V$13:$V$502)+SUMIF('JUNE (물량흐름)'!$C$13:$C$502,C105,'JUNE (물량흐름)'!$U$13:$U$502)-SUMIF('JUNE (물량흐름)'!$C$13:$C$502,C105,'JUNE (물량흐름)'!$Y$13:$Y$502)</f>
        <v>198</v>
      </c>
      <c r="Q105" s="6">
        <f t="shared" si="20"/>
        <v>6816761</v>
      </c>
      <c r="R105" s="6">
        <f>IF(ISERROR(VLOOKUP(#REF!,'WIP(재공품)'!$B$12:$AB$38,13,0)),0,VLOOKUP(#REF!,'WIP(재공품)'!$B$12:$AB$38,13,0))</f>
        <v>0</v>
      </c>
      <c r="S105" s="6">
        <f>IF(ISERROR(VLOOKUP(#REF!,'WIP(재공품)'!$B$12:$AB$38,10,0)),0,VLOOKUP(#REF!,'WIP(재공품)'!$B$12:$AB$38,10,0))</f>
        <v>0</v>
      </c>
      <c r="T105" s="6">
        <f>SUMIF('JUNE (물량흐름)'!$C$13:$C$502,'Overhead exp(제조경비)'!C105,'JUNE (물량흐름)'!$Y$13:$Y$502)</f>
        <v>0</v>
      </c>
      <c r="U105" s="6">
        <f t="shared" si="21"/>
        <v>0</v>
      </c>
      <c r="V105" s="6">
        <f>ROUND(SUMIF('JUNE (물량흐름)'!$C$13:$C$502,'Overhead exp(제조경비)'!C105,'JUNE (물량흐름)'!$N$13:$N$502),0)</f>
        <v>0</v>
      </c>
      <c r="W105" s="6">
        <f>ROUND(SUMIF('JUNE (물량흐름)'!$C$13:$C$502,'Overhead exp(제조경비)'!C105,'JUNE (물량흐름)'!$O$13:$O$502),0)</f>
        <v>0</v>
      </c>
      <c r="X105" s="6">
        <f>ROUND(SUMIF('JUNE (물량흐름)'!$C$13:$C$502,'Overhead exp(제조경비)'!C105,'JUNE (물량흐름)'!$P$13:$P$502),0)</f>
        <v>0</v>
      </c>
      <c r="Y105" s="6">
        <f t="shared" si="22"/>
        <v>0</v>
      </c>
      <c r="Z105" s="6">
        <f t="shared" si="23"/>
        <v>0</v>
      </c>
      <c r="AA105" s="6">
        <f t="shared" si="24"/>
        <v>0</v>
      </c>
      <c r="AB105" s="391">
        <f t="shared" si="25"/>
        <v>0</v>
      </c>
      <c r="AC105" s="391">
        <f t="shared" si="26"/>
        <v>0</v>
      </c>
      <c r="AE105" s="393"/>
    </row>
    <row r="106" spans="1:31" s="390" customFormat="1" ht="24" customHeight="1">
      <c r="A106" s="167">
        <v>95</v>
      </c>
      <c r="B106" s="20" t="str">
        <f>IFERROR(VLOOKUP(A106,'JUNE (물량흐름)'!$A$13:$C$502,2,0),0)</f>
        <v>J JILL</v>
      </c>
      <c r="C106" s="272" t="str">
        <f>VLOOKUP(A106,'JUNE (물량흐름)'!$A$13:$C$502,3,0)</f>
        <v>KDR112751</v>
      </c>
      <c r="D106" s="6">
        <f>VLOOKUP(C106,'WIP(재공품)'!$B$12:$E$493,4,0)</f>
        <v>7936.2499999999991</v>
      </c>
      <c r="E106" s="6">
        <f>IFERROR(VLOOKUP(C106,O.B.JUNE!$AI$7:$AJ$448,2,0),0)</f>
        <v>0</v>
      </c>
      <c r="F106" s="6">
        <f>IFERROR(VLOOKUP(C106,O.B.JUNE!$AI$7:$AK$448,3,0),0)</f>
        <v>0</v>
      </c>
      <c r="G106" s="6">
        <f>IFERROR(VLOOKUP(C106,O.B.JUNE!$AI$7:$AL$448,4,0),0)</f>
        <v>104</v>
      </c>
      <c r="H106" s="6">
        <f t="shared" si="17"/>
        <v>104</v>
      </c>
      <c r="I106" s="6">
        <f>IFERROR(VLOOKUP(C106,O.B.JUNE!$AI$7:$AN$448,6,0),0)</f>
        <v>83</v>
      </c>
      <c r="J106" s="6"/>
      <c r="K106" s="6">
        <f>IFERROR(VLOOKUP(C106,O.B.JUNE!$AI$7:$AO$448,7,0),0)</f>
        <v>3264990</v>
      </c>
      <c r="L106" s="6">
        <f>SUMIF('JUNE (물량흐름)'!$C$13:$C$488,'Overhead exp(제조경비)'!C106,'JUNE (물량흐름)'!$H$13:$H$493)+SUMIF('JUNE (물량흐름)'!$C$13:$C$493,'Overhead exp(제조경비)'!C106,'JUNE (물량흐름)'!$V$13:$V$493)</f>
        <v>0</v>
      </c>
      <c r="M106" s="6">
        <f t="shared" si="18"/>
        <v>0</v>
      </c>
      <c r="N106" s="6">
        <f t="shared" si="19"/>
        <v>0</v>
      </c>
      <c r="O106" s="6">
        <f t="shared" si="16"/>
        <v>0</v>
      </c>
      <c r="P106" s="6">
        <f>SUMIF('JUNE (물량흐름)'!$C$13:$C$502,C106,'JUNE (물량흐름)'!$T$13:$T$502)+SUMIF('JUNE (물량흐름)'!$C$13:$C$502,C106,'JUNE (물량흐름)'!$V$13:$V$502)+SUMIF('JUNE (물량흐름)'!$C$13:$C$502,C106,'JUNE (물량흐름)'!$U$13:$U$502)-SUMIF('JUNE (물량흐름)'!$C$13:$C$502,C106,'JUNE (물량흐름)'!$Y$13:$Y$502)</f>
        <v>104</v>
      </c>
      <c r="Q106" s="6">
        <f t="shared" si="20"/>
        <v>3264990</v>
      </c>
      <c r="R106" s="6">
        <f>IF(ISERROR(VLOOKUP(#REF!,'WIP(재공품)'!$B$12:$AB$38,13,0)),0,VLOOKUP(#REF!,'WIP(재공품)'!$B$12:$AB$38,13,0))</f>
        <v>0</v>
      </c>
      <c r="S106" s="6">
        <f>IF(ISERROR(VLOOKUP(#REF!,'WIP(재공품)'!$B$12:$AB$38,10,0)),0,VLOOKUP(#REF!,'WIP(재공품)'!$B$12:$AB$38,10,0))</f>
        <v>0</v>
      </c>
      <c r="T106" s="6">
        <f>SUMIF('JUNE (물량흐름)'!$C$13:$C$502,'Overhead exp(제조경비)'!C106,'JUNE (물량흐름)'!$Y$13:$Y$502)</f>
        <v>0</v>
      </c>
      <c r="U106" s="6">
        <f t="shared" si="21"/>
        <v>0</v>
      </c>
      <c r="V106" s="6">
        <f>ROUND(SUMIF('JUNE (물량흐름)'!$C$13:$C$502,'Overhead exp(제조경비)'!C106,'JUNE (물량흐름)'!$N$13:$N$502),0)</f>
        <v>0</v>
      </c>
      <c r="W106" s="6">
        <f>ROUND(SUMIF('JUNE (물량흐름)'!$C$13:$C$502,'Overhead exp(제조경비)'!C106,'JUNE (물량흐름)'!$O$13:$O$502),0)</f>
        <v>0</v>
      </c>
      <c r="X106" s="6">
        <f>ROUND(SUMIF('JUNE (물량흐름)'!$C$13:$C$502,'Overhead exp(제조경비)'!C106,'JUNE (물량흐름)'!$P$13:$P$502),0)</f>
        <v>0</v>
      </c>
      <c r="Y106" s="6">
        <f t="shared" si="22"/>
        <v>0</v>
      </c>
      <c r="Z106" s="6">
        <f t="shared" si="23"/>
        <v>0</v>
      </c>
      <c r="AA106" s="6">
        <f t="shared" si="24"/>
        <v>0</v>
      </c>
      <c r="AB106" s="391">
        <f t="shared" si="25"/>
        <v>0</v>
      </c>
      <c r="AC106" s="391">
        <f t="shared" si="26"/>
        <v>0</v>
      </c>
      <c r="AE106" s="393"/>
    </row>
    <row r="107" spans="1:31" s="390" customFormat="1" ht="24" customHeight="1">
      <c r="A107" s="167">
        <v>96</v>
      </c>
      <c r="B107" s="20" t="str">
        <f>IFERROR(VLOOKUP(A107,'JUNE (물량흐름)'!$A$13:$C$502,2,0),0)</f>
        <v>J JILL</v>
      </c>
      <c r="C107" s="272" t="str">
        <f>VLOOKUP(A107,'JUNE (물량흐름)'!$A$13:$C$502,3,0)</f>
        <v>KJT112641</v>
      </c>
      <c r="D107" s="6">
        <f>VLOOKUP(C107,'WIP(재공품)'!$B$12:$E$493,4,0)</f>
        <v>8163</v>
      </c>
      <c r="E107" s="6">
        <f>IFERROR(VLOOKUP(C107,O.B.JUNE!$AI$7:$AJ$448,2,0),0)</f>
        <v>0</v>
      </c>
      <c r="F107" s="6">
        <f>IFERROR(VLOOKUP(C107,O.B.JUNE!$AI$7:$AK$448,3,0),0)</f>
        <v>0</v>
      </c>
      <c r="G107" s="6">
        <f>IFERROR(VLOOKUP(C107,O.B.JUNE!$AI$7:$AL$448,4,0),0)</f>
        <v>278</v>
      </c>
      <c r="H107" s="6">
        <f t="shared" si="17"/>
        <v>278</v>
      </c>
      <c r="I107" s="6">
        <f>IFERROR(VLOOKUP(C107,O.B.JUNE!$AI$7:$AN$448,6,0),0)</f>
        <v>222</v>
      </c>
      <c r="J107" s="6"/>
      <c r="K107" s="6">
        <f>IFERROR(VLOOKUP(C107,O.B.JUNE!$AI$7:$AO$448,7,0),0)</f>
        <v>11623042</v>
      </c>
      <c r="L107" s="6">
        <f>SUMIF('JUNE (물량흐름)'!$C$13:$C$488,'Overhead exp(제조경비)'!C107,'JUNE (물량흐름)'!$H$13:$H$493)+SUMIF('JUNE (물량흐름)'!$C$13:$C$493,'Overhead exp(제조경비)'!C107,'JUNE (물량흐름)'!$V$13:$V$493)</f>
        <v>0</v>
      </c>
      <c r="M107" s="6">
        <f t="shared" si="18"/>
        <v>0</v>
      </c>
      <c r="N107" s="6">
        <f t="shared" si="19"/>
        <v>0</v>
      </c>
      <c r="O107" s="6">
        <f t="shared" si="16"/>
        <v>0</v>
      </c>
      <c r="P107" s="6">
        <f>SUMIF('JUNE (물량흐름)'!$C$13:$C$502,C107,'JUNE (물량흐름)'!$T$13:$T$502)+SUMIF('JUNE (물량흐름)'!$C$13:$C$502,C107,'JUNE (물량흐름)'!$V$13:$V$502)+SUMIF('JUNE (물량흐름)'!$C$13:$C$502,C107,'JUNE (물량흐름)'!$U$13:$U$502)-SUMIF('JUNE (물량흐름)'!$C$13:$C$502,C107,'JUNE (물량흐름)'!$Y$13:$Y$502)</f>
        <v>278</v>
      </c>
      <c r="Q107" s="6">
        <f t="shared" si="20"/>
        <v>11623042</v>
      </c>
      <c r="R107" s="6">
        <f>IF(ISERROR(VLOOKUP(#REF!,'WIP(재공품)'!$B$12:$AB$38,13,0)),0,VLOOKUP(#REF!,'WIP(재공품)'!$B$12:$AB$38,13,0))</f>
        <v>0</v>
      </c>
      <c r="S107" s="6">
        <f>IF(ISERROR(VLOOKUP(#REF!,'WIP(재공품)'!$B$12:$AB$38,10,0)),0,VLOOKUP(#REF!,'WIP(재공품)'!$B$12:$AB$38,10,0))</f>
        <v>0</v>
      </c>
      <c r="T107" s="6">
        <f>SUMIF('JUNE (물량흐름)'!$C$13:$C$502,'Overhead exp(제조경비)'!C107,'JUNE (물량흐름)'!$Y$13:$Y$502)</f>
        <v>0</v>
      </c>
      <c r="U107" s="6">
        <f t="shared" si="21"/>
        <v>0</v>
      </c>
      <c r="V107" s="6">
        <f>ROUND(SUMIF('JUNE (물량흐름)'!$C$13:$C$502,'Overhead exp(제조경비)'!C107,'JUNE (물량흐름)'!$N$13:$N$502),0)</f>
        <v>0</v>
      </c>
      <c r="W107" s="6">
        <f>ROUND(SUMIF('JUNE (물량흐름)'!$C$13:$C$502,'Overhead exp(제조경비)'!C107,'JUNE (물량흐름)'!$O$13:$O$502),0)</f>
        <v>0</v>
      </c>
      <c r="X107" s="6">
        <f>ROUND(SUMIF('JUNE (물량흐름)'!$C$13:$C$502,'Overhead exp(제조경비)'!C107,'JUNE (물량흐름)'!$P$13:$P$502),0)</f>
        <v>0</v>
      </c>
      <c r="Y107" s="167">
        <f t="shared" ref="Y107" si="28">ROUND(SUM(V107:X107),0)</f>
        <v>0</v>
      </c>
      <c r="Z107" s="167">
        <f t="shared" si="23"/>
        <v>0</v>
      </c>
      <c r="AA107" s="6">
        <f t="shared" si="24"/>
        <v>0</v>
      </c>
      <c r="AB107" s="391">
        <f t="shared" si="25"/>
        <v>0</v>
      </c>
      <c r="AC107" s="391">
        <f t="shared" si="26"/>
        <v>0</v>
      </c>
      <c r="AE107" s="393"/>
    </row>
    <row r="108" spans="1:31" s="390" customFormat="1" ht="24" customHeight="1">
      <c r="A108" s="167">
        <v>97</v>
      </c>
      <c r="B108" s="20" t="str">
        <f>IFERROR(VLOOKUP(A108,'JUNE (물량흐름)'!$A$13:$C$502,2,0),0)</f>
        <v>J JILL</v>
      </c>
      <c r="C108" s="272" t="str">
        <f>VLOOKUP(A108,'JUNE (물량흐름)'!$A$13:$C$502,3,0)</f>
        <v>KJT113771</v>
      </c>
      <c r="D108" s="6">
        <f>VLOOKUP(C108,'WIP(재공품)'!$B$12:$E$493,4,0)</f>
        <v>8163</v>
      </c>
      <c r="E108" s="6">
        <f>IFERROR(VLOOKUP(C108,O.B.JUNE!$AI$7:$AJ$448,2,0),0)</f>
        <v>0</v>
      </c>
      <c r="F108" s="6">
        <f>IFERROR(VLOOKUP(C108,O.B.JUNE!$AI$7:$AK$448,3,0),0)</f>
        <v>0</v>
      </c>
      <c r="G108" s="6">
        <f>IFERROR(VLOOKUP(C108,O.B.JUNE!$AI$7:$AL$448,4,0),0)</f>
        <v>115</v>
      </c>
      <c r="H108" s="6">
        <f t="shared" si="17"/>
        <v>115</v>
      </c>
      <c r="I108" s="6">
        <f>IFERROR(VLOOKUP(C108,O.B.JUNE!$AI$7:$AN$448,6,0),0)</f>
        <v>92</v>
      </c>
      <c r="J108" s="6"/>
      <c r="K108" s="6">
        <f>IFERROR(VLOOKUP(C108,O.B.JUNE!$AI$7:$AO$448,7,0),0)</f>
        <v>5370167</v>
      </c>
      <c r="L108" s="6">
        <f>SUMIF('JUNE (물량흐름)'!$C$13:$C$488,'Overhead exp(제조경비)'!C108,'JUNE (물량흐름)'!$H$13:$H$493)+SUMIF('JUNE (물량흐름)'!$C$13:$C$493,'Overhead exp(제조경비)'!C108,'JUNE (물량흐름)'!$V$13:$V$493)</f>
        <v>0</v>
      </c>
      <c r="M108" s="6">
        <f t="shared" si="18"/>
        <v>0</v>
      </c>
      <c r="N108" s="6">
        <f t="shared" si="19"/>
        <v>0</v>
      </c>
      <c r="O108" s="6">
        <f t="shared" ref="O108:O125" si="29">ROUND(M108*D108*$O$493/$N$493,0)</f>
        <v>0</v>
      </c>
      <c r="P108" s="6">
        <f>SUMIF('JUNE (물량흐름)'!$C$13:$C$502,C108,'JUNE (물량흐름)'!$T$13:$T$502)+SUMIF('JUNE (물량흐름)'!$C$13:$C$502,C108,'JUNE (물량흐름)'!$V$13:$V$502)+SUMIF('JUNE (물량흐름)'!$C$13:$C$502,C108,'JUNE (물량흐름)'!$U$13:$U$502)-SUMIF('JUNE (물량흐름)'!$C$13:$C$502,C108,'JUNE (물량흐름)'!$Y$13:$Y$502)</f>
        <v>115</v>
      </c>
      <c r="Q108" s="6">
        <f t="shared" si="20"/>
        <v>5370167</v>
      </c>
      <c r="R108" s="6">
        <f>IF(ISERROR(VLOOKUP(#REF!,'WIP(재공품)'!$B$12:$AB$38,13,0)),0,VLOOKUP(#REF!,'WIP(재공품)'!$B$12:$AB$38,13,0))</f>
        <v>0</v>
      </c>
      <c r="S108" s="6">
        <f>IF(ISERROR(VLOOKUP(#REF!,'WIP(재공품)'!$B$12:$AB$38,10,0)),0,VLOOKUP(#REF!,'WIP(재공품)'!$B$12:$AB$38,10,0))</f>
        <v>0</v>
      </c>
      <c r="T108" s="6">
        <f>SUMIF('JUNE (물량흐름)'!$C$13:$C$502,'Overhead exp(제조경비)'!C108,'JUNE (물량흐름)'!$Y$13:$Y$502)</f>
        <v>0</v>
      </c>
      <c r="U108" s="6">
        <f t="shared" si="21"/>
        <v>0</v>
      </c>
      <c r="V108" s="6">
        <f>ROUND(SUMIF('JUNE (물량흐름)'!$C$13:$C$502,'Overhead exp(제조경비)'!C108,'JUNE (물량흐름)'!$N$13:$N$502),0)</f>
        <v>0</v>
      </c>
      <c r="W108" s="6">
        <f>ROUND(SUMIF('JUNE (물량흐름)'!$C$13:$C$502,'Overhead exp(제조경비)'!C108,'JUNE (물량흐름)'!$O$13:$O$502),0)</f>
        <v>0</v>
      </c>
      <c r="X108" s="6">
        <f>ROUND(SUMIF('JUNE (물량흐름)'!$C$13:$C$502,'Overhead exp(제조경비)'!C108,'JUNE (물량흐름)'!$P$13:$P$502),0)</f>
        <v>0</v>
      </c>
      <c r="Y108" s="6">
        <f t="shared" si="22"/>
        <v>0</v>
      </c>
      <c r="Z108" s="6">
        <f t="shared" si="23"/>
        <v>0</v>
      </c>
      <c r="AA108" s="6">
        <f t="shared" si="24"/>
        <v>0</v>
      </c>
      <c r="AB108" s="391">
        <f t="shared" si="25"/>
        <v>0</v>
      </c>
      <c r="AC108" s="391">
        <f t="shared" si="26"/>
        <v>0</v>
      </c>
      <c r="AE108" s="393"/>
    </row>
    <row r="109" spans="1:31" s="390" customFormat="1" ht="24" customHeight="1">
      <c r="A109" s="167">
        <v>98</v>
      </c>
      <c r="B109" s="20" t="str">
        <f>IFERROR(VLOOKUP(A109,'JUNE (물량흐름)'!$A$13:$C$502,2,0),0)</f>
        <v>J JILL</v>
      </c>
      <c r="C109" s="272" t="str">
        <f>VLOOKUP(A109,'JUNE (물량흐름)'!$A$13:$C$502,3,0)</f>
        <v>KPT128561</v>
      </c>
      <c r="D109" s="6">
        <f>VLOOKUP(C109,'WIP(재공품)'!$B$12:$E$493,4,0)</f>
        <v>34692.75</v>
      </c>
      <c r="E109" s="6">
        <f>IFERROR(VLOOKUP(C109,O.B.JUNE!$AI$7:$AJ$448,2,0),0)</f>
        <v>2919</v>
      </c>
      <c r="F109" s="6">
        <f>IFERROR(VLOOKUP(C109,O.B.JUNE!$AI$7:$AK$448,3,0),0)</f>
        <v>2829</v>
      </c>
      <c r="G109" s="6">
        <f>IFERROR(VLOOKUP(C109,O.B.JUNE!$AI$7:$AL$448,4,0),0)</f>
        <v>4991</v>
      </c>
      <c r="H109" s="6">
        <f t="shared" si="17"/>
        <v>10739</v>
      </c>
      <c r="I109" s="6">
        <f>IFERROR(VLOOKUP(C109,O.B.JUNE!$AI$7:$AN$448,6,0),0)</f>
        <v>5991</v>
      </c>
      <c r="J109" s="6"/>
      <c r="K109" s="6">
        <f>IFERROR(VLOOKUP(C109,O.B.JUNE!$AI$7:$AO$448,7,0),0)</f>
        <v>139012784</v>
      </c>
      <c r="L109" s="6">
        <f>SUMIF('JUNE (물량흐름)'!$C$13:$C$488,'Overhead exp(제조경비)'!C109,'JUNE (물량흐름)'!$H$13:$H$493)+SUMIF('JUNE (물량흐름)'!$C$13:$C$493,'Overhead exp(제조경비)'!C109,'JUNE (물량흐름)'!$V$13:$V$493)</f>
        <v>1036</v>
      </c>
      <c r="M109" s="6">
        <f t="shared" si="18"/>
        <v>4113</v>
      </c>
      <c r="N109" s="6">
        <f t="shared" si="19"/>
        <v>142691281</v>
      </c>
      <c r="O109" s="6">
        <f t="shared" si="29"/>
        <v>86219768</v>
      </c>
      <c r="P109" s="6">
        <f>SUMIF('JUNE (물량흐름)'!$C$13:$C$502,C109,'JUNE (물량흐름)'!$T$13:$T$502)+SUMIF('JUNE (물량흐름)'!$C$13:$C$502,C109,'JUNE (물량흐름)'!$V$13:$V$502)+SUMIF('JUNE (물량흐름)'!$C$13:$C$502,C109,'JUNE (물량흐름)'!$U$13:$U$502)-SUMIF('JUNE (물량흐름)'!$C$13:$C$502,C109,'JUNE (물량흐름)'!$Y$13:$Y$502)</f>
        <v>6785</v>
      </c>
      <c r="Q109" s="6">
        <f t="shared" si="20"/>
        <v>129783683</v>
      </c>
      <c r="R109" s="6">
        <f>IF(ISERROR(VLOOKUP(#REF!,'WIP(재공품)'!$B$12:$AB$38,13,0)),0,VLOOKUP(#REF!,'WIP(재공품)'!$B$12:$AB$38,13,0))</f>
        <v>0</v>
      </c>
      <c r="S109" s="6">
        <f>IF(ISERROR(VLOOKUP(#REF!,'WIP(재공품)'!$B$12:$AB$38,10,0)),0,VLOOKUP(#REF!,'WIP(재공품)'!$B$12:$AB$38,10,0))</f>
        <v>0</v>
      </c>
      <c r="T109" s="6">
        <f>SUMIF('JUNE (물량흐름)'!$C$13:$C$502,'Overhead exp(제조경비)'!C109,'JUNE (물량흐름)'!$Y$13:$Y$502)</f>
        <v>17</v>
      </c>
      <c r="U109" s="6">
        <f t="shared" si="21"/>
        <v>325177</v>
      </c>
      <c r="V109" s="6">
        <f>ROUND(SUMIF('JUNE (물량흐름)'!$C$13:$C$502,'Overhead exp(제조경비)'!C109,'JUNE (물량흐름)'!$N$13:$N$502),0)</f>
        <v>654</v>
      </c>
      <c r="W109" s="6">
        <f>ROUND(SUMIF('JUNE (물량흐름)'!$C$13:$C$502,'Overhead exp(제조경비)'!C109,'JUNE (물량흐름)'!$O$13:$O$502),0)</f>
        <v>947</v>
      </c>
      <c r="X109" s="6">
        <f>ROUND(SUMIF('JUNE (물량흐름)'!$C$13:$C$502,'Overhead exp(제조경비)'!C109,'JUNE (물량흐름)'!$P$13:$P$502),0)</f>
        <v>3372</v>
      </c>
      <c r="Y109" s="167">
        <f t="shared" ref="Y109" si="30">ROUND(SUM(V109:X109),0)</f>
        <v>4973</v>
      </c>
      <c r="Z109" s="167">
        <f t="shared" si="23"/>
        <v>3302</v>
      </c>
      <c r="AA109" s="6">
        <f t="shared" si="24"/>
        <v>95123693</v>
      </c>
      <c r="AB109" s="391">
        <f t="shared" si="25"/>
        <v>-1</v>
      </c>
      <c r="AC109" s="391">
        <f t="shared" si="26"/>
        <v>0</v>
      </c>
      <c r="AE109" s="393"/>
    </row>
    <row r="110" spans="1:31" s="390" customFormat="1" ht="24" customHeight="1">
      <c r="A110" s="167">
        <v>99</v>
      </c>
      <c r="B110" s="20" t="str">
        <f>IFERROR(VLOOKUP(A110,'JUNE (물량흐름)'!$A$13:$C$502,2,0),0)</f>
        <v>J JILL</v>
      </c>
      <c r="C110" s="272" t="str">
        <f>VLOOKUP(A110,'JUNE (물량흐름)'!$A$13:$C$502,3,0)</f>
        <v>KTP101721</v>
      </c>
      <c r="D110" s="6">
        <f>VLOOKUP(C110,'WIP(재공품)'!$B$12:$E$493,4,0)</f>
        <v>48751.25</v>
      </c>
      <c r="E110" s="6">
        <f>IFERROR(VLOOKUP(C110,O.B.JUNE!$AI$7:$AJ$448,2,0),0)</f>
        <v>0</v>
      </c>
      <c r="F110" s="6">
        <f>IFERROR(VLOOKUP(C110,O.B.JUNE!$AI$7:$AK$448,3,0),0)</f>
        <v>0</v>
      </c>
      <c r="G110" s="6">
        <f>IFERROR(VLOOKUP(C110,O.B.JUNE!$AI$7:$AL$448,4,0),0)</f>
        <v>440</v>
      </c>
      <c r="H110" s="6">
        <f t="shared" si="17"/>
        <v>440</v>
      </c>
      <c r="I110" s="6">
        <f>IFERROR(VLOOKUP(C110,O.B.JUNE!$AI$7:$AN$448,6,0),0)</f>
        <v>352</v>
      </c>
      <c r="J110" s="6"/>
      <c r="K110" s="6">
        <f>IFERROR(VLOOKUP(C110,O.B.JUNE!$AI$7:$AO$448,7,0),0)</f>
        <v>12947605</v>
      </c>
      <c r="L110" s="6">
        <f>SUMIF('JUNE (물량흐름)'!$C$13:$C$488,'Overhead exp(제조경비)'!C110,'JUNE (물량흐름)'!$H$13:$H$493)+SUMIF('JUNE (물량흐름)'!$C$13:$C$493,'Overhead exp(제조경비)'!C110,'JUNE (물량흐름)'!$V$13:$V$493)</f>
        <v>0</v>
      </c>
      <c r="M110" s="6">
        <f t="shared" si="18"/>
        <v>0</v>
      </c>
      <c r="N110" s="6">
        <f t="shared" si="19"/>
        <v>0</v>
      </c>
      <c r="O110" s="6">
        <f t="shared" si="29"/>
        <v>0</v>
      </c>
      <c r="P110" s="6">
        <f>SUMIF('JUNE (물량흐름)'!$C$13:$C$502,C110,'JUNE (물량흐름)'!$T$13:$T$502)+SUMIF('JUNE (물량흐름)'!$C$13:$C$502,C110,'JUNE (물량흐름)'!$V$13:$V$502)+SUMIF('JUNE (물량흐름)'!$C$13:$C$502,C110,'JUNE (물량흐름)'!$U$13:$U$502)-SUMIF('JUNE (물량흐름)'!$C$13:$C$502,C110,'JUNE (물량흐름)'!$Y$13:$Y$502)</f>
        <v>440</v>
      </c>
      <c r="Q110" s="6">
        <f t="shared" si="20"/>
        <v>12947605</v>
      </c>
      <c r="R110" s="6">
        <f>IF(ISERROR(VLOOKUP(#REF!,'WIP(재공품)'!$B$12:$AB$38,13,0)),0,VLOOKUP(#REF!,'WIP(재공품)'!$B$12:$AB$38,13,0))</f>
        <v>0</v>
      </c>
      <c r="S110" s="6">
        <f>IF(ISERROR(VLOOKUP(#REF!,'WIP(재공품)'!$B$12:$AB$38,10,0)),0,VLOOKUP(#REF!,'WIP(재공품)'!$B$12:$AB$38,10,0))</f>
        <v>0</v>
      </c>
      <c r="T110" s="6">
        <f>SUMIF('JUNE (물량흐름)'!$C$13:$C$502,'Overhead exp(제조경비)'!C110,'JUNE (물량흐름)'!$Y$13:$Y$502)</f>
        <v>0</v>
      </c>
      <c r="U110" s="6">
        <f t="shared" si="21"/>
        <v>0</v>
      </c>
      <c r="V110" s="6">
        <f>ROUND(SUMIF('JUNE (물량흐름)'!$C$13:$C$502,'Overhead exp(제조경비)'!C110,'JUNE (물량흐름)'!$N$13:$N$502),0)</f>
        <v>0</v>
      </c>
      <c r="W110" s="6">
        <f>ROUND(SUMIF('JUNE (물량흐름)'!$C$13:$C$502,'Overhead exp(제조경비)'!C110,'JUNE (물량흐름)'!$O$13:$O$502),0)</f>
        <v>0</v>
      </c>
      <c r="X110" s="6">
        <f>ROUND(SUMIF('JUNE (물량흐름)'!$C$13:$C$502,'Overhead exp(제조경비)'!C110,'JUNE (물량흐름)'!$P$13:$P$502),0)</f>
        <v>0</v>
      </c>
      <c r="Y110" s="6">
        <f t="shared" si="22"/>
        <v>0</v>
      </c>
      <c r="Z110" s="6">
        <f t="shared" si="23"/>
        <v>0</v>
      </c>
      <c r="AA110" s="6">
        <f t="shared" si="24"/>
        <v>0</v>
      </c>
      <c r="AB110" s="391">
        <f t="shared" si="25"/>
        <v>0</v>
      </c>
      <c r="AC110" s="391">
        <f t="shared" si="26"/>
        <v>0</v>
      </c>
      <c r="AE110" s="393"/>
    </row>
    <row r="111" spans="1:31" s="390" customFormat="1" ht="24" customHeight="1">
      <c r="A111" s="167">
        <v>100</v>
      </c>
      <c r="B111" s="20" t="str">
        <f>IFERROR(VLOOKUP(A111,'JUNE (물량흐름)'!$A$13:$C$502,2,0),0)</f>
        <v>J JILL</v>
      </c>
      <c r="C111" s="272" t="str">
        <f>VLOOKUP(A111,'JUNE (물량흐름)'!$A$13:$C$502,3,0)</f>
        <v>KTP109571</v>
      </c>
      <c r="D111" s="6">
        <f>VLOOKUP(C111,'WIP(재공품)'!$B$12:$E$493,4,0)</f>
        <v>39681.25</v>
      </c>
      <c r="E111" s="6">
        <f>IFERROR(VLOOKUP(C111,O.B.JUNE!$AI$7:$AJ$448,2,0),0)</f>
        <v>0</v>
      </c>
      <c r="F111" s="6">
        <f>IFERROR(VLOOKUP(C111,O.B.JUNE!$AI$7:$AK$448,3,0),0)</f>
        <v>0</v>
      </c>
      <c r="G111" s="6">
        <f>IFERROR(VLOOKUP(C111,O.B.JUNE!$AI$7:$AL$448,4,0),0)</f>
        <v>79</v>
      </c>
      <c r="H111" s="6">
        <f t="shared" si="17"/>
        <v>79</v>
      </c>
      <c r="I111" s="6">
        <f>IFERROR(VLOOKUP(C111,O.B.JUNE!$AI$7:$AN$448,6,0),0)</f>
        <v>63</v>
      </c>
      <c r="J111" s="6"/>
      <c r="K111" s="6">
        <f>IFERROR(VLOOKUP(C111,O.B.JUNE!$AI$7:$AO$448,7,0),0)</f>
        <v>1912931</v>
      </c>
      <c r="L111" s="6">
        <f>SUMIF('JUNE (물량흐름)'!$C$13:$C$488,'Overhead exp(제조경비)'!C111,'JUNE (물량흐름)'!$H$13:$H$493)+SUMIF('JUNE (물량흐름)'!$C$13:$C$493,'Overhead exp(제조경비)'!C111,'JUNE (물량흐름)'!$V$13:$V$493)</f>
        <v>0</v>
      </c>
      <c r="M111" s="6">
        <f t="shared" si="18"/>
        <v>0</v>
      </c>
      <c r="N111" s="6">
        <f t="shared" si="19"/>
        <v>0</v>
      </c>
      <c r="O111" s="6">
        <f t="shared" si="29"/>
        <v>0</v>
      </c>
      <c r="P111" s="6">
        <f>SUMIF('JUNE (물량흐름)'!$C$13:$C$502,C111,'JUNE (물량흐름)'!$T$13:$T$502)+SUMIF('JUNE (물량흐름)'!$C$13:$C$502,C111,'JUNE (물량흐름)'!$V$13:$V$502)+SUMIF('JUNE (물량흐름)'!$C$13:$C$502,C111,'JUNE (물량흐름)'!$U$13:$U$502)-SUMIF('JUNE (물량흐름)'!$C$13:$C$502,C111,'JUNE (물량흐름)'!$Y$13:$Y$502)</f>
        <v>79</v>
      </c>
      <c r="Q111" s="6">
        <f t="shared" si="20"/>
        <v>1912931</v>
      </c>
      <c r="R111" s="6">
        <f>IF(ISERROR(VLOOKUP(#REF!,'WIP(재공품)'!$B$12:$AB$38,13,0)),0,VLOOKUP(#REF!,'WIP(재공품)'!$B$12:$AB$38,13,0))</f>
        <v>0</v>
      </c>
      <c r="S111" s="6">
        <f>IF(ISERROR(VLOOKUP(#REF!,'WIP(재공품)'!$B$12:$AB$38,10,0)),0,VLOOKUP(#REF!,'WIP(재공품)'!$B$12:$AB$38,10,0))</f>
        <v>0</v>
      </c>
      <c r="T111" s="6">
        <f>SUMIF('JUNE (물량흐름)'!$C$13:$C$502,'Overhead exp(제조경비)'!C111,'JUNE (물량흐름)'!$Y$13:$Y$502)</f>
        <v>0</v>
      </c>
      <c r="U111" s="6">
        <f t="shared" si="21"/>
        <v>0</v>
      </c>
      <c r="V111" s="6">
        <f>ROUND(SUMIF('JUNE (물량흐름)'!$C$13:$C$502,'Overhead exp(제조경비)'!C111,'JUNE (물량흐름)'!$N$13:$N$502),0)</f>
        <v>0</v>
      </c>
      <c r="W111" s="6">
        <f>ROUND(SUMIF('JUNE (물량흐름)'!$C$13:$C$502,'Overhead exp(제조경비)'!C111,'JUNE (물량흐름)'!$O$13:$O$502),0)</f>
        <v>0</v>
      </c>
      <c r="X111" s="6">
        <f>ROUND(SUMIF('JUNE (물량흐름)'!$C$13:$C$502,'Overhead exp(제조경비)'!C111,'JUNE (물량흐름)'!$P$13:$P$502),0)</f>
        <v>0</v>
      </c>
      <c r="Y111" s="6">
        <f t="shared" si="22"/>
        <v>0</v>
      </c>
      <c r="Z111" s="6">
        <f t="shared" si="23"/>
        <v>0</v>
      </c>
      <c r="AA111" s="6">
        <f t="shared" si="24"/>
        <v>0</v>
      </c>
      <c r="AB111" s="391">
        <f t="shared" si="25"/>
        <v>0</v>
      </c>
      <c r="AC111" s="391">
        <f t="shared" si="26"/>
        <v>0</v>
      </c>
      <c r="AE111" s="393"/>
    </row>
    <row r="112" spans="1:31" s="390" customFormat="1" ht="24" customHeight="1">
      <c r="A112" s="167">
        <v>101</v>
      </c>
      <c r="B112" s="20" t="str">
        <f>IFERROR(VLOOKUP(A112,'JUNE (물량흐름)'!$A$13:$C$502,2,0),0)</f>
        <v>J JILL</v>
      </c>
      <c r="C112" s="272" t="str">
        <f>VLOOKUP(A112,'JUNE (물량흐름)'!$A$13:$C$502,3,0)</f>
        <v>KTP109581</v>
      </c>
      <c r="D112" s="6">
        <f>VLOOKUP(C112,'WIP(재공품)'!$B$12:$E$493,4,0)</f>
        <v>39681.25</v>
      </c>
      <c r="E112" s="6">
        <f>IFERROR(VLOOKUP(C112,O.B.JUNE!$AI$7:$AJ$448,2,0),0)</f>
        <v>0</v>
      </c>
      <c r="F112" s="6">
        <f>IFERROR(VLOOKUP(C112,O.B.JUNE!$AI$7:$AK$448,3,0),0)</f>
        <v>0</v>
      </c>
      <c r="G112" s="6">
        <f>IFERROR(VLOOKUP(C112,O.B.JUNE!$AI$7:$AL$448,4,0),0)</f>
        <v>434</v>
      </c>
      <c r="H112" s="6">
        <f t="shared" si="17"/>
        <v>434</v>
      </c>
      <c r="I112" s="6">
        <f>IFERROR(VLOOKUP(C112,O.B.JUNE!$AI$7:$AN$448,6,0),0)</f>
        <v>347</v>
      </c>
      <c r="J112" s="6"/>
      <c r="K112" s="6">
        <f>IFERROR(VLOOKUP(C112,O.B.JUNE!$AI$7:$AO$448,7,0),0)</f>
        <v>13985474</v>
      </c>
      <c r="L112" s="6">
        <f>SUMIF('JUNE (물량흐름)'!$C$13:$C$488,'Overhead exp(제조경비)'!C112,'JUNE (물량흐름)'!$H$13:$H$493)+SUMIF('JUNE (물량흐름)'!$C$13:$C$493,'Overhead exp(제조경비)'!C112,'JUNE (물량흐름)'!$V$13:$V$493)</f>
        <v>0</v>
      </c>
      <c r="M112" s="6">
        <f t="shared" si="18"/>
        <v>0</v>
      </c>
      <c r="N112" s="6">
        <f t="shared" si="19"/>
        <v>0</v>
      </c>
      <c r="O112" s="6">
        <f t="shared" si="29"/>
        <v>0</v>
      </c>
      <c r="P112" s="6">
        <f>SUMIF('JUNE (물량흐름)'!$C$13:$C$502,C112,'JUNE (물량흐름)'!$T$13:$T$502)+SUMIF('JUNE (물량흐름)'!$C$13:$C$502,C112,'JUNE (물량흐름)'!$V$13:$V$502)+SUMIF('JUNE (물량흐름)'!$C$13:$C$502,C112,'JUNE (물량흐름)'!$U$13:$U$502)-SUMIF('JUNE (물량흐름)'!$C$13:$C$502,C112,'JUNE (물량흐름)'!$Y$13:$Y$502)</f>
        <v>434</v>
      </c>
      <c r="Q112" s="6">
        <f t="shared" si="20"/>
        <v>13985474</v>
      </c>
      <c r="R112" s="6">
        <f>IF(ISERROR(VLOOKUP(#REF!,'WIP(재공품)'!$B$12:$AB$38,13,0)),0,VLOOKUP(#REF!,'WIP(재공품)'!$B$12:$AB$38,13,0))</f>
        <v>0</v>
      </c>
      <c r="S112" s="6">
        <f>IF(ISERROR(VLOOKUP(#REF!,'WIP(재공품)'!$B$12:$AB$38,10,0)),0,VLOOKUP(#REF!,'WIP(재공품)'!$B$12:$AB$38,10,0))</f>
        <v>0</v>
      </c>
      <c r="T112" s="6">
        <f>SUMIF('JUNE (물량흐름)'!$C$13:$C$502,'Overhead exp(제조경비)'!C112,'JUNE (물량흐름)'!$Y$13:$Y$502)</f>
        <v>0</v>
      </c>
      <c r="U112" s="6">
        <f t="shared" si="21"/>
        <v>0</v>
      </c>
      <c r="V112" s="6">
        <f>ROUND(SUMIF('JUNE (물량흐름)'!$C$13:$C$502,'Overhead exp(제조경비)'!C112,'JUNE (물량흐름)'!$N$13:$N$502),0)</f>
        <v>0</v>
      </c>
      <c r="W112" s="6">
        <f>ROUND(SUMIF('JUNE (물량흐름)'!$C$13:$C$502,'Overhead exp(제조경비)'!C112,'JUNE (물량흐름)'!$O$13:$O$502),0)</f>
        <v>0</v>
      </c>
      <c r="X112" s="6">
        <f>ROUND(SUMIF('JUNE (물량흐름)'!$C$13:$C$502,'Overhead exp(제조경비)'!C112,'JUNE (물량흐름)'!$P$13:$P$502),0)</f>
        <v>0</v>
      </c>
      <c r="Y112" s="6">
        <f t="shared" si="22"/>
        <v>0</v>
      </c>
      <c r="Z112" s="6">
        <f t="shared" si="23"/>
        <v>0</v>
      </c>
      <c r="AA112" s="6">
        <f t="shared" si="24"/>
        <v>0</v>
      </c>
      <c r="AB112" s="391">
        <f t="shared" si="25"/>
        <v>0</v>
      </c>
      <c r="AC112" s="391">
        <f t="shared" si="26"/>
        <v>0</v>
      </c>
      <c r="AE112" s="393"/>
    </row>
    <row r="113" spans="1:31" s="390" customFormat="1" ht="24" customHeight="1">
      <c r="A113" s="167">
        <v>102</v>
      </c>
      <c r="B113" s="20" t="str">
        <f>IFERROR(VLOOKUP(A113,'JUNE (물량흐름)'!$A$13:$C$502,2,0),0)</f>
        <v>J JILL</v>
      </c>
      <c r="C113" s="272" t="str">
        <f>VLOOKUP(A113,'JUNE (물량흐름)'!$A$13:$C$502,3,0)</f>
        <v>KTP112701</v>
      </c>
      <c r="D113" s="6">
        <f>VLOOKUP(C113,'WIP(재공품)'!$B$12:$E$493,4,0)</f>
        <v>7936.2499999999991</v>
      </c>
      <c r="E113" s="6">
        <f>IFERROR(VLOOKUP(C113,O.B.JUNE!$AI$7:$AJ$448,2,0),0)</f>
        <v>0</v>
      </c>
      <c r="F113" s="6">
        <f>IFERROR(VLOOKUP(C113,O.B.JUNE!$AI$7:$AK$448,3,0),0)</f>
        <v>0</v>
      </c>
      <c r="G113" s="6">
        <f>IFERROR(VLOOKUP(C113,O.B.JUNE!$AI$7:$AL$448,4,0),0)</f>
        <v>727</v>
      </c>
      <c r="H113" s="6">
        <f t="shared" si="17"/>
        <v>727</v>
      </c>
      <c r="I113" s="6">
        <f>IFERROR(VLOOKUP(C113,O.B.JUNE!$AI$7:$AN$448,6,0),0)</f>
        <v>582</v>
      </c>
      <c r="J113" s="6"/>
      <c r="K113" s="6">
        <f>IFERROR(VLOOKUP(C113,O.B.JUNE!$AI$7:$AO$448,7,0),0)</f>
        <v>18722870</v>
      </c>
      <c r="L113" s="6">
        <f>SUMIF('JUNE (물량흐름)'!$C$13:$C$488,'Overhead exp(제조경비)'!C113,'JUNE (물량흐름)'!$H$13:$H$493)+SUMIF('JUNE (물량흐름)'!$C$13:$C$493,'Overhead exp(제조경비)'!C113,'JUNE (물량흐름)'!$V$13:$V$493)</f>
        <v>0</v>
      </c>
      <c r="M113" s="6">
        <f t="shared" si="18"/>
        <v>0</v>
      </c>
      <c r="N113" s="6">
        <f t="shared" si="19"/>
        <v>0</v>
      </c>
      <c r="O113" s="6">
        <f t="shared" si="29"/>
        <v>0</v>
      </c>
      <c r="P113" s="6">
        <f>SUMIF('JUNE (물량흐름)'!$C$13:$C$502,C113,'JUNE (물량흐름)'!$T$13:$T$502)+SUMIF('JUNE (물량흐름)'!$C$13:$C$502,C113,'JUNE (물량흐름)'!$V$13:$V$502)+SUMIF('JUNE (물량흐름)'!$C$13:$C$502,C113,'JUNE (물량흐름)'!$U$13:$U$502)-SUMIF('JUNE (물량흐름)'!$C$13:$C$502,C113,'JUNE (물량흐름)'!$Y$13:$Y$502)</f>
        <v>727</v>
      </c>
      <c r="Q113" s="6">
        <f t="shared" si="20"/>
        <v>18722870</v>
      </c>
      <c r="R113" s="6">
        <f>IF(ISERROR(VLOOKUP(#REF!,'WIP(재공품)'!$B$12:$AB$38,13,0)),0,VLOOKUP(#REF!,'WIP(재공품)'!$B$12:$AB$38,13,0))</f>
        <v>0</v>
      </c>
      <c r="S113" s="6">
        <f>IF(ISERROR(VLOOKUP(#REF!,'WIP(재공품)'!$B$12:$AB$38,10,0)),0,VLOOKUP(#REF!,'WIP(재공품)'!$B$12:$AB$38,10,0))</f>
        <v>0</v>
      </c>
      <c r="T113" s="6">
        <f>SUMIF('JUNE (물량흐름)'!$C$13:$C$502,'Overhead exp(제조경비)'!C113,'JUNE (물량흐름)'!$Y$13:$Y$502)</f>
        <v>0</v>
      </c>
      <c r="U113" s="6">
        <f t="shared" si="21"/>
        <v>0</v>
      </c>
      <c r="V113" s="6">
        <f>ROUND(SUMIF('JUNE (물량흐름)'!$C$13:$C$502,'Overhead exp(제조경비)'!C113,'JUNE (물량흐름)'!$N$13:$N$502),0)</f>
        <v>0</v>
      </c>
      <c r="W113" s="6">
        <f>ROUND(SUMIF('JUNE (물량흐름)'!$C$13:$C$502,'Overhead exp(제조경비)'!C113,'JUNE (물량흐름)'!$O$13:$O$502),0)</f>
        <v>0</v>
      </c>
      <c r="X113" s="6">
        <f>ROUND(SUMIF('JUNE (물량흐름)'!$C$13:$C$502,'Overhead exp(제조경비)'!C113,'JUNE (물량흐름)'!$P$13:$P$502),0)</f>
        <v>0</v>
      </c>
      <c r="Y113" s="6">
        <f t="shared" si="22"/>
        <v>0</v>
      </c>
      <c r="Z113" s="6">
        <f t="shared" si="23"/>
        <v>0</v>
      </c>
      <c r="AA113" s="6">
        <f t="shared" si="24"/>
        <v>0</v>
      </c>
      <c r="AB113" s="391">
        <f t="shared" si="25"/>
        <v>0</v>
      </c>
      <c r="AC113" s="391">
        <f t="shared" si="26"/>
        <v>0</v>
      </c>
      <c r="AE113" s="393"/>
    </row>
    <row r="114" spans="1:31" s="390" customFormat="1" ht="24" customHeight="1">
      <c r="A114" s="167">
        <v>103</v>
      </c>
      <c r="B114" s="20" t="str">
        <f>IFERROR(VLOOKUP(A114,'JUNE (물량흐름)'!$A$13:$C$502,2,0),0)</f>
        <v>JONES NY</v>
      </c>
      <c r="C114" s="272" t="str">
        <f>VLOOKUP(A114,'JUNE (물량흐름)'!$A$13:$C$502,3,0)</f>
        <v>JMML9R1668</v>
      </c>
      <c r="D114" s="6">
        <f>VLOOKUP(C114,'WIP(재공품)'!$B$12:$E$493,4,0)</f>
        <v>7936.2499999999991</v>
      </c>
      <c r="E114" s="6">
        <f>IFERROR(VLOOKUP(C114,O.B.JUNE!$AI$7:$AJ$448,2,0),0)</f>
        <v>0</v>
      </c>
      <c r="F114" s="6">
        <f>IFERROR(VLOOKUP(C114,O.B.JUNE!$AI$7:$AK$448,3,0),0)</f>
        <v>0</v>
      </c>
      <c r="G114" s="6">
        <f>IFERROR(VLOOKUP(C114,O.B.JUNE!$AI$7:$AL$448,4,0),0)</f>
        <v>614</v>
      </c>
      <c r="H114" s="6">
        <f t="shared" si="17"/>
        <v>614</v>
      </c>
      <c r="I114" s="6">
        <f>IFERROR(VLOOKUP(C114,O.B.JUNE!$AI$7:$AN$448,6,0),0)</f>
        <v>491</v>
      </c>
      <c r="J114" s="6"/>
      <c r="K114" s="6">
        <f>IFERROR(VLOOKUP(C114,O.B.JUNE!$AI$7:$AO$448,7,0),0)</f>
        <v>6230510</v>
      </c>
      <c r="L114" s="6">
        <f>SUMIF('JUNE (물량흐름)'!$C$13:$C$488,'Overhead exp(제조경비)'!C114,'JUNE (물량흐름)'!$H$13:$H$493)+SUMIF('JUNE (물량흐름)'!$C$13:$C$493,'Overhead exp(제조경비)'!C114,'JUNE (물량흐름)'!$V$13:$V$493)</f>
        <v>0</v>
      </c>
      <c r="M114" s="6">
        <f t="shared" si="18"/>
        <v>0</v>
      </c>
      <c r="N114" s="6">
        <f t="shared" si="19"/>
        <v>0</v>
      </c>
      <c r="O114" s="6">
        <f t="shared" si="29"/>
        <v>0</v>
      </c>
      <c r="P114" s="6">
        <f>SUMIF('JUNE (물량흐름)'!$C$13:$C$502,C114,'JUNE (물량흐름)'!$T$13:$T$502)+SUMIF('JUNE (물량흐름)'!$C$13:$C$502,C114,'JUNE (물량흐름)'!$V$13:$V$502)+SUMIF('JUNE (물량흐름)'!$C$13:$C$502,C114,'JUNE (물량흐름)'!$U$13:$U$502)-SUMIF('JUNE (물량흐름)'!$C$13:$C$502,C114,'JUNE (물량흐름)'!$Y$13:$Y$502)</f>
        <v>614</v>
      </c>
      <c r="Q114" s="6">
        <f t="shared" si="20"/>
        <v>6230510</v>
      </c>
      <c r="R114" s="6">
        <f>IF(ISERROR(VLOOKUP(#REF!,'WIP(재공품)'!$B$12:$AB$38,13,0)),0,VLOOKUP(#REF!,'WIP(재공품)'!$B$12:$AB$38,13,0))</f>
        <v>0</v>
      </c>
      <c r="S114" s="6">
        <f>IF(ISERROR(VLOOKUP(#REF!,'WIP(재공품)'!$B$12:$AB$38,10,0)),0,VLOOKUP(#REF!,'WIP(재공품)'!$B$12:$AB$38,10,0))</f>
        <v>0</v>
      </c>
      <c r="T114" s="6">
        <f>SUMIF('JUNE (물량흐름)'!$C$13:$C$502,'Overhead exp(제조경비)'!C114,'JUNE (물량흐름)'!$Y$13:$Y$502)</f>
        <v>0</v>
      </c>
      <c r="U114" s="6">
        <f t="shared" si="21"/>
        <v>0</v>
      </c>
      <c r="V114" s="6">
        <f>ROUND(SUMIF('JUNE (물량흐름)'!$C$13:$C$502,'Overhead exp(제조경비)'!C114,'JUNE (물량흐름)'!$N$13:$N$502),0)</f>
        <v>0</v>
      </c>
      <c r="W114" s="6">
        <f>ROUND(SUMIF('JUNE (물량흐름)'!$C$13:$C$502,'Overhead exp(제조경비)'!C114,'JUNE (물량흐름)'!$O$13:$O$502),0)</f>
        <v>0</v>
      </c>
      <c r="X114" s="6">
        <f>ROUND(SUMIF('JUNE (물량흐름)'!$C$13:$C$502,'Overhead exp(제조경비)'!C114,'JUNE (물량흐름)'!$P$13:$P$502),0)</f>
        <v>0</v>
      </c>
      <c r="Y114" s="6">
        <f t="shared" si="22"/>
        <v>0</v>
      </c>
      <c r="Z114" s="6">
        <f t="shared" si="23"/>
        <v>0</v>
      </c>
      <c r="AA114" s="6">
        <f t="shared" si="24"/>
        <v>0</v>
      </c>
      <c r="AB114" s="391">
        <f t="shared" si="25"/>
        <v>0</v>
      </c>
      <c r="AC114" s="391">
        <f t="shared" si="26"/>
        <v>0</v>
      </c>
      <c r="AE114" s="393"/>
    </row>
    <row r="115" spans="1:31" s="390" customFormat="1" ht="24" customHeight="1">
      <c r="A115" s="167">
        <v>104</v>
      </c>
      <c r="B115" s="20" t="str">
        <f>IFERROR(VLOOKUP(A115,'JUNE (물량흐름)'!$A$13:$C$502,2,0),0)</f>
        <v>JONES NY</v>
      </c>
      <c r="C115" s="272" t="str">
        <f>VLOOKUP(A115,'JUNE (물량흐름)'!$A$13:$C$502,3,0)</f>
        <v>JPMR8KT003</v>
      </c>
      <c r="D115" s="6">
        <f>VLOOKUP(C115,'WIP(재공품)'!$B$12:$E$493,4,0)</f>
        <v>39681.25</v>
      </c>
      <c r="E115" s="6">
        <f>IFERROR(VLOOKUP(C115,O.B.JUNE!$AI$7:$AJ$448,2,0),0)</f>
        <v>0</v>
      </c>
      <c r="F115" s="6">
        <f>IFERROR(VLOOKUP(C115,O.B.JUNE!$AI$7:$AK$448,3,0),0)</f>
        <v>0</v>
      </c>
      <c r="G115" s="6">
        <f>IFERROR(VLOOKUP(C115,O.B.JUNE!$AI$7:$AL$448,4,0),0)</f>
        <v>58</v>
      </c>
      <c r="H115" s="6">
        <f t="shared" si="17"/>
        <v>58</v>
      </c>
      <c r="I115" s="6">
        <f>IFERROR(VLOOKUP(C115,O.B.JUNE!$AI$7:$AN$448,6,0),0)</f>
        <v>46</v>
      </c>
      <c r="J115" s="6"/>
      <c r="K115" s="6">
        <f>IFERROR(VLOOKUP(C115,O.B.JUNE!$AI$7:$AO$448,7,0),0)</f>
        <v>182450</v>
      </c>
      <c r="L115" s="6">
        <f>SUMIF('JUNE (물량흐름)'!$C$13:$C$488,'Overhead exp(제조경비)'!C115,'JUNE (물량흐름)'!$H$13:$H$493)+SUMIF('JUNE (물량흐름)'!$C$13:$C$493,'Overhead exp(제조경비)'!C115,'JUNE (물량흐름)'!$V$13:$V$493)</f>
        <v>0</v>
      </c>
      <c r="M115" s="6">
        <f t="shared" si="18"/>
        <v>0</v>
      </c>
      <c r="N115" s="6">
        <f t="shared" si="19"/>
        <v>0</v>
      </c>
      <c r="O115" s="6">
        <f t="shared" si="29"/>
        <v>0</v>
      </c>
      <c r="P115" s="6">
        <f>SUMIF('JUNE (물량흐름)'!$C$13:$C$502,C115,'JUNE (물량흐름)'!$T$13:$T$502)+SUMIF('JUNE (물량흐름)'!$C$13:$C$502,C115,'JUNE (물량흐름)'!$V$13:$V$502)+SUMIF('JUNE (물량흐름)'!$C$13:$C$502,C115,'JUNE (물량흐름)'!$U$13:$U$502)-SUMIF('JUNE (물량흐름)'!$C$13:$C$502,C115,'JUNE (물량흐름)'!$Y$13:$Y$502)</f>
        <v>58</v>
      </c>
      <c r="Q115" s="6">
        <f t="shared" si="20"/>
        <v>182450</v>
      </c>
      <c r="R115" s="6">
        <f>IF(ISERROR(VLOOKUP(#REF!,'WIP(재공품)'!$B$12:$AB$38,13,0)),0,VLOOKUP(#REF!,'WIP(재공품)'!$B$12:$AB$38,13,0))</f>
        <v>0</v>
      </c>
      <c r="S115" s="6">
        <f>IF(ISERROR(VLOOKUP(#REF!,'WIP(재공품)'!$B$12:$AB$38,10,0)),0,VLOOKUP(#REF!,'WIP(재공품)'!$B$12:$AB$38,10,0))</f>
        <v>0</v>
      </c>
      <c r="T115" s="6">
        <f>SUMIF('JUNE (물량흐름)'!$C$13:$C$502,'Overhead exp(제조경비)'!C115,'JUNE (물량흐름)'!$Y$13:$Y$502)</f>
        <v>0</v>
      </c>
      <c r="U115" s="6">
        <f t="shared" si="21"/>
        <v>0</v>
      </c>
      <c r="V115" s="6">
        <f>ROUND(SUMIF('JUNE (물량흐름)'!$C$13:$C$502,'Overhead exp(제조경비)'!C115,'JUNE (물량흐름)'!$N$13:$N$502),0)</f>
        <v>0</v>
      </c>
      <c r="W115" s="6">
        <f>ROUND(SUMIF('JUNE (물량흐름)'!$C$13:$C$502,'Overhead exp(제조경비)'!C115,'JUNE (물량흐름)'!$O$13:$O$502),0)</f>
        <v>0</v>
      </c>
      <c r="X115" s="6">
        <f>ROUND(SUMIF('JUNE (물량흐름)'!$C$13:$C$502,'Overhead exp(제조경비)'!C115,'JUNE (물량흐름)'!$P$13:$P$502),0)</f>
        <v>0</v>
      </c>
      <c r="Y115" s="6">
        <f t="shared" si="22"/>
        <v>0</v>
      </c>
      <c r="Z115" s="6">
        <f t="shared" si="23"/>
        <v>0</v>
      </c>
      <c r="AA115" s="6">
        <f t="shared" si="24"/>
        <v>0</v>
      </c>
      <c r="AB115" s="391">
        <f t="shared" si="25"/>
        <v>0</v>
      </c>
      <c r="AC115" s="391">
        <f t="shared" si="26"/>
        <v>0</v>
      </c>
      <c r="AE115" s="393"/>
    </row>
    <row r="116" spans="1:31" s="390" customFormat="1" ht="24" customHeight="1">
      <c r="A116" s="167">
        <v>105</v>
      </c>
      <c r="B116" s="20" t="str">
        <f>IFERROR(VLOOKUP(A116,'JUNE (물량흐름)'!$A$13:$C$502,2,0),0)</f>
        <v>NORDSTROM</v>
      </c>
      <c r="C116" s="272" t="str">
        <f>VLOOKUP(A116,'JUNE (물량흐름)'!$A$13:$C$502,3,0)</f>
        <v>RK381915MI</v>
      </c>
      <c r="D116" s="6">
        <f>VLOOKUP(C116,'WIP(재공품)'!$B$12:$E$493,4,0)</f>
        <v>20407.5</v>
      </c>
      <c r="E116" s="6">
        <f>IFERROR(VLOOKUP(C116,O.B.JUNE!$AI$7:$AJ$448,2,0),0)</f>
        <v>0</v>
      </c>
      <c r="F116" s="6">
        <f>IFERROR(VLOOKUP(C116,O.B.JUNE!$AI$7:$AK$448,3,0),0)</f>
        <v>0</v>
      </c>
      <c r="G116" s="6">
        <f>IFERROR(VLOOKUP(C116,O.B.JUNE!$AI$7:$AL$448,4,0),0)</f>
        <v>6</v>
      </c>
      <c r="H116" s="6">
        <f t="shared" si="17"/>
        <v>6</v>
      </c>
      <c r="I116" s="6">
        <f>IFERROR(VLOOKUP(C116,O.B.JUNE!$AI$7:$AN$448,6,0),0)</f>
        <v>5</v>
      </c>
      <c r="J116" s="6"/>
      <c r="K116" s="6">
        <f>IFERROR(VLOOKUP(C116,O.B.JUNE!$AI$7:$AO$448,7,0),0)</f>
        <v>206170</v>
      </c>
      <c r="L116" s="6">
        <f>SUMIF('JUNE (물량흐름)'!$C$13:$C$488,'Overhead exp(제조경비)'!C116,'JUNE (물량흐름)'!$H$13:$H$493)+SUMIF('JUNE (물량흐름)'!$C$13:$C$493,'Overhead exp(제조경비)'!C116,'JUNE (물량흐름)'!$V$13:$V$493)</f>
        <v>0</v>
      </c>
      <c r="M116" s="6">
        <f t="shared" si="18"/>
        <v>0</v>
      </c>
      <c r="N116" s="6">
        <f t="shared" si="19"/>
        <v>0</v>
      </c>
      <c r="O116" s="6">
        <f t="shared" si="29"/>
        <v>0</v>
      </c>
      <c r="P116" s="6">
        <f>SUMIF('JUNE (물량흐름)'!$C$13:$C$502,C116,'JUNE (물량흐름)'!$T$13:$T$502)+SUMIF('JUNE (물량흐름)'!$C$13:$C$502,C116,'JUNE (물량흐름)'!$V$13:$V$502)+SUMIF('JUNE (물량흐름)'!$C$13:$C$502,C116,'JUNE (물량흐름)'!$U$13:$U$502)-SUMIF('JUNE (물량흐름)'!$C$13:$C$502,C116,'JUNE (물량흐름)'!$Y$13:$Y$502)</f>
        <v>6</v>
      </c>
      <c r="Q116" s="6">
        <f t="shared" si="20"/>
        <v>206170</v>
      </c>
      <c r="R116" s="6">
        <f>IF(ISERROR(VLOOKUP(#REF!,'WIP(재공품)'!$B$12:$AB$38,13,0)),0,VLOOKUP(#REF!,'WIP(재공품)'!$B$12:$AB$38,13,0))</f>
        <v>0</v>
      </c>
      <c r="S116" s="6">
        <f>IF(ISERROR(VLOOKUP(#REF!,'WIP(재공품)'!$B$12:$AB$38,10,0)),0,VLOOKUP(#REF!,'WIP(재공품)'!$B$12:$AB$38,10,0))</f>
        <v>0</v>
      </c>
      <c r="T116" s="6">
        <f>SUMIF('JUNE (물량흐름)'!$C$13:$C$502,'Overhead exp(제조경비)'!C116,'JUNE (물량흐름)'!$Y$13:$Y$502)</f>
        <v>0</v>
      </c>
      <c r="U116" s="6">
        <f t="shared" si="21"/>
        <v>0</v>
      </c>
      <c r="V116" s="6">
        <f>ROUND(SUMIF('JUNE (물량흐름)'!$C$13:$C$502,'Overhead exp(제조경비)'!C116,'JUNE (물량흐름)'!$N$13:$N$502),0)</f>
        <v>0</v>
      </c>
      <c r="W116" s="6">
        <f>ROUND(SUMIF('JUNE (물량흐름)'!$C$13:$C$502,'Overhead exp(제조경비)'!C116,'JUNE (물량흐름)'!$O$13:$O$502),0)</f>
        <v>0</v>
      </c>
      <c r="X116" s="6">
        <f>ROUND(SUMIF('JUNE (물량흐름)'!$C$13:$C$502,'Overhead exp(제조경비)'!C116,'JUNE (물량흐름)'!$P$13:$P$502),0)</f>
        <v>0</v>
      </c>
      <c r="Y116" s="6">
        <f t="shared" si="22"/>
        <v>0</v>
      </c>
      <c r="Z116" s="6">
        <f t="shared" si="23"/>
        <v>0</v>
      </c>
      <c r="AA116" s="6">
        <f t="shared" si="24"/>
        <v>0</v>
      </c>
      <c r="AB116" s="391">
        <f t="shared" si="25"/>
        <v>0</v>
      </c>
      <c r="AC116" s="391">
        <f t="shared" si="26"/>
        <v>0</v>
      </c>
      <c r="AE116" s="393"/>
    </row>
    <row r="117" spans="1:31" s="390" customFormat="1" ht="24" customHeight="1">
      <c r="A117" s="167">
        <v>106</v>
      </c>
      <c r="B117" s="20" t="str">
        <f>IFERROR(VLOOKUP(A117,'JUNE (물량흐름)'!$A$13:$C$502,2,0),0)</f>
        <v>NORDSTROM</v>
      </c>
      <c r="C117" s="272" t="str">
        <f>VLOOKUP(A117,'JUNE (물량흐름)'!$A$13:$C$502,3,0)</f>
        <v>BP381321MI</v>
      </c>
      <c r="D117" s="6">
        <f>VLOOKUP(C117,'WIP(재공품)'!$B$12:$E$493,4,0)</f>
        <v>7936.2499999999991</v>
      </c>
      <c r="E117" s="6">
        <f>IFERROR(VLOOKUP(C117,O.B.JUNE!$AI$7:$AJ$448,2,0),0)</f>
        <v>0</v>
      </c>
      <c r="F117" s="6">
        <f>IFERROR(VLOOKUP(C117,O.B.JUNE!$AI$7:$AK$448,3,0),0)</f>
        <v>0</v>
      </c>
      <c r="G117" s="6">
        <f>IFERROR(VLOOKUP(C117,O.B.JUNE!$AI$7:$AL$448,4,0),0)</f>
        <v>144</v>
      </c>
      <c r="H117" s="6">
        <f t="shared" si="17"/>
        <v>144</v>
      </c>
      <c r="I117" s="6">
        <f>IFERROR(VLOOKUP(C117,O.B.JUNE!$AI$7:$AN$448,6,0),0)</f>
        <v>115</v>
      </c>
      <c r="J117" s="6"/>
      <c r="K117" s="6">
        <f>IFERROR(VLOOKUP(C117,O.B.JUNE!$AI$7:$AO$448,7,0),0)</f>
        <v>2918299</v>
      </c>
      <c r="L117" s="6">
        <f>SUMIF('JUNE (물량흐름)'!$C$13:$C$488,'Overhead exp(제조경비)'!C117,'JUNE (물량흐름)'!$H$13:$H$493)+SUMIF('JUNE (물량흐름)'!$C$13:$C$493,'Overhead exp(제조경비)'!C117,'JUNE (물량흐름)'!$V$13:$V$493)</f>
        <v>0</v>
      </c>
      <c r="M117" s="6">
        <f t="shared" si="18"/>
        <v>0</v>
      </c>
      <c r="N117" s="6">
        <f t="shared" si="19"/>
        <v>0</v>
      </c>
      <c r="O117" s="6">
        <f t="shared" si="29"/>
        <v>0</v>
      </c>
      <c r="P117" s="6">
        <f>SUMIF('JUNE (물량흐름)'!$C$13:$C$502,C117,'JUNE (물량흐름)'!$T$13:$T$502)+SUMIF('JUNE (물량흐름)'!$C$13:$C$502,C117,'JUNE (물량흐름)'!$V$13:$V$502)+SUMIF('JUNE (물량흐름)'!$C$13:$C$502,C117,'JUNE (물량흐름)'!$U$13:$U$502)-SUMIF('JUNE (물량흐름)'!$C$13:$C$502,C117,'JUNE (물량흐름)'!$Y$13:$Y$502)</f>
        <v>144</v>
      </c>
      <c r="Q117" s="6">
        <f t="shared" si="20"/>
        <v>2918299</v>
      </c>
      <c r="R117" s="6">
        <f>IF(ISERROR(VLOOKUP(#REF!,'WIP(재공품)'!$B$12:$AB$38,13,0)),0,VLOOKUP(#REF!,'WIP(재공품)'!$B$12:$AB$38,13,0))</f>
        <v>0</v>
      </c>
      <c r="S117" s="6">
        <f>IF(ISERROR(VLOOKUP(#REF!,'WIP(재공품)'!$B$12:$AB$38,10,0)),0,VLOOKUP(#REF!,'WIP(재공품)'!$B$12:$AB$38,10,0))</f>
        <v>0</v>
      </c>
      <c r="T117" s="6">
        <f>SUMIF('JUNE (물량흐름)'!$C$13:$C$502,'Overhead exp(제조경비)'!C117,'JUNE (물량흐름)'!$Y$13:$Y$502)</f>
        <v>0</v>
      </c>
      <c r="U117" s="6">
        <f t="shared" si="21"/>
        <v>0</v>
      </c>
      <c r="V117" s="6">
        <f>ROUND(SUMIF('JUNE (물량흐름)'!$C$13:$C$502,'Overhead exp(제조경비)'!C117,'JUNE (물량흐름)'!$N$13:$N$502),0)</f>
        <v>0</v>
      </c>
      <c r="W117" s="6">
        <f>ROUND(SUMIF('JUNE (물량흐름)'!$C$13:$C$502,'Overhead exp(제조경비)'!C117,'JUNE (물량흐름)'!$O$13:$O$502),0)</f>
        <v>0</v>
      </c>
      <c r="X117" s="6">
        <f>ROUND(SUMIF('JUNE (물량흐름)'!$C$13:$C$502,'Overhead exp(제조경비)'!C117,'JUNE (물량흐름)'!$P$13:$P$502),0)</f>
        <v>0</v>
      </c>
      <c r="Y117" s="6">
        <f t="shared" si="22"/>
        <v>0</v>
      </c>
      <c r="Z117" s="6">
        <f t="shared" si="23"/>
        <v>0</v>
      </c>
      <c r="AA117" s="6">
        <f t="shared" si="24"/>
        <v>0</v>
      </c>
      <c r="AB117" s="391">
        <f t="shared" si="25"/>
        <v>0</v>
      </c>
      <c r="AC117" s="391">
        <f t="shared" si="26"/>
        <v>0</v>
      </c>
      <c r="AE117" s="393"/>
    </row>
    <row r="118" spans="1:31" s="392" customFormat="1" ht="24" customHeight="1">
      <c r="A118" s="167">
        <v>107</v>
      </c>
      <c r="B118" s="20" t="str">
        <f>IFERROR(VLOOKUP(A118,'JUNE (물량흐름)'!$A$13:$C$502,2,0),0)</f>
        <v>NORDSTROM</v>
      </c>
      <c r="C118" s="272" t="str">
        <f>VLOOKUP(A118,'JUNE (물량흐름)'!$A$13:$C$502,3,0)</f>
        <v>HA372336MI</v>
      </c>
      <c r="D118" s="6">
        <f>VLOOKUP(C118,'WIP(재공품)'!$B$12:$E$493,4,0)</f>
        <v>158725</v>
      </c>
      <c r="E118" s="6">
        <f>IFERROR(VLOOKUP(C118,O.B.JUNE!$AI$7:$AJ$448,2,0),0)</f>
        <v>0</v>
      </c>
      <c r="F118" s="6">
        <f>IFERROR(VLOOKUP(C118,O.B.JUNE!$AI$7:$AK$448,3,0),0)</f>
        <v>0</v>
      </c>
      <c r="G118" s="6">
        <f>IFERROR(VLOOKUP(C118,O.B.JUNE!$AI$7:$AL$448,4,0),0)</f>
        <v>252</v>
      </c>
      <c r="H118" s="6">
        <f t="shared" si="17"/>
        <v>252</v>
      </c>
      <c r="I118" s="6">
        <f>IFERROR(VLOOKUP(C118,O.B.JUNE!$AI$7:$AN$448,6,0),0)</f>
        <v>202</v>
      </c>
      <c r="J118" s="6"/>
      <c r="K118" s="6">
        <f>IFERROR(VLOOKUP(C118,O.B.JUNE!$AI$7:$AO$448,7,0),0)</f>
        <v>6023672</v>
      </c>
      <c r="L118" s="6">
        <f>SUMIF('JUNE (물량흐름)'!$C$13:$C$488,'Overhead exp(제조경비)'!C118,'JUNE (물량흐름)'!$H$13:$H$493)+SUMIF('JUNE (물량흐름)'!$C$13:$C$493,'Overhead exp(제조경비)'!C118,'JUNE (물량흐름)'!$V$13:$V$493)</f>
        <v>0</v>
      </c>
      <c r="M118" s="6">
        <f t="shared" si="18"/>
        <v>0</v>
      </c>
      <c r="N118" s="6">
        <f t="shared" si="19"/>
        <v>0</v>
      </c>
      <c r="O118" s="6">
        <f t="shared" si="29"/>
        <v>0</v>
      </c>
      <c r="P118" s="6">
        <f>SUMIF('JUNE (물량흐름)'!$C$13:$C$502,C118,'JUNE (물량흐름)'!$T$13:$T$502)+SUMIF('JUNE (물량흐름)'!$C$13:$C$502,C118,'JUNE (물량흐름)'!$V$13:$V$502)+SUMIF('JUNE (물량흐름)'!$C$13:$C$502,C118,'JUNE (물량흐름)'!$U$13:$U$502)-SUMIF('JUNE (물량흐름)'!$C$13:$C$502,C118,'JUNE (물량흐름)'!$Y$13:$Y$502)</f>
        <v>252</v>
      </c>
      <c r="Q118" s="6">
        <f t="shared" si="20"/>
        <v>6023672</v>
      </c>
      <c r="R118" s="6">
        <f>IF(ISERROR(VLOOKUP(#REF!,'WIP(재공품)'!$B$12:$AB$38,13,0)),0,VLOOKUP(#REF!,'WIP(재공품)'!$B$12:$AB$38,13,0))</f>
        <v>0</v>
      </c>
      <c r="S118" s="6">
        <f>IF(ISERROR(VLOOKUP(#REF!,'WIP(재공품)'!$B$12:$AB$38,10,0)),0,VLOOKUP(#REF!,'WIP(재공품)'!$B$12:$AB$38,10,0))</f>
        <v>0</v>
      </c>
      <c r="T118" s="6">
        <f>SUMIF('JUNE (물량흐름)'!$C$13:$C$502,'Overhead exp(제조경비)'!C118,'JUNE (물량흐름)'!$Y$13:$Y$502)</f>
        <v>0</v>
      </c>
      <c r="U118" s="6">
        <f t="shared" si="21"/>
        <v>0</v>
      </c>
      <c r="V118" s="6">
        <f>ROUND(SUMIF('JUNE (물량흐름)'!$C$13:$C$502,'Overhead exp(제조경비)'!C118,'JUNE (물량흐름)'!$N$13:$N$502),0)</f>
        <v>0</v>
      </c>
      <c r="W118" s="6">
        <f>ROUND(SUMIF('JUNE (물량흐름)'!$C$13:$C$502,'Overhead exp(제조경비)'!C118,'JUNE (물량흐름)'!$O$13:$O$502),0)</f>
        <v>0</v>
      </c>
      <c r="X118" s="6">
        <f>ROUND(SUMIF('JUNE (물량흐름)'!$C$13:$C$502,'Overhead exp(제조경비)'!C118,'JUNE (물량흐름)'!$P$13:$P$502),0)</f>
        <v>0</v>
      </c>
      <c r="Y118" s="6">
        <f t="shared" si="22"/>
        <v>0</v>
      </c>
      <c r="Z118" s="6">
        <f t="shared" si="23"/>
        <v>0</v>
      </c>
      <c r="AA118" s="6">
        <f t="shared" si="24"/>
        <v>0</v>
      </c>
      <c r="AB118" s="391">
        <f t="shared" si="25"/>
        <v>0</v>
      </c>
      <c r="AC118" s="391">
        <f t="shared" si="26"/>
        <v>0</v>
      </c>
      <c r="AE118" s="393"/>
    </row>
    <row r="119" spans="1:31" s="390" customFormat="1" ht="24" customHeight="1">
      <c r="A119" s="167">
        <v>108</v>
      </c>
      <c r="B119" s="20" t="str">
        <f>IFERROR(VLOOKUP(A119,'JUNE (물량흐름)'!$A$13:$C$502,2,0),0)</f>
        <v>NORDSTROM</v>
      </c>
      <c r="C119" s="272" t="str">
        <f>VLOOKUP(A119,'JUNE (물량흐름)'!$A$13:$C$502,3,0)</f>
        <v>RK381125MI</v>
      </c>
      <c r="D119" s="6">
        <f>VLOOKUP(C119,'WIP(재공품)'!$B$12:$E$493,4,0)</f>
        <v>8163</v>
      </c>
      <c r="E119" s="6">
        <f>IFERROR(VLOOKUP(C119,O.B.JUNE!$AI$7:$AJ$448,2,0),0)</f>
        <v>0</v>
      </c>
      <c r="F119" s="6">
        <f>IFERROR(VLOOKUP(C119,O.B.JUNE!$AI$7:$AK$448,3,0),0)</f>
        <v>0</v>
      </c>
      <c r="G119" s="6">
        <f>IFERROR(VLOOKUP(C119,O.B.JUNE!$AI$7:$AL$448,4,0),0)</f>
        <v>70</v>
      </c>
      <c r="H119" s="6">
        <f t="shared" si="17"/>
        <v>70</v>
      </c>
      <c r="I119" s="6">
        <f>IFERROR(VLOOKUP(C119,O.B.JUNE!$AI$7:$AN$448,6,0),0)</f>
        <v>56</v>
      </c>
      <c r="J119" s="6"/>
      <c r="K119" s="6">
        <f>IFERROR(VLOOKUP(C119,O.B.JUNE!$AI$7:$AO$448,7,0),0)</f>
        <v>2309476</v>
      </c>
      <c r="L119" s="6">
        <f>SUMIF('JUNE (물량흐름)'!$C$13:$C$488,'Overhead exp(제조경비)'!C119,'JUNE (물량흐름)'!$H$13:$H$493)+SUMIF('JUNE (물량흐름)'!$C$13:$C$493,'Overhead exp(제조경비)'!C119,'JUNE (물량흐름)'!$V$13:$V$493)</f>
        <v>0</v>
      </c>
      <c r="M119" s="6">
        <f t="shared" si="18"/>
        <v>0</v>
      </c>
      <c r="N119" s="6">
        <f t="shared" si="19"/>
        <v>0</v>
      </c>
      <c r="O119" s="6">
        <f t="shared" si="29"/>
        <v>0</v>
      </c>
      <c r="P119" s="6">
        <f>SUMIF('JUNE (물량흐름)'!$C$13:$C$502,C119,'JUNE (물량흐름)'!$T$13:$T$502)+SUMIF('JUNE (물량흐름)'!$C$13:$C$502,C119,'JUNE (물량흐름)'!$V$13:$V$502)+SUMIF('JUNE (물량흐름)'!$C$13:$C$502,C119,'JUNE (물량흐름)'!$U$13:$U$502)-SUMIF('JUNE (물량흐름)'!$C$13:$C$502,C119,'JUNE (물량흐름)'!$Y$13:$Y$502)</f>
        <v>70</v>
      </c>
      <c r="Q119" s="6">
        <f t="shared" si="20"/>
        <v>2309476</v>
      </c>
      <c r="R119" s="6">
        <f>IF(ISERROR(VLOOKUP(#REF!,'WIP(재공품)'!$B$12:$AB$38,13,0)),0,VLOOKUP(#REF!,'WIP(재공품)'!$B$12:$AB$38,13,0))</f>
        <v>0</v>
      </c>
      <c r="S119" s="6">
        <f>IF(ISERROR(VLOOKUP(#REF!,'WIP(재공품)'!$B$12:$AB$38,10,0)),0,VLOOKUP(#REF!,'WIP(재공품)'!$B$12:$AB$38,10,0))</f>
        <v>0</v>
      </c>
      <c r="T119" s="6">
        <f>SUMIF('JUNE (물량흐름)'!$C$13:$C$502,'Overhead exp(제조경비)'!C119,'JUNE (물량흐름)'!$Y$13:$Y$502)</f>
        <v>0</v>
      </c>
      <c r="U119" s="6">
        <f t="shared" si="21"/>
        <v>0</v>
      </c>
      <c r="V119" s="6">
        <f>ROUND(SUMIF('JUNE (물량흐름)'!$C$13:$C$502,'Overhead exp(제조경비)'!C119,'JUNE (물량흐름)'!$N$13:$N$502),0)</f>
        <v>0</v>
      </c>
      <c r="W119" s="6">
        <f>ROUND(SUMIF('JUNE (물량흐름)'!$C$13:$C$502,'Overhead exp(제조경비)'!C119,'JUNE (물량흐름)'!$O$13:$O$502),0)</f>
        <v>0</v>
      </c>
      <c r="X119" s="6">
        <f>ROUND(SUMIF('JUNE (물량흐름)'!$C$13:$C$502,'Overhead exp(제조경비)'!C119,'JUNE (물량흐름)'!$P$13:$P$502),0)</f>
        <v>0</v>
      </c>
      <c r="Y119" s="6">
        <f t="shared" si="22"/>
        <v>0</v>
      </c>
      <c r="Z119" s="6">
        <f t="shared" si="23"/>
        <v>0</v>
      </c>
      <c r="AA119" s="6">
        <f t="shared" si="24"/>
        <v>0</v>
      </c>
      <c r="AB119" s="391">
        <f t="shared" si="25"/>
        <v>0</v>
      </c>
      <c r="AC119" s="391">
        <f t="shared" si="26"/>
        <v>0</v>
      </c>
      <c r="AE119" s="393"/>
    </row>
    <row r="120" spans="1:31" s="390" customFormat="1" ht="24" customHeight="1">
      <c r="A120" s="167">
        <v>109</v>
      </c>
      <c r="B120" s="20" t="str">
        <f>IFERROR(VLOOKUP(A120,'JUNE (물량흐름)'!$A$13:$C$502,2,0),0)</f>
        <v>ANN TAYLOR</v>
      </c>
      <c r="C120" s="272">
        <f>VLOOKUP(A120,'JUNE (물량흐름)'!$A$13:$C$502,3,0)</f>
        <v>444136</v>
      </c>
      <c r="D120" s="6">
        <f>VLOOKUP(C120,'WIP(재공품)'!$B$12:$E$493,4,0)</f>
        <v>72560</v>
      </c>
      <c r="E120" s="6">
        <f>IFERROR(VLOOKUP(C120,O.B.JUNE!$AI$7:$AJ$448,2,0),0)</f>
        <v>0</v>
      </c>
      <c r="F120" s="6">
        <f>IFERROR(VLOOKUP(C120,O.B.JUNE!$AI$7:$AK$448,3,0),0)</f>
        <v>0</v>
      </c>
      <c r="G120" s="6">
        <f>IFERROR(VLOOKUP(C120,O.B.JUNE!$AI$7:$AL$448,4,0),0)</f>
        <v>957</v>
      </c>
      <c r="H120" s="6">
        <f t="shared" si="17"/>
        <v>957</v>
      </c>
      <c r="I120" s="6">
        <f>IFERROR(VLOOKUP(C120,O.B.JUNE!$AI$7:$AN$448,6,0),0)</f>
        <v>765</v>
      </c>
      <c r="J120" s="6"/>
      <c r="K120" s="6">
        <f>IFERROR(VLOOKUP(C120,O.B.JUNE!$AI$7:$AO$448,7,0),0)</f>
        <v>5302092</v>
      </c>
      <c r="L120" s="6">
        <f>SUMIF('JUNE (물량흐름)'!$C$13:$C$488,'Overhead exp(제조경비)'!C120,'JUNE (물량흐름)'!$H$13:$H$493)+SUMIF('JUNE (물량흐름)'!$C$13:$C$493,'Overhead exp(제조경비)'!C120,'JUNE (물량흐름)'!$V$13:$V$493)</f>
        <v>0</v>
      </c>
      <c r="M120" s="6">
        <f t="shared" si="18"/>
        <v>0</v>
      </c>
      <c r="N120" s="6">
        <f t="shared" si="19"/>
        <v>0</v>
      </c>
      <c r="O120" s="6">
        <f t="shared" si="29"/>
        <v>0</v>
      </c>
      <c r="P120" s="6">
        <f>SUMIF('JUNE (물량흐름)'!$C$13:$C$502,C120,'JUNE (물량흐름)'!$T$13:$T$502)+SUMIF('JUNE (물량흐름)'!$C$13:$C$502,C120,'JUNE (물량흐름)'!$V$13:$V$502)+SUMIF('JUNE (물량흐름)'!$C$13:$C$502,C120,'JUNE (물량흐름)'!$U$13:$U$502)-SUMIF('JUNE (물량흐름)'!$C$13:$C$502,C120,'JUNE (물량흐름)'!$Y$13:$Y$502)</f>
        <v>957</v>
      </c>
      <c r="Q120" s="6">
        <f t="shared" si="20"/>
        <v>5302092</v>
      </c>
      <c r="R120" s="6">
        <f>IF(ISERROR(VLOOKUP(#REF!,'WIP(재공품)'!$B$12:$AB$38,13,0)),0,VLOOKUP(#REF!,'WIP(재공품)'!$B$12:$AB$38,13,0))</f>
        <v>0</v>
      </c>
      <c r="S120" s="6">
        <f>IF(ISERROR(VLOOKUP(#REF!,'WIP(재공품)'!$B$12:$AB$38,10,0)),0,VLOOKUP(#REF!,'WIP(재공품)'!$B$12:$AB$38,10,0))</f>
        <v>0</v>
      </c>
      <c r="T120" s="6">
        <f>SUMIF('JUNE (물량흐름)'!$C$13:$C$502,'Overhead exp(제조경비)'!C120,'JUNE (물량흐름)'!$Y$13:$Y$502)</f>
        <v>0</v>
      </c>
      <c r="U120" s="6">
        <f t="shared" si="21"/>
        <v>0</v>
      </c>
      <c r="V120" s="6">
        <f>ROUND(SUMIF('JUNE (물량흐름)'!$C$13:$C$502,'Overhead exp(제조경비)'!C120,'JUNE (물량흐름)'!$N$13:$N$502),0)</f>
        <v>0</v>
      </c>
      <c r="W120" s="6">
        <f>ROUND(SUMIF('JUNE (물량흐름)'!$C$13:$C$502,'Overhead exp(제조경비)'!C120,'JUNE (물량흐름)'!$O$13:$O$502),0)</f>
        <v>0</v>
      </c>
      <c r="X120" s="6">
        <f>ROUND(SUMIF('JUNE (물량흐름)'!$C$13:$C$502,'Overhead exp(제조경비)'!C120,'JUNE (물량흐름)'!$P$13:$P$502),0)</f>
        <v>0</v>
      </c>
      <c r="Y120" s="6">
        <f t="shared" si="22"/>
        <v>0</v>
      </c>
      <c r="Z120" s="6">
        <f t="shared" si="23"/>
        <v>0</v>
      </c>
      <c r="AA120" s="6">
        <f t="shared" si="24"/>
        <v>0</v>
      </c>
      <c r="AB120" s="391">
        <f t="shared" si="25"/>
        <v>0</v>
      </c>
      <c r="AC120" s="391">
        <f t="shared" si="26"/>
        <v>0</v>
      </c>
      <c r="AE120" s="393"/>
    </row>
    <row r="121" spans="1:31" s="390" customFormat="1" ht="24" customHeight="1">
      <c r="A121" s="167">
        <v>110</v>
      </c>
      <c r="B121" s="20" t="str">
        <f>IFERROR(VLOOKUP(A121,'JUNE (물량흐름)'!$A$13:$C$502,2,0),0)</f>
        <v>NAMYANG</v>
      </c>
      <c r="C121" s="272" t="str">
        <f>VLOOKUP(A121,'JUNE (물량흐름)'!$A$13:$C$502,3,0)</f>
        <v>258G827</v>
      </c>
      <c r="D121" s="6">
        <f>VLOOKUP(C121,'WIP(재공품)'!$B$12:$E$493,4,0)</f>
        <v>72560</v>
      </c>
      <c r="E121" s="6">
        <f>IFERROR(VLOOKUP(C121,O.B.JUNE!$AI$7:$AJ$448,2,0),0)</f>
        <v>0</v>
      </c>
      <c r="F121" s="6">
        <f>IFERROR(VLOOKUP(C121,O.B.JUNE!$AI$7:$AK$448,3,0),0)</f>
        <v>0</v>
      </c>
      <c r="G121" s="6">
        <f>IFERROR(VLOOKUP(C121,O.B.JUNE!$AI$7:$AL$448,4,0),0)</f>
        <v>397</v>
      </c>
      <c r="H121" s="6">
        <f t="shared" si="17"/>
        <v>397</v>
      </c>
      <c r="I121" s="6">
        <f>IFERROR(VLOOKUP(C121,O.B.JUNE!$AI$7:$AN$448,6,0),0)</f>
        <v>318</v>
      </c>
      <c r="J121" s="6"/>
      <c r="K121" s="6">
        <f>IFERROR(VLOOKUP(C121,O.B.JUNE!$AI$7:$AO$448,7,0),0)</f>
        <v>2565564</v>
      </c>
      <c r="L121" s="6">
        <f>SUMIF('JUNE (물량흐름)'!$C$13:$C$488,'Overhead exp(제조경비)'!C121,'JUNE (물량흐름)'!$H$13:$H$493)+SUMIF('JUNE (물량흐름)'!$C$13:$C$493,'Overhead exp(제조경비)'!C121,'JUNE (물량흐름)'!$V$13:$V$493)</f>
        <v>0</v>
      </c>
      <c r="M121" s="6">
        <f t="shared" si="18"/>
        <v>0</v>
      </c>
      <c r="N121" s="6">
        <f t="shared" si="19"/>
        <v>0</v>
      </c>
      <c r="O121" s="6">
        <f t="shared" si="29"/>
        <v>0</v>
      </c>
      <c r="P121" s="6">
        <f>SUMIF('JUNE (물량흐름)'!$C$13:$C$502,C121,'JUNE (물량흐름)'!$T$13:$T$502)+SUMIF('JUNE (물량흐름)'!$C$13:$C$502,C121,'JUNE (물량흐름)'!$V$13:$V$502)+SUMIF('JUNE (물량흐름)'!$C$13:$C$502,C121,'JUNE (물량흐름)'!$U$13:$U$502)-SUMIF('JUNE (물량흐름)'!$C$13:$C$502,C121,'JUNE (물량흐름)'!$Y$13:$Y$502)</f>
        <v>397</v>
      </c>
      <c r="Q121" s="6">
        <f t="shared" si="20"/>
        <v>2565564</v>
      </c>
      <c r="R121" s="6">
        <f>IF(ISERROR(VLOOKUP(#REF!,'WIP(재공품)'!$B$12:$AB$38,13,0)),0,VLOOKUP(#REF!,'WIP(재공품)'!$B$12:$AB$38,13,0))</f>
        <v>0</v>
      </c>
      <c r="S121" s="6">
        <f>IF(ISERROR(VLOOKUP(#REF!,'WIP(재공품)'!$B$12:$AB$38,10,0)),0,VLOOKUP(#REF!,'WIP(재공품)'!$B$12:$AB$38,10,0))</f>
        <v>0</v>
      </c>
      <c r="T121" s="6">
        <f>SUMIF('JUNE (물량흐름)'!$C$13:$C$502,'Overhead exp(제조경비)'!C121,'JUNE (물량흐름)'!$Y$13:$Y$502)</f>
        <v>0</v>
      </c>
      <c r="U121" s="6">
        <f t="shared" si="21"/>
        <v>0</v>
      </c>
      <c r="V121" s="6">
        <f>ROUND(SUMIF('JUNE (물량흐름)'!$C$13:$C$502,'Overhead exp(제조경비)'!C121,'JUNE (물량흐름)'!$N$13:$N$502),0)</f>
        <v>0</v>
      </c>
      <c r="W121" s="6">
        <f>ROUND(SUMIF('JUNE (물량흐름)'!$C$13:$C$502,'Overhead exp(제조경비)'!C121,'JUNE (물량흐름)'!$O$13:$O$502),0)</f>
        <v>0</v>
      </c>
      <c r="X121" s="6">
        <f>ROUND(SUMIF('JUNE (물량흐름)'!$C$13:$C$502,'Overhead exp(제조경비)'!C121,'JUNE (물량흐름)'!$P$13:$P$502),0)</f>
        <v>0</v>
      </c>
      <c r="Y121" s="6">
        <f t="shared" si="22"/>
        <v>0</v>
      </c>
      <c r="Z121" s="6">
        <f t="shared" si="23"/>
        <v>0</v>
      </c>
      <c r="AA121" s="6">
        <f t="shared" si="24"/>
        <v>0</v>
      </c>
      <c r="AB121" s="391">
        <f t="shared" si="25"/>
        <v>0</v>
      </c>
      <c r="AC121" s="391">
        <f t="shared" si="26"/>
        <v>0</v>
      </c>
      <c r="AE121" s="393"/>
    </row>
    <row r="122" spans="1:31" s="390" customFormat="1" ht="24" customHeight="1">
      <c r="A122" s="167">
        <v>111</v>
      </c>
      <c r="B122" s="20" t="str">
        <f>IFERROR(VLOOKUP(A122,'JUNE (물량흐름)'!$A$13:$C$502,2,0),0)</f>
        <v>TALBOTS</v>
      </c>
      <c r="C122" s="272">
        <f>VLOOKUP(A122,'JUNE (물량흐름)'!$A$13:$C$502,3,0)</f>
        <v>174034833</v>
      </c>
      <c r="D122" s="6">
        <f>VLOOKUP(C122,'WIP(재공품)'!$B$12:$E$493,4,0)</f>
        <v>8163</v>
      </c>
      <c r="E122" s="6">
        <f>IFERROR(VLOOKUP(C122,O.B.JUNE!$AI$7:$AJ$448,2,0),0)</f>
        <v>0</v>
      </c>
      <c r="F122" s="6">
        <f>IFERROR(VLOOKUP(C122,O.B.JUNE!$AI$7:$AK$448,3,0),0)</f>
        <v>0</v>
      </c>
      <c r="G122" s="6">
        <f>IFERROR(VLOOKUP(C122,O.B.JUNE!$AI$7:$AL$448,4,0),0)</f>
        <v>303</v>
      </c>
      <c r="H122" s="6">
        <f t="shared" si="17"/>
        <v>303</v>
      </c>
      <c r="I122" s="6">
        <f>IFERROR(VLOOKUP(C122,O.B.JUNE!$AI$7:$AN$448,6,0),0)</f>
        <v>242</v>
      </c>
      <c r="J122" s="6"/>
      <c r="K122" s="6">
        <f>IFERROR(VLOOKUP(C122,O.B.JUNE!$AI$7:$AO$448,7,0),0)</f>
        <v>10263051</v>
      </c>
      <c r="L122" s="6">
        <f>SUMIF('JUNE (물량흐름)'!$C$13:$C$488,'Overhead exp(제조경비)'!C122,'JUNE (물량흐름)'!$H$13:$H$493)+SUMIF('JUNE (물량흐름)'!$C$13:$C$493,'Overhead exp(제조경비)'!C122,'JUNE (물량흐름)'!$V$13:$V$493)</f>
        <v>0</v>
      </c>
      <c r="M122" s="6">
        <f t="shared" si="18"/>
        <v>0</v>
      </c>
      <c r="N122" s="6">
        <f t="shared" si="19"/>
        <v>0</v>
      </c>
      <c r="O122" s="6">
        <f t="shared" si="29"/>
        <v>0</v>
      </c>
      <c r="P122" s="6">
        <f>SUMIF('JUNE (물량흐름)'!$C$13:$C$502,C122,'JUNE (물량흐름)'!$T$13:$T$502)+SUMIF('JUNE (물량흐름)'!$C$13:$C$502,C122,'JUNE (물량흐름)'!$V$13:$V$502)+SUMIF('JUNE (물량흐름)'!$C$13:$C$502,C122,'JUNE (물량흐름)'!$U$13:$U$502)-SUMIF('JUNE (물량흐름)'!$C$13:$C$502,C122,'JUNE (물량흐름)'!$Y$13:$Y$502)</f>
        <v>303</v>
      </c>
      <c r="Q122" s="6">
        <f t="shared" si="20"/>
        <v>10263051</v>
      </c>
      <c r="R122" s="6">
        <f>IF(ISERROR(VLOOKUP(#REF!,'WIP(재공품)'!$B$12:$AB$38,13,0)),0,VLOOKUP(#REF!,'WIP(재공품)'!$B$12:$AB$38,13,0))</f>
        <v>0</v>
      </c>
      <c r="S122" s="6">
        <f>IF(ISERROR(VLOOKUP(#REF!,'WIP(재공품)'!$B$12:$AB$38,10,0)),0,VLOOKUP(#REF!,'WIP(재공품)'!$B$12:$AB$38,10,0))</f>
        <v>0</v>
      </c>
      <c r="T122" s="6">
        <f>SUMIF('JUNE (물량흐름)'!$C$13:$C$502,'Overhead exp(제조경비)'!C122,'JUNE (물량흐름)'!$Y$13:$Y$502)</f>
        <v>0</v>
      </c>
      <c r="U122" s="6">
        <f t="shared" si="21"/>
        <v>0</v>
      </c>
      <c r="V122" s="6">
        <f>ROUND(SUMIF('JUNE (물량흐름)'!$C$13:$C$502,'Overhead exp(제조경비)'!C122,'JUNE (물량흐름)'!$N$13:$N$502),0)</f>
        <v>0</v>
      </c>
      <c r="W122" s="6">
        <f>ROUND(SUMIF('JUNE (물량흐름)'!$C$13:$C$502,'Overhead exp(제조경비)'!C122,'JUNE (물량흐름)'!$O$13:$O$502),0)</f>
        <v>0</v>
      </c>
      <c r="X122" s="6">
        <f>ROUND(SUMIF('JUNE (물량흐름)'!$C$13:$C$502,'Overhead exp(제조경비)'!C122,'JUNE (물량흐름)'!$P$13:$P$502),0)</f>
        <v>0</v>
      </c>
      <c r="Y122" s="6">
        <f t="shared" si="22"/>
        <v>0</v>
      </c>
      <c r="Z122" s="6">
        <f t="shared" si="23"/>
        <v>0</v>
      </c>
      <c r="AA122" s="6">
        <f t="shared" si="24"/>
        <v>0</v>
      </c>
      <c r="AB122" s="391">
        <f t="shared" si="25"/>
        <v>0</v>
      </c>
      <c r="AC122" s="391">
        <f t="shared" si="26"/>
        <v>0</v>
      </c>
      <c r="AE122" s="393"/>
    </row>
    <row r="123" spans="1:31" s="390" customFormat="1" ht="24" customHeight="1">
      <c r="A123" s="167">
        <v>112</v>
      </c>
      <c r="B123" s="20" t="str">
        <f>IFERROR(VLOOKUP(A123,'JUNE (물량흐름)'!$A$13:$C$502,2,0),0)</f>
        <v>TALBOTS</v>
      </c>
      <c r="C123" s="272">
        <f>VLOOKUP(A123,'JUNE (물량흐름)'!$A$13:$C$502,3,0)</f>
        <v>174034834</v>
      </c>
      <c r="D123" s="6">
        <f>VLOOKUP(C123,'WIP(재공품)'!$B$12:$E$493,4,0)</f>
        <v>8163</v>
      </c>
      <c r="E123" s="6">
        <f>IFERROR(VLOOKUP(C123,O.B.JUNE!$AI$7:$AJ$448,2,0),0)</f>
        <v>0</v>
      </c>
      <c r="F123" s="6">
        <f>IFERROR(VLOOKUP(C123,O.B.JUNE!$AI$7:$AK$448,3,0),0)</f>
        <v>0</v>
      </c>
      <c r="G123" s="6">
        <f>IFERROR(VLOOKUP(C123,O.B.JUNE!$AI$7:$AL$448,4,0),0)</f>
        <v>255</v>
      </c>
      <c r="H123" s="6">
        <f t="shared" si="17"/>
        <v>255</v>
      </c>
      <c r="I123" s="6">
        <f>IFERROR(VLOOKUP(C123,O.B.JUNE!$AI$7:$AN$448,6,0),0)</f>
        <v>204</v>
      </c>
      <c r="J123" s="6"/>
      <c r="K123" s="6">
        <f>IFERROR(VLOOKUP(C123,O.B.JUNE!$AI$7:$AO$448,7,0),0)</f>
        <v>8457325</v>
      </c>
      <c r="L123" s="6">
        <f>SUMIF('JUNE (물량흐름)'!$C$13:$C$488,'Overhead exp(제조경비)'!C123,'JUNE (물량흐름)'!$H$13:$H$493)+SUMIF('JUNE (물량흐름)'!$C$13:$C$493,'Overhead exp(제조경비)'!C123,'JUNE (물량흐름)'!$V$13:$V$493)</f>
        <v>0</v>
      </c>
      <c r="M123" s="6">
        <f t="shared" si="18"/>
        <v>0</v>
      </c>
      <c r="N123" s="6">
        <f t="shared" si="19"/>
        <v>0</v>
      </c>
      <c r="O123" s="6">
        <f t="shared" si="29"/>
        <v>0</v>
      </c>
      <c r="P123" s="6">
        <f>SUMIF('JUNE (물량흐름)'!$C$13:$C$502,C123,'JUNE (물량흐름)'!$T$13:$T$502)+SUMIF('JUNE (물량흐름)'!$C$13:$C$502,C123,'JUNE (물량흐름)'!$V$13:$V$502)+SUMIF('JUNE (물량흐름)'!$C$13:$C$502,C123,'JUNE (물량흐름)'!$U$13:$U$502)-SUMIF('JUNE (물량흐름)'!$C$13:$C$502,C123,'JUNE (물량흐름)'!$Y$13:$Y$502)</f>
        <v>255</v>
      </c>
      <c r="Q123" s="6">
        <f t="shared" si="20"/>
        <v>8457325</v>
      </c>
      <c r="R123" s="6">
        <f>IF(ISERROR(VLOOKUP(#REF!,'WIP(재공품)'!$B$12:$AB$38,13,0)),0,VLOOKUP(#REF!,'WIP(재공품)'!$B$12:$AB$38,13,0))</f>
        <v>0</v>
      </c>
      <c r="S123" s="6">
        <f>IF(ISERROR(VLOOKUP(#REF!,'WIP(재공품)'!$B$12:$AB$38,10,0)),0,VLOOKUP(#REF!,'WIP(재공품)'!$B$12:$AB$38,10,0))</f>
        <v>0</v>
      </c>
      <c r="T123" s="6">
        <f>SUMIF('JUNE (물량흐름)'!$C$13:$C$502,'Overhead exp(제조경비)'!C123,'JUNE (물량흐름)'!$Y$13:$Y$502)</f>
        <v>0</v>
      </c>
      <c r="U123" s="6">
        <f t="shared" si="21"/>
        <v>0</v>
      </c>
      <c r="V123" s="6">
        <f>ROUND(SUMIF('JUNE (물량흐름)'!$C$13:$C$502,'Overhead exp(제조경비)'!C123,'JUNE (물량흐름)'!$N$13:$N$502),0)</f>
        <v>0</v>
      </c>
      <c r="W123" s="6">
        <f>ROUND(SUMIF('JUNE (물량흐름)'!$C$13:$C$502,'Overhead exp(제조경비)'!C123,'JUNE (물량흐름)'!$O$13:$O$502),0)</f>
        <v>0</v>
      </c>
      <c r="X123" s="6">
        <f>ROUND(SUMIF('JUNE (물량흐름)'!$C$13:$C$502,'Overhead exp(제조경비)'!C123,'JUNE (물량흐름)'!$P$13:$P$502),0)</f>
        <v>0</v>
      </c>
      <c r="Y123" s="6">
        <f t="shared" si="22"/>
        <v>0</v>
      </c>
      <c r="Z123" s="6">
        <f t="shared" si="23"/>
        <v>0</v>
      </c>
      <c r="AA123" s="6">
        <f t="shared" si="24"/>
        <v>0</v>
      </c>
      <c r="AB123" s="391">
        <f t="shared" si="25"/>
        <v>0</v>
      </c>
      <c r="AC123" s="391">
        <f t="shared" si="26"/>
        <v>0</v>
      </c>
      <c r="AE123" s="393"/>
    </row>
    <row r="124" spans="1:31" s="390" customFormat="1" ht="24" customHeight="1">
      <c r="A124" s="167">
        <v>113</v>
      </c>
      <c r="B124" s="20" t="str">
        <f>IFERROR(VLOOKUP(A124,'JUNE (물량흐름)'!$A$13:$C$502,2,0),0)</f>
        <v>TALBOTS</v>
      </c>
      <c r="C124" s="272">
        <f>VLOOKUP(A124,'JUNE (물량흐름)'!$A$13:$C$502,3,0)</f>
        <v>174034840</v>
      </c>
      <c r="D124" s="6">
        <f>VLOOKUP(C124,'WIP(재공품)'!$B$12:$E$493,4,0)</f>
        <v>7936.2499999999991</v>
      </c>
      <c r="E124" s="6">
        <f>IFERROR(VLOOKUP(C124,O.B.JUNE!$AI$7:$AJ$448,2,0),0)</f>
        <v>0</v>
      </c>
      <c r="F124" s="6">
        <f>IFERROR(VLOOKUP(C124,O.B.JUNE!$AI$7:$AK$448,3,0),0)</f>
        <v>0</v>
      </c>
      <c r="G124" s="6">
        <f>IFERROR(VLOOKUP(C124,O.B.JUNE!$AI$7:$AL$448,4,0),0)</f>
        <v>391</v>
      </c>
      <c r="H124" s="6">
        <f t="shared" si="17"/>
        <v>391</v>
      </c>
      <c r="I124" s="6">
        <f>IFERROR(VLOOKUP(C124,O.B.JUNE!$AI$7:$AN$448,6,0),0)</f>
        <v>313</v>
      </c>
      <c r="J124" s="6"/>
      <c r="K124" s="6">
        <f>IFERROR(VLOOKUP(C124,O.B.JUNE!$AI$7:$AO$448,7,0),0)</f>
        <v>13678886</v>
      </c>
      <c r="L124" s="6">
        <f>SUMIF('JUNE (물량흐름)'!$C$13:$C$488,'Overhead exp(제조경비)'!C124,'JUNE (물량흐름)'!$H$13:$H$493)+SUMIF('JUNE (물량흐름)'!$C$13:$C$493,'Overhead exp(제조경비)'!C124,'JUNE (물량흐름)'!$V$13:$V$493)</f>
        <v>0</v>
      </c>
      <c r="M124" s="6">
        <f t="shared" si="18"/>
        <v>0</v>
      </c>
      <c r="N124" s="6">
        <f t="shared" si="19"/>
        <v>0</v>
      </c>
      <c r="O124" s="6">
        <f t="shared" si="29"/>
        <v>0</v>
      </c>
      <c r="P124" s="6">
        <f>SUMIF('JUNE (물량흐름)'!$C$13:$C$502,C124,'JUNE (물량흐름)'!$T$13:$T$502)+SUMIF('JUNE (물량흐름)'!$C$13:$C$502,C124,'JUNE (물량흐름)'!$V$13:$V$502)+SUMIF('JUNE (물량흐름)'!$C$13:$C$502,C124,'JUNE (물량흐름)'!$U$13:$U$502)-SUMIF('JUNE (물량흐름)'!$C$13:$C$502,C124,'JUNE (물량흐름)'!$Y$13:$Y$502)</f>
        <v>391</v>
      </c>
      <c r="Q124" s="6">
        <f t="shared" si="20"/>
        <v>13678886</v>
      </c>
      <c r="R124" s="6">
        <f>IF(ISERROR(VLOOKUP(#REF!,'WIP(재공품)'!$B$12:$AB$38,13,0)),0,VLOOKUP(#REF!,'WIP(재공품)'!$B$12:$AB$38,13,0))</f>
        <v>0</v>
      </c>
      <c r="S124" s="6">
        <f>IF(ISERROR(VLOOKUP(#REF!,'WIP(재공품)'!$B$12:$AB$38,10,0)),0,VLOOKUP(#REF!,'WIP(재공품)'!$B$12:$AB$38,10,0))</f>
        <v>0</v>
      </c>
      <c r="T124" s="6">
        <f>SUMIF('JUNE (물량흐름)'!$C$13:$C$502,'Overhead exp(제조경비)'!C124,'JUNE (물량흐름)'!$Y$13:$Y$502)</f>
        <v>0</v>
      </c>
      <c r="U124" s="6">
        <f t="shared" si="21"/>
        <v>0</v>
      </c>
      <c r="V124" s="6">
        <f>ROUND(SUMIF('JUNE (물량흐름)'!$C$13:$C$502,'Overhead exp(제조경비)'!C124,'JUNE (물량흐름)'!$N$13:$N$502),0)</f>
        <v>0</v>
      </c>
      <c r="W124" s="6">
        <f>ROUND(SUMIF('JUNE (물량흐름)'!$C$13:$C$502,'Overhead exp(제조경비)'!C124,'JUNE (물량흐름)'!$O$13:$O$502),0)</f>
        <v>0</v>
      </c>
      <c r="X124" s="6">
        <f>ROUND(SUMIF('JUNE (물량흐름)'!$C$13:$C$502,'Overhead exp(제조경비)'!C124,'JUNE (물량흐름)'!$P$13:$P$502),0)</f>
        <v>0</v>
      </c>
      <c r="Y124" s="6">
        <f t="shared" si="22"/>
        <v>0</v>
      </c>
      <c r="Z124" s="6">
        <f t="shared" si="23"/>
        <v>0</v>
      </c>
      <c r="AA124" s="6">
        <f t="shared" si="24"/>
        <v>0</v>
      </c>
      <c r="AB124" s="391">
        <f t="shared" si="25"/>
        <v>0</v>
      </c>
      <c r="AC124" s="391">
        <f t="shared" si="26"/>
        <v>0</v>
      </c>
      <c r="AE124" s="393"/>
    </row>
    <row r="125" spans="1:31" s="390" customFormat="1" ht="24" customHeight="1">
      <c r="A125" s="167">
        <v>114</v>
      </c>
      <c r="B125" s="20" t="str">
        <f>IFERROR(VLOOKUP(A125,'JUNE (물량흐름)'!$A$13:$C$502,2,0),0)</f>
        <v>TALBOTS</v>
      </c>
      <c r="C125" s="272">
        <f>VLOOKUP(A125,'JUNE (물량흐름)'!$A$13:$C$502,3,0)</f>
        <v>174034863</v>
      </c>
      <c r="D125" s="6">
        <f>VLOOKUP(C125,'WIP(재공품)'!$B$12:$E$493,4,0)</f>
        <v>104304.99999999999</v>
      </c>
      <c r="E125" s="6">
        <f>IFERROR(VLOOKUP(C125,O.B.JUNE!$AI$7:$AJ$448,2,0),0)</f>
        <v>0</v>
      </c>
      <c r="F125" s="6">
        <f>IFERROR(VLOOKUP(C125,O.B.JUNE!$AI$7:$AK$448,3,0),0)</f>
        <v>0</v>
      </c>
      <c r="G125" s="6">
        <f>IFERROR(VLOOKUP(C125,O.B.JUNE!$AI$7:$AL$448,4,0),0)</f>
        <v>139</v>
      </c>
      <c r="H125" s="6">
        <f t="shared" si="17"/>
        <v>139</v>
      </c>
      <c r="I125" s="6">
        <f>IFERROR(VLOOKUP(C125,O.B.JUNE!$AI$7:$AN$448,6,0),0)</f>
        <v>111</v>
      </c>
      <c r="J125" s="6"/>
      <c r="K125" s="6">
        <f>IFERROR(VLOOKUP(C125,O.B.JUNE!$AI$7:$AO$448,7,0),0)</f>
        <v>4719686</v>
      </c>
      <c r="L125" s="6">
        <f>SUMIF('JUNE (물량흐름)'!$C$13:$C$488,'Overhead exp(제조경비)'!C125,'JUNE (물량흐름)'!$H$13:$H$493)+SUMIF('JUNE (물량흐름)'!$C$13:$C$493,'Overhead exp(제조경비)'!C125,'JUNE (물량흐름)'!$V$13:$V$493)</f>
        <v>0</v>
      </c>
      <c r="M125" s="6">
        <f t="shared" si="18"/>
        <v>0</v>
      </c>
      <c r="N125" s="6">
        <f t="shared" si="19"/>
        <v>0</v>
      </c>
      <c r="O125" s="6">
        <f t="shared" si="29"/>
        <v>0</v>
      </c>
      <c r="P125" s="6">
        <f>SUMIF('JUNE (물량흐름)'!$C$13:$C$502,C125,'JUNE (물량흐름)'!$T$13:$T$502)+SUMIF('JUNE (물량흐름)'!$C$13:$C$502,C125,'JUNE (물량흐름)'!$V$13:$V$502)+SUMIF('JUNE (물량흐름)'!$C$13:$C$502,C125,'JUNE (물량흐름)'!$U$13:$U$502)-SUMIF('JUNE (물량흐름)'!$C$13:$C$502,C125,'JUNE (물량흐름)'!$Y$13:$Y$502)</f>
        <v>139</v>
      </c>
      <c r="Q125" s="6">
        <f t="shared" si="20"/>
        <v>4719686</v>
      </c>
      <c r="R125" s="6">
        <f>IF(ISERROR(VLOOKUP(#REF!,'WIP(재공품)'!$B$12:$AB$38,13,0)),0,VLOOKUP(#REF!,'WIP(재공품)'!$B$12:$AB$38,13,0))</f>
        <v>0</v>
      </c>
      <c r="S125" s="6">
        <f>IF(ISERROR(VLOOKUP(#REF!,'WIP(재공품)'!$B$12:$AB$38,10,0)),0,VLOOKUP(#REF!,'WIP(재공품)'!$B$12:$AB$38,10,0))</f>
        <v>0</v>
      </c>
      <c r="T125" s="6">
        <f>SUMIF('JUNE (물량흐름)'!$C$13:$C$502,'Overhead exp(제조경비)'!C125,'JUNE (물량흐름)'!$Y$13:$Y$502)</f>
        <v>0</v>
      </c>
      <c r="U125" s="6">
        <f t="shared" si="21"/>
        <v>0</v>
      </c>
      <c r="V125" s="6">
        <f>ROUND(SUMIF('JUNE (물량흐름)'!$C$13:$C$502,'Overhead exp(제조경비)'!C125,'JUNE (물량흐름)'!$N$13:$N$502),0)</f>
        <v>0</v>
      </c>
      <c r="W125" s="6">
        <f>ROUND(SUMIF('JUNE (물량흐름)'!$C$13:$C$502,'Overhead exp(제조경비)'!C125,'JUNE (물량흐름)'!$O$13:$O$502),0)</f>
        <v>0</v>
      </c>
      <c r="X125" s="6">
        <f>ROUND(SUMIF('JUNE (물량흐름)'!$C$13:$C$502,'Overhead exp(제조경비)'!C125,'JUNE (물량흐름)'!$P$13:$P$502),0)</f>
        <v>0</v>
      </c>
      <c r="Y125" s="6">
        <f t="shared" si="22"/>
        <v>0</v>
      </c>
      <c r="Z125" s="6">
        <f t="shared" si="23"/>
        <v>0</v>
      </c>
      <c r="AA125" s="6">
        <f t="shared" si="24"/>
        <v>0</v>
      </c>
      <c r="AB125" s="391">
        <f t="shared" si="25"/>
        <v>0</v>
      </c>
      <c r="AC125" s="391">
        <f t="shared" si="26"/>
        <v>0</v>
      </c>
      <c r="AE125" s="393"/>
    </row>
    <row r="126" spans="1:31" s="390" customFormat="1" ht="24" customHeight="1">
      <c r="A126" s="167">
        <v>115</v>
      </c>
      <c r="B126" s="20" t="str">
        <f>IFERROR(VLOOKUP(A126,'JUNE (물량흐름)'!$A$13:$C$502,2,0),0)</f>
        <v>TALBOTS</v>
      </c>
      <c r="C126" s="272">
        <f>VLOOKUP(A126,'JUNE (물량흐름)'!$A$13:$C$502,3,0)</f>
        <v>181013004</v>
      </c>
      <c r="D126" s="6">
        <f>VLOOKUP(C126,'WIP(재공품)'!$B$12:$E$493,4,0)</f>
        <v>34692.75</v>
      </c>
      <c r="E126" s="6">
        <f>IFERROR(VLOOKUP(C126,O.B.JUNE!$AI$7:$AJ$448,2,0),0)</f>
        <v>0</v>
      </c>
      <c r="F126" s="6">
        <f>IFERROR(VLOOKUP(C126,O.B.JUNE!$AI$7:$AK$448,3,0),0)</f>
        <v>0</v>
      </c>
      <c r="G126" s="6">
        <f>IFERROR(VLOOKUP(C126,O.B.JUNE!$AI$7:$AL$448,4,0),0)</f>
        <v>1236</v>
      </c>
      <c r="H126" s="6">
        <f t="shared" si="17"/>
        <v>1236</v>
      </c>
      <c r="I126" s="6">
        <f>IFERROR(VLOOKUP(C126,O.B.JUNE!$AI$7:$AN$448,6,0),0)</f>
        <v>989</v>
      </c>
      <c r="J126" s="6"/>
      <c r="K126" s="6">
        <f>IFERROR(VLOOKUP(C126,O.B.JUNE!$AI$7:$AO$448,7,0),0)</f>
        <v>27351510</v>
      </c>
      <c r="L126" s="6">
        <f>SUMIF('JUNE (물량흐름)'!$C$13:$C$488,'Overhead exp(제조경비)'!C126,'JUNE (물량흐름)'!$H$13:$H$493)+SUMIF('JUNE (물량흐름)'!$C$13:$C$493,'Overhead exp(제조경비)'!C126,'JUNE (물량흐름)'!$V$13:$V$493)</f>
        <v>0</v>
      </c>
      <c r="M126" s="6">
        <f t="shared" si="18"/>
        <v>0</v>
      </c>
      <c r="N126" s="6">
        <f t="shared" si="19"/>
        <v>0</v>
      </c>
      <c r="O126" s="6">
        <f>ROUND(M126*D126*$O$493/$N$493,0)+1</f>
        <v>1</v>
      </c>
      <c r="P126" s="6">
        <f>SUMIF('JUNE (물량흐름)'!$C$13:$C$502,C126,'JUNE (물량흐름)'!$T$13:$T$502)+SUMIF('JUNE (물량흐름)'!$C$13:$C$502,C126,'JUNE (물량흐름)'!$V$13:$V$502)+SUMIF('JUNE (물량흐름)'!$C$13:$C$502,C126,'JUNE (물량흐름)'!$U$13:$U$502)-SUMIF('JUNE (물량흐름)'!$C$13:$C$502,C126,'JUNE (물량흐름)'!$Y$13:$Y$502)</f>
        <v>0</v>
      </c>
      <c r="Q126" s="6">
        <f t="shared" si="20"/>
        <v>0</v>
      </c>
      <c r="R126" s="6">
        <f>IF(ISERROR(VLOOKUP(#REF!,'WIP(재공품)'!$B$12:$AB$38,13,0)),0,VLOOKUP(#REF!,'WIP(재공품)'!$B$12:$AB$38,13,0))</f>
        <v>0</v>
      </c>
      <c r="S126" s="6">
        <f>IF(ISERROR(VLOOKUP(#REF!,'WIP(재공품)'!$B$12:$AB$38,10,0)),0,VLOOKUP(#REF!,'WIP(재공품)'!$B$12:$AB$38,10,0))</f>
        <v>0</v>
      </c>
      <c r="T126" s="6">
        <f>SUMIF('JUNE (물량흐름)'!$C$13:$C$502,'Overhead exp(제조경비)'!C126,'JUNE (물량흐름)'!$Y$13:$Y$502)</f>
        <v>0</v>
      </c>
      <c r="U126" s="6">
        <f t="shared" si="21"/>
        <v>0</v>
      </c>
      <c r="V126" s="6">
        <f>ROUND(SUMIF('JUNE (물량흐름)'!$C$13:$C$502,'Overhead exp(제조경비)'!C126,'JUNE (물량흐름)'!$N$13:$N$502),0)</f>
        <v>0</v>
      </c>
      <c r="W126" s="6">
        <f>ROUND(SUMIF('JUNE (물량흐름)'!$C$13:$C$502,'Overhead exp(제조경비)'!C126,'JUNE (물량흐름)'!$O$13:$O$502),0)</f>
        <v>0</v>
      </c>
      <c r="X126" s="6">
        <f>ROUND(SUMIF('JUNE (물량흐름)'!$C$13:$C$502,'Overhead exp(제조경비)'!C126,'JUNE (물량흐름)'!$P$13:$P$502),0)</f>
        <v>1236</v>
      </c>
      <c r="Y126" s="6">
        <f t="shared" si="22"/>
        <v>1236</v>
      </c>
      <c r="Z126" s="6">
        <f t="shared" si="23"/>
        <v>989</v>
      </c>
      <c r="AA126" s="6">
        <f t="shared" si="24"/>
        <v>27351511</v>
      </c>
      <c r="AB126" s="391">
        <f t="shared" si="25"/>
        <v>0</v>
      </c>
      <c r="AC126" s="391">
        <f t="shared" si="26"/>
        <v>0</v>
      </c>
      <c r="AE126" s="393"/>
    </row>
    <row r="127" spans="1:31" s="390" customFormat="1" ht="24" customHeight="1">
      <c r="A127" s="167">
        <v>116</v>
      </c>
      <c r="B127" s="20" t="str">
        <f>IFERROR(VLOOKUP(A127,'JUNE (물량흐름)'!$A$13:$C$502,2,0),0)</f>
        <v>ALFANI</v>
      </c>
      <c r="C127" s="272">
        <f>VLOOKUP(A127,'JUNE (물량흐름)'!$A$13:$C$502,3,0)</f>
        <v>100003498</v>
      </c>
      <c r="D127" s="6">
        <f>VLOOKUP(C127,'WIP(재공품)'!$B$12:$E$493,4,0)</f>
        <v>8163</v>
      </c>
      <c r="E127" s="6">
        <f>IFERROR(VLOOKUP(C127,O.B.JUNE!$AI$7:$AJ$448,2,0),0)</f>
        <v>0</v>
      </c>
      <c r="F127" s="6">
        <f>IFERROR(VLOOKUP(C127,O.B.JUNE!$AI$7:$AK$448,3,0),0)</f>
        <v>0</v>
      </c>
      <c r="G127" s="6">
        <f>IFERROR(VLOOKUP(C127,O.B.JUNE!$AI$7:$AL$448,4,0),0)</f>
        <v>344</v>
      </c>
      <c r="H127" s="6">
        <f t="shared" si="17"/>
        <v>344</v>
      </c>
      <c r="I127" s="6">
        <f>IFERROR(VLOOKUP(C127,O.B.JUNE!$AI$7:$AN$448,6,0),0)</f>
        <v>275</v>
      </c>
      <c r="J127" s="6"/>
      <c r="K127" s="6">
        <f>IFERROR(VLOOKUP(C127,O.B.JUNE!$AI$7:$AO$448,7,0),0)</f>
        <v>6862338</v>
      </c>
      <c r="L127" s="6">
        <f>SUMIF('JUNE (물량흐름)'!$C$13:$C$488,'Overhead exp(제조경비)'!C127,'JUNE (물량흐름)'!$H$13:$H$493)+SUMIF('JUNE (물량흐름)'!$C$13:$C$493,'Overhead exp(제조경비)'!C127,'JUNE (물량흐름)'!$V$13:$V$493)</f>
        <v>0</v>
      </c>
      <c r="M127" s="6">
        <f t="shared" si="18"/>
        <v>0</v>
      </c>
      <c r="N127" s="6">
        <f t="shared" si="19"/>
        <v>0</v>
      </c>
      <c r="O127" s="6">
        <f t="shared" ref="O127:O158" si="31">ROUND(M127*D127*$O$493/$N$493,0)</f>
        <v>0</v>
      </c>
      <c r="P127" s="6">
        <f>SUMIF('JUNE (물량흐름)'!$C$13:$C$502,C127,'JUNE (물량흐름)'!$T$13:$T$502)+SUMIF('JUNE (물량흐름)'!$C$13:$C$502,C127,'JUNE (물량흐름)'!$V$13:$V$502)+SUMIF('JUNE (물량흐름)'!$C$13:$C$502,C127,'JUNE (물량흐름)'!$U$13:$U$502)-SUMIF('JUNE (물량흐름)'!$C$13:$C$502,C127,'JUNE (물량흐름)'!$Y$13:$Y$502)</f>
        <v>0</v>
      </c>
      <c r="Q127" s="6">
        <f t="shared" si="20"/>
        <v>0</v>
      </c>
      <c r="R127" s="6">
        <f>IF(ISERROR(VLOOKUP(#REF!,'WIP(재공품)'!$B$12:$AB$38,13,0)),0,VLOOKUP(#REF!,'WIP(재공품)'!$B$12:$AB$38,13,0))</f>
        <v>0</v>
      </c>
      <c r="S127" s="6">
        <f>IF(ISERROR(VLOOKUP(#REF!,'WIP(재공품)'!$B$12:$AB$38,10,0)),0,VLOOKUP(#REF!,'WIP(재공품)'!$B$12:$AB$38,10,0))</f>
        <v>0</v>
      </c>
      <c r="T127" s="6">
        <f>SUMIF('JUNE (물량흐름)'!$C$13:$C$502,'Overhead exp(제조경비)'!C127,'JUNE (물량흐름)'!$Y$13:$Y$502)</f>
        <v>0</v>
      </c>
      <c r="U127" s="6">
        <f t="shared" si="21"/>
        <v>0</v>
      </c>
      <c r="V127" s="6">
        <f>ROUND(SUMIF('JUNE (물량흐름)'!$C$13:$C$502,'Overhead exp(제조경비)'!C127,'JUNE (물량흐름)'!$N$13:$N$502),0)</f>
        <v>0</v>
      </c>
      <c r="W127" s="6">
        <f>ROUND(SUMIF('JUNE (물량흐름)'!$C$13:$C$502,'Overhead exp(제조경비)'!C127,'JUNE (물량흐름)'!$O$13:$O$502),0)</f>
        <v>0</v>
      </c>
      <c r="X127" s="6">
        <f>ROUND(SUMIF('JUNE (물량흐름)'!$C$13:$C$502,'Overhead exp(제조경비)'!C127,'JUNE (물량흐름)'!$P$13:$P$502),0)</f>
        <v>344</v>
      </c>
      <c r="Y127" s="6">
        <f t="shared" si="22"/>
        <v>344</v>
      </c>
      <c r="Z127" s="6">
        <f t="shared" si="23"/>
        <v>275</v>
      </c>
      <c r="AA127" s="6">
        <f t="shared" si="24"/>
        <v>6862338</v>
      </c>
      <c r="AB127" s="391">
        <f t="shared" si="25"/>
        <v>0</v>
      </c>
      <c r="AC127" s="391">
        <f t="shared" si="26"/>
        <v>0</v>
      </c>
      <c r="AE127" s="393"/>
    </row>
    <row r="128" spans="1:31" s="390" customFormat="1" ht="24" customHeight="1">
      <c r="A128" s="167">
        <v>117</v>
      </c>
      <c r="B128" s="20" t="str">
        <f>IFERROR(VLOOKUP(A128,'JUNE (물량흐름)'!$A$13:$C$502,2,0),0)</f>
        <v>ALFANI</v>
      </c>
      <c r="C128" s="272">
        <f>VLOOKUP(A128,'JUNE (물량흐름)'!$A$13:$C$502,3,0)</f>
        <v>100003560</v>
      </c>
      <c r="D128" s="6">
        <f>VLOOKUP(C128,'WIP(재공품)'!$B$12:$E$493,4,0)</f>
        <v>7936.2499999999991</v>
      </c>
      <c r="E128" s="6">
        <f>IFERROR(VLOOKUP(C128,O.B.JUNE!$AI$7:$AJ$448,2,0),0)</f>
        <v>0</v>
      </c>
      <c r="F128" s="6">
        <f>IFERROR(VLOOKUP(C128,O.B.JUNE!$AI$7:$AK$448,3,0),0)</f>
        <v>0</v>
      </c>
      <c r="G128" s="6">
        <f>IFERROR(VLOOKUP(C128,O.B.JUNE!$AI$7:$AL$448,4,0),0)</f>
        <v>66</v>
      </c>
      <c r="H128" s="6">
        <f t="shared" si="17"/>
        <v>66</v>
      </c>
      <c r="I128" s="6">
        <f>IFERROR(VLOOKUP(C128,O.B.JUNE!$AI$7:$AN$448,6,0),0)</f>
        <v>53</v>
      </c>
      <c r="J128" s="6"/>
      <c r="K128" s="6">
        <f>IFERROR(VLOOKUP(C128,O.B.JUNE!$AI$7:$AO$448,7,0),0)</f>
        <v>785392</v>
      </c>
      <c r="L128" s="6">
        <f>SUMIF('JUNE (물량흐름)'!$C$13:$C$488,'Overhead exp(제조경비)'!C128,'JUNE (물량흐름)'!$H$13:$H$493)+SUMIF('JUNE (물량흐름)'!$C$13:$C$493,'Overhead exp(제조경비)'!C128,'JUNE (물량흐름)'!$V$13:$V$493)</f>
        <v>0</v>
      </c>
      <c r="M128" s="6">
        <f t="shared" si="18"/>
        <v>0</v>
      </c>
      <c r="N128" s="6">
        <f t="shared" si="19"/>
        <v>0</v>
      </c>
      <c r="O128" s="6">
        <f t="shared" si="31"/>
        <v>0</v>
      </c>
      <c r="P128" s="6">
        <f>SUMIF('JUNE (물량흐름)'!$C$13:$C$502,C128,'JUNE (물량흐름)'!$T$13:$T$502)+SUMIF('JUNE (물량흐름)'!$C$13:$C$502,C128,'JUNE (물량흐름)'!$V$13:$V$502)+SUMIF('JUNE (물량흐름)'!$C$13:$C$502,C128,'JUNE (물량흐름)'!$U$13:$U$502)-SUMIF('JUNE (물량흐름)'!$C$13:$C$502,C128,'JUNE (물량흐름)'!$Y$13:$Y$502)</f>
        <v>0</v>
      </c>
      <c r="Q128" s="6">
        <f t="shared" si="20"/>
        <v>0</v>
      </c>
      <c r="R128" s="6">
        <f>IF(ISERROR(VLOOKUP(#REF!,'WIP(재공품)'!$B$12:$AB$38,13,0)),0,VLOOKUP(#REF!,'WIP(재공품)'!$B$12:$AB$38,13,0))</f>
        <v>0</v>
      </c>
      <c r="S128" s="6">
        <f>IF(ISERROR(VLOOKUP(#REF!,'WIP(재공품)'!$B$12:$AB$38,10,0)),0,VLOOKUP(#REF!,'WIP(재공품)'!$B$12:$AB$38,10,0))</f>
        <v>0</v>
      </c>
      <c r="T128" s="6">
        <f>SUMIF('JUNE (물량흐름)'!$C$13:$C$502,'Overhead exp(제조경비)'!C128,'JUNE (물량흐름)'!$Y$13:$Y$502)</f>
        <v>0</v>
      </c>
      <c r="U128" s="6">
        <f t="shared" si="21"/>
        <v>0</v>
      </c>
      <c r="V128" s="6">
        <f>ROUND(SUMIF('JUNE (물량흐름)'!$C$13:$C$502,'Overhead exp(제조경비)'!C128,'JUNE (물량흐름)'!$N$13:$N$502),0)</f>
        <v>0</v>
      </c>
      <c r="W128" s="6">
        <f>ROUND(SUMIF('JUNE (물량흐름)'!$C$13:$C$502,'Overhead exp(제조경비)'!C128,'JUNE (물량흐름)'!$O$13:$O$502),0)</f>
        <v>0</v>
      </c>
      <c r="X128" s="6">
        <f>ROUND(SUMIF('JUNE (물량흐름)'!$C$13:$C$502,'Overhead exp(제조경비)'!C128,'JUNE (물량흐름)'!$P$13:$P$502),0)</f>
        <v>66</v>
      </c>
      <c r="Y128" s="6">
        <f t="shared" si="22"/>
        <v>66</v>
      </c>
      <c r="Z128" s="6">
        <f t="shared" si="23"/>
        <v>53</v>
      </c>
      <c r="AA128" s="6">
        <f t="shared" si="24"/>
        <v>785392</v>
      </c>
      <c r="AB128" s="391">
        <f t="shared" si="25"/>
        <v>0</v>
      </c>
      <c r="AC128" s="391">
        <f t="shared" si="26"/>
        <v>0</v>
      </c>
      <c r="AE128" s="393"/>
    </row>
    <row r="129" spans="1:31" s="390" customFormat="1" ht="24" customHeight="1">
      <c r="A129" s="167">
        <v>118</v>
      </c>
      <c r="B129" s="20" t="str">
        <f>IFERROR(VLOOKUP(A129,'JUNE (물량흐름)'!$A$13:$C$502,2,0),0)</f>
        <v>ALFANI</v>
      </c>
      <c r="C129" s="272">
        <f>VLOOKUP(A129,'JUNE (물량흐름)'!$A$13:$C$502,3,0)</f>
        <v>100003581</v>
      </c>
      <c r="D129" s="6">
        <f>VLOOKUP(C129,'WIP(재공품)'!$B$12:$E$493,4,0)</f>
        <v>70292.5</v>
      </c>
      <c r="E129" s="6">
        <f>IFERROR(VLOOKUP(C129,O.B.JUNE!$AI$7:$AJ$448,2,0),0)</f>
        <v>0</v>
      </c>
      <c r="F129" s="6">
        <f>IFERROR(VLOOKUP(C129,O.B.JUNE!$AI$7:$AK$448,3,0),0)</f>
        <v>0</v>
      </c>
      <c r="G129" s="6">
        <f>IFERROR(VLOOKUP(C129,O.B.JUNE!$AI$7:$AL$448,4,0),0)</f>
        <v>223</v>
      </c>
      <c r="H129" s="6">
        <f t="shared" si="17"/>
        <v>223</v>
      </c>
      <c r="I129" s="6">
        <f>IFERROR(VLOOKUP(C129,O.B.JUNE!$AI$7:$AN$448,6,0),0)</f>
        <v>178</v>
      </c>
      <c r="J129" s="6"/>
      <c r="K129" s="6">
        <f>IFERROR(VLOOKUP(C129,O.B.JUNE!$AI$7:$AO$448,7,0),0)</f>
        <v>4806651</v>
      </c>
      <c r="L129" s="6">
        <f>SUMIF('JUNE (물량흐름)'!$C$13:$C$488,'Overhead exp(제조경비)'!C129,'JUNE (물량흐름)'!$H$13:$H$493)+SUMIF('JUNE (물량흐름)'!$C$13:$C$493,'Overhead exp(제조경비)'!C129,'JUNE (물량흐름)'!$V$13:$V$493)</f>
        <v>0</v>
      </c>
      <c r="M129" s="6">
        <f t="shared" si="18"/>
        <v>0</v>
      </c>
      <c r="N129" s="6">
        <f t="shared" si="19"/>
        <v>0</v>
      </c>
      <c r="O129" s="6">
        <f t="shared" si="31"/>
        <v>0</v>
      </c>
      <c r="P129" s="6">
        <f>SUMIF('JUNE (물량흐름)'!$C$13:$C$502,C129,'JUNE (물량흐름)'!$T$13:$T$502)+SUMIF('JUNE (물량흐름)'!$C$13:$C$502,C129,'JUNE (물량흐름)'!$V$13:$V$502)+SUMIF('JUNE (물량흐름)'!$C$13:$C$502,C129,'JUNE (물량흐름)'!$U$13:$U$502)-SUMIF('JUNE (물량흐름)'!$C$13:$C$502,C129,'JUNE (물량흐름)'!$Y$13:$Y$502)</f>
        <v>0</v>
      </c>
      <c r="Q129" s="6">
        <f t="shared" si="20"/>
        <v>0</v>
      </c>
      <c r="R129" s="6">
        <f>IF(ISERROR(VLOOKUP(#REF!,'WIP(재공품)'!$B$12:$AB$38,13,0)),0,VLOOKUP(#REF!,'WIP(재공품)'!$B$12:$AB$38,13,0))</f>
        <v>0</v>
      </c>
      <c r="S129" s="6">
        <f>IF(ISERROR(VLOOKUP(#REF!,'WIP(재공품)'!$B$12:$AB$38,10,0)),0,VLOOKUP(#REF!,'WIP(재공품)'!$B$12:$AB$38,10,0))</f>
        <v>0</v>
      </c>
      <c r="T129" s="6">
        <f>SUMIF('JUNE (물량흐름)'!$C$13:$C$502,'Overhead exp(제조경비)'!C129,'JUNE (물량흐름)'!$Y$13:$Y$502)</f>
        <v>0</v>
      </c>
      <c r="U129" s="6">
        <f t="shared" si="21"/>
        <v>0</v>
      </c>
      <c r="V129" s="6">
        <f>ROUND(SUMIF('JUNE (물량흐름)'!$C$13:$C$502,'Overhead exp(제조경비)'!C129,'JUNE (물량흐름)'!$N$13:$N$502),0)</f>
        <v>0</v>
      </c>
      <c r="W129" s="6">
        <f>ROUND(SUMIF('JUNE (물량흐름)'!$C$13:$C$502,'Overhead exp(제조경비)'!C129,'JUNE (물량흐름)'!$O$13:$O$502),0)</f>
        <v>0</v>
      </c>
      <c r="X129" s="6">
        <f>ROUND(SUMIF('JUNE (물량흐름)'!$C$13:$C$502,'Overhead exp(제조경비)'!C129,'JUNE (물량흐름)'!$P$13:$P$502),0)</f>
        <v>223</v>
      </c>
      <c r="Y129" s="6">
        <f t="shared" si="22"/>
        <v>223</v>
      </c>
      <c r="Z129" s="6">
        <f t="shared" si="23"/>
        <v>178</v>
      </c>
      <c r="AA129" s="6">
        <f t="shared" si="24"/>
        <v>4806651</v>
      </c>
      <c r="AB129" s="391">
        <f t="shared" si="25"/>
        <v>0</v>
      </c>
      <c r="AC129" s="391">
        <f t="shared" si="26"/>
        <v>0</v>
      </c>
      <c r="AE129" s="393"/>
    </row>
    <row r="130" spans="1:31" s="390" customFormat="1" ht="24" customHeight="1">
      <c r="A130" s="167">
        <v>119</v>
      </c>
      <c r="B130" s="20" t="str">
        <f>IFERROR(VLOOKUP(A130,'JUNE (물량흐름)'!$A$13:$C$502,2,0),0)</f>
        <v>ALFANI</v>
      </c>
      <c r="C130" s="272">
        <f>VLOOKUP(A130,'JUNE (물량흐름)'!$A$13:$C$502,3,0)</f>
        <v>100003599</v>
      </c>
      <c r="D130" s="6">
        <f>VLOOKUP(C130,'WIP(재공품)'!$B$12:$E$493,4,0)</f>
        <v>8163</v>
      </c>
      <c r="E130" s="6">
        <f>IFERROR(VLOOKUP(C130,O.B.JUNE!$AI$7:$AJ$448,2,0),0)</f>
        <v>0</v>
      </c>
      <c r="F130" s="6">
        <f>IFERROR(VLOOKUP(C130,O.B.JUNE!$AI$7:$AK$448,3,0),0)</f>
        <v>0</v>
      </c>
      <c r="G130" s="6">
        <f>IFERROR(VLOOKUP(C130,O.B.JUNE!$AI$7:$AL$448,4,0),0)</f>
        <v>92</v>
      </c>
      <c r="H130" s="6">
        <f t="shared" si="17"/>
        <v>92</v>
      </c>
      <c r="I130" s="6">
        <f>IFERROR(VLOOKUP(C130,O.B.JUNE!$AI$7:$AN$448,6,0),0)</f>
        <v>74</v>
      </c>
      <c r="J130" s="6"/>
      <c r="K130" s="6">
        <f>IFERROR(VLOOKUP(C130,O.B.JUNE!$AI$7:$AO$448,7,0),0)</f>
        <v>1644877</v>
      </c>
      <c r="L130" s="6">
        <f>SUMIF('JUNE (물량흐름)'!$C$13:$C$488,'Overhead exp(제조경비)'!C130,'JUNE (물량흐름)'!$H$13:$H$493)+SUMIF('JUNE (물량흐름)'!$C$13:$C$493,'Overhead exp(제조경비)'!C130,'JUNE (물량흐름)'!$V$13:$V$493)</f>
        <v>4614</v>
      </c>
      <c r="M130" s="6">
        <f t="shared" si="18"/>
        <v>4589</v>
      </c>
      <c r="N130" s="6">
        <f t="shared" si="19"/>
        <v>37460007</v>
      </c>
      <c r="O130" s="6">
        <f t="shared" si="31"/>
        <v>22634831</v>
      </c>
      <c r="P130" s="6">
        <f>SUMIF('JUNE (물량흐름)'!$C$13:$C$502,C130,'JUNE (물량흐름)'!$T$13:$T$502)+SUMIF('JUNE (물량흐름)'!$C$13:$C$502,C130,'JUNE (물량흐름)'!$V$13:$V$502)+SUMIF('JUNE (물량흐름)'!$C$13:$C$502,C130,'JUNE (물량흐름)'!$U$13:$U$502)-SUMIF('JUNE (물량흐름)'!$C$13:$C$502,C130,'JUNE (물량흐름)'!$Y$13:$Y$502)</f>
        <v>4602</v>
      </c>
      <c r="Q130" s="6">
        <f t="shared" si="20"/>
        <v>23743140</v>
      </c>
      <c r="R130" s="6">
        <f>IF(ISERROR(VLOOKUP(#REF!,'WIP(재공품)'!$B$12:$AB$38,13,0)),0,VLOOKUP(#REF!,'WIP(재공품)'!$B$12:$AB$38,13,0))</f>
        <v>0</v>
      </c>
      <c r="S130" s="6">
        <f>IF(ISERROR(VLOOKUP(#REF!,'WIP(재공품)'!$B$12:$AB$38,10,0)),0,VLOOKUP(#REF!,'WIP(재공품)'!$B$12:$AB$38,10,0))</f>
        <v>0</v>
      </c>
      <c r="T130" s="6">
        <f>SUMIF('JUNE (물량흐름)'!$C$13:$C$502,'Overhead exp(제조경비)'!C130,'JUNE (물량흐름)'!$Y$13:$Y$502)</f>
        <v>0</v>
      </c>
      <c r="U130" s="6">
        <f t="shared" si="21"/>
        <v>0</v>
      </c>
      <c r="V130" s="6">
        <f>ROUND(SUMIF('JUNE (물량흐름)'!$C$13:$C$502,'Overhead exp(제조경비)'!C130,'JUNE (물량흐름)'!$N$13:$N$502),0)</f>
        <v>0</v>
      </c>
      <c r="W130" s="6">
        <f>ROUND(SUMIF('JUNE (물량흐름)'!$C$13:$C$502,'Overhead exp(제조경비)'!C130,'JUNE (물량흐름)'!$O$13:$O$502),0)</f>
        <v>74</v>
      </c>
      <c r="X130" s="6">
        <f>ROUND(SUMIF('JUNE (물량흐름)'!$C$13:$C$502,'Overhead exp(제조경비)'!C130,'JUNE (물량흐름)'!$P$13:$P$502),0)</f>
        <v>30</v>
      </c>
      <c r="Y130" s="6">
        <f t="shared" si="22"/>
        <v>104</v>
      </c>
      <c r="Z130" s="6">
        <f t="shared" si="23"/>
        <v>61</v>
      </c>
      <c r="AA130" s="6">
        <f t="shared" si="24"/>
        <v>536568</v>
      </c>
      <c r="AB130" s="391">
        <f t="shared" si="25"/>
        <v>0</v>
      </c>
      <c r="AC130" s="391">
        <f t="shared" si="26"/>
        <v>0</v>
      </c>
      <c r="AE130" s="393"/>
    </row>
    <row r="131" spans="1:31" s="390" customFormat="1" ht="24" customHeight="1">
      <c r="A131" s="167">
        <v>120</v>
      </c>
      <c r="B131" s="20" t="str">
        <f>IFERROR(VLOOKUP(A131,'JUNE (물량흐름)'!$A$13:$C$502,2,0),0)</f>
        <v>ALFANI</v>
      </c>
      <c r="C131" s="272">
        <f>VLOOKUP(A131,'JUNE (물량흐름)'!$A$13:$C$502,3,0)</f>
        <v>100016414</v>
      </c>
      <c r="D131" s="6">
        <f>VLOOKUP(C131,'WIP(재공품)'!$B$12:$E$493,4,0)</f>
        <v>7936.2499999999991</v>
      </c>
      <c r="E131" s="6">
        <f>IFERROR(VLOOKUP(C131,O.B.JUNE!$AI$7:$AJ$448,2,0),0)</f>
        <v>0</v>
      </c>
      <c r="F131" s="6">
        <f>IFERROR(VLOOKUP(C131,O.B.JUNE!$AI$7:$AK$448,3,0),0)</f>
        <v>0</v>
      </c>
      <c r="G131" s="6">
        <f>IFERROR(VLOOKUP(C131,O.B.JUNE!$AI$7:$AL$448,4,0),0)</f>
        <v>41</v>
      </c>
      <c r="H131" s="6">
        <f t="shared" si="17"/>
        <v>41</v>
      </c>
      <c r="I131" s="6">
        <f>IFERROR(VLOOKUP(C131,O.B.JUNE!$AI$7:$AN$448,6,0),0)</f>
        <v>33</v>
      </c>
      <c r="J131" s="6"/>
      <c r="K131" s="6">
        <f>IFERROR(VLOOKUP(C131,O.B.JUNE!$AI$7:$AO$448,7,0),0)</f>
        <v>710143</v>
      </c>
      <c r="L131" s="6">
        <f>SUMIF('JUNE (물량흐름)'!$C$13:$C$488,'Overhead exp(제조경비)'!C131,'JUNE (물량흐름)'!$H$13:$H$493)+SUMIF('JUNE (물량흐름)'!$C$13:$C$493,'Overhead exp(제조경비)'!C131,'JUNE (물량흐름)'!$V$13:$V$493)</f>
        <v>0</v>
      </c>
      <c r="M131" s="6">
        <f t="shared" si="18"/>
        <v>0</v>
      </c>
      <c r="N131" s="6">
        <f t="shared" si="19"/>
        <v>0</v>
      </c>
      <c r="O131" s="6">
        <f t="shared" si="31"/>
        <v>0</v>
      </c>
      <c r="P131" s="6">
        <f>SUMIF('JUNE (물량흐름)'!$C$13:$C$502,C131,'JUNE (물량흐름)'!$T$13:$T$502)+SUMIF('JUNE (물량흐름)'!$C$13:$C$502,C131,'JUNE (물량흐름)'!$V$13:$V$502)+SUMIF('JUNE (물량흐름)'!$C$13:$C$502,C131,'JUNE (물량흐름)'!$U$13:$U$502)-SUMIF('JUNE (물량흐름)'!$C$13:$C$502,C131,'JUNE (물량흐름)'!$Y$13:$Y$502)</f>
        <v>0</v>
      </c>
      <c r="Q131" s="6">
        <f t="shared" si="20"/>
        <v>0</v>
      </c>
      <c r="R131" s="6">
        <f>IF(ISERROR(VLOOKUP(#REF!,'WIP(재공품)'!$B$12:$AB$38,13,0)),0,VLOOKUP(#REF!,'WIP(재공품)'!$B$12:$AB$38,13,0))</f>
        <v>0</v>
      </c>
      <c r="S131" s="6">
        <f>IF(ISERROR(VLOOKUP(#REF!,'WIP(재공품)'!$B$12:$AB$38,10,0)),0,VLOOKUP(#REF!,'WIP(재공품)'!$B$12:$AB$38,10,0))</f>
        <v>0</v>
      </c>
      <c r="T131" s="6">
        <f>SUMIF('JUNE (물량흐름)'!$C$13:$C$502,'Overhead exp(제조경비)'!C131,'JUNE (물량흐름)'!$Y$13:$Y$502)</f>
        <v>0</v>
      </c>
      <c r="U131" s="6">
        <f t="shared" si="21"/>
        <v>0</v>
      </c>
      <c r="V131" s="6">
        <f>ROUND(SUMIF('JUNE (물량흐름)'!$C$13:$C$502,'Overhead exp(제조경비)'!C131,'JUNE (물량흐름)'!$N$13:$N$502),0)</f>
        <v>0</v>
      </c>
      <c r="W131" s="6">
        <f>ROUND(SUMIF('JUNE (물량흐름)'!$C$13:$C$502,'Overhead exp(제조경비)'!C131,'JUNE (물량흐름)'!$O$13:$O$502),0)</f>
        <v>0</v>
      </c>
      <c r="X131" s="6">
        <f>ROUND(SUMIF('JUNE (물량흐름)'!$C$13:$C$502,'Overhead exp(제조경비)'!C131,'JUNE (물량흐름)'!$P$13:$P$502),0)</f>
        <v>41</v>
      </c>
      <c r="Y131" s="6">
        <f t="shared" si="22"/>
        <v>41</v>
      </c>
      <c r="Z131" s="6">
        <f t="shared" si="23"/>
        <v>33</v>
      </c>
      <c r="AA131" s="6">
        <f t="shared" si="24"/>
        <v>710143</v>
      </c>
      <c r="AB131" s="391">
        <f t="shared" si="25"/>
        <v>0</v>
      </c>
      <c r="AC131" s="391">
        <f t="shared" si="26"/>
        <v>0</v>
      </c>
      <c r="AE131" s="393"/>
    </row>
    <row r="132" spans="1:31" s="390" customFormat="1" ht="24" customHeight="1">
      <c r="A132" s="167">
        <v>121</v>
      </c>
      <c r="B132" s="20" t="str">
        <f>IFERROR(VLOOKUP(A132,'JUNE (물량흐름)'!$A$13:$C$502,2,0),0)</f>
        <v>ALFANI</v>
      </c>
      <c r="C132" s="272">
        <f>VLOOKUP(A132,'JUNE (물량흐름)'!$A$13:$C$502,3,0)</f>
        <v>69216</v>
      </c>
      <c r="D132" s="6">
        <f>VLOOKUP(C132,'WIP(재공품)'!$B$12:$E$493,4,0)</f>
        <v>7936.2499999999991</v>
      </c>
      <c r="E132" s="6">
        <f>IFERROR(VLOOKUP(C132,O.B.JUNE!$AI$7:$AJ$448,2,0),0)</f>
        <v>0</v>
      </c>
      <c r="F132" s="6">
        <f>IFERROR(VLOOKUP(C132,O.B.JUNE!$AI$7:$AK$448,3,0),0)</f>
        <v>0</v>
      </c>
      <c r="G132" s="6">
        <f>IFERROR(VLOOKUP(C132,O.B.JUNE!$AI$7:$AL$448,4,0),0)</f>
        <v>302</v>
      </c>
      <c r="H132" s="6">
        <f t="shared" si="17"/>
        <v>302</v>
      </c>
      <c r="I132" s="6">
        <f>IFERROR(VLOOKUP(C132,O.B.JUNE!$AI$7:$AN$448,6,0),0)</f>
        <v>242</v>
      </c>
      <c r="J132" s="6"/>
      <c r="K132" s="6">
        <f>IFERROR(VLOOKUP(C132,O.B.JUNE!$AI$7:$AO$448,7,0),0)</f>
        <v>2202179</v>
      </c>
      <c r="L132" s="6">
        <f>SUMIF('JUNE (물량흐름)'!$C$13:$C$488,'Overhead exp(제조경비)'!C132,'JUNE (물량흐름)'!$H$13:$H$493)+SUMIF('JUNE (물량흐름)'!$C$13:$C$493,'Overhead exp(제조경비)'!C132,'JUNE (물량흐름)'!$V$13:$V$493)</f>
        <v>0</v>
      </c>
      <c r="M132" s="6">
        <f t="shared" si="18"/>
        <v>0</v>
      </c>
      <c r="N132" s="6">
        <f t="shared" si="19"/>
        <v>0</v>
      </c>
      <c r="O132" s="6">
        <f t="shared" si="31"/>
        <v>0</v>
      </c>
      <c r="P132" s="6">
        <f>SUMIF('JUNE (물량흐름)'!$C$13:$C$502,C132,'JUNE (물량흐름)'!$T$13:$T$502)+SUMIF('JUNE (물량흐름)'!$C$13:$C$502,C132,'JUNE (물량흐름)'!$V$13:$V$502)+SUMIF('JUNE (물량흐름)'!$C$13:$C$502,C132,'JUNE (물량흐름)'!$U$13:$U$502)-SUMIF('JUNE (물량흐름)'!$C$13:$C$502,C132,'JUNE (물량흐름)'!$Y$13:$Y$502)</f>
        <v>302</v>
      </c>
      <c r="Q132" s="6">
        <f t="shared" si="20"/>
        <v>2202179</v>
      </c>
      <c r="R132" s="6">
        <f>IF(ISERROR(VLOOKUP(#REF!,'WIP(재공품)'!$B$12:$AB$38,13,0)),0,VLOOKUP(#REF!,'WIP(재공품)'!$B$12:$AB$38,13,0))</f>
        <v>0</v>
      </c>
      <c r="S132" s="6">
        <f>IF(ISERROR(VLOOKUP(#REF!,'WIP(재공품)'!$B$12:$AB$38,10,0)),0,VLOOKUP(#REF!,'WIP(재공품)'!$B$12:$AB$38,10,0))</f>
        <v>0</v>
      </c>
      <c r="T132" s="6">
        <f>SUMIF('JUNE (물량흐름)'!$C$13:$C$502,'Overhead exp(제조경비)'!C132,'JUNE (물량흐름)'!$Y$13:$Y$502)</f>
        <v>0</v>
      </c>
      <c r="U132" s="6">
        <f t="shared" si="21"/>
        <v>0</v>
      </c>
      <c r="V132" s="6">
        <f>ROUND(SUMIF('JUNE (물량흐름)'!$C$13:$C$502,'Overhead exp(제조경비)'!C132,'JUNE (물량흐름)'!$N$13:$N$502),0)</f>
        <v>0</v>
      </c>
      <c r="W132" s="6">
        <f>ROUND(SUMIF('JUNE (물량흐름)'!$C$13:$C$502,'Overhead exp(제조경비)'!C132,'JUNE (물량흐름)'!$O$13:$O$502),0)</f>
        <v>0</v>
      </c>
      <c r="X132" s="6">
        <f>ROUND(SUMIF('JUNE (물량흐름)'!$C$13:$C$502,'Overhead exp(제조경비)'!C132,'JUNE (물량흐름)'!$P$13:$P$502),0)</f>
        <v>0</v>
      </c>
      <c r="Y132" s="6">
        <f t="shared" si="22"/>
        <v>0</v>
      </c>
      <c r="Z132" s="6">
        <f t="shared" si="23"/>
        <v>0</v>
      </c>
      <c r="AA132" s="6">
        <f t="shared" si="24"/>
        <v>0</v>
      </c>
      <c r="AB132" s="391">
        <f t="shared" si="25"/>
        <v>0</v>
      </c>
      <c r="AC132" s="391">
        <f t="shared" si="26"/>
        <v>0</v>
      </c>
      <c r="AE132" s="393"/>
    </row>
    <row r="133" spans="1:31" s="390" customFormat="1" ht="24" customHeight="1">
      <c r="A133" s="167">
        <v>123</v>
      </c>
      <c r="B133" s="20" t="str">
        <f>IFERROR(VLOOKUP(A133,'JUNE (물량흐름)'!$A$13:$C$502,2,0),0)</f>
        <v>ANN TAYLOR</v>
      </c>
      <c r="C133" s="272">
        <f>VLOOKUP(A133,'JUNE (물량흐름)'!$A$13:$C$502,3,0)</f>
        <v>451230</v>
      </c>
      <c r="D133" s="6">
        <f>VLOOKUP(C133,'WIP(재공품)'!$B$12:$E$493,4,0)</f>
        <v>7936.2499999999991</v>
      </c>
      <c r="E133" s="6">
        <f>IFERROR(VLOOKUP(C133,O.B.JUNE!$AI$7:$AJ$448,2,0),0)</f>
        <v>0</v>
      </c>
      <c r="F133" s="6">
        <f>IFERROR(VLOOKUP(C133,O.B.JUNE!$AI$7:$AK$448,3,0),0)</f>
        <v>0</v>
      </c>
      <c r="G133" s="6">
        <f>IFERROR(VLOOKUP(C133,O.B.JUNE!$AI$7:$AL$448,4,0),0)</f>
        <v>866</v>
      </c>
      <c r="H133" s="6">
        <f t="shared" si="17"/>
        <v>866</v>
      </c>
      <c r="I133" s="6">
        <f>IFERROR(VLOOKUP(C133,O.B.JUNE!$AI$7:$AN$448,6,0),0)</f>
        <v>693</v>
      </c>
      <c r="J133" s="6"/>
      <c r="K133" s="6">
        <f>IFERROR(VLOOKUP(C133,O.B.JUNE!$AI$7:$AO$448,7,0),0)</f>
        <v>4029501</v>
      </c>
      <c r="L133" s="6">
        <f>SUMIF('JUNE (물량흐름)'!$C$13:$C$488,'Overhead exp(제조경비)'!C133,'JUNE (물량흐름)'!$H$13:$H$493)+SUMIF('JUNE (물량흐름)'!$C$13:$C$493,'Overhead exp(제조경비)'!C133,'JUNE (물량흐름)'!$V$13:$V$493)</f>
        <v>0</v>
      </c>
      <c r="M133" s="6">
        <f t="shared" si="18"/>
        <v>0</v>
      </c>
      <c r="N133" s="6">
        <f t="shared" si="19"/>
        <v>0</v>
      </c>
      <c r="O133" s="6">
        <f t="shared" si="31"/>
        <v>0</v>
      </c>
      <c r="P133" s="6">
        <f>SUMIF('JUNE (물량흐름)'!$C$13:$C$502,C133,'JUNE (물량흐름)'!$T$13:$T$502)+SUMIF('JUNE (물량흐름)'!$C$13:$C$502,C133,'JUNE (물량흐름)'!$V$13:$V$502)+SUMIF('JUNE (물량흐름)'!$C$13:$C$502,C133,'JUNE (물량흐름)'!$U$13:$U$502)-SUMIF('JUNE (물량흐름)'!$C$13:$C$502,C133,'JUNE (물량흐름)'!$Y$13:$Y$502)</f>
        <v>866</v>
      </c>
      <c r="Q133" s="6">
        <f t="shared" si="20"/>
        <v>4029501</v>
      </c>
      <c r="R133" s="6">
        <f>IF(ISERROR(VLOOKUP(#REF!,'WIP(재공품)'!$B$12:$AB$38,13,0)),0,VLOOKUP(#REF!,'WIP(재공품)'!$B$12:$AB$38,13,0))</f>
        <v>0</v>
      </c>
      <c r="S133" s="6">
        <f>IF(ISERROR(VLOOKUP(#REF!,'WIP(재공품)'!$B$12:$AB$38,10,0)),0,VLOOKUP(#REF!,'WIP(재공품)'!$B$12:$AB$38,10,0))</f>
        <v>0</v>
      </c>
      <c r="T133" s="6">
        <f>SUMIF('JUNE (물량흐름)'!$C$13:$C$502,'Overhead exp(제조경비)'!C133,'JUNE (물량흐름)'!$Y$13:$Y$502)</f>
        <v>0</v>
      </c>
      <c r="U133" s="6">
        <f t="shared" si="21"/>
        <v>0</v>
      </c>
      <c r="V133" s="6">
        <f>ROUND(SUMIF('JUNE (물량흐름)'!$C$13:$C$502,'Overhead exp(제조경비)'!C133,'JUNE (물량흐름)'!$N$13:$N$502),0)</f>
        <v>0</v>
      </c>
      <c r="W133" s="6">
        <f>ROUND(SUMIF('JUNE (물량흐름)'!$C$13:$C$502,'Overhead exp(제조경비)'!C133,'JUNE (물량흐름)'!$O$13:$O$502),0)</f>
        <v>0</v>
      </c>
      <c r="X133" s="6">
        <f>ROUND(SUMIF('JUNE (물량흐름)'!$C$13:$C$502,'Overhead exp(제조경비)'!C133,'JUNE (물량흐름)'!$P$13:$P$502),0)</f>
        <v>0</v>
      </c>
      <c r="Y133" s="6">
        <f t="shared" si="22"/>
        <v>0</v>
      </c>
      <c r="Z133" s="6">
        <f t="shared" si="23"/>
        <v>0</v>
      </c>
      <c r="AA133" s="6">
        <f t="shared" si="24"/>
        <v>0</v>
      </c>
      <c r="AB133" s="391">
        <f t="shared" si="25"/>
        <v>0</v>
      </c>
      <c r="AC133" s="391">
        <f t="shared" si="26"/>
        <v>0</v>
      </c>
      <c r="AE133" s="393"/>
    </row>
    <row r="134" spans="1:31" s="390" customFormat="1" ht="24" customHeight="1">
      <c r="A134" s="167">
        <v>124</v>
      </c>
      <c r="B134" s="20" t="str">
        <f>IFERROR(VLOOKUP(A134,'JUNE (물량흐름)'!$A$13:$C$502,2,0),0)</f>
        <v>ANN TAYLOR</v>
      </c>
      <c r="C134" s="272">
        <f>VLOOKUP(A134,'JUNE (물량흐름)'!$A$13:$C$502,3,0)</f>
        <v>451311</v>
      </c>
      <c r="D134" s="6">
        <f>VLOOKUP(C134,'WIP(재공품)'!$B$12:$E$493,4,0)</f>
        <v>8163</v>
      </c>
      <c r="E134" s="6">
        <f>IFERROR(VLOOKUP(C134,O.B.JUNE!$AI$7:$AJ$448,2,0),0)</f>
        <v>0</v>
      </c>
      <c r="F134" s="6">
        <f>IFERROR(VLOOKUP(C134,O.B.JUNE!$AI$7:$AK$448,3,0),0)</f>
        <v>0</v>
      </c>
      <c r="G134" s="6">
        <f>IFERROR(VLOOKUP(C134,O.B.JUNE!$AI$7:$AL$448,4,0),0)</f>
        <v>292</v>
      </c>
      <c r="H134" s="6">
        <f t="shared" si="17"/>
        <v>292</v>
      </c>
      <c r="I134" s="6">
        <f>IFERROR(VLOOKUP(C134,O.B.JUNE!$AI$7:$AN$448,6,0),0)</f>
        <v>234</v>
      </c>
      <c r="J134" s="6"/>
      <c r="K134" s="6">
        <f>IFERROR(VLOOKUP(C134,O.B.JUNE!$AI$7:$AO$448,7,0),0)</f>
        <v>1506007</v>
      </c>
      <c r="L134" s="6">
        <f>SUMIF('JUNE (물량흐름)'!$C$13:$C$488,'Overhead exp(제조경비)'!C134,'JUNE (물량흐름)'!$H$13:$H$493)+SUMIF('JUNE (물량흐름)'!$C$13:$C$493,'Overhead exp(제조경비)'!C134,'JUNE (물량흐름)'!$V$13:$V$493)</f>
        <v>0</v>
      </c>
      <c r="M134" s="6">
        <f t="shared" si="18"/>
        <v>0</v>
      </c>
      <c r="N134" s="6">
        <f t="shared" si="19"/>
        <v>0</v>
      </c>
      <c r="O134" s="6">
        <f t="shared" si="31"/>
        <v>0</v>
      </c>
      <c r="P134" s="6">
        <f>SUMIF('JUNE (물량흐름)'!$C$13:$C$502,C134,'JUNE (물량흐름)'!$T$13:$T$502)+SUMIF('JUNE (물량흐름)'!$C$13:$C$502,C134,'JUNE (물량흐름)'!$V$13:$V$502)+SUMIF('JUNE (물량흐름)'!$C$13:$C$502,C134,'JUNE (물량흐름)'!$U$13:$U$502)-SUMIF('JUNE (물량흐름)'!$C$13:$C$502,C134,'JUNE (물량흐름)'!$Y$13:$Y$502)</f>
        <v>292</v>
      </c>
      <c r="Q134" s="6">
        <f t="shared" si="20"/>
        <v>1506007</v>
      </c>
      <c r="R134" s="6">
        <f>IF(ISERROR(VLOOKUP(#REF!,'WIP(재공품)'!$B$12:$AB$38,13,0)),0,VLOOKUP(#REF!,'WIP(재공품)'!$B$12:$AB$38,13,0))</f>
        <v>0</v>
      </c>
      <c r="S134" s="6">
        <f>IF(ISERROR(VLOOKUP(#REF!,'WIP(재공품)'!$B$12:$AB$38,10,0)),0,VLOOKUP(#REF!,'WIP(재공품)'!$B$12:$AB$38,10,0))</f>
        <v>0</v>
      </c>
      <c r="T134" s="6">
        <f>SUMIF('JUNE (물량흐름)'!$C$13:$C$502,'Overhead exp(제조경비)'!C134,'JUNE (물량흐름)'!$Y$13:$Y$502)</f>
        <v>0</v>
      </c>
      <c r="U134" s="6">
        <f t="shared" si="21"/>
        <v>0</v>
      </c>
      <c r="V134" s="6">
        <f>ROUND(SUMIF('JUNE (물량흐름)'!$C$13:$C$502,'Overhead exp(제조경비)'!C134,'JUNE (물량흐름)'!$N$13:$N$502),0)</f>
        <v>0</v>
      </c>
      <c r="W134" s="6">
        <f>ROUND(SUMIF('JUNE (물량흐름)'!$C$13:$C$502,'Overhead exp(제조경비)'!C134,'JUNE (물량흐름)'!$O$13:$O$502),0)</f>
        <v>0</v>
      </c>
      <c r="X134" s="6">
        <f>ROUND(SUMIF('JUNE (물량흐름)'!$C$13:$C$502,'Overhead exp(제조경비)'!C134,'JUNE (물량흐름)'!$P$13:$P$502),0)</f>
        <v>0</v>
      </c>
      <c r="Y134" s="6">
        <f t="shared" si="22"/>
        <v>0</v>
      </c>
      <c r="Z134" s="6">
        <f t="shared" si="23"/>
        <v>0</v>
      </c>
      <c r="AA134" s="6">
        <f t="shared" si="24"/>
        <v>0</v>
      </c>
      <c r="AB134" s="391">
        <f t="shared" si="25"/>
        <v>0</v>
      </c>
      <c r="AC134" s="391">
        <f t="shared" si="26"/>
        <v>0</v>
      </c>
      <c r="AE134" s="393"/>
    </row>
    <row r="135" spans="1:31" s="390" customFormat="1" ht="24" customHeight="1">
      <c r="A135" s="167">
        <v>125</v>
      </c>
      <c r="B135" s="20" t="str">
        <f>IFERROR(VLOOKUP(A135,'JUNE (물량흐름)'!$A$13:$C$502,2,0),0)</f>
        <v>ANN TAYLOR</v>
      </c>
      <c r="C135" s="272">
        <f>VLOOKUP(A135,'JUNE (물량흐름)'!$A$13:$C$502,3,0)</f>
        <v>451365</v>
      </c>
      <c r="D135" s="6">
        <f>VLOOKUP(C135,'WIP(재공품)'!$B$12:$E$493,4,0)</f>
        <v>7936.2499999999991</v>
      </c>
      <c r="E135" s="6">
        <f>IFERROR(VLOOKUP(C135,O.B.JUNE!$AI$7:$AJ$448,2,0),0)</f>
        <v>0</v>
      </c>
      <c r="F135" s="6">
        <f>IFERROR(VLOOKUP(C135,O.B.JUNE!$AI$7:$AK$448,3,0),0)</f>
        <v>0</v>
      </c>
      <c r="G135" s="6">
        <f>IFERROR(VLOOKUP(C135,O.B.JUNE!$AI$7:$AL$448,4,0),0)</f>
        <v>386</v>
      </c>
      <c r="H135" s="6">
        <f t="shared" si="17"/>
        <v>386</v>
      </c>
      <c r="I135" s="6">
        <f>IFERROR(VLOOKUP(C135,O.B.JUNE!$AI$7:$AN$448,6,0),0)</f>
        <v>309</v>
      </c>
      <c r="J135" s="6"/>
      <c r="K135" s="6">
        <f>IFERROR(VLOOKUP(C135,O.B.JUNE!$AI$7:$AO$448,7,0),0)</f>
        <v>2115152</v>
      </c>
      <c r="L135" s="6">
        <f>SUMIF('JUNE (물량흐름)'!$C$13:$C$488,'Overhead exp(제조경비)'!C135,'JUNE (물량흐름)'!$H$13:$H$493)+SUMIF('JUNE (물량흐름)'!$C$13:$C$493,'Overhead exp(제조경비)'!C135,'JUNE (물량흐름)'!$V$13:$V$493)</f>
        <v>0</v>
      </c>
      <c r="M135" s="6">
        <f t="shared" si="18"/>
        <v>0</v>
      </c>
      <c r="N135" s="6">
        <f t="shared" si="19"/>
        <v>0</v>
      </c>
      <c r="O135" s="6">
        <f t="shared" si="31"/>
        <v>0</v>
      </c>
      <c r="P135" s="6">
        <f>SUMIF('JUNE (물량흐름)'!$C$13:$C$502,C135,'JUNE (물량흐름)'!$T$13:$T$502)+SUMIF('JUNE (물량흐름)'!$C$13:$C$502,C135,'JUNE (물량흐름)'!$V$13:$V$502)+SUMIF('JUNE (물량흐름)'!$C$13:$C$502,C135,'JUNE (물량흐름)'!$U$13:$U$502)-SUMIF('JUNE (물량흐름)'!$C$13:$C$502,C135,'JUNE (물량흐름)'!$Y$13:$Y$502)</f>
        <v>386</v>
      </c>
      <c r="Q135" s="6">
        <f t="shared" si="20"/>
        <v>2115152</v>
      </c>
      <c r="R135" s="6">
        <f>IF(ISERROR(VLOOKUP(#REF!,'WIP(재공품)'!$B$12:$AB$38,13,0)),0,VLOOKUP(#REF!,'WIP(재공품)'!$B$12:$AB$38,13,0))</f>
        <v>0</v>
      </c>
      <c r="S135" s="6">
        <f>IF(ISERROR(VLOOKUP(#REF!,'WIP(재공품)'!$B$12:$AB$38,10,0)),0,VLOOKUP(#REF!,'WIP(재공품)'!$B$12:$AB$38,10,0))</f>
        <v>0</v>
      </c>
      <c r="T135" s="6">
        <f>SUMIF('JUNE (물량흐름)'!$C$13:$C$502,'Overhead exp(제조경비)'!C135,'JUNE (물량흐름)'!$Y$13:$Y$502)</f>
        <v>0</v>
      </c>
      <c r="U135" s="6">
        <f t="shared" si="21"/>
        <v>0</v>
      </c>
      <c r="V135" s="6">
        <f>ROUND(SUMIF('JUNE (물량흐름)'!$C$13:$C$502,'Overhead exp(제조경비)'!C135,'JUNE (물량흐름)'!$N$13:$N$502),0)</f>
        <v>0</v>
      </c>
      <c r="W135" s="6">
        <f>ROUND(SUMIF('JUNE (물량흐름)'!$C$13:$C$502,'Overhead exp(제조경비)'!C135,'JUNE (물량흐름)'!$O$13:$O$502),0)</f>
        <v>0</v>
      </c>
      <c r="X135" s="6">
        <f>ROUND(SUMIF('JUNE (물량흐름)'!$C$13:$C$502,'Overhead exp(제조경비)'!C135,'JUNE (물량흐름)'!$P$13:$P$502),0)</f>
        <v>0</v>
      </c>
      <c r="Y135" s="6">
        <f t="shared" si="22"/>
        <v>0</v>
      </c>
      <c r="Z135" s="6">
        <f t="shared" si="23"/>
        <v>0</v>
      </c>
      <c r="AA135" s="6">
        <f t="shared" si="24"/>
        <v>0</v>
      </c>
      <c r="AB135" s="391">
        <f t="shared" si="25"/>
        <v>0</v>
      </c>
      <c r="AC135" s="391">
        <f t="shared" si="26"/>
        <v>0</v>
      </c>
      <c r="AE135" s="393"/>
    </row>
    <row r="136" spans="1:31" s="390" customFormat="1" ht="24" customHeight="1">
      <c r="A136" s="167">
        <v>126</v>
      </c>
      <c r="B136" s="20" t="str">
        <f>IFERROR(VLOOKUP(A136,'JUNE (물량흐름)'!$A$13:$C$502,2,0),0)</f>
        <v>ANN TAYLOR</v>
      </c>
      <c r="C136" s="272">
        <f>VLOOKUP(A136,'JUNE (물량흐름)'!$A$13:$C$502,3,0)</f>
        <v>453089</v>
      </c>
      <c r="D136" s="6">
        <f>VLOOKUP(C136,'WIP(재공품)'!$B$12:$E$493,4,0)</f>
        <v>7936.2499999999991</v>
      </c>
      <c r="E136" s="6">
        <f>IFERROR(VLOOKUP(C136,O.B.JUNE!$AI$7:$AJ$448,2,0),0)</f>
        <v>0</v>
      </c>
      <c r="F136" s="6">
        <f>IFERROR(VLOOKUP(C136,O.B.JUNE!$AI$7:$AK$448,3,0),0)</f>
        <v>0</v>
      </c>
      <c r="G136" s="6">
        <f>IFERROR(VLOOKUP(C136,O.B.JUNE!$AI$7:$AL$448,4,0),0)</f>
        <v>323</v>
      </c>
      <c r="H136" s="6">
        <f t="shared" si="17"/>
        <v>323</v>
      </c>
      <c r="I136" s="6">
        <f>IFERROR(VLOOKUP(C136,O.B.JUNE!$AI$7:$AN$448,6,0),0)</f>
        <v>258</v>
      </c>
      <c r="J136" s="6"/>
      <c r="K136" s="6">
        <f>IFERROR(VLOOKUP(C136,O.B.JUNE!$AI$7:$AO$448,7,0),0)</f>
        <v>1975584</v>
      </c>
      <c r="L136" s="6">
        <f>SUMIF('JUNE (물량흐름)'!$C$13:$C$488,'Overhead exp(제조경비)'!C136,'JUNE (물량흐름)'!$H$13:$H$493)+SUMIF('JUNE (물량흐름)'!$C$13:$C$493,'Overhead exp(제조경비)'!C136,'JUNE (물량흐름)'!$V$13:$V$493)</f>
        <v>0</v>
      </c>
      <c r="M136" s="6">
        <f t="shared" si="18"/>
        <v>0</v>
      </c>
      <c r="N136" s="6">
        <f t="shared" si="19"/>
        <v>0</v>
      </c>
      <c r="O136" s="6">
        <f t="shared" si="31"/>
        <v>0</v>
      </c>
      <c r="P136" s="6">
        <f>SUMIF('JUNE (물량흐름)'!$C$13:$C$502,C136,'JUNE (물량흐름)'!$T$13:$T$502)+SUMIF('JUNE (물량흐름)'!$C$13:$C$502,C136,'JUNE (물량흐름)'!$V$13:$V$502)+SUMIF('JUNE (물량흐름)'!$C$13:$C$502,C136,'JUNE (물량흐름)'!$U$13:$U$502)-SUMIF('JUNE (물량흐름)'!$C$13:$C$502,C136,'JUNE (물량흐름)'!$Y$13:$Y$502)</f>
        <v>323</v>
      </c>
      <c r="Q136" s="6">
        <f t="shared" si="20"/>
        <v>1975584</v>
      </c>
      <c r="R136" s="6">
        <f>IF(ISERROR(VLOOKUP(#REF!,'WIP(재공품)'!$B$12:$AB$38,13,0)),0,VLOOKUP(#REF!,'WIP(재공품)'!$B$12:$AB$38,13,0))</f>
        <v>0</v>
      </c>
      <c r="S136" s="6">
        <f>IF(ISERROR(VLOOKUP(#REF!,'WIP(재공품)'!$B$12:$AB$38,10,0)),0,VLOOKUP(#REF!,'WIP(재공품)'!$B$12:$AB$38,10,0))</f>
        <v>0</v>
      </c>
      <c r="T136" s="6">
        <f>SUMIF('JUNE (물량흐름)'!$C$13:$C$502,'Overhead exp(제조경비)'!C136,'JUNE (물량흐름)'!$Y$13:$Y$502)</f>
        <v>0</v>
      </c>
      <c r="U136" s="6">
        <f t="shared" si="21"/>
        <v>0</v>
      </c>
      <c r="V136" s="6">
        <f>ROUND(SUMIF('JUNE (물량흐름)'!$C$13:$C$502,'Overhead exp(제조경비)'!C136,'JUNE (물량흐름)'!$N$13:$N$502),0)</f>
        <v>0</v>
      </c>
      <c r="W136" s="6">
        <f>ROUND(SUMIF('JUNE (물량흐름)'!$C$13:$C$502,'Overhead exp(제조경비)'!C136,'JUNE (물량흐름)'!$O$13:$O$502),0)</f>
        <v>0</v>
      </c>
      <c r="X136" s="6">
        <f>ROUND(SUMIF('JUNE (물량흐름)'!$C$13:$C$502,'Overhead exp(제조경비)'!C136,'JUNE (물량흐름)'!$P$13:$P$502),0)</f>
        <v>0</v>
      </c>
      <c r="Y136" s="167">
        <f t="shared" ref="Y136" si="32">ROUND(SUM(V136:X136),0)</f>
        <v>0</v>
      </c>
      <c r="Z136" s="167">
        <f t="shared" ref="Z136" si="33">ROUND(V136*$V$10+W136*$W$10+X136*$X$10,0)</f>
        <v>0</v>
      </c>
      <c r="AA136" s="6">
        <f t="shared" si="24"/>
        <v>0</v>
      </c>
      <c r="AB136" s="391">
        <f t="shared" si="25"/>
        <v>0</v>
      </c>
      <c r="AC136" s="391">
        <f t="shared" si="26"/>
        <v>0</v>
      </c>
      <c r="AE136" s="393"/>
    </row>
    <row r="137" spans="1:31" s="390" customFormat="1" ht="24" customHeight="1">
      <c r="A137" s="167">
        <v>127</v>
      </c>
      <c r="B137" s="20" t="str">
        <f>IFERROR(VLOOKUP(A137,'JUNE (물량흐름)'!$A$13:$C$502,2,0),0)</f>
        <v>ANN TAYLOR</v>
      </c>
      <c r="C137" s="272" t="str">
        <f>VLOOKUP(A137,'JUNE (물량흐름)'!$A$13:$C$502,3,0)</f>
        <v>453289(456581)</v>
      </c>
      <c r="D137" s="6">
        <f>VLOOKUP(C137,'WIP(재공품)'!$B$12:$E$493,4,0)</f>
        <v>13605</v>
      </c>
      <c r="E137" s="6">
        <f>IFERROR(VLOOKUP(C137,O.B.JUNE!$AI$7:$AJ$448,2,0),0)</f>
        <v>0</v>
      </c>
      <c r="F137" s="6">
        <f>IFERROR(VLOOKUP(C137,O.B.JUNE!$AI$7:$AK$448,3,0),0)</f>
        <v>0</v>
      </c>
      <c r="G137" s="6">
        <f>IFERROR(VLOOKUP(C137,O.B.JUNE!$AI$7:$AL$448,4,0),0)</f>
        <v>1964</v>
      </c>
      <c r="H137" s="6">
        <f t="shared" si="17"/>
        <v>1964</v>
      </c>
      <c r="I137" s="6">
        <f>IFERROR(VLOOKUP(C137,O.B.JUNE!$AI$7:$AN$448,6,0),0)</f>
        <v>1571</v>
      </c>
      <c r="J137" s="6"/>
      <c r="K137" s="6">
        <f>IFERROR(VLOOKUP(C137,O.B.JUNE!$AI$7:$AO$448,7,0),0)</f>
        <v>27304077</v>
      </c>
      <c r="L137" s="6">
        <f>SUMIF('JUNE (물량흐름)'!$C$13:$C$488,'Overhead exp(제조경비)'!C137,'JUNE (물량흐름)'!$H$13:$H$493)+SUMIF('JUNE (물량흐름)'!$C$13:$C$493,'Overhead exp(제조경비)'!C137,'JUNE (물량흐름)'!$V$13:$V$493)</f>
        <v>0</v>
      </c>
      <c r="M137" s="6">
        <f t="shared" si="18"/>
        <v>0</v>
      </c>
      <c r="N137" s="6">
        <f t="shared" si="19"/>
        <v>0</v>
      </c>
      <c r="O137" s="6">
        <f t="shared" si="31"/>
        <v>0</v>
      </c>
      <c r="P137" s="6">
        <f>SUMIF('JUNE (물량흐름)'!$C$13:$C$502,C137,'JUNE (물량흐름)'!$T$13:$T$502)+SUMIF('JUNE (물량흐름)'!$C$13:$C$502,C137,'JUNE (물량흐름)'!$V$13:$V$502)+SUMIF('JUNE (물량흐름)'!$C$13:$C$502,C137,'JUNE (물량흐름)'!$U$13:$U$502)-SUMIF('JUNE (물량흐름)'!$C$13:$C$502,C137,'JUNE (물량흐름)'!$Y$13:$Y$502)</f>
        <v>151</v>
      </c>
      <c r="Q137" s="6">
        <f t="shared" si="20"/>
        <v>2099244</v>
      </c>
      <c r="R137" s="6">
        <f>IF(ISERROR(VLOOKUP(#REF!,'WIP(재공품)'!$B$12:$AB$38,13,0)),0,VLOOKUP(#REF!,'WIP(재공품)'!$B$12:$AB$38,13,0))</f>
        <v>0</v>
      </c>
      <c r="S137" s="6">
        <f>IF(ISERROR(VLOOKUP(#REF!,'WIP(재공품)'!$B$12:$AB$38,10,0)),0,VLOOKUP(#REF!,'WIP(재공품)'!$B$12:$AB$38,10,0))</f>
        <v>0</v>
      </c>
      <c r="T137" s="6">
        <f>SUMIF('JUNE (물량흐름)'!$C$13:$C$502,'Overhead exp(제조경비)'!C137,'JUNE (물량흐름)'!$Y$13:$Y$502)</f>
        <v>0</v>
      </c>
      <c r="U137" s="6">
        <f t="shared" si="21"/>
        <v>0</v>
      </c>
      <c r="V137" s="6">
        <f>ROUND(SUMIF('JUNE (물량흐름)'!$C$13:$C$502,'Overhead exp(제조경비)'!C137,'JUNE (물량흐름)'!$N$13:$N$502),0)</f>
        <v>0</v>
      </c>
      <c r="W137" s="6">
        <f>ROUND(SUMIF('JUNE (물량흐름)'!$C$13:$C$502,'Overhead exp(제조경비)'!C137,'JUNE (물량흐름)'!$O$13:$O$502),0)</f>
        <v>0</v>
      </c>
      <c r="X137" s="6">
        <f>ROUND(SUMIF('JUNE (물량흐름)'!$C$13:$C$502,'Overhead exp(제조경비)'!C137,'JUNE (물량흐름)'!$P$13:$P$502),0)</f>
        <v>1813</v>
      </c>
      <c r="Y137" s="6">
        <f t="shared" si="22"/>
        <v>1813</v>
      </c>
      <c r="Z137" s="6">
        <f t="shared" si="23"/>
        <v>1450</v>
      </c>
      <c r="AA137" s="6">
        <f t="shared" si="24"/>
        <v>25204833</v>
      </c>
      <c r="AB137" s="391">
        <f t="shared" si="25"/>
        <v>0</v>
      </c>
      <c r="AC137" s="391">
        <f t="shared" si="26"/>
        <v>0</v>
      </c>
      <c r="AE137" s="393"/>
    </row>
    <row r="138" spans="1:31" s="390" customFormat="1" ht="24" customHeight="1">
      <c r="A138" s="167">
        <v>128</v>
      </c>
      <c r="B138" s="20" t="str">
        <f>IFERROR(VLOOKUP(A138,'JUNE (물량흐름)'!$A$13:$C$502,2,0),0)</f>
        <v>ANN TAYLOR</v>
      </c>
      <c r="C138" s="272">
        <f>VLOOKUP(A138,'JUNE (물량흐름)'!$A$13:$C$502,3,0)</f>
        <v>453590</v>
      </c>
      <c r="D138" s="6">
        <f>VLOOKUP(C138,'WIP(재공품)'!$B$12:$E$493,4,0)</f>
        <v>8163</v>
      </c>
      <c r="E138" s="6">
        <f>IFERROR(VLOOKUP(C138,O.B.JUNE!$AI$7:$AJ$448,2,0),0)</f>
        <v>0</v>
      </c>
      <c r="F138" s="6">
        <f>IFERROR(VLOOKUP(C138,O.B.JUNE!$AI$7:$AK$448,3,0),0)</f>
        <v>0</v>
      </c>
      <c r="G138" s="6">
        <f>IFERROR(VLOOKUP(C138,O.B.JUNE!$AI$7:$AL$448,4,0),0)</f>
        <v>463</v>
      </c>
      <c r="H138" s="6">
        <f t="shared" si="17"/>
        <v>463</v>
      </c>
      <c r="I138" s="6">
        <f>IFERROR(VLOOKUP(C138,O.B.JUNE!$AI$7:$AN$448,6,0),0)</f>
        <v>370</v>
      </c>
      <c r="J138" s="6"/>
      <c r="K138" s="6">
        <f>IFERROR(VLOOKUP(C138,O.B.JUNE!$AI$7:$AO$448,7,0),0)</f>
        <v>7231487</v>
      </c>
      <c r="L138" s="6">
        <f>SUMIF('JUNE (물량흐름)'!$C$13:$C$488,'Overhead exp(제조경비)'!C138,'JUNE (물량흐름)'!$H$13:$H$493)+SUMIF('JUNE (물량흐름)'!$C$13:$C$493,'Overhead exp(제조경비)'!C138,'JUNE (물량흐름)'!$V$13:$V$493)</f>
        <v>0</v>
      </c>
      <c r="M138" s="6">
        <f t="shared" si="18"/>
        <v>0</v>
      </c>
      <c r="N138" s="6">
        <f t="shared" si="19"/>
        <v>0</v>
      </c>
      <c r="O138" s="6">
        <f t="shared" si="31"/>
        <v>0</v>
      </c>
      <c r="P138" s="6">
        <f>SUMIF('JUNE (물량흐름)'!$C$13:$C$502,C138,'JUNE (물량흐름)'!$T$13:$T$502)+SUMIF('JUNE (물량흐름)'!$C$13:$C$502,C138,'JUNE (물량흐름)'!$V$13:$V$502)+SUMIF('JUNE (물량흐름)'!$C$13:$C$502,C138,'JUNE (물량흐름)'!$U$13:$U$502)-SUMIF('JUNE (물량흐름)'!$C$13:$C$502,C138,'JUNE (물량흐름)'!$Y$13:$Y$502)</f>
        <v>463</v>
      </c>
      <c r="Q138" s="6">
        <f t="shared" si="20"/>
        <v>7231487</v>
      </c>
      <c r="R138" s="6">
        <f>IF(ISERROR(VLOOKUP(#REF!,'WIP(재공품)'!$B$12:$AB$38,13,0)),0,VLOOKUP(#REF!,'WIP(재공품)'!$B$12:$AB$38,13,0))</f>
        <v>0</v>
      </c>
      <c r="S138" s="6">
        <f>IF(ISERROR(VLOOKUP(#REF!,'WIP(재공품)'!$B$12:$AB$38,10,0)),0,VLOOKUP(#REF!,'WIP(재공품)'!$B$12:$AB$38,10,0))</f>
        <v>0</v>
      </c>
      <c r="T138" s="6">
        <f>SUMIF('JUNE (물량흐름)'!$C$13:$C$502,'Overhead exp(제조경비)'!C138,'JUNE (물량흐름)'!$Y$13:$Y$502)</f>
        <v>0</v>
      </c>
      <c r="U138" s="6">
        <f t="shared" si="21"/>
        <v>0</v>
      </c>
      <c r="V138" s="6">
        <f>ROUND(SUMIF('JUNE (물량흐름)'!$C$13:$C$502,'Overhead exp(제조경비)'!C138,'JUNE (물량흐름)'!$N$13:$N$502),0)</f>
        <v>0</v>
      </c>
      <c r="W138" s="6">
        <f>ROUND(SUMIF('JUNE (물량흐름)'!$C$13:$C$502,'Overhead exp(제조경비)'!C138,'JUNE (물량흐름)'!$O$13:$O$502),0)</f>
        <v>0</v>
      </c>
      <c r="X138" s="6">
        <f>ROUND(SUMIF('JUNE (물량흐름)'!$C$13:$C$502,'Overhead exp(제조경비)'!C138,'JUNE (물량흐름)'!$P$13:$P$502),0)</f>
        <v>0</v>
      </c>
      <c r="Y138" s="6">
        <f t="shared" si="22"/>
        <v>0</v>
      </c>
      <c r="Z138" s="6">
        <f t="shared" si="23"/>
        <v>0</v>
      </c>
      <c r="AA138" s="6">
        <f t="shared" si="24"/>
        <v>0</v>
      </c>
      <c r="AB138" s="391">
        <f t="shared" si="25"/>
        <v>0</v>
      </c>
      <c r="AC138" s="391">
        <f t="shared" si="26"/>
        <v>0</v>
      </c>
      <c r="AE138" s="393"/>
    </row>
    <row r="139" spans="1:31" s="390" customFormat="1" ht="24" customHeight="1">
      <c r="A139" s="167">
        <v>129</v>
      </c>
      <c r="B139" s="20" t="str">
        <f>IFERROR(VLOOKUP(A139,'JUNE (물량흐름)'!$A$13:$C$502,2,0),0)</f>
        <v>ANN TAYLOR</v>
      </c>
      <c r="C139" s="272" t="str">
        <f>VLOOKUP(A139,'JUNE (물량흐름)'!$A$13:$C$502,3,0)</f>
        <v>453595(456582)</v>
      </c>
      <c r="D139" s="6">
        <f>VLOOKUP(C139,'WIP(재공품)'!$B$12:$E$493,4,0)</f>
        <v>7936.2499999999991</v>
      </c>
      <c r="E139" s="6">
        <f>IFERROR(VLOOKUP(C139,O.B.JUNE!$AI$7:$AJ$448,2,0),0)</f>
        <v>0</v>
      </c>
      <c r="F139" s="6">
        <f>IFERROR(VLOOKUP(C139,O.B.JUNE!$AI$7:$AK$448,3,0),0)</f>
        <v>0</v>
      </c>
      <c r="G139" s="6">
        <f>IFERROR(VLOOKUP(C139,O.B.JUNE!$AI$7:$AL$448,4,0),0)</f>
        <v>1052</v>
      </c>
      <c r="H139" s="6">
        <f t="shared" si="17"/>
        <v>1052</v>
      </c>
      <c r="I139" s="6">
        <f>IFERROR(VLOOKUP(C139,O.B.JUNE!$AI$7:$AN$448,6,0),0)</f>
        <v>842</v>
      </c>
      <c r="J139" s="6"/>
      <c r="K139" s="6">
        <f>IFERROR(VLOOKUP(C139,O.B.JUNE!$AI$7:$AO$448,7,0),0)</f>
        <v>19623000</v>
      </c>
      <c r="L139" s="6">
        <f>SUMIF('JUNE (물량흐름)'!$C$13:$C$488,'Overhead exp(제조경비)'!C139,'JUNE (물량흐름)'!$H$13:$H$493)+SUMIF('JUNE (물량흐름)'!$C$13:$C$493,'Overhead exp(제조경비)'!C139,'JUNE (물량흐름)'!$V$13:$V$493)</f>
        <v>0</v>
      </c>
      <c r="M139" s="6">
        <f t="shared" si="18"/>
        <v>0</v>
      </c>
      <c r="N139" s="6">
        <f t="shared" si="19"/>
        <v>0</v>
      </c>
      <c r="O139" s="6">
        <f t="shared" si="31"/>
        <v>0</v>
      </c>
      <c r="P139" s="6">
        <f>SUMIF('JUNE (물량흐름)'!$C$13:$C$502,C139,'JUNE (물량흐름)'!$T$13:$T$502)+SUMIF('JUNE (물량흐름)'!$C$13:$C$502,C139,'JUNE (물량흐름)'!$V$13:$V$502)+SUMIF('JUNE (물량흐름)'!$C$13:$C$502,C139,'JUNE (물량흐름)'!$U$13:$U$502)-SUMIF('JUNE (물량흐름)'!$C$13:$C$502,C139,'JUNE (물량흐름)'!$Y$13:$Y$502)</f>
        <v>1052</v>
      </c>
      <c r="Q139" s="6">
        <f t="shared" si="20"/>
        <v>19623000</v>
      </c>
      <c r="R139" s="6">
        <f>IF(ISERROR(VLOOKUP(#REF!,'WIP(재공품)'!$B$12:$AB$38,13,0)),0,VLOOKUP(#REF!,'WIP(재공품)'!$B$12:$AB$38,13,0))</f>
        <v>0</v>
      </c>
      <c r="S139" s="6">
        <f>IF(ISERROR(VLOOKUP(#REF!,'WIP(재공품)'!$B$12:$AB$38,10,0)),0,VLOOKUP(#REF!,'WIP(재공품)'!$B$12:$AB$38,10,0))</f>
        <v>0</v>
      </c>
      <c r="T139" s="6">
        <f>SUMIF('JUNE (물량흐름)'!$C$13:$C$502,'Overhead exp(제조경비)'!C139,'JUNE (물량흐름)'!$Y$13:$Y$502)</f>
        <v>0</v>
      </c>
      <c r="U139" s="6">
        <f t="shared" si="21"/>
        <v>0</v>
      </c>
      <c r="V139" s="6">
        <f>ROUND(SUMIF('JUNE (물량흐름)'!$C$13:$C$502,'Overhead exp(제조경비)'!C139,'JUNE (물량흐름)'!$N$13:$N$502),0)</f>
        <v>0</v>
      </c>
      <c r="W139" s="6">
        <f>ROUND(SUMIF('JUNE (물량흐름)'!$C$13:$C$502,'Overhead exp(제조경비)'!C139,'JUNE (물량흐름)'!$O$13:$O$502),0)</f>
        <v>0</v>
      </c>
      <c r="X139" s="6">
        <f>ROUND(SUMIF('JUNE (물량흐름)'!$C$13:$C$502,'Overhead exp(제조경비)'!C139,'JUNE (물량흐름)'!$P$13:$P$502),0)</f>
        <v>0</v>
      </c>
      <c r="Y139" s="167">
        <f t="shared" ref="Y139" si="34">ROUND(SUM(V139:X139),0)</f>
        <v>0</v>
      </c>
      <c r="Z139" s="167">
        <f t="shared" ref="Z139" si="35">ROUND(V139*$V$10+W139*$W$10+X139*$X$10,0)</f>
        <v>0</v>
      </c>
      <c r="AA139" s="6">
        <f t="shared" si="24"/>
        <v>0</v>
      </c>
      <c r="AB139" s="391">
        <f t="shared" si="25"/>
        <v>0</v>
      </c>
      <c r="AC139" s="391">
        <f t="shared" si="26"/>
        <v>0</v>
      </c>
      <c r="AE139" s="393"/>
    </row>
    <row r="140" spans="1:31" s="390" customFormat="1" ht="24" customHeight="1">
      <c r="A140" s="167">
        <v>130</v>
      </c>
      <c r="B140" s="20" t="str">
        <f>IFERROR(VLOOKUP(A140,'JUNE (물량흐름)'!$A$13:$C$502,2,0),0)</f>
        <v>ANN TAYLOR</v>
      </c>
      <c r="C140" s="272" t="str">
        <f>VLOOKUP(A140,'JUNE (물량흐름)'!$A$13:$C$502,3,0)</f>
        <v>456729(456854)</v>
      </c>
      <c r="D140" s="6">
        <f>VLOOKUP(C140,'WIP(재공품)'!$B$12:$E$493,4,0)</f>
        <v>8163</v>
      </c>
      <c r="E140" s="6">
        <f>IFERROR(VLOOKUP(C140,O.B.JUNE!$AI$7:$AJ$448,2,0),0)</f>
        <v>0</v>
      </c>
      <c r="F140" s="6">
        <f>IFERROR(VLOOKUP(C140,O.B.JUNE!$AI$7:$AK$448,3,0),0)</f>
        <v>0</v>
      </c>
      <c r="G140" s="6">
        <f>IFERROR(VLOOKUP(C140,O.B.JUNE!$AI$7:$AL$448,4,0),0)</f>
        <v>410</v>
      </c>
      <c r="H140" s="6">
        <f t="shared" ref="H140:H203" si="36">+E140+F140+G140</f>
        <v>410</v>
      </c>
      <c r="I140" s="6">
        <f>IFERROR(VLOOKUP(C140,O.B.JUNE!$AI$7:$AN$448,6,0),0)</f>
        <v>328</v>
      </c>
      <c r="J140" s="6"/>
      <c r="K140" s="6">
        <f>IFERROR(VLOOKUP(C140,O.B.JUNE!$AI$7:$AO$448,7,0),0)</f>
        <v>4220141</v>
      </c>
      <c r="L140" s="6">
        <f>SUMIF('JUNE (물량흐름)'!$C$13:$C$488,'Overhead exp(제조경비)'!C140,'JUNE (물량흐름)'!$H$13:$H$493)+SUMIF('JUNE (물량흐름)'!$C$13:$C$493,'Overhead exp(제조경비)'!C140,'JUNE (물량흐름)'!$V$13:$V$493)</f>
        <v>0</v>
      </c>
      <c r="M140" s="6">
        <f t="shared" ref="M140:M203" si="37">IF(OR(L140&lt;=0,P140+T140+R140+Z140-I140&lt;0),0,ROUND(P140+T140+R140+Z140-I140,0))</f>
        <v>0</v>
      </c>
      <c r="N140" s="6">
        <f t="shared" ref="N140:N203" si="38">ROUND(M140*D140,0)</f>
        <v>0</v>
      </c>
      <c r="O140" s="6">
        <f t="shared" si="31"/>
        <v>0</v>
      </c>
      <c r="P140" s="6">
        <f>SUMIF('JUNE (물량흐름)'!$C$13:$C$502,C140,'JUNE (물량흐름)'!$T$13:$T$502)+SUMIF('JUNE (물량흐름)'!$C$13:$C$502,C140,'JUNE (물량흐름)'!$V$13:$V$502)+SUMIF('JUNE (물량흐름)'!$C$13:$C$502,C140,'JUNE (물량흐름)'!$U$13:$U$502)-SUMIF('JUNE (물량흐름)'!$C$13:$C$502,C140,'JUNE (물량흐름)'!$Y$13:$Y$502)</f>
        <v>410</v>
      </c>
      <c r="Q140" s="6">
        <f t="shared" si="20"/>
        <v>4220141</v>
      </c>
      <c r="R140" s="6">
        <f>IF(ISERROR(VLOOKUP(#REF!,'WIP(재공품)'!$B$12:$AB$38,13,0)),0,VLOOKUP(#REF!,'WIP(재공품)'!$B$12:$AB$38,13,0))</f>
        <v>0</v>
      </c>
      <c r="S140" s="6">
        <f>IF(ISERROR(VLOOKUP(#REF!,'WIP(재공품)'!$B$12:$AB$38,10,0)),0,VLOOKUP(#REF!,'WIP(재공품)'!$B$12:$AB$38,10,0))</f>
        <v>0</v>
      </c>
      <c r="T140" s="6">
        <f>SUMIF('JUNE (물량흐름)'!$C$13:$C$502,'Overhead exp(제조경비)'!C140,'JUNE (물량흐름)'!$Y$13:$Y$502)</f>
        <v>0</v>
      </c>
      <c r="U140" s="6">
        <f t="shared" ref="U140:U203" si="39">IFERROR(ROUND(IF(AND(T140&lt;=0,($I140+$M140)=0),T140*(K140+O140)/(I140+M140),T140*(K140+O140)/(H140+L140)),0),0)</f>
        <v>0</v>
      </c>
      <c r="V140" s="6">
        <f>ROUND(SUMIF('JUNE (물량흐름)'!$C$13:$C$502,'Overhead exp(제조경비)'!C140,'JUNE (물량흐름)'!$N$13:$N$502),0)</f>
        <v>0</v>
      </c>
      <c r="W140" s="6">
        <f>ROUND(SUMIF('JUNE (물량흐름)'!$C$13:$C$502,'Overhead exp(제조경비)'!C140,'JUNE (물량흐름)'!$O$13:$O$502),0)</f>
        <v>0</v>
      </c>
      <c r="X140" s="6">
        <f>ROUND(SUMIF('JUNE (물량흐름)'!$C$13:$C$502,'Overhead exp(제조경비)'!C140,'JUNE (물량흐름)'!$P$13:$P$502),0)</f>
        <v>0</v>
      </c>
      <c r="Y140" s="6">
        <f t="shared" ref="Y140:Y198" si="40">ROUND(SUM(V140:X140),0)</f>
        <v>0</v>
      </c>
      <c r="Z140" s="6">
        <f t="shared" ref="Z140:Z203" si="41">ROUND(V140*$V$10+W140*$W$10+X140*$X$10,0)</f>
        <v>0</v>
      </c>
      <c r="AA140" s="6">
        <f t="shared" si="24"/>
        <v>0</v>
      </c>
      <c r="AB140" s="391">
        <f t="shared" ref="AB140:AB203" si="42">K140+O140-Q140-U140-AA140</f>
        <v>0</v>
      </c>
      <c r="AC140" s="391">
        <f t="shared" ref="AC140:AC203" si="43">H140+L140-P140-T140-Y140</f>
        <v>0</v>
      </c>
      <c r="AE140" s="393"/>
    </row>
    <row r="141" spans="1:31" s="390" customFormat="1" ht="24" customHeight="1">
      <c r="A141" s="167">
        <v>131</v>
      </c>
      <c r="B141" s="20" t="str">
        <f>IFERROR(VLOOKUP(A141,'JUNE (물량흐름)'!$A$13:$C$502,2,0),0)</f>
        <v>ANN TAYLOR</v>
      </c>
      <c r="C141" s="272">
        <f>VLOOKUP(A141,'JUNE (물량흐름)'!$A$13:$C$502,3,0)</f>
        <v>457839</v>
      </c>
      <c r="D141" s="6">
        <f>VLOOKUP(C141,'WIP(재공품)'!$B$12:$E$493,4,0)</f>
        <v>7936.2499999999991</v>
      </c>
      <c r="E141" s="6">
        <f>IFERROR(VLOOKUP(C141,O.B.JUNE!$AI$7:$AJ$448,2,0),0)</f>
        <v>0</v>
      </c>
      <c r="F141" s="6">
        <f>IFERROR(VLOOKUP(C141,O.B.JUNE!$AI$7:$AK$448,3,0),0)</f>
        <v>0</v>
      </c>
      <c r="G141" s="6">
        <f>IFERROR(VLOOKUP(C141,O.B.JUNE!$AI$7:$AL$448,4,0),0)</f>
        <v>279</v>
      </c>
      <c r="H141" s="6">
        <f t="shared" si="36"/>
        <v>279</v>
      </c>
      <c r="I141" s="6">
        <f>IFERROR(VLOOKUP(C141,O.B.JUNE!$AI$7:$AN$448,6,0),0)</f>
        <v>223</v>
      </c>
      <c r="J141" s="6"/>
      <c r="K141" s="6">
        <f>IFERROR(VLOOKUP(C141,O.B.JUNE!$AI$7:$AO$448,7,0),0)</f>
        <v>2199687</v>
      </c>
      <c r="L141" s="6">
        <f>SUMIF('JUNE (물량흐름)'!$C$13:$C$488,'Overhead exp(제조경비)'!C141,'JUNE (물량흐름)'!$H$13:$H$493)+SUMIF('JUNE (물량흐름)'!$C$13:$C$493,'Overhead exp(제조경비)'!C141,'JUNE (물량흐름)'!$V$13:$V$493)</f>
        <v>0</v>
      </c>
      <c r="M141" s="6">
        <f t="shared" si="37"/>
        <v>0</v>
      </c>
      <c r="N141" s="6">
        <f t="shared" si="38"/>
        <v>0</v>
      </c>
      <c r="O141" s="6">
        <f t="shared" si="31"/>
        <v>0</v>
      </c>
      <c r="P141" s="6">
        <f>SUMIF('JUNE (물량흐름)'!$C$13:$C$502,C141,'JUNE (물량흐름)'!$T$13:$T$502)+SUMIF('JUNE (물량흐름)'!$C$13:$C$502,C141,'JUNE (물량흐름)'!$V$13:$V$502)+SUMIF('JUNE (물량흐름)'!$C$13:$C$502,C141,'JUNE (물량흐름)'!$U$13:$U$502)-SUMIF('JUNE (물량흐름)'!$C$13:$C$502,C141,'JUNE (물량흐름)'!$Y$13:$Y$502)</f>
        <v>0</v>
      </c>
      <c r="Q141" s="6">
        <f t="shared" ref="Q141:Q204" si="44">IFERROR(ROUND(IF(OR(P141&lt;=0,($I141+$M141)=0),$P141*($K141+$O141)/($I141+$M141),$P141*($K141+$O141)/($H141+$L141)),0),0)</f>
        <v>0</v>
      </c>
      <c r="R141" s="6">
        <f>IF(ISERROR(VLOOKUP(#REF!,'WIP(재공품)'!$B$12:$AB$38,13,0)),0,VLOOKUP(#REF!,'WIP(재공품)'!$B$12:$AB$38,13,0))</f>
        <v>0</v>
      </c>
      <c r="S141" s="6">
        <f>IF(ISERROR(VLOOKUP(#REF!,'WIP(재공품)'!$B$12:$AB$38,10,0)),0,VLOOKUP(#REF!,'WIP(재공품)'!$B$12:$AB$38,10,0))</f>
        <v>0</v>
      </c>
      <c r="T141" s="6">
        <f>SUMIF('JUNE (물량흐름)'!$C$13:$C$502,'Overhead exp(제조경비)'!C141,'JUNE (물량흐름)'!$Y$13:$Y$502)</f>
        <v>0</v>
      </c>
      <c r="U141" s="6">
        <f t="shared" si="39"/>
        <v>0</v>
      </c>
      <c r="V141" s="6">
        <f>ROUND(SUMIF('JUNE (물량흐름)'!$C$13:$C$502,'Overhead exp(제조경비)'!C141,'JUNE (물량흐름)'!$N$13:$N$502),0)</f>
        <v>0</v>
      </c>
      <c r="W141" s="6">
        <f>ROUND(SUMIF('JUNE (물량흐름)'!$C$13:$C$502,'Overhead exp(제조경비)'!C141,'JUNE (물량흐름)'!$O$13:$O$502),0)</f>
        <v>0</v>
      </c>
      <c r="X141" s="6">
        <f>ROUND(SUMIF('JUNE (물량흐름)'!$C$13:$C$502,'Overhead exp(제조경비)'!C141,'JUNE (물량흐름)'!$P$13:$P$502),0)</f>
        <v>279</v>
      </c>
      <c r="Y141" s="6">
        <f t="shared" si="40"/>
        <v>279</v>
      </c>
      <c r="Z141" s="6">
        <f t="shared" si="41"/>
        <v>223</v>
      </c>
      <c r="AA141" s="6">
        <f t="shared" ref="AA141:AA204" si="45">IFERROR(ROUND(IF(OR(Z141&lt;=0,($I141+$M141)=0),$Z141*($K141+$O141)/($I141+$M141),$Y141*($K141+$O141)/($H141+$L141)),0),0)</f>
        <v>2199687</v>
      </c>
      <c r="AB141" s="391">
        <f t="shared" si="42"/>
        <v>0</v>
      </c>
      <c r="AC141" s="391">
        <f t="shared" si="43"/>
        <v>0</v>
      </c>
      <c r="AE141" s="393"/>
    </row>
    <row r="142" spans="1:31" s="390" customFormat="1" ht="24" customHeight="1">
      <c r="A142" s="167">
        <v>132</v>
      </c>
      <c r="B142" s="20" t="str">
        <f>IFERROR(VLOOKUP(A142,'JUNE (물량흐름)'!$A$13:$C$502,2,0),0)</f>
        <v>ANN TAYLOR</v>
      </c>
      <c r="C142" s="272">
        <f>VLOOKUP(A142,'JUNE (물량흐름)'!$A$13:$C$502,3,0)</f>
        <v>457840</v>
      </c>
      <c r="D142" s="6">
        <f>VLOOKUP(C142,'WIP(재공품)'!$B$12:$E$493,4,0)</f>
        <v>7936.2499999999991</v>
      </c>
      <c r="E142" s="6">
        <f>IFERROR(VLOOKUP(C142,O.B.JUNE!$AI$7:$AJ$448,2,0),0)</f>
        <v>0</v>
      </c>
      <c r="F142" s="6">
        <f>IFERROR(VLOOKUP(C142,O.B.JUNE!$AI$7:$AK$448,3,0),0)</f>
        <v>0</v>
      </c>
      <c r="G142" s="6">
        <f>IFERROR(VLOOKUP(C142,O.B.JUNE!$AI$7:$AL$448,4,0),0)</f>
        <v>845</v>
      </c>
      <c r="H142" s="6">
        <f t="shared" si="36"/>
        <v>845</v>
      </c>
      <c r="I142" s="6">
        <f>IFERROR(VLOOKUP(C142,O.B.JUNE!$AI$7:$AN$448,6,0),0)</f>
        <v>676</v>
      </c>
      <c r="J142" s="6"/>
      <c r="K142" s="6">
        <f>IFERROR(VLOOKUP(C142,O.B.JUNE!$AI$7:$AO$448,7,0),0)</f>
        <v>6252767</v>
      </c>
      <c r="L142" s="6">
        <f>SUMIF('JUNE (물량흐름)'!$C$13:$C$488,'Overhead exp(제조경비)'!C142,'JUNE (물량흐름)'!$H$13:$H$493)+SUMIF('JUNE (물량흐름)'!$C$13:$C$493,'Overhead exp(제조경비)'!C142,'JUNE (물량흐름)'!$V$13:$V$493)</f>
        <v>0</v>
      </c>
      <c r="M142" s="6">
        <f t="shared" si="37"/>
        <v>0</v>
      </c>
      <c r="N142" s="6">
        <f t="shared" si="38"/>
        <v>0</v>
      </c>
      <c r="O142" s="6">
        <f t="shared" si="31"/>
        <v>0</v>
      </c>
      <c r="P142" s="6">
        <f>SUMIF('JUNE (물량흐름)'!$C$13:$C$502,C142,'JUNE (물량흐름)'!$T$13:$T$502)+SUMIF('JUNE (물량흐름)'!$C$13:$C$502,C142,'JUNE (물량흐름)'!$V$13:$V$502)+SUMIF('JUNE (물량흐름)'!$C$13:$C$502,C142,'JUNE (물량흐름)'!$U$13:$U$502)-SUMIF('JUNE (물량흐름)'!$C$13:$C$502,C142,'JUNE (물량흐름)'!$Y$13:$Y$502)</f>
        <v>0</v>
      </c>
      <c r="Q142" s="6">
        <f t="shared" si="44"/>
        <v>0</v>
      </c>
      <c r="R142" s="6">
        <f>IF(ISERROR(VLOOKUP(#REF!,'WIP(재공품)'!$B$12:$AB$38,13,0)),0,VLOOKUP(#REF!,'WIP(재공품)'!$B$12:$AB$38,13,0))</f>
        <v>0</v>
      </c>
      <c r="S142" s="6">
        <f>IF(ISERROR(VLOOKUP(#REF!,'WIP(재공품)'!$B$12:$AB$38,10,0)),0,VLOOKUP(#REF!,'WIP(재공품)'!$B$12:$AB$38,10,0))</f>
        <v>0</v>
      </c>
      <c r="T142" s="6">
        <f>SUMIF('JUNE (물량흐름)'!$C$13:$C$502,'Overhead exp(제조경비)'!C142,'JUNE (물량흐름)'!$Y$13:$Y$502)</f>
        <v>0</v>
      </c>
      <c r="U142" s="6">
        <f t="shared" si="39"/>
        <v>0</v>
      </c>
      <c r="V142" s="6">
        <f>ROUND(SUMIF('JUNE (물량흐름)'!$C$13:$C$502,'Overhead exp(제조경비)'!C142,'JUNE (물량흐름)'!$N$13:$N$502),0)</f>
        <v>0</v>
      </c>
      <c r="W142" s="6">
        <f>ROUND(SUMIF('JUNE (물량흐름)'!$C$13:$C$502,'Overhead exp(제조경비)'!C142,'JUNE (물량흐름)'!$O$13:$O$502),0)</f>
        <v>0</v>
      </c>
      <c r="X142" s="6">
        <f>ROUND(SUMIF('JUNE (물량흐름)'!$C$13:$C$502,'Overhead exp(제조경비)'!C142,'JUNE (물량흐름)'!$P$13:$P$502),0)</f>
        <v>845</v>
      </c>
      <c r="Y142" s="6">
        <f t="shared" si="40"/>
        <v>845</v>
      </c>
      <c r="Z142" s="6">
        <f t="shared" si="41"/>
        <v>676</v>
      </c>
      <c r="AA142" s="6">
        <f t="shared" si="45"/>
        <v>6252767</v>
      </c>
      <c r="AB142" s="391">
        <f t="shared" si="42"/>
        <v>0</v>
      </c>
      <c r="AC142" s="391">
        <f t="shared" si="43"/>
        <v>0</v>
      </c>
      <c r="AE142" s="393"/>
    </row>
    <row r="143" spans="1:31" s="390" customFormat="1" ht="24" customHeight="1">
      <c r="A143" s="167">
        <v>133</v>
      </c>
      <c r="B143" s="20" t="str">
        <f>IFERROR(VLOOKUP(A143,'JUNE (물량흐름)'!$A$13:$C$502,2,0),0)</f>
        <v>ANN TAYLOR</v>
      </c>
      <c r="C143" s="272">
        <f>VLOOKUP(A143,'JUNE (물량흐름)'!$A$13:$C$502,3,0)</f>
        <v>457841</v>
      </c>
      <c r="D143" s="6">
        <f>VLOOKUP(C143,'WIP(재공품)'!$B$12:$E$493,4,0)</f>
        <v>41948.75</v>
      </c>
      <c r="E143" s="6">
        <f>IFERROR(VLOOKUP(C143,O.B.JUNE!$AI$7:$AJ$448,2,0),0)</f>
        <v>0</v>
      </c>
      <c r="F143" s="6">
        <f>IFERROR(VLOOKUP(C143,O.B.JUNE!$AI$7:$AK$448,3,0),0)</f>
        <v>0</v>
      </c>
      <c r="G143" s="6">
        <f>IFERROR(VLOOKUP(C143,O.B.JUNE!$AI$7:$AL$448,4,0),0)</f>
        <v>73</v>
      </c>
      <c r="H143" s="6">
        <f t="shared" si="36"/>
        <v>73</v>
      </c>
      <c r="I143" s="6">
        <f>IFERROR(VLOOKUP(C143,O.B.JUNE!$AI$7:$AN$448,6,0),0)</f>
        <v>58</v>
      </c>
      <c r="J143" s="6"/>
      <c r="K143" s="6">
        <f>IFERROR(VLOOKUP(C143,O.B.JUNE!$AI$7:$AO$448,7,0),0)</f>
        <v>1062256</v>
      </c>
      <c r="L143" s="6">
        <f>SUMIF('JUNE (물량흐름)'!$C$13:$C$488,'Overhead exp(제조경비)'!C143,'JUNE (물량흐름)'!$H$13:$H$493)+SUMIF('JUNE (물량흐름)'!$C$13:$C$493,'Overhead exp(제조경비)'!C143,'JUNE (물량흐름)'!$V$13:$V$493)</f>
        <v>0</v>
      </c>
      <c r="M143" s="6">
        <f t="shared" si="37"/>
        <v>0</v>
      </c>
      <c r="N143" s="6">
        <f t="shared" si="38"/>
        <v>0</v>
      </c>
      <c r="O143" s="6">
        <f t="shared" si="31"/>
        <v>0</v>
      </c>
      <c r="P143" s="6">
        <f>SUMIF('JUNE (물량흐름)'!$C$13:$C$502,C143,'JUNE (물량흐름)'!$T$13:$T$502)+SUMIF('JUNE (물량흐름)'!$C$13:$C$502,C143,'JUNE (물량흐름)'!$V$13:$V$502)+SUMIF('JUNE (물량흐름)'!$C$13:$C$502,C143,'JUNE (물량흐름)'!$U$13:$U$502)-SUMIF('JUNE (물량흐름)'!$C$13:$C$502,C143,'JUNE (물량흐름)'!$Y$13:$Y$502)</f>
        <v>0</v>
      </c>
      <c r="Q143" s="6">
        <f t="shared" si="44"/>
        <v>0</v>
      </c>
      <c r="R143" s="6">
        <f>IF(ISERROR(VLOOKUP(#REF!,'WIP(재공품)'!$B$12:$AB$38,13,0)),0,VLOOKUP(#REF!,'WIP(재공품)'!$B$12:$AB$38,13,0))</f>
        <v>0</v>
      </c>
      <c r="S143" s="6">
        <f>IF(ISERROR(VLOOKUP(#REF!,'WIP(재공품)'!$B$12:$AB$38,10,0)),0,VLOOKUP(#REF!,'WIP(재공품)'!$B$12:$AB$38,10,0))</f>
        <v>0</v>
      </c>
      <c r="T143" s="6">
        <f>SUMIF('JUNE (물량흐름)'!$C$13:$C$502,'Overhead exp(제조경비)'!C143,'JUNE (물량흐름)'!$Y$13:$Y$502)</f>
        <v>0</v>
      </c>
      <c r="U143" s="6">
        <f t="shared" si="39"/>
        <v>0</v>
      </c>
      <c r="V143" s="6">
        <f>ROUND(SUMIF('JUNE (물량흐름)'!$C$13:$C$502,'Overhead exp(제조경비)'!C143,'JUNE (물량흐름)'!$N$13:$N$502),0)</f>
        <v>0</v>
      </c>
      <c r="W143" s="6">
        <f>ROUND(SUMIF('JUNE (물량흐름)'!$C$13:$C$502,'Overhead exp(제조경비)'!C143,'JUNE (물량흐름)'!$O$13:$O$502),0)</f>
        <v>0</v>
      </c>
      <c r="X143" s="6">
        <f>ROUND(SUMIF('JUNE (물량흐름)'!$C$13:$C$502,'Overhead exp(제조경비)'!C143,'JUNE (물량흐름)'!$P$13:$P$502),0)</f>
        <v>73</v>
      </c>
      <c r="Y143" s="6">
        <f t="shared" si="40"/>
        <v>73</v>
      </c>
      <c r="Z143" s="6">
        <f t="shared" si="41"/>
        <v>58</v>
      </c>
      <c r="AA143" s="6">
        <f t="shared" si="45"/>
        <v>1062256</v>
      </c>
      <c r="AB143" s="391">
        <f t="shared" si="42"/>
        <v>0</v>
      </c>
      <c r="AC143" s="391">
        <f t="shared" si="43"/>
        <v>0</v>
      </c>
      <c r="AE143" s="393"/>
    </row>
    <row r="144" spans="1:31" s="390" customFormat="1" ht="24" customHeight="1">
      <c r="A144" s="167">
        <v>134</v>
      </c>
      <c r="B144" s="20" t="str">
        <f>IFERROR(VLOOKUP(A144,'JUNE (물량흐름)'!$A$13:$C$502,2,0),0)</f>
        <v>ANN TAYLOR</v>
      </c>
      <c r="C144" s="272">
        <f>VLOOKUP(A144,'JUNE (물량흐름)'!$A$13:$C$502,3,0)</f>
        <v>457842</v>
      </c>
      <c r="D144" s="6">
        <f>VLOOKUP(C144,'WIP(재공품)'!$B$12:$E$493,4,0)</f>
        <v>24942.500000000004</v>
      </c>
      <c r="E144" s="6">
        <f>IFERROR(VLOOKUP(C144,O.B.JUNE!$AI$7:$AJ$448,2,0),0)</f>
        <v>0</v>
      </c>
      <c r="F144" s="6">
        <f>IFERROR(VLOOKUP(C144,O.B.JUNE!$AI$7:$AK$448,3,0),0)</f>
        <v>0</v>
      </c>
      <c r="G144" s="6">
        <f>IFERROR(VLOOKUP(C144,O.B.JUNE!$AI$7:$AL$448,4,0),0)</f>
        <v>374</v>
      </c>
      <c r="H144" s="6">
        <f t="shared" si="36"/>
        <v>374</v>
      </c>
      <c r="I144" s="6">
        <f>IFERROR(VLOOKUP(C144,O.B.JUNE!$AI$7:$AN$448,6,0),0)</f>
        <v>299</v>
      </c>
      <c r="J144" s="6"/>
      <c r="K144" s="6">
        <f>IFERROR(VLOOKUP(C144,O.B.JUNE!$AI$7:$AO$448,7,0),0)</f>
        <v>2904482</v>
      </c>
      <c r="L144" s="6">
        <f>SUMIF('JUNE (물량흐름)'!$C$13:$C$488,'Overhead exp(제조경비)'!C144,'JUNE (물량흐름)'!$H$13:$H$493)+SUMIF('JUNE (물량흐름)'!$C$13:$C$493,'Overhead exp(제조경비)'!C144,'JUNE (물량흐름)'!$V$13:$V$493)</f>
        <v>0</v>
      </c>
      <c r="M144" s="6">
        <f t="shared" si="37"/>
        <v>0</v>
      </c>
      <c r="N144" s="6">
        <f t="shared" si="38"/>
        <v>0</v>
      </c>
      <c r="O144" s="6">
        <f t="shared" si="31"/>
        <v>0</v>
      </c>
      <c r="P144" s="6">
        <f>SUMIF('JUNE (물량흐름)'!$C$13:$C$502,C144,'JUNE (물량흐름)'!$T$13:$T$502)+SUMIF('JUNE (물량흐름)'!$C$13:$C$502,C144,'JUNE (물량흐름)'!$V$13:$V$502)+SUMIF('JUNE (물량흐름)'!$C$13:$C$502,C144,'JUNE (물량흐름)'!$U$13:$U$502)-SUMIF('JUNE (물량흐름)'!$C$13:$C$502,C144,'JUNE (물량흐름)'!$Y$13:$Y$502)</f>
        <v>0</v>
      </c>
      <c r="Q144" s="6">
        <f t="shared" si="44"/>
        <v>0</v>
      </c>
      <c r="R144" s="6">
        <f>IF(ISERROR(VLOOKUP(#REF!,'WIP(재공품)'!$B$12:$AB$38,13,0)),0,VLOOKUP(#REF!,'WIP(재공품)'!$B$12:$AB$38,13,0))</f>
        <v>0</v>
      </c>
      <c r="S144" s="6">
        <f>IF(ISERROR(VLOOKUP(#REF!,'WIP(재공품)'!$B$12:$AB$38,10,0)),0,VLOOKUP(#REF!,'WIP(재공품)'!$B$12:$AB$38,10,0))</f>
        <v>0</v>
      </c>
      <c r="T144" s="6">
        <f>SUMIF('JUNE (물량흐름)'!$C$13:$C$502,'Overhead exp(제조경비)'!C144,'JUNE (물량흐름)'!$Y$13:$Y$502)</f>
        <v>0</v>
      </c>
      <c r="U144" s="6">
        <f t="shared" si="39"/>
        <v>0</v>
      </c>
      <c r="V144" s="6">
        <f>ROUND(SUMIF('JUNE (물량흐름)'!$C$13:$C$502,'Overhead exp(제조경비)'!C144,'JUNE (물량흐름)'!$N$13:$N$502),0)</f>
        <v>0</v>
      </c>
      <c r="W144" s="6">
        <f>ROUND(SUMIF('JUNE (물량흐름)'!$C$13:$C$502,'Overhead exp(제조경비)'!C144,'JUNE (물량흐름)'!$O$13:$O$502),0)</f>
        <v>0</v>
      </c>
      <c r="X144" s="6">
        <f>ROUND(SUMIF('JUNE (물량흐름)'!$C$13:$C$502,'Overhead exp(제조경비)'!C144,'JUNE (물량흐름)'!$P$13:$P$502),0)</f>
        <v>374</v>
      </c>
      <c r="Y144" s="6">
        <f t="shared" si="40"/>
        <v>374</v>
      </c>
      <c r="Z144" s="6">
        <f t="shared" si="41"/>
        <v>299</v>
      </c>
      <c r="AA144" s="6">
        <f t="shared" si="45"/>
        <v>2904482</v>
      </c>
      <c r="AB144" s="391">
        <f t="shared" si="42"/>
        <v>0</v>
      </c>
      <c r="AC144" s="391">
        <f t="shared" si="43"/>
        <v>0</v>
      </c>
      <c r="AE144" s="393"/>
    </row>
    <row r="145" spans="1:31" s="390" customFormat="1" ht="24" customHeight="1">
      <c r="A145" s="167">
        <v>135</v>
      </c>
      <c r="B145" s="20" t="str">
        <f>IFERROR(VLOOKUP(A145,'JUNE (물량흐름)'!$A$13:$C$502,2,0),0)</f>
        <v>ANN TAYLOR</v>
      </c>
      <c r="C145" s="272" t="str">
        <f>VLOOKUP(A145,'JUNE (물량흐름)'!$A$13:$C$502,3,0)</f>
        <v>458244(458839)</v>
      </c>
      <c r="D145" s="6">
        <f>VLOOKUP(C145,'WIP(재공품)'!$B$12:$E$493,4,0)</f>
        <v>7936.2499999999991</v>
      </c>
      <c r="E145" s="6">
        <f>IFERROR(VLOOKUP(C145,O.B.JUNE!$AI$7:$AJ$448,2,0),0)</f>
        <v>0</v>
      </c>
      <c r="F145" s="6">
        <f>IFERROR(VLOOKUP(C145,O.B.JUNE!$AI$7:$AK$448,3,0),0)</f>
        <v>0</v>
      </c>
      <c r="G145" s="6">
        <f>IFERROR(VLOOKUP(C145,O.B.JUNE!$AI$7:$AL$448,4,0),0)</f>
        <v>570</v>
      </c>
      <c r="H145" s="6">
        <f t="shared" si="36"/>
        <v>570</v>
      </c>
      <c r="I145" s="6">
        <f>IFERROR(VLOOKUP(C145,O.B.JUNE!$AI$7:$AN$448,6,0),0)</f>
        <v>456</v>
      </c>
      <c r="J145" s="6"/>
      <c r="K145" s="6">
        <f>IFERROR(VLOOKUP(C145,O.B.JUNE!$AI$7:$AO$448,7,0),0)</f>
        <v>4846669</v>
      </c>
      <c r="L145" s="6">
        <f>SUMIF('JUNE (물량흐름)'!$C$13:$C$488,'Overhead exp(제조경비)'!C145,'JUNE (물량흐름)'!$H$13:$H$493)+SUMIF('JUNE (물량흐름)'!$C$13:$C$493,'Overhead exp(제조경비)'!C145,'JUNE (물량흐름)'!$V$13:$V$493)</f>
        <v>0</v>
      </c>
      <c r="M145" s="6">
        <f t="shared" si="37"/>
        <v>0</v>
      </c>
      <c r="N145" s="6">
        <f t="shared" si="38"/>
        <v>0</v>
      </c>
      <c r="O145" s="6">
        <f t="shared" si="31"/>
        <v>0</v>
      </c>
      <c r="P145" s="6">
        <f>SUMIF('JUNE (물량흐름)'!$C$13:$C$502,C145,'JUNE (물량흐름)'!$T$13:$T$502)+SUMIF('JUNE (물량흐름)'!$C$13:$C$502,C145,'JUNE (물량흐름)'!$V$13:$V$502)+SUMIF('JUNE (물량흐름)'!$C$13:$C$502,C145,'JUNE (물량흐름)'!$U$13:$U$502)-SUMIF('JUNE (물량흐름)'!$C$13:$C$502,C145,'JUNE (물량흐름)'!$Y$13:$Y$502)</f>
        <v>0</v>
      </c>
      <c r="Q145" s="6">
        <f t="shared" si="44"/>
        <v>0</v>
      </c>
      <c r="R145" s="6">
        <f>IF(ISERROR(VLOOKUP(#REF!,'WIP(재공품)'!$B$12:$AB$38,13,0)),0,VLOOKUP(#REF!,'WIP(재공품)'!$B$12:$AB$38,13,0))</f>
        <v>0</v>
      </c>
      <c r="S145" s="6">
        <f>IF(ISERROR(VLOOKUP(#REF!,'WIP(재공품)'!$B$12:$AB$38,10,0)),0,VLOOKUP(#REF!,'WIP(재공품)'!$B$12:$AB$38,10,0))</f>
        <v>0</v>
      </c>
      <c r="T145" s="6">
        <f>SUMIF('JUNE (물량흐름)'!$C$13:$C$502,'Overhead exp(제조경비)'!C145,'JUNE (물량흐름)'!$Y$13:$Y$502)</f>
        <v>0</v>
      </c>
      <c r="U145" s="6">
        <f t="shared" si="39"/>
        <v>0</v>
      </c>
      <c r="V145" s="6">
        <f>ROUND(SUMIF('JUNE (물량흐름)'!$C$13:$C$502,'Overhead exp(제조경비)'!C145,'JUNE (물량흐름)'!$N$13:$N$502),0)</f>
        <v>0</v>
      </c>
      <c r="W145" s="6">
        <f>ROUND(SUMIF('JUNE (물량흐름)'!$C$13:$C$502,'Overhead exp(제조경비)'!C145,'JUNE (물량흐름)'!$O$13:$O$502),0)</f>
        <v>0</v>
      </c>
      <c r="X145" s="6">
        <f>ROUND(SUMIF('JUNE (물량흐름)'!$C$13:$C$502,'Overhead exp(제조경비)'!C145,'JUNE (물량흐름)'!$P$13:$P$502),0)</f>
        <v>570</v>
      </c>
      <c r="Y145" s="6">
        <f t="shared" si="40"/>
        <v>570</v>
      </c>
      <c r="Z145" s="6">
        <f t="shared" si="41"/>
        <v>456</v>
      </c>
      <c r="AA145" s="6">
        <f t="shared" si="45"/>
        <v>4846669</v>
      </c>
      <c r="AB145" s="391">
        <f t="shared" si="42"/>
        <v>0</v>
      </c>
      <c r="AC145" s="391">
        <f t="shared" si="43"/>
        <v>0</v>
      </c>
      <c r="AE145" s="393"/>
    </row>
    <row r="146" spans="1:31" s="390" customFormat="1" ht="24" customHeight="1">
      <c r="A146" s="167">
        <v>136</v>
      </c>
      <c r="B146" s="20" t="str">
        <f>IFERROR(VLOOKUP(A146,'JUNE (물량흐름)'!$A$13:$C$502,2,0),0)</f>
        <v>ANN TAYLOR</v>
      </c>
      <c r="C146" s="272">
        <f>VLOOKUP(A146,'JUNE (물량흐름)'!$A$13:$C$502,3,0)</f>
        <v>458624</v>
      </c>
      <c r="D146" s="6">
        <f>VLOOKUP(C146,'WIP(재공품)'!$B$12:$E$493,4,0)</f>
        <v>7936.2499999999991</v>
      </c>
      <c r="E146" s="6">
        <f>IFERROR(VLOOKUP(C146,O.B.JUNE!$AI$7:$AJ$448,2,0),0)</f>
        <v>0</v>
      </c>
      <c r="F146" s="6">
        <f>IFERROR(VLOOKUP(C146,O.B.JUNE!$AI$7:$AK$448,3,0),0)</f>
        <v>0</v>
      </c>
      <c r="G146" s="6">
        <f>IFERROR(VLOOKUP(C146,O.B.JUNE!$AI$7:$AL$448,4,0),0)</f>
        <v>298</v>
      </c>
      <c r="H146" s="6">
        <f t="shared" si="36"/>
        <v>298</v>
      </c>
      <c r="I146" s="6">
        <f>IFERROR(VLOOKUP(C146,O.B.JUNE!$AI$7:$AN$448,6,0),0)</f>
        <v>238</v>
      </c>
      <c r="J146" s="6"/>
      <c r="K146" s="6">
        <f>IFERROR(VLOOKUP(C146,O.B.JUNE!$AI$7:$AO$448,7,0),0)</f>
        <v>4363234</v>
      </c>
      <c r="L146" s="6">
        <f>SUMIF('JUNE (물량흐름)'!$C$13:$C$488,'Overhead exp(제조경비)'!C146,'JUNE (물량흐름)'!$H$13:$H$493)+SUMIF('JUNE (물량흐름)'!$C$13:$C$493,'Overhead exp(제조경비)'!C146,'JUNE (물량흐름)'!$V$13:$V$493)</f>
        <v>0</v>
      </c>
      <c r="M146" s="6">
        <f t="shared" si="37"/>
        <v>0</v>
      </c>
      <c r="N146" s="6">
        <f t="shared" si="38"/>
        <v>0</v>
      </c>
      <c r="O146" s="6">
        <f t="shared" si="31"/>
        <v>0</v>
      </c>
      <c r="P146" s="6">
        <f>SUMIF('JUNE (물량흐름)'!$C$13:$C$502,C146,'JUNE (물량흐름)'!$T$13:$T$502)+SUMIF('JUNE (물량흐름)'!$C$13:$C$502,C146,'JUNE (물량흐름)'!$V$13:$V$502)+SUMIF('JUNE (물량흐름)'!$C$13:$C$502,C146,'JUNE (물량흐름)'!$U$13:$U$502)-SUMIF('JUNE (물량흐름)'!$C$13:$C$502,C146,'JUNE (물량흐름)'!$Y$13:$Y$502)</f>
        <v>0</v>
      </c>
      <c r="Q146" s="6">
        <f t="shared" si="44"/>
        <v>0</v>
      </c>
      <c r="R146" s="6">
        <f>IF(ISERROR(VLOOKUP(#REF!,'WIP(재공품)'!$B$12:$AB$38,13,0)),0,VLOOKUP(#REF!,'WIP(재공품)'!$B$12:$AB$38,13,0))</f>
        <v>0</v>
      </c>
      <c r="S146" s="6">
        <f>IF(ISERROR(VLOOKUP(#REF!,'WIP(재공품)'!$B$12:$AB$38,10,0)),0,VLOOKUP(#REF!,'WIP(재공품)'!$B$12:$AB$38,10,0))</f>
        <v>0</v>
      </c>
      <c r="T146" s="6">
        <f>SUMIF('JUNE (물량흐름)'!$C$13:$C$502,'Overhead exp(제조경비)'!C146,'JUNE (물량흐름)'!$Y$13:$Y$502)</f>
        <v>0</v>
      </c>
      <c r="U146" s="6">
        <f t="shared" si="39"/>
        <v>0</v>
      </c>
      <c r="V146" s="6">
        <f>ROUND(SUMIF('JUNE (물량흐름)'!$C$13:$C$502,'Overhead exp(제조경비)'!C146,'JUNE (물량흐름)'!$N$13:$N$502),0)</f>
        <v>0</v>
      </c>
      <c r="W146" s="6">
        <f>ROUND(SUMIF('JUNE (물량흐름)'!$C$13:$C$502,'Overhead exp(제조경비)'!C146,'JUNE (물량흐름)'!$O$13:$O$502),0)</f>
        <v>0</v>
      </c>
      <c r="X146" s="6">
        <f>ROUND(SUMIF('JUNE (물량흐름)'!$C$13:$C$502,'Overhead exp(제조경비)'!C146,'JUNE (물량흐름)'!$P$13:$P$502),0)</f>
        <v>298</v>
      </c>
      <c r="Y146" s="6">
        <f t="shared" si="40"/>
        <v>298</v>
      </c>
      <c r="Z146" s="6">
        <f t="shared" si="41"/>
        <v>238</v>
      </c>
      <c r="AA146" s="6">
        <f t="shared" si="45"/>
        <v>4363234</v>
      </c>
      <c r="AB146" s="391">
        <f t="shared" si="42"/>
        <v>0</v>
      </c>
      <c r="AC146" s="391">
        <f t="shared" si="43"/>
        <v>0</v>
      </c>
      <c r="AE146" s="393"/>
    </row>
    <row r="147" spans="1:31" s="390" customFormat="1" ht="24" customHeight="1">
      <c r="A147" s="167">
        <v>137</v>
      </c>
      <c r="B147" s="20" t="str">
        <f>IFERROR(VLOOKUP(A147,'JUNE (물량흐름)'!$A$13:$C$502,2,0),0)</f>
        <v>ANN TAYLOR</v>
      </c>
      <c r="C147" s="272">
        <f>VLOOKUP(A147,'JUNE (물량흐름)'!$A$13:$C$502,3,0)</f>
        <v>458626</v>
      </c>
      <c r="D147" s="6">
        <f>VLOOKUP(C147,'WIP(재공품)'!$B$12:$E$493,4,0)</f>
        <v>7936.2499999999991</v>
      </c>
      <c r="E147" s="6">
        <f>IFERROR(VLOOKUP(C147,O.B.JUNE!$AI$7:$AJ$448,2,0),0)</f>
        <v>0</v>
      </c>
      <c r="F147" s="6">
        <f>IFERROR(VLOOKUP(C147,O.B.JUNE!$AI$7:$AK$448,3,0),0)</f>
        <v>0</v>
      </c>
      <c r="G147" s="6">
        <f>IFERROR(VLOOKUP(C147,O.B.JUNE!$AI$7:$AL$448,4,0),0)</f>
        <v>165</v>
      </c>
      <c r="H147" s="6">
        <f t="shared" si="36"/>
        <v>165</v>
      </c>
      <c r="I147" s="6">
        <f>IFERROR(VLOOKUP(C147,O.B.JUNE!$AI$7:$AN$448,6,0),0)</f>
        <v>132</v>
      </c>
      <c r="J147" s="6"/>
      <c r="K147" s="6">
        <f>IFERROR(VLOOKUP(C147,O.B.JUNE!$AI$7:$AO$448,7,0),0)</f>
        <v>1467740</v>
      </c>
      <c r="L147" s="6">
        <f>SUMIF('JUNE (물량흐름)'!$C$13:$C$488,'Overhead exp(제조경비)'!C147,'JUNE (물량흐름)'!$H$13:$H$493)+SUMIF('JUNE (물량흐름)'!$C$13:$C$493,'Overhead exp(제조경비)'!C147,'JUNE (물량흐름)'!$V$13:$V$493)</f>
        <v>0</v>
      </c>
      <c r="M147" s="6">
        <f t="shared" si="37"/>
        <v>0</v>
      </c>
      <c r="N147" s="6">
        <f t="shared" si="38"/>
        <v>0</v>
      </c>
      <c r="O147" s="6">
        <f t="shared" si="31"/>
        <v>0</v>
      </c>
      <c r="P147" s="6">
        <f>SUMIF('JUNE (물량흐름)'!$C$13:$C$502,C147,'JUNE (물량흐름)'!$T$13:$T$502)+SUMIF('JUNE (물량흐름)'!$C$13:$C$502,C147,'JUNE (물량흐름)'!$V$13:$V$502)+SUMIF('JUNE (물량흐름)'!$C$13:$C$502,C147,'JUNE (물량흐름)'!$U$13:$U$502)-SUMIF('JUNE (물량흐름)'!$C$13:$C$502,C147,'JUNE (물량흐름)'!$Y$13:$Y$502)</f>
        <v>0</v>
      </c>
      <c r="Q147" s="6">
        <f t="shared" si="44"/>
        <v>0</v>
      </c>
      <c r="R147" s="6">
        <f>IF(ISERROR(VLOOKUP(#REF!,'WIP(재공품)'!$B$12:$AB$38,13,0)),0,VLOOKUP(#REF!,'WIP(재공품)'!$B$12:$AB$38,13,0))</f>
        <v>0</v>
      </c>
      <c r="S147" s="6">
        <f>IF(ISERROR(VLOOKUP(#REF!,'WIP(재공품)'!$B$12:$AB$38,10,0)),0,VLOOKUP(#REF!,'WIP(재공품)'!$B$12:$AB$38,10,0))</f>
        <v>0</v>
      </c>
      <c r="T147" s="6">
        <f>SUMIF('JUNE (물량흐름)'!$C$13:$C$502,'Overhead exp(제조경비)'!C147,'JUNE (물량흐름)'!$Y$13:$Y$502)</f>
        <v>0</v>
      </c>
      <c r="U147" s="6">
        <f t="shared" si="39"/>
        <v>0</v>
      </c>
      <c r="V147" s="6">
        <f>ROUND(SUMIF('JUNE (물량흐름)'!$C$13:$C$502,'Overhead exp(제조경비)'!C147,'JUNE (물량흐름)'!$N$13:$N$502),0)</f>
        <v>0</v>
      </c>
      <c r="W147" s="6">
        <f>ROUND(SUMIF('JUNE (물량흐름)'!$C$13:$C$502,'Overhead exp(제조경비)'!C147,'JUNE (물량흐름)'!$O$13:$O$502),0)</f>
        <v>0</v>
      </c>
      <c r="X147" s="6">
        <f>ROUND(SUMIF('JUNE (물량흐름)'!$C$13:$C$502,'Overhead exp(제조경비)'!C147,'JUNE (물량흐름)'!$P$13:$P$502),0)</f>
        <v>165</v>
      </c>
      <c r="Y147" s="167">
        <f t="shared" ref="Y147:Y148" si="46">ROUND(SUM(V147:X147),0)</f>
        <v>165</v>
      </c>
      <c r="Z147" s="167">
        <f t="shared" si="41"/>
        <v>132</v>
      </c>
      <c r="AA147" s="6">
        <f t="shared" si="45"/>
        <v>1467740</v>
      </c>
      <c r="AB147" s="391">
        <f t="shared" si="42"/>
        <v>0</v>
      </c>
      <c r="AC147" s="391">
        <f t="shared" si="43"/>
        <v>0</v>
      </c>
      <c r="AE147" s="393"/>
    </row>
    <row r="148" spans="1:31" s="390" customFormat="1" ht="24" customHeight="1">
      <c r="A148" s="167">
        <v>138</v>
      </c>
      <c r="B148" s="20" t="str">
        <f>IFERROR(VLOOKUP(A148,'JUNE (물량흐름)'!$A$13:$C$502,2,0),0)</f>
        <v>ANN TAYLOR</v>
      </c>
      <c r="C148" s="272">
        <f>VLOOKUP(A148,'JUNE (물량흐름)'!$A$13:$C$502,3,0)</f>
        <v>459044</v>
      </c>
      <c r="D148" s="6">
        <f>VLOOKUP(C148,'WIP(재공품)'!$B$12:$E$493,4,0)</f>
        <v>7936.2499999999991</v>
      </c>
      <c r="E148" s="6">
        <f>IFERROR(VLOOKUP(C148,O.B.JUNE!$AI$7:$AJ$448,2,0),0)</f>
        <v>0</v>
      </c>
      <c r="F148" s="6">
        <f>IFERROR(VLOOKUP(C148,O.B.JUNE!$AI$7:$AK$448,3,0),0)</f>
        <v>0</v>
      </c>
      <c r="G148" s="6">
        <f>IFERROR(VLOOKUP(C148,O.B.JUNE!$AI$7:$AL$448,4,0),0)</f>
        <v>109</v>
      </c>
      <c r="H148" s="6">
        <f t="shared" si="36"/>
        <v>109</v>
      </c>
      <c r="I148" s="6">
        <f>IFERROR(VLOOKUP(C148,O.B.JUNE!$AI$7:$AN$448,6,0),0)</f>
        <v>87</v>
      </c>
      <c r="J148" s="6"/>
      <c r="K148" s="6">
        <f>IFERROR(VLOOKUP(C148,O.B.JUNE!$AI$7:$AO$448,7,0),0)</f>
        <v>905204</v>
      </c>
      <c r="L148" s="6">
        <f>SUMIF('JUNE (물량흐름)'!$C$13:$C$488,'Overhead exp(제조경비)'!C148,'JUNE (물량흐름)'!$H$13:$H$493)+SUMIF('JUNE (물량흐름)'!$C$13:$C$493,'Overhead exp(제조경비)'!C148,'JUNE (물량흐름)'!$V$13:$V$493)</f>
        <v>0</v>
      </c>
      <c r="M148" s="6">
        <f t="shared" si="37"/>
        <v>0</v>
      </c>
      <c r="N148" s="6">
        <f t="shared" si="38"/>
        <v>0</v>
      </c>
      <c r="O148" s="6">
        <f t="shared" si="31"/>
        <v>0</v>
      </c>
      <c r="P148" s="6">
        <f>SUMIF('JUNE (물량흐름)'!$C$13:$C$502,C148,'JUNE (물량흐름)'!$T$13:$T$502)+SUMIF('JUNE (물량흐름)'!$C$13:$C$502,C148,'JUNE (물량흐름)'!$V$13:$V$502)+SUMIF('JUNE (물량흐름)'!$C$13:$C$502,C148,'JUNE (물량흐름)'!$U$13:$U$502)-SUMIF('JUNE (물량흐름)'!$C$13:$C$502,C148,'JUNE (물량흐름)'!$Y$13:$Y$502)</f>
        <v>0</v>
      </c>
      <c r="Q148" s="6">
        <f t="shared" si="44"/>
        <v>0</v>
      </c>
      <c r="R148" s="6">
        <f>IF(ISERROR(VLOOKUP(#REF!,'WIP(재공품)'!$B$12:$AB$38,13,0)),0,VLOOKUP(#REF!,'WIP(재공품)'!$B$12:$AB$38,13,0))</f>
        <v>0</v>
      </c>
      <c r="S148" s="6">
        <f>IF(ISERROR(VLOOKUP(#REF!,'WIP(재공품)'!$B$12:$AB$38,10,0)),0,VLOOKUP(#REF!,'WIP(재공품)'!$B$12:$AB$38,10,0))</f>
        <v>0</v>
      </c>
      <c r="T148" s="6">
        <f>SUMIF('JUNE (물량흐름)'!$C$13:$C$502,'Overhead exp(제조경비)'!C148,'JUNE (물량흐름)'!$Y$13:$Y$502)</f>
        <v>0</v>
      </c>
      <c r="U148" s="6">
        <f t="shared" si="39"/>
        <v>0</v>
      </c>
      <c r="V148" s="6">
        <f>ROUND(SUMIF('JUNE (물량흐름)'!$C$13:$C$502,'Overhead exp(제조경비)'!C148,'JUNE (물량흐름)'!$N$13:$N$502),0)</f>
        <v>0</v>
      </c>
      <c r="W148" s="6">
        <f>ROUND(SUMIF('JUNE (물량흐름)'!$C$13:$C$502,'Overhead exp(제조경비)'!C148,'JUNE (물량흐름)'!$O$13:$O$502),0)</f>
        <v>0</v>
      </c>
      <c r="X148" s="6">
        <f>ROUND(SUMIF('JUNE (물량흐름)'!$C$13:$C$502,'Overhead exp(제조경비)'!C148,'JUNE (물량흐름)'!$P$13:$P$502),0)</f>
        <v>109</v>
      </c>
      <c r="Y148" s="167">
        <f t="shared" si="46"/>
        <v>109</v>
      </c>
      <c r="Z148" s="167">
        <f t="shared" si="41"/>
        <v>87</v>
      </c>
      <c r="AA148" s="6">
        <f t="shared" si="45"/>
        <v>905204</v>
      </c>
      <c r="AB148" s="391">
        <f t="shared" si="42"/>
        <v>0</v>
      </c>
      <c r="AC148" s="391">
        <f t="shared" si="43"/>
        <v>0</v>
      </c>
      <c r="AE148" s="393"/>
    </row>
    <row r="149" spans="1:31" s="390" customFormat="1" ht="24" customHeight="1">
      <c r="A149" s="167">
        <v>139</v>
      </c>
      <c r="B149" s="20" t="str">
        <f>IFERROR(VLOOKUP(A149,'JUNE (물량흐름)'!$A$13:$C$502,2,0),0)</f>
        <v>ANN TAYLOR</v>
      </c>
      <c r="C149" s="272">
        <f>VLOOKUP(A149,'JUNE (물량흐름)'!$A$13:$C$502,3,0)</f>
        <v>459046</v>
      </c>
      <c r="D149" s="6">
        <f>VLOOKUP(C149,'WIP(재공품)'!$B$12:$E$493,4,0)</f>
        <v>36280</v>
      </c>
      <c r="E149" s="6">
        <f>IFERROR(VLOOKUP(C149,O.B.JUNE!$AI$7:$AJ$448,2,0),0)</f>
        <v>0</v>
      </c>
      <c r="F149" s="6">
        <f>IFERROR(VLOOKUP(C149,O.B.JUNE!$AI$7:$AK$448,3,0),0)</f>
        <v>0</v>
      </c>
      <c r="G149" s="6">
        <f>IFERROR(VLOOKUP(C149,O.B.JUNE!$AI$7:$AL$448,4,0),0)</f>
        <v>126</v>
      </c>
      <c r="H149" s="6">
        <f t="shared" si="36"/>
        <v>126</v>
      </c>
      <c r="I149" s="6">
        <f>IFERROR(VLOOKUP(C149,O.B.JUNE!$AI$7:$AN$448,6,0),0)</f>
        <v>101</v>
      </c>
      <c r="J149" s="6"/>
      <c r="K149" s="6">
        <f>IFERROR(VLOOKUP(C149,O.B.JUNE!$AI$7:$AO$448,7,0),0)</f>
        <v>1002898</v>
      </c>
      <c r="L149" s="6">
        <f>SUMIF('JUNE (물량흐름)'!$C$13:$C$488,'Overhead exp(제조경비)'!C149,'JUNE (물량흐름)'!$H$13:$H$493)+SUMIF('JUNE (물량흐름)'!$C$13:$C$493,'Overhead exp(제조경비)'!C149,'JUNE (물량흐름)'!$V$13:$V$493)</f>
        <v>0</v>
      </c>
      <c r="M149" s="6">
        <f t="shared" si="37"/>
        <v>0</v>
      </c>
      <c r="N149" s="6">
        <f t="shared" si="38"/>
        <v>0</v>
      </c>
      <c r="O149" s="6">
        <f t="shared" si="31"/>
        <v>0</v>
      </c>
      <c r="P149" s="6">
        <f>SUMIF('JUNE (물량흐름)'!$C$13:$C$502,C149,'JUNE (물량흐름)'!$T$13:$T$502)+SUMIF('JUNE (물량흐름)'!$C$13:$C$502,C149,'JUNE (물량흐름)'!$V$13:$V$502)+SUMIF('JUNE (물량흐름)'!$C$13:$C$502,C149,'JUNE (물량흐름)'!$U$13:$U$502)-SUMIF('JUNE (물량흐름)'!$C$13:$C$502,C149,'JUNE (물량흐름)'!$Y$13:$Y$502)</f>
        <v>0</v>
      </c>
      <c r="Q149" s="6">
        <f t="shared" si="44"/>
        <v>0</v>
      </c>
      <c r="R149" s="6">
        <f>IF(ISERROR(VLOOKUP(#REF!,'WIP(재공품)'!$B$12:$AB$38,13,0)),0,VLOOKUP(#REF!,'WIP(재공품)'!$B$12:$AB$38,13,0))</f>
        <v>0</v>
      </c>
      <c r="S149" s="6">
        <f>IF(ISERROR(VLOOKUP(#REF!,'WIP(재공품)'!$B$12:$AB$38,10,0)),0,VLOOKUP(#REF!,'WIP(재공품)'!$B$12:$AB$38,10,0))</f>
        <v>0</v>
      </c>
      <c r="T149" s="6">
        <f>SUMIF('JUNE (물량흐름)'!$C$13:$C$502,'Overhead exp(제조경비)'!C149,'JUNE (물량흐름)'!$Y$13:$Y$502)</f>
        <v>0</v>
      </c>
      <c r="U149" s="6">
        <f t="shared" si="39"/>
        <v>0</v>
      </c>
      <c r="V149" s="6">
        <f>ROUND(SUMIF('JUNE (물량흐름)'!$C$13:$C$502,'Overhead exp(제조경비)'!C149,'JUNE (물량흐름)'!$N$13:$N$502),0)</f>
        <v>0</v>
      </c>
      <c r="W149" s="6">
        <f>ROUND(SUMIF('JUNE (물량흐름)'!$C$13:$C$502,'Overhead exp(제조경비)'!C149,'JUNE (물량흐름)'!$O$13:$O$502),0)</f>
        <v>0</v>
      </c>
      <c r="X149" s="6">
        <f>ROUND(SUMIF('JUNE (물량흐름)'!$C$13:$C$502,'Overhead exp(제조경비)'!C149,'JUNE (물량흐름)'!$P$13:$P$502),0)</f>
        <v>126</v>
      </c>
      <c r="Y149" s="6">
        <f t="shared" si="40"/>
        <v>126</v>
      </c>
      <c r="Z149" s="6">
        <f t="shared" si="41"/>
        <v>101</v>
      </c>
      <c r="AA149" s="6">
        <f t="shared" si="45"/>
        <v>1002898</v>
      </c>
      <c r="AB149" s="391">
        <f t="shared" si="42"/>
        <v>0</v>
      </c>
      <c r="AC149" s="391">
        <f t="shared" si="43"/>
        <v>0</v>
      </c>
      <c r="AE149" s="393"/>
    </row>
    <row r="150" spans="1:31" s="390" customFormat="1" ht="24" customHeight="1">
      <c r="A150" s="167">
        <v>140</v>
      </c>
      <c r="B150" s="20" t="str">
        <f>IFERROR(VLOOKUP(A150,'JUNE (물량흐름)'!$A$13:$C$502,2,0),0)</f>
        <v>ANN TAYLOR</v>
      </c>
      <c r="C150" s="272">
        <f>VLOOKUP(A150,'JUNE (물량흐름)'!$A$13:$C$502,3,0)</f>
        <v>459199</v>
      </c>
      <c r="D150" s="6">
        <f>VLOOKUP(C150,'WIP(재공품)'!$B$12:$E$493,4,0)</f>
        <v>7936.2499999999991</v>
      </c>
      <c r="E150" s="6">
        <f>IFERROR(VLOOKUP(C150,O.B.JUNE!$AI$7:$AJ$448,2,0),0)</f>
        <v>0</v>
      </c>
      <c r="F150" s="6">
        <f>IFERROR(VLOOKUP(C150,O.B.JUNE!$AI$7:$AK$448,3,0),0)</f>
        <v>0</v>
      </c>
      <c r="G150" s="6">
        <f>IFERROR(VLOOKUP(C150,O.B.JUNE!$AI$7:$AL$448,4,0),0)</f>
        <v>130</v>
      </c>
      <c r="H150" s="6">
        <f t="shared" si="36"/>
        <v>130</v>
      </c>
      <c r="I150" s="6">
        <f>IFERROR(VLOOKUP(C150,O.B.JUNE!$AI$7:$AN$448,6,0),0)</f>
        <v>104</v>
      </c>
      <c r="J150" s="6"/>
      <c r="K150" s="6">
        <f>IFERROR(VLOOKUP(C150,O.B.JUNE!$AI$7:$AO$448,7,0),0)</f>
        <v>2024150</v>
      </c>
      <c r="L150" s="6">
        <f>SUMIF('JUNE (물량흐름)'!$C$13:$C$488,'Overhead exp(제조경비)'!C150,'JUNE (물량흐름)'!$H$13:$H$493)+SUMIF('JUNE (물량흐름)'!$C$13:$C$493,'Overhead exp(제조경비)'!C150,'JUNE (물량흐름)'!$V$13:$V$493)</f>
        <v>0</v>
      </c>
      <c r="M150" s="6">
        <f t="shared" si="37"/>
        <v>0</v>
      </c>
      <c r="N150" s="6">
        <f t="shared" si="38"/>
        <v>0</v>
      </c>
      <c r="O150" s="6">
        <f t="shared" si="31"/>
        <v>0</v>
      </c>
      <c r="P150" s="6">
        <f>SUMIF('JUNE (물량흐름)'!$C$13:$C$502,C150,'JUNE (물량흐름)'!$T$13:$T$502)+SUMIF('JUNE (물량흐름)'!$C$13:$C$502,C150,'JUNE (물량흐름)'!$V$13:$V$502)+SUMIF('JUNE (물량흐름)'!$C$13:$C$502,C150,'JUNE (물량흐름)'!$U$13:$U$502)-SUMIF('JUNE (물량흐름)'!$C$13:$C$502,C150,'JUNE (물량흐름)'!$Y$13:$Y$502)</f>
        <v>0</v>
      </c>
      <c r="Q150" s="6">
        <f t="shared" si="44"/>
        <v>0</v>
      </c>
      <c r="R150" s="6">
        <f>IF(ISERROR(VLOOKUP(#REF!,'WIP(재공품)'!$B$12:$AB$38,13,0)),0,VLOOKUP(#REF!,'WIP(재공품)'!$B$12:$AB$38,13,0))</f>
        <v>0</v>
      </c>
      <c r="S150" s="6">
        <f>IF(ISERROR(VLOOKUP(#REF!,'WIP(재공품)'!$B$12:$AB$38,10,0)),0,VLOOKUP(#REF!,'WIP(재공품)'!$B$12:$AB$38,10,0))</f>
        <v>0</v>
      </c>
      <c r="T150" s="6">
        <f>SUMIF('JUNE (물량흐름)'!$C$13:$C$502,'Overhead exp(제조경비)'!C150,'JUNE (물량흐름)'!$Y$13:$Y$502)</f>
        <v>0</v>
      </c>
      <c r="U150" s="6">
        <f t="shared" si="39"/>
        <v>0</v>
      </c>
      <c r="V150" s="6">
        <f>ROUND(SUMIF('JUNE (물량흐름)'!$C$13:$C$502,'Overhead exp(제조경비)'!C150,'JUNE (물량흐름)'!$N$13:$N$502),0)</f>
        <v>0</v>
      </c>
      <c r="W150" s="6">
        <f>ROUND(SUMIF('JUNE (물량흐름)'!$C$13:$C$502,'Overhead exp(제조경비)'!C150,'JUNE (물량흐름)'!$O$13:$O$502),0)</f>
        <v>0</v>
      </c>
      <c r="X150" s="6">
        <f>ROUND(SUMIF('JUNE (물량흐름)'!$C$13:$C$502,'Overhead exp(제조경비)'!C150,'JUNE (물량흐름)'!$P$13:$P$502),0)</f>
        <v>130</v>
      </c>
      <c r="Y150" s="167">
        <f t="shared" ref="Y150:Y152" si="47">ROUND(SUM(V150:X150),0)</f>
        <v>130</v>
      </c>
      <c r="Z150" s="167">
        <f t="shared" si="41"/>
        <v>104</v>
      </c>
      <c r="AA150" s="6">
        <f t="shared" si="45"/>
        <v>2024150</v>
      </c>
      <c r="AB150" s="391">
        <f t="shared" si="42"/>
        <v>0</v>
      </c>
      <c r="AC150" s="391">
        <f t="shared" si="43"/>
        <v>0</v>
      </c>
      <c r="AE150" s="393"/>
    </row>
    <row r="151" spans="1:31" s="390" customFormat="1" ht="24" customHeight="1">
      <c r="A151" s="167">
        <v>141</v>
      </c>
      <c r="B151" s="20" t="str">
        <f>IFERROR(VLOOKUP(A151,'JUNE (물량흐름)'!$A$13:$C$502,2,0),0)</f>
        <v>ANN TAYLOR</v>
      </c>
      <c r="C151" s="272">
        <f>VLOOKUP(A151,'JUNE (물량흐름)'!$A$13:$C$502,3,0)</f>
        <v>459200</v>
      </c>
      <c r="D151" s="6">
        <f>VLOOKUP(C151,'WIP(재공품)'!$B$12:$E$493,4,0)</f>
        <v>7936.2499999999991</v>
      </c>
      <c r="E151" s="6">
        <f>IFERROR(VLOOKUP(C151,O.B.JUNE!$AI$7:$AJ$448,2,0),0)</f>
        <v>0</v>
      </c>
      <c r="F151" s="6">
        <f>IFERROR(VLOOKUP(C151,O.B.JUNE!$AI$7:$AK$448,3,0),0)</f>
        <v>0</v>
      </c>
      <c r="G151" s="6">
        <f>IFERROR(VLOOKUP(C151,O.B.JUNE!$AI$7:$AL$448,4,0),0)</f>
        <v>91</v>
      </c>
      <c r="H151" s="6">
        <f t="shared" si="36"/>
        <v>91</v>
      </c>
      <c r="I151" s="6">
        <f>IFERROR(VLOOKUP(C151,O.B.JUNE!$AI$7:$AN$448,6,0),0)</f>
        <v>73</v>
      </c>
      <c r="J151" s="6"/>
      <c r="K151" s="6">
        <f>IFERROR(VLOOKUP(C151,O.B.JUNE!$AI$7:$AO$448,7,0),0)</f>
        <v>764174</v>
      </c>
      <c r="L151" s="6">
        <f>SUMIF('JUNE (물량흐름)'!$C$13:$C$488,'Overhead exp(제조경비)'!C151,'JUNE (물량흐름)'!$H$13:$H$493)+SUMIF('JUNE (물량흐름)'!$C$13:$C$493,'Overhead exp(제조경비)'!C151,'JUNE (물량흐름)'!$V$13:$V$493)</f>
        <v>0</v>
      </c>
      <c r="M151" s="6">
        <f t="shared" si="37"/>
        <v>0</v>
      </c>
      <c r="N151" s="6">
        <f t="shared" si="38"/>
        <v>0</v>
      </c>
      <c r="O151" s="6">
        <f t="shared" si="31"/>
        <v>0</v>
      </c>
      <c r="P151" s="6">
        <f>SUMIF('JUNE (물량흐름)'!$C$13:$C$502,C151,'JUNE (물량흐름)'!$T$13:$T$502)+SUMIF('JUNE (물량흐름)'!$C$13:$C$502,C151,'JUNE (물량흐름)'!$V$13:$V$502)+SUMIF('JUNE (물량흐름)'!$C$13:$C$502,C151,'JUNE (물량흐름)'!$U$13:$U$502)-SUMIF('JUNE (물량흐름)'!$C$13:$C$502,C151,'JUNE (물량흐름)'!$Y$13:$Y$502)</f>
        <v>0</v>
      </c>
      <c r="Q151" s="6">
        <f t="shared" si="44"/>
        <v>0</v>
      </c>
      <c r="R151" s="6">
        <f>IF(ISERROR(VLOOKUP(#REF!,'WIP(재공품)'!$B$12:$AB$38,13,0)),0,VLOOKUP(#REF!,'WIP(재공품)'!$B$12:$AB$38,13,0))</f>
        <v>0</v>
      </c>
      <c r="S151" s="6">
        <f>IF(ISERROR(VLOOKUP(#REF!,'WIP(재공품)'!$B$12:$AB$38,10,0)),0,VLOOKUP(#REF!,'WIP(재공품)'!$B$12:$AB$38,10,0))</f>
        <v>0</v>
      </c>
      <c r="T151" s="6">
        <f>SUMIF('JUNE (물량흐름)'!$C$13:$C$502,'Overhead exp(제조경비)'!C151,'JUNE (물량흐름)'!$Y$13:$Y$502)</f>
        <v>0</v>
      </c>
      <c r="U151" s="6">
        <f t="shared" si="39"/>
        <v>0</v>
      </c>
      <c r="V151" s="6">
        <f>ROUND(SUMIF('JUNE (물량흐름)'!$C$13:$C$502,'Overhead exp(제조경비)'!C151,'JUNE (물량흐름)'!$N$13:$N$502),0)</f>
        <v>0</v>
      </c>
      <c r="W151" s="6">
        <f>ROUND(SUMIF('JUNE (물량흐름)'!$C$13:$C$502,'Overhead exp(제조경비)'!C151,'JUNE (물량흐름)'!$O$13:$O$502),0)</f>
        <v>0</v>
      </c>
      <c r="X151" s="6">
        <f>ROUND(SUMIF('JUNE (물량흐름)'!$C$13:$C$502,'Overhead exp(제조경비)'!C151,'JUNE (물량흐름)'!$P$13:$P$502),0)</f>
        <v>91</v>
      </c>
      <c r="Y151" s="167">
        <f t="shared" si="47"/>
        <v>91</v>
      </c>
      <c r="Z151" s="167">
        <f t="shared" si="41"/>
        <v>73</v>
      </c>
      <c r="AA151" s="6">
        <f t="shared" si="45"/>
        <v>764174</v>
      </c>
      <c r="AB151" s="391">
        <f t="shared" si="42"/>
        <v>0</v>
      </c>
      <c r="AC151" s="391">
        <f t="shared" si="43"/>
        <v>0</v>
      </c>
      <c r="AE151" s="393"/>
    </row>
    <row r="152" spans="1:31" s="390" customFormat="1" ht="24" customHeight="1">
      <c r="A152" s="167">
        <v>142</v>
      </c>
      <c r="B152" s="20" t="str">
        <f>IFERROR(VLOOKUP(A152,'JUNE (물량흐름)'!$A$13:$C$502,2,0),0)</f>
        <v>ANN TAYLOR</v>
      </c>
      <c r="C152" s="272">
        <f>VLOOKUP(A152,'JUNE (물량흐름)'!$A$13:$C$502,3,0)</f>
        <v>459648</v>
      </c>
      <c r="D152" s="6">
        <f>VLOOKUP(C152,'WIP(재공품)'!$B$12:$E$493,4,0)</f>
        <v>7936.2499999999991</v>
      </c>
      <c r="E152" s="6">
        <f>IFERROR(VLOOKUP(C152,O.B.JUNE!$AI$7:$AJ$448,2,0),0)</f>
        <v>0</v>
      </c>
      <c r="F152" s="6">
        <f>IFERROR(VLOOKUP(C152,O.B.JUNE!$AI$7:$AK$448,3,0),0)</f>
        <v>0</v>
      </c>
      <c r="G152" s="6">
        <f>IFERROR(VLOOKUP(C152,O.B.JUNE!$AI$7:$AL$448,4,0),0)</f>
        <v>111</v>
      </c>
      <c r="H152" s="6">
        <f t="shared" si="36"/>
        <v>111</v>
      </c>
      <c r="I152" s="6">
        <f>IFERROR(VLOOKUP(C152,O.B.JUNE!$AI$7:$AN$448,6,0),0)</f>
        <v>89</v>
      </c>
      <c r="J152" s="6"/>
      <c r="K152" s="6">
        <f>IFERROR(VLOOKUP(C152,O.B.JUNE!$AI$7:$AO$448,7,0),0)</f>
        <v>990112</v>
      </c>
      <c r="L152" s="6">
        <f>SUMIF('JUNE (물량흐름)'!$C$13:$C$488,'Overhead exp(제조경비)'!C152,'JUNE (물량흐름)'!$H$13:$H$493)+SUMIF('JUNE (물량흐름)'!$C$13:$C$493,'Overhead exp(제조경비)'!C152,'JUNE (물량흐름)'!$V$13:$V$493)</f>
        <v>0</v>
      </c>
      <c r="M152" s="6">
        <f t="shared" si="37"/>
        <v>0</v>
      </c>
      <c r="N152" s="6">
        <f t="shared" si="38"/>
        <v>0</v>
      </c>
      <c r="O152" s="6">
        <f t="shared" si="31"/>
        <v>0</v>
      </c>
      <c r="P152" s="6">
        <f>SUMIF('JUNE (물량흐름)'!$C$13:$C$502,C152,'JUNE (물량흐름)'!$T$13:$T$502)+SUMIF('JUNE (물량흐름)'!$C$13:$C$502,C152,'JUNE (물량흐름)'!$V$13:$V$502)+SUMIF('JUNE (물량흐름)'!$C$13:$C$502,C152,'JUNE (물량흐름)'!$U$13:$U$502)-SUMIF('JUNE (물량흐름)'!$C$13:$C$502,C152,'JUNE (물량흐름)'!$Y$13:$Y$502)</f>
        <v>0</v>
      </c>
      <c r="Q152" s="6">
        <f t="shared" si="44"/>
        <v>0</v>
      </c>
      <c r="R152" s="6">
        <f>IF(ISERROR(VLOOKUP(#REF!,'WIP(재공품)'!$B$12:$AB$38,13,0)),0,VLOOKUP(#REF!,'WIP(재공품)'!$B$12:$AB$38,13,0))</f>
        <v>0</v>
      </c>
      <c r="S152" s="6">
        <f>IF(ISERROR(VLOOKUP(#REF!,'WIP(재공품)'!$B$12:$AB$38,10,0)),0,VLOOKUP(#REF!,'WIP(재공품)'!$B$12:$AB$38,10,0))</f>
        <v>0</v>
      </c>
      <c r="T152" s="6">
        <f>SUMIF('JUNE (물량흐름)'!$C$13:$C$502,'Overhead exp(제조경비)'!C152,'JUNE (물량흐름)'!$Y$13:$Y$502)</f>
        <v>0</v>
      </c>
      <c r="U152" s="6">
        <f t="shared" si="39"/>
        <v>0</v>
      </c>
      <c r="V152" s="6">
        <f>ROUND(SUMIF('JUNE (물량흐름)'!$C$13:$C$502,'Overhead exp(제조경비)'!C152,'JUNE (물량흐름)'!$N$13:$N$502),0)</f>
        <v>0</v>
      </c>
      <c r="W152" s="6">
        <f>ROUND(SUMIF('JUNE (물량흐름)'!$C$13:$C$502,'Overhead exp(제조경비)'!C152,'JUNE (물량흐름)'!$O$13:$O$502),0)</f>
        <v>0</v>
      </c>
      <c r="X152" s="6">
        <f>ROUND(SUMIF('JUNE (물량흐름)'!$C$13:$C$502,'Overhead exp(제조경비)'!C152,'JUNE (물량흐름)'!$P$13:$P$502),0)</f>
        <v>111</v>
      </c>
      <c r="Y152" s="167">
        <f t="shared" si="47"/>
        <v>111</v>
      </c>
      <c r="Z152" s="167">
        <f t="shared" si="41"/>
        <v>89</v>
      </c>
      <c r="AA152" s="6">
        <f t="shared" si="45"/>
        <v>990112</v>
      </c>
      <c r="AB152" s="391">
        <f t="shared" si="42"/>
        <v>0</v>
      </c>
      <c r="AC152" s="391">
        <f t="shared" si="43"/>
        <v>0</v>
      </c>
      <c r="AE152" s="393"/>
    </row>
    <row r="153" spans="1:31" s="390" customFormat="1" ht="24" customHeight="1">
      <c r="A153" s="167">
        <v>143</v>
      </c>
      <c r="B153" s="20" t="str">
        <f>IFERROR(VLOOKUP(A153,'JUNE (물량흐름)'!$A$13:$C$502,2,0),0)</f>
        <v>ANN TAYLOR</v>
      </c>
      <c r="C153" s="272">
        <f>VLOOKUP(A153,'JUNE (물량흐름)'!$A$13:$C$502,3,0)</f>
        <v>459700</v>
      </c>
      <c r="D153" s="6">
        <f>VLOOKUP(C153,'WIP(재공품)'!$B$12:$E$493,4,0)</f>
        <v>32878.75</v>
      </c>
      <c r="E153" s="6">
        <f>IFERROR(VLOOKUP(C153,O.B.JUNE!$AI$7:$AJ$448,2,0),0)</f>
        <v>0</v>
      </c>
      <c r="F153" s="6">
        <f>IFERROR(VLOOKUP(C153,O.B.JUNE!$AI$7:$AK$448,3,0),0)</f>
        <v>0</v>
      </c>
      <c r="G153" s="6">
        <f>IFERROR(VLOOKUP(C153,O.B.JUNE!$AI$7:$AL$448,4,0),0)</f>
        <v>78</v>
      </c>
      <c r="H153" s="6">
        <f t="shared" si="36"/>
        <v>78</v>
      </c>
      <c r="I153" s="6">
        <f>IFERROR(VLOOKUP(C153,O.B.JUNE!$AI$7:$AN$448,6,0),0)</f>
        <v>62</v>
      </c>
      <c r="J153" s="6"/>
      <c r="K153" s="6">
        <f>IFERROR(VLOOKUP(C153,O.B.JUNE!$AI$7:$AO$448,7,0),0)</f>
        <v>550047</v>
      </c>
      <c r="L153" s="6">
        <f>SUMIF('JUNE (물량흐름)'!$C$13:$C$488,'Overhead exp(제조경비)'!C153,'JUNE (물량흐름)'!$H$13:$H$493)+SUMIF('JUNE (물량흐름)'!$C$13:$C$493,'Overhead exp(제조경비)'!C153,'JUNE (물량흐름)'!$V$13:$V$493)</f>
        <v>0</v>
      </c>
      <c r="M153" s="6">
        <f t="shared" si="37"/>
        <v>0</v>
      </c>
      <c r="N153" s="6">
        <f t="shared" si="38"/>
        <v>0</v>
      </c>
      <c r="O153" s="6">
        <f t="shared" si="31"/>
        <v>0</v>
      </c>
      <c r="P153" s="6">
        <f>SUMIF('JUNE (물량흐름)'!$C$13:$C$502,C153,'JUNE (물량흐름)'!$T$13:$T$502)+SUMIF('JUNE (물량흐름)'!$C$13:$C$502,C153,'JUNE (물량흐름)'!$V$13:$V$502)+SUMIF('JUNE (물량흐름)'!$C$13:$C$502,C153,'JUNE (물량흐름)'!$U$13:$U$502)-SUMIF('JUNE (물량흐름)'!$C$13:$C$502,C153,'JUNE (물량흐름)'!$Y$13:$Y$502)</f>
        <v>0</v>
      </c>
      <c r="Q153" s="6">
        <f t="shared" si="44"/>
        <v>0</v>
      </c>
      <c r="R153" s="6">
        <f>IF(ISERROR(VLOOKUP(#REF!,'WIP(재공품)'!$B$12:$AB$38,13,0)),0,VLOOKUP(#REF!,'WIP(재공품)'!$B$12:$AB$38,13,0))</f>
        <v>0</v>
      </c>
      <c r="S153" s="6">
        <f>IF(ISERROR(VLOOKUP(#REF!,'WIP(재공품)'!$B$12:$AB$38,10,0)),0,VLOOKUP(#REF!,'WIP(재공품)'!$B$12:$AB$38,10,0))</f>
        <v>0</v>
      </c>
      <c r="T153" s="6">
        <f>SUMIF('JUNE (물량흐름)'!$C$13:$C$502,'Overhead exp(제조경비)'!C153,'JUNE (물량흐름)'!$Y$13:$Y$502)</f>
        <v>0</v>
      </c>
      <c r="U153" s="6">
        <f t="shared" si="39"/>
        <v>0</v>
      </c>
      <c r="V153" s="6">
        <f>ROUND(SUMIF('JUNE (물량흐름)'!$C$13:$C$502,'Overhead exp(제조경비)'!C153,'JUNE (물량흐름)'!$N$13:$N$502),0)</f>
        <v>0</v>
      </c>
      <c r="W153" s="6">
        <f>ROUND(SUMIF('JUNE (물량흐름)'!$C$13:$C$502,'Overhead exp(제조경비)'!C153,'JUNE (물량흐름)'!$O$13:$O$502),0)</f>
        <v>0</v>
      </c>
      <c r="X153" s="6">
        <f>ROUND(SUMIF('JUNE (물량흐름)'!$C$13:$C$502,'Overhead exp(제조경비)'!C153,'JUNE (물량흐름)'!$P$13:$P$502),0)</f>
        <v>78</v>
      </c>
      <c r="Y153" s="6">
        <f t="shared" si="40"/>
        <v>78</v>
      </c>
      <c r="Z153" s="6">
        <f t="shared" si="41"/>
        <v>62</v>
      </c>
      <c r="AA153" s="6">
        <f t="shared" si="45"/>
        <v>550047</v>
      </c>
      <c r="AB153" s="391">
        <f t="shared" si="42"/>
        <v>0</v>
      </c>
      <c r="AC153" s="391">
        <f t="shared" si="43"/>
        <v>0</v>
      </c>
      <c r="AE153" s="393"/>
    </row>
    <row r="154" spans="1:31" s="390" customFormat="1" ht="24" customHeight="1">
      <c r="A154" s="167">
        <v>144</v>
      </c>
      <c r="B154" s="20" t="str">
        <f>IFERROR(VLOOKUP(A154,'JUNE (물량흐름)'!$A$13:$C$502,2,0),0)</f>
        <v>ANN TAYLOR</v>
      </c>
      <c r="C154" s="272">
        <f>VLOOKUP(A154,'JUNE (물량흐름)'!$A$13:$C$502,3,0)</f>
        <v>459701</v>
      </c>
      <c r="D154" s="6">
        <f>VLOOKUP(C154,'WIP(재공품)'!$B$12:$E$493,4,0)</f>
        <v>34012.5</v>
      </c>
      <c r="E154" s="6">
        <f>IFERROR(VLOOKUP(C154,O.B.JUNE!$AI$7:$AJ$448,2,0),0)</f>
        <v>0</v>
      </c>
      <c r="F154" s="6">
        <f>IFERROR(VLOOKUP(C154,O.B.JUNE!$AI$7:$AK$448,3,0),0)</f>
        <v>0</v>
      </c>
      <c r="G154" s="6">
        <f>IFERROR(VLOOKUP(C154,O.B.JUNE!$AI$7:$AL$448,4,0),0)</f>
        <v>133</v>
      </c>
      <c r="H154" s="6">
        <f t="shared" si="36"/>
        <v>133</v>
      </c>
      <c r="I154" s="6">
        <f>IFERROR(VLOOKUP(C154,O.B.JUNE!$AI$7:$AN$448,6,0),0)</f>
        <v>106</v>
      </c>
      <c r="J154" s="6"/>
      <c r="K154" s="6">
        <f>IFERROR(VLOOKUP(C154,O.B.JUNE!$AI$7:$AO$448,7,0),0)</f>
        <v>492041</v>
      </c>
      <c r="L154" s="6">
        <f>SUMIF('JUNE (물량흐름)'!$C$13:$C$488,'Overhead exp(제조경비)'!C154,'JUNE (물량흐름)'!$H$13:$H$493)+SUMIF('JUNE (물량흐름)'!$C$13:$C$493,'Overhead exp(제조경비)'!C154,'JUNE (물량흐름)'!$V$13:$V$493)</f>
        <v>0</v>
      </c>
      <c r="M154" s="6">
        <f t="shared" si="37"/>
        <v>0</v>
      </c>
      <c r="N154" s="6">
        <f t="shared" si="38"/>
        <v>0</v>
      </c>
      <c r="O154" s="6">
        <f t="shared" si="31"/>
        <v>0</v>
      </c>
      <c r="P154" s="6">
        <f>SUMIF('JUNE (물량흐름)'!$C$13:$C$502,C154,'JUNE (물량흐름)'!$T$13:$T$502)+SUMIF('JUNE (물량흐름)'!$C$13:$C$502,C154,'JUNE (물량흐름)'!$V$13:$V$502)+SUMIF('JUNE (물량흐름)'!$C$13:$C$502,C154,'JUNE (물량흐름)'!$U$13:$U$502)-SUMIF('JUNE (물량흐름)'!$C$13:$C$502,C154,'JUNE (물량흐름)'!$Y$13:$Y$502)</f>
        <v>0</v>
      </c>
      <c r="Q154" s="6">
        <f t="shared" si="44"/>
        <v>0</v>
      </c>
      <c r="R154" s="6">
        <f>IF(ISERROR(VLOOKUP(#REF!,'WIP(재공품)'!$B$12:$AB$38,13,0)),0,VLOOKUP(#REF!,'WIP(재공품)'!$B$12:$AB$38,13,0))</f>
        <v>0</v>
      </c>
      <c r="S154" s="6">
        <f>IF(ISERROR(VLOOKUP(#REF!,'WIP(재공품)'!$B$12:$AB$38,10,0)),0,VLOOKUP(#REF!,'WIP(재공품)'!$B$12:$AB$38,10,0))</f>
        <v>0</v>
      </c>
      <c r="T154" s="6">
        <f>SUMIF('JUNE (물량흐름)'!$C$13:$C$502,'Overhead exp(제조경비)'!C154,'JUNE (물량흐름)'!$Y$13:$Y$502)</f>
        <v>0</v>
      </c>
      <c r="U154" s="6">
        <f t="shared" si="39"/>
        <v>0</v>
      </c>
      <c r="V154" s="6">
        <f>ROUND(SUMIF('JUNE (물량흐름)'!$C$13:$C$502,'Overhead exp(제조경비)'!C154,'JUNE (물량흐름)'!$N$13:$N$502),0)</f>
        <v>0</v>
      </c>
      <c r="W154" s="6">
        <f>ROUND(SUMIF('JUNE (물량흐름)'!$C$13:$C$502,'Overhead exp(제조경비)'!C154,'JUNE (물량흐름)'!$O$13:$O$502),0)</f>
        <v>0</v>
      </c>
      <c r="X154" s="6">
        <f>ROUND(SUMIF('JUNE (물량흐름)'!$C$13:$C$502,'Overhead exp(제조경비)'!C154,'JUNE (물량흐름)'!$P$13:$P$502),0)</f>
        <v>133</v>
      </c>
      <c r="Y154" s="6">
        <f t="shared" si="40"/>
        <v>133</v>
      </c>
      <c r="Z154" s="6">
        <f t="shared" si="41"/>
        <v>106</v>
      </c>
      <c r="AA154" s="6">
        <f t="shared" si="45"/>
        <v>492041</v>
      </c>
      <c r="AB154" s="391">
        <f t="shared" si="42"/>
        <v>0</v>
      </c>
      <c r="AC154" s="391">
        <f t="shared" si="43"/>
        <v>0</v>
      </c>
      <c r="AE154" s="393"/>
    </row>
    <row r="155" spans="1:31" s="390" customFormat="1" ht="24" customHeight="1">
      <c r="A155" s="167">
        <v>145</v>
      </c>
      <c r="B155" s="20" t="str">
        <f>IFERROR(VLOOKUP(A155,'JUNE (물량흐름)'!$A$13:$C$502,2,0),0)</f>
        <v>ANN TAYLOR</v>
      </c>
      <c r="C155" s="272">
        <f>VLOOKUP(A155,'JUNE (물량흐름)'!$A$13:$C$502,3,0)</f>
        <v>459702</v>
      </c>
      <c r="D155" s="6">
        <f>VLOOKUP(C155,'WIP(재공품)'!$B$12:$E$493,4,0)</f>
        <v>8163</v>
      </c>
      <c r="E155" s="6">
        <f>IFERROR(VLOOKUP(C155,O.B.JUNE!$AI$7:$AJ$448,2,0),0)</f>
        <v>0</v>
      </c>
      <c r="F155" s="6">
        <f>IFERROR(VLOOKUP(C155,O.B.JUNE!$AI$7:$AK$448,3,0),0)</f>
        <v>0</v>
      </c>
      <c r="G155" s="6">
        <f>IFERROR(VLOOKUP(C155,O.B.JUNE!$AI$7:$AL$448,4,0),0)</f>
        <v>42</v>
      </c>
      <c r="H155" s="6">
        <f t="shared" si="36"/>
        <v>42</v>
      </c>
      <c r="I155" s="6">
        <f>IFERROR(VLOOKUP(C155,O.B.JUNE!$AI$7:$AN$448,6,0),0)</f>
        <v>34</v>
      </c>
      <c r="J155" s="6"/>
      <c r="K155" s="6">
        <f>IFERROR(VLOOKUP(C155,O.B.JUNE!$AI$7:$AO$448,7,0),0)</f>
        <v>370021</v>
      </c>
      <c r="L155" s="6">
        <f>SUMIF('JUNE (물량흐름)'!$C$13:$C$488,'Overhead exp(제조경비)'!C155,'JUNE (물량흐름)'!$H$13:$H$493)+SUMIF('JUNE (물량흐름)'!$C$13:$C$493,'Overhead exp(제조경비)'!C155,'JUNE (물량흐름)'!$V$13:$V$493)</f>
        <v>0</v>
      </c>
      <c r="M155" s="6">
        <f t="shared" si="37"/>
        <v>0</v>
      </c>
      <c r="N155" s="6">
        <f t="shared" si="38"/>
        <v>0</v>
      </c>
      <c r="O155" s="6">
        <f t="shared" si="31"/>
        <v>0</v>
      </c>
      <c r="P155" s="6">
        <f>SUMIF('JUNE (물량흐름)'!$C$13:$C$502,C155,'JUNE (물량흐름)'!$T$13:$T$502)+SUMIF('JUNE (물량흐름)'!$C$13:$C$502,C155,'JUNE (물량흐름)'!$V$13:$V$502)+SUMIF('JUNE (물량흐름)'!$C$13:$C$502,C155,'JUNE (물량흐름)'!$U$13:$U$502)-SUMIF('JUNE (물량흐름)'!$C$13:$C$502,C155,'JUNE (물량흐름)'!$Y$13:$Y$502)</f>
        <v>0</v>
      </c>
      <c r="Q155" s="6">
        <f t="shared" si="44"/>
        <v>0</v>
      </c>
      <c r="R155" s="6">
        <f>IF(ISERROR(VLOOKUP(#REF!,'WIP(재공품)'!$B$12:$AB$38,13,0)),0,VLOOKUP(#REF!,'WIP(재공품)'!$B$12:$AB$38,13,0))</f>
        <v>0</v>
      </c>
      <c r="S155" s="6">
        <f>IF(ISERROR(VLOOKUP(#REF!,'WIP(재공품)'!$B$12:$AB$38,10,0)),0,VLOOKUP(#REF!,'WIP(재공품)'!$B$12:$AB$38,10,0))</f>
        <v>0</v>
      </c>
      <c r="T155" s="6">
        <f>SUMIF('JUNE (물량흐름)'!$C$13:$C$502,'Overhead exp(제조경비)'!C155,'JUNE (물량흐름)'!$Y$13:$Y$502)</f>
        <v>0</v>
      </c>
      <c r="U155" s="6">
        <f t="shared" si="39"/>
        <v>0</v>
      </c>
      <c r="V155" s="6">
        <f>ROUND(SUMIF('JUNE (물량흐름)'!$C$13:$C$502,'Overhead exp(제조경비)'!C155,'JUNE (물량흐름)'!$N$13:$N$502),0)</f>
        <v>0</v>
      </c>
      <c r="W155" s="6">
        <f>ROUND(SUMIF('JUNE (물량흐름)'!$C$13:$C$502,'Overhead exp(제조경비)'!C155,'JUNE (물량흐름)'!$O$13:$O$502),0)</f>
        <v>0</v>
      </c>
      <c r="X155" s="6">
        <f>ROUND(SUMIF('JUNE (물량흐름)'!$C$13:$C$502,'Overhead exp(제조경비)'!C155,'JUNE (물량흐름)'!$P$13:$P$502),0)</f>
        <v>42</v>
      </c>
      <c r="Y155" s="6">
        <f t="shared" si="40"/>
        <v>42</v>
      </c>
      <c r="Z155" s="6">
        <f t="shared" si="41"/>
        <v>34</v>
      </c>
      <c r="AA155" s="6">
        <f t="shared" si="45"/>
        <v>370021</v>
      </c>
      <c r="AB155" s="391">
        <f t="shared" si="42"/>
        <v>0</v>
      </c>
      <c r="AC155" s="391">
        <f t="shared" si="43"/>
        <v>0</v>
      </c>
      <c r="AE155" s="393"/>
    </row>
    <row r="156" spans="1:31" s="390" customFormat="1" ht="24" customHeight="1">
      <c r="A156" s="167">
        <v>146</v>
      </c>
      <c r="B156" s="20" t="str">
        <f>IFERROR(VLOOKUP(A156,'JUNE (물량흐름)'!$A$13:$C$502,2,0),0)</f>
        <v>ANN TAYLOR</v>
      </c>
      <c r="C156" s="272">
        <f>VLOOKUP(A156,'JUNE (물량흐름)'!$A$13:$C$502,3,0)</f>
        <v>459703</v>
      </c>
      <c r="D156" s="6">
        <f>VLOOKUP(C156,'WIP(재공품)'!$B$12:$E$493,4,0)</f>
        <v>34012.5</v>
      </c>
      <c r="E156" s="6">
        <f>IFERROR(VLOOKUP(C156,O.B.JUNE!$AI$7:$AJ$448,2,0),0)</f>
        <v>0</v>
      </c>
      <c r="F156" s="6">
        <f>IFERROR(VLOOKUP(C156,O.B.JUNE!$AI$7:$AK$448,3,0),0)</f>
        <v>0</v>
      </c>
      <c r="G156" s="6">
        <f>IFERROR(VLOOKUP(C156,O.B.JUNE!$AI$7:$AL$448,4,0),0)</f>
        <v>45</v>
      </c>
      <c r="H156" s="6">
        <f t="shared" si="36"/>
        <v>45</v>
      </c>
      <c r="I156" s="6">
        <f>IFERROR(VLOOKUP(C156,O.B.JUNE!$AI$7:$AN$448,6,0),0)</f>
        <v>36</v>
      </c>
      <c r="J156" s="6"/>
      <c r="K156" s="6">
        <f>IFERROR(VLOOKUP(C156,O.B.JUNE!$AI$7:$AO$448,7,0),0)</f>
        <v>660133</v>
      </c>
      <c r="L156" s="6">
        <f>SUMIF('JUNE (물량흐름)'!$C$13:$C$488,'Overhead exp(제조경비)'!C156,'JUNE (물량흐름)'!$H$13:$H$493)+SUMIF('JUNE (물량흐름)'!$C$13:$C$493,'Overhead exp(제조경비)'!C156,'JUNE (물량흐름)'!$V$13:$V$493)</f>
        <v>0</v>
      </c>
      <c r="M156" s="6">
        <f t="shared" si="37"/>
        <v>0</v>
      </c>
      <c r="N156" s="6">
        <f t="shared" si="38"/>
        <v>0</v>
      </c>
      <c r="O156" s="6">
        <f t="shared" si="31"/>
        <v>0</v>
      </c>
      <c r="P156" s="6">
        <f>SUMIF('JUNE (물량흐름)'!$C$13:$C$502,C156,'JUNE (물량흐름)'!$T$13:$T$502)+SUMIF('JUNE (물량흐름)'!$C$13:$C$502,C156,'JUNE (물량흐름)'!$V$13:$V$502)+SUMIF('JUNE (물량흐름)'!$C$13:$C$502,C156,'JUNE (물량흐름)'!$U$13:$U$502)-SUMIF('JUNE (물량흐름)'!$C$13:$C$502,C156,'JUNE (물량흐름)'!$Y$13:$Y$502)</f>
        <v>0</v>
      </c>
      <c r="Q156" s="6">
        <f t="shared" si="44"/>
        <v>0</v>
      </c>
      <c r="R156" s="6">
        <f>IF(ISERROR(VLOOKUP(#REF!,'WIP(재공품)'!$B$12:$AB$38,13,0)),0,VLOOKUP(#REF!,'WIP(재공품)'!$B$12:$AB$38,13,0))</f>
        <v>0</v>
      </c>
      <c r="S156" s="6">
        <f>IF(ISERROR(VLOOKUP(#REF!,'WIP(재공품)'!$B$12:$AB$38,10,0)),0,VLOOKUP(#REF!,'WIP(재공품)'!$B$12:$AB$38,10,0))</f>
        <v>0</v>
      </c>
      <c r="T156" s="6">
        <f>SUMIF('JUNE (물량흐름)'!$C$13:$C$502,'Overhead exp(제조경비)'!C156,'JUNE (물량흐름)'!$Y$13:$Y$502)</f>
        <v>0</v>
      </c>
      <c r="U156" s="6">
        <f t="shared" si="39"/>
        <v>0</v>
      </c>
      <c r="V156" s="6">
        <f>ROUND(SUMIF('JUNE (물량흐름)'!$C$13:$C$502,'Overhead exp(제조경비)'!C156,'JUNE (물량흐름)'!$N$13:$N$502),0)</f>
        <v>0</v>
      </c>
      <c r="W156" s="6">
        <f>ROUND(SUMIF('JUNE (물량흐름)'!$C$13:$C$502,'Overhead exp(제조경비)'!C156,'JUNE (물량흐름)'!$O$13:$O$502),0)</f>
        <v>0</v>
      </c>
      <c r="X156" s="6">
        <f>ROUND(SUMIF('JUNE (물량흐름)'!$C$13:$C$502,'Overhead exp(제조경비)'!C156,'JUNE (물량흐름)'!$P$13:$P$502),0)</f>
        <v>45</v>
      </c>
      <c r="Y156" s="6">
        <f t="shared" si="40"/>
        <v>45</v>
      </c>
      <c r="Z156" s="6">
        <f t="shared" si="41"/>
        <v>36</v>
      </c>
      <c r="AA156" s="6">
        <f t="shared" si="45"/>
        <v>660133</v>
      </c>
      <c r="AB156" s="391">
        <f t="shared" si="42"/>
        <v>0</v>
      </c>
      <c r="AC156" s="391">
        <f t="shared" si="43"/>
        <v>0</v>
      </c>
      <c r="AE156" s="393"/>
    </row>
    <row r="157" spans="1:31" s="390" customFormat="1" ht="24" customHeight="1">
      <c r="A157" s="167">
        <v>147</v>
      </c>
      <c r="B157" s="20" t="str">
        <f>IFERROR(VLOOKUP(A157,'JUNE (물량흐름)'!$A$13:$C$502,2,0),0)</f>
        <v>ANN TAYLOR</v>
      </c>
      <c r="C157" s="272">
        <f>VLOOKUP(A157,'JUNE (물량흐름)'!$A$13:$C$502,3,0)</f>
        <v>459704</v>
      </c>
      <c r="D157" s="6">
        <f>VLOOKUP(C157,'WIP(재공품)'!$B$12:$E$493,4,0)</f>
        <v>41948.75</v>
      </c>
      <c r="E157" s="6">
        <f>IFERROR(VLOOKUP(C157,O.B.JUNE!$AI$7:$AJ$448,2,0),0)</f>
        <v>0</v>
      </c>
      <c r="F157" s="6">
        <f>IFERROR(VLOOKUP(C157,O.B.JUNE!$AI$7:$AK$448,3,0),0)</f>
        <v>0</v>
      </c>
      <c r="G157" s="6">
        <f>IFERROR(VLOOKUP(C157,O.B.JUNE!$AI$7:$AL$448,4,0),0)</f>
        <v>48</v>
      </c>
      <c r="H157" s="6">
        <f t="shared" si="36"/>
        <v>48</v>
      </c>
      <c r="I157" s="6">
        <f>IFERROR(VLOOKUP(C157,O.B.JUNE!$AI$7:$AN$448,6,0),0)</f>
        <v>38</v>
      </c>
      <c r="J157" s="6"/>
      <c r="K157" s="6">
        <f>IFERROR(VLOOKUP(C157,O.B.JUNE!$AI$7:$AO$448,7,0),0)</f>
        <v>808453</v>
      </c>
      <c r="L157" s="6">
        <f>SUMIF('JUNE (물량흐름)'!$C$13:$C$488,'Overhead exp(제조경비)'!C157,'JUNE (물량흐름)'!$H$13:$H$493)+SUMIF('JUNE (물량흐름)'!$C$13:$C$493,'Overhead exp(제조경비)'!C157,'JUNE (물량흐름)'!$V$13:$V$493)</f>
        <v>0</v>
      </c>
      <c r="M157" s="6">
        <f t="shared" si="37"/>
        <v>0</v>
      </c>
      <c r="N157" s="6">
        <f t="shared" si="38"/>
        <v>0</v>
      </c>
      <c r="O157" s="6">
        <f t="shared" si="31"/>
        <v>0</v>
      </c>
      <c r="P157" s="6">
        <f>SUMIF('JUNE (물량흐름)'!$C$13:$C$502,C157,'JUNE (물량흐름)'!$T$13:$T$502)+SUMIF('JUNE (물량흐름)'!$C$13:$C$502,C157,'JUNE (물량흐름)'!$V$13:$V$502)+SUMIF('JUNE (물량흐름)'!$C$13:$C$502,C157,'JUNE (물량흐름)'!$U$13:$U$502)-SUMIF('JUNE (물량흐름)'!$C$13:$C$502,C157,'JUNE (물량흐름)'!$Y$13:$Y$502)</f>
        <v>0</v>
      </c>
      <c r="Q157" s="6">
        <f t="shared" si="44"/>
        <v>0</v>
      </c>
      <c r="R157" s="6">
        <f>IF(ISERROR(VLOOKUP(#REF!,'WIP(재공품)'!$B$12:$AB$38,13,0)),0,VLOOKUP(#REF!,'WIP(재공품)'!$B$12:$AB$38,13,0))</f>
        <v>0</v>
      </c>
      <c r="S157" s="6">
        <f>IF(ISERROR(VLOOKUP(#REF!,'WIP(재공품)'!$B$12:$AB$38,10,0)),0,VLOOKUP(#REF!,'WIP(재공품)'!$B$12:$AB$38,10,0))</f>
        <v>0</v>
      </c>
      <c r="T157" s="6">
        <f>SUMIF('JUNE (물량흐름)'!$C$13:$C$502,'Overhead exp(제조경비)'!C157,'JUNE (물량흐름)'!$Y$13:$Y$502)</f>
        <v>0</v>
      </c>
      <c r="U157" s="6">
        <f t="shared" si="39"/>
        <v>0</v>
      </c>
      <c r="V157" s="6">
        <f>ROUND(SUMIF('JUNE (물량흐름)'!$C$13:$C$502,'Overhead exp(제조경비)'!C157,'JUNE (물량흐름)'!$N$13:$N$502),0)</f>
        <v>0</v>
      </c>
      <c r="W157" s="6">
        <f>ROUND(SUMIF('JUNE (물량흐름)'!$C$13:$C$502,'Overhead exp(제조경비)'!C157,'JUNE (물량흐름)'!$O$13:$O$502),0)</f>
        <v>0</v>
      </c>
      <c r="X157" s="6">
        <f>ROUND(SUMIF('JUNE (물량흐름)'!$C$13:$C$502,'Overhead exp(제조경비)'!C157,'JUNE (물량흐름)'!$P$13:$P$502),0)</f>
        <v>48</v>
      </c>
      <c r="Y157" s="6">
        <f t="shared" si="40"/>
        <v>48</v>
      </c>
      <c r="Z157" s="6">
        <f t="shared" si="41"/>
        <v>38</v>
      </c>
      <c r="AA157" s="6">
        <f t="shared" si="45"/>
        <v>808453</v>
      </c>
      <c r="AB157" s="391">
        <f t="shared" si="42"/>
        <v>0</v>
      </c>
      <c r="AC157" s="391">
        <f t="shared" si="43"/>
        <v>0</v>
      </c>
      <c r="AE157" s="393"/>
    </row>
    <row r="158" spans="1:31" s="390" customFormat="1" ht="24" customHeight="1">
      <c r="A158" s="167">
        <v>148</v>
      </c>
      <c r="B158" s="20" t="str">
        <f>IFERROR(VLOOKUP(A158,'JUNE (물량흐름)'!$A$13:$C$502,2,0),0)</f>
        <v>ANN TAYLOR</v>
      </c>
      <c r="C158" s="272">
        <f>VLOOKUP(A158,'JUNE (물량흐름)'!$A$13:$C$502,3,0)</f>
        <v>459715</v>
      </c>
      <c r="D158" s="6">
        <f>VLOOKUP(C158,'WIP(재공품)'!$B$12:$E$493,4,0)</f>
        <v>7936.2499999999991</v>
      </c>
      <c r="E158" s="6">
        <f>IFERROR(VLOOKUP(C158,O.B.JUNE!$AI$7:$AJ$448,2,0),0)</f>
        <v>0</v>
      </c>
      <c r="F158" s="6">
        <f>IFERROR(VLOOKUP(C158,O.B.JUNE!$AI$7:$AK$448,3,0),0)</f>
        <v>0</v>
      </c>
      <c r="G158" s="6">
        <f>IFERROR(VLOOKUP(C158,O.B.JUNE!$AI$7:$AL$448,4,0),0)</f>
        <v>31</v>
      </c>
      <c r="H158" s="6">
        <f t="shared" si="36"/>
        <v>31</v>
      </c>
      <c r="I158" s="6">
        <f>IFERROR(VLOOKUP(C158,O.B.JUNE!$AI$7:$AN$448,6,0),0)</f>
        <v>25</v>
      </c>
      <c r="J158" s="6"/>
      <c r="K158" s="6">
        <f>IFERROR(VLOOKUP(C158,O.B.JUNE!$AI$7:$AO$448,7,0),0)</f>
        <v>248647</v>
      </c>
      <c r="L158" s="6">
        <f>SUMIF('JUNE (물량흐름)'!$C$13:$C$488,'Overhead exp(제조경비)'!C158,'JUNE (물량흐름)'!$H$13:$H$493)+SUMIF('JUNE (물량흐름)'!$C$13:$C$493,'Overhead exp(제조경비)'!C158,'JUNE (물량흐름)'!$V$13:$V$493)</f>
        <v>0</v>
      </c>
      <c r="M158" s="6">
        <f t="shared" si="37"/>
        <v>0</v>
      </c>
      <c r="N158" s="6">
        <f t="shared" si="38"/>
        <v>0</v>
      </c>
      <c r="O158" s="6">
        <f t="shared" si="31"/>
        <v>0</v>
      </c>
      <c r="P158" s="6">
        <f>SUMIF('JUNE (물량흐름)'!$C$13:$C$502,C158,'JUNE (물량흐름)'!$T$13:$T$502)+SUMIF('JUNE (물량흐름)'!$C$13:$C$502,C158,'JUNE (물량흐름)'!$V$13:$V$502)+SUMIF('JUNE (물량흐름)'!$C$13:$C$502,C158,'JUNE (물량흐름)'!$U$13:$U$502)-SUMIF('JUNE (물량흐름)'!$C$13:$C$502,C158,'JUNE (물량흐름)'!$Y$13:$Y$502)</f>
        <v>0</v>
      </c>
      <c r="Q158" s="6">
        <f t="shared" si="44"/>
        <v>0</v>
      </c>
      <c r="R158" s="6">
        <f>IF(ISERROR(VLOOKUP(#REF!,'WIP(재공품)'!$B$12:$AB$38,13,0)),0,VLOOKUP(#REF!,'WIP(재공품)'!$B$12:$AB$38,13,0))</f>
        <v>0</v>
      </c>
      <c r="S158" s="6">
        <f>IF(ISERROR(VLOOKUP(#REF!,'WIP(재공품)'!$B$12:$AB$38,10,0)),0,VLOOKUP(#REF!,'WIP(재공품)'!$B$12:$AB$38,10,0))</f>
        <v>0</v>
      </c>
      <c r="T158" s="6">
        <f>SUMIF('JUNE (물량흐름)'!$C$13:$C$502,'Overhead exp(제조경비)'!C158,'JUNE (물량흐름)'!$Y$13:$Y$502)</f>
        <v>0</v>
      </c>
      <c r="U158" s="6">
        <f t="shared" si="39"/>
        <v>0</v>
      </c>
      <c r="V158" s="6">
        <f>ROUND(SUMIF('JUNE (물량흐름)'!$C$13:$C$502,'Overhead exp(제조경비)'!C158,'JUNE (물량흐름)'!$N$13:$N$502),0)</f>
        <v>0</v>
      </c>
      <c r="W158" s="6">
        <f>ROUND(SUMIF('JUNE (물량흐름)'!$C$13:$C$502,'Overhead exp(제조경비)'!C158,'JUNE (물량흐름)'!$O$13:$O$502),0)</f>
        <v>0</v>
      </c>
      <c r="X158" s="6">
        <f>ROUND(SUMIF('JUNE (물량흐름)'!$C$13:$C$502,'Overhead exp(제조경비)'!C158,'JUNE (물량흐름)'!$P$13:$P$502),0)</f>
        <v>31</v>
      </c>
      <c r="Y158" s="167">
        <f t="shared" ref="Y158" si="48">ROUND(SUM(V158:X158),0)</f>
        <v>31</v>
      </c>
      <c r="Z158" s="167">
        <f t="shared" si="41"/>
        <v>25</v>
      </c>
      <c r="AA158" s="6">
        <f t="shared" si="45"/>
        <v>248647</v>
      </c>
      <c r="AB158" s="391">
        <f t="shared" si="42"/>
        <v>0</v>
      </c>
      <c r="AC158" s="391">
        <f t="shared" si="43"/>
        <v>0</v>
      </c>
      <c r="AE158" s="393"/>
    </row>
    <row r="159" spans="1:31" s="390" customFormat="1" ht="24" customHeight="1">
      <c r="A159" s="167">
        <v>149</v>
      </c>
      <c r="B159" s="20" t="str">
        <f>IFERROR(VLOOKUP(A159,'JUNE (물량흐름)'!$A$13:$C$502,2,0),0)</f>
        <v>ANN TAYLOR</v>
      </c>
      <c r="C159" s="272">
        <f>VLOOKUP(A159,'JUNE (물량흐름)'!$A$13:$C$502,3,0)</f>
        <v>460424</v>
      </c>
      <c r="D159" s="6">
        <f>VLOOKUP(C159,'WIP(재공품)'!$B$12:$E$493,4,0)</f>
        <v>7936.2499999999991</v>
      </c>
      <c r="E159" s="6">
        <f>IFERROR(VLOOKUP(C159,O.B.JUNE!$AI$7:$AJ$448,2,0),0)</f>
        <v>0</v>
      </c>
      <c r="F159" s="6">
        <f>IFERROR(VLOOKUP(C159,O.B.JUNE!$AI$7:$AK$448,3,0),0)</f>
        <v>0</v>
      </c>
      <c r="G159" s="6">
        <f>IFERROR(VLOOKUP(C159,O.B.JUNE!$AI$7:$AL$448,4,0),0)</f>
        <v>208</v>
      </c>
      <c r="H159" s="6">
        <f t="shared" si="36"/>
        <v>208</v>
      </c>
      <c r="I159" s="6">
        <f>IFERROR(VLOOKUP(C159,O.B.JUNE!$AI$7:$AN$448,6,0),0)</f>
        <v>166</v>
      </c>
      <c r="J159" s="6"/>
      <c r="K159" s="6">
        <f>IFERROR(VLOOKUP(C159,O.B.JUNE!$AI$7:$AO$448,7,0),0)</f>
        <v>4807998</v>
      </c>
      <c r="L159" s="6">
        <f>SUMIF('JUNE (물량흐름)'!$C$13:$C$488,'Overhead exp(제조경비)'!C159,'JUNE (물량흐름)'!$H$13:$H$493)+SUMIF('JUNE (물량흐름)'!$C$13:$C$493,'Overhead exp(제조경비)'!C159,'JUNE (물량흐름)'!$V$13:$V$493)</f>
        <v>0</v>
      </c>
      <c r="M159" s="6">
        <f t="shared" si="37"/>
        <v>0</v>
      </c>
      <c r="N159" s="6">
        <f t="shared" si="38"/>
        <v>0</v>
      </c>
      <c r="O159" s="6">
        <f t="shared" ref="O159:O190" si="49">ROUND(M159*D159*$O$493/$N$493,0)</f>
        <v>0</v>
      </c>
      <c r="P159" s="6">
        <f>SUMIF('JUNE (물량흐름)'!$C$13:$C$502,C159,'JUNE (물량흐름)'!$T$13:$T$502)+SUMIF('JUNE (물량흐름)'!$C$13:$C$502,C159,'JUNE (물량흐름)'!$V$13:$V$502)+SUMIF('JUNE (물량흐름)'!$C$13:$C$502,C159,'JUNE (물량흐름)'!$U$13:$U$502)-SUMIF('JUNE (물량흐름)'!$C$13:$C$502,C159,'JUNE (물량흐름)'!$Y$13:$Y$502)</f>
        <v>0</v>
      </c>
      <c r="Q159" s="6">
        <f t="shared" si="44"/>
        <v>0</v>
      </c>
      <c r="R159" s="6">
        <f>IF(ISERROR(VLOOKUP(#REF!,'WIP(재공품)'!$B$12:$AB$38,13,0)),0,VLOOKUP(#REF!,'WIP(재공품)'!$B$12:$AB$38,13,0))</f>
        <v>0</v>
      </c>
      <c r="S159" s="6">
        <f>IF(ISERROR(VLOOKUP(#REF!,'WIP(재공품)'!$B$12:$AB$38,10,0)),0,VLOOKUP(#REF!,'WIP(재공품)'!$B$12:$AB$38,10,0))</f>
        <v>0</v>
      </c>
      <c r="T159" s="6">
        <f>SUMIF('JUNE (물량흐름)'!$C$13:$C$502,'Overhead exp(제조경비)'!C159,'JUNE (물량흐름)'!$Y$13:$Y$502)</f>
        <v>0</v>
      </c>
      <c r="U159" s="6">
        <f t="shared" si="39"/>
        <v>0</v>
      </c>
      <c r="V159" s="6">
        <f>ROUND(SUMIF('JUNE (물량흐름)'!$C$13:$C$502,'Overhead exp(제조경비)'!C159,'JUNE (물량흐름)'!$N$13:$N$502),0)</f>
        <v>0</v>
      </c>
      <c r="W159" s="6">
        <f>ROUND(SUMIF('JUNE (물량흐름)'!$C$13:$C$502,'Overhead exp(제조경비)'!C159,'JUNE (물량흐름)'!$O$13:$O$502),0)</f>
        <v>0</v>
      </c>
      <c r="X159" s="6">
        <f>ROUND(SUMIF('JUNE (물량흐름)'!$C$13:$C$502,'Overhead exp(제조경비)'!C159,'JUNE (물량흐름)'!$P$13:$P$502),0)</f>
        <v>208</v>
      </c>
      <c r="Y159" s="6">
        <f t="shared" si="40"/>
        <v>208</v>
      </c>
      <c r="Z159" s="6">
        <f t="shared" si="41"/>
        <v>166</v>
      </c>
      <c r="AA159" s="6">
        <f t="shared" si="45"/>
        <v>4807998</v>
      </c>
      <c r="AB159" s="391">
        <f t="shared" si="42"/>
        <v>0</v>
      </c>
      <c r="AC159" s="391">
        <f t="shared" si="43"/>
        <v>0</v>
      </c>
      <c r="AE159" s="393"/>
    </row>
    <row r="160" spans="1:31" s="390" customFormat="1" ht="24" customHeight="1">
      <c r="A160" s="167">
        <v>150</v>
      </c>
      <c r="B160" s="20" t="str">
        <f>IFERROR(VLOOKUP(A160,'JUNE (물량흐름)'!$A$13:$C$502,2,0),0)</f>
        <v>ANN TAYLOR</v>
      </c>
      <c r="C160" s="272">
        <f>VLOOKUP(A160,'JUNE (물량흐름)'!$A$13:$C$502,3,0)</f>
        <v>460886</v>
      </c>
      <c r="D160" s="6">
        <f>VLOOKUP(C160,'WIP(재공품)'!$B$12:$E$493,4,0)</f>
        <v>7936.2499999999991</v>
      </c>
      <c r="E160" s="6">
        <f>IFERROR(VLOOKUP(C160,O.B.JUNE!$AI$7:$AJ$448,2,0),0)</f>
        <v>0</v>
      </c>
      <c r="F160" s="6">
        <f>IFERROR(VLOOKUP(C160,O.B.JUNE!$AI$7:$AK$448,3,0),0)</f>
        <v>0</v>
      </c>
      <c r="G160" s="6">
        <f>IFERROR(VLOOKUP(C160,O.B.JUNE!$AI$7:$AL$448,4,0),0)</f>
        <v>30</v>
      </c>
      <c r="H160" s="6">
        <f t="shared" si="36"/>
        <v>30</v>
      </c>
      <c r="I160" s="6">
        <f>IFERROR(VLOOKUP(C160,O.B.JUNE!$AI$7:$AN$448,6,0),0)</f>
        <v>24</v>
      </c>
      <c r="J160" s="6"/>
      <c r="K160" s="6">
        <f>IFERROR(VLOOKUP(C160,O.B.JUNE!$AI$7:$AO$448,7,0),0)</f>
        <v>521697</v>
      </c>
      <c r="L160" s="6">
        <f>SUMIF('JUNE (물량흐름)'!$C$13:$C$488,'Overhead exp(제조경비)'!C160,'JUNE (물량흐름)'!$H$13:$H$493)+SUMIF('JUNE (물량흐름)'!$C$13:$C$493,'Overhead exp(제조경비)'!C160,'JUNE (물량흐름)'!$V$13:$V$493)</f>
        <v>0</v>
      </c>
      <c r="M160" s="6">
        <f t="shared" si="37"/>
        <v>0</v>
      </c>
      <c r="N160" s="6">
        <f t="shared" si="38"/>
        <v>0</v>
      </c>
      <c r="O160" s="6">
        <f t="shared" si="49"/>
        <v>0</v>
      </c>
      <c r="P160" s="6">
        <f>SUMIF('JUNE (물량흐름)'!$C$13:$C$502,C160,'JUNE (물량흐름)'!$T$13:$T$502)+SUMIF('JUNE (물량흐름)'!$C$13:$C$502,C160,'JUNE (물량흐름)'!$V$13:$V$502)+SUMIF('JUNE (물량흐름)'!$C$13:$C$502,C160,'JUNE (물량흐름)'!$U$13:$U$502)-SUMIF('JUNE (물량흐름)'!$C$13:$C$502,C160,'JUNE (물량흐름)'!$Y$13:$Y$502)</f>
        <v>0</v>
      </c>
      <c r="Q160" s="6">
        <f t="shared" si="44"/>
        <v>0</v>
      </c>
      <c r="R160" s="6">
        <f>IF(ISERROR(VLOOKUP(#REF!,'WIP(재공품)'!$B$12:$AB$38,13,0)),0,VLOOKUP(#REF!,'WIP(재공품)'!$B$12:$AB$38,13,0))</f>
        <v>0</v>
      </c>
      <c r="S160" s="6">
        <f>IF(ISERROR(VLOOKUP(#REF!,'WIP(재공품)'!$B$12:$AB$38,10,0)),0,VLOOKUP(#REF!,'WIP(재공품)'!$B$12:$AB$38,10,0))</f>
        <v>0</v>
      </c>
      <c r="T160" s="6">
        <f>SUMIF('JUNE (물량흐름)'!$C$13:$C$502,'Overhead exp(제조경비)'!C160,'JUNE (물량흐름)'!$Y$13:$Y$502)</f>
        <v>0</v>
      </c>
      <c r="U160" s="6">
        <f t="shared" si="39"/>
        <v>0</v>
      </c>
      <c r="V160" s="6">
        <f>ROUND(SUMIF('JUNE (물량흐름)'!$C$13:$C$502,'Overhead exp(제조경비)'!C160,'JUNE (물량흐름)'!$N$13:$N$502),0)</f>
        <v>0</v>
      </c>
      <c r="W160" s="6">
        <f>ROUND(SUMIF('JUNE (물량흐름)'!$C$13:$C$502,'Overhead exp(제조경비)'!C160,'JUNE (물량흐름)'!$O$13:$O$502),0)</f>
        <v>0</v>
      </c>
      <c r="X160" s="6">
        <f>ROUND(SUMIF('JUNE (물량흐름)'!$C$13:$C$502,'Overhead exp(제조경비)'!C160,'JUNE (물량흐름)'!$P$13:$P$502),0)</f>
        <v>30</v>
      </c>
      <c r="Y160" s="167">
        <f t="shared" ref="Y160" si="50">ROUND(SUM(V160:X160),0)</f>
        <v>30</v>
      </c>
      <c r="Z160" s="167">
        <f t="shared" si="41"/>
        <v>24</v>
      </c>
      <c r="AA160" s="6">
        <f t="shared" si="45"/>
        <v>521697</v>
      </c>
      <c r="AB160" s="391">
        <f t="shared" si="42"/>
        <v>0</v>
      </c>
      <c r="AC160" s="391">
        <f t="shared" si="43"/>
        <v>0</v>
      </c>
      <c r="AE160" s="393"/>
    </row>
    <row r="161" spans="1:31" s="390" customFormat="1" ht="24" customHeight="1">
      <c r="A161" s="167">
        <v>151</v>
      </c>
      <c r="B161" s="20" t="str">
        <f>IFERROR(VLOOKUP(A161,'JUNE (물량흐름)'!$A$13:$C$502,2,0),0)</f>
        <v>INC</v>
      </c>
      <c r="C161" s="272">
        <f>VLOOKUP(A161,'JUNE (물량흐름)'!$A$13:$C$502,3,0)</f>
        <v>100014612</v>
      </c>
      <c r="D161" s="6">
        <f>VLOOKUP(C161,'WIP(재공품)'!$B$12:$E$493,4,0)</f>
        <v>8163</v>
      </c>
      <c r="E161" s="6">
        <f>IFERROR(VLOOKUP(C161,O.B.JUNE!$AI$7:$AJ$448,2,0),0)</f>
        <v>0</v>
      </c>
      <c r="F161" s="6">
        <f>IFERROR(VLOOKUP(C161,O.B.JUNE!$AI$7:$AK$448,3,0),0)</f>
        <v>0</v>
      </c>
      <c r="G161" s="6">
        <f>IFERROR(VLOOKUP(C161,O.B.JUNE!$AI$7:$AL$448,4,0),0)</f>
        <v>223</v>
      </c>
      <c r="H161" s="6">
        <f t="shared" si="36"/>
        <v>223</v>
      </c>
      <c r="I161" s="6">
        <f>IFERROR(VLOOKUP(C161,O.B.JUNE!$AI$7:$AN$448,6,0),0)</f>
        <v>178</v>
      </c>
      <c r="J161" s="6"/>
      <c r="K161" s="6">
        <f>IFERROR(VLOOKUP(C161,O.B.JUNE!$AI$7:$AO$448,7,0),0)</f>
        <v>2524110</v>
      </c>
      <c r="L161" s="6">
        <f>SUMIF('JUNE (물량흐름)'!$C$13:$C$488,'Overhead exp(제조경비)'!C161,'JUNE (물량흐름)'!$H$13:$H$493)+SUMIF('JUNE (물량흐름)'!$C$13:$C$493,'Overhead exp(제조경비)'!C161,'JUNE (물량흐름)'!$V$13:$V$493)</f>
        <v>0</v>
      </c>
      <c r="M161" s="6">
        <f t="shared" si="37"/>
        <v>0</v>
      </c>
      <c r="N161" s="6">
        <f t="shared" si="38"/>
        <v>0</v>
      </c>
      <c r="O161" s="6">
        <f t="shared" si="49"/>
        <v>0</v>
      </c>
      <c r="P161" s="6">
        <f>SUMIF('JUNE (물량흐름)'!$C$13:$C$502,C161,'JUNE (물량흐름)'!$T$13:$T$502)+SUMIF('JUNE (물량흐름)'!$C$13:$C$502,C161,'JUNE (물량흐름)'!$V$13:$V$502)+SUMIF('JUNE (물량흐름)'!$C$13:$C$502,C161,'JUNE (물량흐름)'!$U$13:$U$502)-SUMIF('JUNE (물량흐름)'!$C$13:$C$502,C161,'JUNE (물량흐름)'!$Y$13:$Y$502)</f>
        <v>223</v>
      </c>
      <c r="Q161" s="6">
        <f t="shared" si="44"/>
        <v>2524110</v>
      </c>
      <c r="R161" s="6">
        <f>IF(ISERROR(VLOOKUP(#REF!,'WIP(재공품)'!$B$12:$AB$38,13,0)),0,VLOOKUP(#REF!,'WIP(재공품)'!$B$12:$AB$38,13,0))</f>
        <v>0</v>
      </c>
      <c r="S161" s="6">
        <f>IF(ISERROR(VLOOKUP(#REF!,'WIP(재공품)'!$B$12:$AB$38,10,0)),0,VLOOKUP(#REF!,'WIP(재공품)'!$B$12:$AB$38,10,0))</f>
        <v>0</v>
      </c>
      <c r="T161" s="6">
        <f>SUMIF('JUNE (물량흐름)'!$C$13:$C$502,'Overhead exp(제조경비)'!C161,'JUNE (물량흐름)'!$Y$13:$Y$502)</f>
        <v>0</v>
      </c>
      <c r="U161" s="6">
        <f t="shared" si="39"/>
        <v>0</v>
      </c>
      <c r="V161" s="6">
        <f>ROUND(SUMIF('JUNE (물량흐름)'!$C$13:$C$502,'Overhead exp(제조경비)'!C161,'JUNE (물량흐름)'!$N$13:$N$502),0)</f>
        <v>0</v>
      </c>
      <c r="W161" s="6">
        <f>ROUND(SUMIF('JUNE (물량흐름)'!$C$13:$C$502,'Overhead exp(제조경비)'!C161,'JUNE (물량흐름)'!$O$13:$O$502),0)</f>
        <v>0</v>
      </c>
      <c r="X161" s="6">
        <f>ROUND(SUMIF('JUNE (물량흐름)'!$C$13:$C$502,'Overhead exp(제조경비)'!C161,'JUNE (물량흐름)'!$P$13:$P$502),0)</f>
        <v>0</v>
      </c>
      <c r="Y161" s="6">
        <f t="shared" si="40"/>
        <v>0</v>
      </c>
      <c r="Z161" s="6">
        <f t="shared" si="41"/>
        <v>0</v>
      </c>
      <c r="AA161" s="6">
        <f t="shared" si="45"/>
        <v>0</v>
      </c>
      <c r="AB161" s="391">
        <f t="shared" si="42"/>
        <v>0</v>
      </c>
      <c r="AC161" s="391">
        <f t="shared" si="43"/>
        <v>0</v>
      </c>
      <c r="AE161" s="393"/>
    </row>
    <row r="162" spans="1:31" s="392" customFormat="1" ht="24" customHeight="1">
      <c r="A162" s="167">
        <v>152</v>
      </c>
      <c r="B162" s="20" t="str">
        <f>IFERROR(VLOOKUP(A162,'JUNE (물량흐름)'!$A$13:$C$502,2,0),0)</f>
        <v>INC</v>
      </c>
      <c r="C162" s="272">
        <f>VLOOKUP(A162,'JUNE (물량흐름)'!$A$13:$C$502,3,0)</f>
        <v>100014882</v>
      </c>
      <c r="D162" s="6">
        <f>VLOOKUP(C162,'WIP(재공품)'!$B$12:$E$493,4,0)</f>
        <v>71426.25</v>
      </c>
      <c r="E162" s="6">
        <f>IFERROR(VLOOKUP(C162,O.B.JUNE!$AI$7:$AJ$448,2,0),0)</f>
        <v>0</v>
      </c>
      <c r="F162" s="6">
        <f>IFERROR(VLOOKUP(C162,O.B.JUNE!$AI$7:$AK$448,3,0),0)</f>
        <v>0</v>
      </c>
      <c r="G162" s="6">
        <f>IFERROR(VLOOKUP(C162,O.B.JUNE!$AI$7:$AL$448,4,0),0)</f>
        <v>25</v>
      </c>
      <c r="H162" s="6">
        <f t="shared" si="36"/>
        <v>25</v>
      </c>
      <c r="I162" s="6">
        <f>IFERROR(VLOOKUP(C162,O.B.JUNE!$AI$7:$AN$448,6,0),0)</f>
        <v>20</v>
      </c>
      <c r="J162" s="6"/>
      <c r="K162" s="6">
        <f>IFERROR(VLOOKUP(C162,O.B.JUNE!$AI$7:$AO$448,7,0),0)</f>
        <v>996895</v>
      </c>
      <c r="L162" s="6">
        <f>SUMIF('JUNE (물량흐름)'!$C$13:$C$488,'Overhead exp(제조경비)'!C162,'JUNE (물량흐름)'!$H$13:$H$493)+SUMIF('JUNE (물량흐름)'!$C$13:$C$493,'Overhead exp(제조경비)'!C162,'JUNE (물량흐름)'!$V$13:$V$493)</f>
        <v>0</v>
      </c>
      <c r="M162" s="6">
        <f t="shared" si="37"/>
        <v>0</v>
      </c>
      <c r="N162" s="6">
        <f t="shared" si="38"/>
        <v>0</v>
      </c>
      <c r="O162" s="6">
        <f t="shared" si="49"/>
        <v>0</v>
      </c>
      <c r="P162" s="6">
        <f>SUMIF('JUNE (물량흐름)'!$C$13:$C$502,C162,'JUNE (물량흐름)'!$T$13:$T$502)+SUMIF('JUNE (물량흐름)'!$C$13:$C$502,C162,'JUNE (물량흐름)'!$V$13:$V$502)+SUMIF('JUNE (물량흐름)'!$C$13:$C$502,C162,'JUNE (물량흐름)'!$U$13:$U$502)-SUMIF('JUNE (물량흐름)'!$C$13:$C$502,C162,'JUNE (물량흐름)'!$Y$13:$Y$502)</f>
        <v>25</v>
      </c>
      <c r="Q162" s="6">
        <f t="shared" si="44"/>
        <v>996895</v>
      </c>
      <c r="R162" s="6">
        <f>IF(ISERROR(VLOOKUP(#REF!,'WIP(재공품)'!$B$12:$AB$38,13,0)),0,VLOOKUP(#REF!,'WIP(재공품)'!$B$12:$AB$38,13,0))</f>
        <v>0</v>
      </c>
      <c r="S162" s="6">
        <f>IF(ISERROR(VLOOKUP(#REF!,'WIP(재공품)'!$B$12:$AB$38,10,0)),0,VLOOKUP(#REF!,'WIP(재공품)'!$B$12:$AB$38,10,0))</f>
        <v>0</v>
      </c>
      <c r="T162" s="6">
        <f>SUMIF('JUNE (물량흐름)'!$C$13:$C$502,'Overhead exp(제조경비)'!C162,'JUNE (물량흐름)'!$Y$13:$Y$502)</f>
        <v>0</v>
      </c>
      <c r="U162" s="6">
        <f t="shared" si="39"/>
        <v>0</v>
      </c>
      <c r="V162" s="6">
        <f>ROUND(SUMIF('JUNE (물량흐름)'!$C$13:$C$502,'Overhead exp(제조경비)'!C162,'JUNE (물량흐름)'!$N$13:$N$502),0)</f>
        <v>0</v>
      </c>
      <c r="W162" s="6">
        <f>ROUND(SUMIF('JUNE (물량흐름)'!$C$13:$C$502,'Overhead exp(제조경비)'!C162,'JUNE (물량흐름)'!$O$13:$O$502),0)</f>
        <v>0</v>
      </c>
      <c r="X162" s="6">
        <f>ROUND(SUMIF('JUNE (물량흐름)'!$C$13:$C$502,'Overhead exp(제조경비)'!C162,'JUNE (물량흐름)'!$P$13:$P$502),0)</f>
        <v>0</v>
      </c>
      <c r="Y162" s="6">
        <f t="shared" si="40"/>
        <v>0</v>
      </c>
      <c r="Z162" s="6">
        <f t="shared" si="41"/>
        <v>0</v>
      </c>
      <c r="AA162" s="6">
        <f t="shared" si="45"/>
        <v>0</v>
      </c>
      <c r="AB162" s="391">
        <f t="shared" si="42"/>
        <v>0</v>
      </c>
      <c r="AC162" s="391">
        <f t="shared" si="43"/>
        <v>0</v>
      </c>
      <c r="AE162" s="393"/>
    </row>
    <row r="163" spans="1:31" s="390" customFormat="1" ht="24" customHeight="1">
      <c r="A163" s="167">
        <v>153</v>
      </c>
      <c r="B163" s="20" t="str">
        <f>IFERROR(VLOOKUP(A163,'JUNE (물량흐름)'!$A$13:$C$502,2,0),0)</f>
        <v>NORDSTROM</v>
      </c>
      <c r="C163" s="272" t="str">
        <f>VLOOKUP(A163,'JUNE (물량흐름)'!$A$13:$C$502,3,0)</f>
        <v>CN380880MI</v>
      </c>
      <c r="D163" s="6">
        <f>VLOOKUP(C163,'WIP(재공품)'!$B$12:$E$493,4,0)</f>
        <v>30611.250000000004</v>
      </c>
      <c r="E163" s="6">
        <f>IFERROR(VLOOKUP(C163,O.B.JUNE!$AI$7:$AJ$448,2,0),0)</f>
        <v>0</v>
      </c>
      <c r="F163" s="6">
        <f>IFERROR(VLOOKUP(C163,O.B.JUNE!$AI$7:$AK$448,3,0),0)</f>
        <v>0</v>
      </c>
      <c r="G163" s="6">
        <f>IFERROR(VLOOKUP(C163,O.B.JUNE!$AI$7:$AL$448,4,0),0)</f>
        <v>362</v>
      </c>
      <c r="H163" s="6">
        <f t="shared" si="36"/>
        <v>362</v>
      </c>
      <c r="I163" s="6">
        <f>IFERROR(VLOOKUP(C163,O.B.JUNE!$AI$7:$AN$448,6,0),0)</f>
        <v>290</v>
      </c>
      <c r="J163" s="6"/>
      <c r="K163" s="6">
        <f>IFERROR(VLOOKUP(C163,O.B.JUNE!$AI$7:$AO$448,7,0),0)</f>
        <v>2422384</v>
      </c>
      <c r="L163" s="6">
        <f>SUMIF('JUNE (물량흐름)'!$C$13:$C$488,'Overhead exp(제조경비)'!C163,'JUNE (물량흐름)'!$H$13:$H$493)+SUMIF('JUNE (물량흐름)'!$C$13:$C$493,'Overhead exp(제조경비)'!C163,'JUNE (물량흐름)'!$V$13:$V$493)</f>
        <v>0</v>
      </c>
      <c r="M163" s="6">
        <f t="shared" si="37"/>
        <v>0</v>
      </c>
      <c r="N163" s="6">
        <f t="shared" si="38"/>
        <v>0</v>
      </c>
      <c r="O163" s="6">
        <f t="shared" si="49"/>
        <v>0</v>
      </c>
      <c r="P163" s="6">
        <f>SUMIF('JUNE (물량흐름)'!$C$13:$C$502,C163,'JUNE (물량흐름)'!$T$13:$T$502)+SUMIF('JUNE (물량흐름)'!$C$13:$C$502,C163,'JUNE (물량흐름)'!$V$13:$V$502)+SUMIF('JUNE (물량흐름)'!$C$13:$C$502,C163,'JUNE (물량흐름)'!$U$13:$U$502)-SUMIF('JUNE (물량흐름)'!$C$13:$C$502,C163,'JUNE (물량흐름)'!$Y$13:$Y$502)</f>
        <v>362</v>
      </c>
      <c r="Q163" s="6">
        <f t="shared" si="44"/>
        <v>2422384</v>
      </c>
      <c r="R163" s="6">
        <f>IF(ISERROR(VLOOKUP(#REF!,'WIP(재공품)'!$B$12:$AB$38,13,0)),0,VLOOKUP(#REF!,'WIP(재공품)'!$B$12:$AB$38,13,0))</f>
        <v>0</v>
      </c>
      <c r="S163" s="6">
        <f>IF(ISERROR(VLOOKUP(#REF!,'WIP(재공품)'!$B$12:$AB$38,10,0)),0,VLOOKUP(#REF!,'WIP(재공품)'!$B$12:$AB$38,10,0))</f>
        <v>0</v>
      </c>
      <c r="T163" s="6">
        <f>SUMIF('JUNE (물량흐름)'!$C$13:$C$502,'Overhead exp(제조경비)'!C163,'JUNE (물량흐름)'!$Y$13:$Y$502)</f>
        <v>0</v>
      </c>
      <c r="U163" s="6">
        <f t="shared" si="39"/>
        <v>0</v>
      </c>
      <c r="V163" s="6">
        <f>ROUND(SUMIF('JUNE (물량흐름)'!$C$13:$C$502,'Overhead exp(제조경비)'!C163,'JUNE (물량흐름)'!$N$13:$N$502),0)</f>
        <v>0</v>
      </c>
      <c r="W163" s="6">
        <f>ROUND(SUMIF('JUNE (물량흐름)'!$C$13:$C$502,'Overhead exp(제조경비)'!C163,'JUNE (물량흐름)'!$O$13:$O$502),0)</f>
        <v>0</v>
      </c>
      <c r="X163" s="6">
        <f>ROUND(SUMIF('JUNE (물량흐름)'!$C$13:$C$502,'Overhead exp(제조경비)'!C163,'JUNE (물량흐름)'!$P$13:$P$502),0)</f>
        <v>0</v>
      </c>
      <c r="Y163" s="6">
        <f t="shared" si="40"/>
        <v>0</v>
      </c>
      <c r="Z163" s="6">
        <f t="shared" si="41"/>
        <v>0</v>
      </c>
      <c r="AA163" s="6">
        <f t="shared" si="45"/>
        <v>0</v>
      </c>
      <c r="AB163" s="391">
        <f t="shared" si="42"/>
        <v>0</v>
      </c>
      <c r="AC163" s="391">
        <f t="shared" si="43"/>
        <v>0</v>
      </c>
      <c r="AE163" s="393"/>
    </row>
    <row r="164" spans="1:31" s="390" customFormat="1" ht="24" customHeight="1">
      <c r="A164" s="167">
        <v>154</v>
      </c>
      <c r="B164" s="20" t="str">
        <f>IFERROR(VLOOKUP(A164,'JUNE (물량흐름)'!$A$13:$C$502,2,0),0)</f>
        <v>NORDSTROM</v>
      </c>
      <c r="C164" s="272" t="str">
        <f>VLOOKUP(A164,'JUNE (물량흐름)'!$A$13:$C$502,3,0)</f>
        <v>RK381912MI</v>
      </c>
      <c r="D164" s="6">
        <f>VLOOKUP(C164,'WIP(재공품)'!$B$12:$E$493,4,0)</f>
        <v>30611.250000000004</v>
      </c>
      <c r="E164" s="6">
        <f>IFERROR(VLOOKUP(C164,O.B.JUNE!$AI$7:$AJ$448,2,0),0)</f>
        <v>0</v>
      </c>
      <c r="F164" s="6">
        <f>IFERROR(VLOOKUP(C164,O.B.JUNE!$AI$7:$AK$448,3,0),0)</f>
        <v>0</v>
      </c>
      <c r="G164" s="6">
        <f>IFERROR(VLOOKUP(C164,O.B.JUNE!$AI$7:$AL$448,4,0),0)</f>
        <v>213</v>
      </c>
      <c r="H164" s="6">
        <f t="shared" si="36"/>
        <v>213</v>
      </c>
      <c r="I164" s="6">
        <f>IFERROR(VLOOKUP(C164,O.B.JUNE!$AI$7:$AN$448,6,0),0)</f>
        <v>170</v>
      </c>
      <c r="J164" s="6"/>
      <c r="K164" s="6">
        <f>IFERROR(VLOOKUP(C164,O.B.JUNE!$AI$7:$AO$448,7,0),0)</f>
        <v>1231649</v>
      </c>
      <c r="L164" s="6">
        <f>SUMIF('JUNE (물량흐름)'!$C$13:$C$488,'Overhead exp(제조경비)'!C164,'JUNE (물량흐름)'!$H$13:$H$493)+SUMIF('JUNE (물량흐름)'!$C$13:$C$493,'Overhead exp(제조경비)'!C164,'JUNE (물량흐름)'!$V$13:$V$493)</f>
        <v>0</v>
      </c>
      <c r="M164" s="6">
        <f t="shared" si="37"/>
        <v>0</v>
      </c>
      <c r="N164" s="6">
        <f t="shared" si="38"/>
        <v>0</v>
      </c>
      <c r="O164" s="6">
        <f t="shared" si="49"/>
        <v>0</v>
      </c>
      <c r="P164" s="6">
        <f>SUMIF('JUNE (물량흐름)'!$C$13:$C$502,C164,'JUNE (물량흐름)'!$T$13:$T$502)+SUMIF('JUNE (물량흐름)'!$C$13:$C$502,C164,'JUNE (물량흐름)'!$V$13:$V$502)+SUMIF('JUNE (물량흐름)'!$C$13:$C$502,C164,'JUNE (물량흐름)'!$U$13:$U$502)-SUMIF('JUNE (물량흐름)'!$C$13:$C$502,C164,'JUNE (물량흐름)'!$Y$13:$Y$502)</f>
        <v>213</v>
      </c>
      <c r="Q164" s="6">
        <f t="shared" si="44"/>
        <v>1231649</v>
      </c>
      <c r="R164" s="6">
        <f>IF(ISERROR(VLOOKUP(#REF!,'WIP(재공품)'!$B$12:$AB$38,13,0)),0,VLOOKUP(#REF!,'WIP(재공품)'!$B$12:$AB$38,13,0))</f>
        <v>0</v>
      </c>
      <c r="S164" s="6">
        <f>IF(ISERROR(VLOOKUP(#REF!,'WIP(재공품)'!$B$12:$AB$38,10,0)),0,VLOOKUP(#REF!,'WIP(재공품)'!$B$12:$AB$38,10,0))</f>
        <v>0</v>
      </c>
      <c r="T164" s="6">
        <f>SUMIF('JUNE (물량흐름)'!$C$13:$C$502,'Overhead exp(제조경비)'!C164,'JUNE (물량흐름)'!$Y$13:$Y$502)</f>
        <v>0</v>
      </c>
      <c r="U164" s="6">
        <f t="shared" si="39"/>
        <v>0</v>
      </c>
      <c r="V164" s="6">
        <f>ROUND(SUMIF('JUNE (물량흐름)'!$C$13:$C$502,'Overhead exp(제조경비)'!C164,'JUNE (물량흐름)'!$N$13:$N$502),0)</f>
        <v>0</v>
      </c>
      <c r="W164" s="6">
        <f>ROUND(SUMIF('JUNE (물량흐름)'!$C$13:$C$502,'Overhead exp(제조경비)'!C164,'JUNE (물량흐름)'!$O$13:$O$502),0)</f>
        <v>0</v>
      </c>
      <c r="X164" s="6">
        <f>ROUND(SUMIF('JUNE (물량흐름)'!$C$13:$C$502,'Overhead exp(제조경비)'!C164,'JUNE (물량흐름)'!$P$13:$P$502),0)</f>
        <v>0</v>
      </c>
      <c r="Y164" s="6">
        <f t="shared" si="40"/>
        <v>0</v>
      </c>
      <c r="Z164" s="6">
        <f t="shared" si="41"/>
        <v>0</v>
      </c>
      <c r="AA164" s="6">
        <f t="shared" si="45"/>
        <v>0</v>
      </c>
      <c r="AB164" s="391">
        <f t="shared" si="42"/>
        <v>0</v>
      </c>
      <c r="AC164" s="391">
        <f t="shared" si="43"/>
        <v>0</v>
      </c>
      <c r="AE164" s="393"/>
    </row>
    <row r="165" spans="1:31" s="390" customFormat="1" ht="24" customHeight="1">
      <c r="A165" s="167">
        <v>155</v>
      </c>
      <c r="B165" s="20" t="str">
        <f>IFERROR(VLOOKUP(A165,'JUNE (물량흐름)'!$A$13:$C$502,2,0),0)</f>
        <v>ALFANI</v>
      </c>
      <c r="C165" s="272">
        <f>VLOOKUP(A165,'JUNE (물량흐름)'!$A$13:$C$502,3,0)</f>
        <v>100008562</v>
      </c>
      <c r="D165" s="6">
        <f>VLOOKUP(C165,'WIP(재공품)'!$B$12:$E$493,4,0)</f>
        <v>7936.2499999999991</v>
      </c>
      <c r="E165" s="6">
        <f>IFERROR(VLOOKUP(C165,O.B.JUNE!$AI$7:$AJ$448,2,0),0)</f>
        <v>0</v>
      </c>
      <c r="F165" s="6">
        <f>IFERROR(VLOOKUP(C165,O.B.JUNE!$AI$7:$AK$448,3,0),0)</f>
        <v>0</v>
      </c>
      <c r="G165" s="6">
        <f>IFERROR(VLOOKUP(C165,O.B.JUNE!$AI$7:$AL$448,4,0),0)</f>
        <v>55</v>
      </c>
      <c r="H165" s="6">
        <f t="shared" si="36"/>
        <v>55</v>
      </c>
      <c r="I165" s="6">
        <f>IFERROR(VLOOKUP(C165,O.B.JUNE!$AI$7:$AN$448,6,0),0)</f>
        <v>44</v>
      </c>
      <c r="J165" s="6"/>
      <c r="K165" s="6">
        <f>IFERROR(VLOOKUP(C165,O.B.JUNE!$AI$7:$AO$448,7,0),0)</f>
        <v>266367</v>
      </c>
      <c r="L165" s="6">
        <f>SUMIF('JUNE (물량흐름)'!$C$13:$C$488,'Overhead exp(제조경비)'!C165,'JUNE (물량흐름)'!$H$13:$H$493)+SUMIF('JUNE (물량흐름)'!$C$13:$C$493,'Overhead exp(제조경비)'!C165,'JUNE (물량흐름)'!$V$13:$V$493)</f>
        <v>0</v>
      </c>
      <c r="M165" s="6">
        <f t="shared" si="37"/>
        <v>0</v>
      </c>
      <c r="N165" s="6">
        <f t="shared" si="38"/>
        <v>0</v>
      </c>
      <c r="O165" s="6">
        <f t="shared" si="49"/>
        <v>0</v>
      </c>
      <c r="P165" s="6">
        <f>SUMIF('JUNE (물량흐름)'!$C$13:$C$502,C165,'JUNE (물량흐름)'!$T$13:$T$502)+SUMIF('JUNE (물량흐름)'!$C$13:$C$502,C165,'JUNE (물량흐름)'!$V$13:$V$502)+SUMIF('JUNE (물량흐름)'!$C$13:$C$502,C165,'JUNE (물량흐름)'!$U$13:$U$502)-SUMIF('JUNE (물량흐름)'!$C$13:$C$502,C165,'JUNE (물량흐름)'!$Y$13:$Y$502)</f>
        <v>0</v>
      </c>
      <c r="Q165" s="6">
        <f t="shared" si="44"/>
        <v>0</v>
      </c>
      <c r="R165" s="6">
        <f>IF(ISERROR(VLOOKUP(#REF!,'WIP(재공품)'!$B$12:$AB$38,13,0)),0,VLOOKUP(#REF!,'WIP(재공품)'!$B$12:$AB$38,13,0))</f>
        <v>0</v>
      </c>
      <c r="S165" s="6">
        <f>IF(ISERROR(VLOOKUP(#REF!,'WIP(재공품)'!$B$12:$AB$38,10,0)),0,VLOOKUP(#REF!,'WIP(재공품)'!$B$12:$AB$38,10,0))</f>
        <v>0</v>
      </c>
      <c r="T165" s="6">
        <f>SUMIF('JUNE (물량흐름)'!$C$13:$C$502,'Overhead exp(제조경비)'!C165,'JUNE (물량흐름)'!$Y$13:$Y$502)</f>
        <v>0</v>
      </c>
      <c r="U165" s="6">
        <f t="shared" si="39"/>
        <v>0</v>
      </c>
      <c r="V165" s="6">
        <f>ROUND(SUMIF('JUNE (물량흐름)'!$C$13:$C$502,'Overhead exp(제조경비)'!C165,'JUNE (물량흐름)'!$N$13:$N$502),0)</f>
        <v>0</v>
      </c>
      <c r="W165" s="6">
        <f>ROUND(SUMIF('JUNE (물량흐름)'!$C$13:$C$502,'Overhead exp(제조경비)'!C165,'JUNE (물량흐름)'!$O$13:$O$502),0)</f>
        <v>0</v>
      </c>
      <c r="X165" s="6">
        <f>ROUND(SUMIF('JUNE (물량흐름)'!$C$13:$C$502,'Overhead exp(제조경비)'!C165,'JUNE (물량흐름)'!$P$13:$P$502),0)</f>
        <v>55</v>
      </c>
      <c r="Y165" s="6">
        <f t="shared" si="40"/>
        <v>55</v>
      </c>
      <c r="Z165" s="6">
        <f t="shared" si="41"/>
        <v>44</v>
      </c>
      <c r="AA165" s="6">
        <f t="shared" si="45"/>
        <v>266367</v>
      </c>
      <c r="AB165" s="391">
        <f t="shared" si="42"/>
        <v>0</v>
      </c>
      <c r="AC165" s="391">
        <f t="shared" si="43"/>
        <v>0</v>
      </c>
      <c r="AE165" s="393"/>
    </row>
    <row r="166" spans="1:31" s="390" customFormat="1" ht="24" customHeight="1">
      <c r="A166" s="167">
        <v>156</v>
      </c>
      <c r="B166" s="20" t="str">
        <f>IFERROR(VLOOKUP(A166,'JUNE (물량흐름)'!$A$13:$C$502,2,0),0)</f>
        <v>ALFANI</v>
      </c>
      <c r="C166" s="272">
        <f>VLOOKUP(A166,'JUNE (물량흐름)'!$A$13:$C$502,3,0)</f>
        <v>100008572</v>
      </c>
      <c r="D166" s="6">
        <f>VLOOKUP(C166,'WIP(재공품)'!$B$12:$E$493,4,0)</f>
        <v>30611.250000000004</v>
      </c>
      <c r="E166" s="6">
        <f>IFERROR(VLOOKUP(C166,O.B.JUNE!$AI$7:$AJ$448,2,0),0)</f>
        <v>0</v>
      </c>
      <c r="F166" s="6">
        <f>IFERROR(VLOOKUP(C166,O.B.JUNE!$AI$7:$AK$448,3,0),0)</f>
        <v>0</v>
      </c>
      <c r="G166" s="6">
        <f>IFERROR(VLOOKUP(C166,O.B.JUNE!$AI$7:$AL$448,4,0),0)</f>
        <v>126</v>
      </c>
      <c r="H166" s="6">
        <f t="shared" si="36"/>
        <v>126</v>
      </c>
      <c r="I166" s="6">
        <f>IFERROR(VLOOKUP(C166,O.B.JUNE!$AI$7:$AN$448,6,0),0)</f>
        <v>101</v>
      </c>
      <c r="J166" s="6"/>
      <c r="K166" s="6">
        <f>IFERROR(VLOOKUP(C166,O.B.JUNE!$AI$7:$AO$448,7,0),0)</f>
        <v>711867</v>
      </c>
      <c r="L166" s="6">
        <f>SUMIF('JUNE (물량흐름)'!$C$13:$C$488,'Overhead exp(제조경비)'!C166,'JUNE (물량흐름)'!$H$13:$H$493)+SUMIF('JUNE (물량흐름)'!$C$13:$C$493,'Overhead exp(제조경비)'!C166,'JUNE (물량흐름)'!$V$13:$V$493)</f>
        <v>0</v>
      </c>
      <c r="M166" s="6">
        <f t="shared" si="37"/>
        <v>0</v>
      </c>
      <c r="N166" s="6">
        <f t="shared" si="38"/>
        <v>0</v>
      </c>
      <c r="O166" s="6">
        <f t="shared" si="49"/>
        <v>0</v>
      </c>
      <c r="P166" s="6">
        <f>SUMIF('JUNE (물량흐름)'!$C$13:$C$502,C166,'JUNE (물량흐름)'!$T$13:$T$502)+SUMIF('JUNE (물량흐름)'!$C$13:$C$502,C166,'JUNE (물량흐름)'!$V$13:$V$502)+SUMIF('JUNE (물량흐름)'!$C$13:$C$502,C166,'JUNE (물량흐름)'!$U$13:$U$502)-SUMIF('JUNE (물량흐름)'!$C$13:$C$502,C166,'JUNE (물량흐름)'!$Y$13:$Y$502)</f>
        <v>0</v>
      </c>
      <c r="Q166" s="6">
        <f t="shared" si="44"/>
        <v>0</v>
      </c>
      <c r="R166" s="6">
        <f>IF(ISERROR(VLOOKUP(#REF!,'WIP(재공품)'!$B$12:$AB$38,13,0)),0,VLOOKUP(#REF!,'WIP(재공품)'!$B$12:$AB$38,13,0))</f>
        <v>0</v>
      </c>
      <c r="S166" s="6">
        <f>IF(ISERROR(VLOOKUP(#REF!,'WIP(재공품)'!$B$12:$AB$38,10,0)),0,VLOOKUP(#REF!,'WIP(재공품)'!$B$12:$AB$38,10,0))</f>
        <v>0</v>
      </c>
      <c r="T166" s="6">
        <f>SUMIF('JUNE (물량흐름)'!$C$13:$C$502,'Overhead exp(제조경비)'!C166,'JUNE (물량흐름)'!$Y$13:$Y$502)</f>
        <v>0</v>
      </c>
      <c r="U166" s="6">
        <f t="shared" si="39"/>
        <v>0</v>
      </c>
      <c r="V166" s="6">
        <f>ROUND(SUMIF('JUNE (물량흐름)'!$C$13:$C$502,'Overhead exp(제조경비)'!C166,'JUNE (물량흐름)'!$N$13:$N$502),0)</f>
        <v>0</v>
      </c>
      <c r="W166" s="6">
        <f>ROUND(SUMIF('JUNE (물량흐름)'!$C$13:$C$502,'Overhead exp(제조경비)'!C166,'JUNE (물량흐름)'!$O$13:$O$502),0)</f>
        <v>0</v>
      </c>
      <c r="X166" s="6">
        <f>ROUND(SUMIF('JUNE (물량흐름)'!$C$13:$C$502,'Overhead exp(제조경비)'!C166,'JUNE (물량흐름)'!$P$13:$P$502),0)</f>
        <v>126</v>
      </c>
      <c r="Y166" s="6">
        <f t="shared" si="40"/>
        <v>126</v>
      </c>
      <c r="Z166" s="6">
        <f t="shared" si="41"/>
        <v>101</v>
      </c>
      <c r="AA166" s="6">
        <f t="shared" si="45"/>
        <v>711867</v>
      </c>
      <c r="AB166" s="391">
        <f t="shared" si="42"/>
        <v>0</v>
      </c>
      <c r="AC166" s="391">
        <f t="shared" si="43"/>
        <v>0</v>
      </c>
      <c r="AE166" s="393"/>
    </row>
    <row r="167" spans="1:31" s="390" customFormat="1" ht="24" customHeight="1">
      <c r="A167" s="167">
        <v>157</v>
      </c>
      <c r="B167" s="20" t="str">
        <f>IFERROR(VLOOKUP(A167,'JUNE (물량흐름)'!$A$13:$C$502,2,0),0)</f>
        <v>ALFANI</v>
      </c>
      <c r="C167" s="272">
        <f>VLOOKUP(A167,'JUNE (물량흐름)'!$A$13:$C$502,3,0)</f>
        <v>100008587</v>
      </c>
      <c r="D167" s="6">
        <f>VLOOKUP(C167,'WIP(재공품)'!$B$12:$E$493,4,0)</f>
        <v>7936.2499999999991</v>
      </c>
      <c r="E167" s="6">
        <f>IFERROR(VLOOKUP(C167,O.B.JUNE!$AI$7:$AJ$448,2,0),0)</f>
        <v>0</v>
      </c>
      <c r="F167" s="6">
        <f>IFERROR(VLOOKUP(C167,O.B.JUNE!$AI$7:$AK$448,3,0),0)</f>
        <v>0</v>
      </c>
      <c r="G167" s="6">
        <f>IFERROR(VLOOKUP(C167,O.B.JUNE!$AI$7:$AL$448,4,0),0)</f>
        <v>113</v>
      </c>
      <c r="H167" s="6">
        <f t="shared" si="36"/>
        <v>113</v>
      </c>
      <c r="I167" s="6">
        <f>IFERROR(VLOOKUP(C167,O.B.JUNE!$AI$7:$AN$448,6,0),0)</f>
        <v>90</v>
      </c>
      <c r="J167" s="6"/>
      <c r="K167" s="6">
        <f>IFERROR(VLOOKUP(C167,O.B.JUNE!$AI$7:$AO$448,7,0),0)</f>
        <v>1221201</v>
      </c>
      <c r="L167" s="6">
        <f>SUMIF('JUNE (물량흐름)'!$C$13:$C$488,'Overhead exp(제조경비)'!C167,'JUNE (물량흐름)'!$H$13:$H$493)+SUMIF('JUNE (물량흐름)'!$C$13:$C$493,'Overhead exp(제조경비)'!C167,'JUNE (물량흐름)'!$V$13:$V$493)</f>
        <v>0</v>
      </c>
      <c r="M167" s="6">
        <f t="shared" si="37"/>
        <v>0</v>
      </c>
      <c r="N167" s="6">
        <f t="shared" si="38"/>
        <v>0</v>
      </c>
      <c r="O167" s="6">
        <f t="shared" si="49"/>
        <v>0</v>
      </c>
      <c r="P167" s="6">
        <f>SUMIF('JUNE (물량흐름)'!$C$13:$C$502,C167,'JUNE (물량흐름)'!$T$13:$T$502)+SUMIF('JUNE (물량흐름)'!$C$13:$C$502,C167,'JUNE (물량흐름)'!$V$13:$V$502)+SUMIF('JUNE (물량흐름)'!$C$13:$C$502,C167,'JUNE (물량흐름)'!$U$13:$U$502)-SUMIF('JUNE (물량흐름)'!$C$13:$C$502,C167,'JUNE (물량흐름)'!$Y$13:$Y$502)</f>
        <v>0</v>
      </c>
      <c r="Q167" s="6">
        <f t="shared" si="44"/>
        <v>0</v>
      </c>
      <c r="R167" s="6">
        <f>IF(ISERROR(VLOOKUP(#REF!,'WIP(재공품)'!$B$12:$AB$38,13,0)),0,VLOOKUP(#REF!,'WIP(재공품)'!$B$12:$AB$38,13,0))</f>
        <v>0</v>
      </c>
      <c r="S167" s="6">
        <f>IF(ISERROR(VLOOKUP(#REF!,'WIP(재공품)'!$B$12:$AB$38,10,0)),0,VLOOKUP(#REF!,'WIP(재공품)'!$B$12:$AB$38,10,0))</f>
        <v>0</v>
      </c>
      <c r="T167" s="6">
        <f>SUMIF('JUNE (물량흐름)'!$C$13:$C$502,'Overhead exp(제조경비)'!C167,'JUNE (물량흐름)'!$Y$13:$Y$502)</f>
        <v>0</v>
      </c>
      <c r="U167" s="6">
        <f t="shared" si="39"/>
        <v>0</v>
      </c>
      <c r="V167" s="6">
        <f>ROUND(SUMIF('JUNE (물량흐름)'!$C$13:$C$502,'Overhead exp(제조경비)'!C167,'JUNE (물량흐름)'!$N$13:$N$502),0)</f>
        <v>0</v>
      </c>
      <c r="W167" s="6">
        <f>ROUND(SUMIF('JUNE (물량흐름)'!$C$13:$C$502,'Overhead exp(제조경비)'!C167,'JUNE (물량흐름)'!$O$13:$O$502),0)</f>
        <v>0</v>
      </c>
      <c r="X167" s="6">
        <f>ROUND(SUMIF('JUNE (물량흐름)'!$C$13:$C$502,'Overhead exp(제조경비)'!C167,'JUNE (물량흐름)'!$P$13:$P$502),0)</f>
        <v>113</v>
      </c>
      <c r="Y167" s="6">
        <f t="shared" si="40"/>
        <v>113</v>
      </c>
      <c r="Z167" s="6">
        <f t="shared" si="41"/>
        <v>90</v>
      </c>
      <c r="AA167" s="6">
        <f t="shared" si="45"/>
        <v>1221201</v>
      </c>
      <c r="AB167" s="391">
        <f t="shared" si="42"/>
        <v>0</v>
      </c>
      <c r="AC167" s="391">
        <f t="shared" si="43"/>
        <v>0</v>
      </c>
      <c r="AE167" s="393"/>
    </row>
    <row r="168" spans="1:31" s="390" customFormat="1" ht="24" customHeight="1">
      <c r="A168" s="167">
        <v>158</v>
      </c>
      <c r="B168" s="20" t="str">
        <f>IFERROR(VLOOKUP(A168,'JUNE (물량흐름)'!$A$13:$C$502,2,0),0)</f>
        <v>ALFANI</v>
      </c>
      <c r="C168" s="272">
        <f>VLOOKUP(A168,'JUNE (물량흐름)'!$A$13:$C$502,3,0)</f>
        <v>100008588</v>
      </c>
      <c r="D168" s="6">
        <f>VLOOKUP(C168,'WIP(재공품)'!$B$12:$E$493,4,0)</f>
        <v>7936.2499999999991</v>
      </c>
      <c r="E168" s="6">
        <f>IFERROR(VLOOKUP(C168,O.B.JUNE!$AI$7:$AJ$448,2,0),0)</f>
        <v>0</v>
      </c>
      <c r="F168" s="6">
        <f>IFERROR(VLOOKUP(C168,O.B.JUNE!$AI$7:$AK$448,3,0),0)</f>
        <v>0</v>
      </c>
      <c r="G168" s="6">
        <f>IFERROR(VLOOKUP(C168,O.B.JUNE!$AI$7:$AL$448,4,0),0)</f>
        <v>51</v>
      </c>
      <c r="H168" s="6">
        <f t="shared" si="36"/>
        <v>51</v>
      </c>
      <c r="I168" s="6">
        <f>IFERROR(VLOOKUP(C168,O.B.JUNE!$AI$7:$AN$448,6,0),0)</f>
        <v>41</v>
      </c>
      <c r="J168" s="6"/>
      <c r="K168" s="6">
        <f>IFERROR(VLOOKUP(C168,O.B.JUNE!$AI$7:$AO$448,7,0),0)</f>
        <v>261056</v>
      </c>
      <c r="L168" s="6">
        <f>SUMIF('JUNE (물량흐름)'!$C$13:$C$488,'Overhead exp(제조경비)'!C168,'JUNE (물량흐름)'!$H$13:$H$493)+SUMIF('JUNE (물량흐름)'!$C$13:$C$493,'Overhead exp(제조경비)'!C168,'JUNE (물량흐름)'!$V$13:$V$493)</f>
        <v>0</v>
      </c>
      <c r="M168" s="6">
        <f t="shared" si="37"/>
        <v>0</v>
      </c>
      <c r="N168" s="6">
        <f t="shared" si="38"/>
        <v>0</v>
      </c>
      <c r="O168" s="6">
        <f t="shared" si="49"/>
        <v>0</v>
      </c>
      <c r="P168" s="6">
        <f>SUMIF('JUNE (물량흐름)'!$C$13:$C$502,C168,'JUNE (물량흐름)'!$T$13:$T$502)+SUMIF('JUNE (물량흐름)'!$C$13:$C$502,C168,'JUNE (물량흐름)'!$V$13:$V$502)+SUMIF('JUNE (물량흐름)'!$C$13:$C$502,C168,'JUNE (물량흐름)'!$U$13:$U$502)-SUMIF('JUNE (물량흐름)'!$C$13:$C$502,C168,'JUNE (물량흐름)'!$Y$13:$Y$502)</f>
        <v>0</v>
      </c>
      <c r="Q168" s="6">
        <f t="shared" si="44"/>
        <v>0</v>
      </c>
      <c r="R168" s="6">
        <f>IF(ISERROR(VLOOKUP(#REF!,'WIP(재공품)'!$B$12:$AB$38,13,0)),0,VLOOKUP(#REF!,'WIP(재공품)'!$B$12:$AB$38,13,0))</f>
        <v>0</v>
      </c>
      <c r="S168" s="6">
        <f>IF(ISERROR(VLOOKUP(#REF!,'WIP(재공품)'!$B$12:$AB$38,10,0)),0,VLOOKUP(#REF!,'WIP(재공품)'!$B$12:$AB$38,10,0))</f>
        <v>0</v>
      </c>
      <c r="T168" s="6">
        <f>SUMIF('JUNE (물량흐름)'!$C$13:$C$502,'Overhead exp(제조경비)'!C168,'JUNE (물량흐름)'!$Y$13:$Y$502)</f>
        <v>0</v>
      </c>
      <c r="U168" s="6">
        <f t="shared" si="39"/>
        <v>0</v>
      </c>
      <c r="V168" s="6">
        <f>ROUND(SUMIF('JUNE (물량흐름)'!$C$13:$C$502,'Overhead exp(제조경비)'!C168,'JUNE (물량흐름)'!$N$13:$N$502),0)</f>
        <v>0</v>
      </c>
      <c r="W168" s="6">
        <f>ROUND(SUMIF('JUNE (물량흐름)'!$C$13:$C$502,'Overhead exp(제조경비)'!C168,'JUNE (물량흐름)'!$O$13:$O$502),0)</f>
        <v>0</v>
      </c>
      <c r="X168" s="6">
        <f>ROUND(SUMIF('JUNE (물량흐름)'!$C$13:$C$502,'Overhead exp(제조경비)'!C168,'JUNE (물량흐름)'!$P$13:$P$502),0)</f>
        <v>51</v>
      </c>
      <c r="Y168" s="167">
        <f t="shared" ref="Y168" si="51">ROUND(SUM(V168:X168),0)</f>
        <v>51</v>
      </c>
      <c r="Z168" s="167">
        <f t="shared" si="41"/>
        <v>41</v>
      </c>
      <c r="AA168" s="6">
        <f t="shared" si="45"/>
        <v>261056</v>
      </c>
      <c r="AB168" s="391">
        <f t="shared" si="42"/>
        <v>0</v>
      </c>
      <c r="AC168" s="391">
        <f t="shared" si="43"/>
        <v>0</v>
      </c>
      <c r="AE168" s="393"/>
    </row>
    <row r="169" spans="1:31" s="390" customFormat="1" ht="24" customHeight="1">
      <c r="A169" s="167">
        <v>159</v>
      </c>
      <c r="B169" s="20" t="str">
        <f>IFERROR(VLOOKUP(A169,'JUNE (물량흐름)'!$A$13:$C$502,2,0),0)</f>
        <v>ALFANI</v>
      </c>
      <c r="C169" s="272">
        <f>VLOOKUP(A169,'JUNE (물량흐름)'!$A$13:$C$502,3,0)</f>
        <v>100008624</v>
      </c>
      <c r="D169" s="6">
        <f>VLOOKUP(C169,'WIP(재공품)'!$B$12:$E$493,4,0)</f>
        <v>30611.250000000004</v>
      </c>
      <c r="E169" s="6">
        <f>IFERROR(VLOOKUP(C169,O.B.JUNE!$AI$7:$AJ$448,2,0),0)</f>
        <v>0</v>
      </c>
      <c r="F169" s="6">
        <f>IFERROR(VLOOKUP(C169,O.B.JUNE!$AI$7:$AK$448,3,0),0)</f>
        <v>0</v>
      </c>
      <c r="G169" s="6">
        <f>IFERROR(VLOOKUP(C169,O.B.JUNE!$AI$7:$AL$448,4,0),0)</f>
        <v>143</v>
      </c>
      <c r="H169" s="6">
        <f t="shared" si="36"/>
        <v>143</v>
      </c>
      <c r="I169" s="6">
        <f>IFERROR(VLOOKUP(C169,O.B.JUNE!$AI$7:$AN$448,6,0),0)</f>
        <v>114</v>
      </c>
      <c r="J169" s="6"/>
      <c r="K169" s="6">
        <f>IFERROR(VLOOKUP(C169,O.B.JUNE!$AI$7:$AO$448,7,0),0)</f>
        <v>2881940</v>
      </c>
      <c r="L169" s="6">
        <f>SUMIF('JUNE (물량흐름)'!$C$13:$C$488,'Overhead exp(제조경비)'!C169,'JUNE (물량흐름)'!$H$13:$H$493)+SUMIF('JUNE (물량흐름)'!$C$13:$C$493,'Overhead exp(제조경비)'!C169,'JUNE (물량흐름)'!$V$13:$V$493)</f>
        <v>0</v>
      </c>
      <c r="M169" s="6">
        <f t="shared" si="37"/>
        <v>0</v>
      </c>
      <c r="N169" s="6">
        <f t="shared" si="38"/>
        <v>0</v>
      </c>
      <c r="O169" s="6">
        <f t="shared" si="49"/>
        <v>0</v>
      </c>
      <c r="P169" s="6">
        <f>SUMIF('JUNE (물량흐름)'!$C$13:$C$502,C169,'JUNE (물량흐름)'!$T$13:$T$502)+SUMIF('JUNE (물량흐름)'!$C$13:$C$502,C169,'JUNE (물량흐름)'!$V$13:$V$502)+SUMIF('JUNE (물량흐름)'!$C$13:$C$502,C169,'JUNE (물량흐름)'!$U$13:$U$502)-SUMIF('JUNE (물량흐름)'!$C$13:$C$502,C169,'JUNE (물량흐름)'!$Y$13:$Y$502)</f>
        <v>0</v>
      </c>
      <c r="Q169" s="6">
        <f t="shared" si="44"/>
        <v>0</v>
      </c>
      <c r="R169" s="6">
        <f>IF(ISERROR(VLOOKUP(#REF!,'WIP(재공품)'!$B$12:$AB$38,13,0)),0,VLOOKUP(#REF!,'WIP(재공품)'!$B$12:$AB$38,13,0))</f>
        <v>0</v>
      </c>
      <c r="S169" s="6">
        <f>IF(ISERROR(VLOOKUP(#REF!,'WIP(재공품)'!$B$12:$AB$38,10,0)),0,VLOOKUP(#REF!,'WIP(재공품)'!$B$12:$AB$38,10,0))</f>
        <v>0</v>
      </c>
      <c r="T169" s="6">
        <f>SUMIF('JUNE (물량흐름)'!$C$13:$C$502,'Overhead exp(제조경비)'!C169,'JUNE (물량흐름)'!$Y$13:$Y$502)</f>
        <v>0</v>
      </c>
      <c r="U169" s="6">
        <f t="shared" si="39"/>
        <v>0</v>
      </c>
      <c r="V169" s="6">
        <f>ROUND(SUMIF('JUNE (물량흐름)'!$C$13:$C$502,'Overhead exp(제조경비)'!C169,'JUNE (물량흐름)'!$N$13:$N$502),0)</f>
        <v>0</v>
      </c>
      <c r="W169" s="6">
        <f>ROUND(SUMIF('JUNE (물량흐름)'!$C$13:$C$502,'Overhead exp(제조경비)'!C169,'JUNE (물량흐름)'!$O$13:$O$502),0)</f>
        <v>0</v>
      </c>
      <c r="X169" s="6">
        <f>ROUND(SUMIF('JUNE (물량흐름)'!$C$13:$C$502,'Overhead exp(제조경비)'!C169,'JUNE (물량흐름)'!$P$13:$P$502),0)</f>
        <v>143</v>
      </c>
      <c r="Y169" s="6">
        <f t="shared" si="40"/>
        <v>143</v>
      </c>
      <c r="Z169" s="6">
        <f t="shared" si="41"/>
        <v>114</v>
      </c>
      <c r="AA169" s="6">
        <f t="shared" si="45"/>
        <v>2881940</v>
      </c>
      <c r="AB169" s="391">
        <f t="shared" si="42"/>
        <v>0</v>
      </c>
      <c r="AC169" s="391">
        <f t="shared" si="43"/>
        <v>0</v>
      </c>
      <c r="AE169" s="393"/>
    </row>
    <row r="170" spans="1:31" s="390" customFormat="1" ht="24" customHeight="1">
      <c r="A170" s="167">
        <v>160</v>
      </c>
      <c r="B170" s="20" t="str">
        <f>IFERROR(VLOOKUP(A170,'JUNE (물량흐름)'!$A$13:$C$502,2,0),0)</f>
        <v>ALFANI</v>
      </c>
      <c r="C170" s="272">
        <f>VLOOKUP(A170,'JUNE (물량흐름)'!$A$13:$C$502,3,0)</f>
        <v>100008652</v>
      </c>
      <c r="D170" s="6">
        <f>VLOOKUP(C170,'WIP(재공품)'!$B$12:$E$493,4,0)</f>
        <v>30611.250000000004</v>
      </c>
      <c r="E170" s="6">
        <f>IFERROR(VLOOKUP(C170,O.B.JUNE!$AI$7:$AJ$448,2,0),0)</f>
        <v>0</v>
      </c>
      <c r="F170" s="6">
        <f>IFERROR(VLOOKUP(C170,O.B.JUNE!$AI$7:$AK$448,3,0),0)</f>
        <v>0</v>
      </c>
      <c r="G170" s="6">
        <f>IFERROR(VLOOKUP(C170,O.B.JUNE!$AI$7:$AL$448,4,0),0)</f>
        <v>122</v>
      </c>
      <c r="H170" s="6">
        <f t="shared" si="36"/>
        <v>122</v>
      </c>
      <c r="I170" s="6">
        <f>IFERROR(VLOOKUP(C170,O.B.JUNE!$AI$7:$AN$448,6,0),0)</f>
        <v>98</v>
      </c>
      <c r="J170" s="6"/>
      <c r="K170" s="6">
        <f>IFERROR(VLOOKUP(C170,O.B.JUNE!$AI$7:$AO$448,7,0),0)</f>
        <v>3963107</v>
      </c>
      <c r="L170" s="6">
        <f>SUMIF('JUNE (물량흐름)'!$C$13:$C$488,'Overhead exp(제조경비)'!C170,'JUNE (물량흐름)'!$H$13:$H$493)+SUMIF('JUNE (물량흐름)'!$C$13:$C$493,'Overhead exp(제조경비)'!C170,'JUNE (물량흐름)'!$V$13:$V$493)</f>
        <v>0</v>
      </c>
      <c r="M170" s="6">
        <f t="shared" si="37"/>
        <v>0</v>
      </c>
      <c r="N170" s="6">
        <f t="shared" si="38"/>
        <v>0</v>
      </c>
      <c r="O170" s="6">
        <f t="shared" si="49"/>
        <v>0</v>
      </c>
      <c r="P170" s="6">
        <f>SUMIF('JUNE (물량흐름)'!$C$13:$C$502,C170,'JUNE (물량흐름)'!$T$13:$T$502)+SUMIF('JUNE (물량흐름)'!$C$13:$C$502,C170,'JUNE (물량흐름)'!$V$13:$V$502)+SUMIF('JUNE (물량흐름)'!$C$13:$C$502,C170,'JUNE (물량흐름)'!$U$13:$U$502)-SUMIF('JUNE (물량흐름)'!$C$13:$C$502,C170,'JUNE (물량흐름)'!$Y$13:$Y$502)</f>
        <v>0</v>
      </c>
      <c r="Q170" s="6">
        <f t="shared" si="44"/>
        <v>0</v>
      </c>
      <c r="R170" s="6">
        <f>IF(ISERROR(VLOOKUP(#REF!,'WIP(재공품)'!$B$12:$AB$38,13,0)),0,VLOOKUP(#REF!,'WIP(재공품)'!$B$12:$AB$38,13,0))</f>
        <v>0</v>
      </c>
      <c r="S170" s="6">
        <f>IF(ISERROR(VLOOKUP(#REF!,'WIP(재공품)'!$B$12:$AB$38,10,0)),0,VLOOKUP(#REF!,'WIP(재공품)'!$B$12:$AB$38,10,0))</f>
        <v>0</v>
      </c>
      <c r="T170" s="6">
        <f>SUMIF('JUNE (물량흐름)'!$C$13:$C$502,'Overhead exp(제조경비)'!C170,'JUNE (물량흐름)'!$Y$13:$Y$502)</f>
        <v>0</v>
      </c>
      <c r="U170" s="6">
        <f t="shared" si="39"/>
        <v>0</v>
      </c>
      <c r="V170" s="6">
        <f>ROUND(SUMIF('JUNE (물량흐름)'!$C$13:$C$502,'Overhead exp(제조경비)'!C170,'JUNE (물량흐름)'!$N$13:$N$502),0)</f>
        <v>0</v>
      </c>
      <c r="W170" s="6">
        <f>ROUND(SUMIF('JUNE (물량흐름)'!$C$13:$C$502,'Overhead exp(제조경비)'!C170,'JUNE (물량흐름)'!$O$13:$O$502),0)</f>
        <v>0</v>
      </c>
      <c r="X170" s="6">
        <f>ROUND(SUMIF('JUNE (물량흐름)'!$C$13:$C$502,'Overhead exp(제조경비)'!C170,'JUNE (물량흐름)'!$P$13:$P$502),0)</f>
        <v>122</v>
      </c>
      <c r="Y170" s="6">
        <f t="shared" si="40"/>
        <v>122</v>
      </c>
      <c r="Z170" s="6">
        <f t="shared" si="41"/>
        <v>98</v>
      </c>
      <c r="AA170" s="6">
        <f t="shared" si="45"/>
        <v>3963107</v>
      </c>
      <c r="AB170" s="391">
        <f t="shared" si="42"/>
        <v>0</v>
      </c>
      <c r="AC170" s="391">
        <f t="shared" si="43"/>
        <v>0</v>
      </c>
      <c r="AE170" s="393"/>
    </row>
    <row r="171" spans="1:31" s="390" customFormat="1" ht="24" customHeight="1">
      <c r="A171" s="167">
        <v>161</v>
      </c>
      <c r="B171" s="20" t="str">
        <f>IFERROR(VLOOKUP(A171,'JUNE (물량흐름)'!$A$13:$C$502,2,0),0)</f>
        <v>ALFANI</v>
      </c>
      <c r="C171" s="272">
        <f>VLOOKUP(A171,'JUNE (물량흐름)'!$A$13:$C$502,3,0)</f>
        <v>100008653</v>
      </c>
      <c r="D171" s="6">
        <f>VLOOKUP(C171,'WIP(재공품)'!$B$12:$E$493,4,0)</f>
        <v>30611.250000000004</v>
      </c>
      <c r="E171" s="6">
        <f>IFERROR(VLOOKUP(C171,O.B.JUNE!$AI$7:$AJ$448,2,0),0)</f>
        <v>0</v>
      </c>
      <c r="F171" s="6">
        <f>IFERROR(VLOOKUP(C171,O.B.JUNE!$AI$7:$AK$448,3,0),0)</f>
        <v>0</v>
      </c>
      <c r="G171" s="6">
        <f>IFERROR(VLOOKUP(C171,O.B.JUNE!$AI$7:$AL$448,4,0),0)</f>
        <v>69</v>
      </c>
      <c r="H171" s="6">
        <f t="shared" si="36"/>
        <v>69</v>
      </c>
      <c r="I171" s="6">
        <f>IFERROR(VLOOKUP(C171,O.B.JUNE!$AI$7:$AN$448,6,0),0)</f>
        <v>55</v>
      </c>
      <c r="J171" s="6"/>
      <c r="K171" s="6">
        <f>IFERROR(VLOOKUP(C171,O.B.JUNE!$AI$7:$AO$448,7,0),0)</f>
        <v>724547</v>
      </c>
      <c r="L171" s="6">
        <f>SUMIF('JUNE (물량흐름)'!$C$13:$C$488,'Overhead exp(제조경비)'!C171,'JUNE (물량흐름)'!$H$13:$H$493)+SUMIF('JUNE (물량흐름)'!$C$13:$C$493,'Overhead exp(제조경비)'!C171,'JUNE (물량흐름)'!$V$13:$V$493)</f>
        <v>0</v>
      </c>
      <c r="M171" s="6">
        <f t="shared" si="37"/>
        <v>0</v>
      </c>
      <c r="N171" s="6">
        <f t="shared" si="38"/>
        <v>0</v>
      </c>
      <c r="O171" s="6">
        <f t="shared" si="49"/>
        <v>0</v>
      </c>
      <c r="P171" s="6">
        <f>SUMIF('JUNE (물량흐름)'!$C$13:$C$502,C171,'JUNE (물량흐름)'!$T$13:$T$502)+SUMIF('JUNE (물량흐름)'!$C$13:$C$502,C171,'JUNE (물량흐름)'!$V$13:$V$502)+SUMIF('JUNE (물량흐름)'!$C$13:$C$502,C171,'JUNE (물량흐름)'!$U$13:$U$502)-SUMIF('JUNE (물량흐름)'!$C$13:$C$502,C171,'JUNE (물량흐름)'!$Y$13:$Y$502)</f>
        <v>0</v>
      </c>
      <c r="Q171" s="6">
        <f t="shared" si="44"/>
        <v>0</v>
      </c>
      <c r="R171" s="6">
        <f>IF(ISERROR(VLOOKUP(#REF!,'WIP(재공품)'!$B$12:$AB$38,13,0)),0,VLOOKUP(#REF!,'WIP(재공품)'!$B$12:$AB$38,13,0))</f>
        <v>0</v>
      </c>
      <c r="S171" s="6">
        <f>IF(ISERROR(VLOOKUP(#REF!,'WIP(재공품)'!$B$12:$AB$38,10,0)),0,VLOOKUP(#REF!,'WIP(재공품)'!$B$12:$AB$38,10,0))</f>
        <v>0</v>
      </c>
      <c r="T171" s="6">
        <f>SUMIF('JUNE (물량흐름)'!$C$13:$C$502,'Overhead exp(제조경비)'!C171,'JUNE (물량흐름)'!$Y$13:$Y$502)</f>
        <v>0</v>
      </c>
      <c r="U171" s="6">
        <f t="shared" si="39"/>
        <v>0</v>
      </c>
      <c r="V171" s="6">
        <f>ROUND(SUMIF('JUNE (물량흐름)'!$C$13:$C$502,'Overhead exp(제조경비)'!C171,'JUNE (물량흐름)'!$N$13:$N$502),0)</f>
        <v>0</v>
      </c>
      <c r="W171" s="6">
        <f>ROUND(SUMIF('JUNE (물량흐름)'!$C$13:$C$502,'Overhead exp(제조경비)'!C171,'JUNE (물량흐름)'!$O$13:$O$502),0)</f>
        <v>0</v>
      </c>
      <c r="X171" s="6">
        <f>ROUND(SUMIF('JUNE (물량흐름)'!$C$13:$C$502,'Overhead exp(제조경비)'!C171,'JUNE (물량흐름)'!$P$13:$P$502),0)</f>
        <v>69</v>
      </c>
      <c r="Y171" s="6">
        <f t="shared" si="40"/>
        <v>69</v>
      </c>
      <c r="Z171" s="6">
        <f t="shared" si="41"/>
        <v>55</v>
      </c>
      <c r="AA171" s="6">
        <f t="shared" si="45"/>
        <v>724547</v>
      </c>
      <c r="AB171" s="391">
        <f t="shared" si="42"/>
        <v>0</v>
      </c>
      <c r="AC171" s="391">
        <f t="shared" si="43"/>
        <v>0</v>
      </c>
      <c r="AE171" s="393"/>
    </row>
    <row r="172" spans="1:31" s="390" customFormat="1" ht="24" customHeight="1">
      <c r="A172" s="167">
        <v>162</v>
      </c>
      <c r="B172" s="20" t="str">
        <f>IFERROR(VLOOKUP(A172,'JUNE (물량흐름)'!$A$13:$C$502,2,0),0)</f>
        <v>ALFANI</v>
      </c>
      <c r="C172" s="272">
        <f>VLOOKUP(A172,'JUNE (물량흐름)'!$A$13:$C$502,3,0)</f>
        <v>100008702</v>
      </c>
      <c r="D172" s="6">
        <f>VLOOKUP(C172,'WIP(재공품)'!$B$12:$E$493,4,0)</f>
        <v>30611.250000000004</v>
      </c>
      <c r="E172" s="6">
        <f>IFERROR(VLOOKUP(C172,O.B.JUNE!$AI$7:$AJ$448,2,0),0)</f>
        <v>0</v>
      </c>
      <c r="F172" s="6">
        <f>IFERROR(VLOOKUP(C172,O.B.JUNE!$AI$7:$AK$448,3,0),0)</f>
        <v>0</v>
      </c>
      <c r="G172" s="6">
        <f>IFERROR(VLOOKUP(C172,O.B.JUNE!$AI$7:$AL$448,4,0),0)</f>
        <v>59</v>
      </c>
      <c r="H172" s="6">
        <f t="shared" si="36"/>
        <v>59</v>
      </c>
      <c r="I172" s="6">
        <f>IFERROR(VLOOKUP(C172,O.B.JUNE!$AI$7:$AN$448,6,0),0)</f>
        <v>47</v>
      </c>
      <c r="J172" s="6"/>
      <c r="K172" s="6">
        <f>IFERROR(VLOOKUP(C172,O.B.JUNE!$AI$7:$AO$448,7,0),0)</f>
        <v>585317</v>
      </c>
      <c r="L172" s="6">
        <f>SUMIF('JUNE (물량흐름)'!$C$13:$C$488,'Overhead exp(제조경비)'!C172,'JUNE (물량흐름)'!$H$13:$H$493)+SUMIF('JUNE (물량흐름)'!$C$13:$C$493,'Overhead exp(제조경비)'!C172,'JUNE (물량흐름)'!$V$13:$V$493)</f>
        <v>0</v>
      </c>
      <c r="M172" s="6">
        <f t="shared" si="37"/>
        <v>0</v>
      </c>
      <c r="N172" s="6">
        <f t="shared" si="38"/>
        <v>0</v>
      </c>
      <c r="O172" s="6">
        <f t="shared" si="49"/>
        <v>0</v>
      </c>
      <c r="P172" s="6">
        <f>SUMIF('JUNE (물량흐름)'!$C$13:$C$502,C172,'JUNE (물량흐름)'!$T$13:$T$502)+SUMIF('JUNE (물량흐름)'!$C$13:$C$502,C172,'JUNE (물량흐름)'!$V$13:$V$502)+SUMIF('JUNE (물량흐름)'!$C$13:$C$502,C172,'JUNE (물량흐름)'!$U$13:$U$502)-SUMIF('JUNE (물량흐름)'!$C$13:$C$502,C172,'JUNE (물량흐름)'!$Y$13:$Y$502)</f>
        <v>0</v>
      </c>
      <c r="Q172" s="6">
        <f t="shared" si="44"/>
        <v>0</v>
      </c>
      <c r="R172" s="6">
        <f>IF(ISERROR(VLOOKUP(#REF!,'WIP(재공품)'!$B$12:$AB$38,13,0)),0,VLOOKUP(#REF!,'WIP(재공품)'!$B$12:$AB$38,13,0))</f>
        <v>0</v>
      </c>
      <c r="S172" s="6">
        <f>IF(ISERROR(VLOOKUP(#REF!,'WIP(재공품)'!$B$12:$AB$38,10,0)),0,VLOOKUP(#REF!,'WIP(재공품)'!$B$12:$AB$38,10,0))</f>
        <v>0</v>
      </c>
      <c r="T172" s="6">
        <f>SUMIF('JUNE (물량흐름)'!$C$13:$C$502,'Overhead exp(제조경비)'!C172,'JUNE (물량흐름)'!$Y$13:$Y$502)</f>
        <v>0</v>
      </c>
      <c r="U172" s="6">
        <f t="shared" si="39"/>
        <v>0</v>
      </c>
      <c r="V172" s="6">
        <f>ROUND(SUMIF('JUNE (물량흐름)'!$C$13:$C$502,'Overhead exp(제조경비)'!C172,'JUNE (물량흐름)'!$N$13:$N$502),0)</f>
        <v>0</v>
      </c>
      <c r="W172" s="6">
        <f>ROUND(SUMIF('JUNE (물량흐름)'!$C$13:$C$502,'Overhead exp(제조경비)'!C172,'JUNE (물량흐름)'!$O$13:$O$502),0)</f>
        <v>0</v>
      </c>
      <c r="X172" s="6">
        <f>ROUND(SUMIF('JUNE (물량흐름)'!$C$13:$C$502,'Overhead exp(제조경비)'!C172,'JUNE (물량흐름)'!$P$13:$P$502),0)</f>
        <v>59</v>
      </c>
      <c r="Y172" s="6">
        <f t="shared" si="40"/>
        <v>59</v>
      </c>
      <c r="Z172" s="6">
        <f t="shared" si="41"/>
        <v>47</v>
      </c>
      <c r="AA172" s="6">
        <f t="shared" si="45"/>
        <v>585317</v>
      </c>
      <c r="AB172" s="391">
        <f t="shared" si="42"/>
        <v>0</v>
      </c>
      <c r="AC172" s="391">
        <f t="shared" si="43"/>
        <v>0</v>
      </c>
      <c r="AE172" s="393"/>
    </row>
    <row r="173" spans="1:31" s="390" customFormat="1" ht="24" customHeight="1">
      <c r="A173" s="167">
        <v>163</v>
      </c>
      <c r="B173" s="20" t="str">
        <f>IFERROR(VLOOKUP(A173,'JUNE (물량흐름)'!$A$13:$C$502,2,0),0)</f>
        <v>ALFANI</v>
      </c>
      <c r="C173" s="272">
        <f>VLOOKUP(A173,'JUNE (물량흐름)'!$A$13:$C$502,3,0)</f>
        <v>100008703</v>
      </c>
      <c r="D173" s="6">
        <f>VLOOKUP(C173,'WIP(재공품)'!$B$12:$E$493,4,0)</f>
        <v>7936.2499999999991</v>
      </c>
      <c r="E173" s="6">
        <f>IFERROR(VLOOKUP(C173,O.B.JUNE!$AI$7:$AJ$448,2,0),0)</f>
        <v>0</v>
      </c>
      <c r="F173" s="6">
        <f>IFERROR(VLOOKUP(C173,O.B.JUNE!$AI$7:$AK$448,3,0),0)</f>
        <v>0</v>
      </c>
      <c r="G173" s="6">
        <f>IFERROR(VLOOKUP(C173,O.B.JUNE!$AI$7:$AL$448,4,0),0)</f>
        <v>78</v>
      </c>
      <c r="H173" s="6">
        <f t="shared" si="36"/>
        <v>78</v>
      </c>
      <c r="I173" s="6">
        <f>IFERROR(VLOOKUP(C173,O.B.JUNE!$AI$7:$AN$448,6,0),0)</f>
        <v>62</v>
      </c>
      <c r="J173" s="6"/>
      <c r="K173" s="6">
        <f>IFERROR(VLOOKUP(C173,O.B.JUNE!$AI$7:$AO$448,7,0),0)</f>
        <v>1125029</v>
      </c>
      <c r="L173" s="6">
        <f>SUMIF('JUNE (물량흐름)'!$C$13:$C$488,'Overhead exp(제조경비)'!C173,'JUNE (물량흐름)'!$H$13:$H$493)+SUMIF('JUNE (물량흐름)'!$C$13:$C$493,'Overhead exp(제조경비)'!C173,'JUNE (물량흐름)'!$V$13:$V$493)</f>
        <v>0</v>
      </c>
      <c r="M173" s="6">
        <f t="shared" si="37"/>
        <v>0</v>
      </c>
      <c r="N173" s="6">
        <f t="shared" si="38"/>
        <v>0</v>
      </c>
      <c r="O173" s="6">
        <f t="shared" si="49"/>
        <v>0</v>
      </c>
      <c r="P173" s="6">
        <f>SUMIF('JUNE (물량흐름)'!$C$13:$C$502,C173,'JUNE (물량흐름)'!$T$13:$T$502)+SUMIF('JUNE (물량흐름)'!$C$13:$C$502,C173,'JUNE (물량흐름)'!$V$13:$V$502)+SUMIF('JUNE (물량흐름)'!$C$13:$C$502,C173,'JUNE (물량흐름)'!$U$13:$U$502)-SUMIF('JUNE (물량흐름)'!$C$13:$C$502,C173,'JUNE (물량흐름)'!$Y$13:$Y$502)</f>
        <v>0</v>
      </c>
      <c r="Q173" s="6">
        <f t="shared" si="44"/>
        <v>0</v>
      </c>
      <c r="R173" s="6">
        <f>IF(ISERROR(VLOOKUP(#REF!,'WIP(재공품)'!$B$12:$AB$38,13,0)),0,VLOOKUP(#REF!,'WIP(재공품)'!$B$12:$AB$38,13,0))</f>
        <v>0</v>
      </c>
      <c r="S173" s="6">
        <f>IF(ISERROR(VLOOKUP(#REF!,'WIP(재공품)'!$B$12:$AB$38,10,0)),0,VLOOKUP(#REF!,'WIP(재공품)'!$B$12:$AB$38,10,0))</f>
        <v>0</v>
      </c>
      <c r="T173" s="6">
        <f>SUMIF('JUNE (물량흐름)'!$C$13:$C$502,'Overhead exp(제조경비)'!C173,'JUNE (물량흐름)'!$Y$13:$Y$502)</f>
        <v>0</v>
      </c>
      <c r="U173" s="6">
        <f t="shared" si="39"/>
        <v>0</v>
      </c>
      <c r="V173" s="6">
        <f>ROUND(SUMIF('JUNE (물량흐름)'!$C$13:$C$502,'Overhead exp(제조경비)'!C173,'JUNE (물량흐름)'!$N$13:$N$502),0)</f>
        <v>0</v>
      </c>
      <c r="W173" s="6">
        <f>ROUND(SUMIF('JUNE (물량흐름)'!$C$13:$C$502,'Overhead exp(제조경비)'!C173,'JUNE (물량흐름)'!$O$13:$O$502),0)</f>
        <v>0</v>
      </c>
      <c r="X173" s="6">
        <f>ROUND(SUMIF('JUNE (물량흐름)'!$C$13:$C$502,'Overhead exp(제조경비)'!C173,'JUNE (물량흐름)'!$P$13:$P$502),0)</f>
        <v>78</v>
      </c>
      <c r="Y173" s="6">
        <f t="shared" si="40"/>
        <v>78</v>
      </c>
      <c r="Z173" s="6">
        <f t="shared" si="41"/>
        <v>62</v>
      </c>
      <c r="AA173" s="6">
        <f t="shared" si="45"/>
        <v>1125029</v>
      </c>
      <c r="AB173" s="391">
        <f t="shared" si="42"/>
        <v>0</v>
      </c>
      <c r="AC173" s="391">
        <f t="shared" si="43"/>
        <v>0</v>
      </c>
      <c r="AE173" s="393"/>
    </row>
    <row r="174" spans="1:31" s="390" customFormat="1" ht="24" customHeight="1">
      <c r="A174" s="167">
        <v>164</v>
      </c>
      <c r="B174" s="20" t="str">
        <f>IFERROR(VLOOKUP(A174,'JUNE (물량흐름)'!$A$13:$C$502,2,0),0)</f>
        <v>ALFANI</v>
      </c>
      <c r="C174" s="272">
        <f>VLOOKUP(A174,'JUNE (물량흐름)'!$A$13:$C$502,3,0)</f>
        <v>100008704</v>
      </c>
      <c r="D174" s="6">
        <f>VLOOKUP(C174,'WIP(재공품)'!$B$12:$E$493,4,0)</f>
        <v>35146.25</v>
      </c>
      <c r="E174" s="6">
        <f>IFERROR(VLOOKUP(C174,O.B.JUNE!$AI$7:$AJ$448,2,0),0)</f>
        <v>0</v>
      </c>
      <c r="F174" s="6">
        <f>IFERROR(VLOOKUP(C174,O.B.JUNE!$AI$7:$AK$448,3,0),0)</f>
        <v>0</v>
      </c>
      <c r="G174" s="6">
        <f>IFERROR(VLOOKUP(C174,O.B.JUNE!$AI$7:$AL$448,4,0),0)</f>
        <v>102</v>
      </c>
      <c r="H174" s="6">
        <f t="shared" si="36"/>
        <v>102</v>
      </c>
      <c r="I174" s="6">
        <f>IFERROR(VLOOKUP(C174,O.B.JUNE!$AI$7:$AN$448,6,0),0)</f>
        <v>82</v>
      </c>
      <c r="J174" s="6"/>
      <c r="K174" s="6">
        <f>IFERROR(VLOOKUP(C174,O.B.JUNE!$AI$7:$AO$448,7,0),0)</f>
        <v>1536414</v>
      </c>
      <c r="L174" s="6">
        <f>SUMIF('JUNE (물량흐름)'!$C$13:$C$488,'Overhead exp(제조경비)'!C174,'JUNE (물량흐름)'!$H$13:$H$493)+SUMIF('JUNE (물량흐름)'!$C$13:$C$493,'Overhead exp(제조경비)'!C174,'JUNE (물량흐름)'!$V$13:$V$493)</f>
        <v>0</v>
      </c>
      <c r="M174" s="6">
        <f t="shared" si="37"/>
        <v>0</v>
      </c>
      <c r="N174" s="6">
        <f t="shared" si="38"/>
        <v>0</v>
      </c>
      <c r="O174" s="6">
        <f t="shared" si="49"/>
        <v>0</v>
      </c>
      <c r="P174" s="6">
        <f>SUMIF('JUNE (물량흐름)'!$C$13:$C$502,C174,'JUNE (물량흐름)'!$T$13:$T$502)+SUMIF('JUNE (물량흐름)'!$C$13:$C$502,C174,'JUNE (물량흐름)'!$V$13:$V$502)+SUMIF('JUNE (물량흐름)'!$C$13:$C$502,C174,'JUNE (물량흐름)'!$U$13:$U$502)-SUMIF('JUNE (물량흐름)'!$C$13:$C$502,C174,'JUNE (물량흐름)'!$Y$13:$Y$502)</f>
        <v>0</v>
      </c>
      <c r="Q174" s="6">
        <f t="shared" si="44"/>
        <v>0</v>
      </c>
      <c r="R174" s="6">
        <f>IF(ISERROR(VLOOKUP(#REF!,'WIP(재공품)'!$B$12:$AB$38,13,0)),0,VLOOKUP(#REF!,'WIP(재공품)'!$B$12:$AB$38,13,0))</f>
        <v>0</v>
      </c>
      <c r="S174" s="6">
        <f>IF(ISERROR(VLOOKUP(#REF!,'WIP(재공품)'!$B$12:$AB$38,10,0)),0,VLOOKUP(#REF!,'WIP(재공품)'!$B$12:$AB$38,10,0))</f>
        <v>0</v>
      </c>
      <c r="T174" s="6">
        <f>SUMIF('JUNE (물량흐름)'!$C$13:$C$502,'Overhead exp(제조경비)'!C174,'JUNE (물량흐름)'!$Y$13:$Y$502)</f>
        <v>0</v>
      </c>
      <c r="U174" s="6">
        <f t="shared" si="39"/>
        <v>0</v>
      </c>
      <c r="V174" s="6">
        <f>ROUND(SUMIF('JUNE (물량흐름)'!$C$13:$C$502,'Overhead exp(제조경비)'!C174,'JUNE (물량흐름)'!$N$13:$N$502),0)</f>
        <v>0</v>
      </c>
      <c r="W174" s="6">
        <f>ROUND(SUMIF('JUNE (물량흐름)'!$C$13:$C$502,'Overhead exp(제조경비)'!C174,'JUNE (물량흐름)'!$O$13:$O$502),0)</f>
        <v>0</v>
      </c>
      <c r="X174" s="6">
        <f>ROUND(SUMIF('JUNE (물량흐름)'!$C$13:$C$502,'Overhead exp(제조경비)'!C174,'JUNE (물량흐름)'!$P$13:$P$502),0)</f>
        <v>102</v>
      </c>
      <c r="Y174" s="6">
        <f t="shared" si="40"/>
        <v>102</v>
      </c>
      <c r="Z174" s="6">
        <f t="shared" si="41"/>
        <v>82</v>
      </c>
      <c r="AA174" s="6">
        <f t="shared" si="45"/>
        <v>1536414</v>
      </c>
      <c r="AB174" s="391">
        <f t="shared" si="42"/>
        <v>0</v>
      </c>
      <c r="AC174" s="391">
        <f t="shared" si="43"/>
        <v>0</v>
      </c>
      <c r="AE174" s="393"/>
    </row>
    <row r="175" spans="1:31" s="390" customFormat="1" ht="24" customHeight="1">
      <c r="A175" s="167">
        <v>165</v>
      </c>
      <c r="B175" s="20" t="str">
        <f>IFERROR(VLOOKUP(A175,'JUNE (물량흐름)'!$A$13:$C$502,2,0),0)</f>
        <v>ALFANI</v>
      </c>
      <c r="C175" s="272">
        <f>VLOOKUP(A175,'JUNE (물량흐름)'!$A$13:$C$502,3,0)</f>
        <v>100008706</v>
      </c>
      <c r="D175" s="6">
        <f>VLOOKUP(C175,'WIP(재공품)'!$B$12:$E$493,4,0)</f>
        <v>30611.250000000004</v>
      </c>
      <c r="E175" s="6">
        <f>IFERROR(VLOOKUP(C175,O.B.JUNE!$AI$7:$AJ$448,2,0),0)</f>
        <v>0</v>
      </c>
      <c r="F175" s="6">
        <f>IFERROR(VLOOKUP(C175,O.B.JUNE!$AI$7:$AK$448,3,0),0)</f>
        <v>0</v>
      </c>
      <c r="G175" s="6">
        <f>IFERROR(VLOOKUP(C175,O.B.JUNE!$AI$7:$AL$448,4,0),0)</f>
        <v>220</v>
      </c>
      <c r="H175" s="6">
        <f t="shared" si="36"/>
        <v>220</v>
      </c>
      <c r="I175" s="6">
        <f>IFERROR(VLOOKUP(C175,O.B.JUNE!$AI$7:$AN$448,6,0),0)</f>
        <v>176</v>
      </c>
      <c r="J175" s="6"/>
      <c r="K175" s="6">
        <f>IFERROR(VLOOKUP(C175,O.B.JUNE!$AI$7:$AO$448,7,0),0)</f>
        <v>5146586</v>
      </c>
      <c r="L175" s="6">
        <f>SUMIF('JUNE (물량흐름)'!$C$13:$C$488,'Overhead exp(제조경비)'!C175,'JUNE (물량흐름)'!$H$13:$H$493)+SUMIF('JUNE (물량흐름)'!$C$13:$C$493,'Overhead exp(제조경비)'!C175,'JUNE (물량흐름)'!$V$13:$V$493)</f>
        <v>0</v>
      </c>
      <c r="M175" s="6">
        <f t="shared" si="37"/>
        <v>0</v>
      </c>
      <c r="N175" s="6">
        <f t="shared" si="38"/>
        <v>0</v>
      </c>
      <c r="O175" s="6">
        <f t="shared" si="49"/>
        <v>0</v>
      </c>
      <c r="P175" s="6">
        <f>SUMIF('JUNE (물량흐름)'!$C$13:$C$502,C175,'JUNE (물량흐름)'!$T$13:$T$502)+SUMIF('JUNE (물량흐름)'!$C$13:$C$502,C175,'JUNE (물량흐름)'!$V$13:$V$502)+SUMIF('JUNE (물량흐름)'!$C$13:$C$502,C175,'JUNE (물량흐름)'!$U$13:$U$502)-SUMIF('JUNE (물량흐름)'!$C$13:$C$502,C175,'JUNE (물량흐름)'!$Y$13:$Y$502)</f>
        <v>0</v>
      </c>
      <c r="Q175" s="6">
        <f t="shared" si="44"/>
        <v>0</v>
      </c>
      <c r="R175" s="6">
        <f>IF(ISERROR(VLOOKUP(#REF!,'WIP(재공품)'!$B$12:$AB$38,13,0)),0,VLOOKUP(#REF!,'WIP(재공품)'!$B$12:$AB$38,13,0))</f>
        <v>0</v>
      </c>
      <c r="S175" s="6">
        <f>IF(ISERROR(VLOOKUP(#REF!,'WIP(재공품)'!$B$12:$AB$38,10,0)),0,VLOOKUP(#REF!,'WIP(재공품)'!$B$12:$AB$38,10,0))</f>
        <v>0</v>
      </c>
      <c r="T175" s="6">
        <f>SUMIF('JUNE (물량흐름)'!$C$13:$C$502,'Overhead exp(제조경비)'!C175,'JUNE (물량흐름)'!$Y$13:$Y$502)</f>
        <v>0</v>
      </c>
      <c r="U175" s="6">
        <f t="shared" si="39"/>
        <v>0</v>
      </c>
      <c r="V175" s="6">
        <f>ROUND(SUMIF('JUNE (물량흐름)'!$C$13:$C$502,'Overhead exp(제조경비)'!C175,'JUNE (물량흐름)'!$N$13:$N$502),0)</f>
        <v>0</v>
      </c>
      <c r="W175" s="6">
        <f>ROUND(SUMIF('JUNE (물량흐름)'!$C$13:$C$502,'Overhead exp(제조경비)'!C175,'JUNE (물량흐름)'!$O$13:$O$502),0)</f>
        <v>0</v>
      </c>
      <c r="X175" s="6">
        <f>ROUND(SUMIF('JUNE (물량흐름)'!$C$13:$C$502,'Overhead exp(제조경비)'!C175,'JUNE (물량흐름)'!$P$13:$P$502),0)</f>
        <v>220</v>
      </c>
      <c r="Y175" s="6">
        <f t="shared" si="40"/>
        <v>220</v>
      </c>
      <c r="Z175" s="6">
        <f t="shared" si="41"/>
        <v>176</v>
      </c>
      <c r="AA175" s="6">
        <f t="shared" si="45"/>
        <v>5146586</v>
      </c>
      <c r="AB175" s="391">
        <f t="shared" si="42"/>
        <v>0</v>
      </c>
      <c r="AC175" s="391">
        <f t="shared" si="43"/>
        <v>0</v>
      </c>
      <c r="AE175" s="393"/>
    </row>
    <row r="176" spans="1:31" s="390" customFormat="1" ht="24" customHeight="1">
      <c r="A176" s="167">
        <v>166</v>
      </c>
      <c r="B176" s="20" t="str">
        <f>IFERROR(VLOOKUP(A176,'JUNE (물량흐름)'!$A$13:$C$502,2,0),0)</f>
        <v>ALFANI</v>
      </c>
      <c r="C176" s="272">
        <f>VLOOKUP(A176,'JUNE (물량흐름)'!$A$13:$C$502,3,0)</f>
        <v>100008707</v>
      </c>
      <c r="D176" s="6">
        <f>VLOOKUP(C176,'WIP(재공품)'!$B$12:$E$493,4,0)</f>
        <v>8163</v>
      </c>
      <c r="E176" s="6">
        <f>IFERROR(VLOOKUP(C176,O.B.JUNE!$AI$7:$AJ$448,2,0),0)</f>
        <v>0</v>
      </c>
      <c r="F176" s="6">
        <f>IFERROR(VLOOKUP(C176,O.B.JUNE!$AI$7:$AK$448,3,0),0)</f>
        <v>183</v>
      </c>
      <c r="G176" s="6">
        <f>IFERROR(VLOOKUP(C176,O.B.JUNE!$AI$7:$AL$448,4,0),0)</f>
        <v>92</v>
      </c>
      <c r="H176" s="6">
        <f t="shared" si="36"/>
        <v>275</v>
      </c>
      <c r="I176" s="6">
        <f>IFERROR(VLOOKUP(C176,O.B.JUNE!$AI$7:$AN$448,6,0),0)</f>
        <v>165</v>
      </c>
      <c r="J176" s="6"/>
      <c r="K176" s="6">
        <f>IFERROR(VLOOKUP(C176,O.B.JUNE!$AI$7:$AO$448,7,0),0)</f>
        <v>5460697</v>
      </c>
      <c r="L176" s="6">
        <f>SUMIF('JUNE (물량흐름)'!$C$13:$C$488,'Overhead exp(제조경비)'!C176,'JUNE (물량흐름)'!$H$13:$H$493)+SUMIF('JUNE (물량흐름)'!$C$13:$C$493,'Overhead exp(제조경비)'!C176,'JUNE (물량흐름)'!$V$13:$V$493)</f>
        <v>0</v>
      </c>
      <c r="M176" s="6">
        <f t="shared" si="37"/>
        <v>0</v>
      </c>
      <c r="N176" s="6">
        <f t="shared" si="38"/>
        <v>0</v>
      </c>
      <c r="O176" s="6">
        <f t="shared" si="49"/>
        <v>0</v>
      </c>
      <c r="P176" s="6">
        <f>SUMIF('JUNE (물량흐름)'!$C$13:$C$502,C176,'JUNE (물량흐름)'!$T$13:$T$502)+SUMIF('JUNE (물량흐름)'!$C$13:$C$502,C176,'JUNE (물량흐름)'!$V$13:$V$502)+SUMIF('JUNE (물량흐름)'!$C$13:$C$502,C176,'JUNE (물량흐름)'!$U$13:$U$502)-SUMIF('JUNE (물량흐름)'!$C$13:$C$502,C176,'JUNE (물량흐름)'!$Y$13:$Y$502)</f>
        <v>0</v>
      </c>
      <c r="Q176" s="6">
        <f t="shared" si="44"/>
        <v>0</v>
      </c>
      <c r="R176" s="6">
        <f>IF(ISERROR(VLOOKUP(#REF!,'WIP(재공품)'!$B$12:$AB$38,13,0)),0,VLOOKUP(#REF!,'WIP(재공품)'!$B$12:$AB$38,13,0))</f>
        <v>0</v>
      </c>
      <c r="S176" s="6">
        <f>IF(ISERROR(VLOOKUP(#REF!,'WIP(재공품)'!$B$12:$AB$38,10,0)),0,VLOOKUP(#REF!,'WIP(재공품)'!$B$12:$AB$38,10,0))</f>
        <v>0</v>
      </c>
      <c r="T176" s="6">
        <f>SUMIF('JUNE (물량흐름)'!$C$13:$C$502,'Overhead exp(제조경비)'!C176,'JUNE (물량흐름)'!$Y$13:$Y$502)</f>
        <v>0</v>
      </c>
      <c r="U176" s="6">
        <f t="shared" si="39"/>
        <v>0</v>
      </c>
      <c r="V176" s="6">
        <f>ROUND(SUMIF('JUNE (물량흐름)'!$C$13:$C$502,'Overhead exp(제조경비)'!C176,'JUNE (물량흐름)'!$N$13:$N$502),0)</f>
        <v>0</v>
      </c>
      <c r="W176" s="6">
        <f>ROUND(SUMIF('JUNE (물량흐름)'!$C$13:$C$502,'Overhead exp(제조경비)'!C176,'JUNE (물량흐름)'!$O$13:$O$502),0)</f>
        <v>183</v>
      </c>
      <c r="X176" s="6">
        <f>ROUND(SUMIF('JUNE (물량흐름)'!$C$13:$C$502,'Overhead exp(제조경비)'!C176,'JUNE (물량흐름)'!$P$13:$P$502),0)</f>
        <v>92</v>
      </c>
      <c r="Y176" s="6">
        <f t="shared" si="40"/>
        <v>275</v>
      </c>
      <c r="Z176" s="6">
        <f t="shared" si="41"/>
        <v>165</v>
      </c>
      <c r="AA176" s="6">
        <f t="shared" si="45"/>
        <v>5460697</v>
      </c>
      <c r="AB176" s="391">
        <f t="shared" si="42"/>
        <v>0</v>
      </c>
      <c r="AC176" s="391">
        <f t="shared" si="43"/>
        <v>0</v>
      </c>
      <c r="AE176" s="393"/>
    </row>
    <row r="177" spans="1:31" s="390" customFormat="1" ht="24" customHeight="1">
      <c r="A177" s="167">
        <v>167</v>
      </c>
      <c r="B177" s="20" t="str">
        <f>IFERROR(VLOOKUP(A177,'JUNE (물량흐름)'!$A$13:$C$502,2,0),0)</f>
        <v>ALFANI</v>
      </c>
      <c r="C177" s="272">
        <f>VLOOKUP(A177,'JUNE (물량흐름)'!$A$13:$C$502,3,0)</f>
        <v>100008708</v>
      </c>
      <c r="D177" s="6">
        <f>VLOOKUP(C177,'WIP(재공품)'!$B$12:$E$493,4,0)</f>
        <v>36280</v>
      </c>
      <c r="E177" s="6">
        <f>IFERROR(VLOOKUP(C177,O.B.JUNE!$AI$7:$AJ$448,2,0),0)</f>
        <v>0</v>
      </c>
      <c r="F177" s="6">
        <f>IFERROR(VLOOKUP(C177,O.B.JUNE!$AI$7:$AK$448,3,0),0)</f>
        <v>0</v>
      </c>
      <c r="G177" s="6">
        <f>IFERROR(VLOOKUP(C177,O.B.JUNE!$AI$7:$AL$448,4,0),0)</f>
        <v>97</v>
      </c>
      <c r="H177" s="6">
        <f t="shared" si="36"/>
        <v>97</v>
      </c>
      <c r="I177" s="6">
        <f>IFERROR(VLOOKUP(C177,O.B.JUNE!$AI$7:$AN$448,6,0),0)</f>
        <v>78</v>
      </c>
      <c r="J177" s="6"/>
      <c r="K177" s="6">
        <f>IFERROR(VLOOKUP(C177,O.B.JUNE!$AI$7:$AO$448,7,0),0)</f>
        <v>1411325</v>
      </c>
      <c r="L177" s="6">
        <f>SUMIF('JUNE (물량흐름)'!$C$13:$C$488,'Overhead exp(제조경비)'!C177,'JUNE (물량흐름)'!$H$13:$H$493)+SUMIF('JUNE (물량흐름)'!$C$13:$C$493,'Overhead exp(제조경비)'!C177,'JUNE (물량흐름)'!$V$13:$V$493)</f>
        <v>0</v>
      </c>
      <c r="M177" s="6">
        <f t="shared" si="37"/>
        <v>0</v>
      </c>
      <c r="N177" s="6">
        <f t="shared" si="38"/>
        <v>0</v>
      </c>
      <c r="O177" s="6">
        <f t="shared" si="49"/>
        <v>0</v>
      </c>
      <c r="P177" s="6">
        <f>SUMIF('JUNE (물량흐름)'!$C$13:$C$502,C177,'JUNE (물량흐름)'!$T$13:$T$502)+SUMIF('JUNE (물량흐름)'!$C$13:$C$502,C177,'JUNE (물량흐름)'!$V$13:$V$502)+SUMIF('JUNE (물량흐름)'!$C$13:$C$502,C177,'JUNE (물량흐름)'!$U$13:$U$502)-SUMIF('JUNE (물량흐름)'!$C$13:$C$502,C177,'JUNE (물량흐름)'!$Y$13:$Y$502)</f>
        <v>0</v>
      </c>
      <c r="Q177" s="6">
        <f t="shared" si="44"/>
        <v>0</v>
      </c>
      <c r="R177" s="6">
        <f>IF(ISERROR(VLOOKUP(#REF!,'WIP(재공품)'!$B$12:$AB$38,13,0)),0,VLOOKUP(#REF!,'WIP(재공품)'!$B$12:$AB$38,13,0))</f>
        <v>0</v>
      </c>
      <c r="S177" s="6">
        <f>IF(ISERROR(VLOOKUP(#REF!,'WIP(재공품)'!$B$12:$AB$38,10,0)),0,VLOOKUP(#REF!,'WIP(재공품)'!$B$12:$AB$38,10,0))</f>
        <v>0</v>
      </c>
      <c r="T177" s="6">
        <f>SUMIF('JUNE (물량흐름)'!$C$13:$C$502,'Overhead exp(제조경비)'!C177,'JUNE (물량흐름)'!$Y$13:$Y$502)</f>
        <v>0</v>
      </c>
      <c r="U177" s="6">
        <f t="shared" si="39"/>
        <v>0</v>
      </c>
      <c r="V177" s="6">
        <f>ROUND(SUMIF('JUNE (물량흐름)'!$C$13:$C$502,'Overhead exp(제조경비)'!C177,'JUNE (물량흐름)'!$N$13:$N$502),0)</f>
        <v>0</v>
      </c>
      <c r="W177" s="6">
        <f>ROUND(SUMIF('JUNE (물량흐름)'!$C$13:$C$502,'Overhead exp(제조경비)'!C177,'JUNE (물량흐름)'!$O$13:$O$502),0)</f>
        <v>0</v>
      </c>
      <c r="X177" s="6">
        <f>ROUND(SUMIF('JUNE (물량흐름)'!$C$13:$C$502,'Overhead exp(제조경비)'!C177,'JUNE (물량흐름)'!$P$13:$P$502),0)</f>
        <v>97</v>
      </c>
      <c r="Y177" s="6">
        <f t="shared" si="40"/>
        <v>97</v>
      </c>
      <c r="Z177" s="6">
        <f t="shared" si="41"/>
        <v>78</v>
      </c>
      <c r="AA177" s="6">
        <f t="shared" si="45"/>
        <v>1411325</v>
      </c>
      <c r="AB177" s="391">
        <f t="shared" si="42"/>
        <v>0</v>
      </c>
      <c r="AC177" s="391">
        <f t="shared" si="43"/>
        <v>0</v>
      </c>
      <c r="AE177" s="393"/>
    </row>
    <row r="178" spans="1:31" s="390" customFormat="1" ht="24" customHeight="1">
      <c r="A178" s="167">
        <v>168</v>
      </c>
      <c r="B178" s="20" t="str">
        <f>IFERROR(VLOOKUP(A178,'JUNE (물량흐름)'!$A$13:$C$502,2,0),0)</f>
        <v>ALFANI</v>
      </c>
      <c r="C178" s="272">
        <f>VLOOKUP(A178,'JUNE (물량흐름)'!$A$13:$C$502,3,0)</f>
        <v>100008709</v>
      </c>
      <c r="D178" s="6">
        <f>VLOOKUP(C178,'WIP(재공품)'!$B$12:$E$493,4,0)</f>
        <v>7936.2499999999991</v>
      </c>
      <c r="E178" s="6">
        <f>IFERROR(VLOOKUP(C178,O.B.JUNE!$AI$7:$AJ$448,2,0),0)</f>
        <v>0</v>
      </c>
      <c r="F178" s="6">
        <f>IFERROR(VLOOKUP(C178,O.B.JUNE!$AI$7:$AK$448,3,0),0)</f>
        <v>27</v>
      </c>
      <c r="G178" s="6">
        <f>IFERROR(VLOOKUP(C178,O.B.JUNE!$AI$7:$AL$448,4,0),0)</f>
        <v>194</v>
      </c>
      <c r="H178" s="6">
        <f t="shared" si="36"/>
        <v>221</v>
      </c>
      <c r="I178" s="6">
        <f>IFERROR(VLOOKUP(C178,O.B.JUNE!$AI$7:$AN$448,6,0),0)</f>
        <v>169</v>
      </c>
      <c r="J178" s="6"/>
      <c r="K178" s="6">
        <f>IFERROR(VLOOKUP(C178,O.B.JUNE!$AI$7:$AO$448,7,0),0)</f>
        <v>4565415</v>
      </c>
      <c r="L178" s="6">
        <f>SUMIF('JUNE (물량흐름)'!$C$13:$C$488,'Overhead exp(제조경비)'!C178,'JUNE (물량흐름)'!$H$13:$H$493)+SUMIF('JUNE (물량흐름)'!$C$13:$C$493,'Overhead exp(제조경비)'!C178,'JUNE (물량흐름)'!$V$13:$V$493)</f>
        <v>4892</v>
      </c>
      <c r="M178" s="6">
        <f t="shared" si="37"/>
        <v>3726</v>
      </c>
      <c r="N178" s="6">
        <f t="shared" si="38"/>
        <v>29570468</v>
      </c>
      <c r="O178" s="6">
        <f t="shared" si="49"/>
        <v>17867657</v>
      </c>
      <c r="P178" s="6">
        <f>SUMIF('JUNE (물량흐름)'!$C$13:$C$502,C178,'JUNE (물량흐름)'!$T$13:$T$502)+SUMIF('JUNE (물량흐름)'!$C$13:$C$502,C178,'JUNE (물량흐름)'!$V$13:$V$502)+SUMIF('JUNE (물량흐름)'!$C$13:$C$502,C178,'JUNE (물량흐름)'!$U$13:$U$502)-SUMIF('JUNE (물량흐름)'!$C$13:$C$502,C178,'JUNE (물량흐름)'!$Y$13:$Y$502)</f>
        <v>0</v>
      </c>
      <c r="Q178" s="6">
        <f t="shared" si="44"/>
        <v>0</v>
      </c>
      <c r="R178" s="6">
        <f>IF(ISERROR(VLOOKUP(#REF!,'WIP(재공품)'!$B$12:$AB$38,13,0)),0,VLOOKUP(#REF!,'WIP(재공품)'!$B$12:$AB$38,13,0))</f>
        <v>0</v>
      </c>
      <c r="S178" s="6">
        <f>IF(ISERROR(VLOOKUP(#REF!,'WIP(재공품)'!$B$12:$AB$38,10,0)),0,VLOOKUP(#REF!,'WIP(재공품)'!$B$12:$AB$38,10,0))</f>
        <v>0</v>
      </c>
      <c r="T178" s="6">
        <f>SUMIF('JUNE (물량흐름)'!$C$13:$C$502,'Overhead exp(제조경비)'!C178,'JUNE (물량흐름)'!$Y$13:$Y$502)</f>
        <v>0</v>
      </c>
      <c r="U178" s="6">
        <f t="shared" si="39"/>
        <v>0</v>
      </c>
      <c r="V178" s="6">
        <f>ROUND(SUMIF('JUNE (물량흐름)'!$C$13:$C$502,'Overhead exp(제조경비)'!C178,'JUNE (물량흐름)'!$N$13:$N$502),0)</f>
        <v>0</v>
      </c>
      <c r="W178" s="6">
        <f>ROUND(SUMIF('JUNE (물량흐름)'!$C$13:$C$502,'Overhead exp(제조경비)'!C178,'JUNE (물량흐름)'!$O$13:$O$502),0)</f>
        <v>653</v>
      </c>
      <c r="X178" s="6">
        <f>ROUND(SUMIF('JUNE (물량흐름)'!$C$13:$C$502,'Overhead exp(제조경비)'!C178,'JUNE (물량흐름)'!$P$13:$P$502),0)</f>
        <v>4460</v>
      </c>
      <c r="Y178" s="6">
        <f t="shared" si="40"/>
        <v>5113</v>
      </c>
      <c r="Z178" s="6">
        <f t="shared" si="41"/>
        <v>3895</v>
      </c>
      <c r="AA178" s="6">
        <f t="shared" si="45"/>
        <v>22433072</v>
      </c>
      <c r="AB178" s="391">
        <f t="shared" si="42"/>
        <v>0</v>
      </c>
      <c r="AC178" s="391">
        <f t="shared" si="43"/>
        <v>0</v>
      </c>
      <c r="AE178" s="393"/>
    </row>
    <row r="179" spans="1:31" s="390" customFormat="1" ht="24" customHeight="1">
      <c r="A179" s="167">
        <v>169</v>
      </c>
      <c r="B179" s="20" t="str">
        <f>IFERROR(VLOOKUP(A179,'JUNE (물량흐름)'!$A$13:$C$502,2,0),0)</f>
        <v>ALFANI</v>
      </c>
      <c r="C179" s="272">
        <f>VLOOKUP(A179,'JUNE (물량흐름)'!$A$13:$C$502,3,0)</f>
        <v>100008714</v>
      </c>
      <c r="D179" s="6">
        <f>VLOOKUP(C179,'WIP(재공품)'!$B$12:$E$493,4,0)</f>
        <v>7936.2499999999991</v>
      </c>
      <c r="E179" s="6">
        <f>IFERROR(VLOOKUP(C179,O.B.JUNE!$AI$7:$AJ$448,2,0),0)</f>
        <v>0</v>
      </c>
      <c r="F179" s="6">
        <f>IFERROR(VLOOKUP(C179,O.B.JUNE!$AI$7:$AK$448,3,0),0)</f>
        <v>100</v>
      </c>
      <c r="G179" s="6">
        <f>IFERROR(VLOOKUP(C179,O.B.JUNE!$AI$7:$AL$448,4,0),0)</f>
        <v>511</v>
      </c>
      <c r="H179" s="6">
        <f t="shared" si="36"/>
        <v>611</v>
      </c>
      <c r="I179" s="6">
        <f>IFERROR(VLOOKUP(C179,O.B.JUNE!$AI$7:$AN$448,6,0),0)</f>
        <v>459</v>
      </c>
      <c r="J179" s="6"/>
      <c r="K179" s="6">
        <f>IFERROR(VLOOKUP(C179,O.B.JUNE!$AI$7:$AO$448,7,0),0)</f>
        <v>10939034</v>
      </c>
      <c r="L179" s="6">
        <f>SUMIF('JUNE (물량흐름)'!$C$13:$C$488,'Overhead exp(제조경비)'!C179,'JUNE (물량흐름)'!$H$13:$H$493)+SUMIF('JUNE (물량흐름)'!$C$13:$C$493,'Overhead exp(제조경비)'!C179,'JUNE (물량흐름)'!$V$13:$V$493)</f>
        <v>0</v>
      </c>
      <c r="M179" s="6">
        <f t="shared" si="37"/>
        <v>0</v>
      </c>
      <c r="N179" s="6">
        <f t="shared" si="38"/>
        <v>0</v>
      </c>
      <c r="O179" s="6">
        <f t="shared" si="49"/>
        <v>0</v>
      </c>
      <c r="P179" s="6">
        <f>SUMIF('JUNE (물량흐름)'!$C$13:$C$502,C179,'JUNE (물량흐름)'!$T$13:$T$502)+SUMIF('JUNE (물량흐름)'!$C$13:$C$502,C179,'JUNE (물량흐름)'!$V$13:$V$502)+SUMIF('JUNE (물량흐름)'!$C$13:$C$502,C179,'JUNE (물량흐름)'!$U$13:$U$502)-SUMIF('JUNE (물량흐름)'!$C$13:$C$502,C179,'JUNE (물량흐름)'!$Y$13:$Y$502)</f>
        <v>0</v>
      </c>
      <c r="Q179" s="6">
        <f t="shared" si="44"/>
        <v>0</v>
      </c>
      <c r="R179" s="6">
        <f>IF(ISERROR(VLOOKUP(#REF!,'WIP(재공품)'!$B$12:$AB$38,13,0)),0,VLOOKUP(#REF!,'WIP(재공품)'!$B$12:$AB$38,13,0))</f>
        <v>0</v>
      </c>
      <c r="S179" s="6">
        <f>IF(ISERROR(VLOOKUP(#REF!,'WIP(재공품)'!$B$12:$AB$38,10,0)),0,VLOOKUP(#REF!,'WIP(재공품)'!$B$12:$AB$38,10,0))</f>
        <v>0</v>
      </c>
      <c r="T179" s="6">
        <f>SUMIF('JUNE (물량흐름)'!$C$13:$C$502,'Overhead exp(제조경비)'!C179,'JUNE (물량흐름)'!$Y$13:$Y$502)</f>
        <v>0</v>
      </c>
      <c r="U179" s="6">
        <f t="shared" si="39"/>
        <v>0</v>
      </c>
      <c r="V179" s="6">
        <f>ROUND(SUMIF('JUNE (물량흐름)'!$C$13:$C$502,'Overhead exp(제조경비)'!C179,'JUNE (물량흐름)'!$N$13:$N$502),0)</f>
        <v>0</v>
      </c>
      <c r="W179" s="6">
        <f>ROUND(SUMIF('JUNE (물량흐름)'!$C$13:$C$502,'Overhead exp(제조경비)'!C179,'JUNE (물량흐름)'!$O$13:$O$502),0)</f>
        <v>100</v>
      </c>
      <c r="X179" s="6">
        <f>ROUND(SUMIF('JUNE (물량흐름)'!$C$13:$C$502,'Overhead exp(제조경비)'!C179,'JUNE (물량흐름)'!$P$13:$P$502),0)</f>
        <v>511</v>
      </c>
      <c r="Y179" s="6">
        <f t="shared" si="40"/>
        <v>611</v>
      </c>
      <c r="Z179" s="6">
        <f t="shared" si="41"/>
        <v>459</v>
      </c>
      <c r="AA179" s="6">
        <f t="shared" si="45"/>
        <v>10939034</v>
      </c>
      <c r="AB179" s="391">
        <f t="shared" si="42"/>
        <v>0</v>
      </c>
      <c r="AC179" s="391">
        <f t="shared" si="43"/>
        <v>0</v>
      </c>
      <c r="AE179" s="393"/>
    </row>
    <row r="180" spans="1:31" s="390" customFormat="1" ht="24" customHeight="1">
      <c r="A180" s="167">
        <v>170</v>
      </c>
      <c r="B180" s="20" t="str">
        <f>IFERROR(VLOOKUP(A180,'JUNE (물량흐름)'!$A$13:$C$502,2,0),0)</f>
        <v>ALFANI</v>
      </c>
      <c r="C180" s="272">
        <f>VLOOKUP(A180,'JUNE (물량흐름)'!$A$13:$C$502,3,0)</f>
        <v>100008716</v>
      </c>
      <c r="D180" s="6">
        <f>VLOOKUP(C180,'WIP(재공품)'!$B$12:$E$493,4,0)</f>
        <v>7936.2499999999991</v>
      </c>
      <c r="E180" s="6">
        <f>IFERROR(VLOOKUP(C180,O.B.JUNE!$AI$7:$AJ$448,2,0),0)</f>
        <v>0</v>
      </c>
      <c r="F180" s="6">
        <f>IFERROR(VLOOKUP(C180,O.B.JUNE!$AI$7:$AK$448,3,0),0)</f>
        <v>23</v>
      </c>
      <c r="G180" s="6">
        <f>IFERROR(VLOOKUP(C180,O.B.JUNE!$AI$7:$AL$448,4,0),0)</f>
        <v>55</v>
      </c>
      <c r="H180" s="6">
        <f t="shared" si="36"/>
        <v>78</v>
      </c>
      <c r="I180" s="6">
        <f>IFERROR(VLOOKUP(C180,O.B.JUNE!$AI$7:$AN$448,6,0),0)</f>
        <v>56</v>
      </c>
      <c r="J180" s="6"/>
      <c r="K180" s="6">
        <f>IFERROR(VLOOKUP(C180,O.B.JUNE!$AI$7:$AO$448,7,0),0)</f>
        <v>1138716</v>
      </c>
      <c r="L180" s="6">
        <f>SUMIF('JUNE (물량흐름)'!$C$13:$C$488,'Overhead exp(제조경비)'!C180,'JUNE (물량흐름)'!$H$13:$H$493)+SUMIF('JUNE (물량흐름)'!$C$13:$C$493,'Overhead exp(제조경비)'!C180,'JUNE (물량흐름)'!$V$13:$V$493)</f>
        <v>0</v>
      </c>
      <c r="M180" s="6">
        <f t="shared" si="37"/>
        <v>0</v>
      </c>
      <c r="N180" s="6">
        <f t="shared" si="38"/>
        <v>0</v>
      </c>
      <c r="O180" s="6">
        <f t="shared" si="49"/>
        <v>0</v>
      </c>
      <c r="P180" s="6">
        <f>SUMIF('JUNE (물량흐름)'!$C$13:$C$502,C180,'JUNE (물량흐름)'!$T$13:$T$502)+SUMIF('JUNE (물량흐름)'!$C$13:$C$502,C180,'JUNE (물량흐름)'!$V$13:$V$502)+SUMIF('JUNE (물량흐름)'!$C$13:$C$502,C180,'JUNE (물량흐름)'!$U$13:$U$502)-SUMIF('JUNE (물량흐름)'!$C$13:$C$502,C180,'JUNE (물량흐름)'!$Y$13:$Y$502)</f>
        <v>0</v>
      </c>
      <c r="Q180" s="6">
        <f t="shared" si="44"/>
        <v>0</v>
      </c>
      <c r="R180" s="6">
        <f>IF(ISERROR(VLOOKUP(#REF!,'WIP(재공품)'!$B$12:$AB$38,13,0)),0,VLOOKUP(#REF!,'WIP(재공품)'!$B$12:$AB$38,13,0))</f>
        <v>0</v>
      </c>
      <c r="S180" s="6">
        <f>IF(ISERROR(VLOOKUP(#REF!,'WIP(재공품)'!$B$12:$AB$38,10,0)),0,VLOOKUP(#REF!,'WIP(재공품)'!$B$12:$AB$38,10,0))</f>
        <v>0</v>
      </c>
      <c r="T180" s="6">
        <f>SUMIF('JUNE (물량흐름)'!$C$13:$C$502,'Overhead exp(제조경비)'!C180,'JUNE (물량흐름)'!$Y$13:$Y$502)</f>
        <v>0</v>
      </c>
      <c r="U180" s="6">
        <f t="shared" si="39"/>
        <v>0</v>
      </c>
      <c r="V180" s="6">
        <f>ROUND(SUMIF('JUNE (물량흐름)'!$C$13:$C$502,'Overhead exp(제조경비)'!C180,'JUNE (물량흐름)'!$N$13:$N$502),0)</f>
        <v>0</v>
      </c>
      <c r="W180" s="6">
        <f>ROUND(SUMIF('JUNE (물량흐름)'!$C$13:$C$502,'Overhead exp(제조경비)'!C180,'JUNE (물량흐름)'!$O$13:$O$502),0)</f>
        <v>23</v>
      </c>
      <c r="X180" s="6">
        <f>ROUND(SUMIF('JUNE (물량흐름)'!$C$13:$C$502,'Overhead exp(제조경비)'!C180,'JUNE (물량흐름)'!$P$13:$P$502),0)</f>
        <v>55</v>
      </c>
      <c r="Y180" s="6">
        <f t="shared" si="40"/>
        <v>78</v>
      </c>
      <c r="Z180" s="6">
        <f t="shared" si="41"/>
        <v>56</v>
      </c>
      <c r="AA180" s="6">
        <f t="shared" si="45"/>
        <v>1138716</v>
      </c>
      <c r="AB180" s="391">
        <f t="shared" si="42"/>
        <v>0</v>
      </c>
      <c r="AC180" s="391">
        <f t="shared" si="43"/>
        <v>0</v>
      </c>
      <c r="AE180" s="393"/>
    </row>
    <row r="181" spans="1:31" s="390" customFormat="1" ht="24" customHeight="1">
      <c r="A181" s="167">
        <v>171</v>
      </c>
      <c r="B181" s="20" t="str">
        <f>IFERROR(VLOOKUP(A181,'JUNE (물량흐름)'!$A$13:$C$502,2,0),0)</f>
        <v>ALFANI</v>
      </c>
      <c r="C181" s="272">
        <f>VLOOKUP(A181,'JUNE (물량흐름)'!$A$13:$C$502,3,0)</f>
        <v>100008730</v>
      </c>
      <c r="D181" s="6">
        <f>VLOOKUP(C181,'WIP(재공품)'!$B$12:$E$493,4,0)</f>
        <v>7936.2499999999991</v>
      </c>
      <c r="E181" s="6">
        <f>IFERROR(VLOOKUP(C181,O.B.JUNE!$AI$7:$AJ$448,2,0),0)</f>
        <v>0</v>
      </c>
      <c r="F181" s="6">
        <f>IFERROR(VLOOKUP(C181,O.B.JUNE!$AI$7:$AK$448,3,0),0)</f>
        <v>0</v>
      </c>
      <c r="G181" s="6">
        <f>IFERROR(VLOOKUP(C181,O.B.JUNE!$AI$7:$AL$448,4,0),0)</f>
        <v>130</v>
      </c>
      <c r="H181" s="6">
        <f t="shared" si="36"/>
        <v>130</v>
      </c>
      <c r="I181" s="6">
        <f>IFERROR(VLOOKUP(C181,O.B.JUNE!$AI$7:$AN$448,6,0),0)</f>
        <v>104</v>
      </c>
      <c r="J181" s="6"/>
      <c r="K181" s="6">
        <f>IFERROR(VLOOKUP(C181,O.B.JUNE!$AI$7:$AO$448,7,0),0)</f>
        <v>1482811</v>
      </c>
      <c r="L181" s="6">
        <f>SUMIF('JUNE (물량흐름)'!$C$13:$C$488,'Overhead exp(제조경비)'!C181,'JUNE (물량흐름)'!$H$13:$H$493)+SUMIF('JUNE (물량흐름)'!$C$13:$C$493,'Overhead exp(제조경비)'!C181,'JUNE (물량흐름)'!$V$13:$V$493)</f>
        <v>0</v>
      </c>
      <c r="M181" s="6">
        <f t="shared" si="37"/>
        <v>0</v>
      </c>
      <c r="N181" s="6">
        <f t="shared" si="38"/>
        <v>0</v>
      </c>
      <c r="O181" s="6">
        <f t="shared" si="49"/>
        <v>0</v>
      </c>
      <c r="P181" s="6">
        <f>SUMIF('JUNE (물량흐름)'!$C$13:$C$502,C181,'JUNE (물량흐름)'!$T$13:$T$502)+SUMIF('JUNE (물량흐름)'!$C$13:$C$502,C181,'JUNE (물량흐름)'!$V$13:$V$502)+SUMIF('JUNE (물량흐름)'!$C$13:$C$502,C181,'JUNE (물량흐름)'!$U$13:$U$502)-SUMIF('JUNE (물량흐름)'!$C$13:$C$502,C181,'JUNE (물량흐름)'!$Y$13:$Y$502)</f>
        <v>0</v>
      </c>
      <c r="Q181" s="6">
        <f t="shared" si="44"/>
        <v>0</v>
      </c>
      <c r="R181" s="6">
        <f>IF(ISERROR(VLOOKUP(#REF!,'WIP(재공품)'!$B$12:$AB$38,13,0)),0,VLOOKUP(#REF!,'WIP(재공품)'!$B$12:$AB$38,13,0))</f>
        <v>0</v>
      </c>
      <c r="S181" s="6">
        <f>IF(ISERROR(VLOOKUP(#REF!,'WIP(재공품)'!$B$12:$AB$38,10,0)),0,VLOOKUP(#REF!,'WIP(재공품)'!$B$12:$AB$38,10,0))</f>
        <v>0</v>
      </c>
      <c r="T181" s="6">
        <f>SUMIF('JUNE (물량흐름)'!$C$13:$C$502,'Overhead exp(제조경비)'!C181,'JUNE (물량흐름)'!$Y$13:$Y$502)</f>
        <v>0</v>
      </c>
      <c r="U181" s="6">
        <f t="shared" si="39"/>
        <v>0</v>
      </c>
      <c r="V181" s="6">
        <f>ROUND(SUMIF('JUNE (물량흐름)'!$C$13:$C$502,'Overhead exp(제조경비)'!C181,'JUNE (물량흐름)'!$N$13:$N$502),0)</f>
        <v>0</v>
      </c>
      <c r="W181" s="6">
        <f>ROUND(SUMIF('JUNE (물량흐름)'!$C$13:$C$502,'Overhead exp(제조경비)'!C181,'JUNE (물량흐름)'!$O$13:$O$502),0)</f>
        <v>0</v>
      </c>
      <c r="X181" s="6">
        <f>ROUND(SUMIF('JUNE (물량흐름)'!$C$13:$C$502,'Overhead exp(제조경비)'!C181,'JUNE (물량흐름)'!$P$13:$P$502),0)</f>
        <v>130</v>
      </c>
      <c r="Y181" s="6">
        <f t="shared" si="40"/>
        <v>130</v>
      </c>
      <c r="Z181" s="6">
        <f t="shared" si="41"/>
        <v>104</v>
      </c>
      <c r="AA181" s="6">
        <f t="shared" si="45"/>
        <v>1482811</v>
      </c>
      <c r="AB181" s="391">
        <f t="shared" si="42"/>
        <v>0</v>
      </c>
      <c r="AC181" s="391">
        <f t="shared" si="43"/>
        <v>0</v>
      </c>
      <c r="AE181" s="393"/>
    </row>
    <row r="182" spans="1:31" s="390" customFormat="1" ht="24" customHeight="1">
      <c r="A182" s="167">
        <v>172</v>
      </c>
      <c r="B182" s="20" t="str">
        <f>IFERROR(VLOOKUP(A182,'JUNE (물량흐름)'!$A$13:$C$502,2,0),0)</f>
        <v>ALFANI</v>
      </c>
      <c r="C182" s="272">
        <f>VLOOKUP(A182,'JUNE (물량흐름)'!$A$13:$C$502,3,0)</f>
        <v>100008747</v>
      </c>
      <c r="D182" s="6">
        <f>VLOOKUP(C182,'WIP(재공품)'!$B$12:$E$493,4,0)</f>
        <v>7936.2499999999991</v>
      </c>
      <c r="E182" s="6">
        <f>IFERROR(VLOOKUP(C182,O.B.JUNE!$AI$7:$AJ$448,2,0),0)</f>
        <v>0</v>
      </c>
      <c r="F182" s="6">
        <f>IFERROR(VLOOKUP(C182,O.B.JUNE!$AI$7:$AK$448,3,0),0)</f>
        <v>0</v>
      </c>
      <c r="G182" s="6">
        <f>IFERROR(VLOOKUP(C182,O.B.JUNE!$AI$7:$AL$448,4,0),0)</f>
        <v>683</v>
      </c>
      <c r="H182" s="6">
        <f t="shared" si="36"/>
        <v>683</v>
      </c>
      <c r="I182" s="6">
        <f>IFERROR(VLOOKUP(C182,O.B.JUNE!$AI$7:$AN$448,6,0),0)</f>
        <v>546</v>
      </c>
      <c r="J182" s="6"/>
      <c r="K182" s="6">
        <f>IFERROR(VLOOKUP(C182,O.B.JUNE!$AI$7:$AO$448,7,0),0)</f>
        <v>4001116</v>
      </c>
      <c r="L182" s="6">
        <f>SUMIF('JUNE (물량흐름)'!$C$13:$C$488,'Overhead exp(제조경비)'!C182,'JUNE (물량흐름)'!$H$13:$H$493)+SUMIF('JUNE (물량흐름)'!$C$13:$C$493,'Overhead exp(제조경비)'!C182,'JUNE (물량흐름)'!$V$13:$V$493)</f>
        <v>0</v>
      </c>
      <c r="M182" s="6">
        <f t="shared" si="37"/>
        <v>0</v>
      </c>
      <c r="N182" s="6">
        <f t="shared" si="38"/>
        <v>0</v>
      </c>
      <c r="O182" s="6">
        <f t="shared" si="49"/>
        <v>0</v>
      </c>
      <c r="P182" s="6">
        <f>SUMIF('JUNE (물량흐름)'!$C$13:$C$502,C182,'JUNE (물량흐름)'!$T$13:$T$502)+SUMIF('JUNE (물량흐름)'!$C$13:$C$502,C182,'JUNE (물량흐름)'!$V$13:$V$502)+SUMIF('JUNE (물량흐름)'!$C$13:$C$502,C182,'JUNE (물량흐름)'!$U$13:$U$502)-SUMIF('JUNE (물량흐름)'!$C$13:$C$502,C182,'JUNE (물량흐름)'!$Y$13:$Y$502)</f>
        <v>0</v>
      </c>
      <c r="Q182" s="6">
        <f t="shared" si="44"/>
        <v>0</v>
      </c>
      <c r="R182" s="6">
        <f>IF(ISERROR(VLOOKUP(#REF!,'WIP(재공품)'!$B$12:$AB$38,13,0)),0,VLOOKUP(#REF!,'WIP(재공품)'!$B$12:$AB$38,13,0))</f>
        <v>0</v>
      </c>
      <c r="S182" s="6">
        <f>IF(ISERROR(VLOOKUP(#REF!,'WIP(재공품)'!$B$12:$AB$38,10,0)),0,VLOOKUP(#REF!,'WIP(재공품)'!$B$12:$AB$38,10,0))</f>
        <v>0</v>
      </c>
      <c r="T182" s="6">
        <f>SUMIF('JUNE (물량흐름)'!$C$13:$C$502,'Overhead exp(제조경비)'!C182,'JUNE (물량흐름)'!$Y$13:$Y$502)</f>
        <v>0</v>
      </c>
      <c r="U182" s="6">
        <f t="shared" si="39"/>
        <v>0</v>
      </c>
      <c r="V182" s="6">
        <f>ROUND(SUMIF('JUNE (물량흐름)'!$C$13:$C$502,'Overhead exp(제조경비)'!C182,'JUNE (물량흐름)'!$N$13:$N$502),0)</f>
        <v>0</v>
      </c>
      <c r="W182" s="6">
        <f>ROUND(SUMIF('JUNE (물량흐름)'!$C$13:$C$502,'Overhead exp(제조경비)'!C182,'JUNE (물량흐름)'!$O$13:$O$502),0)</f>
        <v>0</v>
      </c>
      <c r="X182" s="6">
        <f>ROUND(SUMIF('JUNE (물량흐름)'!$C$13:$C$502,'Overhead exp(제조경비)'!C182,'JUNE (물량흐름)'!$P$13:$P$502),0)</f>
        <v>683</v>
      </c>
      <c r="Y182" s="167">
        <f t="shared" ref="Y182:Y191" si="52">ROUND(SUM(V182:X182),0)</f>
        <v>683</v>
      </c>
      <c r="Z182" s="167">
        <f t="shared" si="41"/>
        <v>546</v>
      </c>
      <c r="AA182" s="6">
        <f t="shared" si="45"/>
        <v>4001116</v>
      </c>
      <c r="AB182" s="391">
        <f t="shared" si="42"/>
        <v>0</v>
      </c>
      <c r="AC182" s="391">
        <f t="shared" si="43"/>
        <v>0</v>
      </c>
      <c r="AE182" s="393"/>
    </row>
    <row r="183" spans="1:31" s="390" customFormat="1" ht="24" customHeight="1">
      <c r="A183" s="167">
        <v>173</v>
      </c>
      <c r="B183" s="20" t="str">
        <f>IFERROR(VLOOKUP(A183,'JUNE (물량흐름)'!$A$13:$C$502,2,0),0)</f>
        <v>ALFANI</v>
      </c>
      <c r="C183" s="272">
        <f>VLOOKUP(A183,'JUNE (물량흐름)'!$A$13:$C$502,3,0)</f>
        <v>100008749</v>
      </c>
      <c r="D183" s="6">
        <f>VLOOKUP(C183,'WIP(재공품)'!$B$12:$E$493,4,0)</f>
        <v>8163</v>
      </c>
      <c r="E183" s="6">
        <f>IFERROR(VLOOKUP(C183,O.B.JUNE!$AI$7:$AJ$448,2,0),0)</f>
        <v>0</v>
      </c>
      <c r="F183" s="6">
        <f>IFERROR(VLOOKUP(C183,O.B.JUNE!$AI$7:$AK$448,3,0),0)</f>
        <v>0</v>
      </c>
      <c r="G183" s="6">
        <f>IFERROR(VLOOKUP(C183,O.B.JUNE!$AI$7:$AL$448,4,0),0)</f>
        <v>201</v>
      </c>
      <c r="H183" s="6">
        <f t="shared" si="36"/>
        <v>201</v>
      </c>
      <c r="I183" s="6">
        <f>IFERROR(VLOOKUP(C183,O.B.JUNE!$AI$7:$AN$448,6,0),0)</f>
        <v>161</v>
      </c>
      <c r="J183" s="6"/>
      <c r="K183" s="6">
        <f>IFERROR(VLOOKUP(C183,O.B.JUNE!$AI$7:$AO$448,7,0),0)</f>
        <v>5042893</v>
      </c>
      <c r="L183" s="6">
        <f>SUMIF('JUNE (물량흐름)'!$C$13:$C$488,'Overhead exp(제조경비)'!C183,'JUNE (물량흐름)'!$H$13:$H$493)+SUMIF('JUNE (물량흐름)'!$C$13:$C$493,'Overhead exp(제조경비)'!C183,'JUNE (물량흐름)'!$V$13:$V$493)</f>
        <v>5640</v>
      </c>
      <c r="M183" s="6">
        <f t="shared" si="37"/>
        <v>4462</v>
      </c>
      <c r="N183" s="6">
        <f t="shared" si="38"/>
        <v>36423306</v>
      </c>
      <c r="O183" s="6">
        <f t="shared" si="49"/>
        <v>22008415</v>
      </c>
      <c r="P183" s="6">
        <f>SUMIF('JUNE (물량흐름)'!$C$13:$C$502,C183,'JUNE (물량흐름)'!$T$13:$T$502)+SUMIF('JUNE (물량흐름)'!$C$13:$C$502,C183,'JUNE (물량흐름)'!$V$13:$V$502)+SUMIF('JUNE (물량흐름)'!$C$13:$C$502,C183,'JUNE (물량흐름)'!$U$13:$U$502)-SUMIF('JUNE (물량흐름)'!$C$13:$C$502,C183,'JUNE (물량흐름)'!$Y$13:$Y$502)</f>
        <v>0</v>
      </c>
      <c r="Q183" s="6">
        <f t="shared" si="44"/>
        <v>0</v>
      </c>
      <c r="R183" s="6">
        <f>IF(ISERROR(VLOOKUP(#REF!,'WIP(재공품)'!$B$12:$AB$38,13,0)),0,VLOOKUP(#REF!,'WIP(재공품)'!$B$12:$AB$38,13,0))</f>
        <v>0</v>
      </c>
      <c r="S183" s="6">
        <f>IF(ISERROR(VLOOKUP(#REF!,'WIP(재공품)'!$B$12:$AB$38,10,0)),0,VLOOKUP(#REF!,'WIP(재공품)'!$B$12:$AB$38,10,0))</f>
        <v>0</v>
      </c>
      <c r="T183" s="6">
        <f>SUMIF('JUNE (물량흐름)'!$C$13:$C$502,'Overhead exp(제조경비)'!C183,'JUNE (물량흐름)'!$Y$13:$Y$502)</f>
        <v>0</v>
      </c>
      <c r="U183" s="6">
        <f t="shared" si="39"/>
        <v>0</v>
      </c>
      <c r="V183" s="6">
        <f>ROUND(SUMIF('JUNE (물량흐름)'!$C$13:$C$502,'Overhead exp(제조경비)'!C183,'JUNE (물량흐름)'!$N$13:$N$502),0)</f>
        <v>0</v>
      </c>
      <c r="W183" s="6">
        <f>ROUND(SUMIF('JUNE (물량흐름)'!$C$13:$C$502,'Overhead exp(제조경비)'!C183,'JUNE (물량흐름)'!$O$13:$O$502),0)</f>
        <v>166</v>
      </c>
      <c r="X183" s="6">
        <f>ROUND(SUMIF('JUNE (물량흐름)'!$C$13:$C$502,'Overhead exp(제조경비)'!C183,'JUNE (물량흐름)'!$P$13:$P$502),0)</f>
        <v>5675</v>
      </c>
      <c r="Y183" s="167">
        <f t="shared" si="52"/>
        <v>5841</v>
      </c>
      <c r="Z183" s="167">
        <f t="shared" si="41"/>
        <v>4623</v>
      </c>
      <c r="AA183" s="6">
        <f t="shared" si="45"/>
        <v>27051308</v>
      </c>
      <c r="AB183" s="391">
        <f t="shared" si="42"/>
        <v>0</v>
      </c>
      <c r="AC183" s="391">
        <f t="shared" si="43"/>
        <v>0</v>
      </c>
      <c r="AE183" s="393"/>
    </row>
    <row r="184" spans="1:31" s="390" customFormat="1" ht="24" customHeight="1">
      <c r="A184" s="167">
        <v>174</v>
      </c>
      <c r="B184" s="20" t="str">
        <f>IFERROR(VLOOKUP(A184,'JUNE (물량흐름)'!$A$13:$C$502,2,0),0)</f>
        <v>ALFANI</v>
      </c>
      <c r="C184" s="272">
        <f>VLOOKUP(A184,'JUNE (물량흐름)'!$A$13:$C$502,3,0)</f>
        <v>100008773</v>
      </c>
      <c r="D184" s="6">
        <f>VLOOKUP(C184,'WIP(재공품)'!$B$12:$E$493,4,0)</f>
        <v>8163</v>
      </c>
      <c r="E184" s="6">
        <f>IFERROR(VLOOKUP(C184,O.B.JUNE!$AI$7:$AJ$448,2,0),0)</f>
        <v>0</v>
      </c>
      <c r="F184" s="6">
        <f>IFERROR(VLOOKUP(C184,O.B.JUNE!$AI$7:$AK$448,3,0),0)</f>
        <v>0</v>
      </c>
      <c r="G184" s="6">
        <f>IFERROR(VLOOKUP(C184,O.B.JUNE!$AI$7:$AL$448,4,0),0)</f>
        <v>70</v>
      </c>
      <c r="H184" s="6">
        <f t="shared" si="36"/>
        <v>70</v>
      </c>
      <c r="I184" s="6">
        <f>IFERROR(VLOOKUP(C184,O.B.JUNE!$AI$7:$AN$448,6,0),0)</f>
        <v>56</v>
      </c>
      <c r="J184" s="6"/>
      <c r="K184" s="6">
        <f>IFERROR(VLOOKUP(C184,O.B.JUNE!$AI$7:$AO$448,7,0),0)</f>
        <v>1091625</v>
      </c>
      <c r="L184" s="6">
        <f>SUMIF('JUNE (물량흐름)'!$C$13:$C$488,'Overhead exp(제조경비)'!C184,'JUNE (물량흐름)'!$H$13:$H$493)+SUMIF('JUNE (물량흐름)'!$C$13:$C$493,'Overhead exp(제조경비)'!C184,'JUNE (물량흐름)'!$V$13:$V$493)</f>
        <v>0</v>
      </c>
      <c r="M184" s="6">
        <f t="shared" si="37"/>
        <v>0</v>
      </c>
      <c r="N184" s="6">
        <f t="shared" si="38"/>
        <v>0</v>
      </c>
      <c r="O184" s="6">
        <f t="shared" si="49"/>
        <v>0</v>
      </c>
      <c r="P184" s="6">
        <f>SUMIF('JUNE (물량흐름)'!$C$13:$C$502,C184,'JUNE (물량흐름)'!$T$13:$T$502)+SUMIF('JUNE (물량흐름)'!$C$13:$C$502,C184,'JUNE (물량흐름)'!$V$13:$V$502)+SUMIF('JUNE (물량흐름)'!$C$13:$C$502,C184,'JUNE (물량흐름)'!$U$13:$U$502)-SUMIF('JUNE (물량흐름)'!$C$13:$C$502,C184,'JUNE (물량흐름)'!$Y$13:$Y$502)</f>
        <v>0</v>
      </c>
      <c r="Q184" s="6">
        <f t="shared" si="44"/>
        <v>0</v>
      </c>
      <c r="R184" s="6">
        <f>IF(ISERROR(VLOOKUP(#REF!,'WIP(재공품)'!$B$12:$AB$38,13,0)),0,VLOOKUP(#REF!,'WIP(재공품)'!$B$12:$AB$38,13,0))</f>
        <v>0</v>
      </c>
      <c r="S184" s="6">
        <f>IF(ISERROR(VLOOKUP(#REF!,'WIP(재공품)'!$B$12:$AB$38,10,0)),0,VLOOKUP(#REF!,'WIP(재공품)'!$B$12:$AB$38,10,0))</f>
        <v>0</v>
      </c>
      <c r="T184" s="6">
        <f>SUMIF('JUNE (물량흐름)'!$C$13:$C$502,'Overhead exp(제조경비)'!C184,'JUNE (물량흐름)'!$Y$13:$Y$502)</f>
        <v>0</v>
      </c>
      <c r="U184" s="6">
        <f t="shared" si="39"/>
        <v>0</v>
      </c>
      <c r="V184" s="6">
        <f>ROUND(SUMIF('JUNE (물량흐름)'!$C$13:$C$502,'Overhead exp(제조경비)'!C184,'JUNE (물량흐름)'!$N$13:$N$502),0)</f>
        <v>0</v>
      </c>
      <c r="W184" s="6">
        <f>ROUND(SUMIF('JUNE (물량흐름)'!$C$13:$C$502,'Overhead exp(제조경비)'!C184,'JUNE (물량흐름)'!$O$13:$O$502),0)</f>
        <v>0</v>
      </c>
      <c r="X184" s="6">
        <f>ROUND(SUMIF('JUNE (물량흐름)'!$C$13:$C$502,'Overhead exp(제조경비)'!C184,'JUNE (물량흐름)'!$P$13:$P$502),0)</f>
        <v>70</v>
      </c>
      <c r="Y184" s="167">
        <f t="shared" si="52"/>
        <v>70</v>
      </c>
      <c r="Z184" s="167">
        <f t="shared" si="41"/>
        <v>56</v>
      </c>
      <c r="AA184" s="6">
        <f t="shared" si="45"/>
        <v>1091625</v>
      </c>
      <c r="AB184" s="391">
        <f t="shared" si="42"/>
        <v>0</v>
      </c>
      <c r="AC184" s="391">
        <f t="shared" si="43"/>
        <v>0</v>
      </c>
      <c r="AE184" s="393"/>
    </row>
    <row r="185" spans="1:31" s="390" customFormat="1" ht="24" customHeight="1">
      <c r="A185" s="167">
        <v>175</v>
      </c>
      <c r="B185" s="20" t="str">
        <f>IFERROR(VLOOKUP(A185,'JUNE (물량흐름)'!$A$13:$C$502,2,0),0)</f>
        <v>ALFANI</v>
      </c>
      <c r="C185" s="272">
        <f>VLOOKUP(A185,'JUNE (물량흐름)'!$A$13:$C$502,3,0)</f>
        <v>100009618</v>
      </c>
      <c r="D185" s="6">
        <f>VLOOKUP(C185,'WIP(재공품)'!$B$12:$E$493,4,0)</f>
        <v>7936.2499999999991</v>
      </c>
      <c r="E185" s="6">
        <f>IFERROR(VLOOKUP(C185,O.B.JUNE!$AI$7:$AJ$448,2,0),0)</f>
        <v>0</v>
      </c>
      <c r="F185" s="6">
        <f>IFERROR(VLOOKUP(C185,O.B.JUNE!$AI$7:$AK$448,3,0),0)</f>
        <v>0</v>
      </c>
      <c r="G185" s="6">
        <f>IFERROR(VLOOKUP(C185,O.B.JUNE!$AI$7:$AL$448,4,0),0)</f>
        <v>66</v>
      </c>
      <c r="H185" s="6">
        <f t="shared" si="36"/>
        <v>66</v>
      </c>
      <c r="I185" s="6">
        <f>IFERROR(VLOOKUP(C185,O.B.JUNE!$AI$7:$AN$448,6,0),0)</f>
        <v>53</v>
      </c>
      <c r="J185" s="6"/>
      <c r="K185" s="6">
        <f>IFERROR(VLOOKUP(C185,O.B.JUNE!$AI$7:$AO$448,7,0),0)</f>
        <v>485280</v>
      </c>
      <c r="L185" s="6">
        <f>SUMIF('JUNE (물량흐름)'!$C$13:$C$488,'Overhead exp(제조경비)'!C185,'JUNE (물량흐름)'!$H$13:$H$493)+SUMIF('JUNE (물량흐름)'!$C$13:$C$493,'Overhead exp(제조경비)'!C185,'JUNE (물량흐름)'!$V$13:$V$493)</f>
        <v>1578</v>
      </c>
      <c r="M185" s="6">
        <f t="shared" si="37"/>
        <v>1540</v>
      </c>
      <c r="N185" s="6">
        <f t="shared" si="38"/>
        <v>12221825</v>
      </c>
      <c r="O185" s="6">
        <f t="shared" si="49"/>
        <v>7384915</v>
      </c>
      <c r="P185" s="6">
        <f>SUMIF('JUNE (물량흐름)'!$C$13:$C$502,C185,'JUNE (물량흐름)'!$T$13:$T$502)+SUMIF('JUNE (물량흐름)'!$C$13:$C$502,C185,'JUNE (물량흐름)'!$V$13:$V$502)+SUMIF('JUNE (물량흐름)'!$C$13:$C$502,C185,'JUNE (물량흐름)'!$U$13:$U$502)-SUMIF('JUNE (물량흐름)'!$C$13:$C$502,C185,'JUNE (물량흐름)'!$Y$13:$Y$502)</f>
        <v>1455</v>
      </c>
      <c r="Q185" s="6">
        <f t="shared" si="44"/>
        <v>6965410</v>
      </c>
      <c r="R185" s="6">
        <f>IF(ISERROR(VLOOKUP(#REF!,'WIP(재공품)'!$B$12:$AB$38,13,0)),0,VLOOKUP(#REF!,'WIP(재공품)'!$B$12:$AB$38,13,0))</f>
        <v>0</v>
      </c>
      <c r="S185" s="6">
        <f>IF(ISERROR(VLOOKUP(#REF!,'WIP(재공품)'!$B$12:$AB$38,10,0)),0,VLOOKUP(#REF!,'WIP(재공품)'!$B$12:$AB$38,10,0))</f>
        <v>0</v>
      </c>
      <c r="T185" s="6">
        <f>SUMIF('JUNE (물량흐름)'!$C$13:$C$502,'Overhead exp(제조경비)'!C185,'JUNE (물량흐름)'!$Y$13:$Y$502)</f>
        <v>0</v>
      </c>
      <c r="U185" s="6">
        <f t="shared" si="39"/>
        <v>0</v>
      </c>
      <c r="V185" s="6">
        <f>ROUND(SUMIF('JUNE (물량흐름)'!$C$13:$C$502,'Overhead exp(제조경비)'!C185,'JUNE (물량흐름)'!$N$13:$N$502),0)</f>
        <v>0</v>
      </c>
      <c r="W185" s="6">
        <f>ROUND(SUMIF('JUNE (물량흐름)'!$C$13:$C$502,'Overhead exp(제조경비)'!C185,'JUNE (물량흐름)'!$O$13:$O$502),0)</f>
        <v>45</v>
      </c>
      <c r="X185" s="6">
        <f>ROUND(SUMIF('JUNE (물량흐름)'!$C$13:$C$502,'Overhead exp(제조경비)'!C185,'JUNE (물량흐름)'!$P$13:$P$502),0)</f>
        <v>144</v>
      </c>
      <c r="Y185" s="167">
        <f t="shared" si="52"/>
        <v>189</v>
      </c>
      <c r="Z185" s="167">
        <f t="shared" si="41"/>
        <v>138</v>
      </c>
      <c r="AA185" s="6">
        <f t="shared" si="45"/>
        <v>904785</v>
      </c>
      <c r="AB185" s="391">
        <f t="shared" si="42"/>
        <v>0</v>
      </c>
      <c r="AC185" s="391">
        <f t="shared" si="43"/>
        <v>0</v>
      </c>
      <c r="AE185" s="393"/>
    </row>
    <row r="186" spans="1:31" s="390" customFormat="1" ht="24" customHeight="1">
      <c r="A186" s="167">
        <v>176</v>
      </c>
      <c r="B186" s="20" t="str">
        <f>IFERROR(VLOOKUP(A186,'JUNE (물량흐름)'!$A$13:$C$502,2,0),0)</f>
        <v>ALFANI</v>
      </c>
      <c r="C186" s="272">
        <f>VLOOKUP(A186,'JUNE (물량흐름)'!$A$13:$C$502,3,0)</f>
        <v>100011932</v>
      </c>
      <c r="D186" s="6">
        <f>VLOOKUP(C186,'WIP(재공품)'!$B$12:$E$493,4,0)</f>
        <v>7936.2499999999991</v>
      </c>
      <c r="E186" s="6">
        <f>IFERROR(VLOOKUP(C186,O.B.JUNE!$AI$7:$AJ$448,2,0),0)</f>
        <v>0</v>
      </c>
      <c r="F186" s="6">
        <f>IFERROR(VLOOKUP(C186,O.B.JUNE!$AI$7:$AK$448,3,0),0)</f>
        <v>0</v>
      </c>
      <c r="G186" s="6">
        <f>IFERROR(VLOOKUP(C186,O.B.JUNE!$AI$7:$AL$448,4,0),0)</f>
        <v>11</v>
      </c>
      <c r="H186" s="6">
        <f t="shared" si="36"/>
        <v>11</v>
      </c>
      <c r="I186" s="6">
        <f>IFERROR(VLOOKUP(C186,O.B.JUNE!$AI$7:$AN$448,6,0),0)</f>
        <v>9</v>
      </c>
      <c r="J186" s="6"/>
      <c r="K186" s="6">
        <f>IFERROR(VLOOKUP(C186,O.B.JUNE!$AI$7:$AO$448,7,0),0)</f>
        <v>81434</v>
      </c>
      <c r="L186" s="6">
        <f>SUMIF('JUNE (물량흐름)'!$C$13:$C$488,'Overhead exp(제조경비)'!C186,'JUNE (물량흐름)'!$H$13:$H$493)+SUMIF('JUNE (물량흐름)'!$C$13:$C$493,'Overhead exp(제조경비)'!C186,'JUNE (물량흐름)'!$V$13:$V$493)</f>
        <v>0</v>
      </c>
      <c r="M186" s="6">
        <f t="shared" si="37"/>
        <v>0</v>
      </c>
      <c r="N186" s="6">
        <f t="shared" si="38"/>
        <v>0</v>
      </c>
      <c r="O186" s="6">
        <f t="shared" si="49"/>
        <v>0</v>
      </c>
      <c r="P186" s="6">
        <f>SUMIF('JUNE (물량흐름)'!$C$13:$C$502,C186,'JUNE (물량흐름)'!$T$13:$T$502)+SUMIF('JUNE (물량흐름)'!$C$13:$C$502,C186,'JUNE (물량흐름)'!$V$13:$V$502)+SUMIF('JUNE (물량흐름)'!$C$13:$C$502,C186,'JUNE (물량흐름)'!$U$13:$U$502)-SUMIF('JUNE (물량흐름)'!$C$13:$C$502,C186,'JUNE (물량흐름)'!$Y$13:$Y$502)</f>
        <v>0</v>
      </c>
      <c r="Q186" s="6">
        <f t="shared" si="44"/>
        <v>0</v>
      </c>
      <c r="R186" s="6">
        <f>IF(ISERROR(VLOOKUP(#REF!,'WIP(재공품)'!$B$12:$AB$38,13,0)),0,VLOOKUP(#REF!,'WIP(재공품)'!$B$12:$AB$38,13,0))</f>
        <v>0</v>
      </c>
      <c r="S186" s="6">
        <f>IF(ISERROR(VLOOKUP(#REF!,'WIP(재공품)'!$B$12:$AB$38,10,0)),0,VLOOKUP(#REF!,'WIP(재공품)'!$B$12:$AB$38,10,0))</f>
        <v>0</v>
      </c>
      <c r="T186" s="6">
        <f>SUMIF('JUNE (물량흐름)'!$C$13:$C$502,'Overhead exp(제조경비)'!C186,'JUNE (물량흐름)'!$Y$13:$Y$502)</f>
        <v>0</v>
      </c>
      <c r="U186" s="6">
        <f t="shared" si="39"/>
        <v>0</v>
      </c>
      <c r="V186" s="6">
        <f>ROUND(SUMIF('JUNE (물량흐름)'!$C$13:$C$502,'Overhead exp(제조경비)'!C186,'JUNE (물량흐름)'!$N$13:$N$502),0)</f>
        <v>0</v>
      </c>
      <c r="W186" s="6">
        <f>ROUND(SUMIF('JUNE (물량흐름)'!$C$13:$C$502,'Overhead exp(제조경비)'!C186,'JUNE (물량흐름)'!$O$13:$O$502),0)</f>
        <v>0</v>
      </c>
      <c r="X186" s="6">
        <f>ROUND(SUMIF('JUNE (물량흐름)'!$C$13:$C$502,'Overhead exp(제조경비)'!C186,'JUNE (물량흐름)'!$P$13:$P$502),0)</f>
        <v>11</v>
      </c>
      <c r="Y186" s="167">
        <f t="shared" si="52"/>
        <v>11</v>
      </c>
      <c r="Z186" s="167">
        <f t="shared" si="41"/>
        <v>9</v>
      </c>
      <c r="AA186" s="6">
        <f t="shared" si="45"/>
        <v>81434</v>
      </c>
      <c r="AB186" s="391">
        <f t="shared" si="42"/>
        <v>0</v>
      </c>
      <c r="AC186" s="391">
        <f t="shared" si="43"/>
        <v>0</v>
      </c>
      <c r="AE186" s="393"/>
    </row>
    <row r="187" spans="1:31" s="390" customFormat="1" ht="24" customHeight="1">
      <c r="A187" s="167">
        <v>177</v>
      </c>
      <c r="B187" s="20" t="str">
        <f>IFERROR(VLOOKUP(A187,'JUNE (물량흐름)'!$A$13:$C$502,2,0),0)</f>
        <v>ALFANI</v>
      </c>
      <c r="C187" s="272">
        <f>VLOOKUP(A187,'JUNE (물량흐름)'!$A$13:$C$502,3,0)</f>
        <v>100011935</v>
      </c>
      <c r="D187" s="6">
        <f>VLOOKUP(C187,'WIP(재공품)'!$B$12:$E$493,4,0)</f>
        <v>7936.2499999999991</v>
      </c>
      <c r="E187" s="6">
        <f>IFERROR(VLOOKUP(C187,O.B.JUNE!$AI$7:$AJ$448,2,0),0)</f>
        <v>0</v>
      </c>
      <c r="F187" s="6">
        <f>IFERROR(VLOOKUP(C187,O.B.JUNE!$AI$7:$AK$448,3,0),0)</f>
        <v>0</v>
      </c>
      <c r="G187" s="6">
        <f>IFERROR(VLOOKUP(C187,O.B.JUNE!$AI$7:$AL$448,4,0),0)</f>
        <v>85</v>
      </c>
      <c r="H187" s="6">
        <f t="shared" si="36"/>
        <v>85</v>
      </c>
      <c r="I187" s="6">
        <f>IFERROR(VLOOKUP(C187,O.B.JUNE!$AI$7:$AN$448,6,0),0)</f>
        <v>68</v>
      </c>
      <c r="J187" s="6"/>
      <c r="K187" s="6">
        <f>IFERROR(VLOOKUP(C187,O.B.JUNE!$AI$7:$AO$448,7,0),0)</f>
        <v>651893</v>
      </c>
      <c r="L187" s="6">
        <f>SUMIF('JUNE (물량흐름)'!$C$13:$C$488,'Overhead exp(제조경비)'!C187,'JUNE (물량흐름)'!$H$13:$H$493)+SUMIF('JUNE (물량흐름)'!$C$13:$C$493,'Overhead exp(제조경비)'!C187,'JUNE (물량흐름)'!$V$13:$V$493)</f>
        <v>0</v>
      </c>
      <c r="M187" s="6">
        <f t="shared" si="37"/>
        <v>0</v>
      </c>
      <c r="N187" s="6">
        <f t="shared" si="38"/>
        <v>0</v>
      </c>
      <c r="O187" s="6">
        <f t="shared" si="49"/>
        <v>0</v>
      </c>
      <c r="P187" s="6">
        <f>SUMIF('JUNE (물량흐름)'!$C$13:$C$502,C187,'JUNE (물량흐름)'!$T$13:$T$502)+SUMIF('JUNE (물량흐름)'!$C$13:$C$502,C187,'JUNE (물량흐름)'!$V$13:$V$502)+SUMIF('JUNE (물량흐름)'!$C$13:$C$502,C187,'JUNE (물량흐름)'!$U$13:$U$502)-SUMIF('JUNE (물량흐름)'!$C$13:$C$502,C187,'JUNE (물량흐름)'!$Y$13:$Y$502)</f>
        <v>0</v>
      </c>
      <c r="Q187" s="6">
        <f t="shared" si="44"/>
        <v>0</v>
      </c>
      <c r="R187" s="6">
        <f>IF(ISERROR(VLOOKUP(#REF!,'WIP(재공품)'!$B$12:$AB$38,13,0)),0,VLOOKUP(#REF!,'WIP(재공품)'!$B$12:$AB$38,13,0))</f>
        <v>0</v>
      </c>
      <c r="S187" s="6">
        <f>IF(ISERROR(VLOOKUP(#REF!,'WIP(재공품)'!$B$12:$AB$38,10,0)),0,VLOOKUP(#REF!,'WIP(재공품)'!$B$12:$AB$38,10,0))</f>
        <v>0</v>
      </c>
      <c r="T187" s="6">
        <f>SUMIF('JUNE (물량흐름)'!$C$13:$C$502,'Overhead exp(제조경비)'!C187,'JUNE (물량흐름)'!$Y$13:$Y$502)</f>
        <v>0</v>
      </c>
      <c r="U187" s="6">
        <f t="shared" si="39"/>
        <v>0</v>
      </c>
      <c r="V187" s="6">
        <f>ROUND(SUMIF('JUNE (물량흐름)'!$C$13:$C$502,'Overhead exp(제조경비)'!C187,'JUNE (물량흐름)'!$N$13:$N$502),0)</f>
        <v>0</v>
      </c>
      <c r="W187" s="6">
        <f>ROUND(SUMIF('JUNE (물량흐름)'!$C$13:$C$502,'Overhead exp(제조경비)'!C187,'JUNE (물량흐름)'!$O$13:$O$502),0)</f>
        <v>0</v>
      </c>
      <c r="X187" s="6">
        <f>ROUND(SUMIF('JUNE (물량흐름)'!$C$13:$C$502,'Overhead exp(제조경비)'!C187,'JUNE (물량흐름)'!$P$13:$P$502),0)</f>
        <v>85</v>
      </c>
      <c r="Y187" s="167">
        <f t="shared" si="52"/>
        <v>85</v>
      </c>
      <c r="Z187" s="167">
        <f t="shared" si="41"/>
        <v>68</v>
      </c>
      <c r="AA187" s="6">
        <f t="shared" si="45"/>
        <v>651893</v>
      </c>
      <c r="AB187" s="391">
        <f t="shared" si="42"/>
        <v>0</v>
      </c>
      <c r="AC187" s="391">
        <f t="shared" si="43"/>
        <v>0</v>
      </c>
      <c r="AE187" s="393"/>
    </row>
    <row r="188" spans="1:31" s="390" customFormat="1" ht="24" customHeight="1">
      <c r="A188" s="167">
        <v>178</v>
      </c>
      <c r="B188" s="20" t="str">
        <f>IFERROR(VLOOKUP(A188,'JUNE (물량흐름)'!$A$13:$C$502,2,0),0)</f>
        <v>ALFANI</v>
      </c>
      <c r="C188" s="272">
        <f>VLOOKUP(A188,'JUNE (물량흐름)'!$A$13:$C$502,3,0)</f>
        <v>100013594</v>
      </c>
      <c r="D188" s="6">
        <f>VLOOKUP(C188,'WIP(재공품)'!$B$12:$E$493,4,0)</f>
        <v>7936.2499999999991</v>
      </c>
      <c r="E188" s="6">
        <f>IFERROR(VLOOKUP(C188,O.B.JUNE!$AI$7:$AJ$448,2,0),0)</f>
        <v>0</v>
      </c>
      <c r="F188" s="6">
        <f>IFERROR(VLOOKUP(C188,O.B.JUNE!$AI$7:$AK$448,3,0),0)</f>
        <v>0</v>
      </c>
      <c r="G188" s="6">
        <f>IFERROR(VLOOKUP(C188,O.B.JUNE!$AI$7:$AL$448,4,0),0)</f>
        <v>45</v>
      </c>
      <c r="H188" s="6">
        <f t="shared" si="36"/>
        <v>45</v>
      </c>
      <c r="I188" s="6">
        <f>IFERROR(VLOOKUP(C188,O.B.JUNE!$AI$7:$AN$448,6,0),0)</f>
        <v>36</v>
      </c>
      <c r="J188" s="6"/>
      <c r="K188" s="6">
        <f>IFERROR(VLOOKUP(C188,O.B.JUNE!$AI$7:$AO$448,7,0),0)</f>
        <v>462500</v>
      </c>
      <c r="L188" s="6">
        <f>SUMIF('JUNE (물량흐름)'!$C$13:$C$488,'Overhead exp(제조경비)'!C188,'JUNE (물량흐름)'!$H$13:$H$493)+SUMIF('JUNE (물량흐름)'!$C$13:$C$493,'Overhead exp(제조경비)'!C188,'JUNE (물량흐름)'!$V$13:$V$493)</f>
        <v>0</v>
      </c>
      <c r="M188" s="6">
        <f t="shared" si="37"/>
        <v>0</v>
      </c>
      <c r="N188" s="6">
        <f t="shared" si="38"/>
        <v>0</v>
      </c>
      <c r="O188" s="6">
        <f t="shared" si="49"/>
        <v>0</v>
      </c>
      <c r="P188" s="6">
        <f>SUMIF('JUNE (물량흐름)'!$C$13:$C$502,C188,'JUNE (물량흐름)'!$T$13:$T$502)+SUMIF('JUNE (물량흐름)'!$C$13:$C$502,C188,'JUNE (물량흐름)'!$V$13:$V$502)+SUMIF('JUNE (물량흐름)'!$C$13:$C$502,C188,'JUNE (물량흐름)'!$U$13:$U$502)-SUMIF('JUNE (물량흐름)'!$C$13:$C$502,C188,'JUNE (물량흐름)'!$Y$13:$Y$502)</f>
        <v>0</v>
      </c>
      <c r="Q188" s="6">
        <f t="shared" si="44"/>
        <v>0</v>
      </c>
      <c r="R188" s="6">
        <f>IF(ISERROR(VLOOKUP(#REF!,'WIP(재공품)'!$B$12:$AB$38,13,0)),0,VLOOKUP(#REF!,'WIP(재공품)'!$B$12:$AB$38,13,0))</f>
        <v>0</v>
      </c>
      <c r="S188" s="6">
        <f>IF(ISERROR(VLOOKUP(#REF!,'WIP(재공품)'!$B$12:$AB$38,10,0)),0,VLOOKUP(#REF!,'WIP(재공품)'!$B$12:$AB$38,10,0))</f>
        <v>0</v>
      </c>
      <c r="T188" s="6">
        <f>SUMIF('JUNE (물량흐름)'!$C$13:$C$502,'Overhead exp(제조경비)'!C188,'JUNE (물량흐름)'!$Y$13:$Y$502)</f>
        <v>0</v>
      </c>
      <c r="U188" s="6">
        <f t="shared" si="39"/>
        <v>0</v>
      </c>
      <c r="V188" s="6">
        <f>ROUND(SUMIF('JUNE (물량흐름)'!$C$13:$C$502,'Overhead exp(제조경비)'!C188,'JUNE (물량흐름)'!$N$13:$N$502),0)</f>
        <v>0</v>
      </c>
      <c r="W188" s="6">
        <f>ROUND(SUMIF('JUNE (물량흐름)'!$C$13:$C$502,'Overhead exp(제조경비)'!C188,'JUNE (물량흐름)'!$O$13:$O$502),0)</f>
        <v>0</v>
      </c>
      <c r="X188" s="6">
        <f>ROUND(SUMIF('JUNE (물량흐름)'!$C$13:$C$502,'Overhead exp(제조경비)'!C188,'JUNE (물량흐름)'!$P$13:$P$502),0)</f>
        <v>45</v>
      </c>
      <c r="Y188" s="167">
        <f t="shared" si="52"/>
        <v>45</v>
      </c>
      <c r="Z188" s="167">
        <f t="shared" si="41"/>
        <v>36</v>
      </c>
      <c r="AA188" s="6">
        <f t="shared" si="45"/>
        <v>462500</v>
      </c>
      <c r="AB188" s="391">
        <f t="shared" si="42"/>
        <v>0</v>
      </c>
      <c r="AC188" s="391">
        <f t="shared" si="43"/>
        <v>0</v>
      </c>
      <c r="AE188" s="393"/>
    </row>
    <row r="189" spans="1:31" s="390" customFormat="1" ht="24" customHeight="1">
      <c r="A189" s="167">
        <v>179</v>
      </c>
      <c r="B189" s="20" t="str">
        <f>IFERROR(VLOOKUP(A189,'JUNE (물량흐름)'!$A$13:$C$502,2,0),0)</f>
        <v>ALFANI</v>
      </c>
      <c r="C189" s="272">
        <f>VLOOKUP(A189,'JUNE (물량흐름)'!$A$13:$C$502,3,0)</f>
        <v>100016320</v>
      </c>
      <c r="D189" s="6">
        <f>VLOOKUP(C189,'WIP(재공품)'!$B$12:$E$493,4,0)</f>
        <v>47164</v>
      </c>
      <c r="E189" s="6">
        <f>IFERROR(VLOOKUP(C189,O.B.JUNE!$AI$7:$AJ$448,2,0),0)</f>
        <v>0</v>
      </c>
      <c r="F189" s="6">
        <f>IFERROR(VLOOKUP(C189,O.B.JUNE!$AI$7:$AK$448,3,0),0)</f>
        <v>281</v>
      </c>
      <c r="G189" s="6">
        <f>IFERROR(VLOOKUP(C189,O.B.JUNE!$AI$7:$AL$448,4,0),0)</f>
        <v>325</v>
      </c>
      <c r="H189" s="6">
        <f t="shared" si="36"/>
        <v>606</v>
      </c>
      <c r="I189" s="6">
        <f>IFERROR(VLOOKUP(C189,O.B.JUNE!$AI$7:$AN$448,6,0),0)</f>
        <v>401</v>
      </c>
      <c r="J189" s="6"/>
      <c r="K189" s="6">
        <f>IFERROR(VLOOKUP(C189,O.B.JUNE!$AI$7:$AO$448,7,0),0)</f>
        <v>2932508</v>
      </c>
      <c r="L189" s="6">
        <f>SUMIF('JUNE (물량흐름)'!$C$13:$C$488,'Overhead exp(제조경비)'!C189,'JUNE (물량흐름)'!$H$13:$H$493)+SUMIF('JUNE (물량흐름)'!$C$13:$C$493,'Overhead exp(제조경비)'!C189,'JUNE (물량흐름)'!$V$13:$V$493)</f>
        <v>0</v>
      </c>
      <c r="M189" s="6">
        <f t="shared" si="37"/>
        <v>0</v>
      </c>
      <c r="N189" s="6">
        <f t="shared" si="38"/>
        <v>0</v>
      </c>
      <c r="O189" s="6">
        <f t="shared" si="49"/>
        <v>0</v>
      </c>
      <c r="P189" s="6">
        <f>SUMIF('JUNE (물량흐름)'!$C$13:$C$502,C189,'JUNE (물량흐름)'!$T$13:$T$502)+SUMIF('JUNE (물량흐름)'!$C$13:$C$502,C189,'JUNE (물량흐름)'!$V$13:$V$502)+SUMIF('JUNE (물량흐름)'!$C$13:$C$502,C189,'JUNE (물량흐름)'!$U$13:$U$502)-SUMIF('JUNE (물량흐름)'!$C$13:$C$502,C189,'JUNE (물량흐름)'!$Y$13:$Y$502)</f>
        <v>0</v>
      </c>
      <c r="Q189" s="6">
        <f t="shared" si="44"/>
        <v>0</v>
      </c>
      <c r="R189" s="6">
        <f>IF(ISERROR(VLOOKUP(#REF!,'WIP(재공품)'!$B$12:$AB$38,13,0)),0,VLOOKUP(#REF!,'WIP(재공품)'!$B$12:$AB$38,13,0))</f>
        <v>0</v>
      </c>
      <c r="S189" s="6">
        <f>IF(ISERROR(VLOOKUP(#REF!,'WIP(재공품)'!$B$12:$AB$38,10,0)),0,VLOOKUP(#REF!,'WIP(재공품)'!$B$12:$AB$38,10,0))</f>
        <v>0</v>
      </c>
      <c r="T189" s="6">
        <f>SUMIF('JUNE (물량흐름)'!$C$13:$C$502,'Overhead exp(제조경비)'!C189,'JUNE (물량흐름)'!$Y$13:$Y$502)</f>
        <v>0</v>
      </c>
      <c r="U189" s="6">
        <f t="shared" si="39"/>
        <v>0</v>
      </c>
      <c r="V189" s="6">
        <f>ROUND(SUMIF('JUNE (물량흐름)'!$C$13:$C$502,'Overhead exp(제조경비)'!C189,'JUNE (물량흐름)'!$N$13:$N$502),0)</f>
        <v>0</v>
      </c>
      <c r="W189" s="6">
        <f>ROUND(SUMIF('JUNE (물량흐름)'!$C$13:$C$502,'Overhead exp(제조경비)'!C189,'JUNE (물량흐름)'!$O$13:$O$502),0)</f>
        <v>281</v>
      </c>
      <c r="X189" s="6">
        <f>ROUND(SUMIF('JUNE (물량흐름)'!$C$13:$C$502,'Overhead exp(제조경비)'!C189,'JUNE (물량흐름)'!$P$13:$P$502),0)</f>
        <v>325</v>
      </c>
      <c r="Y189" s="167">
        <f t="shared" si="52"/>
        <v>606</v>
      </c>
      <c r="Z189" s="167">
        <f t="shared" si="41"/>
        <v>401</v>
      </c>
      <c r="AA189" s="6">
        <f t="shared" si="45"/>
        <v>2932508</v>
      </c>
      <c r="AB189" s="391">
        <f t="shared" si="42"/>
        <v>0</v>
      </c>
      <c r="AC189" s="391">
        <f t="shared" si="43"/>
        <v>0</v>
      </c>
      <c r="AE189" s="393"/>
    </row>
    <row r="190" spans="1:31" s="390" customFormat="1" ht="24" customHeight="1">
      <c r="A190" s="167">
        <v>180</v>
      </c>
      <c r="B190" s="20" t="str">
        <f>IFERROR(VLOOKUP(A190,'JUNE (물량흐름)'!$A$13:$C$502,2,0),0)</f>
        <v>ALFANI</v>
      </c>
      <c r="C190" s="272">
        <f>VLOOKUP(A190,'JUNE (물량흐름)'!$A$13:$C$502,3,0)</f>
        <v>100016323</v>
      </c>
      <c r="D190" s="6">
        <f>VLOOKUP(C190,'WIP(재공품)'!$B$12:$E$493,4,0)</f>
        <v>7936.2499999999991</v>
      </c>
      <c r="E190" s="6">
        <f>IFERROR(VLOOKUP(C190,O.B.JUNE!$AI$7:$AJ$448,2,0),0)</f>
        <v>0</v>
      </c>
      <c r="F190" s="6">
        <f>IFERROR(VLOOKUP(C190,O.B.JUNE!$AI$7:$AK$448,3,0),0)</f>
        <v>0</v>
      </c>
      <c r="G190" s="6">
        <f>IFERROR(VLOOKUP(C190,O.B.JUNE!$AI$7:$AL$448,4,0),0)</f>
        <v>5</v>
      </c>
      <c r="H190" s="6">
        <f t="shared" si="36"/>
        <v>5</v>
      </c>
      <c r="I190" s="6">
        <f>IFERROR(VLOOKUP(C190,O.B.JUNE!$AI$7:$AN$448,6,0),0)</f>
        <v>4</v>
      </c>
      <c r="J190" s="6"/>
      <c r="K190" s="6">
        <f>IFERROR(VLOOKUP(C190,O.B.JUNE!$AI$7:$AO$448,7,0),0)</f>
        <v>82830</v>
      </c>
      <c r="L190" s="6">
        <f>SUMIF('JUNE (물량흐름)'!$C$13:$C$488,'Overhead exp(제조경비)'!C190,'JUNE (물량흐름)'!$H$13:$H$493)+SUMIF('JUNE (물량흐름)'!$C$13:$C$493,'Overhead exp(제조경비)'!C190,'JUNE (물량흐름)'!$V$13:$V$493)</f>
        <v>0</v>
      </c>
      <c r="M190" s="6">
        <f t="shared" si="37"/>
        <v>0</v>
      </c>
      <c r="N190" s="6">
        <f t="shared" si="38"/>
        <v>0</v>
      </c>
      <c r="O190" s="6">
        <f t="shared" si="49"/>
        <v>0</v>
      </c>
      <c r="P190" s="6">
        <f>SUMIF('JUNE (물량흐름)'!$C$13:$C$502,C190,'JUNE (물량흐름)'!$T$13:$T$502)+SUMIF('JUNE (물량흐름)'!$C$13:$C$502,C190,'JUNE (물량흐름)'!$V$13:$V$502)+SUMIF('JUNE (물량흐름)'!$C$13:$C$502,C190,'JUNE (물량흐름)'!$U$13:$U$502)-SUMIF('JUNE (물량흐름)'!$C$13:$C$502,C190,'JUNE (물량흐름)'!$Y$13:$Y$502)</f>
        <v>0</v>
      </c>
      <c r="Q190" s="6">
        <f t="shared" si="44"/>
        <v>0</v>
      </c>
      <c r="R190" s="6">
        <f>IF(ISERROR(VLOOKUP(#REF!,'WIP(재공품)'!$B$12:$AB$38,13,0)),0,VLOOKUP(#REF!,'WIP(재공품)'!$B$12:$AB$38,13,0))</f>
        <v>0</v>
      </c>
      <c r="S190" s="6">
        <f>IF(ISERROR(VLOOKUP(#REF!,'WIP(재공품)'!$B$12:$AB$38,10,0)),0,VLOOKUP(#REF!,'WIP(재공품)'!$B$12:$AB$38,10,0))</f>
        <v>0</v>
      </c>
      <c r="T190" s="6">
        <f>SUMIF('JUNE (물량흐름)'!$C$13:$C$502,'Overhead exp(제조경비)'!C190,'JUNE (물량흐름)'!$Y$13:$Y$502)</f>
        <v>0</v>
      </c>
      <c r="U190" s="6">
        <f t="shared" si="39"/>
        <v>0</v>
      </c>
      <c r="V190" s="6">
        <f>ROUND(SUMIF('JUNE (물량흐름)'!$C$13:$C$502,'Overhead exp(제조경비)'!C190,'JUNE (물량흐름)'!$N$13:$N$502),0)</f>
        <v>0</v>
      </c>
      <c r="W190" s="6">
        <f>ROUND(SUMIF('JUNE (물량흐름)'!$C$13:$C$502,'Overhead exp(제조경비)'!C190,'JUNE (물량흐름)'!$O$13:$O$502),0)</f>
        <v>0</v>
      </c>
      <c r="X190" s="6">
        <f>ROUND(SUMIF('JUNE (물량흐름)'!$C$13:$C$502,'Overhead exp(제조경비)'!C190,'JUNE (물량흐름)'!$P$13:$P$502),0)</f>
        <v>5</v>
      </c>
      <c r="Y190" s="167">
        <f t="shared" si="52"/>
        <v>5</v>
      </c>
      <c r="Z190" s="167">
        <f t="shared" si="41"/>
        <v>4</v>
      </c>
      <c r="AA190" s="6">
        <f t="shared" si="45"/>
        <v>82830</v>
      </c>
      <c r="AB190" s="391">
        <f t="shared" si="42"/>
        <v>0</v>
      </c>
      <c r="AC190" s="391">
        <f t="shared" si="43"/>
        <v>0</v>
      </c>
      <c r="AE190" s="393"/>
    </row>
    <row r="191" spans="1:31" s="390" customFormat="1" ht="24" customHeight="1">
      <c r="A191" s="167">
        <v>181</v>
      </c>
      <c r="B191" s="20" t="str">
        <f>IFERROR(VLOOKUP(A191,'JUNE (물량흐름)'!$A$13:$C$502,2,0),0)</f>
        <v>ALFANI</v>
      </c>
      <c r="C191" s="272">
        <f>VLOOKUP(A191,'JUNE (물량흐름)'!$A$13:$C$502,3,0)</f>
        <v>100016362</v>
      </c>
      <c r="D191" s="6">
        <f>VLOOKUP(C191,'WIP(재공품)'!$B$12:$E$493,4,0)</f>
        <v>52152.499999999993</v>
      </c>
      <c r="E191" s="6">
        <f>IFERROR(VLOOKUP(C191,O.B.JUNE!$AI$7:$AJ$448,2,0),0)</f>
        <v>0</v>
      </c>
      <c r="F191" s="6">
        <f>IFERROR(VLOOKUP(C191,O.B.JUNE!$AI$7:$AK$448,3,0),0)</f>
        <v>0</v>
      </c>
      <c r="G191" s="6">
        <f>IFERROR(VLOOKUP(C191,O.B.JUNE!$AI$7:$AL$448,4,0),0)</f>
        <v>110</v>
      </c>
      <c r="H191" s="6">
        <f t="shared" si="36"/>
        <v>110</v>
      </c>
      <c r="I191" s="6">
        <f>IFERROR(VLOOKUP(C191,O.B.JUNE!$AI$7:$AN$448,6,0),0)</f>
        <v>88</v>
      </c>
      <c r="J191" s="6"/>
      <c r="K191" s="6">
        <f>IFERROR(VLOOKUP(C191,O.B.JUNE!$AI$7:$AO$448,7,0),0)</f>
        <v>1151905</v>
      </c>
      <c r="L191" s="6">
        <f>SUMIF('JUNE (물량흐름)'!$C$13:$C$488,'Overhead exp(제조경비)'!C191,'JUNE (물량흐름)'!$H$13:$H$493)+SUMIF('JUNE (물량흐름)'!$C$13:$C$493,'Overhead exp(제조경비)'!C191,'JUNE (물량흐름)'!$V$13:$V$493)</f>
        <v>0</v>
      </c>
      <c r="M191" s="6">
        <f t="shared" si="37"/>
        <v>0</v>
      </c>
      <c r="N191" s="6">
        <f t="shared" si="38"/>
        <v>0</v>
      </c>
      <c r="O191" s="6">
        <f t="shared" ref="O191:O206" si="53">ROUND(M191*D191*$O$493/$N$493,0)</f>
        <v>0</v>
      </c>
      <c r="P191" s="6">
        <f>SUMIF('JUNE (물량흐름)'!$C$13:$C$502,C191,'JUNE (물량흐름)'!$T$13:$T$502)+SUMIF('JUNE (물량흐름)'!$C$13:$C$502,C191,'JUNE (물량흐름)'!$V$13:$V$502)+SUMIF('JUNE (물량흐름)'!$C$13:$C$502,C191,'JUNE (물량흐름)'!$U$13:$U$502)-SUMIF('JUNE (물량흐름)'!$C$13:$C$502,C191,'JUNE (물량흐름)'!$Y$13:$Y$502)</f>
        <v>0</v>
      </c>
      <c r="Q191" s="6">
        <f t="shared" si="44"/>
        <v>0</v>
      </c>
      <c r="R191" s="6">
        <f>IF(ISERROR(VLOOKUP(#REF!,'WIP(재공품)'!$B$12:$AB$38,13,0)),0,VLOOKUP(#REF!,'WIP(재공품)'!$B$12:$AB$38,13,0))</f>
        <v>0</v>
      </c>
      <c r="S191" s="6">
        <f>IF(ISERROR(VLOOKUP(#REF!,'WIP(재공품)'!$B$12:$AB$38,10,0)),0,VLOOKUP(#REF!,'WIP(재공품)'!$B$12:$AB$38,10,0))</f>
        <v>0</v>
      </c>
      <c r="T191" s="6">
        <f>SUMIF('JUNE (물량흐름)'!$C$13:$C$502,'Overhead exp(제조경비)'!C191,'JUNE (물량흐름)'!$Y$13:$Y$502)</f>
        <v>0</v>
      </c>
      <c r="U191" s="6">
        <f t="shared" si="39"/>
        <v>0</v>
      </c>
      <c r="V191" s="6">
        <f>ROUND(SUMIF('JUNE (물량흐름)'!$C$13:$C$502,'Overhead exp(제조경비)'!C191,'JUNE (물량흐름)'!$N$13:$N$502),0)</f>
        <v>0</v>
      </c>
      <c r="W191" s="6">
        <f>ROUND(SUMIF('JUNE (물량흐름)'!$C$13:$C$502,'Overhead exp(제조경비)'!C191,'JUNE (물량흐름)'!$O$13:$O$502),0)</f>
        <v>0</v>
      </c>
      <c r="X191" s="6">
        <f>ROUND(SUMIF('JUNE (물량흐름)'!$C$13:$C$502,'Overhead exp(제조경비)'!C191,'JUNE (물량흐름)'!$P$13:$P$502),0)</f>
        <v>110</v>
      </c>
      <c r="Y191" s="167">
        <f t="shared" si="52"/>
        <v>110</v>
      </c>
      <c r="Z191" s="167">
        <f t="shared" si="41"/>
        <v>88</v>
      </c>
      <c r="AA191" s="6">
        <f t="shared" si="45"/>
        <v>1151905</v>
      </c>
      <c r="AB191" s="391">
        <f t="shared" si="42"/>
        <v>0</v>
      </c>
      <c r="AC191" s="391">
        <f t="shared" si="43"/>
        <v>0</v>
      </c>
      <c r="AE191" s="393"/>
    </row>
    <row r="192" spans="1:31" s="390" customFormat="1" ht="24" customHeight="1">
      <c r="A192" s="167">
        <v>182</v>
      </c>
      <c r="B192" s="20" t="str">
        <f>IFERROR(VLOOKUP(A192,'JUNE (물량흐름)'!$A$13:$C$502,2,0),0)</f>
        <v>ALFANI</v>
      </c>
      <c r="C192" s="272">
        <f>VLOOKUP(A192,'JUNE (물량흐름)'!$A$13:$C$502,3,0)</f>
        <v>100017250</v>
      </c>
      <c r="D192" s="6">
        <f>VLOOKUP(C192,'WIP(재공품)'!$B$12:$E$493,4,0)</f>
        <v>7936.2499999999991</v>
      </c>
      <c r="E192" s="6">
        <f>IFERROR(VLOOKUP(C192,O.B.JUNE!$AI$7:$AJ$448,2,0),0)</f>
        <v>0</v>
      </c>
      <c r="F192" s="6">
        <f>IFERROR(VLOOKUP(C192,O.B.JUNE!$AI$7:$AK$448,3,0),0)</f>
        <v>0</v>
      </c>
      <c r="G192" s="6">
        <f>IFERROR(VLOOKUP(C192,O.B.JUNE!$AI$7:$AL$448,4,0),0)</f>
        <v>12</v>
      </c>
      <c r="H192" s="6">
        <f t="shared" si="36"/>
        <v>12</v>
      </c>
      <c r="I192" s="6">
        <f>IFERROR(VLOOKUP(C192,O.B.JUNE!$AI$7:$AN$448,6,0),0)</f>
        <v>10</v>
      </c>
      <c r="J192" s="6"/>
      <c r="K192" s="6">
        <f>IFERROR(VLOOKUP(C192,O.B.JUNE!$AI$7:$AO$448,7,0),0)</f>
        <v>390644</v>
      </c>
      <c r="L192" s="6">
        <f>SUMIF('JUNE (물량흐름)'!$C$13:$C$488,'Overhead exp(제조경비)'!C192,'JUNE (물량흐름)'!$H$13:$H$493)+SUMIF('JUNE (물량흐름)'!$C$13:$C$493,'Overhead exp(제조경비)'!C192,'JUNE (물량흐름)'!$V$13:$V$493)</f>
        <v>1043</v>
      </c>
      <c r="M192" s="6">
        <f t="shared" si="37"/>
        <v>537</v>
      </c>
      <c r="N192" s="6">
        <f t="shared" si="38"/>
        <v>4261766</v>
      </c>
      <c r="O192" s="6">
        <f t="shared" si="53"/>
        <v>2575129</v>
      </c>
      <c r="P192" s="6">
        <f>SUMIF('JUNE (물량흐름)'!$C$13:$C$502,C192,'JUNE (물량흐름)'!$T$13:$T$502)+SUMIF('JUNE (물량흐름)'!$C$13:$C$502,C192,'JUNE (물량흐름)'!$V$13:$V$502)+SUMIF('JUNE (물량흐름)'!$C$13:$C$502,C192,'JUNE (물량흐름)'!$U$13:$U$502)-SUMIF('JUNE (물량흐름)'!$C$13:$C$502,C192,'JUNE (물량흐름)'!$Y$13:$Y$502)</f>
        <v>0</v>
      </c>
      <c r="Q192" s="6">
        <f t="shared" si="44"/>
        <v>0</v>
      </c>
      <c r="R192" s="6">
        <f>IF(ISERROR(VLOOKUP(#REF!,'WIP(재공품)'!$B$12:$AB$38,13,0)),0,VLOOKUP(#REF!,'WIP(재공품)'!$B$12:$AB$38,13,0))</f>
        <v>0</v>
      </c>
      <c r="S192" s="6">
        <f>IF(ISERROR(VLOOKUP(#REF!,'WIP(재공품)'!$B$12:$AB$38,10,0)),0,VLOOKUP(#REF!,'WIP(재공품)'!$B$12:$AB$38,10,0))</f>
        <v>0</v>
      </c>
      <c r="T192" s="6">
        <f>SUMIF('JUNE (물량흐름)'!$C$13:$C$502,'Overhead exp(제조경비)'!C192,'JUNE (물량흐름)'!$Y$13:$Y$502)</f>
        <v>0</v>
      </c>
      <c r="U192" s="6">
        <f t="shared" si="39"/>
        <v>0</v>
      </c>
      <c r="V192" s="6">
        <f>ROUND(SUMIF('JUNE (물량흐름)'!$C$13:$C$502,'Overhead exp(제조경비)'!C192,'JUNE (물량흐름)'!$N$13:$N$502),0)</f>
        <v>0</v>
      </c>
      <c r="W192" s="6">
        <f>ROUND(SUMIF('JUNE (물량흐름)'!$C$13:$C$502,'Overhead exp(제조경비)'!C192,'JUNE (물량흐름)'!$O$13:$O$502),0)</f>
        <v>990</v>
      </c>
      <c r="X192" s="6">
        <f>ROUND(SUMIF('JUNE (물량흐름)'!$C$13:$C$502,'Overhead exp(제조경비)'!C192,'JUNE (물량흐름)'!$P$13:$P$502),0)</f>
        <v>65</v>
      </c>
      <c r="Y192" s="6">
        <f t="shared" si="40"/>
        <v>1055</v>
      </c>
      <c r="Z192" s="6">
        <f t="shared" si="41"/>
        <v>547</v>
      </c>
      <c r="AA192" s="6">
        <f t="shared" si="45"/>
        <v>2965773</v>
      </c>
      <c r="AB192" s="391">
        <f t="shared" si="42"/>
        <v>0</v>
      </c>
      <c r="AC192" s="391">
        <f t="shared" si="43"/>
        <v>0</v>
      </c>
      <c r="AE192" s="393"/>
    </row>
    <row r="193" spans="1:29" s="394" customFormat="1" ht="24" customHeight="1">
      <c r="A193" s="167">
        <v>183</v>
      </c>
      <c r="B193" s="20" t="str">
        <f>IFERROR(VLOOKUP(A193,'JUNE (물량흐름)'!$A$13:$C$502,2,0),0)</f>
        <v>ALFANI</v>
      </c>
      <c r="C193" s="272">
        <f>VLOOKUP(A193,'JUNE (물량흐름)'!$A$13:$C$502,3,0)</f>
        <v>100017251</v>
      </c>
      <c r="D193" s="6">
        <f>VLOOKUP(C193,'WIP(재공품)'!$B$12:$E$493,4,0)</f>
        <v>7936.2499999999991</v>
      </c>
      <c r="E193" s="6">
        <f>IFERROR(VLOOKUP(C193,O.B.JUNE!$AI$7:$AJ$448,2,0),0)</f>
        <v>0</v>
      </c>
      <c r="F193" s="6">
        <f>IFERROR(VLOOKUP(C193,O.B.JUNE!$AI$7:$AK$448,3,0),0)</f>
        <v>0</v>
      </c>
      <c r="G193" s="6">
        <f>IFERROR(VLOOKUP(C193,O.B.JUNE!$AI$7:$AL$448,4,0),0)</f>
        <v>8</v>
      </c>
      <c r="H193" s="6">
        <f t="shared" si="36"/>
        <v>8</v>
      </c>
      <c r="I193" s="6">
        <f>IFERROR(VLOOKUP(C193,O.B.JUNE!$AI$7:$AN$448,6,0),0)</f>
        <v>6</v>
      </c>
      <c r="J193" s="6"/>
      <c r="K193" s="6">
        <f>IFERROR(VLOOKUP(C193,O.B.JUNE!$AI$7:$AO$448,7,0),0)</f>
        <v>150100</v>
      </c>
      <c r="L193" s="6">
        <f>SUMIF('JUNE (물량흐름)'!$C$13:$C$488,'Overhead exp(제조경비)'!C193,'JUNE (물량흐름)'!$H$13:$H$493)+SUMIF('JUNE (물량흐름)'!$C$13:$C$493,'Overhead exp(제조경비)'!C193,'JUNE (물량흐름)'!$V$13:$V$493)</f>
        <v>0</v>
      </c>
      <c r="M193" s="6">
        <f t="shared" si="37"/>
        <v>0</v>
      </c>
      <c r="N193" s="6">
        <f t="shared" si="38"/>
        <v>0</v>
      </c>
      <c r="O193" s="6">
        <f t="shared" si="53"/>
        <v>0</v>
      </c>
      <c r="P193" s="6">
        <f>SUMIF('JUNE (물량흐름)'!$C$13:$C$502,C193,'JUNE (물량흐름)'!$T$13:$T$502)+SUMIF('JUNE (물량흐름)'!$C$13:$C$502,C193,'JUNE (물량흐름)'!$V$13:$V$502)+SUMIF('JUNE (물량흐름)'!$C$13:$C$502,C193,'JUNE (물량흐름)'!$U$13:$U$502)-SUMIF('JUNE (물량흐름)'!$C$13:$C$502,C193,'JUNE (물량흐름)'!$Y$13:$Y$502)</f>
        <v>0</v>
      </c>
      <c r="Q193" s="6">
        <f t="shared" si="44"/>
        <v>0</v>
      </c>
      <c r="R193" s="6">
        <f>IF(ISERROR(VLOOKUP(#REF!,'WIP(재공품)'!$B$12:$AB$38,13,0)),0,VLOOKUP(#REF!,'WIP(재공품)'!$B$12:$AB$38,13,0))</f>
        <v>0</v>
      </c>
      <c r="S193" s="6">
        <f>IF(ISERROR(VLOOKUP(#REF!,'WIP(재공품)'!$B$12:$AB$38,10,0)),0,VLOOKUP(#REF!,'WIP(재공품)'!$B$12:$AB$38,10,0))</f>
        <v>0</v>
      </c>
      <c r="T193" s="6">
        <f>SUMIF('JUNE (물량흐름)'!$C$13:$C$502,'Overhead exp(제조경비)'!C193,'JUNE (물량흐름)'!$Y$13:$Y$502)</f>
        <v>0</v>
      </c>
      <c r="U193" s="6">
        <f t="shared" si="39"/>
        <v>0</v>
      </c>
      <c r="V193" s="6">
        <f>ROUND(SUMIF('JUNE (물량흐름)'!$C$13:$C$502,'Overhead exp(제조경비)'!C193,'JUNE (물량흐름)'!$N$13:$N$502),0)</f>
        <v>0</v>
      </c>
      <c r="W193" s="6">
        <f>ROUND(SUMIF('JUNE (물량흐름)'!$C$13:$C$502,'Overhead exp(제조경비)'!C193,'JUNE (물량흐름)'!$O$13:$O$502),0)</f>
        <v>0</v>
      </c>
      <c r="X193" s="6">
        <f>ROUND(SUMIF('JUNE (물량흐름)'!$C$13:$C$502,'Overhead exp(제조경비)'!C193,'JUNE (물량흐름)'!$P$13:$P$502),0)</f>
        <v>8</v>
      </c>
      <c r="Y193" s="6">
        <f t="shared" si="40"/>
        <v>8</v>
      </c>
      <c r="Z193" s="6">
        <f t="shared" si="41"/>
        <v>6</v>
      </c>
      <c r="AA193" s="6">
        <f t="shared" si="45"/>
        <v>150100</v>
      </c>
      <c r="AB193" s="391">
        <f t="shared" si="42"/>
        <v>0</v>
      </c>
      <c r="AC193" s="391">
        <f t="shared" si="43"/>
        <v>0</v>
      </c>
    </row>
    <row r="194" spans="1:29" s="390" customFormat="1" ht="24" customHeight="1">
      <c r="A194" s="167">
        <v>184</v>
      </c>
      <c r="B194" s="20" t="str">
        <f>IFERROR(VLOOKUP(A194,'JUNE (물량흐름)'!$A$13:$C$502,2,0),0)</f>
        <v>ALFANI</v>
      </c>
      <c r="C194" s="272">
        <f>VLOOKUP(A194,'JUNE (물량흐름)'!$A$13:$C$502,3,0)</f>
        <v>100017339</v>
      </c>
      <c r="D194" s="6">
        <f>VLOOKUP(C194,'WIP(재공품)'!$B$12:$E$493,4,0)</f>
        <v>40815</v>
      </c>
      <c r="E194" s="6">
        <f>IFERROR(VLOOKUP(C194,O.B.JUNE!$AI$7:$AJ$448,2,0),0)</f>
        <v>0</v>
      </c>
      <c r="F194" s="6">
        <f>IFERROR(VLOOKUP(C194,O.B.JUNE!$AI$7:$AK$448,3,0),0)</f>
        <v>4</v>
      </c>
      <c r="G194" s="6">
        <f>IFERROR(VLOOKUP(C194,O.B.JUNE!$AI$7:$AL$448,4,0),0)</f>
        <v>80</v>
      </c>
      <c r="H194" s="6">
        <f t="shared" si="36"/>
        <v>84</v>
      </c>
      <c r="I194" s="6">
        <f>IFERROR(VLOOKUP(C194,O.B.JUNE!$AI$7:$AN$448,6,0),0)</f>
        <v>66</v>
      </c>
      <c r="J194" s="6"/>
      <c r="K194" s="6">
        <f>IFERROR(VLOOKUP(C194,O.B.JUNE!$AI$7:$AO$448,7,0),0)</f>
        <v>782851</v>
      </c>
      <c r="L194" s="6">
        <f>SUMIF('JUNE (물량흐름)'!$C$13:$C$488,'Overhead exp(제조경비)'!C194,'JUNE (물량흐름)'!$H$13:$H$493)+SUMIF('JUNE (물량흐름)'!$C$13:$C$493,'Overhead exp(제조경비)'!C194,'JUNE (물량흐름)'!$V$13:$V$493)</f>
        <v>0</v>
      </c>
      <c r="M194" s="6">
        <f t="shared" si="37"/>
        <v>0</v>
      </c>
      <c r="N194" s="6">
        <f t="shared" si="38"/>
        <v>0</v>
      </c>
      <c r="O194" s="6">
        <f t="shared" si="53"/>
        <v>0</v>
      </c>
      <c r="P194" s="6">
        <f>SUMIF('JUNE (물량흐름)'!$C$13:$C$502,C194,'JUNE (물량흐름)'!$T$13:$T$502)+SUMIF('JUNE (물량흐름)'!$C$13:$C$502,C194,'JUNE (물량흐름)'!$V$13:$V$502)+SUMIF('JUNE (물량흐름)'!$C$13:$C$502,C194,'JUNE (물량흐름)'!$U$13:$U$502)-SUMIF('JUNE (물량흐름)'!$C$13:$C$502,C194,'JUNE (물량흐름)'!$Y$13:$Y$502)</f>
        <v>0</v>
      </c>
      <c r="Q194" s="6">
        <f t="shared" si="44"/>
        <v>0</v>
      </c>
      <c r="R194" s="6">
        <f>IF(ISERROR(VLOOKUP(#REF!,'WIP(재공품)'!$B$12:$AB$38,13,0)),0,VLOOKUP(#REF!,'WIP(재공품)'!$B$12:$AB$38,13,0))</f>
        <v>0</v>
      </c>
      <c r="S194" s="6">
        <f>IF(ISERROR(VLOOKUP(#REF!,'WIP(재공품)'!$B$12:$AB$38,10,0)),0,VLOOKUP(#REF!,'WIP(재공품)'!$B$12:$AB$38,10,0))</f>
        <v>0</v>
      </c>
      <c r="T194" s="6">
        <f>SUMIF('JUNE (물량흐름)'!$C$13:$C$502,'Overhead exp(제조경비)'!C194,'JUNE (물량흐름)'!$Y$13:$Y$502)</f>
        <v>0</v>
      </c>
      <c r="U194" s="6">
        <f t="shared" si="39"/>
        <v>0</v>
      </c>
      <c r="V194" s="6">
        <f>ROUND(SUMIF('JUNE (물량흐름)'!$C$13:$C$502,'Overhead exp(제조경비)'!C194,'JUNE (물량흐름)'!$N$13:$N$502),0)</f>
        <v>0</v>
      </c>
      <c r="W194" s="6">
        <f>ROUND(SUMIF('JUNE (물량흐름)'!$C$13:$C$502,'Overhead exp(제조경비)'!C194,'JUNE (물량흐름)'!$O$13:$O$502),0)</f>
        <v>4</v>
      </c>
      <c r="X194" s="6">
        <f>ROUND(SUMIF('JUNE (물량흐름)'!$C$13:$C$502,'Overhead exp(제조경비)'!C194,'JUNE (물량흐름)'!$P$13:$P$502),0)</f>
        <v>80</v>
      </c>
      <c r="Y194" s="167">
        <f t="shared" ref="Y194" si="54">ROUND(SUM(V194:X194),0)</f>
        <v>84</v>
      </c>
      <c r="Z194" s="167">
        <f t="shared" si="41"/>
        <v>66</v>
      </c>
      <c r="AA194" s="6">
        <f t="shared" si="45"/>
        <v>782851</v>
      </c>
      <c r="AB194" s="391">
        <f t="shared" si="42"/>
        <v>0</v>
      </c>
      <c r="AC194" s="391">
        <f t="shared" si="43"/>
        <v>0</v>
      </c>
    </row>
    <row r="195" spans="1:29" s="390" customFormat="1" ht="24" customHeight="1">
      <c r="A195" s="167">
        <v>185</v>
      </c>
      <c r="B195" s="20" t="str">
        <f>IFERROR(VLOOKUP(A195,'JUNE (물량흐름)'!$A$13:$C$502,2,0),0)</f>
        <v>ALFANI</v>
      </c>
      <c r="C195" s="272">
        <f>VLOOKUP(A195,'JUNE (물량흐름)'!$A$13:$C$502,3,0)</f>
        <v>100018342</v>
      </c>
      <c r="D195" s="6">
        <f>VLOOKUP(C195,'WIP(재공품)'!$B$12:$E$493,4,0)</f>
        <v>7936.2499999999991</v>
      </c>
      <c r="E195" s="6">
        <f>IFERROR(VLOOKUP(C195,O.B.JUNE!$AI$7:$AJ$448,2,0),0)</f>
        <v>0</v>
      </c>
      <c r="F195" s="6">
        <f>IFERROR(VLOOKUP(C195,O.B.JUNE!$AI$7:$AK$448,3,0),0)</f>
        <v>0</v>
      </c>
      <c r="G195" s="6">
        <f>IFERROR(VLOOKUP(C195,O.B.JUNE!$AI$7:$AL$448,4,0),0)</f>
        <v>108</v>
      </c>
      <c r="H195" s="6">
        <f t="shared" si="36"/>
        <v>108</v>
      </c>
      <c r="I195" s="6">
        <f>IFERROR(VLOOKUP(C195,O.B.JUNE!$AI$7:$AN$448,6,0),0)</f>
        <v>86</v>
      </c>
      <c r="J195" s="6"/>
      <c r="K195" s="6">
        <f>IFERROR(VLOOKUP(C195,O.B.JUNE!$AI$7:$AO$448,7,0),0)</f>
        <v>1077490</v>
      </c>
      <c r="L195" s="6">
        <f>SUMIF('JUNE (물량흐름)'!$C$13:$C$488,'Overhead exp(제조경비)'!C195,'JUNE (물량흐름)'!$H$13:$H$493)+SUMIF('JUNE (물량흐름)'!$C$13:$C$493,'Overhead exp(제조경비)'!C195,'JUNE (물량흐름)'!$V$13:$V$493)</f>
        <v>0</v>
      </c>
      <c r="M195" s="6">
        <f t="shared" si="37"/>
        <v>0</v>
      </c>
      <c r="N195" s="6">
        <f t="shared" si="38"/>
        <v>0</v>
      </c>
      <c r="O195" s="6">
        <f t="shared" si="53"/>
        <v>0</v>
      </c>
      <c r="P195" s="6">
        <f>SUMIF('JUNE (물량흐름)'!$C$13:$C$502,C195,'JUNE (물량흐름)'!$T$13:$T$502)+SUMIF('JUNE (물량흐름)'!$C$13:$C$502,C195,'JUNE (물량흐름)'!$V$13:$V$502)+SUMIF('JUNE (물량흐름)'!$C$13:$C$502,C195,'JUNE (물량흐름)'!$U$13:$U$502)-SUMIF('JUNE (물량흐름)'!$C$13:$C$502,C195,'JUNE (물량흐름)'!$Y$13:$Y$502)</f>
        <v>0</v>
      </c>
      <c r="Q195" s="6">
        <f t="shared" si="44"/>
        <v>0</v>
      </c>
      <c r="R195" s="6">
        <f>IF(ISERROR(VLOOKUP(#REF!,'WIP(재공품)'!$B$12:$AB$38,13,0)),0,VLOOKUP(#REF!,'WIP(재공품)'!$B$12:$AB$38,13,0))</f>
        <v>0</v>
      </c>
      <c r="S195" s="6">
        <f>IF(ISERROR(VLOOKUP(#REF!,'WIP(재공품)'!$B$12:$AB$38,10,0)),0,VLOOKUP(#REF!,'WIP(재공품)'!$B$12:$AB$38,10,0))</f>
        <v>0</v>
      </c>
      <c r="T195" s="6">
        <f>SUMIF('JUNE (물량흐름)'!$C$13:$C$502,'Overhead exp(제조경비)'!C195,'JUNE (물량흐름)'!$Y$13:$Y$502)</f>
        <v>0</v>
      </c>
      <c r="U195" s="6">
        <f t="shared" si="39"/>
        <v>0</v>
      </c>
      <c r="V195" s="6">
        <f>ROUND(SUMIF('JUNE (물량흐름)'!$C$13:$C$502,'Overhead exp(제조경비)'!C195,'JUNE (물량흐름)'!$N$13:$N$502),0)</f>
        <v>0</v>
      </c>
      <c r="W195" s="6">
        <f>ROUND(SUMIF('JUNE (물량흐름)'!$C$13:$C$502,'Overhead exp(제조경비)'!C195,'JUNE (물량흐름)'!$O$13:$O$502),0)</f>
        <v>0</v>
      </c>
      <c r="X195" s="6">
        <f>ROUND(SUMIF('JUNE (물량흐름)'!$C$13:$C$502,'Overhead exp(제조경비)'!C195,'JUNE (물량흐름)'!$P$13:$P$502),0)</f>
        <v>108</v>
      </c>
      <c r="Y195" s="6">
        <f t="shared" si="40"/>
        <v>108</v>
      </c>
      <c r="Z195" s="6">
        <f t="shared" si="41"/>
        <v>86</v>
      </c>
      <c r="AA195" s="6">
        <f t="shared" si="45"/>
        <v>1077490</v>
      </c>
      <c r="AB195" s="391">
        <f t="shared" si="42"/>
        <v>0</v>
      </c>
      <c r="AC195" s="391">
        <f t="shared" si="43"/>
        <v>0</v>
      </c>
    </row>
    <row r="196" spans="1:29" s="390" customFormat="1" ht="24" customHeight="1">
      <c r="A196" s="167">
        <v>186</v>
      </c>
      <c r="B196" s="20" t="str">
        <f>IFERROR(VLOOKUP(A196,'JUNE (물량흐름)'!$A$13:$C$502,2,0),0)</f>
        <v>STOCK</v>
      </c>
      <c r="C196" s="272" t="str">
        <f>VLOOKUP(A196,'JUNE (물량흐름)'!$A$13:$C$502,3,0)</f>
        <v>S-69717</v>
      </c>
      <c r="D196" s="6">
        <f>VLOOKUP(C196,'WIP(재공품)'!$B$12:$E$493,4,0)</f>
        <v>7936.2499999999991</v>
      </c>
      <c r="E196" s="6">
        <f>IFERROR(VLOOKUP(C196,O.B.JUNE!$AI$7:$AJ$448,2,0),0)</f>
        <v>0</v>
      </c>
      <c r="F196" s="6">
        <f>IFERROR(VLOOKUP(C196,O.B.JUNE!$AI$7:$AK$448,3,0),0)</f>
        <v>0</v>
      </c>
      <c r="G196" s="6">
        <f>IFERROR(VLOOKUP(C196,O.B.JUNE!$AI$7:$AL$448,4,0),0)</f>
        <v>5784</v>
      </c>
      <c r="H196" s="6">
        <f t="shared" si="36"/>
        <v>5784</v>
      </c>
      <c r="I196" s="6">
        <f>IFERROR(VLOOKUP(C196,O.B.JUNE!$AI$7:$AN$448,6,0),0)</f>
        <v>4627</v>
      </c>
      <c r="J196" s="6"/>
      <c r="K196" s="6">
        <f>IFERROR(VLOOKUP(C196,O.B.JUNE!$AI$7:$AO$448,7,0),0)</f>
        <v>36204141</v>
      </c>
      <c r="L196" s="6">
        <f>SUMIF('JUNE (물량흐름)'!$C$13:$C$488,'Overhead exp(제조경비)'!C196,'JUNE (물량흐름)'!$H$13:$H$493)+SUMIF('JUNE (물량흐름)'!$C$13:$C$493,'Overhead exp(제조경비)'!C196,'JUNE (물량흐름)'!$V$13:$V$493)</f>
        <v>0</v>
      </c>
      <c r="M196" s="6">
        <f t="shared" si="37"/>
        <v>0</v>
      </c>
      <c r="N196" s="6">
        <f t="shared" si="38"/>
        <v>0</v>
      </c>
      <c r="O196" s="6">
        <f t="shared" si="53"/>
        <v>0</v>
      </c>
      <c r="P196" s="6">
        <f>SUMIF('JUNE (물량흐름)'!$C$13:$C$502,C196,'JUNE (물량흐름)'!$T$13:$T$502)+SUMIF('JUNE (물량흐름)'!$C$13:$C$502,C196,'JUNE (물량흐름)'!$V$13:$V$502)+SUMIF('JUNE (물량흐름)'!$C$13:$C$502,C196,'JUNE (물량흐름)'!$U$13:$U$502)-SUMIF('JUNE (물량흐름)'!$C$13:$C$502,C196,'JUNE (물량흐름)'!$Y$13:$Y$502)</f>
        <v>5784</v>
      </c>
      <c r="Q196" s="6">
        <f t="shared" si="44"/>
        <v>36204141</v>
      </c>
      <c r="R196" s="6">
        <f>IF(ISERROR(VLOOKUP(#REF!,'WIP(재공품)'!$B$12:$AB$38,13,0)),0,VLOOKUP(#REF!,'WIP(재공품)'!$B$12:$AB$38,13,0))</f>
        <v>0</v>
      </c>
      <c r="S196" s="6">
        <f>IF(ISERROR(VLOOKUP(#REF!,'WIP(재공품)'!$B$12:$AB$38,10,0)),0,VLOOKUP(#REF!,'WIP(재공품)'!$B$12:$AB$38,10,0))</f>
        <v>0</v>
      </c>
      <c r="T196" s="6">
        <f>SUMIF('JUNE (물량흐름)'!$C$13:$C$502,'Overhead exp(제조경비)'!C196,'JUNE (물량흐름)'!$Y$13:$Y$502)</f>
        <v>0</v>
      </c>
      <c r="U196" s="6">
        <f t="shared" si="39"/>
        <v>0</v>
      </c>
      <c r="V196" s="6">
        <f>ROUND(SUMIF('JUNE (물량흐름)'!$C$13:$C$502,'Overhead exp(제조경비)'!C196,'JUNE (물량흐름)'!$N$13:$N$502),0)</f>
        <v>0</v>
      </c>
      <c r="W196" s="6">
        <f>ROUND(SUMIF('JUNE (물량흐름)'!$C$13:$C$502,'Overhead exp(제조경비)'!C196,'JUNE (물량흐름)'!$O$13:$O$502),0)</f>
        <v>0</v>
      </c>
      <c r="X196" s="6">
        <f>ROUND(SUMIF('JUNE (물량흐름)'!$C$13:$C$502,'Overhead exp(제조경비)'!C196,'JUNE (물량흐름)'!$P$13:$P$502),0)</f>
        <v>0</v>
      </c>
      <c r="Y196" s="6">
        <f t="shared" si="40"/>
        <v>0</v>
      </c>
      <c r="Z196" s="6">
        <f t="shared" si="41"/>
        <v>0</v>
      </c>
      <c r="AA196" s="6">
        <f t="shared" si="45"/>
        <v>0</v>
      </c>
      <c r="AB196" s="391">
        <f t="shared" si="42"/>
        <v>0</v>
      </c>
      <c r="AC196" s="391">
        <f t="shared" si="43"/>
        <v>0</v>
      </c>
    </row>
    <row r="197" spans="1:29" s="390" customFormat="1" ht="24" customHeight="1">
      <c r="A197" s="167">
        <v>187</v>
      </c>
      <c r="B197" s="20" t="str">
        <f>IFERROR(VLOOKUP(A197,'JUNE (물량흐름)'!$A$13:$C$502,2,0),0)</f>
        <v>ANN TAYLOR</v>
      </c>
      <c r="C197" s="272">
        <f>VLOOKUP(A197,'JUNE (물량흐름)'!$A$13:$C$502,3,0)</f>
        <v>453088</v>
      </c>
      <c r="D197" s="6">
        <f>VLOOKUP(C197,'WIP(재공품)'!$B$12:$E$493,4,0)</f>
        <v>7936.2499999999991</v>
      </c>
      <c r="E197" s="6">
        <f>IFERROR(VLOOKUP(C197,O.B.JUNE!$AI$7:$AJ$448,2,0),0)</f>
        <v>0</v>
      </c>
      <c r="F197" s="6">
        <f>IFERROR(VLOOKUP(C197,O.B.JUNE!$AI$7:$AK$448,3,0),0)</f>
        <v>0</v>
      </c>
      <c r="G197" s="6">
        <f>IFERROR(VLOOKUP(C197,O.B.JUNE!$AI$7:$AL$448,4,0),0)</f>
        <v>745</v>
      </c>
      <c r="H197" s="6">
        <f t="shared" si="36"/>
        <v>745</v>
      </c>
      <c r="I197" s="6">
        <f>IFERROR(VLOOKUP(C197,O.B.JUNE!$AI$7:$AN$448,6,0),0)</f>
        <v>596</v>
      </c>
      <c r="J197" s="6"/>
      <c r="K197" s="6">
        <f>IFERROR(VLOOKUP(C197,O.B.JUNE!$AI$7:$AO$448,7,0),0)</f>
        <v>11760494</v>
      </c>
      <c r="L197" s="6">
        <f>SUMIF('JUNE (물량흐름)'!$C$13:$C$488,'Overhead exp(제조경비)'!C197,'JUNE (물량흐름)'!$H$13:$H$493)+SUMIF('JUNE (물량흐름)'!$C$13:$C$493,'Overhead exp(제조경비)'!C197,'JUNE (물량흐름)'!$V$13:$V$493)</f>
        <v>0</v>
      </c>
      <c r="M197" s="6">
        <f t="shared" si="37"/>
        <v>0</v>
      </c>
      <c r="N197" s="6">
        <f t="shared" si="38"/>
        <v>0</v>
      </c>
      <c r="O197" s="6">
        <f t="shared" si="53"/>
        <v>0</v>
      </c>
      <c r="P197" s="6">
        <f>SUMIF('JUNE (물량흐름)'!$C$13:$C$502,C197,'JUNE (물량흐름)'!$T$13:$T$502)+SUMIF('JUNE (물량흐름)'!$C$13:$C$502,C197,'JUNE (물량흐름)'!$V$13:$V$502)+SUMIF('JUNE (물량흐름)'!$C$13:$C$502,C197,'JUNE (물량흐름)'!$U$13:$U$502)-SUMIF('JUNE (물량흐름)'!$C$13:$C$502,C197,'JUNE (물량흐름)'!$Y$13:$Y$502)</f>
        <v>745</v>
      </c>
      <c r="Q197" s="6">
        <f t="shared" si="44"/>
        <v>11760494</v>
      </c>
      <c r="R197" s="6">
        <f>IF(ISERROR(VLOOKUP(#REF!,'WIP(재공품)'!$B$12:$AB$38,13,0)),0,VLOOKUP(#REF!,'WIP(재공품)'!$B$12:$AB$38,13,0))</f>
        <v>0</v>
      </c>
      <c r="S197" s="6">
        <f>IF(ISERROR(VLOOKUP(#REF!,'WIP(재공품)'!$B$12:$AB$38,10,0)),0,VLOOKUP(#REF!,'WIP(재공품)'!$B$12:$AB$38,10,0))</f>
        <v>0</v>
      </c>
      <c r="T197" s="6">
        <f>SUMIF('JUNE (물량흐름)'!$C$13:$C$502,'Overhead exp(제조경비)'!C197,'JUNE (물량흐름)'!$Y$13:$Y$502)</f>
        <v>0</v>
      </c>
      <c r="U197" s="6">
        <f t="shared" si="39"/>
        <v>0</v>
      </c>
      <c r="V197" s="6">
        <f>ROUND(SUMIF('JUNE (물량흐름)'!$C$13:$C$502,'Overhead exp(제조경비)'!C197,'JUNE (물량흐름)'!$N$13:$N$502),0)</f>
        <v>0</v>
      </c>
      <c r="W197" s="6">
        <f>ROUND(SUMIF('JUNE (물량흐름)'!$C$13:$C$502,'Overhead exp(제조경비)'!C197,'JUNE (물량흐름)'!$O$13:$O$502),0)</f>
        <v>0</v>
      </c>
      <c r="X197" s="6">
        <f>ROUND(SUMIF('JUNE (물량흐름)'!$C$13:$C$502,'Overhead exp(제조경비)'!C197,'JUNE (물량흐름)'!$P$13:$P$502),0)</f>
        <v>0</v>
      </c>
      <c r="Y197" s="6">
        <f t="shared" si="40"/>
        <v>0</v>
      </c>
      <c r="Z197" s="6">
        <f t="shared" si="41"/>
        <v>0</v>
      </c>
      <c r="AA197" s="6">
        <f t="shared" si="45"/>
        <v>0</v>
      </c>
      <c r="AB197" s="391">
        <f t="shared" si="42"/>
        <v>0</v>
      </c>
      <c r="AC197" s="391">
        <f t="shared" si="43"/>
        <v>0</v>
      </c>
    </row>
    <row r="198" spans="1:29" s="390" customFormat="1" ht="24" customHeight="1">
      <c r="A198" s="167">
        <v>188</v>
      </c>
      <c r="B198" s="20" t="str">
        <f>IFERROR(VLOOKUP(A198,'JUNE (물량흐름)'!$A$13:$C$502,2,0),0)</f>
        <v>ANN TAYLOR</v>
      </c>
      <c r="C198" s="272">
        <f>VLOOKUP(A198,'JUNE (물량흐름)'!$A$13:$C$502,3,0)</f>
        <v>453616</v>
      </c>
      <c r="D198" s="6">
        <f>VLOOKUP(C198,'WIP(재공품)'!$B$12:$E$493,4,0)</f>
        <v>7936.2499999999991</v>
      </c>
      <c r="E198" s="6">
        <f>IFERROR(VLOOKUP(C198,O.B.JUNE!$AI$7:$AJ$448,2,0),0)</f>
        <v>0</v>
      </c>
      <c r="F198" s="6">
        <f>IFERROR(VLOOKUP(C198,O.B.JUNE!$AI$7:$AK$448,3,0),0)</f>
        <v>219</v>
      </c>
      <c r="G198" s="6">
        <f>IFERROR(VLOOKUP(C198,O.B.JUNE!$AI$7:$AL$448,4,0),0)</f>
        <v>93</v>
      </c>
      <c r="H198" s="6">
        <f t="shared" si="36"/>
        <v>312</v>
      </c>
      <c r="I198" s="6">
        <f>IFERROR(VLOOKUP(C198,O.B.JUNE!$AI$7:$AN$448,6,0),0)</f>
        <v>184</v>
      </c>
      <c r="J198" s="6"/>
      <c r="K198" s="6">
        <f>IFERROR(VLOOKUP(C198,O.B.JUNE!$AI$7:$AO$448,7,0),0)</f>
        <v>3357892</v>
      </c>
      <c r="L198" s="6">
        <f>SUMIF('JUNE (물량흐름)'!$C$13:$C$488,'Overhead exp(제조경비)'!C198,'JUNE (물량흐름)'!$H$13:$H$493)+SUMIF('JUNE (물량흐름)'!$C$13:$C$493,'Overhead exp(제조경비)'!C198,'JUNE (물량흐름)'!$V$13:$V$493)</f>
        <v>0</v>
      </c>
      <c r="M198" s="6">
        <f t="shared" si="37"/>
        <v>0</v>
      </c>
      <c r="N198" s="6">
        <f t="shared" si="38"/>
        <v>0</v>
      </c>
      <c r="O198" s="6">
        <f t="shared" si="53"/>
        <v>0</v>
      </c>
      <c r="P198" s="6">
        <f>SUMIF('JUNE (물량흐름)'!$C$13:$C$502,C198,'JUNE (물량흐름)'!$T$13:$T$502)+SUMIF('JUNE (물량흐름)'!$C$13:$C$502,C198,'JUNE (물량흐름)'!$V$13:$V$502)+SUMIF('JUNE (물량흐름)'!$C$13:$C$502,C198,'JUNE (물량흐름)'!$U$13:$U$502)-SUMIF('JUNE (물량흐름)'!$C$13:$C$502,C198,'JUNE (물량흐름)'!$Y$13:$Y$502)</f>
        <v>312</v>
      </c>
      <c r="Q198" s="6">
        <f t="shared" si="44"/>
        <v>3357892</v>
      </c>
      <c r="R198" s="6">
        <f>IF(ISERROR(VLOOKUP(#REF!,'WIP(재공품)'!$B$12:$AB$38,13,0)),0,VLOOKUP(#REF!,'WIP(재공품)'!$B$12:$AB$38,13,0))</f>
        <v>0</v>
      </c>
      <c r="S198" s="6">
        <f>IF(ISERROR(VLOOKUP(#REF!,'WIP(재공품)'!$B$12:$AB$38,10,0)),0,VLOOKUP(#REF!,'WIP(재공품)'!$B$12:$AB$38,10,0))</f>
        <v>0</v>
      </c>
      <c r="T198" s="6">
        <f>SUMIF('JUNE (물량흐름)'!$C$13:$C$502,'Overhead exp(제조경비)'!C198,'JUNE (물량흐름)'!$Y$13:$Y$502)</f>
        <v>0</v>
      </c>
      <c r="U198" s="6">
        <f t="shared" si="39"/>
        <v>0</v>
      </c>
      <c r="V198" s="6">
        <f>ROUND(SUMIF('JUNE (물량흐름)'!$C$13:$C$502,'Overhead exp(제조경비)'!C198,'JUNE (물량흐름)'!$N$13:$N$502),0)</f>
        <v>0</v>
      </c>
      <c r="W198" s="6">
        <f>ROUND(SUMIF('JUNE (물량흐름)'!$C$13:$C$502,'Overhead exp(제조경비)'!C198,'JUNE (물량흐름)'!$O$13:$O$502),0)</f>
        <v>0</v>
      </c>
      <c r="X198" s="6">
        <f>ROUND(SUMIF('JUNE (물량흐름)'!$C$13:$C$502,'Overhead exp(제조경비)'!C198,'JUNE (물량흐름)'!$P$13:$P$502),0)</f>
        <v>0</v>
      </c>
      <c r="Y198" s="6">
        <f t="shared" si="40"/>
        <v>0</v>
      </c>
      <c r="Z198" s="6">
        <f t="shared" si="41"/>
        <v>0</v>
      </c>
      <c r="AA198" s="6">
        <f t="shared" si="45"/>
        <v>0</v>
      </c>
      <c r="AB198" s="391">
        <f t="shared" si="42"/>
        <v>0</v>
      </c>
      <c r="AC198" s="391">
        <f t="shared" si="43"/>
        <v>0</v>
      </c>
    </row>
    <row r="199" spans="1:29" s="390" customFormat="1" ht="24" customHeight="1">
      <c r="A199" s="167">
        <v>189</v>
      </c>
      <c r="B199" s="20" t="str">
        <f>IFERROR(VLOOKUP(A199,'JUNE (물량흐름)'!$A$13:$C$502,2,0),0)</f>
        <v>ANN TAYLOR</v>
      </c>
      <c r="C199" s="272">
        <f>VLOOKUP(A199,'JUNE (물량흐름)'!$A$13:$C$502,3,0)</f>
        <v>453707</v>
      </c>
      <c r="D199" s="6">
        <f>VLOOKUP(C199,'WIP(재공품)'!$B$12:$E$493,4,0)</f>
        <v>7936.2499999999991</v>
      </c>
      <c r="E199" s="6">
        <f>IFERROR(VLOOKUP(C199,O.B.JUNE!$AI$7:$AJ$448,2,0),0)</f>
        <v>0</v>
      </c>
      <c r="F199" s="6">
        <f>IFERROR(VLOOKUP(C199,O.B.JUNE!$AI$7:$AK$448,3,0),0)</f>
        <v>0</v>
      </c>
      <c r="G199" s="6">
        <f>IFERROR(VLOOKUP(C199,O.B.JUNE!$AI$7:$AL$448,4,0),0)</f>
        <v>343</v>
      </c>
      <c r="H199" s="6">
        <f t="shared" si="36"/>
        <v>343</v>
      </c>
      <c r="I199" s="6">
        <f>IFERROR(VLOOKUP(C199,O.B.JUNE!$AI$7:$AN$448,6,0),0)</f>
        <v>274</v>
      </c>
      <c r="J199" s="6"/>
      <c r="K199" s="6">
        <f>IFERROR(VLOOKUP(C199,O.B.JUNE!$AI$7:$AO$448,7,0),0)</f>
        <v>3095941</v>
      </c>
      <c r="L199" s="6">
        <f>SUMIF('JUNE (물량흐름)'!$C$13:$C$488,'Overhead exp(제조경비)'!C199,'JUNE (물량흐름)'!$H$13:$H$493)+SUMIF('JUNE (물량흐름)'!$C$13:$C$493,'Overhead exp(제조경비)'!C199,'JUNE (물량흐름)'!$V$13:$V$493)</f>
        <v>0</v>
      </c>
      <c r="M199" s="6">
        <f t="shared" si="37"/>
        <v>0</v>
      </c>
      <c r="N199" s="6">
        <f t="shared" si="38"/>
        <v>0</v>
      </c>
      <c r="O199" s="6">
        <f t="shared" si="53"/>
        <v>0</v>
      </c>
      <c r="P199" s="6">
        <f>SUMIF('JUNE (물량흐름)'!$C$13:$C$502,C199,'JUNE (물량흐름)'!$T$13:$T$502)+SUMIF('JUNE (물량흐름)'!$C$13:$C$502,C199,'JUNE (물량흐름)'!$V$13:$V$502)+SUMIF('JUNE (물량흐름)'!$C$13:$C$502,C199,'JUNE (물량흐름)'!$U$13:$U$502)-SUMIF('JUNE (물량흐름)'!$C$13:$C$502,C199,'JUNE (물량흐름)'!$Y$13:$Y$502)</f>
        <v>343</v>
      </c>
      <c r="Q199" s="6">
        <f t="shared" si="44"/>
        <v>3095941</v>
      </c>
      <c r="R199" s="6">
        <f>IF(ISERROR(VLOOKUP(#REF!,'WIP(재공품)'!$B$12:$AB$38,13,0)),0,VLOOKUP(#REF!,'WIP(재공품)'!$B$12:$AB$38,13,0))</f>
        <v>0</v>
      </c>
      <c r="S199" s="6">
        <f>IF(ISERROR(VLOOKUP(#REF!,'WIP(재공품)'!$B$12:$AB$38,10,0)),0,VLOOKUP(#REF!,'WIP(재공품)'!$B$12:$AB$38,10,0))</f>
        <v>0</v>
      </c>
      <c r="T199" s="6">
        <f>SUMIF('JUNE (물량흐름)'!$C$13:$C$502,'Overhead exp(제조경비)'!C199,'JUNE (물량흐름)'!$Y$13:$Y$502)</f>
        <v>0</v>
      </c>
      <c r="U199" s="6">
        <f t="shared" si="39"/>
        <v>0</v>
      </c>
      <c r="V199" s="6">
        <f>ROUND(SUMIF('JUNE (물량흐름)'!$C$13:$C$502,'Overhead exp(제조경비)'!C199,'JUNE (물량흐름)'!$N$13:$N$502),0)</f>
        <v>0</v>
      </c>
      <c r="W199" s="6">
        <f>ROUND(SUMIF('JUNE (물량흐름)'!$C$13:$C$502,'Overhead exp(제조경비)'!C199,'JUNE (물량흐름)'!$O$13:$O$502),0)</f>
        <v>0</v>
      </c>
      <c r="X199" s="6">
        <f>ROUND(SUMIF('JUNE (물량흐름)'!$C$13:$C$502,'Overhead exp(제조경비)'!C199,'JUNE (물량흐름)'!$P$13:$P$502),0)</f>
        <v>0</v>
      </c>
      <c r="Y199" s="167">
        <f t="shared" ref="Y199:Y203" si="55">ROUND(SUM(V199:X199),0)</f>
        <v>0</v>
      </c>
      <c r="Z199" s="167">
        <f t="shared" si="41"/>
        <v>0</v>
      </c>
      <c r="AA199" s="6">
        <f t="shared" si="45"/>
        <v>0</v>
      </c>
      <c r="AB199" s="391">
        <f t="shared" si="42"/>
        <v>0</v>
      </c>
      <c r="AC199" s="391">
        <f t="shared" si="43"/>
        <v>0</v>
      </c>
    </row>
    <row r="200" spans="1:29" s="390" customFormat="1" ht="24" customHeight="1">
      <c r="A200" s="167">
        <v>190</v>
      </c>
      <c r="B200" s="20" t="str">
        <f>IFERROR(VLOOKUP(A200,'JUNE (물량흐름)'!$A$13:$C$502,2,0),0)</f>
        <v>ANN TAYLOR</v>
      </c>
      <c r="C200" s="272">
        <f>VLOOKUP(A200,'JUNE (물량흐름)'!$A$13:$C$502,3,0)</f>
        <v>454208</v>
      </c>
      <c r="D200" s="6">
        <f>VLOOKUP(C200,'WIP(재공품)'!$B$12:$E$493,4,0)</f>
        <v>7936.2499999999991</v>
      </c>
      <c r="E200" s="6">
        <f>IFERROR(VLOOKUP(C200,O.B.JUNE!$AI$7:$AJ$448,2,0),0)</f>
        <v>7</v>
      </c>
      <c r="F200" s="6">
        <f>IFERROR(VLOOKUP(C200,O.B.JUNE!$AI$7:$AK$448,3,0),0)</f>
        <v>1522</v>
      </c>
      <c r="G200" s="6">
        <f>IFERROR(VLOOKUP(C200,O.B.JUNE!$AI$7:$AL$448,4,0),0)</f>
        <v>1527</v>
      </c>
      <c r="H200" s="6">
        <f t="shared" si="36"/>
        <v>3056</v>
      </c>
      <c r="I200" s="6">
        <f>IFERROR(VLOOKUP(C200,O.B.JUNE!$AI$7:$AN$448,6,0),0)</f>
        <v>1984</v>
      </c>
      <c r="J200" s="6"/>
      <c r="K200" s="6">
        <f>IFERROR(VLOOKUP(C200,O.B.JUNE!$AI$7:$AO$448,7,0),0)</f>
        <v>37227014</v>
      </c>
      <c r="L200" s="6">
        <f>SUMIF('JUNE (물량흐름)'!$C$13:$C$488,'Overhead exp(제조경비)'!C200,'JUNE (물량흐름)'!$H$13:$H$493)+SUMIF('JUNE (물량흐름)'!$C$13:$C$493,'Overhead exp(제조경비)'!C200,'JUNE (물량흐름)'!$V$13:$V$493)</f>
        <v>0</v>
      </c>
      <c r="M200" s="6">
        <f t="shared" si="37"/>
        <v>0</v>
      </c>
      <c r="N200" s="6">
        <f t="shared" si="38"/>
        <v>0</v>
      </c>
      <c r="O200" s="6">
        <f t="shared" si="53"/>
        <v>0</v>
      </c>
      <c r="P200" s="6">
        <f>SUMIF('JUNE (물량흐름)'!$C$13:$C$502,C200,'JUNE (물량흐름)'!$T$13:$T$502)+SUMIF('JUNE (물량흐름)'!$C$13:$C$502,C200,'JUNE (물량흐름)'!$V$13:$V$502)+SUMIF('JUNE (물량흐름)'!$C$13:$C$502,C200,'JUNE (물량흐름)'!$U$13:$U$502)-SUMIF('JUNE (물량흐름)'!$C$13:$C$502,C200,'JUNE (물량흐름)'!$Y$13:$Y$502)</f>
        <v>3056</v>
      </c>
      <c r="Q200" s="6">
        <f t="shared" si="44"/>
        <v>37227014</v>
      </c>
      <c r="R200" s="6">
        <f>IF(ISERROR(VLOOKUP(#REF!,'WIP(재공품)'!$B$12:$AB$38,13,0)),0,VLOOKUP(#REF!,'WIP(재공품)'!$B$12:$AB$38,13,0))</f>
        <v>0</v>
      </c>
      <c r="S200" s="6">
        <f>IF(ISERROR(VLOOKUP(#REF!,'WIP(재공품)'!$B$12:$AB$38,10,0)),0,VLOOKUP(#REF!,'WIP(재공품)'!$B$12:$AB$38,10,0))</f>
        <v>0</v>
      </c>
      <c r="T200" s="6">
        <f>SUMIF('JUNE (물량흐름)'!$C$13:$C$502,'Overhead exp(제조경비)'!C200,'JUNE (물량흐름)'!$Y$13:$Y$502)</f>
        <v>0</v>
      </c>
      <c r="U200" s="6">
        <f t="shared" si="39"/>
        <v>0</v>
      </c>
      <c r="V200" s="6">
        <f>ROUND(SUMIF('JUNE (물량흐름)'!$C$13:$C$502,'Overhead exp(제조경비)'!C200,'JUNE (물량흐름)'!$N$13:$N$502),0)</f>
        <v>0</v>
      </c>
      <c r="W200" s="6">
        <f>ROUND(SUMIF('JUNE (물량흐름)'!$C$13:$C$502,'Overhead exp(제조경비)'!C200,'JUNE (물량흐름)'!$O$13:$O$502),0)</f>
        <v>0</v>
      </c>
      <c r="X200" s="6">
        <f>ROUND(SUMIF('JUNE (물량흐름)'!$C$13:$C$502,'Overhead exp(제조경비)'!C200,'JUNE (물량흐름)'!$P$13:$P$502),0)</f>
        <v>0</v>
      </c>
      <c r="Y200" s="167">
        <f t="shared" si="55"/>
        <v>0</v>
      </c>
      <c r="Z200" s="167">
        <f t="shared" si="41"/>
        <v>0</v>
      </c>
      <c r="AA200" s="6">
        <f t="shared" si="45"/>
        <v>0</v>
      </c>
      <c r="AB200" s="391">
        <f t="shared" si="42"/>
        <v>0</v>
      </c>
      <c r="AC200" s="391">
        <f t="shared" si="43"/>
        <v>0</v>
      </c>
    </row>
    <row r="201" spans="1:29" s="390" customFormat="1" ht="24" customHeight="1">
      <c r="A201" s="167">
        <v>191</v>
      </c>
      <c r="B201" s="20" t="str">
        <f>IFERROR(VLOOKUP(A201,'JUNE (물량흐름)'!$A$13:$C$502,2,0),0)</f>
        <v>ANN TAYLOR</v>
      </c>
      <c r="C201" s="272">
        <f>VLOOKUP(A201,'JUNE (물량흐름)'!$A$13:$C$502,3,0)</f>
        <v>455769</v>
      </c>
      <c r="D201" s="6">
        <f>VLOOKUP(C201,'WIP(재공품)'!$B$12:$E$493,4,0)</f>
        <v>7936.2499999999991</v>
      </c>
      <c r="E201" s="6">
        <f>IFERROR(VLOOKUP(C201,O.B.JUNE!$AI$7:$AJ$448,2,0),0)</f>
        <v>0</v>
      </c>
      <c r="F201" s="6">
        <f>IFERROR(VLOOKUP(C201,O.B.JUNE!$AI$7:$AK$448,3,0),0)</f>
        <v>48</v>
      </c>
      <c r="G201" s="6">
        <f>IFERROR(VLOOKUP(C201,O.B.JUNE!$AI$7:$AL$448,4,0),0)</f>
        <v>66</v>
      </c>
      <c r="H201" s="6">
        <f t="shared" si="36"/>
        <v>114</v>
      </c>
      <c r="I201" s="6">
        <f>IFERROR(VLOOKUP(C201,O.B.JUNE!$AI$7:$AN$448,6,0),0)</f>
        <v>77</v>
      </c>
      <c r="J201" s="6"/>
      <c r="K201" s="6">
        <f>IFERROR(VLOOKUP(C201,O.B.JUNE!$AI$7:$AO$448,7,0),0)</f>
        <v>1520722</v>
      </c>
      <c r="L201" s="6">
        <f>SUMIF('JUNE (물량흐름)'!$C$13:$C$488,'Overhead exp(제조경비)'!C201,'JUNE (물량흐름)'!$H$13:$H$493)+SUMIF('JUNE (물량흐름)'!$C$13:$C$493,'Overhead exp(제조경비)'!C201,'JUNE (물량흐름)'!$V$13:$V$493)</f>
        <v>0</v>
      </c>
      <c r="M201" s="6">
        <f t="shared" si="37"/>
        <v>0</v>
      </c>
      <c r="N201" s="6">
        <f t="shared" si="38"/>
        <v>0</v>
      </c>
      <c r="O201" s="6">
        <f t="shared" si="53"/>
        <v>0</v>
      </c>
      <c r="P201" s="6">
        <f>SUMIF('JUNE (물량흐름)'!$C$13:$C$502,C201,'JUNE (물량흐름)'!$T$13:$T$502)+SUMIF('JUNE (물량흐름)'!$C$13:$C$502,C201,'JUNE (물량흐름)'!$V$13:$V$502)+SUMIF('JUNE (물량흐름)'!$C$13:$C$502,C201,'JUNE (물량흐름)'!$U$13:$U$502)-SUMIF('JUNE (물량흐름)'!$C$13:$C$502,C201,'JUNE (물량흐름)'!$Y$13:$Y$502)</f>
        <v>114</v>
      </c>
      <c r="Q201" s="6">
        <f t="shared" si="44"/>
        <v>1520722</v>
      </c>
      <c r="R201" s="6">
        <f>IF(ISERROR(VLOOKUP(#REF!,'WIP(재공품)'!$B$12:$AB$38,13,0)),0,VLOOKUP(#REF!,'WIP(재공품)'!$B$12:$AB$38,13,0))</f>
        <v>0</v>
      </c>
      <c r="S201" s="6">
        <f>IF(ISERROR(VLOOKUP(#REF!,'WIP(재공품)'!$B$12:$AB$38,10,0)),0,VLOOKUP(#REF!,'WIP(재공품)'!$B$12:$AB$38,10,0))</f>
        <v>0</v>
      </c>
      <c r="T201" s="6">
        <f>SUMIF('JUNE (물량흐름)'!$C$13:$C$502,'Overhead exp(제조경비)'!C201,'JUNE (물량흐름)'!$Y$13:$Y$502)</f>
        <v>0</v>
      </c>
      <c r="U201" s="6">
        <f t="shared" si="39"/>
        <v>0</v>
      </c>
      <c r="V201" s="6">
        <f>ROUND(SUMIF('JUNE (물량흐름)'!$C$13:$C$502,'Overhead exp(제조경비)'!C201,'JUNE (물량흐름)'!$N$13:$N$502),0)</f>
        <v>0</v>
      </c>
      <c r="W201" s="6">
        <f>ROUND(SUMIF('JUNE (물량흐름)'!$C$13:$C$502,'Overhead exp(제조경비)'!C201,'JUNE (물량흐름)'!$O$13:$O$502),0)</f>
        <v>0</v>
      </c>
      <c r="X201" s="6">
        <f>ROUND(SUMIF('JUNE (물량흐름)'!$C$13:$C$502,'Overhead exp(제조경비)'!C201,'JUNE (물량흐름)'!$P$13:$P$502),0)</f>
        <v>0</v>
      </c>
      <c r="Y201" s="167">
        <f t="shared" si="55"/>
        <v>0</v>
      </c>
      <c r="Z201" s="167">
        <f t="shared" si="41"/>
        <v>0</v>
      </c>
      <c r="AA201" s="6">
        <f t="shared" si="45"/>
        <v>0</v>
      </c>
      <c r="AB201" s="391">
        <f t="shared" si="42"/>
        <v>0</v>
      </c>
      <c r="AC201" s="391">
        <f t="shared" si="43"/>
        <v>0</v>
      </c>
    </row>
    <row r="202" spans="1:29" s="390" customFormat="1" ht="24" customHeight="1">
      <c r="A202" s="167">
        <v>192</v>
      </c>
      <c r="B202" s="20" t="str">
        <f>IFERROR(VLOOKUP(A202,'JUNE (물량흐름)'!$A$13:$C$502,2,0),0)</f>
        <v>ANN TAYLOR</v>
      </c>
      <c r="C202" s="272">
        <f>VLOOKUP(A202,'JUNE (물량흐름)'!$A$13:$C$502,3,0)</f>
        <v>455770</v>
      </c>
      <c r="D202" s="6">
        <f>VLOOKUP(C202,'WIP(재공품)'!$B$12:$E$493,4,0)</f>
        <v>7936.2499999999991</v>
      </c>
      <c r="E202" s="6">
        <f>IFERROR(VLOOKUP(C202,O.B.JUNE!$AI$7:$AJ$448,2,0),0)</f>
        <v>0</v>
      </c>
      <c r="F202" s="6">
        <f>IFERROR(VLOOKUP(C202,O.B.JUNE!$AI$7:$AK$448,3,0),0)</f>
        <v>92</v>
      </c>
      <c r="G202" s="6">
        <f>IFERROR(VLOOKUP(C202,O.B.JUNE!$AI$7:$AL$448,4,0),0)</f>
        <v>109</v>
      </c>
      <c r="H202" s="6">
        <f t="shared" si="36"/>
        <v>201</v>
      </c>
      <c r="I202" s="6">
        <f>IFERROR(VLOOKUP(C202,O.B.JUNE!$AI$7:$AN$448,6,0),0)</f>
        <v>133</v>
      </c>
      <c r="J202" s="6"/>
      <c r="K202" s="6">
        <f>IFERROR(VLOOKUP(C202,O.B.JUNE!$AI$7:$AO$448,7,0),0)</f>
        <v>2549674</v>
      </c>
      <c r="L202" s="6">
        <f>SUMIF('JUNE (물량흐름)'!$C$13:$C$488,'Overhead exp(제조경비)'!C202,'JUNE (물량흐름)'!$H$13:$H$493)+SUMIF('JUNE (물량흐름)'!$C$13:$C$493,'Overhead exp(제조경비)'!C202,'JUNE (물량흐름)'!$V$13:$V$493)</f>
        <v>0</v>
      </c>
      <c r="M202" s="6">
        <f t="shared" si="37"/>
        <v>0</v>
      </c>
      <c r="N202" s="6">
        <f t="shared" si="38"/>
        <v>0</v>
      </c>
      <c r="O202" s="6">
        <f t="shared" si="53"/>
        <v>0</v>
      </c>
      <c r="P202" s="6">
        <f>SUMIF('JUNE (물량흐름)'!$C$13:$C$502,C202,'JUNE (물량흐름)'!$T$13:$T$502)+SUMIF('JUNE (물량흐름)'!$C$13:$C$502,C202,'JUNE (물량흐름)'!$V$13:$V$502)+SUMIF('JUNE (물량흐름)'!$C$13:$C$502,C202,'JUNE (물량흐름)'!$U$13:$U$502)-SUMIF('JUNE (물량흐름)'!$C$13:$C$502,C202,'JUNE (물량흐름)'!$Y$13:$Y$502)</f>
        <v>201</v>
      </c>
      <c r="Q202" s="6">
        <f t="shared" si="44"/>
        <v>2549674</v>
      </c>
      <c r="R202" s="6">
        <f>IF(ISERROR(VLOOKUP(#REF!,'WIP(재공품)'!$B$12:$AB$38,13,0)),0,VLOOKUP(#REF!,'WIP(재공품)'!$B$12:$AB$38,13,0))</f>
        <v>0</v>
      </c>
      <c r="S202" s="6">
        <f>IF(ISERROR(VLOOKUP(#REF!,'WIP(재공품)'!$B$12:$AB$38,10,0)),0,VLOOKUP(#REF!,'WIP(재공품)'!$B$12:$AB$38,10,0))</f>
        <v>0</v>
      </c>
      <c r="T202" s="6">
        <f>SUMIF('JUNE (물량흐름)'!$C$13:$C$502,'Overhead exp(제조경비)'!C202,'JUNE (물량흐름)'!$Y$13:$Y$502)</f>
        <v>0</v>
      </c>
      <c r="U202" s="6">
        <f t="shared" si="39"/>
        <v>0</v>
      </c>
      <c r="V202" s="6">
        <f>ROUND(SUMIF('JUNE (물량흐름)'!$C$13:$C$502,'Overhead exp(제조경비)'!C202,'JUNE (물량흐름)'!$N$13:$N$502),0)</f>
        <v>0</v>
      </c>
      <c r="W202" s="6">
        <f>ROUND(SUMIF('JUNE (물량흐름)'!$C$13:$C$502,'Overhead exp(제조경비)'!C202,'JUNE (물량흐름)'!$O$13:$O$502),0)</f>
        <v>0</v>
      </c>
      <c r="X202" s="6">
        <f>ROUND(SUMIF('JUNE (물량흐름)'!$C$13:$C$502,'Overhead exp(제조경비)'!C202,'JUNE (물량흐름)'!$P$13:$P$502),0)</f>
        <v>0</v>
      </c>
      <c r="Y202" s="167">
        <f t="shared" si="55"/>
        <v>0</v>
      </c>
      <c r="Z202" s="167">
        <f t="shared" si="41"/>
        <v>0</v>
      </c>
      <c r="AA202" s="6">
        <f t="shared" si="45"/>
        <v>0</v>
      </c>
      <c r="AB202" s="391">
        <f t="shared" si="42"/>
        <v>0</v>
      </c>
      <c r="AC202" s="391">
        <f t="shared" si="43"/>
        <v>0</v>
      </c>
    </row>
    <row r="203" spans="1:29" s="390" customFormat="1" ht="24" customHeight="1">
      <c r="A203" s="167">
        <v>193</v>
      </c>
      <c r="B203" s="20" t="str">
        <f>IFERROR(VLOOKUP(A203,'JUNE (물량흐름)'!$A$13:$C$502,2,0),0)</f>
        <v>ANN TAYLOR</v>
      </c>
      <c r="C203" s="272">
        <f>VLOOKUP(A203,'JUNE (물량흐름)'!$A$13:$C$502,3,0)</f>
        <v>456858</v>
      </c>
      <c r="D203" s="6">
        <f>VLOOKUP(C203,'WIP(재공품)'!$B$12:$E$493,4,0)</f>
        <v>7936.2499999999991</v>
      </c>
      <c r="E203" s="6">
        <f>IFERROR(VLOOKUP(C203,O.B.JUNE!$AI$7:$AJ$448,2,0),0)</f>
        <v>0</v>
      </c>
      <c r="F203" s="6">
        <f>IFERROR(VLOOKUP(C203,O.B.JUNE!$AI$7:$AK$448,3,0),0)</f>
        <v>0</v>
      </c>
      <c r="G203" s="6">
        <f>IFERROR(VLOOKUP(C203,O.B.JUNE!$AI$7:$AL$448,4,0),0)</f>
        <v>450</v>
      </c>
      <c r="H203" s="6">
        <f t="shared" si="36"/>
        <v>450</v>
      </c>
      <c r="I203" s="6">
        <f>IFERROR(VLOOKUP(C203,O.B.JUNE!$AI$7:$AN$448,6,0),0)</f>
        <v>360</v>
      </c>
      <c r="J203" s="6"/>
      <c r="K203" s="6">
        <f>IFERROR(VLOOKUP(C203,O.B.JUNE!$AI$7:$AO$448,7,0),0)</f>
        <v>3551827</v>
      </c>
      <c r="L203" s="6">
        <f>SUMIF('JUNE (물량흐름)'!$C$13:$C$488,'Overhead exp(제조경비)'!C203,'JUNE (물량흐름)'!$H$13:$H$493)+SUMIF('JUNE (물량흐름)'!$C$13:$C$493,'Overhead exp(제조경비)'!C203,'JUNE (물량흐름)'!$V$13:$V$493)</f>
        <v>0</v>
      </c>
      <c r="M203" s="6">
        <f t="shared" si="37"/>
        <v>0</v>
      </c>
      <c r="N203" s="6">
        <f t="shared" si="38"/>
        <v>0</v>
      </c>
      <c r="O203" s="6">
        <f t="shared" si="53"/>
        <v>0</v>
      </c>
      <c r="P203" s="6">
        <f>SUMIF('JUNE (물량흐름)'!$C$13:$C$502,C203,'JUNE (물량흐름)'!$T$13:$T$502)+SUMIF('JUNE (물량흐름)'!$C$13:$C$502,C203,'JUNE (물량흐름)'!$V$13:$V$502)+SUMIF('JUNE (물량흐름)'!$C$13:$C$502,C203,'JUNE (물량흐름)'!$U$13:$U$502)-SUMIF('JUNE (물량흐름)'!$C$13:$C$502,C203,'JUNE (물량흐름)'!$Y$13:$Y$502)</f>
        <v>0</v>
      </c>
      <c r="Q203" s="6">
        <f t="shared" si="44"/>
        <v>0</v>
      </c>
      <c r="R203" s="6">
        <f>IF(ISERROR(VLOOKUP(#REF!,'WIP(재공품)'!$B$12:$AB$38,13,0)),0,VLOOKUP(#REF!,'WIP(재공품)'!$B$12:$AB$38,13,0))</f>
        <v>0</v>
      </c>
      <c r="S203" s="6">
        <f>IF(ISERROR(VLOOKUP(#REF!,'WIP(재공품)'!$B$12:$AB$38,10,0)),0,VLOOKUP(#REF!,'WIP(재공품)'!$B$12:$AB$38,10,0))</f>
        <v>0</v>
      </c>
      <c r="T203" s="6">
        <f>SUMIF('JUNE (물량흐름)'!$C$13:$C$502,'Overhead exp(제조경비)'!C203,'JUNE (물량흐름)'!$Y$13:$Y$502)</f>
        <v>0</v>
      </c>
      <c r="U203" s="6">
        <f t="shared" si="39"/>
        <v>0</v>
      </c>
      <c r="V203" s="6">
        <f>ROUND(SUMIF('JUNE (물량흐름)'!$C$13:$C$502,'Overhead exp(제조경비)'!C203,'JUNE (물량흐름)'!$N$13:$N$502),0)</f>
        <v>0</v>
      </c>
      <c r="W203" s="6">
        <f>ROUND(SUMIF('JUNE (물량흐름)'!$C$13:$C$502,'Overhead exp(제조경비)'!C203,'JUNE (물량흐름)'!$O$13:$O$502),0)</f>
        <v>0</v>
      </c>
      <c r="X203" s="6">
        <f>ROUND(SUMIF('JUNE (물량흐름)'!$C$13:$C$502,'Overhead exp(제조경비)'!C203,'JUNE (물량흐름)'!$P$13:$P$502),0)</f>
        <v>450</v>
      </c>
      <c r="Y203" s="167">
        <f t="shared" si="55"/>
        <v>450</v>
      </c>
      <c r="Z203" s="167">
        <f t="shared" si="41"/>
        <v>360</v>
      </c>
      <c r="AA203" s="6">
        <f t="shared" si="45"/>
        <v>3551827</v>
      </c>
      <c r="AB203" s="391">
        <f t="shared" si="42"/>
        <v>0</v>
      </c>
      <c r="AC203" s="391">
        <f t="shared" si="43"/>
        <v>0</v>
      </c>
    </row>
    <row r="204" spans="1:29" s="390" customFormat="1" ht="24" customHeight="1">
      <c r="A204" s="167">
        <v>194</v>
      </c>
      <c r="B204" s="20" t="str">
        <f>IFERROR(VLOOKUP(A204,'JUNE (물량흐름)'!$A$13:$C$502,2,0),0)</f>
        <v>ANN TAYLOR</v>
      </c>
      <c r="C204" s="272">
        <f>VLOOKUP(A204,'JUNE (물량흐름)'!$A$13:$C$502,3,0)</f>
        <v>465443</v>
      </c>
      <c r="D204" s="6">
        <f>VLOOKUP(C204,'WIP(재공품)'!$B$12:$E$493,4,0)</f>
        <v>7936.2499999999991</v>
      </c>
      <c r="E204" s="6">
        <f>IFERROR(VLOOKUP(C204,O.B.JUNE!$AI$7:$AJ$448,2,0),0)</f>
        <v>0</v>
      </c>
      <c r="F204" s="6">
        <f>IFERROR(VLOOKUP(C204,O.B.JUNE!$AI$7:$AK$448,3,0),0)</f>
        <v>0</v>
      </c>
      <c r="G204" s="6">
        <f>IFERROR(VLOOKUP(C204,O.B.JUNE!$AI$7:$AL$448,4,0),0)</f>
        <v>42</v>
      </c>
      <c r="H204" s="6">
        <f t="shared" ref="H204:H267" si="56">+E204+F204+G204</f>
        <v>42</v>
      </c>
      <c r="I204" s="6">
        <f>IFERROR(VLOOKUP(C204,O.B.JUNE!$AI$7:$AN$448,6,0),0)</f>
        <v>34</v>
      </c>
      <c r="J204" s="6"/>
      <c r="K204" s="6">
        <f>IFERROR(VLOOKUP(C204,O.B.JUNE!$AI$7:$AO$448,7,0),0)</f>
        <v>624632</v>
      </c>
      <c r="L204" s="6">
        <f>SUMIF('JUNE (물량흐름)'!$C$13:$C$488,'Overhead exp(제조경비)'!C204,'JUNE (물량흐름)'!$H$13:$H$493)+SUMIF('JUNE (물량흐름)'!$C$13:$C$493,'Overhead exp(제조경비)'!C204,'JUNE (물량흐름)'!$V$13:$V$493)</f>
        <v>0</v>
      </c>
      <c r="M204" s="6">
        <f t="shared" ref="M204:M267" si="57">IF(OR(L204&lt;=0,P204+T204+R204+Z204-I204&lt;0),0,ROUND(P204+T204+R204+Z204-I204,0))</f>
        <v>0</v>
      </c>
      <c r="N204" s="6">
        <f t="shared" ref="N204:N267" si="58">ROUND(M204*D204,0)</f>
        <v>0</v>
      </c>
      <c r="O204" s="6">
        <f t="shared" si="53"/>
        <v>0</v>
      </c>
      <c r="P204" s="6">
        <f>SUMIF('JUNE (물량흐름)'!$C$13:$C$502,C204,'JUNE (물량흐름)'!$T$13:$T$502)+SUMIF('JUNE (물량흐름)'!$C$13:$C$502,C204,'JUNE (물량흐름)'!$V$13:$V$502)+SUMIF('JUNE (물량흐름)'!$C$13:$C$502,C204,'JUNE (물량흐름)'!$U$13:$U$502)-SUMIF('JUNE (물량흐름)'!$C$13:$C$502,C204,'JUNE (물량흐름)'!$Y$13:$Y$502)</f>
        <v>0</v>
      </c>
      <c r="Q204" s="6">
        <f t="shared" si="44"/>
        <v>0</v>
      </c>
      <c r="R204" s="6">
        <f>IF(ISERROR(VLOOKUP(#REF!,'WIP(재공품)'!$B$12:$AB$38,13,0)),0,VLOOKUP(#REF!,'WIP(재공품)'!$B$12:$AB$38,13,0))</f>
        <v>0</v>
      </c>
      <c r="S204" s="6">
        <f>IF(ISERROR(VLOOKUP(#REF!,'WIP(재공품)'!$B$12:$AB$38,10,0)),0,VLOOKUP(#REF!,'WIP(재공품)'!$B$12:$AB$38,10,0))</f>
        <v>0</v>
      </c>
      <c r="T204" s="6">
        <f>SUMIF('JUNE (물량흐름)'!$C$13:$C$502,'Overhead exp(제조경비)'!C204,'JUNE (물량흐름)'!$Y$13:$Y$502)</f>
        <v>0</v>
      </c>
      <c r="U204" s="6">
        <f t="shared" ref="U204:U267" si="59">IFERROR(ROUND(IF(AND(T204&lt;=0,($I204+$M204)=0),T204*(K204+O204)/(I204+M204),T204*(K204+O204)/(H204+L204)),0),0)</f>
        <v>0</v>
      </c>
      <c r="V204" s="6">
        <f>ROUND(SUMIF('JUNE (물량흐름)'!$C$13:$C$502,'Overhead exp(제조경비)'!C204,'JUNE (물량흐름)'!$N$13:$N$502),0)</f>
        <v>0</v>
      </c>
      <c r="W204" s="6">
        <f>ROUND(SUMIF('JUNE (물량흐름)'!$C$13:$C$502,'Overhead exp(제조경비)'!C204,'JUNE (물량흐름)'!$O$13:$O$502),0)</f>
        <v>0</v>
      </c>
      <c r="X204" s="6">
        <f>ROUND(SUMIF('JUNE (물량흐름)'!$C$13:$C$502,'Overhead exp(제조경비)'!C204,'JUNE (물량흐름)'!$P$13:$P$502),0)</f>
        <v>42</v>
      </c>
      <c r="Y204" s="6">
        <f t="shared" ref="Y204:Y267" si="60">ROUND(SUM(V204:X204),0)</f>
        <v>42</v>
      </c>
      <c r="Z204" s="6">
        <f t="shared" ref="Z204:Z267" si="61">ROUND(V204*$V$10+W204*$W$10+X204*$X$10,0)</f>
        <v>34</v>
      </c>
      <c r="AA204" s="6">
        <f t="shared" si="45"/>
        <v>624632</v>
      </c>
      <c r="AB204" s="391">
        <f t="shared" ref="AB204:AB267" si="62">K204+O204-Q204-U204-AA204</f>
        <v>0</v>
      </c>
      <c r="AC204" s="391">
        <f t="shared" ref="AC204:AC267" si="63">H204+L204-P204-T204-Y204</f>
        <v>0</v>
      </c>
    </row>
    <row r="205" spans="1:29" s="390" customFormat="1" ht="24" customHeight="1">
      <c r="A205" s="167">
        <v>195</v>
      </c>
      <c r="B205" s="20" t="str">
        <f>IFERROR(VLOOKUP(A205,'JUNE (물량흐름)'!$A$13:$C$502,2,0),0)</f>
        <v>ANN TAYLOR</v>
      </c>
      <c r="C205" s="272">
        <f>VLOOKUP(A205,'JUNE (물량흐름)'!$A$13:$C$502,3,0)</f>
        <v>465452</v>
      </c>
      <c r="D205" s="6">
        <f>VLOOKUP(C205,'WIP(재공품)'!$B$12:$E$493,4,0)</f>
        <v>7936.2499999999991</v>
      </c>
      <c r="E205" s="6">
        <f>IFERROR(VLOOKUP(C205,O.B.JUNE!$AI$7:$AJ$448,2,0),0)</f>
        <v>0</v>
      </c>
      <c r="F205" s="6">
        <f>IFERROR(VLOOKUP(C205,O.B.JUNE!$AI$7:$AK$448,3,0),0)</f>
        <v>0</v>
      </c>
      <c r="G205" s="6">
        <f>IFERROR(VLOOKUP(C205,O.B.JUNE!$AI$7:$AL$448,4,0),0)</f>
        <v>62</v>
      </c>
      <c r="H205" s="6">
        <f t="shared" si="56"/>
        <v>62</v>
      </c>
      <c r="I205" s="6">
        <f>IFERROR(VLOOKUP(C205,O.B.JUNE!$AI$7:$AN$448,6,0),0)</f>
        <v>50</v>
      </c>
      <c r="J205" s="6"/>
      <c r="K205" s="6">
        <f>IFERROR(VLOOKUP(C205,O.B.JUNE!$AI$7:$AO$448,7,0),0)</f>
        <v>496031</v>
      </c>
      <c r="L205" s="6">
        <f>SUMIF('JUNE (물량흐름)'!$C$13:$C$488,'Overhead exp(제조경비)'!C205,'JUNE (물량흐름)'!$H$13:$H$493)+SUMIF('JUNE (물량흐름)'!$C$13:$C$493,'Overhead exp(제조경비)'!C205,'JUNE (물량흐름)'!$V$13:$V$493)</f>
        <v>0</v>
      </c>
      <c r="M205" s="6">
        <f t="shared" si="57"/>
        <v>0</v>
      </c>
      <c r="N205" s="6">
        <f t="shared" si="58"/>
        <v>0</v>
      </c>
      <c r="O205" s="6">
        <f t="shared" si="53"/>
        <v>0</v>
      </c>
      <c r="P205" s="6">
        <f>SUMIF('JUNE (물량흐름)'!$C$13:$C$502,C205,'JUNE (물량흐름)'!$T$13:$T$502)+SUMIF('JUNE (물량흐름)'!$C$13:$C$502,C205,'JUNE (물량흐름)'!$V$13:$V$502)+SUMIF('JUNE (물량흐름)'!$C$13:$C$502,C205,'JUNE (물량흐름)'!$U$13:$U$502)-SUMIF('JUNE (물량흐름)'!$C$13:$C$502,C205,'JUNE (물량흐름)'!$Y$13:$Y$502)</f>
        <v>0</v>
      </c>
      <c r="Q205" s="6">
        <f t="shared" ref="Q205:Q268" si="64">IFERROR(ROUND(IF(OR(P205&lt;=0,($I205+$M205)=0),$P205*($K205+$O205)/($I205+$M205),$P205*($K205+$O205)/($H205+$L205)),0),0)</f>
        <v>0</v>
      </c>
      <c r="R205" s="6">
        <f>IF(ISERROR(VLOOKUP(#REF!,'WIP(재공품)'!$B$12:$AB$38,13,0)),0,VLOOKUP(#REF!,'WIP(재공품)'!$B$12:$AB$38,13,0))</f>
        <v>0</v>
      </c>
      <c r="S205" s="6">
        <f>IF(ISERROR(VLOOKUP(#REF!,'WIP(재공품)'!$B$12:$AB$38,10,0)),0,VLOOKUP(#REF!,'WIP(재공품)'!$B$12:$AB$38,10,0))</f>
        <v>0</v>
      </c>
      <c r="T205" s="6">
        <f>SUMIF('JUNE (물량흐름)'!$C$13:$C$502,'Overhead exp(제조경비)'!C205,'JUNE (물량흐름)'!$Y$13:$Y$502)</f>
        <v>0</v>
      </c>
      <c r="U205" s="6">
        <f t="shared" si="59"/>
        <v>0</v>
      </c>
      <c r="V205" s="6">
        <f>ROUND(SUMIF('JUNE (물량흐름)'!$C$13:$C$502,'Overhead exp(제조경비)'!C205,'JUNE (물량흐름)'!$N$13:$N$502),0)</f>
        <v>0</v>
      </c>
      <c r="W205" s="6">
        <f>ROUND(SUMIF('JUNE (물량흐름)'!$C$13:$C$502,'Overhead exp(제조경비)'!C205,'JUNE (물량흐름)'!$O$13:$O$502),0)</f>
        <v>0</v>
      </c>
      <c r="X205" s="6">
        <f>ROUND(SUMIF('JUNE (물량흐름)'!$C$13:$C$502,'Overhead exp(제조경비)'!C205,'JUNE (물량흐름)'!$P$13:$P$502),0)</f>
        <v>62</v>
      </c>
      <c r="Y205" s="167">
        <f t="shared" ref="Y205:Y206" si="65">ROUND(SUM(V205:X205),0)</f>
        <v>62</v>
      </c>
      <c r="Z205" s="167">
        <f t="shared" si="61"/>
        <v>50</v>
      </c>
      <c r="AA205" s="6">
        <f t="shared" ref="AA205:AA268" si="66">IFERROR(ROUND(IF(OR(Z205&lt;=0,($I205+$M205)=0),$Z205*($K205+$O205)/($I205+$M205),$Y205*($K205+$O205)/($H205+$L205)),0),0)</f>
        <v>496031</v>
      </c>
      <c r="AB205" s="391">
        <f t="shared" si="62"/>
        <v>0</v>
      </c>
      <c r="AC205" s="391">
        <f t="shared" si="63"/>
        <v>0</v>
      </c>
    </row>
    <row r="206" spans="1:29" s="390" customFormat="1" ht="24" customHeight="1">
      <c r="A206" s="167">
        <v>196</v>
      </c>
      <c r="B206" s="20" t="str">
        <f>IFERROR(VLOOKUP(A206,'JUNE (물량흐름)'!$A$13:$C$502,2,0),0)</f>
        <v>ANN TAYLOR</v>
      </c>
      <c r="C206" s="272">
        <f>VLOOKUP(A206,'JUNE (물량흐름)'!$A$13:$C$502,3,0)</f>
        <v>465456</v>
      </c>
      <c r="D206" s="6">
        <f>VLOOKUP(C206,'WIP(재공품)'!$B$12:$E$493,4,0)</f>
        <v>7936.2499999999991</v>
      </c>
      <c r="E206" s="6">
        <f>IFERROR(VLOOKUP(C206,O.B.JUNE!$AI$7:$AJ$448,2,0),0)</f>
        <v>0</v>
      </c>
      <c r="F206" s="6">
        <f>IFERROR(VLOOKUP(C206,O.B.JUNE!$AI$7:$AK$448,3,0),0)</f>
        <v>0</v>
      </c>
      <c r="G206" s="6">
        <f>IFERROR(VLOOKUP(C206,O.B.JUNE!$AI$7:$AL$448,4,0),0)</f>
        <v>20</v>
      </c>
      <c r="H206" s="6">
        <f t="shared" si="56"/>
        <v>20</v>
      </c>
      <c r="I206" s="6">
        <f>IFERROR(VLOOKUP(C206,O.B.JUNE!$AI$7:$AN$448,6,0),0)</f>
        <v>16</v>
      </c>
      <c r="J206" s="6"/>
      <c r="K206" s="6">
        <f>IFERROR(VLOOKUP(C206,O.B.JUNE!$AI$7:$AO$448,7,0),0)</f>
        <v>344749</v>
      </c>
      <c r="L206" s="6">
        <f>SUMIF('JUNE (물량흐름)'!$C$13:$C$488,'Overhead exp(제조경비)'!C206,'JUNE (물량흐름)'!$H$13:$H$493)+SUMIF('JUNE (물량흐름)'!$C$13:$C$493,'Overhead exp(제조경비)'!C206,'JUNE (물량흐름)'!$V$13:$V$493)</f>
        <v>0</v>
      </c>
      <c r="M206" s="6">
        <f t="shared" si="57"/>
        <v>0</v>
      </c>
      <c r="N206" s="6">
        <f t="shared" si="58"/>
        <v>0</v>
      </c>
      <c r="O206" s="6">
        <f t="shared" si="53"/>
        <v>0</v>
      </c>
      <c r="P206" s="6">
        <f>SUMIF('JUNE (물량흐름)'!$C$13:$C$502,C206,'JUNE (물량흐름)'!$T$13:$T$502)+SUMIF('JUNE (물량흐름)'!$C$13:$C$502,C206,'JUNE (물량흐름)'!$V$13:$V$502)+SUMIF('JUNE (물량흐름)'!$C$13:$C$502,C206,'JUNE (물량흐름)'!$U$13:$U$502)-SUMIF('JUNE (물량흐름)'!$C$13:$C$502,C206,'JUNE (물량흐름)'!$Y$13:$Y$502)</f>
        <v>0</v>
      </c>
      <c r="Q206" s="6">
        <f t="shared" si="64"/>
        <v>0</v>
      </c>
      <c r="R206" s="6">
        <f>IF(ISERROR(VLOOKUP(#REF!,'WIP(재공품)'!$B$12:$AB$38,13,0)),0,VLOOKUP(#REF!,'WIP(재공품)'!$B$12:$AB$38,13,0))</f>
        <v>0</v>
      </c>
      <c r="S206" s="6">
        <f>IF(ISERROR(VLOOKUP(#REF!,'WIP(재공품)'!$B$12:$AB$38,10,0)),0,VLOOKUP(#REF!,'WIP(재공품)'!$B$12:$AB$38,10,0))</f>
        <v>0</v>
      </c>
      <c r="T206" s="6">
        <f>SUMIF('JUNE (물량흐름)'!$C$13:$C$502,'Overhead exp(제조경비)'!C206,'JUNE (물량흐름)'!$Y$13:$Y$502)</f>
        <v>0</v>
      </c>
      <c r="U206" s="6">
        <f t="shared" si="59"/>
        <v>0</v>
      </c>
      <c r="V206" s="6">
        <f>ROUND(SUMIF('JUNE (물량흐름)'!$C$13:$C$502,'Overhead exp(제조경비)'!C206,'JUNE (물량흐름)'!$N$13:$N$502),0)</f>
        <v>0</v>
      </c>
      <c r="W206" s="6">
        <f>ROUND(SUMIF('JUNE (물량흐름)'!$C$13:$C$502,'Overhead exp(제조경비)'!C206,'JUNE (물량흐름)'!$O$13:$O$502),0)</f>
        <v>0</v>
      </c>
      <c r="X206" s="6">
        <f>ROUND(SUMIF('JUNE (물량흐름)'!$C$13:$C$502,'Overhead exp(제조경비)'!C206,'JUNE (물량흐름)'!$P$13:$P$502),0)</f>
        <v>20</v>
      </c>
      <c r="Y206" s="167">
        <f t="shared" si="65"/>
        <v>20</v>
      </c>
      <c r="Z206" s="167">
        <f t="shared" si="61"/>
        <v>16</v>
      </c>
      <c r="AA206" s="6">
        <f t="shared" si="66"/>
        <v>344749</v>
      </c>
      <c r="AB206" s="391">
        <f t="shared" si="62"/>
        <v>0</v>
      </c>
      <c r="AC206" s="391">
        <f t="shared" si="63"/>
        <v>0</v>
      </c>
    </row>
    <row r="207" spans="1:29" s="390" customFormat="1" ht="24" customHeight="1">
      <c r="A207" s="167">
        <v>197</v>
      </c>
      <c r="B207" s="20" t="str">
        <f>IFERROR(VLOOKUP(A207,'JUNE (물량흐름)'!$A$13:$C$502,2,0),0)</f>
        <v>INC</v>
      </c>
      <c r="C207" s="272">
        <f>VLOOKUP(A207,'JUNE (물량흐름)'!$A$13:$C$502,3,0)</f>
        <v>100003058</v>
      </c>
      <c r="D207" s="6">
        <f>VLOOKUP(C207,'WIP(재공품)'!$B$12:$E$493,4,0)</f>
        <v>7936.2499999999991</v>
      </c>
      <c r="E207" s="6">
        <f>IFERROR(VLOOKUP(C207,O.B.JUNE!$AI$7:$AJ$448,2,0),0)</f>
        <v>0</v>
      </c>
      <c r="F207" s="6">
        <f>IFERROR(VLOOKUP(C207,O.B.JUNE!$AI$7:$AK$448,3,0),0)</f>
        <v>0</v>
      </c>
      <c r="G207" s="6">
        <f>IFERROR(VLOOKUP(C207,O.B.JUNE!$AI$7:$AL$448,4,0),0)</f>
        <v>28</v>
      </c>
      <c r="H207" s="6">
        <f t="shared" si="56"/>
        <v>28</v>
      </c>
      <c r="I207" s="6">
        <f>IFERROR(VLOOKUP(C207,O.B.JUNE!$AI$7:$AN$448,6,0),0)</f>
        <v>22</v>
      </c>
      <c r="J207" s="6"/>
      <c r="K207" s="6">
        <f>IFERROR(VLOOKUP(C207,O.B.JUNE!$AI$7:$AO$448,7,0),0)</f>
        <v>304831</v>
      </c>
      <c r="L207" s="6">
        <f>SUMIF('JUNE (물량흐름)'!$C$13:$C$488,'Overhead exp(제조경비)'!C207,'JUNE (물량흐름)'!$H$13:$H$493)+SUMIF('JUNE (물량흐름)'!$C$13:$C$493,'Overhead exp(제조경비)'!C207,'JUNE (물량흐름)'!$V$13:$V$493)</f>
        <v>0</v>
      </c>
      <c r="M207" s="6">
        <f t="shared" si="57"/>
        <v>0</v>
      </c>
      <c r="N207" s="6">
        <f t="shared" si="58"/>
        <v>0</v>
      </c>
      <c r="O207" s="6">
        <f>ROUND(M207*D207*$O$493/$N$493,0)+1</f>
        <v>1</v>
      </c>
      <c r="P207" s="6">
        <f>SUMIF('JUNE (물량흐름)'!$C$13:$C$502,C207,'JUNE (물량흐름)'!$T$13:$T$502)+SUMIF('JUNE (물량흐름)'!$C$13:$C$502,C207,'JUNE (물량흐름)'!$V$13:$V$502)+SUMIF('JUNE (물량흐름)'!$C$13:$C$502,C207,'JUNE (물량흐름)'!$U$13:$U$502)-SUMIF('JUNE (물량흐름)'!$C$13:$C$502,C207,'JUNE (물량흐름)'!$Y$13:$Y$502)</f>
        <v>28</v>
      </c>
      <c r="Q207" s="6">
        <f t="shared" si="64"/>
        <v>304832</v>
      </c>
      <c r="R207" s="6">
        <f>IF(ISERROR(VLOOKUP(#REF!,'WIP(재공품)'!$B$12:$AB$38,13,0)),0,VLOOKUP(#REF!,'WIP(재공품)'!$B$12:$AB$38,13,0))</f>
        <v>0</v>
      </c>
      <c r="S207" s="6">
        <f>IF(ISERROR(VLOOKUP(#REF!,'WIP(재공품)'!$B$12:$AB$38,10,0)),0,VLOOKUP(#REF!,'WIP(재공품)'!$B$12:$AB$38,10,0))</f>
        <v>0</v>
      </c>
      <c r="T207" s="6">
        <f>SUMIF('JUNE (물량흐름)'!$C$13:$C$502,'Overhead exp(제조경비)'!C207,'JUNE (물량흐름)'!$Y$13:$Y$502)</f>
        <v>0</v>
      </c>
      <c r="U207" s="6">
        <f t="shared" si="59"/>
        <v>0</v>
      </c>
      <c r="V207" s="6">
        <f>ROUND(SUMIF('JUNE (물량흐름)'!$C$13:$C$502,'Overhead exp(제조경비)'!C207,'JUNE (물량흐름)'!$N$13:$N$502),0)</f>
        <v>0</v>
      </c>
      <c r="W207" s="6">
        <f>ROUND(SUMIF('JUNE (물량흐름)'!$C$13:$C$502,'Overhead exp(제조경비)'!C207,'JUNE (물량흐름)'!$O$13:$O$502),0)</f>
        <v>0</v>
      </c>
      <c r="X207" s="6">
        <f>ROUND(SUMIF('JUNE (물량흐름)'!$C$13:$C$502,'Overhead exp(제조경비)'!C207,'JUNE (물량흐름)'!$P$13:$P$502),0)</f>
        <v>0</v>
      </c>
      <c r="Y207" s="6">
        <f t="shared" si="60"/>
        <v>0</v>
      </c>
      <c r="Z207" s="6">
        <f t="shared" si="61"/>
        <v>0</v>
      </c>
      <c r="AA207" s="6">
        <f t="shared" si="66"/>
        <v>0</v>
      </c>
      <c r="AB207" s="391">
        <f t="shared" si="62"/>
        <v>0</v>
      </c>
      <c r="AC207" s="391">
        <f t="shared" si="63"/>
        <v>0</v>
      </c>
    </row>
    <row r="208" spans="1:29" s="390" customFormat="1" ht="24" customHeight="1">
      <c r="A208" s="167">
        <v>198</v>
      </c>
      <c r="B208" s="20" t="str">
        <f>IFERROR(VLOOKUP(A208,'JUNE (물량흐름)'!$A$13:$C$502,2,0),0)</f>
        <v>INC</v>
      </c>
      <c r="C208" s="272">
        <f>VLOOKUP(A208,'JUNE (물량흐름)'!$A$13:$C$502,3,0)</f>
        <v>100014739</v>
      </c>
      <c r="D208" s="6">
        <f>VLOOKUP(C208,'WIP(재공품)'!$B$12:$E$493,4,0)</f>
        <v>7936.2499999999991</v>
      </c>
      <c r="E208" s="6">
        <f>IFERROR(VLOOKUP(C208,O.B.JUNE!$AI$7:$AJ$448,2,0),0)</f>
        <v>0</v>
      </c>
      <c r="F208" s="6">
        <f>IFERROR(VLOOKUP(C208,O.B.JUNE!$AI$7:$AK$448,3,0),0)</f>
        <v>0</v>
      </c>
      <c r="G208" s="6">
        <f>IFERROR(VLOOKUP(C208,O.B.JUNE!$AI$7:$AL$448,4,0),0)</f>
        <v>397</v>
      </c>
      <c r="H208" s="6">
        <f t="shared" si="56"/>
        <v>397</v>
      </c>
      <c r="I208" s="6">
        <f>IFERROR(VLOOKUP(C208,O.B.JUNE!$AI$7:$AN$448,6,0),0)</f>
        <v>318</v>
      </c>
      <c r="J208" s="6"/>
      <c r="K208" s="6">
        <f>IFERROR(VLOOKUP(C208,O.B.JUNE!$AI$7:$AO$448,7,0),0)</f>
        <v>4734844</v>
      </c>
      <c r="L208" s="6">
        <f>SUMIF('JUNE (물량흐름)'!$C$13:$C$488,'Overhead exp(제조경비)'!C208,'JUNE (물량흐름)'!$H$13:$H$493)+SUMIF('JUNE (물량흐름)'!$C$13:$C$493,'Overhead exp(제조경비)'!C208,'JUNE (물량흐름)'!$V$13:$V$493)</f>
        <v>0</v>
      </c>
      <c r="M208" s="6">
        <f t="shared" si="57"/>
        <v>0</v>
      </c>
      <c r="N208" s="6">
        <f t="shared" si="58"/>
        <v>0</v>
      </c>
      <c r="O208" s="6">
        <f t="shared" ref="O208:O271" si="67">ROUND(M208*D208*$O$493/$N$493,0)</f>
        <v>0</v>
      </c>
      <c r="P208" s="6">
        <f>SUMIF('JUNE (물량흐름)'!$C$13:$C$502,C208,'JUNE (물량흐름)'!$T$13:$T$502)+SUMIF('JUNE (물량흐름)'!$C$13:$C$502,C208,'JUNE (물량흐름)'!$V$13:$V$502)+SUMIF('JUNE (물량흐름)'!$C$13:$C$502,C208,'JUNE (물량흐름)'!$U$13:$U$502)-SUMIF('JUNE (물량흐름)'!$C$13:$C$502,C208,'JUNE (물량흐름)'!$Y$13:$Y$502)</f>
        <v>397</v>
      </c>
      <c r="Q208" s="6">
        <f t="shared" si="64"/>
        <v>4734844</v>
      </c>
      <c r="R208" s="6">
        <f>IF(ISERROR(VLOOKUP(#REF!,'WIP(재공품)'!$B$12:$AB$38,13,0)),0,VLOOKUP(#REF!,'WIP(재공품)'!$B$12:$AB$38,13,0))</f>
        <v>0</v>
      </c>
      <c r="S208" s="6">
        <f>IF(ISERROR(VLOOKUP(#REF!,'WIP(재공품)'!$B$12:$AB$38,10,0)),0,VLOOKUP(#REF!,'WIP(재공품)'!$B$12:$AB$38,10,0))</f>
        <v>0</v>
      </c>
      <c r="T208" s="6">
        <f>SUMIF('JUNE (물량흐름)'!$C$13:$C$502,'Overhead exp(제조경비)'!C208,'JUNE (물량흐름)'!$Y$13:$Y$502)</f>
        <v>0</v>
      </c>
      <c r="U208" s="6">
        <f t="shared" si="59"/>
        <v>0</v>
      </c>
      <c r="V208" s="6">
        <f>ROUND(SUMIF('JUNE (물량흐름)'!$C$13:$C$502,'Overhead exp(제조경비)'!C208,'JUNE (물량흐름)'!$N$13:$N$502),0)</f>
        <v>0</v>
      </c>
      <c r="W208" s="6">
        <f>ROUND(SUMIF('JUNE (물량흐름)'!$C$13:$C$502,'Overhead exp(제조경비)'!C208,'JUNE (물량흐름)'!$O$13:$O$502),0)</f>
        <v>0</v>
      </c>
      <c r="X208" s="6">
        <f>ROUND(SUMIF('JUNE (물량흐름)'!$C$13:$C$502,'Overhead exp(제조경비)'!C208,'JUNE (물량흐름)'!$P$13:$P$502),0)</f>
        <v>0</v>
      </c>
      <c r="Y208" s="167">
        <f t="shared" ref="Y208:Y211" si="68">ROUND(SUM(V208:X208),0)</f>
        <v>0</v>
      </c>
      <c r="Z208" s="167">
        <f t="shared" si="61"/>
        <v>0</v>
      </c>
      <c r="AA208" s="6">
        <f t="shared" si="66"/>
        <v>0</v>
      </c>
      <c r="AB208" s="391">
        <f t="shared" si="62"/>
        <v>0</v>
      </c>
      <c r="AC208" s="391">
        <f t="shared" si="63"/>
        <v>0</v>
      </c>
    </row>
    <row r="209" spans="1:29" s="390" customFormat="1" ht="24" customHeight="1">
      <c r="A209" s="167">
        <v>199</v>
      </c>
      <c r="B209" s="20" t="str">
        <f>IFERROR(VLOOKUP(A209,'JUNE (물량흐름)'!$A$13:$C$502,2,0),0)</f>
        <v>J JILL</v>
      </c>
      <c r="C209" s="272" t="str">
        <f>VLOOKUP(A209,'JUNE (물량흐름)'!$A$13:$C$502,3,0)</f>
        <v>KPT128571</v>
      </c>
      <c r="D209" s="6">
        <f>VLOOKUP(C209,'WIP(재공품)'!$B$12:$E$493,4,0)</f>
        <v>7936.2499999999991</v>
      </c>
      <c r="E209" s="6">
        <f>IFERROR(VLOOKUP(C209,O.B.JUNE!$AI$7:$AJ$448,2,0),0)</f>
        <v>627</v>
      </c>
      <c r="F209" s="6">
        <f>IFERROR(VLOOKUP(C209,O.B.JUNE!$AI$7:$AK$448,3,0),0)</f>
        <v>32</v>
      </c>
      <c r="G209" s="6">
        <f>IFERROR(VLOOKUP(C209,O.B.JUNE!$AI$7:$AL$448,4,0),0)</f>
        <v>594</v>
      </c>
      <c r="H209" s="6">
        <f t="shared" si="56"/>
        <v>1253</v>
      </c>
      <c r="I209" s="6">
        <f>IFERROR(VLOOKUP(C209,O.B.JUNE!$AI$7:$AN$448,6,0),0)</f>
        <v>617</v>
      </c>
      <c r="J209" s="6"/>
      <c r="K209" s="6">
        <f>IFERROR(VLOOKUP(C209,O.B.JUNE!$AI$7:$AO$448,7,0),0)</f>
        <v>14910651</v>
      </c>
      <c r="L209" s="6">
        <f>SUMIF('JUNE (물량흐름)'!$C$13:$C$488,'Overhead exp(제조경비)'!C209,'JUNE (물량흐름)'!$H$13:$H$493)+SUMIF('JUNE (물량흐름)'!$C$13:$C$493,'Overhead exp(제조경비)'!C209,'JUNE (물량흐름)'!$V$13:$V$493)</f>
        <v>0</v>
      </c>
      <c r="M209" s="6">
        <f t="shared" si="57"/>
        <v>0</v>
      </c>
      <c r="N209" s="6">
        <f t="shared" si="58"/>
        <v>0</v>
      </c>
      <c r="O209" s="6">
        <f t="shared" si="67"/>
        <v>0</v>
      </c>
      <c r="P209" s="6">
        <f>SUMIF('JUNE (물량흐름)'!$C$13:$C$502,C209,'JUNE (물량흐름)'!$T$13:$T$502)+SUMIF('JUNE (물량흐름)'!$C$13:$C$502,C209,'JUNE (물량흐름)'!$V$13:$V$502)+SUMIF('JUNE (물량흐름)'!$C$13:$C$502,C209,'JUNE (물량흐름)'!$U$13:$U$502)-SUMIF('JUNE (물량흐름)'!$C$13:$C$502,C209,'JUNE (물량흐름)'!$Y$13:$Y$502)</f>
        <v>0</v>
      </c>
      <c r="Q209" s="6">
        <f t="shared" si="64"/>
        <v>0</v>
      </c>
      <c r="R209" s="6">
        <f>IF(ISERROR(VLOOKUP(#REF!,'WIP(재공품)'!$B$12:$AB$38,13,0)),0,VLOOKUP(#REF!,'WIP(재공품)'!$B$12:$AB$38,13,0))</f>
        <v>0</v>
      </c>
      <c r="S209" s="6">
        <f>IF(ISERROR(VLOOKUP(#REF!,'WIP(재공품)'!$B$12:$AB$38,10,0)),0,VLOOKUP(#REF!,'WIP(재공품)'!$B$12:$AB$38,10,0))</f>
        <v>0</v>
      </c>
      <c r="T209" s="6">
        <f>SUMIF('JUNE (물량흐름)'!$C$13:$C$502,'Overhead exp(제조경비)'!C209,'JUNE (물량흐름)'!$Y$13:$Y$502)</f>
        <v>0</v>
      </c>
      <c r="U209" s="6">
        <f t="shared" si="59"/>
        <v>0</v>
      </c>
      <c r="V209" s="6">
        <f>ROUND(SUMIF('JUNE (물량흐름)'!$C$13:$C$502,'Overhead exp(제조경비)'!C209,'JUNE (물량흐름)'!$N$13:$N$502),0)</f>
        <v>531</v>
      </c>
      <c r="W209" s="6">
        <f>ROUND(SUMIF('JUNE (물량흐름)'!$C$13:$C$502,'Overhead exp(제조경비)'!C209,'JUNE (물량흐름)'!$O$13:$O$502),0)</f>
        <v>0</v>
      </c>
      <c r="X209" s="6">
        <f>ROUND(SUMIF('JUNE (물량흐름)'!$C$13:$C$502,'Overhead exp(제조경비)'!C209,'JUNE (물량흐름)'!$P$13:$P$502),0)</f>
        <v>722</v>
      </c>
      <c r="Y209" s="167">
        <f t="shared" si="68"/>
        <v>1253</v>
      </c>
      <c r="Z209" s="167">
        <f t="shared" si="61"/>
        <v>684</v>
      </c>
      <c r="AA209" s="6">
        <f t="shared" si="66"/>
        <v>14910651</v>
      </c>
      <c r="AB209" s="391">
        <f t="shared" si="62"/>
        <v>0</v>
      </c>
      <c r="AC209" s="391">
        <f t="shared" si="63"/>
        <v>0</v>
      </c>
    </row>
    <row r="210" spans="1:29" s="390" customFormat="1" ht="24" customHeight="1">
      <c r="A210" s="167">
        <v>200</v>
      </c>
      <c r="B210" s="20" t="str">
        <f>IFERROR(VLOOKUP(A210,'JUNE (물량흐름)'!$A$13:$C$502,2,0),0)</f>
        <v>J JILL</v>
      </c>
      <c r="C210" s="272" t="str">
        <f>VLOOKUP(A210,'JUNE (물량흐름)'!$A$13:$C$502,3,0)</f>
        <v>KPT128581</v>
      </c>
      <c r="D210" s="6">
        <f>VLOOKUP(C210,'WIP(재공품)'!$B$12:$E$493,4,0)</f>
        <v>8163</v>
      </c>
      <c r="E210" s="6">
        <f>IFERROR(VLOOKUP(C210,O.B.JUNE!$AI$7:$AJ$448,2,0),0)</f>
        <v>9</v>
      </c>
      <c r="F210" s="6">
        <f>IFERROR(VLOOKUP(C210,O.B.JUNE!$AI$7:$AK$448,3,0),0)</f>
        <v>57</v>
      </c>
      <c r="G210" s="6">
        <f>IFERROR(VLOOKUP(C210,O.B.JUNE!$AI$7:$AL$448,4,0),0)</f>
        <v>150</v>
      </c>
      <c r="H210" s="6">
        <f t="shared" si="56"/>
        <v>216</v>
      </c>
      <c r="I210" s="6">
        <f>IFERROR(VLOOKUP(C210,O.B.JUNE!$AI$7:$AN$448,6,0),0)</f>
        <v>150</v>
      </c>
      <c r="J210" s="6"/>
      <c r="K210" s="6">
        <f>IFERROR(VLOOKUP(C210,O.B.JUNE!$AI$7:$AO$448,7,0),0)</f>
        <v>2635722</v>
      </c>
      <c r="L210" s="6">
        <f>SUMIF('JUNE (물량흐름)'!$C$13:$C$488,'Overhead exp(제조경비)'!C210,'JUNE (물량흐름)'!$H$13:$H$493)+SUMIF('JUNE (물량흐름)'!$C$13:$C$493,'Overhead exp(제조경비)'!C210,'JUNE (물량흐름)'!$V$13:$V$493)</f>
        <v>0</v>
      </c>
      <c r="M210" s="6">
        <f t="shared" si="57"/>
        <v>0</v>
      </c>
      <c r="N210" s="6">
        <f t="shared" si="58"/>
        <v>0</v>
      </c>
      <c r="O210" s="6">
        <f t="shared" si="67"/>
        <v>0</v>
      </c>
      <c r="P210" s="6">
        <f>SUMIF('JUNE (물량흐름)'!$C$13:$C$502,C210,'JUNE (물량흐름)'!$T$13:$T$502)+SUMIF('JUNE (물량흐름)'!$C$13:$C$502,C210,'JUNE (물량흐름)'!$V$13:$V$502)+SUMIF('JUNE (물량흐름)'!$C$13:$C$502,C210,'JUNE (물량흐름)'!$U$13:$U$502)-SUMIF('JUNE (물량흐름)'!$C$13:$C$502,C210,'JUNE (물량흐름)'!$Y$13:$Y$502)</f>
        <v>0</v>
      </c>
      <c r="Q210" s="6">
        <f t="shared" si="64"/>
        <v>0</v>
      </c>
      <c r="R210" s="6">
        <f>IF(ISERROR(VLOOKUP(#REF!,'WIP(재공품)'!$B$12:$AB$38,13,0)),0,VLOOKUP(#REF!,'WIP(재공품)'!$B$12:$AB$38,13,0))</f>
        <v>0</v>
      </c>
      <c r="S210" s="6">
        <f>IF(ISERROR(VLOOKUP(#REF!,'WIP(재공품)'!$B$12:$AB$38,10,0)),0,VLOOKUP(#REF!,'WIP(재공품)'!$B$12:$AB$38,10,0))</f>
        <v>0</v>
      </c>
      <c r="T210" s="6">
        <f>SUMIF('JUNE (물량흐름)'!$C$13:$C$502,'Overhead exp(제조경비)'!C210,'JUNE (물량흐름)'!$Y$13:$Y$502)</f>
        <v>0</v>
      </c>
      <c r="U210" s="6">
        <f t="shared" si="59"/>
        <v>0</v>
      </c>
      <c r="V210" s="6">
        <f>ROUND(SUMIF('JUNE (물량흐름)'!$C$13:$C$502,'Overhead exp(제조경비)'!C210,'JUNE (물량흐름)'!$N$13:$N$502),0)</f>
        <v>9</v>
      </c>
      <c r="W210" s="6">
        <f>ROUND(SUMIF('JUNE (물량흐름)'!$C$13:$C$502,'Overhead exp(제조경비)'!C210,'JUNE (물량흐름)'!$O$13:$O$502),0)</f>
        <v>57</v>
      </c>
      <c r="X210" s="6">
        <f>ROUND(SUMIF('JUNE (물량흐름)'!$C$13:$C$502,'Overhead exp(제조경비)'!C210,'JUNE (물량흐름)'!$P$13:$P$502),0)</f>
        <v>150</v>
      </c>
      <c r="Y210" s="167">
        <f t="shared" si="68"/>
        <v>216</v>
      </c>
      <c r="Z210" s="167">
        <f t="shared" si="61"/>
        <v>150</v>
      </c>
      <c r="AA210" s="6">
        <f t="shared" si="66"/>
        <v>2635722</v>
      </c>
      <c r="AB210" s="391">
        <f t="shared" si="62"/>
        <v>0</v>
      </c>
      <c r="AC210" s="391">
        <f t="shared" si="63"/>
        <v>0</v>
      </c>
    </row>
    <row r="211" spans="1:29" s="390" customFormat="1" ht="24" customHeight="1">
      <c r="A211" s="167">
        <v>201</v>
      </c>
      <c r="B211" s="20" t="str">
        <f>IFERROR(VLOOKUP(A211,'JUNE (물량흐름)'!$A$13:$C$502,2,0),0)</f>
        <v>J JILL</v>
      </c>
      <c r="C211" s="272" t="str">
        <f>VLOOKUP(A211,'JUNE (물량흐름)'!$A$13:$C$502,3,0)</f>
        <v>KTP115221</v>
      </c>
      <c r="D211" s="6">
        <f>VLOOKUP(C211,'WIP(재공품)'!$B$12:$E$493,4,0)</f>
        <v>7936.2499999999991</v>
      </c>
      <c r="E211" s="6">
        <f>IFERROR(VLOOKUP(C211,O.B.JUNE!$AI$7:$AJ$448,2,0),0)</f>
        <v>0</v>
      </c>
      <c r="F211" s="6">
        <f>IFERROR(VLOOKUP(C211,O.B.JUNE!$AI$7:$AK$448,3,0),0)</f>
        <v>0</v>
      </c>
      <c r="G211" s="6">
        <f>IFERROR(VLOOKUP(C211,O.B.JUNE!$AI$7:$AL$448,4,0),0)</f>
        <v>899</v>
      </c>
      <c r="H211" s="6">
        <f t="shared" si="56"/>
        <v>899</v>
      </c>
      <c r="I211" s="6">
        <f>IFERROR(VLOOKUP(C211,O.B.JUNE!$AI$7:$AN$448,6,0),0)</f>
        <v>719</v>
      </c>
      <c r="J211" s="6"/>
      <c r="K211" s="6">
        <f>IFERROR(VLOOKUP(C211,O.B.JUNE!$AI$7:$AO$448,7,0),0)</f>
        <v>13064240</v>
      </c>
      <c r="L211" s="6">
        <f>SUMIF('JUNE (물량흐름)'!$C$13:$C$488,'Overhead exp(제조경비)'!C211,'JUNE (물량흐름)'!$H$13:$H$493)+SUMIF('JUNE (물량흐름)'!$C$13:$C$493,'Overhead exp(제조경비)'!C211,'JUNE (물량흐름)'!$V$13:$V$493)</f>
        <v>0</v>
      </c>
      <c r="M211" s="6">
        <f t="shared" si="57"/>
        <v>0</v>
      </c>
      <c r="N211" s="6">
        <f t="shared" si="58"/>
        <v>0</v>
      </c>
      <c r="O211" s="6">
        <f t="shared" si="67"/>
        <v>0</v>
      </c>
      <c r="P211" s="6">
        <f>SUMIF('JUNE (물량흐름)'!$C$13:$C$502,C211,'JUNE (물량흐름)'!$T$13:$T$502)+SUMIF('JUNE (물량흐름)'!$C$13:$C$502,C211,'JUNE (물량흐름)'!$V$13:$V$502)+SUMIF('JUNE (물량흐름)'!$C$13:$C$502,C211,'JUNE (물량흐름)'!$U$13:$U$502)-SUMIF('JUNE (물량흐름)'!$C$13:$C$502,C211,'JUNE (물량흐름)'!$Y$13:$Y$502)</f>
        <v>899</v>
      </c>
      <c r="Q211" s="6">
        <f t="shared" si="64"/>
        <v>13064240</v>
      </c>
      <c r="R211" s="6">
        <f>IF(ISERROR(VLOOKUP(#REF!,'WIP(재공품)'!$B$12:$AB$38,13,0)),0,VLOOKUP(#REF!,'WIP(재공품)'!$B$12:$AB$38,13,0))</f>
        <v>0</v>
      </c>
      <c r="S211" s="6">
        <f>IF(ISERROR(VLOOKUP(#REF!,'WIP(재공품)'!$B$12:$AB$38,10,0)),0,VLOOKUP(#REF!,'WIP(재공품)'!$B$12:$AB$38,10,0))</f>
        <v>0</v>
      </c>
      <c r="T211" s="6">
        <f>SUMIF('JUNE (물량흐름)'!$C$13:$C$502,'Overhead exp(제조경비)'!C211,'JUNE (물량흐름)'!$Y$13:$Y$502)</f>
        <v>0</v>
      </c>
      <c r="U211" s="6">
        <f t="shared" si="59"/>
        <v>0</v>
      </c>
      <c r="V211" s="6">
        <f>ROUND(SUMIF('JUNE (물량흐름)'!$C$13:$C$502,'Overhead exp(제조경비)'!C211,'JUNE (물량흐름)'!$N$13:$N$502),0)</f>
        <v>0</v>
      </c>
      <c r="W211" s="6">
        <f>ROUND(SUMIF('JUNE (물량흐름)'!$C$13:$C$502,'Overhead exp(제조경비)'!C211,'JUNE (물량흐름)'!$O$13:$O$502),0)</f>
        <v>0</v>
      </c>
      <c r="X211" s="6">
        <f>ROUND(SUMIF('JUNE (물량흐름)'!$C$13:$C$502,'Overhead exp(제조경비)'!C211,'JUNE (물량흐름)'!$P$13:$P$502),0)</f>
        <v>0</v>
      </c>
      <c r="Y211" s="167">
        <f t="shared" si="68"/>
        <v>0</v>
      </c>
      <c r="Z211" s="167">
        <f t="shared" si="61"/>
        <v>0</v>
      </c>
      <c r="AA211" s="6">
        <f t="shared" si="66"/>
        <v>0</v>
      </c>
      <c r="AB211" s="391">
        <f t="shared" si="62"/>
        <v>0</v>
      </c>
      <c r="AC211" s="391">
        <f t="shared" si="63"/>
        <v>0</v>
      </c>
    </row>
    <row r="212" spans="1:29" s="390" customFormat="1" ht="24" customHeight="1">
      <c r="A212" s="167">
        <v>202</v>
      </c>
      <c r="B212" s="20" t="str">
        <f>IFERROR(VLOOKUP(A212,'JUNE (물량흐름)'!$A$13:$C$502,2,0),0)</f>
        <v>TALBOTS</v>
      </c>
      <c r="C212" s="272">
        <f>VLOOKUP(A212,'JUNE (물량흐름)'!$A$13:$C$502,3,0)</f>
        <v>181034126</v>
      </c>
      <c r="D212" s="6">
        <f>VLOOKUP(C212,'WIP(재공품)'!$B$12:$E$493,4,0)</f>
        <v>8163</v>
      </c>
      <c r="E212" s="6">
        <f>IFERROR(VLOOKUP(C212,O.B.JUNE!$AI$7:$AJ$448,2,0),0)</f>
        <v>0</v>
      </c>
      <c r="F212" s="6">
        <f>IFERROR(VLOOKUP(C212,O.B.JUNE!$AI$7:$AK$448,3,0),0)</f>
        <v>0</v>
      </c>
      <c r="G212" s="6">
        <f>IFERROR(VLOOKUP(C212,O.B.JUNE!$AI$7:$AL$448,4,0),0)</f>
        <v>36</v>
      </c>
      <c r="H212" s="6">
        <f t="shared" si="56"/>
        <v>36</v>
      </c>
      <c r="I212" s="6">
        <f>IFERROR(VLOOKUP(C212,O.B.JUNE!$AI$7:$AN$448,6,0),0)</f>
        <v>29</v>
      </c>
      <c r="J212" s="6"/>
      <c r="K212" s="6">
        <f>IFERROR(VLOOKUP(C212,O.B.JUNE!$AI$7:$AO$448,7,0),0)</f>
        <v>525772</v>
      </c>
      <c r="L212" s="6">
        <f>SUMIF('JUNE (물량흐름)'!$C$13:$C$488,'Overhead exp(제조경비)'!C212,'JUNE (물량흐름)'!$H$13:$H$493)+SUMIF('JUNE (물량흐름)'!$C$13:$C$493,'Overhead exp(제조경비)'!C212,'JUNE (물량흐름)'!$V$13:$V$493)</f>
        <v>0</v>
      </c>
      <c r="M212" s="6">
        <f t="shared" si="57"/>
        <v>0</v>
      </c>
      <c r="N212" s="6">
        <f t="shared" si="58"/>
        <v>0</v>
      </c>
      <c r="O212" s="6">
        <f t="shared" si="67"/>
        <v>0</v>
      </c>
      <c r="P212" s="6">
        <f>SUMIF('JUNE (물량흐름)'!$C$13:$C$502,C212,'JUNE (물량흐름)'!$T$13:$T$502)+SUMIF('JUNE (물량흐름)'!$C$13:$C$502,C212,'JUNE (물량흐름)'!$V$13:$V$502)+SUMIF('JUNE (물량흐름)'!$C$13:$C$502,C212,'JUNE (물량흐름)'!$U$13:$U$502)-SUMIF('JUNE (물량흐름)'!$C$13:$C$502,C212,'JUNE (물량흐름)'!$Y$13:$Y$502)</f>
        <v>36</v>
      </c>
      <c r="Q212" s="6">
        <f t="shared" si="64"/>
        <v>525772</v>
      </c>
      <c r="R212" s="6">
        <f>IF(ISERROR(VLOOKUP(#REF!,'WIP(재공품)'!$B$12:$AB$38,13,0)),0,VLOOKUP(#REF!,'WIP(재공품)'!$B$12:$AB$38,13,0))</f>
        <v>0</v>
      </c>
      <c r="S212" s="6">
        <f>IF(ISERROR(VLOOKUP(#REF!,'WIP(재공품)'!$B$12:$AB$38,10,0)),0,VLOOKUP(#REF!,'WIP(재공품)'!$B$12:$AB$38,10,0))</f>
        <v>0</v>
      </c>
      <c r="T212" s="6">
        <f>SUMIF('JUNE (물량흐름)'!$C$13:$C$502,'Overhead exp(제조경비)'!C212,'JUNE (물량흐름)'!$Y$13:$Y$502)</f>
        <v>0</v>
      </c>
      <c r="U212" s="6">
        <f t="shared" si="59"/>
        <v>0</v>
      </c>
      <c r="V212" s="6">
        <f>ROUND(SUMIF('JUNE (물량흐름)'!$C$13:$C$502,'Overhead exp(제조경비)'!C212,'JUNE (물량흐름)'!$N$13:$N$502),0)</f>
        <v>0</v>
      </c>
      <c r="W212" s="6">
        <f>ROUND(SUMIF('JUNE (물량흐름)'!$C$13:$C$502,'Overhead exp(제조경비)'!C212,'JUNE (물량흐름)'!$O$13:$O$502),0)</f>
        <v>0</v>
      </c>
      <c r="X212" s="6">
        <f>ROUND(SUMIF('JUNE (물량흐름)'!$C$13:$C$502,'Overhead exp(제조경비)'!C212,'JUNE (물량흐름)'!$P$13:$P$502),0)</f>
        <v>0</v>
      </c>
      <c r="Y212" s="6">
        <f t="shared" si="60"/>
        <v>0</v>
      </c>
      <c r="Z212" s="6">
        <f t="shared" si="61"/>
        <v>0</v>
      </c>
      <c r="AA212" s="6">
        <f t="shared" si="66"/>
        <v>0</v>
      </c>
      <c r="AB212" s="391">
        <f t="shared" si="62"/>
        <v>0</v>
      </c>
      <c r="AC212" s="391">
        <f t="shared" si="63"/>
        <v>0</v>
      </c>
    </row>
    <row r="213" spans="1:29" s="390" customFormat="1" ht="24" customHeight="1">
      <c r="A213" s="167">
        <v>203</v>
      </c>
      <c r="B213" s="20" t="str">
        <f>IFERROR(VLOOKUP(A213,'JUNE (물량흐름)'!$A$13:$C$502,2,0),0)</f>
        <v>TALBOTS</v>
      </c>
      <c r="C213" s="272">
        <f>VLOOKUP(A213,'JUNE (물량흐름)'!$A$13:$C$502,3,0)</f>
        <v>181034892</v>
      </c>
      <c r="D213" s="6">
        <f>VLOOKUP(C213,'WIP(재공품)'!$B$12:$E$493,4,0)</f>
        <v>52152.499999999993</v>
      </c>
      <c r="E213" s="6">
        <f>IFERROR(VLOOKUP(C213,O.B.JUNE!$AI$7:$AJ$448,2,0),0)</f>
        <v>0</v>
      </c>
      <c r="F213" s="6">
        <f>IFERROR(VLOOKUP(C213,O.B.JUNE!$AI$7:$AK$448,3,0),0)</f>
        <v>46</v>
      </c>
      <c r="G213" s="6">
        <f>IFERROR(VLOOKUP(C213,O.B.JUNE!$AI$7:$AL$448,4,0),0)</f>
        <v>22</v>
      </c>
      <c r="H213" s="6">
        <f t="shared" si="56"/>
        <v>68</v>
      </c>
      <c r="I213" s="6">
        <f>IFERROR(VLOOKUP(C213,O.B.JUNE!$AI$7:$AN$448,6,0),0)</f>
        <v>41</v>
      </c>
      <c r="J213" s="6"/>
      <c r="K213" s="6">
        <f>IFERROR(VLOOKUP(C213,O.B.JUNE!$AI$7:$AO$448,7,0),0)</f>
        <v>1607727</v>
      </c>
      <c r="L213" s="6">
        <f>SUMIF('JUNE (물량흐름)'!$C$13:$C$488,'Overhead exp(제조경비)'!C213,'JUNE (물량흐름)'!$H$13:$H$493)+SUMIF('JUNE (물량흐름)'!$C$13:$C$493,'Overhead exp(제조경비)'!C213,'JUNE (물량흐름)'!$V$13:$V$493)</f>
        <v>0</v>
      </c>
      <c r="M213" s="6">
        <f t="shared" si="57"/>
        <v>0</v>
      </c>
      <c r="N213" s="6">
        <f t="shared" si="58"/>
        <v>0</v>
      </c>
      <c r="O213" s="6">
        <f t="shared" si="67"/>
        <v>0</v>
      </c>
      <c r="P213" s="6">
        <f>SUMIF('JUNE (물량흐름)'!$C$13:$C$502,C213,'JUNE (물량흐름)'!$T$13:$T$502)+SUMIF('JUNE (물량흐름)'!$C$13:$C$502,C213,'JUNE (물량흐름)'!$V$13:$V$502)+SUMIF('JUNE (물량흐름)'!$C$13:$C$502,C213,'JUNE (물량흐름)'!$U$13:$U$502)-SUMIF('JUNE (물량흐름)'!$C$13:$C$502,C213,'JUNE (물량흐름)'!$Y$13:$Y$502)</f>
        <v>68</v>
      </c>
      <c r="Q213" s="6">
        <f t="shared" si="64"/>
        <v>1607727</v>
      </c>
      <c r="R213" s="6">
        <f>IF(ISERROR(VLOOKUP(#REF!,'WIP(재공품)'!$B$12:$AB$38,13,0)),0,VLOOKUP(#REF!,'WIP(재공품)'!$B$12:$AB$38,13,0))</f>
        <v>0</v>
      </c>
      <c r="S213" s="6">
        <f>IF(ISERROR(VLOOKUP(#REF!,'WIP(재공품)'!$B$12:$AB$38,10,0)),0,VLOOKUP(#REF!,'WIP(재공품)'!$B$12:$AB$38,10,0))</f>
        <v>0</v>
      </c>
      <c r="T213" s="6">
        <f>SUMIF('JUNE (물량흐름)'!$C$13:$C$502,'Overhead exp(제조경비)'!C213,'JUNE (물량흐름)'!$Y$13:$Y$502)</f>
        <v>0</v>
      </c>
      <c r="U213" s="6">
        <f t="shared" si="59"/>
        <v>0</v>
      </c>
      <c r="V213" s="6">
        <f>ROUND(SUMIF('JUNE (물량흐름)'!$C$13:$C$502,'Overhead exp(제조경비)'!C213,'JUNE (물량흐름)'!$N$13:$N$502),0)</f>
        <v>0</v>
      </c>
      <c r="W213" s="6">
        <f>ROUND(SUMIF('JUNE (물량흐름)'!$C$13:$C$502,'Overhead exp(제조경비)'!C213,'JUNE (물량흐름)'!$O$13:$O$502),0)</f>
        <v>0</v>
      </c>
      <c r="X213" s="6">
        <f>ROUND(SUMIF('JUNE (물량흐름)'!$C$13:$C$502,'Overhead exp(제조경비)'!C213,'JUNE (물량흐름)'!$P$13:$P$502),0)</f>
        <v>0</v>
      </c>
      <c r="Y213" s="167">
        <f t="shared" ref="Y213" si="69">ROUND(SUM(V213:X213),0)</f>
        <v>0</v>
      </c>
      <c r="Z213" s="167">
        <f t="shared" si="61"/>
        <v>0</v>
      </c>
      <c r="AA213" s="6">
        <f t="shared" si="66"/>
        <v>0</v>
      </c>
      <c r="AB213" s="391">
        <f t="shared" si="62"/>
        <v>0</v>
      </c>
      <c r="AC213" s="391">
        <f t="shared" si="63"/>
        <v>0</v>
      </c>
    </row>
    <row r="214" spans="1:29" s="390" customFormat="1" ht="24" customHeight="1">
      <c r="A214" s="167">
        <v>204</v>
      </c>
      <c r="B214" s="20" t="str">
        <f>IFERROR(VLOOKUP(A214,'JUNE (물량흐름)'!$A$13:$C$502,2,0),0)</f>
        <v>ANN TAYLOR</v>
      </c>
      <c r="C214" s="272">
        <f>VLOOKUP(A214,'JUNE (물량흐름)'!$A$13:$C$502,3,0)</f>
        <v>466852</v>
      </c>
      <c r="D214" s="6">
        <f>VLOOKUP(C214,'WIP(재공품)'!$B$12:$E$493,4,0)</f>
        <v>7936.2499999999991</v>
      </c>
      <c r="E214" s="6">
        <f>IFERROR(VLOOKUP(C214,O.B.JUNE!$AI$7:$AJ$448,2,0),0)</f>
        <v>0</v>
      </c>
      <c r="F214" s="6">
        <f>IFERROR(VLOOKUP(C214,O.B.JUNE!$AI$7:$AK$448,3,0),0)</f>
        <v>0</v>
      </c>
      <c r="G214" s="6">
        <f>IFERROR(VLOOKUP(C214,O.B.JUNE!$AI$7:$AL$448,4,0),0)</f>
        <v>418</v>
      </c>
      <c r="H214" s="6">
        <f t="shared" si="56"/>
        <v>418</v>
      </c>
      <c r="I214" s="6">
        <f>IFERROR(VLOOKUP(C214,O.B.JUNE!$AI$7:$AN$448,6,0),0)</f>
        <v>334</v>
      </c>
      <c r="J214" s="6"/>
      <c r="K214" s="6">
        <f>IFERROR(VLOOKUP(C214,O.B.JUNE!$AI$7:$AO$448,7,0),0)</f>
        <v>6962421</v>
      </c>
      <c r="L214" s="6">
        <f>SUMIF('JUNE (물량흐름)'!$C$13:$C$488,'Overhead exp(제조경비)'!C214,'JUNE (물량흐름)'!$H$13:$H$493)+SUMIF('JUNE (물량흐름)'!$C$13:$C$493,'Overhead exp(제조경비)'!C214,'JUNE (물량흐름)'!$V$13:$V$493)</f>
        <v>0</v>
      </c>
      <c r="M214" s="6">
        <f t="shared" si="57"/>
        <v>0</v>
      </c>
      <c r="N214" s="6">
        <f t="shared" si="58"/>
        <v>0</v>
      </c>
      <c r="O214" s="6">
        <f t="shared" si="67"/>
        <v>0</v>
      </c>
      <c r="P214" s="6">
        <f>SUMIF('JUNE (물량흐름)'!$C$13:$C$502,C214,'JUNE (물량흐름)'!$T$13:$T$502)+SUMIF('JUNE (물량흐름)'!$C$13:$C$502,C214,'JUNE (물량흐름)'!$V$13:$V$502)+SUMIF('JUNE (물량흐름)'!$C$13:$C$502,C214,'JUNE (물량흐름)'!$U$13:$U$502)-SUMIF('JUNE (물량흐름)'!$C$13:$C$502,C214,'JUNE (물량흐름)'!$Y$13:$Y$502)</f>
        <v>0</v>
      </c>
      <c r="Q214" s="6">
        <f t="shared" si="64"/>
        <v>0</v>
      </c>
      <c r="R214" s="6">
        <f>IF(ISERROR(VLOOKUP(#REF!,'WIP(재공품)'!$B$12:$AB$38,13,0)),0,VLOOKUP(#REF!,'WIP(재공품)'!$B$12:$AB$38,13,0))</f>
        <v>0</v>
      </c>
      <c r="S214" s="6">
        <f>IF(ISERROR(VLOOKUP(#REF!,'WIP(재공품)'!$B$12:$AB$38,10,0)),0,VLOOKUP(#REF!,'WIP(재공품)'!$B$12:$AB$38,10,0))</f>
        <v>0</v>
      </c>
      <c r="T214" s="6">
        <f>SUMIF('JUNE (물량흐름)'!$C$13:$C$502,'Overhead exp(제조경비)'!C214,'JUNE (물량흐름)'!$Y$13:$Y$502)</f>
        <v>0</v>
      </c>
      <c r="U214" s="6">
        <f t="shared" si="59"/>
        <v>0</v>
      </c>
      <c r="V214" s="6">
        <f>ROUND(SUMIF('JUNE (물량흐름)'!$C$13:$C$502,'Overhead exp(제조경비)'!C214,'JUNE (물량흐름)'!$N$13:$N$502),0)</f>
        <v>1</v>
      </c>
      <c r="W214" s="6">
        <f>ROUND(SUMIF('JUNE (물량흐름)'!$C$13:$C$502,'Overhead exp(제조경비)'!C214,'JUNE (물량흐름)'!$O$13:$O$502),0)</f>
        <v>193</v>
      </c>
      <c r="X214" s="6">
        <f>ROUND(SUMIF('JUNE (물량흐름)'!$C$13:$C$502,'Overhead exp(제조경비)'!C214,'JUNE (물량흐름)'!$P$13:$P$502),0)</f>
        <v>224</v>
      </c>
      <c r="Y214" s="6">
        <f t="shared" si="60"/>
        <v>418</v>
      </c>
      <c r="Z214" s="6">
        <f t="shared" si="61"/>
        <v>276</v>
      </c>
      <c r="AA214" s="6">
        <f t="shared" si="66"/>
        <v>6962421</v>
      </c>
      <c r="AB214" s="391">
        <f t="shared" si="62"/>
        <v>0</v>
      </c>
      <c r="AC214" s="391">
        <f t="shared" si="63"/>
        <v>0</v>
      </c>
    </row>
    <row r="215" spans="1:29" s="390" customFormat="1" ht="24" customHeight="1">
      <c r="A215" s="167">
        <v>205</v>
      </c>
      <c r="B215" s="20" t="str">
        <f>IFERROR(VLOOKUP(A215,'JUNE (물량흐름)'!$A$13:$C$502,2,0),0)</f>
        <v>NORDSTROM</v>
      </c>
      <c r="C215" s="272" t="str">
        <f>VLOOKUP(A215,'JUNE (물량흐름)'!$A$13:$C$502,3,0)</f>
        <v>BP381295MI</v>
      </c>
      <c r="D215" s="6">
        <f>VLOOKUP(C215,'WIP(재공품)'!$B$12:$E$493,4,0)</f>
        <v>27210</v>
      </c>
      <c r="E215" s="6">
        <f>IFERROR(VLOOKUP(C215,O.B.JUNE!$AI$7:$AJ$448,2,0),0)</f>
        <v>0</v>
      </c>
      <c r="F215" s="6">
        <f>IFERROR(VLOOKUP(C215,O.B.JUNE!$AI$7:$AK$448,3,0),0)</f>
        <v>0</v>
      </c>
      <c r="G215" s="6">
        <f>IFERROR(VLOOKUP(C215,O.B.JUNE!$AI$7:$AL$448,4,0),0)</f>
        <v>70</v>
      </c>
      <c r="H215" s="6">
        <f t="shared" si="56"/>
        <v>70</v>
      </c>
      <c r="I215" s="6">
        <f>IFERROR(VLOOKUP(C215,O.B.JUNE!$AI$7:$AN$448,6,0),0)</f>
        <v>56</v>
      </c>
      <c r="J215" s="6"/>
      <c r="K215" s="6">
        <f>IFERROR(VLOOKUP(C215,O.B.JUNE!$AI$7:$AO$448,7,0),0)</f>
        <v>1667045</v>
      </c>
      <c r="L215" s="6">
        <f>SUMIF('JUNE (물량흐름)'!$C$13:$C$488,'Overhead exp(제조경비)'!C215,'JUNE (물량흐름)'!$H$13:$H$493)+SUMIF('JUNE (물량흐름)'!$C$13:$C$493,'Overhead exp(제조경비)'!C215,'JUNE (물량흐름)'!$V$13:$V$493)</f>
        <v>0</v>
      </c>
      <c r="M215" s="6">
        <f t="shared" si="57"/>
        <v>0</v>
      </c>
      <c r="N215" s="6">
        <f t="shared" si="58"/>
        <v>0</v>
      </c>
      <c r="O215" s="6">
        <f t="shared" si="67"/>
        <v>0</v>
      </c>
      <c r="P215" s="6">
        <f>SUMIF('JUNE (물량흐름)'!$C$13:$C$502,C215,'JUNE (물량흐름)'!$T$13:$T$502)+SUMIF('JUNE (물량흐름)'!$C$13:$C$502,C215,'JUNE (물량흐름)'!$V$13:$V$502)+SUMIF('JUNE (물량흐름)'!$C$13:$C$502,C215,'JUNE (물량흐름)'!$U$13:$U$502)-SUMIF('JUNE (물량흐름)'!$C$13:$C$502,C215,'JUNE (물량흐름)'!$Y$13:$Y$502)</f>
        <v>70</v>
      </c>
      <c r="Q215" s="6">
        <f t="shared" si="64"/>
        <v>1667045</v>
      </c>
      <c r="R215" s="6">
        <f>IF(ISERROR(VLOOKUP(#REF!,'WIP(재공품)'!$B$12:$AB$38,13,0)),0,VLOOKUP(#REF!,'WIP(재공품)'!$B$12:$AB$38,13,0))</f>
        <v>0</v>
      </c>
      <c r="S215" s="6">
        <f>IF(ISERROR(VLOOKUP(#REF!,'WIP(재공품)'!$B$12:$AB$38,10,0)),0,VLOOKUP(#REF!,'WIP(재공품)'!$B$12:$AB$38,10,0))</f>
        <v>0</v>
      </c>
      <c r="T215" s="6">
        <f>SUMIF('JUNE (물량흐름)'!$C$13:$C$502,'Overhead exp(제조경비)'!C215,'JUNE (물량흐름)'!$Y$13:$Y$502)</f>
        <v>0</v>
      </c>
      <c r="U215" s="6">
        <f t="shared" si="59"/>
        <v>0</v>
      </c>
      <c r="V215" s="6">
        <f>ROUND(SUMIF('JUNE (물량흐름)'!$C$13:$C$502,'Overhead exp(제조경비)'!C215,'JUNE (물량흐름)'!$N$13:$N$502),0)</f>
        <v>0</v>
      </c>
      <c r="W215" s="6">
        <f>ROUND(SUMIF('JUNE (물량흐름)'!$C$13:$C$502,'Overhead exp(제조경비)'!C215,'JUNE (물량흐름)'!$O$13:$O$502),0)</f>
        <v>0</v>
      </c>
      <c r="X215" s="6">
        <f>ROUND(SUMIF('JUNE (물량흐름)'!$C$13:$C$502,'Overhead exp(제조경비)'!C215,'JUNE (물량흐름)'!$P$13:$P$502),0)</f>
        <v>0</v>
      </c>
      <c r="Y215" s="6">
        <f t="shared" si="60"/>
        <v>0</v>
      </c>
      <c r="Z215" s="6">
        <f t="shared" si="61"/>
        <v>0</v>
      </c>
      <c r="AA215" s="6">
        <f t="shared" si="66"/>
        <v>0</v>
      </c>
      <c r="AB215" s="391">
        <f t="shared" si="62"/>
        <v>0</v>
      </c>
      <c r="AC215" s="391">
        <f t="shared" si="63"/>
        <v>0</v>
      </c>
    </row>
    <row r="216" spans="1:29" s="390" customFormat="1" ht="24" customHeight="1">
      <c r="A216" s="167">
        <v>206</v>
      </c>
      <c r="B216" s="20" t="str">
        <f>IFERROR(VLOOKUP(A216,'JUNE (물량흐름)'!$A$13:$C$502,2,0),0)</f>
        <v>ALFANI</v>
      </c>
      <c r="C216" s="272">
        <f>VLOOKUP(A216,'JUNE (물량흐름)'!$A$13:$C$502,3,0)</f>
        <v>100008598</v>
      </c>
      <c r="D216" s="6">
        <f>VLOOKUP(C216,'WIP(재공품)'!$B$12:$E$493,4,0)</f>
        <v>7936.2499999999991</v>
      </c>
      <c r="E216" s="6">
        <f>IFERROR(VLOOKUP(C216,O.B.JUNE!$AI$7:$AJ$448,2,0),0)</f>
        <v>0</v>
      </c>
      <c r="F216" s="6">
        <f>IFERROR(VLOOKUP(C216,O.B.JUNE!$AI$7:$AK$448,3,0),0)</f>
        <v>0</v>
      </c>
      <c r="G216" s="6">
        <f>IFERROR(VLOOKUP(C216,O.B.JUNE!$AI$7:$AL$448,4,0),0)</f>
        <v>91</v>
      </c>
      <c r="H216" s="6">
        <f t="shared" si="56"/>
        <v>91</v>
      </c>
      <c r="I216" s="6">
        <f>IFERROR(VLOOKUP(C216,O.B.JUNE!$AI$7:$AN$448,6,0),0)</f>
        <v>73</v>
      </c>
      <c r="J216" s="6"/>
      <c r="K216" s="6">
        <f>IFERROR(VLOOKUP(C216,O.B.JUNE!$AI$7:$AO$448,7,0),0)</f>
        <v>1044381</v>
      </c>
      <c r="L216" s="6">
        <f>SUMIF('JUNE (물량흐름)'!$C$13:$C$488,'Overhead exp(제조경비)'!C216,'JUNE (물량흐름)'!$H$13:$H$493)+SUMIF('JUNE (물량흐름)'!$C$13:$C$493,'Overhead exp(제조경비)'!C216,'JUNE (물량흐름)'!$V$13:$V$493)</f>
        <v>0</v>
      </c>
      <c r="M216" s="6">
        <f t="shared" si="57"/>
        <v>0</v>
      </c>
      <c r="N216" s="6">
        <f t="shared" si="58"/>
        <v>0</v>
      </c>
      <c r="O216" s="6">
        <f t="shared" si="67"/>
        <v>0</v>
      </c>
      <c r="P216" s="6">
        <f>SUMIF('JUNE (물량흐름)'!$C$13:$C$502,C216,'JUNE (물량흐름)'!$T$13:$T$502)+SUMIF('JUNE (물량흐름)'!$C$13:$C$502,C216,'JUNE (물량흐름)'!$V$13:$V$502)+SUMIF('JUNE (물량흐름)'!$C$13:$C$502,C216,'JUNE (물량흐름)'!$U$13:$U$502)-SUMIF('JUNE (물량흐름)'!$C$13:$C$502,C216,'JUNE (물량흐름)'!$Y$13:$Y$502)</f>
        <v>0</v>
      </c>
      <c r="Q216" s="6">
        <f t="shared" si="64"/>
        <v>0</v>
      </c>
      <c r="R216" s="6">
        <f>IF(ISERROR(VLOOKUP(#REF!,'WIP(재공품)'!$B$12:$AB$38,13,0)),0,VLOOKUP(#REF!,'WIP(재공품)'!$B$12:$AB$38,13,0))</f>
        <v>0</v>
      </c>
      <c r="S216" s="6">
        <f>IF(ISERROR(VLOOKUP(#REF!,'WIP(재공품)'!$B$12:$AB$38,10,0)),0,VLOOKUP(#REF!,'WIP(재공품)'!$B$12:$AB$38,10,0))</f>
        <v>0</v>
      </c>
      <c r="T216" s="6">
        <f>SUMIF('JUNE (물량흐름)'!$C$13:$C$502,'Overhead exp(제조경비)'!C216,'JUNE (물량흐름)'!$Y$13:$Y$502)</f>
        <v>0</v>
      </c>
      <c r="U216" s="6">
        <f t="shared" si="59"/>
        <v>0</v>
      </c>
      <c r="V216" s="6">
        <f>ROUND(SUMIF('JUNE (물량흐름)'!$C$13:$C$502,'Overhead exp(제조경비)'!C216,'JUNE (물량흐름)'!$N$13:$N$502),0)</f>
        <v>0</v>
      </c>
      <c r="W216" s="6">
        <f>ROUND(SUMIF('JUNE (물량흐름)'!$C$13:$C$502,'Overhead exp(제조경비)'!C216,'JUNE (물량흐름)'!$O$13:$O$502),0)</f>
        <v>0</v>
      </c>
      <c r="X216" s="6">
        <f>ROUND(SUMIF('JUNE (물량흐름)'!$C$13:$C$502,'Overhead exp(제조경비)'!C216,'JUNE (물량흐름)'!$P$13:$P$502),0)</f>
        <v>91</v>
      </c>
      <c r="Y216" s="6">
        <f t="shared" si="60"/>
        <v>91</v>
      </c>
      <c r="Z216" s="6">
        <f t="shared" si="61"/>
        <v>73</v>
      </c>
      <c r="AA216" s="6">
        <f t="shared" si="66"/>
        <v>1044381</v>
      </c>
      <c r="AB216" s="391">
        <f t="shared" si="62"/>
        <v>0</v>
      </c>
      <c r="AC216" s="391">
        <f t="shared" si="63"/>
        <v>0</v>
      </c>
    </row>
    <row r="217" spans="1:29" s="390" customFormat="1" ht="24" customHeight="1">
      <c r="A217" s="167">
        <v>207</v>
      </c>
      <c r="B217" s="20" t="str">
        <f>IFERROR(VLOOKUP(A217,'JUNE (물량흐름)'!$A$13:$C$502,2,0),0)</f>
        <v>ALFANI</v>
      </c>
      <c r="C217" s="272">
        <f>VLOOKUP(A217,'JUNE (물량흐름)'!$A$13:$C$502,3,0)</f>
        <v>100008604</v>
      </c>
      <c r="D217" s="6">
        <f>VLOOKUP(C217,'WIP(재공품)'!$B$12:$E$493,4,0)</f>
        <v>7936.2499999999991</v>
      </c>
      <c r="E217" s="6">
        <f>IFERROR(VLOOKUP(C217,O.B.JUNE!$AI$7:$AJ$448,2,0),0)</f>
        <v>0</v>
      </c>
      <c r="F217" s="6">
        <f>IFERROR(VLOOKUP(C217,O.B.JUNE!$AI$7:$AK$448,3,0),0)</f>
        <v>21</v>
      </c>
      <c r="G217" s="6">
        <f>IFERROR(VLOOKUP(C217,O.B.JUNE!$AI$7:$AL$448,4,0),0)</f>
        <v>133</v>
      </c>
      <c r="H217" s="6">
        <f t="shared" si="56"/>
        <v>154</v>
      </c>
      <c r="I217" s="6">
        <f>IFERROR(VLOOKUP(C217,O.B.JUNE!$AI$7:$AN$448,6,0),0)</f>
        <v>117</v>
      </c>
      <c r="J217" s="6"/>
      <c r="K217" s="6">
        <f>IFERROR(VLOOKUP(C217,O.B.JUNE!$AI$7:$AO$448,7,0),0)</f>
        <v>1443357</v>
      </c>
      <c r="L217" s="6">
        <f>SUMIF('JUNE (물량흐름)'!$C$13:$C$488,'Overhead exp(제조경비)'!C217,'JUNE (물량흐름)'!$H$13:$H$493)+SUMIF('JUNE (물량흐름)'!$C$13:$C$493,'Overhead exp(제조경비)'!C217,'JUNE (물량흐름)'!$V$13:$V$493)</f>
        <v>0</v>
      </c>
      <c r="M217" s="6">
        <f t="shared" si="57"/>
        <v>0</v>
      </c>
      <c r="N217" s="6">
        <f t="shared" si="58"/>
        <v>0</v>
      </c>
      <c r="O217" s="6">
        <f t="shared" si="67"/>
        <v>0</v>
      </c>
      <c r="P217" s="6">
        <f>SUMIF('JUNE (물량흐름)'!$C$13:$C$502,C217,'JUNE (물량흐름)'!$T$13:$T$502)+SUMIF('JUNE (물량흐름)'!$C$13:$C$502,C217,'JUNE (물량흐름)'!$V$13:$V$502)+SUMIF('JUNE (물량흐름)'!$C$13:$C$502,C217,'JUNE (물량흐름)'!$U$13:$U$502)-SUMIF('JUNE (물량흐름)'!$C$13:$C$502,C217,'JUNE (물량흐름)'!$Y$13:$Y$502)</f>
        <v>0</v>
      </c>
      <c r="Q217" s="6">
        <f t="shared" si="64"/>
        <v>0</v>
      </c>
      <c r="R217" s="6">
        <f>IF(ISERROR(VLOOKUP(#REF!,'WIP(재공품)'!$B$12:$AB$38,13,0)),0,VLOOKUP(#REF!,'WIP(재공품)'!$B$12:$AB$38,13,0))</f>
        <v>0</v>
      </c>
      <c r="S217" s="6">
        <f>IF(ISERROR(VLOOKUP(#REF!,'WIP(재공품)'!$B$12:$AB$38,10,0)),0,VLOOKUP(#REF!,'WIP(재공품)'!$B$12:$AB$38,10,0))</f>
        <v>0</v>
      </c>
      <c r="T217" s="6">
        <f>SUMIF('JUNE (물량흐름)'!$C$13:$C$502,'Overhead exp(제조경비)'!C217,'JUNE (물량흐름)'!$Y$13:$Y$502)</f>
        <v>0</v>
      </c>
      <c r="U217" s="6">
        <f t="shared" si="59"/>
        <v>0</v>
      </c>
      <c r="V217" s="6">
        <f>ROUND(SUMIF('JUNE (물량흐름)'!$C$13:$C$502,'Overhead exp(제조경비)'!C217,'JUNE (물량흐름)'!$N$13:$N$502),0)</f>
        <v>0</v>
      </c>
      <c r="W217" s="6">
        <f>ROUND(SUMIF('JUNE (물량흐름)'!$C$13:$C$502,'Overhead exp(제조경비)'!C217,'JUNE (물량흐름)'!$O$13:$O$502),0)</f>
        <v>21</v>
      </c>
      <c r="X217" s="6">
        <f>ROUND(SUMIF('JUNE (물량흐름)'!$C$13:$C$502,'Overhead exp(제조경비)'!C217,'JUNE (물량흐름)'!$P$13:$P$502),0)</f>
        <v>133</v>
      </c>
      <c r="Y217" s="6">
        <f t="shared" si="60"/>
        <v>154</v>
      </c>
      <c r="Z217" s="6">
        <f t="shared" si="61"/>
        <v>117</v>
      </c>
      <c r="AA217" s="6">
        <f t="shared" si="66"/>
        <v>1443357</v>
      </c>
      <c r="AB217" s="391">
        <f t="shared" si="62"/>
        <v>0</v>
      </c>
      <c r="AC217" s="391">
        <f t="shared" si="63"/>
        <v>0</v>
      </c>
    </row>
    <row r="218" spans="1:29" s="390" customFormat="1" ht="24" customHeight="1">
      <c r="A218" s="167">
        <v>208</v>
      </c>
      <c r="B218" s="20" t="str">
        <f>IFERROR(VLOOKUP(A218,'JUNE (물량흐름)'!$A$13:$C$502,2,0),0)</f>
        <v>ALFANI</v>
      </c>
      <c r="C218" s="272">
        <f>VLOOKUP(A218,'JUNE (물량흐름)'!$A$13:$C$502,3,0)</f>
        <v>100008605</v>
      </c>
      <c r="D218" s="6">
        <f>VLOOKUP(C218,'WIP(재공품)'!$B$12:$E$493,4,0)</f>
        <v>7936.2499999999991</v>
      </c>
      <c r="E218" s="6">
        <f>IFERROR(VLOOKUP(C218,O.B.JUNE!$AI$7:$AJ$448,2,0),0)</f>
        <v>0</v>
      </c>
      <c r="F218" s="6">
        <f>IFERROR(VLOOKUP(C218,O.B.JUNE!$AI$7:$AK$448,3,0),0)</f>
        <v>0</v>
      </c>
      <c r="G218" s="6">
        <f>IFERROR(VLOOKUP(C218,O.B.JUNE!$AI$7:$AL$448,4,0),0)</f>
        <v>222</v>
      </c>
      <c r="H218" s="6">
        <f t="shared" si="56"/>
        <v>222</v>
      </c>
      <c r="I218" s="6">
        <f>IFERROR(VLOOKUP(C218,O.B.JUNE!$AI$7:$AN$448,6,0),0)</f>
        <v>178</v>
      </c>
      <c r="J218" s="6"/>
      <c r="K218" s="6">
        <f>IFERROR(VLOOKUP(C218,O.B.JUNE!$AI$7:$AO$448,7,0),0)</f>
        <v>2383374</v>
      </c>
      <c r="L218" s="6">
        <f>SUMIF('JUNE (물량흐름)'!$C$13:$C$488,'Overhead exp(제조경비)'!C218,'JUNE (물량흐름)'!$H$13:$H$493)+SUMIF('JUNE (물량흐름)'!$C$13:$C$493,'Overhead exp(제조경비)'!C218,'JUNE (물량흐름)'!$V$13:$V$493)</f>
        <v>0</v>
      </c>
      <c r="M218" s="6">
        <f t="shared" si="57"/>
        <v>0</v>
      </c>
      <c r="N218" s="6">
        <f t="shared" si="58"/>
        <v>0</v>
      </c>
      <c r="O218" s="6">
        <f t="shared" si="67"/>
        <v>0</v>
      </c>
      <c r="P218" s="6">
        <f>SUMIF('JUNE (물량흐름)'!$C$13:$C$502,C218,'JUNE (물량흐름)'!$T$13:$T$502)+SUMIF('JUNE (물량흐름)'!$C$13:$C$502,C218,'JUNE (물량흐름)'!$V$13:$V$502)+SUMIF('JUNE (물량흐름)'!$C$13:$C$502,C218,'JUNE (물량흐름)'!$U$13:$U$502)-SUMIF('JUNE (물량흐름)'!$C$13:$C$502,C218,'JUNE (물량흐름)'!$Y$13:$Y$502)</f>
        <v>0</v>
      </c>
      <c r="Q218" s="6">
        <f t="shared" si="64"/>
        <v>0</v>
      </c>
      <c r="R218" s="6">
        <f>IF(ISERROR(VLOOKUP(#REF!,'WIP(재공품)'!$B$12:$AB$38,13,0)),0,VLOOKUP(#REF!,'WIP(재공품)'!$B$12:$AB$38,13,0))</f>
        <v>0</v>
      </c>
      <c r="S218" s="6">
        <f>IF(ISERROR(VLOOKUP(#REF!,'WIP(재공품)'!$B$12:$AB$38,10,0)),0,VLOOKUP(#REF!,'WIP(재공품)'!$B$12:$AB$38,10,0))</f>
        <v>0</v>
      </c>
      <c r="T218" s="6">
        <f>SUMIF('JUNE (물량흐름)'!$C$13:$C$502,'Overhead exp(제조경비)'!C218,'JUNE (물량흐름)'!$Y$13:$Y$502)</f>
        <v>0</v>
      </c>
      <c r="U218" s="6">
        <f t="shared" si="59"/>
        <v>0</v>
      </c>
      <c r="V218" s="6">
        <f>ROUND(SUMIF('JUNE (물량흐름)'!$C$13:$C$502,'Overhead exp(제조경비)'!C218,'JUNE (물량흐름)'!$N$13:$N$502),0)</f>
        <v>0</v>
      </c>
      <c r="W218" s="6">
        <f>ROUND(SUMIF('JUNE (물량흐름)'!$C$13:$C$502,'Overhead exp(제조경비)'!C218,'JUNE (물량흐름)'!$O$13:$O$502),0)</f>
        <v>0</v>
      </c>
      <c r="X218" s="6">
        <f>ROUND(SUMIF('JUNE (물량흐름)'!$C$13:$C$502,'Overhead exp(제조경비)'!C218,'JUNE (물량흐름)'!$P$13:$P$502),0)</f>
        <v>222</v>
      </c>
      <c r="Y218" s="6">
        <f t="shared" si="60"/>
        <v>222</v>
      </c>
      <c r="Z218" s="6">
        <f t="shared" si="61"/>
        <v>178</v>
      </c>
      <c r="AA218" s="6">
        <f t="shared" si="66"/>
        <v>2383374</v>
      </c>
      <c r="AB218" s="391">
        <f t="shared" si="62"/>
        <v>0</v>
      </c>
      <c r="AC218" s="391">
        <f t="shared" si="63"/>
        <v>0</v>
      </c>
    </row>
    <row r="219" spans="1:29" s="390" customFormat="1" ht="24" customHeight="1">
      <c r="A219" s="167">
        <v>209</v>
      </c>
      <c r="B219" s="20" t="str">
        <f>IFERROR(VLOOKUP(A219,'JUNE (물량흐름)'!$A$13:$C$502,2,0),0)</f>
        <v>ALFANI</v>
      </c>
      <c r="C219" s="272">
        <f>VLOOKUP(A219,'JUNE (물량흐름)'!$A$13:$C$502,3,0)</f>
        <v>100008607</v>
      </c>
      <c r="D219" s="6">
        <f>VLOOKUP(C219,'WIP(재공품)'!$B$12:$E$493,4,0)</f>
        <v>7936.2499999999991</v>
      </c>
      <c r="E219" s="6">
        <f>IFERROR(VLOOKUP(C219,O.B.JUNE!$AI$7:$AJ$448,2,0),0)</f>
        <v>0</v>
      </c>
      <c r="F219" s="6">
        <f>IFERROR(VLOOKUP(C219,O.B.JUNE!$AI$7:$AK$448,3,0),0)</f>
        <v>0</v>
      </c>
      <c r="G219" s="6">
        <f>IFERROR(VLOOKUP(C219,O.B.JUNE!$AI$7:$AL$448,4,0),0)</f>
        <v>146</v>
      </c>
      <c r="H219" s="6">
        <f t="shared" si="56"/>
        <v>146</v>
      </c>
      <c r="I219" s="6">
        <f>IFERROR(VLOOKUP(C219,O.B.JUNE!$AI$7:$AN$448,6,0),0)</f>
        <v>117</v>
      </c>
      <c r="J219" s="6"/>
      <c r="K219" s="6">
        <f>IFERROR(VLOOKUP(C219,O.B.JUNE!$AI$7:$AO$448,7,0),0)</f>
        <v>2493072</v>
      </c>
      <c r="L219" s="6">
        <f>SUMIF('JUNE (물량흐름)'!$C$13:$C$488,'Overhead exp(제조경비)'!C219,'JUNE (물량흐름)'!$H$13:$H$493)+SUMIF('JUNE (물량흐름)'!$C$13:$C$493,'Overhead exp(제조경비)'!C219,'JUNE (물량흐름)'!$V$13:$V$493)</f>
        <v>0</v>
      </c>
      <c r="M219" s="6">
        <f t="shared" si="57"/>
        <v>0</v>
      </c>
      <c r="N219" s="6">
        <f t="shared" si="58"/>
        <v>0</v>
      </c>
      <c r="O219" s="6">
        <f t="shared" si="67"/>
        <v>0</v>
      </c>
      <c r="P219" s="6">
        <f>SUMIF('JUNE (물량흐름)'!$C$13:$C$502,C219,'JUNE (물량흐름)'!$T$13:$T$502)+SUMIF('JUNE (물량흐름)'!$C$13:$C$502,C219,'JUNE (물량흐름)'!$V$13:$V$502)+SUMIF('JUNE (물량흐름)'!$C$13:$C$502,C219,'JUNE (물량흐름)'!$U$13:$U$502)-SUMIF('JUNE (물량흐름)'!$C$13:$C$502,C219,'JUNE (물량흐름)'!$Y$13:$Y$502)</f>
        <v>0</v>
      </c>
      <c r="Q219" s="6">
        <f t="shared" si="64"/>
        <v>0</v>
      </c>
      <c r="R219" s="6">
        <f>IF(ISERROR(VLOOKUP(#REF!,'WIP(재공품)'!$B$12:$AB$38,13,0)),0,VLOOKUP(#REF!,'WIP(재공품)'!$B$12:$AB$38,13,0))</f>
        <v>0</v>
      </c>
      <c r="S219" s="6">
        <f>IF(ISERROR(VLOOKUP(#REF!,'WIP(재공품)'!$B$12:$AB$38,10,0)),0,VLOOKUP(#REF!,'WIP(재공품)'!$B$12:$AB$38,10,0))</f>
        <v>0</v>
      </c>
      <c r="T219" s="6">
        <f>SUMIF('JUNE (물량흐름)'!$C$13:$C$502,'Overhead exp(제조경비)'!C219,'JUNE (물량흐름)'!$Y$13:$Y$502)</f>
        <v>0</v>
      </c>
      <c r="U219" s="6">
        <f t="shared" si="59"/>
        <v>0</v>
      </c>
      <c r="V219" s="6">
        <f>ROUND(SUMIF('JUNE (물량흐름)'!$C$13:$C$502,'Overhead exp(제조경비)'!C219,'JUNE (물량흐름)'!$N$13:$N$502),0)</f>
        <v>0</v>
      </c>
      <c r="W219" s="6">
        <f>ROUND(SUMIF('JUNE (물량흐름)'!$C$13:$C$502,'Overhead exp(제조경비)'!C219,'JUNE (물량흐름)'!$O$13:$O$502),0)</f>
        <v>0</v>
      </c>
      <c r="X219" s="6">
        <f>ROUND(SUMIF('JUNE (물량흐름)'!$C$13:$C$502,'Overhead exp(제조경비)'!C219,'JUNE (물량흐름)'!$P$13:$P$502),0)</f>
        <v>146</v>
      </c>
      <c r="Y219" s="6">
        <f t="shared" si="60"/>
        <v>146</v>
      </c>
      <c r="Z219" s="6">
        <f t="shared" si="61"/>
        <v>117</v>
      </c>
      <c r="AA219" s="6">
        <f t="shared" si="66"/>
        <v>2493072</v>
      </c>
      <c r="AB219" s="391">
        <f t="shared" si="62"/>
        <v>0</v>
      </c>
      <c r="AC219" s="391">
        <f t="shared" si="63"/>
        <v>0</v>
      </c>
    </row>
    <row r="220" spans="1:29" s="390" customFormat="1" ht="24" customHeight="1">
      <c r="A220" s="167">
        <v>210</v>
      </c>
      <c r="B220" s="20" t="str">
        <f>IFERROR(VLOOKUP(A220,'JUNE (물량흐름)'!$A$13:$C$502,2,0),0)</f>
        <v>ALFANI</v>
      </c>
      <c r="C220" s="272">
        <f>VLOOKUP(A220,'JUNE (물량흐름)'!$A$13:$C$502,3,0)</f>
        <v>100008660</v>
      </c>
      <c r="D220" s="6">
        <f>VLOOKUP(C220,'WIP(재공품)'!$B$12:$E$493,4,0)</f>
        <v>7936.2499999999991</v>
      </c>
      <c r="E220" s="6">
        <f>IFERROR(VLOOKUP(C220,O.B.JUNE!$AI$7:$AJ$448,2,0),0)</f>
        <v>0</v>
      </c>
      <c r="F220" s="6">
        <f>IFERROR(VLOOKUP(C220,O.B.JUNE!$AI$7:$AK$448,3,0),0)</f>
        <v>0</v>
      </c>
      <c r="G220" s="6">
        <f>IFERROR(VLOOKUP(C220,O.B.JUNE!$AI$7:$AL$448,4,0),0)</f>
        <v>195</v>
      </c>
      <c r="H220" s="6">
        <f t="shared" si="56"/>
        <v>195</v>
      </c>
      <c r="I220" s="6">
        <f>IFERROR(VLOOKUP(C220,O.B.JUNE!$AI$7:$AN$448,6,0),0)</f>
        <v>156</v>
      </c>
      <c r="J220" s="6"/>
      <c r="K220" s="6">
        <f>IFERROR(VLOOKUP(C220,O.B.JUNE!$AI$7:$AO$448,7,0),0)</f>
        <v>3722674</v>
      </c>
      <c r="L220" s="6">
        <f>SUMIF('JUNE (물량흐름)'!$C$13:$C$488,'Overhead exp(제조경비)'!C220,'JUNE (물량흐름)'!$H$13:$H$493)+SUMIF('JUNE (물량흐름)'!$C$13:$C$493,'Overhead exp(제조경비)'!C220,'JUNE (물량흐름)'!$V$13:$V$493)</f>
        <v>0</v>
      </c>
      <c r="M220" s="6">
        <f t="shared" si="57"/>
        <v>0</v>
      </c>
      <c r="N220" s="6">
        <f t="shared" si="58"/>
        <v>0</v>
      </c>
      <c r="O220" s="6">
        <f t="shared" si="67"/>
        <v>0</v>
      </c>
      <c r="P220" s="6">
        <f>SUMIF('JUNE (물량흐름)'!$C$13:$C$502,C220,'JUNE (물량흐름)'!$T$13:$T$502)+SUMIF('JUNE (물량흐름)'!$C$13:$C$502,C220,'JUNE (물량흐름)'!$V$13:$V$502)+SUMIF('JUNE (물량흐름)'!$C$13:$C$502,C220,'JUNE (물량흐름)'!$U$13:$U$502)-SUMIF('JUNE (물량흐름)'!$C$13:$C$502,C220,'JUNE (물량흐름)'!$Y$13:$Y$502)</f>
        <v>0</v>
      </c>
      <c r="Q220" s="6">
        <f t="shared" si="64"/>
        <v>0</v>
      </c>
      <c r="R220" s="6">
        <f>IF(ISERROR(VLOOKUP(#REF!,'WIP(재공품)'!$B$12:$AB$38,13,0)),0,VLOOKUP(#REF!,'WIP(재공품)'!$B$12:$AB$38,13,0))</f>
        <v>0</v>
      </c>
      <c r="S220" s="6">
        <f>IF(ISERROR(VLOOKUP(#REF!,'WIP(재공품)'!$B$12:$AB$38,10,0)),0,VLOOKUP(#REF!,'WIP(재공품)'!$B$12:$AB$38,10,0))</f>
        <v>0</v>
      </c>
      <c r="T220" s="6">
        <f>SUMIF('JUNE (물량흐름)'!$C$13:$C$502,'Overhead exp(제조경비)'!C220,'JUNE (물량흐름)'!$Y$13:$Y$502)</f>
        <v>0</v>
      </c>
      <c r="U220" s="6">
        <f t="shared" si="59"/>
        <v>0</v>
      </c>
      <c r="V220" s="6">
        <f>ROUND(SUMIF('JUNE (물량흐름)'!$C$13:$C$502,'Overhead exp(제조경비)'!C220,'JUNE (물량흐름)'!$N$13:$N$502),0)</f>
        <v>0</v>
      </c>
      <c r="W220" s="6">
        <f>ROUND(SUMIF('JUNE (물량흐름)'!$C$13:$C$502,'Overhead exp(제조경비)'!C220,'JUNE (물량흐름)'!$O$13:$O$502),0)</f>
        <v>0</v>
      </c>
      <c r="X220" s="6">
        <f>ROUND(SUMIF('JUNE (물량흐름)'!$C$13:$C$502,'Overhead exp(제조경비)'!C220,'JUNE (물량흐름)'!$P$13:$P$502),0)</f>
        <v>195</v>
      </c>
      <c r="Y220" s="6">
        <f t="shared" si="60"/>
        <v>195</v>
      </c>
      <c r="Z220" s="6">
        <f t="shared" si="61"/>
        <v>156</v>
      </c>
      <c r="AA220" s="6">
        <f t="shared" si="66"/>
        <v>3722674</v>
      </c>
      <c r="AB220" s="391">
        <f t="shared" si="62"/>
        <v>0</v>
      </c>
      <c r="AC220" s="391">
        <f t="shared" si="63"/>
        <v>0</v>
      </c>
    </row>
    <row r="221" spans="1:29" s="390" customFormat="1" ht="24" customHeight="1">
      <c r="A221" s="167">
        <v>211</v>
      </c>
      <c r="B221" s="20" t="str">
        <f>IFERROR(VLOOKUP(A221,'JUNE (물량흐름)'!$A$13:$C$502,2,0),0)</f>
        <v>ALFANI</v>
      </c>
      <c r="C221" s="272">
        <f>VLOOKUP(A221,'JUNE (물량흐름)'!$A$13:$C$502,3,0)</f>
        <v>100008746</v>
      </c>
      <c r="D221" s="6">
        <f>VLOOKUP(C221,'WIP(재공품)'!$B$12:$E$493,4,0)</f>
        <v>7936.2499999999991</v>
      </c>
      <c r="E221" s="6">
        <f>IFERROR(VLOOKUP(C221,O.B.JUNE!$AI$7:$AJ$448,2,0),0)</f>
        <v>0</v>
      </c>
      <c r="F221" s="6">
        <f>IFERROR(VLOOKUP(C221,O.B.JUNE!$AI$7:$AK$448,3,0),0)</f>
        <v>0</v>
      </c>
      <c r="G221" s="6">
        <f>IFERROR(VLOOKUP(C221,O.B.JUNE!$AI$7:$AL$448,4,0),0)</f>
        <v>25</v>
      </c>
      <c r="H221" s="6">
        <f t="shared" si="56"/>
        <v>25</v>
      </c>
      <c r="I221" s="6">
        <f>IFERROR(VLOOKUP(C221,O.B.JUNE!$AI$7:$AN$448,6,0),0)</f>
        <v>20</v>
      </c>
      <c r="J221" s="6"/>
      <c r="K221" s="6">
        <f>IFERROR(VLOOKUP(C221,O.B.JUNE!$AI$7:$AO$448,7,0),0)</f>
        <v>852332</v>
      </c>
      <c r="L221" s="6">
        <f>SUMIF('JUNE (물량흐름)'!$C$13:$C$488,'Overhead exp(제조경비)'!C221,'JUNE (물량흐름)'!$H$13:$H$493)+SUMIF('JUNE (물량흐름)'!$C$13:$C$493,'Overhead exp(제조경비)'!C221,'JUNE (물량흐름)'!$V$13:$V$493)</f>
        <v>0</v>
      </c>
      <c r="M221" s="6">
        <f t="shared" si="57"/>
        <v>0</v>
      </c>
      <c r="N221" s="6">
        <f t="shared" si="58"/>
        <v>0</v>
      </c>
      <c r="O221" s="6">
        <f t="shared" si="67"/>
        <v>0</v>
      </c>
      <c r="P221" s="6">
        <f>SUMIF('JUNE (물량흐름)'!$C$13:$C$502,C221,'JUNE (물량흐름)'!$T$13:$T$502)+SUMIF('JUNE (물량흐름)'!$C$13:$C$502,C221,'JUNE (물량흐름)'!$V$13:$V$502)+SUMIF('JUNE (물량흐름)'!$C$13:$C$502,C221,'JUNE (물량흐름)'!$U$13:$U$502)-SUMIF('JUNE (물량흐름)'!$C$13:$C$502,C221,'JUNE (물량흐름)'!$Y$13:$Y$502)</f>
        <v>0</v>
      </c>
      <c r="Q221" s="6">
        <f t="shared" si="64"/>
        <v>0</v>
      </c>
      <c r="R221" s="6">
        <f>IF(ISERROR(VLOOKUP(#REF!,'WIP(재공품)'!$B$12:$AB$38,13,0)),0,VLOOKUP(#REF!,'WIP(재공품)'!$B$12:$AB$38,13,0))</f>
        <v>0</v>
      </c>
      <c r="S221" s="6">
        <f>IF(ISERROR(VLOOKUP(#REF!,'WIP(재공품)'!$B$12:$AB$38,10,0)),0,VLOOKUP(#REF!,'WIP(재공품)'!$B$12:$AB$38,10,0))</f>
        <v>0</v>
      </c>
      <c r="T221" s="6">
        <f>SUMIF('JUNE (물량흐름)'!$C$13:$C$502,'Overhead exp(제조경비)'!C221,'JUNE (물량흐름)'!$Y$13:$Y$502)</f>
        <v>0</v>
      </c>
      <c r="U221" s="6">
        <f t="shared" si="59"/>
        <v>0</v>
      </c>
      <c r="V221" s="6">
        <f>ROUND(SUMIF('JUNE (물량흐름)'!$C$13:$C$502,'Overhead exp(제조경비)'!C221,'JUNE (물량흐름)'!$N$13:$N$502),0)</f>
        <v>0</v>
      </c>
      <c r="W221" s="6">
        <f>ROUND(SUMIF('JUNE (물량흐름)'!$C$13:$C$502,'Overhead exp(제조경비)'!C221,'JUNE (물량흐름)'!$O$13:$O$502),0)</f>
        <v>0</v>
      </c>
      <c r="X221" s="6">
        <f>ROUND(SUMIF('JUNE (물량흐름)'!$C$13:$C$502,'Overhead exp(제조경비)'!C221,'JUNE (물량흐름)'!$P$13:$P$502),0)</f>
        <v>25</v>
      </c>
      <c r="Y221" s="6">
        <f t="shared" si="60"/>
        <v>25</v>
      </c>
      <c r="Z221" s="6">
        <f t="shared" si="61"/>
        <v>20</v>
      </c>
      <c r="AA221" s="6">
        <f t="shared" si="66"/>
        <v>852332</v>
      </c>
      <c r="AB221" s="391">
        <f t="shared" si="62"/>
        <v>0</v>
      </c>
      <c r="AC221" s="391">
        <f t="shared" si="63"/>
        <v>0</v>
      </c>
    </row>
    <row r="222" spans="1:29" s="390" customFormat="1" ht="24" customHeight="1">
      <c r="A222" s="167">
        <v>212</v>
      </c>
      <c r="B222" s="20" t="str">
        <f>IFERROR(VLOOKUP(A222,'JUNE (물량흐름)'!$A$13:$C$502,2,0),0)</f>
        <v>ALFANI</v>
      </c>
      <c r="C222" s="272">
        <f>VLOOKUP(A222,'JUNE (물량흐름)'!$A$13:$C$502,3,0)</f>
        <v>100009162</v>
      </c>
      <c r="D222" s="6">
        <f>VLOOKUP(C222,'WIP(재공품)'!$B$12:$E$493,4,0)</f>
        <v>32878.75</v>
      </c>
      <c r="E222" s="6">
        <f>IFERROR(VLOOKUP(C222,O.B.JUNE!$AI$7:$AJ$448,2,0),0)</f>
        <v>0</v>
      </c>
      <c r="F222" s="6">
        <f>IFERROR(VLOOKUP(C222,O.B.JUNE!$AI$7:$AK$448,3,0),0)</f>
        <v>0</v>
      </c>
      <c r="G222" s="6">
        <f>IFERROR(VLOOKUP(C222,O.B.JUNE!$AI$7:$AL$448,4,0),0)</f>
        <v>86</v>
      </c>
      <c r="H222" s="6">
        <f t="shared" si="56"/>
        <v>86</v>
      </c>
      <c r="I222" s="6">
        <f>IFERROR(VLOOKUP(C222,O.B.JUNE!$AI$7:$AN$448,6,0),0)</f>
        <v>69</v>
      </c>
      <c r="J222" s="6"/>
      <c r="K222" s="6">
        <f>IFERROR(VLOOKUP(C222,O.B.JUNE!$AI$7:$AO$448,7,0),0)</f>
        <v>1547656</v>
      </c>
      <c r="L222" s="6">
        <f>SUMIF('JUNE (물량흐름)'!$C$13:$C$488,'Overhead exp(제조경비)'!C222,'JUNE (물량흐름)'!$H$13:$H$493)+SUMIF('JUNE (물량흐름)'!$C$13:$C$493,'Overhead exp(제조경비)'!C222,'JUNE (물량흐름)'!$V$13:$V$493)</f>
        <v>0</v>
      </c>
      <c r="M222" s="6">
        <f t="shared" si="57"/>
        <v>0</v>
      </c>
      <c r="N222" s="6">
        <f t="shared" si="58"/>
        <v>0</v>
      </c>
      <c r="O222" s="6">
        <f t="shared" si="67"/>
        <v>0</v>
      </c>
      <c r="P222" s="6">
        <f>SUMIF('JUNE (물량흐름)'!$C$13:$C$502,C222,'JUNE (물량흐름)'!$T$13:$T$502)+SUMIF('JUNE (물량흐름)'!$C$13:$C$502,C222,'JUNE (물량흐름)'!$V$13:$V$502)+SUMIF('JUNE (물량흐름)'!$C$13:$C$502,C222,'JUNE (물량흐름)'!$U$13:$U$502)-SUMIF('JUNE (물량흐름)'!$C$13:$C$502,C222,'JUNE (물량흐름)'!$Y$13:$Y$502)</f>
        <v>0</v>
      </c>
      <c r="Q222" s="6">
        <f t="shared" si="64"/>
        <v>0</v>
      </c>
      <c r="R222" s="6">
        <f>IF(ISERROR(VLOOKUP(#REF!,'WIP(재공품)'!$B$12:$AB$38,13,0)),0,VLOOKUP(#REF!,'WIP(재공품)'!$B$12:$AB$38,13,0))</f>
        <v>0</v>
      </c>
      <c r="S222" s="6">
        <f>IF(ISERROR(VLOOKUP(#REF!,'WIP(재공품)'!$B$12:$AB$38,10,0)),0,VLOOKUP(#REF!,'WIP(재공품)'!$B$12:$AB$38,10,0))</f>
        <v>0</v>
      </c>
      <c r="T222" s="6">
        <f>SUMIF('JUNE (물량흐름)'!$C$13:$C$502,'Overhead exp(제조경비)'!C222,'JUNE (물량흐름)'!$Y$13:$Y$502)</f>
        <v>0</v>
      </c>
      <c r="U222" s="6">
        <f t="shared" si="59"/>
        <v>0</v>
      </c>
      <c r="V222" s="6">
        <f>ROUND(SUMIF('JUNE (물량흐름)'!$C$13:$C$502,'Overhead exp(제조경비)'!C222,'JUNE (물량흐름)'!$N$13:$N$502),0)</f>
        <v>0</v>
      </c>
      <c r="W222" s="6">
        <f>ROUND(SUMIF('JUNE (물량흐름)'!$C$13:$C$502,'Overhead exp(제조경비)'!C222,'JUNE (물량흐름)'!$O$13:$O$502),0)</f>
        <v>0</v>
      </c>
      <c r="X222" s="6">
        <f>ROUND(SUMIF('JUNE (물량흐름)'!$C$13:$C$502,'Overhead exp(제조경비)'!C222,'JUNE (물량흐름)'!$P$13:$P$502),0)</f>
        <v>86</v>
      </c>
      <c r="Y222" s="6">
        <f t="shared" si="60"/>
        <v>86</v>
      </c>
      <c r="Z222" s="6">
        <f t="shared" si="61"/>
        <v>69</v>
      </c>
      <c r="AA222" s="6">
        <f t="shared" si="66"/>
        <v>1547656</v>
      </c>
      <c r="AB222" s="391">
        <f t="shared" si="62"/>
        <v>0</v>
      </c>
      <c r="AC222" s="391">
        <f t="shared" si="63"/>
        <v>0</v>
      </c>
    </row>
    <row r="223" spans="1:29" s="390" customFormat="1" ht="24" customHeight="1">
      <c r="A223" s="167">
        <v>213</v>
      </c>
      <c r="B223" s="20" t="str">
        <f>IFERROR(VLOOKUP(A223,'JUNE (물량흐름)'!$A$13:$C$502,2,0),0)</f>
        <v>ALFANI</v>
      </c>
      <c r="C223" s="272">
        <f>VLOOKUP(A223,'JUNE (물량흐름)'!$A$13:$C$502,3,0)</f>
        <v>100009622</v>
      </c>
      <c r="D223" s="6">
        <f>VLOOKUP(C223,'WIP(재공품)'!$B$12:$E$493,4,0)</f>
        <v>30611.250000000004</v>
      </c>
      <c r="E223" s="6">
        <f>IFERROR(VLOOKUP(C223,O.B.JUNE!$AI$7:$AJ$448,2,0),0)</f>
        <v>0</v>
      </c>
      <c r="F223" s="6">
        <f>IFERROR(VLOOKUP(C223,O.B.JUNE!$AI$7:$AK$448,3,0),0)</f>
        <v>189</v>
      </c>
      <c r="G223" s="6">
        <f>IFERROR(VLOOKUP(C223,O.B.JUNE!$AI$7:$AL$448,4,0),0)</f>
        <v>236</v>
      </c>
      <c r="H223" s="6">
        <f t="shared" si="56"/>
        <v>425</v>
      </c>
      <c r="I223" s="6">
        <f>IFERROR(VLOOKUP(C223,O.B.JUNE!$AI$7:$AN$448,6,0),0)</f>
        <v>283</v>
      </c>
      <c r="J223" s="6"/>
      <c r="K223" s="6">
        <f>IFERROR(VLOOKUP(C223,O.B.JUNE!$AI$7:$AO$448,7,0),0)</f>
        <v>16194718</v>
      </c>
      <c r="L223" s="6">
        <f>SUMIF('JUNE (물량흐름)'!$C$13:$C$488,'Overhead exp(제조경비)'!C223,'JUNE (물량흐름)'!$H$13:$H$493)+SUMIF('JUNE (물량흐름)'!$C$13:$C$493,'Overhead exp(제조경비)'!C223,'JUNE (물량흐름)'!$V$13:$V$493)</f>
        <v>0</v>
      </c>
      <c r="M223" s="6">
        <f t="shared" si="57"/>
        <v>0</v>
      </c>
      <c r="N223" s="6">
        <f t="shared" si="58"/>
        <v>0</v>
      </c>
      <c r="O223" s="6">
        <f t="shared" si="67"/>
        <v>0</v>
      </c>
      <c r="P223" s="6">
        <f>SUMIF('JUNE (물량흐름)'!$C$13:$C$502,C223,'JUNE (물량흐름)'!$T$13:$T$502)+SUMIF('JUNE (물량흐름)'!$C$13:$C$502,C223,'JUNE (물량흐름)'!$V$13:$V$502)+SUMIF('JUNE (물량흐름)'!$C$13:$C$502,C223,'JUNE (물량흐름)'!$U$13:$U$502)-SUMIF('JUNE (물량흐름)'!$C$13:$C$502,C223,'JUNE (물량흐름)'!$Y$13:$Y$502)</f>
        <v>0</v>
      </c>
      <c r="Q223" s="6">
        <f t="shared" si="64"/>
        <v>0</v>
      </c>
      <c r="R223" s="6">
        <f>IF(ISERROR(VLOOKUP(#REF!,'WIP(재공품)'!$B$12:$AB$38,13,0)),0,VLOOKUP(#REF!,'WIP(재공품)'!$B$12:$AB$38,13,0))</f>
        <v>0</v>
      </c>
      <c r="S223" s="6">
        <f>IF(ISERROR(VLOOKUP(#REF!,'WIP(재공품)'!$B$12:$AB$38,10,0)),0,VLOOKUP(#REF!,'WIP(재공품)'!$B$12:$AB$38,10,0))</f>
        <v>0</v>
      </c>
      <c r="T223" s="6">
        <f>SUMIF('JUNE (물량흐름)'!$C$13:$C$502,'Overhead exp(제조경비)'!C223,'JUNE (물량흐름)'!$Y$13:$Y$502)</f>
        <v>0</v>
      </c>
      <c r="U223" s="6">
        <f t="shared" si="59"/>
        <v>0</v>
      </c>
      <c r="V223" s="6">
        <f>ROUND(SUMIF('JUNE (물량흐름)'!$C$13:$C$502,'Overhead exp(제조경비)'!C223,'JUNE (물량흐름)'!$N$13:$N$502),0)</f>
        <v>0</v>
      </c>
      <c r="W223" s="6">
        <f>ROUND(SUMIF('JUNE (물량흐름)'!$C$13:$C$502,'Overhead exp(제조경비)'!C223,'JUNE (물량흐름)'!$O$13:$O$502),0)</f>
        <v>189</v>
      </c>
      <c r="X223" s="6">
        <f>ROUND(SUMIF('JUNE (물량흐름)'!$C$13:$C$502,'Overhead exp(제조경비)'!C223,'JUNE (물량흐름)'!$P$13:$P$502),0)</f>
        <v>236</v>
      </c>
      <c r="Y223" s="6">
        <f t="shared" si="60"/>
        <v>425</v>
      </c>
      <c r="Z223" s="6">
        <f t="shared" si="61"/>
        <v>283</v>
      </c>
      <c r="AA223" s="6">
        <f t="shared" si="66"/>
        <v>16194718</v>
      </c>
      <c r="AB223" s="391">
        <f t="shared" si="62"/>
        <v>0</v>
      </c>
      <c r="AC223" s="391">
        <f t="shared" si="63"/>
        <v>0</v>
      </c>
    </row>
    <row r="224" spans="1:29" s="390" customFormat="1" ht="24" customHeight="1">
      <c r="A224" s="167">
        <v>214</v>
      </c>
      <c r="B224" s="20" t="str">
        <f>IFERROR(VLOOKUP(A224,'JUNE (물량흐름)'!$A$13:$C$502,2,0),0)</f>
        <v>ALFANI</v>
      </c>
      <c r="C224" s="272">
        <f>VLOOKUP(A224,'JUNE (물량흐름)'!$A$13:$C$502,3,0)</f>
        <v>100015352</v>
      </c>
      <c r="D224" s="6">
        <f>VLOOKUP(C224,'WIP(재공품)'!$B$12:$E$493,4,0)</f>
        <v>30611.250000000004</v>
      </c>
      <c r="E224" s="6">
        <f>IFERROR(VLOOKUP(C224,O.B.JUNE!$AI$7:$AJ$448,2,0),0)</f>
        <v>0</v>
      </c>
      <c r="F224" s="6">
        <f>IFERROR(VLOOKUP(C224,O.B.JUNE!$AI$7:$AK$448,3,0),0)</f>
        <v>163</v>
      </c>
      <c r="G224" s="6">
        <f>IFERROR(VLOOKUP(C224,O.B.JUNE!$AI$7:$AL$448,4,0),0)</f>
        <v>98</v>
      </c>
      <c r="H224" s="6">
        <f t="shared" si="56"/>
        <v>261</v>
      </c>
      <c r="I224" s="6">
        <f>IFERROR(VLOOKUP(C224,O.B.JUNE!$AI$7:$AN$448,6,0),0)</f>
        <v>160</v>
      </c>
      <c r="J224" s="6"/>
      <c r="K224" s="6">
        <f>IFERROR(VLOOKUP(C224,O.B.JUNE!$AI$7:$AO$448,7,0),0)</f>
        <v>5962320</v>
      </c>
      <c r="L224" s="6">
        <f>SUMIF('JUNE (물량흐름)'!$C$13:$C$488,'Overhead exp(제조경비)'!C224,'JUNE (물량흐름)'!$H$13:$H$493)+SUMIF('JUNE (물량흐름)'!$C$13:$C$493,'Overhead exp(제조경비)'!C224,'JUNE (물량흐름)'!$V$13:$V$493)</f>
        <v>0</v>
      </c>
      <c r="M224" s="6">
        <f t="shared" si="57"/>
        <v>0</v>
      </c>
      <c r="N224" s="6">
        <f t="shared" si="58"/>
        <v>0</v>
      </c>
      <c r="O224" s="6">
        <f t="shared" si="67"/>
        <v>0</v>
      </c>
      <c r="P224" s="6">
        <f>SUMIF('JUNE (물량흐름)'!$C$13:$C$502,C224,'JUNE (물량흐름)'!$T$13:$T$502)+SUMIF('JUNE (물량흐름)'!$C$13:$C$502,C224,'JUNE (물량흐름)'!$V$13:$V$502)+SUMIF('JUNE (물량흐름)'!$C$13:$C$502,C224,'JUNE (물량흐름)'!$U$13:$U$502)-SUMIF('JUNE (물량흐름)'!$C$13:$C$502,C224,'JUNE (물량흐름)'!$Y$13:$Y$502)</f>
        <v>0</v>
      </c>
      <c r="Q224" s="6">
        <f t="shared" si="64"/>
        <v>0</v>
      </c>
      <c r="R224" s="6">
        <f>IF(ISERROR(VLOOKUP(#REF!,'WIP(재공품)'!$B$12:$AB$38,13,0)),0,VLOOKUP(#REF!,'WIP(재공품)'!$B$12:$AB$38,13,0))</f>
        <v>0</v>
      </c>
      <c r="S224" s="6">
        <f>IF(ISERROR(VLOOKUP(#REF!,'WIP(재공품)'!$B$12:$AB$38,10,0)),0,VLOOKUP(#REF!,'WIP(재공품)'!$B$12:$AB$38,10,0))</f>
        <v>0</v>
      </c>
      <c r="T224" s="6">
        <f>SUMIF('JUNE (물량흐름)'!$C$13:$C$502,'Overhead exp(제조경비)'!C224,'JUNE (물량흐름)'!$Y$13:$Y$502)</f>
        <v>0</v>
      </c>
      <c r="U224" s="6">
        <f t="shared" si="59"/>
        <v>0</v>
      </c>
      <c r="V224" s="6">
        <f>ROUND(SUMIF('JUNE (물량흐름)'!$C$13:$C$502,'Overhead exp(제조경비)'!C224,'JUNE (물량흐름)'!$N$13:$N$502),0)</f>
        <v>0</v>
      </c>
      <c r="W224" s="6">
        <f>ROUND(SUMIF('JUNE (물량흐름)'!$C$13:$C$502,'Overhead exp(제조경비)'!C224,'JUNE (물량흐름)'!$O$13:$O$502),0)</f>
        <v>163</v>
      </c>
      <c r="X224" s="6">
        <f>ROUND(SUMIF('JUNE (물량흐름)'!$C$13:$C$502,'Overhead exp(제조경비)'!C224,'JUNE (물량흐름)'!$P$13:$P$502),0)</f>
        <v>98</v>
      </c>
      <c r="Y224" s="6">
        <f t="shared" si="60"/>
        <v>261</v>
      </c>
      <c r="Z224" s="6">
        <f t="shared" si="61"/>
        <v>160</v>
      </c>
      <c r="AA224" s="6">
        <f t="shared" si="66"/>
        <v>5962320</v>
      </c>
      <c r="AB224" s="391">
        <f t="shared" si="62"/>
        <v>0</v>
      </c>
      <c r="AC224" s="391">
        <f t="shared" si="63"/>
        <v>0</v>
      </c>
    </row>
    <row r="225" spans="1:29" s="390" customFormat="1" ht="24" customHeight="1">
      <c r="A225" s="167">
        <v>215</v>
      </c>
      <c r="B225" s="20" t="str">
        <f>IFERROR(VLOOKUP(A225,'JUNE (물량흐름)'!$A$13:$C$502,2,0),0)</f>
        <v>ALFANI</v>
      </c>
      <c r="C225" s="272">
        <f>VLOOKUP(A225,'JUNE (물량흐름)'!$A$13:$C$502,3,0)</f>
        <v>100015355</v>
      </c>
      <c r="D225" s="6">
        <f>VLOOKUP(C225,'WIP(재공품)'!$B$12:$E$493,4,0)</f>
        <v>36280</v>
      </c>
      <c r="E225" s="6">
        <f>IFERROR(VLOOKUP(C225,O.B.JUNE!$AI$7:$AJ$448,2,0),0)</f>
        <v>0</v>
      </c>
      <c r="F225" s="6">
        <f>IFERROR(VLOOKUP(C225,O.B.JUNE!$AI$7:$AK$448,3,0),0)</f>
        <v>104</v>
      </c>
      <c r="G225" s="6">
        <f>IFERROR(VLOOKUP(C225,O.B.JUNE!$AI$7:$AL$448,4,0),0)</f>
        <v>240</v>
      </c>
      <c r="H225" s="6">
        <f t="shared" si="56"/>
        <v>344</v>
      </c>
      <c r="I225" s="6">
        <f>IFERROR(VLOOKUP(C225,O.B.JUNE!$AI$7:$AN$448,6,0),0)</f>
        <v>244</v>
      </c>
      <c r="J225" s="6"/>
      <c r="K225" s="6">
        <f>IFERROR(VLOOKUP(C225,O.B.JUNE!$AI$7:$AO$448,7,0),0)</f>
        <v>6726708</v>
      </c>
      <c r="L225" s="6">
        <f>SUMIF('JUNE (물량흐름)'!$C$13:$C$488,'Overhead exp(제조경비)'!C225,'JUNE (물량흐름)'!$H$13:$H$493)+SUMIF('JUNE (물량흐름)'!$C$13:$C$493,'Overhead exp(제조경비)'!C225,'JUNE (물량흐름)'!$V$13:$V$493)</f>
        <v>0</v>
      </c>
      <c r="M225" s="6">
        <f t="shared" si="57"/>
        <v>0</v>
      </c>
      <c r="N225" s="6">
        <f t="shared" si="58"/>
        <v>0</v>
      </c>
      <c r="O225" s="6">
        <f t="shared" si="67"/>
        <v>0</v>
      </c>
      <c r="P225" s="6">
        <f>SUMIF('JUNE (물량흐름)'!$C$13:$C$502,C225,'JUNE (물량흐름)'!$T$13:$T$502)+SUMIF('JUNE (물량흐름)'!$C$13:$C$502,C225,'JUNE (물량흐름)'!$V$13:$V$502)+SUMIF('JUNE (물량흐름)'!$C$13:$C$502,C225,'JUNE (물량흐름)'!$U$13:$U$502)-SUMIF('JUNE (물량흐름)'!$C$13:$C$502,C225,'JUNE (물량흐름)'!$Y$13:$Y$502)</f>
        <v>0</v>
      </c>
      <c r="Q225" s="6">
        <f t="shared" si="64"/>
        <v>0</v>
      </c>
      <c r="R225" s="6">
        <f>IF(ISERROR(VLOOKUP(#REF!,'WIP(재공품)'!$B$12:$AB$38,13,0)),0,VLOOKUP(#REF!,'WIP(재공품)'!$B$12:$AB$38,13,0))</f>
        <v>0</v>
      </c>
      <c r="S225" s="6">
        <f>IF(ISERROR(VLOOKUP(#REF!,'WIP(재공품)'!$B$12:$AB$38,10,0)),0,VLOOKUP(#REF!,'WIP(재공품)'!$B$12:$AB$38,10,0))</f>
        <v>0</v>
      </c>
      <c r="T225" s="6">
        <f>SUMIF('JUNE (물량흐름)'!$C$13:$C$502,'Overhead exp(제조경비)'!C225,'JUNE (물량흐름)'!$Y$13:$Y$502)</f>
        <v>0</v>
      </c>
      <c r="U225" s="6">
        <f t="shared" si="59"/>
        <v>0</v>
      </c>
      <c r="V225" s="6">
        <f>ROUND(SUMIF('JUNE (물량흐름)'!$C$13:$C$502,'Overhead exp(제조경비)'!C225,'JUNE (물량흐름)'!$N$13:$N$502),0)</f>
        <v>0</v>
      </c>
      <c r="W225" s="6">
        <f>ROUND(SUMIF('JUNE (물량흐름)'!$C$13:$C$502,'Overhead exp(제조경비)'!C225,'JUNE (물량흐름)'!$O$13:$O$502),0)</f>
        <v>104</v>
      </c>
      <c r="X225" s="6">
        <f>ROUND(SUMIF('JUNE (물량흐름)'!$C$13:$C$502,'Overhead exp(제조경비)'!C225,'JUNE (물량흐름)'!$P$13:$P$502),0)</f>
        <v>240</v>
      </c>
      <c r="Y225" s="6">
        <f t="shared" si="60"/>
        <v>344</v>
      </c>
      <c r="Z225" s="6">
        <f t="shared" si="61"/>
        <v>244</v>
      </c>
      <c r="AA225" s="6">
        <f t="shared" si="66"/>
        <v>6726708</v>
      </c>
      <c r="AB225" s="391">
        <f t="shared" si="62"/>
        <v>0</v>
      </c>
      <c r="AC225" s="391">
        <f t="shared" si="63"/>
        <v>0</v>
      </c>
    </row>
    <row r="226" spans="1:29" s="390" customFormat="1" ht="24" customHeight="1">
      <c r="A226" s="167">
        <v>216</v>
      </c>
      <c r="B226" s="20" t="str">
        <f>IFERROR(VLOOKUP(A226,'JUNE (물량흐름)'!$A$13:$C$502,2,0),0)</f>
        <v>ALFANI</v>
      </c>
      <c r="C226" s="272">
        <f>VLOOKUP(A226,'JUNE (물량흐름)'!$A$13:$C$502,3,0)</f>
        <v>100015669</v>
      </c>
      <c r="D226" s="6">
        <f>VLOOKUP(C226,'WIP(재공품)'!$B$12:$E$493,4,0)</f>
        <v>8163</v>
      </c>
      <c r="E226" s="6">
        <f>IFERROR(VLOOKUP(C226,O.B.JUNE!$AI$7:$AJ$448,2,0),0)</f>
        <v>0</v>
      </c>
      <c r="F226" s="6">
        <f>IFERROR(VLOOKUP(C226,O.B.JUNE!$AI$7:$AK$448,3,0),0)</f>
        <v>0</v>
      </c>
      <c r="G226" s="6">
        <f>IFERROR(VLOOKUP(C226,O.B.JUNE!$AI$7:$AL$448,4,0),0)</f>
        <v>14</v>
      </c>
      <c r="H226" s="6">
        <f t="shared" si="56"/>
        <v>14</v>
      </c>
      <c r="I226" s="6">
        <f>IFERROR(VLOOKUP(C226,O.B.JUNE!$AI$7:$AN$448,6,0),0)</f>
        <v>11</v>
      </c>
      <c r="J226" s="6"/>
      <c r="K226" s="6">
        <f>IFERROR(VLOOKUP(C226,O.B.JUNE!$AI$7:$AO$448,7,0),0)</f>
        <v>195200</v>
      </c>
      <c r="L226" s="6">
        <f>SUMIF('JUNE (물량흐름)'!$C$13:$C$488,'Overhead exp(제조경비)'!C226,'JUNE (물량흐름)'!$H$13:$H$493)+SUMIF('JUNE (물량흐름)'!$C$13:$C$493,'Overhead exp(제조경비)'!C226,'JUNE (물량흐름)'!$V$13:$V$493)</f>
        <v>6295</v>
      </c>
      <c r="M226" s="6">
        <f t="shared" si="57"/>
        <v>5036</v>
      </c>
      <c r="N226" s="6">
        <f t="shared" si="58"/>
        <v>41108868</v>
      </c>
      <c r="O226" s="6">
        <f t="shared" si="67"/>
        <v>24839619</v>
      </c>
      <c r="P226" s="6">
        <f>SUMIF('JUNE (물량흐름)'!$C$13:$C$502,C226,'JUNE (물량흐름)'!$T$13:$T$502)+SUMIF('JUNE (물량흐름)'!$C$13:$C$502,C226,'JUNE (물량흐름)'!$V$13:$V$502)+SUMIF('JUNE (물량흐름)'!$C$13:$C$502,C226,'JUNE (물량흐름)'!$U$13:$U$502)-SUMIF('JUNE (물량흐름)'!$C$13:$C$502,C226,'JUNE (물량흐름)'!$Y$13:$Y$502)</f>
        <v>0</v>
      </c>
      <c r="Q226" s="6">
        <f t="shared" si="64"/>
        <v>0</v>
      </c>
      <c r="R226" s="6">
        <f>IF(ISERROR(VLOOKUP(#REF!,'WIP(재공품)'!$B$12:$AB$38,13,0)),0,VLOOKUP(#REF!,'WIP(재공품)'!$B$12:$AB$38,13,0))</f>
        <v>0</v>
      </c>
      <c r="S226" s="6">
        <f>IF(ISERROR(VLOOKUP(#REF!,'WIP(재공품)'!$B$12:$AB$38,10,0)),0,VLOOKUP(#REF!,'WIP(재공품)'!$B$12:$AB$38,10,0))</f>
        <v>0</v>
      </c>
      <c r="T226" s="6">
        <f>SUMIF('JUNE (물량흐름)'!$C$13:$C$502,'Overhead exp(제조경비)'!C226,'JUNE (물량흐름)'!$Y$13:$Y$502)</f>
        <v>0</v>
      </c>
      <c r="U226" s="6">
        <f t="shared" si="59"/>
        <v>0</v>
      </c>
      <c r="V226" s="6">
        <f>ROUND(SUMIF('JUNE (물량흐름)'!$C$13:$C$502,'Overhead exp(제조경비)'!C226,'JUNE (물량흐름)'!$N$13:$N$502),0)</f>
        <v>0</v>
      </c>
      <c r="W226" s="6">
        <f>ROUND(SUMIF('JUNE (물량흐름)'!$C$13:$C$502,'Overhead exp(제조경비)'!C226,'JUNE (물량흐름)'!$O$13:$O$502),0)</f>
        <v>0</v>
      </c>
      <c r="X226" s="6">
        <f>ROUND(SUMIF('JUNE (물량흐름)'!$C$13:$C$502,'Overhead exp(제조경비)'!C226,'JUNE (물량흐름)'!$P$13:$P$502),0)</f>
        <v>6309</v>
      </c>
      <c r="Y226" s="6">
        <f t="shared" si="60"/>
        <v>6309</v>
      </c>
      <c r="Z226" s="6">
        <f t="shared" si="61"/>
        <v>5047</v>
      </c>
      <c r="AA226" s="6">
        <f t="shared" si="66"/>
        <v>25034819</v>
      </c>
      <c r="AB226" s="391">
        <f t="shared" si="62"/>
        <v>0</v>
      </c>
      <c r="AC226" s="391">
        <f t="shared" si="63"/>
        <v>0</v>
      </c>
    </row>
    <row r="227" spans="1:29" s="390" customFormat="1" ht="24" customHeight="1">
      <c r="A227" s="167">
        <v>217</v>
      </c>
      <c r="B227" s="20" t="str">
        <f>IFERROR(VLOOKUP(A227,'JUNE (물량흐름)'!$A$13:$C$502,2,0),0)</f>
        <v>ALFANI</v>
      </c>
      <c r="C227" s="272">
        <f>VLOOKUP(A227,'JUNE (물량흐름)'!$A$13:$C$502,3,0)</f>
        <v>100018310</v>
      </c>
      <c r="D227" s="6">
        <f>VLOOKUP(C227,'WIP(재공품)'!$B$12:$E$493,4,0)</f>
        <v>7971.522222222221</v>
      </c>
      <c r="E227" s="6">
        <f>IFERROR(VLOOKUP(C227,O.B.JUNE!$AI$7:$AJ$448,2,0),0)</f>
        <v>0</v>
      </c>
      <c r="F227" s="6">
        <f>IFERROR(VLOOKUP(C227,O.B.JUNE!$AI$7:$AK$448,3,0),0)</f>
        <v>97</v>
      </c>
      <c r="G227" s="6">
        <f>IFERROR(VLOOKUP(C227,O.B.JUNE!$AI$7:$AL$448,4,0),0)</f>
        <v>98</v>
      </c>
      <c r="H227" s="6">
        <f t="shared" si="56"/>
        <v>195</v>
      </c>
      <c r="I227" s="6">
        <f>IFERROR(VLOOKUP(C227,O.B.JUNE!$AI$7:$AN$448,6,0),0)</f>
        <v>127</v>
      </c>
      <c r="J227" s="6"/>
      <c r="K227" s="6">
        <f>IFERROR(VLOOKUP(C227,O.B.JUNE!$AI$7:$AO$448,7,0),0)</f>
        <v>3188403</v>
      </c>
      <c r="L227" s="6">
        <f>SUMIF('JUNE (물량흐름)'!$C$13:$C$488,'Overhead exp(제조경비)'!C227,'JUNE (물량흐름)'!$H$13:$H$493)+SUMIF('JUNE (물량흐름)'!$C$13:$C$493,'Overhead exp(제조경비)'!C227,'JUNE (물량흐름)'!$V$13:$V$493)</f>
        <v>0</v>
      </c>
      <c r="M227" s="6">
        <f t="shared" si="57"/>
        <v>0</v>
      </c>
      <c r="N227" s="6">
        <f t="shared" si="58"/>
        <v>0</v>
      </c>
      <c r="O227" s="6">
        <f t="shared" si="67"/>
        <v>0</v>
      </c>
      <c r="P227" s="6">
        <f>SUMIF('JUNE (물량흐름)'!$C$13:$C$502,C227,'JUNE (물량흐름)'!$T$13:$T$502)+SUMIF('JUNE (물량흐름)'!$C$13:$C$502,C227,'JUNE (물량흐름)'!$V$13:$V$502)+SUMIF('JUNE (물량흐름)'!$C$13:$C$502,C227,'JUNE (물량흐름)'!$U$13:$U$502)-SUMIF('JUNE (물량흐름)'!$C$13:$C$502,C227,'JUNE (물량흐름)'!$Y$13:$Y$502)</f>
        <v>0</v>
      </c>
      <c r="Q227" s="6">
        <f t="shared" si="64"/>
        <v>0</v>
      </c>
      <c r="R227" s="6">
        <f>IF(ISERROR(VLOOKUP(#REF!,'WIP(재공품)'!$B$12:$AB$38,13,0)),0,VLOOKUP(#REF!,'WIP(재공품)'!$B$12:$AB$38,13,0))</f>
        <v>0</v>
      </c>
      <c r="S227" s="6">
        <f>IF(ISERROR(VLOOKUP(#REF!,'WIP(재공품)'!$B$12:$AB$38,10,0)),0,VLOOKUP(#REF!,'WIP(재공품)'!$B$12:$AB$38,10,0))</f>
        <v>0</v>
      </c>
      <c r="T227" s="6">
        <f>SUMIF('JUNE (물량흐름)'!$C$13:$C$502,'Overhead exp(제조경비)'!C227,'JUNE (물량흐름)'!$Y$13:$Y$502)</f>
        <v>0</v>
      </c>
      <c r="U227" s="6">
        <f t="shared" si="59"/>
        <v>0</v>
      </c>
      <c r="V227" s="6">
        <f>ROUND(SUMIF('JUNE (물량흐름)'!$C$13:$C$502,'Overhead exp(제조경비)'!C227,'JUNE (물량흐름)'!$N$13:$N$502),0)</f>
        <v>0</v>
      </c>
      <c r="W227" s="6">
        <f>ROUND(SUMIF('JUNE (물량흐름)'!$C$13:$C$502,'Overhead exp(제조경비)'!C227,'JUNE (물량흐름)'!$O$13:$O$502),0)</f>
        <v>97</v>
      </c>
      <c r="X227" s="6">
        <f>ROUND(SUMIF('JUNE (물량흐름)'!$C$13:$C$502,'Overhead exp(제조경비)'!C227,'JUNE (물량흐름)'!$P$13:$P$502),0)</f>
        <v>98</v>
      </c>
      <c r="Y227" s="167">
        <f t="shared" ref="Y227" si="70">ROUND(SUM(V227:X227),0)</f>
        <v>195</v>
      </c>
      <c r="Z227" s="167">
        <f t="shared" si="61"/>
        <v>127</v>
      </c>
      <c r="AA227" s="6">
        <f t="shared" si="66"/>
        <v>3188403</v>
      </c>
      <c r="AB227" s="391">
        <f t="shared" si="62"/>
        <v>0</v>
      </c>
      <c r="AC227" s="391">
        <f t="shared" si="63"/>
        <v>0</v>
      </c>
    </row>
    <row r="228" spans="1:29" s="390" customFormat="1" ht="24" customHeight="1">
      <c r="A228" s="167">
        <v>218</v>
      </c>
      <c r="B228" s="20" t="str">
        <f>IFERROR(VLOOKUP(A228,'JUNE (물량흐름)'!$A$13:$C$502,2,0),0)</f>
        <v>ALFANI</v>
      </c>
      <c r="C228" s="272">
        <f>VLOOKUP(A228,'JUNE (물량흐름)'!$A$13:$C$502,3,0)</f>
        <v>100021064</v>
      </c>
      <c r="D228" s="6">
        <f>VLOOKUP(C228,'WIP(재공품)'!$B$12:$E$493,4,0)</f>
        <v>30838.000000000004</v>
      </c>
      <c r="E228" s="6">
        <f>IFERROR(VLOOKUP(C228,O.B.JUNE!$AI$7:$AJ$448,2,0),0)</f>
        <v>0</v>
      </c>
      <c r="F228" s="6">
        <f>IFERROR(VLOOKUP(C228,O.B.JUNE!$AI$7:$AK$448,3,0),0)</f>
        <v>80</v>
      </c>
      <c r="G228" s="6">
        <f>IFERROR(VLOOKUP(C228,O.B.JUNE!$AI$7:$AL$448,4,0),0)</f>
        <v>80</v>
      </c>
      <c r="H228" s="6">
        <f t="shared" si="56"/>
        <v>160</v>
      </c>
      <c r="I228" s="6">
        <f>IFERROR(VLOOKUP(C228,O.B.JUNE!$AI$7:$AN$448,6,0),0)</f>
        <v>104</v>
      </c>
      <c r="J228" s="6"/>
      <c r="K228" s="6">
        <f>IFERROR(VLOOKUP(C228,O.B.JUNE!$AI$7:$AO$448,7,0),0)</f>
        <v>2434923</v>
      </c>
      <c r="L228" s="6">
        <f>SUMIF('JUNE (물량흐름)'!$C$13:$C$488,'Overhead exp(제조경비)'!C228,'JUNE (물량흐름)'!$H$13:$H$493)+SUMIF('JUNE (물량흐름)'!$C$13:$C$493,'Overhead exp(제조경비)'!C228,'JUNE (물량흐름)'!$V$13:$V$493)</f>
        <v>0</v>
      </c>
      <c r="M228" s="6">
        <f t="shared" si="57"/>
        <v>0</v>
      </c>
      <c r="N228" s="6">
        <f t="shared" si="58"/>
        <v>0</v>
      </c>
      <c r="O228" s="6">
        <f t="shared" si="67"/>
        <v>0</v>
      </c>
      <c r="P228" s="6">
        <f>SUMIF('JUNE (물량흐름)'!$C$13:$C$502,C228,'JUNE (물량흐름)'!$T$13:$T$502)+SUMIF('JUNE (물량흐름)'!$C$13:$C$502,C228,'JUNE (물량흐름)'!$V$13:$V$502)+SUMIF('JUNE (물량흐름)'!$C$13:$C$502,C228,'JUNE (물량흐름)'!$U$13:$U$502)-SUMIF('JUNE (물량흐름)'!$C$13:$C$502,C228,'JUNE (물량흐름)'!$Y$13:$Y$502)</f>
        <v>0</v>
      </c>
      <c r="Q228" s="6">
        <f t="shared" si="64"/>
        <v>0</v>
      </c>
      <c r="R228" s="6">
        <f>IF(ISERROR(VLOOKUP(#REF!,'WIP(재공품)'!$B$12:$AB$38,13,0)),0,VLOOKUP(#REF!,'WIP(재공품)'!$B$12:$AB$38,13,0))</f>
        <v>0</v>
      </c>
      <c r="S228" s="6">
        <f>IF(ISERROR(VLOOKUP(#REF!,'WIP(재공품)'!$B$12:$AB$38,10,0)),0,VLOOKUP(#REF!,'WIP(재공품)'!$B$12:$AB$38,10,0))</f>
        <v>0</v>
      </c>
      <c r="T228" s="6">
        <f>SUMIF('JUNE (물량흐름)'!$C$13:$C$502,'Overhead exp(제조경비)'!C228,'JUNE (물량흐름)'!$Y$13:$Y$502)</f>
        <v>0</v>
      </c>
      <c r="U228" s="6">
        <f t="shared" si="59"/>
        <v>0</v>
      </c>
      <c r="V228" s="6">
        <f>ROUND(SUMIF('JUNE (물량흐름)'!$C$13:$C$502,'Overhead exp(제조경비)'!C228,'JUNE (물량흐름)'!$N$13:$N$502),0)</f>
        <v>0</v>
      </c>
      <c r="W228" s="6">
        <f>ROUND(SUMIF('JUNE (물량흐름)'!$C$13:$C$502,'Overhead exp(제조경비)'!C228,'JUNE (물량흐름)'!$O$13:$O$502),0)</f>
        <v>80</v>
      </c>
      <c r="X228" s="6">
        <f>ROUND(SUMIF('JUNE (물량흐름)'!$C$13:$C$502,'Overhead exp(제조경비)'!C228,'JUNE (물량흐름)'!$P$13:$P$502),0)</f>
        <v>80</v>
      </c>
      <c r="Y228" s="6">
        <f t="shared" si="60"/>
        <v>160</v>
      </c>
      <c r="Z228" s="6">
        <f t="shared" si="61"/>
        <v>104</v>
      </c>
      <c r="AA228" s="6">
        <f t="shared" si="66"/>
        <v>2434923</v>
      </c>
      <c r="AB228" s="391">
        <f t="shared" si="62"/>
        <v>0</v>
      </c>
      <c r="AC228" s="391">
        <f t="shared" si="63"/>
        <v>0</v>
      </c>
    </row>
    <row r="229" spans="1:29" s="390" customFormat="1" ht="24" customHeight="1">
      <c r="A229" s="167">
        <v>219</v>
      </c>
      <c r="B229" s="20" t="str">
        <f>IFERROR(VLOOKUP(A229,'JUNE (물량흐름)'!$A$13:$C$502,2,0),0)</f>
        <v>ALFANI</v>
      </c>
      <c r="C229" s="272">
        <f>VLOOKUP(A229,'JUNE (물량흐름)'!$A$13:$C$502,3,0)</f>
        <v>73301</v>
      </c>
      <c r="D229" s="6">
        <f>VLOOKUP(C229,'WIP(재공품)'!$B$12:$E$493,4,0)</f>
        <v>44443</v>
      </c>
      <c r="E229" s="6">
        <f>IFERROR(VLOOKUP(C229,O.B.JUNE!$AI$7:$AJ$448,2,0),0)</f>
        <v>0</v>
      </c>
      <c r="F229" s="6">
        <f>IFERROR(VLOOKUP(C229,O.B.JUNE!$AI$7:$AK$448,3,0),0)</f>
        <v>121</v>
      </c>
      <c r="G229" s="6">
        <f>IFERROR(VLOOKUP(C229,O.B.JUNE!$AI$7:$AL$448,4,0),0)</f>
        <v>350</v>
      </c>
      <c r="H229" s="6">
        <f t="shared" si="56"/>
        <v>471</v>
      </c>
      <c r="I229" s="6">
        <f>IFERROR(VLOOKUP(C229,O.B.JUNE!$AI$7:$AN$448,6,0),0)</f>
        <v>341</v>
      </c>
      <c r="J229" s="6"/>
      <c r="K229" s="6">
        <f>IFERROR(VLOOKUP(C229,O.B.JUNE!$AI$7:$AO$448,7,0),0)</f>
        <v>9656801</v>
      </c>
      <c r="L229" s="6">
        <f>SUMIF('JUNE (물량흐름)'!$C$13:$C$488,'Overhead exp(제조경비)'!C229,'JUNE (물량흐름)'!$H$13:$H$493)+SUMIF('JUNE (물량흐름)'!$C$13:$C$493,'Overhead exp(제조경비)'!C229,'JUNE (물량흐름)'!$V$13:$V$493)</f>
        <v>3765</v>
      </c>
      <c r="M229" s="6">
        <f t="shared" si="57"/>
        <v>3752</v>
      </c>
      <c r="N229" s="6">
        <f t="shared" si="58"/>
        <v>166750136</v>
      </c>
      <c r="O229" s="6">
        <f t="shared" si="67"/>
        <v>100757088</v>
      </c>
      <c r="P229" s="6">
        <f>SUMIF('JUNE (물량흐름)'!$C$13:$C$502,C229,'JUNE (물량흐름)'!$T$13:$T$502)+SUMIF('JUNE (물량흐름)'!$C$13:$C$502,C229,'JUNE (물량흐름)'!$V$13:$V$502)+SUMIF('JUNE (물량흐름)'!$C$13:$C$502,C229,'JUNE (물량흐름)'!$U$13:$U$502)-SUMIF('JUNE (물량흐름)'!$C$13:$C$502,C229,'JUNE (물량흐름)'!$Y$13:$Y$502)</f>
        <v>3600</v>
      </c>
      <c r="Q229" s="6">
        <f t="shared" si="64"/>
        <v>93836166</v>
      </c>
      <c r="R229" s="6">
        <f>IF(ISERROR(VLOOKUP(#REF!,'WIP(재공품)'!$B$12:$AB$38,13,0)),0,VLOOKUP(#REF!,'WIP(재공품)'!$B$12:$AB$38,13,0))</f>
        <v>0</v>
      </c>
      <c r="S229" s="6">
        <f>IF(ISERROR(VLOOKUP(#REF!,'WIP(재공품)'!$B$12:$AB$38,10,0)),0,VLOOKUP(#REF!,'WIP(재공품)'!$B$12:$AB$38,10,0))</f>
        <v>0</v>
      </c>
      <c r="T229" s="6">
        <f>SUMIF('JUNE (물량흐름)'!$C$13:$C$502,'Overhead exp(제조경비)'!C229,'JUNE (물량흐름)'!$Y$13:$Y$502)</f>
        <v>0</v>
      </c>
      <c r="U229" s="6">
        <f t="shared" si="59"/>
        <v>0</v>
      </c>
      <c r="V229" s="6">
        <f>ROUND(SUMIF('JUNE (물량흐름)'!$C$13:$C$502,'Overhead exp(제조경비)'!C229,'JUNE (물량흐름)'!$N$13:$N$502),0)</f>
        <v>0</v>
      </c>
      <c r="W229" s="6">
        <f>ROUND(SUMIF('JUNE (물량흐름)'!$C$13:$C$502,'Overhead exp(제조경비)'!C229,'JUNE (물량흐름)'!$O$13:$O$502),0)</f>
        <v>54</v>
      </c>
      <c r="X229" s="6">
        <f>ROUND(SUMIF('JUNE (물량흐름)'!$C$13:$C$502,'Overhead exp(제조경비)'!C229,'JUNE (물량흐름)'!$P$13:$P$502),0)</f>
        <v>582</v>
      </c>
      <c r="Y229" s="167">
        <f t="shared" ref="Y229:Y231" si="71">ROUND(SUM(V229:X229),0)</f>
        <v>636</v>
      </c>
      <c r="Z229" s="167">
        <f t="shared" si="61"/>
        <v>493</v>
      </c>
      <c r="AA229" s="6">
        <f t="shared" si="66"/>
        <v>16577723</v>
      </c>
      <c r="AB229" s="391">
        <f t="shared" si="62"/>
        <v>0</v>
      </c>
      <c r="AC229" s="391">
        <f t="shared" si="63"/>
        <v>0</v>
      </c>
    </row>
    <row r="230" spans="1:29" s="390" customFormat="1" ht="24" customHeight="1">
      <c r="A230" s="167">
        <v>220</v>
      </c>
      <c r="B230" s="20" t="str">
        <f>IFERROR(VLOOKUP(A230,'JUNE (물량흐름)'!$A$13:$C$502,2,0),0)</f>
        <v>ALFANI</v>
      </c>
      <c r="C230" s="272">
        <f>VLOOKUP(A230,'JUNE (물량흐름)'!$A$13:$C$502,3,0)</f>
        <v>74902</v>
      </c>
      <c r="D230" s="6">
        <f>VLOOKUP(C230,'WIP(재공품)'!$B$12:$E$493,4,0)</f>
        <v>7936.2499999999991</v>
      </c>
      <c r="E230" s="6">
        <f>IFERROR(VLOOKUP(C230,O.B.JUNE!$AI$7:$AJ$448,2,0),0)</f>
        <v>47</v>
      </c>
      <c r="F230" s="6">
        <f>IFERROR(VLOOKUP(C230,O.B.JUNE!$AI$7:$AK$448,3,0),0)</f>
        <v>337</v>
      </c>
      <c r="G230" s="6">
        <f>IFERROR(VLOOKUP(C230,O.B.JUNE!$AI$7:$AL$448,4,0),0)</f>
        <v>1151</v>
      </c>
      <c r="H230" s="6">
        <f t="shared" si="56"/>
        <v>1535</v>
      </c>
      <c r="I230" s="6">
        <f>IFERROR(VLOOKUP(C230,O.B.JUNE!$AI$7:$AN$448,6,0),0)</f>
        <v>1099</v>
      </c>
      <c r="J230" s="6"/>
      <c r="K230" s="6">
        <f>IFERROR(VLOOKUP(C230,O.B.JUNE!$AI$7:$AO$448,7,0),0)</f>
        <v>26487641</v>
      </c>
      <c r="L230" s="6">
        <f>SUMIF('JUNE (물량흐름)'!$C$13:$C$488,'Overhead exp(제조경비)'!C230,'JUNE (물량흐름)'!$H$13:$H$493)+SUMIF('JUNE (물량흐름)'!$C$13:$C$493,'Overhead exp(제조경비)'!C230,'JUNE (물량흐름)'!$V$13:$V$493)</f>
        <v>0</v>
      </c>
      <c r="M230" s="6">
        <f t="shared" si="57"/>
        <v>0</v>
      </c>
      <c r="N230" s="6">
        <f t="shared" si="58"/>
        <v>0</v>
      </c>
      <c r="O230" s="6">
        <f t="shared" si="67"/>
        <v>0</v>
      </c>
      <c r="P230" s="6">
        <f>SUMIF('JUNE (물량흐름)'!$C$13:$C$502,C230,'JUNE (물량흐름)'!$T$13:$T$502)+SUMIF('JUNE (물량흐름)'!$C$13:$C$502,C230,'JUNE (물량흐름)'!$V$13:$V$502)+SUMIF('JUNE (물량흐름)'!$C$13:$C$502,C230,'JUNE (물량흐름)'!$U$13:$U$502)-SUMIF('JUNE (물량흐름)'!$C$13:$C$502,C230,'JUNE (물량흐름)'!$Y$13:$Y$502)</f>
        <v>0</v>
      </c>
      <c r="Q230" s="6">
        <f t="shared" si="64"/>
        <v>0</v>
      </c>
      <c r="R230" s="6">
        <f>IF(ISERROR(VLOOKUP(#REF!,'WIP(재공품)'!$B$12:$AB$38,13,0)),0,VLOOKUP(#REF!,'WIP(재공품)'!$B$12:$AB$38,13,0))</f>
        <v>0</v>
      </c>
      <c r="S230" s="6">
        <f>IF(ISERROR(VLOOKUP(#REF!,'WIP(재공품)'!$B$12:$AB$38,10,0)),0,VLOOKUP(#REF!,'WIP(재공품)'!$B$12:$AB$38,10,0))</f>
        <v>0</v>
      </c>
      <c r="T230" s="6">
        <f>SUMIF('JUNE (물량흐름)'!$C$13:$C$502,'Overhead exp(제조경비)'!C230,'JUNE (물량흐름)'!$Y$13:$Y$502)</f>
        <v>0</v>
      </c>
      <c r="U230" s="6">
        <f t="shared" si="59"/>
        <v>0</v>
      </c>
      <c r="V230" s="6">
        <f>ROUND(SUMIF('JUNE (물량흐름)'!$C$13:$C$502,'Overhead exp(제조경비)'!C230,'JUNE (물량흐름)'!$N$13:$N$502),0)</f>
        <v>47</v>
      </c>
      <c r="W230" s="6">
        <f>ROUND(SUMIF('JUNE (물량흐름)'!$C$13:$C$502,'Overhead exp(제조경비)'!C230,'JUNE (물량흐름)'!$O$13:$O$502),0)</f>
        <v>337</v>
      </c>
      <c r="X230" s="6">
        <f>ROUND(SUMIF('JUNE (물량흐름)'!$C$13:$C$502,'Overhead exp(제조경비)'!C230,'JUNE (물량흐름)'!$P$13:$P$502),0)</f>
        <v>1151</v>
      </c>
      <c r="Y230" s="167">
        <f t="shared" si="71"/>
        <v>1535</v>
      </c>
      <c r="Z230" s="167">
        <f t="shared" si="61"/>
        <v>1099</v>
      </c>
      <c r="AA230" s="6">
        <f t="shared" si="66"/>
        <v>26487641</v>
      </c>
      <c r="AB230" s="391">
        <f t="shared" si="62"/>
        <v>0</v>
      </c>
      <c r="AC230" s="391">
        <f t="shared" si="63"/>
        <v>0</v>
      </c>
    </row>
    <row r="231" spans="1:29" s="390" customFormat="1" ht="24" customHeight="1">
      <c r="A231" s="167">
        <v>221</v>
      </c>
      <c r="B231" s="20" t="str">
        <f>IFERROR(VLOOKUP(A231,'JUNE (물량흐름)'!$A$13:$C$502,2,0),0)</f>
        <v>ALFANI</v>
      </c>
      <c r="C231" s="272">
        <f>VLOOKUP(A231,'JUNE (물량흐름)'!$A$13:$C$502,3,0)</f>
        <v>75303</v>
      </c>
      <c r="D231" s="6">
        <f>VLOOKUP(C231,'WIP(재공품)'!$B$12:$E$493,4,0)</f>
        <v>7936.2499999999991</v>
      </c>
      <c r="E231" s="6">
        <f>IFERROR(VLOOKUP(C231,O.B.JUNE!$AI$7:$AJ$448,2,0),0)</f>
        <v>5</v>
      </c>
      <c r="F231" s="6">
        <f>IFERROR(VLOOKUP(C231,O.B.JUNE!$AI$7:$AK$448,3,0),0)</f>
        <v>11</v>
      </c>
      <c r="G231" s="6">
        <f>IFERROR(VLOOKUP(C231,O.B.JUNE!$AI$7:$AL$448,4,0),0)</f>
        <v>443</v>
      </c>
      <c r="H231" s="6">
        <f t="shared" si="56"/>
        <v>459</v>
      </c>
      <c r="I231" s="6">
        <f>IFERROR(VLOOKUP(C231,O.B.JUNE!$AI$7:$AN$448,6,0),0)</f>
        <v>361</v>
      </c>
      <c r="J231" s="6"/>
      <c r="K231" s="6">
        <f>IFERROR(VLOOKUP(C231,O.B.JUNE!$AI$7:$AO$448,7,0),0)</f>
        <v>8416170</v>
      </c>
      <c r="L231" s="6">
        <f>SUMIF('JUNE (물량흐름)'!$C$13:$C$488,'Overhead exp(제조경비)'!C231,'JUNE (물량흐름)'!$H$13:$H$493)+SUMIF('JUNE (물량흐름)'!$C$13:$C$493,'Overhead exp(제조경비)'!C231,'JUNE (물량흐름)'!$V$13:$V$493)</f>
        <v>0</v>
      </c>
      <c r="M231" s="6">
        <f t="shared" si="57"/>
        <v>0</v>
      </c>
      <c r="N231" s="6">
        <f t="shared" si="58"/>
        <v>0</v>
      </c>
      <c r="O231" s="6">
        <f t="shared" si="67"/>
        <v>0</v>
      </c>
      <c r="P231" s="6">
        <f>SUMIF('JUNE (물량흐름)'!$C$13:$C$502,C231,'JUNE (물량흐름)'!$T$13:$T$502)+SUMIF('JUNE (물량흐름)'!$C$13:$C$502,C231,'JUNE (물량흐름)'!$V$13:$V$502)+SUMIF('JUNE (물량흐름)'!$C$13:$C$502,C231,'JUNE (물량흐름)'!$U$13:$U$502)-SUMIF('JUNE (물량흐름)'!$C$13:$C$502,C231,'JUNE (물량흐름)'!$Y$13:$Y$502)</f>
        <v>0</v>
      </c>
      <c r="Q231" s="6">
        <f t="shared" si="64"/>
        <v>0</v>
      </c>
      <c r="R231" s="6">
        <f>IF(ISERROR(VLOOKUP(#REF!,'WIP(재공품)'!$B$12:$AB$38,13,0)),0,VLOOKUP(#REF!,'WIP(재공품)'!$B$12:$AB$38,13,0))</f>
        <v>0</v>
      </c>
      <c r="S231" s="6">
        <f>IF(ISERROR(VLOOKUP(#REF!,'WIP(재공품)'!$B$12:$AB$38,10,0)),0,VLOOKUP(#REF!,'WIP(재공품)'!$B$12:$AB$38,10,0))</f>
        <v>0</v>
      </c>
      <c r="T231" s="6">
        <f>SUMIF('JUNE (물량흐름)'!$C$13:$C$502,'Overhead exp(제조경비)'!C231,'JUNE (물량흐름)'!$Y$13:$Y$502)</f>
        <v>0</v>
      </c>
      <c r="U231" s="6">
        <f t="shared" si="59"/>
        <v>0</v>
      </c>
      <c r="V231" s="6">
        <f>ROUND(SUMIF('JUNE (물량흐름)'!$C$13:$C$502,'Overhead exp(제조경비)'!C231,'JUNE (물량흐름)'!$N$13:$N$502),0)</f>
        <v>1</v>
      </c>
      <c r="W231" s="6">
        <f>ROUND(SUMIF('JUNE (물량흐름)'!$C$13:$C$502,'Overhead exp(제조경비)'!C231,'JUNE (물량흐름)'!$O$13:$O$502),0)</f>
        <v>313</v>
      </c>
      <c r="X231" s="6">
        <f>ROUND(SUMIF('JUNE (물량흐름)'!$C$13:$C$502,'Overhead exp(제조경비)'!C231,'JUNE (물량흐름)'!$P$13:$P$502),0)</f>
        <v>145</v>
      </c>
      <c r="Y231" s="167">
        <f t="shared" si="71"/>
        <v>459</v>
      </c>
      <c r="Z231" s="167">
        <f t="shared" si="61"/>
        <v>273</v>
      </c>
      <c r="AA231" s="6">
        <f t="shared" si="66"/>
        <v>8416170</v>
      </c>
      <c r="AB231" s="391">
        <f t="shared" si="62"/>
        <v>0</v>
      </c>
      <c r="AC231" s="391">
        <f t="shared" si="63"/>
        <v>0</v>
      </c>
    </row>
    <row r="232" spans="1:29" s="390" customFormat="1" ht="24" customHeight="1">
      <c r="A232" s="167">
        <v>222</v>
      </c>
      <c r="B232" s="20" t="str">
        <f>IFERROR(VLOOKUP(A232,'JUNE (물량흐름)'!$A$13:$C$502,2,0),0)</f>
        <v>ALFANI</v>
      </c>
      <c r="C232" s="272">
        <f>VLOOKUP(A232,'JUNE (물량흐름)'!$A$13:$C$502,3,0)</f>
        <v>7999</v>
      </c>
      <c r="D232" s="6">
        <f>VLOOKUP(C232,'WIP(재공품)'!$B$12:$E$493,4,0)</f>
        <v>7936.2499999999991</v>
      </c>
      <c r="E232" s="6">
        <f>IFERROR(VLOOKUP(C232,O.B.JUNE!$AI$7:$AJ$448,2,0),0)</f>
        <v>0</v>
      </c>
      <c r="F232" s="6">
        <f>IFERROR(VLOOKUP(C232,O.B.JUNE!$AI$7:$AK$448,3,0),0)</f>
        <v>83</v>
      </c>
      <c r="G232" s="6">
        <f>IFERROR(VLOOKUP(C232,O.B.JUNE!$AI$7:$AL$448,4,0),0)</f>
        <v>59</v>
      </c>
      <c r="H232" s="6">
        <f t="shared" si="56"/>
        <v>142</v>
      </c>
      <c r="I232" s="6">
        <f>IFERROR(VLOOKUP(C232,O.B.JUNE!$AI$7:$AN$448,6,0),0)</f>
        <v>89</v>
      </c>
      <c r="J232" s="6"/>
      <c r="K232" s="6">
        <f>IFERROR(VLOOKUP(C232,O.B.JUNE!$AI$7:$AO$448,7,0),0)</f>
        <v>1996252</v>
      </c>
      <c r="L232" s="6">
        <f>SUMIF('JUNE (물량흐름)'!$C$13:$C$488,'Overhead exp(제조경비)'!C232,'JUNE (물량흐름)'!$H$13:$H$493)+SUMIF('JUNE (물량흐름)'!$C$13:$C$493,'Overhead exp(제조경비)'!C232,'JUNE (물량흐름)'!$V$13:$V$493)</f>
        <v>0</v>
      </c>
      <c r="M232" s="6">
        <f t="shared" si="57"/>
        <v>0</v>
      </c>
      <c r="N232" s="6">
        <f t="shared" si="58"/>
        <v>0</v>
      </c>
      <c r="O232" s="6">
        <f t="shared" si="67"/>
        <v>0</v>
      </c>
      <c r="P232" s="6">
        <f>SUMIF('JUNE (물량흐름)'!$C$13:$C$502,C232,'JUNE (물량흐름)'!$T$13:$T$502)+SUMIF('JUNE (물량흐름)'!$C$13:$C$502,C232,'JUNE (물량흐름)'!$V$13:$V$502)+SUMIF('JUNE (물량흐름)'!$C$13:$C$502,C232,'JUNE (물량흐름)'!$U$13:$U$502)-SUMIF('JUNE (물량흐름)'!$C$13:$C$502,C232,'JUNE (물량흐름)'!$Y$13:$Y$502)</f>
        <v>142</v>
      </c>
      <c r="Q232" s="6">
        <f t="shared" si="64"/>
        <v>1996252</v>
      </c>
      <c r="R232" s="6">
        <f>IF(ISERROR(VLOOKUP(#REF!,'WIP(재공품)'!$B$12:$AB$38,13,0)),0,VLOOKUP(#REF!,'WIP(재공품)'!$B$12:$AB$38,13,0))</f>
        <v>0</v>
      </c>
      <c r="S232" s="6">
        <f>IF(ISERROR(VLOOKUP(#REF!,'WIP(재공품)'!$B$12:$AB$38,10,0)),0,VLOOKUP(#REF!,'WIP(재공품)'!$B$12:$AB$38,10,0))</f>
        <v>0</v>
      </c>
      <c r="T232" s="6">
        <f>SUMIF('JUNE (물량흐름)'!$C$13:$C$502,'Overhead exp(제조경비)'!C232,'JUNE (물량흐름)'!$Y$13:$Y$502)</f>
        <v>0</v>
      </c>
      <c r="U232" s="6">
        <f t="shared" si="59"/>
        <v>0</v>
      </c>
      <c r="V232" s="6">
        <f>ROUND(SUMIF('JUNE (물량흐름)'!$C$13:$C$502,'Overhead exp(제조경비)'!C232,'JUNE (물량흐름)'!$N$13:$N$502),0)</f>
        <v>0</v>
      </c>
      <c r="W232" s="6">
        <f>ROUND(SUMIF('JUNE (물량흐름)'!$C$13:$C$502,'Overhead exp(제조경비)'!C232,'JUNE (물량흐름)'!$O$13:$O$502),0)</f>
        <v>0</v>
      </c>
      <c r="X232" s="6">
        <f>ROUND(SUMIF('JUNE (물량흐름)'!$C$13:$C$502,'Overhead exp(제조경비)'!C232,'JUNE (물량흐름)'!$P$13:$P$502),0)</f>
        <v>0</v>
      </c>
      <c r="Y232" s="6">
        <f t="shared" si="60"/>
        <v>0</v>
      </c>
      <c r="Z232" s="6">
        <f t="shared" si="61"/>
        <v>0</v>
      </c>
      <c r="AA232" s="6">
        <f t="shared" si="66"/>
        <v>0</v>
      </c>
      <c r="AB232" s="391">
        <f t="shared" si="62"/>
        <v>0</v>
      </c>
      <c r="AC232" s="391">
        <f t="shared" si="63"/>
        <v>0</v>
      </c>
    </row>
    <row r="233" spans="1:29" s="390" customFormat="1" ht="24" customHeight="1">
      <c r="A233" s="167">
        <v>223</v>
      </c>
      <c r="B233" s="20" t="str">
        <f>IFERROR(VLOOKUP(A233,'JUNE (물량흐름)'!$A$13:$C$502,2,0),0)</f>
        <v>ANN TAYLOR</v>
      </c>
      <c r="C233" s="272">
        <f>VLOOKUP(A233,'JUNE (물량흐름)'!$A$13:$C$502,3,0)</f>
        <v>460895</v>
      </c>
      <c r="D233" s="6">
        <f>VLOOKUP(C233,'WIP(재공품)'!$B$12:$E$493,4,0)</f>
        <v>8163</v>
      </c>
      <c r="E233" s="6">
        <f>IFERROR(VLOOKUP(C233,O.B.JUNE!$AI$7:$AJ$448,2,0),0)</f>
        <v>0</v>
      </c>
      <c r="F233" s="6">
        <f>IFERROR(VLOOKUP(C233,O.B.JUNE!$AI$7:$AK$448,3,0),0)</f>
        <v>20</v>
      </c>
      <c r="G233" s="6">
        <f>IFERROR(VLOOKUP(C233,O.B.JUNE!$AI$7:$AL$448,4,0),0)</f>
        <v>0</v>
      </c>
      <c r="H233" s="6">
        <f t="shared" si="56"/>
        <v>20</v>
      </c>
      <c r="I233" s="6">
        <f>IFERROR(VLOOKUP(C233,O.B.JUNE!$AI$7:$AN$448,6,0),0)</f>
        <v>10</v>
      </c>
      <c r="J233" s="6"/>
      <c r="K233" s="6">
        <f>IFERROR(VLOOKUP(C233,O.B.JUNE!$AI$7:$AO$448,7,0),0)</f>
        <v>353269</v>
      </c>
      <c r="L233" s="6">
        <f>SUMIF('JUNE (물량흐름)'!$C$13:$C$488,'Overhead exp(제조경비)'!C233,'JUNE (물량흐름)'!$H$13:$H$493)+SUMIF('JUNE (물량흐름)'!$C$13:$C$493,'Overhead exp(제조경비)'!C233,'JUNE (물량흐름)'!$V$13:$V$493)</f>
        <v>0</v>
      </c>
      <c r="M233" s="6">
        <f t="shared" si="57"/>
        <v>0</v>
      </c>
      <c r="N233" s="6">
        <f t="shared" si="58"/>
        <v>0</v>
      </c>
      <c r="O233" s="6">
        <f t="shared" si="67"/>
        <v>0</v>
      </c>
      <c r="P233" s="6">
        <f>SUMIF('JUNE (물량흐름)'!$C$13:$C$502,C233,'JUNE (물량흐름)'!$T$13:$T$502)+SUMIF('JUNE (물량흐름)'!$C$13:$C$502,C233,'JUNE (물량흐름)'!$V$13:$V$502)+SUMIF('JUNE (물량흐름)'!$C$13:$C$502,C233,'JUNE (물량흐름)'!$U$13:$U$502)-SUMIF('JUNE (물량흐름)'!$C$13:$C$502,C233,'JUNE (물량흐름)'!$Y$13:$Y$502)</f>
        <v>20</v>
      </c>
      <c r="Q233" s="6">
        <f t="shared" si="64"/>
        <v>353269</v>
      </c>
      <c r="R233" s="6">
        <f>IF(ISERROR(VLOOKUP(#REF!,'WIP(재공품)'!$B$12:$AB$38,13,0)),0,VLOOKUP(#REF!,'WIP(재공품)'!$B$12:$AB$38,13,0))</f>
        <v>0</v>
      </c>
      <c r="S233" s="6">
        <f>IF(ISERROR(VLOOKUP(#REF!,'WIP(재공품)'!$B$12:$AB$38,10,0)),0,VLOOKUP(#REF!,'WIP(재공품)'!$B$12:$AB$38,10,0))</f>
        <v>0</v>
      </c>
      <c r="T233" s="6">
        <f>SUMIF('JUNE (물량흐름)'!$C$13:$C$502,'Overhead exp(제조경비)'!C233,'JUNE (물량흐름)'!$Y$13:$Y$502)</f>
        <v>0</v>
      </c>
      <c r="U233" s="6">
        <f t="shared" si="59"/>
        <v>0</v>
      </c>
      <c r="V233" s="6">
        <f>ROUND(SUMIF('JUNE (물량흐름)'!$C$13:$C$502,'Overhead exp(제조경비)'!C233,'JUNE (물량흐름)'!$N$13:$N$502),0)</f>
        <v>0</v>
      </c>
      <c r="W233" s="6">
        <f>ROUND(SUMIF('JUNE (물량흐름)'!$C$13:$C$502,'Overhead exp(제조경비)'!C233,'JUNE (물량흐름)'!$O$13:$O$502),0)</f>
        <v>0</v>
      </c>
      <c r="X233" s="6">
        <f>ROUND(SUMIF('JUNE (물량흐름)'!$C$13:$C$502,'Overhead exp(제조경비)'!C233,'JUNE (물량흐름)'!$P$13:$P$502),0)</f>
        <v>0</v>
      </c>
      <c r="Y233" s="6">
        <f t="shared" si="60"/>
        <v>0</v>
      </c>
      <c r="Z233" s="6">
        <f t="shared" si="61"/>
        <v>0</v>
      </c>
      <c r="AA233" s="6">
        <f t="shared" si="66"/>
        <v>0</v>
      </c>
      <c r="AB233" s="391">
        <f t="shared" si="62"/>
        <v>0</v>
      </c>
      <c r="AC233" s="391">
        <f t="shared" si="63"/>
        <v>0</v>
      </c>
    </row>
    <row r="234" spans="1:29" s="390" customFormat="1" ht="24" customHeight="1">
      <c r="A234" s="167">
        <v>224</v>
      </c>
      <c r="B234" s="20" t="str">
        <f>IFERROR(VLOOKUP(A234,'JUNE (물량흐름)'!$A$13:$C$502,2,0),0)</f>
        <v>ANN TAYLOR</v>
      </c>
      <c r="C234" s="272">
        <f>VLOOKUP(A234,'JUNE (물량흐름)'!$A$13:$C$502,3,0)</f>
        <v>452546</v>
      </c>
      <c r="D234" s="6">
        <f>VLOOKUP(C234,'WIP(재공품)'!$B$12:$E$493,4,0)</f>
        <v>7936.2499999999991</v>
      </c>
      <c r="E234" s="6">
        <f>IFERROR(VLOOKUP(C234,O.B.JUNE!$AI$7:$AJ$448,2,0),0)</f>
        <v>37</v>
      </c>
      <c r="F234" s="6">
        <f>IFERROR(VLOOKUP(C234,O.B.JUNE!$AI$7:$AK$448,3,0),0)</f>
        <v>306</v>
      </c>
      <c r="G234" s="6">
        <f>IFERROR(VLOOKUP(C234,O.B.JUNE!$AI$7:$AL$448,4,0),0)</f>
        <v>226</v>
      </c>
      <c r="H234" s="6">
        <f t="shared" si="56"/>
        <v>569</v>
      </c>
      <c r="I234" s="6">
        <f>IFERROR(VLOOKUP(C234,O.B.JUNE!$AI$7:$AN$448,6,0),0)</f>
        <v>341</v>
      </c>
      <c r="J234" s="6"/>
      <c r="K234" s="6">
        <f>IFERROR(VLOOKUP(C234,O.B.JUNE!$AI$7:$AO$448,7,0),0)</f>
        <v>12046483</v>
      </c>
      <c r="L234" s="6">
        <f>SUMIF('JUNE (물량흐름)'!$C$13:$C$488,'Overhead exp(제조경비)'!C234,'JUNE (물량흐름)'!$H$13:$H$493)+SUMIF('JUNE (물량흐름)'!$C$13:$C$493,'Overhead exp(제조경비)'!C234,'JUNE (물량흐름)'!$V$13:$V$493)</f>
        <v>0</v>
      </c>
      <c r="M234" s="6">
        <f t="shared" si="57"/>
        <v>0</v>
      </c>
      <c r="N234" s="6">
        <f t="shared" si="58"/>
        <v>0</v>
      </c>
      <c r="O234" s="6">
        <f t="shared" si="67"/>
        <v>0</v>
      </c>
      <c r="P234" s="6">
        <f>SUMIF('JUNE (물량흐름)'!$C$13:$C$502,C234,'JUNE (물량흐름)'!$T$13:$T$502)+SUMIF('JUNE (물량흐름)'!$C$13:$C$502,C234,'JUNE (물량흐름)'!$V$13:$V$502)+SUMIF('JUNE (물량흐름)'!$C$13:$C$502,C234,'JUNE (물량흐름)'!$U$13:$U$502)-SUMIF('JUNE (물량흐름)'!$C$13:$C$502,C234,'JUNE (물량흐름)'!$Y$13:$Y$502)</f>
        <v>569</v>
      </c>
      <c r="Q234" s="6">
        <f t="shared" si="64"/>
        <v>12046483</v>
      </c>
      <c r="R234" s="6">
        <f>IF(ISERROR(VLOOKUP(#REF!,'WIP(재공품)'!$B$12:$AB$38,13,0)),0,VLOOKUP(#REF!,'WIP(재공품)'!$B$12:$AB$38,13,0))</f>
        <v>0</v>
      </c>
      <c r="S234" s="6">
        <f>IF(ISERROR(VLOOKUP(#REF!,'WIP(재공품)'!$B$12:$AB$38,10,0)),0,VLOOKUP(#REF!,'WIP(재공품)'!$B$12:$AB$38,10,0))</f>
        <v>0</v>
      </c>
      <c r="T234" s="6">
        <f>SUMIF('JUNE (물량흐름)'!$C$13:$C$502,'Overhead exp(제조경비)'!C234,'JUNE (물량흐름)'!$Y$13:$Y$502)</f>
        <v>0</v>
      </c>
      <c r="U234" s="6">
        <f t="shared" si="59"/>
        <v>0</v>
      </c>
      <c r="V234" s="6">
        <f>ROUND(SUMIF('JUNE (물량흐름)'!$C$13:$C$502,'Overhead exp(제조경비)'!C234,'JUNE (물량흐름)'!$N$13:$N$502),0)</f>
        <v>0</v>
      </c>
      <c r="W234" s="6">
        <f>ROUND(SUMIF('JUNE (물량흐름)'!$C$13:$C$502,'Overhead exp(제조경비)'!C234,'JUNE (물량흐름)'!$O$13:$O$502),0)</f>
        <v>0</v>
      </c>
      <c r="X234" s="6">
        <f>ROUND(SUMIF('JUNE (물량흐름)'!$C$13:$C$502,'Overhead exp(제조경비)'!C234,'JUNE (물량흐름)'!$P$13:$P$502),0)</f>
        <v>0</v>
      </c>
      <c r="Y234" s="6">
        <f t="shared" si="60"/>
        <v>0</v>
      </c>
      <c r="Z234" s="6">
        <f t="shared" si="61"/>
        <v>0</v>
      </c>
      <c r="AA234" s="6">
        <f t="shared" si="66"/>
        <v>0</v>
      </c>
      <c r="AB234" s="391">
        <f t="shared" si="62"/>
        <v>0</v>
      </c>
      <c r="AC234" s="391">
        <f t="shared" si="63"/>
        <v>0</v>
      </c>
    </row>
    <row r="235" spans="1:29" s="390" customFormat="1" ht="24" customHeight="1">
      <c r="A235" s="167">
        <v>225</v>
      </c>
      <c r="B235" s="20" t="str">
        <f>IFERROR(VLOOKUP(A235,'JUNE (물량흐름)'!$A$13:$C$502,2,0),0)</f>
        <v>ANN TAYLOR</v>
      </c>
      <c r="C235" s="272">
        <f>VLOOKUP(A235,'JUNE (물량흐름)'!$A$13:$C$502,3,0)</f>
        <v>457802</v>
      </c>
      <c r="D235" s="6">
        <f>VLOOKUP(C235,'WIP(재공품)'!$B$12:$E$493,4,0)</f>
        <v>7936.2499999999991</v>
      </c>
      <c r="E235" s="6">
        <f>IFERROR(VLOOKUP(C235,O.B.JUNE!$AI$7:$AJ$448,2,0),0)</f>
        <v>65</v>
      </c>
      <c r="F235" s="6">
        <f>IFERROR(VLOOKUP(C235,O.B.JUNE!$AI$7:$AK$448,3,0),0)</f>
        <v>658</v>
      </c>
      <c r="G235" s="6">
        <f>IFERROR(VLOOKUP(C235,O.B.JUNE!$AI$7:$AL$448,4,0),0)</f>
        <v>975</v>
      </c>
      <c r="H235" s="6">
        <f t="shared" si="56"/>
        <v>1698</v>
      </c>
      <c r="I235" s="6">
        <f>IFERROR(VLOOKUP(C235,O.B.JUNE!$AI$7:$AN$448,6,0),0)</f>
        <v>1122</v>
      </c>
      <c r="J235" s="6"/>
      <c r="K235" s="6">
        <f>IFERROR(VLOOKUP(C235,O.B.JUNE!$AI$7:$AO$448,7,0),0)</f>
        <v>16358818</v>
      </c>
      <c r="L235" s="6">
        <f>SUMIF('JUNE (물량흐름)'!$C$13:$C$488,'Overhead exp(제조경비)'!C235,'JUNE (물량흐름)'!$H$13:$H$493)+SUMIF('JUNE (물량흐름)'!$C$13:$C$493,'Overhead exp(제조경비)'!C235,'JUNE (물량흐름)'!$V$13:$V$493)</f>
        <v>0</v>
      </c>
      <c r="M235" s="6">
        <f t="shared" si="57"/>
        <v>0</v>
      </c>
      <c r="N235" s="6">
        <f t="shared" si="58"/>
        <v>0</v>
      </c>
      <c r="O235" s="6">
        <f t="shared" si="67"/>
        <v>0</v>
      </c>
      <c r="P235" s="6">
        <f>SUMIF('JUNE (물량흐름)'!$C$13:$C$502,C235,'JUNE (물량흐름)'!$T$13:$T$502)+SUMIF('JUNE (물량흐름)'!$C$13:$C$502,C235,'JUNE (물량흐름)'!$V$13:$V$502)+SUMIF('JUNE (물량흐름)'!$C$13:$C$502,C235,'JUNE (물량흐름)'!$U$13:$U$502)-SUMIF('JUNE (물량흐름)'!$C$13:$C$502,C235,'JUNE (물량흐름)'!$Y$13:$Y$502)</f>
        <v>0</v>
      </c>
      <c r="Q235" s="6">
        <f t="shared" si="64"/>
        <v>0</v>
      </c>
      <c r="R235" s="6">
        <f>IF(ISERROR(VLOOKUP(#REF!,'WIP(재공품)'!$B$12:$AB$38,13,0)),0,VLOOKUP(#REF!,'WIP(재공품)'!$B$12:$AB$38,13,0))</f>
        <v>0</v>
      </c>
      <c r="S235" s="6">
        <f>IF(ISERROR(VLOOKUP(#REF!,'WIP(재공품)'!$B$12:$AB$38,10,0)),0,VLOOKUP(#REF!,'WIP(재공품)'!$B$12:$AB$38,10,0))</f>
        <v>0</v>
      </c>
      <c r="T235" s="6">
        <f>SUMIF('JUNE (물량흐름)'!$C$13:$C$502,'Overhead exp(제조경비)'!C235,'JUNE (물량흐름)'!$Y$13:$Y$502)</f>
        <v>0</v>
      </c>
      <c r="U235" s="6">
        <f t="shared" si="59"/>
        <v>0</v>
      </c>
      <c r="V235" s="6">
        <f>ROUND(SUMIF('JUNE (물량흐름)'!$C$13:$C$502,'Overhead exp(제조경비)'!C235,'JUNE (물량흐름)'!$N$13:$N$502),0)</f>
        <v>65</v>
      </c>
      <c r="W235" s="6">
        <f>ROUND(SUMIF('JUNE (물량흐름)'!$C$13:$C$502,'Overhead exp(제조경비)'!C235,'JUNE (물량흐름)'!$O$13:$O$502),0)</f>
        <v>658</v>
      </c>
      <c r="X235" s="6">
        <f>ROUND(SUMIF('JUNE (물량흐름)'!$C$13:$C$502,'Overhead exp(제조경비)'!C235,'JUNE (물량흐름)'!$P$13:$P$502),0)</f>
        <v>975</v>
      </c>
      <c r="Y235" s="167">
        <f t="shared" ref="Y235" si="72">ROUND(SUM(V235:X235),0)</f>
        <v>1698</v>
      </c>
      <c r="Z235" s="167">
        <f t="shared" si="61"/>
        <v>1122</v>
      </c>
      <c r="AA235" s="6">
        <f t="shared" si="66"/>
        <v>16358818</v>
      </c>
      <c r="AB235" s="391">
        <f t="shared" si="62"/>
        <v>0</v>
      </c>
      <c r="AC235" s="391">
        <f t="shared" si="63"/>
        <v>0</v>
      </c>
    </row>
    <row r="236" spans="1:29" s="390" customFormat="1" ht="24" customHeight="1">
      <c r="A236" s="167">
        <v>226</v>
      </c>
      <c r="B236" s="20" t="str">
        <f>IFERROR(VLOOKUP(A236,'JUNE (물량흐름)'!$A$13:$C$502,2,0),0)</f>
        <v>ANN TAYLOR</v>
      </c>
      <c r="C236" s="272">
        <f>VLOOKUP(A236,'JUNE (물량흐름)'!$A$13:$C$502,3,0)</f>
        <v>457814</v>
      </c>
      <c r="D236" s="6">
        <f>VLOOKUP(C236,'WIP(재공품)'!$B$12:$E$493,4,0)</f>
        <v>7936.2499999999991</v>
      </c>
      <c r="E236" s="6">
        <f>IFERROR(VLOOKUP(C236,O.B.JUNE!$AI$7:$AJ$448,2,0),0)</f>
        <v>0</v>
      </c>
      <c r="F236" s="6">
        <f>IFERROR(VLOOKUP(C236,O.B.JUNE!$AI$7:$AK$448,3,0),0)</f>
        <v>209</v>
      </c>
      <c r="G236" s="6">
        <f>IFERROR(VLOOKUP(C236,O.B.JUNE!$AI$7:$AL$448,4,0),0)</f>
        <v>146</v>
      </c>
      <c r="H236" s="6">
        <f t="shared" si="56"/>
        <v>355</v>
      </c>
      <c r="I236" s="6">
        <f>IFERROR(VLOOKUP(C236,O.B.JUNE!$AI$7:$AN$448,6,0),0)</f>
        <v>221</v>
      </c>
      <c r="J236" s="6"/>
      <c r="K236" s="6">
        <f>IFERROR(VLOOKUP(C236,O.B.JUNE!$AI$7:$AO$448,7,0),0)</f>
        <v>4833060</v>
      </c>
      <c r="L236" s="6">
        <f>SUMIF('JUNE (물량흐름)'!$C$13:$C$488,'Overhead exp(제조경비)'!C236,'JUNE (물량흐름)'!$H$13:$H$493)+SUMIF('JUNE (물량흐름)'!$C$13:$C$493,'Overhead exp(제조경비)'!C236,'JUNE (물량흐름)'!$V$13:$V$493)</f>
        <v>0</v>
      </c>
      <c r="M236" s="6">
        <f t="shared" si="57"/>
        <v>0</v>
      </c>
      <c r="N236" s="6">
        <f t="shared" si="58"/>
        <v>0</v>
      </c>
      <c r="O236" s="6">
        <f t="shared" si="67"/>
        <v>0</v>
      </c>
      <c r="P236" s="6">
        <f>SUMIF('JUNE (물량흐름)'!$C$13:$C$502,C236,'JUNE (물량흐름)'!$T$13:$T$502)+SUMIF('JUNE (물량흐름)'!$C$13:$C$502,C236,'JUNE (물량흐름)'!$V$13:$V$502)+SUMIF('JUNE (물량흐름)'!$C$13:$C$502,C236,'JUNE (물량흐름)'!$U$13:$U$502)-SUMIF('JUNE (물량흐름)'!$C$13:$C$502,C236,'JUNE (물량흐름)'!$Y$13:$Y$502)</f>
        <v>0</v>
      </c>
      <c r="Q236" s="6">
        <f t="shared" si="64"/>
        <v>0</v>
      </c>
      <c r="R236" s="6">
        <f>IF(ISERROR(VLOOKUP(#REF!,'WIP(재공품)'!$B$12:$AB$38,13,0)),0,VLOOKUP(#REF!,'WIP(재공품)'!$B$12:$AB$38,13,0))</f>
        <v>0</v>
      </c>
      <c r="S236" s="6">
        <f>IF(ISERROR(VLOOKUP(#REF!,'WIP(재공품)'!$B$12:$AB$38,10,0)),0,VLOOKUP(#REF!,'WIP(재공품)'!$B$12:$AB$38,10,0))</f>
        <v>0</v>
      </c>
      <c r="T236" s="6">
        <f>SUMIF('JUNE (물량흐름)'!$C$13:$C$502,'Overhead exp(제조경비)'!C236,'JUNE (물량흐름)'!$Y$13:$Y$502)</f>
        <v>0</v>
      </c>
      <c r="U236" s="6">
        <f t="shared" si="59"/>
        <v>0</v>
      </c>
      <c r="V236" s="6">
        <f>ROUND(SUMIF('JUNE (물량흐름)'!$C$13:$C$502,'Overhead exp(제조경비)'!C236,'JUNE (물량흐름)'!$N$13:$N$502),0)</f>
        <v>0</v>
      </c>
      <c r="W236" s="6">
        <f>ROUND(SUMIF('JUNE (물량흐름)'!$C$13:$C$502,'Overhead exp(제조경비)'!C236,'JUNE (물량흐름)'!$O$13:$O$502),0)</f>
        <v>209</v>
      </c>
      <c r="X236" s="6">
        <f>ROUND(SUMIF('JUNE (물량흐름)'!$C$13:$C$502,'Overhead exp(제조경비)'!C236,'JUNE (물량흐름)'!$P$13:$P$502),0)</f>
        <v>146</v>
      </c>
      <c r="Y236" s="6">
        <f t="shared" si="60"/>
        <v>355</v>
      </c>
      <c r="Z236" s="6">
        <f t="shared" si="61"/>
        <v>221</v>
      </c>
      <c r="AA236" s="6">
        <f t="shared" si="66"/>
        <v>4833060</v>
      </c>
      <c r="AB236" s="391">
        <f t="shared" si="62"/>
        <v>0</v>
      </c>
      <c r="AC236" s="391">
        <f t="shared" si="63"/>
        <v>0</v>
      </c>
    </row>
    <row r="237" spans="1:29" s="390" customFormat="1" ht="24" customHeight="1">
      <c r="A237" s="167">
        <v>227</v>
      </c>
      <c r="B237" s="20" t="str">
        <f>IFERROR(VLOOKUP(A237,'JUNE (물량흐름)'!$A$13:$C$502,2,0),0)</f>
        <v>ANN TAYLOR</v>
      </c>
      <c r="C237" s="272">
        <f>VLOOKUP(A237,'JUNE (물량흐름)'!$A$13:$C$502,3,0)</f>
        <v>457815</v>
      </c>
      <c r="D237" s="6">
        <f>VLOOKUP(C237,'WIP(재공품)'!$B$12:$E$493,4,0)</f>
        <v>7936.2499999999991</v>
      </c>
      <c r="E237" s="6">
        <f>IFERROR(VLOOKUP(C237,O.B.JUNE!$AI$7:$AJ$448,2,0),0)</f>
        <v>140</v>
      </c>
      <c r="F237" s="6">
        <f>IFERROR(VLOOKUP(C237,O.B.JUNE!$AI$7:$AK$448,3,0),0)</f>
        <v>52</v>
      </c>
      <c r="G237" s="6">
        <f>IFERROR(VLOOKUP(C237,O.B.JUNE!$AI$7:$AL$448,4,0),0)</f>
        <v>17</v>
      </c>
      <c r="H237" s="6">
        <f t="shared" si="56"/>
        <v>209</v>
      </c>
      <c r="I237" s="6">
        <f>IFERROR(VLOOKUP(C237,O.B.JUNE!$AI$7:$AN$448,6,0),0)</f>
        <v>68</v>
      </c>
      <c r="J237" s="6"/>
      <c r="K237" s="6">
        <f>IFERROR(VLOOKUP(C237,O.B.JUNE!$AI$7:$AO$448,7,0),0)</f>
        <v>3332498</v>
      </c>
      <c r="L237" s="6">
        <f>SUMIF('JUNE (물량흐름)'!$C$13:$C$488,'Overhead exp(제조경비)'!C237,'JUNE (물량흐름)'!$H$13:$H$493)+SUMIF('JUNE (물량흐름)'!$C$13:$C$493,'Overhead exp(제조경비)'!C237,'JUNE (물량흐름)'!$V$13:$V$493)</f>
        <v>0</v>
      </c>
      <c r="M237" s="6">
        <f t="shared" si="57"/>
        <v>0</v>
      </c>
      <c r="N237" s="6">
        <f t="shared" si="58"/>
        <v>0</v>
      </c>
      <c r="O237" s="6">
        <f t="shared" si="67"/>
        <v>0</v>
      </c>
      <c r="P237" s="6">
        <f>SUMIF('JUNE (물량흐름)'!$C$13:$C$502,C237,'JUNE (물량흐름)'!$T$13:$T$502)+SUMIF('JUNE (물량흐름)'!$C$13:$C$502,C237,'JUNE (물량흐름)'!$V$13:$V$502)+SUMIF('JUNE (물량흐름)'!$C$13:$C$502,C237,'JUNE (물량흐름)'!$U$13:$U$502)-SUMIF('JUNE (물량흐름)'!$C$13:$C$502,C237,'JUNE (물량흐름)'!$Y$13:$Y$502)</f>
        <v>0</v>
      </c>
      <c r="Q237" s="6">
        <f t="shared" si="64"/>
        <v>0</v>
      </c>
      <c r="R237" s="6">
        <f>IF(ISERROR(VLOOKUP(#REF!,'WIP(재공품)'!$B$12:$AB$38,13,0)),0,VLOOKUP(#REF!,'WIP(재공품)'!$B$12:$AB$38,13,0))</f>
        <v>0</v>
      </c>
      <c r="S237" s="6">
        <f>IF(ISERROR(VLOOKUP(#REF!,'WIP(재공품)'!$B$12:$AB$38,10,0)),0,VLOOKUP(#REF!,'WIP(재공품)'!$B$12:$AB$38,10,0))</f>
        <v>0</v>
      </c>
      <c r="T237" s="6">
        <f>SUMIF('JUNE (물량흐름)'!$C$13:$C$502,'Overhead exp(제조경비)'!C237,'JUNE (물량흐름)'!$Y$13:$Y$502)</f>
        <v>0</v>
      </c>
      <c r="U237" s="6">
        <f t="shared" si="59"/>
        <v>0</v>
      </c>
      <c r="V237" s="6">
        <f>ROUND(SUMIF('JUNE (물량흐름)'!$C$13:$C$502,'Overhead exp(제조경비)'!C237,'JUNE (물량흐름)'!$N$13:$N$502),0)</f>
        <v>140</v>
      </c>
      <c r="W237" s="6">
        <f>ROUND(SUMIF('JUNE (물량흐름)'!$C$13:$C$502,'Overhead exp(제조경비)'!C237,'JUNE (물량흐름)'!$O$13:$O$502),0)</f>
        <v>52</v>
      </c>
      <c r="X237" s="6">
        <f>ROUND(SUMIF('JUNE (물량흐름)'!$C$13:$C$502,'Overhead exp(제조경비)'!C237,'JUNE (물량흐름)'!$P$13:$P$502),0)</f>
        <v>17</v>
      </c>
      <c r="Y237" s="6">
        <f t="shared" si="60"/>
        <v>209</v>
      </c>
      <c r="Z237" s="6">
        <f t="shared" si="61"/>
        <v>68</v>
      </c>
      <c r="AA237" s="6">
        <f t="shared" si="66"/>
        <v>3332498</v>
      </c>
      <c r="AB237" s="391">
        <f t="shared" si="62"/>
        <v>0</v>
      </c>
      <c r="AC237" s="391">
        <f t="shared" si="63"/>
        <v>0</v>
      </c>
    </row>
    <row r="238" spans="1:29" s="390" customFormat="1" ht="24" customHeight="1">
      <c r="A238" s="167">
        <v>228</v>
      </c>
      <c r="B238" s="20" t="str">
        <f>IFERROR(VLOOKUP(A238,'JUNE (물량흐름)'!$A$13:$C$502,2,0),0)</f>
        <v>ANN TAYLOR</v>
      </c>
      <c r="C238" s="272">
        <f>VLOOKUP(A238,'JUNE (물량흐름)'!$A$13:$C$502,3,0)</f>
        <v>459065</v>
      </c>
      <c r="D238" s="6">
        <f>VLOOKUP(C238,'WIP(재공품)'!$B$12:$E$493,4,0)</f>
        <v>7936.2499999999991</v>
      </c>
      <c r="E238" s="6">
        <f>IFERROR(VLOOKUP(C238,O.B.JUNE!$AI$7:$AJ$448,2,0),0)</f>
        <v>0</v>
      </c>
      <c r="F238" s="6">
        <f>IFERROR(VLOOKUP(C238,O.B.JUNE!$AI$7:$AK$448,3,0),0)</f>
        <v>123</v>
      </c>
      <c r="G238" s="6">
        <f>IFERROR(VLOOKUP(C238,O.B.JUNE!$AI$7:$AL$448,4,0),0)</f>
        <v>30</v>
      </c>
      <c r="H238" s="6">
        <f t="shared" si="56"/>
        <v>153</v>
      </c>
      <c r="I238" s="6">
        <f>IFERROR(VLOOKUP(C238,O.B.JUNE!$AI$7:$AN$448,6,0),0)</f>
        <v>86</v>
      </c>
      <c r="J238" s="6"/>
      <c r="K238" s="6">
        <f>IFERROR(VLOOKUP(C238,O.B.JUNE!$AI$7:$AO$448,7,0),0)</f>
        <v>1543170</v>
      </c>
      <c r="L238" s="6">
        <f>SUMIF('JUNE (물량흐름)'!$C$13:$C$488,'Overhead exp(제조경비)'!C238,'JUNE (물량흐름)'!$H$13:$H$493)+SUMIF('JUNE (물량흐름)'!$C$13:$C$493,'Overhead exp(제조경비)'!C238,'JUNE (물량흐름)'!$V$13:$V$493)</f>
        <v>0</v>
      </c>
      <c r="M238" s="6">
        <f t="shared" si="57"/>
        <v>0</v>
      </c>
      <c r="N238" s="6">
        <f t="shared" si="58"/>
        <v>0</v>
      </c>
      <c r="O238" s="6">
        <f t="shared" si="67"/>
        <v>0</v>
      </c>
      <c r="P238" s="6">
        <f>SUMIF('JUNE (물량흐름)'!$C$13:$C$502,C238,'JUNE (물량흐름)'!$T$13:$T$502)+SUMIF('JUNE (물량흐름)'!$C$13:$C$502,C238,'JUNE (물량흐름)'!$V$13:$V$502)+SUMIF('JUNE (물량흐름)'!$C$13:$C$502,C238,'JUNE (물량흐름)'!$U$13:$U$502)-SUMIF('JUNE (물량흐름)'!$C$13:$C$502,C238,'JUNE (물량흐름)'!$Y$13:$Y$502)</f>
        <v>0</v>
      </c>
      <c r="Q238" s="6">
        <f t="shared" si="64"/>
        <v>0</v>
      </c>
      <c r="R238" s="6">
        <f>IF(ISERROR(VLOOKUP(#REF!,'WIP(재공품)'!$B$12:$AB$38,13,0)),0,VLOOKUP(#REF!,'WIP(재공품)'!$B$12:$AB$38,13,0))</f>
        <v>0</v>
      </c>
      <c r="S238" s="6">
        <f>IF(ISERROR(VLOOKUP(#REF!,'WIP(재공품)'!$B$12:$AB$38,10,0)),0,VLOOKUP(#REF!,'WIP(재공품)'!$B$12:$AB$38,10,0))</f>
        <v>0</v>
      </c>
      <c r="T238" s="6">
        <f>SUMIF('JUNE (물량흐름)'!$C$13:$C$502,'Overhead exp(제조경비)'!C238,'JUNE (물량흐름)'!$Y$13:$Y$502)</f>
        <v>0</v>
      </c>
      <c r="U238" s="6">
        <f t="shared" si="59"/>
        <v>0</v>
      </c>
      <c r="V238" s="6">
        <f>ROUND(SUMIF('JUNE (물량흐름)'!$C$13:$C$502,'Overhead exp(제조경비)'!C238,'JUNE (물량흐름)'!$N$13:$N$502),0)</f>
        <v>0</v>
      </c>
      <c r="W238" s="6">
        <f>ROUND(SUMIF('JUNE (물량흐름)'!$C$13:$C$502,'Overhead exp(제조경비)'!C238,'JUNE (물량흐름)'!$O$13:$O$502),0)</f>
        <v>123</v>
      </c>
      <c r="X238" s="6">
        <f>ROUND(SUMIF('JUNE (물량흐름)'!$C$13:$C$502,'Overhead exp(제조경비)'!C238,'JUNE (물량흐름)'!$P$13:$P$502),0)</f>
        <v>30</v>
      </c>
      <c r="Y238" s="6">
        <f t="shared" si="60"/>
        <v>153</v>
      </c>
      <c r="Z238" s="6">
        <f t="shared" si="61"/>
        <v>86</v>
      </c>
      <c r="AA238" s="6">
        <f t="shared" si="66"/>
        <v>1543170</v>
      </c>
      <c r="AB238" s="391">
        <f t="shared" si="62"/>
        <v>0</v>
      </c>
      <c r="AC238" s="391">
        <f t="shared" si="63"/>
        <v>0</v>
      </c>
    </row>
    <row r="239" spans="1:29" s="390" customFormat="1" ht="24" customHeight="1">
      <c r="A239" s="167">
        <v>229</v>
      </c>
      <c r="B239" s="20" t="str">
        <f>IFERROR(VLOOKUP(A239,'JUNE (물량흐름)'!$A$13:$C$502,2,0),0)</f>
        <v>ANN TAYLOR</v>
      </c>
      <c r="C239" s="272">
        <f>VLOOKUP(A239,'JUNE (물량흐름)'!$A$13:$C$502,3,0)</f>
        <v>460586</v>
      </c>
      <c r="D239" s="6">
        <f>VLOOKUP(C239,'WIP(재공품)'!$B$12:$E$493,4,0)</f>
        <v>8163</v>
      </c>
      <c r="E239" s="6">
        <f>IFERROR(VLOOKUP(C239,O.B.JUNE!$AI$7:$AJ$448,2,0),0)</f>
        <v>116</v>
      </c>
      <c r="F239" s="6">
        <f>IFERROR(VLOOKUP(C239,O.B.JUNE!$AI$7:$AK$448,3,0),0)</f>
        <v>176</v>
      </c>
      <c r="G239" s="6">
        <f>IFERROR(VLOOKUP(C239,O.B.JUNE!$AI$7:$AL$448,4,0),0)</f>
        <v>224</v>
      </c>
      <c r="H239" s="6">
        <f t="shared" si="56"/>
        <v>516</v>
      </c>
      <c r="I239" s="6">
        <f>IFERROR(VLOOKUP(C239,O.B.JUNE!$AI$7:$AN$448,6,0),0)</f>
        <v>290</v>
      </c>
      <c r="J239" s="6"/>
      <c r="K239" s="6">
        <f>IFERROR(VLOOKUP(C239,O.B.JUNE!$AI$7:$AO$448,7,0),0)</f>
        <v>4416787</v>
      </c>
      <c r="L239" s="6">
        <f>SUMIF('JUNE (물량흐름)'!$C$13:$C$488,'Overhead exp(제조경비)'!C239,'JUNE (물량흐름)'!$H$13:$H$493)+SUMIF('JUNE (물량흐름)'!$C$13:$C$493,'Overhead exp(제조경비)'!C239,'JUNE (물량흐름)'!$V$13:$V$493)</f>
        <v>0</v>
      </c>
      <c r="M239" s="6">
        <f t="shared" si="57"/>
        <v>0</v>
      </c>
      <c r="N239" s="6">
        <f t="shared" si="58"/>
        <v>0</v>
      </c>
      <c r="O239" s="6">
        <f t="shared" si="67"/>
        <v>0</v>
      </c>
      <c r="P239" s="6">
        <f>SUMIF('JUNE (물량흐름)'!$C$13:$C$502,C239,'JUNE (물량흐름)'!$T$13:$T$502)+SUMIF('JUNE (물량흐름)'!$C$13:$C$502,C239,'JUNE (물량흐름)'!$V$13:$V$502)+SUMIF('JUNE (물량흐름)'!$C$13:$C$502,C239,'JUNE (물량흐름)'!$U$13:$U$502)-SUMIF('JUNE (물량흐름)'!$C$13:$C$502,C239,'JUNE (물량흐름)'!$Y$13:$Y$502)</f>
        <v>0</v>
      </c>
      <c r="Q239" s="6">
        <f t="shared" si="64"/>
        <v>0</v>
      </c>
      <c r="R239" s="6">
        <f>IF(ISERROR(VLOOKUP(#REF!,'WIP(재공품)'!$B$12:$AB$38,13,0)),0,VLOOKUP(#REF!,'WIP(재공품)'!$B$12:$AB$38,13,0))</f>
        <v>0</v>
      </c>
      <c r="S239" s="6">
        <f>IF(ISERROR(VLOOKUP(#REF!,'WIP(재공품)'!$B$12:$AB$38,10,0)),0,VLOOKUP(#REF!,'WIP(재공품)'!$B$12:$AB$38,10,0))</f>
        <v>0</v>
      </c>
      <c r="T239" s="6">
        <f>SUMIF('JUNE (물량흐름)'!$C$13:$C$502,'Overhead exp(제조경비)'!C239,'JUNE (물량흐름)'!$Y$13:$Y$502)</f>
        <v>0</v>
      </c>
      <c r="U239" s="6">
        <f t="shared" si="59"/>
        <v>0</v>
      </c>
      <c r="V239" s="6">
        <f>ROUND(SUMIF('JUNE (물량흐름)'!$C$13:$C$502,'Overhead exp(제조경비)'!C239,'JUNE (물량흐름)'!$N$13:$N$502),0)</f>
        <v>116</v>
      </c>
      <c r="W239" s="6">
        <f>ROUND(SUMIF('JUNE (물량흐름)'!$C$13:$C$502,'Overhead exp(제조경비)'!C239,'JUNE (물량흐름)'!$O$13:$O$502),0)</f>
        <v>176</v>
      </c>
      <c r="X239" s="6">
        <f>ROUND(SUMIF('JUNE (물량흐름)'!$C$13:$C$502,'Overhead exp(제조경비)'!C239,'JUNE (물량흐름)'!$P$13:$P$502),0)</f>
        <v>224</v>
      </c>
      <c r="Y239" s="167">
        <f t="shared" ref="Y239" si="73">ROUND(SUM(V239:X239),0)</f>
        <v>516</v>
      </c>
      <c r="Z239" s="167">
        <f t="shared" si="61"/>
        <v>290</v>
      </c>
      <c r="AA239" s="6">
        <f t="shared" si="66"/>
        <v>4416787</v>
      </c>
      <c r="AB239" s="391">
        <f t="shared" si="62"/>
        <v>0</v>
      </c>
      <c r="AC239" s="391">
        <f t="shared" si="63"/>
        <v>0</v>
      </c>
    </row>
    <row r="240" spans="1:29" s="390" customFormat="1" ht="24" customHeight="1">
      <c r="A240" s="167">
        <v>230</v>
      </c>
      <c r="B240" s="20" t="str">
        <f>IFERROR(VLOOKUP(A240,'JUNE (물량흐름)'!$A$13:$C$502,2,0),0)</f>
        <v>ANN TAYLOR</v>
      </c>
      <c r="C240" s="272">
        <f>VLOOKUP(A240,'JUNE (물량흐름)'!$A$13:$C$502,3,0)</f>
        <v>460588</v>
      </c>
      <c r="D240" s="6">
        <f>VLOOKUP(C240,'WIP(재공품)'!$B$12:$E$493,4,0)</f>
        <v>7936.2499999999991</v>
      </c>
      <c r="E240" s="6">
        <f>IFERROR(VLOOKUP(C240,O.B.JUNE!$AI$7:$AJ$448,2,0),0)</f>
        <v>0</v>
      </c>
      <c r="F240" s="6">
        <f>IFERROR(VLOOKUP(C240,O.B.JUNE!$AI$7:$AK$448,3,0),0)</f>
        <v>198</v>
      </c>
      <c r="G240" s="6">
        <f>IFERROR(VLOOKUP(C240,O.B.JUNE!$AI$7:$AL$448,4,0),0)</f>
        <v>209</v>
      </c>
      <c r="H240" s="6">
        <f t="shared" si="56"/>
        <v>407</v>
      </c>
      <c r="I240" s="6">
        <f>IFERROR(VLOOKUP(C240,O.B.JUNE!$AI$7:$AN$448,6,0),0)</f>
        <v>266</v>
      </c>
      <c r="J240" s="6"/>
      <c r="K240" s="6">
        <f>IFERROR(VLOOKUP(C240,O.B.JUNE!$AI$7:$AO$448,7,0),0)</f>
        <v>3878112</v>
      </c>
      <c r="L240" s="6">
        <f>SUMIF('JUNE (물량흐름)'!$C$13:$C$488,'Overhead exp(제조경비)'!C240,'JUNE (물량흐름)'!$H$13:$H$493)+SUMIF('JUNE (물량흐름)'!$C$13:$C$493,'Overhead exp(제조경비)'!C240,'JUNE (물량흐름)'!$V$13:$V$493)</f>
        <v>0</v>
      </c>
      <c r="M240" s="6">
        <f t="shared" si="57"/>
        <v>0</v>
      </c>
      <c r="N240" s="6">
        <f t="shared" si="58"/>
        <v>0</v>
      </c>
      <c r="O240" s="6">
        <f t="shared" si="67"/>
        <v>0</v>
      </c>
      <c r="P240" s="6">
        <f>SUMIF('JUNE (물량흐름)'!$C$13:$C$502,C240,'JUNE (물량흐름)'!$T$13:$T$502)+SUMIF('JUNE (물량흐름)'!$C$13:$C$502,C240,'JUNE (물량흐름)'!$V$13:$V$502)+SUMIF('JUNE (물량흐름)'!$C$13:$C$502,C240,'JUNE (물량흐름)'!$U$13:$U$502)-SUMIF('JUNE (물량흐름)'!$C$13:$C$502,C240,'JUNE (물량흐름)'!$Y$13:$Y$502)</f>
        <v>0</v>
      </c>
      <c r="Q240" s="6">
        <f t="shared" si="64"/>
        <v>0</v>
      </c>
      <c r="R240" s="6">
        <f>IF(ISERROR(VLOOKUP(#REF!,'WIP(재공품)'!$B$12:$AB$38,13,0)),0,VLOOKUP(#REF!,'WIP(재공품)'!$B$12:$AB$38,13,0))</f>
        <v>0</v>
      </c>
      <c r="S240" s="6">
        <f>IF(ISERROR(VLOOKUP(#REF!,'WIP(재공품)'!$B$12:$AB$38,10,0)),0,VLOOKUP(#REF!,'WIP(재공품)'!$B$12:$AB$38,10,0))</f>
        <v>0</v>
      </c>
      <c r="T240" s="6">
        <f>SUMIF('JUNE (물량흐름)'!$C$13:$C$502,'Overhead exp(제조경비)'!C240,'JUNE (물량흐름)'!$Y$13:$Y$502)</f>
        <v>0</v>
      </c>
      <c r="U240" s="6">
        <f t="shared" si="59"/>
        <v>0</v>
      </c>
      <c r="V240" s="6">
        <f>ROUND(SUMIF('JUNE (물량흐름)'!$C$13:$C$502,'Overhead exp(제조경비)'!C240,'JUNE (물량흐름)'!$N$13:$N$502),0)</f>
        <v>0</v>
      </c>
      <c r="W240" s="6">
        <f>ROUND(SUMIF('JUNE (물량흐름)'!$C$13:$C$502,'Overhead exp(제조경비)'!C240,'JUNE (물량흐름)'!$O$13:$O$502),0)</f>
        <v>198</v>
      </c>
      <c r="X240" s="6">
        <f>ROUND(SUMIF('JUNE (물량흐름)'!$C$13:$C$502,'Overhead exp(제조경비)'!C240,'JUNE (물량흐름)'!$P$13:$P$502),0)</f>
        <v>209</v>
      </c>
      <c r="Y240" s="6">
        <f t="shared" si="60"/>
        <v>407</v>
      </c>
      <c r="Z240" s="6">
        <f t="shared" si="61"/>
        <v>266</v>
      </c>
      <c r="AA240" s="6">
        <f t="shared" si="66"/>
        <v>3878112</v>
      </c>
      <c r="AB240" s="391">
        <f t="shared" si="62"/>
        <v>0</v>
      </c>
      <c r="AC240" s="391">
        <f t="shared" si="63"/>
        <v>0</v>
      </c>
    </row>
    <row r="241" spans="1:29" s="390" customFormat="1" ht="24" customHeight="1">
      <c r="A241" s="167">
        <v>231</v>
      </c>
      <c r="B241" s="20" t="str">
        <f>IFERROR(VLOOKUP(A241,'JUNE (물량흐름)'!$A$13:$C$502,2,0),0)</f>
        <v>ANN TAYLOR</v>
      </c>
      <c r="C241" s="272">
        <f>VLOOKUP(A241,'JUNE (물량흐름)'!$A$13:$C$502,3,0)</f>
        <v>460591</v>
      </c>
      <c r="D241" s="6">
        <f>VLOOKUP(C241,'WIP(재공품)'!$B$12:$E$493,4,0)</f>
        <v>7936.2499999999991</v>
      </c>
      <c r="E241" s="6">
        <f>IFERROR(VLOOKUP(C241,O.B.JUNE!$AI$7:$AJ$448,2,0),0)</f>
        <v>0</v>
      </c>
      <c r="F241" s="6">
        <f>IFERROR(VLOOKUP(C241,O.B.JUNE!$AI$7:$AK$448,3,0),0)</f>
        <v>111</v>
      </c>
      <c r="G241" s="6">
        <f>IFERROR(VLOOKUP(C241,O.B.JUNE!$AI$7:$AL$448,4,0),0)</f>
        <v>193</v>
      </c>
      <c r="H241" s="6">
        <f t="shared" si="56"/>
        <v>304</v>
      </c>
      <c r="I241" s="6">
        <f>IFERROR(VLOOKUP(C241,O.B.JUNE!$AI$7:$AN$448,6,0),0)</f>
        <v>210</v>
      </c>
      <c r="J241" s="6"/>
      <c r="K241" s="6">
        <f>IFERROR(VLOOKUP(C241,O.B.JUNE!$AI$7:$AO$448,7,0),0)</f>
        <v>3061667</v>
      </c>
      <c r="L241" s="6">
        <f>SUMIF('JUNE (물량흐름)'!$C$13:$C$488,'Overhead exp(제조경비)'!C241,'JUNE (물량흐름)'!$H$13:$H$493)+SUMIF('JUNE (물량흐름)'!$C$13:$C$493,'Overhead exp(제조경비)'!C241,'JUNE (물량흐름)'!$V$13:$V$493)</f>
        <v>0</v>
      </c>
      <c r="M241" s="6">
        <f t="shared" si="57"/>
        <v>0</v>
      </c>
      <c r="N241" s="6">
        <f t="shared" si="58"/>
        <v>0</v>
      </c>
      <c r="O241" s="6">
        <f t="shared" si="67"/>
        <v>0</v>
      </c>
      <c r="P241" s="6">
        <f>SUMIF('JUNE (물량흐름)'!$C$13:$C$502,C241,'JUNE (물량흐름)'!$T$13:$T$502)+SUMIF('JUNE (물량흐름)'!$C$13:$C$502,C241,'JUNE (물량흐름)'!$V$13:$V$502)+SUMIF('JUNE (물량흐름)'!$C$13:$C$502,C241,'JUNE (물량흐름)'!$U$13:$U$502)-SUMIF('JUNE (물량흐름)'!$C$13:$C$502,C241,'JUNE (물량흐름)'!$Y$13:$Y$502)</f>
        <v>0</v>
      </c>
      <c r="Q241" s="6">
        <f t="shared" si="64"/>
        <v>0</v>
      </c>
      <c r="R241" s="6">
        <f>IF(ISERROR(VLOOKUP(#REF!,'WIP(재공품)'!$B$12:$AB$38,13,0)),0,VLOOKUP(#REF!,'WIP(재공품)'!$B$12:$AB$38,13,0))</f>
        <v>0</v>
      </c>
      <c r="S241" s="6">
        <f>IF(ISERROR(VLOOKUP(#REF!,'WIP(재공품)'!$B$12:$AB$38,10,0)),0,VLOOKUP(#REF!,'WIP(재공품)'!$B$12:$AB$38,10,0))</f>
        <v>0</v>
      </c>
      <c r="T241" s="6">
        <f>SUMIF('JUNE (물량흐름)'!$C$13:$C$502,'Overhead exp(제조경비)'!C241,'JUNE (물량흐름)'!$Y$13:$Y$502)</f>
        <v>0</v>
      </c>
      <c r="U241" s="6">
        <f t="shared" si="59"/>
        <v>0</v>
      </c>
      <c r="V241" s="6">
        <f>ROUND(SUMIF('JUNE (물량흐름)'!$C$13:$C$502,'Overhead exp(제조경비)'!C241,'JUNE (물량흐름)'!$N$13:$N$502),0)</f>
        <v>0</v>
      </c>
      <c r="W241" s="6">
        <f>ROUND(SUMIF('JUNE (물량흐름)'!$C$13:$C$502,'Overhead exp(제조경비)'!C241,'JUNE (물량흐름)'!$O$13:$O$502),0)</f>
        <v>111</v>
      </c>
      <c r="X241" s="6">
        <f>ROUND(SUMIF('JUNE (물량흐름)'!$C$13:$C$502,'Overhead exp(제조경비)'!C241,'JUNE (물량흐름)'!$P$13:$P$502),0)</f>
        <v>193</v>
      </c>
      <c r="Y241" s="6">
        <f t="shared" si="60"/>
        <v>304</v>
      </c>
      <c r="Z241" s="6">
        <f t="shared" si="61"/>
        <v>210</v>
      </c>
      <c r="AA241" s="6">
        <f t="shared" si="66"/>
        <v>3061667</v>
      </c>
      <c r="AB241" s="391">
        <f t="shared" si="62"/>
        <v>0</v>
      </c>
      <c r="AC241" s="391">
        <f t="shared" si="63"/>
        <v>0</v>
      </c>
    </row>
    <row r="242" spans="1:29" s="390" customFormat="1" ht="24" customHeight="1">
      <c r="A242" s="167">
        <v>232</v>
      </c>
      <c r="B242" s="20" t="str">
        <f>IFERROR(VLOOKUP(A242,'JUNE (물량흐름)'!$A$13:$C$502,2,0),0)</f>
        <v>ANN TAYLOR</v>
      </c>
      <c r="C242" s="272">
        <f>VLOOKUP(A242,'JUNE (물량흐름)'!$A$13:$C$502,3,0)</f>
        <v>460727</v>
      </c>
      <c r="D242" s="6">
        <f>VLOOKUP(C242,'WIP(재공품)'!$B$12:$E$493,4,0)</f>
        <v>7936.2499999999991</v>
      </c>
      <c r="E242" s="6">
        <f>IFERROR(VLOOKUP(C242,O.B.JUNE!$AI$7:$AJ$448,2,0),0)</f>
        <v>30</v>
      </c>
      <c r="F242" s="6">
        <f>IFERROR(VLOOKUP(C242,O.B.JUNE!$AI$7:$AK$448,3,0),0)</f>
        <v>15</v>
      </c>
      <c r="G242" s="6">
        <f>IFERROR(VLOOKUP(C242,O.B.JUNE!$AI$7:$AL$448,4,0),0)</f>
        <v>53</v>
      </c>
      <c r="H242" s="6">
        <f t="shared" si="56"/>
        <v>98</v>
      </c>
      <c r="I242" s="6">
        <f>IFERROR(VLOOKUP(C242,O.B.JUNE!$AI$7:$AN$448,6,0),0)</f>
        <v>56</v>
      </c>
      <c r="J242" s="6"/>
      <c r="K242" s="6">
        <f>IFERROR(VLOOKUP(C242,O.B.JUNE!$AI$7:$AO$448,7,0),0)</f>
        <v>1978308</v>
      </c>
      <c r="L242" s="6">
        <f>SUMIF('JUNE (물량흐름)'!$C$13:$C$488,'Overhead exp(제조경비)'!C242,'JUNE (물량흐름)'!$H$13:$H$493)+SUMIF('JUNE (물량흐름)'!$C$13:$C$493,'Overhead exp(제조경비)'!C242,'JUNE (물량흐름)'!$V$13:$V$493)</f>
        <v>0</v>
      </c>
      <c r="M242" s="6">
        <f t="shared" si="57"/>
        <v>0</v>
      </c>
      <c r="N242" s="6">
        <f t="shared" si="58"/>
        <v>0</v>
      </c>
      <c r="O242" s="6">
        <f t="shared" si="67"/>
        <v>0</v>
      </c>
      <c r="P242" s="6">
        <f>SUMIF('JUNE (물량흐름)'!$C$13:$C$502,C242,'JUNE (물량흐름)'!$T$13:$T$502)+SUMIF('JUNE (물량흐름)'!$C$13:$C$502,C242,'JUNE (물량흐름)'!$V$13:$V$502)+SUMIF('JUNE (물량흐름)'!$C$13:$C$502,C242,'JUNE (물량흐름)'!$U$13:$U$502)-SUMIF('JUNE (물량흐름)'!$C$13:$C$502,C242,'JUNE (물량흐름)'!$Y$13:$Y$502)</f>
        <v>0</v>
      </c>
      <c r="Q242" s="6">
        <f t="shared" si="64"/>
        <v>0</v>
      </c>
      <c r="R242" s="6">
        <f>IF(ISERROR(VLOOKUP(#REF!,'WIP(재공품)'!$B$12:$AB$38,13,0)),0,VLOOKUP(#REF!,'WIP(재공품)'!$B$12:$AB$38,13,0))</f>
        <v>0</v>
      </c>
      <c r="S242" s="6">
        <f>IF(ISERROR(VLOOKUP(#REF!,'WIP(재공품)'!$B$12:$AB$38,10,0)),0,VLOOKUP(#REF!,'WIP(재공품)'!$B$12:$AB$38,10,0))</f>
        <v>0</v>
      </c>
      <c r="T242" s="6">
        <f>SUMIF('JUNE (물량흐름)'!$C$13:$C$502,'Overhead exp(제조경비)'!C242,'JUNE (물량흐름)'!$Y$13:$Y$502)</f>
        <v>0</v>
      </c>
      <c r="U242" s="6">
        <f t="shared" si="59"/>
        <v>0</v>
      </c>
      <c r="V242" s="6">
        <f>ROUND(SUMIF('JUNE (물량흐름)'!$C$13:$C$502,'Overhead exp(제조경비)'!C242,'JUNE (물량흐름)'!$N$13:$N$502),0)</f>
        <v>30</v>
      </c>
      <c r="W242" s="6">
        <f>ROUND(SUMIF('JUNE (물량흐름)'!$C$13:$C$502,'Overhead exp(제조경비)'!C242,'JUNE (물량흐름)'!$O$13:$O$502),0)</f>
        <v>15</v>
      </c>
      <c r="X242" s="6">
        <f>ROUND(SUMIF('JUNE (물량흐름)'!$C$13:$C$502,'Overhead exp(제조경비)'!C242,'JUNE (물량흐름)'!$P$13:$P$502),0)</f>
        <v>53</v>
      </c>
      <c r="Y242" s="167">
        <f t="shared" ref="Y242" si="74">ROUND(SUM(V242:X242),0)</f>
        <v>98</v>
      </c>
      <c r="Z242" s="167">
        <f t="shared" si="61"/>
        <v>56</v>
      </c>
      <c r="AA242" s="6">
        <f t="shared" si="66"/>
        <v>1978308</v>
      </c>
      <c r="AB242" s="391">
        <f t="shared" si="62"/>
        <v>0</v>
      </c>
      <c r="AC242" s="391">
        <f t="shared" si="63"/>
        <v>0</v>
      </c>
    </row>
    <row r="243" spans="1:29" s="390" customFormat="1" ht="24" customHeight="1">
      <c r="A243" s="167">
        <v>233</v>
      </c>
      <c r="B243" s="20" t="str">
        <f>IFERROR(VLOOKUP(A243,'JUNE (물량흐름)'!$A$13:$C$502,2,0),0)</f>
        <v>ANN TAYLOR</v>
      </c>
      <c r="C243" s="272">
        <f>VLOOKUP(A243,'JUNE (물량흐름)'!$A$13:$C$502,3,0)</f>
        <v>461609</v>
      </c>
      <c r="D243" s="6">
        <f>VLOOKUP(C243,'WIP(재공품)'!$B$12:$E$493,4,0)</f>
        <v>7936.2499999999991</v>
      </c>
      <c r="E243" s="6">
        <f>IFERROR(VLOOKUP(C243,O.B.JUNE!$AI$7:$AJ$448,2,0),0)</f>
        <v>62</v>
      </c>
      <c r="F243" s="6">
        <f>IFERROR(VLOOKUP(C243,O.B.JUNE!$AI$7:$AK$448,3,0),0)</f>
        <v>141</v>
      </c>
      <c r="G243" s="6">
        <f>IFERROR(VLOOKUP(C243,O.B.JUNE!$AI$7:$AL$448,4,0),0)</f>
        <v>287</v>
      </c>
      <c r="H243" s="6">
        <f t="shared" si="56"/>
        <v>490</v>
      </c>
      <c r="I243" s="6">
        <f>IFERROR(VLOOKUP(C243,O.B.JUNE!$AI$7:$AN$448,6,0),0)</f>
        <v>313</v>
      </c>
      <c r="J243" s="6"/>
      <c r="K243" s="6">
        <f>IFERROR(VLOOKUP(C243,O.B.JUNE!$AI$7:$AO$448,7,0),0)</f>
        <v>5754493</v>
      </c>
      <c r="L243" s="6">
        <f>SUMIF('JUNE (물량흐름)'!$C$13:$C$488,'Overhead exp(제조경비)'!C243,'JUNE (물량흐름)'!$H$13:$H$493)+SUMIF('JUNE (물량흐름)'!$C$13:$C$493,'Overhead exp(제조경비)'!C243,'JUNE (물량흐름)'!$V$13:$V$493)</f>
        <v>0</v>
      </c>
      <c r="M243" s="6">
        <f t="shared" si="57"/>
        <v>0</v>
      </c>
      <c r="N243" s="6">
        <f t="shared" si="58"/>
        <v>0</v>
      </c>
      <c r="O243" s="6">
        <f t="shared" si="67"/>
        <v>0</v>
      </c>
      <c r="P243" s="6">
        <f>SUMIF('JUNE (물량흐름)'!$C$13:$C$502,C243,'JUNE (물량흐름)'!$T$13:$T$502)+SUMIF('JUNE (물량흐름)'!$C$13:$C$502,C243,'JUNE (물량흐름)'!$V$13:$V$502)+SUMIF('JUNE (물량흐름)'!$C$13:$C$502,C243,'JUNE (물량흐름)'!$U$13:$U$502)-SUMIF('JUNE (물량흐름)'!$C$13:$C$502,C243,'JUNE (물량흐름)'!$Y$13:$Y$502)</f>
        <v>0</v>
      </c>
      <c r="Q243" s="6">
        <f t="shared" si="64"/>
        <v>0</v>
      </c>
      <c r="R243" s="6">
        <f>IF(ISERROR(VLOOKUP(#REF!,'WIP(재공품)'!$B$12:$AB$38,13,0)),0,VLOOKUP(#REF!,'WIP(재공품)'!$B$12:$AB$38,13,0))</f>
        <v>0</v>
      </c>
      <c r="S243" s="6">
        <f>IF(ISERROR(VLOOKUP(#REF!,'WIP(재공품)'!$B$12:$AB$38,10,0)),0,VLOOKUP(#REF!,'WIP(재공품)'!$B$12:$AB$38,10,0))</f>
        <v>0</v>
      </c>
      <c r="T243" s="6">
        <f>SUMIF('JUNE (물량흐름)'!$C$13:$C$502,'Overhead exp(제조경비)'!C243,'JUNE (물량흐름)'!$Y$13:$Y$502)</f>
        <v>0</v>
      </c>
      <c r="U243" s="6">
        <f t="shared" si="59"/>
        <v>0</v>
      </c>
      <c r="V243" s="6">
        <f>ROUND(SUMIF('JUNE (물량흐름)'!$C$13:$C$502,'Overhead exp(제조경비)'!C243,'JUNE (물량흐름)'!$N$13:$N$502),0)</f>
        <v>62</v>
      </c>
      <c r="W243" s="6">
        <f>ROUND(SUMIF('JUNE (물량흐름)'!$C$13:$C$502,'Overhead exp(제조경비)'!C243,'JUNE (물량흐름)'!$O$13:$O$502),0)</f>
        <v>141</v>
      </c>
      <c r="X243" s="6">
        <f>ROUND(SUMIF('JUNE (물량흐름)'!$C$13:$C$502,'Overhead exp(제조경비)'!C243,'JUNE (물량흐름)'!$P$13:$P$502),0)</f>
        <v>287</v>
      </c>
      <c r="Y243" s="6">
        <f t="shared" si="60"/>
        <v>490</v>
      </c>
      <c r="Z243" s="6">
        <f t="shared" si="61"/>
        <v>313</v>
      </c>
      <c r="AA243" s="6">
        <f t="shared" si="66"/>
        <v>5754493</v>
      </c>
      <c r="AB243" s="391">
        <f t="shared" si="62"/>
        <v>0</v>
      </c>
      <c r="AC243" s="391">
        <f t="shared" si="63"/>
        <v>0</v>
      </c>
    </row>
    <row r="244" spans="1:29" s="390" customFormat="1" ht="24" customHeight="1">
      <c r="A244" s="167">
        <v>234</v>
      </c>
      <c r="B244" s="20" t="str">
        <f>IFERROR(VLOOKUP(A244,'JUNE (물량흐름)'!$A$13:$C$502,2,0),0)</f>
        <v>ANN TAYLOR</v>
      </c>
      <c r="C244" s="272">
        <f>VLOOKUP(A244,'JUNE (물량흐름)'!$A$13:$C$502,3,0)</f>
        <v>464818</v>
      </c>
      <c r="D244" s="6">
        <f>VLOOKUP(C244,'WIP(재공품)'!$B$12:$E$493,4,0)</f>
        <v>7936.2499999999991</v>
      </c>
      <c r="E244" s="6">
        <f>IFERROR(VLOOKUP(C244,O.B.JUNE!$AI$7:$AJ$448,2,0),0)</f>
        <v>0</v>
      </c>
      <c r="F244" s="6">
        <f>IFERROR(VLOOKUP(C244,O.B.JUNE!$AI$7:$AK$448,3,0),0)</f>
        <v>662</v>
      </c>
      <c r="G244" s="6">
        <f>IFERROR(VLOOKUP(C244,O.B.JUNE!$AI$7:$AL$448,4,0),0)</f>
        <v>713</v>
      </c>
      <c r="H244" s="6">
        <f t="shared" si="56"/>
        <v>1375</v>
      </c>
      <c r="I244" s="6">
        <f>IFERROR(VLOOKUP(C244,O.B.JUNE!$AI$7:$AN$448,6,0),0)</f>
        <v>901</v>
      </c>
      <c r="J244" s="6"/>
      <c r="K244" s="6">
        <f>IFERROR(VLOOKUP(C244,O.B.JUNE!$AI$7:$AO$448,7,0),0)</f>
        <v>29833156</v>
      </c>
      <c r="L244" s="6">
        <f>SUMIF('JUNE (물량흐름)'!$C$13:$C$488,'Overhead exp(제조경비)'!C244,'JUNE (물량흐름)'!$H$13:$H$493)+SUMIF('JUNE (물량흐름)'!$C$13:$C$493,'Overhead exp(제조경비)'!C244,'JUNE (물량흐름)'!$V$13:$V$493)</f>
        <v>0</v>
      </c>
      <c r="M244" s="6">
        <f t="shared" si="57"/>
        <v>0</v>
      </c>
      <c r="N244" s="6">
        <f t="shared" si="58"/>
        <v>0</v>
      </c>
      <c r="O244" s="6">
        <f t="shared" si="67"/>
        <v>0</v>
      </c>
      <c r="P244" s="6">
        <f>SUMIF('JUNE (물량흐름)'!$C$13:$C$502,C244,'JUNE (물량흐름)'!$T$13:$T$502)+SUMIF('JUNE (물량흐름)'!$C$13:$C$502,C244,'JUNE (물량흐름)'!$V$13:$V$502)+SUMIF('JUNE (물량흐름)'!$C$13:$C$502,C244,'JUNE (물량흐름)'!$U$13:$U$502)-SUMIF('JUNE (물량흐름)'!$C$13:$C$502,C244,'JUNE (물량흐름)'!$Y$13:$Y$502)</f>
        <v>0</v>
      </c>
      <c r="Q244" s="6">
        <f t="shared" si="64"/>
        <v>0</v>
      </c>
      <c r="R244" s="6">
        <f>IF(ISERROR(VLOOKUP(#REF!,'WIP(재공품)'!$B$12:$AB$38,13,0)),0,VLOOKUP(#REF!,'WIP(재공품)'!$B$12:$AB$38,13,0))</f>
        <v>0</v>
      </c>
      <c r="S244" s="6">
        <f>IF(ISERROR(VLOOKUP(#REF!,'WIP(재공품)'!$B$12:$AB$38,10,0)),0,VLOOKUP(#REF!,'WIP(재공품)'!$B$12:$AB$38,10,0))</f>
        <v>0</v>
      </c>
      <c r="T244" s="6">
        <f>SUMIF('JUNE (물량흐름)'!$C$13:$C$502,'Overhead exp(제조경비)'!C244,'JUNE (물량흐름)'!$Y$13:$Y$502)</f>
        <v>0</v>
      </c>
      <c r="U244" s="6">
        <f t="shared" si="59"/>
        <v>0</v>
      </c>
      <c r="V244" s="6">
        <f>ROUND(SUMIF('JUNE (물량흐름)'!$C$13:$C$502,'Overhead exp(제조경비)'!C244,'JUNE (물량흐름)'!$N$13:$N$502),0)</f>
        <v>0</v>
      </c>
      <c r="W244" s="6">
        <f>ROUND(SUMIF('JUNE (물량흐름)'!$C$13:$C$502,'Overhead exp(제조경비)'!C244,'JUNE (물량흐름)'!$O$13:$O$502),0)</f>
        <v>662</v>
      </c>
      <c r="X244" s="6">
        <f>ROUND(SUMIF('JUNE (물량흐름)'!$C$13:$C$502,'Overhead exp(제조경비)'!C244,'JUNE (물량흐름)'!$P$13:$P$502),0)</f>
        <v>713</v>
      </c>
      <c r="Y244" s="6">
        <f t="shared" si="60"/>
        <v>1375</v>
      </c>
      <c r="Z244" s="6">
        <f t="shared" si="61"/>
        <v>901</v>
      </c>
      <c r="AA244" s="6">
        <f t="shared" si="66"/>
        <v>29833156</v>
      </c>
      <c r="AB244" s="391">
        <f t="shared" si="62"/>
        <v>0</v>
      </c>
      <c r="AC244" s="391">
        <f t="shared" si="63"/>
        <v>0</v>
      </c>
    </row>
    <row r="245" spans="1:29" s="390" customFormat="1" ht="24" customHeight="1">
      <c r="A245" s="167">
        <v>235</v>
      </c>
      <c r="B245" s="20" t="str">
        <f>IFERROR(VLOOKUP(A245,'JUNE (물량흐름)'!$A$13:$C$502,2,0),0)</f>
        <v>ANN TAYLOR</v>
      </c>
      <c r="C245" s="272">
        <f>VLOOKUP(A245,'JUNE (물량흐름)'!$A$13:$C$502,3,0)</f>
        <v>465184</v>
      </c>
      <c r="D245" s="6">
        <f>VLOOKUP(C245,'WIP(재공품)'!$B$12:$E$493,4,0)</f>
        <v>8163</v>
      </c>
      <c r="E245" s="6">
        <f>IFERROR(VLOOKUP(C245,O.B.JUNE!$AI$7:$AJ$448,2,0),0)</f>
        <v>0</v>
      </c>
      <c r="F245" s="6">
        <f>IFERROR(VLOOKUP(C245,O.B.JUNE!$AI$7:$AK$448,3,0),0)</f>
        <v>16</v>
      </c>
      <c r="G245" s="6">
        <f>IFERROR(VLOOKUP(C245,O.B.JUNE!$AI$7:$AL$448,4,0),0)</f>
        <v>60</v>
      </c>
      <c r="H245" s="6">
        <f t="shared" si="56"/>
        <v>76</v>
      </c>
      <c r="I245" s="6">
        <f>IFERROR(VLOOKUP(C245,O.B.JUNE!$AI$7:$AN$448,6,0),0)</f>
        <v>56</v>
      </c>
      <c r="J245" s="6"/>
      <c r="K245" s="6">
        <f>IFERROR(VLOOKUP(C245,O.B.JUNE!$AI$7:$AO$448,7,0),0)</f>
        <v>1930340</v>
      </c>
      <c r="L245" s="6">
        <f>SUMIF('JUNE (물량흐름)'!$C$13:$C$488,'Overhead exp(제조경비)'!C245,'JUNE (물량흐름)'!$H$13:$H$493)+SUMIF('JUNE (물량흐름)'!$C$13:$C$493,'Overhead exp(제조경비)'!C245,'JUNE (물량흐름)'!$V$13:$V$493)</f>
        <v>0</v>
      </c>
      <c r="M245" s="6">
        <f t="shared" si="57"/>
        <v>0</v>
      </c>
      <c r="N245" s="6">
        <f t="shared" si="58"/>
        <v>0</v>
      </c>
      <c r="O245" s="6">
        <f t="shared" si="67"/>
        <v>0</v>
      </c>
      <c r="P245" s="6">
        <f>SUMIF('JUNE (물량흐름)'!$C$13:$C$502,C245,'JUNE (물량흐름)'!$T$13:$T$502)+SUMIF('JUNE (물량흐름)'!$C$13:$C$502,C245,'JUNE (물량흐름)'!$V$13:$V$502)+SUMIF('JUNE (물량흐름)'!$C$13:$C$502,C245,'JUNE (물량흐름)'!$U$13:$U$502)-SUMIF('JUNE (물량흐름)'!$C$13:$C$502,C245,'JUNE (물량흐름)'!$Y$13:$Y$502)</f>
        <v>0</v>
      </c>
      <c r="Q245" s="6">
        <f t="shared" si="64"/>
        <v>0</v>
      </c>
      <c r="R245" s="6">
        <f>IF(ISERROR(VLOOKUP(#REF!,'WIP(재공품)'!$B$12:$AB$38,13,0)),0,VLOOKUP(#REF!,'WIP(재공품)'!$B$12:$AB$38,13,0))</f>
        <v>0</v>
      </c>
      <c r="S245" s="6">
        <f>IF(ISERROR(VLOOKUP(#REF!,'WIP(재공품)'!$B$12:$AB$38,10,0)),0,VLOOKUP(#REF!,'WIP(재공품)'!$B$12:$AB$38,10,0))</f>
        <v>0</v>
      </c>
      <c r="T245" s="6">
        <f>SUMIF('JUNE (물량흐름)'!$C$13:$C$502,'Overhead exp(제조경비)'!C245,'JUNE (물량흐름)'!$Y$13:$Y$502)</f>
        <v>0</v>
      </c>
      <c r="U245" s="6">
        <f t="shared" si="59"/>
        <v>0</v>
      </c>
      <c r="V245" s="6">
        <f>ROUND(SUMIF('JUNE (물량흐름)'!$C$13:$C$502,'Overhead exp(제조경비)'!C245,'JUNE (물량흐름)'!$N$13:$N$502),0)</f>
        <v>0</v>
      </c>
      <c r="W245" s="6">
        <f>ROUND(SUMIF('JUNE (물량흐름)'!$C$13:$C$502,'Overhead exp(제조경비)'!C245,'JUNE (물량흐름)'!$O$13:$O$502),0)</f>
        <v>16</v>
      </c>
      <c r="X245" s="6">
        <f>ROUND(SUMIF('JUNE (물량흐름)'!$C$13:$C$502,'Overhead exp(제조경비)'!C245,'JUNE (물량흐름)'!$P$13:$P$502),0)</f>
        <v>60</v>
      </c>
      <c r="Y245" s="167">
        <f t="shared" ref="Y245" si="75">ROUND(SUM(V245:X245),0)</f>
        <v>76</v>
      </c>
      <c r="Z245" s="167">
        <f t="shared" si="61"/>
        <v>56</v>
      </c>
      <c r="AA245" s="6">
        <f t="shared" si="66"/>
        <v>1930340</v>
      </c>
      <c r="AB245" s="391">
        <f t="shared" si="62"/>
        <v>0</v>
      </c>
      <c r="AC245" s="391">
        <f t="shared" si="63"/>
        <v>0</v>
      </c>
    </row>
    <row r="246" spans="1:29" s="390" customFormat="1" ht="24" customHeight="1">
      <c r="A246" s="167">
        <v>236</v>
      </c>
      <c r="B246" s="20" t="str">
        <f>IFERROR(VLOOKUP(A246,'JUNE (물량흐름)'!$A$13:$C$502,2,0),0)</f>
        <v>ANN TAYLOR</v>
      </c>
      <c r="C246" s="272">
        <f>VLOOKUP(A246,'JUNE (물량흐름)'!$A$13:$C$502,3,0)</f>
        <v>465409</v>
      </c>
      <c r="D246" s="6">
        <f>VLOOKUP(C246,'WIP(재공품)'!$B$12:$E$493,4,0)</f>
        <v>7936.2499999999991</v>
      </c>
      <c r="E246" s="6">
        <f>IFERROR(VLOOKUP(C246,O.B.JUNE!$AI$7:$AJ$448,2,0),0)</f>
        <v>2</v>
      </c>
      <c r="F246" s="6">
        <f>IFERROR(VLOOKUP(C246,O.B.JUNE!$AI$7:$AK$448,3,0),0)</f>
        <v>14</v>
      </c>
      <c r="G246" s="6">
        <f>IFERROR(VLOOKUP(C246,O.B.JUNE!$AI$7:$AL$448,4,0),0)</f>
        <v>1025</v>
      </c>
      <c r="H246" s="6">
        <f t="shared" si="56"/>
        <v>1041</v>
      </c>
      <c r="I246" s="6">
        <f>IFERROR(VLOOKUP(C246,O.B.JUNE!$AI$7:$AN$448,6,0),0)</f>
        <v>827</v>
      </c>
      <c r="J246" s="6"/>
      <c r="K246" s="6">
        <f>IFERROR(VLOOKUP(C246,O.B.JUNE!$AI$7:$AO$448,7,0),0)</f>
        <v>24614092</v>
      </c>
      <c r="L246" s="6">
        <f>SUMIF('JUNE (물량흐름)'!$C$13:$C$488,'Overhead exp(제조경비)'!C246,'JUNE (물량흐름)'!$H$13:$H$493)+SUMIF('JUNE (물량흐름)'!$C$13:$C$493,'Overhead exp(제조경비)'!C246,'JUNE (물량흐름)'!$V$13:$V$493)</f>
        <v>0</v>
      </c>
      <c r="M246" s="6">
        <f t="shared" si="57"/>
        <v>0</v>
      </c>
      <c r="N246" s="6">
        <f t="shared" si="58"/>
        <v>0</v>
      </c>
      <c r="O246" s="6">
        <f t="shared" si="67"/>
        <v>0</v>
      </c>
      <c r="P246" s="6">
        <f>SUMIF('JUNE (물량흐름)'!$C$13:$C$502,C246,'JUNE (물량흐름)'!$T$13:$T$502)+SUMIF('JUNE (물량흐름)'!$C$13:$C$502,C246,'JUNE (물량흐름)'!$V$13:$V$502)+SUMIF('JUNE (물량흐름)'!$C$13:$C$502,C246,'JUNE (물량흐름)'!$U$13:$U$502)-SUMIF('JUNE (물량흐름)'!$C$13:$C$502,C246,'JUNE (물량흐름)'!$Y$13:$Y$502)</f>
        <v>0</v>
      </c>
      <c r="Q246" s="6">
        <f t="shared" si="64"/>
        <v>0</v>
      </c>
      <c r="R246" s="6">
        <f>IF(ISERROR(VLOOKUP(#REF!,'WIP(재공품)'!$B$12:$AB$38,13,0)),0,VLOOKUP(#REF!,'WIP(재공품)'!$B$12:$AB$38,13,0))</f>
        <v>0</v>
      </c>
      <c r="S246" s="6">
        <f>IF(ISERROR(VLOOKUP(#REF!,'WIP(재공품)'!$B$12:$AB$38,10,0)),0,VLOOKUP(#REF!,'WIP(재공품)'!$B$12:$AB$38,10,0))</f>
        <v>0</v>
      </c>
      <c r="T246" s="6">
        <f>SUMIF('JUNE (물량흐름)'!$C$13:$C$502,'Overhead exp(제조경비)'!C246,'JUNE (물량흐름)'!$Y$13:$Y$502)</f>
        <v>0</v>
      </c>
      <c r="U246" s="6">
        <f t="shared" si="59"/>
        <v>0</v>
      </c>
      <c r="V246" s="6">
        <f>ROUND(SUMIF('JUNE (물량흐름)'!$C$13:$C$502,'Overhead exp(제조경비)'!C246,'JUNE (물량흐름)'!$N$13:$N$502),0)</f>
        <v>2</v>
      </c>
      <c r="W246" s="6">
        <f>ROUND(SUMIF('JUNE (물량흐름)'!$C$13:$C$502,'Overhead exp(제조경비)'!C246,'JUNE (물량흐름)'!$O$13:$O$502),0)</f>
        <v>14</v>
      </c>
      <c r="X246" s="6">
        <f>ROUND(SUMIF('JUNE (물량흐름)'!$C$13:$C$502,'Overhead exp(제조경비)'!C246,'JUNE (물량흐름)'!$P$13:$P$502),0)</f>
        <v>1025</v>
      </c>
      <c r="Y246" s="6">
        <f t="shared" si="60"/>
        <v>1041</v>
      </c>
      <c r="Z246" s="6">
        <f t="shared" si="61"/>
        <v>827</v>
      </c>
      <c r="AA246" s="6">
        <f t="shared" si="66"/>
        <v>24614092</v>
      </c>
      <c r="AB246" s="391">
        <f t="shared" si="62"/>
        <v>0</v>
      </c>
      <c r="AC246" s="391">
        <f t="shared" si="63"/>
        <v>0</v>
      </c>
    </row>
    <row r="247" spans="1:29" s="390" customFormat="1" ht="24" customHeight="1">
      <c r="A247" s="167">
        <v>237</v>
      </c>
      <c r="B247" s="20" t="str">
        <f>IFERROR(VLOOKUP(A247,'JUNE (물량흐름)'!$A$13:$C$502,2,0),0)</f>
        <v>CHARTER CLUB</v>
      </c>
      <c r="C247" s="272">
        <f>VLOOKUP(A247,'JUNE (물량흐름)'!$A$13:$C$502,3,0)</f>
        <v>100010055</v>
      </c>
      <c r="D247" s="6">
        <f>VLOOKUP(C247,'WIP(재공품)'!$B$12:$E$493,4,0)</f>
        <v>7936.2499999999991</v>
      </c>
      <c r="E247" s="6">
        <f>IFERROR(VLOOKUP(C247,O.B.JUNE!$AI$7:$AJ$448,2,0),0)</f>
        <v>0</v>
      </c>
      <c r="F247" s="6">
        <f>IFERROR(VLOOKUP(C247,O.B.JUNE!$AI$7:$AK$448,3,0),0)</f>
        <v>17</v>
      </c>
      <c r="G247" s="6">
        <f>IFERROR(VLOOKUP(C247,O.B.JUNE!$AI$7:$AL$448,4,0),0)</f>
        <v>7</v>
      </c>
      <c r="H247" s="6">
        <f t="shared" si="56"/>
        <v>24</v>
      </c>
      <c r="I247" s="6">
        <f>IFERROR(VLOOKUP(C247,O.B.JUNE!$AI$7:$AN$448,6,0),0)</f>
        <v>14</v>
      </c>
      <c r="J247" s="6"/>
      <c r="K247" s="6">
        <f>IFERROR(VLOOKUP(C247,O.B.JUNE!$AI$7:$AO$448,7,0),0)</f>
        <v>1254657</v>
      </c>
      <c r="L247" s="6">
        <f>SUMIF('JUNE (물량흐름)'!$C$13:$C$488,'Overhead exp(제조경비)'!C247,'JUNE (물량흐름)'!$H$13:$H$493)+SUMIF('JUNE (물량흐름)'!$C$13:$C$493,'Overhead exp(제조경비)'!C247,'JUNE (물량흐름)'!$V$13:$V$493)</f>
        <v>0</v>
      </c>
      <c r="M247" s="6">
        <f t="shared" si="57"/>
        <v>0</v>
      </c>
      <c r="N247" s="6">
        <f t="shared" si="58"/>
        <v>0</v>
      </c>
      <c r="O247" s="6">
        <f t="shared" si="67"/>
        <v>0</v>
      </c>
      <c r="P247" s="6">
        <f>SUMIF('JUNE (물량흐름)'!$C$13:$C$502,C247,'JUNE (물량흐름)'!$T$13:$T$502)+SUMIF('JUNE (물량흐름)'!$C$13:$C$502,C247,'JUNE (물량흐름)'!$V$13:$V$502)+SUMIF('JUNE (물량흐름)'!$C$13:$C$502,C247,'JUNE (물량흐름)'!$U$13:$U$502)-SUMIF('JUNE (물량흐름)'!$C$13:$C$502,C247,'JUNE (물량흐름)'!$Y$13:$Y$502)</f>
        <v>0</v>
      </c>
      <c r="Q247" s="6">
        <f t="shared" si="64"/>
        <v>0</v>
      </c>
      <c r="R247" s="6">
        <f>IF(ISERROR(VLOOKUP(#REF!,'WIP(재공품)'!$B$12:$AB$38,13,0)),0,VLOOKUP(#REF!,'WIP(재공품)'!$B$12:$AB$38,13,0))</f>
        <v>0</v>
      </c>
      <c r="S247" s="6">
        <f>IF(ISERROR(VLOOKUP(#REF!,'WIP(재공품)'!$B$12:$AB$38,10,0)),0,VLOOKUP(#REF!,'WIP(재공품)'!$B$12:$AB$38,10,0))</f>
        <v>0</v>
      </c>
      <c r="T247" s="6">
        <f>SUMIF('JUNE (물량흐름)'!$C$13:$C$502,'Overhead exp(제조경비)'!C247,'JUNE (물량흐름)'!$Y$13:$Y$502)</f>
        <v>0</v>
      </c>
      <c r="U247" s="6">
        <f t="shared" si="59"/>
        <v>0</v>
      </c>
      <c r="V247" s="6">
        <f>ROUND(SUMIF('JUNE (물량흐름)'!$C$13:$C$502,'Overhead exp(제조경비)'!C247,'JUNE (물량흐름)'!$N$13:$N$502),0)</f>
        <v>0</v>
      </c>
      <c r="W247" s="6">
        <f>ROUND(SUMIF('JUNE (물량흐름)'!$C$13:$C$502,'Overhead exp(제조경비)'!C247,'JUNE (물량흐름)'!$O$13:$O$502),0)</f>
        <v>17</v>
      </c>
      <c r="X247" s="6">
        <f>ROUND(SUMIF('JUNE (물량흐름)'!$C$13:$C$502,'Overhead exp(제조경비)'!C247,'JUNE (물량흐름)'!$P$13:$P$502),0)</f>
        <v>7</v>
      </c>
      <c r="Y247" s="6">
        <f t="shared" si="60"/>
        <v>24</v>
      </c>
      <c r="Z247" s="6">
        <f t="shared" si="61"/>
        <v>14</v>
      </c>
      <c r="AA247" s="6">
        <f t="shared" si="66"/>
        <v>1254657</v>
      </c>
      <c r="AB247" s="391">
        <f t="shared" si="62"/>
        <v>0</v>
      </c>
      <c r="AC247" s="391">
        <f t="shared" si="63"/>
        <v>0</v>
      </c>
    </row>
    <row r="248" spans="1:29" s="390" customFormat="1" ht="24" customHeight="1">
      <c r="A248" s="167">
        <v>238</v>
      </c>
      <c r="B248" s="20" t="str">
        <f>IFERROR(VLOOKUP(A248,'JUNE (물량흐름)'!$A$13:$C$502,2,0),0)</f>
        <v>CHARTER CLUB</v>
      </c>
      <c r="C248" s="272">
        <f>VLOOKUP(A248,'JUNE (물량흐름)'!$A$13:$C$502,3,0)</f>
        <v>100013421</v>
      </c>
      <c r="D248" s="6">
        <f>VLOOKUP(C248,'WIP(재공품)'!$B$12:$E$493,4,0)</f>
        <v>44443</v>
      </c>
      <c r="E248" s="6">
        <f>IFERROR(VLOOKUP(C248,O.B.JUNE!$AI$7:$AJ$448,2,0),0)</f>
        <v>0</v>
      </c>
      <c r="F248" s="6">
        <f>IFERROR(VLOOKUP(C248,O.B.JUNE!$AI$7:$AK$448,3,0),0)</f>
        <v>364</v>
      </c>
      <c r="G248" s="6">
        <f>IFERROR(VLOOKUP(C248,O.B.JUNE!$AI$7:$AL$448,4,0),0)</f>
        <v>338</v>
      </c>
      <c r="H248" s="6">
        <f t="shared" si="56"/>
        <v>702</v>
      </c>
      <c r="I248" s="6">
        <f>IFERROR(VLOOKUP(C248,O.B.JUNE!$AI$7:$AN$448,6,0),0)</f>
        <v>452</v>
      </c>
      <c r="J248" s="6"/>
      <c r="K248" s="6">
        <f>IFERROR(VLOOKUP(C248,O.B.JUNE!$AI$7:$AO$448,7,0),0)</f>
        <v>9752592</v>
      </c>
      <c r="L248" s="6">
        <f>SUMIF('JUNE (물량흐름)'!$C$13:$C$488,'Overhead exp(제조경비)'!C248,'JUNE (물량흐름)'!$H$13:$H$493)+SUMIF('JUNE (물량흐름)'!$C$13:$C$493,'Overhead exp(제조경비)'!C248,'JUNE (물량흐름)'!$V$13:$V$493)</f>
        <v>0</v>
      </c>
      <c r="M248" s="6">
        <f t="shared" si="57"/>
        <v>0</v>
      </c>
      <c r="N248" s="6">
        <f t="shared" si="58"/>
        <v>0</v>
      </c>
      <c r="O248" s="6">
        <f t="shared" si="67"/>
        <v>0</v>
      </c>
      <c r="P248" s="6">
        <f>SUMIF('JUNE (물량흐름)'!$C$13:$C$502,C248,'JUNE (물량흐름)'!$T$13:$T$502)+SUMIF('JUNE (물량흐름)'!$C$13:$C$502,C248,'JUNE (물량흐름)'!$V$13:$V$502)+SUMIF('JUNE (물량흐름)'!$C$13:$C$502,C248,'JUNE (물량흐름)'!$U$13:$U$502)-SUMIF('JUNE (물량흐름)'!$C$13:$C$502,C248,'JUNE (물량흐름)'!$Y$13:$Y$502)</f>
        <v>0</v>
      </c>
      <c r="Q248" s="6">
        <f t="shared" si="64"/>
        <v>0</v>
      </c>
      <c r="R248" s="6">
        <f>IF(ISERROR(VLOOKUP(#REF!,'WIP(재공품)'!$B$12:$AB$38,13,0)),0,VLOOKUP(#REF!,'WIP(재공품)'!$B$12:$AB$38,13,0))</f>
        <v>0</v>
      </c>
      <c r="S248" s="6">
        <f>IF(ISERROR(VLOOKUP(#REF!,'WIP(재공품)'!$B$12:$AB$38,10,0)),0,VLOOKUP(#REF!,'WIP(재공품)'!$B$12:$AB$38,10,0))</f>
        <v>0</v>
      </c>
      <c r="T248" s="6">
        <f>SUMIF('JUNE (물량흐름)'!$C$13:$C$502,'Overhead exp(제조경비)'!C248,'JUNE (물량흐름)'!$Y$13:$Y$502)</f>
        <v>0</v>
      </c>
      <c r="U248" s="6">
        <f t="shared" si="59"/>
        <v>0</v>
      </c>
      <c r="V248" s="6">
        <f>ROUND(SUMIF('JUNE (물량흐름)'!$C$13:$C$502,'Overhead exp(제조경비)'!C248,'JUNE (물량흐름)'!$N$13:$N$502),0)</f>
        <v>0</v>
      </c>
      <c r="W248" s="6">
        <f>ROUND(SUMIF('JUNE (물량흐름)'!$C$13:$C$502,'Overhead exp(제조경비)'!C248,'JUNE (물량흐름)'!$O$13:$O$502),0)</f>
        <v>364</v>
      </c>
      <c r="X248" s="6">
        <f>ROUND(SUMIF('JUNE (물량흐름)'!$C$13:$C$502,'Overhead exp(제조경비)'!C248,'JUNE (물량흐름)'!$P$13:$P$502),0)</f>
        <v>338</v>
      </c>
      <c r="Y248" s="6">
        <f t="shared" si="60"/>
        <v>702</v>
      </c>
      <c r="Z248" s="6">
        <f t="shared" si="61"/>
        <v>452</v>
      </c>
      <c r="AA248" s="6">
        <f t="shared" si="66"/>
        <v>9752592</v>
      </c>
      <c r="AB248" s="391">
        <f t="shared" si="62"/>
        <v>0</v>
      </c>
      <c r="AC248" s="391">
        <f t="shared" si="63"/>
        <v>0</v>
      </c>
    </row>
    <row r="249" spans="1:29" s="390" customFormat="1" ht="24" customHeight="1">
      <c r="A249" s="167">
        <v>239</v>
      </c>
      <c r="B249" s="20" t="str">
        <f>IFERROR(VLOOKUP(A249,'JUNE (물량흐름)'!$A$13:$C$502,2,0),0)</f>
        <v>INC</v>
      </c>
      <c r="C249" s="272">
        <f>VLOOKUP(A249,'JUNE (물량흐름)'!$A$13:$C$502,3,0)</f>
        <v>100006969</v>
      </c>
      <c r="D249" s="6">
        <f>VLOOKUP(C249,'WIP(재공품)'!$B$12:$E$493,4,0)</f>
        <v>44443</v>
      </c>
      <c r="E249" s="6">
        <f>IFERROR(VLOOKUP(C249,O.B.JUNE!$AI$7:$AJ$448,2,0),0)</f>
        <v>30</v>
      </c>
      <c r="F249" s="6">
        <f>IFERROR(VLOOKUP(C249,O.B.JUNE!$AI$7:$AK$448,3,0),0)</f>
        <v>73</v>
      </c>
      <c r="G249" s="6">
        <f>IFERROR(VLOOKUP(C249,O.B.JUNE!$AI$7:$AL$448,4,0),0)</f>
        <v>57</v>
      </c>
      <c r="H249" s="6">
        <f t="shared" si="56"/>
        <v>160</v>
      </c>
      <c r="I249" s="6">
        <f>IFERROR(VLOOKUP(C249,O.B.JUNE!$AI$7:$AN$448,6,0),0)</f>
        <v>88</v>
      </c>
      <c r="J249" s="6"/>
      <c r="K249" s="6">
        <f>IFERROR(VLOOKUP(C249,O.B.JUNE!$AI$7:$AO$448,7,0),0)</f>
        <v>7286726</v>
      </c>
      <c r="L249" s="6">
        <f>SUMIF('JUNE (물량흐름)'!$C$13:$C$488,'Overhead exp(제조경비)'!C249,'JUNE (물량흐름)'!$H$13:$H$493)+SUMIF('JUNE (물량흐름)'!$C$13:$C$493,'Overhead exp(제조경비)'!C249,'JUNE (물량흐름)'!$V$13:$V$493)</f>
        <v>0</v>
      </c>
      <c r="M249" s="6">
        <f t="shared" si="57"/>
        <v>0</v>
      </c>
      <c r="N249" s="6">
        <f t="shared" si="58"/>
        <v>0</v>
      </c>
      <c r="O249" s="6">
        <f t="shared" si="67"/>
        <v>0</v>
      </c>
      <c r="P249" s="6">
        <f>SUMIF('JUNE (물량흐름)'!$C$13:$C$502,C249,'JUNE (물량흐름)'!$T$13:$T$502)+SUMIF('JUNE (물량흐름)'!$C$13:$C$502,C249,'JUNE (물량흐름)'!$V$13:$V$502)+SUMIF('JUNE (물량흐름)'!$C$13:$C$502,C249,'JUNE (물량흐름)'!$U$13:$U$502)-SUMIF('JUNE (물량흐름)'!$C$13:$C$502,C249,'JUNE (물량흐름)'!$Y$13:$Y$502)</f>
        <v>0</v>
      </c>
      <c r="Q249" s="6">
        <f t="shared" si="64"/>
        <v>0</v>
      </c>
      <c r="R249" s="6">
        <f>IF(ISERROR(VLOOKUP(#REF!,'WIP(재공품)'!$B$12:$AB$38,13,0)),0,VLOOKUP(#REF!,'WIP(재공품)'!$B$12:$AB$38,13,0))</f>
        <v>0</v>
      </c>
      <c r="S249" s="6">
        <f>IF(ISERROR(VLOOKUP(#REF!,'WIP(재공품)'!$B$12:$AB$38,10,0)),0,VLOOKUP(#REF!,'WIP(재공품)'!$B$12:$AB$38,10,0))</f>
        <v>0</v>
      </c>
      <c r="T249" s="6">
        <f>SUMIF('JUNE (물량흐름)'!$C$13:$C$502,'Overhead exp(제조경비)'!C249,'JUNE (물량흐름)'!$Y$13:$Y$502)</f>
        <v>0</v>
      </c>
      <c r="U249" s="6">
        <f t="shared" si="59"/>
        <v>0</v>
      </c>
      <c r="V249" s="6">
        <f>ROUND(SUMIF('JUNE (물량흐름)'!$C$13:$C$502,'Overhead exp(제조경비)'!C249,'JUNE (물량흐름)'!$N$13:$N$502),0)</f>
        <v>30</v>
      </c>
      <c r="W249" s="6">
        <f>ROUND(SUMIF('JUNE (물량흐름)'!$C$13:$C$502,'Overhead exp(제조경비)'!C249,'JUNE (물량흐름)'!$O$13:$O$502),0)</f>
        <v>73</v>
      </c>
      <c r="X249" s="6">
        <f>ROUND(SUMIF('JUNE (물량흐름)'!$C$13:$C$502,'Overhead exp(제조경비)'!C249,'JUNE (물량흐름)'!$P$13:$P$502),0)</f>
        <v>57</v>
      </c>
      <c r="Y249" s="167">
        <f t="shared" ref="Y249" si="76">ROUND(SUM(V249:X249),0)</f>
        <v>160</v>
      </c>
      <c r="Z249" s="167">
        <f t="shared" si="61"/>
        <v>88</v>
      </c>
      <c r="AA249" s="6">
        <f t="shared" si="66"/>
        <v>7286726</v>
      </c>
      <c r="AB249" s="391">
        <f t="shared" si="62"/>
        <v>0</v>
      </c>
      <c r="AC249" s="391">
        <f t="shared" si="63"/>
        <v>0</v>
      </c>
    </row>
    <row r="250" spans="1:29" s="390" customFormat="1" ht="24" customHeight="1">
      <c r="A250" s="167">
        <v>240</v>
      </c>
      <c r="B250" s="20" t="str">
        <f>IFERROR(VLOOKUP(A250,'JUNE (물량흐름)'!$A$13:$C$502,2,0),0)</f>
        <v>INC</v>
      </c>
      <c r="C250" s="272">
        <f>VLOOKUP(A250,'JUNE (물량흐름)'!$A$13:$C$502,3,0)</f>
        <v>100020548</v>
      </c>
      <c r="D250" s="6">
        <f>VLOOKUP(C250,'WIP(재공품)'!$B$12:$E$493,4,0)</f>
        <v>7936.2499999999991</v>
      </c>
      <c r="E250" s="6">
        <f>IFERROR(VLOOKUP(C250,O.B.JUNE!$AI$7:$AJ$448,2,0),0)</f>
        <v>0</v>
      </c>
      <c r="F250" s="6">
        <f>IFERROR(VLOOKUP(C250,O.B.JUNE!$AI$7:$AK$448,3,0),0)</f>
        <v>436</v>
      </c>
      <c r="G250" s="6">
        <f>IFERROR(VLOOKUP(C250,O.B.JUNE!$AI$7:$AL$448,4,0),0)</f>
        <v>414</v>
      </c>
      <c r="H250" s="6">
        <f t="shared" si="56"/>
        <v>850</v>
      </c>
      <c r="I250" s="6">
        <f>IFERROR(VLOOKUP(C250,O.B.JUNE!$AI$7:$AN$448,6,0),0)</f>
        <v>549</v>
      </c>
      <c r="J250" s="6"/>
      <c r="K250" s="6">
        <f>IFERROR(VLOOKUP(C250,O.B.JUNE!$AI$7:$AO$448,7,0),0)</f>
        <v>16008145</v>
      </c>
      <c r="L250" s="6">
        <f>SUMIF('JUNE (물량흐름)'!$C$13:$C$488,'Overhead exp(제조경비)'!C250,'JUNE (물량흐름)'!$H$13:$H$493)+SUMIF('JUNE (물량흐름)'!$C$13:$C$493,'Overhead exp(제조경비)'!C250,'JUNE (물량흐름)'!$V$13:$V$493)</f>
        <v>0</v>
      </c>
      <c r="M250" s="6">
        <f t="shared" si="57"/>
        <v>0</v>
      </c>
      <c r="N250" s="6">
        <f t="shared" si="58"/>
        <v>0</v>
      </c>
      <c r="O250" s="6">
        <f t="shared" si="67"/>
        <v>0</v>
      </c>
      <c r="P250" s="6">
        <f>SUMIF('JUNE (물량흐름)'!$C$13:$C$502,C250,'JUNE (물량흐름)'!$T$13:$T$502)+SUMIF('JUNE (물량흐름)'!$C$13:$C$502,C250,'JUNE (물량흐름)'!$V$13:$V$502)+SUMIF('JUNE (물량흐름)'!$C$13:$C$502,C250,'JUNE (물량흐름)'!$U$13:$U$502)-SUMIF('JUNE (물량흐름)'!$C$13:$C$502,C250,'JUNE (물량흐름)'!$Y$13:$Y$502)</f>
        <v>0</v>
      </c>
      <c r="Q250" s="6">
        <f t="shared" si="64"/>
        <v>0</v>
      </c>
      <c r="R250" s="6">
        <f>IF(ISERROR(VLOOKUP(#REF!,'WIP(재공품)'!$B$12:$AB$38,13,0)),0,VLOOKUP(#REF!,'WIP(재공품)'!$B$12:$AB$38,13,0))</f>
        <v>0</v>
      </c>
      <c r="S250" s="6">
        <f>IF(ISERROR(VLOOKUP(#REF!,'WIP(재공품)'!$B$12:$AB$38,10,0)),0,VLOOKUP(#REF!,'WIP(재공품)'!$B$12:$AB$38,10,0))</f>
        <v>0</v>
      </c>
      <c r="T250" s="6">
        <f>SUMIF('JUNE (물량흐름)'!$C$13:$C$502,'Overhead exp(제조경비)'!C250,'JUNE (물량흐름)'!$Y$13:$Y$502)</f>
        <v>0</v>
      </c>
      <c r="U250" s="6">
        <f t="shared" si="59"/>
        <v>0</v>
      </c>
      <c r="V250" s="6">
        <f>ROUND(SUMIF('JUNE (물량흐름)'!$C$13:$C$502,'Overhead exp(제조경비)'!C250,'JUNE (물량흐름)'!$N$13:$N$502),0)</f>
        <v>0</v>
      </c>
      <c r="W250" s="6">
        <f>ROUND(SUMIF('JUNE (물량흐름)'!$C$13:$C$502,'Overhead exp(제조경비)'!C250,'JUNE (물량흐름)'!$O$13:$O$502),0)</f>
        <v>436</v>
      </c>
      <c r="X250" s="6">
        <f>ROUND(SUMIF('JUNE (물량흐름)'!$C$13:$C$502,'Overhead exp(제조경비)'!C250,'JUNE (물량흐름)'!$P$13:$P$502),0)</f>
        <v>414</v>
      </c>
      <c r="Y250" s="6">
        <f t="shared" si="60"/>
        <v>850</v>
      </c>
      <c r="Z250" s="6">
        <f t="shared" si="61"/>
        <v>549</v>
      </c>
      <c r="AA250" s="6">
        <f t="shared" si="66"/>
        <v>16008145</v>
      </c>
      <c r="AB250" s="391">
        <f t="shared" si="62"/>
        <v>0</v>
      </c>
      <c r="AC250" s="391">
        <f t="shared" si="63"/>
        <v>0</v>
      </c>
    </row>
    <row r="251" spans="1:29" s="390" customFormat="1" ht="24" customHeight="1">
      <c r="A251" s="167">
        <v>241</v>
      </c>
      <c r="B251" s="20" t="str">
        <f>IFERROR(VLOOKUP(A251,'JUNE (물량흐름)'!$A$13:$C$502,2,0),0)</f>
        <v>INC</v>
      </c>
      <c r="C251" s="272">
        <f>VLOOKUP(A251,'JUNE (물량흐름)'!$A$13:$C$502,3,0)</f>
        <v>77511</v>
      </c>
      <c r="D251" s="6">
        <f>VLOOKUP(C251,'WIP(재공품)'!$B$12:$E$493,4,0)</f>
        <v>8163</v>
      </c>
      <c r="E251" s="6">
        <f>IFERROR(VLOOKUP(C251,O.B.JUNE!$AI$7:$AJ$448,2,0),0)</f>
        <v>0</v>
      </c>
      <c r="F251" s="6">
        <f>IFERROR(VLOOKUP(C251,O.B.JUNE!$AI$7:$AK$448,3,0),0)</f>
        <v>0</v>
      </c>
      <c r="G251" s="6">
        <f>IFERROR(VLOOKUP(C251,O.B.JUNE!$AI$7:$AL$448,4,0),0)</f>
        <v>89</v>
      </c>
      <c r="H251" s="6">
        <f t="shared" si="56"/>
        <v>89</v>
      </c>
      <c r="I251" s="6">
        <f>IFERROR(VLOOKUP(C251,O.B.JUNE!$AI$7:$AN$448,6,0),0)</f>
        <v>71</v>
      </c>
      <c r="J251" s="6"/>
      <c r="K251" s="6">
        <f>IFERROR(VLOOKUP(C251,O.B.JUNE!$AI$7:$AO$448,7,0),0)</f>
        <v>3793783</v>
      </c>
      <c r="L251" s="6">
        <f>SUMIF('JUNE (물량흐름)'!$C$13:$C$488,'Overhead exp(제조경비)'!C251,'JUNE (물량흐름)'!$H$13:$H$493)+SUMIF('JUNE (물량흐름)'!$C$13:$C$493,'Overhead exp(제조경비)'!C251,'JUNE (물량흐름)'!$V$13:$V$493)</f>
        <v>0</v>
      </c>
      <c r="M251" s="6">
        <f t="shared" si="57"/>
        <v>0</v>
      </c>
      <c r="N251" s="6">
        <f t="shared" si="58"/>
        <v>0</v>
      </c>
      <c r="O251" s="6">
        <f t="shared" si="67"/>
        <v>0</v>
      </c>
      <c r="P251" s="6">
        <f>SUMIF('JUNE (물량흐름)'!$C$13:$C$502,C251,'JUNE (물량흐름)'!$T$13:$T$502)+SUMIF('JUNE (물량흐름)'!$C$13:$C$502,C251,'JUNE (물량흐름)'!$V$13:$V$502)+SUMIF('JUNE (물량흐름)'!$C$13:$C$502,C251,'JUNE (물량흐름)'!$U$13:$U$502)-SUMIF('JUNE (물량흐름)'!$C$13:$C$502,C251,'JUNE (물량흐름)'!$Y$13:$Y$502)</f>
        <v>89</v>
      </c>
      <c r="Q251" s="6">
        <f t="shared" si="64"/>
        <v>3793783</v>
      </c>
      <c r="R251" s="6">
        <f>IF(ISERROR(VLOOKUP(#REF!,'WIP(재공품)'!$B$12:$AB$38,13,0)),0,VLOOKUP(#REF!,'WIP(재공품)'!$B$12:$AB$38,13,0))</f>
        <v>0</v>
      </c>
      <c r="S251" s="6">
        <f>IF(ISERROR(VLOOKUP(#REF!,'WIP(재공품)'!$B$12:$AB$38,10,0)),0,VLOOKUP(#REF!,'WIP(재공품)'!$B$12:$AB$38,10,0))</f>
        <v>0</v>
      </c>
      <c r="T251" s="6">
        <f>SUMIF('JUNE (물량흐름)'!$C$13:$C$502,'Overhead exp(제조경비)'!C251,'JUNE (물량흐름)'!$Y$13:$Y$502)</f>
        <v>0</v>
      </c>
      <c r="U251" s="6">
        <f t="shared" si="59"/>
        <v>0</v>
      </c>
      <c r="V251" s="6">
        <f>ROUND(SUMIF('JUNE (물량흐름)'!$C$13:$C$502,'Overhead exp(제조경비)'!C251,'JUNE (물량흐름)'!$N$13:$N$502),0)</f>
        <v>0</v>
      </c>
      <c r="W251" s="6">
        <f>ROUND(SUMIF('JUNE (물량흐름)'!$C$13:$C$502,'Overhead exp(제조경비)'!C251,'JUNE (물량흐름)'!$O$13:$O$502),0)</f>
        <v>0</v>
      </c>
      <c r="X251" s="6">
        <f>ROUND(SUMIF('JUNE (물량흐름)'!$C$13:$C$502,'Overhead exp(제조경비)'!C251,'JUNE (물량흐름)'!$P$13:$P$502),0)</f>
        <v>0</v>
      </c>
      <c r="Y251" s="6">
        <f t="shared" si="60"/>
        <v>0</v>
      </c>
      <c r="Z251" s="6">
        <f t="shared" si="61"/>
        <v>0</v>
      </c>
      <c r="AA251" s="6">
        <f t="shared" si="66"/>
        <v>0</v>
      </c>
      <c r="AB251" s="391">
        <f t="shared" si="62"/>
        <v>0</v>
      </c>
      <c r="AC251" s="391">
        <f t="shared" si="63"/>
        <v>0</v>
      </c>
    </row>
    <row r="252" spans="1:29" s="390" customFormat="1" ht="24" customHeight="1">
      <c r="A252" s="167">
        <v>242</v>
      </c>
      <c r="B252" s="20" t="str">
        <f>IFERROR(VLOOKUP(A252,'JUNE (물량흐름)'!$A$13:$C$502,2,0),0)</f>
        <v>J JILL</v>
      </c>
      <c r="C252" s="272" t="str">
        <f>VLOOKUP(A252,'JUNE (물량흐름)'!$A$13:$C$502,3,0)</f>
        <v>KTP118131</v>
      </c>
      <c r="D252" s="6">
        <f>VLOOKUP(C252,'WIP(재공품)'!$B$12:$E$493,4,0)</f>
        <v>71426.25</v>
      </c>
      <c r="E252" s="6">
        <f>IFERROR(VLOOKUP(C252,O.B.JUNE!$AI$7:$AJ$448,2,0),0)</f>
        <v>0</v>
      </c>
      <c r="F252" s="6">
        <f>IFERROR(VLOOKUP(C252,O.B.JUNE!$AI$7:$AK$448,3,0),0)</f>
        <v>0</v>
      </c>
      <c r="G252" s="6">
        <f>IFERROR(VLOOKUP(C252,O.B.JUNE!$AI$7:$AL$448,4,0),0)</f>
        <v>619</v>
      </c>
      <c r="H252" s="6">
        <f t="shared" si="56"/>
        <v>619</v>
      </c>
      <c r="I252" s="6">
        <f>IFERROR(VLOOKUP(C252,O.B.JUNE!$AI$7:$AN$448,6,0),0)</f>
        <v>495</v>
      </c>
      <c r="J252" s="6"/>
      <c r="K252" s="6">
        <f>IFERROR(VLOOKUP(C252,O.B.JUNE!$AI$7:$AO$448,7,0),0)</f>
        <v>10184382</v>
      </c>
      <c r="L252" s="6">
        <f>SUMIF('JUNE (물량흐름)'!$C$13:$C$488,'Overhead exp(제조경비)'!C252,'JUNE (물량흐름)'!$H$13:$H$493)+SUMIF('JUNE (물량흐름)'!$C$13:$C$493,'Overhead exp(제조경비)'!C252,'JUNE (물량흐름)'!$V$13:$V$493)</f>
        <v>0</v>
      </c>
      <c r="M252" s="6">
        <f t="shared" si="57"/>
        <v>0</v>
      </c>
      <c r="N252" s="6">
        <f t="shared" si="58"/>
        <v>0</v>
      </c>
      <c r="O252" s="6">
        <f t="shared" si="67"/>
        <v>0</v>
      </c>
      <c r="P252" s="6">
        <f>SUMIF('JUNE (물량흐름)'!$C$13:$C$502,C252,'JUNE (물량흐름)'!$T$13:$T$502)+SUMIF('JUNE (물량흐름)'!$C$13:$C$502,C252,'JUNE (물량흐름)'!$V$13:$V$502)+SUMIF('JUNE (물량흐름)'!$C$13:$C$502,C252,'JUNE (물량흐름)'!$U$13:$U$502)-SUMIF('JUNE (물량흐름)'!$C$13:$C$502,C252,'JUNE (물량흐름)'!$Y$13:$Y$502)</f>
        <v>0</v>
      </c>
      <c r="Q252" s="6">
        <f t="shared" si="64"/>
        <v>0</v>
      </c>
      <c r="R252" s="6">
        <f>IF(ISERROR(VLOOKUP(#REF!,'WIP(재공품)'!$B$12:$AB$38,13,0)),0,VLOOKUP(#REF!,'WIP(재공품)'!$B$12:$AB$38,13,0))</f>
        <v>0</v>
      </c>
      <c r="S252" s="6">
        <f>IF(ISERROR(VLOOKUP(#REF!,'WIP(재공품)'!$B$12:$AB$38,10,0)),0,VLOOKUP(#REF!,'WIP(재공품)'!$B$12:$AB$38,10,0))</f>
        <v>0</v>
      </c>
      <c r="T252" s="6">
        <f>SUMIF('JUNE (물량흐름)'!$C$13:$C$502,'Overhead exp(제조경비)'!C252,'JUNE (물량흐름)'!$Y$13:$Y$502)</f>
        <v>0</v>
      </c>
      <c r="U252" s="6">
        <f t="shared" si="59"/>
        <v>0</v>
      </c>
      <c r="V252" s="6">
        <f>ROUND(SUMIF('JUNE (물량흐름)'!$C$13:$C$502,'Overhead exp(제조경비)'!C252,'JUNE (물량흐름)'!$N$13:$N$502),0)</f>
        <v>0</v>
      </c>
      <c r="W252" s="6">
        <f>ROUND(SUMIF('JUNE (물량흐름)'!$C$13:$C$502,'Overhead exp(제조경비)'!C252,'JUNE (물량흐름)'!$O$13:$O$502),0)</f>
        <v>0</v>
      </c>
      <c r="X252" s="6">
        <f>ROUND(SUMIF('JUNE (물량흐름)'!$C$13:$C$502,'Overhead exp(제조경비)'!C252,'JUNE (물량흐름)'!$P$13:$P$502),0)</f>
        <v>619</v>
      </c>
      <c r="Y252" s="6">
        <f t="shared" si="60"/>
        <v>619</v>
      </c>
      <c r="Z252" s="6">
        <f t="shared" si="61"/>
        <v>495</v>
      </c>
      <c r="AA252" s="6">
        <f t="shared" si="66"/>
        <v>10184382</v>
      </c>
      <c r="AB252" s="391">
        <f t="shared" si="62"/>
        <v>0</v>
      </c>
      <c r="AC252" s="391">
        <f t="shared" si="63"/>
        <v>0</v>
      </c>
    </row>
    <row r="253" spans="1:29" s="390" customFormat="1" ht="24" customHeight="1">
      <c r="A253" s="167">
        <v>243</v>
      </c>
      <c r="B253" s="20" t="str">
        <f>IFERROR(VLOOKUP(A253,'JUNE (물량흐름)'!$A$13:$C$502,2,0),0)</f>
        <v>J JILL</v>
      </c>
      <c r="C253" s="272" t="str">
        <f>VLOOKUP(A253,'JUNE (물량흐름)'!$A$13:$C$502,3,0)</f>
        <v>KTP121661</v>
      </c>
      <c r="D253" s="6">
        <f>VLOOKUP(C253,'WIP(재공품)'!$B$12:$E$493,4,0)</f>
        <v>7936.2499999999991</v>
      </c>
      <c r="E253" s="6">
        <f>IFERROR(VLOOKUP(C253,O.B.JUNE!$AI$7:$AJ$448,2,0),0)</f>
        <v>0</v>
      </c>
      <c r="F253" s="6">
        <f>IFERROR(VLOOKUP(C253,O.B.JUNE!$AI$7:$AK$448,3,0),0)</f>
        <v>47</v>
      </c>
      <c r="G253" s="6">
        <f>IFERROR(VLOOKUP(C253,O.B.JUNE!$AI$7:$AL$448,4,0),0)</f>
        <v>231</v>
      </c>
      <c r="H253" s="6">
        <f t="shared" si="56"/>
        <v>278</v>
      </c>
      <c r="I253" s="6">
        <f>IFERROR(VLOOKUP(C253,O.B.JUNE!$AI$7:$AN$448,6,0),0)</f>
        <v>208</v>
      </c>
      <c r="J253" s="6"/>
      <c r="K253" s="6">
        <f>IFERROR(VLOOKUP(C253,O.B.JUNE!$AI$7:$AO$448,7,0),0)</f>
        <v>7534299</v>
      </c>
      <c r="L253" s="6">
        <f>SUMIF('JUNE (물량흐름)'!$C$13:$C$488,'Overhead exp(제조경비)'!C253,'JUNE (물량흐름)'!$H$13:$H$493)+SUMIF('JUNE (물량흐름)'!$C$13:$C$493,'Overhead exp(제조경비)'!C253,'JUNE (물량흐름)'!$V$13:$V$493)</f>
        <v>0</v>
      </c>
      <c r="M253" s="6">
        <f t="shared" si="57"/>
        <v>0</v>
      </c>
      <c r="N253" s="6">
        <f t="shared" si="58"/>
        <v>0</v>
      </c>
      <c r="O253" s="6">
        <f t="shared" si="67"/>
        <v>0</v>
      </c>
      <c r="P253" s="6">
        <f>SUMIF('JUNE (물량흐름)'!$C$13:$C$502,C253,'JUNE (물량흐름)'!$T$13:$T$502)+SUMIF('JUNE (물량흐름)'!$C$13:$C$502,C253,'JUNE (물량흐름)'!$V$13:$V$502)+SUMIF('JUNE (물량흐름)'!$C$13:$C$502,C253,'JUNE (물량흐름)'!$U$13:$U$502)-SUMIF('JUNE (물량흐름)'!$C$13:$C$502,C253,'JUNE (물량흐름)'!$Y$13:$Y$502)</f>
        <v>0</v>
      </c>
      <c r="Q253" s="6">
        <f t="shared" si="64"/>
        <v>0</v>
      </c>
      <c r="R253" s="6">
        <f>IF(ISERROR(VLOOKUP(#REF!,'WIP(재공품)'!$B$12:$AB$38,13,0)),0,VLOOKUP(#REF!,'WIP(재공품)'!$B$12:$AB$38,13,0))</f>
        <v>0</v>
      </c>
      <c r="S253" s="6">
        <f>IF(ISERROR(VLOOKUP(#REF!,'WIP(재공품)'!$B$12:$AB$38,10,0)),0,VLOOKUP(#REF!,'WIP(재공품)'!$B$12:$AB$38,10,0))</f>
        <v>0</v>
      </c>
      <c r="T253" s="6">
        <f>SUMIF('JUNE (물량흐름)'!$C$13:$C$502,'Overhead exp(제조경비)'!C253,'JUNE (물량흐름)'!$Y$13:$Y$502)</f>
        <v>0</v>
      </c>
      <c r="U253" s="6">
        <f t="shared" si="59"/>
        <v>0</v>
      </c>
      <c r="V253" s="6">
        <f>ROUND(SUMIF('JUNE (물량흐름)'!$C$13:$C$502,'Overhead exp(제조경비)'!C253,'JUNE (물량흐름)'!$N$13:$N$502),0)</f>
        <v>0</v>
      </c>
      <c r="W253" s="6">
        <f>ROUND(SUMIF('JUNE (물량흐름)'!$C$13:$C$502,'Overhead exp(제조경비)'!C253,'JUNE (물량흐름)'!$O$13:$O$502),0)</f>
        <v>47</v>
      </c>
      <c r="X253" s="6">
        <f>ROUND(SUMIF('JUNE (물량흐름)'!$C$13:$C$502,'Overhead exp(제조경비)'!C253,'JUNE (물량흐름)'!$P$13:$P$502),0)</f>
        <v>231</v>
      </c>
      <c r="Y253" s="6">
        <f t="shared" si="60"/>
        <v>278</v>
      </c>
      <c r="Z253" s="6">
        <f t="shared" si="61"/>
        <v>208</v>
      </c>
      <c r="AA253" s="6">
        <f t="shared" si="66"/>
        <v>7534299</v>
      </c>
      <c r="AB253" s="391">
        <f t="shared" si="62"/>
        <v>0</v>
      </c>
      <c r="AC253" s="391">
        <f t="shared" si="63"/>
        <v>0</v>
      </c>
    </row>
    <row r="254" spans="1:29" s="390" customFormat="1" ht="24" customHeight="1">
      <c r="A254" s="167">
        <v>244</v>
      </c>
      <c r="B254" s="20" t="str">
        <f>IFERROR(VLOOKUP(A254,'JUNE (물량흐름)'!$A$13:$C$502,2,0),0)</f>
        <v>ALFANI</v>
      </c>
      <c r="C254" s="272">
        <f>VLOOKUP(A254,'JUNE (물량흐름)'!$A$13:$C$502,3,0)</f>
        <v>100015354</v>
      </c>
      <c r="D254" s="6">
        <f>VLOOKUP(C254,'WIP(재공품)'!$B$12:$E$493,4,0)</f>
        <v>7936.2499999999991</v>
      </c>
      <c r="E254" s="6">
        <f>IFERROR(VLOOKUP(C254,O.B.JUNE!$AI$7:$AJ$448,2,0),0)</f>
        <v>0</v>
      </c>
      <c r="F254" s="6">
        <f>IFERROR(VLOOKUP(C254,O.B.JUNE!$AI$7:$AK$448,3,0),0)</f>
        <v>8</v>
      </c>
      <c r="G254" s="6">
        <f>IFERROR(VLOOKUP(C254,O.B.JUNE!$AI$7:$AL$448,4,0),0)</f>
        <v>199</v>
      </c>
      <c r="H254" s="6">
        <f t="shared" si="56"/>
        <v>207</v>
      </c>
      <c r="I254" s="6">
        <f>IFERROR(VLOOKUP(C254,O.B.JUNE!$AI$7:$AN$448,6,0),0)</f>
        <v>163</v>
      </c>
      <c r="J254" s="6"/>
      <c r="K254" s="6">
        <f>IFERROR(VLOOKUP(C254,O.B.JUNE!$AI$7:$AO$448,7,0),0)</f>
        <v>4149935</v>
      </c>
      <c r="L254" s="6">
        <f>SUMIF('JUNE (물량흐름)'!$C$13:$C$488,'Overhead exp(제조경비)'!C254,'JUNE (물량흐름)'!$H$13:$H$493)+SUMIF('JUNE (물량흐름)'!$C$13:$C$493,'Overhead exp(제조경비)'!C254,'JUNE (물량흐름)'!$V$13:$V$493)</f>
        <v>0</v>
      </c>
      <c r="M254" s="6">
        <f t="shared" si="57"/>
        <v>0</v>
      </c>
      <c r="N254" s="6">
        <f t="shared" si="58"/>
        <v>0</v>
      </c>
      <c r="O254" s="6">
        <f t="shared" si="67"/>
        <v>0</v>
      </c>
      <c r="P254" s="6">
        <f>SUMIF('JUNE (물량흐름)'!$C$13:$C$502,C254,'JUNE (물량흐름)'!$T$13:$T$502)+SUMIF('JUNE (물량흐름)'!$C$13:$C$502,C254,'JUNE (물량흐름)'!$V$13:$V$502)+SUMIF('JUNE (물량흐름)'!$C$13:$C$502,C254,'JUNE (물량흐름)'!$U$13:$U$502)-SUMIF('JUNE (물량흐름)'!$C$13:$C$502,C254,'JUNE (물량흐름)'!$Y$13:$Y$502)</f>
        <v>0</v>
      </c>
      <c r="Q254" s="6">
        <f t="shared" si="64"/>
        <v>0</v>
      </c>
      <c r="R254" s="6">
        <f>IF(ISERROR(VLOOKUP(#REF!,'WIP(재공품)'!$B$12:$AB$38,13,0)),0,VLOOKUP(#REF!,'WIP(재공품)'!$B$12:$AB$38,13,0))</f>
        <v>0</v>
      </c>
      <c r="S254" s="6">
        <f>IF(ISERROR(VLOOKUP(#REF!,'WIP(재공품)'!$B$12:$AB$38,10,0)),0,VLOOKUP(#REF!,'WIP(재공품)'!$B$12:$AB$38,10,0))</f>
        <v>0</v>
      </c>
      <c r="T254" s="6">
        <f>SUMIF('JUNE (물량흐름)'!$C$13:$C$502,'Overhead exp(제조경비)'!C254,'JUNE (물량흐름)'!$Y$13:$Y$502)</f>
        <v>0</v>
      </c>
      <c r="U254" s="6">
        <f t="shared" si="59"/>
        <v>0</v>
      </c>
      <c r="V254" s="6">
        <f>ROUND(SUMIF('JUNE (물량흐름)'!$C$13:$C$502,'Overhead exp(제조경비)'!C254,'JUNE (물량흐름)'!$N$13:$N$502),0)</f>
        <v>0</v>
      </c>
      <c r="W254" s="6">
        <f>ROUND(SUMIF('JUNE (물량흐름)'!$C$13:$C$502,'Overhead exp(제조경비)'!C254,'JUNE (물량흐름)'!$O$13:$O$502),0)</f>
        <v>8</v>
      </c>
      <c r="X254" s="6">
        <f>ROUND(SUMIF('JUNE (물량흐름)'!$C$13:$C$502,'Overhead exp(제조경비)'!C254,'JUNE (물량흐름)'!$P$13:$P$502),0)</f>
        <v>199</v>
      </c>
      <c r="Y254" s="6">
        <f t="shared" si="60"/>
        <v>207</v>
      </c>
      <c r="Z254" s="6">
        <f t="shared" si="61"/>
        <v>163</v>
      </c>
      <c r="AA254" s="6">
        <f t="shared" si="66"/>
        <v>4149935</v>
      </c>
      <c r="AB254" s="391">
        <f t="shared" si="62"/>
        <v>0</v>
      </c>
      <c r="AC254" s="391">
        <f t="shared" si="63"/>
        <v>0</v>
      </c>
    </row>
    <row r="255" spans="1:29" s="390" customFormat="1" ht="24" customHeight="1">
      <c r="A255" s="167">
        <v>245</v>
      </c>
      <c r="B255" s="20" t="str">
        <f>IFERROR(VLOOKUP(A255,'JUNE (물량흐름)'!$A$13:$C$502,2,0),0)</f>
        <v>ANN TAYLOR</v>
      </c>
      <c r="C255" s="272">
        <f>VLOOKUP(A255,'JUNE (물량흐름)'!$A$13:$C$502,3,0)</f>
        <v>468248</v>
      </c>
      <c r="D255" s="6">
        <f>VLOOKUP(C255,'WIP(재공품)'!$B$12:$E$493,4,0)</f>
        <v>8163</v>
      </c>
      <c r="E255" s="6">
        <f>IFERROR(VLOOKUP(C255,O.B.JUNE!$AI$7:$AJ$448,2,0),0)</f>
        <v>593</v>
      </c>
      <c r="F255" s="6">
        <f>IFERROR(VLOOKUP(C255,O.B.JUNE!$AI$7:$AK$448,3,0),0)</f>
        <v>116</v>
      </c>
      <c r="G255" s="6">
        <f>IFERROR(VLOOKUP(C255,O.B.JUNE!$AI$7:$AL$448,4,0),0)</f>
        <v>114</v>
      </c>
      <c r="H255" s="6">
        <f t="shared" si="56"/>
        <v>823</v>
      </c>
      <c r="I255" s="6">
        <f>IFERROR(VLOOKUP(C255,O.B.JUNE!$AI$7:$AN$448,6,0),0)</f>
        <v>268</v>
      </c>
      <c r="J255" s="6"/>
      <c r="K255" s="6">
        <f>IFERROR(VLOOKUP(C255,O.B.JUNE!$AI$7:$AO$448,7,0),0)</f>
        <v>6696098</v>
      </c>
      <c r="L255" s="6">
        <f>SUMIF('JUNE (물량흐름)'!$C$13:$C$488,'Overhead exp(제조경비)'!C255,'JUNE (물량흐름)'!$H$13:$H$493)+SUMIF('JUNE (물량흐름)'!$C$13:$C$493,'Overhead exp(제조경비)'!C255,'JUNE (물량흐름)'!$V$13:$V$493)</f>
        <v>0</v>
      </c>
      <c r="M255" s="6">
        <f t="shared" si="57"/>
        <v>0</v>
      </c>
      <c r="N255" s="6">
        <f t="shared" si="58"/>
        <v>0</v>
      </c>
      <c r="O255" s="6">
        <f t="shared" si="67"/>
        <v>0</v>
      </c>
      <c r="P255" s="6">
        <f>SUMIF('JUNE (물량흐름)'!$C$13:$C$502,C255,'JUNE (물량흐름)'!$T$13:$T$502)+SUMIF('JUNE (물량흐름)'!$C$13:$C$502,C255,'JUNE (물량흐름)'!$V$13:$V$502)+SUMIF('JUNE (물량흐름)'!$C$13:$C$502,C255,'JUNE (물량흐름)'!$U$13:$U$502)-SUMIF('JUNE (물량흐름)'!$C$13:$C$502,C255,'JUNE (물량흐름)'!$Y$13:$Y$502)</f>
        <v>0</v>
      </c>
      <c r="Q255" s="6">
        <f t="shared" si="64"/>
        <v>0</v>
      </c>
      <c r="R255" s="6">
        <f>IF(ISERROR(VLOOKUP(#REF!,'WIP(재공품)'!$B$12:$AB$38,13,0)),0,VLOOKUP(#REF!,'WIP(재공품)'!$B$12:$AB$38,13,0))</f>
        <v>0</v>
      </c>
      <c r="S255" s="6">
        <f>IF(ISERROR(VLOOKUP(#REF!,'WIP(재공품)'!$B$12:$AB$38,10,0)),0,VLOOKUP(#REF!,'WIP(재공품)'!$B$12:$AB$38,10,0))</f>
        <v>0</v>
      </c>
      <c r="T255" s="6">
        <f>SUMIF('JUNE (물량흐름)'!$C$13:$C$502,'Overhead exp(제조경비)'!C255,'JUNE (물량흐름)'!$Y$13:$Y$502)</f>
        <v>0</v>
      </c>
      <c r="U255" s="6">
        <f t="shared" si="59"/>
        <v>0</v>
      </c>
      <c r="V255" s="6">
        <f>ROUND(SUMIF('JUNE (물량흐름)'!$C$13:$C$502,'Overhead exp(제조경비)'!C255,'JUNE (물량흐름)'!$N$13:$N$502),0)</f>
        <v>0</v>
      </c>
      <c r="W255" s="6">
        <f>ROUND(SUMIF('JUNE (물량흐름)'!$C$13:$C$502,'Overhead exp(제조경비)'!C255,'JUNE (물량흐름)'!$O$13:$O$502),0)</f>
        <v>745</v>
      </c>
      <c r="X255" s="6">
        <f>ROUND(SUMIF('JUNE (물량흐름)'!$C$13:$C$502,'Overhead exp(제조경비)'!C255,'JUNE (물량흐름)'!$P$13:$P$502),0)</f>
        <v>78</v>
      </c>
      <c r="Y255" s="6">
        <f t="shared" si="60"/>
        <v>823</v>
      </c>
      <c r="Z255" s="6">
        <f t="shared" si="61"/>
        <v>435</v>
      </c>
      <c r="AA255" s="6">
        <f t="shared" si="66"/>
        <v>6696098</v>
      </c>
      <c r="AB255" s="391">
        <f t="shared" si="62"/>
        <v>0</v>
      </c>
      <c r="AC255" s="391">
        <f t="shared" si="63"/>
        <v>0</v>
      </c>
    </row>
    <row r="256" spans="1:29" s="390" customFormat="1" ht="24" customHeight="1">
      <c r="A256" s="167">
        <v>246</v>
      </c>
      <c r="B256" s="20" t="str">
        <f>IFERROR(VLOOKUP(A256,'JUNE (물량흐름)'!$A$13:$C$502,2,0),0)</f>
        <v>ALFANI</v>
      </c>
      <c r="C256" s="272">
        <f>VLOOKUP(A256,'JUNE (물량흐름)'!$A$13:$C$502,3,0)</f>
        <v>100008608</v>
      </c>
      <c r="D256" s="6">
        <f>VLOOKUP(C256,'WIP(재공품)'!$B$12:$E$493,4,0)</f>
        <v>7936.2499999999991</v>
      </c>
      <c r="E256" s="6">
        <f>IFERROR(VLOOKUP(C256,O.B.JUNE!$AI$7:$AJ$448,2,0),0)</f>
        <v>0</v>
      </c>
      <c r="F256" s="6">
        <f>IFERROR(VLOOKUP(C256,O.B.JUNE!$AI$7:$AK$448,3,0),0)</f>
        <v>48</v>
      </c>
      <c r="G256" s="6">
        <f>IFERROR(VLOOKUP(C256,O.B.JUNE!$AI$7:$AL$448,4,0),0)</f>
        <v>29</v>
      </c>
      <c r="H256" s="6">
        <f t="shared" si="56"/>
        <v>77</v>
      </c>
      <c r="I256" s="6">
        <f>IFERROR(VLOOKUP(C256,O.B.JUNE!$AI$7:$AN$448,6,0),0)</f>
        <v>47</v>
      </c>
      <c r="J256" s="6"/>
      <c r="K256" s="6">
        <f>IFERROR(VLOOKUP(C256,O.B.JUNE!$AI$7:$AO$448,7,0),0)</f>
        <v>1001490</v>
      </c>
      <c r="L256" s="6">
        <f>SUMIF('JUNE (물량흐름)'!$C$13:$C$488,'Overhead exp(제조경비)'!C256,'JUNE (물량흐름)'!$H$13:$H$493)+SUMIF('JUNE (물량흐름)'!$C$13:$C$493,'Overhead exp(제조경비)'!C256,'JUNE (물량흐름)'!$V$13:$V$493)</f>
        <v>0</v>
      </c>
      <c r="M256" s="6">
        <f t="shared" si="57"/>
        <v>0</v>
      </c>
      <c r="N256" s="6">
        <f t="shared" si="58"/>
        <v>0</v>
      </c>
      <c r="O256" s="6">
        <f t="shared" si="67"/>
        <v>0</v>
      </c>
      <c r="P256" s="6">
        <f>SUMIF('JUNE (물량흐름)'!$C$13:$C$502,C256,'JUNE (물량흐름)'!$T$13:$T$502)+SUMIF('JUNE (물량흐름)'!$C$13:$C$502,C256,'JUNE (물량흐름)'!$V$13:$V$502)+SUMIF('JUNE (물량흐름)'!$C$13:$C$502,C256,'JUNE (물량흐름)'!$U$13:$U$502)-SUMIF('JUNE (물량흐름)'!$C$13:$C$502,C256,'JUNE (물량흐름)'!$Y$13:$Y$502)</f>
        <v>0</v>
      </c>
      <c r="Q256" s="6">
        <f t="shared" si="64"/>
        <v>0</v>
      </c>
      <c r="R256" s="6">
        <f>IF(ISERROR(VLOOKUP(#REF!,'WIP(재공품)'!$B$12:$AB$38,13,0)),0,VLOOKUP(#REF!,'WIP(재공품)'!$B$12:$AB$38,13,0))</f>
        <v>0</v>
      </c>
      <c r="S256" s="6">
        <f>IF(ISERROR(VLOOKUP(#REF!,'WIP(재공품)'!$B$12:$AB$38,10,0)),0,VLOOKUP(#REF!,'WIP(재공품)'!$B$12:$AB$38,10,0))</f>
        <v>0</v>
      </c>
      <c r="T256" s="6">
        <f>SUMIF('JUNE (물량흐름)'!$C$13:$C$502,'Overhead exp(제조경비)'!C256,'JUNE (물량흐름)'!$Y$13:$Y$502)</f>
        <v>0</v>
      </c>
      <c r="U256" s="6">
        <f t="shared" si="59"/>
        <v>0</v>
      </c>
      <c r="V256" s="6">
        <f>ROUND(SUMIF('JUNE (물량흐름)'!$C$13:$C$502,'Overhead exp(제조경비)'!C256,'JUNE (물량흐름)'!$N$13:$N$502),0)</f>
        <v>0</v>
      </c>
      <c r="W256" s="6">
        <f>ROUND(SUMIF('JUNE (물량흐름)'!$C$13:$C$502,'Overhead exp(제조경비)'!C256,'JUNE (물량흐름)'!$O$13:$O$502),0)</f>
        <v>48</v>
      </c>
      <c r="X256" s="6">
        <f>ROUND(SUMIF('JUNE (물량흐름)'!$C$13:$C$502,'Overhead exp(제조경비)'!C256,'JUNE (물량흐름)'!$P$13:$P$502),0)</f>
        <v>29</v>
      </c>
      <c r="Y256" s="6">
        <f t="shared" si="60"/>
        <v>77</v>
      </c>
      <c r="Z256" s="6">
        <f t="shared" si="61"/>
        <v>47</v>
      </c>
      <c r="AA256" s="6">
        <f t="shared" si="66"/>
        <v>1001490</v>
      </c>
      <c r="AB256" s="391">
        <f t="shared" si="62"/>
        <v>0</v>
      </c>
      <c r="AC256" s="391">
        <f t="shared" si="63"/>
        <v>0</v>
      </c>
    </row>
    <row r="257" spans="1:29" s="390" customFormat="1" ht="24" customHeight="1">
      <c r="A257" s="167">
        <v>247</v>
      </c>
      <c r="B257" s="20" t="str">
        <f>IFERROR(VLOOKUP(A257,'JUNE (물량흐름)'!$A$13:$C$502,2,0),0)</f>
        <v>CHARTER CLUB</v>
      </c>
      <c r="C257" s="272">
        <f>VLOOKUP(A257,'JUNE (물량흐름)'!$A$13:$C$502,3,0)</f>
        <v>16661</v>
      </c>
      <c r="D257" s="6">
        <f>VLOOKUP(C257,'WIP(재공품)'!$B$12:$E$493,4,0)</f>
        <v>7936.2499999999991</v>
      </c>
      <c r="E257" s="6">
        <f>IFERROR(VLOOKUP(C257,O.B.JUNE!$AI$7:$AJ$448,2,0),0)</f>
        <v>0</v>
      </c>
      <c r="F257" s="6">
        <f>IFERROR(VLOOKUP(C257,O.B.JUNE!$AI$7:$AK$448,3,0),0)</f>
        <v>0</v>
      </c>
      <c r="G257" s="6">
        <f>IFERROR(VLOOKUP(C257,O.B.JUNE!$AI$7:$AL$448,4,0),0)</f>
        <v>46</v>
      </c>
      <c r="H257" s="6">
        <f t="shared" si="56"/>
        <v>46</v>
      </c>
      <c r="I257" s="6">
        <f>IFERROR(VLOOKUP(C257,O.B.JUNE!$AI$7:$AN$448,6,0),0)</f>
        <v>37</v>
      </c>
      <c r="J257" s="6"/>
      <c r="K257" s="6">
        <f>IFERROR(VLOOKUP(C257,O.B.JUNE!$AI$7:$AO$448,7,0),0)</f>
        <v>2162763</v>
      </c>
      <c r="L257" s="6">
        <f>SUMIF('JUNE (물량흐름)'!$C$13:$C$488,'Overhead exp(제조경비)'!C257,'JUNE (물량흐름)'!$H$13:$H$493)+SUMIF('JUNE (물량흐름)'!$C$13:$C$493,'Overhead exp(제조경비)'!C257,'JUNE (물량흐름)'!$V$13:$V$493)</f>
        <v>0</v>
      </c>
      <c r="M257" s="6">
        <f t="shared" si="57"/>
        <v>0</v>
      </c>
      <c r="N257" s="6">
        <f t="shared" si="58"/>
        <v>0</v>
      </c>
      <c r="O257" s="6">
        <f t="shared" si="67"/>
        <v>0</v>
      </c>
      <c r="P257" s="6">
        <f>SUMIF('JUNE (물량흐름)'!$C$13:$C$502,C257,'JUNE (물량흐름)'!$T$13:$T$502)+SUMIF('JUNE (물량흐름)'!$C$13:$C$502,C257,'JUNE (물량흐름)'!$V$13:$V$502)+SUMIF('JUNE (물량흐름)'!$C$13:$C$502,C257,'JUNE (물량흐름)'!$U$13:$U$502)-SUMIF('JUNE (물량흐름)'!$C$13:$C$502,C257,'JUNE (물량흐름)'!$Y$13:$Y$502)</f>
        <v>0</v>
      </c>
      <c r="Q257" s="6">
        <f t="shared" si="64"/>
        <v>0</v>
      </c>
      <c r="R257" s="6">
        <f>IF(ISERROR(VLOOKUP(#REF!,'WIP(재공품)'!$B$12:$AB$38,13,0)),0,VLOOKUP(#REF!,'WIP(재공품)'!$B$12:$AB$38,13,0))</f>
        <v>0</v>
      </c>
      <c r="S257" s="6">
        <f>IF(ISERROR(VLOOKUP(#REF!,'WIP(재공품)'!$B$12:$AB$38,10,0)),0,VLOOKUP(#REF!,'WIP(재공품)'!$B$12:$AB$38,10,0))</f>
        <v>0</v>
      </c>
      <c r="T257" s="6">
        <f>SUMIF('JUNE (물량흐름)'!$C$13:$C$502,'Overhead exp(제조경비)'!C257,'JUNE (물량흐름)'!$Y$13:$Y$502)</f>
        <v>0</v>
      </c>
      <c r="U257" s="6">
        <f t="shared" si="59"/>
        <v>0</v>
      </c>
      <c r="V257" s="6">
        <f>ROUND(SUMIF('JUNE (물량흐름)'!$C$13:$C$502,'Overhead exp(제조경비)'!C257,'JUNE (물량흐름)'!$N$13:$N$502),0)</f>
        <v>0</v>
      </c>
      <c r="W257" s="6">
        <f>ROUND(SUMIF('JUNE (물량흐름)'!$C$13:$C$502,'Overhead exp(제조경비)'!C257,'JUNE (물량흐름)'!$O$13:$O$502),0)</f>
        <v>40</v>
      </c>
      <c r="X257" s="6">
        <f>ROUND(SUMIF('JUNE (물량흐름)'!$C$13:$C$502,'Overhead exp(제조경비)'!C257,'JUNE (물량흐름)'!$P$13:$P$502),0)</f>
        <v>6</v>
      </c>
      <c r="Y257" s="6">
        <f t="shared" si="60"/>
        <v>46</v>
      </c>
      <c r="Z257" s="6">
        <f t="shared" si="61"/>
        <v>25</v>
      </c>
      <c r="AA257" s="6">
        <f t="shared" si="66"/>
        <v>2162763</v>
      </c>
      <c r="AB257" s="391">
        <f t="shared" si="62"/>
        <v>0</v>
      </c>
      <c r="AC257" s="391">
        <f t="shared" si="63"/>
        <v>0</v>
      </c>
    </row>
    <row r="258" spans="1:29" s="390" customFormat="1" ht="24" customHeight="1">
      <c r="A258" s="167">
        <v>248</v>
      </c>
      <c r="B258" s="20" t="str">
        <f>IFERROR(VLOOKUP(A258,'JUNE (물량흐름)'!$A$13:$C$502,2,0),0)</f>
        <v>ALFANI</v>
      </c>
      <c r="C258" s="272">
        <f>VLOOKUP(A258,'JUNE (물량흐름)'!$A$13:$C$502,3,0)</f>
        <v>75740</v>
      </c>
      <c r="D258" s="6">
        <f>VLOOKUP(C258,'WIP(재공품)'!$B$12:$E$493,4,0)</f>
        <v>8163</v>
      </c>
      <c r="E258" s="6">
        <f>IFERROR(VLOOKUP(C258,O.B.JUNE!$AI$7:$AJ$448,2,0),0)</f>
        <v>0</v>
      </c>
      <c r="F258" s="6">
        <f>IFERROR(VLOOKUP(C258,O.B.JUNE!$AI$7:$AK$448,3,0),0)</f>
        <v>0</v>
      </c>
      <c r="G258" s="6">
        <f>IFERROR(VLOOKUP(C258,O.B.JUNE!$AI$7:$AL$448,4,0),0)</f>
        <v>12</v>
      </c>
      <c r="H258" s="6">
        <f t="shared" si="56"/>
        <v>12</v>
      </c>
      <c r="I258" s="6">
        <f>IFERROR(VLOOKUP(C258,O.B.JUNE!$AI$7:$AN$448,6,0),0)</f>
        <v>10</v>
      </c>
      <c r="J258" s="6"/>
      <c r="K258" s="6">
        <f>IFERROR(VLOOKUP(C258,O.B.JUNE!$AI$7:$AO$448,7,0),0)</f>
        <v>217263</v>
      </c>
      <c r="L258" s="6">
        <f>SUMIF('JUNE (물량흐름)'!$C$13:$C$488,'Overhead exp(제조경비)'!C258,'JUNE (물량흐름)'!$H$13:$H$493)+SUMIF('JUNE (물량흐름)'!$C$13:$C$493,'Overhead exp(제조경비)'!C258,'JUNE (물량흐름)'!$V$13:$V$493)</f>
        <v>0</v>
      </c>
      <c r="M258" s="6">
        <f t="shared" si="57"/>
        <v>0</v>
      </c>
      <c r="N258" s="6">
        <f t="shared" si="58"/>
        <v>0</v>
      </c>
      <c r="O258" s="6">
        <f t="shared" si="67"/>
        <v>0</v>
      </c>
      <c r="P258" s="6">
        <f>SUMIF('JUNE (물량흐름)'!$C$13:$C$502,C258,'JUNE (물량흐름)'!$T$13:$T$502)+SUMIF('JUNE (물량흐름)'!$C$13:$C$502,C258,'JUNE (물량흐름)'!$V$13:$V$502)+SUMIF('JUNE (물량흐름)'!$C$13:$C$502,C258,'JUNE (물량흐름)'!$U$13:$U$502)-SUMIF('JUNE (물량흐름)'!$C$13:$C$502,C258,'JUNE (물량흐름)'!$Y$13:$Y$502)</f>
        <v>12</v>
      </c>
      <c r="Q258" s="6">
        <f t="shared" si="64"/>
        <v>217263</v>
      </c>
      <c r="R258" s="6">
        <f>IF(ISERROR(VLOOKUP(#REF!,'WIP(재공품)'!$B$12:$AB$38,13,0)),0,VLOOKUP(#REF!,'WIP(재공품)'!$B$12:$AB$38,13,0))</f>
        <v>0</v>
      </c>
      <c r="S258" s="6">
        <f>IF(ISERROR(VLOOKUP(#REF!,'WIP(재공품)'!$B$12:$AB$38,10,0)),0,VLOOKUP(#REF!,'WIP(재공품)'!$B$12:$AB$38,10,0))</f>
        <v>0</v>
      </c>
      <c r="T258" s="6">
        <f>SUMIF('JUNE (물량흐름)'!$C$13:$C$502,'Overhead exp(제조경비)'!C258,'JUNE (물량흐름)'!$Y$13:$Y$502)</f>
        <v>0</v>
      </c>
      <c r="U258" s="6">
        <f t="shared" si="59"/>
        <v>0</v>
      </c>
      <c r="V258" s="6">
        <f>ROUND(SUMIF('JUNE (물량흐름)'!$C$13:$C$502,'Overhead exp(제조경비)'!C258,'JUNE (물량흐름)'!$N$13:$N$502),0)</f>
        <v>0</v>
      </c>
      <c r="W258" s="6">
        <f>ROUND(SUMIF('JUNE (물량흐름)'!$C$13:$C$502,'Overhead exp(제조경비)'!C258,'JUNE (물량흐름)'!$O$13:$O$502),0)</f>
        <v>0</v>
      </c>
      <c r="X258" s="6">
        <f>ROUND(SUMIF('JUNE (물량흐름)'!$C$13:$C$502,'Overhead exp(제조경비)'!C258,'JUNE (물량흐름)'!$P$13:$P$502),0)</f>
        <v>0</v>
      </c>
      <c r="Y258" s="6">
        <f t="shared" si="60"/>
        <v>0</v>
      </c>
      <c r="Z258" s="6">
        <f t="shared" si="61"/>
        <v>0</v>
      </c>
      <c r="AA258" s="6">
        <f t="shared" si="66"/>
        <v>0</v>
      </c>
      <c r="AB258" s="391">
        <f t="shared" si="62"/>
        <v>0</v>
      </c>
      <c r="AC258" s="391">
        <f t="shared" si="63"/>
        <v>0</v>
      </c>
    </row>
    <row r="259" spans="1:29" s="390" customFormat="1" ht="24" customHeight="1">
      <c r="A259" s="167">
        <v>249</v>
      </c>
      <c r="B259" s="20" t="str">
        <f>IFERROR(VLOOKUP(A259,'JUNE (물량흐름)'!$A$13:$C$502,2,0),0)</f>
        <v>ALFANI</v>
      </c>
      <c r="C259" s="272">
        <f>VLOOKUP(A259,'JUNE (물량흐름)'!$A$13:$C$502,3,0)</f>
        <v>76733</v>
      </c>
      <c r="D259" s="6">
        <f>VLOOKUP(C259,'WIP(재공품)'!$B$12:$E$493,4,0)</f>
        <v>8163</v>
      </c>
      <c r="E259" s="6">
        <f>IFERROR(VLOOKUP(C259,O.B.JUNE!$AI$7:$AJ$448,2,0),0)</f>
        <v>0</v>
      </c>
      <c r="F259" s="6">
        <f>IFERROR(VLOOKUP(C259,O.B.JUNE!$AI$7:$AK$448,3,0),0)</f>
        <v>141</v>
      </c>
      <c r="G259" s="6">
        <f>IFERROR(VLOOKUP(C259,O.B.JUNE!$AI$7:$AL$448,4,0),0)</f>
        <v>9</v>
      </c>
      <c r="H259" s="6">
        <f t="shared" si="56"/>
        <v>150</v>
      </c>
      <c r="I259" s="6">
        <f>IFERROR(VLOOKUP(C259,O.B.JUNE!$AI$7:$AN$448,6,0),0)</f>
        <v>78</v>
      </c>
      <c r="J259" s="6"/>
      <c r="K259" s="6">
        <f>IFERROR(VLOOKUP(C259,O.B.JUNE!$AI$7:$AO$448,7,0),0)</f>
        <v>4186168</v>
      </c>
      <c r="L259" s="6">
        <f>SUMIF('JUNE (물량흐름)'!$C$13:$C$488,'Overhead exp(제조경비)'!C259,'JUNE (물량흐름)'!$H$13:$H$493)+SUMIF('JUNE (물량흐름)'!$C$13:$C$493,'Overhead exp(제조경비)'!C259,'JUNE (물량흐름)'!$V$13:$V$493)</f>
        <v>0</v>
      </c>
      <c r="M259" s="6">
        <f t="shared" si="57"/>
        <v>0</v>
      </c>
      <c r="N259" s="6">
        <f t="shared" si="58"/>
        <v>0</v>
      </c>
      <c r="O259" s="6">
        <f t="shared" si="67"/>
        <v>0</v>
      </c>
      <c r="P259" s="6">
        <f>SUMIF('JUNE (물량흐름)'!$C$13:$C$502,C259,'JUNE (물량흐름)'!$T$13:$T$502)+SUMIF('JUNE (물량흐름)'!$C$13:$C$502,C259,'JUNE (물량흐름)'!$V$13:$V$502)+SUMIF('JUNE (물량흐름)'!$C$13:$C$502,C259,'JUNE (물량흐름)'!$U$13:$U$502)-SUMIF('JUNE (물량흐름)'!$C$13:$C$502,C259,'JUNE (물량흐름)'!$Y$13:$Y$502)</f>
        <v>150</v>
      </c>
      <c r="Q259" s="6">
        <f t="shared" si="64"/>
        <v>4186168</v>
      </c>
      <c r="R259" s="6">
        <f>IF(ISERROR(VLOOKUP(#REF!,'WIP(재공품)'!$B$12:$AB$38,13,0)),0,VLOOKUP(#REF!,'WIP(재공품)'!$B$12:$AB$38,13,0))</f>
        <v>0</v>
      </c>
      <c r="S259" s="6">
        <f>IF(ISERROR(VLOOKUP(#REF!,'WIP(재공품)'!$B$12:$AB$38,10,0)),0,VLOOKUP(#REF!,'WIP(재공품)'!$B$12:$AB$38,10,0))</f>
        <v>0</v>
      </c>
      <c r="T259" s="6">
        <f>SUMIF('JUNE (물량흐름)'!$C$13:$C$502,'Overhead exp(제조경비)'!C259,'JUNE (물량흐름)'!$Y$13:$Y$502)</f>
        <v>0</v>
      </c>
      <c r="U259" s="6">
        <f t="shared" si="59"/>
        <v>0</v>
      </c>
      <c r="V259" s="6">
        <f>ROUND(SUMIF('JUNE (물량흐름)'!$C$13:$C$502,'Overhead exp(제조경비)'!C259,'JUNE (물량흐름)'!$N$13:$N$502),0)</f>
        <v>0</v>
      </c>
      <c r="W259" s="6">
        <f>ROUND(SUMIF('JUNE (물량흐름)'!$C$13:$C$502,'Overhead exp(제조경비)'!C259,'JUNE (물량흐름)'!$O$13:$O$502),0)</f>
        <v>0</v>
      </c>
      <c r="X259" s="6">
        <f>ROUND(SUMIF('JUNE (물량흐름)'!$C$13:$C$502,'Overhead exp(제조경비)'!C259,'JUNE (물량흐름)'!$P$13:$P$502),0)</f>
        <v>0</v>
      </c>
      <c r="Y259" s="6">
        <f t="shared" si="60"/>
        <v>0</v>
      </c>
      <c r="Z259" s="6">
        <f t="shared" si="61"/>
        <v>0</v>
      </c>
      <c r="AA259" s="6">
        <f t="shared" si="66"/>
        <v>0</v>
      </c>
      <c r="AB259" s="391">
        <f t="shared" si="62"/>
        <v>0</v>
      </c>
      <c r="AC259" s="391">
        <f t="shared" si="63"/>
        <v>0</v>
      </c>
    </row>
    <row r="260" spans="1:29" s="390" customFormat="1" ht="24" customHeight="1">
      <c r="A260" s="167">
        <v>250</v>
      </c>
      <c r="B260" s="20" t="str">
        <f>IFERROR(VLOOKUP(A260,'JUNE (물량흐름)'!$A$13:$C$502,2,0),0)</f>
        <v>ANN TAYLOR</v>
      </c>
      <c r="C260" s="272">
        <f>VLOOKUP(A260,'JUNE (물량흐름)'!$A$13:$C$502,3,0)</f>
        <v>467914</v>
      </c>
      <c r="D260" s="6">
        <f>VLOOKUP(C260,'WIP(재공품)'!$B$12:$E$493,4,0)</f>
        <v>8163</v>
      </c>
      <c r="E260" s="6">
        <f>IFERROR(VLOOKUP(C260,O.B.JUNE!$AI$7:$AJ$448,2,0),0)</f>
        <v>0</v>
      </c>
      <c r="F260" s="6">
        <f>IFERROR(VLOOKUP(C260,O.B.JUNE!$AI$7:$AK$448,3,0),0)</f>
        <v>83</v>
      </c>
      <c r="G260" s="6">
        <f>IFERROR(VLOOKUP(C260,O.B.JUNE!$AI$7:$AL$448,4,0),0)</f>
        <v>92</v>
      </c>
      <c r="H260" s="6">
        <f t="shared" si="56"/>
        <v>175</v>
      </c>
      <c r="I260" s="6">
        <f>IFERROR(VLOOKUP(C260,O.B.JUNE!$AI$7:$AN$448,6,0),0)</f>
        <v>115</v>
      </c>
      <c r="J260" s="6"/>
      <c r="K260" s="6">
        <f>IFERROR(VLOOKUP(C260,O.B.JUNE!$AI$7:$AO$448,7,0),0)</f>
        <v>4932489</v>
      </c>
      <c r="L260" s="6">
        <f>SUMIF('JUNE (물량흐름)'!$C$13:$C$488,'Overhead exp(제조경비)'!C260,'JUNE (물량흐름)'!$H$13:$H$493)+SUMIF('JUNE (물량흐름)'!$C$13:$C$493,'Overhead exp(제조경비)'!C260,'JUNE (물량흐름)'!$V$13:$V$493)</f>
        <v>0</v>
      </c>
      <c r="M260" s="6">
        <f t="shared" si="57"/>
        <v>0</v>
      </c>
      <c r="N260" s="6">
        <f t="shared" si="58"/>
        <v>0</v>
      </c>
      <c r="O260" s="6">
        <f t="shared" si="67"/>
        <v>0</v>
      </c>
      <c r="P260" s="6">
        <f>SUMIF('JUNE (물량흐름)'!$C$13:$C$502,C260,'JUNE (물량흐름)'!$T$13:$T$502)+SUMIF('JUNE (물량흐름)'!$C$13:$C$502,C260,'JUNE (물량흐름)'!$V$13:$V$502)+SUMIF('JUNE (물량흐름)'!$C$13:$C$502,C260,'JUNE (물량흐름)'!$U$13:$U$502)-SUMIF('JUNE (물량흐름)'!$C$13:$C$502,C260,'JUNE (물량흐름)'!$Y$13:$Y$502)</f>
        <v>0</v>
      </c>
      <c r="Q260" s="6">
        <f t="shared" si="64"/>
        <v>0</v>
      </c>
      <c r="R260" s="6">
        <f>IF(ISERROR(VLOOKUP(#REF!,'WIP(재공품)'!$B$12:$AB$38,13,0)),0,VLOOKUP(#REF!,'WIP(재공품)'!$B$12:$AB$38,13,0))</f>
        <v>0</v>
      </c>
      <c r="S260" s="6">
        <f>IF(ISERROR(VLOOKUP(#REF!,'WIP(재공품)'!$B$12:$AB$38,10,0)),0,VLOOKUP(#REF!,'WIP(재공품)'!$B$12:$AB$38,10,0))</f>
        <v>0</v>
      </c>
      <c r="T260" s="6">
        <f>SUMIF('JUNE (물량흐름)'!$C$13:$C$502,'Overhead exp(제조경비)'!C260,'JUNE (물량흐름)'!$Y$13:$Y$502)</f>
        <v>0</v>
      </c>
      <c r="U260" s="6">
        <f t="shared" si="59"/>
        <v>0</v>
      </c>
      <c r="V260" s="6">
        <f>ROUND(SUMIF('JUNE (물량흐름)'!$C$13:$C$502,'Overhead exp(제조경비)'!C260,'JUNE (물량흐름)'!$N$13:$N$502),0)</f>
        <v>0</v>
      </c>
      <c r="W260" s="6">
        <f>ROUND(SUMIF('JUNE (물량흐름)'!$C$13:$C$502,'Overhead exp(제조경비)'!C260,'JUNE (물량흐름)'!$O$13:$O$502),0)</f>
        <v>83</v>
      </c>
      <c r="X260" s="6">
        <f>ROUND(SUMIF('JUNE (물량흐름)'!$C$13:$C$502,'Overhead exp(제조경비)'!C260,'JUNE (물량흐름)'!$P$13:$P$502),0)</f>
        <v>92</v>
      </c>
      <c r="Y260" s="6">
        <f t="shared" si="60"/>
        <v>175</v>
      </c>
      <c r="Z260" s="6">
        <f t="shared" si="61"/>
        <v>115</v>
      </c>
      <c r="AA260" s="6">
        <f t="shared" si="66"/>
        <v>4932489</v>
      </c>
      <c r="AB260" s="391">
        <f t="shared" si="62"/>
        <v>0</v>
      </c>
      <c r="AC260" s="391">
        <f t="shared" si="63"/>
        <v>0</v>
      </c>
    </row>
    <row r="261" spans="1:29" s="390" customFormat="1" ht="24" customHeight="1">
      <c r="A261" s="167">
        <v>251</v>
      </c>
      <c r="B261" s="20" t="str">
        <f>IFERROR(VLOOKUP(A261,'JUNE (물량흐름)'!$A$13:$C$502,2,0),0)</f>
        <v>ANN TAYLOR</v>
      </c>
      <c r="C261" s="272">
        <f>VLOOKUP(A261,'JUNE (물량흐름)'!$A$13:$C$502,3,0)</f>
        <v>468229</v>
      </c>
      <c r="D261" s="6">
        <f>VLOOKUP(C261,'WIP(재공품)'!$B$12:$E$493,4,0)</f>
        <v>71426.25</v>
      </c>
      <c r="E261" s="6">
        <f>IFERROR(VLOOKUP(C261,O.B.JUNE!$AI$7:$AJ$448,2,0),0)</f>
        <v>29</v>
      </c>
      <c r="F261" s="6">
        <f>IFERROR(VLOOKUP(C261,O.B.JUNE!$AI$7:$AK$448,3,0),0)</f>
        <v>521</v>
      </c>
      <c r="G261" s="6">
        <f>IFERROR(VLOOKUP(C261,O.B.JUNE!$AI$7:$AL$448,4,0),0)</f>
        <v>581</v>
      </c>
      <c r="H261" s="6">
        <f t="shared" si="56"/>
        <v>1131</v>
      </c>
      <c r="I261" s="6">
        <f>IFERROR(VLOOKUP(C261,O.B.JUNE!$AI$7:$AN$448,6,0),0)</f>
        <v>731</v>
      </c>
      <c r="J261" s="6"/>
      <c r="K261" s="6">
        <f>IFERROR(VLOOKUP(C261,O.B.JUNE!$AI$7:$AO$448,7,0),0)</f>
        <v>15522088</v>
      </c>
      <c r="L261" s="6">
        <f>SUMIF('JUNE (물량흐름)'!$C$13:$C$488,'Overhead exp(제조경비)'!C261,'JUNE (물량흐름)'!$H$13:$H$493)+SUMIF('JUNE (물량흐름)'!$C$13:$C$493,'Overhead exp(제조경비)'!C261,'JUNE (물량흐름)'!$V$13:$V$493)</f>
        <v>0</v>
      </c>
      <c r="M261" s="6">
        <f t="shared" si="57"/>
        <v>0</v>
      </c>
      <c r="N261" s="6">
        <f t="shared" si="58"/>
        <v>0</v>
      </c>
      <c r="O261" s="6">
        <f t="shared" si="67"/>
        <v>0</v>
      </c>
      <c r="P261" s="6">
        <f>SUMIF('JUNE (물량흐름)'!$C$13:$C$502,C261,'JUNE (물량흐름)'!$T$13:$T$502)+SUMIF('JUNE (물량흐름)'!$C$13:$C$502,C261,'JUNE (물량흐름)'!$V$13:$V$502)+SUMIF('JUNE (물량흐름)'!$C$13:$C$502,C261,'JUNE (물량흐름)'!$U$13:$U$502)-SUMIF('JUNE (물량흐름)'!$C$13:$C$502,C261,'JUNE (물량흐름)'!$Y$13:$Y$502)</f>
        <v>0</v>
      </c>
      <c r="Q261" s="6">
        <f t="shared" si="64"/>
        <v>0</v>
      </c>
      <c r="R261" s="6">
        <f>IF(ISERROR(VLOOKUP(#REF!,'WIP(재공품)'!$B$12:$AB$38,13,0)),0,VLOOKUP(#REF!,'WIP(재공품)'!$B$12:$AB$38,13,0))</f>
        <v>0</v>
      </c>
      <c r="S261" s="6">
        <f>IF(ISERROR(VLOOKUP(#REF!,'WIP(재공품)'!$B$12:$AB$38,10,0)),0,VLOOKUP(#REF!,'WIP(재공품)'!$B$12:$AB$38,10,0))</f>
        <v>0</v>
      </c>
      <c r="T261" s="6">
        <f>SUMIF('JUNE (물량흐름)'!$C$13:$C$502,'Overhead exp(제조경비)'!C261,'JUNE (물량흐름)'!$Y$13:$Y$502)</f>
        <v>0</v>
      </c>
      <c r="U261" s="6">
        <f t="shared" si="59"/>
        <v>0</v>
      </c>
      <c r="V261" s="6">
        <f>ROUND(SUMIF('JUNE (물량흐름)'!$C$13:$C$502,'Overhead exp(제조경비)'!C261,'JUNE (물량흐름)'!$N$13:$N$502),0)</f>
        <v>29</v>
      </c>
      <c r="W261" s="6">
        <f>ROUND(SUMIF('JUNE (물량흐름)'!$C$13:$C$502,'Overhead exp(제조경비)'!C261,'JUNE (물량흐름)'!$O$13:$O$502),0)</f>
        <v>521</v>
      </c>
      <c r="X261" s="6">
        <f>ROUND(SUMIF('JUNE (물량흐름)'!$C$13:$C$502,'Overhead exp(제조경비)'!C261,'JUNE (물량흐름)'!$P$13:$P$502),0)</f>
        <v>581</v>
      </c>
      <c r="Y261" s="6">
        <f t="shared" si="60"/>
        <v>1131</v>
      </c>
      <c r="Z261" s="6">
        <f t="shared" si="61"/>
        <v>731</v>
      </c>
      <c r="AA261" s="6">
        <f t="shared" si="66"/>
        <v>15522088</v>
      </c>
      <c r="AB261" s="391">
        <f t="shared" si="62"/>
        <v>0</v>
      </c>
      <c r="AC261" s="391">
        <f t="shared" si="63"/>
        <v>0</v>
      </c>
    </row>
    <row r="262" spans="1:29" s="390" customFormat="1" ht="24" customHeight="1">
      <c r="A262" s="167">
        <v>252</v>
      </c>
      <c r="B262" s="20" t="str">
        <f>IFERROR(VLOOKUP(A262,'JUNE (물량흐름)'!$A$13:$C$502,2,0),0)</f>
        <v>ANN TAYLOR</v>
      </c>
      <c r="C262" s="272">
        <f>VLOOKUP(A262,'JUNE (물량흐름)'!$A$13:$C$502,3,0)</f>
        <v>468230</v>
      </c>
      <c r="D262" s="6">
        <f>VLOOKUP(C262,'WIP(재공품)'!$B$12:$E$493,4,0)</f>
        <v>7936.2499999999991</v>
      </c>
      <c r="E262" s="6">
        <f>IFERROR(VLOOKUP(C262,O.B.JUNE!$AI$7:$AJ$448,2,0),0)</f>
        <v>0</v>
      </c>
      <c r="F262" s="6">
        <f>IFERROR(VLOOKUP(C262,O.B.JUNE!$AI$7:$AK$448,3,0),0)</f>
        <v>208</v>
      </c>
      <c r="G262" s="6">
        <f>IFERROR(VLOOKUP(C262,O.B.JUNE!$AI$7:$AL$448,4,0),0)</f>
        <v>468</v>
      </c>
      <c r="H262" s="6">
        <f t="shared" si="56"/>
        <v>676</v>
      </c>
      <c r="I262" s="6">
        <f>IFERROR(VLOOKUP(C262,O.B.JUNE!$AI$7:$AN$448,6,0),0)</f>
        <v>478</v>
      </c>
      <c r="J262" s="6"/>
      <c r="K262" s="6">
        <f>IFERROR(VLOOKUP(C262,O.B.JUNE!$AI$7:$AO$448,7,0),0)</f>
        <v>9755887</v>
      </c>
      <c r="L262" s="6">
        <f>SUMIF('JUNE (물량흐름)'!$C$13:$C$488,'Overhead exp(제조경비)'!C262,'JUNE (물량흐름)'!$H$13:$H$493)+SUMIF('JUNE (물량흐름)'!$C$13:$C$493,'Overhead exp(제조경비)'!C262,'JUNE (물량흐름)'!$V$13:$V$493)</f>
        <v>0</v>
      </c>
      <c r="M262" s="6">
        <f t="shared" si="57"/>
        <v>0</v>
      </c>
      <c r="N262" s="6">
        <f t="shared" si="58"/>
        <v>0</v>
      </c>
      <c r="O262" s="6">
        <f t="shared" si="67"/>
        <v>0</v>
      </c>
      <c r="P262" s="6">
        <f>SUMIF('JUNE (물량흐름)'!$C$13:$C$502,C262,'JUNE (물량흐름)'!$T$13:$T$502)+SUMIF('JUNE (물량흐름)'!$C$13:$C$502,C262,'JUNE (물량흐름)'!$V$13:$V$502)+SUMIF('JUNE (물량흐름)'!$C$13:$C$502,C262,'JUNE (물량흐름)'!$U$13:$U$502)-SUMIF('JUNE (물량흐름)'!$C$13:$C$502,C262,'JUNE (물량흐름)'!$Y$13:$Y$502)</f>
        <v>0</v>
      </c>
      <c r="Q262" s="6">
        <f t="shared" si="64"/>
        <v>0</v>
      </c>
      <c r="R262" s="6">
        <f>IF(ISERROR(VLOOKUP(#REF!,'WIP(재공품)'!$B$12:$AB$38,13,0)),0,VLOOKUP(#REF!,'WIP(재공품)'!$B$12:$AB$38,13,0))</f>
        <v>0</v>
      </c>
      <c r="S262" s="6">
        <f>IF(ISERROR(VLOOKUP(#REF!,'WIP(재공품)'!$B$12:$AB$38,10,0)),0,VLOOKUP(#REF!,'WIP(재공품)'!$B$12:$AB$38,10,0))</f>
        <v>0</v>
      </c>
      <c r="T262" s="6">
        <f>SUMIF('JUNE (물량흐름)'!$C$13:$C$502,'Overhead exp(제조경비)'!C262,'JUNE (물량흐름)'!$Y$13:$Y$502)</f>
        <v>0</v>
      </c>
      <c r="U262" s="6">
        <f t="shared" si="59"/>
        <v>0</v>
      </c>
      <c r="V262" s="6">
        <f>ROUND(SUMIF('JUNE (물량흐름)'!$C$13:$C$502,'Overhead exp(제조경비)'!C262,'JUNE (물량흐름)'!$N$13:$N$502),0)</f>
        <v>0</v>
      </c>
      <c r="W262" s="6">
        <f>ROUND(SUMIF('JUNE (물량흐름)'!$C$13:$C$502,'Overhead exp(제조경비)'!C262,'JUNE (물량흐름)'!$O$13:$O$502),0)</f>
        <v>208</v>
      </c>
      <c r="X262" s="6">
        <f>ROUND(SUMIF('JUNE (물량흐름)'!$C$13:$C$502,'Overhead exp(제조경비)'!C262,'JUNE (물량흐름)'!$P$13:$P$502),0)</f>
        <v>468</v>
      </c>
      <c r="Y262" s="6">
        <f t="shared" si="60"/>
        <v>676</v>
      </c>
      <c r="Z262" s="6">
        <f t="shared" si="61"/>
        <v>478</v>
      </c>
      <c r="AA262" s="6">
        <f t="shared" si="66"/>
        <v>9755887</v>
      </c>
      <c r="AB262" s="391">
        <f t="shared" si="62"/>
        <v>0</v>
      </c>
      <c r="AC262" s="391">
        <f t="shared" si="63"/>
        <v>0</v>
      </c>
    </row>
    <row r="263" spans="1:29" s="390" customFormat="1" ht="24" customHeight="1">
      <c r="A263" s="167">
        <v>253</v>
      </c>
      <c r="B263" s="20" t="str">
        <f>IFERROR(VLOOKUP(A263,'JUNE (물량흐름)'!$A$13:$C$502,2,0),0)</f>
        <v>ANN TAYLOR</v>
      </c>
      <c r="C263" s="272">
        <f>VLOOKUP(A263,'JUNE (물량흐름)'!$A$13:$C$502,3,0)</f>
        <v>468249</v>
      </c>
      <c r="D263" s="6">
        <f>VLOOKUP(C263,'WIP(재공품)'!$B$12:$E$493,4,0)</f>
        <v>7936.2499999999991</v>
      </c>
      <c r="E263" s="6">
        <f>IFERROR(VLOOKUP(C263,O.B.JUNE!$AI$7:$AJ$448,2,0),0)</f>
        <v>0</v>
      </c>
      <c r="F263" s="6">
        <f>IFERROR(VLOOKUP(C263,O.B.JUNE!$AI$7:$AK$448,3,0),0)</f>
        <v>299</v>
      </c>
      <c r="G263" s="6">
        <f>IFERROR(VLOOKUP(C263,O.B.JUNE!$AI$7:$AL$448,4,0),0)</f>
        <v>153</v>
      </c>
      <c r="H263" s="6">
        <f t="shared" si="56"/>
        <v>452</v>
      </c>
      <c r="I263" s="6">
        <f>IFERROR(VLOOKUP(C263,O.B.JUNE!$AI$7:$AN$448,6,0),0)</f>
        <v>272</v>
      </c>
      <c r="J263" s="6"/>
      <c r="K263" s="6">
        <f>IFERROR(VLOOKUP(C263,O.B.JUNE!$AI$7:$AO$448,7,0),0)</f>
        <v>5761513</v>
      </c>
      <c r="L263" s="6">
        <f>SUMIF('JUNE (물량흐름)'!$C$13:$C$488,'Overhead exp(제조경비)'!C263,'JUNE (물량흐름)'!$H$13:$H$493)+SUMIF('JUNE (물량흐름)'!$C$13:$C$493,'Overhead exp(제조경비)'!C263,'JUNE (물량흐름)'!$V$13:$V$493)</f>
        <v>0</v>
      </c>
      <c r="M263" s="6">
        <f t="shared" si="57"/>
        <v>0</v>
      </c>
      <c r="N263" s="6">
        <f t="shared" si="58"/>
        <v>0</v>
      </c>
      <c r="O263" s="6">
        <f t="shared" si="67"/>
        <v>0</v>
      </c>
      <c r="P263" s="6">
        <f>SUMIF('JUNE (물량흐름)'!$C$13:$C$502,C263,'JUNE (물량흐름)'!$T$13:$T$502)+SUMIF('JUNE (물량흐름)'!$C$13:$C$502,C263,'JUNE (물량흐름)'!$V$13:$V$502)+SUMIF('JUNE (물량흐름)'!$C$13:$C$502,C263,'JUNE (물량흐름)'!$U$13:$U$502)-SUMIF('JUNE (물량흐름)'!$C$13:$C$502,C263,'JUNE (물량흐름)'!$Y$13:$Y$502)</f>
        <v>0</v>
      </c>
      <c r="Q263" s="6">
        <f t="shared" si="64"/>
        <v>0</v>
      </c>
      <c r="R263" s="6">
        <f>IF(ISERROR(VLOOKUP(#REF!,'WIP(재공품)'!$B$12:$AB$38,13,0)),0,VLOOKUP(#REF!,'WIP(재공품)'!$B$12:$AB$38,13,0))</f>
        <v>0</v>
      </c>
      <c r="S263" s="6">
        <f>IF(ISERROR(VLOOKUP(#REF!,'WIP(재공품)'!$B$12:$AB$38,10,0)),0,VLOOKUP(#REF!,'WIP(재공품)'!$B$12:$AB$38,10,0))</f>
        <v>0</v>
      </c>
      <c r="T263" s="6">
        <f>SUMIF('JUNE (물량흐름)'!$C$13:$C$502,'Overhead exp(제조경비)'!C263,'JUNE (물량흐름)'!$Y$13:$Y$502)</f>
        <v>0</v>
      </c>
      <c r="U263" s="6">
        <f t="shared" si="59"/>
        <v>0</v>
      </c>
      <c r="V263" s="6">
        <f>ROUND(SUMIF('JUNE (물량흐름)'!$C$13:$C$502,'Overhead exp(제조경비)'!C263,'JUNE (물량흐름)'!$N$13:$N$502),0)</f>
        <v>0</v>
      </c>
      <c r="W263" s="6">
        <f>ROUND(SUMIF('JUNE (물량흐름)'!$C$13:$C$502,'Overhead exp(제조경비)'!C263,'JUNE (물량흐름)'!$O$13:$O$502),0)</f>
        <v>299</v>
      </c>
      <c r="X263" s="6">
        <f>ROUND(SUMIF('JUNE (물량흐름)'!$C$13:$C$502,'Overhead exp(제조경비)'!C263,'JUNE (물량흐름)'!$P$13:$P$502),0)</f>
        <v>153</v>
      </c>
      <c r="Y263" s="6">
        <f t="shared" si="60"/>
        <v>452</v>
      </c>
      <c r="Z263" s="6">
        <f t="shared" si="61"/>
        <v>272</v>
      </c>
      <c r="AA263" s="6">
        <f t="shared" si="66"/>
        <v>5761513</v>
      </c>
      <c r="AB263" s="391">
        <f t="shared" si="62"/>
        <v>0</v>
      </c>
      <c r="AC263" s="391">
        <f t="shared" si="63"/>
        <v>0</v>
      </c>
    </row>
    <row r="264" spans="1:29" s="390" customFormat="1" ht="24" customHeight="1">
      <c r="A264" s="167">
        <v>254</v>
      </c>
      <c r="B264" s="20" t="str">
        <f>IFERROR(VLOOKUP(A264,'JUNE (물량흐름)'!$A$13:$C$502,2,0),0)</f>
        <v>ALFANI</v>
      </c>
      <c r="C264" s="272">
        <f>VLOOKUP(A264,'JUNE (물량흐름)'!$A$13:$C$502,3,0)</f>
        <v>100013593</v>
      </c>
      <c r="D264" s="6">
        <f>VLOOKUP(C264,'WIP(재공품)'!$B$12:$E$493,4,0)</f>
        <v>7936.2499999999991</v>
      </c>
      <c r="E264" s="6">
        <f>IFERROR(VLOOKUP(C264,O.B.JUNE!$AI$7:$AJ$448,2,0),0)</f>
        <v>0</v>
      </c>
      <c r="F264" s="6">
        <f>IFERROR(VLOOKUP(C264,O.B.JUNE!$AI$7:$AK$448,3,0),0)</f>
        <v>67</v>
      </c>
      <c r="G264" s="6">
        <f>IFERROR(VLOOKUP(C264,O.B.JUNE!$AI$7:$AL$448,4,0),0)</f>
        <v>74</v>
      </c>
      <c r="H264" s="6">
        <f t="shared" si="56"/>
        <v>141</v>
      </c>
      <c r="I264" s="6">
        <f>IFERROR(VLOOKUP(C264,O.B.JUNE!$AI$7:$AN$448,6,0),0)</f>
        <v>93</v>
      </c>
      <c r="J264" s="6"/>
      <c r="K264" s="6">
        <f>IFERROR(VLOOKUP(C264,O.B.JUNE!$AI$7:$AO$448,7,0),0)</f>
        <v>2469331</v>
      </c>
      <c r="L264" s="6">
        <f>SUMIF('JUNE (물량흐름)'!$C$13:$C$488,'Overhead exp(제조경비)'!C264,'JUNE (물량흐름)'!$H$13:$H$493)+SUMIF('JUNE (물량흐름)'!$C$13:$C$493,'Overhead exp(제조경비)'!C264,'JUNE (물량흐름)'!$V$13:$V$493)</f>
        <v>0</v>
      </c>
      <c r="M264" s="6">
        <f t="shared" si="57"/>
        <v>0</v>
      </c>
      <c r="N264" s="6">
        <f t="shared" si="58"/>
        <v>0</v>
      </c>
      <c r="O264" s="6">
        <f t="shared" si="67"/>
        <v>0</v>
      </c>
      <c r="P264" s="6">
        <f>SUMIF('JUNE (물량흐름)'!$C$13:$C$502,C264,'JUNE (물량흐름)'!$T$13:$T$502)+SUMIF('JUNE (물량흐름)'!$C$13:$C$502,C264,'JUNE (물량흐름)'!$V$13:$V$502)+SUMIF('JUNE (물량흐름)'!$C$13:$C$502,C264,'JUNE (물량흐름)'!$U$13:$U$502)-SUMIF('JUNE (물량흐름)'!$C$13:$C$502,C264,'JUNE (물량흐름)'!$Y$13:$Y$502)</f>
        <v>0</v>
      </c>
      <c r="Q264" s="6">
        <f t="shared" si="64"/>
        <v>0</v>
      </c>
      <c r="R264" s="6">
        <f>IF(ISERROR(VLOOKUP(#REF!,'WIP(재공품)'!$B$12:$AB$38,13,0)),0,VLOOKUP(#REF!,'WIP(재공품)'!$B$12:$AB$38,13,0))</f>
        <v>0</v>
      </c>
      <c r="S264" s="6">
        <f>IF(ISERROR(VLOOKUP(#REF!,'WIP(재공품)'!$B$12:$AB$38,10,0)),0,VLOOKUP(#REF!,'WIP(재공품)'!$B$12:$AB$38,10,0))</f>
        <v>0</v>
      </c>
      <c r="T264" s="6">
        <f>SUMIF('JUNE (물량흐름)'!$C$13:$C$502,'Overhead exp(제조경비)'!C264,'JUNE (물량흐름)'!$Y$13:$Y$502)</f>
        <v>0</v>
      </c>
      <c r="U264" s="6">
        <f t="shared" si="59"/>
        <v>0</v>
      </c>
      <c r="V264" s="6">
        <f>ROUND(SUMIF('JUNE (물량흐름)'!$C$13:$C$502,'Overhead exp(제조경비)'!C264,'JUNE (물량흐름)'!$N$13:$N$502),0)</f>
        <v>0</v>
      </c>
      <c r="W264" s="6">
        <f>ROUND(SUMIF('JUNE (물량흐름)'!$C$13:$C$502,'Overhead exp(제조경비)'!C264,'JUNE (물량흐름)'!$O$13:$O$502),0)</f>
        <v>18</v>
      </c>
      <c r="X264" s="6">
        <f>ROUND(SUMIF('JUNE (물량흐름)'!$C$13:$C$502,'Overhead exp(제조경비)'!C264,'JUNE (물량흐름)'!$P$13:$P$502),0)</f>
        <v>123</v>
      </c>
      <c r="Y264" s="6">
        <f t="shared" si="60"/>
        <v>141</v>
      </c>
      <c r="Z264" s="6">
        <f t="shared" si="61"/>
        <v>107</v>
      </c>
      <c r="AA264" s="6">
        <f t="shared" si="66"/>
        <v>2469331</v>
      </c>
      <c r="AB264" s="391">
        <f t="shared" si="62"/>
        <v>0</v>
      </c>
      <c r="AC264" s="391">
        <f t="shared" si="63"/>
        <v>0</v>
      </c>
    </row>
    <row r="265" spans="1:29" s="390" customFormat="1" ht="24" customHeight="1">
      <c r="A265" s="167">
        <v>255</v>
      </c>
      <c r="B265" s="20" t="str">
        <f>IFERROR(VLOOKUP(A265,'JUNE (물량흐름)'!$A$13:$C$502,2,0),0)</f>
        <v>ALFANI</v>
      </c>
      <c r="C265" s="272">
        <f>VLOOKUP(A265,'JUNE (물량흐름)'!$A$13:$C$502,3,0)</f>
        <v>100014855</v>
      </c>
      <c r="D265" s="6">
        <f>VLOOKUP(C265,'WIP(재공품)'!$B$12:$E$493,4,0)</f>
        <v>7936.2499999999991</v>
      </c>
      <c r="E265" s="6">
        <f>IFERROR(VLOOKUP(C265,O.B.JUNE!$AI$7:$AJ$448,2,0),0)</f>
        <v>0</v>
      </c>
      <c r="F265" s="6">
        <f>IFERROR(VLOOKUP(C265,O.B.JUNE!$AI$7:$AK$448,3,0),0)</f>
        <v>37</v>
      </c>
      <c r="G265" s="6">
        <f>IFERROR(VLOOKUP(C265,O.B.JUNE!$AI$7:$AL$448,4,0),0)</f>
        <v>75</v>
      </c>
      <c r="H265" s="6">
        <f t="shared" si="56"/>
        <v>112</v>
      </c>
      <c r="I265" s="6">
        <f>IFERROR(VLOOKUP(C265,O.B.JUNE!$AI$7:$AN$448,6,0),0)</f>
        <v>79</v>
      </c>
      <c r="J265" s="6"/>
      <c r="K265" s="6">
        <f>IFERROR(VLOOKUP(C265,O.B.JUNE!$AI$7:$AO$448,7,0),0)</f>
        <v>1344106</v>
      </c>
      <c r="L265" s="6">
        <f>SUMIF('JUNE (물량흐름)'!$C$13:$C$488,'Overhead exp(제조경비)'!C265,'JUNE (물량흐름)'!$H$13:$H$493)+SUMIF('JUNE (물량흐름)'!$C$13:$C$493,'Overhead exp(제조경비)'!C265,'JUNE (물량흐름)'!$V$13:$V$493)</f>
        <v>0</v>
      </c>
      <c r="M265" s="6">
        <f t="shared" si="57"/>
        <v>0</v>
      </c>
      <c r="N265" s="6">
        <f t="shared" si="58"/>
        <v>0</v>
      </c>
      <c r="O265" s="6">
        <f t="shared" si="67"/>
        <v>0</v>
      </c>
      <c r="P265" s="6">
        <f>SUMIF('JUNE (물량흐름)'!$C$13:$C$502,C265,'JUNE (물량흐름)'!$T$13:$T$502)+SUMIF('JUNE (물량흐름)'!$C$13:$C$502,C265,'JUNE (물량흐름)'!$V$13:$V$502)+SUMIF('JUNE (물량흐름)'!$C$13:$C$502,C265,'JUNE (물량흐름)'!$U$13:$U$502)-SUMIF('JUNE (물량흐름)'!$C$13:$C$502,C265,'JUNE (물량흐름)'!$Y$13:$Y$502)</f>
        <v>0</v>
      </c>
      <c r="Q265" s="6">
        <f t="shared" si="64"/>
        <v>0</v>
      </c>
      <c r="R265" s="6">
        <f>IF(ISERROR(VLOOKUP(#REF!,'WIP(재공품)'!$B$12:$AB$38,13,0)),0,VLOOKUP(#REF!,'WIP(재공품)'!$B$12:$AB$38,13,0))</f>
        <v>0</v>
      </c>
      <c r="S265" s="6">
        <f>IF(ISERROR(VLOOKUP(#REF!,'WIP(재공품)'!$B$12:$AB$38,10,0)),0,VLOOKUP(#REF!,'WIP(재공품)'!$B$12:$AB$38,10,0))</f>
        <v>0</v>
      </c>
      <c r="T265" s="6">
        <f>SUMIF('JUNE (물량흐름)'!$C$13:$C$502,'Overhead exp(제조경비)'!C265,'JUNE (물량흐름)'!$Y$13:$Y$502)</f>
        <v>0</v>
      </c>
      <c r="U265" s="6">
        <f t="shared" si="59"/>
        <v>0</v>
      </c>
      <c r="V265" s="6">
        <f>ROUND(SUMIF('JUNE (물량흐름)'!$C$13:$C$502,'Overhead exp(제조경비)'!C265,'JUNE (물량흐름)'!$N$13:$N$502),0)</f>
        <v>0</v>
      </c>
      <c r="W265" s="6">
        <f>ROUND(SUMIF('JUNE (물량흐름)'!$C$13:$C$502,'Overhead exp(제조경비)'!C265,'JUNE (물량흐름)'!$O$13:$O$502),0)</f>
        <v>37</v>
      </c>
      <c r="X265" s="6">
        <f>ROUND(SUMIF('JUNE (물량흐름)'!$C$13:$C$502,'Overhead exp(제조경비)'!C265,'JUNE (물량흐름)'!$P$13:$P$502),0)</f>
        <v>75</v>
      </c>
      <c r="Y265" s="6">
        <f t="shared" si="60"/>
        <v>112</v>
      </c>
      <c r="Z265" s="6">
        <f t="shared" si="61"/>
        <v>79</v>
      </c>
      <c r="AA265" s="6">
        <f t="shared" si="66"/>
        <v>1344106</v>
      </c>
      <c r="AB265" s="391">
        <f t="shared" si="62"/>
        <v>0</v>
      </c>
      <c r="AC265" s="391">
        <f t="shared" si="63"/>
        <v>0</v>
      </c>
    </row>
    <row r="266" spans="1:29" s="390" customFormat="1" ht="24" customHeight="1">
      <c r="A266" s="167">
        <v>256</v>
      </c>
      <c r="B266" s="20" t="str">
        <f>IFERROR(VLOOKUP(A266,'JUNE (물량흐름)'!$A$13:$C$502,2,0),0)</f>
        <v>ALFANI</v>
      </c>
      <c r="C266" s="272">
        <f>VLOOKUP(A266,'JUNE (물량흐름)'!$A$13:$C$502,3,0)</f>
        <v>100015130</v>
      </c>
      <c r="D266" s="6">
        <f>VLOOKUP(C266,'WIP(재공품)'!$B$12:$E$493,4,0)</f>
        <v>8163</v>
      </c>
      <c r="E266" s="6">
        <f>IFERROR(VLOOKUP(C266,O.B.JUNE!$AI$7:$AJ$448,2,0),0)</f>
        <v>0</v>
      </c>
      <c r="F266" s="6">
        <f>IFERROR(VLOOKUP(C266,O.B.JUNE!$AI$7:$AK$448,3,0),0)</f>
        <v>70</v>
      </c>
      <c r="G266" s="6">
        <f>IFERROR(VLOOKUP(C266,O.B.JUNE!$AI$7:$AL$448,4,0),0)</f>
        <v>123</v>
      </c>
      <c r="H266" s="6">
        <f t="shared" si="56"/>
        <v>193</v>
      </c>
      <c r="I266" s="6">
        <f>IFERROR(VLOOKUP(C266,O.B.JUNE!$AI$7:$AN$448,6,0),0)</f>
        <v>133</v>
      </c>
      <c r="J266" s="6"/>
      <c r="K266" s="6">
        <f>IFERROR(VLOOKUP(C266,O.B.JUNE!$AI$7:$AO$448,7,0),0)</f>
        <v>3985858</v>
      </c>
      <c r="L266" s="6">
        <f>SUMIF('JUNE (물량흐름)'!$C$13:$C$488,'Overhead exp(제조경비)'!C266,'JUNE (물량흐름)'!$H$13:$H$493)+SUMIF('JUNE (물량흐름)'!$C$13:$C$493,'Overhead exp(제조경비)'!C266,'JUNE (물량흐름)'!$V$13:$V$493)</f>
        <v>0</v>
      </c>
      <c r="M266" s="6">
        <f t="shared" si="57"/>
        <v>0</v>
      </c>
      <c r="N266" s="6">
        <f t="shared" si="58"/>
        <v>0</v>
      </c>
      <c r="O266" s="6">
        <f t="shared" si="67"/>
        <v>0</v>
      </c>
      <c r="P266" s="6">
        <f>SUMIF('JUNE (물량흐름)'!$C$13:$C$502,C266,'JUNE (물량흐름)'!$T$13:$T$502)+SUMIF('JUNE (물량흐름)'!$C$13:$C$502,C266,'JUNE (물량흐름)'!$V$13:$V$502)+SUMIF('JUNE (물량흐름)'!$C$13:$C$502,C266,'JUNE (물량흐름)'!$U$13:$U$502)-SUMIF('JUNE (물량흐름)'!$C$13:$C$502,C266,'JUNE (물량흐름)'!$Y$13:$Y$502)</f>
        <v>0</v>
      </c>
      <c r="Q266" s="6">
        <f t="shared" si="64"/>
        <v>0</v>
      </c>
      <c r="R266" s="6">
        <f>IF(ISERROR(VLOOKUP(#REF!,'WIP(재공품)'!$B$12:$AB$38,13,0)),0,VLOOKUP(#REF!,'WIP(재공품)'!$B$12:$AB$38,13,0))</f>
        <v>0</v>
      </c>
      <c r="S266" s="6">
        <f>IF(ISERROR(VLOOKUP(#REF!,'WIP(재공품)'!$B$12:$AB$38,10,0)),0,VLOOKUP(#REF!,'WIP(재공품)'!$B$12:$AB$38,10,0))</f>
        <v>0</v>
      </c>
      <c r="T266" s="6">
        <f>SUMIF('JUNE (물량흐름)'!$C$13:$C$502,'Overhead exp(제조경비)'!C266,'JUNE (물량흐름)'!$Y$13:$Y$502)</f>
        <v>0</v>
      </c>
      <c r="U266" s="6">
        <f t="shared" si="59"/>
        <v>0</v>
      </c>
      <c r="V266" s="6">
        <f>ROUND(SUMIF('JUNE (물량흐름)'!$C$13:$C$502,'Overhead exp(제조경비)'!C266,'JUNE (물량흐름)'!$N$13:$N$502),0)</f>
        <v>0</v>
      </c>
      <c r="W266" s="6">
        <f>ROUND(SUMIF('JUNE (물량흐름)'!$C$13:$C$502,'Overhead exp(제조경비)'!C266,'JUNE (물량흐름)'!$O$13:$O$502),0)</f>
        <v>70</v>
      </c>
      <c r="X266" s="6">
        <f>ROUND(SUMIF('JUNE (물량흐름)'!$C$13:$C$502,'Overhead exp(제조경비)'!C266,'JUNE (물량흐름)'!$P$13:$P$502),0)</f>
        <v>123</v>
      </c>
      <c r="Y266" s="167">
        <f t="shared" ref="Y266" si="77">ROUND(SUM(V266:X266),0)</f>
        <v>193</v>
      </c>
      <c r="Z266" s="167">
        <f t="shared" si="61"/>
        <v>133</v>
      </c>
      <c r="AA266" s="6">
        <f t="shared" si="66"/>
        <v>3985858</v>
      </c>
      <c r="AB266" s="391">
        <f t="shared" si="62"/>
        <v>0</v>
      </c>
      <c r="AC266" s="391">
        <f t="shared" si="63"/>
        <v>0</v>
      </c>
    </row>
    <row r="267" spans="1:29" s="390" customFormat="1" ht="24" customHeight="1">
      <c r="A267" s="167">
        <v>257</v>
      </c>
      <c r="B267" s="20" t="str">
        <f>IFERROR(VLOOKUP(A267,'JUNE (물량흐름)'!$A$13:$C$502,2,0),0)</f>
        <v>ALFANI</v>
      </c>
      <c r="C267" s="272">
        <f>VLOOKUP(A267,'JUNE (물량흐름)'!$A$13:$C$502,3,0)</f>
        <v>100015136</v>
      </c>
      <c r="D267" s="6">
        <f>VLOOKUP(C267,'WIP(재공품)'!$B$12:$E$493,4,0)</f>
        <v>7936.2499999999991</v>
      </c>
      <c r="E267" s="6">
        <f>IFERROR(VLOOKUP(C267,O.B.JUNE!$AI$7:$AJ$448,2,0),0)</f>
        <v>0</v>
      </c>
      <c r="F267" s="6">
        <f>IFERROR(VLOOKUP(C267,O.B.JUNE!$AI$7:$AK$448,3,0),0)</f>
        <v>0</v>
      </c>
      <c r="G267" s="6">
        <f>IFERROR(VLOOKUP(C267,O.B.JUNE!$AI$7:$AL$448,4,0),0)</f>
        <v>33</v>
      </c>
      <c r="H267" s="6">
        <f t="shared" si="56"/>
        <v>33</v>
      </c>
      <c r="I267" s="6">
        <f>IFERROR(VLOOKUP(C267,O.B.JUNE!$AI$7:$AN$448,6,0),0)</f>
        <v>26</v>
      </c>
      <c r="J267" s="6"/>
      <c r="K267" s="6">
        <f>IFERROR(VLOOKUP(C267,O.B.JUNE!$AI$7:$AO$448,7,0),0)</f>
        <v>990799</v>
      </c>
      <c r="L267" s="6">
        <f>SUMIF('JUNE (물량흐름)'!$C$13:$C$488,'Overhead exp(제조경비)'!C267,'JUNE (물량흐름)'!$H$13:$H$493)+SUMIF('JUNE (물량흐름)'!$C$13:$C$493,'Overhead exp(제조경비)'!C267,'JUNE (물량흐름)'!$V$13:$V$493)</f>
        <v>0</v>
      </c>
      <c r="M267" s="6">
        <f t="shared" si="57"/>
        <v>0</v>
      </c>
      <c r="N267" s="6">
        <f t="shared" si="58"/>
        <v>0</v>
      </c>
      <c r="O267" s="6">
        <f t="shared" si="67"/>
        <v>0</v>
      </c>
      <c r="P267" s="6">
        <f>SUMIF('JUNE (물량흐름)'!$C$13:$C$502,C267,'JUNE (물량흐름)'!$T$13:$T$502)+SUMIF('JUNE (물량흐름)'!$C$13:$C$502,C267,'JUNE (물량흐름)'!$V$13:$V$502)+SUMIF('JUNE (물량흐름)'!$C$13:$C$502,C267,'JUNE (물량흐름)'!$U$13:$U$502)-SUMIF('JUNE (물량흐름)'!$C$13:$C$502,C267,'JUNE (물량흐름)'!$Y$13:$Y$502)</f>
        <v>0</v>
      </c>
      <c r="Q267" s="6">
        <f t="shared" si="64"/>
        <v>0</v>
      </c>
      <c r="R267" s="6">
        <f>IF(ISERROR(VLOOKUP(#REF!,'WIP(재공품)'!$B$12:$AB$38,13,0)),0,VLOOKUP(#REF!,'WIP(재공품)'!$B$12:$AB$38,13,0))</f>
        <v>0</v>
      </c>
      <c r="S267" s="6">
        <f>IF(ISERROR(VLOOKUP(#REF!,'WIP(재공품)'!$B$12:$AB$38,10,0)),0,VLOOKUP(#REF!,'WIP(재공품)'!$B$12:$AB$38,10,0))</f>
        <v>0</v>
      </c>
      <c r="T267" s="6">
        <f>SUMIF('JUNE (물량흐름)'!$C$13:$C$502,'Overhead exp(제조경비)'!C267,'JUNE (물량흐름)'!$Y$13:$Y$502)</f>
        <v>0</v>
      </c>
      <c r="U267" s="6">
        <f t="shared" si="59"/>
        <v>0</v>
      </c>
      <c r="V267" s="6">
        <f>ROUND(SUMIF('JUNE (물량흐름)'!$C$13:$C$502,'Overhead exp(제조경비)'!C267,'JUNE (물량흐름)'!$N$13:$N$502),0)</f>
        <v>0</v>
      </c>
      <c r="W267" s="6">
        <f>ROUND(SUMIF('JUNE (물량흐름)'!$C$13:$C$502,'Overhead exp(제조경비)'!C267,'JUNE (물량흐름)'!$O$13:$O$502),0)</f>
        <v>0</v>
      </c>
      <c r="X267" s="6">
        <f>ROUND(SUMIF('JUNE (물량흐름)'!$C$13:$C$502,'Overhead exp(제조경비)'!C267,'JUNE (물량흐름)'!$P$13:$P$502),0)</f>
        <v>33</v>
      </c>
      <c r="Y267" s="6">
        <f t="shared" si="60"/>
        <v>33</v>
      </c>
      <c r="Z267" s="6">
        <f t="shared" si="61"/>
        <v>26</v>
      </c>
      <c r="AA267" s="6">
        <f t="shared" si="66"/>
        <v>990799</v>
      </c>
      <c r="AB267" s="391">
        <f t="shared" si="62"/>
        <v>0</v>
      </c>
      <c r="AC267" s="391">
        <f t="shared" si="63"/>
        <v>0</v>
      </c>
    </row>
    <row r="268" spans="1:29" s="390" customFormat="1" ht="24" customHeight="1">
      <c r="A268" s="167">
        <v>258</v>
      </c>
      <c r="B268" s="20" t="str">
        <f>IFERROR(VLOOKUP(A268,'JUNE (물량흐름)'!$A$13:$C$502,2,0),0)</f>
        <v>ALFANI</v>
      </c>
      <c r="C268" s="272">
        <f>VLOOKUP(A268,'JUNE (물량흐름)'!$A$13:$C$502,3,0)</f>
        <v>100015145</v>
      </c>
      <c r="D268" s="6">
        <f>VLOOKUP(C268,'WIP(재공품)'!$B$12:$E$493,4,0)</f>
        <v>8075.7884615384619</v>
      </c>
      <c r="E268" s="6">
        <f>IFERROR(VLOOKUP(C268,O.B.JUNE!$AI$7:$AJ$448,2,0),0)</f>
        <v>0</v>
      </c>
      <c r="F268" s="6">
        <f>IFERROR(VLOOKUP(C268,O.B.JUNE!$AI$7:$AK$448,3,0),0)</f>
        <v>34</v>
      </c>
      <c r="G268" s="6">
        <f>IFERROR(VLOOKUP(C268,O.B.JUNE!$AI$7:$AL$448,4,0),0)</f>
        <v>36</v>
      </c>
      <c r="H268" s="6">
        <f t="shared" ref="H268:H327" si="78">+E268+F268+G268</f>
        <v>70</v>
      </c>
      <c r="I268" s="6">
        <f>IFERROR(VLOOKUP(C268,O.B.JUNE!$AI$7:$AN$448,6,0),0)</f>
        <v>46</v>
      </c>
      <c r="J268" s="6"/>
      <c r="K268" s="6">
        <f>IFERROR(VLOOKUP(C268,O.B.JUNE!$AI$7:$AO$448,7,0),0)</f>
        <v>1658844</v>
      </c>
      <c r="L268" s="6">
        <f>SUMIF('JUNE (물량흐름)'!$C$13:$C$488,'Overhead exp(제조경비)'!C268,'JUNE (물량흐름)'!$H$13:$H$493)+SUMIF('JUNE (물량흐름)'!$C$13:$C$493,'Overhead exp(제조경비)'!C268,'JUNE (물량흐름)'!$V$13:$V$493)</f>
        <v>0</v>
      </c>
      <c r="M268" s="6">
        <f t="shared" ref="M268:M327" si="79">IF(OR(L268&lt;=0,P268+T268+R268+Z268-I268&lt;0),0,ROUND(P268+T268+R268+Z268-I268,0))</f>
        <v>0</v>
      </c>
      <c r="N268" s="6">
        <f t="shared" ref="N268:N327" si="80">ROUND(M268*D268,0)</f>
        <v>0</v>
      </c>
      <c r="O268" s="6">
        <f t="shared" si="67"/>
        <v>0</v>
      </c>
      <c r="P268" s="6">
        <f>SUMIF('JUNE (물량흐름)'!$C$13:$C$502,C268,'JUNE (물량흐름)'!$T$13:$T$502)+SUMIF('JUNE (물량흐름)'!$C$13:$C$502,C268,'JUNE (물량흐름)'!$V$13:$V$502)+SUMIF('JUNE (물량흐름)'!$C$13:$C$502,C268,'JUNE (물량흐름)'!$U$13:$U$502)-SUMIF('JUNE (물량흐름)'!$C$13:$C$502,C268,'JUNE (물량흐름)'!$Y$13:$Y$502)</f>
        <v>0</v>
      </c>
      <c r="Q268" s="6">
        <f t="shared" si="64"/>
        <v>0</v>
      </c>
      <c r="R268" s="6">
        <f>IF(ISERROR(VLOOKUP(#REF!,'WIP(재공품)'!$B$12:$AB$38,13,0)),0,VLOOKUP(#REF!,'WIP(재공품)'!$B$12:$AB$38,13,0))</f>
        <v>0</v>
      </c>
      <c r="S268" s="6">
        <f>IF(ISERROR(VLOOKUP(#REF!,'WIP(재공품)'!$B$12:$AB$38,10,0)),0,VLOOKUP(#REF!,'WIP(재공품)'!$B$12:$AB$38,10,0))</f>
        <v>0</v>
      </c>
      <c r="T268" s="6">
        <f>SUMIF('JUNE (물량흐름)'!$C$13:$C$502,'Overhead exp(제조경비)'!C268,'JUNE (물량흐름)'!$Y$13:$Y$502)</f>
        <v>0</v>
      </c>
      <c r="U268" s="6">
        <f t="shared" ref="U268:U327" si="81">IFERROR(ROUND(IF(AND(T268&lt;=0,($I268+$M268)=0),T268*(K268+O268)/(I268+M268),T268*(K268+O268)/(H268+L268)),0),0)</f>
        <v>0</v>
      </c>
      <c r="V268" s="6">
        <f>ROUND(SUMIF('JUNE (물량흐름)'!$C$13:$C$502,'Overhead exp(제조경비)'!C268,'JUNE (물량흐름)'!$N$13:$N$502),0)</f>
        <v>0</v>
      </c>
      <c r="W268" s="6">
        <f>ROUND(SUMIF('JUNE (물량흐름)'!$C$13:$C$502,'Overhead exp(제조경비)'!C268,'JUNE (물량흐름)'!$O$13:$O$502),0)</f>
        <v>34</v>
      </c>
      <c r="X268" s="6">
        <f>ROUND(SUMIF('JUNE (물량흐름)'!$C$13:$C$502,'Overhead exp(제조경비)'!C268,'JUNE (물량흐름)'!$P$13:$P$502),0)</f>
        <v>36</v>
      </c>
      <c r="Y268" s="6">
        <f t="shared" ref="Y268:Y327" si="82">ROUND(SUM(V268:X268),0)</f>
        <v>70</v>
      </c>
      <c r="Z268" s="6">
        <f t="shared" ref="Z268:Z327" si="83">ROUND(V268*$V$10+W268*$W$10+X268*$X$10,0)</f>
        <v>46</v>
      </c>
      <c r="AA268" s="6">
        <f t="shared" si="66"/>
        <v>1658844</v>
      </c>
      <c r="AB268" s="391">
        <f t="shared" ref="AB268:AB327" si="84">K268+O268-Q268-U268-AA268</f>
        <v>0</v>
      </c>
      <c r="AC268" s="391">
        <f t="shared" ref="AC268:AC327" si="85">H268+L268-P268-T268-Y268</f>
        <v>0</v>
      </c>
    </row>
    <row r="269" spans="1:29" s="390" customFormat="1" ht="24" customHeight="1">
      <c r="A269" s="167">
        <v>259</v>
      </c>
      <c r="B269" s="20" t="str">
        <f>IFERROR(VLOOKUP(A269,'JUNE (물량흐름)'!$A$13:$C$502,2,0),0)</f>
        <v>ALFANI</v>
      </c>
      <c r="C269" s="272">
        <f>VLOOKUP(A269,'JUNE (물량흐름)'!$A$13:$C$502,3,0)</f>
        <v>100015153</v>
      </c>
      <c r="D269" s="6">
        <f>VLOOKUP(C269,'WIP(재공품)'!$B$12:$E$493,4,0)</f>
        <v>7936.2499999999991</v>
      </c>
      <c r="E269" s="6">
        <f>IFERROR(VLOOKUP(C269,O.B.JUNE!$AI$7:$AJ$448,2,0),0)</f>
        <v>0</v>
      </c>
      <c r="F269" s="6">
        <f>IFERROR(VLOOKUP(C269,O.B.JUNE!$AI$7:$AK$448,3,0),0)</f>
        <v>347</v>
      </c>
      <c r="G269" s="6">
        <f>IFERROR(VLOOKUP(C269,O.B.JUNE!$AI$7:$AL$448,4,0),0)</f>
        <v>36</v>
      </c>
      <c r="H269" s="6">
        <f t="shared" si="78"/>
        <v>383</v>
      </c>
      <c r="I269" s="6">
        <f>IFERROR(VLOOKUP(C269,O.B.JUNE!$AI$7:$AN$448,6,0),0)</f>
        <v>202</v>
      </c>
      <c r="J269" s="6"/>
      <c r="K269" s="6">
        <f>IFERROR(VLOOKUP(C269,O.B.JUNE!$AI$7:$AO$448,7,0),0)</f>
        <v>5133970</v>
      </c>
      <c r="L269" s="6">
        <f>SUMIF('JUNE (물량흐름)'!$C$13:$C$488,'Overhead exp(제조경비)'!C269,'JUNE (물량흐름)'!$H$13:$H$493)+SUMIF('JUNE (물량흐름)'!$C$13:$C$493,'Overhead exp(제조경비)'!C269,'JUNE (물량흐름)'!$V$13:$V$493)</f>
        <v>0</v>
      </c>
      <c r="M269" s="6">
        <f t="shared" si="79"/>
        <v>0</v>
      </c>
      <c r="N269" s="6">
        <f t="shared" si="80"/>
        <v>0</v>
      </c>
      <c r="O269" s="6">
        <f t="shared" si="67"/>
        <v>0</v>
      </c>
      <c r="P269" s="6">
        <f>SUMIF('JUNE (물량흐름)'!$C$13:$C$502,C269,'JUNE (물량흐름)'!$T$13:$T$502)+SUMIF('JUNE (물량흐름)'!$C$13:$C$502,C269,'JUNE (물량흐름)'!$V$13:$V$502)+SUMIF('JUNE (물량흐름)'!$C$13:$C$502,C269,'JUNE (물량흐름)'!$U$13:$U$502)-SUMIF('JUNE (물량흐름)'!$C$13:$C$502,C269,'JUNE (물량흐름)'!$Y$13:$Y$502)</f>
        <v>0</v>
      </c>
      <c r="Q269" s="6">
        <f t="shared" ref="Q269:Q332" si="86">IFERROR(ROUND(IF(OR(P269&lt;=0,($I269+$M269)=0),$P269*($K269+$O269)/($I269+$M269),$P269*($K269+$O269)/($H269+$L269)),0),0)</f>
        <v>0</v>
      </c>
      <c r="R269" s="6">
        <f>IF(ISERROR(VLOOKUP(#REF!,'WIP(재공품)'!$B$12:$AB$38,13,0)),0,VLOOKUP(#REF!,'WIP(재공품)'!$B$12:$AB$38,13,0))</f>
        <v>0</v>
      </c>
      <c r="S269" s="6">
        <f>IF(ISERROR(VLOOKUP(#REF!,'WIP(재공품)'!$B$12:$AB$38,10,0)),0,VLOOKUP(#REF!,'WIP(재공품)'!$B$12:$AB$38,10,0))</f>
        <v>0</v>
      </c>
      <c r="T269" s="6">
        <f>SUMIF('JUNE (물량흐름)'!$C$13:$C$502,'Overhead exp(제조경비)'!C269,'JUNE (물량흐름)'!$Y$13:$Y$502)</f>
        <v>0</v>
      </c>
      <c r="U269" s="6">
        <f t="shared" si="81"/>
        <v>0</v>
      </c>
      <c r="V269" s="6">
        <f>ROUND(SUMIF('JUNE (물량흐름)'!$C$13:$C$502,'Overhead exp(제조경비)'!C269,'JUNE (물량흐름)'!$N$13:$N$502),0)</f>
        <v>0</v>
      </c>
      <c r="W269" s="6">
        <f>ROUND(SUMIF('JUNE (물량흐름)'!$C$13:$C$502,'Overhead exp(제조경비)'!C269,'JUNE (물량흐름)'!$O$13:$O$502),0)</f>
        <v>347</v>
      </c>
      <c r="X269" s="6">
        <f>ROUND(SUMIF('JUNE (물량흐름)'!$C$13:$C$502,'Overhead exp(제조경비)'!C269,'JUNE (물량흐름)'!$P$13:$P$502),0)</f>
        <v>36</v>
      </c>
      <c r="Y269" s="6">
        <f t="shared" si="82"/>
        <v>383</v>
      </c>
      <c r="Z269" s="6">
        <f t="shared" si="83"/>
        <v>202</v>
      </c>
      <c r="AA269" s="6">
        <f t="shared" ref="AA269:AA332" si="87">IFERROR(ROUND(IF(OR(Z269&lt;=0,($I269+$M269)=0),$Z269*($K269+$O269)/($I269+$M269),$Y269*($K269+$O269)/($H269+$L269)),0),0)</f>
        <v>5133970</v>
      </c>
      <c r="AB269" s="391">
        <f t="shared" si="84"/>
        <v>0</v>
      </c>
      <c r="AC269" s="391">
        <f t="shared" si="85"/>
        <v>0</v>
      </c>
    </row>
    <row r="270" spans="1:29" s="390" customFormat="1" ht="24" customHeight="1">
      <c r="A270" s="167">
        <v>260</v>
      </c>
      <c r="B270" s="20" t="str">
        <f>IFERROR(VLOOKUP(A270,'JUNE (물량흐름)'!$A$13:$C$502,2,0),0)</f>
        <v>ALFANI</v>
      </c>
      <c r="C270" s="272">
        <f>VLOOKUP(A270,'JUNE (물량흐름)'!$A$13:$C$502,3,0)</f>
        <v>100015224</v>
      </c>
      <c r="D270" s="6">
        <f>VLOOKUP(C270,'WIP(재공품)'!$B$12:$E$493,4,0)</f>
        <v>8163</v>
      </c>
      <c r="E270" s="6">
        <f>IFERROR(VLOOKUP(C270,O.B.JUNE!$AI$7:$AJ$448,2,0),0)</f>
        <v>0</v>
      </c>
      <c r="F270" s="6">
        <f>IFERROR(VLOOKUP(C270,O.B.JUNE!$AI$7:$AK$448,3,0),0)</f>
        <v>0</v>
      </c>
      <c r="G270" s="6">
        <f>IFERROR(VLOOKUP(C270,O.B.JUNE!$AI$7:$AL$448,4,0),0)</f>
        <v>44</v>
      </c>
      <c r="H270" s="6">
        <f t="shared" si="78"/>
        <v>44</v>
      </c>
      <c r="I270" s="6">
        <f>IFERROR(VLOOKUP(C270,O.B.JUNE!$AI$7:$AN$448,6,0),0)</f>
        <v>35</v>
      </c>
      <c r="J270" s="6"/>
      <c r="K270" s="6">
        <f>IFERROR(VLOOKUP(C270,O.B.JUNE!$AI$7:$AO$448,7,0),0)</f>
        <v>915465</v>
      </c>
      <c r="L270" s="6">
        <f>SUMIF('JUNE (물량흐름)'!$C$13:$C$488,'Overhead exp(제조경비)'!C270,'JUNE (물량흐름)'!$H$13:$H$493)+SUMIF('JUNE (물량흐름)'!$C$13:$C$493,'Overhead exp(제조경비)'!C270,'JUNE (물량흐름)'!$V$13:$V$493)</f>
        <v>0</v>
      </c>
      <c r="M270" s="6">
        <f t="shared" si="79"/>
        <v>0</v>
      </c>
      <c r="N270" s="6">
        <f t="shared" si="80"/>
        <v>0</v>
      </c>
      <c r="O270" s="6">
        <f t="shared" si="67"/>
        <v>0</v>
      </c>
      <c r="P270" s="6">
        <f>SUMIF('JUNE (물량흐름)'!$C$13:$C$502,C270,'JUNE (물량흐름)'!$T$13:$T$502)+SUMIF('JUNE (물량흐름)'!$C$13:$C$502,C270,'JUNE (물량흐름)'!$V$13:$V$502)+SUMIF('JUNE (물량흐름)'!$C$13:$C$502,C270,'JUNE (물량흐름)'!$U$13:$U$502)-SUMIF('JUNE (물량흐름)'!$C$13:$C$502,C270,'JUNE (물량흐름)'!$Y$13:$Y$502)</f>
        <v>0</v>
      </c>
      <c r="Q270" s="6">
        <f t="shared" si="86"/>
        <v>0</v>
      </c>
      <c r="R270" s="6">
        <f>IF(ISERROR(VLOOKUP(#REF!,'WIP(재공품)'!$B$12:$AB$38,13,0)),0,VLOOKUP(#REF!,'WIP(재공품)'!$B$12:$AB$38,13,0))</f>
        <v>0</v>
      </c>
      <c r="S270" s="6">
        <f>IF(ISERROR(VLOOKUP(#REF!,'WIP(재공품)'!$B$12:$AB$38,10,0)),0,VLOOKUP(#REF!,'WIP(재공품)'!$B$12:$AB$38,10,0))</f>
        <v>0</v>
      </c>
      <c r="T270" s="6">
        <f>SUMIF('JUNE (물량흐름)'!$C$13:$C$502,'Overhead exp(제조경비)'!C270,'JUNE (물량흐름)'!$Y$13:$Y$502)</f>
        <v>0</v>
      </c>
      <c r="U270" s="6">
        <f t="shared" si="81"/>
        <v>0</v>
      </c>
      <c r="V270" s="6">
        <f>ROUND(SUMIF('JUNE (물량흐름)'!$C$13:$C$502,'Overhead exp(제조경비)'!C270,'JUNE (물량흐름)'!$N$13:$N$502),0)</f>
        <v>0</v>
      </c>
      <c r="W270" s="6">
        <f>ROUND(SUMIF('JUNE (물량흐름)'!$C$13:$C$502,'Overhead exp(제조경비)'!C270,'JUNE (물량흐름)'!$O$13:$O$502),0)</f>
        <v>0</v>
      </c>
      <c r="X270" s="6">
        <f>ROUND(SUMIF('JUNE (물량흐름)'!$C$13:$C$502,'Overhead exp(제조경비)'!C270,'JUNE (물량흐름)'!$P$13:$P$502),0)</f>
        <v>44</v>
      </c>
      <c r="Y270" s="167">
        <f t="shared" si="82"/>
        <v>44</v>
      </c>
      <c r="Z270" s="167">
        <f t="shared" si="83"/>
        <v>35</v>
      </c>
      <c r="AA270" s="6">
        <f t="shared" si="87"/>
        <v>915465</v>
      </c>
      <c r="AB270" s="391">
        <f t="shared" si="84"/>
        <v>0</v>
      </c>
      <c r="AC270" s="391">
        <f t="shared" si="85"/>
        <v>0</v>
      </c>
    </row>
    <row r="271" spans="1:29" s="390" customFormat="1" ht="24" customHeight="1">
      <c r="A271" s="167">
        <v>261</v>
      </c>
      <c r="B271" s="20" t="str">
        <f>IFERROR(VLOOKUP(A271,'JUNE (물량흐름)'!$A$13:$C$502,2,0),0)</f>
        <v>ALFANI</v>
      </c>
      <c r="C271" s="272">
        <f>VLOOKUP(A271,'JUNE (물량흐름)'!$A$13:$C$502,3,0)</f>
        <v>100015225</v>
      </c>
      <c r="D271" s="6">
        <f>VLOOKUP(C271,'WIP(재공품)'!$B$12:$E$493,4,0)</f>
        <v>7940.4686046511624</v>
      </c>
      <c r="E271" s="6">
        <f>IFERROR(VLOOKUP(C271,O.B.JUNE!$AI$7:$AJ$448,2,0),0)</f>
        <v>4</v>
      </c>
      <c r="F271" s="6">
        <f>IFERROR(VLOOKUP(C271,O.B.JUNE!$AI$7:$AK$448,3,0),0)</f>
        <v>34</v>
      </c>
      <c r="G271" s="6">
        <f>IFERROR(VLOOKUP(C271,O.B.JUNE!$AI$7:$AL$448,4,0),0)</f>
        <v>18</v>
      </c>
      <c r="H271" s="6">
        <f t="shared" si="78"/>
        <v>56</v>
      </c>
      <c r="I271" s="6">
        <f>IFERROR(VLOOKUP(C271,O.B.JUNE!$AI$7:$AN$448,6,0),0)</f>
        <v>32</v>
      </c>
      <c r="J271" s="6"/>
      <c r="K271" s="6">
        <f>IFERROR(VLOOKUP(C271,O.B.JUNE!$AI$7:$AO$448,7,0),0)</f>
        <v>1624972</v>
      </c>
      <c r="L271" s="6">
        <f>SUMIF('JUNE (물량흐름)'!$C$13:$C$488,'Overhead exp(제조경비)'!C271,'JUNE (물량흐름)'!$H$13:$H$493)+SUMIF('JUNE (물량흐름)'!$C$13:$C$493,'Overhead exp(제조경비)'!C271,'JUNE (물량흐름)'!$V$13:$V$493)</f>
        <v>0</v>
      </c>
      <c r="M271" s="6">
        <f t="shared" si="79"/>
        <v>0</v>
      </c>
      <c r="N271" s="6">
        <f t="shared" si="80"/>
        <v>0</v>
      </c>
      <c r="O271" s="6">
        <f t="shared" si="67"/>
        <v>0</v>
      </c>
      <c r="P271" s="6">
        <f>SUMIF('JUNE (물량흐름)'!$C$13:$C$502,C271,'JUNE (물량흐름)'!$T$13:$T$502)+SUMIF('JUNE (물량흐름)'!$C$13:$C$502,C271,'JUNE (물량흐름)'!$V$13:$V$502)+SUMIF('JUNE (물량흐름)'!$C$13:$C$502,C271,'JUNE (물량흐름)'!$U$13:$U$502)-SUMIF('JUNE (물량흐름)'!$C$13:$C$502,C271,'JUNE (물량흐름)'!$Y$13:$Y$502)</f>
        <v>0</v>
      </c>
      <c r="Q271" s="6">
        <f t="shared" si="86"/>
        <v>0</v>
      </c>
      <c r="R271" s="6">
        <f>IF(ISERROR(VLOOKUP(#REF!,'WIP(재공품)'!$B$12:$AB$38,13,0)),0,VLOOKUP(#REF!,'WIP(재공품)'!$B$12:$AB$38,13,0))</f>
        <v>0</v>
      </c>
      <c r="S271" s="6">
        <f>IF(ISERROR(VLOOKUP(#REF!,'WIP(재공품)'!$B$12:$AB$38,10,0)),0,VLOOKUP(#REF!,'WIP(재공품)'!$B$12:$AB$38,10,0))</f>
        <v>0</v>
      </c>
      <c r="T271" s="6">
        <f>SUMIF('JUNE (물량흐름)'!$C$13:$C$502,'Overhead exp(제조경비)'!C271,'JUNE (물량흐름)'!$Y$13:$Y$502)</f>
        <v>0</v>
      </c>
      <c r="U271" s="6">
        <f t="shared" si="81"/>
        <v>0</v>
      </c>
      <c r="V271" s="6">
        <f>ROUND(SUMIF('JUNE (물량흐름)'!$C$13:$C$502,'Overhead exp(제조경비)'!C271,'JUNE (물량흐름)'!$N$13:$N$502),0)</f>
        <v>4</v>
      </c>
      <c r="W271" s="6">
        <f>ROUND(SUMIF('JUNE (물량흐름)'!$C$13:$C$502,'Overhead exp(제조경비)'!C271,'JUNE (물량흐름)'!$O$13:$O$502),0)</f>
        <v>34</v>
      </c>
      <c r="X271" s="6">
        <f>ROUND(SUMIF('JUNE (물량흐름)'!$C$13:$C$502,'Overhead exp(제조경비)'!C271,'JUNE (물량흐름)'!$P$13:$P$502),0)</f>
        <v>18</v>
      </c>
      <c r="Y271" s="167">
        <f t="shared" si="82"/>
        <v>56</v>
      </c>
      <c r="Z271" s="167">
        <f t="shared" si="83"/>
        <v>32</v>
      </c>
      <c r="AA271" s="6">
        <f t="shared" si="87"/>
        <v>1624972</v>
      </c>
      <c r="AB271" s="391">
        <f t="shared" si="84"/>
        <v>0</v>
      </c>
      <c r="AC271" s="391">
        <f t="shared" si="85"/>
        <v>0</v>
      </c>
    </row>
    <row r="272" spans="1:29" s="390" customFormat="1" ht="24" customHeight="1">
      <c r="A272" s="167">
        <v>262</v>
      </c>
      <c r="B272" s="20" t="str">
        <f>IFERROR(VLOOKUP(A272,'JUNE (물량흐름)'!$A$13:$C$502,2,0),0)</f>
        <v>ALFANI</v>
      </c>
      <c r="C272" s="272">
        <f>VLOOKUP(A272,'JUNE (물량흐름)'!$A$13:$C$502,3,0)</f>
        <v>100015357</v>
      </c>
      <c r="D272" s="6">
        <f>VLOOKUP(C272,'WIP(재공품)'!$B$12:$E$493,4,0)</f>
        <v>55553.750000000007</v>
      </c>
      <c r="E272" s="6">
        <f>IFERROR(VLOOKUP(C272,O.B.JUNE!$AI$7:$AJ$448,2,0),0)</f>
        <v>0</v>
      </c>
      <c r="F272" s="6">
        <f>IFERROR(VLOOKUP(C272,O.B.JUNE!$AI$7:$AK$448,3,0),0)</f>
        <v>0</v>
      </c>
      <c r="G272" s="6">
        <f>IFERROR(VLOOKUP(C272,O.B.JUNE!$AI$7:$AL$448,4,0),0)</f>
        <v>44</v>
      </c>
      <c r="H272" s="6">
        <f t="shared" si="78"/>
        <v>44</v>
      </c>
      <c r="I272" s="6">
        <f>IFERROR(VLOOKUP(C272,O.B.JUNE!$AI$7:$AN$448,6,0),0)</f>
        <v>35</v>
      </c>
      <c r="J272" s="6"/>
      <c r="K272" s="6">
        <f>IFERROR(VLOOKUP(C272,O.B.JUNE!$AI$7:$AO$448,7,0),0)</f>
        <v>520572</v>
      </c>
      <c r="L272" s="6">
        <f>SUMIF('JUNE (물량흐름)'!$C$13:$C$488,'Overhead exp(제조경비)'!C272,'JUNE (물량흐름)'!$H$13:$H$493)+SUMIF('JUNE (물량흐름)'!$C$13:$C$493,'Overhead exp(제조경비)'!C272,'JUNE (물량흐름)'!$V$13:$V$493)</f>
        <v>0</v>
      </c>
      <c r="M272" s="6">
        <f t="shared" si="79"/>
        <v>0</v>
      </c>
      <c r="N272" s="6">
        <f t="shared" si="80"/>
        <v>0</v>
      </c>
      <c r="O272" s="6">
        <f t="shared" ref="O272:O335" si="88">ROUND(M272*D272*$O$493/$N$493,0)</f>
        <v>0</v>
      </c>
      <c r="P272" s="6">
        <f>SUMIF('JUNE (물량흐름)'!$C$13:$C$502,C272,'JUNE (물량흐름)'!$T$13:$T$502)+SUMIF('JUNE (물량흐름)'!$C$13:$C$502,C272,'JUNE (물량흐름)'!$V$13:$V$502)+SUMIF('JUNE (물량흐름)'!$C$13:$C$502,C272,'JUNE (물량흐름)'!$U$13:$U$502)-SUMIF('JUNE (물량흐름)'!$C$13:$C$502,C272,'JUNE (물량흐름)'!$Y$13:$Y$502)</f>
        <v>0</v>
      </c>
      <c r="Q272" s="6">
        <f t="shared" si="86"/>
        <v>0</v>
      </c>
      <c r="R272" s="6">
        <f>IF(ISERROR(VLOOKUP(#REF!,'WIP(재공품)'!$B$12:$AB$38,13,0)),0,VLOOKUP(#REF!,'WIP(재공품)'!$B$12:$AB$38,13,0))</f>
        <v>0</v>
      </c>
      <c r="S272" s="6">
        <f>IF(ISERROR(VLOOKUP(#REF!,'WIP(재공품)'!$B$12:$AB$38,10,0)),0,VLOOKUP(#REF!,'WIP(재공품)'!$B$12:$AB$38,10,0))</f>
        <v>0</v>
      </c>
      <c r="T272" s="6">
        <f>SUMIF('JUNE (물량흐름)'!$C$13:$C$502,'Overhead exp(제조경비)'!C272,'JUNE (물량흐름)'!$Y$13:$Y$502)</f>
        <v>0</v>
      </c>
      <c r="U272" s="6">
        <f t="shared" si="81"/>
        <v>0</v>
      </c>
      <c r="V272" s="6">
        <f>ROUND(SUMIF('JUNE (물량흐름)'!$C$13:$C$502,'Overhead exp(제조경비)'!C272,'JUNE (물량흐름)'!$N$13:$N$502),0)</f>
        <v>0</v>
      </c>
      <c r="W272" s="6">
        <f>ROUND(SUMIF('JUNE (물량흐름)'!$C$13:$C$502,'Overhead exp(제조경비)'!C272,'JUNE (물량흐름)'!$O$13:$O$502),0)</f>
        <v>0</v>
      </c>
      <c r="X272" s="6">
        <f>ROUND(SUMIF('JUNE (물량흐름)'!$C$13:$C$502,'Overhead exp(제조경비)'!C272,'JUNE (물량흐름)'!$P$13:$P$502),0)</f>
        <v>44</v>
      </c>
      <c r="Y272" s="6">
        <f t="shared" si="82"/>
        <v>44</v>
      </c>
      <c r="Z272" s="6">
        <f t="shared" si="83"/>
        <v>35</v>
      </c>
      <c r="AA272" s="6">
        <f t="shared" si="87"/>
        <v>520572</v>
      </c>
      <c r="AB272" s="391">
        <f t="shared" si="84"/>
        <v>0</v>
      </c>
      <c r="AC272" s="391">
        <f t="shared" si="85"/>
        <v>0</v>
      </c>
    </row>
    <row r="273" spans="1:29" s="390" customFormat="1" ht="24" customHeight="1">
      <c r="A273" s="167">
        <v>263</v>
      </c>
      <c r="B273" s="20" t="str">
        <f>IFERROR(VLOOKUP(A273,'JUNE (물량흐름)'!$A$13:$C$502,2,0),0)</f>
        <v>ALFANI</v>
      </c>
      <c r="C273" s="272">
        <f>VLOOKUP(A273,'JUNE (물량흐름)'!$A$13:$C$502,3,0)</f>
        <v>100022985</v>
      </c>
      <c r="D273" s="6">
        <f>VLOOKUP(C273,'WIP(재공품)'!$B$12:$E$493,4,0)</f>
        <v>8163</v>
      </c>
      <c r="E273" s="6">
        <f>IFERROR(VLOOKUP(C273,O.B.JUNE!$AI$7:$AJ$448,2,0),0)</f>
        <v>0</v>
      </c>
      <c r="F273" s="6">
        <f>IFERROR(VLOOKUP(C273,O.B.JUNE!$AI$7:$AK$448,3,0),0)</f>
        <v>0</v>
      </c>
      <c r="G273" s="6">
        <f>IFERROR(VLOOKUP(C273,O.B.JUNE!$AI$7:$AL$448,4,0),0)</f>
        <v>42</v>
      </c>
      <c r="H273" s="6">
        <f t="shared" si="78"/>
        <v>42</v>
      </c>
      <c r="I273" s="6">
        <f>IFERROR(VLOOKUP(C273,O.B.JUNE!$AI$7:$AN$448,6,0),0)</f>
        <v>34</v>
      </c>
      <c r="J273" s="6"/>
      <c r="K273" s="6">
        <f>IFERROR(VLOOKUP(C273,O.B.JUNE!$AI$7:$AO$448,7,0),0)</f>
        <v>1322686</v>
      </c>
      <c r="L273" s="6">
        <f>SUMIF('JUNE (물량흐름)'!$C$13:$C$488,'Overhead exp(제조경비)'!C273,'JUNE (물량흐름)'!$H$13:$H$493)+SUMIF('JUNE (물량흐름)'!$C$13:$C$493,'Overhead exp(제조경비)'!C273,'JUNE (물량흐름)'!$V$13:$V$493)</f>
        <v>0</v>
      </c>
      <c r="M273" s="6">
        <f t="shared" si="79"/>
        <v>0</v>
      </c>
      <c r="N273" s="6">
        <f t="shared" si="80"/>
        <v>0</v>
      </c>
      <c r="O273" s="6">
        <f t="shared" si="88"/>
        <v>0</v>
      </c>
      <c r="P273" s="6">
        <f>SUMIF('JUNE (물량흐름)'!$C$13:$C$502,C273,'JUNE (물량흐름)'!$T$13:$T$502)+SUMIF('JUNE (물량흐름)'!$C$13:$C$502,C273,'JUNE (물량흐름)'!$V$13:$V$502)+SUMIF('JUNE (물량흐름)'!$C$13:$C$502,C273,'JUNE (물량흐름)'!$U$13:$U$502)-SUMIF('JUNE (물량흐름)'!$C$13:$C$502,C273,'JUNE (물량흐름)'!$Y$13:$Y$502)</f>
        <v>0</v>
      </c>
      <c r="Q273" s="6">
        <f t="shared" si="86"/>
        <v>0</v>
      </c>
      <c r="R273" s="6">
        <f>IF(ISERROR(VLOOKUP(#REF!,'WIP(재공품)'!$B$12:$AB$38,13,0)),0,VLOOKUP(#REF!,'WIP(재공품)'!$B$12:$AB$38,13,0))</f>
        <v>0</v>
      </c>
      <c r="S273" s="6">
        <f>IF(ISERROR(VLOOKUP(#REF!,'WIP(재공품)'!$B$12:$AB$38,10,0)),0,VLOOKUP(#REF!,'WIP(재공품)'!$B$12:$AB$38,10,0))</f>
        <v>0</v>
      </c>
      <c r="T273" s="6">
        <f>SUMIF('JUNE (물량흐름)'!$C$13:$C$502,'Overhead exp(제조경비)'!C273,'JUNE (물량흐름)'!$Y$13:$Y$502)</f>
        <v>0</v>
      </c>
      <c r="U273" s="6">
        <f t="shared" si="81"/>
        <v>0</v>
      </c>
      <c r="V273" s="6">
        <f>ROUND(SUMIF('JUNE (물량흐름)'!$C$13:$C$502,'Overhead exp(제조경비)'!C273,'JUNE (물량흐름)'!$N$13:$N$502),0)</f>
        <v>0</v>
      </c>
      <c r="W273" s="6">
        <f>ROUND(SUMIF('JUNE (물량흐름)'!$C$13:$C$502,'Overhead exp(제조경비)'!C273,'JUNE (물량흐름)'!$O$13:$O$502),0)</f>
        <v>0</v>
      </c>
      <c r="X273" s="6">
        <f>ROUND(SUMIF('JUNE (물량흐름)'!$C$13:$C$502,'Overhead exp(제조경비)'!C273,'JUNE (물량흐름)'!$P$13:$P$502),0)</f>
        <v>42</v>
      </c>
      <c r="Y273" s="6">
        <f t="shared" si="82"/>
        <v>42</v>
      </c>
      <c r="Z273" s="6">
        <f t="shared" si="83"/>
        <v>34</v>
      </c>
      <c r="AA273" s="6">
        <f t="shared" si="87"/>
        <v>1322686</v>
      </c>
      <c r="AB273" s="391">
        <f t="shared" si="84"/>
        <v>0</v>
      </c>
      <c r="AC273" s="391">
        <f t="shared" si="85"/>
        <v>0</v>
      </c>
    </row>
    <row r="274" spans="1:29" s="390" customFormat="1" ht="24" customHeight="1">
      <c r="A274" s="167">
        <v>264</v>
      </c>
      <c r="B274" s="20" t="str">
        <f>IFERROR(VLOOKUP(A274,'JUNE (물량흐름)'!$A$13:$C$502,2,0),0)</f>
        <v>ALFANI</v>
      </c>
      <c r="C274" s="272">
        <f>VLOOKUP(A274,'JUNE (물량흐름)'!$A$13:$C$502,3,0)</f>
        <v>100024114</v>
      </c>
      <c r="D274" s="6">
        <f>VLOOKUP(C274,'WIP(재공품)'!$B$12:$E$493,4,0)</f>
        <v>8163</v>
      </c>
      <c r="E274" s="6">
        <f>IFERROR(VLOOKUP(C274,O.B.JUNE!$AI$7:$AJ$448,2,0),0)</f>
        <v>0</v>
      </c>
      <c r="F274" s="6">
        <f>IFERROR(VLOOKUP(C274,O.B.JUNE!$AI$7:$AK$448,3,0),0)</f>
        <v>0</v>
      </c>
      <c r="G274" s="6">
        <f>IFERROR(VLOOKUP(C274,O.B.JUNE!$AI$7:$AL$448,4,0),0)</f>
        <v>26</v>
      </c>
      <c r="H274" s="6">
        <f t="shared" si="78"/>
        <v>26</v>
      </c>
      <c r="I274" s="6">
        <f>IFERROR(VLOOKUP(C274,O.B.JUNE!$AI$7:$AN$448,6,0),0)</f>
        <v>21</v>
      </c>
      <c r="J274" s="6"/>
      <c r="K274" s="6">
        <f>IFERROR(VLOOKUP(C274,O.B.JUNE!$AI$7:$AO$448,7,0),0)</f>
        <v>642263</v>
      </c>
      <c r="L274" s="6">
        <f>SUMIF('JUNE (물량흐름)'!$C$13:$C$488,'Overhead exp(제조경비)'!C274,'JUNE (물량흐름)'!$H$13:$H$493)+SUMIF('JUNE (물량흐름)'!$C$13:$C$493,'Overhead exp(제조경비)'!C274,'JUNE (물량흐름)'!$V$13:$V$493)</f>
        <v>0</v>
      </c>
      <c r="M274" s="6">
        <f t="shared" si="79"/>
        <v>0</v>
      </c>
      <c r="N274" s="6">
        <f t="shared" si="80"/>
        <v>0</v>
      </c>
      <c r="O274" s="6">
        <f t="shared" si="88"/>
        <v>0</v>
      </c>
      <c r="P274" s="6">
        <f>SUMIF('JUNE (물량흐름)'!$C$13:$C$502,C274,'JUNE (물량흐름)'!$T$13:$T$502)+SUMIF('JUNE (물량흐름)'!$C$13:$C$502,C274,'JUNE (물량흐름)'!$V$13:$V$502)+SUMIF('JUNE (물량흐름)'!$C$13:$C$502,C274,'JUNE (물량흐름)'!$U$13:$U$502)-SUMIF('JUNE (물량흐름)'!$C$13:$C$502,C274,'JUNE (물량흐름)'!$Y$13:$Y$502)</f>
        <v>0</v>
      </c>
      <c r="Q274" s="6">
        <f t="shared" si="86"/>
        <v>0</v>
      </c>
      <c r="R274" s="6">
        <f>IF(ISERROR(VLOOKUP(#REF!,'WIP(재공품)'!$B$12:$AB$38,13,0)),0,VLOOKUP(#REF!,'WIP(재공품)'!$B$12:$AB$38,13,0))</f>
        <v>0</v>
      </c>
      <c r="S274" s="6">
        <f>IF(ISERROR(VLOOKUP(#REF!,'WIP(재공품)'!$B$12:$AB$38,10,0)),0,VLOOKUP(#REF!,'WIP(재공품)'!$B$12:$AB$38,10,0))</f>
        <v>0</v>
      </c>
      <c r="T274" s="6">
        <f>SUMIF('JUNE (물량흐름)'!$C$13:$C$502,'Overhead exp(제조경비)'!C274,'JUNE (물량흐름)'!$Y$13:$Y$502)</f>
        <v>0</v>
      </c>
      <c r="U274" s="6">
        <f t="shared" si="81"/>
        <v>0</v>
      </c>
      <c r="V274" s="6">
        <f>ROUND(SUMIF('JUNE (물량흐름)'!$C$13:$C$502,'Overhead exp(제조경비)'!C274,'JUNE (물량흐름)'!$N$13:$N$502),0)</f>
        <v>0</v>
      </c>
      <c r="W274" s="6">
        <f>ROUND(SUMIF('JUNE (물량흐름)'!$C$13:$C$502,'Overhead exp(제조경비)'!C274,'JUNE (물량흐름)'!$O$13:$O$502),0)</f>
        <v>0</v>
      </c>
      <c r="X274" s="6">
        <f>ROUND(SUMIF('JUNE (물량흐름)'!$C$13:$C$502,'Overhead exp(제조경비)'!C274,'JUNE (물량흐름)'!$P$13:$P$502),0)</f>
        <v>26</v>
      </c>
      <c r="Y274" s="6">
        <f t="shared" si="82"/>
        <v>26</v>
      </c>
      <c r="Z274" s="6">
        <f t="shared" si="83"/>
        <v>21</v>
      </c>
      <c r="AA274" s="6">
        <f t="shared" si="87"/>
        <v>642263</v>
      </c>
      <c r="AB274" s="391">
        <f t="shared" si="84"/>
        <v>0</v>
      </c>
      <c r="AC274" s="391">
        <f t="shared" si="85"/>
        <v>0</v>
      </c>
    </row>
    <row r="275" spans="1:29" s="390" customFormat="1" ht="24" customHeight="1">
      <c r="A275" s="167">
        <v>266</v>
      </c>
      <c r="B275" s="20" t="str">
        <f>IFERROR(VLOOKUP(A275,'JUNE (물량흐름)'!$A$13:$C$502,2,0),0)</f>
        <v>ALFANI</v>
      </c>
      <c r="C275" s="272">
        <f>VLOOKUP(A275,'JUNE (물량흐름)'!$A$13:$C$502,3,0)</f>
        <v>100021859</v>
      </c>
      <c r="D275" s="6">
        <f>VLOOKUP(C275,'WIP(재공품)'!$B$12:$E$493,4,0)</f>
        <v>7936.2499999999991</v>
      </c>
      <c r="E275" s="6">
        <f>IFERROR(VLOOKUP(C275,O.B.JUNE!$AI$7:$AJ$448,2,0),0)</f>
        <v>0</v>
      </c>
      <c r="F275" s="6">
        <f>IFERROR(VLOOKUP(C275,O.B.JUNE!$AI$7:$AK$448,3,0),0)</f>
        <v>0</v>
      </c>
      <c r="G275" s="6">
        <f>IFERROR(VLOOKUP(C275,O.B.JUNE!$AI$7:$AL$448,4,0),0)</f>
        <v>174</v>
      </c>
      <c r="H275" s="6">
        <f t="shared" si="78"/>
        <v>174</v>
      </c>
      <c r="I275" s="6">
        <f>IFERROR(VLOOKUP(C275,O.B.JUNE!$AI$7:$AN$448,6,0),0)</f>
        <v>139</v>
      </c>
      <c r="J275" s="6"/>
      <c r="K275" s="6">
        <f>IFERROR(VLOOKUP(C275,O.B.JUNE!$AI$7:$AO$448,7,0),0)</f>
        <v>6180472</v>
      </c>
      <c r="L275" s="6">
        <f>SUMIF('JUNE (물량흐름)'!$C$13:$C$488,'Overhead exp(제조경비)'!C275,'JUNE (물량흐름)'!$H$13:$H$493)+SUMIF('JUNE (물량흐름)'!$C$13:$C$493,'Overhead exp(제조경비)'!C275,'JUNE (물량흐름)'!$V$13:$V$493)</f>
        <v>0</v>
      </c>
      <c r="M275" s="6">
        <f t="shared" si="79"/>
        <v>0</v>
      </c>
      <c r="N275" s="6">
        <f t="shared" si="80"/>
        <v>0</v>
      </c>
      <c r="O275" s="6">
        <f t="shared" si="88"/>
        <v>0</v>
      </c>
      <c r="P275" s="6">
        <f>SUMIF('JUNE (물량흐름)'!$C$13:$C$502,C275,'JUNE (물량흐름)'!$T$13:$T$502)+SUMIF('JUNE (물량흐름)'!$C$13:$C$502,C275,'JUNE (물량흐름)'!$V$13:$V$502)+SUMIF('JUNE (물량흐름)'!$C$13:$C$502,C275,'JUNE (물량흐름)'!$U$13:$U$502)-SUMIF('JUNE (물량흐름)'!$C$13:$C$502,C275,'JUNE (물량흐름)'!$Y$13:$Y$502)</f>
        <v>0</v>
      </c>
      <c r="Q275" s="6">
        <f t="shared" si="86"/>
        <v>0</v>
      </c>
      <c r="R275" s="6">
        <f>IF(ISERROR(VLOOKUP(#REF!,'WIP(재공품)'!$B$12:$AB$38,13,0)),0,VLOOKUP(#REF!,'WIP(재공품)'!$B$12:$AB$38,13,0))</f>
        <v>0</v>
      </c>
      <c r="S275" s="6">
        <f>IF(ISERROR(VLOOKUP(#REF!,'WIP(재공품)'!$B$12:$AB$38,10,0)),0,VLOOKUP(#REF!,'WIP(재공품)'!$B$12:$AB$38,10,0))</f>
        <v>0</v>
      </c>
      <c r="T275" s="6">
        <f>SUMIF('JUNE (물량흐름)'!$C$13:$C$502,'Overhead exp(제조경비)'!C275,'JUNE (물량흐름)'!$Y$13:$Y$502)</f>
        <v>0</v>
      </c>
      <c r="U275" s="6">
        <f t="shared" si="81"/>
        <v>0</v>
      </c>
      <c r="V275" s="6">
        <f>ROUND(SUMIF('JUNE (물량흐름)'!$C$13:$C$502,'Overhead exp(제조경비)'!C275,'JUNE (물량흐름)'!$N$13:$N$502),0)</f>
        <v>0</v>
      </c>
      <c r="W275" s="6">
        <f>ROUND(SUMIF('JUNE (물량흐름)'!$C$13:$C$502,'Overhead exp(제조경비)'!C275,'JUNE (물량흐름)'!$O$13:$O$502),0)</f>
        <v>0</v>
      </c>
      <c r="X275" s="6">
        <f>ROUND(SUMIF('JUNE (물량흐름)'!$C$13:$C$502,'Overhead exp(제조경비)'!C275,'JUNE (물량흐름)'!$P$13:$P$502),0)</f>
        <v>174</v>
      </c>
      <c r="Y275" s="167">
        <f t="shared" si="82"/>
        <v>174</v>
      </c>
      <c r="Z275" s="167">
        <f t="shared" si="83"/>
        <v>139</v>
      </c>
      <c r="AA275" s="6">
        <f t="shared" si="87"/>
        <v>6180472</v>
      </c>
      <c r="AB275" s="391">
        <f t="shared" si="84"/>
        <v>0</v>
      </c>
      <c r="AC275" s="391">
        <f t="shared" si="85"/>
        <v>0</v>
      </c>
    </row>
    <row r="276" spans="1:29" s="390" customFormat="1" ht="24" customHeight="1">
      <c r="A276" s="167">
        <v>268</v>
      </c>
      <c r="B276" s="20" t="str">
        <f>IFERROR(VLOOKUP(A276,'JUNE (물량흐름)'!$A$13:$C$502,2,0),0)</f>
        <v>TALBOTS</v>
      </c>
      <c r="C276" s="272">
        <f>VLOOKUP(A276,'JUNE (물량흐름)'!$A$13:$C$502,3,0)</f>
        <v>182034355</v>
      </c>
      <c r="D276" s="6">
        <f>VLOOKUP(C276,'WIP(재공품)'!$B$12:$E$493,4,0)</f>
        <v>8163</v>
      </c>
      <c r="E276" s="6">
        <f>IFERROR(VLOOKUP(C276,O.B.JUNE!$AI$7:$AJ$448,2,0),0)</f>
        <v>0</v>
      </c>
      <c r="F276" s="6">
        <f>IFERROR(VLOOKUP(C276,O.B.JUNE!$AI$7:$AK$448,3,0),0)</f>
        <v>11</v>
      </c>
      <c r="G276" s="6">
        <f>IFERROR(VLOOKUP(C276,O.B.JUNE!$AI$7:$AL$448,4,0),0)</f>
        <v>72</v>
      </c>
      <c r="H276" s="6">
        <f t="shared" si="78"/>
        <v>83</v>
      </c>
      <c r="I276" s="6">
        <f>IFERROR(VLOOKUP(C276,O.B.JUNE!$AI$7:$AN$448,6,0),0)</f>
        <v>63</v>
      </c>
      <c r="J276" s="6"/>
      <c r="K276" s="6">
        <f>IFERROR(VLOOKUP(C276,O.B.JUNE!$AI$7:$AO$448,7,0),0)</f>
        <v>1945250</v>
      </c>
      <c r="L276" s="6">
        <f>SUMIF('JUNE (물량흐름)'!$C$13:$C$488,'Overhead exp(제조경비)'!C276,'JUNE (물량흐름)'!$H$13:$H$493)+SUMIF('JUNE (물량흐름)'!$C$13:$C$493,'Overhead exp(제조경비)'!C276,'JUNE (물량흐름)'!$V$13:$V$493)</f>
        <v>0</v>
      </c>
      <c r="M276" s="6">
        <f t="shared" si="79"/>
        <v>0</v>
      </c>
      <c r="N276" s="6">
        <f t="shared" si="80"/>
        <v>0</v>
      </c>
      <c r="O276" s="6">
        <f t="shared" si="88"/>
        <v>0</v>
      </c>
      <c r="P276" s="6">
        <f>SUMIF('JUNE (물량흐름)'!$C$13:$C$502,C276,'JUNE (물량흐름)'!$T$13:$T$502)+SUMIF('JUNE (물량흐름)'!$C$13:$C$502,C276,'JUNE (물량흐름)'!$V$13:$V$502)+SUMIF('JUNE (물량흐름)'!$C$13:$C$502,C276,'JUNE (물량흐름)'!$U$13:$U$502)-SUMIF('JUNE (물량흐름)'!$C$13:$C$502,C276,'JUNE (물량흐름)'!$Y$13:$Y$502)</f>
        <v>0</v>
      </c>
      <c r="Q276" s="6">
        <f t="shared" si="86"/>
        <v>0</v>
      </c>
      <c r="R276" s="6">
        <f>IF(ISERROR(VLOOKUP(#REF!,'WIP(재공품)'!$B$12:$AB$38,13,0)),0,VLOOKUP(#REF!,'WIP(재공품)'!$B$12:$AB$38,13,0))</f>
        <v>0</v>
      </c>
      <c r="S276" s="6">
        <f>IF(ISERROR(VLOOKUP(#REF!,'WIP(재공품)'!$B$12:$AB$38,10,0)),0,VLOOKUP(#REF!,'WIP(재공품)'!$B$12:$AB$38,10,0))</f>
        <v>0</v>
      </c>
      <c r="T276" s="6">
        <f>SUMIF('JUNE (물량흐름)'!$C$13:$C$502,'Overhead exp(제조경비)'!C276,'JUNE (물량흐름)'!$Y$13:$Y$502)</f>
        <v>0</v>
      </c>
      <c r="U276" s="6">
        <f t="shared" si="81"/>
        <v>0</v>
      </c>
      <c r="V276" s="6">
        <f>ROUND(SUMIF('JUNE (물량흐름)'!$C$13:$C$502,'Overhead exp(제조경비)'!C276,'JUNE (물량흐름)'!$N$13:$N$502),0)</f>
        <v>0</v>
      </c>
      <c r="W276" s="6">
        <f>ROUND(SUMIF('JUNE (물량흐름)'!$C$13:$C$502,'Overhead exp(제조경비)'!C276,'JUNE (물량흐름)'!$O$13:$O$502),0)</f>
        <v>56</v>
      </c>
      <c r="X276" s="6">
        <f>ROUND(SUMIF('JUNE (물량흐름)'!$C$13:$C$502,'Overhead exp(제조경비)'!C276,'JUNE (물량흐름)'!$P$13:$P$502),0)</f>
        <v>27</v>
      </c>
      <c r="Y276" s="6">
        <f t="shared" si="82"/>
        <v>83</v>
      </c>
      <c r="Z276" s="6">
        <f t="shared" si="83"/>
        <v>50</v>
      </c>
      <c r="AA276" s="6">
        <f t="shared" si="87"/>
        <v>1945250</v>
      </c>
      <c r="AB276" s="391">
        <f t="shared" si="84"/>
        <v>0</v>
      </c>
      <c r="AC276" s="391">
        <f t="shared" si="85"/>
        <v>0</v>
      </c>
    </row>
    <row r="277" spans="1:29" s="390" customFormat="1" ht="24" customHeight="1">
      <c r="A277" s="167">
        <v>269</v>
      </c>
      <c r="B277" s="20" t="str">
        <f>IFERROR(VLOOKUP(A277,'JUNE (물량흐름)'!$A$13:$C$502,2,0),0)</f>
        <v>TALBOTS</v>
      </c>
      <c r="C277" s="272">
        <f>VLOOKUP(A277,'JUNE (물량흐름)'!$A$13:$C$502,3,0)</f>
        <v>182034365</v>
      </c>
      <c r="D277" s="6">
        <f>VLOOKUP(C277,'WIP(재공품)'!$B$12:$E$493,4,0)</f>
        <v>8163</v>
      </c>
      <c r="E277" s="6">
        <f>IFERROR(VLOOKUP(C277,O.B.JUNE!$AI$7:$AJ$448,2,0),0)</f>
        <v>9</v>
      </c>
      <c r="F277" s="6">
        <f>IFERROR(VLOOKUP(C277,O.B.JUNE!$AI$7:$AK$448,3,0),0)</f>
        <v>194</v>
      </c>
      <c r="G277" s="6">
        <f>IFERROR(VLOOKUP(C277,O.B.JUNE!$AI$7:$AL$448,4,0),0)</f>
        <v>472</v>
      </c>
      <c r="H277" s="6">
        <f t="shared" si="78"/>
        <v>675</v>
      </c>
      <c r="I277" s="6">
        <f>IFERROR(VLOOKUP(C277,O.B.JUNE!$AI$7:$AN$448,6,0),0)</f>
        <v>476</v>
      </c>
      <c r="J277" s="6"/>
      <c r="K277" s="6">
        <f>IFERROR(VLOOKUP(C277,O.B.JUNE!$AI$7:$AO$448,7,0),0)</f>
        <v>21546490</v>
      </c>
      <c r="L277" s="6">
        <f>SUMIF('JUNE (물량흐름)'!$C$13:$C$488,'Overhead exp(제조경비)'!C277,'JUNE (물량흐름)'!$H$13:$H$493)+SUMIF('JUNE (물량흐름)'!$C$13:$C$493,'Overhead exp(제조경비)'!C277,'JUNE (물량흐름)'!$V$13:$V$493)</f>
        <v>0</v>
      </c>
      <c r="M277" s="6">
        <f t="shared" si="79"/>
        <v>0</v>
      </c>
      <c r="N277" s="6">
        <f t="shared" si="80"/>
        <v>0</v>
      </c>
      <c r="O277" s="6">
        <f t="shared" si="88"/>
        <v>0</v>
      </c>
      <c r="P277" s="6">
        <f>SUMIF('JUNE (물량흐름)'!$C$13:$C$502,C277,'JUNE (물량흐름)'!$T$13:$T$502)+SUMIF('JUNE (물량흐름)'!$C$13:$C$502,C277,'JUNE (물량흐름)'!$V$13:$V$502)+SUMIF('JUNE (물량흐름)'!$C$13:$C$502,C277,'JUNE (물량흐름)'!$U$13:$U$502)-SUMIF('JUNE (물량흐름)'!$C$13:$C$502,C277,'JUNE (물량흐름)'!$Y$13:$Y$502)</f>
        <v>0</v>
      </c>
      <c r="Q277" s="6">
        <f t="shared" si="86"/>
        <v>0</v>
      </c>
      <c r="R277" s="6">
        <f>IF(ISERROR(VLOOKUP(#REF!,'WIP(재공품)'!$B$12:$AB$38,13,0)),0,VLOOKUP(#REF!,'WIP(재공품)'!$B$12:$AB$38,13,0))</f>
        <v>0</v>
      </c>
      <c r="S277" s="6">
        <f>IF(ISERROR(VLOOKUP(#REF!,'WIP(재공품)'!$B$12:$AB$38,10,0)),0,VLOOKUP(#REF!,'WIP(재공품)'!$B$12:$AB$38,10,0))</f>
        <v>0</v>
      </c>
      <c r="T277" s="6">
        <f>SUMIF('JUNE (물량흐름)'!$C$13:$C$502,'Overhead exp(제조경비)'!C277,'JUNE (물량흐름)'!$Y$13:$Y$502)</f>
        <v>0</v>
      </c>
      <c r="U277" s="6">
        <f t="shared" si="81"/>
        <v>0</v>
      </c>
      <c r="V277" s="6">
        <f>ROUND(SUMIF('JUNE (물량흐름)'!$C$13:$C$502,'Overhead exp(제조경비)'!C277,'JUNE (물량흐름)'!$N$13:$N$502),0)</f>
        <v>6</v>
      </c>
      <c r="W277" s="6">
        <f>ROUND(SUMIF('JUNE (물량흐름)'!$C$13:$C$502,'Overhead exp(제조경비)'!C277,'JUNE (물량흐름)'!$O$13:$O$502),0)</f>
        <v>195</v>
      </c>
      <c r="X277" s="6">
        <f>ROUND(SUMIF('JUNE (물량흐름)'!$C$13:$C$502,'Overhead exp(제조경비)'!C277,'JUNE (물량흐름)'!$P$13:$P$502),0)</f>
        <v>474</v>
      </c>
      <c r="Y277" s="6">
        <f t="shared" si="82"/>
        <v>675</v>
      </c>
      <c r="Z277" s="6">
        <f t="shared" si="83"/>
        <v>478</v>
      </c>
      <c r="AA277" s="6">
        <f t="shared" si="87"/>
        <v>21546490</v>
      </c>
      <c r="AB277" s="391">
        <f t="shared" si="84"/>
        <v>0</v>
      </c>
      <c r="AC277" s="391">
        <f t="shared" si="85"/>
        <v>0</v>
      </c>
    </row>
    <row r="278" spans="1:29" s="390" customFormat="1" ht="24" customHeight="1">
      <c r="A278" s="167">
        <v>270</v>
      </c>
      <c r="B278" s="20" t="str">
        <f>IFERROR(VLOOKUP(A278,'JUNE (물량흐름)'!$A$13:$C$502,2,0),0)</f>
        <v>ANN TAYLOR</v>
      </c>
      <c r="C278" s="272">
        <f>VLOOKUP(A278,'JUNE (물량흐름)'!$A$13:$C$502,3,0)</f>
        <v>463036</v>
      </c>
      <c r="D278" s="6">
        <f>VLOOKUP(C278,'WIP(재공품)'!$B$12:$E$493,4,0)</f>
        <v>7936.2499999999991</v>
      </c>
      <c r="E278" s="6">
        <f>IFERROR(VLOOKUP(C278,O.B.JUNE!$AI$7:$AJ$448,2,0),0)</f>
        <v>31</v>
      </c>
      <c r="F278" s="6">
        <f>IFERROR(VLOOKUP(C278,O.B.JUNE!$AI$7:$AK$448,3,0),0)</f>
        <v>172</v>
      </c>
      <c r="G278" s="6">
        <f>IFERROR(VLOOKUP(C278,O.B.JUNE!$AI$7:$AL$448,4,0),0)</f>
        <v>227</v>
      </c>
      <c r="H278" s="6">
        <f t="shared" si="78"/>
        <v>430</v>
      </c>
      <c r="I278" s="6">
        <f>IFERROR(VLOOKUP(C278,O.B.JUNE!$AI$7:$AN$448,6,0),0)</f>
        <v>274</v>
      </c>
      <c r="J278" s="6"/>
      <c r="K278" s="6">
        <f>IFERROR(VLOOKUP(C278,O.B.JUNE!$AI$7:$AO$448,7,0),0)</f>
        <v>6585035</v>
      </c>
      <c r="L278" s="6">
        <f>SUMIF('JUNE (물량흐름)'!$C$13:$C$488,'Overhead exp(제조경비)'!C278,'JUNE (물량흐름)'!$H$13:$H$493)+SUMIF('JUNE (물량흐름)'!$C$13:$C$493,'Overhead exp(제조경비)'!C278,'JUNE (물량흐름)'!$V$13:$V$493)</f>
        <v>0</v>
      </c>
      <c r="M278" s="6">
        <f t="shared" si="79"/>
        <v>0</v>
      </c>
      <c r="N278" s="6">
        <f t="shared" si="80"/>
        <v>0</v>
      </c>
      <c r="O278" s="6">
        <f t="shared" si="88"/>
        <v>0</v>
      </c>
      <c r="P278" s="6">
        <f>SUMIF('JUNE (물량흐름)'!$C$13:$C$502,C278,'JUNE (물량흐름)'!$T$13:$T$502)+SUMIF('JUNE (물량흐름)'!$C$13:$C$502,C278,'JUNE (물량흐름)'!$V$13:$V$502)+SUMIF('JUNE (물량흐름)'!$C$13:$C$502,C278,'JUNE (물량흐름)'!$U$13:$U$502)-SUMIF('JUNE (물량흐름)'!$C$13:$C$502,C278,'JUNE (물량흐름)'!$Y$13:$Y$502)</f>
        <v>0</v>
      </c>
      <c r="Q278" s="6">
        <f t="shared" si="86"/>
        <v>0</v>
      </c>
      <c r="R278" s="6">
        <f>IF(ISERROR(VLOOKUP(#REF!,'WIP(재공품)'!$B$12:$AB$38,13,0)),0,VLOOKUP(#REF!,'WIP(재공품)'!$B$12:$AB$38,13,0))</f>
        <v>0</v>
      </c>
      <c r="S278" s="6">
        <f>IF(ISERROR(VLOOKUP(#REF!,'WIP(재공품)'!$B$12:$AB$38,10,0)),0,VLOOKUP(#REF!,'WIP(재공품)'!$B$12:$AB$38,10,0))</f>
        <v>0</v>
      </c>
      <c r="T278" s="6">
        <f>SUMIF('JUNE (물량흐름)'!$C$13:$C$502,'Overhead exp(제조경비)'!C278,'JUNE (물량흐름)'!$Y$13:$Y$502)</f>
        <v>0</v>
      </c>
      <c r="U278" s="6">
        <f t="shared" si="81"/>
        <v>0</v>
      </c>
      <c r="V278" s="6">
        <f>ROUND(SUMIF('JUNE (물량흐름)'!$C$13:$C$502,'Overhead exp(제조경비)'!C278,'JUNE (물량흐름)'!$N$13:$N$502),0)</f>
        <v>31</v>
      </c>
      <c r="W278" s="6">
        <f>ROUND(SUMIF('JUNE (물량흐름)'!$C$13:$C$502,'Overhead exp(제조경비)'!C278,'JUNE (물량흐름)'!$O$13:$O$502),0)</f>
        <v>172</v>
      </c>
      <c r="X278" s="6">
        <f>ROUND(SUMIF('JUNE (물량흐름)'!$C$13:$C$502,'Overhead exp(제조경비)'!C278,'JUNE (물량흐름)'!$P$13:$P$502),0)</f>
        <v>227</v>
      </c>
      <c r="Y278" s="6">
        <f t="shared" si="82"/>
        <v>430</v>
      </c>
      <c r="Z278" s="6">
        <f t="shared" si="83"/>
        <v>274</v>
      </c>
      <c r="AA278" s="6">
        <f t="shared" si="87"/>
        <v>6585035</v>
      </c>
      <c r="AB278" s="391">
        <f t="shared" si="84"/>
        <v>0</v>
      </c>
      <c r="AC278" s="391">
        <f t="shared" si="85"/>
        <v>0</v>
      </c>
    </row>
    <row r="279" spans="1:29" s="390" customFormat="1" ht="24" customHeight="1">
      <c r="A279" s="167">
        <v>271</v>
      </c>
      <c r="B279" s="20" t="str">
        <f>IFERROR(VLOOKUP(A279,'JUNE (물량흐름)'!$A$13:$C$502,2,0),0)</f>
        <v>ANN TAYLOR</v>
      </c>
      <c r="C279" s="272">
        <f>VLOOKUP(A279,'JUNE (물량흐름)'!$A$13:$C$502,3,0)</f>
        <v>468543</v>
      </c>
      <c r="D279" s="6">
        <f>VLOOKUP(C279,'WIP(재공품)'!$B$12:$E$493,4,0)</f>
        <v>37413.75</v>
      </c>
      <c r="E279" s="6">
        <f>IFERROR(VLOOKUP(C279,O.B.JUNE!$AI$7:$AJ$448,2,0),0)</f>
        <v>120</v>
      </c>
      <c r="F279" s="6">
        <f>IFERROR(VLOOKUP(C279,O.B.JUNE!$AI$7:$AK$448,3,0),0)</f>
        <v>503</v>
      </c>
      <c r="G279" s="6">
        <f>IFERROR(VLOOKUP(C279,O.B.JUNE!$AI$7:$AL$448,4,0),0)</f>
        <v>216</v>
      </c>
      <c r="H279" s="6">
        <f t="shared" si="78"/>
        <v>839</v>
      </c>
      <c r="I279" s="6">
        <f>IFERROR(VLOOKUP(C279,O.B.JUNE!$AI$7:$AN$448,6,0),0)</f>
        <v>448</v>
      </c>
      <c r="J279" s="6"/>
      <c r="K279" s="6">
        <f>IFERROR(VLOOKUP(C279,O.B.JUNE!$AI$7:$AO$448,7,0),0)</f>
        <v>8265966</v>
      </c>
      <c r="L279" s="6">
        <f>SUMIF('JUNE (물량흐름)'!$C$13:$C$488,'Overhead exp(제조경비)'!C279,'JUNE (물량흐름)'!$H$13:$H$493)+SUMIF('JUNE (물량흐름)'!$C$13:$C$493,'Overhead exp(제조경비)'!C279,'JUNE (물량흐름)'!$V$13:$V$493)</f>
        <v>0</v>
      </c>
      <c r="M279" s="6">
        <f t="shared" si="79"/>
        <v>0</v>
      </c>
      <c r="N279" s="6">
        <f t="shared" si="80"/>
        <v>0</v>
      </c>
      <c r="O279" s="6">
        <f t="shared" si="88"/>
        <v>0</v>
      </c>
      <c r="P279" s="6">
        <f>SUMIF('JUNE (물량흐름)'!$C$13:$C$502,C279,'JUNE (물량흐름)'!$T$13:$T$502)+SUMIF('JUNE (물량흐름)'!$C$13:$C$502,C279,'JUNE (물량흐름)'!$V$13:$V$502)+SUMIF('JUNE (물량흐름)'!$C$13:$C$502,C279,'JUNE (물량흐름)'!$U$13:$U$502)-SUMIF('JUNE (물량흐름)'!$C$13:$C$502,C279,'JUNE (물량흐름)'!$Y$13:$Y$502)</f>
        <v>0</v>
      </c>
      <c r="Q279" s="6">
        <f t="shared" si="86"/>
        <v>0</v>
      </c>
      <c r="R279" s="6">
        <f>IF(ISERROR(VLOOKUP(#REF!,'WIP(재공품)'!$B$12:$AB$38,13,0)),0,VLOOKUP(#REF!,'WIP(재공품)'!$B$12:$AB$38,13,0))</f>
        <v>0</v>
      </c>
      <c r="S279" s="6">
        <f>IF(ISERROR(VLOOKUP(#REF!,'WIP(재공품)'!$B$12:$AB$38,10,0)),0,VLOOKUP(#REF!,'WIP(재공품)'!$B$12:$AB$38,10,0))</f>
        <v>0</v>
      </c>
      <c r="T279" s="6">
        <f>SUMIF('JUNE (물량흐름)'!$C$13:$C$502,'Overhead exp(제조경비)'!C279,'JUNE (물량흐름)'!$Y$13:$Y$502)</f>
        <v>0</v>
      </c>
      <c r="U279" s="6">
        <f t="shared" si="81"/>
        <v>0</v>
      </c>
      <c r="V279" s="6">
        <f>ROUND(SUMIF('JUNE (물량흐름)'!$C$13:$C$502,'Overhead exp(제조경비)'!C279,'JUNE (물량흐름)'!$N$13:$N$502),0)</f>
        <v>120</v>
      </c>
      <c r="W279" s="6">
        <f>ROUND(SUMIF('JUNE (물량흐름)'!$C$13:$C$502,'Overhead exp(제조경비)'!C279,'JUNE (물량흐름)'!$O$13:$O$502),0)</f>
        <v>503</v>
      </c>
      <c r="X279" s="6">
        <f>ROUND(SUMIF('JUNE (물량흐름)'!$C$13:$C$502,'Overhead exp(제조경비)'!C279,'JUNE (물량흐름)'!$P$13:$P$502),0)</f>
        <v>216</v>
      </c>
      <c r="Y279" s="6">
        <f t="shared" si="82"/>
        <v>839</v>
      </c>
      <c r="Z279" s="6">
        <f t="shared" si="83"/>
        <v>448</v>
      </c>
      <c r="AA279" s="6">
        <f t="shared" si="87"/>
        <v>8265966</v>
      </c>
      <c r="AB279" s="391">
        <f t="shared" si="84"/>
        <v>0</v>
      </c>
      <c r="AC279" s="391">
        <f t="shared" si="85"/>
        <v>0</v>
      </c>
    </row>
    <row r="280" spans="1:29" s="390" customFormat="1" ht="24" customHeight="1">
      <c r="A280" s="167">
        <v>272</v>
      </c>
      <c r="B280" s="20" t="str">
        <f>IFERROR(VLOOKUP(A280,'JUNE (물량흐름)'!$A$13:$C$502,2,0),0)</f>
        <v>ALFANI</v>
      </c>
      <c r="C280" s="272">
        <f>VLOOKUP(A280,'JUNE (물량흐름)'!$A$13:$C$502,3,0)</f>
        <v>73206</v>
      </c>
      <c r="D280" s="6">
        <f>VLOOKUP(C280,'WIP(재공품)'!$B$12:$E$493,4,0)</f>
        <v>7936.2499999999991</v>
      </c>
      <c r="E280" s="6">
        <f>IFERROR(VLOOKUP(C280,O.B.JUNE!$AI$7:$AJ$448,2,0),0)</f>
        <v>0</v>
      </c>
      <c r="F280" s="6">
        <f>IFERROR(VLOOKUP(C280,O.B.JUNE!$AI$7:$AK$448,3,0),0)</f>
        <v>0</v>
      </c>
      <c r="G280" s="6">
        <f>IFERROR(VLOOKUP(C280,O.B.JUNE!$AI$7:$AL$448,4,0),0)</f>
        <v>34</v>
      </c>
      <c r="H280" s="6">
        <f t="shared" si="78"/>
        <v>34</v>
      </c>
      <c r="I280" s="6">
        <f>IFERROR(VLOOKUP(C280,O.B.JUNE!$AI$7:$AN$448,6,0),0)</f>
        <v>27</v>
      </c>
      <c r="J280" s="6"/>
      <c r="K280" s="6">
        <f>IFERROR(VLOOKUP(C280,O.B.JUNE!$AI$7:$AO$448,7,0),0)</f>
        <v>360078</v>
      </c>
      <c r="L280" s="6">
        <f>SUMIF('JUNE (물량흐름)'!$C$13:$C$488,'Overhead exp(제조경비)'!C280,'JUNE (물량흐름)'!$H$13:$H$493)+SUMIF('JUNE (물량흐름)'!$C$13:$C$493,'Overhead exp(제조경비)'!C280,'JUNE (물량흐름)'!$V$13:$V$493)</f>
        <v>0</v>
      </c>
      <c r="M280" s="6">
        <f t="shared" si="79"/>
        <v>0</v>
      </c>
      <c r="N280" s="6">
        <f t="shared" si="80"/>
        <v>0</v>
      </c>
      <c r="O280" s="6">
        <f t="shared" si="88"/>
        <v>0</v>
      </c>
      <c r="P280" s="6">
        <f>SUMIF('JUNE (물량흐름)'!$C$13:$C$502,C280,'JUNE (물량흐름)'!$T$13:$T$502)+SUMIF('JUNE (물량흐름)'!$C$13:$C$502,C280,'JUNE (물량흐름)'!$V$13:$V$502)+SUMIF('JUNE (물량흐름)'!$C$13:$C$502,C280,'JUNE (물량흐름)'!$U$13:$U$502)-SUMIF('JUNE (물량흐름)'!$C$13:$C$502,C280,'JUNE (물량흐름)'!$Y$13:$Y$502)</f>
        <v>34</v>
      </c>
      <c r="Q280" s="6">
        <f t="shared" si="86"/>
        <v>360078</v>
      </c>
      <c r="R280" s="6">
        <f>IF(ISERROR(VLOOKUP(#REF!,'WIP(재공품)'!$B$12:$AB$38,13,0)),0,VLOOKUP(#REF!,'WIP(재공품)'!$B$12:$AB$38,13,0))</f>
        <v>0</v>
      </c>
      <c r="S280" s="6">
        <f>IF(ISERROR(VLOOKUP(#REF!,'WIP(재공품)'!$B$12:$AB$38,10,0)),0,VLOOKUP(#REF!,'WIP(재공품)'!$B$12:$AB$38,10,0))</f>
        <v>0</v>
      </c>
      <c r="T280" s="6">
        <f>SUMIF('JUNE (물량흐름)'!$C$13:$C$502,'Overhead exp(제조경비)'!C280,'JUNE (물량흐름)'!$Y$13:$Y$502)</f>
        <v>0</v>
      </c>
      <c r="U280" s="6">
        <f t="shared" si="81"/>
        <v>0</v>
      </c>
      <c r="V280" s="6">
        <f>ROUND(SUMIF('JUNE (물량흐름)'!$C$13:$C$502,'Overhead exp(제조경비)'!C280,'JUNE (물량흐름)'!$N$13:$N$502),0)</f>
        <v>0</v>
      </c>
      <c r="W280" s="6">
        <f>ROUND(SUMIF('JUNE (물량흐름)'!$C$13:$C$502,'Overhead exp(제조경비)'!C280,'JUNE (물량흐름)'!$O$13:$O$502),0)</f>
        <v>0</v>
      </c>
      <c r="X280" s="6">
        <f>ROUND(SUMIF('JUNE (물량흐름)'!$C$13:$C$502,'Overhead exp(제조경비)'!C280,'JUNE (물량흐름)'!$P$13:$P$502),0)</f>
        <v>0</v>
      </c>
      <c r="Y280" s="6">
        <f t="shared" si="82"/>
        <v>0</v>
      </c>
      <c r="Z280" s="6">
        <f t="shared" si="83"/>
        <v>0</v>
      </c>
      <c r="AA280" s="6">
        <f t="shared" si="87"/>
        <v>0</v>
      </c>
      <c r="AB280" s="391">
        <f t="shared" si="84"/>
        <v>0</v>
      </c>
      <c r="AC280" s="391">
        <f t="shared" si="85"/>
        <v>0</v>
      </c>
    </row>
    <row r="281" spans="1:29" s="390" customFormat="1" ht="24" customHeight="1">
      <c r="A281" s="167">
        <v>273</v>
      </c>
      <c r="B281" s="20" t="str">
        <f>IFERROR(VLOOKUP(A281,'JUNE (물량흐름)'!$A$13:$C$502,2,0),0)</f>
        <v>ALFANI</v>
      </c>
      <c r="C281" s="272">
        <f>VLOOKUP(A281,'JUNE (물량흐름)'!$A$13:$C$502,3,0)</f>
        <v>76203</v>
      </c>
      <c r="D281" s="6">
        <f>VLOOKUP(C281,'WIP(재공품)'!$B$12:$E$493,4,0)</f>
        <v>8163</v>
      </c>
      <c r="E281" s="6">
        <f>IFERROR(VLOOKUP(C281,O.B.JUNE!$AI$7:$AJ$448,2,0),0)</f>
        <v>0</v>
      </c>
      <c r="F281" s="6">
        <f>IFERROR(VLOOKUP(C281,O.B.JUNE!$AI$7:$AK$448,3,0),0)</f>
        <v>0</v>
      </c>
      <c r="G281" s="6">
        <f>IFERROR(VLOOKUP(C281,O.B.JUNE!$AI$7:$AL$448,4,0),0)</f>
        <v>22</v>
      </c>
      <c r="H281" s="6">
        <f t="shared" si="78"/>
        <v>22</v>
      </c>
      <c r="I281" s="6">
        <f>IFERROR(VLOOKUP(C281,O.B.JUNE!$AI$7:$AN$448,6,0),0)</f>
        <v>18</v>
      </c>
      <c r="J281" s="6"/>
      <c r="K281" s="6">
        <f>IFERROR(VLOOKUP(C281,O.B.JUNE!$AI$7:$AO$448,7,0),0)</f>
        <v>237496</v>
      </c>
      <c r="L281" s="6">
        <f>SUMIF('JUNE (물량흐름)'!$C$13:$C$488,'Overhead exp(제조경비)'!C281,'JUNE (물량흐름)'!$H$13:$H$493)+SUMIF('JUNE (물량흐름)'!$C$13:$C$493,'Overhead exp(제조경비)'!C281,'JUNE (물량흐름)'!$V$13:$V$493)</f>
        <v>0</v>
      </c>
      <c r="M281" s="6">
        <f t="shared" si="79"/>
        <v>0</v>
      </c>
      <c r="N281" s="6">
        <f t="shared" si="80"/>
        <v>0</v>
      </c>
      <c r="O281" s="6">
        <f t="shared" si="88"/>
        <v>0</v>
      </c>
      <c r="P281" s="6">
        <f>SUMIF('JUNE (물량흐름)'!$C$13:$C$502,C281,'JUNE (물량흐름)'!$T$13:$T$502)+SUMIF('JUNE (물량흐름)'!$C$13:$C$502,C281,'JUNE (물량흐름)'!$V$13:$V$502)+SUMIF('JUNE (물량흐름)'!$C$13:$C$502,C281,'JUNE (물량흐름)'!$U$13:$U$502)-SUMIF('JUNE (물량흐름)'!$C$13:$C$502,C281,'JUNE (물량흐름)'!$Y$13:$Y$502)</f>
        <v>0</v>
      </c>
      <c r="Q281" s="6">
        <f t="shared" si="86"/>
        <v>0</v>
      </c>
      <c r="R281" s="6">
        <f>IF(ISERROR(VLOOKUP(#REF!,'WIP(재공품)'!$B$12:$AB$38,13,0)),0,VLOOKUP(#REF!,'WIP(재공품)'!$B$12:$AB$38,13,0))</f>
        <v>0</v>
      </c>
      <c r="S281" s="6">
        <f>IF(ISERROR(VLOOKUP(#REF!,'WIP(재공품)'!$B$12:$AB$38,10,0)),0,VLOOKUP(#REF!,'WIP(재공품)'!$B$12:$AB$38,10,0))</f>
        <v>0</v>
      </c>
      <c r="T281" s="6">
        <f>SUMIF('JUNE (물량흐름)'!$C$13:$C$502,'Overhead exp(제조경비)'!C281,'JUNE (물량흐름)'!$Y$13:$Y$502)</f>
        <v>0</v>
      </c>
      <c r="U281" s="6">
        <f t="shared" si="81"/>
        <v>0</v>
      </c>
      <c r="V281" s="6">
        <f>ROUND(SUMIF('JUNE (물량흐름)'!$C$13:$C$502,'Overhead exp(제조경비)'!C281,'JUNE (물량흐름)'!$N$13:$N$502),0)</f>
        <v>0</v>
      </c>
      <c r="W281" s="6">
        <f>ROUND(SUMIF('JUNE (물량흐름)'!$C$13:$C$502,'Overhead exp(제조경비)'!C281,'JUNE (물량흐름)'!$O$13:$O$502),0)</f>
        <v>10</v>
      </c>
      <c r="X281" s="6">
        <f>ROUND(SUMIF('JUNE (물량흐름)'!$C$13:$C$502,'Overhead exp(제조경비)'!C281,'JUNE (물량흐름)'!$P$13:$P$502),0)</f>
        <v>12</v>
      </c>
      <c r="Y281" s="6">
        <f t="shared" si="82"/>
        <v>22</v>
      </c>
      <c r="Z281" s="6">
        <f t="shared" si="83"/>
        <v>15</v>
      </c>
      <c r="AA281" s="6">
        <f t="shared" si="87"/>
        <v>237496</v>
      </c>
      <c r="AB281" s="391">
        <f t="shared" si="84"/>
        <v>0</v>
      </c>
      <c r="AC281" s="391">
        <f t="shared" si="85"/>
        <v>0</v>
      </c>
    </row>
    <row r="282" spans="1:29" s="390" customFormat="1" ht="24" customHeight="1">
      <c r="A282" s="167">
        <v>274</v>
      </c>
      <c r="B282" s="20" t="str">
        <f>IFERROR(VLOOKUP(A282,'JUNE (물량흐름)'!$A$13:$C$502,2,0),0)</f>
        <v>ANN TAYLOR</v>
      </c>
      <c r="C282" s="272">
        <f>VLOOKUP(A282,'JUNE (물량흐름)'!$A$13:$C$502,3,0)</f>
        <v>457309</v>
      </c>
      <c r="D282" s="6">
        <f>VLOOKUP(C282,'WIP(재공품)'!$B$12:$E$493,4,0)</f>
        <v>7936.2499999999991</v>
      </c>
      <c r="E282" s="6">
        <f>IFERROR(VLOOKUP(C282,O.B.JUNE!$AI$7:$AJ$448,2,0),0)</f>
        <v>0</v>
      </c>
      <c r="F282" s="6">
        <f>IFERROR(VLOOKUP(C282,O.B.JUNE!$AI$7:$AK$448,3,0),0)</f>
        <v>5210</v>
      </c>
      <c r="G282" s="6">
        <f>IFERROR(VLOOKUP(C282,O.B.JUNE!$AI$7:$AL$448,4,0),0)</f>
        <v>3996</v>
      </c>
      <c r="H282" s="6">
        <f t="shared" si="78"/>
        <v>9206</v>
      </c>
      <c r="I282" s="6">
        <f>IFERROR(VLOOKUP(C282,O.B.JUNE!$AI$7:$AN$448,6,0),0)</f>
        <v>5802</v>
      </c>
      <c r="J282" s="6"/>
      <c r="K282" s="6">
        <f>IFERROR(VLOOKUP(C282,O.B.JUNE!$AI$7:$AO$448,7,0),0)</f>
        <v>123148952</v>
      </c>
      <c r="L282" s="6">
        <f>SUMIF('JUNE (물량흐름)'!$C$13:$C$488,'Overhead exp(제조경비)'!C282,'JUNE (물량흐름)'!$H$13:$H$493)+SUMIF('JUNE (물량흐름)'!$C$13:$C$493,'Overhead exp(제조경비)'!C282,'JUNE (물량흐름)'!$V$13:$V$493)</f>
        <v>0</v>
      </c>
      <c r="M282" s="6">
        <f t="shared" si="79"/>
        <v>0</v>
      </c>
      <c r="N282" s="6">
        <f t="shared" si="80"/>
        <v>0</v>
      </c>
      <c r="O282" s="6">
        <f t="shared" si="88"/>
        <v>0</v>
      </c>
      <c r="P282" s="6">
        <f>SUMIF('JUNE (물량흐름)'!$C$13:$C$502,C282,'JUNE (물량흐름)'!$T$13:$T$502)+SUMIF('JUNE (물량흐름)'!$C$13:$C$502,C282,'JUNE (물량흐름)'!$V$13:$V$502)+SUMIF('JUNE (물량흐름)'!$C$13:$C$502,C282,'JUNE (물량흐름)'!$U$13:$U$502)-SUMIF('JUNE (물량흐름)'!$C$13:$C$502,C282,'JUNE (물량흐름)'!$Y$13:$Y$502)</f>
        <v>0</v>
      </c>
      <c r="Q282" s="6">
        <f t="shared" si="86"/>
        <v>0</v>
      </c>
      <c r="R282" s="6">
        <f>IF(ISERROR(VLOOKUP(#REF!,'WIP(재공품)'!$B$12:$AB$38,13,0)),0,VLOOKUP(#REF!,'WIP(재공품)'!$B$12:$AB$38,13,0))</f>
        <v>0</v>
      </c>
      <c r="S282" s="6">
        <f>IF(ISERROR(VLOOKUP(#REF!,'WIP(재공품)'!$B$12:$AB$38,10,0)),0,VLOOKUP(#REF!,'WIP(재공품)'!$B$12:$AB$38,10,0))</f>
        <v>0</v>
      </c>
      <c r="T282" s="6">
        <f>SUMIF('JUNE (물량흐름)'!$C$13:$C$502,'Overhead exp(제조경비)'!C282,'JUNE (물량흐름)'!$Y$13:$Y$502)</f>
        <v>0</v>
      </c>
      <c r="U282" s="6">
        <f t="shared" si="81"/>
        <v>0</v>
      </c>
      <c r="V282" s="6">
        <f>ROUND(SUMIF('JUNE (물량흐름)'!$C$13:$C$502,'Overhead exp(제조경비)'!C282,'JUNE (물량흐름)'!$N$13:$N$502),0)</f>
        <v>0</v>
      </c>
      <c r="W282" s="6">
        <f>ROUND(SUMIF('JUNE (물량흐름)'!$C$13:$C$502,'Overhead exp(제조경비)'!C282,'JUNE (물량흐름)'!$O$13:$O$502),0)</f>
        <v>5210</v>
      </c>
      <c r="X282" s="6">
        <f>ROUND(SUMIF('JUNE (물량흐름)'!$C$13:$C$502,'Overhead exp(제조경비)'!C282,'JUNE (물량흐름)'!$P$13:$P$502),0)</f>
        <v>3996</v>
      </c>
      <c r="Y282" s="6">
        <f t="shared" si="82"/>
        <v>9206</v>
      </c>
      <c r="Z282" s="6">
        <f t="shared" si="83"/>
        <v>5802</v>
      </c>
      <c r="AA282" s="6">
        <f t="shared" si="87"/>
        <v>123148952</v>
      </c>
      <c r="AB282" s="391">
        <f t="shared" si="84"/>
        <v>0</v>
      </c>
      <c r="AC282" s="391">
        <f t="shared" si="85"/>
        <v>0</v>
      </c>
    </row>
    <row r="283" spans="1:29" s="390" customFormat="1" ht="24" customHeight="1">
      <c r="A283" s="167">
        <v>275</v>
      </c>
      <c r="B283" s="20" t="str">
        <f>IFERROR(VLOOKUP(A283,'JUNE (물량흐름)'!$A$13:$C$502,2,0),0)</f>
        <v>ANN TAYLOR</v>
      </c>
      <c r="C283" s="272">
        <f>VLOOKUP(A283,'JUNE (물량흐름)'!$A$13:$C$502,3,0)</f>
        <v>462511</v>
      </c>
      <c r="D283" s="6">
        <f>VLOOKUP(C283,'WIP(재공품)'!$B$12:$E$493,4,0)</f>
        <v>7936.2499999999991</v>
      </c>
      <c r="E283" s="6">
        <f>IFERROR(VLOOKUP(C283,O.B.JUNE!$AI$7:$AJ$448,2,0),0)</f>
        <v>312</v>
      </c>
      <c r="F283" s="6">
        <f>IFERROR(VLOOKUP(C283,O.B.JUNE!$AI$7:$AK$448,3,0),0)</f>
        <v>434</v>
      </c>
      <c r="G283" s="6">
        <f>IFERROR(VLOOKUP(C283,O.B.JUNE!$AI$7:$AL$448,4,0),0)</f>
        <v>306</v>
      </c>
      <c r="H283" s="6">
        <f t="shared" si="78"/>
        <v>1052</v>
      </c>
      <c r="I283" s="6">
        <f>IFERROR(VLOOKUP(C283,O.B.JUNE!$AI$7:$AN$448,6,0),0)</f>
        <v>524</v>
      </c>
      <c r="J283" s="6"/>
      <c r="K283" s="6">
        <f>IFERROR(VLOOKUP(C283,O.B.JUNE!$AI$7:$AO$448,7,0),0)</f>
        <v>11308878</v>
      </c>
      <c r="L283" s="6">
        <f>SUMIF('JUNE (물량흐름)'!$C$13:$C$488,'Overhead exp(제조경비)'!C283,'JUNE (물량흐름)'!$H$13:$H$493)+SUMIF('JUNE (물량흐름)'!$C$13:$C$493,'Overhead exp(제조경비)'!C283,'JUNE (물량흐름)'!$V$13:$V$493)</f>
        <v>0</v>
      </c>
      <c r="M283" s="6">
        <f t="shared" si="79"/>
        <v>0</v>
      </c>
      <c r="N283" s="6">
        <f t="shared" si="80"/>
        <v>0</v>
      </c>
      <c r="O283" s="6">
        <f t="shared" si="88"/>
        <v>0</v>
      </c>
      <c r="P283" s="6">
        <f>SUMIF('JUNE (물량흐름)'!$C$13:$C$502,C283,'JUNE (물량흐름)'!$T$13:$T$502)+SUMIF('JUNE (물량흐름)'!$C$13:$C$502,C283,'JUNE (물량흐름)'!$V$13:$V$502)+SUMIF('JUNE (물량흐름)'!$C$13:$C$502,C283,'JUNE (물량흐름)'!$U$13:$U$502)-SUMIF('JUNE (물량흐름)'!$C$13:$C$502,C283,'JUNE (물량흐름)'!$Y$13:$Y$502)</f>
        <v>0</v>
      </c>
      <c r="Q283" s="6">
        <f t="shared" si="86"/>
        <v>0</v>
      </c>
      <c r="R283" s="6">
        <f>IF(ISERROR(VLOOKUP(#REF!,'WIP(재공품)'!$B$12:$AB$38,13,0)),0,VLOOKUP(#REF!,'WIP(재공품)'!$B$12:$AB$38,13,0))</f>
        <v>0</v>
      </c>
      <c r="S283" s="6">
        <f>IF(ISERROR(VLOOKUP(#REF!,'WIP(재공품)'!$B$12:$AB$38,10,0)),0,VLOOKUP(#REF!,'WIP(재공품)'!$B$12:$AB$38,10,0))</f>
        <v>0</v>
      </c>
      <c r="T283" s="6">
        <f>SUMIF('JUNE (물량흐름)'!$C$13:$C$502,'Overhead exp(제조경비)'!C283,'JUNE (물량흐름)'!$Y$13:$Y$502)</f>
        <v>0</v>
      </c>
      <c r="U283" s="6">
        <f t="shared" si="81"/>
        <v>0</v>
      </c>
      <c r="V283" s="6">
        <f>ROUND(SUMIF('JUNE (물량흐름)'!$C$13:$C$502,'Overhead exp(제조경비)'!C283,'JUNE (물량흐름)'!$N$13:$N$502),0)</f>
        <v>312</v>
      </c>
      <c r="W283" s="6">
        <f>ROUND(SUMIF('JUNE (물량흐름)'!$C$13:$C$502,'Overhead exp(제조경비)'!C283,'JUNE (물량흐름)'!$O$13:$O$502),0)</f>
        <v>434</v>
      </c>
      <c r="X283" s="6">
        <f>ROUND(SUMIF('JUNE (물량흐름)'!$C$13:$C$502,'Overhead exp(제조경비)'!C283,'JUNE (물량흐름)'!$P$13:$P$502),0)</f>
        <v>306</v>
      </c>
      <c r="Y283" s="6">
        <f t="shared" si="82"/>
        <v>1052</v>
      </c>
      <c r="Z283" s="6">
        <f t="shared" si="83"/>
        <v>524</v>
      </c>
      <c r="AA283" s="6">
        <f t="shared" si="87"/>
        <v>11308878</v>
      </c>
      <c r="AB283" s="391">
        <f t="shared" si="84"/>
        <v>0</v>
      </c>
      <c r="AC283" s="391">
        <f t="shared" si="85"/>
        <v>0</v>
      </c>
    </row>
    <row r="284" spans="1:29" s="390" customFormat="1" ht="24" customHeight="1">
      <c r="A284" s="167">
        <v>276</v>
      </c>
      <c r="B284" s="20" t="str">
        <f>IFERROR(VLOOKUP(A284,'JUNE (물량흐름)'!$A$13:$C$502,2,0),0)</f>
        <v>ANN TAYLOR</v>
      </c>
      <c r="C284" s="272">
        <f>VLOOKUP(A284,'JUNE (물량흐름)'!$A$13:$C$502,3,0)</f>
        <v>462516</v>
      </c>
      <c r="D284" s="6">
        <f>VLOOKUP(C284,'WIP(재공품)'!$B$12:$E$493,4,0)</f>
        <v>7936.2499999999991</v>
      </c>
      <c r="E284" s="6">
        <f>IFERROR(VLOOKUP(C284,O.B.JUNE!$AI$7:$AJ$448,2,0),0)</f>
        <v>0</v>
      </c>
      <c r="F284" s="6">
        <f>IFERROR(VLOOKUP(C284,O.B.JUNE!$AI$7:$AK$448,3,0),0)</f>
        <v>415</v>
      </c>
      <c r="G284" s="6">
        <f>IFERROR(VLOOKUP(C284,O.B.JUNE!$AI$7:$AL$448,4,0),0)</f>
        <v>643</v>
      </c>
      <c r="H284" s="6">
        <f t="shared" si="78"/>
        <v>1058</v>
      </c>
      <c r="I284" s="6">
        <f>IFERROR(VLOOKUP(C284,O.B.JUNE!$AI$7:$AN$448,6,0),0)</f>
        <v>722</v>
      </c>
      <c r="J284" s="6"/>
      <c r="K284" s="6">
        <f>IFERROR(VLOOKUP(C284,O.B.JUNE!$AI$7:$AO$448,7,0),0)</f>
        <v>16471086</v>
      </c>
      <c r="L284" s="6">
        <f>SUMIF('JUNE (물량흐름)'!$C$13:$C$488,'Overhead exp(제조경비)'!C284,'JUNE (물량흐름)'!$H$13:$H$493)+SUMIF('JUNE (물량흐름)'!$C$13:$C$493,'Overhead exp(제조경비)'!C284,'JUNE (물량흐름)'!$V$13:$V$493)</f>
        <v>0</v>
      </c>
      <c r="M284" s="6">
        <f t="shared" si="79"/>
        <v>0</v>
      </c>
      <c r="N284" s="6">
        <f t="shared" si="80"/>
        <v>0</v>
      </c>
      <c r="O284" s="6">
        <f t="shared" si="88"/>
        <v>0</v>
      </c>
      <c r="P284" s="6">
        <f>SUMIF('JUNE (물량흐름)'!$C$13:$C$502,C284,'JUNE (물량흐름)'!$T$13:$T$502)+SUMIF('JUNE (물량흐름)'!$C$13:$C$502,C284,'JUNE (물량흐름)'!$V$13:$V$502)+SUMIF('JUNE (물량흐름)'!$C$13:$C$502,C284,'JUNE (물량흐름)'!$U$13:$U$502)-SUMIF('JUNE (물량흐름)'!$C$13:$C$502,C284,'JUNE (물량흐름)'!$Y$13:$Y$502)</f>
        <v>0</v>
      </c>
      <c r="Q284" s="6">
        <f t="shared" si="86"/>
        <v>0</v>
      </c>
      <c r="R284" s="6">
        <f>IF(ISERROR(VLOOKUP(#REF!,'WIP(재공품)'!$B$12:$AB$38,13,0)),0,VLOOKUP(#REF!,'WIP(재공품)'!$B$12:$AB$38,13,0))</f>
        <v>0</v>
      </c>
      <c r="S284" s="6">
        <f>IF(ISERROR(VLOOKUP(#REF!,'WIP(재공품)'!$B$12:$AB$38,10,0)),0,VLOOKUP(#REF!,'WIP(재공품)'!$B$12:$AB$38,10,0))</f>
        <v>0</v>
      </c>
      <c r="T284" s="6">
        <f>SUMIF('JUNE (물량흐름)'!$C$13:$C$502,'Overhead exp(제조경비)'!C284,'JUNE (물량흐름)'!$Y$13:$Y$502)</f>
        <v>2</v>
      </c>
      <c r="U284" s="6">
        <f t="shared" si="81"/>
        <v>31136</v>
      </c>
      <c r="V284" s="6">
        <f>ROUND(SUMIF('JUNE (물량흐름)'!$C$13:$C$502,'Overhead exp(제조경비)'!C284,'JUNE (물량흐름)'!$N$13:$N$502),0)</f>
        <v>0</v>
      </c>
      <c r="W284" s="6">
        <f>ROUND(SUMIF('JUNE (물량흐름)'!$C$13:$C$502,'Overhead exp(제조경비)'!C284,'JUNE (물량흐름)'!$O$13:$O$502),0)</f>
        <v>415</v>
      </c>
      <c r="X284" s="6">
        <f>ROUND(SUMIF('JUNE (물량흐름)'!$C$13:$C$502,'Overhead exp(제조경비)'!C284,'JUNE (물량흐름)'!$P$13:$P$502),0)</f>
        <v>641</v>
      </c>
      <c r="Y284" s="167">
        <f t="shared" si="82"/>
        <v>1056</v>
      </c>
      <c r="Z284" s="167">
        <f t="shared" si="83"/>
        <v>720</v>
      </c>
      <c r="AA284" s="6">
        <f t="shared" si="87"/>
        <v>16439950</v>
      </c>
      <c r="AB284" s="391">
        <f t="shared" si="84"/>
        <v>0</v>
      </c>
      <c r="AC284" s="391">
        <f t="shared" si="85"/>
        <v>0</v>
      </c>
    </row>
    <row r="285" spans="1:29" s="390" customFormat="1" ht="24" customHeight="1">
      <c r="A285" s="167">
        <v>277</v>
      </c>
      <c r="B285" s="20" t="str">
        <f>IFERROR(VLOOKUP(A285,'JUNE (물량흐름)'!$A$13:$C$502,2,0),0)</f>
        <v>ANN TAYLOR</v>
      </c>
      <c r="C285" s="272">
        <f>VLOOKUP(A285,'JUNE (물량흐름)'!$A$13:$C$502,3,0)</f>
        <v>464101</v>
      </c>
      <c r="D285" s="6">
        <f>VLOOKUP(C285,'WIP(재공품)'!$B$12:$E$493,4,0)</f>
        <v>7936.2499999999991</v>
      </c>
      <c r="E285" s="6">
        <f>IFERROR(VLOOKUP(C285,O.B.JUNE!$AI$7:$AJ$448,2,0),0)</f>
        <v>87</v>
      </c>
      <c r="F285" s="6">
        <f>IFERROR(VLOOKUP(C285,O.B.JUNE!$AI$7:$AK$448,3,0),0)</f>
        <v>320</v>
      </c>
      <c r="G285" s="6">
        <f>IFERROR(VLOOKUP(C285,O.B.JUNE!$AI$7:$AL$448,4,0),0)</f>
        <v>760</v>
      </c>
      <c r="H285" s="6">
        <f t="shared" si="78"/>
        <v>1167</v>
      </c>
      <c r="I285" s="6">
        <f>IFERROR(VLOOKUP(C285,O.B.JUNE!$AI$7:$AN$448,6,0),0)</f>
        <v>785</v>
      </c>
      <c r="J285" s="6"/>
      <c r="K285" s="6">
        <f>IFERROR(VLOOKUP(C285,O.B.JUNE!$AI$7:$AO$448,7,0),0)</f>
        <v>18811483</v>
      </c>
      <c r="L285" s="6">
        <f>SUMIF('JUNE (물량흐름)'!$C$13:$C$488,'Overhead exp(제조경비)'!C285,'JUNE (물량흐름)'!$H$13:$H$493)+SUMIF('JUNE (물량흐름)'!$C$13:$C$493,'Overhead exp(제조경비)'!C285,'JUNE (물량흐름)'!$V$13:$V$493)</f>
        <v>0</v>
      </c>
      <c r="M285" s="6">
        <f t="shared" si="79"/>
        <v>0</v>
      </c>
      <c r="N285" s="6">
        <f t="shared" si="80"/>
        <v>0</v>
      </c>
      <c r="O285" s="6">
        <f t="shared" si="88"/>
        <v>0</v>
      </c>
      <c r="P285" s="6">
        <f>SUMIF('JUNE (물량흐름)'!$C$13:$C$502,C285,'JUNE (물량흐름)'!$T$13:$T$502)+SUMIF('JUNE (물량흐름)'!$C$13:$C$502,C285,'JUNE (물량흐름)'!$V$13:$V$502)+SUMIF('JUNE (물량흐름)'!$C$13:$C$502,C285,'JUNE (물량흐름)'!$U$13:$U$502)-SUMIF('JUNE (물량흐름)'!$C$13:$C$502,C285,'JUNE (물량흐름)'!$Y$13:$Y$502)</f>
        <v>0</v>
      </c>
      <c r="Q285" s="6">
        <f t="shared" si="86"/>
        <v>0</v>
      </c>
      <c r="R285" s="6">
        <f>IF(ISERROR(VLOOKUP(#REF!,'WIP(재공품)'!$B$12:$AB$38,13,0)),0,VLOOKUP(#REF!,'WIP(재공품)'!$B$12:$AB$38,13,0))</f>
        <v>0</v>
      </c>
      <c r="S285" s="6">
        <f>IF(ISERROR(VLOOKUP(#REF!,'WIP(재공품)'!$B$12:$AB$38,10,0)),0,VLOOKUP(#REF!,'WIP(재공품)'!$B$12:$AB$38,10,0))</f>
        <v>0</v>
      </c>
      <c r="T285" s="6">
        <f>SUMIF('JUNE (물량흐름)'!$C$13:$C$502,'Overhead exp(제조경비)'!C285,'JUNE (물량흐름)'!$Y$13:$Y$502)</f>
        <v>0</v>
      </c>
      <c r="U285" s="6">
        <f t="shared" si="81"/>
        <v>0</v>
      </c>
      <c r="V285" s="6">
        <f>ROUND(SUMIF('JUNE (물량흐름)'!$C$13:$C$502,'Overhead exp(제조경비)'!C285,'JUNE (물량흐름)'!$N$13:$N$502),0)</f>
        <v>87</v>
      </c>
      <c r="W285" s="6">
        <f>ROUND(SUMIF('JUNE (물량흐름)'!$C$13:$C$502,'Overhead exp(제조경비)'!C285,'JUNE (물량흐름)'!$O$13:$O$502),0)</f>
        <v>320</v>
      </c>
      <c r="X285" s="6">
        <f>ROUND(SUMIF('JUNE (물량흐름)'!$C$13:$C$502,'Overhead exp(제조경비)'!C285,'JUNE (물량흐름)'!$P$13:$P$502),0)</f>
        <v>760</v>
      </c>
      <c r="Y285" s="167">
        <f t="shared" si="82"/>
        <v>1167</v>
      </c>
      <c r="Z285" s="167">
        <f t="shared" si="83"/>
        <v>785</v>
      </c>
      <c r="AA285" s="6">
        <f t="shared" si="87"/>
        <v>18811483</v>
      </c>
      <c r="AB285" s="391">
        <f t="shared" si="84"/>
        <v>0</v>
      </c>
      <c r="AC285" s="391">
        <f t="shared" si="85"/>
        <v>0</v>
      </c>
    </row>
    <row r="286" spans="1:29" s="390" customFormat="1" ht="24" customHeight="1">
      <c r="A286" s="167">
        <v>278</v>
      </c>
      <c r="B286" s="20" t="str">
        <f>IFERROR(VLOOKUP(A286,'JUNE (물량흐름)'!$A$13:$C$502,2,0),0)</f>
        <v>ANN TAYLOR</v>
      </c>
      <c r="C286" s="272">
        <f>VLOOKUP(A286,'JUNE (물량흐름)'!$A$13:$C$502,3,0)</f>
        <v>469135</v>
      </c>
      <c r="D286" s="6">
        <f>VLOOKUP(C286,'WIP(재공품)'!$B$12:$E$493,4,0)</f>
        <v>7936.2499999999991</v>
      </c>
      <c r="E286" s="6">
        <f>IFERROR(VLOOKUP(C286,O.B.JUNE!$AI$7:$AJ$448,2,0),0)</f>
        <v>0</v>
      </c>
      <c r="F286" s="6">
        <f>IFERROR(VLOOKUP(C286,O.B.JUNE!$AI$7:$AK$448,3,0),0)</f>
        <v>189</v>
      </c>
      <c r="G286" s="6">
        <f>IFERROR(VLOOKUP(C286,O.B.JUNE!$AI$7:$AL$448,4,0),0)</f>
        <v>114</v>
      </c>
      <c r="H286" s="6">
        <f t="shared" si="78"/>
        <v>303</v>
      </c>
      <c r="I286" s="6">
        <f>IFERROR(VLOOKUP(C286,O.B.JUNE!$AI$7:$AN$448,6,0),0)</f>
        <v>186</v>
      </c>
      <c r="J286" s="6"/>
      <c r="K286" s="6">
        <f>IFERROR(VLOOKUP(C286,O.B.JUNE!$AI$7:$AO$448,7,0),0)</f>
        <v>5067027</v>
      </c>
      <c r="L286" s="6">
        <f>SUMIF('JUNE (물량흐름)'!$C$13:$C$488,'Overhead exp(제조경비)'!C286,'JUNE (물량흐름)'!$H$13:$H$493)+SUMIF('JUNE (물량흐름)'!$C$13:$C$493,'Overhead exp(제조경비)'!C286,'JUNE (물량흐름)'!$V$13:$V$493)</f>
        <v>0</v>
      </c>
      <c r="M286" s="6">
        <f t="shared" si="79"/>
        <v>0</v>
      </c>
      <c r="N286" s="6">
        <f t="shared" si="80"/>
        <v>0</v>
      </c>
      <c r="O286" s="6">
        <f t="shared" si="88"/>
        <v>0</v>
      </c>
      <c r="P286" s="6">
        <f>SUMIF('JUNE (물량흐름)'!$C$13:$C$502,C286,'JUNE (물량흐름)'!$T$13:$T$502)+SUMIF('JUNE (물량흐름)'!$C$13:$C$502,C286,'JUNE (물량흐름)'!$V$13:$V$502)+SUMIF('JUNE (물량흐름)'!$C$13:$C$502,C286,'JUNE (물량흐름)'!$U$13:$U$502)-SUMIF('JUNE (물량흐름)'!$C$13:$C$502,C286,'JUNE (물량흐름)'!$Y$13:$Y$502)</f>
        <v>0</v>
      </c>
      <c r="Q286" s="6">
        <f t="shared" si="86"/>
        <v>0</v>
      </c>
      <c r="R286" s="6">
        <f>IF(ISERROR(VLOOKUP(#REF!,'WIP(재공품)'!$B$12:$AB$38,13,0)),0,VLOOKUP(#REF!,'WIP(재공품)'!$B$12:$AB$38,13,0))</f>
        <v>0</v>
      </c>
      <c r="S286" s="6">
        <f>IF(ISERROR(VLOOKUP(#REF!,'WIP(재공품)'!$B$12:$AB$38,10,0)),0,VLOOKUP(#REF!,'WIP(재공품)'!$B$12:$AB$38,10,0))</f>
        <v>0</v>
      </c>
      <c r="T286" s="6">
        <f>SUMIF('JUNE (물량흐름)'!$C$13:$C$502,'Overhead exp(제조경비)'!C286,'JUNE (물량흐름)'!$Y$13:$Y$502)</f>
        <v>0</v>
      </c>
      <c r="U286" s="6">
        <f t="shared" si="81"/>
        <v>0</v>
      </c>
      <c r="V286" s="6">
        <f>ROUND(SUMIF('JUNE (물량흐름)'!$C$13:$C$502,'Overhead exp(제조경비)'!C286,'JUNE (물량흐름)'!$N$13:$N$502),0)</f>
        <v>0</v>
      </c>
      <c r="W286" s="6">
        <f>ROUND(SUMIF('JUNE (물량흐름)'!$C$13:$C$502,'Overhead exp(제조경비)'!C286,'JUNE (물량흐름)'!$O$13:$O$502),0)</f>
        <v>189</v>
      </c>
      <c r="X286" s="6">
        <f>ROUND(SUMIF('JUNE (물량흐름)'!$C$13:$C$502,'Overhead exp(제조경비)'!C286,'JUNE (물량흐름)'!$P$13:$P$502),0)</f>
        <v>114</v>
      </c>
      <c r="Y286" s="167">
        <f t="shared" si="82"/>
        <v>303</v>
      </c>
      <c r="Z286" s="167">
        <f t="shared" si="83"/>
        <v>186</v>
      </c>
      <c r="AA286" s="6">
        <f t="shared" si="87"/>
        <v>5067027</v>
      </c>
      <c r="AB286" s="391">
        <f t="shared" si="84"/>
        <v>0</v>
      </c>
      <c r="AC286" s="391">
        <f t="shared" si="85"/>
        <v>0</v>
      </c>
    </row>
    <row r="287" spans="1:29" s="390" customFormat="1" ht="24" customHeight="1">
      <c r="A287" s="167">
        <v>279</v>
      </c>
      <c r="B287" s="20" t="str">
        <f>IFERROR(VLOOKUP(A287,'JUNE (물량흐름)'!$A$13:$C$502,2,0),0)</f>
        <v>ANN TAYLOR</v>
      </c>
      <c r="C287" s="272">
        <f>VLOOKUP(A287,'JUNE (물량흐름)'!$A$13:$C$502,3,0)</f>
        <v>469615</v>
      </c>
      <c r="D287" s="6">
        <f>VLOOKUP(C287,'WIP(재공품)'!$B$12:$E$493,4,0)</f>
        <v>7936.2499999999991</v>
      </c>
      <c r="E287" s="6">
        <f>IFERROR(VLOOKUP(C287,O.B.JUNE!$AI$7:$AJ$448,2,0),0)</f>
        <v>0</v>
      </c>
      <c r="F287" s="6">
        <f>IFERROR(VLOOKUP(C287,O.B.JUNE!$AI$7:$AK$448,3,0),0)</f>
        <v>44</v>
      </c>
      <c r="G287" s="6">
        <f>IFERROR(VLOOKUP(C287,O.B.JUNE!$AI$7:$AL$448,4,0),0)</f>
        <v>453</v>
      </c>
      <c r="H287" s="6">
        <f t="shared" si="78"/>
        <v>497</v>
      </c>
      <c r="I287" s="6">
        <f>IFERROR(VLOOKUP(C287,O.B.JUNE!$AI$7:$AN$448,6,0),0)</f>
        <v>384</v>
      </c>
      <c r="J287" s="6"/>
      <c r="K287" s="6">
        <f>IFERROR(VLOOKUP(C287,O.B.JUNE!$AI$7:$AO$448,7,0),0)</f>
        <v>6890267</v>
      </c>
      <c r="L287" s="6">
        <f>SUMIF('JUNE (물량흐름)'!$C$13:$C$488,'Overhead exp(제조경비)'!C287,'JUNE (물량흐름)'!$H$13:$H$493)+SUMIF('JUNE (물량흐름)'!$C$13:$C$493,'Overhead exp(제조경비)'!C287,'JUNE (물량흐름)'!$V$13:$V$493)</f>
        <v>0</v>
      </c>
      <c r="M287" s="6">
        <f t="shared" si="79"/>
        <v>0</v>
      </c>
      <c r="N287" s="6">
        <f t="shared" si="80"/>
        <v>0</v>
      </c>
      <c r="O287" s="6">
        <f t="shared" si="88"/>
        <v>0</v>
      </c>
      <c r="P287" s="6">
        <f>SUMIF('JUNE (물량흐름)'!$C$13:$C$502,C287,'JUNE (물량흐름)'!$T$13:$T$502)+SUMIF('JUNE (물량흐름)'!$C$13:$C$502,C287,'JUNE (물량흐름)'!$V$13:$V$502)+SUMIF('JUNE (물량흐름)'!$C$13:$C$502,C287,'JUNE (물량흐름)'!$U$13:$U$502)-SUMIF('JUNE (물량흐름)'!$C$13:$C$502,C287,'JUNE (물량흐름)'!$Y$13:$Y$502)</f>
        <v>0</v>
      </c>
      <c r="Q287" s="6">
        <f t="shared" si="86"/>
        <v>0</v>
      </c>
      <c r="R287" s="6">
        <f>IF(ISERROR(VLOOKUP(#REF!,'WIP(재공품)'!$B$12:$AB$38,13,0)),0,VLOOKUP(#REF!,'WIP(재공품)'!$B$12:$AB$38,13,0))</f>
        <v>0</v>
      </c>
      <c r="S287" s="6">
        <f>IF(ISERROR(VLOOKUP(#REF!,'WIP(재공품)'!$B$12:$AB$38,10,0)),0,VLOOKUP(#REF!,'WIP(재공품)'!$B$12:$AB$38,10,0))</f>
        <v>0</v>
      </c>
      <c r="T287" s="6">
        <f>SUMIF('JUNE (물량흐름)'!$C$13:$C$502,'Overhead exp(제조경비)'!C287,'JUNE (물량흐름)'!$Y$13:$Y$502)</f>
        <v>0</v>
      </c>
      <c r="U287" s="6">
        <f t="shared" si="81"/>
        <v>0</v>
      </c>
      <c r="V287" s="6">
        <f>ROUND(SUMIF('JUNE (물량흐름)'!$C$13:$C$502,'Overhead exp(제조경비)'!C287,'JUNE (물량흐름)'!$N$13:$N$502),0)</f>
        <v>0</v>
      </c>
      <c r="W287" s="6">
        <f>ROUND(SUMIF('JUNE (물량흐름)'!$C$13:$C$502,'Overhead exp(제조경비)'!C287,'JUNE (물량흐름)'!$O$13:$O$502),0)</f>
        <v>44</v>
      </c>
      <c r="X287" s="6">
        <f>ROUND(SUMIF('JUNE (물량흐름)'!$C$13:$C$502,'Overhead exp(제조경비)'!C287,'JUNE (물량흐름)'!$P$13:$P$502),0)</f>
        <v>453</v>
      </c>
      <c r="Y287" s="167">
        <f t="shared" si="82"/>
        <v>497</v>
      </c>
      <c r="Z287" s="167">
        <f t="shared" si="83"/>
        <v>384</v>
      </c>
      <c r="AA287" s="6">
        <f t="shared" si="87"/>
        <v>6890267</v>
      </c>
      <c r="AB287" s="391">
        <f t="shared" si="84"/>
        <v>0</v>
      </c>
      <c r="AC287" s="391">
        <f t="shared" si="85"/>
        <v>0</v>
      </c>
    </row>
    <row r="288" spans="1:29" s="390" customFormat="1" ht="24" customHeight="1">
      <c r="A288" s="167">
        <v>280</v>
      </c>
      <c r="B288" s="20" t="str">
        <f>IFERROR(VLOOKUP(A288,'JUNE (물량흐름)'!$A$13:$C$502,2,0),0)</f>
        <v>ANN TAYLOR</v>
      </c>
      <c r="C288" s="272">
        <f>VLOOKUP(A288,'JUNE (물량흐름)'!$A$13:$C$502,3,0)</f>
        <v>471355</v>
      </c>
      <c r="D288" s="6">
        <f>VLOOKUP(C288,'WIP(재공품)'!$B$12:$E$493,4,0)</f>
        <v>7936.2499999999991</v>
      </c>
      <c r="E288" s="6">
        <f>IFERROR(VLOOKUP(C288,O.B.JUNE!$AI$7:$AJ$448,2,0),0)</f>
        <v>0</v>
      </c>
      <c r="F288" s="6">
        <f>IFERROR(VLOOKUP(C288,O.B.JUNE!$AI$7:$AK$448,3,0),0)</f>
        <v>0</v>
      </c>
      <c r="G288" s="6">
        <f>IFERROR(VLOOKUP(C288,O.B.JUNE!$AI$7:$AL$448,4,0),0)</f>
        <v>340</v>
      </c>
      <c r="H288" s="6">
        <f t="shared" si="78"/>
        <v>340</v>
      </c>
      <c r="I288" s="6">
        <f>IFERROR(VLOOKUP(C288,O.B.JUNE!$AI$7:$AN$448,6,0),0)</f>
        <v>272</v>
      </c>
      <c r="J288" s="6"/>
      <c r="K288" s="6">
        <f>IFERROR(VLOOKUP(C288,O.B.JUNE!$AI$7:$AO$448,7,0),0)</f>
        <v>4995633</v>
      </c>
      <c r="L288" s="6">
        <f>SUMIF('JUNE (물량흐름)'!$C$13:$C$488,'Overhead exp(제조경비)'!C288,'JUNE (물량흐름)'!$H$13:$H$493)+SUMIF('JUNE (물량흐름)'!$C$13:$C$493,'Overhead exp(제조경비)'!C288,'JUNE (물량흐름)'!$V$13:$V$493)</f>
        <v>0</v>
      </c>
      <c r="M288" s="6">
        <f t="shared" si="79"/>
        <v>0</v>
      </c>
      <c r="N288" s="6">
        <f t="shared" si="80"/>
        <v>0</v>
      </c>
      <c r="O288" s="6">
        <f t="shared" si="88"/>
        <v>0</v>
      </c>
      <c r="P288" s="6">
        <f>SUMIF('JUNE (물량흐름)'!$C$13:$C$502,C288,'JUNE (물량흐름)'!$T$13:$T$502)+SUMIF('JUNE (물량흐름)'!$C$13:$C$502,C288,'JUNE (물량흐름)'!$V$13:$V$502)+SUMIF('JUNE (물량흐름)'!$C$13:$C$502,C288,'JUNE (물량흐름)'!$U$13:$U$502)-SUMIF('JUNE (물량흐름)'!$C$13:$C$502,C288,'JUNE (물량흐름)'!$Y$13:$Y$502)</f>
        <v>0</v>
      </c>
      <c r="Q288" s="6">
        <f t="shared" si="86"/>
        <v>0</v>
      </c>
      <c r="R288" s="6">
        <f>IF(ISERROR(VLOOKUP(#REF!,'WIP(재공품)'!$B$12:$AB$38,13,0)),0,VLOOKUP(#REF!,'WIP(재공품)'!$B$12:$AB$38,13,0))</f>
        <v>0</v>
      </c>
      <c r="S288" s="6">
        <f>IF(ISERROR(VLOOKUP(#REF!,'WIP(재공품)'!$B$12:$AB$38,10,0)),0,VLOOKUP(#REF!,'WIP(재공품)'!$B$12:$AB$38,10,0))</f>
        <v>0</v>
      </c>
      <c r="T288" s="6">
        <f>SUMIF('JUNE (물량흐름)'!$C$13:$C$502,'Overhead exp(제조경비)'!C288,'JUNE (물량흐름)'!$Y$13:$Y$502)</f>
        <v>0</v>
      </c>
      <c r="U288" s="6">
        <f t="shared" si="81"/>
        <v>0</v>
      </c>
      <c r="V288" s="6">
        <f>ROUND(SUMIF('JUNE (물량흐름)'!$C$13:$C$502,'Overhead exp(제조경비)'!C288,'JUNE (물량흐름)'!$N$13:$N$502),0)</f>
        <v>0</v>
      </c>
      <c r="W288" s="6">
        <f>ROUND(SUMIF('JUNE (물량흐름)'!$C$13:$C$502,'Overhead exp(제조경비)'!C288,'JUNE (물량흐름)'!$O$13:$O$502),0)</f>
        <v>0</v>
      </c>
      <c r="X288" s="6">
        <f>ROUND(SUMIF('JUNE (물량흐름)'!$C$13:$C$502,'Overhead exp(제조경비)'!C288,'JUNE (물량흐름)'!$P$13:$P$502),0)</f>
        <v>340</v>
      </c>
      <c r="Y288" s="167">
        <f t="shared" si="82"/>
        <v>340</v>
      </c>
      <c r="Z288" s="167">
        <f t="shared" si="83"/>
        <v>272</v>
      </c>
      <c r="AA288" s="6">
        <f t="shared" si="87"/>
        <v>4995633</v>
      </c>
      <c r="AB288" s="391">
        <f t="shared" si="84"/>
        <v>0</v>
      </c>
      <c r="AC288" s="391">
        <f t="shared" si="85"/>
        <v>0</v>
      </c>
    </row>
    <row r="289" spans="1:29" s="390" customFormat="1" ht="24" customHeight="1">
      <c r="A289" s="167">
        <v>283</v>
      </c>
      <c r="B289" s="20" t="str">
        <f>IFERROR(VLOOKUP(A289,'JUNE (물량흐름)'!$A$13:$C$502,2,0),0)</f>
        <v>ALFANI</v>
      </c>
      <c r="C289" s="272">
        <f>VLOOKUP(A289,'JUNE (물량흐름)'!$A$13:$C$502,3,0)</f>
        <v>100014860</v>
      </c>
      <c r="D289" s="6">
        <f>VLOOKUP(C289,'WIP(재공품)'!$B$12:$E$493,4,0)</f>
        <v>72560</v>
      </c>
      <c r="E289" s="6">
        <f>IFERROR(VLOOKUP(C289,O.B.JUNE!$AI$7:$AJ$448,2,0),0)</f>
        <v>0</v>
      </c>
      <c r="F289" s="6">
        <f>IFERROR(VLOOKUP(C289,O.B.JUNE!$AI$7:$AK$448,3,0),0)</f>
        <v>0</v>
      </c>
      <c r="G289" s="6">
        <f>IFERROR(VLOOKUP(C289,O.B.JUNE!$AI$7:$AL$448,4,0),0)</f>
        <v>21</v>
      </c>
      <c r="H289" s="6">
        <f t="shared" si="78"/>
        <v>21</v>
      </c>
      <c r="I289" s="6">
        <f>IFERROR(VLOOKUP(C289,O.B.JUNE!$AI$7:$AN$448,6,0),0)</f>
        <v>17</v>
      </c>
      <c r="J289" s="6"/>
      <c r="K289" s="6">
        <f>IFERROR(VLOOKUP(C289,O.B.JUNE!$AI$7:$AO$448,7,0),0)</f>
        <v>313034</v>
      </c>
      <c r="L289" s="6">
        <f>SUMIF('JUNE (물량흐름)'!$C$13:$C$488,'Overhead exp(제조경비)'!C289,'JUNE (물량흐름)'!$H$13:$H$493)+SUMIF('JUNE (물량흐름)'!$C$13:$C$493,'Overhead exp(제조경비)'!C289,'JUNE (물량흐름)'!$V$13:$V$493)</f>
        <v>0</v>
      </c>
      <c r="M289" s="6">
        <f t="shared" si="79"/>
        <v>0</v>
      </c>
      <c r="N289" s="6">
        <f t="shared" si="80"/>
        <v>0</v>
      </c>
      <c r="O289" s="6">
        <f t="shared" si="88"/>
        <v>0</v>
      </c>
      <c r="P289" s="6">
        <f>SUMIF('JUNE (물량흐름)'!$C$13:$C$502,C289,'JUNE (물량흐름)'!$T$13:$T$502)+SUMIF('JUNE (물량흐름)'!$C$13:$C$502,C289,'JUNE (물량흐름)'!$V$13:$V$502)+SUMIF('JUNE (물량흐름)'!$C$13:$C$502,C289,'JUNE (물량흐름)'!$U$13:$U$502)-SUMIF('JUNE (물량흐름)'!$C$13:$C$502,C289,'JUNE (물량흐름)'!$Y$13:$Y$502)</f>
        <v>0</v>
      </c>
      <c r="Q289" s="6">
        <f t="shared" si="86"/>
        <v>0</v>
      </c>
      <c r="R289" s="6">
        <f>IF(ISERROR(VLOOKUP(#REF!,'WIP(재공품)'!$B$12:$AB$38,13,0)),0,VLOOKUP(#REF!,'WIP(재공품)'!$B$12:$AB$38,13,0))</f>
        <v>0</v>
      </c>
      <c r="S289" s="6">
        <f>IF(ISERROR(VLOOKUP(#REF!,'WIP(재공품)'!$B$12:$AB$38,10,0)),0,VLOOKUP(#REF!,'WIP(재공품)'!$B$12:$AB$38,10,0))</f>
        <v>0</v>
      </c>
      <c r="T289" s="6">
        <f>SUMIF('JUNE (물량흐름)'!$C$13:$C$502,'Overhead exp(제조경비)'!C289,'JUNE (물량흐름)'!$Y$13:$Y$502)</f>
        <v>0</v>
      </c>
      <c r="U289" s="6">
        <f t="shared" si="81"/>
        <v>0</v>
      </c>
      <c r="V289" s="6">
        <f>ROUND(SUMIF('JUNE (물량흐름)'!$C$13:$C$502,'Overhead exp(제조경비)'!C289,'JUNE (물량흐름)'!$N$13:$N$502),0)</f>
        <v>0</v>
      </c>
      <c r="W289" s="6">
        <f>ROUND(SUMIF('JUNE (물량흐름)'!$C$13:$C$502,'Overhead exp(제조경비)'!C289,'JUNE (물량흐름)'!$O$13:$O$502),0)</f>
        <v>0</v>
      </c>
      <c r="X289" s="6">
        <f>ROUND(SUMIF('JUNE (물량흐름)'!$C$13:$C$502,'Overhead exp(제조경비)'!C289,'JUNE (물량흐름)'!$P$13:$P$502),0)</f>
        <v>21</v>
      </c>
      <c r="Y289" s="167">
        <f t="shared" si="82"/>
        <v>21</v>
      </c>
      <c r="Z289" s="167">
        <f t="shared" si="83"/>
        <v>17</v>
      </c>
      <c r="AA289" s="6">
        <f t="shared" si="87"/>
        <v>313034</v>
      </c>
      <c r="AB289" s="391">
        <f t="shared" si="84"/>
        <v>0</v>
      </c>
      <c r="AC289" s="391">
        <f t="shared" si="85"/>
        <v>0</v>
      </c>
    </row>
    <row r="290" spans="1:29" s="390" customFormat="1" ht="24" customHeight="1">
      <c r="A290" s="167">
        <v>284</v>
      </c>
      <c r="B290" s="20" t="str">
        <f>IFERROR(VLOOKUP(A290,'JUNE (물량흐름)'!$A$13:$C$502,2,0),0)</f>
        <v>ALFANI</v>
      </c>
      <c r="C290" s="272">
        <f>VLOOKUP(A290,'JUNE (물량흐름)'!$A$13:$C$502,3,0)</f>
        <v>100014861</v>
      </c>
      <c r="D290" s="6">
        <f>VLOOKUP(C290,'WIP(재공품)'!$B$12:$E$493,4,0)</f>
        <v>7936.2499999999991</v>
      </c>
      <c r="E290" s="6">
        <f>IFERROR(VLOOKUP(C290,O.B.JUNE!$AI$7:$AJ$448,2,0),0)</f>
        <v>0</v>
      </c>
      <c r="F290" s="6">
        <f>IFERROR(VLOOKUP(C290,O.B.JUNE!$AI$7:$AK$448,3,0),0)</f>
        <v>0</v>
      </c>
      <c r="G290" s="6">
        <f>IFERROR(VLOOKUP(C290,O.B.JUNE!$AI$7:$AL$448,4,0),0)</f>
        <v>6</v>
      </c>
      <c r="H290" s="6">
        <f t="shared" si="78"/>
        <v>6</v>
      </c>
      <c r="I290" s="6">
        <f>IFERROR(VLOOKUP(C290,O.B.JUNE!$AI$7:$AN$448,6,0),0)</f>
        <v>5</v>
      </c>
      <c r="J290" s="6"/>
      <c r="K290" s="6">
        <f>IFERROR(VLOOKUP(C290,O.B.JUNE!$AI$7:$AO$448,7,0),0)</f>
        <v>111252</v>
      </c>
      <c r="L290" s="6">
        <f>SUMIF('JUNE (물량흐름)'!$C$13:$C$488,'Overhead exp(제조경비)'!C290,'JUNE (물량흐름)'!$H$13:$H$493)+SUMIF('JUNE (물량흐름)'!$C$13:$C$493,'Overhead exp(제조경비)'!C290,'JUNE (물량흐름)'!$V$13:$V$493)</f>
        <v>0</v>
      </c>
      <c r="M290" s="6">
        <f t="shared" si="79"/>
        <v>0</v>
      </c>
      <c r="N290" s="6">
        <f t="shared" si="80"/>
        <v>0</v>
      </c>
      <c r="O290" s="6">
        <f t="shared" si="88"/>
        <v>0</v>
      </c>
      <c r="P290" s="6">
        <f>SUMIF('JUNE (물량흐름)'!$C$13:$C$502,C290,'JUNE (물량흐름)'!$T$13:$T$502)+SUMIF('JUNE (물량흐름)'!$C$13:$C$502,C290,'JUNE (물량흐름)'!$V$13:$V$502)+SUMIF('JUNE (물량흐름)'!$C$13:$C$502,C290,'JUNE (물량흐름)'!$U$13:$U$502)-SUMIF('JUNE (물량흐름)'!$C$13:$C$502,C290,'JUNE (물량흐름)'!$Y$13:$Y$502)</f>
        <v>0</v>
      </c>
      <c r="Q290" s="6">
        <f t="shared" si="86"/>
        <v>0</v>
      </c>
      <c r="R290" s="6">
        <f>IF(ISERROR(VLOOKUP(#REF!,'WIP(재공품)'!$B$12:$AB$38,13,0)),0,VLOOKUP(#REF!,'WIP(재공품)'!$B$12:$AB$38,13,0))</f>
        <v>0</v>
      </c>
      <c r="S290" s="6">
        <f>IF(ISERROR(VLOOKUP(#REF!,'WIP(재공품)'!$B$12:$AB$38,10,0)),0,VLOOKUP(#REF!,'WIP(재공품)'!$B$12:$AB$38,10,0))</f>
        <v>0</v>
      </c>
      <c r="T290" s="6">
        <f>SUMIF('JUNE (물량흐름)'!$C$13:$C$502,'Overhead exp(제조경비)'!C290,'JUNE (물량흐름)'!$Y$13:$Y$502)</f>
        <v>0</v>
      </c>
      <c r="U290" s="6">
        <f t="shared" si="81"/>
        <v>0</v>
      </c>
      <c r="V290" s="6">
        <f>ROUND(SUMIF('JUNE (물량흐름)'!$C$13:$C$502,'Overhead exp(제조경비)'!C290,'JUNE (물량흐름)'!$N$13:$N$502),0)</f>
        <v>0</v>
      </c>
      <c r="W290" s="6">
        <f>ROUND(SUMIF('JUNE (물량흐름)'!$C$13:$C$502,'Overhead exp(제조경비)'!C290,'JUNE (물량흐름)'!$O$13:$O$502),0)</f>
        <v>0</v>
      </c>
      <c r="X290" s="6">
        <f>ROUND(SUMIF('JUNE (물량흐름)'!$C$13:$C$502,'Overhead exp(제조경비)'!C290,'JUNE (물량흐름)'!$P$13:$P$502),0)</f>
        <v>6</v>
      </c>
      <c r="Y290" s="6">
        <f t="shared" si="82"/>
        <v>6</v>
      </c>
      <c r="Z290" s="6">
        <f t="shared" si="83"/>
        <v>5</v>
      </c>
      <c r="AA290" s="6">
        <f t="shared" si="87"/>
        <v>111252</v>
      </c>
      <c r="AB290" s="391">
        <f t="shared" si="84"/>
        <v>0</v>
      </c>
      <c r="AC290" s="391">
        <f t="shared" si="85"/>
        <v>0</v>
      </c>
    </row>
    <row r="291" spans="1:29" s="390" customFormat="1" ht="24" customHeight="1">
      <c r="A291" s="167">
        <v>285</v>
      </c>
      <c r="B291" s="20" t="str">
        <f>IFERROR(VLOOKUP(A291,'JUNE (물량흐름)'!$A$13:$C$502,2,0),0)</f>
        <v>ALFANI</v>
      </c>
      <c r="C291" s="272">
        <f>VLOOKUP(A291,'JUNE (물량흐름)'!$A$13:$C$502,3,0)</f>
        <v>100014862</v>
      </c>
      <c r="D291" s="6">
        <f>VLOOKUP(C291,'WIP(재공품)'!$B$12:$E$493,4,0)</f>
        <v>7936.2499999999991</v>
      </c>
      <c r="E291" s="6">
        <f>IFERROR(VLOOKUP(C291,O.B.JUNE!$AI$7:$AJ$448,2,0),0)</f>
        <v>0</v>
      </c>
      <c r="F291" s="6">
        <f>IFERROR(VLOOKUP(C291,O.B.JUNE!$AI$7:$AK$448,3,0),0)</f>
        <v>0</v>
      </c>
      <c r="G291" s="6">
        <f>IFERROR(VLOOKUP(C291,O.B.JUNE!$AI$7:$AL$448,4,0),0)</f>
        <v>54</v>
      </c>
      <c r="H291" s="6">
        <f t="shared" si="78"/>
        <v>54</v>
      </c>
      <c r="I291" s="6">
        <f>IFERROR(VLOOKUP(C291,O.B.JUNE!$AI$7:$AN$448,6,0),0)</f>
        <v>43</v>
      </c>
      <c r="J291" s="6"/>
      <c r="K291" s="6">
        <f>IFERROR(VLOOKUP(C291,O.B.JUNE!$AI$7:$AO$448,7,0),0)</f>
        <v>524439</v>
      </c>
      <c r="L291" s="6">
        <f>SUMIF('JUNE (물량흐름)'!$C$13:$C$488,'Overhead exp(제조경비)'!C291,'JUNE (물량흐름)'!$H$13:$H$493)+SUMIF('JUNE (물량흐름)'!$C$13:$C$493,'Overhead exp(제조경비)'!C291,'JUNE (물량흐름)'!$V$13:$V$493)</f>
        <v>0</v>
      </c>
      <c r="M291" s="6">
        <f t="shared" si="79"/>
        <v>0</v>
      </c>
      <c r="N291" s="6">
        <f t="shared" si="80"/>
        <v>0</v>
      </c>
      <c r="O291" s="6">
        <f t="shared" si="88"/>
        <v>0</v>
      </c>
      <c r="P291" s="6">
        <f>SUMIF('JUNE (물량흐름)'!$C$13:$C$502,C291,'JUNE (물량흐름)'!$T$13:$T$502)+SUMIF('JUNE (물량흐름)'!$C$13:$C$502,C291,'JUNE (물량흐름)'!$V$13:$V$502)+SUMIF('JUNE (물량흐름)'!$C$13:$C$502,C291,'JUNE (물량흐름)'!$U$13:$U$502)-SUMIF('JUNE (물량흐름)'!$C$13:$C$502,C291,'JUNE (물량흐름)'!$Y$13:$Y$502)</f>
        <v>0</v>
      </c>
      <c r="Q291" s="6">
        <f t="shared" si="86"/>
        <v>0</v>
      </c>
      <c r="R291" s="6">
        <f>IF(ISERROR(VLOOKUP(#REF!,'WIP(재공품)'!$B$12:$AB$38,13,0)),0,VLOOKUP(#REF!,'WIP(재공품)'!$B$12:$AB$38,13,0))</f>
        <v>0</v>
      </c>
      <c r="S291" s="6">
        <f>IF(ISERROR(VLOOKUP(#REF!,'WIP(재공품)'!$B$12:$AB$38,10,0)),0,VLOOKUP(#REF!,'WIP(재공품)'!$B$12:$AB$38,10,0))</f>
        <v>0</v>
      </c>
      <c r="T291" s="6">
        <f>SUMIF('JUNE (물량흐름)'!$C$13:$C$502,'Overhead exp(제조경비)'!C291,'JUNE (물량흐름)'!$Y$13:$Y$502)</f>
        <v>0</v>
      </c>
      <c r="U291" s="6">
        <f t="shared" si="81"/>
        <v>0</v>
      </c>
      <c r="V291" s="6">
        <f>ROUND(SUMIF('JUNE (물량흐름)'!$C$13:$C$502,'Overhead exp(제조경비)'!C291,'JUNE (물량흐름)'!$N$13:$N$502),0)</f>
        <v>0</v>
      </c>
      <c r="W291" s="6">
        <f>ROUND(SUMIF('JUNE (물량흐름)'!$C$13:$C$502,'Overhead exp(제조경비)'!C291,'JUNE (물량흐름)'!$O$13:$O$502),0)</f>
        <v>0</v>
      </c>
      <c r="X291" s="6">
        <f>ROUND(SUMIF('JUNE (물량흐름)'!$C$13:$C$502,'Overhead exp(제조경비)'!C291,'JUNE (물량흐름)'!$P$13:$P$502),0)</f>
        <v>54</v>
      </c>
      <c r="Y291" s="167">
        <f t="shared" si="82"/>
        <v>54</v>
      </c>
      <c r="Z291" s="167">
        <f t="shared" si="83"/>
        <v>43</v>
      </c>
      <c r="AA291" s="6">
        <f t="shared" si="87"/>
        <v>524439</v>
      </c>
      <c r="AB291" s="391">
        <f t="shared" si="84"/>
        <v>0</v>
      </c>
      <c r="AC291" s="391">
        <f t="shared" si="85"/>
        <v>0</v>
      </c>
    </row>
    <row r="292" spans="1:29" s="390" customFormat="1" ht="24" customHeight="1">
      <c r="A292" s="167">
        <v>286</v>
      </c>
      <c r="B292" s="20" t="str">
        <f>IFERROR(VLOOKUP(A292,'JUNE (물량흐름)'!$A$13:$C$502,2,0),0)</f>
        <v>ALFANI</v>
      </c>
      <c r="C292" s="272">
        <f>VLOOKUP(A292,'JUNE (물량흐름)'!$A$13:$C$502,3,0)</f>
        <v>100014863</v>
      </c>
      <c r="D292" s="6">
        <f>VLOOKUP(C292,'WIP(재공품)'!$B$12:$E$493,4,0)</f>
        <v>7936.2499999999991</v>
      </c>
      <c r="E292" s="6">
        <f>IFERROR(VLOOKUP(C292,O.B.JUNE!$AI$7:$AJ$448,2,0),0)</f>
        <v>0</v>
      </c>
      <c r="F292" s="6">
        <f>IFERROR(VLOOKUP(C292,O.B.JUNE!$AI$7:$AK$448,3,0),0)</f>
        <v>360</v>
      </c>
      <c r="G292" s="6">
        <f>IFERROR(VLOOKUP(C292,O.B.JUNE!$AI$7:$AL$448,4,0),0)</f>
        <v>1296</v>
      </c>
      <c r="H292" s="6">
        <f t="shared" si="78"/>
        <v>1656</v>
      </c>
      <c r="I292" s="6">
        <f>IFERROR(VLOOKUP(C292,O.B.JUNE!$AI$7:$AN$448,6,0),0)</f>
        <v>1217</v>
      </c>
      <c r="J292" s="6"/>
      <c r="K292" s="6">
        <f>IFERROR(VLOOKUP(C292,O.B.JUNE!$AI$7:$AO$448,7,0),0)</f>
        <v>21723686</v>
      </c>
      <c r="L292" s="6">
        <f>SUMIF('JUNE (물량흐름)'!$C$13:$C$488,'Overhead exp(제조경비)'!C292,'JUNE (물량흐름)'!$H$13:$H$493)+SUMIF('JUNE (물량흐름)'!$C$13:$C$493,'Overhead exp(제조경비)'!C292,'JUNE (물량흐름)'!$V$13:$V$493)</f>
        <v>0</v>
      </c>
      <c r="M292" s="6">
        <f t="shared" si="79"/>
        <v>0</v>
      </c>
      <c r="N292" s="6">
        <f t="shared" si="80"/>
        <v>0</v>
      </c>
      <c r="O292" s="6">
        <f t="shared" si="88"/>
        <v>0</v>
      </c>
      <c r="P292" s="6">
        <f>SUMIF('JUNE (물량흐름)'!$C$13:$C$502,C292,'JUNE (물량흐름)'!$T$13:$T$502)+SUMIF('JUNE (물량흐름)'!$C$13:$C$502,C292,'JUNE (물량흐름)'!$V$13:$V$502)+SUMIF('JUNE (물량흐름)'!$C$13:$C$502,C292,'JUNE (물량흐름)'!$U$13:$U$502)-SUMIF('JUNE (물량흐름)'!$C$13:$C$502,C292,'JUNE (물량흐름)'!$Y$13:$Y$502)</f>
        <v>0</v>
      </c>
      <c r="Q292" s="6">
        <f t="shared" si="86"/>
        <v>0</v>
      </c>
      <c r="R292" s="6">
        <f>IF(ISERROR(VLOOKUP(#REF!,'WIP(재공품)'!$B$12:$AB$38,13,0)),0,VLOOKUP(#REF!,'WIP(재공품)'!$B$12:$AB$38,13,0))</f>
        <v>0</v>
      </c>
      <c r="S292" s="6">
        <f>IF(ISERROR(VLOOKUP(#REF!,'WIP(재공품)'!$B$12:$AB$38,10,0)),0,VLOOKUP(#REF!,'WIP(재공품)'!$B$12:$AB$38,10,0))</f>
        <v>0</v>
      </c>
      <c r="T292" s="6">
        <f>SUMIF('JUNE (물량흐름)'!$C$13:$C$502,'Overhead exp(제조경비)'!C292,'JUNE (물량흐름)'!$Y$13:$Y$502)</f>
        <v>0</v>
      </c>
      <c r="U292" s="6">
        <f t="shared" si="81"/>
        <v>0</v>
      </c>
      <c r="V292" s="6">
        <f>ROUND(SUMIF('JUNE (물량흐름)'!$C$13:$C$502,'Overhead exp(제조경비)'!C292,'JUNE (물량흐름)'!$N$13:$N$502),0)</f>
        <v>0</v>
      </c>
      <c r="W292" s="6">
        <f>ROUND(SUMIF('JUNE (물량흐름)'!$C$13:$C$502,'Overhead exp(제조경비)'!C292,'JUNE (물량흐름)'!$O$13:$O$502),0)</f>
        <v>360</v>
      </c>
      <c r="X292" s="6">
        <f>ROUND(SUMIF('JUNE (물량흐름)'!$C$13:$C$502,'Overhead exp(제조경비)'!C292,'JUNE (물량흐름)'!$P$13:$P$502),0)</f>
        <v>1296</v>
      </c>
      <c r="Y292" s="6">
        <f t="shared" si="82"/>
        <v>1656</v>
      </c>
      <c r="Z292" s="6">
        <f t="shared" si="83"/>
        <v>1217</v>
      </c>
      <c r="AA292" s="6">
        <f t="shared" si="87"/>
        <v>21723686</v>
      </c>
      <c r="AB292" s="391">
        <f t="shared" si="84"/>
        <v>0</v>
      </c>
      <c r="AC292" s="391">
        <f t="shared" si="85"/>
        <v>0</v>
      </c>
    </row>
    <row r="293" spans="1:29" s="390" customFormat="1" ht="24" customHeight="1">
      <c r="A293" s="167">
        <v>287</v>
      </c>
      <c r="B293" s="20" t="str">
        <f>IFERROR(VLOOKUP(A293,'JUNE (물량흐름)'!$A$13:$C$502,2,0),0)</f>
        <v>ALFANI</v>
      </c>
      <c r="C293" s="272">
        <f>VLOOKUP(A293,'JUNE (물량흐름)'!$A$13:$C$502,3,0)</f>
        <v>100014864</v>
      </c>
      <c r="D293" s="6">
        <f>VLOOKUP(C293,'WIP(재공품)'!$B$12:$E$493,4,0)</f>
        <v>8163</v>
      </c>
      <c r="E293" s="6">
        <f>IFERROR(VLOOKUP(C293,O.B.JUNE!$AI$7:$AJ$448,2,0),0)</f>
        <v>0</v>
      </c>
      <c r="F293" s="6">
        <f>IFERROR(VLOOKUP(C293,O.B.JUNE!$AI$7:$AK$448,3,0),0)</f>
        <v>0</v>
      </c>
      <c r="G293" s="6">
        <f>IFERROR(VLOOKUP(C293,O.B.JUNE!$AI$7:$AL$448,4,0),0)</f>
        <v>44</v>
      </c>
      <c r="H293" s="6">
        <f t="shared" si="78"/>
        <v>44</v>
      </c>
      <c r="I293" s="6">
        <f>IFERROR(VLOOKUP(C293,O.B.JUNE!$AI$7:$AN$448,6,0),0)</f>
        <v>35</v>
      </c>
      <c r="J293" s="6"/>
      <c r="K293" s="6">
        <f>IFERROR(VLOOKUP(C293,O.B.JUNE!$AI$7:$AO$448,7,0),0)</f>
        <v>460619</v>
      </c>
      <c r="L293" s="6">
        <f>SUMIF('JUNE (물량흐름)'!$C$13:$C$488,'Overhead exp(제조경비)'!C293,'JUNE (물량흐름)'!$H$13:$H$493)+SUMIF('JUNE (물량흐름)'!$C$13:$C$493,'Overhead exp(제조경비)'!C293,'JUNE (물량흐름)'!$V$13:$V$493)</f>
        <v>0</v>
      </c>
      <c r="M293" s="6">
        <f t="shared" si="79"/>
        <v>0</v>
      </c>
      <c r="N293" s="6">
        <f t="shared" si="80"/>
        <v>0</v>
      </c>
      <c r="O293" s="6">
        <f t="shared" si="88"/>
        <v>0</v>
      </c>
      <c r="P293" s="6">
        <f>SUMIF('JUNE (물량흐름)'!$C$13:$C$502,C293,'JUNE (물량흐름)'!$T$13:$T$502)+SUMIF('JUNE (물량흐름)'!$C$13:$C$502,C293,'JUNE (물량흐름)'!$V$13:$V$502)+SUMIF('JUNE (물량흐름)'!$C$13:$C$502,C293,'JUNE (물량흐름)'!$U$13:$U$502)-SUMIF('JUNE (물량흐름)'!$C$13:$C$502,C293,'JUNE (물량흐름)'!$Y$13:$Y$502)</f>
        <v>0</v>
      </c>
      <c r="Q293" s="6">
        <f t="shared" si="86"/>
        <v>0</v>
      </c>
      <c r="R293" s="6">
        <f>IF(ISERROR(VLOOKUP(#REF!,'WIP(재공품)'!$B$12:$AB$38,13,0)),0,VLOOKUP(#REF!,'WIP(재공품)'!$B$12:$AB$38,13,0))</f>
        <v>0</v>
      </c>
      <c r="S293" s="6">
        <f>IF(ISERROR(VLOOKUP(#REF!,'WIP(재공품)'!$B$12:$AB$38,10,0)),0,VLOOKUP(#REF!,'WIP(재공품)'!$B$12:$AB$38,10,0))</f>
        <v>0</v>
      </c>
      <c r="T293" s="6">
        <f>SUMIF('JUNE (물량흐름)'!$C$13:$C$502,'Overhead exp(제조경비)'!C293,'JUNE (물량흐름)'!$Y$13:$Y$502)</f>
        <v>0</v>
      </c>
      <c r="U293" s="6">
        <f t="shared" si="81"/>
        <v>0</v>
      </c>
      <c r="V293" s="6">
        <f>ROUND(SUMIF('JUNE (물량흐름)'!$C$13:$C$502,'Overhead exp(제조경비)'!C293,'JUNE (물량흐름)'!$N$13:$N$502),0)</f>
        <v>0</v>
      </c>
      <c r="W293" s="6">
        <f>ROUND(SUMIF('JUNE (물량흐름)'!$C$13:$C$502,'Overhead exp(제조경비)'!C293,'JUNE (물량흐름)'!$O$13:$O$502),0)</f>
        <v>0</v>
      </c>
      <c r="X293" s="6">
        <f>ROUND(SUMIF('JUNE (물량흐름)'!$C$13:$C$502,'Overhead exp(제조경비)'!C293,'JUNE (물량흐름)'!$P$13:$P$502),0)</f>
        <v>44</v>
      </c>
      <c r="Y293" s="167">
        <f t="shared" si="82"/>
        <v>44</v>
      </c>
      <c r="Z293" s="167">
        <f t="shared" si="83"/>
        <v>35</v>
      </c>
      <c r="AA293" s="6">
        <f t="shared" si="87"/>
        <v>460619</v>
      </c>
      <c r="AB293" s="391">
        <f t="shared" si="84"/>
        <v>0</v>
      </c>
      <c r="AC293" s="391">
        <f t="shared" si="85"/>
        <v>0</v>
      </c>
    </row>
    <row r="294" spans="1:29" s="390" customFormat="1" ht="24" customHeight="1">
      <c r="A294" s="167">
        <v>288</v>
      </c>
      <c r="B294" s="20" t="str">
        <f>IFERROR(VLOOKUP(A294,'JUNE (물량흐름)'!$A$13:$C$502,2,0),0)</f>
        <v>ALFANI</v>
      </c>
      <c r="C294" s="272">
        <f>VLOOKUP(A294,'JUNE (물량흐름)'!$A$13:$C$502,3,0)</f>
        <v>100014869</v>
      </c>
      <c r="D294" s="6">
        <f>VLOOKUP(C294,'WIP(재공품)'!$B$12:$E$493,4,0)</f>
        <v>7936.2499999999991</v>
      </c>
      <c r="E294" s="6">
        <f>IFERROR(VLOOKUP(C294,O.B.JUNE!$AI$7:$AJ$448,2,0),0)</f>
        <v>0</v>
      </c>
      <c r="F294" s="6">
        <f>IFERROR(VLOOKUP(C294,O.B.JUNE!$AI$7:$AK$448,3,0),0)</f>
        <v>24</v>
      </c>
      <c r="G294" s="6">
        <f>IFERROR(VLOOKUP(C294,O.B.JUNE!$AI$7:$AL$448,4,0),0)</f>
        <v>18</v>
      </c>
      <c r="H294" s="6">
        <f t="shared" si="78"/>
        <v>42</v>
      </c>
      <c r="I294" s="6">
        <f>IFERROR(VLOOKUP(C294,O.B.JUNE!$AI$7:$AN$448,6,0),0)</f>
        <v>26</v>
      </c>
      <c r="J294" s="6"/>
      <c r="K294" s="6">
        <f>IFERROR(VLOOKUP(C294,O.B.JUNE!$AI$7:$AO$448,7,0),0)</f>
        <v>678535</v>
      </c>
      <c r="L294" s="6">
        <f>SUMIF('JUNE (물량흐름)'!$C$13:$C$488,'Overhead exp(제조경비)'!C294,'JUNE (물량흐름)'!$H$13:$H$493)+SUMIF('JUNE (물량흐름)'!$C$13:$C$493,'Overhead exp(제조경비)'!C294,'JUNE (물량흐름)'!$V$13:$V$493)</f>
        <v>0</v>
      </c>
      <c r="M294" s="6">
        <f t="shared" si="79"/>
        <v>0</v>
      </c>
      <c r="N294" s="6">
        <f t="shared" si="80"/>
        <v>0</v>
      </c>
      <c r="O294" s="6">
        <f t="shared" si="88"/>
        <v>0</v>
      </c>
      <c r="P294" s="6">
        <f>SUMIF('JUNE (물량흐름)'!$C$13:$C$502,C294,'JUNE (물량흐름)'!$T$13:$T$502)+SUMIF('JUNE (물량흐름)'!$C$13:$C$502,C294,'JUNE (물량흐름)'!$V$13:$V$502)+SUMIF('JUNE (물량흐름)'!$C$13:$C$502,C294,'JUNE (물량흐름)'!$U$13:$U$502)-SUMIF('JUNE (물량흐름)'!$C$13:$C$502,C294,'JUNE (물량흐름)'!$Y$13:$Y$502)</f>
        <v>0</v>
      </c>
      <c r="Q294" s="6">
        <f t="shared" si="86"/>
        <v>0</v>
      </c>
      <c r="R294" s="6">
        <f>IF(ISERROR(VLOOKUP(#REF!,'WIP(재공품)'!$B$12:$AB$38,13,0)),0,VLOOKUP(#REF!,'WIP(재공품)'!$B$12:$AB$38,13,0))</f>
        <v>0</v>
      </c>
      <c r="S294" s="6">
        <f>IF(ISERROR(VLOOKUP(#REF!,'WIP(재공품)'!$B$12:$AB$38,10,0)),0,VLOOKUP(#REF!,'WIP(재공품)'!$B$12:$AB$38,10,0))</f>
        <v>0</v>
      </c>
      <c r="T294" s="6">
        <f>SUMIF('JUNE (물량흐름)'!$C$13:$C$502,'Overhead exp(제조경비)'!C294,'JUNE (물량흐름)'!$Y$13:$Y$502)</f>
        <v>0</v>
      </c>
      <c r="U294" s="6">
        <f t="shared" si="81"/>
        <v>0</v>
      </c>
      <c r="V294" s="6">
        <f>ROUND(SUMIF('JUNE (물량흐름)'!$C$13:$C$502,'Overhead exp(제조경비)'!C294,'JUNE (물량흐름)'!$N$13:$N$502),0)</f>
        <v>0</v>
      </c>
      <c r="W294" s="6">
        <f>ROUND(SUMIF('JUNE (물량흐름)'!$C$13:$C$502,'Overhead exp(제조경비)'!C294,'JUNE (물량흐름)'!$O$13:$O$502),0)</f>
        <v>24</v>
      </c>
      <c r="X294" s="6">
        <f>ROUND(SUMIF('JUNE (물량흐름)'!$C$13:$C$502,'Overhead exp(제조경비)'!C294,'JUNE (물량흐름)'!$P$13:$P$502),0)</f>
        <v>18</v>
      </c>
      <c r="Y294" s="6">
        <f t="shared" si="82"/>
        <v>42</v>
      </c>
      <c r="Z294" s="6">
        <f t="shared" si="83"/>
        <v>26</v>
      </c>
      <c r="AA294" s="6">
        <f t="shared" si="87"/>
        <v>678535</v>
      </c>
      <c r="AB294" s="391">
        <f t="shared" si="84"/>
        <v>0</v>
      </c>
      <c r="AC294" s="391">
        <f t="shared" si="85"/>
        <v>0</v>
      </c>
    </row>
    <row r="295" spans="1:29" s="390" customFormat="1" ht="24" customHeight="1">
      <c r="A295" s="167">
        <v>289</v>
      </c>
      <c r="B295" s="20" t="str">
        <f>IFERROR(VLOOKUP(A295,'JUNE (물량흐름)'!$A$13:$C$502,2,0),0)</f>
        <v>ALFANI</v>
      </c>
      <c r="C295" s="272">
        <f>VLOOKUP(A295,'JUNE (물량흐름)'!$A$13:$C$502,3,0)</f>
        <v>100015148</v>
      </c>
      <c r="D295" s="6">
        <f>VLOOKUP(C295,'WIP(재공품)'!$B$12:$E$493,4,0)</f>
        <v>7936.2499999999991</v>
      </c>
      <c r="E295" s="6">
        <f>IFERROR(VLOOKUP(C295,O.B.JUNE!$AI$7:$AJ$448,2,0),0)</f>
        <v>0</v>
      </c>
      <c r="F295" s="6">
        <f>IFERROR(VLOOKUP(C295,O.B.JUNE!$AI$7:$AK$448,3,0),0)</f>
        <v>0</v>
      </c>
      <c r="G295" s="6">
        <f>IFERROR(VLOOKUP(C295,O.B.JUNE!$AI$7:$AL$448,4,0),0)</f>
        <v>53</v>
      </c>
      <c r="H295" s="6">
        <f t="shared" si="78"/>
        <v>53</v>
      </c>
      <c r="I295" s="6">
        <f>IFERROR(VLOOKUP(C295,O.B.JUNE!$AI$7:$AN$448,6,0),0)</f>
        <v>42</v>
      </c>
      <c r="J295" s="6"/>
      <c r="K295" s="6">
        <f>IFERROR(VLOOKUP(C295,O.B.JUNE!$AI$7:$AO$448,7,0),0)</f>
        <v>966515</v>
      </c>
      <c r="L295" s="6">
        <f>SUMIF('JUNE (물량흐름)'!$C$13:$C$488,'Overhead exp(제조경비)'!C295,'JUNE (물량흐름)'!$H$13:$H$493)+SUMIF('JUNE (물량흐름)'!$C$13:$C$493,'Overhead exp(제조경비)'!C295,'JUNE (물량흐름)'!$V$13:$V$493)</f>
        <v>0</v>
      </c>
      <c r="M295" s="6">
        <f t="shared" si="79"/>
        <v>0</v>
      </c>
      <c r="N295" s="6">
        <f t="shared" si="80"/>
        <v>0</v>
      </c>
      <c r="O295" s="6">
        <f t="shared" si="88"/>
        <v>0</v>
      </c>
      <c r="P295" s="6">
        <f>SUMIF('JUNE (물량흐름)'!$C$13:$C$502,C295,'JUNE (물량흐름)'!$T$13:$T$502)+SUMIF('JUNE (물량흐름)'!$C$13:$C$502,C295,'JUNE (물량흐름)'!$V$13:$V$502)+SUMIF('JUNE (물량흐름)'!$C$13:$C$502,C295,'JUNE (물량흐름)'!$U$13:$U$502)-SUMIF('JUNE (물량흐름)'!$C$13:$C$502,C295,'JUNE (물량흐름)'!$Y$13:$Y$502)</f>
        <v>0</v>
      </c>
      <c r="Q295" s="6">
        <f t="shared" si="86"/>
        <v>0</v>
      </c>
      <c r="R295" s="6">
        <f>IF(ISERROR(VLOOKUP(#REF!,'WIP(재공품)'!$B$12:$AB$38,13,0)),0,VLOOKUP(#REF!,'WIP(재공품)'!$B$12:$AB$38,13,0))</f>
        <v>0</v>
      </c>
      <c r="S295" s="6">
        <f>IF(ISERROR(VLOOKUP(#REF!,'WIP(재공품)'!$B$12:$AB$38,10,0)),0,VLOOKUP(#REF!,'WIP(재공품)'!$B$12:$AB$38,10,0))</f>
        <v>0</v>
      </c>
      <c r="T295" s="6">
        <f>SUMIF('JUNE (물량흐름)'!$C$13:$C$502,'Overhead exp(제조경비)'!C295,'JUNE (물량흐름)'!$Y$13:$Y$502)</f>
        <v>0</v>
      </c>
      <c r="U295" s="6">
        <f t="shared" si="81"/>
        <v>0</v>
      </c>
      <c r="V295" s="6">
        <f>ROUND(SUMIF('JUNE (물량흐름)'!$C$13:$C$502,'Overhead exp(제조경비)'!C295,'JUNE (물량흐름)'!$N$13:$N$502),0)</f>
        <v>0</v>
      </c>
      <c r="W295" s="6">
        <f>ROUND(SUMIF('JUNE (물량흐름)'!$C$13:$C$502,'Overhead exp(제조경비)'!C295,'JUNE (물량흐름)'!$O$13:$O$502),0)</f>
        <v>0</v>
      </c>
      <c r="X295" s="6">
        <f>ROUND(SUMIF('JUNE (물량흐름)'!$C$13:$C$502,'Overhead exp(제조경비)'!C295,'JUNE (물량흐름)'!$P$13:$P$502),0)</f>
        <v>53</v>
      </c>
      <c r="Y295" s="6">
        <f t="shared" si="82"/>
        <v>53</v>
      </c>
      <c r="Z295" s="6">
        <f t="shared" si="83"/>
        <v>42</v>
      </c>
      <c r="AA295" s="6">
        <f t="shared" si="87"/>
        <v>966515</v>
      </c>
      <c r="AB295" s="391">
        <f t="shared" si="84"/>
        <v>0</v>
      </c>
      <c r="AC295" s="391">
        <f t="shared" si="85"/>
        <v>0</v>
      </c>
    </row>
    <row r="296" spans="1:29" s="390" customFormat="1" ht="24" customHeight="1">
      <c r="A296" s="167">
        <v>290</v>
      </c>
      <c r="B296" s="20" t="str">
        <f>IFERROR(VLOOKUP(A296,'JUNE (물량흐름)'!$A$13:$C$502,2,0),0)</f>
        <v>ALFANI</v>
      </c>
      <c r="C296" s="272">
        <f>VLOOKUP(A296,'JUNE (물량흐름)'!$A$13:$C$502,3,0)</f>
        <v>100015173</v>
      </c>
      <c r="D296" s="6">
        <f>VLOOKUP(C296,'WIP(재공품)'!$B$12:$E$493,4,0)</f>
        <v>7936.2499999999991</v>
      </c>
      <c r="E296" s="6">
        <f>IFERROR(VLOOKUP(C296,O.B.JUNE!$AI$7:$AJ$448,2,0),0)</f>
        <v>0</v>
      </c>
      <c r="F296" s="6">
        <f>IFERROR(VLOOKUP(C296,O.B.JUNE!$AI$7:$AK$448,3,0),0)</f>
        <v>0</v>
      </c>
      <c r="G296" s="6">
        <f>IFERROR(VLOOKUP(C296,O.B.JUNE!$AI$7:$AL$448,4,0),0)</f>
        <v>18</v>
      </c>
      <c r="H296" s="6">
        <f t="shared" si="78"/>
        <v>18</v>
      </c>
      <c r="I296" s="6">
        <f>IFERROR(VLOOKUP(C296,O.B.JUNE!$AI$7:$AN$448,6,0),0)</f>
        <v>14</v>
      </c>
      <c r="J296" s="6"/>
      <c r="K296" s="6">
        <f>IFERROR(VLOOKUP(C296,O.B.JUNE!$AI$7:$AO$448,7,0),0)</f>
        <v>502788</v>
      </c>
      <c r="L296" s="6">
        <f>SUMIF('JUNE (물량흐름)'!$C$13:$C$488,'Overhead exp(제조경비)'!C296,'JUNE (물량흐름)'!$H$13:$H$493)+SUMIF('JUNE (물량흐름)'!$C$13:$C$493,'Overhead exp(제조경비)'!C296,'JUNE (물량흐름)'!$V$13:$V$493)</f>
        <v>0</v>
      </c>
      <c r="M296" s="6">
        <f t="shared" si="79"/>
        <v>0</v>
      </c>
      <c r="N296" s="6">
        <f t="shared" si="80"/>
        <v>0</v>
      </c>
      <c r="O296" s="6">
        <f t="shared" si="88"/>
        <v>0</v>
      </c>
      <c r="P296" s="6">
        <f>SUMIF('JUNE (물량흐름)'!$C$13:$C$502,C296,'JUNE (물량흐름)'!$T$13:$T$502)+SUMIF('JUNE (물량흐름)'!$C$13:$C$502,C296,'JUNE (물량흐름)'!$V$13:$V$502)+SUMIF('JUNE (물량흐름)'!$C$13:$C$502,C296,'JUNE (물량흐름)'!$U$13:$U$502)-SUMIF('JUNE (물량흐름)'!$C$13:$C$502,C296,'JUNE (물량흐름)'!$Y$13:$Y$502)</f>
        <v>0</v>
      </c>
      <c r="Q296" s="6">
        <f t="shared" si="86"/>
        <v>0</v>
      </c>
      <c r="R296" s="6">
        <f>IF(ISERROR(VLOOKUP(#REF!,'WIP(재공품)'!$B$12:$AB$38,13,0)),0,VLOOKUP(#REF!,'WIP(재공품)'!$B$12:$AB$38,13,0))</f>
        <v>0</v>
      </c>
      <c r="S296" s="6">
        <f>IF(ISERROR(VLOOKUP(#REF!,'WIP(재공품)'!$B$12:$AB$38,10,0)),0,VLOOKUP(#REF!,'WIP(재공품)'!$B$12:$AB$38,10,0))</f>
        <v>0</v>
      </c>
      <c r="T296" s="6">
        <f>SUMIF('JUNE (물량흐름)'!$C$13:$C$502,'Overhead exp(제조경비)'!C296,'JUNE (물량흐름)'!$Y$13:$Y$502)</f>
        <v>0</v>
      </c>
      <c r="U296" s="6">
        <f t="shared" si="81"/>
        <v>0</v>
      </c>
      <c r="V296" s="6">
        <f>ROUND(SUMIF('JUNE (물량흐름)'!$C$13:$C$502,'Overhead exp(제조경비)'!C296,'JUNE (물량흐름)'!$N$13:$N$502),0)</f>
        <v>0</v>
      </c>
      <c r="W296" s="6">
        <f>ROUND(SUMIF('JUNE (물량흐름)'!$C$13:$C$502,'Overhead exp(제조경비)'!C296,'JUNE (물량흐름)'!$O$13:$O$502),0)</f>
        <v>0</v>
      </c>
      <c r="X296" s="6">
        <f>ROUND(SUMIF('JUNE (물량흐름)'!$C$13:$C$502,'Overhead exp(제조경비)'!C296,'JUNE (물량흐름)'!$P$13:$P$502),0)</f>
        <v>18</v>
      </c>
      <c r="Y296" s="6">
        <f t="shared" si="82"/>
        <v>18</v>
      </c>
      <c r="Z296" s="6">
        <f t="shared" si="83"/>
        <v>14</v>
      </c>
      <c r="AA296" s="6">
        <f t="shared" si="87"/>
        <v>502788</v>
      </c>
      <c r="AB296" s="391">
        <f t="shared" si="84"/>
        <v>0</v>
      </c>
      <c r="AC296" s="391">
        <f t="shared" si="85"/>
        <v>0</v>
      </c>
    </row>
    <row r="297" spans="1:29" s="390" customFormat="1" ht="24" customHeight="1">
      <c r="A297" s="167">
        <v>291</v>
      </c>
      <c r="B297" s="20" t="str">
        <f>IFERROR(VLOOKUP(A297,'JUNE (물량흐름)'!$A$13:$C$502,2,0),0)</f>
        <v>ALFANI</v>
      </c>
      <c r="C297" s="272">
        <f>VLOOKUP(A297,'JUNE (물량흐름)'!$A$13:$C$502,3,0)</f>
        <v>100015180</v>
      </c>
      <c r="D297" s="6">
        <f>VLOOKUP(C297,'WIP(재공품)'!$B$12:$E$493,4,0)</f>
        <v>7936.2499999999991</v>
      </c>
      <c r="E297" s="6">
        <f>IFERROR(VLOOKUP(C297,O.B.JUNE!$AI$7:$AJ$448,2,0),0)</f>
        <v>0</v>
      </c>
      <c r="F297" s="6">
        <f>IFERROR(VLOOKUP(C297,O.B.JUNE!$AI$7:$AK$448,3,0),0)</f>
        <v>9</v>
      </c>
      <c r="G297" s="6">
        <f>IFERROR(VLOOKUP(C297,O.B.JUNE!$AI$7:$AL$448,4,0),0)</f>
        <v>16</v>
      </c>
      <c r="H297" s="6">
        <f t="shared" si="78"/>
        <v>25</v>
      </c>
      <c r="I297" s="6">
        <f>IFERROR(VLOOKUP(C297,O.B.JUNE!$AI$7:$AN$448,6,0),0)</f>
        <v>17</v>
      </c>
      <c r="J297" s="6"/>
      <c r="K297" s="6">
        <f>IFERROR(VLOOKUP(C297,O.B.JUNE!$AI$7:$AO$448,7,0),0)</f>
        <v>466323</v>
      </c>
      <c r="L297" s="6">
        <f>SUMIF('JUNE (물량흐름)'!$C$13:$C$488,'Overhead exp(제조경비)'!C297,'JUNE (물량흐름)'!$H$13:$H$493)+SUMIF('JUNE (물량흐름)'!$C$13:$C$493,'Overhead exp(제조경비)'!C297,'JUNE (물량흐름)'!$V$13:$V$493)</f>
        <v>0</v>
      </c>
      <c r="M297" s="6">
        <f t="shared" si="79"/>
        <v>0</v>
      </c>
      <c r="N297" s="6">
        <f t="shared" si="80"/>
        <v>0</v>
      </c>
      <c r="O297" s="6">
        <f t="shared" si="88"/>
        <v>0</v>
      </c>
      <c r="P297" s="6">
        <f>SUMIF('JUNE (물량흐름)'!$C$13:$C$502,C297,'JUNE (물량흐름)'!$T$13:$T$502)+SUMIF('JUNE (물량흐름)'!$C$13:$C$502,C297,'JUNE (물량흐름)'!$V$13:$V$502)+SUMIF('JUNE (물량흐름)'!$C$13:$C$502,C297,'JUNE (물량흐름)'!$U$13:$U$502)-SUMIF('JUNE (물량흐름)'!$C$13:$C$502,C297,'JUNE (물량흐름)'!$Y$13:$Y$502)</f>
        <v>0</v>
      </c>
      <c r="Q297" s="6">
        <f t="shared" si="86"/>
        <v>0</v>
      </c>
      <c r="R297" s="6">
        <f>IF(ISERROR(VLOOKUP(#REF!,'WIP(재공품)'!$B$12:$AB$38,13,0)),0,VLOOKUP(#REF!,'WIP(재공품)'!$B$12:$AB$38,13,0))</f>
        <v>0</v>
      </c>
      <c r="S297" s="6">
        <f>IF(ISERROR(VLOOKUP(#REF!,'WIP(재공품)'!$B$12:$AB$38,10,0)),0,VLOOKUP(#REF!,'WIP(재공품)'!$B$12:$AB$38,10,0))</f>
        <v>0</v>
      </c>
      <c r="T297" s="6">
        <f>SUMIF('JUNE (물량흐름)'!$C$13:$C$502,'Overhead exp(제조경비)'!C297,'JUNE (물량흐름)'!$Y$13:$Y$502)</f>
        <v>0</v>
      </c>
      <c r="U297" s="6">
        <f t="shared" si="81"/>
        <v>0</v>
      </c>
      <c r="V297" s="6">
        <f>ROUND(SUMIF('JUNE (물량흐름)'!$C$13:$C$502,'Overhead exp(제조경비)'!C297,'JUNE (물량흐름)'!$N$13:$N$502),0)</f>
        <v>0</v>
      </c>
      <c r="W297" s="6">
        <f>ROUND(SUMIF('JUNE (물량흐름)'!$C$13:$C$502,'Overhead exp(제조경비)'!C297,'JUNE (물량흐름)'!$O$13:$O$502),0)</f>
        <v>9</v>
      </c>
      <c r="X297" s="6">
        <f>ROUND(SUMIF('JUNE (물량흐름)'!$C$13:$C$502,'Overhead exp(제조경비)'!C297,'JUNE (물량흐름)'!$P$13:$P$502),0)</f>
        <v>16</v>
      </c>
      <c r="Y297" s="6">
        <f t="shared" si="82"/>
        <v>25</v>
      </c>
      <c r="Z297" s="6">
        <f t="shared" si="83"/>
        <v>17</v>
      </c>
      <c r="AA297" s="6">
        <f t="shared" si="87"/>
        <v>466323</v>
      </c>
      <c r="AB297" s="391">
        <f t="shared" si="84"/>
        <v>0</v>
      </c>
      <c r="AC297" s="391">
        <f t="shared" si="85"/>
        <v>0</v>
      </c>
    </row>
    <row r="298" spans="1:29" s="390" customFormat="1" ht="24" customHeight="1">
      <c r="A298" s="167">
        <v>292</v>
      </c>
      <c r="B298" s="20" t="str">
        <f>IFERROR(VLOOKUP(A298,'JUNE (물량흐름)'!$A$13:$C$502,2,0),0)</f>
        <v>ALFANI</v>
      </c>
      <c r="C298" s="272">
        <f>VLOOKUP(A298,'JUNE (물량흐름)'!$A$13:$C$502,3,0)</f>
        <v>100015249</v>
      </c>
      <c r="D298" s="6">
        <f>VLOOKUP(C298,'WIP(재공품)'!$B$12:$E$493,4,0)</f>
        <v>28343.75</v>
      </c>
      <c r="E298" s="6">
        <f>IFERROR(VLOOKUP(C298,O.B.JUNE!$AI$7:$AJ$448,2,0),0)</f>
        <v>0</v>
      </c>
      <c r="F298" s="6">
        <f>IFERROR(VLOOKUP(C298,O.B.JUNE!$AI$7:$AK$448,3,0),0)</f>
        <v>22</v>
      </c>
      <c r="G298" s="6">
        <f>IFERROR(VLOOKUP(C298,O.B.JUNE!$AI$7:$AL$448,4,0),0)</f>
        <v>40</v>
      </c>
      <c r="H298" s="6">
        <f t="shared" si="78"/>
        <v>62</v>
      </c>
      <c r="I298" s="6">
        <f>IFERROR(VLOOKUP(C298,O.B.JUNE!$AI$7:$AN$448,6,0),0)</f>
        <v>43</v>
      </c>
      <c r="J298" s="6"/>
      <c r="K298" s="6">
        <f>IFERROR(VLOOKUP(C298,O.B.JUNE!$AI$7:$AO$448,7,0),0)</f>
        <v>1017437</v>
      </c>
      <c r="L298" s="6">
        <f>SUMIF('JUNE (물량흐름)'!$C$13:$C$488,'Overhead exp(제조경비)'!C298,'JUNE (물량흐름)'!$H$13:$H$493)+SUMIF('JUNE (물량흐름)'!$C$13:$C$493,'Overhead exp(제조경비)'!C298,'JUNE (물량흐름)'!$V$13:$V$493)</f>
        <v>0</v>
      </c>
      <c r="M298" s="6">
        <f t="shared" si="79"/>
        <v>0</v>
      </c>
      <c r="N298" s="6">
        <f t="shared" si="80"/>
        <v>0</v>
      </c>
      <c r="O298" s="6">
        <f t="shared" si="88"/>
        <v>0</v>
      </c>
      <c r="P298" s="6">
        <f>SUMIF('JUNE (물량흐름)'!$C$13:$C$502,C298,'JUNE (물량흐름)'!$T$13:$T$502)+SUMIF('JUNE (물량흐름)'!$C$13:$C$502,C298,'JUNE (물량흐름)'!$V$13:$V$502)+SUMIF('JUNE (물량흐름)'!$C$13:$C$502,C298,'JUNE (물량흐름)'!$U$13:$U$502)-SUMIF('JUNE (물량흐름)'!$C$13:$C$502,C298,'JUNE (물량흐름)'!$Y$13:$Y$502)</f>
        <v>0</v>
      </c>
      <c r="Q298" s="6">
        <f t="shared" si="86"/>
        <v>0</v>
      </c>
      <c r="R298" s="6">
        <f>IF(ISERROR(VLOOKUP(#REF!,'WIP(재공품)'!$B$12:$AB$38,13,0)),0,VLOOKUP(#REF!,'WIP(재공품)'!$B$12:$AB$38,13,0))</f>
        <v>0</v>
      </c>
      <c r="S298" s="6">
        <f>IF(ISERROR(VLOOKUP(#REF!,'WIP(재공품)'!$B$12:$AB$38,10,0)),0,VLOOKUP(#REF!,'WIP(재공품)'!$B$12:$AB$38,10,0))</f>
        <v>0</v>
      </c>
      <c r="T298" s="6">
        <f>SUMIF('JUNE (물량흐름)'!$C$13:$C$502,'Overhead exp(제조경비)'!C298,'JUNE (물량흐름)'!$Y$13:$Y$502)</f>
        <v>0</v>
      </c>
      <c r="U298" s="6">
        <f t="shared" si="81"/>
        <v>0</v>
      </c>
      <c r="V298" s="6">
        <f>ROUND(SUMIF('JUNE (물량흐름)'!$C$13:$C$502,'Overhead exp(제조경비)'!C298,'JUNE (물량흐름)'!$N$13:$N$502),0)</f>
        <v>0</v>
      </c>
      <c r="W298" s="6">
        <f>ROUND(SUMIF('JUNE (물량흐름)'!$C$13:$C$502,'Overhead exp(제조경비)'!C298,'JUNE (물량흐름)'!$O$13:$O$502),0)</f>
        <v>22</v>
      </c>
      <c r="X298" s="6">
        <f>ROUND(SUMIF('JUNE (물량흐름)'!$C$13:$C$502,'Overhead exp(제조경비)'!C298,'JUNE (물량흐름)'!$P$13:$P$502),0)</f>
        <v>40</v>
      </c>
      <c r="Y298" s="6">
        <f t="shared" si="82"/>
        <v>62</v>
      </c>
      <c r="Z298" s="6">
        <f t="shared" si="83"/>
        <v>43</v>
      </c>
      <c r="AA298" s="6">
        <f t="shared" si="87"/>
        <v>1017437</v>
      </c>
      <c r="AB298" s="391">
        <f t="shared" si="84"/>
        <v>0</v>
      </c>
      <c r="AC298" s="391">
        <f t="shared" si="85"/>
        <v>0</v>
      </c>
    </row>
    <row r="299" spans="1:29" s="390" customFormat="1" ht="24" customHeight="1">
      <c r="A299" s="167">
        <v>293</v>
      </c>
      <c r="B299" s="20" t="str">
        <f>IFERROR(VLOOKUP(A299,'JUNE (물량흐름)'!$A$13:$C$502,2,0),0)</f>
        <v>ALFANI</v>
      </c>
      <c r="C299" s="272">
        <f>VLOOKUP(A299,'JUNE (물량흐름)'!$A$13:$C$502,3,0)</f>
        <v>100015301</v>
      </c>
      <c r="D299" s="6">
        <f>VLOOKUP(C299,'WIP(재공품)'!$B$12:$E$493,4,0)</f>
        <v>7936.2499999999991</v>
      </c>
      <c r="E299" s="6">
        <f>IFERROR(VLOOKUP(C299,O.B.JUNE!$AI$7:$AJ$448,2,0),0)</f>
        <v>0</v>
      </c>
      <c r="F299" s="6">
        <f>IFERROR(VLOOKUP(C299,O.B.JUNE!$AI$7:$AK$448,3,0),0)</f>
        <v>0</v>
      </c>
      <c r="G299" s="6">
        <f>IFERROR(VLOOKUP(C299,O.B.JUNE!$AI$7:$AL$448,4,0),0)</f>
        <v>443</v>
      </c>
      <c r="H299" s="6">
        <f t="shared" si="78"/>
        <v>443</v>
      </c>
      <c r="I299" s="6">
        <f>IFERROR(VLOOKUP(C299,O.B.JUNE!$AI$7:$AN$448,6,0),0)</f>
        <v>354</v>
      </c>
      <c r="J299" s="6"/>
      <c r="K299" s="6">
        <f>IFERROR(VLOOKUP(C299,O.B.JUNE!$AI$7:$AO$448,7,0),0)</f>
        <v>9419559</v>
      </c>
      <c r="L299" s="6">
        <f>SUMIF('JUNE (물량흐름)'!$C$13:$C$488,'Overhead exp(제조경비)'!C299,'JUNE (물량흐름)'!$H$13:$H$493)+SUMIF('JUNE (물량흐름)'!$C$13:$C$493,'Overhead exp(제조경비)'!C299,'JUNE (물량흐름)'!$V$13:$V$493)</f>
        <v>0</v>
      </c>
      <c r="M299" s="6">
        <f t="shared" si="79"/>
        <v>0</v>
      </c>
      <c r="N299" s="6">
        <f t="shared" si="80"/>
        <v>0</v>
      </c>
      <c r="O299" s="6">
        <f t="shared" si="88"/>
        <v>0</v>
      </c>
      <c r="P299" s="6">
        <f>SUMIF('JUNE (물량흐름)'!$C$13:$C$502,C299,'JUNE (물량흐름)'!$T$13:$T$502)+SUMIF('JUNE (물량흐름)'!$C$13:$C$502,C299,'JUNE (물량흐름)'!$V$13:$V$502)+SUMIF('JUNE (물량흐름)'!$C$13:$C$502,C299,'JUNE (물량흐름)'!$U$13:$U$502)-SUMIF('JUNE (물량흐름)'!$C$13:$C$502,C299,'JUNE (물량흐름)'!$Y$13:$Y$502)</f>
        <v>0</v>
      </c>
      <c r="Q299" s="6">
        <f t="shared" si="86"/>
        <v>0</v>
      </c>
      <c r="R299" s="6">
        <f>IF(ISERROR(VLOOKUP(#REF!,'WIP(재공품)'!$B$12:$AB$38,13,0)),0,VLOOKUP(#REF!,'WIP(재공품)'!$B$12:$AB$38,13,0))</f>
        <v>0</v>
      </c>
      <c r="S299" s="6">
        <f>IF(ISERROR(VLOOKUP(#REF!,'WIP(재공품)'!$B$12:$AB$38,10,0)),0,VLOOKUP(#REF!,'WIP(재공품)'!$B$12:$AB$38,10,0))</f>
        <v>0</v>
      </c>
      <c r="T299" s="6">
        <f>SUMIF('JUNE (물량흐름)'!$C$13:$C$502,'Overhead exp(제조경비)'!C299,'JUNE (물량흐름)'!$Y$13:$Y$502)</f>
        <v>0</v>
      </c>
      <c r="U299" s="6">
        <f t="shared" si="81"/>
        <v>0</v>
      </c>
      <c r="V299" s="6">
        <f>ROUND(SUMIF('JUNE (물량흐름)'!$C$13:$C$502,'Overhead exp(제조경비)'!C299,'JUNE (물량흐름)'!$N$13:$N$502),0)</f>
        <v>0</v>
      </c>
      <c r="W299" s="6">
        <f>ROUND(SUMIF('JUNE (물량흐름)'!$C$13:$C$502,'Overhead exp(제조경비)'!C299,'JUNE (물량흐름)'!$O$13:$O$502),0)</f>
        <v>0</v>
      </c>
      <c r="X299" s="6">
        <f>ROUND(SUMIF('JUNE (물량흐름)'!$C$13:$C$502,'Overhead exp(제조경비)'!C299,'JUNE (물량흐름)'!$P$13:$P$502),0)</f>
        <v>443</v>
      </c>
      <c r="Y299" s="167">
        <f t="shared" si="82"/>
        <v>443</v>
      </c>
      <c r="Z299" s="167">
        <f t="shared" si="83"/>
        <v>354</v>
      </c>
      <c r="AA299" s="6">
        <f t="shared" si="87"/>
        <v>9419559</v>
      </c>
      <c r="AB299" s="391">
        <f t="shared" si="84"/>
        <v>0</v>
      </c>
      <c r="AC299" s="391">
        <f t="shared" si="85"/>
        <v>0</v>
      </c>
    </row>
    <row r="300" spans="1:29" s="390" customFormat="1" ht="24" customHeight="1">
      <c r="A300" s="167">
        <v>294</v>
      </c>
      <c r="B300" s="20" t="str">
        <f>IFERROR(VLOOKUP(A300,'JUNE (물량흐름)'!$A$13:$C$502,2,0),0)</f>
        <v>ALFANI</v>
      </c>
      <c r="C300" s="272">
        <f>VLOOKUP(A300,'JUNE (물량흐름)'!$A$13:$C$502,3,0)</f>
        <v>100015303</v>
      </c>
      <c r="D300" s="6">
        <f>VLOOKUP(C300,'WIP(재공품)'!$B$12:$E$493,4,0)</f>
        <v>7936.2499999999991</v>
      </c>
      <c r="E300" s="6">
        <f>IFERROR(VLOOKUP(C300,O.B.JUNE!$AI$7:$AJ$448,2,0),0)</f>
        <v>0</v>
      </c>
      <c r="F300" s="6">
        <f>IFERROR(VLOOKUP(C300,O.B.JUNE!$AI$7:$AK$448,3,0),0)</f>
        <v>0</v>
      </c>
      <c r="G300" s="6">
        <f>IFERROR(VLOOKUP(C300,O.B.JUNE!$AI$7:$AL$448,4,0),0)</f>
        <v>189</v>
      </c>
      <c r="H300" s="6">
        <f t="shared" si="78"/>
        <v>189</v>
      </c>
      <c r="I300" s="6">
        <f>IFERROR(VLOOKUP(C300,O.B.JUNE!$AI$7:$AN$448,6,0),0)</f>
        <v>151</v>
      </c>
      <c r="J300" s="6"/>
      <c r="K300" s="6">
        <f>IFERROR(VLOOKUP(C300,O.B.JUNE!$AI$7:$AO$448,7,0),0)</f>
        <v>3481974</v>
      </c>
      <c r="L300" s="6">
        <f>SUMIF('JUNE (물량흐름)'!$C$13:$C$488,'Overhead exp(제조경비)'!C300,'JUNE (물량흐름)'!$H$13:$H$493)+SUMIF('JUNE (물량흐름)'!$C$13:$C$493,'Overhead exp(제조경비)'!C300,'JUNE (물량흐름)'!$V$13:$V$493)</f>
        <v>0</v>
      </c>
      <c r="M300" s="6">
        <f t="shared" si="79"/>
        <v>0</v>
      </c>
      <c r="N300" s="6">
        <f t="shared" si="80"/>
        <v>0</v>
      </c>
      <c r="O300" s="6">
        <f t="shared" si="88"/>
        <v>0</v>
      </c>
      <c r="P300" s="6">
        <f>SUMIF('JUNE (물량흐름)'!$C$13:$C$502,C300,'JUNE (물량흐름)'!$T$13:$T$502)+SUMIF('JUNE (물량흐름)'!$C$13:$C$502,C300,'JUNE (물량흐름)'!$V$13:$V$502)+SUMIF('JUNE (물량흐름)'!$C$13:$C$502,C300,'JUNE (물량흐름)'!$U$13:$U$502)-SUMIF('JUNE (물량흐름)'!$C$13:$C$502,C300,'JUNE (물량흐름)'!$Y$13:$Y$502)</f>
        <v>0</v>
      </c>
      <c r="Q300" s="6">
        <f t="shared" si="86"/>
        <v>0</v>
      </c>
      <c r="R300" s="6">
        <f>IF(ISERROR(VLOOKUP(#REF!,'WIP(재공품)'!$B$12:$AB$38,13,0)),0,VLOOKUP(#REF!,'WIP(재공품)'!$B$12:$AB$38,13,0))</f>
        <v>0</v>
      </c>
      <c r="S300" s="6">
        <f>IF(ISERROR(VLOOKUP(#REF!,'WIP(재공품)'!$B$12:$AB$38,10,0)),0,VLOOKUP(#REF!,'WIP(재공품)'!$B$12:$AB$38,10,0))</f>
        <v>0</v>
      </c>
      <c r="T300" s="6">
        <f>SUMIF('JUNE (물량흐름)'!$C$13:$C$502,'Overhead exp(제조경비)'!C300,'JUNE (물량흐름)'!$Y$13:$Y$502)</f>
        <v>0</v>
      </c>
      <c r="U300" s="6">
        <f t="shared" si="81"/>
        <v>0</v>
      </c>
      <c r="V300" s="6">
        <f>ROUND(SUMIF('JUNE (물량흐름)'!$C$13:$C$502,'Overhead exp(제조경비)'!C300,'JUNE (물량흐름)'!$N$13:$N$502),0)</f>
        <v>0</v>
      </c>
      <c r="W300" s="6">
        <f>ROUND(SUMIF('JUNE (물량흐름)'!$C$13:$C$502,'Overhead exp(제조경비)'!C300,'JUNE (물량흐름)'!$O$13:$O$502),0)</f>
        <v>0</v>
      </c>
      <c r="X300" s="6">
        <f>ROUND(SUMIF('JUNE (물량흐름)'!$C$13:$C$502,'Overhead exp(제조경비)'!C300,'JUNE (물량흐름)'!$P$13:$P$502),0)</f>
        <v>189</v>
      </c>
      <c r="Y300" s="6">
        <f t="shared" si="82"/>
        <v>189</v>
      </c>
      <c r="Z300" s="6">
        <f t="shared" si="83"/>
        <v>151</v>
      </c>
      <c r="AA300" s="6">
        <f t="shared" si="87"/>
        <v>3481974</v>
      </c>
      <c r="AB300" s="391">
        <f t="shared" si="84"/>
        <v>0</v>
      </c>
      <c r="AC300" s="391">
        <f t="shared" si="85"/>
        <v>0</v>
      </c>
    </row>
    <row r="301" spans="1:29" s="390" customFormat="1" ht="24" customHeight="1">
      <c r="A301" s="167">
        <v>295</v>
      </c>
      <c r="B301" s="20" t="str">
        <f>IFERROR(VLOOKUP(A301,'JUNE (물량흐름)'!$A$13:$C$502,2,0),0)</f>
        <v>ALFANI</v>
      </c>
      <c r="C301" s="272">
        <f>VLOOKUP(A301,'JUNE (물량흐름)'!$A$13:$C$502,3,0)</f>
        <v>100015304</v>
      </c>
      <c r="D301" s="6">
        <f>VLOOKUP(C301,'WIP(재공품)'!$B$12:$E$493,4,0)</f>
        <v>40815</v>
      </c>
      <c r="E301" s="6">
        <f>IFERROR(VLOOKUP(C301,O.B.JUNE!$AI$7:$AJ$448,2,0),0)</f>
        <v>17</v>
      </c>
      <c r="F301" s="6">
        <f>IFERROR(VLOOKUP(C301,O.B.JUNE!$AI$7:$AK$448,3,0),0)</f>
        <v>80</v>
      </c>
      <c r="G301" s="6">
        <f>IFERROR(VLOOKUP(C301,O.B.JUNE!$AI$7:$AL$448,4,0),0)</f>
        <v>23</v>
      </c>
      <c r="H301" s="6">
        <f t="shared" si="78"/>
        <v>120</v>
      </c>
      <c r="I301" s="6">
        <f>IFERROR(VLOOKUP(C301,O.B.JUNE!$AI$7:$AN$448,6,0),0)</f>
        <v>62</v>
      </c>
      <c r="J301" s="6"/>
      <c r="K301" s="6">
        <f>IFERROR(VLOOKUP(C301,O.B.JUNE!$AI$7:$AO$448,7,0),0)</f>
        <v>1650190</v>
      </c>
      <c r="L301" s="6">
        <f>SUMIF('JUNE (물량흐름)'!$C$13:$C$488,'Overhead exp(제조경비)'!C301,'JUNE (물량흐름)'!$H$13:$H$493)+SUMIF('JUNE (물량흐름)'!$C$13:$C$493,'Overhead exp(제조경비)'!C301,'JUNE (물량흐름)'!$V$13:$V$493)</f>
        <v>0</v>
      </c>
      <c r="M301" s="6">
        <f t="shared" si="79"/>
        <v>0</v>
      </c>
      <c r="N301" s="6">
        <f t="shared" si="80"/>
        <v>0</v>
      </c>
      <c r="O301" s="6">
        <f t="shared" si="88"/>
        <v>0</v>
      </c>
      <c r="P301" s="6">
        <f>SUMIF('JUNE (물량흐름)'!$C$13:$C$502,C301,'JUNE (물량흐름)'!$T$13:$T$502)+SUMIF('JUNE (물량흐름)'!$C$13:$C$502,C301,'JUNE (물량흐름)'!$V$13:$V$502)+SUMIF('JUNE (물량흐름)'!$C$13:$C$502,C301,'JUNE (물량흐름)'!$U$13:$U$502)-SUMIF('JUNE (물량흐름)'!$C$13:$C$502,C301,'JUNE (물량흐름)'!$Y$13:$Y$502)</f>
        <v>0</v>
      </c>
      <c r="Q301" s="6">
        <f t="shared" si="86"/>
        <v>0</v>
      </c>
      <c r="R301" s="6">
        <f>IF(ISERROR(VLOOKUP(#REF!,'WIP(재공품)'!$B$12:$AB$38,13,0)),0,VLOOKUP(#REF!,'WIP(재공품)'!$B$12:$AB$38,13,0))</f>
        <v>0</v>
      </c>
      <c r="S301" s="6">
        <f>IF(ISERROR(VLOOKUP(#REF!,'WIP(재공품)'!$B$12:$AB$38,10,0)),0,VLOOKUP(#REF!,'WIP(재공품)'!$B$12:$AB$38,10,0))</f>
        <v>0</v>
      </c>
      <c r="T301" s="6">
        <f>SUMIF('JUNE (물량흐름)'!$C$13:$C$502,'Overhead exp(제조경비)'!C301,'JUNE (물량흐름)'!$Y$13:$Y$502)</f>
        <v>0</v>
      </c>
      <c r="U301" s="6">
        <f t="shared" si="81"/>
        <v>0</v>
      </c>
      <c r="V301" s="6">
        <f>ROUND(SUMIF('JUNE (물량흐름)'!$C$13:$C$502,'Overhead exp(제조경비)'!C301,'JUNE (물량흐름)'!$N$13:$N$502),0)</f>
        <v>17</v>
      </c>
      <c r="W301" s="6">
        <f>ROUND(SUMIF('JUNE (물량흐름)'!$C$13:$C$502,'Overhead exp(제조경비)'!C301,'JUNE (물량흐름)'!$O$13:$O$502),0)</f>
        <v>80</v>
      </c>
      <c r="X301" s="6">
        <f>ROUND(SUMIF('JUNE (물량흐름)'!$C$13:$C$502,'Overhead exp(제조경비)'!C301,'JUNE (물량흐름)'!$P$13:$P$502),0)</f>
        <v>23</v>
      </c>
      <c r="Y301" s="6">
        <f t="shared" si="82"/>
        <v>120</v>
      </c>
      <c r="Z301" s="6">
        <f t="shared" si="83"/>
        <v>62</v>
      </c>
      <c r="AA301" s="6">
        <f t="shared" si="87"/>
        <v>1650190</v>
      </c>
      <c r="AB301" s="391">
        <f t="shared" si="84"/>
        <v>0</v>
      </c>
      <c r="AC301" s="391">
        <f t="shared" si="85"/>
        <v>0</v>
      </c>
    </row>
    <row r="302" spans="1:29" s="390" customFormat="1" ht="24" customHeight="1">
      <c r="A302" s="167">
        <v>296</v>
      </c>
      <c r="B302" s="20" t="str">
        <f>IFERROR(VLOOKUP(A302,'JUNE (물량흐름)'!$A$13:$C$502,2,0),0)</f>
        <v>ALFANI</v>
      </c>
      <c r="C302" s="272">
        <f>VLOOKUP(A302,'JUNE (물량흐름)'!$A$13:$C$502,3,0)</f>
        <v>100015356</v>
      </c>
      <c r="D302" s="6">
        <f>VLOOKUP(C302,'WIP(재공품)'!$B$12:$E$493,4,0)</f>
        <v>39227.75</v>
      </c>
      <c r="E302" s="6">
        <f>IFERROR(VLOOKUP(C302,O.B.JUNE!$AI$7:$AJ$448,2,0),0)</f>
        <v>0</v>
      </c>
      <c r="F302" s="6">
        <f>IFERROR(VLOOKUP(C302,O.B.JUNE!$AI$7:$AK$448,3,0),0)</f>
        <v>37</v>
      </c>
      <c r="G302" s="6">
        <f>IFERROR(VLOOKUP(C302,O.B.JUNE!$AI$7:$AL$448,4,0),0)</f>
        <v>16</v>
      </c>
      <c r="H302" s="6">
        <f t="shared" si="78"/>
        <v>53</v>
      </c>
      <c r="I302" s="6">
        <f>IFERROR(VLOOKUP(C302,O.B.JUNE!$AI$7:$AN$448,6,0),0)</f>
        <v>31</v>
      </c>
      <c r="J302" s="6"/>
      <c r="K302" s="6">
        <f>IFERROR(VLOOKUP(C302,O.B.JUNE!$AI$7:$AO$448,7,0),0)</f>
        <v>777616</v>
      </c>
      <c r="L302" s="6">
        <f>SUMIF('JUNE (물량흐름)'!$C$13:$C$488,'Overhead exp(제조경비)'!C302,'JUNE (물량흐름)'!$H$13:$H$493)+SUMIF('JUNE (물량흐름)'!$C$13:$C$493,'Overhead exp(제조경비)'!C302,'JUNE (물량흐름)'!$V$13:$V$493)</f>
        <v>0</v>
      </c>
      <c r="M302" s="6">
        <f t="shared" si="79"/>
        <v>0</v>
      </c>
      <c r="N302" s="6">
        <f t="shared" si="80"/>
        <v>0</v>
      </c>
      <c r="O302" s="6">
        <f t="shared" si="88"/>
        <v>0</v>
      </c>
      <c r="P302" s="6">
        <f>SUMIF('JUNE (물량흐름)'!$C$13:$C$502,C302,'JUNE (물량흐름)'!$T$13:$T$502)+SUMIF('JUNE (물량흐름)'!$C$13:$C$502,C302,'JUNE (물량흐름)'!$V$13:$V$502)+SUMIF('JUNE (물량흐름)'!$C$13:$C$502,C302,'JUNE (물량흐름)'!$U$13:$U$502)-SUMIF('JUNE (물량흐름)'!$C$13:$C$502,C302,'JUNE (물량흐름)'!$Y$13:$Y$502)</f>
        <v>0</v>
      </c>
      <c r="Q302" s="6">
        <f t="shared" si="86"/>
        <v>0</v>
      </c>
      <c r="R302" s="6">
        <f>IF(ISERROR(VLOOKUP(#REF!,'WIP(재공품)'!$B$12:$AB$38,13,0)),0,VLOOKUP(#REF!,'WIP(재공품)'!$B$12:$AB$38,13,0))</f>
        <v>0</v>
      </c>
      <c r="S302" s="6">
        <f>IF(ISERROR(VLOOKUP(#REF!,'WIP(재공품)'!$B$12:$AB$38,10,0)),0,VLOOKUP(#REF!,'WIP(재공품)'!$B$12:$AB$38,10,0))</f>
        <v>0</v>
      </c>
      <c r="T302" s="6">
        <f>SUMIF('JUNE (물량흐름)'!$C$13:$C$502,'Overhead exp(제조경비)'!C302,'JUNE (물량흐름)'!$Y$13:$Y$502)</f>
        <v>0</v>
      </c>
      <c r="U302" s="6">
        <f t="shared" si="81"/>
        <v>0</v>
      </c>
      <c r="V302" s="6">
        <f>ROUND(SUMIF('JUNE (물량흐름)'!$C$13:$C$502,'Overhead exp(제조경비)'!C302,'JUNE (물량흐름)'!$N$13:$N$502),0)</f>
        <v>0</v>
      </c>
      <c r="W302" s="6">
        <f>ROUND(SUMIF('JUNE (물량흐름)'!$C$13:$C$502,'Overhead exp(제조경비)'!C302,'JUNE (물량흐름)'!$O$13:$O$502),0)</f>
        <v>37</v>
      </c>
      <c r="X302" s="6">
        <f>ROUND(SUMIF('JUNE (물량흐름)'!$C$13:$C$502,'Overhead exp(제조경비)'!C302,'JUNE (물량흐름)'!$P$13:$P$502),0)</f>
        <v>16</v>
      </c>
      <c r="Y302" s="167">
        <f t="shared" si="82"/>
        <v>53</v>
      </c>
      <c r="Z302" s="167">
        <f t="shared" si="83"/>
        <v>31</v>
      </c>
      <c r="AA302" s="6">
        <f t="shared" si="87"/>
        <v>777616</v>
      </c>
      <c r="AB302" s="391">
        <f t="shared" si="84"/>
        <v>0</v>
      </c>
      <c r="AC302" s="391">
        <f t="shared" si="85"/>
        <v>0</v>
      </c>
    </row>
    <row r="303" spans="1:29" s="390" customFormat="1" ht="24" customHeight="1">
      <c r="A303" s="167">
        <v>297</v>
      </c>
      <c r="B303" s="20" t="str">
        <f>IFERROR(VLOOKUP(A303,'JUNE (물량흐름)'!$A$13:$C$502,2,0),0)</f>
        <v>ALFANI</v>
      </c>
      <c r="C303" s="272">
        <f>VLOOKUP(A303,'JUNE (물량흐름)'!$A$13:$C$502,3,0)</f>
        <v>100015404</v>
      </c>
      <c r="D303" s="6">
        <f>VLOOKUP(C303,'WIP(재공품)'!$B$12:$E$493,4,0)</f>
        <v>7936.2499999999991</v>
      </c>
      <c r="E303" s="6">
        <f>IFERROR(VLOOKUP(C303,O.B.JUNE!$AI$7:$AJ$448,2,0),0)</f>
        <v>0</v>
      </c>
      <c r="F303" s="6">
        <f>IFERROR(VLOOKUP(C303,O.B.JUNE!$AI$7:$AK$448,3,0),0)</f>
        <v>105</v>
      </c>
      <c r="G303" s="6">
        <f>IFERROR(VLOOKUP(C303,O.B.JUNE!$AI$7:$AL$448,4,0),0)</f>
        <v>61</v>
      </c>
      <c r="H303" s="6">
        <f t="shared" si="78"/>
        <v>166</v>
      </c>
      <c r="I303" s="6">
        <f>IFERROR(VLOOKUP(C303,O.B.JUNE!$AI$7:$AN$448,6,0),0)</f>
        <v>101</v>
      </c>
      <c r="J303" s="6"/>
      <c r="K303" s="6">
        <f>IFERROR(VLOOKUP(C303,O.B.JUNE!$AI$7:$AO$448,7,0),0)</f>
        <v>2554107</v>
      </c>
      <c r="L303" s="6">
        <f>SUMIF('JUNE (물량흐름)'!$C$13:$C$488,'Overhead exp(제조경비)'!C303,'JUNE (물량흐름)'!$H$13:$H$493)+SUMIF('JUNE (물량흐름)'!$C$13:$C$493,'Overhead exp(제조경비)'!C303,'JUNE (물량흐름)'!$V$13:$V$493)</f>
        <v>0</v>
      </c>
      <c r="M303" s="6">
        <f t="shared" si="79"/>
        <v>0</v>
      </c>
      <c r="N303" s="6">
        <f t="shared" si="80"/>
        <v>0</v>
      </c>
      <c r="O303" s="6">
        <f t="shared" si="88"/>
        <v>0</v>
      </c>
      <c r="P303" s="6">
        <f>SUMIF('JUNE (물량흐름)'!$C$13:$C$502,C303,'JUNE (물량흐름)'!$T$13:$T$502)+SUMIF('JUNE (물량흐름)'!$C$13:$C$502,C303,'JUNE (물량흐름)'!$V$13:$V$502)+SUMIF('JUNE (물량흐름)'!$C$13:$C$502,C303,'JUNE (물량흐름)'!$U$13:$U$502)-SUMIF('JUNE (물량흐름)'!$C$13:$C$502,C303,'JUNE (물량흐름)'!$Y$13:$Y$502)</f>
        <v>0</v>
      </c>
      <c r="Q303" s="6">
        <f t="shared" si="86"/>
        <v>0</v>
      </c>
      <c r="R303" s="6">
        <f>IF(ISERROR(VLOOKUP(#REF!,'WIP(재공품)'!$B$12:$AB$38,13,0)),0,VLOOKUP(#REF!,'WIP(재공품)'!$B$12:$AB$38,13,0))</f>
        <v>0</v>
      </c>
      <c r="S303" s="6">
        <f>IF(ISERROR(VLOOKUP(#REF!,'WIP(재공품)'!$B$12:$AB$38,10,0)),0,VLOOKUP(#REF!,'WIP(재공품)'!$B$12:$AB$38,10,0))</f>
        <v>0</v>
      </c>
      <c r="T303" s="6">
        <f>SUMIF('JUNE (물량흐름)'!$C$13:$C$502,'Overhead exp(제조경비)'!C303,'JUNE (물량흐름)'!$Y$13:$Y$502)</f>
        <v>0</v>
      </c>
      <c r="U303" s="6">
        <f t="shared" si="81"/>
        <v>0</v>
      </c>
      <c r="V303" s="6">
        <f>ROUND(SUMIF('JUNE (물량흐름)'!$C$13:$C$502,'Overhead exp(제조경비)'!C303,'JUNE (물량흐름)'!$N$13:$N$502),0)</f>
        <v>0</v>
      </c>
      <c r="W303" s="6">
        <f>ROUND(SUMIF('JUNE (물량흐름)'!$C$13:$C$502,'Overhead exp(제조경비)'!C303,'JUNE (물량흐름)'!$O$13:$O$502),0)</f>
        <v>105</v>
      </c>
      <c r="X303" s="6">
        <f>ROUND(SUMIF('JUNE (물량흐름)'!$C$13:$C$502,'Overhead exp(제조경비)'!C303,'JUNE (물량흐름)'!$P$13:$P$502),0)</f>
        <v>61</v>
      </c>
      <c r="Y303" s="167">
        <f t="shared" si="82"/>
        <v>166</v>
      </c>
      <c r="Z303" s="167">
        <f t="shared" si="83"/>
        <v>101</v>
      </c>
      <c r="AA303" s="6">
        <f t="shared" si="87"/>
        <v>2554107</v>
      </c>
      <c r="AB303" s="391">
        <f t="shared" si="84"/>
        <v>0</v>
      </c>
      <c r="AC303" s="391">
        <f t="shared" si="85"/>
        <v>0</v>
      </c>
    </row>
    <row r="304" spans="1:29" s="390" customFormat="1" ht="24" customHeight="1">
      <c r="A304" s="167">
        <v>298</v>
      </c>
      <c r="B304" s="20" t="str">
        <f>IFERROR(VLOOKUP(A304,'JUNE (물량흐름)'!$A$13:$C$502,2,0),0)</f>
        <v>ALFANI</v>
      </c>
      <c r="C304" s="272">
        <f>VLOOKUP(A304,'JUNE (물량흐름)'!$A$13:$C$502,3,0)</f>
        <v>100015437</v>
      </c>
      <c r="D304" s="6">
        <f>VLOOKUP(C304,'WIP(재공품)'!$B$12:$E$493,4,0)</f>
        <v>7936.2499999999991</v>
      </c>
      <c r="E304" s="6">
        <f>IFERROR(VLOOKUP(C304,O.B.JUNE!$AI$7:$AJ$448,2,0),0)</f>
        <v>24</v>
      </c>
      <c r="F304" s="6">
        <f>IFERROR(VLOOKUP(C304,O.B.JUNE!$AI$7:$AK$448,3,0),0)</f>
        <v>0</v>
      </c>
      <c r="G304" s="6">
        <f>IFERROR(VLOOKUP(C304,O.B.JUNE!$AI$7:$AL$448,4,0),0)</f>
        <v>13</v>
      </c>
      <c r="H304" s="6">
        <f t="shared" si="78"/>
        <v>37</v>
      </c>
      <c r="I304" s="6">
        <f>IFERROR(VLOOKUP(C304,O.B.JUNE!$AI$7:$AN$448,6,0),0)</f>
        <v>15</v>
      </c>
      <c r="J304" s="6"/>
      <c r="K304" s="6">
        <f>IFERROR(VLOOKUP(C304,O.B.JUNE!$AI$7:$AO$448,7,0),0)</f>
        <v>349119</v>
      </c>
      <c r="L304" s="6">
        <f>SUMIF('JUNE (물량흐름)'!$C$13:$C$488,'Overhead exp(제조경비)'!C304,'JUNE (물량흐름)'!$H$13:$H$493)+SUMIF('JUNE (물량흐름)'!$C$13:$C$493,'Overhead exp(제조경비)'!C304,'JUNE (물량흐름)'!$V$13:$V$493)</f>
        <v>0</v>
      </c>
      <c r="M304" s="6">
        <f t="shared" si="79"/>
        <v>0</v>
      </c>
      <c r="N304" s="6">
        <f t="shared" si="80"/>
        <v>0</v>
      </c>
      <c r="O304" s="6">
        <f t="shared" si="88"/>
        <v>0</v>
      </c>
      <c r="P304" s="6">
        <f>SUMIF('JUNE (물량흐름)'!$C$13:$C$502,C304,'JUNE (물량흐름)'!$T$13:$T$502)+SUMIF('JUNE (물량흐름)'!$C$13:$C$502,C304,'JUNE (물량흐름)'!$V$13:$V$502)+SUMIF('JUNE (물량흐름)'!$C$13:$C$502,C304,'JUNE (물량흐름)'!$U$13:$U$502)-SUMIF('JUNE (물량흐름)'!$C$13:$C$502,C304,'JUNE (물량흐름)'!$Y$13:$Y$502)</f>
        <v>0</v>
      </c>
      <c r="Q304" s="6">
        <f t="shared" si="86"/>
        <v>0</v>
      </c>
      <c r="R304" s="6">
        <f>IF(ISERROR(VLOOKUP(#REF!,'WIP(재공품)'!$B$12:$AB$38,13,0)),0,VLOOKUP(#REF!,'WIP(재공품)'!$B$12:$AB$38,13,0))</f>
        <v>0</v>
      </c>
      <c r="S304" s="6">
        <f>IF(ISERROR(VLOOKUP(#REF!,'WIP(재공품)'!$B$12:$AB$38,10,0)),0,VLOOKUP(#REF!,'WIP(재공품)'!$B$12:$AB$38,10,0))</f>
        <v>0</v>
      </c>
      <c r="T304" s="6">
        <f>SUMIF('JUNE (물량흐름)'!$C$13:$C$502,'Overhead exp(제조경비)'!C304,'JUNE (물량흐름)'!$Y$13:$Y$502)</f>
        <v>0</v>
      </c>
      <c r="U304" s="6">
        <f t="shared" si="81"/>
        <v>0</v>
      </c>
      <c r="V304" s="6">
        <f>ROUND(SUMIF('JUNE (물량흐름)'!$C$13:$C$502,'Overhead exp(제조경비)'!C304,'JUNE (물량흐름)'!$N$13:$N$502),0)</f>
        <v>24</v>
      </c>
      <c r="W304" s="6">
        <f>ROUND(SUMIF('JUNE (물량흐름)'!$C$13:$C$502,'Overhead exp(제조경비)'!C304,'JUNE (물량흐름)'!$O$13:$O$502),0)</f>
        <v>0</v>
      </c>
      <c r="X304" s="6">
        <f>ROUND(SUMIF('JUNE (물량흐름)'!$C$13:$C$502,'Overhead exp(제조경비)'!C304,'JUNE (물량흐름)'!$P$13:$P$502),0)</f>
        <v>13</v>
      </c>
      <c r="Y304" s="6">
        <f t="shared" si="82"/>
        <v>37</v>
      </c>
      <c r="Z304" s="6">
        <f t="shared" si="83"/>
        <v>15</v>
      </c>
      <c r="AA304" s="6">
        <f t="shared" si="87"/>
        <v>349119</v>
      </c>
      <c r="AB304" s="391">
        <f t="shared" si="84"/>
        <v>0</v>
      </c>
      <c r="AC304" s="391">
        <f t="shared" si="85"/>
        <v>0</v>
      </c>
    </row>
    <row r="305" spans="1:29" s="390" customFormat="1" ht="24" customHeight="1">
      <c r="A305" s="167">
        <v>299</v>
      </c>
      <c r="B305" s="20" t="str">
        <f>IFERROR(VLOOKUP(A305,'JUNE (물량흐름)'!$A$13:$C$502,2,0),0)</f>
        <v>ALFANI</v>
      </c>
      <c r="C305" s="272">
        <f>VLOOKUP(A305,'JUNE (물량흐름)'!$A$13:$C$502,3,0)</f>
        <v>100016367</v>
      </c>
      <c r="D305" s="6">
        <f>VLOOKUP(C305,'WIP(재공품)'!$B$12:$E$493,4,0)</f>
        <v>7936.2499999999991</v>
      </c>
      <c r="E305" s="6">
        <f>IFERROR(VLOOKUP(C305,O.B.JUNE!$AI$7:$AJ$448,2,0),0)</f>
        <v>0</v>
      </c>
      <c r="F305" s="6">
        <f>IFERROR(VLOOKUP(C305,O.B.JUNE!$AI$7:$AK$448,3,0),0)</f>
        <v>29</v>
      </c>
      <c r="G305" s="6">
        <f>IFERROR(VLOOKUP(C305,O.B.JUNE!$AI$7:$AL$448,4,0),0)</f>
        <v>113</v>
      </c>
      <c r="H305" s="6">
        <f t="shared" si="78"/>
        <v>142</v>
      </c>
      <c r="I305" s="6">
        <f>IFERROR(VLOOKUP(C305,O.B.JUNE!$AI$7:$AN$448,6,0),0)</f>
        <v>105</v>
      </c>
      <c r="J305" s="6"/>
      <c r="K305" s="6">
        <f>IFERROR(VLOOKUP(C305,O.B.JUNE!$AI$7:$AO$448,7,0),0)</f>
        <v>2886904</v>
      </c>
      <c r="L305" s="6">
        <f>SUMIF('JUNE (물량흐름)'!$C$13:$C$488,'Overhead exp(제조경비)'!C305,'JUNE (물량흐름)'!$H$13:$H$493)+SUMIF('JUNE (물량흐름)'!$C$13:$C$493,'Overhead exp(제조경비)'!C305,'JUNE (물량흐름)'!$V$13:$V$493)</f>
        <v>0</v>
      </c>
      <c r="M305" s="6">
        <f t="shared" si="79"/>
        <v>0</v>
      </c>
      <c r="N305" s="6">
        <f t="shared" si="80"/>
        <v>0</v>
      </c>
      <c r="O305" s="6">
        <f t="shared" si="88"/>
        <v>0</v>
      </c>
      <c r="P305" s="6">
        <f>SUMIF('JUNE (물량흐름)'!$C$13:$C$502,C305,'JUNE (물량흐름)'!$T$13:$T$502)+SUMIF('JUNE (물량흐름)'!$C$13:$C$502,C305,'JUNE (물량흐름)'!$V$13:$V$502)+SUMIF('JUNE (물량흐름)'!$C$13:$C$502,C305,'JUNE (물량흐름)'!$U$13:$U$502)-SUMIF('JUNE (물량흐름)'!$C$13:$C$502,C305,'JUNE (물량흐름)'!$Y$13:$Y$502)</f>
        <v>0</v>
      </c>
      <c r="Q305" s="6">
        <f t="shared" si="86"/>
        <v>0</v>
      </c>
      <c r="R305" s="6">
        <f>IF(ISERROR(VLOOKUP(#REF!,'WIP(재공품)'!$B$12:$AB$38,13,0)),0,VLOOKUP(#REF!,'WIP(재공품)'!$B$12:$AB$38,13,0))</f>
        <v>0</v>
      </c>
      <c r="S305" s="6">
        <f>IF(ISERROR(VLOOKUP(#REF!,'WIP(재공품)'!$B$12:$AB$38,10,0)),0,VLOOKUP(#REF!,'WIP(재공품)'!$B$12:$AB$38,10,0))</f>
        <v>0</v>
      </c>
      <c r="T305" s="6">
        <f>SUMIF('JUNE (물량흐름)'!$C$13:$C$502,'Overhead exp(제조경비)'!C305,'JUNE (물량흐름)'!$Y$13:$Y$502)</f>
        <v>0</v>
      </c>
      <c r="U305" s="6">
        <f t="shared" si="81"/>
        <v>0</v>
      </c>
      <c r="V305" s="6">
        <f>ROUND(SUMIF('JUNE (물량흐름)'!$C$13:$C$502,'Overhead exp(제조경비)'!C305,'JUNE (물량흐름)'!$N$13:$N$502),0)</f>
        <v>0</v>
      </c>
      <c r="W305" s="6">
        <f>ROUND(SUMIF('JUNE (물량흐름)'!$C$13:$C$502,'Overhead exp(제조경비)'!C305,'JUNE (물량흐름)'!$O$13:$O$502),0)</f>
        <v>29</v>
      </c>
      <c r="X305" s="6">
        <f>ROUND(SUMIF('JUNE (물량흐름)'!$C$13:$C$502,'Overhead exp(제조경비)'!C305,'JUNE (물량흐름)'!$P$13:$P$502),0)</f>
        <v>113</v>
      </c>
      <c r="Y305" s="6">
        <f t="shared" si="82"/>
        <v>142</v>
      </c>
      <c r="Z305" s="6">
        <f t="shared" si="83"/>
        <v>105</v>
      </c>
      <c r="AA305" s="6">
        <f t="shared" si="87"/>
        <v>2886904</v>
      </c>
      <c r="AB305" s="391">
        <f t="shared" si="84"/>
        <v>0</v>
      </c>
      <c r="AC305" s="391">
        <f t="shared" si="85"/>
        <v>0</v>
      </c>
    </row>
    <row r="306" spans="1:29" s="390" customFormat="1" ht="24" customHeight="1">
      <c r="A306" s="167">
        <v>300</v>
      </c>
      <c r="B306" s="20" t="str">
        <f>IFERROR(VLOOKUP(A306,'JUNE (물량흐름)'!$A$13:$C$502,2,0),0)</f>
        <v>CHARTER CLUB</v>
      </c>
      <c r="C306" s="272">
        <f>VLOOKUP(A306,'JUNE (물량흐름)'!$A$13:$C$502,3,0)</f>
        <v>100016575</v>
      </c>
      <c r="D306" s="6">
        <f>VLOOKUP(C306,'WIP(재공품)'!$B$12:$E$493,4,0)</f>
        <v>7936.2499999999991</v>
      </c>
      <c r="E306" s="6">
        <f>IFERROR(VLOOKUP(C306,O.B.JUNE!$AI$7:$AJ$448,2,0),0)</f>
        <v>0</v>
      </c>
      <c r="F306" s="6">
        <f>IFERROR(VLOOKUP(C306,O.B.JUNE!$AI$7:$AK$448,3,0),0)</f>
        <v>6</v>
      </c>
      <c r="G306" s="6">
        <f>IFERROR(VLOOKUP(C306,O.B.JUNE!$AI$7:$AL$448,4,0),0)</f>
        <v>113</v>
      </c>
      <c r="H306" s="6">
        <f t="shared" si="78"/>
        <v>119</v>
      </c>
      <c r="I306" s="6">
        <f>IFERROR(VLOOKUP(C306,O.B.JUNE!$AI$7:$AN$448,6,0),0)</f>
        <v>93</v>
      </c>
      <c r="J306" s="6"/>
      <c r="K306" s="6">
        <f>IFERROR(VLOOKUP(C306,O.B.JUNE!$AI$7:$AO$448,7,0),0)</f>
        <v>4520594</v>
      </c>
      <c r="L306" s="6">
        <f>SUMIF('JUNE (물량흐름)'!$C$13:$C$488,'Overhead exp(제조경비)'!C306,'JUNE (물량흐름)'!$H$13:$H$493)+SUMIF('JUNE (물량흐름)'!$C$13:$C$493,'Overhead exp(제조경비)'!C306,'JUNE (물량흐름)'!$V$13:$V$493)</f>
        <v>0</v>
      </c>
      <c r="M306" s="6">
        <f t="shared" si="79"/>
        <v>0</v>
      </c>
      <c r="N306" s="6">
        <f t="shared" si="80"/>
        <v>0</v>
      </c>
      <c r="O306" s="6">
        <f t="shared" si="88"/>
        <v>0</v>
      </c>
      <c r="P306" s="6">
        <f>SUMIF('JUNE (물량흐름)'!$C$13:$C$502,C306,'JUNE (물량흐름)'!$T$13:$T$502)+SUMIF('JUNE (물량흐름)'!$C$13:$C$502,C306,'JUNE (물량흐름)'!$V$13:$V$502)+SUMIF('JUNE (물량흐름)'!$C$13:$C$502,C306,'JUNE (물량흐름)'!$U$13:$U$502)-SUMIF('JUNE (물량흐름)'!$C$13:$C$502,C306,'JUNE (물량흐름)'!$Y$13:$Y$502)</f>
        <v>0</v>
      </c>
      <c r="Q306" s="6">
        <f t="shared" si="86"/>
        <v>0</v>
      </c>
      <c r="R306" s="6">
        <f>IF(ISERROR(VLOOKUP(#REF!,'WIP(재공품)'!$B$12:$AB$38,13,0)),0,VLOOKUP(#REF!,'WIP(재공품)'!$B$12:$AB$38,13,0))</f>
        <v>0</v>
      </c>
      <c r="S306" s="6">
        <f>IF(ISERROR(VLOOKUP(#REF!,'WIP(재공품)'!$B$12:$AB$38,10,0)),0,VLOOKUP(#REF!,'WIP(재공품)'!$B$12:$AB$38,10,0))</f>
        <v>0</v>
      </c>
      <c r="T306" s="6">
        <f>SUMIF('JUNE (물량흐름)'!$C$13:$C$502,'Overhead exp(제조경비)'!C306,'JUNE (물량흐름)'!$Y$13:$Y$502)</f>
        <v>0</v>
      </c>
      <c r="U306" s="6">
        <f t="shared" si="81"/>
        <v>0</v>
      </c>
      <c r="V306" s="6">
        <f>ROUND(SUMIF('JUNE (물량흐름)'!$C$13:$C$502,'Overhead exp(제조경비)'!C306,'JUNE (물량흐름)'!$N$13:$N$502),0)</f>
        <v>0</v>
      </c>
      <c r="W306" s="6">
        <f>ROUND(SUMIF('JUNE (물량흐름)'!$C$13:$C$502,'Overhead exp(제조경비)'!C306,'JUNE (물량흐름)'!$O$13:$O$502),0)</f>
        <v>6</v>
      </c>
      <c r="X306" s="6">
        <f>ROUND(SUMIF('JUNE (물량흐름)'!$C$13:$C$502,'Overhead exp(제조경비)'!C306,'JUNE (물량흐름)'!$P$13:$P$502),0)</f>
        <v>113</v>
      </c>
      <c r="Y306" s="167">
        <f t="shared" si="82"/>
        <v>119</v>
      </c>
      <c r="Z306" s="167">
        <f t="shared" si="83"/>
        <v>93</v>
      </c>
      <c r="AA306" s="6">
        <f t="shared" si="87"/>
        <v>4520594</v>
      </c>
      <c r="AB306" s="391">
        <f t="shared" si="84"/>
        <v>0</v>
      </c>
      <c r="AC306" s="391">
        <f t="shared" si="85"/>
        <v>0</v>
      </c>
    </row>
    <row r="307" spans="1:29" s="390" customFormat="1" ht="24" customHeight="1">
      <c r="A307" s="167">
        <v>301</v>
      </c>
      <c r="B307" s="20" t="str">
        <f>IFERROR(VLOOKUP(A307,'JUNE (물량흐름)'!$A$13:$C$502,2,0),0)</f>
        <v>ALFANI</v>
      </c>
      <c r="C307" s="272">
        <f>VLOOKUP(A307,'JUNE (물량흐름)'!$A$13:$C$502,3,0)</f>
        <v>100019839</v>
      </c>
      <c r="D307" s="6">
        <f>VLOOKUP(C307,'WIP(재공품)'!$B$12:$E$493,4,0)</f>
        <v>7936.2499999999991</v>
      </c>
      <c r="E307" s="6">
        <f>IFERROR(VLOOKUP(C307,O.B.JUNE!$AI$7:$AJ$448,2,0),0)</f>
        <v>0</v>
      </c>
      <c r="F307" s="6">
        <f>IFERROR(VLOOKUP(C307,O.B.JUNE!$AI$7:$AK$448,3,0),0)</f>
        <v>114</v>
      </c>
      <c r="G307" s="6">
        <f>IFERROR(VLOOKUP(C307,O.B.JUNE!$AI$7:$AL$448,4,0),0)</f>
        <v>189</v>
      </c>
      <c r="H307" s="6">
        <f t="shared" si="78"/>
        <v>303</v>
      </c>
      <c r="I307" s="6">
        <f>IFERROR(VLOOKUP(C307,O.B.JUNE!$AI$7:$AN$448,6,0),0)</f>
        <v>208</v>
      </c>
      <c r="J307" s="6"/>
      <c r="K307" s="6">
        <f>IFERROR(VLOOKUP(C307,O.B.JUNE!$AI$7:$AO$448,7,0),0)</f>
        <v>6987364</v>
      </c>
      <c r="L307" s="6">
        <f>SUMIF('JUNE (물량흐름)'!$C$13:$C$488,'Overhead exp(제조경비)'!C307,'JUNE (물량흐름)'!$H$13:$H$493)+SUMIF('JUNE (물량흐름)'!$C$13:$C$493,'Overhead exp(제조경비)'!C307,'JUNE (물량흐름)'!$V$13:$V$493)</f>
        <v>0</v>
      </c>
      <c r="M307" s="6">
        <f t="shared" si="79"/>
        <v>0</v>
      </c>
      <c r="N307" s="6">
        <f t="shared" si="80"/>
        <v>0</v>
      </c>
      <c r="O307" s="6">
        <f t="shared" si="88"/>
        <v>0</v>
      </c>
      <c r="P307" s="6">
        <f>SUMIF('JUNE (물량흐름)'!$C$13:$C$502,C307,'JUNE (물량흐름)'!$T$13:$T$502)+SUMIF('JUNE (물량흐름)'!$C$13:$C$502,C307,'JUNE (물량흐름)'!$V$13:$V$502)+SUMIF('JUNE (물량흐름)'!$C$13:$C$502,C307,'JUNE (물량흐름)'!$U$13:$U$502)-SUMIF('JUNE (물량흐름)'!$C$13:$C$502,C307,'JUNE (물량흐름)'!$Y$13:$Y$502)</f>
        <v>0</v>
      </c>
      <c r="Q307" s="6">
        <f t="shared" si="86"/>
        <v>0</v>
      </c>
      <c r="R307" s="6">
        <f>IF(ISERROR(VLOOKUP(#REF!,'WIP(재공품)'!$B$12:$AB$38,13,0)),0,VLOOKUP(#REF!,'WIP(재공품)'!$B$12:$AB$38,13,0))</f>
        <v>0</v>
      </c>
      <c r="S307" s="6">
        <f>IF(ISERROR(VLOOKUP(#REF!,'WIP(재공품)'!$B$12:$AB$38,10,0)),0,VLOOKUP(#REF!,'WIP(재공품)'!$B$12:$AB$38,10,0))</f>
        <v>0</v>
      </c>
      <c r="T307" s="6">
        <f>SUMIF('JUNE (물량흐름)'!$C$13:$C$502,'Overhead exp(제조경비)'!C307,'JUNE (물량흐름)'!$Y$13:$Y$502)</f>
        <v>0</v>
      </c>
      <c r="U307" s="6">
        <f t="shared" si="81"/>
        <v>0</v>
      </c>
      <c r="V307" s="6">
        <f>ROUND(SUMIF('JUNE (물량흐름)'!$C$13:$C$502,'Overhead exp(제조경비)'!C307,'JUNE (물량흐름)'!$N$13:$N$502),0)</f>
        <v>0</v>
      </c>
      <c r="W307" s="6">
        <f>ROUND(SUMIF('JUNE (물량흐름)'!$C$13:$C$502,'Overhead exp(제조경비)'!C307,'JUNE (물량흐름)'!$O$13:$O$502),0)</f>
        <v>114</v>
      </c>
      <c r="X307" s="6">
        <f>ROUND(SUMIF('JUNE (물량흐름)'!$C$13:$C$502,'Overhead exp(제조경비)'!C307,'JUNE (물량흐름)'!$P$13:$P$502),0)</f>
        <v>189</v>
      </c>
      <c r="Y307" s="6">
        <f t="shared" si="82"/>
        <v>303</v>
      </c>
      <c r="Z307" s="6">
        <f t="shared" si="83"/>
        <v>208</v>
      </c>
      <c r="AA307" s="6">
        <f t="shared" si="87"/>
        <v>6987364</v>
      </c>
      <c r="AB307" s="391">
        <f t="shared" si="84"/>
        <v>0</v>
      </c>
      <c r="AC307" s="391">
        <f t="shared" si="85"/>
        <v>0</v>
      </c>
    </row>
    <row r="308" spans="1:29" s="390" customFormat="1" ht="24" customHeight="1">
      <c r="A308" s="167">
        <v>302</v>
      </c>
      <c r="B308" s="20" t="str">
        <f>IFERROR(VLOOKUP(A308,'JUNE (물량흐름)'!$A$13:$C$502,2,0),0)</f>
        <v>CHARTER CLUB</v>
      </c>
      <c r="C308" s="272">
        <f>VLOOKUP(A308,'JUNE (물량흐름)'!$A$13:$C$502,3,0)</f>
        <v>100021862</v>
      </c>
      <c r="D308" s="6">
        <f>VLOOKUP(C308,'WIP(재공품)'!$B$12:$E$493,4,0)</f>
        <v>8163</v>
      </c>
      <c r="E308" s="6">
        <f>IFERROR(VLOOKUP(C308,O.B.JUNE!$AI$7:$AJ$448,2,0),0)</f>
        <v>0</v>
      </c>
      <c r="F308" s="6">
        <f>IFERROR(VLOOKUP(C308,O.B.JUNE!$AI$7:$AK$448,3,0),0)</f>
        <v>0</v>
      </c>
      <c r="G308" s="6">
        <f>IFERROR(VLOOKUP(C308,O.B.JUNE!$AI$7:$AL$448,4,0),0)</f>
        <v>7</v>
      </c>
      <c r="H308" s="6">
        <f t="shared" si="78"/>
        <v>7</v>
      </c>
      <c r="I308" s="6">
        <f>IFERROR(VLOOKUP(C308,O.B.JUNE!$AI$7:$AN$448,6,0),0)</f>
        <v>6</v>
      </c>
      <c r="J308" s="6"/>
      <c r="K308" s="6">
        <f>IFERROR(VLOOKUP(C308,O.B.JUNE!$AI$7:$AO$448,7,0),0)</f>
        <v>86667</v>
      </c>
      <c r="L308" s="6">
        <f>SUMIF('JUNE (물량흐름)'!$C$13:$C$488,'Overhead exp(제조경비)'!C308,'JUNE (물량흐름)'!$H$13:$H$493)+SUMIF('JUNE (물량흐름)'!$C$13:$C$493,'Overhead exp(제조경비)'!C308,'JUNE (물량흐름)'!$V$13:$V$493)</f>
        <v>0</v>
      </c>
      <c r="M308" s="6">
        <f t="shared" si="79"/>
        <v>0</v>
      </c>
      <c r="N308" s="6">
        <f t="shared" si="80"/>
        <v>0</v>
      </c>
      <c r="O308" s="6">
        <f t="shared" si="88"/>
        <v>0</v>
      </c>
      <c r="P308" s="6">
        <f>SUMIF('JUNE (물량흐름)'!$C$13:$C$502,C308,'JUNE (물량흐름)'!$T$13:$T$502)+SUMIF('JUNE (물량흐름)'!$C$13:$C$502,C308,'JUNE (물량흐름)'!$V$13:$V$502)+SUMIF('JUNE (물량흐름)'!$C$13:$C$502,C308,'JUNE (물량흐름)'!$U$13:$U$502)-SUMIF('JUNE (물량흐름)'!$C$13:$C$502,C308,'JUNE (물량흐름)'!$Y$13:$Y$502)</f>
        <v>0</v>
      </c>
      <c r="Q308" s="6">
        <f t="shared" si="86"/>
        <v>0</v>
      </c>
      <c r="R308" s="6">
        <f>IF(ISERROR(VLOOKUP(#REF!,'WIP(재공품)'!$B$12:$AB$38,13,0)),0,VLOOKUP(#REF!,'WIP(재공품)'!$B$12:$AB$38,13,0))</f>
        <v>0</v>
      </c>
      <c r="S308" s="6">
        <f>IF(ISERROR(VLOOKUP(#REF!,'WIP(재공품)'!$B$12:$AB$38,10,0)),0,VLOOKUP(#REF!,'WIP(재공품)'!$B$12:$AB$38,10,0))</f>
        <v>0</v>
      </c>
      <c r="T308" s="6">
        <f>SUMIF('JUNE (물량흐름)'!$C$13:$C$502,'Overhead exp(제조경비)'!C308,'JUNE (물량흐름)'!$Y$13:$Y$502)</f>
        <v>0</v>
      </c>
      <c r="U308" s="6">
        <f t="shared" si="81"/>
        <v>0</v>
      </c>
      <c r="V308" s="6">
        <f>ROUND(SUMIF('JUNE (물량흐름)'!$C$13:$C$502,'Overhead exp(제조경비)'!C308,'JUNE (물량흐름)'!$N$13:$N$502),0)</f>
        <v>0</v>
      </c>
      <c r="W308" s="6">
        <f>ROUND(SUMIF('JUNE (물량흐름)'!$C$13:$C$502,'Overhead exp(제조경비)'!C308,'JUNE (물량흐름)'!$O$13:$O$502),0)</f>
        <v>0</v>
      </c>
      <c r="X308" s="6">
        <f>ROUND(SUMIF('JUNE (물량흐름)'!$C$13:$C$502,'Overhead exp(제조경비)'!C308,'JUNE (물량흐름)'!$P$13:$P$502),0)</f>
        <v>7</v>
      </c>
      <c r="Y308" s="6">
        <f t="shared" si="82"/>
        <v>7</v>
      </c>
      <c r="Z308" s="6">
        <f t="shared" si="83"/>
        <v>6</v>
      </c>
      <c r="AA308" s="6">
        <f t="shared" si="87"/>
        <v>86667</v>
      </c>
      <c r="AB308" s="391">
        <f t="shared" si="84"/>
        <v>0</v>
      </c>
      <c r="AC308" s="391">
        <f t="shared" si="85"/>
        <v>0</v>
      </c>
    </row>
    <row r="309" spans="1:29" s="390" customFormat="1" ht="24" customHeight="1">
      <c r="A309" s="167">
        <v>303</v>
      </c>
      <c r="B309" s="20" t="str">
        <f>IFERROR(VLOOKUP(A309,'JUNE (물량흐름)'!$A$13:$C$502,2,0),0)</f>
        <v>ALFANI</v>
      </c>
      <c r="C309" s="272">
        <f>VLOOKUP(A309,'JUNE (물량흐름)'!$A$13:$C$502,3,0)</f>
        <v>100025244</v>
      </c>
      <c r="D309" s="6">
        <f>VLOOKUP(C309,'WIP(재공품)'!$B$12:$E$493,4,0)</f>
        <v>8163</v>
      </c>
      <c r="E309" s="6">
        <f>IFERROR(VLOOKUP(C309,O.B.JUNE!$AI$7:$AJ$448,2,0),0)</f>
        <v>0</v>
      </c>
      <c r="F309" s="6">
        <f>IFERROR(VLOOKUP(C309,O.B.JUNE!$AI$7:$AK$448,3,0),0)</f>
        <v>0</v>
      </c>
      <c r="G309" s="6">
        <f>IFERROR(VLOOKUP(C309,O.B.JUNE!$AI$7:$AL$448,4,0),0)</f>
        <v>12</v>
      </c>
      <c r="H309" s="6">
        <f t="shared" si="78"/>
        <v>12</v>
      </c>
      <c r="I309" s="6">
        <f>IFERROR(VLOOKUP(C309,O.B.JUNE!$AI$7:$AN$448,6,0),0)</f>
        <v>10</v>
      </c>
      <c r="J309" s="6"/>
      <c r="K309" s="6">
        <f>IFERROR(VLOOKUP(C309,O.B.JUNE!$AI$7:$AO$448,7,0),0)</f>
        <v>275845</v>
      </c>
      <c r="L309" s="6">
        <f>SUMIF('JUNE (물량흐름)'!$C$13:$C$488,'Overhead exp(제조경비)'!C309,'JUNE (물량흐름)'!$H$13:$H$493)+SUMIF('JUNE (물량흐름)'!$C$13:$C$493,'Overhead exp(제조경비)'!C309,'JUNE (물량흐름)'!$V$13:$V$493)</f>
        <v>0</v>
      </c>
      <c r="M309" s="6">
        <f t="shared" si="79"/>
        <v>0</v>
      </c>
      <c r="N309" s="6">
        <f t="shared" si="80"/>
        <v>0</v>
      </c>
      <c r="O309" s="6">
        <f t="shared" si="88"/>
        <v>0</v>
      </c>
      <c r="P309" s="6">
        <f>SUMIF('JUNE (물량흐름)'!$C$13:$C$502,C309,'JUNE (물량흐름)'!$T$13:$T$502)+SUMIF('JUNE (물량흐름)'!$C$13:$C$502,C309,'JUNE (물량흐름)'!$V$13:$V$502)+SUMIF('JUNE (물량흐름)'!$C$13:$C$502,C309,'JUNE (물량흐름)'!$U$13:$U$502)-SUMIF('JUNE (물량흐름)'!$C$13:$C$502,C309,'JUNE (물량흐름)'!$Y$13:$Y$502)</f>
        <v>0</v>
      </c>
      <c r="Q309" s="6">
        <f t="shared" si="86"/>
        <v>0</v>
      </c>
      <c r="R309" s="6">
        <f>IF(ISERROR(VLOOKUP(#REF!,'WIP(재공품)'!$B$12:$AB$38,13,0)),0,VLOOKUP(#REF!,'WIP(재공품)'!$B$12:$AB$38,13,0))</f>
        <v>0</v>
      </c>
      <c r="S309" s="6">
        <f>IF(ISERROR(VLOOKUP(#REF!,'WIP(재공품)'!$B$12:$AB$38,10,0)),0,VLOOKUP(#REF!,'WIP(재공품)'!$B$12:$AB$38,10,0))</f>
        <v>0</v>
      </c>
      <c r="T309" s="6">
        <f>SUMIF('JUNE (물량흐름)'!$C$13:$C$502,'Overhead exp(제조경비)'!C309,'JUNE (물량흐름)'!$Y$13:$Y$502)</f>
        <v>0</v>
      </c>
      <c r="U309" s="6">
        <f t="shared" si="81"/>
        <v>0</v>
      </c>
      <c r="V309" s="6">
        <f>ROUND(SUMIF('JUNE (물량흐름)'!$C$13:$C$502,'Overhead exp(제조경비)'!C309,'JUNE (물량흐름)'!$N$13:$N$502),0)</f>
        <v>0</v>
      </c>
      <c r="W309" s="6">
        <f>ROUND(SUMIF('JUNE (물량흐름)'!$C$13:$C$502,'Overhead exp(제조경비)'!C309,'JUNE (물량흐름)'!$O$13:$O$502),0)</f>
        <v>0</v>
      </c>
      <c r="X309" s="6">
        <f>ROUND(SUMIF('JUNE (물량흐름)'!$C$13:$C$502,'Overhead exp(제조경비)'!C309,'JUNE (물량흐름)'!$P$13:$P$502),0)</f>
        <v>12</v>
      </c>
      <c r="Y309" s="167">
        <f t="shared" si="82"/>
        <v>12</v>
      </c>
      <c r="Z309" s="167">
        <f t="shared" si="83"/>
        <v>10</v>
      </c>
      <c r="AA309" s="6">
        <f t="shared" si="87"/>
        <v>275845</v>
      </c>
      <c r="AB309" s="391">
        <f t="shared" si="84"/>
        <v>0</v>
      </c>
      <c r="AC309" s="391">
        <f t="shared" si="85"/>
        <v>0</v>
      </c>
    </row>
    <row r="310" spans="1:29" s="390" customFormat="1" ht="24" customHeight="1">
      <c r="A310" s="167">
        <v>304</v>
      </c>
      <c r="B310" s="20" t="str">
        <f>IFERROR(VLOOKUP(A310,'JUNE (물량흐름)'!$A$13:$C$502,2,0),0)</f>
        <v>ALFANI</v>
      </c>
      <c r="C310" s="272">
        <f>VLOOKUP(A310,'JUNE (물량흐름)'!$A$13:$C$502,3,0)</f>
        <v>100025245</v>
      </c>
      <c r="D310" s="6">
        <f>VLOOKUP(C310,'WIP(재공품)'!$B$12:$E$493,4,0)</f>
        <v>8163</v>
      </c>
      <c r="E310" s="6">
        <f>IFERROR(VLOOKUP(C310,O.B.JUNE!$AI$7:$AJ$448,2,0),0)</f>
        <v>22</v>
      </c>
      <c r="F310" s="6">
        <f>IFERROR(VLOOKUP(C310,O.B.JUNE!$AI$7:$AK$448,3,0),0)</f>
        <v>5</v>
      </c>
      <c r="G310" s="6">
        <f>IFERROR(VLOOKUP(C310,O.B.JUNE!$AI$7:$AL$448,4,0),0)</f>
        <v>11</v>
      </c>
      <c r="H310" s="6">
        <f t="shared" si="78"/>
        <v>38</v>
      </c>
      <c r="I310" s="6">
        <f>IFERROR(VLOOKUP(C310,O.B.JUNE!$AI$7:$AN$448,6,0),0)</f>
        <v>16</v>
      </c>
      <c r="J310" s="6"/>
      <c r="K310" s="6">
        <f>IFERROR(VLOOKUP(C310,O.B.JUNE!$AI$7:$AO$448,7,0),0)</f>
        <v>360994</v>
      </c>
      <c r="L310" s="6">
        <f>SUMIF('JUNE (물량흐름)'!$C$13:$C$488,'Overhead exp(제조경비)'!C310,'JUNE (물량흐름)'!$H$13:$H$493)+SUMIF('JUNE (물량흐름)'!$C$13:$C$493,'Overhead exp(제조경비)'!C310,'JUNE (물량흐름)'!$V$13:$V$493)</f>
        <v>0</v>
      </c>
      <c r="M310" s="6">
        <f t="shared" si="79"/>
        <v>0</v>
      </c>
      <c r="N310" s="6">
        <f t="shared" si="80"/>
        <v>0</v>
      </c>
      <c r="O310" s="6">
        <f t="shared" si="88"/>
        <v>0</v>
      </c>
      <c r="P310" s="6">
        <f>SUMIF('JUNE (물량흐름)'!$C$13:$C$502,C310,'JUNE (물량흐름)'!$T$13:$T$502)+SUMIF('JUNE (물량흐름)'!$C$13:$C$502,C310,'JUNE (물량흐름)'!$V$13:$V$502)+SUMIF('JUNE (물량흐름)'!$C$13:$C$502,C310,'JUNE (물량흐름)'!$U$13:$U$502)-SUMIF('JUNE (물량흐름)'!$C$13:$C$502,C310,'JUNE (물량흐름)'!$Y$13:$Y$502)</f>
        <v>0</v>
      </c>
      <c r="Q310" s="6">
        <f t="shared" si="86"/>
        <v>0</v>
      </c>
      <c r="R310" s="6">
        <f>IF(ISERROR(VLOOKUP(#REF!,'WIP(재공품)'!$B$12:$AB$38,13,0)),0,VLOOKUP(#REF!,'WIP(재공품)'!$B$12:$AB$38,13,0))</f>
        <v>0</v>
      </c>
      <c r="S310" s="6">
        <f>IF(ISERROR(VLOOKUP(#REF!,'WIP(재공품)'!$B$12:$AB$38,10,0)),0,VLOOKUP(#REF!,'WIP(재공품)'!$B$12:$AB$38,10,0))</f>
        <v>0</v>
      </c>
      <c r="T310" s="6">
        <f>SUMIF('JUNE (물량흐름)'!$C$13:$C$502,'Overhead exp(제조경비)'!C310,'JUNE (물량흐름)'!$Y$13:$Y$502)</f>
        <v>0</v>
      </c>
      <c r="U310" s="6">
        <f t="shared" si="81"/>
        <v>0</v>
      </c>
      <c r="V310" s="6">
        <f>ROUND(SUMIF('JUNE (물량흐름)'!$C$13:$C$502,'Overhead exp(제조경비)'!C310,'JUNE (물량흐름)'!$N$13:$N$502),0)</f>
        <v>22</v>
      </c>
      <c r="W310" s="6">
        <f>ROUND(SUMIF('JUNE (물량흐름)'!$C$13:$C$502,'Overhead exp(제조경비)'!C310,'JUNE (물량흐름)'!$O$13:$O$502),0)</f>
        <v>5</v>
      </c>
      <c r="X310" s="6">
        <f>ROUND(SUMIF('JUNE (물량흐름)'!$C$13:$C$502,'Overhead exp(제조경비)'!C310,'JUNE (물량흐름)'!$P$13:$P$502),0)</f>
        <v>11</v>
      </c>
      <c r="Y310" s="167">
        <f t="shared" si="82"/>
        <v>38</v>
      </c>
      <c r="Z310" s="167">
        <f t="shared" si="83"/>
        <v>16</v>
      </c>
      <c r="AA310" s="6">
        <f t="shared" si="87"/>
        <v>360994</v>
      </c>
      <c r="AB310" s="391">
        <f t="shared" si="84"/>
        <v>0</v>
      </c>
      <c r="AC310" s="391">
        <f t="shared" si="85"/>
        <v>0</v>
      </c>
    </row>
    <row r="311" spans="1:29" s="390" customFormat="1" ht="24" customHeight="1">
      <c r="A311" s="167">
        <v>305</v>
      </c>
      <c r="B311" s="20" t="str">
        <f>IFERROR(VLOOKUP(A311,'JUNE (물량흐름)'!$A$13:$C$502,2,0),0)</f>
        <v>TALBOTS</v>
      </c>
      <c r="C311" s="272">
        <f>VLOOKUP(A311,'JUNE (물량흐름)'!$A$13:$C$502,3,0)</f>
        <v>182013373</v>
      </c>
      <c r="D311" s="6">
        <f>VLOOKUP(C311,'WIP(재공품)'!$B$12:$E$493,4,0)</f>
        <v>7936.2499999999991</v>
      </c>
      <c r="E311" s="6">
        <f>IFERROR(VLOOKUP(C311,O.B.JUNE!$AI$7:$AJ$448,2,0),0)</f>
        <v>0</v>
      </c>
      <c r="F311" s="6">
        <f>IFERROR(VLOOKUP(C311,O.B.JUNE!$AI$7:$AK$448,3,0),0)</f>
        <v>318</v>
      </c>
      <c r="G311" s="6">
        <f>IFERROR(VLOOKUP(C311,O.B.JUNE!$AI$7:$AL$448,4,0),0)</f>
        <v>273</v>
      </c>
      <c r="H311" s="6">
        <f t="shared" si="78"/>
        <v>591</v>
      </c>
      <c r="I311" s="6">
        <f>IFERROR(VLOOKUP(C311,O.B.JUNE!$AI$7:$AN$448,6,0),0)</f>
        <v>377</v>
      </c>
      <c r="J311" s="6"/>
      <c r="K311" s="6">
        <f>IFERROR(VLOOKUP(C311,O.B.JUNE!$AI$7:$AO$448,7,0),0)</f>
        <v>8659996</v>
      </c>
      <c r="L311" s="6">
        <f>SUMIF('JUNE (물량흐름)'!$C$13:$C$488,'Overhead exp(제조경비)'!C311,'JUNE (물량흐름)'!$H$13:$H$493)+SUMIF('JUNE (물량흐름)'!$C$13:$C$493,'Overhead exp(제조경비)'!C311,'JUNE (물량흐름)'!$V$13:$V$493)</f>
        <v>0</v>
      </c>
      <c r="M311" s="6">
        <f t="shared" si="79"/>
        <v>0</v>
      </c>
      <c r="N311" s="6">
        <f t="shared" si="80"/>
        <v>0</v>
      </c>
      <c r="O311" s="6">
        <f t="shared" si="88"/>
        <v>0</v>
      </c>
      <c r="P311" s="6">
        <f>SUMIF('JUNE (물량흐름)'!$C$13:$C$502,C311,'JUNE (물량흐름)'!$T$13:$T$502)+SUMIF('JUNE (물량흐름)'!$C$13:$C$502,C311,'JUNE (물량흐름)'!$V$13:$V$502)+SUMIF('JUNE (물량흐름)'!$C$13:$C$502,C311,'JUNE (물량흐름)'!$U$13:$U$502)-SUMIF('JUNE (물량흐름)'!$C$13:$C$502,C311,'JUNE (물량흐름)'!$Y$13:$Y$502)</f>
        <v>0</v>
      </c>
      <c r="Q311" s="6">
        <f t="shared" si="86"/>
        <v>0</v>
      </c>
      <c r="R311" s="6">
        <f>IF(ISERROR(VLOOKUP(#REF!,'WIP(재공품)'!$B$12:$AB$38,13,0)),0,VLOOKUP(#REF!,'WIP(재공품)'!$B$12:$AB$38,13,0))</f>
        <v>0</v>
      </c>
      <c r="S311" s="6">
        <f>IF(ISERROR(VLOOKUP(#REF!,'WIP(재공품)'!$B$12:$AB$38,10,0)),0,VLOOKUP(#REF!,'WIP(재공품)'!$B$12:$AB$38,10,0))</f>
        <v>0</v>
      </c>
      <c r="T311" s="6">
        <f>SUMIF('JUNE (물량흐름)'!$C$13:$C$502,'Overhead exp(제조경비)'!C311,'JUNE (물량흐름)'!$Y$13:$Y$502)</f>
        <v>0</v>
      </c>
      <c r="U311" s="6">
        <f t="shared" si="81"/>
        <v>0</v>
      </c>
      <c r="V311" s="6">
        <f>ROUND(SUMIF('JUNE (물량흐름)'!$C$13:$C$502,'Overhead exp(제조경비)'!C311,'JUNE (물량흐름)'!$N$13:$N$502),0)</f>
        <v>0</v>
      </c>
      <c r="W311" s="6">
        <f>ROUND(SUMIF('JUNE (물량흐름)'!$C$13:$C$502,'Overhead exp(제조경비)'!C311,'JUNE (물량흐름)'!$O$13:$O$502),0)</f>
        <v>318</v>
      </c>
      <c r="X311" s="6">
        <f>ROUND(SUMIF('JUNE (물량흐름)'!$C$13:$C$502,'Overhead exp(제조경비)'!C311,'JUNE (물량흐름)'!$P$13:$P$502),0)</f>
        <v>273</v>
      </c>
      <c r="Y311" s="167">
        <f t="shared" si="82"/>
        <v>591</v>
      </c>
      <c r="Z311" s="167">
        <f t="shared" si="83"/>
        <v>377</v>
      </c>
      <c r="AA311" s="6">
        <f t="shared" si="87"/>
        <v>8659996</v>
      </c>
      <c r="AB311" s="391">
        <f t="shared" si="84"/>
        <v>0</v>
      </c>
      <c r="AC311" s="391">
        <f t="shared" si="85"/>
        <v>0</v>
      </c>
    </row>
    <row r="312" spans="1:29" s="390" customFormat="1" ht="24" customHeight="1">
      <c r="A312" s="167">
        <v>306</v>
      </c>
      <c r="B312" s="20" t="str">
        <f>IFERROR(VLOOKUP(A312,'JUNE (물량흐름)'!$A$13:$C$502,2,0),0)</f>
        <v>TALBOTS</v>
      </c>
      <c r="C312" s="272">
        <f>VLOOKUP(A312,'JUNE (물량흐름)'!$A$13:$C$502,3,0)</f>
        <v>182013374</v>
      </c>
      <c r="D312" s="6">
        <f>VLOOKUP(C312,'WIP(재공품)'!$B$12:$E$493,4,0)</f>
        <v>7936.2499999999991</v>
      </c>
      <c r="E312" s="6">
        <f>IFERROR(VLOOKUP(C312,O.B.JUNE!$AI$7:$AJ$448,2,0),0)</f>
        <v>0</v>
      </c>
      <c r="F312" s="6">
        <f>IFERROR(VLOOKUP(C312,O.B.JUNE!$AI$7:$AK$448,3,0),0)</f>
        <v>69</v>
      </c>
      <c r="G312" s="6">
        <f>IFERROR(VLOOKUP(C312,O.B.JUNE!$AI$7:$AL$448,4,0),0)</f>
        <v>337</v>
      </c>
      <c r="H312" s="6">
        <f t="shared" si="78"/>
        <v>406</v>
      </c>
      <c r="I312" s="6">
        <f>IFERROR(VLOOKUP(C312,O.B.JUNE!$AI$7:$AN$448,6,0),0)</f>
        <v>304</v>
      </c>
      <c r="J312" s="6"/>
      <c r="K312" s="6">
        <f>IFERROR(VLOOKUP(C312,O.B.JUNE!$AI$7:$AO$448,7,0),0)</f>
        <v>4552274</v>
      </c>
      <c r="L312" s="6">
        <f>SUMIF('JUNE (물량흐름)'!$C$13:$C$488,'Overhead exp(제조경비)'!C312,'JUNE (물량흐름)'!$H$13:$H$493)+SUMIF('JUNE (물량흐름)'!$C$13:$C$493,'Overhead exp(제조경비)'!C312,'JUNE (물량흐름)'!$V$13:$V$493)</f>
        <v>0</v>
      </c>
      <c r="M312" s="6">
        <f t="shared" si="79"/>
        <v>0</v>
      </c>
      <c r="N312" s="6">
        <f t="shared" si="80"/>
        <v>0</v>
      </c>
      <c r="O312" s="6">
        <f t="shared" si="88"/>
        <v>0</v>
      </c>
      <c r="P312" s="6">
        <f>SUMIF('JUNE (물량흐름)'!$C$13:$C$502,C312,'JUNE (물량흐름)'!$T$13:$T$502)+SUMIF('JUNE (물량흐름)'!$C$13:$C$502,C312,'JUNE (물량흐름)'!$V$13:$V$502)+SUMIF('JUNE (물량흐름)'!$C$13:$C$502,C312,'JUNE (물량흐름)'!$U$13:$U$502)-SUMIF('JUNE (물량흐름)'!$C$13:$C$502,C312,'JUNE (물량흐름)'!$Y$13:$Y$502)</f>
        <v>0</v>
      </c>
      <c r="Q312" s="6">
        <f t="shared" si="86"/>
        <v>0</v>
      </c>
      <c r="R312" s="6">
        <f>IF(ISERROR(VLOOKUP(#REF!,'WIP(재공품)'!$B$12:$AB$38,13,0)),0,VLOOKUP(#REF!,'WIP(재공품)'!$B$12:$AB$38,13,0))</f>
        <v>0</v>
      </c>
      <c r="S312" s="6">
        <f>IF(ISERROR(VLOOKUP(#REF!,'WIP(재공품)'!$B$12:$AB$38,10,0)),0,VLOOKUP(#REF!,'WIP(재공품)'!$B$12:$AB$38,10,0))</f>
        <v>0</v>
      </c>
      <c r="T312" s="6">
        <f>SUMIF('JUNE (물량흐름)'!$C$13:$C$502,'Overhead exp(제조경비)'!C312,'JUNE (물량흐름)'!$Y$13:$Y$502)</f>
        <v>0</v>
      </c>
      <c r="U312" s="6">
        <f t="shared" si="81"/>
        <v>0</v>
      </c>
      <c r="V312" s="6">
        <f>ROUND(SUMIF('JUNE (물량흐름)'!$C$13:$C$502,'Overhead exp(제조경비)'!C312,'JUNE (물량흐름)'!$N$13:$N$502),0)</f>
        <v>0</v>
      </c>
      <c r="W312" s="6">
        <f>ROUND(SUMIF('JUNE (물량흐름)'!$C$13:$C$502,'Overhead exp(제조경비)'!C312,'JUNE (물량흐름)'!$O$13:$O$502),0)</f>
        <v>70</v>
      </c>
      <c r="X312" s="6">
        <f>ROUND(SUMIF('JUNE (물량흐름)'!$C$13:$C$502,'Overhead exp(제조경비)'!C312,'JUNE (물량흐름)'!$P$13:$P$502),0)</f>
        <v>336</v>
      </c>
      <c r="Y312" s="6">
        <f t="shared" si="82"/>
        <v>406</v>
      </c>
      <c r="Z312" s="6">
        <f t="shared" si="83"/>
        <v>304</v>
      </c>
      <c r="AA312" s="6">
        <f t="shared" si="87"/>
        <v>4552274</v>
      </c>
      <c r="AB312" s="391">
        <f t="shared" si="84"/>
        <v>0</v>
      </c>
      <c r="AC312" s="391">
        <f t="shared" si="85"/>
        <v>0</v>
      </c>
    </row>
    <row r="313" spans="1:29" s="390" customFormat="1" ht="24" customHeight="1">
      <c r="A313" s="167">
        <v>307</v>
      </c>
      <c r="B313" s="20" t="str">
        <f>IFERROR(VLOOKUP(A313,'JUNE (물량흐름)'!$A$13:$C$502,2,0),0)</f>
        <v>TALBOTS</v>
      </c>
      <c r="C313" s="272">
        <f>VLOOKUP(A313,'JUNE (물량흐름)'!$A$13:$C$502,3,0)</f>
        <v>182034338</v>
      </c>
      <c r="D313" s="6">
        <f>VLOOKUP(C313,'WIP(재공품)'!$B$12:$E$493,4,0)</f>
        <v>7936.2499999999991</v>
      </c>
      <c r="E313" s="6">
        <f>IFERROR(VLOOKUP(C313,O.B.JUNE!$AI$7:$AJ$448,2,0),0)</f>
        <v>0</v>
      </c>
      <c r="F313" s="6">
        <f>IFERROR(VLOOKUP(C313,O.B.JUNE!$AI$7:$AK$448,3,0),0)</f>
        <v>61</v>
      </c>
      <c r="G313" s="6">
        <f>IFERROR(VLOOKUP(C313,O.B.JUNE!$AI$7:$AL$448,4,0),0)</f>
        <v>10</v>
      </c>
      <c r="H313" s="6">
        <f t="shared" si="78"/>
        <v>71</v>
      </c>
      <c r="I313" s="6">
        <f>IFERROR(VLOOKUP(C313,O.B.JUNE!$AI$7:$AN$448,6,0),0)</f>
        <v>39</v>
      </c>
      <c r="J313" s="6"/>
      <c r="K313" s="6">
        <f>IFERROR(VLOOKUP(C313,O.B.JUNE!$AI$7:$AO$448,7,0),0)</f>
        <v>2378541</v>
      </c>
      <c r="L313" s="6">
        <f>SUMIF('JUNE (물량흐름)'!$C$13:$C$488,'Overhead exp(제조경비)'!C313,'JUNE (물량흐름)'!$H$13:$H$493)+SUMIF('JUNE (물량흐름)'!$C$13:$C$493,'Overhead exp(제조경비)'!C313,'JUNE (물량흐름)'!$V$13:$V$493)</f>
        <v>0</v>
      </c>
      <c r="M313" s="6">
        <f t="shared" si="79"/>
        <v>0</v>
      </c>
      <c r="N313" s="6">
        <f t="shared" si="80"/>
        <v>0</v>
      </c>
      <c r="O313" s="6">
        <f t="shared" si="88"/>
        <v>0</v>
      </c>
      <c r="P313" s="6">
        <f>SUMIF('JUNE (물량흐름)'!$C$13:$C$502,C313,'JUNE (물량흐름)'!$T$13:$T$502)+SUMIF('JUNE (물량흐름)'!$C$13:$C$502,C313,'JUNE (물량흐름)'!$V$13:$V$502)+SUMIF('JUNE (물량흐름)'!$C$13:$C$502,C313,'JUNE (물량흐름)'!$U$13:$U$502)-SUMIF('JUNE (물량흐름)'!$C$13:$C$502,C313,'JUNE (물량흐름)'!$Y$13:$Y$502)</f>
        <v>0</v>
      </c>
      <c r="Q313" s="6">
        <f t="shared" si="86"/>
        <v>0</v>
      </c>
      <c r="R313" s="6">
        <f>IF(ISERROR(VLOOKUP(#REF!,'WIP(재공품)'!$B$12:$AB$38,13,0)),0,VLOOKUP(#REF!,'WIP(재공품)'!$B$12:$AB$38,13,0))</f>
        <v>0</v>
      </c>
      <c r="S313" s="6">
        <f>IF(ISERROR(VLOOKUP(#REF!,'WIP(재공품)'!$B$12:$AB$38,10,0)),0,VLOOKUP(#REF!,'WIP(재공품)'!$B$12:$AB$38,10,0))</f>
        <v>0</v>
      </c>
      <c r="T313" s="6">
        <f>SUMIF('JUNE (물량흐름)'!$C$13:$C$502,'Overhead exp(제조경비)'!C313,'JUNE (물량흐름)'!$Y$13:$Y$502)</f>
        <v>0</v>
      </c>
      <c r="U313" s="6">
        <f t="shared" si="81"/>
        <v>0</v>
      </c>
      <c r="V313" s="6">
        <f>ROUND(SUMIF('JUNE (물량흐름)'!$C$13:$C$502,'Overhead exp(제조경비)'!C313,'JUNE (물량흐름)'!$N$13:$N$502),0)</f>
        <v>0</v>
      </c>
      <c r="W313" s="6">
        <f>ROUND(SUMIF('JUNE (물량흐름)'!$C$13:$C$502,'Overhead exp(제조경비)'!C313,'JUNE (물량흐름)'!$O$13:$O$502),0)</f>
        <v>61</v>
      </c>
      <c r="X313" s="6">
        <f>ROUND(SUMIF('JUNE (물량흐름)'!$C$13:$C$502,'Overhead exp(제조경비)'!C313,'JUNE (물량흐름)'!$P$13:$P$502),0)</f>
        <v>10</v>
      </c>
      <c r="Y313" s="167">
        <f t="shared" si="82"/>
        <v>71</v>
      </c>
      <c r="Z313" s="167">
        <f t="shared" si="83"/>
        <v>39</v>
      </c>
      <c r="AA313" s="6">
        <f t="shared" si="87"/>
        <v>2378541</v>
      </c>
      <c r="AB313" s="391">
        <f t="shared" si="84"/>
        <v>0</v>
      </c>
      <c r="AC313" s="391">
        <f t="shared" si="85"/>
        <v>0</v>
      </c>
    </row>
    <row r="314" spans="1:29" s="390" customFormat="1" ht="24" customHeight="1">
      <c r="A314" s="167">
        <v>308</v>
      </c>
      <c r="B314" s="20" t="str">
        <f>IFERROR(VLOOKUP(A314,'JUNE (물량흐름)'!$A$13:$C$502,2,0),0)</f>
        <v>ALFANI</v>
      </c>
      <c r="C314" s="272">
        <f>VLOOKUP(A314,'JUNE (물량흐름)'!$A$13:$C$502,3,0)</f>
        <v>100015358</v>
      </c>
      <c r="D314" s="6">
        <f>VLOOKUP(C314,'WIP(재공품)'!$B$12:$E$493,4,0)</f>
        <v>44443</v>
      </c>
      <c r="E314" s="6">
        <f>IFERROR(VLOOKUP(C314,O.B.JUNE!$AI$7:$AJ$448,2,0),0)</f>
        <v>0</v>
      </c>
      <c r="F314" s="6">
        <f>IFERROR(VLOOKUP(C314,O.B.JUNE!$AI$7:$AK$448,3,0),0)</f>
        <v>26</v>
      </c>
      <c r="G314" s="6">
        <f>IFERROR(VLOOKUP(C314,O.B.JUNE!$AI$7:$AL$448,4,0),0)</f>
        <v>36</v>
      </c>
      <c r="H314" s="6">
        <f t="shared" si="78"/>
        <v>62</v>
      </c>
      <c r="I314" s="6">
        <f>IFERROR(VLOOKUP(C314,O.B.JUNE!$AI$7:$AN$448,6,0),0)</f>
        <v>42</v>
      </c>
      <c r="J314" s="6"/>
      <c r="K314" s="6">
        <f>IFERROR(VLOOKUP(C314,O.B.JUNE!$AI$7:$AO$448,7,0),0)</f>
        <v>625183</v>
      </c>
      <c r="L314" s="6">
        <f>SUMIF('JUNE (물량흐름)'!$C$13:$C$488,'Overhead exp(제조경비)'!C314,'JUNE (물량흐름)'!$H$13:$H$493)+SUMIF('JUNE (물량흐름)'!$C$13:$C$493,'Overhead exp(제조경비)'!C314,'JUNE (물량흐름)'!$V$13:$V$493)</f>
        <v>0</v>
      </c>
      <c r="M314" s="6">
        <f t="shared" si="79"/>
        <v>0</v>
      </c>
      <c r="N314" s="6">
        <f t="shared" si="80"/>
        <v>0</v>
      </c>
      <c r="O314" s="6">
        <f t="shared" si="88"/>
        <v>0</v>
      </c>
      <c r="P314" s="6">
        <f>SUMIF('JUNE (물량흐름)'!$C$13:$C$502,C314,'JUNE (물량흐름)'!$T$13:$T$502)+SUMIF('JUNE (물량흐름)'!$C$13:$C$502,C314,'JUNE (물량흐름)'!$V$13:$V$502)+SUMIF('JUNE (물량흐름)'!$C$13:$C$502,C314,'JUNE (물량흐름)'!$U$13:$U$502)-SUMIF('JUNE (물량흐름)'!$C$13:$C$502,C314,'JUNE (물량흐름)'!$Y$13:$Y$502)</f>
        <v>0</v>
      </c>
      <c r="Q314" s="6">
        <f t="shared" si="86"/>
        <v>0</v>
      </c>
      <c r="R314" s="6">
        <f>IF(ISERROR(VLOOKUP(#REF!,'WIP(재공품)'!$B$12:$AB$38,13,0)),0,VLOOKUP(#REF!,'WIP(재공품)'!$B$12:$AB$38,13,0))</f>
        <v>0</v>
      </c>
      <c r="S314" s="6">
        <f>IF(ISERROR(VLOOKUP(#REF!,'WIP(재공품)'!$B$12:$AB$38,10,0)),0,VLOOKUP(#REF!,'WIP(재공품)'!$B$12:$AB$38,10,0))</f>
        <v>0</v>
      </c>
      <c r="T314" s="6">
        <f>SUMIF('JUNE (물량흐름)'!$C$13:$C$502,'Overhead exp(제조경비)'!C314,'JUNE (물량흐름)'!$Y$13:$Y$502)</f>
        <v>0</v>
      </c>
      <c r="U314" s="6">
        <f t="shared" si="81"/>
        <v>0</v>
      </c>
      <c r="V314" s="6">
        <f>ROUND(SUMIF('JUNE (물량흐름)'!$C$13:$C$502,'Overhead exp(제조경비)'!C314,'JUNE (물량흐름)'!$N$13:$N$502),0)</f>
        <v>0</v>
      </c>
      <c r="W314" s="6">
        <f>ROUND(SUMIF('JUNE (물량흐름)'!$C$13:$C$502,'Overhead exp(제조경비)'!C314,'JUNE (물량흐름)'!$O$13:$O$502),0)</f>
        <v>26</v>
      </c>
      <c r="X314" s="6">
        <f>ROUND(SUMIF('JUNE (물량흐름)'!$C$13:$C$502,'Overhead exp(제조경비)'!C314,'JUNE (물량흐름)'!$P$13:$P$502),0)</f>
        <v>36</v>
      </c>
      <c r="Y314" s="6">
        <f t="shared" si="82"/>
        <v>62</v>
      </c>
      <c r="Z314" s="6">
        <f t="shared" si="83"/>
        <v>42</v>
      </c>
      <c r="AA314" s="6">
        <f t="shared" si="87"/>
        <v>625183</v>
      </c>
      <c r="AB314" s="391">
        <f t="shared" si="84"/>
        <v>0</v>
      </c>
      <c r="AC314" s="391">
        <f t="shared" si="85"/>
        <v>0</v>
      </c>
    </row>
    <row r="315" spans="1:29" s="390" customFormat="1" ht="24" customHeight="1">
      <c r="A315" s="167">
        <v>309</v>
      </c>
      <c r="B315" s="20" t="str">
        <f>IFERROR(VLOOKUP(A315,'JUNE (물량흐름)'!$A$13:$C$502,2,0),0)</f>
        <v>ALFANI</v>
      </c>
      <c r="C315" s="272">
        <f>VLOOKUP(A315,'JUNE (물량흐름)'!$A$13:$C$502,3,0)</f>
        <v>100022090</v>
      </c>
      <c r="D315" s="6">
        <f>VLOOKUP(C315,'WIP(재공품)'!$B$12:$E$493,4,0)</f>
        <v>7936.2499999999991</v>
      </c>
      <c r="E315" s="6">
        <f>IFERROR(VLOOKUP(C315,O.B.JUNE!$AI$7:$AJ$448,2,0),0)</f>
        <v>0</v>
      </c>
      <c r="F315" s="6">
        <f>IFERROR(VLOOKUP(C315,O.B.JUNE!$AI$7:$AK$448,3,0),0)</f>
        <v>0</v>
      </c>
      <c r="G315" s="6">
        <f>IFERROR(VLOOKUP(C315,O.B.JUNE!$AI$7:$AL$448,4,0),0)</f>
        <v>335</v>
      </c>
      <c r="H315" s="6">
        <f t="shared" si="78"/>
        <v>335</v>
      </c>
      <c r="I315" s="6">
        <f>IFERROR(VLOOKUP(C315,O.B.JUNE!$AI$7:$AN$448,6,0),0)</f>
        <v>268</v>
      </c>
      <c r="J315" s="6"/>
      <c r="K315" s="6">
        <f>IFERROR(VLOOKUP(C315,O.B.JUNE!$AI$7:$AO$448,7,0),0)</f>
        <v>8651616</v>
      </c>
      <c r="L315" s="6">
        <f>SUMIF('JUNE (물량흐름)'!$C$13:$C$488,'Overhead exp(제조경비)'!C315,'JUNE (물량흐름)'!$H$13:$H$493)+SUMIF('JUNE (물량흐름)'!$C$13:$C$493,'Overhead exp(제조경비)'!C315,'JUNE (물량흐름)'!$V$13:$V$493)</f>
        <v>0</v>
      </c>
      <c r="M315" s="6">
        <f t="shared" si="79"/>
        <v>0</v>
      </c>
      <c r="N315" s="6">
        <f t="shared" si="80"/>
        <v>0</v>
      </c>
      <c r="O315" s="6">
        <f t="shared" si="88"/>
        <v>0</v>
      </c>
      <c r="P315" s="6">
        <f>SUMIF('JUNE (물량흐름)'!$C$13:$C$502,C315,'JUNE (물량흐름)'!$T$13:$T$502)+SUMIF('JUNE (물량흐름)'!$C$13:$C$502,C315,'JUNE (물량흐름)'!$V$13:$V$502)+SUMIF('JUNE (물량흐름)'!$C$13:$C$502,C315,'JUNE (물량흐름)'!$U$13:$U$502)-SUMIF('JUNE (물량흐름)'!$C$13:$C$502,C315,'JUNE (물량흐름)'!$Y$13:$Y$502)</f>
        <v>0</v>
      </c>
      <c r="Q315" s="6">
        <f t="shared" si="86"/>
        <v>0</v>
      </c>
      <c r="R315" s="6">
        <f>IF(ISERROR(VLOOKUP(#REF!,'WIP(재공품)'!$B$12:$AB$38,13,0)),0,VLOOKUP(#REF!,'WIP(재공품)'!$B$12:$AB$38,13,0))</f>
        <v>0</v>
      </c>
      <c r="S315" s="6">
        <f>IF(ISERROR(VLOOKUP(#REF!,'WIP(재공품)'!$B$12:$AB$38,10,0)),0,VLOOKUP(#REF!,'WIP(재공품)'!$B$12:$AB$38,10,0))</f>
        <v>0</v>
      </c>
      <c r="T315" s="6">
        <f>SUMIF('JUNE (물량흐름)'!$C$13:$C$502,'Overhead exp(제조경비)'!C315,'JUNE (물량흐름)'!$Y$13:$Y$502)</f>
        <v>0</v>
      </c>
      <c r="U315" s="6">
        <f t="shared" si="81"/>
        <v>0</v>
      </c>
      <c r="V315" s="6">
        <f>ROUND(SUMIF('JUNE (물량흐름)'!$C$13:$C$502,'Overhead exp(제조경비)'!C315,'JUNE (물량흐름)'!$N$13:$N$502),0)</f>
        <v>0</v>
      </c>
      <c r="W315" s="6">
        <f>ROUND(SUMIF('JUNE (물량흐름)'!$C$13:$C$502,'Overhead exp(제조경비)'!C315,'JUNE (물량흐름)'!$O$13:$O$502),0)</f>
        <v>0</v>
      </c>
      <c r="X315" s="6">
        <f>ROUND(SUMIF('JUNE (물량흐름)'!$C$13:$C$502,'Overhead exp(제조경비)'!C315,'JUNE (물량흐름)'!$P$13:$P$502),0)</f>
        <v>335</v>
      </c>
      <c r="Y315" s="167">
        <f t="shared" si="82"/>
        <v>335</v>
      </c>
      <c r="Z315" s="167">
        <f t="shared" si="83"/>
        <v>268</v>
      </c>
      <c r="AA315" s="6">
        <f t="shared" si="87"/>
        <v>8651616</v>
      </c>
      <c r="AB315" s="391">
        <f t="shared" si="84"/>
        <v>0</v>
      </c>
      <c r="AC315" s="391">
        <f t="shared" si="85"/>
        <v>0</v>
      </c>
    </row>
    <row r="316" spans="1:29" s="390" customFormat="1" ht="24" customHeight="1">
      <c r="A316" s="167">
        <v>310</v>
      </c>
      <c r="B316" s="20" t="str">
        <f>IFERROR(VLOOKUP(A316,'JUNE (물량흐름)'!$A$13:$C$502,2,0),0)</f>
        <v>TALBOTS</v>
      </c>
      <c r="C316" s="272">
        <f>VLOOKUP(A316,'JUNE (물량흐름)'!$A$13:$C$502,3,0)</f>
        <v>182034820</v>
      </c>
      <c r="D316" s="6">
        <f>VLOOKUP(C316,'WIP(재공품)'!$B$12:$E$493,4,0)</f>
        <v>8163</v>
      </c>
      <c r="E316" s="6">
        <f>IFERROR(VLOOKUP(C316,O.B.JUNE!$AI$7:$AJ$448,2,0),0)</f>
        <v>0</v>
      </c>
      <c r="F316" s="6">
        <f>IFERROR(VLOOKUP(C316,O.B.JUNE!$AI$7:$AK$448,3,0),0)</f>
        <v>367</v>
      </c>
      <c r="G316" s="6">
        <f>IFERROR(VLOOKUP(C316,O.B.JUNE!$AI$7:$AL$448,4,0),0)</f>
        <v>509</v>
      </c>
      <c r="H316" s="6">
        <f t="shared" si="78"/>
        <v>876</v>
      </c>
      <c r="I316" s="6">
        <f>IFERROR(VLOOKUP(C316,O.B.JUNE!$AI$7:$AN$448,6,0),0)</f>
        <v>591</v>
      </c>
      <c r="J316" s="6"/>
      <c r="K316" s="6">
        <f>IFERROR(VLOOKUP(C316,O.B.JUNE!$AI$7:$AO$448,7,0),0)</f>
        <v>20734852</v>
      </c>
      <c r="L316" s="6">
        <f>SUMIF('JUNE (물량흐름)'!$C$13:$C$488,'Overhead exp(제조경비)'!C316,'JUNE (물량흐름)'!$H$13:$H$493)+SUMIF('JUNE (물량흐름)'!$C$13:$C$493,'Overhead exp(제조경비)'!C316,'JUNE (물량흐름)'!$V$13:$V$493)</f>
        <v>0</v>
      </c>
      <c r="M316" s="6">
        <f t="shared" si="79"/>
        <v>0</v>
      </c>
      <c r="N316" s="6">
        <f t="shared" si="80"/>
        <v>0</v>
      </c>
      <c r="O316" s="6">
        <f t="shared" si="88"/>
        <v>0</v>
      </c>
      <c r="P316" s="6">
        <f>SUMIF('JUNE (물량흐름)'!$C$13:$C$502,C316,'JUNE (물량흐름)'!$T$13:$T$502)+SUMIF('JUNE (물량흐름)'!$C$13:$C$502,C316,'JUNE (물량흐름)'!$V$13:$V$502)+SUMIF('JUNE (물량흐름)'!$C$13:$C$502,C316,'JUNE (물량흐름)'!$U$13:$U$502)-SUMIF('JUNE (물량흐름)'!$C$13:$C$502,C316,'JUNE (물량흐름)'!$Y$13:$Y$502)</f>
        <v>0</v>
      </c>
      <c r="Q316" s="6">
        <f t="shared" si="86"/>
        <v>0</v>
      </c>
      <c r="R316" s="6">
        <f>IF(ISERROR(VLOOKUP(#REF!,'WIP(재공품)'!$B$12:$AB$38,13,0)),0,VLOOKUP(#REF!,'WIP(재공품)'!$B$12:$AB$38,13,0))</f>
        <v>0</v>
      </c>
      <c r="S316" s="6">
        <f>IF(ISERROR(VLOOKUP(#REF!,'WIP(재공품)'!$B$12:$AB$38,10,0)),0,VLOOKUP(#REF!,'WIP(재공품)'!$B$12:$AB$38,10,0))</f>
        <v>0</v>
      </c>
      <c r="T316" s="6">
        <f>SUMIF('JUNE (물량흐름)'!$C$13:$C$502,'Overhead exp(제조경비)'!C316,'JUNE (물량흐름)'!$Y$13:$Y$502)</f>
        <v>0</v>
      </c>
      <c r="U316" s="6">
        <f t="shared" si="81"/>
        <v>0</v>
      </c>
      <c r="V316" s="6">
        <f>ROUND(SUMIF('JUNE (물량흐름)'!$C$13:$C$502,'Overhead exp(제조경비)'!C316,'JUNE (물량흐름)'!$N$13:$N$502),0)</f>
        <v>0</v>
      </c>
      <c r="W316" s="6">
        <f>ROUND(SUMIF('JUNE (물량흐름)'!$C$13:$C$502,'Overhead exp(제조경비)'!C316,'JUNE (물량흐름)'!$O$13:$O$502),0)</f>
        <v>367</v>
      </c>
      <c r="X316" s="6">
        <f>ROUND(SUMIF('JUNE (물량흐름)'!$C$13:$C$502,'Overhead exp(제조경비)'!C316,'JUNE (물량흐름)'!$P$13:$P$502),0)</f>
        <v>509</v>
      </c>
      <c r="Y316" s="167">
        <f t="shared" si="82"/>
        <v>876</v>
      </c>
      <c r="Z316" s="167">
        <f t="shared" si="83"/>
        <v>591</v>
      </c>
      <c r="AA316" s="6">
        <f t="shared" si="87"/>
        <v>20734852</v>
      </c>
      <c r="AB316" s="391">
        <f t="shared" si="84"/>
        <v>0</v>
      </c>
      <c r="AC316" s="391">
        <f t="shared" si="85"/>
        <v>0</v>
      </c>
    </row>
    <row r="317" spans="1:29" s="390" customFormat="1" ht="24" customHeight="1">
      <c r="A317" s="167">
        <v>311</v>
      </c>
      <c r="B317" s="20" t="str">
        <f>IFERROR(VLOOKUP(A317,'JUNE (물량흐름)'!$A$13:$C$502,2,0),0)</f>
        <v>ANN TAYLOR</v>
      </c>
      <c r="C317" s="272">
        <f>VLOOKUP(A317,'JUNE (물량흐름)'!$A$13:$C$502,3,0)</f>
        <v>457223</v>
      </c>
      <c r="D317" s="6">
        <f>VLOOKUP(C317,'WIP(재공품)'!$B$12:$E$493,4,0)</f>
        <v>8163</v>
      </c>
      <c r="E317" s="6">
        <f>IFERROR(VLOOKUP(C317,O.B.JUNE!$AI$7:$AJ$448,2,0),0)</f>
        <v>0</v>
      </c>
      <c r="F317" s="6">
        <f>IFERROR(VLOOKUP(C317,O.B.JUNE!$AI$7:$AK$448,3,0),0)</f>
        <v>212</v>
      </c>
      <c r="G317" s="6">
        <f>IFERROR(VLOOKUP(C317,O.B.JUNE!$AI$7:$AL$448,4,0),0)</f>
        <v>102</v>
      </c>
      <c r="H317" s="6">
        <f t="shared" si="78"/>
        <v>314</v>
      </c>
      <c r="I317" s="6">
        <f>IFERROR(VLOOKUP(C317,O.B.JUNE!$AI$7:$AN$448,6,0),0)</f>
        <v>188</v>
      </c>
      <c r="J317" s="6"/>
      <c r="K317" s="6">
        <f>IFERROR(VLOOKUP(C317,O.B.JUNE!$AI$7:$AO$448,7,0),0)</f>
        <v>4155981</v>
      </c>
      <c r="L317" s="6">
        <f>SUMIF('JUNE (물량흐름)'!$C$13:$C$488,'Overhead exp(제조경비)'!C317,'JUNE (물량흐름)'!$H$13:$H$493)+SUMIF('JUNE (물량흐름)'!$C$13:$C$493,'Overhead exp(제조경비)'!C317,'JUNE (물량흐름)'!$V$13:$V$493)</f>
        <v>0</v>
      </c>
      <c r="M317" s="6">
        <f t="shared" si="79"/>
        <v>0</v>
      </c>
      <c r="N317" s="6">
        <f t="shared" si="80"/>
        <v>0</v>
      </c>
      <c r="O317" s="6">
        <f t="shared" si="88"/>
        <v>0</v>
      </c>
      <c r="P317" s="6">
        <f>SUMIF('JUNE (물량흐름)'!$C$13:$C$502,C317,'JUNE (물량흐름)'!$T$13:$T$502)+SUMIF('JUNE (물량흐름)'!$C$13:$C$502,C317,'JUNE (물량흐름)'!$V$13:$V$502)+SUMIF('JUNE (물량흐름)'!$C$13:$C$502,C317,'JUNE (물량흐름)'!$U$13:$U$502)-SUMIF('JUNE (물량흐름)'!$C$13:$C$502,C317,'JUNE (물량흐름)'!$Y$13:$Y$502)</f>
        <v>0</v>
      </c>
      <c r="Q317" s="6">
        <f t="shared" si="86"/>
        <v>0</v>
      </c>
      <c r="R317" s="6">
        <f>IF(ISERROR(VLOOKUP(#REF!,'WIP(재공품)'!$B$12:$AB$38,13,0)),0,VLOOKUP(#REF!,'WIP(재공품)'!$B$12:$AB$38,13,0))</f>
        <v>0</v>
      </c>
      <c r="S317" s="6">
        <f>IF(ISERROR(VLOOKUP(#REF!,'WIP(재공품)'!$B$12:$AB$38,10,0)),0,VLOOKUP(#REF!,'WIP(재공품)'!$B$12:$AB$38,10,0))</f>
        <v>0</v>
      </c>
      <c r="T317" s="6">
        <f>SUMIF('JUNE (물량흐름)'!$C$13:$C$502,'Overhead exp(제조경비)'!C317,'JUNE (물량흐름)'!$Y$13:$Y$502)</f>
        <v>0</v>
      </c>
      <c r="U317" s="6">
        <f t="shared" si="81"/>
        <v>0</v>
      </c>
      <c r="V317" s="6">
        <f>ROUND(SUMIF('JUNE (물량흐름)'!$C$13:$C$502,'Overhead exp(제조경비)'!C317,'JUNE (물량흐름)'!$N$13:$N$502),0)</f>
        <v>0</v>
      </c>
      <c r="W317" s="6">
        <f>ROUND(SUMIF('JUNE (물량흐름)'!$C$13:$C$502,'Overhead exp(제조경비)'!C317,'JUNE (물량흐름)'!$O$13:$O$502),0)</f>
        <v>212</v>
      </c>
      <c r="X317" s="6">
        <f>ROUND(SUMIF('JUNE (물량흐름)'!$C$13:$C$502,'Overhead exp(제조경비)'!C317,'JUNE (물량흐름)'!$P$13:$P$502),0)</f>
        <v>102</v>
      </c>
      <c r="Y317" s="6">
        <f t="shared" si="82"/>
        <v>314</v>
      </c>
      <c r="Z317" s="6">
        <f t="shared" si="83"/>
        <v>188</v>
      </c>
      <c r="AA317" s="6">
        <f t="shared" si="87"/>
        <v>4155981</v>
      </c>
      <c r="AB317" s="391">
        <f t="shared" si="84"/>
        <v>0</v>
      </c>
      <c r="AC317" s="391">
        <f t="shared" si="85"/>
        <v>0</v>
      </c>
    </row>
    <row r="318" spans="1:29" s="390" customFormat="1" ht="24" customHeight="1">
      <c r="A318" s="167">
        <v>312</v>
      </c>
      <c r="B318" s="20" t="str">
        <f>IFERROR(VLOOKUP(A318,'JUNE (물량흐름)'!$A$13:$C$502,2,0),0)</f>
        <v>ANN TAYLOR</v>
      </c>
      <c r="C318" s="272">
        <f>VLOOKUP(A318,'JUNE (물량흐름)'!$A$13:$C$502,3,0)</f>
        <v>461186</v>
      </c>
      <c r="D318" s="6">
        <f>VLOOKUP(C318,'WIP(재공품)'!$B$12:$E$493,4,0)</f>
        <v>43762.75</v>
      </c>
      <c r="E318" s="6">
        <f>IFERROR(VLOOKUP(C318,O.B.JUNE!$AI$7:$AJ$448,2,0),0)</f>
        <v>0</v>
      </c>
      <c r="F318" s="6">
        <f>IFERROR(VLOOKUP(C318,O.B.JUNE!$AI$7:$AK$448,3,0),0)</f>
        <v>142</v>
      </c>
      <c r="G318" s="6">
        <f>IFERROR(VLOOKUP(C318,O.B.JUNE!$AI$7:$AL$448,4,0),0)</f>
        <v>85</v>
      </c>
      <c r="H318" s="6">
        <f t="shared" si="78"/>
        <v>227</v>
      </c>
      <c r="I318" s="6">
        <f>IFERROR(VLOOKUP(C318,O.B.JUNE!$AI$7:$AN$448,6,0),0)</f>
        <v>139</v>
      </c>
      <c r="J318" s="6"/>
      <c r="K318" s="6">
        <f>IFERROR(VLOOKUP(C318,O.B.JUNE!$AI$7:$AO$448,7,0),0)</f>
        <v>8332801</v>
      </c>
      <c r="L318" s="6">
        <f>SUMIF('JUNE (물량흐름)'!$C$13:$C$488,'Overhead exp(제조경비)'!C318,'JUNE (물량흐름)'!$H$13:$H$493)+SUMIF('JUNE (물량흐름)'!$C$13:$C$493,'Overhead exp(제조경비)'!C318,'JUNE (물량흐름)'!$V$13:$V$493)</f>
        <v>0</v>
      </c>
      <c r="M318" s="6">
        <f t="shared" si="79"/>
        <v>0</v>
      </c>
      <c r="N318" s="6">
        <f t="shared" si="80"/>
        <v>0</v>
      </c>
      <c r="O318" s="6">
        <f t="shared" si="88"/>
        <v>0</v>
      </c>
      <c r="P318" s="6">
        <f>SUMIF('JUNE (물량흐름)'!$C$13:$C$502,C318,'JUNE (물량흐름)'!$T$13:$T$502)+SUMIF('JUNE (물량흐름)'!$C$13:$C$502,C318,'JUNE (물량흐름)'!$V$13:$V$502)+SUMIF('JUNE (물량흐름)'!$C$13:$C$502,C318,'JUNE (물량흐름)'!$U$13:$U$502)-SUMIF('JUNE (물량흐름)'!$C$13:$C$502,C318,'JUNE (물량흐름)'!$Y$13:$Y$502)</f>
        <v>0</v>
      </c>
      <c r="Q318" s="6">
        <f t="shared" si="86"/>
        <v>0</v>
      </c>
      <c r="R318" s="6">
        <f>IF(ISERROR(VLOOKUP(#REF!,'WIP(재공품)'!$B$12:$AB$38,13,0)),0,VLOOKUP(#REF!,'WIP(재공품)'!$B$12:$AB$38,13,0))</f>
        <v>0</v>
      </c>
      <c r="S318" s="6">
        <f>IF(ISERROR(VLOOKUP(#REF!,'WIP(재공품)'!$B$12:$AB$38,10,0)),0,VLOOKUP(#REF!,'WIP(재공품)'!$B$12:$AB$38,10,0))</f>
        <v>0</v>
      </c>
      <c r="T318" s="6">
        <f>SUMIF('JUNE (물량흐름)'!$C$13:$C$502,'Overhead exp(제조경비)'!C318,'JUNE (물량흐름)'!$Y$13:$Y$502)</f>
        <v>0</v>
      </c>
      <c r="U318" s="6">
        <f t="shared" si="81"/>
        <v>0</v>
      </c>
      <c r="V318" s="6">
        <f>ROUND(SUMIF('JUNE (물량흐름)'!$C$13:$C$502,'Overhead exp(제조경비)'!C318,'JUNE (물량흐름)'!$N$13:$N$502),0)</f>
        <v>0</v>
      </c>
      <c r="W318" s="6">
        <f>ROUND(SUMIF('JUNE (물량흐름)'!$C$13:$C$502,'Overhead exp(제조경비)'!C318,'JUNE (물량흐름)'!$O$13:$O$502),0)</f>
        <v>142</v>
      </c>
      <c r="X318" s="6">
        <f>ROUND(SUMIF('JUNE (물량흐름)'!$C$13:$C$502,'Overhead exp(제조경비)'!C318,'JUNE (물량흐름)'!$P$13:$P$502),0)</f>
        <v>85</v>
      </c>
      <c r="Y318" s="6">
        <f t="shared" si="82"/>
        <v>227</v>
      </c>
      <c r="Z318" s="6">
        <f t="shared" si="83"/>
        <v>139</v>
      </c>
      <c r="AA318" s="6">
        <f t="shared" si="87"/>
        <v>8332801</v>
      </c>
      <c r="AB318" s="391">
        <f t="shared" si="84"/>
        <v>0</v>
      </c>
      <c r="AC318" s="391">
        <f t="shared" si="85"/>
        <v>0</v>
      </c>
    </row>
    <row r="319" spans="1:29" s="390" customFormat="1" ht="24" customHeight="1">
      <c r="A319" s="167">
        <v>313</v>
      </c>
      <c r="B319" s="20" t="str">
        <f>IFERROR(VLOOKUP(A319,'JUNE (물량흐름)'!$A$13:$C$502,2,0),0)</f>
        <v>ANN TAYLOR</v>
      </c>
      <c r="C319" s="272">
        <f>VLOOKUP(A319,'JUNE (물량흐름)'!$A$13:$C$502,3,0)</f>
        <v>461795</v>
      </c>
      <c r="D319" s="6">
        <f>VLOOKUP(C319,'WIP(재공품)'!$B$12:$E$493,4,0)</f>
        <v>7936.2499999999991</v>
      </c>
      <c r="E319" s="6">
        <f>IFERROR(VLOOKUP(C319,O.B.JUNE!$AI$7:$AJ$448,2,0),0)</f>
        <v>0</v>
      </c>
      <c r="F319" s="6">
        <f>IFERROR(VLOOKUP(C319,O.B.JUNE!$AI$7:$AK$448,3,0),0)</f>
        <v>314</v>
      </c>
      <c r="G319" s="6">
        <f>IFERROR(VLOOKUP(C319,O.B.JUNE!$AI$7:$AL$448,4,0),0)</f>
        <v>421</v>
      </c>
      <c r="H319" s="6">
        <f t="shared" si="78"/>
        <v>735</v>
      </c>
      <c r="I319" s="6">
        <f>IFERROR(VLOOKUP(C319,O.B.JUNE!$AI$7:$AN$448,6,0),0)</f>
        <v>494</v>
      </c>
      <c r="J319" s="6"/>
      <c r="K319" s="6">
        <f>IFERROR(VLOOKUP(C319,O.B.JUNE!$AI$7:$AO$448,7,0),0)</f>
        <v>10879635</v>
      </c>
      <c r="L319" s="6">
        <f>SUMIF('JUNE (물량흐름)'!$C$13:$C$488,'Overhead exp(제조경비)'!C319,'JUNE (물량흐름)'!$H$13:$H$493)+SUMIF('JUNE (물량흐름)'!$C$13:$C$493,'Overhead exp(제조경비)'!C319,'JUNE (물량흐름)'!$V$13:$V$493)</f>
        <v>0</v>
      </c>
      <c r="M319" s="6">
        <f t="shared" si="79"/>
        <v>0</v>
      </c>
      <c r="N319" s="6">
        <f t="shared" si="80"/>
        <v>0</v>
      </c>
      <c r="O319" s="6">
        <f t="shared" si="88"/>
        <v>0</v>
      </c>
      <c r="P319" s="6">
        <f>SUMIF('JUNE (물량흐름)'!$C$13:$C$502,C319,'JUNE (물량흐름)'!$T$13:$T$502)+SUMIF('JUNE (물량흐름)'!$C$13:$C$502,C319,'JUNE (물량흐름)'!$V$13:$V$502)+SUMIF('JUNE (물량흐름)'!$C$13:$C$502,C319,'JUNE (물량흐름)'!$U$13:$U$502)-SUMIF('JUNE (물량흐름)'!$C$13:$C$502,C319,'JUNE (물량흐름)'!$Y$13:$Y$502)</f>
        <v>0</v>
      </c>
      <c r="Q319" s="6">
        <f t="shared" si="86"/>
        <v>0</v>
      </c>
      <c r="R319" s="6">
        <f>IF(ISERROR(VLOOKUP(#REF!,'WIP(재공품)'!$B$12:$AB$38,13,0)),0,VLOOKUP(#REF!,'WIP(재공품)'!$B$12:$AB$38,13,0))</f>
        <v>0</v>
      </c>
      <c r="S319" s="6">
        <f>IF(ISERROR(VLOOKUP(#REF!,'WIP(재공품)'!$B$12:$AB$38,10,0)),0,VLOOKUP(#REF!,'WIP(재공품)'!$B$12:$AB$38,10,0))</f>
        <v>0</v>
      </c>
      <c r="T319" s="6">
        <f>SUMIF('JUNE (물량흐름)'!$C$13:$C$502,'Overhead exp(제조경비)'!C319,'JUNE (물량흐름)'!$Y$13:$Y$502)</f>
        <v>0</v>
      </c>
      <c r="U319" s="6">
        <f t="shared" si="81"/>
        <v>0</v>
      </c>
      <c r="V319" s="6">
        <f>ROUND(SUMIF('JUNE (물량흐름)'!$C$13:$C$502,'Overhead exp(제조경비)'!C319,'JUNE (물량흐름)'!$N$13:$N$502),0)</f>
        <v>0</v>
      </c>
      <c r="W319" s="6">
        <f>ROUND(SUMIF('JUNE (물량흐름)'!$C$13:$C$502,'Overhead exp(제조경비)'!C319,'JUNE (물량흐름)'!$O$13:$O$502),0)</f>
        <v>314</v>
      </c>
      <c r="X319" s="6">
        <f>ROUND(SUMIF('JUNE (물량흐름)'!$C$13:$C$502,'Overhead exp(제조경비)'!C319,'JUNE (물량흐름)'!$P$13:$P$502),0)</f>
        <v>421</v>
      </c>
      <c r="Y319" s="167">
        <f t="shared" si="82"/>
        <v>735</v>
      </c>
      <c r="Z319" s="167">
        <f t="shared" si="83"/>
        <v>494</v>
      </c>
      <c r="AA319" s="6">
        <f t="shared" si="87"/>
        <v>10879635</v>
      </c>
      <c r="AB319" s="391">
        <f t="shared" si="84"/>
        <v>0</v>
      </c>
      <c r="AC319" s="391">
        <f t="shared" si="85"/>
        <v>0</v>
      </c>
    </row>
    <row r="320" spans="1:29" s="390" customFormat="1" ht="24" customHeight="1">
      <c r="A320" s="167">
        <v>314</v>
      </c>
      <c r="B320" s="20" t="str">
        <f>IFERROR(VLOOKUP(A320,'JUNE (물량흐름)'!$A$13:$C$502,2,0),0)</f>
        <v>ANN TAYLOR</v>
      </c>
      <c r="C320" s="272">
        <f>VLOOKUP(A320,'JUNE (물량흐름)'!$A$13:$C$502,3,0)</f>
        <v>463022</v>
      </c>
      <c r="D320" s="6">
        <f>VLOOKUP(C320,'WIP(재공품)'!$B$12:$E$493,4,0)</f>
        <v>7936.2499999999991</v>
      </c>
      <c r="E320" s="6">
        <f>IFERROR(VLOOKUP(C320,O.B.JUNE!$AI$7:$AJ$448,2,0),0)</f>
        <v>0</v>
      </c>
      <c r="F320" s="6">
        <f>IFERROR(VLOOKUP(C320,O.B.JUNE!$AI$7:$AK$448,3,0),0)</f>
        <v>0</v>
      </c>
      <c r="G320" s="6">
        <f>IFERROR(VLOOKUP(C320,O.B.JUNE!$AI$7:$AL$448,4,0),0)</f>
        <v>124</v>
      </c>
      <c r="H320" s="6">
        <f t="shared" si="78"/>
        <v>124</v>
      </c>
      <c r="I320" s="6">
        <f>IFERROR(VLOOKUP(C320,O.B.JUNE!$AI$7:$AN$448,6,0),0)</f>
        <v>99</v>
      </c>
      <c r="J320" s="6"/>
      <c r="K320" s="6">
        <f>IFERROR(VLOOKUP(C320,O.B.JUNE!$AI$7:$AO$448,7,0),0)</f>
        <v>2702459</v>
      </c>
      <c r="L320" s="6">
        <f>SUMIF('JUNE (물량흐름)'!$C$13:$C$488,'Overhead exp(제조경비)'!C320,'JUNE (물량흐름)'!$H$13:$H$493)+SUMIF('JUNE (물량흐름)'!$C$13:$C$493,'Overhead exp(제조경비)'!C320,'JUNE (물량흐름)'!$V$13:$V$493)</f>
        <v>0</v>
      </c>
      <c r="M320" s="6">
        <f t="shared" si="79"/>
        <v>0</v>
      </c>
      <c r="N320" s="6">
        <f t="shared" si="80"/>
        <v>0</v>
      </c>
      <c r="O320" s="6">
        <f t="shared" si="88"/>
        <v>0</v>
      </c>
      <c r="P320" s="6">
        <f>SUMIF('JUNE (물량흐름)'!$C$13:$C$502,C320,'JUNE (물량흐름)'!$T$13:$T$502)+SUMIF('JUNE (물량흐름)'!$C$13:$C$502,C320,'JUNE (물량흐름)'!$V$13:$V$502)+SUMIF('JUNE (물량흐름)'!$C$13:$C$502,C320,'JUNE (물량흐름)'!$U$13:$U$502)-SUMIF('JUNE (물량흐름)'!$C$13:$C$502,C320,'JUNE (물량흐름)'!$Y$13:$Y$502)</f>
        <v>0</v>
      </c>
      <c r="Q320" s="6">
        <f t="shared" si="86"/>
        <v>0</v>
      </c>
      <c r="R320" s="6">
        <f>IF(ISERROR(VLOOKUP(#REF!,'WIP(재공품)'!$B$12:$AB$38,13,0)),0,VLOOKUP(#REF!,'WIP(재공품)'!$B$12:$AB$38,13,0))</f>
        <v>0</v>
      </c>
      <c r="S320" s="6">
        <f>IF(ISERROR(VLOOKUP(#REF!,'WIP(재공품)'!$B$12:$AB$38,10,0)),0,VLOOKUP(#REF!,'WIP(재공품)'!$B$12:$AB$38,10,0))</f>
        <v>0</v>
      </c>
      <c r="T320" s="6">
        <f>SUMIF('JUNE (물량흐름)'!$C$13:$C$502,'Overhead exp(제조경비)'!C320,'JUNE (물량흐름)'!$Y$13:$Y$502)</f>
        <v>0</v>
      </c>
      <c r="U320" s="6">
        <f t="shared" si="81"/>
        <v>0</v>
      </c>
      <c r="V320" s="6">
        <f>ROUND(SUMIF('JUNE (물량흐름)'!$C$13:$C$502,'Overhead exp(제조경비)'!C320,'JUNE (물량흐름)'!$N$13:$N$502),0)</f>
        <v>0</v>
      </c>
      <c r="W320" s="6">
        <f>ROUND(SUMIF('JUNE (물량흐름)'!$C$13:$C$502,'Overhead exp(제조경비)'!C320,'JUNE (물량흐름)'!$O$13:$O$502),0)</f>
        <v>81</v>
      </c>
      <c r="X320" s="6">
        <f>ROUND(SUMIF('JUNE (물량흐름)'!$C$13:$C$502,'Overhead exp(제조경비)'!C320,'JUNE (물량흐름)'!$P$13:$P$502),0)</f>
        <v>43</v>
      </c>
      <c r="Y320" s="167">
        <f t="shared" si="82"/>
        <v>124</v>
      </c>
      <c r="Z320" s="167">
        <f t="shared" si="83"/>
        <v>75</v>
      </c>
      <c r="AA320" s="6">
        <f t="shared" si="87"/>
        <v>2702459</v>
      </c>
      <c r="AB320" s="391">
        <f t="shared" si="84"/>
        <v>0</v>
      </c>
      <c r="AC320" s="391">
        <f t="shared" si="85"/>
        <v>0</v>
      </c>
    </row>
    <row r="321" spans="1:29" s="390" customFormat="1" ht="24" customHeight="1">
      <c r="A321" s="167">
        <v>315</v>
      </c>
      <c r="B321" s="20" t="str">
        <f>IFERROR(VLOOKUP(A321,'JUNE (물량흐름)'!$A$13:$C$502,2,0),0)</f>
        <v>ANN TAYLOR</v>
      </c>
      <c r="C321" s="272">
        <f>VLOOKUP(A321,'JUNE (물량흐름)'!$A$13:$C$502,3,0)</f>
        <v>463024</v>
      </c>
      <c r="D321" s="6">
        <f>VLOOKUP(C321,'WIP(재공품)'!$B$12:$E$493,4,0)</f>
        <v>7936.2499999999991</v>
      </c>
      <c r="E321" s="6">
        <f>IFERROR(VLOOKUP(C321,O.B.JUNE!$AI$7:$AJ$448,2,0),0)</f>
        <v>0</v>
      </c>
      <c r="F321" s="6">
        <f>IFERROR(VLOOKUP(C321,O.B.JUNE!$AI$7:$AK$448,3,0),0)</f>
        <v>72</v>
      </c>
      <c r="G321" s="6">
        <f>IFERROR(VLOOKUP(C321,O.B.JUNE!$AI$7:$AL$448,4,0),0)</f>
        <v>111</v>
      </c>
      <c r="H321" s="6">
        <f t="shared" si="78"/>
        <v>183</v>
      </c>
      <c r="I321" s="6">
        <f>IFERROR(VLOOKUP(C321,O.B.JUNE!$AI$7:$AN$448,6,0),0)</f>
        <v>125</v>
      </c>
      <c r="J321" s="6"/>
      <c r="K321" s="6">
        <f>IFERROR(VLOOKUP(C321,O.B.JUNE!$AI$7:$AO$448,7,0),0)</f>
        <v>2687308</v>
      </c>
      <c r="L321" s="6">
        <f>SUMIF('JUNE (물량흐름)'!$C$13:$C$488,'Overhead exp(제조경비)'!C321,'JUNE (물량흐름)'!$H$13:$H$493)+SUMIF('JUNE (물량흐름)'!$C$13:$C$493,'Overhead exp(제조경비)'!C321,'JUNE (물량흐름)'!$V$13:$V$493)</f>
        <v>0</v>
      </c>
      <c r="M321" s="6">
        <f t="shared" si="79"/>
        <v>0</v>
      </c>
      <c r="N321" s="6">
        <f t="shared" si="80"/>
        <v>0</v>
      </c>
      <c r="O321" s="6">
        <f t="shared" si="88"/>
        <v>0</v>
      </c>
      <c r="P321" s="6">
        <f>SUMIF('JUNE (물량흐름)'!$C$13:$C$502,C321,'JUNE (물량흐름)'!$T$13:$T$502)+SUMIF('JUNE (물량흐름)'!$C$13:$C$502,C321,'JUNE (물량흐름)'!$V$13:$V$502)+SUMIF('JUNE (물량흐름)'!$C$13:$C$502,C321,'JUNE (물량흐름)'!$U$13:$U$502)-SUMIF('JUNE (물량흐름)'!$C$13:$C$502,C321,'JUNE (물량흐름)'!$Y$13:$Y$502)</f>
        <v>0</v>
      </c>
      <c r="Q321" s="6">
        <f t="shared" si="86"/>
        <v>0</v>
      </c>
      <c r="R321" s="6">
        <f>IF(ISERROR(VLOOKUP(#REF!,'WIP(재공품)'!$B$12:$AB$38,13,0)),0,VLOOKUP(#REF!,'WIP(재공품)'!$B$12:$AB$38,13,0))</f>
        <v>0</v>
      </c>
      <c r="S321" s="6">
        <f>IF(ISERROR(VLOOKUP(#REF!,'WIP(재공품)'!$B$12:$AB$38,10,0)),0,VLOOKUP(#REF!,'WIP(재공품)'!$B$12:$AB$38,10,0))</f>
        <v>0</v>
      </c>
      <c r="T321" s="6">
        <f>SUMIF('JUNE (물량흐름)'!$C$13:$C$502,'Overhead exp(제조경비)'!C321,'JUNE (물량흐름)'!$Y$13:$Y$502)</f>
        <v>0</v>
      </c>
      <c r="U321" s="6">
        <f t="shared" si="81"/>
        <v>0</v>
      </c>
      <c r="V321" s="6">
        <f>ROUND(SUMIF('JUNE (물량흐름)'!$C$13:$C$502,'Overhead exp(제조경비)'!C321,'JUNE (물량흐름)'!$N$13:$N$502),0)</f>
        <v>0</v>
      </c>
      <c r="W321" s="6">
        <f>ROUND(SUMIF('JUNE (물량흐름)'!$C$13:$C$502,'Overhead exp(제조경비)'!C321,'JUNE (물량흐름)'!$O$13:$O$502),0)</f>
        <v>72</v>
      </c>
      <c r="X321" s="6">
        <f>ROUND(SUMIF('JUNE (물량흐름)'!$C$13:$C$502,'Overhead exp(제조경비)'!C321,'JUNE (물량흐름)'!$P$13:$P$502),0)</f>
        <v>111</v>
      </c>
      <c r="Y321" s="6">
        <f t="shared" si="82"/>
        <v>183</v>
      </c>
      <c r="Z321" s="6">
        <f t="shared" si="83"/>
        <v>125</v>
      </c>
      <c r="AA321" s="6">
        <f t="shared" si="87"/>
        <v>2687308</v>
      </c>
      <c r="AB321" s="391">
        <f t="shared" si="84"/>
        <v>0</v>
      </c>
      <c r="AC321" s="391">
        <f t="shared" si="85"/>
        <v>0</v>
      </c>
    </row>
    <row r="322" spans="1:29" s="390" customFormat="1" ht="24" customHeight="1">
      <c r="A322" s="167">
        <v>316</v>
      </c>
      <c r="B322" s="20" t="str">
        <f>IFERROR(VLOOKUP(A322,'JUNE (물량흐름)'!$A$13:$C$502,2,0),0)</f>
        <v>ANN TAYLOR</v>
      </c>
      <c r="C322" s="272">
        <f>VLOOKUP(A322,'JUNE (물량흐름)'!$A$13:$C$502,3,0)</f>
        <v>463029</v>
      </c>
      <c r="D322" s="6">
        <f>VLOOKUP(C322,'WIP(재공품)'!$B$12:$E$493,4,0)</f>
        <v>7936.2499999999991</v>
      </c>
      <c r="E322" s="6">
        <f>IFERROR(VLOOKUP(C322,O.B.JUNE!$AI$7:$AJ$448,2,0),0)</f>
        <v>0</v>
      </c>
      <c r="F322" s="6">
        <f>IFERROR(VLOOKUP(C322,O.B.JUNE!$AI$7:$AK$448,3,0),0)</f>
        <v>23</v>
      </c>
      <c r="G322" s="6">
        <f>IFERROR(VLOOKUP(C322,O.B.JUNE!$AI$7:$AL$448,4,0),0)</f>
        <v>64</v>
      </c>
      <c r="H322" s="6">
        <f t="shared" si="78"/>
        <v>87</v>
      </c>
      <c r="I322" s="6">
        <f>IFERROR(VLOOKUP(C322,O.B.JUNE!$AI$7:$AN$448,6,0),0)</f>
        <v>63</v>
      </c>
      <c r="J322" s="6"/>
      <c r="K322" s="6">
        <f>IFERROR(VLOOKUP(C322,O.B.JUNE!$AI$7:$AO$448,7,0),0)</f>
        <v>1384008</v>
      </c>
      <c r="L322" s="6">
        <f>SUMIF('JUNE (물량흐름)'!$C$13:$C$488,'Overhead exp(제조경비)'!C322,'JUNE (물량흐름)'!$H$13:$H$493)+SUMIF('JUNE (물량흐름)'!$C$13:$C$493,'Overhead exp(제조경비)'!C322,'JUNE (물량흐름)'!$V$13:$V$493)</f>
        <v>0</v>
      </c>
      <c r="M322" s="6">
        <f t="shared" si="79"/>
        <v>0</v>
      </c>
      <c r="N322" s="6">
        <f t="shared" si="80"/>
        <v>0</v>
      </c>
      <c r="O322" s="6">
        <f t="shared" si="88"/>
        <v>0</v>
      </c>
      <c r="P322" s="6">
        <f>SUMIF('JUNE (물량흐름)'!$C$13:$C$502,C322,'JUNE (물량흐름)'!$T$13:$T$502)+SUMIF('JUNE (물량흐름)'!$C$13:$C$502,C322,'JUNE (물량흐름)'!$V$13:$V$502)+SUMIF('JUNE (물량흐름)'!$C$13:$C$502,C322,'JUNE (물량흐름)'!$U$13:$U$502)-SUMIF('JUNE (물량흐름)'!$C$13:$C$502,C322,'JUNE (물량흐름)'!$Y$13:$Y$502)</f>
        <v>0</v>
      </c>
      <c r="Q322" s="6">
        <f t="shared" si="86"/>
        <v>0</v>
      </c>
      <c r="R322" s="6">
        <f>IF(ISERROR(VLOOKUP(#REF!,'WIP(재공품)'!$B$12:$AB$38,13,0)),0,VLOOKUP(#REF!,'WIP(재공품)'!$B$12:$AB$38,13,0))</f>
        <v>0</v>
      </c>
      <c r="S322" s="6">
        <f>IF(ISERROR(VLOOKUP(#REF!,'WIP(재공품)'!$B$12:$AB$38,10,0)),0,VLOOKUP(#REF!,'WIP(재공품)'!$B$12:$AB$38,10,0))</f>
        <v>0</v>
      </c>
      <c r="T322" s="6">
        <f>SUMIF('JUNE (물량흐름)'!$C$13:$C$502,'Overhead exp(제조경비)'!C322,'JUNE (물량흐름)'!$Y$13:$Y$502)</f>
        <v>0</v>
      </c>
      <c r="U322" s="6">
        <f t="shared" si="81"/>
        <v>0</v>
      </c>
      <c r="V322" s="6">
        <f>ROUND(SUMIF('JUNE (물량흐름)'!$C$13:$C$502,'Overhead exp(제조경비)'!C322,'JUNE (물량흐름)'!$N$13:$N$502),0)</f>
        <v>0</v>
      </c>
      <c r="W322" s="6">
        <f>ROUND(SUMIF('JUNE (물량흐름)'!$C$13:$C$502,'Overhead exp(제조경비)'!C322,'JUNE (물량흐름)'!$O$13:$O$502),0)</f>
        <v>23</v>
      </c>
      <c r="X322" s="6">
        <f>ROUND(SUMIF('JUNE (물량흐름)'!$C$13:$C$502,'Overhead exp(제조경비)'!C322,'JUNE (물량흐름)'!$P$13:$P$502),0)</f>
        <v>64</v>
      </c>
      <c r="Y322" s="6">
        <f t="shared" si="82"/>
        <v>87</v>
      </c>
      <c r="Z322" s="6">
        <f t="shared" si="83"/>
        <v>63</v>
      </c>
      <c r="AA322" s="6">
        <f t="shared" si="87"/>
        <v>1384008</v>
      </c>
      <c r="AB322" s="391">
        <f t="shared" si="84"/>
        <v>0</v>
      </c>
      <c r="AC322" s="391">
        <f t="shared" si="85"/>
        <v>0</v>
      </c>
    </row>
    <row r="323" spans="1:29" s="390" customFormat="1" ht="24" customHeight="1">
      <c r="A323" s="167">
        <v>317</v>
      </c>
      <c r="B323" s="20" t="str">
        <f>IFERROR(VLOOKUP(A323,'JUNE (물량흐름)'!$A$13:$C$502,2,0),0)</f>
        <v>ANN TAYLOR</v>
      </c>
      <c r="C323" s="272">
        <f>VLOOKUP(A323,'JUNE (물량흐름)'!$A$13:$C$502,3,0)</f>
        <v>463030</v>
      </c>
      <c r="D323" s="6">
        <f>VLOOKUP(C323,'WIP(재공품)'!$B$12:$E$493,4,0)</f>
        <v>8163</v>
      </c>
      <c r="E323" s="6">
        <f>IFERROR(VLOOKUP(C323,O.B.JUNE!$AI$7:$AJ$448,2,0),0)</f>
        <v>0</v>
      </c>
      <c r="F323" s="6">
        <f>IFERROR(VLOOKUP(C323,O.B.JUNE!$AI$7:$AK$448,3,0),0)</f>
        <v>101</v>
      </c>
      <c r="G323" s="6">
        <f>IFERROR(VLOOKUP(C323,O.B.JUNE!$AI$7:$AL$448,4,0),0)</f>
        <v>63</v>
      </c>
      <c r="H323" s="6">
        <f t="shared" si="78"/>
        <v>164</v>
      </c>
      <c r="I323" s="6">
        <f>IFERROR(VLOOKUP(C323,O.B.JUNE!$AI$7:$AN$448,6,0),0)</f>
        <v>101</v>
      </c>
      <c r="J323" s="6"/>
      <c r="K323" s="6">
        <f>IFERROR(VLOOKUP(C323,O.B.JUNE!$AI$7:$AO$448,7,0),0)</f>
        <v>2218806</v>
      </c>
      <c r="L323" s="6">
        <f>SUMIF('JUNE (물량흐름)'!$C$13:$C$488,'Overhead exp(제조경비)'!C323,'JUNE (물량흐름)'!$H$13:$H$493)+SUMIF('JUNE (물량흐름)'!$C$13:$C$493,'Overhead exp(제조경비)'!C323,'JUNE (물량흐름)'!$V$13:$V$493)</f>
        <v>0</v>
      </c>
      <c r="M323" s="6">
        <f t="shared" si="79"/>
        <v>0</v>
      </c>
      <c r="N323" s="6">
        <f t="shared" si="80"/>
        <v>0</v>
      </c>
      <c r="O323" s="6">
        <f t="shared" si="88"/>
        <v>0</v>
      </c>
      <c r="P323" s="6">
        <f>SUMIF('JUNE (물량흐름)'!$C$13:$C$502,C323,'JUNE (물량흐름)'!$T$13:$T$502)+SUMIF('JUNE (물량흐름)'!$C$13:$C$502,C323,'JUNE (물량흐름)'!$V$13:$V$502)+SUMIF('JUNE (물량흐름)'!$C$13:$C$502,C323,'JUNE (물량흐름)'!$U$13:$U$502)-SUMIF('JUNE (물량흐름)'!$C$13:$C$502,C323,'JUNE (물량흐름)'!$Y$13:$Y$502)</f>
        <v>0</v>
      </c>
      <c r="Q323" s="6">
        <f t="shared" si="86"/>
        <v>0</v>
      </c>
      <c r="R323" s="6">
        <f>IF(ISERROR(VLOOKUP(#REF!,'WIP(재공품)'!$B$12:$AB$38,13,0)),0,VLOOKUP(#REF!,'WIP(재공품)'!$B$12:$AB$38,13,0))</f>
        <v>0</v>
      </c>
      <c r="S323" s="6">
        <f>IF(ISERROR(VLOOKUP(#REF!,'WIP(재공품)'!$B$12:$AB$38,10,0)),0,VLOOKUP(#REF!,'WIP(재공품)'!$B$12:$AB$38,10,0))</f>
        <v>0</v>
      </c>
      <c r="T323" s="6">
        <f>SUMIF('JUNE (물량흐름)'!$C$13:$C$502,'Overhead exp(제조경비)'!C323,'JUNE (물량흐름)'!$Y$13:$Y$502)</f>
        <v>0</v>
      </c>
      <c r="U323" s="6">
        <f t="shared" si="81"/>
        <v>0</v>
      </c>
      <c r="V323" s="6">
        <f>ROUND(SUMIF('JUNE (물량흐름)'!$C$13:$C$502,'Overhead exp(제조경비)'!C323,'JUNE (물량흐름)'!$N$13:$N$502),0)</f>
        <v>0</v>
      </c>
      <c r="W323" s="6">
        <f>ROUND(SUMIF('JUNE (물량흐름)'!$C$13:$C$502,'Overhead exp(제조경비)'!C323,'JUNE (물량흐름)'!$O$13:$O$502),0)</f>
        <v>101</v>
      </c>
      <c r="X323" s="6">
        <f>ROUND(SUMIF('JUNE (물량흐름)'!$C$13:$C$502,'Overhead exp(제조경비)'!C323,'JUNE (물량흐름)'!$P$13:$P$502),0)</f>
        <v>63</v>
      </c>
      <c r="Y323" s="6">
        <f t="shared" si="82"/>
        <v>164</v>
      </c>
      <c r="Z323" s="6">
        <f t="shared" si="83"/>
        <v>101</v>
      </c>
      <c r="AA323" s="6">
        <f t="shared" si="87"/>
        <v>2218806</v>
      </c>
      <c r="AB323" s="391">
        <f t="shared" si="84"/>
        <v>0</v>
      </c>
      <c r="AC323" s="391">
        <f t="shared" si="85"/>
        <v>0</v>
      </c>
    </row>
    <row r="324" spans="1:29" s="390" customFormat="1" ht="24" customHeight="1">
      <c r="A324" s="167">
        <v>318</v>
      </c>
      <c r="B324" s="20" t="str">
        <f>IFERROR(VLOOKUP(A324,'JUNE (물량흐름)'!$A$13:$C$502,2,0),0)</f>
        <v>ANN TAYLOR</v>
      </c>
      <c r="C324" s="272">
        <f>VLOOKUP(A324,'JUNE (물량흐름)'!$A$13:$C$502,3,0)</f>
        <v>466459</v>
      </c>
      <c r="D324" s="6">
        <f>VLOOKUP(C324,'WIP(재공품)'!$B$12:$E$493,4,0)</f>
        <v>7936.2499999999991</v>
      </c>
      <c r="E324" s="6">
        <f>IFERROR(VLOOKUP(C324,O.B.JUNE!$AI$7:$AJ$448,2,0),0)</f>
        <v>0</v>
      </c>
      <c r="F324" s="6">
        <f>IFERROR(VLOOKUP(C324,O.B.JUNE!$AI$7:$AK$448,3,0),0)</f>
        <v>13</v>
      </c>
      <c r="G324" s="6">
        <f>IFERROR(VLOOKUP(C324,O.B.JUNE!$AI$7:$AL$448,4,0),0)</f>
        <v>246</v>
      </c>
      <c r="H324" s="6">
        <f t="shared" si="78"/>
        <v>259</v>
      </c>
      <c r="I324" s="6">
        <f>IFERROR(VLOOKUP(C324,O.B.JUNE!$AI$7:$AN$448,6,0),0)</f>
        <v>203</v>
      </c>
      <c r="J324" s="6"/>
      <c r="K324" s="6">
        <f>IFERROR(VLOOKUP(C324,O.B.JUNE!$AI$7:$AO$448,7,0),0)</f>
        <v>7593341</v>
      </c>
      <c r="L324" s="6">
        <f>SUMIF('JUNE (물량흐름)'!$C$13:$C$488,'Overhead exp(제조경비)'!C324,'JUNE (물량흐름)'!$H$13:$H$493)+SUMIF('JUNE (물량흐름)'!$C$13:$C$493,'Overhead exp(제조경비)'!C324,'JUNE (물량흐름)'!$V$13:$V$493)</f>
        <v>0</v>
      </c>
      <c r="M324" s="6">
        <f t="shared" si="79"/>
        <v>0</v>
      </c>
      <c r="N324" s="6">
        <f t="shared" si="80"/>
        <v>0</v>
      </c>
      <c r="O324" s="6">
        <f t="shared" si="88"/>
        <v>0</v>
      </c>
      <c r="P324" s="6">
        <f>SUMIF('JUNE (물량흐름)'!$C$13:$C$502,C324,'JUNE (물량흐름)'!$T$13:$T$502)+SUMIF('JUNE (물량흐름)'!$C$13:$C$502,C324,'JUNE (물량흐름)'!$V$13:$V$502)+SUMIF('JUNE (물량흐름)'!$C$13:$C$502,C324,'JUNE (물량흐름)'!$U$13:$U$502)-SUMIF('JUNE (물량흐름)'!$C$13:$C$502,C324,'JUNE (물량흐름)'!$Y$13:$Y$502)</f>
        <v>0</v>
      </c>
      <c r="Q324" s="6">
        <f t="shared" si="86"/>
        <v>0</v>
      </c>
      <c r="R324" s="6">
        <f>IF(ISERROR(VLOOKUP(#REF!,'WIP(재공품)'!$B$12:$AB$38,13,0)),0,VLOOKUP(#REF!,'WIP(재공품)'!$B$12:$AB$38,13,0))</f>
        <v>0</v>
      </c>
      <c r="S324" s="6">
        <f>IF(ISERROR(VLOOKUP(#REF!,'WIP(재공품)'!$B$12:$AB$38,10,0)),0,VLOOKUP(#REF!,'WIP(재공품)'!$B$12:$AB$38,10,0))</f>
        <v>0</v>
      </c>
      <c r="T324" s="6">
        <f>SUMIF('JUNE (물량흐름)'!$C$13:$C$502,'Overhead exp(제조경비)'!C324,'JUNE (물량흐름)'!$Y$13:$Y$502)</f>
        <v>0</v>
      </c>
      <c r="U324" s="6">
        <f t="shared" si="81"/>
        <v>0</v>
      </c>
      <c r="V324" s="6">
        <f>ROUND(SUMIF('JUNE (물량흐름)'!$C$13:$C$502,'Overhead exp(제조경비)'!C324,'JUNE (물량흐름)'!$N$13:$N$502),0)</f>
        <v>0</v>
      </c>
      <c r="W324" s="6">
        <f>ROUND(SUMIF('JUNE (물량흐름)'!$C$13:$C$502,'Overhead exp(제조경비)'!C324,'JUNE (물량흐름)'!$O$13:$O$502),0)</f>
        <v>13</v>
      </c>
      <c r="X324" s="6">
        <f>ROUND(SUMIF('JUNE (물량흐름)'!$C$13:$C$502,'Overhead exp(제조경비)'!C324,'JUNE (물량흐름)'!$P$13:$P$502),0)</f>
        <v>246</v>
      </c>
      <c r="Y324" s="6">
        <f t="shared" si="82"/>
        <v>259</v>
      </c>
      <c r="Z324" s="6">
        <f t="shared" si="83"/>
        <v>203</v>
      </c>
      <c r="AA324" s="6">
        <f t="shared" si="87"/>
        <v>7593341</v>
      </c>
      <c r="AB324" s="391">
        <f t="shared" si="84"/>
        <v>0</v>
      </c>
      <c r="AC324" s="391">
        <f t="shared" si="85"/>
        <v>0</v>
      </c>
    </row>
    <row r="325" spans="1:29" s="390" customFormat="1" ht="24" customHeight="1">
      <c r="A325" s="167">
        <v>319</v>
      </c>
      <c r="B325" s="20" t="str">
        <f>IFERROR(VLOOKUP(A325,'JUNE (물량흐름)'!$A$13:$C$502,2,0),0)</f>
        <v>ANN TAYLOR</v>
      </c>
      <c r="C325" s="272">
        <f>VLOOKUP(A325,'JUNE (물량흐름)'!$A$13:$C$502,3,0)</f>
        <v>467476</v>
      </c>
      <c r="D325" s="6">
        <f>VLOOKUP(C325,'WIP(재공품)'!$B$12:$E$493,4,0)</f>
        <v>7936.2499999999991</v>
      </c>
      <c r="E325" s="6">
        <f>IFERROR(VLOOKUP(C325,O.B.JUNE!$AI$7:$AJ$448,2,0),0)</f>
        <v>0</v>
      </c>
      <c r="F325" s="6">
        <f>IFERROR(VLOOKUP(C325,O.B.JUNE!$AI$7:$AK$448,3,0),0)</f>
        <v>512</v>
      </c>
      <c r="G325" s="6">
        <f>IFERROR(VLOOKUP(C325,O.B.JUNE!$AI$7:$AL$448,4,0),0)</f>
        <v>542</v>
      </c>
      <c r="H325" s="6">
        <f t="shared" si="78"/>
        <v>1054</v>
      </c>
      <c r="I325" s="6">
        <f>IFERROR(VLOOKUP(C325,O.B.JUNE!$AI$7:$AN$448,6,0),0)</f>
        <v>690</v>
      </c>
      <c r="J325" s="6"/>
      <c r="K325" s="6">
        <f>IFERROR(VLOOKUP(C325,O.B.JUNE!$AI$7:$AO$448,7,0),0)</f>
        <v>14711557</v>
      </c>
      <c r="L325" s="6">
        <f>SUMIF('JUNE (물량흐름)'!$C$13:$C$488,'Overhead exp(제조경비)'!C325,'JUNE (물량흐름)'!$H$13:$H$493)+SUMIF('JUNE (물량흐름)'!$C$13:$C$493,'Overhead exp(제조경비)'!C325,'JUNE (물량흐름)'!$V$13:$V$493)</f>
        <v>0</v>
      </c>
      <c r="M325" s="6">
        <f t="shared" si="79"/>
        <v>0</v>
      </c>
      <c r="N325" s="6">
        <f t="shared" si="80"/>
        <v>0</v>
      </c>
      <c r="O325" s="6">
        <f t="shared" si="88"/>
        <v>0</v>
      </c>
      <c r="P325" s="6">
        <f>SUMIF('JUNE (물량흐름)'!$C$13:$C$502,C325,'JUNE (물량흐름)'!$T$13:$T$502)+SUMIF('JUNE (물량흐름)'!$C$13:$C$502,C325,'JUNE (물량흐름)'!$V$13:$V$502)+SUMIF('JUNE (물량흐름)'!$C$13:$C$502,C325,'JUNE (물량흐름)'!$U$13:$U$502)-SUMIF('JUNE (물량흐름)'!$C$13:$C$502,C325,'JUNE (물량흐름)'!$Y$13:$Y$502)</f>
        <v>0</v>
      </c>
      <c r="Q325" s="6">
        <f t="shared" si="86"/>
        <v>0</v>
      </c>
      <c r="R325" s="6">
        <f>IF(ISERROR(VLOOKUP(#REF!,'WIP(재공품)'!$B$12:$AB$38,13,0)),0,VLOOKUP(#REF!,'WIP(재공품)'!$B$12:$AB$38,13,0))</f>
        <v>0</v>
      </c>
      <c r="S325" s="6">
        <f>IF(ISERROR(VLOOKUP(#REF!,'WIP(재공품)'!$B$12:$AB$38,10,0)),0,VLOOKUP(#REF!,'WIP(재공품)'!$B$12:$AB$38,10,0))</f>
        <v>0</v>
      </c>
      <c r="T325" s="6">
        <f>SUMIF('JUNE (물량흐름)'!$C$13:$C$502,'Overhead exp(제조경비)'!C325,'JUNE (물량흐름)'!$Y$13:$Y$502)</f>
        <v>0</v>
      </c>
      <c r="U325" s="6">
        <f t="shared" si="81"/>
        <v>0</v>
      </c>
      <c r="V325" s="6">
        <f>ROUND(SUMIF('JUNE (물량흐름)'!$C$13:$C$502,'Overhead exp(제조경비)'!C325,'JUNE (물량흐름)'!$N$13:$N$502),0)</f>
        <v>0</v>
      </c>
      <c r="W325" s="6">
        <f>ROUND(SUMIF('JUNE (물량흐름)'!$C$13:$C$502,'Overhead exp(제조경비)'!C325,'JUNE (물량흐름)'!$O$13:$O$502),0)</f>
        <v>512</v>
      </c>
      <c r="X325" s="6">
        <f>ROUND(SUMIF('JUNE (물량흐름)'!$C$13:$C$502,'Overhead exp(제조경비)'!C325,'JUNE (물량흐름)'!$P$13:$P$502),0)</f>
        <v>542</v>
      </c>
      <c r="Y325" s="6">
        <f t="shared" si="82"/>
        <v>1054</v>
      </c>
      <c r="Z325" s="6">
        <f t="shared" si="83"/>
        <v>690</v>
      </c>
      <c r="AA325" s="6">
        <f t="shared" si="87"/>
        <v>14711557</v>
      </c>
      <c r="AB325" s="391">
        <f t="shared" si="84"/>
        <v>0</v>
      </c>
      <c r="AC325" s="391">
        <f t="shared" si="85"/>
        <v>0</v>
      </c>
    </row>
    <row r="326" spans="1:29" s="390" customFormat="1" ht="24" customHeight="1">
      <c r="A326" s="167">
        <v>320</v>
      </c>
      <c r="B326" s="20" t="str">
        <f>IFERROR(VLOOKUP(A326,'JUNE (물량흐름)'!$A$13:$C$502,2,0),0)</f>
        <v>ANN TAYLOR</v>
      </c>
      <c r="C326" s="272">
        <f>VLOOKUP(A326,'JUNE (물량흐름)'!$A$13:$C$502,3,0)</f>
        <v>468585</v>
      </c>
      <c r="D326" s="6">
        <f>VLOOKUP(C326,'WIP(재공품)'!$B$12:$E$493,4,0)</f>
        <v>7936.2499999999991</v>
      </c>
      <c r="E326" s="6">
        <f>IFERROR(VLOOKUP(C326,O.B.JUNE!$AI$7:$AJ$448,2,0),0)</f>
        <v>0</v>
      </c>
      <c r="F326" s="6">
        <f>IFERROR(VLOOKUP(C326,O.B.JUNE!$AI$7:$AK$448,3,0),0)</f>
        <v>640</v>
      </c>
      <c r="G326" s="6">
        <f>IFERROR(VLOOKUP(C326,O.B.JUNE!$AI$7:$AL$448,4,0),0)</f>
        <v>1291</v>
      </c>
      <c r="H326" s="6">
        <f t="shared" si="78"/>
        <v>1931</v>
      </c>
      <c r="I326" s="6">
        <f>IFERROR(VLOOKUP(C326,O.B.JUNE!$AI$7:$AN$448,6,0),0)</f>
        <v>1353</v>
      </c>
      <c r="J326" s="6"/>
      <c r="K326" s="6">
        <f>IFERROR(VLOOKUP(C326,O.B.JUNE!$AI$7:$AO$448,7,0),0)</f>
        <v>32191430</v>
      </c>
      <c r="L326" s="6">
        <f>SUMIF('JUNE (물량흐름)'!$C$13:$C$488,'Overhead exp(제조경비)'!C326,'JUNE (물량흐름)'!$H$13:$H$493)+SUMIF('JUNE (물량흐름)'!$C$13:$C$493,'Overhead exp(제조경비)'!C326,'JUNE (물량흐름)'!$V$13:$V$493)</f>
        <v>0</v>
      </c>
      <c r="M326" s="6">
        <f t="shared" si="79"/>
        <v>0</v>
      </c>
      <c r="N326" s="6">
        <f t="shared" si="80"/>
        <v>0</v>
      </c>
      <c r="O326" s="6">
        <f t="shared" si="88"/>
        <v>0</v>
      </c>
      <c r="P326" s="6">
        <f>SUMIF('JUNE (물량흐름)'!$C$13:$C$502,C326,'JUNE (물량흐름)'!$T$13:$T$502)+SUMIF('JUNE (물량흐름)'!$C$13:$C$502,C326,'JUNE (물량흐름)'!$V$13:$V$502)+SUMIF('JUNE (물량흐름)'!$C$13:$C$502,C326,'JUNE (물량흐름)'!$U$13:$U$502)-SUMIF('JUNE (물량흐름)'!$C$13:$C$502,C326,'JUNE (물량흐름)'!$Y$13:$Y$502)</f>
        <v>0</v>
      </c>
      <c r="Q326" s="6">
        <f t="shared" si="86"/>
        <v>0</v>
      </c>
      <c r="R326" s="6">
        <f>IF(ISERROR(VLOOKUP(#REF!,'WIP(재공품)'!$B$12:$AB$38,13,0)),0,VLOOKUP(#REF!,'WIP(재공품)'!$B$12:$AB$38,13,0))</f>
        <v>0</v>
      </c>
      <c r="S326" s="6">
        <f>IF(ISERROR(VLOOKUP(#REF!,'WIP(재공품)'!$B$12:$AB$38,10,0)),0,VLOOKUP(#REF!,'WIP(재공품)'!$B$12:$AB$38,10,0))</f>
        <v>0</v>
      </c>
      <c r="T326" s="6">
        <f>SUMIF('JUNE (물량흐름)'!$C$13:$C$502,'Overhead exp(제조경비)'!C326,'JUNE (물량흐름)'!$Y$13:$Y$502)</f>
        <v>0</v>
      </c>
      <c r="U326" s="6">
        <f t="shared" si="81"/>
        <v>0</v>
      </c>
      <c r="V326" s="6">
        <f>ROUND(SUMIF('JUNE (물량흐름)'!$C$13:$C$502,'Overhead exp(제조경비)'!C326,'JUNE (물량흐름)'!$N$13:$N$502),0)</f>
        <v>0</v>
      </c>
      <c r="W326" s="6">
        <f>ROUND(SUMIF('JUNE (물량흐름)'!$C$13:$C$502,'Overhead exp(제조경비)'!C326,'JUNE (물량흐름)'!$O$13:$O$502),0)</f>
        <v>640</v>
      </c>
      <c r="X326" s="6">
        <f>ROUND(SUMIF('JUNE (물량흐름)'!$C$13:$C$502,'Overhead exp(제조경비)'!C326,'JUNE (물량흐름)'!$P$13:$P$502),0)</f>
        <v>1291</v>
      </c>
      <c r="Y326" s="6">
        <f t="shared" si="82"/>
        <v>1931</v>
      </c>
      <c r="Z326" s="6">
        <f t="shared" si="83"/>
        <v>1353</v>
      </c>
      <c r="AA326" s="6">
        <f t="shared" si="87"/>
        <v>32191430</v>
      </c>
      <c r="AB326" s="391">
        <f t="shared" si="84"/>
        <v>0</v>
      </c>
      <c r="AC326" s="391">
        <f t="shared" si="85"/>
        <v>0</v>
      </c>
    </row>
    <row r="327" spans="1:29" s="390" customFormat="1" ht="24" customHeight="1">
      <c r="A327" s="167">
        <v>321</v>
      </c>
      <c r="B327" s="20" t="str">
        <f>IFERROR(VLOOKUP(A327,'JUNE (물량흐름)'!$A$13:$C$502,2,0),0)</f>
        <v>ANN TAYLOR</v>
      </c>
      <c r="C327" s="272">
        <f>VLOOKUP(A327,'JUNE (물량흐름)'!$A$13:$C$502,3,0)</f>
        <v>471857</v>
      </c>
      <c r="D327" s="6">
        <f>VLOOKUP(C327,'WIP(재공품)'!$B$12:$E$493,4,0)</f>
        <v>7936.2499999999991</v>
      </c>
      <c r="E327" s="6">
        <f>IFERROR(VLOOKUP(C327,O.B.JUNE!$AI$7:$AJ$448,2,0),0)</f>
        <v>0</v>
      </c>
      <c r="F327" s="6">
        <f>IFERROR(VLOOKUP(C327,O.B.JUNE!$AI$7:$AK$448,3,0),0)</f>
        <v>33</v>
      </c>
      <c r="G327" s="6">
        <f>IFERROR(VLOOKUP(C327,O.B.JUNE!$AI$7:$AL$448,4,0),0)</f>
        <v>54</v>
      </c>
      <c r="H327" s="6">
        <f t="shared" si="78"/>
        <v>87</v>
      </c>
      <c r="I327" s="6">
        <f>IFERROR(VLOOKUP(C327,O.B.JUNE!$AI$7:$AN$448,6,0),0)</f>
        <v>60</v>
      </c>
      <c r="J327" s="6"/>
      <c r="K327" s="6">
        <f>IFERROR(VLOOKUP(C327,O.B.JUNE!$AI$7:$AO$448,7,0),0)</f>
        <v>1878131</v>
      </c>
      <c r="L327" s="6">
        <f>SUMIF('JUNE (물량흐름)'!$C$13:$C$488,'Overhead exp(제조경비)'!C327,'JUNE (물량흐름)'!$H$13:$H$493)+SUMIF('JUNE (물량흐름)'!$C$13:$C$493,'Overhead exp(제조경비)'!C327,'JUNE (물량흐름)'!$V$13:$V$493)</f>
        <v>0</v>
      </c>
      <c r="M327" s="6">
        <f t="shared" si="79"/>
        <v>0</v>
      </c>
      <c r="N327" s="6">
        <f t="shared" si="80"/>
        <v>0</v>
      </c>
      <c r="O327" s="6">
        <f t="shared" si="88"/>
        <v>0</v>
      </c>
      <c r="P327" s="6">
        <f>SUMIF('JUNE (물량흐름)'!$C$13:$C$502,C327,'JUNE (물량흐름)'!$T$13:$T$502)+SUMIF('JUNE (물량흐름)'!$C$13:$C$502,C327,'JUNE (물량흐름)'!$V$13:$V$502)+SUMIF('JUNE (물량흐름)'!$C$13:$C$502,C327,'JUNE (물량흐름)'!$U$13:$U$502)-SUMIF('JUNE (물량흐름)'!$C$13:$C$502,C327,'JUNE (물량흐름)'!$Y$13:$Y$502)</f>
        <v>0</v>
      </c>
      <c r="Q327" s="6">
        <f t="shared" si="86"/>
        <v>0</v>
      </c>
      <c r="R327" s="6">
        <f>IF(ISERROR(VLOOKUP(#REF!,'WIP(재공품)'!$B$12:$AB$38,13,0)),0,VLOOKUP(#REF!,'WIP(재공품)'!$B$12:$AB$38,13,0))</f>
        <v>0</v>
      </c>
      <c r="S327" s="6">
        <f>IF(ISERROR(VLOOKUP(#REF!,'WIP(재공품)'!$B$12:$AB$38,10,0)),0,VLOOKUP(#REF!,'WIP(재공품)'!$B$12:$AB$38,10,0))</f>
        <v>0</v>
      </c>
      <c r="T327" s="6">
        <f>SUMIF('JUNE (물량흐름)'!$C$13:$C$502,'Overhead exp(제조경비)'!C327,'JUNE (물량흐름)'!$Y$13:$Y$502)</f>
        <v>1</v>
      </c>
      <c r="U327" s="6">
        <f t="shared" si="81"/>
        <v>21588</v>
      </c>
      <c r="V327" s="6">
        <f>ROUND(SUMIF('JUNE (물량흐름)'!$C$13:$C$502,'Overhead exp(제조경비)'!C327,'JUNE (물량흐름)'!$N$13:$N$502),0)</f>
        <v>0</v>
      </c>
      <c r="W327" s="6">
        <f>ROUND(SUMIF('JUNE (물량흐름)'!$C$13:$C$502,'Overhead exp(제조경비)'!C327,'JUNE (물량흐름)'!$O$13:$O$502),0)</f>
        <v>33</v>
      </c>
      <c r="X327" s="6">
        <f>ROUND(SUMIF('JUNE (물량흐름)'!$C$13:$C$502,'Overhead exp(제조경비)'!C327,'JUNE (물량흐름)'!$P$13:$P$502),0)</f>
        <v>53</v>
      </c>
      <c r="Y327" s="6">
        <f t="shared" si="82"/>
        <v>86</v>
      </c>
      <c r="Z327" s="6">
        <f t="shared" si="83"/>
        <v>59</v>
      </c>
      <c r="AA327" s="6">
        <f t="shared" si="87"/>
        <v>1856543</v>
      </c>
      <c r="AB327" s="391">
        <f t="shared" si="84"/>
        <v>0</v>
      </c>
      <c r="AC327" s="391">
        <f t="shared" si="85"/>
        <v>0</v>
      </c>
    </row>
    <row r="328" spans="1:29" s="390" customFormat="1" ht="24" customHeight="1">
      <c r="A328" s="167">
        <v>322</v>
      </c>
      <c r="B328" s="20" t="str">
        <f>IFERROR(VLOOKUP(A328,'JUNE (물량흐름)'!$A$13:$C$502,2,0),0)</f>
        <v>J JILL</v>
      </c>
      <c r="C328" s="272" t="str">
        <f>VLOOKUP(A328,'JUNE (물량흐름)'!$A$13:$C$502,3,0)</f>
        <v>KTP122131</v>
      </c>
      <c r="D328" s="6">
        <f>VLOOKUP(C328,'WIP(재공품)'!$B$12:$E$493,4,0)</f>
        <v>8163</v>
      </c>
      <c r="E328" s="6">
        <f>IFERROR(VLOOKUP(C328,O.B.JUNE!$AI$7:$AJ$448,2,0),0)</f>
        <v>2</v>
      </c>
      <c r="F328" s="6">
        <f>IFERROR(VLOOKUP(C328,O.B.JUNE!$AI$7:$AK$448,3,0),0)</f>
        <v>309</v>
      </c>
      <c r="G328" s="6">
        <f>IFERROR(VLOOKUP(C328,O.B.JUNE!$AI$7:$AL$448,4,0),0)</f>
        <v>953</v>
      </c>
      <c r="H328" s="6">
        <f t="shared" ref="H328:H388" si="89">+E328+F328+G328</f>
        <v>1264</v>
      </c>
      <c r="I328" s="6">
        <f>IFERROR(VLOOKUP(C328,O.B.JUNE!$AI$7:$AN$448,6,0),0)</f>
        <v>917</v>
      </c>
      <c r="J328" s="6"/>
      <c r="K328" s="6">
        <f>IFERROR(VLOOKUP(C328,O.B.JUNE!$AI$7:$AO$448,7,0),0)</f>
        <v>20906815</v>
      </c>
      <c r="L328" s="6">
        <f>SUMIF('JUNE (물량흐름)'!$C$13:$C$488,'Overhead exp(제조경비)'!C328,'JUNE (물량흐름)'!$H$13:$H$493)+SUMIF('JUNE (물량흐름)'!$C$13:$C$493,'Overhead exp(제조경비)'!C328,'JUNE (물량흐름)'!$V$13:$V$493)</f>
        <v>0</v>
      </c>
      <c r="M328" s="6">
        <f t="shared" ref="M328:M388" si="90">IF(OR(L328&lt;=0,P328+T328+R328+Z328-I328&lt;0),0,ROUND(P328+T328+R328+Z328-I328,0))</f>
        <v>0</v>
      </c>
      <c r="N328" s="6">
        <f t="shared" ref="N328:N388" si="91">ROUND(M328*D328,0)</f>
        <v>0</v>
      </c>
      <c r="O328" s="6">
        <f t="shared" si="88"/>
        <v>0</v>
      </c>
      <c r="P328" s="6">
        <f>SUMIF('JUNE (물량흐름)'!$C$13:$C$502,C328,'JUNE (물량흐름)'!$T$13:$T$502)+SUMIF('JUNE (물량흐름)'!$C$13:$C$502,C328,'JUNE (물량흐름)'!$V$13:$V$502)+SUMIF('JUNE (물량흐름)'!$C$13:$C$502,C328,'JUNE (물량흐름)'!$U$13:$U$502)-SUMIF('JUNE (물량흐름)'!$C$13:$C$502,C328,'JUNE (물량흐름)'!$Y$13:$Y$502)</f>
        <v>0</v>
      </c>
      <c r="Q328" s="6">
        <f t="shared" si="86"/>
        <v>0</v>
      </c>
      <c r="R328" s="6">
        <f>IF(ISERROR(VLOOKUP(#REF!,'WIP(재공품)'!$B$12:$AB$38,13,0)),0,VLOOKUP(#REF!,'WIP(재공품)'!$B$12:$AB$38,13,0))</f>
        <v>0</v>
      </c>
      <c r="S328" s="6">
        <f>IF(ISERROR(VLOOKUP(#REF!,'WIP(재공품)'!$B$12:$AB$38,10,0)),0,VLOOKUP(#REF!,'WIP(재공품)'!$B$12:$AB$38,10,0))</f>
        <v>0</v>
      </c>
      <c r="T328" s="6">
        <f>SUMIF('JUNE (물량흐름)'!$C$13:$C$502,'Overhead exp(제조경비)'!C328,'JUNE (물량흐름)'!$Y$13:$Y$502)</f>
        <v>0</v>
      </c>
      <c r="U328" s="6">
        <f t="shared" ref="U328:U388" si="92">IFERROR(ROUND(IF(AND(T328&lt;=0,($I328+$M328)=0),T328*(K328+O328)/(I328+M328),T328*(K328+O328)/(H328+L328)),0),0)</f>
        <v>0</v>
      </c>
      <c r="V328" s="6">
        <f>ROUND(SUMIF('JUNE (물량흐름)'!$C$13:$C$502,'Overhead exp(제조경비)'!C328,'JUNE (물량흐름)'!$N$13:$N$502),0)</f>
        <v>2</v>
      </c>
      <c r="W328" s="6">
        <f>ROUND(SUMIF('JUNE (물량흐름)'!$C$13:$C$502,'Overhead exp(제조경비)'!C328,'JUNE (물량흐름)'!$O$13:$O$502),0)</f>
        <v>309</v>
      </c>
      <c r="X328" s="6">
        <f>ROUND(SUMIF('JUNE (물량흐름)'!$C$13:$C$502,'Overhead exp(제조경비)'!C328,'JUNE (물량흐름)'!$P$13:$P$502),0)</f>
        <v>953</v>
      </c>
      <c r="Y328" s="6">
        <f t="shared" ref="Y328:Y387" si="93">ROUND(SUM(V328:X328),0)</f>
        <v>1264</v>
      </c>
      <c r="Z328" s="6">
        <f t="shared" ref="Z328:Z388" si="94">ROUND(V328*$V$10+W328*$W$10+X328*$X$10,0)</f>
        <v>917</v>
      </c>
      <c r="AA328" s="6">
        <f t="shared" si="87"/>
        <v>20906815</v>
      </c>
      <c r="AB328" s="391">
        <f t="shared" ref="AB328:AB388" si="95">K328+O328-Q328-U328-AA328</f>
        <v>0</v>
      </c>
      <c r="AC328" s="391">
        <f t="shared" ref="AC328:AC388" si="96">H328+L328-P328-T328-Y328</f>
        <v>0</v>
      </c>
    </row>
    <row r="329" spans="1:29" s="390" customFormat="1" ht="24" customHeight="1">
      <c r="A329" s="167">
        <v>323</v>
      </c>
      <c r="B329" s="20" t="str">
        <f>IFERROR(VLOOKUP(A329,'JUNE (물량흐름)'!$A$13:$C$502,2,0),0)</f>
        <v>J JILL</v>
      </c>
      <c r="C329" s="272" t="str">
        <f>VLOOKUP(A329,'JUNE (물량흐름)'!$A$13:$C$502,3,0)</f>
        <v>KTP124011</v>
      </c>
      <c r="D329" s="6">
        <f>VLOOKUP(C329,'WIP(재공품)'!$B$12:$E$493,4,0)</f>
        <v>8163</v>
      </c>
      <c r="E329" s="6">
        <f>IFERROR(VLOOKUP(C329,O.B.JUNE!$AI$7:$AJ$448,2,0),0)</f>
        <v>0</v>
      </c>
      <c r="F329" s="6">
        <f>IFERROR(VLOOKUP(C329,O.B.JUNE!$AI$7:$AK$448,3,0),0)</f>
        <v>349</v>
      </c>
      <c r="G329" s="6">
        <f>IFERROR(VLOOKUP(C329,O.B.JUNE!$AI$7:$AL$448,4,0),0)</f>
        <v>732</v>
      </c>
      <c r="H329" s="6">
        <f t="shared" si="89"/>
        <v>1081</v>
      </c>
      <c r="I329" s="6">
        <f>IFERROR(VLOOKUP(C329,O.B.JUNE!$AI$7:$AN$448,6,0),0)</f>
        <v>760</v>
      </c>
      <c r="J329" s="6"/>
      <c r="K329" s="6">
        <f>IFERROR(VLOOKUP(C329,O.B.JUNE!$AI$7:$AO$448,7,0),0)</f>
        <v>18604038</v>
      </c>
      <c r="L329" s="6">
        <f>SUMIF('JUNE (물량흐름)'!$C$13:$C$488,'Overhead exp(제조경비)'!C329,'JUNE (물량흐름)'!$H$13:$H$493)+SUMIF('JUNE (물량흐름)'!$C$13:$C$493,'Overhead exp(제조경비)'!C329,'JUNE (물량흐름)'!$V$13:$V$493)</f>
        <v>0</v>
      </c>
      <c r="M329" s="6">
        <f t="shared" si="90"/>
        <v>0</v>
      </c>
      <c r="N329" s="6">
        <f t="shared" si="91"/>
        <v>0</v>
      </c>
      <c r="O329" s="6">
        <f t="shared" si="88"/>
        <v>0</v>
      </c>
      <c r="P329" s="6">
        <f>SUMIF('JUNE (물량흐름)'!$C$13:$C$502,C329,'JUNE (물량흐름)'!$T$13:$T$502)+SUMIF('JUNE (물량흐름)'!$C$13:$C$502,C329,'JUNE (물량흐름)'!$V$13:$V$502)+SUMIF('JUNE (물량흐름)'!$C$13:$C$502,C329,'JUNE (물량흐름)'!$U$13:$U$502)-SUMIF('JUNE (물량흐름)'!$C$13:$C$502,C329,'JUNE (물량흐름)'!$Y$13:$Y$502)</f>
        <v>0</v>
      </c>
      <c r="Q329" s="6">
        <f t="shared" si="86"/>
        <v>0</v>
      </c>
      <c r="R329" s="6">
        <f>IF(ISERROR(VLOOKUP(#REF!,'WIP(재공품)'!$B$12:$AB$38,13,0)),0,VLOOKUP(#REF!,'WIP(재공품)'!$B$12:$AB$38,13,0))</f>
        <v>0</v>
      </c>
      <c r="S329" s="6">
        <f>IF(ISERROR(VLOOKUP(#REF!,'WIP(재공품)'!$B$12:$AB$38,10,0)),0,VLOOKUP(#REF!,'WIP(재공품)'!$B$12:$AB$38,10,0))</f>
        <v>0</v>
      </c>
      <c r="T329" s="6">
        <f>SUMIF('JUNE (물량흐름)'!$C$13:$C$502,'Overhead exp(제조경비)'!C329,'JUNE (물량흐름)'!$Y$13:$Y$502)</f>
        <v>0</v>
      </c>
      <c r="U329" s="6">
        <f t="shared" si="92"/>
        <v>0</v>
      </c>
      <c r="V329" s="6">
        <f>ROUND(SUMIF('JUNE (물량흐름)'!$C$13:$C$502,'Overhead exp(제조경비)'!C329,'JUNE (물량흐름)'!$N$13:$N$502),0)</f>
        <v>0</v>
      </c>
      <c r="W329" s="6">
        <f>ROUND(SUMIF('JUNE (물량흐름)'!$C$13:$C$502,'Overhead exp(제조경비)'!C329,'JUNE (물량흐름)'!$O$13:$O$502),0)</f>
        <v>349</v>
      </c>
      <c r="X329" s="6">
        <f>ROUND(SUMIF('JUNE (물량흐름)'!$C$13:$C$502,'Overhead exp(제조경비)'!C329,'JUNE (물량흐름)'!$P$13:$P$502),0)</f>
        <v>732</v>
      </c>
      <c r="Y329" s="167">
        <f t="shared" ref="Y329" si="97">ROUND(SUM(V329:X329),0)</f>
        <v>1081</v>
      </c>
      <c r="Z329" s="167">
        <f t="shared" si="94"/>
        <v>760</v>
      </c>
      <c r="AA329" s="6">
        <f t="shared" si="87"/>
        <v>18604038</v>
      </c>
      <c r="AB329" s="391">
        <f t="shared" si="95"/>
        <v>0</v>
      </c>
      <c r="AC329" s="391">
        <f t="shared" si="96"/>
        <v>0</v>
      </c>
    </row>
    <row r="330" spans="1:29" s="390" customFormat="1" ht="24" customHeight="1">
      <c r="A330" s="167">
        <v>324</v>
      </c>
      <c r="B330" s="20" t="str">
        <f>IFERROR(VLOOKUP(A330,'JUNE (물량흐름)'!$A$13:$C$502,2,0),0)</f>
        <v>J JILL</v>
      </c>
      <c r="C330" s="272" t="str">
        <f>VLOOKUP(A330,'JUNE (물량흐름)'!$A$13:$C$502,3,0)</f>
        <v>KTP124021</v>
      </c>
      <c r="D330" s="6">
        <f>VLOOKUP(C330,'WIP(재공품)'!$B$12:$E$493,4,0)</f>
        <v>8163</v>
      </c>
      <c r="E330" s="6">
        <f>IFERROR(VLOOKUP(C330,O.B.JUNE!$AI$7:$AJ$448,2,0),0)</f>
        <v>0</v>
      </c>
      <c r="F330" s="6">
        <f>IFERROR(VLOOKUP(C330,O.B.JUNE!$AI$7:$AK$448,3,0),0)</f>
        <v>70</v>
      </c>
      <c r="G330" s="6">
        <f>IFERROR(VLOOKUP(C330,O.B.JUNE!$AI$7:$AL$448,4,0),0)</f>
        <v>357</v>
      </c>
      <c r="H330" s="6">
        <f t="shared" si="89"/>
        <v>427</v>
      </c>
      <c r="I330" s="6">
        <f>IFERROR(VLOOKUP(C330,O.B.JUNE!$AI$7:$AN$448,6,0),0)</f>
        <v>321</v>
      </c>
      <c r="J330" s="6"/>
      <c r="K330" s="6">
        <f>IFERROR(VLOOKUP(C330,O.B.JUNE!$AI$7:$AO$448,7,0),0)</f>
        <v>6904617</v>
      </c>
      <c r="L330" s="6">
        <f>SUMIF('JUNE (물량흐름)'!$C$13:$C$488,'Overhead exp(제조경비)'!C330,'JUNE (물량흐름)'!$H$13:$H$493)+SUMIF('JUNE (물량흐름)'!$C$13:$C$493,'Overhead exp(제조경비)'!C330,'JUNE (물량흐름)'!$V$13:$V$493)</f>
        <v>0</v>
      </c>
      <c r="M330" s="6">
        <f t="shared" si="90"/>
        <v>0</v>
      </c>
      <c r="N330" s="6">
        <f t="shared" si="91"/>
        <v>0</v>
      </c>
      <c r="O330" s="6">
        <f t="shared" si="88"/>
        <v>0</v>
      </c>
      <c r="P330" s="6">
        <f>SUMIF('JUNE (물량흐름)'!$C$13:$C$502,C330,'JUNE (물량흐름)'!$T$13:$T$502)+SUMIF('JUNE (물량흐름)'!$C$13:$C$502,C330,'JUNE (물량흐름)'!$V$13:$V$502)+SUMIF('JUNE (물량흐름)'!$C$13:$C$502,C330,'JUNE (물량흐름)'!$U$13:$U$502)-SUMIF('JUNE (물량흐름)'!$C$13:$C$502,C330,'JUNE (물량흐름)'!$Y$13:$Y$502)</f>
        <v>0</v>
      </c>
      <c r="Q330" s="6">
        <f t="shared" si="86"/>
        <v>0</v>
      </c>
      <c r="R330" s="6">
        <f>IF(ISERROR(VLOOKUP(#REF!,'WIP(재공품)'!$B$12:$AB$38,13,0)),0,VLOOKUP(#REF!,'WIP(재공품)'!$B$12:$AB$38,13,0))</f>
        <v>0</v>
      </c>
      <c r="S330" s="6">
        <f>IF(ISERROR(VLOOKUP(#REF!,'WIP(재공품)'!$B$12:$AB$38,10,0)),0,VLOOKUP(#REF!,'WIP(재공품)'!$B$12:$AB$38,10,0))</f>
        <v>0</v>
      </c>
      <c r="T330" s="6">
        <f>SUMIF('JUNE (물량흐름)'!$C$13:$C$502,'Overhead exp(제조경비)'!C330,'JUNE (물량흐름)'!$Y$13:$Y$502)</f>
        <v>0</v>
      </c>
      <c r="U330" s="6">
        <f t="shared" si="92"/>
        <v>0</v>
      </c>
      <c r="V330" s="6">
        <f>ROUND(SUMIF('JUNE (물량흐름)'!$C$13:$C$502,'Overhead exp(제조경비)'!C330,'JUNE (물량흐름)'!$N$13:$N$502),0)</f>
        <v>53</v>
      </c>
      <c r="W330" s="6">
        <f>ROUND(SUMIF('JUNE (물량흐름)'!$C$13:$C$502,'Overhead exp(제조경비)'!C330,'JUNE (물량흐름)'!$O$13:$O$502),0)</f>
        <v>0</v>
      </c>
      <c r="X330" s="6">
        <f>ROUND(SUMIF('JUNE (물량흐름)'!$C$13:$C$502,'Overhead exp(제조경비)'!C330,'JUNE (물량흐름)'!$P$13:$P$502),0)</f>
        <v>374</v>
      </c>
      <c r="Y330" s="6">
        <f t="shared" si="93"/>
        <v>427</v>
      </c>
      <c r="Z330" s="6">
        <f t="shared" si="94"/>
        <v>310</v>
      </c>
      <c r="AA330" s="6">
        <f t="shared" si="87"/>
        <v>6904617</v>
      </c>
      <c r="AB330" s="391">
        <f t="shared" si="95"/>
        <v>0</v>
      </c>
      <c r="AC330" s="391">
        <f t="shared" si="96"/>
        <v>0</v>
      </c>
    </row>
    <row r="331" spans="1:29" s="390" customFormat="1" ht="24" customHeight="1">
      <c r="A331" s="167">
        <v>325</v>
      </c>
      <c r="B331" s="20" t="str">
        <f>IFERROR(VLOOKUP(A331,'JUNE (물량흐름)'!$A$13:$C$502,2,0),0)</f>
        <v>INC</v>
      </c>
      <c r="C331" s="272">
        <f>VLOOKUP(A331,'JUNE (물량흐름)'!$A$13:$C$502,3,0)</f>
        <v>100023338</v>
      </c>
      <c r="D331" s="6">
        <f>VLOOKUP(C331,'WIP(재공품)'!$B$12:$E$493,4,0)</f>
        <v>28570.5</v>
      </c>
      <c r="E331" s="6">
        <f>IFERROR(VLOOKUP(C331,O.B.JUNE!$AI$7:$AJ$448,2,0),0)</f>
        <v>0</v>
      </c>
      <c r="F331" s="6">
        <f>IFERROR(VLOOKUP(C331,O.B.JUNE!$AI$7:$AK$448,3,0),0)</f>
        <v>144</v>
      </c>
      <c r="G331" s="6">
        <f>IFERROR(VLOOKUP(C331,O.B.JUNE!$AI$7:$AL$448,4,0),0)</f>
        <v>99</v>
      </c>
      <c r="H331" s="6">
        <f t="shared" si="89"/>
        <v>243</v>
      </c>
      <c r="I331" s="6">
        <f>IFERROR(VLOOKUP(C331,O.B.JUNE!$AI$7:$AN$448,6,0),0)</f>
        <v>151</v>
      </c>
      <c r="J331" s="6"/>
      <c r="K331" s="6">
        <f>IFERROR(VLOOKUP(C331,O.B.JUNE!$AI$7:$AO$448,7,0),0)</f>
        <v>5041271</v>
      </c>
      <c r="L331" s="6">
        <f>SUMIF('JUNE (물량흐름)'!$C$13:$C$488,'Overhead exp(제조경비)'!C331,'JUNE (물량흐름)'!$H$13:$H$493)+SUMIF('JUNE (물량흐름)'!$C$13:$C$493,'Overhead exp(제조경비)'!C331,'JUNE (물량흐름)'!$V$13:$V$493)</f>
        <v>0</v>
      </c>
      <c r="M331" s="6">
        <f t="shared" si="90"/>
        <v>0</v>
      </c>
      <c r="N331" s="6">
        <f t="shared" si="91"/>
        <v>0</v>
      </c>
      <c r="O331" s="6">
        <f t="shared" si="88"/>
        <v>0</v>
      </c>
      <c r="P331" s="6">
        <f>SUMIF('JUNE (물량흐름)'!$C$13:$C$502,C331,'JUNE (물량흐름)'!$T$13:$T$502)+SUMIF('JUNE (물량흐름)'!$C$13:$C$502,C331,'JUNE (물량흐름)'!$V$13:$V$502)+SUMIF('JUNE (물량흐름)'!$C$13:$C$502,C331,'JUNE (물량흐름)'!$U$13:$U$502)-SUMIF('JUNE (물량흐름)'!$C$13:$C$502,C331,'JUNE (물량흐름)'!$Y$13:$Y$502)</f>
        <v>0</v>
      </c>
      <c r="Q331" s="6">
        <f t="shared" si="86"/>
        <v>0</v>
      </c>
      <c r="R331" s="6">
        <f>IF(ISERROR(VLOOKUP(#REF!,'WIP(재공품)'!$B$12:$AB$38,13,0)),0,VLOOKUP(#REF!,'WIP(재공품)'!$B$12:$AB$38,13,0))</f>
        <v>0</v>
      </c>
      <c r="S331" s="6">
        <f>IF(ISERROR(VLOOKUP(#REF!,'WIP(재공품)'!$B$12:$AB$38,10,0)),0,VLOOKUP(#REF!,'WIP(재공품)'!$B$12:$AB$38,10,0))</f>
        <v>0</v>
      </c>
      <c r="T331" s="6">
        <f>SUMIF('JUNE (물량흐름)'!$C$13:$C$502,'Overhead exp(제조경비)'!C331,'JUNE (물량흐름)'!$Y$13:$Y$502)</f>
        <v>0</v>
      </c>
      <c r="U331" s="6">
        <f t="shared" si="92"/>
        <v>0</v>
      </c>
      <c r="V331" s="6">
        <f>ROUND(SUMIF('JUNE (물량흐름)'!$C$13:$C$502,'Overhead exp(제조경비)'!C331,'JUNE (물량흐름)'!$N$13:$N$502),0)</f>
        <v>0</v>
      </c>
      <c r="W331" s="6">
        <f>ROUND(SUMIF('JUNE (물량흐름)'!$C$13:$C$502,'Overhead exp(제조경비)'!C331,'JUNE (물량흐름)'!$O$13:$O$502),0)</f>
        <v>144</v>
      </c>
      <c r="X331" s="6">
        <f>ROUND(SUMIF('JUNE (물량흐름)'!$C$13:$C$502,'Overhead exp(제조경비)'!C331,'JUNE (물량흐름)'!$P$13:$P$502),0)</f>
        <v>99</v>
      </c>
      <c r="Y331" s="6">
        <f t="shared" si="93"/>
        <v>243</v>
      </c>
      <c r="Z331" s="6">
        <f t="shared" si="94"/>
        <v>151</v>
      </c>
      <c r="AA331" s="6">
        <f t="shared" si="87"/>
        <v>5041271</v>
      </c>
      <c r="AB331" s="391">
        <f t="shared" si="95"/>
        <v>0</v>
      </c>
      <c r="AC331" s="391">
        <f t="shared" si="96"/>
        <v>0</v>
      </c>
    </row>
    <row r="332" spans="1:29" s="390" customFormat="1" ht="24" customHeight="1">
      <c r="A332" s="167">
        <v>327</v>
      </c>
      <c r="B332" s="20" t="str">
        <f>IFERROR(VLOOKUP(A332,'JUNE (물량흐름)'!$A$13:$C$502,2,0),0)</f>
        <v>CHARTER CLUB</v>
      </c>
      <c r="C332" s="272">
        <f>VLOOKUP(A332,'JUNE (물량흐름)'!$A$13:$C$502,3,0)</f>
        <v>100025351</v>
      </c>
      <c r="D332" s="6">
        <f>VLOOKUP(C332,'WIP(재공품)'!$B$12:$E$493,4,0)</f>
        <v>7936.2499999999991</v>
      </c>
      <c r="E332" s="6">
        <f>IFERROR(VLOOKUP(C332,O.B.JUNE!$AI$7:$AJ$448,2,0),0)</f>
        <v>0</v>
      </c>
      <c r="F332" s="6">
        <f>IFERROR(VLOOKUP(C332,O.B.JUNE!$AI$7:$AK$448,3,0),0)</f>
        <v>24</v>
      </c>
      <c r="G332" s="6">
        <f>IFERROR(VLOOKUP(C332,O.B.JUNE!$AI$7:$AL$448,4,0),0)</f>
        <v>0</v>
      </c>
      <c r="H332" s="6">
        <f t="shared" si="89"/>
        <v>24</v>
      </c>
      <c r="I332" s="6">
        <f>IFERROR(VLOOKUP(C332,O.B.JUNE!$AI$7:$AN$448,6,0),0)</f>
        <v>12</v>
      </c>
      <c r="J332" s="6"/>
      <c r="K332" s="6">
        <f>IFERROR(VLOOKUP(C332,O.B.JUNE!$AI$7:$AO$448,7,0),0)</f>
        <v>587324</v>
      </c>
      <c r="L332" s="6">
        <f>SUMIF('JUNE (물량흐름)'!$C$13:$C$488,'Overhead exp(제조경비)'!C332,'JUNE (물량흐름)'!$H$13:$H$493)+SUMIF('JUNE (물량흐름)'!$C$13:$C$493,'Overhead exp(제조경비)'!C332,'JUNE (물량흐름)'!$V$13:$V$493)</f>
        <v>0</v>
      </c>
      <c r="M332" s="6">
        <f t="shared" si="90"/>
        <v>0</v>
      </c>
      <c r="N332" s="6">
        <f t="shared" si="91"/>
        <v>0</v>
      </c>
      <c r="O332" s="6">
        <f t="shared" si="88"/>
        <v>0</v>
      </c>
      <c r="P332" s="6">
        <f>SUMIF('JUNE (물량흐름)'!$C$13:$C$502,C332,'JUNE (물량흐름)'!$T$13:$T$502)+SUMIF('JUNE (물량흐름)'!$C$13:$C$502,C332,'JUNE (물량흐름)'!$V$13:$V$502)+SUMIF('JUNE (물량흐름)'!$C$13:$C$502,C332,'JUNE (물량흐름)'!$U$13:$U$502)-SUMIF('JUNE (물량흐름)'!$C$13:$C$502,C332,'JUNE (물량흐름)'!$Y$13:$Y$502)</f>
        <v>0</v>
      </c>
      <c r="Q332" s="6">
        <f t="shared" si="86"/>
        <v>0</v>
      </c>
      <c r="R332" s="6">
        <f>IF(ISERROR(VLOOKUP(#REF!,'WIP(재공품)'!$B$12:$AB$38,13,0)),0,VLOOKUP(#REF!,'WIP(재공품)'!$B$12:$AB$38,13,0))</f>
        <v>0</v>
      </c>
      <c r="S332" s="6">
        <f>IF(ISERROR(VLOOKUP(#REF!,'WIP(재공품)'!$B$12:$AB$38,10,0)),0,VLOOKUP(#REF!,'WIP(재공품)'!$B$12:$AB$38,10,0))</f>
        <v>0</v>
      </c>
      <c r="T332" s="6">
        <f>SUMIF('JUNE (물량흐름)'!$C$13:$C$502,'Overhead exp(제조경비)'!C332,'JUNE (물량흐름)'!$Y$13:$Y$502)</f>
        <v>0</v>
      </c>
      <c r="U332" s="6">
        <f t="shared" si="92"/>
        <v>0</v>
      </c>
      <c r="V332" s="6">
        <f>ROUND(SUMIF('JUNE (물량흐름)'!$C$13:$C$502,'Overhead exp(제조경비)'!C332,'JUNE (물량흐름)'!$N$13:$N$502),0)</f>
        <v>0</v>
      </c>
      <c r="W332" s="6">
        <f>ROUND(SUMIF('JUNE (물량흐름)'!$C$13:$C$502,'Overhead exp(제조경비)'!C332,'JUNE (물량흐름)'!$O$13:$O$502),0)</f>
        <v>24</v>
      </c>
      <c r="X332" s="6">
        <f>ROUND(SUMIF('JUNE (물량흐름)'!$C$13:$C$502,'Overhead exp(제조경비)'!C332,'JUNE (물량흐름)'!$P$13:$P$502),0)</f>
        <v>0</v>
      </c>
      <c r="Y332" s="167">
        <f t="shared" ref="Y332" si="98">ROUND(SUM(V332:X332),0)</f>
        <v>24</v>
      </c>
      <c r="Z332" s="167">
        <f t="shared" si="94"/>
        <v>12</v>
      </c>
      <c r="AA332" s="6">
        <f t="shared" si="87"/>
        <v>587324</v>
      </c>
      <c r="AB332" s="391">
        <f t="shared" si="95"/>
        <v>0</v>
      </c>
      <c r="AC332" s="391">
        <f t="shared" si="96"/>
        <v>0</v>
      </c>
    </row>
    <row r="333" spans="1:29" s="390" customFormat="1" ht="24" customHeight="1">
      <c r="A333" s="167">
        <v>328</v>
      </c>
      <c r="B333" s="20" t="str">
        <f>IFERROR(VLOOKUP(A333,'JUNE (물량흐름)'!$A$13:$C$502,2,0),0)</f>
        <v>TALBOTS</v>
      </c>
      <c r="C333" s="272">
        <f>VLOOKUP(A333,'JUNE (물량흐름)'!$A$13:$C$502,3,0)</f>
        <v>182034821</v>
      </c>
      <c r="D333" s="6">
        <f>VLOOKUP(C333,'WIP(재공품)'!$B$12:$E$493,4,0)</f>
        <v>7936.2499999999991</v>
      </c>
      <c r="E333" s="6">
        <f>IFERROR(VLOOKUP(C333,O.B.JUNE!$AI$7:$AJ$448,2,0),0)</f>
        <v>41</v>
      </c>
      <c r="F333" s="6">
        <f>IFERROR(VLOOKUP(C333,O.B.JUNE!$AI$7:$AK$448,3,0),0)</f>
        <v>215</v>
      </c>
      <c r="G333" s="6">
        <f>IFERROR(VLOOKUP(C333,O.B.JUNE!$AI$7:$AL$448,4,0),0)</f>
        <v>0</v>
      </c>
      <c r="H333" s="6">
        <f t="shared" si="89"/>
        <v>256</v>
      </c>
      <c r="I333" s="6">
        <f>IFERROR(VLOOKUP(C333,O.B.JUNE!$AI$7:$AN$448,6,0),0)</f>
        <v>116</v>
      </c>
      <c r="J333" s="6"/>
      <c r="K333" s="6">
        <f>IFERROR(VLOOKUP(C333,O.B.JUNE!$AI$7:$AO$448,7,0),0)</f>
        <v>5582851</v>
      </c>
      <c r="L333" s="6">
        <f>SUMIF('JUNE (물량흐름)'!$C$13:$C$488,'Overhead exp(제조경비)'!C333,'JUNE (물량흐름)'!$H$13:$H$493)+SUMIF('JUNE (물량흐름)'!$C$13:$C$493,'Overhead exp(제조경비)'!C333,'JUNE (물량흐름)'!$V$13:$V$493)</f>
        <v>0</v>
      </c>
      <c r="M333" s="6">
        <f t="shared" si="90"/>
        <v>0</v>
      </c>
      <c r="N333" s="6">
        <f t="shared" si="91"/>
        <v>0</v>
      </c>
      <c r="O333" s="6">
        <f t="shared" si="88"/>
        <v>0</v>
      </c>
      <c r="P333" s="6">
        <f>SUMIF('JUNE (물량흐름)'!$C$13:$C$502,C333,'JUNE (물량흐름)'!$T$13:$T$502)+SUMIF('JUNE (물량흐름)'!$C$13:$C$502,C333,'JUNE (물량흐름)'!$V$13:$V$502)+SUMIF('JUNE (물량흐름)'!$C$13:$C$502,C333,'JUNE (물량흐름)'!$U$13:$U$502)-SUMIF('JUNE (물량흐름)'!$C$13:$C$502,C333,'JUNE (물량흐름)'!$Y$13:$Y$502)</f>
        <v>0</v>
      </c>
      <c r="Q333" s="6">
        <f t="shared" ref="Q333:Q396" si="99">IFERROR(ROUND(IF(OR(P333&lt;=0,($I333+$M333)=0),$P333*($K333+$O333)/($I333+$M333),$P333*($K333+$O333)/($H333+$L333)),0),0)</f>
        <v>0</v>
      </c>
      <c r="R333" s="6">
        <f>IF(ISERROR(VLOOKUP(#REF!,'WIP(재공품)'!$B$12:$AB$38,13,0)),0,VLOOKUP(#REF!,'WIP(재공품)'!$B$12:$AB$38,13,0))</f>
        <v>0</v>
      </c>
      <c r="S333" s="6">
        <f>IF(ISERROR(VLOOKUP(#REF!,'WIP(재공품)'!$B$12:$AB$38,10,0)),0,VLOOKUP(#REF!,'WIP(재공품)'!$B$12:$AB$38,10,0))</f>
        <v>0</v>
      </c>
      <c r="T333" s="6">
        <f>SUMIF('JUNE (물량흐름)'!$C$13:$C$502,'Overhead exp(제조경비)'!C333,'JUNE (물량흐름)'!$Y$13:$Y$502)</f>
        <v>0</v>
      </c>
      <c r="U333" s="6">
        <f t="shared" si="92"/>
        <v>0</v>
      </c>
      <c r="V333" s="6">
        <f>ROUND(SUMIF('JUNE (물량흐름)'!$C$13:$C$502,'Overhead exp(제조경비)'!C333,'JUNE (물량흐름)'!$N$13:$N$502),0)</f>
        <v>41</v>
      </c>
      <c r="W333" s="6">
        <f>ROUND(SUMIF('JUNE (물량흐름)'!$C$13:$C$502,'Overhead exp(제조경비)'!C333,'JUNE (물량흐름)'!$O$13:$O$502),0)</f>
        <v>215</v>
      </c>
      <c r="X333" s="6">
        <f>ROUND(SUMIF('JUNE (물량흐름)'!$C$13:$C$502,'Overhead exp(제조경비)'!C333,'JUNE (물량흐름)'!$P$13:$P$502),0)</f>
        <v>0</v>
      </c>
      <c r="Y333" s="6">
        <f t="shared" si="93"/>
        <v>256</v>
      </c>
      <c r="Z333" s="6">
        <f t="shared" si="94"/>
        <v>116</v>
      </c>
      <c r="AA333" s="6">
        <f t="shared" ref="AA333:AA396" si="100">IFERROR(ROUND(IF(OR(Z333&lt;=0,($I333+$M333)=0),$Z333*($K333+$O333)/($I333+$M333),$Y333*($K333+$O333)/($H333+$L333)),0),0)</f>
        <v>5582851</v>
      </c>
      <c r="AB333" s="391">
        <f t="shared" si="95"/>
        <v>0</v>
      </c>
      <c r="AC333" s="391">
        <f t="shared" si="96"/>
        <v>0</v>
      </c>
    </row>
    <row r="334" spans="1:29" s="390" customFormat="1" ht="24" customHeight="1">
      <c r="A334" s="167">
        <v>329</v>
      </c>
      <c r="B334" s="20" t="str">
        <f>IFERROR(VLOOKUP(A334,'JUNE (물량흐름)'!$A$13:$C$502,2,0),0)</f>
        <v>TALBOTS</v>
      </c>
      <c r="C334" s="272">
        <f>VLOOKUP(A334,'JUNE (물량흐름)'!$A$13:$C$502,3,0)</f>
        <v>182034836</v>
      </c>
      <c r="D334" s="6">
        <f>VLOOKUP(C334,'WIP(재공품)'!$B$12:$E$493,4,0)</f>
        <v>8163</v>
      </c>
      <c r="E334" s="6">
        <f>IFERROR(VLOOKUP(C334,O.B.JUNE!$AI$7:$AJ$448,2,0),0)</f>
        <v>0</v>
      </c>
      <c r="F334" s="6">
        <f>IFERROR(VLOOKUP(C334,O.B.JUNE!$AI$7:$AK$448,3,0),0)</f>
        <v>299</v>
      </c>
      <c r="G334" s="6">
        <f>IFERROR(VLOOKUP(C334,O.B.JUNE!$AI$7:$AL$448,4,0),0)</f>
        <v>55</v>
      </c>
      <c r="H334" s="6">
        <f t="shared" si="89"/>
        <v>354</v>
      </c>
      <c r="I334" s="6">
        <f>IFERROR(VLOOKUP(C334,O.B.JUNE!$AI$7:$AN$448,6,0),0)</f>
        <v>194</v>
      </c>
      <c r="J334" s="6"/>
      <c r="K334" s="6">
        <f>IFERROR(VLOOKUP(C334,O.B.JUNE!$AI$7:$AO$448,7,0),0)</f>
        <v>9731643</v>
      </c>
      <c r="L334" s="6">
        <f>SUMIF('JUNE (물량흐름)'!$C$13:$C$488,'Overhead exp(제조경비)'!C334,'JUNE (물량흐름)'!$H$13:$H$493)+SUMIF('JUNE (물량흐름)'!$C$13:$C$493,'Overhead exp(제조경비)'!C334,'JUNE (물량흐름)'!$V$13:$V$493)</f>
        <v>0</v>
      </c>
      <c r="M334" s="6">
        <f t="shared" si="90"/>
        <v>0</v>
      </c>
      <c r="N334" s="6">
        <f t="shared" si="91"/>
        <v>0</v>
      </c>
      <c r="O334" s="6">
        <f t="shared" si="88"/>
        <v>0</v>
      </c>
      <c r="P334" s="6">
        <f>SUMIF('JUNE (물량흐름)'!$C$13:$C$502,C334,'JUNE (물량흐름)'!$T$13:$T$502)+SUMIF('JUNE (물량흐름)'!$C$13:$C$502,C334,'JUNE (물량흐름)'!$V$13:$V$502)+SUMIF('JUNE (물량흐름)'!$C$13:$C$502,C334,'JUNE (물량흐름)'!$U$13:$U$502)-SUMIF('JUNE (물량흐름)'!$C$13:$C$502,C334,'JUNE (물량흐름)'!$Y$13:$Y$502)</f>
        <v>0</v>
      </c>
      <c r="Q334" s="6">
        <f t="shared" si="99"/>
        <v>0</v>
      </c>
      <c r="R334" s="6">
        <f>IF(ISERROR(VLOOKUP(#REF!,'WIP(재공품)'!$B$12:$AB$38,13,0)),0,VLOOKUP(#REF!,'WIP(재공품)'!$B$12:$AB$38,13,0))</f>
        <v>0</v>
      </c>
      <c r="S334" s="6">
        <f>IF(ISERROR(VLOOKUP(#REF!,'WIP(재공품)'!$B$12:$AB$38,10,0)),0,VLOOKUP(#REF!,'WIP(재공품)'!$B$12:$AB$38,10,0))</f>
        <v>0</v>
      </c>
      <c r="T334" s="6">
        <f>SUMIF('JUNE (물량흐름)'!$C$13:$C$502,'Overhead exp(제조경비)'!C334,'JUNE (물량흐름)'!$Y$13:$Y$502)</f>
        <v>0</v>
      </c>
      <c r="U334" s="6">
        <f t="shared" si="92"/>
        <v>0</v>
      </c>
      <c r="V334" s="6">
        <f>ROUND(SUMIF('JUNE (물량흐름)'!$C$13:$C$502,'Overhead exp(제조경비)'!C334,'JUNE (물량흐름)'!$N$13:$N$502),0)</f>
        <v>0</v>
      </c>
      <c r="W334" s="6">
        <f>ROUND(SUMIF('JUNE (물량흐름)'!$C$13:$C$502,'Overhead exp(제조경비)'!C334,'JUNE (물량흐름)'!$O$13:$O$502),0)</f>
        <v>299</v>
      </c>
      <c r="X334" s="6">
        <f>ROUND(SUMIF('JUNE (물량흐름)'!$C$13:$C$502,'Overhead exp(제조경비)'!C334,'JUNE (물량흐름)'!$P$13:$P$502),0)</f>
        <v>55</v>
      </c>
      <c r="Y334" s="6">
        <f t="shared" si="93"/>
        <v>354</v>
      </c>
      <c r="Z334" s="6">
        <f t="shared" si="94"/>
        <v>194</v>
      </c>
      <c r="AA334" s="6">
        <f t="shared" si="100"/>
        <v>9731643</v>
      </c>
      <c r="AB334" s="391">
        <f t="shared" si="95"/>
        <v>0</v>
      </c>
      <c r="AC334" s="391">
        <f t="shared" si="96"/>
        <v>0</v>
      </c>
    </row>
    <row r="335" spans="1:29" s="390" customFormat="1" ht="24" customHeight="1">
      <c r="A335" s="167">
        <v>330</v>
      </c>
      <c r="B335" s="20" t="str">
        <f>IFERROR(VLOOKUP(A335,'JUNE (물량흐름)'!$A$13:$C$502,2,0),0)</f>
        <v>TALBOTS</v>
      </c>
      <c r="C335" s="272">
        <f>VLOOKUP(A335,'JUNE (물량흐름)'!$A$13:$C$502,3,0)</f>
        <v>182034837</v>
      </c>
      <c r="D335" s="6">
        <f>VLOOKUP(C335,'WIP(재공품)'!$B$12:$E$493,4,0)</f>
        <v>55780.5</v>
      </c>
      <c r="E335" s="6">
        <f>IFERROR(VLOOKUP(C335,O.B.JUNE!$AI$7:$AJ$448,2,0),0)</f>
        <v>1</v>
      </c>
      <c r="F335" s="6">
        <f>IFERROR(VLOOKUP(C335,O.B.JUNE!$AI$7:$AK$448,3,0),0)</f>
        <v>9</v>
      </c>
      <c r="G335" s="6">
        <f>IFERROR(VLOOKUP(C335,O.B.JUNE!$AI$7:$AL$448,4,0),0)</f>
        <v>37</v>
      </c>
      <c r="H335" s="6">
        <f t="shared" si="89"/>
        <v>47</v>
      </c>
      <c r="I335" s="6">
        <f>IFERROR(VLOOKUP(C335,O.B.JUNE!$AI$7:$AN$448,6,0),0)</f>
        <v>34</v>
      </c>
      <c r="J335" s="6"/>
      <c r="K335" s="6">
        <f>IFERROR(VLOOKUP(C335,O.B.JUNE!$AI$7:$AO$448,7,0),0)</f>
        <v>1741087</v>
      </c>
      <c r="L335" s="6">
        <f>SUMIF('JUNE (물량흐름)'!$C$13:$C$488,'Overhead exp(제조경비)'!C335,'JUNE (물량흐름)'!$H$13:$H$493)+SUMIF('JUNE (물량흐름)'!$C$13:$C$493,'Overhead exp(제조경비)'!C335,'JUNE (물량흐름)'!$V$13:$V$493)</f>
        <v>0</v>
      </c>
      <c r="M335" s="6">
        <f t="shared" si="90"/>
        <v>0</v>
      </c>
      <c r="N335" s="6">
        <f t="shared" si="91"/>
        <v>0</v>
      </c>
      <c r="O335" s="6">
        <f t="shared" si="88"/>
        <v>0</v>
      </c>
      <c r="P335" s="6">
        <f>SUMIF('JUNE (물량흐름)'!$C$13:$C$502,C335,'JUNE (물량흐름)'!$T$13:$T$502)+SUMIF('JUNE (물량흐름)'!$C$13:$C$502,C335,'JUNE (물량흐름)'!$V$13:$V$502)+SUMIF('JUNE (물량흐름)'!$C$13:$C$502,C335,'JUNE (물량흐름)'!$U$13:$U$502)-SUMIF('JUNE (물량흐름)'!$C$13:$C$502,C335,'JUNE (물량흐름)'!$Y$13:$Y$502)</f>
        <v>0</v>
      </c>
      <c r="Q335" s="6">
        <f t="shared" si="99"/>
        <v>0</v>
      </c>
      <c r="R335" s="6">
        <f>IF(ISERROR(VLOOKUP(#REF!,'WIP(재공품)'!$B$12:$AB$38,13,0)),0,VLOOKUP(#REF!,'WIP(재공품)'!$B$12:$AB$38,13,0))</f>
        <v>0</v>
      </c>
      <c r="S335" s="6">
        <f>IF(ISERROR(VLOOKUP(#REF!,'WIP(재공품)'!$B$12:$AB$38,10,0)),0,VLOOKUP(#REF!,'WIP(재공품)'!$B$12:$AB$38,10,0))</f>
        <v>0</v>
      </c>
      <c r="T335" s="6">
        <f>SUMIF('JUNE (물량흐름)'!$C$13:$C$502,'Overhead exp(제조경비)'!C335,'JUNE (물량흐름)'!$Y$13:$Y$502)</f>
        <v>0</v>
      </c>
      <c r="U335" s="6">
        <f t="shared" si="92"/>
        <v>0</v>
      </c>
      <c r="V335" s="6">
        <f>ROUND(SUMIF('JUNE (물량흐름)'!$C$13:$C$502,'Overhead exp(제조경비)'!C335,'JUNE (물량흐름)'!$N$13:$N$502),0)</f>
        <v>1</v>
      </c>
      <c r="W335" s="6">
        <f>ROUND(SUMIF('JUNE (물량흐름)'!$C$13:$C$502,'Overhead exp(제조경비)'!C335,'JUNE (물량흐름)'!$O$13:$O$502),0)</f>
        <v>9</v>
      </c>
      <c r="X335" s="6">
        <f>ROUND(SUMIF('JUNE (물량흐름)'!$C$13:$C$502,'Overhead exp(제조경비)'!C335,'JUNE (물량흐름)'!$P$13:$P$502),0)</f>
        <v>37</v>
      </c>
      <c r="Y335" s="6">
        <f t="shared" si="93"/>
        <v>47</v>
      </c>
      <c r="Z335" s="6">
        <f t="shared" si="94"/>
        <v>34</v>
      </c>
      <c r="AA335" s="6">
        <f t="shared" si="100"/>
        <v>1741087</v>
      </c>
      <c r="AB335" s="391">
        <f t="shared" si="95"/>
        <v>0</v>
      </c>
      <c r="AC335" s="391">
        <f t="shared" si="96"/>
        <v>0</v>
      </c>
    </row>
    <row r="336" spans="1:29" s="486" customFormat="1" ht="24" customHeight="1">
      <c r="A336" s="481">
        <v>331</v>
      </c>
      <c r="B336" s="487" t="str">
        <f>IFERROR(VLOOKUP(A336,'JUNE (물량흐름)'!$A$13:$C$502,2,0),0)</f>
        <v>J JILL</v>
      </c>
      <c r="C336" s="488" t="str">
        <f>VLOOKUP(A336,'JUNE (물량흐름)'!$A$13:$C$502,3,0)</f>
        <v>KPT122931</v>
      </c>
      <c r="D336" s="484">
        <f>VLOOKUP(C336,'WIP(재공품)'!$B$12:$E$493,4,0)</f>
        <v>60542.25</v>
      </c>
      <c r="E336" s="484">
        <f>IFERROR(VLOOKUP(C336,O.B.JUNE!$AI$7:$AJ$448,2,0),0)</f>
        <v>0</v>
      </c>
      <c r="F336" s="484">
        <f>IFERROR(VLOOKUP(C336,O.B.JUNE!$AI$7:$AK$448,3,0),0)</f>
        <v>164</v>
      </c>
      <c r="G336" s="484">
        <f>IFERROR(VLOOKUP(C336,O.B.JUNE!$AI$7:$AL$448,4,0),0)</f>
        <v>227</v>
      </c>
      <c r="H336" s="484">
        <f t="shared" si="89"/>
        <v>391</v>
      </c>
      <c r="I336" s="484">
        <f>IFERROR(VLOOKUP(C336,O.B.JUNE!$AI$7:$AN$448,6,0),0)</f>
        <v>264</v>
      </c>
      <c r="J336" s="484"/>
      <c r="K336" s="484">
        <f>IFERROR(VLOOKUP(C336,O.B.JUNE!$AI$7:$AO$448,7,0),0)</f>
        <v>8628404</v>
      </c>
      <c r="L336" s="484">
        <f>SUMIF('JUNE (물량흐름)'!$C$13:$C$488,'Overhead exp(제조경비)'!C336,'JUNE (물량흐름)'!$H$13:$H$493)+SUMIF('JUNE (물량흐름)'!$C$13:$C$493,'Overhead exp(제조경비)'!C336,'JUNE (물량흐름)'!$V$13:$V$493)</f>
        <v>618</v>
      </c>
      <c r="M336" s="484">
        <f t="shared" si="90"/>
        <v>381</v>
      </c>
      <c r="N336" s="484">
        <f t="shared" si="91"/>
        <v>23066597</v>
      </c>
      <c r="O336" s="484">
        <f t="shared" ref="O336:O399" si="101">ROUND(M336*D336*$O$493/$N$493,0)</f>
        <v>13937759</v>
      </c>
      <c r="P336" s="6">
        <f>SUMIF('JUNE (물량흐름)'!$C$13:$C$502,C336,'JUNE (물량흐름)'!$T$13:$T$502)+SUMIF('JUNE (물량흐름)'!$C$13:$C$502,C336,'JUNE (물량흐름)'!$V$13:$V$502)+SUMIF('JUNE (물량흐름)'!$C$13:$C$502,C336,'JUNE (물량흐름)'!$U$13:$U$502)-SUMIF('JUNE (물량흐름)'!$C$13:$C$502,C336,'JUNE (물량흐름)'!$Y$13:$Y$502)</f>
        <v>78</v>
      </c>
      <c r="Q336" s="6">
        <f t="shared" si="99"/>
        <v>1744461</v>
      </c>
      <c r="R336" s="6">
        <f>IF(ISERROR(VLOOKUP(#REF!,'WIP(재공품)'!$B$12:$AB$38,13,0)),0,VLOOKUP(#REF!,'WIP(재공품)'!$B$12:$AB$38,13,0))</f>
        <v>0</v>
      </c>
      <c r="S336" s="6">
        <f>IF(ISERROR(VLOOKUP(#REF!,'WIP(재공품)'!$B$12:$AB$38,10,0)),0,VLOOKUP(#REF!,'WIP(재공품)'!$B$12:$AB$38,10,0))</f>
        <v>0</v>
      </c>
      <c r="T336" s="6">
        <f>SUMIF('JUNE (물량흐름)'!$C$13:$C$502,'Overhead exp(제조경비)'!C336,'JUNE (물량흐름)'!$Y$13:$Y$502)</f>
        <v>9</v>
      </c>
      <c r="U336" s="6">
        <f t="shared" si="92"/>
        <v>201284</v>
      </c>
      <c r="V336" s="484">
        <f>ROUND(SUMIF('JUNE (물량흐름)'!$C$13:$C$502,'Overhead exp(제조경비)'!C336,'JUNE (물량흐름)'!$N$13:$N$502),0)</f>
        <v>0</v>
      </c>
      <c r="W336" s="484">
        <f>ROUND(SUMIF('JUNE (물량흐름)'!$C$13:$C$502,'Overhead exp(제조경비)'!C336,'JUNE (물량흐름)'!$O$13:$O$502),0)</f>
        <v>600</v>
      </c>
      <c r="X336" s="484">
        <f>ROUND(SUMIF('JUNE (물량흐름)'!$C$13:$C$502,'Overhead exp(제조경비)'!C336,'JUNE (물량흐름)'!$P$13:$P$502),0)</f>
        <v>322</v>
      </c>
      <c r="Y336" s="484">
        <f t="shared" si="93"/>
        <v>922</v>
      </c>
      <c r="Z336" s="484">
        <f t="shared" si="94"/>
        <v>558</v>
      </c>
      <c r="AA336" s="6">
        <f t="shared" si="100"/>
        <v>20620419</v>
      </c>
      <c r="AB336" s="489">
        <f t="shared" si="95"/>
        <v>-1</v>
      </c>
      <c r="AC336" s="489">
        <f t="shared" si="96"/>
        <v>0</v>
      </c>
    </row>
    <row r="337" spans="1:29" s="390" customFormat="1" ht="24" customHeight="1">
      <c r="A337" s="167">
        <v>332</v>
      </c>
      <c r="B337" s="20" t="str">
        <f>IFERROR(VLOOKUP(A337,'JUNE (물량흐름)'!$A$13:$C$502,2,0),0)</f>
        <v>ANN TAYLOR</v>
      </c>
      <c r="C337" s="272">
        <f>VLOOKUP(A337,'JUNE (물량흐름)'!$A$13:$C$502,3,0)</f>
        <v>465318</v>
      </c>
      <c r="D337" s="6">
        <f>VLOOKUP(C337,'WIP(재공품)'!$B$12:$E$493,4,0)</f>
        <v>8163</v>
      </c>
      <c r="E337" s="6">
        <f>IFERROR(VLOOKUP(C337,O.B.JUNE!$AI$7:$AJ$448,2,0),0)</f>
        <v>0</v>
      </c>
      <c r="F337" s="6">
        <f>IFERROR(VLOOKUP(C337,O.B.JUNE!$AI$7:$AK$448,3,0),0)</f>
        <v>334</v>
      </c>
      <c r="G337" s="6">
        <f>IFERROR(VLOOKUP(C337,O.B.JUNE!$AI$7:$AL$448,4,0),0)</f>
        <v>63</v>
      </c>
      <c r="H337" s="6">
        <f t="shared" si="89"/>
        <v>397</v>
      </c>
      <c r="I337" s="6">
        <f>IFERROR(VLOOKUP(C337,O.B.JUNE!$AI$7:$AN$448,6,0),0)</f>
        <v>217</v>
      </c>
      <c r="J337" s="6"/>
      <c r="K337" s="6">
        <f>IFERROR(VLOOKUP(C337,O.B.JUNE!$AI$7:$AO$448,7,0),0)</f>
        <v>5650186</v>
      </c>
      <c r="L337" s="6">
        <f>SUMIF('JUNE (물량흐름)'!$C$13:$C$488,'Overhead exp(제조경비)'!C337,'JUNE (물량흐름)'!$H$13:$H$493)+SUMIF('JUNE (물량흐름)'!$C$13:$C$493,'Overhead exp(제조경비)'!C337,'JUNE (물량흐름)'!$V$13:$V$493)</f>
        <v>0</v>
      </c>
      <c r="M337" s="6">
        <f t="shared" si="90"/>
        <v>0</v>
      </c>
      <c r="N337" s="6">
        <f t="shared" si="91"/>
        <v>0</v>
      </c>
      <c r="O337" s="6">
        <f t="shared" si="101"/>
        <v>0</v>
      </c>
      <c r="P337" s="6">
        <f>SUMIF('JUNE (물량흐름)'!$C$13:$C$502,C337,'JUNE (물량흐름)'!$T$13:$T$502)+SUMIF('JUNE (물량흐름)'!$C$13:$C$502,C337,'JUNE (물량흐름)'!$V$13:$V$502)+SUMIF('JUNE (물량흐름)'!$C$13:$C$502,C337,'JUNE (물량흐름)'!$U$13:$U$502)-SUMIF('JUNE (물량흐름)'!$C$13:$C$502,C337,'JUNE (물량흐름)'!$Y$13:$Y$502)</f>
        <v>0</v>
      </c>
      <c r="Q337" s="6">
        <f t="shared" si="99"/>
        <v>0</v>
      </c>
      <c r="R337" s="6">
        <f>IF(ISERROR(VLOOKUP(#REF!,'WIP(재공품)'!$B$12:$AB$38,13,0)),0,VLOOKUP(#REF!,'WIP(재공품)'!$B$12:$AB$38,13,0))</f>
        <v>0</v>
      </c>
      <c r="S337" s="6">
        <f>IF(ISERROR(VLOOKUP(#REF!,'WIP(재공품)'!$B$12:$AB$38,10,0)),0,VLOOKUP(#REF!,'WIP(재공품)'!$B$12:$AB$38,10,0))</f>
        <v>0</v>
      </c>
      <c r="T337" s="6">
        <f>SUMIF('JUNE (물량흐름)'!$C$13:$C$502,'Overhead exp(제조경비)'!C337,'JUNE (물량흐름)'!$Y$13:$Y$502)</f>
        <v>8</v>
      </c>
      <c r="U337" s="6">
        <f t="shared" si="92"/>
        <v>113858</v>
      </c>
      <c r="V337" s="6">
        <f>ROUND(SUMIF('JUNE (물량흐름)'!$C$13:$C$502,'Overhead exp(제조경비)'!C337,'JUNE (물량흐름)'!$N$13:$N$502),0)</f>
        <v>0</v>
      </c>
      <c r="W337" s="6">
        <f>ROUND(SUMIF('JUNE (물량흐름)'!$C$13:$C$502,'Overhead exp(제조경비)'!C337,'JUNE (물량흐름)'!$O$13:$O$502),0)</f>
        <v>334</v>
      </c>
      <c r="X337" s="6">
        <f>ROUND(SUMIF('JUNE (물량흐름)'!$C$13:$C$502,'Overhead exp(제조경비)'!C337,'JUNE (물량흐름)'!$P$13:$P$502),0)</f>
        <v>55</v>
      </c>
      <c r="Y337" s="6">
        <f t="shared" si="93"/>
        <v>389</v>
      </c>
      <c r="Z337" s="6">
        <f t="shared" si="94"/>
        <v>211</v>
      </c>
      <c r="AA337" s="6">
        <f t="shared" si="100"/>
        <v>5536328</v>
      </c>
      <c r="AB337" s="391">
        <f t="shared" si="95"/>
        <v>0</v>
      </c>
      <c r="AC337" s="391">
        <f t="shared" si="96"/>
        <v>0</v>
      </c>
    </row>
    <row r="338" spans="1:29" s="390" customFormat="1" ht="24" customHeight="1">
      <c r="A338" s="167">
        <v>333</v>
      </c>
      <c r="B338" s="20" t="str">
        <f>IFERROR(VLOOKUP(A338,'JUNE (물량흐름)'!$A$13:$C$502,2,0),0)</f>
        <v>ANN TAYLOR</v>
      </c>
      <c r="C338" s="272">
        <f>VLOOKUP(A338,'JUNE (물량흐름)'!$A$13:$C$502,3,0)</f>
        <v>465985</v>
      </c>
      <c r="D338" s="6">
        <f>VLOOKUP(C338,'WIP(재공품)'!$B$12:$E$493,4,0)</f>
        <v>7936.2499999999991</v>
      </c>
      <c r="E338" s="6">
        <f>IFERROR(VLOOKUP(C338,O.B.JUNE!$AI$7:$AJ$448,2,0),0)</f>
        <v>68</v>
      </c>
      <c r="F338" s="6">
        <f>IFERROR(VLOOKUP(C338,O.B.JUNE!$AI$7:$AK$448,3,0),0)</f>
        <v>651</v>
      </c>
      <c r="G338" s="6">
        <f>IFERROR(VLOOKUP(C338,O.B.JUNE!$AI$7:$AL$448,4,0),0)</f>
        <v>74</v>
      </c>
      <c r="H338" s="6">
        <f t="shared" si="89"/>
        <v>793</v>
      </c>
      <c r="I338" s="6">
        <f>IFERROR(VLOOKUP(C338,O.B.JUNE!$AI$7:$AN$448,6,0),0)</f>
        <v>398</v>
      </c>
      <c r="J338" s="6"/>
      <c r="K338" s="6">
        <f>IFERROR(VLOOKUP(C338,O.B.JUNE!$AI$7:$AO$448,7,0),0)</f>
        <v>31814761</v>
      </c>
      <c r="L338" s="6">
        <f>SUMIF('JUNE (물량흐름)'!$C$13:$C$488,'Overhead exp(제조경비)'!C338,'JUNE (물량흐름)'!$H$13:$H$493)+SUMIF('JUNE (물량흐름)'!$C$13:$C$493,'Overhead exp(제조경비)'!C338,'JUNE (물량흐름)'!$V$13:$V$493)</f>
        <v>0</v>
      </c>
      <c r="M338" s="6">
        <f t="shared" si="90"/>
        <v>0</v>
      </c>
      <c r="N338" s="6">
        <f t="shared" si="91"/>
        <v>0</v>
      </c>
      <c r="O338" s="6">
        <f t="shared" si="101"/>
        <v>0</v>
      </c>
      <c r="P338" s="6">
        <f>SUMIF('JUNE (물량흐름)'!$C$13:$C$502,C338,'JUNE (물량흐름)'!$T$13:$T$502)+SUMIF('JUNE (물량흐름)'!$C$13:$C$502,C338,'JUNE (물량흐름)'!$V$13:$V$502)+SUMIF('JUNE (물량흐름)'!$C$13:$C$502,C338,'JUNE (물량흐름)'!$U$13:$U$502)-SUMIF('JUNE (물량흐름)'!$C$13:$C$502,C338,'JUNE (물량흐름)'!$Y$13:$Y$502)</f>
        <v>0</v>
      </c>
      <c r="Q338" s="6">
        <f t="shared" si="99"/>
        <v>0</v>
      </c>
      <c r="R338" s="6">
        <f>IF(ISERROR(VLOOKUP(#REF!,'WIP(재공품)'!$B$12:$AB$38,13,0)),0,VLOOKUP(#REF!,'WIP(재공품)'!$B$12:$AB$38,13,0))</f>
        <v>0</v>
      </c>
      <c r="S338" s="6">
        <f>IF(ISERROR(VLOOKUP(#REF!,'WIP(재공품)'!$B$12:$AB$38,10,0)),0,VLOOKUP(#REF!,'WIP(재공품)'!$B$12:$AB$38,10,0))</f>
        <v>0</v>
      </c>
      <c r="T338" s="6">
        <f>SUMIF('JUNE (물량흐름)'!$C$13:$C$502,'Overhead exp(제조경비)'!C338,'JUNE (물량흐름)'!$Y$13:$Y$502)</f>
        <v>8</v>
      </c>
      <c r="U338" s="6">
        <f t="shared" si="92"/>
        <v>320956</v>
      </c>
      <c r="V338" s="6">
        <f>ROUND(SUMIF('JUNE (물량흐름)'!$C$13:$C$502,'Overhead exp(제조경비)'!C338,'JUNE (물량흐름)'!$N$13:$N$502),0)</f>
        <v>68</v>
      </c>
      <c r="W338" s="6">
        <f>ROUND(SUMIF('JUNE (물량흐름)'!$C$13:$C$502,'Overhead exp(제조경비)'!C338,'JUNE (물량흐름)'!$O$13:$O$502),0)</f>
        <v>651</v>
      </c>
      <c r="X338" s="6">
        <f>ROUND(SUMIF('JUNE (물량흐름)'!$C$13:$C$502,'Overhead exp(제조경비)'!C338,'JUNE (물량흐름)'!$P$13:$P$502),0)</f>
        <v>66</v>
      </c>
      <c r="Y338" s="6">
        <f t="shared" si="93"/>
        <v>785</v>
      </c>
      <c r="Z338" s="6">
        <f t="shared" si="94"/>
        <v>392</v>
      </c>
      <c r="AA338" s="6">
        <f t="shared" si="100"/>
        <v>31493805</v>
      </c>
      <c r="AB338" s="391">
        <f t="shared" si="95"/>
        <v>0</v>
      </c>
      <c r="AC338" s="391">
        <f t="shared" si="96"/>
        <v>0</v>
      </c>
    </row>
    <row r="339" spans="1:29" s="390" customFormat="1" ht="24" customHeight="1">
      <c r="A339" s="167">
        <v>334</v>
      </c>
      <c r="B339" s="20" t="str">
        <f>IFERROR(VLOOKUP(A339,'JUNE (물량흐름)'!$A$13:$C$502,2,0),0)</f>
        <v>ANN TAYLOR</v>
      </c>
      <c r="C339" s="272">
        <f>VLOOKUP(A339,'JUNE (물량흐름)'!$A$13:$C$502,3,0)</f>
        <v>466092</v>
      </c>
      <c r="D339" s="6">
        <f>VLOOKUP(C339,'WIP(재공품)'!$B$12:$E$493,4,0)</f>
        <v>41948.75</v>
      </c>
      <c r="E339" s="6">
        <f>IFERROR(VLOOKUP(C339,O.B.JUNE!$AI$7:$AJ$448,2,0),0)</f>
        <v>0</v>
      </c>
      <c r="F339" s="6">
        <f>IFERROR(VLOOKUP(C339,O.B.JUNE!$AI$7:$AK$448,3,0),0)</f>
        <v>21</v>
      </c>
      <c r="G339" s="6">
        <f>IFERROR(VLOOKUP(C339,O.B.JUNE!$AI$7:$AL$448,4,0),0)</f>
        <v>182</v>
      </c>
      <c r="H339" s="6">
        <f t="shared" si="89"/>
        <v>203</v>
      </c>
      <c r="I339" s="6">
        <f>IFERROR(VLOOKUP(C339,O.B.JUNE!$AI$7:$AN$448,6,0),0)</f>
        <v>156</v>
      </c>
      <c r="J339" s="6"/>
      <c r="K339" s="6">
        <f>IFERROR(VLOOKUP(C339,O.B.JUNE!$AI$7:$AO$448,7,0),0)</f>
        <v>8248760</v>
      </c>
      <c r="L339" s="6">
        <f>SUMIF('JUNE (물량흐름)'!$C$13:$C$488,'Overhead exp(제조경비)'!C339,'JUNE (물량흐름)'!$H$13:$H$493)+SUMIF('JUNE (물량흐름)'!$C$13:$C$493,'Overhead exp(제조경비)'!C339,'JUNE (물량흐름)'!$V$13:$V$493)</f>
        <v>0</v>
      </c>
      <c r="M339" s="6">
        <f t="shared" si="90"/>
        <v>0</v>
      </c>
      <c r="N339" s="6">
        <f t="shared" si="91"/>
        <v>0</v>
      </c>
      <c r="O339" s="6">
        <f t="shared" si="101"/>
        <v>0</v>
      </c>
      <c r="P339" s="6">
        <f>SUMIF('JUNE (물량흐름)'!$C$13:$C$502,C339,'JUNE (물량흐름)'!$T$13:$T$502)+SUMIF('JUNE (물량흐름)'!$C$13:$C$502,C339,'JUNE (물량흐름)'!$V$13:$V$502)+SUMIF('JUNE (물량흐름)'!$C$13:$C$502,C339,'JUNE (물량흐름)'!$U$13:$U$502)-SUMIF('JUNE (물량흐름)'!$C$13:$C$502,C339,'JUNE (물량흐름)'!$Y$13:$Y$502)</f>
        <v>0</v>
      </c>
      <c r="Q339" s="6">
        <f t="shared" si="99"/>
        <v>0</v>
      </c>
      <c r="R339" s="6">
        <f>IF(ISERROR(VLOOKUP(#REF!,'WIP(재공품)'!$B$12:$AB$38,13,0)),0,VLOOKUP(#REF!,'WIP(재공품)'!$B$12:$AB$38,13,0))</f>
        <v>0</v>
      </c>
      <c r="S339" s="6">
        <f>IF(ISERROR(VLOOKUP(#REF!,'WIP(재공품)'!$B$12:$AB$38,10,0)),0,VLOOKUP(#REF!,'WIP(재공품)'!$B$12:$AB$38,10,0))</f>
        <v>0</v>
      </c>
      <c r="T339" s="6">
        <f>SUMIF('JUNE (물량흐름)'!$C$13:$C$502,'Overhead exp(제조경비)'!C339,'JUNE (물량흐름)'!$Y$13:$Y$502)</f>
        <v>0</v>
      </c>
      <c r="U339" s="6">
        <f t="shared" si="92"/>
        <v>0</v>
      </c>
      <c r="V339" s="6">
        <f>ROUND(SUMIF('JUNE (물량흐름)'!$C$13:$C$502,'Overhead exp(제조경비)'!C339,'JUNE (물량흐름)'!$N$13:$N$502),0)</f>
        <v>0</v>
      </c>
      <c r="W339" s="6">
        <f>ROUND(SUMIF('JUNE (물량흐름)'!$C$13:$C$502,'Overhead exp(제조경비)'!C339,'JUNE (물량흐름)'!$O$13:$O$502),0)</f>
        <v>21</v>
      </c>
      <c r="X339" s="6">
        <f>ROUND(SUMIF('JUNE (물량흐름)'!$C$13:$C$502,'Overhead exp(제조경비)'!C339,'JUNE (물량흐름)'!$P$13:$P$502),0)</f>
        <v>182</v>
      </c>
      <c r="Y339" s="6">
        <f t="shared" si="93"/>
        <v>203</v>
      </c>
      <c r="Z339" s="6">
        <f t="shared" si="94"/>
        <v>156</v>
      </c>
      <c r="AA339" s="6">
        <f t="shared" si="100"/>
        <v>8248760</v>
      </c>
      <c r="AB339" s="391">
        <f t="shared" si="95"/>
        <v>0</v>
      </c>
      <c r="AC339" s="391">
        <f t="shared" si="96"/>
        <v>0</v>
      </c>
    </row>
    <row r="340" spans="1:29" s="390" customFormat="1" ht="24" customHeight="1">
      <c r="A340" s="167">
        <v>335</v>
      </c>
      <c r="B340" s="20" t="str">
        <f>IFERROR(VLOOKUP(A340,'JUNE (물량흐름)'!$A$13:$C$502,2,0),0)</f>
        <v>ANN TAYLOR</v>
      </c>
      <c r="C340" s="272">
        <f>VLOOKUP(A340,'JUNE (물량흐름)'!$A$13:$C$502,3,0)</f>
        <v>470322</v>
      </c>
      <c r="D340" s="6">
        <f>VLOOKUP(C340,'WIP(재공품)'!$B$12:$E$493,4,0)</f>
        <v>41948.75</v>
      </c>
      <c r="E340" s="6">
        <f>IFERROR(VLOOKUP(C340,O.B.JUNE!$AI$7:$AJ$448,2,0),0)</f>
        <v>0</v>
      </c>
      <c r="F340" s="6">
        <f>IFERROR(VLOOKUP(C340,O.B.JUNE!$AI$7:$AK$448,3,0),0)</f>
        <v>90</v>
      </c>
      <c r="G340" s="6">
        <f>IFERROR(VLOOKUP(C340,O.B.JUNE!$AI$7:$AL$448,4,0),0)</f>
        <v>221</v>
      </c>
      <c r="H340" s="6">
        <f t="shared" si="89"/>
        <v>311</v>
      </c>
      <c r="I340" s="6">
        <f>IFERROR(VLOOKUP(C340,O.B.JUNE!$AI$7:$AN$448,6,0),0)</f>
        <v>222</v>
      </c>
      <c r="J340" s="6"/>
      <c r="K340" s="6">
        <f>IFERROR(VLOOKUP(C340,O.B.JUNE!$AI$7:$AO$448,7,0),0)</f>
        <v>5232879</v>
      </c>
      <c r="L340" s="6">
        <f>SUMIF('JUNE (물량흐름)'!$C$13:$C$488,'Overhead exp(제조경비)'!C340,'JUNE (물량흐름)'!$H$13:$H$493)+SUMIF('JUNE (물량흐름)'!$C$13:$C$493,'Overhead exp(제조경비)'!C340,'JUNE (물량흐름)'!$V$13:$V$493)</f>
        <v>0</v>
      </c>
      <c r="M340" s="6">
        <f t="shared" si="90"/>
        <v>0</v>
      </c>
      <c r="N340" s="6">
        <f t="shared" si="91"/>
        <v>0</v>
      </c>
      <c r="O340" s="6">
        <f t="shared" si="101"/>
        <v>0</v>
      </c>
      <c r="P340" s="6">
        <f>SUMIF('JUNE (물량흐름)'!$C$13:$C$502,C340,'JUNE (물량흐름)'!$T$13:$T$502)+SUMIF('JUNE (물량흐름)'!$C$13:$C$502,C340,'JUNE (물량흐름)'!$V$13:$V$502)+SUMIF('JUNE (물량흐름)'!$C$13:$C$502,C340,'JUNE (물량흐름)'!$U$13:$U$502)-SUMIF('JUNE (물량흐름)'!$C$13:$C$502,C340,'JUNE (물량흐름)'!$Y$13:$Y$502)</f>
        <v>0</v>
      </c>
      <c r="Q340" s="6">
        <f t="shared" si="99"/>
        <v>0</v>
      </c>
      <c r="R340" s="6">
        <f>IF(ISERROR(VLOOKUP(#REF!,'WIP(재공품)'!$B$12:$AB$38,13,0)),0,VLOOKUP(#REF!,'WIP(재공품)'!$B$12:$AB$38,13,0))</f>
        <v>0</v>
      </c>
      <c r="S340" s="6">
        <f>IF(ISERROR(VLOOKUP(#REF!,'WIP(재공품)'!$B$12:$AB$38,10,0)),0,VLOOKUP(#REF!,'WIP(재공품)'!$B$12:$AB$38,10,0))</f>
        <v>0</v>
      </c>
      <c r="T340" s="6">
        <f>SUMIF('JUNE (물량흐름)'!$C$13:$C$502,'Overhead exp(제조경비)'!C340,'JUNE (물량흐름)'!$Y$13:$Y$502)</f>
        <v>1</v>
      </c>
      <c r="U340" s="6">
        <f t="shared" si="92"/>
        <v>16826</v>
      </c>
      <c r="V340" s="6">
        <f>ROUND(SUMIF('JUNE (물량흐름)'!$C$13:$C$502,'Overhead exp(제조경비)'!C340,'JUNE (물량흐름)'!$N$13:$N$502),0)</f>
        <v>0</v>
      </c>
      <c r="W340" s="6">
        <f>ROUND(SUMIF('JUNE (물량흐름)'!$C$13:$C$502,'Overhead exp(제조경비)'!C340,'JUNE (물량흐름)'!$O$13:$O$502),0)</f>
        <v>90</v>
      </c>
      <c r="X340" s="6">
        <f>ROUND(SUMIF('JUNE (물량흐름)'!$C$13:$C$502,'Overhead exp(제조경비)'!C340,'JUNE (물량흐름)'!$P$13:$P$502),0)</f>
        <v>220</v>
      </c>
      <c r="Y340" s="6">
        <f t="shared" si="93"/>
        <v>310</v>
      </c>
      <c r="Z340" s="6">
        <f t="shared" si="94"/>
        <v>221</v>
      </c>
      <c r="AA340" s="6">
        <f t="shared" si="100"/>
        <v>5216053</v>
      </c>
      <c r="AB340" s="391">
        <f t="shared" si="95"/>
        <v>0</v>
      </c>
      <c r="AC340" s="391">
        <f t="shared" si="96"/>
        <v>0</v>
      </c>
    </row>
    <row r="341" spans="1:29" s="390" customFormat="1" ht="24" customHeight="1">
      <c r="A341" s="167">
        <v>336</v>
      </c>
      <c r="B341" s="20" t="str">
        <f>IFERROR(VLOOKUP(A341,'JUNE (물량흐름)'!$A$13:$C$502,2,0),0)</f>
        <v>ANN TAYLOR</v>
      </c>
      <c r="C341" s="272">
        <f>VLOOKUP(A341,'JUNE (물량흐름)'!$A$13:$C$502,3,0)</f>
        <v>471823</v>
      </c>
      <c r="D341" s="6">
        <f>VLOOKUP(C341,'WIP(재공품)'!$B$12:$E$493,4,0)</f>
        <v>7936.2499999999991</v>
      </c>
      <c r="E341" s="6">
        <f>IFERROR(VLOOKUP(C341,O.B.JUNE!$AI$7:$AJ$448,2,0),0)</f>
        <v>0</v>
      </c>
      <c r="F341" s="6">
        <f>IFERROR(VLOOKUP(C341,O.B.JUNE!$AI$7:$AK$448,3,0),0)</f>
        <v>125</v>
      </c>
      <c r="G341" s="6">
        <f>IFERROR(VLOOKUP(C341,O.B.JUNE!$AI$7:$AL$448,4,0),0)</f>
        <v>888</v>
      </c>
      <c r="H341" s="6">
        <f t="shared" si="89"/>
        <v>1013</v>
      </c>
      <c r="I341" s="6">
        <f>IFERROR(VLOOKUP(C341,O.B.JUNE!$AI$7:$AN$448,6,0),0)</f>
        <v>773</v>
      </c>
      <c r="J341" s="6"/>
      <c r="K341" s="6">
        <f>IFERROR(VLOOKUP(C341,O.B.JUNE!$AI$7:$AO$448,7,0),0)</f>
        <v>26757148</v>
      </c>
      <c r="L341" s="6">
        <f>SUMIF('JUNE (물량흐름)'!$C$13:$C$488,'Overhead exp(제조경비)'!C341,'JUNE (물량흐름)'!$H$13:$H$493)+SUMIF('JUNE (물량흐름)'!$C$13:$C$493,'Overhead exp(제조경비)'!C341,'JUNE (물량흐름)'!$V$13:$V$493)</f>
        <v>0</v>
      </c>
      <c r="M341" s="6">
        <f t="shared" si="90"/>
        <v>0</v>
      </c>
      <c r="N341" s="6">
        <f t="shared" si="91"/>
        <v>0</v>
      </c>
      <c r="O341" s="6">
        <f t="shared" si="101"/>
        <v>0</v>
      </c>
      <c r="P341" s="6">
        <f>SUMIF('JUNE (물량흐름)'!$C$13:$C$502,C341,'JUNE (물량흐름)'!$T$13:$T$502)+SUMIF('JUNE (물량흐름)'!$C$13:$C$502,C341,'JUNE (물량흐름)'!$V$13:$V$502)+SUMIF('JUNE (물량흐름)'!$C$13:$C$502,C341,'JUNE (물량흐름)'!$U$13:$U$502)-SUMIF('JUNE (물량흐름)'!$C$13:$C$502,C341,'JUNE (물량흐름)'!$Y$13:$Y$502)</f>
        <v>0</v>
      </c>
      <c r="Q341" s="6">
        <f t="shared" si="99"/>
        <v>0</v>
      </c>
      <c r="R341" s="6">
        <f>IF(ISERROR(VLOOKUP(#REF!,'WIP(재공품)'!$B$12:$AB$38,13,0)),0,VLOOKUP(#REF!,'WIP(재공품)'!$B$12:$AB$38,13,0))</f>
        <v>0</v>
      </c>
      <c r="S341" s="6">
        <f>IF(ISERROR(VLOOKUP(#REF!,'WIP(재공품)'!$B$12:$AB$38,10,0)),0,VLOOKUP(#REF!,'WIP(재공품)'!$B$12:$AB$38,10,0))</f>
        <v>0</v>
      </c>
      <c r="T341" s="6">
        <f>SUMIF('JUNE (물량흐름)'!$C$13:$C$502,'Overhead exp(제조경비)'!C341,'JUNE (물량흐름)'!$Y$13:$Y$502)</f>
        <v>0</v>
      </c>
      <c r="U341" s="6">
        <f t="shared" si="92"/>
        <v>0</v>
      </c>
      <c r="V341" s="6">
        <f>ROUND(SUMIF('JUNE (물량흐름)'!$C$13:$C$502,'Overhead exp(제조경비)'!C341,'JUNE (물량흐름)'!$N$13:$N$502),0)</f>
        <v>0</v>
      </c>
      <c r="W341" s="6">
        <f>ROUND(SUMIF('JUNE (물량흐름)'!$C$13:$C$502,'Overhead exp(제조경비)'!C341,'JUNE (물량흐름)'!$O$13:$O$502),0)</f>
        <v>125</v>
      </c>
      <c r="X341" s="6">
        <f>ROUND(SUMIF('JUNE (물량흐름)'!$C$13:$C$502,'Overhead exp(제조경비)'!C341,'JUNE (물량흐름)'!$P$13:$P$502),0)</f>
        <v>888</v>
      </c>
      <c r="Y341" s="6">
        <f t="shared" si="93"/>
        <v>1013</v>
      </c>
      <c r="Z341" s="6">
        <f t="shared" si="94"/>
        <v>773</v>
      </c>
      <c r="AA341" s="6">
        <f t="shared" si="100"/>
        <v>26757148</v>
      </c>
      <c r="AB341" s="391">
        <f t="shared" si="95"/>
        <v>0</v>
      </c>
      <c r="AC341" s="391">
        <f t="shared" si="96"/>
        <v>0</v>
      </c>
    </row>
    <row r="342" spans="1:29" s="390" customFormat="1" ht="24" customHeight="1">
      <c r="A342" s="167">
        <v>337</v>
      </c>
      <c r="B342" s="20" t="str">
        <f>IFERROR(VLOOKUP(A342,'JUNE (물량흐름)'!$A$13:$C$502,2,0),0)</f>
        <v>ANN TAYLOR</v>
      </c>
      <c r="C342" s="272">
        <f>VLOOKUP(A342,'JUNE (물량흐름)'!$A$13:$C$502,3,0)</f>
        <v>471825</v>
      </c>
      <c r="D342" s="6">
        <f>VLOOKUP(C342,'WIP(재공품)'!$B$12:$E$493,4,0)</f>
        <v>7936.2499999999991</v>
      </c>
      <c r="E342" s="6">
        <f>IFERROR(VLOOKUP(C342,O.B.JUNE!$AI$7:$AJ$448,2,0),0)</f>
        <v>0</v>
      </c>
      <c r="F342" s="6">
        <f>IFERROR(VLOOKUP(C342,O.B.JUNE!$AI$7:$AK$448,3,0),0)</f>
        <v>50</v>
      </c>
      <c r="G342" s="6">
        <f>IFERROR(VLOOKUP(C342,O.B.JUNE!$AI$7:$AL$448,4,0),0)</f>
        <v>0</v>
      </c>
      <c r="H342" s="6">
        <f t="shared" si="89"/>
        <v>50</v>
      </c>
      <c r="I342" s="6">
        <f>IFERROR(VLOOKUP(C342,O.B.JUNE!$AI$7:$AN$448,6,0),0)</f>
        <v>25</v>
      </c>
      <c r="J342" s="6"/>
      <c r="K342" s="6">
        <f>IFERROR(VLOOKUP(C342,O.B.JUNE!$AI$7:$AO$448,7,0),0)</f>
        <v>1172439</v>
      </c>
      <c r="L342" s="6">
        <f>SUMIF('JUNE (물량흐름)'!$C$13:$C$488,'Overhead exp(제조경비)'!C342,'JUNE (물량흐름)'!$H$13:$H$493)+SUMIF('JUNE (물량흐름)'!$C$13:$C$493,'Overhead exp(제조경비)'!C342,'JUNE (물량흐름)'!$V$13:$V$493)</f>
        <v>0</v>
      </c>
      <c r="M342" s="6">
        <f t="shared" si="90"/>
        <v>0</v>
      </c>
      <c r="N342" s="6">
        <f t="shared" si="91"/>
        <v>0</v>
      </c>
      <c r="O342" s="6">
        <f t="shared" si="101"/>
        <v>0</v>
      </c>
      <c r="P342" s="6">
        <f>SUMIF('JUNE (물량흐름)'!$C$13:$C$502,C342,'JUNE (물량흐름)'!$T$13:$T$502)+SUMIF('JUNE (물량흐름)'!$C$13:$C$502,C342,'JUNE (물량흐름)'!$V$13:$V$502)+SUMIF('JUNE (물량흐름)'!$C$13:$C$502,C342,'JUNE (물량흐름)'!$U$13:$U$502)-SUMIF('JUNE (물량흐름)'!$C$13:$C$502,C342,'JUNE (물량흐름)'!$Y$13:$Y$502)</f>
        <v>0</v>
      </c>
      <c r="Q342" s="6">
        <f t="shared" si="99"/>
        <v>0</v>
      </c>
      <c r="R342" s="6">
        <f>IF(ISERROR(VLOOKUP(#REF!,'WIP(재공품)'!$B$12:$AB$38,13,0)),0,VLOOKUP(#REF!,'WIP(재공품)'!$B$12:$AB$38,13,0))</f>
        <v>0</v>
      </c>
      <c r="S342" s="6">
        <f>IF(ISERROR(VLOOKUP(#REF!,'WIP(재공품)'!$B$12:$AB$38,10,0)),0,VLOOKUP(#REF!,'WIP(재공품)'!$B$12:$AB$38,10,0))</f>
        <v>0</v>
      </c>
      <c r="T342" s="6">
        <f>SUMIF('JUNE (물량흐름)'!$C$13:$C$502,'Overhead exp(제조경비)'!C342,'JUNE (물량흐름)'!$Y$13:$Y$502)</f>
        <v>11</v>
      </c>
      <c r="U342" s="6">
        <f t="shared" si="92"/>
        <v>257937</v>
      </c>
      <c r="V342" s="6">
        <f>ROUND(SUMIF('JUNE (물량흐름)'!$C$13:$C$502,'Overhead exp(제조경비)'!C342,'JUNE (물량흐름)'!$N$13:$N$502),0)</f>
        <v>0</v>
      </c>
      <c r="W342" s="6">
        <f>ROUND(SUMIF('JUNE (물량흐름)'!$C$13:$C$502,'Overhead exp(제조경비)'!C342,'JUNE (물량흐름)'!$O$13:$O$502),0)</f>
        <v>39</v>
      </c>
      <c r="X342" s="6">
        <f>ROUND(SUMIF('JUNE (물량흐름)'!$C$13:$C$502,'Overhead exp(제조경비)'!C342,'JUNE (물량흐름)'!$P$13:$P$502),0)</f>
        <v>0</v>
      </c>
      <c r="Y342" s="6">
        <f t="shared" si="93"/>
        <v>39</v>
      </c>
      <c r="Z342" s="6">
        <f t="shared" si="94"/>
        <v>20</v>
      </c>
      <c r="AA342" s="6">
        <f t="shared" si="100"/>
        <v>914502</v>
      </c>
      <c r="AB342" s="391">
        <f t="shared" si="95"/>
        <v>0</v>
      </c>
      <c r="AC342" s="391">
        <f t="shared" si="96"/>
        <v>0</v>
      </c>
    </row>
    <row r="343" spans="1:29" s="390" customFormat="1" ht="24" customHeight="1">
      <c r="A343" s="167">
        <v>338</v>
      </c>
      <c r="B343" s="20" t="str">
        <f>IFERROR(VLOOKUP(A343,'JUNE (물량흐름)'!$A$13:$C$502,2,0),0)</f>
        <v>ANN TAYLOR</v>
      </c>
      <c r="C343" s="272">
        <f>VLOOKUP(A343,'JUNE (물량흐름)'!$A$13:$C$502,3,0)</f>
        <v>472140</v>
      </c>
      <c r="D343" s="6">
        <f>VLOOKUP(C343,'WIP(재공품)'!$B$12:$E$493,4,0)</f>
        <v>7936.2499999999991</v>
      </c>
      <c r="E343" s="6">
        <f>IFERROR(VLOOKUP(C343,O.B.JUNE!$AI$7:$AJ$448,2,0),0)</f>
        <v>0</v>
      </c>
      <c r="F343" s="6">
        <f>IFERROR(VLOOKUP(C343,O.B.JUNE!$AI$7:$AK$448,3,0),0)</f>
        <v>78</v>
      </c>
      <c r="G343" s="6">
        <f>IFERROR(VLOOKUP(C343,O.B.JUNE!$AI$7:$AL$448,4,0),0)</f>
        <v>79</v>
      </c>
      <c r="H343" s="6">
        <f t="shared" si="89"/>
        <v>157</v>
      </c>
      <c r="I343" s="6">
        <f>IFERROR(VLOOKUP(C343,O.B.JUNE!$AI$7:$AN$448,6,0),0)</f>
        <v>102</v>
      </c>
      <c r="J343" s="6"/>
      <c r="K343" s="6">
        <f>IFERROR(VLOOKUP(C343,O.B.JUNE!$AI$7:$AO$448,7,0),0)</f>
        <v>4168149</v>
      </c>
      <c r="L343" s="6">
        <f>SUMIF('JUNE (물량흐름)'!$C$13:$C$488,'Overhead exp(제조경비)'!C343,'JUNE (물량흐름)'!$H$13:$H$493)+SUMIF('JUNE (물량흐름)'!$C$13:$C$493,'Overhead exp(제조경비)'!C343,'JUNE (물량흐름)'!$V$13:$V$493)</f>
        <v>0</v>
      </c>
      <c r="M343" s="6">
        <f t="shared" si="90"/>
        <v>0</v>
      </c>
      <c r="N343" s="6">
        <f t="shared" si="91"/>
        <v>0</v>
      </c>
      <c r="O343" s="6">
        <f t="shared" si="101"/>
        <v>0</v>
      </c>
      <c r="P343" s="6">
        <f>SUMIF('JUNE (물량흐름)'!$C$13:$C$502,C343,'JUNE (물량흐름)'!$T$13:$T$502)+SUMIF('JUNE (물량흐름)'!$C$13:$C$502,C343,'JUNE (물량흐름)'!$V$13:$V$502)+SUMIF('JUNE (물량흐름)'!$C$13:$C$502,C343,'JUNE (물량흐름)'!$U$13:$U$502)-SUMIF('JUNE (물량흐름)'!$C$13:$C$502,C343,'JUNE (물량흐름)'!$Y$13:$Y$502)</f>
        <v>0</v>
      </c>
      <c r="Q343" s="6">
        <f t="shared" si="99"/>
        <v>0</v>
      </c>
      <c r="R343" s="6">
        <f>IF(ISERROR(VLOOKUP(#REF!,'WIP(재공품)'!$B$12:$AB$38,13,0)),0,VLOOKUP(#REF!,'WIP(재공품)'!$B$12:$AB$38,13,0))</f>
        <v>0</v>
      </c>
      <c r="S343" s="6">
        <f>IF(ISERROR(VLOOKUP(#REF!,'WIP(재공품)'!$B$12:$AB$38,10,0)),0,VLOOKUP(#REF!,'WIP(재공품)'!$B$12:$AB$38,10,0))</f>
        <v>0</v>
      </c>
      <c r="T343" s="6">
        <f>SUMIF('JUNE (물량흐름)'!$C$13:$C$502,'Overhead exp(제조경비)'!C343,'JUNE (물량흐름)'!$Y$13:$Y$502)</f>
        <v>0</v>
      </c>
      <c r="U343" s="6">
        <f t="shared" si="92"/>
        <v>0</v>
      </c>
      <c r="V343" s="6">
        <f>ROUND(SUMIF('JUNE (물량흐름)'!$C$13:$C$502,'Overhead exp(제조경비)'!C343,'JUNE (물량흐름)'!$N$13:$N$502),0)</f>
        <v>0</v>
      </c>
      <c r="W343" s="6">
        <f>ROUND(SUMIF('JUNE (물량흐름)'!$C$13:$C$502,'Overhead exp(제조경비)'!C343,'JUNE (물량흐름)'!$O$13:$O$502),0)</f>
        <v>78</v>
      </c>
      <c r="X343" s="6">
        <f>ROUND(SUMIF('JUNE (물량흐름)'!$C$13:$C$502,'Overhead exp(제조경비)'!C343,'JUNE (물량흐름)'!$P$13:$P$502),0)</f>
        <v>79</v>
      </c>
      <c r="Y343" s="6">
        <f t="shared" si="93"/>
        <v>157</v>
      </c>
      <c r="Z343" s="6">
        <f t="shared" si="94"/>
        <v>102</v>
      </c>
      <c r="AA343" s="6">
        <f t="shared" si="100"/>
        <v>4168149</v>
      </c>
      <c r="AB343" s="391">
        <f t="shared" si="95"/>
        <v>0</v>
      </c>
      <c r="AC343" s="391">
        <f t="shared" si="96"/>
        <v>0</v>
      </c>
    </row>
    <row r="344" spans="1:29" s="390" customFormat="1" ht="24" customHeight="1">
      <c r="A344" s="167">
        <v>339</v>
      </c>
      <c r="B344" s="20" t="str">
        <f>IFERROR(VLOOKUP(A344,'JUNE (물량흐름)'!$A$13:$C$502,2,0),0)</f>
        <v>ANN TAYLOR</v>
      </c>
      <c r="C344" s="272">
        <f>VLOOKUP(A344,'JUNE (물량흐름)'!$A$13:$C$502,3,0)</f>
        <v>472629</v>
      </c>
      <c r="D344" s="6">
        <f>VLOOKUP(C344,'WIP(재공품)'!$B$12:$E$493,4,0)</f>
        <v>7936.2499999999991</v>
      </c>
      <c r="E344" s="6">
        <f>IFERROR(VLOOKUP(C344,O.B.JUNE!$AI$7:$AJ$448,2,0),0)</f>
        <v>0</v>
      </c>
      <c r="F344" s="6">
        <f>IFERROR(VLOOKUP(C344,O.B.JUNE!$AI$7:$AK$448,3,0),0)</f>
        <v>0</v>
      </c>
      <c r="G344" s="6">
        <f>IFERROR(VLOOKUP(C344,O.B.JUNE!$AI$7:$AL$448,4,0),0)</f>
        <v>476</v>
      </c>
      <c r="H344" s="6">
        <f t="shared" si="89"/>
        <v>476</v>
      </c>
      <c r="I344" s="6">
        <f>IFERROR(VLOOKUP(C344,O.B.JUNE!$AI$7:$AN$448,6,0),0)</f>
        <v>381</v>
      </c>
      <c r="J344" s="6"/>
      <c r="K344" s="6">
        <f>IFERROR(VLOOKUP(C344,O.B.JUNE!$AI$7:$AO$448,7,0),0)</f>
        <v>7698426</v>
      </c>
      <c r="L344" s="6">
        <f>SUMIF('JUNE (물량흐름)'!$C$13:$C$488,'Overhead exp(제조경비)'!C344,'JUNE (물량흐름)'!$H$13:$H$493)+SUMIF('JUNE (물량흐름)'!$C$13:$C$493,'Overhead exp(제조경비)'!C344,'JUNE (물량흐름)'!$V$13:$V$493)</f>
        <v>0</v>
      </c>
      <c r="M344" s="6">
        <f t="shared" si="90"/>
        <v>0</v>
      </c>
      <c r="N344" s="6">
        <f t="shared" si="91"/>
        <v>0</v>
      </c>
      <c r="O344" s="6">
        <f t="shared" si="101"/>
        <v>0</v>
      </c>
      <c r="P344" s="6">
        <f>SUMIF('JUNE (물량흐름)'!$C$13:$C$502,C344,'JUNE (물량흐름)'!$T$13:$T$502)+SUMIF('JUNE (물량흐름)'!$C$13:$C$502,C344,'JUNE (물량흐름)'!$V$13:$V$502)+SUMIF('JUNE (물량흐름)'!$C$13:$C$502,C344,'JUNE (물량흐름)'!$U$13:$U$502)-SUMIF('JUNE (물량흐름)'!$C$13:$C$502,C344,'JUNE (물량흐름)'!$Y$13:$Y$502)</f>
        <v>0</v>
      </c>
      <c r="Q344" s="6">
        <f t="shared" si="99"/>
        <v>0</v>
      </c>
      <c r="R344" s="6">
        <f>IF(ISERROR(VLOOKUP(#REF!,'WIP(재공품)'!$B$12:$AB$38,13,0)),0,VLOOKUP(#REF!,'WIP(재공품)'!$B$12:$AB$38,13,0))</f>
        <v>0</v>
      </c>
      <c r="S344" s="6">
        <f>IF(ISERROR(VLOOKUP(#REF!,'WIP(재공품)'!$B$12:$AB$38,10,0)),0,VLOOKUP(#REF!,'WIP(재공품)'!$B$12:$AB$38,10,0))</f>
        <v>0</v>
      </c>
      <c r="T344" s="6">
        <f>SUMIF('JUNE (물량흐름)'!$C$13:$C$502,'Overhead exp(제조경비)'!C344,'JUNE (물량흐름)'!$Y$13:$Y$502)</f>
        <v>0</v>
      </c>
      <c r="U344" s="6">
        <f t="shared" si="92"/>
        <v>0</v>
      </c>
      <c r="V344" s="6">
        <f>ROUND(SUMIF('JUNE (물량흐름)'!$C$13:$C$502,'Overhead exp(제조경비)'!C344,'JUNE (물량흐름)'!$N$13:$N$502),0)</f>
        <v>0</v>
      </c>
      <c r="W344" s="6">
        <f>ROUND(SUMIF('JUNE (물량흐름)'!$C$13:$C$502,'Overhead exp(제조경비)'!C344,'JUNE (물량흐름)'!$O$13:$O$502),0)</f>
        <v>0</v>
      </c>
      <c r="X344" s="6">
        <f>ROUND(SUMIF('JUNE (물량흐름)'!$C$13:$C$502,'Overhead exp(제조경비)'!C344,'JUNE (물량흐름)'!$P$13:$P$502),0)</f>
        <v>476</v>
      </c>
      <c r="Y344" s="6">
        <f t="shared" si="93"/>
        <v>476</v>
      </c>
      <c r="Z344" s="6">
        <f t="shared" si="94"/>
        <v>381</v>
      </c>
      <c r="AA344" s="6">
        <f t="shared" si="100"/>
        <v>7698426</v>
      </c>
      <c r="AB344" s="391">
        <f t="shared" si="95"/>
        <v>0</v>
      </c>
      <c r="AC344" s="391">
        <f t="shared" si="96"/>
        <v>0</v>
      </c>
    </row>
    <row r="345" spans="1:29" s="390" customFormat="1" ht="24" customHeight="1">
      <c r="A345" s="167">
        <v>340</v>
      </c>
      <c r="B345" s="20" t="str">
        <f>IFERROR(VLOOKUP(A345,'JUNE (물량흐름)'!$A$13:$C$502,2,0),0)</f>
        <v>ALFANI</v>
      </c>
      <c r="C345" s="272">
        <f>VLOOKUP(A345,'JUNE (물량흐름)'!$A$13:$C$502,3,0)</f>
        <v>100015200</v>
      </c>
      <c r="D345" s="6">
        <f>VLOOKUP(C345,'WIP(재공품)'!$B$12:$E$493,4,0)</f>
        <v>7936.2499999999991</v>
      </c>
      <c r="E345" s="6">
        <f>IFERROR(VLOOKUP(C345,O.B.JUNE!$AI$7:$AJ$448,2,0),0)</f>
        <v>0</v>
      </c>
      <c r="F345" s="6">
        <f>IFERROR(VLOOKUP(C345,O.B.JUNE!$AI$7:$AK$448,3,0),0)</f>
        <v>110</v>
      </c>
      <c r="G345" s="6">
        <f>IFERROR(VLOOKUP(C345,O.B.JUNE!$AI$7:$AL$448,4,0),0)</f>
        <v>139</v>
      </c>
      <c r="H345" s="6">
        <f t="shared" si="89"/>
        <v>249</v>
      </c>
      <c r="I345" s="6">
        <f>IFERROR(VLOOKUP(C345,O.B.JUNE!$AI$7:$AN$448,6,0),0)</f>
        <v>166</v>
      </c>
      <c r="J345" s="6"/>
      <c r="K345" s="6">
        <f>IFERROR(VLOOKUP(C345,O.B.JUNE!$AI$7:$AO$448,7,0),0)</f>
        <v>9358411</v>
      </c>
      <c r="L345" s="6">
        <f>SUMIF('JUNE (물량흐름)'!$C$13:$C$488,'Overhead exp(제조경비)'!C345,'JUNE (물량흐름)'!$H$13:$H$493)+SUMIF('JUNE (물량흐름)'!$C$13:$C$493,'Overhead exp(제조경비)'!C345,'JUNE (물량흐름)'!$V$13:$V$493)</f>
        <v>0</v>
      </c>
      <c r="M345" s="6">
        <f t="shared" si="90"/>
        <v>0</v>
      </c>
      <c r="N345" s="6">
        <f t="shared" si="91"/>
        <v>0</v>
      </c>
      <c r="O345" s="6">
        <f t="shared" si="101"/>
        <v>0</v>
      </c>
      <c r="P345" s="6">
        <f>SUMIF('JUNE (물량흐름)'!$C$13:$C$502,C345,'JUNE (물량흐름)'!$T$13:$T$502)+SUMIF('JUNE (물량흐름)'!$C$13:$C$502,C345,'JUNE (물량흐름)'!$V$13:$V$502)+SUMIF('JUNE (물량흐름)'!$C$13:$C$502,C345,'JUNE (물량흐름)'!$U$13:$U$502)-SUMIF('JUNE (물량흐름)'!$C$13:$C$502,C345,'JUNE (물량흐름)'!$Y$13:$Y$502)</f>
        <v>0</v>
      </c>
      <c r="Q345" s="6">
        <f t="shared" si="99"/>
        <v>0</v>
      </c>
      <c r="R345" s="6">
        <f>IF(ISERROR(VLOOKUP(#REF!,'WIP(재공품)'!$B$12:$AB$38,13,0)),0,VLOOKUP(#REF!,'WIP(재공품)'!$B$12:$AB$38,13,0))</f>
        <v>0</v>
      </c>
      <c r="S345" s="6">
        <f>IF(ISERROR(VLOOKUP(#REF!,'WIP(재공품)'!$B$12:$AB$38,10,0)),0,VLOOKUP(#REF!,'WIP(재공품)'!$B$12:$AB$38,10,0))</f>
        <v>0</v>
      </c>
      <c r="T345" s="6">
        <f>SUMIF('JUNE (물량흐름)'!$C$13:$C$502,'Overhead exp(제조경비)'!C345,'JUNE (물량흐름)'!$Y$13:$Y$502)</f>
        <v>0</v>
      </c>
      <c r="U345" s="6">
        <f t="shared" si="92"/>
        <v>0</v>
      </c>
      <c r="V345" s="6">
        <f>ROUND(SUMIF('JUNE (물량흐름)'!$C$13:$C$502,'Overhead exp(제조경비)'!C345,'JUNE (물량흐름)'!$N$13:$N$502),0)</f>
        <v>0</v>
      </c>
      <c r="W345" s="6">
        <f>ROUND(SUMIF('JUNE (물량흐름)'!$C$13:$C$502,'Overhead exp(제조경비)'!C345,'JUNE (물량흐름)'!$O$13:$O$502),0)</f>
        <v>110</v>
      </c>
      <c r="X345" s="6">
        <f>ROUND(SUMIF('JUNE (물량흐름)'!$C$13:$C$502,'Overhead exp(제조경비)'!C345,'JUNE (물량흐름)'!$P$13:$P$502),0)</f>
        <v>139</v>
      </c>
      <c r="Y345" s="6">
        <f t="shared" si="93"/>
        <v>249</v>
      </c>
      <c r="Z345" s="6">
        <f t="shared" si="94"/>
        <v>166</v>
      </c>
      <c r="AA345" s="6">
        <f t="shared" si="100"/>
        <v>9358411</v>
      </c>
      <c r="AB345" s="391">
        <f t="shared" si="95"/>
        <v>0</v>
      </c>
      <c r="AC345" s="391">
        <f t="shared" si="96"/>
        <v>0</v>
      </c>
    </row>
    <row r="346" spans="1:29" s="390" customFormat="1" ht="24" customHeight="1">
      <c r="A346" s="167">
        <v>341</v>
      </c>
      <c r="B346" s="20" t="str">
        <f>IFERROR(VLOOKUP(A346,'JUNE (물량흐름)'!$A$13:$C$502,2,0),0)</f>
        <v>ALFANI</v>
      </c>
      <c r="C346" s="272">
        <f>VLOOKUP(A346,'JUNE (물량흐름)'!$A$13:$C$502,3,0)</f>
        <v>100015306</v>
      </c>
      <c r="D346" s="6">
        <f>VLOOKUP(C346,'WIP(재공품)'!$B$12:$E$493,4,0)</f>
        <v>53286.25</v>
      </c>
      <c r="E346" s="6">
        <f>IFERROR(VLOOKUP(C346,O.B.JUNE!$AI$7:$AJ$448,2,0),0)</f>
        <v>0</v>
      </c>
      <c r="F346" s="6">
        <f>IFERROR(VLOOKUP(C346,O.B.JUNE!$AI$7:$AK$448,3,0),0)</f>
        <v>0</v>
      </c>
      <c r="G346" s="6">
        <f>IFERROR(VLOOKUP(C346,O.B.JUNE!$AI$7:$AL$448,4,0),0)</f>
        <v>85</v>
      </c>
      <c r="H346" s="6">
        <f t="shared" si="89"/>
        <v>85</v>
      </c>
      <c r="I346" s="6">
        <f>IFERROR(VLOOKUP(C346,O.B.JUNE!$AI$7:$AN$448,6,0),0)</f>
        <v>68</v>
      </c>
      <c r="J346" s="6"/>
      <c r="K346" s="6">
        <f>IFERROR(VLOOKUP(C346,O.B.JUNE!$AI$7:$AO$448,7,0),0)</f>
        <v>1422319</v>
      </c>
      <c r="L346" s="6">
        <f>SUMIF('JUNE (물량흐름)'!$C$13:$C$488,'Overhead exp(제조경비)'!C346,'JUNE (물량흐름)'!$H$13:$H$493)+SUMIF('JUNE (물량흐름)'!$C$13:$C$493,'Overhead exp(제조경비)'!C346,'JUNE (물량흐름)'!$V$13:$V$493)</f>
        <v>0</v>
      </c>
      <c r="M346" s="6">
        <f t="shared" si="90"/>
        <v>0</v>
      </c>
      <c r="N346" s="6">
        <f t="shared" si="91"/>
        <v>0</v>
      </c>
      <c r="O346" s="6">
        <f t="shared" si="101"/>
        <v>0</v>
      </c>
      <c r="P346" s="6">
        <f>SUMIF('JUNE (물량흐름)'!$C$13:$C$502,C346,'JUNE (물량흐름)'!$T$13:$T$502)+SUMIF('JUNE (물량흐름)'!$C$13:$C$502,C346,'JUNE (물량흐름)'!$V$13:$V$502)+SUMIF('JUNE (물량흐름)'!$C$13:$C$502,C346,'JUNE (물량흐름)'!$U$13:$U$502)-SUMIF('JUNE (물량흐름)'!$C$13:$C$502,C346,'JUNE (물량흐름)'!$Y$13:$Y$502)</f>
        <v>0</v>
      </c>
      <c r="Q346" s="6">
        <f t="shared" si="99"/>
        <v>0</v>
      </c>
      <c r="R346" s="6">
        <f>IF(ISERROR(VLOOKUP(#REF!,'WIP(재공품)'!$B$12:$AB$38,13,0)),0,VLOOKUP(#REF!,'WIP(재공품)'!$B$12:$AB$38,13,0))</f>
        <v>0</v>
      </c>
      <c r="S346" s="6">
        <f>IF(ISERROR(VLOOKUP(#REF!,'WIP(재공품)'!$B$12:$AB$38,10,0)),0,VLOOKUP(#REF!,'WIP(재공품)'!$B$12:$AB$38,10,0))</f>
        <v>0</v>
      </c>
      <c r="T346" s="6">
        <f>SUMIF('JUNE (물량흐름)'!$C$13:$C$502,'Overhead exp(제조경비)'!C346,'JUNE (물량흐름)'!$Y$13:$Y$502)</f>
        <v>0</v>
      </c>
      <c r="U346" s="6">
        <f t="shared" si="92"/>
        <v>0</v>
      </c>
      <c r="V346" s="6">
        <f>ROUND(SUMIF('JUNE (물량흐름)'!$C$13:$C$502,'Overhead exp(제조경비)'!C346,'JUNE (물량흐름)'!$N$13:$N$502),0)</f>
        <v>0</v>
      </c>
      <c r="W346" s="6">
        <f>ROUND(SUMIF('JUNE (물량흐름)'!$C$13:$C$502,'Overhead exp(제조경비)'!C346,'JUNE (물량흐름)'!$O$13:$O$502),0)</f>
        <v>0</v>
      </c>
      <c r="X346" s="6">
        <f>ROUND(SUMIF('JUNE (물량흐름)'!$C$13:$C$502,'Overhead exp(제조경비)'!C346,'JUNE (물량흐름)'!$P$13:$P$502),0)</f>
        <v>85</v>
      </c>
      <c r="Y346" s="167">
        <f t="shared" ref="Y346" si="102">ROUND(SUM(V346:X346),0)</f>
        <v>85</v>
      </c>
      <c r="Z346" s="167">
        <f t="shared" si="94"/>
        <v>68</v>
      </c>
      <c r="AA346" s="6">
        <f t="shared" si="100"/>
        <v>1422319</v>
      </c>
      <c r="AB346" s="391">
        <f t="shared" si="95"/>
        <v>0</v>
      </c>
      <c r="AC346" s="391">
        <f t="shared" si="96"/>
        <v>0</v>
      </c>
    </row>
    <row r="347" spans="1:29" s="390" customFormat="1" ht="24" customHeight="1">
      <c r="A347" s="167">
        <v>342</v>
      </c>
      <c r="B347" s="20" t="str">
        <f>IFERROR(VLOOKUP(A347,'JUNE (물량흐름)'!$A$13:$C$502,2,0),0)</f>
        <v>ALFANI</v>
      </c>
      <c r="C347" s="272">
        <f>VLOOKUP(A347,'JUNE (물량흐름)'!$A$13:$C$502,3,0)</f>
        <v>100016101</v>
      </c>
      <c r="D347" s="6">
        <f>VLOOKUP(C347,'WIP(재공품)'!$B$12:$E$493,4,0)</f>
        <v>46710.5</v>
      </c>
      <c r="E347" s="6">
        <f>IFERROR(VLOOKUP(C347,O.B.JUNE!$AI$7:$AJ$448,2,0),0)</f>
        <v>0</v>
      </c>
      <c r="F347" s="6">
        <f>IFERROR(VLOOKUP(C347,O.B.JUNE!$AI$7:$AK$448,3,0),0)</f>
        <v>196</v>
      </c>
      <c r="G347" s="6">
        <f>IFERROR(VLOOKUP(C347,O.B.JUNE!$AI$7:$AL$448,4,0),0)</f>
        <v>105</v>
      </c>
      <c r="H347" s="6">
        <f t="shared" si="89"/>
        <v>301</v>
      </c>
      <c r="I347" s="6">
        <f>IFERROR(VLOOKUP(C347,O.B.JUNE!$AI$7:$AN$448,6,0),0)</f>
        <v>182</v>
      </c>
      <c r="J347" s="6"/>
      <c r="K347" s="6">
        <f>IFERROR(VLOOKUP(C347,O.B.JUNE!$AI$7:$AO$448,7,0),0)</f>
        <v>4412424</v>
      </c>
      <c r="L347" s="6">
        <f>SUMIF('JUNE (물량흐름)'!$C$13:$C$488,'Overhead exp(제조경비)'!C347,'JUNE (물량흐름)'!$H$13:$H$493)+SUMIF('JUNE (물량흐름)'!$C$13:$C$493,'Overhead exp(제조경비)'!C347,'JUNE (물량흐름)'!$V$13:$V$493)</f>
        <v>0</v>
      </c>
      <c r="M347" s="6">
        <f t="shared" si="90"/>
        <v>0</v>
      </c>
      <c r="N347" s="6">
        <f t="shared" si="91"/>
        <v>0</v>
      </c>
      <c r="O347" s="6">
        <f t="shared" si="101"/>
        <v>0</v>
      </c>
      <c r="P347" s="6">
        <f>SUMIF('JUNE (물량흐름)'!$C$13:$C$502,C347,'JUNE (물량흐름)'!$T$13:$T$502)+SUMIF('JUNE (물량흐름)'!$C$13:$C$502,C347,'JUNE (물량흐름)'!$V$13:$V$502)+SUMIF('JUNE (물량흐름)'!$C$13:$C$502,C347,'JUNE (물량흐름)'!$U$13:$U$502)-SUMIF('JUNE (물량흐름)'!$C$13:$C$502,C347,'JUNE (물량흐름)'!$Y$13:$Y$502)</f>
        <v>25</v>
      </c>
      <c r="Q347" s="6">
        <f t="shared" si="99"/>
        <v>366480</v>
      </c>
      <c r="R347" s="6">
        <f>IF(ISERROR(VLOOKUP(#REF!,'WIP(재공품)'!$B$12:$AB$38,13,0)),0,VLOOKUP(#REF!,'WIP(재공품)'!$B$12:$AB$38,13,0))</f>
        <v>0</v>
      </c>
      <c r="S347" s="6">
        <f>IF(ISERROR(VLOOKUP(#REF!,'WIP(재공품)'!$B$12:$AB$38,10,0)),0,VLOOKUP(#REF!,'WIP(재공품)'!$B$12:$AB$38,10,0))</f>
        <v>0</v>
      </c>
      <c r="T347" s="6">
        <f>SUMIF('JUNE (물량흐름)'!$C$13:$C$502,'Overhead exp(제조경비)'!C347,'JUNE (물량흐름)'!$Y$13:$Y$502)</f>
        <v>5</v>
      </c>
      <c r="U347" s="6">
        <f t="shared" si="92"/>
        <v>73296</v>
      </c>
      <c r="V347" s="6">
        <f>ROUND(SUMIF('JUNE (물량흐름)'!$C$13:$C$502,'Overhead exp(제조경비)'!C347,'JUNE (물량흐름)'!$N$13:$N$502),0)</f>
        <v>0</v>
      </c>
      <c r="W347" s="6">
        <f>ROUND(SUMIF('JUNE (물량흐름)'!$C$13:$C$502,'Overhead exp(제조경비)'!C347,'JUNE (물량흐름)'!$O$13:$O$502),0)</f>
        <v>196</v>
      </c>
      <c r="X347" s="6">
        <f>ROUND(SUMIF('JUNE (물량흐름)'!$C$13:$C$502,'Overhead exp(제조경비)'!C347,'JUNE (물량흐름)'!$P$13:$P$502),0)</f>
        <v>75</v>
      </c>
      <c r="Y347" s="6">
        <f t="shared" si="93"/>
        <v>271</v>
      </c>
      <c r="Z347" s="6">
        <f t="shared" si="94"/>
        <v>158</v>
      </c>
      <c r="AA347" s="6">
        <f t="shared" si="100"/>
        <v>3972648</v>
      </c>
      <c r="AB347" s="391">
        <f t="shared" si="95"/>
        <v>0</v>
      </c>
      <c r="AC347" s="391">
        <f t="shared" si="96"/>
        <v>0</v>
      </c>
    </row>
    <row r="348" spans="1:29" s="390" customFormat="1" ht="24" customHeight="1">
      <c r="A348" s="167">
        <v>343</v>
      </c>
      <c r="B348" s="20" t="str">
        <f>IFERROR(VLOOKUP(A348,'JUNE (물량흐름)'!$A$13:$C$502,2,0),0)</f>
        <v>ALFANI</v>
      </c>
      <c r="C348" s="272">
        <f>VLOOKUP(A348,'JUNE (물량흐름)'!$A$13:$C$502,3,0)</f>
        <v>100017974</v>
      </c>
      <c r="D348" s="6">
        <f>VLOOKUP(C348,'WIP(재공품)'!$B$12:$E$493,4,0)</f>
        <v>45576.749999999993</v>
      </c>
      <c r="E348" s="6">
        <f>IFERROR(VLOOKUP(C348,O.B.JUNE!$AI$7:$AJ$448,2,0),0)</f>
        <v>63</v>
      </c>
      <c r="F348" s="6">
        <f>IFERROR(VLOOKUP(C348,O.B.JUNE!$AI$7:$AK$448,3,0),0)</f>
        <v>118</v>
      </c>
      <c r="G348" s="6">
        <f>IFERROR(VLOOKUP(C348,O.B.JUNE!$AI$7:$AL$448,4,0),0)</f>
        <v>120</v>
      </c>
      <c r="H348" s="6">
        <f t="shared" si="89"/>
        <v>301</v>
      </c>
      <c r="I348" s="6">
        <f>IFERROR(VLOOKUP(C348,O.B.JUNE!$AI$7:$AN$448,6,0),0)</f>
        <v>168</v>
      </c>
      <c r="J348" s="6"/>
      <c r="K348" s="6">
        <f>IFERROR(VLOOKUP(C348,O.B.JUNE!$AI$7:$AO$448,7,0),0)</f>
        <v>4432971</v>
      </c>
      <c r="L348" s="6">
        <f>SUMIF('JUNE (물량흐름)'!$C$13:$C$488,'Overhead exp(제조경비)'!C348,'JUNE (물량흐름)'!$H$13:$H$493)+SUMIF('JUNE (물량흐름)'!$C$13:$C$493,'Overhead exp(제조경비)'!C348,'JUNE (물량흐름)'!$V$13:$V$493)</f>
        <v>0</v>
      </c>
      <c r="M348" s="6">
        <f t="shared" si="90"/>
        <v>0</v>
      </c>
      <c r="N348" s="6">
        <f t="shared" si="91"/>
        <v>0</v>
      </c>
      <c r="O348" s="6">
        <f t="shared" si="101"/>
        <v>0</v>
      </c>
      <c r="P348" s="6">
        <f>SUMIF('JUNE (물량흐름)'!$C$13:$C$502,C348,'JUNE (물량흐름)'!$T$13:$T$502)+SUMIF('JUNE (물량흐름)'!$C$13:$C$502,C348,'JUNE (물량흐름)'!$V$13:$V$502)+SUMIF('JUNE (물량흐름)'!$C$13:$C$502,C348,'JUNE (물량흐름)'!$U$13:$U$502)-SUMIF('JUNE (물량흐름)'!$C$13:$C$502,C348,'JUNE (물량흐름)'!$Y$13:$Y$502)</f>
        <v>0</v>
      </c>
      <c r="Q348" s="6">
        <f t="shared" si="99"/>
        <v>0</v>
      </c>
      <c r="R348" s="6">
        <f>IF(ISERROR(VLOOKUP(#REF!,'WIP(재공품)'!$B$12:$AB$38,13,0)),0,VLOOKUP(#REF!,'WIP(재공품)'!$B$12:$AB$38,13,0))</f>
        <v>0</v>
      </c>
      <c r="S348" s="6">
        <f>IF(ISERROR(VLOOKUP(#REF!,'WIP(재공품)'!$B$12:$AB$38,10,0)),0,VLOOKUP(#REF!,'WIP(재공품)'!$B$12:$AB$38,10,0))</f>
        <v>0</v>
      </c>
      <c r="T348" s="6">
        <f>SUMIF('JUNE (물량흐름)'!$C$13:$C$502,'Overhead exp(제조경비)'!C348,'JUNE (물량흐름)'!$Y$13:$Y$502)</f>
        <v>0</v>
      </c>
      <c r="U348" s="6">
        <f t="shared" si="92"/>
        <v>0</v>
      </c>
      <c r="V348" s="6">
        <f>ROUND(SUMIF('JUNE (물량흐름)'!$C$13:$C$502,'Overhead exp(제조경비)'!C348,'JUNE (물량흐름)'!$N$13:$N$502),0)</f>
        <v>63</v>
      </c>
      <c r="W348" s="6">
        <f>ROUND(SUMIF('JUNE (물량흐름)'!$C$13:$C$502,'Overhead exp(제조경비)'!C348,'JUNE (물량흐름)'!$O$13:$O$502),0)</f>
        <v>118</v>
      </c>
      <c r="X348" s="6">
        <f>ROUND(SUMIF('JUNE (물량흐름)'!$C$13:$C$502,'Overhead exp(제조경비)'!C348,'JUNE (물량흐름)'!$P$13:$P$502),0)</f>
        <v>120</v>
      </c>
      <c r="Y348" s="6">
        <f t="shared" si="93"/>
        <v>301</v>
      </c>
      <c r="Z348" s="6">
        <f t="shared" si="94"/>
        <v>168</v>
      </c>
      <c r="AA348" s="6">
        <f t="shared" si="100"/>
        <v>4432971</v>
      </c>
      <c r="AB348" s="391">
        <f t="shared" si="95"/>
        <v>0</v>
      </c>
      <c r="AC348" s="391">
        <f t="shared" si="96"/>
        <v>0</v>
      </c>
    </row>
    <row r="349" spans="1:29" s="390" customFormat="1" ht="24" customHeight="1">
      <c r="A349" s="167">
        <v>344</v>
      </c>
      <c r="B349" s="20" t="str">
        <f>IFERROR(VLOOKUP(A349,'JUNE (물량흐름)'!$A$13:$C$502,2,0),0)</f>
        <v>ALFANI</v>
      </c>
      <c r="C349" s="272">
        <f>VLOOKUP(A349,'JUNE (물량흐름)'!$A$13:$C$502,3,0)</f>
        <v>100018139</v>
      </c>
      <c r="D349" s="6">
        <f>VLOOKUP(C349,'WIP(재공품)'!$B$12:$E$493,4,0)</f>
        <v>43762.75</v>
      </c>
      <c r="E349" s="6">
        <f>IFERROR(VLOOKUP(C349,O.B.JUNE!$AI$7:$AJ$448,2,0),0)</f>
        <v>0</v>
      </c>
      <c r="F349" s="6">
        <f>IFERROR(VLOOKUP(C349,O.B.JUNE!$AI$7:$AK$448,3,0),0)</f>
        <v>222</v>
      </c>
      <c r="G349" s="6">
        <f>IFERROR(VLOOKUP(C349,O.B.JUNE!$AI$7:$AL$448,4,0),0)</f>
        <v>356</v>
      </c>
      <c r="H349" s="6">
        <f t="shared" si="89"/>
        <v>578</v>
      </c>
      <c r="I349" s="6">
        <f>IFERROR(VLOOKUP(C349,O.B.JUNE!$AI$7:$AN$448,6,0),0)</f>
        <v>396</v>
      </c>
      <c r="J349" s="6"/>
      <c r="K349" s="6">
        <f>IFERROR(VLOOKUP(C349,O.B.JUNE!$AI$7:$AO$448,7,0),0)</f>
        <v>11665804</v>
      </c>
      <c r="L349" s="6">
        <f>SUMIF('JUNE (물량흐름)'!$C$13:$C$488,'Overhead exp(제조경비)'!C349,'JUNE (물량흐름)'!$H$13:$H$493)+SUMIF('JUNE (물량흐름)'!$C$13:$C$493,'Overhead exp(제조경비)'!C349,'JUNE (물량흐름)'!$V$13:$V$493)</f>
        <v>195</v>
      </c>
      <c r="M349" s="6">
        <f t="shared" si="90"/>
        <v>242</v>
      </c>
      <c r="N349" s="6">
        <f t="shared" si="91"/>
        <v>10590586</v>
      </c>
      <c r="O349" s="6">
        <f t="shared" si="101"/>
        <v>6399254</v>
      </c>
      <c r="P349" s="6">
        <f>SUMIF('JUNE (물량흐름)'!$C$13:$C$502,C349,'JUNE (물량흐름)'!$T$13:$T$502)+SUMIF('JUNE (물량흐름)'!$C$13:$C$502,C349,'JUNE (물량흐름)'!$V$13:$V$502)+SUMIF('JUNE (물량흐름)'!$C$13:$C$502,C349,'JUNE (물량흐름)'!$U$13:$U$502)-SUMIF('JUNE (물량흐름)'!$C$13:$C$502,C349,'JUNE (물량흐름)'!$Y$13:$Y$502)</f>
        <v>427</v>
      </c>
      <c r="Q349" s="6">
        <f t="shared" si="99"/>
        <v>9979017</v>
      </c>
      <c r="R349" s="6">
        <f>IF(ISERROR(VLOOKUP(#REF!,'WIP(재공품)'!$B$12:$AB$38,13,0)),0,VLOOKUP(#REF!,'WIP(재공품)'!$B$12:$AB$38,13,0))</f>
        <v>0</v>
      </c>
      <c r="S349" s="6">
        <f>IF(ISERROR(VLOOKUP(#REF!,'WIP(재공품)'!$B$12:$AB$38,10,0)),0,VLOOKUP(#REF!,'WIP(재공품)'!$B$12:$AB$38,10,0))</f>
        <v>0</v>
      </c>
      <c r="T349" s="6">
        <f>SUMIF('JUNE (물량흐름)'!$C$13:$C$502,'Overhead exp(제조경비)'!C349,'JUNE (물량흐름)'!$Y$13:$Y$502)</f>
        <v>2</v>
      </c>
      <c r="U349" s="6">
        <f t="shared" si="92"/>
        <v>46740</v>
      </c>
      <c r="V349" s="6">
        <f>ROUND(SUMIF('JUNE (물량흐름)'!$C$13:$C$502,'Overhead exp(제조경비)'!C349,'JUNE (물량흐름)'!$N$13:$N$502),0)</f>
        <v>0</v>
      </c>
      <c r="W349" s="6">
        <f>ROUND(SUMIF('JUNE (물량흐름)'!$C$13:$C$502,'Overhead exp(제조경비)'!C349,'JUNE (물량흐름)'!$O$13:$O$502),0)</f>
        <v>222</v>
      </c>
      <c r="X349" s="6">
        <f>ROUND(SUMIF('JUNE (물량흐름)'!$C$13:$C$502,'Overhead exp(제조경비)'!C349,'JUNE (물량흐름)'!$P$13:$P$502),0)</f>
        <v>122</v>
      </c>
      <c r="Y349" s="6">
        <f t="shared" si="93"/>
        <v>344</v>
      </c>
      <c r="Z349" s="6">
        <f t="shared" si="94"/>
        <v>209</v>
      </c>
      <c r="AA349" s="6">
        <f t="shared" si="100"/>
        <v>8039301</v>
      </c>
      <c r="AB349" s="391">
        <f t="shared" si="95"/>
        <v>0</v>
      </c>
      <c r="AC349" s="391">
        <f t="shared" si="96"/>
        <v>0</v>
      </c>
    </row>
    <row r="350" spans="1:29" s="390" customFormat="1" ht="24" customHeight="1">
      <c r="A350" s="167">
        <v>345</v>
      </c>
      <c r="B350" s="20" t="str">
        <f>IFERROR(VLOOKUP(A350,'JUNE (물량흐름)'!$A$13:$C$502,2,0),0)</f>
        <v>ALFANI</v>
      </c>
      <c r="C350" s="272">
        <f>VLOOKUP(A350,'JUNE (물량흐름)'!$A$13:$C$502,3,0)</f>
        <v>100018175</v>
      </c>
      <c r="D350" s="6">
        <f>VLOOKUP(C350,'WIP(재공품)'!$B$12:$E$493,4,0)</f>
        <v>8163</v>
      </c>
      <c r="E350" s="6">
        <f>IFERROR(VLOOKUP(C350,O.B.JUNE!$AI$7:$AJ$448,2,0),0)</f>
        <v>0</v>
      </c>
      <c r="F350" s="6">
        <f>IFERROR(VLOOKUP(C350,O.B.JUNE!$AI$7:$AK$448,3,0),0)</f>
        <v>50</v>
      </c>
      <c r="G350" s="6">
        <f>IFERROR(VLOOKUP(C350,O.B.JUNE!$AI$7:$AL$448,4,0),0)</f>
        <v>152</v>
      </c>
      <c r="H350" s="6">
        <f t="shared" si="89"/>
        <v>202</v>
      </c>
      <c r="I350" s="6">
        <f>IFERROR(VLOOKUP(C350,O.B.JUNE!$AI$7:$AN$448,6,0),0)</f>
        <v>147</v>
      </c>
      <c r="J350" s="6"/>
      <c r="K350" s="6">
        <f>IFERROR(VLOOKUP(C350,O.B.JUNE!$AI$7:$AO$448,7,0),0)</f>
        <v>4836753</v>
      </c>
      <c r="L350" s="6">
        <f>SUMIF('JUNE (물량흐름)'!$C$13:$C$488,'Overhead exp(제조경비)'!C350,'JUNE (물량흐름)'!$H$13:$H$493)+SUMIF('JUNE (물량흐름)'!$C$13:$C$493,'Overhead exp(제조경비)'!C350,'JUNE (물량흐름)'!$V$13:$V$493)</f>
        <v>0</v>
      </c>
      <c r="M350" s="6">
        <f t="shared" si="90"/>
        <v>0</v>
      </c>
      <c r="N350" s="6">
        <f t="shared" si="91"/>
        <v>0</v>
      </c>
      <c r="O350" s="6">
        <f t="shared" si="101"/>
        <v>0</v>
      </c>
      <c r="P350" s="6">
        <f>SUMIF('JUNE (물량흐름)'!$C$13:$C$502,C350,'JUNE (물량흐름)'!$T$13:$T$502)+SUMIF('JUNE (물량흐름)'!$C$13:$C$502,C350,'JUNE (물량흐름)'!$V$13:$V$502)+SUMIF('JUNE (물량흐름)'!$C$13:$C$502,C350,'JUNE (물량흐름)'!$U$13:$U$502)-SUMIF('JUNE (물량흐름)'!$C$13:$C$502,C350,'JUNE (물량흐름)'!$Y$13:$Y$502)</f>
        <v>0</v>
      </c>
      <c r="Q350" s="6">
        <f t="shared" si="99"/>
        <v>0</v>
      </c>
      <c r="R350" s="6">
        <f>IF(ISERROR(VLOOKUP(#REF!,'WIP(재공품)'!$B$12:$AB$38,13,0)),0,VLOOKUP(#REF!,'WIP(재공품)'!$B$12:$AB$38,13,0))</f>
        <v>0</v>
      </c>
      <c r="S350" s="6">
        <f>IF(ISERROR(VLOOKUP(#REF!,'WIP(재공품)'!$B$12:$AB$38,10,0)),0,VLOOKUP(#REF!,'WIP(재공품)'!$B$12:$AB$38,10,0))</f>
        <v>0</v>
      </c>
      <c r="T350" s="6">
        <f>SUMIF('JUNE (물량흐름)'!$C$13:$C$502,'Overhead exp(제조경비)'!C350,'JUNE (물량흐름)'!$Y$13:$Y$502)</f>
        <v>0</v>
      </c>
      <c r="U350" s="6">
        <f t="shared" si="92"/>
        <v>0</v>
      </c>
      <c r="V350" s="6">
        <f>ROUND(SUMIF('JUNE (물량흐름)'!$C$13:$C$502,'Overhead exp(제조경비)'!C350,'JUNE (물량흐름)'!$N$13:$N$502),0)</f>
        <v>0</v>
      </c>
      <c r="W350" s="6">
        <f>ROUND(SUMIF('JUNE (물량흐름)'!$C$13:$C$502,'Overhead exp(제조경비)'!C350,'JUNE (물량흐름)'!$O$13:$O$502),0)</f>
        <v>50</v>
      </c>
      <c r="X350" s="6">
        <f>ROUND(SUMIF('JUNE (물량흐름)'!$C$13:$C$502,'Overhead exp(제조경비)'!C350,'JUNE (물량흐름)'!$P$13:$P$502),0)</f>
        <v>152</v>
      </c>
      <c r="Y350" s="167">
        <f t="shared" ref="Y350" si="103">ROUND(SUM(V350:X350),0)</f>
        <v>202</v>
      </c>
      <c r="Z350" s="167">
        <f t="shared" si="94"/>
        <v>147</v>
      </c>
      <c r="AA350" s="6">
        <f t="shared" si="100"/>
        <v>4836753</v>
      </c>
      <c r="AB350" s="391">
        <f t="shared" si="95"/>
        <v>0</v>
      </c>
      <c r="AC350" s="391">
        <f t="shared" si="96"/>
        <v>0</v>
      </c>
    </row>
    <row r="351" spans="1:29" s="390" customFormat="1" ht="24" customHeight="1">
      <c r="A351" s="167">
        <v>346</v>
      </c>
      <c r="B351" s="20" t="str">
        <f>IFERROR(VLOOKUP(A351,'JUNE (물량흐름)'!$A$13:$C$502,2,0),0)</f>
        <v>ALFANI</v>
      </c>
      <c r="C351" s="272">
        <f>VLOOKUP(A351,'JUNE (물량흐름)'!$A$13:$C$502,3,0)</f>
        <v>100018176</v>
      </c>
      <c r="D351" s="6">
        <f>VLOOKUP(C351,'WIP(재공품)'!$B$12:$E$493,4,0)</f>
        <v>28570.5</v>
      </c>
      <c r="E351" s="6">
        <f>IFERROR(VLOOKUP(C351,O.B.JUNE!$AI$7:$AJ$448,2,0),0)</f>
        <v>0</v>
      </c>
      <c r="F351" s="6">
        <f>IFERROR(VLOOKUP(C351,O.B.JUNE!$AI$7:$AK$448,3,0),0)</f>
        <v>308</v>
      </c>
      <c r="G351" s="6">
        <f>IFERROR(VLOOKUP(C351,O.B.JUNE!$AI$7:$AL$448,4,0),0)</f>
        <v>42</v>
      </c>
      <c r="H351" s="6">
        <f t="shared" si="89"/>
        <v>350</v>
      </c>
      <c r="I351" s="6">
        <f>IFERROR(VLOOKUP(C351,O.B.JUNE!$AI$7:$AN$448,6,0),0)</f>
        <v>188</v>
      </c>
      <c r="J351" s="6"/>
      <c r="K351" s="6">
        <f>IFERROR(VLOOKUP(C351,O.B.JUNE!$AI$7:$AO$448,7,0),0)</f>
        <v>8425567</v>
      </c>
      <c r="L351" s="6">
        <f>SUMIF('JUNE (물량흐름)'!$C$13:$C$488,'Overhead exp(제조경비)'!C351,'JUNE (물량흐름)'!$H$13:$H$493)+SUMIF('JUNE (물량흐름)'!$C$13:$C$493,'Overhead exp(제조경비)'!C351,'JUNE (물량흐름)'!$V$13:$V$493)</f>
        <v>4495</v>
      </c>
      <c r="M351" s="6">
        <f t="shared" si="90"/>
        <v>2298</v>
      </c>
      <c r="N351" s="6">
        <f t="shared" si="91"/>
        <v>65655009</v>
      </c>
      <c r="O351" s="6">
        <f t="shared" si="101"/>
        <v>39671377</v>
      </c>
      <c r="P351" s="6">
        <f>SUMIF('JUNE (물량흐름)'!$C$13:$C$502,C351,'JUNE (물량흐름)'!$T$13:$T$502)+SUMIF('JUNE (물량흐름)'!$C$13:$C$502,C351,'JUNE (물량흐름)'!$V$13:$V$502)+SUMIF('JUNE (물량흐름)'!$C$13:$C$502,C351,'JUNE (물량흐름)'!$U$13:$U$502)-SUMIF('JUNE (물량흐름)'!$C$13:$C$502,C351,'JUNE (물량흐름)'!$Y$13:$Y$502)</f>
        <v>0</v>
      </c>
      <c r="Q351" s="6">
        <f t="shared" si="99"/>
        <v>0</v>
      </c>
      <c r="R351" s="6">
        <f>IF(ISERROR(VLOOKUP(#REF!,'WIP(재공품)'!$B$12:$AB$38,13,0)),0,VLOOKUP(#REF!,'WIP(재공품)'!$B$12:$AB$38,13,0))</f>
        <v>0</v>
      </c>
      <c r="S351" s="6">
        <f>IF(ISERROR(VLOOKUP(#REF!,'WIP(재공품)'!$B$12:$AB$38,10,0)),0,VLOOKUP(#REF!,'WIP(재공품)'!$B$12:$AB$38,10,0))</f>
        <v>0</v>
      </c>
      <c r="T351" s="6">
        <f>SUMIF('JUNE (물량흐름)'!$C$13:$C$502,'Overhead exp(제조경비)'!C351,'JUNE (물량흐름)'!$Y$13:$Y$502)</f>
        <v>0</v>
      </c>
      <c r="U351" s="6">
        <f t="shared" si="92"/>
        <v>0</v>
      </c>
      <c r="V351" s="6">
        <f>ROUND(SUMIF('JUNE (물량흐름)'!$C$13:$C$502,'Overhead exp(제조경비)'!C351,'JUNE (물량흐름)'!$N$13:$N$502),0)</f>
        <v>1505</v>
      </c>
      <c r="W351" s="6">
        <f>ROUND(SUMIF('JUNE (물량흐름)'!$C$13:$C$502,'Overhead exp(제조경비)'!C351,'JUNE (물량흐름)'!$O$13:$O$502),0)</f>
        <v>1624</v>
      </c>
      <c r="X351" s="6">
        <f>ROUND(SUMIF('JUNE (물량흐름)'!$C$13:$C$502,'Overhead exp(제조경비)'!C351,'JUNE (물량흐름)'!$P$13:$P$502),0)</f>
        <v>1716</v>
      </c>
      <c r="Y351" s="6">
        <f t="shared" si="93"/>
        <v>4845</v>
      </c>
      <c r="Z351" s="6">
        <f t="shared" si="94"/>
        <v>2486</v>
      </c>
      <c r="AA351" s="6">
        <f t="shared" si="100"/>
        <v>48096944</v>
      </c>
      <c r="AB351" s="391">
        <f t="shared" si="95"/>
        <v>0</v>
      </c>
      <c r="AC351" s="391">
        <f t="shared" si="96"/>
        <v>0</v>
      </c>
    </row>
    <row r="352" spans="1:29" s="390" customFormat="1" ht="24" customHeight="1">
      <c r="A352" s="167">
        <v>347</v>
      </c>
      <c r="B352" s="20" t="str">
        <f>IFERROR(VLOOKUP(A352,'JUNE (물량흐름)'!$A$13:$C$502,2,0),0)</f>
        <v>ALFANI</v>
      </c>
      <c r="C352" s="272">
        <f>VLOOKUP(A352,'JUNE (물량흐름)'!$A$13:$C$502,3,0)</f>
        <v>100018178</v>
      </c>
      <c r="D352" s="6">
        <f>VLOOKUP(C352,'WIP(재공품)'!$B$12:$E$493,4,0)</f>
        <v>20407.5</v>
      </c>
      <c r="E352" s="6">
        <f>IFERROR(VLOOKUP(C352,O.B.JUNE!$AI$7:$AJ$448,2,0),0)</f>
        <v>0</v>
      </c>
      <c r="F352" s="6">
        <f>IFERROR(VLOOKUP(C352,O.B.JUNE!$AI$7:$AK$448,3,0),0)</f>
        <v>72</v>
      </c>
      <c r="G352" s="6">
        <f>IFERROR(VLOOKUP(C352,O.B.JUNE!$AI$7:$AL$448,4,0),0)</f>
        <v>6</v>
      </c>
      <c r="H352" s="6">
        <f t="shared" si="89"/>
        <v>78</v>
      </c>
      <c r="I352" s="6">
        <f>IFERROR(VLOOKUP(C352,O.B.JUNE!$AI$7:$AN$448,6,0),0)</f>
        <v>41</v>
      </c>
      <c r="J352" s="6"/>
      <c r="K352" s="6">
        <f>IFERROR(VLOOKUP(C352,O.B.JUNE!$AI$7:$AO$448,7,0),0)</f>
        <v>1318412</v>
      </c>
      <c r="L352" s="6">
        <f>SUMIF('JUNE (물량흐름)'!$C$13:$C$488,'Overhead exp(제조경비)'!C352,'JUNE (물량흐름)'!$H$13:$H$493)+SUMIF('JUNE (물량흐름)'!$C$13:$C$493,'Overhead exp(제조경비)'!C352,'JUNE (물량흐름)'!$V$13:$V$493)</f>
        <v>0</v>
      </c>
      <c r="M352" s="6">
        <f t="shared" si="90"/>
        <v>0</v>
      </c>
      <c r="N352" s="6">
        <f t="shared" si="91"/>
        <v>0</v>
      </c>
      <c r="O352" s="6">
        <f t="shared" si="101"/>
        <v>0</v>
      </c>
      <c r="P352" s="6">
        <f>SUMIF('JUNE (물량흐름)'!$C$13:$C$502,C352,'JUNE (물량흐름)'!$T$13:$T$502)+SUMIF('JUNE (물량흐름)'!$C$13:$C$502,C352,'JUNE (물량흐름)'!$V$13:$V$502)+SUMIF('JUNE (물량흐름)'!$C$13:$C$502,C352,'JUNE (물량흐름)'!$U$13:$U$502)-SUMIF('JUNE (물량흐름)'!$C$13:$C$502,C352,'JUNE (물량흐름)'!$Y$13:$Y$502)</f>
        <v>0</v>
      </c>
      <c r="Q352" s="6">
        <f t="shared" si="99"/>
        <v>0</v>
      </c>
      <c r="R352" s="6">
        <f>IF(ISERROR(VLOOKUP(#REF!,'WIP(재공품)'!$B$12:$AB$38,13,0)),0,VLOOKUP(#REF!,'WIP(재공품)'!$B$12:$AB$38,13,0))</f>
        <v>0</v>
      </c>
      <c r="S352" s="6">
        <f>IF(ISERROR(VLOOKUP(#REF!,'WIP(재공품)'!$B$12:$AB$38,10,0)),0,VLOOKUP(#REF!,'WIP(재공품)'!$B$12:$AB$38,10,0))</f>
        <v>0</v>
      </c>
      <c r="T352" s="6">
        <f>SUMIF('JUNE (물량흐름)'!$C$13:$C$502,'Overhead exp(제조경비)'!C352,'JUNE (물량흐름)'!$Y$13:$Y$502)</f>
        <v>0</v>
      </c>
      <c r="U352" s="6">
        <f t="shared" si="92"/>
        <v>0</v>
      </c>
      <c r="V352" s="6">
        <f>ROUND(SUMIF('JUNE (물량흐름)'!$C$13:$C$502,'Overhead exp(제조경비)'!C352,'JUNE (물량흐름)'!$N$13:$N$502),0)</f>
        <v>0</v>
      </c>
      <c r="W352" s="6">
        <f>ROUND(SUMIF('JUNE (물량흐름)'!$C$13:$C$502,'Overhead exp(제조경비)'!C352,'JUNE (물량흐름)'!$O$13:$O$502),0)</f>
        <v>72</v>
      </c>
      <c r="X352" s="6">
        <f>ROUND(SUMIF('JUNE (물량흐름)'!$C$13:$C$502,'Overhead exp(제조경비)'!C352,'JUNE (물량흐름)'!$P$13:$P$502),0)</f>
        <v>6</v>
      </c>
      <c r="Y352" s="6">
        <f t="shared" si="93"/>
        <v>78</v>
      </c>
      <c r="Z352" s="6">
        <f t="shared" si="94"/>
        <v>41</v>
      </c>
      <c r="AA352" s="6">
        <f t="shared" si="100"/>
        <v>1318412</v>
      </c>
      <c r="AB352" s="391">
        <f t="shared" si="95"/>
        <v>0</v>
      </c>
      <c r="AC352" s="391">
        <f t="shared" si="96"/>
        <v>0</v>
      </c>
    </row>
    <row r="353" spans="1:29" s="390" customFormat="1" ht="24" customHeight="1">
      <c r="A353" s="167">
        <v>348</v>
      </c>
      <c r="B353" s="20" t="str">
        <f>IFERROR(VLOOKUP(A353,'JUNE (물량흐름)'!$A$13:$C$502,2,0),0)</f>
        <v>ALFANI</v>
      </c>
      <c r="C353" s="272">
        <f>VLOOKUP(A353,'JUNE (물량흐름)'!$A$13:$C$502,3,0)</f>
        <v>100018179</v>
      </c>
      <c r="D353" s="6">
        <f>VLOOKUP(C353,'WIP(재공품)'!$B$12:$E$493,4,0)</f>
        <v>43082.5</v>
      </c>
      <c r="E353" s="6">
        <f>IFERROR(VLOOKUP(C353,O.B.JUNE!$AI$7:$AJ$448,2,0),0)</f>
        <v>25</v>
      </c>
      <c r="F353" s="6">
        <f>IFERROR(VLOOKUP(C353,O.B.JUNE!$AI$7:$AK$448,3,0),0)</f>
        <v>32</v>
      </c>
      <c r="G353" s="6">
        <f>IFERROR(VLOOKUP(C353,O.B.JUNE!$AI$7:$AL$448,4,0),0)</f>
        <v>0</v>
      </c>
      <c r="H353" s="6">
        <f t="shared" si="89"/>
        <v>57</v>
      </c>
      <c r="I353" s="6">
        <f>IFERROR(VLOOKUP(C353,O.B.JUNE!$AI$7:$AN$448,6,0),0)</f>
        <v>21</v>
      </c>
      <c r="J353" s="6"/>
      <c r="K353" s="6">
        <f>IFERROR(VLOOKUP(C353,O.B.JUNE!$AI$7:$AO$448,7,0),0)</f>
        <v>1894081</v>
      </c>
      <c r="L353" s="6">
        <f>SUMIF('JUNE (물량흐름)'!$C$13:$C$488,'Overhead exp(제조경비)'!C353,'JUNE (물량흐름)'!$H$13:$H$493)+SUMIF('JUNE (물량흐름)'!$C$13:$C$493,'Overhead exp(제조경비)'!C353,'JUNE (물량흐름)'!$V$13:$V$493)</f>
        <v>0</v>
      </c>
      <c r="M353" s="6">
        <f t="shared" si="90"/>
        <v>0</v>
      </c>
      <c r="N353" s="6">
        <f t="shared" si="91"/>
        <v>0</v>
      </c>
      <c r="O353" s="6">
        <f t="shared" si="101"/>
        <v>0</v>
      </c>
      <c r="P353" s="6">
        <f>SUMIF('JUNE (물량흐름)'!$C$13:$C$502,C353,'JUNE (물량흐름)'!$T$13:$T$502)+SUMIF('JUNE (물량흐름)'!$C$13:$C$502,C353,'JUNE (물량흐름)'!$V$13:$V$502)+SUMIF('JUNE (물량흐름)'!$C$13:$C$502,C353,'JUNE (물량흐름)'!$U$13:$U$502)-SUMIF('JUNE (물량흐름)'!$C$13:$C$502,C353,'JUNE (물량흐름)'!$Y$13:$Y$502)</f>
        <v>0</v>
      </c>
      <c r="Q353" s="6">
        <f t="shared" si="99"/>
        <v>0</v>
      </c>
      <c r="R353" s="6">
        <f>IF(ISERROR(VLOOKUP(#REF!,'WIP(재공품)'!$B$12:$AB$38,13,0)),0,VLOOKUP(#REF!,'WIP(재공품)'!$B$12:$AB$38,13,0))</f>
        <v>0</v>
      </c>
      <c r="S353" s="6">
        <f>IF(ISERROR(VLOOKUP(#REF!,'WIP(재공품)'!$B$12:$AB$38,10,0)),0,VLOOKUP(#REF!,'WIP(재공품)'!$B$12:$AB$38,10,0))</f>
        <v>0</v>
      </c>
      <c r="T353" s="6">
        <f>SUMIF('JUNE (물량흐름)'!$C$13:$C$502,'Overhead exp(제조경비)'!C353,'JUNE (물량흐름)'!$Y$13:$Y$502)</f>
        <v>0</v>
      </c>
      <c r="U353" s="6">
        <f t="shared" si="92"/>
        <v>0</v>
      </c>
      <c r="V353" s="6">
        <f>ROUND(SUMIF('JUNE (물량흐름)'!$C$13:$C$502,'Overhead exp(제조경비)'!C353,'JUNE (물량흐름)'!$N$13:$N$502),0)</f>
        <v>25</v>
      </c>
      <c r="W353" s="6">
        <f>ROUND(SUMIF('JUNE (물량흐름)'!$C$13:$C$502,'Overhead exp(제조경비)'!C353,'JUNE (물량흐름)'!$O$13:$O$502),0)</f>
        <v>32</v>
      </c>
      <c r="X353" s="6">
        <f>ROUND(SUMIF('JUNE (물량흐름)'!$C$13:$C$502,'Overhead exp(제조경비)'!C353,'JUNE (물량흐름)'!$P$13:$P$502),0)</f>
        <v>0</v>
      </c>
      <c r="Y353" s="6">
        <f t="shared" si="93"/>
        <v>57</v>
      </c>
      <c r="Z353" s="6">
        <f t="shared" si="94"/>
        <v>21</v>
      </c>
      <c r="AA353" s="6">
        <f t="shared" si="100"/>
        <v>1894081</v>
      </c>
      <c r="AB353" s="391">
        <f t="shared" si="95"/>
        <v>0</v>
      </c>
      <c r="AC353" s="391">
        <f t="shared" si="96"/>
        <v>0</v>
      </c>
    </row>
    <row r="354" spans="1:29" s="390" customFormat="1" ht="24" customHeight="1">
      <c r="A354" s="167">
        <v>349</v>
      </c>
      <c r="B354" s="20" t="str">
        <f>IFERROR(VLOOKUP(A354,'JUNE (물량흐름)'!$A$13:$C$502,2,0),0)</f>
        <v>ALFANI</v>
      </c>
      <c r="C354" s="272">
        <f>VLOOKUP(A354,'JUNE (물량흐름)'!$A$13:$C$502,3,0)</f>
        <v>100018235</v>
      </c>
      <c r="D354" s="6">
        <f>VLOOKUP(C354,'WIP(재공품)'!$B$12:$E$493,4,0)</f>
        <v>8163</v>
      </c>
      <c r="E354" s="6">
        <f>IFERROR(VLOOKUP(C354,O.B.JUNE!$AI$7:$AJ$448,2,0),0)</f>
        <v>38</v>
      </c>
      <c r="F354" s="6">
        <f>IFERROR(VLOOKUP(C354,O.B.JUNE!$AI$7:$AK$448,3,0),0)</f>
        <v>54</v>
      </c>
      <c r="G354" s="6">
        <f>IFERROR(VLOOKUP(C354,O.B.JUNE!$AI$7:$AL$448,4,0),0)</f>
        <v>168</v>
      </c>
      <c r="H354" s="6">
        <f t="shared" si="89"/>
        <v>260</v>
      </c>
      <c r="I354" s="6">
        <f>IFERROR(VLOOKUP(C354,O.B.JUNE!$AI$7:$AN$448,6,0),0)</f>
        <v>169</v>
      </c>
      <c r="J354" s="6"/>
      <c r="K354" s="6">
        <f>IFERROR(VLOOKUP(C354,O.B.JUNE!$AI$7:$AO$448,7,0),0)</f>
        <v>2982087</v>
      </c>
      <c r="L354" s="6">
        <f>SUMIF('JUNE (물량흐름)'!$C$13:$C$488,'Overhead exp(제조경비)'!C354,'JUNE (물량흐름)'!$H$13:$H$493)+SUMIF('JUNE (물량흐름)'!$C$13:$C$493,'Overhead exp(제조경비)'!C354,'JUNE (물량흐름)'!$V$13:$V$493)</f>
        <v>0</v>
      </c>
      <c r="M354" s="6">
        <f t="shared" si="90"/>
        <v>0</v>
      </c>
      <c r="N354" s="6">
        <f t="shared" si="91"/>
        <v>0</v>
      </c>
      <c r="O354" s="6">
        <f t="shared" si="101"/>
        <v>0</v>
      </c>
      <c r="P354" s="6">
        <f>SUMIF('JUNE (물량흐름)'!$C$13:$C$502,C354,'JUNE (물량흐름)'!$T$13:$T$502)+SUMIF('JUNE (물량흐름)'!$C$13:$C$502,C354,'JUNE (물량흐름)'!$V$13:$V$502)+SUMIF('JUNE (물량흐름)'!$C$13:$C$502,C354,'JUNE (물량흐름)'!$U$13:$U$502)-SUMIF('JUNE (물량흐름)'!$C$13:$C$502,C354,'JUNE (물량흐름)'!$Y$13:$Y$502)</f>
        <v>0</v>
      </c>
      <c r="Q354" s="6">
        <f t="shared" si="99"/>
        <v>0</v>
      </c>
      <c r="R354" s="6">
        <f>IF(ISERROR(VLOOKUP(#REF!,'WIP(재공품)'!$B$12:$AB$38,13,0)),0,VLOOKUP(#REF!,'WIP(재공품)'!$B$12:$AB$38,13,0))</f>
        <v>0</v>
      </c>
      <c r="S354" s="6">
        <f>IF(ISERROR(VLOOKUP(#REF!,'WIP(재공품)'!$B$12:$AB$38,10,0)),0,VLOOKUP(#REF!,'WIP(재공품)'!$B$12:$AB$38,10,0))</f>
        <v>0</v>
      </c>
      <c r="T354" s="6">
        <f>SUMIF('JUNE (물량흐름)'!$C$13:$C$502,'Overhead exp(제조경비)'!C354,'JUNE (물량흐름)'!$Y$13:$Y$502)</f>
        <v>0</v>
      </c>
      <c r="U354" s="6">
        <f t="shared" si="92"/>
        <v>0</v>
      </c>
      <c r="V354" s="6">
        <f>ROUND(SUMIF('JUNE (물량흐름)'!$C$13:$C$502,'Overhead exp(제조경비)'!C354,'JUNE (물량흐름)'!$N$13:$N$502),0)</f>
        <v>38</v>
      </c>
      <c r="W354" s="6">
        <f>ROUND(SUMIF('JUNE (물량흐름)'!$C$13:$C$502,'Overhead exp(제조경비)'!C354,'JUNE (물량흐름)'!$O$13:$O$502),0)</f>
        <v>54</v>
      </c>
      <c r="X354" s="6">
        <f>ROUND(SUMIF('JUNE (물량흐름)'!$C$13:$C$502,'Overhead exp(제조경비)'!C354,'JUNE (물량흐름)'!$P$13:$P$502),0)</f>
        <v>168</v>
      </c>
      <c r="Y354" s="6">
        <f t="shared" si="93"/>
        <v>260</v>
      </c>
      <c r="Z354" s="6">
        <f t="shared" si="94"/>
        <v>169</v>
      </c>
      <c r="AA354" s="6">
        <f t="shared" si="100"/>
        <v>2982087</v>
      </c>
      <c r="AB354" s="391">
        <f t="shared" si="95"/>
        <v>0</v>
      </c>
      <c r="AC354" s="391">
        <f t="shared" si="96"/>
        <v>0</v>
      </c>
    </row>
    <row r="355" spans="1:29" s="390" customFormat="1" ht="24" customHeight="1">
      <c r="A355" s="167">
        <v>350</v>
      </c>
      <c r="B355" s="20" t="str">
        <f>IFERROR(VLOOKUP(A355,'JUNE (물량흐름)'!$A$13:$C$502,2,0),0)</f>
        <v>ALFANI</v>
      </c>
      <c r="C355" s="272">
        <f>VLOOKUP(A355,'JUNE (물량흐름)'!$A$13:$C$502,3,0)</f>
        <v>100018237</v>
      </c>
      <c r="D355" s="6">
        <f>VLOOKUP(C355,'WIP(재공품)'!$B$12:$E$493,4,0)</f>
        <v>78455.5</v>
      </c>
      <c r="E355" s="6">
        <f>IFERROR(VLOOKUP(C355,O.B.JUNE!$AI$7:$AJ$448,2,0),0)</f>
        <v>104</v>
      </c>
      <c r="F355" s="6">
        <f>IFERROR(VLOOKUP(C355,O.B.JUNE!$AI$7:$AK$448,3,0),0)</f>
        <v>37</v>
      </c>
      <c r="G355" s="6">
        <f>IFERROR(VLOOKUP(C355,O.B.JUNE!$AI$7:$AL$448,4,0),0)</f>
        <v>0</v>
      </c>
      <c r="H355" s="6">
        <f t="shared" si="89"/>
        <v>141</v>
      </c>
      <c r="I355" s="6">
        <f>IFERROR(VLOOKUP(C355,O.B.JUNE!$AI$7:$AN$448,6,0),0)</f>
        <v>39</v>
      </c>
      <c r="J355" s="6"/>
      <c r="K355" s="6">
        <f>IFERROR(VLOOKUP(C355,O.B.JUNE!$AI$7:$AO$448,7,0),0)</f>
        <v>1209145</v>
      </c>
      <c r="L355" s="6">
        <f>SUMIF('JUNE (물량흐름)'!$C$13:$C$488,'Overhead exp(제조경비)'!C355,'JUNE (물량흐름)'!$H$13:$H$493)+SUMIF('JUNE (물량흐름)'!$C$13:$C$493,'Overhead exp(제조경비)'!C355,'JUNE (물량흐름)'!$V$13:$V$493)</f>
        <v>0</v>
      </c>
      <c r="M355" s="6">
        <f t="shared" si="90"/>
        <v>0</v>
      </c>
      <c r="N355" s="6">
        <f t="shared" si="91"/>
        <v>0</v>
      </c>
      <c r="O355" s="6">
        <f t="shared" si="101"/>
        <v>0</v>
      </c>
      <c r="P355" s="6">
        <f>SUMIF('JUNE (물량흐름)'!$C$13:$C$502,C355,'JUNE (물량흐름)'!$T$13:$T$502)+SUMIF('JUNE (물량흐름)'!$C$13:$C$502,C355,'JUNE (물량흐름)'!$V$13:$V$502)+SUMIF('JUNE (물량흐름)'!$C$13:$C$502,C355,'JUNE (물량흐름)'!$U$13:$U$502)-SUMIF('JUNE (물량흐름)'!$C$13:$C$502,C355,'JUNE (물량흐름)'!$Y$13:$Y$502)</f>
        <v>0</v>
      </c>
      <c r="Q355" s="6">
        <f t="shared" si="99"/>
        <v>0</v>
      </c>
      <c r="R355" s="6">
        <f>IF(ISERROR(VLOOKUP(#REF!,'WIP(재공품)'!$B$12:$AB$38,13,0)),0,VLOOKUP(#REF!,'WIP(재공품)'!$B$12:$AB$38,13,0))</f>
        <v>0</v>
      </c>
      <c r="S355" s="6">
        <f>IF(ISERROR(VLOOKUP(#REF!,'WIP(재공품)'!$B$12:$AB$38,10,0)),0,VLOOKUP(#REF!,'WIP(재공품)'!$B$12:$AB$38,10,0))</f>
        <v>0</v>
      </c>
      <c r="T355" s="6">
        <f>SUMIF('JUNE (물량흐름)'!$C$13:$C$502,'Overhead exp(제조경비)'!C355,'JUNE (물량흐름)'!$Y$13:$Y$502)</f>
        <v>0</v>
      </c>
      <c r="U355" s="6">
        <f t="shared" si="92"/>
        <v>0</v>
      </c>
      <c r="V355" s="6">
        <f>ROUND(SUMIF('JUNE (물량흐름)'!$C$13:$C$502,'Overhead exp(제조경비)'!C355,'JUNE (물량흐름)'!$N$13:$N$502),0)</f>
        <v>104</v>
      </c>
      <c r="W355" s="6">
        <f>ROUND(SUMIF('JUNE (물량흐름)'!$C$13:$C$502,'Overhead exp(제조경비)'!C355,'JUNE (물량흐름)'!$O$13:$O$502),0)</f>
        <v>37</v>
      </c>
      <c r="X355" s="6">
        <f>ROUND(SUMIF('JUNE (물량흐름)'!$C$13:$C$502,'Overhead exp(제조경비)'!C355,'JUNE (물량흐름)'!$P$13:$P$502),0)</f>
        <v>0</v>
      </c>
      <c r="Y355" s="167">
        <f t="shared" ref="Y355:Y356" si="104">ROUND(SUM(V355:X355),0)</f>
        <v>141</v>
      </c>
      <c r="Z355" s="167">
        <f t="shared" si="94"/>
        <v>39</v>
      </c>
      <c r="AA355" s="6">
        <f t="shared" si="100"/>
        <v>1209145</v>
      </c>
      <c r="AB355" s="391">
        <f t="shared" si="95"/>
        <v>0</v>
      </c>
      <c r="AC355" s="391">
        <f t="shared" si="96"/>
        <v>0</v>
      </c>
    </row>
    <row r="356" spans="1:29" s="390" customFormat="1" ht="24" customHeight="1">
      <c r="A356" s="167">
        <v>351</v>
      </c>
      <c r="B356" s="20" t="str">
        <f>IFERROR(VLOOKUP(A356,'JUNE (물량흐름)'!$A$13:$C$502,2,0),0)</f>
        <v>ALFANI</v>
      </c>
      <c r="C356" s="272">
        <f>VLOOKUP(A356,'JUNE (물량흐름)'!$A$13:$C$502,3,0)</f>
        <v>100018239</v>
      </c>
      <c r="D356" s="6">
        <f>VLOOKUP(C356,'WIP(재공품)'!$B$12:$E$493,4,0)</f>
        <v>8163</v>
      </c>
      <c r="E356" s="6">
        <f>IFERROR(VLOOKUP(C356,O.B.JUNE!$AI$7:$AJ$448,2,0),0)</f>
        <v>17</v>
      </c>
      <c r="F356" s="6">
        <f>IFERROR(VLOOKUP(C356,O.B.JUNE!$AI$7:$AK$448,3,0),0)</f>
        <v>48</v>
      </c>
      <c r="G356" s="6">
        <f>IFERROR(VLOOKUP(C356,O.B.JUNE!$AI$7:$AL$448,4,0),0)</f>
        <v>0</v>
      </c>
      <c r="H356" s="6">
        <f t="shared" si="89"/>
        <v>65</v>
      </c>
      <c r="I356" s="6">
        <f>IFERROR(VLOOKUP(C356,O.B.JUNE!$AI$7:$AN$448,6,0),0)</f>
        <v>27</v>
      </c>
      <c r="J356" s="6"/>
      <c r="K356" s="6">
        <f>IFERROR(VLOOKUP(C356,O.B.JUNE!$AI$7:$AO$448,7,0),0)</f>
        <v>805334</v>
      </c>
      <c r="L356" s="6">
        <f>SUMIF('JUNE (물량흐름)'!$C$13:$C$488,'Overhead exp(제조경비)'!C356,'JUNE (물량흐름)'!$H$13:$H$493)+SUMIF('JUNE (물량흐름)'!$C$13:$C$493,'Overhead exp(제조경비)'!C356,'JUNE (물량흐름)'!$V$13:$V$493)</f>
        <v>0</v>
      </c>
      <c r="M356" s="6">
        <f t="shared" si="90"/>
        <v>0</v>
      </c>
      <c r="N356" s="6">
        <f t="shared" si="91"/>
        <v>0</v>
      </c>
      <c r="O356" s="6">
        <f t="shared" si="101"/>
        <v>0</v>
      </c>
      <c r="P356" s="6">
        <f>SUMIF('JUNE (물량흐름)'!$C$13:$C$502,C356,'JUNE (물량흐름)'!$T$13:$T$502)+SUMIF('JUNE (물량흐름)'!$C$13:$C$502,C356,'JUNE (물량흐름)'!$V$13:$V$502)+SUMIF('JUNE (물량흐름)'!$C$13:$C$502,C356,'JUNE (물량흐름)'!$U$13:$U$502)-SUMIF('JUNE (물량흐름)'!$C$13:$C$502,C356,'JUNE (물량흐름)'!$Y$13:$Y$502)</f>
        <v>0</v>
      </c>
      <c r="Q356" s="6">
        <f t="shared" si="99"/>
        <v>0</v>
      </c>
      <c r="R356" s="6">
        <f>IF(ISERROR(VLOOKUP(#REF!,'WIP(재공품)'!$B$12:$AB$38,13,0)),0,VLOOKUP(#REF!,'WIP(재공품)'!$B$12:$AB$38,13,0))</f>
        <v>0</v>
      </c>
      <c r="S356" s="6">
        <f>IF(ISERROR(VLOOKUP(#REF!,'WIP(재공품)'!$B$12:$AB$38,10,0)),0,VLOOKUP(#REF!,'WIP(재공품)'!$B$12:$AB$38,10,0))</f>
        <v>0</v>
      </c>
      <c r="T356" s="6">
        <f>SUMIF('JUNE (물량흐름)'!$C$13:$C$502,'Overhead exp(제조경비)'!C356,'JUNE (물량흐름)'!$Y$13:$Y$502)</f>
        <v>0</v>
      </c>
      <c r="U356" s="6">
        <f t="shared" si="92"/>
        <v>0</v>
      </c>
      <c r="V356" s="6">
        <f>ROUND(SUMIF('JUNE (물량흐름)'!$C$13:$C$502,'Overhead exp(제조경비)'!C356,'JUNE (물량흐름)'!$N$13:$N$502),0)</f>
        <v>17</v>
      </c>
      <c r="W356" s="6">
        <f>ROUND(SUMIF('JUNE (물량흐름)'!$C$13:$C$502,'Overhead exp(제조경비)'!C356,'JUNE (물량흐름)'!$O$13:$O$502),0)</f>
        <v>48</v>
      </c>
      <c r="X356" s="6">
        <f>ROUND(SUMIF('JUNE (물량흐름)'!$C$13:$C$502,'Overhead exp(제조경비)'!C356,'JUNE (물량흐름)'!$P$13:$P$502),0)</f>
        <v>0</v>
      </c>
      <c r="Y356" s="167">
        <f t="shared" si="104"/>
        <v>65</v>
      </c>
      <c r="Z356" s="167">
        <f t="shared" si="94"/>
        <v>27</v>
      </c>
      <c r="AA356" s="6">
        <f t="shared" si="100"/>
        <v>805334</v>
      </c>
      <c r="AB356" s="391">
        <f t="shared" si="95"/>
        <v>0</v>
      </c>
      <c r="AC356" s="391">
        <f t="shared" si="96"/>
        <v>0</v>
      </c>
    </row>
    <row r="357" spans="1:29" s="390" customFormat="1" ht="24" customHeight="1">
      <c r="A357" s="167">
        <v>352</v>
      </c>
      <c r="B357" s="20" t="str">
        <f>IFERROR(VLOOKUP(A357,'JUNE (물량흐름)'!$A$13:$C$502,2,0),0)</f>
        <v>ALFANI</v>
      </c>
      <c r="C357" s="272">
        <f>VLOOKUP(A357,'JUNE (물량흐름)'!$A$13:$C$502,3,0)</f>
        <v>100018240</v>
      </c>
      <c r="D357" s="6">
        <f>VLOOKUP(C357,'WIP(재공품)'!$B$12:$E$493,4,0)</f>
        <v>94328</v>
      </c>
      <c r="E357" s="6">
        <f>IFERROR(VLOOKUP(C357,O.B.JUNE!$AI$7:$AJ$448,2,0),0)</f>
        <v>0</v>
      </c>
      <c r="F357" s="6">
        <f>IFERROR(VLOOKUP(C357,O.B.JUNE!$AI$7:$AK$448,3,0),0)</f>
        <v>44</v>
      </c>
      <c r="G357" s="6">
        <f>IFERROR(VLOOKUP(C357,O.B.JUNE!$AI$7:$AL$448,4,0),0)</f>
        <v>16</v>
      </c>
      <c r="H357" s="6">
        <f t="shared" si="89"/>
        <v>60</v>
      </c>
      <c r="I357" s="6">
        <f>IFERROR(VLOOKUP(C357,O.B.JUNE!$AI$7:$AN$448,6,0),0)</f>
        <v>35</v>
      </c>
      <c r="J357" s="6"/>
      <c r="K357" s="6">
        <f>IFERROR(VLOOKUP(C357,O.B.JUNE!$AI$7:$AO$448,7,0),0)</f>
        <v>1062566</v>
      </c>
      <c r="L357" s="6">
        <f>SUMIF('JUNE (물량흐름)'!$C$13:$C$488,'Overhead exp(제조경비)'!C357,'JUNE (물량흐름)'!$H$13:$H$493)+SUMIF('JUNE (물량흐름)'!$C$13:$C$493,'Overhead exp(제조경비)'!C357,'JUNE (물량흐름)'!$V$13:$V$493)</f>
        <v>0</v>
      </c>
      <c r="M357" s="6">
        <f t="shared" si="90"/>
        <v>0</v>
      </c>
      <c r="N357" s="6">
        <f t="shared" si="91"/>
        <v>0</v>
      </c>
      <c r="O357" s="6">
        <f t="shared" si="101"/>
        <v>0</v>
      </c>
      <c r="P357" s="6">
        <f>SUMIF('JUNE (물량흐름)'!$C$13:$C$502,C357,'JUNE (물량흐름)'!$T$13:$T$502)+SUMIF('JUNE (물량흐름)'!$C$13:$C$502,C357,'JUNE (물량흐름)'!$V$13:$V$502)+SUMIF('JUNE (물량흐름)'!$C$13:$C$502,C357,'JUNE (물량흐름)'!$U$13:$U$502)-SUMIF('JUNE (물량흐름)'!$C$13:$C$502,C357,'JUNE (물량흐름)'!$Y$13:$Y$502)</f>
        <v>0</v>
      </c>
      <c r="Q357" s="6">
        <f t="shared" si="99"/>
        <v>0</v>
      </c>
      <c r="R357" s="6">
        <f>IF(ISERROR(VLOOKUP(#REF!,'WIP(재공품)'!$B$12:$AB$38,13,0)),0,VLOOKUP(#REF!,'WIP(재공품)'!$B$12:$AB$38,13,0))</f>
        <v>0</v>
      </c>
      <c r="S357" s="6">
        <f>IF(ISERROR(VLOOKUP(#REF!,'WIP(재공품)'!$B$12:$AB$38,10,0)),0,VLOOKUP(#REF!,'WIP(재공품)'!$B$12:$AB$38,10,0))</f>
        <v>0</v>
      </c>
      <c r="T357" s="6">
        <f>SUMIF('JUNE (물량흐름)'!$C$13:$C$502,'Overhead exp(제조경비)'!C357,'JUNE (물량흐름)'!$Y$13:$Y$502)</f>
        <v>0</v>
      </c>
      <c r="U357" s="6">
        <f t="shared" si="92"/>
        <v>0</v>
      </c>
      <c r="V357" s="6">
        <f>ROUND(SUMIF('JUNE (물량흐름)'!$C$13:$C$502,'Overhead exp(제조경비)'!C357,'JUNE (물량흐름)'!$N$13:$N$502),0)</f>
        <v>0</v>
      </c>
      <c r="W357" s="6">
        <f>ROUND(SUMIF('JUNE (물량흐름)'!$C$13:$C$502,'Overhead exp(제조경비)'!C357,'JUNE (물량흐름)'!$O$13:$O$502),0)</f>
        <v>44</v>
      </c>
      <c r="X357" s="6">
        <f>ROUND(SUMIF('JUNE (물량흐름)'!$C$13:$C$502,'Overhead exp(제조경비)'!C357,'JUNE (물량흐름)'!$P$13:$P$502),0)</f>
        <v>16</v>
      </c>
      <c r="Y357" s="6">
        <f t="shared" si="93"/>
        <v>60</v>
      </c>
      <c r="Z357" s="6">
        <f t="shared" si="94"/>
        <v>35</v>
      </c>
      <c r="AA357" s="6">
        <f t="shared" si="100"/>
        <v>1062566</v>
      </c>
      <c r="AB357" s="391">
        <f t="shared" si="95"/>
        <v>0</v>
      </c>
      <c r="AC357" s="391">
        <f t="shared" si="96"/>
        <v>0</v>
      </c>
    </row>
    <row r="358" spans="1:29" s="390" customFormat="1" ht="24" customHeight="1">
      <c r="A358" s="167">
        <v>353</v>
      </c>
      <c r="B358" s="20" t="str">
        <f>IFERROR(VLOOKUP(A358,'JUNE (물량흐름)'!$A$13:$C$502,2,0),0)</f>
        <v>ALFANI</v>
      </c>
      <c r="C358" s="272">
        <f>VLOOKUP(A358,'JUNE (물량흐름)'!$A$13:$C$502,3,0)</f>
        <v>100018242</v>
      </c>
      <c r="D358" s="6">
        <f>VLOOKUP(C358,'WIP(재공품)'!$B$12:$E$493,4,0)</f>
        <v>60542.25</v>
      </c>
      <c r="E358" s="6">
        <f>IFERROR(VLOOKUP(C358,O.B.JUNE!$AI$7:$AJ$448,2,0),0)</f>
        <v>0</v>
      </c>
      <c r="F358" s="6">
        <f>IFERROR(VLOOKUP(C358,O.B.JUNE!$AI$7:$AK$448,3,0),0)</f>
        <v>46</v>
      </c>
      <c r="G358" s="6">
        <f>IFERROR(VLOOKUP(C358,O.B.JUNE!$AI$7:$AL$448,4,0),0)</f>
        <v>0</v>
      </c>
      <c r="H358" s="6">
        <f t="shared" si="89"/>
        <v>46</v>
      </c>
      <c r="I358" s="6">
        <f>IFERROR(VLOOKUP(C358,O.B.JUNE!$AI$7:$AN$448,6,0),0)</f>
        <v>23</v>
      </c>
      <c r="J358" s="6"/>
      <c r="K358" s="6">
        <f>IFERROR(VLOOKUP(C358,O.B.JUNE!$AI$7:$AO$448,7,0),0)</f>
        <v>595921</v>
      </c>
      <c r="L358" s="6">
        <f>SUMIF('JUNE (물량흐름)'!$C$13:$C$488,'Overhead exp(제조경비)'!C358,'JUNE (물량흐름)'!$H$13:$H$493)+SUMIF('JUNE (물량흐름)'!$C$13:$C$493,'Overhead exp(제조경비)'!C358,'JUNE (물량흐름)'!$V$13:$V$493)</f>
        <v>0</v>
      </c>
      <c r="M358" s="6">
        <f t="shared" si="90"/>
        <v>0</v>
      </c>
      <c r="N358" s="6">
        <f t="shared" si="91"/>
        <v>0</v>
      </c>
      <c r="O358" s="6">
        <f t="shared" si="101"/>
        <v>0</v>
      </c>
      <c r="P358" s="6">
        <f>SUMIF('JUNE (물량흐름)'!$C$13:$C$502,C358,'JUNE (물량흐름)'!$T$13:$T$502)+SUMIF('JUNE (물량흐름)'!$C$13:$C$502,C358,'JUNE (물량흐름)'!$V$13:$V$502)+SUMIF('JUNE (물량흐름)'!$C$13:$C$502,C358,'JUNE (물량흐름)'!$U$13:$U$502)-SUMIF('JUNE (물량흐름)'!$C$13:$C$502,C358,'JUNE (물량흐름)'!$Y$13:$Y$502)</f>
        <v>0</v>
      </c>
      <c r="Q358" s="6">
        <f t="shared" si="99"/>
        <v>0</v>
      </c>
      <c r="R358" s="6">
        <f>IF(ISERROR(VLOOKUP(#REF!,'WIP(재공품)'!$B$12:$AB$38,13,0)),0,VLOOKUP(#REF!,'WIP(재공품)'!$B$12:$AB$38,13,0))</f>
        <v>0</v>
      </c>
      <c r="S358" s="6">
        <f>IF(ISERROR(VLOOKUP(#REF!,'WIP(재공품)'!$B$12:$AB$38,10,0)),0,VLOOKUP(#REF!,'WIP(재공품)'!$B$12:$AB$38,10,0))</f>
        <v>0</v>
      </c>
      <c r="T358" s="6">
        <f>SUMIF('JUNE (물량흐름)'!$C$13:$C$502,'Overhead exp(제조경비)'!C358,'JUNE (물량흐름)'!$Y$13:$Y$502)</f>
        <v>0</v>
      </c>
      <c r="U358" s="6">
        <f t="shared" si="92"/>
        <v>0</v>
      </c>
      <c r="V358" s="6">
        <f>ROUND(SUMIF('JUNE (물량흐름)'!$C$13:$C$502,'Overhead exp(제조경비)'!C358,'JUNE (물량흐름)'!$N$13:$N$502),0)</f>
        <v>0</v>
      </c>
      <c r="W358" s="6">
        <f>ROUND(SUMIF('JUNE (물량흐름)'!$C$13:$C$502,'Overhead exp(제조경비)'!C358,'JUNE (물량흐름)'!$O$13:$O$502),0)</f>
        <v>46</v>
      </c>
      <c r="X358" s="6">
        <f>ROUND(SUMIF('JUNE (물량흐름)'!$C$13:$C$502,'Overhead exp(제조경비)'!C358,'JUNE (물량흐름)'!$P$13:$P$502),0)</f>
        <v>0</v>
      </c>
      <c r="Y358" s="167">
        <f t="shared" ref="Y358" si="105">ROUND(SUM(V358:X358),0)</f>
        <v>46</v>
      </c>
      <c r="Z358" s="167">
        <f t="shared" si="94"/>
        <v>23</v>
      </c>
      <c r="AA358" s="6">
        <f t="shared" si="100"/>
        <v>595921</v>
      </c>
      <c r="AB358" s="391">
        <f t="shared" si="95"/>
        <v>0</v>
      </c>
      <c r="AC358" s="391">
        <f t="shared" si="96"/>
        <v>0</v>
      </c>
    </row>
    <row r="359" spans="1:29" s="390" customFormat="1" ht="24" customHeight="1">
      <c r="A359" s="167">
        <v>354</v>
      </c>
      <c r="B359" s="20" t="str">
        <f>IFERROR(VLOOKUP(A359,'JUNE (물량흐름)'!$A$13:$C$502,2,0),0)</f>
        <v>ALFANI</v>
      </c>
      <c r="C359" s="272">
        <f>VLOOKUP(A359,'JUNE (물량흐름)'!$A$13:$C$502,3,0)</f>
        <v>100019044</v>
      </c>
      <c r="D359" s="6">
        <f>VLOOKUP(C359,'WIP(재공품)'!$B$12:$E$493,4,0)</f>
        <v>37413.75</v>
      </c>
      <c r="E359" s="6">
        <f>IFERROR(VLOOKUP(C359,O.B.JUNE!$AI$7:$AJ$448,2,0),0)</f>
        <v>0</v>
      </c>
      <c r="F359" s="6">
        <f>IFERROR(VLOOKUP(C359,O.B.JUNE!$AI$7:$AK$448,3,0),0)</f>
        <v>110</v>
      </c>
      <c r="G359" s="6">
        <f>IFERROR(VLOOKUP(C359,O.B.JUNE!$AI$7:$AL$448,4,0),0)</f>
        <v>110</v>
      </c>
      <c r="H359" s="6">
        <f t="shared" si="89"/>
        <v>220</v>
      </c>
      <c r="I359" s="6">
        <f>IFERROR(VLOOKUP(C359,O.B.JUNE!$AI$7:$AN$448,6,0),0)</f>
        <v>143</v>
      </c>
      <c r="J359" s="6"/>
      <c r="K359" s="6">
        <f>IFERROR(VLOOKUP(C359,O.B.JUNE!$AI$7:$AO$448,7,0),0)</f>
        <v>4219201</v>
      </c>
      <c r="L359" s="6">
        <f>SUMIF('JUNE (물량흐름)'!$C$13:$C$488,'Overhead exp(제조경비)'!C359,'JUNE (물량흐름)'!$H$13:$H$493)+SUMIF('JUNE (물량흐름)'!$C$13:$C$493,'Overhead exp(제조경비)'!C359,'JUNE (물량흐름)'!$V$13:$V$493)</f>
        <v>0</v>
      </c>
      <c r="M359" s="6">
        <f t="shared" si="90"/>
        <v>0</v>
      </c>
      <c r="N359" s="6">
        <f t="shared" si="91"/>
        <v>0</v>
      </c>
      <c r="O359" s="6">
        <f t="shared" si="101"/>
        <v>0</v>
      </c>
      <c r="P359" s="6">
        <f>SUMIF('JUNE (물량흐름)'!$C$13:$C$502,C359,'JUNE (물량흐름)'!$T$13:$T$502)+SUMIF('JUNE (물량흐름)'!$C$13:$C$502,C359,'JUNE (물량흐름)'!$V$13:$V$502)+SUMIF('JUNE (물량흐름)'!$C$13:$C$502,C359,'JUNE (물량흐름)'!$U$13:$U$502)-SUMIF('JUNE (물량흐름)'!$C$13:$C$502,C359,'JUNE (물량흐름)'!$Y$13:$Y$502)</f>
        <v>0</v>
      </c>
      <c r="Q359" s="6">
        <f t="shared" si="99"/>
        <v>0</v>
      </c>
      <c r="R359" s="6">
        <f>IF(ISERROR(VLOOKUP(#REF!,'WIP(재공품)'!$B$12:$AB$38,13,0)),0,VLOOKUP(#REF!,'WIP(재공품)'!$B$12:$AB$38,13,0))</f>
        <v>0</v>
      </c>
      <c r="S359" s="6">
        <f>IF(ISERROR(VLOOKUP(#REF!,'WIP(재공품)'!$B$12:$AB$38,10,0)),0,VLOOKUP(#REF!,'WIP(재공품)'!$B$12:$AB$38,10,0))</f>
        <v>0</v>
      </c>
      <c r="T359" s="6">
        <f>SUMIF('JUNE (물량흐름)'!$C$13:$C$502,'Overhead exp(제조경비)'!C359,'JUNE (물량흐름)'!$Y$13:$Y$502)</f>
        <v>0</v>
      </c>
      <c r="U359" s="6">
        <f t="shared" si="92"/>
        <v>0</v>
      </c>
      <c r="V359" s="6">
        <f>ROUND(SUMIF('JUNE (물량흐름)'!$C$13:$C$502,'Overhead exp(제조경비)'!C359,'JUNE (물량흐름)'!$N$13:$N$502),0)</f>
        <v>0</v>
      </c>
      <c r="W359" s="6">
        <f>ROUND(SUMIF('JUNE (물량흐름)'!$C$13:$C$502,'Overhead exp(제조경비)'!C359,'JUNE (물량흐름)'!$O$13:$O$502),0)</f>
        <v>110</v>
      </c>
      <c r="X359" s="6">
        <f>ROUND(SUMIF('JUNE (물량흐름)'!$C$13:$C$502,'Overhead exp(제조경비)'!C359,'JUNE (물량흐름)'!$P$13:$P$502),0)</f>
        <v>110</v>
      </c>
      <c r="Y359" s="6">
        <f t="shared" si="93"/>
        <v>220</v>
      </c>
      <c r="Z359" s="6">
        <f t="shared" si="94"/>
        <v>143</v>
      </c>
      <c r="AA359" s="6">
        <f t="shared" si="100"/>
        <v>4219201</v>
      </c>
      <c r="AB359" s="391">
        <f t="shared" si="95"/>
        <v>0</v>
      </c>
      <c r="AC359" s="391">
        <f t="shared" si="96"/>
        <v>0</v>
      </c>
    </row>
    <row r="360" spans="1:29" s="390" customFormat="1" ht="24" customHeight="1">
      <c r="A360" s="167">
        <v>355</v>
      </c>
      <c r="B360" s="20" t="str">
        <f>IFERROR(VLOOKUP(A360,'JUNE (물량흐름)'!$A$13:$C$502,2,0),0)</f>
        <v>ALFANI</v>
      </c>
      <c r="C360" s="272">
        <f>VLOOKUP(A360,'JUNE (물량흐름)'!$A$13:$C$502,3,0)</f>
        <v>100023527</v>
      </c>
      <c r="D360" s="6">
        <f>VLOOKUP(C360,'WIP(재공품)'!$B$12:$E$493,4,0)</f>
        <v>34692.75</v>
      </c>
      <c r="E360" s="6">
        <f>IFERROR(VLOOKUP(C360,O.B.JUNE!$AI$7:$AJ$448,2,0),0)</f>
        <v>11</v>
      </c>
      <c r="F360" s="6">
        <f>IFERROR(VLOOKUP(C360,O.B.JUNE!$AI$7:$AK$448,3,0),0)</f>
        <v>185</v>
      </c>
      <c r="G360" s="6">
        <f>IFERROR(VLOOKUP(C360,O.B.JUNE!$AI$7:$AL$448,4,0),0)</f>
        <v>438</v>
      </c>
      <c r="H360" s="6">
        <f t="shared" si="89"/>
        <v>634</v>
      </c>
      <c r="I360" s="6">
        <f>IFERROR(VLOOKUP(C360,O.B.JUNE!$AI$7:$AN$448,6,0),0)</f>
        <v>445</v>
      </c>
      <c r="J360" s="6"/>
      <c r="K360" s="6">
        <f>IFERROR(VLOOKUP(C360,O.B.JUNE!$AI$7:$AO$448,7,0),0)</f>
        <v>7491136</v>
      </c>
      <c r="L360" s="6">
        <f>SUMIF('JUNE (물량흐름)'!$C$13:$C$488,'Overhead exp(제조경비)'!C360,'JUNE (물량흐름)'!$H$13:$H$493)+SUMIF('JUNE (물량흐름)'!$C$13:$C$493,'Overhead exp(제조경비)'!C360,'JUNE (물량흐름)'!$V$13:$V$493)</f>
        <v>0</v>
      </c>
      <c r="M360" s="6">
        <f t="shared" si="90"/>
        <v>0</v>
      </c>
      <c r="N360" s="6">
        <f t="shared" si="91"/>
        <v>0</v>
      </c>
      <c r="O360" s="6">
        <f t="shared" si="101"/>
        <v>0</v>
      </c>
      <c r="P360" s="6">
        <f>SUMIF('JUNE (물량흐름)'!$C$13:$C$502,C360,'JUNE (물량흐름)'!$T$13:$T$502)+SUMIF('JUNE (물량흐름)'!$C$13:$C$502,C360,'JUNE (물량흐름)'!$V$13:$V$502)+SUMIF('JUNE (물량흐름)'!$C$13:$C$502,C360,'JUNE (물량흐름)'!$U$13:$U$502)-SUMIF('JUNE (물량흐름)'!$C$13:$C$502,C360,'JUNE (물량흐름)'!$Y$13:$Y$502)</f>
        <v>0</v>
      </c>
      <c r="Q360" s="6">
        <f t="shared" si="99"/>
        <v>0</v>
      </c>
      <c r="R360" s="6">
        <f>IF(ISERROR(VLOOKUP(#REF!,'WIP(재공품)'!$B$12:$AB$38,13,0)),0,VLOOKUP(#REF!,'WIP(재공품)'!$B$12:$AB$38,13,0))</f>
        <v>0</v>
      </c>
      <c r="S360" s="6">
        <f>IF(ISERROR(VLOOKUP(#REF!,'WIP(재공품)'!$B$12:$AB$38,10,0)),0,VLOOKUP(#REF!,'WIP(재공품)'!$B$12:$AB$38,10,0))</f>
        <v>0</v>
      </c>
      <c r="T360" s="6">
        <f>SUMIF('JUNE (물량흐름)'!$C$13:$C$502,'Overhead exp(제조경비)'!C360,'JUNE (물량흐름)'!$Y$13:$Y$502)</f>
        <v>0</v>
      </c>
      <c r="U360" s="6">
        <f t="shared" si="92"/>
        <v>0</v>
      </c>
      <c r="V360" s="6">
        <f>ROUND(SUMIF('JUNE (물량흐름)'!$C$13:$C$502,'Overhead exp(제조경비)'!C360,'JUNE (물량흐름)'!$N$13:$N$502),0)</f>
        <v>11</v>
      </c>
      <c r="W360" s="6">
        <f>ROUND(SUMIF('JUNE (물량흐름)'!$C$13:$C$502,'Overhead exp(제조경비)'!C360,'JUNE (물량흐름)'!$O$13:$O$502),0)</f>
        <v>185</v>
      </c>
      <c r="X360" s="6">
        <f>ROUND(SUMIF('JUNE (물량흐름)'!$C$13:$C$502,'Overhead exp(제조경비)'!C360,'JUNE (물량흐름)'!$P$13:$P$502),0)</f>
        <v>438</v>
      </c>
      <c r="Y360" s="167">
        <f t="shared" ref="Y360" si="106">ROUND(SUM(V360:X360),0)</f>
        <v>634</v>
      </c>
      <c r="Z360" s="167">
        <f t="shared" si="94"/>
        <v>445</v>
      </c>
      <c r="AA360" s="6">
        <f t="shared" si="100"/>
        <v>7491136</v>
      </c>
      <c r="AB360" s="391">
        <f t="shared" si="95"/>
        <v>0</v>
      </c>
      <c r="AC360" s="391">
        <f t="shared" si="96"/>
        <v>0</v>
      </c>
    </row>
    <row r="361" spans="1:29" s="390" customFormat="1" ht="24" customHeight="1">
      <c r="A361" s="167">
        <v>356</v>
      </c>
      <c r="B361" s="20" t="str">
        <f>IFERROR(VLOOKUP(A361,'JUNE (물량흐름)'!$A$13:$C$502,2,0),0)</f>
        <v>ALFANI</v>
      </c>
      <c r="C361" s="272">
        <f>VLOOKUP(A361,'JUNE (물량흐름)'!$A$13:$C$502,3,0)</f>
        <v>100024705</v>
      </c>
      <c r="D361" s="6">
        <f>VLOOKUP(C361,'WIP(재공품)'!$B$12:$E$493,4,0)</f>
        <v>73467</v>
      </c>
      <c r="E361" s="6">
        <f>IFERROR(VLOOKUP(C361,O.B.JUNE!$AI$7:$AJ$448,2,0),0)</f>
        <v>0</v>
      </c>
      <c r="F361" s="6">
        <f>IFERROR(VLOOKUP(C361,O.B.JUNE!$AI$7:$AK$448,3,0),0)</f>
        <v>23</v>
      </c>
      <c r="G361" s="6">
        <f>IFERROR(VLOOKUP(C361,O.B.JUNE!$AI$7:$AL$448,4,0),0)</f>
        <v>46</v>
      </c>
      <c r="H361" s="6">
        <f t="shared" si="89"/>
        <v>69</v>
      </c>
      <c r="I361" s="6">
        <f>IFERROR(VLOOKUP(C361,O.B.JUNE!$AI$7:$AN$448,6,0),0)</f>
        <v>48</v>
      </c>
      <c r="J361" s="6"/>
      <c r="K361" s="6">
        <f>IFERROR(VLOOKUP(C361,O.B.JUNE!$AI$7:$AO$448,7,0),0)</f>
        <v>816717</v>
      </c>
      <c r="L361" s="6">
        <f>SUMIF('JUNE (물량흐름)'!$C$13:$C$488,'Overhead exp(제조경비)'!C361,'JUNE (물량흐름)'!$H$13:$H$493)+SUMIF('JUNE (물량흐름)'!$C$13:$C$493,'Overhead exp(제조경비)'!C361,'JUNE (물량흐름)'!$V$13:$V$493)</f>
        <v>0</v>
      </c>
      <c r="M361" s="6">
        <f t="shared" si="90"/>
        <v>0</v>
      </c>
      <c r="N361" s="6">
        <f t="shared" si="91"/>
        <v>0</v>
      </c>
      <c r="O361" s="6">
        <f t="shared" si="101"/>
        <v>0</v>
      </c>
      <c r="P361" s="6">
        <f>SUMIF('JUNE (물량흐름)'!$C$13:$C$502,C361,'JUNE (물량흐름)'!$T$13:$T$502)+SUMIF('JUNE (물량흐름)'!$C$13:$C$502,C361,'JUNE (물량흐름)'!$V$13:$V$502)+SUMIF('JUNE (물량흐름)'!$C$13:$C$502,C361,'JUNE (물량흐름)'!$U$13:$U$502)-SUMIF('JUNE (물량흐름)'!$C$13:$C$502,C361,'JUNE (물량흐름)'!$Y$13:$Y$502)</f>
        <v>0</v>
      </c>
      <c r="Q361" s="6">
        <f t="shared" si="99"/>
        <v>0</v>
      </c>
      <c r="R361" s="6">
        <f>IF(ISERROR(VLOOKUP(#REF!,'WIP(재공품)'!$B$12:$AB$38,13,0)),0,VLOOKUP(#REF!,'WIP(재공품)'!$B$12:$AB$38,13,0))</f>
        <v>0</v>
      </c>
      <c r="S361" s="6">
        <f>IF(ISERROR(VLOOKUP(#REF!,'WIP(재공품)'!$B$12:$AB$38,10,0)),0,VLOOKUP(#REF!,'WIP(재공품)'!$B$12:$AB$38,10,0))</f>
        <v>0</v>
      </c>
      <c r="T361" s="6">
        <f>SUMIF('JUNE (물량흐름)'!$C$13:$C$502,'Overhead exp(제조경비)'!C361,'JUNE (물량흐름)'!$Y$13:$Y$502)</f>
        <v>0</v>
      </c>
      <c r="U361" s="6">
        <f t="shared" si="92"/>
        <v>0</v>
      </c>
      <c r="V361" s="6">
        <f>ROUND(SUMIF('JUNE (물량흐름)'!$C$13:$C$502,'Overhead exp(제조경비)'!C361,'JUNE (물량흐름)'!$N$13:$N$502),0)</f>
        <v>0</v>
      </c>
      <c r="W361" s="6">
        <f>ROUND(SUMIF('JUNE (물량흐름)'!$C$13:$C$502,'Overhead exp(제조경비)'!C361,'JUNE (물량흐름)'!$O$13:$O$502),0)</f>
        <v>23</v>
      </c>
      <c r="X361" s="6">
        <f>ROUND(SUMIF('JUNE (물량흐름)'!$C$13:$C$502,'Overhead exp(제조경비)'!C361,'JUNE (물량흐름)'!$P$13:$P$502),0)</f>
        <v>46</v>
      </c>
      <c r="Y361" s="6">
        <f t="shared" si="93"/>
        <v>69</v>
      </c>
      <c r="Z361" s="6">
        <f t="shared" si="94"/>
        <v>48</v>
      </c>
      <c r="AA361" s="6">
        <f t="shared" si="100"/>
        <v>816717</v>
      </c>
      <c r="AB361" s="391">
        <f t="shared" si="95"/>
        <v>0</v>
      </c>
      <c r="AC361" s="391">
        <f t="shared" si="96"/>
        <v>0</v>
      </c>
    </row>
    <row r="362" spans="1:29" s="390" customFormat="1" ht="24" customHeight="1">
      <c r="A362" s="167">
        <v>357</v>
      </c>
      <c r="B362" s="20" t="str">
        <f>IFERROR(VLOOKUP(A362,'JUNE (물량흐름)'!$A$13:$C$502,2,0),0)</f>
        <v>ALFANI</v>
      </c>
      <c r="C362" s="272">
        <f>VLOOKUP(A362,'JUNE (물량흐름)'!$A$13:$C$502,3,0)</f>
        <v>100027400</v>
      </c>
      <c r="D362" s="6">
        <f>VLOOKUP(C362,'WIP(재공품)'!$B$12:$E$493,4,0)</f>
        <v>94101.250000000015</v>
      </c>
      <c r="E362" s="6">
        <f>IFERROR(VLOOKUP(C362,O.B.JUNE!$AI$7:$AJ$448,2,0),0)</f>
        <v>1</v>
      </c>
      <c r="F362" s="6">
        <f>IFERROR(VLOOKUP(C362,O.B.JUNE!$AI$7:$AK$448,3,0),0)</f>
        <v>12</v>
      </c>
      <c r="G362" s="6">
        <f>IFERROR(VLOOKUP(C362,O.B.JUNE!$AI$7:$AL$448,4,0),0)</f>
        <v>14</v>
      </c>
      <c r="H362" s="6">
        <f t="shared" si="89"/>
        <v>27</v>
      </c>
      <c r="I362" s="6">
        <f>IFERROR(VLOOKUP(C362,O.B.JUNE!$AI$7:$AN$448,6,0),0)</f>
        <v>17</v>
      </c>
      <c r="J362" s="6"/>
      <c r="K362" s="6">
        <f>IFERROR(VLOOKUP(C362,O.B.JUNE!$AI$7:$AO$448,7,0),0)</f>
        <v>428874</v>
      </c>
      <c r="L362" s="6">
        <f>SUMIF('JUNE (물량흐름)'!$C$13:$C$488,'Overhead exp(제조경비)'!C362,'JUNE (물량흐름)'!$H$13:$H$493)+SUMIF('JUNE (물량흐름)'!$C$13:$C$493,'Overhead exp(제조경비)'!C362,'JUNE (물량흐름)'!$V$13:$V$493)</f>
        <v>0</v>
      </c>
      <c r="M362" s="6">
        <f t="shared" si="90"/>
        <v>0</v>
      </c>
      <c r="N362" s="6">
        <f t="shared" si="91"/>
        <v>0</v>
      </c>
      <c r="O362" s="6">
        <f t="shared" si="101"/>
        <v>0</v>
      </c>
      <c r="P362" s="6">
        <f>SUMIF('JUNE (물량흐름)'!$C$13:$C$502,C362,'JUNE (물량흐름)'!$T$13:$T$502)+SUMIF('JUNE (물량흐름)'!$C$13:$C$502,C362,'JUNE (물량흐름)'!$V$13:$V$502)+SUMIF('JUNE (물량흐름)'!$C$13:$C$502,C362,'JUNE (물량흐름)'!$U$13:$U$502)-SUMIF('JUNE (물량흐름)'!$C$13:$C$502,C362,'JUNE (물량흐름)'!$Y$13:$Y$502)</f>
        <v>0</v>
      </c>
      <c r="Q362" s="6">
        <f t="shared" si="99"/>
        <v>0</v>
      </c>
      <c r="R362" s="6">
        <f>IF(ISERROR(VLOOKUP(#REF!,'WIP(재공품)'!$B$12:$AB$38,13,0)),0,VLOOKUP(#REF!,'WIP(재공품)'!$B$12:$AB$38,13,0))</f>
        <v>0</v>
      </c>
      <c r="S362" s="6">
        <f>IF(ISERROR(VLOOKUP(#REF!,'WIP(재공품)'!$B$12:$AB$38,10,0)),0,VLOOKUP(#REF!,'WIP(재공품)'!$B$12:$AB$38,10,0))</f>
        <v>0</v>
      </c>
      <c r="T362" s="6">
        <f>SUMIF('JUNE (물량흐름)'!$C$13:$C$502,'Overhead exp(제조경비)'!C362,'JUNE (물량흐름)'!$Y$13:$Y$502)</f>
        <v>0</v>
      </c>
      <c r="U362" s="6">
        <f t="shared" si="92"/>
        <v>0</v>
      </c>
      <c r="V362" s="6">
        <f>ROUND(SUMIF('JUNE (물량흐름)'!$C$13:$C$502,'Overhead exp(제조경비)'!C362,'JUNE (물량흐름)'!$N$13:$N$502),0)</f>
        <v>1</v>
      </c>
      <c r="W362" s="6">
        <f>ROUND(SUMIF('JUNE (물량흐름)'!$C$13:$C$502,'Overhead exp(제조경비)'!C362,'JUNE (물량흐름)'!$O$13:$O$502),0)</f>
        <v>12</v>
      </c>
      <c r="X362" s="6">
        <f>ROUND(SUMIF('JUNE (물량흐름)'!$C$13:$C$502,'Overhead exp(제조경비)'!C362,'JUNE (물량흐름)'!$P$13:$P$502),0)</f>
        <v>14</v>
      </c>
      <c r="Y362" s="6">
        <f t="shared" si="93"/>
        <v>27</v>
      </c>
      <c r="Z362" s="6">
        <f t="shared" si="94"/>
        <v>17</v>
      </c>
      <c r="AA362" s="6">
        <f t="shared" si="100"/>
        <v>428874</v>
      </c>
      <c r="AB362" s="391">
        <f t="shared" si="95"/>
        <v>0</v>
      </c>
      <c r="AC362" s="391">
        <f t="shared" si="96"/>
        <v>0</v>
      </c>
    </row>
    <row r="363" spans="1:29" s="390" customFormat="1" ht="24" customHeight="1">
      <c r="A363" s="167">
        <v>358</v>
      </c>
      <c r="B363" s="20" t="str">
        <f>IFERROR(VLOOKUP(A363,'JUNE (물량흐름)'!$A$13:$C$502,2,0),0)</f>
        <v>ALFANI</v>
      </c>
      <c r="C363" s="272">
        <f>VLOOKUP(A363,'JUNE (물량흐름)'!$A$13:$C$502,3,0)</f>
        <v>100027987</v>
      </c>
      <c r="D363" s="6">
        <f>VLOOKUP(C363,'WIP(재공품)'!$B$12:$E$493,4,0)</f>
        <v>7936.2499999999991</v>
      </c>
      <c r="E363" s="6">
        <f>IFERROR(VLOOKUP(C363,O.B.JUNE!$AI$7:$AJ$448,2,0),0)</f>
        <v>0</v>
      </c>
      <c r="F363" s="6">
        <f>IFERROR(VLOOKUP(C363,O.B.JUNE!$AI$7:$AK$448,3,0),0)</f>
        <v>38</v>
      </c>
      <c r="G363" s="6">
        <f>IFERROR(VLOOKUP(C363,O.B.JUNE!$AI$7:$AL$448,4,0),0)</f>
        <v>222</v>
      </c>
      <c r="H363" s="6">
        <f t="shared" si="89"/>
        <v>260</v>
      </c>
      <c r="I363" s="6">
        <f>IFERROR(VLOOKUP(C363,O.B.JUNE!$AI$7:$AN$448,6,0),0)</f>
        <v>197</v>
      </c>
      <c r="J363" s="6"/>
      <c r="K363" s="6">
        <f>IFERROR(VLOOKUP(C363,O.B.JUNE!$AI$7:$AO$448,7,0),0)</f>
        <v>4593390</v>
      </c>
      <c r="L363" s="6">
        <f>SUMIF('JUNE (물량흐름)'!$C$13:$C$488,'Overhead exp(제조경비)'!C363,'JUNE (물량흐름)'!$H$13:$H$493)+SUMIF('JUNE (물량흐름)'!$C$13:$C$493,'Overhead exp(제조경비)'!C363,'JUNE (물량흐름)'!$V$13:$V$493)</f>
        <v>0</v>
      </c>
      <c r="M363" s="6">
        <f t="shared" si="90"/>
        <v>0</v>
      </c>
      <c r="N363" s="6">
        <f t="shared" si="91"/>
        <v>0</v>
      </c>
      <c r="O363" s="6">
        <f t="shared" si="101"/>
        <v>0</v>
      </c>
      <c r="P363" s="6">
        <f>SUMIF('JUNE (물량흐름)'!$C$13:$C$502,C363,'JUNE (물량흐름)'!$T$13:$T$502)+SUMIF('JUNE (물량흐름)'!$C$13:$C$502,C363,'JUNE (물량흐름)'!$V$13:$V$502)+SUMIF('JUNE (물량흐름)'!$C$13:$C$502,C363,'JUNE (물량흐름)'!$U$13:$U$502)-SUMIF('JUNE (물량흐름)'!$C$13:$C$502,C363,'JUNE (물량흐름)'!$Y$13:$Y$502)</f>
        <v>0</v>
      </c>
      <c r="Q363" s="6">
        <f t="shared" si="99"/>
        <v>0</v>
      </c>
      <c r="R363" s="6">
        <f>IF(ISERROR(VLOOKUP(#REF!,'WIP(재공품)'!$B$12:$AB$38,13,0)),0,VLOOKUP(#REF!,'WIP(재공품)'!$B$12:$AB$38,13,0))</f>
        <v>0</v>
      </c>
      <c r="S363" s="6">
        <f>IF(ISERROR(VLOOKUP(#REF!,'WIP(재공품)'!$B$12:$AB$38,10,0)),0,VLOOKUP(#REF!,'WIP(재공품)'!$B$12:$AB$38,10,0))</f>
        <v>0</v>
      </c>
      <c r="T363" s="6">
        <f>SUMIF('JUNE (물량흐름)'!$C$13:$C$502,'Overhead exp(제조경비)'!C363,'JUNE (물량흐름)'!$Y$13:$Y$502)</f>
        <v>0</v>
      </c>
      <c r="U363" s="6">
        <f t="shared" si="92"/>
        <v>0</v>
      </c>
      <c r="V363" s="6">
        <f>ROUND(SUMIF('JUNE (물량흐름)'!$C$13:$C$502,'Overhead exp(제조경비)'!C363,'JUNE (물량흐름)'!$N$13:$N$502),0)</f>
        <v>0</v>
      </c>
      <c r="W363" s="6">
        <f>ROUND(SUMIF('JUNE (물량흐름)'!$C$13:$C$502,'Overhead exp(제조경비)'!C363,'JUNE (물량흐름)'!$O$13:$O$502),0)</f>
        <v>38</v>
      </c>
      <c r="X363" s="6">
        <f>ROUND(SUMIF('JUNE (물량흐름)'!$C$13:$C$502,'Overhead exp(제조경비)'!C363,'JUNE (물량흐름)'!$P$13:$P$502),0)</f>
        <v>222</v>
      </c>
      <c r="Y363" s="6">
        <f t="shared" si="93"/>
        <v>260</v>
      </c>
      <c r="Z363" s="6">
        <f t="shared" si="94"/>
        <v>197</v>
      </c>
      <c r="AA363" s="6">
        <f t="shared" si="100"/>
        <v>4593390</v>
      </c>
      <c r="AB363" s="391">
        <f t="shared" si="95"/>
        <v>0</v>
      </c>
      <c r="AC363" s="391">
        <f t="shared" si="96"/>
        <v>0</v>
      </c>
    </row>
    <row r="364" spans="1:29" s="390" customFormat="1" ht="24" customHeight="1">
      <c r="A364" s="167">
        <v>359</v>
      </c>
      <c r="B364" s="20" t="str">
        <f>IFERROR(VLOOKUP(A364,'JUNE (물량흐름)'!$A$13:$C$502,2,0),0)</f>
        <v>ALFANI</v>
      </c>
      <c r="C364" s="272">
        <f>VLOOKUP(A364,'JUNE (물량흐름)'!$A$13:$C$502,3,0)</f>
        <v>100028764</v>
      </c>
      <c r="D364" s="6">
        <f>VLOOKUP(C364,'WIP(재공품)'!$B$12:$E$493,4,0)</f>
        <v>46710.5</v>
      </c>
      <c r="E364" s="6">
        <f>IFERROR(VLOOKUP(C364,O.B.JUNE!$AI$7:$AJ$448,2,0),0)</f>
        <v>0</v>
      </c>
      <c r="F364" s="6">
        <f>IFERROR(VLOOKUP(C364,O.B.JUNE!$AI$7:$AK$448,3,0),0)</f>
        <v>105</v>
      </c>
      <c r="G364" s="6">
        <f>IFERROR(VLOOKUP(C364,O.B.JUNE!$AI$7:$AL$448,4,0),0)</f>
        <v>255</v>
      </c>
      <c r="H364" s="6">
        <f t="shared" si="89"/>
        <v>360</v>
      </c>
      <c r="I364" s="6">
        <f>IFERROR(VLOOKUP(C364,O.B.JUNE!$AI$7:$AN$448,6,0),0)</f>
        <v>257</v>
      </c>
      <c r="J364" s="6"/>
      <c r="K364" s="6">
        <f>IFERROR(VLOOKUP(C364,O.B.JUNE!$AI$7:$AO$448,7,0),0)</f>
        <v>9441271</v>
      </c>
      <c r="L364" s="6">
        <f>SUMIF('JUNE (물량흐름)'!$C$13:$C$488,'Overhead exp(제조경비)'!C364,'JUNE (물량흐름)'!$H$13:$H$493)+SUMIF('JUNE (물량흐름)'!$C$13:$C$493,'Overhead exp(제조경비)'!C364,'JUNE (물량흐름)'!$V$13:$V$493)</f>
        <v>281</v>
      </c>
      <c r="M364" s="6">
        <f t="shared" si="90"/>
        <v>276</v>
      </c>
      <c r="N364" s="6">
        <f t="shared" si="91"/>
        <v>12892098</v>
      </c>
      <c r="O364" s="6">
        <f t="shared" si="101"/>
        <v>7789920</v>
      </c>
      <c r="P364" s="6">
        <f>SUMIF('JUNE (물량흐름)'!$C$13:$C$502,C364,'JUNE (물량흐름)'!$T$13:$T$502)+SUMIF('JUNE (물량흐름)'!$C$13:$C$502,C364,'JUNE (물량흐름)'!$V$13:$V$502)+SUMIF('JUNE (물량흐름)'!$C$13:$C$502,C364,'JUNE (물량흐름)'!$U$13:$U$502)-SUMIF('JUNE (물량흐름)'!$C$13:$C$502,C364,'JUNE (물량흐름)'!$Y$13:$Y$502)</f>
        <v>361</v>
      </c>
      <c r="Q364" s="6">
        <f t="shared" si="99"/>
        <v>9704306</v>
      </c>
      <c r="R364" s="6">
        <f>IF(ISERROR(VLOOKUP(#REF!,'WIP(재공품)'!$B$12:$AB$38,13,0)),0,VLOOKUP(#REF!,'WIP(재공품)'!$B$12:$AB$38,13,0))</f>
        <v>0</v>
      </c>
      <c r="S364" s="6">
        <f>IF(ISERROR(VLOOKUP(#REF!,'WIP(재공품)'!$B$12:$AB$38,10,0)),0,VLOOKUP(#REF!,'WIP(재공품)'!$B$12:$AB$38,10,0))</f>
        <v>0</v>
      </c>
      <c r="T364" s="6">
        <f>SUMIF('JUNE (물량흐름)'!$C$13:$C$502,'Overhead exp(제조경비)'!C364,'JUNE (물량흐름)'!$Y$13:$Y$502)</f>
        <v>0</v>
      </c>
      <c r="U364" s="6">
        <f t="shared" si="92"/>
        <v>0</v>
      </c>
      <c r="V364" s="6">
        <f>ROUND(SUMIF('JUNE (물량흐름)'!$C$13:$C$502,'Overhead exp(제조경비)'!C364,'JUNE (물량흐름)'!$N$13:$N$502),0)</f>
        <v>0</v>
      </c>
      <c r="W364" s="6">
        <f>ROUND(SUMIF('JUNE (물량흐름)'!$C$13:$C$502,'Overhead exp(제조경비)'!C364,'JUNE (물량흐름)'!$O$13:$O$502),0)</f>
        <v>173</v>
      </c>
      <c r="X364" s="6">
        <f>ROUND(SUMIF('JUNE (물량흐름)'!$C$13:$C$502,'Overhead exp(제조경비)'!C364,'JUNE (물량흐름)'!$P$13:$P$502),0)</f>
        <v>107</v>
      </c>
      <c r="Y364" s="6">
        <f t="shared" si="93"/>
        <v>280</v>
      </c>
      <c r="Z364" s="6">
        <f t="shared" si="94"/>
        <v>172</v>
      </c>
      <c r="AA364" s="6">
        <f t="shared" si="100"/>
        <v>7526885</v>
      </c>
      <c r="AB364" s="391">
        <f t="shared" si="95"/>
        <v>0</v>
      </c>
      <c r="AC364" s="391">
        <f t="shared" si="96"/>
        <v>0</v>
      </c>
    </row>
    <row r="365" spans="1:29" s="390" customFormat="1" ht="24" customHeight="1">
      <c r="A365" s="167">
        <v>360</v>
      </c>
      <c r="B365" s="20" t="str">
        <f>IFERROR(VLOOKUP(A365,'JUNE (물량흐름)'!$A$13:$C$502,2,0),0)</f>
        <v>ALFANI</v>
      </c>
      <c r="C365" s="272">
        <f>VLOOKUP(A365,'JUNE (물량흐름)'!$A$13:$C$502,3,0)</f>
        <v>100033322</v>
      </c>
      <c r="D365" s="6">
        <f>VLOOKUP(C365,'WIP(재공품)'!$B$12:$E$493,4,0)</f>
        <v>60088.75</v>
      </c>
      <c r="E365" s="6">
        <f>IFERROR(VLOOKUP(C365,O.B.JUNE!$AI$7:$AJ$448,2,0),0)</f>
        <v>0</v>
      </c>
      <c r="F365" s="6">
        <f>IFERROR(VLOOKUP(C365,O.B.JUNE!$AI$7:$AK$448,3,0),0)</f>
        <v>44</v>
      </c>
      <c r="G365" s="6">
        <f>IFERROR(VLOOKUP(C365,O.B.JUNE!$AI$7:$AL$448,4,0),0)</f>
        <v>19</v>
      </c>
      <c r="H365" s="6">
        <f t="shared" si="89"/>
        <v>63</v>
      </c>
      <c r="I365" s="6">
        <f>IFERROR(VLOOKUP(C365,O.B.JUNE!$AI$7:$AN$448,6,0),0)</f>
        <v>37</v>
      </c>
      <c r="J365" s="6"/>
      <c r="K365" s="6">
        <f>IFERROR(VLOOKUP(C365,O.B.JUNE!$AI$7:$AO$448,7,0),0)</f>
        <v>936621</v>
      </c>
      <c r="L365" s="6">
        <f>SUMIF('JUNE (물량흐름)'!$C$13:$C$488,'Overhead exp(제조경비)'!C365,'JUNE (물량흐름)'!$H$13:$H$493)+SUMIF('JUNE (물량흐름)'!$C$13:$C$493,'Overhead exp(제조경비)'!C365,'JUNE (물량흐름)'!$V$13:$V$493)</f>
        <v>0</v>
      </c>
      <c r="M365" s="6">
        <f t="shared" si="90"/>
        <v>0</v>
      </c>
      <c r="N365" s="6">
        <f t="shared" si="91"/>
        <v>0</v>
      </c>
      <c r="O365" s="6">
        <f t="shared" si="101"/>
        <v>0</v>
      </c>
      <c r="P365" s="6">
        <f>SUMIF('JUNE (물량흐름)'!$C$13:$C$502,C365,'JUNE (물량흐름)'!$T$13:$T$502)+SUMIF('JUNE (물량흐름)'!$C$13:$C$502,C365,'JUNE (물량흐름)'!$V$13:$V$502)+SUMIF('JUNE (물량흐름)'!$C$13:$C$502,C365,'JUNE (물량흐름)'!$U$13:$U$502)-SUMIF('JUNE (물량흐름)'!$C$13:$C$502,C365,'JUNE (물량흐름)'!$Y$13:$Y$502)</f>
        <v>0</v>
      </c>
      <c r="Q365" s="6">
        <f t="shared" si="99"/>
        <v>0</v>
      </c>
      <c r="R365" s="6">
        <f>IF(ISERROR(VLOOKUP(#REF!,'WIP(재공품)'!$B$12:$AB$38,13,0)),0,VLOOKUP(#REF!,'WIP(재공품)'!$B$12:$AB$38,13,0))</f>
        <v>0</v>
      </c>
      <c r="S365" s="6">
        <f>IF(ISERROR(VLOOKUP(#REF!,'WIP(재공품)'!$B$12:$AB$38,10,0)),0,VLOOKUP(#REF!,'WIP(재공품)'!$B$12:$AB$38,10,0))</f>
        <v>0</v>
      </c>
      <c r="T365" s="6">
        <f>SUMIF('JUNE (물량흐름)'!$C$13:$C$502,'Overhead exp(제조경비)'!C365,'JUNE (물량흐름)'!$Y$13:$Y$502)</f>
        <v>0</v>
      </c>
      <c r="U365" s="6">
        <f t="shared" si="92"/>
        <v>0</v>
      </c>
      <c r="V365" s="6">
        <f>ROUND(SUMIF('JUNE (물량흐름)'!$C$13:$C$502,'Overhead exp(제조경비)'!C365,'JUNE (물량흐름)'!$N$13:$N$502),0)</f>
        <v>0</v>
      </c>
      <c r="W365" s="6">
        <f>ROUND(SUMIF('JUNE (물량흐름)'!$C$13:$C$502,'Overhead exp(제조경비)'!C365,'JUNE (물량흐름)'!$O$13:$O$502),0)</f>
        <v>44</v>
      </c>
      <c r="X365" s="6">
        <f>ROUND(SUMIF('JUNE (물량흐름)'!$C$13:$C$502,'Overhead exp(제조경비)'!C365,'JUNE (물량흐름)'!$P$13:$P$502),0)</f>
        <v>19</v>
      </c>
      <c r="Y365" s="167">
        <f t="shared" ref="Y365:Y372" si="107">ROUND(SUM(V365:X365),0)</f>
        <v>63</v>
      </c>
      <c r="Z365" s="167">
        <f t="shared" si="94"/>
        <v>37</v>
      </c>
      <c r="AA365" s="6">
        <f t="shared" si="100"/>
        <v>936621</v>
      </c>
      <c r="AB365" s="391">
        <f t="shared" si="95"/>
        <v>0</v>
      </c>
      <c r="AC365" s="391">
        <f t="shared" si="96"/>
        <v>0</v>
      </c>
    </row>
    <row r="366" spans="1:29" s="390" customFormat="1" ht="24" customHeight="1">
      <c r="A366" s="167">
        <v>361</v>
      </c>
      <c r="B366" s="20" t="str">
        <f>IFERROR(VLOOKUP(A366,'JUNE (물량흐름)'!$A$13:$C$502,2,0),0)</f>
        <v>INC</v>
      </c>
      <c r="C366" s="272">
        <f>VLOOKUP(A366,'JUNE (물량흐름)'!$A$13:$C$502,3,0)</f>
        <v>100034173</v>
      </c>
      <c r="D366" s="6">
        <f>VLOOKUP(C366,'WIP(재공품)'!$B$12:$E$493,4,0)</f>
        <v>49658.25</v>
      </c>
      <c r="E366" s="6">
        <f>IFERROR(VLOOKUP(C366,O.B.JUNE!$AI$7:$AJ$448,2,0),0)</f>
        <v>49</v>
      </c>
      <c r="F366" s="6">
        <f>IFERROR(VLOOKUP(C366,O.B.JUNE!$AI$7:$AK$448,3,0),0)</f>
        <v>102</v>
      </c>
      <c r="G366" s="6">
        <f>IFERROR(VLOOKUP(C366,O.B.JUNE!$AI$7:$AL$448,4,0),0)</f>
        <v>44</v>
      </c>
      <c r="H366" s="6">
        <f t="shared" si="89"/>
        <v>195</v>
      </c>
      <c r="I366" s="6">
        <f>IFERROR(VLOOKUP(C366,O.B.JUNE!$AI$7:$AN$448,6,0),0)</f>
        <v>96</v>
      </c>
      <c r="J366" s="6"/>
      <c r="K366" s="6">
        <f>IFERROR(VLOOKUP(C366,O.B.JUNE!$AI$7:$AO$448,7,0),0)</f>
        <v>1895599</v>
      </c>
      <c r="L366" s="6">
        <f>SUMIF('JUNE (물량흐름)'!$C$13:$C$488,'Overhead exp(제조경비)'!C366,'JUNE (물량흐름)'!$H$13:$H$493)+SUMIF('JUNE (물량흐름)'!$C$13:$C$493,'Overhead exp(제조경비)'!C366,'JUNE (물량흐름)'!$V$13:$V$493)</f>
        <v>0</v>
      </c>
      <c r="M366" s="6">
        <f t="shared" si="90"/>
        <v>0</v>
      </c>
      <c r="N366" s="6">
        <f t="shared" si="91"/>
        <v>0</v>
      </c>
      <c r="O366" s="6">
        <f t="shared" si="101"/>
        <v>0</v>
      </c>
      <c r="P366" s="6">
        <f>SUMIF('JUNE (물량흐름)'!$C$13:$C$502,C366,'JUNE (물량흐름)'!$T$13:$T$502)+SUMIF('JUNE (물량흐름)'!$C$13:$C$502,C366,'JUNE (물량흐름)'!$V$13:$V$502)+SUMIF('JUNE (물량흐름)'!$C$13:$C$502,C366,'JUNE (물량흐름)'!$U$13:$U$502)-SUMIF('JUNE (물량흐름)'!$C$13:$C$502,C366,'JUNE (물량흐름)'!$Y$13:$Y$502)</f>
        <v>0</v>
      </c>
      <c r="Q366" s="6">
        <f t="shared" si="99"/>
        <v>0</v>
      </c>
      <c r="R366" s="6">
        <f>IF(ISERROR(VLOOKUP(#REF!,'WIP(재공품)'!$B$12:$AB$38,13,0)),0,VLOOKUP(#REF!,'WIP(재공품)'!$B$12:$AB$38,13,0))</f>
        <v>0</v>
      </c>
      <c r="S366" s="6">
        <f>IF(ISERROR(VLOOKUP(#REF!,'WIP(재공품)'!$B$12:$AB$38,10,0)),0,VLOOKUP(#REF!,'WIP(재공품)'!$B$12:$AB$38,10,0))</f>
        <v>0</v>
      </c>
      <c r="T366" s="6">
        <f>SUMIF('JUNE (물량흐름)'!$C$13:$C$502,'Overhead exp(제조경비)'!C366,'JUNE (물량흐름)'!$Y$13:$Y$502)</f>
        <v>0</v>
      </c>
      <c r="U366" s="6">
        <f t="shared" si="92"/>
        <v>0</v>
      </c>
      <c r="V366" s="6">
        <f>ROUND(SUMIF('JUNE (물량흐름)'!$C$13:$C$502,'Overhead exp(제조경비)'!C366,'JUNE (물량흐름)'!$N$13:$N$502),0)</f>
        <v>49</v>
      </c>
      <c r="W366" s="6">
        <f>ROUND(SUMIF('JUNE (물량흐름)'!$C$13:$C$502,'Overhead exp(제조경비)'!C366,'JUNE (물량흐름)'!$O$13:$O$502),0)</f>
        <v>102</v>
      </c>
      <c r="X366" s="6">
        <f>ROUND(SUMIF('JUNE (물량흐름)'!$C$13:$C$502,'Overhead exp(제조경비)'!C366,'JUNE (물량흐름)'!$P$13:$P$502),0)</f>
        <v>44</v>
      </c>
      <c r="Y366" s="167">
        <f t="shared" si="107"/>
        <v>195</v>
      </c>
      <c r="Z366" s="167">
        <f t="shared" si="94"/>
        <v>96</v>
      </c>
      <c r="AA366" s="6">
        <f t="shared" si="100"/>
        <v>1895599</v>
      </c>
      <c r="AB366" s="391">
        <f t="shared" si="95"/>
        <v>0</v>
      </c>
      <c r="AC366" s="391">
        <f t="shared" si="96"/>
        <v>0</v>
      </c>
    </row>
    <row r="367" spans="1:29" s="390" customFormat="1" ht="24" customHeight="1">
      <c r="A367" s="167">
        <v>362</v>
      </c>
      <c r="B367" s="20" t="str">
        <f>IFERROR(VLOOKUP(A367,'JUNE (물량흐름)'!$A$13:$C$502,2,0),0)</f>
        <v>TALBOTS</v>
      </c>
      <c r="C367" s="272">
        <f>VLOOKUP(A367,'JUNE (물량흐름)'!$A$13:$C$502,3,0)</f>
        <v>182034833</v>
      </c>
      <c r="D367" s="6">
        <f>VLOOKUP(C367,'WIP(재공품)'!$B$12:$E$493,4,0)</f>
        <v>103397.99999999999</v>
      </c>
      <c r="E367" s="6">
        <f>IFERROR(VLOOKUP(C367,O.B.JUNE!$AI$7:$AJ$448,2,0),0)</f>
        <v>0</v>
      </c>
      <c r="F367" s="6">
        <f>IFERROR(VLOOKUP(C367,O.B.JUNE!$AI$7:$AK$448,3,0),0)</f>
        <v>133</v>
      </c>
      <c r="G367" s="6">
        <f>IFERROR(VLOOKUP(C367,O.B.JUNE!$AI$7:$AL$448,4,0),0)</f>
        <v>0</v>
      </c>
      <c r="H367" s="6">
        <f t="shared" si="89"/>
        <v>133</v>
      </c>
      <c r="I367" s="6">
        <f>IFERROR(VLOOKUP(C367,O.B.JUNE!$AI$7:$AN$448,6,0),0)</f>
        <v>67</v>
      </c>
      <c r="J367" s="6"/>
      <c r="K367" s="6">
        <f>IFERROR(VLOOKUP(C367,O.B.JUNE!$AI$7:$AO$448,7,0),0)</f>
        <v>7929987</v>
      </c>
      <c r="L367" s="6">
        <f>SUMIF('JUNE (물량흐름)'!$C$13:$C$488,'Overhead exp(제조경비)'!C367,'JUNE (물량흐름)'!$H$13:$H$493)+SUMIF('JUNE (물량흐름)'!$C$13:$C$493,'Overhead exp(제조경비)'!C367,'JUNE (물량흐름)'!$V$13:$V$493)</f>
        <v>0</v>
      </c>
      <c r="M367" s="6">
        <f t="shared" si="90"/>
        <v>0</v>
      </c>
      <c r="N367" s="6">
        <f t="shared" si="91"/>
        <v>0</v>
      </c>
      <c r="O367" s="6">
        <f t="shared" si="101"/>
        <v>0</v>
      </c>
      <c r="P367" s="6">
        <f>SUMIF('JUNE (물량흐름)'!$C$13:$C$502,C367,'JUNE (물량흐름)'!$T$13:$T$502)+SUMIF('JUNE (물량흐름)'!$C$13:$C$502,C367,'JUNE (물량흐름)'!$V$13:$V$502)+SUMIF('JUNE (물량흐름)'!$C$13:$C$502,C367,'JUNE (물량흐름)'!$U$13:$U$502)-SUMIF('JUNE (물량흐름)'!$C$13:$C$502,C367,'JUNE (물량흐름)'!$Y$13:$Y$502)</f>
        <v>0</v>
      </c>
      <c r="Q367" s="6">
        <f t="shared" si="99"/>
        <v>0</v>
      </c>
      <c r="R367" s="6">
        <f>IF(ISERROR(VLOOKUP(#REF!,'WIP(재공품)'!$B$12:$AB$38,13,0)),0,VLOOKUP(#REF!,'WIP(재공품)'!$B$12:$AB$38,13,0))</f>
        <v>0</v>
      </c>
      <c r="S367" s="6">
        <f>IF(ISERROR(VLOOKUP(#REF!,'WIP(재공품)'!$B$12:$AB$38,10,0)),0,VLOOKUP(#REF!,'WIP(재공품)'!$B$12:$AB$38,10,0))</f>
        <v>0</v>
      </c>
      <c r="T367" s="6">
        <f>SUMIF('JUNE (물량흐름)'!$C$13:$C$502,'Overhead exp(제조경비)'!C367,'JUNE (물량흐름)'!$Y$13:$Y$502)</f>
        <v>3</v>
      </c>
      <c r="U367" s="6">
        <f t="shared" si="92"/>
        <v>178872</v>
      </c>
      <c r="V367" s="6">
        <f>ROUND(SUMIF('JUNE (물량흐름)'!$C$13:$C$502,'Overhead exp(제조경비)'!C367,'JUNE (물량흐름)'!$N$13:$N$502),0)</f>
        <v>0</v>
      </c>
      <c r="W367" s="6">
        <f>ROUND(SUMIF('JUNE (물량흐름)'!$C$13:$C$502,'Overhead exp(제조경비)'!C367,'JUNE (물량흐름)'!$O$13:$O$502),0)</f>
        <v>0</v>
      </c>
      <c r="X367" s="6">
        <f>ROUND(SUMIF('JUNE (물량흐름)'!$C$13:$C$502,'Overhead exp(제조경비)'!C367,'JUNE (물량흐름)'!$P$13:$P$502),0)</f>
        <v>130</v>
      </c>
      <c r="Y367" s="167">
        <f t="shared" si="107"/>
        <v>130</v>
      </c>
      <c r="Z367" s="167">
        <f t="shared" si="94"/>
        <v>104</v>
      </c>
      <c r="AA367" s="6">
        <f t="shared" si="100"/>
        <v>7751115</v>
      </c>
      <c r="AB367" s="391">
        <f t="shared" si="95"/>
        <v>0</v>
      </c>
      <c r="AC367" s="391">
        <f t="shared" si="96"/>
        <v>0</v>
      </c>
    </row>
    <row r="368" spans="1:29" s="390" customFormat="1" ht="24" customHeight="1">
      <c r="A368" s="167">
        <v>363</v>
      </c>
      <c r="B368" s="20" t="str">
        <f>IFERROR(VLOOKUP(A368,'JUNE (물량흐름)'!$A$13:$C$502,2,0),0)</f>
        <v>ANN TAYLOR</v>
      </c>
      <c r="C368" s="272">
        <f>VLOOKUP(A368,'JUNE (물량흐름)'!$A$13:$C$502,3,0)</f>
        <v>464035</v>
      </c>
      <c r="D368" s="6">
        <f>VLOOKUP(C368,'WIP(재공품)'!$B$12:$E$493,4,0)</f>
        <v>93194.25</v>
      </c>
      <c r="E368" s="6">
        <f>IFERROR(VLOOKUP(C368,O.B.JUNE!$AI$7:$AJ$448,2,0),0)</f>
        <v>0</v>
      </c>
      <c r="F368" s="6">
        <f>IFERROR(VLOOKUP(C368,O.B.JUNE!$AI$7:$AK$448,3,0),0)</f>
        <v>241</v>
      </c>
      <c r="G368" s="6">
        <f>IFERROR(VLOOKUP(C368,O.B.JUNE!$AI$7:$AL$448,4,0),0)</f>
        <v>146</v>
      </c>
      <c r="H368" s="6">
        <f t="shared" si="89"/>
        <v>387</v>
      </c>
      <c r="I368" s="6">
        <f>IFERROR(VLOOKUP(C368,O.B.JUNE!$AI$7:$AN$448,6,0),0)</f>
        <v>237</v>
      </c>
      <c r="J368" s="6"/>
      <c r="K368" s="6">
        <f>IFERROR(VLOOKUP(C368,O.B.JUNE!$AI$7:$AO$448,7,0),0)</f>
        <v>11201919</v>
      </c>
      <c r="L368" s="6">
        <f>SUMIF('JUNE (물량흐름)'!$C$13:$C$488,'Overhead exp(제조경비)'!C368,'JUNE (물량흐름)'!$H$13:$H$493)+SUMIF('JUNE (물량흐름)'!$C$13:$C$493,'Overhead exp(제조경비)'!C368,'JUNE (물량흐름)'!$V$13:$V$493)</f>
        <v>0</v>
      </c>
      <c r="M368" s="6">
        <f t="shared" si="90"/>
        <v>0</v>
      </c>
      <c r="N368" s="6">
        <f t="shared" si="91"/>
        <v>0</v>
      </c>
      <c r="O368" s="6">
        <f t="shared" si="101"/>
        <v>0</v>
      </c>
      <c r="P368" s="6">
        <f>SUMIF('JUNE (물량흐름)'!$C$13:$C$502,C368,'JUNE (물량흐름)'!$T$13:$T$502)+SUMIF('JUNE (물량흐름)'!$C$13:$C$502,C368,'JUNE (물량흐름)'!$V$13:$V$502)+SUMIF('JUNE (물량흐름)'!$C$13:$C$502,C368,'JUNE (물량흐름)'!$U$13:$U$502)-SUMIF('JUNE (물량흐름)'!$C$13:$C$502,C368,'JUNE (물량흐름)'!$Y$13:$Y$502)</f>
        <v>0</v>
      </c>
      <c r="Q368" s="6">
        <f t="shared" si="99"/>
        <v>0</v>
      </c>
      <c r="R368" s="6">
        <f>IF(ISERROR(VLOOKUP(#REF!,'WIP(재공품)'!$B$12:$AB$38,13,0)),0,VLOOKUP(#REF!,'WIP(재공품)'!$B$12:$AB$38,13,0))</f>
        <v>0</v>
      </c>
      <c r="S368" s="6">
        <f>IF(ISERROR(VLOOKUP(#REF!,'WIP(재공품)'!$B$12:$AB$38,10,0)),0,VLOOKUP(#REF!,'WIP(재공품)'!$B$12:$AB$38,10,0))</f>
        <v>0</v>
      </c>
      <c r="T368" s="6">
        <f>SUMIF('JUNE (물량흐름)'!$C$13:$C$502,'Overhead exp(제조경비)'!C368,'JUNE (물량흐름)'!$Y$13:$Y$502)</f>
        <v>20</v>
      </c>
      <c r="U368" s="6">
        <f t="shared" si="92"/>
        <v>578911</v>
      </c>
      <c r="V368" s="6">
        <f>ROUND(SUMIF('JUNE (물량흐름)'!$C$13:$C$502,'Overhead exp(제조경비)'!C368,'JUNE (물량흐름)'!$N$13:$N$502),0)</f>
        <v>0</v>
      </c>
      <c r="W368" s="6">
        <f>ROUND(SUMIF('JUNE (물량흐름)'!$C$13:$C$502,'Overhead exp(제조경비)'!C368,'JUNE (물량흐름)'!$O$13:$O$502),0)</f>
        <v>241</v>
      </c>
      <c r="X368" s="6">
        <f>ROUND(SUMIF('JUNE (물량흐름)'!$C$13:$C$502,'Overhead exp(제조경비)'!C368,'JUNE (물량흐름)'!$P$13:$P$502),0)</f>
        <v>126</v>
      </c>
      <c r="Y368" s="167">
        <f t="shared" si="107"/>
        <v>367</v>
      </c>
      <c r="Z368" s="167">
        <f t="shared" si="94"/>
        <v>221</v>
      </c>
      <c r="AA368" s="6">
        <f t="shared" si="100"/>
        <v>10623008</v>
      </c>
      <c r="AB368" s="391">
        <f t="shared" si="95"/>
        <v>0</v>
      </c>
      <c r="AC368" s="391">
        <f t="shared" si="96"/>
        <v>0</v>
      </c>
    </row>
    <row r="369" spans="1:29" s="390" customFormat="1" ht="24" customHeight="1">
      <c r="A369" s="167">
        <v>364</v>
      </c>
      <c r="B369" s="20" t="str">
        <f>IFERROR(VLOOKUP(A369,'JUNE (물량흐름)'!$A$13:$C$502,2,0),0)</f>
        <v>ANN TAYLOR</v>
      </c>
      <c r="C369" s="272">
        <f>VLOOKUP(A369,'JUNE (물량흐름)'!$A$13:$C$502,3,0)</f>
        <v>464354</v>
      </c>
      <c r="D369" s="6">
        <f>VLOOKUP(C369,'WIP(재공품)'!$B$12:$E$493,4,0)</f>
        <v>7936.2499999999991</v>
      </c>
      <c r="E369" s="6">
        <f>IFERROR(VLOOKUP(C369,O.B.JUNE!$AI$7:$AJ$448,2,0),0)</f>
        <v>1</v>
      </c>
      <c r="F369" s="6">
        <f>IFERROR(VLOOKUP(C369,O.B.JUNE!$AI$7:$AK$448,3,0),0)</f>
        <v>636</v>
      </c>
      <c r="G369" s="6">
        <f>IFERROR(VLOOKUP(C369,O.B.JUNE!$AI$7:$AL$448,4,0),0)</f>
        <v>3065</v>
      </c>
      <c r="H369" s="6">
        <f t="shared" si="89"/>
        <v>3702</v>
      </c>
      <c r="I369" s="6">
        <f>IFERROR(VLOOKUP(C369,O.B.JUNE!$AI$7:$AN$448,6,0),0)</f>
        <v>2770</v>
      </c>
      <c r="J369" s="6"/>
      <c r="K369" s="6">
        <f>IFERROR(VLOOKUP(C369,O.B.JUNE!$AI$7:$AO$448,7,0),0)</f>
        <v>69534536</v>
      </c>
      <c r="L369" s="6">
        <f>SUMIF('JUNE (물량흐름)'!$C$13:$C$488,'Overhead exp(제조경비)'!C369,'JUNE (물량흐름)'!$H$13:$H$493)+SUMIF('JUNE (물량흐름)'!$C$13:$C$493,'Overhead exp(제조경비)'!C369,'JUNE (물량흐름)'!$V$13:$V$493)</f>
        <v>0</v>
      </c>
      <c r="M369" s="6">
        <f t="shared" si="90"/>
        <v>0</v>
      </c>
      <c r="N369" s="6">
        <f t="shared" si="91"/>
        <v>0</v>
      </c>
      <c r="O369" s="6">
        <f t="shared" si="101"/>
        <v>0</v>
      </c>
      <c r="P369" s="6">
        <f>SUMIF('JUNE (물량흐름)'!$C$13:$C$502,C369,'JUNE (물량흐름)'!$T$13:$T$502)+SUMIF('JUNE (물량흐름)'!$C$13:$C$502,C369,'JUNE (물량흐름)'!$V$13:$V$502)+SUMIF('JUNE (물량흐름)'!$C$13:$C$502,C369,'JUNE (물량흐름)'!$U$13:$U$502)-SUMIF('JUNE (물량흐름)'!$C$13:$C$502,C369,'JUNE (물량흐름)'!$Y$13:$Y$502)</f>
        <v>0</v>
      </c>
      <c r="Q369" s="6">
        <f t="shared" si="99"/>
        <v>0</v>
      </c>
      <c r="R369" s="6">
        <f>IF(ISERROR(VLOOKUP(#REF!,'WIP(재공품)'!$B$12:$AB$38,13,0)),0,VLOOKUP(#REF!,'WIP(재공품)'!$B$12:$AB$38,13,0))</f>
        <v>0</v>
      </c>
      <c r="S369" s="6">
        <f>IF(ISERROR(VLOOKUP(#REF!,'WIP(재공품)'!$B$12:$AB$38,10,0)),0,VLOOKUP(#REF!,'WIP(재공품)'!$B$12:$AB$38,10,0))</f>
        <v>0</v>
      </c>
      <c r="T369" s="6">
        <f>SUMIF('JUNE (물량흐름)'!$C$13:$C$502,'Overhead exp(제조경비)'!C369,'JUNE (물량흐름)'!$Y$13:$Y$502)</f>
        <v>0</v>
      </c>
      <c r="U369" s="6">
        <f t="shared" si="92"/>
        <v>0</v>
      </c>
      <c r="V369" s="6">
        <f>ROUND(SUMIF('JUNE (물량흐름)'!$C$13:$C$502,'Overhead exp(제조경비)'!C369,'JUNE (물량흐름)'!$N$13:$N$502),0)</f>
        <v>1</v>
      </c>
      <c r="W369" s="6">
        <f>ROUND(SUMIF('JUNE (물량흐름)'!$C$13:$C$502,'Overhead exp(제조경비)'!C369,'JUNE (물량흐름)'!$O$13:$O$502),0)</f>
        <v>636</v>
      </c>
      <c r="X369" s="6">
        <f>ROUND(SUMIF('JUNE (물량흐름)'!$C$13:$C$502,'Overhead exp(제조경비)'!C369,'JUNE (물량흐름)'!$P$13:$P$502),0)</f>
        <v>3065</v>
      </c>
      <c r="Y369" s="167">
        <f t="shared" si="107"/>
        <v>3702</v>
      </c>
      <c r="Z369" s="167">
        <f t="shared" si="94"/>
        <v>2770</v>
      </c>
      <c r="AA369" s="6">
        <f t="shared" si="100"/>
        <v>69534536</v>
      </c>
      <c r="AB369" s="391">
        <f t="shared" si="95"/>
        <v>0</v>
      </c>
      <c r="AC369" s="391">
        <f t="shared" si="96"/>
        <v>0</v>
      </c>
    </row>
    <row r="370" spans="1:29" s="390" customFormat="1" ht="24" customHeight="1">
      <c r="A370" s="167">
        <v>365</v>
      </c>
      <c r="B370" s="20" t="str">
        <f>IFERROR(VLOOKUP(A370,'JUNE (물량흐름)'!$A$13:$C$502,2,0),0)</f>
        <v>ANN TAYLOR</v>
      </c>
      <c r="C370" s="272">
        <f>VLOOKUP(A370,'JUNE (물량흐름)'!$A$13:$C$502,3,0)</f>
        <v>469491</v>
      </c>
      <c r="D370" s="6">
        <f>VLOOKUP(C370,'WIP(재공품)'!$B$12:$E$493,4,0)</f>
        <v>46710.5</v>
      </c>
      <c r="E370" s="6">
        <f>IFERROR(VLOOKUP(C370,O.B.JUNE!$AI$7:$AJ$448,2,0),0)</f>
        <v>0</v>
      </c>
      <c r="F370" s="6">
        <f>IFERROR(VLOOKUP(C370,O.B.JUNE!$AI$7:$AK$448,3,0),0)</f>
        <v>92</v>
      </c>
      <c r="G370" s="6">
        <f>IFERROR(VLOOKUP(C370,O.B.JUNE!$AI$7:$AL$448,4,0),0)</f>
        <v>427</v>
      </c>
      <c r="H370" s="6">
        <f t="shared" si="89"/>
        <v>519</v>
      </c>
      <c r="I370" s="6">
        <f>IFERROR(VLOOKUP(C370,O.B.JUNE!$AI$7:$AN$448,6,0),0)</f>
        <v>388</v>
      </c>
      <c r="J370" s="6"/>
      <c r="K370" s="6">
        <f>IFERROR(VLOOKUP(C370,O.B.JUNE!$AI$7:$AO$448,7,0),0)</f>
        <v>8561603</v>
      </c>
      <c r="L370" s="6">
        <f>SUMIF('JUNE (물량흐름)'!$C$13:$C$488,'Overhead exp(제조경비)'!C370,'JUNE (물량흐름)'!$H$13:$H$493)+SUMIF('JUNE (물량흐름)'!$C$13:$C$493,'Overhead exp(제조경비)'!C370,'JUNE (물량흐름)'!$V$13:$V$493)</f>
        <v>0</v>
      </c>
      <c r="M370" s="6">
        <f t="shared" si="90"/>
        <v>0</v>
      </c>
      <c r="N370" s="6">
        <f t="shared" si="91"/>
        <v>0</v>
      </c>
      <c r="O370" s="6">
        <f t="shared" si="101"/>
        <v>0</v>
      </c>
      <c r="P370" s="6">
        <f>SUMIF('JUNE (물량흐름)'!$C$13:$C$502,C370,'JUNE (물량흐름)'!$T$13:$T$502)+SUMIF('JUNE (물량흐름)'!$C$13:$C$502,C370,'JUNE (물량흐름)'!$V$13:$V$502)+SUMIF('JUNE (물량흐름)'!$C$13:$C$502,C370,'JUNE (물량흐름)'!$U$13:$U$502)-SUMIF('JUNE (물량흐름)'!$C$13:$C$502,C370,'JUNE (물량흐름)'!$Y$13:$Y$502)</f>
        <v>0</v>
      </c>
      <c r="Q370" s="6">
        <f t="shared" si="99"/>
        <v>0</v>
      </c>
      <c r="R370" s="6">
        <f>IF(ISERROR(VLOOKUP(#REF!,'WIP(재공품)'!$B$12:$AB$38,13,0)),0,VLOOKUP(#REF!,'WIP(재공품)'!$B$12:$AB$38,13,0))</f>
        <v>0</v>
      </c>
      <c r="S370" s="6">
        <f>IF(ISERROR(VLOOKUP(#REF!,'WIP(재공품)'!$B$12:$AB$38,10,0)),0,VLOOKUP(#REF!,'WIP(재공품)'!$B$12:$AB$38,10,0))</f>
        <v>0</v>
      </c>
      <c r="T370" s="6">
        <f>SUMIF('JUNE (물량흐름)'!$C$13:$C$502,'Overhead exp(제조경비)'!C370,'JUNE (물량흐름)'!$Y$13:$Y$502)</f>
        <v>0</v>
      </c>
      <c r="U370" s="6">
        <f t="shared" si="92"/>
        <v>0</v>
      </c>
      <c r="V370" s="6">
        <f>ROUND(SUMIF('JUNE (물량흐름)'!$C$13:$C$502,'Overhead exp(제조경비)'!C370,'JUNE (물량흐름)'!$N$13:$N$502),0)</f>
        <v>0</v>
      </c>
      <c r="W370" s="6">
        <f>ROUND(SUMIF('JUNE (물량흐름)'!$C$13:$C$502,'Overhead exp(제조경비)'!C370,'JUNE (물량흐름)'!$O$13:$O$502),0)</f>
        <v>92</v>
      </c>
      <c r="X370" s="6">
        <f>ROUND(SUMIF('JUNE (물량흐름)'!$C$13:$C$502,'Overhead exp(제조경비)'!C370,'JUNE (물량흐름)'!$P$13:$P$502),0)</f>
        <v>427</v>
      </c>
      <c r="Y370" s="167">
        <f t="shared" si="107"/>
        <v>519</v>
      </c>
      <c r="Z370" s="167">
        <f t="shared" si="94"/>
        <v>388</v>
      </c>
      <c r="AA370" s="6">
        <f t="shared" si="100"/>
        <v>8561603</v>
      </c>
      <c r="AB370" s="391">
        <f t="shared" si="95"/>
        <v>0</v>
      </c>
      <c r="AC370" s="391">
        <f t="shared" si="96"/>
        <v>0</v>
      </c>
    </row>
    <row r="371" spans="1:29" s="390" customFormat="1" ht="24" customHeight="1">
      <c r="A371" s="167">
        <v>366</v>
      </c>
      <c r="B371" s="20" t="str">
        <f>IFERROR(VLOOKUP(A371,'JUNE (물량흐름)'!$A$13:$C$502,2,0),0)</f>
        <v>ANN TAYLOR</v>
      </c>
      <c r="C371" s="272">
        <f>VLOOKUP(A371,'JUNE (물량흐름)'!$A$13:$C$502,3,0)</f>
        <v>474304</v>
      </c>
      <c r="D371" s="6">
        <f>VLOOKUP(C371,'WIP(재공품)'!$B$12:$E$493,4,0)</f>
        <v>43762.75</v>
      </c>
      <c r="E371" s="6">
        <f>IFERROR(VLOOKUP(C371,O.B.JUNE!$AI$7:$AJ$448,2,0),0)</f>
        <v>0</v>
      </c>
      <c r="F371" s="6">
        <f>IFERROR(VLOOKUP(C371,O.B.JUNE!$AI$7:$AK$448,3,0),0)</f>
        <v>95</v>
      </c>
      <c r="G371" s="6">
        <f>IFERROR(VLOOKUP(C371,O.B.JUNE!$AI$7:$AL$448,4,0),0)</f>
        <v>272</v>
      </c>
      <c r="H371" s="6">
        <f t="shared" si="89"/>
        <v>367</v>
      </c>
      <c r="I371" s="6">
        <f>IFERROR(VLOOKUP(C371,O.B.JUNE!$AI$7:$AN$448,6,0),0)</f>
        <v>265</v>
      </c>
      <c r="J371" s="6"/>
      <c r="K371" s="6">
        <f>IFERROR(VLOOKUP(C371,O.B.JUNE!$AI$7:$AO$448,7,0),0)</f>
        <v>5654106</v>
      </c>
      <c r="L371" s="6">
        <f>SUMIF('JUNE (물량흐름)'!$C$13:$C$488,'Overhead exp(제조경비)'!C371,'JUNE (물량흐름)'!$H$13:$H$493)+SUMIF('JUNE (물량흐름)'!$C$13:$C$493,'Overhead exp(제조경비)'!C371,'JUNE (물량흐름)'!$V$13:$V$493)</f>
        <v>0</v>
      </c>
      <c r="M371" s="6">
        <f t="shared" si="90"/>
        <v>0</v>
      </c>
      <c r="N371" s="6">
        <f t="shared" si="91"/>
        <v>0</v>
      </c>
      <c r="O371" s="6">
        <f t="shared" si="101"/>
        <v>0</v>
      </c>
      <c r="P371" s="6">
        <f>SUMIF('JUNE (물량흐름)'!$C$13:$C$502,C371,'JUNE (물량흐름)'!$T$13:$T$502)+SUMIF('JUNE (물량흐름)'!$C$13:$C$502,C371,'JUNE (물량흐름)'!$V$13:$V$502)+SUMIF('JUNE (물량흐름)'!$C$13:$C$502,C371,'JUNE (물량흐름)'!$U$13:$U$502)-SUMIF('JUNE (물량흐름)'!$C$13:$C$502,C371,'JUNE (물량흐름)'!$Y$13:$Y$502)</f>
        <v>0</v>
      </c>
      <c r="Q371" s="6">
        <f t="shared" si="99"/>
        <v>0</v>
      </c>
      <c r="R371" s="6">
        <f>IF(ISERROR(VLOOKUP(#REF!,'WIP(재공품)'!$B$12:$AB$38,13,0)),0,VLOOKUP(#REF!,'WIP(재공품)'!$B$12:$AB$38,13,0))</f>
        <v>0</v>
      </c>
      <c r="S371" s="6">
        <f>IF(ISERROR(VLOOKUP(#REF!,'WIP(재공품)'!$B$12:$AB$38,10,0)),0,VLOOKUP(#REF!,'WIP(재공품)'!$B$12:$AB$38,10,0))</f>
        <v>0</v>
      </c>
      <c r="T371" s="6">
        <f>SUMIF('JUNE (물량흐름)'!$C$13:$C$502,'Overhead exp(제조경비)'!C371,'JUNE (물량흐름)'!$Y$13:$Y$502)</f>
        <v>1</v>
      </c>
      <c r="U371" s="6">
        <f t="shared" si="92"/>
        <v>15406</v>
      </c>
      <c r="V371" s="6">
        <f>ROUND(SUMIF('JUNE (물량흐름)'!$C$13:$C$502,'Overhead exp(제조경비)'!C371,'JUNE (물량흐름)'!$N$13:$N$502),0)</f>
        <v>0</v>
      </c>
      <c r="W371" s="6">
        <f>ROUND(SUMIF('JUNE (물량흐름)'!$C$13:$C$502,'Overhead exp(제조경비)'!C371,'JUNE (물량흐름)'!$O$13:$O$502),0)</f>
        <v>95</v>
      </c>
      <c r="X371" s="6">
        <f>ROUND(SUMIF('JUNE (물량흐름)'!$C$13:$C$502,'Overhead exp(제조경비)'!C371,'JUNE (물량흐름)'!$P$13:$P$502),0)</f>
        <v>271</v>
      </c>
      <c r="Y371" s="167">
        <f t="shared" si="107"/>
        <v>366</v>
      </c>
      <c r="Z371" s="167">
        <f t="shared" si="94"/>
        <v>264</v>
      </c>
      <c r="AA371" s="6">
        <f t="shared" si="100"/>
        <v>5638700</v>
      </c>
      <c r="AB371" s="391">
        <f t="shared" si="95"/>
        <v>0</v>
      </c>
      <c r="AC371" s="391">
        <f t="shared" si="96"/>
        <v>0</v>
      </c>
    </row>
    <row r="372" spans="1:29" s="390" customFormat="1" ht="24" customHeight="1">
      <c r="A372" s="167">
        <v>367</v>
      </c>
      <c r="B372" s="20" t="str">
        <f>IFERROR(VLOOKUP(A372,'JUNE (물량흐름)'!$A$13:$C$502,2,0),0)</f>
        <v>ALFANI</v>
      </c>
      <c r="C372" s="272" t="str">
        <f>VLOOKUP(A372,'JUNE (물량흐름)'!$A$13:$C$502,3,0)</f>
        <v>7X211</v>
      </c>
      <c r="D372" s="6">
        <f>VLOOKUP(C372,'WIP(재공품)'!$B$12:$E$493,4,0)</f>
        <v>71426.25</v>
      </c>
      <c r="E372" s="6">
        <f>IFERROR(VLOOKUP(C372,O.B.JUNE!$AI$7:$AJ$448,2,0),0)</f>
        <v>0</v>
      </c>
      <c r="F372" s="6">
        <f>IFERROR(VLOOKUP(C372,O.B.JUNE!$AI$7:$AK$448,3,0),0)</f>
        <v>14</v>
      </c>
      <c r="G372" s="6">
        <f>IFERROR(VLOOKUP(C372,O.B.JUNE!$AI$7:$AL$448,4,0),0)</f>
        <v>35</v>
      </c>
      <c r="H372" s="6">
        <f t="shared" si="89"/>
        <v>49</v>
      </c>
      <c r="I372" s="6">
        <f>IFERROR(VLOOKUP(C372,O.B.JUNE!$AI$7:$AN$448,6,0),0)</f>
        <v>35</v>
      </c>
      <c r="J372" s="6"/>
      <c r="K372" s="6">
        <f>IFERROR(VLOOKUP(C372,O.B.JUNE!$AI$7:$AO$448,7,0),0)</f>
        <v>622245</v>
      </c>
      <c r="L372" s="6">
        <f>SUMIF('JUNE (물량흐름)'!$C$13:$C$488,'Overhead exp(제조경비)'!C372,'JUNE (물량흐름)'!$H$13:$H$493)+SUMIF('JUNE (물량흐름)'!$C$13:$C$493,'Overhead exp(제조경비)'!C372,'JUNE (물량흐름)'!$V$13:$V$493)</f>
        <v>0</v>
      </c>
      <c r="M372" s="6">
        <f t="shared" si="90"/>
        <v>0</v>
      </c>
      <c r="N372" s="6">
        <f t="shared" si="91"/>
        <v>0</v>
      </c>
      <c r="O372" s="6">
        <f t="shared" si="101"/>
        <v>0</v>
      </c>
      <c r="P372" s="6">
        <f>SUMIF('JUNE (물량흐름)'!$C$13:$C$502,C372,'JUNE (물량흐름)'!$T$13:$T$502)+SUMIF('JUNE (물량흐름)'!$C$13:$C$502,C372,'JUNE (물량흐름)'!$V$13:$V$502)+SUMIF('JUNE (물량흐름)'!$C$13:$C$502,C372,'JUNE (물량흐름)'!$U$13:$U$502)-SUMIF('JUNE (물량흐름)'!$C$13:$C$502,C372,'JUNE (물량흐름)'!$Y$13:$Y$502)</f>
        <v>49</v>
      </c>
      <c r="Q372" s="6">
        <f t="shared" si="99"/>
        <v>622245</v>
      </c>
      <c r="R372" s="6">
        <f>IF(ISERROR(VLOOKUP(#REF!,'WIP(재공품)'!$B$12:$AB$38,13,0)),0,VLOOKUP(#REF!,'WIP(재공품)'!$B$12:$AB$38,13,0))</f>
        <v>0</v>
      </c>
      <c r="S372" s="6">
        <f>IF(ISERROR(VLOOKUP(#REF!,'WIP(재공품)'!$B$12:$AB$38,10,0)),0,VLOOKUP(#REF!,'WIP(재공품)'!$B$12:$AB$38,10,0))</f>
        <v>0</v>
      </c>
      <c r="T372" s="6">
        <f>SUMIF('JUNE (물량흐름)'!$C$13:$C$502,'Overhead exp(제조경비)'!C372,'JUNE (물량흐름)'!$Y$13:$Y$502)</f>
        <v>0</v>
      </c>
      <c r="U372" s="6">
        <f t="shared" si="92"/>
        <v>0</v>
      </c>
      <c r="V372" s="6">
        <f>ROUND(SUMIF('JUNE (물량흐름)'!$C$13:$C$502,'Overhead exp(제조경비)'!C372,'JUNE (물량흐름)'!$N$13:$N$502),0)</f>
        <v>0</v>
      </c>
      <c r="W372" s="6">
        <f>ROUND(SUMIF('JUNE (물량흐름)'!$C$13:$C$502,'Overhead exp(제조경비)'!C372,'JUNE (물량흐름)'!$O$13:$O$502),0)</f>
        <v>0</v>
      </c>
      <c r="X372" s="6">
        <f>ROUND(SUMIF('JUNE (물량흐름)'!$C$13:$C$502,'Overhead exp(제조경비)'!C372,'JUNE (물량흐름)'!$P$13:$P$502),0)</f>
        <v>0</v>
      </c>
      <c r="Y372" s="167">
        <f t="shared" si="107"/>
        <v>0</v>
      </c>
      <c r="Z372" s="167">
        <f t="shared" si="94"/>
        <v>0</v>
      </c>
      <c r="AA372" s="6">
        <f t="shared" si="100"/>
        <v>0</v>
      </c>
      <c r="AB372" s="391">
        <f t="shared" si="95"/>
        <v>0</v>
      </c>
      <c r="AC372" s="391">
        <f t="shared" si="96"/>
        <v>0</v>
      </c>
    </row>
    <row r="373" spans="1:29" s="390" customFormat="1" ht="24" customHeight="1">
      <c r="A373" s="167">
        <v>368</v>
      </c>
      <c r="B373" s="20" t="str">
        <f>IFERROR(VLOOKUP(A373,'JUNE (물량흐름)'!$A$13:$C$502,2,0),0)</f>
        <v>J JILL</v>
      </c>
      <c r="C373" s="272" t="str">
        <f>VLOOKUP(A373,'JUNE (물량흐름)'!$A$13:$C$502,3,0)</f>
        <v>KPT116131</v>
      </c>
      <c r="D373" s="6">
        <f>VLOOKUP(C373,'WIP(재공품)'!$B$12:$E$493,4,0)</f>
        <v>34919.5</v>
      </c>
      <c r="E373" s="6">
        <f>IFERROR(VLOOKUP(C373,O.B.JUNE!$AI$7:$AJ$448,2,0),0)</f>
        <v>112</v>
      </c>
      <c r="F373" s="6">
        <f>IFERROR(VLOOKUP(C373,O.B.JUNE!$AI$7:$AK$448,3,0),0)</f>
        <v>105</v>
      </c>
      <c r="G373" s="6">
        <f>IFERROR(VLOOKUP(C373,O.B.JUNE!$AI$7:$AL$448,4,0),0)</f>
        <v>144</v>
      </c>
      <c r="H373" s="6">
        <f t="shared" si="89"/>
        <v>361</v>
      </c>
      <c r="I373" s="6">
        <f>IFERROR(VLOOKUP(C373,O.B.JUNE!$AI$7:$AN$448,6,0),0)</f>
        <v>190</v>
      </c>
      <c r="J373" s="6"/>
      <c r="K373" s="6">
        <f>IFERROR(VLOOKUP(C373,O.B.JUNE!$AI$7:$AO$448,7,0),0)</f>
        <v>6020814</v>
      </c>
      <c r="L373" s="6">
        <f>SUMIF('JUNE (물량흐름)'!$C$13:$C$488,'Overhead exp(제조경비)'!C373,'JUNE (물량흐름)'!$H$13:$H$493)+SUMIF('JUNE (물량흐름)'!$C$13:$C$493,'Overhead exp(제조경비)'!C373,'JUNE (물량흐름)'!$V$13:$V$493)</f>
        <v>10486</v>
      </c>
      <c r="M373" s="6">
        <f t="shared" si="90"/>
        <v>10397</v>
      </c>
      <c r="N373" s="6">
        <f t="shared" si="91"/>
        <v>363058042</v>
      </c>
      <c r="O373" s="6">
        <f t="shared" si="101"/>
        <v>219374161</v>
      </c>
      <c r="P373" s="6">
        <f>SUMIF('JUNE (물량흐름)'!$C$13:$C$502,C373,'JUNE (물량흐름)'!$T$13:$T$502)+SUMIF('JUNE (물량흐름)'!$C$13:$C$502,C373,'JUNE (물량흐름)'!$V$13:$V$502)+SUMIF('JUNE (물량흐름)'!$C$13:$C$502,C373,'JUNE (물량흐름)'!$U$13:$U$502)-SUMIF('JUNE (물량흐름)'!$C$13:$C$502,C373,'JUNE (물량흐름)'!$Y$13:$Y$502)</f>
        <v>10238</v>
      </c>
      <c r="Q373" s="6">
        <f t="shared" si="99"/>
        <v>212740274</v>
      </c>
      <c r="R373" s="6">
        <f>IF(ISERROR(VLOOKUP(#REF!,'WIP(재공품)'!$B$12:$AB$38,13,0)),0,VLOOKUP(#REF!,'WIP(재공품)'!$B$12:$AB$38,13,0))</f>
        <v>0</v>
      </c>
      <c r="S373" s="6">
        <f>IF(ISERROR(VLOOKUP(#REF!,'WIP(재공품)'!$B$12:$AB$38,10,0)),0,VLOOKUP(#REF!,'WIP(재공품)'!$B$12:$AB$38,10,0))</f>
        <v>0</v>
      </c>
      <c r="T373" s="6">
        <f>SUMIF('JUNE (물량흐름)'!$C$13:$C$502,'Overhead exp(제조경비)'!C373,'JUNE (물량흐름)'!$Y$13:$Y$502)</f>
        <v>7</v>
      </c>
      <c r="U373" s="6">
        <f t="shared" si="92"/>
        <v>145456</v>
      </c>
      <c r="V373" s="6">
        <f>ROUND(SUMIF('JUNE (물량흐름)'!$C$13:$C$502,'Overhead exp(제조경비)'!C373,'JUNE (물량흐름)'!$N$13:$N$502),0)</f>
        <v>125</v>
      </c>
      <c r="W373" s="6">
        <f>ROUND(SUMIF('JUNE (물량흐름)'!$C$13:$C$502,'Overhead exp(제조경비)'!C373,'JUNE (물량흐름)'!$O$13:$O$502),0)</f>
        <v>215</v>
      </c>
      <c r="X373" s="6">
        <f>ROUND(SUMIF('JUNE (물량흐름)'!$C$13:$C$502,'Overhead exp(제조경비)'!C373,'JUNE (물량흐름)'!$P$13:$P$502),0)</f>
        <v>262</v>
      </c>
      <c r="Y373" s="6">
        <f t="shared" si="93"/>
        <v>602</v>
      </c>
      <c r="Z373" s="6">
        <f t="shared" si="94"/>
        <v>342</v>
      </c>
      <c r="AA373" s="6">
        <f t="shared" si="100"/>
        <v>12509244</v>
      </c>
      <c r="AB373" s="391">
        <f t="shared" si="95"/>
        <v>1</v>
      </c>
      <c r="AC373" s="391">
        <f t="shared" si="96"/>
        <v>0</v>
      </c>
    </row>
    <row r="374" spans="1:29" s="390" customFormat="1" ht="24" customHeight="1">
      <c r="A374" s="167">
        <v>369</v>
      </c>
      <c r="B374" s="20" t="str">
        <f>IFERROR(VLOOKUP(A374,'JUNE (물량흐름)'!$A$13:$C$502,2,0),0)</f>
        <v>ALFANI</v>
      </c>
      <c r="C374" s="272">
        <f>VLOOKUP(A374,'JUNE (물량흐름)'!$A$13:$C$502,3,0)</f>
        <v>100019047</v>
      </c>
      <c r="D374" s="6">
        <f>VLOOKUP(C374,'WIP(재공품)'!$B$12:$E$493,4,0)</f>
        <v>80042.75</v>
      </c>
      <c r="E374" s="6">
        <f>IFERROR(VLOOKUP(C374,O.B.JUNE!$AI$7:$AJ$448,2,0),0)</f>
        <v>0</v>
      </c>
      <c r="F374" s="6">
        <f>IFERROR(VLOOKUP(C374,O.B.JUNE!$AI$7:$AK$448,3,0),0)</f>
        <v>0</v>
      </c>
      <c r="G374" s="6">
        <f>IFERROR(VLOOKUP(C374,O.B.JUNE!$AI$7:$AL$448,4,0),0)</f>
        <v>9642</v>
      </c>
      <c r="H374" s="6">
        <f t="shared" si="89"/>
        <v>9642</v>
      </c>
      <c r="I374" s="6">
        <f>IFERROR(VLOOKUP(C374,O.B.JUNE!$AI$7:$AN$448,6,0),0)</f>
        <v>7714</v>
      </c>
      <c r="J374" s="6"/>
      <c r="K374" s="6">
        <f>IFERROR(VLOOKUP(C374,O.B.JUNE!$AI$7:$AO$448,7,0),0)</f>
        <v>353578278</v>
      </c>
      <c r="L374" s="6">
        <f>SUMIF('JUNE (물량흐름)'!$C$13:$C$488,'Overhead exp(제조경비)'!C374,'JUNE (물량흐름)'!$H$13:$H$493)+SUMIF('JUNE (물량흐름)'!$C$13:$C$493,'Overhead exp(제조경비)'!C374,'JUNE (물량흐름)'!$V$13:$V$493)</f>
        <v>0</v>
      </c>
      <c r="M374" s="6">
        <f t="shared" si="90"/>
        <v>0</v>
      </c>
      <c r="N374" s="6">
        <f t="shared" si="91"/>
        <v>0</v>
      </c>
      <c r="O374" s="6">
        <f t="shared" si="101"/>
        <v>0</v>
      </c>
      <c r="P374" s="6">
        <f>SUMIF('JUNE (물량흐름)'!$C$13:$C$502,C374,'JUNE (물량흐름)'!$T$13:$T$502)+SUMIF('JUNE (물량흐름)'!$C$13:$C$502,C374,'JUNE (물량흐름)'!$V$13:$V$502)+SUMIF('JUNE (물량흐름)'!$C$13:$C$502,C374,'JUNE (물량흐름)'!$U$13:$U$502)-SUMIF('JUNE (물량흐름)'!$C$13:$C$502,C374,'JUNE (물량흐름)'!$Y$13:$Y$502)</f>
        <v>9264</v>
      </c>
      <c r="Q374" s="6">
        <f t="shared" si="99"/>
        <v>339716777</v>
      </c>
      <c r="R374" s="6">
        <f>IF(ISERROR(VLOOKUP(#REF!,'WIP(재공품)'!$B$12:$AB$38,13,0)),0,VLOOKUP(#REF!,'WIP(재공품)'!$B$12:$AB$38,13,0))</f>
        <v>0</v>
      </c>
      <c r="S374" s="6">
        <f>IF(ISERROR(VLOOKUP(#REF!,'WIP(재공품)'!$B$12:$AB$38,10,0)),0,VLOOKUP(#REF!,'WIP(재공품)'!$B$12:$AB$38,10,0))</f>
        <v>0</v>
      </c>
      <c r="T374" s="6">
        <f>SUMIF('JUNE (물량흐름)'!$C$13:$C$502,'Overhead exp(제조경비)'!C374,'JUNE (물량흐름)'!$Y$13:$Y$502)</f>
        <v>0</v>
      </c>
      <c r="U374" s="6">
        <f t="shared" si="92"/>
        <v>0</v>
      </c>
      <c r="V374" s="6">
        <f>ROUND(SUMIF('JUNE (물량흐름)'!$C$13:$C$502,'Overhead exp(제조경비)'!C374,'JUNE (물량흐름)'!$N$13:$N$502),0)</f>
        <v>0</v>
      </c>
      <c r="W374" s="6">
        <f>ROUND(SUMIF('JUNE (물량흐름)'!$C$13:$C$502,'Overhead exp(제조경비)'!C374,'JUNE (물량흐름)'!$O$13:$O$502),0)</f>
        <v>0</v>
      </c>
      <c r="X374" s="6">
        <f>ROUND(SUMIF('JUNE (물량흐름)'!$C$13:$C$502,'Overhead exp(제조경비)'!C374,'JUNE (물량흐름)'!$P$13:$P$502),0)</f>
        <v>378</v>
      </c>
      <c r="Y374" s="167">
        <f t="shared" ref="Y374:Y384" si="108">ROUND(SUM(V374:X374),0)</f>
        <v>378</v>
      </c>
      <c r="Z374" s="167">
        <f t="shared" si="94"/>
        <v>302</v>
      </c>
      <c r="AA374" s="6">
        <f t="shared" si="100"/>
        <v>13861501</v>
      </c>
      <c r="AB374" s="391">
        <f t="shared" si="95"/>
        <v>0</v>
      </c>
      <c r="AC374" s="391">
        <f t="shared" si="96"/>
        <v>0</v>
      </c>
    </row>
    <row r="375" spans="1:29" s="390" customFormat="1" ht="24" customHeight="1">
      <c r="A375" s="167">
        <v>370</v>
      </c>
      <c r="B375" s="20" t="str">
        <f>IFERROR(VLOOKUP(A375,'JUNE (물량흐름)'!$A$13:$C$502,2,0),0)</f>
        <v>ANN TAYLOR</v>
      </c>
      <c r="C375" s="272">
        <f>VLOOKUP(A375,'JUNE (물량흐름)'!$A$13:$C$502,3,0)</f>
        <v>466798</v>
      </c>
      <c r="D375" s="6">
        <f>VLOOKUP(C375,'WIP(재공품)'!$B$12:$E$493,4,0)</f>
        <v>68478.5</v>
      </c>
      <c r="E375" s="6">
        <f>IFERROR(VLOOKUP(C375,O.B.JUNE!$AI$7:$AJ$448,2,0),0)</f>
        <v>0</v>
      </c>
      <c r="F375" s="6">
        <f>IFERROR(VLOOKUP(C375,O.B.JUNE!$AI$7:$AK$448,3,0),0)</f>
        <v>177</v>
      </c>
      <c r="G375" s="6">
        <f>IFERROR(VLOOKUP(C375,O.B.JUNE!$AI$7:$AL$448,4,0),0)</f>
        <v>371</v>
      </c>
      <c r="H375" s="6">
        <f t="shared" si="89"/>
        <v>548</v>
      </c>
      <c r="I375" s="6">
        <f>IFERROR(VLOOKUP(C375,O.B.JUNE!$AI$7:$AN$448,6,0),0)</f>
        <v>385</v>
      </c>
      <c r="J375" s="6"/>
      <c r="K375" s="6">
        <f>IFERROR(VLOOKUP(C375,O.B.JUNE!$AI$7:$AO$448,7,0),0)</f>
        <v>21648912</v>
      </c>
      <c r="L375" s="6">
        <f>SUMIF('JUNE (물량흐름)'!$C$13:$C$488,'Overhead exp(제조경비)'!C375,'JUNE (물량흐름)'!$H$13:$H$493)+SUMIF('JUNE (물량흐름)'!$C$13:$C$493,'Overhead exp(제조경비)'!C375,'JUNE (물량흐름)'!$V$13:$V$493)</f>
        <v>0</v>
      </c>
      <c r="M375" s="6">
        <f t="shared" si="90"/>
        <v>0</v>
      </c>
      <c r="N375" s="6">
        <f t="shared" si="91"/>
        <v>0</v>
      </c>
      <c r="O375" s="6">
        <f t="shared" si="101"/>
        <v>0</v>
      </c>
      <c r="P375" s="6">
        <f>SUMIF('JUNE (물량흐름)'!$C$13:$C$502,C375,'JUNE (물량흐름)'!$T$13:$T$502)+SUMIF('JUNE (물량흐름)'!$C$13:$C$502,C375,'JUNE (물량흐름)'!$V$13:$V$502)+SUMIF('JUNE (물량흐름)'!$C$13:$C$502,C375,'JUNE (물량흐름)'!$U$13:$U$502)-SUMIF('JUNE (물량흐름)'!$C$13:$C$502,C375,'JUNE (물량흐름)'!$Y$13:$Y$502)</f>
        <v>455</v>
      </c>
      <c r="Q375" s="6">
        <f t="shared" si="99"/>
        <v>17974918</v>
      </c>
      <c r="R375" s="6">
        <f>IF(ISERROR(VLOOKUP(#REF!,'WIP(재공품)'!$B$12:$AB$38,13,0)),0,VLOOKUP(#REF!,'WIP(재공품)'!$B$12:$AB$38,13,0))</f>
        <v>0</v>
      </c>
      <c r="S375" s="6">
        <f>IF(ISERROR(VLOOKUP(#REF!,'WIP(재공품)'!$B$12:$AB$38,10,0)),0,VLOOKUP(#REF!,'WIP(재공품)'!$B$12:$AB$38,10,0))</f>
        <v>0</v>
      </c>
      <c r="T375" s="6">
        <f>SUMIF('JUNE (물량흐름)'!$C$13:$C$502,'Overhead exp(제조경비)'!C375,'JUNE (물량흐름)'!$Y$13:$Y$502)</f>
        <v>0</v>
      </c>
      <c r="U375" s="6">
        <f t="shared" si="92"/>
        <v>0</v>
      </c>
      <c r="V375" s="6">
        <f>ROUND(SUMIF('JUNE (물량흐름)'!$C$13:$C$502,'Overhead exp(제조경비)'!C375,'JUNE (물량흐름)'!$N$13:$N$502),0)</f>
        <v>0</v>
      </c>
      <c r="W375" s="6">
        <f>ROUND(SUMIF('JUNE (물량흐름)'!$C$13:$C$502,'Overhead exp(제조경비)'!C375,'JUNE (물량흐름)'!$O$13:$O$502),0)</f>
        <v>32</v>
      </c>
      <c r="X375" s="6">
        <f>ROUND(SUMIF('JUNE (물량흐름)'!$C$13:$C$502,'Overhead exp(제조경비)'!C375,'JUNE (물량흐름)'!$P$13:$P$502),0)</f>
        <v>61</v>
      </c>
      <c r="Y375" s="167">
        <f t="shared" si="108"/>
        <v>93</v>
      </c>
      <c r="Z375" s="167">
        <f t="shared" si="94"/>
        <v>65</v>
      </c>
      <c r="AA375" s="6">
        <f t="shared" si="100"/>
        <v>3673994</v>
      </c>
      <c r="AB375" s="391">
        <f t="shared" si="95"/>
        <v>0</v>
      </c>
      <c r="AC375" s="391">
        <f t="shared" si="96"/>
        <v>0</v>
      </c>
    </row>
    <row r="376" spans="1:29" s="390" customFormat="1" ht="24" customHeight="1">
      <c r="A376" s="167">
        <v>371</v>
      </c>
      <c r="B376" s="20" t="str">
        <f>IFERROR(VLOOKUP(A376,'JUNE (물량흐름)'!$A$13:$C$502,2,0),0)</f>
        <v>ANN TAYLOR</v>
      </c>
      <c r="C376" s="272">
        <f>VLOOKUP(A376,'JUNE (물량흐름)'!$A$13:$C$502,3,0)</f>
        <v>468921</v>
      </c>
      <c r="D376" s="6">
        <f>VLOOKUP(C376,'WIP(재공품)'!$B$12:$E$493,4,0)</f>
        <v>71426.25</v>
      </c>
      <c r="E376" s="6">
        <f>IFERROR(VLOOKUP(C376,O.B.JUNE!$AI$7:$AJ$448,2,0),0)</f>
        <v>0</v>
      </c>
      <c r="F376" s="6">
        <f>IFERROR(VLOOKUP(C376,O.B.JUNE!$AI$7:$AK$448,3,0),0)</f>
        <v>146</v>
      </c>
      <c r="G376" s="6">
        <f>IFERROR(VLOOKUP(C376,O.B.JUNE!$AI$7:$AL$448,4,0),0)</f>
        <v>263</v>
      </c>
      <c r="H376" s="6">
        <f t="shared" si="89"/>
        <v>409</v>
      </c>
      <c r="I376" s="6">
        <f>IFERROR(VLOOKUP(C376,O.B.JUNE!$AI$7:$AN$448,6,0),0)</f>
        <v>283</v>
      </c>
      <c r="J376" s="6"/>
      <c r="K376" s="6">
        <f>IFERROR(VLOOKUP(C376,O.B.JUNE!$AI$7:$AO$448,7,0),0)</f>
        <v>17257593</v>
      </c>
      <c r="L376" s="6">
        <f>SUMIF('JUNE (물량흐름)'!$C$13:$C$488,'Overhead exp(제조경비)'!C376,'JUNE (물량흐름)'!$H$13:$H$493)+SUMIF('JUNE (물량흐름)'!$C$13:$C$493,'Overhead exp(제조경비)'!C376,'JUNE (물량흐름)'!$V$13:$V$493)</f>
        <v>0</v>
      </c>
      <c r="M376" s="6">
        <f t="shared" si="90"/>
        <v>0</v>
      </c>
      <c r="N376" s="6">
        <f t="shared" si="91"/>
        <v>0</v>
      </c>
      <c r="O376" s="6">
        <f t="shared" si="101"/>
        <v>0</v>
      </c>
      <c r="P376" s="6">
        <f>SUMIF('JUNE (물량흐름)'!$C$13:$C$502,C376,'JUNE (물량흐름)'!$T$13:$T$502)+SUMIF('JUNE (물량흐름)'!$C$13:$C$502,C376,'JUNE (물량흐름)'!$V$13:$V$502)+SUMIF('JUNE (물량흐름)'!$C$13:$C$502,C376,'JUNE (물량흐름)'!$U$13:$U$502)-SUMIF('JUNE (물량흐름)'!$C$13:$C$502,C376,'JUNE (물량흐름)'!$Y$13:$Y$502)</f>
        <v>87</v>
      </c>
      <c r="Q376" s="6">
        <f t="shared" si="99"/>
        <v>3670931</v>
      </c>
      <c r="R376" s="6">
        <f>IF(ISERROR(VLOOKUP(#REF!,'WIP(재공품)'!$B$12:$AB$38,13,0)),0,VLOOKUP(#REF!,'WIP(재공품)'!$B$12:$AB$38,13,0))</f>
        <v>0</v>
      </c>
      <c r="S376" s="6">
        <f>IF(ISERROR(VLOOKUP(#REF!,'WIP(재공품)'!$B$12:$AB$38,10,0)),0,VLOOKUP(#REF!,'WIP(재공품)'!$B$12:$AB$38,10,0))</f>
        <v>0</v>
      </c>
      <c r="T376" s="6">
        <f>SUMIF('JUNE (물량흐름)'!$C$13:$C$502,'Overhead exp(제조경비)'!C376,'JUNE (물량흐름)'!$Y$13:$Y$502)</f>
        <v>11</v>
      </c>
      <c r="U376" s="6">
        <f t="shared" si="92"/>
        <v>464141</v>
      </c>
      <c r="V376" s="6">
        <f>ROUND(SUMIF('JUNE (물량흐름)'!$C$13:$C$502,'Overhead exp(제조경비)'!C376,'JUNE (물량흐름)'!$N$13:$N$502),0)</f>
        <v>0</v>
      </c>
      <c r="W376" s="6">
        <f>ROUND(SUMIF('JUNE (물량흐름)'!$C$13:$C$502,'Overhead exp(제조경비)'!C376,'JUNE (물량흐름)'!$O$13:$O$502),0)</f>
        <v>146</v>
      </c>
      <c r="X376" s="6">
        <f>ROUND(SUMIF('JUNE (물량흐름)'!$C$13:$C$502,'Overhead exp(제조경비)'!C376,'JUNE (물량흐름)'!$P$13:$P$502),0)</f>
        <v>165</v>
      </c>
      <c r="Y376" s="167">
        <f t="shared" si="108"/>
        <v>311</v>
      </c>
      <c r="Z376" s="167">
        <f t="shared" si="94"/>
        <v>205</v>
      </c>
      <c r="AA376" s="6">
        <f t="shared" si="100"/>
        <v>13122522</v>
      </c>
      <c r="AB376" s="391">
        <f t="shared" si="95"/>
        <v>-1</v>
      </c>
      <c r="AC376" s="391">
        <f t="shared" si="96"/>
        <v>0</v>
      </c>
    </row>
    <row r="377" spans="1:29" s="390" customFormat="1" ht="24" customHeight="1">
      <c r="A377" s="167">
        <v>372</v>
      </c>
      <c r="B377" s="20" t="str">
        <f>IFERROR(VLOOKUP(A377,'JUNE (물량흐름)'!$A$13:$C$502,2,0),0)</f>
        <v>ANN TAYLOR</v>
      </c>
      <c r="C377" s="272">
        <f>VLOOKUP(A377,'JUNE (물량흐름)'!$A$13:$C$502,3,0)</f>
        <v>469052</v>
      </c>
      <c r="D377" s="6">
        <f>VLOOKUP(C377,'WIP(재공품)'!$B$12:$E$493,4,0)</f>
        <v>33559</v>
      </c>
      <c r="E377" s="6">
        <f>IFERROR(VLOOKUP(C377,O.B.JUNE!$AI$7:$AJ$448,2,0),0)</f>
        <v>0</v>
      </c>
      <c r="F377" s="6">
        <f>IFERROR(VLOOKUP(C377,O.B.JUNE!$AI$7:$AK$448,3,0),0)</f>
        <v>452</v>
      </c>
      <c r="G377" s="6">
        <f>IFERROR(VLOOKUP(C377,O.B.JUNE!$AI$7:$AL$448,4,0),0)</f>
        <v>455</v>
      </c>
      <c r="H377" s="6">
        <f t="shared" si="89"/>
        <v>907</v>
      </c>
      <c r="I377" s="6">
        <f>IFERROR(VLOOKUP(C377,O.B.JUNE!$AI$7:$AN$448,6,0),0)</f>
        <v>590</v>
      </c>
      <c r="J377" s="6"/>
      <c r="K377" s="6">
        <f>IFERROR(VLOOKUP(C377,O.B.JUNE!$AI$7:$AO$448,7,0),0)</f>
        <v>17266322</v>
      </c>
      <c r="L377" s="6">
        <f>SUMIF('JUNE (물량흐름)'!$C$13:$C$488,'Overhead exp(제조경비)'!C377,'JUNE (물량흐름)'!$H$13:$H$493)+SUMIF('JUNE (물량흐름)'!$C$13:$C$493,'Overhead exp(제조경비)'!C377,'JUNE (물량흐름)'!$V$13:$V$493)</f>
        <v>0</v>
      </c>
      <c r="M377" s="6">
        <f t="shared" si="90"/>
        <v>0</v>
      </c>
      <c r="N377" s="6">
        <f t="shared" si="91"/>
        <v>0</v>
      </c>
      <c r="O377" s="6">
        <f t="shared" si="101"/>
        <v>0</v>
      </c>
      <c r="P377" s="6">
        <f>SUMIF('JUNE (물량흐름)'!$C$13:$C$502,C377,'JUNE (물량흐름)'!$T$13:$T$502)+SUMIF('JUNE (물량흐름)'!$C$13:$C$502,C377,'JUNE (물량흐름)'!$V$13:$V$502)+SUMIF('JUNE (물량흐름)'!$C$13:$C$502,C377,'JUNE (물량흐름)'!$U$13:$U$502)-SUMIF('JUNE (물량흐름)'!$C$13:$C$502,C377,'JUNE (물량흐름)'!$Y$13:$Y$502)</f>
        <v>1</v>
      </c>
      <c r="Q377" s="6">
        <f t="shared" si="99"/>
        <v>19037</v>
      </c>
      <c r="R377" s="6">
        <f>IF(ISERROR(VLOOKUP(#REF!,'WIP(재공품)'!$B$12:$AB$38,13,0)),0,VLOOKUP(#REF!,'WIP(재공품)'!$B$12:$AB$38,13,0))</f>
        <v>0</v>
      </c>
      <c r="S377" s="6">
        <f>IF(ISERROR(VLOOKUP(#REF!,'WIP(재공품)'!$B$12:$AB$38,10,0)),0,VLOOKUP(#REF!,'WIP(재공품)'!$B$12:$AB$38,10,0))</f>
        <v>0</v>
      </c>
      <c r="T377" s="6">
        <f>SUMIF('JUNE (물량흐름)'!$C$13:$C$502,'Overhead exp(제조경비)'!C377,'JUNE (물량흐름)'!$Y$13:$Y$502)</f>
        <v>10</v>
      </c>
      <c r="U377" s="6">
        <f t="shared" si="92"/>
        <v>190367</v>
      </c>
      <c r="V377" s="6">
        <f>ROUND(SUMIF('JUNE (물량흐름)'!$C$13:$C$502,'Overhead exp(제조경비)'!C377,'JUNE (물량흐름)'!$N$13:$N$502),0)</f>
        <v>0</v>
      </c>
      <c r="W377" s="6">
        <f>ROUND(SUMIF('JUNE (물량흐름)'!$C$13:$C$502,'Overhead exp(제조경비)'!C377,'JUNE (물량흐름)'!$O$13:$O$502),0)</f>
        <v>452</v>
      </c>
      <c r="X377" s="6">
        <f>ROUND(SUMIF('JUNE (물량흐름)'!$C$13:$C$502,'Overhead exp(제조경비)'!C377,'JUNE (물량흐름)'!$P$13:$P$502),0)</f>
        <v>444</v>
      </c>
      <c r="Y377" s="167">
        <f t="shared" si="108"/>
        <v>896</v>
      </c>
      <c r="Z377" s="167">
        <f t="shared" si="94"/>
        <v>581</v>
      </c>
      <c r="AA377" s="6">
        <f t="shared" si="100"/>
        <v>17056918</v>
      </c>
      <c r="AB377" s="391">
        <f t="shared" si="95"/>
        <v>0</v>
      </c>
      <c r="AC377" s="391">
        <f t="shared" si="96"/>
        <v>0</v>
      </c>
    </row>
    <row r="378" spans="1:29" s="390" customFormat="1" ht="24" customHeight="1">
      <c r="A378" s="167">
        <v>373</v>
      </c>
      <c r="B378" s="20" t="str">
        <f>IFERROR(VLOOKUP(A378,'JUNE (물량흐름)'!$A$13:$C$502,2,0),0)</f>
        <v>ANN TAYLOR</v>
      </c>
      <c r="C378" s="272">
        <f>VLOOKUP(A378,'JUNE (물량흐름)'!$A$13:$C$502,3,0)</f>
        <v>469493</v>
      </c>
      <c r="D378" s="6">
        <f>VLOOKUP(C378,'WIP(재공품)'!$B$12:$E$493,4,0)</f>
        <v>68478.5</v>
      </c>
      <c r="E378" s="6">
        <f>IFERROR(VLOOKUP(C378,O.B.JUNE!$AI$7:$AJ$448,2,0),0)</f>
        <v>0</v>
      </c>
      <c r="F378" s="6">
        <f>IFERROR(VLOOKUP(C378,O.B.JUNE!$AI$7:$AK$448,3,0),0)</f>
        <v>65</v>
      </c>
      <c r="G378" s="6">
        <f>IFERROR(VLOOKUP(C378,O.B.JUNE!$AI$7:$AL$448,4,0),0)</f>
        <v>563</v>
      </c>
      <c r="H378" s="6">
        <f t="shared" si="89"/>
        <v>628</v>
      </c>
      <c r="I378" s="6">
        <f>IFERROR(VLOOKUP(C378,O.B.JUNE!$AI$7:$AN$448,6,0),0)</f>
        <v>483</v>
      </c>
      <c r="J378" s="6"/>
      <c r="K378" s="6">
        <f>IFERROR(VLOOKUP(C378,O.B.JUNE!$AI$7:$AO$448,7,0),0)</f>
        <v>24993910</v>
      </c>
      <c r="L378" s="6">
        <f>SUMIF('JUNE (물량흐름)'!$C$13:$C$488,'Overhead exp(제조경비)'!C378,'JUNE (물량흐름)'!$H$13:$H$493)+SUMIF('JUNE (물량흐름)'!$C$13:$C$493,'Overhead exp(제조경비)'!C378,'JUNE (물량흐름)'!$V$13:$V$493)</f>
        <v>0</v>
      </c>
      <c r="M378" s="6">
        <f t="shared" si="90"/>
        <v>0</v>
      </c>
      <c r="N378" s="6">
        <f t="shared" si="91"/>
        <v>0</v>
      </c>
      <c r="O378" s="6">
        <f t="shared" si="101"/>
        <v>0</v>
      </c>
      <c r="P378" s="6">
        <f>SUMIF('JUNE (물량흐름)'!$C$13:$C$502,C378,'JUNE (물량흐름)'!$T$13:$T$502)+SUMIF('JUNE (물량흐름)'!$C$13:$C$502,C378,'JUNE (물량흐름)'!$V$13:$V$502)+SUMIF('JUNE (물량흐름)'!$C$13:$C$502,C378,'JUNE (물량흐름)'!$U$13:$U$502)-SUMIF('JUNE (물량흐름)'!$C$13:$C$502,C378,'JUNE (물량흐름)'!$Y$13:$Y$502)</f>
        <v>386</v>
      </c>
      <c r="Q378" s="6">
        <f t="shared" si="99"/>
        <v>15362499</v>
      </c>
      <c r="R378" s="6">
        <f>IF(ISERROR(VLOOKUP(#REF!,'WIP(재공품)'!$B$12:$AB$38,13,0)),0,VLOOKUP(#REF!,'WIP(재공품)'!$B$12:$AB$38,13,0))</f>
        <v>0</v>
      </c>
      <c r="S378" s="6">
        <f>IF(ISERROR(VLOOKUP(#REF!,'WIP(재공품)'!$B$12:$AB$38,10,0)),0,VLOOKUP(#REF!,'WIP(재공품)'!$B$12:$AB$38,10,0))</f>
        <v>0</v>
      </c>
      <c r="T378" s="6">
        <f>SUMIF('JUNE (물량흐름)'!$C$13:$C$502,'Overhead exp(제조경비)'!C378,'JUNE (물량흐름)'!$Y$13:$Y$502)</f>
        <v>6</v>
      </c>
      <c r="U378" s="6">
        <f t="shared" si="92"/>
        <v>238795</v>
      </c>
      <c r="V378" s="6">
        <f>ROUND(SUMIF('JUNE (물량흐름)'!$C$13:$C$502,'Overhead exp(제조경비)'!C378,'JUNE (물량흐름)'!$N$13:$N$502),0)</f>
        <v>0</v>
      </c>
      <c r="W378" s="6">
        <f>ROUND(SUMIF('JUNE (물량흐름)'!$C$13:$C$502,'Overhead exp(제조경비)'!C378,'JUNE (물량흐름)'!$O$13:$O$502),0)</f>
        <v>31</v>
      </c>
      <c r="X378" s="6">
        <f>ROUND(SUMIF('JUNE (물량흐름)'!$C$13:$C$502,'Overhead exp(제조경비)'!C378,'JUNE (물량흐름)'!$P$13:$P$502),0)</f>
        <v>205</v>
      </c>
      <c r="Y378" s="167">
        <f t="shared" si="108"/>
        <v>236</v>
      </c>
      <c r="Z378" s="167">
        <f t="shared" si="94"/>
        <v>180</v>
      </c>
      <c r="AA378" s="6">
        <f t="shared" si="100"/>
        <v>9392616</v>
      </c>
      <c r="AB378" s="391">
        <f t="shared" si="95"/>
        <v>0</v>
      </c>
      <c r="AC378" s="391">
        <f t="shared" si="96"/>
        <v>0</v>
      </c>
    </row>
    <row r="379" spans="1:29" s="390" customFormat="1" ht="24" customHeight="1">
      <c r="A379" s="167">
        <v>374</v>
      </c>
      <c r="B379" s="20" t="str">
        <f>IFERROR(VLOOKUP(A379,'JUNE (물량흐름)'!$A$13:$C$502,2,0),0)</f>
        <v>ANN TAYLOR</v>
      </c>
      <c r="C379" s="272">
        <f>VLOOKUP(A379,'JUNE (물량흐름)'!$A$13:$C$502,3,0)</f>
        <v>470238</v>
      </c>
      <c r="D379" s="6">
        <f>VLOOKUP(C379,'WIP(재공품)'!$B$12:$E$493,4,0)</f>
        <v>34692.75</v>
      </c>
      <c r="E379" s="6">
        <f>IFERROR(VLOOKUP(C379,O.B.JUNE!$AI$7:$AJ$448,2,0),0)</f>
        <v>11</v>
      </c>
      <c r="F379" s="6">
        <f>IFERROR(VLOOKUP(C379,O.B.JUNE!$AI$7:$AK$448,3,0),0)</f>
        <v>793</v>
      </c>
      <c r="G379" s="6">
        <f>IFERROR(VLOOKUP(C379,O.B.JUNE!$AI$7:$AL$448,4,0),0)</f>
        <v>66</v>
      </c>
      <c r="H379" s="6">
        <f t="shared" si="89"/>
        <v>870</v>
      </c>
      <c r="I379" s="6">
        <f>IFERROR(VLOOKUP(C379,O.B.JUNE!$AI$7:$AN$448,6,0),0)</f>
        <v>452</v>
      </c>
      <c r="J379" s="6"/>
      <c r="K379" s="6">
        <f>IFERROR(VLOOKUP(C379,O.B.JUNE!$AI$7:$AO$448,7,0),0)</f>
        <v>16016690</v>
      </c>
      <c r="L379" s="6">
        <f>SUMIF('JUNE (물량흐름)'!$C$13:$C$488,'Overhead exp(제조경비)'!C379,'JUNE (물량흐름)'!$H$13:$H$493)+SUMIF('JUNE (물량흐름)'!$C$13:$C$493,'Overhead exp(제조경비)'!C379,'JUNE (물량흐름)'!$V$13:$V$493)</f>
        <v>0</v>
      </c>
      <c r="M379" s="6">
        <f t="shared" si="90"/>
        <v>0</v>
      </c>
      <c r="N379" s="6">
        <f t="shared" si="91"/>
        <v>0</v>
      </c>
      <c r="O379" s="6">
        <f t="shared" si="101"/>
        <v>0</v>
      </c>
      <c r="P379" s="6">
        <f>SUMIF('JUNE (물량흐름)'!$C$13:$C$502,C379,'JUNE (물량흐름)'!$T$13:$T$502)+SUMIF('JUNE (물량흐름)'!$C$13:$C$502,C379,'JUNE (물량흐름)'!$V$13:$V$502)+SUMIF('JUNE (물량흐름)'!$C$13:$C$502,C379,'JUNE (물량흐름)'!$U$13:$U$502)-SUMIF('JUNE (물량흐름)'!$C$13:$C$502,C379,'JUNE (물량흐름)'!$Y$13:$Y$502)</f>
        <v>0</v>
      </c>
      <c r="Q379" s="6">
        <f t="shared" si="99"/>
        <v>0</v>
      </c>
      <c r="R379" s="6">
        <f>IF(ISERROR(VLOOKUP(#REF!,'WIP(재공품)'!$B$12:$AB$38,13,0)),0,VLOOKUP(#REF!,'WIP(재공품)'!$B$12:$AB$38,13,0))</f>
        <v>0</v>
      </c>
      <c r="S379" s="6">
        <f>IF(ISERROR(VLOOKUP(#REF!,'WIP(재공품)'!$B$12:$AB$38,10,0)),0,VLOOKUP(#REF!,'WIP(재공품)'!$B$12:$AB$38,10,0))</f>
        <v>0</v>
      </c>
      <c r="T379" s="6">
        <f>SUMIF('JUNE (물량흐름)'!$C$13:$C$502,'Overhead exp(제조경비)'!C379,'JUNE (물량흐름)'!$Y$13:$Y$502)</f>
        <v>12</v>
      </c>
      <c r="U379" s="6">
        <f t="shared" si="92"/>
        <v>220920</v>
      </c>
      <c r="V379" s="6">
        <f>ROUND(SUMIF('JUNE (물량흐름)'!$C$13:$C$502,'Overhead exp(제조경비)'!C379,'JUNE (물량흐름)'!$N$13:$N$502),0)</f>
        <v>11</v>
      </c>
      <c r="W379" s="6">
        <f>ROUND(SUMIF('JUNE (물량흐름)'!$C$13:$C$502,'Overhead exp(제조경비)'!C379,'JUNE (물량흐름)'!$O$13:$O$502),0)</f>
        <v>793</v>
      </c>
      <c r="X379" s="6">
        <f>ROUND(SUMIF('JUNE (물량흐름)'!$C$13:$C$502,'Overhead exp(제조경비)'!C379,'JUNE (물량흐름)'!$P$13:$P$502),0)</f>
        <v>54</v>
      </c>
      <c r="Y379" s="167">
        <f t="shared" si="108"/>
        <v>858</v>
      </c>
      <c r="Z379" s="167">
        <f t="shared" si="94"/>
        <v>442</v>
      </c>
      <c r="AA379" s="6">
        <f t="shared" si="100"/>
        <v>15795770</v>
      </c>
      <c r="AB379" s="391">
        <f t="shared" si="95"/>
        <v>0</v>
      </c>
      <c r="AC379" s="391">
        <f t="shared" si="96"/>
        <v>0</v>
      </c>
    </row>
    <row r="380" spans="1:29" s="390" customFormat="1" ht="24" customHeight="1">
      <c r="A380" s="167">
        <v>375</v>
      </c>
      <c r="B380" s="20" t="str">
        <f>IFERROR(VLOOKUP(A380,'JUNE (물량흐름)'!$A$13:$C$502,2,0),0)</f>
        <v>ANN TAYLOR</v>
      </c>
      <c r="C380" s="272">
        <f>VLOOKUP(A380,'JUNE (물량흐름)'!$A$13:$C$502,3,0)</f>
        <v>470342</v>
      </c>
      <c r="D380" s="6">
        <f>VLOOKUP(C380,'WIP(재공품)'!$B$12:$E$493,4,0)</f>
        <v>33332.25</v>
      </c>
      <c r="E380" s="6">
        <f>IFERROR(VLOOKUP(C380,O.B.JUNE!$AI$7:$AJ$448,2,0),0)</f>
        <v>0</v>
      </c>
      <c r="F380" s="6">
        <f>IFERROR(VLOOKUP(C380,O.B.JUNE!$AI$7:$AK$448,3,0),0)</f>
        <v>138</v>
      </c>
      <c r="G380" s="6">
        <f>IFERROR(VLOOKUP(C380,O.B.JUNE!$AI$7:$AL$448,4,0),0)</f>
        <v>1288</v>
      </c>
      <c r="H380" s="6">
        <f t="shared" si="89"/>
        <v>1426</v>
      </c>
      <c r="I380" s="6">
        <f>IFERROR(VLOOKUP(C380,O.B.JUNE!$AI$7:$AN$448,6,0),0)</f>
        <v>1099</v>
      </c>
      <c r="J380" s="6"/>
      <c r="K380" s="6">
        <f>IFERROR(VLOOKUP(C380,O.B.JUNE!$AI$7:$AO$448,7,0),0)</f>
        <v>27739838</v>
      </c>
      <c r="L380" s="6">
        <f>SUMIF('JUNE (물량흐름)'!$C$13:$C$488,'Overhead exp(제조경비)'!C380,'JUNE (물량흐름)'!$H$13:$H$493)+SUMIF('JUNE (물량흐름)'!$C$13:$C$493,'Overhead exp(제조경비)'!C380,'JUNE (물량흐름)'!$V$13:$V$493)</f>
        <v>0</v>
      </c>
      <c r="M380" s="6">
        <f t="shared" si="90"/>
        <v>0</v>
      </c>
      <c r="N380" s="6">
        <f t="shared" si="91"/>
        <v>0</v>
      </c>
      <c r="O380" s="6">
        <f t="shared" si="101"/>
        <v>0</v>
      </c>
      <c r="P380" s="6">
        <f>SUMIF('JUNE (물량흐름)'!$C$13:$C$502,C380,'JUNE (물량흐름)'!$T$13:$T$502)+SUMIF('JUNE (물량흐름)'!$C$13:$C$502,C380,'JUNE (물량흐름)'!$V$13:$V$502)+SUMIF('JUNE (물량흐름)'!$C$13:$C$502,C380,'JUNE (물량흐름)'!$U$13:$U$502)-SUMIF('JUNE (물량흐름)'!$C$13:$C$502,C380,'JUNE (물량흐름)'!$Y$13:$Y$502)</f>
        <v>0</v>
      </c>
      <c r="Q380" s="6">
        <f t="shared" si="99"/>
        <v>0</v>
      </c>
      <c r="R380" s="6">
        <f>IF(ISERROR(VLOOKUP(#REF!,'WIP(재공품)'!$B$12:$AB$38,13,0)),0,VLOOKUP(#REF!,'WIP(재공품)'!$B$12:$AB$38,13,0))</f>
        <v>0</v>
      </c>
      <c r="S380" s="6">
        <f>IF(ISERROR(VLOOKUP(#REF!,'WIP(재공품)'!$B$12:$AB$38,10,0)),0,VLOOKUP(#REF!,'WIP(재공품)'!$B$12:$AB$38,10,0))</f>
        <v>0</v>
      </c>
      <c r="T380" s="6">
        <f>SUMIF('JUNE (물량흐름)'!$C$13:$C$502,'Overhead exp(제조경비)'!C380,'JUNE (물량흐름)'!$Y$13:$Y$502)</f>
        <v>0</v>
      </c>
      <c r="U380" s="6">
        <f t="shared" si="92"/>
        <v>0</v>
      </c>
      <c r="V380" s="6">
        <f>ROUND(SUMIF('JUNE (물량흐름)'!$C$13:$C$502,'Overhead exp(제조경비)'!C380,'JUNE (물량흐름)'!$N$13:$N$502),0)</f>
        <v>0</v>
      </c>
      <c r="W380" s="6">
        <f>ROUND(SUMIF('JUNE (물량흐름)'!$C$13:$C$502,'Overhead exp(제조경비)'!C380,'JUNE (물량흐름)'!$O$13:$O$502),0)</f>
        <v>138</v>
      </c>
      <c r="X380" s="6">
        <f>ROUND(SUMIF('JUNE (물량흐름)'!$C$13:$C$502,'Overhead exp(제조경비)'!C380,'JUNE (물량흐름)'!$P$13:$P$502),0)</f>
        <v>1288</v>
      </c>
      <c r="Y380" s="167">
        <f t="shared" si="108"/>
        <v>1426</v>
      </c>
      <c r="Z380" s="167">
        <f t="shared" si="94"/>
        <v>1099</v>
      </c>
      <c r="AA380" s="6">
        <f t="shared" si="100"/>
        <v>27739838</v>
      </c>
      <c r="AB380" s="391">
        <f t="shared" si="95"/>
        <v>0</v>
      </c>
      <c r="AC380" s="391">
        <f t="shared" si="96"/>
        <v>0</v>
      </c>
    </row>
    <row r="381" spans="1:29" s="390" customFormat="1" ht="24" customHeight="1">
      <c r="A381" s="167">
        <v>376</v>
      </c>
      <c r="B381" s="20" t="str">
        <f>IFERROR(VLOOKUP(A381,'JUNE (물량흐름)'!$A$13:$C$502,2,0),0)</f>
        <v>ANN TAYLOR</v>
      </c>
      <c r="C381" s="272">
        <f>VLOOKUP(A381,'JUNE (물량흐름)'!$A$13:$C$502,3,0)</f>
        <v>474049</v>
      </c>
      <c r="D381" s="6">
        <f>VLOOKUP(C381,'WIP(재공품)'!$B$12:$E$493,4,0)</f>
        <v>37640.5</v>
      </c>
      <c r="E381" s="6">
        <f>IFERROR(VLOOKUP(C381,O.B.JUNE!$AI$7:$AJ$448,2,0),0)</f>
        <v>3</v>
      </c>
      <c r="F381" s="6">
        <f>IFERROR(VLOOKUP(C381,O.B.JUNE!$AI$7:$AK$448,3,0),0)</f>
        <v>73</v>
      </c>
      <c r="G381" s="6">
        <f>IFERROR(VLOOKUP(C381,O.B.JUNE!$AI$7:$AL$448,4,0),0)</f>
        <v>907</v>
      </c>
      <c r="H381" s="6">
        <f t="shared" si="89"/>
        <v>983</v>
      </c>
      <c r="I381" s="6">
        <f>IFERROR(VLOOKUP(C381,O.B.JUNE!$AI$7:$AN$448,6,0),0)</f>
        <v>763</v>
      </c>
      <c r="J381" s="6"/>
      <c r="K381" s="6">
        <f>IFERROR(VLOOKUP(C381,O.B.JUNE!$AI$7:$AO$448,7,0),0)</f>
        <v>28474327</v>
      </c>
      <c r="L381" s="6">
        <f>SUMIF('JUNE (물량흐름)'!$C$13:$C$488,'Overhead exp(제조경비)'!C381,'JUNE (물량흐름)'!$H$13:$H$493)+SUMIF('JUNE (물량흐름)'!$C$13:$C$493,'Overhead exp(제조경비)'!C381,'JUNE (물량흐름)'!$V$13:$V$493)</f>
        <v>0</v>
      </c>
      <c r="M381" s="6">
        <f t="shared" si="90"/>
        <v>0</v>
      </c>
      <c r="N381" s="6">
        <f t="shared" si="91"/>
        <v>0</v>
      </c>
      <c r="O381" s="6">
        <f t="shared" si="101"/>
        <v>0</v>
      </c>
      <c r="P381" s="6">
        <f>SUMIF('JUNE (물량흐름)'!$C$13:$C$502,C381,'JUNE (물량흐름)'!$T$13:$T$502)+SUMIF('JUNE (물량흐름)'!$C$13:$C$502,C381,'JUNE (물량흐름)'!$V$13:$V$502)+SUMIF('JUNE (물량흐름)'!$C$13:$C$502,C381,'JUNE (물량흐름)'!$U$13:$U$502)-SUMIF('JUNE (물량흐름)'!$C$13:$C$502,C381,'JUNE (물량흐름)'!$Y$13:$Y$502)</f>
        <v>0</v>
      </c>
      <c r="Q381" s="6">
        <f t="shared" si="99"/>
        <v>0</v>
      </c>
      <c r="R381" s="6">
        <f>IF(ISERROR(VLOOKUP(#REF!,'WIP(재공품)'!$B$12:$AB$38,13,0)),0,VLOOKUP(#REF!,'WIP(재공품)'!$B$12:$AB$38,13,0))</f>
        <v>0</v>
      </c>
      <c r="S381" s="6">
        <f>IF(ISERROR(VLOOKUP(#REF!,'WIP(재공품)'!$B$12:$AB$38,10,0)),0,VLOOKUP(#REF!,'WIP(재공품)'!$B$12:$AB$38,10,0))</f>
        <v>0</v>
      </c>
      <c r="T381" s="6">
        <f>SUMIF('JUNE (물량흐름)'!$C$13:$C$502,'Overhead exp(제조경비)'!C381,'JUNE (물량흐름)'!$Y$13:$Y$502)</f>
        <v>0</v>
      </c>
      <c r="U381" s="6">
        <f t="shared" si="92"/>
        <v>0</v>
      </c>
      <c r="V381" s="6">
        <f>ROUND(SUMIF('JUNE (물량흐름)'!$C$13:$C$502,'Overhead exp(제조경비)'!C381,'JUNE (물량흐름)'!$N$13:$N$502),0)</f>
        <v>3</v>
      </c>
      <c r="W381" s="6">
        <f>ROUND(SUMIF('JUNE (물량흐름)'!$C$13:$C$502,'Overhead exp(제조경비)'!C381,'JUNE (물량흐름)'!$O$13:$O$502),0)</f>
        <v>73</v>
      </c>
      <c r="X381" s="6">
        <f>ROUND(SUMIF('JUNE (물량흐름)'!$C$13:$C$502,'Overhead exp(제조경비)'!C381,'JUNE (물량흐름)'!$P$13:$P$502),0)</f>
        <v>907</v>
      </c>
      <c r="Y381" s="167">
        <f t="shared" si="108"/>
        <v>983</v>
      </c>
      <c r="Z381" s="167">
        <f t="shared" si="94"/>
        <v>763</v>
      </c>
      <c r="AA381" s="6">
        <f t="shared" si="100"/>
        <v>28474327</v>
      </c>
      <c r="AB381" s="391">
        <f t="shared" si="95"/>
        <v>0</v>
      </c>
      <c r="AC381" s="391">
        <f t="shared" si="96"/>
        <v>0</v>
      </c>
    </row>
    <row r="382" spans="1:29" s="390" customFormat="1" ht="24" customHeight="1">
      <c r="A382" s="167">
        <v>377</v>
      </c>
      <c r="B382" s="20" t="str">
        <f>IFERROR(VLOOKUP(A382,'JUNE (물량흐름)'!$A$13:$C$502,2,0),0)</f>
        <v>ANN TAYLOR</v>
      </c>
      <c r="C382" s="272">
        <f>VLOOKUP(A382,'JUNE (물량흐름)'!$A$13:$C$502,3,0)</f>
        <v>474816</v>
      </c>
      <c r="D382" s="6">
        <f>VLOOKUP(C382,'WIP(재공품)'!$B$12:$E$493,4,0)</f>
        <v>68478.5</v>
      </c>
      <c r="E382" s="6">
        <f>IFERROR(VLOOKUP(C382,O.B.JUNE!$AI$7:$AJ$448,2,0),0)</f>
        <v>0</v>
      </c>
      <c r="F382" s="6">
        <f>IFERROR(VLOOKUP(C382,O.B.JUNE!$AI$7:$AK$448,3,0),0)</f>
        <v>309</v>
      </c>
      <c r="G382" s="6">
        <f>IFERROR(VLOOKUP(C382,O.B.JUNE!$AI$7:$AL$448,4,0),0)</f>
        <v>337</v>
      </c>
      <c r="H382" s="6">
        <f t="shared" si="89"/>
        <v>646</v>
      </c>
      <c r="I382" s="6">
        <f>IFERROR(VLOOKUP(C382,O.B.JUNE!$AI$7:$AN$448,6,0),0)</f>
        <v>424</v>
      </c>
      <c r="J382" s="6"/>
      <c r="K382" s="6">
        <f>IFERROR(VLOOKUP(C382,O.B.JUNE!$AI$7:$AO$448,7,0),0)</f>
        <v>24778518</v>
      </c>
      <c r="L382" s="6">
        <f>SUMIF('JUNE (물량흐름)'!$C$13:$C$488,'Overhead exp(제조경비)'!C382,'JUNE (물량흐름)'!$H$13:$H$493)+SUMIF('JUNE (물량흐름)'!$C$13:$C$493,'Overhead exp(제조경비)'!C382,'JUNE (물량흐름)'!$V$13:$V$493)</f>
        <v>0</v>
      </c>
      <c r="M382" s="6">
        <f t="shared" si="90"/>
        <v>0</v>
      </c>
      <c r="N382" s="6">
        <f t="shared" si="91"/>
        <v>0</v>
      </c>
      <c r="O382" s="6">
        <f t="shared" si="101"/>
        <v>0</v>
      </c>
      <c r="P382" s="6">
        <f>SUMIF('JUNE (물량흐름)'!$C$13:$C$502,C382,'JUNE (물량흐름)'!$T$13:$T$502)+SUMIF('JUNE (물량흐름)'!$C$13:$C$502,C382,'JUNE (물량흐름)'!$V$13:$V$502)+SUMIF('JUNE (물량흐름)'!$C$13:$C$502,C382,'JUNE (물량흐름)'!$U$13:$U$502)-SUMIF('JUNE (물량흐름)'!$C$13:$C$502,C382,'JUNE (물량흐름)'!$Y$13:$Y$502)</f>
        <v>178</v>
      </c>
      <c r="Q382" s="6">
        <f t="shared" si="99"/>
        <v>6827517</v>
      </c>
      <c r="R382" s="6">
        <f>IF(ISERROR(VLOOKUP(#REF!,'WIP(재공품)'!$B$12:$AB$38,13,0)),0,VLOOKUP(#REF!,'WIP(재공품)'!$B$12:$AB$38,13,0))</f>
        <v>0</v>
      </c>
      <c r="S382" s="6">
        <f>IF(ISERROR(VLOOKUP(#REF!,'WIP(재공품)'!$B$12:$AB$38,10,0)),0,VLOOKUP(#REF!,'WIP(재공품)'!$B$12:$AB$38,10,0))</f>
        <v>0</v>
      </c>
      <c r="T382" s="6">
        <f>SUMIF('JUNE (물량흐름)'!$C$13:$C$502,'Overhead exp(제조경비)'!C382,'JUNE (물량흐름)'!$Y$13:$Y$502)</f>
        <v>12</v>
      </c>
      <c r="U382" s="6">
        <f t="shared" si="92"/>
        <v>460282</v>
      </c>
      <c r="V382" s="6">
        <f>ROUND(SUMIF('JUNE (물량흐름)'!$C$13:$C$502,'Overhead exp(제조경비)'!C382,'JUNE (물량흐름)'!$N$13:$N$502),0)</f>
        <v>0</v>
      </c>
      <c r="W382" s="6">
        <f>ROUND(SUMIF('JUNE (물량흐름)'!$C$13:$C$502,'Overhead exp(제조경비)'!C382,'JUNE (물량흐름)'!$O$13:$O$502),0)</f>
        <v>150</v>
      </c>
      <c r="X382" s="6">
        <f>ROUND(SUMIF('JUNE (물량흐름)'!$C$13:$C$502,'Overhead exp(제조경비)'!C382,'JUNE (물량흐름)'!$P$13:$P$502),0)</f>
        <v>306</v>
      </c>
      <c r="Y382" s="167">
        <f t="shared" si="108"/>
        <v>456</v>
      </c>
      <c r="Z382" s="167">
        <f t="shared" si="94"/>
        <v>320</v>
      </c>
      <c r="AA382" s="6">
        <f t="shared" si="100"/>
        <v>17490719</v>
      </c>
      <c r="AB382" s="391">
        <f t="shared" si="95"/>
        <v>0</v>
      </c>
      <c r="AC382" s="391">
        <f t="shared" si="96"/>
        <v>0</v>
      </c>
    </row>
    <row r="383" spans="1:29" s="390" customFormat="1" ht="24" customHeight="1">
      <c r="A383" s="167">
        <v>378</v>
      </c>
      <c r="B383" s="20" t="str">
        <f>IFERROR(VLOOKUP(A383,'JUNE (물량흐름)'!$A$13:$C$502,2,0),0)</f>
        <v>ANN TAYLOR</v>
      </c>
      <c r="C383" s="272">
        <f>VLOOKUP(A383,'JUNE (물량흐름)'!$A$13:$C$502,3,0)</f>
        <v>471157</v>
      </c>
      <c r="D383" s="6">
        <f>VLOOKUP(C383,'WIP(재공품)'!$B$12:$E$493,4,0)</f>
        <v>29704.25</v>
      </c>
      <c r="E383" s="6">
        <f>IFERROR(VLOOKUP(C383,O.B.JUNE!$AI$7:$AJ$448,2,0),0)</f>
        <v>0</v>
      </c>
      <c r="F383" s="6">
        <f>IFERROR(VLOOKUP(C383,O.B.JUNE!$AI$7:$AK$448,3,0),0)</f>
        <v>35</v>
      </c>
      <c r="G383" s="6">
        <f>IFERROR(VLOOKUP(C383,O.B.JUNE!$AI$7:$AL$448,4,0),0)</f>
        <v>59</v>
      </c>
      <c r="H383" s="6">
        <f t="shared" si="89"/>
        <v>94</v>
      </c>
      <c r="I383" s="6">
        <f>IFERROR(VLOOKUP(C383,O.B.JUNE!$AI$7:$AN$448,6,0),0)</f>
        <v>65</v>
      </c>
      <c r="J383" s="6"/>
      <c r="K383" s="6">
        <f>IFERROR(VLOOKUP(C383,O.B.JUNE!$AI$7:$AO$448,7,0),0)</f>
        <v>3268157</v>
      </c>
      <c r="L383" s="6">
        <f>SUMIF('JUNE (물량흐름)'!$C$13:$C$488,'Overhead exp(제조경비)'!C383,'JUNE (물량흐름)'!$H$13:$H$493)+SUMIF('JUNE (물량흐름)'!$C$13:$C$493,'Overhead exp(제조경비)'!C383,'JUNE (물량흐름)'!$V$13:$V$493)</f>
        <v>0</v>
      </c>
      <c r="M383" s="6">
        <f t="shared" si="90"/>
        <v>0</v>
      </c>
      <c r="N383" s="6">
        <f t="shared" si="91"/>
        <v>0</v>
      </c>
      <c r="O383" s="6">
        <f t="shared" si="101"/>
        <v>0</v>
      </c>
      <c r="P383" s="6">
        <f>SUMIF('JUNE (물량흐름)'!$C$13:$C$502,C383,'JUNE (물량흐름)'!$T$13:$T$502)+SUMIF('JUNE (물량흐름)'!$C$13:$C$502,C383,'JUNE (물량흐름)'!$V$13:$V$502)+SUMIF('JUNE (물량흐름)'!$C$13:$C$502,C383,'JUNE (물량흐름)'!$U$13:$U$502)-SUMIF('JUNE (물량흐름)'!$C$13:$C$502,C383,'JUNE (물량흐름)'!$Y$13:$Y$502)</f>
        <v>0</v>
      </c>
      <c r="Q383" s="6">
        <f t="shared" si="99"/>
        <v>0</v>
      </c>
      <c r="R383" s="6">
        <f>IF(ISERROR(VLOOKUP(#REF!,'WIP(재공품)'!$B$12:$AB$38,13,0)),0,VLOOKUP(#REF!,'WIP(재공품)'!$B$12:$AB$38,13,0))</f>
        <v>0</v>
      </c>
      <c r="S383" s="6">
        <f>IF(ISERROR(VLOOKUP(#REF!,'WIP(재공품)'!$B$12:$AB$38,10,0)),0,VLOOKUP(#REF!,'WIP(재공품)'!$B$12:$AB$38,10,0))</f>
        <v>0</v>
      </c>
      <c r="T383" s="6">
        <f>SUMIF('JUNE (물량흐름)'!$C$13:$C$502,'Overhead exp(제조경비)'!C383,'JUNE (물량흐름)'!$Y$13:$Y$502)</f>
        <v>0</v>
      </c>
      <c r="U383" s="6">
        <f t="shared" si="92"/>
        <v>0</v>
      </c>
      <c r="V383" s="6">
        <f>ROUND(SUMIF('JUNE (물량흐름)'!$C$13:$C$502,'Overhead exp(제조경비)'!C383,'JUNE (물량흐름)'!$N$13:$N$502),0)</f>
        <v>0</v>
      </c>
      <c r="W383" s="6">
        <f>ROUND(SUMIF('JUNE (물량흐름)'!$C$13:$C$502,'Overhead exp(제조경비)'!C383,'JUNE (물량흐름)'!$O$13:$O$502),0)</f>
        <v>35</v>
      </c>
      <c r="X383" s="6">
        <f>ROUND(SUMIF('JUNE (물량흐름)'!$C$13:$C$502,'Overhead exp(제조경비)'!C383,'JUNE (물량흐름)'!$P$13:$P$502),0)</f>
        <v>59</v>
      </c>
      <c r="Y383" s="167">
        <f t="shared" si="108"/>
        <v>94</v>
      </c>
      <c r="Z383" s="167">
        <f t="shared" si="94"/>
        <v>65</v>
      </c>
      <c r="AA383" s="6">
        <f t="shared" si="100"/>
        <v>3268157</v>
      </c>
      <c r="AB383" s="391">
        <f t="shared" si="95"/>
        <v>0</v>
      </c>
      <c r="AC383" s="391">
        <f t="shared" si="96"/>
        <v>0</v>
      </c>
    </row>
    <row r="384" spans="1:29" s="390" customFormat="1" ht="24" customHeight="1">
      <c r="A384" s="167">
        <v>379</v>
      </c>
      <c r="B384" s="20" t="str">
        <f>IFERROR(VLOOKUP(A384,'JUNE (물량흐름)'!$A$13:$C$502,2,0),0)</f>
        <v>ANN TAYLOR</v>
      </c>
      <c r="C384" s="272">
        <f>VLOOKUP(A384,'JUNE (물량흐름)'!$A$13:$C$502,3,0)</f>
        <v>482924</v>
      </c>
      <c r="D384" s="6">
        <f>VLOOKUP(C384,'WIP(재공품)'!$B$12:$E$493,4,0)</f>
        <v>28117</v>
      </c>
      <c r="E384" s="6">
        <f>IFERROR(VLOOKUP(C384,O.B.JUNE!$AI$7:$AJ$448,2,0),0)</f>
        <v>0</v>
      </c>
      <c r="F384" s="6">
        <f>IFERROR(VLOOKUP(C384,O.B.JUNE!$AI$7:$AK$448,3,0),0)</f>
        <v>11</v>
      </c>
      <c r="G384" s="6">
        <f>IFERROR(VLOOKUP(C384,O.B.JUNE!$AI$7:$AL$448,4,0),0)</f>
        <v>59</v>
      </c>
      <c r="H384" s="6">
        <f t="shared" si="89"/>
        <v>70</v>
      </c>
      <c r="I384" s="6">
        <f>IFERROR(VLOOKUP(C384,O.B.JUNE!$AI$7:$AN$448,6,0),0)</f>
        <v>53</v>
      </c>
      <c r="J384" s="6"/>
      <c r="K384" s="6">
        <f>IFERROR(VLOOKUP(C384,O.B.JUNE!$AI$7:$AO$448,7,0),0)</f>
        <v>2483290</v>
      </c>
      <c r="L384" s="6">
        <f>SUMIF('JUNE (물량흐름)'!$C$13:$C$488,'Overhead exp(제조경비)'!C384,'JUNE (물량흐름)'!$H$13:$H$493)+SUMIF('JUNE (물량흐름)'!$C$13:$C$493,'Overhead exp(제조경비)'!C384,'JUNE (물량흐름)'!$V$13:$V$493)</f>
        <v>0</v>
      </c>
      <c r="M384" s="6">
        <f t="shared" si="90"/>
        <v>0</v>
      </c>
      <c r="N384" s="6">
        <f t="shared" si="91"/>
        <v>0</v>
      </c>
      <c r="O384" s="6">
        <f t="shared" si="101"/>
        <v>0</v>
      </c>
      <c r="P384" s="6">
        <f>SUMIF('JUNE (물량흐름)'!$C$13:$C$502,C384,'JUNE (물량흐름)'!$T$13:$T$502)+SUMIF('JUNE (물량흐름)'!$C$13:$C$502,C384,'JUNE (물량흐름)'!$V$13:$V$502)+SUMIF('JUNE (물량흐름)'!$C$13:$C$502,C384,'JUNE (물량흐름)'!$U$13:$U$502)-SUMIF('JUNE (물량흐름)'!$C$13:$C$502,C384,'JUNE (물량흐름)'!$Y$13:$Y$502)</f>
        <v>0</v>
      </c>
      <c r="Q384" s="6">
        <f t="shared" si="99"/>
        <v>0</v>
      </c>
      <c r="R384" s="6">
        <f>IF(ISERROR(VLOOKUP(#REF!,'WIP(재공품)'!$B$12:$AB$38,13,0)),0,VLOOKUP(#REF!,'WIP(재공품)'!$B$12:$AB$38,13,0))</f>
        <v>0</v>
      </c>
      <c r="S384" s="6">
        <f>IF(ISERROR(VLOOKUP(#REF!,'WIP(재공품)'!$B$12:$AB$38,10,0)),0,VLOOKUP(#REF!,'WIP(재공품)'!$B$12:$AB$38,10,0))</f>
        <v>0</v>
      </c>
      <c r="T384" s="6">
        <f>SUMIF('JUNE (물량흐름)'!$C$13:$C$502,'Overhead exp(제조경비)'!C384,'JUNE (물량흐름)'!$Y$13:$Y$502)</f>
        <v>8</v>
      </c>
      <c r="U384" s="6">
        <f t="shared" si="92"/>
        <v>283805</v>
      </c>
      <c r="V384" s="6">
        <f>ROUND(SUMIF('JUNE (물량흐름)'!$C$13:$C$502,'Overhead exp(제조경비)'!C384,'JUNE (물량흐름)'!$N$13:$N$502),0)</f>
        <v>0</v>
      </c>
      <c r="W384" s="6">
        <f>ROUND(SUMIF('JUNE (물량흐름)'!$C$13:$C$502,'Overhead exp(제조경비)'!C384,'JUNE (물량흐름)'!$O$13:$O$502),0)</f>
        <v>11</v>
      </c>
      <c r="X384" s="6">
        <f>ROUND(SUMIF('JUNE (물량흐름)'!$C$13:$C$502,'Overhead exp(제조경비)'!C384,'JUNE (물량흐름)'!$P$13:$P$502),0)</f>
        <v>51</v>
      </c>
      <c r="Y384" s="167">
        <f t="shared" si="108"/>
        <v>62</v>
      </c>
      <c r="Z384" s="167">
        <f t="shared" si="94"/>
        <v>46</v>
      </c>
      <c r="AA384" s="6">
        <f t="shared" si="100"/>
        <v>2199485</v>
      </c>
      <c r="AB384" s="391">
        <f t="shared" si="95"/>
        <v>0</v>
      </c>
      <c r="AC384" s="391">
        <f t="shared" si="96"/>
        <v>0</v>
      </c>
    </row>
    <row r="385" spans="1:29" s="390" customFormat="1" ht="24" customHeight="1">
      <c r="A385" s="167">
        <v>380</v>
      </c>
      <c r="B385" s="20" t="str">
        <f>IFERROR(VLOOKUP(A385,'JUNE (물량흐름)'!$A$13:$C$502,2,0),0)</f>
        <v>ANN TAYLOR</v>
      </c>
      <c r="C385" s="272">
        <f>VLOOKUP(A385,'JUNE (물량흐름)'!$A$13:$C$502,3,0)</f>
        <v>466742</v>
      </c>
      <c r="D385" s="6">
        <f>VLOOKUP(C385,'WIP(재공품)'!$B$12:$E$493,4,0)</f>
        <v>34466</v>
      </c>
      <c r="E385" s="6">
        <f>IFERROR(VLOOKUP(C385,O.B.JUNE!$AI$7:$AJ$448,2,0),0)</f>
        <v>10</v>
      </c>
      <c r="F385" s="6">
        <f>IFERROR(VLOOKUP(C385,O.B.JUNE!$AI$7:$AK$448,3,0),0)</f>
        <v>444</v>
      </c>
      <c r="G385" s="6">
        <f>IFERROR(VLOOKUP(C385,O.B.JUNE!$AI$7:$AL$448,4,0),0)</f>
        <v>429</v>
      </c>
      <c r="H385" s="6">
        <f t="shared" si="89"/>
        <v>883</v>
      </c>
      <c r="I385" s="6">
        <f>IFERROR(VLOOKUP(C385,O.B.JUNE!$AI$7:$AN$448,6,0),0)</f>
        <v>567</v>
      </c>
      <c r="J385" s="6"/>
      <c r="K385" s="6">
        <f>IFERROR(VLOOKUP(C385,O.B.JUNE!$AI$7:$AO$448,7,0),0)</f>
        <v>17598310</v>
      </c>
      <c r="L385" s="6">
        <f>SUMIF('JUNE (물량흐름)'!$C$13:$C$488,'Overhead exp(제조경비)'!C385,'JUNE (물량흐름)'!$H$13:$H$493)+SUMIF('JUNE (물량흐름)'!$C$13:$C$493,'Overhead exp(제조경비)'!C385,'JUNE (물량흐름)'!$V$13:$V$493)</f>
        <v>610</v>
      </c>
      <c r="M385" s="6">
        <f t="shared" si="90"/>
        <v>599</v>
      </c>
      <c r="N385" s="6">
        <f t="shared" si="91"/>
        <v>20645134</v>
      </c>
      <c r="O385" s="6">
        <f t="shared" si="101"/>
        <v>12474614</v>
      </c>
      <c r="P385" s="6">
        <f>SUMIF('JUNE (물량흐름)'!$C$13:$C$502,C385,'JUNE (물량흐름)'!$T$13:$T$502)+SUMIF('JUNE (물량흐름)'!$C$13:$C$502,C385,'JUNE (물량흐름)'!$V$13:$V$502)+SUMIF('JUNE (물량흐름)'!$C$13:$C$502,C385,'JUNE (물량흐름)'!$U$13:$U$502)-SUMIF('JUNE (물량흐름)'!$C$13:$C$502,C385,'JUNE (물량흐름)'!$Y$13:$Y$502)</f>
        <v>551</v>
      </c>
      <c r="Q385" s="6">
        <f t="shared" si="99"/>
        <v>11098581</v>
      </c>
      <c r="R385" s="6">
        <f>IF(ISERROR(VLOOKUP(#REF!,'WIP(재공품)'!$B$12:$AB$38,13,0)),0,VLOOKUP(#REF!,'WIP(재공품)'!$B$12:$AB$38,13,0))</f>
        <v>0</v>
      </c>
      <c r="S385" s="6">
        <f>IF(ISERROR(VLOOKUP(#REF!,'WIP(재공품)'!$B$12:$AB$38,10,0)),0,VLOOKUP(#REF!,'WIP(재공품)'!$B$12:$AB$38,10,0))</f>
        <v>0</v>
      </c>
      <c r="T385" s="6">
        <f>SUMIF('JUNE (물량흐름)'!$C$13:$C$502,'Overhead exp(제조경비)'!C385,'JUNE (물량흐름)'!$Y$13:$Y$502)</f>
        <v>20</v>
      </c>
      <c r="U385" s="6">
        <f t="shared" si="92"/>
        <v>402852</v>
      </c>
      <c r="V385" s="6">
        <f>ROUND(SUMIF('JUNE (물량흐름)'!$C$13:$C$502,'Overhead exp(제조경비)'!C385,'JUNE (물량흐름)'!$N$13:$N$502),0)</f>
        <v>0</v>
      </c>
      <c r="W385" s="6">
        <f>ROUND(SUMIF('JUNE (물량흐름)'!$C$13:$C$502,'Overhead exp(제조경비)'!C385,'JUNE (물량흐름)'!$O$13:$O$502),0)</f>
        <v>474</v>
      </c>
      <c r="X385" s="6">
        <f>ROUND(SUMIF('JUNE (물량흐름)'!$C$13:$C$502,'Overhead exp(제조경비)'!C385,'JUNE (물량흐름)'!$P$13:$P$502),0)</f>
        <v>448</v>
      </c>
      <c r="Y385" s="6">
        <f t="shared" si="93"/>
        <v>922</v>
      </c>
      <c r="Z385" s="6">
        <f t="shared" si="94"/>
        <v>595</v>
      </c>
      <c r="AA385" s="6">
        <f t="shared" si="100"/>
        <v>18571491</v>
      </c>
      <c r="AB385" s="391">
        <f t="shared" si="95"/>
        <v>0</v>
      </c>
      <c r="AC385" s="391">
        <f t="shared" si="96"/>
        <v>0</v>
      </c>
    </row>
    <row r="386" spans="1:29" s="390" customFormat="1" ht="24" customHeight="1">
      <c r="A386" s="167">
        <v>381</v>
      </c>
      <c r="B386" s="20" t="str">
        <f>IFERROR(VLOOKUP(A386,'JUNE (물량흐름)'!$A$13:$C$502,2,0),0)</f>
        <v>ALFANI</v>
      </c>
      <c r="C386" s="272">
        <f>VLOOKUP(A386,'JUNE (물량흐름)'!$A$13:$C$502,3,0)</f>
        <v>100018226</v>
      </c>
      <c r="D386" s="6">
        <f>VLOOKUP(C386,'WIP(재공품)'!$B$12:$E$493,4,0)</f>
        <v>41495.25</v>
      </c>
      <c r="E386" s="6">
        <f>IFERROR(VLOOKUP(C386,O.B.JUNE!$AI$7:$AJ$448,2,0),0)</f>
        <v>0</v>
      </c>
      <c r="F386" s="6">
        <f>IFERROR(VLOOKUP(C386,O.B.JUNE!$AI$7:$AK$448,3,0),0)</f>
        <v>20</v>
      </c>
      <c r="G386" s="6">
        <f>IFERROR(VLOOKUP(C386,O.B.JUNE!$AI$7:$AL$448,4,0),0)</f>
        <v>61</v>
      </c>
      <c r="H386" s="6">
        <f t="shared" si="89"/>
        <v>81</v>
      </c>
      <c r="I386" s="6">
        <f>IFERROR(VLOOKUP(C386,O.B.JUNE!$AI$7:$AN$448,6,0),0)</f>
        <v>59</v>
      </c>
      <c r="J386" s="6"/>
      <c r="K386" s="6">
        <f>IFERROR(VLOOKUP(C386,O.B.JUNE!$AI$7:$AO$448,7,0),0)</f>
        <v>3008713</v>
      </c>
      <c r="L386" s="6">
        <f>SUMIF('JUNE (물량흐름)'!$C$13:$C$488,'Overhead exp(제조경비)'!C386,'JUNE (물량흐름)'!$H$13:$H$493)+SUMIF('JUNE (물량흐름)'!$C$13:$C$493,'Overhead exp(제조경비)'!C386,'JUNE (물량흐름)'!$V$13:$V$493)</f>
        <v>0</v>
      </c>
      <c r="M386" s="6">
        <f t="shared" si="90"/>
        <v>0</v>
      </c>
      <c r="N386" s="6">
        <f t="shared" si="91"/>
        <v>0</v>
      </c>
      <c r="O386" s="6">
        <f t="shared" si="101"/>
        <v>0</v>
      </c>
      <c r="P386" s="6">
        <f>SUMIF('JUNE (물량흐름)'!$C$13:$C$502,C386,'JUNE (물량흐름)'!$T$13:$T$502)+SUMIF('JUNE (물량흐름)'!$C$13:$C$502,C386,'JUNE (물량흐름)'!$V$13:$V$502)+SUMIF('JUNE (물량흐름)'!$C$13:$C$502,C386,'JUNE (물량흐름)'!$U$13:$U$502)-SUMIF('JUNE (물량흐름)'!$C$13:$C$502,C386,'JUNE (물량흐름)'!$Y$13:$Y$502)</f>
        <v>0</v>
      </c>
      <c r="Q386" s="6">
        <f t="shared" si="99"/>
        <v>0</v>
      </c>
      <c r="R386" s="6">
        <f>IF(ISERROR(VLOOKUP(#REF!,'WIP(재공품)'!$B$12:$AB$38,13,0)),0,VLOOKUP(#REF!,'WIP(재공품)'!$B$12:$AB$38,13,0))</f>
        <v>0</v>
      </c>
      <c r="S386" s="6">
        <f>IF(ISERROR(VLOOKUP(#REF!,'WIP(재공품)'!$B$12:$AB$38,10,0)),0,VLOOKUP(#REF!,'WIP(재공품)'!$B$12:$AB$38,10,0))</f>
        <v>0</v>
      </c>
      <c r="T386" s="6">
        <f>SUMIF('JUNE (물량흐름)'!$C$13:$C$502,'Overhead exp(제조경비)'!C386,'JUNE (물량흐름)'!$Y$13:$Y$502)</f>
        <v>2</v>
      </c>
      <c r="U386" s="6">
        <f t="shared" si="92"/>
        <v>74289</v>
      </c>
      <c r="V386" s="6">
        <f>ROUND(SUMIF('JUNE (물량흐름)'!$C$13:$C$502,'Overhead exp(제조경비)'!C386,'JUNE (물량흐름)'!$N$13:$N$502),0)</f>
        <v>0</v>
      </c>
      <c r="W386" s="6">
        <f>ROUND(SUMIF('JUNE (물량흐름)'!$C$13:$C$502,'Overhead exp(제조경비)'!C386,'JUNE (물량흐름)'!$O$13:$O$502),0)</f>
        <v>20</v>
      </c>
      <c r="X386" s="6">
        <f>ROUND(SUMIF('JUNE (물량흐름)'!$C$13:$C$502,'Overhead exp(제조경비)'!C386,'JUNE (물량흐름)'!$P$13:$P$502),0)</f>
        <v>59</v>
      </c>
      <c r="Y386" s="6">
        <f t="shared" si="93"/>
        <v>79</v>
      </c>
      <c r="Z386" s="6">
        <f t="shared" si="94"/>
        <v>57</v>
      </c>
      <c r="AA386" s="6">
        <f t="shared" si="100"/>
        <v>2934424</v>
      </c>
      <c r="AB386" s="391">
        <f t="shared" si="95"/>
        <v>0</v>
      </c>
      <c r="AC386" s="391">
        <f t="shared" si="96"/>
        <v>0</v>
      </c>
    </row>
    <row r="387" spans="1:29" s="390" customFormat="1" ht="24" customHeight="1">
      <c r="A387" s="167">
        <v>382</v>
      </c>
      <c r="B387" s="20" t="str">
        <f>IFERROR(VLOOKUP(A387,'JUNE (물량흐름)'!$A$13:$C$502,2,0),0)</f>
        <v>BAR III</v>
      </c>
      <c r="C387" s="272">
        <f>VLOOKUP(A387,'JUNE (물량흐름)'!$A$13:$C$502,3,0)</f>
        <v>100034888</v>
      </c>
      <c r="D387" s="6">
        <f>VLOOKUP(C387,'WIP(재공품)'!$B$12:$E$493,4,0)</f>
        <v>45350</v>
      </c>
      <c r="E387" s="6">
        <f>IFERROR(VLOOKUP(C387,O.B.JUNE!$AI$7:$AJ$448,2,0),0)</f>
        <v>0</v>
      </c>
      <c r="F387" s="6">
        <f>IFERROR(VLOOKUP(C387,O.B.JUNE!$AI$7:$AK$448,3,0),0)</f>
        <v>53</v>
      </c>
      <c r="G387" s="6">
        <f>IFERROR(VLOOKUP(C387,O.B.JUNE!$AI$7:$AL$448,4,0),0)</f>
        <v>10</v>
      </c>
      <c r="H387" s="6">
        <f t="shared" si="89"/>
        <v>63</v>
      </c>
      <c r="I387" s="6">
        <f>IFERROR(VLOOKUP(C387,O.B.JUNE!$AI$7:$AN$448,6,0),0)</f>
        <v>35</v>
      </c>
      <c r="J387" s="6"/>
      <c r="K387" s="6">
        <f>IFERROR(VLOOKUP(C387,O.B.JUNE!$AI$7:$AO$448,7,0),0)</f>
        <v>2102717</v>
      </c>
      <c r="L387" s="6">
        <f>SUMIF('JUNE (물량흐름)'!$C$13:$C$488,'Overhead exp(제조경비)'!C387,'JUNE (물량흐름)'!$H$13:$H$493)+SUMIF('JUNE (물량흐름)'!$C$13:$C$493,'Overhead exp(제조경비)'!C387,'JUNE (물량흐름)'!$V$13:$V$493)</f>
        <v>1466</v>
      </c>
      <c r="M387" s="6">
        <f t="shared" si="90"/>
        <v>881</v>
      </c>
      <c r="N387" s="6">
        <f t="shared" si="91"/>
        <v>39953350</v>
      </c>
      <c r="O387" s="6">
        <f t="shared" si="101"/>
        <v>24141409</v>
      </c>
      <c r="P387" s="6">
        <f>SUMIF('JUNE (물량흐름)'!$C$13:$C$502,C387,'JUNE (물량흐름)'!$T$13:$T$502)+SUMIF('JUNE (물량흐름)'!$C$13:$C$502,C387,'JUNE (물량흐름)'!$V$13:$V$502)+SUMIF('JUNE (물량흐름)'!$C$13:$C$502,C387,'JUNE (물량흐름)'!$U$13:$U$502)-SUMIF('JUNE (물량흐름)'!$C$13:$C$502,C387,'JUNE (물량흐름)'!$Y$13:$Y$502)</f>
        <v>105</v>
      </c>
      <c r="Q387" s="6">
        <f t="shared" si="99"/>
        <v>1802245</v>
      </c>
      <c r="R387" s="6">
        <f>IF(ISERROR(VLOOKUP(#REF!,'WIP(재공품)'!$B$12:$AB$38,13,0)),0,VLOOKUP(#REF!,'WIP(재공품)'!$B$12:$AB$38,13,0))</f>
        <v>0</v>
      </c>
      <c r="S387" s="6">
        <f>IF(ISERROR(VLOOKUP(#REF!,'WIP(재공품)'!$B$12:$AB$38,10,0)),0,VLOOKUP(#REF!,'WIP(재공품)'!$B$12:$AB$38,10,0))</f>
        <v>0</v>
      </c>
      <c r="T387" s="6">
        <f>SUMIF('JUNE (물량흐름)'!$C$13:$C$502,'Overhead exp(제조경비)'!C387,'JUNE (물량흐름)'!$Y$13:$Y$502)</f>
        <v>18</v>
      </c>
      <c r="U387" s="6">
        <f t="shared" si="92"/>
        <v>308956</v>
      </c>
      <c r="V387" s="6">
        <f>ROUND(SUMIF('JUNE (물량흐름)'!$C$13:$C$502,'Overhead exp(제조경비)'!C387,'JUNE (물량흐름)'!$N$13:$N$502),0)</f>
        <v>0</v>
      </c>
      <c r="W387" s="6">
        <f>ROUND(SUMIF('JUNE (물량흐름)'!$C$13:$C$502,'Overhead exp(제조경비)'!C387,'JUNE (물량흐름)'!$O$13:$O$502),0)</f>
        <v>1107</v>
      </c>
      <c r="X387" s="6">
        <f>ROUND(SUMIF('JUNE (물량흐름)'!$C$13:$C$502,'Overhead exp(제조경비)'!C387,'JUNE (물량흐름)'!$P$13:$P$502),0)</f>
        <v>299</v>
      </c>
      <c r="Y387" s="6">
        <f t="shared" si="93"/>
        <v>1406</v>
      </c>
      <c r="Z387" s="6">
        <f t="shared" si="94"/>
        <v>793</v>
      </c>
      <c r="AA387" s="6">
        <f t="shared" si="100"/>
        <v>24132924</v>
      </c>
      <c r="AB387" s="391">
        <f t="shared" si="95"/>
        <v>1</v>
      </c>
      <c r="AC387" s="391">
        <f t="shared" si="96"/>
        <v>0</v>
      </c>
    </row>
    <row r="388" spans="1:29" s="390" customFormat="1" ht="24" customHeight="1">
      <c r="A388" s="167">
        <v>383</v>
      </c>
      <c r="B388" s="20" t="str">
        <f>IFERROR(VLOOKUP(A388,'JUNE (물량흐름)'!$A$13:$C$502,2,0),0)</f>
        <v>BAR III</v>
      </c>
      <c r="C388" s="272">
        <f>VLOOKUP(A388,'JUNE (물량흐름)'!$A$13:$C$502,3,0)</f>
        <v>100035009</v>
      </c>
      <c r="D388" s="6">
        <f>VLOOKUP(C388,'WIP(재공품)'!$B$12:$E$493,4,0)</f>
        <v>46937.25</v>
      </c>
      <c r="E388" s="6">
        <f>IFERROR(VLOOKUP(C388,O.B.JUNE!$AI$7:$AJ$448,2,0),0)</f>
        <v>796</v>
      </c>
      <c r="F388" s="6">
        <f>IFERROR(VLOOKUP(C388,O.B.JUNE!$AI$7:$AK$448,3,0),0)</f>
        <v>1075</v>
      </c>
      <c r="G388" s="6">
        <f>IFERROR(VLOOKUP(C388,O.B.JUNE!$AI$7:$AL$448,4,0),0)</f>
        <v>29</v>
      </c>
      <c r="H388" s="6">
        <f t="shared" si="89"/>
        <v>1900</v>
      </c>
      <c r="I388" s="6">
        <f>IFERROR(VLOOKUP(C388,O.B.JUNE!$AI$7:$AN$448,6,0),0)</f>
        <v>720</v>
      </c>
      <c r="J388" s="6"/>
      <c r="K388" s="6">
        <f>IFERROR(VLOOKUP(C388,O.B.JUNE!$AI$7:$AO$448,7,0),0)</f>
        <v>41994365</v>
      </c>
      <c r="L388" s="6">
        <f>SUMIF('JUNE (물량흐름)'!$C$13:$C$488,'Overhead exp(제조경비)'!C388,'JUNE (물량흐름)'!$H$13:$H$493)+SUMIF('JUNE (물량흐름)'!$C$13:$C$493,'Overhead exp(제조경비)'!C388,'JUNE (물량흐름)'!$V$13:$V$493)</f>
        <v>2546</v>
      </c>
      <c r="M388" s="6">
        <f t="shared" si="90"/>
        <v>3574</v>
      </c>
      <c r="N388" s="6">
        <f t="shared" si="91"/>
        <v>167753732</v>
      </c>
      <c r="O388" s="6">
        <f t="shared" si="101"/>
        <v>101363501</v>
      </c>
      <c r="P388" s="6">
        <f>SUMIF('JUNE (물량흐름)'!$C$13:$C$502,C388,'JUNE (물량흐름)'!$T$13:$T$502)+SUMIF('JUNE (물량흐름)'!$C$13:$C$502,C388,'JUNE (물량흐름)'!$V$13:$V$502)+SUMIF('JUNE (물량흐름)'!$C$13:$C$502,C388,'JUNE (물량흐름)'!$U$13:$U$502)-SUMIF('JUNE (물량흐름)'!$C$13:$C$502,C388,'JUNE (물량흐름)'!$Y$13:$Y$502)</f>
        <v>3972</v>
      </c>
      <c r="Q388" s="6">
        <f t="shared" si="99"/>
        <v>128074099</v>
      </c>
      <c r="R388" s="6">
        <f>IF(ISERROR(VLOOKUP(#REF!,'WIP(재공품)'!$B$12:$AB$38,13,0)),0,VLOOKUP(#REF!,'WIP(재공품)'!$B$12:$AB$38,13,0))</f>
        <v>0</v>
      </c>
      <c r="S388" s="6">
        <f>IF(ISERROR(VLOOKUP(#REF!,'WIP(재공품)'!$B$12:$AB$38,10,0)),0,VLOOKUP(#REF!,'WIP(재공품)'!$B$12:$AB$38,10,0))</f>
        <v>0</v>
      </c>
      <c r="T388" s="6">
        <f>SUMIF('JUNE (물량흐름)'!$C$13:$C$502,'Overhead exp(제조경비)'!C388,'JUNE (물량흐름)'!$Y$13:$Y$502)</f>
        <v>3</v>
      </c>
      <c r="U388" s="6">
        <f t="shared" si="92"/>
        <v>96733</v>
      </c>
      <c r="V388" s="6">
        <f>ROUND(SUMIF('JUNE (물량흐름)'!$C$13:$C$502,'Overhead exp(제조경비)'!C388,'JUNE (물량흐름)'!$N$13:$N$502),0)</f>
        <v>0</v>
      </c>
      <c r="W388" s="6">
        <f>ROUND(SUMIF('JUNE (물량흐름)'!$C$13:$C$502,'Overhead exp(제조경비)'!C388,'JUNE (물량흐름)'!$O$13:$O$502),0)</f>
        <v>193</v>
      </c>
      <c r="X388" s="6">
        <f>ROUND(SUMIF('JUNE (물량흐름)'!$C$13:$C$502,'Overhead exp(제조경비)'!C388,'JUNE (물량흐름)'!$P$13:$P$502),0)</f>
        <v>278</v>
      </c>
      <c r="Y388" s="167">
        <f t="shared" ref="Y388" si="109">ROUND(SUM(V388:X388),0)</f>
        <v>471</v>
      </c>
      <c r="Z388" s="167">
        <f t="shared" si="94"/>
        <v>319</v>
      </c>
      <c r="AA388" s="6">
        <f t="shared" si="100"/>
        <v>15187034</v>
      </c>
      <c r="AB388" s="391">
        <f t="shared" si="95"/>
        <v>0</v>
      </c>
      <c r="AC388" s="391">
        <f t="shared" si="96"/>
        <v>0</v>
      </c>
    </row>
    <row r="389" spans="1:29" s="390" customFormat="1" ht="24" customHeight="1">
      <c r="A389" s="167">
        <v>387</v>
      </c>
      <c r="B389" s="20" t="str">
        <f>IFERROR(VLOOKUP(A389,'JUNE (물량흐름)'!$A$13:$C$502,2,0),0)</f>
        <v>TALBOTS</v>
      </c>
      <c r="C389" s="272">
        <f>VLOOKUP(A389,'JUNE (물량흐름)'!$A$13:$C$502,3,0)</f>
        <v>174034865</v>
      </c>
      <c r="D389" s="6">
        <f>VLOOKUP(C389,'WIP(재공품)'!$B$12:$E$493,4,0)</f>
        <v>35826.5</v>
      </c>
      <c r="E389" s="6">
        <f>IFERROR(VLOOKUP(C389,O.B.JUNE!$AI$7:$AJ$448,2,0),0)</f>
        <v>0</v>
      </c>
      <c r="F389" s="6">
        <f>IFERROR(VLOOKUP(C389,O.B.JUNE!$AI$7:$AK$448,3,0),0)</f>
        <v>236</v>
      </c>
      <c r="G389" s="6">
        <f>IFERROR(VLOOKUP(C389,O.B.JUNE!$AI$7:$AL$448,4,0),0)</f>
        <v>271</v>
      </c>
      <c r="H389" s="6">
        <f t="shared" ref="H389:H433" si="110">+E389+F389+G389</f>
        <v>507</v>
      </c>
      <c r="I389" s="6">
        <f>IFERROR(VLOOKUP(C389,O.B.JUNE!$AI$7:$AN$448,6,0),0)</f>
        <v>335</v>
      </c>
      <c r="J389" s="6"/>
      <c r="K389" s="6">
        <f>IFERROR(VLOOKUP(C389,O.B.JUNE!$AI$7:$AO$448,7,0),0)</f>
        <v>16058228</v>
      </c>
      <c r="L389" s="6">
        <f>SUMIF('JUNE (물량흐름)'!$C$13:$C$488,'Overhead exp(제조경비)'!C389,'JUNE (물량흐름)'!$H$13:$H$493)+SUMIF('JUNE (물량흐름)'!$C$13:$C$493,'Overhead exp(제조경비)'!C389,'JUNE (물량흐름)'!$V$13:$V$493)</f>
        <v>0</v>
      </c>
      <c r="M389" s="6">
        <f t="shared" ref="M389:M433" si="111">IF(OR(L389&lt;=0,P389+T389+R389+Z389-I389&lt;0),0,ROUND(P389+T389+R389+Z389-I389,0))</f>
        <v>0</v>
      </c>
      <c r="N389" s="6">
        <f t="shared" ref="N389:N433" si="112">ROUND(M389*D389,0)</f>
        <v>0</v>
      </c>
      <c r="O389" s="6">
        <f t="shared" si="101"/>
        <v>0</v>
      </c>
      <c r="P389" s="6">
        <f>SUMIF('JUNE (물량흐름)'!$C$13:$C$502,C389,'JUNE (물량흐름)'!$T$13:$T$502)+SUMIF('JUNE (물량흐름)'!$C$13:$C$502,C389,'JUNE (물량흐름)'!$V$13:$V$502)+SUMIF('JUNE (물량흐름)'!$C$13:$C$502,C389,'JUNE (물량흐름)'!$U$13:$U$502)-SUMIF('JUNE (물량흐름)'!$C$13:$C$502,C389,'JUNE (물량흐름)'!$Y$13:$Y$502)</f>
        <v>0</v>
      </c>
      <c r="Q389" s="6">
        <f t="shared" si="99"/>
        <v>0</v>
      </c>
      <c r="R389" s="6">
        <f>IF(ISERROR(VLOOKUP(#REF!,'WIP(재공품)'!$B$12:$AB$38,13,0)),0,VLOOKUP(#REF!,'WIP(재공품)'!$B$12:$AB$38,13,0))</f>
        <v>0</v>
      </c>
      <c r="S389" s="6">
        <f>IF(ISERROR(VLOOKUP(#REF!,'WIP(재공품)'!$B$12:$AB$38,10,0)),0,VLOOKUP(#REF!,'WIP(재공품)'!$B$12:$AB$38,10,0))</f>
        <v>0</v>
      </c>
      <c r="T389" s="6">
        <f>SUMIF('JUNE (물량흐름)'!$C$13:$C$502,'Overhead exp(제조경비)'!C389,'JUNE (물량흐름)'!$Y$13:$Y$502)</f>
        <v>11</v>
      </c>
      <c r="U389" s="6">
        <f t="shared" ref="U389:U438" si="113">IFERROR(ROUND(IF(AND(T389&lt;=0,($I389+$M389)=0),T389*(K389+O389)/(I389+M389),T389*(K389+O389)/(H389+L389)),0),0)</f>
        <v>348403</v>
      </c>
      <c r="V389" s="6">
        <f>ROUND(SUMIF('JUNE (물량흐름)'!$C$13:$C$502,'Overhead exp(제조경비)'!C389,'JUNE (물량흐름)'!$N$13:$N$502),0)</f>
        <v>0</v>
      </c>
      <c r="W389" s="6">
        <f>ROUND(SUMIF('JUNE (물량흐름)'!$C$13:$C$502,'Overhead exp(제조경비)'!C389,'JUNE (물량흐름)'!$O$13:$O$502),0)</f>
        <v>236</v>
      </c>
      <c r="X389" s="6">
        <f>ROUND(SUMIF('JUNE (물량흐름)'!$C$13:$C$502,'Overhead exp(제조경비)'!C389,'JUNE (물량흐름)'!$P$13:$P$502),0)</f>
        <v>260</v>
      </c>
      <c r="Y389" s="6">
        <f t="shared" ref="Y389:Y433" si="114">ROUND(SUM(V389:X389),0)</f>
        <v>496</v>
      </c>
      <c r="Z389" s="6">
        <f t="shared" ref="Z389:Z433" si="115">ROUND(V389*$V$10+W389*$W$10+X389*$X$10,0)</f>
        <v>326</v>
      </c>
      <c r="AA389" s="6">
        <f t="shared" si="100"/>
        <v>15709825</v>
      </c>
      <c r="AB389" s="391">
        <f t="shared" ref="AB389:AB438" si="116">K389+O389-Q389-U389-AA389</f>
        <v>0</v>
      </c>
      <c r="AC389" s="391">
        <f t="shared" ref="AC389:AC438" si="117">H389+L389-P389-T389-Y389</f>
        <v>0</v>
      </c>
    </row>
    <row r="390" spans="1:29" s="390" customFormat="1" ht="24" customHeight="1">
      <c r="A390" s="167">
        <v>388</v>
      </c>
      <c r="B390" s="20" t="str">
        <f>IFERROR(VLOOKUP(A390,'JUNE (물량흐름)'!$A$13:$C$502,2,0),0)</f>
        <v>TALBOTS</v>
      </c>
      <c r="C390" s="272">
        <f>VLOOKUP(A390,'JUNE (물량흐름)'!$A$13:$C$502,3,0)</f>
        <v>183034522</v>
      </c>
      <c r="D390" s="6">
        <f>VLOOKUP(C390,'WIP(재공품)'!$B$12:$E$493,4,0)</f>
        <v>58501.5</v>
      </c>
      <c r="E390" s="6">
        <f>IFERROR(VLOOKUP(C390,O.B.JUNE!$AI$7:$AJ$448,2,0),0)</f>
        <v>0</v>
      </c>
      <c r="F390" s="6">
        <f>IFERROR(VLOOKUP(C390,O.B.JUNE!$AI$7:$AK$448,3,0),0)</f>
        <v>579</v>
      </c>
      <c r="G390" s="6">
        <f>IFERROR(VLOOKUP(C390,O.B.JUNE!$AI$7:$AL$448,4,0),0)</f>
        <v>1047</v>
      </c>
      <c r="H390" s="6">
        <f t="shared" si="110"/>
        <v>1626</v>
      </c>
      <c r="I390" s="6">
        <f>IFERROR(VLOOKUP(C390,O.B.JUNE!$AI$7:$AN$448,6,0),0)</f>
        <v>1127</v>
      </c>
      <c r="J390" s="6"/>
      <c r="K390" s="6">
        <f>IFERROR(VLOOKUP(C390,O.B.JUNE!$AI$7:$AO$448,7,0),0)</f>
        <v>55016370</v>
      </c>
      <c r="L390" s="6">
        <f>SUMIF('JUNE (물량흐름)'!$C$13:$C$488,'Overhead exp(제조경비)'!C390,'JUNE (물량흐름)'!$H$13:$H$493)+SUMIF('JUNE (물량흐름)'!$C$13:$C$493,'Overhead exp(제조경비)'!C390,'JUNE (물량흐름)'!$V$13:$V$493)</f>
        <v>0</v>
      </c>
      <c r="M390" s="6">
        <f t="shared" si="111"/>
        <v>0</v>
      </c>
      <c r="N390" s="6">
        <f t="shared" si="112"/>
        <v>0</v>
      </c>
      <c r="O390" s="6">
        <f t="shared" si="101"/>
        <v>0</v>
      </c>
      <c r="P390" s="6">
        <f>SUMIF('JUNE (물량흐름)'!$C$13:$C$502,C390,'JUNE (물량흐름)'!$T$13:$T$502)+SUMIF('JUNE (물량흐름)'!$C$13:$C$502,C390,'JUNE (물량흐름)'!$V$13:$V$502)+SUMIF('JUNE (물량흐름)'!$C$13:$C$502,C390,'JUNE (물량흐름)'!$U$13:$U$502)-SUMIF('JUNE (물량흐름)'!$C$13:$C$502,C390,'JUNE (물량흐름)'!$Y$13:$Y$502)</f>
        <v>0</v>
      </c>
      <c r="Q390" s="6">
        <f t="shared" si="99"/>
        <v>0</v>
      </c>
      <c r="R390" s="6">
        <f>IF(ISERROR(VLOOKUP(#REF!,'WIP(재공품)'!$B$12:$AB$38,13,0)),0,VLOOKUP(#REF!,'WIP(재공품)'!$B$12:$AB$38,13,0))</f>
        <v>0</v>
      </c>
      <c r="S390" s="6">
        <f>IF(ISERROR(VLOOKUP(#REF!,'WIP(재공품)'!$B$12:$AB$38,10,0)),0,VLOOKUP(#REF!,'WIP(재공품)'!$B$12:$AB$38,10,0))</f>
        <v>0</v>
      </c>
      <c r="T390" s="6">
        <f>SUMIF('JUNE (물량흐름)'!$C$13:$C$502,'Overhead exp(제조경비)'!C390,'JUNE (물량흐름)'!$Y$13:$Y$502)</f>
        <v>0</v>
      </c>
      <c r="U390" s="6">
        <f t="shared" si="113"/>
        <v>0</v>
      </c>
      <c r="V390" s="6">
        <f>ROUND(SUMIF('JUNE (물량흐름)'!$C$13:$C$502,'Overhead exp(제조경비)'!C390,'JUNE (물량흐름)'!$N$13:$N$502),0)</f>
        <v>0</v>
      </c>
      <c r="W390" s="6">
        <f>ROUND(SUMIF('JUNE (물량흐름)'!$C$13:$C$502,'Overhead exp(제조경비)'!C390,'JUNE (물량흐름)'!$O$13:$O$502),0)</f>
        <v>579</v>
      </c>
      <c r="X390" s="6">
        <f>ROUND(SUMIF('JUNE (물량흐름)'!$C$13:$C$502,'Overhead exp(제조경비)'!C390,'JUNE (물량흐름)'!$P$13:$P$502),0)</f>
        <v>1047</v>
      </c>
      <c r="Y390" s="167">
        <f t="shared" ref="Y390" si="118">ROUND(SUM(V390:X390),0)</f>
        <v>1626</v>
      </c>
      <c r="Z390" s="167">
        <f t="shared" si="115"/>
        <v>1127</v>
      </c>
      <c r="AA390" s="6">
        <f t="shared" si="100"/>
        <v>55016370</v>
      </c>
      <c r="AB390" s="391">
        <f t="shared" si="116"/>
        <v>0</v>
      </c>
      <c r="AC390" s="391">
        <f t="shared" si="117"/>
        <v>0</v>
      </c>
    </row>
    <row r="391" spans="1:29" s="390" customFormat="1" ht="24" customHeight="1">
      <c r="A391" s="167">
        <v>400</v>
      </c>
      <c r="B391" s="20" t="str">
        <f>IFERROR(VLOOKUP(A391,'JUNE (물량흐름)'!$A$13:$C$502,2,0),0)</f>
        <v>ANN TAYLOR</v>
      </c>
      <c r="C391" s="272">
        <f>VLOOKUP(A391,'JUNE (물량흐름)'!$A$13:$C$502,3,0)</f>
        <v>464202</v>
      </c>
      <c r="D391" s="6">
        <f>VLOOKUP(C391,'WIP(재공품)'!$B$12:$E$493,4,0)</f>
        <v>84804.5</v>
      </c>
      <c r="E391" s="6">
        <f>IFERROR(VLOOKUP(C391,O.B.JUNE!$AI$7:$AJ$448,2,0),0)</f>
        <v>210</v>
      </c>
      <c r="F391" s="6">
        <f>IFERROR(VLOOKUP(C391,O.B.JUNE!$AI$7:$AK$448,3,0),0)</f>
        <v>56</v>
      </c>
      <c r="G391" s="6">
        <f>IFERROR(VLOOKUP(C391,O.B.JUNE!$AI$7:$AL$448,4,0),0)</f>
        <v>0</v>
      </c>
      <c r="H391" s="6">
        <f t="shared" si="110"/>
        <v>266</v>
      </c>
      <c r="I391" s="6">
        <f>IFERROR(VLOOKUP(C391,O.B.JUNE!$AI$7:$AN$448,6,0),0)</f>
        <v>70</v>
      </c>
      <c r="J391" s="6"/>
      <c r="K391" s="6">
        <f>IFERROR(VLOOKUP(C391,O.B.JUNE!$AI$7:$AO$448,7,0),0)</f>
        <v>12463494</v>
      </c>
      <c r="L391" s="6">
        <f>SUMIF('JUNE (물량흐름)'!$C$13:$C$488,'Overhead exp(제조경비)'!C391,'JUNE (물량흐름)'!$H$13:$H$493)+SUMIF('JUNE (물량흐름)'!$C$13:$C$493,'Overhead exp(제조경비)'!C391,'JUNE (물량흐름)'!$V$13:$V$493)</f>
        <v>586</v>
      </c>
      <c r="M391" s="6">
        <f t="shared" si="111"/>
        <v>725</v>
      </c>
      <c r="N391" s="6">
        <f t="shared" si="112"/>
        <v>61483263</v>
      </c>
      <c r="O391" s="6">
        <f t="shared" si="101"/>
        <v>37150641</v>
      </c>
      <c r="P391" s="6">
        <f>SUMIF('JUNE (물량흐름)'!$C$13:$C$502,C391,'JUNE (물량흐름)'!$T$13:$T$502)+SUMIF('JUNE (물량흐름)'!$C$13:$C$502,C391,'JUNE (물량흐름)'!$V$13:$V$502)+SUMIF('JUNE (물량흐름)'!$C$13:$C$502,C391,'JUNE (물량흐름)'!$U$13:$U$502)-SUMIF('JUNE (물량흐름)'!$C$13:$C$502,C391,'JUNE (물량흐름)'!$Y$13:$Y$502)</f>
        <v>603</v>
      </c>
      <c r="Q391" s="6">
        <f t="shared" si="99"/>
        <v>35114229</v>
      </c>
      <c r="R391" s="6">
        <f>IF(ISERROR(VLOOKUP(#REF!,'WIP(재공품)'!$B$12:$AB$38,13,0)),0,VLOOKUP(#REF!,'WIP(재공품)'!$B$12:$AB$38,13,0))</f>
        <v>0</v>
      </c>
      <c r="S391" s="6">
        <f>IF(ISERROR(VLOOKUP(#REF!,'WIP(재공품)'!$B$12:$AB$38,10,0)),0,VLOOKUP(#REF!,'WIP(재공품)'!$B$12:$AB$38,10,0))</f>
        <v>0</v>
      </c>
      <c r="T391" s="6">
        <f>SUMIF('JUNE (물량흐름)'!$C$13:$C$502,'Overhead exp(제조경비)'!C391,'JUNE (물량흐름)'!$Y$13:$Y$502)</f>
        <v>9</v>
      </c>
      <c r="U391" s="6">
        <f t="shared" si="113"/>
        <v>524093</v>
      </c>
      <c r="V391" s="6">
        <f>ROUND(SUMIF('JUNE (물량흐름)'!$C$13:$C$502,'Overhead exp(제조경비)'!C391,'JUNE (물량흐름)'!$N$13:$N$502),0)</f>
        <v>0</v>
      </c>
      <c r="W391" s="6">
        <f>ROUND(SUMIF('JUNE (물량흐름)'!$C$13:$C$502,'Overhead exp(제조경비)'!C391,'JUNE (물량흐름)'!$O$13:$O$502),0)</f>
        <v>31</v>
      </c>
      <c r="X391" s="6">
        <f>ROUND(SUMIF('JUNE (물량흐름)'!$C$13:$C$502,'Overhead exp(제조경비)'!C391,'JUNE (물량흐름)'!$P$13:$P$502),0)</f>
        <v>209</v>
      </c>
      <c r="Y391" s="6">
        <f t="shared" si="114"/>
        <v>240</v>
      </c>
      <c r="Z391" s="6">
        <f t="shared" si="115"/>
        <v>183</v>
      </c>
      <c r="AA391" s="6">
        <f t="shared" si="100"/>
        <v>13975813</v>
      </c>
      <c r="AB391" s="391">
        <f t="shared" si="116"/>
        <v>0</v>
      </c>
      <c r="AC391" s="391">
        <f t="shared" si="117"/>
        <v>0</v>
      </c>
    </row>
    <row r="392" spans="1:29" s="390" customFormat="1" ht="24" customHeight="1">
      <c r="A392" s="167">
        <v>401</v>
      </c>
      <c r="B392" s="20" t="str">
        <f>IFERROR(VLOOKUP(A392,'JUNE (물량흐름)'!$A$13:$C$502,2,0),0)</f>
        <v>ANN TAYLOR</v>
      </c>
      <c r="C392" s="272">
        <f>VLOOKUP(A392,'JUNE (물량흐름)'!$A$13:$C$502,3,0)</f>
        <v>464618</v>
      </c>
      <c r="D392" s="6">
        <f>VLOOKUP(C392,'WIP(재공품)'!$B$12:$E$493,4,0)</f>
        <v>61902.75</v>
      </c>
      <c r="E392" s="6">
        <f>IFERROR(VLOOKUP(C392,O.B.JUNE!$AI$7:$AJ$448,2,0),0)</f>
        <v>0</v>
      </c>
      <c r="F392" s="6">
        <f>IFERROR(VLOOKUP(C392,O.B.JUNE!$AI$7:$AK$448,3,0),0)</f>
        <v>127</v>
      </c>
      <c r="G392" s="6">
        <f>IFERROR(VLOOKUP(C392,O.B.JUNE!$AI$7:$AL$448,4,0),0)</f>
        <v>620</v>
      </c>
      <c r="H392" s="6">
        <f t="shared" si="110"/>
        <v>747</v>
      </c>
      <c r="I392" s="6">
        <f>IFERROR(VLOOKUP(C392,O.B.JUNE!$AI$7:$AN$448,6,0),0)</f>
        <v>560</v>
      </c>
      <c r="J392" s="6"/>
      <c r="K392" s="6">
        <f>IFERROR(VLOOKUP(C392,O.B.JUNE!$AI$7:$AO$448,7,0),0)</f>
        <v>35521810</v>
      </c>
      <c r="L392" s="6">
        <f>SUMIF('JUNE (물량흐름)'!$C$13:$C$488,'Overhead exp(제조경비)'!C392,'JUNE (물량흐름)'!$H$13:$H$493)+SUMIF('JUNE (물량흐름)'!$C$13:$C$493,'Overhead exp(제조경비)'!C392,'JUNE (물량흐름)'!$V$13:$V$493)</f>
        <v>0</v>
      </c>
      <c r="M392" s="6">
        <f t="shared" si="111"/>
        <v>0</v>
      </c>
      <c r="N392" s="6">
        <f t="shared" si="112"/>
        <v>0</v>
      </c>
      <c r="O392" s="6">
        <f t="shared" si="101"/>
        <v>0</v>
      </c>
      <c r="P392" s="6">
        <f>SUMIF('JUNE (물량흐름)'!$C$13:$C$502,C392,'JUNE (물량흐름)'!$T$13:$T$502)+SUMIF('JUNE (물량흐름)'!$C$13:$C$502,C392,'JUNE (물량흐름)'!$V$13:$V$502)+SUMIF('JUNE (물량흐름)'!$C$13:$C$502,C392,'JUNE (물량흐름)'!$U$13:$U$502)-SUMIF('JUNE (물량흐름)'!$C$13:$C$502,C392,'JUNE (물량흐름)'!$Y$13:$Y$502)</f>
        <v>0</v>
      </c>
      <c r="Q392" s="6">
        <f t="shared" si="99"/>
        <v>0</v>
      </c>
      <c r="R392" s="6">
        <f>IF(ISERROR(VLOOKUP(#REF!,'WIP(재공품)'!$B$12:$AB$38,13,0)),0,VLOOKUP(#REF!,'WIP(재공품)'!$B$12:$AB$38,13,0))</f>
        <v>0</v>
      </c>
      <c r="S392" s="6">
        <f>IF(ISERROR(VLOOKUP(#REF!,'WIP(재공품)'!$B$12:$AB$38,10,0)),0,VLOOKUP(#REF!,'WIP(재공품)'!$B$12:$AB$38,10,0))</f>
        <v>0</v>
      </c>
      <c r="T392" s="6">
        <f>SUMIF('JUNE (물량흐름)'!$C$13:$C$502,'Overhead exp(제조경비)'!C392,'JUNE (물량흐름)'!$Y$13:$Y$502)</f>
        <v>0</v>
      </c>
      <c r="U392" s="6">
        <f t="shared" si="113"/>
        <v>0</v>
      </c>
      <c r="V392" s="6">
        <f>ROUND(SUMIF('JUNE (물량흐름)'!$C$13:$C$502,'Overhead exp(제조경비)'!C392,'JUNE (물량흐름)'!$N$13:$N$502),0)</f>
        <v>0</v>
      </c>
      <c r="W392" s="6">
        <f>ROUND(SUMIF('JUNE (물량흐름)'!$C$13:$C$502,'Overhead exp(제조경비)'!C392,'JUNE (물량흐름)'!$O$13:$O$502),0)</f>
        <v>127</v>
      </c>
      <c r="X392" s="6">
        <f>ROUND(SUMIF('JUNE (물량흐름)'!$C$13:$C$502,'Overhead exp(제조경비)'!C392,'JUNE (물량흐름)'!$P$13:$P$502),0)</f>
        <v>620</v>
      </c>
      <c r="Y392" s="6">
        <f t="shared" si="114"/>
        <v>747</v>
      </c>
      <c r="Z392" s="6">
        <f t="shared" si="115"/>
        <v>560</v>
      </c>
      <c r="AA392" s="6">
        <f t="shared" si="100"/>
        <v>35521810</v>
      </c>
      <c r="AB392" s="391">
        <f t="shared" si="116"/>
        <v>0</v>
      </c>
      <c r="AC392" s="391">
        <f t="shared" si="117"/>
        <v>0</v>
      </c>
    </row>
    <row r="393" spans="1:29" s="390" customFormat="1" ht="24" customHeight="1">
      <c r="A393" s="167">
        <v>402</v>
      </c>
      <c r="B393" s="20" t="str">
        <f>IFERROR(VLOOKUP(A393,'JUNE (물량흐름)'!$A$13:$C$502,2,0),0)</f>
        <v>ANN TAYLOR</v>
      </c>
      <c r="C393" s="272">
        <f>VLOOKUP(A393,'JUNE (물량흐름)'!$A$13:$C$502,3,0)</f>
        <v>466748</v>
      </c>
      <c r="D393" s="6">
        <f>VLOOKUP(C393,'WIP(재공품)'!$B$12:$E$493,4,0)</f>
        <v>33332.25</v>
      </c>
      <c r="E393" s="6">
        <f>IFERROR(VLOOKUP(C393,O.B.JUNE!$AI$7:$AJ$448,2,0),0)</f>
        <v>0</v>
      </c>
      <c r="F393" s="6">
        <f>IFERROR(VLOOKUP(C393,O.B.JUNE!$AI$7:$AK$448,3,0),0)</f>
        <v>492</v>
      </c>
      <c r="G393" s="6">
        <f>IFERROR(VLOOKUP(C393,O.B.JUNE!$AI$7:$AL$448,4,0),0)</f>
        <v>692</v>
      </c>
      <c r="H393" s="6">
        <f t="shared" si="110"/>
        <v>1184</v>
      </c>
      <c r="I393" s="6">
        <f>IFERROR(VLOOKUP(C393,O.B.JUNE!$AI$7:$AN$448,6,0),0)</f>
        <v>800</v>
      </c>
      <c r="J393" s="6"/>
      <c r="K393" s="6">
        <f>IFERROR(VLOOKUP(C393,O.B.JUNE!$AI$7:$AO$448,7,0),0)</f>
        <v>23234765</v>
      </c>
      <c r="L393" s="6">
        <f>SUMIF('JUNE (물량흐름)'!$C$13:$C$488,'Overhead exp(제조경비)'!C393,'JUNE (물량흐름)'!$H$13:$H$493)+SUMIF('JUNE (물량흐름)'!$C$13:$C$493,'Overhead exp(제조경비)'!C393,'JUNE (물량흐름)'!$V$13:$V$493)</f>
        <v>0</v>
      </c>
      <c r="M393" s="6">
        <f t="shared" si="111"/>
        <v>0</v>
      </c>
      <c r="N393" s="6">
        <f t="shared" si="112"/>
        <v>0</v>
      </c>
      <c r="O393" s="6">
        <f t="shared" si="101"/>
        <v>0</v>
      </c>
      <c r="P393" s="6">
        <f>SUMIF('JUNE (물량흐름)'!$C$13:$C$502,C393,'JUNE (물량흐름)'!$T$13:$T$502)+SUMIF('JUNE (물량흐름)'!$C$13:$C$502,C393,'JUNE (물량흐름)'!$V$13:$V$502)+SUMIF('JUNE (물량흐름)'!$C$13:$C$502,C393,'JUNE (물량흐름)'!$U$13:$U$502)-SUMIF('JUNE (물량흐름)'!$C$13:$C$502,C393,'JUNE (물량흐름)'!$Y$13:$Y$502)</f>
        <v>411</v>
      </c>
      <c r="Q393" s="6">
        <f t="shared" si="99"/>
        <v>8065446</v>
      </c>
      <c r="R393" s="6">
        <f>IF(ISERROR(VLOOKUP(#REF!,'WIP(재공품)'!$B$12:$AB$38,13,0)),0,VLOOKUP(#REF!,'WIP(재공품)'!$B$12:$AB$38,13,0))</f>
        <v>0</v>
      </c>
      <c r="S393" s="6">
        <f>IF(ISERROR(VLOOKUP(#REF!,'WIP(재공품)'!$B$12:$AB$38,10,0)),0,VLOOKUP(#REF!,'WIP(재공품)'!$B$12:$AB$38,10,0))</f>
        <v>0</v>
      </c>
      <c r="T393" s="6">
        <f>SUMIF('JUNE (물량흐름)'!$C$13:$C$502,'Overhead exp(제조경비)'!C393,'JUNE (물량흐름)'!$Y$13:$Y$502)</f>
        <v>13</v>
      </c>
      <c r="U393" s="6">
        <f t="shared" si="113"/>
        <v>255111</v>
      </c>
      <c r="V393" s="6">
        <f>ROUND(SUMIF('JUNE (물량흐름)'!$C$13:$C$502,'Overhead exp(제조경비)'!C393,'JUNE (물량흐름)'!$N$13:$N$502),0)</f>
        <v>0</v>
      </c>
      <c r="W393" s="6">
        <f>ROUND(SUMIF('JUNE (물량흐름)'!$C$13:$C$502,'Overhead exp(제조경비)'!C393,'JUNE (물량흐름)'!$O$13:$O$502),0)</f>
        <v>492</v>
      </c>
      <c r="X393" s="6">
        <f>ROUND(SUMIF('JUNE (물량흐름)'!$C$13:$C$502,'Overhead exp(제조경비)'!C393,'JUNE (물량흐름)'!$P$13:$P$502),0)</f>
        <v>268</v>
      </c>
      <c r="Y393" s="6">
        <f t="shared" si="114"/>
        <v>760</v>
      </c>
      <c r="Z393" s="6">
        <f t="shared" si="115"/>
        <v>460</v>
      </c>
      <c r="AA393" s="6">
        <f t="shared" si="100"/>
        <v>14914207</v>
      </c>
      <c r="AB393" s="391">
        <f t="shared" si="116"/>
        <v>1</v>
      </c>
      <c r="AC393" s="391">
        <f t="shared" si="117"/>
        <v>0</v>
      </c>
    </row>
    <row r="394" spans="1:29" s="390" customFormat="1" ht="24" customHeight="1">
      <c r="A394" s="167">
        <v>403</v>
      </c>
      <c r="B394" s="20" t="str">
        <f>IFERROR(VLOOKUP(A394,'JUNE (물량흐름)'!$A$13:$C$502,2,0),0)</f>
        <v>ANN TAYLOR</v>
      </c>
      <c r="C394" s="272">
        <f>VLOOKUP(A394,'JUNE (물량흐름)'!$A$13:$C$502,3,0)</f>
        <v>468918</v>
      </c>
      <c r="D394" s="6">
        <f>VLOOKUP(C394,'WIP(재공품)'!$B$12:$E$493,4,0)</f>
        <v>78228.75</v>
      </c>
      <c r="E394" s="6">
        <f>IFERROR(VLOOKUP(C394,O.B.JUNE!$AI$7:$AJ$448,2,0),0)</f>
        <v>0</v>
      </c>
      <c r="F394" s="6">
        <f>IFERROR(VLOOKUP(C394,O.B.JUNE!$AI$7:$AK$448,3,0),0)</f>
        <v>52</v>
      </c>
      <c r="G394" s="6">
        <f>IFERROR(VLOOKUP(C394,O.B.JUNE!$AI$7:$AL$448,4,0),0)</f>
        <v>47</v>
      </c>
      <c r="H394" s="6">
        <f t="shared" si="110"/>
        <v>99</v>
      </c>
      <c r="I394" s="6">
        <f>IFERROR(VLOOKUP(C394,O.B.JUNE!$AI$7:$AN$448,6,0),0)</f>
        <v>64</v>
      </c>
      <c r="J394" s="6"/>
      <c r="K394" s="6">
        <f>IFERROR(VLOOKUP(C394,O.B.JUNE!$AI$7:$AO$448,7,0),0)</f>
        <v>4604893</v>
      </c>
      <c r="L394" s="6">
        <f>SUMIF('JUNE (물량흐름)'!$C$13:$C$488,'Overhead exp(제조경비)'!C394,'JUNE (물량흐름)'!$H$13:$H$493)+SUMIF('JUNE (물량흐름)'!$C$13:$C$493,'Overhead exp(제조경비)'!C394,'JUNE (물량흐름)'!$V$13:$V$493)</f>
        <v>0</v>
      </c>
      <c r="M394" s="6">
        <f t="shared" si="111"/>
        <v>0</v>
      </c>
      <c r="N394" s="6">
        <f t="shared" si="112"/>
        <v>0</v>
      </c>
      <c r="O394" s="6">
        <f t="shared" si="101"/>
        <v>0</v>
      </c>
      <c r="P394" s="6">
        <f>SUMIF('JUNE (물량흐름)'!$C$13:$C$502,C394,'JUNE (물량흐름)'!$T$13:$T$502)+SUMIF('JUNE (물량흐름)'!$C$13:$C$502,C394,'JUNE (물량흐름)'!$V$13:$V$502)+SUMIF('JUNE (물량흐름)'!$C$13:$C$502,C394,'JUNE (물량흐름)'!$U$13:$U$502)-SUMIF('JUNE (물량흐름)'!$C$13:$C$502,C394,'JUNE (물량흐름)'!$Y$13:$Y$502)</f>
        <v>0</v>
      </c>
      <c r="Q394" s="6">
        <f t="shared" si="99"/>
        <v>0</v>
      </c>
      <c r="R394" s="6">
        <f>IF(ISERROR(VLOOKUP(#REF!,'WIP(재공품)'!$B$12:$AB$38,13,0)),0,VLOOKUP(#REF!,'WIP(재공품)'!$B$12:$AB$38,13,0))</f>
        <v>0</v>
      </c>
      <c r="S394" s="6">
        <f>IF(ISERROR(VLOOKUP(#REF!,'WIP(재공품)'!$B$12:$AB$38,10,0)),0,VLOOKUP(#REF!,'WIP(재공품)'!$B$12:$AB$38,10,0))</f>
        <v>0</v>
      </c>
      <c r="T394" s="6">
        <f>SUMIF('JUNE (물량흐름)'!$C$13:$C$502,'Overhead exp(제조경비)'!C394,'JUNE (물량흐름)'!$Y$13:$Y$502)</f>
        <v>10</v>
      </c>
      <c r="U394" s="6">
        <f t="shared" si="113"/>
        <v>465141</v>
      </c>
      <c r="V394" s="6">
        <f>ROUND(SUMIF('JUNE (물량흐름)'!$C$13:$C$502,'Overhead exp(제조경비)'!C394,'JUNE (물량흐름)'!$N$13:$N$502),0)</f>
        <v>0</v>
      </c>
      <c r="W394" s="6">
        <f>ROUND(SUMIF('JUNE (물량흐름)'!$C$13:$C$502,'Overhead exp(제조경비)'!C394,'JUNE (물량흐름)'!$O$13:$O$502),0)</f>
        <v>52</v>
      </c>
      <c r="X394" s="6">
        <f>ROUND(SUMIF('JUNE (물량흐름)'!$C$13:$C$502,'Overhead exp(제조경비)'!C394,'JUNE (물량흐름)'!$P$13:$P$502),0)</f>
        <v>37</v>
      </c>
      <c r="Y394" s="6">
        <f t="shared" si="114"/>
        <v>89</v>
      </c>
      <c r="Z394" s="6">
        <f t="shared" si="115"/>
        <v>56</v>
      </c>
      <c r="AA394" s="6">
        <f t="shared" si="100"/>
        <v>4139752</v>
      </c>
      <c r="AB394" s="391">
        <f t="shared" si="116"/>
        <v>0</v>
      </c>
      <c r="AC394" s="391">
        <f t="shared" si="117"/>
        <v>0</v>
      </c>
    </row>
    <row r="395" spans="1:29" s="390" customFormat="1" ht="24" customHeight="1">
      <c r="A395" s="167">
        <v>404</v>
      </c>
      <c r="B395" s="20" t="str">
        <f>IFERROR(VLOOKUP(A395,'JUNE (물량흐름)'!$A$13:$C$502,2,0),0)</f>
        <v>ANN TAYLOR</v>
      </c>
      <c r="C395" s="272">
        <f>VLOOKUP(A395,'JUNE (물량흐름)'!$A$13:$C$502,3,0)</f>
        <v>469040</v>
      </c>
      <c r="D395" s="6">
        <f>VLOOKUP(C395,'WIP(재공품)'!$B$12:$E$493,4,0)</f>
        <v>34466</v>
      </c>
      <c r="E395" s="6">
        <f>IFERROR(VLOOKUP(C395,O.B.JUNE!$AI$7:$AJ$448,2,0),0)</f>
        <v>0</v>
      </c>
      <c r="F395" s="6">
        <f>IFERROR(VLOOKUP(C395,O.B.JUNE!$AI$7:$AK$448,3,0),0)</f>
        <v>379</v>
      </c>
      <c r="G395" s="6">
        <f>IFERROR(VLOOKUP(C395,O.B.JUNE!$AI$7:$AL$448,4,0),0)</f>
        <v>2715</v>
      </c>
      <c r="H395" s="6">
        <f t="shared" si="110"/>
        <v>3094</v>
      </c>
      <c r="I395" s="6">
        <f>IFERROR(VLOOKUP(C395,O.B.JUNE!$AI$7:$AN$448,6,0),0)</f>
        <v>2362</v>
      </c>
      <c r="J395" s="6"/>
      <c r="K395" s="6">
        <f>IFERROR(VLOOKUP(C395,O.B.JUNE!$AI$7:$AO$448,7,0),0)</f>
        <v>58428827</v>
      </c>
      <c r="L395" s="6">
        <f>SUMIF('JUNE (물량흐름)'!$C$13:$C$488,'Overhead exp(제조경비)'!C395,'JUNE (물량흐름)'!$H$13:$H$493)+SUMIF('JUNE (물량흐름)'!$C$13:$C$493,'Overhead exp(제조경비)'!C395,'JUNE (물량흐름)'!$V$13:$V$493)</f>
        <v>380</v>
      </c>
      <c r="M395" s="6">
        <f t="shared" si="111"/>
        <v>730</v>
      </c>
      <c r="N395" s="6">
        <f t="shared" si="112"/>
        <v>25160180</v>
      </c>
      <c r="O395" s="6">
        <f t="shared" si="101"/>
        <v>15202785</v>
      </c>
      <c r="P395" s="6">
        <f>SUMIF('JUNE (물량흐름)'!$C$13:$C$502,C395,'JUNE (물량흐름)'!$T$13:$T$502)+SUMIF('JUNE (물량흐름)'!$C$13:$C$502,C395,'JUNE (물량흐름)'!$V$13:$V$502)+SUMIF('JUNE (물량흐름)'!$C$13:$C$502,C395,'JUNE (물량흐름)'!$U$13:$U$502)-SUMIF('JUNE (물량흐름)'!$C$13:$C$502,C395,'JUNE (물량흐름)'!$Y$13:$Y$502)</f>
        <v>2132</v>
      </c>
      <c r="Q395" s="6">
        <f t="shared" si="99"/>
        <v>45187852</v>
      </c>
      <c r="R395" s="6">
        <f>IF(ISERROR(VLOOKUP(#REF!,'WIP(재공품)'!$B$12:$AB$38,13,0)),0,VLOOKUP(#REF!,'WIP(재공품)'!$B$12:$AB$38,13,0))</f>
        <v>0</v>
      </c>
      <c r="S395" s="6">
        <f>IF(ISERROR(VLOOKUP(#REF!,'WIP(재공품)'!$B$12:$AB$38,10,0)),0,VLOOKUP(#REF!,'WIP(재공품)'!$B$12:$AB$38,10,0))</f>
        <v>0</v>
      </c>
      <c r="T395" s="6">
        <f>SUMIF('JUNE (물량흐름)'!$C$13:$C$502,'Overhead exp(제조경비)'!C395,'JUNE (물량흐름)'!$Y$13:$Y$502)</f>
        <v>0</v>
      </c>
      <c r="U395" s="6">
        <f t="shared" si="113"/>
        <v>0</v>
      </c>
      <c r="V395" s="6">
        <f>ROUND(SUMIF('JUNE (물량흐름)'!$C$13:$C$502,'Overhead exp(제조경비)'!C395,'JUNE (물량흐름)'!$N$13:$N$502),0)</f>
        <v>0</v>
      </c>
      <c r="W395" s="6">
        <f>ROUND(SUMIF('JUNE (물량흐름)'!$C$13:$C$502,'Overhead exp(제조경비)'!C395,'JUNE (물량흐름)'!$O$13:$O$502),0)</f>
        <v>379</v>
      </c>
      <c r="X395" s="6">
        <f>ROUND(SUMIF('JUNE (물량흐름)'!$C$13:$C$502,'Overhead exp(제조경비)'!C395,'JUNE (물량흐름)'!$P$13:$P$502),0)</f>
        <v>963</v>
      </c>
      <c r="Y395" s="6">
        <f t="shared" si="114"/>
        <v>1342</v>
      </c>
      <c r="Z395" s="6">
        <f t="shared" si="115"/>
        <v>960</v>
      </c>
      <c r="AA395" s="6">
        <f t="shared" si="100"/>
        <v>28443760</v>
      </c>
      <c r="AB395" s="391">
        <f t="shared" si="116"/>
        <v>0</v>
      </c>
      <c r="AC395" s="391">
        <f t="shared" si="117"/>
        <v>0</v>
      </c>
    </row>
    <row r="396" spans="1:29" s="390" customFormat="1" ht="24" customHeight="1">
      <c r="A396" s="167">
        <v>405</v>
      </c>
      <c r="B396" s="20" t="str">
        <f>IFERROR(VLOOKUP(A396,'JUNE (물량흐름)'!$A$13:$C$502,2,0),0)</f>
        <v>ANN TAYLOR</v>
      </c>
      <c r="C396" s="272">
        <f>VLOOKUP(A396,'JUNE (물량흐름)'!$A$13:$C$502,3,0)</f>
        <v>469041</v>
      </c>
      <c r="D396" s="6">
        <f>VLOOKUP(C396,'WIP(재공품)'!$B$12:$E$493,4,0)</f>
        <v>34466</v>
      </c>
      <c r="E396" s="6">
        <f>IFERROR(VLOOKUP(C396,O.B.JUNE!$AI$7:$AJ$448,2,0),0)</f>
        <v>55</v>
      </c>
      <c r="F396" s="6">
        <f>IFERROR(VLOOKUP(C396,O.B.JUNE!$AI$7:$AK$448,3,0),0)</f>
        <v>205</v>
      </c>
      <c r="G396" s="6">
        <f>IFERROR(VLOOKUP(C396,O.B.JUNE!$AI$7:$AL$448,4,0),0)</f>
        <v>23</v>
      </c>
      <c r="H396" s="6">
        <f t="shared" si="110"/>
        <v>283</v>
      </c>
      <c r="I396" s="6">
        <f>IFERROR(VLOOKUP(C396,O.B.JUNE!$AI$7:$AN$448,6,0),0)</f>
        <v>132</v>
      </c>
      <c r="J396" s="6"/>
      <c r="K396" s="6">
        <f>IFERROR(VLOOKUP(C396,O.B.JUNE!$AI$7:$AO$448,7,0),0)</f>
        <v>5760314</v>
      </c>
      <c r="L396" s="6">
        <f>SUMIF('JUNE (물량흐름)'!$C$13:$C$488,'Overhead exp(제조경비)'!C396,'JUNE (물량흐름)'!$H$13:$H$493)+SUMIF('JUNE (물량흐름)'!$C$13:$C$493,'Overhead exp(제조경비)'!C396,'JUNE (물량흐름)'!$V$13:$V$493)</f>
        <v>356</v>
      </c>
      <c r="M396" s="6">
        <f t="shared" si="111"/>
        <v>366</v>
      </c>
      <c r="N396" s="6">
        <f t="shared" si="112"/>
        <v>12614556</v>
      </c>
      <c r="O396" s="6">
        <f t="shared" si="101"/>
        <v>7622218</v>
      </c>
      <c r="P396" s="6">
        <f>SUMIF('JUNE (물량흐름)'!$C$13:$C$502,C396,'JUNE (물량흐름)'!$T$13:$T$502)+SUMIF('JUNE (물량흐름)'!$C$13:$C$502,C396,'JUNE (물량흐름)'!$V$13:$V$502)+SUMIF('JUNE (물량흐름)'!$C$13:$C$502,C396,'JUNE (물량흐름)'!$U$13:$U$502)-SUMIF('JUNE (물량흐름)'!$C$13:$C$502,C396,'JUNE (물량흐름)'!$Y$13:$Y$502)</f>
        <v>322</v>
      </c>
      <c r="Q396" s="6">
        <f t="shared" si="99"/>
        <v>6743623</v>
      </c>
      <c r="R396" s="6">
        <f>IF(ISERROR(VLOOKUP(#REF!,'WIP(재공품)'!$B$12:$AB$38,13,0)),0,VLOOKUP(#REF!,'WIP(재공품)'!$B$12:$AB$38,13,0))</f>
        <v>0</v>
      </c>
      <c r="S396" s="6">
        <f>IF(ISERROR(VLOOKUP(#REF!,'WIP(재공품)'!$B$12:$AB$38,10,0)),0,VLOOKUP(#REF!,'WIP(재공품)'!$B$12:$AB$38,10,0))</f>
        <v>0</v>
      </c>
      <c r="T396" s="6">
        <f>SUMIF('JUNE (물량흐름)'!$C$13:$C$502,'Overhead exp(제조경비)'!C396,'JUNE (물량흐름)'!$Y$13:$Y$502)</f>
        <v>0</v>
      </c>
      <c r="U396" s="6">
        <f t="shared" si="113"/>
        <v>0</v>
      </c>
      <c r="V396" s="6">
        <f>ROUND(SUMIF('JUNE (물량흐름)'!$C$13:$C$502,'Overhead exp(제조경비)'!C396,'JUNE (물량흐름)'!$N$13:$N$502),0)</f>
        <v>0</v>
      </c>
      <c r="W396" s="6">
        <f>ROUND(SUMIF('JUNE (물량흐름)'!$C$13:$C$502,'Overhead exp(제조경비)'!C396,'JUNE (물량흐름)'!$O$13:$O$502),0)</f>
        <v>260</v>
      </c>
      <c r="X396" s="6">
        <f>ROUND(SUMIF('JUNE (물량흐름)'!$C$13:$C$502,'Overhead exp(제조경비)'!C396,'JUNE (물량흐름)'!$P$13:$P$502),0)</f>
        <v>57</v>
      </c>
      <c r="Y396" s="6">
        <f t="shared" si="114"/>
        <v>317</v>
      </c>
      <c r="Z396" s="6">
        <f t="shared" si="115"/>
        <v>176</v>
      </c>
      <c r="AA396" s="6">
        <f t="shared" si="100"/>
        <v>6638909</v>
      </c>
      <c r="AB396" s="391">
        <f t="shared" si="116"/>
        <v>0</v>
      </c>
      <c r="AC396" s="391">
        <f t="shared" si="117"/>
        <v>0</v>
      </c>
    </row>
    <row r="397" spans="1:29" s="390" customFormat="1" ht="24" customHeight="1">
      <c r="A397" s="167">
        <v>406</v>
      </c>
      <c r="B397" s="20" t="str">
        <f>IFERROR(VLOOKUP(A397,'JUNE (물량흐름)'!$A$13:$C$502,2,0),0)</f>
        <v>ANN TAYLOR</v>
      </c>
      <c r="C397" s="272">
        <f>VLOOKUP(A397,'JUNE (물량흐름)'!$A$13:$C$502,3,0)</f>
        <v>469042</v>
      </c>
      <c r="D397" s="6">
        <f>VLOOKUP(C397,'WIP(재공품)'!$B$12:$E$493,4,0)</f>
        <v>34466</v>
      </c>
      <c r="E397" s="6">
        <f>IFERROR(VLOOKUP(C397,O.B.JUNE!$AI$7:$AJ$448,2,0),0)</f>
        <v>411</v>
      </c>
      <c r="F397" s="6">
        <f>IFERROR(VLOOKUP(C397,O.B.JUNE!$AI$7:$AK$448,3,0),0)</f>
        <v>150</v>
      </c>
      <c r="G397" s="6">
        <f>IFERROR(VLOOKUP(C397,O.B.JUNE!$AI$7:$AL$448,4,0),0)</f>
        <v>313</v>
      </c>
      <c r="H397" s="6">
        <f t="shared" si="110"/>
        <v>874</v>
      </c>
      <c r="I397" s="6">
        <f>IFERROR(VLOOKUP(C397,O.B.JUNE!$AI$7:$AN$448,6,0),0)</f>
        <v>408</v>
      </c>
      <c r="J397" s="6"/>
      <c r="K397" s="6">
        <f>IFERROR(VLOOKUP(C397,O.B.JUNE!$AI$7:$AO$448,7,0),0)</f>
        <v>16840297</v>
      </c>
      <c r="L397" s="6">
        <f>SUMIF('JUNE (물량흐름)'!$C$13:$C$488,'Overhead exp(제조경비)'!C397,'JUNE (물량흐름)'!$H$13:$H$493)+SUMIF('JUNE (물량흐름)'!$C$13:$C$493,'Overhead exp(제조경비)'!C397,'JUNE (물량흐름)'!$V$13:$V$493)</f>
        <v>0</v>
      </c>
      <c r="M397" s="6">
        <f t="shared" si="111"/>
        <v>0</v>
      </c>
      <c r="N397" s="6">
        <f t="shared" si="112"/>
        <v>0</v>
      </c>
      <c r="O397" s="6">
        <f t="shared" si="101"/>
        <v>0</v>
      </c>
      <c r="P397" s="6">
        <f>SUMIF('JUNE (물량흐름)'!$C$13:$C$502,C397,'JUNE (물량흐름)'!$T$13:$T$502)+SUMIF('JUNE (물량흐름)'!$C$13:$C$502,C397,'JUNE (물량흐름)'!$V$13:$V$502)+SUMIF('JUNE (물량흐름)'!$C$13:$C$502,C397,'JUNE (물량흐름)'!$U$13:$U$502)-SUMIF('JUNE (물량흐름)'!$C$13:$C$502,C397,'JUNE (물량흐름)'!$Y$13:$Y$502)</f>
        <v>393</v>
      </c>
      <c r="Q397" s="6">
        <f t="shared" ref="Q397:Q460" si="119">IFERROR(ROUND(IF(OR(P397&lt;=0,($I397+$M397)=0),$P397*($K397+$O397)/($I397+$M397),$P397*($K397+$O397)/($H397+$L397)),0),0)</f>
        <v>7572353</v>
      </c>
      <c r="R397" s="6">
        <f>IF(ISERROR(VLOOKUP(#REF!,'WIP(재공품)'!$B$12:$AB$38,13,0)),0,VLOOKUP(#REF!,'WIP(재공품)'!$B$12:$AB$38,13,0))</f>
        <v>0</v>
      </c>
      <c r="S397" s="6">
        <f>IF(ISERROR(VLOOKUP(#REF!,'WIP(재공품)'!$B$12:$AB$38,10,0)),0,VLOOKUP(#REF!,'WIP(재공품)'!$B$12:$AB$38,10,0))</f>
        <v>0</v>
      </c>
      <c r="T397" s="6">
        <f>SUMIF('JUNE (물량흐름)'!$C$13:$C$502,'Overhead exp(제조경비)'!C397,'JUNE (물량흐름)'!$Y$13:$Y$502)</f>
        <v>17</v>
      </c>
      <c r="U397" s="6">
        <f t="shared" si="113"/>
        <v>327557</v>
      </c>
      <c r="V397" s="6">
        <f>ROUND(SUMIF('JUNE (물량흐름)'!$C$13:$C$502,'Overhead exp(제조경비)'!C397,'JUNE (물량흐름)'!$N$13:$N$502),0)</f>
        <v>0</v>
      </c>
      <c r="W397" s="6">
        <f>ROUND(SUMIF('JUNE (물량흐름)'!$C$13:$C$502,'Overhead exp(제조경비)'!C397,'JUNE (물량흐름)'!$O$13:$O$502),0)</f>
        <v>227</v>
      </c>
      <c r="X397" s="6">
        <f>ROUND(SUMIF('JUNE (물량흐름)'!$C$13:$C$502,'Overhead exp(제조경비)'!C397,'JUNE (물량흐름)'!$P$13:$P$502),0)</f>
        <v>237</v>
      </c>
      <c r="Y397" s="6">
        <f t="shared" si="114"/>
        <v>464</v>
      </c>
      <c r="Z397" s="6">
        <f t="shared" si="115"/>
        <v>303</v>
      </c>
      <c r="AA397" s="6">
        <f t="shared" ref="AA397:AA460" si="120">IFERROR(ROUND(IF(OR(Z397&lt;=0,($I397+$M397)=0),$Z397*($K397+$O397)/($I397+$M397),$Y397*($K397+$O397)/($H397+$L397)),0),0)</f>
        <v>8940387</v>
      </c>
      <c r="AB397" s="391">
        <f t="shared" si="116"/>
        <v>0</v>
      </c>
      <c r="AC397" s="391">
        <f t="shared" si="117"/>
        <v>0</v>
      </c>
    </row>
    <row r="398" spans="1:29" s="390" customFormat="1" ht="24" customHeight="1">
      <c r="A398" s="167">
        <v>407</v>
      </c>
      <c r="B398" s="20" t="str">
        <f>IFERROR(VLOOKUP(A398,'JUNE (물량흐름)'!$A$13:$C$502,2,0),0)</f>
        <v>ANN TAYLOR</v>
      </c>
      <c r="C398" s="272">
        <f>VLOOKUP(A398,'JUNE (물량흐름)'!$A$13:$C$502,3,0)</f>
        <v>470341</v>
      </c>
      <c r="D398" s="6">
        <f>VLOOKUP(C398,'WIP(재공품)'!$B$12:$E$493,4,0)</f>
        <v>33332.25</v>
      </c>
      <c r="E398" s="6">
        <f>IFERROR(VLOOKUP(C398,O.B.JUNE!$AI$7:$AJ$448,2,0),0)</f>
        <v>0</v>
      </c>
      <c r="F398" s="6">
        <f>IFERROR(VLOOKUP(C398,O.B.JUNE!$AI$7:$AK$448,3,0),0)</f>
        <v>123</v>
      </c>
      <c r="G398" s="6">
        <f>IFERROR(VLOOKUP(C398,O.B.JUNE!$AI$7:$AL$448,4,0),0)</f>
        <v>324</v>
      </c>
      <c r="H398" s="6">
        <f t="shared" si="110"/>
        <v>447</v>
      </c>
      <c r="I398" s="6">
        <f>IFERROR(VLOOKUP(C398,O.B.JUNE!$AI$7:$AN$448,6,0),0)</f>
        <v>321</v>
      </c>
      <c r="J398" s="6"/>
      <c r="K398" s="6">
        <f>IFERROR(VLOOKUP(C398,O.B.JUNE!$AI$7:$AO$448,7,0),0)</f>
        <v>8863003</v>
      </c>
      <c r="L398" s="6">
        <f>SUMIF('JUNE (물량흐름)'!$C$13:$C$488,'Overhead exp(제조경비)'!C398,'JUNE (물량흐름)'!$H$13:$H$493)+SUMIF('JUNE (물량흐름)'!$C$13:$C$493,'Overhead exp(제조경비)'!C398,'JUNE (물량흐름)'!$V$13:$V$493)</f>
        <v>0</v>
      </c>
      <c r="M398" s="6">
        <f t="shared" si="111"/>
        <v>0</v>
      </c>
      <c r="N398" s="6">
        <f t="shared" si="112"/>
        <v>0</v>
      </c>
      <c r="O398" s="6">
        <f t="shared" si="101"/>
        <v>0</v>
      </c>
      <c r="P398" s="6">
        <f>SUMIF('JUNE (물량흐름)'!$C$13:$C$502,C398,'JUNE (물량흐름)'!$T$13:$T$502)+SUMIF('JUNE (물량흐름)'!$C$13:$C$502,C398,'JUNE (물량흐름)'!$V$13:$V$502)+SUMIF('JUNE (물량흐름)'!$C$13:$C$502,C398,'JUNE (물량흐름)'!$U$13:$U$502)-SUMIF('JUNE (물량흐름)'!$C$13:$C$502,C398,'JUNE (물량흐름)'!$Y$13:$Y$502)</f>
        <v>283</v>
      </c>
      <c r="Q398" s="6">
        <f t="shared" si="119"/>
        <v>5611252</v>
      </c>
      <c r="R398" s="6">
        <f>IF(ISERROR(VLOOKUP(#REF!,'WIP(재공품)'!$B$12:$AB$38,13,0)),0,VLOOKUP(#REF!,'WIP(재공품)'!$B$12:$AB$38,13,0))</f>
        <v>0</v>
      </c>
      <c r="S398" s="6">
        <f>IF(ISERROR(VLOOKUP(#REF!,'WIP(재공품)'!$B$12:$AB$38,10,0)),0,VLOOKUP(#REF!,'WIP(재공품)'!$B$12:$AB$38,10,0))</f>
        <v>0</v>
      </c>
      <c r="T398" s="6">
        <f>SUMIF('JUNE (물량흐름)'!$C$13:$C$502,'Overhead exp(제조경비)'!C398,'JUNE (물량흐름)'!$Y$13:$Y$502)</f>
        <v>6</v>
      </c>
      <c r="U398" s="6">
        <f t="shared" si="113"/>
        <v>118966</v>
      </c>
      <c r="V398" s="6">
        <f>ROUND(SUMIF('JUNE (물량흐름)'!$C$13:$C$502,'Overhead exp(제조경비)'!C398,'JUNE (물량흐름)'!$N$13:$N$502),0)</f>
        <v>0</v>
      </c>
      <c r="W398" s="6">
        <f>ROUND(SUMIF('JUNE (물량흐름)'!$C$13:$C$502,'Overhead exp(제조경비)'!C398,'JUNE (물량흐름)'!$O$13:$O$502),0)</f>
        <v>123</v>
      </c>
      <c r="X398" s="6">
        <f>ROUND(SUMIF('JUNE (물량흐름)'!$C$13:$C$502,'Overhead exp(제조경비)'!C398,'JUNE (물량흐름)'!$P$13:$P$502),0)</f>
        <v>35</v>
      </c>
      <c r="Y398" s="6">
        <f t="shared" si="114"/>
        <v>158</v>
      </c>
      <c r="Z398" s="6">
        <f t="shared" si="115"/>
        <v>90</v>
      </c>
      <c r="AA398" s="6">
        <f t="shared" si="120"/>
        <v>3132784</v>
      </c>
      <c r="AB398" s="391">
        <f t="shared" si="116"/>
        <v>1</v>
      </c>
      <c r="AC398" s="391">
        <f t="shared" si="117"/>
        <v>0</v>
      </c>
    </row>
    <row r="399" spans="1:29" s="390" customFormat="1" ht="24" customHeight="1">
      <c r="A399" s="167">
        <v>408</v>
      </c>
      <c r="B399" s="20" t="str">
        <f>IFERROR(VLOOKUP(A399,'JUNE (물량흐름)'!$A$13:$C$502,2,0),0)</f>
        <v>ANN TAYLOR</v>
      </c>
      <c r="C399" s="272">
        <f>VLOOKUP(A399,'JUNE (물량흐름)'!$A$13:$C$502,3,0)</f>
        <v>471140</v>
      </c>
      <c r="D399" s="6">
        <f>VLOOKUP(C399,'WIP(재공품)'!$B$12:$E$493,4,0)</f>
        <v>8163</v>
      </c>
      <c r="E399" s="6">
        <f>IFERROR(VLOOKUP(C399,O.B.JUNE!$AI$7:$AJ$448,2,0),0)</f>
        <v>0</v>
      </c>
      <c r="F399" s="6">
        <f>IFERROR(VLOOKUP(C399,O.B.JUNE!$AI$7:$AK$448,3,0),0)</f>
        <v>123</v>
      </c>
      <c r="G399" s="6">
        <f>IFERROR(VLOOKUP(C399,O.B.JUNE!$AI$7:$AL$448,4,0),0)</f>
        <v>1468</v>
      </c>
      <c r="H399" s="6">
        <f t="shared" si="110"/>
        <v>1591</v>
      </c>
      <c r="I399" s="6">
        <f>IFERROR(VLOOKUP(C399,O.B.JUNE!$AI$7:$AN$448,6,0),0)</f>
        <v>1236</v>
      </c>
      <c r="J399" s="6"/>
      <c r="K399" s="6">
        <f>IFERROR(VLOOKUP(C399,O.B.JUNE!$AI$7:$AO$448,7,0),0)</f>
        <v>38595334</v>
      </c>
      <c r="L399" s="6">
        <f>SUMIF('JUNE (물량흐름)'!$C$13:$C$488,'Overhead exp(제조경비)'!C399,'JUNE (물량흐름)'!$H$13:$H$493)+SUMIF('JUNE (물량흐름)'!$C$13:$C$493,'Overhead exp(제조경비)'!C399,'JUNE (물량흐름)'!$V$13:$V$493)</f>
        <v>0</v>
      </c>
      <c r="M399" s="6">
        <f t="shared" si="111"/>
        <v>0</v>
      </c>
      <c r="N399" s="6">
        <f t="shared" si="112"/>
        <v>0</v>
      </c>
      <c r="O399" s="6">
        <f t="shared" si="101"/>
        <v>0</v>
      </c>
      <c r="P399" s="6">
        <f>SUMIF('JUNE (물량흐름)'!$C$13:$C$502,C399,'JUNE (물량흐름)'!$T$13:$T$502)+SUMIF('JUNE (물량흐름)'!$C$13:$C$502,C399,'JUNE (물량흐름)'!$V$13:$V$502)+SUMIF('JUNE (물량흐름)'!$C$13:$C$502,C399,'JUNE (물량흐름)'!$U$13:$U$502)-SUMIF('JUNE (물량흐름)'!$C$13:$C$502,C399,'JUNE (물량흐름)'!$Y$13:$Y$502)</f>
        <v>13</v>
      </c>
      <c r="Q399" s="6">
        <f t="shared" si="119"/>
        <v>315361</v>
      </c>
      <c r="R399" s="6">
        <f>IF(ISERROR(VLOOKUP(#REF!,'WIP(재공품)'!$B$12:$AB$38,13,0)),0,VLOOKUP(#REF!,'WIP(재공품)'!$B$12:$AB$38,13,0))</f>
        <v>0</v>
      </c>
      <c r="S399" s="6">
        <f>IF(ISERROR(VLOOKUP(#REF!,'WIP(재공품)'!$B$12:$AB$38,10,0)),0,VLOOKUP(#REF!,'WIP(재공품)'!$B$12:$AB$38,10,0))</f>
        <v>0</v>
      </c>
      <c r="T399" s="6">
        <f>SUMIF('JUNE (물량흐름)'!$C$13:$C$502,'Overhead exp(제조경비)'!C399,'JUNE (물량흐름)'!$Y$13:$Y$502)</f>
        <v>33</v>
      </c>
      <c r="U399" s="6">
        <f t="shared" si="113"/>
        <v>800532</v>
      </c>
      <c r="V399" s="6">
        <f>ROUND(SUMIF('JUNE (물량흐름)'!$C$13:$C$502,'Overhead exp(제조경비)'!C399,'JUNE (물량흐름)'!$N$13:$N$502),0)</f>
        <v>0</v>
      </c>
      <c r="W399" s="6">
        <f>ROUND(SUMIF('JUNE (물량흐름)'!$C$13:$C$502,'Overhead exp(제조경비)'!C399,'JUNE (물량흐름)'!$O$13:$O$502),0)</f>
        <v>123</v>
      </c>
      <c r="X399" s="6">
        <f>ROUND(SUMIF('JUNE (물량흐름)'!$C$13:$C$502,'Overhead exp(제조경비)'!C399,'JUNE (물량흐름)'!$P$13:$P$502),0)</f>
        <v>1422</v>
      </c>
      <c r="Y399" s="6">
        <f t="shared" si="114"/>
        <v>1545</v>
      </c>
      <c r="Z399" s="6">
        <f t="shared" si="115"/>
        <v>1199</v>
      </c>
      <c r="AA399" s="6">
        <f t="shared" si="120"/>
        <v>37479441</v>
      </c>
      <c r="AB399" s="391">
        <f t="shared" si="116"/>
        <v>0</v>
      </c>
      <c r="AC399" s="391">
        <f t="shared" si="117"/>
        <v>0</v>
      </c>
    </row>
    <row r="400" spans="1:29" s="390" customFormat="1" ht="24" customHeight="1">
      <c r="A400" s="167">
        <v>409</v>
      </c>
      <c r="B400" s="20" t="str">
        <f>IFERROR(VLOOKUP(A400,'JUNE (물량흐름)'!$A$13:$C$502,2,0),0)</f>
        <v>ANN TAYLOR</v>
      </c>
      <c r="C400" s="272">
        <f>VLOOKUP(A400,'JUNE (물량흐름)'!$A$13:$C$502,3,0)</f>
        <v>473551</v>
      </c>
      <c r="D400" s="6">
        <f>VLOOKUP(C400,'WIP(재공품)'!$B$12:$E$493,4,0)</f>
        <v>7936.2499999999991</v>
      </c>
      <c r="E400" s="6">
        <f>IFERROR(VLOOKUP(C400,O.B.JUNE!$AI$7:$AJ$448,2,0),0)</f>
        <v>0</v>
      </c>
      <c r="F400" s="6">
        <f>IFERROR(VLOOKUP(C400,O.B.JUNE!$AI$7:$AK$448,3,0),0)</f>
        <v>510</v>
      </c>
      <c r="G400" s="6">
        <f>IFERROR(VLOOKUP(C400,O.B.JUNE!$AI$7:$AL$448,4,0),0)</f>
        <v>379</v>
      </c>
      <c r="H400" s="6">
        <f t="shared" si="110"/>
        <v>889</v>
      </c>
      <c r="I400" s="6">
        <f>IFERROR(VLOOKUP(C400,O.B.JUNE!$AI$7:$AN$448,6,0),0)</f>
        <v>558</v>
      </c>
      <c r="J400" s="6"/>
      <c r="K400" s="6">
        <f>IFERROR(VLOOKUP(C400,O.B.JUNE!$AI$7:$AO$448,7,0),0)</f>
        <v>26518727</v>
      </c>
      <c r="L400" s="6">
        <f>SUMIF('JUNE (물량흐름)'!$C$13:$C$488,'Overhead exp(제조경비)'!C400,'JUNE (물량흐름)'!$H$13:$H$493)+SUMIF('JUNE (물량흐름)'!$C$13:$C$493,'Overhead exp(제조경비)'!C400,'JUNE (물량흐름)'!$V$13:$V$493)</f>
        <v>0</v>
      </c>
      <c r="M400" s="6">
        <f t="shared" si="111"/>
        <v>0</v>
      </c>
      <c r="N400" s="6">
        <f t="shared" si="112"/>
        <v>0</v>
      </c>
      <c r="O400" s="6">
        <f t="shared" ref="O400:O442" si="121">ROUND(M400*D400*$O$493/$N$493,0)</f>
        <v>0</v>
      </c>
      <c r="P400" s="6">
        <f>SUMIF('JUNE (물량흐름)'!$C$13:$C$502,C400,'JUNE (물량흐름)'!$T$13:$T$502)+SUMIF('JUNE (물량흐름)'!$C$13:$C$502,C400,'JUNE (물량흐름)'!$V$13:$V$502)+SUMIF('JUNE (물량흐름)'!$C$13:$C$502,C400,'JUNE (물량흐름)'!$U$13:$U$502)-SUMIF('JUNE (물량흐름)'!$C$13:$C$502,C400,'JUNE (물량흐름)'!$Y$13:$Y$502)</f>
        <v>0</v>
      </c>
      <c r="Q400" s="6">
        <f t="shared" si="119"/>
        <v>0</v>
      </c>
      <c r="R400" s="6">
        <f>IF(ISERROR(VLOOKUP(#REF!,'WIP(재공품)'!$B$12:$AB$38,13,0)),0,VLOOKUP(#REF!,'WIP(재공품)'!$B$12:$AB$38,13,0))</f>
        <v>0</v>
      </c>
      <c r="S400" s="6">
        <f>IF(ISERROR(VLOOKUP(#REF!,'WIP(재공품)'!$B$12:$AB$38,10,0)),0,VLOOKUP(#REF!,'WIP(재공품)'!$B$12:$AB$38,10,0))</f>
        <v>0</v>
      </c>
      <c r="T400" s="6">
        <f>SUMIF('JUNE (물량흐름)'!$C$13:$C$502,'Overhead exp(제조경비)'!C400,'JUNE (물량흐름)'!$Y$13:$Y$502)</f>
        <v>20</v>
      </c>
      <c r="U400" s="6">
        <f t="shared" si="113"/>
        <v>596597</v>
      </c>
      <c r="V400" s="6">
        <f>ROUND(SUMIF('JUNE (물량흐름)'!$C$13:$C$502,'Overhead exp(제조경비)'!C400,'JUNE (물량흐름)'!$N$13:$N$502),0)</f>
        <v>0</v>
      </c>
      <c r="W400" s="6">
        <f>ROUND(SUMIF('JUNE (물량흐름)'!$C$13:$C$502,'Overhead exp(제조경비)'!C400,'JUNE (물량흐름)'!$O$13:$O$502),0)</f>
        <v>510</v>
      </c>
      <c r="X400" s="6">
        <f>ROUND(SUMIF('JUNE (물량흐름)'!$C$13:$C$502,'Overhead exp(제조경비)'!C400,'JUNE (물량흐름)'!$P$13:$P$502),0)</f>
        <v>359</v>
      </c>
      <c r="Y400" s="6">
        <f t="shared" si="114"/>
        <v>869</v>
      </c>
      <c r="Z400" s="6">
        <f t="shared" si="115"/>
        <v>542</v>
      </c>
      <c r="AA400" s="6">
        <f t="shared" si="120"/>
        <v>25922130</v>
      </c>
      <c r="AB400" s="391">
        <f t="shared" si="116"/>
        <v>0</v>
      </c>
      <c r="AC400" s="391">
        <f t="shared" si="117"/>
        <v>0</v>
      </c>
    </row>
    <row r="401" spans="1:29" s="390" customFormat="1" ht="24" customHeight="1">
      <c r="A401" s="167">
        <v>410</v>
      </c>
      <c r="B401" s="20" t="str">
        <f>IFERROR(VLOOKUP(A401,'JUNE (물량흐름)'!$A$13:$C$502,2,0),0)</f>
        <v>ANN TAYLOR</v>
      </c>
      <c r="C401" s="272">
        <f>VLOOKUP(A401,'JUNE (물량흐름)'!$A$13:$C$502,3,0)</f>
        <v>474753</v>
      </c>
      <c r="D401" s="6">
        <f>VLOOKUP(C401,'WIP(재공품)'!$B$12:$E$493,4,0)</f>
        <v>43762.75</v>
      </c>
      <c r="E401" s="6">
        <f>IFERROR(VLOOKUP(C401,O.B.JUNE!$AI$7:$AJ$448,2,0),0)</f>
        <v>4</v>
      </c>
      <c r="F401" s="6">
        <f>IFERROR(VLOOKUP(C401,O.B.JUNE!$AI$7:$AK$448,3,0),0)</f>
        <v>68</v>
      </c>
      <c r="G401" s="6">
        <f>IFERROR(VLOOKUP(C401,O.B.JUNE!$AI$7:$AL$448,4,0),0)</f>
        <v>222</v>
      </c>
      <c r="H401" s="6">
        <f t="shared" si="110"/>
        <v>294</v>
      </c>
      <c r="I401" s="6">
        <f>IFERROR(VLOOKUP(C401,O.B.JUNE!$AI$7:$AN$448,6,0),0)</f>
        <v>212</v>
      </c>
      <c r="J401" s="6"/>
      <c r="K401" s="6">
        <f>IFERROR(VLOOKUP(C401,O.B.JUNE!$AI$7:$AO$448,7,0),0)</f>
        <v>7691977</v>
      </c>
      <c r="L401" s="6">
        <f>SUMIF('JUNE (물량흐름)'!$C$13:$C$488,'Overhead exp(제조경비)'!C401,'JUNE (물량흐름)'!$H$13:$H$493)+SUMIF('JUNE (물량흐름)'!$C$13:$C$493,'Overhead exp(제조경비)'!C401,'JUNE (물량흐름)'!$V$13:$V$493)</f>
        <v>0</v>
      </c>
      <c r="M401" s="6">
        <f t="shared" si="111"/>
        <v>0</v>
      </c>
      <c r="N401" s="6">
        <f t="shared" si="112"/>
        <v>0</v>
      </c>
      <c r="O401" s="6">
        <f t="shared" si="121"/>
        <v>0</v>
      </c>
      <c r="P401" s="6">
        <f>SUMIF('JUNE (물량흐름)'!$C$13:$C$502,C401,'JUNE (물량흐름)'!$T$13:$T$502)+SUMIF('JUNE (물량흐름)'!$C$13:$C$502,C401,'JUNE (물량흐름)'!$V$13:$V$502)+SUMIF('JUNE (물량흐름)'!$C$13:$C$502,C401,'JUNE (물량흐름)'!$U$13:$U$502)-SUMIF('JUNE (물량흐름)'!$C$13:$C$502,C401,'JUNE (물량흐름)'!$Y$13:$Y$502)</f>
        <v>0</v>
      </c>
      <c r="Q401" s="6">
        <f t="shared" si="119"/>
        <v>0</v>
      </c>
      <c r="R401" s="6">
        <f>IF(ISERROR(VLOOKUP(#REF!,'WIP(재공품)'!$B$12:$AB$38,13,0)),0,VLOOKUP(#REF!,'WIP(재공품)'!$B$12:$AB$38,13,0))</f>
        <v>0</v>
      </c>
      <c r="S401" s="6">
        <f>IF(ISERROR(VLOOKUP(#REF!,'WIP(재공품)'!$B$12:$AB$38,10,0)),0,VLOOKUP(#REF!,'WIP(재공품)'!$B$12:$AB$38,10,0))</f>
        <v>0</v>
      </c>
      <c r="T401" s="6">
        <f>SUMIF('JUNE (물량흐름)'!$C$13:$C$502,'Overhead exp(제조경비)'!C401,'JUNE (물량흐름)'!$Y$13:$Y$502)</f>
        <v>0</v>
      </c>
      <c r="U401" s="6">
        <f t="shared" si="113"/>
        <v>0</v>
      </c>
      <c r="V401" s="6">
        <f>ROUND(SUMIF('JUNE (물량흐름)'!$C$13:$C$502,'Overhead exp(제조경비)'!C401,'JUNE (물량흐름)'!$N$13:$N$502),0)</f>
        <v>4</v>
      </c>
      <c r="W401" s="6">
        <f>ROUND(SUMIF('JUNE (물량흐름)'!$C$13:$C$502,'Overhead exp(제조경비)'!C401,'JUNE (물량흐름)'!$O$13:$O$502),0)</f>
        <v>68</v>
      </c>
      <c r="X401" s="6">
        <f>ROUND(SUMIF('JUNE (물량흐름)'!$C$13:$C$502,'Overhead exp(제조경비)'!C401,'JUNE (물량흐름)'!$P$13:$P$502),0)</f>
        <v>222</v>
      </c>
      <c r="Y401" s="6">
        <f t="shared" si="114"/>
        <v>294</v>
      </c>
      <c r="Z401" s="6">
        <f t="shared" si="115"/>
        <v>212</v>
      </c>
      <c r="AA401" s="6">
        <f t="shared" si="120"/>
        <v>7691977</v>
      </c>
      <c r="AB401" s="391">
        <f t="shared" si="116"/>
        <v>0</v>
      </c>
      <c r="AC401" s="391">
        <f t="shared" si="117"/>
        <v>0</v>
      </c>
    </row>
    <row r="402" spans="1:29" s="390" customFormat="1" ht="24" customHeight="1">
      <c r="A402" s="167">
        <v>411</v>
      </c>
      <c r="B402" s="20" t="str">
        <f>IFERROR(VLOOKUP(A402,'JUNE (물량흐름)'!$A$13:$C$502,2,0),0)</f>
        <v>ANN TAYLOR</v>
      </c>
      <c r="C402" s="272">
        <f>VLOOKUP(A402,'JUNE (물량흐름)'!$A$13:$C$502,3,0)</f>
        <v>474874</v>
      </c>
      <c r="D402" s="6">
        <f>VLOOKUP(C402,'WIP(재공품)'!$B$12:$E$493,4,0)</f>
        <v>58501.5</v>
      </c>
      <c r="E402" s="6">
        <f>IFERROR(VLOOKUP(C402,O.B.JUNE!$AI$7:$AJ$448,2,0),0)</f>
        <v>0</v>
      </c>
      <c r="F402" s="6">
        <f>IFERROR(VLOOKUP(C402,O.B.JUNE!$AI$7:$AK$448,3,0),0)</f>
        <v>267</v>
      </c>
      <c r="G402" s="6">
        <f>IFERROR(VLOOKUP(C402,O.B.JUNE!$AI$7:$AL$448,4,0),0)</f>
        <v>306</v>
      </c>
      <c r="H402" s="6">
        <f t="shared" si="110"/>
        <v>573</v>
      </c>
      <c r="I402" s="6">
        <f>IFERROR(VLOOKUP(C402,O.B.JUNE!$AI$7:$AN$448,6,0),0)</f>
        <v>378</v>
      </c>
      <c r="J402" s="6"/>
      <c r="K402" s="6">
        <f>IFERROR(VLOOKUP(C402,O.B.JUNE!$AI$7:$AO$448,7,0),0)</f>
        <v>14840924</v>
      </c>
      <c r="L402" s="6">
        <f>SUMIF('JUNE (물량흐름)'!$C$13:$C$488,'Overhead exp(제조경비)'!C402,'JUNE (물량흐름)'!$H$13:$H$493)+SUMIF('JUNE (물량흐름)'!$C$13:$C$493,'Overhead exp(제조경비)'!C402,'JUNE (물량흐름)'!$V$13:$V$493)</f>
        <v>0</v>
      </c>
      <c r="M402" s="6">
        <f t="shared" si="111"/>
        <v>0</v>
      </c>
      <c r="N402" s="6">
        <f t="shared" si="112"/>
        <v>0</v>
      </c>
      <c r="O402" s="6">
        <f t="shared" si="121"/>
        <v>0</v>
      </c>
      <c r="P402" s="6">
        <f>SUMIF('JUNE (물량흐름)'!$C$13:$C$502,C402,'JUNE (물량흐름)'!$T$13:$T$502)+SUMIF('JUNE (물량흐름)'!$C$13:$C$502,C402,'JUNE (물량흐름)'!$V$13:$V$502)+SUMIF('JUNE (물량흐름)'!$C$13:$C$502,C402,'JUNE (물량흐름)'!$U$13:$U$502)-SUMIF('JUNE (물량흐름)'!$C$13:$C$502,C402,'JUNE (물량흐름)'!$Y$13:$Y$502)</f>
        <v>0</v>
      </c>
      <c r="Q402" s="6">
        <f t="shared" si="119"/>
        <v>0</v>
      </c>
      <c r="R402" s="6">
        <f>IF(ISERROR(VLOOKUP(#REF!,'WIP(재공품)'!$B$12:$AB$38,13,0)),0,VLOOKUP(#REF!,'WIP(재공품)'!$B$12:$AB$38,13,0))</f>
        <v>0</v>
      </c>
      <c r="S402" s="6">
        <f>IF(ISERROR(VLOOKUP(#REF!,'WIP(재공품)'!$B$12:$AB$38,10,0)),0,VLOOKUP(#REF!,'WIP(재공품)'!$B$12:$AB$38,10,0))</f>
        <v>0</v>
      </c>
      <c r="T402" s="6">
        <f>SUMIF('JUNE (물량흐름)'!$C$13:$C$502,'Overhead exp(제조경비)'!C402,'JUNE (물량흐름)'!$Y$13:$Y$502)</f>
        <v>6</v>
      </c>
      <c r="U402" s="6">
        <f t="shared" si="113"/>
        <v>155402</v>
      </c>
      <c r="V402" s="6">
        <f>ROUND(SUMIF('JUNE (물량흐름)'!$C$13:$C$502,'Overhead exp(제조경비)'!C402,'JUNE (물량흐름)'!$N$13:$N$502),0)</f>
        <v>0</v>
      </c>
      <c r="W402" s="6">
        <f>ROUND(SUMIF('JUNE (물량흐름)'!$C$13:$C$502,'Overhead exp(제조경비)'!C402,'JUNE (물량흐름)'!$O$13:$O$502),0)</f>
        <v>267</v>
      </c>
      <c r="X402" s="6">
        <f>ROUND(SUMIF('JUNE (물량흐름)'!$C$13:$C$502,'Overhead exp(제조경비)'!C402,'JUNE (물량흐름)'!$P$13:$P$502),0)</f>
        <v>300</v>
      </c>
      <c r="Y402" s="6">
        <f t="shared" si="114"/>
        <v>567</v>
      </c>
      <c r="Z402" s="6">
        <f t="shared" si="115"/>
        <v>374</v>
      </c>
      <c r="AA402" s="6">
        <f t="shared" si="120"/>
        <v>14685522</v>
      </c>
      <c r="AB402" s="391">
        <f t="shared" si="116"/>
        <v>0</v>
      </c>
      <c r="AC402" s="391">
        <f t="shared" si="117"/>
        <v>0</v>
      </c>
    </row>
    <row r="403" spans="1:29" s="390" customFormat="1" ht="24" customHeight="1">
      <c r="A403" s="167">
        <v>412</v>
      </c>
      <c r="B403" s="20" t="str">
        <f>IFERROR(VLOOKUP(A403,'JUNE (물량흐름)'!$A$13:$C$502,2,0),0)</f>
        <v>ANN TAYLOR</v>
      </c>
      <c r="C403" s="272">
        <f>VLOOKUP(A403,'JUNE (물량흐름)'!$A$13:$C$502,3,0)</f>
        <v>475746</v>
      </c>
      <c r="D403" s="6">
        <f>VLOOKUP(C403,'WIP(재공품)'!$B$12:$E$493,4,0)</f>
        <v>7936.2499999999991</v>
      </c>
      <c r="E403" s="6">
        <f>IFERROR(VLOOKUP(C403,O.B.JUNE!$AI$7:$AJ$448,2,0),0)</f>
        <v>0</v>
      </c>
      <c r="F403" s="6">
        <f>IFERROR(VLOOKUP(C403,O.B.JUNE!$AI$7:$AK$448,3,0),0)</f>
        <v>281</v>
      </c>
      <c r="G403" s="6">
        <f>IFERROR(VLOOKUP(C403,O.B.JUNE!$AI$7:$AL$448,4,0),0)</f>
        <v>118</v>
      </c>
      <c r="H403" s="6">
        <f t="shared" si="110"/>
        <v>399</v>
      </c>
      <c r="I403" s="6">
        <f>IFERROR(VLOOKUP(C403,O.B.JUNE!$AI$7:$AN$448,6,0),0)</f>
        <v>235</v>
      </c>
      <c r="J403" s="6"/>
      <c r="K403" s="6">
        <f>IFERROR(VLOOKUP(C403,O.B.JUNE!$AI$7:$AO$448,7,0),0)</f>
        <v>11748086</v>
      </c>
      <c r="L403" s="6">
        <f>SUMIF('JUNE (물량흐름)'!$C$13:$C$488,'Overhead exp(제조경비)'!C403,'JUNE (물량흐름)'!$H$13:$H$493)+SUMIF('JUNE (물량흐름)'!$C$13:$C$493,'Overhead exp(제조경비)'!C403,'JUNE (물량흐름)'!$V$13:$V$493)</f>
        <v>0</v>
      </c>
      <c r="M403" s="6">
        <f t="shared" si="111"/>
        <v>0</v>
      </c>
      <c r="N403" s="6">
        <f t="shared" si="112"/>
        <v>0</v>
      </c>
      <c r="O403" s="6">
        <f t="shared" si="121"/>
        <v>0</v>
      </c>
      <c r="P403" s="6">
        <f>SUMIF('JUNE (물량흐름)'!$C$13:$C$502,C403,'JUNE (물량흐름)'!$T$13:$T$502)+SUMIF('JUNE (물량흐름)'!$C$13:$C$502,C403,'JUNE (물량흐름)'!$V$13:$V$502)+SUMIF('JUNE (물량흐름)'!$C$13:$C$502,C403,'JUNE (물량흐름)'!$U$13:$U$502)-SUMIF('JUNE (물량흐름)'!$C$13:$C$502,C403,'JUNE (물량흐름)'!$Y$13:$Y$502)</f>
        <v>0</v>
      </c>
      <c r="Q403" s="6">
        <f t="shared" si="119"/>
        <v>0</v>
      </c>
      <c r="R403" s="6">
        <f>IF(ISERROR(VLOOKUP(#REF!,'WIP(재공품)'!$B$12:$AB$38,13,0)),0,VLOOKUP(#REF!,'WIP(재공품)'!$B$12:$AB$38,13,0))</f>
        <v>0</v>
      </c>
      <c r="S403" s="6">
        <f>IF(ISERROR(VLOOKUP(#REF!,'WIP(재공품)'!$B$12:$AB$38,10,0)),0,VLOOKUP(#REF!,'WIP(재공품)'!$B$12:$AB$38,10,0))</f>
        <v>0</v>
      </c>
      <c r="T403" s="6">
        <f>SUMIF('JUNE (물량흐름)'!$C$13:$C$502,'Overhead exp(제조경비)'!C403,'JUNE (물량흐름)'!$Y$13:$Y$502)</f>
        <v>9</v>
      </c>
      <c r="U403" s="6">
        <f t="shared" si="113"/>
        <v>264994</v>
      </c>
      <c r="V403" s="6">
        <f>ROUND(SUMIF('JUNE (물량흐름)'!$C$13:$C$502,'Overhead exp(제조경비)'!C403,'JUNE (물량흐름)'!$N$13:$N$502),0)</f>
        <v>0</v>
      </c>
      <c r="W403" s="6">
        <f>ROUND(SUMIF('JUNE (물량흐름)'!$C$13:$C$502,'Overhead exp(제조경비)'!C403,'JUNE (물량흐름)'!$O$13:$O$502),0)</f>
        <v>281</v>
      </c>
      <c r="X403" s="6">
        <f>ROUND(SUMIF('JUNE (물량흐름)'!$C$13:$C$502,'Overhead exp(제조경비)'!C403,'JUNE (물량흐름)'!$P$13:$P$502),0)</f>
        <v>109</v>
      </c>
      <c r="Y403" s="6">
        <f t="shared" si="114"/>
        <v>390</v>
      </c>
      <c r="Z403" s="6">
        <f t="shared" si="115"/>
        <v>228</v>
      </c>
      <c r="AA403" s="6">
        <f t="shared" si="120"/>
        <v>11483092</v>
      </c>
      <c r="AB403" s="391">
        <f t="shared" si="116"/>
        <v>0</v>
      </c>
      <c r="AC403" s="391">
        <f t="shared" si="117"/>
        <v>0</v>
      </c>
    </row>
    <row r="404" spans="1:29" s="390" customFormat="1" ht="24" customHeight="1">
      <c r="A404" s="167">
        <v>414</v>
      </c>
      <c r="B404" s="20" t="str">
        <f>IFERROR(VLOOKUP(A404,'JUNE (물량흐름)'!$A$13:$C$502,2,0),0)</f>
        <v>ANN TAYLOR</v>
      </c>
      <c r="C404" s="272">
        <f>VLOOKUP(A404,'JUNE (물량흐름)'!$A$13:$C$502,3,0)</f>
        <v>472085</v>
      </c>
      <c r="D404" s="6">
        <f>VLOOKUP(C404,'WIP(재공품)'!$B$12:$E$493,4,0)</f>
        <v>7936.2499999999991</v>
      </c>
      <c r="E404" s="6">
        <f>IFERROR(VLOOKUP(C404,O.B.JUNE!$AI$7:$AJ$448,2,0),0)</f>
        <v>1297</v>
      </c>
      <c r="F404" s="6">
        <f>IFERROR(VLOOKUP(C404,O.B.JUNE!$AI$7:$AK$448,3,0),0)</f>
        <v>1357</v>
      </c>
      <c r="G404" s="6">
        <f>IFERROR(VLOOKUP(C404,O.B.JUNE!$AI$7:$AL$448,4,0),0)</f>
        <v>1205</v>
      </c>
      <c r="H404" s="6">
        <f t="shared" si="110"/>
        <v>3859</v>
      </c>
      <c r="I404" s="6">
        <f>IFERROR(VLOOKUP(C404,O.B.JUNE!$AI$7:$AN$448,6,0),0)</f>
        <v>1902</v>
      </c>
      <c r="J404" s="6"/>
      <c r="K404" s="6">
        <f>IFERROR(VLOOKUP(C404,O.B.JUNE!$AI$7:$AO$448,7,0),0)</f>
        <v>106742090</v>
      </c>
      <c r="L404" s="6">
        <f>SUMIF('JUNE (물량흐름)'!$C$13:$C$488,'Overhead exp(제조경비)'!C404,'JUNE (물량흐름)'!$H$13:$H$493)+SUMIF('JUNE (물량흐름)'!$C$13:$C$493,'Overhead exp(제조경비)'!C404,'JUNE (물량흐름)'!$V$13:$V$493)</f>
        <v>5215</v>
      </c>
      <c r="M404" s="6">
        <f t="shared" si="111"/>
        <v>6759</v>
      </c>
      <c r="N404" s="6">
        <f t="shared" si="112"/>
        <v>53641114</v>
      </c>
      <c r="O404" s="6">
        <f t="shared" si="121"/>
        <v>32412102</v>
      </c>
      <c r="P404" s="6">
        <f>SUMIF('JUNE (물량흐름)'!$C$13:$C$502,C404,'JUNE (물량흐름)'!$T$13:$T$502)+SUMIF('JUNE (물량흐름)'!$C$13:$C$502,C404,'JUNE (물량흐름)'!$V$13:$V$502)+SUMIF('JUNE (물량흐름)'!$C$13:$C$502,C404,'JUNE (물량흐름)'!$U$13:$U$502)-SUMIF('JUNE (물량흐름)'!$C$13:$C$502,C404,'JUNE (물량흐름)'!$Y$13:$Y$502)</f>
        <v>8044</v>
      </c>
      <c r="Q404" s="6">
        <f t="shared" si="119"/>
        <v>123358642</v>
      </c>
      <c r="R404" s="6">
        <f>IF(ISERROR(VLOOKUP(#REF!,'WIP(재공품)'!$B$12:$AB$38,13,0)),0,VLOOKUP(#REF!,'WIP(재공품)'!$B$12:$AB$38,13,0))</f>
        <v>0</v>
      </c>
      <c r="S404" s="6">
        <f>IF(ISERROR(VLOOKUP(#REF!,'WIP(재공품)'!$B$12:$AB$38,10,0)),0,VLOOKUP(#REF!,'WIP(재공품)'!$B$12:$AB$38,10,0))</f>
        <v>0</v>
      </c>
      <c r="T404" s="6">
        <f>SUMIF('JUNE (물량흐름)'!$C$13:$C$502,'Overhead exp(제조경비)'!C404,'JUNE (물량흐름)'!$Y$13:$Y$502)</f>
        <v>0</v>
      </c>
      <c r="U404" s="6">
        <f t="shared" si="113"/>
        <v>0</v>
      </c>
      <c r="V404" s="6">
        <f>ROUND(SUMIF('JUNE (물량흐름)'!$C$13:$C$502,'Overhead exp(제조경비)'!C404,'JUNE (물량흐름)'!$N$13:$N$502),0)</f>
        <v>0</v>
      </c>
      <c r="W404" s="6">
        <f>ROUND(SUMIF('JUNE (물량흐름)'!$C$13:$C$502,'Overhead exp(제조경비)'!C404,'JUNE (물량흐름)'!$O$13:$O$502),0)</f>
        <v>690</v>
      </c>
      <c r="X404" s="6">
        <f>ROUND(SUMIF('JUNE (물량흐름)'!$C$13:$C$502,'Overhead exp(제조경비)'!C404,'JUNE (물량흐름)'!$P$13:$P$502),0)</f>
        <v>340</v>
      </c>
      <c r="Y404" s="6">
        <f t="shared" si="114"/>
        <v>1030</v>
      </c>
      <c r="Z404" s="6">
        <f t="shared" si="115"/>
        <v>617</v>
      </c>
      <c r="AA404" s="6">
        <f t="shared" si="120"/>
        <v>15795550</v>
      </c>
      <c r="AB404" s="391">
        <f t="shared" si="116"/>
        <v>0</v>
      </c>
      <c r="AC404" s="391">
        <f t="shared" si="117"/>
        <v>0</v>
      </c>
    </row>
    <row r="405" spans="1:29" s="390" customFormat="1" ht="24" customHeight="1">
      <c r="A405" s="167">
        <v>415</v>
      </c>
      <c r="B405" s="20" t="str">
        <f>IFERROR(VLOOKUP(A405,'JUNE (물량흐름)'!$A$13:$C$502,2,0),0)</f>
        <v>ANN TAYLOR</v>
      </c>
      <c r="C405" s="272">
        <f>VLOOKUP(A405,'JUNE (물량흐름)'!$A$13:$C$502,3,0)</f>
        <v>472371</v>
      </c>
      <c r="D405" s="6">
        <f>VLOOKUP(C405,'WIP(재공품)'!$B$12:$E$493,4,0)</f>
        <v>82763.75</v>
      </c>
      <c r="E405" s="6">
        <f>IFERROR(VLOOKUP(C405,O.B.JUNE!$AI$7:$AJ$448,2,0),0)</f>
        <v>390</v>
      </c>
      <c r="F405" s="6">
        <f>IFERROR(VLOOKUP(C405,O.B.JUNE!$AI$7:$AK$448,3,0),0)</f>
        <v>910</v>
      </c>
      <c r="G405" s="6">
        <f>IFERROR(VLOOKUP(C405,O.B.JUNE!$AI$7:$AL$448,4,0),0)</f>
        <v>208</v>
      </c>
      <c r="H405" s="6">
        <f t="shared" si="110"/>
        <v>1508</v>
      </c>
      <c r="I405" s="6">
        <f>IFERROR(VLOOKUP(C405,O.B.JUNE!$AI$7:$AN$448,6,0),0)</f>
        <v>699</v>
      </c>
      <c r="J405" s="6"/>
      <c r="K405" s="6">
        <f>IFERROR(VLOOKUP(C405,O.B.JUNE!$AI$7:$AO$448,7,0),0)</f>
        <v>32531001</v>
      </c>
      <c r="L405" s="6">
        <f>SUMIF('JUNE (물량흐름)'!$C$13:$C$488,'Overhead exp(제조경비)'!C405,'JUNE (물량흐름)'!$H$13:$H$493)+SUMIF('JUNE (물량흐름)'!$C$13:$C$493,'Overhead exp(제조경비)'!C405,'JUNE (물량흐름)'!$V$13:$V$493)</f>
        <v>5390</v>
      </c>
      <c r="M405" s="6">
        <f t="shared" si="111"/>
        <v>5982</v>
      </c>
      <c r="N405" s="6">
        <f t="shared" si="112"/>
        <v>495092753</v>
      </c>
      <c r="O405" s="6">
        <f t="shared" si="121"/>
        <v>299154803</v>
      </c>
      <c r="P405" s="6">
        <f>SUMIF('JUNE (물량흐름)'!$C$13:$C$502,C405,'JUNE (물량흐름)'!$T$13:$T$502)+SUMIF('JUNE (물량흐름)'!$C$13:$C$502,C405,'JUNE (물량흐름)'!$V$13:$V$502)+SUMIF('JUNE (물량흐름)'!$C$13:$C$502,C405,'JUNE (물량흐름)'!$U$13:$U$502)-SUMIF('JUNE (물량흐름)'!$C$13:$C$502,C405,'JUNE (물량흐름)'!$Y$13:$Y$502)</f>
        <v>6262</v>
      </c>
      <c r="Q405" s="6">
        <f t="shared" si="119"/>
        <v>301104161</v>
      </c>
      <c r="R405" s="6">
        <f>IF(ISERROR(VLOOKUP(#REF!,'WIP(재공품)'!$B$12:$AB$38,13,0)),0,VLOOKUP(#REF!,'WIP(재공품)'!$B$12:$AB$38,13,0))</f>
        <v>0</v>
      </c>
      <c r="S405" s="6">
        <f>IF(ISERROR(VLOOKUP(#REF!,'WIP(재공품)'!$B$12:$AB$38,10,0)),0,VLOOKUP(#REF!,'WIP(재공품)'!$B$12:$AB$38,10,0))</f>
        <v>0</v>
      </c>
      <c r="T405" s="6">
        <f>SUMIF('JUNE (물량흐름)'!$C$13:$C$502,'Overhead exp(제조경비)'!C405,'JUNE (물량흐름)'!$Y$13:$Y$502)</f>
        <v>23</v>
      </c>
      <c r="U405" s="6">
        <f t="shared" si="113"/>
        <v>1105940</v>
      </c>
      <c r="V405" s="6">
        <f>ROUND(SUMIF('JUNE (물량흐름)'!$C$13:$C$502,'Overhead exp(제조경비)'!C405,'JUNE (물량흐름)'!$N$13:$N$502),0)</f>
        <v>0</v>
      </c>
      <c r="W405" s="6">
        <f>ROUND(SUMIF('JUNE (물량흐름)'!$C$13:$C$502,'Overhead exp(제조경비)'!C405,'JUNE (물량흐름)'!$O$13:$O$502),0)</f>
        <v>316</v>
      </c>
      <c r="X405" s="6">
        <f>ROUND(SUMIF('JUNE (물량흐름)'!$C$13:$C$502,'Overhead exp(제조경비)'!C405,'JUNE (물량흐름)'!$P$13:$P$502),0)</f>
        <v>297</v>
      </c>
      <c r="Y405" s="6">
        <f t="shared" si="114"/>
        <v>613</v>
      </c>
      <c r="Z405" s="6">
        <f t="shared" si="115"/>
        <v>396</v>
      </c>
      <c r="AA405" s="6">
        <f t="shared" si="120"/>
        <v>29475703</v>
      </c>
      <c r="AB405" s="391">
        <f t="shared" si="116"/>
        <v>0</v>
      </c>
      <c r="AC405" s="391">
        <f t="shared" si="117"/>
        <v>0</v>
      </c>
    </row>
    <row r="406" spans="1:29" s="390" customFormat="1" ht="24" customHeight="1">
      <c r="A406" s="167">
        <v>416</v>
      </c>
      <c r="B406" s="20" t="str">
        <f>IFERROR(VLOOKUP(A406,'JUNE (물량흐름)'!$A$13:$C$502,2,0),0)</f>
        <v>ANN TAYLOR</v>
      </c>
      <c r="C406" s="272">
        <f>VLOOKUP(A406,'JUNE (물량흐름)'!$A$13:$C$502,3,0)</f>
        <v>474932</v>
      </c>
      <c r="D406" s="6">
        <f>VLOOKUP(C406,'WIP(재공품)'!$B$12:$E$493,4,0)</f>
        <v>38774.25</v>
      </c>
      <c r="E406" s="6">
        <f>IFERROR(VLOOKUP(C406,O.B.JUNE!$AI$7:$AJ$448,2,0),0)</f>
        <v>1278</v>
      </c>
      <c r="F406" s="6">
        <f>IFERROR(VLOOKUP(C406,O.B.JUNE!$AI$7:$AK$448,3,0),0)</f>
        <v>5596</v>
      </c>
      <c r="G406" s="6">
        <f>IFERROR(VLOOKUP(C406,O.B.JUNE!$AI$7:$AL$448,4,0),0)</f>
        <v>2780</v>
      </c>
      <c r="H406" s="6">
        <f t="shared" si="110"/>
        <v>9654</v>
      </c>
      <c r="I406" s="6">
        <f>IFERROR(VLOOKUP(C406,O.B.JUNE!$AI$7:$AN$448,6,0),0)</f>
        <v>5278</v>
      </c>
      <c r="J406" s="6"/>
      <c r="K406" s="6">
        <f>IFERROR(VLOOKUP(C406,O.B.JUNE!$AI$7:$AO$448,7,0),0)</f>
        <v>119205053</v>
      </c>
      <c r="L406" s="6">
        <f>SUMIF('JUNE (물량흐름)'!$C$13:$C$488,'Overhead exp(제조경비)'!C406,'JUNE (물량흐름)'!$H$13:$H$493)+SUMIF('JUNE (물량흐름)'!$C$13:$C$493,'Overhead exp(제조경비)'!C406,'JUNE (물량흐름)'!$V$13:$V$493)</f>
        <v>17820</v>
      </c>
      <c r="M406" s="6">
        <f t="shared" si="111"/>
        <v>21349</v>
      </c>
      <c r="N406" s="6">
        <f t="shared" si="112"/>
        <v>827791463</v>
      </c>
      <c r="O406" s="6">
        <f t="shared" si="121"/>
        <v>500184644</v>
      </c>
      <c r="P406" s="6">
        <f>SUMIF('JUNE (물량흐름)'!$C$13:$C$502,C406,'JUNE (물량흐름)'!$T$13:$T$502)+SUMIF('JUNE (물량흐름)'!$C$13:$C$502,C406,'JUNE (물량흐름)'!$V$13:$V$502)+SUMIF('JUNE (물량흐름)'!$C$13:$C$502,C406,'JUNE (물량흐름)'!$U$13:$U$502)-SUMIF('JUNE (물량흐름)'!$C$13:$C$502,C406,'JUNE (물량흐름)'!$Y$13:$Y$502)</f>
        <v>25256</v>
      </c>
      <c r="Q406" s="6">
        <f t="shared" si="119"/>
        <v>569385826</v>
      </c>
      <c r="R406" s="6">
        <f>IF(ISERROR(VLOOKUP(#REF!,'WIP(재공품)'!$B$12:$AB$38,13,0)),0,VLOOKUP(#REF!,'WIP(재공품)'!$B$12:$AB$38,13,0))</f>
        <v>0</v>
      </c>
      <c r="S406" s="6">
        <f>IF(ISERROR(VLOOKUP(#REF!,'WIP(재공품)'!$B$12:$AB$38,10,0)),0,VLOOKUP(#REF!,'WIP(재공품)'!$B$12:$AB$38,10,0))</f>
        <v>0</v>
      </c>
      <c r="T406" s="6">
        <f>SUMIF('JUNE (물량흐름)'!$C$13:$C$502,'Overhead exp(제조경비)'!C406,'JUNE (물량흐름)'!$Y$13:$Y$502)</f>
        <v>7</v>
      </c>
      <c r="U406" s="6">
        <f t="shared" si="113"/>
        <v>157812</v>
      </c>
      <c r="V406" s="6">
        <f>ROUND(SUMIF('JUNE (물량흐름)'!$C$13:$C$502,'Overhead exp(제조경비)'!C406,'JUNE (물량흐름)'!$N$13:$N$502),0)</f>
        <v>185</v>
      </c>
      <c r="W406" s="6">
        <f>ROUND(SUMIF('JUNE (물량흐름)'!$C$13:$C$502,'Overhead exp(제조경비)'!C406,'JUNE (물량흐름)'!$O$13:$O$502),0)</f>
        <v>978</v>
      </c>
      <c r="X406" s="6">
        <f>ROUND(SUMIF('JUNE (물량흐름)'!$C$13:$C$502,'Overhead exp(제조경비)'!C406,'JUNE (물량흐름)'!$P$13:$P$502),0)</f>
        <v>1048</v>
      </c>
      <c r="Y406" s="6">
        <f t="shared" si="114"/>
        <v>2211</v>
      </c>
      <c r="Z406" s="6">
        <f t="shared" si="115"/>
        <v>1364</v>
      </c>
      <c r="AA406" s="6">
        <f t="shared" si="120"/>
        <v>49846059</v>
      </c>
      <c r="AB406" s="391">
        <f t="shared" si="116"/>
        <v>0</v>
      </c>
      <c r="AC406" s="391">
        <f t="shared" si="117"/>
        <v>0</v>
      </c>
    </row>
    <row r="407" spans="1:29" s="390" customFormat="1" ht="24" customHeight="1">
      <c r="A407" s="167">
        <v>417</v>
      </c>
      <c r="B407" s="20" t="str">
        <f>IFERROR(VLOOKUP(A407,'JUNE (물량흐름)'!$A$13:$C$502,2,0),0)</f>
        <v>ANN TAYLOR</v>
      </c>
      <c r="C407" s="272">
        <f>VLOOKUP(A407,'JUNE (물량흐름)'!$A$13:$C$502,3,0)</f>
        <v>476091</v>
      </c>
      <c r="D407" s="6">
        <f>VLOOKUP(C407,'WIP(재공품)'!$B$12:$E$493,4,0)</f>
        <v>43762.75</v>
      </c>
      <c r="E407" s="6">
        <f>IFERROR(VLOOKUP(C407,O.B.JUNE!$AI$7:$AJ$448,2,0),0)</f>
        <v>0</v>
      </c>
      <c r="F407" s="6">
        <f>IFERROR(VLOOKUP(C407,O.B.JUNE!$AI$7:$AK$448,3,0),0)</f>
        <v>594</v>
      </c>
      <c r="G407" s="6">
        <f>IFERROR(VLOOKUP(C407,O.B.JUNE!$AI$7:$AL$448,4,0),0)</f>
        <v>0</v>
      </c>
      <c r="H407" s="6">
        <f t="shared" si="110"/>
        <v>594</v>
      </c>
      <c r="I407" s="6">
        <f>IFERROR(VLOOKUP(C407,O.B.JUNE!$AI$7:$AN$448,6,0),0)</f>
        <v>297</v>
      </c>
      <c r="J407" s="6"/>
      <c r="K407" s="6">
        <f>IFERROR(VLOOKUP(C407,O.B.JUNE!$AI$7:$AO$448,7,0),0)</f>
        <v>6911092</v>
      </c>
      <c r="L407" s="6">
        <f>SUMIF('JUNE (물량흐름)'!$C$13:$C$488,'Overhead exp(제조경비)'!C407,'JUNE (물량흐름)'!$H$13:$H$493)+SUMIF('JUNE (물량흐름)'!$C$13:$C$493,'Overhead exp(제조경비)'!C407,'JUNE (물량흐름)'!$V$13:$V$493)</f>
        <v>8141</v>
      </c>
      <c r="M407" s="6">
        <f t="shared" si="111"/>
        <v>8236</v>
      </c>
      <c r="N407" s="6">
        <f t="shared" si="112"/>
        <v>360430009</v>
      </c>
      <c r="O407" s="6">
        <f t="shared" si="121"/>
        <v>217786198</v>
      </c>
      <c r="P407" s="6">
        <f>SUMIF('JUNE (물량흐름)'!$C$13:$C$502,C407,'JUNE (물량흐름)'!$T$13:$T$502)+SUMIF('JUNE (물량흐름)'!$C$13:$C$502,C407,'JUNE (물량흐름)'!$V$13:$V$502)+SUMIF('JUNE (물량흐름)'!$C$13:$C$502,C407,'JUNE (물량흐름)'!$U$13:$U$502)-SUMIF('JUNE (물량흐름)'!$C$13:$C$502,C407,'JUNE (물량흐름)'!$Y$13:$Y$502)</f>
        <v>7953</v>
      </c>
      <c r="Q407" s="6">
        <f t="shared" si="119"/>
        <v>204581288</v>
      </c>
      <c r="R407" s="6">
        <f>IF(ISERROR(VLOOKUP(#REF!,'WIP(재공품)'!$B$12:$AB$38,13,0)),0,VLOOKUP(#REF!,'WIP(재공품)'!$B$12:$AB$38,13,0))</f>
        <v>0</v>
      </c>
      <c r="S407" s="6">
        <f>IF(ISERROR(VLOOKUP(#REF!,'WIP(재공품)'!$B$12:$AB$38,10,0)),0,VLOOKUP(#REF!,'WIP(재공품)'!$B$12:$AB$38,10,0))</f>
        <v>0</v>
      </c>
      <c r="T407" s="6">
        <f>SUMIF('JUNE (물량흐름)'!$C$13:$C$502,'Overhead exp(제조경비)'!C407,'JUNE (물량흐름)'!$Y$13:$Y$502)</f>
        <v>29</v>
      </c>
      <c r="U407" s="6">
        <f t="shared" si="113"/>
        <v>745990</v>
      </c>
      <c r="V407" s="6">
        <f>ROUND(SUMIF('JUNE (물량흐름)'!$C$13:$C$502,'Overhead exp(제조경비)'!C407,'JUNE (물량흐름)'!$N$13:$N$502),0)</f>
        <v>0</v>
      </c>
      <c r="W407" s="6">
        <f>ROUND(SUMIF('JUNE (물량흐름)'!$C$13:$C$502,'Overhead exp(제조경비)'!C407,'JUNE (물량흐름)'!$O$13:$O$502),0)</f>
        <v>173</v>
      </c>
      <c r="X407" s="6">
        <f>ROUND(SUMIF('JUNE (물량흐름)'!$C$13:$C$502,'Overhead exp(제조경비)'!C407,'JUNE (물량흐름)'!$P$13:$P$502),0)</f>
        <v>580</v>
      </c>
      <c r="Y407" s="6">
        <f t="shared" si="114"/>
        <v>753</v>
      </c>
      <c r="Z407" s="6">
        <f t="shared" si="115"/>
        <v>551</v>
      </c>
      <c r="AA407" s="6">
        <f t="shared" si="120"/>
        <v>19370013</v>
      </c>
      <c r="AB407" s="391">
        <f t="shared" si="116"/>
        <v>-1</v>
      </c>
      <c r="AC407" s="391">
        <f t="shared" si="117"/>
        <v>0</v>
      </c>
    </row>
    <row r="408" spans="1:29" s="390" customFormat="1" ht="24" customHeight="1">
      <c r="A408" s="167">
        <v>418</v>
      </c>
      <c r="B408" s="20" t="str">
        <f>IFERROR(VLOOKUP(A408,'JUNE (물량흐름)'!$A$13:$C$502,2,0),0)</f>
        <v>ALFANI</v>
      </c>
      <c r="C408" s="272">
        <f>VLOOKUP(A408,'JUNE (물량흐름)'!$A$13:$C$502,3,0)</f>
        <v>100018130</v>
      </c>
      <c r="D408" s="6">
        <f>VLOOKUP(C408,'WIP(재공품)'!$B$12:$E$493,4,0)</f>
        <v>50565.25</v>
      </c>
      <c r="E408" s="6">
        <f>IFERROR(VLOOKUP(C408,O.B.JUNE!$AI$7:$AJ$448,2,0),0)</f>
        <v>2937</v>
      </c>
      <c r="F408" s="6">
        <f>IFERROR(VLOOKUP(C408,O.B.JUNE!$AI$7:$AK$448,3,0),0)</f>
        <v>3180</v>
      </c>
      <c r="G408" s="6">
        <f>IFERROR(VLOOKUP(C408,O.B.JUNE!$AI$7:$AL$448,4,0),0)</f>
        <v>320</v>
      </c>
      <c r="H408" s="6">
        <f t="shared" si="110"/>
        <v>6437</v>
      </c>
      <c r="I408" s="6">
        <f>IFERROR(VLOOKUP(C408,O.B.JUNE!$AI$7:$AN$448,6,0),0)</f>
        <v>2433</v>
      </c>
      <c r="J408" s="6"/>
      <c r="K408" s="6">
        <f>IFERROR(VLOOKUP(C408,O.B.JUNE!$AI$7:$AO$448,7,0),0)</f>
        <v>66606013</v>
      </c>
      <c r="L408" s="6">
        <f>SUMIF('JUNE (물량흐름)'!$C$13:$C$488,'Overhead exp(제조경비)'!C408,'JUNE (물량흐름)'!$H$13:$H$493)+SUMIF('JUNE (물량흐름)'!$C$13:$C$493,'Overhead exp(제조경비)'!C408,'JUNE (물량흐름)'!$V$13:$V$493)</f>
        <v>1590</v>
      </c>
      <c r="M408" s="6">
        <f t="shared" si="111"/>
        <v>5578</v>
      </c>
      <c r="N408" s="6">
        <f t="shared" si="112"/>
        <v>282052965</v>
      </c>
      <c r="O408" s="6">
        <f t="shared" si="121"/>
        <v>170427660</v>
      </c>
      <c r="P408" s="6">
        <f>SUMIF('JUNE (물량흐름)'!$C$13:$C$502,C408,'JUNE (물량흐름)'!$T$13:$T$502)+SUMIF('JUNE (물량흐름)'!$C$13:$C$502,C408,'JUNE (물량흐름)'!$V$13:$V$502)+SUMIF('JUNE (물량흐름)'!$C$13:$C$502,C408,'JUNE (물량흐름)'!$U$13:$U$502)-SUMIF('JUNE (물량흐름)'!$C$13:$C$502,C408,'JUNE (물량흐름)'!$Y$13:$Y$502)</f>
        <v>7944</v>
      </c>
      <c r="Q408" s="6">
        <f t="shared" si="119"/>
        <v>234582721</v>
      </c>
      <c r="R408" s="6">
        <f>IF(ISERROR(VLOOKUP(#REF!,'WIP(재공품)'!$B$12:$AB$38,13,0)),0,VLOOKUP(#REF!,'WIP(재공품)'!$B$12:$AB$38,13,0))</f>
        <v>0</v>
      </c>
      <c r="S408" s="6">
        <f>IF(ISERROR(VLOOKUP(#REF!,'WIP(재공품)'!$B$12:$AB$38,10,0)),0,VLOOKUP(#REF!,'WIP(재공품)'!$B$12:$AB$38,10,0))</f>
        <v>0</v>
      </c>
      <c r="T408" s="6">
        <f>SUMIF('JUNE (물량흐름)'!$C$13:$C$502,'Overhead exp(제조경비)'!C408,'JUNE (물량흐름)'!$Y$13:$Y$502)</f>
        <v>2</v>
      </c>
      <c r="U408" s="6">
        <f t="shared" si="113"/>
        <v>59059</v>
      </c>
      <c r="V408" s="6">
        <f>ROUND(SUMIF('JUNE (물량흐름)'!$C$13:$C$502,'Overhead exp(제조경비)'!C408,'JUNE (물량흐름)'!$N$13:$N$502),0)</f>
        <v>0</v>
      </c>
      <c r="W408" s="6">
        <f>ROUND(SUMIF('JUNE (물량흐름)'!$C$13:$C$502,'Overhead exp(제조경비)'!C408,'JUNE (물량흐름)'!$O$13:$O$502),0)</f>
        <v>0</v>
      </c>
      <c r="X408" s="6">
        <f>ROUND(SUMIF('JUNE (물량흐름)'!$C$13:$C$502,'Overhead exp(제조경비)'!C408,'JUNE (물량흐름)'!$P$13:$P$502),0)</f>
        <v>81</v>
      </c>
      <c r="Y408" s="6">
        <f t="shared" si="114"/>
        <v>81</v>
      </c>
      <c r="Z408" s="6">
        <f t="shared" si="115"/>
        <v>65</v>
      </c>
      <c r="AA408" s="6">
        <f t="shared" si="120"/>
        <v>2391893</v>
      </c>
      <c r="AB408" s="391">
        <f t="shared" si="116"/>
        <v>0</v>
      </c>
      <c r="AC408" s="391">
        <f t="shared" si="117"/>
        <v>0</v>
      </c>
    </row>
    <row r="409" spans="1:29" s="390" customFormat="1" ht="24" customHeight="1">
      <c r="A409" s="167">
        <v>419</v>
      </c>
      <c r="B409" s="20" t="str">
        <f>IFERROR(VLOOKUP(A409,'JUNE (물량흐름)'!$A$13:$C$502,2,0),0)</f>
        <v>ALFANI</v>
      </c>
      <c r="C409" s="272">
        <f>VLOOKUP(A409,'JUNE (물량흐름)'!$A$13:$C$502,3,0)</f>
        <v>100018197</v>
      </c>
      <c r="D409" s="6">
        <f>VLOOKUP(C409,'WIP(재공품)'!$B$12:$E$493,4,0)</f>
        <v>7936.2499999999991</v>
      </c>
      <c r="E409" s="6">
        <f>IFERROR(VLOOKUP(C409,O.B.JUNE!$AI$7:$AJ$448,2,0),0)</f>
        <v>0</v>
      </c>
      <c r="F409" s="6">
        <f>IFERROR(VLOOKUP(C409,O.B.JUNE!$AI$7:$AK$448,3,0),0)</f>
        <v>175</v>
      </c>
      <c r="G409" s="6">
        <f>IFERROR(VLOOKUP(C409,O.B.JUNE!$AI$7:$AL$448,4,0),0)</f>
        <v>9380</v>
      </c>
      <c r="H409" s="6">
        <f t="shared" si="110"/>
        <v>9555</v>
      </c>
      <c r="I409" s="6">
        <f>IFERROR(VLOOKUP(C409,O.B.JUNE!$AI$7:$AN$448,6,0),0)</f>
        <v>7592</v>
      </c>
      <c r="J409" s="6"/>
      <c r="K409" s="6">
        <f>IFERROR(VLOOKUP(C409,O.B.JUNE!$AI$7:$AO$448,7,0),0)</f>
        <v>167277623</v>
      </c>
      <c r="L409" s="6">
        <f>SUMIF('JUNE (물량흐름)'!$C$13:$C$488,'Overhead exp(제조경비)'!C409,'JUNE (물량흐름)'!$H$13:$H$493)+SUMIF('JUNE (물량흐름)'!$C$13:$C$493,'Overhead exp(제조경비)'!C409,'JUNE (물량흐름)'!$V$13:$V$493)</f>
        <v>0</v>
      </c>
      <c r="M409" s="6">
        <f t="shared" si="111"/>
        <v>0</v>
      </c>
      <c r="N409" s="6">
        <f t="shared" si="112"/>
        <v>0</v>
      </c>
      <c r="O409" s="6">
        <f t="shared" si="121"/>
        <v>0</v>
      </c>
      <c r="P409" s="6">
        <f>SUMIF('JUNE (물량흐름)'!$C$13:$C$502,C409,'JUNE (물량흐름)'!$T$13:$T$502)+SUMIF('JUNE (물량흐름)'!$C$13:$C$502,C409,'JUNE (물량흐름)'!$V$13:$V$502)+SUMIF('JUNE (물량흐름)'!$C$13:$C$502,C409,'JUNE (물량흐름)'!$U$13:$U$502)-SUMIF('JUNE (물량흐름)'!$C$13:$C$502,C409,'JUNE (물량흐름)'!$Y$13:$Y$502)</f>
        <v>0</v>
      </c>
      <c r="Q409" s="6">
        <f t="shared" si="119"/>
        <v>0</v>
      </c>
      <c r="R409" s="6">
        <f>IF(ISERROR(VLOOKUP(#REF!,'WIP(재공품)'!$B$12:$AB$38,13,0)),0,VLOOKUP(#REF!,'WIP(재공품)'!$B$12:$AB$38,13,0))</f>
        <v>0</v>
      </c>
      <c r="S409" s="6">
        <f>IF(ISERROR(VLOOKUP(#REF!,'WIP(재공품)'!$B$12:$AB$38,10,0)),0,VLOOKUP(#REF!,'WIP(재공품)'!$B$12:$AB$38,10,0))</f>
        <v>0</v>
      </c>
      <c r="T409" s="6">
        <f>SUMIF('JUNE (물량흐름)'!$C$13:$C$502,'Overhead exp(제조경비)'!C409,'JUNE (물량흐름)'!$Y$13:$Y$502)</f>
        <v>0</v>
      </c>
      <c r="U409" s="6">
        <f t="shared" si="113"/>
        <v>0</v>
      </c>
      <c r="V409" s="6">
        <f>ROUND(SUMIF('JUNE (물량흐름)'!$C$13:$C$502,'Overhead exp(제조경비)'!C409,'JUNE (물량흐름)'!$N$13:$N$502),0)</f>
        <v>0</v>
      </c>
      <c r="W409" s="6">
        <f>ROUND(SUMIF('JUNE (물량흐름)'!$C$13:$C$502,'Overhead exp(제조경비)'!C409,'JUNE (물량흐름)'!$O$13:$O$502),0)</f>
        <v>175</v>
      </c>
      <c r="X409" s="6">
        <f>ROUND(SUMIF('JUNE (물량흐름)'!$C$13:$C$502,'Overhead exp(제조경비)'!C409,'JUNE (물량흐름)'!$P$13:$P$502),0)</f>
        <v>9380</v>
      </c>
      <c r="Y409" s="6">
        <f t="shared" si="114"/>
        <v>9555</v>
      </c>
      <c r="Z409" s="6">
        <f t="shared" si="115"/>
        <v>7592</v>
      </c>
      <c r="AA409" s="6">
        <f t="shared" si="120"/>
        <v>167277623</v>
      </c>
      <c r="AB409" s="391">
        <f t="shared" si="116"/>
        <v>0</v>
      </c>
      <c r="AC409" s="391">
        <f t="shared" si="117"/>
        <v>0</v>
      </c>
    </row>
    <row r="410" spans="1:29" s="390" customFormat="1" ht="24" customHeight="1">
      <c r="A410" s="167">
        <v>420</v>
      </c>
      <c r="B410" s="20" t="str">
        <f>IFERROR(VLOOKUP(A410,'JUNE (물량흐름)'!$A$13:$C$502,2,0),0)</f>
        <v>ALFANI</v>
      </c>
      <c r="C410" s="272">
        <f>VLOOKUP(A410,'JUNE (물량흐름)'!$A$13:$C$502,3,0)</f>
        <v>100018200</v>
      </c>
      <c r="D410" s="6">
        <f>VLOOKUP(C410,'WIP(재공품)'!$B$12:$E$493,4,0)</f>
        <v>51245.499999999993</v>
      </c>
      <c r="E410" s="6">
        <f>IFERROR(VLOOKUP(C410,O.B.JUNE!$AI$7:$AJ$448,2,0),0)</f>
        <v>0</v>
      </c>
      <c r="F410" s="6">
        <f>IFERROR(VLOOKUP(C410,O.B.JUNE!$AI$7:$AK$448,3,0),0)</f>
        <v>1180</v>
      </c>
      <c r="G410" s="6">
        <f>IFERROR(VLOOKUP(C410,O.B.JUNE!$AI$7:$AL$448,4,0),0)</f>
        <v>715</v>
      </c>
      <c r="H410" s="6">
        <f t="shared" si="110"/>
        <v>1895</v>
      </c>
      <c r="I410" s="6">
        <f>IFERROR(VLOOKUP(C410,O.B.JUNE!$AI$7:$AN$448,6,0),0)</f>
        <v>1162</v>
      </c>
      <c r="J410" s="6"/>
      <c r="K410" s="6">
        <f>IFERROR(VLOOKUP(C410,O.B.JUNE!$AI$7:$AO$448,7,0),0)</f>
        <v>42780470</v>
      </c>
      <c r="L410" s="6">
        <f>SUMIF('JUNE (물량흐름)'!$C$13:$C$488,'Overhead exp(제조경비)'!C410,'JUNE (물량흐름)'!$H$13:$H$493)+SUMIF('JUNE (물량흐름)'!$C$13:$C$493,'Overhead exp(제조경비)'!C410,'JUNE (물량흐름)'!$V$13:$V$493)</f>
        <v>0</v>
      </c>
      <c r="M410" s="6">
        <f t="shared" si="111"/>
        <v>0</v>
      </c>
      <c r="N410" s="6">
        <f t="shared" si="112"/>
        <v>0</v>
      </c>
      <c r="O410" s="6">
        <f t="shared" si="121"/>
        <v>0</v>
      </c>
      <c r="P410" s="6">
        <f>SUMIF('JUNE (물량흐름)'!$C$13:$C$502,C410,'JUNE (물량흐름)'!$T$13:$T$502)+SUMIF('JUNE (물량흐름)'!$C$13:$C$502,C410,'JUNE (물량흐름)'!$V$13:$V$502)+SUMIF('JUNE (물량흐름)'!$C$13:$C$502,C410,'JUNE (물량흐름)'!$U$13:$U$502)-SUMIF('JUNE (물량흐름)'!$C$13:$C$502,C410,'JUNE (물량흐름)'!$Y$13:$Y$502)</f>
        <v>1753</v>
      </c>
      <c r="Q410" s="6">
        <f t="shared" si="119"/>
        <v>39574757</v>
      </c>
      <c r="R410" s="6">
        <f>IF(ISERROR(VLOOKUP(#REF!,'WIP(재공품)'!$B$12:$AB$38,13,0)),0,VLOOKUP(#REF!,'WIP(재공품)'!$B$12:$AB$38,13,0))</f>
        <v>0</v>
      </c>
      <c r="S410" s="6">
        <f>IF(ISERROR(VLOOKUP(#REF!,'WIP(재공품)'!$B$12:$AB$38,10,0)),0,VLOOKUP(#REF!,'WIP(재공품)'!$B$12:$AB$38,10,0))</f>
        <v>0</v>
      </c>
      <c r="T410" s="6">
        <f>SUMIF('JUNE (물량흐름)'!$C$13:$C$502,'Overhead exp(제조경비)'!C410,'JUNE (물량흐름)'!$Y$13:$Y$502)</f>
        <v>4</v>
      </c>
      <c r="U410" s="6">
        <f t="shared" si="113"/>
        <v>90302</v>
      </c>
      <c r="V410" s="6">
        <f>ROUND(SUMIF('JUNE (물량흐름)'!$C$13:$C$502,'Overhead exp(제조경비)'!C410,'JUNE (물량흐름)'!$N$13:$N$502),0)</f>
        <v>0</v>
      </c>
      <c r="W410" s="6">
        <f>ROUND(SUMIF('JUNE (물량흐름)'!$C$13:$C$502,'Overhead exp(제조경비)'!C410,'JUNE (물량흐름)'!$O$13:$O$502),0)</f>
        <v>0</v>
      </c>
      <c r="X410" s="6">
        <f>ROUND(SUMIF('JUNE (물량흐름)'!$C$13:$C$502,'Overhead exp(제조경비)'!C410,'JUNE (물량흐름)'!$P$13:$P$502),0)</f>
        <v>138</v>
      </c>
      <c r="Y410" s="6">
        <f t="shared" si="114"/>
        <v>138</v>
      </c>
      <c r="Z410" s="6">
        <f t="shared" si="115"/>
        <v>110</v>
      </c>
      <c r="AA410" s="6">
        <f t="shared" si="120"/>
        <v>3115412</v>
      </c>
      <c r="AB410" s="391">
        <f t="shared" si="116"/>
        <v>-1</v>
      </c>
      <c r="AC410" s="391">
        <f t="shared" si="117"/>
        <v>0</v>
      </c>
    </row>
    <row r="411" spans="1:29" s="390" customFormat="1" ht="24" customHeight="1">
      <c r="A411" s="167">
        <v>421</v>
      </c>
      <c r="B411" s="20" t="str">
        <f>IFERROR(VLOOKUP(A411,'JUNE (물량흐름)'!$A$13:$C$502,2,0),0)</f>
        <v>ALFANI</v>
      </c>
      <c r="C411" s="272">
        <f>VLOOKUP(A411,'JUNE (물량흐름)'!$A$13:$C$502,3,0)</f>
        <v>100018207</v>
      </c>
      <c r="D411" s="6">
        <f>VLOOKUP(C411,'WIP(재공품)'!$B$12:$E$493,4,0)</f>
        <v>73240.25</v>
      </c>
      <c r="E411" s="6">
        <f>IFERROR(VLOOKUP(C411,O.B.JUNE!$AI$7:$AJ$448,2,0),0)</f>
        <v>2388</v>
      </c>
      <c r="F411" s="6">
        <f>IFERROR(VLOOKUP(C411,O.B.JUNE!$AI$7:$AK$448,3,0),0)</f>
        <v>933</v>
      </c>
      <c r="G411" s="6">
        <f>IFERROR(VLOOKUP(C411,O.B.JUNE!$AI$7:$AL$448,4,0),0)</f>
        <v>0</v>
      </c>
      <c r="H411" s="6">
        <f t="shared" si="110"/>
        <v>3321</v>
      </c>
      <c r="I411" s="6">
        <f>IFERROR(VLOOKUP(C411,O.B.JUNE!$AI$7:$AN$448,6,0),0)</f>
        <v>944</v>
      </c>
      <c r="J411" s="6"/>
      <c r="K411" s="6">
        <f>IFERROR(VLOOKUP(C411,O.B.JUNE!$AI$7:$AO$448,7,0),0)</f>
        <v>38764535</v>
      </c>
      <c r="L411" s="6">
        <f>SUMIF('JUNE (물량흐름)'!$C$13:$C$488,'Overhead exp(제조경비)'!C411,'JUNE (물량흐름)'!$H$13:$H$493)+SUMIF('JUNE (물량흐름)'!$C$13:$C$493,'Overhead exp(제조경비)'!C411,'JUNE (물량흐름)'!$V$13:$V$493)</f>
        <v>3</v>
      </c>
      <c r="M411" s="6">
        <f t="shared" si="111"/>
        <v>2209</v>
      </c>
      <c r="N411" s="6">
        <f t="shared" si="112"/>
        <v>161787712</v>
      </c>
      <c r="O411" s="6">
        <f t="shared" si="121"/>
        <v>97758594</v>
      </c>
      <c r="P411" s="6">
        <f>SUMIF('JUNE (물량흐름)'!$C$13:$C$502,C411,'JUNE (물량흐름)'!$T$13:$T$502)+SUMIF('JUNE (물량흐름)'!$C$13:$C$502,C411,'JUNE (물량흐름)'!$V$13:$V$502)+SUMIF('JUNE (물량흐름)'!$C$13:$C$502,C411,'JUNE (물량흐름)'!$U$13:$U$502)-SUMIF('JUNE (물량흐름)'!$C$13:$C$502,C411,'JUNE (물량흐름)'!$Y$13:$Y$502)</f>
        <v>3058</v>
      </c>
      <c r="Q411" s="6">
        <f t="shared" si="119"/>
        <v>125597993</v>
      </c>
      <c r="R411" s="6">
        <f>IF(ISERROR(VLOOKUP(#REF!,'WIP(재공품)'!$B$12:$AB$38,13,0)),0,VLOOKUP(#REF!,'WIP(재공품)'!$B$12:$AB$38,13,0))</f>
        <v>0</v>
      </c>
      <c r="S411" s="6">
        <f>IF(ISERROR(VLOOKUP(#REF!,'WIP(재공품)'!$B$12:$AB$38,10,0)),0,VLOOKUP(#REF!,'WIP(재공품)'!$B$12:$AB$38,10,0))</f>
        <v>0</v>
      </c>
      <c r="T411" s="6">
        <f>SUMIF('JUNE (물량흐름)'!$C$13:$C$502,'Overhead exp(제조경비)'!C411,'JUNE (물량흐름)'!$Y$13:$Y$502)</f>
        <v>0</v>
      </c>
      <c r="U411" s="6">
        <f t="shared" si="113"/>
        <v>0</v>
      </c>
      <c r="V411" s="6">
        <f>ROUND(SUMIF('JUNE (물량흐름)'!$C$13:$C$502,'Overhead exp(제조경비)'!C411,'JUNE (물량흐름)'!$N$13:$N$502),0)</f>
        <v>152</v>
      </c>
      <c r="W411" s="6">
        <f>ROUND(SUMIF('JUNE (물량흐름)'!$C$13:$C$502,'Overhead exp(제조경비)'!C411,'JUNE (물량흐름)'!$O$13:$O$502),0)</f>
        <v>90</v>
      </c>
      <c r="X411" s="6">
        <f>ROUND(SUMIF('JUNE (물량흐름)'!$C$13:$C$502,'Overhead exp(제조경비)'!C411,'JUNE (물량흐름)'!$P$13:$P$502),0)</f>
        <v>24</v>
      </c>
      <c r="Y411" s="6">
        <f t="shared" si="114"/>
        <v>266</v>
      </c>
      <c r="Z411" s="6">
        <f t="shared" si="115"/>
        <v>95</v>
      </c>
      <c r="AA411" s="6">
        <f t="shared" si="120"/>
        <v>10925136</v>
      </c>
      <c r="AB411" s="391">
        <f t="shared" si="116"/>
        <v>0</v>
      </c>
      <c r="AC411" s="391">
        <f t="shared" si="117"/>
        <v>0</v>
      </c>
    </row>
    <row r="412" spans="1:29" s="390" customFormat="1" ht="24" customHeight="1">
      <c r="A412" s="167">
        <v>422</v>
      </c>
      <c r="B412" s="20" t="str">
        <f>IFERROR(VLOOKUP(A412,'JUNE (물량흐름)'!$A$13:$C$502,2,0),0)</f>
        <v>ALFANI</v>
      </c>
      <c r="C412" s="272">
        <f>VLOOKUP(A412,'JUNE (물량흐름)'!$A$13:$C$502,3,0)</f>
        <v>100018224</v>
      </c>
      <c r="D412" s="6">
        <f>VLOOKUP(C412,'WIP(재공품)'!$B$12:$E$493,4,0)</f>
        <v>59862</v>
      </c>
      <c r="E412" s="6">
        <f>IFERROR(VLOOKUP(C412,O.B.JUNE!$AI$7:$AJ$448,2,0),0)</f>
        <v>0</v>
      </c>
      <c r="F412" s="6">
        <f>IFERROR(VLOOKUP(C412,O.B.JUNE!$AI$7:$AK$448,3,0),0)</f>
        <v>67</v>
      </c>
      <c r="G412" s="6">
        <f>IFERROR(VLOOKUP(C412,O.B.JUNE!$AI$7:$AL$448,4,0),0)</f>
        <v>0</v>
      </c>
      <c r="H412" s="6">
        <f t="shared" si="110"/>
        <v>67</v>
      </c>
      <c r="I412" s="6">
        <f>IFERROR(VLOOKUP(C412,O.B.JUNE!$AI$7:$AN$448,6,0),0)</f>
        <v>34</v>
      </c>
      <c r="J412" s="6"/>
      <c r="K412" s="6">
        <f>IFERROR(VLOOKUP(C412,O.B.JUNE!$AI$7:$AO$448,7,0),0)</f>
        <v>2174490</v>
      </c>
      <c r="L412" s="6">
        <f>SUMIF('JUNE (물량흐름)'!$C$13:$C$488,'Overhead exp(제조경비)'!C412,'JUNE (물량흐름)'!$H$13:$H$493)+SUMIF('JUNE (물량흐름)'!$C$13:$C$493,'Overhead exp(제조경비)'!C412,'JUNE (물량흐름)'!$V$13:$V$493)</f>
        <v>0</v>
      </c>
      <c r="M412" s="6">
        <f t="shared" si="111"/>
        <v>0</v>
      </c>
      <c r="N412" s="6">
        <f t="shared" si="112"/>
        <v>0</v>
      </c>
      <c r="O412" s="6">
        <f t="shared" si="121"/>
        <v>0</v>
      </c>
      <c r="P412" s="6">
        <f>SUMIF('JUNE (물량흐름)'!$C$13:$C$502,C412,'JUNE (물량흐름)'!$T$13:$T$502)+SUMIF('JUNE (물량흐름)'!$C$13:$C$502,C412,'JUNE (물량흐름)'!$V$13:$V$502)+SUMIF('JUNE (물량흐름)'!$C$13:$C$502,C412,'JUNE (물량흐름)'!$U$13:$U$502)-SUMIF('JUNE (물량흐름)'!$C$13:$C$502,C412,'JUNE (물량흐름)'!$Y$13:$Y$502)</f>
        <v>0</v>
      </c>
      <c r="Q412" s="6">
        <f t="shared" si="119"/>
        <v>0</v>
      </c>
      <c r="R412" s="6">
        <f>IF(ISERROR(VLOOKUP(#REF!,'WIP(재공품)'!$B$12:$AB$38,13,0)),0,VLOOKUP(#REF!,'WIP(재공품)'!$B$12:$AB$38,13,0))</f>
        <v>0</v>
      </c>
      <c r="S412" s="6">
        <f>IF(ISERROR(VLOOKUP(#REF!,'WIP(재공품)'!$B$12:$AB$38,10,0)),0,VLOOKUP(#REF!,'WIP(재공품)'!$B$12:$AB$38,10,0))</f>
        <v>0</v>
      </c>
      <c r="T412" s="6">
        <f>SUMIF('JUNE (물량흐름)'!$C$13:$C$502,'Overhead exp(제조경비)'!C412,'JUNE (물량흐름)'!$Y$13:$Y$502)</f>
        <v>0</v>
      </c>
      <c r="U412" s="6">
        <f t="shared" si="113"/>
        <v>0</v>
      </c>
      <c r="V412" s="6">
        <f>ROUND(SUMIF('JUNE (물량흐름)'!$C$13:$C$502,'Overhead exp(제조경비)'!C412,'JUNE (물량흐름)'!$N$13:$N$502),0)</f>
        <v>0</v>
      </c>
      <c r="W412" s="6">
        <f>ROUND(SUMIF('JUNE (물량흐름)'!$C$13:$C$502,'Overhead exp(제조경비)'!C412,'JUNE (물량흐름)'!$O$13:$O$502),0)</f>
        <v>67</v>
      </c>
      <c r="X412" s="6">
        <f>ROUND(SUMIF('JUNE (물량흐름)'!$C$13:$C$502,'Overhead exp(제조경비)'!C412,'JUNE (물량흐름)'!$P$13:$P$502),0)</f>
        <v>0</v>
      </c>
      <c r="Y412" s="6">
        <f t="shared" si="114"/>
        <v>67</v>
      </c>
      <c r="Z412" s="6">
        <f t="shared" si="115"/>
        <v>34</v>
      </c>
      <c r="AA412" s="6">
        <f t="shared" si="120"/>
        <v>2174490</v>
      </c>
      <c r="AB412" s="391">
        <f t="shared" si="116"/>
        <v>0</v>
      </c>
      <c r="AC412" s="391">
        <f t="shared" si="117"/>
        <v>0</v>
      </c>
    </row>
    <row r="413" spans="1:29" s="390" customFormat="1" ht="24" customHeight="1">
      <c r="A413" s="167">
        <v>423</v>
      </c>
      <c r="B413" s="20" t="str">
        <f>IFERROR(VLOOKUP(A413,'JUNE (물량흐름)'!$A$13:$C$502,2,0),0)</f>
        <v>ALFANI</v>
      </c>
      <c r="C413" s="272">
        <f>VLOOKUP(A413,'JUNE (물량흐름)'!$A$13:$C$502,3,0)</f>
        <v>100018229</v>
      </c>
      <c r="D413" s="6">
        <f>VLOOKUP(C413,'WIP(재공품)'!$B$12:$E$493,4,0)</f>
        <v>65984.25</v>
      </c>
      <c r="E413" s="6">
        <f>IFERROR(VLOOKUP(C413,O.B.JUNE!$AI$7:$AJ$448,2,0),0)</f>
        <v>25</v>
      </c>
      <c r="F413" s="6">
        <f>IFERROR(VLOOKUP(C413,O.B.JUNE!$AI$7:$AK$448,3,0),0)</f>
        <v>1047</v>
      </c>
      <c r="G413" s="6">
        <f>IFERROR(VLOOKUP(C413,O.B.JUNE!$AI$7:$AL$448,4,0),0)</f>
        <v>510</v>
      </c>
      <c r="H413" s="6">
        <f t="shared" si="110"/>
        <v>1582</v>
      </c>
      <c r="I413" s="6">
        <f>IFERROR(VLOOKUP(C413,O.B.JUNE!$AI$7:$AN$448,6,0),0)</f>
        <v>937</v>
      </c>
      <c r="J413" s="6"/>
      <c r="K413" s="6">
        <f>IFERROR(VLOOKUP(C413,O.B.JUNE!$AI$7:$AO$448,7,0),0)</f>
        <v>52572877</v>
      </c>
      <c r="L413" s="6">
        <f>SUMIF('JUNE (물량흐름)'!$C$13:$C$488,'Overhead exp(제조경비)'!C413,'JUNE (물량흐름)'!$H$13:$H$493)+SUMIF('JUNE (물량흐름)'!$C$13:$C$493,'Overhead exp(제조경비)'!C413,'JUNE (물량흐름)'!$V$13:$V$493)</f>
        <v>59</v>
      </c>
      <c r="M413" s="6">
        <f t="shared" si="111"/>
        <v>649</v>
      </c>
      <c r="N413" s="6">
        <f t="shared" si="112"/>
        <v>42823778</v>
      </c>
      <c r="O413" s="6">
        <f t="shared" si="121"/>
        <v>25875836</v>
      </c>
      <c r="P413" s="6">
        <f>SUMIF('JUNE (물량흐름)'!$C$13:$C$502,C413,'JUNE (물량흐름)'!$T$13:$T$502)+SUMIF('JUNE (물량흐름)'!$C$13:$C$502,C413,'JUNE (물량흐름)'!$V$13:$V$502)+SUMIF('JUNE (물량흐름)'!$C$13:$C$502,C413,'JUNE (물량흐름)'!$U$13:$U$502)-SUMIF('JUNE (물량흐름)'!$C$13:$C$502,C413,'JUNE (물량흐름)'!$Y$13:$Y$502)</f>
        <v>1377</v>
      </c>
      <c r="Q413" s="6">
        <f t="shared" si="119"/>
        <v>65828079</v>
      </c>
      <c r="R413" s="6">
        <f>IF(ISERROR(VLOOKUP(#REF!,'WIP(재공품)'!$B$12:$AB$38,13,0)),0,VLOOKUP(#REF!,'WIP(재공품)'!$B$12:$AB$38,13,0))</f>
        <v>0</v>
      </c>
      <c r="S413" s="6">
        <f>IF(ISERROR(VLOOKUP(#REF!,'WIP(재공품)'!$B$12:$AB$38,10,0)),0,VLOOKUP(#REF!,'WIP(재공품)'!$B$12:$AB$38,10,0))</f>
        <v>0</v>
      </c>
      <c r="T413" s="6">
        <f>SUMIF('JUNE (물량흐름)'!$C$13:$C$502,'Overhead exp(제조경비)'!C413,'JUNE (물량흐름)'!$Y$13:$Y$502)</f>
        <v>4</v>
      </c>
      <c r="U413" s="6">
        <f t="shared" si="113"/>
        <v>191222</v>
      </c>
      <c r="V413" s="6">
        <f>ROUND(SUMIF('JUNE (물량흐름)'!$C$13:$C$502,'Overhead exp(제조경비)'!C413,'JUNE (물량흐름)'!$N$13:$N$502),0)</f>
        <v>0</v>
      </c>
      <c r="W413" s="6">
        <f>ROUND(SUMIF('JUNE (물량흐름)'!$C$13:$C$502,'Overhead exp(제조경비)'!C413,'JUNE (물량흐름)'!$O$13:$O$502),0)</f>
        <v>10</v>
      </c>
      <c r="X413" s="6">
        <f>ROUND(SUMIF('JUNE (물량흐름)'!$C$13:$C$502,'Overhead exp(제조경비)'!C413,'JUNE (물량흐름)'!$P$13:$P$502),0)</f>
        <v>250</v>
      </c>
      <c r="Y413" s="6">
        <f t="shared" si="114"/>
        <v>260</v>
      </c>
      <c r="Z413" s="6">
        <f t="shared" si="115"/>
        <v>205</v>
      </c>
      <c r="AA413" s="6">
        <f t="shared" si="120"/>
        <v>12429412</v>
      </c>
      <c r="AB413" s="391">
        <f t="shared" si="116"/>
        <v>0</v>
      </c>
      <c r="AC413" s="391">
        <f t="shared" si="117"/>
        <v>0</v>
      </c>
    </row>
    <row r="414" spans="1:29" s="390" customFormat="1" ht="24" customHeight="1">
      <c r="A414" s="167">
        <v>424</v>
      </c>
      <c r="B414" s="20" t="str">
        <f>IFERROR(VLOOKUP(A414,'JUNE (물량흐름)'!$A$13:$C$502,2,0),0)</f>
        <v>ALFANI</v>
      </c>
      <c r="C414" s="272">
        <f>VLOOKUP(A414,'JUNE (물량흐름)'!$A$13:$C$502,3,0)</f>
        <v>100018250</v>
      </c>
      <c r="D414" s="6">
        <f>VLOOKUP(C414,'WIP(재공품)'!$B$12:$E$493,4,0)</f>
        <v>29704.25</v>
      </c>
      <c r="E414" s="6">
        <f>IFERROR(VLOOKUP(C414,O.B.JUNE!$AI$7:$AJ$448,2,0),0)</f>
        <v>0</v>
      </c>
      <c r="F414" s="6">
        <f>IFERROR(VLOOKUP(C414,O.B.JUNE!$AI$7:$AK$448,3,0),0)</f>
        <v>467</v>
      </c>
      <c r="G414" s="6">
        <f>IFERROR(VLOOKUP(C414,O.B.JUNE!$AI$7:$AL$448,4,0),0)</f>
        <v>363</v>
      </c>
      <c r="H414" s="6">
        <f t="shared" si="110"/>
        <v>830</v>
      </c>
      <c r="I414" s="6">
        <f>IFERROR(VLOOKUP(C414,O.B.JUNE!$AI$7:$AN$448,6,0),0)</f>
        <v>524</v>
      </c>
      <c r="J414" s="6"/>
      <c r="K414" s="6">
        <f>IFERROR(VLOOKUP(C414,O.B.JUNE!$AI$7:$AO$448,7,0),0)</f>
        <v>11472554</v>
      </c>
      <c r="L414" s="6">
        <f>SUMIF('JUNE (물량흐름)'!$C$13:$C$488,'Overhead exp(제조경비)'!C414,'JUNE (물량흐름)'!$H$13:$H$493)+SUMIF('JUNE (물량흐름)'!$C$13:$C$493,'Overhead exp(제조경비)'!C414,'JUNE (물량흐름)'!$V$13:$V$493)</f>
        <v>0</v>
      </c>
      <c r="M414" s="6">
        <f t="shared" si="111"/>
        <v>0</v>
      </c>
      <c r="N414" s="6">
        <f t="shared" si="112"/>
        <v>0</v>
      </c>
      <c r="O414" s="6">
        <f t="shared" si="121"/>
        <v>0</v>
      </c>
      <c r="P414" s="6">
        <f>SUMIF('JUNE (물량흐름)'!$C$13:$C$502,C414,'JUNE (물량흐름)'!$T$13:$T$502)+SUMIF('JUNE (물량흐름)'!$C$13:$C$502,C414,'JUNE (물량흐름)'!$V$13:$V$502)+SUMIF('JUNE (물량흐름)'!$C$13:$C$502,C414,'JUNE (물량흐름)'!$U$13:$U$502)-SUMIF('JUNE (물량흐름)'!$C$13:$C$502,C414,'JUNE (물량흐름)'!$Y$13:$Y$502)</f>
        <v>603</v>
      </c>
      <c r="Q414" s="6">
        <f t="shared" si="119"/>
        <v>8334880</v>
      </c>
      <c r="R414" s="6">
        <f>IF(ISERROR(VLOOKUP(#REF!,'WIP(재공품)'!$B$12:$AB$38,13,0)),0,VLOOKUP(#REF!,'WIP(재공품)'!$B$12:$AB$38,13,0))</f>
        <v>0</v>
      </c>
      <c r="S414" s="6">
        <f>IF(ISERROR(VLOOKUP(#REF!,'WIP(재공품)'!$B$12:$AB$38,10,0)),0,VLOOKUP(#REF!,'WIP(재공품)'!$B$12:$AB$38,10,0))</f>
        <v>0</v>
      </c>
      <c r="T414" s="6">
        <f>SUMIF('JUNE (물량흐름)'!$C$13:$C$502,'Overhead exp(제조경비)'!C414,'JUNE (물량흐름)'!$Y$13:$Y$502)</f>
        <v>0</v>
      </c>
      <c r="U414" s="6">
        <f t="shared" si="113"/>
        <v>0</v>
      </c>
      <c r="V414" s="6">
        <f>ROUND(SUMIF('JUNE (물량흐름)'!$C$13:$C$502,'Overhead exp(제조경비)'!C414,'JUNE (물량흐름)'!$N$13:$N$502),0)</f>
        <v>0</v>
      </c>
      <c r="W414" s="6">
        <f>ROUND(SUMIF('JUNE (물량흐름)'!$C$13:$C$502,'Overhead exp(제조경비)'!C414,'JUNE (물량흐름)'!$O$13:$O$502),0)</f>
        <v>144</v>
      </c>
      <c r="X414" s="6">
        <f>ROUND(SUMIF('JUNE (물량흐름)'!$C$13:$C$502,'Overhead exp(제조경비)'!C414,'JUNE (물량흐름)'!$P$13:$P$502),0)</f>
        <v>83</v>
      </c>
      <c r="Y414" s="6">
        <f t="shared" si="114"/>
        <v>227</v>
      </c>
      <c r="Z414" s="6">
        <f t="shared" si="115"/>
        <v>138</v>
      </c>
      <c r="AA414" s="6">
        <f t="shared" si="120"/>
        <v>3137674</v>
      </c>
      <c r="AB414" s="391">
        <f t="shared" si="116"/>
        <v>0</v>
      </c>
      <c r="AC414" s="391">
        <f t="shared" si="117"/>
        <v>0</v>
      </c>
    </row>
    <row r="415" spans="1:29" s="390" customFormat="1" ht="24" customHeight="1">
      <c r="A415" s="167">
        <v>425</v>
      </c>
      <c r="B415" s="20" t="str">
        <f>IFERROR(VLOOKUP(A415,'JUNE (물량흐름)'!$A$13:$C$502,2,0),0)</f>
        <v>ALFANI</v>
      </c>
      <c r="C415" s="272">
        <f>VLOOKUP(A415,'JUNE (물량흐름)'!$A$13:$C$502,3,0)</f>
        <v>100018251</v>
      </c>
      <c r="D415" s="6">
        <f>VLOOKUP(C415,'WIP(재공품)'!$B$12:$E$493,4,0)</f>
        <v>29250.75</v>
      </c>
      <c r="E415" s="6">
        <f>IFERROR(VLOOKUP(C415,O.B.JUNE!$AI$7:$AJ$448,2,0),0)</f>
        <v>0</v>
      </c>
      <c r="F415" s="6">
        <f>IFERROR(VLOOKUP(C415,O.B.JUNE!$AI$7:$AK$448,3,0),0)</f>
        <v>0</v>
      </c>
      <c r="G415" s="6">
        <f>IFERROR(VLOOKUP(C415,O.B.JUNE!$AI$7:$AL$448,4,0),0)</f>
        <v>294</v>
      </c>
      <c r="H415" s="6">
        <f t="shared" si="110"/>
        <v>294</v>
      </c>
      <c r="I415" s="6">
        <f>IFERROR(VLOOKUP(C415,O.B.JUNE!$AI$7:$AN$448,6,0),0)</f>
        <v>235</v>
      </c>
      <c r="J415" s="6"/>
      <c r="K415" s="6">
        <f>IFERROR(VLOOKUP(C415,O.B.JUNE!$AI$7:$AO$448,7,0),0)</f>
        <v>4153445</v>
      </c>
      <c r="L415" s="6">
        <f>SUMIF('JUNE (물량흐름)'!$C$13:$C$488,'Overhead exp(제조경비)'!C415,'JUNE (물량흐름)'!$H$13:$H$493)+SUMIF('JUNE (물량흐름)'!$C$13:$C$493,'Overhead exp(제조경비)'!C415,'JUNE (물량흐름)'!$V$13:$V$493)</f>
        <v>229</v>
      </c>
      <c r="M415" s="6">
        <f t="shared" si="111"/>
        <v>195</v>
      </c>
      <c r="N415" s="6">
        <f t="shared" si="112"/>
        <v>5703896</v>
      </c>
      <c r="O415" s="6">
        <f t="shared" si="121"/>
        <v>3446522</v>
      </c>
      <c r="P415" s="6">
        <f>SUMIF('JUNE (물량흐름)'!$C$13:$C$502,C415,'JUNE (물량흐름)'!$T$13:$T$502)+SUMIF('JUNE (물량흐름)'!$C$13:$C$502,C415,'JUNE (물량흐름)'!$V$13:$V$502)+SUMIF('JUNE (물량흐름)'!$C$13:$C$502,C415,'JUNE (물량흐름)'!$U$13:$U$502)-SUMIF('JUNE (물량흐름)'!$C$13:$C$502,C415,'JUNE (물량흐름)'!$Y$13:$Y$502)</f>
        <v>207</v>
      </c>
      <c r="Q415" s="6">
        <f t="shared" si="119"/>
        <v>3008018</v>
      </c>
      <c r="R415" s="6">
        <f>IF(ISERROR(VLOOKUP(#REF!,'WIP(재공품)'!$B$12:$AB$38,13,0)),0,VLOOKUP(#REF!,'WIP(재공품)'!$B$12:$AB$38,13,0))</f>
        <v>0</v>
      </c>
      <c r="S415" s="6">
        <f>IF(ISERROR(VLOOKUP(#REF!,'WIP(재공품)'!$B$12:$AB$38,10,0)),0,VLOOKUP(#REF!,'WIP(재공품)'!$B$12:$AB$38,10,0))</f>
        <v>0</v>
      </c>
      <c r="T415" s="6">
        <f>SUMIF('JUNE (물량흐름)'!$C$13:$C$502,'Overhead exp(제조경비)'!C415,'JUNE (물량흐름)'!$Y$13:$Y$502)</f>
        <v>0</v>
      </c>
      <c r="U415" s="6">
        <f t="shared" si="113"/>
        <v>0</v>
      </c>
      <c r="V415" s="6">
        <f>ROUND(SUMIF('JUNE (물량흐름)'!$C$13:$C$502,'Overhead exp(제조경비)'!C415,'JUNE (물량흐름)'!$N$13:$N$502),0)</f>
        <v>0</v>
      </c>
      <c r="W415" s="6">
        <f>ROUND(SUMIF('JUNE (물량흐름)'!$C$13:$C$502,'Overhead exp(제조경비)'!C415,'JUNE (물량흐름)'!$O$13:$O$502),0)</f>
        <v>101</v>
      </c>
      <c r="X415" s="6">
        <f>ROUND(SUMIF('JUNE (물량흐름)'!$C$13:$C$502,'Overhead exp(제조경비)'!C415,'JUNE (물량흐름)'!$P$13:$P$502),0)</f>
        <v>215</v>
      </c>
      <c r="Y415" s="6">
        <f t="shared" si="114"/>
        <v>316</v>
      </c>
      <c r="Z415" s="6">
        <f t="shared" si="115"/>
        <v>223</v>
      </c>
      <c r="AA415" s="6">
        <f t="shared" si="120"/>
        <v>4591949</v>
      </c>
      <c r="AB415" s="391">
        <f t="shared" si="116"/>
        <v>0</v>
      </c>
      <c r="AC415" s="391">
        <f t="shared" si="117"/>
        <v>0</v>
      </c>
    </row>
    <row r="416" spans="1:29" s="390" customFormat="1" ht="24" customHeight="1">
      <c r="A416" s="167">
        <v>426</v>
      </c>
      <c r="B416" s="20" t="str">
        <f>IFERROR(VLOOKUP(A416,'JUNE (물량흐름)'!$A$13:$C$502,2,0),0)</f>
        <v>ALFANI</v>
      </c>
      <c r="C416" s="272">
        <f>VLOOKUP(A416,'JUNE (물량흐름)'!$A$13:$C$502,3,0)</f>
        <v>100018252</v>
      </c>
      <c r="D416" s="6">
        <f>VLOOKUP(C416,'WIP(재공품)'!$B$12:$E$493,4,0)</f>
        <v>29250.75</v>
      </c>
      <c r="E416" s="6">
        <f>IFERROR(VLOOKUP(C416,O.B.JUNE!$AI$7:$AJ$448,2,0),0)</f>
        <v>0</v>
      </c>
      <c r="F416" s="6">
        <f>IFERROR(VLOOKUP(C416,O.B.JUNE!$AI$7:$AK$448,3,0),0)</f>
        <v>3</v>
      </c>
      <c r="G416" s="6">
        <f>IFERROR(VLOOKUP(C416,O.B.JUNE!$AI$7:$AL$448,4,0),0)</f>
        <v>90</v>
      </c>
      <c r="H416" s="6">
        <f t="shared" si="110"/>
        <v>93</v>
      </c>
      <c r="I416" s="6">
        <f>IFERROR(VLOOKUP(C416,O.B.JUNE!$AI$7:$AN$448,6,0),0)</f>
        <v>74</v>
      </c>
      <c r="J416" s="6"/>
      <c r="K416" s="6">
        <f>IFERROR(VLOOKUP(C416,O.B.JUNE!$AI$7:$AO$448,7,0),0)</f>
        <v>1326233</v>
      </c>
      <c r="L416" s="6">
        <f>SUMIF('JUNE (물량흐름)'!$C$13:$C$488,'Overhead exp(제조경비)'!C416,'JUNE (물량흐름)'!$H$13:$H$493)+SUMIF('JUNE (물량흐름)'!$C$13:$C$493,'Overhead exp(제조경비)'!C416,'JUNE (물량흐름)'!$V$13:$V$493)</f>
        <v>0</v>
      </c>
      <c r="M416" s="6">
        <f t="shared" si="111"/>
        <v>0</v>
      </c>
      <c r="N416" s="6">
        <f t="shared" si="112"/>
        <v>0</v>
      </c>
      <c r="O416" s="6">
        <f t="shared" si="121"/>
        <v>0</v>
      </c>
      <c r="P416" s="6">
        <f>SUMIF('JUNE (물량흐름)'!$C$13:$C$502,C416,'JUNE (물량흐름)'!$T$13:$T$502)+SUMIF('JUNE (물량흐름)'!$C$13:$C$502,C416,'JUNE (물량흐름)'!$V$13:$V$502)+SUMIF('JUNE (물량흐름)'!$C$13:$C$502,C416,'JUNE (물량흐름)'!$U$13:$U$502)-SUMIF('JUNE (물량흐름)'!$C$13:$C$502,C416,'JUNE (물량흐름)'!$Y$13:$Y$502)</f>
        <v>45</v>
      </c>
      <c r="Q416" s="6">
        <f t="shared" si="119"/>
        <v>641726</v>
      </c>
      <c r="R416" s="6">
        <f>IF(ISERROR(VLOOKUP(#REF!,'WIP(재공품)'!$B$12:$AB$38,13,0)),0,VLOOKUP(#REF!,'WIP(재공품)'!$B$12:$AB$38,13,0))</f>
        <v>0</v>
      </c>
      <c r="S416" s="6">
        <f>IF(ISERROR(VLOOKUP(#REF!,'WIP(재공품)'!$B$12:$AB$38,10,0)),0,VLOOKUP(#REF!,'WIP(재공품)'!$B$12:$AB$38,10,0))</f>
        <v>0</v>
      </c>
      <c r="T416" s="6">
        <f>SUMIF('JUNE (물량흐름)'!$C$13:$C$502,'Overhead exp(제조경비)'!C416,'JUNE (물량흐름)'!$Y$13:$Y$502)</f>
        <v>2</v>
      </c>
      <c r="U416" s="6">
        <f t="shared" si="113"/>
        <v>28521</v>
      </c>
      <c r="V416" s="6">
        <f>ROUND(SUMIF('JUNE (물량흐름)'!$C$13:$C$502,'Overhead exp(제조경비)'!C416,'JUNE (물량흐름)'!$N$13:$N$502),0)</f>
        <v>0</v>
      </c>
      <c r="W416" s="6">
        <f>ROUND(SUMIF('JUNE (물량흐름)'!$C$13:$C$502,'Overhead exp(제조경비)'!C416,'JUNE (물량흐름)'!$O$13:$O$502),0)</f>
        <v>3</v>
      </c>
      <c r="X416" s="6">
        <f>ROUND(SUMIF('JUNE (물량흐름)'!$C$13:$C$502,'Overhead exp(제조경비)'!C416,'JUNE (물량흐름)'!$P$13:$P$502),0)</f>
        <v>43</v>
      </c>
      <c r="Y416" s="6">
        <f t="shared" si="114"/>
        <v>46</v>
      </c>
      <c r="Z416" s="6">
        <f t="shared" si="115"/>
        <v>36</v>
      </c>
      <c r="AA416" s="6">
        <f t="shared" si="120"/>
        <v>655986</v>
      </c>
      <c r="AB416" s="391">
        <f t="shared" si="116"/>
        <v>0</v>
      </c>
      <c r="AC416" s="391">
        <f t="shared" si="117"/>
        <v>0</v>
      </c>
    </row>
    <row r="417" spans="1:29" s="390" customFormat="1" ht="24" customHeight="1">
      <c r="A417" s="167">
        <v>427</v>
      </c>
      <c r="B417" s="20" t="str">
        <f>IFERROR(VLOOKUP(A417,'JUNE (물량흐름)'!$A$13:$C$502,2,0),0)</f>
        <v>ALFANI</v>
      </c>
      <c r="C417" s="272">
        <f>VLOOKUP(A417,'JUNE (물량흐름)'!$A$13:$C$502,3,0)</f>
        <v>100018257</v>
      </c>
      <c r="D417" s="6">
        <f>VLOOKUP(C417,'WIP(재공품)'!$B$12:$E$493,4,0)</f>
        <v>44443</v>
      </c>
      <c r="E417" s="6">
        <f>IFERROR(VLOOKUP(C417,O.B.JUNE!$AI$7:$AJ$448,2,0),0)</f>
        <v>0</v>
      </c>
      <c r="F417" s="6">
        <f>IFERROR(VLOOKUP(C417,O.B.JUNE!$AI$7:$AK$448,3,0),0)</f>
        <v>67</v>
      </c>
      <c r="G417" s="6">
        <f>IFERROR(VLOOKUP(C417,O.B.JUNE!$AI$7:$AL$448,4,0),0)</f>
        <v>2346</v>
      </c>
      <c r="H417" s="6">
        <f t="shared" si="110"/>
        <v>2413</v>
      </c>
      <c r="I417" s="6">
        <f>IFERROR(VLOOKUP(C417,O.B.JUNE!$AI$7:$AN$448,6,0),0)</f>
        <v>1910</v>
      </c>
      <c r="J417" s="6"/>
      <c r="K417" s="6">
        <f>IFERROR(VLOOKUP(C417,O.B.JUNE!$AI$7:$AO$448,7,0),0)</f>
        <v>49589135</v>
      </c>
      <c r="L417" s="6">
        <f>SUMIF('JUNE (물량흐름)'!$C$13:$C$488,'Overhead exp(제조경비)'!C417,'JUNE (물량흐름)'!$H$13:$H$493)+SUMIF('JUNE (물량흐름)'!$C$13:$C$493,'Overhead exp(제조경비)'!C417,'JUNE (물량흐름)'!$V$13:$V$493)</f>
        <v>226</v>
      </c>
      <c r="M417" s="6">
        <f t="shared" si="111"/>
        <v>700</v>
      </c>
      <c r="N417" s="6">
        <f t="shared" si="112"/>
        <v>31110100</v>
      </c>
      <c r="O417" s="6">
        <f t="shared" si="121"/>
        <v>18797964</v>
      </c>
      <c r="P417" s="6">
        <f>SUMIF('JUNE (물량흐름)'!$C$13:$C$502,C417,'JUNE (물량흐름)'!$T$13:$T$502)+SUMIF('JUNE (물량흐름)'!$C$13:$C$502,C417,'JUNE (물량흐름)'!$V$13:$V$502)+SUMIF('JUNE (물량흐름)'!$C$13:$C$502,C417,'JUNE (물량흐름)'!$U$13:$U$502)-SUMIF('JUNE (물량흐름)'!$C$13:$C$502,C417,'JUNE (물량흐름)'!$Y$13:$Y$502)</f>
        <v>2580</v>
      </c>
      <c r="Q417" s="6">
        <f t="shared" si="119"/>
        <v>66858172</v>
      </c>
      <c r="R417" s="6">
        <f>IF(ISERROR(VLOOKUP(#REF!,'WIP(재공품)'!$B$12:$AB$38,13,0)),0,VLOOKUP(#REF!,'WIP(재공품)'!$B$12:$AB$38,13,0))</f>
        <v>0</v>
      </c>
      <c r="S417" s="6">
        <f>IF(ISERROR(VLOOKUP(#REF!,'WIP(재공품)'!$B$12:$AB$38,10,0)),0,VLOOKUP(#REF!,'WIP(재공품)'!$B$12:$AB$38,10,0))</f>
        <v>0</v>
      </c>
      <c r="T417" s="6">
        <f>SUMIF('JUNE (물량흐름)'!$C$13:$C$502,'Overhead exp(제조경비)'!C417,'JUNE (물량흐름)'!$Y$13:$Y$502)</f>
        <v>0</v>
      </c>
      <c r="U417" s="6">
        <f t="shared" si="113"/>
        <v>0</v>
      </c>
      <c r="V417" s="6">
        <f>ROUND(SUMIF('JUNE (물량흐름)'!$C$13:$C$502,'Overhead exp(제조경비)'!C417,'JUNE (물량흐름)'!$N$13:$N$502),0)</f>
        <v>0</v>
      </c>
      <c r="W417" s="6">
        <f>ROUND(SUMIF('JUNE (물량흐름)'!$C$13:$C$502,'Overhead exp(제조경비)'!C417,'JUNE (물량흐름)'!$O$13:$O$502),0)</f>
        <v>58</v>
      </c>
      <c r="X417" s="6">
        <f>ROUND(SUMIF('JUNE (물량흐름)'!$C$13:$C$502,'Overhead exp(제조경비)'!C417,'JUNE (물량흐름)'!$P$13:$P$502),0)</f>
        <v>1</v>
      </c>
      <c r="Y417" s="6">
        <f t="shared" si="114"/>
        <v>59</v>
      </c>
      <c r="Z417" s="6">
        <f t="shared" si="115"/>
        <v>30</v>
      </c>
      <c r="AA417" s="6">
        <f t="shared" si="120"/>
        <v>1528927</v>
      </c>
      <c r="AB417" s="391">
        <f t="shared" si="116"/>
        <v>0</v>
      </c>
      <c r="AC417" s="391">
        <f t="shared" si="117"/>
        <v>0</v>
      </c>
    </row>
    <row r="418" spans="1:29" s="390" customFormat="1" ht="24" customHeight="1">
      <c r="A418" s="167">
        <v>428</v>
      </c>
      <c r="B418" s="20" t="str">
        <f>IFERROR(VLOOKUP(A418,'JUNE (물량흐름)'!$A$13:$C$502,2,0),0)</f>
        <v>ALFANI</v>
      </c>
      <c r="C418" s="272">
        <f>VLOOKUP(A418,'JUNE (물량흐름)'!$A$13:$C$502,3,0)</f>
        <v>100018258</v>
      </c>
      <c r="D418" s="6">
        <f>VLOOKUP(C418,'WIP(재공품)'!$B$12:$E$493,4,0)</f>
        <v>44443</v>
      </c>
      <c r="E418" s="6">
        <f>IFERROR(VLOOKUP(C418,O.B.JUNE!$AI$7:$AJ$448,2,0),0)</f>
        <v>0</v>
      </c>
      <c r="F418" s="6">
        <f>IFERROR(VLOOKUP(C418,O.B.JUNE!$AI$7:$AK$448,3,0),0)</f>
        <v>217</v>
      </c>
      <c r="G418" s="6">
        <f>IFERROR(VLOOKUP(C418,O.B.JUNE!$AI$7:$AL$448,4,0),0)</f>
        <v>454</v>
      </c>
      <c r="H418" s="6">
        <f t="shared" si="110"/>
        <v>671</v>
      </c>
      <c r="I418" s="6">
        <f>IFERROR(VLOOKUP(C418,O.B.JUNE!$AI$7:$AN$448,6,0),0)</f>
        <v>472</v>
      </c>
      <c r="J418" s="6"/>
      <c r="K418" s="6">
        <f>IFERROR(VLOOKUP(C418,O.B.JUNE!$AI$7:$AO$448,7,0),0)</f>
        <v>15137754</v>
      </c>
      <c r="L418" s="6">
        <f>SUMIF('JUNE (물량흐름)'!$C$13:$C$488,'Overhead exp(제조경비)'!C418,'JUNE (물량흐름)'!$H$13:$H$493)+SUMIF('JUNE (물량흐름)'!$C$13:$C$493,'Overhead exp(제조경비)'!C418,'JUNE (물량흐름)'!$V$13:$V$493)</f>
        <v>0</v>
      </c>
      <c r="M418" s="6">
        <f t="shared" si="111"/>
        <v>0</v>
      </c>
      <c r="N418" s="6">
        <f t="shared" si="112"/>
        <v>0</v>
      </c>
      <c r="O418" s="6">
        <f t="shared" si="121"/>
        <v>0</v>
      </c>
      <c r="P418" s="6">
        <f>SUMIF('JUNE (물량흐름)'!$C$13:$C$502,C418,'JUNE (물량흐름)'!$T$13:$T$502)+SUMIF('JUNE (물량흐름)'!$C$13:$C$502,C418,'JUNE (물량흐름)'!$V$13:$V$502)+SUMIF('JUNE (물량흐름)'!$C$13:$C$502,C418,'JUNE (물량흐름)'!$U$13:$U$502)-SUMIF('JUNE (물량흐름)'!$C$13:$C$502,C418,'JUNE (물량흐름)'!$Y$13:$Y$502)</f>
        <v>500</v>
      </c>
      <c r="Q418" s="6">
        <f t="shared" si="119"/>
        <v>11279996</v>
      </c>
      <c r="R418" s="6">
        <f>IF(ISERROR(VLOOKUP(#REF!,'WIP(재공품)'!$B$12:$AB$38,13,0)),0,VLOOKUP(#REF!,'WIP(재공품)'!$B$12:$AB$38,13,0))</f>
        <v>0</v>
      </c>
      <c r="S418" s="6">
        <f>IF(ISERROR(VLOOKUP(#REF!,'WIP(재공품)'!$B$12:$AB$38,10,0)),0,VLOOKUP(#REF!,'WIP(재공품)'!$B$12:$AB$38,10,0))</f>
        <v>0</v>
      </c>
      <c r="T418" s="6">
        <f>SUMIF('JUNE (물량흐름)'!$C$13:$C$502,'Overhead exp(제조경비)'!C418,'JUNE (물량흐름)'!$Y$13:$Y$502)</f>
        <v>1</v>
      </c>
      <c r="U418" s="6">
        <f t="shared" si="113"/>
        <v>22560</v>
      </c>
      <c r="V418" s="6">
        <f>ROUND(SUMIF('JUNE (물량흐름)'!$C$13:$C$502,'Overhead exp(제조경비)'!C418,'JUNE (물량흐름)'!$N$13:$N$502),0)</f>
        <v>0</v>
      </c>
      <c r="W418" s="6">
        <f>ROUND(SUMIF('JUNE (물량흐름)'!$C$13:$C$502,'Overhead exp(제조경비)'!C418,'JUNE (물량흐름)'!$O$13:$O$502),0)</f>
        <v>37</v>
      </c>
      <c r="X418" s="6">
        <f>ROUND(SUMIF('JUNE (물량흐름)'!$C$13:$C$502,'Overhead exp(제조경비)'!C418,'JUNE (물량흐름)'!$P$13:$P$502),0)</f>
        <v>133</v>
      </c>
      <c r="Y418" s="6">
        <f t="shared" si="114"/>
        <v>170</v>
      </c>
      <c r="Z418" s="6">
        <f t="shared" si="115"/>
        <v>125</v>
      </c>
      <c r="AA418" s="6">
        <f t="shared" si="120"/>
        <v>3835198</v>
      </c>
      <c r="AB418" s="391">
        <f t="shared" si="116"/>
        <v>0</v>
      </c>
      <c r="AC418" s="391">
        <f t="shared" si="117"/>
        <v>0</v>
      </c>
    </row>
    <row r="419" spans="1:29" s="390" customFormat="1" ht="24" customHeight="1">
      <c r="A419" s="167">
        <v>429</v>
      </c>
      <c r="B419" s="20" t="str">
        <f>IFERROR(VLOOKUP(A419,'JUNE (물량흐름)'!$A$13:$C$502,2,0),0)</f>
        <v>ALFANI</v>
      </c>
      <c r="C419" s="272">
        <f>VLOOKUP(A419,'JUNE (물량흐름)'!$A$13:$C$502,3,0)</f>
        <v>100018259</v>
      </c>
      <c r="D419" s="6">
        <f>VLOOKUP(C419,'WIP(재공품)'!$B$12:$E$493,4,0)</f>
        <v>44669.75</v>
      </c>
      <c r="E419" s="6">
        <f>IFERROR(VLOOKUP(C419,O.B.JUNE!$AI$7:$AJ$448,2,0),0)</f>
        <v>0</v>
      </c>
      <c r="F419" s="6">
        <f>IFERROR(VLOOKUP(C419,O.B.JUNE!$AI$7:$AK$448,3,0),0)</f>
        <v>26</v>
      </c>
      <c r="G419" s="6">
        <f>IFERROR(VLOOKUP(C419,O.B.JUNE!$AI$7:$AL$448,4,0),0)</f>
        <v>0</v>
      </c>
      <c r="H419" s="6">
        <f t="shared" si="110"/>
        <v>26</v>
      </c>
      <c r="I419" s="6">
        <f>IFERROR(VLOOKUP(C419,O.B.JUNE!$AI$7:$AN$448,6,0),0)</f>
        <v>13</v>
      </c>
      <c r="J419" s="6"/>
      <c r="K419" s="6">
        <f>IFERROR(VLOOKUP(C419,O.B.JUNE!$AI$7:$AO$448,7,0),0)</f>
        <v>598872</v>
      </c>
      <c r="L419" s="6">
        <f>SUMIF('JUNE (물량흐름)'!$C$13:$C$488,'Overhead exp(제조경비)'!C419,'JUNE (물량흐름)'!$H$13:$H$493)+SUMIF('JUNE (물량흐름)'!$C$13:$C$493,'Overhead exp(제조경비)'!C419,'JUNE (물량흐름)'!$V$13:$V$493)</f>
        <v>0</v>
      </c>
      <c r="M419" s="6">
        <f t="shared" si="111"/>
        <v>0</v>
      </c>
      <c r="N419" s="6">
        <f t="shared" si="112"/>
        <v>0</v>
      </c>
      <c r="O419" s="6">
        <f t="shared" si="121"/>
        <v>0</v>
      </c>
      <c r="P419" s="6">
        <f>SUMIF('JUNE (물량흐름)'!$C$13:$C$502,C419,'JUNE (물량흐름)'!$T$13:$T$502)+SUMIF('JUNE (물량흐름)'!$C$13:$C$502,C419,'JUNE (물량흐름)'!$V$13:$V$502)+SUMIF('JUNE (물량흐름)'!$C$13:$C$502,C419,'JUNE (물량흐름)'!$U$13:$U$502)-SUMIF('JUNE (물량흐름)'!$C$13:$C$502,C419,'JUNE (물량흐름)'!$Y$13:$Y$502)</f>
        <v>0</v>
      </c>
      <c r="Q419" s="6">
        <f t="shared" si="119"/>
        <v>0</v>
      </c>
      <c r="R419" s="6">
        <f>IF(ISERROR(VLOOKUP(#REF!,'WIP(재공품)'!$B$12:$AB$38,13,0)),0,VLOOKUP(#REF!,'WIP(재공품)'!$B$12:$AB$38,13,0))</f>
        <v>0</v>
      </c>
      <c r="S419" s="6">
        <f>IF(ISERROR(VLOOKUP(#REF!,'WIP(재공품)'!$B$12:$AB$38,10,0)),0,VLOOKUP(#REF!,'WIP(재공품)'!$B$12:$AB$38,10,0))</f>
        <v>0</v>
      </c>
      <c r="T419" s="6">
        <f>SUMIF('JUNE (물량흐름)'!$C$13:$C$502,'Overhead exp(제조경비)'!C419,'JUNE (물량흐름)'!$Y$13:$Y$502)</f>
        <v>0</v>
      </c>
      <c r="U419" s="6">
        <f t="shared" si="113"/>
        <v>0</v>
      </c>
      <c r="V419" s="6">
        <f>ROUND(SUMIF('JUNE (물량흐름)'!$C$13:$C$502,'Overhead exp(제조경비)'!C419,'JUNE (물량흐름)'!$N$13:$N$502),0)</f>
        <v>0</v>
      </c>
      <c r="W419" s="6">
        <f>ROUND(SUMIF('JUNE (물량흐름)'!$C$13:$C$502,'Overhead exp(제조경비)'!C419,'JUNE (물량흐름)'!$O$13:$O$502),0)</f>
        <v>26</v>
      </c>
      <c r="X419" s="6">
        <f>ROUND(SUMIF('JUNE (물량흐름)'!$C$13:$C$502,'Overhead exp(제조경비)'!C419,'JUNE (물량흐름)'!$P$13:$P$502),0)</f>
        <v>0</v>
      </c>
      <c r="Y419" s="6">
        <f t="shared" si="114"/>
        <v>26</v>
      </c>
      <c r="Z419" s="6">
        <f t="shared" si="115"/>
        <v>13</v>
      </c>
      <c r="AA419" s="6">
        <f t="shared" si="120"/>
        <v>598872</v>
      </c>
      <c r="AB419" s="391">
        <f t="shared" si="116"/>
        <v>0</v>
      </c>
      <c r="AC419" s="391">
        <f t="shared" si="117"/>
        <v>0</v>
      </c>
    </row>
    <row r="420" spans="1:29" s="390" customFormat="1" ht="24" customHeight="1">
      <c r="A420" s="167">
        <v>430</v>
      </c>
      <c r="B420" s="20" t="str">
        <f>IFERROR(VLOOKUP(A420,'JUNE (물량흐름)'!$A$13:$C$502,2,0),0)</f>
        <v>ALFANI</v>
      </c>
      <c r="C420" s="272">
        <f>VLOOKUP(A420,'JUNE (물량흐름)'!$A$13:$C$502,3,0)</f>
        <v>100018260</v>
      </c>
      <c r="D420" s="6">
        <f>VLOOKUP(C420,'WIP(재공품)'!$B$12:$E$493,4,0)</f>
        <v>46937.25</v>
      </c>
      <c r="E420" s="6">
        <f>IFERROR(VLOOKUP(C420,O.B.JUNE!$AI$7:$AJ$448,2,0),0)</f>
        <v>0</v>
      </c>
      <c r="F420" s="6">
        <f>IFERROR(VLOOKUP(C420,O.B.JUNE!$AI$7:$AK$448,3,0),0)</f>
        <v>992</v>
      </c>
      <c r="G420" s="6">
        <f>IFERROR(VLOOKUP(C420,O.B.JUNE!$AI$7:$AL$448,4,0),0)</f>
        <v>360</v>
      </c>
      <c r="H420" s="6">
        <f t="shared" si="110"/>
        <v>1352</v>
      </c>
      <c r="I420" s="6">
        <f>IFERROR(VLOOKUP(C420,O.B.JUNE!$AI$7:$AN$448,6,0),0)</f>
        <v>784</v>
      </c>
      <c r="J420" s="6"/>
      <c r="K420" s="6">
        <f>IFERROR(VLOOKUP(C420,O.B.JUNE!$AI$7:$AO$448,7,0),0)</f>
        <v>19316565</v>
      </c>
      <c r="L420" s="6">
        <f>SUMIF('JUNE (물량흐름)'!$C$13:$C$488,'Overhead exp(제조경비)'!C420,'JUNE (물량흐름)'!$H$13:$H$493)+SUMIF('JUNE (물량흐름)'!$C$13:$C$493,'Overhead exp(제조경비)'!C420,'JUNE (물량흐름)'!$V$13:$V$493)</f>
        <v>0</v>
      </c>
      <c r="M420" s="6">
        <f t="shared" si="111"/>
        <v>0</v>
      </c>
      <c r="N420" s="6">
        <f t="shared" si="112"/>
        <v>0</v>
      </c>
      <c r="O420" s="6">
        <f t="shared" si="121"/>
        <v>0</v>
      </c>
      <c r="P420" s="6">
        <f>SUMIF('JUNE (물량흐름)'!$C$13:$C$502,C420,'JUNE (물량흐름)'!$T$13:$T$502)+SUMIF('JUNE (물량흐름)'!$C$13:$C$502,C420,'JUNE (물량흐름)'!$V$13:$V$502)+SUMIF('JUNE (물량흐름)'!$C$13:$C$502,C420,'JUNE (물량흐름)'!$U$13:$U$502)-SUMIF('JUNE (물량흐름)'!$C$13:$C$502,C420,'JUNE (물량흐름)'!$Y$13:$Y$502)</f>
        <v>1310</v>
      </c>
      <c r="Q420" s="6">
        <f t="shared" si="119"/>
        <v>18716494</v>
      </c>
      <c r="R420" s="6">
        <f>IF(ISERROR(VLOOKUP(#REF!,'WIP(재공품)'!$B$12:$AB$38,13,0)),0,VLOOKUP(#REF!,'WIP(재공품)'!$B$12:$AB$38,13,0))</f>
        <v>0</v>
      </c>
      <c r="S420" s="6">
        <f>IF(ISERROR(VLOOKUP(#REF!,'WIP(재공품)'!$B$12:$AB$38,10,0)),0,VLOOKUP(#REF!,'WIP(재공품)'!$B$12:$AB$38,10,0))</f>
        <v>0</v>
      </c>
      <c r="T420" s="6">
        <f>SUMIF('JUNE (물량흐름)'!$C$13:$C$502,'Overhead exp(제조경비)'!C420,'JUNE (물량흐름)'!$Y$13:$Y$502)</f>
        <v>0</v>
      </c>
      <c r="U420" s="6">
        <f t="shared" si="113"/>
        <v>0</v>
      </c>
      <c r="V420" s="6">
        <f>ROUND(SUMIF('JUNE (물량흐름)'!$C$13:$C$502,'Overhead exp(제조경비)'!C420,'JUNE (물량흐름)'!$N$13:$N$502),0)</f>
        <v>0</v>
      </c>
      <c r="W420" s="6">
        <f>ROUND(SUMIF('JUNE (물량흐름)'!$C$13:$C$502,'Overhead exp(제조경비)'!C420,'JUNE (물량흐름)'!$O$13:$O$502),0)</f>
        <v>0</v>
      </c>
      <c r="X420" s="6">
        <f>ROUND(SUMIF('JUNE (물량흐름)'!$C$13:$C$502,'Overhead exp(제조경비)'!C420,'JUNE (물량흐름)'!$P$13:$P$502),0)</f>
        <v>42</v>
      </c>
      <c r="Y420" s="6">
        <f t="shared" si="114"/>
        <v>42</v>
      </c>
      <c r="Z420" s="6">
        <f t="shared" si="115"/>
        <v>34</v>
      </c>
      <c r="AA420" s="6">
        <f t="shared" si="120"/>
        <v>600071</v>
      </c>
      <c r="AB420" s="391">
        <f t="shared" si="116"/>
        <v>0</v>
      </c>
      <c r="AC420" s="391">
        <f t="shared" si="117"/>
        <v>0</v>
      </c>
    </row>
    <row r="421" spans="1:29" s="390" customFormat="1" ht="24" customHeight="1">
      <c r="A421" s="167">
        <v>431</v>
      </c>
      <c r="B421" s="20" t="str">
        <f>IFERROR(VLOOKUP(A421,'JUNE (물량흐름)'!$A$13:$C$502,2,0),0)</f>
        <v>ALFANI</v>
      </c>
      <c r="C421" s="272">
        <f>VLOOKUP(A421,'JUNE (물량흐름)'!$A$13:$C$502,3,0)</f>
        <v>100024706</v>
      </c>
      <c r="D421" s="6">
        <f>VLOOKUP(C421,'WIP(재공품)'!$B$12:$E$493,4,0)</f>
        <v>28117</v>
      </c>
      <c r="E421" s="6">
        <f>IFERROR(VLOOKUP(C421,O.B.JUNE!$AI$7:$AJ$448,2,0),0)</f>
        <v>0</v>
      </c>
      <c r="F421" s="6">
        <f>IFERROR(VLOOKUP(C421,O.B.JUNE!$AI$7:$AK$448,3,0),0)</f>
        <v>171</v>
      </c>
      <c r="G421" s="6">
        <f>IFERROR(VLOOKUP(C421,O.B.JUNE!$AI$7:$AL$448,4,0),0)</f>
        <v>57</v>
      </c>
      <c r="H421" s="6">
        <f t="shared" si="110"/>
        <v>228</v>
      </c>
      <c r="I421" s="6">
        <f>IFERROR(VLOOKUP(C421,O.B.JUNE!$AI$7:$AN$448,6,0),0)</f>
        <v>131</v>
      </c>
      <c r="J421" s="6"/>
      <c r="K421" s="6">
        <f>IFERROR(VLOOKUP(C421,O.B.JUNE!$AI$7:$AO$448,7,0),0)</f>
        <v>2947561</v>
      </c>
      <c r="L421" s="6">
        <f>SUMIF('JUNE (물량흐름)'!$C$13:$C$488,'Overhead exp(제조경비)'!C421,'JUNE (물량흐름)'!$H$13:$H$493)+SUMIF('JUNE (물량흐름)'!$C$13:$C$493,'Overhead exp(제조경비)'!C421,'JUNE (물량흐름)'!$V$13:$V$493)</f>
        <v>0</v>
      </c>
      <c r="M421" s="6">
        <f t="shared" si="111"/>
        <v>0</v>
      </c>
      <c r="N421" s="6">
        <f t="shared" si="112"/>
        <v>0</v>
      </c>
      <c r="O421" s="6">
        <f t="shared" si="121"/>
        <v>0</v>
      </c>
      <c r="P421" s="6">
        <f>SUMIF('JUNE (물량흐름)'!$C$13:$C$502,C421,'JUNE (물량흐름)'!$T$13:$T$502)+SUMIF('JUNE (물량흐름)'!$C$13:$C$502,C421,'JUNE (물량흐름)'!$V$13:$V$502)+SUMIF('JUNE (물량흐름)'!$C$13:$C$502,C421,'JUNE (물량흐름)'!$U$13:$U$502)-SUMIF('JUNE (물량흐름)'!$C$13:$C$502,C421,'JUNE (물량흐름)'!$Y$13:$Y$502)</f>
        <v>0</v>
      </c>
      <c r="Q421" s="6">
        <f t="shared" si="119"/>
        <v>0</v>
      </c>
      <c r="R421" s="6">
        <f>IF(ISERROR(VLOOKUP(#REF!,'WIP(재공품)'!$B$12:$AB$38,13,0)),0,VLOOKUP(#REF!,'WIP(재공품)'!$B$12:$AB$38,13,0))</f>
        <v>0</v>
      </c>
      <c r="S421" s="6">
        <f>IF(ISERROR(VLOOKUP(#REF!,'WIP(재공품)'!$B$12:$AB$38,10,0)),0,VLOOKUP(#REF!,'WIP(재공품)'!$B$12:$AB$38,10,0))</f>
        <v>0</v>
      </c>
      <c r="T421" s="6">
        <f>SUMIF('JUNE (물량흐름)'!$C$13:$C$502,'Overhead exp(제조경비)'!C421,'JUNE (물량흐름)'!$Y$13:$Y$502)</f>
        <v>0</v>
      </c>
      <c r="U421" s="6">
        <f t="shared" si="113"/>
        <v>0</v>
      </c>
      <c r="V421" s="6">
        <f>ROUND(SUMIF('JUNE (물량흐름)'!$C$13:$C$502,'Overhead exp(제조경비)'!C421,'JUNE (물량흐름)'!$N$13:$N$502),0)</f>
        <v>0</v>
      </c>
      <c r="W421" s="6">
        <f>ROUND(SUMIF('JUNE (물량흐름)'!$C$13:$C$502,'Overhead exp(제조경비)'!C421,'JUNE (물량흐름)'!$O$13:$O$502),0)</f>
        <v>174</v>
      </c>
      <c r="X421" s="6">
        <f>ROUND(SUMIF('JUNE (물량흐름)'!$C$13:$C$502,'Overhead exp(제조경비)'!C421,'JUNE (물량흐름)'!$P$13:$P$502),0)</f>
        <v>54</v>
      </c>
      <c r="Y421" s="6">
        <f t="shared" si="114"/>
        <v>228</v>
      </c>
      <c r="Z421" s="6">
        <f t="shared" si="115"/>
        <v>130</v>
      </c>
      <c r="AA421" s="6">
        <f t="shared" si="120"/>
        <v>2947561</v>
      </c>
      <c r="AB421" s="391">
        <f t="shared" si="116"/>
        <v>0</v>
      </c>
      <c r="AC421" s="391">
        <f t="shared" si="117"/>
        <v>0</v>
      </c>
    </row>
    <row r="422" spans="1:29" s="390" customFormat="1" ht="24" customHeight="1">
      <c r="A422" s="167">
        <v>432</v>
      </c>
      <c r="B422" s="20" t="str">
        <f>IFERROR(VLOOKUP(A422,'JUNE (물량흐름)'!$A$13:$C$502,2,0),0)</f>
        <v>ALFANI</v>
      </c>
      <c r="C422" s="272">
        <f>VLOOKUP(A422,'JUNE (물량흐름)'!$A$13:$C$502,3,0)</f>
        <v>100027409</v>
      </c>
      <c r="D422" s="6">
        <f>VLOOKUP(C422,'WIP(재공품)'!$B$12:$E$493,4,0)</f>
        <v>44896.5</v>
      </c>
      <c r="E422" s="6">
        <f>IFERROR(VLOOKUP(C422,O.B.JUNE!$AI$7:$AJ$448,2,0),0)</f>
        <v>0</v>
      </c>
      <c r="F422" s="6">
        <f>IFERROR(VLOOKUP(C422,O.B.JUNE!$AI$7:$AK$448,3,0),0)</f>
        <v>173</v>
      </c>
      <c r="G422" s="6">
        <f>IFERROR(VLOOKUP(C422,O.B.JUNE!$AI$7:$AL$448,4,0),0)</f>
        <v>97</v>
      </c>
      <c r="H422" s="6">
        <f t="shared" si="110"/>
        <v>270</v>
      </c>
      <c r="I422" s="6">
        <f>IFERROR(VLOOKUP(C422,O.B.JUNE!$AI$7:$AN$448,6,0),0)</f>
        <v>164</v>
      </c>
      <c r="J422" s="6"/>
      <c r="K422" s="6">
        <f>IFERROR(VLOOKUP(C422,O.B.JUNE!$AI$7:$AO$448,7,0),0)</f>
        <v>6131487</v>
      </c>
      <c r="L422" s="6">
        <f>SUMIF('JUNE (물량흐름)'!$C$13:$C$488,'Overhead exp(제조경비)'!C422,'JUNE (물량흐름)'!$H$13:$H$493)+SUMIF('JUNE (물량흐름)'!$C$13:$C$493,'Overhead exp(제조경비)'!C422,'JUNE (물량흐름)'!$V$13:$V$493)</f>
        <v>0</v>
      </c>
      <c r="M422" s="6">
        <f t="shared" si="111"/>
        <v>0</v>
      </c>
      <c r="N422" s="6">
        <f t="shared" si="112"/>
        <v>0</v>
      </c>
      <c r="O422" s="6">
        <f t="shared" si="121"/>
        <v>0</v>
      </c>
      <c r="P422" s="6">
        <f>SUMIF('JUNE (물량흐름)'!$C$13:$C$502,C422,'JUNE (물량흐름)'!$T$13:$T$502)+SUMIF('JUNE (물량흐름)'!$C$13:$C$502,C422,'JUNE (물량흐름)'!$V$13:$V$502)+SUMIF('JUNE (물량흐름)'!$C$13:$C$502,C422,'JUNE (물량흐름)'!$U$13:$U$502)-SUMIF('JUNE (물량흐름)'!$C$13:$C$502,C422,'JUNE (물량흐름)'!$Y$13:$Y$502)</f>
        <v>65</v>
      </c>
      <c r="Q422" s="6">
        <f t="shared" si="119"/>
        <v>1476099</v>
      </c>
      <c r="R422" s="6">
        <f>IF(ISERROR(VLOOKUP(#REF!,'WIP(재공품)'!$B$12:$AB$38,13,0)),0,VLOOKUP(#REF!,'WIP(재공품)'!$B$12:$AB$38,13,0))</f>
        <v>0</v>
      </c>
      <c r="S422" s="6">
        <f>IF(ISERROR(VLOOKUP(#REF!,'WIP(재공품)'!$B$12:$AB$38,10,0)),0,VLOOKUP(#REF!,'WIP(재공품)'!$B$12:$AB$38,10,0))</f>
        <v>0</v>
      </c>
      <c r="T422" s="6">
        <f>SUMIF('JUNE (물량흐름)'!$C$13:$C$502,'Overhead exp(제조경비)'!C422,'JUNE (물량흐름)'!$Y$13:$Y$502)</f>
        <v>0</v>
      </c>
      <c r="U422" s="6">
        <f t="shared" si="113"/>
        <v>0</v>
      </c>
      <c r="V422" s="6">
        <f>ROUND(SUMIF('JUNE (물량흐름)'!$C$13:$C$502,'Overhead exp(제조경비)'!C422,'JUNE (물량흐름)'!$N$13:$N$502),0)</f>
        <v>0</v>
      </c>
      <c r="W422" s="6">
        <f>ROUND(SUMIF('JUNE (물량흐름)'!$C$13:$C$502,'Overhead exp(제조경비)'!C422,'JUNE (물량흐름)'!$O$13:$O$502),0)</f>
        <v>152</v>
      </c>
      <c r="X422" s="6">
        <f>ROUND(SUMIF('JUNE (물량흐름)'!$C$13:$C$502,'Overhead exp(제조경비)'!C422,'JUNE (물량흐름)'!$P$13:$P$502),0)</f>
        <v>53</v>
      </c>
      <c r="Y422" s="6">
        <f t="shared" si="114"/>
        <v>205</v>
      </c>
      <c r="Z422" s="6">
        <f t="shared" si="115"/>
        <v>118</v>
      </c>
      <c r="AA422" s="6">
        <f t="shared" si="120"/>
        <v>4655388</v>
      </c>
      <c r="AB422" s="391">
        <f t="shared" si="116"/>
        <v>0</v>
      </c>
      <c r="AC422" s="391">
        <f t="shared" si="117"/>
        <v>0</v>
      </c>
    </row>
    <row r="423" spans="1:29" s="390" customFormat="1" ht="24" customHeight="1">
      <c r="A423" s="167">
        <v>433</v>
      </c>
      <c r="B423" s="20" t="str">
        <f>IFERROR(VLOOKUP(A423,'JUNE (물량흐름)'!$A$13:$C$502,2,0),0)</f>
        <v>BAR III</v>
      </c>
      <c r="C423" s="272">
        <f>VLOOKUP(A423,'JUNE (물량흐름)'!$A$13:$C$502,3,0)</f>
        <v>100034267</v>
      </c>
      <c r="D423" s="6">
        <f>VLOOKUP(C423,'WIP(재공품)'!$B$12:$E$493,4,0)</f>
        <v>68478.5</v>
      </c>
      <c r="E423" s="6">
        <f>IFERROR(VLOOKUP(C423,O.B.JUNE!$AI$7:$AJ$448,2,0),0)</f>
        <v>40</v>
      </c>
      <c r="F423" s="6">
        <f>IFERROR(VLOOKUP(C423,O.B.JUNE!$AI$7:$AK$448,3,0),0)</f>
        <v>1135</v>
      </c>
      <c r="G423" s="6">
        <f>IFERROR(VLOOKUP(C423,O.B.JUNE!$AI$7:$AL$448,4,0),0)</f>
        <v>571</v>
      </c>
      <c r="H423" s="6">
        <f t="shared" si="110"/>
        <v>1746</v>
      </c>
      <c r="I423" s="6">
        <f>IFERROR(VLOOKUP(C423,O.B.JUNE!$AI$7:$AN$448,6,0),0)</f>
        <v>1032</v>
      </c>
      <c r="J423" s="6"/>
      <c r="K423" s="6">
        <f>IFERROR(VLOOKUP(C423,O.B.JUNE!$AI$7:$AO$448,7,0),0)</f>
        <v>39599905</v>
      </c>
      <c r="L423" s="6">
        <f>SUMIF('JUNE (물량흐름)'!$C$13:$C$488,'Overhead exp(제조경비)'!C423,'JUNE (물량흐름)'!$H$13:$H$493)+SUMIF('JUNE (물량흐름)'!$C$13:$C$493,'Overhead exp(제조경비)'!C423,'JUNE (물량흐름)'!$V$13:$V$493)</f>
        <v>456</v>
      </c>
      <c r="M423" s="6">
        <f t="shared" si="111"/>
        <v>1156</v>
      </c>
      <c r="N423" s="6">
        <f t="shared" si="112"/>
        <v>79161146</v>
      </c>
      <c r="O423" s="6">
        <f t="shared" si="121"/>
        <v>47832324</v>
      </c>
      <c r="P423" s="6">
        <f>SUMIF('JUNE (물량흐름)'!$C$13:$C$502,C423,'JUNE (물량흐름)'!$T$13:$T$502)+SUMIF('JUNE (물량흐름)'!$C$13:$C$502,C423,'JUNE (물량흐름)'!$V$13:$V$502)+SUMIF('JUNE (물량흐름)'!$C$13:$C$502,C423,'JUNE (물량흐름)'!$U$13:$U$502)-SUMIF('JUNE (물량흐름)'!$C$13:$C$502,C423,'JUNE (물량흐름)'!$Y$13:$Y$502)</f>
        <v>2170</v>
      </c>
      <c r="Q423" s="6">
        <f t="shared" si="119"/>
        <v>86161643</v>
      </c>
      <c r="R423" s="6">
        <f>IF(ISERROR(VLOOKUP(#REF!,'WIP(재공품)'!$B$12:$AB$38,13,0)),0,VLOOKUP(#REF!,'WIP(재공품)'!$B$12:$AB$38,13,0))</f>
        <v>0</v>
      </c>
      <c r="S423" s="6">
        <f>IF(ISERROR(VLOOKUP(#REF!,'WIP(재공품)'!$B$12:$AB$38,10,0)),0,VLOOKUP(#REF!,'WIP(재공품)'!$B$12:$AB$38,10,0))</f>
        <v>0</v>
      </c>
      <c r="T423" s="6">
        <f>SUMIF('JUNE (물량흐름)'!$C$13:$C$502,'Overhead exp(제조경비)'!C423,'JUNE (물량흐름)'!$Y$13:$Y$502)</f>
        <v>0</v>
      </c>
      <c r="U423" s="6">
        <f t="shared" si="113"/>
        <v>0</v>
      </c>
      <c r="V423" s="6">
        <f>ROUND(SUMIF('JUNE (물량흐름)'!$C$13:$C$502,'Overhead exp(제조경비)'!C423,'JUNE (물량흐름)'!$N$13:$N$502),0)</f>
        <v>0</v>
      </c>
      <c r="W423" s="6">
        <f>ROUND(SUMIF('JUNE (물량흐름)'!$C$13:$C$502,'Overhead exp(제조경비)'!C423,'JUNE (물량흐름)'!$O$13:$O$502),0)</f>
        <v>26</v>
      </c>
      <c r="X423" s="6">
        <f>ROUND(SUMIF('JUNE (물량흐름)'!$C$13:$C$502,'Overhead exp(제조경비)'!C423,'JUNE (물량흐름)'!$P$13:$P$502),0)</f>
        <v>6</v>
      </c>
      <c r="Y423" s="6">
        <f t="shared" si="114"/>
        <v>32</v>
      </c>
      <c r="Z423" s="6">
        <f t="shared" si="115"/>
        <v>18</v>
      </c>
      <c r="AA423" s="6">
        <f t="shared" si="120"/>
        <v>1270586</v>
      </c>
      <c r="AB423" s="391">
        <f t="shared" si="116"/>
        <v>0</v>
      </c>
      <c r="AC423" s="391">
        <f t="shared" si="117"/>
        <v>0</v>
      </c>
    </row>
    <row r="424" spans="1:29" s="390" customFormat="1" ht="24" customHeight="1">
      <c r="A424" s="167">
        <v>434</v>
      </c>
      <c r="B424" s="20" t="str">
        <f>IFERROR(VLOOKUP(A424,'JUNE (물량흐름)'!$A$13:$C$502,2,0),0)</f>
        <v>TALBOTS</v>
      </c>
      <c r="C424" s="272">
        <f>VLOOKUP(A424,'JUNE (물량흐름)'!$A$13:$C$502,3,0)</f>
        <v>183034591</v>
      </c>
      <c r="D424" s="6">
        <f>VLOOKUP(C424,'WIP(재공품)'!$B$12:$E$493,4,0)</f>
        <v>84804.5</v>
      </c>
      <c r="E424" s="6">
        <f>IFERROR(VLOOKUP(C424,O.B.JUNE!$AI$7:$AJ$448,2,0),0)</f>
        <v>0</v>
      </c>
      <c r="F424" s="6">
        <f>IFERROR(VLOOKUP(C424,O.B.JUNE!$AI$7:$AK$448,3,0),0)</f>
        <v>50</v>
      </c>
      <c r="G424" s="6">
        <f>IFERROR(VLOOKUP(C424,O.B.JUNE!$AI$7:$AL$448,4,0),0)</f>
        <v>78</v>
      </c>
      <c r="H424" s="6">
        <f t="shared" si="110"/>
        <v>128</v>
      </c>
      <c r="I424" s="6">
        <f>IFERROR(VLOOKUP(C424,O.B.JUNE!$AI$7:$AN$448,6,0),0)</f>
        <v>87</v>
      </c>
      <c r="J424" s="6"/>
      <c r="K424" s="6">
        <f>IFERROR(VLOOKUP(C424,O.B.JUNE!$AI$7:$AO$448,7,0),0)</f>
        <v>8677359</v>
      </c>
      <c r="L424" s="6">
        <f>SUMIF('JUNE (물량흐름)'!$C$13:$C$488,'Overhead exp(제조경비)'!C424,'JUNE (물량흐름)'!$H$13:$H$493)+SUMIF('JUNE (물량흐름)'!$C$13:$C$493,'Overhead exp(제조경비)'!C424,'JUNE (물량흐름)'!$V$13:$V$493)</f>
        <v>0</v>
      </c>
      <c r="M424" s="6">
        <f t="shared" si="111"/>
        <v>0</v>
      </c>
      <c r="N424" s="6">
        <f t="shared" si="112"/>
        <v>0</v>
      </c>
      <c r="O424" s="6">
        <f t="shared" si="121"/>
        <v>0</v>
      </c>
      <c r="P424" s="6">
        <f>SUMIF('JUNE (물량흐름)'!$C$13:$C$502,C424,'JUNE (물량흐름)'!$T$13:$T$502)+SUMIF('JUNE (물량흐름)'!$C$13:$C$502,C424,'JUNE (물량흐름)'!$V$13:$V$502)+SUMIF('JUNE (물량흐름)'!$C$13:$C$502,C424,'JUNE (물량흐름)'!$U$13:$U$502)-SUMIF('JUNE (물량흐름)'!$C$13:$C$502,C424,'JUNE (물량흐름)'!$Y$13:$Y$502)</f>
        <v>0</v>
      </c>
      <c r="Q424" s="6">
        <f t="shared" si="119"/>
        <v>0</v>
      </c>
      <c r="R424" s="6">
        <f>IF(ISERROR(VLOOKUP(#REF!,'WIP(재공품)'!$B$12:$AB$38,13,0)),0,VLOOKUP(#REF!,'WIP(재공품)'!$B$12:$AB$38,13,0))</f>
        <v>0</v>
      </c>
      <c r="S424" s="6">
        <f>IF(ISERROR(VLOOKUP(#REF!,'WIP(재공품)'!$B$12:$AB$38,10,0)),0,VLOOKUP(#REF!,'WIP(재공품)'!$B$12:$AB$38,10,0))</f>
        <v>0</v>
      </c>
      <c r="T424" s="6">
        <f>SUMIF('JUNE (물량흐름)'!$C$13:$C$502,'Overhead exp(제조경비)'!C424,'JUNE (물량흐름)'!$Y$13:$Y$502)</f>
        <v>0</v>
      </c>
      <c r="U424" s="6">
        <f t="shared" si="113"/>
        <v>0</v>
      </c>
      <c r="V424" s="6">
        <f>ROUND(SUMIF('JUNE (물량흐름)'!$C$13:$C$502,'Overhead exp(제조경비)'!C424,'JUNE (물량흐름)'!$N$13:$N$502),0)</f>
        <v>0</v>
      </c>
      <c r="W424" s="6">
        <f>ROUND(SUMIF('JUNE (물량흐름)'!$C$13:$C$502,'Overhead exp(제조경비)'!C424,'JUNE (물량흐름)'!$O$13:$O$502),0)</f>
        <v>50</v>
      </c>
      <c r="X424" s="6">
        <f>ROUND(SUMIF('JUNE (물량흐름)'!$C$13:$C$502,'Overhead exp(제조경비)'!C424,'JUNE (물량흐름)'!$P$13:$P$502),0)</f>
        <v>78</v>
      </c>
      <c r="Y424" s="6">
        <f t="shared" si="114"/>
        <v>128</v>
      </c>
      <c r="Z424" s="6">
        <f t="shared" si="115"/>
        <v>87</v>
      </c>
      <c r="AA424" s="6">
        <f t="shared" si="120"/>
        <v>8677359</v>
      </c>
      <c r="AB424" s="391">
        <f t="shared" si="116"/>
        <v>0</v>
      </c>
      <c r="AC424" s="391">
        <f t="shared" si="117"/>
        <v>0</v>
      </c>
    </row>
    <row r="425" spans="1:29" s="390" customFormat="1" ht="24" customHeight="1">
      <c r="A425" s="167">
        <v>435</v>
      </c>
      <c r="B425" s="20" t="str">
        <f>IFERROR(VLOOKUP(A425,'JUNE (물량흐름)'!$A$13:$C$502,2,0),0)</f>
        <v>ALFANI</v>
      </c>
      <c r="C425" s="272" t="str">
        <f>VLOOKUP(A425,'JUNE (물량흐름)'!$A$13:$C$502,3,0)</f>
        <v xml:space="preserve">7X727 </v>
      </c>
      <c r="D425" s="6">
        <f>VLOOKUP(C425,'WIP(재공품)'!$B$12:$E$493,4,0)</f>
        <v>50565.25</v>
      </c>
      <c r="E425" s="6">
        <f>IFERROR(VLOOKUP(C425,O.B.JUNE!$AI$7:$AJ$448,2,0),0)</f>
        <v>0</v>
      </c>
      <c r="F425" s="6">
        <f>IFERROR(VLOOKUP(C425,O.B.JUNE!$AI$7:$AK$448,3,0),0)</f>
        <v>5443</v>
      </c>
      <c r="G425" s="6">
        <f>IFERROR(VLOOKUP(C425,O.B.JUNE!$AI$7:$AL$448,4,0),0)</f>
        <v>2000</v>
      </c>
      <c r="H425" s="6">
        <f t="shared" si="110"/>
        <v>7443</v>
      </c>
      <c r="I425" s="6">
        <f>IFERROR(VLOOKUP(C425,O.B.JUNE!$AI$7:$AN$448,6,0),0)</f>
        <v>4322</v>
      </c>
      <c r="J425" s="6"/>
      <c r="K425" s="6">
        <f>IFERROR(VLOOKUP(C425,O.B.JUNE!$AI$7:$AO$448,7,0),0)</f>
        <v>94655549</v>
      </c>
      <c r="L425" s="6">
        <f>SUMIF('JUNE (물량흐름)'!$C$13:$C$488,'Overhead exp(제조경비)'!C425,'JUNE (물량흐름)'!$H$13:$H$493)+SUMIF('JUNE (물량흐름)'!$C$13:$C$493,'Overhead exp(제조경비)'!C425,'JUNE (물량흐름)'!$V$13:$V$493)</f>
        <v>5138</v>
      </c>
      <c r="M425" s="6">
        <f t="shared" si="111"/>
        <v>5743</v>
      </c>
      <c r="N425" s="6">
        <f t="shared" si="112"/>
        <v>290396231</v>
      </c>
      <c r="O425" s="6">
        <f t="shared" si="121"/>
        <v>175468994</v>
      </c>
      <c r="P425" s="6">
        <f>SUMIF('JUNE (물량흐름)'!$C$13:$C$502,C425,'JUNE (물량흐름)'!$T$13:$T$502)+SUMIF('JUNE (물량흐름)'!$C$13:$C$502,C425,'JUNE (물량흐름)'!$V$13:$V$502)+SUMIF('JUNE (물량흐름)'!$C$13:$C$502,C425,'JUNE (물량흐름)'!$U$13:$U$502)-SUMIF('JUNE (물량흐름)'!$C$13:$C$502,C425,'JUNE (물량흐름)'!$Y$13:$Y$502)</f>
        <v>0</v>
      </c>
      <c r="Q425" s="6">
        <f t="shared" si="119"/>
        <v>0</v>
      </c>
      <c r="R425" s="6">
        <f>IF(ISERROR(VLOOKUP(#REF!,'WIP(재공품)'!$B$12:$AB$38,13,0)),0,VLOOKUP(#REF!,'WIP(재공품)'!$B$12:$AB$38,13,0))</f>
        <v>0</v>
      </c>
      <c r="S425" s="6">
        <f>IF(ISERROR(VLOOKUP(#REF!,'WIP(재공품)'!$B$12:$AB$38,10,0)),0,VLOOKUP(#REF!,'WIP(재공품)'!$B$12:$AB$38,10,0))</f>
        <v>0</v>
      </c>
      <c r="T425" s="6">
        <f>SUMIF('JUNE (물량흐름)'!$C$13:$C$502,'Overhead exp(제조경비)'!C425,'JUNE (물량흐름)'!$Y$13:$Y$502)</f>
        <v>0</v>
      </c>
      <c r="U425" s="6">
        <f t="shared" si="113"/>
        <v>0</v>
      </c>
      <c r="V425" s="6">
        <f>ROUND(SUMIF('JUNE (물량흐름)'!$C$13:$C$502,'Overhead exp(제조경비)'!C425,'JUNE (물량흐름)'!$N$13:$N$502),0)</f>
        <v>0</v>
      </c>
      <c r="W425" s="6">
        <f>ROUND(SUMIF('JUNE (물량흐름)'!$C$13:$C$502,'Overhead exp(제조경비)'!C425,'JUNE (물량흐름)'!$O$13:$O$502),0)</f>
        <v>0</v>
      </c>
      <c r="X425" s="6">
        <f>ROUND(SUMIF('JUNE (물량흐름)'!$C$13:$C$502,'Overhead exp(제조경비)'!C425,'JUNE (물량흐름)'!$P$13:$P$502),0)</f>
        <v>12581</v>
      </c>
      <c r="Y425" s="6">
        <f t="shared" si="114"/>
        <v>12581</v>
      </c>
      <c r="Z425" s="6">
        <f t="shared" si="115"/>
        <v>10065</v>
      </c>
      <c r="AA425" s="6">
        <f t="shared" si="120"/>
        <v>270124543</v>
      </c>
      <c r="AB425" s="391">
        <f t="shared" si="116"/>
        <v>0</v>
      </c>
      <c r="AC425" s="391">
        <f t="shared" si="117"/>
        <v>0</v>
      </c>
    </row>
    <row r="426" spans="1:29" s="390" customFormat="1" ht="24" customHeight="1">
      <c r="A426" s="167">
        <v>436</v>
      </c>
      <c r="B426" s="20" t="str">
        <f>IFERROR(VLOOKUP(A426,'JUNE (물량흐름)'!$A$13:$C$502,2,0),0)</f>
        <v>EILEEN FISHER</v>
      </c>
      <c r="C426" s="272" t="str">
        <f>VLOOKUP(A426,'JUNE (물량흐름)'!$A$13:$C$502,3,0)</f>
        <v>EESOQ-T4577</v>
      </c>
      <c r="D426" s="6">
        <f>VLOOKUP(C426,'WIP(재공품)'!$B$12:$E$493,4,0)</f>
        <v>139224.5</v>
      </c>
      <c r="E426" s="6">
        <f>IFERROR(VLOOKUP(C426,O.B.JUNE!$AI$7:$AJ$448,2,0),0)</f>
        <v>0</v>
      </c>
      <c r="F426" s="6">
        <f>IFERROR(VLOOKUP(C426,O.B.JUNE!$AI$7:$AK$448,3,0),0)</f>
        <v>51</v>
      </c>
      <c r="G426" s="6">
        <f>IFERROR(VLOOKUP(C426,O.B.JUNE!$AI$7:$AL$448,4,0),0)</f>
        <v>612</v>
      </c>
      <c r="H426" s="6">
        <f t="shared" si="110"/>
        <v>663</v>
      </c>
      <c r="I426" s="6">
        <f>IFERROR(VLOOKUP(C426,O.B.JUNE!$AI$7:$AN$448,6,0),0)</f>
        <v>515</v>
      </c>
      <c r="J426" s="6"/>
      <c r="K426" s="6">
        <f>IFERROR(VLOOKUP(C426,O.B.JUNE!$AI$7:$AO$448,7,0),0)</f>
        <v>38092622</v>
      </c>
      <c r="L426" s="6">
        <f>SUMIF('JUNE (물량흐름)'!$C$13:$C$488,'Overhead exp(제조경비)'!C426,'JUNE (물량흐름)'!$H$13:$H$493)+SUMIF('JUNE (물량흐름)'!$C$13:$C$493,'Overhead exp(제조경비)'!C426,'JUNE (물량흐름)'!$V$13:$V$493)</f>
        <v>0</v>
      </c>
      <c r="M426" s="6">
        <f t="shared" si="111"/>
        <v>0</v>
      </c>
      <c r="N426" s="6">
        <f t="shared" si="112"/>
        <v>0</v>
      </c>
      <c r="O426" s="6">
        <f t="shared" si="121"/>
        <v>0</v>
      </c>
      <c r="P426" s="6">
        <f>SUMIF('JUNE (물량흐름)'!$C$13:$C$502,C426,'JUNE (물량흐름)'!$T$13:$T$502)+SUMIF('JUNE (물량흐름)'!$C$13:$C$502,C426,'JUNE (물량흐름)'!$V$13:$V$502)+SUMIF('JUNE (물량흐름)'!$C$13:$C$502,C426,'JUNE (물량흐름)'!$U$13:$U$502)-SUMIF('JUNE (물량흐름)'!$C$13:$C$502,C426,'JUNE (물량흐름)'!$Y$13:$Y$502)</f>
        <v>571</v>
      </c>
      <c r="Q426" s="6">
        <f t="shared" si="119"/>
        <v>32806768</v>
      </c>
      <c r="R426" s="6">
        <f>IF(ISERROR(VLOOKUP(#REF!,'WIP(재공품)'!$B$12:$AB$38,13,0)),0,VLOOKUP(#REF!,'WIP(재공품)'!$B$12:$AB$38,13,0))</f>
        <v>0</v>
      </c>
      <c r="S426" s="6">
        <f>IF(ISERROR(VLOOKUP(#REF!,'WIP(재공품)'!$B$12:$AB$38,10,0)),0,VLOOKUP(#REF!,'WIP(재공품)'!$B$12:$AB$38,10,0))</f>
        <v>0</v>
      </c>
      <c r="T426" s="6">
        <f>SUMIF('JUNE (물량흐름)'!$C$13:$C$502,'Overhead exp(제조경비)'!C426,'JUNE (물량흐름)'!$Y$13:$Y$502)</f>
        <v>2</v>
      </c>
      <c r="U426" s="6">
        <f t="shared" si="113"/>
        <v>114910</v>
      </c>
      <c r="V426" s="6">
        <f>ROUND(SUMIF('JUNE (물량흐름)'!$C$13:$C$502,'Overhead exp(제조경비)'!C426,'JUNE (물량흐름)'!$N$13:$N$502),0)</f>
        <v>0</v>
      </c>
      <c r="W426" s="6">
        <f>ROUND(SUMIF('JUNE (물량흐름)'!$C$13:$C$502,'Overhead exp(제조경비)'!C426,'JUNE (물량흐름)'!$O$13:$O$502),0)</f>
        <v>51</v>
      </c>
      <c r="X426" s="6">
        <f>ROUND(SUMIF('JUNE (물량흐름)'!$C$13:$C$502,'Overhead exp(제조경비)'!C426,'JUNE (물량흐름)'!$P$13:$P$502),0)</f>
        <v>39</v>
      </c>
      <c r="Y426" s="6">
        <f t="shared" si="114"/>
        <v>90</v>
      </c>
      <c r="Z426" s="6">
        <f t="shared" si="115"/>
        <v>57</v>
      </c>
      <c r="AA426" s="6">
        <f t="shared" si="120"/>
        <v>5170944</v>
      </c>
      <c r="AB426" s="391">
        <f t="shared" si="116"/>
        <v>0</v>
      </c>
      <c r="AC426" s="391">
        <f t="shared" si="117"/>
        <v>0</v>
      </c>
    </row>
    <row r="427" spans="1:29" s="390" customFormat="1" ht="24" customHeight="1">
      <c r="A427" s="167">
        <v>437</v>
      </c>
      <c r="B427" s="20" t="str">
        <f>IFERROR(VLOOKUP(A427,'JUNE (물량흐름)'!$A$13:$C$502,2,0),0)</f>
        <v>EILEEN FISHER</v>
      </c>
      <c r="C427" s="272" t="str">
        <f>VLOOKUP(A427,'JUNE (물량흐름)'!$A$13:$C$502,3,0)</f>
        <v>F8SOQ-T4578M</v>
      </c>
      <c r="D427" s="6">
        <f>VLOOKUP(C427,'WIP(재공품)'!$B$12:$E$493,4,0)</f>
        <v>116096</v>
      </c>
      <c r="E427" s="6">
        <f>IFERROR(VLOOKUP(C427,O.B.JUNE!$AI$7:$AJ$448,2,0),0)</f>
        <v>0</v>
      </c>
      <c r="F427" s="6">
        <f>IFERROR(VLOOKUP(C427,O.B.JUNE!$AI$7:$AK$448,3,0),0)</f>
        <v>32</v>
      </c>
      <c r="G427" s="6">
        <f>IFERROR(VLOOKUP(C427,O.B.JUNE!$AI$7:$AL$448,4,0),0)</f>
        <v>103</v>
      </c>
      <c r="H427" s="6">
        <f t="shared" si="110"/>
        <v>135</v>
      </c>
      <c r="I427" s="6">
        <f>IFERROR(VLOOKUP(C427,O.B.JUNE!$AI$7:$AN$448,6,0),0)</f>
        <v>98</v>
      </c>
      <c r="J427" s="6"/>
      <c r="K427" s="6">
        <f>IFERROR(VLOOKUP(C427,O.B.JUNE!$AI$7:$AO$448,7,0),0)</f>
        <v>8708338</v>
      </c>
      <c r="L427" s="6">
        <f>SUMIF('JUNE (물량흐름)'!$C$13:$C$488,'Overhead exp(제조경비)'!C427,'JUNE (물량흐름)'!$H$13:$H$493)+SUMIF('JUNE (물량흐름)'!$C$13:$C$493,'Overhead exp(제조경비)'!C427,'JUNE (물량흐름)'!$V$13:$V$493)</f>
        <v>0</v>
      </c>
      <c r="M427" s="6">
        <f t="shared" si="111"/>
        <v>0</v>
      </c>
      <c r="N427" s="6">
        <f t="shared" si="112"/>
        <v>0</v>
      </c>
      <c r="O427" s="6">
        <f t="shared" si="121"/>
        <v>0</v>
      </c>
      <c r="P427" s="6">
        <f>SUMIF('JUNE (물량흐름)'!$C$13:$C$502,C427,'JUNE (물량흐름)'!$T$13:$T$502)+SUMIF('JUNE (물량흐름)'!$C$13:$C$502,C427,'JUNE (물량흐름)'!$V$13:$V$502)+SUMIF('JUNE (물량흐름)'!$C$13:$C$502,C427,'JUNE (물량흐름)'!$U$13:$U$502)-SUMIF('JUNE (물량흐름)'!$C$13:$C$502,C427,'JUNE (물량흐름)'!$Y$13:$Y$502)</f>
        <v>62</v>
      </c>
      <c r="Q427" s="6">
        <f t="shared" si="119"/>
        <v>3999385</v>
      </c>
      <c r="R427" s="6">
        <f>IF(ISERROR(VLOOKUP(#REF!,'WIP(재공품)'!$B$12:$AB$38,13,0)),0,VLOOKUP(#REF!,'WIP(재공품)'!$B$12:$AB$38,13,0))</f>
        <v>0</v>
      </c>
      <c r="S427" s="6">
        <f>IF(ISERROR(VLOOKUP(#REF!,'WIP(재공품)'!$B$12:$AB$38,10,0)),0,VLOOKUP(#REF!,'WIP(재공품)'!$B$12:$AB$38,10,0))</f>
        <v>0</v>
      </c>
      <c r="T427" s="6">
        <f>SUMIF('JUNE (물량흐름)'!$C$13:$C$502,'Overhead exp(제조경비)'!C427,'JUNE (물량흐름)'!$Y$13:$Y$502)</f>
        <v>2</v>
      </c>
      <c r="U427" s="6">
        <f t="shared" si="113"/>
        <v>129012</v>
      </c>
      <c r="V427" s="6">
        <f>ROUND(SUMIF('JUNE (물량흐름)'!$C$13:$C$502,'Overhead exp(제조경비)'!C427,'JUNE (물량흐름)'!$N$13:$N$502),0)</f>
        <v>0</v>
      </c>
      <c r="W427" s="6">
        <f>ROUND(SUMIF('JUNE (물량흐름)'!$C$13:$C$502,'Overhead exp(제조경비)'!C427,'JUNE (물량흐름)'!$O$13:$O$502),0)</f>
        <v>32</v>
      </c>
      <c r="X427" s="6">
        <f>ROUND(SUMIF('JUNE (물량흐름)'!$C$13:$C$502,'Overhead exp(제조경비)'!C427,'JUNE (물량흐름)'!$P$13:$P$502),0)</f>
        <v>39</v>
      </c>
      <c r="Y427" s="6">
        <f t="shared" si="114"/>
        <v>71</v>
      </c>
      <c r="Z427" s="6">
        <f t="shared" si="115"/>
        <v>47</v>
      </c>
      <c r="AA427" s="6">
        <f t="shared" si="120"/>
        <v>4579941</v>
      </c>
      <c r="AB427" s="391">
        <f t="shared" si="116"/>
        <v>0</v>
      </c>
      <c r="AC427" s="391">
        <f t="shared" si="117"/>
        <v>0</v>
      </c>
    </row>
    <row r="428" spans="1:29" s="390" customFormat="1" ht="24" customHeight="1">
      <c r="A428" s="167">
        <v>438</v>
      </c>
      <c r="B428" s="20" t="str">
        <f>IFERROR(VLOOKUP(A428,'JUNE (물량흐름)'!$A$13:$C$502,2,0),0)</f>
        <v>INC</v>
      </c>
      <c r="C428" s="272">
        <f>VLOOKUP(A428,'JUNE (물량흐름)'!$A$13:$C$502,3,0)</f>
        <v>100034276</v>
      </c>
      <c r="D428" s="6">
        <f>VLOOKUP(C428,'WIP(재공품)'!$B$12:$E$493,4,0)</f>
        <v>53966.5</v>
      </c>
      <c r="E428" s="6">
        <f>IFERROR(VLOOKUP(C428,O.B.JUNE!$AI$7:$AJ$448,2,0),0)</f>
        <v>0</v>
      </c>
      <c r="F428" s="6">
        <f>IFERROR(VLOOKUP(C428,O.B.JUNE!$AI$7:$AK$448,3,0),0)</f>
        <v>1114</v>
      </c>
      <c r="G428" s="6">
        <f>IFERROR(VLOOKUP(C428,O.B.JUNE!$AI$7:$AL$448,4,0),0)</f>
        <v>521</v>
      </c>
      <c r="H428" s="6">
        <f t="shared" si="110"/>
        <v>1635</v>
      </c>
      <c r="I428" s="6">
        <f>IFERROR(VLOOKUP(C428,O.B.JUNE!$AI$7:$AN$448,6,0),0)</f>
        <v>974</v>
      </c>
      <c r="J428" s="6"/>
      <c r="K428" s="6">
        <f>IFERROR(VLOOKUP(C428,O.B.JUNE!$AI$7:$AO$448,7,0),0)</f>
        <v>42758860</v>
      </c>
      <c r="L428" s="6">
        <f>SUMIF('JUNE (물량흐름)'!$C$13:$C$488,'Overhead exp(제조경비)'!C428,'JUNE (물량흐름)'!$H$13:$H$493)+SUMIF('JUNE (물량흐름)'!$C$13:$C$493,'Overhead exp(제조경비)'!C428,'JUNE (물량흐름)'!$V$13:$V$493)</f>
        <v>0</v>
      </c>
      <c r="M428" s="6">
        <f t="shared" si="111"/>
        <v>0</v>
      </c>
      <c r="N428" s="6">
        <f t="shared" si="112"/>
        <v>0</v>
      </c>
      <c r="O428" s="6">
        <f t="shared" si="121"/>
        <v>0</v>
      </c>
      <c r="P428" s="6">
        <f>SUMIF('JUNE (물량흐름)'!$C$13:$C$502,C428,'JUNE (물량흐름)'!$T$13:$T$502)+SUMIF('JUNE (물량흐름)'!$C$13:$C$502,C428,'JUNE (물량흐름)'!$V$13:$V$502)+SUMIF('JUNE (물량흐름)'!$C$13:$C$502,C428,'JUNE (물량흐름)'!$U$13:$U$502)-SUMIF('JUNE (물량흐름)'!$C$13:$C$502,C428,'JUNE (물량흐름)'!$Y$13:$Y$502)</f>
        <v>1528</v>
      </c>
      <c r="Q428" s="6">
        <f t="shared" si="119"/>
        <v>39960574</v>
      </c>
      <c r="R428" s="6">
        <f>IF(ISERROR(VLOOKUP(#REF!,'WIP(재공품)'!$B$12:$AB$38,13,0)),0,VLOOKUP(#REF!,'WIP(재공품)'!$B$12:$AB$38,13,0))</f>
        <v>0</v>
      </c>
      <c r="S428" s="6">
        <f>IF(ISERROR(VLOOKUP(#REF!,'WIP(재공품)'!$B$12:$AB$38,10,0)),0,VLOOKUP(#REF!,'WIP(재공품)'!$B$12:$AB$38,10,0))</f>
        <v>0</v>
      </c>
      <c r="T428" s="6">
        <f>SUMIF('JUNE (물량흐름)'!$C$13:$C$502,'Overhead exp(제조경비)'!C428,'JUNE (물량흐름)'!$Y$13:$Y$502)</f>
        <v>4</v>
      </c>
      <c r="U428" s="6">
        <f t="shared" si="113"/>
        <v>104609</v>
      </c>
      <c r="V428" s="6">
        <f>ROUND(SUMIF('JUNE (물량흐름)'!$C$13:$C$502,'Overhead exp(제조경비)'!C428,'JUNE (물량흐름)'!$N$13:$N$502),0)</f>
        <v>0</v>
      </c>
      <c r="W428" s="6">
        <f>ROUND(SUMIF('JUNE (물량흐름)'!$C$13:$C$502,'Overhead exp(제조경비)'!C428,'JUNE (물량흐름)'!$O$13:$O$502),0)</f>
        <v>56</v>
      </c>
      <c r="X428" s="6">
        <f>ROUND(SUMIF('JUNE (물량흐름)'!$C$13:$C$502,'Overhead exp(제조경비)'!C428,'JUNE (물량흐름)'!$P$13:$P$502),0)</f>
        <v>47</v>
      </c>
      <c r="Y428" s="6">
        <f t="shared" si="114"/>
        <v>103</v>
      </c>
      <c r="Z428" s="6">
        <f t="shared" si="115"/>
        <v>66</v>
      </c>
      <c r="AA428" s="6">
        <f t="shared" si="120"/>
        <v>2693677</v>
      </c>
      <c r="AB428" s="391">
        <f t="shared" si="116"/>
        <v>0</v>
      </c>
      <c r="AC428" s="391">
        <f t="shared" si="117"/>
        <v>0</v>
      </c>
    </row>
    <row r="429" spans="1:29" s="390" customFormat="1" ht="24" customHeight="1">
      <c r="A429" s="167">
        <v>439</v>
      </c>
      <c r="B429" s="20" t="str">
        <f>IFERROR(VLOOKUP(A429,'JUNE (물량흐름)'!$A$13:$C$502,2,0),0)</f>
        <v>TALBOTS</v>
      </c>
      <c r="C429" s="272">
        <f>VLOOKUP(A429,'JUNE (물량흐름)'!$A$13:$C$502,3,0)</f>
        <v>183033602</v>
      </c>
      <c r="D429" s="6">
        <f>VLOOKUP(C429,'WIP(재공품)'!$B$12:$E$493,4,0)</f>
        <v>51698.999999999993</v>
      </c>
      <c r="E429" s="6">
        <f>IFERROR(VLOOKUP(C429,O.B.JUNE!$AI$7:$AJ$448,2,0),0)</f>
        <v>8425</v>
      </c>
      <c r="F429" s="6">
        <f>IFERROR(VLOOKUP(C429,O.B.JUNE!$AI$7:$AK$448,3,0),0)</f>
        <v>2902</v>
      </c>
      <c r="G429" s="6">
        <f>IFERROR(VLOOKUP(C429,O.B.JUNE!$AI$7:$AL$448,4,0),0)</f>
        <v>1088</v>
      </c>
      <c r="H429" s="6">
        <f t="shared" si="110"/>
        <v>12415</v>
      </c>
      <c r="I429" s="6">
        <f>IFERROR(VLOOKUP(C429,O.B.JUNE!$AI$7:$AN$448,6,0),0)</f>
        <v>4006</v>
      </c>
      <c r="J429" s="6"/>
      <c r="K429" s="6">
        <f>IFERROR(VLOOKUP(C429,O.B.JUNE!$AI$7:$AO$448,7,0),0)</f>
        <v>133820604</v>
      </c>
      <c r="L429" s="6">
        <f>SUMIF('JUNE (물량흐름)'!$C$13:$C$488,'Overhead exp(제조경비)'!C429,'JUNE (물량흐름)'!$H$13:$H$493)+SUMIF('JUNE (물량흐름)'!$C$13:$C$493,'Overhead exp(제조경비)'!C429,'JUNE (물량흐름)'!$V$13:$V$493)</f>
        <v>26873</v>
      </c>
      <c r="M429" s="6">
        <f t="shared" si="111"/>
        <v>33674</v>
      </c>
      <c r="N429" s="6">
        <f t="shared" si="112"/>
        <v>1740912126</v>
      </c>
      <c r="O429" s="6">
        <f t="shared" si="121"/>
        <v>1051928597</v>
      </c>
      <c r="P429" s="6">
        <f>SUMIF('JUNE (물량흐름)'!$C$13:$C$502,C429,'JUNE (물량흐름)'!$T$13:$T$502)+SUMIF('JUNE (물량흐름)'!$C$13:$C$502,C429,'JUNE (물량흐름)'!$V$13:$V$502)+SUMIF('JUNE (물량흐름)'!$C$13:$C$502,C429,'JUNE (물량흐름)'!$U$13:$U$502)-SUMIF('JUNE (물량흐름)'!$C$13:$C$502,C429,'JUNE (물량흐름)'!$Y$13:$Y$502)</f>
        <v>34605</v>
      </c>
      <c r="Q429" s="6">
        <f t="shared" si="119"/>
        <v>1044411808</v>
      </c>
      <c r="R429" s="6">
        <f>IF(ISERROR(VLOOKUP(#REF!,'WIP(재공품)'!$B$12:$AB$38,13,0)),0,VLOOKUP(#REF!,'WIP(재공품)'!$B$12:$AB$38,13,0))</f>
        <v>0</v>
      </c>
      <c r="S429" s="6">
        <f>IF(ISERROR(VLOOKUP(#REF!,'WIP(재공품)'!$B$12:$AB$38,10,0)),0,VLOOKUP(#REF!,'WIP(재공품)'!$B$12:$AB$38,10,0))</f>
        <v>0</v>
      </c>
      <c r="T429" s="6">
        <f>SUMIF('JUNE (물량흐름)'!$C$13:$C$502,'Overhead exp(제조경비)'!C429,'JUNE (물량흐름)'!$Y$13:$Y$502)</f>
        <v>0</v>
      </c>
      <c r="U429" s="6">
        <f t="shared" si="113"/>
        <v>0</v>
      </c>
      <c r="V429" s="6">
        <f>ROUND(SUMIF('JUNE (물량흐름)'!$C$13:$C$502,'Overhead exp(제조경비)'!C429,'JUNE (물량흐름)'!$N$13:$N$502),0)</f>
        <v>375</v>
      </c>
      <c r="W429" s="6">
        <f>ROUND(SUMIF('JUNE (물량흐름)'!$C$13:$C$502,'Overhead exp(제조경비)'!C429,'JUNE (물량흐름)'!$O$13:$O$502),0)</f>
        <v>1488</v>
      </c>
      <c r="X429" s="6">
        <f>ROUND(SUMIF('JUNE (물량흐름)'!$C$13:$C$502,'Overhead exp(제조경비)'!C429,'JUNE (물량흐름)'!$P$13:$P$502),0)</f>
        <v>2820</v>
      </c>
      <c r="Y429" s="6">
        <f t="shared" si="114"/>
        <v>4683</v>
      </c>
      <c r="Z429" s="6">
        <f t="shared" si="115"/>
        <v>3075</v>
      </c>
      <c r="AA429" s="6">
        <f t="shared" si="120"/>
        <v>141337393</v>
      </c>
      <c r="AB429" s="391">
        <f t="shared" si="116"/>
        <v>0</v>
      </c>
      <c r="AC429" s="391">
        <f t="shared" si="117"/>
        <v>0</v>
      </c>
    </row>
    <row r="430" spans="1:29" s="390" customFormat="1" ht="24" customHeight="1">
      <c r="A430" s="167">
        <v>440</v>
      </c>
      <c r="B430" s="20" t="str">
        <f>IFERROR(VLOOKUP(A430,'JUNE (물량흐름)'!$A$13:$C$502,2,0),0)</f>
        <v>TALBOTS</v>
      </c>
      <c r="C430" s="272">
        <f>VLOOKUP(A430,'JUNE (물량흐름)'!$A$13:$C$502,3,0)</f>
        <v>183034592</v>
      </c>
      <c r="D430" s="6">
        <f>VLOOKUP(C430,'WIP(재공품)'!$B$12:$E$493,4,0)</f>
        <v>131061.5</v>
      </c>
      <c r="E430" s="6">
        <f>IFERROR(VLOOKUP(C430,O.B.JUNE!$AI$7:$AJ$448,2,0),0)</f>
        <v>0</v>
      </c>
      <c r="F430" s="6">
        <f>IFERROR(VLOOKUP(C430,O.B.JUNE!$AI$7:$AK$448,3,0),0)</f>
        <v>292</v>
      </c>
      <c r="G430" s="6">
        <f>IFERROR(VLOOKUP(C430,O.B.JUNE!$AI$7:$AL$448,4,0),0)</f>
        <v>1287</v>
      </c>
      <c r="H430" s="6">
        <f t="shared" si="110"/>
        <v>1579</v>
      </c>
      <c r="I430" s="6">
        <f>IFERROR(VLOOKUP(C430,O.B.JUNE!$AI$7:$AN$448,6,0),0)</f>
        <v>1176</v>
      </c>
      <c r="J430" s="6"/>
      <c r="K430" s="6">
        <f>IFERROR(VLOOKUP(C430,O.B.JUNE!$AI$7:$AO$448,7,0),0)</f>
        <v>91230327</v>
      </c>
      <c r="L430" s="6">
        <f>SUMIF('JUNE (물량흐름)'!$C$13:$C$488,'Overhead exp(제조경비)'!C430,'JUNE (물량흐름)'!$H$13:$H$493)+SUMIF('JUNE (물량흐름)'!$C$13:$C$493,'Overhead exp(제조경비)'!C430,'JUNE (물량흐름)'!$V$13:$V$493)</f>
        <v>80</v>
      </c>
      <c r="M430" s="6">
        <f t="shared" si="111"/>
        <v>416</v>
      </c>
      <c r="N430" s="6">
        <f t="shared" si="112"/>
        <v>54521584</v>
      </c>
      <c r="O430" s="6">
        <f t="shared" si="121"/>
        <v>32944117</v>
      </c>
      <c r="P430" s="6">
        <f>SUMIF('JUNE (물량흐름)'!$C$13:$C$502,C430,'JUNE (물량흐름)'!$T$13:$T$502)+SUMIF('JUNE (물량흐름)'!$C$13:$C$502,C430,'JUNE (물량흐름)'!$V$13:$V$502)+SUMIF('JUNE (물량흐름)'!$C$13:$C$502,C430,'JUNE (물량흐름)'!$U$13:$U$502)-SUMIF('JUNE (물량흐름)'!$C$13:$C$502,C430,'JUNE (물량흐름)'!$Y$13:$Y$502)</f>
        <v>1483</v>
      </c>
      <c r="Q430" s="6">
        <f t="shared" si="119"/>
        <v>111001025</v>
      </c>
      <c r="R430" s="6">
        <f>IF(ISERROR(VLOOKUP(#REF!,'WIP(재공품)'!$B$12:$AB$38,13,0)),0,VLOOKUP(#REF!,'WIP(재공품)'!$B$12:$AB$38,13,0))</f>
        <v>0</v>
      </c>
      <c r="S430" s="6">
        <f>IF(ISERROR(VLOOKUP(#REF!,'WIP(재공품)'!$B$12:$AB$38,10,0)),0,VLOOKUP(#REF!,'WIP(재공품)'!$B$12:$AB$38,10,0))</f>
        <v>0</v>
      </c>
      <c r="T430" s="6">
        <f>SUMIF('JUNE (물량흐름)'!$C$13:$C$502,'Overhead exp(제조경비)'!C430,'JUNE (물량흐름)'!$Y$13:$Y$502)</f>
        <v>4</v>
      </c>
      <c r="U430" s="6">
        <f t="shared" si="113"/>
        <v>299396</v>
      </c>
      <c r="V430" s="6">
        <f>ROUND(SUMIF('JUNE (물량흐름)'!$C$13:$C$502,'Overhead exp(제조경비)'!C430,'JUNE (물량흐름)'!$N$13:$N$502),0)</f>
        <v>0</v>
      </c>
      <c r="W430" s="6">
        <f>ROUND(SUMIF('JUNE (물량흐름)'!$C$13:$C$502,'Overhead exp(제조경비)'!C430,'JUNE (물량흐름)'!$O$13:$O$502),0)</f>
        <v>108</v>
      </c>
      <c r="X430" s="6">
        <f>ROUND(SUMIF('JUNE (물량흐름)'!$C$13:$C$502,'Overhead exp(제조경비)'!C430,'JUNE (물량흐름)'!$P$13:$P$502),0)</f>
        <v>64</v>
      </c>
      <c r="Y430" s="6">
        <f t="shared" si="114"/>
        <v>172</v>
      </c>
      <c r="Z430" s="6">
        <f t="shared" si="115"/>
        <v>105</v>
      </c>
      <c r="AA430" s="6">
        <f t="shared" si="120"/>
        <v>12874023</v>
      </c>
      <c r="AB430" s="391">
        <f t="shared" si="116"/>
        <v>0</v>
      </c>
      <c r="AC430" s="391">
        <f t="shared" si="117"/>
        <v>0</v>
      </c>
    </row>
    <row r="431" spans="1:29" s="390" customFormat="1" ht="24" customHeight="1">
      <c r="A431" s="167">
        <v>441</v>
      </c>
      <c r="B431" s="20" t="str">
        <f>IFERROR(VLOOKUP(A431,'JUNE (물량흐름)'!$A$13:$C$502,2,0),0)</f>
        <v>ANN TAYLOR</v>
      </c>
      <c r="C431" s="272">
        <f>VLOOKUP(A431,'JUNE (물량흐름)'!$A$13:$C$502,3,0)</f>
        <v>476154</v>
      </c>
      <c r="D431" s="6">
        <f>VLOOKUP(C431,'WIP(재공품)'!$B$12:$E$493,4,0)</f>
        <v>47844.25</v>
      </c>
      <c r="E431" s="6">
        <f>IFERROR(VLOOKUP(C431,O.B.JUNE!$AI$7:$AJ$448,2,0),0)</f>
        <v>0</v>
      </c>
      <c r="F431" s="6">
        <f>IFERROR(VLOOKUP(C431,O.B.JUNE!$AI$7:$AK$448,3,0),0)</f>
        <v>1293</v>
      </c>
      <c r="G431" s="6">
        <f>IFERROR(VLOOKUP(C431,O.B.JUNE!$AI$7:$AL$448,4,0),0)</f>
        <v>5116</v>
      </c>
      <c r="H431" s="6">
        <f t="shared" si="110"/>
        <v>6409</v>
      </c>
      <c r="I431" s="6">
        <f>IFERROR(VLOOKUP(C431,O.B.JUNE!$AI$7:$AN$448,6,0),0)</f>
        <v>4739</v>
      </c>
      <c r="J431" s="6"/>
      <c r="K431" s="6">
        <f>IFERROR(VLOOKUP(C431,O.B.JUNE!$AI$7:$AO$448,7,0),0)</f>
        <v>123248500</v>
      </c>
      <c r="L431" s="6">
        <f>SUMIF('JUNE (물량흐름)'!$C$13:$C$488,'Overhead exp(제조경비)'!C431,'JUNE (물량흐름)'!$H$13:$H$493)+SUMIF('JUNE (물량흐름)'!$C$13:$C$493,'Overhead exp(제조경비)'!C431,'JUNE (물량흐름)'!$V$13:$V$493)</f>
        <v>3704</v>
      </c>
      <c r="M431" s="6">
        <f t="shared" si="111"/>
        <v>5052</v>
      </c>
      <c r="N431" s="6">
        <f t="shared" si="112"/>
        <v>241709151</v>
      </c>
      <c r="O431" s="6">
        <f t="shared" si="121"/>
        <v>146050317</v>
      </c>
      <c r="P431" s="6">
        <f>SUMIF('JUNE (물량흐름)'!$C$13:$C$502,C431,'JUNE (물량흐름)'!$T$13:$T$502)+SUMIF('JUNE (물량흐름)'!$C$13:$C$502,C431,'JUNE (물량흐름)'!$V$13:$V$502)+SUMIF('JUNE (물량흐름)'!$C$13:$C$502,C431,'JUNE (물량흐름)'!$U$13:$U$502)-SUMIF('JUNE (물량흐름)'!$C$13:$C$502,C431,'JUNE (물량흐름)'!$Y$13:$Y$502)</f>
        <v>9170</v>
      </c>
      <c r="Q431" s="6">
        <f t="shared" si="119"/>
        <v>244187694</v>
      </c>
      <c r="R431" s="6">
        <f>IF(ISERROR(VLOOKUP(#REF!,'WIP(재공품)'!$B$12:$AB$38,13,0)),0,VLOOKUP(#REF!,'WIP(재공품)'!$B$12:$AB$38,13,0))</f>
        <v>0</v>
      </c>
      <c r="S431" s="6">
        <f>IF(ISERROR(VLOOKUP(#REF!,'WIP(재공품)'!$B$12:$AB$38,10,0)),0,VLOOKUP(#REF!,'WIP(재공품)'!$B$12:$AB$38,10,0))</f>
        <v>0</v>
      </c>
      <c r="T431" s="6">
        <f>SUMIF('JUNE (물량흐름)'!$C$13:$C$502,'Overhead exp(제조경비)'!C431,'JUNE (물량흐름)'!$Y$13:$Y$502)</f>
        <v>20</v>
      </c>
      <c r="U431" s="6">
        <f t="shared" si="113"/>
        <v>532579</v>
      </c>
      <c r="V431" s="6">
        <f>ROUND(SUMIF('JUNE (물량흐름)'!$C$13:$C$502,'Overhead exp(제조경비)'!C431,'JUNE (물량흐름)'!$N$13:$N$502),0)</f>
        <v>0</v>
      </c>
      <c r="W431" s="6">
        <f>ROUND(SUMIF('JUNE (물량흐름)'!$C$13:$C$502,'Overhead exp(제조경비)'!C431,'JUNE (물량흐름)'!$O$13:$O$502),0)</f>
        <v>458</v>
      </c>
      <c r="X431" s="6">
        <f>ROUND(SUMIF('JUNE (물량흐름)'!$C$13:$C$502,'Overhead exp(제조경비)'!C431,'JUNE (물량흐름)'!$P$13:$P$502),0)</f>
        <v>465</v>
      </c>
      <c r="Y431" s="6">
        <f t="shared" si="114"/>
        <v>923</v>
      </c>
      <c r="Z431" s="6">
        <f t="shared" si="115"/>
        <v>601</v>
      </c>
      <c r="AA431" s="6">
        <f t="shared" si="120"/>
        <v>24578543</v>
      </c>
      <c r="AB431" s="391">
        <f t="shared" si="116"/>
        <v>1</v>
      </c>
      <c r="AC431" s="391">
        <f t="shared" si="117"/>
        <v>0</v>
      </c>
    </row>
    <row r="432" spans="1:29" s="390" customFormat="1" ht="24" customHeight="1">
      <c r="A432" s="167">
        <v>442</v>
      </c>
      <c r="B432" s="20" t="str">
        <f>IFERROR(VLOOKUP(A432,'JUNE (물량흐름)'!$A$13:$C$502,2,0),0)</f>
        <v>ANN TAYLOR</v>
      </c>
      <c r="C432" s="272">
        <f>VLOOKUP(A432,'JUNE (물량흐름)'!$A$13:$C$502,3,0)</f>
        <v>483830</v>
      </c>
      <c r="D432" s="6">
        <f>VLOOKUP(C432,'WIP(재공품)'!$B$12:$E$493,4,0)</f>
        <v>43536</v>
      </c>
      <c r="E432" s="6">
        <f>IFERROR(VLOOKUP(C432,O.B.JUNE!$AI$7:$AJ$448,2,0),0)</f>
        <v>1876</v>
      </c>
      <c r="F432" s="6">
        <f>IFERROR(VLOOKUP(C432,O.B.JUNE!$AI$7:$AK$448,3,0),0)</f>
        <v>4576</v>
      </c>
      <c r="G432" s="6">
        <f>IFERROR(VLOOKUP(C432,O.B.JUNE!$AI$7:$AL$448,4,0),0)</f>
        <v>2975</v>
      </c>
      <c r="H432" s="6">
        <f t="shared" si="110"/>
        <v>9427</v>
      </c>
      <c r="I432" s="6">
        <f>IFERROR(VLOOKUP(C432,O.B.JUNE!$AI$7:$AN$448,6,0),0)</f>
        <v>5043</v>
      </c>
      <c r="J432" s="6"/>
      <c r="K432" s="6">
        <f>IFERROR(VLOOKUP(C432,O.B.JUNE!$AI$7:$AO$448,7,0),0)</f>
        <v>143908357</v>
      </c>
      <c r="L432" s="6">
        <f>SUMIF('JUNE (물량흐름)'!$C$13:$C$488,'Overhead exp(제조경비)'!C432,'JUNE (물량흐름)'!$H$13:$H$493)+SUMIF('JUNE (물량흐름)'!$C$13:$C$493,'Overhead exp(제조경비)'!C432,'JUNE (물량흐름)'!$V$13:$V$493)</f>
        <v>32315</v>
      </c>
      <c r="M432" s="6">
        <f t="shared" si="111"/>
        <v>34763</v>
      </c>
      <c r="N432" s="6">
        <f t="shared" si="112"/>
        <v>1513441968</v>
      </c>
      <c r="O432" s="6">
        <f t="shared" si="121"/>
        <v>914482048</v>
      </c>
      <c r="P432" s="6">
        <f>SUMIF('JUNE (물량흐름)'!$C$13:$C$502,C432,'JUNE (물량흐름)'!$T$13:$T$502)+SUMIF('JUNE (물량흐름)'!$C$13:$C$502,C432,'JUNE (물량흐름)'!$V$13:$V$502)+SUMIF('JUNE (물량흐름)'!$C$13:$C$502,C432,'JUNE (물량흐름)'!$U$13:$U$502)-SUMIF('JUNE (물량흐름)'!$C$13:$C$502,C432,'JUNE (물량흐름)'!$Y$13:$Y$502)</f>
        <v>35092</v>
      </c>
      <c r="Q432" s="6">
        <f t="shared" si="119"/>
        <v>889776151</v>
      </c>
      <c r="R432" s="6">
        <f>IF(ISERROR(VLOOKUP(#REF!,'WIP(재공품)'!$B$12:$AB$38,13,0)),0,VLOOKUP(#REF!,'WIP(재공품)'!$B$12:$AB$38,13,0))</f>
        <v>0</v>
      </c>
      <c r="S432" s="6">
        <f>IF(ISERROR(VLOOKUP(#REF!,'WIP(재공품)'!$B$12:$AB$38,10,0)),0,VLOOKUP(#REF!,'WIP(재공품)'!$B$12:$AB$38,10,0))</f>
        <v>0</v>
      </c>
      <c r="T432" s="6">
        <f>SUMIF('JUNE (물량흐름)'!$C$13:$C$502,'Overhead exp(제조경비)'!C432,'JUNE (물량흐름)'!$Y$13:$Y$502)</f>
        <v>74</v>
      </c>
      <c r="U432" s="6">
        <f t="shared" si="113"/>
        <v>1876309</v>
      </c>
      <c r="V432" s="6">
        <f>ROUND(SUMIF('JUNE (물량흐름)'!$C$13:$C$502,'Overhead exp(제조경비)'!C432,'JUNE (물량흐름)'!$N$13:$N$502),0)</f>
        <v>397</v>
      </c>
      <c r="W432" s="6">
        <f>ROUND(SUMIF('JUNE (물량흐름)'!$C$13:$C$502,'Overhead exp(제조경비)'!C432,'JUNE (물량흐름)'!$O$13:$O$502),0)</f>
        <v>1274</v>
      </c>
      <c r="X432" s="6">
        <f>ROUND(SUMIF('JUNE (물량흐름)'!$C$13:$C$502,'Overhead exp(제조경비)'!C432,'JUNE (물량흐름)'!$P$13:$P$502),0)</f>
        <v>4905</v>
      </c>
      <c r="Y432" s="6">
        <f t="shared" si="114"/>
        <v>6576</v>
      </c>
      <c r="Z432" s="6">
        <f t="shared" si="115"/>
        <v>4640</v>
      </c>
      <c r="AA432" s="6">
        <f t="shared" si="120"/>
        <v>166737945</v>
      </c>
      <c r="AB432" s="391">
        <f t="shared" si="116"/>
        <v>0</v>
      </c>
      <c r="AC432" s="391">
        <f t="shared" si="117"/>
        <v>0</v>
      </c>
    </row>
    <row r="433" spans="1:29" s="390" customFormat="1" ht="24" customHeight="1">
      <c r="A433" s="167">
        <v>443</v>
      </c>
      <c r="B433" s="20" t="str">
        <f>IFERROR(VLOOKUP(A433,'JUNE (물량흐름)'!$A$13:$C$502,2,0),0)</f>
        <v>ALFANI</v>
      </c>
      <c r="C433" s="272">
        <f>VLOOKUP(A433,'JUNE (물량흐름)'!$A$13:$C$502,3,0)</f>
        <v>79718</v>
      </c>
      <c r="D433" s="6">
        <f>VLOOKUP(C433,'WIP(재공품)'!$B$12:$E$493,4,0)</f>
        <v>56687.5</v>
      </c>
      <c r="E433" s="6">
        <f>IFERROR(VLOOKUP(C433,O.B.JUNE!$AI$7:$AJ$448,2,0),0)</f>
        <v>0</v>
      </c>
      <c r="F433" s="6">
        <f>IFERROR(VLOOKUP(C433,O.B.JUNE!$AI$7:$AK$448,3,0),0)</f>
        <v>0</v>
      </c>
      <c r="G433" s="6">
        <f>IFERROR(VLOOKUP(C433,O.B.JUNE!$AI$7:$AL$448,4,0),0)</f>
        <v>0</v>
      </c>
      <c r="H433" s="6">
        <f t="shared" si="110"/>
        <v>0</v>
      </c>
      <c r="I433" s="6">
        <f>IFERROR(VLOOKUP(C433,O.B.JUNE!$AI$7:$AN$448,6,0),0)</f>
        <v>0</v>
      </c>
      <c r="J433" s="6"/>
      <c r="K433" s="6">
        <f>IFERROR(VLOOKUP(C433,O.B.JUNE!$AI$7:$AO$448,7,0),0)</f>
        <v>0</v>
      </c>
      <c r="L433" s="6">
        <f>SUMIF('JUNE (물량흐름)'!$C$13:$C$488,'Overhead exp(제조경비)'!C433,'JUNE (물량흐름)'!$H$13:$H$493)+SUMIF('JUNE (물량흐름)'!$C$13:$C$493,'Overhead exp(제조경비)'!C433,'JUNE (물량흐름)'!$V$13:$V$493)</f>
        <v>5399</v>
      </c>
      <c r="M433" s="6">
        <f t="shared" si="111"/>
        <v>4609</v>
      </c>
      <c r="N433" s="6">
        <f t="shared" si="112"/>
        <v>261272688</v>
      </c>
      <c r="O433" s="6">
        <f t="shared" si="121"/>
        <v>157871387</v>
      </c>
      <c r="P433" s="6">
        <f>SUMIF('JUNE (물량흐름)'!$C$13:$C$502,C433,'JUNE (물량흐름)'!$T$13:$T$502)+SUMIF('JUNE (물량흐름)'!$C$13:$C$502,C433,'JUNE (물량흐름)'!$V$13:$V$502)+SUMIF('JUNE (물량흐름)'!$C$13:$C$502,C433,'JUNE (물량흐름)'!$U$13:$U$502)-SUMIF('JUNE (물량흐름)'!$C$13:$C$502,C433,'JUNE (물량흐름)'!$Y$13:$Y$502)</f>
        <v>3120</v>
      </c>
      <c r="Q433" s="6">
        <f t="shared" si="119"/>
        <v>91231474</v>
      </c>
      <c r="R433" s="6">
        <f>IF(ISERROR(VLOOKUP(#REF!,'WIP(재공품)'!$B$12:$AB$38,13,0)),0,VLOOKUP(#REF!,'WIP(재공품)'!$B$12:$AB$38,13,0))</f>
        <v>0</v>
      </c>
      <c r="S433" s="6">
        <f>IF(ISERROR(VLOOKUP(#REF!,'WIP(재공품)'!$B$12:$AB$38,10,0)),0,VLOOKUP(#REF!,'WIP(재공품)'!$B$12:$AB$38,10,0))</f>
        <v>0</v>
      </c>
      <c r="T433" s="6">
        <f>SUMIF('JUNE (물량흐름)'!$C$13:$C$502,'Overhead exp(제조경비)'!C433,'JUNE (물량흐름)'!$Y$13:$Y$502)</f>
        <v>0</v>
      </c>
      <c r="U433" s="6">
        <f t="shared" si="113"/>
        <v>0</v>
      </c>
      <c r="V433" s="6">
        <f>ROUND(SUMIF('JUNE (물량흐름)'!$C$13:$C$502,'Overhead exp(제조경비)'!C433,'JUNE (물량흐름)'!$N$13:$N$502),0)</f>
        <v>1</v>
      </c>
      <c r="W433" s="6">
        <f>ROUND(SUMIF('JUNE (물량흐름)'!$C$13:$C$502,'Overhead exp(제조경비)'!C433,'JUNE (물량흐름)'!$O$13:$O$502),0)</f>
        <v>1113</v>
      </c>
      <c r="X433" s="6">
        <f>ROUND(SUMIF('JUNE (물량흐름)'!$C$13:$C$502,'Overhead exp(제조경비)'!C433,'JUNE (물량흐름)'!$P$13:$P$502),0)</f>
        <v>1165</v>
      </c>
      <c r="Y433" s="6">
        <f t="shared" si="114"/>
        <v>2279</v>
      </c>
      <c r="Z433" s="6">
        <f t="shared" si="115"/>
        <v>1489</v>
      </c>
      <c r="AA433" s="6">
        <f t="shared" si="120"/>
        <v>66639913</v>
      </c>
      <c r="AB433" s="391">
        <f t="shared" si="116"/>
        <v>0</v>
      </c>
      <c r="AC433" s="391">
        <f t="shared" si="117"/>
        <v>0</v>
      </c>
    </row>
    <row r="434" spans="1:29" s="390" customFormat="1" ht="24" customHeight="1">
      <c r="A434" s="167">
        <v>444</v>
      </c>
      <c r="B434" s="20" t="str">
        <f>IFERROR(VLOOKUP(A434,'JUNE (물량흐름)'!$A$13:$C$502,2,0),0)</f>
        <v>ANN TAYLOR</v>
      </c>
      <c r="C434" s="272">
        <f>VLOOKUP(A434,'JUNE (물량흐름)'!$A$13:$C$502,3,0)</f>
        <v>470392</v>
      </c>
      <c r="D434" s="6">
        <f>VLOOKUP(C434,'WIP(재공품)'!$B$12:$E$493,4,0)</f>
        <v>48751.25</v>
      </c>
      <c r="E434" s="6">
        <f>IFERROR(VLOOKUP(C434,O.B.JUNE!$AI$7:$AJ$448,2,0),0)</f>
        <v>0</v>
      </c>
      <c r="F434" s="6">
        <f>IFERROR(VLOOKUP(C434,O.B.JUNE!$AI$7:$AK$448,3,0),0)</f>
        <v>0</v>
      </c>
      <c r="G434" s="6">
        <f>IFERROR(VLOOKUP(C434,O.B.JUNE!$AI$7:$AL$448,4,0),0)</f>
        <v>0</v>
      </c>
      <c r="H434" s="6">
        <f t="shared" ref="H434:H487" si="122">+E434+F434+G434</f>
        <v>0</v>
      </c>
      <c r="I434" s="6">
        <f>IFERROR(VLOOKUP(C434,O.B.JUNE!$AI$7:$AN$448,6,0),0)</f>
        <v>0</v>
      </c>
      <c r="J434" s="6"/>
      <c r="K434" s="6">
        <f>IFERROR(VLOOKUP(C434,O.B.JUNE!$AI$7:$AO$448,7,0),0)</f>
        <v>0</v>
      </c>
      <c r="L434" s="6">
        <f>SUMIF('JUNE (물량흐름)'!$C$13:$C$488,'Overhead exp(제조경비)'!C434,'JUNE (물량흐름)'!$H$13:$H$493)+SUMIF('JUNE (물량흐름)'!$C$13:$C$493,'Overhead exp(제조경비)'!C434,'JUNE (물량흐름)'!$V$13:$V$493)</f>
        <v>4122</v>
      </c>
      <c r="M434" s="6">
        <f t="shared" ref="M434:M487" si="123">IF(OR(L434&lt;=0,P434+T434+R434+Z434-I434&lt;0),0,ROUND(P434+T434+R434+Z434-I434,0))</f>
        <v>2092</v>
      </c>
      <c r="N434" s="6">
        <f t="shared" ref="N434:N487" si="124">ROUND(M434*D434,0)</f>
        <v>101987615</v>
      </c>
      <c r="O434" s="6">
        <f t="shared" si="121"/>
        <v>61624988</v>
      </c>
      <c r="P434" s="6">
        <f>SUMIF('JUNE (물량흐름)'!$C$13:$C$502,C434,'JUNE (물량흐름)'!$T$13:$T$502)+SUMIF('JUNE (물량흐름)'!$C$13:$C$502,C434,'JUNE (물량흐름)'!$V$13:$V$502)+SUMIF('JUNE (물량흐름)'!$C$13:$C$502,C434,'JUNE (물량흐름)'!$U$13:$U$502)-SUMIF('JUNE (물량흐름)'!$C$13:$C$502,C434,'JUNE (물량흐름)'!$Y$13:$Y$502)</f>
        <v>0</v>
      </c>
      <c r="Q434" s="6">
        <f t="shared" si="119"/>
        <v>0</v>
      </c>
      <c r="R434" s="6">
        <f>IF(ISERROR(VLOOKUP(#REF!,'WIP(재공품)'!$B$12:$AB$38,13,0)),0,VLOOKUP(#REF!,'WIP(재공품)'!$B$12:$AB$38,13,0))</f>
        <v>0</v>
      </c>
      <c r="S434" s="6">
        <f>IF(ISERROR(VLOOKUP(#REF!,'WIP(재공품)'!$B$12:$AB$38,10,0)),0,VLOOKUP(#REF!,'WIP(재공품)'!$B$12:$AB$38,10,0))</f>
        <v>0</v>
      </c>
      <c r="T434" s="6">
        <f>SUMIF('JUNE (물량흐름)'!$C$13:$C$502,'Overhead exp(제조경비)'!C434,'JUNE (물량흐름)'!$Y$13:$Y$502)</f>
        <v>0</v>
      </c>
      <c r="U434" s="6">
        <f t="shared" si="113"/>
        <v>0</v>
      </c>
      <c r="V434" s="6">
        <f>ROUND(SUMIF('JUNE (물량흐름)'!$C$13:$C$502,'Overhead exp(제조경비)'!C434,'JUNE (물량흐름)'!$N$13:$N$502),0)</f>
        <v>798</v>
      </c>
      <c r="W434" s="6">
        <f>ROUND(SUMIF('JUNE (물량흐름)'!$C$13:$C$502,'Overhead exp(제조경비)'!C434,'JUNE (물량흐름)'!$O$13:$O$502),0)</f>
        <v>2424</v>
      </c>
      <c r="X434" s="6">
        <f>ROUND(SUMIF('JUNE (물량흐름)'!$C$13:$C$502,'Overhead exp(제조경비)'!C434,'JUNE (물량흐름)'!$P$13:$P$502),0)</f>
        <v>900</v>
      </c>
      <c r="Y434" s="6">
        <f t="shared" ref="Y434:Y487" si="125">ROUND(SUM(V434:X434),0)</f>
        <v>4122</v>
      </c>
      <c r="Z434" s="6">
        <f t="shared" ref="Z434:Z487" si="126">ROUND(V434*$V$10+W434*$W$10+X434*$X$10,0)</f>
        <v>2092</v>
      </c>
      <c r="AA434" s="6">
        <f t="shared" si="120"/>
        <v>61624988</v>
      </c>
      <c r="AB434" s="391">
        <f t="shared" si="116"/>
        <v>0</v>
      </c>
      <c r="AC434" s="391">
        <f t="shared" si="117"/>
        <v>0</v>
      </c>
    </row>
    <row r="435" spans="1:29" s="390" customFormat="1" ht="24" customHeight="1">
      <c r="A435" s="167">
        <v>445</v>
      </c>
      <c r="B435" s="20" t="str">
        <f>IFERROR(VLOOKUP(A435,'JUNE (물량흐름)'!$A$13:$C$502,2,0),0)</f>
        <v>ANN TAYLOR</v>
      </c>
      <c r="C435" s="272">
        <f>VLOOKUP(A435,'JUNE (물량흐름)'!$A$13:$C$502,3,0)</f>
        <v>471300</v>
      </c>
      <c r="D435" s="6">
        <f>VLOOKUP(C435,'WIP(재공품)'!$B$12:$E$493,4,0)</f>
        <v>82763.75</v>
      </c>
      <c r="E435" s="6">
        <f>IFERROR(VLOOKUP(C435,O.B.JUNE!$AI$7:$AJ$448,2,0),0)</f>
        <v>0</v>
      </c>
      <c r="F435" s="6">
        <f>IFERROR(VLOOKUP(C435,O.B.JUNE!$AI$7:$AK$448,3,0),0)</f>
        <v>0</v>
      </c>
      <c r="G435" s="6">
        <f>IFERROR(VLOOKUP(C435,O.B.JUNE!$AI$7:$AL$448,4,0),0)</f>
        <v>0</v>
      </c>
      <c r="H435" s="6">
        <f t="shared" si="122"/>
        <v>0</v>
      </c>
      <c r="I435" s="6">
        <f>IFERROR(VLOOKUP(C435,O.B.JUNE!$AI$7:$AN$448,6,0),0)</f>
        <v>0</v>
      </c>
      <c r="J435" s="6"/>
      <c r="K435" s="6">
        <f>IFERROR(VLOOKUP(C435,O.B.JUNE!$AI$7:$AO$448,7,0),0)</f>
        <v>0</v>
      </c>
      <c r="L435" s="6">
        <f>SUMIF('JUNE (물량흐름)'!$C$13:$C$488,'Overhead exp(제조경비)'!C435,'JUNE (물량흐름)'!$H$13:$H$493)+SUMIF('JUNE (물량흐름)'!$C$13:$C$493,'Overhead exp(제조경비)'!C435,'JUNE (물량흐름)'!$V$13:$V$493)</f>
        <v>1308</v>
      </c>
      <c r="M435" s="6">
        <f t="shared" si="123"/>
        <v>1250</v>
      </c>
      <c r="N435" s="6">
        <f t="shared" si="124"/>
        <v>103454688</v>
      </c>
      <c r="O435" s="6">
        <f t="shared" si="121"/>
        <v>62511452</v>
      </c>
      <c r="P435" s="6">
        <f>SUMIF('JUNE (물량흐름)'!$C$13:$C$502,C435,'JUNE (물량흐름)'!$T$13:$T$502)+SUMIF('JUNE (물량흐름)'!$C$13:$C$502,C435,'JUNE (물량흐름)'!$V$13:$V$502)+SUMIF('JUNE (물량흐름)'!$C$13:$C$502,C435,'JUNE (물량흐름)'!$U$13:$U$502)-SUMIF('JUNE (물량흐름)'!$C$13:$C$502,C435,'JUNE (물량흐름)'!$Y$13:$Y$502)</f>
        <v>1143</v>
      </c>
      <c r="Q435" s="6">
        <f t="shared" si="119"/>
        <v>54625833</v>
      </c>
      <c r="R435" s="6">
        <f>IF(ISERROR(VLOOKUP(#REF!,'WIP(재공품)'!$B$12:$AB$38,13,0)),0,VLOOKUP(#REF!,'WIP(재공품)'!$B$12:$AB$38,13,0))</f>
        <v>0</v>
      </c>
      <c r="S435" s="6">
        <f>IF(ISERROR(VLOOKUP(#REF!,'WIP(재공품)'!$B$12:$AB$38,10,0)),0,VLOOKUP(#REF!,'WIP(재공품)'!$B$12:$AB$38,10,0))</f>
        <v>0</v>
      </c>
      <c r="T435" s="6">
        <f>SUMIF('JUNE (물량흐름)'!$C$13:$C$502,'Overhead exp(제조경비)'!C435,'JUNE (물량흐름)'!$Y$13:$Y$502)</f>
        <v>12</v>
      </c>
      <c r="U435" s="6">
        <f t="shared" si="113"/>
        <v>573500</v>
      </c>
      <c r="V435" s="6">
        <f>ROUND(SUMIF('JUNE (물량흐름)'!$C$13:$C$502,'Overhead exp(제조경비)'!C435,'JUNE (물량흐름)'!$N$13:$N$502),0)</f>
        <v>0</v>
      </c>
      <c r="W435" s="6">
        <f>ROUND(SUMIF('JUNE (물량흐름)'!$C$13:$C$502,'Overhead exp(제조경비)'!C435,'JUNE (물량흐름)'!$O$13:$O$502),0)</f>
        <v>91</v>
      </c>
      <c r="X435" s="6">
        <f>ROUND(SUMIF('JUNE (물량흐름)'!$C$13:$C$502,'Overhead exp(제조경비)'!C435,'JUNE (물량흐름)'!$P$13:$P$502),0)</f>
        <v>62</v>
      </c>
      <c r="Y435" s="6">
        <f t="shared" si="125"/>
        <v>153</v>
      </c>
      <c r="Z435" s="6">
        <f t="shared" si="126"/>
        <v>95</v>
      </c>
      <c r="AA435" s="6">
        <f t="shared" si="120"/>
        <v>7312119</v>
      </c>
      <c r="AB435" s="391">
        <f t="shared" si="116"/>
        <v>0</v>
      </c>
      <c r="AC435" s="391">
        <f t="shared" si="117"/>
        <v>0</v>
      </c>
    </row>
    <row r="436" spans="1:29" s="390" customFormat="1" ht="24" customHeight="1">
      <c r="A436" s="167">
        <v>446</v>
      </c>
      <c r="B436" s="20" t="str">
        <f>IFERROR(VLOOKUP(A436,'JUNE (물량흐름)'!$A$13:$C$502,2,0),0)</f>
        <v>ANN TAYLOR</v>
      </c>
      <c r="C436" s="272">
        <f>VLOOKUP(A436,'JUNE (물량흐름)'!$A$13:$C$502,3,0)</f>
        <v>474934</v>
      </c>
      <c r="D436" s="6">
        <f>VLOOKUP(C436,'WIP(재공품)'!$B$12:$E$493,4,0)</f>
        <v>43309.25</v>
      </c>
      <c r="E436" s="6">
        <f>IFERROR(VLOOKUP(C436,O.B.JUNE!$AI$7:$AJ$448,2,0),0)</f>
        <v>0</v>
      </c>
      <c r="F436" s="6">
        <f>IFERROR(VLOOKUP(C436,O.B.JUNE!$AI$7:$AK$448,3,0),0)</f>
        <v>0</v>
      </c>
      <c r="G436" s="6">
        <f>IFERROR(VLOOKUP(C436,O.B.JUNE!$AI$7:$AL$448,4,0),0)</f>
        <v>0</v>
      </c>
      <c r="H436" s="6">
        <f t="shared" si="122"/>
        <v>0</v>
      </c>
      <c r="I436" s="6">
        <f>IFERROR(VLOOKUP(C436,O.B.JUNE!$AI$7:$AN$448,6,0),0)</f>
        <v>0</v>
      </c>
      <c r="J436" s="6"/>
      <c r="K436" s="6">
        <f>IFERROR(VLOOKUP(C436,O.B.JUNE!$AI$7:$AO$448,7,0),0)</f>
        <v>0</v>
      </c>
      <c r="L436" s="6">
        <f>SUMIF('JUNE (물량흐름)'!$C$13:$C$488,'Overhead exp(제조경비)'!C436,'JUNE (물량흐름)'!$H$13:$H$493)+SUMIF('JUNE (물량흐름)'!$C$13:$C$493,'Overhead exp(제조경비)'!C436,'JUNE (물량흐름)'!$V$13:$V$493)</f>
        <v>8958</v>
      </c>
      <c r="M436" s="6">
        <f t="shared" si="123"/>
        <v>4634</v>
      </c>
      <c r="N436" s="6">
        <f t="shared" si="124"/>
        <v>200695065</v>
      </c>
      <c r="O436" s="6">
        <f t="shared" si="121"/>
        <v>121267969</v>
      </c>
      <c r="P436" s="6">
        <f>SUMIF('JUNE (물량흐름)'!$C$13:$C$502,C436,'JUNE (물량흐름)'!$T$13:$T$502)+SUMIF('JUNE (물량흐름)'!$C$13:$C$502,C436,'JUNE (물량흐름)'!$V$13:$V$502)+SUMIF('JUNE (물량흐름)'!$C$13:$C$502,C436,'JUNE (물량흐름)'!$U$13:$U$502)-SUMIF('JUNE (물량흐름)'!$C$13:$C$502,C436,'JUNE (물량흐름)'!$Y$13:$Y$502)</f>
        <v>1573</v>
      </c>
      <c r="Q436" s="6">
        <f t="shared" si="119"/>
        <v>21294320</v>
      </c>
      <c r="R436" s="6">
        <f>IF(ISERROR(VLOOKUP(#REF!,'WIP(재공품)'!$B$12:$AB$38,13,0)),0,VLOOKUP(#REF!,'WIP(재공품)'!$B$12:$AB$38,13,0))</f>
        <v>0</v>
      </c>
      <c r="S436" s="6">
        <f>IF(ISERROR(VLOOKUP(#REF!,'WIP(재공품)'!$B$12:$AB$38,10,0)),0,VLOOKUP(#REF!,'WIP(재공품)'!$B$12:$AB$38,10,0))</f>
        <v>0</v>
      </c>
      <c r="T436" s="6">
        <f>SUMIF('JUNE (물량흐름)'!$C$13:$C$502,'Overhead exp(제조경비)'!C436,'JUNE (물량흐름)'!$Y$13:$Y$502)</f>
        <v>0</v>
      </c>
      <c r="U436" s="6">
        <f t="shared" si="113"/>
        <v>0</v>
      </c>
      <c r="V436" s="6">
        <f>ROUND(SUMIF('JUNE (물량흐름)'!$C$13:$C$502,'Overhead exp(제조경비)'!C436,'JUNE (물량흐름)'!$N$13:$N$502),0)</f>
        <v>4217</v>
      </c>
      <c r="W436" s="6">
        <f>ROUND(SUMIF('JUNE (물량흐름)'!$C$13:$C$502,'Overhead exp(제조경비)'!C436,'JUNE (물량흐름)'!$O$13:$O$502),0)</f>
        <v>1055</v>
      </c>
      <c r="X436" s="6">
        <f>ROUND(SUMIF('JUNE (물량흐름)'!$C$13:$C$502,'Overhead exp(제조경비)'!C436,'JUNE (물량흐름)'!$P$13:$P$502),0)</f>
        <v>2113</v>
      </c>
      <c r="Y436" s="6">
        <f t="shared" si="125"/>
        <v>7385</v>
      </c>
      <c r="Z436" s="6">
        <f t="shared" si="126"/>
        <v>3061</v>
      </c>
      <c r="AA436" s="6">
        <f t="shared" si="120"/>
        <v>99973649</v>
      </c>
      <c r="AB436" s="391">
        <f t="shared" si="116"/>
        <v>0</v>
      </c>
      <c r="AC436" s="391">
        <f t="shared" si="117"/>
        <v>0</v>
      </c>
    </row>
    <row r="437" spans="1:29" s="390" customFormat="1" ht="24" customHeight="1">
      <c r="A437" s="167">
        <v>447</v>
      </c>
      <c r="B437" s="20" t="str">
        <f>IFERROR(VLOOKUP(A437,'JUNE (물량흐름)'!$A$13:$C$502,2,0),0)</f>
        <v>ANN TAYLOR</v>
      </c>
      <c r="C437" s="272">
        <f>VLOOKUP(A437,'JUNE (물량흐름)'!$A$13:$C$502,3,0)</f>
        <v>474935</v>
      </c>
      <c r="D437" s="6">
        <f>VLOOKUP(C437,'WIP(재공품)'!$B$12:$E$493,4,0)</f>
        <v>38774.25</v>
      </c>
      <c r="E437" s="6">
        <f>IFERROR(VLOOKUP(C437,O.B.JUNE!$AI$7:$AJ$448,2,0),0)</f>
        <v>0</v>
      </c>
      <c r="F437" s="6">
        <f>IFERROR(VLOOKUP(C437,O.B.JUNE!$AI$7:$AK$448,3,0),0)</f>
        <v>0</v>
      </c>
      <c r="G437" s="6">
        <f>IFERROR(VLOOKUP(C437,O.B.JUNE!$AI$7:$AL$448,4,0),0)</f>
        <v>0</v>
      </c>
      <c r="H437" s="6">
        <f t="shared" si="122"/>
        <v>0</v>
      </c>
      <c r="I437" s="6">
        <f>IFERROR(VLOOKUP(C437,O.B.JUNE!$AI$7:$AN$448,6,0),0)</f>
        <v>0</v>
      </c>
      <c r="J437" s="6"/>
      <c r="K437" s="6">
        <f>IFERROR(VLOOKUP(C437,O.B.JUNE!$AI$7:$AO$448,7,0),0)</f>
        <v>0</v>
      </c>
      <c r="L437" s="6">
        <f>SUMIF('JUNE (물량흐름)'!$C$13:$C$488,'Overhead exp(제조경비)'!C437,'JUNE (물량흐름)'!$H$13:$H$493)+SUMIF('JUNE (물량흐름)'!$C$13:$C$493,'Overhead exp(제조경비)'!C437,'JUNE (물량흐름)'!$V$13:$V$493)</f>
        <v>11898</v>
      </c>
      <c r="M437" s="6">
        <f t="shared" si="123"/>
        <v>11599</v>
      </c>
      <c r="N437" s="6">
        <f t="shared" si="124"/>
        <v>449742526</v>
      </c>
      <c r="O437" s="6">
        <f t="shared" si="121"/>
        <v>271752386</v>
      </c>
      <c r="P437" s="6">
        <f>SUMIF('JUNE (물량흐름)'!$C$13:$C$502,C437,'JUNE (물량흐름)'!$T$13:$T$502)+SUMIF('JUNE (물량흐름)'!$C$13:$C$502,C437,'JUNE (물량흐름)'!$V$13:$V$502)+SUMIF('JUNE (물량흐름)'!$C$13:$C$502,C437,'JUNE (물량흐름)'!$U$13:$U$502)-SUMIF('JUNE (물량흐름)'!$C$13:$C$502,C437,'JUNE (물량흐름)'!$Y$13:$Y$502)</f>
        <v>10844</v>
      </c>
      <c r="Q437" s="6">
        <f t="shared" si="119"/>
        <v>247678843</v>
      </c>
      <c r="R437" s="6">
        <f>IF(ISERROR(VLOOKUP(#REF!,'WIP(재공품)'!$B$12:$AB$38,13,0)),0,VLOOKUP(#REF!,'WIP(재공품)'!$B$12:$AB$38,13,0))</f>
        <v>0</v>
      </c>
      <c r="S437" s="6">
        <f>IF(ISERROR(VLOOKUP(#REF!,'WIP(재공품)'!$B$12:$AB$38,10,0)),0,VLOOKUP(#REF!,'WIP(재공품)'!$B$12:$AB$38,10,0))</f>
        <v>0</v>
      </c>
      <c r="T437" s="6">
        <f>SUMIF('JUNE (물량흐름)'!$C$13:$C$502,'Overhead exp(제조경비)'!C437,'JUNE (물량흐름)'!$Y$13:$Y$502)</f>
        <v>20</v>
      </c>
      <c r="U437" s="6">
        <f t="shared" si="113"/>
        <v>456803</v>
      </c>
      <c r="V437" s="6">
        <f>ROUND(SUMIF('JUNE (물량흐름)'!$C$13:$C$502,'Overhead exp(제조경비)'!C437,'JUNE (물량흐름)'!$N$13:$N$502),0)</f>
        <v>0</v>
      </c>
      <c r="W437" s="6">
        <f>ROUND(SUMIF('JUNE (물량흐름)'!$C$13:$C$502,'Overhead exp(제조경비)'!C437,'JUNE (물량흐름)'!$O$13:$O$502),0)</f>
        <v>308</v>
      </c>
      <c r="X437" s="6">
        <f>ROUND(SUMIF('JUNE (물량흐름)'!$C$13:$C$502,'Overhead exp(제조경비)'!C437,'JUNE (물량흐름)'!$P$13:$P$502),0)</f>
        <v>726</v>
      </c>
      <c r="Y437" s="6">
        <f t="shared" si="125"/>
        <v>1034</v>
      </c>
      <c r="Z437" s="6">
        <f t="shared" si="126"/>
        <v>735</v>
      </c>
      <c r="AA437" s="6">
        <f t="shared" si="120"/>
        <v>23616740</v>
      </c>
      <c r="AB437" s="391">
        <f t="shared" si="116"/>
        <v>0</v>
      </c>
      <c r="AC437" s="391">
        <f t="shared" si="117"/>
        <v>0</v>
      </c>
    </row>
    <row r="438" spans="1:29" s="390" customFormat="1" ht="24" customHeight="1">
      <c r="A438" s="167">
        <v>448</v>
      </c>
      <c r="B438" s="20" t="str">
        <f>IFERROR(VLOOKUP(A438,'JUNE (물량흐름)'!$A$13:$C$502,2,0),0)</f>
        <v>ANN TAYLOR</v>
      </c>
      <c r="C438" s="272">
        <f>VLOOKUP(A438,'JUNE (물량흐름)'!$A$13:$C$502,3,0)</f>
        <v>474937</v>
      </c>
      <c r="D438" s="6">
        <f>VLOOKUP(C438,'WIP(재공품)'!$B$12:$E$493,4,0)</f>
        <v>37413.75</v>
      </c>
      <c r="E438" s="6">
        <f>IFERROR(VLOOKUP(C438,O.B.JUNE!$AI$7:$AJ$448,2,0),0)</f>
        <v>0</v>
      </c>
      <c r="F438" s="6">
        <f>IFERROR(VLOOKUP(C438,O.B.JUNE!$AI$7:$AK$448,3,0),0)</f>
        <v>0</v>
      </c>
      <c r="G438" s="6">
        <f>IFERROR(VLOOKUP(C438,O.B.JUNE!$AI$7:$AL$448,4,0),0)</f>
        <v>0</v>
      </c>
      <c r="H438" s="6">
        <f t="shared" si="122"/>
        <v>0</v>
      </c>
      <c r="I438" s="6">
        <f>IFERROR(VLOOKUP(C438,O.B.JUNE!$AI$7:$AN$448,6,0),0)</f>
        <v>0</v>
      </c>
      <c r="J438" s="6"/>
      <c r="K438" s="6">
        <f>IFERROR(VLOOKUP(C438,O.B.JUNE!$AI$7:$AO$448,7,0),0)</f>
        <v>0</v>
      </c>
      <c r="L438" s="6">
        <f>SUMIF('JUNE (물량흐름)'!$C$13:$C$488,'Overhead exp(제조경비)'!C438,'JUNE (물량흐름)'!$H$13:$H$493)+SUMIF('JUNE (물량흐름)'!$C$13:$C$493,'Overhead exp(제조경비)'!C438,'JUNE (물량흐름)'!$V$13:$V$493)</f>
        <v>13094</v>
      </c>
      <c r="M438" s="6">
        <f t="shared" si="123"/>
        <v>10702</v>
      </c>
      <c r="N438" s="6">
        <f t="shared" si="124"/>
        <v>400401953</v>
      </c>
      <c r="O438" s="6">
        <f t="shared" si="121"/>
        <v>241938842</v>
      </c>
      <c r="P438" s="6">
        <f>SUMIF('JUNE (물량흐름)'!$C$13:$C$502,C438,'JUNE (물량흐름)'!$T$13:$T$502)+SUMIF('JUNE (물량흐름)'!$C$13:$C$502,C438,'JUNE (물량흐름)'!$V$13:$V$502)+SUMIF('JUNE (물량흐름)'!$C$13:$C$502,C438,'JUNE (물량흐름)'!$U$13:$U$502)-SUMIF('JUNE (물량흐름)'!$C$13:$C$502,C438,'JUNE (물량흐름)'!$Y$13:$Y$502)</f>
        <v>7124</v>
      </c>
      <c r="Q438" s="6">
        <f t="shared" si="119"/>
        <v>131630694</v>
      </c>
      <c r="R438" s="6">
        <f>IF(ISERROR(VLOOKUP(#REF!,'WIP(재공품)'!$B$12:$AB$38,13,0)),0,VLOOKUP(#REF!,'WIP(재공품)'!$B$12:$AB$38,13,0))</f>
        <v>0</v>
      </c>
      <c r="S438" s="6">
        <f>IF(ISERROR(VLOOKUP(#REF!,'WIP(재공품)'!$B$12:$AB$38,10,0)),0,VLOOKUP(#REF!,'WIP(재공품)'!$B$12:$AB$38,10,0))</f>
        <v>0</v>
      </c>
      <c r="T438" s="6">
        <f>SUMIF('JUNE (물량흐름)'!$C$13:$C$502,'Overhead exp(제조경비)'!C438,'JUNE (물량흐름)'!$Y$13:$Y$502)</f>
        <v>0</v>
      </c>
      <c r="U438" s="6">
        <f t="shared" si="113"/>
        <v>0</v>
      </c>
      <c r="V438" s="6">
        <f>ROUND(SUMIF('JUNE (물량흐름)'!$C$13:$C$502,'Overhead exp(제조경비)'!C438,'JUNE (물량흐름)'!$N$13:$N$502),0)</f>
        <v>0</v>
      </c>
      <c r="W438" s="6">
        <f>ROUND(SUMIF('JUNE (물량흐름)'!$C$13:$C$502,'Overhead exp(제조경비)'!C438,'JUNE (물량흐름)'!$O$13:$O$502),0)</f>
        <v>3992</v>
      </c>
      <c r="X438" s="6">
        <f>ROUND(SUMIF('JUNE (물량흐름)'!$C$13:$C$502,'Overhead exp(제조경비)'!C438,'JUNE (물량흐름)'!$P$13:$P$502),0)</f>
        <v>1978</v>
      </c>
      <c r="Y438" s="6">
        <f t="shared" si="125"/>
        <v>5970</v>
      </c>
      <c r="Z438" s="6">
        <f t="shared" si="126"/>
        <v>3578</v>
      </c>
      <c r="AA438" s="6">
        <f t="shared" si="120"/>
        <v>110308148</v>
      </c>
      <c r="AB438" s="391">
        <f t="shared" si="116"/>
        <v>0</v>
      </c>
      <c r="AC438" s="391">
        <f t="shared" si="117"/>
        <v>0</v>
      </c>
    </row>
    <row r="439" spans="1:29" s="390" customFormat="1" ht="24" customHeight="1">
      <c r="A439" s="167">
        <v>449</v>
      </c>
      <c r="B439" s="20" t="str">
        <f>IFERROR(VLOOKUP(A439,'JUNE (물량흐름)'!$A$13:$C$502,2,0),0)</f>
        <v>ANN TAYLOR</v>
      </c>
      <c r="C439" s="272">
        <f>VLOOKUP(A439,'JUNE (물량흐름)'!$A$13:$C$502,3,0)</f>
        <v>476557</v>
      </c>
      <c r="D439" s="6">
        <f>VLOOKUP(C439,'WIP(재공품)'!$B$12:$E$493,4,0)</f>
        <v>34012.5</v>
      </c>
      <c r="E439" s="6">
        <f>IFERROR(VLOOKUP(C439,O.B.JUNE!$AI$7:$AJ$448,2,0),0)</f>
        <v>0</v>
      </c>
      <c r="F439" s="6">
        <f>IFERROR(VLOOKUP(C439,O.B.JUNE!$AI$7:$AK$448,3,0),0)</f>
        <v>0</v>
      </c>
      <c r="G439" s="6">
        <f>IFERROR(VLOOKUP(C439,O.B.JUNE!$AI$7:$AL$448,4,0),0)</f>
        <v>0</v>
      </c>
      <c r="H439" s="6">
        <f t="shared" si="122"/>
        <v>0</v>
      </c>
      <c r="I439" s="6">
        <f>IFERROR(VLOOKUP(C439,O.B.JUNE!$AI$7:$AN$448,6,0),0)</f>
        <v>0</v>
      </c>
      <c r="J439" s="6"/>
      <c r="K439" s="6">
        <f>IFERROR(VLOOKUP(C439,O.B.JUNE!$AI$7:$AO$448,7,0),0)</f>
        <v>0</v>
      </c>
      <c r="L439" s="6">
        <f>SUMIF('JUNE (물량흐름)'!$C$13:$C$488,'Overhead exp(제조경비)'!C439,'JUNE (물량흐름)'!$H$13:$H$493)+SUMIF('JUNE (물량흐름)'!$C$13:$C$493,'Overhead exp(제조경비)'!C439,'JUNE (물량흐름)'!$V$13:$V$493)</f>
        <v>1400</v>
      </c>
      <c r="M439" s="6">
        <f t="shared" si="123"/>
        <v>1151</v>
      </c>
      <c r="N439" s="6">
        <f t="shared" si="124"/>
        <v>39148388</v>
      </c>
      <c r="O439" s="6">
        <f t="shared" si="121"/>
        <v>23655018</v>
      </c>
      <c r="P439" s="6">
        <f>SUMIF('JUNE (물량흐름)'!$C$13:$C$502,C439,'JUNE (물량흐름)'!$T$13:$T$502)+SUMIF('JUNE (물량흐름)'!$C$13:$C$502,C439,'JUNE (물량흐름)'!$V$13:$V$502)+SUMIF('JUNE (물량흐름)'!$C$13:$C$502,C439,'JUNE (물량흐름)'!$U$13:$U$502)-SUMIF('JUNE (물량흐름)'!$C$13:$C$502,C439,'JUNE (물량흐름)'!$Y$13:$Y$502)</f>
        <v>199</v>
      </c>
      <c r="Q439" s="6">
        <f t="shared" si="119"/>
        <v>3362392</v>
      </c>
      <c r="R439" s="6">
        <f>IF(ISERROR(VLOOKUP(#REF!,'WIP(재공품)'!$B$12:$AB$38,13,0)),0,VLOOKUP(#REF!,'WIP(재공품)'!$B$12:$AB$38,13,0))</f>
        <v>0</v>
      </c>
      <c r="S439" s="6">
        <f>IF(ISERROR(VLOOKUP(#REF!,'WIP(재공품)'!$B$12:$AB$38,10,0)),0,VLOOKUP(#REF!,'WIP(재공품)'!$B$12:$AB$38,10,0))</f>
        <v>0</v>
      </c>
      <c r="T439" s="6">
        <f>SUMIF('JUNE (물량흐름)'!$C$13:$C$502,'Overhead exp(제조경비)'!C439,'JUNE (물량흐름)'!$Y$13:$Y$502)</f>
        <v>0</v>
      </c>
      <c r="U439" s="6">
        <f t="shared" ref="U439:U492" si="127">IFERROR(ROUND(IF(AND(T439&lt;=0,($I439+$M439)=0),T439*(K439+O439)/(I439+M439),T439*(K439+O439)/(H439+L439)),0),0)</f>
        <v>0</v>
      </c>
      <c r="V439" s="6">
        <f>ROUND(SUMIF('JUNE (물량흐름)'!$C$13:$C$502,'Overhead exp(제조경비)'!C439,'JUNE (물량흐름)'!$N$13:$N$502),0)</f>
        <v>0</v>
      </c>
      <c r="W439" s="6">
        <f>ROUND(SUMIF('JUNE (물량흐름)'!$C$13:$C$502,'Overhead exp(제조경비)'!C439,'JUNE (물량흐름)'!$O$13:$O$502),0)</f>
        <v>31</v>
      </c>
      <c r="X439" s="6">
        <f>ROUND(SUMIF('JUNE (물량흐름)'!$C$13:$C$502,'Overhead exp(제조경비)'!C439,'JUNE (물량흐름)'!$P$13:$P$502),0)</f>
        <v>1170</v>
      </c>
      <c r="Y439" s="6">
        <f t="shared" si="125"/>
        <v>1201</v>
      </c>
      <c r="Z439" s="6">
        <f t="shared" si="126"/>
        <v>952</v>
      </c>
      <c r="AA439" s="6">
        <f t="shared" si="120"/>
        <v>20292626</v>
      </c>
      <c r="AB439" s="391">
        <f t="shared" ref="AB439:AB487" si="128">K439+O439-Q439-U439-AA439</f>
        <v>0</v>
      </c>
      <c r="AC439" s="391">
        <f t="shared" ref="AC439:AC487" si="129">H439+L439-P439-T439-Y439</f>
        <v>0</v>
      </c>
    </row>
    <row r="440" spans="1:29" s="390" customFormat="1" ht="24" customHeight="1">
      <c r="A440" s="167">
        <v>450</v>
      </c>
      <c r="B440" s="20" t="str">
        <f>IFERROR(VLOOKUP(A440,'JUNE (물량흐름)'!$A$13:$C$502,2,0),0)</f>
        <v>ALFANI</v>
      </c>
      <c r="C440" s="272">
        <f>VLOOKUP(A440,'JUNE (물량흐름)'!$A$13:$C$502,3,0)</f>
        <v>100018225</v>
      </c>
      <c r="D440" s="6">
        <f>VLOOKUP(C440,'WIP(재공품)'!$B$12:$E$493,4,0)</f>
        <v>77095</v>
      </c>
      <c r="E440" s="6">
        <f>IFERROR(VLOOKUP(C440,O.B.JUNE!$AI$7:$AJ$448,2,0),0)</f>
        <v>0</v>
      </c>
      <c r="F440" s="6">
        <f>IFERROR(VLOOKUP(C440,O.B.JUNE!$AI$7:$AK$448,3,0),0)</f>
        <v>0</v>
      </c>
      <c r="G440" s="6">
        <f>IFERROR(VLOOKUP(C440,O.B.JUNE!$AI$7:$AL$448,4,0),0)</f>
        <v>0</v>
      </c>
      <c r="H440" s="6">
        <f t="shared" si="122"/>
        <v>0</v>
      </c>
      <c r="I440" s="6">
        <f>IFERROR(VLOOKUP(C440,O.B.JUNE!$AI$7:$AN$448,6,0),0)</f>
        <v>0</v>
      </c>
      <c r="J440" s="6"/>
      <c r="K440" s="6">
        <f>IFERROR(VLOOKUP(C440,O.B.JUNE!$AI$7:$AO$448,7,0),0)</f>
        <v>0</v>
      </c>
      <c r="L440" s="6">
        <f>SUMIF('JUNE (물량흐름)'!$C$13:$C$488,'Overhead exp(제조경비)'!C440,'JUNE (물량흐름)'!$H$13:$H$493)+SUMIF('JUNE (물량흐름)'!$C$13:$C$493,'Overhead exp(제조경비)'!C440,'JUNE (물량흐름)'!$V$13:$V$493)</f>
        <v>1884</v>
      </c>
      <c r="M440" s="6">
        <f t="shared" si="123"/>
        <v>1124</v>
      </c>
      <c r="N440" s="6">
        <f t="shared" si="124"/>
        <v>86654780</v>
      </c>
      <c r="O440" s="6">
        <f t="shared" si="121"/>
        <v>52360277</v>
      </c>
      <c r="P440" s="6">
        <f>SUMIF('JUNE (물량흐름)'!$C$13:$C$502,C440,'JUNE (물량흐름)'!$T$13:$T$502)+SUMIF('JUNE (물량흐름)'!$C$13:$C$502,C440,'JUNE (물량흐름)'!$V$13:$V$502)+SUMIF('JUNE (물량흐름)'!$C$13:$C$502,C440,'JUNE (물량흐름)'!$U$13:$U$502)-SUMIF('JUNE (물량흐름)'!$C$13:$C$502,C440,'JUNE (물량흐름)'!$Y$13:$Y$502)</f>
        <v>255</v>
      </c>
      <c r="Q440" s="6">
        <f t="shared" si="119"/>
        <v>7086980</v>
      </c>
      <c r="R440" s="6">
        <f>IF(ISERROR(VLOOKUP(#REF!,'WIP(재공품)'!$B$12:$AB$38,13,0)),0,VLOOKUP(#REF!,'WIP(재공품)'!$B$12:$AB$38,13,0))</f>
        <v>0</v>
      </c>
      <c r="S440" s="6">
        <f>IF(ISERROR(VLOOKUP(#REF!,'WIP(재공품)'!$B$12:$AB$38,10,0)),0,VLOOKUP(#REF!,'WIP(재공품)'!$B$12:$AB$38,10,0))</f>
        <v>0</v>
      </c>
      <c r="T440" s="6">
        <f>SUMIF('JUNE (물량흐름)'!$C$13:$C$502,'Overhead exp(제조경비)'!C440,'JUNE (물량흐름)'!$Y$13:$Y$502)</f>
        <v>0</v>
      </c>
      <c r="U440" s="6">
        <f t="shared" si="127"/>
        <v>0</v>
      </c>
      <c r="V440" s="6">
        <f>ROUND(SUMIF('JUNE (물량흐름)'!$C$13:$C$502,'Overhead exp(제조경비)'!C440,'JUNE (물량흐름)'!$N$13:$N$502),0)</f>
        <v>46</v>
      </c>
      <c r="W440" s="6">
        <f>ROUND(SUMIF('JUNE (물량흐름)'!$C$13:$C$502,'Overhead exp(제조경비)'!C440,'JUNE (물량흐름)'!$O$13:$O$502),0)</f>
        <v>1354</v>
      </c>
      <c r="X440" s="6">
        <f>ROUND(SUMIF('JUNE (물량흐름)'!$C$13:$C$502,'Overhead exp(제조경비)'!C440,'JUNE (물량흐름)'!$P$13:$P$502),0)</f>
        <v>229</v>
      </c>
      <c r="Y440" s="6">
        <f t="shared" si="125"/>
        <v>1629</v>
      </c>
      <c r="Z440" s="6">
        <f t="shared" si="126"/>
        <v>869</v>
      </c>
      <c r="AA440" s="6">
        <f t="shared" si="120"/>
        <v>45273297</v>
      </c>
      <c r="AB440" s="391">
        <f t="shared" si="128"/>
        <v>0</v>
      </c>
      <c r="AC440" s="391">
        <f t="shared" si="129"/>
        <v>0</v>
      </c>
    </row>
    <row r="441" spans="1:29" s="390" customFormat="1" ht="24" customHeight="1">
      <c r="A441" s="167">
        <v>451</v>
      </c>
      <c r="B441" s="20" t="str">
        <f>IFERROR(VLOOKUP(A441,'JUNE (물량흐름)'!$A$13:$C$502,2,0),0)</f>
        <v>ALFANI</v>
      </c>
      <c r="C441" s="272">
        <f>VLOOKUP(A441,'JUNE (물량흐름)'!$A$13:$C$502,3,0)</f>
        <v>100018230</v>
      </c>
      <c r="D441" s="6">
        <f>VLOOKUP(C441,'WIP(재공품)'!$B$12:$E$493,4,0)</f>
        <v>46710.5</v>
      </c>
      <c r="E441" s="6">
        <f>IFERROR(VLOOKUP(C441,O.B.JUNE!$AI$7:$AJ$448,2,0),0)</f>
        <v>0</v>
      </c>
      <c r="F441" s="6">
        <f>IFERROR(VLOOKUP(C441,O.B.JUNE!$AI$7:$AK$448,3,0),0)</f>
        <v>0</v>
      </c>
      <c r="G441" s="6">
        <f>IFERROR(VLOOKUP(C441,O.B.JUNE!$AI$7:$AL$448,4,0),0)</f>
        <v>0</v>
      </c>
      <c r="H441" s="6">
        <f t="shared" si="122"/>
        <v>0</v>
      </c>
      <c r="I441" s="6">
        <f>IFERROR(VLOOKUP(C441,O.B.JUNE!$AI$7:$AN$448,6,0),0)</f>
        <v>0</v>
      </c>
      <c r="J441" s="6"/>
      <c r="K441" s="6">
        <f>IFERROR(VLOOKUP(C441,O.B.JUNE!$AI$7:$AO$448,7,0),0)</f>
        <v>0</v>
      </c>
      <c r="L441" s="6">
        <f>SUMIF('JUNE (물량흐름)'!$C$13:$C$488,'Overhead exp(제조경비)'!C441,'JUNE (물량흐름)'!$H$13:$H$493)+SUMIF('JUNE (물량흐름)'!$C$13:$C$493,'Overhead exp(제조경비)'!C441,'JUNE (물량흐름)'!$V$13:$V$493)</f>
        <v>5184</v>
      </c>
      <c r="M441" s="6">
        <f t="shared" si="123"/>
        <v>5123</v>
      </c>
      <c r="N441" s="6">
        <f t="shared" si="124"/>
        <v>239297892</v>
      </c>
      <c r="O441" s="6">
        <f t="shared" si="121"/>
        <v>144593338</v>
      </c>
      <c r="P441" s="6">
        <f>SUMIF('JUNE (물량흐름)'!$C$13:$C$502,C441,'JUNE (물량흐름)'!$T$13:$T$502)+SUMIF('JUNE (물량흐름)'!$C$13:$C$502,C441,'JUNE (물량흐름)'!$V$13:$V$502)+SUMIF('JUNE (물량흐름)'!$C$13:$C$502,C441,'JUNE (물량흐름)'!$U$13:$U$502)-SUMIF('JUNE (물량흐름)'!$C$13:$C$502,C441,'JUNE (물량흐름)'!$Y$13:$Y$502)</f>
        <v>4877</v>
      </c>
      <c r="Q441" s="6">
        <f t="shared" si="119"/>
        <v>136030422</v>
      </c>
      <c r="R441" s="6">
        <f>IF(ISERROR(VLOOKUP(#REF!,'WIP(재공품)'!$B$12:$AB$38,13,0)),0,VLOOKUP(#REF!,'WIP(재공품)'!$B$12:$AB$38,13,0))</f>
        <v>0</v>
      </c>
      <c r="S441" s="6">
        <f>IF(ISERROR(VLOOKUP(#REF!,'WIP(재공품)'!$B$12:$AB$38,10,0)),0,VLOOKUP(#REF!,'WIP(재공품)'!$B$12:$AB$38,10,0))</f>
        <v>0</v>
      </c>
      <c r="T441" s="6">
        <f>SUMIF('JUNE (물량흐름)'!$C$13:$C$502,'Overhead exp(제조경비)'!C441,'JUNE (물량흐름)'!$Y$13:$Y$502)</f>
        <v>4</v>
      </c>
      <c r="U441" s="6">
        <f t="shared" si="127"/>
        <v>111569</v>
      </c>
      <c r="V441" s="6">
        <f>ROUND(SUMIF('JUNE (물량흐름)'!$C$13:$C$502,'Overhead exp(제조경비)'!C441,'JUNE (물량흐름)'!$N$13:$N$502),0)</f>
        <v>0</v>
      </c>
      <c r="W441" s="6">
        <f>ROUND(SUMIF('JUNE (물량흐름)'!$C$13:$C$502,'Overhead exp(제조경비)'!C441,'JUNE (물량흐름)'!$O$13:$O$502),0)</f>
        <v>0</v>
      </c>
      <c r="X441" s="6">
        <f>ROUND(SUMIF('JUNE (물량흐름)'!$C$13:$C$502,'Overhead exp(제조경비)'!C441,'JUNE (물량흐름)'!$P$13:$P$502),0)</f>
        <v>303</v>
      </c>
      <c r="Y441" s="6">
        <f t="shared" si="125"/>
        <v>303</v>
      </c>
      <c r="Z441" s="6">
        <f t="shared" si="126"/>
        <v>242</v>
      </c>
      <c r="AA441" s="6">
        <f t="shared" si="120"/>
        <v>8451347</v>
      </c>
      <c r="AB441" s="391">
        <f t="shared" si="128"/>
        <v>0</v>
      </c>
      <c r="AC441" s="391">
        <f t="shared" si="129"/>
        <v>0</v>
      </c>
    </row>
    <row r="442" spans="1:29" s="390" customFormat="1" ht="24" customHeight="1">
      <c r="A442" s="167">
        <v>452</v>
      </c>
      <c r="B442" s="20" t="str">
        <f>IFERROR(VLOOKUP(A442,'JUNE (물량흐름)'!$A$13:$C$502,2,0),0)</f>
        <v>ALFANI</v>
      </c>
      <c r="C442" s="272">
        <f>VLOOKUP(A442,'JUNE (물량흐름)'!$A$13:$C$502,3,0)</f>
        <v>100024454</v>
      </c>
      <c r="D442" s="6">
        <f>VLOOKUP(C442,'WIP(재공품)'!$B$12:$E$493,4,0)</f>
        <v>28343.75</v>
      </c>
      <c r="E442" s="6">
        <f>IFERROR(VLOOKUP(C442,O.B.JUNE!$AI$7:$AJ$448,2,0),0)</f>
        <v>0</v>
      </c>
      <c r="F442" s="6">
        <f>IFERROR(VLOOKUP(C442,O.B.JUNE!$AI$7:$AK$448,3,0),0)</f>
        <v>0</v>
      </c>
      <c r="G442" s="6">
        <f>IFERROR(VLOOKUP(C442,O.B.JUNE!$AI$7:$AL$448,4,0),0)</f>
        <v>0</v>
      </c>
      <c r="H442" s="6">
        <f t="shared" si="122"/>
        <v>0</v>
      </c>
      <c r="I442" s="6">
        <f>IFERROR(VLOOKUP(C442,O.B.JUNE!$AI$7:$AN$448,6,0),0)</f>
        <v>0</v>
      </c>
      <c r="J442" s="6"/>
      <c r="K442" s="6">
        <f>IFERROR(VLOOKUP(C442,O.B.JUNE!$AI$7:$AO$448,7,0),0)</f>
        <v>0</v>
      </c>
      <c r="L442" s="6">
        <f>SUMIF('JUNE (물량흐름)'!$C$13:$C$488,'Overhead exp(제조경비)'!C442,'JUNE (물량흐름)'!$H$13:$H$493)+SUMIF('JUNE (물량흐름)'!$C$13:$C$493,'Overhead exp(제조경비)'!C442,'JUNE (물량흐름)'!$V$13:$V$493)</f>
        <v>1146</v>
      </c>
      <c r="M442" s="6">
        <f t="shared" si="123"/>
        <v>1108</v>
      </c>
      <c r="N442" s="6">
        <f t="shared" si="124"/>
        <v>31404875</v>
      </c>
      <c r="O442" s="6">
        <f t="shared" si="121"/>
        <v>18976079</v>
      </c>
      <c r="P442" s="6">
        <f>SUMIF('JUNE (물량흐름)'!$C$13:$C$502,C442,'JUNE (물량흐름)'!$T$13:$T$502)+SUMIF('JUNE (물량흐름)'!$C$13:$C$502,C442,'JUNE (물량흐름)'!$V$13:$V$502)+SUMIF('JUNE (물량흐름)'!$C$13:$C$502,C442,'JUNE (물량흐름)'!$U$13:$U$502)-SUMIF('JUNE (물량흐름)'!$C$13:$C$502,C442,'JUNE (물량흐름)'!$Y$13:$Y$502)</f>
        <v>1043</v>
      </c>
      <c r="Q442" s="6">
        <f t="shared" si="119"/>
        <v>17270550</v>
      </c>
      <c r="R442" s="6">
        <f>IF(ISERROR(VLOOKUP(#REF!,'WIP(재공품)'!$B$12:$AB$38,13,0)),0,VLOOKUP(#REF!,'WIP(재공품)'!$B$12:$AB$38,13,0))</f>
        <v>0</v>
      </c>
      <c r="S442" s="6">
        <f>IF(ISERROR(VLOOKUP(#REF!,'WIP(재공품)'!$B$12:$AB$38,10,0)),0,VLOOKUP(#REF!,'WIP(재공품)'!$B$12:$AB$38,10,0))</f>
        <v>0</v>
      </c>
      <c r="T442" s="6">
        <f>SUMIF('JUNE (물량흐름)'!$C$13:$C$502,'Overhead exp(제조경비)'!C442,'JUNE (물량흐름)'!$Y$13:$Y$502)</f>
        <v>0</v>
      </c>
      <c r="U442" s="6">
        <f t="shared" si="127"/>
        <v>0</v>
      </c>
      <c r="V442" s="6">
        <f>ROUND(SUMIF('JUNE (물량흐름)'!$C$13:$C$502,'Overhead exp(제조경비)'!C442,'JUNE (물량흐름)'!$N$13:$N$502),0)</f>
        <v>0</v>
      </c>
      <c r="W442" s="6">
        <f>ROUND(SUMIF('JUNE (물량흐름)'!$C$13:$C$502,'Overhead exp(제조경비)'!C442,'JUNE (물량흐름)'!$O$13:$O$502),0)</f>
        <v>59</v>
      </c>
      <c r="X442" s="6">
        <f>ROUND(SUMIF('JUNE (물량흐름)'!$C$13:$C$502,'Overhead exp(제조경비)'!C442,'JUNE (물량흐름)'!$P$13:$P$502),0)</f>
        <v>44</v>
      </c>
      <c r="Y442" s="6">
        <f t="shared" si="125"/>
        <v>103</v>
      </c>
      <c r="Z442" s="6">
        <f t="shared" si="126"/>
        <v>65</v>
      </c>
      <c r="AA442" s="6">
        <f t="shared" si="120"/>
        <v>1705529</v>
      </c>
      <c r="AB442" s="391">
        <f t="shared" si="128"/>
        <v>0</v>
      </c>
      <c r="AC442" s="391">
        <f t="shared" si="129"/>
        <v>0</v>
      </c>
    </row>
    <row r="443" spans="1:29" s="390" customFormat="1" ht="24" customHeight="1">
      <c r="A443" s="167">
        <v>453</v>
      </c>
      <c r="B443" s="20" t="str">
        <f>IFERROR(VLOOKUP(A443,'JUNE (물량흐름)'!$A$13:$C$502,2,0),0)</f>
        <v>ALFANI</v>
      </c>
      <c r="C443" s="272">
        <f>VLOOKUP(A443,'JUNE (물량흐름)'!$A$13:$C$502,3,0)</f>
        <v>100024455</v>
      </c>
      <c r="D443" s="6">
        <f>VLOOKUP(C443,'WIP(재공품)'!$B$12:$E$493,4,0)</f>
        <v>28343.75</v>
      </c>
      <c r="E443" s="6">
        <f>IFERROR(VLOOKUP(C443,O.B.JUNE!$AI$7:$AJ$448,2,0),0)</f>
        <v>0</v>
      </c>
      <c r="F443" s="6">
        <f>IFERROR(VLOOKUP(C443,O.B.JUNE!$AI$7:$AK$448,3,0),0)</f>
        <v>0</v>
      </c>
      <c r="G443" s="6">
        <f>IFERROR(VLOOKUP(C443,O.B.JUNE!$AI$7:$AL$448,4,0),0)</f>
        <v>0</v>
      </c>
      <c r="H443" s="6">
        <f t="shared" si="122"/>
        <v>0</v>
      </c>
      <c r="I443" s="6">
        <f>IFERROR(VLOOKUP(C443,O.B.JUNE!$AI$7:$AN$448,6,0),0)</f>
        <v>0</v>
      </c>
      <c r="J443" s="6"/>
      <c r="K443" s="6">
        <f>IFERROR(VLOOKUP(C443,O.B.JUNE!$AI$7:$AO$448,7,0),0)</f>
        <v>0</v>
      </c>
      <c r="L443" s="6">
        <f>SUMIF('JUNE (물량흐름)'!$C$13:$C$488,'Overhead exp(제조경비)'!C443,'JUNE (물량흐름)'!$H$13:$H$493)+SUMIF('JUNE (물량흐름)'!$C$13:$C$493,'Overhead exp(제조경비)'!C443,'JUNE (물량흐름)'!$V$13:$V$493)</f>
        <v>1785</v>
      </c>
      <c r="M443" s="6">
        <f t="shared" si="123"/>
        <v>1202</v>
      </c>
      <c r="N443" s="6">
        <f t="shared" si="124"/>
        <v>34069188</v>
      </c>
      <c r="O443" s="6">
        <f t="shared" ref="O443:O487" si="130">ROUND(M443*D443*$O$493/$N$493,0)</f>
        <v>20585963</v>
      </c>
      <c r="P443" s="6">
        <f>SUMIF('JUNE (물량흐름)'!$C$13:$C$502,C443,'JUNE (물량흐름)'!$T$13:$T$502)+SUMIF('JUNE (물량흐름)'!$C$13:$C$502,C443,'JUNE (물량흐름)'!$V$13:$V$502)+SUMIF('JUNE (물량흐름)'!$C$13:$C$502,C443,'JUNE (물량흐름)'!$U$13:$U$502)-SUMIF('JUNE (물량흐름)'!$C$13:$C$502,C443,'JUNE (물량흐름)'!$Y$13:$Y$502)</f>
        <v>402</v>
      </c>
      <c r="Q443" s="6">
        <f t="shared" si="119"/>
        <v>4636166</v>
      </c>
      <c r="R443" s="6">
        <f>IF(ISERROR(VLOOKUP(#REF!,'WIP(재공품)'!$B$12:$AB$38,13,0)),0,VLOOKUP(#REF!,'WIP(재공품)'!$B$12:$AB$38,13,0))</f>
        <v>0</v>
      </c>
      <c r="S443" s="6">
        <f>IF(ISERROR(VLOOKUP(#REF!,'WIP(재공품)'!$B$12:$AB$38,10,0)),0,VLOOKUP(#REF!,'WIP(재공품)'!$B$12:$AB$38,10,0))</f>
        <v>0</v>
      </c>
      <c r="T443" s="6">
        <f>SUMIF('JUNE (물량흐름)'!$C$13:$C$502,'Overhead exp(제조경비)'!C443,'JUNE (물량흐름)'!$Y$13:$Y$502)</f>
        <v>0</v>
      </c>
      <c r="U443" s="6">
        <f t="shared" si="127"/>
        <v>0</v>
      </c>
      <c r="V443" s="6">
        <f>ROUND(SUMIF('JUNE (물량흐름)'!$C$13:$C$502,'Overhead exp(제조경비)'!C443,'JUNE (물량흐름)'!$N$13:$N$502),0)</f>
        <v>0</v>
      </c>
      <c r="W443" s="6">
        <f>ROUND(SUMIF('JUNE (물량흐름)'!$C$13:$C$502,'Overhead exp(제조경비)'!C443,'JUNE (물량흐름)'!$O$13:$O$502),0)</f>
        <v>1023</v>
      </c>
      <c r="X443" s="6">
        <f>ROUND(SUMIF('JUNE (물량흐름)'!$C$13:$C$502,'Overhead exp(제조경비)'!C443,'JUNE (물량흐름)'!$P$13:$P$502),0)</f>
        <v>360</v>
      </c>
      <c r="Y443" s="6">
        <f t="shared" si="125"/>
        <v>1383</v>
      </c>
      <c r="Z443" s="6">
        <f t="shared" si="126"/>
        <v>800</v>
      </c>
      <c r="AA443" s="6">
        <f t="shared" si="120"/>
        <v>15949797</v>
      </c>
      <c r="AB443" s="391">
        <f t="shared" si="128"/>
        <v>0</v>
      </c>
      <c r="AC443" s="391">
        <f t="shared" si="129"/>
        <v>0</v>
      </c>
    </row>
    <row r="444" spans="1:29" s="390" customFormat="1" ht="24" customHeight="1">
      <c r="A444" s="167">
        <v>454</v>
      </c>
      <c r="B444" s="20" t="str">
        <f>IFERROR(VLOOKUP(A444,'JUNE (물량흐름)'!$A$13:$C$502,2,0),0)</f>
        <v>ALFANI</v>
      </c>
      <c r="C444" s="272">
        <f>VLOOKUP(A444,'JUNE (물량흐름)'!$A$13:$C$502,3,0)</f>
        <v>100024464</v>
      </c>
      <c r="D444" s="6">
        <f>VLOOKUP(C444,'WIP(재공품)'!$B$12:$E$493,4,0)</f>
        <v>43082.5</v>
      </c>
      <c r="E444" s="6">
        <f>IFERROR(VLOOKUP(C444,O.B.JUNE!$AI$7:$AJ$448,2,0),0)</f>
        <v>0</v>
      </c>
      <c r="F444" s="6">
        <f>IFERROR(VLOOKUP(C444,O.B.JUNE!$AI$7:$AK$448,3,0),0)</f>
        <v>0</v>
      </c>
      <c r="G444" s="6">
        <f>IFERROR(VLOOKUP(C444,O.B.JUNE!$AI$7:$AL$448,4,0),0)</f>
        <v>0</v>
      </c>
      <c r="H444" s="6">
        <f t="shared" si="122"/>
        <v>0</v>
      </c>
      <c r="I444" s="6">
        <f>IFERROR(VLOOKUP(C444,O.B.JUNE!$AI$7:$AN$448,6,0),0)</f>
        <v>0</v>
      </c>
      <c r="J444" s="6"/>
      <c r="K444" s="6">
        <f>IFERROR(VLOOKUP(C444,O.B.JUNE!$AI$7:$AO$448,7,0),0)</f>
        <v>0</v>
      </c>
      <c r="L444" s="6">
        <f>SUMIF('JUNE (물량흐름)'!$C$13:$C$488,'Overhead exp(제조경비)'!C444,'JUNE (물량흐름)'!$H$13:$H$493)+SUMIF('JUNE (물량흐름)'!$C$13:$C$493,'Overhead exp(제조경비)'!C444,'JUNE (물량흐름)'!$V$13:$V$493)</f>
        <v>3526</v>
      </c>
      <c r="M444" s="6">
        <f t="shared" si="123"/>
        <v>3209</v>
      </c>
      <c r="N444" s="6">
        <f t="shared" si="124"/>
        <v>138251743</v>
      </c>
      <c r="O444" s="6">
        <f t="shared" si="130"/>
        <v>83537221</v>
      </c>
      <c r="P444" s="6">
        <f>SUMIF('JUNE (물량흐름)'!$C$13:$C$502,C444,'JUNE (물량흐름)'!$T$13:$T$502)+SUMIF('JUNE (물량흐름)'!$C$13:$C$502,C444,'JUNE (물량흐름)'!$V$13:$V$502)+SUMIF('JUNE (물량흐름)'!$C$13:$C$502,C444,'JUNE (물량흐름)'!$U$13:$U$502)-SUMIF('JUNE (물량흐름)'!$C$13:$C$502,C444,'JUNE (물량흐름)'!$Y$13:$Y$502)</f>
        <v>2065</v>
      </c>
      <c r="Q444" s="6">
        <f t="shared" si="119"/>
        <v>48923528</v>
      </c>
      <c r="R444" s="6">
        <f>IF(ISERROR(VLOOKUP(#REF!,'WIP(재공품)'!$B$12:$AB$38,13,0)),0,VLOOKUP(#REF!,'WIP(재공품)'!$B$12:$AB$38,13,0))</f>
        <v>0</v>
      </c>
      <c r="S444" s="6">
        <f>IF(ISERROR(VLOOKUP(#REF!,'WIP(재공품)'!$B$12:$AB$38,10,0)),0,VLOOKUP(#REF!,'WIP(재공품)'!$B$12:$AB$38,10,0))</f>
        <v>0</v>
      </c>
      <c r="T444" s="6">
        <f>SUMIF('JUNE (물량흐름)'!$C$13:$C$502,'Overhead exp(제조경비)'!C444,'JUNE (물량흐름)'!$Y$13:$Y$502)</f>
        <v>0</v>
      </c>
      <c r="U444" s="6">
        <f t="shared" si="127"/>
        <v>0</v>
      </c>
      <c r="V444" s="6">
        <f>ROUND(SUMIF('JUNE (물량흐름)'!$C$13:$C$502,'Overhead exp(제조경비)'!C444,'JUNE (물량흐름)'!$N$13:$N$502),0)</f>
        <v>0</v>
      </c>
      <c r="W444" s="6">
        <f>ROUND(SUMIF('JUNE (물량흐름)'!$C$13:$C$502,'Overhead exp(제조경비)'!C444,'JUNE (물량흐름)'!$O$13:$O$502),0)</f>
        <v>82</v>
      </c>
      <c r="X444" s="6">
        <f>ROUND(SUMIF('JUNE (물량흐름)'!$C$13:$C$502,'Overhead exp(제조경비)'!C444,'JUNE (물량흐름)'!$P$13:$P$502),0)</f>
        <v>1379</v>
      </c>
      <c r="Y444" s="6">
        <f t="shared" si="125"/>
        <v>1461</v>
      </c>
      <c r="Z444" s="6">
        <f t="shared" si="126"/>
        <v>1144</v>
      </c>
      <c r="AA444" s="6">
        <f t="shared" si="120"/>
        <v>34613693</v>
      </c>
      <c r="AB444" s="391">
        <f t="shared" si="128"/>
        <v>0</v>
      </c>
      <c r="AC444" s="391">
        <f t="shared" si="129"/>
        <v>0</v>
      </c>
    </row>
    <row r="445" spans="1:29" s="390" customFormat="1" ht="24" customHeight="1">
      <c r="A445" s="167">
        <v>455</v>
      </c>
      <c r="B445" s="20" t="str">
        <f>IFERROR(VLOOKUP(A445,'JUNE (물량흐름)'!$A$13:$C$502,2,0),0)</f>
        <v>ALFANI</v>
      </c>
      <c r="C445" s="272">
        <f>VLOOKUP(A445,'JUNE (물량흐름)'!$A$13:$C$502,3,0)</f>
        <v>100024758</v>
      </c>
      <c r="D445" s="6">
        <f>VLOOKUP(C445,'WIP(재공품)'!$B$12:$E$493,4,0)</f>
        <v>68025</v>
      </c>
      <c r="E445" s="6">
        <f>IFERROR(VLOOKUP(C445,O.B.JUNE!$AI$7:$AJ$448,2,0),0)</f>
        <v>0</v>
      </c>
      <c r="F445" s="6">
        <f>IFERROR(VLOOKUP(C445,O.B.JUNE!$AI$7:$AK$448,3,0),0)</f>
        <v>0</v>
      </c>
      <c r="G445" s="6">
        <f>IFERROR(VLOOKUP(C445,O.B.JUNE!$AI$7:$AL$448,4,0),0)</f>
        <v>0</v>
      </c>
      <c r="H445" s="6">
        <f t="shared" si="122"/>
        <v>0</v>
      </c>
      <c r="I445" s="6">
        <f>IFERROR(VLOOKUP(C445,O.B.JUNE!$AI$7:$AN$448,6,0),0)</f>
        <v>0</v>
      </c>
      <c r="J445" s="6"/>
      <c r="K445" s="6">
        <f>IFERROR(VLOOKUP(C445,O.B.JUNE!$AI$7:$AO$448,7,0),0)</f>
        <v>0</v>
      </c>
      <c r="L445" s="6">
        <f>SUMIF('JUNE (물량흐름)'!$C$13:$C$488,'Overhead exp(제조경비)'!C445,'JUNE (물량흐름)'!$H$13:$H$493)+SUMIF('JUNE (물량흐름)'!$C$13:$C$493,'Overhead exp(제조경비)'!C445,'JUNE (물량흐름)'!$V$13:$V$493)</f>
        <v>7292</v>
      </c>
      <c r="M445" s="6">
        <f t="shared" si="123"/>
        <v>2571</v>
      </c>
      <c r="N445" s="6">
        <f t="shared" si="124"/>
        <v>174892275</v>
      </c>
      <c r="O445" s="6">
        <f t="shared" si="130"/>
        <v>105676894</v>
      </c>
      <c r="P445" s="6">
        <f>SUMIF('JUNE (물량흐름)'!$C$13:$C$502,C445,'JUNE (물량흐름)'!$T$13:$T$502)+SUMIF('JUNE (물량흐름)'!$C$13:$C$502,C445,'JUNE (물량흐름)'!$V$13:$V$502)+SUMIF('JUNE (물량흐름)'!$C$13:$C$502,C445,'JUNE (물량흐름)'!$U$13:$U$502)-SUMIF('JUNE (물량흐름)'!$C$13:$C$502,C445,'JUNE (물량흐름)'!$Y$13:$Y$502)</f>
        <v>0</v>
      </c>
      <c r="Q445" s="6">
        <f t="shared" si="119"/>
        <v>0</v>
      </c>
      <c r="R445" s="6">
        <f>IF(ISERROR(VLOOKUP(#REF!,'WIP(재공품)'!$B$12:$AB$38,13,0)),0,VLOOKUP(#REF!,'WIP(재공품)'!$B$12:$AB$38,13,0))</f>
        <v>0</v>
      </c>
      <c r="S445" s="6">
        <f>IF(ISERROR(VLOOKUP(#REF!,'WIP(재공품)'!$B$12:$AB$38,10,0)),0,VLOOKUP(#REF!,'WIP(재공품)'!$B$12:$AB$38,10,0))</f>
        <v>0</v>
      </c>
      <c r="T445" s="6">
        <f>SUMIF('JUNE (물량흐름)'!$C$13:$C$502,'Overhead exp(제조경비)'!C445,'JUNE (물량흐름)'!$Y$13:$Y$502)</f>
        <v>0</v>
      </c>
      <c r="U445" s="6">
        <f t="shared" si="127"/>
        <v>0</v>
      </c>
      <c r="V445" s="6">
        <f>ROUND(SUMIF('JUNE (물량흐름)'!$C$13:$C$502,'Overhead exp(제조경비)'!C445,'JUNE (물량흐름)'!$N$13:$N$502),0)</f>
        <v>5329</v>
      </c>
      <c r="W445" s="6">
        <f>ROUND(SUMIF('JUNE (물량흐름)'!$C$13:$C$502,'Overhead exp(제조경비)'!C445,'JUNE (물량흐름)'!$O$13:$O$502),0)</f>
        <v>216</v>
      </c>
      <c r="X445" s="6">
        <f>ROUND(SUMIF('JUNE (물량흐름)'!$C$13:$C$502,'Overhead exp(제조경비)'!C445,'JUNE (물량흐름)'!$P$13:$P$502),0)</f>
        <v>1747</v>
      </c>
      <c r="Y445" s="6">
        <f t="shared" si="125"/>
        <v>7292</v>
      </c>
      <c r="Z445" s="6">
        <f t="shared" si="126"/>
        <v>2571</v>
      </c>
      <c r="AA445" s="6">
        <f t="shared" si="120"/>
        <v>105676894</v>
      </c>
      <c r="AB445" s="391">
        <f t="shared" si="128"/>
        <v>0</v>
      </c>
      <c r="AC445" s="391">
        <f t="shared" si="129"/>
        <v>0</v>
      </c>
    </row>
    <row r="446" spans="1:29" s="390" customFormat="1" ht="24" customHeight="1">
      <c r="A446" s="167">
        <v>456</v>
      </c>
      <c r="B446" s="20" t="str">
        <f>IFERROR(VLOOKUP(A446,'JUNE (물량흐름)'!$A$13:$C$502,2,0),0)</f>
        <v>ALFANI</v>
      </c>
      <c r="C446" s="272">
        <f>VLOOKUP(A446,'JUNE (물량흐름)'!$A$13:$C$502,3,0)</f>
        <v>100024806</v>
      </c>
      <c r="D446" s="6">
        <f>VLOOKUP(C446,'WIP(재공품)'!$B$12:$E$493,4,0)</f>
        <v>48751.25</v>
      </c>
      <c r="E446" s="6">
        <f>IFERROR(VLOOKUP(C446,O.B.JUNE!$AI$7:$AJ$448,2,0),0)</f>
        <v>0</v>
      </c>
      <c r="F446" s="6">
        <f>IFERROR(VLOOKUP(C446,O.B.JUNE!$AI$7:$AK$448,3,0),0)</f>
        <v>0</v>
      </c>
      <c r="G446" s="6">
        <f>IFERROR(VLOOKUP(C446,O.B.JUNE!$AI$7:$AL$448,4,0),0)</f>
        <v>0</v>
      </c>
      <c r="H446" s="6">
        <f t="shared" si="122"/>
        <v>0</v>
      </c>
      <c r="I446" s="6">
        <f>IFERROR(VLOOKUP(C446,O.B.JUNE!$AI$7:$AN$448,6,0),0)</f>
        <v>0</v>
      </c>
      <c r="J446" s="6"/>
      <c r="K446" s="6">
        <f>IFERROR(VLOOKUP(C446,O.B.JUNE!$AI$7:$AO$448,7,0),0)</f>
        <v>0</v>
      </c>
      <c r="L446" s="6">
        <f>SUMIF('JUNE (물량흐름)'!$C$13:$C$488,'Overhead exp(제조경비)'!C446,'JUNE (물량흐름)'!$H$13:$H$493)+SUMIF('JUNE (물량흐름)'!$C$13:$C$493,'Overhead exp(제조경비)'!C446,'JUNE (물량흐름)'!$V$13:$V$493)</f>
        <v>3272</v>
      </c>
      <c r="M446" s="6">
        <f t="shared" si="123"/>
        <v>3144</v>
      </c>
      <c r="N446" s="6">
        <f t="shared" si="124"/>
        <v>153273930</v>
      </c>
      <c r="O446" s="6">
        <f t="shared" si="130"/>
        <v>92614227</v>
      </c>
      <c r="P446" s="6">
        <f>SUMIF('JUNE (물량흐름)'!$C$13:$C$502,C446,'JUNE (물량흐름)'!$T$13:$T$502)+SUMIF('JUNE (물량흐름)'!$C$13:$C$502,C446,'JUNE (물량흐름)'!$V$13:$V$502)+SUMIF('JUNE (물량흐름)'!$C$13:$C$502,C446,'JUNE (물량흐름)'!$U$13:$U$502)-SUMIF('JUNE (물량흐름)'!$C$13:$C$502,C446,'JUNE (물량흐름)'!$Y$13:$Y$502)</f>
        <v>2630</v>
      </c>
      <c r="Q446" s="6">
        <f t="shared" si="119"/>
        <v>74442365</v>
      </c>
      <c r="R446" s="6">
        <f>IF(ISERROR(VLOOKUP(#REF!,'WIP(재공품)'!$B$12:$AB$38,13,0)),0,VLOOKUP(#REF!,'WIP(재공품)'!$B$12:$AB$38,13,0))</f>
        <v>0</v>
      </c>
      <c r="S446" s="6">
        <f>IF(ISERROR(VLOOKUP(#REF!,'WIP(재공품)'!$B$12:$AB$38,10,0)),0,VLOOKUP(#REF!,'WIP(재공품)'!$B$12:$AB$38,10,0))</f>
        <v>0</v>
      </c>
      <c r="T446" s="6">
        <f>SUMIF('JUNE (물량흐름)'!$C$13:$C$502,'Overhead exp(제조경비)'!C446,'JUNE (물량흐름)'!$Y$13:$Y$502)</f>
        <v>0</v>
      </c>
      <c r="U446" s="6">
        <f t="shared" si="127"/>
        <v>0</v>
      </c>
      <c r="V446" s="6">
        <f>ROUND(SUMIF('JUNE (물량흐름)'!$C$13:$C$502,'Overhead exp(제조경비)'!C446,'JUNE (물량흐름)'!$N$13:$N$502),0)</f>
        <v>0</v>
      </c>
      <c r="W446" s="6">
        <f>ROUND(SUMIF('JUNE (물량흐름)'!$C$13:$C$502,'Overhead exp(제조경비)'!C446,'JUNE (물량흐름)'!$O$13:$O$502),0)</f>
        <v>0</v>
      </c>
      <c r="X446" s="6">
        <f>ROUND(SUMIF('JUNE (물량흐름)'!$C$13:$C$502,'Overhead exp(제조경비)'!C446,'JUNE (물량흐름)'!$P$13:$P$502),0)</f>
        <v>642</v>
      </c>
      <c r="Y446" s="6">
        <f t="shared" si="125"/>
        <v>642</v>
      </c>
      <c r="Z446" s="6">
        <f t="shared" si="126"/>
        <v>514</v>
      </c>
      <c r="AA446" s="6">
        <f t="shared" si="120"/>
        <v>18171862</v>
      </c>
      <c r="AB446" s="391">
        <f t="shared" si="128"/>
        <v>0</v>
      </c>
      <c r="AC446" s="391">
        <f t="shared" si="129"/>
        <v>0</v>
      </c>
    </row>
    <row r="447" spans="1:29" s="390" customFormat="1" ht="24" customHeight="1">
      <c r="A447" s="167">
        <v>457</v>
      </c>
      <c r="B447" s="20" t="str">
        <f>IFERROR(VLOOKUP(A447,'JUNE (물량흐름)'!$A$13:$C$502,2,0),0)</f>
        <v>ALFANI</v>
      </c>
      <c r="C447" s="272">
        <f>VLOOKUP(A447,'JUNE (물량흐름)'!$A$13:$C$502,3,0)</f>
        <v>100024819</v>
      </c>
      <c r="D447" s="6">
        <f>VLOOKUP(C447,'WIP(재공품)'!$B$12:$E$493,4,0)</f>
        <v>70292.5</v>
      </c>
      <c r="E447" s="6">
        <f>IFERROR(VLOOKUP(C447,O.B.JUNE!$AI$7:$AJ$448,2,0),0)</f>
        <v>0</v>
      </c>
      <c r="F447" s="6">
        <f>IFERROR(VLOOKUP(C447,O.B.JUNE!$AI$7:$AK$448,3,0),0)</f>
        <v>0</v>
      </c>
      <c r="G447" s="6">
        <f>IFERROR(VLOOKUP(C447,O.B.JUNE!$AI$7:$AL$448,4,0),0)</f>
        <v>0</v>
      </c>
      <c r="H447" s="6">
        <f t="shared" si="122"/>
        <v>0</v>
      </c>
      <c r="I447" s="6">
        <f>IFERROR(VLOOKUP(C447,O.B.JUNE!$AI$7:$AN$448,6,0),0)</f>
        <v>0</v>
      </c>
      <c r="J447" s="6"/>
      <c r="K447" s="6">
        <f>IFERROR(VLOOKUP(C447,O.B.JUNE!$AI$7:$AO$448,7,0),0)</f>
        <v>0</v>
      </c>
      <c r="L447" s="6">
        <f>SUMIF('JUNE (물량흐름)'!$C$13:$C$488,'Overhead exp(제조경비)'!C447,'JUNE (물량흐름)'!$H$13:$H$493)+SUMIF('JUNE (물량흐름)'!$C$13:$C$493,'Overhead exp(제조경비)'!C447,'JUNE (물량흐름)'!$V$13:$V$493)</f>
        <v>7046</v>
      </c>
      <c r="M447" s="6">
        <f t="shared" si="123"/>
        <v>4492</v>
      </c>
      <c r="N447" s="6">
        <f t="shared" si="124"/>
        <v>315753910</v>
      </c>
      <c r="O447" s="6">
        <f t="shared" si="130"/>
        <v>190791116</v>
      </c>
      <c r="P447" s="6">
        <f>SUMIF('JUNE (물량흐름)'!$C$13:$C$502,C447,'JUNE (물량흐름)'!$T$13:$T$502)+SUMIF('JUNE (물량흐름)'!$C$13:$C$502,C447,'JUNE (물량흐름)'!$V$13:$V$502)+SUMIF('JUNE (물량흐름)'!$C$13:$C$502,C447,'JUNE (물량흐름)'!$U$13:$U$502)-SUMIF('JUNE (물량흐름)'!$C$13:$C$502,C447,'JUNE (물량흐름)'!$Y$13:$Y$502)</f>
        <v>345</v>
      </c>
      <c r="Q447" s="6">
        <f t="shared" si="119"/>
        <v>9341887</v>
      </c>
      <c r="R447" s="6">
        <f>IF(ISERROR(VLOOKUP(#REF!,'WIP(재공품)'!$B$12:$AB$38,13,0)),0,VLOOKUP(#REF!,'WIP(재공품)'!$B$12:$AB$38,13,0))</f>
        <v>0</v>
      </c>
      <c r="S447" s="6">
        <f>IF(ISERROR(VLOOKUP(#REF!,'WIP(재공품)'!$B$12:$AB$38,10,0)),0,VLOOKUP(#REF!,'WIP(재공품)'!$B$12:$AB$38,10,0))</f>
        <v>0</v>
      </c>
      <c r="T447" s="6">
        <f>SUMIF('JUNE (물량흐름)'!$C$13:$C$502,'Overhead exp(제조경비)'!C447,'JUNE (물량흐름)'!$Y$13:$Y$502)</f>
        <v>0</v>
      </c>
      <c r="U447" s="6">
        <f t="shared" si="127"/>
        <v>0</v>
      </c>
      <c r="V447" s="6">
        <f>ROUND(SUMIF('JUNE (물량흐름)'!$C$13:$C$502,'Overhead exp(제조경비)'!C447,'JUNE (물량흐름)'!$N$13:$N$502),0)</f>
        <v>0</v>
      </c>
      <c r="W447" s="6">
        <f>ROUND(SUMIF('JUNE (물량흐름)'!$C$13:$C$502,'Overhead exp(제조경비)'!C447,'JUNE (물량흐름)'!$O$13:$O$502),0)</f>
        <v>4046</v>
      </c>
      <c r="X447" s="6">
        <f>ROUND(SUMIF('JUNE (물량흐름)'!$C$13:$C$502,'Overhead exp(제조경비)'!C447,'JUNE (물량흐름)'!$P$13:$P$502),0)</f>
        <v>2655</v>
      </c>
      <c r="Y447" s="6">
        <f t="shared" si="125"/>
        <v>6701</v>
      </c>
      <c r="Z447" s="6">
        <f t="shared" si="126"/>
        <v>4147</v>
      </c>
      <c r="AA447" s="6">
        <f t="shared" si="120"/>
        <v>181449229</v>
      </c>
      <c r="AB447" s="391">
        <f t="shared" si="128"/>
        <v>0</v>
      </c>
      <c r="AC447" s="391">
        <f t="shared" si="129"/>
        <v>0</v>
      </c>
    </row>
    <row r="448" spans="1:29" s="390" customFormat="1" ht="24" customHeight="1">
      <c r="A448" s="167">
        <v>458</v>
      </c>
      <c r="B448" s="20" t="str">
        <f>IFERROR(VLOOKUP(A448,'JUNE (물량흐름)'!$A$13:$C$502,2,0),0)</f>
        <v>ALFANI</v>
      </c>
      <c r="C448" s="272">
        <f>VLOOKUP(A448,'JUNE (물량흐름)'!$A$13:$C$502,3,0)</f>
        <v>100024820</v>
      </c>
      <c r="D448" s="6">
        <f>VLOOKUP(C448,'WIP(재공품)'!$B$12:$E$493,4,0)</f>
        <v>38547.5</v>
      </c>
      <c r="E448" s="6">
        <f>IFERROR(VLOOKUP(C448,O.B.JUNE!$AI$7:$AJ$448,2,0),0)</f>
        <v>0</v>
      </c>
      <c r="F448" s="6">
        <f>IFERROR(VLOOKUP(C448,O.B.JUNE!$AI$7:$AK$448,3,0),0)</f>
        <v>0</v>
      </c>
      <c r="G448" s="6">
        <f>IFERROR(VLOOKUP(C448,O.B.JUNE!$AI$7:$AL$448,4,0),0)</f>
        <v>0</v>
      </c>
      <c r="H448" s="6">
        <f t="shared" si="122"/>
        <v>0</v>
      </c>
      <c r="I448" s="6">
        <f>IFERROR(VLOOKUP(C448,O.B.JUNE!$AI$7:$AN$448,6,0),0)</f>
        <v>0</v>
      </c>
      <c r="J448" s="6"/>
      <c r="K448" s="6">
        <f>IFERROR(VLOOKUP(C448,O.B.JUNE!$AI$7:$AO$448,7,0),0)</f>
        <v>0</v>
      </c>
      <c r="L448" s="6">
        <f>SUMIF('JUNE (물량흐름)'!$C$13:$C$488,'Overhead exp(제조경비)'!C448,'JUNE (물량흐름)'!$H$13:$H$493)+SUMIF('JUNE (물량흐름)'!$C$13:$C$493,'Overhead exp(제조경비)'!C448,'JUNE (물량흐름)'!$V$13:$V$493)</f>
        <v>9851</v>
      </c>
      <c r="M448" s="6">
        <f t="shared" si="123"/>
        <v>9649</v>
      </c>
      <c r="N448" s="6">
        <f t="shared" si="124"/>
        <v>371944828</v>
      </c>
      <c r="O448" s="6">
        <f t="shared" si="130"/>
        <v>224743911</v>
      </c>
      <c r="P448" s="6">
        <f>SUMIF('JUNE (물량흐름)'!$C$13:$C$502,C448,'JUNE (물량흐름)'!$T$13:$T$502)+SUMIF('JUNE (물량흐름)'!$C$13:$C$502,C448,'JUNE (물량흐름)'!$V$13:$V$502)+SUMIF('JUNE (물량흐름)'!$C$13:$C$502,C448,'JUNE (물량흐름)'!$U$13:$U$502)-SUMIF('JUNE (물량흐름)'!$C$13:$C$502,C448,'JUNE (물량흐름)'!$Y$13:$Y$502)</f>
        <v>8839</v>
      </c>
      <c r="Q448" s="6">
        <f t="shared" si="119"/>
        <v>201655815</v>
      </c>
      <c r="R448" s="6">
        <f>IF(ISERROR(VLOOKUP(#REF!,'WIP(재공품)'!$B$12:$AB$38,13,0)),0,VLOOKUP(#REF!,'WIP(재공품)'!$B$12:$AB$38,13,0))</f>
        <v>0</v>
      </c>
      <c r="S448" s="6">
        <f>IF(ISERROR(VLOOKUP(#REF!,'WIP(재공품)'!$B$12:$AB$38,10,0)),0,VLOOKUP(#REF!,'WIP(재공품)'!$B$12:$AB$38,10,0))</f>
        <v>0</v>
      </c>
      <c r="T448" s="6">
        <f>SUMIF('JUNE (물량흐름)'!$C$13:$C$502,'Overhead exp(제조경비)'!C448,'JUNE (물량흐름)'!$Y$13:$Y$502)</f>
        <v>0</v>
      </c>
      <c r="U448" s="6">
        <f t="shared" si="127"/>
        <v>0</v>
      </c>
      <c r="V448" s="6">
        <f>ROUND(SUMIF('JUNE (물량흐름)'!$C$13:$C$502,'Overhead exp(제조경비)'!C448,'JUNE (물량흐름)'!$N$13:$N$502),0)</f>
        <v>0</v>
      </c>
      <c r="W448" s="6">
        <f>ROUND(SUMIF('JUNE (물량흐름)'!$C$13:$C$502,'Overhead exp(제조경비)'!C448,'JUNE (물량흐름)'!$O$13:$O$502),0)</f>
        <v>0</v>
      </c>
      <c r="X448" s="6">
        <f>ROUND(SUMIF('JUNE (물량흐름)'!$C$13:$C$502,'Overhead exp(제조경비)'!C448,'JUNE (물량흐름)'!$P$13:$P$502),0)</f>
        <v>1012</v>
      </c>
      <c r="Y448" s="6">
        <f t="shared" si="125"/>
        <v>1012</v>
      </c>
      <c r="Z448" s="6">
        <f t="shared" si="126"/>
        <v>810</v>
      </c>
      <c r="AA448" s="6">
        <f t="shared" si="120"/>
        <v>23088096</v>
      </c>
      <c r="AB448" s="391">
        <f t="shared" si="128"/>
        <v>0</v>
      </c>
      <c r="AC448" s="391">
        <f t="shared" si="129"/>
        <v>0</v>
      </c>
    </row>
    <row r="449" spans="1:29" s="390" customFormat="1" ht="24" customHeight="1">
      <c r="A449" s="167">
        <v>459</v>
      </c>
      <c r="B449" s="20" t="str">
        <f>IFERROR(VLOOKUP(A449,'JUNE (물량흐름)'!$A$13:$C$502,2,0),0)</f>
        <v>ALFANI</v>
      </c>
      <c r="C449" s="272">
        <f>VLOOKUP(A449,'JUNE (물량흐름)'!$A$13:$C$502,3,0)</f>
        <v>100024824</v>
      </c>
      <c r="D449" s="6">
        <f>VLOOKUP(C449,'WIP(재공품)'!$B$12:$E$493,4,0)</f>
        <v>88432.5</v>
      </c>
      <c r="E449" s="6">
        <f>IFERROR(VLOOKUP(C449,O.B.JUNE!$AI$7:$AJ$448,2,0),0)</f>
        <v>0</v>
      </c>
      <c r="F449" s="6">
        <f>IFERROR(VLOOKUP(C449,O.B.JUNE!$AI$7:$AK$448,3,0),0)</f>
        <v>0</v>
      </c>
      <c r="G449" s="6">
        <f>IFERROR(VLOOKUP(C449,O.B.JUNE!$AI$7:$AL$448,4,0),0)</f>
        <v>0</v>
      </c>
      <c r="H449" s="6">
        <f t="shared" si="122"/>
        <v>0</v>
      </c>
      <c r="I449" s="6">
        <f>IFERROR(VLOOKUP(C449,O.B.JUNE!$AI$7:$AN$448,6,0),0)</f>
        <v>0</v>
      </c>
      <c r="J449" s="6"/>
      <c r="K449" s="6">
        <f>IFERROR(VLOOKUP(C449,O.B.JUNE!$AI$7:$AO$448,7,0),0)</f>
        <v>0</v>
      </c>
      <c r="L449" s="6">
        <f>SUMIF('JUNE (물량흐름)'!$C$13:$C$488,'Overhead exp(제조경비)'!C449,'JUNE (물량흐름)'!$H$13:$H$493)+SUMIF('JUNE (물량흐름)'!$C$13:$C$493,'Overhead exp(제조경비)'!C449,'JUNE (물량흐름)'!$V$13:$V$493)</f>
        <v>1071</v>
      </c>
      <c r="M449" s="6">
        <f t="shared" si="123"/>
        <v>1067</v>
      </c>
      <c r="N449" s="6">
        <f t="shared" si="124"/>
        <v>94357478</v>
      </c>
      <c r="O449" s="6">
        <f t="shared" si="130"/>
        <v>57014554</v>
      </c>
      <c r="P449" s="6">
        <f>SUMIF('JUNE (물량흐름)'!$C$13:$C$502,C449,'JUNE (물량흐름)'!$T$13:$T$502)+SUMIF('JUNE (물량흐름)'!$C$13:$C$502,C449,'JUNE (물량흐름)'!$V$13:$V$502)+SUMIF('JUNE (물량흐름)'!$C$13:$C$502,C449,'JUNE (물량흐름)'!$U$13:$U$502)-SUMIF('JUNE (물량흐름)'!$C$13:$C$502,C449,'JUNE (물량흐름)'!$Y$13:$Y$502)</f>
        <v>1052</v>
      </c>
      <c r="Q449" s="6">
        <f t="shared" si="119"/>
        <v>56003091</v>
      </c>
      <c r="R449" s="6">
        <f>IF(ISERROR(VLOOKUP(#REF!,'WIP(재공품)'!$B$12:$AB$38,13,0)),0,VLOOKUP(#REF!,'WIP(재공품)'!$B$12:$AB$38,13,0))</f>
        <v>0</v>
      </c>
      <c r="S449" s="6">
        <f>IF(ISERROR(VLOOKUP(#REF!,'WIP(재공품)'!$B$12:$AB$38,10,0)),0,VLOOKUP(#REF!,'WIP(재공품)'!$B$12:$AB$38,10,0))</f>
        <v>0</v>
      </c>
      <c r="T449" s="6">
        <f>SUMIF('JUNE (물량흐름)'!$C$13:$C$502,'Overhead exp(제조경비)'!C449,'JUNE (물량흐름)'!$Y$13:$Y$502)</f>
        <v>0</v>
      </c>
      <c r="U449" s="6">
        <f t="shared" si="127"/>
        <v>0</v>
      </c>
      <c r="V449" s="6">
        <f>ROUND(SUMIF('JUNE (물량흐름)'!$C$13:$C$502,'Overhead exp(제조경비)'!C449,'JUNE (물량흐름)'!$N$13:$N$502),0)</f>
        <v>0</v>
      </c>
      <c r="W449" s="6">
        <f>ROUND(SUMIF('JUNE (물량흐름)'!$C$13:$C$502,'Overhead exp(제조경비)'!C449,'JUNE (물량흐름)'!$O$13:$O$502),0)</f>
        <v>0</v>
      </c>
      <c r="X449" s="6">
        <f>ROUND(SUMIF('JUNE (물량흐름)'!$C$13:$C$502,'Overhead exp(제조경비)'!C449,'JUNE (물량흐름)'!$P$13:$P$502),0)</f>
        <v>19</v>
      </c>
      <c r="Y449" s="6">
        <f t="shared" si="125"/>
        <v>19</v>
      </c>
      <c r="Z449" s="6">
        <f t="shared" si="126"/>
        <v>15</v>
      </c>
      <c r="AA449" s="6">
        <f t="shared" si="120"/>
        <v>1011463</v>
      </c>
      <c r="AB449" s="391">
        <f t="shared" si="128"/>
        <v>0</v>
      </c>
      <c r="AC449" s="391">
        <f t="shared" si="129"/>
        <v>0</v>
      </c>
    </row>
    <row r="450" spans="1:29" s="390" customFormat="1" ht="24" customHeight="1">
      <c r="A450" s="167">
        <v>460</v>
      </c>
      <c r="B450" s="20" t="str">
        <f>IFERROR(VLOOKUP(A450,'JUNE (물량흐름)'!$A$13:$C$502,2,0),0)</f>
        <v>ALFANI</v>
      </c>
      <c r="C450" s="272">
        <f>VLOOKUP(A450,'JUNE (물량흐름)'!$A$13:$C$502,3,0)</f>
        <v>100024853</v>
      </c>
      <c r="D450" s="6">
        <f>VLOOKUP(C450,'WIP(재공품)'!$B$12:$E$493,4,0)</f>
        <v>43082.5</v>
      </c>
      <c r="E450" s="6">
        <f>IFERROR(VLOOKUP(C450,O.B.JUNE!$AI$7:$AJ$448,2,0),0)</f>
        <v>0</v>
      </c>
      <c r="F450" s="6">
        <f>IFERROR(VLOOKUP(C450,O.B.JUNE!$AI$7:$AK$448,3,0),0)</f>
        <v>0</v>
      </c>
      <c r="G450" s="6">
        <f>IFERROR(VLOOKUP(C450,O.B.JUNE!$AI$7:$AL$448,4,0),0)</f>
        <v>0</v>
      </c>
      <c r="H450" s="6">
        <f t="shared" si="122"/>
        <v>0</v>
      </c>
      <c r="I450" s="6">
        <f>IFERROR(VLOOKUP(C450,O.B.JUNE!$AI$7:$AN$448,6,0),0)</f>
        <v>0</v>
      </c>
      <c r="J450" s="6"/>
      <c r="K450" s="6">
        <f>IFERROR(VLOOKUP(C450,O.B.JUNE!$AI$7:$AO$448,7,0),0)</f>
        <v>0</v>
      </c>
      <c r="L450" s="6">
        <f>SUMIF('JUNE (물량흐름)'!$C$13:$C$488,'Overhead exp(제조경비)'!C450,'JUNE (물량흐름)'!$H$13:$H$493)+SUMIF('JUNE (물량흐름)'!$C$13:$C$493,'Overhead exp(제조경비)'!C450,'JUNE (물량흐름)'!$V$13:$V$493)</f>
        <v>7725</v>
      </c>
      <c r="M450" s="6">
        <f t="shared" si="123"/>
        <v>7439</v>
      </c>
      <c r="N450" s="6">
        <f t="shared" si="124"/>
        <v>320490718</v>
      </c>
      <c r="O450" s="6">
        <f t="shared" si="130"/>
        <v>193653284</v>
      </c>
      <c r="P450" s="6">
        <f>SUMIF('JUNE (물량흐름)'!$C$13:$C$502,C450,'JUNE (물량흐름)'!$T$13:$T$502)+SUMIF('JUNE (물량흐름)'!$C$13:$C$502,C450,'JUNE (물량흐름)'!$V$13:$V$502)+SUMIF('JUNE (물량흐름)'!$C$13:$C$502,C450,'JUNE (물량흐름)'!$U$13:$U$502)-SUMIF('JUNE (물량흐름)'!$C$13:$C$502,C450,'JUNE (물량흐름)'!$Y$13:$Y$502)</f>
        <v>6948</v>
      </c>
      <c r="Q450" s="6">
        <f t="shared" si="119"/>
        <v>174175148</v>
      </c>
      <c r="R450" s="6">
        <f>IF(ISERROR(VLOOKUP(#REF!,'WIP(재공품)'!$B$12:$AB$38,13,0)),0,VLOOKUP(#REF!,'WIP(재공품)'!$B$12:$AB$38,13,0))</f>
        <v>0</v>
      </c>
      <c r="S450" s="6">
        <f>IF(ISERROR(VLOOKUP(#REF!,'WIP(재공품)'!$B$12:$AB$38,10,0)),0,VLOOKUP(#REF!,'WIP(재공품)'!$B$12:$AB$38,10,0))</f>
        <v>0</v>
      </c>
      <c r="T450" s="6">
        <f>SUMIF('JUNE (물량흐름)'!$C$13:$C$502,'Overhead exp(제조경비)'!C450,'JUNE (물량흐름)'!$Y$13:$Y$502)</f>
        <v>0</v>
      </c>
      <c r="U450" s="6">
        <f t="shared" si="127"/>
        <v>0</v>
      </c>
      <c r="V450" s="6">
        <f>ROUND(SUMIF('JUNE (물량흐름)'!$C$13:$C$502,'Overhead exp(제조경비)'!C450,'JUNE (물량흐름)'!$N$13:$N$502),0)</f>
        <v>8</v>
      </c>
      <c r="W450" s="6">
        <f>ROUND(SUMIF('JUNE (물량흐름)'!$C$13:$C$502,'Overhead exp(제조경비)'!C450,'JUNE (물량흐름)'!$O$13:$O$502),0)</f>
        <v>418</v>
      </c>
      <c r="X450" s="6">
        <f>ROUND(SUMIF('JUNE (물량흐름)'!$C$13:$C$502,'Overhead exp(제조경비)'!C450,'JUNE (물량흐름)'!$P$13:$P$502),0)</f>
        <v>351</v>
      </c>
      <c r="Y450" s="6">
        <f t="shared" si="125"/>
        <v>777</v>
      </c>
      <c r="Z450" s="6">
        <f t="shared" si="126"/>
        <v>491</v>
      </c>
      <c r="AA450" s="6">
        <f t="shared" si="120"/>
        <v>19478136</v>
      </c>
      <c r="AB450" s="391">
        <f t="shared" si="128"/>
        <v>0</v>
      </c>
      <c r="AC450" s="391">
        <f t="shared" si="129"/>
        <v>0</v>
      </c>
    </row>
    <row r="451" spans="1:29" s="390" customFormat="1" ht="24" customHeight="1">
      <c r="A451" s="167">
        <v>461</v>
      </c>
      <c r="B451" s="20" t="str">
        <f>IFERROR(VLOOKUP(A451,'JUNE (물량흐름)'!$A$13:$C$502,2,0),0)</f>
        <v>ALFANI</v>
      </c>
      <c r="C451" s="272">
        <f>VLOOKUP(A451,'JUNE (물량흐름)'!$A$13:$C$502,3,0)</f>
        <v>100025038</v>
      </c>
      <c r="D451" s="6">
        <f>VLOOKUP(C451,'WIP(재공품)'!$B$12:$E$493,4,0)</f>
        <v>77095</v>
      </c>
      <c r="E451" s="6">
        <f>IFERROR(VLOOKUP(C451,O.B.JUNE!$AI$7:$AJ$448,2,0),0)</f>
        <v>0</v>
      </c>
      <c r="F451" s="6">
        <f>IFERROR(VLOOKUP(C451,O.B.JUNE!$AI$7:$AK$448,3,0),0)</f>
        <v>0</v>
      </c>
      <c r="G451" s="6">
        <f>IFERROR(VLOOKUP(C451,O.B.JUNE!$AI$7:$AL$448,4,0),0)</f>
        <v>0</v>
      </c>
      <c r="H451" s="6">
        <f t="shared" si="122"/>
        <v>0</v>
      </c>
      <c r="I451" s="6">
        <f>IFERROR(VLOOKUP(C451,O.B.JUNE!$AI$7:$AN$448,6,0),0)</f>
        <v>0</v>
      </c>
      <c r="J451" s="6"/>
      <c r="K451" s="6">
        <f>IFERROR(VLOOKUP(C451,O.B.JUNE!$AI$7:$AO$448,7,0),0)</f>
        <v>0</v>
      </c>
      <c r="L451" s="6">
        <f>SUMIF('JUNE (물량흐름)'!$C$13:$C$488,'Overhead exp(제조경비)'!C451,'JUNE (물량흐름)'!$H$13:$H$493)+SUMIF('JUNE (물량흐름)'!$C$13:$C$493,'Overhead exp(제조경비)'!C451,'JUNE (물량흐름)'!$V$13:$V$493)</f>
        <v>991</v>
      </c>
      <c r="M451" s="6">
        <f t="shared" si="123"/>
        <v>718</v>
      </c>
      <c r="N451" s="6">
        <f t="shared" si="124"/>
        <v>55354210</v>
      </c>
      <c r="O451" s="6">
        <f t="shared" si="130"/>
        <v>33447223</v>
      </c>
      <c r="P451" s="6">
        <f>SUMIF('JUNE (물량흐름)'!$C$13:$C$502,C451,'JUNE (물량흐름)'!$T$13:$T$502)+SUMIF('JUNE (물량흐름)'!$C$13:$C$502,C451,'JUNE (물량흐름)'!$V$13:$V$502)+SUMIF('JUNE (물량흐름)'!$C$13:$C$502,C451,'JUNE (물량흐름)'!$U$13:$U$502)-SUMIF('JUNE (물량흐름)'!$C$13:$C$502,C451,'JUNE (물량흐름)'!$Y$13:$Y$502)</f>
        <v>0</v>
      </c>
      <c r="Q451" s="6">
        <f t="shared" si="119"/>
        <v>0</v>
      </c>
      <c r="R451" s="6">
        <f>IF(ISERROR(VLOOKUP(#REF!,'WIP(재공품)'!$B$12:$AB$38,13,0)),0,VLOOKUP(#REF!,'WIP(재공품)'!$B$12:$AB$38,13,0))</f>
        <v>0</v>
      </c>
      <c r="S451" s="6">
        <f>IF(ISERROR(VLOOKUP(#REF!,'WIP(재공품)'!$B$12:$AB$38,10,0)),0,VLOOKUP(#REF!,'WIP(재공품)'!$B$12:$AB$38,10,0))</f>
        <v>0</v>
      </c>
      <c r="T451" s="6">
        <f>SUMIF('JUNE (물량흐름)'!$C$13:$C$502,'Overhead exp(제조경비)'!C451,'JUNE (물량흐름)'!$Y$13:$Y$502)</f>
        <v>0</v>
      </c>
      <c r="U451" s="6">
        <f t="shared" si="127"/>
        <v>0</v>
      </c>
      <c r="V451" s="6">
        <f>ROUND(SUMIF('JUNE (물량흐름)'!$C$13:$C$502,'Overhead exp(제조경비)'!C451,'JUNE (물량흐름)'!$N$13:$N$502),0)</f>
        <v>0</v>
      </c>
      <c r="W451" s="6">
        <f>ROUND(SUMIF('JUNE (물량흐름)'!$C$13:$C$502,'Overhead exp(제조경비)'!C451,'JUNE (물량흐름)'!$O$13:$O$502),0)</f>
        <v>250</v>
      </c>
      <c r="X451" s="6">
        <f>ROUND(SUMIF('JUNE (물량흐름)'!$C$13:$C$502,'Overhead exp(제조경비)'!C451,'JUNE (물량흐름)'!$P$13:$P$502),0)</f>
        <v>741</v>
      </c>
      <c r="Y451" s="6">
        <f t="shared" si="125"/>
        <v>991</v>
      </c>
      <c r="Z451" s="6">
        <f t="shared" si="126"/>
        <v>718</v>
      </c>
      <c r="AA451" s="6">
        <f t="shared" si="120"/>
        <v>33447223</v>
      </c>
      <c r="AB451" s="391">
        <f t="shared" si="128"/>
        <v>0</v>
      </c>
      <c r="AC451" s="391">
        <f t="shared" si="129"/>
        <v>0</v>
      </c>
    </row>
    <row r="452" spans="1:29" s="390" customFormat="1" ht="24" customHeight="1">
      <c r="A452" s="167">
        <v>462</v>
      </c>
      <c r="B452" s="20" t="str">
        <f>IFERROR(VLOOKUP(A452,'JUNE (물량흐름)'!$A$13:$C$502,2,0),0)</f>
        <v>ALFANI</v>
      </c>
      <c r="C452" s="272">
        <f>VLOOKUP(A452,'JUNE (물량흐름)'!$A$13:$C$502,3,0)</f>
        <v>100025039</v>
      </c>
      <c r="D452" s="6">
        <f>VLOOKUP(C452,'WIP(재공품)'!$B$12:$E$493,4,0)</f>
        <v>77095</v>
      </c>
      <c r="E452" s="6">
        <f>IFERROR(VLOOKUP(C452,O.B.JUNE!$AI$7:$AJ$448,2,0),0)</f>
        <v>0</v>
      </c>
      <c r="F452" s="6">
        <f>IFERROR(VLOOKUP(C452,O.B.JUNE!$AI$7:$AK$448,3,0),0)</f>
        <v>0</v>
      </c>
      <c r="G452" s="6">
        <f>IFERROR(VLOOKUP(C452,O.B.JUNE!$AI$7:$AL$448,4,0),0)</f>
        <v>0</v>
      </c>
      <c r="H452" s="6">
        <f t="shared" si="122"/>
        <v>0</v>
      </c>
      <c r="I452" s="6">
        <f>IFERROR(VLOOKUP(C452,O.B.JUNE!$AI$7:$AN$448,6,0),0)</f>
        <v>0</v>
      </c>
      <c r="J452" s="6"/>
      <c r="K452" s="6">
        <f>IFERROR(VLOOKUP(C452,O.B.JUNE!$AI$7:$AO$448,7,0),0)</f>
        <v>0</v>
      </c>
      <c r="L452" s="6">
        <f>SUMIF('JUNE (물량흐름)'!$C$13:$C$488,'Overhead exp(제조경비)'!C452,'JUNE (물량흐름)'!$H$13:$H$493)+SUMIF('JUNE (물량흐름)'!$C$13:$C$493,'Overhead exp(제조경비)'!C452,'JUNE (물량흐름)'!$V$13:$V$493)</f>
        <v>4714</v>
      </c>
      <c r="M452" s="6">
        <f t="shared" si="123"/>
        <v>4471</v>
      </c>
      <c r="N452" s="6">
        <f t="shared" si="124"/>
        <v>344691745</v>
      </c>
      <c r="O452" s="6">
        <f t="shared" si="130"/>
        <v>208276511</v>
      </c>
      <c r="P452" s="6">
        <f>SUMIF('JUNE (물량흐름)'!$C$13:$C$502,C452,'JUNE (물량흐름)'!$T$13:$T$502)+SUMIF('JUNE (물량흐름)'!$C$13:$C$502,C452,'JUNE (물량흐름)'!$V$13:$V$502)+SUMIF('JUNE (물량흐름)'!$C$13:$C$502,C452,'JUNE (물량흐름)'!$U$13:$U$502)-SUMIF('JUNE (물량흐름)'!$C$13:$C$502,C452,'JUNE (물량흐름)'!$Y$13:$Y$502)</f>
        <v>3687</v>
      </c>
      <c r="Q452" s="6">
        <f t="shared" si="119"/>
        <v>162901039</v>
      </c>
      <c r="R452" s="6">
        <f>IF(ISERROR(VLOOKUP(#REF!,'WIP(재공품)'!$B$12:$AB$38,13,0)),0,VLOOKUP(#REF!,'WIP(재공품)'!$B$12:$AB$38,13,0))</f>
        <v>0</v>
      </c>
      <c r="S452" s="6">
        <f>IF(ISERROR(VLOOKUP(#REF!,'WIP(재공품)'!$B$12:$AB$38,10,0)),0,VLOOKUP(#REF!,'WIP(재공품)'!$B$12:$AB$38,10,0))</f>
        <v>0</v>
      </c>
      <c r="T452" s="6">
        <f>SUMIF('JUNE (물량흐름)'!$C$13:$C$502,'Overhead exp(제조경비)'!C452,'JUNE (물량흐름)'!$Y$13:$Y$502)</f>
        <v>0</v>
      </c>
      <c r="U452" s="6">
        <f t="shared" si="127"/>
        <v>0</v>
      </c>
      <c r="V452" s="6">
        <f>ROUND(SUMIF('JUNE (물량흐름)'!$C$13:$C$502,'Overhead exp(제조경비)'!C452,'JUNE (물량흐름)'!$N$13:$N$502),0)</f>
        <v>2</v>
      </c>
      <c r="W452" s="6">
        <f>ROUND(SUMIF('JUNE (물량흐름)'!$C$13:$C$502,'Overhead exp(제조경비)'!C452,'JUNE (물량흐름)'!$O$13:$O$502),0)</f>
        <v>121</v>
      </c>
      <c r="X452" s="6">
        <f>ROUND(SUMIF('JUNE (물량흐름)'!$C$13:$C$502,'Overhead exp(제조경비)'!C452,'JUNE (물량흐름)'!$P$13:$P$502),0)</f>
        <v>904</v>
      </c>
      <c r="Y452" s="6">
        <f t="shared" si="125"/>
        <v>1027</v>
      </c>
      <c r="Z452" s="6">
        <f t="shared" si="126"/>
        <v>784</v>
      </c>
      <c r="AA452" s="6">
        <f t="shared" si="120"/>
        <v>45375472</v>
      </c>
      <c r="AB452" s="391">
        <f t="shared" si="128"/>
        <v>0</v>
      </c>
      <c r="AC452" s="391">
        <f t="shared" si="129"/>
        <v>0</v>
      </c>
    </row>
    <row r="453" spans="1:29" s="390" customFormat="1" ht="24" customHeight="1">
      <c r="A453" s="167">
        <v>463</v>
      </c>
      <c r="B453" s="20" t="str">
        <f>IFERROR(VLOOKUP(A453,'JUNE (물량흐름)'!$A$13:$C$502,2,0),0)</f>
        <v>ALFANI</v>
      </c>
      <c r="C453" s="272">
        <f>VLOOKUP(A453,'JUNE (물량흐름)'!$A$13:$C$502,3,0)</f>
        <v>100027487</v>
      </c>
      <c r="D453" s="6">
        <f>VLOOKUP(C453,'WIP(재공품)'!$B$12:$E$493,4,0)</f>
        <v>44896.5</v>
      </c>
      <c r="E453" s="6">
        <f>IFERROR(VLOOKUP(C453,O.B.JUNE!$AI$7:$AJ$448,2,0),0)</f>
        <v>0</v>
      </c>
      <c r="F453" s="6">
        <f>IFERROR(VLOOKUP(C453,O.B.JUNE!$AI$7:$AK$448,3,0),0)</f>
        <v>0</v>
      </c>
      <c r="G453" s="6">
        <f>IFERROR(VLOOKUP(C453,O.B.JUNE!$AI$7:$AL$448,4,0),0)</f>
        <v>0</v>
      </c>
      <c r="H453" s="6">
        <f t="shared" si="122"/>
        <v>0</v>
      </c>
      <c r="I453" s="6">
        <f>IFERROR(VLOOKUP(C453,O.B.JUNE!$AI$7:$AN$448,6,0),0)</f>
        <v>0</v>
      </c>
      <c r="J453" s="6"/>
      <c r="K453" s="6">
        <f>IFERROR(VLOOKUP(C453,O.B.JUNE!$AI$7:$AO$448,7,0),0)</f>
        <v>0</v>
      </c>
      <c r="L453" s="6">
        <f>SUMIF('JUNE (물량흐름)'!$C$13:$C$488,'Overhead exp(제조경비)'!C453,'JUNE (물량흐름)'!$H$13:$H$493)+SUMIF('JUNE (물량흐름)'!$C$13:$C$493,'Overhead exp(제조경비)'!C453,'JUNE (물량흐름)'!$V$13:$V$493)</f>
        <v>1282</v>
      </c>
      <c r="M453" s="6">
        <f t="shared" si="123"/>
        <v>1245</v>
      </c>
      <c r="N453" s="6">
        <f t="shared" si="124"/>
        <v>55896143</v>
      </c>
      <c r="O453" s="6">
        <f t="shared" si="130"/>
        <v>33774680</v>
      </c>
      <c r="P453" s="6">
        <f>SUMIF('JUNE (물량흐름)'!$C$13:$C$502,C453,'JUNE (물량흐름)'!$T$13:$T$502)+SUMIF('JUNE (물량흐름)'!$C$13:$C$502,C453,'JUNE (물량흐름)'!$V$13:$V$502)+SUMIF('JUNE (물량흐름)'!$C$13:$C$502,C453,'JUNE (물량흐름)'!$U$13:$U$502)-SUMIF('JUNE (물량흐름)'!$C$13:$C$502,C453,'JUNE (물량흐름)'!$Y$13:$Y$502)</f>
        <v>1205</v>
      </c>
      <c r="Q453" s="6">
        <f t="shared" si="119"/>
        <v>31746092</v>
      </c>
      <c r="R453" s="6">
        <f>IF(ISERROR(VLOOKUP(#REF!,'WIP(재공품)'!$B$12:$AB$38,13,0)),0,VLOOKUP(#REF!,'WIP(재공품)'!$B$12:$AB$38,13,0))</f>
        <v>0</v>
      </c>
      <c r="S453" s="6">
        <f>IF(ISERROR(VLOOKUP(#REF!,'WIP(재공품)'!$B$12:$AB$38,10,0)),0,VLOOKUP(#REF!,'WIP(재공품)'!$B$12:$AB$38,10,0))</f>
        <v>0</v>
      </c>
      <c r="T453" s="6">
        <f>SUMIF('JUNE (물량흐름)'!$C$13:$C$502,'Overhead exp(제조경비)'!C453,'JUNE (물량흐름)'!$Y$13:$Y$502)</f>
        <v>0</v>
      </c>
      <c r="U453" s="6">
        <f t="shared" si="127"/>
        <v>0</v>
      </c>
      <c r="V453" s="6">
        <f>ROUND(SUMIF('JUNE (물량흐름)'!$C$13:$C$502,'Overhead exp(제조경비)'!C453,'JUNE (물량흐름)'!$N$13:$N$502),0)</f>
        <v>0</v>
      </c>
      <c r="W453" s="6">
        <f>ROUND(SUMIF('JUNE (물량흐름)'!$C$13:$C$502,'Overhead exp(제조경비)'!C453,'JUNE (물량흐름)'!$O$13:$O$502),0)</f>
        <v>73</v>
      </c>
      <c r="X453" s="6">
        <f>ROUND(SUMIF('JUNE (물량흐름)'!$C$13:$C$502,'Overhead exp(제조경비)'!C453,'JUNE (물량흐름)'!$P$13:$P$502),0)</f>
        <v>4</v>
      </c>
      <c r="Y453" s="6">
        <f t="shared" si="125"/>
        <v>77</v>
      </c>
      <c r="Z453" s="6">
        <f t="shared" si="126"/>
        <v>40</v>
      </c>
      <c r="AA453" s="6">
        <f t="shared" si="120"/>
        <v>2028588</v>
      </c>
      <c r="AB453" s="391">
        <f t="shared" si="128"/>
        <v>0</v>
      </c>
      <c r="AC453" s="391">
        <f t="shared" si="129"/>
        <v>0</v>
      </c>
    </row>
    <row r="454" spans="1:29" s="390" customFormat="1" ht="24" customHeight="1">
      <c r="A454" s="167">
        <v>464</v>
      </c>
      <c r="B454" s="20" t="str">
        <f>IFERROR(VLOOKUP(A454,'JUNE (물량흐름)'!$A$13:$C$502,2,0),0)</f>
        <v>ALFANI</v>
      </c>
      <c r="C454" s="272">
        <f>VLOOKUP(A454,'JUNE (물량흐름)'!$A$13:$C$502,3,0)</f>
        <v>100033970</v>
      </c>
      <c r="D454" s="6">
        <f>VLOOKUP(C454,'WIP(재공품)'!$B$12:$E$493,4,0)</f>
        <v>72560</v>
      </c>
      <c r="E454" s="6">
        <f>IFERROR(VLOOKUP(C454,O.B.JUNE!$AI$7:$AJ$448,2,0),0)</f>
        <v>0</v>
      </c>
      <c r="F454" s="6">
        <f>IFERROR(VLOOKUP(C454,O.B.JUNE!$AI$7:$AK$448,3,0),0)</f>
        <v>0</v>
      </c>
      <c r="G454" s="6">
        <f>IFERROR(VLOOKUP(C454,O.B.JUNE!$AI$7:$AL$448,4,0),0)</f>
        <v>0</v>
      </c>
      <c r="H454" s="6">
        <f t="shared" si="122"/>
        <v>0</v>
      </c>
      <c r="I454" s="6">
        <f>IFERROR(VLOOKUP(C454,O.B.JUNE!$AI$7:$AN$448,6,0),0)</f>
        <v>0</v>
      </c>
      <c r="J454" s="6"/>
      <c r="K454" s="6">
        <f>IFERROR(VLOOKUP(C454,O.B.JUNE!$AI$7:$AO$448,7,0),0)</f>
        <v>0</v>
      </c>
      <c r="L454" s="6">
        <f>SUMIF('JUNE (물량흐름)'!$C$13:$C$488,'Overhead exp(제조경비)'!C454,'JUNE (물량흐름)'!$H$13:$H$493)+SUMIF('JUNE (물량흐름)'!$C$13:$C$493,'Overhead exp(제조경비)'!C454,'JUNE (물량흐름)'!$V$13:$V$493)</f>
        <v>1465</v>
      </c>
      <c r="M454" s="6">
        <f t="shared" si="123"/>
        <v>973</v>
      </c>
      <c r="N454" s="6">
        <f t="shared" si="124"/>
        <v>70600880</v>
      </c>
      <c r="O454" s="6">
        <f t="shared" si="130"/>
        <v>42659870</v>
      </c>
      <c r="P454" s="6">
        <f>SUMIF('JUNE (물량흐름)'!$C$13:$C$502,C454,'JUNE (물량흐름)'!$T$13:$T$502)+SUMIF('JUNE (물량흐름)'!$C$13:$C$502,C454,'JUNE (물량흐름)'!$V$13:$V$502)+SUMIF('JUNE (물량흐름)'!$C$13:$C$502,C454,'JUNE (물량흐름)'!$U$13:$U$502)-SUMIF('JUNE (물량흐름)'!$C$13:$C$502,C454,'JUNE (물량흐름)'!$Y$13:$Y$502)</f>
        <v>0</v>
      </c>
      <c r="Q454" s="6">
        <f t="shared" si="119"/>
        <v>0</v>
      </c>
      <c r="R454" s="6">
        <f>IF(ISERROR(VLOOKUP(#REF!,'WIP(재공품)'!$B$12:$AB$38,13,0)),0,VLOOKUP(#REF!,'WIP(재공품)'!$B$12:$AB$38,13,0))</f>
        <v>0</v>
      </c>
      <c r="S454" s="6">
        <f>IF(ISERROR(VLOOKUP(#REF!,'WIP(재공품)'!$B$12:$AB$38,10,0)),0,VLOOKUP(#REF!,'WIP(재공품)'!$B$12:$AB$38,10,0))</f>
        <v>0</v>
      </c>
      <c r="T454" s="6">
        <f>SUMIF('JUNE (물량흐름)'!$C$13:$C$502,'Overhead exp(제조경비)'!C454,'JUNE (물량흐름)'!$Y$13:$Y$502)</f>
        <v>0</v>
      </c>
      <c r="U454" s="6">
        <f t="shared" si="127"/>
        <v>0</v>
      </c>
      <c r="V454" s="6">
        <f>ROUND(SUMIF('JUNE (물량흐름)'!$C$13:$C$502,'Overhead exp(제조경비)'!C454,'JUNE (물량흐름)'!$N$13:$N$502),0)</f>
        <v>0</v>
      </c>
      <c r="W454" s="6">
        <f>ROUND(SUMIF('JUNE (물량흐름)'!$C$13:$C$502,'Overhead exp(제조경비)'!C454,'JUNE (물량흐름)'!$O$13:$O$502),0)</f>
        <v>665</v>
      </c>
      <c r="X454" s="6">
        <f>ROUND(SUMIF('JUNE (물량흐름)'!$C$13:$C$502,'Overhead exp(제조경비)'!C454,'JUNE (물량흐름)'!$P$13:$P$502),0)</f>
        <v>800</v>
      </c>
      <c r="Y454" s="6">
        <f t="shared" si="125"/>
        <v>1465</v>
      </c>
      <c r="Z454" s="6">
        <f t="shared" si="126"/>
        <v>973</v>
      </c>
      <c r="AA454" s="6">
        <f t="shared" si="120"/>
        <v>42659870</v>
      </c>
      <c r="AB454" s="391">
        <f t="shared" si="128"/>
        <v>0</v>
      </c>
      <c r="AC454" s="391">
        <f t="shared" si="129"/>
        <v>0</v>
      </c>
    </row>
    <row r="455" spans="1:29" s="390" customFormat="1" ht="24" customHeight="1">
      <c r="A455" s="167">
        <v>465</v>
      </c>
      <c r="B455" s="20" t="str">
        <f>IFERROR(VLOOKUP(A455,'JUNE (물량흐름)'!$A$13:$C$502,2,0),0)</f>
        <v>ALFANI</v>
      </c>
      <c r="C455" s="272">
        <f>VLOOKUP(A455,'JUNE (물량흐름)'!$A$13:$C$502,3,0)</f>
        <v>100037213</v>
      </c>
      <c r="D455" s="6">
        <f>VLOOKUP(C455,'WIP(재공품)'!$B$12:$E$493,4,0)</f>
        <v>40815</v>
      </c>
      <c r="E455" s="6">
        <f>IFERROR(VLOOKUP(C455,O.B.JUNE!$AI$7:$AJ$448,2,0),0)</f>
        <v>0</v>
      </c>
      <c r="F455" s="6">
        <f>IFERROR(VLOOKUP(C455,O.B.JUNE!$AI$7:$AK$448,3,0),0)</f>
        <v>0</v>
      </c>
      <c r="G455" s="6">
        <f>IFERROR(VLOOKUP(C455,O.B.JUNE!$AI$7:$AL$448,4,0),0)</f>
        <v>0</v>
      </c>
      <c r="H455" s="6">
        <f t="shared" si="122"/>
        <v>0</v>
      </c>
      <c r="I455" s="6">
        <f>IFERROR(VLOOKUP(C455,O.B.JUNE!$AI$7:$AN$448,6,0),0)</f>
        <v>0</v>
      </c>
      <c r="J455" s="6"/>
      <c r="K455" s="6">
        <f>IFERROR(VLOOKUP(C455,O.B.JUNE!$AI$7:$AO$448,7,0),0)</f>
        <v>0</v>
      </c>
      <c r="L455" s="6">
        <f>SUMIF('JUNE (물량흐름)'!$C$13:$C$488,'Overhead exp(제조경비)'!C455,'JUNE (물량흐름)'!$H$13:$H$493)+SUMIF('JUNE (물량흐름)'!$C$13:$C$493,'Overhead exp(제조경비)'!C455,'JUNE (물량흐름)'!$V$13:$V$493)</f>
        <v>2712</v>
      </c>
      <c r="M455" s="6">
        <f t="shared" si="123"/>
        <v>2249</v>
      </c>
      <c r="N455" s="6">
        <f t="shared" si="124"/>
        <v>91792935</v>
      </c>
      <c r="O455" s="6">
        <f t="shared" si="130"/>
        <v>55464955</v>
      </c>
      <c r="P455" s="6">
        <f>SUMIF('JUNE (물량흐름)'!$C$13:$C$502,C455,'JUNE (물량흐름)'!$T$13:$T$502)+SUMIF('JUNE (물량흐름)'!$C$13:$C$502,C455,'JUNE (물량흐름)'!$V$13:$V$502)+SUMIF('JUNE (물량흐름)'!$C$13:$C$502,C455,'JUNE (물량흐름)'!$U$13:$U$502)-SUMIF('JUNE (물량흐름)'!$C$13:$C$502,C455,'JUNE (물량흐름)'!$Y$13:$Y$502)</f>
        <v>1276</v>
      </c>
      <c r="Q455" s="6">
        <f t="shared" si="119"/>
        <v>26096343</v>
      </c>
      <c r="R455" s="6">
        <f>IF(ISERROR(VLOOKUP(#REF!,'WIP(재공품)'!$B$12:$AB$38,13,0)),0,VLOOKUP(#REF!,'WIP(재공품)'!$B$12:$AB$38,13,0))</f>
        <v>0</v>
      </c>
      <c r="S455" s="6">
        <f>IF(ISERROR(VLOOKUP(#REF!,'WIP(재공품)'!$B$12:$AB$38,10,0)),0,VLOOKUP(#REF!,'WIP(재공품)'!$B$12:$AB$38,10,0))</f>
        <v>0</v>
      </c>
      <c r="T455" s="6">
        <f>SUMIF('JUNE (물량흐름)'!$C$13:$C$502,'Overhead exp(제조경비)'!C455,'JUNE (물량흐름)'!$Y$13:$Y$502)</f>
        <v>0</v>
      </c>
      <c r="U455" s="6">
        <f t="shared" si="127"/>
        <v>0</v>
      </c>
      <c r="V455" s="6">
        <f>ROUND(SUMIF('JUNE (물량흐름)'!$C$13:$C$502,'Overhead exp(제조경비)'!C455,'JUNE (물량흐름)'!$N$13:$N$502),0)</f>
        <v>0</v>
      </c>
      <c r="W455" s="6">
        <f>ROUND(SUMIF('JUNE (물량흐름)'!$C$13:$C$502,'Overhead exp(제조경비)'!C455,'JUNE (물량흐름)'!$O$13:$O$502),0)</f>
        <v>586</v>
      </c>
      <c r="X455" s="6">
        <f>ROUND(SUMIF('JUNE (물량흐름)'!$C$13:$C$502,'Overhead exp(제조경비)'!C455,'JUNE (물량흐름)'!$P$13:$P$502),0)</f>
        <v>850</v>
      </c>
      <c r="Y455" s="6">
        <f t="shared" si="125"/>
        <v>1436</v>
      </c>
      <c r="Z455" s="6">
        <f t="shared" si="126"/>
        <v>973</v>
      </c>
      <c r="AA455" s="6">
        <f t="shared" si="120"/>
        <v>29368612</v>
      </c>
      <c r="AB455" s="391">
        <f t="shared" si="128"/>
        <v>0</v>
      </c>
      <c r="AC455" s="391">
        <f t="shared" si="129"/>
        <v>0</v>
      </c>
    </row>
    <row r="456" spans="1:29" s="390" customFormat="1" ht="24" customHeight="1">
      <c r="A456" s="167">
        <v>466</v>
      </c>
      <c r="B456" s="20" t="str">
        <f>IFERROR(VLOOKUP(A456,'JUNE (물량흐름)'!$A$13:$C$502,2,0),0)</f>
        <v>ALFANI</v>
      </c>
      <c r="C456" s="272">
        <f>VLOOKUP(A456,'JUNE (물량흐름)'!$A$13:$C$502,3,0)</f>
        <v>100037673</v>
      </c>
      <c r="D456" s="6">
        <f>VLOOKUP(C456,'WIP(재공품)'!$B$12:$E$493,4,0)</f>
        <v>38547.5</v>
      </c>
      <c r="E456" s="6">
        <f>IFERROR(VLOOKUP(C456,O.B.JUNE!$AI$7:$AJ$448,2,0),0)</f>
        <v>0</v>
      </c>
      <c r="F456" s="6">
        <f>IFERROR(VLOOKUP(C456,O.B.JUNE!$AI$7:$AK$448,3,0),0)</f>
        <v>0</v>
      </c>
      <c r="G456" s="6">
        <f>IFERROR(VLOOKUP(C456,O.B.JUNE!$AI$7:$AL$448,4,0),0)</f>
        <v>0</v>
      </c>
      <c r="H456" s="6">
        <f t="shared" si="122"/>
        <v>0</v>
      </c>
      <c r="I456" s="6">
        <f>IFERROR(VLOOKUP(C456,O.B.JUNE!$AI$7:$AN$448,6,0),0)</f>
        <v>0</v>
      </c>
      <c r="J456" s="6"/>
      <c r="K456" s="6">
        <f>IFERROR(VLOOKUP(C456,O.B.JUNE!$AI$7:$AO$448,7,0),0)</f>
        <v>0</v>
      </c>
      <c r="L456" s="6">
        <f>SUMIF('JUNE (물량흐름)'!$C$13:$C$488,'Overhead exp(제조경비)'!C456,'JUNE (물량흐름)'!$H$13:$H$493)+SUMIF('JUNE (물량흐름)'!$C$13:$C$493,'Overhead exp(제조경비)'!C456,'JUNE (물량흐름)'!$V$13:$V$493)</f>
        <v>1772</v>
      </c>
      <c r="M456" s="6">
        <f t="shared" si="123"/>
        <v>1745</v>
      </c>
      <c r="N456" s="6">
        <f t="shared" si="124"/>
        <v>67265388</v>
      </c>
      <c r="O456" s="6">
        <f t="shared" si="130"/>
        <v>40644432</v>
      </c>
      <c r="P456" s="6">
        <f>SUMIF('JUNE (물량흐름)'!$C$13:$C$502,C456,'JUNE (물량흐름)'!$T$13:$T$502)+SUMIF('JUNE (물량흐름)'!$C$13:$C$502,C456,'JUNE (물량흐름)'!$V$13:$V$502)+SUMIF('JUNE (물량흐름)'!$C$13:$C$502,C456,'JUNE (물량흐름)'!$U$13:$U$502)-SUMIF('JUNE (물량흐름)'!$C$13:$C$502,C456,'JUNE (물량흐름)'!$Y$13:$Y$502)</f>
        <v>1698</v>
      </c>
      <c r="Q456" s="6">
        <f t="shared" si="119"/>
        <v>38947091</v>
      </c>
      <c r="R456" s="6">
        <f>IF(ISERROR(VLOOKUP(#REF!,'WIP(재공품)'!$B$12:$AB$38,13,0)),0,VLOOKUP(#REF!,'WIP(재공품)'!$B$12:$AB$38,13,0))</f>
        <v>0</v>
      </c>
      <c r="S456" s="6">
        <f>IF(ISERROR(VLOOKUP(#REF!,'WIP(재공품)'!$B$12:$AB$38,10,0)),0,VLOOKUP(#REF!,'WIP(재공품)'!$B$12:$AB$38,10,0))</f>
        <v>0</v>
      </c>
      <c r="T456" s="6">
        <f>SUMIF('JUNE (물량흐름)'!$C$13:$C$502,'Overhead exp(제조경비)'!C456,'JUNE (물량흐름)'!$Y$13:$Y$502)</f>
        <v>0</v>
      </c>
      <c r="U456" s="6">
        <f t="shared" si="127"/>
        <v>0</v>
      </c>
      <c r="V456" s="6">
        <f>ROUND(SUMIF('JUNE (물량흐름)'!$C$13:$C$502,'Overhead exp(제조경비)'!C456,'JUNE (물량흐름)'!$N$13:$N$502),0)</f>
        <v>0</v>
      </c>
      <c r="W456" s="6">
        <f>ROUND(SUMIF('JUNE (물량흐름)'!$C$13:$C$502,'Overhead exp(제조경비)'!C456,'JUNE (물량흐름)'!$O$13:$O$502),0)</f>
        <v>41</v>
      </c>
      <c r="X456" s="6">
        <f>ROUND(SUMIF('JUNE (물량흐름)'!$C$13:$C$502,'Overhead exp(제조경비)'!C456,'JUNE (물량흐름)'!$P$13:$P$502),0)</f>
        <v>33</v>
      </c>
      <c r="Y456" s="6">
        <f t="shared" si="125"/>
        <v>74</v>
      </c>
      <c r="Z456" s="6">
        <f t="shared" si="126"/>
        <v>47</v>
      </c>
      <c r="AA456" s="6">
        <f t="shared" si="120"/>
        <v>1697341</v>
      </c>
      <c r="AB456" s="391">
        <f t="shared" si="128"/>
        <v>0</v>
      </c>
      <c r="AC456" s="391">
        <f t="shared" si="129"/>
        <v>0</v>
      </c>
    </row>
    <row r="457" spans="1:29" s="390" customFormat="1" ht="24" customHeight="1">
      <c r="A457" s="167">
        <v>467</v>
      </c>
      <c r="B457" s="20" t="str">
        <f>IFERROR(VLOOKUP(A457,'JUNE (물량흐름)'!$A$13:$C$502,2,0),0)</f>
        <v>ALFANI</v>
      </c>
      <c r="C457" s="272">
        <f>VLOOKUP(A457,'JUNE (물량흐름)'!$A$13:$C$502,3,0)</f>
        <v>100038686</v>
      </c>
      <c r="D457" s="6">
        <f>VLOOKUP(C457,'WIP(재공품)'!$B$12:$E$493,4,0)</f>
        <v>26529.75</v>
      </c>
      <c r="E457" s="6">
        <f>IFERROR(VLOOKUP(C457,O.B.JUNE!$AI$7:$AJ$448,2,0),0)</f>
        <v>0</v>
      </c>
      <c r="F457" s="6">
        <f>IFERROR(VLOOKUP(C457,O.B.JUNE!$AI$7:$AK$448,3,0),0)</f>
        <v>0</v>
      </c>
      <c r="G457" s="6">
        <f>IFERROR(VLOOKUP(C457,O.B.JUNE!$AI$7:$AL$448,4,0),0)</f>
        <v>0</v>
      </c>
      <c r="H457" s="6">
        <f t="shared" si="122"/>
        <v>0</v>
      </c>
      <c r="I457" s="6">
        <f>IFERROR(VLOOKUP(C457,O.B.JUNE!$AI$7:$AN$448,6,0),0)</f>
        <v>0</v>
      </c>
      <c r="J457" s="6"/>
      <c r="K457" s="6">
        <f>IFERROR(VLOOKUP(C457,O.B.JUNE!$AI$7:$AO$448,7,0),0)</f>
        <v>0</v>
      </c>
      <c r="L457" s="6">
        <f>SUMIF('JUNE (물량흐름)'!$C$13:$C$488,'Overhead exp(제조경비)'!C457,'JUNE (물량흐름)'!$H$13:$H$493)+SUMIF('JUNE (물량흐름)'!$C$13:$C$493,'Overhead exp(제조경비)'!C457,'JUNE (물량흐름)'!$V$13:$V$493)</f>
        <v>6084</v>
      </c>
      <c r="M457" s="6">
        <f t="shared" si="123"/>
        <v>3526</v>
      </c>
      <c r="N457" s="6">
        <f t="shared" si="124"/>
        <v>93543899</v>
      </c>
      <c r="O457" s="6">
        <f t="shared" si="130"/>
        <v>56522957</v>
      </c>
      <c r="P457" s="6">
        <f>SUMIF('JUNE (물량흐름)'!$C$13:$C$502,C457,'JUNE (물량흐름)'!$T$13:$T$502)+SUMIF('JUNE (물량흐름)'!$C$13:$C$502,C457,'JUNE (물량흐름)'!$V$13:$V$502)+SUMIF('JUNE (물량흐름)'!$C$13:$C$502,C457,'JUNE (물량흐름)'!$U$13:$U$502)-SUMIF('JUNE (물량흐름)'!$C$13:$C$502,C457,'JUNE (물량흐름)'!$Y$13:$Y$502)</f>
        <v>322</v>
      </c>
      <c r="Q457" s="6">
        <f t="shared" si="119"/>
        <v>2991517</v>
      </c>
      <c r="R457" s="6">
        <f>IF(ISERROR(VLOOKUP(#REF!,'WIP(재공품)'!$B$12:$AB$38,13,0)),0,VLOOKUP(#REF!,'WIP(재공품)'!$B$12:$AB$38,13,0))</f>
        <v>0</v>
      </c>
      <c r="S457" s="6">
        <f>IF(ISERROR(VLOOKUP(#REF!,'WIP(재공품)'!$B$12:$AB$38,10,0)),0,VLOOKUP(#REF!,'WIP(재공품)'!$B$12:$AB$38,10,0))</f>
        <v>0</v>
      </c>
      <c r="T457" s="6">
        <f>SUMIF('JUNE (물량흐름)'!$C$13:$C$502,'Overhead exp(제조경비)'!C457,'JUNE (물량흐름)'!$Y$13:$Y$502)</f>
        <v>0</v>
      </c>
      <c r="U457" s="6">
        <f t="shared" si="127"/>
        <v>0</v>
      </c>
      <c r="V457" s="6">
        <f>ROUND(SUMIF('JUNE (물량흐름)'!$C$13:$C$502,'Overhead exp(제조경비)'!C457,'JUNE (물량흐름)'!$N$13:$N$502),0)</f>
        <v>0</v>
      </c>
      <c r="W457" s="6">
        <f>ROUND(SUMIF('JUNE (물량흐름)'!$C$13:$C$502,'Overhead exp(제조경비)'!C457,'JUNE (물량흐름)'!$O$13:$O$502),0)</f>
        <v>4684</v>
      </c>
      <c r="X457" s="6">
        <f>ROUND(SUMIF('JUNE (물량흐름)'!$C$13:$C$502,'Overhead exp(제조경비)'!C457,'JUNE (물량흐름)'!$P$13:$P$502),0)</f>
        <v>1078</v>
      </c>
      <c r="Y457" s="6">
        <f t="shared" si="125"/>
        <v>5762</v>
      </c>
      <c r="Z457" s="6">
        <f t="shared" si="126"/>
        <v>3204</v>
      </c>
      <c r="AA457" s="6">
        <f t="shared" si="120"/>
        <v>53531440</v>
      </c>
      <c r="AB457" s="391">
        <f t="shared" si="128"/>
        <v>0</v>
      </c>
      <c r="AC457" s="391">
        <f t="shared" si="129"/>
        <v>0</v>
      </c>
    </row>
    <row r="458" spans="1:29" s="390" customFormat="1" ht="24" customHeight="1">
      <c r="A458" s="167">
        <v>468</v>
      </c>
      <c r="B458" s="20" t="str">
        <f>IFERROR(VLOOKUP(A458,'JUNE (물량흐름)'!$A$13:$C$502,2,0),0)</f>
        <v>TALBOTS</v>
      </c>
      <c r="C458" s="272">
        <f>VLOOKUP(A458,'JUNE (물량흐름)'!$A$13:$C$502,3,0)</f>
        <v>183034540</v>
      </c>
      <c r="D458" s="6">
        <f>VLOOKUP(C458,'WIP(재공품)'!$B$12:$E$493,4,0)</f>
        <v>149985</v>
      </c>
      <c r="E458" s="6">
        <f>IFERROR(VLOOKUP(C458,O.B.JUNE!$AI$7:$AJ$448,2,0),0)</f>
        <v>0</v>
      </c>
      <c r="F458" s="6">
        <f>IFERROR(VLOOKUP(C458,O.B.JUNE!$AI$7:$AK$448,3,0),0)</f>
        <v>0</v>
      </c>
      <c r="G458" s="6">
        <f>IFERROR(VLOOKUP(C458,O.B.JUNE!$AI$7:$AL$448,4,0),0)</f>
        <v>0</v>
      </c>
      <c r="H458" s="6">
        <f t="shared" si="122"/>
        <v>0</v>
      </c>
      <c r="I458" s="6">
        <f>IFERROR(VLOOKUP(C458,O.B.JUNE!$AI$7:$AN$448,6,0),0)</f>
        <v>0</v>
      </c>
      <c r="J458" s="6"/>
      <c r="K458" s="6">
        <f>IFERROR(VLOOKUP(C458,O.B.JUNE!$AI$7:$AO$448,7,0),0)</f>
        <v>0</v>
      </c>
      <c r="L458" s="6">
        <f>SUMIF('JUNE (물량흐름)'!$C$13:$C$488,'Overhead exp(제조경비)'!C458,'JUNE (물량흐름)'!$H$13:$H$493)+SUMIF('JUNE (물량흐름)'!$C$13:$C$493,'Overhead exp(제조경비)'!C458,'JUNE (물량흐름)'!$V$13:$V$493)</f>
        <v>1209</v>
      </c>
      <c r="M458" s="6">
        <f t="shared" si="123"/>
        <v>1171</v>
      </c>
      <c r="N458" s="6">
        <f t="shared" si="124"/>
        <v>175632435</v>
      </c>
      <c r="O458" s="6">
        <f t="shared" si="130"/>
        <v>106124128</v>
      </c>
      <c r="P458" s="6">
        <f>SUMIF('JUNE (물량흐름)'!$C$13:$C$502,C458,'JUNE (물량흐름)'!$T$13:$T$502)+SUMIF('JUNE (물량흐름)'!$C$13:$C$502,C458,'JUNE (물량흐름)'!$V$13:$V$502)+SUMIF('JUNE (물량흐름)'!$C$13:$C$502,C458,'JUNE (물량흐름)'!$U$13:$U$502)-SUMIF('JUNE (물량흐름)'!$C$13:$C$502,C458,'JUNE (물량흐름)'!$Y$13:$Y$502)</f>
        <v>1105</v>
      </c>
      <c r="Q458" s="6">
        <f t="shared" si="119"/>
        <v>96995171</v>
      </c>
      <c r="R458" s="6">
        <f>IF(ISERROR(VLOOKUP(#REF!,'WIP(재공품)'!$B$12:$AB$38,13,0)),0,VLOOKUP(#REF!,'WIP(재공품)'!$B$12:$AB$38,13,0))</f>
        <v>0</v>
      </c>
      <c r="S458" s="6">
        <f>IF(ISERROR(VLOOKUP(#REF!,'WIP(재공품)'!$B$12:$AB$38,10,0)),0,VLOOKUP(#REF!,'WIP(재공품)'!$B$12:$AB$38,10,0))</f>
        <v>0</v>
      </c>
      <c r="T458" s="6">
        <f>SUMIF('JUNE (물량흐름)'!$C$13:$C$502,'Overhead exp(제조경비)'!C458,'JUNE (물량흐름)'!$Y$13:$Y$502)</f>
        <v>0</v>
      </c>
      <c r="U458" s="6">
        <f t="shared" si="127"/>
        <v>0</v>
      </c>
      <c r="V458" s="6">
        <f>ROUND(SUMIF('JUNE (물량흐름)'!$C$13:$C$502,'Overhead exp(제조경비)'!C458,'JUNE (물량흐름)'!$N$13:$N$502),0)</f>
        <v>0</v>
      </c>
      <c r="W458" s="6">
        <f>ROUND(SUMIF('JUNE (물량흐름)'!$C$13:$C$502,'Overhead exp(제조경비)'!C458,'JUNE (물량흐름)'!$O$13:$O$502),0)</f>
        <v>59</v>
      </c>
      <c r="X458" s="6">
        <f>ROUND(SUMIF('JUNE (물량흐름)'!$C$13:$C$502,'Overhead exp(제조경비)'!C458,'JUNE (물량흐름)'!$P$13:$P$502),0)</f>
        <v>45</v>
      </c>
      <c r="Y458" s="6">
        <f t="shared" si="125"/>
        <v>104</v>
      </c>
      <c r="Z458" s="6">
        <f t="shared" si="126"/>
        <v>66</v>
      </c>
      <c r="AA458" s="6">
        <f t="shared" si="120"/>
        <v>9128957</v>
      </c>
      <c r="AB458" s="391">
        <f t="shared" si="128"/>
        <v>0</v>
      </c>
      <c r="AC458" s="391">
        <f t="shared" si="129"/>
        <v>0</v>
      </c>
    </row>
    <row r="459" spans="1:29" s="390" customFormat="1" ht="24" customHeight="1">
      <c r="A459" s="167">
        <v>469</v>
      </c>
      <c r="B459" s="20" t="str">
        <f>IFERROR(VLOOKUP(A459,'JUNE (물량흐름)'!$A$13:$C$502,2,0),0)</f>
        <v>BAR III</v>
      </c>
      <c r="C459" s="272">
        <f>VLOOKUP(A459,'JUNE (물량흐름)'!$A$13:$C$502,3,0)</f>
        <v>100033058</v>
      </c>
      <c r="D459" s="6">
        <f>VLOOKUP(C459,'WIP(재공품)'!$B$12:$E$493,4,0)</f>
        <v>57367.749999999993</v>
      </c>
      <c r="E459" s="6">
        <f>IFERROR(VLOOKUP(C459,O.B.JUNE!$AI$7:$AJ$448,2,0),0)</f>
        <v>0</v>
      </c>
      <c r="F459" s="6">
        <f>IFERROR(VLOOKUP(C459,O.B.JUNE!$AI$7:$AK$448,3,0),0)</f>
        <v>0</v>
      </c>
      <c r="G459" s="6">
        <f>IFERROR(VLOOKUP(C459,O.B.JUNE!$AI$7:$AL$448,4,0),0)</f>
        <v>0</v>
      </c>
      <c r="H459" s="6">
        <f t="shared" si="122"/>
        <v>0</v>
      </c>
      <c r="I459" s="6">
        <f>IFERROR(VLOOKUP(C459,O.B.JUNE!$AI$7:$AN$448,6,0),0)</f>
        <v>0</v>
      </c>
      <c r="J459" s="6"/>
      <c r="K459" s="6">
        <f>IFERROR(VLOOKUP(C459,O.B.JUNE!$AI$7:$AO$448,7,0),0)</f>
        <v>0</v>
      </c>
      <c r="L459" s="6">
        <f>SUMIF('JUNE (물량흐름)'!$C$13:$C$488,'Overhead exp(제조경비)'!C459,'JUNE (물량흐름)'!$H$13:$H$493)+SUMIF('JUNE (물량흐름)'!$C$13:$C$493,'Overhead exp(제조경비)'!C459,'JUNE (물량흐름)'!$V$13:$V$493)</f>
        <v>1116</v>
      </c>
      <c r="M459" s="6">
        <f t="shared" si="123"/>
        <v>1102</v>
      </c>
      <c r="N459" s="6">
        <f t="shared" si="124"/>
        <v>63219261</v>
      </c>
      <c r="O459" s="6">
        <f t="shared" si="130"/>
        <v>38199601</v>
      </c>
      <c r="P459" s="6">
        <f>SUMIF('JUNE (물량흐름)'!$C$13:$C$502,C459,'JUNE (물량흐름)'!$T$13:$T$502)+SUMIF('JUNE (물량흐름)'!$C$13:$C$502,C459,'JUNE (물량흐름)'!$V$13:$V$502)+SUMIF('JUNE (물량흐름)'!$C$13:$C$502,C459,'JUNE (물량흐름)'!$U$13:$U$502)-SUMIF('JUNE (물량흐름)'!$C$13:$C$502,C459,'JUNE (물량흐름)'!$Y$13:$Y$502)</f>
        <v>1057</v>
      </c>
      <c r="Q459" s="6">
        <f t="shared" si="119"/>
        <v>36180088</v>
      </c>
      <c r="R459" s="6">
        <f>IF(ISERROR(VLOOKUP(#REF!,'WIP(재공품)'!$B$12:$AB$38,13,0)),0,VLOOKUP(#REF!,'WIP(재공품)'!$B$12:$AB$38,13,0))</f>
        <v>0</v>
      </c>
      <c r="S459" s="6">
        <f>IF(ISERROR(VLOOKUP(#REF!,'WIP(재공품)'!$B$12:$AB$38,10,0)),0,VLOOKUP(#REF!,'WIP(재공품)'!$B$12:$AB$38,10,0))</f>
        <v>0</v>
      </c>
      <c r="T459" s="6">
        <f>SUMIF('JUNE (물량흐름)'!$C$13:$C$502,'Overhead exp(제조경비)'!C459,'JUNE (물량흐름)'!$Y$13:$Y$502)</f>
        <v>3</v>
      </c>
      <c r="U459" s="6">
        <f t="shared" si="127"/>
        <v>102687</v>
      </c>
      <c r="V459" s="6">
        <f>ROUND(SUMIF('JUNE (물량흐름)'!$C$13:$C$502,'Overhead exp(제조경비)'!C459,'JUNE (물량흐름)'!$N$13:$N$502),0)</f>
        <v>0</v>
      </c>
      <c r="W459" s="6">
        <f>ROUND(SUMIF('JUNE (물량흐름)'!$C$13:$C$502,'Overhead exp(제조경비)'!C459,'JUNE (물량흐름)'!$O$13:$O$502),0)</f>
        <v>8</v>
      </c>
      <c r="X459" s="6">
        <f>ROUND(SUMIF('JUNE (물량흐름)'!$C$13:$C$502,'Overhead exp(제조경비)'!C459,'JUNE (물량흐름)'!$P$13:$P$502),0)</f>
        <v>48</v>
      </c>
      <c r="Y459" s="6">
        <f t="shared" si="125"/>
        <v>56</v>
      </c>
      <c r="Z459" s="6">
        <f t="shared" si="126"/>
        <v>42</v>
      </c>
      <c r="AA459" s="6">
        <f t="shared" si="120"/>
        <v>1916826</v>
      </c>
      <c r="AB459" s="391">
        <f t="shared" si="128"/>
        <v>0</v>
      </c>
      <c r="AC459" s="391">
        <f t="shared" si="129"/>
        <v>0</v>
      </c>
    </row>
    <row r="460" spans="1:29" s="390" customFormat="1" ht="24" customHeight="1">
      <c r="A460" s="167">
        <v>470</v>
      </c>
      <c r="B460" s="20" t="str">
        <f>IFERROR(VLOOKUP(A460,'JUNE (물량흐름)'!$A$13:$C$502,2,0),0)</f>
        <v>INC</v>
      </c>
      <c r="C460" s="272">
        <f>VLOOKUP(A460,'JUNE (물량흐름)'!$A$13:$C$502,3,0)</f>
        <v>100033483</v>
      </c>
      <c r="D460" s="6">
        <f>VLOOKUP(C460,'WIP(재공품)'!$B$12:$E$493,4,0)</f>
        <v>79362.5</v>
      </c>
      <c r="E460" s="6">
        <f>IFERROR(VLOOKUP(C460,O.B.JUNE!$AI$7:$AJ$448,2,0),0)</f>
        <v>0</v>
      </c>
      <c r="F460" s="6">
        <f>IFERROR(VLOOKUP(C460,O.B.JUNE!$AI$7:$AK$448,3,0),0)</f>
        <v>0</v>
      </c>
      <c r="G460" s="6">
        <f>IFERROR(VLOOKUP(C460,O.B.JUNE!$AI$7:$AL$448,4,0),0)</f>
        <v>0</v>
      </c>
      <c r="H460" s="6">
        <f t="shared" si="122"/>
        <v>0</v>
      </c>
      <c r="I460" s="6">
        <f>IFERROR(VLOOKUP(C460,O.B.JUNE!$AI$7:$AN$448,6,0),0)</f>
        <v>0</v>
      </c>
      <c r="J460" s="6"/>
      <c r="K460" s="6">
        <f>IFERROR(VLOOKUP(C460,O.B.JUNE!$AI$7:$AO$448,7,0),0)</f>
        <v>0</v>
      </c>
      <c r="L460" s="6">
        <f>SUMIF('JUNE (물량흐름)'!$C$13:$C$488,'Overhead exp(제조경비)'!C460,'JUNE (물량흐름)'!$H$13:$H$493)+SUMIF('JUNE (물량흐름)'!$C$13:$C$493,'Overhead exp(제조경비)'!C460,'JUNE (물량흐름)'!$V$13:$V$493)</f>
        <v>1488</v>
      </c>
      <c r="M460" s="6">
        <f t="shared" si="123"/>
        <v>1190</v>
      </c>
      <c r="N460" s="6">
        <f t="shared" si="124"/>
        <v>94441375</v>
      </c>
      <c r="O460" s="6">
        <f t="shared" si="130"/>
        <v>57065249</v>
      </c>
      <c r="P460" s="6">
        <f>SUMIF('JUNE (물량흐름)'!$C$13:$C$502,C460,'JUNE (물량흐름)'!$T$13:$T$502)+SUMIF('JUNE (물량흐름)'!$C$13:$C$502,C460,'JUNE (물량흐름)'!$V$13:$V$502)+SUMIF('JUNE (물량흐름)'!$C$13:$C$502,C460,'JUNE (물량흐름)'!$U$13:$U$502)-SUMIF('JUNE (물량흐름)'!$C$13:$C$502,C460,'JUNE (물량흐름)'!$Y$13:$Y$502)</f>
        <v>0</v>
      </c>
      <c r="Q460" s="6">
        <f t="shared" si="119"/>
        <v>0</v>
      </c>
      <c r="R460" s="6">
        <f>IF(ISERROR(VLOOKUP(#REF!,'WIP(재공품)'!$B$12:$AB$38,13,0)),0,VLOOKUP(#REF!,'WIP(재공품)'!$B$12:$AB$38,13,0))</f>
        <v>0</v>
      </c>
      <c r="S460" s="6">
        <f>IF(ISERROR(VLOOKUP(#REF!,'WIP(재공품)'!$B$12:$AB$38,10,0)),0,VLOOKUP(#REF!,'WIP(재공품)'!$B$12:$AB$38,10,0))</f>
        <v>0</v>
      </c>
      <c r="T460" s="6">
        <f>SUMIF('JUNE (물량흐름)'!$C$13:$C$502,'Overhead exp(제조경비)'!C460,'JUNE (물량흐름)'!$Y$13:$Y$502)</f>
        <v>0</v>
      </c>
      <c r="U460" s="6">
        <f t="shared" si="127"/>
        <v>0</v>
      </c>
      <c r="V460" s="6">
        <f>ROUND(SUMIF('JUNE (물량흐름)'!$C$13:$C$502,'Overhead exp(제조경비)'!C460,'JUNE (물량흐름)'!$N$13:$N$502),0)</f>
        <v>0</v>
      </c>
      <c r="W460" s="6">
        <f>ROUND(SUMIF('JUNE (물량흐름)'!$C$13:$C$502,'Overhead exp(제조경비)'!C460,'JUNE (물량흐름)'!$O$13:$O$502),0)</f>
        <v>0</v>
      </c>
      <c r="X460" s="6">
        <f>ROUND(SUMIF('JUNE (물량흐름)'!$C$13:$C$502,'Overhead exp(제조경비)'!C460,'JUNE (물량흐름)'!$P$13:$P$502),0)</f>
        <v>1488</v>
      </c>
      <c r="Y460" s="6">
        <f t="shared" si="125"/>
        <v>1488</v>
      </c>
      <c r="Z460" s="6">
        <f t="shared" si="126"/>
        <v>1190</v>
      </c>
      <c r="AA460" s="6">
        <f t="shared" si="120"/>
        <v>57065249</v>
      </c>
      <c r="AB460" s="391">
        <f t="shared" si="128"/>
        <v>0</v>
      </c>
      <c r="AC460" s="391">
        <f t="shared" si="129"/>
        <v>0</v>
      </c>
    </row>
    <row r="461" spans="1:29" s="390" customFormat="1" ht="24" customHeight="1">
      <c r="A461" s="167">
        <v>471</v>
      </c>
      <c r="B461" s="20" t="str">
        <f>IFERROR(VLOOKUP(A461,'JUNE (물량흐름)'!$A$13:$C$502,2,0),0)</f>
        <v>INC</v>
      </c>
      <c r="C461" s="272">
        <f>VLOOKUP(A461,'JUNE (물량흐름)'!$A$13:$C$502,3,0)</f>
        <v>100034352</v>
      </c>
      <c r="D461" s="6">
        <f>VLOOKUP(C461,'WIP(재공품)'!$B$12:$E$493,4,0)</f>
        <v>46257</v>
      </c>
      <c r="E461" s="6">
        <f>IFERROR(VLOOKUP(C461,O.B.JUNE!$AI$7:$AJ$448,2,0),0)</f>
        <v>0</v>
      </c>
      <c r="F461" s="6">
        <f>IFERROR(VLOOKUP(C461,O.B.JUNE!$AI$7:$AK$448,3,0),0)</f>
        <v>0</v>
      </c>
      <c r="G461" s="6">
        <f>IFERROR(VLOOKUP(C461,O.B.JUNE!$AI$7:$AL$448,4,0),0)</f>
        <v>0</v>
      </c>
      <c r="H461" s="6">
        <f t="shared" si="122"/>
        <v>0</v>
      </c>
      <c r="I461" s="6">
        <f>IFERROR(VLOOKUP(C461,O.B.JUNE!$AI$7:$AN$448,6,0),0)</f>
        <v>0</v>
      </c>
      <c r="J461" s="6"/>
      <c r="K461" s="6">
        <f>IFERROR(VLOOKUP(C461,O.B.JUNE!$AI$7:$AO$448,7,0),0)</f>
        <v>0</v>
      </c>
      <c r="L461" s="6">
        <f>SUMIF('JUNE (물량흐름)'!$C$13:$C$488,'Overhead exp(제조경비)'!C461,'JUNE (물량흐름)'!$H$13:$H$493)+SUMIF('JUNE (물량흐름)'!$C$13:$C$493,'Overhead exp(제조경비)'!C461,'JUNE (물량흐름)'!$V$13:$V$493)</f>
        <v>6199</v>
      </c>
      <c r="M461" s="6">
        <f t="shared" si="123"/>
        <v>6010</v>
      </c>
      <c r="N461" s="6">
        <f t="shared" si="124"/>
        <v>278004570</v>
      </c>
      <c r="O461" s="6">
        <f t="shared" si="130"/>
        <v>167981458</v>
      </c>
      <c r="P461" s="6">
        <f>SUMIF('JUNE (물량흐름)'!$C$13:$C$502,C461,'JUNE (물량흐름)'!$T$13:$T$502)+SUMIF('JUNE (물량흐름)'!$C$13:$C$502,C461,'JUNE (물량흐름)'!$V$13:$V$502)+SUMIF('JUNE (물량흐름)'!$C$13:$C$502,C461,'JUNE (물량흐름)'!$U$13:$U$502)-SUMIF('JUNE (물량흐름)'!$C$13:$C$502,C461,'JUNE (물량흐름)'!$Y$13:$Y$502)</f>
        <v>5891</v>
      </c>
      <c r="Q461" s="6">
        <f t="shared" ref="Q461:Q492" si="131">IFERROR(ROUND(IF(OR(P461&lt;=0,($I461+$M461)=0),$P461*($K461+$O461)/($I461+$M461),$P461*($K461+$O461)/($H461+$L461)),0),0)</f>
        <v>159635227</v>
      </c>
      <c r="R461" s="6">
        <f>IF(ISERROR(VLOOKUP(#REF!,'WIP(재공품)'!$B$12:$AB$38,13,0)),0,VLOOKUP(#REF!,'WIP(재공품)'!$B$12:$AB$38,13,0))</f>
        <v>0</v>
      </c>
      <c r="S461" s="6">
        <f>IF(ISERROR(VLOOKUP(#REF!,'WIP(재공품)'!$B$12:$AB$38,10,0)),0,VLOOKUP(#REF!,'WIP(재공품)'!$B$12:$AB$38,10,0))</f>
        <v>0</v>
      </c>
      <c r="T461" s="6">
        <f>SUMIF('JUNE (물량흐름)'!$C$13:$C$502,'Overhead exp(제조경비)'!C461,'JUNE (물량흐름)'!$Y$13:$Y$502)</f>
        <v>3</v>
      </c>
      <c r="U461" s="6">
        <f t="shared" si="127"/>
        <v>81294</v>
      </c>
      <c r="V461" s="6">
        <f>ROUND(SUMIF('JUNE (물량흐름)'!$C$13:$C$502,'Overhead exp(제조경비)'!C461,'JUNE (물량흐름)'!$N$13:$N$502),0)</f>
        <v>129</v>
      </c>
      <c r="W461" s="6">
        <f>ROUND(SUMIF('JUNE (물량흐름)'!$C$13:$C$502,'Overhead exp(제조경비)'!C461,'JUNE (물량흐름)'!$O$13:$O$502),0)</f>
        <v>169</v>
      </c>
      <c r="X461" s="6">
        <f>ROUND(SUMIF('JUNE (물량흐름)'!$C$13:$C$502,'Overhead exp(제조경비)'!C461,'JUNE (물량흐름)'!$P$13:$P$502),0)</f>
        <v>7</v>
      </c>
      <c r="Y461" s="6">
        <f t="shared" si="125"/>
        <v>305</v>
      </c>
      <c r="Z461" s="6">
        <f t="shared" si="126"/>
        <v>116</v>
      </c>
      <c r="AA461" s="6">
        <f t="shared" ref="AA461:AA492" si="132">IFERROR(ROUND(IF(OR(Z461&lt;=0,($I461+$M461)=0),$Z461*($K461+$O461)/($I461+$M461),$Y461*($K461+$O461)/($H461+$L461)),0),0)</f>
        <v>8264937</v>
      </c>
      <c r="AB461" s="391">
        <f t="shared" si="128"/>
        <v>0</v>
      </c>
      <c r="AC461" s="391">
        <f t="shared" si="129"/>
        <v>0</v>
      </c>
    </row>
    <row r="462" spans="1:29" s="390" customFormat="1" ht="24" customHeight="1">
      <c r="A462" s="167">
        <v>472</v>
      </c>
      <c r="B462" s="20" t="str">
        <f>IFERROR(VLOOKUP(A462,'JUNE (물량흐름)'!$A$13:$C$502,2,0),0)</f>
        <v>ALFANI</v>
      </c>
      <c r="C462" s="272">
        <f>VLOOKUP(A462,'JUNE (물량흐름)'!$A$13:$C$502,3,0)</f>
        <v>100041571</v>
      </c>
      <c r="D462" s="6">
        <f>VLOOKUP(C462,'WIP(재공품)'!$B$12:$E$493,4,0)</f>
        <v>102037.5</v>
      </c>
      <c r="E462" s="6">
        <f>IFERROR(VLOOKUP(C462,O.B.JUNE!$AI$7:$AJ$448,2,0),0)</f>
        <v>0</v>
      </c>
      <c r="F462" s="6">
        <f>IFERROR(VLOOKUP(C462,O.B.JUNE!$AI$7:$AK$448,3,0),0)</f>
        <v>0</v>
      </c>
      <c r="G462" s="6">
        <f>IFERROR(VLOOKUP(C462,O.B.JUNE!$AI$7:$AL$448,4,0),0)</f>
        <v>0</v>
      </c>
      <c r="H462" s="6">
        <f t="shared" si="122"/>
        <v>0</v>
      </c>
      <c r="I462" s="6">
        <f>IFERROR(VLOOKUP(C462,O.B.JUNE!$AI$7:$AN$448,6,0),0)</f>
        <v>0</v>
      </c>
      <c r="J462" s="6"/>
      <c r="K462" s="6">
        <f>IFERROR(VLOOKUP(C462,O.B.JUNE!$AI$7:$AO$448,7,0),0)</f>
        <v>0</v>
      </c>
      <c r="L462" s="6">
        <f>SUMIF('JUNE (물량흐름)'!$C$13:$C$488,'Overhead exp(제조경비)'!C462,'JUNE (물량흐름)'!$H$13:$H$493)+SUMIF('JUNE (물량흐름)'!$C$13:$C$493,'Overhead exp(제조경비)'!C462,'JUNE (물량흐름)'!$V$13:$V$493)</f>
        <v>911</v>
      </c>
      <c r="M462" s="6">
        <f t="shared" si="123"/>
        <v>506</v>
      </c>
      <c r="N462" s="6">
        <f t="shared" si="124"/>
        <v>51630975</v>
      </c>
      <c r="O462" s="6">
        <f t="shared" si="130"/>
        <v>31197496</v>
      </c>
      <c r="P462" s="6">
        <f>SUMIF('JUNE (물량흐름)'!$C$13:$C$502,C462,'JUNE (물량흐름)'!$T$13:$T$502)+SUMIF('JUNE (물량흐름)'!$C$13:$C$502,C462,'JUNE (물량흐름)'!$V$13:$V$502)+SUMIF('JUNE (물량흐름)'!$C$13:$C$502,C462,'JUNE (물량흐름)'!$U$13:$U$502)-SUMIF('JUNE (물량흐름)'!$C$13:$C$502,C462,'JUNE (물량흐름)'!$Y$13:$Y$502)</f>
        <v>0</v>
      </c>
      <c r="Q462" s="6">
        <f t="shared" si="131"/>
        <v>0</v>
      </c>
      <c r="R462" s="6">
        <f>IF(ISERROR(VLOOKUP(#REF!,'WIP(재공품)'!$B$12:$AB$38,13,0)),0,VLOOKUP(#REF!,'WIP(재공품)'!$B$12:$AB$38,13,0))</f>
        <v>0</v>
      </c>
      <c r="S462" s="6">
        <f>IF(ISERROR(VLOOKUP(#REF!,'WIP(재공품)'!$B$12:$AB$38,10,0)),0,VLOOKUP(#REF!,'WIP(재공품)'!$B$12:$AB$38,10,0))</f>
        <v>0</v>
      </c>
      <c r="T462" s="6">
        <f>SUMIF('JUNE (물량흐름)'!$C$13:$C$502,'Overhead exp(제조경비)'!C462,'JUNE (물량흐름)'!$Y$13:$Y$502)</f>
        <v>0</v>
      </c>
      <c r="U462" s="6">
        <f t="shared" si="127"/>
        <v>0</v>
      </c>
      <c r="V462" s="6">
        <f>ROUND(SUMIF('JUNE (물량흐름)'!$C$13:$C$502,'Overhead exp(제조경비)'!C462,'JUNE (물량흐름)'!$N$13:$N$502),0)</f>
        <v>0</v>
      </c>
      <c r="W462" s="6">
        <f>ROUND(SUMIF('JUNE (물량흐름)'!$C$13:$C$502,'Overhead exp(제조경비)'!C462,'JUNE (물량흐름)'!$O$13:$O$502),0)</f>
        <v>743</v>
      </c>
      <c r="X462" s="6">
        <f>ROUND(SUMIF('JUNE (물량흐름)'!$C$13:$C$502,'Overhead exp(제조경비)'!C462,'JUNE (물량흐름)'!$P$13:$P$502),0)</f>
        <v>168</v>
      </c>
      <c r="Y462" s="6">
        <f t="shared" si="125"/>
        <v>911</v>
      </c>
      <c r="Z462" s="6">
        <f t="shared" si="126"/>
        <v>506</v>
      </c>
      <c r="AA462" s="6">
        <f t="shared" si="132"/>
        <v>31197496</v>
      </c>
      <c r="AB462" s="391">
        <f t="shared" si="128"/>
        <v>0</v>
      </c>
      <c r="AC462" s="391">
        <f t="shared" si="129"/>
        <v>0</v>
      </c>
    </row>
    <row r="463" spans="1:29" s="390" customFormat="1" ht="24" customHeight="1">
      <c r="A463" s="167">
        <v>473</v>
      </c>
      <c r="B463" s="20" t="str">
        <f>IFERROR(VLOOKUP(A463,'JUNE (물량흐름)'!$A$13:$C$502,2,0),0)</f>
        <v>TALBOTS</v>
      </c>
      <c r="C463" s="272">
        <f>VLOOKUP(A463,'JUNE (물량흐름)'!$A$13:$C$502,3,0)</f>
        <v>183013461</v>
      </c>
      <c r="D463" s="6">
        <f>VLOOKUP(C463,'WIP(재공품)'!$B$12:$E$493,4,0)</f>
        <v>85218.75</v>
      </c>
      <c r="E463" s="6">
        <f>IFERROR(VLOOKUP(C463,O.B.JUNE!$AI$7:$AJ$448,2,0),0)</f>
        <v>0</v>
      </c>
      <c r="F463" s="6">
        <f>IFERROR(VLOOKUP(C463,O.B.JUNE!$AI$7:$AK$448,3,0),0)</f>
        <v>0</v>
      </c>
      <c r="G463" s="6">
        <f>IFERROR(VLOOKUP(C463,O.B.JUNE!$AI$7:$AL$448,4,0),0)</f>
        <v>0</v>
      </c>
      <c r="H463" s="6">
        <f t="shared" si="122"/>
        <v>0</v>
      </c>
      <c r="I463" s="6">
        <f>IFERROR(VLOOKUP(C463,O.B.JUNE!$AI$7:$AN$448,6,0),0)</f>
        <v>0</v>
      </c>
      <c r="J463" s="6"/>
      <c r="K463" s="6">
        <f>IFERROR(VLOOKUP(C463,O.B.JUNE!$AI$7:$AO$448,7,0),0)</f>
        <v>0</v>
      </c>
      <c r="L463" s="6">
        <f>SUMIF('JUNE (물량흐름)'!$C$13:$C$488,'Overhead exp(제조경비)'!C463,'JUNE (물량흐름)'!$H$13:$H$493)+SUMIF('JUNE (물량흐름)'!$C$13:$C$493,'Overhead exp(제조경비)'!C463,'JUNE (물량흐름)'!$V$13:$V$493)</f>
        <v>1637</v>
      </c>
      <c r="M463" s="6">
        <f t="shared" si="123"/>
        <v>1543</v>
      </c>
      <c r="N463" s="6">
        <f t="shared" si="124"/>
        <v>131492531</v>
      </c>
      <c r="O463" s="6">
        <f t="shared" si="130"/>
        <v>79453036</v>
      </c>
      <c r="P463" s="6">
        <f>SUMIF('JUNE (물량흐름)'!$C$13:$C$502,C463,'JUNE (물량흐름)'!$T$13:$T$502)+SUMIF('JUNE (물량흐름)'!$C$13:$C$502,C463,'JUNE (물량흐름)'!$V$13:$V$502)+SUMIF('JUNE (물량흐름)'!$C$13:$C$502,C463,'JUNE (물량흐름)'!$U$13:$U$502)-SUMIF('JUNE (물량흐름)'!$C$13:$C$502,C463,'JUNE (물량흐름)'!$Y$13:$Y$502)</f>
        <v>1252</v>
      </c>
      <c r="Q463" s="6">
        <f t="shared" si="131"/>
        <v>60766769</v>
      </c>
      <c r="R463" s="6">
        <f>IF(ISERROR(VLOOKUP(#REF!,'WIP(재공품)'!$B$12:$AB$38,13,0)),0,VLOOKUP(#REF!,'WIP(재공품)'!$B$12:$AB$38,13,0))</f>
        <v>0</v>
      </c>
      <c r="S463" s="6">
        <f>IF(ISERROR(VLOOKUP(#REF!,'WIP(재공품)'!$B$12:$AB$38,10,0)),0,VLOOKUP(#REF!,'WIP(재공품)'!$B$12:$AB$38,10,0))</f>
        <v>0</v>
      </c>
      <c r="T463" s="6">
        <f>SUMIF('JUNE (물량흐름)'!$C$13:$C$502,'Overhead exp(제조경비)'!C463,'JUNE (물량흐름)'!$Y$13:$Y$502)</f>
        <v>0</v>
      </c>
      <c r="U463" s="6">
        <f t="shared" si="127"/>
        <v>0</v>
      </c>
      <c r="V463" s="6">
        <f>ROUND(SUMIF('JUNE (물량흐름)'!$C$13:$C$502,'Overhead exp(제조경비)'!C463,'JUNE (물량흐름)'!$N$13:$N$502),0)</f>
        <v>21</v>
      </c>
      <c r="W463" s="6">
        <f>ROUND(SUMIF('JUNE (물량흐름)'!$C$13:$C$502,'Overhead exp(제조경비)'!C463,'JUNE (물량흐름)'!$O$13:$O$502),0)</f>
        <v>14</v>
      </c>
      <c r="X463" s="6">
        <f>ROUND(SUMIF('JUNE (물량흐름)'!$C$13:$C$502,'Overhead exp(제조경비)'!C463,'JUNE (물량흐름)'!$P$13:$P$502),0)</f>
        <v>350</v>
      </c>
      <c r="Y463" s="6">
        <f t="shared" si="125"/>
        <v>385</v>
      </c>
      <c r="Z463" s="6">
        <f t="shared" si="126"/>
        <v>291</v>
      </c>
      <c r="AA463" s="6">
        <f t="shared" si="132"/>
        <v>18686267</v>
      </c>
      <c r="AB463" s="391">
        <f t="shared" si="128"/>
        <v>0</v>
      </c>
      <c r="AC463" s="391">
        <f t="shared" si="129"/>
        <v>0</v>
      </c>
    </row>
    <row r="464" spans="1:29" s="390" customFormat="1" ht="24" customHeight="1">
      <c r="A464" s="167">
        <v>474</v>
      </c>
      <c r="B464" s="20" t="str">
        <f>IFERROR(VLOOKUP(A464,'JUNE (물량흐름)'!$A$13:$C$502,2,0),0)</f>
        <v>TALBOTS</v>
      </c>
      <c r="C464" s="272">
        <f>VLOOKUP(A464,'JUNE (물량흐름)'!$A$13:$C$502,3,0)</f>
        <v>183034538</v>
      </c>
      <c r="D464" s="6">
        <f>VLOOKUP(C464,'WIP(재공품)'!$B$12:$E$493,4,0)</f>
        <v>101130.5</v>
      </c>
      <c r="E464" s="6">
        <f>IFERROR(VLOOKUP(C464,O.B.JUNE!$AI$7:$AJ$448,2,0),0)</f>
        <v>0</v>
      </c>
      <c r="F464" s="6">
        <f>IFERROR(VLOOKUP(C464,O.B.JUNE!$AI$7:$AK$448,3,0),0)</f>
        <v>0</v>
      </c>
      <c r="G464" s="6">
        <f>IFERROR(VLOOKUP(C464,O.B.JUNE!$AI$7:$AL$448,4,0),0)</f>
        <v>0</v>
      </c>
      <c r="H464" s="6">
        <f t="shared" si="122"/>
        <v>0</v>
      </c>
      <c r="I464" s="6">
        <f>IFERROR(VLOOKUP(C464,O.B.JUNE!$AI$7:$AN$448,6,0),0)</f>
        <v>0</v>
      </c>
      <c r="J464" s="6"/>
      <c r="K464" s="6">
        <f>IFERROR(VLOOKUP(C464,O.B.JUNE!$AI$7:$AO$448,7,0),0)</f>
        <v>0</v>
      </c>
      <c r="L464" s="6">
        <f>SUMIF('JUNE (물량흐름)'!$C$13:$C$488,'Overhead exp(제조경비)'!C464,'JUNE (물량흐름)'!$H$13:$H$493)+SUMIF('JUNE (물량흐름)'!$C$13:$C$493,'Overhead exp(제조경비)'!C464,'JUNE (물량흐름)'!$V$13:$V$493)</f>
        <v>11769</v>
      </c>
      <c r="M464" s="6">
        <f t="shared" si="123"/>
        <v>9303</v>
      </c>
      <c r="N464" s="6">
        <f t="shared" si="124"/>
        <v>940817042</v>
      </c>
      <c r="O464" s="6">
        <f t="shared" si="130"/>
        <v>568479210</v>
      </c>
      <c r="P464" s="6">
        <f>SUMIF('JUNE (물량흐름)'!$C$13:$C$502,C464,'JUNE (물량흐름)'!$T$13:$T$502)+SUMIF('JUNE (물량흐름)'!$C$13:$C$502,C464,'JUNE (물량흐름)'!$V$13:$V$502)+SUMIF('JUNE (물량흐름)'!$C$13:$C$502,C464,'JUNE (물량흐름)'!$U$13:$U$502)-SUMIF('JUNE (물량흐름)'!$C$13:$C$502,C464,'JUNE (물량흐름)'!$Y$13:$Y$502)</f>
        <v>7514</v>
      </c>
      <c r="Q464" s="6">
        <f t="shared" si="131"/>
        <v>362949510</v>
      </c>
      <c r="R464" s="6">
        <f>IF(ISERROR(VLOOKUP(#REF!,'WIP(재공품)'!$B$12:$AB$38,13,0)),0,VLOOKUP(#REF!,'WIP(재공품)'!$B$12:$AB$38,13,0))</f>
        <v>0</v>
      </c>
      <c r="S464" s="6">
        <f>IF(ISERROR(VLOOKUP(#REF!,'WIP(재공품)'!$B$12:$AB$38,10,0)),0,VLOOKUP(#REF!,'WIP(재공품)'!$B$12:$AB$38,10,0))</f>
        <v>0</v>
      </c>
      <c r="T464" s="6">
        <f>SUMIF('JUNE (물량흐름)'!$C$13:$C$502,'Overhead exp(제조경비)'!C464,'JUNE (물량흐름)'!$Y$13:$Y$502)</f>
        <v>0</v>
      </c>
      <c r="U464" s="6">
        <f t="shared" si="127"/>
        <v>0</v>
      </c>
      <c r="V464" s="6">
        <f>ROUND(SUMIF('JUNE (물량흐름)'!$C$13:$C$502,'Overhead exp(제조경비)'!C464,'JUNE (물량흐름)'!$N$13:$N$502),0)</f>
        <v>2090</v>
      </c>
      <c r="W464" s="6">
        <f>ROUND(SUMIF('JUNE (물량흐름)'!$C$13:$C$502,'Overhead exp(제조경비)'!C464,'JUNE (물량흐름)'!$O$13:$O$502),0)</f>
        <v>1205</v>
      </c>
      <c r="X464" s="6">
        <f>ROUND(SUMIF('JUNE (물량흐름)'!$C$13:$C$502,'Overhead exp(제조경비)'!C464,'JUNE (물량흐름)'!$P$13:$P$502),0)</f>
        <v>960</v>
      </c>
      <c r="Y464" s="6">
        <f t="shared" si="125"/>
        <v>4255</v>
      </c>
      <c r="Z464" s="6">
        <f t="shared" si="126"/>
        <v>1789</v>
      </c>
      <c r="AA464" s="6">
        <f t="shared" si="132"/>
        <v>205529700</v>
      </c>
      <c r="AB464" s="391">
        <f t="shared" si="128"/>
        <v>0</v>
      </c>
      <c r="AC464" s="391">
        <f t="shared" si="129"/>
        <v>0</v>
      </c>
    </row>
    <row r="465" spans="1:29" s="390" customFormat="1" ht="24" customHeight="1">
      <c r="A465" s="167">
        <v>475</v>
      </c>
      <c r="B465" s="20" t="str">
        <f>IFERROR(VLOOKUP(A465,'JUNE (물량흐름)'!$A$13:$C$502,2,0),0)</f>
        <v>ANN TAYLOR</v>
      </c>
      <c r="C465" s="272">
        <f>VLOOKUP(A465,'JUNE (물량흐름)'!$A$13:$C$502,3,0)</f>
        <v>466315</v>
      </c>
      <c r="D465" s="6">
        <f>VLOOKUP(C465,'WIP(재공품)'!$B$12:$E$493,4,0)</f>
        <v>91607</v>
      </c>
      <c r="E465" s="6">
        <f>IFERROR(VLOOKUP(C465,O.B.JUNE!$AI$7:$AJ$448,2,0),0)</f>
        <v>0</v>
      </c>
      <c r="F465" s="6">
        <f>IFERROR(VLOOKUP(C465,O.B.JUNE!$AI$7:$AK$448,3,0),0)</f>
        <v>0</v>
      </c>
      <c r="G465" s="6">
        <f>IFERROR(VLOOKUP(C465,O.B.JUNE!$AI$7:$AL$448,4,0),0)</f>
        <v>0</v>
      </c>
      <c r="H465" s="6">
        <f t="shared" si="122"/>
        <v>0</v>
      </c>
      <c r="I465" s="6">
        <f>IFERROR(VLOOKUP(C465,O.B.JUNE!$AI$7:$AN$448,6,0),0)</f>
        <v>0</v>
      </c>
      <c r="J465" s="6"/>
      <c r="K465" s="6">
        <f>IFERROR(VLOOKUP(C465,O.B.JUNE!$AI$7:$AO$448,7,0),0)</f>
        <v>0</v>
      </c>
      <c r="L465" s="6">
        <f>SUMIF('JUNE (물량흐름)'!$C$13:$C$488,'Overhead exp(제조경비)'!C465,'JUNE (물량흐름)'!$H$13:$H$493)+SUMIF('JUNE (물량흐름)'!$C$13:$C$493,'Overhead exp(제조경비)'!C465,'JUNE (물량흐름)'!$V$13:$V$493)</f>
        <v>5370</v>
      </c>
      <c r="M465" s="6">
        <f t="shared" si="123"/>
        <v>5236</v>
      </c>
      <c r="N465" s="6">
        <f t="shared" si="124"/>
        <v>479654252</v>
      </c>
      <c r="O465" s="6">
        <f t="shared" si="130"/>
        <v>289826245</v>
      </c>
      <c r="P465" s="6">
        <f>SUMIF('JUNE (물량흐름)'!$C$13:$C$502,C465,'JUNE (물량흐름)'!$T$13:$T$502)+SUMIF('JUNE (물량흐름)'!$C$13:$C$502,C465,'JUNE (물량흐름)'!$V$13:$V$502)+SUMIF('JUNE (물량흐름)'!$C$13:$C$502,C465,'JUNE (물량흐름)'!$U$13:$U$502)-SUMIF('JUNE (물량흐름)'!$C$13:$C$502,C465,'JUNE (물량흐름)'!$Y$13:$Y$502)</f>
        <v>5018</v>
      </c>
      <c r="Q465" s="6">
        <f t="shared" si="131"/>
        <v>270828324</v>
      </c>
      <c r="R465" s="6">
        <f>IF(ISERROR(VLOOKUP(#REF!,'WIP(재공품)'!$B$12:$AB$38,13,0)),0,VLOOKUP(#REF!,'WIP(재공품)'!$B$12:$AB$38,13,0))</f>
        <v>0</v>
      </c>
      <c r="S465" s="6">
        <f>IF(ISERROR(VLOOKUP(#REF!,'WIP(재공품)'!$B$12:$AB$38,10,0)),0,VLOOKUP(#REF!,'WIP(재공품)'!$B$12:$AB$38,10,0))</f>
        <v>0</v>
      </c>
      <c r="T465" s="6">
        <f>SUMIF('JUNE (물량흐름)'!$C$13:$C$502,'Overhead exp(제조경비)'!C465,'JUNE (물량흐름)'!$Y$13:$Y$502)</f>
        <v>2</v>
      </c>
      <c r="U465" s="6">
        <f t="shared" si="127"/>
        <v>107943</v>
      </c>
      <c r="V465" s="6">
        <f>ROUND(SUMIF('JUNE (물량흐름)'!$C$13:$C$502,'Overhead exp(제조경비)'!C465,'JUNE (물량흐름)'!$N$13:$N$502),0)</f>
        <v>0</v>
      </c>
      <c r="W465" s="6">
        <f>ROUND(SUMIF('JUNE (물량흐름)'!$C$13:$C$502,'Overhead exp(제조경비)'!C465,'JUNE (물량흐름)'!$O$13:$O$502),0)</f>
        <v>215</v>
      </c>
      <c r="X465" s="6">
        <f>ROUND(SUMIF('JUNE (물량흐름)'!$C$13:$C$502,'Overhead exp(제조경비)'!C465,'JUNE (물량흐름)'!$P$13:$P$502),0)</f>
        <v>135</v>
      </c>
      <c r="Y465" s="6">
        <f t="shared" si="125"/>
        <v>350</v>
      </c>
      <c r="Z465" s="6">
        <f t="shared" si="126"/>
        <v>216</v>
      </c>
      <c r="AA465" s="6">
        <f t="shared" si="132"/>
        <v>18889979</v>
      </c>
      <c r="AB465" s="391">
        <f t="shared" si="128"/>
        <v>-1</v>
      </c>
      <c r="AC465" s="391">
        <f t="shared" si="129"/>
        <v>0</v>
      </c>
    </row>
    <row r="466" spans="1:29" s="390" customFormat="1" ht="24" customHeight="1">
      <c r="A466" s="167">
        <v>476</v>
      </c>
      <c r="B466" s="20" t="str">
        <f>IFERROR(VLOOKUP(A466,'JUNE (물량흐름)'!$A$13:$C$502,2,0),0)</f>
        <v>ANN TAYLOR</v>
      </c>
      <c r="C466" s="272">
        <f>VLOOKUP(A466,'JUNE (물량흐름)'!$A$13:$C$502,3,0)</f>
        <v>467791</v>
      </c>
      <c r="D466" s="6">
        <f>VLOOKUP(C466,'WIP(재공품)'!$B$12:$E$493,4,0)</f>
        <v>39681.25</v>
      </c>
      <c r="E466" s="6">
        <f>IFERROR(VLOOKUP(C466,O.B.JUNE!$AI$7:$AJ$448,2,0),0)</f>
        <v>0</v>
      </c>
      <c r="F466" s="6">
        <f>IFERROR(VLOOKUP(C466,O.B.JUNE!$AI$7:$AK$448,3,0),0)</f>
        <v>0</v>
      </c>
      <c r="G466" s="6">
        <f>IFERROR(VLOOKUP(C466,O.B.JUNE!$AI$7:$AL$448,4,0),0)</f>
        <v>0</v>
      </c>
      <c r="H466" s="6">
        <f t="shared" si="122"/>
        <v>0</v>
      </c>
      <c r="I466" s="6">
        <f>IFERROR(VLOOKUP(C466,O.B.JUNE!$AI$7:$AN$448,6,0),0)</f>
        <v>0</v>
      </c>
      <c r="J466" s="6"/>
      <c r="K466" s="6">
        <f>IFERROR(VLOOKUP(C466,O.B.JUNE!$AI$7:$AO$448,7,0),0)</f>
        <v>0</v>
      </c>
      <c r="L466" s="6">
        <f>SUMIF('JUNE (물량흐름)'!$C$13:$C$488,'Overhead exp(제조경비)'!C466,'JUNE (물량흐름)'!$H$13:$H$493)+SUMIF('JUNE (물량흐름)'!$C$13:$C$493,'Overhead exp(제조경비)'!C466,'JUNE (물량흐름)'!$V$13:$V$493)</f>
        <v>8547</v>
      </c>
      <c r="M466" s="6">
        <f t="shared" si="123"/>
        <v>6049</v>
      </c>
      <c r="N466" s="6">
        <f t="shared" si="124"/>
        <v>240031881</v>
      </c>
      <c r="O466" s="6">
        <f t="shared" si="130"/>
        <v>145036844</v>
      </c>
      <c r="P466" s="6">
        <f>SUMIF('JUNE (물량흐름)'!$C$13:$C$502,C466,'JUNE (물량흐름)'!$T$13:$T$502)+SUMIF('JUNE (물량흐름)'!$C$13:$C$502,C466,'JUNE (물량흐름)'!$V$13:$V$502)+SUMIF('JUNE (물량흐름)'!$C$13:$C$502,C466,'JUNE (물량흐름)'!$U$13:$U$502)-SUMIF('JUNE (물량흐름)'!$C$13:$C$502,C466,'JUNE (물량흐름)'!$Y$13:$Y$502)</f>
        <v>2245</v>
      </c>
      <c r="Q466" s="6">
        <f t="shared" si="131"/>
        <v>38096141</v>
      </c>
      <c r="R466" s="6">
        <f>IF(ISERROR(VLOOKUP(#REF!,'WIP(재공품)'!$B$12:$AB$38,13,0)),0,VLOOKUP(#REF!,'WIP(재공품)'!$B$12:$AB$38,13,0))</f>
        <v>0</v>
      </c>
      <c r="S466" s="6">
        <f>IF(ISERROR(VLOOKUP(#REF!,'WIP(재공품)'!$B$12:$AB$38,10,0)),0,VLOOKUP(#REF!,'WIP(재공품)'!$B$12:$AB$38,10,0))</f>
        <v>0</v>
      </c>
      <c r="T466" s="6">
        <f>SUMIF('JUNE (물량흐름)'!$C$13:$C$502,'Overhead exp(제조경비)'!C466,'JUNE (물량흐름)'!$Y$13:$Y$502)</f>
        <v>0</v>
      </c>
      <c r="U466" s="6">
        <f t="shared" si="127"/>
        <v>0</v>
      </c>
      <c r="V466" s="6">
        <f>ROUND(SUMIF('JUNE (물량흐름)'!$C$13:$C$502,'Overhead exp(제조경비)'!C466,'JUNE (물량흐름)'!$N$13:$N$502),0)</f>
        <v>817</v>
      </c>
      <c r="W466" s="6">
        <f>ROUND(SUMIF('JUNE (물량흐름)'!$C$13:$C$502,'Overhead exp(제조경비)'!C466,'JUNE (물량흐름)'!$O$13:$O$502),0)</f>
        <v>2490</v>
      </c>
      <c r="X466" s="6">
        <f>ROUND(SUMIF('JUNE (물량흐름)'!$C$13:$C$502,'Overhead exp(제조경비)'!C466,'JUNE (물량흐름)'!$P$13:$P$502),0)</f>
        <v>2995</v>
      </c>
      <c r="Y466" s="6">
        <f t="shared" si="125"/>
        <v>6302</v>
      </c>
      <c r="Z466" s="6">
        <f t="shared" si="126"/>
        <v>3804</v>
      </c>
      <c r="AA466" s="6">
        <f t="shared" si="132"/>
        <v>106940703</v>
      </c>
      <c r="AB466" s="391">
        <f t="shared" si="128"/>
        <v>0</v>
      </c>
      <c r="AC466" s="391">
        <f t="shared" si="129"/>
        <v>0</v>
      </c>
    </row>
    <row r="467" spans="1:29" s="390" customFormat="1" ht="24" customHeight="1">
      <c r="A467" s="167">
        <v>477</v>
      </c>
      <c r="B467" s="20" t="str">
        <f>IFERROR(VLOOKUP(A467,'JUNE (물량흐름)'!$A$13:$C$502,2,0),0)</f>
        <v>ANN TAYLOR</v>
      </c>
      <c r="C467" s="272">
        <f>VLOOKUP(A467,'JUNE (물량흐름)'!$A$13:$C$502,3,0)</f>
        <v>468564</v>
      </c>
      <c r="D467" s="6">
        <f>VLOOKUP(C467,'WIP(재공품)'!$B$12:$E$493,4,0)</f>
        <v>48751.25</v>
      </c>
      <c r="E467" s="6">
        <f>IFERROR(VLOOKUP(C467,O.B.JUNE!$AI$7:$AJ$448,2,0),0)</f>
        <v>0</v>
      </c>
      <c r="F467" s="6">
        <f>IFERROR(VLOOKUP(C467,O.B.JUNE!$AI$7:$AK$448,3,0),0)</f>
        <v>0</v>
      </c>
      <c r="G467" s="6">
        <f>IFERROR(VLOOKUP(C467,O.B.JUNE!$AI$7:$AL$448,4,0),0)</f>
        <v>0</v>
      </c>
      <c r="H467" s="6">
        <f t="shared" si="122"/>
        <v>0</v>
      </c>
      <c r="I467" s="6">
        <f>IFERROR(VLOOKUP(C467,O.B.JUNE!$AI$7:$AN$448,6,0),0)</f>
        <v>0</v>
      </c>
      <c r="J467" s="6"/>
      <c r="K467" s="6">
        <f>IFERROR(VLOOKUP(C467,O.B.JUNE!$AI$7:$AO$448,7,0),0)</f>
        <v>0</v>
      </c>
      <c r="L467" s="6">
        <f>SUMIF('JUNE (물량흐름)'!$C$13:$C$488,'Overhead exp(제조경비)'!C467,'JUNE (물량흐름)'!$H$13:$H$493)+SUMIF('JUNE (물량흐름)'!$C$13:$C$493,'Overhead exp(제조경비)'!C467,'JUNE (물량흐름)'!$V$13:$V$493)</f>
        <v>2430</v>
      </c>
      <c r="M467" s="6">
        <f t="shared" si="123"/>
        <v>1254</v>
      </c>
      <c r="N467" s="6">
        <f t="shared" si="124"/>
        <v>61134068</v>
      </c>
      <c r="O467" s="6">
        <f t="shared" si="130"/>
        <v>36939644</v>
      </c>
      <c r="P467" s="6">
        <f>SUMIF('JUNE (물량흐름)'!$C$13:$C$502,C467,'JUNE (물량흐름)'!$T$13:$T$502)+SUMIF('JUNE (물량흐름)'!$C$13:$C$502,C467,'JUNE (물량흐름)'!$V$13:$V$502)+SUMIF('JUNE (물량흐름)'!$C$13:$C$502,C467,'JUNE (물량흐름)'!$U$13:$U$502)-SUMIF('JUNE (물량흐름)'!$C$13:$C$502,C467,'JUNE (물량흐름)'!$Y$13:$Y$502)</f>
        <v>0</v>
      </c>
      <c r="Q467" s="6">
        <f t="shared" si="131"/>
        <v>0</v>
      </c>
      <c r="R467" s="6">
        <f>IF(ISERROR(VLOOKUP(#REF!,'WIP(재공품)'!$B$12:$AB$38,13,0)),0,VLOOKUP(#REF!,'WIP(재공품)'!$B$12:$AB$38,13,0))</f>
        <v>0</v>
      </c>
      <c r="S467" s="6">
        <f>IF(ISERROR(VLOOKUP(#REF!,'WIP(재공품)'!$B$12:$AB$38,10,0)),0,VLOOKUP(#REF!,'WIP(재공품)'!$B$12:$AB$38,10,0))</f>
        <v>0</v>
      </c>
      <c r="T467" s="6">
        <f>SUMIF('JUNE (물량흐름)'!$C$13:$C$502,'Overhead exp(제조경비)'!C467,'JUNE (물량흐름)'!$Y$13:$Y$502)</f>
        <v>0</v>
      </c>
      <c r="U467" s="6">
        <f t="shared" si="127"/>
        <v>0</v>
      </c>
      <c r="V467" s="6">
        <f>ROUND(SUMIF('JUNE (물량흐름)'!$C$13:$C$502,'Overhead exp(제조경비)'!C467,'JUNE (물량흐름)'!$N$13:$N$502),0)</f>
        <v>1026</v>
      </c>
      <c r="W467" s="6">
        <f>ROUND(SUMIF('JUNE (물량흐름)'!$C$13:$C$502,'Overhead exp(제조경비)'!C467,'JUNE (물량흐름)'!$O$13:$O$502),0)</f>
        <v>247</v>
      </c>
      <c r="X467" s="6">
        <f>ROUND(SUMIF('JUNE (물량흐름)'!$C$13:$C$502,'Overhead exp(제조경비)'!C467,'JUNE (물량흐름)'!$P$13:$P$502),0)</f>
        <v>1157</v>
      </c>
      <c r="Y467" s="6">
        <f t="shared" si="125"/>
        <v>2430</v>
      </c>
      <c r="Z467" s="6">
        <f t="shared" si="126"/>
        <v>1254</v>
      </c>
      <c r="AA467" s="6">
        <f t="shared" si="132"/>
        <v>36939644</v>
      </c>
      <c r="AB467" s="391">
        <f t="shared" si="128"/>
        <v>0</v>
      </c>
      <c r="AC467" s="391">
        <f t="shared" si="129"/>
        <v>0</v>
      </c>
    </row>
    <row r="468" spans="1:29" s="390" customFormat="1" ht="24" customHeight="1">
      <c r="A468" s="167">
        <v>478</v>
      </c>
      <c r="B468" s="20" t="str">
        <f>IFERROR(VLOOKUP(A468,'JUNE (물량흐름)'!$A$13:$C$502,2,0),0)</f>
        <v>ANN TAYLOR</v>
      </c>
      <c r="C468" s="272">
        <f>VLOOKUP(A468,'JUNE (물량흐름)'!$A$13:$C$502,3,0)</f>
        <v>468568</v>
      </c>
      <c r="D468" s="6">
        <f>VLOOKUP(C468,'WIP(재공품)'!$B$12:$E$493,4,0)</f>
        <v>41948.75</v>
      </c>
      <c r="E468" s="6">
        <f>IFERROR(VLOOKUP(C468,O.B.JUNE!$AI$7:$AJ$448,2,0),0)</f>
        <v>0</v>
      </c>
      <c r="F468" s="6">
        <f>IFERROR(VLOOKUP(C468,O.B.JUNE!$AI$7:$AK$448,3,0),0)</f>
        <v>0</v>
      </c>
      <c r="G468" s="6">
        <f>IFERROR(VLOOKUP(C468,O.B.JUNE!$AI$7:$AL$448,4,0),0)</f>
        <v>0</v>
      </c>
      <c r="H468" s="6">
        <f t="shared" si="122"/>
        <v>0</v>
      </c>
      <c r="I468" s="6">
        <f>IFERROR(VLOOKUP(C468,O.B.JUNE!$AI$7:$AN$448,6,0),0)</f>
        <v>0</v>
      </c>
      <c r="J468" s="6"/>
      <c r="K468" s="6">
        <f>IFERROR(VLOOKUP(C468,O.B.JUNE!$AI$7:$AO$448,7,0),0)</f>
        <v>0</v>
      </c>
      <c r="L468" s="6">
        <f>SUMIF('JUNE (물량흐름)'!$C$13:$C$488,'Overhead exp(제조경비)'!C468,'JUNE (물량흐름)'!$H$13:$H$493)+SUMIF('JUNE (물량흐름)'!$C$13:$C$493,'Overhead exp(제조경비)'!C468,'JUNE (물량흐름)'!$V$13:$V$493)</f>
        <v>4531</v>
      </c>
      <c r="M468" s="6">
        <f t="shared" si="123"/>
        <v>906</v>
      </c>
      <c r="N468" s="6">
        <f t="shared" si="124"/>
        <v>38005568</v>
      </c>
      <c r="O468" s="6">
        <f t="shared" si="130"/>
        <v>22964481</v>
      </c>
      <c r="P468" s="6">
        <f>SUMIF('JUNE (물량흐름)'!$C$13:$C$502,C468,'JUNE (물량흐름)'!$T$13:$T$502)+SUMIF('JUNE (물량흐름)'!$C$13:$C$502,C468,'JUNE (물량흐름)'!$V$13:$V$502)+SUMIF('JUNE (물량흐름)'!$C$13:$C$502,C468,'JUNE (물량흐름)'!$U$13:$U$502)-SUMIF('JUNE (물량흐름)'!$C$13:$C$502,C468,'JUNE (물량흐름)'!$Y$13:$Y$502)</f>
        <v>0</v>
      </c>
      <c r="Q468" s="6">
        <f t="shared" si="131"/>
        <v>0</v>
      </c>
      <c r="R468" s="6">
        <f>IF(ISERROR(VLOOKUP(#REF!,'WIP(재공품)'!$B$12:$AB$38,13,0)),0,VLOOKUP(#REF!,'WIP(재공품)'!$B$12:$AB$38,13,0))</f>
        <v>0</v>
      </c>
      <c r="S468" s="6">
        <f>IF(ISERROR(VLOOKUP(#REF!,'WIP(재공품)'!$B$12:$AB$38,10,0)),0,VLOOKUP(#REF!,'WIP(재공품)'!$B$12:$AB$38,10,0))</f>
        <v>0</v>
      </c>
      <c r="T468" s="6">
        <f>SUMIF('JUNE (물량흐름)'!$C$13:$C$502,'Overhead exp(제조경비)'!C468,'JUNE (물량흐름)'!$Y$13:$Y$502)</f>
        <v>0</v>
      </c>
      <c r="U468" s="6">
        <f t="shared" si="127"/>
        <v>0</v>
      </c>
      <c r="V468" s="6">
        <f>ROUND(SUMIF('JUNE (물량흐름)'!$C$13:$C$502,'Overhead exp(제조경비)'!C468,'JUNE (물량흐름)'!$N$13:$N$502),0)</f>
        <v>4531</v>
      </c>
      <c r="W468" s="6">
        <f>ROUND(SUMIF('JUNE (물량흐름)'!$C$13:$C$502,'Overhead exp(제조경비)'!C468,'JUNE (물량흐름)'!$O$13:$O$502),0)</f>
        <v>0</v>
      </c>
      <c r="X468" s="6">
        <f>ROUND(SUMIF('JUNE (물량흐름)'!$C$13:$C$502,'Overhead exp(제조경비)'!C468,'JUNE (물량흐름)'!$P$13:$P$502),0)</f>
        <v>0</v>
      </c>
      <c r="Y468" s="6">
        <f t="shared" si="125"/>
        <v>4531</v>
      </c>
      <c r="Z468" s="6">
        <f t="shared" si="126"/>
        <v>906</v>
      </c>
      <c r="AA468" s="6">
        <f t="shared" si="132"/>
        <v>22964481</v>
      </c>
      <c r="AB468" s="391">
        <f t="shared" si="128"/>
        <v>0</v>
      </c>
      <c r="AC468" s="391">
        <f t="shared" si="129"/>
        <v>0</v>
      </c>
    </row>
    <row r="469" spans="1:29" s="390" customFormat="1" ht="24" customHeight="1">
      <c r="A469" s="167">
        <v>480</v>
      </c>
      <c r="B469" s="20" t="str">
        <f>IFERROR(VLOOKUP(A469,'JUNE (물량흐름)'!$A$13:$C$502,2,0),0)</f>
        <v>ANN TAYLOR</v>
      </c>
      <c r="C469" s="272">
        <f>VLOOKUP(A469,'JUNE (물량흐름)'!$A$13:$C$502,3,0)</f>
        <v>470390</v>
      </c>
      <c r="D469" s="6">
        <f>VLOOKUP(C469,'WIP(재공품)'!$B$12:$E$493,4,0)</f>
        <v>48751.25</v>
      </c>
      <c r="E469" s="6">
        <f>IFERROR(VLOOKUP(C469,O.B.JUNE!$AI$7:$AJ$448,2,0),0)</f>
        <v>0</v>
      </c>
      <c r="F469" s="6">
        <f>IFERROR(VLOOKUP(C469,O.B.JUNE!$AI$7:$AK$448,3,0),0)</f>
        <v>0</v>
      </c>
      <c r="G469" s="6">
        <f>IFERROR(VLOOKUP(C469,O.B.JUNE!$AI$7:$AL$448,4,0),0)</f>
        <v>0</v>
      </c>
      <c r="H469" s="6">
        <f t="shared" si="122"/>
        <v>0</v>
      </c>
      <c r="I469" s="6">
        <f>IFERROR(VLOOKUP(C469,O.B.JUNE!$AI$7:$AN$448,6,0),0)</f>
        <v>0</v>
      </c>
      <c r="J469" s="6"/>
      <c r="K469" s="6">
        <f>IFERROR(VLOOKUP(C469,O.B.JUNE!$AI$7:$AO$448,7,0),0)</f>
        <v>0</v>
      </c>
      <c r="L469" s="6">
        <f>SUMIF('JUNE (물량흐름)'!$C$13:$C$488,'Overhead exp(제조경비)'!C469,'JUNE (물량흐름)'!$H$13:$H$493)+SUMIF('JUNE (물량흐름)'!$C$13:$C$493,'Overhead exp(제조경비)'!C469,'JUNE (물량흐름)'!$V$13:$V$493)</f>
        <v>3204</v>
      </c>
      <c r="M469" s="6">
        <f t="shared" si="123"/>
        <v>2348</v>
      </c>
      <c r="N469" s="6">
        <f t="shared" si="124"/>
        <v>114467935</v>
      </c>
      <c r="O469" s="6">
        <f t="shared" si="130"/>
        <v>69166095</v>
      </c>
      <c r="P469" s="6">
        <f>SUMIF('JUNE (물량흐름)'!$C$13:$C$502,C469,'JUNE (물량흐름)'!$T$13:$T$502)+SUMIF('JUNE (물량흐름)'!$C$13:$C$502,C469,'JUNE (물량흐름)'!$V$13:$V$502)+SUMIF('JUNE (물량흐름)'!$C$13:$C$502,C469,'JUNE (물량흐름)'!$U$13:$U$502)-SUMIF('JUNE (물량흐름)'!$C$13:$C$502,C469,'JUNE (물량흐름)'!$Y$13:$Y$502)</f>
        <v>351</v>
      </c>
      <c r="Q469" s="6">
        <f t="shared" si="131"/>
        <v>7577185</v>
      </c>
      <c r="R469" s="6">
        <f>IF(ISERROR(VLOOKUP(#REF!,'WIP(재공품)'!$B$12:$AB$38,13,0)),0,VLOOKUP(#REF!,'WIP(재공품)'!$B$12:$AB$38,13,0))</f>
        <v>0</v>
      </c>
      <c r="S469" s="6">
        <f>IF(ISERROR(VLOOKUP(#REF!,'WIP(재공품)'!$B$12:$AB$38,10,0)),0,VLOOKUP(#REF!,'WIP(재공품)'!$B$12:$AB$38,10,0))</f>
        <v>0</v>
      </c>
      <c r="T469" s="6">
        <f>SUMIF('JUNE (물량흐름)'!$C$13:$C$502,'Overhead exp(제조경비)'!C469,'JUNE (물량흐름)'!$Y$13:$Y$502)</f>
        <v>0</v>
      </c>
      <c r="U469" s="6">
        <f t="shared" si="127"/>
        <v>0</v>
      </c>
      <c r="V469" s="6">
        <f>ROUND(SUMIF('JUNE (물량흐름)'!$C$13:$C$502,'Overhead exp(제조경비)'!C469,'JUNE (물량흐름)'!$N$13:$N$502),0)</f>
        <v>0</v>
      </c>
      <c r="W469" s="6">
        <f>ROUND(SUMIF('JUNE (물량흐름)'!$C$13:$C$502,'Overhead exp(제조경비)'!C469,'JUNE (물량흐름)'!$O$13:$O$502),0)</f>
        <v>952</v>
      </c>
      <c r="X469" s="6">
        <f>ROUND(SUMIF('JUNE (물량흐름)'!$C$13:$C$502,'Overhead exp(제조경비)'!C469,'JUNE (물량흐름)'!$P$13:$P$502),0)</f>
        <v>1901</v>
      </c>
      <c r="Y469" s="6">
        <f t="shared" si="125"/>
        <v>2853</v>
      </c>
      <c r="Z469" s="6">
        <f t="shared" si="126"/>
        <v>1997</v>
      </c>
      <c r="AA469" s="6">
        <f t="shared" si="132"/>
        <v>61588910</v>
      </c>
      <c r="AB469" s="391">
        <f t="shared" si="128"/>
        <v>0</v>
      </c>
      <c r="AC469" s="391">
        <f t="shared" si="129"/>
        <v>0</v>
      </c>
    </row>
    <row r="470" spans="1:29" s="390" customFormat="1" ht="24" customHeight="1">
      <c r="A470" s="167">
        <v>481</v>
      </c>
      <c r="B470" s="20" t="str">
        <f>IFERROR(VLOOKUP(A470,'JUNE (물량흐름)'!$A$13:$C$502,2,0),0)</f>
        <v>ANN TAYLOR</v>
      </c>
      <c r="C470" s="272">
        <f>VLOOKUP(A470,'JUNE (물량흐름)'!$A$13:$C$502,3,0)</f>
        <v>471627</v>
      </c>
      <c r="D470" s="6">
        <f>VLOOKUP(C470,'WIP(재공품)'!$B$12:$E$493,4,0)</f>
        <v>34012.5</v>
      </c>
      <c r="E470" s="6">
        <f>IFERROR(VLOOKUP(C470,O.B.JUNE!$AI$7:$AJ$448,2,0),0)</f>
        <v>0</v>
      </c>
      <c r="F470" s="6">
        <f>IFERROR(VLOOKUP(C470,O.B.JUNE!$AI$7:$AK$448,3,0),0)</f>
        <v>0</v>
      </c>
      <c r="G470" s="6">
        <f>IFERROR(VLOOKUP(C470,O.B.JUNE!$AI$7:$AL$448,4,0),0)</f>
        <v>0</v>
      </c>
      <c r="H470" s="6">
        <f t="shared" si="122"/>
        <v>0</v>
      </c>
      <c r="I470" s="6">
        <f>IFERROR(VLOOKUP(C470,O.B.JUNE!$AI$7:$AN$448,6,0),0)</f>
        <v>0</v>
      </c>
      <c r="J470" s="6"/>
      <c r="K470" s="6">
        <f>IFERROR(VLOOKUP(C470,O.B.JUNE!$AI$7:$AO$448,7,0),0)</f>
        <v>0</v>
      </c>
      <c r="L470" s="6">
        <f>SUMIF('JUNE (물량흐름)'!$C$13:$C$488,'Overhead exp(제조경비)'!C470,'JUNE (물량흐름)'!$H$13:$H$493)+SUMIF('JUNE (물량흐름)'!$C$13:$C$493,'Overhead exp(제조경비)'!C470,'JUNE (물량흐름)'!$V$13:$V$493)</f>
        <v>10325</v>
      </c>
      <c r="M470" s="6">
        <f t="shared" si="123"/>
        <v>6973</v>
      </c>
      <c r="N470" s="6">
        <f t="shared" si="124"/>
        <v>237169163</v>
      </c>
      <c r="O470" s="6">
        <f t="shared" si="130"/>
        <v>143307075</v>
      </c>
      <c r="P470" s="6">
        <f>SUMIF('JUNE (물량흐름)'!$C$13:$C$502,C470,'JUNE (물량흐름)'!$T$13:$T$502)+SUMIF('JUNE (물량흐름)'!$C$13:$C$502,C470,'JUNE (물량흐름)'!$V$13:$V$502)+SUMIF('JUNE (물량흐름)'!$C$13:$C$502,C470,'JUNE (물량흐름)'!$U$13:$U$502)-SUMIF('JUNE (물량흐름)'!$C$13:$C$502,C470,'JUNE (물량흐름)'!$Y$13:$Y$502)</f>
        <v>3065</v>
      </c>
      <c r="Q470" s="6">
        <f t="shared" si="131"/>
        <v>42541035</v>
      </c>
      <c r="R470" s="6">
        <f>IF(ISERROR(VLOOKUP(#REF!,'WIP(재공품)'!$B$12:$AB$38,13,0)),0,VLOOKUP(#REF!,'WIP(재공품)'!$B$12:$AB$38,13,0))</f>
        <v>0</v>
      </c>
      <c r="S470" s="6">
        <f>IF(ISERROR(VLOOKUP(#REF!,'WIP(재공품)'!$B$12:$AB$38,10,0)),0,VLOOKUP(#REF!,'WIP(재공품)'!$B$12:$AB$38,10,0))</f>
        <v>0</v>
      </c>
      <c r="T470" s="6">
        <f>SUMIF('JUNE (물량흐름)'!$C$13:$C$502,'Overhead exp(제조경비)'!C470,'JUNE (물량흐름)'!$Y$13:$Y$502)</f>
        <v>0</v>
      </c>
      <c r="U470" s="6">
        <f t="shared" si="127"/>
        <v>0</v>
      </c>
      <c r="V470" s="6">
        <f>ROUND(SUMIF('JUNE (물량흐름)'!$C$13:$C$502,'Overhead exp(제조경비)'!C470,'JUNE (물량흐름)'!$N$13:$N$502),0)</f>
        <v>1883</v>
      </c>
      <c r="W470" s="6">
        <f>ROUND(SUMIF('JUNE (물량흐름)'!$C$13:$C$502,'Overhead exp(제조경비)'!C470,'JUNE (물량흐름)'!$O$13:$O$502),0)</f>
        <v>2567</v>
      </c>
      <c r="X470" s="6">
        <f>ROUND(SUMIF('JUNE (물량흐름)'!$C$13:$C$502,'Overhead exp(제조경비)'!C470,'JUNE (물량흐름)'!$P$13:$P$502),0)</f>
        <v>2810</v>
      </c>
      <c r="Y470" s="6">
        <f t="shared" si="125"/>
        <v>7260</v>
      </c>
      <c r="Z470" s="6">
        <f t="shared" si="126"/>
        <v>3908</v>
      </c>
      <c r="AA470" s="6">
        <f t="shared" si="132"/>
        <v>100766040</v>
      </c>
      <c r="AB470" s="391">
        <f t="shared" si="128"/>
        <v>0</v>
      </c>
      <c r="AC470" s="391">
        <f t="shared" si="129"/>
        <v>0</v>
      </c>
    </row>
    <row r="471" spans="1:29" s="390" customFormat="1" ht="24" customHeight="1">
      <c r="A471" s="167">
        <v>482</v>
      </c>
      <c r="B471" s="20" t="str">
        <f>IFERROR(VLOOKUP(A471,'JUNE (물량흐름)'!$A$13:$C$502,2,0),0)</f>
        <v>ANN TAYLOR</v>
      </c>
      <c r="C471" s="272" t="str">
        <f>VLOOKUP(A471,'JUNE (물량흐름)'!$A$13:$C$502,3,0)</f>
        <v>472379 (483561)</v>
      </c>
      <c r="D471" s="6">
        <f>VLOOKUP(C471,'WIP(재공품)'!$B$12:$E$493,4,0)</f>
        <v>84804.5</v>
      </c>
      <c r="E471" s="6">
        <f>IFERROR(VLOOKUP(C471,O.B.JUNE!$AI$7:$AJ$448,2,0),0)</f>
        <v>0</v>
      </c>
      <c r="F471" s="6">
        <f>IFERROR(VLOOKUP(C471,O.B.JUNE!$AI$7:$AK$448,3,0),0)</f>
        <v>0</v>
      </c>
      <c r="G471" s="6">
        <f>IFERROR(VLOOKUP(C471,O.B.JUNE!$AI$7:$AL$448,4,0),0)</f>
        <v>0</v>
      </c>
      <c r="H471" s="6">
        <f t="shared" si="122"/>
        <v>0</v>
      </c>
      <c r="I471" s="6">
        <f>IFERROR(VLOOKUP(C471,O.B.JUNE!$AI$7:$AN$448,6,0),0)</f>
        <v>0</v>
      </c>
      <c r="J471" s="6"/>
      <c r="K471" s="6">
        <f>IFERROR(VLOOKUP(C471,O.B.JUNE!$AI$7:$AO$448,7,0),0)</f>
        <v>0</v>
      </c>
      <c r="L471" s="6">
        <f>SUMIF('JUNE (물량흐름)'!$C$13:$C$488,'Overhead exp(제조경비)'!C471,'JUNE (물량흐름)'!$H$13:$H$493)+SUMIF('JUNE (물량흐름)'!$C$13:$C$493,'Overhead exp(제조경비)'!C471,'JUNE (물량흐름)'!$V$13:$V$493)</f>
        <v>2914</v>
      </c>
      <c r="M471" s="6">
        <f t="shared" si="123"/>
        <v>2834</v>
      </c>
      <c r="N471" s="6">
        <f t="shared" si="124"/>
        <v>240335953</v>
      </c>
      <c r="O471" s="6">
        <f t="shared" si="130"/>
        <v>145220576</v>
      </c>
      <c r="P471" s="6">
        <f>SUMIF('JUNE (물량흐름)'!$C$13:$C$502,C471,'JUNE (물량흐름)'!$T$13:$T$502)+SUMIF('JUNE (물량흐름)'!$C$13:$C$502,C471,'JUNE (물량흐름)'!$V$13:$V$502)+SUMIF('JUNE (물량흐름)'!$C$13:$C$502,C471,'JUNE (물량흐름)'!$U$13:$U$502)-SUMIF('JUNE (물량흐름)'!$C$13:$C$502,C471,'JUNE (물량흐름)'!$Y$13:$Y$502)</f>
        <v>2688</v>
      </c>
      <c r="Q471" s="6">
        <f t="shared" si="131"/>
        <v>133957759</v>
      </c>
      <c r="R471" s="6">
        <f>IF(ISERROR(VLOOKUP(#REF!,'WIP(재공품)'!$B$12:$AB$38,13,0)),0,VLOOKUP(#REF!,'WIP(재공품)'!$B$12:$AB$38,13,0))</f>
        <v>0</v>
      </c>
      <c r="S471" s="6">
        <f>IF(ISERROR(VLOOKUP(#REF!,'WIP(재공품)'!$B$12:$AB$38,10,0)),0,VLOOKUP(#REF!,'WIP(재공품)'!$B$12:$AB$38,10,0))</f>
        <v>0</v>
      </c>
      <c r="T471" s="6">
        <f>SUMIF('JUNE (물량흐름)'!$C$13:$C$502,'Overhead exp(제조경비)'!C471,'JUNE (물량흐름)'!$Y$13:$Y$502)</f>
        <v>16</v>
      </c>
      <c r="U471" s="6">
        <f t="shared" si="127"/>
        <v>797368</v>
      </c>
      <c r="V471" s="6">
        <f>ROUND(SUMIF('JUNE (물량흐름)'!$C$13:$C$502,'Overhead exp(제조경비)'!C471,'JUNE (물량흐름)'!$N$13:$N$502),0)</f>
        <v>0</v>
      </c>
      <c r="W471" s="6">
        <f>ROUND(SUMIF('JUNE (물량흐름)'!$C$13:$C$502,'Overhead exp(제조경비)'!C471,'JUNE (물량흐름)'!$O$13:$O$502),0)</f>
        <v>127</v>
      </c>
      <c r="X471" s="6">
        <f>ROUND(SUMIF('JUNE (물량흐름)'!$C$13:$C$502,'Overhead exp(제조경비)'!C471,'JUNE (물량흐름)'!$P$13:$P$502),0)</f>
        <v>83</v>
      </c>
      <c r="Y471" s="6">
        <f t="shared" si="125"/>
        <v>210</v>
      </c>
      <c r="Z471" s="6">
        <f t="shared" si="126"/>
        <v>130</v>
      </c>
      <c r="AA471" s="6">
        <f t="shared" si="132"/>
        <v>10465450</v>
      </c>
      <c r="AB471" s="391">
        <f t="shared" si="128"/>
        <v>-1</v>
      </c>
      <c r="AC471" s="391">
        <f t="shared" si="129"/>
        <v>0</v>
      </c>
    </row>
    <row r="472" spans="1:29" s="390" customFormat="1" ht="24" customHeight="1">
      <c r="A472" s="167">
        <v>483</v>
      </c>
      <c r="B472" s="20" t="str">
        <f>IFERROR(VLOOKUP(A472,'JUNE (물량흐름)'!$A$13:$C$502,2,0),0)</f>
        <v>ANN TAYLOR</v>
      </c>
      <c r="C472" s="272">
        <f>VLOOKUP(A472,'JUNE (물량흐름)'!$A$13:$C$502,3,0)</f>
        <v>473781</v>
      </c>
      <c r="D472" s="6">
        <f>VLOOKUP(C472,'WIP(재공품)'!$B$12:$E$493,4,0)</f>
        <v>55553.750000000007</v>
      </c>
      <c r="E472" s="6">
        <f>IFERROR(VLOOKUP(C472,O.B.JUNE!$AI$7:$AJ$448,2,0),0)</f>
        <v>0</v>
      </c>
      <c r="F472" s="6">
        <f>IFERROR(VLOOKUP(C472,O.B.JUNE!$AI$7:$AK$448,3,0),0)</f>
        <v>0</v>
      </c>
      <c r="G472" s="6">
        <f>IFERROR(VLOOKUP(C472,O.B.JUNE!$AI$7:$AL$448,4,0),0)</f>
        <v>0</v>
      </c>
      <c r="H472" s="6">
        <f t="shared" si="122"/>
        <v>0</v>
      </c>
      <c r="I472" s="6">
        <f>IFERROR(VLOOKUP(C472,O.B.JUNE!$AI$7:$AN$448,6,0),0)</f>
        <v>0</v>
      </c>
      <c r="J472" s="6"/>
      <c r="K472" s="6">
        <f>IFERROR(VLOOKUP(C472,O.B.JUNE!$AI$7:$AO$448,7,0),0)</f>
        <v>0</v>
      </c>
      <c r="L472" s="6">
        <f>SUMIF('JUNE (물량흐름)'!$C$13:$C$488,'Overhead exp(제조경비)'!C472,'JUNE (물량흐름)'!$H$13:$H$493)+SUMIF('JUNE (물량흐름)'!$C$13:$C$493,'Overhead exp(제조경비)'!C472,'JUNE (물량흐름)'!$V$13:$V$493)</f>
        <v>1300</v>
      </c>
      <c r="M472" s="6">
        <f t="shared" si="123"/>
        <v>656</v>
      </c>
      <c r="N472" s="6">
        <f t="shared" si="124"/>
        <v>36443260</v>
      </c>
      <c r="O472" s="6">
        <f t="shared" si="130"/>
        <v>22020472</v>
      </c>
      <c r="P472" s="6">
        <f>SUMIF('JUNE (물량흐름)'!$C$13:$C$502,C472,'JUNE (물량흐름)'!$T$13:$T$502)+SUMIF('JUNE (물량흐름)'!$C$13:$C$502,C472,'JUNE (물량흐름)'!$V$13:$V$502)+SUMIF('JUNE (물량흐름)'!$C$13:$C$502,C472,'JUNE (물량흐름)'!$U$13:$U$502)-SUMIF('JUNE (물량흐름)'!$C$13:$C$502,C472,'JUNE (물량흐름)'!$Y$13:$Y$502)</f>
        <v>0</v>
      </c>
      <c r="Q472" s="6">
        <f t="shared" si="131"/>
        <v>0</v>
      </c>
      <c r="R472" s="6">
        <f>IF(ISERROR(VLOOKUP(#REF!,'WIP(재공품)'!$B$12:$AB$38,13,0)),0,VLOOKUP(#REF!,'WIP(재공품)'!$B$12:$AB$38,13,0))</f>
        <v>0</v>
      </c>
      <c r="S472" s="6">
        <f>IF(ISERROR(VLOOKUP(#REF!,'WIP(재공품)'!$B$12:$AB$38,10,0)),0,VLOOKUP(#REF!,'WIP(재공품)'!$B$12:$AB$38,10,0))</f>
        <v>0</v>
      </c>
      <c r="T472" s="6">
        <f>SUMIF('JUNE (물량흐름)'!$C$13:$C$502,'Overhead exp(제조경비)'!C472,'JUNE (물량흐름)'!$Y$13:$Y$502)</f>
        <v>0</v>
      </c>
      <c r="U472" s="6">
        <f t="shared" si="127"/>
        <v>0</v>
      </c>
      <c r="V472" s="6">
        <f>ROUND(SUMIF('JUNE (물량흐름)'!$C$13:$C$502,'Overhead exp(제조경비)'!C472,'JUNE (물량흐름)'!$N$13:$N$502),0)</f>
        <v>0</v>
      </c>
      <c r="W472" s="6">
        <f>ROUND(SUMIF('JUNE (물량흐름)'!$C$13:$C$502,'Overhead exp(제조경비)'!C472,'JUNE (물량흐름)'!$O$13:$O$502),0)</f>
        <v>1281</v>
      </c>
      <c r="X472" s="6">
        <f>ROUND(SUMIF('JUNE (물량흐름)'!$C$13:$C$502,'Overhead exp(제조경비)'!C472,'JUNE (물량흐름)'!$P$13:$P$502),0)</f>
        <v>19</v>
      </c>
      <c r="Y472" s="6">
        <f t="shared" si="125"/>
        <v>1300</v>
      </c>
      <c r="Z472" s="6">
        <f t="shared" si="126"/>
        <v>656</v>
      </c>
      <c r="AA472" s="6">
        <f t="shared" si="132"/>
        <v>22020472</v>
      </c>
      <c r="AB472" s="391">
        <f t="shared" si="128"/>
        <v>0</v>
      </c>
      <c r="AC472" s="391">
        <f t="shared" si="129"/>
        <v>0</v>
      </c>
    </row>
    <row r="473" spans="1:29" s="390" customFormat="1" ht="24" customHeight="1">
      <c r="A473" s="167">
        <v>484</v>
      </c>
      <c r="B473" s="20" t="str">
        <f>IFERROR(VLOOKUP(A473,'JUNE (물량흐름)'!$A$13:$C$502,2,0),0)</f>
        <v>ANN TAYLOR</v>
      </c>
      <c r="C473" s="272">
        <f>VLOOKUP(A473,'JUNE (물량흐름)'!$A$13:$C$502,3,0)</f>
        <v>475813</v>
      </c>
      <c r="D473" s="6">
        <f>VLOOKUP(C473,'WIP(재공품)'!$B$12:$E$493,4,0)</f>
        <v>60088.75</v>
      </c>
      <c r="E473" s="6">
        <f>IFERROR(VLOOKUP(C473,O.B.JUNE!$AI$7:$AJ$448,2,0),0)</f>
        <v>0</v>
      </c>
      <c r="F473" s="6">
        <f>IFERROR(VLOOKUP(C473,O.B.JUNE!$AI$7:$AK$448,3,0),0)</f>
        <v>0</v>
      </c>
      <c r="G473" s="6">
        <f>IFERROR(VLOOKUP(C473,O.B.JUNE!$AI$7:$AL$448,4,0),0)</f>
        <v>0</v>
      </c>
      <c r="H473" s="6">
        <f t="shared" si="122"/>
        <v>0</v>
      </c>
      <c r="I473" s="6">
        <f>IFERROR(VLOOKUP(C473,O.B.JUNE!$AI$7:$AN$448,6,0),0)</f>
        <v>0</v>
      </c>
      <c r="J473" s="6"/>
      <c r="K473" s="6">
        <f>IFERROR(VLOOKUP(C473,O.B.JUNE!$AI$7:$AO$448,7,0),0)</f>
        <v>0</v>
      </c>
      <c r="L473" s="6">
        <f>SUMIF('JUNE (물량흐름)'!$C$13:$C$488,'Overhead exp(제조경비)'!C473,'JUNE (물량흐름)'!$H$13:$H$493)+SUMIF('JUNE (물량흐름)'!$C$13:$C$493,'Overhead exp(제조경비)'!C473,'JUNE (물량흐름)'!$V$13:$V$493)</f>
        <v>11569</v>
      </c>
      <c r="M473" s="6">
        <f t="shared" si="123"/>
        <v>10071</v>
      </c>
      <c r="N473" s="6">
        <f t="shared" si="124"/>
        <v>605153801</v>
      </c>
      <c r="O473" s="6">
        <f t="shared" si="130"/>
        <v>365658082</v>
      </c>
      <c r="P473" s="6">
        <f>SUMIF('JUNE (물량흐름)'!$C$13:$C$502,C473,'JUNE (물량흐름)'!$T$13:$T$502)+SUMIF('JUNE (물량흐름)'!$C$13:$C$502,C473,'JUNE (물량흐름)'!$V$13:$V$502)+SUMIF('JUNE (물량흐름)'!$C$13:$C$502,C473,'JUNE (물량흐름)'!$U$13:$U$502)-SUMIF('JUNE (물량흐름)'!$C$13:$C$502,C473,'JUNE (물량흐름)'!$Y$13:$Y$502)</f>
        <v>8383</v>
      </c>
      <c r="Q473" s="6">
        <f t="shared" si="131"/>
        <v>264959089</v>
      </c>
      <c r="R473" s="6">
        <f>IF(ISERROR(VLOOKUP(#REF!,'WIP(재공품)'!$B$12:$AB$38,13,0)),0,VLOOKUP(#REF!,'WIP(재공품)'!$B$12:$AB$38,13,0))</f>
        <v>0</v>
      </c>
      <c r="S473" s="6">
        <f>IF(ISERROR(VLOOKUP(#REF!,'WIP(재공품)'!$B$12:$AB$38,10,0)),0,VLOOKUP(#REF!,'WIP(재공품)'!$B$12:$AB$38,10,0))</f>
        <v>0</v>
      </c>
      <c r="T473" s="6">
        <f>SUMIF('JUNE (물량흐름)'!$C$13:$C$502,'Overhead exp(제조경비)'!C473,'JUNE (물량흐름)'!$Y$13:$Y$502)</f>
        <v>0</v>
      </c>
      <c r="U473" s="6">
        <f t="shared" si="127"/>
        <v>0</v>
      </c>
      <c r="V473" s="6">
        <f>ROUND(SUMIF('JUNE (물량흐름)'!$C$13:$C$502,'Overhead exp(제조경비)'!C473,'JUNE (물량흐름)'!$N$13:$N$502),0)</f>
        <v>312</v>
      </c>
      <c r="W473" s="6">
        <f>ROUND(SUMIF('JUNE (물량흐름)'!$C$13:$C$502,'Overhead exp(제조경비)'!C473,'JUNE (물량흐름)'!$O$13:$O$502),0)</f>
        <v>2245</v>
      </c>
      <c r="X473" s="6">
        <f>ROUND(SUMIF('JUNE (물량흐름)'!$C$13:$C$502,'Overhead exp(제조경비)'!C473,'JUNE (물량흐름)'!$P$13:$P$502),0)</f>
        <v>629</v>
      </c>
      <c r="Y473" s="6">
        <f t="shared" si="125"/>
        <v>3186</v>
      </c>
      <c r="Z473" s="6">
        <f t="shared" si="126"/>
        <v>1688</v>
      </c>
      <c r="AA473" s="6">
        <f t="shared" si="132"/>
        <v>100698993</v>
      </c>
      <c r="AB473" s="391">
        <f t="shared" si="128"/>
        <v>0</v>
      </c>
      <c r="AC473" s="391">
        <f t="shared" si="129"/>
        <v>0</v>
      </c>
    </row>
    <row r="474" spans="1:29" s="390" customFormat="1" ht="24" customHeight="1">
      <c r="A474" s="167">
        <v>485</v>
      </c>
      <c r="B474" s="20" t="str">
        <f>IFERROR(VLOOKUP(A474,'JUNE (물량흐름)'!$A$13:$C$502,2,0),0)</f>
        <v>ANN TAYLOR</v>
      </c>
      <c r="C474" s="272">
        <f>VLOOKUP(A474,'JUNE (물량흐름)'!$A$13:$C$502,3,0)</f>
        <v>476148</v>
      </c>
      <c r="D474" s="6">
        <f>VLOOKUP(C474,'WIP(재공품)'!$B$12:$E$493,4,0)</f>
        <v>63036.499999999993</v>
      </c>
      <c r="E474" s="6">
        <f>IFERROR(VLOOKUP(C474,O.B.JUNE!$AI$7:$AJ$448,2,0),0)</f>
        <v>0</v>
      </c>
      <c r="F474" s="6">
        <f>IFERROR(VLOOKUP(C474,O.B.JUNE!$AI$7:$AK$448,3,0),0)</f>
        <v>0</v>
      </c>
      <c r="G474" s="6">
        <f>IFERROR(VLOOKUP(C474,O.B.JUNE!$AI$7:$AL$448,4,0),0)</f>
        <v>0</v>
      </c>
      <c r="H474" s="6">
        <f t="shared" si="122"/>
        <v>0</v>
      </c>
      <c r="I474" s="6">
        <f>IFERROR(VLOOKUP(C474,O.B.JUNE!$AI$7:$AN$448,6,0),0)</f>
        <v>0</v>
      </c>
      <c r="J474" s="6"/>
      <c r="K474" s="6">
        <f>IFERROR(VLOOKUP(C474,O.B.JUNE!$AI$7:$AO$448,7,0),0)</f>
        <v>0</v>
      </c>
      <c r="L474" s="6">
        <f>SUMIF('JUNE (물량흐름)'!$C$13:$C$488,'Overhead exp(제조경비)'!C474,'JUNE (물량흐름)'!$H$13:$H$493)+SUMIF('JUNE (물량흐름)'!$C$13:$C$493,'Overhead exp(제조경비)'!C474,'JUNE (물량흐름)'!$V$13:$V$493)</f>
        <v>10233</v>
      </c>
      <c r="M474" s="6">
        <f t="shared" si="123"/>
        <v>9931</v>
      </c>
      <c r="N474" s="6">
        <f t="shared" si="124"/>
        <v>626015482</v>
      </c>
      <c r="O474" s="6">
        <f t="shared" si="130"/>
        <v>378263542</v>
      </c>
      <c r="P474" s="6">
        <f>SUMIF('JUNE (물량흐름)'!$C$13:$C$502,C474,'JUNE (물량흐름)'!$T$13:$T$502)+SUMIF('JUNE (물량흐름)'!$C$13:$C$502,C474,'JUNE (물량흐름)'!$V$13:$V$502)+SUMIF('JUNE (물량흐름)'!$C$13:$C$502,C474,'JUNE (물량흐름)'!$U$13:$U$502)-SUMIF('JUNE (물량흐름)'!$C$13:$C$502,C474,'JUNE (물량흐름)'!$Y$13:$Y$502)</f>
        <v>9416</v>
      </c>
      <c r="Q474" s="6">
        <f t="shared" si="131"/>
        <v>348063081</v>
      </c>
      <c r="R474" s="6">
        <f>IF(ISERROR(VLOOKUP(#REF!,'WIP(재공품)'!$B$12:$AB$38,13,0)),0,VLOOKUP(#REF!,'WIP(재공품)'!$B$12:$AB$38,13,0))</f>
        <v>0</v>
      </c>
      <c r="S474" s="6">
        <f>IF(ISERROR(VLOOKUP(#REF!,'WIP(재공품)'!$B$12:$AB$38,10,0)),0,VLOOKUP(#REF!,'WIP(재공품)'!$B$12:$AB$38,10,0))</f>
        <v>0</v>
      </c>
      <c r="T474" s="6">
        <f>SUMIF('JUNE (물량흐름)'!$C$13:$C$502,'Overhead exp(제조경비)'!C474,'JUNE (물량흐름)'!$Y$13:$Y$502)</f>
        <v>0</v>
      </c>
      <c r="U474" s="6">
        <f t="shared" si="127"/>
        <v>0</v>
      </c>
      <c r="V474" s="6">
        <f>ROUND(SUMIF('JUNE (물량흐름)'!$C$13:$C$502,'Overhead exp(제조경비)'!C474,'JUNE (물량흐름)'!$N$13:$N$502),0)</f>
        <v>0</v>
      </c>
      <c r="W474" s="6">
        <f>ROUND(SUMIF('JUNE (물량흐름)'!$C$13:$C$502,'Overhead exp(제조경비)'!C474,'JUNE (물량흐름)'!$O$13:$O$502),0)</f>
        <v>462</v>
      </c>
      <c r="X474" s="6">
        <f>ROUND(SUMIF('JUNE (물량흐름)'!$C$13:$C$502,'Overhead exp(제조경비)'!C474,'JUNE (물량흐름)'!$P$13:$P$502),0)</f>
        <v>355</v>
      </c>
      <c r="Y474" s="6">
        <f t="shared" si="125"/>
        <v>817</v>
      </c>
      <c r="Z474" s="6">
        <f t="shared" si="126"/>
        <v>515</v>
      </c>
      <c r="AA474" s="6">
        <f t="shared" si="132"/>
        <v>30200461</v>
      </c>
      <c r="AB474" s="391">
        <f t="shared" si="128"/>
        <v>0</v>
      </c>
      <c r="AC474" s="391">
        <f t="shared" si="129"/>
        <v>0</v>
      </c>
    </row>
    <row r="475" spans="1:29" s="390" customFormat="1" ht="24" customHeight="1">
      <c r="A475" s="167">
        <v>486</v>
      </c>
      <c r="B475" s="20" t="str">
        <f>IFERROR(VLOOKUP(A475,'JUNE (물량흐름)'!$A$13:$C$502,2,0),0)</f>
        <v>ANN TAYLOR</v>
      </c>
      <c r="C475" s="272">
        <f>VLOOKUP(A475,'JUNE (물량흐름)'!$A$13:$C$502,3,0)</f>
        <v>476239</v>
      </c>
      <c r="D475" s="6">
        <f>VLOOKUP(C475,'WIP(재공품)'!$B$12:$E$493,4,0)</f>
        <v>66891.25</v>
      </c>
      <c r="E475" s="6">
        <f>IFERROR(VLOOKUP(C475,O.B.JUNE!$AI$7:$AJ$448,2,0),0)</f>
        <v>0</v>
      </c>
      <c r="F475" s="6">
        <f>IFERROR(VLOOKUP(C475,O.B.JUNE!$AI$7:$AK$448,3,0),0)</f>
        <v>0</v>
      </c>
      <c r="G475" s="6">
        <f>IFERROR(VLOOKUP(C475,O.B.JUNE!$AI$7:$AL$448,4,0),0)</f>
        <v>0</v>
      </c>
      <c r="H475" s="6">
        <f t="shared" si="122"/>
        <v>0</v>
      </c>
      <c r="I475" s="6">
        <f>IFERROR(VLOOKUP(C475,O.B.JUNE!$AI$7:$AN$448,6,0),0)</f>
        <v>0</v>
      </c>
      <c r="J475" s="6"/>
      <c r="K475" s="6">
        <f>IFERROR(VLOOKUP(C475,O.B.JUNE!$AI$7:$AO$448,7,0),0)</f>
        <v>0</v>
      </c>
      <c r="L475" s="6">
        <f>SUMIF('JUNE (물량흐름)'!$C$13:$C$488,'Overhead exp(제조경비)'!C475,'JUNE (물량흐름)'!$H$13:$H$493)+SUMIF('JUNE (물량흐름)'!$C$13:$C$493,'Overhead exp(제조경비)'!C475,'JUNE (물량흐름)'!$V$13:$V$493)</f>
        <v>3553</v>
      </c>
      <c r="M475" s="6">
        <f t="shared" si="123"/>
        <v>3255</v>
      </c>
      <c r="N475" s="6">
        <f t="shared" si="124"/>
        <v>217731019</v>
      </c>
      <c r="O475" s="6">
        <f t="shared" si="130"/>
        <v>131561773</v>
      </c>
      <c r="P475" s="6">
        <f>SUMIF('JUNE (물량흐름)'!$C$13:$C$502,C475,'JUNE (물량흐름)'!$T$13:$T$502)+SUMIF('JUNE (물량흐름)'!$C$13:$C$502,C475,'JUNE (물량흐름)'!$V$13:$V$502)+SUMIF('JUNE (물량흐름)'!$C$13:$C$502,C475,'JUNE (물량흐름)'!$U$13:$U$502)-SUMIF('JUNE (물량흐름)'!$C$13:$C$502,C475,'JUNE (물량흐름)'!$Y$13:$Y$502)</f>
        <v>2329</v>
      </c>
      <c r="Q475" s="6">
        <f t="shared" si="131"/>
        <v>86239057</v>
      </c>
      <c r="R475" s="6">
        <f>IF(ISERROR(VLOOKUP(#REF!,'WIP(재공품)'!$B$12:$AB$38,13,0)),0,VLOOKUP(#REF!,'WIP(재공품)'!$B$12:$AB$38,13,0))</f>
        <v>0</v>
      </c>
      <c r="S475" s="6">
        <f>IF(ISERROR(VLOOKUP(#REF!,'WIP(재공품)'!$B$12:$AB$38,10,0)),0,VLOOKUP(#REF!,'WIP(재공품)'!$B$12:$AB$38,10,0))</f>
        <v>0</v>
      </c>
      <c r="T475" s="6">
        <f>SUMIF('JUNE (물량흐름)'!$C$13:$C$502,'Overhead exp(제조경비)'!C475,'JUNE (물량흐름)'!$Y$13:$Y$502)</f>
        <v>0</v>
      </c>
      <c r="U475" s="6">
        <f t="shared" si="127"/>
        <v>0</v>
      </c>
      <c r="V475" s="6">
        <f>ROUND(SUMIF('JUNE (물량흐름)'!$C$13:$C$502,'Overhead exp(제조경비)'!C475,'JUNE (물량흐름)'!$N$13:$N$502),0)</f>
        <v>0</v>
      </c>
      <c r="W475" s="6">
        <f>ROUND(SUMIF('JUNE (물량흐름)'!$C$13:$C$502,'Overhead exp(제조경비)'!C475,'JUNE (물량흐름)'!$O$13:$O$502),0)</f>
        <v>176</v>
      </c>
      <c r="X475" s="6">
        <f>ROUND(SUMIF('JUNE (물량흐름)'!$C$13:$C$502,'Overhead exp(제조경비)'!C475,'JUNE (물량흐름)'!$P$13:$P$502),0)</f>
        <v>1048</v>
      </c>
      <c r="Y475" s="6">
        <f t="shared" si="125"/>
        <v>1224</v>
      </c>
      <c r="Z475" s="6">
        <f t="shared" si="126"/>
        <v>926</v>
      </c>
      <c r="AA475" s="6">
        <f t="shared" si="132"/>
        <v>45322716</v>
      </c>
      <c r="AB475" s="391">
        <f t="shared" si="128"/>
        <v>0</v>
      </c>
      <c r="AC475" s="391">
        <f t="shared" si="129"/>
        <v>0</v>
      </c>
    </row>
    <row r="476" spans="1:29" s="390" customFormat="1" ht="24" customHeight="1">
      <c r="A476" s="167">
        <v>487</v>
      </c>
      <c r="B476" s="20" t="str">
        <f>IFERROR(VLOOKUP(A476,'JUNE (물량흐름)'!$A$13:$C$502,2,0),0)</f>
        <v>ANN TAYLOR</v>
      </c>
      <c r="C476" s="272">
        <f>VLOOKUP(A476,'JUNE (물량흐름)'!$A$13:$C$502,3,0)</f>
        <v>476545</v>
      </c>
      <c r="D476" s="6">
        <f>VLOOKUP(C476,'WIP(재공품)'!$B$12:$E$493,4,0)</f>
        <v>78228.75</v>
      </c>
      <c r="E476" s="6">
        <f>IFERROR(VLOOKUP(C476,O.B.JUNE!$AI$7:$AJ$448,2,0),0)</f>
        <v>0</v>
      </c>
      <c r="F476" s="6">
        <f>IFERROR(VLOOKUP(C476,O.B.JUNE!$AI$7:$AK$448,3,0),0)</f>
        <v>0</v>
      </c>
      <c r="G476" s="6">
        <f>IFERROR(VLOOKUP(C476,O.B.JUNE!$AI$7:$AL$448,4,0),0)</f>
        <v>0</v>
      </c>
      <c r="H476" s="6">
        <f t="shared" si="122"/>
        <v>0</v>
      </c>
      <c r="I476" s="6">
        <f>IFERROR(VLOOKUP(C476,O.B.JUNE!$AI$7:$AN$448,6,0),0)</f>
        <v>0</v>
      </c>
      <c r="J476" s="6"/>
      <c r="K476" s="6">
        <f>IFERROR(VLOOKUP(C476,O.B.JUNE!$AI$7:$AO$448,7,0),0)</f>
        <v>0</v>
      </c>
      <c r="L476" s="6">
        <f>SUMIF('JUNE (물량흐름)'!$C$13:$C$488,'Overhead exp(제조경비)'!C476,'JUNE (물량흐름)'!$H$13:$H$493)+SUMIF('JUNE (물량흐름)'!$C$13:$C$493,'Overhead exp(제조경비)'!C476,'JUNE (물량흐름)'!$V$13:$V$493)</f>
        <v>3534</v>
      </c>
      <c r="M476" s="6">
        <f t="shared" si="123"/>
        <v>707</v>
      </c>
      <c r="N476" s="6">
        <f t="shared" si="124"/>
        <v>55307726</v>
      </c>
      <c r="O476" s="6">
        <f t="shared" si="130"/>
        <v>33419136</v>
      </c>
      <c r="P476" s="6">
        <f>SUMIF('JUNE (물량흐름)'!$C$13:$C$502,C476,'JUNE (물량흐름)'!$T$13:$T$502)+SUMIF('JUNE (물량흐름)'!$C$13:$C$502,C476,'JUNE (물량흐름)'!$V$13:$V$502)+SUMIF('JUNE (물량흐름)'!$C$13:$C$502,C476,'JUNE (물량흐름)'!$U$13:$U$502)-SUMIF('JUNE (물량흐름)'!$C$13:$C$502,C476,'JUNE (물량흐름)'!$Y$13:$Y$502)</f>
        <v>0</v>
      </c>
      <c r="Q476" s="6">
        <f t="shared" si="131"/>
        <v>0</v>
      </c>
      <c r="R476" s="6">
        <f>IF(ISERROR(VLOOKUP(#REF!,'WIP(재공품)'!$B$12:$AB$38,13,0)),0,VLOOKUP(#REF!,'WIP(재공품)'!$B$12:$AB$38,13,0))</f>
        <v>0</v>
      </c>
      <c r="S476" s="6">
        <f>IF(ISERROR(VLOOKUP(#REF!,'WIP(재공품)'!$B$12:$AB$38,10,0)),0,VLOOKUP(#REF!,'WIP(재공품)'!$B$12:$AB$38,10,0))</f>
        <v>0</v>
      </c>
      <c r="T476" s="6">
        <f>SUMIF('JUNE (물량흐름)'!$C$13:$C$502,'Overhead exp(제조경비)'!C476,'JUNE (물량흐름)'!$Y$13:$Y$502)</f>
        <v>0</v>
      </c>
      <c r="U476" s="6">
        <f t="shared" si="127"/>
        <v>0</v>
      </c>
      <c r="V476" s="6">
        <f>ROUND(SUMIF('JUNE (물량흐름)'!$C$13:$C$502,'Overhead exp(제조경비)'!C476,'JUNE (물량흐름)'!$N$13:$N$502),0)</f>
        <v>3534</v>
      </c>
      <c r="W476" s="6">
        <f>ROUND(SUMIF('JUNE (물량흐름)'!$C$13:$C$502,'Overhead exp(제조경비)'!C476,'JUNE (물량흐름)'!$O$13:$O$502),0)</f>
        <v>0</v>
      </c>
      <c r="X476" s="6">
        <f>ROUND(SUMIF('JUNE (물량흐름)'!$C$13:$C$502,'Overhead exp(제조경비)'!C476,'JUNE (물량흐름)'!$P$13:$P$502),0)</f>
        <v>0</v>
      </c>
      <c r="Y476" s="6">
        <f t="shared" si="125"/>
        <v>3534</v>
      </c>
      <c r="Z476" s="6">
        <f t="shared" si="126"/>
        <v>707</v>
      </c>
      <c r="AA476" s="6">
        <f t="shared" si="132"/>
        <v>33419136</v>
      </c>
      <c r="AB476" s="391">
        <f t="shared" si="128"/>
        <v>0</v>
      </c>
      <c r="AC476" s="391">
        <f t="shared" si="129"/>
        <v>0</v>
      </c>
    </row>
    <row r="477" spans="1:29" s="390" customFormat="1" ht="24" customHeight="1">
      <c r="A477" s="167">
        <v>488</v>
      </c>
      <c r="B477" s="20" t="str">
        <f>IFERROR(VLOOKUP(A477,'JUNE (물량흐름)'!$A$13:$C$502,2,0),0)</f>
        <v>ANN TAYLOR</v>
      </c>
      <c r="C477" s="272">
        <f>VLOOKUP(A477,'JUNE (물량흐름)'!$A$13:$C$502,3,0)</f>
        <v>477891</v>
      </c>
      <c r="D477" s="6">
        <f>VLOOKUP(C477,'WIP(재공품)'!$B$12:$E$493,4,0)</f>
        <v>71426.25</v>
      </c>
      <c r="E477" s="6">
        <f>IFERROR(VLOOKUP(C477,O.B.JUNE!$AI$7:$AJ$448,2,0),0)</f>
        <v>0</v>
      </c>
      <c r="F477" s="6">
        <f>IFERROR(VLOOKUP(C477,O.B.JUNE!$AI$7:$AK$448,3,0),0)</f>
        <v>0</v>
      </c>
      <c r="G477" s="6">
        <f>IFERROR(VLOOKUP(C477,O.B.JUNE!$AI$7:$AL$448,4,0),0)</f>
        <v>0</v>
      </c>
      <c r="H477" s="6">
        <f t="shared" si="122"/>
        <v>0</v>
      </c>
      <c r="I477" s="6">
        <f>IFERROR(VLOOKUP(C477,O.B.JUNE!$AI$7:$AN$448,6,0),0)</f>
        <v>0</v>
      </c>
      <c r="J477" s="6"/>
      <c r="K477" s="6">
        <f>IFERROR(VLOOKUP(C477,O.B.JUNE!$AI$7:$AO$448,7,0),0)</f>
        <v>0</v>
      </c>
      <c r="L477" s="6">
        <f>SUMIF('JUNE (물량흐름)'!$C$13:$C$488,'Overhead exp(제조경비)'!C477,'JUNE (물량흐름)'!$H$13:$H$493)+SUMIF('JUNE (물량흐름)'!$C$13:$C$493,'Overhead exp(제조경비)'!C477,'JUNE (물량흐름)'!$V$13:$V$493)</f>
        <v>502</v>
      </c>
      <c r="M477" s="6">
        <f t="shared" si="123"/>
        <v>137</v>
      </c>
      <c r="N477" s="6">
        <f t="shared" si="124"/>
        <v>9785396</v>
      </c>
      <c r="O477" s="6">
        <f t="shared" si="130"/>
        <v>5912727</v>
      </c>
      <c r="P477" s="6">
        <f>SUMIF('JUNE (물량흐름)'!$C$13:$C$502,C477,'JUNE (물량흐름)'!$T$13:$T$502)+SUMIF('JUNE (물량흐름)'!$C$13:$C$502,C477,'JUNE (물량흐름)'!$V$13:$V$502)+SUMIF('JUNE (물량흐름)'!$C$13:$C$502,C477,'JUNE (물량흐름)'!$U$13:$U$502)-SUMIF('JUNE (물량흐름)'!$C$13:$C$502,C477,'JUNE (물량흐름)'!$Y$13:$Y$502)</f>
        <v>0</v>
      </c>
      <c r="Q477" s="6">
        <f t="shared" si="131"/>
        <v>0</v>
      </c>
      <c r="R477" s="6">
        <f>IF(ISERROR(VLOOKUP(#REF!,'WIP(재공품)'!$B$12:$AB$38,13,0)),0,VLOOKUP(#REF!,'WIP(재공품)'!$B$12:$AB$38,13,0))</f>
        <v>0</v>
      </c>
      <c r="S477" s="6">
        <f>IF(ISERROR(VLOOKUP(#REF!,'WIP(재공품)'!$B$12:$AB$38,10,0)),0,VLOOKUP(#REF!,'WIP(재공품)'!$B$12:$AB$38,10,0))</f>
        <v>0</v>
      </c>
      <c r="T477" s="6">
        <f>SUMIF('JUNE (물량흐름)'!$C$13:$C$502,'Overhead exp(제조경비)'!C477,'JUNE (물량흐름)'!$Y$13:$Y$502)</f>
        <v>0</v>
      </c>
      <c r="U477" s="6">
        <f t="shared" si="127"/>
        <v>0</v>
      </c>
      <c r="V477" s="6">
        <f>ROUND(SUMIF('JUNE (물량흐름)'!$C$13:$C$502,'Overhead exp(제조경비)'!C477,'JUNE (물량흐름)'!$N$13:$N$502),0)</f>
        <v>379</v>
      </c>
      <c r="W477" s="6">
        <f>ROUND(SUMIF('JUNE (물량흐름)'!$C$13:$C$502,'Overhead exp(제조경비)'!C477,'JUNE (물량흐름)'!$O$13:$O$502),0)</f>
        <v>123</v>
      </c>
      <c r="X477" s="6">
        <f>ROUND(SUMIF('JUNE (물량흐름)'!$C$13:$C$502,'Overhead exp(제조경비)'!C477,'JUNE (물량흐름)'!$P$13:$P$502),0)</f>
        <v>0</v>
      </c>
      <c r="Y477" s="6">
        <f t="shared" si="125"/>
        <v>502</v>
      </c>
      <c r="Z477" s="6">
        <f t="shared" si="126"/>
        <v>137</v>
      </c>
      <c r="AA477" s="6">
        <f t="shared" si="132"/>
        <v>5912727</v>
      </c>
      <c r="AB477" s="391">
        <f t="shared" si="128"/>
        <v>0</v>
      </c>
      <c r="AC477" s="391">
        <f t="shared" si="129"/>
        <v>0</v>
      </c>
    </row>
    <row r="478" spans="1:29" s="390" customFormat="1" ht="24" customHeight="1">
      <c r="A478" s="167">
        <v>489</v>
      </c>
      <c r="B478" s="20" t="str">
        <f>IFERROR(VLOOKUP(A478,'JUNE (물량흐름)'!$A$13:$C$502,2,0),0)</f>
        <v>ALFANI</v>
      </c>
      <c r="C478" s="272" t="str">
        <f>VLOOKUP(A478,'JUNE (물량흐름)'!$A$13:$C$502,3,0)</f>
        <v>6X717</v>
      </c>
      <c r="D478" s="6">
        <f>VLOOKUP(C478,'WIP(재공품)'!$B$12:$E$493,4,0)</f>
        <v>40815</v>
      </c>
      <c r="E478" s="6">
        <f>IFERROR(VLOOKUP(C478,O.B.JUNE!$AI$7:$AJ$448,2,0),0)</f>
        <v>0</v>
      </c>
      <c r="F478" s="6">
        <f>IFERROR(VLOOKUP(C478,O.B.JUNE!$AI$7:$AK$448,3,0),0)</f>
        <v>0</v>
      </c>
      <c r="G478" s="6">
        <f>IFERROR(VLOOKUP(C478,O.B.JUNE!$AI$7:$AL$448,4,0),0)</f>
        <v>0</v>
      </c>
      <c r="H478" s="6">
        <f t="shared" si="122"/>
        <v>0</v>
      </c>
      <c r="I478" s="6">
        <f>IFERROR(VLOOKUP(C478,O.B.JUNE!$AI$7:$AN$448,6,0),0)</f>
        <v>0</v>
      </c>
      <c r="J478" s="6"/>
      <c r="K478" s="6">
        <f>IFERROR(VLOOKUP(C478,O.B.JUNE!$AI$7:$AO$448,7,0),0)</f>
        <v>0</v>
      </c>
      <c r="L478" s="6">
        <f>SUMIF('JUNE (물량흐름)'!$C$13:$C$488,'Overhead exp(제조경비)'!C478,'JUNE (물량흐름)'!$H$13:$H$493)+SUMIF('JUNE (물량흐름)'!$C$13:$C$493,'Overhead exp(제조경비)'!C478,'JUNE (물량흐름)'!$V$13:$V$493)</f>
        <v>7198</v>
      </c>
      <c r="M478" s="6">
        <f t="shared" si="123"/>
        <v>7041</v>
      </c>
      <c r="N478" s="6">
        <f t="shared" si="124"/>
        <v>287378415</v>
      </c>
      <c r="O478" s="6">
        <f t="shared" si="130"/>
        <v>173645509</v>
      </c>
      <c r="P478" s="6">
        <f>SUMIF('JUNE (물량흐름)'!$C$13:$C$502,C478,'JUNE (물량흐름)'!$T$13:$T$502)+SUMIF('JUNE (물량흐름)'!$C$13:$C$502,C478,'JUNE (물량흐름)'!$V$13:$V$502)+SUMIF('JUNE (물량흐름)'!$C$13:$C$502,C478,'JUNE (물량흐름)'!$U$13:$U$502)-SUMIF('JUNE (물량흐름)'!$C$13:$C$502,C478,'JUNE (물량흐름)'!$Y$13:$Y$502)</f>
        <v>6817</v>
      </c>
      <c r="Q478" s="6">
        <f t="shared" si="131"/>
        <v>164454214</v>
      </c>
      <c r="R478" s="6">
        <f>IF(ISERROR(VLOOKUP(#REF!,'WIP(재공품)'!$B$12:$AB$38,13,0)),0,VLOOKUP(#REF!,'WIP(재공품)'!$B$12:$AB$38,13,0))</f>
        <v>0</v>
      </c>
      <c r="S478" s="6">
        <f>IF(ISERROR(VLOOKUP(#REF!,'WIP(재공품)'!$B$12:$AB$38,10,0)),0,VLOOKUP(#REF!,'WIP(재공품)'!$B$12:$AB$38,10,0))</f>
        <v>0</v>
      </c>
      <c r="T478" s="6">
        <f>SUMIF('JUNE (물량흐름)'!$C$13:$C$502,'Overhead exp(제조경비)'!C478,'JUNE (물량흐름)'!$Y$13:$Y$502)</f>
        <v>0</v>
      </c>
      <c r="U478" s="6">
        <f t="shared" si="127"/>
        <v>0</v>
      </c>
      <c r="V478" s="6">
        <f>ROUND(SUMIF('JUNE (물량흐름)'!$C$13:$C$502,'Overhead exp(제조경비)'!C478,'JUNE (물량흐름)'!$N$13:$N$502),0)</f>
        <v>55</v>
      </c>
      <c r="W478" s="6">
        <f>ROUND(SUMIF('JUNE (물량흐름)'!$C$13:$C$502,'Overhead exp(제조경비)'!C478,'JUNE (물량흐름)'!$O$13:$O$502),0)</f>
        <v>160</v>
      </c>
      <c r="X478" s="6">
        <f>ROUND(SUMIF('JUNE (물량흐름)'!$C$13:$C$502,'Overhead exp(제조경비)'!C478,'JUNE (물량흐름)'!$P$13:$P$502),0)</f>
        <v>166</v>
      </c>
      <c r="Y478" s="6">
        <f t="shared" si="125"/>
        <v>381</v>
      </c>
      <c r="Z478" s="6">
        <f t="shared" si="126"/>
        <v>224</v>
      </c>
      <c r="AA478" s="6">
        <f t="shared" si="132"/>
        <v>9191295</v>
      </c>
      <c r="AB478" s="391">
        <f t="shared" si="128"/>
        <v>0</v>
      </c>
      <c r="AC478" s="391">
        <f t="shared" si="129"/>
        <v>0</v>
      </c>
    </row>
    <row r="479" spans="1:29" s="390" customFormat="1" ht="24" customHeight="1">
      <c r="A479" s="167">
        <v>490</v>
      </c>
      <c r="B479" s="20" t="str">
        <f>IFERROR(VLOOKUP(A479,'JUNE (물량흐름)'!$A$13:$C$502,2,0),0)</f>
        <v>ALFANI</v>
      </c>
      <c r="C479" s="272" t="str">
        <f>VLOOKUP(A479,'JUNE (물량흐름)'!$A$13:$C$502,3,0)</f>
        <v>7X721</v>
      </c>
      <c r="D479" s="6">
        <f>VLOOKUP(C479,'WIP(재공품)'!$B$12:$E$493,4,0)</f>
        <v>49885.000000000007</v>
      </c>
      <c r="E479" s="6">
        <f>IFERROR(VLOOKUP(C479,O.B.JUNE!$AI$7:$AJ$448,2,0),0)</f>
        <v>0</v>
      </c>
      <c r="F479" s="6">
        <f>IFERROR(VLOOKUP(C479,O.B.JUNE!$AI$7:$AK$448,3,0),0)</f>
        <v>0</v>
      </c>
      <c r="G479" s="6">
        <f>IFERROR(VLOOKUP(C479,O.B.JUNE!$AI$7:$AL$448,4,0),0)</f>
        <v>0</v>
      </c>
      <c r="H479" s="6">
        <f t="shared" si="122"/>
        <v>0</v>
      </c>
      <c r="I479" s="6">
        <f>IFERROR(VLOOKUP(C479,O.B.JUNE!$AI$7:$AN$448,6,0),0)</f>
        <v>0</v>
      </c>
      <c r="J479" s="6"/>
      <c r="K479" s="6">
        <f>IFERROR(VLOOKUP(C479,O.B.JUNE!$AI$7:$AO$448,7,0),0)</f>
        <v>0</v>
      </c>
      <c r="L479" s="6">
        <f>SUMIF('JUNE (물량흐름)'!$C$13:$C$488,'Overhead exp(제조경비)'!C479,'JUNE (물량흐름)'!$H$13:$H$493)+SUMIF('JUNE (물량흐름)'!$C$13:$C$493,'Overhead exp(제조경비)'!C479,'JUNE (물량흐름)'!$V$13:$V$493)</f>
        <v>1576</v>
      </c>
      <c r="M479" s="6">
        <f t="shared" si="123"/>
        <v>1527</v>
      </c>
      <c r="N479" s="6">
        <f t="shared" si="124"/>
        <v>76174395</v>
      </c>
      <c r="O479" s="6">
        <f t="shared" si="130"/>
        <v>46027610</v>
      </c>
      <c r="P479" s="6">
        <f>SUMIF('JUNE (물량흐름)'!$C$13:$C$502,C479,'JUNE (물량흐름)'!$T$13:$T$502)+SUMIF('JUNE (물량흐름)'!$C$13:$C$502,C479,'JUNE (물량흐름)'!$V$13:$V$502)+SUMIF('JUNE (물량흐름)'!$C$13:$C$502,C479,'JUNE (물량흐름)'!$U$13:$U$502)-SUMIF('JUNE (물량흐름)'!$C$13:$C$502,C479,'JUNE (물량흐름)'!$Y$13:$Y$502)</f>
        <v>1331</v>
      </c>
      <c r="Q479" s="6">
        <f t="shared" si="131"/>
        <v>38872303</v>
      </c>
      <c r="R479" s="6">
        <f>IF(ISERROR(VLOOKUP(#REF!,'WIP(재공품)'!$B$12:$AB$38,13,0)),0,VLOOKUP(#REF!,'WIP(재공품)'!$B$12:$AB$38,13,0))</f>
        <v>0</v>
      </c>
      <c r="S479" s="6">
        <f>IF(ISERROR(VLOOKUP(#REF!,'WIP(재공품)'!$B$12:$AB$38,10,0)),0,VLOOKUP(#REF!,'WIP(재공품)'!$B$12:$AB$38,10,0))</f>
        <v>0</v>
      </c>
      <c r="T479" s="6">
        <f>SUMIF('JUNE (물량흐름)'!$C$13:$C$502,'Overhead exp(제조경비)'!C479,'JUNE (물량흐름)'!$Y$13:$Y$502)</f>
        <v>0</v>
      </c>
      <c r="U479" s="6">
        <f t="shared" si="127"/>
        <v>0</v>
      </c>
      <c r="V479" s="6">
        <f>ROUND(SUMIF('JUNE (물량흐름)'!$C$13:$C$502,'Overhead exp(제조경비)'!C479,'JUNE (물량흐름)'!$N$13:$N$502),0)</f>
        <v>0</v>
      </c>
      <c r="W479" s="6">
        <f>ROUND(SUMIF('JUNE (물량흐름)'!$C$13:$C$502,'Overhead exp(제조경비)'!C479,'JUNE (물량흐름)'!$O$13:$O$502),0)</f>
        <v>0</v>
      </c>
      <c r="X479" s="6">
        <f>ROUND(SUMIF('JUNE (물량흐름)'!$C$13:$C$502,'Overhead exp(제조경비)'!C479,'JUNE (물량흐름)'!$P$13:$P$502),0)</f>
        <v>245</v>
      </c>
      <c r="Y479" s="6">
        <f t="shared" si="125"/>
        <v>245</v>
      </c>
      <c r="Z479" s="6">
        <f t="shared" si="126"/>
        <v>196</v>
      </c>
      <c r="AA479" s="6">
        <f t="shared" si="132"/>
        <v>7155307</v>
      </c>
      <c r="AB479" s="391">
        <f t="shared" si="128"/>
        <v>0</v>
      </c>
      <c r="AC479" s="391">
        <f t="shared" si="129"/>
        <v>0</v>
      </c>
    </row>
    <row r="480" spans="1:29" s="390" customFormat="1" ht="24" customHeight="1">
      <c r="A480" s="167">
        <v>491</v>
      </c>
      <c r="B480" s="20" t="str">
        <f>IFERROR(VLOOKUP(A480,'JUNE (물량흐름)'!$A$13:$C$502,2,0),0)</f>
        <v>BAR III</v>
      </c>
      <c r="C480" s="272">
        <f>VLOOKUP(A480,'JUNE (물량흐름)'!$A$13:$C$502,3,0)</f>
        <v>100035724</v>
      </c>
      <c r="D480" s="6">
        <f>VLOOKUP(C480,'WIP(재공품)'!$B$12:$E$493,4,0)</f>
        <v>72560</v>
      </c>
      <c r="E480" s="6">
        <f>IFERROR(VLOOKUP(C480,O.B.JUNE!$AI$7:$AJ$448,2,0),0)</f>
        <v>0</v>
      </c>
      <c r="F480" s="6">
        <f>IFERROR(VLOOKUP(C480,O.B.JUNE!$AI$7:$AK$448,3,0),0)</f>
        <v>0</v>
      </c>
      <c r="G480" s="6">
        <f>IFERROR(VLOOKUP(C480,O.B.JUNE!$AI$7:$AL$448,4,0),0)</f>
        <v>0</v>
      </c>
      <c r="H480" s="6">
        <f t="shared" si="122"/>
        <v>0</v>
      </c>
      <c r="I480" s="6">
        <f>IFERROR(VLOOKUP(C480,O.B.JUNE!$AI$7:$AN$448,6,0),0)</f>
        <v>0</v>
      </c>
      <c r="J480" s="6"/>
      <c r="K480" s="6">
        <f>IFERROR(VLOOKUP(C480,O.B.JUNE!$AI$7:$AO$448,7,0),0)</f>
        <v>0</v>
      </c>
      <c r="L480" s="6">
        <f>SUMIF('JUNE (물량흐름)'!$C$13:$C$488,'Overhead exp(제조경비)'!C480,'JUNE (물량흐름)'!$H$13:$H$493)+SUMIF('JUNE (물량흐름)'!$C$13:$C$493,'Overhead exp(제조경비)'!C480,'JUNE (물량흐름)'!$V$13:$V$493)</f>
        <v>1992</v>
      </c>
      <c r="M480" s="6">
        <f t="shared" si="123"/>
        <v>1265</v>
      </c>
      <c r="N480" s="6">
        <f t="shared" si="124"/>
        <v>91788400</v>
      </c>
      <c r="O480" s="6">
        <f t="shared" si="130"/>
        <v>55462215</v>
      </c>
      <c r="P480" s="6">
        <f>SUMIF('JUNE (물량흐름)'!$C$13:$C$502,C480,'JUNE (물량흐름)'!$T$13:$T$502)+SUMIF('JUNE (물량흐름)'!$C$13:$C$502,C480,'JUNE (물량흐름)'!$V$13:$V$502)+SUMIF('JUNE (물량흐름)'!$C$13:$C$502,C480,'JUNE (물량흐름)'!$U$13:$U$502)-SUMIF('JUNE (물량흐름)'!$C$13:$C$502,C480,'JUNE (물량흐름)'!$Y$13:$Y$502)</f>
        <v>0</v>
      </c>
      <c r="Q480" s="6">
        <f t="shared" si="131"/>
        <v>0</v>
      </c>
      <c r="R480" s="6">
        <f>IF(ISERROR(VLOOKUP(#REF!,'WIP(재공품)'!$B$12:$AB$38,13,0)),0,VLOOKUP(#REF!,'WIP(재공품)'!$B$12:$AB$38,13,0))</f>
        <v>0</v>
      </c>
      <c r="S480" s="6">
        <f>IF(ISERROR(VLOOKUP(#REF!,'WIP(재공품)'!$B$12:$AB$38,10,0)),0,VLOOKUP(#REF!,'WIP(재공품)'!$B$12:$AB$38,10,0))</f>
        <v>0</v>
      </c>
      <c r="T480" s="6">
        <f>SUMIF('JUNE (물량흐름)'!$C$13:$C$502,'Overhead exp(제조경비)'!C480,'JUNE (물량흐름)'!$Y$13:$Y$502)</f>
        <v>0</v>
      </c>
      <c r="U480" s="6">
        <f t="shared" si="127"/>
        <v>0</v>
      </c>
      <c r="V480" s="6">
        <f>ROUND(SUMIF('JUNE (물량흐름)'!$C$13:$C$502,'Overhead exp(제조경비)'!C480,'JUNE (물량흐름)'!$N$13:$N$502),0)</f>
        <v>504</v>
      </c>
      <c r="W480" s="6">
        <f>ROUND(SUMIF('JUNE (물량흐름)'!$C$13:$C$502,'Overhead exp(제조경비)'!C480,'JUNE (물량흐름)'!$O$13:$O$502),0)</f>
        <v>88</v>
      </c>
      <c r="X480" s="6">
        <f>ROUND(SUMIF('JUNE (물량흐름)'!$C$13:$C$502,'Overhead exp(제조경비)'!C480,'JUNE (물량흐름)'!$P$13:$P$502),0)</f>
        <v>1400</v>
      </c>
      <c r="Y480" s="6">
        <f t="shared" si="125"/>
        <v>1992</v>
      </c>
      <c r="Z480" s="6">
        <f t="shared" si="126"/>
        <v>1265</v>
      </c>
      <c r="AA480" s="6">
        <f t="shared" si="132"/>
        <v>55462215</v>
      </c>
      <c r="AB480" s="391">
        <f t="shared" si="128"/>
        <v>0</v>
      </c>
      <c r="AC480" s="391">
        <f t="shared" si="129"/>
        <v>0</v>
      </c>
    </row>
    <row r="481" spans="1:29" s="390" customFormat="1" ht="24" customHeight="1">
      <c r="A481" s="167">
        <v>492</v>
      </c>
      <c r="B481" s="20" t="str">
        <f>IFERROR(VLOOKUP(A481,'JUNE (물량흐름)'!$A$13:$C$502,2,0),0)</f>
        <v>EILEEN FISHER</v>
      </c>
      <c r="C481" s="272" t="str">
        <f>VLOOKUP(A481,'JUNE (물량흐름)'!$A$13:$C$502,3,0)</f>
        <v>F8SOQ-T4368</v>
      </c>
      <c r="D481" s="6">
        <f>VLOOKUP(C481,'WIP(재공품)'!$B$12:$E$493,4,0)</f>
        <v>58501.5</v>
      </c>
      <c r="E481" s="6">
        <f>IFERROR(VLOOKUP(C481,O.B.JUNE!$AI$7:$AJ$448,2,0),0)</f>
        <v>0</v>
      </c>
      <c r="F481" s="6">
        <f>IFERROR(VLOOKUP(C481,O.B.JUNE!$AI$7:$AK$448,3,0),0)</f>
        <v>0</v>
      </c>
      <c r="G481" s="6">
        <f>IFERROR(VLOOKUP(C481,O.B.JUNE!$AI$7:$AL$448,4,0),0)</f>
        <v>0</v>
      </c>
      <c r="H481" s="6">
        <f t="shared" si="122"/>
        <v>0</v>
      </c>
      <c r="I481" s="6">
        <f>IFERROR(VLOOKUP(C481,O.B.JUNE!$AI$7:$AN$448,6,0),0)</f>
        <v>0</v>
      </c>
      <c r="J481" s="6"/>
      <c r="K481" s="6">
        <f>IFERROR(VLOOKUP(C481,O.B.JUNE!$AI$7:$AO$448,7,0),0)</f>
        <v>0</v>
      </c>
      <c r="L481" s="6">
        <f>SUMIF('JUNE (물량흐름)'!$C$13:$C$488,'Overhead exp(제조경비)'!C481,'JUNE (물량흐름)'!$H$13:$H$493)+SUMIF('JUNE (물량흐름)'!$C$13:$C$493,'Overhead exp(제조경비)'!C481,'JUNE (물량흐름)'!$V$13:$V$493)</f>
        <v>6598</v>
      </c>
      <c r="M481" s="6">
        <f t="shared" si="123"/>
        <v>6524</v>
      </c>
      <c r="N481" s="6">
        <f t="shared" si="124"/>
        <v>381663786</v>
      </c>
      <c r="O481" s="6">
        <f t="shared" si="130"/>
        <v>230616494</v>
      </c>
      <c r="P481" s="6">
        <f>SUMIF('JUNE (물량흐름)'!$C$13:$C$502,C481,'JUNE (물량흐름)'!$T$13:$T$502)+SUMIF('JUNE (물량흐름)'!$C$13:$C$502,C481,'JUNE (물량흐름)'!$V$13:$V$502)+SUMIF('JUNE (물량흐름)'!$C$13:$C$502,C481,'JUNE (물량흐름)'!$U$13:$U$502)-SUMIF('JUNE (물량흐름)'!$C$13:$C$502,C481,'JUNE (물량흐름)'!$Y$13:$Y$502)</f>
        <v>6317</v>
      </c>
      <c r="Q481" s="6">
        <f t="shared" si="131"/>
        <v>220794846</v>
      </c>
      <c r="R481" s="6">
        <f>IF(ISERROR(VLOOKUP(#REF!,'WIP(재공품)'!$B$12:$AB$38,13,0)),0,VLOOKUP(#REF!,'WIP(재공품)'!$B$12:$AB$38,13,0))</f>
        <v>0</v>
      </c>
      <c r="S481" s="6">
        <f>IF(ISERROR(VLOOKUP(#REF!,'WIP(재공품)'!$B$12:$AB$38,10,0)),0,VLOOKUP(#REF!,'WIP(재공품)'!$B$12:$AB$38,10,0))</f>
        <v>0</v>
      </c>
      <c r="T481" s="6">
        <f>SUMIF('JUNE (물량흐름)'!$C$13:$C$502,'Overhead exp(제조경비)'!C481,'JUNE (물량흐름)'!$Y$13:$Y$502)</f>
        <v>1</v>
      </c>
      <c r="U481" s="6">
        <f t="shared" si="127"/>
        <v>34952</v>
      </c>
      <c r="V481" s="6">
        <f>ROUND(SUMIF('JUNE (물량흐름)'!$C$13:$C$502,'Overhead exp(제조경비)'!C481,'JUNE (물량흐름)'!$N$13:$N$502),0)</f>
        <v>0</v>
      </c>
      <c r="W481" s="6">
        <f>ROUND(SUMIF('JUNE (물량흐름)'!$C$13:$C$502,'Overhead exp(제조경비)'!C481,'JUNE (물량흐름)'!$O$13:$O$502),0)</f>
        <v>61</v>
      </c>
      <c r="X481" s="6">
        <f>ROUND(SUMIF('JUNE (물량흐름)'!$C$13:$C$502,'Overhead exp(제조경비)'!C481,'JUNE (물량흐름)'!$P$13:$P$502),0)</f>
        <v>219</v>
      </c>
      <c r="Y481" s="6">
        <f t="shared" si="125"/>
        <v>280</v>
      </c>
      <c r="Z481" s="6">
        <f t="shared" si="126"/>
        <v>206</v>
      </c>
      <c r="AA481" s="6">
        <f t="shared" si="132"/>
        <v>9786696</v>
      </c>
      <c r="AB481" s="391">
        <f t="shared" si="128"/>
        <v>0</v>
      </c>
      <c r="AC481" s="391">
        <f t="shared" si="129"/>
        <v>0</v>
      </c>
    </row>
    <row r="482" spans="1:29" s="390" customFormat="1" ht="24" customHeight="1">
      <c r="A482" s="167">
        <v>493</v>
      </c>
      <c r="B482" s="20" t="str">
        <f>IFERROR(VLOOKUP(A482,'JUNE (물량흐름)'!$A$13:$C$502,2,0),0)</f>
        <v>EILEEN FISHER</v>
      </c>
      <c r="C482" s="272" t="str">
        <f>VLOOKUP(A482,'JUNE (물량흐름)'!$A$13:$C$502,3,0)</f>
        <v>EESOQ-T4607</v>
      </c>
      <c r="D482" s="6">
        <f>VLOOKUP(C482,'WIP(재공품)'!$B$12:$E$493,4,0)</f>
        <v>146027</v>
      </c>
      <c r="E482" s="6">
        <f>IFERROR(VLOOKUP(C482,O.B.JUNE!$AI$7:$AJ$448,2,0),0)</f>
        <v>0</v>
      </c>
      <c r="F482" s="6">
        <f>IFERROR(VLOOKUP(C482,O.B.JUNE!$AI$7:$AK$448,3,0),0)</f>
        <v>0</v>
      </c>
      <c r="G482" s="6">
        <f>IFERROR(VLOOKUP(C482,O.B.JUNE!$AI$7:$AL$448,4,0),0)</f>
        <v>0</v>
      </c>
      <c r="H482" s="6">
        <f t="shared" si="122"/>
        <v>0</v>
      </c>
      <c r="I482" s="6">
        <f>IFERROR(VLOOKUP(C482,O.B.JUNE!$AI$7:$AN$448,6,0),0)</f>
        <v>0</v>
      </c>
      <c r="J482" s="6"/>
      <c r="K482" s="6">
        <f>IFERROR(VLOOKUP(C482,O.B.JUNE!$AI$7:$AO$448,7,0),0)</f>
        <v>0</v>
      </c>
      <c r="L482" s="6">
        <f>SUMIF('JUNE (물량흐름)'!$C$13:$C$488,'Overhead exp(제조경비)'!C482,'JUNE (물량흐름)'!$H$13:$H$493)+SUMIF('JUNE (물량흐름)'!$C$13:$C$493,'Overhead exp(제조경비)'!C482,'JUNE (물량흐름)'!$V$13:$V$493)</f>
        <v>1000</v>
      </c>
      <c r="M482" s="6">
        <f t="shared" si="123"/>
        <v>953</v>
      </c>
      <c r="N482" s="6">
        <f t="shared" si="124"/>
        <v>139163731</v>
      </c>
      <c r="O482" s="6">
        <f t="shared" si="130"/>
        <v>84088281</v>
      </c>
      <c r="P482" s="6">
        <f>SUMIF('JUNE (물량흐름)'!$C$13:$C$502,C482,'JUNE (물량흐름)'!$T$13:$T$502)+SUMIF('JUNE (물량흐름)'!$C$13:$C$502,C482,'JUNE (물량흐름)'!$V$13:$V$502)+SUMIF('JUNE (물량흐름)'!$C$13:$C$502,C482,'JUNE (물량흐름)'!$U$13:$U$502)-SUMIF('JUNE (물량흐름)'!$C$13:$C$502,C482,'JUNE (물량흐름)'!$Y$13:$Y$502)</f>
        <v>804</v>
      </c>
      <c r="Q482" s="6">
        <f t="shared" si="131"/>
        <v>67606978</v>
      </c>
      <c r="R482" s="6">
        <f>IF(ISERROR(VLOOKUP(#REF!,'WIP(재공품)'!$B$12:$AB$38,13,0)),0,VLOOKUP(#REF!,'WIP(재공품)'!$B$12:$AB$38,13,0))</f>
        <v>0</v>
      </c>
      <c r="S482" s="6">
        <f>IF(ISERROR(VLOOKUP(#REF!,'WIP(재공품)'!$B$12:$AB$38,10,0)),0,VLOOKUP(#REF!,'WIP(재공품)'!$B$12:$AB$38,10,0))</f>
        <v>0</v>
      </c>
      <c r="T482" s="6">
        <f>SUMIF('JUNE (물량흐름)'!$C$13:$C$502,'Overhead exp(제조경비)'!C482,'JUNE (물량흐름)'!$Y$13:$Y$502)</f>
        <v>21</v>
      </c>
      <c r="U482" s="6">
        <f t="shared" si="127"/>
        <v>1765854</v>
      </c>
      <c r="V482" s="6">
        <f>ROUND(SUMIF('JUNE (물량흐름)'!$C$13:$C$502,'Overhead exp(제조경비)'!C482,'JUNE (물량흐름)'!$N$13:$N$502),0)</f>
        <v>0</v>
      </c>
      <c r="W482" s="6">
        <f>ROUND(SUMIF('JUNE (물량흐름)'!$C$13:$C$502,'Overhead exp(제조경비)'!C482,'JUNE (물량흐름)'!$O$13:$O$502),0)</f>
        <v>39</v>
      </c>
      <c r="X482" s="6">
        <f>ROUND(SUMIF('JUNE (물량흐름)'!$C$13:$C$502,'Overhead exp(제조경비)'!C482,'JUNE (물량흐름)'!$P$13:$P$502),0)</f>
        <v>136</v>
      </c>
      <c r="Y482" s="6">
        <f t="shared" si="125"/>
        <v>175</v>
      </c>
      <c r="Z482" s="6">
        <f t="shared" si="126"/>
        <v>128</v>
      </c>
      <c r="AA482" s="6">
        <f t="shared" si="132"/>
        <v>14715449</v>
      </c>
      <c r="AB482" s="391">
        <f t="shared" si="128"/>
        <v>0</v>
      </c>
      <c r="AC482" s="391">
        <f t="shared" si="129"/>
        <v>0</v>
      </c>
    </row>
    <row r="483" spans="1:29" s="390" customFormat="1" ht="24" customHeight="1">
      <c r="A483" s="167">
        <v>494</v>
      </c>
      <c r="B483" s="20" t="str">
        <f>IFERROR(VLOOKUP(A483,'JUNE (물량흐름)'!$A$13:$C$502,2,0),0)</f>
        <v>J JILL</v>
      </c>
      <c r="C483" s="272" t="str">
        <f>VLOOKUP(A483,'JUNE (물량흐름)'!$A$13:$C$502,3,0)</f>
        <v>KDR132731</v>
      </c>
      <c r="D483" s="6">
        <f>VLOOKUP(C483,'WIP(재공품)'!$B$12:$E$493,4,0)</f>
        <v>79362.5</v>
      </c>
      <c r="E483" s="6">
        <f>IFERROR(VLOOKUP(C483,O.B.JUNE!$AI$7:$AJ$448,2,0),0)</f>
        <v>0</v>
      </c>
      <c r="F483" s="6">
        <f>IFERROR(VLOOKUP(C483,O.B.JUNE!$AI$7:$AK$448,3,0),0)</f>
        <v>0</v>
      </c>
      <c r="G483" s="6">
        <f>IFERROR(VLOOKUP(C483,O.B.JUNE!$AI$7:$AL$448,4,0),0)</f>
        <v>0</v>
      </c>
      <c r="H483" s="6">
        <f t="shared" si="122"/>
        <v>0</v>
      </c>
      <c r="I483" s="6">
        <f>IFERROR(VLOOKUP(C483,O.B.JUNE!$AI$7:$AN$448,6,0),0)</f>
        <v>0</v>
      </c>
      <c r="J483" s="6"/>
      <c r="K483" s="6">
        <f>IFERROR(VLOOKUP(C483,O.B.JUNE!$AI$7:$AO$448,7,0),0)</f>
        <v>0</v>
      </c>
      <c r="L483" s="6">
        <f>SUMIF('JUNE (물량흐름)'!$C$13:$C$488,'Overhead exp(제조경비)'!C483,'JUNE (물량흐름)'!$H$13:$H$493)+SUMIF('JUNE (물량흐름)'!$C$13:$C$493,'Overhead exp(제조경비)'!C483,'JUNE (물량흐름)'!$V$13:$V$493)</f>
        <v>5962</v>
      </c>
      <c r="M483" s="6">
        <f t="shared" si="123"/>
        <v>4381</v>
      </c>
      <c r="N483" s="6">
        <f t="shared" si="124"/>
        <v>347687113</v>
      </c>
      <c r="O483" s="6">
        <f t="shared" si="130"/>
        <v>210086432</v>
      </c>
      <c r="P483" s="6">
        <f>SUMIF('JUNE (물량흐름)'!$C$13:$C$502,C483,'JUNE (물량흐름)'!$T$13:$T$502)+SUMIF('JUNE (물량흐름)'!$C$13:$C$502,C483,'JUNE (물량흐름)'!$V$13:$V$502)+SUMIF('JUNE (물량흐름)'!$C$13:$C$502,C483,'JUNE (물량흐름)'!$U$13:$U$502)-SUMIF('JUNE (물량흐름)'!$C$13:$C$502,C483,'JUNE (물량흐름)'!$Y$13:$Y$502)</f>
        <v>2600</v>
      </c>
      <c r="Q483" s="6">
        <f t="shared" si="131"/>
        <v>91617699</v>
      </c>
      <c r="R483" s="6">
        <f>IF(ISERROR(VLOOKUP(#REF!,'WIP(재공품)'!$B$12:$AB$38,13,0)),0,VLOOKUP(#REF!,'WIP(재공품)'!$B$12:$AB$38,13,0))</f>
        <v>0</v>
      </c>
      <c r="S483" s="6">
        <f>IF(ISERROR(VLOOKUP(#REF!,'WIP(재공품)'!$B$12:$AB$38,10,0)),0,VLOOKUP(#REF!,'WIP(재공품)'!$B$12:$AB$38,10,0))</f>
        <v>0</v>
      </c>
      <c r="T483" s="6">
        <f>SUMIF('JUNE (물량흐름)'!$C$13:$C$502,'Overhead exp(제조경비)'!C483,'JUNE (물량흐름)'!$Y$13:$Y$502)</f>
        <v>0</v>
      </c>
      <c r="U483" s="6">
        <f t="shared" si="127"/>
        <v>0</v>
      </c>
      <c r="V483" s="6">
        <f>ROUND(SUMIF('JUNE (물량흐름)'!$C$13:$C$502,'Overhead exp(제조경비)'!C483,'JUNE (물량흐름)'!$N$13:$N$502),0)</f>
        <v>1290</v>
      </c>
      <c r="W483" s="6">
        <f>ROUND(SUMIF('JUNE (물량흐름)'!$C$13:$C$502,'Overhead exp(제조경비)'!C483,'JUNE (물량흐름)'!$O$13:$O$502),0)</f>
        <v>448</v>
      </c>
      <c r="X483" s="6">
        <f>ROUND(SUMIF('JUNE (물량흐름)'!$C$13:$C$502,'Overhead exp(제조경비)'!C483,'JUNE (물량흐름)'!$P$13:$P$502),0)</f>
        <v>1624</v>
      </c>
      <c r="Y483" s="6">
        <f t="shared" si="125"/>
        <v>3362</v>
      </c>
      <c r="Z483" s="6">
        <f t="shared" si="126"/>
        <v>1781</v>
      </c>
      <c r="AA483" s="6">
        <f t="shared" si="132"/>
        <v>118468733</v>
      </c>
      <c r="AB483" s="391">
        <f t="shared" si="128"/>
        <v>0</v>
      </c>
      <c r="AC483" s="391">
        <f t="shared" si="129"/>
        <v>0</v>
      </c>
    </row>
    <row r="484" spans="1:29" s="390" customFormat="1" ht="24" customHeight="1">
      <c r="A484" s="167">
        <v>495</v>
      </c>
      <c r="B484" s="20" t="str">
        <f>IFERROR(VLOOKUP(A484,'JUNE (물량흐름)'!$A$13:$C$502,2,0),0)</f>
        <v>J JILL</v>
      </c>
      <c r="C484" s="272" t="str">
        <f>VLOOKUP(A484,'JUNE (물량흐름)'!$A$13:$C$502,3,0)</f>
        <v>KJT138251</v>
      </c>
      <c r="D484" s="6">
        <f>VLOOKUP(C484,'WIP(재공품)'!$B$12:$E$493,4,0)</f>
        <v>104304.99999999999</v>
      </c>
      <c r="E484" s="6">
        <f>IFERROR(VLOOKUP(C484,O.B.JUNE!$AI$7:$AJ$448,2,0),0)</f>
        <v>0</v>
      </c>
      <c r="F484" s="6">
        <f>IFERROR(VLOOKUP(C484,O.B.JUNE!$AI$7:$AK$448,3,0),0)</f>
        <v>0</v>
      </c>
      <c r="G484" s="6">
        <f>IFERROR(VLOOKUP(C484,O.B.JUNE!$AI$7:$AL$448,4,0),0)</f>
        <v>0</v>
      </c>
      <c r="H484" s="6">
        <f t="shared" si="122"/>
        <v>0</v>
      </c>
      <c r="I484" s="6">
        <f>IFERROR(VLOOKUP(C484,O.B.JUNE!$AI$7:$AN$448,6,0),0)</f>
        <v>0</v>
      </c>
      <c r="J484" s="6"/>
      <c r="K484" s="6">
        <f>IFERROR(VLOOKUP(C484,O.B.JUNE!$AI$7:$AO$448,7,0),0)</f>
        <v>0</v>
      </c>
      <c r="L484" s="6">
        <f>SUMIF('JUNE (물량흐름)'!$C$13:$C$488,'Overhead exp(제조경비)'!C484,'JUNE (물량흐름)'!$H$13:$H$493)+SUMIF('JUNE (물량흐름)'!$C$13:$C$493,'Overhead exp(제조경비)'!C484,'JUNE (물량흐름)'!$V$13:$V$493)</f>
        <v>2676</v>
      </c>
      <c r="M484" s="6">
        <f t="shared" si="123"/>
        <v>1321</v>
      </c>
      <c r="N484" s="6">
        <f t="shared" si="124"/>
        <v>137786905</v>
      </c>
      <c r="O484" s="6">
        <f t="shared" si="130"/>
        <v>83256348</v>
      </c>
      <c r="P484" s="6">
        <f>SUMIF('JUNE (물량흐름)'!$C$13:$C$502,C484,'JUNE (물량흐름)'!$T$13:$T$502)+SUMIF('JUNE (물량흐름)'!$C$13:$C$502,C484,'JUNE (물량흐름)'!$V$13:$V$502)+SUMIF('JUNE (물량흐름)'!$C$13:$C$502,C484,'JUNE (물량흐름)'!$U$13:$U$502)-SUMIF('JUNE (물량흐름)'!$C$13:$C$502,C484,'JUNE (물량흐름)'!$Y$13:$Y$502)</f>
        <v>0</v>
      </c>
      <c r="Q484" s="6">
        <f t="shared" si="131"/>
        <v>0</v>
      </c>
      <c r="R484" s="6">
        <f>IF(ISERROR(VLOOKUP(#REF!,'WIP(재공품)'!$B$12:$AB$38,13,0)),0,VLOOKUP(#REF!,'WIP(재공품)'!$B$12:$AB$38,13,0))</f>
        <v>0</v>
      </c>
      <c r="S484" s="6">
        <f>IF(ISERROR(VLOOKUP(#REF!,'WIP(재공품)'!$B$12:$AB$38,10,0)),0,VLOOKUP(#REF!,'WIP(재공품)'!$B$12:$AB$38,10,0))</f>
        <v>0</v>
      </c>
      <c r="T484" s="6">
        <f>SUMIF('JUNE (물량흐름)'!$C$13:$C$502,'Overhead exp(제조경비)'!C484,'JUNE (물량흐름)'!$Y$13:$Y$502)</f>
        <v>0</v>
      </c>
      <c r="U484" s="6">
        <f t="shared" si="127"/>
        <v>0</v>
      </c>
      <c r="V484" s="6">
        <f>ROUND(SUMIF('JUNE (물량흐름)'!$C$13:$C$502,'Overhead exp(제조경비)'!C484,'JUNE (물량흐름)'!$N$13:$N$502),0)</f>
        <v>332</v>
      </c>
      <c r="W484" s="6">
        <f>ROUND(SUMIF('JUNE (물량흐름)'!$C$13:$C$502,'Overhead exp(제조경비)'!C484,'JUNE (물량흐름)'!$O$13:$O$502),0)</f>
        <v>2068</v>
      </c>
      <c r="X484" s="6">
        <f>ROUND(SUMIF('JUNE (물량흐름)'!$C$13:$C$502,'Overhead exp(제조경비)'!C484,'JUNE (물량흐름)'!$P$13:$P$502),0)</f>
        <v>276</v>
      </c>
      <c r="Y484" s="6">
        <f t="shared" si="125"/>
        <v>2676</v>
      </c>
      <c r="Z484" s="6">
        <f t="shared" si="126"/>
        <v>1321</v>
      </c>
      <c r="AA484" s="6">
        <f t="shared" si="132"/>
        <v>83256348</v>
      </c>
      <c r="AB484" s="391">
        <f t="shared" si="128"/>
        <v>0</v>
      </c>
      <c r="AC484" s="391">
        <f t="shared" si="129"/>
        <v>0</v>
      </c>
    </row>
    <row r="485" spans="1:29" s="390" customFormat="1" ht="24" customHeight="1">
      <c r="A485" s="167">
        <v>496</v>
      </c>
      <c r="B485" s="20" t="str">
        <f>IFERROR(VLOOKUP(A485,'JUNE (물량흐름)'!$A$13:$C$502,2,0),0)</f>
        <v>J JILL</v>
      </c>
      <c r="C485" s="272" t="str">
        <f>VLOOKUP(A485,'JUNE (물량흐름)'!$A$13:$C$502,3,0)</f>
        <v>KPT130311</v>
      </c>
      <c r="D485" s="6">
        <f>VLOOKUP(C485,'WIP(재공품)'!$B$12:$E$493,4,0)</f>
        <v>31744.999999999996</v>
      </c>
      <c r="E485" s="6">
        <f>IFERROR(VLOOKUP(C485,O.B.JUNE!$AI$7:$AJ$448,2,0),0)</f>
        <v>0</v>
      </c>
      <c r="F485" s="6">
        <f>IFERROR(VLOOKUP(C485,O.B.JUNE!$AI$7:$AK$448,3,0),0)</f>
        <v>0</v>
      </c>
      <c r="G485" s="6">
        <f>IFERROR(VLOOKUP(C485,O.B.JUNE!$AI$7:$AL$448,4,0),0)</f>
        <v>0</v>
      </c>
      <c r="H485" s="6">
        <f t="shared" si="122"/>
        <v>0</v>
      </c>
      <c r="I485" s="6">
        <f>IFERROR(VLOOKUP(C485,O.B.JUNE!$AI$7:$AN$448,6,0),0)</f>
        <v>0</v>
      </c>
      <c r="J485" s="6"/>
      <c r="K485" s="6">
        <f>IFERROR(VLOOKUP(C485,O.B.JUNE!$AI$7:$AO$448,7,0),0)</f>
        <v>0</v>
      </c>
      <c r="L485" s="6">
        <f>SUMIF('JUNE (물량흐름)'!$C$13:$C$488,'Overhead exp(제조경비)'!C485,'JUNE (물량흐름)'!$H$13:$H$493)+SUMIF('JUNE (물량흐름)'!$C$13:$C$493,'Overhead exp(제조경비)'!C485,'JUNE (물량흐름)'!$V$13:$V$493)</f>
        <v>1489</v>
      </c>
      <c r="M485" s="6">
        <f t="shared" si="123"/>
        <v>1460</v>
      </c>
      <c r="N485" s="6">
        <f t="shared" si="124"/>
        <v>46347700</v>
      </c>
      <c r="O485" s="6">
        <f t="shared" si="130"/>
        <v>28005130</v>
      </c>
      <c r="P485" s="6">
        <f>SUMIF('JUNE (물량흐름)'!$C$13:$C$502,C485,'JUNE (물량흐름)'!$T$13:$T$502)+SUMIF('JUNE (물량흐름)'!$C$13:$C$502,C485,'JUNE (물량흐름)'!$V$13:$V$502)+SUMIF('JUNE (물량흐름)'!$C$13:$C$502,C485,'JUNE (물량흐름)'!$U$13:$U$502)-SUMIF('JUNE (물량흐름)'!$C$13:$C$502,C485,'JUNE (물량흐름)'!$Y$13:$Y$502)</f>
        <v>1379</v>
      </c>
      <c r="Q485" s="6">
        <f t="shared" si="131"/>
        <v>25936249</v>
      </c>
      <c r="R485" s="6">
        <f>IF(ISERROR(VLOOKUP(#REF!,'WIP(재공품)'!$B$12:$AB$38,13,0)),0,VLOOKUP(#REF!,'WIP(재공품)'!$B$12:$AB$38,13,0))</f>
        <v>0</v>
      </c>
      <c r="S485" s="6">
        <f>IF(ISERROR(VLOOKUP(#REF!,'WIP(재공품)'!$B$12:$AB$38,10,0)),0,VLOOKUP(#REF!,'WIP(재공품)'!$B$12:$AB$38,10,0))</f>
        <v>0</v>
      </c>
      <c r="T485" s="6">
        <f>SUMIF('JUNE (물량흐름)'!$C$13:$C$502,'Overhead exp(제조경비)'!C485,'JUNE (물량흐름)'!$Y$13:$Y$502)</f>
        <v>0</v>
      </c>
      <c r="U485" s="6">
        <f t="shared" si="127"/>
        <v>0</v>
      </c>
      <c r="V485" s="6">
        <f>ROUND(SUMIF('JUNE (물량흐름)'!$C$13:$C$502,'Overhead exp(제조경비)'!C485,'JUNE (물량흐름)'!$N$13:$N$502),0)</f>
        <v>0</v>
      </c>
      <c r="W485" s="6">
        <f>ROUND(SUMIF('JUNE (물량흐름)'!$C$13:$C$502,'Overhead exp(제조경비)'!C485,'JUNE (물량흐름)'!$O$13:$O$502),0)</f>
        <v>25</v>
      </c>
      <c r="X485" s="6">
        <f>ROUND(SUMIF('JUNE (물량흐름)'!$C$13:$C$502,'Overhead exp(제조경비)'!C485,'JUNE (물량흐름)'!$P$13:$P$502),0)</f>
        <v>85</v>
      </c>
      <c r="Y485" s="6">
        <f t="shared" si="125"/>
        <v>110</v>
      </c>
      <c r="Z485" s="6">
        <f t="shared" si="126"/>
        <v>81</v>
      </c>
      <c r="AA485" s="6">
        <f t="shared" si="132"/>
        <v>2068881</v>
      </c>
      <c r="AB485" s="391">
        <f t="shared" si="128"/>
        <v>0</v>
      </c>
      <c r="AC485" s="391">
        <f t="shared" si="129"/>
        <v>0</v>
      </c>
    </row>
    <row r="486" spans="1:29" s="390" customFormat="1" ht="24" customHeight="1">
      <c r="A486" s="167">
        <v>497</v>
      </c>
      <c r="B486" s="20" t="str">
        <f>IFERROR(VLOOKUP(A486,'JUNE (물량흐름)'!$A$13:$C$502,2,0),0)</f>
        <v>J JILL</v>
      </c>
      <c r="C486" s="272" t="str">
        <f>VLOOKUP(A486,'JUNE (물량흐름)'!$A$13:$C$502,3,0)</f>
        <v>KTP134791</v>
      </c>
      <c r="D486" s="6">
        <f>VLOOKUP(C486,'WIP(재공품)'!$B$12:$E$493,4,0)</f>
        <v>58955</v>
      </c>
      <c r="E486" s="6">
        <f>IFERROR(VLOOKUP(C486,O.B.JUNE!$AI$7:$AJ$448,2,0),0)</f>
        <v>0</v>
      </c>
      <c r="F486" s="6">
        <f>IFERROR(VLOOKUP(C486,O.B.JUNE!$AI$7:$AK$448,3,0),0)</f>
        <v>0</v>
      </c>
      <c r="G486" s="6">
        <f>IFERROR(VLOOKUP(C486,O.B.JUNE!$AI$7:$AL$448,4,0),0)</f>
        <v>0</v>
      </c>
      <c r="H486" s="6">
        <f t="shared" si="122"/>
        <v>0</v>
      </c>
      <c r="I486" s="6">
        <f>IFERROR(VLOOKUP(C486,O.B.JUNE!$AI$7:$AN$448,6,0),0)</f>
        <v>0</v>
      </c>
      <c r="J486" s="6"/>
      <c r="K486" s="6">
        <f>IFERROR(VLOOKUP(C486,O.B.JUNE!$AI$7:$AO$448,7,0),0)</f>
        <v>0</v>
      </c>
      <c r="L486" s="6">
        <f>SUMIF('JUNE (물량흐름)'!$C$13:$C$488,'Overhead exp(제조경비)'!C486,'JUNE (물량흐름)'!$H$13:$H$493)+SUMIF('JUNE (물량흐름)'!$C$13:$C$493,'Overhead exp(제조경비)'!C486,'JUNE (물량흐름)'!$V$13:$V$493)</f>
        <v>6385</v>
      </c>
      <c r="M486" s="6">
        <f t="shared" si="123"/>
        <v>5142</v>
      </c>
      <c r="N486" s="6">
        <f t="shared" si="124"/>
        <v>303146610</v>
      </c>
      <c r="O486" s="6">
        <f t="shared" si="130"/>
        <v>183173282</v>
      </c>
      <c r="P486" s="6">
        <f>SUMIF('JUNE (물량흐름)'!$C$13:$C$502,C486,'JUNE (물량흐름)'!$T$13:$T$502)+SUMIF('JUNE (물량흐름)'!$C$13:$C$502,C486,'JUNE (물량흐름)'!$V$13:$V$502)+SUMIF('JUNE (물량흐름)'!$C$13:$C$502,C486,'JUNE (물량흐름)'!$U$13:$U$502)-SUMIF('JUNE (물량흐름)'!$C$13:$C$502,C486,'JUNE (물량흐름)'!$Y$13:$Y$502)</f>
        <v>2793</v>
      </c>
      <c r="Q486" s="6">
        <f t="shared" si="131"/>
        <v>80125760</v>
      </c>
      <c r="R486" s="6">
        <f>IF(ISERROR(VLOOKUP(#REF!,'WIP(재공품)'!$B$12:$AB$38,13,0)),0,VLOOKUP(#REF!,'WIP(재공품)'!$B$12:$AB$38,13,0))</f>
        <v>0</v>
      </c>
      <c r="S486" s="6">
        <f>IF(ISERROR(VLOOKUP(#REF!,'WIP(재공품)'!$B$12:$AB$38,10,0)),0,VLOOKUP(#REF!,'WIP(재공품)'!$B$12:$AB$38,10,0))</f>
        <v>0</v>
      </c>
      <c r="T486" s="6">
        <f>SUMIF('JUNE (물량흐름)'!$C$13:$C$502,'Overhead exp(제조경비)'!C486,'JUNE (물량흐름)'!$Y$13:$Y$502)</f>
        <v>0</v>
      </c>
      <c r="U486" s="6">
        <f t="shared" si="127"/>
        <v>0</v>
      </c>
      <c r="V486" s="6">
        <f>ROUND(SUMIF('JUNE (물량흐름)'!$C$13:$C$502,'Overhead exp(제조경비)'!C486,'JUNE (물량흐름)'!$N$13:$N$502),0)</f>
        <v>296</v>
      </c>
      <c r="W486" s="6">
        <f>ROUND(SUMIF('JUNE (물량흐름)'!$C$13:$C$502,'Overhead exp(제조경비)'!C486,'JUNE (물량흐름)'!$O$13:$O$502),0)</f>
        <v>1157</v>
      </c>
      <c r="X486" s="6">
        <f>ROUND(SUMIF('JUNE (물량흐름)'!$C$13:$C$502,'Overhead exp(제조경비)'!C486,'JUNE (물량흐름)'!$P$13:$P$502),0)</f>
        <v>2139</v>
      </c>
      <c r="Y486" s="6">
        <f t="shared" si="125"/>
        <v>3592</v>
      </c>
      <c r="Z486" s="6">
        <f t="shared" si="126"/>
        <v>2349</v>
      </c>
      <c r="AA486" s="6">
        <f t="shared" si="132"/>
        <v>103047522</v>
      </c>
      <c r="AB486" s="391">
        <f t="shared" si="128"/>
        <v>0</v>
      </c>
      <c r="AC486" s="391">
        <f t="shared" si="129"/>
        <v>0</v>
      </c>
    </row>
    <row r="487" spans="1:29" s="390" customFormat="1" ht="24" customHeight="1">
      <c r="A487" s="167">
        <v>498</v>
      </c>
      <c r="B487" s="20" t="str">
        <f>IFERROR(VLOOKUP(A487,'JUNE (물량흐름)'!$A$13:$C$502,2,0),0)</f>
        <v>J JILL</v>
      </c>
      <c r="C487" s="272" t="str">
        <f>VLOOKUP(A487,'JUNE (물량흐름)'!$A$13:$C$502,3,0)</f>
        <v>KTP142391</v>
      </c>
      <c r="D487" s="6">
        <f>VLOOKUP(C487,'WIP(재공품)'!$B$12:$E$493,4,0)</f>
        <v>49885.000000000007</v>
      </c>
      <c r="E487" s="6">
        <f>IFERROR(VLOOKUP(C487,O.B.JUNE!$AI$7:$AJ$448,2,0),0)</f>
        <v>0</v>
      </c>
      <c r="F487" s="6">
        <f>IFERROR(VLOOKUP(C487,O.B.JUNE!$AI$7:$AK$448,3,0),0)</f>
        <v>0</v>
      </c>
      <c r="G487" s="6">
        <f>IFERROR(VLOOKUP(C487,O.B.JUNE!$AI$7:$AL$448,4,0),0)</f>
        <v>0</v>
      </c>
      <c r="H487" s="6">
        <f t="shared" si="122"/>
        <v>0</v>
      </c>
      <c r="I487" s="6">
        <f>IFERROR(VLOOKUP(C487,O.B.JUNE!$AI$7:$AN$448,6,0),0)</f>
        <v>0</v>
      </c>
      <c r="J487" s="6"/>
      <c r="K487" s="6">
        <f>IFERROR(VLOOKUP(C487,O.B.JUNE!$AI$7:$AO$448,7,0),0)</f>
        <v>0</v>
      </c>
      <c r="L487" s="6">
        <f>SUMIF('JUNE (물량흐름)'!$C$13:$C$488,'Overhead exp(제조경비)'!C487,'JUNE (물량흐름)'!$H$13:$H$493)+SUMIF('JUNE (물량흐름)'!$C$13:$C$493,'Overhead exp(제조경비)'!C487,'JUNE (물량흐름)'!$V$13:$V$493)</f>
        <v>15654</v>
      </c>
      <c r="M487" s="6">
        <f t="shared" si="123"/>
        <v>13075</v>
      </c>
      <c r="N487" s="6">
        <f t="shared" si="124"/>
        <v>652246375</v>
      </c>
      <c r="O487" s="6">
        <f t="shared" si="130"/>
        <v>394113295</v>
      </c>
      <c r="P487" s="6">
        <f>SUMIF('JUNE (물량흐름)'!$C$13:$C$502,C487,'JUNE (물량흐름)'!$T$13:$T$502)+SUMIF('JUNE (물량흐름)'!$C$13:$C$502,C487,'JUNE (물량흐름)'!$V$13:$V$502)+SUMIF('JUNE (물량흐름)'!$C$13:$C$502,C487,'JUNE (물량흐름)'!$U$13:$U$502)-SUMIF('JUNE (물량흐름)'!$C$13:$C$502,C487,'JUNE (물량흐름)'!$Y$13:$Y$502)</f>
        <v>10468</v>
      </c>
      <c r="Q487" s="6">
        <f t="shared" si="131"/>
        <v>263547845</v>
      </c>
      <c r="R487" s="6">
        <f>IF(ISERROR(VLOOKUP(#REF!,'WIP(재공품)'!$B$12:$AB$38,13,0)),0,VLOOKUP(#REF!,'WIP(재공품)'!$B$12:$AB$38,13,0))</f>
        <v>0</v>
      </c>
      <c r="S487" s="6">
        <f>IF(ISERROR(VLOOKUP(#REF!,'WIP(재공품)'!$B$12:$AB$38,10,0)),0,VLOOKUP(#REF!,'WIP(재공품)'!$B$12:$AB$38,10,0))</f>
        <v>0</v>
      </c>
      <c r="T487" s="6">
        <f>SUMIF('JUNE (물량흐름)'!$C$13:$C$502,'Overhead exp(제조경비)'!C487,'JUNE (물량흐름)'!$Y$13:$Y$502)</f>
        <v>0</v>
      </c>
      <c r="U487" s="6">
        <f t="shared" si="127"/>
        <v>0</v>
      </c>
      <c r="V487" s="6">
        <f>ROUND(SUMIF('JUNE (물량흐름)'!$C$13:$C$502,'Overhead exp(제조경비)'!C487,'JUNE (물량흐름)'!$N$13:$N$502),0)</f>
        <v>1199</v>
      </c>
      <c r="W487" s="6">
        <f>ROUND(SUMIF('JUNE (물량흐름)'!$C$13:$C$502,'Overhead exp(제조경비)'!C487,'JUNE (물량흐름)'!$O$13:$O$502),0)</f>
        <v>2743</v>
      </c>
      <c r="X487" s="6">
        <f>ROUND(SUMIF('JUNE (물량흐름)'!$C$13:$C$502,'Overhead exp(제조경비)'!C487,'JUNE (물량흐름)'!$P$13:$P$502),0)</f>
        <v>1244</v>
      </c>
      <c r="Y487" s="6">
        <f t="shared" si="125"/>
        <v>5186</v>
      </c>
      <c r="Z487" s="6">
        <f t="shared" si="126"/>
        <v>2607</v>
      </c>
      <c r="AA487" s="6">
        <f t="shared" si="132"/>
        <v>130565450</v>
      </c>
      <c r="AB487" s="391">
        <f t="shared" si="128"/>
        <v>0</v>
      </c>
      <c r="AC487" s="391">
        <f t="shared" si="129"/>
        <v>0</v>
      </c>
    </row>
    <row r="488" spans="1:29" s="390" customFormat="1" ht="24" customHeight="1">
      <c r="A488" s="474">
        <v>499</v>
      </c>
      <c r="B488" s="20" t="str">
        <f>IFERROR(VLOOKUP(A488,'JUNE (물량흐름)'!$A$13:$C$502,2,0),0)</f>
        <v>NORDSTROM</v>
      </c>
      <c r="C488" s="272" t="str">
        <f>VLOOKUP(A488,'JUNE (물량흐름)'!$A$13:$C$502,3,0)</f>
        <v>HA385921MI</v>
      </c>
      <c r="D488" s="6">
        <f>VLOOKUP(C488,'WIP(재공품)'!$B$12:$E$493,4,0)</f>
        <v>36280</v>
      </c>
      <c r="E488" s="6">
        <f>IFERROR(VLOOKUP(C488,O.B.JUNE!$AI$7:$AJ$448,2,0),0)</f>
        <v>0</v>
      </c>
      <c r="F488" s="6">
        <f>IFERROR(VLOOKUP(C488,O.B.JUNE!$AI$7:$AK$448,3,0),0)</f>
        <v>0</v>
      </c>
      <c r="G488" s="6">
        <f>IFERROR(VLOOKUP(C488,O.B.JUNE!$AI$7:$AL$448,4,0),0)</f>
        <v>0</v>
      </c>
      <c r="H488" s="6">
        <f t="shared" ref="H488:H492" si="133">+E488+F488+G488</f>
        <v>0</v>
      </c>
      <c r="I488" s="6">
        <f>IFERROR(VLOOKUP(C488,O.B.JUNE!$AI$7:$AN$448,6,0),0)</f>
        <v>0</v>
      </c>
      <c r="J488" s="6"/>
      <c r="K488" s="6">
        <f>IFERROR(VLOOKUP(C488,O.B.JUNE!$AI$7:$AO$448,7,0),0)</f>
        <v>0</v>
      </c>
      <c r="L488" s="6">
        <f>SUMIF('JUNE (물량흐름)'!$C$13:$C$488,'Overhead exp(제조경비)'!C488,'JUNE (물량흐름)'!$H$13:$H$493)+SUMIF('JUNE (물량흐름)'!$C$13:$C$493,'Overhead exp(제조경비)'!C488,'JUNE (물량흐름)'!$V$13:$V$493)</f>
        <v>2592</v>
      </c>
      <c r="M488" s="6">
        <f t="shared" ref="M488:M492" si="134">IF(OR(L488&lt;=0,P488+T488+R488+Z488-I488&lt;0),0,ROUND(P488+T488+R488+Z488-I488,0))</f>
        <v>2592</v>
      </c>
      <c r="N488" s="6">
        <f t="shared" ref="N488:N492" si="135">ROUND(M488*D488,0)</f>
        <v>94037760</v>
      </c>
      <c r="O488" s="6">
        <f t="shared" ref="O488:O492" si="136">ROUND(M488*D488*$O$493/$N$493,0)</f>
        <v>56821368</v>
      </c>
      <c r="P488" s="6">
        <f>SUMIF('JUNE (물량흐름)'!$C$13:$C$502,C488,'JUNE (물량흐름)'!$T$13:$T$502)+SUMIF('JUNE (물량흐름)'!$C$13:$C$502,C488,'JUNE (물량흐름)'!$V$13:$V$502)+SUMIF('JUNE (물량흐름)'!$C$13:$C$502,C488,'JUNE (물량흐름)'!$U$13:$U$502)-SUMIF('JUNE (물량흐름)'!$C$13:$C$502,C488,'JUNE (물량흐름)'!$Y$13:$Y$502)</f>
        <v>2592</v>
      </c>
      <c r="Q488" s="6">
        <f t="shared" si="131"/>
        <v>56821368</v>
      </c>
      <c r="R488" s="6">
        <f>IF(ISERROR(VLOOKUP(#REF!,'WIP(재공품)'!$B$12:$AB$38,13,0)),0,VLOOKUP(#REF!,'WIP(재공품)'!$B$12:$AB$38,13,0))</f>
        <v>0</v>
      </c>
      <c r="S488" s="6">
        <f>IF(ISERROR(VLOOKUP(#REF!,'WIP(재공품)'!$B$12:$AB$38,10,0)),0,VLOOKUP(#REF!,'WIP(재공품)'!$B$12:$AB$38,10,0))</f>
        <v>0</v>
      </c>
      <c r="T488" s="6">
        <f>SUMIF('JUNE (물량흐름)'!$C$13:$C$502,'Overhead exp(제조경비)'!C488,'JUNE (물량흐름)'!$Y$13:$Y$502)</f>
        <v>0</v>
      </c>
      <c r="U488" s="6">
        <f t="shared" si="127"/>
        <v>0</v>
      </c>
      <c r="V488" s="6">
        <f>ROUND(SUMIF('JUNE (물량흐름)'!$C$13:$C$502,'Overhead exp(제조경비)'!C488,'JUNE (물량흐름)'!$N$13:$N$502),0)</f>
        <v>0</v>
      </c>
      <c r="W488" s="6">
        <f>ROUND(SUMIF('JUNE (물량흐름)'!$C$13:$C$502,'Overhead exp(제조경비)'!C488,'JUNE (물량흐름)'!$O$13:$O$502),0)</f>
        <v>0</v>
      </c>
      <c r="X488" s="6">
        <f>ROUND(SUMIF('JUNE (물량흐름)'!$C$13:$C$502,'Overhead exp(제조경비)'!C488,'JUNE (물량흐름)'!$P$13:$P$502),0)</f>
        <v>0</v>
      </c>
      <c r="Y488" s="6">
        <f>ROUND(SUM(V488:X488),0)</f>
        <v>0</v>
      </c>
      <c r="Z488" s="6">
        <f t="shared" ref="Z488:Z492" si="137">ROUND(V488*$V$10+W488*$W$10+X488*$X$10,0)</f>
        <v>0</v>
      </c>
      <c r="AA488" s="6">
        <f t="shared" si="132"/>
        <v>0</v>
      </c>
      <c r="AB488" s="391">
        <f t="shared" ref="AB488:AB492" si="138">K488+O488-Q488-U488-AA488</f>
        <v>0</v>
      </c>
      <c r="AC488" s="391">
        <f>H488+L488-P488-T488-Y488</f>
        <v>0</v>
      </c>
    </row>
    <row r="489" spans="1:29" s="390" customFormat="1" ht="24" customHeight="1">
      <c r="A489" s="474">
        <v>500</v>
      </c>
      <c r="B489" s="20" t="str">
        <f>IFERROR(VLOOKUP(A489,'JUNE (물량흐름)'!$A$13:$C$502,2,0),0)</f>
        <v>NORDSTROM</v>
      </c>
      <c r="C489" s="272" t="str">
        <f>VLOOKUP(A489,'JUNE (물량흐름)'!$A$13:$C$502,3,0)</f>
        <v>HA385921MP</v>
      </c>
      <c r="D489" s="6">
        <f>VLOOKUP(C489,'WIP(재공품)'!$B$12:$E$493,4,0)</f>
        <v>36280</v>
      </c>
      <c r="E489" s="6">
        <f>IFERROR(VLOOKUP(C489,O.B.JUNE!$AI$7:$AJ$448,2,0),0)</f>
        <v>0</v>
      </c>
      <c r="F489" s="6">
        <f>IFERROR(VLOOKUP(C489,O.B.JUNE!$AI$7:$AK$448,3,0),0)</f>
        <v>0</v>
      </c>
      <c r="G489" s="6">
        <f>IFERROR(VLOOKUP(C489,O.B.JUNE!$AI$7:$AL$448,4,0),0)</f>
        <v>0</v>
      </c>
      <c r="H489" s="6">
        <f t="shared" si="133"/>
        <v>0</v>
      </c>
      <c r="I489" s="6">
        <f>IFERROR(VLOOKUP(C489,O.B.JUNE!$AI$7:$AN$448,6,0),0)</f>
        <v>0</v>
      </c>
      <c r="J489" s="6"/>
      <c r="K489" s="6">
        <f>IFERROR(VLOOKUP(C489,O.B.JUNE!$AI$7:$AO$448,7,0),0)</f>
        <v>0</v>
      </c>
      <c r="L489" s="6">
        <f>SUMIF('JUNE (물량흐름)'!$C$13:$C$488,'Overhead exp(제조경비)'!C489,'JUNE (물량흐름)'!$H$13:$H$493)+SUMIF('JUNE (물량흐름)'!$C$13:$C$493,'Overhead exp(제조경비)'!C489,'JUNE (물량흐름)'!$V$13:$V$493)</f>
        <v>196</v>
      </c>
      <c r="M489" s="6">
        <f t="shared" si="134"/>
        <v>196</v>
      </c>
      <c r="N489" s="6">
        <f t="shared" si="135"/>
        <v>7110880</v>
      </c>
      <c r="O489" s="6">
        <f t="shared" si="136"/>
        <v>4296678</v>
      </c>
      <c r="P489" s="6">
        <f>SUMIF('JUNE (물량흐름)'!$C$13:$C$502,C489,'JUNE (물량흐름)'!$T$13:$T$502)+SUMIF('JUNE (물량흐름)'!$C$13:$C$502,C489,'JUNE (물량흐름)'!$V$13:$V$502)+SUMIF('JUNE (물량흐름)'!$C$13:$C$502,C489,'JUNE (물량흐름)'!$U$13:$U$502)-SUMIF('JUNE (물량흐름)'!$C$13:$C$502,C489,'JUNE (물량흐름)'!$Y$13:$Y$502)</f>
        <v>196</v>
      </c>
      <c r="Q489" s="6">
        <f t="shared" si="131"/>
        <v>4296678</v>
      </c>
      <c r="R489" s="6">
        <f>IF(ISERROR(VLOOKUP(#REF!,'WIP(재공품)'!$B$12:$AB$38,13,0)),0,VLOOKUP(#REF!,'WIP(재공품)'!$B$12:$AB$38,13,0))</f>
        <v>0</v>
      </c>
      <c r="S489" s="6">
        <f>IF(ISERROR(VLOOKUP(#REF!,'WIP(재공품)'!$B$12:$AB$38,10,0)),0,VLOOKUP(#REF!,'WIP(재공품)'!$B$12:$AB$38,10,0))</f>
        <v>0</v>
      </c>
      <c r="T489" s="6">
        <f>SUMIF('JUNE (물량흐름)'!$C$13:$C$502,'Overhead exp(제조경비)'!C489,'JUNE (물량흐름)'!$Y$13:$Y$502)</f>
        <v>0</v>
      </c>
      <c r="U489" s="6">
        <f t="shared" si="127"/>
        <v>0</v>
      </c>
      <c r="V489" s="6">
        <f>ROUND(SUMIF('JUNE (물량흐름)'!$C$13:$C$502,'Overhead exp(제조경비)'!C489,'JUNE (물량흐름)'!$N$13:$N$502),0)</f>
        <v>0</v>
      </c>
      <c r="W489" s="6">
        <f>ROUND(SUMIF('JUNE (물량흐름)'!$C$13:$C$502,'Overhead exp(제조경비)'!C489,'JUNE (물량흐름)'!$O$13:$O$502),0)</f>
        <v>0</v>
      </c>
      <c r="X489" s="6">
        <f>ROUND(SUMIF('JUNE (물량흐름)'!$C$13:$C$502,'Overhead exp(제조경비)'!C489,'JUNE (물량흐름)'!$P$13:$P$502),0)</f>
        <v>0</v>
      </c>
      <c r="Y489" s="6">
        <f t="shared" ref="Y489:Y492" si="139">ROUND(SUM(V489:X489),0)</f>
        <v>0</v>
      </c>
      <c r="Z489" s="6">
        <f t="shared" si="137"/>
        <v>0</v>
      </c>
      <c r="AA489" s="6">
        <f t="shared" si="132"/>
        <v>0</v>
      </c>
      <c r="AB489" s="391">
        <f t="shared" si="138"/>
        <v>0</v>
      </c>
      <c r="AC489" s="391">
        <f t="shared" ref="AC489:AC492" si="140">H489+L489-P489-T489-Y489</f>
        <v>0</v>
      </c>
    </row>
    <row r="490" spans="1:29" s="390" customFormat="1" ht="24" customHeight="1">
      <c r="A490" s="474">
        <v>501</v>
      </c>
      <c r="B490" s="20" t="str">
        <f>IFERROR(VLOOKUP(A490,'JUNE (물량흐름)'!$A$13:$C$502,2,0),0)</f>
        <v>NORDSTROM</v>
      </c>
      <c r="C490" s="272" t="str">
        <f>VLOOKUP(A490,'JUNE (물량흐름)'!$A$13:$C$502,3,0)</f>
        <v>SJ301654WN</v>
      </c>
      <c r="D490" s="6">
        <f>VLOOKUP(C490,'WIP(재공품)'!$B$12:$E$493,4,0)</f>
        <v>18140</v>
      </c>
      <c r="E490" s="6">
        <f>IFERROR(VLOOKUP(C490,O.B.JUNE!$AI$7:$AJ$448,2,0),0)</f>
        <v>0</v>
      </c>
      <c r="F490" s="6">
        <f>IFERROR(VLOOKUP(C490,O.B.JUNE!$AI$7:$AK$448,3,0),0)</f>
        <v>0</v>
      </c>
      <c r="G490" s="6">
        <f>IFERROR(VLOOKUP(C490,O.B.JUNE!$AI$7:$AL$448,4,0),0)</f>
        <v>0</v>
      </c>
      <c r="H490" s="6">
        <f t="shared" si="133"/>
        <v>0</v>
      </c>
      <c r="I490" s="6">
        <f>IFERROR(VLOOKUP(C490,O.B.JUNE!$AI$7:$AN$448,6,0),0)</f>
        <v>0</v>
      </c>
      <c r="J490" s="6"/>
      <c r="K490" s="6">
        <f>IFERROR(VLOOKUP(C490,O.B.JUNE!$AI$7:$AO$448,7,0),0)</f>
        <v>0</v>
      </c>
      <c r="L490" s="6">
        <f>SUMIF('JUNE (물량흐름)'!$C$13:$C$488,'Overhead exp(제조경비)'!C490,'JUNE (물량흐름)'!$H$13:$H$493)+SUMIF('JUNE (물량흐름)'!$C$13:$C$493,'Overhead exp(제조경비)'!C490,'JUNE (물량흐름)'!$V$13:$V$493)</f>
        <v>3250</v>
      </c>
      <c r="M490" s="6">
        <f t="shared" si="134"/>
        <v>3250</v>
      </c>
      <c r="N490" s="6">
        <f t="shared" si="135"/>
        <v>58955000</v>
      </c>
      <c r="O490" s="6">
        <f t="shared" si="136"/>
        <v>35622964</v>
      </c>
      <c r="P490" s="6">
        <f>SUMIF('JUNE (물량흐름)'!$C$13:$C$502,C490,'JUNE (물량흐름)'!$T$13:$T$502)+SUMIF('JUNE (물량흐름)'!$C$13:$C$502,C490,'JUNE (물량흐름)'!$V$13:$V$502)+SUMIF('JUNE (물량흐름)'!$C$13:$C$502,C490,'JUNE (물량흐름)'!$U$13:$U$502)-SUMIF('JUNE (물량흐름)'!$C$13:$C$502,C490,'JUNE (물량흐름)'!$Y$13:$Y$502)</f>
        <v>3250</v>
      </c>
      <c r="Q490" s="6">
        <f t="shared" si="131"/>
        <v>35622964</v>
      </c>
      <c r="R490" s="6">
        <f>IF(ISERROR(VLOOKUP(#REF!,'WIP(재공품)'!$B$12:$AB$38,13,0)),0,VLOOKUP(#REF!,'WIP(재공품)'!$B$12:$AB$38,13,0))</f>
        <v>0</v>
      </c>
      <c r="S490" s="6">
        <f>IF(ISERROR(VLOOKUP(#REF!,'WIP(재공품)'!$B$12:$AB$38,10,0)),0,VLOOKUP(#REF!,'WIP(재공품)'!$B$12:$AB$38,10,0))</f>
        <v>0</v>
      </c>
      <c r="T490" s="6">
        <f>SUMIF('JUNE (물량흐름)'!$C$13:$C$502,'Overhead exp(제조경비)'!C490,'JUNE (물량흐름)'!$Y$13:$Y$502)</f>
        <v>0</v>
      </c>
      <c r="U490" s="6">
        <f t="shared" si="127"/>
        <v>0</v>
      </c>
      <c r="V490" s="6">
        <f>ROUND(SUMIF('JUNE (물량흐름)'!$C$13:$C$502,'Overhead exp(제조경비)'!C490,'JUNE (물량흐름)'!$N$13:$N$502),0)</f>
        <v>0</v>
      </c>
      <c r="W490" s="6">
        <f>ROUND(SUMIF('JUNE (물량흐름)'!$C$13:$C$502,'Overhead exp(제조경비)'!C490,'JUNE (물량흐름)'!$O$13:$O$502),0)</f>
        <v>0</v>
      </c>
      <c r="X490" s="6">
        <f>ROUND(SUMIF('JUNE (물량흐름)'!$C$13:$C$502,'Overhead exp(제조경비)'!C490,'JUNE (물량흐름)'!$P$13:$P$502),0)</f>
        <v>0</v>
      </c>
      <c r="Y490" s="6">
        <f t="shared" si="139"/>
        <v>0</v>
      </c>
      <c r="Z490" s="6">
        <f t="shared" si="137"/>
        <v>0</v>
      </c>
      <c r="AA490" s="6">
        <f t="shared" si="132"/>
        <v>0</v>
      </c>
      <c r="AB490" s="391">
        <f t="shared" si="138"/>
        <v>0</v>
      </c>
      <c r="AC490" s="391">
        <f t="shared" si="140"/>
        <v>0</v>
      </c>
    </row>
    <row r="491" spans="1:29" s="390" customFormat="1" ht="24" customHeight="1">
      <c r="A491" s="474">
        <v>502</v>
      </c>
      <c r="B491" s="20" t="str">
        <f>IFERROR(VLOOKUP(A491,'JUNE (물량흐름)'!$A$13:$C$502,2,0),0)</f>
        <v>NORDSTROM</v>
      </c>
      <c r="C491" s="272" t="str">
        <f>VLOOKUP(A491,'JUNE (물량흐름)'!$A$13:$C$502,3,0)</f>
        <v>TL298630MI</v>
      </c>
      <c r="D491" s="6">
        <f>VLOOKUP(C491,'WIP(재공품)'!$B$12:$E$493,4,0)</f>
        <v>43082.5</v>
      </c>
      <c r="E491" s="6">
        <f>IFERROR(VLOOKUP(C491,O.B.JUNE!$AI$7:$AJ$448,2,0),0)</f>
        <v>0</v>
      </c>
      <c r="F491" s="6">
        <f>IFERROR(VLOOKUP(C491,O.B.JUNE!$AI$7:$AK$448,3,0),0)</f>
        <v>0</v>
      </c>
      <c r="G491" s="6">
        <f>IFERROR(VLOOKUP(C491,O.B.JUNE!$AI$7:$AL$448,4,0),0)</f>
        <v>0</v>
      </c>
      <c r="H491" s="6">
        <f t="shared" si="133"/>
        <v>0</v>
      </c>
      <c r="I491" s="6">
        <f>IFERROR(VLOOKUP(C491,O.B.JUNE!$AI$7:$AN$448,6,0),0)</f>
        <v>0</v>
      </c>
      <c r="J491" s="6"/>
      <c r="K491" s="6">
        <f>IFERROR(VLOOKUP(C491,O.B.JUNE!$AI$7:$AO$448,7,0),0)</f>
        <v>0</v>
      </c>
      <c r="L491" s="6">
        <f>SUMIF('JUNE (물량흐름)'!$C$13:$C$488,'Overhead exp(제조경비)'!C491,'JUNE (물량흐름)'!$H$13:$H$493)+SUMIF('JUNE (물량흐름)'!$C$13:$C$493,'Overhead exp(제조경비)'!C491,'JUNE (물량흐름)'!$V$13:$V$493)</f>
        <v>6933</v>
      </c>
      <c r="M491" s="6">
        <f t="shared" si="134"/>
        <v>6933</v>
      </c>
      <c r="N491" s="6">
        <f t="shared" si="135"/>
        <v>298690973</v>
      </c>
      <c r="O491" s="6">
        <f t="shared" si="136"/>
        <v>180481008</v>
      </c>
      <c r="P491" s="6">
        <f>SUMIF('JUNE (물량흐름)'!$C$13:$C$502,C491,'JUNE (물량흐름)'!$T$13:$T$502)+SUMIF('JUNE (물량흐름)'!$C$13:$C$502,C491,'JUNE (물량흐름)'!$V$13:$V$502)+SUMIF('JUNE (물량흐름)'!$C$13:$C$502,C491,'JUNE (물량흐름)'!$U$13:$U$502)-SUMIF('JUNE (물량흐름)'!$C$13:$C$502,C491,'JUNE (물량흐름)'!$Y$13:$Y$502)</f>
        <v>6933</v>
      </c>
      <c r="Q491" s="6">
        <f t="shared" si="131"/>
        <v>180481008</v>
      </c>
      <c r="R491" s="6">
        <f>IF(ISERROR(VLOOKUP(#REF!,'WIP(재공품)'!$B$12:$AB$38,13,0)),0,VLOOKUP(#REF!,'WIP(재공품)'!$B$12:$AB$38,13,0))</f>
        <v>0</v>
      </c>
      <c r="S491" s="6">
        <f>IF(ISERROR(VLOOKUP(#REF!,'WIP(재공품)'!$B$12:$AB$38,10,0)),0,VLOOKUP(#REF!,'WIP(재공품)'!$B$12:$AB$38,10,0))</f>
        <v>0</v>
      </c>
      <c r="T491" s="6">
        <f>SUMIF('JUNE (물량흐름)'!$C$13:$C$502,'Overhead exp(제조경비)'!C491,'JUNE (물량흐름)'!$Y$13:$Y$502)</f>
        <v>0</v>
      </c>
      <c r="U491" s="6">
        <f t="shared" si="127"/>
        <v>0</v>
      </c>
      <c r="V491" s="6">
        <f>ROUND(SUMIF('JUNE (물량흐름)'!$C$13:$C$502,'Overhead exp(제조경비)'!C491,'JUNE (물량흐름)'!$N$13:$N$502),0)</f>
        <v>0</v>
      </c>
      <c r="W491" s="6">
        <f>ROUND(SUMIF('JUNE (물량흐름)'!$C$13:$C$502,'Overhead exp(제조경비)'!C491,'JUNE (물량흐름)'!$O$13:$O$502),0)</f>
        <v>0</v>
      </c>
      <c r="X491" s="6">
        <f>ROUND(SUMIF('JUNE (물량흐름)'!$C$13:$C$502,'Overhead exp(제조경비)'!C491,'JUNE (물량흐름)'!$P$13:$P$502),0)</f>
        <v>0</v>
      </c>
      <c r="Y491" s="6">
        <f t="shared" si="139"/>
        <v>0</v>
      </c>
      <c r="Z491" s="6">
        <f t="shared" si="137"/>
        <v>0</v>
      </c>
      <c r="AA491" s="6">
        <f t="shared" si="132"/>
        <v>0</v>
      </c>
      <c r="AB491" s="391">
        <f t="shared" si="138"/>
        <v>0</v>
      </c>
      <c r="AC491" s="391">
        <f t="shared" si="140"/>
        <v>0</v>
      </c>
    </row>
    <row r="492" spans="1:29" s="390" customFormat="1" ht="24" customHeight="1">
      <c r="A492" s="474">
        <v>503</v>
      </c>
      <c r="B492" s="20" t="str">
        <f>IFERROR(VLOOKUP(A492,'JUNE (물량흐름)'!$A$13:$C$502,2,0),0)</f>
        <v xml:space="preserve">TALBOTS </v>
      </c>
      <c r="C492" s="272">
        <f>VLOOKUP(A492,'JUNE (물량흐름)'!$A$13:$C$502,3,0)</f>
        <v>183034537</v>
      </c>
      <c r="D492" s="6">
        <f>VLOOKUP(C492,'WIP(재공품)'!$B$12:$E$493,4,0)</f>
        <v>58630.5</v>
      </c>
      <c r="E492" s="6">
        <f>IFERROR(VLOOKUP(C492,O.B.JUNE!$AI$7:$AJ$448,2,0),0)</f>
        <v>0</v>
      </c>
      <c r="F492" s="6">
        <f>IFERROR(VLOOKUP(C492,O.B.JUNE!$AI$7:$AK$448,3,0),0)</f>
        <v>0</v>
      </c>
      <c r="G492" s="6">
        <f>IFERROR(VLOOKUP(C492,O.B.JUNE!$AI$7:$AL$448,4,0),0)</f>
        <v>0</v>
      </c>
      <c r="H492" s="6">
        <f t="shared" si="133"/>
        <v>0</v>
      </c>
      <c r="I492" s="6">
        <f>IFERROR(VLOOKUP(C492,O.B.JUNE!$AI$7:$AN$448,6,0),0)</f>
        <v>0</v>
      </c>
      <c r="J492" s="6"/>
      <c r="K492" s="6">
        <f>IFERROR(VLOOKUP(C492,O.B.JUNE!$AI$7:$AO$448,7,0),0)</f>
        <v>0</v>
      </c>
      <c r="L492" s="6">
        <f>SUMIF('JUNE (물량흐름)'!$C$13:$C$488,'Overhead exp(제조경비)'!C492,'JUNE (물량흐름)'!$H$13:$H$493)+SUMIF('JUNE (물량흐름)'!$C$13:$C$493,'Overhead exp(제조경비)'!C492,'JUNE (물량흐름)'!$V$13:$V$493)</f>
        <v>17819</v>
      </c>
      <c r="M492" s="6">
        <f t="shared" si="134"/>
        <v>17819</v>
      </c>
      <c r="N492" s="6">
        <f t="shared" si="135"/>
        <v>1044736880</v>
      </c>
      <c r="O492" s="6">
        <f t="shared" si="136"/>
        <v>631271725</v>
      </c>
      <c r="P492" s="6">
        <f>SUMIF('JUNE (물량흐름)'!$C$13:$C$502,C492,'JUNE (물량흐름)'!$T$13:$T$502)+SUMIF('JUNE (물량흐름)'!$C$13:$C$502,C492,'JUNE (물량흐름)'!$V$13:$V$502)+SUMIF('JUNE (물량흐름)'!$C$13:$C$502,C492,'JUNE (물량흐름)'!$U$13:$U$502)-SUMIF('JUNE (물량흐름)'!$C$13:$C$502,C492,'JUNE (물량흐름)'!$Y$13:$Y$502)</f>
        <v>17819</v>
      </c>
      <c r="Q492" s="6">
        <f t="shared" si="131"/>
        <v>631271725</v>
      </c>
      <c r="R492" s="6">
        <f>IF(ISERROR(VLOOKUP(#REF!,'WIP(재공품)'!$B$12:$AB$38,13,0)),0,VLOOKUP(#REF!,'WIP(재공품)'!$B$12:$AB$38,13,0))</f>
        <v>0</v>
      </c>
      <c r="S492" s="6">
        <f>IF(ISERROR(VLOOKUP(#REF!,'WIP(재공품)'!$B$12:$AB$38,10,0)),0,VLOOKUP(#REF!,'WIP(재공품)'!$B$12:$AB$38,10,0))</f>
        <v>0</v>
      </c>
      <c r="T492" s="6">
        <f>SUMIF('JUNE (물량흐름)'!$C$13:$C$502,'Overhead exp(제조경비)'!C492,'JUNE (물량흐름)'!$Y$13:$Y$502)</f>
        <v>0</v>
      </c>
      <c r="U492" s="6">
        <f t="shared" si="127"/>
        <v>0</v>
      </c>
      <c r="V492" s="6">
        <f>ROUND(SUMIF('JUNE (물량흐름)'!$C$13:$C$502,'Overhead exp(제조경비)'!C492,'JUNE (물량흐름)'!$N$13:$N$502),0)</f>
        <v>0</v>
      </c>
      <c r="W492" s="6">
        <f>ROUND(SUMIF('JUNE (물량흐름)'!$C$13:$C$502,'Overhead exp(제조경비)'!C492,'JUNE (물량흐름)'!$O$13:$O$502),0)</f>
        <v>0</v>
      </c>
      <c r="X492" s="6">
        <f>ROUND(SUMIF('JUNE (물량흐름)'!$C$13:$C$502,'Overhead exp(제조경비)'!C492,'JUNE (물량흐름)'!$P$13:$P$502),0)</f>
        <v>0</v>
      </c>
      <c r="Y492" s="6">
        <f t="shared" si="139"/>
        <v>0</v>
      </c>
      <c r="Z492" s="6">
        <f t="shared" si="137"/>
        <v>0</v>
      </c>
      <c r="AA492" s="6">
        <f t="shared" si="132"/>
        <v>0</v>
      </c>
      <c r="AB492" s="391">
        <f t="shared" si="138"/>
        <v>0</v>
      </c>
      <c r="AC492" s="391">
        <f t="shared" si="140"/>
        <v>0</v>
      </c>
    </row>
    <row r="493" spans="1:29" s="196" customFormat="1">
      <c r="A493" s="626" t="s">
        <v>0</v>
      </c>
      <c r="B493" s="626"/>
      <c r="C493" s="626"/>
      <c r="D493" s="627"/>
      <c r="E493" s="26">
        <f t="shared" ref="E493:N493" si="141">SUBTOTAL(9,E12:E492)</f>
        <v>29157</v>
      </c>
      <c r="F493" s="26">
        <f t="shared" si="141"/>
        <v>77476</v>
      </c>
      <c r="G493" s="26">
        <f t="shared" si="141"/>
        <v>183906</v>
      </c>
      <c r="H493" s="26">
        <f t="shared" si="141"/>
        <v>290539</v>
      </c>
      <c r="I493" s="26">
        <f t="shared" si="141"/>
        <v>191701</v>
      </c>
      <c r="J493" s="26">
        <f t="shared" si="141"/>
        <v>0</v>
      </c>
      <c r="K493" s="26">
        <f t="shared" si="141"/>
        <v>5142904789</v>
      </c>
      <c r="L493" s="26">
        <f t="shared" si="141"/>
        <v>482727</v>
      </c>
      <c r="M493" s="26">
        <f t="shared" si="141"/>
        <v>453427</v>
      </c>
      <c r="N493" s="26">
        <f t="shared" si="141"/>
        <v>21931451051</v>
      </c>
      <c r="O493" s="29">
        <f>'COGS(매출원가+재공품+완성제품)'!D8</f>
        <v>13251858147</v>
      </c>
      <c r="P493" s="26">
        <f>SUBTOTAL(9,P12:P492)</f>
        <v>445561</v>
      </c>
      <c r="Q493" s="26">
        <f t="shared" ref="Q493:AA493" si="142">SUBTOTAL(9,Q12:Q492)</f>
        <v>12031157198</v>
      </c>
      <c r="R493" s="26">
        <f t="shared" si="142"/>
        <v>0</v>
      </c>
      <c r="S493" s="26">
        <f t="shared" si="142"/>
        <v>0</v>
      </c>
      <c r="T493" s="26">
        <f t="shared" si="142"/>
        <v>605</v>
      </c>
      <c r="U493" s="26">
        <f t="shared" si="142"/>
        <v>18596975</v>
      </c>
      <c r="V493" s="26">
        <f t="shared" si="142"/>
        <v>35663</v>
      </c>
      <c r="W493" s="26">
        <f t="shared" si="142"/>
        <v>90847</v>
      </c>
      <c r="X493" s="26">
        <f t="shared" si="142"/>
        <v>200590</v>
      </c>
      <c r="Y493" s="26">
        <f t="shared" si="142"/>
        <v>327100</v>
      </c>
      <c r="Z493" s="26">
        <f t="shared" si="142"/>
        <v>213036</v>
      </c>
      <c r="AA493" s="26">
        <f t="shared" si="142"/>
        <v>6345008754</v>
      </c>
      <c r="AB493" s="304">
        <f>SUBTOTAL(9,AB12:AB259)</f>
        <v>-2</v>
      </c>
    </row>
  </sheetData>
  <autoFilter ref="A11:AE492" xr:uid="{00000000-0009-0000-0000-000008000000}"/>
  <mergeCells count="25">
    <mergeCell ref="AA8:AA10"/>
    <mergeCell ref="A8:A10"/>
    <mergeCell ref="B8:B10"/>
    <mergeCell ref="C8:C10"/>
    <mergeCell ref="J9:K9"/>
    <mergeCell ref="D8:D10"/>
    <mergeCell ref="I9:I10"/>
    <mergeCell ref="E8:K8"/>
    <mergeCell ref="E9:H9"/>
    <mergeCell ref="V8:Z8"/>
    <mergeCell ref="P8:U8"/>
    <mergeCell ref="L8:O8"/>
    <mergeCell ref="V9:Y9"/>
    <mergeCell ref="Z9:Z10"/>
    <mergeCell ref="P9:P10"/>
    <mergeCell ref="A493:D493"/>
    <mergeCell ref="P5:Q5"/>
    <mergeCell ref="Q9:Q10"/>
    <mergeCell ref="T9:T10"/>
    <mergeCell ref="L9:L10"/>
    <mergeCell ref="M9:M10"/>
    <mergeCell ref="N9:N10"/>
    <mergeCell ref="O9:O10"/>
    <mergeCell ref="R9:R10"/>
    <mergeCell ref="S9:S10"/>
  </mergeCells>
  <phoneticPr fontId="0" type="noConversion"/>
  <conditionalFormatting sqref="F9:K10 W10:Y10 A7 A5 U8:V10 D8:E10 Q8:T8 P8:P9 O9:P9 L8:O10 AB8:XFD12 V8:AA8 AB6:XFD6 B6:H6 A494:HP65323 AF13:XFD70 A11:AA11 A493 V16:X16 V26:X26 V37:X38 V55:X55 V62:X63 V66:X66 V80:X80 V107:X107 V109:X109 V136:X136 V139:X139 V147:X148 V150:X152 V158:X158 V160:X160 V168:X168 V182:X191 V194:X194 V199:X203 V205:X206 V208:X211 V213:X213 V227:X227 V229:X231 V235:X235 V239:X239 V242:X242 V245:X245 V249:X249 V266:X266 V270:X271 V275:X275 V291:X291 V293:X293 V299:X299 V302:X303 V306:X306 V309:X311 V313:X313 V315:X316 V319:X320 V329:X329 V332:X332 V346:X346 V350:X350 V355:X356 V358:X358 V360:X360 V365:X372 V374:X384 V388:X388 V390:X390 V13:Z15 V333:Z345 V307:Z308 V292:Z292 V212:Z212 V140:Z146 V385:Z387 V373:Z373 V361:Z364 V359:Z359 V357:Z357 V351:Z354 V347:Z349 V330:Z331 V321:Z328 V317:Z318 V314:Z314 V312:Z312 V304:Z305 V300:Z301 V294:Z298 V272:Z274 V267:Z269 V250:Z265 V246:Z248 V243:Z244 V240:Z241 V236:Z238 V232:Z234 V228:Z228 V214:Z226 V207:Z207 V204:Z204 V195:Z198 V192:Z193 V169:Z181 V161:Z167 V159:Z159 V153:Z157 V149:Z149 V137:Z138 V110:Z135 V108:Z108 V81:Z106 V67:Z79 V64:Z65 V56:Z61 V39:Z54 V27:Z36 V17:Z25 E493:HP493 V389:Z389 V276:Z290 Q12:AA12 V391:Z492 AD193:HP492 AF71:HP192 AD13:AE192 B12:P492 Q13:U492 AA13:AC492">
    <cfRule type="cellIs" dxfId="9" priority="245" stopIfTrue="1" operator="lessThan">
      <formula>0</formula>
    </cfRule>
  </conditionalFormatting>
  <conditionalFormatting sqref="Y16:Z16">
    <cfRule type="cellIs" dxfId="8" priority="15" stopIfTrue="1" operator="lessThan">
      <formula>0</formula>
    </cfRule>
  </conditionalFormatting>
  <conditionalFormatting sqref="Y26:Z26 Y37:Z38 Y55:Z55 Y62:Z63 Y66:Z66 Y80:Z80 Y107:Z107 Y109:Z109">
    <cfRule type="cellIs" dxfId="7" priority="11" stopIfTrue="1" operator="lessThan">
      <formula>0</formula>
    </cfRule>
  </conditionalFormatting>
  <conditionalFormatting sqref="Y136:Z136 Y139:Z139 Y147:Z148 Y150:Z152 Y158:Z158 Y160:Z160 Y168:Z168 Y182:Z191 Y194:Z194 Y199:Z203 Y205:Z206 Y208:Z211 Y213:Z213 Y227:Z227 Y229:Z231 Y235:Z235 Y239:Z239 Y242:Z242 Y245:Z245 Y249:Z249 Y266:Z266 Y270:Z271 Y275:Z275 Y291:Z291 Y293:Z293 Y299:Z299 Y302:Z303 Y306:Z306 Y309:Z311 Y313:Z313 Y315:Z316 Y319:Z320 Y329:Z329 Y332:Z332 Y346:Z346 Y350:Z350 Y355:Z356 Y358:Z358 Y360:Z360 Y365:Z372 Y374:Z384 Y388:Z388 Y390:Z390">
    <cfRule type="cellIs" dxfId="6" priority="4" stopIfTrue="1" operator="lessThan">
      <formula>0</formula>
    </cfRule>
  </conditionalFormatting>
  <conditionalFormatting sqref="Q6">
    <cfRule type="cellIs" dxfId="5" priority="2" stopIfTrue="1" operator="lessThan">
      <formula>0</formula>
    </cfRule>
  </conditionalFormatting>
  <printOptions horizontalCentered="1"/>
  <pageMargins left="0" right="0" top="0" bottom="0" header="0.2" footer="0.18"/>
  <pageSetup paperSize="8" scale="57" fitToHeight="0" orientation="landscape" r:id="rId1"/>
  <headerFooter alignWithMargins="0">
    <oddFooter>Page &amp;P of &amp;N</oddFooter>
  </headerFooter>
  <colBreaks count="1" manualBreakCount="1">
    <brk id="27" max="367" man="1"/>
  </colBreaks>
  <ignoredErrors>
    <ignoredError sqref="O493" formula="1"/>
  </ignoredError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O379"/>
  <sheetViews>
    <sheetView zoomScaleNormal="100" workbookViewId="0">
      <selection activeCell="N30" sqref="N30"/>
    </sheetView>
  </sheetViews>
  <sheetFormatPr defaultColWidth="9.140625" defaultRowHeight="12.75"/>
  <cols>
    <col min="1" max="1" width="7.7109375" style="328" bestFit="1" customWidth="1"/>
    <col min="2" max="2" width="15.28515625" style="4" bestFit="1" customWidth="1"/>
    <col min="3" max="3" width="20.85546875" style="277" customWidth="1"/>
    <col min="4" max="4" width="12.42578125" style="328" customWidth="1"/>
    <col min="5" max="5" width="11.28515625" style="328" bestFit="1" customWidth="1"/>
    <col min="6" max="9" width="11.28515625" style="328" customWidth="1"/>
    <col min="10" max="10" width="10.28515625" style="328" bestFit="1" customWidth="1"/>
    <col min="11" max="11" width="11.28515625" style="328" bestFit="1" customWidth="1"/>
    <col min="12" max="12" width="11.28515625" style="328" customWidth="1"/>
    <col min="13" max="13" width="9.140625" style="4"/>
    <col min="14" max="14" width="16.85546875" style="277" customWidth="1"/>
    <col min="15" max="16" width="9.28515625" style="328" bestFit="1" customWidth="1"/>
    <col min="17" max="18" width="10.28515625" style="328" bestFit="1" customWidth="1"/>
    <col min="19" max="19" width="15" style="328" bestFit="1" customWidth="1"/>
    <col min="20" max="20" width="15" style="4" customWidth="1"/>
    <col min="21" max="21" width="13.28515625" style="4" customWidth="1"/>
    <col min="22" max="22" width="22" style="277" customWidth="1"/>
    <col min="23" max="23" width="10.28515625" style="328" bestFit="1" customWidth="1"/>
    <col min="24" max="24" width="11.28515625" style="328" bestFit="1" customWidth="1"/>
    <col min="25" max="25" width="15" style="328" bestFit="1" customWidth="1"/>
    <col min="26" max="26" width="9.140625" style="4"/>
    <col min="27" max="27" width="16.85546875" style="277" customWidth="1"/>
    <col min="28" max="29" width="10.28515625" style="328" bestFit="1" customWidth="1"/>
    <col min="30" max="31" width="10.28515625" style="328" customWidth="1"/>
    <col min="32" max="32" width="14.85546875" style="328" customWidth="1"/>
    <col min="33" max="33" width="15" style="328" bestFit="1" customWidth="1"/>
    <col min="34" max="34" width="9.140625" style="4"/>
    <col min="35" max="35" width="17.42578125" style="277" customWidth="1"/>
    <col min="36" max="37" width="9.28515625" style="328" bestFit="1" customWidth="1"/>
    <col min="38" max="40" width="10.28515625" style="328" bestFit="1" customWidth="1"/>
    <col min="41" max="41" width="15" style="328" bestFit="1" customWidth="1"/>
    <col min="42" max="16384" width="9.140625" style="207"/>
  </cols>
  <sheetData>
    <row r="1" spans="1:41">
      <c r="C1" s="275" t="s">
        <v>99</v>
      </c>
      <c r="D1" s="329"/>
      <c r="E1" s="329"/>
      <c r="F1" s="329"/>
      <c r="G1" s="329"/>
      <c r="H1" s="329"/>
      <c r="I1" s="329"/>
      <c r="J1" s="329"/>
      <c r="K1" s="329"/>
      <c r="L1" s="329"/>
    </row>
    <row r="2" spans="1:41">
      <c r="C2" s="276" t="s">
        <v>113</v>
      </c>
      <c r="D2" s="329"/>
      <c r="E2" s="329"/>
      <c r="F2" s="329"/>
      <c r="G2" s="329"/>
      <c r="H2" s="329"/>
      <c r="I2" s="329"/>
      <c r="J2" s="329"/>
      <c r="K2" s="329"/>
      <c r="L2" s="329"/>
      <c r="AC2" s="328">
        <v>69</v>
      </c>
    </row>
    <row r="3" spans="1:41" ht="24" customHeight="1">
      <c r="M3" s="5"/>
    </row>
    <row r="4" spans="1:41" ht="23.25" customHeight="1">
      <c r="D4" s="328">
        <f>SUBTOTAL(9,D7:D379)</f>
        <v>1339788.3099999998</v>
      </c>
      <c r="E4" s="328">
        <f t="shared" ref="E4:AO4" si="0">SUBTOTAL(9,E7:E379)</f>
        <v>256605</v>
      </c>
      <c r="F4" s="328">
        <f t="shared" si="0"/>
        <v>24013</v>
      </c>
      <c r="G4" s="328">
        <f t="shared" si="0"/>
        <v>49916</v>
      </c>
      <c r="H4" s="328">
        <f t="shared" si="0"/>
        <v>182676</v>
      </c>
      <c r="I4" s="328">
        <f t="shared" si="0"/>
        <v>196044</v>
      </c>
      <c r="J4" s="328">
        <f t="shared" si="0"/>
        <v>26278</v>
      </c>
      <c r="K4" s="328">
        <f t="shared" si="0"/>
        <v>222322</v>
      </c>
      <c r="L4" s="328">
        <f t="shared" si="0"/>
        <v>0</v>
      </c>
      <c r="M4" s="328">
        <f t="shared" si="0"/>
        <v>54713</v>
      </c>
      <c r="N4" s="328">
        <f t="shared" si="0"/>
        <v>0</v>
      </c>
      <c r="O4" s="328">
        <f t="shared" si="0"/>
        <v>24013</v>
      </c>
      <c r="P4" s="328">
        <f t="shared" si="0"/>
        <v>49916</v>
      </c>
      <c r="Q4" s="328">
        <f t="shared" si="0"/>
        <v>182676</v>
      </c>
      <c r="R4" s="328">
        <f t="shared" si="0"/>
        <v>256605</v>
      </c>
      <c r="S4" s="328">
        <f t="shared" si="0"/>
        <v>6488084807</v>
      </c>
      <c r="T4" s="328">
        <f t="shared" si="0"/>
        <v>794.82000000000039</v>
      </c>
      <c r="U4" s="328">
        <f t="shared" si="0"/>
        <v>0</v>
      </c>
      <c r="V4" s="328">
        <f t="shared" si="0"/>
        <v>0</v>
      </c>
      <c r="W4" s="328">
        <f t="shared" si="0"/>
        <v>222322</v>
      </c>
      <c r="X4" s="328">
        <f t="shared" si="0"/>
        <v>12252120.79880197</v>
      </c>
      <c r="Y4" s="328">
        <f>SUBTOTAL(9,Y7:Y379)</f>
        <v>8171222232</v>
      </c>
      <c r="Z4" s="328">
        <f t="shared" si="0"/>
        <v>0</v>
      </c>
      <c r="AA4" s="328">
        <f t="shared" si="0"/>
        <v>0</v>
      </c>
      <c r="AB4" s="328">
        <f t="shared" si="0"/>
        <v>24013</v>
      </c>
      <c r="AC4" s="328">
        <f t="shared" si="0"/>
        <v>49916</v>
      </c>
      <c r="AD4" s="328">
        <f t="shared" si="0"/>
        <v>182676</v>
      </c>
      <c r="AE4" s="328">
        <f t="shared" si="0"/>
        <v>256605</v>
      </c>
      <c r="AF4" s="328">
        <f>SUBTOTAL(9,AF7:AF379)</f>
        <v>175906</v>
      </c>
      <c r="AG4" s="328">
        <f t="shared" si="0"/>
        <v>2638347708</v>
      </c>
      <c r="AH4" s="328">
        <f t="shared" si="0"/>
        <v>0</v>
      </c>
      <c r="AI4" s="328">
        <f t="shared" si="0"/>
        <v>0</v>
      </c>
      <c r="AJ4" s="328">
        <f t="shared" si="0"/>
        <v>24013</v>
      </c>
      <c r="AK4" s="328">
        <f t="shared" si="0"/>
        <v>49916</v>
      </c>
      <c r="AL4" s="328">
        <f t="shared" si="0"/>
        <v>182676</v>
      </c>
      <c r="AM4" s="328">
        <f t="shared" si="0"/>
        <v>256605</v>
      </c>
      <c r="AN4" s="328">
        <f t="shared" si="0"/>
        <v>175906</v>
      </c>
      <c r="AO4" s="328">
        <f t="shared" si="0"/>
        <v>3849737099</v>
      </c>
    </row>
    <row r="5" spans="1:41" ht="20.25" customHeight="1">
      <c r="C5" s="539" t="s">
        <v>131</v>
      </c>
      <c r="D5" s="539"/>
      <c r="E5" s="539"/>
      <c r="F5" s="539"/>
      <c r="G5" s="539"/>
      <c r="H5" s="539"/>
      <c r="I5" s="539"/>
      <c r="J5" s="539"/>
      <c r="K5" s="539"/>
      <c r="L5" s="337"/>
      <c r="N5" s="539" t="s">
        <v>110</v>
      </c>
      <c r="O5" s="539"/>
      <c r="P5" s="539"/>
      <c r="Q5" s="539"/>
      <c r="R5" s="539"/>
      <c r="S5" s="539"/>
      <c r="T5" s="337"/>
      <c r="V5" s="539" t="s">
        <v>127</v>
      </c>
      <c r="W5" s="539"/>
      <c r="X5" s="539"/>
      <c r="Y5" s="539"/>
      <c r="AA5" s="539" t="s">
        <v>154</v>
      </c>
      <c r="AB5" s="539"/>
      <c r="AC5" s="539"/>
      <c r="AD5" s="539"/>
      <c r="AE5" s="539"/>
      <c r="AF5" s="539"/>
      <c r="AG5" s="539"/>
      <c r="AI5" s="539" t="s">
        <v>155</v>
      </c>
      <c r="AJ5" s="539"/>
      <c r="AK5" s="539"/>
      <c r="AL5" s="539"/>
      <c r="AM5" s="539"/>
      <c r="AN5" s="539"/>
      <c r="AO5" s="539"/>
    </row>
    <row r="6" spans="1:41" s="210" customFormat="1">
      <c r="A6" s="330"/>
      <c r="B6" s="2" t="s">
        <v>104</v>
      </c>
      <c r="C6" s="278" t="s">
        <v>103</v>
      </c>
      <c r="D6" s="331" t="s">
        <v>97</v>
      </c>
      <c r="E6" s="331" t="s">
        <v>153</v>
      </c>
      <c r="F6" s="331"/>
      <c r="G6" s="331"/>
      <c r="H6" s="331"/>
      <c r="I6" s="331" t="s">
        <v>158</v>
      </c>
      <c r="J6" s="331" t="s">
        <v>156</v>
      </c>
      <c r="K6" s="331" t="s">
        <v>159</v>
      </c>
      <c r="L6" s="331"/>
      <c r="M6" s="2"/>
      <c r="N6" s="280" t="s">
        <v>103</v>
      </c>
      <c r="O6" s="332">
        <v>0.2</v>
      </c>
      <c r="P6" s="331">
        <v>0.5</v>
      </c>
      <c r="Q6" s="331">
        <v>0.8</v>
      </c>
      <c r="R6" s="331" t="s">
        <v>0</v>
      </c>
      <c r="S6" s="331" t="s">
        <v>132</v>
      </c>
      <c r="T6" s="162" t="s">
        <v>168</v>
      </c>
      <c r="U6" s="2"/>
      <c r="V6" s="278" t="s">
        <v>103</v>
      </c>
      <c r="W6" s="331" t="s">
        <v>131</v>
      </c>
      <c r="X6" s="331" t="s">
        <v>130</v>
      </c>
      <c r="Y6" s="331" t="s">
        <v>132</v>
      </c>
      <c r="Z6" s="2"/>
      <c r="AA6" s="278" t="s">
        <v>103</v>
      </c>
      <c r="AB6" s="332">
        <v>0.2</v>
      </c>
      <c r="AC6" s="331">
        <v>0.5</v>
      </c>
      <c r="AD6" s="331">
        <v>0.8</v>
      </c>
      <c r="AE6" s="331" t="s">
        <v>0</v>
      </c>
      <c r="AF6" s="331" t="s">
        <v>160</v>
      </c>
      <c r="AG6" s="331" t="s">
        <v>132</v>
      </c>
      <c r="AH6" s="2"/>
      <c r="AI6" s="278" t="s">
        <v>103</v>
      </c>
      <c r="AJ6" s="332">
        <v>0.2</v>
      </c>
      <c r="AK6" s="331">
        <v>0.5</v>
      </c>
      <c r="AL6" s="331">
        <v>0.8</v>
      </c>
      <c r="AM6" s="331" t="s">
        <v>0</v>
      </c>
      <c r="AN6" s="331" t="s">
        <v>160</v>
      </c>
      <c r="AO6" s="331" t="s">
        <v>132</v>
      </c>
    </row>
    <row r="7" spans="1:41" s="211" customFormat="1">
      <c r="A7" s="333">
        <f>SUBTOTAL(3,$B$7:B7)</f>
        <v>1</v>
      </c>
      <c r="B7" s="169" t="s">
        <v>161</v>
      </c>
      <c r="C7" s="279" t="s">
        <v>300</v>
      </c>
      <c r="D7" s="333">
        <v>7312</v>
      </c>
      <c r="E7" s="333">
        <v>1207</v>
      </c>
      <c r="F7" s="333">
        <v>0</v>
      </c>
      <c r="G7" s="333">
        <v>111</v>
      </c>
      <c r="H7" s="333">
        <v>1096</v>
      </c>
      <c r="I7" s="333">
        <v>1056</v>
      </c>
      <c r="J7" s="333">
        <v>124</v>
      </c>
      <c r="K7" s="333">
        <v>1180</v>
      </c>
      <c r="L7" s="333"/>
      <c r="M7" s="165">
        <v>3</v>
      </c>
      <c r="N7" s="345" t="s">
        <v>300</v>
      </c>
      <c r="O7" s="333">
        <v>0</v>
      </c>
      <c r="P7" s="333">
        <v>111</v>
      </c>
      <c r="Q7" s="333">
        <v>1096</v>
      </c>
      <c r="R7" s="333">
        <v>1207</v>
      </c>
      <c r="S7" s="333">
        <v>42681514</v>
      </c>
      <c r="T7" s="334">
        <v>2.0699999999999998</v>
      </c>
      <c r="U7" s="165"/>
      <c r="V7" s="279" t="s">
        <v>300</v>
      </c>
      <c r="W7" s="333">
        <v>1180</v>
      </c>
      <c r="X7" s="333">
        <v>45822.68813559322</v>
      </c>
      <c r="Y7" s="333">
        <v>54070772</v>
      </c>
      <c r="Z7" s="169"/>
      <c r="AA7" s="279" t="s">
        <v>300</v>
      </c>
      <c r="AB7" s="333">
        <v>0</v>
      </c>
      <c r="AC7" s="333">
        <v>111</v>
      </c>
      <c r="AD7" s="333">
        <v>1096</v>
      </c>
      <c r="AE7" s="333">
        <v>1207</v>
      </c>
      <c r="AF7" s="333">
        <v>932</v>
      </c>
      <c r="AG7" s="333">
        <v>17891255</v>
      </c>
      <c r="AH7" s="169"/>
      <c r="AI7" s="279" t="s">
        <v>300</v>
      </c>
      <c r="AJ7" s="333">
        <v>0</v>
      </c>
      <c r="AK7" s="333">
        <v>111</v>
      </c>
      <c r="AL7" s="333">
        <v>1096</v>
      </c>
      <c r="AM7" s="333">
        <v>1207</v>
      </c>
      <c r="AN7" s="333">
        <v>932</v>
      </c>
      <c r="AO7" s="333">
        <v>24790259</v>
      </c>
    </row>
    <row r="8" spans="1:41" s="211" customFormat="1">
      <c r="A8" s="333">
        <f>SUBTOTAL(3,$B$7:B8)</f>
        <v>2</v>
      </c>
      <c r="B8" s="169" t="s">
        <v>161</v>
      </c>
      <c r="C8" s="279" t="s">
        <v>301</v>
      </c>
      <c r="D8" s="333">
        <v>0</v>
      </c>
      <c r="E8" s="333">
        <v>473</v>
      </c>
      <c r="F8" s="333">
        <v>0</v>
      </c>
      <c r="G8" s="333">
        <v>0</v>
      </c>
      <c r="H8" s="333">
        <v>473</v>
      </c>
      <c r="I8" s="333">
        <v>0</v>
      </c>
      <c r="J8" s="333">
        <v>0</v>
      </c>
      <c r="K8" s="333">
        <v>0</v>
      </c>
      <c r="L8" s="333"/>
      <c r="M8" s="165">
        <v>4</v>
      </c>
      <c r="N8" s="345" t="s">
        <v>301</v>
      </c>
      <c r="O8" s="333">
        <v>0</v>
      </c>
      <c r="P8" s="333">
        <v>0</v>
      </c>
      <c r="Q8" s="333">
        <v>473</v>
      </c>
      <c r="R8" s="333">
        <v>473</v>
      </c>
      <c r="S8" s="333">
        <v>14152578</v>
      </c>
      <c r="T8" s="334">
        <v>1.8</v>
      </c>
      <c r="U8" s="165"/>
      <c r="V8" s="279" t="s">
        <v>301</v>
      </c>
      <c r="W8" s="333">
        <v>0</v>
      </c>
      <c r="X8" s="333">
        <v>0</v>
      </c>
      <c r="Y8" s="333">
        <v>0</v>
      </c>
      <c r="Z8" s="169"/>
      <c r="AA8" s="279" t="s">
        <v>301</v>
      </c>
      <c r="AB8" s="333">
        <v>0</v>
      </c>
      <c r="AC8" s="333">
        <v>0</v>
      </c>
      <c r="AD8" s="333">
        <v>473</v>
      </c>
      <c r="AE8" s="333">
        <v>473</v>
      </c>
      <c r="AF8" s="333">
        <v>378</v>
      </c>
      <c r="AG8" s="333">
        <v>5570975</v>
      </c>
      <c r="AH8" s="169"/>
      <c r="AI8" s="279" t="s">
        <v>301</v>
      </c>
      <c r="AJ8" s="333">
        <v>0</v>
      </c>
      <c r="AK8" s="333">
        <v>0</v>
      </c>
      <c r="AL8" s="333">
        <v>473</v>
      </c>
      <c r="AM8" s="333">
        <v>473</v>
      </c>
      <c r="AN8" s="333">
        <v>378</v>
      </c>
      <c r="AO8" s="333">
        <v>8581603</v>
      </c>
    </row>
    <row r="9" spans="1:41">
      <c r="A9" s="333">
        <f>SUBTOTAL(3,$B$7:B9)</f>
        <v>3</v>
      </c>
      <c r="B9" s="3" t="s">
        <v>161</v>
      </c>
      <c r="C9" s="275" t="s">
        <v>302</v>
      </c>
      <c r="D9" s="329">
        <v>0</v>
      </c>
      <c r="E9" s="329">
        <v>0</v>
      </c>
      <c r="F9" s="329">
        <v>0</v>
      </c>
      <c r="G9" s="329">
        <v>0</v>
      </c>
      <c r="H9" s="329">
        <v>0</v>
      </c>
      <c r="I9" s="329">
        <v>0</v>
      </c>
      <c r="J9" s="329">
        <v>11</v>
      </c>
      <c r="K9" s="333">
        <v>11</v>
      </c>
      <c r="L9" s="333"/>
      <c r="M9" s="208">
        <v>6</v>
      </c>
      <c r="N9" s="345" t="s">
        <v>302</v>
      </c>
      <c r="O9" s="329">
        <v>0</v>
      </c>
      <c r="P9" s="329">
        <v>0</v>
      </c>
      <c r="Q9" s="329">
        <v>0</v>
      </c>
      <c r="R9" s="333">
        <v>0</v>
      </c>
      <c r="S9" s="333">
        <v>0</v>
      </c>
      <c r="T9" s="335">
        <v>3.4</v>
      </c>
      <c r="U9" s="208"/>
      <c r="V9" s="279" t="s">
        <v>302</v>
      </c>
      <c r="W9" s="329">
        <v>11</v>
      </c>
      <c r="X9" s="329">
        <v>24830.909090909092</v>
      </c>
      <c r="Y9" s="329">
        <v>273140</v>
      </c>
      <c r="Z9" s="3"/>
      <c r="AA9" s="279" t="s">
        <v>302</v>
      </c>
      <c r="AB9" s="329">
        <v>0</v>
      </c>
      <c r="AC9" s="329">
        <v>0</v>
      </c>
      <c r="AD9" s="329">
        <v>0</v>
      </c>
      <c r="AE9" s="329">
        <v>0</v>
      </c>
      <c r="AF9" s="329">
        <v>0</v>
      </c>
      <c r="AG9" s="329">
        <v>0</v>
      </c>
      <c r="AH9" s="3"/>
      <c r="AI9" s="279" t="s">
        <v>302</v>
      </c>
      <c r="AJ9" s="329">
        <v>0</v>
      </c>
      <c r="AK9" s="329">
        <v>0</v>
      </c>
      <c r="AL9" s="329">
        <v>0</v>
      </c>
      <c r="AM9" s="329">
        <v>0</v>
      </c>
      <c r="AN9" s="329">
        <v>0</v>
      </c>
      <c r="AO9" s="329">
        <v>0</v>
      </c>
    </row>
    <row r="10" spans="1:41">
      <c r="A10" s="333">
        <f>SUBTOTAL(3,$B$7:B10)</f>
        <v>4</v>
      </c>
      <c r="B10" s="3" t="s">
        <v>161</v>
      </c>
      <c r="C10" s="275" t="s">
        <v>303</v>
      </c>
      <c r="D10" s="329">
        <v>0</v>
      </c>
      <c r="E10" s="329">
        <v>0</v>
      </c>
      <c r="F10" s="329">
        <v>0</v>
      </c>
      <c r="G10" s="329">
        <v>0</v>
      </c>
      <c r="H10" s="329">
        <v>0</v>
      </c>
      <c r="I10" s="329">
        <v>0</v>
      </c>
      <c r="J10" s="329">
        <v>11</v>
      </c>
      <c r="K10" s="333">
        <v>11</v>
      </c>
      <c r="L10" s="333"/>
      <c r="M10" s="165">
        <v>7</v>
      </c>
      <c r="N10" s="345" t="s">
        <v>303</v>
      </c>
      <c r="O10" s="329">
        <v>0</v>
      </c>
      <c r="P10" s="329">
        <v>0</v>
      </c>
      <c r="Q10" s="329">
        <v>0</v>
      </c>
      <c r="R10" s="333">
        <v>0</v>
      </c>
      <c r="S10" s="333">
        <v>0</v>
      </c>
      <c r="T10" s="335">
        <v>2</v>
      </c>
      <c r="U10" s="208"/>
      <c r="V10" s="279" t="s">
        <v>303</v>
      </c>
      <c r="W10" s="329">
        <v>11</v>
      </c>
      <c r="X10" s="329">
        <v>17426.909090909092</v>
      </c>
      <c r="Y10" s="329">
        <v>191696</v>
      </c>
      <c r="Z10" s="3"/>
      <c r="AA10" s="279" t="s">
        <v>303</v>
      </c>
      <c r="AB10" s="329">
        <v>0</v>
      </c>
      <c r="AC10" s="329">
        <v>0</v>
      </c>
      <c r="AD10" s="329">
        <v>0</v>
      </c>
      <c r="AE10" s="329">
        <v>0</v>
      </c>
      <c r="AF10" s="329">
        <v>0</v>
      </c>
      <c r="AG10" s="329">
        <v>0</v>
      </c>
      <c r="AH10" s="3"/>
      <c r="AI10" s="279" t="s">
        <v>303</v>
      </c>
      <c r="AJ10" s="329">
        <v>0</v>
      </c>
      <c r="AK10" s="329">
        <v>0</v>
      </c>
      <c r="AL10" s="329">
        <v>0</v>
      </c>
      <c r="AM10" s="329">
        <v>0</v>
      </c>
      <c r="AN10" s="329">
        <v>0</v>
      </c>
      <c r="AO10" s="329">
        <v>0</v>
      </c>
    </row>
    <row r="11" spans="1:41" s="211" customFormat="1">
      <c r="A11" s="333">
        <f>SUBTOTAL(3,$B$7:B11)</f>
        <v>5</v>
      </c>
      <c r="B11" s="169" t="s">
        <v>161</v>
      </c>
      <c r="C11" s="279" t="s">
        <v>238</v>
      </c>
      <c r="D11" s="333">
        <v>3960</v>
      </c>
      <c r="E11" s="333">
        <v>438</v>
      </c>
      <c r="F11" s="333">
        <v>0</v>
      </c>
      <c r="G11" s="333">
        <v>123</v>
      </c>
      <c r="H11" s="333">
        <v>315</v>
      </c>
      <c r="I11" s="333">
        <v>3803</v>
      </c>
      <c r="J11" s="333">
        <v>0</v>
      </c>
      <c r="K11" s="333">
        <v>3803</v>
      </c>
      <c r="L11" s="333"/>
      <c r="M11" s="165">
        <v>8</v>
      </c>
      <c r="N11" s="279" t="s">
        <v>238</v>
      </c>
      <c r="O11" s="333">
        <v>0</v>
      </c>
      <c r="P11" s="333">
        <v>123</v>
      </c>
      <c r="Q11" s="333">
        <v>315</v>
      </c>
      <c r="R11" s="333">
        <v>438</v>
      </c>
      <c r="S11" s="333">
        <v>7726137</v>
      </c>
      <c r="T11" s="334">
        <v>1.25</v>
      </c>
      <c r="U11" s="165"/>
      <c r="V11" s="279" t="s">
        <v>238</v>
      </c>
      <c r="W11" s="333">
        <v>3803</v>
      </c>
      <c r="X11" s="333">
        <v>24605.53089666053</v>
      </c>
      <c r="Y11" s="333">
        <v>93574834</v>
      </c>
      <c r="Z11" s="169"/>
      <c r="AA11" s="279" t="s">
        <v>238</v>
      </c>
      <c r="AB11" s="333">
        <v>0</v>
      </c>
      <c r="AC11" s="333">
        <v>123</v>
      </c>
      <c r="AD11" s="333">
        <v>315</v>
      </c>
      <c r="AE11" s="333">
        <v>438</v>
      </c>
      <c r="AF11" s="333">
        <v>314</v>
      </c>
      <c r="AG11" s="333">
        <v>3125057</v>
      </c>
      <c r="AH11" s="169"/>
      <c r="AI11" s="279" t="s">
        <v>238</v>
      </c>
      <c r="AJ11" s="333">
        <v>0</v>
      </c>
      <c r="AK11" s="333">
        <v>123</v>
      </c>
      <c r="AL11" s="333">
        <v>315</v>
      </c>
      <c r="AM11" s="333">
        <v>438</v>
      </c>
      <c r="AN11" s="333">
        <v>314</v>
      </c>
      <c r="AO11" s="333">
        <v>4601080</v>
      </c>
    </row>
    <row r="12" spans="1:41" s="211" customFormat="1">
      <c r="A12" s="333">
        <f>SUBTOTAL(3,$B$7:B12)</f>
        <v>6</v>
      </c>
      <c r="B12" s="169" t="s">
        <v>161</v>
      </c>
      <c r="C12" s="279" t="s">
        <v>185</v>
      </c>
      <c r="D12" s="333">
        <v>108260</v>
      </c>
      <c r="E12" s="333">
        <v>7768</v>
      </c>
      <c r="F12" s="328">
        <v>150</v>
      </c>
      <c r="G12" s="328">
        <v>425</v>
      </c>
      <c r="H12" s="328">
        <v>7193</v>
      </c>
      <c r="I12" s="333">
        <v>6930</v>
      </c>
      <c r="J12" s="333">
        <v>2242</v>
      </c>
      <c r="K12" s="333">
        <v>9172</v>
      </c>
      <c r="L12" s="333"/>
      <c r="M12" s="208">
        <v>9</v>
      </c>
      <c r="N12" s="279" t="s">
        <v>185</v>
      </c>
      <c r="O12" s="333">
        <v>150</v>
      </c>
      <c r="P12" s="333">
        <v>425</v>
      </c>
      <c r="Q12" s="333">
        <v>7193</v>
      </c>
      <c r="R12" s="333">
        <v>7768</v>
      </c>
      <c r="S12" s="328">
        <v>150598423</v>
      </c>
      <c r="T12" s="334">
        <v>1.1100000000000001</v>
      </c>
      <c r="U12" s="165"/>
      <c r="V12" s="279" t="s">
        <v>185</v>
      </c>
      <c r="W12" s="333">
        <v>9172</v>
      </c>
      <c r="X12" s="333">
        <v>19264.235935455734</v>
      </c>
      <c r="Y12" s="333">
        <v>176691572</v>
      </c>
      <c r="Z12" s="169"/>
      <c r="AA12" s="279" t="s">
        <v>185</v>
      </c>
      <c r="AB12" s="328">
        <v>150</v>
      </c>
      <c r="AC12" s="328">
        <v>425</v>
      </c>
      <c r="AD12" s="328">
        <v>7193</v>
      </c>
      <c r="AE12" s="328">
        <v>7768</v>
      </c>
      <c r="AF12" s="328">
        <v>5997</v>
      </c>
      <c r="AG12" s="328">
        <v>60869821</v>
      </c>
      <c r="AH12" s="169"/>
      <c r="AI12" s="279" t="s">
        <v>185</v>
      </c>
      <c r="AJ12" s="328">
        <v>150</v>
      </c>
      <c r="AK12" s="328">
        <v>425</v>
      </c>
      <c r="AL12" s="328">
        <v>7193</v>
      </c>
      <c r="AM12" s="328">
        <v>7768</v>
      </c>
      <c r="AN12" s="328">
        <v>5997</v>
      </c>
      <c r="AO12" s="328">
        <v>89728602</v>
      </c>
    </row>
    <row r="13" spans="1:41" s="211" customFormat="1">
      <c r="A13" s="333">
        <f>SUBTOTAL(3,$B$7:B13)</f>
        <v>7</v>
      </c>
      <c r="B13" s="169" t="s">
        <v>106</v>
      </c>
      <c r="C13" s="279" t="s">
        <v>186</v>
      </c>
      <c r="D13" s="333">
        <v>89849</v>
      </c>
      <c r="E13" s="333">
        <v>16696</v>
      </c>
      <c r="F13" s="333">
        <v>40</v>
      </c>
      <c r="G13" s="333">
        <v>114</v>
      </c>
      <c r="H13" s="333">
        <v>16542</v>
      </c>
      <c r="I13" s="333">
        <v>300</v>
      </c>
      <c r="J13" s="333">
        <v>1802</v>
      </c>
      <c r="K13" s="333">
        <v>2102</v>
      </c>
      <c r="L13" s="333"/>
      <c r="M13" s="165">
        <v>11</v>
      </c>
      <c r="N13" s="279" t="s">
        <v>186</v>
      </c>
      <c r="O13" s="333">
        <v>40</v>
      </c>
      <c r="P13" s="333">
        <v>114</v>
      </c>
      <c r="Q13" s="333">
        <v>16542</v>
      </c>
      <c r="R13" s="333">
        <v>16696</v>
      </c>
      <c r="S13" s="333">
        <v>406026305</v>
      </c>
      <c r="T13" s="334">
        <v>1.55</v>
      </c>
      <c r="U13" s="165"/>
      <c r="V13" s="279" t="s">
        <v>186</v>
      </c>
      <c r="W13" s="333">
        <v>2102</v>
      </c>
      <c r="X13" s="333">
        <v>29778.882017126547</v>
      </c>
      <c r="Y13" s="333">
        <v>62595210</v>
      </c>
      <c r="Z13" s="169"/>
      <c r="AA13" s="279" t="s">
        <v>186</v>
      </c>
      <c r="AB13" s="333">
        <v>40</v>
      </c>
      <c r="AC13" s="333">
        <v>114</v>
      </c>
      <c r="AD13" s="333">
        <v>16542</v>
      </c>
      <c r="AE13" s="333">
        <v>16696</v>
      </c>
      <c r="AF13" s="333">
        <v>13299</v>
      </c>
      <c r="AG13" s="333">
        <v>177821244</v>
      </c>
      <c r="AH13" s="169"/>
      <c r="AI13" s="279" t="s">
        <v>186</v>
      </c>
      <c r="AJ13" s="333">
        <v>40</v>
      </c>
      <c r="AK13" s="333">
        <v>114</v>
      </c>
      <c r="AL13" s="333">
        <v>16542</v>
      </c>
      <c r="AM13" s="333">
        <v>16696</v>
      </c>
      <c r="AN13" s="333">
        <v>13299</v>
      </c>
      <c r="AO13" s="333">
        <v>228205061</v>
      </c>
    </row>
    <row r="14" spans="1:41" s="211" customFormat="1">
      <c r="A14" s="333">
        <f>SUBTOTAL(3,$B$7:B14)</f>
        <v>8</v>
      </c>
      <c r="B14" s="169" t="s">
        <v>106</v>
      </c>
      <c r="C14" s="396" t="s">
        <v>187</v>
      </c>
      <c r="D14" s="333">
        <v>25829</v>
      </c>
      <c r="E14" s="333">
        <v>1030</v>
      </c>
      <c r="F14" s="333">
        <v>0</v>
      </c>
      <c r="G14" s="333">
        <v>6</v>
      </c>
      <c r="H14" s="333">
        <v>1024</v>
      </c>
      <c r="I14" s="333">
        <v>62</v>
      </c>
      <c r="J14" s="333">
        <v>439</v>
      </c>
      <c r="K14" s="333">
        <v>501</v>
      </c>
      <c r="L14" s="333"/>
      <c r="M14" s="165">
        <v>13</v>
      </c>
      <c r="N14" s="174" t="s">
        <v>187</v>
      </c>
      <c r="O14" s="333">
        <v>0</v>
      </c>
      <c r="P14" s="333">
        <v>6</v>
      </c>
      <c r="Q14" s="333">
        <v>1024</v>
      </c>
      <c r="R14" s="333">
        <v>1030</v>
      </c>
      <c r="S14" s="333">
        <v>27282358</v>
      </c>
      <c r="T14" s="334">
        <v>1.55</v>
      </c>
      <c r="U14" s="165"/>
      <c r="V14" s="174" t="s">
        <v>187</v>
      </c>
      <c r="W14" s="333">
        <v>501</v>
      </c>
      <c r="X14" s="333">
        <v>32666.403193612776</v>
      </c>
      <c r="Y14" s="333">
        <v>16365868</v>
      </c>
      <c r="Z14" s="169"/>
      <c r="AA14" s="279" t="s">
        <v>187</v>
      </c>
      <c r="AB14" s="333">
        <v>0</v>
      </c>
      <c r="AC14" s="333">
        <v>6</v>
      </c>
      <c r="AD14" s="333">
        <v>1024</v>
      </c>
      <c r="AE14" s="333">
        <v>1030</v>
      </c>
      <c r="AF14" s="333">
        <v>822</v>
      </c>
      <c r="AG14" s="333">
        <v>11108618</v>
      </c>
      <c r="AH14" s="169"/>
      <c r="AI14" s="174" t="s">
        <v>187</v>
      </c>
      <c r="AJ14" s="333">
        <v>0</v>
      </c>
      <c r="AK14" s="333">
        <v>6</v>
      </c>
      <c r="AL14" s="333">
        <v>1024</v>
      </c>
      <c r="AM14" s="333">
        <v>1030</v>
      </c>
      <c r="AN14" s="333">
        <v>822</v>
      </c>
      <c r="AO14" s="333">
        <v>16173740</v>
      </c>
    </row>
    <row r="15" spans="1:41">
      <c r="A15" s="333">
        <f>SUBTOTAL(3,$B$7:B15)</f>
        <v>9</v>
      </c>
      <c r="B15" s="3" t="s">
        <v>101</v>
      </c>
      <c r="C15" s="275" t="s">
        <v>304</v>
      </c>
      <c r="D15" s="329">
        <v>0</v>
      </c>
      <c r="E15" s="329">
        <v>0</v>
      </c>
      <c r="F15" s="329">
        <v>0</v>
      </c>
      <c r="G15" s="329">
        <v>0</v>
      </c>
      <c r="H15" s="329">
        <v>0</v>
      </c>
      <c r="I15" s="329">
        <v>0</v>
      </c>
      <c r="J15" s="329">
        <v>44</v>
      </c>
      <c r="K15" s="333">
        <v>44</v>
      </c>
      <c r="L15" s="333"/>
      <c r="M15" s="208">
        <v>23</v>
      </c>
      <c r="N15" s="346" t="s">
        <v>304</v>
      </c>
      <c r="O15" s="329">
        <v>0</v>
      </c>
      <c r="P15" s="329">
        <v>0</v>
      </c>
      <c r="Q15" s="329">
        <v>0</v>
      </c>
      <c r="R15" s="333">
        <v>0</v>
      </c>
      <c r="S15" s="333">
        <v>0</v>
      </c>
      <c r="T15" s="335">
        <v>2.2999999999999998</v>
      </c>
      <c r="U15" s="208"/>
      <c r="V15" s="275" t="s">
        <v>304</v>
      </c>
      <c r="W15" s="329">
        <v>44</v>
      </c>
      <c r="X15" s="329">
        <v>24437.795454545456</v>
      </c>
      <c r="Y15" s="329">
        <v>1075263</v>
      </c>
      <c r="Z15" s="3"/>
      <c r="AA15" s="275" t="s">
        <v>304</v>
      </c>
      <c r="AB15" s="329">
        <v>0</v>
      </c>
      <c r="AC15" s="329">
        <v>0</v>
      </c>
      <c r="AD15" s="329">
        <v>0</v>
      </c>
      <c r="AE15" s="329">
        <v>0</v>
      </c>
      <c r="AF15" s="329">
        <v>0</v>
      </c>
      <c r="AG15" s="329">
        <v>0</v>
      </c>
      <c r="AH15" s="3"/>
      <c r="AI15" s="275" t="s">
        <v>304</v>
      </c>
      <c r="AJ15" s="329">
        <v>0</v>
      </c>
      <c r="AK15" s="329">
        <v>0</v>
      </c>
      <c r="AL15" s="329">
        <v>0</v>
      </c>
      <c r="AM15" s="329">
        <v>0</v>
      </c>
      <c r="AN15" s="329">
        <v>0</v>
      </c>
      <c r="AO15" s="329">
        <v>0</v>
      </c>
    </row>
    <row r="16" spans="1:41" s="211" customFormat="1">
      <c r="A16" s="333">
        <f>SUBTOTAL(3,$B$7:B16)</f>
        <v>10</v>
      </c>
      <c r="B16" s="169" t="s">
        <v>161</v>
      </c>
      <c r="C16" s="279" t="s">
        <v>305</v>
      </c>
      <c r="D16" s="333">
        <v>0</v>
      </c>
      <c r="E16" s="333">
        <v>32</v>
      </c>
      <c r="F16" s="333">
        <v>0</v>
      </c>
      <c r="G16" s="333">
        <v>0</v>
      </c>
      <c r="H16" s="333">
        <v>32</v>
      </c>
      <c r="I16" s="333">
        <v>0</v>
      </c>
      <c r="J16" s="333">
        <v>28</v>
      </c>
      <c r="K16" s="333">
        <v>28</v>
      </c>
      <c r="L16" s="333"/>
      <c r="M16" s="165">
        <v>25</v>
      </c>
      <c r="N16" s="345" t="s">
        <v>305</v>
      </c>
      <c r="O16" s="333">
        <v>0</v>
      </c>
      <c r="P16" s="333">
        <v>0</v>
      </c>
      <c r="Q16" s="333">
        <v>32</v>
      </c>
      <c r="R16" s="333">
        <v>32</v>
      </c>
      <c r="S16" s="333">
        <v>1355820</v>
      </c>
      <c r="T16" s="334">
        <v>3.8</v>
      </c>
      <c r="U16" s="165"/>
      <c r="V16" s="279" t="s">
        <v>305</v>
      </c>
      <c r="W16" s="333">
        <v>28</v>
      </c>
      <c r="X16" s="333">
        <v>49852.035714285717</v>
      </c>
      <c r="Y16" s="333">
        <v>1395857</v>
      </c>
      <c r="Z16" s="169"/>
      <c r="AA16" s="279" t="s">
        <v>305</v>
      </c>
      <c r="AB16" s="333">
        <v>0</v>
      </c>
      <c r="AC16" s="333">
        <v>0</v>
      </c>
      <c r="AD16" s="333">
        <v>32</v>
      </c>
      <c r="AE16" s="333">
        <v>32</v>
      </c>
      <c r="AF16" s="333">
        <v>26</v>
      </c>
      <c r="AG16" s="333">
        <v>569868</v>
      </c>
      <c r="AH16" s="169"/>
      <c r="AI16" s="279" t="s">
        <v>305</v>
      </c>
      <c r="AJ16" s="333">
        <v>0</v>
      </c>
      <c r="AK16" s="333">
        <v>0</v>
      </c>
      <c r="AL16" s="333">
        <v>32</v>
      </c>
      <c r="AM16" s="333">
        <v>32</v>
      </c>
      <c r="AN16" s="333">
        <v>26</v>
      </c>
      <c r="AO16" s="333">
        <v>785952</v>
      </c>
    </row>
    <row r="17" spans="1:41" s="211" customFormat="1">
      <c r="A17" s="333">
        <f>SUBTOTAL(3,$B$7:B17)</f>
        <v>11</v>
      </c>
      <c r="B17" s="169" t="s">
        <v>161</v>
      </c>
      <c r="C17" s="279" t="s">
        <v>306</v>
      </c>
      <c r="D17" s="333">
        <v>0</v>
      </c>
      <c r="E17" s="333">
        <v>0</v>
      </c>
      <c r="F17" s="333">
        <v>0</v>
      </c>
      <c r="G17" s="333">
        <v>0</v>
      </c>
      <c r="H17" s="333">
        <v>0</v>
      </c>
      <c r="I17" s="333">
        <v>0</v>
      </c>
      <c r="J17" s="333">
        <v>0</v>
      </c>
      <c r="K17" s="333">
        <v>0</v>
      </c>
      <c r="L17" s="333"/>
      <c r="M17" s="165">
        <v>28</v>
      </c>
      <c r="N17" s="345" t="s">
        <v>306</v>
      </c>
      <c r="O17" s="333">
        <v>0</v>
      </c>
      <c r="P17" s="333">
        <v>0</v>
      </c>
      <c r="Q17" s="333">
        <v>0</v>
      </c>
      <c r="R17" s="333">
        <v>0</v>
      </c>
      <c r="S17" s="333">
        <v>0</v>
      </c>
      <c r="T17" s="334">
        <v>1.8</v>
      </c>
      <c r="U17" s="165"/>
      <c r="V17" s="279" t="s">
        <v>306</v>
      </c>
      <c r="W17" s="333">
        <v>0</v>
      </c>
      <c r="X17" s="333">
        <v>0</v>
      </c>
      <c r="Y17" s="333">
        <v>0</v>
      </c>
      <c r="Z17" s="169"/>
      <c r="AA17" s="279" t="s">
        <v>306</v>
      </c>
      <c r="AB17" s="333">
        <v>0</v>
      </c>
      <c r="AC17" s="333">
        <v>0</v>
      </c>
      <c r="AD17" s="333">
        <v>0</v>
      </c>
      <c r="AE17" s="333">
        <v>0</v>
      </c>
      <c r="AF17" s="333">
        <v>0</v>
      </c>
      <c r="AG17" s="333">
        <v>0</v>
      </c>
      <c r="AH17" s="169"/>
      <c r="AI17" s="279" t="s">
        <v>306</v>
      </c>
      <c r="AJ17" s="333">
        <v>0</v>
      </c>
      <c r="AK17" s="333">
        <v>0</v>
      </c>
      <c r="AL17" s="333">
        <v>0</v>
      </c>
      <c r="AM17" s="333">
        <v>0</v>
      </c>
      <c r="AN17" s="333">
        <v>0</v>
      </c>
      <c r="AO17" s="333">
        <v>0</v>
      </c>
    </row>
    <row r="18" spans="1:41" s="211" customFormat="1">
      <c r="A18" s="333">
        <f>SUBTOTAL(3,$B$7:B18)</f>
        <v>12</v>
      </c>
      <c r="B18" s="169" t="s">
        <v>100</v>
      </c>
      <c r="C18" s="279" t="s">
        <v>307</v>
      </c>
      <c r="D18" s="333">
        <v>0</v>
      </c>
      <c r="E18" s="333">
        <v>0</v>
      </c>
      <c r="F18" s="333">
        <v>0</v>
      </c>
      <c r="G18" s="333">
        <v>0</v>
      </c>
      <c r="H18" s="333">
        <v>0</v>
      </c>
      <c r="I18" s="333">
        <v>0</v>
      </c>
      <c r="J18" s="333">
        <v>25</v>
      </c>
      <c r="K18" s="333">
        <v>25</v>
      </c>
      <c r="L18" s="333"/>
      <c r="M18" s="208">
        <v>36</v>
      </c>
      <c r="N18" s="345" t="s">
        <v>307</v>
      </c>
      <c r="O18" s="333">
        <v>0</v>
      </c>
      <c r="P18" s="333">
        <v>0</v>
      </c>
      <c r="Q18" s="333">
        <v>0</v>
      </c>
      <c r="R18" s="333">
        <v>0</v>
      </c>
      <c r="S18" s="333">
        <v>0</v>
      </c>
      <c r="T18" s="334">
        <v>5.2</v>
      </c>
      <c r="U18" s="165"/>
      <c r="V18" s="279" t="s">
        <v>307</v>
      </c>
      <c r="W18" s="333">
        <v>25</v>
      </c>
      <c r="X18" s="333">
        <v>92315.96</v>
      </c>
      <c r="Y18" s="333">
        <v>2307899</v>
      </c>
      <c r="Z18" s="169"/>
      <c r="AA18" s="279" t="s">
        <v>307</v>
      </c>
      <c r="AB18" s="333">
        <v>0</v>
      </c>
      <c r="AC18" s="333">
        <v>0</v>
      </c>
      <c r="AD18" s="333">
        <v>0</v>
      </c>
      <c r="AE18" s="333">
        <v>0</v>
      </c>
      <c r="AF18" s="333">
        <v>0</v>
      </c>
      <c r="AG18" s="333">
        <v>0</v>
      </c>
      <c r="AH18" s="169"/>
      <c r="AI18" s="279" t="s">
        <v>307</v>
      </c>
      <c r="AJ18" s="333">
        <v>0</v>
      </c>
      <c r="AK18" s="333">
        <v>0</v>
      </c>
      <c r="AL18" s="333">
        <v>0</v>
      </c>
      <c r="AM18" s="333">
        <v>0</v>
      </c>
      <c r="AN18" s="333">
        <v>0</v>
      </c>
      <c r="AO18" s="333">
        <v>0</v>
      </c>
    </row>
    <row r="19" spans="1:41" s="211" customFormat="1">
      <c r="A19" s="333">
        <f>SUBTOTAL(3,$B$7:B19)</f>
        <v>13</v>
      </c>
      <c r="B19" s="169" t="s">
        <v>101</v>
      </c>
      <c r="C19" s="279" t="s">
        <v>308</v>
      </c>
      <c r="D19" s="333">
        <v>0</v>
      </c>
      <c r="E19" s="333">
        <v>0</v>
      </c>
      <c r="F19" s="333">
        <v>0</v>
      </c>
      <c r="G19" s="333">
        <v>0</v>
      </c>
      <c r="H19" s="333">
        <v>0</v>
      </c>
      <c r="I19" s="333">
        <v>0</v>
      </c>
      <c r="J19" s="333">
        <v>14</v>
      </c>
      <c r="K19" s="333">
        <v>14</v>
      </c>
      <c r="L19" s="333"/>
      <c r="M19" s="165">
        <v>41</v>
      </c>
      <c r="N19" s="345" t="s">
        <v>308</v>
      </c>
      <c r="O19" s="333">
        <v>0</v>
      </c>
      <c r="P19" s="333">
        <v>0</v>
      </c>
      <c r="Q19" s="333">
        <v>0</v>
      </c>
      <c r="R19" s="333">
        <v>0</v>
      </c>
      <c r="S19" s="333">
        <v>0</v>
      </c>
      <c r="T19" s="334">
        <v>3.35</v>
      </c>
      <c r="U19" s="165"/>
      <c r="V19" s="279" t="s">
        <v>308</v>
      </c>
      <c r="W19" s="333">
        <v>14</v>
      </c>
      <c r="X19" s="333">
        <v>45773.285714285717</v>
      </c>
      <c r="Y19" s="333">
        <v>640826</v>
      </c>
      <c r="Z19" s="169"/>
      <c r="AA19" s="279" t="s">
        <v>308</v>
      </c>
      <c r="AB19" s="333">
        <v>0</v>
      </c>
      <c r="AC19" s="333">
        <v>0</v>
      </c>
      <c r="AD19" s="333">
        <v>0</v>
      </c>
      <c r="AE19" s="333">
        <v>0</v>
      </c>
      <c r="AF19" s="333">
        <v>0</v>
      </c>
      <c r="AG19" s="333">
        <v>0</v>
      </c>
      <c r="AH19" s="169"/>
      <c r="AI19" s="279" t="s">
        <v>308</v>
      </c>
      <c r="AJ19" s="333">
        <v>0</v>
      </c>
      <c r="AK19" s="333">
        <v>0</v>
      </c>
      <c r="AL19" s="333">
        <v>0</v>
      </c>
      <c r="AM19" s="333">
        <v>0</v>
      </c>
      <c r="AN19" s="333">
        <v>0</v>
      </c>
      <c r="AO19" s="333">
        <v>0</v>
      </c>
    </row>
    <row r="20" spans="1:41">
      <c r="A20" s="333">
        <f>SUBTOTAL(3,$B$7:B20)</f>
        <v>14</v>
      </c>
      <c r="B20" s="3" t="s">
        <v>100</v>
      </c>
      <c r="C20" s="275" t="s">
        <v>309</v>
      </c>
      <c r="D20" s="329">
        <v>0</v>
      </c>
      <c r="E20" s="329">
        <v>0</v>
      </c>
      <c r="F20" s="329">
        <v>0</v>
      </c>
      <c r="G20" s="329">
        <v>0</v>
      </c>
      <c r="H20" s="329">
        <v>0</v>
      </c>
      <c r="I20" s="329">
        <v>0</v>
      </c>
      <c r="J20" s="329">
        <v>22</v>
      </c>
      <c r="K20" s="333">
        <v>22</v>
      </c>
      <c r="L20" s="333"/>
      <c r="M20" s="165">
        <v>47</v>
      </c>
      <c r="N20" s="345" t="s">
        <v>309</v>
      </c>
      <c r="O20" s="329">
        <v>0</v>
      </c>
      <c r="P20" s="329">
        <v>0</v>
      </c>
      <c r="Q20" s="329">
        <v>0</v>
      </c>
      <c r="R20" s="333">
        <v>0</v>
      </c>
      <c r="S20" s="333">
        <v>0</v>
      </c>
      <c r="T20" s="335">
        <v>3.6</v>
      </c>
      <c r="U20" s="208"/>
      <c r="V20" s="279" t="s">
        <v>309</v>
      </c>
      <c r="W20" s="329">
        <v>22</v>
      </c>
      <c r="X20" s="329">
        <v>74429.681818181823</v>
      </c>
      <c r="Y20" s="329">
        <v>1637453</v>
      </c>
      <c r="Z20" s="3"/>
      <c r="AA20" s="279" t="s">
        <v>309</v>
      </c>
      <c r="AB20" s="329">
        <v>0</v>
      </c>
      <c r="AC20" s="329">
        <v>0</v>
      </c>
      <c r="AD20" s="329">
        <v>0</v>
      </c>
      <c r="AE20" s="329">
        <v>0</v>
      </c>
      <c r="AF20" s="329">
        <v>0</v>
      </c>
      <c r="AG20" s="329">
        <v>0</v>
      </c>
      <c r="AH20" s="3"/>
      <c r="AI20" s="279" t="s">
        <v>309</v>
      </c>
      <c r="AJ20" s="329">
        <v>0</v>
      </c>
      <c r="AK20" s="329">
        <v>0</v>
      </c>
      <c r="AL20" s="329">
        <v>0</v>
      </c>
      <c r="AM20" s="329">
        <v>0</v>
      </c>
      <c r="AN20" s="329">
        <v>0</v>
      </c>
      <c r="AO20" s="329">
        <v>0</v>
      </c>
    </row>
    <row r="21" spans="1:41" s="211" customFormat="1">
      <c r="A21" s="333">
        <f>SUBTOTAL(3,$B$7:B21)</f>
        <v>15</v>
      </c>
      <c r="B21" s="169" t="s">
        <v>161</v>
      </c>
      <c r="C21" s="279" t="s">
        <v>241</v>
      </c>
      <c r="D21" s="333">
        <v>14855</v>
      </c>
      <c r="E21" s="333">
        <v>2934</v>
      </c>
      <c r="F21" s="333">
        <v>2418</v>
      </c>
      <c r="G21" s="333">
        <v>139</v>
      </c>
      <c r="H21" s="333">
        <v>377</v>
      </c>
      <c r="I21" s="333">
        <v>0</v>
      </c>
      <c r="J21" s="333">
        <v>120</v>
      </c>
      <c r="K21" s="333">
        <v>120</v>
      </c>
      <c r="L21" s="333"/>
      <c r="M21" s="208">
        <v>52</v>
      </c>
      <c r="N21" s="345" t="s">
        <v>241</v>
      </c>
      <c r="O21" s="333">
        <v>2418</v>
      </c>
      <c r="P21" s="333">
        <v>139</v>
      </c>
      <c r="Q21" s="333">
        <v>377</v>
      </c>
      <c r="R21" s="333">
        <v>2934</v>
      </c>
      <c r="S21" s="333">
        <v>23378877</v>
      </c>
      <c r="T21" s="334">
        <v>1.25</v>
      </c>
      <c r="U21" s="165"/>
      <c r="V21" s="279" t="s">
        <v>241</v>
      </c>
      <c r="W21" s="333">
        <v>120</v>
      </c>
      <c r="X21" s="333">
        <v>30739.558333333334</v>
      </c>
      <c r="Y21" s="333">
        <v>3688747</v>
      </c>
      <c r="Z21" s="169"/>
      <c r="AA21" s="279" t="s">
        <v>241</v>
      </c>
      <c r="AB21" s="333">
        <v>2418</v>
      </c>
      <c r="AC21" s="333">
        <v>139</v>
      </c>
      <c r="AD21" s="333">
        <v>377</v>
      </c>
      <c r="AE21" s="333">
        <v>2934</v>
      </c>
      <c r="AF21" s="333">
        <v>855</v>
      </c>
      <c r="AG21" s="333">
        <v>9423853</v>
      </c>
      <c r="AH21" s="169"/>
      <c r="AI21" s="279" t="s">
        <v>241</v>
      </c>
      <c r="AJ21" s="333">
        <v>2418</v>
      </c>
      <c r="AK21" s="333">
        <v>139</v>
      </c>
      <c r="AL21" s="333">
        <v>377</v>
      </c>
      <c r="AM21" s="333">
        <v>2934</v>
      </c>
      <c r="AN21" s="333">
        <v>855</v>
      </c>
      <c r="AO21" s="333">
        <v>13955024</v>
      </c>
    </row>
    <row r="22" spans="1:41" s="211" customFormat="1">
      <c r="A22" s="333">
        <f>SUBTOTAL(3,$B$7:B22)</f>
        <v>16</v>
      </c>
      <c r="B22" s="169" t="s">
        <v>161</v>
      </c>
      <c r="C22" s="279" t="s">
        <v>310</v>
      </c>
      <c r="D22" s="333">
        <v>0</v>
      </c>
      <c r="E22" s="333">
        <v>0</v>
      </c>
      <c r="F22" s="333">
        <v>0</v>
      </c>
      <c r="G22" s="333">
        <v>0</v>
      </c>
      <c r="H22" s="333">
        <v>0</v>
      </c>
      <c r="I22" s="333">
        <v>0</v>
      </c>
      <c r="J22" s="333">
        <v>92</v>
      </c>
      <c r="K22" s="333">
        <v>92</v>
      </c>
      <c r="L22" s="333"/>
      <c r="M22" s="165">
        <v>53</v>
      </c>
      <c r="N22" s="345" t="s">
        <v>310</v>
      </c>
      <c r="O22" s="333">
        <v>0</v>
      </c>
      <c r="P22" s="333">
        <v>0</v>
      </c>
      <c r="Q22" s="333">
        <v>0</v>
      </c>
      <c r="R22" s="333">
        <v>0</v>
      </c>
      <c r="S22" s="333">
        <v>0</v>
      </c>
      <c r="T22" s="334">
        <v>1.02</v>
      </c>
      <c r="U22" s="165"/>
      <c r="V22" s="279" t="s">
        <v>310</v>
      </c>
      <c r="W22" s="333">
        <v>92</v>
      </c>
      <c r="X22" s="333">
        <v>21172.065217391304</v>
      </c>
      <c r="Y22" s="333">
        <v>1947830</v>
      </c>
      <c r="Z22" s="169"/>
      <c r="AA22" s="279" t="s">
        <v>310</v>
      </c>
      <c r="AB22" s="333">
        <v>0</v>
      </c>
      <c r="AC22" s="333">
        <v>0</v>
      </c>
      <c r="AD22" s="333">
        <v>0</v>
      </c>
      <c r="AE22" s="333">
        <v>0</v>
      </c>
      <c r="AF22" s="333">
        <v>0</v>
      </c>
      <c r="AG22" s="333">
        <v>0</v>
      </c>
      <c r="AH22" s="169"/>
      <c r="AI22" s="279" t="s">
        <v>310</v>
      </c>
      <c r="AJ22" s="333">
        <v>0</v>
      </c>
      <c r="AK22" s="333">
        <v>0</v>
      </c>
      <c r="AL22" s="333">
        <v>0</v>
      </c>
      <c r="AM22" s="333">
        <v>0</v>
      </c>
      <c r="AN22" s="333">
        <v>0</v>
      </c>
      <c r="AO22" s="333">
        <v>0</v>
      </c>
    </row>
    <row r="23" spans="1:41" s="211" customFormat="1">
      <c r="A23" s="333">
        <f>SUBTOTAL(3,$B$7:B23)</f>
        <v>17</v>
      </c>
      <c r="B23" s="169" t="s">
        <v>105</v>
      </c>
      <c r="C23" s="279" t="s">
        <v>311</v>
      </c>
      <c r="D23" s="333">
        <v>0</v>
      </c>
      <c r="E23" s="333">
        <v>165</v>
      </c>
      <c r="F23" s="333">
        <v>0</v>
      </c>
      <c r="G23" s="333">
        <v>0</v>
      </c>
      <c r="H23" s="333">
        <v>165</v>
      </c>
      <c r="I23" s="333">
        <v>0</v>
      </c>
      <c r="J23" s="333">
        <v>0</v>
      </c>
      <c r="K23" s="333">
        <v>0</v>
      </c>
      <c r="L23" s="333"/>
      <c r="M23" s="165">
        <v>54</v>
      </c>
      <c r="N23" s="345" t="s">
        <v>311</v>
      </c>
      <c r="O23" s="333">
        <v>0</v>
      </c>
      <c r="P23" s="333">
        <v>0</v>
      </c>
      <c r="Q23" s="333">
        <v>165</v>
      </c>
      <c r="R23" s="333">
        <v>165</v>
      </c>
      <c r="S23" s="333">
        <v>7256593</v>
      </c>
      <c r="T23" s="334">
        <v>2.65</v>
      </c>
      <c r="U23" s="165"/>
      <c r="V23" s="279" t="s">
        <v>311</v>
      </c>
      <c r="W23" s="333">
        <v>0</v>
      </c>
      <c r="X23" s="333">
        <v>0</v>
      </c>
      <c r="Y23" s="333">
        <v>0</v>
      </c>
      <c r="Z23" s="169"/>
      <c r="AA23" s="279" t="s">
        <v>311</v>
      </c>
      <c r="AB23" s="333">
        <v>0</v>
      </c>
      <c r="AC23" s="333">
        <v>0</v>
      </c>
      <c r="AD23" s="333">
        <v>165</v>
      </c>
      <c r="AE23" s="333">
        <v>165</v>
      </c>
      <c r="AF23" s="333">
        <v>132</v>
      </c>
      <c r="AG23" s="333">
        <v>2743703</v>
      </c>
      <c r="AH23" s="169"/>
      <c r="AI23" s="279" t="s">
        <v>311</v>
      </c>
      <c r="AJ23" s="333">
        <v>0</v>
      </c>
      <c r="AK23" s="333">
        <v>0</v>
      </c>
      <c r="AL23" s="333">
        <v>165</v>
      </c>
      <c r="AM23" s="333">
        <v>165</v>
      </c>
      <c r="AN23" s="333">
        <v>132</v>
      </c>
      <c r="AO23" s="333">
        <v>4512890</v>
      </c>
    </row>
    <row r="24" spans="1:41" s="211" customFormat="1">
      <c r="A24" s="333">
        <f>SUBTOTAL(3,$B$7:B24)</f>
        <v>18</v>
      </c>
      <c r="B24" s="169" t="s">
        <v>105</v>
      </c>
      <c r="C24" s="279" t="s">
        <v>312</v>
      </c>
      <c r="D24" s="333">
        <v>0</v>
      </c>
      <c r="E24" s="333">
        <v>63</v>
      </c>
      <c r="F24" s="333">
        <v>0</v>
      </c>
      <c r="G24" s="333">
        <v>0</v>
      </c>
      <c r="H24" s="333">
        <v>63</v>
      </c>
      <c r="I24" s="333">
        <v>0</v>
      </c>
      <c r="J24" s="333">
        <v>24</v>
      </c>
      <c r="K24" s="333">
        <v>24</v>
      </c>
      <c r="L24" s="333"/>
      <c r="M24" s="208">
        <v>55</v>
      </c>
      <c r="N24" s="345" t="s">
        <v>312</v>
      </c>
      <c r="O24" s="333">
        <v>0</v>
      </c>
      <c r="P24" s="333">
        <v>0</v>
      </c>
      <c r="Q24" s="333">
        <v>63</v>
      </c>
      <c r="R24" s="333">
        <v>63</v>
      </c>
      <c r="S24" s="333">
        <v>1145629</v>
      </c>
      <c r="T24" s="334">
        <v>2.65</v>
      </c>
      <c r="U24" s="165"/>
      <c r="V24" s="279" t="s">
        <v>312</v>
      </c>
      <c r="W24" s="333">
        <v>24</v>
      </c>
      <c r="X24" s="333">
        <v>18184.583333333332</v>
      </c>
      <c r="Y24" s="333">
        <v>436430</v>
      </c>
      <c r="Z24" s="169"/>
      <c r="AA24" s="279" t="s">
        <v>312</v>
      </c>
      <c r="AB24" s="333">
        <v>0</v>
      </c>
      <c r="AC24" s="333">
        <v>0</v>
      </c>
      <c r="AD24" s="333">
        <v>63</v>
      </c>
      <c r="AE24" s="333">
        <v>63</v>
      </c>
      <c r="AF24" s="333">
        <v>50</v>
      </c>
      <c r="AG24" s="333">
        <v>433160</v>
      </c>
      <c r="AH24" s="169"/>
      <c r="AI24" s="279" t="s">
        <v>312</v>
      </c>
      <c r="AJ24" s="333">
        <v>0</v>
      </c>
      <c r="AK24" s="333">
        <v>0</v>
      </c>
      <c r="AL24" s="333">
        <v>63</v>
      </c>
      <c r="AM24" s="333">
        <v>63</v>
      </c>
      <c r="AN24" s="333">
        <v>50</v>
      </c>
      <c r="AO24" s="333">
        <v>712469</v>
      </c>
    </row>
    <row r="25" spans="1:41" s="211" customFormat="1">
      <c r="A25" s="333">
        <f>SUBTOTAL(3,$B$7:B25)</f>
        <v>19</v>
      </c>
      <c r="B25" s="169" t="s">
        <v>161</v>
      </c>
      <c r="C25" s="279" t="s">
        <v>313</v>
      </c>
      <c r="D25" s="333">
        <v>0</v>
      </c>
      <c r="E25" s="333">
        <v>79</v>
      </c>
      <c r="F25" s="333">
        <v>0</v>
      </c>
      <c r="G25" s="333">
        <v>0</v>
      </c>
      <c r="H25" s="333">
        <v>79</v>
      </c>
      <c r="I25" s="333">
        <v>0</v>
      </c>
      <c r="J25" s="333">
        <v>80</v>
      </c>
      <c r="K25" s="333">
        <v>80</v>
      </c>
      <c r="L25" s="333"/>
      <c r="M25" s="165">
        <v>59</v>
      </c>
      <c r="N25" s="345" t="s">
        <v>313</v>
      </c>
      <c r="O25" s="333">
        <v>0</v>
      </c>
      <c r="P25" s="333">
        <v>0</v>
      </c>
      <c r="Q25" s="333">
        <v>79</v>
      </c>
      <c r="R25" s="333">
        <v>79</v>
      </c>
      <c r="S25" s="333">
        <v>1370172</v>
      </c>
      <c r="T25" s="334">
        <v>1.1000000000000001</v>
      </c>
      <c r="U25" s="165"/>
      <c r="V25" s="279" t="s">
        <v>313</v>
      </c>
      <c r="W25" s="333">
        <v>80</v>
      </c>
      <c r="X25" s="333">
        <v>21581.15</v>
      </c>
      <c r="Y25" s="333">
        <v>1726492</v>
      </c>
      <c r="Z25" s="169"/>
      <c r="AA25" s="279" t="s">
        <v>313</v>
      </c>
      <c r="AB25" s="333">
        <v>0</v>
      </c>
      <c r="AC25" s="333">
        <v>0</v>
      </c>
      <c r="AD25" s="333">
        <v>79</v>
      </c>
      <c r="AE25" s="333">
        <v>79</v>
      </c>
      <c r="AF25" s="333">
        <v>63</v>
      </c>
      <c r="AG25" s="333">
        <v>525166</v>
      </c>
      <c r="AH25" s="169"/>
      <c r="AI25" s="279" t="s">
        <v>313</v>
      </c>
      <c r="AJ25" s="333">
        <v>0</v>
      </c>
      <c r="AK25" s="333">
        <v>0</v>
      </c>
      <c r="AL25" s="333">
        <v>79</v>
      </c>
      <c r="AM25" s="333">
        <v>79</v>
      </c>
      <c r="AN25" s="333">
        <v>63</v>
      </c>
      <c r="AO25" s="333">
        <v>845006</v>
      </c>
    </row>
    <row r="26" spans="1:41" s="211" customFormat="1">
      <c r="A26" s="333">
        <f>SUBTOTAL(3,$B$7:B26)</f>
        <v>20</v>
      </c>
      <c r="B26" s="169" t="s">
        <v>161</v>
      </c>
      <c r="C26" s="279" t="s">
        <v>314</v>
      </c>
      <c r="D26" s="333">
        <v>0</v>
      </c>
      <c r="E26" s="333">
        <v>377</v>
      </c>
      <c r="F26" s="333">
        <v>0</v>
      </c>
      <c r="G26" s="333">
        <v>0</v>
      </c>
      <c r="H26" s="333">
        <v>377</v>
      </c>
      <c r="I26" s="333">
        <v>0</v>
      </c>
      <c r="J26" s="333">
        <v>86</v>
      </c>
      <c r="K26" s="333">
        <v>86</v>
      </c>
      <c r="L26" s="333"/>
      <c r="M26" s="165">
        <v>62</v>
      </c>
      <c r="N26" s="345" t="s">
        <v>314</v>
      </c>
      <c r="O26" s="333">
        <v>0</v>
      </c>
      <c r="P26" s="333">
        <v>0</v>
      </c>
      <c r="Q26" s="333">
        <v>377</v>
      </c>
      <c r="R26" s="333">
        <v>377</v>
      </c>
      <c r="S26" s="333">
        <v>6456010</v>
      </c>
      <c r="T26" s="334">
        <v>1.02</v>
      </c>
      <c r="U26" s="165"/>
      <c r="V26" s="279" t="s">
        <v>314</v>
      </c>
      <c r="W26" s="333">
        <v>86</v>
      </c>
      <c r="X26" s="333">
        <v>21228.151162790698</v>
      </c>
      <c r="Y26" s="333">
        <v>1825621</v>
      </c>
      <c r="Z26" s="169"/>
      <c r="AA26" s="279" t="s">
        <v>314</v>
      </c>
      <c r="AB26" s="333">
        <v>0</v>
      </c>
      <c r="AC26" s="333">
        <v>0</v>
      </c>
      <c r="AD26" s="333">
        <v>377</v>
      </c>
      <c r="AE26" s="333">
        <v>377</v>
      </c>
      <c r="AF26" s="333">
        <v>302</v>
      </c>
      <c r="AG26" s="333">
        <v>2474021</v>
      </c>
      <c r="AH26" s="169"/>
      <c r="AI26" s="279" t="s">
        <v>314</v>
      </c>
      <c r="AJ26" s="333">
        <v>0</v>
      </c>
      <c r="AK26" s="333">
        <v>0</v>
      </c>
      <c r="AL26" s="333">
        <v>377</v>
      </c>
      <c r="AM26" s="333">
        <v>377</v>
      </c>
      <c r="AN26" s="333">
        <v>302</v>
      </c>
      <c r="AO26" s="333">
        <v>3981989</v>
      </c>
    </row>
    <row r="27" spans="1:41" s="211" customFormat="1">
      <c r="A27" s="333">
        <f>SUBTOTAL(3,$B$7:B27)</f>
        <v>21</v>
      </c>
      <c r="B27" s="169" t="s">
        <v>161</v>
      </c>
      <c r="C27" s="279" t="s">
        <v>315</v>
      </c>
      <c r="D27" s="333">
        <v>0</v>
      </c>
      <c r="E27" s="333">
        <v>103</v>
      </c>
      <c r="F27" s="333">
        <v>0</v>
      </c>
      <c r="G27" s="333">
        <v>0</v>
      </c>
      <c r="H27" s="333">
        <v>103</v>
      </c>
      <c r="I27" s="333">
        <v>0</v>
      </c>
      <c r="J27" s="333">
        <v>33</v>
      </c>
      <c r="K27" s="333">
        <v>33</v>
      </c>
      <c r="L27" s="333"/>
      <c r="M27" s="208">
        <v>63</v>
      </c>
      <c r="N27" s="345" t="s">
        <v>315</v>
      </c>
      <c r="O27" s="333">
        <v>0</v>
      </c>
      <c r="P27" s="333">
        <v>0</v>
      </c>
      <c r="Q27" s="333">
        <v>103</v>
      </c>
      <c r="R27" s="333">
        <v>103</v>
      </c>
      <c r="S27" s="333">
        <v>3319034</v>
      </c>
      <c r="T27" s="334">
        <v>1.95</v>
      </c>
      <c r="U27" s="165"/>
      <c r="V27" s="279" t="s">
        <v>315</v>
      </c>
      <c r="W27" s="333">
        <v>33</v>
      </c>
      <c r="X27" s="333">
        <v>40476.030303030304</v>
      </c>
      <c r="Y27" s="333">
        <v>1335709</v>
      </c>
      <c r="Z27" s="169"/>
      <c r="AA27" s="279" t="s">
        <v>315</v>
      </c>
      <c r="AB27" s="333">
        <v>0</v>
      </c>
      <c r="AC27" s="333">
        <v>0</v>
      </c>
      <c r="AD27" s="333">
        <v>103</v>
      </c>
      <c r="AE27" s="333">
        <v>103</v>
      </c>
      <c r="AF27" s="333">
        <v>82</v>
      </c>
      <c r="AG27" s="333">
        <v>1254920</v>
      </c>
      <c r="AH27" s="169"/>
      <c r="AI27" s="279" t="s">
        <v>315</v>
      </c>
      <c r="AJ27" s="333">
        <v>0</v>
      </c>
      <c r="AK27" s="333">
        <v>0</v>
      </c>
      <c r="AL27" s="333">
        <v>103</v>
      </c>
      <c r="AM27" s="333">
        <v>103</v>
      </c>
      <c r="AN27" s="333">
        <v>82</v>
      </c>
      <c r="AO27" s="333">
        <v>2064114</v>
      </c>
    </row>
    <row r="28" spans="1:41" s="211" customFormat="1">
      <c r="A28" s="333">
        <f>SUBTOTAL(3,$B$7:B28)</f>
        <v>22</v>
      </c>
      <c r="B28" s="169" t="s">
        <v>161</v>
      </c>
      <c r="C28" s="279" t="s">
        <v>316</v>
      </c>
      <c r="D28" s="333">
        <v>1445</v>
      </c>
      <c r="E28" s="333">
        <v>279</v>
      </c>
      <c r="F28" s="333">
        <v>7</v>
      </c>
      <c r="G28" s="333">
        <v>10</v>
      </c>
      <c r="H28" s="333">
        <v>262</v>
      </c>
      <c r="I28" s="333">
        <v>0</v>
      </c>
      <c r="J28" s="333">
        <v>32</v>
      </c>
      <c r="K28" s="333">
        <v>32</v>
      </c>
      <c r="L28" s="333"/>
      <c r="M28" s="165">
        <v>65</v>
      </c>
      <c r="N28" s="345" t="s">
        <v>316</v>
      </c>
      <c r="O28" s="333">
        <v>7</v>
      </c>
      <c r="P28" s="333">
        <v>10</v>
      </c>
      <c r="Q28" s="333">
        <v>262</v>
      </c>
      <c r="R28" s="333">
        <v>279</v>
      </c>
      <c r="S28" s="333">
        <v>12969876</v>
      </c>
      <c r="T28" s="334">
        <v>1.87</v>
      </c>
      <c r="U28" s="165"/>
      <c r="V28" s="279" t="s">
        <v>316</v>
      </c>
      <c r="W28" s="333">
        <v>32</v>
      </c>
      <c r="X28" s="333">
        <v>57787.625</v>
      </c>
      <c r="Y28" s="333">
        <v>1849204</v>
      </c>
      <c r="Z28" s="169"/>
      <c r="AA28" s="279" t="s">
        <v>316</v>
      </c>
      <c r="AB28" s="333">
        <v>7</v>
      </c>
      <c r="AC28" s="333">
        <v>10</v>
      </c>
      <c r="AD28" s="333">
        <v>262</v>
      </c>
      <c r="AE28" s="333">
        <v>279</v>
      </c>
      <c r="AF28" s="333">
        <v>216</v>
      </c>
      <c r="AG28" s="333">
        <v>5436901</v>
      </c>
      <c r="AH28" s="169"/>
      <c r="AI28" s="279" t="s">
        <v>316</v>
      </c>
      <c r="AJ28" s="333">
        <v>7</v>
      </c>
      <c r="AK28" s="333">
        <v>10</v>
      </c>
      <c r="AL28" s="333">
        <v>262</v>
      </c>
      <c r="AM28" s="333">
        <v>279</v>
      </c>
      <c r="AN28" s="333">
        <v>216</v>
      </c>
      <c r="AO28" s="333">
        <v>7532975</v>
      </c>
    </row>
    <row r="29" spans="1:41" s="211" customFormat="1">
      <c r="A29" s="333">
        <f>SUBTOTAL(3,$B$7:B29)</f>
        <v>23</v>
      </c>
      <c r="B29" s="169" t="s">
        <v>161</v>
      </c>
      <c r="C29" s="279" t="s">
        <v>188</v>
      </c>
      <c r="D29" s="333">
        <v>0</v>
      </c>
      <c r="E29" s="333">
        <v>0</v>
      </c>
      <c r="F29" s="333">
        <v>0</v>
      </c>
      <c r="G29" s="333">
        <v>0</v>
      </c>
      <c r="H29" s="333">
        <v>0</v>
      </c>
      <c r="I29" s="333">
        <v>0</v>
      </c>
      <c r="J29" s="333">
        <v>23</v>
      </c>
      <c r="K29" s="333">
        <v>23</v>
      </c>
      <c r="L29" s="333"/>
      <c r="M29" s="165">
        <v>66</v>
      </c>
      <c r="N29" s="279" t="s">
        <v>188</v>
      </c>
      <c r="O29" s="333">
        <v>0</v>
      </c>
      <c r="P29" s="333">
        <v>0</v>
      </c>
      <c r="Q29" s="333">
        <v>0</v>
      </c>
      <c r="R29" s="333">
        <v>0</v>
      </c>
      <c r="S29" s="333">
        <v>0</v>
      </c>
      <c r="T29" s="334">
        <v>1.02</v>
      </c>
      <c r="U29" s="165"/>
      <c r="V29" s="279" t="s">
        <v>188</v>
      </c>
      <c r="W29" s="333">
        <v>23</v>
      </c>
      <c r="X29" s="333">
        <v>21172.08695652174</v>
      </c>
      <c r="Y29" s="333">
        <v>486958</v>
      </c>
      <c r="Z29" s="169"/>
      <c r="AA29" s="279" t="s">
        <v>188</v>
      </c>
      <c r="AB29" s="333">
        <v>0</v>
      </c>
      <c r="AC29" s="333">
        <v>0</v>
      </c>
      <c r="AD29" s="333">
        <v>0</v>
      </c>
      <c r="AE29" s="333">
        <v>0</v>
      </c>
      <c r="AF29" s="333">
        <v>0</v>
      </c>
      <c r="AG29" s="333">
        <v>0</v>
      </c>
      <c r="AH29" s="169"/>
      <c r="AI29" s="279" t="s">
        <v>188</v>
      </c>
      <c r="AJ29" s="333">
        <v>0</v>
      </c>
      <c r="AK29" s="333">
        <v>0</v>
      </c>
      <c r="AL29" s="333">
        <v>0</v>
      </c>
      <c r="AM29" s="333">
        <v>0</v>
      </c>
      <c r="AN29" s="333">
        <v>0</v>
      </c>
      <c r="AO29" s="333">
        <v>0</v>
      </c>
    </row>
    <row r="30" spans="1:41">
      <c r="A30" s="333">
        <f>SUBTOTAL(3,$B$7:B30)</f>
        <v>24</v>
      </c>
      <c r="B30" s="3" t="s">
        <v>161</v>
      </c>
      <c r="C30" s="275" t="s">
        <v>189</v>
      </c>
      <c r="D30" s="329">
        <v>0</v>
      </c>
      <c r="E30" s="329">
        <v>108</v>
      </c>
      <c r="F30" s="329">
        <v>0</v>
      </c>
      <c r="G30" s="329">
        <v>0</v>
      </c>
      <c r="H30" s="329">
        <v>108</v>
      </c>
      <c r="I30" s="329">
        <v>0</v>
      </c>
      <c r="J30" s="329">
        <v>151</v>
      </c>
      <c r="K30" s="333">
        <v>151</v>
      </c>
      <c r="L30" s="333"/>
      <c r="M30" s="208">
        <v>67</v>
      </c>
      <c r="N30" s="279" t="s">
        <v>189</v>
      </c>
      <c r="O30" s="329">
        <v>0</v>
      </c>
      <c r="P30" s="329">
        <v>0</v>
      </c>
      <c r="Q30" s="329">
        <v>108</v>
      </c>
      <c r="R30" s="333">
        <v>108</v>
      </c>
      <c r="S30" s="333">
        <v>3528069</v>
      </c>
      <c r="T30" s="335">
        <v>3.5</v>
      </c>
      <c r="U30" s="208"/>
      <c r="V30" s="279" t="s">
        <v>189</v>
      </c>
      <c r="W30" s="329">
        <v>151</v>
      </c>
      <c r="X30" s="329">
        <v>81172.45033112583</v>
      </c>
      <c r="Y30" s="329">
        <v>12257040</v>
      </c>
      <c r="Z30" s="3"/>
      <c r="AA30" s="279" t="s">
        <v>189</v>
      </c>
      <c r="AB30" s="329">
        <v>0</v>
      </c>
      <c r="AC30" s="329">
        <v>0</v>
      </c>
      <c r="AD30" s="329">
        <v>108</v>
      </c>
      <c r="AE30" s="329">
        <v>108</v>
      </c>
      <c r="AF30" s="329">
        <v>86</v>
      </c>
      <c r="AG30" s="329">
        <v>1477379</v>
      </c>
      <c r="AH30" s="3"/>
      <c r="AI30" s="279" t="s">
        <v>189</v>
      </c>
      <c r="AJ30" s="329">
        <v>0</v>
      </c>
      <c r="AK30" s="329">
        <v>0</v>
      </c>
      <c r="AL30" s="329">
        <v>108</v>
      </c>
      <c r="AM30" s="329">
        <v>108</v>
      </c>
      <c r="AN30" s="329">
        <v>86</v>
      </c>
      <c r="AO30" s="329">
        <v>2050690</v>
      </c>
    </row>
    <row r="31" spans="1:41" s="211" customFormat="1">
      <c r="A31" s="333">
        <f>SUBTOTAL(3,$B$7:B31)</f>
        <v>25</v>
      </c>
      <c r="B31" s="169" t="s">
        <v>100</v>
      </c>
      <c r="C31" s="279" t="s">
        <v>317</v>
      </c>
      <c r="D31" s="333">
        <v>0</v>
      </c>
      <c r="E31" s="333">
        <v>0</v>
      </c>
      <c r="F31" s="333">
        <v>0</v>
      </c>
      <c r="G31" s="333">
        <v>0</v>
      </c>
      <c r="H31" s="333">
        <v>0</v>
      </c>
      <c r="I31" s="333">
        <v>0</v>
      </c>
      <c r="J31" s="333">
        <v>50</v>
      </c>
      <c r="K31" s="333">
        <v>50</v>
      </c>
      <c r="L31" s="333"/>
      <c r="M31" s="165">
        <v>68</v>
      </c>
      <c r="N31" s="345" t="s">
        <v>317</v>
      </c>
      <c r="O31" s="333">
        <v>0</v>
      </c>
      <c r="P31" s="333">
        <v>0</v>
      </c>
      <c r="Q31" s="333">
        <v>0</v>
      </c>
      <c r="R31" s="333">
        <v>0</v>
      </c>
      <c r="S31" s="333">
        <v>0</v>
      </c>
      <c r="T31" s="334">
        <v>1.85</v>
      </c>
      <c r="U31" s="165"/>
      <c r="V31" s="279" t="s">
        <v>317</v>
      </c>
      <c r="W31" s="333">
        <v>50</v>
      </c>
      <c r="X31" s="333">
        <v>38400.32</v>
      </c>
      <c r="Y31" s="333">
        <v>1920016</v>
      </c>
      <c r="Z31" s="169"/>
      <c r="AA31" s="279" t="s">
        <v>317</v>
      </c>
      <c r="AB31" s="333">
        <v>0</v>
      </c>
      <c r="AC31" s="333">
        <v>0</v>
      </c>
      <c r="AD31" s="333">
        <v>0</v>
      </c>
      <c r="AE31" s="333">
        <v>0</v>
      </c>
      <c r="AF31" s="333">
        <v>0</v>
      </c>
      <c r="AG31" s="333">
        <v>0</v>
      </c>
      <c r="AH31" s="169"/>
      <c r="AI31" s="279" t="s">
        <v>317</v>
      </c>
      <c r="AJ31" s="333">
        <v>0</v>
      </c>
      <c r="AK31" s="333">
        <v>0</v>
      </c>
      <c r="AL31" s="333">
        <v>0</v>
      </c>
      <c r="AM31" s="333">
        <v>0</v>
      </c>
      <c r="AN31" s="333">
        <v>0</v>
      </c>
      <c r="AO31" s="333">
        <v>0</v>
      </c>
    </row>
    <row r="32" spans="1:41" s="211" customFormat="1">
      <c r="A32" s="333">
        <f>SUBTOTAL(3,$B$7:B32)</f>
        <v>26</v>
      </c>
      <c r="B32" s="169" t="s">
        <v>100</v>
      </c>
      <c r="C32" s="279" t="s">
        <v>318</v>
      </c>
      <c r="D32" s="333">
        <v>0</v>
      </c>
      <c r="E32" s="333">
        <v>0</v>
      </c>
      <c r="F32" s="333">
        <v>0</v>
      </c>
      <c r="G32" s="333">
        <v>0</v>
      </c>
      <c r="H32" s="333">
        <v>0</v>
      </c>
      <c r="I32" s="333">
        <v>0</v>
      </c>
      <c r="J32" s="333">
        <v>69</v>
      </c>
      <c r="K32" s="333">
        <v>69</v>
      </c>
      <c r="L32" s="333"/>
      <c r="M32" s="165">
        <v>69</v>
      </c>
      <c r="N32" s="345" t="s">
        <v>318</v>
      </c>
      <c r="O32" s="333">
        <v>0</v>
      </c>
      <c r="P32" s="333">
        <v>0</v>
      </c>
      <c r="Q32" s="333">
        <v>0</v>
      </c>
      <c r="R32" s="333">
        <v>0</v>
      </c>
      <c r="S32" s="333">
        <v>0</v>
      </c>
      <c r="T32" s="334">
        <v>1.85</v>
      </c>
      <c r="U32" s="165"/>
      <c r="V32" s="279" t="s">
        <v>318</v>
      </c>
      <c r="W32" s="333">
        <v>69</v>
      </c>
      <c r="X32" s="333">
        <v>38400.333333333336</v>
      </c>
      <c r="Y32" s="333">
        <v>2649623</v>
      </c>
      <c r="Z32" s="169"/>
      <c r="AA32" s="279" t="s">
        <v>318</v>
      </c>
      <c r="AB32" s="333">
        <v>0</v>
      </c>
      <c r="AC32" s="333">
        <v>0</v>
      </c>
      <c r="AD32" s="333">
        <v>0</v>
      </c>
      <c r="AE32" s="333">
        <v>0</v>
      </c>
      <c r="AF32" s="333">
        <v>0</v>
      </c>
      <c r="AG32" s="333">
        <v>0</v>
      </c>
      <c r="AH32" s="169"/>
      <c r="AI32" s="279" t="s">
        <v>318</v>
      </c>
      <c r="AJ32" s="333">
        <v>0</v>
      </c>
      <c r="AK32" s="333">
        <v>0</v>
      </c>
      <c r="AL32" s="333">
        <v>0</v>
      </c>
      <c r="AM32" s="333">
        <v>0</v>
      </c>
      <c r="AN32" s="333">
        <v>0</v>
      </c>
      <c r="AO32" s="333">
        <v>0</v>
      </c>
    </row>
    <row r="33" spans="1:41" s="211" customFormat="1">
      <c r="A33" s="333">
        <f>SUBTOTAL(3,$B$7:B33)</f>
        <v>27</v>
      </c>
      <c r="B33" s="169" t="s">
        <v>161</v>
      </c>
      <c r="C33" s="279" t="s">
        <v>190</v>
      </c>
      <c r="D33" s="333">
        <v>7574</v>
      </c>
      <c r="E33" s="333">
        <v>228</v>
      </c>
      <c r="F33" s="333">
        <v>0</v>
      </c>
      <c r="G33" s="333">
        <v>106</v>
      </c>
      <c r="H33" s="333">
        <v>122</v>
      </c>
      <c r="I33" s="333">
        <v>0</v>
      </c>
      <c r="J33" s="333">
        <v>162</v>
      </c>
      <c r="K33" s="333">
        <v>162</v>
      </c>
      <c r="L33" s="333"/>
      <c r="M33" s="208">
        <v>72</v>
      </c>
      <c r="N33" s="279" t="s">
        <v>190</v>
      </c>
      <c r="O33" s="333">
        <v>0</v>
      </c>
      <c r="P33" s="333">
        <v>106</v>
      </c>
      <c r="Q33" s="333">
        <v>122</v>
      </c>
      <c r="R33" s="333">
        <v>228</v>
      </c>
      <c r="S33" s="333">
        <v>7910153</v>
      </c>
      <c r="T33" s="334">
        <v>2.7</v>
      </c>
      <c r="U33" s="165"/>
      <c r="V33" s="279" t="s">
        <v>190</v>
      </c>
      <c r="W33" s="333">
        <v>162</v>
      </c>
      <c r="X33" s="333">
        <v>52385.123456790127</v>
      </c>
      <c r="Y33" s="333">
        <v>8486390</v>
      </c>
      <c r="Z33" s="169"/>
      <c r="AA33" s="279" t="s">
        <v>190</v>
      </c>
      <c r="AB33" s="333">
        <v>0</v>
      </c>
      <c r="AC33" s="333">
        <v>106</v>
      </c>
      <c r="AD33" s="333">
        <v>122</v>
      </c>
      <c r="AE33" s="333">
        <v>228</v>
      </c>
      <c r="AF33" s="333">
        <v>151</v>
      </c>
      <c r="AG33" s="333">
        <v>3345662</v>
      </c>
      <c r="AH33" s="169"/>
      <c r="AI33" s="279" t="s">
        <v>190</v>
      </c>
      <c r="AJ33" s="333">
        <v>0</v>
      </c>
      <c r="AK33" s="333">
        <v>106</v>
      </c>
      <c r="AL33" s="333">
        <v>122</v>
      </c>
      <c r="AM33" s="333">
        <v>228</v>
      </c>
      <c r="AN33" s="333">
        <v>151</v>
      </c>
      <c r="AO33" s="333">
        <v>4564491</v>
      </c>
    </row>
    <row r="34" spans="1:41" s="211" customFormat="1">
      <c r="A34" s="333">
        <f>SUBTOTAL(3,$B$7:B34)</f>
        <v>28</v>
      </c>
      <c r="B34" s="169" t="s">
        <v>161</v>
      </c>
      <c r="C34" s="279" t="s">
        <v>191</v>
      </c>
      <c r="D34" s="333">
        <v>0</v>
      </c>
      <c r="E34" s="333">
        <v>144</v>
      </c>
      <c r="F34" s="333">
        <v>0</v>
      </c>
      <c r="G34" s="333">
        <v>0</v>
      </c>
      <c r="H34" s="333">
        <v>144</v>
      </c>
      <c r="I34" s="333">
        <v>0</v>
      </c>
      <c r="J34" s="333">
        <v>29</v>
      </c>
      <c r="K34" s="333">
        <v>29</v>
      </c>
      <c r="L34" s="333"/>
      <c r="M34" s="165">
        <v>74</v>
      </c>
      <c r="N34" s="279" t="s">
        <v>191</v>
      </c>
      <c r="O34" s="333">
        <v>0</v>
      </c>
      <c r="P34" s="333">
        <v>0</v>
      </c>
      <c r="Q34" s="333">
        <v>144</v>
      </c>
      <c r="R34" s="333">
        <v>144</v>
      </c>
      <c r="S34" s="333">
        <v>4304157</v>
      </c>
      <c r="T34" s="334">
        <v>1.8</v>
      </c>
      <c r="U34" s="165"/>
      <c r="V34" s="279" t="s">
        <v>191</v>
      </c>
      <c r="W34" s="333">
        <v>29</v>
      </c>
      <c r="X34" s="333">
        <v>37259.793103448275</v>
      </c>
      <c r="Y34" s="333">
        <v>1080534</v>
      </c>
      <c r="Z34" s="169"/>
      <c r="AA34" s="279" t="s">
        <v>191</v>
      </c>
      <c r="AB34" s="333">
        <v>0</v>
      </c>
      <c r="AC34" s="333">
        <v>0</v>
      </c>
      <c r="AD34" s="333">
        <v>144</v>
      </c>
      <c r="AE34" s="333">
        <v>144</v>
      </c>
      <c r="AF34" s="333">
        <v>115</v>
      </c>
      <c r="AG34" s="333">
        <v>1627393</v>
      </c>
      <c r="AH34" s="169"/>
      <c r="AI34" s="279" t="s">
        <v>191</v>
      </c>
      <c r="AJ34" s="333">
        <v>0</v>
      </c>
      <c r="AK34" s="333">
        <v>0</v>
      </c>
      <c r="AL34" s="333">
        <v>144</v>
      </c>
      <c r="AM34" s="333">
        <v>144</v>
      </c>
      <c r="AN34" s="333">
        <v>115</v>
      </c>
      <c r="AO34" s="333">
        <v>2676764</v>
      </c>
    </row>
    <row r="35" spans="1:41" s="211" customFormat="1">
      <c r="A35" s="333">
        <f>SUBTOTAL(3,$B$7:B35)</f>
        <v>29</v>
      </c>
      <c r="B35" s="169" t="s">
        <v>106</v>
      </c>
      <c r="C35" s="279" t="s">
        <v>192</v>
      </c>
      <c r="D35" s="333">
        <v>0</v>
      </c>
      <c r="E35" s="333">
        <v>0</v>
      </c>
      <c r="F35" s="333">
        <v>0</v>
      </c>
      <c r="G35" s="333">
        <v>0</v>
      </c>
      <c r="H35" s="333">
        <v>0</v>
      </c>
      <c r="I35" s="333">
        <v>0</v>
      </c>
      <c r="J35" s="333">
        <v>2292</v>
      </c>
      <c r="K35" s="333">
        <v>2292</v>
      </c>
      <c r="L35" s="333"/>
      <c r="M35" s="165">
        <v>85</v>
      </c>
      <c r="N35" s="279" t="s">
        <v>192</v>
      </c>
      <c r="O35" s="333">
        <v>0</v>
      </c>
      <c r="P35" s="333">
        <v>0</v>
      </c>
      <c r="Q35" s="333">
        <v>0</v>
      </c>
      <c r="R35" s="333">
        <v>0</v>
      </c>
      <c r="S35" s="333">
        <v>0</v>
      </c>
      <c r="T35" s="334">
        <v>1.7</v>
      </c>
      <c r="U35" s="165"/>
      <c r="V35" s="279" t="s">
        <v>192</v>
      </c>
      <c r="W35" s="333">
        <v>2292</v>
      </c>
      <c r="X35" s="333">
        <v>36324.459424083769</v>
      </c>
      <c r="Y35" s="333">
        <v>83255661</v>
      </c>
      <c r="Z35" s="169"/>
      <c r="AA35" s="279" t="s">
        <v>192</v>
      </c>
      <c r="AB35" s="333">
        <v>0</v>
      </c>
      <c r="AC35" s="333">
        <v>0</v>
      </c>
      <c r="AD35" s="333">
        <v>0</v>
      </c>
      <c r="AE35" s="333">
        <v>0</v>
      </c>
      <c r="AF35" s="333">
        <v>0</v>
      </c>
      <c r="AG35" s="333">
        <v>0</v>
      </c>
      <c r="AH35" s="169"/>
      <c r="AI35" s="279" t="s">
        <v>192</v>
      </c>
      <c r="AJ35" s="333">
        <v>0</v>
      </c>
      <c r="AK35" s="333">
        <v>0</v>
      </c>
      <c r="AL35" s="333">
        <v>0</v>
      </c>
      <c r="AM35" s="333">
        <v>0</v>
      </c>
      <c r="AN35" s="333">
        <v>0</v>
      </c>
      <c r="AO35" s="333">
        <v>0</v>
      </c>
    </row>
    <row r="36" spans="1:41">
      <c r="A36" s="333">
        <f>SUBTOTAL(3,$B$7:B36)</f>
        <v>30</v>
      </c>
      <c r="B36" s="3" t="s">
        <v>161</v>
      </c>
      <c r="C36" s="275" t="s">
        <v>319</v>
      </c>
      <c r="D36" s="329">
        <v>0</v>
      </c>
      <c r="E36" s="329">
        <v>66</v>
      </c>
      <c r="F36" s="329">
        <v>0</v>
      </c>
      <c r="G36" s="329">
        <v>0</v>
      </c>
      <c r="H36" s="329">
        <v>66</v>
      </c>
      <c r="I36" s="329">
        <v>0</v>
      </c>
      <c r="J36" s="329">
        <v>55</v>
      </c>
      <c r="K36" s="333">
        <v>55</v>
      </c>
      <c r="L36" s="333"/>
      <c r="M36" s="208">
        <v>90</v>
      </c>
      <c r="N36" s="345" t="s">
        <v>319</v>
      </c>
      <c r="O36" s="329">
        <v>0</v>
      </c>
      <c r="P36" s="329">
        <v>0</v>
      </c>
      <c r="Q36" s="329">
        <v>66</v>
      </c>
      <c r="R36" s="333">
        <v>66</v>
      </c>
      <c r="S36" s="333">
        <v>4577653</v>
      </c>
      <c r="T36" s="335">
        <v>4.05</v>
      </c>
      <c r="U36" s="208"/>
      <c r="V36" s="279" t="s">
        <v>319</v>
      </c>
      <c r="W36" s="329">
        <v>55</v>
      </c>
      <c r="X36" s="329">
        <v>86370.818181818177</v>
      </c>
      <c r="Y36" s="329">
        <v>4750395</v>
      </c>
      <c r="Z36" s="3"/>
      <c r="AA36" s="279" t="s">
        <v>319</v>
      </c>
      <c r="AB36" s="329">
        <v>0</v>
      </c>
      <c r="AC36" s="329">
        <v>0</v>
      </c>
      <c r="AD36" s="329">
        <v>66</v>
      </c>
      <c r="AE36" s="329">
        <v>66</v>
      </c>
      <c r="AF36" s="329">
        <v>53</v>
      </c>
      <c r="AG36" s="329">
        <v>1905620</v>
      </c>
      <c r="AH36" s="3"/>
      <c r="AI36" s="279" t="s">
        <v>319</v>
      </c>
      <c r="AJ36" s="329">
        <v>0</v>
      </c>
      <c r="AK36" s="329">
        <v>0</v>
      </c>
      <c r="AL36" s="329">
        <v>66</v>
      </c>
      <c r="AM36" s="329">
        <v>66</v>
      </c>
      <c r="AN36" s="329">
        <v>53</v>
      </c>
      <c r="AO36" s="329">
        <v>2672033</v>
      </c>
    </row>
    <row r="37" spans="1:41" s="211" customFormat="1">
      <c r="A37" s="333">
        <f>SUBTOTAL(3,$B$7:B37)</f>
        <v>31</v>
      </c>
      <c r="B37" s="169" t="s">
        <v>161</v>
      </c>
      <c r="C37" s="279" t="s">
        <v>320</v>
      </c>
      <c r="D37" s="333">
        <v>0</v>
      </c>
      <c r="E37" s="333">
        <v>164</v>
      </c>
      <c r="F37" s="333">
        <v>0</v>
      </c>
      <c r="G37" s="333">
        <v>0</v>
      </c>
      <c r="H37" s="333">
        <v>164</v>
      </c>
      <c r="I37" s="333">
        <v>0</v>
      </c>
      <c r="J37" s="333">
        <v>103</v>
      </c>
      <c r="K37" s="333">
        <v>103</v>
      </c>
      <c r="L37" s="333"/>
      <c r="M37" s="165">
        <v>91</v>
      </c>
      <c r="N37" s="345" t="s">
        <v>320</v>
      </c>
      <c r="O37" s="333">
        <v>0</v>
      </c>
      <c r="P37" s="333">
        <v>0</v>
      </c>
      <c r="Q37" s="333">
        <v>164</v>
      </c>
      <c r="R37" s="333">
        <v>164</v>
      </c>
      <c r="S37" s="333">
        <v>5575665</v>
      </c>
      <c r="T37" s="334">
        <v>2</v>
      </c>
      <c r="U37" s="165"/>
      <c r="V37" s="279" t="s">
        <v>320</v>
      </c>
      <c r="W37" s="333">
        <v>103</v>
      </c>
      <c r="X37" s="333">
        <v>42562.320388349515</v>
      </c>
      <c r="Y37" s="333">
        <v>4383919</v>
      </c>
      <c r="Z37" s="169"/>
      <c r="AA37" s="279" t="s">
        <v>320</v>
      </c>
      <c r="AB37" s="333">
        <v>0</v>
      </c>
      <c r="AC37" s="333">
        <v>0</v>
      </c>
      <c r="AD37" s="333">
        <v>164</v>
      </c>
      <c r="AE37" s="333">
        <v>164</v>
      </c>
      <c r="AF37" s="333">
        <v>131</v>
      </c>
      <c r="AG37" s="333">
        <v>2334808</v>
      </c>
      <c r="AH37" s="169"/>
      <c r="AI37" s="279" t="s">
        <v>320</v>
      </c>
      <c r="AJ37" s="333">
        <v>0</v>
      </c>
      <c r="AK37" s="333">
        <v>0</v>
      </c>
      <c r="AL37" s="333">
        <v>164</v>
      </c>
      <c r="AM37" s="333">
        <v>164</v>
      </c>
      <c r="AN37" s="333">
        <v>131</v>
      </c>
      <c r="AO37" s="333">
        <v>3240857</v>
      </c>
    </row>
    <row r="38" spans="1:41" s="211" customFormat="1">
      <c r="A38" s="333">
        <f>SUBTOTAL(3,$B$7:B38)</f>
        <v>32</v>
      </c>
      <c r="B38" s="169" t="s">
        <v>161</v>
      </c>
      <c r="C38" s="279" t="s">
        <v>248</v>
      </c>
      <c r="D38" s="333">
        <v>2712</v>
      </c>
      <c r="E38" s="333">
        <v>307</v>
      </c>
      <c r="F38" s="333">
        <v>30</v>
      </c>
      <c r="G38" s="333">
        <v>2</v>
      </c>
      <c r="H38" s="333">
        <v>275</v>
      </c>
      <c r="I38" s="333">
        <v>965</v>
      </c>
      <c r="J38" s="333">
        <v>25</v>
      </c>
      <c r="K38" s="333">
        <v>990</v>
      </c>
      <c r="L38" s="333"/>
      <c r="M38" s="165">
        <v>92</v>
      </c>
      <c r="N38" s="345" t="s">
        <v>248</v>
      </c>
      <c r="O38" s="333">
        <v>30</v>
      </c>
      <c r="P38" s="333">
        <v>2</v>
      </c>
      <c r="Q38" s="333">
        <v>275</v>
      </c>
      <c r="R38" s="333">
        <v>307</v>
      </c>
      <c r="S38" s="333">
        <v>8891205</v>
      </c>
      <c r="T38" s="334">
        <v>1.98</v>
      </c>
      <c r="U38" s="165"/>
      <c r="V38" s="279" t="s">
        <v>248</v>
      </c>
      <c r="W38" s="333">
        <v>990</v>
      </c>
      <c r="X38" s="333">
        <v>39120.883838383837</v>
      </c>
      <c r="Y38" s="333">
        <v>38729675</v>
      </c>
      <c r="Z38" s="169"/>
      <c r="AA38" s="279" t="s">
        <v>248</v>
      </c>
      <c r="AB38" s="333">
        <v>30</v>
      </c>
      <c r="AC38" s="333">
        <v>2</v>
      </c>
      <c r="AD38" s="333">
        <v>275</v>
      </c>
      <c r="AE38" s="333">
        <v>307</v>
      </c>
      <c r="AF38" s="333">
        <v>227</v>
      </c>
      <c r="AG38" s="333">
        <v>3609632</v>
      </c>
      <c r="AH38" s="169"/>
      <c r="AI38" s="279" t="s">
        <v>248</v>
      </c>
      <c r="AJ38" s="333">
        <v>30</v>
      </c>
      <c r="AK38" s="333">
        <v>2</v>
      </c>
      <c r="AL38" s="333">
        <v>275</v>
      </c>
      <c r="AM38" s="333">
        <v>307</v>
      </c>
      <c r="AN38" s="333">
        <v>227</v>
      </c>
      <c r="AO38" s="333">
        <v>5281573</v>
      </c>
    </row>
    <row r="39" spans="1:41">
      <c r="A39" s="333">
        <f>SUBTOTAL(3,$B$7:B39)</f>
        <v>33</v>
      </c>
      <c r="B39" s="3" t="s">
        <v>161</v>
      </c>
      <c r="C39" s="275" t="s">
        <v>321</v>
      </c>
      <c r="D39" s="329">
        <v>0</v>
      </c>
      <c r="E39" s="329">
        <v>0</v>
      </c>
      <c r="F39" s="329">
        <v>0</v>
      </c>
      <c r="G39" s="329">
        <v>0</v>
      </c>
      <c r="H39" s="329">
        <v>0</v>
      </c>
      <c r="I39" s="329">
        <v>0</v>
      </c>
      <c r="J39" s="329">
        <v>34</v>
      </c>
      <c r="K39" s="333">
        <v>34</v>
      </c>
      <c r="L39" s="333"/>
      <c r="M39" s="208">
        <v>95</v>
      </c>
      <c r="N39" s="345" t="s">
        <v>321</v>
      </c>
      <c r="O39" s="329">
        <v>0</v>
      </c>
      <c r="P39" s="329">
        <v>0</v>
      </c>
      <c r="Q39" s="329">
        <v>0</v>
      </c>
      <c r="R39" s="333">
        <v>0</v>
      </c>
      <c r="S39" s="333">
        <v>0</v>
      </c>
      <c r="T39" s="335">
        <v>2.2000000000000002</v>
      </c>
      <c r="U39" s="208"/>
      <c r="V39" s="279" t="s">
        <v>321</v>
      </c>
      <c r="W39" s="329">
        <v>34</v>
      </c>
      <c r="X39" s="329">
        <v>38908.352941176468</v>
      </c>
      <c r="Y39" s="329">
        <v>1322884</v>
      </c>
      <c r="Z39" s="3"/>
      <c r="AA39" s="279" t="s">
        <v>321</v>
      </c>
      <c r="AB39" s="329">
        <v>0</v>
      </c>
      <c r="AC39" s="329">
        <v>0</v>
      </c>
      <c r="AD39" s="329">
        <v>0</v>
      </c>
      <c r="AE39" s="329">
        <v>0</v>
      </c>
      <c r="AF39" s="329">
        <v>0</v>
      </c>
      <c r="AG39" s="329">
        <v>0</v>
      </c>
      <c r="AH39" s="3"/>
      <c r="AI39" s="279" t="s">
        <v>321</v>
      </c>
      <c r="AJ39" s="329">
        <v>0</v>
      </c>
      <c r="AK39" s="329">
        <v>0</v>
      </c>
      <c r="AL39" s="329">
        <v>0</v>
      </c>
      <c r="AM39" s="329">
        <v>0</v>
      </c>
      <c r="AN39" s="329">
        <v>0</v>
      </c>
      <c r="AO39" s="329">
        <v>0</v>
      </c>
    </row>
    <row r="40" spans="1:41" s="211" customFormat="1">
      <c r="A40" s="333">
        <f>SUBTOTAL(3,$B$7:B40)</f>
        <v>34</v>
      </c>
      <c r="B40" s="169" t="s">
        <v>108</v>
      </c>
      <c r="C40" s="279" t="s">
        <v>322</v>
      </c>
      <c r="D40" s="333">
        <v>0</v>
      </c>
      <c r="E40" s="333">
        <v>182</v>
      </c>
      <c r="F40" s="333">
        <v>0</v>
      </c>
      <c r="G40" s="333">
        <v>0</v>
      </c>
      <c r="H40" s="333">
        <v>182</v>
      </c>
      <c r="I40" s="333">
        <v>0</v>
      </c>
      <c r="J40" s="333">
        <v>40</v>
      </c>
      <c r="K40" s="333">
        <v>40</v>
      </c>
      <c r="L40" s="333"/>
      <c r="M40" s="165">
        <v>97</v>
      </c>
      <c r="N40" s="345" t="s">
        <v>322</v>
      </c>
      <c r="O40" s="333">
        <v>0</v>
      </c>
      <c r="P40" s="333">
        <v>0</v>
      </c>
      <c r="Q40" s="333">
        <v>182</v>
      </c>
      <c r="R40" s="333">
        <v>182</v>
      </c>
      <c r="S40" s="333">
        <v>10751887</v>
      </c>
      <c r="T40" s="334">
        <v>3.46</v>
      </c>
      <c r="U40" s="165"/>
      <c r="V40" s="279" t="s">
        <v>322</v>
      </c>
      <c r="W40" s="333">
        <v>40</v>
      </c>
      <c r="X40" s="333">
        <v>73643.05</v>
      </c>
      <c r="Y40" s="333">
        <v>2945722</v>
      </c>
      <c r="Z40" s="169"/>
      <c r="AA40" s="279" t="s">
        <v>322</v>
      </c>
      <c r="AB40" s="333">
        <v>0</v>
      </c>
      <c r="AC40" s="333">
        <v>0</v>
      </c>
      <c r="AD40" s="333">
        <v>182</v>
      </c>
      <c r="AE40" s="333">
        <v>182</v>
      </c>
      <c r="AF40" s="333">
        <v>146</v>
      </c>
      <c r="AG40" s="333">
        <v>4500604</v>
      </c>
      <c r="AH40" s="169"/>
      <c r="AI40" s="279" t="s">
        <v>322</v>
      </c>
      <c r="AJ40" s="333">
        <v>0</v>
      </c>
      <c r="AK40" s="333">
        <v>0</v>
      </c>
      <c r="AL40" s="333">
        <v>182</v>
      </c>
      <c r="AM40" s="333">
        <v>182</v>
      </c>
      <c r="AN40" s="333">
        <v>146</v>
      </c>
      <c r="AO40" s="333">
        <v>6251283</v>
      </c>
    </row>
    <row r="41" spans="1:41">
      <c r="A41" s="333">
        <f>SUBTOTAL(3,$B$7:B41)</f>
        <v>35</v>
      </c>
      <c r="B41" s="3" t="s">
        <v>108</v>
      </c>
      <c r="C41" s="275" t="s">
        <v>323</v>
      </c>
      <c r="D41" s="329">
        <v>0</v>
      </c>
      <c r="E41" s="329">
        <v>129</v>
      </c>
      <c r="F41" s="329">
        <v>0</v>
      </c>
      <c r="G41" s="329">
        <v>0</v>
      </c>
      <c r="H41" s="329">
        <v>129</v>
      </c>
      <c r="I41" s="329">
        <v>0</v>
      </c>
      <c r="J41" s="329">
        <v>17</v>
      </c>
      <c r="K41" s="333">
        <v>17</v>
      </c>
      <c r="L41" s="333"/>
      <c r="M41" s="165">
        <v>98</v>
      </c>
      <c r="N41" s="345" t="s">
        <v>323</v>
      </c>
      <c r="O41" s="329">
        <v>0</v>
      </c>
      <c r="P41" s="329">
        <v>0</v>
      </c>
      <c r="Q41" s="329">
        <v>129</v>
      </c>
      <c r="R41" s="333">
        <v>129</v>
      </c>
      <c r="S41" s="333">
        <v>7264411</v>
      </c>
      <c r="T41" s="335">
        <v>3.26</v>
      </c>
      <c r="U41" s="208"/>
      <c r="V41" s="279" t="s">
        <v>323</v>
      </c>
      <c r="W41" s="329">
        <v>17</v>
      </c>
      <c r="X41" s="329">
        <v>70528.23529411765</v>
      </c>
      <c r="Y41" s="329">
        <v>1198980</v>
      </c>
      <c r="Z41" s="3"/>
      <c r="AA41" s="279" t="s">
        <v>323</v>
      </c>
      <c r="AB41" s="329">
        <v>0</v>
      </c>
      <c r="AC41" s="329">
        <v>0</v>
      </c>
      <c r="AD41" s="329">
        <v>129</v>
      </c>
      <c r="AE41" s="329">
        <v>129</v>
      </c>
      <c r="AF41" s="329">
        <v>103</v>
      </c>
      <c r="AG41" s="329">
        <v>2903453</v>
      </c>
      <c r="AH41" s="3"/>
      <c r="AI41" s="279" t="s">
        <v>323</v>
      </c>
      <c r="AJ41" s="329">
        <v>0</v>
      </c>
      <c r="AK41" s="329">
        <v>0</v>
      </c>
      <c r="AL41" s="329">
        <v>129</v>
      </c>
      <c r="AM41" s="329">
        <v>129</v>
      </c>
      <c r="AN41" s="329">
        <v>103</v>
      </c>
      <c r="AO41" s="329">
        <v>4360958</v>
      </c>
    </row>
    <row r="42" spans="1:41" s="211" customFormat="1">
      <c r="A42" s="333">
        <f>SUBTOTAL(3,$B$7:B42)</f>
        <v>36</v>
      </c>
      <c r="B42" s="169" t="s">
        <v>108</v>
      </c>
      <c r="C42" s="279" t="s">
        <v>324</v>
      </c>
      <c r="D42" s="333">
        <v>0</v>
      </c>
      <c r="E42" s="333">
        <v>109</v>
      </c>
      <c r="F42" s="333">
        <v>0</v>
      </c>
      <c r="G42" s="333">
        <v>0</v>
      </c>
      <c r="H42" s="333">
        <v>109</v>
      </c>
      <c r="I42" s="333">
        <v>0</v>
      </c>
      <c r="J42" s="333">
        <v>84</v>
      </c>
      <c r="K42" s="333">
        <v>84</v>
      </c>
      <c r="L42" s="333"/>
      <c r="M42" s="208">
        <v>99</v>
      </c>
      <c r="N42" s="345" t="s">
        <v>324</v>
      </c>
      <c r="O42" s="333">
        <v>0</v>
      </c>
      <c r="P42" s="333">
        <v>0</v>
      </c>
      <c r="Q42" s="333">
        <v>109</v>
      </c>
      <c r="R42" s="333">
        <v>109</v>
      </c>
      <c r="S42" s="333">
        <v>7454935</v>
      </c>
      <c r="T42" s="334">
        <v>3.96</v>
      </c>
      <c r="U42" s="165"/>
      <c r="V42" s="279" t="s">
        <v>324</v>
      </c>
      <c r="W42" s="333">
        <v>84</v>
      </c>
      <c r="X42" s="333">
        <v>83663.25</v>
      </c>
      <c r="Y42" s="333">
        <v>7027713</v>
      </c>
      <c r="Z42" s="169"/>
      <c r="AA42" s="279" t="s">
        <v>324</v>
      </c>
      <c r="AB42" s="333">
        <v>0</v>
      </c>
      <c r="AC42" s="333">
        <v>0</v>
      </c>
      <c r="AD42" s="333">
        <v>109</v>
      </c>
      <c r="AE42" s="333">
        <v>109</v>
      </c>
      <c r="AF42" s="333">
        <v>87</v>
      </c>
      <c r="AG42" s="333">
        <v>2979602</v>
      </c>
      <c r="AH42" s="169"/>
      <c r="AI42" s="279" t="s">
        <v>324</v>
      </c>
      <c r="AJ42" s="333">
        <v>0</v>
      </c>
      <c r="AK42" s="333">
        <v>0</v>
      </c>
      <c r="AL42" s="333">
        <v>109</v>
      </c>
      <c r="AM42" s="333">
        <v>109</v>
      </c>
      <c r="AN42" s="333">
        <v>87</v>
      </c>
      <c r="AO42" s="333">
        <v>4475333</v>
      </c>
    </row>
    <row r="43" spans="1:41" s="211" customFormat="1">
      <c r="A43" s="333">
        <f>SUBTOTAL(3,$B$7:B43)</f>
        <v>37</v>
      </c>
      <c r="B43" s="169" t="s">
        <v>161</v>
      </c>
      <c r="C43" s="279" t="s">
        <v>162</v>
      </c>
      <c r="D43" s="333">
        <v>0</v>
      </c>
      <c r="E43" s="333">
        <v>101</v>
      </c>
      <c r="F43" s="333">
        <v>0</v>
      </c>
      <c r="G43" s="333">
        <v>0</v>
      </c>
      <c r="H43" s="333">
        <v>101</v>
      </c>
      <c r="I43" s="333">
        <v>0</v>
      </c>
      <c r="J43" s="333">
        <v>91</v>
      </c>
      <c r="K43" s="333">
        <v>91</v>
      </c>
      <c r="L43" s="333"/>
      <c r="M43" s="165">
        <v>100</v>
      </c>
      <c r="N43" s="345" t="s">
        <v>162</v>
      </c>
      <c r="O43" s="333">
        <v>0</v>
      </c>
      <c r="P43" s="333">
        <v>0</v>
      </c>
      <c r="Q43" s="333">
        <v>101</v>
      </c>
      <c r="R43" s="333">
        <v>101</v>
      </c>
      <c r="S43" s="333">
        <v>6659079</v>
      </c>
      <c r="T43" s="334">
        <v>3.8</v>
      </c>
      <c r="U43" s="165"/>
      <c r="V43" s="279" t="s">
        <v>162</v>
      </c>
      <c r="W43" s="333">
        <v>91</v>
      </c>
      <c r="X43" s="333">
        <v>82210.857142857145</v>
      </c>
      <c r="Y43" s="333">
        <v>7481188</v>
      </c>
      <c r="Z43" s="169"/>
      <c r="AA43" s="279" t="s">
        <v>162</v>
      </c>
      <c r="AB43" s="333">
        <v>0</v>
      </c>
      <c r="AC43" s="333">
        <v>0</v>
      </c>
      <c r="AD43" s="333">
        <v>101</v>
      </c>
      <c r="AE43" s="333">
        <v>101</v>
      </c>
      <c r="AF43" s="333">
        <v>81</v>
      </c>
      <c r="AG43" s="333">
        <v>2661513</v>
      </c>
      <c r="AH43" s="169"/>
      <c r="AI43" s="279" t="s">
        <v>162</v>
      </c>
      <c r="AJ43" s="333">
        <v>0</v>
      </c>
      <c r="AK43" s="333">
        <v>0</v>
      </c>
      <c r="AL43" s="333">
        <v>101</v>
      </c>
      <c r="AM43" s="333">
        <v>101</v>
      </c>
      <c r="AN43" s="333">
        <v>81</v>
      </c>
      <c r="AO43" s="333">
        <v>3997566</v>
      </c>
    </row>
    <row r="44" spans="1:41">
      <c r="A44" s="333">
        <f>SUBTOTAL(3,$B$7:B44)</f>
        <v>38</v>
      </c>
      <c r="B44" s="3" t="s">
        <v>108</v>
      </c>
      <c r="C44" s="275" t="s">
        <v>325</v>
      </c>
      <c r="D44" s="329">
        <v>0</v>
      </c>
      <c r="E44" s="329">
        <v>99</v>
      </c>
      <c r="F44" s="329">
        <v>0</v>
      </c>
      <c r="G44" s="329">
        <v>0</v>
      </c>
      <c r="H44" s="329">
        <v>99</v>
      </c>
      <c r="I44" s="329">
        <v>0</v>
      </c>
      <c r="J44" s="329">
        <v>185</v>
      </c>
      <c r="K44" s="333">
        <v>185</v>
      </c>
      <c r="L44" s="333"/>
      <c r="M44" s="165">
        <v>101</v>
      </c>
      <c r="N44" s="345" t="s">
        <v>325</v>
      </c>
      <c r="O44" s="329">
        <v>0</v>
      </c>
      <c r="P44" s="329">
        <v>0</v>
      </c>
      <c r="Q44" s="329">
        <v>99</v>
      </c>
      <c r="R44" s="333">
        <v>99</v>
      </c>
      <c r="S44" s="333">
        <v>7964501</v>
      </c>
      <c r="T44" s="335">
        <v>4.66</v>
      </c>
      <c r="U44" s="208"/>
      <c r="V44" s="279" t="s">
        <v>325</v>
      </c>
      <c r="W44" s="329">
        <v>185</v>
      </c>
      <c r="X44" s="329">
        <v>100816.47027027026</v>
      </c>
      <c r="Y44" s="329">
        <v>18651047</v>
      </c>
      <c r="Z44" s="3"/>
      <c r="AA44" s="279" t="s">
        <v>325</v>
      </c>
      <c r="AB44" s="329">
        <v>0</v>
      </c>
      <c r="AC44" s="329">
        <v>0</v>
      </c>
      <c r="AD44" s="329">
        <v>99</v>
      </c>
      <c r="AE44" s="329">
        <v>99</v>
      </c>
      <c r="AF44" s="329">
        <v>79</v>
      </c>
      <c r="AG44" s="329">
        <v>3183266</v>
      </c>
      <c r="AH44" s="3"/>
      <c r="AI44" s="279" t="s">
        <v>325</v>
      </c>
      <c r="AJ44" s="329">
        <v>0</v>
      </c>
      <c r="AK44" s="329">
        <v>0</v>
      </c>
      <c r="AL44" s="329">
        <v>99</v>
      </c>
      <c r="AM44" s="329">
        <v>99</v>
      </c>
      <c r="AN44" s="329">
        <v>79</v>
      </c>
      <c r="AO44" s="329">
        <v>4781235</v>
      </c>
    </row>
    <row r="45" spans="1:41">
      <c r="A45" s="333">
        <f>SUBTOTAL(3,$B$7:B45)</f>
        <v>39</v>
      </c>
      <c r="B45" s="3" t="s">
        <v>161</v>
      </c>
      <c r="C45" s="275" t="s">
        <v>326</v>
      </c>
      <c r="D45" s="329">
        <v>0</v>
      </c>
      <c r="E45" s="329">
        <v>0</v>
      </c>
      <c r="F45" s="329">
        <v>0</v>
      </c>
      <c r="G45" s="329">
        <v>0</v>
      </c>
      <c r="H45" s="329">
        <v>0</v>
      </c>
      <c r="I45" s="329">
        <v>0</v>
      </c>
      <c r="J45" s="329">
        <v>19</v>
      </c>
      <c r="K45" s="333">
        <v>19</v>
      </c>
      <c r="L45" s="333"/>
      <c r="M45" s="208">
        <v>102</v>
      </c>
      <c r="N45" s="345" t="s">
        <v>326</v>
      </c>
      <c r="O45" s="329">
        <v>0</v>
      </c>
      <c r="P45" s="329">
        <v>0</v>
      </c>
      <c r="Q45" s="329">
        <v>0</v>
      </c>
      <c r="R45" s="333">
        <v>0</v>
      </c>
      <c r="S45" s="333">
        <v>0</v>
      </c>
      <c r="T45" s="335">
        <v>2.2000000000000002</v>
      </c>
      <c r="U45" s="208"/>
      <c r="V45" s="279" t="s">
        <v>326</v>
      </c>
      <c r="W45" s="329">
        <v>19</v>
      </c>
      <c r="X45" s="329">
        <v>38824.526315789473</v>
      </c>
      <c r="Y45" s="329">
        <v>737666</v>
      </c>
      <c r="Z45" s="3"/>
      <c r="AA45" s="279" t="s">
        <v>326</v>
      </c>
      <c r="AB45" s="329">
        <v>0</v>
      </c>
      <c r="AC45" s="329">
        <v>0</v>
      </c>
      <c r="AD45" s="329">
        <v>0</v>
      </c>
      <c r="AE45" s="329">
        <v>0</v>
      </c>
      <c r="AF45" s="329">
        <v>0</v>
      </c>
      <c r="AG45" s="329">
        <v>0</v>
      </c>
      <c r="AH45" s="3"/>
      <c r="AI45" s="279" t="s">
        <v>326</v>
      </c>
      <c r="AJ45" s="329">
        <v>0</v>
      </c>
      <c r="AK45" s="329">
        <v>0</v>
      </c>
      <c r="AL45" s="329">
        <v>0</v>
      </c>
      <c r="AM45" s="329">
        <v>0</v>
      </c>
      <c r="AN45" s="329">
        <v>0</v>
      </c>
      <c r="AO45" s="329">
        <v>0</v>
      </c>
    </row>
    <row r="46" spans="1:41">
      <c r="A46" s="333">
        <f>SUBTOTAL(3,$B$7:B46)</f>
        <v>40</v>
      </c>
      <c r="B46" s="3" t="s">
        <v>161</v>
      </c>
      <c r="C46" s="275" t="s">
        <v>163</v>
      </c>
      <c r="D46" s="329">
        <v>0</v>
      </c>
      <c r="E46" s="329">
        <v>0</v>
      </c>
      <c r="F46" s="329">
        <v>0</v>
      </c>
      <c r="G46" s="329">
        <v>0</v>
      </c>
      <c r="H46" s="329">
        <v>0</v>
      </c>
      <c r="I46" s="329">
        <v>0</v>
      </c>
      <c r="J46" s="329">
        <v>38</v>
      </c>
      <c r="K46" s="333">
        <v>38</v>
      </c>
      <c r="L46" s="333"/>
      <c r="M46" s="165">
        <v>103</v>
      </c>
      <c r="N46" s="279" t="s">
        <v>163</v>
      </c>
      <c r="O46" s="329">
        <v>0</v>
      </c>
      <c r="P46" s="329">
        <v>0</v>
      </c>
      <c r="Q46" s="329">
        <v>0</v>
      </c>
      <c r="R46" s="333">
        <v>0</v>
      </c>
      <c r="S46" s="333">
        <v>0</v>
      </c>
      <c r="T46" s="335">
        <v>1.65</v>
      </c>
      <c r="U46" s="208"/>
      <c r="V46" s="279" t="s">
        <v>163</v>
      </c>
      <c r="W46" s="329">
        <v>38</v>
      </c>
      <c r="X46" s="329">
        <v>35681.552631578947</v>
      </c>
      <c r="Y46" s="329">
        <v>1355899</v>
      </c>
      <c r="Z46" s="3"/>
      <c r="AA46" s="279" t="s">
        <v>163</v>
      </c>
      <c r="AB46" s="329">
        <v>0</v>
      </c>
      <c r="AC46" s="329">
        <v>0</v>
      </c>
      <c r="AD46" s="329">
        <v>0</v>
      </c>
      <c r="AE46" s="329">
        <v>0</v>
      </c>
      <c r="AF46" s="329">
        <v>0</v>
      </c>
      <c r="AG46" s="329">
        <v>0</v>
      </c>
      <c r="AH46" s="3"/>
      <c r="AI46" s="279" t="s">
        <v>163</v>
      </c>
      <c r="AJ46" s="329">
        <v>0</v>
      </c>
      <c r="AK46" s="329">
        <v>0</v>
      </c>
      <c r="AL46" s="329">
        <v>0</v>
      </c>
      <c r="AM46" s="329">
        <v>0</v>
      </c>
      <c r="AN46" s="329">
        <v>0</v>
      </c>
      <c r="AO46" s="329">
        <v>0</v>
      </c>
    </row>
    <row r="47" spans="1:41" s="211" customFormat="1">
      <c r="A47" s="333">
        <f>SUBTOTAL(3,$B$7:B47)</f>
        <v>41</v>
      </c>
      <c r="B47" s="169" t="s">
        <v>161</v>
      </c>
      <c r="C47" s="279" t="s">
        <v>164</v>
      </c>
      <c r="D47" s="333">
        <v>0</v>
      </c>
      <c r="E47" s="333">
        <v>0</v>
      </c>
      <c r="F47" s="333">
        <v>0</v>
      </c>
      <c r="G47" s="333">
        <v>0</v>
      </c>
      <c r="H47" s="333">
        <v>0</v>
      </c>
      <c r="I47" s="333">
        <v>0</v>
      </c>
      <c r="J47" s="333">
        <v>33</v>
      </c>
      <c r="K47" s="333">
        <v>33</v>
      </c>
      <c r="L47" s="333"/>
      <c r="M47" s="165">
        <v>104</v>
      </c>
      <c r="N47" s="279" t="s">
        <v>164</v>
      </c>
      <c r="O47" s="333">
        <v>0</v>
      </c>
      <c r="P47" s="333">
        <v>0</v>
      </c>
      <c r="Q47" s="333">
        <v>0</v>
      </c>
      <c r="R47" s="333">
        <v>0</v>
      </c>
      <c r="S47" s="333">
        <v>0</v>
      </c>
      <c r="T47" s="334">
        <v>3.8</v>
      </c>
      <c r="U47" s="165"/>
      <c r="V47" s="279" t="s">
        <v>164</v>
      </c>
      <c r="W47" s="333">
        <v>33</v>
      </c>
      <c r="X47" s="333">
        <v>82209.696969696975</v>
      </c>
      <c r="Y47" s="333">
        <v>2712920</v>
      </c>
      <c r="Z47" s="169"/>
      <c r="AA47" s="279" t="s">
        <v>164</v>
      </c>
      <c r="AB47" s="333">
        <v>0</v>
      </c>
      <c r="AC47" s="333">
        <v>0</v>
      </c>
      <c r="AD47" s="333">
        <v>0</v>
      </c>
      <c r="AE47" s="333">
        <v>0</v>
      </c>
      <c r="AF47" s="333">
        <v>0</v>
      </c>
      <c r="AG47" s="333">
        <v>0</v>
      </c>
      <c r="AH47" s="169"/>
      <c r="AI47" s="279" t="s">
        <v>164</v>
      </c>
      <c r="AJ47" s="333">
        <v>0</v>
      </c>
      <c r="AK47" s="333">
        <v>0</v>
      </c>
      <c r="AL47" s="333">
        <v>0</v>
      </c>
      <c r="AM47" s="333">
        <v>0</v>
      </c>
      <c r="AN47" s="333">
        <v>0</v>
      </c>
      <c r="AO47" s="333">
        <v>0</v>
      </c>
    </row>
    <row r="48" spans="1:41">
      <c r="A48" s="333">
        <f>SUBTOTAL(3,$B$7:B48)</f>
        <v>42</v>
      </c>
      <c r="B48" s="3" t="s">
        <v>161</v>
      </c>
      <c r="C48" s="275" t="s">
        <v>165</v>
      </c>
      <c r="D48" s="329">
        <v>0</v>
      </c>
      <c r="E48" s="329">
        <v>179</v>
      </c>
      <c r="F48" s="329">
        <v>0</v>
      </c>
      <c r="G48" s="329">
        <v>0</v>
      </c>
      <c r="H48" s="329">
        <v>179</v>
      </c>
      <c r="I48" s="329">
        <v>0</v>
      </c>
      <c r="J48" s="329">
        <v>0</v>
      </c>
      <c r="K48" s="333">
        <v>0</v>
      </c>
      <c r="L48" s="333"/>
      <c r="M48" s="208">
        <v>105</v>
      </c>
      <c r="N48" s="279" t="s">
        <v>165</v>
      </c>
      <c r="O48" s="329">
        <v>0</v>
      </c>
      <c r="P48" s="329">
        <v>0</v>
      </c>
      <c r="Q48" s="329">
        <v>179</v>
      </c>
      <c r="R48" s="333">
        <v>179</v>
      </c>
      <c r="S48" s="333">
        <v>6187449</v>
      </c>
      <c r="T48" s="335">
        <v>2</v>
      </c>
      <c r="U48" s="208"/>
      <c r="V48" s="279" t="s">
        <v>165</v>
      </c>
      <c r="W48" s="329">
        <v>0</v>
      </c>
      <c r="X48" s="329">
        <v>0</v>
      </c>
      <c r="Y48" s="329">
        <v>0</v>
      </c>
      <c r="Z48" s="3"/>
      <c r="AA48" s="279" t="s">
        <v>165</v>
      </c>
      <c r="AB48" s="329">
        <v>0</v>
      </c>
      <c r="AC48" s="329">
        <v>0</v>
      </c>
      <c r="AD48" s="329">
        <v>179</v>
      </c>
      <c r="AE48" s="329">
        <v>179</v>
      </c>
      <c r="AF48" s="329">
        <v>143</v>
      </c>
      <c r="AG48" s="329">
        <v>2473011</v>
      </c>
      <c r="AH48" s="3"/>
      <c r="AI48" s="279" t="s">
        <v>165</v>
      </c>
      <c r="AJ48" s="329">
        <v>0</v>
      </c>
      <c r="AK48" s="329">
        <v>0</v>
      </c>
      <c r="AL48" s="329">
        <v>179</v>
      </c>
      <c r="AM48" s="329">
        <v>179</v>
      </c>
      <c r="AN48" s="329">
        <v>143</v>
      </c>
      <c r="AO48" s="329">
        <v>3714438</v>
      </c>
    </row>
    <row r="49" spans="1:41" s="211" customFormat="1">
      <c r="A49" s="333">
        <f>SUBTOTAL(3,$B$7:B49)</f>
        <v>43</v>
      </c>
      <c r="B49" s="169" t="s">
        <v>107</v>
      </c>
      <c r="C49" s="279" t="s">
        <v>166</v>
      </c>
      <c r="D49" s="333">
        <v>0</v>
      </c>
      <c r="E49" s="333">
        <v>71</v>
      </c>
      <c r="F49" s="333">
        <v>0</v>
      </c>
      <c r="G49" s="333">
        <v>0</v>
      </c>
      <c r="H49" s="333">
        <v>71</v>
      </c>
      <c r="I49" s="333">
        <v>0</v>
      </c>
      <c r="J49" s="333">
        <v>27</v>
      </c>
      <c r="K49" s="333">
        <v>27</v>
      </c>
      <c r="L49" s="333"/>
      <c r="M49" s="165">
        <v>106</v>
      </c>
      <c r="N49" s="279" t="s">
        <v>166</v>
      </c>
      <c r="O49" s="333">
        <v>0</v>
      </c>
      <c r="P49" s="333">
        <v>0</v>
      </c>
      <c r="Q49" s="333">
        <v>71</v>
      </c>
      <c r="R49" s="333">
        <v>71</v>
      </c>
      <c r="S49" s="333">
        <v>4747677</v>
      </c>
      <c r="T49" s="334">
        <v>3.5</v>
      </c>
      <c r="U49" s="165"/>
      <c r="V49" s="279" t="s">
        <v>166</v>
      </c>
      <c r="W49" s="333">
        <v>27</v>
      </c>
      <c r="X49" s="333">
        <v>83292.555555555562</v>
      </c>
      <c r="Y49" s="333">
        <v>2248899</v>
      </c>
      <c r="Z49" s="169"/>
      <c r="AA49" s="279" t="s">
        <v>166</v>
      </c>
      <c r="AB49" s="333">
        <v>0</v>
      </c>
      <c r="AC49" s="333">
        <v>0</v>
      </c>
      <c r="AD49" s="333">
        <v>71</v>
      </c>
      <c r="AE49" s="333">
        <v>71</v>
      </c>
      <c r="AF49" s="333">
        <v>57</v>
      </c>
      <c r="AG49" s="333">
        <v>1897560</v>
      </c>
      <c r="AH49" s="169"/>
      <c r="AI49" s="279" t="s">
        <v>166</v>
      </c>
      <c r="AJ49" s="333">
        <v>0</v>
      </c>
      <c r="AK49" s="333">
        <v>0</v>
      </c>
      <c r="AL49" s="333">
        <v>71</v>
      </c>
      <c r="AM49" s="333">
        <v>71</v>
      </c>
      <c r="AN49" s="333">
        <v>57</v>
      </c>
      <c r="AO49" s="333">
        <v>2850117</v>
      </c>
    </row>
    <row r="50" spans="1:41">
      <c r="A50" s="333">
        <f>SUBTOTAL(3,$B$7:B50)</f>
        <v>44</v>
      </c>
      <c r="B50" s="3" t="s">
        <v>105</v>
      </c>
      <c r="C50" s="275" t="s">
        <v>327</v>
      </c>
      <c r="D50" s="329">
        <v>0</v>
      </c>
      <c r="E50" s="329">
        <v>196</v>
      </c>
      <c r="F50" s="329">
        <v>0</v>
      </c>
      <c r="G50" s="329">
        <v>0</v>
      </c>
      <c r="H50" s="329">
        <v>196</v>
      </c>
      <c r="I50" s="329">
        <v>0</v>
      </c>
      <c r="J50" s="329">
        <v>25</v>
      </c>
      <c r="K50" s="333">
        <v>25</v>
      </c>
      <c r="L50" s="333"/>
      <c r="M50" s="165">
        <v>107</v>
      </c>
      <c r="N50" s="345" t="s">
        <v>327</v>
      </c>
      <c r="O50" s="329">
        <v>0</v>
      </c>
      <c r="P50" s="329">
        <v>0</v>
      </c>
      <c r="Q50" s="329">
        <v>196</v>
      </c>
      <c r="R50" s="333">
        <v>196</v>
      </c>
      <c r="S50" s="333">
        <v>6283721</v>
      </c>
      <c r="T50" s="335">
        <v>1.85</v>
      </c>
      <c r="U50" s="208"/>
      <c r="V50" s="279" t="s">
        <v>327</v>
      </c>
      <c r="W50" s="329">
        <v>25</v>
      </c>
      <c r="X50" s="329">
        <v>40023.68</v>
      </c>
      <c r="Y50" s="329">
        <v>1000592</v>
      </c>
      <c r="Z50" s="3"/>
      <c r="AA50" s="279" t="s">
        <v>327</v>
      </c>
      <c r="AB50" s="329">
        <v>0</v>
      </c>
      <c r="AC50" s="329">
        <v>0</v>
      </c>
      <c r="AD50" s="329">
        <v>196</v>
      </c>
      <c r="AE50" s="329">
        <v>196</v>
      </c>
      <c r="AF50" s="329">
        <v>157</v>
      </c>
      <c r="AG50" s="329">
        <v>2511489</v>
      </c>
      <c r="AH50" s="3"/>
      <c r="AI50" s="279" t="s">
        <v>327</v>
      </c>
      <c r="AJ50" s="329">
        <v>0</v>
      </c>
      <c r="AK50" s="329">
        <v>0</v>
      </c>
      <c r="AL50" s="329">
        <v>196</v>
      </c>
      <c r="AM50" s="329">
        <v>196</v>
      </c>
      <c r="AN50" s="329">
        <v>157</v>
      </c>
      <c r="AO50" s="329">
        <v>3772232</v>
      </c>
    </row>
    <row r="51" spans="1:41">
      <c r="A51" s="333">
        <f>SUBTOTAL(3,$B$7:B51)</f>
        <v>45</v>
      </c>
      <c r="B51" s="3" t="s">
        <v>161</v>
      </c>
      <c r="C51" s="275" t="s">
        <v>240</v>
      </c>
      <c r="D51" s="329">
        <v>10247</v>
      </c>
      <c r="E51" s="329">
        <v>378</v>
      </c>
      <c r="F51" s="329">
        <v>20</v>
      </c>
      <c r="G51" s="329">
        <v>112</v>
      </c>
      <c r="H51" s="329">
        <v>246</v>
      </c>
      <c r="I51" s="329">
        <v>0</v>
      </c>
      <c r="J51" s="329">
        <v>177</v>
      </c>
      <c r="K51" s="333">
        <v>177</v>
      </c>
      <c r="L51" s="333"/>
      <c r="M51" s="208">
        <v>108</v>
      </c>
      <c r="N51" s="345" t="s">
        <v>240</v>
      </c>
      <c r="O51" s="329">
        <v>20</v>
      </c>
      <c r="P51" s="329">
        <v>112</v>
      </c>
      <c r="Q51" s="329">
        <v>246</v>
      </c>
      <c r="R51" s="333">
        <v>378</v>
      </c>
      <c r="S51" s="333">
        <v>9502769</v>
      </c>
      <c r="T51" s="335">
        <v>1.9</v>
      </c>
      <c r="U51" s="208"/>
      <c r="V51" s="279" t="s">
        <v>240</v>
      </c>
      <c r="W51" s="329">
        <v>177</v>
      </c>
      <c r="X51" s="329">
        <v>36984.875706214691</v>
      </c>
      <c r="Y51" s="329">
        <v>6546323</v>
      </c>
      <c r="Z51" s="3"/>
      <c r="AA51" s="279" t="s">
        <v>240</v>
      </c>
      <c r="AB51" s="329">
        <v>20</v>
      </c>
      <c r="AC51" s="329">
        <v>112</v>
      </c>
      <c r="AD51" s="329">
        <v>246</v>
      </c>
      <c r="AE51" s="329">
        <v>378</v>
      </c>
      <c r="AF51" s="329">
        <v>257</v>
      </c>
      <c r="AG51" s="329">
        <v>4025106</v>
      </c>
      <c r="AH51" s="3"/>
      <c r="AI51" s="279" t="s">
        <v>240</v>
      </c>
      <c r="AJ51" s="329">
        <v>20</v>
      </c>
      <c r="AK51" s="329">
        <v>112</v>
      </c>
      <c r="AL51" s="329">
        <v>246</v>
      </c>
      <c r="AM51" s="329">
        <v>378</v>
      </c>
      <c r="AN51" s="329">
        <v>257</v>
      </c>
      <c r="AO51" s="329">
        <v>5477663</v>
      </c>
    </row>
    <row r="52" spans="1:41">
      <c r="A52" s="333">
        <f>SUBTOTAL(3,$B$7:B52)</f>
        <v>46</v>
      </c>
      <c r="B52" s="3" t="s">
        <v>161</v>
      </c>
      <c r="C52" s="275" t="s">
        <v>328</v>
      </c>
      <c r="D52" s="329">
        <v>0</v>
      </c>
      <c r="E52" s="329">
        <v>249</v>
      </c>
      <c r="F52" s="329">
        <v>0</v>
      </c>
      <c r="G52" s="329">
        <v>0</v>
      </c>
      <c r="H52" s="329">
        <v>249</v>
      </c>
      <c r="I52" s="329">
        <v>0</v>
      </c>
      <c r="J52" s="329">
        <v>13</v>
      </c>
      <c r="K52" s="333">
        <v>13</v>
      </c>
      <c r="L52" s="333"/>
      <c r="M52" s="165">
        <v>109</v>
      </c>
      <c r="N52" s="345" t="s">
        <v>328</v>
      </c>
      <c r="O52" s="329">
        <v>0</v>
      </c>
      <c r="P52" s="329">
        <v>0</v>
      </c>
      <c r="Q52" s="329">
        <v>249</v>
      </c>
      <c r="R52" s="333">
        <v>249</v>
      </c>
      <c r="S52" s="333">
        <v>7852672</v>
      </c>
      <c r="T52" s="335">
        <v>1.85</v>
      </c>
      <c r="U52" s="208"/>
      <c r="V52" s="279" t="s">
        <v>328</v>
      </c>
      <c r="W52" s="329">
        <v>13</v>
      </c>
      <c r="X52" s="329">
        <v>39460.692307692305</v>
      </c>
      <c r="Y52" s="329">
        <v>512989</v>
      </c>
      <c r="Z52" s="3"/>
      <c r="AA52" s="279" t="s">
        <v>328</v>
      </c>
      <c r="AB52" s="329">
        <v>0</v>
      </c>
      <c r="AC52" s="329">
        <v>0</v>
      </c>
      <c r="AD52" s="329">
        <v>249</v>
      </c>
      <c r="AE52" s="329">
        <v>249</v>
      </c>
      <c r="AF52" s="329">
        <v>199</v>
      </c>
      <c r="AG52" s="329">
        <v>3229345</v>
      </c>
      <c r="AH52" s="3"/>
      <c r="AI52" s="279" t="s">
        <v>328</v>
      </c>
      <c r="AJ52" s="329">
        <v>0</v>
      </c>
      <c r="AK52" s="329">
        <v>0</v>
      </c>
      <c r="AL52" s="329">
        <v>249</v>
      </c>
      <c r="AM52" s="329">
        <v>249</v>
      </c>
      <c r="AN52" s="329">
        <v>199</v>
      </c>
      <c r="AO52" s="329">
        <v>4623327</v>
      </c>
    </row>
    <row r="53" spans="1:41" s="211" customFormat="1">
      <c r="A53" s="333">
        <f>SUBTOTAL(3,$B$7:B53)</f>
        <v>47</v>
      </c>
      <c r="B53" s="169" t="s">
        <v>161</v>
      </c>
      <c r="C53" s="279" t="s">
        <v>329</v>
      </c>
      <c r="D53" s="333">
        <v>0</v>
      </c>
      <c r="E53" s="333">
        <v>68</v>
      </c>
      <c r="F53" s="333">
        <v>0</v>
      </c>
      <c r="G53" s="333">
        <v>0</v>
      </c>
      <c r="H53" s="333">
        <v>68</v>
      </c>
      <c r="I53" s="333">
        <v>0</v>
      </c>
      <c r="J53" s="333">
        <v>46</v>
      </c>
      <c r="K53" s="333">
        <v>46</v>
      </c>
      <c r="L53" s="333"/>
      <c r="M53" s="165">
        <v>110</v>
      </c>
      <c r="N53" s="345" t="s">
        <v>329</v>
      </c>
      <c r="O53" s="333">
        <v>0</v>
      </c>
      <c r="P53" s="333">
        <v>0</v>
      </c>
      <c r="Q53" s="333">
        <v>68</v>
      </c>
      <c r="R53" s="333">
        <v>68</v>
      </c>
      <c r="S53" s="333">
        <v>1902233</v>
      </c>
      <c r="T53" s="334">
        <v>1.65</v>
      </c>
      <c r="U53" s="165"/>
      <c r="V53" s="279" t="s">
        <v>329</v>
      </c>
      <c r="W53" s="333">
        <v>46</v>
      </c>
      <c r="X53" s="333">
        <v>35226.521739130432</v>
      </c>
      <c r="Y53" s="333">
        <v>1620420</v>
      </c>
      <c r="Z53" s="169"/>
      <c r="AA53" s="279" t="s">
        <v>329</v>
      </c>
      <c r="AB53" s="333">
        <v>0</v>
      </c>
      <c r="AC53" s="333">
        <v>0</v>
      </c>
      <c r="AD53" s="333">
        <v>68</v>
      </c>
      <c r="AE53" s="333">
        <v>68</v>
      </c>
      <c r="AF53" s="333">
        <v>54</v>
      </c>
      <c r="AG53" s="333">
        <v>778886</v>
      </c>
      <c r="AH53" s="169"/>
      <c r="AI53" s="279" t="s">
        <v>329</v>
      </c>
      <c r="AJ53" s="333">
        <v>0</v>
      </c>
      <c r="AK53" s="333">
        <v>0</v>
      </c>
      <c r="AL53" s="333">
        <v>68</v>
      </c>
      <c r="AM53" s="333">
        <v>68</v>
      </c>
      <c r="AN53" s="333">
        <v>54</v>
      </c>
      <c r="AO53" s="333">
        <v>1123347</v>
      </c>
    </row>
    <row r="54" spans="1:41" s="211" customFormat="1">
      <c r="A54" s="333">
        <f>SUBTOTAL(3,$B$7:B54)</f>
        <v>48</v>
      </c>
      <c r="B54" s="169" t="s">
        <v>161</v>
      </c>
      <c r="C54" s="279" t="s">
        <v>330</v>
      </c>
      <c r="D54" s="333">
        <v>0</v>
      </c>
      <c r="E54" s="333">
        <v>96</v>
      </c>
      <c r="F54" s="333">
        <v>0</v>
      </c>
      <c r="G54" s="333">
        <v>0</v>
      </c>
      <c r="H54" s="333">
        <v>96</v>
      </c>
      <c r="I54" s="333">
        <v>0</v>
      </c>
      <c r="J54" s="333">
        <v>75</v>
      </c>
      <c r="K54" s="333">
        <v>75</v>
      </c>
      <c r="L54" s="333"/>
      <c r="M54" s="208">
        <v>111</v>
      </c>
      <c r="N54" s="345" t="s">
        <v>330</v>
      </c>
      <c r="O54" s="333">
        <v>0</v>
      </c>
      <c r="P54" s="333">
        <v>0</v>
      </c>
      <c r="Q54" s="333">
        <v>96</v>
      </c>
      <c r="R54" s="333">
        <v>96</v>
      </c>
      <c r="S54" s="333">
        <v>1662915</v>
      </c>
      <c r="T54" s="334">
        <v>1.02</v>
      </c>
      <c r="U54" s="165"/>
      <c r="V54" s="279" t="s">
        <v>330</v>
      </c>
      <c r="W54" s="333">
        <v>75</v>
      </c>
      <c r="X54" s="333">
        <v>21474.959999999999</v>
      </c>
      <c r="Y54" s="333">
        <v>1610622</v>
      </c>
      <c r="Z54" s="169"/>
      <c r="AA54" s="279" t="s">
        <v>330</v>
      </c>
      <c r="AB54" s="333">
        <v>0</v>
      </c>
      <c r="AC54" s="333">
        <v>0</v>
      </c>
      <c r="AD54" s="333">
        <v>96</v>
      </c>
      <c r="AE54" s="333">
        <v>96</v>
      </c>
      <c r="AF54" s="333">
        <v>77</v>
      </c>
      <c r="AG54" s="333">
        <v>703516</v>
      </c>
      <c r="AH54" s="169"/>
      <c r="AI54" s="279" t="s">
        <v>330</v>
      </c>
      <c r="AJ54" s="333">
        <v>0</v>
      </c>
      <c r="AK54" s="333">
        <v>0</v>
      </c>
      <c r="AL54" s="333">
        <v>96</v>
      </c>
      <c r="AM54" s="333">
        <v>96</v>
      </c>
      <c r="AN54" s="333">
        <v>77</v>
      </c>
      <c r="AO54" s="333">
        <v>959399</v>
      </c>
    </row>
    <row r="55" spans="1:41" s="211" customFormat="1">
      <c r="A55" s="333">
        <f>SUBTOTAL(3,$B$7:B55)</f>
        <v>49</v>
      </c>
      <c r="B55" s="169" t="s">
        <v>161</v>
      </c>
      <c r="C55" s="279" t="s">
        <v>331</v>
      </c>
      <c r="D55" s="333">
        <v>0</v>
      </c>
      <c r="E55" s="333">
        <v>63</v>
      </c>
      <c r="F55" s="333">
        <v>0</v>
      </c>
      <c r="G55" s="333">
        <v>0</v>
      </c>
      <c r="H55" s="333">
        <v>63</v>
      </c>
      <c r="I55" s="333">
        <v>0</v>
      </c>
      <c r="J55" s="333">
        <v>0</v>
      </c>
      <c r="K55" s="333">
        <v>0</v>
      </c>
      <c r="L55" s="333"/>
      <c r="M55" s="165">
        <v>112</v>
      </c>
      <c r="N55" s="345" t="s">
        <v>331</v>
      </c>
      <c r="O55" s="333">
        <v>0</v>
      </c>
      <c r="P55" s="333">
        <v>0</v>
      </c>
      <c r="Q55" s="333">
        <v>63</v>
      </c>
      <c r="R55" s="333">
        <v>63</v>
      </c>
      <c r="S55" s="333">
        <v>1166158</v>
      </c>
      <c r="T55" s="334">
        <v>1.1000000000000001</v>
      </c>
      <c r="U55" s="165"/>
      <c r="V55" s="279" t="s">
        <v>331</v>
      </c>
      <c r="W55" s="333">
        <v>0</v>
      </c>
      <c r="X55" s="333">
        <v>0</v>
      </c>
      <c r="Y55" s="333">
        <v>0</v>
      </c>
      <c r="Z55" s="169"/>
      <c r="AA55" s="279" t="s">
        <v>331</v>
      </c>
      <c r="AB55" s="333">
        <v>0</v>
      </c>
      <c r="AC55" s="333">
        <v>0</v>
      </c>
      <c r="AD55" s="333">
        <v>63</v>
      </c>
      <c r="AE55" s="333">
        <v>63</v>
      </c>
      <c r="AF55" s="333">
        <v>50</v>
      </c>
      <c r="AG55" s="333">
        <v>493357</v>
      </c>
      <c r="AH55" s="169"/>
      <c r="AI55" s="279" t="s">
        <v>331</v>
      </c>
      <c r="AJ55" s="333">
        <v>0</v>
      </c>
      <c r="AK55" s="333">
        <v>0</v>
      </c>
      <c r="AL55" s="333">
        <v>63</v>
      </c>
      <c r="AM55" s="333">
        <v>63</v>
      </c>
      <c r="AN55" s="333">
        <v>50</v>
      </c>
      <c r="AO55" s="333">
        <v>672801</v>
      </c>
    </row>
    <row r="56" spans="1:41">
      <c r="A56" s="333">
        <f>SUBTOTAL(3,$B$7:B56)</f>
        <v>50</v>
      </c>
      <c r="B56" s="3" t="s">
        <v>161</v>
      </c>
      <c r="C56" s="275" t="s">
        <v>332</v>
      </c>
      <c r="D56" s="329">
        <v>0</v>
      </c>
      <c r="E56" s="329">
        <v>81</v>
      </c>
      <c r="F56" s="329">
        <v>0</v>
      </c>
      <c r="G56" s="329">
        <v>0</v>
      </c>
      <c r="H56" s="329">
        <v>81</v>
      </c>
      <c r="I56" s="329">
        <v>0</v>
      </c>
      <c r="J56" s="329">
        <v>37</v>
      </c>
      <c r="K56" s="333">
        <v>37</v>
      </c>
      <c r="L56" s="333"/>
      <c r="M56" s="165">
        <v>113</v>
      </c>
      <c r="N56" s="345" t="s">
        <v>332</v>
      </c>
      <c r="O56" s="329">
        <v>0</v>
      </c>
      <c r="P56" s="329">
        <v>0</v>
      </c>
      <c r="Q56" s="329">
        <v>81</v>
      </c>
      <c r="R56" s="333">
        <v>81</v>
      </c>
      <c r="S56" s="333">
        <v>1516005</v>
      </c>
      <c r="T56" s="335">
        <v>1.1000000000000001</v>
      </c>
      <c r="U56" s="208"/>
      <c r="V56" s="279" t="s">
        <v>332</v>
      </c>
      <c r="W56" s="329">
        <v>37</v>
      </c>
      <c r="X56" s="329">
        <v>23323.162162162163</v>
      </c>
      <c r="Y56" s="329">
        <v>862957</v>
      </c>
      <c r="Z56" s="3"/>
      <c r="AA56" s="279" t="s">
        <v>332</v>
      </c>
      <c r="AB56" s="329">
        <v>0</v>
      </c>
      <c r="AC56" s="329">
        <v>0</v>
      </c>
      <c r="AD56" s="329">
        <v>81</v>
      </c>
      <c r="AE56" s="329">
        <v>81</v>
      </c>
      <c r="AF56" s="329">
        <v>65</v>
      </c>
      <c r="AG56" s="329">
        <v>641364</v>
      </c>
      <c r="AH56" s="3"/>
      <c r="AI56" s="279" t="s">
        <v>332</v>
      </c>
      <c r="AJ56" s="329">
        <v>0</v>
      </c>
      <c r="AK56" s="329">
        <v>0</v>
      </c>
      <c r="AL56" s="329">
        <v>81</v>
      </c>
      <c r="AM56" s="329">
        <v>81</v>
      </c>
      <c r="AN56" s="329">
        <v>65</v>
      </c>
      <c r="AO56" s="329">
        <v>874641</v>
      </c>
    </row>
    <row r="57" spans="1:41">
      <c r="A57" s="333">
        <f>SUBTOTAL(3,$B$7:B57)</f>
        <v>51</v>
      </c>
      <c r="B57" s="3" t="s">
        <v>161</v>
      </c>
      <c r="C57" s="275" t="s">
        <v>333</v>
      </c>
      <c r="D57" s="329">
        <v>0</v>
      </c>
      <c r="E57" s="329">
        <v>56</v>
      </c>
      <c r="F57" s="329">
        <v>0</v>
      </c>
      <c r="G57" s="329">
        <v>0</v>
      </c>
      <c r="H57" s="329">
        <v>56</v>
      </c>
      <c r="I57" s="329">
        <v>0</v>
      </c>
      <c r="J57" s="329">
        <v>4</v>
      </c>
      <c r="K57" s="333">
        <v>4</v>
      </c>
      <c r="L57" s="333"/>
      <c r="M57" s="208">
        <v>114</v>
      </c>
      <c r="N57" s="345" t="s">
        <v>333</v>
      </c>
      <c r="O57" s="329">
        <v>0</v>
      </c>
      <c r="P57" s="329">
        <v>0</v>
      </c>
      <c r="Q57" s="329">
        <v>56</v>
      </c>
      <c r="R57" s="333">
        <v>56</v>
      </c>
      <c r="S57" s="333">
        <v>3816515</v>
      </c>
      <c r="T57" s="335">
        <v>4</v>
      </c>
      <c r="U57" s="208"/>
      <c r="V57" s="279" t="s">
        <v>333</v>
      </c>
      <c r="W57" s="329">
        <v>4</v>
      </c>
      <c r="X57" s="329">
        <v>84811.5</v>
      </c>
      <c r="Y57" s="329">
        <v>339246</v>
      </c>
      <c r="Z57" s="3"/>
      <c r="AA57" s="279" t="s">
        <v>333</v>
      </c>
      <c r="AB57" s="329">
        <v>0</v>
      </c>
      <c r="AC57" s="329">
        <v>0</v>
      </c>
      <c r="AD57" s="329">
        <v>56</v>
      </c>
      <c r="AE57" s="329">
        <v>56</v>
      </c>
      <c r="AF57" s="329">
        <v>45</v>
      </c>
      <c r="AG57" s="329">
        <v>1614622</v>
      </c>
      <c r="AH57" s="3"/>
      <c r="AI57" s="279" t="s">
        <v>333</v>
      </c>
      <c r="AJ57" s="329">
        <v>0</v>
      </c>
      <c r="AK57" s="329">
        <v>0</v>
      </c>
      <c r="AL57" s="329">
        <v>56</v>
      </c>
      <c r="AM57" s="329">
        <v>56</v>
      </c>
      <c r="AN57" s="329">
        <v>45</v>
      </c>
      <c r="AO57" s="329">
        <v>2201893</v>
      </c>
    </row>
    <row r="58" spans="1:41">
      <c r="A58" s="333">
        <f>SUBTOTAL(3,$B$7:B58)</f>
        <v>52</v>
      </c>
      <c r="B58" s="3" t="s">
        <v>161</v>
      </c>
      <c r="C58" s="275" t="s">
        <v>334</v>
      </c>
      <c r="D58" s="329">
        <v>0</v>
      </c>
      <c r="E58" s="329">
        <v>187</v>
      </c>
      <c r="F58" s="329">
        <v>0</v>
      </c>
      <c r="G58" s="329">
        <v>0</v>
      </c>
      <c r="H58" s="329">
        <v>187</v>
      </c>
      <c r="I58" s="329">
        <v>0</v>
      </c>
      <c r="J58" s="329">
        <v>94</v>
      </c>
      <c r="K58" s="333">
        <v>94</v>
      </c>
      <c r="L58" s="333"/>
      <c r="M58" s="165">
        <v>115</v>
      </c>
      <c r="N58" s="345" t="s">
        <v>334</v>
      </c>
      <c r="O58" s="329">
        <v>0</v>
      </c>
      <c r="P58" s="329">
        <v>0</v>
      </c>
      <c r="Q58" s="329">
        <v>187</v>
      </c>
      <c r="R58" s="333">
        <v>187</v>
      </c>
      <c r="S58" s="333">
        <v>6996945</v>
      </c>
      <c r="T58" s="335">
        <v>2.2000000000000002</v>
      </c>
      <c r="U58" s="208"/>
      <c r="V58" s="279" t="s">
        <v>334</v>
      </c>
      <c r="W58" s="329">
        <v>94</v>
      </c>
      <c r="X58" s="329">
        <v>46646.297872340423</v>
      </c>
      <c r="Y58" s="329">
        <v>4384752</v>
      </c>
      <c r="Z58" s="3"/>
      <c r="AA58" s="279" t="s">
        <v>334</v>
      </c>
      <c r="AB58" s="329">
        <v>0</v>
      </c>
      <c r="AC58" s="329">
        <v>0</v>
      </c>
      <c r="AD58" s="329">
        <v>187</v>
      </c>
      <c r="AE58" s="329">
        <v>187</v>
      </c>
      <c r="AF58" s="329">
        <v>150</v>
      </c>
      <c r="AG58" s="329">
        <v>2960141</v>
      </c>
      <c r="AH58" s="3"/>
      <c r="AI58" s="279" t="s">
        <v>334</v>
      </c>
      <c r="AJ58" s="329">
        <v>0</v>
      </c>
      <c r="AK58" s="329">
        <v>0</v>
      </c>
      <c r="AL58" s="329">
        <v>187</v>
      </c>
      <c r="AM58" s="329">
        <v>187</v>
      </c>
      <c r="AN58" s="329">
        <v>150</v>
      </c>
      <c r="AO58" s="329">
        <v>4036804</v>
      </c>
    </row>
    <row r="59" spans="1:41" s="211" customFormat="1">
      <c r="A59" s="333">
        <f>SUBTOTAL(3,$B$7:B59)</f>
        <v>53</v>
      </c>
      <c r="B59" s="169" t="s">
        <v>161</v>
      </c>
      <c r="C59" s="279" t="s">
        <v>335</v>
      </c>
      <c r="D59" s="333">
        <v>0</v>
      </c>
      <c r="E59" s="333">
        <v>132</v>
      </c>
      <c r="F59" s="333">
        <v>0</v>
      </c>
      <c r="G59" s="333">
        <v>0</v>
      </c>
      <c r="H59" s="333">
        <v>132</v>
      </c>
      <c r="I59" s="333">
        <v>0</v>
      </c>
      <c r="J59" s="333">
        <v>0</v>
      </c>
      <c r="K59" s="333">
        <v>0</v>
      </c>
      <c r="L59" s="333"/>
      <c r="M59" s="165">
        <v>116</v>
      </c>
      <c r="N59" s="345" t="s">
        <v>335</v>
      </c>
      <c r="O59" s="333">
        <v>0</v>
      </c>
      <c r="P59" s="333">
        <v>0</v>
      </c>
      <c r="Q59" s="333">
        <v>132</v>
      </c>
      <c r="R59" s="333">
        <v>132</v>
      </c>
      <c r="S59" s="333">
        <v>6046604</v>
      </c>
      <c r="T59" s="334">
        <v>2.7</v>
      </c>
      <c r="U59" s="165"/>
      <c r="V59" s="279" t="s">
        <v>335</v>
      </c>
      <c r="W59" s="333">
        <v>0</v>
      </c>
      <c r="X59" s="333">
        <v>0</v>
      </c>
      <c r="Y59" s="333">
        <v>0</v>
      </c>
      <c r="Z59" s="169"/>
      <c r="AA59" s="279" t="s">
        <v>335</v>
      </c>
      <c r="AB59" s="333">
        <v>0</v>
      </c>
      <c r="AC59" s="333">
        <v>0</v>
      </c>
      <c r="AD59" s="333">
        <v>132</v>
      </c>
      <c r="AE59" s="333">
        <v>132</v>
      </c>
      <c r="AF59" s="333">
        <v>106</v>
      </c>
      <c r="AG59" s="333">
        <v>2558088</v>
      </c>
      <c r="AH59" s="169"/>
      <c r="AI59" s="279" t="s">
        <v>335</v>
      </c>
      <c r="AJ59" s="333">
        <v>0</v>
      </c>
      <c r="AK59" s="333">
        <v>0</v>
      </c>
      <c r="AL59" s="333">
        <v>132</v>
      </c>
      <c r="AM59" s="333">
        <v>132</v>
      </c>
      <c r="AN59" s="333">
        <v>106</v>
      </c>
      <c r="AO59" s="333">
        <v>3488516</v>
      </c>
    </row>
    <row r="60" spans="1:41" s="211" customFormat="1">
      <c r="A60" s="333">
        <f>SUBTOTAL(3,$B$7:B60)</f>
        <v>54</v>
      </c>
      <c r="B60" s="169" t="s">
        <v>161</v>
      </c>
      <c r="C60" s="279" t="s">
        <v>336</v>
      </c>
      <c r="D60" s="333">
        <v>0</v>
      </c>
      <c r="E60" s="333">
        <v>0</v>
      </c>
      <c r="F60" s="333">
        <v>0</v>
      </c>
      <c r="G60" s="333">
        <v>0</v>
      </c>
      <c r="H60" s="333">
        <v>0</v>
      </c>
      <c r="I60" s="333">
        <v>0</v>
      </c>
      <c r="J60" s="333">
        <v>10</v>
      </c>
      <c r="K60" s="333">
        <v>10</v>
      </c>
      <c r="L60" s="333"/>
      <c r="M60" s="208">
        <v>117</v>
      </c>
      <c r="N60" s="345" t="s">
        <v>336</v>
      </c>
      <c r="O60" s="333">
        <v>0</v>
      </c>
      <c r="P60" s="333">
        <v>0</v>
      </c>
      <c r="Q60" s="333">
        <v>0</v>
      </c>
      <c r="R60" s="333">
        <v>0</v>
      </c>
      <c r="S60" s="333">
        <v>0</v>
      </c>
      <c r="T60" s="334">
        <v>2.7</v>
      </c>
      <c r="U60" s="165"/>
      <c r="V60" s="279" t="s">
        <v>336</v>
      </c>
      <c r="W60" s="333">
        <v>10</v>
      </c>
      <c r="X60" s="333">
        <v>57247.8</v>
      </c>
      <c r="Y60" s="333">
        <v>572478</v>
      </c>
      <c r="Z60" s="169"/>
      <c r="AA60" s="279" t="s">
        <v>336</v>
      </c>
      <c r="AB60" s="333">
        <v>0</v>
      </c>
      <c r="AC60" s="333">
        <v>0</v>
      </c>
      <c r="AD60" s="333">
        <v>0</v>
      </c>
      <c r="AE60" s="333">
        <v>0</v>
      </c>
      <c r="AF60" s="333">
        <v>0</v>
      </c>
      <c r="AG60" s="333">
        <v>0</v>
      </c>
      <c r="AH60" s="169"/>
      <c r="AI60" s="279" t="s">
        <v>336</v>
      </c>
      <c r="AJ60" s="333">
        <v>0</v>
      </c>
      <c r="AK60" s="333">
        <v>0</v>
      </c>
      <c r="AL60" s="333">
        <v>0</v>
      </c>
      <c r="AM60" s="333">
        <v>0</v>
      </c>
      <c r="AN60" s="333">
        <v>0</v>
      </c>
      <c r="AO60" s="333">
        <v>0</v>
      </c>
    </row>
    <row r="61" spans="1:41">
      <c r="A61" s="333">
        <f>SUBTOTAL(3,$B$7:B61)</f>
        <v>55</v>
      </c>
      <c r="B61" s="3" t="s">
        <v>161</v>
      </c>
      <c r="C61" s="275" t="s">
        <v>337</v>
      </c>
      <c r="D61" s="329">
        <v>0</v>
      </c>
      <c r="E61" s="329">
        <v>0</v>
      </c>
      <c r="F61" s="329">
        <v>0</v>
      </c>
      <c r="G61" s="329">
        <v>0</v>
      </c>
      <c r="H61" s="329">
        <v>0</v>
      </c>
      <c r="I61" s="329">
        <v>0</v>
      </c>
      <c r="J61" s="329">
        <v>26</v>
      </c>
      <c r="K61" s="333">
        <v>26</v>
      </c>
      <c r="L61" s="333"/>
      <c r="M61" s="165">
        <v>118</v>
      </c>
      <c r="N61" s="345" t="s">
        <v>337</v>
      </c>
      <c r="O61" s="329">
        <v>0</v>
      </c>
      <c r="P61" s="329">
        <v>0</v>
      </c>
      <c r="Q61" s="329">
        <v>0</v>
      </c>
      <c r="R61" s="333">
        <v>0</v>
      </c>
      <c r="S61" s="333">
        <v>0</v>
      </c>
      <c r="T61" s="335">
        <v>2.7</v>
      </c>
      <c r="U61" s="208"/>
      <c r="V61" s="279" t="s">
        <v>337</v>
      </c>
      <c r="W61" s="329">
        <v>26</v>
      </c>
      <c r="X61" s="329">
        <v>57247.730769230766</v>
      </c>
      <c r="Y61" s="329">
        <v>1488441</v>
      </c>
      <c r="Z61" s="3"/>
      <c r="AA61" s="279" t="s">
        <v>337</v>
      </c>
      <c r="AB61" s="329">
        <v>0</v>
      </c>
      <c r="AC61" s="329">
        <v>0</v>
      </c>
      <c r="AD61" s="329">
        <v>0</v>
      </c>
      <c r="AE61" s="329">
        <v>0</v>
      </c>
      <c r="AF61" s="329">
        <v>0</v>
      </c>
      <c r="AG61" s="329">
        <v>0</v>
      </c>
      <c r="AH61" s="3"/>
      <c r="AI61" s="279" t="s">
        <v>337</v>
      </c>
      <c r="AJ61" s="329">
        <v>0</v>
      </c>
      <c r="AK61" s="329">
        <v>0</v>
      </c>
      <c r="AL61" s="329">
        <v>0</v>
      </c>
      <c r="AM61" s="329">
        <v>0</v>
      </c>
      <c r="AN61" s="329">
        <v>0</v>
      </c>
      <c r="AO61" s="329">
        <v>0</v>
      </c>
    </row>
    <row r="62" spans="1:41">
      <c r="A62" s="333">
        <f>SUBTOTAL(3,$B$7:B62)</f>
        <v>56</v>
      </c>
      <c r="B62" s="3" t="s">
        <v>161</v>
      </c>
      <c r="C62" s="275" t="s">
        <v>338</v>
      </c>
      <c r="D62" s="329">
        <v>0</v>
      </c>
      <c r="E62" s="329">
        <v>32</v>
      </c>
      <c r="F62" s="329">
        <v>0</v>
      </c>
      <c r="G62" s="329">
        <v>0</v>
      </c>
      <c r="H62" s="329">
        <v>32</v>
      </c>
      <c r="I62" s="329">
        <v>0</v>
      </c>
      <c r="J62" s="329">
        <v>18</v>
      </c>
      <c r="K62" s="333">
        <v>18</v>
      </c>
      <c r="L62" s="333"/>
      <c r="M62" s="165">
        <v>119</v>
      </c>
      <c r="N62" s="345" t="s">
        <v>338</v>
      </c>
      <c r="O62" s="329">
        <v>0</v>
      </c>
      <c r="P62" s="329">
        <v>0</v>
      </c>
      <c r="Q62" s="329">
        <v>32</v>
      </c>
      <c r="R62" s="333">
        <v>32</v>
      </c>
      <c r="S62" s="333">
        <v>1193790</v>
      </c>
      <c r="T62" s="335">
        <v>2.2000000000000002</v>
      </c>
      <c r="U62" s="208"/>
      <c r="V62" s="279" t="s">
        <v>338</v>
      </c>
      <c r="W62" s="329">
        <v>18</v>
      </c>
      <c r="X62" s="329">
        <v>41487.055555555555</v>
      </c>
      <c r="Y62" s="329">
        <v>746767</v>
      </c>
      <c r="Z62" s="3"/>
      <c r="AA62" s="279" t="s">
        <v>338</v>
      </c>
      <c r="AB62" s="329">
        <v>0</v>
      </c>
      <c r="AC62" s="329">
        <v>0</v>
      </c>
      <c r="AD62" s="329">
        <v>32</v>
      </c>
      <c r="AE62" s="329">
        <v>32</v>
      </c>
      <c r="AF62" s="329">
        <v>26</v>
      </c>
      <c r="AG62" s="329">
        <v>505047</v>
      </c>
      <c r="AH62" s="3"/>
      <c r="AI62" s="279" t="s">
        <v>338</v>
      </c>
      <c r="AJ62" s="329">
        <v>0</v>
      </c>
      <c r="AK62" s="329">
        <v>0</v>
      </c>
      <c r="AL62" s="329">
        <v>32</v>
      </c>
      <c r="AM62" s="329">
        <v>32</v>
      </c>
      <c r="AN62" s="329">
        <v>26</v>
      </c>
      <c r="AO62" s="329">
        <v>688743</v>
      </c>
    </row>
    <row r="63" spans="1:41" s="211" customFormat="1">
      <c r="A63" s="333">
        <f>SUBTOTAL(3,$B$7:B63)</f>
        <v>57</v>
      </c>
      <c r="B63" s="169" t="s">
        <v>161</v>
      </c>
      <c r="C63" s="279" t="s">
        <v>339</v>
      </c>
      <c r="D63" s="333">
        <v>0</v>
      </c>
      <c r="E63" s="333">
        <v>200</v>
      </c>
      <c r="F63" s="333">
        <v>0</v>
      </c>
      <c r="G63" s="333">
        <v>0</v>
      </c>
      <c r="H63" s="333">
        <v>200</v>
      </c>
      <c r="I63" s="333">
        <v>0</v>
      </c>
      <c r="J63" s="333">
        <v>18</v>
      </c>
      <c r="K63" s="333">
        <v>18</v>
      </c>
      <c r="L63" s="333"/>
      <c r="M63" s="208">
        <v>120</v>
      </c>
      <c r="N63" s="345" t="s">
        <v>339</v>
      </c>
      <c r="O63" s="333">
        <v>0</v>
      </c>
      <c r="P63" s="333">
        <v>0</v>
      </c>
      <c r="Q63" s="333">
        <v>200</v>
      </c>
      <c r="R63" s="333">
        <v>200</v>
      </c>
      <c r="S63" s="333">
        <v>9159637</v>
      </c>
      <c r="T63" s="334">
        <v>2.7</v>
      </c>
      <c r="U63" s="165"/>
      <c r="V63" s="279" t="s">
        <v>339</v>
      </c>
      <c r="W63" s="333">
        <v>18</v>
      </c>
      <c r="X63" s="333">
        <v>57247.777777777781</v>
      </c>
      <c r="Y63" s="333">
        <v>1030460</v>
      </c>
      <c r="Z63" s="169"/>
      <c r="AA63" s="279" t="s">
        <v>339</v>
      </c>
      <c r="AB63" s="333">
        <v>0</v>
      </c>
      <c r="AC63" s="333">
        <v>0</v>
      </c>
      <c r="AD63" s="333">
        <v>200</v>
      </c>
      <c r="AE63" s="333">
        <v>200</v>
      </c>
      <c r="AF63" s="333">
        <v>160</v>
      </c>
      <c r="AG63" s="333">
        <v>3875093</v>
      </c>
      <c r="AH63" s="169"/>
      <c r="AI63" s="279" t="s">
        <v>339</v>
      </c>
      <c r="AJ63" s="333">
        <v>0</v>
      </c>
      <c r="AK63" s="333">
        <v>0</v>
      </c>
      <c r="AL63" s="333">
        <v>200</v>
      </c>
      <c r="AM63" s="333">
        <v>200</v>
      </c>
      <c r="AN63" s="333">
        <v>160</v>
      </c>
      <c r="AO63" s="333">
        <v>5284544</v>
      </c>
    </row>
    <row r="64" spans="1:41" s="211" customFormat="1">
      <c r="A64" s="333">
        <f>SUBTOTAL(3,$B$7:B64)</f>
        <v>58</v>
      </c>
      <c r="B64" s="169" t="s">
        <v>161</v>
      </c>
      <c r="C64" s="279" t="s">
        <v>340</v>
      </c>
      <c r="D64" s="333">
        <v>0</v>
      </c>
      <c r="E64" s="333">
        <v>250</v>
      </c>
      <c r="F64" s="333">
        <v>0</v>
      </c>
      <c r="G64" s="333">
        <v>0</v>
      </c>
      <c r="H64" s="333">
        <v>250</v>
      </c>
      <c r="I64" s="333">
        <v>0</v>
      </c>
      <c r="J64" s="333">
        <v>0</v>
      </c>
      <c r="K64" s="333">
        <v>0</v>
      </c>
      <c r="L64" s="333"/>
      <c r="M64" s="165">
        <v>121</v>
      </c>
      <c r="N64" s="345" t="s">
        <v>340</v>
      </c>
      <c r="O64" s="333">
        <v>0</v>
      </c>
      <c r="P64" s="333">
        <v>0</v>
      </c>
      <c r="Q64" s="333">
        <v>250</v>
      </c>
      <c r="R64" s="333">
        <v>250</v>
      </c>
      <c r="S64" s="333">
        <v>9396639</v>
      </c>
      <c r="T64" s="334">
        <v>2.2000000000000002</v>
      </c>
      <c r="U64" s="165"/>
      <c r="V64" s="279" t="s">
        <v>340</v>
      </c>
      <c r="W64" s="333">
        <v>0</v>
      </c>
      <c r="X64" s="333">
        <v>0</v>
      </c>
      <c r="Y64" s="333">
        <v>0</v>
      </c>
      <c r="Z64" s="169"/>
      <c r="AA64" s="279" t="s">
        <v>340</v>
      </c>
      <c r="AB64" s="333">
        <v>0</v>
      </c>
      <c r="AC64" s="333">
        <v>0</v>
      </c>
      <c r="AD64" s="333">
        <v>250</v>
      </c>
      <c r="AE64" s="333">
        <v>250</v>
      </c>
      <c r="AF64" s="333">
        <v>200</v>
      </c>
      <c r="AG64" s="333">
        <v>3841830</v>
      </c>
      <c r="AH64" s="169"/>
      <c r="AI64" s="279" t="s">
        <v>340</v>
      </c>
      <c r="AJ64" s="333">
        <v>0</v>
      </c>
      <c r="AK64" s="333">
        <v>0</v>
      </c>
      <c r="AL64" s="333">
        <v>250</v>
      </c>
      <c r="AM64" s="333">
        <v>250</v>
      </c>
      <c r="AN64" s="333">
        <v>200</v>
      </c>
      <c r="AO64" s="333">
        <v>5554809</v>
      </c>
    </row>
    <row r="65" spans="1:41">
      <c r="A65" s="333">
        <f>SUBTOTAL(3,$B$7:B65)</f>
        <v>59</v>
      </c>
      <c r="B65" s="3" t="s">
        <v>161</v>
      </c>
      <c r="C65" s="275" t="s">
        <v>341</v>
      </c>
      <c r="D65" s="329">
        <v>0</v>
      </c>
      <c r="E65" s="329">
        <v>55</v>
      </c>
      <c r="F65" s="329">
        <v>0</v>
      </c>
      <c r="G65" s="329">
        <v>0</v>
      </c>
      <c r="H65" s="329">
        <v>55</v>
      </c>
      <c r="I65" s="329">
        <v>0</v>
      </c>
      <c r="J65" s="329">
        <v>38</v>
      </c>
      <c r="K65" s="333">
        <v>38</v>
      </c>
      <c r="L65" s="333"/>
      <c r="M65" s="165">
        <v>122</v>
      </c>
      <c r="N65" s="345" t="s">
        <v>341</v>
      </c>
      <c r="O65" s="329">
        <v>0</v>
      </c>
      <c r="P65" s="329">
        <v>0</v>
      </c>
      <c r="Q65" s="329">
        <v>55</v>
      </c>
      <c r="R65" s="333">
        <v>55</v>
      </c>
      <c r="S65" s="333">
        <v>2056699</v>
      </c>
      <c r="T65" s="335">
        <v>2.2000000000000002</v>
      </c>
      <c r="U65" s="208"/>
      <c r="V65" s="279" t="s">
        <v>341</v>
      </c>
      <c r="W65" s="329">
        <v>38</v>
      </c>
      <c r="X65" s="329">
        <v>46726.105263157893</v>
      </c>
      <c r="Y65" s="329">
        <v>1775592</v>
      </c>
      <c r="Z65" s="3"/>
      <c r="AA65" s="279" t="s">
        <v>341</v>
      </c>
      <c r="AB65" s="329">
        <v>0</v>
      </c>
      <c r="AC65" s="329">
        <v>0</v>
      </c>
      <c r="AD65" s="329">
        <v>55</v>
      </c>
      <c r="AE65" s="329">
        <v>55</v>
      </c>
      <c r="AF65" s="329">
        <v>44</v>
      </c>
      <c r="AG65" s="329">
        <v>861665</v>
      </c>
      <c r="AH65" s="3"/>
      <c r="AI65" s="279" t="s">
        <v>341</v>
      </c>
      <c r="AJ65" s="329">
        <v>0</v>
      </c>
      <c r="AK65" s="329">
        <v>0</v>
      </c>
      <c r="AL65" s="329">
        <v>55</v>
      </c>
      <c r="AM65" s="329">
        <v>55</v>
      </c>
      <c r="AN65" s="329">
        <v>44</v>
      </c>
      <c r="AO65" s="329">
        <v>1195034</v>
      </c>
    </row>
    <row r="66" spans="1:41">
      <c r="A66" s="333">
        <f>SUBTOTAL(3,$B$7:B66)</f>
        <v>60</v>
      </c>
      <c r="B66" s="3" t="s">
        <v>161</v>
      </c>
      <c r="C66" s="275" t="s">
        <v>342</v>
      </c>
      <c r="D66" s="329">
        <v>0</v>
      </c>
      <c r="E66" s="329">
        <v>94</v>
      </c>
      <c r="F66" s="329">
        <v>0</v>
      </c>
      <c r="G66" s="329">
        <v>0</v>
      </c>
      <c r="H66" s="329">
        <v>94</v>
      </c>
      <c r="I66" s="329">
        <v>0</v>
      </c>
      <c r="J66" s="329">
        <v>85</v>
      </c>
      <c r="K66" s="333">
        <v>85</v>
      </c>
      <c r="L66" s="333"/>
      <c r="M66" s="208">
        <v>123</v>
      </c>
      <c r="N66" s="345" t="s">
        <v>342</v>
      </c>
      <c r="O66" s="329">
        <v>0</v>
      </c>
      <c r="P66" s="329">
        <v>0</v>
      </c>
      <c r="Q66" s="329">
        <v>94</v>
      </c>
      <c r="R66" s="333">
        <v>94</v>
      </c>
      <c r="S66" s="333">
        <v>2553320</v>
      </c>
      <c r="T66" s="335">
        <v>1.6</v>
      </c>
      <c r="U66" s="208"/>
      <c r="V66" s="279" t="s">
        <v>342</v>
      </c>
      <c r="W66" s="329">
        <v>85</v>
      </c>
      <c r="X66" s="329">
        <v>33560.435294117648</v>
      </c>
      <c r="Y66" s="329">
        <v>2852637</v>
      </c>
      <c r="Z66" s="3"/>
      <c r="AA66" s="279" t="s">
        <v>342</v>
      </c>
      <c r="AB66" s="329">
        <v>0</v>
      </c>
      <c r="AC66" s="329">
        <v>0</v>
      </c>
      <c r="AD66" s="329">
        <v>94</v>
      </c>
      <c r="AE66" s="329">
        <v>94</v>
      </c>
      <c r="AF66" s="329">
        <v>75</v>
      </c>
      <c r="AG66" s="329">
        <v>1080212</v>
      </c>
      <c r="AH66" s="3"/>
      <c r="AI66" s="279" t="s">
        <v>342</v>
      </c>
      <c r="AJ66" s="329">
        <v>0</v>
      </c>
      <c r="AK66" s="329">
        <v>0</v>
      </c>
      <c r="AL66" s="329">
        <v>94</v>
      </c>
      <c r="AM66" s="329">
        <v>94</v>
      </c>
      <c r="AN66" s="329">
        <v>75</v>
      </c>
      <c r="AO66" s="329">
        <v>1473108</v>
      </c>
    </row>
    <row r="67" spans="1:41" s="211" customFormat="1">
      <c r="A67" s="333">
        <f>SUBTOTAL(3,$B$7:B67)</f>
        <v>61</v>
      </c>
      <c r="B67" s="169" t="s">
        <v>161</v>
      </c>
      <c r="C67" s="279" t="s">
        <v>343</v>
      </c>
      <c r="D67" s="333">
        <v>0</v>
      </c>
      <c r="E67" s="333">
        <v>21</v>
      </c>
      <c r="F67" s="333">
        <v>0</v>
      </c>
      <c r="G67" s="333">
        <v>0</v>
      </c>
      <c r="H67" s="333">
        <v>21</v>
      </c>
      <c r="I67" s="333">
        <v>0</v>
      </c>
      <c r="J67" s="333">
        <v>20</v>
      </c>
      <c r="K67" s="333">
        <v>20</v>
      </c>
      <c r="L67" s="333"/>
      <c r="M67" s="165">
        <v>124</v>
      </c>
      <c r="N67" s="345" t="s">
        <v>343</v>
      </c>
      <c r="O67" s="333">
        <v>0</v>
      </c>
      <c r="P67" s="333">
        <v>0</v>
      </c>
      <c r="Q67" s="333">
        <v>21</v>
      </c>
      <c r="R67" s="333">
        <v>21</v>
      </c>
      <c r="S67" s="333">
        <v>391481</v>
      </c>
      <c r="T67" s="334">
        <v>1.1000000000000001</v>
      </c>
      <c r="U67" s="165"/>
      <c r="V67" s="279" t="s">
        <v>343</v>
      </c>
      <c r="W67" s="333">
        <v>20</v>
      </c>
      <c r="X67" s="333">
        <v>21132.15</v>
      </c>
      <c r="Y67" s="333">
        <v>422643</v>
      </c>
      <c r="Z67" s="169"/>
      <c r="AA67" s="279" t="s">
        <v>343</v>
      </c>
      <c r="AB67" s="333">
        <v>0</v>
      </c>
      <c r="AC67" s="333">
        <v>0</v>
      </c>
      <c r="AD67" s="333">
        <v>21</v>
      </c>
      <c r="AE67" s="333">
        <v>21</v>
      </c>
      <c r="AF67" s="333">
        <v>17</v>
      </c>
      <c r="AG67" s="333">
        <v>165621</v>
      </c>
      <c r="AH67" s="169"/>
      <c r="AI67" s="279" t="s">
        <v>343</v>
      </c>
      <c r="AJ67" s="333">
        <v>0</v>
      </c>
      <c r="AK67" s="333">
        <v>0</v>
      </c>
      <c r="AL67" s="333">
        <v>21</v>
      </c>
      <c r="AM67" s="333">
        <v>21</v>
      </c>
      <c r="AN67" s="333">
        <v>17</v>
      </c>
      <c r="AO67" s="333">
        <v>225860</v>
      </c>
    </row>
    <row r="68" spans="1:41">
      <c r="A68" s="333">
        <f>SUBTOTAL(3,$B$7:B68)</f>
        <v>62</v>
      </c>
      <c r="B68" s="3" t="s">
        <v>161</v>
      </c>
      <c r="C68" s="275" t="s">
        <v>344</v>
      </c>
      <c r="D68" s="329">
        <v>0</v>
      </c>
      <c r="E68" s="329">
        <v>31</v>
      </c>
      <c r="F68" s="329">
        <v>0</v>
      </c>
      <c r="G68" s="329">
        <v>0</v>
      </c>
      <c r="H68" s="329">
        <v>31</v>
      </c>
      <c r="I68" s="329">
        <v>0</v>
      </c>
      <c r="J68" s="329">
        <v>17</v>
      </c>
      <c r="K68" s="333">
        <v>17</v>
      </c>
      <c r="L68" s="333"/>
      <c r="M68" s="165">
        <v>125</v>
      </c>
      <c r="N68" s="345" t="s">
        <v>344</v>
      </c>
      <c r="O68" s="329">
        <v>0</v>
      </c>
      <c r="P68" s="329">
        <v>0</v>
      </c>
      <c r="Q68" s="329">
        <v>31</v>
      </c>
      <c r="R68" s="333">
        <v>31</v>
      </c>
      <c r="S68" s="333">
        <v>578563</v>
      </c>
      <c r="T68" s="335">
        <v>1.1000000000000001</v>
      </c>
      <c r="U68" s="208"/>
      <c r="V68" s="279" t="s">
        <v>344</v>
      </c>
      <c r="W68" s="329">
        <v>17</v>
      </c>
      <c r="X68" s="329">
        <v>20476.647058823528</v>
      </c>
      <c r="Y68" s="329">
        <v>348103</v>
      </c>
      <c r="Z68" s="3"/>
      <c r="AA68" s="279" t="s">
        <v>344</v>
      </c>
      <c r="AB68" s="329">
        <v>0</v>
      </c>
      <c r="AC68" s="329">
        <v>0</v>
      </c>
      <c r="AD68" s="329">
        <v>31</v>
      </c>
      <c r="AE68" s="329">
        <v>31</v>
      </c>
      <c r="AF68" s="329">
        <v>25</v>
      </c>
      <c r="AG68" s="329">
        <v>244768</v>
      </c>
      <c r="AH68" s="3"/>
      <c r="AI68" s="279" t="s">
        <v>344</v>
      </c>
      <c r="AJ68" s="329">
        <v>0</v>
      </c>
      <c r="AK68" s="329">
        <v>0</v>
      </c>
      <c r="AL68" s="329">
        <v>31</v>
      </c>
      <c r="AM68" s="329">
        <v>31</v>
      </c>
      <c r="AN68" s="329">
        <v>25</v>
      </c>
      <c r="AO68" s="329">
        <v>333795</v>
      </c>
    </row>
    <row r="69" spans="1:41" s="211" customFormat="1">
      <c r="A69" s="333">
        <f>SUBTOTAL(3,$B$7:B69)</f>
        <v>63</v>
      </c>
      <c r="B69" s="169" t="s">
        <v>161</v>
      </c>
      <c r="C69" s="279" t="s">
        <v>345</v>
      </c>
      <c r="D69" s="333">
        <v>21688</v>
      </c>
      <c r="E69" s="333">
        <v>2252</v>
      </c>
      <c r="F69" s="333">
        <v>0</v>
      </c>
      <c r="G69" s="333">
        <v>600</v>
      </c>
      <c r="H69" s="333">
        <v>1652</v>
      </c>
      <c r="I69" s="333">
        <v>2237</v>
      </c>
      <c r="J69" s="333">
        <v>103</v>
      </c>
      <c r="K69" s="333">
        <v>2340</v>
      </c>
      <c r="L69" s="333"/>
      <c r="M69" s="208">
        <v>126</v>
      </c>
      <c r="N69" s="345" t="s">
        <v>345</v>
      </c>
      <c r="O69" s="333">
        <v>0</v>
      </c>
      <c r="P69" s="333">
        <v>600</v>
      </c>
      <c r="Q69" s="333">
        <v>1652</v>
      </c>
      <c r="R69" s="333">
        <v>2252</v>
      </c>
      <c r="S69" s="333">
        <v>37131832</v>
      </c>
      <c r="T69" s="334">
        <v>1.08</v>
      </c>
      <c r="U69" s="165"/>
      <c r="V69" s="279" t="s">
        <v>345</v>
      </c>
      <c r="W69" s="333">
        <v>2340</v>
      </c>
      <c r="X69" s="333">
        <v>26072.815384615384</v>
      </c>
      <c r="Y69" s="333">
        <v>61010388</v>
      </c>
      <c r="Z69" s="169"/>
      <c r="AA69" s="279" t="s">
        <v>345</v>
      </c>
      <c r="AB69" s="333">
        <v>0</v>
      </c>
      <c r="AC69" s="333">
        <v>600</v>
      </c>
      <c r="AD69" s="333">
        <v>1652</v>
      </c>
      <c r="AE69" s="333">
        <v>2252</v>
      </c>
      <c r="AF69" s="333">
        <v>1622</v>
      </c>
      <c r="AG69" s="333">
        <v>14991656</v>
      </c>
      <c r="AH69" s="169"/>
      <c r="AI69" s="279" t="s">
        <v>345</v>
      </c>
      <c r="AJ69" s="333">
        <v>0</v>
      </c>
      <c r="AK69" s="333">
        <v>600</v>
      </c>
      <c r="AL69" s="333">
        <v>1652</v>
      </c>
      <c r="AM69" s="333">
        <v>2252</v>
      </c>
      <c r="AN69" s="333">
        <v>1622</v>
      </c>
      <c r="AO69" s="333">
        <v>22140176</v>
      </c>
    </row>
    <row r="70" spans="1:41">
      <c r="A70" s="333">
        <f>SUBTOTAL(3,$B$7:B70)</f>
        <v>64</v>
      </c>
      <c r="B70" s="3" t="s">
        <v>161</v>
      </c>
      <c r="C70" s="275" t="s">
        <v>346</v>
      </c>
      <c r="D70" s="329">
        <v>4782</v>
      </c>
      <c r="E70" s="329">
        <v>398</v>
      </c>
      <c r="F70" s="329">
        <v>0</v>
      </c>
      <c r="G70" s="329">
        <v>76</v>
      </c>
      <c r="H70" s="329">
        <v>322</v>
      </c>
      <c r="I70" s="329">
        <v>576</v>
      </c>
      <c r="J70" s="329">
        <v>154</v>
      </c>
      <c r="K70" s="333">
        <v>730</v>
      </c>
      <c r="L70" s="333"/>
      <c r="M70" s="165">
        <v>127</v>
      </c>
      <c r="N70" s="345" t="s">
        <v>346</v>
      </c>
      <c r="O70" s="329">
        <v>0</v>
      </c>
      <c r="P70" s="329">
        <v>76</v>
      </c>
      <c r="Q70" s="329">
        <v>322</v>
      </c>
      <c r="R70" s="333">
        <v>398</v>
      </c>
      <c r="S70" s="333">
        <v>13971245</v>
      </c>
      <c r="T70" s="335">
        <v>2.27</v>
      </c>
      <c r="U70" s="208"/>
      <c r="V70" s="279" t="s">
        <v>346</v>
      </c>
      <c r="W70" s="329">
        <v>730</v>
      </c>
      <c r="X70" s="329">
        <v>47144.728767123284</v>
      </c>
      <c r="Y70" s="329">
        <v>34415652</v>
      </c>
      <c r="Z70" s="3"/>
      <c r="AA70" s="279" t="s">
        <v>346</v>
      </c>
      <c r="AB70" s="329">
        <v>0</v>
      </c>
      <c r="AC70" s="329">
        <v>76</v>
      </c>
      <c r="AD70" s="329">
        <v>322</v>
      </c>
      <c r="AE70" s="329">
        <v>398</v>
      </c>
      <c r="AF70" s="329">
        <v>296</v>
      </c>
      <c r="AG70" s="329">
        <v>5749825</v>
      </c>
      <c r="AH70" s="3"/>
      <c r="AI70" s="279" t="s">
        <v>346</v>
      </c>
      <c r="AJ70" s="329">
        <v>0</v>
      </c>
      <c r="AK70" s="329">
        <v>76</v>
      </c>
      <c r="AL70" s="329">
        <v>322</v>
      </c>
      <c r="AM70" s="329">
        <v>398</v>
      </c>
      <c r="AN70" s="329">
        <v>296</v>
      </c>
      <c r="AO70" s="329">
        <v>8221420</v>
      </c>
    </row>
    <row r="71" spans="1:41">
      <c r="A71" s="333">
        <f>SUBTOTAL(3,$B$7:B71)</f>
        <v>65</v>
      </c>
      <c r="B71" s="3" t="s">
        <v>161</v>
      </c>
      <c r="C71" s="275" t="s">
        <v>193</v>
      </c>
      <c r="D71" s="329">
        <v>0</v>
      </c>
      <c r="E71" s="329">
        <v>72</v>
      </c>
      <c r="F71" s="329">
        <v>0</v>
      </c>
      <c r="G71" s="329">
        <v>0</v>
      </c>
      <c r="H71" s="329">
        <v>72</v>
      </c>
      <c r="I71" s="329">
        <v>0</v>
      </c>
      <c r="J71" s="329">
        <v>56</v>
      </c>
      <c r="K71" s="333">
        <v>56</v>
      </c>
      <c r="L71" s="333"/>
      <c r="M71" s="165">
        <v>128</v>
      </c>
      <c r="N71" s="279" t="s">
        <v>193</v>
      </c>
      <c r="O71" s="329">
        <v>0</v>
      </c>
      <c r="P71" s="329">
        <v>0</v>
      </c>
      <c r="Q71" s="329">
        <v>72</v>
      </c>
      <c r="R71" s="333">
        <v>72</v>
      </c>
      <c r="S71" s="333">
        <v>4673111</v>
      </c>
      <c r="T71" s="335">
        <v>3.8</v>
      </c>
      <c r="U71" s="208"/>
      <c r="V71" s="279" t="s">
        <v>193</v>
      </c>
      <c r="W71" s="329">
        <v>56</v>
      </c>
      <c r="X71" s="329">
        <v>80570.892857142855</v>
      </c>
      <c r="Y71" s="329">
        <v>4511970</v>
      </c>
      <c r="Z71" s="3"/>
      <c r="AA71" s="279" t="s">
        <v>193</v>
      </c>
      <c r="AB71" s="329">
        <v>0</v>
      </c>
      <c r="AC71" s="329">
        <v>0</v>
      </c>
      <c r="AD71" s="329">
        <v>72</v>
      </c>
      <c r="AE71" s="329">
        <v>72</v>
      </c>
      <c r="AF71" s="329">
        <v>58</v>
      </c>
      <c r="AG71" s="329">
        <v>1977015</v>
      </c>
      <c r="AH71" s="3"/>
      <c r="AI71" s="279" t="s">
        <v>193</v>
      </c>
      <c r="AJ71" s="329">
        <v>0</v>
      </c>
      <c r="AK71" s="329">
        <v>0</v>
      </c>
      <c r="AL71" s="329">
        <v>72</v>
      </c>
      <c r="AM71" s="329">
        <v>72</v>
      </c>
      <c r="AN71" s="329">
        <v>58</v>
      </c>
      <c r="AO71" s="329">
        <v>2696096</v>
      </c>
    </row>
    <row r="72" spans="1:41" s="211" customFormat="1">
      <c r="A72" s="333">
        <f>SUBTOTAL(3,$B$7:B72)</f>
        <v>66</v>
      </c>
      <c r="B72" s="169" t="s">
        <v>161</v>
      </c>
      <c r="C72" s="279" t="s">
        <v>194</v>
      </c>
      <c r="D72" s="333">
        <v>0</v>
      </c>
      <c r="E72" s="333">
        <v>180</v>
      </c>
      <c r="F72" s="333">
        <v>0</v>
      </c>
      <c r="G72" s="333">
        <v>0</v>
      </c>
      <c r="H72" s="333">
        <v>180</v>
      </c>
      <c r="I72" s="333">
        <v>0</v>
      </c>
      <c r="J72" s="333">
        <v>37</v>
      </c>
      <c r="K72" s="333">
        <v>37</v>
      </c>
      <c r="L72" s="333"/>
      <c r="M72" s="208">
        <v>129</v>
      </c>
      <c r="N72" s="279" t="s">
        <v>194</v>
      </c>
      <c r="O72" s="333">
        <v>0</v>
      </c>
      <c r="P72" s="333">
        <v>0</v>
      </c>
      <c r="Q72" s="333">
        <v>180</v>
      </c>
      <c r="R72" s="333">
        <v>180</v>
      </c>
      <c r="S72" s="333">
        <v>5941256</v>
      </c>
      <c r="T72" s="334">
        <v>1.95</v>
      </c>
      <c r="U72" s="165"/>
      <c r="V72" s="279" t="s">
        <v>194</v>
      </c>
      <c r="W72" s="333">
        <v>37</v>
      </c>
      <c r="X72" s="333">
        <v>41051.24324324324</v>
      </c>
      <c r="Y72" s="333">
        <v>1518896</v>
      </c>
      <c r="Z72" s="169"/>
      <c r="AA72" s="279" t="s">
        <v>194</v>
      </c>
      <c r="AB72" s="333">
        <v>0</v>
      </c>
      <c r="AC72" s="333">
        <v>0</v>
      </c>
      <c r="AD72" s="333">
        <v>180</v>
      </c>
      <c r="AE72" s="333">
        <v>180</v>
      </c>
      <c r="AF72" s="333">
        <v>144</v>
      </c>
      <c r="AG72" s="333">
        <v>2513519</v>
      </c>
      <c r="AH72" s="169"/>
      <c r="AI72" s="279" t="s">
        <v>194</v>
      </c>
      <c r="AJ72" s="333">
        <v>0</v>
      </c>
      <c r="AK72" s="333">
        <v>0</v>
      </c>
      <c r="AL72" s="333">
        <v>180</v>
      </c>
      <c r="AM72" s="333">
        <v>180</v>
      </c>
      <c r="AN72" s="333">
        <v>144</v>
      </c>
      <c r="AO72" s="333">
        <v>3427737</v>
      </c>
    </row>
    <row r="73" spans="1:41">
      <c r="A73" s="333">
        <f>SUBTOTAL(3,$B$7:B73)</f>
        <v>67</v>
      </c>
      <c r="B73" s="3" t="s">
        <v>161</v>
      </c>
      <c r="C73" s="275" t="s">
        <v>195</v>
      </c>
      <c r="D73" s="329">
        <v>0</v>
      </c>
      <c r="E73" s="329">
        <v>387</v>
      </c>
      <c r="F73" s="329">
        <v>0</v>
      </c>
      <c r="G73" s="329">
        <v>0</v>
      </c>
      <c r="H73" s="329">
        <v>387</v>
      </c>
      <c r="I73" s="329">
        <v>0</v>
      </c>
      <c r="J73" s="329">
        <v>316</v>
      </c>
      <c r="K73" s="333">
        <v>316</v>
      </c>
      <c r="L73" s="333"/>
      <c r="M73" s="165">
        <v>130</v>
      </c>
      <c r="N73" s="279" t="s">
        <v>195</v>
      </c>
      <c r="O73" s="329">
        <v>0</v>
      </c>
      <c r="P73" s="329">
        <v>0</v>
      </c>
      <c r="Q73" s="329">
        <v>387</v>
      </c>
      <c r="R73" s="333">
        <v>387</v>
      </c>
      <c r="S73" s="333">
        <v>24943442</v>
      </c>
      <c r="T73" s="335">
        <v>3.8</v>
      </c>
      <c r="U73" s="208"/>
      <c r="V73" s="279" t="s">
        <v>195</v>
      </c>
      <c r="W73" s="329">
        <v>316</v>
      </c>
      <c r="X73" s="329">
        <v>70253.968354430384</v>
      </c>
      <c r="Y73" s="329">
        <v>22200254</v>
      </c>
      <c r="Z73" s="3"/>
      <c r="AA73" s="279" t="s">
        <v>195</v>
      </c>
      <c r="AB73" s="329">
        <v>0</v>
      </c>
      <c r="AC73" s="329">
        <v>0</v>
      </c>
      <c r="AD73" s="329">
        <v>387</v>
      </c>
      <c r="AE73" s="329">
        <v>387</v>
      </c>
      <c r="AF73" s="329">
        <v>310</v>
      </c>
      <c r="AG73" s="329">
        <v>10552620</v>
      </c>
      <c r="AH73" s="3"/>
      <c r="AI73" s="279" t="s">
        <v>195</v>
      </c>
      <c r="AJ73" s="329">
        <v>0</v>
      </c>
      <c r="AK73" s="329">
        <v>0</v>
      </c>
      <c r="AL73" s="329">
        <v>387</v>
      </c>
      <c r="AM73" s="329">
        <v>387</v>
      </c>
      <c r="AN73" s="329">
        <v>310</v>
      </c>
      <c r="AO73" s="329">
        <v>14390822</v>
      </c>
    </row>
    <row r="74" spans="1:41" s="211" customFormat="1">
      <c r="A74" s="333">
        <f>SUBTOTAL(3,$B$7:B74)</f>
        <v>68</v>
      </c>
      <c r="B74" s="169" t="s">
        <v>161</v>
      </c>
      <c r="C74" s="279" t="s">
        <v>196</v>
      </c>
      <c r="D74" s="333">
        <v>0</v>
      </c>
      <c r="E74" s="333">
        <v>0</v>
      </c>
      <c r="F74" s="333">
        <v>0</v>
      </c>
      <c r="G74" s="333">
        <v>0</v>
      </c>
      <c r="H74" s="333">
        <v>0</v>
      </c>
      <c r="I74" s="333">
        <v>0</v>
      </c>
      <c r="J74" s="333">
        <v>117</v>
      </c>
      <c r="K74" s="333">
        <v>117</v>
      </c>
      <c r="L74" s="333"/>
      <c r="M74" s="165">
        <v>131</v>
      </c>
      <c r="N74" s="279" t="s">
        <v>196</v>
      </c>
      <c r="O74" s="333">
        <v>0</v>
      </c>
      <c r="P74" s="333">
        <v>0</v>
      </c>
      <c r="Q74" s="333">
        <v>0</v>
      </c>
      <c r="R74" s="333">
        <v>0</v>
      </c>
      <c r="S74" s="333">
        <v>0</v>
      </c>
      <c r="T74" s="334">
        <v>2.2000000000000002</v>
      </c>
      <c r="U74" s="165"/>
      <c r="V74" s="279" t="s">
        <v>196</v>
      </c>
      <c r="W74" s="333">
        <v>117</v>
      </c>
      <c r="X74" s="333">
        <v>46646.307692307695</v>
      </c>
      <c r="Y74" s="333">
        <v>5457618</v>
      </c>
      <c r="Z74" s="169"/>
      <c r="AA74" s="279" t="s">
        <v>196</v>
      </c>
      <c r="AB74" s="333">
        <v>0</v>
      </c>
      <c r="AC74" s="333">
        <v>0</v>
      </c>
      <c r="AD74" s="333">
        <v>0</v>
      </c>
      <c r="AE74" s="333">
        <v>0</v>
      </c>
      <c r="AF74" s="333">
        <v>0</v>
      </c>
      <c r="AG74" s="333">
        <v>0</v>
      </c>
      <c r="AH74" s="169"/>
      <c r="AI74" s="279" t="s">
        <v>196</v>
      </c>
      <c r="AJ74" s="333">
        <v>0</v>
      </c>
      <c r="AK74" s="333">
        <v>0</v>
      </c>
      <c r="AL74" s="333">
        <v>0</v>
      </c>
      <c r="AM74" s="333">
        <v>0</v>
      </c>
      <c r="AN74" s="333">
        <v>0</v>
      </c>
      <c r="AO74" s="333">
        <v>0</v>
      </c>
    </row>
    <row r="75" spans="1:41" s="211" customFormat="1">
      <c r="A75" s="333">
        <f>SUBTOTAL(3,$B$7:B75)</f>
        <v>69</v>
      </c>
      <c r="B75" s="169" t="s">
        <v>161</v>
      </c>
      <c r="C75" s="279" t="s">
        <v>197</v>
      </c>
      <c r="D75" s="333">
        <v>0</v>
      </c>
      <c r="E75" s="333">
        <v>92</v>
      </c>
      <c r="F75" s="333">
        <v>0</v>
      </c>
      <c r="G75" s="333">
        <v>0</v>
      </c>
      <c r="H75" s="333">
        <v>92</v>
      </c>
      <c r="I75" s="333">
        <v>0</v>
      </c>
      <c r="J75" s="333">
        <v>33</v>
      </c>
      <c r="K75" s="333">
        <v>33</v>
      </c>
      <c r="L75" s="333"/>
      <c r="M75" s="208">
        <v>132</v>
      </c>
      <c r="N75" s="279" t="s">
        <v>197</v>
      </c>
      <c r="O75" s="333">
        <v>0</v>
      </c>
      <c r="P75" s="333">
        <v>0</v>
      </c>
      <c r="Q75" s="333">
        <v>92</v>
      </c>
      <c r="R75" s="333">
        <v>92</v>
      </c>
      <c r="S75" s="333">
        <v>2824221</v>
      </c>
      <c r="T75" s="334">
        <v>1.8</v>
      </c>
      <c r="U75" s="165"/>
      <c r="V75" s="279" t="s">
        <v>197</v>
      </c>
      <c r="W75" s="333">
        <v>33</v>
      </c>
      <c r="X75" s="333">
        <v>38165.151515151512</v>
      </c>
      <c r="Y75" s="333">
        <v>1259450</v>
      </c>
      <c r="Z75" s="169"/>
      <c r="AA75" s="279" t="s">
        <v>197</v>
      </c>
      <c r="AB75" s="333">
        <v>0</v>
      </c>
      <c r="AC75" s="333">
        <v>0</v>
      </c>
      <c r="AD75" s="333">
        <v>92</v>
      </c>
      <c r="AE75" s="333">
        <v>92</v>
      </c>
      <c r="AF75" s="333">
        <v>74</v>
      </c>
      <c r="AG75" s="333">
        <v>1194820</v>
      </c>
      <c r="AH75" s="169"/>
      <c r="AI75" s="279" t="s">
        <v>197</v>
      </c>
      <c r="AJ75" s="333">
        <v>0</v>
      </c>
      <c r="AK75" s="333">
        <v>0</v>
      </c>
      <c r="AL75" s="333">
        <v>92</v>
      </c>
      <c r="AM75" s="333">
        <v>92</v>
      </c>
      <c r="AN75" s="333">
        <v>74</v>
      </c>
      <c r="AO75" s="333">
        <v>1629401</v>
      </c>
    </row>
    <row r="76" spans="1:41" s="211" customFormat="1">
      <c r="A76" s="333">
        <f>SUBTOTAL(3,$B$7:B76)</f>
        <v>70</v>
      </c>
      <c r="B76" s="169" t="s">
        <v>161</v>
      </c>
      <c r="C76" s="279" t="s">
        <v>198</v>
      </c>
      <c r="D76" s="333">
        <v>0</v>
      </c>
      <c r="E76" s="333">
        <v>119</v>
      </c>
      <c r="F76" s="333">
        <v>0</v>
      </c>
      <c r="G76" s="333">
        <v>0</v>
      </c>
      <c r="H76" s="333">
        <v>119</v>
      </c>
      <c r="I76" s="333">
        <v>0</v>
      </c>
      <c r="J76" s="333">
        <v>0</v>
      </c>
      <c r="K76" s="333">
        <v>0</v>
      </c>
      <c r="L76" s="333"/>
      <c r="M76" s="165">
        <v>133</v>
      </c>
      <c r="N76" s="279" t="s">
        <v>198</v>
      </c>
      <c r="O76" s="333">
        <v>0</v>
      </c>
      <c r="P76" s="333">
        <v>0</v>
      </c>
      <c r="Q76" s="333">
        <v>119</v>
      </c>
      <c r="R76" s="333">
        <v>119</v>
      </c>
      <c r="S76" s="333">
        <v>7452807</v>
      </c>
      <c r="T76" s="334">
        <v>3.7</v>
      </c>
      <c r="U76" s="165"/>
      <c r="V76" s="279" t="s">
        <v>198</v>
      </c>
      <c r="W76" s="333">
        <v>0</v>
      </c>
      <c r="X76" s="333">
        <v>0</v>
      </c>
      <c r="Y76" s="333">
        <v>0</v>
      </c>
      <c r="Z76" s="169"/>
      <c r="AA76" s="279" t="s">
        <v>198</v>
      </c>
      <c r="AB76" s="333">
        <v>0</v>
      </c>
      <c r="AC76" s="333">
        <v>0</v>
      </c>
      <c r="AD76" s="333">
        <v>119</v>
      </c>
      <c r="AE76" s="333">
        <v>119</v>
      </c>
      <c r="AF76" s="333">
        <v>95</v>
      </c>
      <c r="AG76" s="333">
        <v>3152999</v>
      </c>
      <c r="AH76" s="169"/>
      <c r="AI76" s="279" t="s">
        <v>198</v>
      </c>
      <c r="AJ76" s="333">
        <v>0</v>
      </c>
      <c r="AK76" s="333">
        <v>0</v>
      </c>
      <c r="AL76" s="333">
        <v>119</v>
      </c>
      <c r="AM76" s="333">
        <v>119</v>
      </c>
      <c r="AN76" s="333">
        <v>95</v>
      </c>
      <c r="AO76" s="333">
        <v>4299808</v>
      </c>
    </row>
    <row r="77" spans="1:41" s="211" customFormat="1">
      <c r="A77" s="333">
        <f>SUBTOTAL(3,$B$7:B77)</f>
        <v>71</v>
      </c>
      <c r="B77" s="169" t="s">
        <v>105</v>
      </c>
      <c r="C77" s="279" t="s">
        <v>347</v>
      </c>
      <c r="D77" s="333">
        <v>0</v>
      </c>
      <c r="E77" s="333">
        <v>56</v>
      </c>
      <c r="F77" s="333">
        <v>0</v>
      </c>
      <c r="G77" s="333">
        <v>0</v>
      </c>
      <c r="H77" s="333">
        <v>56</v>
      </c>
      <c r="I77" s="333">
        <v>0</v>
      </c>
      <c r="J77" s="333">
        <v>57</v>
      </c>
      <c r="K77" s="333">
        <v>57</v>
      </c>
      <c r="L77" s="333"/>
      <c r="M77" s="165">
        <v>136</v>
      </c>
      <c r="N77" s="345" t="s">
        <v>347</v>
      </c>
      <c r="O77" s="333">
        <v>0</v>
      </c>
      <c r="P77" s="333">
        <v>0</v>
      </c>
      <c r="Q77" s="333">
        <v>56</v>
      </c>
      <c r="R77" s="333">
        <v>56</v>
      </c>
      <c r="S77" s="333">
        <v>2537504</v>
      </c>
      <c r="T77" s="334">
        <v>2.65</v>
      </c>
      <c r="U77" s="165"/>
      <c r="V77" s="279" t="s">
        <v>347</v>
      </c>
      <c r="W77" s="333">
        <v>57</v>
      </c>
      <c r="X77" s="333">
        <v>55151.877192982458</v>
      </c>
      <c r="Y77" s="333">
        <v>3143657</v>
      </c>
      <c r="Z77" s="169"/>
      <c r="AA77" s="279" t="s">
        <v>347</v>
      </c>
      <c r="AB77" s="333">
        <v>0</v>
      </c>
      <c r="AC77" s="333">
        <v>0</v>
      </c>
      <c r="AD77" s="333">
        <v>56</v>
      </c>
      <c r="AE77" s="333">
        <v>56</v>
      </c>
      <c r="AF77" s="333">
        <v>45</v>
      </c>
      <c r="AG77" s="333">
        <v>1073521</v>
      </c>
      <c r="AH77" s="169"/>
      <c r="AI77" s="279" t="s">
        <v>347</v>
      </c>
      <c r="AJ77" s="333">
        <v>0</v>
      </c>
      <c r="AK77" s="333">
        <v>0</v>
      </c>
      <c r="AL77" s="333">
        <v>56</v>
      </c>
      <c r="AM77" s="333">
        <v>56</v>
      </c>
      <c r="AN77" s="333">
        <v>45</v>
      </c>
      <c r="AO77" s="333">
        <v>1463983</v>
      </c>
    </row>
    <row r="78" spans="1:41" s="211" customFormat="1">
      <c r="A78" s="333">
        <f>SUBTOTAL(3,$B$7:B78)</f>
        <v>72</v>
      </c>
      <c r="B78" s="169" t="s">
        <v>105</v>
      </c>
      <c r="C78" s="279" t="s">
        <v>348</v>
      </c>
      <c r="D78" s="333">
        <v>0</v>
      </c>
      <c r="E78" s="333">
        <v>121</v>
      </c>
      <c r="F78" s="333">
        <v>0</v>
      </c>
      <c r="G78" s="333">
        <v>0</v>
      </c>
      <c r="H78" s="333">
        <v>121</v>
      </c>
      <c r="I78" s="333">
        <v>0</v>
      </c>
      <c r="J78" s="333">
        <v>23</v>
      </c>
      <c r="K78" s="333">
        <v>23</v>
      </c>
      <c r="L78" s="333"/>
      <c r="M78" s="208">
        <v>139</v>
      </c>
      <c r="N78" s="345" t="s">
        <v>348</v>
      </c>
      <c r="O78" s="333">
        <v>0</v>
      </c>
      <c r="P78" s="333">
        <v>0</v>
      </c>
      <c r="Q78" s="333">
        <v>121</v>
      </c>
      <c r="R78" s="333">
        <v>121</v>
      </c>
      <c r="S78" s="333">
        <v>6463245</v>
      </c>
      <c r="T78" s="334">
        <v>2.15</v>
      </c>
      <c r="U78" s="165"/>
      <c r="V78" s="279" t="s">
        <v>348</v>
      </c>
      <c r="W78" s="333">
        <v>23</v>
      </c>
      <c r="X78" s="333">
        <v>54086.391304347824</v>
      </c>
      <c r="Y78" s="333">
        <v>1243987</v>
      </c>
      <c r="Z78" s="169"/>
      <c r="AA78" s="279" t="s">
        <v>348</v>
      </c>
      <c r="AB78" s="333">
        <v>0</v>
      </c>
      <c r="AC78" s="333">
        <v>0</v>
      </c>
      <c r="AD78" s="333">
        <v>121</v>
      </c>
      <c r="AE78" s="333">
        <v>121</v>
      </c>
      <c r="AF78" s="333">
        <v>97</v>
      </c>
      <c r="AG78" s="333">
        <v>2734353</v>
      </c>
      <c r="AH78" s="169"/>
      <c r="AI78" s="279" t="s">
        <v>348</v>
      </c>
      <c r="AJ78" s="333">
        <v>0</v>
      </c>
      <c r="AK78" s="333">
        <v>0</v>
      </c>
      <c r="AL78" s="333">
        <v>121</v>
      </c>
      <c r="AM78" s="333">
        <v>121</v>
      </c>
      <c r="AN78" s="333">
        <v>97</v>
      </c>
      <c r="AO78" s="333">
        <v>3728892</v>
      </c>
    </row>
    <row r="79" spans="1:41">
      <c r="A79" s="333">
        <f>SUBTOTAL(3,$B$7:B79)</f>
        <v>73</v>
      </c>
      <c r="B79" s="3" t="s">
        <v>105</v>
      </c>
      <c r="C79" s="275" t="s">
        <v>199</v>
      </c>
      <c r="D79" s="329">
        <v>0</v>
      </c>
      <c r="E79" s="329">
        <v>262</v>
      </c>
      <c r="F79" s="329">
        <v>0</v>
      </c>
      <c r="G79" s="329">
        <v>0</v>
      </c>
      <c r="H79" s="329">
        <v>262</v>
      </c>
      <c r="I79" s="329">
        <v>0</v>
      </c>
      <c r="J79" s="329">
        <v>45</v>
      </c>
      <c r="K79" s="333">
        <v>45</v>
      </c>
      <c r="L79" s="333"/>
      <c r="M79" s="165">
        <v>140</v>
      </c>
      <c r="N79" s="279" t="s">
        <v>199</v>
      </c>
      <c r="O79" s="329">
        <v>0</v>
      </c>
      <c r="P79" s="329">
        <v>0</v>
      </c>
      <c r="Q79" s="329">
        <v>262</v>
      </c>
      <c r="R79" s="333">
        <v>262</v>
      </c>
      <c r="S79" s="333">
        <v>10445514</v>
      </c>
      <c r="T79" s="335">
        <v>2.15</v>
      </c>
      <c r="U79" s="208"/>
      <c r="V79" s="279" t="s">
        <v>199</v>
      </c>
      <c r="W79" s="329">
        <v>45</v>
      </c>
      <c r="X79" s="329">
        <v>45549.422222222223</v>
      </c>
      <c r="Y79" s="329">
        <v>2049724</v>
      </c>
      <c r="Z79" s="3"/>
      <c r="AA79" s="279" t="s">
        <v>199</v>
      </c>
      <c r="AB79" s="329">
        <v>0</v>
      </c>
      <c r="AC79" s="329">
        <v>0</v>
      </c>
      <c r="AD79" s="329">
        <v>262</v>
      </c>
      <c r="AE79" s="329">
        <v>262</v>
      </c>
      <c r="AF79" s="329">
        <v>210</v>
      </c>
      <c r="AG79" s="329">
        <v>4419099</v>
      </c>
      <c r="AH79" s="3"/>
      <c r="AI79" s="279" t="s">
        <v>199</v>
      </c>
      <c r="AJ79" s="329">
        <v>0</v>
      </c>
      <c r="AK79" s="329">
        <v>0</v>
      </c>
      <c r="AL79" s="329">
        <v>262</v>
      </c>
      <c r="AM79" s="329">
        <v>262</v>
      </c>
      <c r="AN79" s="329">
        <v>210</v>
      </c>
      <c r="AO79" s="329">
        <v>6026415</v>
      </c>
    </row>
    <row r="80" spans="1:41">
      <c r="A80" s="333">
        <f>SUBTOTAL(3,$B$7:B80)</f>
        <v>74</v>
      </c>
      <c r="B80" s="3" t="s">
        <v>101</v>
      </c>
      <c r="C80" s="275" t="s">
        <v>349</v>
      </c>
      <c r="D80" s="329">
        <v>0</v>
      </c>
      <c r="E80" s="329">
        <v>42</v>
      </c>
      <c r="F80" s="329">
        <v>0</v>
      </c>
      <c r="G80" s="329">
        <v>0</v>
      </c>
      <c r="H80" s="329">
        <v>42</v>
      </c>
      <c r="I80" s="329">
        <v>0</v>
      </c>
      <c r="J80" s="329">
        <v>0</v>
      </c>
      <c r="K80" s="333">
        <v>0</v>
      </c>
      <c r="L80" s="333"/>
      <c r="M80" s="165">
        <v>143</v>
      </c>
      <c r="N80" s="345" t="s">
        <v>349</v>
      </c>
      <c r="O80" s="329">
        <v>0</v>
      </c>
      <c r="P80" s="329">
        <v>0</v>
      </c>
      <c r="Q80" s="329">
        <v>42</v>
      </c>
      <c r="R80" s="333">
        <v>42</v>
      </c>
      <c r="S80" s="333">
        <v>2136732</v>
      </c>
      <c r="T80" s="335">
        <v>3</v>
      </c>
      <c r="U80" s="208"/>
      <c r="V80" s="279" t="s">
        <v>349</v>
      </c>
      <c r="W80" s="329">
        <v>0</v>
      </c>
      <c r="X80" s="329">
        <v>0</v>
      </c>
      <c r="Y80" s="329">
        <v>0</v>
      </c>
      <c r="Z80" s="3"/>
      <c r="AA80" s="279" t="s">
        <v>349</v>
      </c>
      <c r="AB80" s="329">
        <v>0</v>
      </c>
      <c r="AC80" s="329">
        <v>0</v>
      </c>
      <c r="AD80" s="329">
        <v>42</v>
      </c>
      <c r="AE80" s="329">
        <v>42</v>
      </c>
      <c r="AF80" s="329">
        <v>34</v>
      </c>
      <c r="AG80" s="329">
        <v>903970</v>
      </c>
      <c r="AH80" s="3"/>
      <c r="AI80" s="279" t="s">
        <v>349</v>
      </c>
      <c r="AJ80" s="329">
        <v>0</v>
      </c>
      <c r="AK80" s="329">
        <v>0</v>
      </c>
      <c r="AL80" s="329">
        <v>42</v>
      </c>
      <c r="AM80" s="329">
        <v>42</v>
      </c>
      <c r="AN80" s="329">
        <v>34</v>
      </c>
      <c r="AO80" s="329">
        <v>1232762</v>
      </c>
    </row>
    <row r="81" spans="1:41">
      <c r="A81" s="333">
        <f>SUBTOTAL(3,$B$7:B81)</f>
        <v>75</v>
      </c>
      <c r="B81" s="3" t="s">
        <v>101</v>
      </c>
      <c r="C81" s="275" t="s">
        <v>350</v>
      </c>
      <c r="D81" s="329">
        <v>0</v>
      </c>
      <c r="E81" s="329">
        <v>94</v>
      </c>
      <c r="F81" s="329">
        <v>0</v>
      </c>
      <c r="G81" s="329">
        <v>0</v>
      </c>
      <c r="H81" s="329">
        <v>94</v>
      </c>
      <c r="I81" s="329">
        <v>0</v>
      </c>
      <c r="J81" s="329">
        <v>0</v>
      </c>
      <c r="K81" s="333">
        <v>0</v>
      </c>
      <c r="L81" s="333"/>
      <c r="M81" s="208">
        <v>145</v>
      </c>
      <c r="N81" s="345" t="s">
        <v>350</v>
      </c>
      <c r="O81" s="329">
        <v>0</v>
      </c>
      <c r="P81" s="329">
        <v>0</v>
      </c>
      <c r="Q81" s="329">
        <v>94</v>
      </c>
      <c r="R81" s="333">
        <v>94</v>
      </c>
      <c r="S81" s="333">
        <v>5088688</v>
      </c>
      <c r="T81" s="335">
        <v>3.2</v>
      </c>
      <c r="U81" s="208"/>
      <c r="V81" s="279" t="s">
        <v>350</v>
      </c>
      <c r="W81" s="329">
        <v>0</v>
      </c>
      <c r="X81" s="329">
        <v>0</v>
      </c>
      <c r="Y81" s="329">
        <v>0</v>
      </c>
      <c r="Z81" s="3"/>
      <c r="AA81" s="279" t="s">
        <v>350</v>
      </c>
      <c r="AB81" s="329">
        <v>0</v>
      </c>
      <c r="AC81" s="329">
        <v>0</v>
      </c>
      <c r="AD81" s="329">
        <v>94</v>
      </c>
      <c r="AE81" s="329">
        <v>94</v>
      </c>
      <c r="AF81" s="329">
        <v>75</v>
      </c>
      <c r="AG81" s="329">
        <v>2152830</v>
      </c>
      <c r="AH81" s="3"/>
      <c r="AI81" s="279" t="s">
        <v>350</v>
      </c>
      <c r="AJ81" s="329">
        <v>0</v>
      </c>
      <c r="AK81" s="329">
        <v>0</v>
      </c>
      <c r="AL81" s="329">
        <v>94</v>
      </c>
      <c r="AM81" s="329">
        <v>94</v>
      </c>
      <c r="AN81" s="329">
        <v>75</v>
      </c>
      <c r="AO81" s="329">
        <v>2935858</v>
      </c>
    </row>
    <row r="82" spans="1:41" s="211" customFormat="1">
      <c r="A82" s="333">
        <f>SUBTOTAL(3,$B$7:B82)</f>
        <v>76</v>
      </c>
      <c r="B82" s="169" t="s">
        <v>101</v>
      </c>
      <c r="C82" s="279" t="s">
        <v>200</v>
      </c>
      <c r="D82" s="333">
        <v>0</v>
      </c>
      <c r="E82" s="333">
        <v>48</v>
      </c>
      <c r="F82" s="333">
        <v>0</v>
      </c>
      <c r="G82" s="333">
        <v>0</v>
      </c>
      <c r="H82" s="333">
        <v>48</v>
      </c>
      <c r="I82" s="333">
        <v>0</v>
      </c>
      <c r="J82" s="333">
        <v>0</v>
      </c>
      <c r="K82" s="333">
        <v>0</v>
      </c>
      <c r="L82" s="333"/>
      <c r="M82" s="165">
        <v>146</v>
      </c>
      <c r="N82" s="279" t="s">
        <v>200</v>
      </c>
      <c r="O82" s="333">
        <v>0</v>
      </c>
      <c r="P82" s="333">
        <v>0</v>
      </c>
      <c r="Q82" s="333">
        <v>48</v>
      </c>
      <c r="R82" s="333">
        <v>48</v>
      </c>
      <c r="S82" s="333">
        <v>3383977</v>
      </c>
      <c r="T82" s="334">
        <v>4.2</v>
      </c>
      <c r="U82" s="165"/>
      <c r="V82" s="279" t="s">
        <v>200</v>
      </c>
      <c r="W82" s="333">
        <v>0</v>
      </c>
      <c r="X82" s="333">
        <v>0</v>
      </c>
      <c r="Y82" s="333">
        <v>0</v>
      </c>
      <c r="Z82" s="169"/>
      <c r="AA82" s="279" t="s">
        <v>200</v>
      </c>
      <c r="AB82" s="333">
        <v>0</v>
      </c>
      <c r="AC82" s="333">
        <v>0</v>
      </c>
      <c r="AD82" s="333">
        <v>48</v>
      </c>
      <c r="AE82" s="333">
        <v>48</v>
      </c>
      <c r="AF82" s="333">
        <v>38</v>
      </c>
      <c r="AG82" s="333">
        <v>1431632</v>
      </c>
      <c r="AH82" s="169"/>
      <c r="AI82" s="279" t="s">
        <v>200</v>
      </c>
      <c r="AJ82" s="333">
        <v>0</v>
      </c>
      <c r="AK82" s="333">
        <v>0</v>
      </c>
      <c r="AL82" s="333">
        <v>48</v>
      </c>
      <c r="AM82" s="333">
        <v>48</v>
      </c>
      <c r="AN82" s="333">
        <v>38</v>
      </c>
      <c r="AO82" s="333">
        <v>1952345</v>
      </c>
    </row>
    <row r="83" spans="1:41" s="211" customFormat="1">
      <c r="A83" s="333">
        <f>SUBTOTAL(3,$B$7:B83)</f>
        <v>77</v>
      </c>
      <c r="B83" s="169" t="s">
        <v>101</v>
      </c>
      <c r="C83" s="279" t="s">
        <v>169</v>
      </c>
      <c r="D83" s="333">
        <v>0</v>
      </c>
      <c r="E83" s="333">
        <v>2</v>
      </c>
      <c r="F83" s="333">
        <v>0</v>
      </c>
      <c r="G83" s="333">
        <v>0</v>
      </c>
      <c r="H83" s="333">
        <v>2</v>
      </c>
      <c r="I83" s="333">
        <v>0</v>
      </c>
      <c r="J83" s="333">
        <v>127</v>
      </c>
      <c r="K83" s="333">
        <v>127</v>
      </c>
      <c r="L83" s="333"/>
      <c r="M83" s="165">
        <v>147</v>
      </c>
      <c r="N83" s="279" t="s">
        <v>169</v>
      </c>
      <c r="O83" s="333">
        <v>0</v>
      </c>
      <c r="P83" s="333">
        <v>0</v>
      </c>
      <c r="Q83" s="333">
        <v>2</v>
      </c>
      <c r="R83" s="333">
        <v>2</v>
      </c>
      <c r="S83" s="333">
        <v>138045</v>
      </c>
      <c r="T83" s="334">
        <v>3.1</v>
      </c>
      <c r="U83" s="165"/>
      <c r="V83" s="279" t="s">
        <v>169</v>
      </c>
      <c r="W83" s="333">
        <v>127</v>
      </c>
      <c r="X83" s="333">
        <v>68986.629921259839</v>
      </c>
      <c r="Y83" s="333">
        <v>8761302</v>
      </c>
      <c r="Z83" s="169"/>
      <c r="AA83" s="279" t="s">
        <v>169</v>
      </c>
      <c r="AB83" s="333">
        <v>0</v>
      </c>
      <c r="AC83" s="333">
        <v>0</v>
      </c>
      <c r="AD83" s="333">
        <v>2</v>
      </c>
      <c r="AE83" s="333">
        <v>2</v>
      </c>
      <c r="AF83" s="333">
        <v>2</v>
      </c>
      <c r="AG83" s="333">
        <v>54521</v>
      </c>
      <c r="AH83" s="169"/>
      <c r="AI83" s="279" t="s">
        <v>169</v>
      </c>
      <c r="AJ83" s="333">
        <v>0</v>
      </c>
      <c r="AK83" s="333">
        <v>0</v>
      </c>
      <c r="AL83" s="333">
        <v>2</v>
      </c>
      <c r="AM83" s="333">
        <v>2</v>
      </c>
      <c r="AN83" s="333">
        <v>2</v>
      </c>
      <c r="AO83" s="333">
        <v>83524</v>
      </c>
    </row>
    <row r="84" spans="1:41">
      <c r="A84" s="333">
        <f>SUBTOTAL(3,$B$7:B84)</f>
        <v>78</v>
      </c>
      <c r="B84" s="3" t="s">
        <v>101</v>
      </c>
      <c r="C84" s="275" t="s">
        <v>201</v>
      </c>
      <c r="D84" s="329">
        <v>0</v>
      </c>
      <c r="E84" s="329">
        <v>73</v>
      </c>
      <c r="F84" s="329">
        <v>0</v>
      </c>
      <c r="G84" s="329">
        <v>0</v>
      </c>
      <c r="H84" s="329">
        <v>73</v>
      </c>
      <c r="I84" s="329">
        <v>0</v>
      </c>
      <c r="J84" s="329">
        <v>18</v>
      </c>
      <c r="K84" s="333">
        <v>18</v>
      </c>
      <c r="L84" s="333"/>
      <c r="M84" s="208">
        <v>148</v>
      </c>
      <c r="N84" s="279" t="s">
        <v>201</v>
      </c>
      <c r="O84" s="329">
        <v>0</v>
      </c>
      <c r="P84" s="329">
        <v>0</v>
      </c>
      <c r="Q84" s="329">
        <v>73</v>
      </c>
      <c r="R84" s="333">
        <v>73</v>
      </c>
      <c r="S84" s="333">
        <v>3566322</v>
      </c>
      <c r="T84" s="335">
        <v>2.9</v>
      </c>
      <c r="U84" s="208"/>
      <c r="V84" s="279" t="s">
        <v>201</v>
      </c>
      <c r="W84" s="329">
        <v>18</v>
      </c>
      <c r="X84" s="329">
        <v>61488.333333333336</v>
      </c>
      <c r="Y84" s="329">
        <v>1106790</v>
      </c>
      <c r="Z84" s="3"/>
      <c r="AA84" s="279" t="s">
        <v>201</v>
      </c>
      <c r="AB84" s="329">
        <v>0</v>
      </c>
      <c r="AC84" s="329">
        <v>0</v>
      </c>
      <c r="AD84" s="329">
        <v>73</v>
      </c>
      <c r="AE84" s="329">
        <v>73</v>
      </c>
      <c r="AF84" s="329">
        <v>58</v>
      </c>
      <c r="AG84" s="329">
        <v>1508775</v>
      </c>
      <c r="AH84" s="3"/>
      <c r="AI84" s="279" t="s">
        <v>201</v>
      </c>
      <c r="AJ84" s="329">
        <v>0</v>
      </c>
      <c r="AK84" s="329">
        <v>0</v>
      </c>
      <c r="AL84" s="329">
        <v>73</v>
      </c>
      <c r="AM84" s="329">
        <v>73</v>
      </c>
      <c r="AN84" s="329">
        <v>58</v>
      </c>
      <c r="AO84" s="329">
        <v>2057547</v>
      </c>
    </row>
    <row r="85" spans="1:41" s="211" customFormat="1">
      <c r="A85" s="333">
        <f>SUBTOTAL(3,$B$7:B85)</f>
        <v>79</v>
      </c>
      <c r="B85" s="169" t="s">
        <v>101</v>
      </c>
      <c r="C85" s="279" t="s">
        <v>202</v>
      </c>
      <c r="D85" s="333">
        <v>0</v>
      </c>
      <c r="E85" s="333">
        <v>27</v>
      </c>
      <c r="F85" s="333">
        <v>0</v>
      </c>
      <c r="G85" s="333">
        <v>0</v>
      </c>
      <c r="H85" s="333">
        <v>27</v>
      </c>
      <c r="I85" s="333">
        <v>0</v>
      </c>
      <c r="J85" s="333">
        <v>18</v>
      </c>
      <c r="K85" s="333">
        <v>18</v>
      </c>
      <c r="L85" s="333"/>
      <c r="M85" s="165">
        <v>149</v>
      </c>
      <c r="N85" s="279" t="s">
        <v>202</v>
      </c>
      <c r="O85" s="333">
        <v>0</v>
      </c>
      <c r="P85" s="333">
        <v>0</v>
      </c>
      <c r="Q85" s="333">
        <v>27</v>
      </c>
      <c r="R85" s="333">
        <v>27</v>
      </c>
      <c r="S85" s="333">
        <v>1865852</v>
      </c>
      <c r="T85" s="334">
        <v>4</v>
      </c>
      <c r="U85" s="165"/>
      <c r="V85" s="279" t="s">
        <v>202</v>
      </c>
      <c r="W85" s="333">
        <v>18</v>
      </c>
      <c r="X85" s="333">
        <v>84811.444444444438</v>
      </c>
      <c r="Y85" s="333">
        <v>1526606</v>
      </c>
      <c r="Z85" s="169"/>
      <c r="AA85" s="279" t="s">
        <v>202</v>
      </c>
      <c r="AB85" s="333">
        <v>0</v>
      </c>
      <c r="AC85" s="333">
        <v>0</v>
      </c>
      <c r="AD85" s="333">
        <v>27</v>
      </c>
      <c r="AE85" s="333">
        <v>27</v>
      </c>
      <c r="AF85" s="333">
        <v>22</v>
      </c>
      <c r="AG85" s="333">
        <v>789371</v>
      </c>
      <c r="AH85" s="169"/>
      <c r="AI85" s="279" t="s">
        <v>202</v>
      </c>
      <c r="AJ85" s="333">
        <v>0</v>
      </c>
      <c r="AK85" s="333">
        <v>0</v>
      </c>
      <c r="AL85" s="333">
        <v>27</v>
      </c>
      <c r="AM85" s="333">
        <v>27</v>
      </c>
      <c r="AN85" s="333">
        <v>22</v>
      </c>
      <c r="AO85" s="333">
        <v>1076481</v>
      </c>
    </row>
    <row r="86" spans="1:41" s="211" customFormat="1">
      <c r="A86" s="333">
        <f>SUBTOTAL(3,$B$7:B86)</f>
        <v>80</v>
      </c>
      <c r="B86" s="169" t="s">
        <v>101</v>
      </c>
      <c r="C86" s="279" t="s">
        <v>203</v>
      </c>
      <c r="D86" s="333">
        <v>0</v>
      </c>
      <c r="E86" s="333">
        <v>11</v>
      </c>
      <c r="F86" s="333">
        <v>0</v>
      </c>
      <c r="G86" s="333">
        <v>0</v>
      </c>
      <c r="H86" s="333">
        <v>11</v>
      </c>
      <c r="I86" s="333">
        <v>0</v>
      </c>
      <c r="J86" s="333">
        <v>16</v>
      </c>
      <c r="K86" s="333">
        <v>16</v>
      </c>
      <c r="L86" s="333"/>
      <c r="M86" s="165">
        <v>151</v>
      </c>
      <c r="N86" s="279" t="s">
        <v>203</v>
      </c>
      <c r="O86" s="333">
        <v>0</v>
      </c>
      <c r="P86" s="333">
        <v>0</v>
      </c>
      <c r="Q86" s="333">
        <v>11</v>
      </c>
      <c r="R86" s="333">
        <v>11</v>
      </c>
      <c r="S86" s="333">
        <v>610643</v>
      </c>
      <c r="T86" s="334">
        <v>3.2</v>
      </c>
      <c r="U86" s="165"/>
      <c r="V86" s="279" t="s">
        <v>203</v>
      </c>
      <c r="W86" s="333">
        <v>16</v>
      </c>
      <c r="X86" s="333">
        <v>67849.1875</v>
      </c>
      <c r="Y86" s="333">
        <v>1085587</v>
      </c>
      <c r="Z86" s="169"/>
      <c r="AA86" s="279" t="s">
        <v>203</v>
      </c>
      <c r="AB86" s="333">
        <v>0</v>
      </c>
      <c r="AC86" s="333">
        <v>0</v>
      </c>
      <c r="AD86" s="333">
        <v>11</v>
      </c>
      <c r="AE86" s="333">
        <v>11</v>
      </c>
      <c r="AF86" s="333">
        <v>9</v>
      </c>
      <c r="AG86" s="333">
        <v>258340</v>
      </c>
      <c r="AH86" s="169"/>
      <c r="AI86" s="279" t="s">
        <v>203</v>
      </c>
      <c r="AJ86" s="333">
        <v>0</v>
      </c>
      <c r="AK86" s="333">
        <v>0</v>
      </c>
      <c r="AL86" s="333">
        <v>11</v>
      </c>
      <c r="AM86" s="333">
        <v>11</v>
      </c>
      <c r="AN86" s="333">
        <v>9</v>
      </c>
      <c r="AO86" s="333">
        <v>352303</v>
      </c>
    </row>
    <row r="87" spans="1:41" s="211" customFormat="1">
      <c r="A87" s="333">
        <f>SUBTOTAL(3,$B$7:B87)</f>
        <v>81</v>
      </c>
      <c r="B87" s="169" t="s">
        <v>101</v>
      </c>
      <c r="C87" s="279" t="s">
        <v>204</v>
      </c>
      <c r="D87" s="333">
        <v>0</v>
      </c>
      <c r="E87" s="333">
        <v>112</v>
      </c>
      <c r="F87" s="333">
        <v>0</v>
      </c>
      <c r="G87" s="333">
        <v>0</v>
      </c>
      <c r="H87" s="333">
        <v>112</v>
      </c>
      <c r="I87" s="333">
        <v>0</v>
      </c>
      <c r="J87" s="333">
        <v>15</v>
      </c>
      <c r="K87" s="333">
        <v>15</v>
      </c>
      <c r="L87" s="333"/>
      <c r="M87" s="208">
        <v>152</v>
      </c>
      <c r="N87" s="279" t="s">
        <v>204</v>
      </c>
      <c r="O87" s="333">
        <v>0</v>
      </c>
      <c r="P87" s="333">
        <v>0</v>
      </c>
      <c r="Q87" s="333">
        <v>112</v>
      </c>
      <c r="R87" s="333">
        <v>112</v>
      </c>
      <c r="S87" s="333">
        <v>4579819</v>
      </c>
      <c r="T87" s="334">
        <v>2.4</v>
      </c>
      <c r="U87" s="165"/>
      <c r="V87" s="279" t="s">
        <v>204</v>
      </c>
      <c r="W87" s="333">
        <v>15</v>
      </c>
      <c r="X87" s="333">
        <v>50886.866666666669</v>
      </c>
      <c r="Y87" s="333">
        <v>763303</v>
      </c>
      <c r="Z87" s="169"/>
      <c r="AA87" s="279" t="s">
        <v>204</v>
      </c>
      <c r="AB87" s="333">
        <v>0</v>
      </c>
      <c r="AC87" s="333">
        <v>0</v>
      </c>
      <c r="AD87" s="333">
        <v>112</v>
      </c>
      <c r="AE87" s="333">
        <v>112</v>
      </c>
      <c r="AF87" s="333">
        <v>90</v>
      </c>
      <c r="AG87" s="333">
        <v>1937547</v>
      </c>
      <c r="AH87" s="169"/>
      <c r="AI87" s="279" t="s">
        <v>204</v>
      </c>
      <c r="AJ87" s="333">
        <v>0</v>
      </c>
      <c r="AK87" s="333">
        <v>0</v>
      </c>
      <c r="AL87" s="333">
        <v>112</v>
      </c>
      <c r="AM87" s="333">
        <v>112</v>
      </c>
      <c r="AN87" s="333">
        <v>90</v>
      </c>
      <c r="AO87" s="333">
        <v>2642272</v>
      </c>
    </row>
    <row r="88" spans="1:41" s="211" customFormat="1">
      <c r="A88" s="333">
        <f>SUBTOTAL(3,$B$7:B88)</f>
        <v>82</v>
      </c>
      <c r="B88" s="169" t="s">
        <v>101</v>
      </c>
      <c r="C88" s="279" t="s">
        <v>205</v>
      </c>
      <c r="D88" s="333">
        <v>0</v>
      </c>
      <c r="E88" s="333">
        <v>46</v>
      </c>
      <c r="F88" s="333">
        <v>0</v>
      </c>
      <c r="G88" s="333">
        <v>0</v>
      </c>
      <c r="H88" s="333">
        <v>46</v>
      </c>
      <c r="I88" s="333">
        <v>0</v>
      </c>
      <c r="J88" s="333">
        <v>11</v>
      </c>
      <c r="K88" s="333">
        <v>11</v>
      </c>
      <c r="L88" s="333"/>
      <c r="M88" s="165">
        <v>153</v>
      </c>
      <c r="N88" s="279" t="s">
        <v>205</v>
      </c>
      <c r="O88" s="333">
        <v>0</v>
      </c>
      <c r="P88" s="333">
        <v>0</v>
      </c>
      <c r="Q88" s="333">
        <v>46</v>
      </c>
      <c r="R88" s="333">
        <v>46</v>
      </c>
      <c r="S88" s="333">
        <v>1882814</v>
      </c>
      <c r="T88" s="334">
        <v>2.4</v>
      </c>
      <c r="U88" s="165"/>
      <c r="V88" s="279" t="s">
        <v>205</v>
      </c>
      <c r="W88" s="333">
        <v>11</v>
      </c>
      <c r="X88" s="333">
        <v>50886.909090909088</v>
      </c>
      <c r="Y88" s="333">
        <v>559756</v>
      </c>
      <c r="Z88" s="169"/>
      <c r="AA88" s="279" t="s">
        <v>205</v>
      </c>
      <c r="AB88" s="333">
        <v>0</v>
      </c>
      <c r="AC88" s="333">
        <v>0</v>
      </c>
      <c r="AD88" s="333">
        <v>46</v>
      </c>
      <c r="AE88" s="333">
        <v>46</v>
      </c>
      <c r="AF88" s="333">
        <v>37</v>
      </c>
      <c r="AG88" s="333">
        <v>796547</v>
      </c>
      <c r="AH88" s="169"/>
      <c r="AI88" s="279" t="s">
        <v>205</v>
      </c>
      <c r="AJ88" s="333">
        <v>0</v>
      </c>
      <c r="AK88" s="333">
        <v>0</v>
      </c>
      <c r="AL88" s="333">
        <v>46</v>
      </c>
      <c r="AM88" s="333">
        <v>46</v>
      </c>
      <c r="AN88" s="333">
        <v>37</v>
      </c>
      <c r="AO88" s="333">
        <v>1086267</v>
      </c>
    </row>
    <row r="89" spans="1:41" s="211" customFormat="1">
      <c r="A89" s="333">
        <f>SUBTOTAL(3,$B$7:B89)</f>
        <v>83</v>
      </c>
      <c r="B89" s="169" t="s">
        <v>101</v>
      </c>
      <c r="C89" s="279" t="s">
        <v>206</v>
      </c>
      <c r="D89" s="333">
        <v>0</v>
      </c>
      <c r="E89" s="333">
        <v>356</v>
      </c>
      <c r="F89" s="333">
        <v>0</v>
      </c>
      <c r="G89" s="333">
        <v>0</v>
      </c>
      <c r="H89" s="333">
        <v>356</v>
      </c>
      <c r="I89" s="333">
        <v>0</v>
      </c>
      <c r="J89" s="333">
        <v>0</v>
      </c>
      <c r="K89" s="333">
        <v>0</v>
      </c>
      <c r="L89" s="333"/>
      <c r="M89" s="165">
        <v>154</v>
      </c>
      <c r="N89" s="279" t="s">
        <v>206</v>
      </c>
      <c r="O89" s="333">
        <v>0</v>
      </c>
      <c r="P89" s="333">
        <v>0</v>
      </c>
      <c r="Q89" s="333">
        <v>356</v>
      </c>
      <c r="R89" s="333">
        <v>356</v>
      </c>
      <c r="S89" s="333">
        <v>12085633</v>
      </c>
      <c r="T89" s="334">
        <v>2</v>
      </c>
      <c r="U89" s="165"/>
      <c r="V89" s="279" t="s">
        <v>206</v>
      </c>
      <c r="W89" s="333">
        <v>0</v>
      </c>
      <c r="X89" s="333">
        <v>0</v>
      </c>
      <c r="Y89" s="333">
        <v>0</v>
      </c>
      <c r="Z89" s="169"/>
      <c r="AA89" s="279" t="s">
        <v>206</v>
      </c>
      <c r="AB89" s="333">
        <v>0</v>
      </c>
      <c r="AC89" s="333">
        <v>0</v>
      </c>
      <c r="AD89" s="333">
        <v>356</v>
      </c>
      <c r="AE89" s="333">
        <v>356</v>
      </c>
      <c r="AF89" s="333">
        <v>285</v>
      </c>
      <c r="AG89" s="333">
        <v>5112971</v>
      </c>
      <c r="AH89" s="169"/>
      <c r="AI89" s="279" t="s">
        <v>206</v>
      </c>
      <c r="AJ89" s="333">
        <v>0</v>
      </c>
      <c r="AK89" s="333">
        <v>0</v>
      </c>
      <c r="AL89" s="333">
        <v>356</v>
      </c>
      <c r="AM89" s="333">
        <v>356</v>
      </c>
      <c r="AN89" s="333">
        <v>285</v>
      </c>
      <c r="AO89" s="333">
        <v>6972662</v>
      </c>
    </row>
    <row r="90" spans="1:41" s="211" customFormat="1">
      <c r="A90" s="333">
        <f>SUBTOTAL(3,$B$7:B90)</f>
        <v>84</v>
      </c>
      <c r="B90" s="169" t="s">
        <v>172</v>
      </c>
      <c r="C90" s="279" t="s">
        <v>207</v>
      </c>
      <c r="D90" s="333">
        <v>0</v>
      </c>
      <c r="E90" s="333">
        <v>165</v>
      </c>
      <c r="F90" s="333">
        <v>0</v>
      </c>
      <c r="G90" s="333">
        <v>0</v>
      </c>
      <c r="H90" s="333">
        <v>165</v>
      </c>
      <c r="I90" s="333">
        <v>0</v>
      </c>
      <c r="J90" s="333">
        <v>70</v>
      </c>
      <c r="K90" s="333">
        <v>70</v>
      </c>
      <c r="L90" s="333"/>
      <c r="M90" s="208">
        <v>156</v>
      </c>
      <c r="N90" s="279" t="s">
        <v>207</v>
      </c>
      <c r="O90" s="333">
        <v>0</v>
      </c>
      <c r="P90" s="333">
        <v>0</v>
      </c>
      <c r="Q90" s="333">
        <v>165</v>
      </c>
      <c r="R90" s="333">
        <v>165</v>
      </c>
      <c r="S90" s="333">
        <v>1693403</v>
      </c>
      <c r="T90" s="334">
        <v>0.6</v>
      </c>
      <c r="U90" s="165"/>
      <c r="V90" s="279" t="s">
        <v>207</v>
      </c>
      <c r="W90" s="333">
        <v>70</v>
      </c>
      <c r="X90" s="333">
        <v>10956.128571428571</v>
      </c>
      <c r="Y90" s="333">
        <v>766929</v>
      </c>
      <c r="Z90" s="169"/>
      <c r="AA90" s="279" t="s">
        <v>207</v>
      </c>
      <c r="AB90" s="333">
        <v>0</v>
      </c>
      <c r="AC90" s="333">
        <v>0</v>
      </c>
      <c r="AD90" s="333">
        <v>165</v>
      </c>
      <c r="AE90" s="333">
        <v>165</v>
      </c>
      <c r="AF90" s="333">
        <v>132</v>
      </c>
      <c r="AG90" s="333">
        <v>688400</v>
      </c>
      <c r="AH90" s="169"/>
      <c r="AI90" s="279" t="s">
        <v>207</v>
      </c>
      <c r="AJ90" s="333">
        <v>0</v>
      </c>
      <c r="AK90" s="333">
        <v>0</v>
      </c>
      <c r="AL90" s="333">
        <v>165</v>
      </c>
      <c r="AM90" s="333">
        <v>165</v>
      </c>
      <c r="AN90" s="333">
        <v>132</v>
      </c>
      <c r="AO90" s="333">
        <v>1005003</v>
      </c>
    </row>
    <row r="91" spans="1:41" s="211" customFormat="1">
      <c r="A91" s="333">
        <f>SUBTOTAL(3,$B$7:B91)</f>
        <v>85</v>
      </c>
      <c r="B91" s="169" t="s">
        <v>161</v>
      </c>
      <c r="C91" s="279" t="s">
        <v>351</v>
      </c>
      <c r="D91" s="333">
        <v>0</v>
      </c>
      <c r="E91" s="333">
        <v>87</v>
      </c>
      <c r="F91" s="333">
        <v>0</v>
      </c>
      <c r="G91" s="333">
        <v>0</v>
      </c>
      <c r="H91" s="333">
        <v>87</v>
      </c>
      <c r="I91" s="333">
        <v>0</v>
      </c>
      <c r="J91" s="333">
        <v>0</v>
      </c>
      <c r="K91" s="333">
        <v>0</v>
      </c>
      <c r="L91" s="333"/>
      <c r="M91" s="165">
        <v>157</v>
      </c>
      <c r="N91" s="345" t="s">
        <v>351</v>
      </c>
      <c r="O91" s="333">
        <v>0</v>
      </c>
      <c r="P91" s="333">
        <v>0</v>
      </c>
      <c r="Q91" s="333">
        <v>87</v>
      </c>
      <c r="R91" s="333">
        <v>87</v>
      </c>
      <c r="S91" s="333">
        <v>2768884</v>
      </c>
      <c r="T91" s="334">
        <v>1.85</v>
      </c>
      <c r="U91" s="165"/>
      <c r="V91" s="279" t="s">
        <v>351</v>
      </c>
      <c r="W91" s="333">
        <v>0</v>
      </c>
      <c r="X91" s="333">
        <v>0</v>
      </c>
      <c r="Y91" s="333">
        <v>0</v>
      </c>
      <c r="Z91" s="169"/>
      <c r="AA91" s="279" t="s">
        <v>351</v>
      </c>
      <c r="AB91" s="333">
        <v>0</v>
      </c>
      <c r="AC91" s="333">
        <v>0</v>
      </c>
      <c r="AD91" s="333">
        <v>87</v>
      </c>
      <c r="AE91" s="333">
        <v>87</v>
      </c>
      <c r="AF91" s="333">
        <v>70</v>
      </c>
      <c r="AG91" s="333">
        <v>1125603</v>
      </c>
      <c r="AH91" s="169"/>
      <c r="AI91" s="279" t="s">
        <v>351</v>
      </c>
      <c r="AJ91" s="333">
        <v>0</v>
      </c>
      <c r="AK91" s="333">
        <v>0</v>
      </c>
      <c r="AL91" s="333">
        <v>87</v>
      </c>
      <c r="AM91" s="333">
        <v>87</v>
      </c>
      <c r="AN91" s="333">
        <v>70</v>
      </c>
      <c r="AO91" s="333">
        <v>1643281</v>
      </c>
    </row>
    <row r="92" spans="1:41" s="211" customFormat="1">
      <c r="A92" s="333">
        <f>SUBTOTAL(3,$B$7:B92)</f>
        <v>86</v>
      </c>
      <c r="B92" s="169" t="s">
        <v>161</v>
      </c>
      <c r="C92" s="279" t="s">
        <v>352</v>
      </c>
      <c r="D92" s="333">
        <v>0</v>
      </c>
      <c r="E92" s="333">
        <v>59</v>
      </c>
      <c r="F92" s="333">
        <v>0</v>
      </c>
      <c r="G92" s="333">
        <v>0</v>
      </c>
      <c r="H92" s="333">
        <v>59</v>
      </c>
      <c r="I92" s="333">
        <v>0</v>
      </c>
      <c r="J92" s="333">
        <v>21</v>
      </c>
      <c r="K92" s="333">
        <v>21</v>
      </c>
      <c r="L92" s="333"/>
      <c r="M92" s="165">
        <v>158</v>
      </c>
      <c r="N92" s="345" t="s">
        <v>352</v>
      </c>
      <c r="O92" s="333">
        <v>0</v>
      </c>
      <c r="P92" s="333">
        <v>0</v>
      </c>
      <c r="Q92" s="333">
        <v>59</v>
      </c>
      <c r="R92" s="333">
        <v>59</v>
      </c>
      <c r="S92" s="333">
        <v>1891086</v>
      </c>
      <c r="T92" s="334">
        <v>3.5</v>
      </c>
      <c r="U92" s="165"/>
      <c r="V92" s="279" t="s">
        <v>352</v>
      </c>
      <c r="W92" s="333">
        <v>21</v>
      </c>
      <c r="X92" s="333">
        <v>32052.285714285714</v>
      </c>
      <c r="Y92" s="333">
        <v>673098</v>
      </c>
      <c r="Z92" s="169"/>
      <c r="AA92" s="279" t="s">
        <v>352</v>
      </c>
      <c r="AB92" s="333">
        <v>0</v>
      </c>
      <c r="AC92" s="333">
        <v>0</v>
      </c>
      <c r="AD92" s="333">
        <v>59</v>
      </c>
      <c r="AE92" s="333">
        <v>59</v>
      </c>
      <c r="AF92" s="333">
        <v>47</v>
      </c>
      <c r="AG92" s="333">
        <v>768762</v>
      </c>
      <c r="AH92" s="169"/>
      <c r="AI92" s="279" t="s">
        <v>352</v>
      </c>
      <c r="AJ92" s="333">
        <v>0</v>
      </c>
      <c r="AK92" s="333">
        <v>0</v>
      </c>
      <c r="AL92" s="333">
        <v>59</v>
      </c>
      <c r="AM92" s="333">
        <v>59</v>
      </c>
      <c r="AN92" s="333">
        <v>47</v>
      </c>
      <c r="AO92" s="333">
        <v>1122324</v>
      </c>
    </row>
    <row r="93" spans="1:41" s="211" customFormat="1">
      <c r="A93" s="333">
        <f>SUBTOTAL(3,$B$7:B93)</f>
        <v>87</v>
      </c>
      <c r="B93" s="169" t="s">
        <v>161</v>
      </c>
      <c r="C93" s="279" t="s">
        <v>353</v>
      </c>
      <c r="D93" s="333">
        <v>0</v>
      </c>
      <c r="E93" s="333">
        <v>113</v>
      </c>
      <c r="F93" s="333">
        <v>0</v>
      </c>
      <c r="G93" s="333">
        <v>0</v>
      </c>
      <c r="H93" s="333">
        <v>113</v>
      </c>
      <c r="I93" s="333">
        <v>0</v>
      </c>
      <c r="J93" s="333">
        <v>0</v>
      </c>
      <c r="K93" s="333">
        <v>0</v>
      </c>
      <c r="L93" s="333"/>
      <c r="M93" s="208">
        <v>159</v>
      </c>
      <c r="N93" s="345" t="s">
        <v>353</v>
      </c>
      <c r="O93" s="333">
        <v>0</v>
      </c>
      <c r="P93" s="333">
        <v>0</v>
      </c>
      <c r="Q93" s="333">
        <v>113</v>
      </c>
      <c r="R93" s="333">
        <v>113</v>
      </c>
      <c r="S93" s="333">
        <v>2116754</v>
      </c>
      <c r="T93" s="334">
        <v>1.1000000000000001</v>
      </c>
      <c r="U93" s="165"/>
      <c r="V93" s="279" t="s">
        <v>353</v>
      </c>
      <c r="W93" s="333">
        <v>0</v>
      </c>
      <c r="X93" s="333">
        <v>0</v>
      </c>
      <c r="Y93" s="333">
        <v>0</v>
      </c>
      <c r="Z93" s="169"/>
      <c r="AA93" s="279" t="s">
        <v>353</v>
      </c>
      <c r="AB93" s="333">
        <v>0</v>
      </c>
      <c r="AC93" s="333">
        <v>0</v>
      </c>
      <c r="AD93" s="333">
        <v>113</v>
      </c>
      <c r="AE93" s="333">
        <v>113</v>
      </c>
      <c r="AF93" s="333">
        <v>90</v>
      </c>
      <c r="AG93" s="333">
        <v>860500</v>
      </c>
      <c r="AH93" s="169"/>
      <c r="AI93" s="279" t="s">
        <v>353</v>
      </c>
      <c r="AJ93" s="333">
        <v>0</v>
      </c>
      <c r="AK93" s="333">
        <v>0</v>
      </c>
      <c r="AL93" s="333">
        <v>113</v>
      </c>
      <c r="AM93" s="333">
        <v>113</v>
      </c>
      <c r="AN93" s="333">
        <v>90</v>
      </c>
      <c r="AO93" s="333">
        <v>1256254</v>
      </c>
    </row>
    <row r="94" spans="1:41" s="211" customFormat="1">
      <c r="A94" s="333">
        <f>SUBTOTAL(3,$B$7:B94)</f>
        <v>88</v>
      </c>
      <c r="B94" s="169" t="s">
        <v>161</v>
      </c>
      <c r="C94" s="279" t="s">
        <v>354</v>
      </c>
      <c r="D94" s="333">
        <v>0</v>
      </c>
      <c r="E94" s="333">
        <v>113</v>
      </c>
      <c r="F94" s="333">
        <v>0</v>
      </c>
      <c r="G94" s="333">
        <v>0</v>
      </c>
      <c r="H94" s="333">
        <v>113</v>
      </c>
      <c r="I94" s="333">
        <v>0</v>
      </c>
      <c r="J94" s="333">
        <v>12</v>
      </c>
      <c r="K94" s="333">
        <v>12</v>
      </c>
      <c r="L94" s="333"/>
      <c r="M94" s="165">
        <v>160</v>
      </c>
      <c r="N94" s="345" t="s">
        <v>354</v>
      </c>
      <c r="O94" s="333">
        <v>0</v>
      </c>
      <c r="P94" s="333">
        <v>0</v>
      </c>
      <c r="Q94" s="333">
        <v>113</v>
      </c>
      <c r="R94" s="333">
        <v>113</v>
      </c>
      <c r="S94" s="333">
        <v>2116754</v>
      </c>
      <c r="T94" s="334">
        <v>1.1000000000000001</v>
      </c>
      <c r="U94" s="165"/>
      <c r="V94" s="279" t="s">
        <v>354</v>
      </c>
      <c r="W94" s="333">
        <v>12</v>
      </c>
      <c r="X94" s="333">
        <v>23519.5</v>
      </c>
      <c r="Y94" s="333">
        <v>282234</v>
      </c>
      <c r="Z94" s="169"/>
      <c r="AA94" s="279" t="s">
        <v>354</v>
      </c>
      <c r="AB94" s="333">
        <v>0</v>
      </c>
      <c r="AC94" s="333">
        <v>0</v>
      </c>
      <c r="AD94" s="333">
        <v>113</v>
      </c>
      <c r="AE94" s="333">
        <v>113</v>
      </c>
      <c r="AF94" s="333">
        <v>90</v>
      </c>
      <c r="AG94" s="333">
        <v>860500</v>
      </c>
      <c r="AH94" s="169"/>
      <c r="AI94" s="279" t="s">
        <v>354</v>
      </c>
      <c r="AJ94" s="333">
        <v>0</v>
      </c>
      <c r="AK94" s="333">
        <v>0</v>
      </c>
      <c r="AL94" s="333">
        <v>113</v>
      </c>
      <c r="AM94" s="333">
        <v>113</v>
      </c>
      <c r="AN94" s="333">
        <v>90</v>
      </c>
      <c r="AO94" s="333">
        <v>1256254</v>
      </c>
    </row>
    <row r="95" spans="1:41">
      <c r="A95" s="333">
        <f>SUBTOTAL(3,$B$7:B95)</f>
        <v>89</v>
      </c>
      <c r="B95" s="3" t="s">
        <v>161</v>
      </c>
      <c r="C95" s="275" t="s">
        <v>355</v>
      </c>
      <c r="D95" s="329">
        <v>0</v>
      </c>
      <c r="E95" s="329">
        <v>324</v>
      </c>
      <c r="F95" s="329">
        <v>0</v>
      </c>
      <c r="G95" s="329">
        <v>0</v>
      </c>
      <c r="H95" s="329">
        <v>324</v>
      </c>
      <c r="I95" s="329">
        <v>0</v>
      </c>
      <c r="J95" s="329">
        <v>14</v>
      </c>
      <c r="K95" s="333">
        <v>14</v>
      </c>
      <c r="L95" s="333"/>
      <c r="M95" s="165">
        <v>161</v>
      </c>
      <c r="N95" s="345" t="s">
        <v>355</v>
      </c>
      <c r="O95" s="329">
        <v>0</v>
      </c>
      <c r="P95" s="329">
        <v>0</v>
      </c>
      <c r="Q95" s="329">
        <v>324</v>
      </c>
      <c r="R95" s="333">
        <v>324</v>
      </c>
      <c r="S95" s="333">
        <v>12736868</v>
      </c>
      <c r="T95" s="335">
        <v>2.2999999999999998</v>
      </c>
      <c r="U95" s="208"/>
      <c r="V95" s="279" t="s">
        <v>355</v>
      </c>
      <c r="W95" s="329">
        <v>14</v>
      </c>
      <c r="X95" s="329">
        <v>49177.142857142855</v>
      </c>
      <c r="Y95" s="329">
        <v>688480</v>
      </c>
      <c r="Z95" s="3"/>
      <c r="AA95" s="279" t="s">
        <v>355</v>
      </c>
      <c r="AB95" s="329">
        <v>0</v>
      </c>
      <c r="AC95" s="329">
        <v>0</v>
      </c>
      <c r="AD95" s="329">
        <v>324</v>
      </c>
      <c r="AE95" s="329">
        <v>324</v>
      </c>
      <c r="AF95" s="329">
        <v>259</v>
      </c>
      <c r="AG95" s="329">
        <v>5177775</v>
      </c>
      <c r="AH95" s="3"/>
      <c r="AI95" s="279" t="s">
        <v>355</v>
      </c>
      <c r="AJ95" s="329">
        <v>0</v>
      </c>
      <c r="AK95" s="329">
        <v>0</v>
      </c>
      <c r="AL95" s="329">
        <v>324</v>
      </c>
      <c r="AM95" s="329">
        <v>324</v>
      </c>
      <c r="AN95" s="329">
        <v>259</v>
      </c>
      <c r="AO95" s="329">
        <v>7559093</v>
      </c>
    </row>
    <row r="96" spans="1:41">
      <c r="A96" s="333">
        <f>SUBTOTAL(3,$B$7:B96)</f>
        <v>90</v>
      </c>
      <c r="B96" s="3" t="s">
        <v>161</v>
      </c>
      <c r="C96" s="275" t="s">
        <v>356</v>
      </c>
      <c r="D96" s="329">
        <v>0</v>
      </c>
      <c r="E96" s="329">
        <v>81</v>
      </c>
      <c r="F96" s="329">
        <v>0</v>
      </c>
      <c r="G96" s="329">
        <v>0</v>
      </c>
      <c r="H96" s="329">
        <v>81</v>
      </c>
      <c r="I96" s="329">
        <v>0</v>
      </c>
      <c r="J96" s="329">
        <v>181</v>
      </c>
      <c r="K96" s="333">
        <v>181</v>
      </c>
      <c r="L96" s="333"/>
      <c r="M96" s="208">
        <v>162</v>
      </c>
      <c r="N96" s="345" t="s">
        <v>356</v>
      </c>
      <c r="O96" s="329">
        <v>0</v>
      </c>
      <c r="P96" s="329">
        <v>0</v>
      </c>
      <c r="Q96" s="329">
        <v>81</v>
      </c>
      <c r="R96" s="333">
        <v>81</v>
      </c>
      <c r="S96" s="333">
        <v>1528766</v>
      </c>
      <c r="T96" s="335">
        <v>1.1000000000000001</v>
      </c>
      <c r="U96" s="208"/>
      <c r="V96" s="279" t="s">
        <v>356</v>
      </c>
      <c r="W96" s="329">
        <v>181</v>
      </c>
      <c r="X96" s="329">
        <v>23519.480662983424</v>
      </c>
      <c r="Y96" s="329">
        <v>4257026</v>
      </c>
      <c r="Z96" s="3"/>
      <c r="AA96" s="279" t="s">
        <v>356</v>
      </c>
      <c r="AB96" s="329">
        <v>0</v>
      </c>
      <c r="AC96" s="329">
        <v>0</v>
      </c>
      <c r="AD96" s="329">
        <v>81</v>
      </c>
      <c r="AE96" s="329">
        <v>81</v>
      </c>
      <c r="AF96" s="329">
        <v>65</v>
      </c>
      <c r="AG96" s="329">
        <v>621472</v>
      </c>
      <c r="AH96" s="3"/>
      <c r="AI96" s="279" t="s">
        <v>356</v>
      </c>
      <c r="AJ96" s="329">
        <v>0</v>
      </c>
      <c r="AK96" s="329">
        <v>0</v>
      </c>
      <c r="AL96" s="329">
        <v>81</v>
      </c>
      <c r="AM96" s="329">
        <v>81</v>
      </c>
      <c r="AN96" s="329">
        <v>65</v>
      </c>
      <c r="AO96" s="329">
        <v>907294</v>
      </c>
    </row>
    <row r="97" spans="1:41">
      <c r="A97" s="333">
        <f>SUBTOTAL(3,$B$7:B97)</f>
        <v>91</v>
      </c>
      <c r="B97" s="3" t="s">
        <v>161</v>
      </c>
      <c r="C97" s="275" t="s">
        <v>357</v>
      </c>
      <c r="D97" s="329">
        <v>0</v>
      </c>
      <c r="E97" s="329">
        <v>109</v>
      </c>
      <c r="F97" s="329">
        <v>0</v>
      </c>
      <c r="G97" s="329">
        <v>0</v>
      </c>
      <c r="H97" s="329">
        <v>109</v>
      </c>
      <c r="I97" s="329">
        <v>0</v>
      </c>
      <c r="J97" s="329">
        <v>193</v>
      </c>
      <c r="K97" s="333">
        <v>193</v>
      </c>
      <c r="L97" s="333"/>
      <c r="M97" s="165">
        <v>163</v>
      </c>
      <c r="N97" s="345" t="s">
        <v>357</v>
      </c>
      <c r="O97" s="329">
        <v>0</v>
      </c>
      <c r="P97" s="329">
        <v>0</v>
      </c>
      <c r="Q97" s="329">
        <v>109</v>
      </c>
      <c r="R97" s="333">
        <v>109</v>
      </c>
      <c r="S97" s="333">
        <v>4129491</v>
      </c>
      <c r="T97" s="335">
        <v>2.2000000000000002</v>
      </c>
      <c r="U97" s="208"/>
      <c r="V97" s="279" t="s">
        <v>357</v>
      </c>
      <c r="W97" s="329">
        <v>193</v>
      </c>
      <c r="X97" s="329">
        <v>47240.233160621763</v>
      </c>
      <c r="Y97" s="329">
        <v>9117365</v>
      </c>
      <c r="Z97" s="3"/>
      <c r="AA97" s="279" t="s">
        <v>357</v>
      </c>
      <c r="AB97" s="329">
        <v>0</v>
      </c>
      <c r="AC97" s="329">
        <v>0</v>
      </c>
      <c r="AD97" s="329">
        <v>109</v>
      </c>
      <c r="AE97" s="329">
        <v>109</v>
      </c>
      <c r="AF97" s="329">
        <v>87</v>
      </c>
      <c r="AG97" s="329">
        <v>1667903</v>
      </c>
      <c r="AH97" s="3"/>
      <c r="AI97" s="279" t="s">
        <v>357</v>
      </c>
      <c r="AJ97" s="329">
        <v>0</v>
      </c>
      <c r="AK97" s="329">
        <v>0</v>
      </c>
      <c r="AL97" s="329">
        <v>109</v>
      </c>
      <c r="AM97" s="329">
        <v>109</v>
      </c>
      <c r="AN97" s="329">
        <v>87</v>
      </c>
      <c r="AO97" s="329">
        <v>2461588</v>
      </c>
    </row>
    <row r="98" spans="1:41" s="211" customFormat="1">
      <c r="A98" s="333">
        <f>SUBTOTAL(3,$B$7:B98)</f>
        <v>92</v>
      </c>
      <c r="B98" s="169" t="s">
        <v>161</v>
      </c>
      <c r="C98" s="279" t="s">
        <v>358</v>
      </c>
      <c r="D98" s="333">
        <v>0</v>
      </c>
      <c r="E98" s="333">
        <v>51</v>
      </c>
      <c r="F98" s="333">
        <v>0</v>
      </c>
      <c r="G98" s="333">
        <v>0</v>
      </c>
      <c r="H98" s="333">
        <v>51</v>
      </c>
      <c r="I98" s="333">
        <v>0</v>
      </c>
      <c r="J98" s="333">
        <v>108</v>
      </c>
      <c r="K98" s="333">
        <v>108</v>
      </c>
      <c r="L98" s="333"/>
      <c r="M98" s="165">
        <v>164</v>
      </c>
      <c r="N98" s="345" t="s">
        <v>358</v>
      </c>
      <c r="O98" s="333">
        <v>0</v>
      </c>
      <c r="P98" s="333">
        <v>0</v>
      </c>
      <c r="Q98" s="333">
        <v>51</v>
      </c>
      <c r="R98" s="333">
        <v>51</v>
      </c>
      <c r="S98" s="333">
        <v>2241784</v>
      </c>
      <c r="T98" s="334">
        <v>2.5</v>
      </c>
      <c r="U98" s="165"/>
      <c r="V98" s="279" t="s">
        <v>358</v>
      </c>
      <c r="W98" s="333">
        <v>108</v>
      </c>
      <c r="X98" s="333">
        <v>54890.361111111109</v>
      </c>
      <c r="Y98" s="333">
        <v>5928159</v>
      </c>
      <c r="Z98" s="169"/>
      <c r="AA98" s="279" t="s">
        <v>358</v>
      </c>
      <c r="AB98" s="333">
        <v>0</v>
      </c>
      <c r="AC98" s="333">
        <v>0</v>
      </c>
      <c r="AD98" s="333">
        <v>51</v>
      </c>
      <c r="AE98" s="333">
        <v>51</v>
      </c>
      <c r="AF98" s="333">
        <v>41</v>
      </c>
      <c r="AG98" s="333">
        <v>892301</v>
      </c>
      <c r="AH98" s="169"/>
      <c r="AI98" s="279" t="s">
        <v>358</v>
      </c>
      <c r="AJ98" s="333">
        <v>0</v>
      </c>
      <c r="AK98" s="333">
        <v>0</v>
      </c>
      <c r="AL98" s="333">
        <v>51</v>
      </c>
      <c r="AM98" s="333">
        <v>51</v>
      </c>
      <c r="AN98" s="333">
        <v>41</v>
      </c>
      <c r="AO98" s="333">
        <v>1349483</v>
      </c>
    </row>
    <row r="99" spans="1:41">
      <c r="A99" s="333">
        <f>SUBTOTAL(3,$B$7:B99)</f>
        <v>93</v>
      </c>
      <c r="B99" s="3" t="s">
        <v>161</v>
      </c>
      <c r="C99" s="275" t="s">
        <v>359</v>
      </c>
      <c r="D99" s="329">
        <v>0</v>
      </c>
      <c r="E99" s="329">
        <v>85</v>
      </c>
      <c r="F99" s="329">
        <v>0</v>
      </c>
      <c r="G99" s="329">
        <v>0</v>
      </c>
      <c r="H99" s="329">
        <v>85</v>
      </c>
      <c r="I99" s="329">
        <v>0</v>
      </c>
      <c r="J99" s="329">
        <v>48</v>
      </c>
      <c r="K99" s="333">
        <v>48</v>
      </c>
      <c r="L99" s="333"/>
      <c r="M99" s="208">
        <v>165</v>
      </c>
      <c r="N99" s="345" t="s">
        <v>359</v>
      </c>
      <c r="O99" s="329">
        <v>0</v>
      </c>
      <c r="P99" s="329">
        <v>0</v>
      </c>
      <c r="Q99" s="329">
        <v>85</v>
      </c>
      <c r="R99" s="333">
        <v>85</v>
      </c>
      <c r="S99" s="333">
        <v>1478001</v>
      </c>
      <c r="T99" s="335">
        <v>1.02</v>
      </c>
      <c r="U99" s="208"/>
      <c r="V99" s="279" t="s">
        <v>359</v>
      </c>
      <c r="W99" s="329">
        <v>48</v>
      </c>
      <c r="X99" s="329">
        <v>21731.895833333332</v>
      </c>
      <c r="Y99" s="329">
        <v>1043131</v>
      </c>
      <c r="Z99" s="3"/>
      <c r="AA99" s="279" t="s">
        <v>359</v>
      </c>
      <c r="AB99" s="329">
        <v>0</v>
      </c>
      <c r="AC99" s="329">
        <v>0</v>
      </c>
      <c r="AD99" s="329">
        <v>85</v>
      </c>
      <c r="AE99" s="329">
        <v>85</v>
      </c>
      <c r="AF99" s="329">
        <v>68</v>
      </c>
      <c r="AG99" s="329">
        <v>600835</v>
      </c>
      <c r="AH99" s="3"/>
      <c r="AI99" s="279" t="s">
        <v>359</v>
      </c>
      <c r="AJ99" s="329">
        <v>0</v>
      </c>
      <c r="AK99" s="329">
        <v>0</v>
      </c>
      <c r="AL99" s="329">
        <v>85</v>
      </c>
      <c r="AM99" s="329">
        <v>85</v>
      </c>
      <c r="AN99" s="329">
        <v>68</v>
      </c>
      <c r="AO99" s="329">
        <v>877166</v>
      </c>
    </row>
    <row r="100" spans="1:41">
      <c r="A100" s="333">
        <f>SUBTOTAL(3,$B$7:B100)</f>
        <v>94</v>
      </c>
      <c r="B100" s="3" t="s">
        <v>161</v>
      </c>
      <c r="C100" s="275" t="s">
        <v>360</v>
      </c>
      <c r="D100" s="329">
        <v>0</v>
      </c>
      <c r="E100" s="329">
        <v>24</v>
      </c>
      <c r="F100" s="329">
        <v>0</v>
      </c>
      <c r="G100" s="329">
        <v>0</v>
      </c>
      <c r="H100" s="329">
        <v>24</v>
      </c>
      <c r="I100" s="329">
        <v>0</v>
      </c>
      <c r="J100" s="329">
        <v>24</v>
      </c>
      <c r="K100" s="333">
        <v>24</v>
      </c>
      <c r="L100" s="333"/>
      <c r="M100" s="165">
        <v>166</v>
      </c>
      <c r="N100" s="345" t="s">
        <v>360</v>
      </c>
      <c r="O100" s="329">
        <v>0</v>
      </c>
      <c r="P100" s="329">
        <v>0</v>
      </c>
      <c r="Q100" s="329">
        <v>24</v>
      </c>
      <c r="R100" s="333">
        <v>24</v>
      </c>
      <c r="S100" s="333">
        <v>1518931</v>
      </c>
      <c r="T100" s="335">
        <v>3.7</v>
      </c>
      <c r="U100" s="208"/>
      <c r="V100" s="279" t="s">
        <v>360</v>
      </c>
      <c r="W100" s="329">
        <v>24</v>
      </c>
      <c r="X100" s="329">
        <v>72452.458333333328</v>
      </c>
      <c r="Y100" s="329">
        <v>1738859</v>
      </c>
      <c r="Z100" s="3"/>
      <c r="AA100" s="279" t="s">
        <v>360</v>
      </c>
      <c r="AB100" s="329">
        <v>0</v>
      </c>
      <c r="AC100" s="329">
        <v>0</v>
      </c>
      <c r="AD100" s="329">
        <v>24</v>
      </c>
      <c r="AE100" s="329">
        <v>24</v>
      </c>
      <c r="AF100" s="329">
        <v>19</v>
      </c>
      <c r="AG100" s="329">
        <v>617474</v>
      </c>
      <c r="AH100" s="3"/>
      <c r="AI100" s="279" t="s">
        <v>360</v>
      </c>
      <c r="AJ100" s="329">
        <v>0</v>
      </c>
      <c r="AK100" s="329">
        <v>0</v>
      </c>
      <c r="AL100" s="329">
        <v>24</v>
      </c>
      <c r="AM100" s="329">
        <v>24</v>
      </c>
      <c r="AN100" s="329">
        <v>19</v>
      </c>
      <c r="AO100" s="329">
        <v>901457</v>
      </c>
    </row>
    <row r="101" spans="1:41" s="211" customFormat="1">
      <c r="A101" s="333">
        <f>SUBTOTAL(3,$B$7:B101)</f>
        <v>95</v>
      </c>
      <c r="B101" s="169" t="s">
        <v>161</v>
      </c>
      <c r="C101" s="279" t="s">
        <v>361</v>
      </c>
      <c r="D101" s="333">
        <v>0</v>
      </c>
      <c r="E101" s="333">
        <v>337</v>
      </c>
      <c r="F101" s="333">
        <v>0</v>
      </c>
      <c r="G101" s="333">
        <v>0</v>
      </c>
      <c r="H101" s="333">
        <v>337</v>
      </c>
      <c r="I101" s="333">
        <v>0</v>
      </c>
      <c r="J101" s="333">
        <v>137</v>
      </c>
      <c r="K101" s="333">
        <v>137</v>
      </c>
      <c r="L101" s="333"/>
      <c r="M101" s="165">
        <v>167</v>
      </c>
      <c r="N101" s="345" t="s">
        <v>361</v>
      </c>
      <c r="O101" s="333">
        <v>0</v>
      </c>
      <c r="P101" s="333">
        <v>0</v>
      </c>
      <c r="Q101" s="333">
        <v>337</v>
      </c>
      <c r="R101" s="333">
        <v>337</v>
      </c>
      <c r="S101" s="333">
        <v>11380717</v>
      </c>
      <c r="T101" s="334">
        <v>1.9</v>
      </c>
      <c r="U101" s="165"/>
      <c r="V101" s="279" t="s">
        <v>361</v>
      </c>
      <c r="W101" s="333">
        <v>137</v>
      </c>
      <c r="X101" s="333">
        <v>42150.802919708032</v>
      </c>
      <c r="Y101" s="333">
        <v>5774660</v>
      </c>
      <c r="Z101" s="169"/>
      <c r="AA101" s="279" t="s">
        <v>361</v>
      </c>
      <c r="AB101" s="333">
        <v>0</v>
      </c>
      <c r="AC101" s="333">
        <v>0</v>
      </c>
      <c r="AD101" s="333">
        <v>337</v>
      </c>
      <c r="AE101" s="333">
        <v>337</v>
      </c>
      <c r="AF101" s="333">
        <v>270</v>
      </c>
      <c r="AG101" s="333">
        <v>4506377</v>
      </c>
      <c r="AH101" s="169"/>
      <c r="AI101" s="279" t="s">
        <v>361</v>
      </c>
      <c r="AJ101" s="333">
        <v>0</v>
      </c>
      <c r="AK101" s="333">
        <v>0</v>
      </c>
      <c r="AL101" s="333">
        <v>337</v>
      </c>
      <c r="AM101" s="333">
        <v>337</v>
      </c>
      <c r="AN101" s="333">
        <v>270</v>
      </c>
      <c r="AO101" s="333">
        <v>6874340</v>
      </c>
    </row>
    <row r="102" spans="1:41" s="211" customFormat="1">
      <c r="A102" s="333">
        <f>SUBTOTAL(3,$B$7:B102)</f>
        <v>96</v>
      </c>
      <c r="B102" s="169" t="s">
        <v>161</v>
      </c>
      <c r="C102" s="279" t="s">
        <v>362</v>
      </c>
      <c r="D102" s="333">
        <v>0</v>
      </c>
      <c r="E102" s="333">
        <v>85</v>
      </c>
      <c r="F102" s="333">
        <v>0</v>
      </c>
      <c r="G102" s="333">
        <v>0</v>
      </c>
      <c r="H102" s="333">
        <v>85</v>
      </c>
      <c r="I102" s="333">
        <v>0</v>
      </c>
      <c r="J102" s="333">
        <v>101</v>
      </c>
      <c r="K102" s="333">
        <v>101</v>
      </c>
      <c r="L102" s="333"/>
      <c r="M102" s="208">
        <v>168</v>
      </c>
      <c r="N102" s="345" t="s">
        <v>362</v>
      </c>
      <c r="O102" s="333">
        <v>0</v>
      </c>
      <c r="P102" s="333">
        <v>0</v>
      </c>
      <c r="Q102" s="333">
        <v>85</v>
      </c>
      <c r="R102" s="333">
        <v>85</v>
      </c>
      <c r="S102" s="333">
        <v>2907863</v>
      </c>
      <c r="T102" s="334">
        <v>2</v>
      </c>
      <c r="U102" s="165"/>
      <c r="V102" s="279" t="s">
        <v>362</v>
      </c>
      <c r="W102" s="333">
        <v>101</v>
      </c>
      <c r="X102" s="333">
        <v>42762.69306930693</v>
      </c>
      <c r="Y102" s="333">
        <v>4319032</v>
      </c>
      <c r="Z102" s="169"/>
      <c r="AA102" s="279" t="s">
        <v>362</v>
      </c>
      <c r="AB102" s="333">
        <v>0</v>
      </c>
      <c r="AC102" s="333">
        <v>0</v>
      </c>
      <c r="AD102" s="333">
        <v>85</v>
      </c>
      <c r="AE102" s="333">
        <v>85</v>
      </c>
      <c r="AF102" s="333">
        <v>68</v>
      </c>
      <c r="AG102" s="333">
        <v>1182101</v>
      </c>
      <c r="AH102" s="169"/>
      <c r="AI102" s="279" t="s">
        <v>362</v>
      </c>
      <c r="AJ102" s="333">
        <v>0</v>
      </c>
      <c r="AK102" s="333">
        <v>0</v>
      </c>
      <c r="AL102" s="333">
        <v>85</v>
      </c>
      <c r="AM102" s="333">
        <v>85</v>
      </c>
      <c r="AN102" s="333">
        <v>68</v>
      </c>
      <c r="AO102" s="333">
        <v>1725762</v>
      </c>
    </row>
    <row r="103" spans="1:41" s="211" customFormat="1">
      <c r="A103" s="333">
        <f>SUBTOTAL(3,$B$7:B103)</f>
        <v>97</v>
      </c>
      <c r="B103" s="169" t="s">
        <v>161</v>
      </c>
      <c r="C103" s="279" t="s">
        <v>363</v>
      </c>
      <c r="D103" s="333">
        <v>0</v>
      </c>
      <c r="E103" s="333">
        <v>23</v>
      </c>
      <c r="F103" s="333">
        <v>0</v>
      </c>
      <c r="G103" s="333">
        <v>0</v>
      </c>
      <c r="H103" s="333">
        <v>23</v>
      </c>
      <c r="I103" s="333">
        <v>0</v>
      </c>
      <c r="J103" s="333">
        <v>50</v>
      </c>
      <c r="K103" s="333">
        <v>50</v>
      </c>
      <c r="L103" s="333"/>
      <c r="M103" s="165">
        <v>169</v>
      </c>
      <c r="N103" s="345" t="s">
        <v>363</v>
      </c>
      <c r="O103" s="333">
        <v>0</v>
      </c>
      <c r="P103" s="333">
        <v>0</v>
      </c>
      <c r="Q103" s="333">
        <v>23</v>
      </c>
      <c r="R103" s="333">
        <v>23</v>
      </c>
      <c r="S103" s="333">
        <v>676415</v>
      </c>
      <c r="T103" s="334">
        <v>1.7</v>
      </c>
      <c r="U103" s="165"/>
      <c r="V103" s="279" t="s">
        <v>363</v>
      </c>
      <c r="W103" s="333">
        <v>50</v>
      </c>
      <c r="X103" s="333">
        <v>37578.660000000003</v>
      </c>
      <c r="Y103" s="333">
        <v>1878933</v>
      </c>
      <c r="Z103" s="169"/>
      <c r="AA103" s="279" t="s">
        <v>363</v>
      </c>
      <c r="AB103" s="333">
        <v>0</v>
      </c>
      <c r="AC103" s="333">
        <v>0</v>
      </c>
      <c r="AD103" s="333">
        <v>23</v>
      </c>
      <c r="AE103" s="333">
        <v>23</v>
      </c>
      <c r="AF103" s="333">
        <v>18</v>
      </c>
      <c r="AG103" s="333">
        <v>268521</v>
      </c>
      <c r="AH103" s="169"/>
      <c r="AI103" s="279" t="s">
        <v>363</v>
      </c>
      <c r="AJ103" s="333">
        <v>0</v>
      </c>
      <c r="AK103" s="333">
        <v>0</v>
      </c>
      <c r="AL103" s="333">
        <v>23</v>
      </c>
      <c r="AM103" s="333">
        <v>23</v>
      </c>
      <c r="AN103" s="333">
        <v>18</v>
      </c>
      <c r="AO103" s="333">
        <v>407894</v>
      </c>
    </row>
    <row r="104" spans="1:41" s="211" customFormat="1">
      <c r="A104" s="333">
        <f>SUBTOTAL(3,$B$7:B104)</f>
        <v>98</v>
      </c>
      <c r="B104" s="169" t="s">
        <v>161</v>
      </c>
      <c r="C104" s="279" t="s">
        <v>364</v>
      </c>
      <c r="D104" s="333">
        <v>0</v>
      </c>
      <c r="E104" s="333">
        <v>102</v>
      </c>
      <c r="F104" s="333">
        <v>0</v>
      </c>
      <c r="G104" s="333">
        <v>0</v>
      </c>
      <c r="H104" s="333">
        <v>102</v>
      </c>
      <c r="I104" s="333">
        <v>0</v>
      </c>
      <c r="J104" s="333">
        <v>34</v>
      </c>
      <c r="K104" s="333">
        <v>34</v>
      </c>
      <c r="L104" s="333"/>
      <c r="M104" s="165">
        <v>170</v>
      </c>
      <c r="N104" s="345" t="s">
        <v>364</v>
      </c>
      <c r="O104" s="333">
        <v>0</v>
      </c>
      <c r="P104" s="333">
        <v>0</v>
      </c>
      <c r="Q104" s="333">
        <v>102</v>
      </c>
      <c r="R104" s="333">
        <v>102</v>
      </c>
      <c r="S104" s="333">
        <v>3488688</v>
      </c>
      <c r="T104" s="334">
        <v>2</v>
      </c>
      <c r="U104" s="165"/>
      <c r="V104" s="279" t="s">
        <v>364</v>
      </c>
      <c r="W104" s="333">
        <v>34</v>
      </c>
      <c r="X104" s="333">
        <v>37428.323529411762</v>
      </c>
      <c r="Y104" s="333">
        <v>1272563</v>
      </c>
      <c r="Z104" s="169"/>
      <c r="AA104" s="279" t="s">
        <v>364</v>
      </c>
      <c r="AB104" s="333">
        <v>0</v>
      </c>
      <c r="AC104" s="333">
        <v>0</v>
      </c>
      <c r="AD104" s="333">
        <v>102</v>
      </c>
      <c r="AE104" s="333">
        <v>102</v>
      </c>
      <c r="AF104" s="333">
        <v>82</v>
      </c>
      <c r="AG104" s="333">
        <v>1418217</v>
      </c>
      <c r="AH104" s="169"/>
      <c r="AI104" s="279" t="s">
        <v>364</v>
      </c>
      <c r="AJ104" s="333">
        <v>0</v>
      </c>
      <c r="AK104" s="333">
        <v>0</v>
      </c>
      <c r="AL104" s="333">
        <v>102</v>
      </c>
      <c r="AM104" s="333">
        <v>102</v>
      </c>
      <c r="AN104" s="333">
        <v>82</v>
      </c>
      <c r="AO104" s="333">
        <v>2070471</v>
      </c>
    </row>
    <row r="105" spans="1:41" s="211" customFormat="1">
      <c r="A105" s="333">
        <f>SUBTOTAL(3,$B$7:B105)</f>
        <v>99</v>
      </c>
      <c r="B105" s="169" t="s">
        <v>161</v>
      </c>
      <c r="C105" s="279" t="s">
        <v>365</v>
      </c>
      <c r="D105" s="333">
        <v>17282</v>
      </c>
      <c r="E105" s="333">
        <v>595</v>
      </c>
      <c r="F105" s="333">
        <v>0</v>
      </c>
      <c r="G105" s="333">
        <v>29</v>
      </c>
      <c r="H105" s="333">
        <v>566</v>
      </c>
      <c r="I105" s="333">
        <v>0</v>
      </c>
      <c r="J105" s="333">
        <v>472</v>
      </c>
      <c r="K105" s="333">
        <v>472</v>
      </c>
      <c r="L105" s="333"/>
      <c r="M105" s="208">
        <v>171</v>
      </c>
      <c r="N105" s="345" t="s">
        <v>365</v>
      </c>
      <c r="O105" s="333">
        <v>0</v>
      </c>
      <c r="P105" s="333">
        <v>29</v>
      </c>
      <c r="Q105" s="333">
        <v>566</v>
      </c>
      <c r="R105" s="333">
        <v>595</v>
      </c>
      <c r="S105" s="333">
        <v>27885117</v>
      </c>
      <c r="T105" s="334">
        <v>2.2599999999999998</v>
      </c>
      <c r="U105" s="165"/>
      <c r="V105" s="279" t="s">
        <v>365</v>
      </c>
      <c r="W105" s="333">
        <v>472</v>
      </c>
      <c r="X105" s="333">
        <v>50173.307203389828</v>
      </c>
      <c r="Y105" s="333">
        <v>23681801</v>
      </c>
      <c r="Z105" s="169"/>
      <c r="AA105" s="279" t="s">
        <v>365</v>
      </c>
      <c r="AB105" s="333">
        <v>0</v>
      </c>
      <c r="AC105" s="333">
        <v>29</v>
      </c>
      <c r="AD105" s="333">
        <v>566</v>
      </c>
      <c r="AE105" s="333">
        <v>595</v>
      </c>
      <c r="AF105" s="333">
        <v>467</v>
      </c>
      <c r="AG105" s="333">
        <v>11252920</v>
      </c>
      <c r="AH105" s="169"/>
      <c r="AI105" s="279" t="s">
        <v>365</v>
      </c>
      <c r="AJ105" s="333">
        <v>0</v>
      </c>
      <c r="AK105" s="333">
        <v>29</v>
      </c>
      <c r="AL105" s="333">
        <v>566</v>
      </c>
      <c r="AM105" s="333">
        <v>595</v>
      </c>
      <c r="AN105" s="333">
        <v>467</v>
      </c>
      <c r="AO105" s="333">
        <v>16632197</v>
      </c>
    </row>
    <row r="106" spans="1:41">
      <c r="A106" s="333">
        <f>SUBTOTAL(3,$B$7:B106)</f>
        <v>100</v>
      </c>
      <c r="B106" s="3" t="s">
        <v>161</v>
      </c>
      <c r="C106" s="275" t="s">
        <v>366</v>
      </c>
      <c r="D106" s="329">
        <v>0</v>
      </c>
      <c r="E106" s="329">
        <v>0</v>
      </c>
      <c r="F106" s="329">
        <v>0</v>
      </c>
      <c r="G106" s="329">
        <v>0</v>
      </c>
      <c r="H106" s="329">
        <v>0</v>
      </c>
      <c r="I106" s="329">
        <v>0</v>
      </c>
      <c r="J106" s="329">
        <v>163</v>
      </c>
      <c r="K106" s="333">
        <v>163</v>
      </c>
      <c r="L106" s="333"/>
      <c r="M106" s="165">
        <v>172</v>
      </c>
      <c r="N106" s="345" t="s">
        <v>366</v>
      </c>
      <c r="O106" s="329">
        <v>0</v>
      </c>
      <c r="P106" s="329">
        <v>0</v>
      </c>
      <c r="Q106" s="329">
        <v>0</v>
      </c>
      <c r="R106" s="333">
        <v>0</v>
      </c>
      <c r="S106" s="333">
        <v>0</v>
      </c>
      <c r="T106" s="335">
        <v>1.8</v>
      </c>
      <c r="U106" s="208"/>
      <c r="V106" s="279" t="s">
        <v>366</v>
      </c>
      <c r="W106" s="329">
        <v>163</v>
      </c>
      <c r="X106" s="329">
        <v>43138.650306748466</v>
      </c>
      <c r="Y106" s="329">
        <v>7031600</v>
      </c>
      <c r="Z106" s="3"/>
      <c r="AA106" s="279" t="s">
        <v>366</v>
      </c>
      <c r="AB106" s="329">
        <v>0</v>
      </c>
      <c r="AC106" s="329">
        <v>0</v>
      </c>
      <c r="AD106" s="329">
        <v>0</v>
      </c>
      <c r="AE106" s="329">
        <v>0</v>
      </c>
      <c r="AF106" s="329">
        <v>0</v>
      </c>
      <c r="AG106" s="329">
        <v>0</v>
      </c>
      <c r="AH106" s="3"/>
      <c r="AI106" s="279" t="s">
        <v>366</v>
      </c>
      <c r="AJ106" s="329">
        <v>0</v>
      </c>
      <c r="AK106" s="329">
        <v>0</v>
      </c>
      <c r="AL106" s="329">
        <v>0</v>
      </c>
      <c r="AM106" s="329">
        <v>0</v>
      </c>
      <c r="AN106" s="329">
        <v>0</v>
      </c>
      <c r="AO106" s="329">
        <v>0</v>
      </c>
    </row>
    <row r="107" spans="1:41" s="211" customFormat="1">
      <c r="A107" s="333">
        <f>SUBTOTAL(3,$B$7:B107)</f>
        <v>101</v>
      </c>
      <c r="B107" s="169" t="s">
        <v>161</v>
      </c>
      <c r="C107" s="279" t="s">
        <v>208</v>
      </c>
      <c r="D107" s="333">
        <v>0</v>
      </c>
      <c r="E107" s="333">
        <v>101</v>
      </c>
      <c r="F107" s="333">
        <v>0</v>
      </c>
      <c r="G107" s="333">
        <v>0</v>
      </c>
      <c r="H107" s="333">
        <v>101</v>
      </c>
      <c r="I107" s="333">
        <v>0</v>
      </c>
      <c r="J107" s="333">
        <v>70</v>
      </c>
      <c r="K107" s="333">
        <v>70</v>
      </c>
      <c r="L107" s="333"/>
      <c r="M107" s="165">
        <v>173</v>
      </c>
      <c r="N107" s="279" t="s">
        <v>208</v>
      </c>
      <c r="O107" s="333">
        <v>0</v>
      </c>
      <c r="P107" s="333">
        <v>0</v>
      </c>
      <c r="Q107" s="333">
        <v>101</v>
      </c>
      <c r="R107" s="333">
        <v>101</v>
      </c>
      <c r="S107" s="333">
        <v>2464701</v>
      </c>
      <c r="T107" s="334">
        <v>2.5</v>
      </c>
      <c r="U107" s="165"/>
      <c r="V107" s="279" t="s">
        <v>208</v>
      </c>
      <c r="W107" s="333">
        <v>70</v>
      </c>
      <c r="X107" s="333">
        <v>58300.12857142857</v>
      </c>
      <c r="Y107" s="333">
        <v>4081009</v>
      </c>
      <c r="Z107" s="169"/>
      <c r="AA107" s="279" t="s">
        <v>208</v>
      </c>
      <c r="AB107" s="333">
        <v>0</v>
      </c>
      <c r="AC107" s="333">
        <v>0</v>
      </c>
      <c r="AD107" s="333">
        <v>101</v>
      </c>
      <c r="AE107" s="333">
        <v>101</v>
      </c>
      <c r="AF107" s="333">
        <v>81</v>
      </c>
      <c r="AG107" s="333">
        <v>1035222</v>
      </c>
      <c r="AH107" s="169"/>
      <c r="AI107" s="279" t="s">
        <v>208</v>
      </c>
      <c r="AJ107" s="333">
        <v>0</v>
      </c>
      <c r="AK107" s="333">
        <v>0</v>
      </c>
      <c r="AL107" s="333">
        <v>101</v>
      </c>
      <c r="AM107" s="333">
        <v>101</v>
      </c>
      <c r="AN107" s="333">
        <v>81</v>
      </c>
      <c r="AO107" s="333">
        <v>1429479</v>
      </c>
    </row>
    <row r="108" spans="1:41" s="211" customFormat="1">
      <c r="A108" s="333">
        <f>SUBTOTAL(3,$B$7:B108)</f>
        <v>102</v>
      </c>
      <c r="B108" s="169" t="s">
        <v>105</v>
      </c>
      <c r="C108" s="279" t="s">
        <v>209</v>
      </c>
      <c r="D108" s="333">
        <v>0</v>
      </c>
      <c r="E108" s="333">
        <v>329</v>
      </c>
      <c r="F108" s="333">
        <v>0</v>
      </c>
      <c r="G108" s="333">
        <v>0</v>
      </c>
      <c r="H108" s="333">
        <v>329</v>
      </c>
      <c r="I108" s="333">
        <v>0</v>
      </c>
      <c r="J108" s="333">
        <v>0</v>
      </c>
      <c r="K108" s="333">
        <v>0</v>
      </c>
      <c r="L108" s="333"/>
      <c r="M108" s="208">
        <v>175</v>
      </c>
      <c r="N108" s="279" t="s">
        <v>209</v>
      </c>
      <c r="O108" s="333">
        <v>0</v>
      </c>
      <c r="P108" s="333">
        <v>0</v>
      </c>
      <c r="Q108" s="333">
        <v>329</v>
      </c>
      <c r="R108" s="333">
        <v>329</v>
      </c>
      <c r="S108" s="333">
        <v>4483405</v>
      </c>
      <c r="T108" s="334">
        <v>2.15</v>
      </c>
      <c r="U108" s="165"/>
      <c r="V108" s="279" t="s">
        <v>209</v>
      </c>
      <c r="W108" s="333">
        <v>0</v>
      </c>
      <c r="X108" s="333">
        <v>0</v>
      </c>
      <c r="Y108" s="333">
        <v>0</v>
      </c>
      <c r="Z108" s="169"/>
      <c r="AA108" s="279" t="s">
        <v>209</v>
      </c>
      <c r="AB108" s="333">
        <v>0</v>
      </c>
      <c r="AC108" s="333">
        <v>0</v>
      </c>
      <c r="AD108" s="333">
        <v>329</v>
      </c>
      <c r="AE108" s="333">
        <v>329</v>
      </c>
      <c r="AF108" s="333">
        <v>263</v>
      </c>
      <c r="AG108" s="333">
        <v>1822588</v>
      </c>
      <c r="AH108" s="169"/>
      <c r="AI108" s="279" t="s">
        <v>209</v>
      </c>
      <c r="AJ108" s="333">
        <v>0</v>
      </c>
      <c r="AK108" s="333">
        <v>0</v>
      </c>
      <c r="AL108" s="333">
        <v>329</v>
      </c>
      <c r="AM108" s="333">
        <v>329</v>
      </c>
      <c r="AN108" s="333">
        <v>263</v>
      </c>
      <c r="AO108" s="333">
        <v>2660817</v>
      </c>
    </row>
    <row r="109" spans="1:41" s="211" customFormat="1">
      <c r="A109" s="333">
        <f>SUBTOTAL(3,$B$7:B109)</f>
        <v>103</v>
      </c>
      <c r="B109" s="169" t="s">
        <v>105</v>
      </c>
      <c r="C109" s="279" t="s">
        <v>210</v>
      </c>
      <c r="D109" s="333">
        <v>0</v>
      </c>
      <c r="E109" s="333">
        <v>440</v>
      </c>
      <c r="F109" s="333">
        <v>0</v>
      </c>
      <c r="G109" s="333">
        <v>0</v>
      </c>
      <c r="H109" s="333">
        <v>440</v>
      </c>
      <c r="I109" s="333">
        <v>0</v>
      </c>
      <c r="J109" s="333">
        <v>0</v>
      </c>
      <c r="K109" s="333">
        <v>0</v>
      </c>
      <c r="L109" s="333"/>
      <c r="M109" s="165">
        <v>176</v>
      </c>
      <c r="N109" s="279" t="s">
        <v>210</v>
      </c>
      <c r="O109" s="333">
        <v>0</v>
      </c>
      <c r="P109" s="333">
        <v>0</v>
      </c>
      <c r="Q109" s="333">
        <v>440</v>
      </c>
      <c r="R109" s="333">
        <v>440</v>
      </c>
      <c r="S109" s="333">
        <v>13185643</v>
      </c>
      <c r="T109" s="334">
        <v>1.75</v>
      </c>
      <c r="U109" s="165"/>
      <c r="V109" s="279" t="s">
        <v>210</v>
      </c>
      <c r="W109" s="333">
        <v>0</v>
      </c>
      <c r="X109" s="333">
        <v>0</v>
      </c>
      <c r="Y109" s="333">
        <v>0</v>
      </c>
      <c r="Z109" s="169"/>
      <c r="AA109" s="279" t="s">
        <v>210</v>
      </c>
      <c r="AB109" s="333">
        <v>0</v>
      </c>
      <c r="AC109" s="333">
        <v>0</v>
      </c>
      <c r="AD109" s="333">
        <v>440</v>
      </c>
      <c r="AE109" s="333">
        <v>440</v>
      </c>
      <c r="AF109" s="333">
        <v>352</v>
      </c>
      <c r="AG109" s="333">
        <v>5360211</v>
      </c>
      <c r="AH109" s="169"/>
      <c r="AI109" s="279" t="s">
        <v>210</v>
      </c>
      <c r="AJ109" s="333">
        <v>0</v>
      </c>
      <c r="AK109" s="333">
        <v>0</v>
      </c>
      <c r="AL109" s="333">
        <v>440</v>
      </c>
      <c r="AM109" s="333">
        <v>440</v>
      </c>
      <c r="AN109" s="333">
        <v>352</v>
      </c>
      <c r="AO109" s="333">
        <v>7825432</v>
      </c>
    </row>
    <row r="110" spans="1:41" s="211" customFormat="1">
      <c r="A110" s="333">
        <f>SUBTOTAL(3,$B$7:B110)</f>
        <v>104</v>
      </c>
      <c r="B110" s="169" t="s">
        <v>105</v>
      </c>
      <c r="C110" s="279" t="s">
        <v>367</v>
      </c>
      <c r="D110" s="333">
        <v>0</v>
      </c>
      <c r="E110" s="333">
        <v>121</v>
      </c>
      <c r="F110" s="333">
        <v>0</v>
      </c>
      <c r="G110" s="333">
        <v>0</v>
      </c>
      <c r="H110" s="333">
        <v>121</v>
      </c>
      <c r="I110" s="333">
        <v>0</v>
      </c>
      <c r="J110" s="333">
        <v>0</v>
      </c>
      <c r="K110" s="333">
        <v>0</v>
      </c>
      <c r="L110" s="333"/>
      <c r="M110" s="165">
        <v>177</v>
      </c>
      <c r="N110" s="345" t="s">
        <v>367</v>
      </c>
      <c r="O110" s="333">
        <v>0</v>
      </c>
      <c r="P110" s="333">
        <v>0</v>
      </c>
      <c r="Q110" s="333">
        <v>121</v>
      </c>
      <c r="R110" s="333">
        <v>121</v>
      </c>
      <c r="S110" s="333">
        <v>3636259</v>
      </c>
      <c r="T110" s="334">
        <v>1.75</v>
      </c>
      <c r="U110" s="165"/>
      <c r="V110" s="279" t="s">
        <v>367</v>
      </c>
      <c r="W110" s="333">
        <v>0</v>
      </c>
      <c r="X110" s="333">
        <v>0</v>
      </c>
      <c r="Y110" s="333">
        <v>0</v>
      </c>
      <c r="Z110" s="169"/>
      <c r="AA110" s="279" t="s">
        <v>367</v>
      </c>
      <c r="AB110" s="333">
        <v>0</v>
      </c>
      <c r="AC110" s="333">
        <v>0</v>
      </c>
      <c r="AD110" s="333">
        <v>121</v>
      </c>
      <c r="AE110" s="333">
        <v>121</v>
      </c>
      <c r="AF110" s="333">
        <v>97</v>
      </c>
      <c r="AG110" s="333">
        <v>1478207</v>
      </c>
      <c r="AH110" s="169"/>
      <c r="AI110" s="279" t="s">
        <v>367</v>
      </c>
      <c r="AJ110" s="333">
        <v>0</v>
      </c>
      <c r="AK110" s="333">
        <v>0</v>
      </c>
      <c r="AL110" s="333">
        <v>121</v>
      </c>
      <c r="AM110" s="333">
        <v>121</v>
      </c>
      <c r="AN110" s="333">
        <v>97</v>
      </c>
      <c r="AO110" s="333">
        <v>2158052</v>
      </c>
    </row>
    <row r="111" spans="1:41">
      <c r="A111" s="333">
        <f>SUBTOTAL(3,$B$7:B111)</f>
        <v>105</v>
      </c>
      <c r="B111" s="3" t="s">
        <v>105</v>
      </c>
      <c r="C111" s="275" t="s">
        <v>368</v>
      </c>
      <c r="D111" s="329">
        <v>0</v>
      </c>
      <c r="E111" s="329">
        <v>97</v>
      </c>
      <c r="F111" s="329">
        <v>0</v>
      </c>
      <c r="G111" s="329">
        <v>0</v>
      </c>
      <c r="H111" s="329">
        <v>97</v>
      </c>
      <c r="I111" s="329">
        <v>0</v>
      </c>
      <c r="J111" s="329">
        <v>49</v>
      </c>
      <c r="K111" s="333">
        <v>49</v>
      </c>
      <c r="L111" s="333"/>
      <c r="M111" s="208">
        <v>178</v>
      </c>
      <c r="N111" s="345" t="s">
        <v>368</v>
      </c>
      <c r="O111" s="329">
        <v>0</v>
      </c>
      <c r="P111" s="329">
        <v>0</v>
      </c>
      <c r="Q111" s="329">
        <v>97</v>
      </c>
      <c r="R111" s="333">
        <v>97</v>
      </c>
      <c r="S111" s="333">
        <v>3567264</v>
      </c>
      <c r="T111" s="335">
        <v>2.15</v>
      </c>
      <c r="U111" s="208"/>
      <c r="V111" s="279" t="s">
        <v>368</v>
      </c>
      <c r="W111" s="329">
        <v>49</v>
      </c>
      <c r="X111" s="329">
        <v>44042.122448979593</v>
      </c>
      <c r="Y111" s="329">
        <v>2158064</v>
      </c>
      <c r="Z111" s="3"/>
      <c r="AA111" s="279" t="s">
        <v>368</v>
      </c>
      <c r="AB111" s="329">
        <v>0</v>
      </c>
      <c r="AC111" s="329">
        <v>0</v>
      </c>
      <c r="AD111" s="329">
        <v>97</v>
      </c>
      <c r="AE111" s="329">
        <v>97</v>
      </c>
      <c r="AF111" s="329">
        <v>78</v>
      </c>
      <c r="AG111" s="329">
        <v>1450160</v>
      </c>
      <c r="AH111" s="3"/>
      <c r="AI111" s="279" t="s">
        <v>368</v>
      </c>
      <c r="AJ111" s="329">
        <v>0</v>
      </c>
      <c r="AK111" s="329">
        <v>0</v>
      </c>
      <c r="AL111" s="329">
        <v>97</v>
      </c>
      <c r="AM111" s="329">
        <v>97</v>
      </c>
      <c r="AN111" s="329">
        <v>78</v>
      </c>
      <c r="AO111" s="329">
        <v>2117104</v>
      </c>
    </row>
    <row r="112" spans="1:41" s="211" customFormat="1">
      <c r="A112" s="333">
        <f>SUBTOTAL(3,$B$7:B112)</f>
        <v>106</v>
      </c>
      <c r="B112" s="169" t="s">
        <v>105</v>
      </c>
      <c r="C112" s="279" t="s">
        <v>369</v>
      </c>
      <c r="D112" s="333">
        <v>0</v>
      </c>
      <c r="E112" s="333">
        <v>1024</v>
      </c>
      <c r="F112" s="333">
        <v>0</v>
      </c>
      <c r="G112" s="333">
        <v>0</v>
      </c>
      <c r="H112" s="333">
        <v>1024</v>
      </c>
      <c r="I112" s="333">
        <v>0</v>
      </c>
      <c r="J112" s="333">
        <v>131</v>
      </c>
      <c r="K112" s="333">
        <v>131</v>
      </c>
      <c r="L112" s="333"/>
      <c r="M112" s="165">
        <v>179</v>
      </c>
      <c r="N112" s="345" t="s">
        <v>369</v>
      </c>
      <c r="O112" s="333">
        <v>0</v>
      </c>
      <c r="P112" s="333">
        <v>0</v>
      </c>
      <c r="Q112" s="333">
        <v>1024</v>
      </c>
      <c r="R112" s="333">
        <v>1024</v>
      </c>
      <c r="S112" s="333">
        <v>35556399</v>
      </c>
      <c r="T112" s="334">
        <v>1.95</v>
      </c>
      <c r="U112" s="165"/>
      <c r="V112" s="279" t="s">
        <v>369</v>
      </c>
      <c r="W112" s="333">
        <v>131</v>
      </c>
      <c r="X112" s="333">
        <v>42654.709923664122</v>
      </c>
      <c r="Y112" s="333">
        <v>5587767</v>
      </c>
      <c r="Z112" s="169"/>
      <c r="AA112" s="279" t="s">
        <v>369</v>
      </c>
      <c r="AB112" s="333">
        <v>0</v>
      </c>
      <c r="AC112" s="333">
        <v>0</v>
      </c>
      <c r="AD112" s="333">
        <v>1024</v>
      </c>
      <c r="AE112" s="333">
        <v>1024</v>
      </c>
      <c r="AF112" s="333">
        <v>819</v>
      </c>
      <c r="AG112" s="333">
        <v>14046042</v>
      </c>
      <c r="AH112" s="169"/>
      <c r="AI112" s="279" t="s">
        <v>369</v>
      </c>
      <c r="AJ112" s="333">
        <v>0</v>
      </c>
      <c r="AK112" s="333">
        <v>0</v>
      </c>
      <c r="AL112" s="333">
        <v>1024</v>
      </c>
      <c r="AM112" s="333">
        <v>1024</v>
      </c>
      <c r="AN112" s="333">
        <v>819</v>
      </c>
      <c r="AO112" s="333">
        <v>21510357</v>
      </c>
    </row>
    <row r="113" spans="1:41">
      <c r="A113" s="333">
        <f>SUBTOTAL(3,$B$7:B113)</f>
        <v>107</v>
      </c>
      <c r="B113" s="3" t="s">
        <v>105</v>
      </c>
      <c r="C113" s="275" t="s">
        <v>211</v>
      </c>
      <c r="D113" s="329">
        <v>0</v>
      </c>
      <c r="E113" s="329">
        <v>143</v>
      </c>
      <c r="F113" s="329">
        <v>0</v>
      </c>
      <c r="G113" s="329">
        <v>0</v>
      </c>
      <c r="H113" s="329">
        <v>143</v>
      </c>
      <c r="I113" s="329">
        <v>0</v>
      </c>
      <c r="J113" s="329">
        <v>200</v>
      </c>
      <c r="K113" s="333">
        <v>200</v>
      </c>
      <c r="L113" s="333"/>
      <c r="M113" s="165">
        <v>180</v>
      </c>
      <c r="N113" s="279" t="s">
        <v>211</v>
      </c>
      <c r="O113" s="329">
        <v>0</v>
      </c>
      <c r="P113" s="329">
        <v>0</v>
      </c>
      <c r="Q113" s="329">
        <v>143</v>
      </c>
      <c r="R113" s="333">
        <v>143</v>
      </c>
      <c r="S113" s="333">
        <v>4266999</v>
      </c>
      <c r="T113" s="335">
        <v>1.75</v>
      </c>
      <c r="U113" s="208"/>
      <c r="V113" s="279" t="s">
        <v>211</v>
      </c>
      <c r="W113" s="329">
        <v>200</v>
      </c>
      <c r="X113" s="329">
        <v>37395.205000000002</v>
      </c>
      <c r="Y113" s="329">
        <v>7479041</v>
      </c>
      <c r="Z113" s="3"/>
      <c r="AA113" s="279" t="s">
        <v>211</v>
      </c>
      <c r="AB113" s="329">
        <v>0</v>
      </c>
      <c r="AC113" s="329">
        <v>0</v>
      </c>
      <c r="AD113" s="329">
        <v>143</v>
      </c>
      <c r="AE113" s="329">
        <v>143</v>
      </c>
      <c r="AF113" s="329">
        <v>114</v>
      </c>
      <c r="AG113" s="329">
        <v>1734615</v>
      </c>
      <c r="AH113" s="3"/>
      <c r="AI113" s="279" t="s">
        <v>211</v>
      </c>
      <c r="AJ113" s="329">
        <v>0</v>
      </c>
      <c r="AK113" s="329">
        <v>0</v>
      </c>
      <c r="AL113" s="329">
        <v>143</v>
      </c>
      <c r="AM113" s="329">
        <v>143</v>
      </c>
      <c r="AN113" s="329">
        <v>114</v>
      </c>
      <c r="AO113" s="329">
        <v>2532384</v>
      </c>
    </row>
    <row r="114" spans="1:41">
      <c r="A114" s="333">
        <f>SUBTOTAL(3,$B$7:B114)</f>
        <v>108</v>
      </c>
      <c r="B114" s="3" t="s">
        <v>170</v>
      </c>
      <c r="C114" s="275" t="s">
        <v>212</v>
      </c>
      <c r="D114" s="329">
        <v>0</v>
      </c>
      <c r="E114" s="329">
        <v>36</v>
      </c>
      <c r="F114" s="329">
        <v>0</v>
      </c>
      <c r="G114" s="329">
        <v>0</v>
      </c>
      <c r="H114" s="329">
        <v>36</v>
      </c>
      <c r="I114" s="329">
        <v>0</v>
      </c>
      <c r="J114" s="329">
        <v>0</v>
      </c>
      <c r="K114" s="333">
        <v>0</v>
      </c>
      <c r="L114" s="333"/>
      <c r="M114" s="208">
        <v>181</v>
      </c>
      <c r="N114" s="279" t="s">
        <v>212</v>
      </c>
      <c r="O114" s="329">
        <v>0</v>
      </c>
      <c r="P114" s="329">
        <v>0</v>
      </c>
      <c r="Q114" s="329">
        <v>36</v>
      </c>
      <c r="R114" s="333">
        <v>36</v>
      </c>
      <c r="S114" s="333">
        <v>558053</v>
      </c>
      <c r="T114" s="3">
        <v>0.9</v>
      </c>
      <c r="U114" s="208"/>
      <c r="V114" s="279" t="s">
        <v>212</v>
      </c>
      <c r="W114" s="329">
        <v>0</v>
      </c>
      <c r="X114" s="329">
        <v>0</v>
      </c>
      <c r="Y114" s="329">
        <v>0</v>
      </c>
      <c r="Z114" s="3"/>
      <c r="AA114" s="279" t="s">
        <v>212</v>
      </c>
      <c r="AB114" s="329">
        <v>0</v>
      </c>
      <c r="AC114" s="329">
        <v>0</v>
      </c>
      <c r="AD114" s="329">
        <v>36</v>
      </c>
      <c r="AE114" s="329">
        <v>36</v>
      </c>
      <c r="AF114" s="329">
        <v>29</v>
      </c>
      <c r="AG114" s="329">
        <v>226859</v>
      </c>
      <c r="AH114" s="3"/>
      <c r="AI114" s="279" t="s">
        <v>212</v>
      </c>
      <c r="AJ114" s="329">
        <v>0</v>
      </c>
      <c r="AK114" s="329">
        <v>0</v>
      </c>
      <c r="AL114" s="329">
        <v>36</v>
      </c>
      <c r="AM114" s="329">
        <v>36</v>
      </c>
      <c r="AN114" s="329">
        <v>29</v>
      </c>
      <c r="AO114" s="329">
        <v>331194</v>
      </c>
    </row>
    <row r="115" spans="1:41" s="211" customFormat="1">
      <c r="A115" s="333">
        <f>SUBTOTAL(3,$B$7:B115)</f>
        <v>109</v>
      </c>
      <c r="B115" s="169" t="s">
        <v>101</v>
      </c>
      <c r="C115" s="279" t="s">
        <v>370</v>
      </c>
      <c r="D115" s="333">
        <v>0</v>
      </c>
      <c r="E115" s="333">
        <v>35</v>
      </c>
      <c r="F115" s="333">
        <v>0</v>
      </c>
      <c r="G115" s="333">
        <v>0</v>
      </c>
      <c r="H115" s="333">
        <v>35</v>
      </c>
      <c r="I115" s="333">
        <v>0</v>
      </c>
      <c r="J115" s="333">
        <v>10</v>
      </c>
      <c r="K115" s="333">
        <v>10</v>
      </c>
      <c r="L115" s="333"/>
      <c r="M115" s="165">
        <v>182</v>
      </c>
      <c r="N115" s="345" t="s">
        <v>370</v>
      </c>
      <c r="O115" s="333">
        <v>0</v>
      </c>
      <c r="P115" s="333">
        <v>0</v>
      </c>
      <c r="Q115" s="333">
        <v>35</v>
      </c>
      <c r="R115" s="333">
        <v>35</v>
      </c>
      <c r="S115" s="333">
        <v>4190744</v>
      </c>
      <c r="T115" s="169">
        <v>5</v>
      </c>
      <c r="U115" s="165"/>
      <c r="V115" s="279" t="s">
        <v>370</v>
      </c>
      <c r="W115" s="333">
        <v>10</v>
      </c>
      <c r="X115" s="333">
        <v>149669.4</v>
      </c>
      <c r="Y115" s="333">
        <v>1496694</v>
      </c>
      <c r="Z115" s="169"/>
      <c r="AA115" s="279" t="s">
        <v>370</v>
      </c>
      <c r="AB115" s="333">
        <v>0</v>
      </c>
      <c r="AC115" s="333">
        <v>0</v>
      </c>
      <c r="AD115" s="333">
        <v>35</v>
      </c>
      <c r="AE115" s="333">
        <v>35</v>
      </c>
      <c r="AF115" s="333">
        <v>28</v>
      </c>
      <c r="AG115" s="333">
        <v>1703616</v>
      </c>
      <c r="AH115" s="169"/>
      <c r="AI115" s="279" t="s">
        <v>370</v>
      </c>
      <c r="AJ115" s="333">
        <v>0</v>
      </c>
      <c r="AK115" s="333">
        <v>0</v>
      </c>
      <c r="AL115" s="333">
        <v>35</v>
      </c>
      <c r="AM115" s="333">
        <v>35</v>
      </c>
      <c r="AN115" s="333">
        <v>28</v>
      </c>
      <c r="AO115" s="333">
        <v>2487128</v>
      </c>
    </row>
    <row r="116" spans="1:41" s="211" customFormat="1">
      <c r="A116" s="333">
        <f>SUBTOTAL(3,$B$7:B116)</f>
        <v>110</v>
      </c>
      <c r="B116" s="169" t="s">
        <v>101</v>
      </c>
      <c r="C116" s="279" t="s">
        <v>371</v>
      </c>
      <c r="D116" s="333">
        <v>57594</v>
      </c>
      <c r="E116" s="333">
        <v>1283</v>
      </c>
      <c r="F116" s="333">
        <v>0</v>
      </c>
      <c r="G116" s="333">
        <v>32</v>
      </c>
      <c r="H116" s="333">
        <v>1251</v>
      </c>
      <c r="I116" s="333">
        <v>0</v>
      </c>
      <c r="J116" s="333">
        <v>428</v>
      </c>
      <c r="K116" s="333">
        <v>428</v>
      </c>
      <c r="L116" s="333"/>
      <c r="M116" s="165">
        <v>183</v>
      </c>
      <c r="N116" s="345" t="s">
        <v>371</v>
      </c>
      <c r="O116" s="333">
        <v>0</v>
      </c>
      <c r="P116" s="333">
        <v>32</v>
      </c>
      <c r="Q116" s="333">
        <v>1251</v>
      </c>
      <c r="R116" s="333">
        <v>1283</v>
      </c>
      <c r="S116" s="333">
        <v>60283573</v>
      </c>
      <c r="T116" s="169">
        <v>4.2</v>
      </c>
      <c r="U116" s="165"/>
      <c r="V116" s="279" t="s">
        <v>371</v>
      </c>
      <c r="W116" s="333">
        <v>428</v>
      </c>
      <c r="X116" s="333">
        <v>53469.829439252338</v>
      </c>
      <c r="Y116" s="333">
        <v>22885087</v>
      </c>
      <c r="Z116" s="169"/>
      <c r="AA116" s="279" t="s">
        <v>371</v>
      </c>
      <c r="AB116" s="333">
        <v>0</v>
      </c>
      <c r="AC116" s="333">
        <v>32</v>
      </c>
      <c r="AD116" s="333">
        <v>1251</v>
      </c>
      <c r="AE116" s="333">
        <v>1283</v>
      </c>
      <c r="AF116" s="333">
        <v>1017</v>
      </c>
      <c r="AG116" s="333">
        <v>25313353</v>
      </c>
      <c r="AH116" s="169"/>
      <c r="AI116" s="279" t="s">
        <v>371</v>
      </c>
      <c r="AJ116" s="333">
        <v>0</v>
      </c>
      <c r="AK116" s="333">
        <v>32</v>
      </c>
      <c r="AL116" s="333">
        <v>1251</v>
      </c>
      <c r="AM116" s="333">
        <v>1283</v>
      </c>
      <c r="AN116" s="333">
        <v>1017</v>
      </c>
      <c r="AO116" s="333">
        <v>34970220</v>
      </c>
    </row>
    <row r="117" spans="1:41" s="211" customFormat="1">
      <c r="A117" s="333">
        <f>SUBTOTAL(3,$B$7:B117)</f>
        <v>111</v>
      </c>
      <c r="B117" s="169" t="s">
        <v>101</v>
      </c>
      <c r="C117" s="279" t="s">
        <v>372</v>
      </c>
      <c r="D117" s="333">
        <v>0</v>
      </c>
      <c r="E117" s="333">
        <v>43</v>
      </c>
      <c r="F117" s="333">
        <v>0</v>
      </c>
      <c r="G117" s="333">
        <v>0</v>
      </c>
      <c r="H117" s="333">
        <v>43</v>
      </c>
      <c r="I117" s="333">
        <v>0</v>
      </c>
      <c r="J117" s="333">
        <v>0</v>
      </c>
      <c r="K117" s="333">
        <v>0</v>
      </c>
      <c r="L117" s="333"/>
      <c r="M117" s="208">
        <v>184</v>
      </c>
      <c r="N117" s="345" t="s">
        <v>372</v>
      </c>
      <c r="O117" s="333">
        <v>0</v>
      </c>
      <c r="P117" s="333">
        <v>0</v>
      </c>
      <c r="Q117" s="333">
        <v>43</v>
      </c>
      <c r="R117" s="333">
        <v>43</v>
      </c>
      <c r="S117" s="333">
        <v>3634829</v>
      </c>
      <c r="T117" s="169">
        <v>7</v>
      </c>
      <c r="U117" s="165"/>
      <c r="V117" s="279" t="s">
        <v>372</v>
      </c>
      <c r="W117" s="333">
        <v>0</v>
      </c>
      <c r="X117" s="333">
        <v>0</v>
      </c>
      <c r="Y117" s="333">
        <v>0</v>
      </c>
      <c r="Z117" s="169"/>
      <c r="AA117" s="279" t="s">
        <v>372</v>
      </c>
      <c r="AB117" s="333">
        <v>0</v>
      </c>
      <c r="AC117" s="333">
        <v>0</v>
      </c>
      <c r="AD117" s="333">
        <v>43</v>
      </c>
      <c r="AE117" s="333">
        <v>43</v>
      </c>
      <c r="AF117" s="333">
        <v>34</v>
      </c>
      <c r="AG117" s="333">
        <v>1477626</v>
      </c>
      <c r="AH117" s="169"/>
      <c r="AI117" s="279" t="s">
        <v>372</v>
      </c>
      <c r="AJ117" s="333">
        <v>0</v>
      </c>
      <c r="AK117" s="333">
        <v>0</v>
      </c>
      <c r="AL117" s="333">
        <v>43</v>
      </c>
      <c r="AM117" s="333">
        <v>43</v>
      </c>
      <c r="AN117" s="333">
        <v>34</v>
      </c>
      <c r="AO117" s="333">
        <v>2157203</v>
      </c>
    </row>
    <row r="118" spans="1:41" s="211" customFormat="1">
      <c r="A118" s="333">
        <f>SUBTOTAL(3,$B$7:B118)</f>
        <v>112</v>
      </c>
      <c r="B118" s="169" t="s">
        <v>101</v>
      </c>
      <c r="C118" s="279" t="s">
        <v>373</v>
      </c>
      <c r="D118" s="333">
        <v>0</v>
      </c>
      <c r="E118" s="333">
        <v>48</v>
      </c>
      <c r="F118" s="333">
        <v>0</v>
      </c>
      <c r="G118" s="333">
        <v>0</v>
      </c>
      <c r="H118" s="333">
        <v>48</v>
      </c>
      <c r="I118" s="333">
        <v>0</v>
      </c>
      <c r="J118" s="333">
        <v>13</v>
      </c>
      <c r="K118" s="333">
        <v>13</v>
      </c>
      <c r="L118" s="333"/>
      <c r="M118" s="165">
        <v>185</v>
      </c>
      <c r="N118" s="345" t="s">
        <v>373</v>
      </c>
      <c r="O118" s="333">
        <v>0</v>
      </c>
      <c r="P118" s="333">
        <v>0</v>
      </c>
      <c r="Q118" s="333">
        <v>48</v>
      </c>
      <c r="R118" s="333">
        <v>48</v>
      </c>
      <c r="S118" s="333">
        <v>2599972</v>
      </c>
      <c r="T118" s="169">
        <v>3.2</v>
      </c>
      <c r="U118" s="165"/>
      <c r="V118" s="279" t="s">
        <v>373</v>
      </c>
      <c r="W118" s="333">
        <v>13</v>
      </c>
      <c r="X118" s="333">
        <v>68420.307692307688</v>
      </c>
      <c r="Y118" s="333">
        <v>889464</v>
      </c>
      <c r="Z118" s="169"/>
      <c r="AA118" s="279" t="s">
        <v>373</v>
      </c>
      <c r="AB118" s="333">
        <v>0</v>
      </c>
      <c r="AC118" s="333">
        <v>0</v>
      </c>
      <c r="AD118" s="333">
        <v>48</v>
      </c>
      <c r="AE118" s="333">
        <v>48</v>
      </c>
      <c r="AF118" s="333">
        <v>38</v>
      </c>
      <c r="AG118" s="333">
        <v>1056937</v>
      </c>
      <c r="AH118" s="169"/>
      <c r="AI118" s="279" t="s">
        <v>373</v>
      </c>
      <c r="AJ118" s="333">
        <v>0</v>
      </c>
      <c r="AK118" s="333">
        <v>0</v>
      </c>
      <c r="AL118" s="333">
        <v>48</v>
      </c>
      <c r="AM118" s="333">
        <v>48</v>
      </c>
      <c r="AN118" s="333">
        <v>38</v>
      </c>
      <c r="AO118" s="333">
        <v>1543035</v>
      </c>
    </row>
    <row r="119" spans="1:41">
      <c r="A119" s="333">
        <f>SUBTOTAL(3,$B$7:B119)</f>
        <v>113</v>
      </c>
      <c r="B119" s="3" t="s">
        <v>101</v>
      </c>
      <c r="C119" s="275" t="s">
        <v>374</v>
      </c>
      <c r="D119" s="329">
        <v>0</v>
      </c>
      <c r="E119" s="329">
        <v>88</v>
      </c>
      <c r="F119" s="329">
        <v>0</v>
      </c>
      <c r="G119" s="329">
        <v>0</v>
      </c>
      <c r="H119" s="329">
        <v>88</v>
      </c>
      <c r="I119" s="329">
        <v>0</v>
      </c>
      <c r="J119" s="329">
        <v>0</v>
      </c>
      <c r="K119" s="333">
        <v>0</v>
      </c>
      <c r="L119" s="333"/>
      <c r="M119" s="165">
        <v>186</v>
      </c>
      <c r="N119" s="345" t="s">
        <v>374</v>
      </c>
      <c r="O119" s="329">
        <v>0</v>
      </c>
      <c r="P119" s="329">
        <v>0</v>
      </c>
      <c r="Q119" s="329">
        <v>88</v>
      </c>
      <c r="R119" s="333">
        <v>88</v>
      </c>
      <c r="S119" s="333">
        <v>4789422</v>
      </c>
      <c r="T119" s="3">
        <v>3.2</v>
      </c>
      <c r="U119" s="208"/>
      <c r="V119" s="279" t="s">
        <v>374</v>
      </c>
      <c r="W119" s="329">
        <v>0</v>
      </c>
      <c r="X119" s="329">
        <v>0</v>
      </c>
      <c r="Y119" s="329">
        <v>0</v>
      </c>
      <c r="Z119" s="3"/>
      <c r="AA119" s="279" t="s">
        <v>374</v>
      </c>
      <c r="AB119" s="329">
        <v>0</v>
      </c>
      <c r="AC119" s="329">
        <v>0</v>
      </c>
      <c r="AD119" s="329">
        <v>88</v>
      </c>
      <c r="AE119" s="329">
        <v>88</v>
      </c>
      <c r="AF119" s="329">
        <v>70</v>
      </c>
      <c r="AG119" s="329">
        <v>1946990</v>
      </c>
      <c r="AH119" s="3"/>
      <c r="AI119" s="279" t="s">
        <v>374</v>
      </c>
      <c r="AJ119" s="329">
        <v>0</v>
      </c>
      <c r="AK119" s="329">
        <v>0</v>
      </c>
      <c r="AL119" s="329">
        <v>88</v>
      </c>
      <c r="AM119" s="329">
        <v>88</v>
      </c>
      <c r="AN119" s="329">
        <v>70</v>
      </c>
      <c r="AO119" s="329">
        <v>2842432</v>
      </c>
    </row>
    <row r="120" spans="1:41" s="211" customFormat="1">
      <c r="A120" s="333">
        <f>SUBTOTAL(3,$B$7:B120)</f>
        <v>114</v>
      </c>
      <c r="B120" s="169" t="s">
        <v>101</v>
      </c>
      <c r="C120" s="279" t="s">
        <v>375</v>
      </c>
      <c r="D120" s="333">
        <v>0</v>
      </c>
      <c r="E120" s="333">
        <v>168</v>
      </c>
      <c r="F120" s="333">
        <v>0</v>
      </c>
      <c r="G120" s="333">
        <v>0</v>
      </c>
      <c r="H120" s="333">
        <v>168</v>
      </c>
      <c r="I120" s="333">
        <v>0</v>
      </c>
      <c r="J120" s="333">
        <v>0</v>
      </c>
      <c r="K120" s="333">
        <v>0</v>
      </c>
      <c r="L120" s="333"/>
      <c r="M120" s="208">
        <v>187</v>
      </c>
      <c r="N120" s="345" t="s">
        <v>375</v>
      </c>
      <c r="O120" s="333">
        <v>0</v>
      </c>
      <c r="P120" s="333">
        <v>0</v>
      </c>
      <c r="Q120" s="333">
        <v>168</v>
      </c>
      <c r="R120" s="333">
        <v>168</v>
      </c>
      <c r="S120" s="333">
        <v>9189286</v>
      </c>
      <c r="T120" s="169">
        <v>3.2</v>
      </c>
      <c r="U120" s="165"/>
      <c r="V120" s="279" t="s">
        <v>375</v>
      </c>
      <c r="W120" s="333">
        <v>0</v>
      </c>
      <c r="X120" s="333">
        <v>0</v>
      </c>
      <c r="Y120" s="333">
        <v>0</v>
      </c>
      <c r="Z120" s="169"/>
      <c r="AA120" s="279" t="s">
        <v>375</v>
      </c>
      <c r="AB120" s="333">
        <v>0</v>
      </c>
      <c r="AC120" s="333">
        <v>0</v>
      </c>
      <c r="AD120" s="333">
        <v>168</v>
      </c>
      <c r="AE120" s="333">
        <v>168</v>
      </c>
      <c r="AF120" s="333">
        <v>134</v>
      </c>
      <c r="AG120" s="333">
        <v>3735617</v>
      </c>
      <c r="AH120" s="169"/>
      <c r="AI120" s="279" t="s">
        <v>375</v>
      </c>
      <c r="AJ120" s="333">
        <v>0</v>
      </c>
      <c r="AK120" s="333">
        <v>0</v>
      </c>
      <c r="AL120" s="333">
        <v>168</v>
      </c>
      <c r="AM120" s="333">
        <v>168</v>
      </c>
      <c r="AN120" s="333">
        <v>134</v>
      </c>
      <c r="AO120" s="333">
        <v>5453669</v>
      </c>
    </row>
    <row r="121" spans="1:41">
      <c r="A121" s="333">
        <f>SUBTOTAL(3,$B$7:B121)</f>
        <v>115</v>
      </c>
      <c r="B121" s="3" t="s">
        <v>101</v>
      </c>
      <c r="C121" s="275" t="s">
        <v>376</v>
      </c>
      <c r="D121" s="329">
        <v>0</v>
      </c>
      <c r="E121" s="329">
        <v>198</v>
      </c>
      <c r="F121" s="329">
        <v>0</v>
      </c>
      <c r="G121" s="329">
        <v>0</v>
      </c>
      <c r="H121" s="329">
        <v>198</v>
      </c>
      <c r="I121" s="329">
        <v>0</v>
      </c>
      <c r="J121" s="329">
        <v>40</v>
      </c>
      <c r="K121" s="333">
        <v>40</v>
      </c>
      <c r="L121" s="333"/>
      <c r="M121" s="165">
        <v>188</v>
      </c>
      <c r="N121" s="345" t="s">
        <v>376</v>
      </c>
      <c r="O121" s="329">
        <v>0</v>
      </c>
      <c r="P121" s="329">
        <v>0</v>
      </c>
      <c r="Q121" s="329">
        <v>198</v>
      </c>
      <c r="R121" s="333">
        <v>198</v>
      </c>
      <c r="S121" s="333">
        <v>11486059</v>
      </c>
      <c r="T121" s="3">
        <v>3.4</v>
      </c>
      <c r="U121" s="208"/>
      <c r="V121" s="279" t="s">
        <v>376</v>
      </c>
      <c r="W121" s="329">
        <v>40</v>
      </c>
      <c r="X121" s="329">
        <v>72696.574999999997</v>
      </c>
      <c r="Y121" s="329">
        <v>2907863</v>
      </c>
      <c r="Z121" s="3"/>
      <c r="AA121" s="279" t="s">
        <v>376</v>
      </c>
      <c r="AB121" s="329">
        <v>0</v>
      </c>
      <c r="AC121" s="329">
        <v>0</v>
      </c>
      <c r="AD121" s="329">
        <v>198</v>
      </c>
      <c r="AE121" s="329">
        <v>198</v>
      </c>
      <c r="AF121" s="329">
        <v>158</v>
      </c>
      <c r="AG121" s="329">
        <v>4669298</v>
      </c>
      <c r="AH121" s="3"/>
      <c r="AI121" s="279" t="s">
        <v>376</v>
      </c>
      <c r="AJ121" s="329">
        <v>0</v>
      </c>
      <c r="AK121" s="329">
        <v>0</v>
      </c>
      <c r="AL121" s="329">
        <v>198</v>
      </c>
      <c r="AM121" s="329">
        <v>198</v>
      </c>
      <c r="AN121" s="329">
        <v>158</v>
      </c>
      <c r="AO121" s="329">
        <v>6816761</v>
      </c>
    </row>
    <row r="122" spans="1:41" s="211" customFormat="1">
      <c r="A122" s="333">
        <f>SUBTOTAL(3,$B$7:B122)</f>
        <v>116</v>
      </c>
      <c r="B122" s="169" t="s">
        <v>106</v>
      </c>
      <c r="C122" s="279" t="s">
        <v>213</v>
      </c>
      <c r="D122" s="333">
        <v>0</v>
      </c>
      <c r="E122" s="333">
        <v>104</v>
      </c>
      <c r="F122" s="333">
        <v>0</v>
      </c>
      <c r="G122" s="333">
        <v>0</v>
      </c>
      <c r="H122" s="333">
        <v>104</v>
      </c>
      <c r="I122" s="333">
        <v>0</v>
      </c>
      <c r="J122" s="333">
        <v>55</v>
      </c>
      <c r="K122" s="333">
        <v>55</v>
      </c>
      <c r="L122" s="333"/>
      <c r="M122" s="165">
        <v>189</v>
      </c>
      <c r="N122" s="279" t="s">
        <v>213</v>
      </c>
      <c r="O122" s="333">
        <v>0</v>
      </c>
      <c r="P122" s="333">
        <v>0</v>
      </c>
      <c r="Q122" s="333">
        <v>104</v>
      </c>
      <c r="R122" s="333">
        <v>104</v>
      </c>
      <c r="S122" s="333">
        <v>5501420</v>
      </c>
      <c r="T122" s="169">
        <v>3.1</v>
      </c>
      <c r="U122" s="165"/>
      <c r="V122" s="279" t="s">
        <v>213</v>
      </c>
      <c r="W122" s="333">
        <v>55</v>
      </c>
      <c r="X122" s="333">
        <v>66282.181818181823</v>
      </c>
      <c r="Y122" s="333">
        <v>3645520</v>
      </c>
      <c r="Z122" s="169"/>
      <c r="AA122" s="279" t="s">
        <v>213</v>
      </c>
      <c r="AB122" s="333">
        <v>0</v>
      </c>
      <c r="AC122" s="333">
        <v>0</v>
      </c>
      <c r="AD122" s="333">
        <v>104</v>
      </c>
      <c r="AE122" s="333">
        <v>104</v>
      </c>
      <c r="AF122" s="333">
        <v>83</v>
      </c>
      <c r="AG122" s="333">
        <v>2236430</v>
      </c>
      <c r="AH122" s="169"/>
      <c r="AI122" s="279" t="s">
        <v>213</v>
      </c>
      <c r="AJ122" s="333">
        <v>0</v>
      </c>
      <c r="AK122" s="333">
        <v>0</v>
      </c>
      <c r="AL122" s="333">
        <v>104</v>
      </c>
      <c r="AM122" s="333">
        <v>104</v>
      </c>
      <c r="AN122" s="333">
        <v>83</v>
      </c>
      <c r="AO122" s="333">
        <v>3264990</v>
      </c>
    </row>
    <row r="123" spans="1:41" s="211" customFormat="1">
      <c r="A123" s="333">
        <f>SUBTOTAL(3,$B$7:B123)</f>
        <v>117</v>
      </c>
      <c r="B123" s="169" t="s">
        <v>106</v>
      </c>
      <c r="C123" s="279" t="s">
        <v>214</v>
      </c>
      <c r="D123" s="333">
        <v>0</v>
      </c>
      <c r="E123" s="333">
        <v>283</v>
      </c>
      <c r="F123" s="333">
        <v>0</v>
      </c>
      <c r="G123" s="333">
        <v>0</v>
      </c>
      <c r="H123" s="333">
        <v>283</v>
      </c>
      <c r="I123" s="333">
        <v>0</v>
      </c>
      <c r="J123" s="333">
        <v>89</v>
      </c>
      <c r="K123" s="333">
        <v>89</v>
      </c>
      <c r="L123" s="333"/>
      <c r="M123" s="208">
        <v>190</v>
      </c>
      <c r="N123" s="279" t="s">
        <v>214</v>
      </c>
      <c r="O123" s="333">
        <v>0</v>
      </c>
      <c r="P123" s="333">
        <v>0</v>
      </c>
      <c r="Q123" s="333">
        <v>283</v>
      </c>
      <c r="R123" s="333">
        <v>283</v>
      </c>
      <c r="S123" s="333">
        <v>19592542</v>
      </c>
      <c r="T123" s="169">
        <v>3.9</v>
      </c>
      <c r="U123" s="165"/>
      <c r="V123" s="279" t="s">
        <v>214</v>
      </c>
      <c r="W123" s="333">
        <v>89</v>
      </c>
      <c r="X123" s="333">
        <v>86288.730337078654</v>
      </c>
      <c r="Y123" s="333">
        <v>7679697</v>
      </c>
      <c r="Z123" s="169"/>
      <c r="AA123" s="279" t="s">
        <v>214</v>
      </c>
      <c r="AB123" s="333">
        <v>0</v>
      </c>
      <c r="AC123" s="333">
        <v>0</v>
      </c>
      <c r="AD123" s="333">
        <v>283</v>
      </c>
      <c r="AE123" s="333">
        <v>283</v>
      </c>
      <c r="AF123" s="333">
        <v>226</v>
      </c>
      <c r="AG123" s="333">
        <v>7760452</v>
      </c>
      <c r="AH123" s="169"/>
      <c r="AI123" s="279" t="s">
        <v>214</v>
      </c>
      <c r="AJ123" s="333">
        <v>0</v>
      </c>
      <c r="AK123" s="333">
        <v>0</v>
      </c>
      <c r="AL123" s="333">
        <v>283</v>
      </c>
      <c r="AM123" s="333">
        <v>283</v>
      </c>
      <c r="AN123" s="333">
        <v>226</v>
      </c>
      <c r="AO123" s="333">
        <v>11832090</v>
      </c>
    </row>
    <row r="124" spans="1:41">
      <c r="A124" s="333">
        <f>SUBTOTAL(3,$B$7:B124)</f>
        <v>118</v>
      </c>
      <c r="B124" s="3" t="s">
        <v>106</v>
      </c>
      <c r="C124" s="275" t="s">
        <v>215</v>
      </c>
      <c r="D124" s="329">
        <v>0</v>
      </c>
      <c r="E124" s="329">
        <v>115</v>
      </c>
      <c r="F124" s="329">
        <v>0</v>
      </c>
      <c r="G124" s="329">
        <v>0</v>
      </c>
      <c r="H124" s="329">
        <v>115</v>
      </c>
      <c r="I124" s="329">
        <v>0</v>
      </c>
      <c r="J124" s="329">
        <v>0</v>
      </c>
      <c r="K124" s="333">
        <v>0</v>
      </c>
      <c r="L124" s="333"/>
      <c r="M124" s="165">
        <v>191</v>
      </c>
      <c r="N124" s="279" t="s">
        <v>215</v>
      </c>
      <c r="O124" s="329">
        <v>0</v>
      </c>
      <c r="P124" s="329">
        <v>0</v>
      </c>
      <c r="Q124" s="329">
        <v>115</v>
      </c>
      <c r="R124" s="333">
        <v>115</v>
      </c>
      <c r="S124" s="333">
        <v>9048587</v>
      </c>
      <c r="T124" s="3">
        <v>4.5999999999999996</v>
      </c>
      <c r="U124" s="208"/>
      <c r="V124" s="279" t="s">
        <v>215</v>
      </c>
      <c r="W124" s="329">
        <v>0</v>
      </c>
      <c r="X124" s="329">
        <v>0</v>
      </c>
      <c r="Y124" s="329">
        <v>0</v>
      </c>
      <c r="Z124" s="3"/>
      <c r="AA124" s="279" t="s">
        <v>215</v>
      </c>
      <c r="AB124" s="329">
        <v>0</v>
      </c>
      <c r="AC124" s="329">
        <v>0</v>
      </c>
      <c r="AD124" s="329">
        <v>115</v>
      </c>
      <c r="AE124" s="329">
        <v>115</v>
      </c>
      <c r="AF124" s="329">
        <v>92</v>
      </c>
      <c r="AG124" s="329">
        <v>3678420</v>
      </c>
      <c r="AH124" s="3"/>
      <c r="AI124" s="279" t="s">
        <v>215</v>
      </c>
      <c r="AJ124" s="329">
        <v>0</v>
      </c>
      <c r="AK124" s="329">
        <v>0</v>
      </c>
      <c r="AL124" s="329">
        <v>115</v>
      </c>
      <c r="AM124" s="329">
        <v>115</v>
      </c>
      <c r="AN124" s="329">
        <v>92</v>
      </c>
      <c r="AO124" s="329">
        <v>5370167</v>
      </c>
    </row>
    <row r="125" spans="1:41" s="211" customFormat="1">
      <c r="A125" s="333">
        <f>SUBTOTAL(3,$B$7:B125)</f>
        <v>119</v>
      </c>
      <c r="B125" s="169" t="s">
        <v>106</v>
      </c>
      <c r="C125" s="279" t="s">
        <v>216</v>
      </c>
      <c r="D125" s="333">
        <v>111247</v>
      </c>
      <c r="E125" s="333">
        <v>7152</v>
      </c>
      <c r="F125" s="333">
        <v>1730</v>
      </c>
      <c r="G125" s="333">
        <v>1775</v>
      </c>
      <c r="H125" s="333">
        <v>3647</v>
      </c>
      <c r="I125" s="333">
        <v>22719</v>
      </c>
      <c r="J125" s="333">
        <v>246</v>
      </c>
      <c r="K125" s="333">
        <v>22965</v>
      </c>
      <c r="L125" s="333"/>
      <c r="M125" s="165">
        <v>192</v>
      </c>
      <c r="N125" s="279" t="s">
        <v>216</v>
      </c>
      <c r="O125" s="333">
        <v>1730</v>
      </c>
      <c r="P125" s="333">
        <v>1775</v>
      </c>
      <c r="Q125" s="333">
        <v>3647</v>
      </c>
      <c r="R125" s="333">
        <v>7152</v>
      </c>
      <c r="S125" s="333">
        <v>135436430</v>
      </c>
      <c r="T125" s="169">
        <v>1.53</v>
      </c>
      <c r="U125" s="165"/>
      <c r="V125" s="279" t="s">
        <v>216</v>
      </c>
      <c r="W125" s="333">
        <v>22965</v>
      </c>
      <c r="X125" s="333">
        <v>34702.815109949923</v>
      </c>
      <c r="Y125" s="333">
        <v>796950149</v>
      </c>
      <c r="Z125" s="169"/>
      <c r="AA125" s="279" t="s">
        <v>216</v>
      </c>
      <c r="AB125" s="333">
        <v>1730</v>
      </c>
      <c r="AC125" s="333">
        <v>1775</v>
      </c>
      <c r="AD125" s="333">
        <v>3647</v>
      </c>
      <c r="AE125" s="333">
        <v>7152</v>
      </c>
      <c r="AF125" s="333">
        <v>4151</v>
      </c>
      <c r="AG125" s="333">
        <v>54720849</v>
      </c>
      <c r="AH125" s="169"/>
      <c r="AI125" s="279" t="s">
        <v>216</v>
      </c>
      <c r="AJ125" s="333">
        <v>1730</v>
      </c>
      <c r="AK125" s="333">
        <v>1775</v>
      </c>
      <c r="AL125" s="333">
        <v>3647</v>
      </c>
      <c r="AM125" s="333">
        <v>7152</v>
      </c>
      <c r="AN125" s="333">
        <v>4151</v>
      </c>
      <c r="AO125" s="333">
        <v>80715581</v>
      </c>
    </row>
    <row r="126" spans="1:41" s="211" customFormat="1">
      <c r="A126" s="333">
        <f>SUBTOTAL(3,$B$7:B126)</f>
        <v>120</v>
      </c>
      <c r="B126" s="169" t="s">
        <v>106</v>
      </c>
      <c r="C126" s="279" t="s">
        <v>217</v>
      </c>
      <c r="D126" s="333">
        <v>0</v>
      </c>
      <c r="E126" s="333">
        <v>440</v>
      </c>
      <c r="F126" s="333">
        <v>0</v>
      </c>
      <c r="G126" s="333">
        <v>0</v>
      </c>
      <c r="H126" s="333">
        <v>440</v>
      </c>
      <c r="I126" s="333">
        <v>0</v>
      </c>
      <c r="J126" s="333">
        <v>31</v>
      </c>
      <c r="K126" s="333">
        <v>31</v>
      </c>
      <c r="L126" s="333"/>
      <c r="M126" s="208">
        <v>193</v>
      </c>
      <c r="N126" s="279" t="s">
        <v>217</v>
      </c>
      <c r="O126" s="333">
        <v>0</v>
      </c>
      <c r="P126" s="333">
        <v>0</v>
      </c>
      <c r="Q126" s="333">
        <v>440</v>
      </c>
      <c r="R126" s="333">
        <v>440</v>
      </c>
      <c r="S126" s="333">
        <v>21816366</v>
      </c>
      <c r="T126" s="169">
        <v>2.9</v>
      </c>
      <c r="U126" s="165"/>
      <c r="V126" s="279" t="s">
        <v>217</v>
      </c>
      <c r="W126" s="333">
        <v>31</v>
      </c>
      <c r="X126" s="333">
        <v>60407.387096774197</v>
      </c>
      <c r="Y126" s="333">
        <v>1872629</v>
      </c>
      <c r="Z126" s="169"/>
      <c r="AA126" s="279" t="s">
        <v>217</v>
      </c>
      <c r="AB126" s="333">
        <v>0</v>
      </c>
      <c r="AC126" s="333">
        <v>0</v>
      </c>
      <c r="AD126" s="333">
        <v>440</v>
      </c>
      <c r="AE126" s="333">
        <v>440</v>
      </c>
      <c r="AF126" s="333">
        <v>352</v>
      </c>
      <c r="AG126" s="333">
        <v>8868761</v>
      </c>
      <c r="AH126" s="169"/>
      <c r="AI126" s="279" t="s">
        <v>217</v>
      </c>
      <c r="AJ126" s="333">
        <v>0</v>
      </c>
      <c r="AK126" s="333">
        <v>0</v>
      </c>
      <c r="AL126" s="333">
        <v>440</v>
      </c>
      <c r="AM126" s="333">
        <v>440</v>
      </c>
      <c r="AN126" s="333">
        <v>352</v>
      </c>
      <c r="AO126" s="333">
        <v>12947605</v>
      </c>
    </row>
    <row r="127" spans="1:41" s="211" customFormat="1">
      <c r="A127" s="333">
        <f>SUBTOTAL(3,$B$7:B127)</f>
        <v>121</v>
      </c>
      <c r="B127" s="169" t="s">
        <v>106</v>
      </c>
      <c r="C127" s="279" t="s">
        <v>218</v>
      </c>
      <c r="D127" s="333">
        <v>0</v>
      </c>
      <c r="E127" s="333">
        <v>79</v>
      </c>
      <c r="F127" s="333">
        <v>0</v>
      </c>
      <c r="G127" s="333">
        <v>0</v>
      </c>
      <c r="H127" s="333">
        <v>79</v>
      </c>
      <c r="I127" s="333">
        <v>0</v>
      </c>
      <c r="J127" s="333">
        <v>11</v>
      </c>
      <c r="K127" s="333">
        <v>11</v>
      </c>
      <c r="L127" s="333"/>
      <c r="M127" s="165">
        <v>194</v>
      </c>
      <c r="N127" s="279" t="s">
        <v>218</v>
      </c>
      <c r="O127" s="333">
        <v>0</v>
      </c>
      <c r="P127" s="333">
        <v>0</v>
      </c>
      <c r="Q127" s="333">
        <v>79</v>
      </c>
      <c r="R127" s="333">
        <v>79</v>
      </c>
      <c r="S127" s="333">
        <v>3223237</v>
      </c>
      <c r="T127" s="169">
        <v>2.4</v>
      </c>
      <c r="U127" s="165"/>
      <c r="V127" s="279" t="s">
        <v>218</v>
      </c>
      <c r="W127" s="333">
        <v>11</v>
      </c>
      <c r="X127" s="333">
        <v>51293.454545454544</v>
      </c>
      <c r="Y127" s="333">
        <v>564228</v>
      </c>
      <c r="Z127" s="169"/>
      <c r="AA127" s="279" t="s">
        <v>218</v>
      </c>
      <c r="AB127" s="333">
        <v>0</v>
      </c>
      <c r="AC127" s="333">
        <v>0</v>
      </c>
      <c r="AD127" s="333">
        <v>79</v>
      </c>
      <c r="AE127" s="333">
        <v>79</v>
      </c>
      <c r="AF127" s="333">
        <v>63</v>
      </c>
      <c r="AG127" s="333">
        <v>1310306</v>
      </c>
      <c r="AH127" s="169"/>
      <c r="AI127" s="279" t="s">
        <v>218</v>
      </c>
      <c r="AJ127" s="333">
        <v>0</v>
      </c>
      <c r="AK127" s="333">
        <v>0</v>
      </c>
      <c r="AL127" s="333">
        <v>79</v>
      </c>
      <c r="AM127" s="333">
        <v>79</v>
      </c>
      <c r="AN127" s="333">
        <v>63</v>
      </c>
      <c r="AO127" s="333">
        <v>1912931</v>
      </c>
    </row>
    <row r="128" spans="1:41" s="211" customFormat="1">
      <c r="A128" s="333">
        <f>SUBTOTAL(3,$B$7:B128)</f>
        <v>122</v>
      </c>
      <c r="B128" s="169" t="s">
        <v>106</v>
      </c>
      <c r="C128" s="279" t="s">
        <v>219</v>
      </c>
      <c r="D128" s="333">
        <v>0</v>
      </c>
      <c r="E128" s="333">
        <v>434</v>
      </c>
      <c r="F128" s="333">
        <v>0</v>
      </c>
      <c r="G128" s="333">
        <v>0</v>
      </c>
      <c r="H128" s="333">
        <v>434</v>
      </c>
      <c r="I128" s="333">
        <v>0</v>
      </c>
      <c r="J128" s="333">
        <v>0</v>
      </c>
      <c r="K128" s="333">
        <v>0</v>
      </c>
      <c r="L128" s="333"/>
      <c r="M128" s="165">
        <v>195</v>
      </c>
      <c r="N128" s="279" t="s">
        <v>219</v>
      </c>
      <c r="O128" s="333">
        <v>0</v>
      </c>
      <c r="P128" s="333">
        <v>0</v>
      </c>
      <c r="Q128" s="333">
        <v>434</v>
      </c>
      <c r="R128" s="333">
        <v>434</v>
      </c>
      <c r="S128" s="333">
        <v>23757521</v>
      </c>
      <c r="T128" s="169">
        <v>3.1</v>
      </c>
      <c r="U128" s="165"/>
      <c r="V128" s="279" t="s">
        <v>219</v>
      </c>
      <c r="W128" s="333">
        <v>0</v>
      </c>
      <c r="X128" s="333">
        <v>0</v>
      </c>
      <c r="Y128" s="333">
        <v>0</v>
      </c>
      <c r="Z128" s="169"/>
      <c r="AA128" s="279" t="s">
        <v>219</v>
      </c>
      <c r="AB128" s="333">
        <v>0</v>
      </c>
      <c r="AC128" s="333">
        <v>0</v>
      </c>
      <c r="AD128" s="333">
        <v>434</v>
      </c>
      <c r="AE128" s="333">
        <v>434</v>
      </c>
      <c r="AF128" s="333">
        <v>347</v>
      </c>
      <c r="AG128" s="333">
        <v>9772047</v>
      </c>
      <c r="AH128" s="169"/>
      <c r="AI128" s="279" t="s">
        <v>219</v>
      </c>
      <c r="AJ128" s="333">
        <v>0</v>
      </c>
      <c r="AK128" s="333">
        <v>0</v>
      </c>
      <c r="AL128" s="333">
        <v>434</v>
      </c>
      <c r="AM128" s="333">
        <v>434</v>
      </c>
      <c r="AN128" s="333">
        <v>347</v>
      </c>
      <c r="AO128" s="333">
        <v>13985474</v>
      </c>
    </row>
    <row r="129" spans="1:41" s="211" customFormat="1">
      <c r="A129" s="333">
        <f>SUBTOTAL(3,$B$7:B129)</f>
        <v>123</v>
      </c>
      <c r="B129" s="169" t="s">
        <v>106</v>
      </c>
      <c r="C129" s="279" t="s">
        <v>220</v>
      </c>
      <c r="D129" s="333">
        <v>0</v>
      </c>
      <c r="E129" s="333">
        <v>727</v>
      </c>
      <c r="F129" s="333">
        <v>0</v>
      </c>
      <c r="G129" s="333">
        <v>0</v>
      </c>
      <c r="H129" s="333">
        <v>727</v>
      </c>
      <c r="I129" s="333">
        <v>0</v>
      </c>
      <c r="J129" s="333">
        <v>56</v>
      </c>
      <c r="K129" s="333">
        <v>56</v>
      </c>
      <c r="L129" s="333"/>
      <c r="M129" s="208">
        <v>197</v>
      </c>
      <c r="N129" s="279" t="s">
        <v>220</v>
      </c>
      <c r="O129" s="333">
        <v>0</v>
      </c>
      <c r="P129" s="333">
        <v>0</v>
      </c>
      <c r="Q129" s="333">
        <v>727</v>
      </c>
      <c r="R129" s="333">
        <v>727</v>
      </c>
      <c r="S129" s="333">
        <v>31403390</v>
      </c>
      <c r="T129" s="169">
        <v>2.5</v>
      </c>
      <c r="U129" s="165"/>
      <c r="V129" s="279" t="s">
        <v>220</v>
      </c>
      <c r="W129" s="333">
        <v>56</v>
      </c>
      <c r="X129" s="333">
        <v>53718.803571428572</v>
      </c>
      <c r="Y129" s="333">
        <v>3008253</v>
      </c>
      <c r="Z129" s="169"/>
      <c r="AA129" s="279" t="s">
        <v>220</v>
      </c>
      <c r="AB129" s="333">
        <v>0</v>
      </c>
      <c r="AC129" s="333">
        <v>0</v>
      </c>
      <c r="AD129" s="333">
        <v>727</v>
      </c>
      <c r="AE129" s="333">
        <v>727</v>
      </c>
      <c r="AF129" s="333">
        <v>582</v>
      </c>
      <c r="AG129" s="333">
        <v>12680520</v>
      </c>
      <c r="AH129" s="169"/>
      <c r="AI129" s="279" t="s">
        <v>220</v>
      </c>
      <c r="AJ129" s="333">
        <v>0</v>
      </c>
      <c r="AK129" s="333">
        <v>0</v>
      </c>
      <c r="AL129" s="333">
        <v>727</v>
      </c>
      <c r="AM129" s="333">
        <v>727</v>
      </c>
      <c r="AN129" s="333">
        <v>582</v>
      </c>
      <c r="AO129" s="333">
        <v>18722870</v>
      </c>
    </row>
    <row r="130" spans="1:41" s="211" customFormat="1">
      <c r="A130" s="333">
        <f>SUBTOTAL(3,$B$7:B130)</f>
        <v>124</v>
      </c>
      <c r="B130" s="169" t="s">
        <v>171</v>
      </c>
      <c r="C130" s="279" t="s">
        <v>221</v>
      </c>
      <c r="D130" s="333">
        <v>0</v>
      </c>
      <c r="E130" s="333">
        <v>614</v>
      </c>
      <c r="F130" s="333">
        <v>0</v>
      </c>
      <c r="G130" s="333">
        <v>0</v>
      </c>
      <c r="H130" s="333">
        <v>614</v>
      </c>
      <c r="I130" s="333">
        <v>0</v>
      </c>
      <c r="J130" s="333">
        <v>454</v>
      </c>
      <c r="K130" s="333">
        <v>454</v>
      </c>
      <c r="L130" s="333"/>
      <c r="M130" s="165">
        <v>198</v>
      </c>
      <c r="N130" s="279" t="s">
        <v>221</v>
      </c>
      <c r="O130" s="333">
        <v>0</v>
      </c>
      <c r="P130" s="333">
        <v>0</v>
      </c>
      <c r="Q130" s="333">
        <v>614</v>
      </c>
      <c r="R130" s="333">
        <v>614</v>
      </c>
      <c r="S130" s="333">
        <v>10498242</v>
      </c>
      <c r="T130" s="169">
        <v>1</v>
      </c>
      <c r="U130" s="165"/>
      <c r="V130" s="279" t="s">
        <v>221</v>
      </c>
      <c r="W130" s="333">
        <v>454</v>
      </c>
      <c r="X130" s="333">
        <v>21381.348017621145</v>
      </c>
      <c r="Y130" s="333">
        <v>9707132</v>
      </c>
      <c r="Z130" s="169"/>
      <c r="AA130" s="279" t="s">
        <v>221</v>
      </c>
      <c r="AB130" s="333">
        <v>0</v>
      </c>
      <c r="AC130" s="333">
        <v>0</v>
      </c>
      <c r="AD130" s="333">
        <v>614</v>
      </c>
      <c r="AE130" s="333">
        <v>614</v>
      </c>
      <c r="AF130" s="333">
        <v>491</v>
      </c>
      <c r="AG130" s="333">
        <v>4267732</v>
      </c>
      <c r="AH130" s="169"/>
      <c r="AI130" s="279" t="s">
        <v>221</v>
      </c>
      <c r="AJ130" s="333">
        <v>0</v>
      </c>
      <c r="AK130" s="333">
        <v>0</v>
      </c>
      <c r="AL130" s="333">
        <v>614</v>
      </c>
      <c r="AM130" s="333">
        <v>614</v>
      </c>
      <c r="AN130" s="333">
        <v>491</v>
      </c>
      <c r="AO130" s="333">
        <v>6230510</v>
      </c>
    </row>
    <row r="131" spans="1:41" s="211" customFormat="1">
      <c r="A131" s="333">
        <f>SUBTOTAL(3,$B$7:B131)</f>
        <v>125</v>
      </c>
      <c r="B131" s="169" t="s">
        <v>171</v>
      </c>
      <c r="C131" s="279" t="s">
        <v>222</v>
      </c>
      <c r="D131" s="333">
        <v>0</v>
      </c>
      <c r="E131" s="333">
        <v>58</v>
      </c>
      <c r="F131" s="333">
        <v>0</v>
      </c>
      <c r="G131" s="333">
        <v>0</v>
      </c>
      <c r="H131" s="333">
        <v>58</v>
      </c>
      <c r="I131" s="333">
        <v>0</v>
      </c>
      <c r="J131" s="333">
        <v>16</v>
      </c>
      <c r="K131" s="333">
        <v>16</v>
      </c>
      <c r="L131" s="333"/>
      <c r="M131" s="165">
        <v>199</v>
      </c>
      <c r="N131" s="279" t="s">
        <v>222</v>
      </c>
      <c r="O131" s="333">
        <v>0</v>
      </c>
      <c r="P131" s="333">
        <v>0</v>
      </c>
      <c r="Q131" s="333">
        <v>58</v>
      </c>
      <c r="R131" s="333">
        <v>58</v>
      </c>
      <c r="S131" s="333">
        <v>307423</v>
      </c>
      <c r="T131" s="169">
        <v>1.1000000000000001</v>
      </c>
      <c r="U131" s="165"/>
      <c r="V131" s="279" t="s">
        <v>222</v>
      </c>
      <c r="W131" s="333">
        <v>16</v>
      </c>
      <c r="X131" s="333">
        <v>5300.375</v>
      </c>
      <c r="Y131" s="333">
        <v>84806</v>
      </c>
      <c r="Z131" s="169"/>
      <c r="AA131" s="279" t="s">
        <v>222</v>
      </c>
      <c r="AB131" s="333">
        <v>0</v>
      </c>
      <c r="AC131" s="333">
        <v>0</v>
      </c>
      <c r="AD131" s="333">
        <v>58</v>
      </c>
      <c r="AE131" s="333">
        <v>58</v>
      </c>
      <c r="AF131" s="333">
        <v>46</v>
      </c>
      <c r="AG131" s="333">
        <v>124973</v>
      </c>
      <c r="AH131" s="169"/>
      <c r="AI131" s="279" t="s">
        <v>222</v>
      </c>
      <c r="AJ131" s="333">
        <v>0</v>
      </c>
      <c r="AK131" s="333">
        <v>0</v>
      </c>
      <c r="AL131" s="333">
        <v>58</v>
      </c>
      <c r="AM131" s="333">
        <v>58</v>
      </c>
      <c r="AN131" s="333">
        <v>46</v>
      </c>
      <c r="AO131" s="333">
        <v>182450</v>
      </c>
    </row>
    <row r="132" spans="1:41" s="211" customFormat="1">
      <c r="A132" s="333">
        <f>SUBTOTAL(3,$B$7:B132)</f>
        <v>126</v>
      </c>
      <c r="B132" s="169" t="s">
        <v>107</v>
      </c>
      <c r="C132" s="279" t="s">
        <v>223</v>
      </c>
      <c r="D132" s="333">
        <v>0</v>
      </c>
      <c r="E132" s="333">
        <v>15</v>
      </c>
      <c r="F132" s="333">
        <v>0</v>
      </c>
      <c r="G132" s="333">
        <v>0</v>
      </c>
      <c r="H132" s="333">
        <v>15</v>
      </c>
      <c r="I132" s="333">
        <v>0</v>
      </c>
      <c r="J132" s="333">
        <v>80</v>
      </c>
      <c r="K132" s="333">
        <v>80</v>
      </c>
      <c r="L132" s="333"/>
      <c r="M132" s="208">
        <v>202</v>
      </c>
      <c r="N132" s="279" t="s">
        <v>223</v>
      </c>
      <c r="O132" s="333">
        <v>0</v>
      </c>
      <c r="P132" s="333">
        <v>0</v>
      </c>
      <c r="Q132" s="333">
        <v>15</v>
      </c>
      <c r="R132" s="333">
        <v>15</v>
      </c>
      <c r="S132" s="333">
        <v>853930</v>
      </c>
      <c r="T132" s="169">
        <v>3.2</v>
      </c>
      <c r="U132" s="165"/>
      <c r="V132" s="279" t="s">
        <v>223</v>
      </c>
      <c r="W132" s="333">
        <v>80</v>
      </c>
      <c r="X132" s="333">
        <v>71160.899999999994</v>
      </c>
      <c r="Y132" s="333">
        <v>5692872</v>
      </c>
      <c r="Z132" s="169"/>
      <c r="AA132" s="279" t="s">
        <v>223</v>
      </c>
      <c r="AB132" s="333">
        <v>0</v>
      </c>
      <c r="AC132" s="333">
        <v>0</v>
      </c>
      <c r="AD132" s="333">
        <v>15</v>
      </c>
      <c r="AE132" s="333">
        <v>15</v>
      </c>
      <c r="AF132" s="333">
        <v>12</v>
      </c>
      <c r="AG132" s="333">
        <v>338504</v>
      </c>
      <c r="AH132" s="169"/>
      <c r="AI132" s="279" t="s">
        <v>223</v>
      </c>
      <c r="AJ132" s="333">
        <v>0</v>
      </c>
      <c r="AK132" s="333">
        <v>0</v>
      </c>
      <c r="AL132" s="333">
        <v>15</v>
      </c>
      <c r="AM132" s="333">
        <v>15</v>
      </c>
      <c r="AN132" s="333">
        <v>12</v>
      </c>
      <c r="AO132" s="333">
        <v>515426</v>
      </c>
    </row>
    <row r="133" spans="1:41" s="211" customFormat="1">
      <c r="A133" s="333">
        <f>SUBTOTAL(3,$B$7:B133)</f>
        <v>127</v>
      </c>
      <c r="B133" s="169" t="s">
        <v>107</v>
      </c>
      <c r="C133" s="279" t="s">
        <v>224</v>
      </c>
      <c r="D133" s="333">
        <v>0</v>
      </c>
      <c r="E133" s="333">
        <v>144</v>
      </c>
      <c r="F133" s="333">
        <v>0</v>
      </c>
      <c r="G133" s="333">
        <v>0</v>
      </c>
      <c r="H133" s="333">
        <v>144</v>
      </c>
      <c r="I133" s="333">
        <v>0</v>
      </c>
      <c r="J133" s="333">
        <v>116</v>
      </c>
      <c r="K133" s="333">
        <v>116</v>
      </c>
      <c r="L133" s="333"/>
      <c r="M133" s="165">
        <v>203</v>
      </c>
      <c r="N133" s="279" t="s">
        <v>224</v>
      </c>
      <c r="O133" s="333">
        <v>0</v>
      </c>
      <c r="P133" s="333">
        <v>0</v>
      </c>
      <c r="Q133" s="333">
        <v>144</v>
      </c>
      <c r="R133" s="333">
        <v>144</v>
      </c>
      <c r="S133" s="333">
        <v>4917256</v>
      </c>
      <c r="T133" s="169">
        <v>1.9</v>
      </c>
      <c r="U133" s="165"/>
      <c r="V133" s="279" t="s">
        <v>224</v>
      </c>
      <c r="W133" s="333">
        <v>116</v>
      </c>
      <c r="X133" s="333">
        <v>36498.465517241377</v>
      </c>
      <c r="Y133" s="333">
        <v>4233822</v>
      </c>
      <c r="Z133" s="169"/>
      <c r="AA133" s="279" t="s">
        <v>224</v>
      </c>
      <c r="AB133" s="333">
        <v>0</v>
      </c>
      <c r="AC133" s="333">
        <v>0</v>
      </c>
      <c r="AD133" s="333">
        <v>144</v>
      </c>
      <c r="AE133" s="333">
        <v>144</v>
      </c>
      <c r="AF133" s="333">
        <v>115</v>
      </c>
      <c r="AG133" s="333">
        <v>1998957</v>
      </c>
      <c r="AH133" s="169"/>
      <c r="AI133" s="279" t="s">
        <v>224</v>
      </c>
      <c r="AJ133" s="333">
        <v>0</v>
      </c>
      <c r="AK133" s="333">
        <v>0</v>
      </c>
      <c r="AL133" s="333">
        <v>144</v>
      </c>
      <c r="AM133" s="333">
        <v>144</v>
      </c>
      <c r="AN133" s="333">
        <v>115</v>
      </c>
      <c r="AO133" s="333">
        <v>2918299</v>
      </c>
    </row>
    <row r="134" spans="1:41">
      <c r="A134" s="333">
        <f>SUBTOTAL(3,$B$7:B134)</f>
        <v>128</v>
      </c>
      <c r="B134" s="3" t="s">
        <v>107</v>
      </c>
      <c r="C134" s="275" t="s">
        <v>225</v>
      </c>
      <c r="D134" s="329">
        <v>0</v>
      </c>
      <c r="E134" s="329">
        <v>252</v>
      </c>
      <c r="F134" s="329">
        <v>0</v>
      </c>
      <c r="G134" s="329">
        <v>0</v>
      </c>
      <c r="H134" s="329">
        <v>252</v>
      </c>
      <c r="I134" s="329">
        <v>0</v>
      </c>
      <c r="J134" s="329">
        <v>224</v>
      </c>
      <c r="K134" s="333">
        <v>224</v>
      </c>
      <c r="L134" s="333"/>
      <c r="M134" s="165">
        <v>204</v>
      </c>
      <c r="N134" s="279" t="s">
        <v>225</v>
      </c>
      <c r="O134" s="329">
        <v>0</v>
      </c>
      <c r="P134" s="329">
        <v>0</v>
      </c>
      <c r="Q134" s="329">
        <v>252</v>
      </c>
      <c r="R134" s="333">
        <v>252</v>
      </c>
      <c r="S134" s="333">
        <v>10149725</v>
      </c>
      <c r="T134" s="3">
        <v>2.35</v>
      </c>
      <c r="U134" s="208"/>
      <c r="V134" s="279" t="s">
        <v>225</v>
      </c>
      <c r="W134" s="329">
        <v>224</v>
      </c>
      <c r="X134" s="329">
        <v>50246.165178571428</v>
      </c>
      <c r="Y134" s="329">
        <v>11255141</v>
      </c>
      <c r="Z134" s="3"/>
      <c r="AA134" s="279" t="s">
        <v>225</v>
      </c>
      <c r="AB134" s="329">
        <v>0</v>
      </c>
      <c r="AC134" s="329">
        <v>0</v>
      </c>
      <c r="AD134" s="329">
        <v>252</v>
      </c>
      <c r="AE134" s="329">
        <v>252</v>
      </c>
      <c r="AF134" s="329">
        <v>202</v>
      </c>
      <c r="AG134" s="329">
        <v>4126053</v>
      </c>
      <c r="AH134" s="3"/>
      <c r="AI134" s="279" t="s">
        <v>225</v>
      </c>
      <c r="AJ134" s="329">
        <v>0</v>
      </c>
      <c r="AK134" s="329">
        <v>0</v>
      </c>
      <c r="AL134" s="329">
        <v>252</v>
      </c>
      <c r="AM134" s="329">
        <v>252</v>
      </c>
      <c r="AN134" s="329">
        <v>202</v>
      </c>
      <c r="AO134" s="329">
        <v>6023672</v>
      </c>
    </row>
    <row r="135" spans="1:41" s="211" customFormat="1">
      <c r="A135" s="333">
        <f>SUBTOTAL(3,$B$7:B135)</f>
        <v>129</v>
      </c>
      <c r="B135" s="169" t="s">
        <v>107</v>
      </c>
      <c r="C135" s="279" t="s">
        <v>226</v>
      </c>
      <c r="D135" s="333">
        <v>0</v>
      </c>
      <c r="E135" s="333">
        <v>70</v>
      </c>
      <c r="F135" s="333">
        <v>0</v>
      </c>
      <c r="G135" s="333">
        <v>0</v>
      </c>
      <c r="H135" s="333">
        <v>70</v>
      </c>
      <c r="I135" s="333">
        <v>0</v>
      </c>
      <c r="J135" s="333">
        <v>29</v>
      </c>
      <c r="K135" s="333">
        <v>29</v>
      </c>
      <c r="L135" s="333"/>
      <c r="M135" s="208">
        <v>205</v>
      </c>
      <c r="N135" s="279" t="s">
        <v>226</v>
      </c>
      <c r="O135" s="333">
        <v>0</v>
      </c>
      <c r="P135" s="333">
        <v>0</v>
      </c>
      <c r="Q135" s="333">
        <v>70</v>
      </c>
      <c r="R135" s="333">
        <v>70</v>
      </c>
      <c r="S135" s="333">
        <v>3891405</v>
      </c>
      <c r="T135" s="169">
        <v>3.25</v>
      </c>
      <c r="U135" s="165"/>
      <c r="V135" s="279" t="s">
        <v>226</v>
      </c>
      <c r="W135" s="333">
        <v>29</v>
      </c>
      <c r="X135" s="333">
        <v>69489.379310344826</v>
      </c>
      <c r="Y135" s="333">
        <v>2015192</v>
      </c>
      <c r="Z135" s="169"/>
      <c r="AA135" s="279" t="s">
        <v>226</v>
      </c>
      <c r="AB135" s="333">
        <v>0</v>
      </c>
      <c r="AC135" s="333">
        <v>0</v>
      </c>
      <c r="AD135" s="333">
        <v>70</v>
      </c>
      <c r="AE135" s="333">
        <v>70</v>
      </c>
      <c r="AF135" s="333">
        <v>56</v>
      </c>
      <c r="AG135" s="333">
        <v>1581929</v>
      </c>
      <c r="AH135" s="169"/>
      <c r="AI135" s="279" t="s">
        <v>226</v>
      </c>
      <c r="AJ135" s="333">
        <v>0</v>
      </c>
      <c r="AK135" s="333">
        <v>0</v>
      </c>
      <c r="AL135" s="333">
        <v>70</v>
      </c>
      <c r="AM135" s="333">
        <v>70</v>
      </c>
      <c r="AN135" s="333">
        <v>56</v>
      </c>
      <c r="AO135" s="333">
        <v>2309476</v>
      </c>
    </row>
    <row r="136" spans="1:41" s="211" customFormat="1">
      <c r="A136" s="333">
        <f>SUBTOTAL(3,$B$7:B136)</f>
        <v>130</v>
      </c>
      <c r="B136" s="169" t="s">
        <v>172</v>
      </c>
      <c r="C136" s="279" t="s">
        <v>227</v>
      </c>
      <c r="D136" s="333">
        <v>0</v>
      </c>
      <c r="E136" s="333">
        <v>336</v>
      </c>
      <c r="F136" s="333">
        <v>0</v>
      </c>
      <c r="G136" s="333">
        <v>0</v>
      </c>
      <c r="H136" s="333">
        <v>336</v>
      </c>
      <c r="I136" s="333">
        <v>0</v>
      </c>
      <c r="J136" s="333">
        <v>255</v>
      </c>
      <c r="K136" s="333">
        <v>255</v>
      </c>
      <c r="L136" s="333"/>
      <c r="M136" s="165">
        <v>206</v>
      </c>
      <c r="N136" s="279" t="s">
        <v>227</v>
      </c>
      <c r="O136" s="333">
        <v>0</v>
      </c>
      <c r="P136" s="333">
        <v>0</v>
      </c>
      <c r="Q136" s="333">
        <v>336</v>
      </c>
      <c r="R136" s="333">
        <v>336</v>
      </c>
      <c r="S136" s="333">
        <v>3584328</v>
      </c>
      <c r="T136" s="169">
        <v>0.6</v>
      </c>
      <c r="U136" s="165"/>
      <c r="V136" s="279" t="s">
        <v>227</v>
      </c>
      <c r="W136" s="333">
        <v>255</v>
      </c>
      <c r="X136" s="333">
        <v>13324.635294117646</v>
      </c>
      <c r="Y136" s="333">
        <v>3397782</v>
      </c>
      <c r="Z136" s="169"/>
      <c r="AA136" s="279" t="s">
        <v>227</v>
      </c>
      <c r="AB136" s="333">
        <v>0</v>
      </c>
      <c r="AC136" s="333">
        <v>0</v>
      </c>
      <c r="AD136" s="333">
        <v>336</v>
      </c>
      <c r="AE136" s="333">
        <v>336</v>
      </c>
      <c r="AF136" s="333">
        <v>269</v>
      </c>
      <c r="AG136" s="333">
        <v>1418225</v>
      </c>
      <c r="AH136" s="169"/>
      <c r="AI136" s="279" t="s">
        <v>227</v>
      </c>
      <c r="AJ136" s="333">
        <v>0</v>
      </c>
      <c r="AK136" s="333">
        <v>0</v>
      </c>
      <c r="AL136" s="333">
        <v>336</v>
      </c>
      <c r="AM136" s="333">
        <v>336</v>
      </c>
      <c r="AN136" s="333">
        <v>269</v>
      </c>
      <c r="AO136" s="333">
        <v>2166103</v>
      </c>
    </row>
    <row r="137" spans="1:41">
      <c r="A137" s="333">
        <f>SUBTOTAL(3,$B$7:B137)</f>
        <v>131</v>
      </c>
      <c r="B137" s="3" t="s">
        <v>172</v>
      </c>
      <c r="C137" s="275" t="s">
        <v>228</v>
      </c>
      <c r="D137" s="329">
        <v>0</v>
      </c>
      <c r="E137" s="329">
        <v>397</v>
      </c>
      <c r="F137" s="329">
        <v>0</v>
      </c>
      <c r="G137" s="329">
        <v>0</v>
      </c>
      <c r="H137" s="329">
        <v>397</v>
      </c>
      <c r="I137" s="329">
        <v>0</v>
      </c>
      <c r="J137" s="329">
        <v>0</v>
      </c>
      <c r="K137" s="333">
        <v>0</v>
      </c>
      <c r="L137" s="333"/>
      <c r="M137" s="165">
        <v>207</v>
      </c>
      <c r="N137" s="279" t="s">
        <v>228</v>
      </c>
      <c r="O137" s="329">
        <v>0</v>
      </c>
      <c r="P137" s="329">
        <v>0</v>
      </c>
      <c r="Q137" s="329">
        <v>397</v>
      </c>
      <c r="R137" s="333">
        <v>397</v>
      </c>
      <c r="S137" s="333">
        <v>4242763</v>
      </c>
      <c r="T137" s="3">
        <v>0.6</v>
      </c>
      <c r="U137" s="208"/>
      <c r="V137" s="279" t="s">
        <v>228</v>
      </c>
      <c r="W137" s="329">
        <v>0</v>
      </c>
      <c r="X137" s="329">
        <v>0</v>
      </c>
      <c r="Y137" s="329">
        <v>0</v>
      </c>
      <c r="Z137" s="3"/>
      <c r="AA137" s="279" t="s">
        <v>228</v>
      </c>
      <c r="AB137" s="329">
        <v>0</v>
      </c>
      <c r="AC137" s="329">
        <v>0</v>
      </c>
      <c r="AD137" s="329">
        <v>397</v>
      </c>
      <c r="AE137" s="329">
        <v>397</v>
      </c>
      <c r="AF137" s="329">
        <v>318</v>
      </c>
      <c r="AG137" s="329">
        <v>1677199</v>
      </c>
      <c r="AH137" s="3"/>
      <c r="AI137" s="279" t="s">
        <v>228</v>
      </c>
      <c r="AJ137" s="329">
        <v>0</v>
      </c>
      <c r="AK137" s="329">
        <v>0</v>
      </c>
      <c r="AL137" s="329">
        <v>397</v>
      </c>
      <c r="AM137" s="329">
        <v>397</v>
      </c>
      <c r="AN137" s="329">
        <v>318</v>
      </c>
      <c r="AO137" s="329">
        <v>2565564</v>
      </c>
    </row>
    <row r="138" spans="1:41">
      <c r="A138" s="333">
        <f>SUBTOTAL(3,$B$7:B138)</f>
        <v>132</v>
      </c>
      <c r="B138" s="3" t="s">
        <v>108</v>
      </c>
      <c r="C138" s="275" t="s">
        <v>377</v>
      </c>
      <c r="D138" s="329">
        <v>0</v>
      </c>
      <c r="E138" s="329">
        <v>303</v>
      </c>
      <c r="F138" s="329">
        <v>0</v>
      </c>
      <c r="G138" s="329">
        <v>0</v>
      </c>
      <c r="H138" s="329">
        <v>303</v>
      </c>
      <c r="I138" s="329">
        <v>0</v>
      </c>
      <c r="J138" s="329">
        <v>20</v>
      </c>
      <c r="K138" s="333">
        <v>20</v>
      </c>
      <c r="L138" s="333"/>
      <c r="M138" s="208">
        <v>208</v>
      </c>
      <c r="N138" s="345" t="s">
        <v>377</v>
      </c>
      <c r="O138" s="329">
        <v>0</v>
      </c>
      <c r="P138" s="329">
        <v>0</v>
      </c>
      <c r="Q138" s="329">
        <v>303</v>
      </c>
      <c r="R138" s="333">
        <v>303</v>
      </c>
      <c r="S138" s="333">
        <v>17623045</v>
      </c>
      <c r="T138" s="3">
        <v>3.16</v>
      </c>
      <c r="U138" s="208"/>
      <c r="V138" s="279" t="s">
        <v>377</v>
      </c>
      <c r="W138" s="329">
        <v>20</v>
      </c>
      <c r="X138" s="329">
        <v>64533.599999999999</v>
      </c>
      <c r="Y138" s="329">
        <v>1290672</v>
      </c>
      <c r="Z138" s="3"/>
      <c r="AA138" s="279" t="s">
        <v>377</v>
      </c>
      <c r="AB138" s="329">
        <v>0</v>
      </c>
      <c r="AC138" s="329">
        <v>0</v>
      </c>
      <c r="AD138" s="329">
        <v>303</v>
      </c>
      <c r="AE138" s="329">
        <v>303</v>
      </c>
      <c r="AF138" s="329">
        <v>242</v>
      </c>
      <c r="AG138" s="329">
        <v>7359994</v>
      </c>
      <c r="AH138" s="3"/>
      <c r="AI138" s="279" t="s">
        <v>377</v>
      </c>
      <c r="AJ138" s="329">
        <v>0</v>
      </c>
      <c r="AK138" s="329">
        <v>0</v>
      </c>
      <c r="AL138" s="329">
        <v>303</v>
      </c>
      <c r="AM138" s="329">
        <v>303</v>
      </c>
      <c r="AN138" s="329">
        <v>242</v>
      </c>
      <c r="AO138" s="329">
        <v>10263051</v>
      </c>
    </row>
    <row r="139" spans="1:41">
      <c r="A139" s="333">
        <f>SUBTOTAL(3,$B$7:B139)</f>
        <v>133</v>
      </c>
      <c r="B139" s="3" t="s">
        <v>108</v>
      </c>
      <c r="C139" s="275" t="s">
        <v>378</v>
      </c>
      <c r="D139" s="329">
        <v>0</v>
      </c>
      <c r="E139" s="329">
        <v>325</v>
      </c>
      <c r="F139" s="329">
        <v>0</v>
      </c>
      <c r="G139" s="329">
        <v>0</v>
      </c>
      <c r="H139" s="329">
        <v>325</v>
      </c>
      <c r="I139" s="329">
        <v>0</v>
      </c>
      <c r="J139" s="329">
        <v>49</v>
      </c>
      <c r="K139" s="333">
        <v>49</v>
      </c>
      <c r="L139" s="333"/>
      <c r="M139" s="165">
        <v>209</v>
      </c>
      <c r="N139" s="345" t="s">
        <v>378</v>
      </c>
      <c r="O139" s="329">
        <v>0</v>
      </c>
      <c r="P139" s="329">
        <v>0</v>
      </c>
      <c r="Q139" s="329">
        <v>325</v>
      </c>
      <c r="R139" s="333">
        <v>325</v>
      </c>
      <c r="S139" s="333">
        <v>18082429</v>
      </c>
      <c r="T139" s="3">
        <v>3.26</v>
      </c>
      <c r="U139" s="208"/>
      <c r="V139" s="279" t="s">
        <v>378</v>
      </c>
      <c r="W139" s="329">
        <v>49</v>
      </c>
      <c r="X139" s="329">
        <v>68814.775510204083</v>
      </c>
      <c r="Y139" s="329">
        <v>3371924</v>
      </c>
      <c r="Z139" s="3"/>
      <c r="AA139" s="279" t="s">
        <v>378</v>
      </c>
      <c r="AB139" s="329">
        <v>0</v>
      </c>
      <c r="AC139" s="329">
        <v>0</v>
      </c>
      <c r="AD139" s="329">
        <v>325</v>
      </c>
      <c r="AE139" s="329">
        <v>325</v>
      </c>
      <c r="AF139" s="329">
        <v>260</v>
      </c>
      <c r="AG139" s="329">
        <v>7303486</v>
      </c>
      <c r="AH139" s="3"/>
      <c r="AI139" s="279" t="s">
        <v>378</v>
      </c>
      <c r="AJ139" s="329">
        <v>0</v>
      </c>
      <c r="AK139" s="329">
        <v>0</v>
      </c>
      <c r="AL139" s="329">
        <v>325</v>
      </c>
      <c r="AM139" s="329">
        <v>325</v>
      </c>
      <c r="AN139" s="329">
        <v>260</v>
      </c>
      <c r="AO139" s="329">
        <v>10778943</v>
      </c>
    </row>
    <row r="140" spans="1:41" s="211" customFormat="1">
      <c r="A140" s="333">
        <f>SUBTOTAL(3,$B$7:B140)</f>
        <v>134</v>
      </c>
      <c r="B140" s="169" t="s">
        <v>108</v>
      </c>
      <c r="C140" s="279" t="s">
        <v>379</v>
      </c>
      <c r="D140" s="333">
        <v>0</v>
      </c>
      <c r="E140" s="333">
        <v>391</v>
      </c>
      <c r="F140" s="333">
        <v>0</v>
      </c>
      <c r="G140" s="333">
        <v>0</v>
      </c>
      <c r="H140" s="333">
        <v>391</v>
      </c>
      <c r="I140" s="333">
        <v>0</v>
      </c>
      <c r="J140" s="333">
        <v>79</v>
      </c>
      <c r="K140" s="333">
        <v>79</v>
      </c>
      <c r="L140" s="333"/>
      <c r="M140" s="165">
        <v>210</v>
      </c>
      <c r="N140" s="345" t="s">
        <v>379</v>
      </c>
      <c r="O140" s="333">
        <v>0</v>
      </c>
      <c r="P140" s="333">
        <v>0</v>
      </c>
      <c r="Q140" s="333">
        <v>391</v>
      </c>
      <c r="R140" s="333">
        <v>391</v>
      </c>
      <c r="S140" s="333">
        <v>22858662</v>
      </c>
      <c r="T140" s="169">
        <v>3.36</v>
      </c>
      <c r="U140" s="165"/>
      <c r="V140" s="279" t="s">
        <v>379</v>
      </c>
      <c r="W140" s="333">
        <v>79</v>
      </c>
      <c r="X140" s="333">
        <v>72926.797468354431</v>
      </c>
      <c r="Y140" s="333">
        <v>5761217</v>
      </c>
      <c r="Z140" s="169"/>
      <c r="AA140" s="279" t="s">
        <v>379</v>
      </c>
      <c r="AB140" s="333">
        <v>0</v>
      </c>
      <c r="AC140" s="333">
        <v>0</v>
      </c>
      <c r="AD140" s="333">
        <v>391</v>
      </c>
      <c r="AE140" s="333">
        <v>391</v>
      </c>
      <c r="AF140" s="333">
        <v>313</v>
      </c>
      <c r="AG140" s="333">
        <v>9179776</v>
      </c>
      <c r="AH140" s="169"/>
      <c r="AI140" s="279" t="s">
        <v>379</v>
      </c>
      <c r="AJ140" s="333">
        <v>0</v>
      </c>
      <c r="AK140" s="333">
        <v>0</v>
      </c>
      <c r="AL140" s="333">
        <v>391</v>
      </c>
      <c r="AM140" s="333">
        <v>391</v>
      </c>
      <c r="AN140" s="333">
        <v>313</v>
      </c>
      <c r="AO140" s="333">
        <v>13678886</v>
      </c>
    </row>
    <row r="141" spans="1:41" s="211" customFormat="1">
      <c r="A141" s="333">
        <f>SUBTOTAL(3,$B$7:B141)</f>
        <v>135</v>
      </c>
      <c r="B141" s="169" t="s">
        <v>108</v>
      </c>
      <c r="C141" s="279" t="s">
        <v>380</v>
      </c>
      <c r="D141" s="333">
        <v>0</v>
      </c>
      <c r="E141" s="333">
        <v>143</v>
      </c>
      <c r="F141" s="333">
        <v>0</v>
      </c>
      <c r="G141" s="333">
        <v>0</v>
      </c>
      <c r="H141" s="333">
        <v>143</v>
      </c>
      <c r="I141" s="333">
        <v>0</v>
      </c>
      <c r="J141" s="333">
        <v>143</v>
      </c>
      <c r="K141" s="333">
        <v>143</v>
      </c>
      <c r="L141" s="333"/>
      <c r="M141" s="208">
        <v>211</v>
      </c>
      <c r="N141" s="345" t="s">
        <v>380</v>
      </c>
      <c r="O141" s="333">
        <v>0</v>
      </c>
      <c r="P141" s="333">
        <v>0</v>
      </c>
      <c r="Q141" s="333">
        <v>143</v>
      </c>
      <c r="R141" s="333">
        <v>143</v>
      </c>
      <c r="S141" s="333">
        <v>8038945</v>
      </c>
      <c r="T141" s="169">
        <v>3.16</v>
      </c>
      <c r="U141" s="165"/>
      <c r="V141" s="279" t="s">
        <v>380</v>
      </c>
      <c r="W141" s="333">
        <v>143</v>
      </c>
      <c r="X141" s="333">
        <v>57007.734265734267</v>
      </c>
      <c r="Y141" s="333">
        <v>8152106</v>
      </c>
      <c r="Z141" s="169"/>
      <c r="AA141" s="279" t="s">
        <v>380</v>
      </c>
      <c r="AB141" s="333">
        <v>0</v>
      </c>
      <c r="AC141" s="333">
        <v>0</v>
      </c>
      <c r="AD141" s="333">
        <v>143</v>
      </c>
      <c r="AE141" s="333">
        <v>143</v>
      </c>
      <c r="AF141" s="333">
        <v>114</v>
      </c>
      <c r="AG141" s="333">
        <v>3183441</v>
      </c>
      <c r="AH141" s="169"/>
      <c r="AI141" s="279" t="s">
        <v>380</v>
      </c>
      <c r="AJ141" s="333">
        <v>0</v>
      </c>
      <c r="AK141" s="333">
        <v>0</v>
      </c>
      <c r="AL141" s="333">
        <v>143</v>
      </c>
      <c r="AM141" s="333">
        <v>143</v>
      </c>
      <c r="AN141" s="333">
        <v>114</v>
      </c>
      <c r="AO141" s="333">
        <v>4855504</v>
      </c>
    </row>
    <row r="142" spans="1:41" s="211" customFormat="1">
      <c r="A142" s="333">
        <f>SUBTOTAL(3,$B$7:B142)</f>
        <v>136</v>
      </c>
      <c r="B142" s="169" t="s">
        <v>108</v>
      </c>
      <c r="C142" s="279" t="s">
        <v>381</v>
      </c>
      <c r="D142" s="333">
        <v>0</v>
      </c>
      <c r="E142" s="333">
        <v>3379</v>
      </c>
      <c r="F142" s="333">
        <v>0</v>
      </c>
      <c r="G142" s="333">
        <v>0</v>
      </c>
      <c r="H142" s="333">
        <v>3379</v>
      </c>
      <c r="I142" s="333">
        <v>0</v>
      </c>
      <c r="J142" s="333">
        <v>54</v>
      </c>
      <c r="K142" s="333">
        <v>54</v>
      </c>
      <c r="L142" s="333"/>
      <c r="M142" s="165">
        <v>212</v>
      </c>
      <c r="N142" s="345" t="s">
        <v>381</v>
      </c>
      <c r="O142" s="333">
        <v>0</v>
      </c>
      <c r="P142" s="333">
        <v>0</v>
      </c>
      <c r="Q142" s="333">
        <v>3379</v>
      </c>
      <c r="R142" s="333">
        <v>3379</v>
      </c>
      <c r="S142" s="333">
        <v>123705201</v>
      </c>
      <c r="T142" s="169">
        <v>2.06</v>
      </c>
      <c r="U142" s="165"/>
      <c r="V142" s="279" t="s">
        <v>381</v>
      </c>
      <c r="W142" s="333">
        <v>54</v>
      </c>
      <c r="X142" s="333">
        <v>45669.129629629628</v>
      </c>
      <c r="Y142" s="333">
        <v>2466133</v>
      </c>
      <c r="Z142" s="169"/>
      <c r="AA142" s="279" t="s">
        <v>381</v>
      </c>
      <c r="AB142" s="333">
        <v>0</v>
      </c>
      <c r="AC142" s="333">
        <v>0</v>
      </c>
      <c r="AD142" s="333">
        <v>3379</v>
      </c>
      <c r="AE142" s="333">
        <v>3379</v>
      </c>
      <c r="AF142" s="333">
        <v>2703</v>
      </c>
      <c r="AG142" s="333">
        <v>48931129</v>
      </c>
      <c r="AH142" s="169"/>
      <c r="AI142" s="279" t="s">
        <v>381</v>
      </c>
      <c r="AJ142" s="333">
        <v>0</v>
      </c>
      <c r="AK142" s="333">
        <v>0</v>
      </c>
      <c r="AL142" s="333">
        <v>3379</v>
      </c>
      <c r="AM142" s="333">
        <v>3379</v>
      </c>
      <c r="AN142" s="333">
        <v>2703</v>
      </c>
      <c r="AO142" s="333">
        <v>74774072</v>
      </c>
    </row>
    <row r="143" spans="1:41">
      <c r="A143" s="333">
        <f>SUBTOTAL(3,$B$7:B143)</f>
        <v>137</v>
      </c>
      <c r="B143" s="3" t="s">
        <v>161</v>
      </c>
      <c r="C143" s="275" t="s">
        <v>382</v>
      </c>
      <c r="D143" s="329">
        <v>0</v>
      </c>
      <c r="E143" s="329">
        <v>344</v>
      </c>
      <c r="F143" s="329">
        <v>0</v>
      </c>
      <c r="G143" s="329">
        <v>0</v>
      </c>
      <c r="H143" s="329">
        <v>344</v>
      </c>
      <c r="I143" s="329">
        <v>0</v>
      </c>
      <c r="J143" s="329">
        <v>0</v>
      </c>
      <c r="K143" s="333">
        <v>0</v>
      </c>
      <c r="L143" s="333"/>
      <c r="M143" s="165">
        <v>213</v>
      </c>
      <c r="N143" s="345" t="s">
        <v>382</v>
      </c>
      <c r="O143" s="329">
        <v>0</v>
      </c>
      <c r="P143" s="329">
        <v>0</v>
      </c>
      <c r="Q143" s="329">
        <v>344</v>
      </c>
      <c r="R143" s="333">
        <v>344</v>
      </c>
      <c r="S143" s="333">
        <v>11341766</v>
      </c>
      <c r="T143" s="3">
        <v>1.85</v>
      </c>
      <c r="U143" s="208"/>
      <c r="V143" s="279" t="s">
        <v>382</v>
      </c>
      <c r="W143" s="329">
        <v>0</v>
      </c>
      <c r="X143" s="329">
        <v>0</v>
      </c>
      <c r="Y143" s="329">
        <v>0</v>
      </c>
      <c r="Z143" s="3"/>
      <c r="AA143" s="279" t="s">
        <v>382</v>
      </c>
      <c r="AB143" s="329">
        <v>0</v>
      </c>
      <c r="AC143" s="329">
        <v>0</v>
      </c>
      <c r="AD143" s="329">
        <v>344</v>
      </c>
      <c r="AE143" s="329">
        <v>344</v>
      </c>
      <c r="AF143" s="329">
        <v>275</v>
      </c>
      <c r="AG143" s="329">
        <v>4479428</v>
      </c>
      <c r="AH143" s="3"/>
      <c r="AI143" s="279" t="s">
        <v>382</v>
      </c>
      <c r="AJ143" s="329">
        <v>0</v>
      </c>
      <c r="AK143" s="329">
        <v>0</v>
      </c>
      <c r="AL143" s="329">
        <v>344</v>
      </c>
      <c r="AM143" s="329">
        <v>344</v>
      </c>
      <c r="AN143" s="329">
        <v>275</v>
      </c>
      <c r="AO143" s="329">
        <v>6862338</v>
      </c>
    </row>
    <row r="144" spans="1:41" s="211" customFormat="1">
      <c r="A144" s="333">
        <f>SUBTOTAL(3,$B$7:B144)</f>
        <v>138</v>
      </c>
      <c r="B144" s="169" t="s">
        <v>161</v>
      </c>
      <c r="C144" s="279" t="s">
        <v>383</v>
      </c>
      <c r="D144" s="333">
        <v>0</v>
      </c>
      <c r="E144" s="333">
        <v>66</v>
      </c>
      <c r="F144" s="333">
        <v>0</v>
      </c>
      <c r="G144" s="333">
        <v>0</v>
      </c>
      <c r="H144" s="333">
        <v>66</v>
      </c>
      <c r="I144" s="333">
        <v>0</v>
      </c>
      <c r="J144" s="333">
        <v>0</v>
      </c>
      <c r="K144" s="333">
        <v>0</v>
      </c>
      <c r="L144" s="333"/>
      <c r="M144" s="208">
        <v>214</v>
      </c>
      <c r="N144" s="345" t="s">
        <v>383</v>
      </c>
      <c r="O144" s="333">
        <v>0</v>
      </c>
      <c r="P144" s="333">
        <v>0</v>
      </c>
      <c r="Q144" s="333">
        <v>66</v>
      </c>
      <c r="R144" s="333">
        <v>66</v>
      </c>
      <c r="S144" s="333">
        <v>1298061</v>
      </c>
      <c r="T144" s="169">
        <v>1.1000000000000001</v>
      </c>
      <c r="U144" s="165"/>
      <c r="V144" s="279" t="s">
        <v>383</v>
      </c>
      <c r="W144" s="333">
        <v>0</v>
      </c>
      <c r="X144" s="333">
        <v>0</v>
      </c>
      <c r="Y144" s="333">
        <v>0</v>
      </c>
      <c r="Z144" s="169"/>
      <c r="AA144" s="279" t="s">
        <v>383</v>
      </c>
      <c r="AB144" s="333">
        <v>0</v>
      </c>
      <c r="AC144" s="333">
        <v>0</v>
      </c>
      <c r="AD144" s="333">
        <v>66</v>
      </c>
      <c r="AE144" s="333">
        <v>66</v>
      </c>
      <c r="AF144" s="333">
        <v>53</v>
      </c>
      <c r="AG144" s="333">
        <v>512669</v>
      </c>
      <c r="AH144" s="169"/>
      <c r="AI144" s="279" t="s">
        <v>383</v>
      </c>
      <c r="AJ144" s="333">
        <v>0</v>
      </c>
      <c r="AK144" s="333">
        <v>0</v>
      </c>
      <c r="AL144" s="333">
        <v>66</v>
      </c>
      <c r="AM144" s="333">
        <v>66</v>
      </c>
      <c r="AN144" s="333">
        <v>53</v>
      </c>
      <c r="AO144" s="333">
        <v>785392</v>
      </c>
    </row>
    <row r="145" spans="1:41" s="211" customFormat="1">
      <c r="A145" s="333">
        <f>SUBTOTAL(3,$B$7:B145)</f>
        <v>139</v>
      </c>
      <c r="B145" s="169" t="s">
        <v>161</v>
      </c>
      <c r="C145" s="279" t="s">
        <v>384</v>
      </c>
      <c r="D145" s="333">
        <v>0</v>
      </c>
      <c r="E145" s="333">
        <v>223</v>
      </c>
      <c r="F145" s="333">
        <v>0</v>
      </c>
      <c r="G145" s="333">
        <v>0</v>
      </c>
      <c r="H145" s="333">
        <v>223</v>
      </c>
      <c r="I145" s="333">
        <v>0</v>
      </c>
      <c r="J145" s="333">
        <v>111</v>
      </c>
      <c r="K145" s="333">
        <v>111</v>
      </c>
      <c r="L145" s="333"/>
      <c r="M145" s="165">
        <v>215</v>
      </c>
      <c r="N145" s="345" t="s">
        <v>384</v>
      </c>
      <c r="O145" s="333">
        <v>0</v>
      </c>
      <c r="P145" s="333">
        <v>0</v>
      </c>
      <c r="Q145" s="333">
        <v>223</v>
      </c>
      <c r="R145" s="333">
        <v>223</v>
      </c>
      <c r="S145" s="333">
        <v>7944218</v>
      </c>
      <c r="T145" s="169">
        <v>2</v>
      </c>
      <c r="U145" s="165"/>
      <c r="V145" s="279" t="s">
        <v>384</v>
      </c>
      <c r="W145" s="333">
        <v>111</v>
      </c>
      <c r="X145" s="333">
        <v>44476.774774774778</v>
      </c>
      <c r="Y145" s="333">
        <v>4936922</v>
      </c>
      <c r="Z145" s="169"/>
      <c r="AA145" s="279" t="s">
        <v>384</v>
      </c>
      <c r="AB145" s="333">
        <v>0</v>
      </c>
      <c r="AC145" s="333">
        <v>0</v>
      </c>
      <c r="AD145" s="333">
        <v>223</v>
      </c>
      <c r="AE145" s="333">
        <v>223</v>
      </c>
      <c r="AF145" s="333">
        <v>178</v>
      </c>
      <c r="AG145" s="333">
        <v>3137567</v>
      </c>
      <c r="AH145" s="169"/>
      <c r="AI145" s="279" t="s">
        <v>384</v>
      </c>
      <c r="AJ145" s="333">
        <v>0</v>
      </c>
      <c r="AK145" s="333">
        <v>0</v>
      </c>
      <c r="AL145" s="333">
        <v>223</v>
      </c>
      <c r="AM145" s="333">
        <v>223</v>
      </c>
      <c r="AN145" s="333">
        <v>178</v>
      </c>
      <c r="AO145" s="333">
        <v>4806651</v>
      </c>
    </row>
    <row r="146" spans="1:41" s="211" customFormat="1">
      <c r="A146" s="333">
        <f>SUBTOTAL(3,$B$7:B146)</f>
        <v>140</v>
      </c>
      <c r="B146" s="169" t="s">
        <v>161</v>
      </c>
      <c r="C146" s="279" t="s">
        <v>385</v>
      </c>
      <c r="D146" s="333">
        <v>0</v>
      </c>
      <c r="E146" s="333">
        <v>92</v>
      </c>
      <c r="F146" s="333">
        <v>0</v>
      </c>
      <c r="G146" s="333">
        <v>0</v>
      </c>
      <c r="H146" s="333">
        <v>92</v>
      </c>
      <c r="I146" s="333">
        <v>0</v>
      </c>
      <c r="J146" s="333">
        <v>98</v>
      </c>
      <c r="K146" s="333">
        <v>98</v>
      </c>
      <c r="L146" s="333"/>
      <c r="M146" s="165">
        <v>216</v>
      </c>
      <c r="N146" s="345" t="s">
        <v>385</v>
      </c>
      <c r="O146" s="333">
        <v>0</v>
      </c>
      <c r="P146" s="333">
        <v>0</v>
      </c>
      <c r="Q146" s="333">
        <v>92</v>
      </c>
      <c r="R146" s="333">
        <v>92</v>
      </c>
      <c r="S146" s="333">
        <v>2718579</v>
      </c>
      <c r="T146" s="169">
        <v>1.65</v>
      </c>
      <c r="U146" s="165"/>
      <c r="V146" s="279" t="s">
        <v>385</v>
      </c>
      <c r="W146" s="333">
        <v>98</v>
      </c>
      <c r="X146" s="333">
        <v>36737.561224489793</v>
      </c>
      <c r="Y146" s="333">
        <v>3600281</v>
      </c>
      <c r="Z146" s="169"/>
      <c r="AA146" s="279" t="s">
        <v>385</v>
      </c>
      <c r="AB146" s="333">
        <v>0</v>
      </c>
      <c r="AC146" s="333">
        <v>0</v>
      </c>
      <c r="AD146" s="333">
        <v>92</v>
      </c>
      <c r="AE146" s="333">
        <v>92</v>
      </c>
      <c r="AF146" s="333">
        <v>74</v>
      </c>
      <c r="AG146" s="333">
        <v>1073702</v>
      </c>
      <c r="AH146" s="169"/>
      <c r="AI146" s="279" t="s">
        <v>385</v>
      </c>
      <c r="AJ146" s="333">
        <v>0</v>
      </c>
      <c r="AK146" s="333">
        <v>0</v>
      </c>
      <c r="AL146" s="333">
        <v>92</v>
      </c>
      <c r="AM146" s="333">
        <v>92</v>
      </c>
      <c r="AN146" s="333">
        <v>74</v>
      </c>
      <c r="AO146" s="333">
        <v>1644877</v>
      </c>
    </row>
    <row r="147" spans="1:41" s="211" customFormat="1">
      <c r="A147" s="333">
        <f>SUBTOTAL(3,$B$7:B147)</f>
        <v>141</v>
      </c>
      <c r="B147" s="169" t="s">
        <v>161</v>
      </c>
      <c r="C147" s="279" t="s">
        <v>386</v>
      </c>
      <c r="D147" s="333">
        <v>0</v>
      </c>
      <c r="E147" s="333">
        <v>70</v>
      </c>
      <c r="F147" s="333">
        <v>0</v>
      </c>
      <c r="G147" s="333">
        <v>0</v>
      </c>
      <c r="H147" s="333">
        <v>70</v>
      </c>
      <c r="I147" s="333">
        <v>0</v>
      </c>
      <c r="J147" s="333">
        <v>0</v>
      </c>
      <c r="K147" s="333">
        <v>0</v>
      </c>
      <c r="L147" s="333"/>
      <c r="M147" s="208">
        <v>217</v>
      </c>
      <c r="N147" s="345" t="s">
        <v>386</v>
      </c>
      <c r="O147" s="333">
        <v>0</v>
      </c>
      <c r="P147" s="333">
        <v>0</v>
      </c>
      <c r="Q147" s="333">
        <v>70</v>
      </c>
      <c r="R147" s="333">
        <v>70</v>
      </c>
      <c r="S147" s="333">
        <v>2003867</v>
      </c>
      <c r="T147" s="169">
        <v>1.8</v>
      </c>
      <c r="U147" s="165"/>
      <c r="V147" s="279" t="s">
        <v>386</v>
      </c>
      <c r="W147" s="333">
        <v>0</v>
      </c>
      <c r="X147" s="333">
        <v>0</v>
      </c>
      <c r="Y147" s="333">
        <v>0</v>
      </c>
      <c r="Z147" s="169"/>
      <c r="AA147" s="279" t="s">
        <v>386</v>
      </c>
      <c r="AB147" s="333">
        <v>0</v>
      </c>
      <c r="AC147" s="333">
        <v>0</v>
      </c>
      <c r="AD147" s="333">
        <v>70</v>
      </c>
      <c r="AE147" s="333">
        <v>70</v>
      </c>
      <c r="AF147" s="333">
        <v>56</v>
      </c>
      <c r="AG147" s="333">
        <v>791427</v>
      </c>
      <c r="AH147" s="169"/>
      <c r="AI147" s="279" t="s">
        <v>386</v>
      </c>
      <c r="AJ147" s="333">
        <v>0</v>
      </c>
      <c r="AK147" s="333">
        <v>0</v>
      </c>
      <c r="AL147" s="333">
        <v>70</v>
      </c>
      <c r="AM147" s="333">
        <v>70</v>
      </c>
      <c r="AN147" s="333">
        <v>56</v>
      </c>
      <c r="AO147" s="333">
        <v>1212440</v>
      </c>
    </row>
    <row r="148" spans="1:41" s="211" customFormat="1">
      <c r="A148" s="333">
        <f>SUBTOTAL(3,$B$7:B148)</f>
        <v>142</v>
      </c>
      <c r="B148" s="169" t="s">
        <v>161</v>
      </c>
      <c r="C148" s="279" t="s">
        <v>387</v>
      </c>
      <c r="D148" s="333">
        <v>160</v>
      </c>
      <c r="E148" s="333">
        <v>371</v>
      </c>
      <c r="F148" s="333">
        <v>0</v>
      </c>
      <c r="G148" s="333">
        <v>0</v>
      </c>
      <c r="H148" s="333">
        <v>371</v>
      </c>
      <c r="I148" s="333">
        <v>0</v>
      </c>
      <c r="J148" s="333">
        <v>50</v>
      </c>
      <c r="K148" s="333">
        <v>50</v>
      </c>
      <c r="L148" s="333"/>
      <c r="M148" s="165">
        <v>218</v>
      </c>
      <c r="N148" s="345" t="s">
        <v>387</v>
      </c>
      <c r="O148" s="333">
        <v>0</v>
      </c>
      <c r="P148" s="333">
        <v>0</v>
      </c>
      <c r="Q148" s="333">
        <v>371</v>
      </c>
      <c r="R148" s="333">
        <v>371</v>
      </c>
      <c r="S148" s="333">
        <v>4560651</v>
      </c>
      <c r="T148" s="169">
        <v>1.25</v>
      </c>
      <c r="U148" s="165"/>
      <c r="V148" s="279" t="s">
        <v>387</v>
      </c>
      <c r="W148" s="333">
        <v>50</v>
      </c>
      <c r="X148" s="333">
        <v>17390.54</v>
      </c>
      <c r="Y148" s="333">
        <v>869527</v>
      </c>
      <c r="Z148" s="169"/>
      <c r="AA148" s="279" t="s">
        <v>387</v>
      </c>
      <c r="AB148" s="333">
        <v>0</v>
      </c>
      <c r="AC148" s="333">
        <v>0</v>
      </c>
      <c r="AD148" s="333">
        <v>371</v>
      </c>
      <c r="AE148" s="333">
        <v>371</v>
      </c>
      <c r="AF148" s="333">
        <v>297</v>
      </c>
      <c r="AG148" s="333">
        <v>1855325</v>
      </c>
      <c r="AH148" s="169"/>
      <c r="AI148" s="279" t="s">
        <v>387</v>
      </c>
      <c r="AJ148" s="333">
        <v>0</v>
      </c>
      <c r="AK148" s="333">
        <v>0</v>
      </c>
      <c r="AL148" s="333">
        <v>371</v>
      </c>
      <c r="AM148" s="333">
        <v>371</v>
      </c>
      <c r="AN148" s="333">
        <v>297</v>
      </c>
      <c r="AO148" s="333">
        <v>2705326</v>
      </c>
    </row>
    <row r="149" spans="1:41" s="211" customFormat="1">
      <c r="A149" s="333">
        <f>SUBTOTAL(3,$B$7:B149)</f>
        <v>143</v>
      </c>
      <c r="B149" s="169" t="s">
        <v>105</v>
      </c>
      <c r="C149" s="279" t="s">
        <v>229</v>
      </c>
      <c r="D149" s="333">
        <v>0</v>
      </c>
      <c r="E149" s="333">
        <v>754</v>
      </c>
      <c r="F149" s="333">
        <v>0</v>
      </c>
      <c r="G149" s="333">
        <v>0</v>
      </c>
      <c r="H149" s="333">
        <v>754</v>
      </c>
      <c r="I149" s="333">
        <v>0</v>
      </c>
      <c r="J149" s="333">
        <v>133</v>
      </c>
      <c r="K149" s="333">
        <v>133</v>
      </c>
      <c r="L149" s="333"/>
      <c r="M149" s="165">
        <v>219</v>
      </c>
      <c r="N149" s="279" t="s">
        <v>229</v>
      </c>
      <c r="O149" s="333">
        <v>0</v>
      </c>
      <c r="P149" s="333">
        <v>0</v>
      </c>
      <c r="Q149" s="333">
        <v>754</v>
      </c>
      <c r="R149" s="333">
        <v>754</v>
      </c>
      <c r="S149" s="333">
        <v>6796818</v>
      </c>
      <c r="T149" s="169">
        <v>1.6</v>
      </c>
      <c r="U149" s="165"/>
      <c r="V149" s="279" t="s">
        <v>229</v>
      </c>
      <c r="W149" s="333">
        <v>133</v>
      </c>
      <c r="X149" s="333">
        <v>36001.172932330825</v>
      </c>
      <c r="Y149" s="333">
        <v>4788156</v>
      </c>
      <c r="Z149" s="169"/>
      <c r="AA149" s="279" t="s">
        <v>229</v>
      </c>
      <c r="AB149" s="333">
        <v>0</v>
      </c>
      <c r="AC149" s="333">
        <v>0</v>
      </c>
      <c r="AD149" s="333">
        <v>754</v>
      </c>
      <c r="AE149" s="333">
        <v>754</v>
      </c>
      <c r="AF149" s="333">
        <v>603</v>
      </c>
      <c r="AG149" s="333">
        <v>2803413</v>
      </c>
      <c r="AH149" s="169"/>
      <c r="AI149" s="279" t="s">
        <v>229</v>
      </c>
      <c r="AJ149" s="333">
        <v>0</v>
      </c>
      <c r="AK149" s="333">
        <v>0</v>
      </c>
      <c r="AL149" s="333">
        <v>754</v>
      </c>
      <c r="AM149" s="333">
        <v>754</v>
      </c>
      <c r="AN149" s="333">
        <v>603</v>
      </c>
      <c r="AO149" s="333">
        <v>3993405</v>
      </c>
    </row>
    <row r="150" spans="1:41" s="211" customFormat="1">
      <c r="A150" s="333">
        <f>SUBTOTAL(3,$B$7:B150)</f>
        <v>144</v>
      </c>
      <c r="B150" s="169" t="s">
        <v>105</v>
      </c>
      <c r="C150" s="279" t="s">
        <v>388</v>
      </c>
      <c r="D150" s="333">
        <v>0</v>
      </c>
      <c r="E150" s="333">
        <v>1085</v>
      </c>
      <c r="F150" s="333">
        <v>0</v>
      </c>
      <c r="G150" s="333">
        <v>0</v>
      </c>
      <c r="H150" s="333">
        <v>1085</v>
      </c>
      <c r="I150" s="333">
        <v>0</v>
      </c>
      <c r="J150" s="333">
        <v>78</v>
      </c>
      <c r="K150" s="333">
        <v>78</v>
      </c>
      <c r="L150" s="333"/>
      <c r="M150" s="208">
        <v>220</v>
      </c>
      <c r="N150" s="345" t="s">
        <v>388</v>
      </c>
      <c r="O150" s="333">
        <v>0</v>
      </c>
      <c r="P150" s="333">
        <v>0</v>
      </c>
      <c r="Q150" s="333">
        <v>1085</v>
      </c>
      <c r="R150" s="333">
        <v>1085</v>
      </c>
      <c r="S150" s="333">
        <v>17352791</v>
      </c>
      <c r="T150" s="169">
        <v>1.45</v>
      </c>
      <c r="U150" s="165"/>
      <c r="V150" s="279" t="s">
        <v>388</v>
      </c>
      <c r="W150" s="333">
        <v>78</v>
      </c>
      <c r="X150" s="333">
        <v>31429.615384615383</v>
      </c>
      <c r="Y150" s="333">
        <v>2451510</v>
      </c>
      <c r="Z150" s="169"/>
      <c r="AA150" s="279" t="s">
        <v>388</v>
      </c>
      <c r="AB150" s="333">
        <v>0</v>
      </c>
      <c r="AC150" s="333">
        <v>0</v>
      </c>
      <c r="AD150" s="333">
        <v>1085</v>
      </c>
      <c r="AE150" s="333">
        <v>1085</v>
      </c>
      <c r="AF150" s="333">
        <v>868</v>
      </c>
      <c r="AG150" s="333">
        <v>12304282</v>
      </c>
      <c r="AH150" s="169"/>
      <c r="AI150" s="279" t="s">
        <v>388</v>
      </c>
      <c r="AJ150" s="333">
        <v>0</v>
      </c>
      <c r="AK150" s="333">
        <v>0</v>
      </c>
      <c r="AL150" s="333">
        <v>1085</v>
      </c>
      <c r="AM150" s="333">
        <v>1085</v>
      </c>
      <c r="AN150" s="333">
        <v>868</v>
      </c>
      <c r="AO150" s="333">
        <v>5048509</v>
      </c>
    </row>
    <row r="151" spans="1:41" s="211" customFormat="1">
      <c r="A151" s="333">
        <f>SUBTOTAL(3,$B$7:B151)</f>
        <v>145</v>
      </c>
      <c r="B151" s="169" t="s">
        <v>105</v>
      </c>
      <c r="C151" s="279" t="s">
        <v>389</v>
      </c>
      <c r="D151" s="333">
        <v>0</v>
      </c>
      <c r="E151" s="333">
        <v>562</v>
      </c>
      <c r="F151" s="333">
        <v>0</v>
      </c>
      <c r="G151" s="333">
        <v>0</v>
      </c>
      <c r="H151" s="333">
        <v>562</v>
      </c>
      <c r="I151" s="333">
        <v>0</v>
      </c>
      <c r="J151" s="333">
        <v>291</v>
      </c>
      <c r="K151" s="333">
        <v>291</v>
      </c>
      <c r="L151" s="333"/>
      <c r="M151" s="165">
        <v>221</v>
      </c>
      <c r="N151" s="345" t="s">
        <v>389</v>
      </c>
      <c r="O151" s="333">
        <v>0</v>
      </c>
      <c r="P151" s="333">
        <v>0</v>
      </c>
      <c r="Q151" s="333">
        <v>562</v>
      </c>
      <c r="R151" s="333">
        <v>562</v>
      </c>
      <c r="S151" s="333">
        <v>4999687</v>
      </c>
      <c r="T151" s="169">
        <v>1.5</v>
      </c>
      <c r="U151" s="165"/>
      <c r="V151" s="279" t="s">
        <v>389</v>
      </c>
      <c r="W151" s="333">
        <v>291</v>
      </c>
      <c r="X151" s="333">
        <v>35209.061855670101</v>
      </c>
      <c r="Y151" s="333">
        <v>10245837</v>
      </c>
      <c r="Z151" s="169"/>
      <c r="AA151" s="279" t="s">
        <v>389</v>
      </c>
      <c r="AB151" s="333">
        <v>0</v>
      </c>
      <c r="AC151" s="333">
        <v>0</v>
      </c>
      <c r="AD151" s="333">
        <v>562</v>
      </c>
      <c r="AE151" s="333">
        <v>562</v>
      </c>
      <c r="AF151" s="333">
        <v>450</v>
      </c>
      <c r="AG151" s="333">
        <v>2101140</v>
      </c>
      <c r="AH151" s="169"/>
      <c r="AI151" s="279" t="s">
        <v>389</v>
      </c>
      <c r="AJ151" s="333">
        <v>0</v>
      </c>
      <c r="AK151" s="333">
        <v>0</v>
      </c>
      <c r="AL151" s="333">
        <v>562</v>
      </c>
      <c r="AM151" s="333">
        <v>562</v>
      </c>
      <c r="AN151" s="333">
        <v>450</v>
      </c>
      <c r="AO151" s="333">
        <v>2898547</v>
      </c>
    </row>
    <row r="152" spans="1:41" s="211" customFormat="1">
      <c r="A152" s="333">
        <f>SUBTOTAL(3,$B$7:B152)</f>
        <v>146</v>
      </c>
      <c r="B152" s="169" t="s">
        <v>105</v>
      </c>
      <c r="C152" s="279" t="s">
        <v>390</v>
      </c>
      <c r="D152" s="333">
        <v>0</v>
      </c>
      <c r="E152" s="333">
        <v>563</v>
      </c>
      <c r="F152" s="333">
        <v>0</v>
      </c>
      <c r="G152" s="333">
        <v>0</v>
      </c>
      <c r="H152" s="333">
        <v>563</v>
      </c>
      <c r="I152" s="333">
        <v>0</v>
      </c>
      <c r="J152" s="333">
        <v>21</v>
      </c>
      <c r="K152" s="333">
        <v>21</v>
      </c>
      <c r="L152" s="333"/>
      <c r="M152" s="165">
        <v>222</v>
      </c>
      <c r="N152" s="345" t="s">
        <v>390</v>
      </c>
      <c r="O152" s="333">
        <v>0</v>
      </c>
      <c r="P152" s="333">
        <v>0</v>
      </c>
      <c r="Q152" s="333">
        <v>563</v>
      </c>
      <c r="R152" s="333">
        <v>563</v>
      </c>
      <c r="S152" s="333">
        <v>5229983</v>
      </c>
      <c r="T152" s="169">
        <v>1.45</v>
      </c>
      <c r="U152" s="165"/>
      <c r="V152" s="279" t="s">
        <v>390</v>
      </c>
      <c r="W152" s="333">
        <v>21</v>
      </c>
      <c r="X152" s="333">
        <v>33312</v>
      </c>
      <c r="Y152" s="333">
        <v>699552</v>
      </c>
      <c r="Z152" s="169"/>
      <c r="AA152" s="279" t="s">
        <v>390</v>
      </c>
      <c r="AB152" s="333">
        <v>0</v>
      </c>
      <c r="AC152" s="333">
        <v>0</v>
      </c>
      <c r="AD152" s="333">
        <v>563</v>
      </c>
      <c r="AE152" s="333">
        <v>563</v>
      </c>
      <c r="AF152" s="333">
        <v>450</v>
      </c>
      <c r="AG152" s="333">
        <v>2144929</v>
      </c>
      <c r="AH152" s="169"/>
      <c r="AI152" s="279" t="s">
        <v>390</v>
      </c>
      <c r="AJ152" s="333">
        <v>0</v>
      </c>
      <c r="AK152" s="333">
        <v>0</v>
      </c>
      <c r="AL152" s="333">
        <v>563</v>
      </c>
      <c r="AM152" s="333">
        <v>563</v>
      </c>
      <c r="AN152" s="333">
        <v>450</v>
      </c>
      <c r="AO152" s="333">
        <v>3085054</v>
      </c>
    </row>
    <row r="153" spans="1:41" s="211" customFormat="1">
      <c r="A153" s="333">
        <f>SUBTOTAL(3,$B$7:B153)</f>
        <v>147</v>
      </c>
      <c r="B153" s="169" t="s">
        <v>105</v>
      </c>
      <c r="C153" s="279" t="s">
        <v>391</v>
      </c>
      <c r="D153" s="333">
        <v>0</v>
      </c>
      <c r="E153" s="333">
        <v>323</v>
      </c>
      <c r="F153" s="333">
        <v>0</v>
      </c>
      <c r="G153" s="333">
        <v>0</v>
      </c>
      <c r="H153" s="333">
        <v>323</v>
      </c>
      <c r="I153" s="333">
        <v>0</v>
      </c>
      <c r="J153" s="333">
        <v>0</v>
      </c>
      <c r="K153" s="333">
        <v>0</v>
      </c>
      <c r="L153" s="333"/>
      <c r="M153" s="208">
        <v>223</v>
      </c>
      <c r="N153" s="345" t="s">
        <v>391</v>
      </c>
      <c r="O153" s="333">
        <v>0</v>
      </c>
      <c r="P153" s="333">
        <v>0</v>
      </c>
      <c r="Q153" s="333">
        <v>323</v>
      </c>
      <c r="R153" s="333">
        <v>323</v>
      </c>
      <c r="S153" s="333">
        <v>3265157</v>
      </c>
      <c r="T153" s="169">
        <v>1.45</v>
      </c>
      <c r="U153" s="165"/>
      <c r="V153" s="279" t="s">
        <v>391</v>
      </c>
      <c r="W153" s="333">
        <v>0</v>
      </c>
      <c r="X153" s="333">
        <v>0</v>
      </c>
      <c r="Y153" s="333">
        <v>0</v>
      </c>
      <c r="Z153" s="169"/>
      <c r="AA153" s="279" t="s">
        <v>391</v>
      </c>
      <c r="AB153" s="333">
        <v>0</v>
      </c>
      <c r="AC153" s="333">
        <v>0</v>
      </c>
      <c r="AD153" s="333">
        <v>323</v>
      </c>
      <c r="AE153" s="333">
        <v>323</v>
      </c>
      <c r="AF153" s="333">
        <v>258</v>
      </c>
      <c r="AG153" s="333">
        <v>1289573</v>
      </c>
      <c r="AH153" s="169"/>
      <c r="AI153" s="279" t="s">
        <v>391</v>
      </c>
      <c r="AJ153" s="333">
        <v>0</v>
      </c>
      <c r="AK153" s="333">
        <v>0</v>
      </c>
      <c r="AL153" s="333">
        <v>323</v>
      </c>
      <c r="AM153" s="333">
        <v>323</v>
      </c>
      <c r="AN153" s="333">
        <v>258</v>
      </c>
      <c r="AO153" s="333">
        <v>1975584</v>
      </c>
    </row>
    <row r="154" spans="1:41" s="211" customFormat="1">
      <c r="A154" s="333">
        <f>SUBTOTAL(3,$B$7:B154)</f>
        <v>148</v>
      </c>
      <c r="B154" s="169" t="s">
        <v>105</v>
      </c>
      <c r="C154" s="279" t="s">
        <v>230</v>
      </c>
      <c r="D154" s="333">
        <v>0</v>
      </c>
      <c r="E154" s="333">
        <v>1964</v>
      </c>
      <c r="F154" s="333">
        <v>0</v>
      </c>
      <c r="G154" s="333">
        <v>0</v>
      </c>
      <c r="H154" s="333">
        <v>1964</v>
      </c>
      <c r="I154" s="333">
        <v>0</v>
      </c>
      <c r="J154" s="333">
        <v>0</v>
      </c>
      <c r="K154" s="333">
        <v>0</v>
      </c>
      <c r="L154" s="333"/>
      <c r="M154" s="165">
        <v>224</v>
      </c>
      <c r="N154" s="279" t="s">
        <v>230</v>
      </c>
      <c r="O154" s="333">
        <v>0</v>
      </c>
      <c r="P154" s="333">
        <v>0</v>
      </c>
      <c r="Q154" s="333">
        <v>1964</v>
      </c>
      <c r="R154" s="333">
        <v>1964</v>
      </c>
      <c r="S154" s="333">
        <v>45126959</v>
      </c>
      <c r="T154" s="169">
        <v>1.5</v>
      </c>
      <c r="U154" s="165"/>
      <c r="V154" s="279" t="s">
        <v>230</v>
      </c>
      <c r="W154" s="333">
        <v>0</v>
      </c>
      <c r="X154" s="333">
        <v>0</v>
      </c>
      <c r="Y154" s="333">
        <v>0</v>
      </c>
      <c r="Z154" s="169"/>
      <c r="AA154" s="279" t="s">
        <v>230</v>
      </c>
      <c r="AB154" s="333">
        <v>0</v>
      </c>
      <c r="AC154" s="333">
        <v>0</v>
      </c>
      <c r="AD154" s="333">
        <v>1964</v>
      </c>
      <c r="AE154" s="333">
        <v>1964</v>
      </c>
      <c r="AF154" s="333">
        <v>1571</v>
      </c>
      <c r="AG154" s="333">
        <v>17822882</v>
      </c>
      <c r="AH154" s="169"/>
      <c r="AI154" s="279" t="s">
        <v>230</v>
      </c>
      <c r="AJ154" s="333">
        <v>0</v>
      </c>
      <c r="AK154" s="333">
        <v>0</v>
      </c>
      <c r="AL154" s="333">
        <v>1964</v>
      </c>
      <c r="AM154" s="333">
        <v>1964</v>
      </c>
      <c r="AN154" s="333">
        <v>1571</v>
      </c>
      <c r="AO154" s="333">
        <v>27304077</v>
      </c>
    </row>
    <row r="155" spans="1:41" s="211" customFormat="1">
      <c r="A155" s="333">
        <f>SUBTOTAL(3,$B$7:B155)</f>
        <v>149</v>
      </c>
      <c r="B155" s="169" t="s">
        <v>105</v>
      </c>
      <c r="C155" s="279" t="s">
        <v>392</v>
      </c>
      <c r="D155" s="333">
        <v>0</v>
      </c>
      <c r="E155" s="333">
        <v>463</v>
      </c>
      <c r="F155" s="333">
        <v>0</v>
      </c>
      <c r="G155" s="333">
        <v>0</v>
      </c>
      <c r="H155" s="333">
        <v>463</v>
      </c>
      <c r="I155" s="333">
        <v>0</v>
      </c>
      <c r="J155" s="333">
        <v>1031</v>
      </c>
      <c r="K155" s="333">
        <v>1031</v>
      </c>
      <c r="L155" s="333"/>
      <c r="M155" s="165">
        <v>225</v>
      </c>
      <c r="N155" s="345" t="s">
        <v>392</v>
      </c>
      <c r="O155" s="333">
        <v>0</v>
      </c>
      <c r="P155" s="333">
        <v>0</v>
      </c>
      <c r="Q155" s="333">
        <v>463</v>
      </c>
      <c r="R155" s="333">
        <v>463</v>
      </c>
      <c r="S155" s="333">
        <v>11951878</v>
      </c>
      <c r="T155" s="169">
        <v>1.45</v>
      </c>
      <c r="U155" s="165"/>
      <c r="V155" s="279" t="s">
        <v>392</v>
      </c>
      <c r="W155" s="333">
        <v>1031</v>
      </c>
      <c r="X155" s="333">
        <v>32265.857419980603</v>
      </c>
      <c r="Y155" s="333">
        <v>33266099</v>
      </c>
      <c r="Z155" s="169"/>
      <c r="AA155" s="279" t="s">
        <v>392</v>
      </c>
      <c r="AB155" s="333">
        <v>0</v>
      </c>
      <c r="AC155" s="333">
        <v>0</v>
      </c>
      <c r="AD155" s="333">
        <v>463</v>
      </c>
      <c r="AE155" s="333">
        <v>463</v>
      </c>
      <c r="AF155" s="333">
        <v>370</v>
      </c>
      <c r="AG155" s="333">
        <v>4720391</v>
      </c>
      <c r="AH155" s="169"/>
      <c r="AI155" s="279" t="s">
        <v>392</v>
      </c>
      <c r="AJ155" s="333">
        <v>0</v>
      </c>
      <c r="AK155" s="333">
        <v>0</v>
      </c>
      <c r="AL155" s="333">
        <v>463</v>
      </c>
      <c r="AM155" s="333">
        <v>463</v>
      </c>
      <c r="AN155" s="333">
        <v>370</v>
      </c>
      <c r="AO155" s="333">
        <v>7231487</v>
      </c>
    </row>
    <row r="156" spans="1:41" s="211" customFormat="1">
      <c r="A156" s="333">
        <f>SUBTOTAL(3,$B$7:B156)</f>
        <v>150</v>
      </c>
      <c r="B156" s="169" t="s">
        <v>105</v>
      </c>
      <c r="C156" s="279" t="s">
        <v>231</v>
      </c>
      <c r="D156" s="333">
        <v>0</v>
      </c>
      <c r="E156" s="333">
        <v>1052</v>
      </c>
      <c r="F156" s="333">
        <v>0</v>
      </c>
      <c r="G156" s="333">
        <v>0</v>
      </c>
      <c r="H156" s="333">
        <v>1052</v>
      </c>
      <c r="I156" s="333">
        <v>0</v>
      </c>
      <c r="J156" s="333">
        <v>64</v>
      </c>
      <c r="K156" s="333">
        <v>64</v>
      </c>
      <c r="L156" s="333"/>
      <c r="M156" s="208">
        <v>226</v>
      </c>
      <c r="N156" s="279" t="s">
        <v>231</v>
      </c>
      <c r="O156" s="333">
        <v>0</v>
      </c>
      <c r="P156" s="333">
        <v>0</v>
      </c>
      <c r="Q156" s="333">
        <v>1052</v>
      </c>
      <c r="R156" s="333">
        <v>1052</v>
      </c>
      <c r="S156" s="333">
        <v>26171150</v>
      </c>
      <c r="T156" s="169">
        <v>1.5</v>
      </c>
      <c r="U156" s="165"/>
      <c r="V156" s="279" t="s">
        <v>231</v>
      </c>
      <c r="W156" s="333">
        <v>64</v>
      </c>
      <c r="X156" s="333">
        <v>33013.015625</v>
      </c>
      <c r="Y156" s="333">
        <v>2112833</v>
      </c>
      <c r="Z156" s="169"/>
      <c r="AA156" s="279" t="s">
        <v>231</v>
      </c>
      <c r="AB156" s="333">
        <v>0</v>
      </c>
      <c r="AC156" s="333">
        <v>0</v>
      </c>
      <c r="AD156" s="333">
        <v>1052</v>
      </c>
      <c r="AE156" s="333">
        <v>1052</v>
      </c>
      <c r="AF156" s="333">
        <v>842</v>
      </c>
      <c r="AG156" s="333">
        <v>6548150</v>
      </c>
      <c r="AH156" s="169"/>
      <c r="AI156" s="279" t="s">
        <v>231</v>
      </c>
      <c r="AJ156" s="333">
        <v>0</v>
      </c>
      <c r="AK156" s="333">
        <v>0</v>
      </c>
      <c r="AL156" s="333">
        <v>1052</v>
      </c>
      <c r="AM156" s="333">
        <v>1052</v>
      </c>
      <c r="AN156" s="333">
        <v>842</v>
      </c>
      <c r="AO156" s="333">
        <v>19623000</v>
      </c>
    </row>
    <row r="157" spans="1:41" s="211" customFormat="1">
      <c r="A157" s="333">
        <f>SUBTOTAL(3,$B$7:B157)</f>
        <v>151</v>
      </c>
      <c r="B157" s="169" t="s">
        <v>105</v>
      </c>
      <c r="C157" s="279" t="s">
        <v>232</v>
      </c>
      <c r="D157" s="333">
        <v>0</v>
      </c>
      <c r="E157" s="333">
        <v>410</v>
      </c>
      <c r="F157" s="333">
        <v>0</v>
      </c>
      <c r="G157" s="333">
        <v>0</v>
      </c>
      <c r="H157" s="333">
        <v>410</v>
      </c>
      <c r="I157" s="333">
        <v>0</v>
      </c>
      <c r="J157" s="333">
        <v>359</v>
      </c>
      <c r="K157" s="333">
        <v>359</v>
      </c>
      <c r="L157" s="333"/>
      <c r="M157" s="165">
        <v>227</v>
      </c>
      <c r="N157" s="279" t="s">
        <v>232</v>
      </c>
      <c r="O157" s="333">
        <v>0</v>
      </c>
      <c r="P157" s="333">
        <v>0</v>
      </c>
      <c r="Q157" s="333">
        <v>410</v>
      </c>
      <c r="R157" s="333">
        <v>410</v>
      </c>
      <c r="S157" s="333">
        <v>7034197</v>
      </c>
      <c r="T157" s="169">
        <v>1.85</v>
      </c>
      <c r="U157" s="165"/>
      <c r="V157" s="279" t="s">
        <v>232</v>
      </c>
      <c r="W157" s="333">
        <v>359</v>
      </c>
      <c r="X157" s="333">
        <v>41460.515320334263</v>
      </c>
      <c r="Y157" s="333">
        <v>14884325</v>
      </c>
      <c r="Z157" s="169"/>
      <c r="AA157" s="279" t="s">
        <v>232</v>
      </c>
      <c r="AB157" s="333">
        <v>0</v>
      </c>
      <c r="AC157" s="333">
        <v>0</v>
      </c>
      <c r="AD157" s="333">
        <v>410</v>
      </c>
      <c r="AE157" s="333">
        <v>410</v>
      </c>
      <c r="AF157" s="333">
        <v>328</v>
      </c>
      <c r="AG157" s="333">
        <v>2814056</v>
      </c>
      <c r="AH157" s="169"/>
      <c r="AI157" s="279" t="s">
        <v>232</v>
      </c>
      <c r="AJ157" s="333">
        <v>0</v>
      </c>
      <c r="AK157" s="333">
        <v>0</v>
      </c>
      <c r="AL157" s="333">
        <v>410</v>
      </c>
      <c r="AM157" s="333">
        <v>410</v>
      </c>
      <c r="AN157" s="333">
        <v>328</v>
      </c>
      <c r="AO157" s="333">
        <v>4220141</v>
      </c>
    </row>
    <row r="158" spans="1:41" s="211" customFormat="1">
      <c r="A158" s="333">
        <f>SUBTOTAL(3,$B$7:B158)</f>
        <v>152</v>
      </c>
      <c r="B158" s="169" t="s">
        <v>105</v>
      </c>
      <c r="C158" s="279" t="s">
        <v>393</v>
      </c>
      <c r="D158" s="333">
        <v>0</v>
      </c>
      <c r="E158" s="333">
        <v>423</v>
      </c>
      <c r="F158" s="333">
        <v>0</v>
      </c>
      <c r="G158" s="333">
        <v>0</v>
      </c>
      <c r="H158" s="333">
        <v>423</v>
      </c>
      <c r="I158" s="333">
        <v>0</v>
      </c>
      <c r="J158" s="333">
        <v>0</v>
      </c>
      <c r="K158" s="333">
        <v>0</v>
      </c>
      <c r="L158" s="333"/>
      <c r="M158" s="165">
        <v>229</v>
      </c>
      <c r="N158" s="345" t="s">
        <v>393</v>
      </c>
      <c r="O158" s="333">
        <v>0</v>
      </c>
      <c r="P158" s="333">
        <v>0</v>
      </c>
      <c r="Q158" s="333">
        <v>423</v>
      </c>
      <c r="R158" s="333">
        <v>423</v>
      </c>
      <c r="S158" s="333">
        <v>5561247</v>
      </c>
      <c r="T158" s="169">
        <v>1.35</v>
      </c>
      <c r="U158" s="165"/>
      <c r="V158" s="279" t="s">
        <v>393</v>
      </c>
      <c r="W158" s="333">
        <v>0</v>
      </c>
      <c r="X158" s="333">
        <v>0</v>
      </c>
      <c r="Y158" s="333">
        <v>0</v>
      </c>
      <c r="Z158" s="169"/>
      <c r="AA158" s="279" t="s">
        <v>393</v>
      </c>
      <c r="AB158" s="333">
        <v>0</v>
      </c>
      <c r="AC158" s="333">
        <v>0</v>
      </c>
      <c r="AD158" s="333">
        <v>423</v>
      </c>
      <c r="AE158" s="333">
        <v>423</v>
      </c>
      <c r="AF158" s="333">
        <v>338</v>
      </c>
      <c r="AG158" s="333">
        <v>2226238</v>
      </c>
      <c r="AH158" s="169"/>
      <c r="AI158" s="279" t="s">
        <v>393</v>
      </c>
      <c r="AJ158" s="333">
        <v>0</v>
      </c>
      <c r="AK158" s="333">
        <v>0</v>
      </c>
      <c r="AL158" s="333">
        <v>423</v>
      </c>
      <c r="AM158" s="333">
        <v>423</v>
      </c>
      <c r="AN158" s="333">
        <v>338</v>
      </c>
      <c r="AO158" s="333">
        <v>3335009</v>
      </c>
    </row>
    <row r="159" spans="1:41" s="211" customFormat="1">
      <c r="A159" s="333">
        <f>SUBTOTAL(3,$B$7:B159)</f>
        <v>153</v>
      </c>
      <c r="B159" s="169" t="s">
        <v>105</v>
      </c>
      <c r="C159" s="279" t="s">
        <v>394</v>
      </c>
      <c r="D159" s="333">
        <v>0</v>
      </c>
      <c r="E159" s="333">
        <v>845</v>
      </c>
      <c r="F159" s="333">
        <v>0</v>
      </c>
      <c r="G159" s="333">
        <v>0</v>
      </c>
      <c r="H159" s="333">
        <v>845</v>
      </c>
      <c r="I159" s="333">
        <v>0</v>
      </c>
      <c r="J159" s="333">
        <v>324</v>
      </c>
      <c r="K159" s="333">
        <v>324</v>
      </c>
      <c r="L159" s="333"/>
      <c r="M159" s="208">
        <v>230</v>
      </c>
      <c r="N159" s="345" t="s">
        <v>394</v>
      </c>
      <c r="O159" s="333">
        <v>0</v>
      </c>
      <c r="P159" s="333">
        <v>0</v>
      </c>
      <c r="Q159" s="333">
        <v>845</v>
      </c>
      <c r="R159" s="333">
        <v>845</v>
      </c>
      <c r="S159" s="333">
        <v>10440356</v>
      </c>
      <c r="T159" s="169">
        <v>1.35</v>
      </c>
      <c r="U159" s="165"/>
      <c r="V159" s="279" t="s">
        <v>394</v>
      </c>
      <c r="W159" s="333">
        <v>324</v>
      </c>
      <c r="X159" s="333">
        <v>30373.814814814814</v>
      </c>
      <c r="Y159" s="333">
        <v>9841116</v>
      </c>
      <c r="Z159" s="169"/>
      <c r="AA159" s="279" t="s">
        <v>394</v>
      </c>
      <c r="AB159" s="333">
        <v>0</v>
      </c>
      <c r="AC159" s="333">
        <v>0</v>
      </c>
      <c r="AD159" s="333">
        <v>845</v>
      </c>
      <c r="AE159" s="333">
        <v>845</v>
      </c>
      <c r="AF159" s="333">
        <v>676</v>
      </c>
      <c r="AG159" s="333">
        <v>4187589</v>
      </c>
      <c r="AH159" s="169"/>
      <c r="AI159" s="279" t="s">
        <v>394</v>
      </c>
      <c r="AJ159" s="333">
        <v>0</v>
      </c>
      <c r="AK159" s="333">
        <v>0</v>
      </c>
      <c r="AL159" s="333">
        <v>845</v>
      </c>
      <c r="AM159" s="333">
        <v>845</v>
      </c>
      <c r="AN159" s="333">
        <v>676</v>
      </c>
      <c r="AO159" s="333">
        <v>6252767</v>
      </c>
    </row>
    <row r="160" spans="1:41" s="211" customFormat="1">
      <c r="A160" s="333">
        <f>SUBTOTAL(3,$B$7:B160)</f>
        <v>154</v>
      </c>
      <c r="B160" s="169" t="s">
        <v>105</v>
      </c>
      <c r="C160" s="279" t="s">
        <v>395</v>
      </c>
      <c r="D160" s="333">
        <v>0</v>
      </c>
      <c r="E160" s="333">
        <v>155</v>
      </c>
      <c r="F160" s="333">
        <v>0</v>
      </c>
      <c r="G160" s="333">
        <v>0</v>
      </c>
      <c r="H160" s="333">
        <v>155</v>
      </c>
      <c r="I160" s="333">
        <v>0</v>
      </c>
      <c r="J160" s="333">
        <v>0</v>
      </c>
      <c r="K160" s="333">
        <v>0</v>
      </c>
      <c r="L160" s="333"/>
      <c r="M160" s="165">
        <v>231</v>
      </c>
      <c r="N160" s="345" t="s">
        <v>395</v>
      </c>
      <c r="O160" s="333">
        <v>0</v>
      </c>
      <c r="P160" s="333">
        <v>0</v>
      </c>
      <c r="Q160" s="333">
        <v>155</v>
      </c>
      <c r="R160" s="333">
        <v>155</v>
      </c>
      <c r="S160" s="333">
        <v>3727749</v>
      </c>
      <c r="T160" s="169">
        <v>1.35</v>
      </c>
      <c r="U160" s="165"/>
      <c r="V160" s="279" t="s">
        <v>395</v>
      </c>
      <c r="W160" s="333">
        <v>0</v>
      </c>
      <c r="X160" s="333">
        <v>0</v>
      </c>
      <c r="Y160" s="333">
        <v>0</v>
      </c>
      <c r="Z160" s="169"/>
      <c r="AA160" s="279" t="s">
        <v>395</v>
      </c>
      <c r="AB160" s="333">
        <v>0</v>
      </c>
      <c r="AC160" s="333">
        <v>0</v>
      </c>
      <c r="AD160" s="333">
        <v>155</v>
      </c>
      <c r="AE160" s="333">
        <v>155</v>
      </c>
      <c r="AF160" s="333">
        <v>124</v>
      </c>
      <c r="AG160" s="333">
        <v>1472274</v>
      </c>
      <c r="AH160" s="169"/>
      <c r="AI160" s="279" t="s">
        <v>395</v>
      </c>
      <c r="AJ160" s="333">
        <v>0</v>
      </c>
      <c r="AK160" s="333">
        <v>0</v>
      </c>
      <c r="AL160" s="333">
        <v>155</v>
      </c>
      <c r="AM160" s="333">
        <v>155</v>
      </c>
      <c r="AN160" s="333">
        <v>124</v>
      </c>
      <c r="AO160" s="333">
        <v>2255475</v>
      </c>
    </row>
    <row r="161" spans="1:41" s="211" customFormat="1">
      <c r="A161" s="333">
        <f>SUBTOTAL(3,$B$7:B161)</f>
        <v>155</v>
      </c>
      <c r="B161" s="169" t="s">
        <v>105</v>
      </c>
      <c r="C161" s="279" t="s">
        <v>396</v>
      </c>
      <c r="D161" s="333">
        <v>0</v>
      </c>
      <c r="E161" s="333">
        <v>374</v>
      </c>
      <c r="F161" s="333">
        <v>0</v>
      </c>
      <c r="G161" s="333">
        <v>0</v>
      </c>
      <c r="H161" s="333">
        <v>374</v>
      </c>
      <c r="I161" s="333">
        <v>0</v>
      </c>
      <c r="J161" s="333">
        <v>52</v>
      </c>
      <c r="K161" s="333">
        <v>52</v>
      </c>
      <c r="L161" s="333"/>
      <c r="M161" s="165">
        <v>232</v>
      </c>
      <c r="N161" s="345" t="s">
        <v>396</v>
      </c>
      <c r="O161" s="333">
        <v>0</v>
      </c>
      <c r="P161" s="333">
        <v>0</v>
      </c>
      <c r="Q161" s="333">
        <v>374</v>
      </c>
      <c r="R161" s="333">
        <v>374</v>
      </c>
      <c r="S161" s="333">
        <v>4838899</v>
      </c>
      <c r="T161" s="169">
        <v>1.35</v>
      </c>
      <c r="U161" s="165"/>
      <c r="V161" s="279" t="s">
        <v>396</v>
      </c>
      <c r="W161" s="333">
        <v>52</v>
      </c>
      <c r="X161" s="333">
        <v>30029.076923076922</v>
      </c>
      <c r="Y161" s="333">
        <v>1561512</v>
      </c>
      <c r="Z161" s="169"/>
      <c r="AA161" s="279" t="s">
        <v>396</v>
      </c>
      <c r="AB161" s="333">
        <v>0</v>
      </c>
      <c r="AC161" s="333">
        <v>0</v>
      </c>
      <c r="AD161" s="333">
        <v>374</v>
      </c>
      <c r="AE161" s="333">
        <v>374</v>
      </c>
      <c r="AF161" s="333">
        <v>299</v>
      </c>
      <c r="AG161" s="333">
        <v>1934417</v>
      </c>
      <c r="AH161" s="169"/>
      <c r="AI161" s="279" t="s">
        <v>396</v>
      </c>
      <c r="AJ161" s="333">
        <v>0</v>
      </c>
      <c r="AK161" s="333">
        <v>0</v>
      </c>
      <c r="AL161" s="333">
        <v>374</v>
      </c>
      <c r="AM161" s="333">
        <v>374</v>
      </c>
      <c r="AN161" s="333">
        <v>299</v>
      </c>
      <c r="AO161" s="333">
        <v>2904482</v>
      </c>
    </row>
    <row r="162" spans="1:41">
      <c r="A162" s="333">
        <f>SUBTOTAL(3,$B$7:B162)</f>
        <v>156</v>
      </c>
      <c r="B162" s="3" t="s">
        <v>105</v>
      </c>
      <c r="C162" s="275" t="s">
        <v>233</v>
      </c>
      <c r="D162" s="329">
        <v>0</v>
      </c>
      <c r="E162" s="329">
        <v>570</v>
      </c>
      <c r="F162" s="329">
        <v>0</v>
      </c>
      <c r="G162" s="329">
        <v>0</v>
      </c>
      <c r="H162" s="329">
        <v>570</v>
      </c>
      <c r="I162" s="329">
        <v>0</v>
      </c>
      <c r="J162" s="329">
        <v>0</v>
      </c>
      <c r="K162" s="333">
        <v>0</v>
      </c>
      <c r="L162" s="333"/>
      <c r="M162" s="208">
        <v>233</v>
      </c>
      <c r="N162" s="279" t="s">
        <v>233</v>
      </c>
      <c r="O162" s="329">
        <v>0</v>
      </c>
      <c r="P162" s="329">
        <v>0</v>
      </c>
      <c r="Q162" s="329">
        <v>570</v>
      </c>
      <c r="R162" s="333">
        <v>570</v>
      </c>
      <c r="S162" s="333">
        <v>8075254</v>
      </c>
      <c r="T162" s="3">
        <v>3.15</v>
      </c>
      <c r="U162" s="3"/>
      <c r="V162" s="279" t="s">
        <v>233</v>
      </c>
      <c r="W162" s="329">
        <v>0</v>
      </c>
      <c r="X162" s="329">
        <v>0</v>
      </c>
      <c r="Y162" s="329">
        <v>0</v>
      </c>
      <c r="Z162" s="3"/>
      <c r="AA162" s="279" t="s">
        <v>233</v>
      </c>
      <c r="AB162" s="329">
        <v>0</v>
      </c>
      <c r="AC162" s="329">
        <v>0</v>
      </c>
      <c r="AD162" s="329">
        <v>570</v>
      </c>
      <c r="AE162" s="329">
        <v>570</v>
      </c>
      <c r="AF162" s="329">
        <v>456</v>
      </c>
      <c r="AG162" s="329">
        <v>3228585</v>
      </c>
      <c r="AH162" s="3"/>
      <c r="AI162" s="279" t="s">
        <v>233</v>
      </c>
      <c r="AJ162" s="329">
        <v>0</v>
      </c>
      <c r="AK162" s="329">
        <v>0</v>
      </c>
      <c r="AL162" s="329">
        <v>570</v>
      </c>
      <c r="AM162" s="329">
        <v>570</v>
      </c>
      <c r="AN162" s="329">
        <v>456</v>
      </c>
      <c r="AO162" s="329">
        <v>4846669</v>
      </c>
    </row>
    <row r="163" spans="1:41">
      <c r="A163" s="333">
        <f>SUBTOTAL(3,$B$7:B163)</f>
        <v>157</v>
      </c>
      <c r="B163" s="3" t="s">
        <v>105</v>
      </c>
      <c r="C163" s="275" t="s">
        <v>397</v>
      </c>
      <c r="D163" s="329">
        <v>0</v>
      </c>
      <c r="E163" s="329">
        <v>298</v>
      </c>
      <c r="F163" s="329">
        <v>0</v>
      </c>
      <c r="G163" s="329">
        <v>0</v>
      </c>
      <c r="H163" s="329">
        <v>298</v>
      </c>
      <c r="I163" s="329">
        <v>0</v>
      </c>
      <c r="J163" s="329">
        <v>0</v>
      </c>
      <c r="K163" s="333">
        <v>0</v>
      </c>
      <c r="L163" s="333"/>
      <c r="M163" s="165">
        <v>234</v>
      </c>
      <c r="N163" s="345" t="s">
        <v>397</v>
      </c>
      <c r="O163" s="329">
        <v>0</v>
      </c>
      <c r="P163" s="329">
        <v>0</v>
      </c>
      <c r="Q163" s="329">
        <v>298</v>
      </c>
      <c r="R163" s="333">
        <v>298</v>
      </c>
      <c r="S163" s="333">
        <v>7461530</v>
      </c>
      <c r="T163" s="3">
        <v>1.35</v>
      </c>
      <c r="U163" s="3"/>
      <c r="V163" s="279" t="s">
        <v>397</v>
      </c>
      <c r="W163" s="329">
        <v>0</v>
      </c>
      <c r="X163" s="329">
        <v>0</v>
      </c>
      <c r="Y163" s="329">
        <v>0</v>
      </c>
      <c r="Z163" s="3"/>
      <c r="AA163" s="279" t="s">
        <v>397</v>
      </c>
      <c r="AB163" s="329">
        <v>0</v>
      </c>
      <c r="AC163" s="329">
        <v>0</v>
      </c>
      <c r="AD163" s="329">
        <v>298</v>
      </c>
      <c r="AE163" s="329">
        <v>298</v>
      </c>
      <c r="AF163" s="329">
        <v>238</v>
      </c>
      <c r="AG163" s="329">
        <v>3098296</v>
      </c>
      <c r="AH163" s="3"/>
      <c r="AI163" s="279" t="s">
        <v>397</v>
      </c>
      <c r="AJ163" s="329">
        <v>0</v>
      </c>
      <c r="AK163" s="329">
        <v>0</v>
      </c>
      <c r="AL163" s="329">
        <v>298</v>
      </c>
      <c r="AM163" s="329">
        <v>298</v>
      </c>
      <c r="AN163" s="329">
        <v>238</v>
      </c>
      <c r="AO163" s="329">
        <v>4363234</v>
      </c>
    </row>
    <row r="164" spans="1:41">
      <c r="A164" s="333">
        <f>SUBTOTAL(3,$B$7:B164)</f>
        <v>158</v>
      </c>
      <c r="B164" s="3" t="s">
        <v>105</v>
      </c>
      <c r="C164" s="275" t="s">
        <v>398</v>
      </c>
      <c r="D164" s="329">
        <v>0</v>
      </c>
      <c r="E164" s="329">
        <v>165</v>
      </c>
      <c r="F164" s="329">
        <v>0</v>
      </c>
      <c r="G164" s="329">
        <v>0</v>
      </c>
      <c r="H164" s="329">
        <v>165</v>
      </c>
      <c r="I164" s="329">
        <v>0</v>
      </c>
      <c r="J164" s="329">
        <v>0</v>
      </c>
      <c r="K164" s="333">
        <v>0</v>
      </c>
      <c r="L164" s="333"/>
      <c r="M164" s="165">
        <v>235</v>
      </c>
      <c r="N164" s="345" t="s">
        <v>398</v>
      </c>
      <c r="O164" s="329">
        <v>0</v>
      </c>
      <c r="P164" s="329">
        <v>0</v>
      </c>
      <c r="Q164" s="329">
        <v>165</v>
      </c>
      <c r="R164" s="333">
        <v>165</v>
      </c>
      <c r="S164" s="333">
        <v>2517855</v>
      </c>
      <c r="T164" s="3">
        <v>1.35</v>
      </c>
      <c r="U164" s="3"/>
      <c r="V164" s="279" t="s">
        <v>398</v>
      </c>
      <c r="W164" s="329">
        <v>0</v>
      </c>
      <c r="X164" s="329">
        <v>0</v>
      </c>
      <c r="Y164" s="329">
        <v>0</v>
      </c>
      <c r="Z164" s="3"/>
      <c r="AA164" s="279" t="s">
        <v>398</v>
      </c>
      <c r="AB164" s="329">
        <v>0</v>
      </c>
      <c r="AC164" s="329">
        <v>0</v>
      </c>
      <c r="AD164" s="329">
        <v>165</v>
      </c>
      <c r="AE164" s="329">
        <v>165</v>
      </c>
      <c r="AF164" s="329">
        <v>132</v>
      </c>
      <c r="AG164" s="329">
        <v>1050115</v>
      </c>
      <c r="AH164" s="3"/>
      <c r="AI164" s="279" t="s">
        <v>398</v>
      </c>
      <c r="AJ164" s="329">
        <v>0</v>
      </c>
      <c r="AK164" s="329">
        <v>0</v>
      </c>
      <c r="AL164" s="329">
        <v>165</v>
      </c>
      <c r="AM164" s="329">
        <v>165</v>
      </c>
      <c r="AN164" s="329">
        <v>132</v>
      </c>
      <c r="AO164" s="329">
        <v>1467740</v>
      </c>
    </row>
    <row r="165" spans="1:41">
      <c r="A165" s="333">
        <f>SUBTOTAL(3,$B$7:B165)</f>
        <v>159</v>
      </c>
      <c r="B165" s="3" t="s">
        <v>105</v>
      </c>
      <c r="C165" s="275" t="s">
        <v>399</v>
      </c>
      <c r="D165" s="329">
        <v>0</v>
      </c>
      <c r="E165" s="329">
        <v>109</v>
      </c>
      <c r="F165" s="329">
        <v>0</v>
      </c>
      <c r="G165" s="329">
        <v>0</v>
      </c>
      <c r="H165" s="329">
        <v>109</v>
      </c>
      <c r="I165" s="329">
        <v>0</v>
      </c>
      <c r="J165" s="329">
        <v>20</v>
      </c>
      <c r="K165" s="333">
        <v>20</v>
      </c>
      <c r="L165" s="333"/>
      <c r="M165" s="208">
        <v>236</v>
      </c>
      <c r="N165" s="345" t="s">
        <v>399</v>
      </c>
      <c r="O165" s="329">
        <v>0</v>
      </c>
      <c r="P165" s="329">
        <v>0</v>
      </c>
      <c r="Q165" s="329">
        <v>109</v>
      </c>
      <c r="R165" s="333">
        <v>109</v>
      </c>
      <c r="S165" s="333">
        <v>1548700</v>
      </c>
      <c r="T165" s="3">
        <v>1.55</v>
      </c>
      <c r="U165" s="3"/>
      <c r="V165" s="279" t="s">
        <v>399</v>
      </c>
      <c r="W165" s="329">
        <v>20</v>
      </c>
      <c r="X165" s="329">
        <v>36016.25</v>
      </c>
      <c r="Y165" s="329">
        <v>720325</v>
      </c>
      <c r="Z165" s="3"/>
      <c r="AA165" s="279" t="s">
        <v>399</v>
      </c>
      <c r="AB165" s="329">
        <v>0</v>
      </c>
      <c r="AC165" s="329">
        <v>0</v>
      </c>
      <c r="AD165" s="329">
        <v>109</v>
      </c>
      <c r="AE165" s="329">
        <v>109</v>
      </c>
      <c r="AF165" s="329">
        <v>87</v>
      </c>
      <c r="AG165" s="329">
        <v>643496</v>
      </c>
      <c r="AH165" s="3"/>
      <c r="AI165" s="279" t="s">
        <v>399</v>
      </c>
      <c r="AJ165" s="329">
        <v>0</v>
      </c>
      <c r="AK165" s="329">
        <v>0</v>
      </c>
      <c r="AL165" s="329">
        <v>109</v>
      </c>
      <c r="AM165" s="329">
        <v>109</v>
      </c>
      <c r="AN165" s="329">
        <v>87</v>
      </c>
      <c r="AO165" s="329">
        <v>905204</v>
      </c>
    </row>
    <row r="166" spans="1:41">
      <c r="A166" s="333">
        <f>SUBTOTAL(3,$B$7:B166)</f>
        <v>160</v>
      </c>
      <c r="B166" s="3" t="s">
        <v>105</v>
      </c>
      <c r="C166" s="275" t="s">
        <v>400</v>
      </c>
      <c r="D166" s="329">
        <v>0</v>
      </c>
      <c r="E166" s="329">
        <v>126</v>
      </c>
      <c r="F166" s="329">
        <v>0</v>
      </c>
      <c r="G166" s="329">
        <v>0</v>
      </c>
      <c r="H166" s="329">
        <v>126</v>
      </c>
      <c r="I166" s="329">
        <v>0</v>
      </c>
      <c r="J166" s="329">
        <v>0</v>
      </c>
      <c r="K166" s="333">
        <v>0</v>
      </c>
      <c r="L166" s="333"/>
      <c r="M166" s="165">
        <v>237</v>
      </c>
      <c r="N166" s="345" t="s">
        <v>400</v>
      </c>
      <c r="O166" s="329">
        <v>0</v>
      </c>
      <c r="P166" s="329">
        <v>0</v>
      </c>
      <c r="Q166" s="329">
        <v>126</v>
      </c>
      <c r="R166" s="333">
        <v>126</v>
      </c>
      <c r="S166" s="333">
        <v>1715979</v>
      </c>
      <c r="T166" s="3">
        <v>1.35</v>
      </c>
      <c r="U166" s="3"/>
      <c r="V166" s="279" t="s">
        <v>400</v>
      </c>
      <c r="W166" s="329">
        <v>0</v>
      </c>
      <c r="X166" s="329">
        <v>0</v>
      </c>
      <c r="Y166" s="329">
        <v>0</v>
      </c>
      <c r="Z166" s="3"/>
      <c r="AA166" s="279" t="s">
        <v>400</v>
      </c>
      <c r="AB166" s="329">
        <v>0</v>
      </c>
      <c r="AC166" s="329">
        <v>0</v>
      </c>
      <c r="AD166" s="329">
        <v>126</v>
      </c>
      <c r="AE166" s="329">
        <v>126</v>
      </c>
      <c r="AF166" s="329">
        <v>101</v>
      </c>
      <c r="AG166" s="329">
        <v>713081</v>
      </c>
      <c r="AH166" s="3"/>
      <c r="AI166" s="279" t="s">
        <v>400</v>
      </c>
      <c r="AJ166" s="329">
        <v>0</v>
      </c>
      <c r="AK166" s="329">
        <v>0</v>
      </c>
      <c r="AL166" s="329">
        <v>126</v>
      </c>
      <c r="AM166" s="329">
        <v>126</v>
      </c>
      <c r="AN166" s="329">
        <v>101</v>
      </c>
      <c r="AO166" s="329">
        <v>1002898</v>
      </c>
    </row>
    <row r="167" spans="1:41">
      <c r="A167" s="333">
        <f>SUBTOTAL(3,$B$7:B167)</f>
        <v>161</v>
      </c>
      <c r="B167" s="3" t="s">
        <v>105</v>
      </c>
      <c r="C167" s="275" t="s">
        <v>401</v>
      </c>
      <c r="D167" s="329">
        <v>0</v>
      </c>
      <c r="E167" s="329">
        <v>130</v>
      </c>
      <c r="F167" s="329">
        <v>0</v>
      </c>
      <c r="G167" s="329">
        <v>0</v>
      </c>
      <c r="H167" s="329">
        <v>130</v>
      </c>
      <c r="I167" s="329">
        <v>0</v>
      </c>
      <c r="J167" s="329">
        <v>16</v>
      </c>
      <c r="K167" s="333">
        <v>16</v>
      </c>
      <c r="L167" s="333"/>
      <c r="M167" s="165">
        <v>238</v>
      </c>
      <c r="N167" s="345" t="s">
        <v>401</v>
      </c>
      <c r="O167" s="329">
        <v>0</v>
      </c>
      <c r="P167" s="329">
        <v>0</v>
      </c>
      <c r="Q167" s="329">
        <v>130</v>
      </c>
      <c r="R167" s="333">
        <v>130</v>
      </c>
      <c r="S167" s="333">
        <v>3345425</v>
      </c>
      <c r="T167" s="3">
        <v>1.45</v>
      </c>
      <c r="U167" s="3"/>
      <c r="V167" s="279" t="s">
        <v>401</v>
      </c>
      <c r="W167" s="329">
        <v>16</v>
      </c>
      <c r="X167" s="329">
        <v>32270.5625</v>
      </c>
      <c r="Y167" s="329">
        <v>516329</v>
      </c>
      <c r="Z167" s="3"/>
      <c r="AA167" s="279" t="s">
        <v>401</v>
      </c>
      <c r="AB167" s="329">
        <v>0</v>
      </c>
      <c r="AC167" s="329">
        <v>0</v>
      </c>
      <c r="AD167" s="329">
        <v>130</v>
      </c>
      <c r="AE167" s="329">
        <v>130</v>
      </c>
      <c r="AF167" s="329">
        <v>104</v>
      </c>
      <c r="AG167" s="329">
        <v>1321275</v>
      </c>
      <c r="AH167" s="3"/>
      <c r="AI167" s="279" t="s">
        <v>401</v>
      </c>
      <c r="AJ167" s="329">
        <v>0</v>
      </c>
      <c r="AK167" s="329">
        <v>0</v>
      </c>
      <c r="AL167" s="329">
        <v>130</v>
      </c>
      <c r="AM167" s="329">
        <v>130</v>
      </c>
      <c r="AN167" s="329">
        <v>104</v>
      </c>
      <c r="AO167" s="329">
        <v>2024150</v>
      </c>
    </row>
    <row r="168" spans="1:41">
      <c r="A168" s="333">
        <f>SUBTOTAL(3,$B$7:B168)</f>
        <v>162</v>
      </c>
      <c r="B168" s="3" t="s">
        <v>105</v>
      </c>
      <c r="C168" s="275" t="s">
        <v>402</v>
      </c>
      <c r="D168" s="329">
        <v>0</v>
      </c>
      <c r="E168" s="329">
        <v>305</v>
      </c>
      <c r="F168" s="329">
        <v>0</v>
      </c>
      <c r="G168" s="329">
        <v>0</v>
      </c>
      <c r="H168" s="329">
        <v>305</v>
      </c>
      <c r="I168" s="329">
        <v>0</v>
      </c>
      <c r="J168" s="329">
        <v>37</v>
      </c>
      <c r="K168" s="333">
        <v>37</v>
      </c>
      <c r="L168" s="333"/>
      <c r="M168" s="208">
        <v>239</v>
      </c>
      <c r="N168" s="345" t="s">
        <v>402</v>
      </c>
      <c r="O168" s="329">
        <v>0</v>
      </c>
      <c r="P168" s="329">
        <v>0</v>
      </c>
      <c r="Q168" s="329">
        <v>305</v>
      </c>
      <c r="R168" s="333">
        <v>305</v>
      </c>
      <c r="S168" s="333">
        <v>4269146</v>
      </c>
      <c r="T168" s="3">
        <v>1.65</v>
      </c>
      <c r="U168" s="3"/>
      <c r="V168" s="279" t="s">
        <v>402</v>
      </c>
      <c r="W168" s="329">
        <v>37</v>
      </c>
      <c r="X168" s="329">
        <v>37117</v>
      </c>
      <c r="Y168" s="329">
        <v>1373329</v>
      </c>
      <c r="Z168" s="3"/>
      <c r="AA168" s="279" t="s">
        <v>402</v>
      </c>
      <c r="AB168" s="329">
        <v>0</v>
      </c>
      <c r="AC168" s="329">
        <v>0</v>
      </c>
      <c r="AD168" s="329">
        <v>305</v>
      </c>
      <c r="AE168" s="329">
        <v>305</v>
      </c>
      <c r="AF168" s="329">
        <v>244</v>
      </c>
      <c r="AG168" s="329">
        <v>1707902</v>
      </c>
      <c r="AH168" s="3"/>
      <c r="AI168" s="279" t="s">
        <v>402</v>
      </c>
      <c r="AJ168" s="329">
        <v>0</v>
      </c>
      <c r="AK168" s="329">
        <v>0</v>
      </c>
      <c r="AL168" s="329">
        <v>305</v>
      </c>
      <c r="AM168" s="329">
        <v>305</v>
      </c>
      <c r="AN168" s="329">
        <v>244</v>
      </c>
      <c r="AO168" s="329">
        <v>2561244</v>
      </c>
    </row>
    <row r="169" spans="1:41">
      <c r="A169" s="333">
        <f>SUBTOTAL(3,$B$7:B169)</f>
        <v>163</v>
      </c>
      <c r="B169" s="3" t="s">
        <v>105</v>
      </c>
      <c r="C169" s="275" t="s">
        <v>403</v>
      </c>
      <c r="D169" s="329">
        <v>0</v>
      </c>
      <c r="E169" s="329">
        <v>111</v>
      </c>
      <c r="F169" s="329">
        <v>0</v>
      </c>
      <c r="G169" s="329">
        <v>0</v>
      </c>
      <c r="H169" s="329">
        <v>111</v>
      </c>
      <c r="I169" s="329">
        <v>0</v>
      </c>
      <c r="J169" s="329">
        <v>0</v>
      </c>
      <c r="K169" s="333">
        <v>0</v>
      </c>
      <c r="L169" s="333"/>
      <c r="M169" s="165">
        <v>240</v>
      </c>
      <c r="N169" s="345" t="s">
        <v>403</v>
      </c>
      <c r="O169" s="329">
        <v>0</v>
      </c>
      <c r="P169" s="329">
        <v>0</v>
      </c>
      <c r="Q169" s="329">
        <v>111</v>
      </c>
      <c r="R169" s="333">
        <v>111</v>
      </c>
      <c r="S169" s="333">
        <v>1694143</v>
      </c>
      <c r="T169" s="3">
        <v>1.35</v>
      </c>
      <c r="U169" s="3"/>
      <c r="V169" s="279" t="s">
        <v>403</v>
      </c>
      <c r="W169" s="329">
        <v>0</v>
      </c>
      <c r="X169" s="329">
        <v>0</v>
      </c>
      <c r="Y169" s="329">
        <v>0</v>
      </c>
      <c r="Z169" s="3"/>
      <c r="AA169" s="279" t="s">
        <v>403</v>
      </c>
      <c r="AB169" s="329">
        <v>0</v>
      </c>
      <c r="AC169" s="329">
        <v>0</v>
      </c>
      <c r="AD169" s="329">
        <v>111</v>
      </c>
      <c r="AE169" s="329">
        <v>111</v>
      </c>
      <c r="AF169" s="329">
        <v>89</v>
      </c>
      <c r="AG169" s="329">
        <v>704031</v>
      </c>
      <c r="AH169" s="3"/>
      <c r="AI169" s="279" t="s">
        <v>403</v>
      </c>
      <c r="AJ169" s="329">
        <v>0</v>
      </c>
      <c r="AK169" s="329">
        <v>0</v>
      </c>
      <c r="AL169" s="329">
        <v>111</v>
      </c>
      <c r="AM169" s="329">
        <v>111</v>
      </c>
      <c r="AN169" s="329">
        <v>89</v>
      </c>
      <c r="AO169" s="329">
        <v>990112</v>
      </c>
    </row>
    <row r="170" spans="1:41">
      <c r="A170" s="333">
        <f>SUBTOTAL(3,$B$7:B170)</f>
        <v>164</v>
      </c>
      <c r="B170" s="3" t="s">
        <v>105</v>
      </c>
      <c r="C170" s="275" t="s">
        <v>404</v>
      </c>
      <c r="D170" s="329">
        <v>0</v>
      </c>
      <c r="E170" s="329">
        <v>78</v>
      </c>
      <c r="F170" s="329">
        <v>0</v>
      </c>
      <c r="G170" s="329">
        <v>0</v>
      </c>
      <c r="H170" s="329">
        <v>78</v>
      </c>
      <c r="I170" s="329">
        <v>0</v>
      </c>
      <c r="J170" s="329">
        <v>0</v>
      </c>
      <c r="K170" s="333">
        <v>0</v>
      </c>
      <c r="L170" s="333"/>
      <c r="M170" s="165">
        <v>241</v>
      </c>
      <c r="N170" s="345" t="s">
        <v>404</v>
      </c>
      <c r="O170" s="329">
        <v>0</v>
      </c>
      <c r="P170" s="329">
        <v>0</v>
      </c>
      <c r="Q170" s="329">
        <v>78</v>
      </c>
      <c r="R170" s="333">
        <v>78</v>
      </c>
      <c r="S170" s="333">
        <v>941054</v>
      </c>
      <c r="T170" s="3">
        <v>1.35</v>
      </c>
      <c r="U170" s="3"/>
      <c r="V170" s="279" t="s">
        <v>404</v>
      </c>
      <c r="W170" s="329">
        <v>0</v>
      </c>
      <c r="X170" s="329">
        <v>0</v>
      </c>
      <c r="Y170" s="329">
        <v>0</v>
      </c>
      <c r="Z170" s="3"/>
      <c r="AA170" s="279" t="s">
        <v>404</v>
      </c>
      <c r="AB170" s="329">
        <v>0</v>
      </c>
      <c r="AC170" s="329">
        <v>0</v>
      </c>
      <c r="AD170" s="329">
        <v>78</v>
      </c>
      <c r="AE170" s="329">
        <v>78</v>
      </c>
      <c r="AF170" s="329">
        <v>62</v>
      </c>
      <c r="AG170" s="329">
        <v>391007</v>
      </c>
      <c r="AH170" s="3"/>
      <c r="AI170" s="279" t="s">
        <v>404</v>
      </c>
      <c r="AJ170" s="329">
        <v>0</v>
      </c>
      <c r="AK170" s="329">
        <v>0</v>
      </c>
      <c r="AL170" s="329">
        <v>78</v>
      </c>
      <c r="AM170" s="329">
        <v>78</v>
      </c>
      <c r="AN170" s="329">
        <v>62</v>
      </c>
      <c r="AO170" s="329">
        <v>550047</v>
      </c>
    </row>
    <row r="171" spans="1:41">
      <c r="A171" s="333">
        <f>SUBTOTAL(3,$B$7:B171)</f>
        <v>165</v>
      </c>
      <c r="B171" s="3" t="s">
        <v>105</v>
      </c>
      <c r="C171" s="275" t="s">
        <v>405</v>
      </c>
      <c r="D171" s="329">
        <v>0</v>
      </c>
      <c r="E171" s="329">
        <v>133</v>
      </c>
      <c r="F171" s="329">
        <v>0</v>
      </c>
      <c r="G171" s="329">
        <v>0</v>
      </c>
      <c r="H171" s="329">
        <v>133</v>
      </c>
      <c r="I171" s="329">
        <v>0</v>
      </c>
      <c r="J171" s="329">
        <v>0</v>
      </c>
      <c r="K171" s="333">
        <v>0</v>
      </c>
      <c r="L171" s="333"/>
      <c r="M171" s="208">
        <v>242</v>
      </c>
      <c r="N171" s="345" t="s">
        <v>405</v>
      </c>
      <c r="O171" s="329">
        <v>0</v>
      </c>
      <c r="P171" s="329">
        <v>0</v>
      </c>
      <c r="Q171" s="329">
        <v>133</v>
      </c>
      <c r="R171" s="333">
        <v>133</v>
      </c>
      <c r="S171" s="333">
        <v>820425</v>
      </c>
      <c r="T171" s="3">
        <v>1.35</v>
      </c>
      <c r="U171" s="3"/>
      <c r="V171" s="279" t="s">
        <v>405</v>
      </c>
      <c r="W171" s="329">
        <v>0</v>
      </c>
      <c r="X171" s="329">
        <v>0</v>
      </c>
      <c r="Y171" s="329">
        <v>0</v>
      </c>
      <c r="Z171" s="3"/>
      <c r="AA171" s="279" t="s">
        <v>405</v>
      </c>
      <c r="AB171" s="329">
        <v>0</v>
      </c>
      <c r="AC171" s="329">
        <v>0</v>
      </c>
      <c r="AD171" s="329">
        <v>133</v>
      </c>
      <c r="AE171" s="329">
        <v>133</v>
      </c>
      <c r="AF171" s="329">
        <v>106</v>
      </c>
      <c r="AG171" s="329">
        <v>328384</v>
      </c>
      <c r="AH171" s="3"/>
      <c r="AI171" s="279" t="s">
        <v>405</v>
      </c>
      <c r="AJ171" s="329">
        <v>0</v>
      </c>
      <c r="AK171" s="329">
        <v>0</v>
      </c>
      <c r="AL171" s="329">
        <v>133</v>
      </c>
      <c r="AM171" s="329">
        <v>133</v>
      </c>
      <c r="AN171" s="329">
        <v>106</v>
      </c>
      <c r="AO171" s="329">
        <v>492041</v>
      </c>
    </row>
    <row r="172" spans="1:41">
      <c r="A172" s="333">
        <f>SUBTOTAL(3,$B$7:B172)</f>
        <v>166</v>
      </c>
      <c r="B172" s="3" t="s">
        <v>105</v>
      </c>
      <c r="C172" s="275" t="s">
        <v>406</v>
      </c>
      <c r="D172" s="329">
        <v>0</v>
      </c>
      <c r="E172" s="329">
        <v>42</v>
      </c>
      <c r="F172" s="329">
        <v>0</v>
      </c>
      <c r="G172" s="329">
        <v>0</v>
      </c>
      <c r="H172" s="329">
        <v>42</v>
      </c>
      <c r="I172" s="329">
        <v>0</v>
      </c>
      <c r="J172" s="329">
        <v>0</v>
      </c>
      <c r="K172" s="333">
        <v>0</v>
      </c>
      <c r="L172" s="333"/>
      <c r="M172" s="165">
        <v>243</v>
      </c>
      <c r="N172" s="345" t="s">
        <v>406</v>
      </c>
      <c r="O172" s="329">
        <v>0</v>
      </c>
      <c r="P172" s="329">
        <v>0</v>
      </c>
      <c r="Q172" s="329">
        <v>42</v>
      </c>
      <c r="R172" s="333">
        <v>42</v>
      </c>
      <c r="S172" s="333">
        <v>611554</v>
      </c>
      <c r="T172" s="3">
        <v>1.35</v>
      </c>
      <c r="U172" s="3"/>
      <c r="V172" s="279" t="s">
        <v>406</v>
      </c>
      <c r="W172" s="329">
        <v>0</v>
      </c>
      <c r="X172" s="329">
        <v>0</v>
      </c>
      <c r="Y172" s="329">
        <v>0</v>
      </c>
      <c r="Z172" s="3"/>
      <c r="AA172" s="279" t="s">
        <v>406</v>
      </c>
      <c r="AB172" s="329">
        <v>0</v>
      </c>
      <c r="AC172" s="329">
        <v>0</v>
      </c>
      <c r="AD172" s="329">
        <v>42</v>
      </c>
      <c r="AE172" s="329">
        <v>42</v>
      </c>
      <c r="AF172" s="329">
        <v>34</v>
      </c>
      <c r="AG172" s="329">
        <v>241533</v>
      </c>
      <c r="AH172" s="3"/>
      <c r="AI172" s="279" t="s">
        <v>406</v>
      </c>
      <c r="AJ172" s="329">
        <v>0</v>
      </c>
      <c r="AK172" s="329">
        <v>0</v>
      </c>
      <c r="AL172" s="329">
        <v>42</v>
      </c>
      <c r="AM172" s="329">
        <v>42</v>
      </c>
      <c r="AN172" s="329">
        <v>34</v>
      </c>
      <c r="AO172" s="329">
        <v>370021</v>
      </c>
    </row>
    <row r="173" spans="1:41">
      <c r="A173" s="333">
        <f>SUBTOTAL(3,$B$7:B173)</f>
        <v>167</v>
      </c>
      <c r="B173" s="3" t="s">
        <v>105</v>
      </c>
      <c r="C173" s="275" t="s">
        <v>407</v>
      </c>
      <c r="D173" s="329">
        <v>0</v>
      </c>
      <c r="E173" s="329">
        <v>45</v>
      </c>
      <c r="F173" s="329">
        <v>0</v>
      </c>
      <c r="G173" s="329">
        <v>0</v>
      </c>
      <c r="H173" s="329">
        <v>45</v>
      </c>
      <c r="I173" s="329">
        <v>0</v>
      </c>
      <c r="J173" s="329">
        <v>13</v>
      </c>
      <c r="K173" s="333">
        <v>13</v>
      </c>
      <c r="L173" s="333"/>
      <c r="M173" s="165">
        <v>244</v>
      </c>
      <c r="N173" s="345" t="s">
        <v>407</v>
      </c>
      <c r="O173" s="329">
        <v>0</v>
      </c>
      <c r="P173" s="329">
        <v>0</v>
      </c>
      <c r="Q173" s="329">
        <v>45</v>
      </c>
      <c r="R173" s="333">
        <v>45</v>
      </c>
      <c r="S173" s="333">
        <v>1129941</v>
      </c>
      <c r="T173" s="3">
        <v>1.35</v>
      </c>
      <c r="U173" s="3"/>
      <c r="V173" s="279" t="s">
        <v>407</v>
      </c>
      <c r="W173" s="329">
        <v>13</v>
      </c>
      <c r="X173" s="329">
        <v>31387.23076923077</v>
      </c>
      <c r="Y173" s="329">
        <v>408034</v>
      </c>
      <c r="Z173" s="3"/>
      <c r="AA173" s="279" t="s">
        <v>407</v>
      </c>
      <c r="AB173" s="329">
        <v>0</v>
      </c>
      <c r="AC173" s="329">
        <v>0</v>
      </c>
      <c r="AD173" s="329">
        <v>45</v>
      </c>
      <c r="AE173" s="329">
        <v>45</v>
      </c>
      <c r="AF173" s="329">
        <v>36</v>
      </c>
      <c r="AG173" s="329">
        <v>469808</v>
      </c>
      <c r="AH173" s="3"/>
      <c r="AI173" s="279" t="s">
        <v>407</v>
      </c>
      <c r="AJ173" s="329">
        <v>0</v>
      </c>
      <c r="AK173" s="329">
        <v>0</v>
      </c>
      <c r="AL173" s="329">
        <v>45</v>
      </c>
      <c r="AM173" s="329">
        <v>45</v>
      </c>
      <c r="AN173" s="329">
        <v>36</v>
      </c>
      <c r="AO173" s="329">
        <v>660133</v>
      </c>
    </row>
    <row r="174" spans="1:41">
      <c r="A174" s="333">
        <f>SUBTOTAL(3,$B$7:B174)</f>
        <v>168</v>
      </c>
      <c r="B174" s="3" t="s">
        <v>105</v>
      </c>
      <c r="C174" s="275" t="s">
        <v>408</v>
      </c>
      <c r="D174" s="329">
        <v>0</v>
      </c>
      <c r="E174" s="329">
        <v>48</v>
      </c>
      <c r="F174" s="329">
        <v>0</v>
      </c>
      <c r="G174" s="329">
        <v>0</v>
      </c>
      <c r="H174" s="329">
        <v>48</v>
      </c>
      <c r="I174" s="329">
        <v>0</v>
      </c>
      <c r="J174" s="329">
        <v>0</v>
      </c>
      <c r="K174" s="333">
        <v>0</v>
      </c>
      <c r="L174" s="333"/>
      <c r="M174" s="208">
        <v>245</v>
      </c>
      <c r="N174" s="345" t="s">
        <v>408</v>
      </c>
      <c r="O174" s="329">
        <v>0</v>
      </c>
      <c r="P174" s="329">
        <v>0</v>
      </c>
      <c r="Q174" s="329">
        <v>48</v>
      </c>
      <c r="R174" s="333">
        <v>48</v>
      </c>
      <c r="S174" s="333">
        <v>1383783</v>
      </c>
      <c r="T174" s="3">
        <v>1.55</v>
      </c>
      <c r="U174" s="3"/>
      <c r="V174" s="279" t="s">
        <v>408</v>
      </c>
      <c r="W174" s="329">
        <v>0</v>
      </c>
      <c r="X174" s="329">
        <v>0</v>
      </c>
      <c r="Y174" s="329">
        <v>0</v>
      </c>
      <c r="Z174" s="3"/>
      <c r="AA174" s="279" t="s">
        <v>408</v>
      </c>
      <c r="AB174" s="329">
        <v>0</v>
      </c>
      <c r="AC174" s="329">
        <v>0</v>
      </c>
      <c r="AD174" s="329">
        <v>48</v>
      </c>
      <c r="AE174" s="329">
        <v>48</v>
      </c>
      <c r="AF174" s="329">
        <v>38</v>
      </c>
      <c r="AG174" s="329">
        <v>575330</v>
      </c>
      <c r="AH174" s="3"/>
      <c r="AI174" s="279" t="s">
        <v>408</v>
      </c>
      <c r="AJ174" s="329">
        <v>0</v>
      </c>
      <c r="AK174" s="329">
        <v>0</v>
      </c>
      <c r="AL174" s="329">
        <v>48</v>
      </c>
      <c r="AM174" s="329">
        <v>48</v>
      </c>
      <c r="AN174" s="329">
        <v>38</v>
      </c>
      <c r="AO174" s="329">
        <v>808453</v>
      </c>
    </row>
    <row r="175" spans="1:41">
      <c r="A175" s="333">
        <f>SUBTOTAL(3,$B$7:B175)</f>
        <v>169</v>
      </c>
      <c r="B175" s="3" t="s">
        <v>105</v>
      </c>
      <c r="C175" s="275" t="s">
        <v>409</v>
      </c>
      <c r="D175" s="329">
        <v>0</v>
      </c>
      <c r="E175" s="329">
        <v>31</v>
      </c>
      <c r="F175" s="329">
        <v>0</v>
      </c>
      <c r="G175" s="329">
        <v>0</v>
      </c>
      <c r="H175" s="329">
        <v>31</v>
      </c>
      <c r="I175" s="329">
        <v>0</v>
      </c>
      <c r="J175" s="329">
        <v>0</v>
      </c>
      <c r="K175" s="333">
        <v>0</v>
      </c>
      <c r="L175" s="333"/>
      <c r="M175" s="165">
        <v>246</v>
      </c>
      <c r="N175" s="345" t="s">
        <v>409</v>
      </c>
      <c r="O175" s="329">
        <v>0</v>
      </c>
      <c r="P175" s="329">
        <v>0</v>
      </c>
      <c r="Q175" s="329">
        <v>31</v>
      </c>
      <c r="R175" s="333">
        <v>31</v>
      </c>
      <c r="S175" s="333">
        <v>425258</v>
      </c>
      <c r="T175" s="3">
        <v>1.35</v>
      </c>
      <c r="U175" s="3"/>
      <c r="V175" s="279" t="s">
        <v>409</v>
      </c>
      <c r="W175" s="329">
        <v>0</v>
      </c>
      <c r="X175" s="329">
        <v>0</v>
      </c>
      <c r="Y175" s="329">
        <v>0</v>
      </c>
      <c r="Z175" s="3"/>
      <c r="AA175" s="279" t="s">
        <v>409</v>
      </c>
      <c r="AB175" s="329">
        <v>0</v>
      </c>
      <c r="AC175" s="329">
        <v>0</v>
      </c>
      <c r="AD175" s="329">
        <v>31</v>
      </c>
      <c r="AE175" s="329">
        <v>31</v>
      </c>
      <c r="AF175" s="329">
        <v>25</v>
      </c>
      <c r="AG175" s="329">
        <v>176611</v>
      </c>
      <c r="AH175" s="3"/>
      <c r="AI175" s="279" t="s">
        <v>409</v>
      </c>
      <c r="AJ175" s="329">
        <v>0</v>
      </c>
      <c r="AK175" s="329">
        <v>0</v>
      </c>
      <c r="AL175" s="329">
        <v>31</v>
      </c>
      <c r="AM175" s="329">
        <v>31</v>
      </c>
      <c r="AN175" s="329">
        <v>25</v>
      </c>
      <c r="AO175" s="329">
        <v>248647</v>
      </c>
    </row>
    <row r="176" spans="1:41">
      <c r="A176" s="333">
        <f>SUBTOTAL(3,$B$7:B176)</f>
        <v>170</v>
      </c>
      <c r="B176" s="3" t="s">
        <v>105</v>
      </c>
      <c r="C176" s="275" t="s">
        <v>410</v>
      </c>
      <c r="D176" s="329">
        <v>0</v>
      </c>
      <c r="E176" s="329">
        <v>208</v>
      </c>
      <c r="F176" s="329">
        <v>0</v>
      </c>
      <c r="G176" s="329">
        <v>0</v>
      </c>
      <c r="H176" s="329">
        <v>208</v>
      </c>
      <c r="I176" s="329">
        <v>0</v>
      </c>
      <c r="J176" s="329">
        <v>35</v>
      </c>
      <c r="K176" s="333">
        <v>35</v>
      </c>
      <c r="L176" s="333"/>
      <c r="M176" s="165">
        <v>247</v>
      </c>
      <c r="N176" s="345" t="s">
        <v>410</v>
      </c>
      <c r="O176" s="329">
        <v>0</v>
      </c>
      <c r="P176" s="329">
        <v>0</v>
      </c>
      <c r="Q176" s="329">
        <v>208</v>
      </c>
      <c r="R176" s="333">
        <v>208</v>
      </c>
      <c r="S176" s="333">
        <v>7946444</v>
      </c>
      <c r="T176" s="3">
        <v>2.15</v>
      </c>
      <c r="U176" s="3"/>
      <c r="V176" s="279" t="s">
        <v>410</v>
      </c>
      <c r="W176" s="329">
        <v>35</v>
      </c>
      <c r="X176" s="329">
        <v>47870.171428571426</v>
      </c>
      <c r="Y176" s="329">
        <v>1675456</v>
      </c>
      <c r="Z176" s="3"/>
      <c r="AA176" s="279" t="s">
        <v>410</v>
      </c>
      <c r="AB176" s="329">
        <v>0</v>
      </c>
      <c r="AC176" s="329">
        <v>0</v>
      </c>
      <c r="AD176" s="329">
        <v>208</v>
      </c>
      <c r="AE176" s="329">
        <v>208</v>
      </c>
      <c r="AF176" s="329">
        <v>166</v>
      </c>
      <c r="AG176" s="329">
        <v>3138446</v>
      </c>
      <c r="AH176" s="3"/>
      <c r="AI176" s="279" t="s">
        <v>410</v>
      </c>
      <c r="AJ176" s="329">
        <v>0</v>
      </c>
      <c r="AK176" s="329">
        <v>0</v>
      </c>
      <c r="AL176" s="329">
        <v>208</v>
      </c>
      <c r="AM176" s="329">
        <v>208</v>
      </c>
      <c r="AN176" s="329">
        <v>166</v>
      </c>
      <c r="AO176" s="329">
        <v>4807998</v>
      </c>
    </row>
    <row r="177" spans="1:41">
      <c r="A177" s="333">
        <f>SUBTOTAL(3,$B$7:B177)</f>
        <v>171</v>
      </c>
      <c r="B177" s="3" t="s">
        <v>105</v>
      </c>
      <c r="C177" s="275" t="s">
        <v>411</v>
      </c>
      <c r="D177" s="329">
        <v>0</v>
      </c>
      <c r="E177" s="329">
        <v>30</v>
      </c>
      <c r="F177" s="329">
        <v>0</v>
      </c>
      <c r="G177" s="329">
        <v>0</v>
      </c>
      <c r="H177" s="329">
        <v>30</v>
      </c>
      <c r="I177" s="329">
        <v>0</v>
      </c>
      <c r="J177" s="329">
        <v>0</v>
      </c>
      <c r="K177" s="333">
        <v>0</v>
      </c>
      <c r="L177" s="333"/>
      <c r="M177" s="208">
        <v>248</v>
      </c>
      <c r="N177" s="345" t="s">
        <v>411</v>
      </c>
      <c r="O177" s="329">
        <v>0</v>
      </c>
      <c r="P177" s="329">
        <v>0</v>
      </c>
      <c r="Q177" s="329">
        <v>30</v>
      </c>
      <c r="R177" s="333">
        <v>30</v>
      </c>
      <c r="S177" s="333">
        <v>893771</v>
      </c>
      <c r="T177" s="3">
        <v>1.6</v>
      </c>
      <c r="U177" s="3"/>
      <c r="V177" s="279" t="s">
        <v>411</v>
      </c>
      <c r="W177" s="329">
        <v>0</v>
      </c>
      <c r="X177" s="329">
        <v>0</v>
      </c>
      <c r="Y177" s="329">
        <v>0</v>
      </c>
      <c r="Z177" s="3"/>
      <c r="AA177" s="279" t="s">
        <v>411</v>
      </c>
      <c r="AB177" s="329">
        <v>0</v>
      </c>
      <c r="AC177" s="329">
        <v>0</v>
      </c>
      <c r="AD177" s="329">
        <v>30</v>
      </c>
      <c r="AE177" s="329">
        <v>30</v>
      </c>
      <c r="AF177" s="329">
        <v>24</v>
      </c>
      <c r="AG177" s="329">
        <v>372074</v>
      </c>
      <c r="AH177" s="3"/>
      <c r="AI177" s="279" t="s">
        <v>411</v>
      </c>
      <c r="AJ177" s="329">
        <v>0</v>
      </c>
      <c r="AK177" s="329">
        <v>0</v>
      </c>
      <c r="AL177" s="329">
        <v>30</v>
      </c>
      <c r="AM177" s="329">
        <v>30</v>
      </c>
      <c r="AN177" s="329">
        <v>24</v>
      </c>
      <c r="AO177" s="329">
        <v>521697</v>
      </c>
    </row>
    <row r="178" spans="1:41">
      <c r="A178" s="333">
        <f>SUBTOTAL(3,$B$7:B178)</f>
        <v>172</v>
      </c>
      <c r="B178" s="3" t="s">
        <v>101</v>
      </c>
      <c r="C178" s="275" t="s">
        <v>412</v>
      </c>
      <c r="D178" s="329">
        <v>0</v>
      </c>
      <c r="E178" s="329">
        <v>223</v>
      </c>
      <c r="F178" s="329">
        <v>0</v>
      </c>
      <c r="G178" s="329">
        <v>0</v>
      </c>
      <c r="H178" s="329">
        <v>223</v>
      </c>
      <c r="I178" s="329">
        <v>0</v>
      </c>
      <c r="J178" s="329">
        <v>47</v>
      </c>
      <c r="K178" s="333">
        <v>47</v>
      </c>
      <c r="L178" s="333"/>
      <c r="M178" s="165">
        <v>249</v>
      </c>
      <c r="N178" s="345" t="s">
        <v>412</v>
      </c>
      <c r="O178" s="329">
        <v>0</v>
      </c>
      <c r="P178" s="329">
        <v>0</v>
      </c>
      <c r="Q178" s="329">
        <v>223</v>
      </c>
      <c r="R178" s="333">
        <v>223</v>
      </c>
      <c r="S178" s="333">
        <v>4289412</v>
      </c>
      <c r="T178" s="3">
        <v>2.5499999999999998</v>
      </c>
      <c r="U178" s="3"/>
      <c r="V178" s="279" t="s">
        <v>412</v>
      </c>
      <c r="W178" s="329">
        <v>47</v>
      </c>
      <c r="X178" s="329">
        <v>56919.234042553195</v>
      </c>
      <c r="Y178" s="329">
        <v>2675204</v>
      </c>
      <c r="Z178" s="3"/>
      <c r="AA178" s="279" t="s">
        <v>412</v>
      </c>
      <c r="AB178" s="329">
        <v>0</v>
      </c>
      <c r="AC178" s="329">
        <v>0</v>
      </c>
      <c r="AD178" s="329">
        <v>223</v>
      </c>
      <c r="AE178" s="329">
        <v>223</v>
      </c>
      <c r="AF178" s="329">
        <v>178</v>
      </c>
      <c r="AG178" s="329">
        <v>1765302</v>
      </c>
      <c r="AH178" s="3"/>
      <c r="AI178" s="279" t="s">
        <v>412</v>
      </c>
      <c r="AJ178" s="329">
        <v>0</v>
      </c>
      <c r="AK178" s="329">
        <v>0</v>
      </c>
      <c r="AL178" s="329">
        <v>223</v>
      </c>
      <c r="AM178" s="329">
        <v>223</v>
      </c>
      <c r="AN178" s="329">
        <v>178</v>
      </c>
      <c r="AO178" s="329">
        <v>2524110</v>
      </c>
    </row>
    <row r="179" spans="1:41">
      <c r="A179" s="333">
        <f>SUBTOTAL(3,$B$7:B179)</f>
        <v>173</v>
      </c>
      <c r="B179" s="3" t="s">
        <v>101</v>
      </c>
      <c r="C179" s="275" t="s">
        <v>413</v>
      </c>
      <c r="D179" s="329">
        <v>0</v>
      </c>
      <c r="E179" s="329">
        <v>25</v>
      </c>
      <c r="F179" s="329">
        <v>0</v>
      </c>
      <c r="G179" s="329">
        <v>0</v>
      </c>
      <c r="H179" s="329">
        <v>25</v>
      </c>
      <c r="I179" s="329">
        <v>0</v>
      </c>
      <c r="J179" s="329">
        <v>21</v>
      </c>
      <c r="K179" s="333">
        <v>21</v>
      </c>
      <c r="L179" s="333"/>
      <c r="M179" s="165">
        <v>250</v>
      </c>
      <c r="N179" s="345" t="s">
        <v>413</v>
      </c>
      <c r="O179" s="329">
        <v>0</v>
      </c>
      <c r="P179" s="329">
        <v>0</v>
      </c>
      <c r="Q179" s="329">
        <v>25</v>
      </c>
      <c r="R179" s="333">
        <v>25</v>
      </c>
      <c r="S179" s="333">
        <v>1647624</v>
      </c>
      <c r="T179" s="3">
        <v>3.7</v>
      </c>
      <c r="U179" s="3"/>
      <c r="V179" s="279" t="s">
        <v>413</v>
      </c>
      <c r="W179" s="329">
        <v>21</v>
      </c>
      <c r="X179" s="329">
        <v>82381.190476190473</v>
      </c>
      <c r="Y179" s="329">
        <v>1730005</v>
      </c>
      <c r="Z179" s="3"/>
      <c r="AA179" s="279" t="s">
        <v>413</v>
      </c>
      <c r="AB179" s="329">
        <v>0</v>
      </c>
      <c r="AC179" s="329">
        <v>0</v>
      </c>
      <c r="AD179" s="329">
        <v>25</v>
      </c>
      <c r="AE179" s="329">
        <v>25</v>
      </c>
      <c r="AF179" s="329">
        <v>20</v>
      </c>
      <c r="AG179" s="329">
        <v>650729</v>
      </c>
      <c r="AH179" s="3"/>
      <c r="AI179" s="279" t="s">
        <v>413</v>
      </c>
      <c r="AJ179" s="329">
        <v>0</v>
      </c>
      <c r="AK179" s="329">
        <v>0</v>
      </c>
      <c r="AL179" s="329">
        <v>25</v>
      </c>
      <c r="AM179" s="329">
        <v>25</v>
      </c>
      <c r="AN179" s="329">
        <v>20</v>
      </c>
      <c r="AO179" s="329">
        <v>996895</v>
      </c>
    </row>
    <row r="180" spans="1:41">
      <c r="A180" s="333">
        <f>SUBTOTAL(3,$B$7:B180)</f>
        <v>174</v>
      </c>
      <c r="B180" s="3" t="s">
        <v>107</v>
      </c>
      <c r="C180" s="275" t="s">
        <v>234</v>
      </c>
      <c r="D180" s="329">
        <v>0</v>
      </c>
      <c r="E180" s="329">
        <v>362</v>
      </c>
      <c r="F180" s="329">
        <v>0</v>
      </c>
      <c r="G180" s="329">
        <v>0</v>
      </c>
      <c r="H180" s="329">
        <v>362</v>
      </c>
      <c r="I180" s="329">
        <v>0</v>
      </c>
      <c r="J180" s="329">
        <v>227</v>
      </c>
      <c r="K180" s="333">
        <v>227</v>
      </c>
      <c r="L180" s="333"/>
      <c r="M180" s="208">
        <v>251</v>
      </c>
      <c r="N180" s="279" t="s">
        <v>234</v>
      </c>
      <c r="O180" s="329">
        <v>0</v>
      </c>
      <c r="P180" s="329">
        <v>0</v>
      </c>
      <c r="Q180" s="329">
        <v>362</v>
      </c>
      <c r="R180" s="333">
        <v>362</v>
      </c>
      <c r="S180" s="333">
        <v>4003608</v>
      </c>
      <c r="T180" s="3">
        <v>1.95</v>
      </c>
      <c r="U180" s="3"/>
      <c r="V180" s="279" t="s">
        <v>234</v>
      </c>
      <c r="W180" s="329">
        <v>227</v>
      </c>
      <c r="X180" s="329">
        <v>11059.69603524229</v>
      </c>
      <c r="Y180" s="329">
        <v>2510551</v>
      </c>
      <c r="Z180" s="3"/>
      <c r="AA180" s="279" t="s">
        <v>234</v>
      </c>
      <c r="AB180" s="329">
        <v>0</v>
      </c>
      <c r="AC180" s="329">
        <v>0</v>
      </c>
      <c r="AD180" s="329">
        <v>362</v>
      </c>
      <c r="AE180" s="329">
        <v>362</v>
      </c>
      <c r="AF180" s="329">
        <v>290</v>
      </c>
      <c r="AG180" s="329">
        <v>1581224</v>
      </c>
      <c r="AH180" s="3"/>
      <c r="AI180" s="279" t="s">
        <v>234</v>
      </c>
      <c r="AJ180" s="329">
        <v>0</v>
      </c>
      <c r="AK180" s="329">
        <v>0</v>
      </c>
      <c r="AL180" s="329">
        <v>362</v>
      </c>
      <c r="AM180" s="329">
        <v>362</v>
      </c>
      <c r="AN180" s="329">
        <v>290</v>
      </c>
      <c r="AO180" s="329">
        <v>2422384</v>
      </c>
    </row>
    <row r="181" spans="1:41">
      <c r="A181" s="333">
        <f>SUBTOTAL(3,$B$7:B181)</f>
        <v>175</v>
      </c>
      <c r="B181" s="3" t="s">
        <v>107</v>
      </c>
      <c r="C181" s="275" t="s">
        <v>235</v>
      </c>
      <c r="D181" s="329">
        <v>0</v>
      </c>
      <c r="E181" s="329">
        <v>213</v>
      </c>
      <c r="F181" s="329">
        <v>0</v>
      </c>
      <c r="G181" s="329">
        <v>0</v>
      </c>
      <c r="H181" s="329">
        <v>213</v>
      </c>
      <c r="I181" s="329">
        <v>0</v>
      </c>
      <c r="J181" s="329">
        <v>158</v>
      </c>
      <c r="K181" s="333">
        <v>158</v>
      </c>
      <c r="L181" s="333"/>
      <c r="M181" s="165">
        <v>252</v>
      </c>
      <c r="N181" s="279" t="s">
        <v>235</v>
      </c>
      <c r="O181" s="329">
        <v>0</v>
      </c>
      <c r="P181" s="329">
        <v>0</v>
      </c>
      <c r="Q181" s="329">
        <v>213</v>
      </c>
      <c r="R181" s="333">
        <v>213</v>
      </c>
      <c r="S181" s="333">
        <v>2119016</v>
      </c>
      <c r="T181" s="3">
        <v>2.1</v>
      </c>
      <c r="U181" s="3"/>
      <c r="V181" s="279" t="s">
        <v>235</v>
      </c>
      <c r="W181" s="329">
        <v>158</v>
      </c>
      <c r="X181" s="329">
        <v>49279.455696202531</v>
      </c>
      <c r="Y181" s="329">
        <v>7786154</v>
      </c>
      <c r="Z181" s="3"/>
      <c r="AA181" s="279" t="s">
        <v>235</v>
      </c>
      <c r="AB181" s="329">
        <v>0</v>
      </c>
      <c r="AC181" s="329">
        <v>0</v>
      </c>
      <c r="AD181" s="329">
        <v>213</v>
      </c>
      <c r="AE181" s="329">
        <v>213</v>
      </c>
      <c r="AF181" s="329">
        <v>170</v>
      </c>
      <c r="AG181" s="329">
        <v>887367</v>
      </c>
      <c r="AH181" s="3"/>
      <c r="AI181" s="279" t="s">
        <v>235</v>
      </c>
      <c r="AJ181" s="329">
        <v>0</v>
      </c>
      <c r="AK181" s="329">
        <v>0</v>
      </c>
      <c r="AL181" s="329">
        <v>213</v>
      </c>
      <c r="AM181" s="329">
        <v>213</v>
      </c>
      <c r="AN181" s="329">
        <v>170</v>
      </c>
      <c r="AO181" s="329">
        <v>1231649</v>
      </c>
    </row>
    <row r="182" spans="1:41">
      <c r="A182" s="333">
        <f>SUBTOTAL(3,$B$7:B182)</f>
        <v>176</v>
      </c>
      <c r="B182" s="3" t="s">
        <v>161</v>
      </c>
      <c r="C182" s="275" t="s">
        <v>414</v>
      </c>
      <c r="D182" s="329">
        <v>0</v>
      </c>
      <c r="E182" s="329">
        <v>65</v>
      </c>
      <c r="F182" s="329">
        <v>0</v>
      </c>
      <c r="G182" s="329">
        <v>0</v>
      </c>
      <c r="H182" s="329">
        <v>65</v>
      </c>
      <c r="I182" s="329">
        <v>0</v>
      </c>
      <c r="J182" s="329">
        <v>0</v>
      </c>
      <c r="K182" s="333">
        <v>0</v>
      </c>
      <c r="L182" s="333"/>
      <c r="M182" s="165">
        <v>253</v>
      </c>
      <c r="N182" s="345" t="s">
        <v>414</v>
      </c>
      <c r="O182" s="329">
        <v>0</v>
      </c>
      <c r="P182" s="329">
        <v>0</v>
      </c>
      <c r="Q182" s="329">
        <v>65</v>
      </c>
      <c r="R182" s="333">
        <v>65</v>
      </c>
      <c r="S182" s="333">
        <v>543046</v>
      </c>
      <c r="T182" s="3">
        <v>1.1000000000000001</v>
      </c>
      <c r="U182" s="3"/>
      <c r="V182" s="279" t="s">
        <v>414</v>
      </c>
      <c r="W182" s="329">
        <v>0</v>
      </c>
      <c r="X182" s="329">
        <v>0</v>
      </c>
      <c r="Y182" s="329">
        <v>0</v>
      </c>
      <c r="Z182" s="3"/>
      <c r="AA182" s="279" t="s">
        <v>414</v>
      </c>
      <c r="AB182" s="329">
        <v>0</v>
      </c>
      <c r="AC182" s="329">
        <v>0</v>
      </c>
      <c r="AD182" s="329">
        <v>65</v>
      </c>
      <c r="AE182" s="329">
        <v>65</v>
      </c>
      <c r="AF182" s="329">
        <v>52</v>
      </c>
      <c r="AG182" s="329">
        <v>228249</v>
      </c>
      <c r="AH182" s="3"/>
      <c r="AI182" s="279" t="s">
        <v>414</v>
      </c>
      <c r="AJ182" s="329">
        <v>0</v>
      </c>
      <c r="AK182" s="329">
        <v>0</v>
      </c>
      <c r="AL182" s="329">
        <v>65</v>
      </c>
      <c r="AM182" s="329">
        <v>65</v>
      </c>
      <c r="AN182" s="329">
        <v>52</v>
      </c>
      <c r="AO182" s="329">
        <v>314797</v>
      </c>
    </row>
    <row r="183" spans="1:41">
      <c r="A183" s="333">
        <f>SUBTOTAL(3,$B$7:B183)</f>
        <v>177</v>
      </c>
      <c r="B183" s="3" t="s">
        <v>161</v>
      </c>
      <c r="C183" s="275" t="s">
        <v>415</v>
      </c>
      <c r="D183" s="329">
        <v>0</v>
      </c>
      <c r="E183" s="329">
        <v>171</v>
      </c>
      <c r="F183" s="329">
        <v>0</v>
      </c>
      <c r="G183" s="329">
        <v>0</v>
      </c>
      <c r="H183" s="329">
        <v>171</v>
      </c>
      <c r="I183" s="329">
        <v>0</v>
      </c>
      <c r="J183" s="329">
        <v>0</v>
      </c>
      <c r="K183" s="333">
        <v>0</v>
      </c>
      <c r="L183" s="333"/>
      <c r="M183" s="208">
        <v>254</v>
      </c>
      <c r="N183" s="345" t="s">
        <v>415</v>
      </c>
      <c r="O183" s="329">
        <v>0</v>
      </c>
      <c r="P183" s="329">
        <v>0</v>
      </c>
      <c r="Q183" s="329">
        <v>171</v>
      </c>
      <c r="R183" s="333">
        <v>171</v>
      </c>
      <c r="S183" s="333">
        <v>1666596</v>
      </c>
      <c r="T183" s="3">
        <v>1.1000000000000001</v>
      </c>
      <c r="U183" s="3"/>
      <c r="V183" s="279" t="s">
        <v>415</v>
      </c>
      <c r="W183" s="329">
        <v>0</v>
      </c>
      <c r="X183" s="329">
        <v>0</v>
      </c>
      <c r="Y183" s="329">
        <v>0</v>
      </c>
      <c r="Z183" s="3"/>
      <c r="AA183" s="279" t="s">
        <v>415</v>
      </c>
      <c r="AB183" s="329">
        <v>0</v>
      </c>
      <c r="AC183" s="329">
        <v>0</v>
      </c>
      <c r="AD183" s="329">
        <v>171</v>
      </c>
      <c r="AE183" s="329">
        <v>171</v>
      </c>
      <c r="AF183" s="329">
        <v>137</v>
      </c>
      <c r="AG183" s="329">
        <v>700491</v>
      </c>
      <c r="AH183" s="3"/>
      <c r="AI183" s="279" t="s">
        <v>415</v>
      </c>
      <c r="AJ183" s="329">
        <v>0</v>
      </c>
      <c r="AK183" s="329">
        <v>0</v>
      </c>
      <c r="AL183" s="329">
        <v>171</v>
      </c>
      <c r="AM183" s="329">
        <v>171</v>
      </c>
      <c r="AN183" s="329">
        <v>137</v>
      </c>
      <c r="AO183" s="329">
        <v>966105</v>
      </c>
    </row>
    <row r="184" spans="1:41">
      <c r="A184" s="333">
        <f>SUBTOTAL(3,$B$7:B184)</f>
        <v>178</v>
      </c>
      <c r="B184" s="3" t="s">
        <v>161</v>
      </c>
      <c r="C184" s="275" t="s">
        <v>416</v>
      </c>
      <c r="D184" s="329">
        <v>0</v>
      </c>
      <c r="E184" s="329">
        <v>121</v>
      </c>
      <c r="F184" s="329">
        <v>0</v>
      </c>
      <c r="G184" s="329">
        <v>0</v>
      </c>
      <c r="H184" s="329">
        <v>121</v>
      </c>
      <c r="I184" s="329">
        <v>0</v>
      </c>
      <c r="J184" s="329">
        <v>66</v>
      </c>
      <c r="K184" s="333">
        <v>66</v>
      </c>
      <c r="L184" s="333"/>
      <c r="M184" s="165">
        <v>255</v>
      </c>
      <c r="N184" s="345" t="s">
        <v>416</v>
      </c>
      <c r="O184" s="329">
        <v>0</v>
      </c>
      <c r="P184" s="329">
        <v>0</v>
      </c>
      <c r="Q184" s="329">
        <v>121</v>
      </c>
      <c r="R184" s="333">
        <v>121</v>
      </c>
      <c r="S184" s="333">
        <v>2255798</v>
      </c>
      <c r="T184" s="3">
        <v>1.9</v>
      </c>
      <c r="U184" s="3"/>
      <c r="V184" s="279" t="s">
        <v>416</v>
      </c>
      <c r="W184" s="329">
        <v>66</v>
      </c>
      <c r="X184" s="329">
        <v>35725.42424242424</v>
      </c>
      <c r="Y184" s="329">
        <v>2357878</v>
      </c>
      <c r="Z184" s="3"/>
      <c r="AA184" s="279" t="s">
        <v>416</v>
      </c>
      <c r="AB184" s="329">
        <v>0</v>
      </c>
      <c r="AC184" s="329">
        <v>0</v>
      </c>
      <c r="AD184" s="329">
        <v>121</v>
      </c>
      <c r="AE184" s="329">
        <v>121</v>
      </c>
      <c r="AF184" s="329">
        <v>97</v>
      </c>
      <c r="AG184" s="329">
        <v>948140</v>
      </c>
      <c r="AH184" s="3"/>
      <c r="AI184" s="279" t="s">
        <v>416</v>
      </c>
      <c r="AJ184" s="329">
        <v>0</v>
      </c>
      <c r="AK184" s="329">
        <v>0</v>
      </c>
      <c r="AL184" s="329">
        <v>121</v>
      </c>
      <c r="AM184" s="329">
        <v>121</v>
      </c>
      <c r="AN184" s="329">
        <v>97</v>
      </c>
      <c r="AO184" s="329">
        <v>1307658</v>
      </c>
    </row>
    <row r="185" spans="1:41">
      <c r="A185" s="333">
        <f>SUBTOTAL(3,$B$7:B185)</f>
        <v>179</v>
      </c>
      <c r="B185" s="3" t="s">
        <v>161</v>
      </c>
      <c r="C185" s="275" t="s">
        <v>417</v>
      </c>
      <c r="D185" s="329">
        <v>0</v>
      </c>
      <c r="E185" s="329">
        <v>62</v>
      </c>
      <c r="F185" s="329">
        <v>0</v>
      </c>
      <c r="G185" s="329">
        <v>0</v>
      </c>
      <c r="H185" s="329">
        <v>62</v>
      </c>
      <c r="I185" s="329">
        <v>0</v>
      </c>
      <c r="J185" s="329">
        <v>58</v>
      </c>
      <c r="K185" s="333">
        <v>58</v>
      </c>
      <c r="L185" s="333"/>
      <c r="M185" s="165">
        <v>256</v>
      </c>
      <c r="N185" s="345" t="s">
        <v>417</v>
      </c>
      <c r="O185" s="329">
        <v>0</v>
      </c>
      <c r="P185" s="329">
        <v>0</v>
      </c>
      <c r="Q185" s="329">
        <v>62</v>
      </c>
      <c r="R185" s="333">
        <v>62</v>
      </c>
      <c r="S185" s="333">
        <v>547471</v>
      </c>
      <c r="T185" s="3">
        <v>1.9</v>
      </c>
      <c r="U185" s="3"/>
      <c r="V185" s="279" t="s">
        <v>417</v>
      </c>
      <c r="W185" s="329">
        <v>58</v>
      </c>
      <c r="X185" s="329">
        <v>42694.086206896551</v>
      </c>
      <c r="Y185" s="329">
        <v>2476257</v>
      </c>
      <c r="Z185" s="3"/>
      <c r="AA185" s="279" t="s">
        <v>417</v>
      </c>
      <c r="AB185" s="329">
        <v>0</v>
      </c>
      <c r="AC185" s="329">
        <v>0</v>
      </c>
      <c r="AD185" s="329">
        <v>62</v>
      </c>
      <c r="AE185" s="329">
        <v>62</v>
      </c>
      <c r="AF185" s="329">
        <v>50</v>
      </c>
      <c r="AG185" s="329">
        <v>230109</v>
      </c>
      <c r="AH185" s="3"/>
      <c r="AI185" s="279" t="s">
        <v>417</v>
      </c>
      <c r="AJ185" s="329">
        <v>0</v>
      </c>
      <c r="AK185" s="329">
        <v>0</v>
      </c>
      <c r="AL185" s="329">
        <v>62</v>
      </c>
      <c r="AM185" s="329">
        <v>62</v>
      </c>
      <c r="AN185" s="329">
        <v>50</v>
      </c>
      <c r="AO185" s="329">
        <v>317362</v>
      </c>
    </row>
    <row r="186" spans="1:41">
      <c r="A186" s="333">
        <f>SUBTOTAL(3,$B$7:B186)</f>
        <v>180</v>
      </c>
      <c r="B186" s="3" t="s">
        <v>161</v>
      </c>
      <c r="C186" s="275" t="s">
        <v>418</v>
      </c>
      <c r="D186" s="329">
        <v>0</v>
      </c>
      <c r="E186" s="329">
        <v>397</v>
      </c>
      <c r="F186" s="329">
        <v>0</v>
      </c>
      <c r="G186" s="329">
        <v>0</v>
      </c>
      <c r="H186" s="329">
        <v>397</v>
      </c>
      <c r="I186" s="329">
        <v>0</v>
      </c>
      <c r="J186" s="329">
        <v>167</v>
      </c>
      <c r="K186" s="333">
        <v>167</v>
      </c>
      <c r="L186" s="333"/>
      <c r="M186" s="208">
        <v>257</v>
      </c>
      <c r="N186" s="345" t="s">
        <v>418</v>
      </c>
      <c r="O186" s="329">
        <v>0</v>
      </c>
      <c r="P186" s="329">
        <v>0</v>
      </c>
      <c r="Q186" s="329">
        <v>397</v>
      </c>
      <c r="R186" s="333">
        <v>397</v>
      </c>
      <c r="S186" s="333">
        <v>13802106</v>
      </c>
      <c r="T186" s="3">
        <v>1.85</v>
      </c>
      <c r="U186" s="3"/>
      <c r="V186" s="279" t="s">
        <v>418</v>
      </c>
      <c r="W186" s="329">
        <v>167</v>
      </c>
      <c r="X186" s="329">
        <v>43149.071856287424</v>
      </c>
      <c r="Y186" s="329">
        <v>7205895</v>
      </c>
      <c r="Z186" s="3"/>
      <c r="AA186" s="279" t="s">
        <v>418</v>
      </c>
      <c r="AB186" s="329">
        <v>0</v>
      </c>
      <c r="AC186" s="329">
        <v>0</v>
      </c>
      <c r="AD186" s="329">
        <v>397</v>
      </c>
      <c r="AE186" s="329">
        <v>397</v>
      </c>
      <c r="AF186" s="329">
        <v>318</v>
      </c>
      <c r="AG186" s="329">
        <v>5801197</v>
      </c>
      <c r="AH186" s="3"/>
      <c r="AI186" s="279" t="s">
        <v>418</v>
      </c>
      <c r="AJ186" s="329">
        <v>0</v>
      </c>
      <c r="AK186" s="329">
        <v>0</v>
      </c>
      <c r="AL186" s="329">
        <v>397</v>
      </c>
      <c r="AM186" s="329">
        <v>397</v>
      </c>
      <c r="AN186" s="329">
        <v>318</v>
      </c>
      <c r="AO186" s="329">
        <v>8000909</v>
      </c>
    </row>
    <row r="187" spans="1:41">
      <c r="A187" s="333">
        <f>SUBTOTAL(3,$B$7:B187)</f>
        <v>181</v>
      </c>
      <c r="B187" s="3" t="s">
        <v>161</v>
      </c>
      <c r="C187" s="275" t="s">
        <v>419</v>
      </c>
      <c r="D187" s="329">
        <v>0</v>
      </c>
      <c r="E187" s="329">
        <v>145</v>
      </c>
      <c r="F187" s="329">
        <v>0</v>
      </c>
      <c r="G187" s="329">
        <v>0</v>
      </c>
      <c r="H187" s="329">
        <v>145</v>
      </c>
      <c r="I187" s="329">
        <v>0</v>
      </c>
      <c r="J187" s="329">
        <v>53</v>
      </c>
      <c r="K187" s="333">
        <v>53</v>
      </c>
      <c r="L187" s="333"/>
      <c r="M187" s="165">
        <v>258</v>
      </c>
      <c r="N187" s="345" t="s">
        <v>419</v>
      </c>
      <c r="O187" s="329">
        <v>0</v>
      </c>
      <c r="P187" s="329">
        <v>0</v>
      </c>
      <c r="Q187" s="329">
        <v>145</v>
      </c>
      <c r="R187" s="333">
        <v>145</v>
      </c>
      <c r="S187" s="333">
        <v>8125498</v>
      </c>
      <c r="T187" s="3">
        <v>4.8</v>
      </c>
      <c r="U187" s="3"/>
      <c r="V187" s="279" t="s">
        <v>419</v>
      </c>
      <c r="W187" s="329">
        <v>53</v>
      </c>
      <c r="X187" s="329">
        <v>83024.018867924533</v>
      </c>
      <c r="Y187" s="329">
        <v>4400273</v>
      </c>
      <c r="Z187" s="3"/>
      <c r="AA187" s="279" t="s">
        <v>419</v>
      </c>
      <c r="AB187" s="329">
        <v>0</v>
      </c>
      <c r="AC187" s="329">
        <v>0</v>
      </c>
      <c r="AD187" s="329">
        <v>145</v>
      </c>
      <c r="AE187" s="329">
        <v>145</v>
      </c>
      <c r="AF187" s="329">
        <v>116</v>
      </c>
      <c r="AG187" s="329">
        <v>3415248</v>
      </c>
      <c r="AH187" s="3"/>
      <c r="AI187" s="279" t="s">
        <v>419</v>
      </c>
      <c r="AJ187" s="329">
        <v>0</v>
      </c>
      <c r="AK187" s="329">
        <v>0</v>
      </c>
      <c r="AL187" s="329">
        <v>145</v>
      </c>
      <c r="AM187" s="329">
        <v>145</v>
      </c>
      <c r="AN187" s="329">
        <v>116</v>
      </c>
      <c r="AO187" s="329">
        <v>4710250</v>
      </c>
    </row>
    <row r="188" spans="1:41">
      <c r="A188" s="333">
        <f>SUBTOTAL(3,$B$7:B188)</f>
        <v>182</v>
      </c>
      <c r="B188" s="3" t="s">
        <v>161</v>
      </c>
      <c r="C188" s="275" t="s">
        <v>420</v>
      </c>
      <c r="D188" s="329">
        <v>0</v>
      </c>
      <c r="E188" s="329">
        <v>195</v>
      </c>
      <c r="F188" s="329">
        <v>23</v>
      </c>
      <c r="G188" s="329">
        <v>129</v>
      </c>
      <c r="H188" s="329">
        <v>43</v>
      </c>
      <c r="I188" s="329">
        <v>0</v>
      </c>
      <c r="J188" s="329">
        <v>30</v>
      </c>
      <c r="K188" s="333">
        <v>30</v>
      </c>
      <c r="L188" s="333"/>
      <c r="M188" s="165">
        <v>259</v>
      </c>
      <c r="N188" s="345" t="s">
        <v>420</v>
      </c>
      <c r="O188" s="329">
        <v>23</v>
      </c>
      <c r="P188" s="329">
        <v>129</v>
      </c>
      <c r="Q188" s="329">
        <v>43</v>
      </c>
      <c r="R188" s="333">
        <v>195</v>
      </c>
      <c r="S188" s="333">
        <v>3532303</v>
      </c>
      <c r="T188" s="3">
        <v>2.5</v>
      </c>
      <c r="U188" s="3"/>
      <c r="V188" s="279" t="s">
        <v>420</v>
      </c>
      <c r="W188" s="329">
        <v>30</v>
      </c>
      <c r="X188" s="329">
        <v>38332.433333333334</v>
      </c>
      <c r="Y188" s="329">
        <v>1149973</v>
      </c>
      <c r="Z188" s="3"/>
      <c r="AA188" s="279" t="s">
        <v>420</v>
      </c>
      <c r="AB188" s="329">
        <v>23</v>
      </c>
      <c r="AC188" s="329">
        <v>129</v>
      </c>
      <c r="AD188" s="329">
        <v>43</v>
      </c>
      <c r="AE188" s="329">
        <v>195</v>
      </c>
      <c r="AF188" s="329">
        <v>104</v>
      </c>
      <c r="AG188" s="329">
        <v>1484671</v>
      </c>
      <c r="AH188" s="3"/>
      <c r="AI188" s="279" t="s">
        <v>420</v>
      </c>
      <c r="AJ188" s="329">
        <v>23</v>
      </c>
      <c r="AK188" s="329">
        <v>129</v>
      </c>
      <c r="AL188" s="329">
        <v>43</v>
      </c>
      <c r="AM188" s="329">
        <v>195</v>
      </c>
      <c r="AN188" s="329">
        <v>104</v>
      </c>
      <c r="AO188" s="329">
        <v>2047632</v>
      </c>
    </row>
    <row r="189" spans="1:41">
      <c r="A189" s="333">
        <f>SUBTOTAL(3,$B$7:B189)</f>
        <v>183</v>
      </c>
      <c r="B189" s="3" t="s">
        <v>161</v>
      </c>
      <c r="C189" s="275" t="s">
        <v>421</v>
      </c>
      <c r="D189" s="329">
        <v>0</v>
      </c>
      <c r="E189" s="329">
        <v>200</v>
      </c>
      <c r="F189" s="329">
        <v>0</v>
      </c>
      <c r="G189" s="329">
        <v>0</v>
      </c>
      <c r="H189" s="329">
        <v>200</v>
      </c>
      <c r="I189" s="329">
        <v>0</v>
      </c>
      <c r="J189" s="329">
        <v>55</v>
      </c>
      <c r="K189" s="333">
        <v>55</v>
      </c>
      <c r="L189" s="333"/>
      <c r="M189" s="208">
        <v>260</v>
      </c>
      <c r="N189" s="345" t="s">
        <v>421</v>
      </c>
      <c r="O189" s="329">
        <v>0</v>
      </c>
      <c r="P189" s="329">
        <v>0</v>
      </c>
      <c r="Q189" s="329">
        <v>200</v>
      </c>
      <c r="R189" s="333">
        <v>200</v>
      </c>
      <c r="S189" s="333">
        <v>3422747</v>
      </c>
      <c r="T189" s="3">
        <v>1.8</v>
      </c>
      <c r="U189" s="3"/>
      <c r="V189" s="279" t="s">
        <v>421</v>
      </c>
      <c r="W189" s="329">
        <v>55</v>
      </c>
      <c r="X189" s="329">
        <v>42256.127272727274</v>
      </c>
      <c r="Y189" s="329">
        <v>2324087</v>
      </c>
      <c r="Z189" s="3"/>
      <c r="AA189" s="279" t="s">
        <v>421</v>
      </c>
      <c r="AB189" s="329">
        <v>0</v>
      </c>
      <c r="AC189" s="329">
        <v>0</v>
      </c>
      <c r="AD189" s="329">
        <v>200</v>
      </c>
      <c r="AE189" s="329">
        <v>200</v>
      </c>
      <c r="AF189" s="329">
        <v>160</v>
      </c>
      <c r="AG189" s="329">
        <v>1438623</v>
      </c>
      <c r="AH189" s="3"/>
      <c r="AI189" s="279" t="s">
        <v>421</v>
      </c>
      <c r="AJ189" s="329">
        <v>0</v>
      </c>
      <c r="AK189" s="329">
        <v>0</v>
      </c>
      <c r="AL189" s="329">
        <v>200</v>
      </c>
      <c r="AM189" s="329">
        <v>200</v>
      </c>
      <c r="AN189" s="329">
        <v>160</v>
      </c>
      <c r="AO189" s="329">
        <v>1984124</v>
      </c>
    </row>
    <row r="190" spans="1:41">
      <c r="A190" s="333">
        <f>SUBTOTAL(3,$B$7:B190)</f>
        <v>184</v>
      </c>
      <c r="B190" s="3" t="s">
        <v>161</v>
      </c>
      <c r="C190" s="275" t="s">
        <v>422</v>
      </c>
      <c r="D190" s="329">
        <v>0</v>
      </c>
      <c r="E190" s="329">
        <v>78</v>
      </c>
      <c r="F190" s="329">
        <v>0</v>
      </c>
      <c r="G190" s="329">
        <v>25</v>
      </c>
      <c r="H190" s="329">
        <v>53</v>
      </c>
      <c r="I190" s="329">
        <v>0</v>
      </c>
      <c r="J190" s="329">
        <v>43</v>
      </c>
      <c r="K190" s="333">
        <v>43</v>
      </c>
      <c r="L190" s="333"/>
      <c r="M190" s="165">
        <v>261</v>
      </c>
      <c r="N190" s="345" t="s">
        <v>422</v>
      </c>
      <c r="O190" s="329">
        <v>0</v>
      </c>
      <c r="P190" s="329">
        <v>25</v>
      </c>
      <c r="Q190" s="329">
        <v>53</v>
      </c>
      <c r="R190" s="333">
        <v>78</v>
      </c>
      <c r="S190" s="333">
        <v>1950919</v>
      </c>
      <c r="T190" s="3">
        <v>1.8</v>
      </c>
      <c r="U190" s="3"/>
      <c r="V190" s="279" t="s">
        <v>422</v>
      </c>
      <c r="W190" s="329">
        <v>43</v>
      </c>
      <c r="X190" s="329">
        <v>37618.860465116282</v>
      </c>
      <c r="Y190" s="329">
        <v>1617611</v>
      </c>
      <c r="Z190" s="3"/>
      <c r="AA190" s="279" t="s">
        <v>422</v>
      </c>
      <c r="AB190" s="329">
        <v>0</v>
      </c>
      <c r="AC190" s="329">
        <v>25</v>
      </c>
      <c r="AD190" s="329">
        <v>53</v>
      </c>
      <c r="AE190" s="329">
        <v>78</v>
      </c>
      <c r="AF190" s="329">
        <v>55</v>
      </c>
      <c r="AG190" s="329">
        <v>825890</v>
      </c>
      <c r="AH190" s="3"/>
      <c r="AI190" s="279" t="s">
        <v>422</v>
      </c>
      <c r="AJ190" s="329">
        <v>0</v>
      </c>
      <c r="AK190" s="329">
        <v>25</v>
      </c>
      <c r="AL190" s="329">
        <v>53</v>
      </c>
      <c r="AM190" s="329">
        <v>78</v>
      </c>
      <c r="AN190" s="329">
        <v>55</v>
      </c>
      <c r="AO190" s="329">
        <v>1125029</v>
      </c>
    </row>
    <row r="191" spans="1:41">
      <c r="A191" s="333">
        <f>SUBTOTAL(3,$B$7:B191)</f>
        <v>185</v>
      </c>
      <c r="B191" s="3" t="s">
        <v>161</v>
      </c>
      <c r="C191" s="275" t="s">
        <v>245</v>
      </c>
      <c r="D191" s="329">
        <v>8432</v>
      </c>
      <c r="E191" s="329">
        <v>102</v>
      </c>
      <c r="F191" s="329">
        <v>0</v>
      </c>
      <c r="G191" s="329">
        <v>78</v>
      </c>
      <c r="H191" s="329">
        <v>24</v>
      </c>
      <c r="I191" s="329">
        <v>0</v>
      </c>
      <c r="J191" s="329">
        <v>0</v>
      </c>
      <c r="K191" s="333">
        <v>0</v>
      </c>
      <c r="L191" s="333"/>
      <c r="M191" s="165">
        <v>262</v>
      </c>
      <c r="N191" s="345" t="s">
        <v>245</v>
      </c>
      <c r="O191" s="329">
        <v>0</v>
      </c>
      <c r="P191" s="329">
        <v>78</v>
      </c>
      <c r="Q191" s="329">
        <v>24</v>
      </c>
      <c r="R191" s="333">
        <v>102</v>
      </c>
      <c r="S191" s="333">
        <v>2663183</v>
      </c>
      <c r="T191" s="3">
        <v>2.2999999999999998</v>
      </c>
      <c r="U191" s="3"/>
      <c r="V191" s="279" t="s">
        <v>245</v>
      </c>
      <c r="W191" s="329">
        <v>0</v>
      </c>
      <c r="X191" s="329">
        <v>0</v>
      </c>
      <c r="Y191" s="329">
        <v>0</v>
      </c>
      <c r="Z191" s="3"/>
      <c r="AA191" s="279" t="s">
        <v>245</v>
      </c>
      <c r="AB191" s="329">
        <v>0</v>
      </c>
      <c r="AC191" s="329">
        <v>78</v>
      </c>
      <c r="AD191" s="329">
        <v>24</v>
      </c>
      <c r="AE191" s="329">
        <v>102</v>
      </c>
      <c r="AF191" s="329">
        <v>58</v>
      </c>
      <c r="AG191" s="329">
        <v>1126769</v>
      </c>
      <c r="AH191" s="3"/>
      <c r="AI191" s="279" t="s">
        <v>245</v>
      </c>
      <c r="AJ191" s="329">
        <v>0</v>
      </c>
      <c r="AK191" s="329">
        <v>78</v>
      </c>
      <c r="AL191" s="329">
        <v>24</v>
      </c>
      <c r="AM191" s="329">
        <v>102</v>
      </c>
      <c r="AN191" s="329">
        <v>58</v>
      </c>
      <c r="AO191" s="329">
        <v>1536414</v>
      </c>
    </row>
    <row r="192" spans="1:41">
      <c r="A192" s="333">
        <f>SUBTOTAL(3,$B$7:B192)</f>
        <v>186</v>
      </c>
      <c r="B192" s="3" t="s">
        <v>161</v>
      </c>
      <c r="C192" s="275" t="s">
        <v>423</v>
      </c>
      <c r="D192" s="329">
        <v>0</v>
      </c>
      <c r="E192" s="329">
        <v>220</v>
      </c>
      <c r="F192" s="329">
        <v>0</v>
      </c>
      <c r="G192" s="329">
        <v>0</v>
      </c>
      <c r="H192" s="329">
        <v>220</v>
      </c>
      <c r="I192" s="329">
        <v>0</v>
      </c>
      <c r="J192" s="329">
        <v>213</v>
      </c>
      <c r="K192" s="333">
        <v>213</v>
      </c>
      <c r="L192" s="333"/>
      <c r="M192" s="208">
        <v>263</v>
      </c>
      <c r="N192" s="345" t="s">
        <v>423</v>
      </c>
      <c r="O192" s="329">
        <v>0</v>
      </c>
      <c r="P192" s="329">
        <v>0</v>
      </c>
      <c r="Q192" s="329">
        <v>220</v>
      </c>
      <c r="R192" s="333">
        <v>220</v>
      </c>
      <c r="S192" s="333">
        <v>8878207</v>
      </c>
      <c r="T192" s="3">
        <v>2.15</v>
      </c>
      <c r="U192" s="3"/>
      <c r="V192" s="279" t="s">
        <v>423</v>
      </c>
      <c r="W192" s="329">
        <v>213</v>
      </c>
      <c r="X192" s="329">
        <v>47928.206572769952</v>
      </c>
      <c r="Y192" s="329">
        <v>10208708</v>
      </c>
      <c r="Z192" s="3"/>
      <c r="AA192" s="279" t="s">
        <v>423</v>
      </c>
      <c r="AB192" s="329">
        <v>0</v>
      </c>
      <c r="AC192" s="329">
        <v>0</v>
      </c>
      <c r="AD192" s="329">
        <v>220</v>
      </c>
      <c r="AE192" s="329">
        <v>220</v>
      </c>
      <c r="AF192" s="329">
        <v>176</v>
      </c>
      <c r="AG192" s="329">
        <v>3731621</v>
      </c>
      <c r="AH192" s="3"/>
      <c r="AI192" s="279" t="s">
        <v>423</v>
      </c>
      <c r="AJ192" s="329">
        <v>0</v>
      </c>
      <c r="AK192" s="329">
        <v>0</v>
      </c>
      <c r="AL192" s="329">
        <v>220</v>
      </c>
      <c r="AM192" s="329">
        <v>220</v>
      </c>
      <c r="AN192" s="329">
        <v>176</v>
      </c>
      <c r="AO192" s="329">
        <v>5146586</v>
      </c>
    </row>
    <row r="193" spans="1:41">
      <c r="A193" s="333">
        <f>SUBTOTAL(3,$B$7:B193)</f>
        <v>187</v>
      </c>
      <c r="B193" s="3" t="s">
        <v>161</v>
      </c>
      <c r="C193" s="275" t="s">
        <v>424</v>
      </c>
      <c r="D193" s="329">
        <v>0</v>
      </c>
      <c r="E193" s="329">
        <v>275</v>
      </c>
      <c r="F193" s="329">
        <v>0</v>
      </c>
      <c r="G193" s="329">
        <v>183</v>
      </c>
      <c r="H193" s="329">
        <v>92</v>
      </c>
      <c r="I193" s="329">
        <v>0</v>
      </c>
      <c r="J193" s="329">
        <v>13</v>
      </c>
      <c r="K193" s="333">
        <v>13</v>
      </c>
      <c r="L193" s="333"/>
      <c r="M193" s="165">
        <v>264</v>
      </c>
      <c r="N193" s="345" t="s">
        <v>424</v>
      </c>
      <c r="O193" s="329">
        <v>0</v>
      </c>
      <c r="P193" s="329">
        <v>183</v>
      </c>
      <c r="Q193" s="329">
        <v>92</v>
      </c>
      <c r="R193" s="333">
        <v>275</v>
      </c>
      <c r="S193" s="333">
        <v>9457889</v>
      </c>
      <c r="T193" s="3">
        <v>2.8</v>
      </c>
      <c r="U193" s="3"/>
      <c r="V193" s="279" t="s">
        <v>424</v>
      </c>
      <c r="W193" s="329">
        <v>13</v>
      </c>
      <c r="X193" s="329">
        <v>58374.538461538461</v>
      </c>
      <c r="Y193" s="329">
        <v>758869</v>
      </c>
      <c r="Z193" s="3"/>
      <c r="AA193" s="279" t="s">
        <v>424</v>
      </c>
      <c r="AB193" s="329">
        <v>0</v>
      </c>
      <c r="AC193" s="329">
        <v>183</v>
      </c>
      <c r="AD193" s="329">
        <v>92</v>
      </c>
      <c r="AE193" s="329">
        <v>275</v>
      </c>
      <c r="AF193" s="329">
        <v>165</v>
      </c>
      <c r="AG193" s="329">
        <v>3997192</v>
      </c>
      <c r="AH193" s="3"/>
      <c r="AI193" s="279" t="s">
        <v>424</v>
      </c>
      <c r="AJ193" s="329">
        <v>0</v>
      </c>
      <c r="AK193" s="329">
        <v>183</v>
      </c>
      <c r="AL193" s="329">
        <v>92</v>
      </c>
      <c r="AM193" s="329">
        <v>275</v>
      </c>
      <c r="AN193" s="329">
        <v>165</v>
      </c>
      <c r="AO193" s="329">
        <v>5460697</v>
      </c>
    </row>
    <row r="194" spans="1:41">
      <c r="A194" s="333">
        <f>SUBTOTAL(3,$B$7:B194)</f>
        <v>188</v>
      </c>
      <c r="B194" s="3" t="s">
        <v>161</v>
      </c>
      <c r="C194" s="275" t="s">
        <v>425</v>
      </c>
      <c r="D194" s="329">
        <v>0</v>
      </c>
      <c r="E194" s="329">
        <v>97</v>
      </c>
      <c r="F194" s="329">
        <v>0</v>
      </c>
      <c r="G194" s="329">
        <v>38</v>
      </c>
      <c r="H194" s="329">
        <v>59</v>
      </c>
      <c r="I194" s="329">
        <v>0</v>
      </c>
      <c r="J194" s="329">
        <v>0</v>
      </c>
      <c r="K194" s="333">
        <v>0</v>
      </c>
      <c r="L194" s="333"/>
      <c r="M194" s="165">
        <v>265</v>
      </c>
      <c r="N194" s="345" t="s">
        <v>425</v>
      </c>
      <c r="O194" s="329">
        <v>0</v>
      </c>
      <c r="P194" s="329">
        <v>38</v>
      </c>
      <c r="Q194" s="329">
        <v>59</v>
      </c>
      <c r="R194" s="333">
        <v>97</v>
      </c>
      <c r="S194" s="333">
        <v>2444028</v>
      </c>
      <c r="T194" s="3">
        <v>1.8</v>
      </c>
      <c r="U194" s="3"/>
      <c r="V194" s="279" t="s">
        <v>425</v>
      </c>
      <c r="W194" s="329">
        <v>0</v>
      </c>
      <c r="X194" s="329">
        <v>0</v>
      </c>
      <c r="Y194" s="329">
        <v>0</v>
      </c>
      <c r="Z194" s="3"/>
      <c r="AA194" s="279" t="s">
        <v>425</v>
      </c>
      <c r="AB194" s="329">
        <v>0</v>
      </c>
      <c r="AC194" s="329">
        <v>38</v>
      </c>
      <c r="AD194" s="329">
        <v>59</v>
      </c>
      <c r="AE194" s="329">
        <v>97</v>
      </c>
      <c r="AF194" s="329">
        <v>66</v>
      </c>
      <c r="AG194" s="329">
        <v>1032703</v>
      </c>
      <c r="AH194" s="3"/>
      <c r="AI194" s="279" t="s">
        <v>425</v>
      </c>
      <c r="AJ194" s="329">
        <v>0</v>
      </c>
      <c r="AK194" s="329">
        <v>38</v>
      </c>
      <c r="AL194" s="329">
        <v>59</v>
      </c>
      <c r="AM194" s="329">
        <v>97</v>
      </c>
      <c r="AN194" s="329">
        <v>66</v>
      </c>
      <c r="AO194" s="329">
        <v>1411325</v>
      </c>
    </row>
    <row r="195" spans="1:41">
      <c r="A195" s="333">
        <f>SUBTOTAL(3,$B$7:B195)</f>
        <v>189</v>
      </c>
      <c r="B195" s="3" t="s">
        <v>161</v>
      </c>
      <c r="C195" s="275" t="s">
        <v>426</v>
      </c>
      <c r="D195" s="329">
        <v>0</v>
      </c>
      <c r="E195" s="329">
        <v>221</v>
      </c>
      <c r="F195" s="329">
        <v>0</v>
      </c>
      <c r="G195" s="329">
        <v>27</v>
      </c>
      <c r="H195" s="329">
        <v>194</v>
      </c>
      <c r="I195" s="329">
        <v>0</v>
      </c>
      <c r="J195" s="329">
        <v>41</v>
      </c>
      <c r="K195" s="333">
        <v>41</v>
      </c>
      <c r="L195" s="333"/>
      <c r="M195" s="208">
        <v>266</v>
      </c>
      <c r="N195" s="345" t="s">
        <v>426</v>
      </c>
      <c r="O195" s="329">
        <v>0</v>
      </c>
      <c r="P195" s="329">
        <v>27</v>
      </c>
      <c r="Q195" s="329">
        <v>194</v>
      </c>
      <c r="R195" s="333">
        <v>221</v>
      </c>
      <c r="S195" s="333">
        <v>7908789</v>
      </c>
      <c r="T195" s="3">
        <v>2.2999999999999998</v>
      </c>
      <c r="U195" s="3"/>
      <c r="V195" s="279" t="s">
        <v>426</v>
      </c>
      <c r="W195" s="329">
        <v>41</v>
      </c>
      <c r="X195" s="329">
        <v>53391.390243902439</v>
      </c>
      <c r="Y195" s="329">
        <v>2189047</v>
      </c>
      <c r="Z195" s="3"/>
      <c r="AA195" s="279" t="s">
        <v>426</v>
      </c>
      <c r="AB195" s="329">
        <v>0</v>
      </c>
      <c r="AC195" s="329">
        <v>27</v>
      </c>
      <c r="AD195" s="329">
        <v>194</v>
      </c>
      <c r="AE195" s="329">
        <v>221</v>
      </c>
      <c r="AF195" s="329">
        <v>169</v>
      </c>
      <c r="AG195" s="329">
        <v>3343374</v>
      </c>
      <c r="AH195" s="3"/>
      <c r="AI195" s="279" t="s">
        <v>426</v>
      </c>
      <c r="AJ195" s="329">
        <v>0</v>
      </c>
      <c r="AK195" s="329">
        <v>27</v>
      </c>
      <c r="AL195" s="329">
        <v>194</v>
      </c>
      <c r="AM195" s="329">
        <v>221</v>
      </c>
      <c r="AN195" s="329">
        <v>169</v>
      </c>
      <c r="AO195" s="329">
        <v>4565415</v>
      </c>
    </row>
    <row r="196" spans="1:41">
      <c r="A196" s="333">
        <f>SUBTOTAL(3,$B$7:B196)</f>
        <v>190</v>
      </c>
      <c r="B196" s="3" t="s">
        <v>161</v>
      </c>
      <c r="C196" s="275" t="s">
        <v>427</v>
      </c>
      <c r="D196" s="329">
        <v>0</v>
      </c>
      <c r="E196" s="329">
        <v>611</v>
      </c>
      <c r="F196" s="329">
        <v>0</v>
      </c>
      <c r="G196" s="329">
        <v>100</v>
      </c>
      <c r="H196" s="329">
        <v>511</v>
      </c>
      <c r="I196" s="329">
        <v>0</v>
      </c>
      <c r="J196" s="329">
        <v>192</v>
      </c>
      <c r="K196" s="333">
        <v>192</v>
      </c>
      <c r="L196" s="333"/>
      <c r="M196" s="165">
        <v>267</v>
      </c>
      <c r="N196" s="345" t="s">
        <v>427</v>
      </c>
      <c r="O196" s="329">
        <v>0</v>
      </c>
      <c r="P196" s="329">
        <v>100</v>
      </c>
      <c r="Q196" s="329">
        <v>511</v>
      </c>
      <c r="R196" s="333">
        <v>611</v>
      </c>
      <c r="S196" s="333">
        <v>18955956</v>
      </c>
      <c r="T196" s="3">
        <v>2.0499999999999998</v>
      </c>
      <c r="U196" s="3"/>
      <c r="V196" s="279" t="s">
        <v>427</v>
      </c>
      <c r="W196" s="329">
        <v>192</v>
      </c>
      <c r="X196" s="329">
        <v>46312.067708333336</v>
      </c>
      <c r="Y196" s="329">
        <v>8891917</v>
      </c>
      <c r="Z196" s="3"/>
      <c r="AA196" s="279" t="s">
        <v>427</v>
      </c>
      <c r="AB196" s="329">
        <v>0</v>
      </c>
      <c r="AC196" s="329">
        <v>100</v>
      </c>
      <c r="AD196" s="329">
        <v>511</v>
      </c>
      <c r="AE196" s="329">
        <v>611</v>
      </c>
      <c r="AF196" s="329">
        <v>459</v>
      </c>
      <c r="AG196" s="329">
        <v>8016922</v>
      </c>
      <c r="AH196" s="3"/>
      <c r="AI196" s="279" t="s">
        <v>427</v>
      </c>
      <c r="AJ196" s="329">
        <v>0</v>
      </c>
      <c r="AK196" s="329">
        <v>100</v>
      </c>
      <c r="AL196" s="329">
        <v>511</v>
      </c>
      <c r="AM196" s="329">
        <v>611</v>
      </c>
      <c r="AN196" s="329">
        <v>459</v>
      </c>
      <c r="AO196" s="329">
        <v>10939034</v>
      </c>
    </row>
    <row r="197" spans="1:41">
      <c r="A197" s="333">
        <f>SUBTOTAL(3,$B$7:B197)</f>
        <v>191</v>
      </c>
      <c r="B197" s="3" t="s">
        <v>161</v>
      </c>
      <c r="C197" s="275" t="s">
        <v>428</v>
      </c>
      <c r="D197" s="329">
        <v>0</v>
      </c>
      <c r="E197" s="329">
        <v>78</v>
      </c>
      <c r="F197" s="329">
        <v>0</v>
      </c>
      <c r="G197" s="329">
        <v>23</v>
      </c>
      <c r="H197" s="329">
        <v>55</v>
      </c>
      <c r="I197" s="329">
        <v>0</v>
      </c>
      <c r="J197" s="329">
        <v>25</v>
      </c>
      <c r="K197" s="333">
        <v>25</v>
      </c>
      <c r="L197" s="333"/>
      <c r="M197" s="165">
        <v>268</v>
      </c>
      <c r="N197" s="345" t="s">
        <v>428</v>
      </c>
      <c r="O197" s="329">
        <v>0</v>
      </c>
      <c r="P197" s="329">
        <v>23</v>
      </c>
      <c r="Q197" s="329">
        <v>55</v>
      </c>
      <c r="R197" s="333">
        <v>78</v>
      </c>
      <c r="S197" s="333">
        <v>1975025</v>
      </c>
      <c r="T197" s="3">
        <v>1.8</v>
      </c>
      <c r="U197" s="3"/>
      <c r="V197" s="279" t="s">
        <v>428</v>
      </c>
      <c r="W197" s="329">
        <v>25</v>
      </c>
      <c r="X197" s="329">
        <v>35461.32</v>
      </c>
      <c r="Y197" s="329">
        <v>886533</v>
      </c>
      <c r="Z197" s="3"/>
      <c r="AA197" s="279" t="s">
        <v>428</v>
      </c>
      <c r="AB197" s="329">
        <v>0</v>
      </c>
      <c r="AC197" s="329">
        <v>23</v>
      </c>
      <c r="AD197" s="329">
        <v>55</v>
      </c>
      <c r="AE197" s="329">
        <v>78</v>
      </c>
      <c r="AF197" s="329">
        <v>56</v>
      </c>
      <c r="AG197" s="329">
        <v>836309</v>
      </c>
      <c r="AH197" s="3"/>
      <c r="AI197" s="279" t="s">
        <v>428</v>
      </c>
      <c r="AJ197" s="329">
        <v>0</v>
      </c>
      <c r="AK197" s="329">
        <v>23</v>
      </c>
      <c r="AL197" s="329">
        <v>55</v>
      </c>
      <c r="AM197" s="329">
        <v>78</v>
      </c>
      <c r="AN197" s="329">
        <v>56</v>
      </c>
      <c r="AO197" s="329">
        <v>1138716</v>
      </c>
    </row>
    <row r="198" spans="1:41">
      <c r="A198" s="333">
        <f>SUBTOTAL(3,$B$7:B198)</f>
        <v>192</v>
      </c>
      <c r="B198" s="3" t="s">
        <v>161</v>
      </c>
      <c r="C198" s="275" t="s">
        <v>429</v>
      </c>
      <c r="D198" s="329">
        <v>0</v>
      </c>
      <c r="E198" s="329">
        <v>130</v>
      </c>
      <c r="F198" s="329">
        <v>0</v>
      </c>
      <c r="G198" s="329">
        <v>0</v>
      </c>
      <c r="H198" s="329">
        <v>130</v>
      </c>
      <c r="I198" s="329">
        <v>0</v>
      </c>
      <c r="J198" s="329">
        <v>31</v>
      </c>
      <c r="K198" s="333">
        <v>31</v>
      </c>
      <c r="L198" s="333"/>
      <c r="M198" s="208">
        <v>269</v>
      </c>
      <c r="N198" s="345" t="s">
        <v>429</v>
      </c>
      <c r="O198" s="329">
        <v>0</v>
      </c>
      <c r="P198" s="329">
        <v>0</v>
      </c>
      <c r="Q198" s="329">
        <v>130</v>
      </c>
      <c r="R198" s="333">
        <v>130</v>
      </c>
      <c r="S198" s="333">
        <v>2557948</v>
      </c>
      <c r="T198" s="3">
        <v>1.8</v>
      </c>
      <c r="U198" s="3"/>
      <c r="V198" s="279" t="s">
        <v>429</v>
      </c>
      <c r="W198" s="329">
        <v>31</v>
      </c>
      <c r="X198" s="329">
        <v>41852.290322580644</v>
      </c>
      <c r="Y198" s="329">
        <v>1297421</v>
      </c>
      <c r="Z198" s="3"/>
      <c r="AA198" s="279" t="s">
        <v>429</v>
      </c>
      <c r="AB198" s="329">
        <v>0</v>
      </c>
      <c r="AC198" s="329">
        <v>0</v>
      </c>
      <c r="AD198" s="329">
        <v>130</v>
      </c>
      <c r="AE198" s="329">
        <v>130</v>
      </c>
      <c r="AF198" s="329">
        <v>104</v>
      </c>
      <c r="AG198" s="329">
        <v>1075137</v>
      </c>
      <c r="AH198" s="3"/>
      <c r="AI198" s="279" t="s">
        <v>429</v>
      </c>
      <c r="AJ198" s="329">
        <v>0</v>
      </c>
      <c r="AK198" s="329">
        <v>0</v>
      </c>
      <c r="AL198" s="329">
        <v>130</v>
      </c>
      <c r="AM198" s="329">
        <v>130</v>
      </c>
      <c r="AN198" s="329">
        <v>104</v>
      </c>
      <c r="AO198" s="329">
        <v>1482811</v>
      </c>
    </row>
    <row r="199" spans="1:41">
      <c r="A199" s="333">
        <f>SUBTOTAL(3,$B$7:B199)</f>
        <v>193</v>
      </c>
      <c r="B199" s="3" t="s">
        <v>161</v>
      </c>
      <c r="C199" s="275" t="s">
        <v>430</v>
      </c>
      <c r="D199" s="329">
        <v>0</v>
      </c>
      <c r="E199" s="329">
        <v>908</v>
      </c>
      <c r="F199" s="329">
        <v>0</v>
      </c>
      <c r="G199" s="329">
        <v>0</v>
      </c>
      <c r="H199" s="329">
        <v>908</v>
      </c>
      <c r="I199" s="329">
        <v>0</v>
      </c>
      <c r="J199" s="329">
        <v>202</v>
      </c>
      <c r="K199" s="333">
        <v>202</v>
      </c>
      <c r="L199" s="333"/>
      <c r="M199" s="165">
        <v>270</v>
      </c>
      <c r="N199" s="345" t="s">
        <v>430</v>
      </c>
      <c r="O199" s="329">
        <v>0</v>
      </c>
      <c r="P199" s="329">
        <v>0</v>
      </c>
      <c r="Q199" s="329">
        <v>908</v>
      </c>
      <c r="R199" s="333">
        <v>908</v>
      </c>
      <c r="S199" s="333">
        <v>9175977</v>
      </c>
      <c r="T199" s="3">
        <v>1.8</v>
      </c>
      <c r="U199" s="3"/>
      <c r="V199" s="279" t="s">
        <v>430</v>
      </c>
      <c r="W199" s="329">
        <v>202</v>
      </c>
      <c r="X199" s="329">
        <v>41967.549504950497</v>
      </c>
      <c r="Y199" s="329">
        <v>8477445</v>
      </c>
      <c r="Z199" s="3"/>
      <c r="AA199" s="279" t="s">
        <v>430</v>
      </c>
      <c r="AB199" s="329">
        <v>0</v>
      </c>
      <c r="AC199" s="329">
        <v>0</v>
      </c>
      <c r="AD199" s="329">
        <v>908</v>
      </c>
      <c r="AE199" s="329">
        <v>908</v>
      </c>
      <c r="AF199" s="329">
        <v>726</v>
      </c>
      <c r="AG199" s="329">
        <v>3856778</v>
      </c>
      <c r="AH199" s="3"/>
      <c r="AI199" s="279" t="s">
        <v>430</v>
      </c>
      <c r="AJ199" s="329">
        <v>0</v>
      </c>
      <c r="AK199" s="329">
        <v>0</v>
      </c>
      <c r="AL199" s="329">
        <v>908</v>
      </c>
      <c r="AM199" s="329">
        <v>908</v>
      </c>
      <c r="AN199" s="329">
        <v>726</v>
      </c>
      <c r="AO199" s="329">
        <v>5319199</v>
      </c>
    </row>
    <row r="200" spans="1:41">
      <c r="A200" s="333">
        <f>SUBTOTAL(3,$B$7:B200)</f>
        <v>194</v>
      </c>
      <c r="B200" s="3" t="s">
        <v>161</v>
      </c>
      <c r="C200" s="275" t="s">
        <v>431</v>
      </c>
      <c r="D200" s="329">
        <v>0</v>
      </c>
      <c r="E200" s="329">
        <v>417</v>
      </c>
      <c r="F200" s="329">
        <v>145</v>
      </c>
      <c r="G200" s="329">
        <v>7</v>
      </c>
      <c r="H200" s="329">
        <v>265</v>
      </c>
      <c r="I200" s="329">
        <v>0</v>
      </c>
      <c r="J200" s="329">
        <v>0</v>
      </c>
      <c r="K200" s="333">
        <v>0</v>
      </c>
      <c r="L200" s="333"/>
      <c r="M200" s="165">
        <v>271</v>
      </c>
      <c r="N200" s="345" t="s">
        <v>431</v>
      </c>
      <c r="O200" s="329">
        <v>145</v>
      </c>
      <c r="P200" s="329">
        <v>7</v>
      </c>
      <c r="Q200" s="329">
        <v>265</v>
      </c>
      <c r="R200" s="333">
        <v>417</v>
      </c>
      <c r="S200" s="333">
        <v>18148876</v>
      </c>
      <c r="T200" s="3">
        <v>3.8</v>
      </c>
      <c r="U200" s="3"/>
      <c r="V200" s="279" t="s">
        <v>431</v>
      </c>
      <c r="W200" s="329">
        <v>0</v>
      </c>
      <c r="X200" s="329">
        <v>0</v>
      </c>
      <c r="Y200" s="329">
        <v>0</v>
      </c>
      <c r="Z200" s="3"/>
      <c r="AA200" s="279" t="s">
        <v>431</v>
      </c>
      <c r="AB200" s="329">
        <v>145</v>
      </c>
      <c r="AC200" s="329">
        <v>7</v>
      </c>
      <c r="AD200" s="329">
        <v>265</v>
      </c>
      <c r="AE200" s="329">
        <v>417</v>
      </c>
      <c r="AF200" s="329">
        <v>245</v>
      </c>
      <c r="AG200" s="329">
        <v>7686755</v>
      </c>
      <c r="AH200" s="3"/>
      <c r="AI200" s="279" t="s">
        <v>431</v>
      </c>
      <c r="AJ200" s="329">
        <v>145</v>
      </c>
      <c r="AK200" s="329">
        <v>7</v>
      </c>
      <c r="AL200" s="329">
        <v>265</v>
      </c>
      <c r="AM200" s="329">
        <v>417</v>
      </c>
      <c r="AN200" s="329">
        <v>245</v>
      </c>
      <c r="AO200" s="329">
        <v>10462121</v>
      </c>
    </row>
    <row r="201" spans="1:41">
      <c r="A201" s="333">
        <f>SUBTOTAL(3,$B$7:B201)</f>
        <v>195</v>
      </c>
      <c r="B201" s="3" t="s">
        <v>161</v>
      </c>
      <c r="C201" s="275" t="s">
        <v>432</v>
      </c>
      <c r="D201" s="329">
        <v>0</v>
      </c>
      <c r="E201" s="329">
        <v>272</v>
      </c>
      <c r="F201" s="329">
        <v>8</v>
      </c>
      <c r="G201" s="329">
        <v>63</v>
      </c>
      <c r="H201" s="329">
        <v>201</v>
      </c>
      <c r="I201" s="329">
        <v>0</v>
      </c>
      <c r="J201" s="329">
        <v>0</v>
      </c>
      <c r="K201" s="333">
        <v>0</v>
      </c>
      <c r="L201" s="333"/>
      <c r="M201" s="208">
        <v>272</v>
      </c>
      <c r="N201" s="345" t="s">
        <v>432</v>
      </c>
      <c r="O201" s="329">
        <v>8</v>
      </c>
      <c r="P201" s="329">
        <v>63</v>
      </c>
      <c r="Q201" s="329">
        <v>201</v>
      </c>
      <c r="R201" s="333">
        <v>272</v>
      </c>
      <c r="S201" s="333">
        <v>7340645</v>
      </c>
      <c r="T201" s="3">
        <v>1.8</v>
      </c>
      <c r="U201" s="3"/>
      <c r="V201" s="279" t="s">
        <v>432</v>
      </c>
      <c r="W201" s="329">
        <v>0</v>
      </c>
      <c r="X201" s="329">
        <v>0</v>
      </c>
      <c r="Y201" s="329">
        <v>0</v>
      </c>
      <c r="Z201" s="3"/>
      <c r="AA201" s="279" t="s">
        <v>432</v>
      </c>
      <c r="AB201" s="329">
        <v>8</v>
      </c>
      <c r="AC201" s="329">
        <v>63</v>
      </c>
      <c r="AD201" s="329">
        <v>201</v>
      </c>
      <c r="AE201" s="329">
        <v>272</v>
      </c>
      <c r="AF201" s="329">
        <v>194</v>
      </c>
      <c r="AG201" s="329">
        <v>3098903</v>
      </c>
      <c r="AH201" s="3"/>
      <c r="AI201" s="279" t="s">
        <v>432</v>
      </c>
      <c r="AJ201" s="329">
        <v>8</v>
      </c>
      <c r="AK201" s="329">
        <v>63</v>
      </c>
      <c r="AL201" s="329">
        <v>201</v>
      </c>
      <c r="AM201" s="329">
        <v>272</v>
      </c>
      <c r="AN201" s="329">
        <v>194</v>
      </c>
      <c r="AO201" s="329">
        <v>4241742</v>
      </c>
    </row>
    <row r="202" spans="1:41">
      <c r="A202" s="333">
        <f>SUBTOTAL(3,$B$7:B202)</f>
        <v>196</v>
      </c>
      <c r="B202" s="3" t="s">
        <v>161</v>
      </c>
      <c r="C202" s="275" t="s">
        <v>239</v>
      </c>
      <c r="D202" s="329">
        <v>0</v>
      </c>
      <c r="E202" s="329">
        <v>87</v>
      </c>
      <c r="F202" s="329">
        <v>0</v>
      </c>
      <c r="G202" s="329">
        <v>0</v>
      </c>
      <c r="H202" s="329">
        <v>87</v>
      </c>
      <c r="I202" s="329">
        <v>0</v>
      </c>
      <c r="J202" s="329">
        <v>23</v>
      </c>
      <c r="K202" s="333">
        <v>23</v>
      </c>
      <c r="L202" s="333"/>
      <c r="M202" s="165">
        <v>273</v>
      </c>
      <c r="N202" s="345" t="s">
        <v>239</v>
      </c>
      <c r="O202" s="329">
        <v>0</v>
      </c>
      <c r="P202" s="329">
        <v>0</v>
      </c>
      <c r="Q202" s="329">
        <v>87</v>
      </c>
      <c r="R202" s="333">
        <v>87</v>
      </c>
      <c r="S202" s="333">
        <v>1103503</v>
      </c>
      <c r="T202" s="3">
        <v>2.7</v>
      </c>
      <c r="U202" s="3"/>
      <c r="V202" s="279" t="s">
        <v>239</v>
      </c>
      <c r="W202" s="329">
        <v>23</v>
      </c>
      <c r="X202" s="329">
        <v>12683.95652173913</v>
      </c>
      <c r="Y202" s="329">
        <v>291731</v>
      </c>
      <c r="Z202" s="3"/>
      <c r="AA202" s="279" t="s">
        <v>239</v>
      </c>
      <c r="AB202" s="329">
        <v>0</v>
      </c>
      <c r="AC202" s="329">
        <v>0</v>
      </c>
      <c r="AD202" s="329">
        <v>87</v>
      </c>
      <c r="AE202" s="329">
        <v>87</v>
      </c>
      <c r="AF202" s="329">
        <v>70</v>
      </c>
      <c r="AG202" s="329">
        <v>463816</v>
      </c>
      <c r="AH202" s="3"/>
      <c r="AI202" s="279" t="s">
        <v>239</v>
      </c>
      <c r="AJ202" s="329">
        <v>0</v>
      </c>
      <c r="AK202" s="329">
        <v>0</v>
      </c>
      <c r="AL202" s="329">
        <v>87</v>
      </c>
      <c r="AM202" s="329">
        <v>87</v>
      </c>
      <c r="AN202" s="329">
        <v>70</v>
      </c>
      <c r="AO202" s="329">
        <v>639687</v>
      </c>
    </row>
    <row r="203" spans="1:41">
      <c r="A203" s="333">
        <f>SUBTOTAL(3,$B$7:B203)</f>
        <v>197</v>
      </c>
      <c r="B203" s="3" t="s">
        <v>161</v>
      </c>
      <c r="C203" s="275" t="s">
        <v>433</v>
      </c>
      <c r="D203" s="329">
        <v>0</v>
      </c>
      <c r="E203" s="329">
        <v>15</v>
      </c>
      <c r="F203" s="329">
        <v>0</v>
      </c>
      <c r="G203" s="329">
        <v>0</v>
      </c>
      <c r="H203" s="329">
        <v>15</v>
      </c>
      <c r="I203" s="329">
        <v>0</v>
      </c>
      <c r="J203" s="329">
        <v>17</v>
      </c>
      <c r="K203" s="333">
        <v>17</v>
      </c>
      <c r="L203" s="333"/>
      <c r="M203" s="165">
        <v>274</v>
      </c>
      <c r="N203" s="345" t="s">
        <v>433</v>
      </c>
      <c r="O203" s="329">
        <v>0</v>
      </c>
      <c r="P203" s="329">
        <v>0</v>
      </c>
      <c r="Q203" s="329">
        <v>15</v>
      </c>
      <c r="R203" s="333">
        <v>15</v>
      </c>
      <c r="S203" s="333">
        <v>191562</v>
      </c>
      <c r="T203" s="3">
        <v>1.02</v>
      </c>
      <c r="U203" s="3"/>
      <c r="V203" s="279" t="s">
        <v>433</v>
      </c>
      <c r="W203" s="329">
        <v>17</v>
      </c>
      <c r="X203" s="329">
        <v>23945.176470588234</v>
      </c>
      <c r="Y203" s="329">
        <v>407068</v>
      </c>
      <c r="Z203" s="3"/>
      <c r="AA203" s="279" t="s">
        <v>433</v>
      </c>
      <c r="AB203" s="329">
        <v>0</v>
      </c>
      <c r="AC203" s="329">
        <v>0</v>
      </c>
      <c r="AD203" s="329">
        <v>15</v>
      </c>
      <c r="AE203" s="329">
        <v>15</v>
      </c>
      <c r="AF203" s="329">
        <v>12</v>
      </c>
      <c r="AG203" s="329">
        <v>80516</v>
      </c>
      <c r="AH203" s="3"/>
      <c r="AI203" s="279" t="s">
        <v>433</v>
      </c>
      <c r="AJ203" s="329">
        <v>0</v>
      </c>
      <c r="AK203" s="329">
        <v>0</v>
      </c>
      <c r="AL203" s="329">
        <v>15</v>
      </c>
      <c r="AM203" s="329">
        <v>15</v>
      </c>
      <c r="AN203" s="329">
        <v>12</v>
      </c>
      <c r="AO203" s="329">
        <v>111046</v>
      </c>
    </row>
    <row r="204" spans="1:41">
      <c r="A204" s="333">
        <f>SUBTOTAL(3,$B$7:B204)</f>
        <v>198</v>
      </c>
      <c r="B204" s="3" t="s">
        <v>161</v>
      </c>
      <c r="C204" s="275" t="s">
        <v>434</v>
      </c>
      <c r="D204" s="329">
        <v>0</v>
      </c>
      <c r="E204" s="329">
        <v>0</v>
      </c>
      <c r="F204" s="329">
        <v>0</v>
      </c>
      <c r="G204" s="329">
        <v>0</v>
      </c>
      <c r="H204" s="329">
        <v>0</v>
      </c>
      <c r="I204" s="329">
        <v>0</v>
      </c>
      <c r="J204" s="329">
        <v>106</v>
      </c>
      <c r="K204" s="333">
        <v>106</v>
      </c>
      <c r="L204" s="333"/>
      <c r="M204" s="208">
        <v>275</v>
      </c>
      <c r="N204" s="345" t="s">
        <v>434</v>
      </c>
      <c r="O204" s="329">
        <v>0</v>
      </c>
      <c r="P204" s="329">
        <v>0</v>
      </c>
      <c r="Q204" s="329">
        <v>0</v>
      </c>
      <c r="R204" s="333">
        <v>0</v>
      </c>
      <c r="S204" s="333">
        <v>0</v>
      </c>
      <c r="T204" s="3">
        <v>1.02</v>
      </c>
      <c r="U204" s="3"/>
      <c r="V204" s="279" t="s">
        <v>434</v>
      </c>
      <c r="W204" s="329">
        <v>106</v>
      </c>
      <c r="X204" s="329">
        <v>23945.141509433961</v>
      </c>
      <c r="Y204" s="329">
        <v>2538185</v>
      </c>
      <c r="Z204" s="3"/>
      <c r="AA204" s="279" t="s">
        <v>434</v>
      </c>
      <c r="AB204" s="329">
        <v>0</v>
      </c>
      <c r="AC204" s="329">
        <v>0</v>
      </c>
      <c r="AD204" s="329">
        <v>0</v>
      </c>
      <c r="AE204" s="329">
        <v>0</v>
      </c>
      <c r="AF204" s="329">
        <v>0</v>
      </c>
      <c r="AG204" s="329">
        <v>0</v>
      </c>
      <c r="AH204" s="3"/>
      <c r="AI204" s="279" t="s">
        <v>434</v>
      </c>
      <c r="AJ204" s="329">
        <v>0</v>
      </c>
      <c r="AK204" s="329">
        <v>0</v>
      </c>
      <c r="AL204" s="329">
        <v>0</v>
      </c>
      <c r="AM204" s="329">
        <v>0</v>
      </c>
      <c r="AN204" s="329">
        <v>0</v>
      </c>
      <c r="AO204" s="329">
        <v>0</v>
      </c>
    </row>
    <row r="205" spans="1:41">
      <c r="A205" s="333">
        <f>SUBTOTAL(3,$B$7:B205)</f>
        <v>199</v>
      </c>
      <c r="B205" s="3" t="s">
        <v>161</v>
      </c>
      <c r="C205" s="275" t="s">
        <v>435</v>
      </c>
      <c r="D205" s="329">
        <v>0</v>
      </c>
      <c r="E205" s="329">
        <v>237</v>
      </c>
      <c r="F205" s="329">
        <v>0</v>
      </c>
      <c r="G205" s="329">
        <v>150</v>
      </c>
      <c r="H205" s="329">
        <v>87</v>
      </c>
      <c r="I205" s="329">
        <v>0</v>
      </c>
      <c r="J205" s="329">
        <v>126</v>
      </c>
      <c r="K205" s="333">
        <v>126</v>
      </c>
      <c r="L205" s="333"/>
      <c r="M205" s="165">
        <v>276</v>
      </c>
      <c r="N205" s="345" t="s">
        <v>435</v>
      </c>
      <c r="O205" s="329">
        <v>0</v>
      </c>
      <c r="P205" s="329">
        <v>150</v>
      </c>
      <c r="Q205" s="329">
        <v>87</v>
      </c>
      <c r="R205" s="333">
        <v>237</v>
      </c>
      <c r="S205" s="333">
        <v>3293539</v>
      </c>
      <c r="T205" s="3">
        <v>1.02</v>
      </c>
      <c r="U205" s="3"/>
      <c r="V205" s="279" t="s">
        <v>435</v>
      </c>
      <c r="W205" s="329">
        <v>126</v>
      </c>
      <c r="X205" s="329">
        <v>23921.746031746032</v>
      </c>
      <c r="Y205" s="329">
        <v>3014140</v>
      </c>
      <c r="Z205" s="3"/>
      <c r="AA205" s="279" t="s">
        <v>435</v>
      </c>
      <c r="AB205" s="329">
        <v>0</v>
      </c>
      <c r="AC205" s="329">
        <v>150</v>
      </c>
      <c r="AD205" s="329">
        <v>87</v>
      </c>
      <c r="AE205" s="329">
        <v>237</v>
      </c>
      <c r="AF205" s="329">
        <v>145</v>
      </c>
      <c r="AG205" s="329">
        <v>1475909</v>
      </c>
      <c r="AH205" s="3"/>
      <c r="AI205" s="279" t="s">
        <v>435</v>
      </c>
      <c r="AJ205" s="329">
        <v>0</v>
      </c>
      <c r="AK205" s="329">
        <v>150</v>
      </c>
      <c r="AL205" s="329">
        <v>87</v>
      </c>
      <c r="AM205" s="329">
        <v>237</v>
      </c>
      <c r="AN205" s="329">
        <v>145</v>
      </c>
      <c r="AO205" s="329">
        <v>1817630</v>
      </c>
    </row>
    <row r="206" spans="1:41">
      <c r="A206" s="333">
        <f>SUBTOTAL(3,$B$7:B206)</f>
        <v>200</v>
      </c>
      <c r="B206" s="3" t="s">
        <v>161</v>
      </c>
      <c r="C206" s="275" t="s">
        <v>436</v>
      </c>
      <c r="D206" s="329">
        <v>0</v>
      </c>
      <c r="E206" s="329">
        <v>261</v>
      </c>
      <c r="F206" s="329">
        <v>0</v>
      </c>
      <c r="G206" s="329">
        <v>0</v>
      </c>
      <c r="H206" s="329">
        <v>261</v>
      </c>
      <c r="I206" s="329">
        <v>0</v>
      </c>
      <c r="J206" s="329">
        <v>29</v>
      </c>
      <c r="K206" s="333">
        <v>29</v>
      </c>
      <c r="L206" s="333"/>
      <c r="M206" s="165">
        <v>277</v>
      </c>
      <c r="N206" s="345" t="s">
        <v>436</v>
      </c>
      <c r="O206" s="329">
        <v>0</v>
      </c>
      <c r="P206" s="329">
        <v>0</v>
      </c>
      <c r="Q206" s="329">
        <v>261</v>
      </c>
      <c r="R206" s="333">
        <v>261</v>
      </c>
      <c r="S206" s="333">
        <v>4627491</v>
      </c>
      <c r="T206" s="3">
        <v>2.4</v>
      </c>
      <c r="U206" s="3"/>
      <c r="V206" s="279" t="s">
        <v>436</v>
      </c>
      <c r="W206" s="329">
        <v>29</v>
      </c>
      <c r="X206" s="329">
        <v>55056.206896551725</v>
      </c>
      <c r="Y206" s="329">
        <v>1596630</v>
      </c>
      <c r="Z206" s="3"/>
      <c r="AA206" s="279" t="s">
        <v>436</v>
      </c>
      <c r="AB206" s="329">
        <v>0</v>
      </c>
      <c r="AC206" s="329">
        <v>0</v>
      </c>
      <c r="AD206" s="329">
        <v>261</v>
      </c>
      <c r="AE206" s="329">
        <v>261</v>
      </c>
      <c r="AF206" s="329">
        <v>209</v>
      </c>
      <c r="AG206" s="329">
        <v>1944992</v>
      </c>
      <c r="AH206" s="3"/>
      <c r="AI206" s="279" t="s">
        <v>436</v>
      </c>
      <c r="AJ206" s="329">
        <v>0</v>
      </c>
      <c r="AK206" s="329">
        <v>0</v>
      </c>
      <c r="AL206" s="329">
        <v>261</v>
      </c>
      <c r="AM206" s="329">
        <v>261</v>
      </c>
      <c r="AN206" s="329">
        <v>209</v>
      </c>
      <c r="AO206" s="329">
        <v>2682499</v>
      </c>
    </row>
    <row r="207" spans="1:41">
      <c r="A207" s="333">
        <f>SUBTOTAL(3,$B$7:B207)</f>
        <v>201</v>
      </c>
      <c r="B207" s="3" t="s">
        <v>161</v>
      </c>
      <c r="C207" s="275" t="s">
        <v>437</v>
      </c>
      <c r="D207" s="329">
        <v>0</v>
      </c>
      <c r="E207" s="329">
        <v>308</v>
      </c>
      <c r="F207" s="329">
        <v>0</v>
      </c>
      <c r="G207" s="329">
        <v>0</v>
      </c>
      <c r="H207" s="329">
        <v>308</v>
      </c>
      <c r="I207" s="329">
        <v>0</v>
      </c>
      <c r="J207" s="329">
        <v>99</v>
      </c>
      <c r="K207" s="333">
        <v>99</v>
      </c>
      <c r="L207" s="333"/>
      <c r="M207" s="208">
        <v>278</v>
      </c>
      <c r="N207" s="345" t="s">
        <v>437</v>
      </c>
      <c r="O207" s="329">
        <v>0</v>
      </c>
      <c r="P207" s="329">
        <v>0</v>
      </c>
      <c r="Q207" s="329">
        <v>308</v>
      </c>
      <c r="R207" s="333">
        <v>308</v>
      </c>
      <c r="S207" s="333">
        <v>4460370</v>
      </c>
      <c r="T207" s="3">
        <v>2</v>
      </c>
      <c r="U207" s="3"/>
      <c r="V207" s="279" t="s">
        <v>437</v>
      </c>
      <c r="W207" s="329">
        <v>99</v>
      </c>
      <c r="X207" s="329">
        <v>46951.272727272728</v>
      </c>
      <c r="Y207" s="329">
        <v>4648176</v>
      </c>
      <c r="Z207" s="3"/>
      <c r="AA207" s="279" t="s">
        <v>437</v>
      </c>
      <c r="AB207" s="329">
        <v>0</v>
      </c>
      <c r="AC207" s="329">
        <v>0</v>
      </c>
      <c r="AD207" s="329">
        <v>308</v>
      </c>
      <c r="AE207" s="329">
        <v>308</v>
      </c>
      <c r="AF207" s="329">
        <v>246</v>
      </c>
      <c r="AG207" s="329">
        <v>1874749</v>
      </c>
      <c r="AH207" s="3"/>
      <c r="AI207" s="279" t="s">
        <v>437</v>
      </c>
      <c r="AJ207" s="329">
        <v>0</v>
      </c>
      <c r="AK207" s="329">
        <v>0</v>
      </c>
      <c r="AL207" s="329">
        <v>308</v>
      </c>
      <c r="AM207" s="329">
        <v>308</v>
      </c>
      <c r="AN207" s="329">
        <v>246</v>
      </c>
      <c r="AO207" s="329">
        <v>2585621</v>
      </c>
    </row>
    <row r="208" spans="1:41">
      <c r="A208" s="333">
        <f>SUBTOTAL(3,$B$7:B208)</f>
        <v>202</v>
      </c>
      <c r="B208" s="3" t="s">
        <v>161</v>
      </c>
      <c r="C208" s="275" t="s">
        <v>438</v>
      </c>
      <c r="D208" s="329">
        <v>0</v>
      </c>
      <c r="E208" s="329">
        <v>215</v>
      </c>
      <c r="F208" s="329">
        <v>0</v>
      </c>
      <c r="G208" s="329">
        <v>22</v>
      </c>
      <c r="H208" s="329">
        <v>193</v>
      </c>
      <c r="I208" s="329">
        <v>0</v>
      </c>
      <c r="J208" s="329">
        <v>151</v>
      </c>
      <c r="K208" s="333">
        <v>151</v>
      </c>
      <c r="L208" s="333"/>
      <c r="M208" s="165">
        <v>279</v>
      </c>
      <c r="N208" s="345" t="s">
        <v>438</v>
      </c>
      <c r="O208" s="329">
        <v>0</v>
      </c>
      <c r="P208" s="329">
        <v>22</v>
      </c>
      <c r="Q208" s="329">
        <v>193</v>
      </c>
      <c r="R208" s="333">
        <v>215</v>
      </c>
      <c r="S208" s="333">
        <v>6166095</v>
      </c>
      <c r="T208" s="3">
        <v>1.8</v>
      </c>
      <c r="U208" s="3"/>
      <c r="V208" s="279" t="s">
        <v>438</v>
      </c>
      <c r="W208" s="329">
        <v>151</v>
      </c>
      <c r="X208" s="329">
        <v>37963.397350993378</v>
      </c>
      <c r="Y208" s="329">
        <v>5732473</v>
      </c>
      <c r="Z208" s="3"/>
      <c r="AA208" s="279" t="s">
        <v>438</v>
      </c>
      <c r="AB208" s="329">
        <v>0</v>
      </c>
      <c r="AC208" s="329">
        <v>22</v>
      </c>
      <c r="AD208" s="329">
        <v>193</v>
      </c>
      <c r="AE208" s="329">
        <v>215</v>
      </c>
      <c r="AF208" s="329">
        <v>165</v>
      </c>
      <c r="AG208" s="329">
        <v>2604421</v>
      </c>
      <c r="AH208" s="3"/>
      <c r="AI208" s="279" t="s">
        <v>438</v>
      </c>
      <c r="AJ208" s="329">
        <v>0</v>
      </c>
      <c r="AK208" s="329">
        <v>22</v>
      </c>
      <c r="AL208" s="329">
        <v>193</v>
      </c>
      <c r="AM208" s="329">
        <v>215</v>
      </c>
      <c r="AN208" s="329">
        <v>165</v>
      </c>
      <c r="AO208" s="329">
        <v>3561674</v>
      </c>
    </row>
    <row r="209" spans="1:41">
      <c r="A209" s="333">
        <f>SUBTOTAL(3,$B$7:B209)</f>
        <v>203</v>
      </c>
      <c r="B209" s="3" t="s">
        <v>161</v>
      </c>
      <c r="C209" s="275" t="s">
        <v>439</v>
      </c>
      <c r="D209" s="329">
        <v>0</v>
      </c>
      <c r="E209" s="329">
        <v>348</v>
      </c>
      <c r="F209" s="329">
        <v>0</v>
      </c>
      <c r="G209" s="329">
        <v>0</v>
      </c>
      <c r="H209" s="329">
        <v>348</v>
      </c>
      <c r="I209" s="329">
        <v>0</v>
      </c>
      <c r="J209" s="329">
        <v>61</v>
      </c>
      <c r="K209" s="333">
        <v>61</v>
      </c>
      <c r="L209" s="333"/>
      <c r="M209" s="165">
        <v>280</v>
      </c>
      <c r="N209" s="345" t="s">
        <v>439</v>
      </c>
      <c r="O209" s="329">
        <v>0</v>
      </c>
      <c r="P209" s="329">
        <v>0</v>
      </c>
      <c r="Q209" s="329">
        <v>348</v>
      </c>
      <c r="R209" s="333">
        <v>348</v>
      </c>
      <c r="S209" s="333">
        <v>6286502</v>
      </c>
      <c r="T209" s="3">
        <v>1.8</v>
      </c>
      <c r="U209" s="3"/>
      <c r="V209" s="279" t="s">
        <v>439</v>
      </c>
      <c r="W209" s="329">
        <v>61</v>
      </c>
      <c r="X209" s="329">
        <v>32739.639344262294</v>
      </c>
      <c r="Y209" s="329">
        <v>1997118</v>
      </c>
      <c r="Z209" s="3"/>
      <c r="AA209" s="279" t="s">
        <v>439</v>
      </c>
      <c r="AB209" s="329">
        <v>0</v>
      </c>
      <c r="AC209" s="329">
        <v>0</v>
      </c>
      <c r="AD209" s="329">
        <v>348</v>
      </c>
      <c r="AE209" s="329">
        <v>348</v>
      </c>
      <c r="AF209" s="329">
        <v>278</v>
      </c>
      <c r="AG209" s="329">
        <v>2642295</v>
      </c>
      <c r="AH209" s="3"/>
      <c r="AI209" s="279" t="s">
        <v>439</v>
      </c>
      <c r="AJ209" s="329">
        <v>0</v>
      </c>
      <c r="AK209" s="329">
        <v>0</v>
      </c>
      <c r="AL209" s="329">
        <v>348</v>
      </c>
      <c r="AM209" s="329">
        <v>348</v>
      </c>
      <c r="AN209" s="329">
        <v>278</v>
      </c>
      <c r="AO209" s="329">
        <v>3644207</v>
      </c>
    </row>
    <row r="210" spans="1:41">
      <c r="A210" s="333">
        <f>SUBTOTAL(3,$B$7:B210)</f>
        <v>204</v>
      </c>
      <c r="B210" s="3" t="s">
        <v>161</v>
      </c>
      <c r="C210" s="275" t="s">
        <v>440</v>
      </c>
      <c r="D210" s="329">
        <v>0</v>
      </c>
      <c r="E210" s="329">
        <v>58</v>
      </c>
      <c r="F210" s="329">
        <v>0</v>
      </c>
      <c r="G210" s="329">
        <v>9</v>
      </c>
      <c r="H210" s="329">
        <v>49</v>
      </c>
      <c r="I210" s="329">
        <v>0</v>
      </c>
      <c r="J210" s="329">
        <v>13</v>
      </c>
      <c r="K210" s="333">
        <v>13</v>
      </c>
      <c r="L210" s="333"/>
      <c r="M210" s="208">
        <v>281</v>
      </c>
      <c r="N210" s="345" t="s">
        <v>440</v>
      </c>
      <c r="O210" s="329">
        <v>0</v>
      </c>
      <c r="P210" s="329">
        <v>9</v>
      </c>
      <c r="Q210" s="329">
        <v>49</v>
      </c>
      <c r="R210" s="333">
        <v>58</v>
      </c>
      <c r="S210" s="333">
        <v>3274839</v>
      </c>
      <c r="T210" s="3">
        <v>3.8</v>
      </c>
      <c r="U210" s="3"/>
      <c r="V210" s="279" t="s">
        <v>440</v>
      </c>
      <c r="W210" s="329">
        <v>13</v>
      </c>
      <c r="X210" s="329">
        <v>74428.153846153844</v>
      </c>
      <c r="Y210" s="329">
        <v>967566</v>
      </c>
      <c r="Z210" s="3"/>
      <c r="AA210" s="279" t="s">
        <v>440</v>
      </c>
      <c r="AB210" s="329">
        <v>0</v>
      </c>
      <c r="AC210" s="329">
        <v>9</v>
      </c>
      <c r="AD210" s="329">
        <v>49</v>
      </c>
      <c r="AE210" s="329">
        <v>58</v>
      </c>
      <c r="AF210" s="329">
        <v>44</v>
      </c>
      <c r="AG210" s="329">
        <v>1386728</v>
      </c>
      <c r="AH210" s="3"/>
      <c r="AI210" s="279" t="s">
        <v>440</v>
      </c>
      <c r="AJ210" s="329">
        <v>0</v>
      </c>
      <c r="AK210" s="329">
        <v>9</v>
      </c>
      <c r="AL210" s="329">
        <v>49</v>
      </c>
      <c r="AM210" s="329">
        <v>58</v>
      </c>
      <c r="AN210" s="329">
        <v>44</v>
      </c>
      <c r="AO210" s="329">
        <v>1888111</v>
      </c>
    </row>
    <row r="211" spans="1:41">
      <c r="A211" s="333">
        <f>SUBTOTAL(3,$B$7:B211)</f>
        <v>205</v>
      </c>
      <c r="B211" s="3" t="s">
        <v>161</v>
      </c>
      <c r="C211" s="275" t="s">
        <v>441</v>
      </c>
      <c r="D211" s="329">
        <v>0</v>
      </c>
      <c r="E211" s="329">
        <v>46</v>
      </c>
      <c r="F211" s="329">
        <v>0</v>
      </c>
      <c r="G211" s="329">
        <v>0</v>
      </c>
      <c r="H211" s="329">
        <v>46</v>
      </c>
      <c r="I211" s="329">
        <v>0</v>
      </c>
      <c r="J211" s="329">
        <v>39</v>
      </c>
      <c r="K211" s="333">
        <v>39</v>
      </c>
      <c r="L211" s="333"/>
      <c r="M211" s="165">
        <v>282</v>
      </c>
      <c r="N211" s="345" t="s">
        <v>441</v>
      </c>
      <c r="O211" s="329">
        <v>0</v>
      </c>
      <c r="P211" s="329">
        <v>0</v>
      </c>
      <c r="Q211" s="329">
        <v>46</v>
      </c>
      <c r="R211" s="333">
        <v>46</v>
      </c>
      <c r="S211" s="333">
        <v>1495446</v>
      </c>
      <c r="T211" s="3">
        <v>2</v>
      </c>
      <c r="U211" s="3"/>
      <c r="V211" s="279" t="s">
        <v>441</v>
      </c>
      <c r="W211" s="329">
        <v>39</v>
      </c>
      <c r="X211" s="329">
        <v>40417.461538461539</v>
      </c>
      <c r="Y211" s="329">
        <v>1576281</v>
      </c>
      <c r="Z211" s="3"/>
      <c r="AA211" s="279" t="s">
        <v>441</v>
      </c>
      <c r="AB211" s="329">
        <v>0</v>
      </c>
      <c r="AC211" s="329">
        <v>0</v>
      </c>
      <c r="AD211" s="329">
        <v>46</v>
      </c>
      <c r="AE211" s="329">
        <v>46</v>
      </c>
      <c r="AF211" s="329">
        <v>37</v>
      </c>
      <c r="AG211" s="329">
        <v>632373</v>
      </c>
      <c r="AH211" s="3"/>
      <c r="AI211" s="279" t="s">
        <v>441</v>
      </c>
      <c r="AJ211" s="329">
        <v>0</v>
      </c>
      <c r="AK211" s="329">
        <v>0</v>
      </c>
      <c r="AL211" s="329">
        <v>46</v>
      </c>
      <c r="AM211" s="329">
        <v>46</v>
      </c>
      <c r="AN211" s="329">
        <v>37</v>
      </c>
      <c r="AO211" s="329">
        <v>863073</v>
      </c>
    </row>
    <row r="212" spans="1:41">
      <c r="A212" s="333">
        <f>SUBTOTAL(3,$B$7:B212)</f>
        <v>206</v>
      </c>
      <c r="B212" s="3" t="s">
        <v>161</v>
      </c>
      <c r="C212" s="275" t="s">
        <v>442</v>
      </c>
      <c r="D212" s="329">
        <v>0</v>
      </c>
      <c r="E212" s="329">
        <v>83</v>
      </c>
      <c r="F212" s="329">
        <v>0</v>
      </c>
      <c r="G212" s="329">
        <v>3</v>
      </c>
      <c r="H212" s="329">
        <v>80</v>
      </c>
      <c r="I212" s="329">
        <v>0</v>
      </c>
      <c r="J212" s="329">
        <v>0</v>
      </c>
      <c r="K212" s="333">
        <v>0</v>
      </c>
      <c r="L212" s="333"/>
      <c r="M212" s="165">
        <v>283</v>
      </c>
      <c r="N212" s="345" t="s">
        <v>442</v>
      </c>
      <c r="O212" s="329">
        <v>0</v>
      </c>
      <c r="P212" s="329">
        <v>3</v>
      </c>
      <c r="Q212" s="329">
        <v>80</v>
      </c>
      <c r="R212" s="333">
        <v>83</v>
      </c>
      <c r="S212" s="333">
        <v>1427805</v>
      </c>
      <c r="T212" s="3">
        <v>1.02</v>
      </c>
      <c r="U212" s="3"/>
      <c r="V212" s="279" t="s">
        <v>442</v>
      </c>
      <c r="W212" s="329">
        <v>0</v>
      </c>
      <c r="X212" s="329">
        <v>0</v>
      </c>
      <c r="Y212" s="329">
        <v>0</v>
      </c>
      <c r="Z212" s="3"/>
      <c r="AA212" s="279" t="s">
        <v>442</v>
      </c>
      <c r="AB212" s="329">
        <v>0</v>
      </c>
      <c r="AC212" s="329">
        <v>3</v>
      </c>
      <c r="AD212" s="329">
        <v>80</v>
      </c>
      <c r="AE212" s="329">
        <v>83</v>
      </c>
      <c r="AF212" s="329">
        <v>66</v>
      </c>
      <c r="AG212" s="329">
        <v>602534</v>
      </c>
      <c r="AH212" s="3"/>
      <c r="AI212" s="279" t="s">
        <v>442</v>
      </c>
      <c r="AJ212" s="329">
        <v>0</v>
      </c>
      <c r="AK212" s="329">
        <v>3</v>
      </c>
      <c r="AL212" s="329">
        <v>80</v>
      </c>
      <c r="AM212" s="329">
        <v>83</v>
      </c>
      <c r="AN212" s="329">
        <v>66</v>
      </c>
      <c r="AO212" s="329">
        <v>825271</v>
      </c>
    </row>
    <row r="213" spans="1:41">
      <c r="A213" s="333">
        <f>SUBTOTAL(3,$B$7:B213)</f>
        <v>207</v>
      </c>
      <c r="B213" s="3" t="s">
        <v>161</v>
      </c>
      <c r="C213" s="275" t="s">
        <v>443</v>
      </c>
      <c r="D213" s="329">
        <v>0</v>
      </c>
      <c r="E213" s="329">
        <v>84</v>
      </c>
      <c r="F213" s="329">
        <v>0</v>
      </c>
      <c r="G213" s="329">
        <v>0</v>
      </c>
      <c r="H213" s="329">
        <v>84</v>
      </c>
      <c r="I213" s="329">
        <v>0</v>
      </c>
      <c r="J213" s="329">
        <v>0</v>
      </c>
      <c r="K213" s="333">
        <v>0</v>
      </c>
      <c r="L213" s="333"/>
      <c r="M213" s="208">
        <v>284</v>
      </c>
      <c r="N213" s="345" t="s">
        <v>443</v>
      </c>
      <c r="O213" s="329">
        <v>0</v>
      </c>
      <c r="P213" s="329">
        <v>0</v>
      </c>
      <c r="Q213" s="329">
        <v>84</v>
      </c>
      <c r="R213" s="333">
        <v>84</v>
      </c>
      <c r="S213" s="333">
        <v>1350471</v>
      </c>
      <c r="T213" s="3">
        <v>2.2999999999999998</v>
      </c>
      <c r="U213" s="3"/>
      <c r="V213" s="279" t="s">
        <v>443</v>
      </c>
      <c r="W213" s="329">
        <v>0</v>
      </c>
      <c r="X213" s="329">
        <v>0</v>
      </c>
      <c r="Y213" s="329">
        <v>0</v>
      </c>
      <c r="Z213" s="3"/>
      <c r="AA213" s="279" t="s">
        <v>443</v>
      </c>
      <c r="AB213" s="329">
        <v>0</v>
      </c>
      <c r="AC213" s="329">
        <v>0</v>
      </c>
      <c r="AD213" s="329">
        <v>84</v>
      </c>
      <c r="AE213" s="329">
        <v>84</v>
      </c>
      <c r="AF213" s="329">
        <v>67</v>
      </c>
      <c r="AG213" s="329">
        <v>567620</v>
      </c>
      <c r="AH213" s="3"/>
      <c r="AI213" s="279" t="s">
        <v>443</v>
      </c>
      <c r="AJ213" s="329">
        <v>0</v>
      </c>
      <c r="AK213" s="329">
        <v>0</v>
      </c>
      <c r="AL213" s="329">
        <v>84</v>
      </c>
      <c r="AM213" s="329">
        <v>84</v>
      </c>
      <c r="AN213" s="329">
        <v>67</v>
      </c>
      <c r="AO213" s="329">
        <v>782851</v>
      </c>
    </row>
    <row r="214" spans="1:41">
      <c r="A214" s="333">
        <f>SUBTOTAL(3,$B$7:B214)</f>
        <v>208</v>
      </c>
      <c r="B214" s="3" t="s">
        <v>161</v>
      </c>
      <c r="C214" s="275" t="s">
        <v>444</v>
      </c>
      <c r="D214" s="329">
        <v>0</v>
      </c>
      <c r="E214" s="329">
        <v>108</v>
      </c>
      <c r="F214" s="329">
        <v>0</v>
      </c>
      <c r="G214" s="329">
        <v>0</v>
      </c>
      <c r="H214" s="329">
        <v>108</v>
      </c>
      <c r="I214" s="329">
        <v>0</v>
      </c>
      <c r="J214" s="329">
        <v>79</v>
      </c>
      <c r="K214" s="333">
        <v>79</v>
      </c>
      <c r="L214" s="333"/>
      <c r="M214" s="165">
        <v>285</v>
      </c>
      <c r="N214" s="345" t="s">
        <v>444</v>
      </c>
      <c r="O214" s="329">
        <v>0</v>
      </c>
      <c r="P214" s="329">
        <v>0</v>
      </c>
      <c r="Q214" s="329">
        <v>108</v>
      </c>
      <c r="R214" s="333">
        <v>108</v>
      </c>
      <c r="S214" s="333">
        <v>1858742</v>
      </c>
      <c r="T214" s="3">
        <v>2.2999999999999998</v>
      </c>
      <c r="U214" s="3"/>
      <c r="V214" s="279" t="s">
        <v>444</v>
      </c>
      <c r="W214" s="329">
        <v>79</v>
      </c>
      <c r="X214" s="329">
        <v>53768.265822784808</v>
      </c>
      <c r="Y214" s="329">
        <v>4247693</v>
      </c>
      <c r="Z214" s="3"/>
      <c r="AA214" s="279" t="s">
        <v>444</v>
      </c>
      <c r="AB214" s="329">
        <v>0</v>
      </c>
      <c r="AC214" s="329">
        <v>0</v>
      </c>
      <c r="AD214" s="329">
        <v>108</v>
      </c>
      <c r="AE214" s="329">
        <v>108</v>
      </c>
      <c r="AF214" s="329">
        <v>86</v>
      </c>
      <c r="AG214" s="329">
        <v>781252</v>
      </c>
      <c r="AH214" s="3"/>
      <c r="AI214" s="279" t="s">
        <v>444</v>
      </c>
      <c r="AJ214" s="329">
        <v>0</v>
      </c>
      <c r="AK214" s="329">
        <v>0</v>
      </c>
      <c r="AL214" s="329">
        <v>108</v>
      </c>
      <c r="AM214" s="329">
        <v>108</v>
      </c>
      <c r="AN214" s="329">
        <v>86</v>
      </c>
      <c r="AO214" s="329">
        <v>1077490</v>
      </c>
    </row>
    <row r="215" spans="1:41">
      <c r="A215" s="333">
        <f>SUBTOTAL(3,$B$7:B215)</f>
        <v>209</v>
      </c>
      <c r="B215" s="3" t="s">
        <v>179</v>
      </c>
      <c r="C215" s="275" t="s">
        <v>180</v>
      </c>
      <c r="D215" s="329">
        <v>5784</v>
      </c>
      <c r="E215" s="329">
        <v>5784</v>
      </c>
      <c r="F215" s="329">
        <v>0</v>
      </c>
      <c r="G215" s="329">
        <v>0</v>
      </c>
      <c r="H215" s="329">
        <v>5784</v>
      </c>
      <c r="I215" s="329">
        <v>0</v>
      </c>
      <c r="J215" s="329">
        <v>0</v>
      </c>
      <c r="K215" s="333">
        <v>0</v>
      </c>
      <c r="L215" s="333"/>
      <c r="M215" s="165">
        <v>286</v>
      </c>
      <c r="N215" s="279" t="s">
        <v>180</v>
      </c>
      <c r="O215" s="329">
        <v>0</v>
      </c>
      <c r="P215" s="329">
        <v>0</v>
      </c>
      <c r="Q215" s="329">
        <v>5784</v>
      </c>
      <c r="R215" s="333">
        <v>5784</v>
      </c>
      <c r="S215" s="333">
        <v>62454577</v>
      </c>
      <c r="T215" s="3">
        <v>1.2</v>
      </c>
      <c r="U215" s="3"/>
      <c r="V215" s="279" t="s">
        <v>180</v>
      </c>
      <c r="W215" s="329">
        <v>0</v>
      </c>
      <c r="X215" s="329">
        <v>0</v>
      </c>
      <c r="Y215" s="329">
        <v>0</v>
      </c>
      <c r="Z215" s="3"/>
      <c r="AA215" s="279" t="s">
        <v>180</v>
      </c>
      <c r="AB215" s="329">
        <v>0</v>
      </c>
      <c r="AC215" s="329">
        <v>0</v>
      </c>
      <c r="AD215" s="329">
        <v>5784</v>
      </c>
      <c r="AE215" s="329">
        <v>5784</v>
      </c>
      <c r="AF215" s="329">
        <v>4627</v>
      </c>
      <c r="AG215" s="329">
        <v>26250436</v>
      </c>
      <c r="AH215" s="3"/>
      <c r="AI215" s="279" t="s">
        <v>180</v>
      </c>
      <c r="AJ215" s="329">
        <v>0</v>
      </c>
      <c r="AK215" s="329">
        <v>0</v>
      </c>
      <c r="AL215" s="329">
        <v>5784</v>
      </c>
      <c r="AM215" s="329">
        <v>5784</v>
      </c>
      <c r="AN215" s="329">
        <v>4627</v>
      </c>
      <c r="AO215" s="329">
        <v>36204141</v>
      </c>
    </row>
    <row r="216" spans="1:41">
      <c r="A216" s="333">
        <f>SUBTOTAL(3,$B$7:B216)</f>
        <v>210</v>
      </c>
      <c r="B216" s="3" t="s">
        <v>105</v>
      </c>
      <c r="C216" s="275" t="s">
        <v>445</v>
      </c>
      <c r="D216" s="329">
        <v>0</v>
      </c>
      <c r="E216" s="329">
        <v>745</v>
      </c>
      <c r="F216" s="329">
        <v>0</v>
      </c>
      <c r="G216" s="329">
        <v>0</v>
      </c>
      <c r="H216" s="329">
        <v>745</v>
      </c>
      <c r="I216" s="329">
        <v>0</v>
      </c>
      <c r="J216" s="329">
        <v>51</v>
      </c>
      <c r="K216" s="333">
        <v>51</v>
      </c>
      <c r="L216" s="333"/>
      <c r="M216" s="208">
        <v>287</v>
      </c>
      <c r="N216" s="345" t="s">
        <v>445</v>
      </c>
      <c r="O216" s="329">
        <v>0</v>
      </c>
      <c r="P216" s="329">
        <v>0</v>
      </c>
      <c r="Q216" s="329">
        <v>745</v>
      </c>
      <c r="R216" s="333">
        <v>745</v>
      </c>
      <c r="S216" s="333">
        <v>20287643</v>
      </c>
      <c r="T216" s="3">
        <v>1.45</v>
      </c>
      <c r="U216" s="3"/>
      <c r="V216" s="279" t="s">
        <v>445</v>
      </c>
      <c r="W216" s="329">
        <v>51</v>
      </c>
      <c r="X216" s="329">
        <v>34039.666666666664</v>
      </c>
      <c r="Y216" s="329">
        <v>1736023</v>
      </c>
      <c r="Z216" s="3"/>
      <c r="AA216" s="279" t="s">
        <v>445</v>
      </c>
      <c r="AB216" s="329">
        <v>0</v>
      </c>
      <c r="AC216" s="329">
        <v>0</v>
      </c>
      <c r="AD216" s="329">
        <v>745</v>
      </c>
      <c r="AE216" s="329">
        <v>745</v>
      </c>
      <c r="AF216" s="329">
        <v>596</v>
      </c>
      <c r="AG216" s="329">
        <v>8527149</v>
      </c>
      <c r="AH216" s="3"/>
      <c r="AI216" s="279" t="s">
        <v>445</v>
      </c>
      <c r="AJ216" s="329">
        <v>0</v>
      </c>
      <c r="AK216" s="329">
        <v>0</v>
      </c>
      <c r="AL216" s="329">
        <v>745</v>
      </c>
      <c r="AM216" s="329">
        <v>745</v>
      </c>
      <c r="AN216" s="329">
        <v>596</v>
      </c>
      <c r="AO216" s="329">
        <v>11760494</v>
      </c>
    </row>
    <row r="217" spans="1:41">
      <c r="A217" s="333">
        <f>SUBTOTAL(3,$B$7:B217)</f>
        <v>211</v>
      </c>
      <c r="B217" s="3" t="s">
        <v>105</v>
      </c>
      <c r="C217" s="275" t="s">
        <v>446</v>
      </c>
      <c r="D217" s="329">
        <v>0</v>
      </c>
      <c r="E217" s="329">
        <v>312</v>
      </c>
      <c r="F217" s="329">
        <v>0</v>
      </c>
      <c r="G217" s="329">
        <v>219</v>
      </c>
      <c r="H217" s="329">
        <v>93</v>
      </c>
      <c r="I217" s="329">
        <v>0</v>
      </c>
      <c r="J217" s="329">
        <v>50</v>
      </c>
      <c r="K217" s="333">
        <v>50</v>
      </c>
      <c r="L217" s="333"/>
      <c r="M217" s="165">
        <v>288</v>
      </c>
      <c r="N217" s="345" t="s">
        <v>446</v>
      </c>
      <c r="O217" s="329">
        <v>0</v>
      </c>
      <c r="P217" s="329">
        <v>219</v>
      </c>
      <c r="Q217" s="329">
        <v>93</v>
      </c>
      <c r="R217" s="333">
        <v>312</v>
      </c>
      <c r="S217" s="333">
        <v>5822264</v>
      </c>
      <c r="T217" s="3">
        <v>1.6</v>
      </c>
      <c r="U217" s="3"/>
      <c r="V217" s="279" t="s">
        <v>446</v>
      </c>
      <c r="W217" s="329">
        <v>50</v>
      </c>
      <c r="X217" s="329">
        <v>31642.74</v>
      </c>
      <c r="Y217" s="329">
        <v>1582137</v>
      </c>
      <c r="Z217" s="3"/>
      <c r="AA217" s="279" t="s">
        <v>446</v>
      </c>
      <c r="AB217" s="329">
        <v>0</v>
      </c>
      <c r="AC217" s="329">
        <v>219</v>
      </c>
      <c r="AD217" s="329">
        <v>93</v>
      </c>
      <c r="AE217" s="329">
        <v>312</v>
      </c>
      <c r="AF217" s="329">
        <v>184</v>
      </c>
      <c r="AG217" s="329">
        <v>2464372</v>
      </c>
      <c r="AH217" s="3"/>
      <c r="AI217" s="279" t="s">
        <v>446</v>
      </c>
      <c r="AJ217" s="329">
        <v>0</v>
      </c>
      <c r="AK217" s="329">
        <v>219</v>
      </c>
      <c r="AL217" s="329">
        <v>93</v>
      </c>
      <c r="AM217" s="329">
        <v>312</v>
      </c>
      <c r="AN217" s="329">
        <v>184</v>
      </c>
      <c r="AO217" s="329">
        <v>3357892</v>
      </c>
    </row>
    <row r="218" spans="1:41">
      <c r="A218" s="333">
        <f>SUBTOTAL(3,$B$7:B218)</f>
        <v>212</v>
      </c>
      <c r="B218" s="3" t="s">
        <v>105</v>
      </c>
      <c r="C218" s="275" t="s">
        <v>447</v>
      </c>
      <c r="D218" s="329">
        <v>0</v>
      </c>
      <c r="E218" s="329">
        <v>343</v>
      </c>
      <c r="F218" s="329">
        <v>0</v>
      </c>
      <c r="G218" s="329">
        <v>0</v>
      </c>
      <c r="H218" s="329">
        <v>343</v>
      </c>
      <c r="I218" s="329">
        <v>0</v>
      </c>
      <c r="J218" s="329">
        <v>23</v>
      </c>
      <c r="K218" s="333">
        <v>23</v>
      </c>
      <c r="L218" s="333"/>
      <c r="M218" s="165">
        <v>289</v>
      </c>
      <c r="N218" s="345" t="s">
        <v>447</v>
      </c>
      <c r="O218" s="329">
        <v>0</v>
      </c>
      <c r="P218" s="329">
        <v>0</v>
      </c>
      <c r="Q218" s="329">
        <v>343</v>
      </c>
      <c r="R218" s="333">
        <v>343</v>
      </c>
      <c r="S218" s="333">
        <v>5340707</v>
      </c>
      <c r="T218" s="3">
        <v>1.75</v>
      </c>
      <c r="U218" s="3"/>
      <c r="V218" s="279" t="s">
        <v>447</v>
      </c>
      <c r="W218" s="329">
        <v>23</v>
      </c>
      <c r="X218" s="329">
        <v>41082.391304347824</v>
      </c>
      <c r="Y218" s="329">
        <v>944895</v>
      </c>
      <c r="Z218" s="3"/>
      <c r="AA218" s="279" t="s">
        <v>447</v>
      </c>
      <c r="AB218" s="329">
        <v>0</v>
      </c>
      <c r="AC218" s="329">
        <v>0</v>
      </c>
      <c r="AD218" s="329">
        <v>343</v>
      </c>
      <c r="AE218" s="329">
        <v>343</v>
      </c>
      <c r="AF218" s="329">
        <v>274</v>
      </c>
      <c r="AG218" s="329">
        <v>2244766</v>
      </c>
      <c r="AH218" s="3"/>
      <c r="AI218" s="279" t="s">
        <v>447</v>
      </c>
      <c r="AJ218" s="329">
        <v>0</v>
      </c>
      <c r="AK218" s="329">
        <v>0</v>
      </c>
      <c r="AL218" s="329">
        <v>343</v>
      </c>
      <c r="AM218" s="329">
        <v>343</v>
      </c>
      <c r="AN218" s="329">
        <v>274</v>
      </c>
      <c r="AO218" s="329">
        <v>3095941</v>
      </c>
    </row>
    <row r="219" spans="1:41">
      <c r="A219" s="333">
        <f>SUBTOTAL(3,$B$7:B219)</f>
        <v>213</v>
      </c>
      <c r="B219" s="3" t="s">
        <v>105</v>
      </c>
      <c r="C219" s="275" t="s">
        <v>448</v>
      </c>
      <c r="D219" s="329">
        <v>0</v>
      </c>
      <c r="E219" s="329">
        <v>3056</v>
      </c>
      <c r="F219" s="329">
        <v>7</v>
      </c>
      <c r="G219" s="329">
        <v>1522</v>
      </c>
      <c r="H219" s="329">
        <v>1527</v>
      </c>
      <c r="I219" s="329">
        <v>0</v>
      </c>
      <c r="J219" s="329">
        <v>273</v>
      </c>
      <c r="K219" s="333">
        <v>273</v>
      </c>
      <c r="L219" s="333"/>
      <c r="M219" s="208">
        <v>290</v>
      </c>
      <c r="N219" s="345" t="s">
        <v>448</v>
      </c>
      <c r="O219" s="329">
        <v>7</v>
      </c>
      <c r="P219" s="329">
        <v>1522</v>
      </c>
      <c r="Q219" s="329">
        <v>1527</v>
      </c>
      <c r="R219" s="333">
        <v>3056</v>
      </c>
      <c r="S219" s="333">
        <v>64492383</v>
      </c>
      <c r="T219" s="3">
        <v>1.6</v>
      </c>
      <c r="U219" s="3"/>
      <c r="V219" s="279" t="s">
        <v>448</v>
      </c>
      <c r="W219" s="329">
        <v>273</v>
      </c>
      <c r="X219" s="329">
        <v>32649.608058608057</v>
      </c>
      <c r="Y219" s="329">
        <v>8913343</v>
      </c>
      <c r="Z219" s="3"/>
      <c r="AA219" s="279" t="s">
        <v>448</v>
      </c>
      <c r="AB219" s="329">
        <v>7</v>
      </c>
      <c r="AC219" s="329">
        <v>1522</v>
      </c>
      <c r="AD219" s="329">
        <v>1527</v>
      </c>
      <c r="AE219" s="329">
        <v>3056</v>
      </c>
      <c r="AF219" s="329">
        <v>1984</v>
      </c>
      <c r="AG219" s="329">
        <v>27265369</v>
      </c>
      <c r="AH219" s="3"/>
      <c r="AI219" s="279" t="s">
        <v>448</v>
      </c>
      <c r="AJ219" s="329">
        <v>7</v>
      </c>
      <c r="AK219" s="329">
        <v>1522</v>
      </c>
      <c r="AL219" s="329">
        <v>1527</v>
      </c>
      <c r="AM219" s="329">
        <v>3056</v>
      </c>
      <c r="AN219" s="329">
        <v>1984</v>
      </c>
      <c r="AO219" s="329">
        <v>37227014</v>
      </c>
    </row>
    <row r="220" spans="1:41">
      <c r="A220" s="333">
        <f>SUBTOTAL(3,$B$7:B220)</f>
        <v>214</v>
      </c>
      <c r="B220" s="3" t="s">
        <v>105</v>
      </c>
      <c r="C220" s="275" t="s">
        <v>449</v>
      </c>
      <c r="D220" s="329">
        <v>0</v>
      </c>
      <c r="E220" s="329">
        <v>114</v>
      </c>
      <c r="F220" s="329">
        <v>0</v>
      </c>
      <c r="G220" s="329">
        <v>48</v>
      </c>
      <c r="H220" s="329">
        <v>66</v>
      </c>
      <c r="I220" s="329">
        <v>0</v>
      </c>
      <c r="J220" s="329">
        <v>68</v>
      </c>
      <c r="K220" s="333">
        <v>68</v>
      </c>
      <c r="L220" s="333"/>
      <c r="M220" s="165">
        <v>291</v>
      </c>
      <c r="N220" s="345" t="s">
        <v>449</v>
      </c>
      <c r="O220" s="329">
        <v>0</v>
      </c>
      <c r="P220" s="329">
        <v>48</v>
      </c>
      <c r="Q220" s="329">
        <v>66</v>
      </c>
      <c r="R220" s="333">
        <v>114</v>
      </c>
      <c r="S220" s="333">
        <v>2630480</v>
      </c>
      <c r="T220" s="3">
        <v>1.6</v>
      </c>
      <c r="U220" s="3"/>
      <c r="V220" s="279" t="s">
        <v>449</v>
      </c>
      <c r="W220" s="329">
        <v>68</v>
      </c>
      <c r="X220" s="329">
        <v>34162.088235294119</v>
      </c>
      <c r="Y220" s="329">
        <v>2323022</v>
      </c>
      <c r="Z220" s="3"/>
      <c r="AA220" s="279" t="s">
        <v>449</v>
      </c>
      <c r="AB220" s="329">
        <v>0</v>
      </c>
      <c r="AC220" s="329">
        <v>48</v>
      </c>
      <c r="AD220" s="329">
        <v>66</v>
      </c>
      <c r="AE220" s="329">
        <v>114</v>
      </c>
      <c r="AF220" s="329">
        <v>77</v>
      </c>
      <c r="AG220" s="329">
        <v>1109758</v>
      </c>
      <c r="AH220" s="3"/>
      <c r="AI220" s="279" t="s">
        <v>449</v>
      </c>
      <c r="AJ220" s="329">
        <v>0</v>
      </c>
      <c r="AK220" s="329">
        <v>48</v>
      </c>
      <c r="AL220" s="329">
        <v>66</v>
      </c>
      <c r="AM220" s="329">
        <v>114</v>
      </c>
      <c r="AN220" s="329">
        <v>77</v>
      </c>
      <c r="AO220" s="329">
        <v>1520722</v>
      </c>
    </row>
    <row r="221" spans="1:41">
      <c r="A221" s="333">
        <f>SUBTOTAL(3,$B$7:B221)</f>
        <v>215</v>
      </c>
      <c r="B221" s="3" t="s">
        <v>105</v>
      </c>
      <c r="C221" s="275" t="s">
        <v>450</v>
      </c>
      <c r="D221" s="329">
        <v>0</v>
      </c>
      <c r="E221" s="329">
        <v>201</v>
      </c>
      <c r="F221" s="329">
        <v>0</v>
      </c>
      <c r="G221" s="329">
        <v>92</v>
      </c>
      <c r="H221" s="329">
        <v>109</v>
      </c>
      <c r="I221" s="329">
        <v>0</v>
      </c>
      <c r="J221" s="329">
        <v>68</v>
      </c>
      <c r="K221" s="333">
        <v>68</v>
      </c>
      <c r="L221" s="333"/>
      <c r="M221" s="165">
        <v>292</v>
      </c>
      <c r="N221" s="345" t="s">
        <v>450</v>
      </c>
      <c r="O221" s="329">
        <v>0</v>
      </c>
      <c r="P221" s="329">
        <v>92</v>
      </c>
      <c r="Q221" s="329">
        <v>109</v>
      </c>
      <c r="R221" s="333">
        <v>201</v>
      </c>
      <c r="S221" s="333">
        <v>4414203</v>
      </c>
      <c r="T221" s="3">
        <v>1.6</v>
      </c>
      <c r="U221" s="3"/>
      <c r="V221" s="279" t="s">
        <v>450</v>
      </c>
      <c r="W221" s="329">
        <v>68</v>
      </c>
      <c r="X221" s="329">
        <v>33189.5</v>
      </c>
      <c r="Y221" s="329">
        <v>2256886</v>
      </c>
      <c r="Z221" s="3"/>
      <c r="AA221" s="279" t="s">
        <v>450</v>
      </c>
      <c r="AB221" s="329">
        <v>0</v>
      </c>
      <c r="AC221" s="329">
        <v>92</v>
      </c>
      <c r="AD221" s="329">
        <v>109</v>
      </c>
      <c r="AE221" s="329">
        <v>201</v>
      </c>
      <c r="AF221" s="329">
        <v>133</v>
      </c>
      <c r="AG221" s="329">
        <v>1864529</v>
      </c>
      <c r="AH221" s="3"/>
      <c r="AI221" s="279" t="s">
        <v>450</v>
      </c>
      <c r="AJ221" s="329">
        <v>0</v>
      </c>
      <c r="AK221" s="329">
        <v>92</v>
      </c>
      <c r="AL221" s="329">
        <v>109</v>
      </c>
      <c r="AM221" s="329">
        <v>201</v>
      </c>
      <c r="AN221" s="329">
        <v>133</v>
      </c>
      <c r="AO221" s="329">
        <v>2549674</v>
      </c>
    </row>
    <row r="222" spans="1:41">
      <c r="A222" s="333">
        <f>SUBTOTAL(3,$B$7:B222)</f>
        <v>216</v>
      </c>
      <c r="B222" s="3" t="s">
        <v>105</v>
      </c>
      <c r="C222" s="275" t="s">
        <v>451</v>
      </c>
      <c r="D222" s="329">
        <v>0</v>
      </c>
      <c r="E222" s="329">
        <v>450</v>
      </c>
      <c r="F222" s="329">
        <v>0</v>
      </c>
      <c r="G222" s="329">
        <v>0</v>
      </c>
      <c r="H222" s="329">
        <v>450</v>
      </c>
      <c r="I222" s="329">
        <v>0</v>
      </c>
      <c r="J222" s="329">
        <v>0</v>
      </c>
      <c r="K222" s="333">
        <v>0</v>
      </c>
      <c r="L222" s="333"/>
      <c r="M222" s="208">
        <v>293</v>
      </c>
      <c r="N222" s="345" t="s">
        <v>451</v>
      </c>
      <c r="O222" s="329">
        <v>0</v>
      </c>
      <c r="P222" s="329">
        <v>0</v>
      </c>
      <c r="Q222" s="329">
        <v>450</v>
      </c>
      <c r="R222" s="333">
        <v>450</v>
      </c>
      <c r="S222" s="333">
        <v>6127140</v>
      </c>
      <c r="T222" s="3">
        <v>1.45</v>
      </c>
      <c r="U222" s="3"/>
      <c r="V222" s="279" t="s">
        <v>451</v>
      </c>
      <c r="W222" s="329">
        <v>0</v>
      </c>
      <c r="X222" s="329">
        <v>0</v>
      </c>
      <c r="Y222" s="329">
        <v>0</v>
      </c>
      <c r="Z222" s="3"/>
      <c r="AA222" s="279" t="s">
        <v>451</v>
      </c>
      <c r="AB222" s="329">
        <v>0</v>
      </c>
      <c r="AC222" s="329">
        <v>0</v>
      </c>
      <c r="AD222" s="329">
        <v>450</v>
      </c>
      <c r="AE222" s="329">
        <v>450</v>
      </c>
      <c r="AF222" s="329">
        <v>360</v>
      </c>
      <c r="AG222" s="329">
        <v>2575313</v>
      </c>
      <c r="AH222" s="3"/>
      <c r="AI222" s="279" t="s">
        <v>451</v>
      </c>
      <c r="AJ222" s="329">
        <v>0</v>
      </c>
      <c r="AK222" s="329">
        <v>0</v>
      </c>
      <c r="AL222" s="329">
        <v>450</v>
      </c>
      <c r="AM222" s="329">
        <v>450</v>
      </c>
      <c r="AN222" s="329">
        <v>360</v>
      </c>
      <c r="AO222" s="329">
        <v>3551827</v>
      </c>
    </row>
    <row r="223" spans="1:41">
      <c r="A223" s="333">
        <f>SUBTOTAL(3,$B$7:B223)</f>
        <v>217</v>
      </c>
      <c r="B223" s="3" t="s">
        <v>105</v>
      </c>
      <c r="C223" s="275" t="s">
        <v>452</v>
      </c>
      <c r="D223" s="329">
        <v>0</v>
      </c>
      <c r="E223" s="329">
        <v>42</v>
      </c>
      <c r="F223" s="329">
        <v>0</v>
      </c>
      <c r="G223" s="329">
        <v>0</v>
      </c>
      <c r="H223" s="329">
        <v>42</v>
      </c>
      <c r="I223" s="329">
        <v>0</v>
      </c>
      <c r="J223" s="329">
        <v>0</v>
      </c>
      <c r="K223" s="333">
        <v>0</v>
      </c>
      <c r="L223" s="333"/>
      <c r="M223" s="165">
        <v>294</v>
      </c>
      <c r="N223" s="345" t="s">
        <v>452</v>
      </c>
      <c r="O223" s="329">
        <v>0</v>
      </c>
      <c r="P223" s="329">
        <v>0</v>
      </c>
      <c r="Q223" s="329">
        <v>42</v>
      </c>
      <c r="R223" s="333">
        <v>42</v>
      </c>
      <c r="S223" s="333">
        <v>1077532</v>
      </c>
      <c r="T223" s="3">
        <v>1.35</v>
      </c>
      <c r="U223" s="3"/>
      <c r="V223" s="279" t="s">
        <v>452</v>
      </c>
      <c r="W223" s="329">
        <v>0</v>
      </c>
      <c r="X223" s="329">
        <v>0</v>
      </c>
      <c r="Y223" s="329">
        <v>0</v>
      </c>
      <c r="Z223" s="3"/>
      <c r="AA223" s="279" t="s">
        <v>452</v>
      </c>
      <c r="AB223" s="329">
        <v>0</v>
      </c>
      <c r="AC223" s="329">
        <v>0</v>
      </c>
      <c r="AD223" s="329">
        <v>42</v>
      </c>
      <c r="AE223" s="329">
        <v>42</v>
      </c>
      <c r="AF223" s="329">
        <v>34</v>
      </c>
      <c r="AG223" s="329">
        <v>452900</v>
      </c>
      <c r="AH223" s="3"/>
      <c r="AI223" s="279" t="s">
        <v>452</v>
      </c>
      <c r="AJ223" s="329">
        <v>0</v>
      </c>
      <c r="AK223" s="329">
        <v>0</v>
      </c>
      <c r="AL223" s="329">
        <v>42</v>
      </c>
      <c r="AM223" s="329">
        <v>42</v>
      </c>
      <c r="AN223" s="329">
        <v>34</v>
      </c>
      <c r="AO223" s="329">
        <v>624632</v>
      </c>
    </row>
    <row r="224" spans="1:41">
      <c r="A224" s="333">
        <f>SUBTOTAL(3,$B$7:B224)</f>
        <v>218</v>
      </c>
      <c r="B224" s="3" t="s">
        <v>105</v>
      </c>
      <c r="C224" s="275" t="s">
        <v>453</v>
      </c>
      <c r="D224" s="329">
        <v>0</v>
      </c>
      <c r="E224" s="329">
        <v>62</v>
      </c>
      <c r="F224" s="329">
        <v>0</v>
      </c>
      <c r="G224" s="329">
        <v>0</v>
      </c>
      <c r="H224" s="329">
        <v>62</v>
      </c>
      <c r="I224" s="329">
        <v>0</v>
      </c>
      <c r="J224" s="329">
        <v>0</v>
      </c>
      <c r="K224" s="333">
        <v>0</v>
      </c>
      <c r="L224" s="333"/>
      <c r="M224" s="165">
        <v>295</v>
      </c>
      <c r="N224" s="345" t="s">
        <v>453</v>
      </c>
      <c r="O224" s="329">
        <v>0</v>
      </c>
      <c r="P224" s="329">
        <v>0</v>
      </c>
      <c r="Q224" s="329">
        <v>62</v>
      </c>
      <c r="R224" s="333">
        <v>62</v>
      </c>
      <c r="S224" s="333">
        <v>855687</v>
      </c>
      <c r="T224" s="3">
        <v>1.35</v>
      </c>
      <c r="U224" s="3"/>
      <c r="V224" s="279" t="s">
        <v>453</v>
      </c>
      <c r="W224" s="329">
        <v>0</v>
      </c>
      <c r="X224" s="329">
        <v>0</v>
      </c>
      <c r="Y224" s="329">
        <v>0</v>
      </c>
      <c r="Z224" s="3"/>
      <c r="AA224" s="279" t="s">
        <v>453</v>
      </c>
      <c r="AB224" s="329">
        <v>0</v>
      </c>
      <c r="AC224" s="329">
        <v>0</v>
      </c>
      <c r="AD224" s="329">
        <v>62</v>
      </c>
      <c r="AE224" s="329">
        <v>62</v>
      </c>
      <c r="AF224" s="329">
        <v>50</v>
      </c>
      <c r="AG224" s="329">
        <v>359656</v>
      </c>
      <c r="AH224" s="3"/>
      <c r="AI224" s="279" t="s">
        <v>453</v>
      </c>
      <c r="AJ224" s="329">
        <v>0</v>
      </c>
      <c r="AK224" s="329">
        <v>0</v>
      </c>
      <c r="AL224" s="329">
        <v>62</v>
      </c>
      <c r="AM224" s="329">
        <v>62</v>
      </c>
      <c r="AN224" s="329">
        <v>50</v>
      </c>
      <c r="AO224" s="329">
        <v>496031</v>
      </c>
    </row>
    <row r="225" spans="1:41">
      <c r="A225" s="333">
        <f>SUBTOTAL(3,$B$7:B225)</f>
        <v>219</v>
      </c>
      <c r="B225" s="3" t="s">
        <v>105</v>
      </c>
      <c r="C225" s="275" t="s">
        <v>454</v>
      </c>
      <c r="D225" s="329">
        <v>0</v>
      </c>
      <c r="E225" s="329">
        <v>20</v>
      </c>
      <c r="F225" s="329">
        <v>0</v>
      </c>
      <c r="G225" s="329">
        <v>0</v>
      </c>
      <c r="H225" s="329">
        <v>20</v>
      </c>
      <c r="I225" s="329">
        <v>0</v>
      </c>
      <c r="J225" s="329">
        <v>0</v>
      </c>
      <c r="K225" s="333">
        <v>0</v>
      </c>
      <c r="L225" s="333"/>
      <c r="M225" s="208">
        <v>296</v>
      </c>
      <c r="N225" s="346" t="s">
        <v>454</v>
      </c>
      <c r="O225" s="329">
        <v>0</v>
      </c>
      <c r="P225" s="329">
        <v>0</v>
      </c>
      <c r="Q225" s="329">
        <v>20</v>
      </c>
      <c r="R225" s="333">
        <v>20</v>
      </c>
      <c r="S225" s="333">
        <v>594716</v>
      </c>
      <c r="T225" s="3">
        <v>1.6</v>
      </c>
      <c r="U225" s="3"/>
      <c r="V225" s="275" t="s">
        <v>454</v>
      </c>
      <c r="W225" s="329">
        <v>0</v>
      </c>
      <c r="X225" s="329">
        <v>0</v>
      </c>
      <c r="Y225" s="329">
        <v>0</v>
      </c>
      <c r="Z225" s="3"/>
      <c r="AA225" s="275" t="s">
        <v>454</v>
      </c>
      <c r="AB225" s="329">
        <v>0</v>
      </c>
      <c r="AC225" s="329">
        <v>0</v>
      </c>
      <c r="AD225" s="329">
        <v>20</v>
      </c>
      <c r="AE225" s="329">
        <v>20</v>
      </c>
      <c r="AF225" s="329">
        <v>16</v>
      </c>
      <c r="AG225" s="329">
        <v>249967</v>
      </c>
      <c r="AH225" s="3"/>
      <c r="AI225" s="275" t="s">
        <v>454</v>
      </c>
      <c r="AJ225" s="329">
        <v>0</v>
      </c>
      <c r="AK225" s="329">
        <v>0</v>
      </c>
      <c r="AL225" s="329">
        <v>20</v>
      </c>
      <c r="AM225" s="329">
        <v>20</v>
      </c>
      <c r="AN225" s="329">
        <v>16</v>
      </c>
      <c r="AO225" s="329">
        <v>344749</v>
      </c>
    </row>
    <row r="226" spans="1:41">
      <c r="A226" s="333">
        <f>SUBTOTAL(3,$B$7:B226)</f>
        <v>220</v>
      </c>
      <c r="B226" s="3" t="s">
        <v>101</v>
      </c>
      <c r="C226" s="275" t="s">
        <v>455</v>
      </c>
      <c r="D226" s="329">
        <v>0</v>
      </c>
      <c r="E226" s="329">
        <v>28</v>
      </c>
      <c r="F226" s="329">
        <v>0</v>
      </c>
      <c r="G226" s="329">
        <v>0</v>
      </c>
      <c r="H226" s="329">
        <v>28</v>
      </c>
      <c r="I226" s="329">
        <v>0</v>
      </c>
      <c r="J226" s="329">
        <v>306</v>
      </c>
      <c r="K226" s="333">
        <v>306</v>
      </c>
      <c r="L226" s="333"/>
      <c r="M226" s="165">
        <v>297</v>
      </c>
      <c r="N226" s="345" t="s">
        <v>455</v>
      </c>
      <c r="O226" s="329">
        <v>0</v>
      </c>
      <c r="P226" s="329">
        <v>0</v>
      </c>
      <c r="Q226" s="329">
        <v>28</v>
      </c>
      <c r="R226" s="333">
        <v>28</v>
      </c>
      <c r="S226" s="333">
        <v>525854</v>
      </c>
      <c r="T226" s="3">
        <v>4</v>
      </c>
      <c r="U226" s="3"/>
      <c r="V226" s="279" t="s">
        <v>455</v>
      </c>
      <c r="W226" s="329">
        <v>306</v>
      </c>
      <c r="X226" s="329">
        <v>92274.503267973851</v>
      </c>
      <c r="Y226" s="329">
        <v>28235998</v>
      </c>
      <c r="Z226" s="3"/>
      <c r="AA226" s="279" t="s">
        <v>455</v>
      </c>
      <c r="AB226" s="329">
        <v>0</v>
      </c>
      <c r="AC226" s="329">
        <v>0</v>
      </c>
      <c r="AD226" s="329">
        <v>28</v>
      </c>
      <c r="AE226" s="329">
        <v>28</v>
      </c>
      <c r="AF226" s="329">
        <v>22</v>
      </c>
      <c r="AG226" s="329">
        <v>221023</v>
      </c>
      <c r="AH226" s="3"/>
      <c r="AI226" s="279" t="s">
        <v>455</v>
      </c>
      <c r="AJ226" s="329">
        <v>0</v>
      </c>
      <c r="AK226" s="329">
        <v>0</v>
      </c>
      <c r="AL226" s="329">
        <v>28</v>
      </c>
      <c r="AM226" s="329">
        <v>28</v>
      </c>
      <c r="AN226" s="329">
        <v>22</v>
      </c>
      <c r="AO226" s="329">
        <v>304831</v>
      </c>
    </row>
    <row r="227" spans="1:41">
      <c r="A227" s="333">
        <f>SUBTOTAL(3,$B$7:B227)</f>
        <v>221</v>
      </c>
      <c r="B227" s="3" t="s">
        <v>101</v>
      </c>
      <c r="C227" s="275" t="s">
        <v>456</v>
      </c>
      <c r="D227" s="329">
        <v>0</v>
      </c>
      <c r="E227" s="329">
        <v>365</v>
      </c>
      <c r="F227" s="329">
        <v>0</v>
      </c>
      <c r="G227" s="329">
        <v>0</v>
      </c>
      <c r="H227" s="329">
        <v>365</v>
      </c>
      <c r="I227" s="329">
        <v>0</v>
      </c>
      <c r="J227" s="329">
        <v>247</v>
      </c>
      <c r="K227" s="333">
        <v>247</v>
      </c>
      <c r="L227" s="333"/>
      <c r="M227" s="165">
        <v>298</v>
      </c>
      <c r="N227" s="345" t="s">
        <v>456</v>
      </c>
      <c r="O227" s="329">
        <v>0</v>
      </c>
      <c r="P227" s="329">
        <v>0</v>
      </c>
      <c r="Q227" s="329">
        <v>365</v>
      </c>
      <c r="R227" s="333">
        <v>365</v>
      </c>
      <c r="S227" s="333">
        <v>9170585</v>
      </c>
      <c r="T227" s="3">
        <v>2.7</v>
      </c>
      <c r="U227" s="3"/>
      <c r="V227" s="279" t="s">
        <v>456</v>
      </c>
      <c r="W227" s="329">
        <v>247</v>
      </c>
      <c r="X227" s="329">
        <v>50645.522267206477</v>
      </c>
      <c r="Y227" s="329">
        <v>12509444</v>
      </c>
      <c r="Z227" s="3"/>
      <c r="AA227" s="279" t="s">
        <v>456</v>
      </c>
      <c r="AB227" s="329">
        <v>0</v>
      </c>
      <c r="AC227" s="329">
        <v>0</v>
      </c>
      <c r="AD227" s="329">
        <v>365</v>
      </c>
      <c r="AE227" s="329">
        <v>365</v>
      </c>
      <c r="AF227" s="329">
        <v>292</v>
      </c>
      <c r="AG227" s="329">
        <v>3854511</v>
      </c>
      <c r="AH227" s="3"/>
      <c r="AI227" s="279" t="s">
        <v>456</v>
      </c>
      <c r="AJ227" s="329">
        <v>0</v>
      </c>
      <c r="AK227" s="329">
        <v>0</v>
      </c>
      <c r="AL227" s="329">
        <v>365</v>
      </c>
      <c r="AM227" s="329">
        <v>365</v>
      </c>
      <c r="AN227" s="329">
        <v>292</v>
      </c>
      <c r="AO227" s="329">
        <v>5316074</v>
      </c>
    </row>
    <row r="228" spans="1:41">
      <c r="A228" s="333">
        <f>SUBTOTAL(3,$B$7:B228)</f>
        <v>222</v>
      </c>
      <c r="B228" s="3" t="s">
        <v>106</v>
      </c>
      <c r="C228" s="275" t="s">
        <v>181</v>
      </c>
      <c r="D228" s="329">
        <v>17753</v>
      </c>
      <c r="E228" s="329">
        <v>2844</v>
      </c>
      <c r="F228" s="329">
        <v>34</v>
      </c>
      <c r="G228" s="329">
        <v>184</v>
      </c>
      <c r="H228" s="329">
        <v>2626</v>
      </c>
      <c r="I228" s="329">
        <v>6929</v>
      </c>
      <c r="J228" s="329">
        <v>0</v>
      </c>
      <c r="K228" s="333">
        <v>6929</v>
      </c>
      <c r="L228" s="333"/>
      <c r="M228" s="208">
        <v>299</v>
      </c>
      <c r="N228" s="279" t="s">
        <v>181</v>
      </c>
      <c r="O228" s="329">
        <v>34</v>
      </c>
      <c r="P228" s="329">
        <v>184</v>
      </c>
      <c r="Q228" s="329">
        <v>2626</v>
      </c>
      <c r="R228" s="333">
        <v>2844</v>
      </c>
      <c r="S228" s="333">
        <v>59891443</v>
      </c>
      <c r="T228" s="3">
        <v>1.36</v>
      </c>
      <c r="U228" s="3"/>
      <c r="V228" s="279" t="s">
        <v>181</v>
      </c>
      <c r="W228" s="329">
        <v>6929</v>
      </c>
      <c r="X228" s="329">
        <v>27761.019627651898</v>
      </c>
      <c r="Y228" s="329">
        <v>192356105</v>
      </c>
      <c r="Z228" s="3"/>
      <c r="AA228" s="279" t="s">
        <v>181</v>
      </c>
      <c r="AB228" s="329">
        <v>34</v>
      </c>
      <c r="AC228" s="329">
        <v>184</v>
      </c>
      <c r="AD228" s="329">
        <v>2626</v>
      </c>
      <c r="AE228" s="329">
        <v>2844</v>
      </c>
      <c r="AF228" s="329">
        <v>2200</v>
      </c>
      <c r="AG228" s="329">
        <v>24245429</v>
      </c>
      <c r="AH228" s="3"/>
      <c r="AI228" s="279" t="s">
        <v>181</v>
      </c>
      <c r="AJ228" s="329">
        <v>34</v>
      </c>
      <c r="AK228" s="329">
        <v>184</v>
      </c>
      <c r="AL228" s="329">
        <v>2626</v>
      </c>
      <c r="AM228" s="329">
        <v>2844</v>
      </c>
      <c r="AN228" s="329">
        <v>2200</v>
      </c>
      <c r="AO228" s="329">
        <v>35646014</v>
      </c>
    </row>
    <row r="229" spans="1:41">
      <c r="A229" s="333">
        <f>SUBTOTAL(3,$B$7:B229)</f>
        <v>223</v>
      </c>
      <c r="B229" s="3" t="s">
        <v>106</v>
      </c>
      <c r="C229" s="275" t="s">
        <v>182</v>
      </c>
      <c r="D229" s="329">
        <v>4755</v>
      </c>
      <c r="E229" s="329">
        <v>295</v>
      </c>
      <c r="F229" s="329">
        <v>0</v>
      </c>
      <c r="G229" s="329">
        <v>14</v>
      </c>
      <c r="H229" s="329">
        <v>281</v>
      </c>
      <c r="I229" s="329">
        <v>1464</v>
      </c>
      <c r="J229" s="329">
        <v>14</v>
      </c>
      <c r="K229" s="333">
        <v>1478</v>
      </c>
      <c r="L229" s="333"/>
      <c r="M229" s="165">
        <v>300</v>
      </c>
      <c r="N229" s="279" t="s">
        <v>182</v>
      </c>
      <c r="O229" s="329">
        <v>0</v>
      </c>
      <c r="P229" s="329">
        <v>14</v>
      </c>
      <c r="Q229" s="329">
        <v>281</v>
      </c>
      <c r="R229" s="333">
        <v>295</v>
      </c>
      <c r="S229" s="333">
        <v>7241665</v>
      </c>
      <c r="T229" s="3">
        <v>1.53</v>
      </c>
      <c r="U229" s="3"/>
      <c r="V229" s="279" t="s">
        <v>182</v>
      </c>
      <c r="W229" s="329">
        <v>1478</v>
      </c>
      <c r="X229" s="329">
        <v>36540.769959404599</v>
      </c>
      <c r="Y229" s="329">
        <v>54007258</v>
      </c>
      <c r="Z229" s="3"/>
      <c r="AA229" s="279" t="s">
        <v>182</v>
      </c>
      <c r="AB229" s="329">
        <v>0</v>
      </c>
      <c r="AC229" s="329">
        <v>14</v>
      </c>
      <c r="AD229" s="329">
        <v>281</v>
      </c>
      <c r="AE229" s="329">
        <v>295</v>
      </c>
      <c r="AF229" s="329">
        <v>232</v>
      </c>
      <c r="AG229" s="329">
        <v>2925746</v>
      </c>
      <c r="AH229" s="3"/>
      <c r="AI229" s="279" t="s">
        <v>182</v>
      </c>
      <c r="AJ229" s="329">
        <v>0</v>
      </c>
      <c r="AK229" s="329">
        <v>14</v>
      </c>
      <c r="AL229" s="329">
        <v>281</v>
      </c>
      <c r="AM229" s="329">
        <v>295</v>
      </c>
      <c r="AN229" s="329">
        <v>232</v>
      </c>
      <c r="AO229" s="329">
        <v>4315919</v>
      </c>
    </row>
    <row r="230" spans="1:41" ht="12" customHeight="1">
      <c r="A230" s="333">
        <f>SUBTOTAL(3,$B$7:B230)</f>
        <v>224</v>
      </c>
      <c r="B230" s="3" t="s">
        <v>106</v>
      </c>
      <c r="C230" s="275" t="s">
        <v>183</v>
      </c>
      <c r="D230" s="329">
        <v>0</v>
      </c>
      <c r="E230" s="329">
        <v>1684</v>
      </c>
      <c r="F230" s="329">
        <v>0</v>
      </c>
      <c r="G230" s="329">
        <v>0</v>
      </c>
      <c r="H230" s="329">
        <v>1684</v>
      </c>
      <c r="I230" s="329">
        <v>0</v>
      </c>
      <c r="J230" s="329">
        <v>0</v>
      </c>
      <c r="K230" s="333">
        <v>0</v>
      </c>
      <c r="L230" s="333"/>
      <c r="M230" s="165">
        <v>301</v>
      </c>
      <c r="N230" s="279" t="s">
        <v>183</v>
      </c>
      <c r="O230" s="329">
        <v>0</v>
      </c>
      <c r="P230" s="329">
        <v>0</v>
      </c>
      <c r="Q230" s="329">
        <v>1684</v>
      </c>
      <c r="R230" s="333">
        <v>1684</v>
      </c>
      <c r="S230" s="333">
        <v>42215561</v>
      </c>
      <c r="T230" s="3">
        <v>2.6</v>
      </c>
      <c r="U230" s="3"/>
      <c r="V230" s="275" t="s">
        <v>183</v>
      </c>
      <c r="W230" s="329">
        <v>0</v>
      </c>
      <c r="X230" s="329">
        <v>0</v>
      </c>
      <c r="Y230" s="329">
        <v>0</v>
      </c>
      <c r="Z230" s="3"/>
      <c r="AA230" s="275" t="s">
        <v>183</v>
      </c>
      <c r="AB230" s="329">
        <v>0</v>
      </c>
      <c r="AC230" s="329">
        <v>0</v>
      </c>
      <c r="AD230" s="329">
        <v>1684</v>
      </c>
      <c r="AE230" s="329">
        <v>1684</v>
      </c>
      <c r="AF230" s="329">
        <v>1347</v>
      </c>
      <c r="AG230" s="329">
        <v>17743726</v>
      </c>
      <c r="AH230" s="3"/>
      <c r="AI230" s="275" t="s">
        <v>183</v>
      </c>
      <c r="AJ230" s="329">
        <v>0</v>
      </c>
      <c r="AK230" s="329">
        <v>0</v>
      </c>
      <c r="AL230" s="329">
        <v>1684</v>
      </c>
      <c r="AM230" s="329">
        <v>1684</v>
      </c>
      <c r="AN230" s="329">
        <v>1347</v>
      </c>
      <c r="AO230" s="329">
        <v>24471835</v>
      </c>
    </row>
    <row r="231" spans="1:41">
      <c r="A231" s="333">
        <f>SUBTOTAL(3,$B$7:B231)</f>
        <v>225</v>
      </c>
      <c r="B231" s="3" t="s">
        <v>108</v>
      </c>
      <c r="C231" s="275" t="s">
        <v>457</v>
      </c>
      <c r="D231" s="329">
        <v>0</v>
      </c>
      <c r="E231" s="329">
        <v>53</v>
      </c>
      <c r="F231" s="329">
        <v>0</v>
      </c>
      <c r="G231" s="329">
        <v>0</v>
      </c>
      <c r="H231" s="329">
        <v>53</v>
      </c>
      <c r="I231" s="329">
        <v>0</v>
      </c>
      <c r="J231" s="329">
        <v>16</v>
      </c>
      <c r="K231" s="333">
        <v>16</v>
      </c>
      <c r="L231" s="333"/>
      <c r="M231" s="208">
        <v>302</v>
      </c>
      <c r="N231" s="347" t="s">
        <v>457</v>
      </c>
      <c r="O231" s="329">
        <v>0</v>
      </c>
      <c r="P231" s="329">
        <v>0</v>
      </c>
      <c r="Q231" s="329">
        <v>53</v>
      </c>
      <c r="R231" s="333">
        <v>53</v>
      </c>
      <c r="S231" s="333">
        <v>1335294</v>
      </c>
      <c r="T231" s="3">
        <v>3.16</v>
      </c>
      <c r="U231" s="3"/>
      <c r="V231" s="279" t="s">
        <v>457</v>
      </c>
      <c r="W231" s="329">
        <v>16</v>
      </c>
      <c r="X231" s="329">
        <v>74183</v>
      </c>
      <c r="Y231" s="329">
        <v>1186928</v>
      </c>
      <c r="Z231" s="3"/>
      <c r="AA231" s="279" t="s">
        <v>457</v>
      </c>
      <c r="AB231" s="329">
        <v>0</v>
      </c>
      <c r="AC231" s="329">
        <v>0</v>
      </c>
      <c r="AD231" s="329">
        <v>53</v>
      </c>
      <c r="AE231" s="329">
        <v>53</v>
      </c>
      <c r="AF231" s="329">
        <v>42</v>
      </c>
      <c r="AG231" s="329">
        <v>561241</v>
      </c>
      <c r="AH231" s="3"/>
      <c r="AI231" s="279" t="s">
        <v>457</v>
      </c>
      <c r="AJ231" s="329">
        <v>0</v>
      </c>
      <c r="AK231" s="329">
        <v>0</v>
      </c>
      <c r="AL231" s="329">
        <v>53</v>
      </c>
      <c r="AM231" s="329">
        <v>53</v>
      </c>
      <c r="AN231" s="329">
        <v>42</v>
      </c>
      <c r="AO231" s="329">
        <v>774053</v>
      </c>
    </row>
    <row r="232" spans="1:41">
      <c r="A232" s="333">
        <f>SUBTOTAL(3,$B$7:B232)</f>
        <v>226</v>
      </c>
      <c r="B232" s="3" t="s">
        <v>108</v>
      </c>
      <c r="C232" s="275" t="s">
        <v>458</v>
      </c>
      <c r="D232" s="329">
        <v>0</v>
      </c>
      <c r="E232" s="329">
        <v>68</v>
      </c>
      <c r="F232" s="329">
        <v>0</v>
      </c>
      <c r="G232" s="329">
        <v>46</v>
      </c>
      <c r="H232" s="329">
        <v>22</v>
      </c>
      <c r="I232" s="329">
        <v>0</v>
      </c>
      <c r="J232" s="329">
        <v>17</v>
      </c>
      <c r="K232" s="333">
        <v>17</v>
      </c>
      <c r="L232" s="333"/>
      <c r="M232" s="165">
        <v>303</v>
      </c>
      <c r="N232" s="348" t="s">
        <v>458</v>
      </c>
      <c r="O232" s="329">
        <v>0</v>
      </c>
      <c r="P232" s="329">
        <v>46</v>
      </c>
      <c r="Q232" s="329">
        <v>22</v>
      </c>
      <c r="R232" s="333">
        <v>68</v>
      </c>
      <c r="S232" s="333">
        <v>2785655</v>
      </c>
      <c r="T232" s="3">
        <v>3.36</v>
      </c>
      <c r="U232" s="3"/>
      <c r="V232" s="275" t="s">
        <v>458</v>
      </c>
      <c r="W232" s="329">
        <v>17</v>
      </c>
      <c r="X232" s="329">
        <v>67942.76470588235</v>
      </c>
      <c r="Y232" s="329">
        <v>1155027</v>
      </c>
      <c r="Z232" s="3"/>
      <c r="AA232" s="275" t="s">
        <v>458</v>
      </c>
      <c r="AB232" s="329">
        <v>0</v>
      </c>
      <c r="AC232" s="329">
        <v>46</v>
      </c>
      <c r="AD232" s="329">
        <v>22</v>
      </c>
      <c r="AE232" s="329">
        <v>68</v>
      </c>
      <c r="AF232" s="329">
        <v>41</v>
      </c>
      <c r="AG232" s="329">
        <v>1177928</v>
      </c>
      <c r="AH232" s="3"/>
      <c r="AI232" s="275" t="s">
        <v>458</v>
      </c>
      <c r="AJ232" s="329">
        <v>0</v>
      </c>
      <c r="AK232" s="329">
        <v>46</v>
      </c>
      <c r="AL232" s="329">
        <v>22</v>
      </c>
      <c r="AM232" s="329">
        <v>68</v>
      </c>
      <c r="AN232" s="329">
        <v>41</v>
      </c>
      <c r="AO232" s="329">
        <v>1607727</v>
      </c>
    </row>
    <row r="233" spans="1:41">
      <c r="A233" s="333">
        <f>SUBTOTAL(3,$B$7:B233)</f>
        <v>227</v>
      </c>
      <c r="B233" s="3" t="s">
        <v>105</v>
      </c>
      <c r="C233" s="275" t="s">
        <v>259</v>
      </c>
      <c r="D233" s="329">
        <v>9244</v>
      </c>
      <c r="E233" s="329">
        <v>418</v>
      </c>
      <c r="F233" s="329"/>
      <c r="G233" s="329"/>
      <c r="H233" s="329">
        <v>418</v>
      </c>
      <c r="I233" s="329">
        <v>0</v>
      </c>
      <c r="J233" s="329">
        <v>128</v>
      </c>
      <c r="K233" s="333">
        <v>128</v>
      </c>
      <c r="L233" s="333"/>
      <c r="M233" s="165">
        <v>304</v>
      </c>
      <c r="N233" s="348" t="s">
        <v>259</v>
      </c>
      <c r="O233" s="329">
        <v>0</v>
      </c>
      <c r="P233" s="329">
        <v>0</v>
      </c>
      <c r="Q233" s="329">
        <v>418</v>
      </c>
      <c r="R233" s="333">
        <v>418</v>
      </c>
      <c r="S233" s="333">
        <v>11762248</v>
      </c>
      <c r="T233" s="3">
        <v>3.15</v>
      </c>
      <c r="U233" s="3"/>
      <c r="V233" s="275" t="s">
        <v>259</v>
      </c>
      <c r="W233" s="329">
        <v>128</v>
      </c>
      <c r="X233" s="329">
        <v>35672.9296875</v>
      </c>
      <c r="Y233" s="329">
        <v>4566135</v>
      </c>
      <c r="Z233" s="3"/>
      <c r="AA233" s="275" t="s">
        <v>259</v>
      </c>
      <c r="AB233" s="329">
        <v>0</v>
      </c>
      <c r="AC233" s="329">
        <v>0</v>
      </c>
      <c r="AD233" s="329">
        <v>418</v>
      </c>
      <c r="AE233" s="329">
        <v>418</v>
      </c>
      <c r="AF233" s="329">
        <v>334</v>
      </c>
      <c r="AG233" s="329">
        <v>4799827</v>
      </c>
      <c r="AH233" s="3"/>
      <c r="AI233" s="275" t="s">
        <v>259</v>
      </c>
      <c r="AJ233" s="329">
        <v>0</v>
      </c>
      <c r="AK233" s="329">
        <v>0</v>
      </c>
      <c r="AL233" s="329">
        <v>418</v>
      </c>
      <c r="AM233" s="329">
        <v>418</v>
      </c>
      <c r="AN233" s="329">
        <v>334</v>
      </c>
      <c r="AO233" s="329">
        <v>6962421</v>
      </c>
    </row>
    <row r="234" spans="1:41">
      <c r="A234" s="333">
        <f>SUBTOTAL(3,$B$7:B234)</f>
        <v>228</v>
      </c>
      <c r="B234" s="3" t="s">
        <v>107</v>
      </c>
      <c r="C234" s="275" t="s">
        <v>184</v>
      </c>
      <c r="D234" s="329">
        <v>0</v>
      </c>
      <c r="E234" s="329">
        <v>72</v>
      </c>
      <c r="F234" s="329">
        <v>0</v>
      </c>
      <c r="G234" s="329">
        <v>0</v>
      </c>
      <c r="H234" s="329">
        <v>72</v>
      </c>
      <c r="I234" s="329">
        <v>0</v>
      </c>
      <c r="J234" s="329">
        <v>11</v>
      </c>
      <c r="K234" s="333">
        <v>11</v>
      </c>
      <c r="L234" s="333"/>
      <c r="M234" s="208">
        <v>305</v>
      </c>
      <c r="N234" s="349" t="s">
        <v>184</v>
      </c>
      <c r="O234" s="329">
        <v>0</v>
      </c>
      <c r="P234" s="329">
        <v>0</v>
      </c>
      <c r="Q234" s="329">
        <v>72</v>
      </c>
      <c r="R234" s="333">
        <v>72</v>
      </c>
      <c r="S234" s="333">
        <v>2957930</v>
      </c>
      <c r="T234" s="3">
        <v>3.6</v>
      </c>
      <c r="U234" s="3"/>
      <c r="V234" s="279" t="s">
        <v>184</v>
      </c>
      <c r="W234" s="329">
        <v>11</v>
      </c>
      <c r="X234" s="329">
        <v>84512.272727272721</v>
      </c>
      <c r="Y234" s="329">
        <v>929635</v>
      </c>
      <c r="Z234" s="3"/>
      <c r="AA234" s="279" t="s">
        <v>184</v>
      </c>
      <c r="AB234" s="329">
        <v>0</v>
      </c>
      <c r="AC234" s="329">
        <v>0</v>
      </c>
      <c r="AD234" s="329">
        <v>72</v>
      </c>
      <c r="AE234" s="329">
        <v>72</v>
      </c>
      <c r="AF234" s="329">
        <v>58</v>
      </c>
      <c r="AG234" s="329">
        <v>1243255</v>
      </c>
      <c r="AH234" s="3"/>
      <c r="AI234" s="279" t="s">
        <v>184</v>
      </c>
      <c r="AJ234" s="329">
        <v>0</v>
      </c>
      <c r="AK234" s="329">
        <v>0</v>
      </c>
      <c r="AL234" s="329">
        <v>72</v>
      </c>
      <c r="AM234" s="329">
        <v>72</v>
      </c>
      <c r="AN234" s="329">
        <v>58</v>
      </c>
      <c r="AO234" s="329">
        <v>1714675</v>
      </c>
    </row>
    <row r="235" spans="1:41">
      <c r="A235" s="333">
        <f>SUBTOTAL(3,$B$7:B235)</f>
        <v>229</v>
      </c>
      <c r="B235" s="3" t="s">
        <v>161</v>
      </c>
      <c r="C235" s="275" t="s">
        <v>242</v>
      </c>
      <c r="D235" s="329">
        <v>4348</v>
      </c>
      <c r="E235" s="329">
        <v>279</v>
      </c>
      <c r="F235" s="329">
        <v>162</v>
      </c>
      <c r="G235" s="329">
        <v>4</v>
      </c>
      <c r="H235" s="329">
        <v>113</v>
      </c>
      <c r="I235" s="329">
        <v>0</v>
      </c>
      <c r="J235" s="329">
        <v>20</v>
      </c>
      <c r="K235" s="333">
        <v>20</v>
      </c>
      <c r="L235" s="333"/>
      <c r="M235" s="165">
        <v>306</v>
      </c>
      <c r="N235" s="347" t="s">
        <v>242</v>
      </c>
      <c r="O235" s="329">
        <v>162</v>
      </c>
      <c r="P235" s="329">
        <v>4</v>
      </c>
      <c r="Q235" s="329">
        <v>113</v>
      </c>
      <c r="R235" s="333">
        <v>279</v>
      </c>
      <c r="S235" s="333">
        <v>5478860</v>
      </c>
      <c r="T235" s="3">
        <v>2</v>
      </c>
      <c r="U235" s="3"/>
      <c r="V235" s="279" t="s">
        <v>242</v>
      </c>
      <c r="W235" s="329">
        <v>20</v>
      </c>
      <c r="X235" s="329">
        <v>41119.35</v>
      </c>
      <c r="Y235" s="329">
        <v>822387</v>
      </c>
      <c r="Z235" s="3"/>
      <c r="AA235" s="279" t="s">
        <v>242</v>
      </c>
      <c r="AB235" s="329">
        <v>162</v>
      </c>
      <c r="AC235" s="329">
        <v>4</v>
      </c>
      <c r="AD235" s="329">
        <v>113</v>
      </c>
      <c r="AE235" s="329">
        <v>279</v>
      </c>
      <c r="AF235" s="329">
        <v>125</v>
      </c>
      <c r="AG235" s="329">
        <v>2276857</v>
      </c>
      <c r="AH235" s="3"/>
      <c r="AI235" s="279" t="s">
        <v>242</v>
      </c>
      <c r="AJ235" s="329">
        <v>162</v>
      </c>
      <c r="AK235" s="329">
        <v>4</v>
      </c>
      <c r="AL235" s="329">
        <v>113</v>
      </c>
      <c r="AM235" s="329">
        <v>279</v>
      </c>
      <c r="AN235" s="329">
        <v>125</v>
      </c>
      <c r="AO235" s="329">
        <v>3202003</v>
      </c>
    </row>
    <row r="236" spans="1:41">
      <c r="A236" s="333">
        <f>SUBTOTAL(3,$B$7:B236)</f>
        <v>230</v>
      </c>
      <c r="B236" s="3" t="s">
        <v>161</v>
      </c>
      <c r="C236" s="275" t="s">
        <v>459</v>
      </c>
      <c r="D236" s="329">
        <v>0</v>
      </c>
      <c r="E236" s="329">
        <v>154</v>
      </c>
      <c r="F236" s="329">
        <v>0</v>
      </c>
      <c r="G236" s="329">
        <v>21</v>
      </c>
      <c r="H236" s="329">
        <v>133</v>
      </c>
      <c r="I236" s="329">
        <v>0</v>
      </c>
      <c r="J236" s="329">
        <v>28</v>
      </c>
      <c r="K236" s="333">
        <v>28</v>
      </c>
      <c r="L236" s="333"/>
      <c r="M236" s="165">
        <v>307</v>
      </c>
      <c r="N236" s="347" t="s">
        <v>459</v>
      </c>
      <c r="O236" s="329">
        <v>0</v>
      </c>
      <c r="P236" s="329">
        <v>21</v>
      </c>
      <c r="Q236" s="329">
        <v>133</v>
      </c>
      <c r="R236" s="333">
        <v>154</v>
      </c>
      <c r="S236" s="333">
        <v>2503985</v>
      </c>
      <c r="T236" s="3">
        <v>1.1000000000000001</v>
      </c>
      <c r="U236" s="3"/>
      <c r="V236" s="279" t="s">
        <v>459</v>
      </c>
      <c r="W236" s="329">
        <v>28</v>
      </c>
      <c r="X236" s="329">
        <v>21401.571428571428</v>
      </c>
      <c r="Y236" s="329">
        <v>599244</v>
      </c>
      <c r="Z236" s="3"/>
      <c r="AA236" s="279" t="s">
        <v>459</v>
      </c>
      <c r="AB236" s="329">
        <v>0</v>
      </c>
      <c r="AC236" s="329">
        <v>21</v>
      </c>
      <c r="AD236" s="329">
        <v>133</v>
      </c>
      <c r="AE236" s="329">
        <v>154</v>
      </c>
      <c r="AF236" s="329">
        <v>117</v>
      </c>
      <c r="AG236" s="329">
        <v>1060628</v>
      </c>
      <c r="AH236" s="3"/>
      <c r="AI236" s="279" t="s">
        <v>459</v>
      </c>
      <c r="AJ236" s="329">
        <v>0</v>
      </c>
      <c r="AK236" s="329">
        <v>21</v>
      </c>
      <c r="AL236" s="329">
        <v>133</v>
      </c>
      <c r="AM236" s="329">
        <v>154</v>
      </c>
      <c r="AN236" s="329">
        <v>117</v>
      </c>
      <c r="AO236" s="329">
        <v>1443357</v>
      </c>
    </row>
    <row r="237" spans="1:41">
      <c r="A237" s="333">
        <f>SUBTOTAL(3,$B$7:B237)</f>
        <v>231</v>
      </c>
      <c r="B237" s="3" t="s">
        <v>161</v>
      </c>
      <c r="C237" s="275" t="s">
        <v>243</v>
      </c>
      <c r="D237" s="329">
        <v>6330</v>
      </c>
      <c r="E237" s="329">
        <v>222</v>
      </c>
      <c r="F237" s="329">
        <v>0</v>
      </c>
      <c r="G237" s="329">
        <v>0</v>
      </c>
      <c r="H237" s="329">
        <v>222</v>
      </c>
      <c r="I237" s="329">
        <v>0</v>
      </c>
      <c r="J237" s="329">
        <v>37</v>
      </c>
      <c r="K237" s="333">
        <v>37</v>
      </c>
      <c r="L237" s="333"/>
      <c r="M237" s="208">
        <v>308</v>
      </c>
      <c r="N237" s="347" t="s">
        <v>243</v>
      </c>
      <c r="O237" s="329">
        <v>0</v>
      </c>
      <c r="P237" s="329">
        <v>0</v>
      </c>
      <c r="Q237" s="329">
        <v>222</v>
      </c>
      <c r="R237" s="333">
        <v>222</v>
      </c>
      <c r="S237" s="333">
        <v>4040309</v>
      </c>
      <c r="T237" s="3">
        <v>1.17</v>
      </c>
      <c r="U237" s="3"/>
      <c r="V237" s="279" t="s">
        <v>243</v>
      </c>
      <c r="W237" s="329">
        <v>37</v>
      </c>
      <c r="X237" s="329">
        <v>22562.08108108108</v>
      </c>
      <c r="Y237" s="329">
        <v>834797</v>
      </c>
      <c r="Z237" s="3"/>
      <c r="AA237" s="279" t="s">
        <v>243</v>
      </c>
      <c r="AB237" s="329">
        <v>0</v>
      </c>
      <c r="AC237" s="329">
        <v>0</v>
      </c>
      <c r="AD237" s="329">
        <v>222</v>
      </c>
      <c r="AE237" s="329">
        <v>222</v>
      </c>
      <c r="AF237" s="329">
        <v>178</v>
      </c>
      <c r="AG237" s="329">
        <v>1656935</v>
      </c>
      <c r="AH237" s="3"/>
      <c r="AI237" s="279" t="s">
        <v>243</v>
      </c>
      <c r="AJ237" s="329">
        <v>0</v>
      </c>
      <c r="AK237" s="329">
        <v>0</v>
      </c>
      <c r="AL237" s="329">
        <v>222</v>
      </c>
      <c r="AM237" s="329">
        <v>222</v>
      </c>
      <c r="AN237" s="329">
        <v>178</v>
      </c>
      <c r="AO237" s="329">
        <v>2383374</v>
      </c>
    </row>
    <row r="238" spans="1:41">
      <c r="A238" s="333">
        <f>SUBTOTAL(3,$B$7:B238)</f>
        <v>232</v>
      </c>
      <c r="B238" s="3" t="s">
        <v>161</v>
      </c>
      <c r="C238" s="275" t="s">
        <v>460</v>
      </c>
      <c r="D238" s="329">
        <v>0</v>
      </c>
      <c r="E238" s="329">
        <v>146</v>
      </c>
      <c r="F238" s="329">
        <v>0</v>
      </c>
      <c r="G238" s="329">
        <v>0</v>
      </c>
      <c r="H238" s="329">
        <v>146</v>
      </c>
      <c r="I238" s="329">
        <v>0</v>
      </c>
      <c r="J238" s="329">
        <v>116</v>
      </c>
      <c r="K238" s="333">
        <v>116</v>
      </c>
      <c r="L238" s="333"/>
      <c r="M238" s="165">
        <v>309</v>
      </c>
      <c r="N238" s="347" t="s">
        <v>460</v>
      </c>
      <c r="O238" s="329">
        <v>0</v>
      </c>
      <c r="P238" s="329">
        <v>0</v>
      </c>
      <c r="Q238" s="329">
        <v>146</v>
      </c>
      <c r="R238" s="333">
        <v>146</v>
      </c>
      <c r="S238" s="333">
        <v>4325066</v>
      </c>
      <c r="T238" s="3">
        <v>1.9</v>
      </c>
      <c r="U238" s="3"/>
      <c r="V238" s="279" t="s">
        <v>460</v>
      </c>
      <c r="W238" s="329">
        <v>116</v>
      </c>
      <c r="X238" s="329">
        <v>36966.379310344826</v>
      </c>
      <c r="Y238" s="329">
        <v>4288100</v>
      </c>
      <c r="Z238" s="3"/>
      <c r="AA238" s="279" t="s">
        <v>460</v>
      </c>
      <c r="AB238" s="329">
        <v>0</v>
      </c>
      <c r="AC238" s="329">
        <v>0</v>
      </c>
      <c r="AD238" s="329">
        <v>146</v>
      </c>
      <c r="AE238" s="329">
        <v>146</v>
      </c>
      <c r="AF238" s="329">
        <v>117</v>
      </c>
      <c r="AG238" s="329">
        <v>1831994</v>
      </c>
      <c r="AH238" s="3"/>
      <c r="AI238" s="279" t="s">
        <v>460</v>
      </c>
      <c r="AJ238" s="329">
        <v>0</v>
      </c>
      <c r="AK238" s="329">
        <v>0</v>
      </c>
      <c r="AL238" s="329">
        <v>146</v>
      </c>
      <c r="AM238" s="329">
        <v>146</v>
      </c>
      <c r="AN238" s="329">
        <v>117</v>
      </c>
      <c r="AO238" s="329">
        <v>2493072</v>
      </c>
    </row>
    <row r="239" spans="1:41">
      <c r="A239" s="333">
        <f>SUBTOTAL(3,$B$7:B239)</f>
        <v>233</v>
      </c>
      <c r="B239" s="3" t="s">
        <v>161</v>
      </c>
      <c r="C239" s="275" t="s">
        <v>244</v>
      </c>
      <c r="D239" s="329">
        <v>4774</v>
      </c>
      <c r="E239" s="329">
        <v>320</v>
      </c>
      <c r="F239" s="329">
        <v>1</v>
      </c>
      <c r="G239" s="329">
        <v>218</v>
      </c>
      <c r="H239" s="329">
        <v>101</v>
      </c>
      <c r="I239" s="329">
        <v>0</v>
      </c>
      <c r="J239" s="329">
        <v>0</v>
      </c>
      <c r="K239" s="333">
        <v>0</v>
      </c>
      <c r="L239" s="333"/>
      <c r="M239" s="165">
        <v>310</v>
      </c>
      <c r="N239" s="348" t="s">
        <v>244</v>
      </c>
      <c r="O239" s="329">
        <v>1</v>
      </c>
      <c r="P239" s="329">
        <v>218</v>
      </c>
      <c r="Q239" s="329">
        <v>101</v>
      </c>
      <c r="R239" s="333">
        <v>320</v>
      </c>
      <c r="S239" s="333">
        <v>10598109</v>
      </c>
      <c r="T239" s="3">
        <v>3.7</v>
      </c>
      <c r="U239" s="3"/>
      <c r="V239" s="275" t="s">
        <v>244</v>
      </c>
      <c r="W239" s="329">
        <v>0</v>
      </c>
      <c r="X239" s="329">
        <v>0</v>
      </c>
      <c r="Y239" s="329">
        <v>0</v>
      </c>
      <c r="Z239" s="3"/>
      <c r="AA239" s="275" t="s">
        <v>244</v>
      </c>
      <c r="AB239" s="329">
        <v>1</v>
      </c>
      <c r="AC239" s="329">
        <v>218</v>
      </c>
      <c r="AD239" s="329">
        <v>101</v>
      </c>
      <c r="AE239" s="329">
        <v>320</v>
      </c>
      <c r="AF239" s="329">
        <v>190</v>
      </c>
      <c r="AG239" s="329">
        <v>4489105</v>
      </c>
      <c r="AH239" s="3"/>
      <c r="AI239" s="275" t="s">
        <v>244</v>
      </c>
      <c r="AJ239" s="329">
        <v>1</v>
      </c>
      <c r="AK239" s="329">
        <v>218</v>
      </c>
      <c r="AL239" s="329">
        <v>101</v>
      </c>
      <c r="AM239" s="329">
        <v>320</v>
      </c>
      <c r="AN239" s="329">
        <v>190</v>
      </c>
      <c r="AO239" s="329">
        <v>6109004</v>
      </c>
    </row>
    <row r="240" spans="1:41">
      <c r="A240" s="333">
        <f>SUBTOTAL(3,$B$7:B240)</f>
        <v>234</v>
      </c>
      <c r="B240" s="3" t="s">
        <v>161</v>
      </c>
      <c r="C240" s="275" t="s">
        <v>246</v>
      </c>
      <c r="D240" s="329">
        <v>773</v>
      </c>
      <c r="E240" s="329">
        <v>25</v>
      </c>
      <c r="F240" s="329">
        <v>0</v>
      </c>
      <c r="G240" s="329">
        <v>0</v>
      </c>
      <c r="H240" s="329">
        <v>25</v>
      </c>
      <c r="I240" s="329">
        <v>0</v>
      </c>
      <c r="J240" s="329">
        <v>39</v>
      </c>
      <c r="K240" s="333">
        <v>39</v>
      </c>
      <c r="L240" s="333"/>
      <c r="M240" s="208">
        <v>311</v>
      </c>
      <c r="N240" s="347" t="s">
        <v>246</v>
      </c>
      <c r="O240" s="329">
        <v>0</v>
      </c>
      <c r="P240" s="329">
        <v>0</v>
      </c>
      <c r="Q240" s="329">
        <v>25</v>
      </c>
      <c r="R240" s="333">
        <v>25</v>
      </c>
      <c r="S240" s="333">
        <v>1478655</v>
      </c>
      <c r="T240" s="3">
        <v>3.8</v>
      </c>
      <c r="U240" s="3"/>
      <c r="V240" s="279" t="s">
        <v>246</v>
      </c>
      <c r="W240" s="329">
        <v>39</v>
      </c>
      <c r="X240" s="329">
        <v>73932.743589743593</v>
      </c>
      <c r="Y240" s="329">
        <v>2883377</v>
      </c>
      <c r="Z240" s="3"/>
      <c r="AA240" s="279" t="s">
        <v>246</v>
      </c>
      <c r="AB240" s="329">
        <v>0</v>
      </c>
      <c r="AC240" s="329">
        <v>0</v>
      </c>
      <c r="AD240" s="329">
        <v>25</v>
      </c>
      <c r="AE240" s="329">
        <v>25</v>
      </c>
      <c r="AF240" s="329">
        <v>20</v>
      </c>
      <c r="AG240" s="329">
        <v>626323</v>
      </c>
      <c r="AH240" s="3"/>
      <c r="AI240" s="279" t="s">
        <v>246</v>
      </c>
      <c r="AJ240" s="329">
        <v>0</v>
      </c>
      <c r="AK240" s="329">
        <v>0</v>
      </c>
      <c r="AL240" s="329">
        <v>25</v>
      </c>
      <c r="AM240" s="329">
        <v>25</v>
      </c>
      <c r="AN240" s="329">
        <v>20</v>
      </c>
      <c r="AO240" s="329">
        <v>852332</v>
      </c>
    </row>
    <row r="241" spans="1:41">
      <c r="A241" s="333">
        <f>SUBTOTAL(3,$B$7:B241)</f>
        <v>235</v>
      </c>
      <c r="B241" s="3" t="s">
        <v>161</v>
      </c>
      <c r="C241" s="275" t="s">
        <v>461</v>
      </c>
      <c r="D241" s="329">
        <v>0</v>
      </c>
      <c r="E241" s="329">
        <v>86</v>
      </c>
      <c r="F241" s="329">
        <v>0</v>
      </c>
      <c r="G241" s="329">
        <v>0</v>
      </c>
      <c r="H241" s="329">
        <v>86</v>
      </c>
      <c r="I241" s="329">
        <v>0</v>
      </c>
      <c r="J241" s="329">
        <v>186</v>
      </c>
      <c r="K241" s="333">
        <v>186</v>
      </c>
      <c r="L241" s="333"/>
      <c r="M241" s="165">
        <v>312</v>
      </c>
      <c r="N241" s="347" t="s">
        <v>461</v>
      </c>
      <c r="O241" s="329">
        <v>0</v>
      </c>
      <c r="P241" s="329">
        <v>0</v>
      </c>
      <c r="Q241" s="329">
        <v>86</v>
      </c>
      <c r="R241" s="333">
        <v>86</v>
      </c>
      <c r="S241" s="333">
        <v>2684926</v>
      </c>
      <c r="T241" s="3">
        <v>2</v>
      </c>
      <c r="U241" s="3"/>
      <c r="V241" s="279" t="s">
        <v>461</v>
      </c>
      <c r="W241" s="329">
        <v>186</v>
      </c>
      <c r="X241" s="329">
        <v>38911.973118279573</v>
      </c>
      <c r="Y241" s="329">
        <v>7237627</v>
      </c>
      <c r="Z241" s="3"/>
      <c r="AA241" s="279" t="s">
        <v>461</v>
      </c>
      <c r="AB241" s="329">
        <v>0</v>
      </c>
      <c r="AC241" s="329">
        <v>0</v>
      </c>
      <c r="AD241" s="329">
        <v>86</v>
      </c>
      <c r="AE241" s="329">
        <v>86</v>
      </c>
      <c r="AF241" s="329">
        <v>69</v>
      </c>
      <c r="AG241" s="329">
        <v>1137270</v>
      </c>
      <c r="AH241" s="3"/>
      <c r="AI241" s="279" t="s">
        <v>461</v>
      </c>
      <c r="AJ241" s="329">
        <v>0</v>
      </c>
      <c r="AK241" s="329">
        <v>0</v>
      </c>
      <c r="AL241" s="329">
        <v>86</v>
      </c>
      <c r="AM241" s="329">
        <v>86</v>
      </c>
      <c r="AN241" s="329">
        <v>69</v>
      </c>
      <c r="AO241" s="329">
        <v>1547656</v>
      </c>
    </row>
    <row r="242" spans="1:41">
      <c r="A242" s="333">
        <f>SUBTOTAL(3,$B$7:B242)</f>
        <v>236</v>
      </c>
      <c r="B242" s="3" t="s">
        <v>161</v>
      </c>
      <c r="C242" s="275" t="s">
        <v>462</v>
      </c>
      <c r="D242" s="329">
        <v>2284</v>
      </c>
      <c r="E242" s="329">
        <v>734</v>
      </c>
      <c r="F242" s="329">
        <v>0</v>
      </c>
      <c r="G242" s="329">
        <v>498</v>
      </c>
      <c r="H242" s="329">
        <v>236</v>
      </c>
      <c r="I242" s="329">
        <v>0</v>
      </c>
      <c r="J242" s="329">
        <v>0</v>
      </c>
      <c r="K242" s="333">
        <v>0</v>
      </c>
      <c r="L242" s="333"/>
      <c r="M242" s="165">
        <v>313</v>
      </c>
      <c r="N242" s="347" t="s">
        <v>462</v>
      </c>
      <c r="O242" s="329">
        <v>0</v>
      </c>
      <c r="P242" s="329">
        <v>498</v>
      </c>
      <c r="Q242" s="329">
        <v>236</v>
      </c>
      <c r="R242" s="333">
        <v>734</v>
      </c>
      <c r="S242" s="333">
        <v>47310043</v>
      </c>
      <c r="T242" s="3">
        <v>4</v>
      </c>
      <c r="U242" s="3"/>
      <c r="V242" s="279" t="s">
        <v>462</v>
      </c>
      <c r="W242" s="329">
        <v>0</v>
      </c>
      <c r="X242" s="329">
        <v>0</v>
      </c>
      <c r="Y242" s="329">
        <v>0</v>
      </c>
      <c r="Z242" s="3"/>
      <c r="AA242" s="279" t="s">
        <v>462</v>
      </c>
      <c r="AB242" s="329">
        <v>0</v>
      </c>
      <c r="AC242" s="329">
        <v>498</v>
      </c>
      <c r="AD242" s="329">
        <v>236</v>
      </c>
      <c r="AE242" s="329">
        <v>734</v>
      </c>
      <c r="AF242" s="329">
        <v>438</v>
      </c>
      <c r="AG242" s="329">
        <v>19340812</v>
      </c>
      <c r="AH242" s="3"/>
      <c r="AI242" s="279" t="s">
        <v>462</v>
      </c>
      <c r="AJ242" s="329">
        <v>0</v>
      </c>
      <c r="AK242" s="329">
        <v>498</v>
      </c>
      <c r="AL242" s="329">
        <v>236</v>
      </c>
      <c r="AM242" s="329">
        <v>734</v>
      </c>
      <c r="AN242" s="329">
        <v>438</v>
      </c>
      <c r="AO242" s="329">
        <v>27969231</v>
      </c>
    </row>
    <row r="243" spans="1:41">
      <c r="A243" s="333">
        <f>SUBTOTAL(3,$B$7:B243)</f>
        <v>237</v>
      </c>
      <c r="B243" s="3" t="s">
        <v>161</v>
      </c>
      <c r="C243" s="275" t="s">
        <v>463</v>
      </c>
      <c r="D243" s="329">
        <v>8654</v>
      </c>
      <c r="E243" s="329">
        <v>4581</v>
      </c>
      <c r="F243" s="329">
        <v>0</v>
      </c>
      <c r="G243" s="329">
        <v>555</v>
      </c>
      <c r="H243" s="329">
        <v>4026</v>
      </c>
      <c r="I243" s="329">
        <v>2333</v>
      </c>
      <c r="J243" s="329">
        <v>0</v>
      </c>
      <c r="K243" s="333">
        <v>2333</v>
      </c>
      <c r="L243" s="333"/>
      <c r="M243" s="208">
        <v>314</v>
      </c>
      <c r="N243" s="347" t="s">
        <v>463</v>
      </c>
      <c r="O243" s="329">
        <v>0</v>
      </c>
      <c r="P243" s="329">
        <v>555</v>
      </c>
      <c r="Q243" s="329">
        <v>4026</v>
      </c>
      <c r="R243" s="333">
        <v>4581</v>
      </c>
      <c r="S243" s="333">
        <v>214863133</v>
      </c>
      <c r="T243" s="3">
        <v>3.04</v>
      </c>
      <c r="U243" s="3"/>
      <c r="V243" s="279" t="s">
        <v>463</v>
      </c>
      <c r="W243" s="329">
        <v>2333</v>
      </c>
      <c r="X243" s="329">
        <v>68463.201457351053</v>
      </c>
      <c r="Y243" s="329">
        <v>159724649</v>
      </c>
      <c r="Z243" s="3"/>
      <c r="AA243" s="279" t="s">
        <v>463</v>
      </c>
      <c r="AB243" s="329">
        <v>0</v>
      </c>
      <c r="AC243" s="329">
        <v>555</v>
      </c>
      <c r="AD243" s="329">
        <v>4026</v>
      </c>
      <c r="AE243" s="329">
        <v>4581</v>
      </c>
      <c r="AF243" s="329">
        <v>3498</v>
      </c>
      <c r="AG243" s="329">
        <v>86842143</v>
      </c>
      <c r="AH243" s="3"/>
      <c r="AI243" s="279" t="s">
        <v>463</v>
      </c>
      <c r="AJ243" s="329">
        <v>0</v>
      </c>
      <c r="AK243" s="329">
        <v>555</v>
      </c>
      <c r="AL243" s="329">
        <v>4026</v>
      </c>
      <c r="AM243" s="329">
        <v>4581</v>
      </c>
      <c r="AN243" s="329">
        <v>3498</v>
      </c>
      <c r="AO243" s="329">
        <v>128020990</v>
      </c>
    </row>
    <row r="244" spans="1:41">
      <c r="A244" s="333">
        <f>SUBTOTAL(3,$B$7:B244)</f>
        <v>238</v>
      </c>
      <c r="B244" s="3" t="s">
        <v>161</v>
      </c>
      <c r="C244" s="275" t="s">
        <v>464</v>
      </c>
      <c r="D244" s="329">
        <v>4812</v>
      </c>
      <c r="E244" s="329">
        <v>640</v>
      </c>
      <c r="F244" s="329">
        <v>0</v>
      </c>
      <c r="G244" s="329">
        <v>17</v>
      </c>
      <c r="H244" s="329">
        <v>623</v>
      </c>
      <c r="I244" s="329">
        <v>774</v>
      </c>
      <c r="J244" s="329">
        <v>0</v>
      </c>
      <c r="K244" s="333">
        <v>774</v>
      </c>
      <c r="L244" s="333"/>
      <c r="M244" s="165">
        <v>315</v>
      </c>
      <c r="N244" s="347" t="s">
        <v>464</v>
      </c>
      <c r="O244" s="329">
        <v>0</v>
      </c>
      <c r="P244" s="329">
        <v>17</v>
      </c>
      <c r="Q244" s="329">
        <v>623</v>
      </c>
      <c r="R244" s="333">
        <v>640</v>
      </c>
      <c r="S244" s="333">
        <v>21020463</v>
      </c>
      <c r="T244" s="3">
        <v>2.0299999999999998</v>
      </c>
      <c r="U244" s="3"/>
      <c r="V244" s="279" t="s">
        <v>464</v>
      </c>
      <c r="W244" s="329">
        <v>774</v>
      </c>
      <c r="X244" s="329">
        <v>47824.776485788112</v>
      </c>
      <c r="Y244" s="329">
        <v>37016377</v>
      </c>
      <c r="Z244" s="3"/>
      <c r="AA244" s="279" t="s">
        <v>464</v>
      </c>
      <c r="AB244" s="329">
        <v>0</v>
      </c>
      <c r="AC244" s="329">
        <v>17</v>
      </c>
      <c r="AD244" s="329">
        <v>623</v>
      </c>
      <c r="AE244" s="329">
        <v>640</v>
      </c>
      <c r="AF244" s="329">
        <v>507</v>
      </c>
      <c r="AG244" s="329">
        <v>8505657</v>
      </c>
      <c r="AH244" s="3"/>
      <c r="AI244" s="279" t="s">
        <v>464</v>
      </c>
      <c r="AJ244" s="329">
        <v>0</v>
      </c>
      <c r="AK244" s="329">
        <v>17</v>
      </c>
      <c r="AL244" s="329">
        <v>623</v>
      </c>
      <c r="AM244" s="329">
        <v>640</v>
      </c>
      <c r="AN244" s="329">
        <v>507</v>
      </c>
      <c r="AO244" s="329">
        <v>12514806</v>
      </c>
    </row>
    <row r="245" spans="1:41">
      <c r="A245" s="333">
        <f>SUBTOTAL(3,$B$7:B245)</f>
        <v>239</v>
      </c>
      <c r="B245" s="3" t="s">
        <v>161</v>
      </c>
      <c r="C245" s="275" t="s">
        <v>250</v>
      </c>
      <c r="D245" s="329">
        <v>1170</v>
      </c>
      <c r="E245" s="329">
        <v>45</v>
      </c>
      <c r="F245" s="329">
        <v>0</v>
      </c>
      <c r="G245" s="329">
        <v>1</v>
      </c>
      <c r="H245" s="329">
        <v>44</v>
      </c>
      <c r="I245" s="329">
        <v>0</v>
      </c>
      <c r="J245" s="329">
        <v>0</v>
      </c>
      <c r="K245" s="333">
        <v>0</v>
      </c>
      <c r="L245" s="333"/>
      <c r="M245" s="165">
        <v>316</v>
      </c>
      <c r="N245" s="347" t="s">
        <v>250</v>
      </c>
      <c r="O245" s="329">
        <v>0</v>
      </c>
      <c r="P245" s="329">
        <v>1</v>
      </c>
      <c r="Q245" s="329">
        <v>44</v>
      </c>
      <c r="R245" s="333">
        <v>45</v>
      </c>
      <c r="S245" s="333">
        <v>1088484</v>
      </c>
      <c r="T245" s="3">
        <v>1.96</v>
      </c>
      <c r="U245" s="3"/>
      <c r="V245" s="279" t="s">
        <v>250</v>
      </c>
      <c r="W245" s="329">
        <v>0</v>
      </c>
      <c r="X245" s="329">
        <v>0</v>
      </c>
      <c r="Y245" s="329">
        <v>0</v>
      </c>
      <c r="Z245" s="3"/>
      <c r="AA245" s="279" t="s">
        <v>250</v>
      </c>
      <c r="AB245" s="329">
        <v>0</v>
      </c>
      <c r="AC245" s="329">
        <v>1</v>
      </c>
      <c r="AD245" s="329">
        <v>44</v>
      </c>
      <c r="AE245" s="329">
        <v>45</v>
      </c>
      <c r="AF245" s="329">
        <v>36</v>
      </c>
      <c r="AG245" s="329">
        <v>461056</v>
      </c>
      <c r="AH245" s="3"/>
      <c r="AI245" s="279" t="s">
        <v>250</v>
      </c>
      <c r="AJ245" s="329">
        <v>0</v>
      </c>
      <c r="AK245" s="329">
        <v>1</v>
      </c>
      <c r="AL245" s="329">
        <v>44</v>
      </c>
      <c r="AM245" s="329">
        <v>45</v>
      </c>
      <c r="AN245" s="329">
        <v>36</v>
      </c>
      <c r="AO245" s="329">
        <v>627428</v>
      </c>
    </row>
    <row r="246" spans="1:41">
      <c r="A246" s="333">
        <f>SUBTOTAL(3,$B$7:B246)</f>
        <v>240</v>
      </c>
      <c r="B246" s="3" t="s">
        <v>161</v>
      </c>
      <c r="C246" s="275" t="s">
        <v>251</v>
      </c>
      <c r="D246" s="329">
        <v>7620</v>
      </c>
      <c r="E246" s="329">
        <v>3360</v>
      </c>
      <c r="F246" s="329">
        <v>12</v>
      </c>
      <c r="G246" s="329">
        <v>10</v>
      </c>
      <c r="H246" s="329">
        <v>3338</v>
      </c>
      <c r="I246" s="329">
        <v>2805</v>
      </c>
      <c r="J246" s="329">
        <v>0</v>
      </c>
      <c r="K246" s="333">
        <v>2805</v>
      </c>
      <c r="L246" s="333"/>
      <c r="M246" s="208">
        <v>317</v>
      </c>
      <c r="N246" s="347" t="s">
        <v>251</v>
      </c>
      <c r="O246" s="329">
        <v>12</v>
      </c>
      <c r="P246" s="329">
        <v>10</v>
      </c>
      <c r="Q246" s="329">
        <v>3338</v>
      </c>
      <c r="R246" s="333">
        <v>3360</v>
      </c>
      <c r="S246" s="333">
        <v>111193221</v>
      </c>
      <c r="T246" s="3">
        <v>2.08</v>
      </c>
      <c r="U246" s="3"/>
      <c r="V246" s="279" t="s">
        <v>251</v>
      </c>
      <c r="W246" s="329">
        <v>2805</v>
      </c>
      <c r="X246" s="329">
        <v>45303.628520499107</v>
      </c>
      <c r="Y246" s="329">
        <v>127076678</v>
      </c>
      <c r="Z246" s="3"/>
      <c r="AA246" s="279" t="s">
        <v>251</v>
      </c>
      <c r="AB246" s="329">
        <v>12</v>
      </c>
      <c r="AC246" s="329">
        <v>10</v>
      </c>
      <c r="AD246" s="329">
        <v>3338</v>
      </c>
      <c r="AE246" s="329">
        <v>3360</v>
      </c>
      <c r="AF246" s="329">
        <v>2678</v>
      </c>
      <c r="AG246" s="329">
        <v>44943732</v>
      </c>
      <c r="AH246" s="3"/>
      <c r="AI246" s="279" t="s">
        <v>251</v>
      </c>
      <c r="AJ246" s="329">
        <v>12</v>
      </c>
      <c r="AK246" s="329">
        <v>10</v>
      </c>
      <c r="AL246" s="329">
        <v>3338</v>
      </c>
      <c r="AM246" s="329">
        <v>3360</v>
      </c>
      <c r="AN246" s="329">
        <v>2678</v>
      </c>
      <c r="AO246" s="329">
        <v>66249489</v>
      </c>
    </row>
    <row r="247" spans="1:41">
      <c r="A247" s="333">
        <f>SUBTOTAL(3,$B$7:B247)</f>
        <v>241</v>
      </c>
      <c r="B247" s="3" t="s">
        <v>161</v>
      </c>
      <c r="C247" s="275" t="s">
        <v>465</v>
      </c>
      <c r="D247" s="329">
        <v>3723</v>
      </c>
      <c r="E247" s="329">
        <v>164</v>
      </c>
      <c r="F247" s="329">
        <v>0</v>
      </c>
      <c r="G247" s="329">
        <v>82</v>
      </c>
      <c r="H247" s="329">
        <v>82</v>
      </c>
      <c r="I247" s="329">
        <v>0</v>
      </c>
      <c r="J247" s="329">
        <v>23</v>
      </c>
      <c r="K247" s="333">
        <v>23</v>
      </c>
      <c r="L247" s="333"/>
      <c r="M247" s="165">
        <v>318</v>
      </c>
      <c r="N247" s="347" t="s">
        <v>465</v>
      </c>
      <c r="O247" s="329">
        <v>0</v>
      </c>
      <c r="P247" s="329">
        <v>82</v>
      </c>
      <c r="Q247" s="329">
        <v>82</v>
      </c>
      <c r="R247" s="333">
        <v>164</v>
      </c>
      <c r="S247" s="333">
        <v>4198735</v>
      </c>
      <c r="T247" s="3">
        <v>2.0299999999999998</v>
      </c>
      <c r="U247" s="3"/>
      <c r="V247" s="279" t="s">
        <v>465</v>
      </c>
      <c r="W247" s="329">
        <v>23</v>
      </c>
      <c r="X247" s="329">
        <v>29360.739130434784</v>
      </c>
      <c r="Y247" s="329">
        <v>675297</v>
      </c>
      <c r="Z247" s="3"/>
      <c r="AA247" s="279" t="s">
        <v>465</v>
      </c>
      <c r="AB247" s="329">
        <v>0</v>
      </c>
      <c r="AC247" s="329">
        <v>82</v>
      </c>
      <c r="AD247" s="329">
        <v>82</v>
      </c>
      <c r="AE247" s="329">
        <v>164</v>
      </c>
      <c r="AF247" s="329">
        <v>107</v>
      </c>
      <c r="AG247" s="329">
        <v>1702938</v>
      </c>
      <c r="AH247" s="3"/>
      <c r="AI247" s="279" t="s">
        <v>465</v>
      </c>
      <c r="AJ247" s="329">
        <v>0</v>
      </c>
      <c r="AK247" s="329">
        <v>82</v>
      </c>
      <c r="AL247" s="329">
        <v>82</v>
      </c>
      <c r="AM247" s="329">
        <v>164</v>
      </c>
      <c r="AN247" s="329">
        <v>107</v>
      </c>
      <c r="AO247" s="329">
        <v>2495797</v>
      </c>
    </row>
    <row r="248" spans="1:41">
      <c r="A248" s="333">
        <f>SUBTOTAL(3,$B$7:B248)</f>
        <v>242</v>
      </c>
      <c r="B248" s="3" t="s">
        <v>161</v>
      </c>
      <c r="C248" s="275" t="s">
        <v>466</v>
      </c>
      <c r="D248" s="329">
        <v>13458</v>
      </c>
      <c r="E248" s="329">
        <v>392</v>
      </c>
      <c r="F248" s="329">
        <v>0</v>
      </c>
      <c r="G248" s="329">
        <v>0</v>
      </c>
      <c r="H248" s="329">
        <v>392</v>
      </c>
      <c r="I248" s="329">
        <v>532</v>
      </c>
      <c r="J248" s="329">
        <v>0</v>
      </c>
      <c r="K248" s="333">
        <v>532</v>
      </c>
      <c r="L248" s="333"/>
      <c r="M248" s="165">
        <v>319</v>
      </c>
      <c r="N248" s="347" t="s">
        <v>466</v>
      </c>
      <c r="O248" s="329">
        <v>0</v>
      </c>
      <c r="P248" s="329">
        <v>0</v>
      </c>
      <c r="Q248" s="329">
        <v>392</v>
      </c>
      <c r="R248" s="333">
        <v>392</v>
      </c>
      <c r="S248" s="333">
        <v>11670166</v>
      </c>
      <c r="T248" s="3">
        <v>2.2599999999999998</v>
      </c>
      <c r="U248" s="3"/>
      <c r="V248" s="279" t="s">
        <v>466</v>
      </c>
      <c r="W248" s="329">
        <v>532</v>
      </c>
      <c r="X248" s="329">
        <v>50395.73684210526</v>
      </c>
      <c r="Y248" s="329">
        <v>26810532</v>
      </c>
      <c r="Z248" s="3"/>
      <c r="AA248" s="279" t="s">
        <v>466</v>
      </c>
      <c r="AB248" s="329">
        <v>0</v>
      </c>
      <c r="AC248" s="329">
        <v>0</v>
      </c>
      <c r="AD248" s="329">
        <v>392</v>
      </c>
      <c r="AE248" s="329">
        <v>392</v>
      </c>
      <c r="AF248" s="329">
        <v>314</v>
      </c>
      <c r="AG248" s="329">
        <v>4699396</v>
      </c>
      <c r="AH248" s="3"/>
      <c r="AI248" s="279" t="s">
        <v>466</v>
      </c>
      <c r="AJ248" s="329">
        <v>0</v>
      </c>
      <c r="AK248" s="329">
        <v>0</v>
      </c>
      <c r="AL248" s="329">
        <v>392</v>
      </c>
      <c r="AM248" s="329">
        <v>392</v>
      </c>
      <c r="AN248" s="329">
        <v>314</v>
      </c>
      <c r="AO248" s="329">
        <v>6970770</v>
      </c>
    </row>
    <row r="249" spans="1:41">
      <c r="A249" s="333">
        <f>SUBTOTAL(3,$B$7:B249)</f>
        <v>243</v>
      </c>
      <c r="B249" s="3" t="s">
        <v>161</v>
      </c>
      <c r="C249" s="275" t="s">
        <v>467</v>
      </c>
      <c r="D249" s="329">
        <v>10321</v>
      </c>
      <c r="E249" s="329">
        <v>3767</v>
      </c>
      <c r="F249" s="329">
        <v>10</v>
      </c>
      <c r="G249" s="329">
        <v>502</v>
      </c>
      <c r="H249" s="329">
        <v>3255</v>
      </c>
      <c r="I249" s="329">
        <v>1283</v>
      </c>
      <c r="J249" s="329">
        <v>0</v>
      </c>
      <c r="K249" s="333">
        <v>1283</v>
      </c>
      <c r="L249" s="333"/>
      <c r="M249" s="208">
        <v>320</v>
      </c>
      <c r="N249" s="347" t="s">
        <v>467</v>
      </c>
      <c r="O249" s="329">
        <v>10</v>
      </c>
      <c r="P249" s="329">
        <v>502</v>
      </c>
      <c r="Q249" s="329">
        <v>3255</v>
      </c>
      <c r="R249" s="333">
        <v>3767</v>
      </c>
      <c r="S249" s="333">
        <v>113776098</v>
      </c>
      <c r="T249" s="3">
        <v>1.96</v>
      </c>
      <c r="U249" s="3"/>
      <c r="V249" s="279" t="s">
        <v>467</v>
      </c>
      <c r="W249" s="329">
        <v>1283</v>
      </c>
      <c r="X249" s="329">
        <v>37666.346063912708</v>
      </c>
      <c r="Y249" s="329">
        <v>48325922</v>
      </c>
      <c r="Z249" s="3"/>
      <c r="AA249" s="279" t="s">
        <v>467</v>
      </c>
      <c r="AB249" s="329">
        <v>10</v>
      </c>
      <c r="AC249" s="329">
        <v>502</v>
      </c>
      <c r="AD249" s="329">
        <v>3255</v>
      </c>
      <c r="AE249" s="329">
        <v>3767</v>
      </c>
      <c r="AF249" s="329">
        <v>2857</v>
      </c>
      <c r="AG249" s="329">
        <v>46046764</v>
      </c>
      <c r="AH249" s="3"/>
      <c r="AI249" s="279" t="s">
        <v>467</v>
      </c>
      <c r="AJ249" s="329">
        <v>10</v>
      </c>
      <c r="AK249" s="329">
        <v>502</v>
      </c>
      <c r="AL249" s="329">
        <v>3255</v>
      </c>
      <c r="AM249" s="329">
        <v>3767</v>
      </c>
      <c r="AN249" s="329">
        <v>2857</v>
      </c>
      <c r="AO249" s="329">
        <v>67729334</v>
      </c>
    </row>
    <row r="250" spans="1:41">
      <c r="A250" s="333">
        <f>SUBTOTAL(3,$B$7:B250)</f>
        <v>244</v>
      </c>
      <c r="B250" s="3" t="s">
        <v>161</v>
      </c>
      <c r="C250" s="275" t="s">
        <v>468</v>
      </c>
      <c r="D250" s="329">
        <v>9025</v>
      </c>
      <c r="E250" s="329">
        <v>461</v>
      </c>
      <c r="F250" s="329">
        <v>5</v>
      </c>
      <c r="G250" s="329">
        <v>11</v>
      </c>
      <c r="H250" s="329">
        <v>445</v>
      </c>
      <c r="I250" s="329">
        <v>7778</v>
      </c>
      <c r="J250" s="329">
        <v>0</v>
      </c>
      <c r="K250" s="333">
        <v>7778</v>
      </c>
      <c r="L250" s="333"/>
      <c r="M250" s="165">
        <v>321</v>
      </c>
      <c r="N250" s="347" t="s">
        <v>468</v>
      </c>
      <c r="O250" s="329">
        <v>5</v>
      </c>
      <c r="P250" s="329">
        <v>11</v>
      </c>
      <c r="Q250" s="329">
        <v>445</v>
      </c>
      <c r="R250" s="333">
        <v>461</v>
      </c>
      <c r="S250" s="333">
        <v>14187460</v>
      </c>
      <c r="T250" s="3">
        <v>1.96</v>
      </c>
      <c r="U250" s="3"/>
      <c r="V250" s="279" t="s">
        <v>468</v>
      </c>
      <c r="W250" s="329">
        <v>7778</v>
      </c>
      <c r="X250" s="329">
        <v>39295.164823862178</v>
      </c>
      <c r="Y250" s="329">
        <v>305637792</v>
      </c>
      <c r="Z250" s="3"/>
      <c r="AA250" s="279" t="s">
        <v>468</v>
      </c>
      <c r="AB250" s="329">
        <v>5</v>
      </c>
      <c r="AC250" s="329">
        <v>11</v>
      </c>
      <c r="AD250" s="329">
        <v>445</v>
      </c>
      <c r="AE250" s="329">
        <v>461</v>
      </c>
      <c r="AF250" s="329">
        <v>363</v>
      </c>
      <c r="AG250" s="329">
        <v>5734618</v>
      </c>
      <c r="AH250" s="3"/>
      <c r="AI250" s="279" t="s">
        <v>468</v>
      </c>
      <c r="AJ250" s="329">
        <v>5</v>
      </c>
      <c r="AK250" s="329">
        <v>11</v>
      </c>
      <c r="AL250" s="329">
        <v>445</v>
      </c>
      <c r="AM250" s="329">
        <v>461</v>
      </c>
      <c r="AN250" s="329">
        <v>363</v>
      </c>
      <c r="AO250" s="329">
        <v>8452842</v>
      </c>
    </row>
    <row r="251" spans="1:41">
      <c r="A251" s="333">
        <f>SUBTOTAL(3,$B$7:B251)</f>
        <v>245</v>
      </c>
      <c r="B251" s="3" t="s">
        <v>161</v>
      </c>
      <c r="C251" s="275" t="s">
        <v>469</v>
      </c>
      <c r="D251" s="329">
        <v>0</v>
      </c>
      <c r="E251" s="329">
        <v>142</v>
      </c>
      <c r="F251" s="329">
        <v>0</v>
      </c>
      <c r="G251" s="329">
        <v>83</v>
      </c>
      <c r="H251" s="329">
        <v>59</v>
      </c>
      <c r="I251" s="329">
        <v>0</v>
      </c>
      <c r="J251" s="329">
        <v>19</v>
      </c>
      <c r="K251" s="333">
        <v>19</v>
      </c>
      <c r="L251" s="333"/>
      <c r="M251" s="165">
        <v>322</v>
      </c>
      <c r="N251" s="347" t="s">
        <v>469</v>
      </c>
      <c r="O251" s="329">
        <v>0</v>
      </c>
      <c r="P251" s="329">
        <v>83</v>
      </c>
      <c r="Q251" s="329">
        <v>59</v>
      </c>
      <c r="R251" s="333">
        <v>142</v>
      </c>
      <c r="S251" s="333">
        <v>3463166</v>
      </c>
      <c r="T251" s="3">
        <v>2</v>
      </c>
      <c r="U251" s="3"/>
      <c r="V251" s="279" t="s">
        <v>469</v>
      </c>
      <c r="W251" s="329">
        <v>19</v>
      </c>
      <c r="X251" s="329">
        <v>38911.947368421053</v>
      </c>
      <c r="Y251" s="329">
        <v>739327</v>
      </c>
      <c r="Z251" s="3"/>
      <c r="AA251" s="279" t="s">
        <v>469</v>
      </c>
      <c r="AB251" s="329">
        <v>0</v>
      </c>
      <c r="AC251" s="329">
        <v>83</v>
      </c>
      <c r="AD251" s="329">
        <v>59</v>
      </c>
      <c r="AE251" s="329">
        <v>142</v>
      </c>
      <c r="AF251" s="329">
        <v>89</v>
      </c>
      <c r="AG251" s="329">
        <v>1466914</v>
      </c>
      <c r="AH251" s="3"/>
      <c r="AI251" s="279" t="s">
        <v>469</v>
      </c>
      <c r="AJ251" s="329">
        <v>0</v>
      </c>
      <c r="AK251" s="329">
        <v>83</v>
      </c>
      <c r="AL251" s="329">
        <v>59</v>
      </c>
      <c r="AM251" s="329">
        <v>142</v>
      </c>
      <c r="AN251" s="329">
        <v>89</v>
      </c>
      <c r="AO251" s="329">
        <v>1996252</v>
      </c>
    </row>
    <row r="252" spans="1:41">
      <c r="A252" s="333">
        <f>SUBTOTAL(3,$B$7:B252)</f>
        <v>246</v>
      </c>
      <c r="B252" s="3" t="s">
        <v>105</v>
      </c>
      <c r="C252" s="275" t="s">
        <v>470</v>
      </c>
      <c r="D252" s="329">
        <v>0</v>
      </c>
      <c r="E252" s="329">
        <v>20</v>
      </c>
      <c r="F252" s="329">
        <v>0</v>
      </c>
      <c r="G252" s="329">
        <v>20</v>
      </c>
      <c r="H252" s="329">
        <v>0</v>
      </c>
      <c r="I252" s="329">
        <v>0</v>
      </c>
      <c r="J252" s="329">
        <v>0</v>
      </c>
      <c r="K252" s="333">
        <v>0</v>
      </c>
      <c r="L252" s="333"/>
      <c r="M252" s="208">
        <v>323</v>
      </c>
      <c r="N252" s="347" t="s">
        <v>470</v>
      </c>
      <c r="O252" s="329">
        <v>0</v>
      </c>
      <c r="P252" s="329">
        <v>20</v>
      </c>
      <c r="Q252" s="329">
        <v>0</v>
      </c>
      <c r="R252" s="333">
        <v>20</v>
      </c>
      <c r="S252" s="333">
        <v>612863</v>
      </c>
      <c r="T252" s="3">
        <v>3.15</v>
      </c>
      <c r="U252" s="3"/>
      <c r="V252" s="279" t="s">
        <v>470</v>
      </c>
      <c r="W252" s="329">
        <v>0</v>
      </c>
      <c r="X252" s="329">
        <v>0</v>
      </c>
      <c r="Y252" s="329">
        <v>0</v>
      </c>
      <c r="Z252" s="3"/>
      <c r="AA252" s="279" t="s">
        <v>470</v>
      </c>
      <c r="AB252" s="329">
        <v>0</v>
      </c>
      <c r="AC252" s="329">
        <v>20</v>
      </c>
      <c r="AD252" s="329">
        <v>0</v>
      </c>
      <c r="AE252" s="329">
        <v>20</v>
      </c>
      <c r="AF252" s="329">
        <v>10</v>
      </c>
      <c r="AG252" s="329">
        <v>259594</v>
      </c>
      <c r="AH252" s="3"/>
      <c r="AI252" s="279" t="s">
        <v>470</v>
      </c>
      <c r="AJ252" s="329">
        <v>0</v>
      </c>
      <c r="AK252" s="329">
        <v>20</v>
      </c>
      <c r="AL252" s="329">
        <v>0</v>
      </c>
      <c r="AM252" s="329">
        <v>20</v>
      </c>
      <c r="AN252" s="329">
        <v>10</v>
      </c>
      <c r="AO252" s="329">
        <v>353269</v>
      </c>
    </row>
    <row r="253" spans="1:41">
      <c r="A253" s="333">
        <f>SUBTOTAL(3,$B$7:B253)</f>
        <v>247</v>
      </c>
      <c r="B253" s="3" t="s">
        <v>105</v>
      </c>
      <c r="C253" s="275" t="s">
        <v>471</v>
      </c>
      <c r="D253" s="329">
        <v>0</v>
      </c>
      <c r="E253" s="329">
        <v>569</v>
      </c>
      <c r="F253" s="329">
        <v>37</v>
      </c>
      <c r="G253" s="329">
        <v>306</v>
      </c>
      <c r="H253" s="329">
        <v>226</v>
      </c>
      <c r="I253" s="329">
        <v>0</v>
      </c>
      <c r="J253" s="329">
        <v>27</v>
      </c>
      <c r="K253" s="333">
        <v>27</v>
      </c>
      <c r="L253" s="333"/>
      <c r="M253" s="165">
        <v>324</v>
      </c>
      <c r="N253" s="347" t="s">
        <v>471</v>
      </c>
      <c r="O253" s="329">
        <v>37</v>
      </c>
      <c r="P253" s="329">
        <v>306</v>
      </c>
      <c r="Q253" s="329">
        <v>226</v>
      </c>
      <c r="R253" s="333">
        <v>569</v>
      </c>
      <c r="S253" s="333">
        <v>20898650</v>
      </c>
      <c r="T253" s="3">
        <v>3.15</v>
      </c>
      <c r="U253" s="3"/>
      <c r="V253" s="279" t="s">
        <v>471</v>
      </c>
      <c r="W253" s="329">
        <v>27</v>
      </c>
      <c r="X253" s="329">
        <v>61286.370370370372</v>
      </c>
      <c r="Y253" s="329">
        <v>1654732</v>
      </c>
      <c r="Z253" s="3"/>
      <c r="AA253" s="279" t="s">
        <v>471</v>
      </c>
      <c r="AB253" s="329">
        <v>37</v>
      </c>
      <c r="AC253" s="329">
        <v>306</v>
      </c>
      <c r="AD253" s="329">
        <v>226</v>
      </c>
      <c r="AE253" s="329">
        <v>569</v>
      </c>
      <c r="AF253" s="329">
        <v>341</v>
      </c>
      <c r="AG253" s="329">
        <v>8852167</v>
      </c>
      <c r="AH253" s="3"/>
      <c r="AI253" s="279" t="s">
        <v>471</v>
      </c>
      <c r="AJ253" s="329">
        <v>37</v>
      </c>
      <c r="AK253" s="329">
        <v>306</v>
      </c>
      <c r="AL253" s="329">
        <v>226</v>
      </c>
      <c r="AM253" s="329">
        <v>569</v>
      </c>
      <c r="AN253" s="329">
        <v>341</v>
      </c>
      <c r="AO253" s="329">
        <v>12046483</v>
      </c>
    </row>
    <row r="254" spans="1:41">
      <c r="A254" s="333">
        <f>SUBTOTAL(3,$B$7:B254)</f>
        <v>248</v>
      </c>
      <c r="B254" s="3" t="s">
        <v>105</v>
      </c>
      <c r="C254" s="275" t="s">
        <v>253</v>
      </c>
      <c r="D254" s="329">
        <v>32384</v>
      </c>
      <c r="E254" s="329">
        <v>1698</v>
      </c>
      <c r="F254" s="329">
        <v>65</v>
      </c>
      <c r="G254" s="329">
        <v>658</v>
      </c>
      <c r="H254" s="329">
        <v>975</v>
      </c>
      <c r="I254" s="329">
        <v>0</v>
      </c>
      <c r="J254" s="329">
        <v>260</v>
      </c>
      <c r="K254" s="333">
        <v>260</v>
      </c>
      <c r="L254" s="333"/>
      <c r="M254" s="165">
        <v>325</v>
      </c>
      <c r="N254" s="347" t="s">
        <v>253</v>
      </c>
      <c r="O254" s="329">
        <v>65</v>
      </c>
      <c r="P254" s="329">
        <v>658</v>
      </c>
      <c r="Q254" s="329">
        <v>975</v>
      </c>
      <c r="R254" s="333">
        <v>1698</v>
      </c>
      <c r="S254" s="333">
        <v>28379837</v>
      </c>
      <c r="T254" s="3">
        <v>1.3</v>
      </c>
      <c r="U254" s="3"/>
      <c r="V254" s="279" t="s">
        <v>253</v>
      </c>
      <c r="W254" s="329">
        <v>260</v>
      </c>
      <c r="X254" s="329">
        <v>25290.26923076923</v>
      </c>
      <c r="Y254" s="329">
        <v>6575470</v>
      </c>
      <c r="Z254" s="3"/>
      <c r="AA254" s="279" t="s">
        <v>253</v>
      </c>
      <c r="AB254" s="329">
        <v>65</v>
      </c>
      <c r="AC254" s="329">
        <v>658</v>
      </c>
      <c r="AD254" s="329">
        <v>975</v>
      </c>
      <c r="AE254" s="329">
        <v>1698</v>
      </c>
      <c r="AF254" s="329">
        <v>1122</v>
      </c>
      <c r="AG254" s="329">
        <v>12021019</v>
      </c>
      <c r="AH254" s="3"/>
      <c r="AI254" s="279" t="s">
        <v>253</v>
      </c>
      <c r="AJ254" s="329">
        <v>65</v>
      </c>
      <c r="AK254" s="329">
        <v>658</v>
      </c>
      <c r="AL254" s="329">
        <v>975</v>
      </c>
      <c r="AM254" s="329">
        <v>1698</v>
      </c>
      <c r="AN254" s="329">
        <v>1122</v>
      </c>
      <c r="AO254" s="329">
        <v>16358818</v>
      </c>
    </row>
    <row r="255" spans="1:41">
      <c r="A255" s="333">
        <f>SUBTOTAL(3,$B$7:B255)</f>
        <v>249</v>
      </c>
      <c r="B255" s="3" t="s">
        <v>105</v>
      </c>
      <c r="C255" s="275" t="s">
        <v>472</v>
      </c>
      <c r="D255" s="329">
        <v>0</v>
      </c>
      <c r="E255" s="329">
        <v>355</v>
      </c>
      <c r="F255" s="329">
        <v>0</v>
      </c>
      <c r="G255" s="329">
        <v>209</v>
      </c>
      <c r="H255" s="329">
        <v>146</v>
      </c>
      <c r="I255" s="329">
        <v>0</v>
      </c>
      <c r="J255" s="329">
        <v>31</v>
      </c>
      <c r="K255" s="333">
        <v>31</v>
      </c>
      <c r="L255" s="333"/>
      <c r="M255" s="208">
        <v>326</v>
      </c>
      <c r="N255" s="347" t="s">
        <v>472</v>
      </c>
      <c r="O255" s="329">
        <v>0</v>
      </c>
      <c r="P255" s="329">
        <v>209</v>
      </c>
      <c r="Q255" s="329">
        <v>146</v>
      </c>
      <c r="R255" s="333">
        <v>355</v>
      </c>
      <c r="S255" s="333">
        <v>8384558</v>
      </c>
      <c r="T255" s="3">
        <v>1.95</v>
      </c>
      <c r="U255" s="3"/>
      <c r="V255" s="279" t="s">
        <v>472</v>
      </c>
      <c r="W255" s="329">
        <v>31</v>
      </c>
      <c r="X255" s="329">
        <v>37939.161290322583</v>
      </c>
      <c r="Y255" s="329">
        <v>1176114</v>
      </c>
      <c r="Z255" s="3"/>
      <c r="AA255" s="279" t="s">
        <v>472</v>
      </c>
      <c r="AB255" s="329">
        <v>0</v>
      </c>
      <c r="AC255" s="329">
        <v>209</v>
      </c>
      <c r="AD255" s="329">
        <v>146</v>
      </c>
      <c r="AE255" s="329">
        <v>355</v>
      </c>
      <c r="AF255" s="329">
        <v>221</v>
      </c>
      <c r="AG255" s="329">
        <v>3551498</v>
      </c>
      <c r="AH255" s="3"/>
      <c r="AI255" s="279" t="s">
        <v>472</v>
      </c>
      <c r="AJ255" s="329">
        <v>0</v>
      </c>
      <c r="AK255" s="329">
        <v>209</v>
      </c>
      <c r="AL255" s="329">
        <v>146</v>
      </c>
      <c r="AM255" s="329">
        <v>355</v>
      </c>
      <c r="AN255" s="329">
        <v>221</v>
      </c>
      <c r="AO255" s="329">
        <v>4833060</v>
      </c>
    </row>
    <row r="256" spans="1:41">
      <c r="A256" s="333">
        <f>SUBTOTAL(3,$B$7:B256)</f>
        <v>250</v>
      </c>
      <c r="B256" s="3" t="s">
        <v>105</v>
      </c>
      <c r="C256" s="275" t="s">
        <v>254</v>
      </c>
      <c r="D256" s="329">
        <v>3519</v>
      </c>
      <c r="E256" s="329">
        <v>209</v>
      </c>
      <c r="F256" s="329">
        <v>140</v>
      </c>
      <c r="G256" s="329">
        <v>52</v>
      </c>
      <c r="H256" s="329">
        <v>17</v>
      </c>
      <c r="I256" s="329">
        <v>0</v>
      </c>
      <c r="J256" s="329">
        <v>29</v>
      </c>
      <c r="K256" s="333">
        <v>29</v>
      </c>
      <c r="L256" s="333"/>
      <c r="M256" s="165">
        <v>327</v>
      </c>
      <c r="N256" s="348" t="s">
        <v>254</v>
      </c>
      <c r="O256" s="329">
        <v>140</v>
      </c>
      <c r="P256" s="329">
        <v>52</v>
      </c>
      <c r="Q256" s="329">
        <v>17</v>
      </c>
      <c r="R256" s="333">
        <v>209</v>
      </c>
      <c r="S256" s="333">
        <v>5781331</v>
      </c>
      <c r="T256" s="3">
        <v>1.95</v>
      </c>
      <c r="U256" s="3"/>
      <c r="V256" s="275" t="s">
        <v>254</v>
      </c>
      <c r="W256" s="329">
        <v>29</v>
      </c>
      <c r="X256" s="329">
        <v>30450.103448275862</v>
      </c>
      <c r="Y256" s="329">
        <v>883053</v>
      </c>
      <c r="Z256" s="3"/>
      <c r="AA256" s="275" t="s">
        <v>254</v>
      </c>
      <c r="AB256" s="329">
        <v>140</v>
      </c>
      <c r="AC256" s="329">
        <v>52</v>
      </c>
      <c r="AD256" s="329">
        <v>17</v>
      </c>
      <c r="AE256" s="329">
        <v>209</v>
      </c>
      <c r="AF256" s="329">
        <v>68</v>
      </c>
      <c r="AG256" s="329">
        <v>2448833</v>
      </c>
      <c r="AH256" s="3"/>
      <c r="AI256" s="275" t="s">
        <v>254</v>
      </c>
      <c r="AJ256" s="329">
        <v>140</v>
      </c>
      <c r="AK256" s="329">
        <v>52</v>
      </c>
      <c r="AL256" s="329">
        <v>17</v>
      </c>
      <c r="AM256" s="329">
        <v>209</v>
      </c>
      <c r="AN256" s="329">
        <v>68</v>
      </c>
      <c r="AO256" s="329">
        <v>3332498</v>
      </c>
    </row>
    <row r="257" spans="1:41">
      <c r="A257" s="333">
        <f>SUBTOTAL(3,$B$7:B257)</f>
        <v>251</v>
      </c>
      <c r="B257" s="3" t="s">
        <v>105</v>
      </c>
      <c r="C257" s="275" t="s">
        <v>473</v>
      </c>
      <c r="D257" s="329">
        <v>0</v>
      </c>
      <c r="E257" s="329">
        <v>153</v>
      </c>
      <c r="F257" s="329">
        <v>0</v>
      </c>
      <c r="G257" s="329">
        <v>123</v>
      </c>
      <c r="H257" s="329">
        <v>30</v>
      </c>
      <c r="I257" s="329">
        <v>0</v>
      </c>
      <c r="J257" s="329">
        <v>47</v>
      </c>
      <c r="K257" s="333">
        <v>47</v>
      </c>
      <c r="L257" s="333"/>
      <c r="M257" s="165">
        <v>328</v>
      </c>
      <c r="N257" s="347" t="s">
        <v>473</v>
      </c>
      <c r="O257" s="329">
        <v>0</v>
      </c>
      <c r="P257" s="329">
        <v>123</v>
      </c>
      <c r="Q257" s="329">
        <v>30</v>
      </c>
      <c r="R257" s="333">
        <v>153</v>
      </c>
      <c r="S257" s="333">
        <v>2677144</v>
      </c>
      <c r="T257" s="3">
        <v>1.6</v>
      </c>
      <c r="U257" s="3"/>
      <c r="V257" s="279" t="s">
        <v>473</v>
      </c>
      <c r="W257" s="329">
        <v>47</v>
      </c>
      <c r="X257" s="329">
        <v>31129.574468085106</v>
      </c>
      <c r="Y257" s="329">
        <v>1463090</v>
      </c>
      <c r="Z257" s="3"/>
      <c r="AA257" s="279" t="s">
        <v>473</v>
      </c>
      <c r="AB257" s="329">
        <v>0</v>
      </c>
      <c r="AC257" s="329">
        <v>123</v>
      </c>
      <c r="AD257" s="329">
        <v>30</v>
      </c>
      <c r="AE257" s="329">
        <v>153</v>
      </c>
      <c r="AF257" s="329">
        <v>86</v>
      </c>
      <c r="AG257" s="329">
        <v>1133974</v>
      </c>
      <c r="AH257" s="3"/>
      <c r="AI257" s="279" t="s">
        <v>473</v>
      </c>
      <c r="AJ257" s="329">
        <v>0</v>
      </c>
      <c r="AK257" s="329">
        <v>123</v>
      </c>
      <c r="AL257" s="329">
        <v>30</v>
      </c>
      <c r="AM257" s="329">
        <v>153</v>
      </c>
      <c r="AN257" s="329">
        <v>86</v>
      </c>
      <c r="AO257" s="329">
        <v>1543170</v>
      </c>
    </row>
    <row r="258" spans="1:41">
      <c r="A258" s="333">
        <f>SUBTOTAL(3,$B$7:B258)</f>
        <v>252</v>
      </c>
      <c r="B258" s="3" t="s">
        <v>105</v>
      </c>
      <c r="C258" s="275" t="s">
        <v>474</v>
      </c>
      <c r="D258" s="329">
        <v>0</v>
      </c>
      <c r="E258" s="329">
        <v>516</v>
      </c>
      <c r="F258" s="329">
        <v>116</v>
      </c>
      <c r="G258" s="329">
        <v>176</v>
      </c>
      <c r="H258" s="329">
        <v>224</v>
      </c>
      <c r="I258" s="329">
        <v>0</v>
      </c>
      <c r="J258" s="329">
        <v>30</v>
      </c>
      <c r="K258" s="333">
        <v>30</v>
      </c>
      <c r="L258" s="333"/>
      <c r="M258" s="208">
        <v>329</v>
      </c>
      <c r="N258" s="347" t="s">
        <v>474</v>
      </c>
      <c r="O258" s="329">
        <v>116</v>
      </c>
      <c r="P258" s="329">
        <v>176</v>
      </c>
      <c r="Q258" s="329">
        <v>224</v>
      </c>
      <c r="R258" s="333">
        <v>516</v>
      </c>
      <c r="S258" s="333">
        <v>7662393</v>
      </c>
      <c r="T258" s="3">
        <v>1.3</v>
      </c>
      <c r="U258" s="3"/>
      <c r="V258" s="279" t="s">
        <v>474</v>
      </c>
      <c r="W258" s="329">
        <v>30</v>
      </c>
      <c r="X258" s="329">
        <v>25236.400000000001</v>
      </c>
      <c r="Y258" s="329">
        <v>757092</v>
      </c>
      <c r="Z258" s="3"/>
      <c r="AA258" s="279" t="s">
        <v>474</v>
      </c>
      <c r="AB258" s="329">
        <v>116</v>
      </c>
      <c r="AC258" s="329">
        <v>176</v>
      </c>
      <c r="AD258" s="329">
        <v>224</v>
      </c>
      <c r="AE258" s="329">
        <v>516</v>
      </c>
      <c r="AF258" s="329">
        <v>290</v>
      </c>
      <c r="AG258" s="329">
        <v>3245606</v>
      </c>
      <c r="AH258" s="3"/>
      <c r="AI258" s="279" t="s">
        <v>474</v>
      </c>
      <c r="AJ258" s="329">
        <v>116</v>
      </c>
      <c r="AK258" s="329">
        <v>176</v>
      </c>
      <c r="AL258" s="329">
        <v>224</v>
      </c>
      <c r="AM258" s="329">
        <v>516</v>
      </c>
      <c r="AN258" s="329">
        <v>290</v>
      </c>
      <c r="AO258" s="329">
        <v>4416787</v>
      </c>
    </row>
    <row r="259" spans="1:41">
      <c r="A259" s="333">
        <f>SUBTOTAL(3,$B$7:B259)</f>
        <v>253</v>
      </c>
      <c r="B259" s="3" t="s">
        <v>105</v>
      </c>
      <c r="C259" s="275" t="s">
        <v>475</v>
      </c>
      <c r="D259" s="329">
        <v>6820</v>
      </c>
      <c r="E259" s="329">
        <v>407</v>
      </c>
      <c r="F259" s="329">
        <v>0</v>
      </c>
      <c r="G259" s="329">
        <v>198</v>
      </c>
      <c r="H259" s="329">
        <v>209</v>
      </c>
      <c r="I259" s="329">
        <v>0</v>
      </c>
      <c r="J259" s="329">
        <v>20</v>
      </c>
      <c r="K259" s="333">
        <v>20</v>
      </c>
      <c r="L259" s="333"/>
      <c r="M259" s="165">
        <v>330</v>
      </c>
      <c r="N259" s="348" t="s">
        <v>475</v>
      </c>
      <c r="O259" s="329">
        <v>0</v>
      </c>
      <c r="P259" s="329">
        <v>198</v>
      </c>
      <c r="Q259" s="329">
        <v>209</v>
      </c>
      <c r="R259" s="329">
        <v>407</v>
      </c>
      <c r="S259" s="333">
        <v>6727881</v>
      </c>
      <c r="T259" s="3">
        <v>1.3</v>
      </c>
      <c r="U259" s="3"/>
      <c r="V259" s="275" t="s">
        <v>475</v>
      </c>
      <c r="W259" s="329">
        <v>20</v>
      </c>
      <c r="X259" s="329">
        <v>25292.75</v>
      </c>
      <c r="Y259" s="329">
        <v>505855</v>
      </c>
      <c r="Z259" s="3"/>
      <c r="AA259" s="275" t="s">
        <v>475</v>
      </c>
      <c r="AB259" s="329">
        <v>0</v>
      </c>
      <c r="AC259" s="329">
        <v>198</v>
      </c>
      <c r="AD259" s="329">
        <v>209</v>
      </c>
      <c r="AE259" s="329">
        <v>407</v>
      </c>
      <c r="AF259" s="329">
        <v>266</v>
      </c>
      <c r="AG259" s="329">
        <v>2849769</v>
      </c>
      <c r="AH259" s="3"/>
      <c r="AI259" s="275" t="s">
        <v>475</v>
      </c>
      <c r="AJ259" s="329">
        <v>0</v>
      </c>
      <c r="AK259" s="329">
        <v>198</v>
      </c>
      <c r="AL259" s="329">
        <v>209</v>
      </c>
      <c r="AM259" s="329">
        <v>407</v>
      </c>
      <c r="AN259" s="329">
        <v>266</v>
      </c>
      <c r="AO259" s="329">
        <v>3878112</v>
      </c>
    </row>
    <row r="260" spans="1:41">
      <c r="A260" s="333">
        <f>SUBTOTAL(3,$B$7:B260)</f>
        <v>254</v>
      </c>
      <c r="B260" s="3" t="s">
        <v>105</v>
      </c>
      <c r="C260" s="275" t="s">
        <v>255</v>
      </c>
      <c r="D260" s="329">
        <v>7440</v>
      </c>
      <c r="E260" s="329">
        <v>304</v>
      </c>
      <c r="F260" s="329">
        <v>0</v>
      </c>
      <c r="G260" s="329">
        <v>111</v>
      </c>
      <c r="H260" s="329">
        <v>193</v>
      </c>
      <c r="I260" s="329">
        <v>0</v>
      </c>
      <c r="J260" s="329">
        <v>120</v>
      </c>
      <c r="K260" s="333">
        <v>120</v>
      </c>
      <c r="L260" s="333"/>
      <c r="M260" s="165">
        <v>331</v>
      </c>
      <c r="N260" s="348" t="s">
        <v>255</v>
      </c>
      <c r="O260" s="329">
        <v>0</v>
      </c>
      <c r="P260" s="329">
        <v>111</v>
      </c>
      <c r="Q260" s="329">
        <v>193</v>
      </c>
      <c r="R260" s="329">
        <v>304</v>
      </c>
      <c r="S260" s="333">
        <v>5311485</v>
      </c>
      <c r="T260" s="3">
        <v>1.3</v>
      </c>
      <c r="U260" s="3"/>
      <c r="V260" s="275" t="s">
        <v>255</v>
      </c>
      <c r="W260" s="329">
        <v>120</v>
      </c>
      <c r="X260" s="329">
        <v>25292.783333333333</v>
      </c>
      <c r="Y260" s="329">
        <v>3035134</v>
      </c>
      <c r="Z260" s="3"/>
      <c r="AA260" s="275" t="s">
        <v>255</v>
      </c>
      <c r="AB260" s="329">
        <v>0</v>
      </c>
      <c r="AC260" s="329">
        <v>111</v>
      </c>
      <c r="AD260" s="329">
        <v>193</v>
      </c>
      <c r="AE260" s="329">
        <v>304</v>
      </c>
      <c r="AF260" s="329">
        <v>210</v>
      </c>
      <c r="AG260" s="329">
        <v>2249818</v>
      </c>
      <c r="AH260" s="3"/>
      <c r="AI260" s="275" t="s">
        <v>255</v>
      </c>
      <c r="AJ260" s="329">
        <v>0</v>
      </c>
      <c r="AK260" s="329">
        <v>111</v>
      </c>
      <c r="AL260" s="329">
        <v>193</v>
      </c>
      <c r="AM260" s="329">
        <v>304</v>
      </c>
      <c r="AN260" s="329">
        <v>210</v>
      </c>
      <c r="AO260" s="329">
        <v>3061667</v>
      </c>
    </row>
    <row r="261" spans="1:41">
      <c r="A261" s="333">
        <f>SUBTOTAL(3,$B$7:B261)</f>
        <v>255</v>
      </c>
      <c r="B261" s="3" t="s">
        <v>105</v>
      </c>
      <c r="C261" s="275" t="s">
        <v>476</v>
      </c>
      <c r="D261" s="329">
        <v>0</v>
      </c>
      <c r="E261" s="329">
        <v>98</v>
      </c>
      <c r="F261" s="329">
        <v>30</v>
      </c>
      <c r="G261" s="329">
        <v>15</v>
      </c>
      <c r="H261" s="329">
        <v>53</v>
      </c>
      <c r="I261" s="329">
        <v>0</v>
      </c>
      <c r="J261" s="329">
        <v>0</v>
      </c>
      <c r="K261" s="333">
        <v>0</v>
      </c>
      <c r="L261" s="333"/>
      <c r="M261" s="208">
        <v>332</v>
      </c>
      <c r="N261" s="348" t="s">
        <v>476</v>
      </c>
      <c r="O261" s="329">
        <v>30</v>
      </c>
      <c r="P261" s="329">
        <v>15</v>
      </c>
      <c r="Q261" s="329">
        <v>53</v>
      </c>
      <c r="R261" s="329">
        <v>98</v>
      </c>
      <c r="S261" s="333">
        <v>3432036</v>
      </c>
      <c r="T261" s="3">
        <v>3.15</v>
      </c>
      <c r="U261" s="3"/>
      <c r="V261" s="275" t="s">
        <v>476</v>
      </c>
      <c r="W261" s="329">
        <v>0</v>
      </c>
      <c r="X261" s="329">
        <v>0</v>
      </c>
      <c r="Y261" s="329">
        <v>0</v>
      </c>
      <c r="Z261" s="3"/>
      <c r="AA261" s="275" t="s">
        <v>476</v>
      </c>
      <c r="AB261" s="329">
        <v>30</v>
      </c>
      <c r="AC261" s="329">
        <v>15</v>
      </c>
      <c r="AD261" s="329">
        <v>53</v>
      </c>
      <c r="AE261" s="329">
        <v>98</v>
      </c>
      <c r="AF261" s="329">
        <v>56</v>
      </c>
      <c r="AG261" s="329">
        <v>1453728</v>
      </c>
      <c r="AH261" s="3"/>
      <c r="AI261" s="275" t="s">
        <v>476</v>
      </c>
      <c r="AJ261" s="329">
        <v>30</v>
      </c>
      <c r="AK261" s="329">
        <v>15</v>
      </c>
      <c r="AL261" s="329">
        <v>53</v>
      </c>
      <c r="AM261" s="329">
        <v>98</v>
      </c>
      <c r="AN261" s="329">
        <v>56</v>
      </c>
      <c r="AO261" s="329">
        <v>1978308</v>
      </c>
    </row>
    <row r="262" spans="1:41">
      <c r="A262" s="333">
        <f>SUBTOTAL(3,$B$7:B262)</f>
        <v>256</v>
      </c>
      <c r="B262" s="3" t="s">
        <v>105</v>
      </c>
      <c r="C262" s="275" t="s">
        <v>256</v>
      </c>
      <c r="D262" s="329">
        <v>18336</v>
      </c>
      <c r="E262" s="329">
        <v>490</v>
      </c>
      <c r="F262" s="329">
        <v>62</v>
      </c>
      <c r="G262" s="329">
        <v>141</v>
      </c>
      <c r="H262" s="329">
        <v>287</v>
      </c>
      <c r="I262" s="329">
        <v>0</v>
      </c>
      <c r="J262" s="329">
        <v>50</v>
      </c>
      <c r="K262" s="333">
        <v>50</v>
      </c>
      <c r="L262" s="333"/>
      <c r="M262" s="165">
        <v>333</v>
      </c>
      <c r="N262" s="348" t="s">
        <v>256</v>
      </c>
      <c r="O262" s="329">
        <v>62</v>
      </c>
      <c r="P262" s="329">
        <v>141</v>
      </c>
      <c r="Q262" s="329">
        <v>287</v>
      </c>
      <c r="R262" s="329">
        <v>490</v>
      </c>
      <c r="S262" s="333">
        <v>9983092</v>
      </c>
      <c r="T262" s="3">
        <v>1.6</v>
      </c>
      <c r="U262" s="3"/>
      <c r="V262" s="275" t="s">
        <v>256</v>
      </c>
      <c r="W262" s="329">
        <v>50</v>
      </c>
      <c r="X262" s="329">
        <v>31095.24</v>
      </c>
      <c r="Y262" s="329">
        <v>1554762</v>
      </c>
      <c r="Z262" s="3"/>
      <c r="AA262" s="275" t="s">
        <v>256</v>
      </c>
      <c r="AB262" s="329">
        <v>62</v>
      </c>
      <c r="AC262" s="329">
        <v>141</v>
      </c>
      <c r="AD262" s="329">
        <v>287</v>
      </c>
      <c r="AE262" s="329">
        <v>490</v>
      </c>
      <c r="AF262" s="329">
        <v>313</v>
      </c>
      <c r="AG262" s="329">
        <v>4228599</v>
      </c>
      <c r="AH262" s="3"/>
      <c r="AI262" s="275" t="s">
        <v>256</v>
      </c>
      <c r="AJ262" s="329">
        <v>62</v>
      </c>
      <c r="AK262" s="329">
        <v>141</v>
      </c>
      <c r="AL262" s="329">
        <v>287</v>
      </c>
      <c r="AM262" s="329">
        <v>490</v>
      </c>
      <c r="AN262" s="329">
        <v>313</v>
      </c>
      <c r="AO262" s="329">
        <v>5754493</v>
      </c>
    </row>
    <row r="263" spans="1:41">
      <c r="A263" s="333">
        <f>SUBTOTAL(3,$B$7:B263)</f>
        <v>257</v>
      </c>
      <c r="B263" s="3" t="s">
        <v>105</v>
      </c>
      <c r="C263" s="275" t="s">
        <v>257</v>
      </c>
      <c r="D263" s="329">
        <v>16492</v>
      </c>
      <c r="E263" s="329">
        <v>1375</v>
      </c>
      <c r="F263" s="329">
        <v>0</v>
      </c>
      <c r="G263" s="329">
        <v>662</v>
      </c>
      <c r="H263" s="329">
        <v>713</v>
      </c>
      <c r="I263" s="329">
        <v>0</v>
      </c>
      <c r="J263" s="329">
        <v>119</v>
      </c>
      <c r="K263" s="333">
        <v>119</v>
      </c>
      <c r="L263" s="333"/>
      <c r="M263" s="165">
        <v>334</v>
      </c>
      <c r="N263" s="348" t="s">
        <v>257</v>
      </c>
      <c r="O263" s="329">
        <v>0</v>
      </c>
      <c r="P263" s="329">
        <v>662</v>
      </c>
      <c r="Q263" s="329">
        <v>713</v>
      </c>
      <c r="R263" s="329">
        <v>1375</v>
      </c>
      <c r="S263" s="333">
        <v>50592712</v>
      </c>
      <c r="T263" s="3">
        <v>2.35</v>
      </c>
      <c r="U263" s="3"/>
      <c r="V263" s="275" t="s">
        <v>257</v>
      </c>
      <c r="W263" s="329">
        <v>119</v>
      </c>
      <c r="X263" s="329">
        <v>56104.126050420171</v>
      </c>
      <c r="Y263" s="329">
        <v>6676391</v>
      </c>
      <c r="Z263" s="3"/>
      <c r="AA263" s="275" t="s">
        <v>257</v>
      </c>
      <c r="AB263" s="329">
        <v>0</v>
      </c>
      <c r="AC263" s="329">
        <v>662</v>
      </c>
      <c r="AD263" s="329">
        <v>713</v>
      </c>
      <c r="AE263" s="329">
        <v>1375</v>
      </c>
      <c r="AF263" s="329">
        <v>901</v>
      </c>
      <c r="AG263" s="329">
        <v>20759556</v>
      </c>
      <c r="AH263" s="3"/>
      <c r="AI263" s="275" t="s">
        <v>257</v>
      </c>
      <c r="AJ263" s="329">
        <v>0</v>
      </c>
      <c r="AK263" s="329">
        <v>662</v>
      </c>
      <c r="AL263" s="329">
        <v>713</v>
      </c>
      <c r="AM263" s="329">
        <v>1375</v>
      </c>
      <c r="AN263" s="329">
        <v>901</v>
      </c>
      <c r="AO263" s="329">
        <v>29833156</v>
      </c>
    </row>
    <row r="264" spans="1:41">
      <c r="A264" s="333">
        <f>SUBTOTAL(3,$B$7:B264)</f>
        <v>258</v>
      </c>
      <c r="B264" s="3" t="s">
        <v>105</v>
      </c>
      <c r="C264" s="275" t="s">
        <v>477</v>
      </c>
      <c r="D264" s="329">
        <v>10251</v>
      </c>
      <c r="E264" s="329">
        <v>76</v>
      </c>
      <c r="F264" s="329">
        <v>0</v>
      </c>
      <c r="G264" s="329">
        <v>16</v>
      </c>
      <c r="H264" s="329">
        <v>60</v>
      </c>
      <c r="I264" s="329">
        <v>0</v>
      </c>
      <c r="J264" s="329">
        <v>262</v>
      </c>
      <c r="K264" s="333">
        <v>262</v>
      </c>
      <c r="L264" s="333"/>
      <c r="M264" s="208">
        <v>335</v>
      </c>
      <c r="N264" s="348" t="s">
        <v>477</v>
      </c>
      <c r="O264" s="329">
        <v>0</v>
      </c>
      <c r="P264" s="329">
        <v>16</v>
      </c>
      <c r="Q264" s="329">
        <v>60</v>
      </c>
      <c r="R264" s="329">
        <v>76</v>
      </c>
      <c r="S264" s="333">
        <v>3231301</v>
      </c>
      <c r="T264" s="3">
        <v>2.0499999999999998</v>
      </c>
      <c r="U264" s="3"/>
      <c r="V264" s="275" t="s">
        <v>477</v>
      </c>
      <c r="W264" s="329">
        <v>262</v>
      </c>
      <c r="X264" s="329">
        <v>56481.515267175571</v>
      </c>
      <c r="Y264" s="329">
        <v>14798157</v>
      </c>
      <c r="Z264" s="3"/>
      <c r="AA264" s="275" t="s">
        <v>477</v>
      </c>
      <c r="AB264" s="329">
        <v>0</v>
      </c>
      <c r="AC264" s="329">
        <v>16</v>
      </c>
      <c r="AD264" s="329">
        <v>60</v>
      </c>
      <c r="AE264" s="329">
        <v>76</v>
      </c>
      <c r="AF264" s="329">
        <v>56</v>
      </c>
      <c r="AG264" s="329">
        <v>1300961</v>
      </c>
      <c r="AH264" s="3"/>
      <c r="AI264" s="275" t="s">
        <v>477</v>
      </c>
      <c r="AJ264" s="329">
        <v>0</v>
      </c>
      <c r="AK264" s="329">
        <v>16</v>
      </c>
      <c r="AL264" s="329">
        <v>60</v>
      </c>
      <c r="AM264" s="329">
        <v>76</v>
      </c>
      <c r="AN264" s="329">
        <v>56</v>
      </c>
      <c r="AO264" s="329">
        <v>1930340</v>
      </c>
    </row>
    <row r="265" spans="1:41">
      <c r="A265" s="333">
        <f>SUBTOTAL(3,$B$7:B265)</f>
        <v>259</v>
      </c>
      <c r="B265" s="3" t="s">
        <v>105</v>
      </c>
      <c r="C265" s="275" t="s">
        <v>258</v>
      </c>
      <c r="D265" s="329">
        <v>14872</v>
      </c>
      <c r="E265" s="329">
        <v>1041</v>
      </c>
      <c r="F265" s="329">
        <v>2</v>
      </c>
      <c r="G265" s="329">
        <v>14</v>
      </c>
      <c r="H265" s="329">
        <v>1025</v>
      </c>
      <c r="I265" s="329">
        <v>0</v>
      </c>
      <c r="J265" s="329">
        <v>264</v>
      </c>
      <c r="K265" s="333">
        <v>264</v>
      </c>
      <c r="L265" s="333"/>
      <c r="M265" s="165">
        <v>336</v>
      </c>
      <c r="N265" s="348" t="s">
        <v>258</v>
      </c>
      <c r="O265" s="329">
        <v>2</v>
      </c>
      <c r="P265" s="329">
        <v>14</v>
      </c>
      <c r="Q265" s="329">
        <v>1025</v>
      </c>
      <c r="R265" s="329">
        <v>1041</v>
      </c>
      <c r="S265" s="333">
        <v>42701368</v>
      </c>
      <c r="T265" s="3">
        <v>2.65</v>
      </c>
      <c r="U265" s="3"/>
      <c r="V265" s="275" t="s">
        <v>258</v>
      </c>
      <c r="W265" s="329">
        <v>264</v>
      </c>
      <c r="X265" s="329">
        <v>51486.742424242424</v>
      </c>
      <c r="Y265" s="329">
        <v>13592500</v>
      </c>
      <c r="Z265" s="3"/>
      <c r="AA265" s="275" t="s">
        <v>258</v>
      </c>
      <c r="AB265" s="329">
        <v>2</v>
      </c>
      <c r="AC265" s="329">
        <v>14</v>
      </c>
      <c r="AD265" s="329">
        <v>1025</v>
      </c>
      <c r="AE265" s="329">
        <v>1041</v>
      </c>
      <c r="AF265" s="329">
        <v>827</v>
      </c>
      <c r="AG265" s="329">
        <v>18087276</v>
      </c>
      <c r="AH265" s="3"/>
      <c r="AI265" s="275" t="s">
        <v>258</v>
      </c>
      <c r="AJ265" s="329">
        <v>2</v>
      </c>
      <c r="AK265" s="329">
        <v>14</v>
      </c>
      <c r="AL265" s="329">
        <v>1025</v>
      </c>
      <c r="AM265" s="329">
        <v>1041</v>
      </c>
      <c r="AN265" s="329">
        <v>827</v>
      </c>
      <c r="AO265" s="329">
        <v>24614092</v>
      </c>
    </row>
    <row r="266" spans="1:41">
      <c r="A266" s="333">
        <f>SUBTOTAL(3,$B$7:B266)</f>
        <v>260</v>
      </c>
      <c r="B266" s="3" t="s">
        <v>100</v>
      </c>
      <c r="C266" s="275" t="s">
        <v>247</v>
      </c>
      <c r="D266" s="329">
        <v>2729</v>
      </c>
      <c r="E266" s="329">
        <v>76</v>
      </c>
      <c r="F266" s="329">
        <v>0</v>
      </c>
      <c r="G266" s="329">
        <v>69</v>
      </c>
      <c r="H266" s="329">
        <v>7</v>
      </c>
      <c r="I266" s="329">
        <v>0</v>
      </c>
      <c r="J266" s="329">
        <v>0</v>
      </c>
      <c r="K266" s="333">
        <v>0</v>
      </c>
      <c r="L266" s="333"/>
      <c r="M266" s="165">
        <v>337</v>
      </c>
      <c r="N266" s="348" t="s">
        <v>247</v>
      </c>
      <c r="O266" s="329">
        <v>0</v>
      </c>
      <c r="P266" s="329">
        <v>69</v>
      </c>
      <c r="Q266" s="329">
        <v>7</v>
      </c>
      <c r="R266" s="329">
        <v>76</v>
      </c>
      <c r="S266" s="333">
        <v>6652229</v>
      </c>
      <c r="T266" s="3">
        <v>4.5</v>
      </c>
      <c r="U266" s="3"/>
      <c r="V266" s="275" t="s">
        <v>247</v>
      </c>
      <c r="W266" s="329">
        <v>0</v>
      </c>
      <c r="X266" s="329">
        <v>0</v>
      </c>
      <c r="Y266" s="329">
        <v>0</v>
      </c>
      <c r="Z266" s="3"/>
      <c r="AA266" s="275" t="s">
        <v>247</v>
      </c>
      <c r="AB266" s="329">
        <v>0</v>
      </c>
      <c r="AC266" s="329">
        <v>69</v>
      </c>
      <c r="AD266" s="329">
        <v>7</v>
      </c>
      <c r="AE266" s="329">
        <v>76</v>
      </c>
      <c r="AF266" s="329">
        <v>40</v>
      </c>
      <c r="AG266" s="329">
        <v>2679149</v>
      </c>
      <c r="AH266" s="3"/>
      <c r="AI266" s="275" t="s">
        <v>247</v>
      </c>
      <c r="AJ266" s="329">
        <v>0</v>
      </c>
      <c r="AK266" s="329">
        <v>69</v>
      </c>
      <c r="AL266" s="329">
        <v>7</v>
      </c>
      <c r="AM266" s="329">
        <v>76</v>
      </c>
      <c r="AN266" s="329">
        <v>40</v>
      </c>
      <c r="AO266" s="329">
        <v>3973080</v>
      </c>
    </row>
    <row r="267" spans="1:41">
      <c r="A267" s="333">
        <f>SUBTOTAL(3,$B$7:B267)</f>
        <v>261</v>
      </c>
      <c r="B267" s="3" t="s">
        <v>100</v>
      </c>
      <c r="C267" s="275" t="s">
        <v>249</v>
      </c>
      <c r="D267" s="329">
        <v>19570</v>
      </c>
      <c r="E267" s="329">
        <v>702</v>
      </c>
      <c r="F267" s="329">
        <v>0</v>
      </c>
      <c r="G267" s="329">
        <v>364</v>
      </c>
      <c r="H267" s="329">
        <v>338</v>
      </c>
      <c r="I267" s="329">
        <v>0</v>
      </c>
      <c r="J267" s="329">
        <v>54</v>
      </c>
      <c r="K267" s="333">
        <v>54</v>
      </c>
      <c r="L267" s="333"/>
      <c r="M267" s="208">
        <v>338</v>
      </c>
      <c r="N267" s="348" t="s">
        <v>249</v>
      </c>
      <c r="O267" s="329">
        <v>0</v>
      </c>
      <c r="P267" s="329">
        <v>364</v>
      </c>
      <c r="Q267" s="329">
        <v>338</v>
      </c>
      <c r="R267" s="329">
        <v>702</v>
      </c>
      <c r="S267" s="333">
        <v>16919129</v>
      </c>
      <c r="T267" s="3">
        <v>2</v>
      </c>
      <c r="U267" s="3"/>
      <c r="V267" s="275" t="s">
        <v>249</v>
      </c>
      <c r="W267" s="329">
        <v>54</v>
      </c>
      <c r="X267" s="329">
        <v>35824.5</v>
      </c>
      <c r="Y267" s="329">
        <v>1934523</v>
      </c>
      <c r="Z267" s="3"/>
      <c r="AA267" s="275" t="s">
        <v>249</v>
      </c>
      <c r="AB267" s="329">
        <v>0</v>
      </c>
      <c r="AC267" s="329">
        <v>364</v>
      </c>
      <c r="AD267" s="329">
        <v>338</v>
      </c>
      <c r="AE267" s="329">
        <v>702</v>
      </c>
      <c r="AF267" s="329">
        <v>452</v>
      </c>
      <c r="AG267" s="329">
        <v>7166537</v>
      </c>
      <c r="AH267" s="3"/>
      <c r="AI267" s="275" t="s">
        <v>249</v>
      </c>
      <c r="AJ267" s="329">
        <v>0</v>
      </c>
      <c r="AK267" s="329">
        <v>364</v>
      </c>
      <c r="AL267" s="329">
        <v>338</v>
      </c>
      <c r="AM267" s="329">
        <v>702</v>
      </c>
      <c r="AN267" s="329">
        <v>452</v>
      </c>
      <c r="AO267" s="329">
        <v>9752592</v>
      </c>
    </row>
    <row r="268" spans="1:41">
      <c r="A268" s="333">
        <f>SUBTOTAL(3,$B$7:B268)</f>
        <v>262</v>
      </c>
      <c r="B268" s="3" t="s">
        <v>101</v>
      </c>
      <c r="C268" s="275" t="s">
        <v>478</v>
      </c>
      <c r="D268" s="329">
        <v>3293</v>
      </c>
      <c r="E268" s="329">
        <v>114</v>
      </c>
      <c r="F268" s="329">
        <v>30</v>
      </c>
      <c r="G268" s="329">
        <v>73</v>
      </c>
      <c r="H268" s="329">
        <v>11</v>
      </c>
      <c r="I268" s="329">
        <v>0</v>
      </c>
      <c r="J268" s="329">
        <v>0</v>
      </c>
      <c r="K268" s="333">
        <v>0</v>
      </c>
      <c r="L268" s="333"/>
      <c r="M268" s="208">
        <v>341</v>
      </c>
      <c r="N268" s="348" t="s">
        <v>478</v>
      </c>
      <c r="O268" s="329">
        <v>30</v>
      </c>
      <c r="P268" s="329">
        <v>73</v>
      </c>
      <c r="Q268" s="329">
        <v>11</v>
      </c>
      <c r="R268" s="329">
        <v>114</v>
      </c>
      <c r="S268" s="333">
        <v>7464893</v>
      </c>
      <c r="T268" s="3">
        <v>3.2</v>
      </c>
      <c r="U268" s="3"/>
      <c r="V268" s="275" t="s">
        <v>478</v>
      </c>
      <c r="W268" s="329">
        <v>0</v>
      </c>
      <c r="X268" s="329">
        <v>0</v>
      </c>
      <c r="Y268" s="329">
        <v>0</v>
      </c>
      <c r="Z268" s="3"/>
      <c r="AA268" s="275" t="s">
        <v>478</v>
      </c>
      <c r="AB268" s="329">
        <v>30</v>
      </c>
      <c r="AC268" s="329">
        <v>73</v>
      </c>
      <c r="AD268" s="329">
        <v>11</v>
      </c>
      <c r="AE268" s="329">
        <v>114</v>
      </c>
      <c r="AF268" s="329">
        <v>51</v>
      </c>
      <c r="AG268" s="329">
        <v>3017598</v>
      </c>
      <c r="AH268" s="3"/>
      <c r="AI268" s="275" t="s">
        <v>478</v>
      </c>
      <c r="AJ268" s="329">
        <v>30</v>
      </c>
      <c r="AK268" s="329">
        <v>73</v>
      </c>
      <c r="AL268" s="329">
        <v>11</v>
      </c>
      <c r="AM268" s="329">
        <v>114</v>
      </c>
      <c r="AN268" s="329">
        <v>51</v>
      </c>
      <c r="AO268" s="329">
        <v>4447295</v>
      </c>
    </row>
    <row r="269" spans="1:41">
      <c r="A269" s="333">
        <f>SUBTOTAL(3,$B$7:B269)</f>
        <v>263</v>
      </c>
      <c r="B269" s="3" t="s">
        <v>101</v>
      </c>
      <c r="C269" s="275" t="s">
        <v>252</v>
      </c>
      <c r="D269" s="329">
        <v>6352</v>
      </c>
      <c r="E269" s="329">
        <v>850</v>
      </c>
      <c r="F269" s="329">
        <v>0</v>
      </c>
      <c r="G269" s="329">
        <v>436</v>
      </c>
      <c r="H269" s="329">
        <v>414</v>
      </c>
      <c r="I269" s="329">
        <v>0</v>
      </c>
      <c r="J269" s="329">
        <v>79</v>
      </c>
      <c r="K269" s="333">
        <v>79</v>
      </c>
      <c r="L269" s="333"/>
      <c r="M269" s="165">
        <v>342</v>
      </c>
      <c r="N269" s="348" t="s">
        <v>252</v>
      </c>
      <c r="O269" s="329">
        <v>0</v>
      </c>
      <c r="P269" s="329">
        <v>436</v>
      </c>
      <c r="Q269" s="329">
        <v>414</v>
      </c>
      <c r="R269" s="329">
        <v>850</v>
      </c>
      <c r="S269" s="333">
        <v>27771477</v>
      </c>
      <c r="T269" s="3">
        <v>2.6</v>
      </c>
      <c r="U269" s="3"/>
      <c r="V269" s="275" t="s">
        <v>252</v>
      </c>
      <c r="W269" s="329">
        <v>79</v>
      </c>
      <c r="X269" s="329">
        <v>50585.569620253162</v>
      </c>
      <c r="Y269" s="329">
        <v>3996260</v>
      </c>
      <c r="Z269" s="3"/>
      <c r="AA269" s="275" t="s">
        <v>252</v>
      </c>
      <c r="AB269" s="329">
        <v>0</v>
      </c>
      <c r="AC269" s="329">
        <v>436</v>
      </c>
      <c r="AD269" s="329">
        <v>414</v>
      </c>
      <c r="AE269" s="329">
        <v>850</v>
      </c>
      <c r="AF269" s="329">
        <v>549</v>
      </c>
      <c r="AG269" s="329">
        <v>11763332</v>
      </c>
      <c r="AH269" s="3"/>
      <c r="AI269" s="275" t="s">
        <v>252</v>
      </c>
      <c r="AJ269" s="329">
        <v>0</v>
      </c>
      <c r="AK269" s="329">
        <v>436</v>
      </c>
      <c r="AL269" s="329">
        <v>414</v>
      </c>
      <c r="AM269" s="329">
        <v>850</v>
      </c>
      <c r="AN269" s="329">
        <v>549</v>
      </c>
      <c r="AO269" s="329">
        <v>16008145</v>
      </c>
    </row>
    <row r="270" spans="1:41">
      <c r="A270" s="333">
        <f>SUBTOTAL(3,$B$7:B270)</f>
        <v>264</v>
      </c>
      <c r="B270" s="3" t="s">
        <v>101</v>
      </c>
      <c r="C270" s="275" t="s">
        <v>479</v>
      </c>
      <c r="D270" s="329">
        <v>10287</v>
      </c>
      <c r="E270" s="329">
        <v>365</v>
      </c>
      <c r="F270" s="329">
        <v>0</v>
      </c>
      <c r="G270" s="329">
        <v>114</v>
      </c>
      <c r="H270" s="329">
        <v>251</v>
      </c>
      <c r="I270" s="329">
        <v>0</v>
      </c>
      <c r="J270" s="329">
        <v>0</v>
      </c>
      <c r="K270" s="333">
        <v>0</v>
      </c>
      <c r="L270" s="333"/>
      <c r="M270" s="165">
        <v>343</v>
      </c>
      <c r="N270" s="348" t="s">
        <v>479</v>
      </c>
      <c r="O270" s="329">
        <v>0</v>
      </c>
      <c r="P270" s="329">
        <v>114</v>
      </c>
      <c r="Q270" s="329">
        <v>251</v>
      </c>
      <c r="R270" s="329">
        <v>365</v>
      </c>
      <c r="S270" s="333">
        <v>26158118</v>
      </c>
      <c r="T270" s="3">
        <v>4.5999999999999996</v>
      </c>
      <c r="U270" s="3"/>
      <c r="V270" s="275" t="s">
        <v>479</v>
      </c>
      <c r="W270" s="329">
        <v>0</v>
      </c>
      <c r="X270" s="329">
        <v>0</v>
      </c>
      <c r="Y270" s="329">
        <v>0</v>
      </c>
      <c r="Z270" s="3"/>
      <c r="AA270" s="275" t="s">
        <v>479</v>
      </c>
      <c r="AB270" s="329">
        <v>0</v>
      </c>
      <c r="AC270" s="329">
        <v>114</v>
      </c>
      <c r="AD270" s="329">
        <v>251</v>
      </c>
      <c r="AE270" s="329">
        <v>365</v>
      </c>
      <c r="AF270" s="329">
        <v>258</v>
      </c>
      <c r="AG270" s="329">
        <v>10599347</v>
      </c>
      <c r="AH270" s="3"/>
      <c r="AI270" s="275" t="s">
        <v>479</v>
      </c>
      <c r="AJ270" s="329">
        <v>0</v>
      </c>
      <c r="AK270" s="329">
        <v>114</v>
      </c>
      <c r="AL270" s="329">
        <v>251</v>
      </c>
      <c r="AM270" s="329">
        <v>365</v>
      </c>
      <c r="AN270" s="329">
        <v>258</v>
      </c>
      <c r="AO270" s="329">
        <v>15558771</v>
      </c>
    </row>
    <row r="271" spans="1:41">
      <c r="A271" s="333">
        <f>SUBTOTAL(3,$B$7:B271)</f>
        <v>265</v>
      </c>
      <c r="B271" s="3" t="s">
        <v>106</v>
      </c>
      <c r="C271" s="275" t="s">
        <v>236</v>
      </c>
      <c r="D271" s="329">
        <v>13099</v>
      </c>
      <c r="E271" s="329">
        <v>1463</v>
      </c>
      <c r="F271" s="329">
        <v>366</v>
      </c>
      <c r="G271" s="329">
        <v>372</v>
      </c>
      <c r="H271" s="329">
        <v>725</v>
      </c>
      <c r="I271" s="329">
        <v>0</v>
      </c>
      <c r="J271" s="329">
        <v>16</v>
      </c>
      <c r="K271" s="333">
        <v>16</v>
      </c>
      <c r="L271" s="333"/>
      <c r="M271" s="208">
        <v>344</v>
      </c>
      <c r="N271" s="350" t="s">
        <v>236</v>
      </c>
      <c r="O271" s="329">
        <v>366</v>
      </c>
      <c r="P271" s="329">
        <v>372</v>
      </c>
      <c r="Q271" s="329">
        <v>725</v>
      </c>
      <c r="R271" s="329">
        <v>1463</v>
      </c>
      <c r="S271" s="333">
        <v>40693390</v>
      </c>
      <c r="T271" s="3">
        <v>1.73</v>
      </c>
      <c r="U271" s="3"/>
      <c r="V271" s="275" t="s">
        <v>236</v>
      </c>
      <c r="W271" s="329">
        <v>16</v>
      </c>
      <c r="X271" s="329">
        <v>44552.5625</v>
      </c>
      <c r="Y271" s="329">
        <v>712841</v>
      </c>
      <c r="Z271" s="3"/>
      <c r="AA271" s="275" t="s">
        <v>236</v>
      </c>
      <c r="AB271" s="329">
        <v>366</v>
      </c>
      <c r="AC271" s="329">
        <v>372</v>
      </c>
      <c r="AD271" s="329">
        <v>725</v>
      </c>
      <c r="AE271" s="329">
        <v>1463</v>
      </c>
      <c r="AF271" s="329">
        <v>839</v>
      </c>
      <c r="AG271" s="329">
        <v>16622711</v>
      </c>
      <c r="AH271" s="3"/>
      <c r="AI271" s="275" t="s">
        <v>236</v>
      </c>
      <c r="AJ271" s="329">
        <v>366</v>
      </c>
      <c r="AK271" s="329">
        <v>372</v>
      </c>
      <c r="AL271" s="329">
        <v>725</v>
      </c>
      <c r="AM271" s="329">
        <v>1463</v>
      </c>
      <c r="AN271" s="329">
        <v>839</v>
      </c>
      <c r="AO271" s="329">
        <v>24070679</v>
      </c>
    </row>
    <row r="272" spans="1:41">
      <c r="A272" s="333">
        <f>SUBTOTAL(3,$B$7:B272)</f>
        <v>266</v>
      </c>
      <c r="B272" s="3" t="s">
        <v>106</v>
      </c>
      <c r="C272" s="275" t="s">
        <v>237</v>
      </c>
      <c r="D272" s="329">
        <v>13517</v>
      </c>
      <c r="E272" s="329">
        <v>278</v>
      </c>
      <c r="F272" s="329">
        <v>0</v>
      </c>
      <c r="G272" s="329">
        <v>47</v>
      </c>
      <c r="H272" s="329">
        <v>231</v>
      </c>
      <c r="I272" s="329">
        <v>0</v>
      </c>
      <c r="J272" s="329">
        <v>0</v>
      </c>
      <c r="K272" s="333">
        <v>0</v>
      </c>
      <c r="L272" s="333"/>
      <c r="M272" s="165">
        <v>345</v>
      </c>
      <c r="N272" s="350" t="s">
        <v>237</v>
      </c>
      <c r="O272" s="329">
        <v>0</v>
      </c>
      <c r="P272" s="329">
        <v>47</v>
      </c>
      <c r="Q272" s="329">
        <v>231</v>
      </c>
      <c r="R272" s="329">
        <v>278</v>
      </c>
      <c r="S272" s="333">
        <v>12679018</v>
      </c>
      <c r="T272" s="3">
        <v>2.4500000000000002</v>
      </c>
      <c r="U272" s="3"/>
      <c r="V272" s="275" t="s">
        <v>237</v>
      </c>
      <c r="W272" s="329">
        <v>0</v>
      </c>
      <c r="X272" s="329">
        <v>0</v>
      </c>
      <c r="Y272" s="329">
        <v>0</v>
      </c>
      <c r="Z272" s="3"/>
      <c r="AA272" s="275" t="s">
        <v>237</v>
      </c>
      <c r="AB272" s="329">
        <v>0</v>
      </c>
      <c r="AC272" s="329">
        <v>47</v>
      </c>
      <c r="AD272" s="329">
        <v>231</v>
      </c>
      <c r="AE272" s="329">
        <v>278</v>
      </c>
      <c r="AF272" s="329">
        <v>208</v>
      </c>
      <c r="AG272" s="329">
        <v>5144719</v>
      </c>
      <c r="AH272" s="3"/>
      <c r="AI272" s="275" t="s">
        <v>237</v>
      </c>
      <c r="AJ272" s="329">
        <v>0</v>
      </c>
      <c r="AK272" s="329">
        <v>47</v>
      </c>
      <c r="AL272" s="329">
        <v>231</v>
      </c>
      <c r="AM272" s="329">
        <v>278</v>
      </c>
      <c r="AN272" s="329">
        <v>208</v>
      </c>
      <c r="AO272" s="329">
        <v>7534299</v>
      </c>
    </row>
    <row r="273" spans="1:41">
      <c r="A273" s="333">
        <f>SUBTOTAL(3,$B$7:B273)</f>
        <v>267</v>
      </c>
      <c r="B273" s="3" t="s">
        <v>161</v>
      </c>
      <c r="C273" s="275" t="s">
        <v>480</v>
      </c>
      <c r="D273" s="329">
        <v>9786.130000000001</v>
      </c>
      <c r="E273" s="329">
        <v>1413</v>
      </c>
      <c r="F273" s="329">
        <v>0</v>
      </c>
      <c r="G273" s="329">
        <v>19</v>
      </c>
      <c r="H273" s="329">
        <v>1394</v>
      </c>
      <c r="I273" s="329">
        <v>771</v>
      </c>
      <c r="J273" s="329">
        <v>0</v>
      </c>
      <c r="K273" s="333">
        <v>771</v>
      </c>
      <c r="L273" s="333"/>
      <c r="M273" s="165">
        <v>346</v>
      </c>
      <c r="N273" s="348" t="s">
        <v>480</v>
      </c>
      <c r="O273" s="329">
        <v>0</v>
      </c>
      <c r="P273" s="329">
        <v>19</v>
      </c>
      <c r="Q273" s="329">
        <v>1394</v>
      </c>
      <c r="R273" s="329">
        <v>1413</v>
      </c>
      <c r="S273" s="333">
        <v>47647786</v>
      </c>
      <c r="T273" s="3">
        <v>2.08</v>
      </c>
      <c r="U273" s="3"/>
      <c r="V273" s="275" t="s">
        <v>480</v>
      </c>
      <c r="W273" s="329">
        <v>771</v>
      </c>
      <c r="X273" s="329">
        <v>46299.656290531777</v>
      </c>
      <c r="Y273" s="329">
        <v>35697035</v>
      </c>
      <c r="Z273" s="3"/>
      <c r="AA273" s="275" t="s">
        <v>480</v>
      </c>
      <c r="AB273" s="329">
        <v>0</v>
      </c>
      <c r="AC273" s="329">
        <v>19</v>
      </c>
      <c r="AD273" s="329">
        <v>1394</v>
      </c>
      <c r="AE273" s="329">
        <v>1413</v>
      </c>
      <c r="AF273" s="329">
        <v>1125</v>
      </c>
      <c r="AG273" s="329">
        <v>19319967</v>
      </c>
      <c r="AH273" s="3"/>
      <c r="AI273" s="275" t="s">
        <v>480</v>
      </c>
      <c r="AJ273" s="329">
        <v>0</v>
      </c>
      <c r="AK273" s="329">
        <v>19</v>
      </c>
      <c r="AL273" s="329">
        <v>1394</v>
      </c>
      <c r="AM273" s="329">
        <v>1413</v>
      </c>
      <c r="AN273" s="329">
        <v>1125</v>
      </c>
      <c r="AO273" s="329">
        <v>28327819</v>
      </c>
    </row>
    <row r="274" spans="1:41">
      <c r="A274" s="333">
        <f>SUBTOTAL(3,$B$7:B274)</f>
        <v>268</v>
      </c>
      <c r="B274" s="3" t="s">
        <v>105</v>
      </c>
      <c r="C274" s="275" t="s">
        <v>260</v>
      </c>
      <c r="D274" s="329">
        <v>10996</v>
      </c>
      <c r="E274" s="329">
        <v>823</v>
      </c>
      <c r="F274" s="329">
        <v>593</v>
      </c>
      <c r="G274" s="329">
        <v>116</v>
      </c>
      <c r="H274" s="329">
        <v>114</v>
      </c>
      <c r="I274" s="329">
        <v>10082</v>
      </c>
      <c r="J274" s="329">
        <v>67</v>
      </c>
      <c r="K274" s="333">
        <v>10149</v>
      </c>
      <c r="L274" s="333"/>
      <c r="M274" s="208">
        <v>349</v>
      </c>
      <c r="N274" s="348" t="s">
        <v>260</v>
      </c>
      <c r="O274" s="329">
        <v>593</v>
      </c>
      <c r="P274" s="329">
        <v>116</v>
      </c>
      <c r="Q274" s="329">
        <v>114</v>
      </c>
      <c r="R274" s="329">
        <v>823</v>
      </c>
      <c r="S274" s="333">
        <v>11215791</v>
      </c>
      <c r="T274" s="3">
        <v>1.8</v>
      </c>
      <c r="U274" s="3"/>
      <c r="V274" s="275" t="s">
        <v>260</v>
      </c>
      <c r="W274" s="329">
        <v>10149</v>
      </c>
      <c r="X274" s="329">
        <v>42919.682530298553</v>
      </c>
      <c r="Y274" s="329">
        <v>435591858</v>
      </c>
      <c r="Z274" s="3"/>
      <c r="AA274" s="275" t="s">
        <v>260</v>
      </c>
      <c r="AB274" s="329">
        <v>593</v>
      </c>
      <c r="AC274" s="329">
        <v>116</v>
      </c>
      <c r="AD274" s="329">
        <v>114</v>
      </c>
      <c r="AE274" s="329">
        <v>823</v>
      </c>
      <c r="AF274" s="329">
        <v>268</v>
      </c>
      <c r="AG274" s="329">
        <v>4519693</v>
      </c>
      <c r="AH274" s="3"/>
      <c r="AI274" s="275" t="s">
        <v>260</v>
      </c>
      <c r="AJ274" s="329">
        <v>593</v>
      </c>
      <c r="AK274" s="329">
        <v>116</v>
      </c>
      <c r="AL274" s="329">
        <v>114</v>
      </c>
      <c r="AM274" s="329">
        <v>823</v>
      </c>
      <c r="AN274" s="329">
        <v>268</v>
      </c>
      <c r="AO274" s="329">
        <v>6696098</v>
      </c>
    </row>
    <row r="275" spans="1:41">
      <c r="A275" s="333">
        <f>SUBTOTAL(3,$B$7:B275)</f>
        <v>269</v>
      </c>
      <c r="B275" s="3" t="s">
        <v>161</v>
      </c>
      <c r="C275" s="275" t="s">
        <v>481</v>
      </c>
      <c r="D275" s="329">
        <v>0</v>
      </c>
      <c r="E275" s="329">
        <v>77</v>
      </c>
      <c r="F275" s="329">
        <v>0</v>
      </c>
      <c r="G275" s="329">
        <v>48</v>
      </c>
      <c r="H275" s="329">
        <v>29</v>
      </c>
      <c r="I275" s="329">
        <v>0</v>
      </c>
      <c r="J275" s="329">
        <v>20</v>
      </c>
      <c r="K275" s="333">
        <v>20</v>
      </c>
      <c r="L275" s="333"/>
      <c r="M275" s="165">
        <v>350</v>
      </c>
      <c r="N275" s="348" t="s">
        <v>481</v>
      </c>
      <c r="O275" s="329">
        <v>0</v>
      </c>
      <c r="P275" s="329">
        <v>48</v>
      </c>
      <c r="Q275" s="329">
        <v>29</v>
      </c>
      <c r="R275" s="329">
        <v>77</v>
      </c>
      <c r="S275" s="333">
        <v>1737419</v>
      </c>
      <c r="T275" s="3">
        <v>1.9</v>
      </c>
      <c r="U275" s="3"/>
      <c r="V275" s="275" t="s">
        <v>481</v>
      </c>
      <c r="W275" s="329">
        <v>20</v>
      </c>
      <c r="X275" s="329">
        <v>36966.35</v>
      </c>
      <c r="Y275" s="329">
        <v>739327</v>
      </c>
      <c r="Z275" s="3"/>
      <c r="AA275" s="275" t="s">
        <v>481</v>
      </c>
      <c r="AB275" s="329">
        <v>0</v>
      </c>
      <c r="AC275" s="329">
        <v>48</v>
      </c>
      <c r="AD275" s="329">
        <v>29</v>
      </c>
      <c r="AE275" s="329">
        <v>77</v>
      </c>
      <c r="AF275" s="329">
        <v>47</v>
      </c>
      <c r="AG275" s="329">
        <v>735929</v>
      </c>
      <c r="AH275" s="3"/>
      <c r="AI275" s="275" t="s">
        <v>481</v>
      </c>
      <c r="AJ275" s="329">
        <v>0</v>
      </c>
      <c r="AK275" s="329">
        <v>48</v>
      </c>
      <c r="AL275" s="329">
        <v>29</v>
      </c>
      <c r="AM275" s="329">
        <v>77</v>
      </c>
      <c r="AN275" s="329">
        <v>47</v>
      </c>
      <c r="AO275" s="329">
        <v>1001490</v>
      </c>
    </row>
    <row r="276" spans="1:41">
      <c r="A276" s="333">
        <f>SUBTOTAL(3,$B$7:B276)</f>
        <v>270</v>
      </c>
      <c r="B276" s="3" t="s">
        <v>100</v>
      </c>
      <c r="C276" s="275" t="s">
        <v>482</v>
      </c>
      <c r="D276" s="329">
        <v>2736</v>
      </c>
      <c r="E276" s="329">
        <v>144</v>
      </c>
      <c r="F276" s="329">
        <v>0</v>
      </c>
      <c r="G276" s="329">
        <v>40</v>
      </c>
      <c r="H276" s="329">
        <v>104</v>
      </c>
      <c r="I276" s="329">
        <v>522</v>
      </c>
      <c r="J276" s="329">
        <v>0</v>
      </c>
      <c r="K276" s="333">
        <v>522</v>
      </c>
      <c r="L276" s="333"/>
      <c r="M276" s="165"/>
      <c r="N276" s="348" t="s">
        <v>482</v>
      </c>
      <c r="O276" s="329">
        <v>0</v>
      </c>
      <c r="P276" s="329">
        <v>40</v>
      </c>
      <c r="Q276" s="329">
        <v>104</v>
      </c>
      <c r="R276" s="329">
        <v>144</v>
      </c>
      <c r="S276" s="333">
        <v>11303051</v>
      </c>
      <c r="T276" s="3">
        <v>3.8</v>
      </c>
      <c r="U276" s="3"/>
      <c r="V276" s="275" t="s">
        <v>482</v>
      </c>
      <c r="W276" s="329">
        <v>522</v>
      </c>
      <c r="X276" s="329">
        <v>102571.99233716475</v>
      </c>
      <c r="Y276" s="329">
        <v>53542580</v>
      </c>
      <c r="Z276" s="3"/>
      <c r="AA276" s="275" t="s">
        <v>482</v>
      </c>
      <c r="AB276" s="329">
        <v>0</v>
      </c>
      <c r="AC276" s="329">
        <v>40</v>
      </c>
      <c r="AD276" s="329">
        <v>104</v>
      </c>
      <c r="AE276" s="329">
        <v>144</v>
      </c>
      <c r="AF276" s="329">
        <v>103</v>
      </c>
      <c r="AG276" s="329">
        <v>4532663</v>
      </c>
      <c r="AH276" s="3"/>
      <c r="AI276" s="275" t="s">
        <v>482</v>
      </c>
      <c r="AJ276" s="329">
        <v>0</v>
      </c>
      <c r="AK276" s="329">
        <v>40</v>
      </c>
      <c r="AL276" s="329">
        <v>104</v>
      </c>
      <c r="AM276" s="329">
        <v>144</v>
      </c>
      <c r="AN276" s="329">
        <v>103</v>
      </c>
      <c r="AO276" s="329">
        <v>6770388</v>
      </c>
    </row>
    <row r="277" spans="1:41">
      <c r="A277" s="333">
        <f>SUBTOTAL(3,$B$7:B277)</f>
        <v>271</v>
      </c>
      <c r="B277" s="3" t="s">
        <v>161</v>
      </c>
      <c r="C277" s="275" t="s">
        <v>483</v>
      </c>
      <c r="D277" s="329">
        <v>995</v>
      </c>
      <c r="E277" s="329">
        <v>63</v>
      </c>
      <c r="F277" s="329">
        <v>0</v>
      </c>
      <c r="G277" s="329">
        <v>40</v>
      </c>
      <c r="H277" s="329">
        <v>23</v>
      </c>
      <c r="I277" s="329">
        <v>0</v>
      </c>
      <c r="J277" s="329">
        <v>0</v>
      </c>
      <c r="K277" s="333">
        <v>0</v>
      </c>
      <c r="L277" s="333"/>
      <c r="M277" s="208"/>
      <c r="N277" s="348" t="s">
        <v>483</v>
      </c>
      <c r="O277" s="329">
        <v>0</v>
      </c>
      <c r="P277" s="329">
        <v>40</v>
      </c>
      <c r="Q277" s="329">
        <v>23</v>
      </c>
      <c r="R277" s="329">
        <v>63</v>
      </c>
      <c r="S277" s="333">
        <v>1906688</v>
      </c>
      <c r="T277" s="3">
        <v>1.83</v>
      </c>
      <c r="U277" s="3"/>
      <c r="V277" s="275" t="s">
        <v>483</v>
      </c>
      <c r="W277" s="329">
        <v>0</v>
      </c>
      <c r="X277" s="329">
        <v>0</v>
      </c>
      <c r="Y277" s="329">
        <v>0</v>
      </c>
      <c r="Z277" s="3"/>
      <c r="AA277" s="275" t="s">
        <v>483</v>
      </c>
      <c r="AB277" s="329">
        <v>0</v>
      </c>
      <c r="AC277" s="329">
        <v>40</v>
      </c>
      <c r="AD277" s="329">
        <v>23</v>
      </c>
      <c r="AE277" s="329">
        <v>63</v>
      </c>
      <c r="AF277" s="329">
        <v>38</v>
      </c>
      <c r="AG277" s="329">
        <v>766056</v>
      </c>
      <c r="AH277" s="3"/>
      <c r="AI277" s="275" t="s">
        <v>483</v>
      </c>
      <c r="AJ277" s="329">
        <v>0</v>
      </c>
      <c r="AK277" s="329">
        <v>40</v>
      </c>
      <c r="AL277" s="329">
        <v>23</v>
      </c>
      <c r="AM277" s="329">
        <v>63</v>
      </c>
      <c r="AN277" s="329">
        <v>38</v>
      </c>
      <c r="AO277" s="329">
        <v>1140632</v>
      </c>
    </row>
    <row r="278" spans="1:41">
      <c r="A278" s="333">
        <f>SUBTOTAL(3,$B$7:B278)</f>
        <v>272</v>
      </c>
      <c r="B278" s="3" t="s">
        <v>161</v>
      </c>
      <c r="C278" s="275" t="s">
        <v>484</v>
      </c>
      <c r="D278" s="329">
        <v>1514</v>
      </c>
      <c r="E278" s="329">
        <v>152</v>
      </c>
      <c r="F278" s="329">
        <v>0</v>
      </c>
      <c r="G278" s="329">
        <v>141</v>
      </c>
      <c r="H278" s="329">
        <v>11</v>
      </c>
      <c r="I278" s="329">
        <v>768</v>
      </c>
      <c r="J278" s="329">
        <v>16</v>
      </c>
      <c r="K278" s="333">
        <v>784</v>
      </c>
      <c r="L278" s="333"/>
      <c r="M278" s="165"/>
      <c r="N278" s="348" t="s">
        <v>484</v>
      </c>
      <c r="O278" s="329">
        <v>0</v>
      </c>
      <c r="P278" s="329">
        <v>141</v>
      </c>
      <c r="Q278" s="329">
        <v>11</v>
      </c>
      <c r="R278" s="329">
        <v>152</v>
      </c>
      <c r="S278" s="333">
        <v>7081922</v>
      </c>
      <c r="T278" s="3">
        <v>2.2599999999999998</v>
      </c>
      <c r="U278" s="3"/>
      <c r="V278" s="275" t="s">
        <v>484</v>
      </c>
      <c r="W278" s="329">
        <v>784</v>
      </c>
      <c r="X278" s="329">
        <v>89644.577806122456</v>
      </c>
      <c r="Y278" s="329">
        <v>70281349</v>
      </c>
      <c r="Z278" s="3"/>
      <c r="AA278" s="275" t="s">
        <v>484</v>
      </c>
      <c r="AB278" s="329">
        <v>0</v>
      </c>
      <c r="AC278" s="329">
        <v>141</v>
      </c>
      <c r="AD278" s="329">
        <v>11</v>
      </c>
      <c r="AE278" s="329">
        <v>152</v>
      </c>
      <c r="AF278" s="329">
        <v>79</v>
      </c>
      <c r="AG278" s="329">
        <v>2839938</v>
      </c>
      <c r="AH278" s="3"/>
      <c r="AI278" s="275" t="s">
        <v>484</v>
      </c>
      <c r="AJ278" s="329">
        <v>0</v>
      </c>
      <c r="AK278" s="329">
        <v>141</v>
      </c>
      <c r="AL278" s="329">
        <v>11</v>
      </c>
      <c r="AM278" s="329">
        <v>152</v>
      </c>
      <c r="AN278" s="329">
        <v>79</v>
      </c>
      <c r="AO278" s="329">
        <v>4241984</v>
      </c>
    </row>
    <row r="279" spans="1:41">
      <c r="A279" s="333">
        <f>SUBTOTAL(3,$B$7:B279)</f>
        <v>273</v>
      </c>
      <c r="B279" s="3" t="s">
        <v>105</v>
      </c>
      <c r="C279" s="275" t="s">
        <v>485</v>
      </c>
      <c r="D279" s="329">
        <v>5976</v>
      </c>
      <c r="E279" s="329">
        <v>175</v>
      </c>
      <c r="F279" s="329">
        <v>0</v>
      </c>
      <c r="G279" s="329">
        <v>83</v>
      </c>
      <c r="H279" s="329">
        <v>92</v>
      </c>
      <c r="I279" s="329">
        <v>0</v>
      </c>
      <c r="J279" s="329">
        <v>83</v>
      </c>
      <c r="K279" s="333">
        <v>83</v>
      </c>
      <c r="L279" s="333"/>
      <c r="M279" s="165"/>
      <c r="N279" s="348" t="s">
        <v>485</v>
      </c>
      <c r="O279" s="329">
        <v>0</v>
      </c>
      <c r="P279" s="329">
        <v>83</v>
      </c>
      <c r="Q279" s="329">
        <v>92</v>
      </c>
      <c r="R279" s="329">
        <v>175</v>
      </c>
      <c r="S279" s="333">
        <v>8243087</v>
      </c>
      <c r="T279" s="3">
        <v>1.95</v>
      </c>
      <c r="U279" s="3"/>
      <c r="V279" s="275" t="s">
        <v>485</v>
      </c>
      <c r="W279" s="329">
        <v>83</v>
      </c>
      <c r="X279" s="329">
        <v>73902.650602409645</v>
      </c>
      <c r="Y279" s="329">
        <v>6133920</v>
      </c>
      <c r="Z279" s="3"/>
      <c r="AA279" s="275" t="s">
        <v>485</v>
      </c>
      <c r="AB279" s="329">
        <v>0</v>
      </c>
      <c r="AC279" s="329">
        <v>83</v>
      </c>
      <c r="AD279" s="329">
        <v>92</v>
      </c>
      <c r="AE279" s="329">
        <v>175</v>
      </c>
      <c r="AF279" s="329">
        <v>115</v>
      </c>
      <c r="AG279" s="329">
        <v>3310598</v>
      </c>
      <c r="AH279" s="3"/>
      <c r="AI279" s="275" t="s">
        <v>485</v>
      </c>
      <c r="AJ279" s="329">
        <v>0</v>
      </c>
      <c r="AK279" s="329">
        <v>83</v>
      </c>
      <c r="AL279" s="329">
        <v>92</v>
      </c>
      <c r="AM279" s="329">
        <v>175</v>
      </c>
      <c r="AN279" s="329">
        <v>115</v>
      </c>
      <c r="AO279" s="329">
        <v>4932489</v>
      </c>
    </row>
    <row r="280" spans="1:41">
      <c r="A280" s="333">
        <f>SUBTOTAL(3,$B$7:B280)</f>
        <v>274</v>
      </c>
      <c r="B280" s="3" t="s">
        <v>105</v>
      </c>
      <c r="C280" s="275" t="s">
        <v>486</v>
      </c>
      <c r="D280" s="329">
        <v>20315</v>
      </c>
      <c r="E280" s="329">
        <v>1131</v>
      </c>
      <c r="F280" s="329">
        <v>29</v>
      </c>
      <c r="G280" s="329">
        <v>521</v>
      </c>
      <c r="H280" s="329">
        <v>581</v>
      </c>
      <c r="I280" s="329">
        <v>0</v>
      </c>
      <c r="J280" s="329">
        <v>73</v>
      </c>
      <c r="K280" s="333">
        <v>73</v>
      </c>
      <c r="L280" s="333"/>
      <c r="M280" s="208"/>
      <c r="N280" s="348" t="s">
        <v>486</v>
      </c>
      <c r="O280" s="329">
        <v>29</v>
      </c>
      <c r="P280" s="329">
        <v>521</v>
      </c>
      <c r="Q280" s="329">
        <v>581</v>
      </c>
      <c r="R280" s="329">
        <v>1131</v>
      </c>
      <c r="S280" s="333">
        <v>26016758</v>
      </c>
      <c r="T280" s="3">
        <v>1.65</v>
      </c>
      <c r="U280" s="3"/>
      <c r="V280" s="275" t="s">
        <v>486</v>
      </c>
      <c r="W280" s="329">
        <v>73</v>
      </c>
      <c r="X280" s="329">
        <v>35586.095890410958</v>
      </c>
      <c r="Y280" s="329">
        <v>2597785</v>
      </c>
      <c r="Z280" s="3"/>
      <c r="AA280" s="275" t="s">
        <v>486</v>
      </c>
      <c r="AB280" s="329">
        <v>29</v>
      </c>
      <c r="AC280" s="329">
        <v>521</v>
      </c>
      <c r="AD280" s="329">
        <v>581</v>
      </c>
      <c r="AE280" s="329">
        <v>1131</v>
      </c>
      <c r="AF280" s="329">
        <v>731</v>
      </c>
      <c r="AG280" s="329">
        <v>10494670</v>
      </c>
      <c r="AH280" s="3"/>
      <c r="AI280" s="275" t="s">
        <v>486</v>
      </c>
      <c r="AJ280" s="329">
        <v>29</v>
      </c>
      <c r="AK280" s="329">
        <v>521</v>
      </c>
      <c r="AL280" s="329">
        <v>581</v>
      </c>
      <c r="AM280" s="329">
        <v>1131</v>
      </c>
      <c r="AN280" s="329">
        <v>731</v>
      </c>
      <c r="AO280" s="329">
        <v>15522088</v>
      </c>
    </row>
    <row r="281" spans="1:41">
      <c r="A281" s="333">
        <f>SUBTOTAL(3,$B$7:B281)</f>
        <v>275</v>
      </c>
      <c r="B281" s="3" t="s">
        <v>105</v>
      </c>
      <c r="C281" s="275" t="s">
        <v>487</v>
      </c>
      <c r="D281" s="329">
        <v>13350</v>
      </c>
      <c r="E281" s="329">
        <v>676</v>
      </c>
      <c r="F281" s="329">
        <v>0</v>
      </c>
      <c r="G281" s="329">
        <v>208</v>
      </c>
      <c r="H281" s="329">
        <v>468</v>
      </c>
      <c r="I281" s="329">
        <v>0</v>
      </c>
      <c r="J281" s="329">
        <v>0</v>
      </c>
      <c r="K281" s="333">
        <v>0</v>
      </c>
      <c r="L281" s="333"/>
      <c r="M281" s="165"/>
      <c r="N281" s="348" t="s">
        <v>487</v>
      </c>
      <c r="O281" s="329">
        <v>0</v>
      </c>
      <c r="P281" s="329">
        <v>208</v>
      </c>
      <c r="Q281" s="329">
        <v>468</v>
      </c>
      <c r="R281" s="329">
        <v>676</v>
      </c>
      <c r="S281" s="333">
        <v>16362617</v>
      </c>
      <c r="T281" s="3">
        <v>1.65</v>
      </c>
      <c r="U281" s="3"/>
      <c r="V281" s="275" t="s">
        <v>487</v>
      </c>
      <c r="W281" s="329">
        <v>0</v>
      </c>
      <c r="X281" s="329">
        <v>0</v>
      </c>
      <c r="Y281" s="329">
        <v>0</v>
      </c>
      <c r="Z281" s="3"/>
      <c r="AA281" s="275" t="s">
        <v>487</v>
      </c>
      <c r="AB281" s="329">
        <v>0</v>
      </c>
      <c r="AC281" s="329">
        <v>208</v>
      </c>
      <c r="AD281" s="329">
        <v>468</v>
      </c>
      <c r="AE281" s="329">
        <v>676</v>
      </c>
      <c r="AF281" s="329">
        <v>478</v>
      </c>
      <c r="AG281" s="329">
        <v>6606730</v>
      </c>
      <c r="AH281" s="3"/>
      <c r="AI281" s="275" t="s">
        <v>487</v>
      </c>
      <c r="AJ281" s="329">
        <v>0</v>
      </c>
      <c r="AK281" s="329">
        <v>208</v>
      </c>
      <c r="AL281" s="329">
        <v>468</v>
      </c>
      <c r="AM281" s="329">
        <v>676</v>
      </c>
      <c r="AN281" s="329">
        <v>478</v>
      </c>
      <c r="AO281" s="329">
        <v>9755887</v>
      </c>
    </row>
    <row r="282" spans="1:41">
      <c r="A282" s="333">
        <f>SUBTOTAL(3,$B$7:B282)</f>
        <v>276</v>
      </c>
      <c r="B282" s="3" t="s">
        <v>105</v>
      </c>
      <c r="C282" s="275" t="s">
        <v>488</v>
      </c>
      <c r="D282" s="329">
        <v>12864</v>
      </c>
      <c r="E282" s="329">
        <v>452</v>
      </c>
      <c r="F282" s="329">
        <v>0</v>
      </c>
      <c r="G282" s="329">
        <v>299</v>
      </c>
      <c r="H282" s="329">
        <v>153</v>
      </c>
      <c r="I282" s="329">
        <v>0</v>
      </c>
      <c r="J282" s="329">
        <v>79</v>
      </c>
      <c r="K282" s="333">
        <v>79</v>
      </c>
      <c r="L282" s="333"/>
      <c r="M282" s="165"/>
      <c r="N282" s="348" t="s">
        <v>488</v>
      </c>
      <c r="O282" s="329">
        <v>0</v>
      </c>
      <c r="P282" s="329">
        <v>299</v>
      </c>
      <c r="Q282" s="329">
        <v>153</v>
      </c>
      <c r="R282" s="329">
        <v>452</v>
      </c>
      <c r="S282" s="333">
        <v>9647855</v>
      </c>
      <c r="T282" s="3">
        <v>1.55</v>
      </c>
      <c r="U282" s="3"/>
      <c r="V282" s="275" t="s">
        <v>488</v>
      </c>
      <c r="W282" s="329">
        <v>79</v>
      </c>
      <c r="X282" s="329">
        <v>36868.645569620254</v>
      </c>
      <c r="Y282" s="329">
        <v>2912623</v>
      </c>
      <c r="Z282" s="3"/>
      <c r="AA282" s="275" t="s">
        <v>488</v>
      </c>
      <c r="AB282" s="329">
        <v>0</v>
      </c>
      <c r="AC282" s="329">
        <v>299</v>
      </c>
      <c r="AD282" s="329">
        <v>153</v>
      </c>
      <c r="AE282" s="329">
        <v>452</v>
      </c>
      <c r="AF282" s="329">
        <v>272</v>
      </c>
      <c r="AG282" s="329">
        <v>3886342</v>
      </c>
      <c r="AH282" s="3"/>
      <c r="AI282" s="275" t="s">
        <v>488</v>
      </c>
      <c r="AJ282" s="329">
        <v>0</v>
      </c>
      <c r="AK282" s="329">
        <v>299</v>
      </c>
      <c r="AL282" s="329">
        <v>153</v>
      </c>
      <c r="AM282" s="329">
        <v>452</v>
      </c>
      <c r="AN282" s="329">
        <v>272</v>
      </c>
      <c r="AO282" s="329">
        <v>5761513</v>
      </c>
    </row>
    <row r="283" spans="1:41">
      <c r="A283" s="333">
        <f>SUBTOTAL(3,$B$7:B283)</f>
        <v>277</v>
      </c>
      <c r="B283" s="3" t="s">
        <v>161</v>
      </c>
      <c r="C283" s="275" t="s">
        <v>489</v>
      </c>
      <c r="D283" s="329">
        <v>1062</v>
      </c>
      <c r="E283" s="329">
        <v>144</v>
      </c>
      <c r="F283" s="329">
        <v>0</v>
      </c>
      <c r="G283" s="329">
        <v>97</v>
      </c>
      <c r="H283" s="329">
        <v>47</v>
      </c>
      <c r="I283" s="329">
        <v>356</v>
      </c>
      <c r="J283" s="329">
        <v>0</v>
      </c>
      <c r="K283" s="333">
        <v>356</v>
      </c>
      <c r="L283" s="333"/>
      <c r="M283" s="208"/>
      <c r="N283" s="348" t="s">
        <v>489</v>
      </c>
      <c r="O283" s="329">
        <v>0</v>
      </c>
      <c r="P283" s="329">
        <v>97</v>
      </c>
      <c r="Q283" s="329">
        <v>47</v>
      </c>
      <c r="R283" s="329">
        <v>144</v>
      </c>
      <c r="S283" s="333">
        <v>4216506</v>
      </c>
      <c r="T283" s="3">
        <v>3.06</v>
      </c>
      <c r="U283" s="3"/>
      <c r="V283" s="275" t="s">
        <v>489</v>
      </c>
      <c r="W283" s="329">
        <v>356</v>
      </c>
      <c r="X283" s="329">
        <v>45845.974719101127</v>
      </c>
      <c r="Y283" s="329">
        <v>16321167</v>
      </c>
      <c r="Z283" s="3"/>
      <c r="AA283" s="275" t="s">
        <v>489</v>
      </c>
      <c r="AB283" s="329">
        <v>0</v>
      </c>
      <c r="AC283" s="329">
        <v>97</v>
      </c>
      <c r="AD283" s="329">
        <v>47</v>
      </c>
      <c r="AE283" s="329">
        <v>144</v>
      </c>
      <c r="AF283" s="329">
        <v>86</v>
      </c>
      <c r="AG283" s="329">
        <v>1694636</v>
      </c>
      <c r="AH283" s="3"/>
      <c r="AI283" s="275" t="s">
        <v>489</v>
      </c>
      <c r="AJ283" s="329">
        <v>0</v>
      </c>
      <c r="AK283" s="329">
        <v>97</v>
      </c>
      <c r="AL283" s="329">
        <v>47</v>
      </c>
      <c r="AM283" s="329">
        <v>144</v>
      </c>
      <c r="AN283" s="329">
        <v>86</v>
      </c>
      <c r="AO283" s="329">
        <v>2521870</v>
      </c>
    </row>
    <row r="284" spans="1:41">
      <c r="A284" s="333">
        <f>SUBTOTAL(3,$B$7:B284)</f>
        <v>278</v>
      </c>
      <c r="B284" s="3" t="s">
        <v>161</v>
      </c>
      <c r="C284" s="275" t="s">
        <v>490</v>
      </c>
      <c r="D284" s="329">
        <v>2098</v>
      </c>
      <c r="E284" s="329">
        <v>112</v>
      </c>
      <c r="F284" s="329">
        <v>0</v>
      </c>
      <c r="G284" s="329">
        <v>37</v>
      </c>
      <c r="H284" s="329">
        <v>75</v>
      </c>
      <c r="I284" s="329">
        <v>0</v>
      </c>
      <c r="J284" s="329">
        <v>17</v>
      </c>
      <c r="K284" s="333">
        <v>17</v>
      </c>
      <c r="L284" s="333"/>
      <c r="M284" s="165"/>
      <c r="N284" s="348" t="s">
        <v>490</v>
      </c>
      <c r="O284" s="329">
        <v>0</v>
      </c>
      <c r="P284" s="329">
        <v>37</v>
      </c>
      <c r="Q284" s="329">
        <v>75</v>
      </c>
      <c r="R284" s="329">
        <v>112</v>
      </c>
      <c r="S284" s="333">
        <v>2247453</v>
      </c>
      <c r="T284" s="3">
        <v>1.17</v>
      </c>
      <c r="U284" s="3"/>
      <c r="V284" s="275" t="s">
        <v>490</v>
      </c>
      <c r="W284" s="329">
        <v>17</v>
      </c>
      <c r="X284" s="329">
        <v>28671.647058823528</v>
      </c>
      <c r="Y284" s="329">
        <v>487418</v>
      </c>
      <c r="Z284" s="3"/>
      <c r="AA284" s="275" t="s">
        <v>490</v>
      </c>
      <c r="AB284" s="329">
        <v>0</v>
      </c>
      <c r="AC284" s="329">
        <v>37</v>
      </c>
      <c r="AD284" s="329">
        <v>75</v>
      </c>
      <c r="AE284" s="329">
        <v>112</v>
      </c>
      <c r="AF284" s="329">
        <v>79</v>
      </c>
      <c r="AG284" s="329">
        <v>903347</v>
      </c>
      <c r="AH284" s="3"/>
      <c r="AI284" s="275" t="s">
        <v>490</v>
      </c>
      <c r="AJ284" s="329">
        <v>0</v>
      </c>
      <c r="AK284" s="329">
        <v>37</v>
      </c>
      <c r="AL284" s="329">
        <v>75</v>
      </c>
      <c r="AM284" s="329">
        <v>112</v>
      </c>
      <c r="AN284" s="329">
        <v>79</v>
      </c>
      <c r="AO284" s="329">
        <v>1344106</v>
      </c>
    </row>
    <row r="285" spans="1:41">
      <c r="A285" s="333">
        <f>SUBTOTAL(3,$B$7:B285)</f>
        <v>279</v>
      </c>
      <c r="B285" s="3" t="s">
        <v>161</v>
      </c>
      <c r="C285" s="275" t="s">
        <v>491</v>
      </c>
      <c r="D285" s="329">
        <v>2720</v>
      </c>
      <c r="E285" s="329">
        <v>193</v>
      </c>
      <c r="F285" s="329">
        <v>0</v>
      </c>
      <c r="G285" s="329">
        <v>70</v>
      </c>
      <c r="H285" s="329">
        <v>123</v>
      </c>
      <c r="I285" s="329">
        <v>0</v>
      </c>
      <c r="J285" s="329">
        <v>21</v>
      </c>
      <c r="K285" s="333">
        <v>21</v>
      </c>
      <c r="L285" s="333"/>
      <c r="M285" s="165"/>
      <c r="N285" s="348" t="s">
        <v>491</v>
      </c>
      <c r="O285" s="329">
        <v>0</v>
      </c>
      <c r="P285" s="329">
        <v>70</v>
      </c>
      <c r="Q285" s="329">
        <v>123</v>
      </c>
      <c r="R285" s="329">
        <v>193</v>
      </c>
      <c r="S285" s="333">
        <v>6676063</v>
      </c>
      <c r="T285" s="3">
        <v>2.2400000000000002</v>
      </c>
      <c r="U285" s="3"/>
      <c r="V285" s="275" t="s">
        <v>491</v>
      </c>
      <c r="W285" s="329">
        <v>21</v>
      </c>
      <c r="X285" s="329">
        <v>52342.523809523809</v>
      </c>
      <c r="Y285" s="329">
        <v>1099193</v>
      </c>
      <c r="Z285" s="3"/>
      <c r="AA285" s="275" t="s">
        <v>491</v>
      </c>
      <c r="AB285" s="329">
        <v>0</v>
      </c>
      <c r="AC285" s="329">
        <v>70</v>
      </c>
      <c r="AD285" s="329">
        <v>123</v>
      </c>
      <c r="AE285" s="329">
        <v>193</v>
      </c>
      <c r="AF285" s="329">
        <v>133</v>
      </c>
      <c r="AG285" s="329">
        <v>2690205</v>
      </c>
      <c r="AH285" s="3"/>
      <c r="AI285" s="275" t="s">
        <v>491</v>
      </c>
      <c r="AJ285" s="329">
        <v>0</v>
      </c>
      <c r="AK285" s="329">
        <v>70</v>
      </c>
      <c r="AL285" s="329">
        <v>123</v>
      </c>
      <c r="AM285" s="329">
        <v>193</v>
      </c>
      <c r="AN285" s="329">
        <v>133</v>
      </c>
      <c r="AO285" s="329">
        <v>3985858</v>
      </c>
    </row>
    <row r="286" spans="1:41">
      <c r="A286" s="333">
        <f>SUBTOTAL(3,$B$7:B286)</f>
        <v>280</v>
      </c>
      <c r="B286" s="3" t="s">
        <v>161</v>
      </c>
      <c r="C286" s="275" t="s">
        <v>492</v>
      </c>
      <c r="D286" s="329">
        <v>5365</v>
      </c>
      <c r="E286" s="329">
        <v>96</v>
      </c>
      <c r="F286" s="329">
        <v>0</v>
      </c>
      <c r="G286" s="329">
        <v>22</v>
      </c>
      <c r="H286" s="329">
        <v>74</v>
      </c>
      <c r="I286" s="329">
        <v>0</v>
      </c>
      <c r="J286" s="329">
        <v>91</v>
      </c>
      <c r="K286" s="333">
        <v>91</v>
      </c>
      <c r="L286" s="333"/>
      <c r="M286" s="208"/>
      <c r="N286" s="348" t="s">
        <v>492</v>
      </c>
      <c r="O286" s="329">
        <v>0</v>
      </c>
      <c r="P286" s="329">
        <v>22</v>
      </c>
      <c r="Q286" s="329">
        <v>74</v>
      </c>
      <c r="R286" s="329">
        <v>96</v>
      </c>
      <c r="S286" s="333">
        <v>4827044</v>
      </c>
      <c r="T286" s="3">
        <v>3.06</v>
      </c>
      <c r="U286" s="3"/>
      <c r="V286" s="275" t="s">
        <v>492</v>
      </c>
      <c r="W286" s="329">
        <v>91</v>
      </c>
      <c r="X286" s="329">
        <v>76513.71428571429</v>
      </c>
      <c r="Y286" s="329">
        <v>6962748</v>
      </c>
      <c r="Z286" s="3"/>
      <c r="AA286" s="275" t="s">
        <v>492</v>
      </c>
      <c r="AB286" s="329">
        <v>0</v>
      </c>
      <c r="AC286" s="329">
        <v>22</v>
      </c>
      <c r="AD286" s="329">
        <v>74</v>
      </c>
      <c r="AE286" s="329">
        <v>96</v>
      </c>
      <c r="AF286" s="329">
        <v>70</v>
      </c>
      <c r="AG286" s="329">
        <v>1944720</v>
      </c>
      <c r="AH286" s="3"/>
      <c r="AI286" s="275" t="s">
        <v>492</v>
      </c>
      <c r="AJ286" s="329">
        <v>0</v>
      </c>
      <c r="AK286" s="329">
        <v>22</v>
      </c>
      <c r="AL286" s="329">
        <v>74</v>
      </c>
      <c r="AM286" s="329">
        <v>96</v>
      </c>
      <c r="AN286" s="329">
        <v>70</v>
      </c>
      <c r="AO286" s="329">
        <v>2882324</v>
      </c>
    </row>
    <row r="287" spans="1:41">
      <c r="A287" s="333">
        <f>SUBTOTAL(3,$B$7:B287)</f>
        <v>281</v>
      </c>
      <c r="B287" s="3" t="s">
        <v>161</v>
      </c>
      <c r="C287" s="275" t="s">
        <v>493</v>
      </c>
      <c r="D287" s="329">
        <v>3576</v>
      </c>
      <c r="E287" s="329">
        <v>145</v>
      </c>
      <c r="F287" s="329">
        <v>0</v>
      </c>
      <c r="G287" s="329">
        <v>109</v>
      </c>
      <c r="H287" s="329">
        <v>36</v>
      </c>
      <c r="I287" s="329">
        <v>0</v>
      </c>
      <c r="J287" s="329">
        <v>23</v>
      </c>
      <c r="K287" s="333">
        <v>23</v>
      </c>
      <c r="L287" s="333"/>
      <c r="M287" s="165"/>
      <c r="N287" s="348" t="s">
        <v>493</v>
      </c>
      <c r="O287" s="329">
        <v>0</v>
      </c>
      <c r="P287" s="329">
        <v>109</v>
      </c>
      <c r="Q287" s="329">
        <v>36</v>
      </c>
      <c r="R287" s="329">
        <v>145</v>
      </c>
      <c r="S287" s="333">
        <v>5744723</v>
      </c>
      <c r="T287" s="3">
        <v>2.13</v>
      </c>
      <c r="U287" s="3"/>
      <c r="V287" s="275" t="s">
        <v>493</v>
      </c>
      <c r="W287" s="329">
        <v>23</v>
      </c>
      <c r="X287" s="329">
        <v>81349.478260869568</v>
      </c>
      <c r="Y287" s="329">
        <v>1871038</v>
      </c>
      <c r="Z287" s="3"/>
      <c r="AA287" s="275" t="s">
        <v>493</v>
      </c>
      <c r="AB287" s="329">
        <v>0</v>
      </c>
      <c r="AC287" s="329">
        <v>109</v>
      </c>
      <c r="AD287" s="329">
        <v>36</v>
      </c>
      <c r="AE287" s="329">
        <v>145</v>
      </c>
      <c r="AF287" s="329">
        <v>83</v>
      </c>
      <c r="AG287" s="329">
        <v>2308546</v>
      </c>
      <c r="AH287" s="3"/>
      <c r="AI287" s="275" t="s">
        <v>493</v>
      </c>
      <c r="AJ287" s="329">
        <v>0</v>
      </c>
      <c r="AK287" s="329">
        <v>109</v>
      </c>
      <c r="AL287" s="329">
        <v>36</v>
      </c>
      <c r="AM287" s="329">
        <v>145</v>
      </c>
      <c r="AN287" s="329">
        <v>83</v>
      </c>
      <c r="AO287" s="329">
        <v>3436177</v>
      </c>
    </row>
    <row r="288" spans="1:41">
      <c r="A288" s="333">
        <f>SUBTOTAL(3,$B$7:B288)</f>
        <v>282</v>
      </c>
      <c r="B288" s="3" t="s">
        <v>161</v>
      </c>
      <c r="C288" s="275" t="s">
        <v>494</v>
      </c>
      <c r="D288" s="329">
        <v>10064</v>
      </c>
      <c r="E288" s="329">
        <v>405</v>
      </c>
      <c r="F288" s="329">
        <v>58</v>
      </c>
      <c r="G288" s="329">
        <v>123</v>
      </c>
      <c r="H288" s="329">
        <v>224</v>
      </c>
      <c r="I288" s="329">
        <v>0</v>
      </c>
      <c r="J288" s="329">
        <v>80</v>
      </c>
      <c r="K288" s="333">
        <v>80</v>
      </c>
      <c r="L288" s="333"/>
      <c r="M288" s="165"/>
      <c r="N288" s="348" t="s">
        <v>494</v>
      </c>
      <c r="O288" s="329">
        <v>58</v>
      </c>
      <c r="P288" s="329">
        <v>123</v>
      </c>
      <c r="Q288" s="329">
        <v>224</v>
      </c>
      <c r="R288" s="329">
        <v>405</v>
      </c>
      <c r="S288" s="333">
        <v>9106521</v>
      </c>
      <c r="T288" s="3">
        <v>1.76</v>
      </c>
      <c r="U288" s="3"/>
      <c r="V288" s="275" t="s">
        <v>494</v>
      </c>
      <c r="W288" s="329">
        <v>80</v>
      </c>
      <c r="X288" s="329">
        <v>36429.775000000001</v>
      </c>
      <c r="Y288" s="329">
        <v>2914382</v>
      </c>
      <c r="Z288" s="3"/>
      <c r="AA288" s="275" t="s">
        <v>494</v>
      </c>
      <c r="AB288" s="329">
        <v>58</v>
      </c>
      <c r="AC288" s="329">
        <v>123</v>
      </c>
      <c r="AD288" s="329">
        <v>224</v>
      </c>
      <c r="AE288" s="329">
        <v>405</v>
      </c>
      <c r="AF288" s="329">
        <v>252</v>
      </c>
      <c r="AG288" s="329">
        <v>3677649</v>
      </c>
      <c r="AH288" s="3"/>
      <c r="AI288" s="275" t="s">
        <v>494</v>
      </c>
      <c r="AJ288" s="329">
        <v>58</v>
      </c>
      <c r="AK288" s="329">
        <v>123</v>
      </c>
      <c r="AL288" s="329">
        <v>224</v>
      </c>
      <c r="AM288" s="329">
        <v>405</v>
      </c>
      <c r="AN288" s="329">
        <v>252</v>
      </c>
      <c r="AO288" s="329">
        <v>5428872</v>
      </c>
    </row>
    <row r="289" spans="1:41">
      <c r="A289" s="333">
        <f>SUBTOTAL(3,$B$7:B289)</f>
        <v>283</v>
      </c>
      <c r="B289" s="3" t="s">
        <v>161</v>
      </c>
      <c r="C289" s="275" t="s">
        <v>495</v>
      </c>
      <c r="D289" s="329">
        <v>8638</v>
      </c>
      <c r="E289" s="329">
        <v>184</v>
      </c>
      <c r="F289" s="329">
        <v>4</v>
      </c>
      <c r="G289" s="329">
        <v>34</v>
      </c>
      <c r="H289" s="329">
        <v>146</v>
      </c>
      <c r="I289" s="329">
        <v>0</v>
      </c>
      <c r="J289" s="329">
        <v>0</v>
      </c>
      <c r="K289" s="333">
        <v>0</v>
      </c>
      <c r="L289" s="333"/>
      <c r="M289" s="208"/>
      <c r="N289" s="348" t="s">
        <v>495</v>
      </c>
      <c r="O289" s="329">
        <v>4</v>
      </c>
      <c r="P289" s="329">
        <v>34</v>
      </c>
      <c r="Q289" s="329">
        <v>146</v>
      </c>
      <c r="R289" s="329">
        <v>184</v>
      </c>
      <c r="S289" s="333">
        <v>6403009</v>
      </c>
      <c r="T289" s="3">
        <v>1.93</v>
      </c>
      <c r="U289" s="3"/>
      <c r="V289" s="275" t="s">
        <v>495</v>
      </c>
      <c r="W289" s="329">
        <v>0</v>
      </c>
      <c r="X289" s="329">
        <v>0</v>
      </c>
      <c r="Y289" s="329">
        <v>0</v>
      </c>
      <c r="Z289" s="3"/>
      <c r="AA289" s="275" t="s">
        <v>495</v>
      </c>
      <c r="AB289" s="329">
        <v>4</v>
      </c>
      <c r="AC289" s="329">
        <v>34</v>
      </c>
      <c r="AD289" s="329">
        <v>146</v>
      </c>
      <c r="AE289" s="329">
        <v>184</v>
      </c>
      <c r="AF289" s="329">
        <v>135</v>
      </c>
      <c r="AG289" s="329">
        <v>2574700</v>
      </c>
      <c r="AH289" s="3"/>
      <c r="AI289" s="275" t="s">
        <v>495</v>
      </c>
      <c r="AJ289" s="329">
        <v>4</v>
      </c>
      <c r="AK289" s="329">
        <v>34</v>
      </c>
      <c r="AL289" s="329">
        <v>146</v>
      </c>
      <c r="AM289" s="329">
        <v>184</v>
      </c>
      <c r="AN289" s="329">
        <v>135</v>
      </c>
      <c r="AO289" s="329">
        <v>3828309</v>
      </c>
    </row>
    <row r="290" spans="1:41">
      <c r="A290" s="333">
        <f>SUBTOTAL(3,$B$7:B290)</f>
        <v>284</v>
      </c>
      <c r="B290" s="3" t="s">
        <v>161</v>
      </c>
      <c r="C290" s="275" t="s">
        <v>496</v>
      </c>
      <c r="D290" s="329">
        <v>3687</v>
      </c>
      <c r="E290" s="329">
        <v>200</v>
      </c>
      <c r="F290" s="329">
        <v>0</v>
      </c>
      <c r="G290" s="329">
        <v>19</v>
      </c>
      <c r="H290" s="329">
        <v>181</v>
      </c>
      <c r="I290" s="329">
        <v>0</v>
      </c>
      <c r="J290" s="329">
        <v>13</v>
      </c>
      <c r="K290" s="333">
        <v>13</v>
      </c>
      <c r="L290" s="333"/>
      <c r="M290" s="165"/>
      <c r="N290" s="348" t="s">
        <v>496</v>
      </c>
      <c r="O290" s="329">
        <v>0</v>
      </c>
      <c r="P290" s="329">
        <v>19</v>
      </c>
      <c r="Q290" s="329">
        <v>181</v>
      </c>
      <c r="R290" s="329">
        <v>200</v>
      </c>
      <c r="S290" s="333">
        <v>9688799</v>
      </c>
      <c r="T290" s="3">
        <v>2.2599999999999998</v>
      </c>
      <c r="U290" s="3"/>
      <c r="V290" s="275" t="s">
        <v>496</v>
      </c>
      <c r="W290" s="329">
        <v>13</v>
      </c>
      <c r="X290" s="329">
        <v>62523.615384615383</v>
      </c>
      <c r="Y290" s="329">
        <v>812807</v>
      </c>
      <c r="Z290" s="3"/>
      <c r="AA290" s="275" t="s">
        <v>496</v>
      </c>
      <c r="AB290" s="329">
        <v>0</v>
      </c>
      <c r="AC290" s="329">
        <v>19</v>
      </c>
      <c r="AD290" s="329">
        <v>181</v>
      </c>
      <c r="AE290" s="329">
        <v>200</v>
      </c>
      <c r="AF290" s="329">
        <v>154</v>
      </c>
      <c r="AG290" s="329">
        <v>3885328</v>
      </c>
      <c r="AH290" s="3"/>
      <c r="AI290" s="275" t="s">
        <v>496</v>
      </c>
      <c r="AJ290" s="329">
        <v>0</v>
      </c>
      <c r="AK290" s="329">
        <v>19</v>
      </c>
      <c r="AL290" s="329">
        <v>181</v>
      </c>
      <c r="AM290" s="329">
        <v>200</v>
      </c>
      <c r="AN290" s="329">
        <v>154</v>
      </c>
      <c r="AO290" s="329">
        <v>5803471</v>
      </c>
    </row>
    <row r="291" spans="1:41">
      <c r="A291" s="333">
        <f>SUBTOTAL(3,$B$7:B291)</f>
        <v>285</v>
      </c>
      <c r="B291" s="3" t="s">
        <v>161</v>
      </c>
      <c r="C291" s="275" t="s">
        <v>497</v>
      </c>
      <c r="D291" s="329">
        <v>13183</v>
      </c>
      <c r="E291" s="329">
        <v>329</v>
      </c>
      <c r="F291" s="329">
        <v>0</v>
      </c>
      <c r="G291" s="329">
        <v>80</v>
      </c>
      <c r="H291" s="329">
        <v>249</v>
      </c>
      <c r="I291" s="329">
        <v>0</v>
      </c>
      <c r="J291" s="329">
        <v>211</v>
      </c>
      <c r="K291" s="333">
        <v>211</v>
      </c>
      <c r="L291" s="333"/>
      <c r="M291" s="165"/>
      <c r="N291" s="348" t="s">
        <v>497</v>
      </c>
      <c r="O291" s="329">
        <v>0</v>
      </c>
      <c r="P291" s="329">
        <v>80</v>
      </c>
      <c r="Q291" s="329">
        <v>249</v>
      </c>
      <c r="R291" s="329">
        <v>329</v>
      </c>
      <c r="S291" s="333">
        <v>6505730</v>
      </c>
      <c r="T291" s="3">
        <v>1.1100000000000001</v>
      </c>
      <c r="U291" s="3"/>
      <c r="V291" s="275" t="s">
        <v>497</v>
      </c>
      <c r="W291" s="329">
        <v>211</v>
      </c>
      <c r="X291" s="329">
        <v>28851.327014218008</v>
      </c>
      <c r="Y291" s="329">
        <v>6087630</v>
      </c>
      <c r="Z291" s="3"/>
      <c r="AA291" s="275" t="s">
        <v>497</v>
      </c>
      <c r="AB291" s="329">
        <v>0</v>
      </c>
      <c r="AC291" s="329">
        <v>80</v>
      </c>
      <c r="AD291" s="329">
        <v>249</v>
      </c>
      <c r="AE291" s="329">
        <v>329</v>
      </c>
      <c r="AF291" s="329">
        <v>239</v>
      </c>
      <c r="AG291" s="329">
        <v>2613270</v>
      </c>
      <c r="AH291" s="3"/>
      <c r="AI291" s="275" t="s">
        <v>497</v>
      </c>
      <c r="AJ291" s="329">
        <v>0</v>
      </c>
      <c r="AK291" s="329">
        <v>80</v>
      </c>
      <c r="AL291" s="329">
        <v>249</v>
      </c>
      <c r="AM291" s="329">
        <v>329</v>
      </c>
      <c r="AN291" s="329">
        <v>239</v>
      </c>
      <c r="AO291" s="329">
        <v>3892460</v>
      </c>
    </row>
    <row r="292" spans="1:41">
      <c r="A292" s="333">
        <f>SUBTOTAL(3,$B$7:B292)</f>
        <v>286</v>
      </c>
      <c r="B292" s="3" t="s">
        <v>161</v>
      </c>
      <c r="C292" s="275" t="s">
        <v>498</v>
      </c>
      <c r="D292" s="329">
        <v>4854</v>
      </c>
      <c r="E292" s="329">
        <v>77</v>
      </c>
      <c r="F292" s="329">
        <v>0</v>
      </c>
      <c r="G292" s="329">
        <v>30</v>
      </c>
      <c r="H292" s="329">
        <v>47</v>
      </c>
      <c r="I292" s="329">
        <v>0</v>
      </c>
      <c r="J292" s="329">
        <v>138</v>
      </c>
      <c r="K292" s="333">
        <v>138</v>
      </c>
      <c r="L292" s="333"/>
      <c r="M292" s="208"/>
      <c r="N292" s="348" t="s">
        <v>498</v>
      </c>
      <c r="O292" s="329">
        <v>0</v>
      </c>
      <c r="P292" s="329">
        <v>30</v>
      </c>
      <c r="Q292" s="329">
        <v>47</v>
      </c>
      <c r="R292" s="329">
        <v>77</v>
      </c>
      <c r="S292" s="333">
        <v>4057891</v>
      </c>
      <c r="T292" s="3">
        <v>3.2</v>
      </c>
      <c r="U292" s="3"/>
      <c r="V292" s="275" t="s">
        <v>498</v>
      </c>
      <c r="W292" s="329">
        <v>138</v>
      </c>
      <c r="X292" s="329">
        <v>83786.869565217392</v>
      </c>
      <c r="Y292" s="329">
        <v>11562588</v>
      </c>
      <c r="Z292" s="3"/>
      <c r="AA292" s="275" t="s">
        <v>498</v>
      </c>
      <c r="AB292" s="329">
        <v>0</v>
      </c>
      <c r="AC292" s="329">
        <v>30</v>
      </c>
      <c r="AD292" s="329">
        <v>47</v>
      </c>
      <c r="AE292" s="329">
        <v>77</v>
      </c>
      <c r="AF292" s="329">
        <v>53</v>
      </c>
      <c r="AG292" s="329">
        <v>1632966</v>
      </c>
      <c r="AH292" s="3"/>
      <c r="AI292" s="275" t="s">
        <v>498</v>
      </c>
      <c r="AJ292" s="329">
        <v>0</v>
      </c>
      <c r="AK292" s="329">
        <v>30</v>
      </c>
      <c r="AL292" s="329">
        <v>47</v>
      </c>
      <c r="AM292" s="329">
        <v>77</v>
      </c>
      <c r="AN292" s="329">
        <v>53</v>
      </c>
      <c r="AO292" s="329">
        <v>2424925</v>
      </c>
    </row>
    <row r="293" spans="1:41">
      <c r="A293" s="333">
        <f>SUBTOTAL(3,$B$7:B293)</f>
        <v>287</v>
      </c>
      <c r="B293" s="3" t="s">
        <v>161</v>
      </c>
      <c r="C293" s="275" t="s">
        <v>499</v>
      </c>
      <c r="D293" s="329">
        <v>1521</v>
      </c>
      <c r="E293" s="329">
        <v>26</v>
      </c>
      <c r="F293" s="329">
        <v>0</v>
      </c>
      <c r="G293" s="329">
        <v>10</v>
      </c>
      <c r="H293" s="329">
        <v>16</v>
      </c>
      <c r="I293" s="329">
        <v>0</v>
      </c>
      <c r="J293" s="329">
        <v>0</v>
      </c>
      <c r="K293" s="333">
        <v>0</v>
      </c>
      <c r="L293" s="333"/>
      <c r="M293" s="165"/>
      <c r="N293" s="348" t="s">
        <v>499</v>
      </c>
      <c r="O293" s="329">
        <v>0</v>
      </c>
      <c r="P293" s="329">
        <v>10</v>
      </c>
      <c r="Q293" s="329">
        <v>16</v>
      </c>
      <c r="R293" s="329">
        <v>26</v>
      </c>
      <c r="S293" s="333">
        <v>1074721</v>
      </c>
      <c r="T293" s="3">
        <v>3.2</v>
      </c>
      <c r="U293" s="3"/>
      <c r="V293" s="275" t="s">
        <v>499</v>
      </c>
      <c r="W293" s="329">
        <v>0</v>
      </c>
      <c r="X293" s="329">
        <v>0</v>
      </c>
      <c r="Y293" s="329">
        <v>0</v>
      </c>
      <c r="Z293" s="3"/>
      <c r="AA293" s="275" t="s">
        <v>499</v>
      </c>
      <c r="AB293" s="329">
        <v>0</v>
      </c>
      <c r="AC293" s="329">
        <v>10</v>
      </c>
      <c r="AD293" s="329">
        <v>16</v>
      </c>
      <c r="AE293" s="329">
        <v>26</v>
      </c>
      <c r="AF293" s="329">
        <v>18</v>
      </c>
      <c r="AG293" s="329">
        <v>432458</v>
      </c>
      <c r="AH293" s="3"/>
      <c r="AI293" s="275" t="s">
        <v>499</v>
      </c>
      <c r="AJ293" s="329">
        <v>0</v>
      </c>
      <c r="AK293" s="329">
        <v>10</v>
      </c>
      <c r="AL293" s="329">
        <v>16</v>
      </c>
      <c r="AM293" s="329">
        <v>26</v>
      </c>
      <c r="AN293" s="329">
        <v>18</v>
      </c>
      <c r="AO293" s="329">
        <v>642263</v>
      </c>
    </row>
    <row r="294" spans="1:41">
      <c r="A294" s="333">
        <f>SUBTOTAL(3,$B$7:B294)</f>
        <v>288</v>
      </c>
      <c r="B294" s="3" t="s">
        <v>161</v>
      </c>
      <c r="C294" s="275" t="s">
        <v>261</v>
      </c>
      <c r="D294" s="329">
        <v>11648</v>
      </c>
      <c r="E294" s="329">
        <v>194</v>
      </c>
      <c r="F294" s="329">
        <v>0</v>
      </c>
      <c r="G294" s="329">
        <v>0</v>
      </c>
      <c r="H294" s="329">
        <v>194</v>
      </c>
      <c r="I294" s="329">
        <v>0</v>
      </c>
      <c r="J294" s="329">
        <v>139</v>
      </c>
      <c r="K294" s="333">
        <v>139</v>
      </c>
      <c r="L294" s="333"/>
      <c r="M294" s="165"/>
      <c r="N294" s="348" t="s">
        <v>261</v>
      </c>
      <c r="O294" s="329">
        <v>0</v>
      </c>
      <c r="P294" s="329">
        <v>0</v>
      </c>
      <c r="Q294" s="329">
        <v>194</v>
      </c>
      <c r="R294" s="329">
        <v>194</v>
      </c>
      <c r="S294" s="333">
        <v>24405442</v>
      </c>
      <c r="T294" s="3">
        <v>1.83</v>
      </c>
      <c r="U294" s="3"/>
      <c r="V294" s="275" t="s">
        <v>261</v>
      </c>
      <c r="W294" s="329">
        <v>139</v>
      </c>
      <c r="X294" s="329">
        <v>159462.07194244605</v>
      </c>
      <c r="Y294" s="329">
        <v>22165228</v>
      </c>
      <c r="Z294" s="3"/>
      <c r="AA294" s="275" t="s">
        <v>261</v>
      </c>
      <c r="AB294" s="329">
        <v>0</v>
      </c>
      <c r="AC294" s="329">
        <v>0</v>
      </c>
      <c r="AD294" s="329">
        <v>194</v>
      </c>
      <c r="AE294" s="329">
        <v>194</v>
      </c>
      <c r="AF294" s="329">
        <v>155</v>
      </c>
      <c r="AG294" s="329">
        <v>9796225</v>
      </c>
      <c r="AH294" s="3"/>
      <c r="AI294" s="275" t="s">
        <v>261</v>
      </c>
      <c r="AJ294" s="329">
        <v>0</v>
      </c>
      <c r="AK294" s="329">
        <v>0</v>
      </c>
      <c r="AL294" s="329">
        <v>194</v>
      </c>
      <c r="AM294" s="329">
        <v>194</v>
      </c>
      <c r="AN294" s="329">
        <v>155</v>
      </c>
      <c r="AO294" s="329">
        <v>14609217</v>
      </c>
    </row>
    <row r="295" spans="1:41">
      <c r="A295" s="333">
        <f>SUBTOTAL(3,$B$7:B295)</f>
        <v>289</v>
      </c>
      <c r="B295" s="3" t="s">
        <v>161</v>
      </c>
      <c r="C295" s="275" t="s">
        <v>262</v>
      </c>
      <c r="D295" s="329">
        <v>3297</v>
      </c>
      <c r="E295" s="329">
        <v>250</v>
      </c>
      <c r="F295" s="329">
        <v>0</v>
      </c>
      <c r="G295" s="329">
        <v>180</v>
      </c>
      <c r="H295" s="329">
        <v>70</v>
      </c>
      <c r="I295" s="329">
        <v>324</v>
      </c>
      <c r="J295" s="329">
        <v>12</v>
      </c>
      <c r="K295" s="333">
        <v>336</v>
      </c>
      <c r="L295" s="333"/>
      <c r="M295" s="208"/>
      <c r="N295" s="348" t="s">
        <v>262</v>
      </c>
      <c r="O295" s="329">
        <v>0</v>
      </c>
      <c r="P295" s="329">
        <v>180</v>
      </c>
      <c r="Q295" s="329">
        <v>70</v>
      </c>
      <c r="R295" s="329">
        <v>250</v>
      </c>
      <c r="S295" s="333">
        <v>14848906</v>
      </c>
      <c r="T295" s="3">
        <v>3</v>
      </c>
      <c r="U295" s="3"/>
      <c r="V295" s="275" t="s">
        <v>262</v>
      </c>
      <c r="W295" s="329">
        <v>336</v>
      </c>
      <c r="X295" s="329">
        <v>114424.36011904762</v>
      </c>
      <c r="Y295" s="329">
        <v>38446585</v>
      </c>
      <c r="Z295" s="3"/>
      <c r="AA295" s="275" t="s">
        <v>262</v>
      </c>
      <c r="AB295" s="329">
        <v>0</v>
      </c>
      <c r="AC295" s="329">
        <v>180</v>
      </c>
      <c r="AD295" s="329">
        <v>70</v>
      </c>
      <c r="AE295" s="329">
        <v>250</v>
      </c>
      <c r="AF295" s="329">
        <v>146</v>
      </c>
      <c r="AG295" s="329">
        <v>5968918</v>
      </c>
      <c r="AH295" s="3"/>
      <c r="AI295" s="275" t="s">
        <v>262</v>
      </c>
      <c r="AJ295" s="329">
        <v>0</v>
      </c>
      <c r="AK295" s="329">
        <v>180</v>
      </c>
      <c r="AL295" s="329">
        <v>70</v>
      </c>
      <c r="AM295" s="329">
        <v>250</v>
      </c>
      <c r="AN295" s="329">
        <v>146</v>
      </c>
      <c r="AO295" s="329">
        <v>8879988</v>
      </c>
    </row>
    <row r="296" spans="1:41">
      <c r="A296" s="333">
        <f>SUBTOTAL(3,$B$7:B296)</f>
        <v>290</v>
      </c>
      <c r="B296" s="3" t="s">
        <v>100</v>
      </c>
      <c r="C296" s="275" t="s">
        <v>263</v>
      </c>
      <c r="D296" s="329">
        <v>2155</v>
      </c>
      <c r="E296" s="329">
        <v>84</v>
      </c>
      <c r="F296" s="329">
        <v>0</v>
      </c>
      <c r="G296" s="329">
        <v>12</v>
      </c>
      <c r="H296" s="329">
        <v>72</v>
      </c>
      <c r="I296" s="329">
        <v>0</v>
      </c>
      <c r="J296" s="329">
        <v>0</v>
      </c>
      <c r="K296" s="333">
        <v>0</v>
      </c>
      <c r="L296" s="333"/>
      <c r="M296" s="165"/>
      <c r="N296" s="348" t="s">
        <v>263</v>
      </c>
      <c r="O296" s="329">
        <v>0</v>
      </c>
      <c r="P296" s="329">
        <v>12</v>
      </c>
      <c r="Q296" s="329">
        <v>72</v>
      </c>
      <c r="R296" s="329">
        <v>84</v>
      </c>
      <c r="S296" s="333">
        <v>7508883</v>
      </c>
      <c r="T296" s="3">
        <v>5.2</v>
      </c>
      <c r="U296" s="3"/>
      <c r="V296" s="275" t="s">
        <v>263</v>
      </c>
      <c r="W296" s="329">
        <v>0</v>
      </c>
      <c r="X296" s="329">
        <v>0</v>
      </c>
      <c r="Y296" s="329">
        <v>0</v>
      </c>
      <c r="Z296" s="3"/>
      <c r="AA296" s="275" t="s">
        <v>263</v>
      </c>
      <c r="AB296" s="329">
        <v>0</v>
      </c>
      <c r="AC296" s="329">
        <v>12</v>
      </c>
      <c r="AD296" s="329">
        <v>72</v>
      </c>
      <c r="AE296" s="329">
        <v>84</v>
      </c>
      <c r="AF296" s="329">
        <v>64</v>
      </c>
      <c r="AG296" s="329">
        <v>3025709</v>
      </c>
      <c r="AH296" s="3"/>
      <c r="AI296" s="275" t="s">
        <v>263</v>
      </c>
      <c r="AJ296" s="329">
        <v>0</v>
      </c>
      <c r="AK296" s="329">
        <v>12</v>
      </c>
      <c r="AL296" s="329">
        <v>72</v>
      </c>
      <c r="AM296" s="329">
        <v>84</v>
      </c>
      <c r="AN296" s="329">
        <v>64</v>
      </c>
      <c r="AO296" s="329">
        <v>4483174</v>
      </c>
    </row>
    <row r="297" spans="1:41">
      <c r="A297" s="333">
        <f>SUBTOTAL(3,$B$7:B297)</f>
        <v>291</v>
      </c>
      <c r="B297" s="3" t="s">
        <v>108</v>
      </c>
      <c r="C297" s="275" t="s">
        <v>264</v>
      </c>
      <c r="D297" s="329">
        <v>3182</v>
      </c>
      <c r="E297" s="329">
        <v>87</v>
      </c>
      <c r="F297" s="329">
        <v>0</v>
      </c>
      <c r="G297" s="329">
        <v>56</v>
      </c>
      <c r="H297" s="329">
        <v>31</v>
      </c>
      <c r="I297" s="329">
        <v>0</v>
      </c>
      <c r="J297" s="329">
        <v>150</v>
      </c>
      <c r="K297" s="333">
        <v>150</v>
      </c>
      <c r="L297" s="333"/>
      <c r="M297" s="165"/>
      <c r="N297" s="348" t="s">
        <v>264</v>
      </c>
      <c r="O297" s="329">
        <v>0</v>
      </c>
      <c r="P297" s="329">
        <v>56</v>
      </c>
      <c r="Q297" s="329">
        <v>31</v>
      </c>
      <c r="R297" s="329">
        <v>87</v>
      </c>
      <c r="S297" s="333">
        <v>3404072</v>
      </c>
      <c r="T297" s="3">
        <v>2.96</v>
      </c>
      <c r="U297" s="3"/>
      <c r="V297" s="275" t="s">
        <v>264</v>
      </c>
      <c r="W297" s="329">
        <v>150</v>
      </c>
      <c r="X297" s="329">
        <v>39127.26</v>
      </c>
      <c r="Y297" s="329">
        <v>5869089</v>
      </c>
      <c r="Z297" s="3"/>
      <c r="AA297" s="275" t="s">
        <v>264</v>
      </c>
      <c r="AB297" s="329">
        <v>0</v>
      </c>
      <c r="AC297" s="329">
        <v>56</v>
      </c>
      <c r="AD297" s="329">
        <v>31</v>
      </c>
      <c r="AE297" s="329">
        <v>87</v>
      </c>
      <c r="AF297" s="329">
        <v>53</v>
      </c>
      <c r="AG297" s="329">
        <v>1365075</v>
      </c>
      <c r="AH297" s="3"/>
      <c r="AI297" s="275" t="s">
        <v>264</v>
      </c>
      <c r="AJ297" s="329">
        <v>0</v>
      </c>
      <c r="AK297" s="329">
        <v>56</v>
      </c>
      <c r="AL297" s="329">
        <v>31</v>
      </c>
      <c r="AM297" s="329">
        <v>87</v>
      </c>
      <c r="AN297" s="329">
        <v>53</v>
      </c>
      <c r="AO297" s="329">
        <v>2038997</v>
      </c>
    </row>
    <row r="298" spans="1:41">
      <c r="A298" s="333">
        <f>SUBTOTAL(3,$B$7:B298)</f>
        <v>292</v>
      </c>
      <c r="B298" s="3" t="s">
        <v>108</v>
      </c>
      <c r="C298" s="275" t="s">
        <v>265</v>
      </c>
      <c r="D298" s="329">
        <v>11189</v>
      </c>
      <c r="E298" s="329">
        <v>676</v>
      </c>
      <c r="F298" s="329">
        <v>9</v>
      </c>
      <c r="G298" s="329">
        <v>195</v>
      </c>
      <c r="H298" s="329">
        <v>472</v>
      </c>
      <c r="I298" s="329">
        <v>0</v>
      </c>
      <c r="J298" s="329">
        <v>225</v>
      </c>
      <c r="K298" s="333">
        <v>225</v>
      </c>
      <c r="L298" s="333"/>
      <c r="M298" s="208"/>
      <c r="N298" s="348" t="s">
        <v>265</v>
      </c>
      <c r="O298" s="329">
        <v>9</v>
      </c>
      <c r="P298" s="329">
        <v>195</v>
      </c>
      <c r="Q298" s="329">
        <v>472</v>
      </c>
      <c r="R298" s="329">
        <v>676</v>
      </c>
      <c r="S298" s="333">
        <v>36175270</v>
      </c>
      <c r="T298" s="3">
        <v>3.56</v>
      </c>
      <c r="U298" s="3"/>
      <c r="V298" s="275" t="s">
        <v>265</v>
      </c>
      <c r="W298" s="329">
        <v>225</v>
      </c>
      <c r="X298" s="329">
        <v>75839.142222222217</v>
      </c>
      <c r="Y298" s="329">
        <v>17063807</v>
      </c>
      <c r="Z298" s="3"/>
      <c r="AA298" s="275" t="s">
        <v>265</v>
      </c>
      <c r="AB298" s="329">
        <v>9</v>
      </c>
      <c r="AC298" s="329">
        <v>195</v>
      </c>
      <c r="AD298" s="329">
        <v>472</v>
      </c>
      <c r="AE298" s="329">
        <v>676</v>
      </c>
      <c r="AF298" s="329">
        <v>477</v>
      </c>
      <c r="AG298" s="329">
        <v>14596859</v>
      </c>
      <c r="AH298" s="3"/>
      <c r="AI298" s="275" t="s">
        <v>265</v>
      </c>
      <c r="AJ298" s="329">
        <v>9</v>
      </c>
      <c r="AK298" s="329">
        <v>195</v>
      </c>
      <c r="AL298" s="329">
        <v>472</v>
      </c>
      <c r="AM298" s="329">
        <v>676</v>
      </c>
      <c r="AN298" s="329">
        <v>477</v>
      </c>
      <c r="AO298" s="329">
        <v>21578411</v>
      </c>
    </row>
    <row r="299" spans="1:41">
      <c r="A299" s="333">
        <f>SUBTOTAL(3,$B$7:B299)</f>
        <v>293</v>
      </c>
      <c r="B299" s="3" t="s">
        <v>105</v>
      </c>
      <c r="C299" s="275" t="s">
        <v>266</v>
      </c>
      <c r="D299" s="329">
        <v>3824</v>
      </c>
      <c r="E299" s="329">
        <v>430</v>
      </c>
      <c r="F299" s="329">
        <v>31</v>
      </c>
      <c r="G299" s="329">
        <v>172</v>
      </c>
      <c r="H299" s="329">
        <v>227</v>
      </c>
      <c r="I299" s="329">
        <v>0</v>
      </c>
      <c r="J299" s="329">
        <v>16</v>
      </c>
      <c r="K299" s="333">
        <v>16</v>
      </c>
      <c r="L299" s="333"/>
      <c r="M299" s="165"/>
      <c r="N299" s="348" t="s">
        <v>266</v>
      </c>
      <c r="O299" s="329">
        <v>31</v>
      </c>
      <c r="P299" s="329">
        <v>172</v>
      </c>
      <c r="Q299" s="329">
        <v>227</v>
      </c>
      <c r="R299" s="329">
        <v>430</v>
      </c>
      <c r="S299" s="333">
        <v>11036541</v>
      </c>
      <c r="T299" s="3">
        <v>1.86</v>
      </c>
      <c r="U299" s="3"/>
      <c r="V299" s="275" t="s">
        <v>266</v>
      </c>
      <c r="W299" s="329">
        <v>16</v>
      </c>
      <c r="X299" s="329">
        <v>40276.3125</v>
      </c>
      <c r="Y299" s="329">
        <v>644421</v>
      </c>
      <c r="Z299" s="3"/>
      <c r="AA299" s="275" t="s">
        <v>266</v>
      </c>
      <c r="AB299" s="329">
        <v>31</v>
      </c>
      <c r="AC299" s="329">
        <v>172</v>
      </c>
      <c r="AD299" s="329">
        <v>227</v>
      </c>
      <c r="AE299" s="329">
        <v>430</v>
      </c>
      <c r="AF299" s="329">
        <v>274</v>
      </c>
      <c r="AG299" s="329">
        <v>4451506</v>
      </c>
      <c r="AH299" s="3"/>
      <c r="AI299" s="275" t="s">
        <v>266</v>
      </c>
      <c r="AJ299" s="329">
        <v>31</v>
      </c>
      <c r="AK299" s="329">
        <v>172</v>
      </c>
      <c r="AL299" s="329">
        <v>227</v>
      </c>
      <c r="AM299" s="329">
        <v>430</v>
      </c>
      <c r="AN299" s="329">
        <v>274</v>
      </c>
      <c r="AO299" s="329">
        <v>6585035</v>
      </c>
    </row>
    <row r="300" spans="1:41">
      <c r="A300" s="333">
        <f>SUBTOTAL(3,$B$7:B300)</f>
        <v>294</v>
      </c>
      <c r="B300" s="3" t="s">
        <v>105</v>
      </c>
      <c r="C300" s="275" t="s">
        <v>267</v>
      </c>
      <c r="D300" s="329">
        <v>9520</v>
      </c>
      <c r="E300" s="329">
        <v>3908</v>
      </c>
      <c r="F300" s="329">
        <v>1004</v>
      </c>
      <c r="G300" s="329">
        <v>1300</v>
      </c>
      <c r="H300" s="329">
        <v>1604</v>
      </c>
      <c r="I300" s="329">
        <v>3359</v>
      </c>
      <c r="J300" s="329">
        <v>0</v>
      </c>
      <c r="K300" s="333">
        <v>3359</v>
      </c>
      <c r="L300" s="333"/>
      <c r="M300" s="165"/>
      <c r="N300" s="348" t="s">
        <v>267</v>
      </c>
      <c r="O300" s="329">
        <v>1004</v>
      </c>
      <c r="P300" s="329">
        <v>1300</v>
      </c>
      <c r="Q300" s="329">
        <v>1604</v>
      </c>
      <c r="R300" s="329">
        <v>3908</v>
      </c>
      <c r="S300" s="333">
        <v>64569771</v>
      </c>
      <c r="T300" s="3">
        <v>1.45</v>
      </c>
      <c r="U300" s="3"/>
      <c r="V300" s="275" t="s">
        <v>267</v>
      </c>
      <c r="W300" s="329">
        <v>3359</v>
      </c>
      <c r="X300" s="329">
        <v>30257.623995236678</v>
      </c>
      <c r="Y300" s="329">
        <v>101635359</v>
      </c>
      <c r="Z300" s="3"/>
      <c r="AA300" s="275" t="s">
        <v>267</v>
      </c>
      <c r="AB300" s="329">
        <v>1004</v>
      </c>
      <c r="AC300" s="329">
        <v>1300</v>
      </c>
      <c r="AD300" s="329">
        <v>1604</v>
      </c>
      <c r="AE300" s="329">
        <v>3908</v>
      </c>
      <c r="AF300" s="329">
        <v>2134</v>
      </c>
      <c r="AG300" s="329">
        <v>26067511</v>
      </c>
      <c r="AH300" s="3"/>
      <c r="AI300" s="275" t="s">
        <v>267</v>
      </c>
      <c r="AJ300" s="329">
        <v>1004</v>
      </c>
      <c r="AK300" s="329">
        <v>1300</v>
      </c>
      <c r="AL300" s="329">
        <v>1604</v>
      </c>
      <c r="AM300" s="329">
        <v>3908</v>
      </c>
      <c r="AN300" s="329">
        <v>2134</v>
      </c>
      <c r="AO300" s="329">
        <v>38502260</v>
      </c>
    </row>
    <row r="301" spans="1:41">
      <c r="A301" s="333">
        <f>SUBTOTAL(3,$B$7:B301)</f>
        <v>295</v>
      </c>
      <c r="B301" s="3" t="s">
        <v>105</v>
      </c>
      <c r="C301" s="275" t="s">
        <v>500</v>
      </c>
      <c r="D301" s="329">
        <v>0</v>
      </c>
      <c r="E301" s="329">
        <v>0</v>
      </c>
      <c r="F301" s="329">
        <v>0</v>
      </c>
      <c r="G301" s="329">
        <v>0</v>
      </c>
      <c r="H301" s="329">
        <v>0</v>
      </c>
      <c r="I301" s="329">
        <v>0</v>
      </c>
      <c r="J301" s="329">
        <v>28</v>
      </c>
      <c r="K301" s="333">
        <v>28</v>
      </c>
      <c r="L301" s="333"/>
      <c r="M301" s="165"/>
      <c r="N301" s="348" t="s">
        <v>500</v>
      </c>
      <c r="O301" s="329">
        <v>0</v>
      </c>
      <c r="P301" s="329">
        <v>0</v>
      </c>
      <c r="Q301" s="329">
        <v>0</v>
      </c>
      <c r="R301" s="329">
        <v>0</v>
      </c>
      <c r="S301" s="333">
        <v>0</v>
      </c>
      <c r="T301" s="3">
        <v>2.15</v>
      </c>
      <c r="U301" s="3"/>
      <c r="V301" s="275" t="s">
        <v>500</v>
      </c>
      <c r="W301" s="329">
        <v>28</v>
      </c>
      <c r="X301" s="329">
        <v>44627.428571428572</v>
      </c>
      <c r="Y301" s="329">
        <v>1249568</v>
      </c>
      <c r="Z301" s="3"/>
      <c r="AA301" s="275" t="s">
        <v>500</v>
      </c>
      <c r="AB301" s="329">
        <v>0</v>
      </c>
      <c r="AC301" s="329">
        <v>0</v>
      </c>
      <c r="AD301" s="329">
        <v>0</v>
      </c>
      <c r="AE301" s="329">
        <v>0</v>
      </c>
      <c r="AF301" s="329">
        <v>0</v>
      </c>
      <c r="AG301" s="329">
        <v>0</v>
      </c>
      <c r="AH301" s="3"/>
      <c r="AI301" s="275" t="s">
        <v>500</v>
      </c>
      <c r="AJ301" s="329">
        <v>0</v>
      </c>
      <c r="AK301" s="329">
        <v>0</v>
      </c>
      <c r="AL301" s="329">
        <v>0</v>
      </c>
      <c r="AM301" s="329">
        <v>0</v>
      </c>
      <c r="AN301" s="329">
        <v>0</v>
      </c>
      <c r="AO301" s="329">
        <v>0</v>
      </c>
    </row>
    <row r="302" spans="1:41">
      <c r="A302" s="333">
        <f>SUBTOTAL(3,$B$7:B302)</f>
        <v>296</v>
      </c>
      <c r="B302" s="3" t="s">
        <v>161</v>
      </c>
      <c r="C302" s="275" t="s">
        <v>501</v>
      </c>
      <c r="D302" s="329">
        <v>696</v>
      </c>
      <c r="E302" s="329">
        <v>265</v>
      </c>
      <c r="F302" s="329">
        <v>0</v>
      </c>
      <c r="G302" s="329">
        <v>34</v>
      </c>
      <c r="H302" s="329">
        <v>231</v>
      </c>
      <c r="I302" s="329">
        <v>431</v>
      </c>
      <c r="J302" s="329">
        <v>0</v>
      </c>
      <c r="K302" s="333">
        <v>431</v>
      </c>
      <c r="L302" s="333"/>
      <c r="M302" s="208"/>
      <c r="N302" s="348" t="s">
        <v>501</v>
      </c>
      <c r="O302" s="329">
        <v>0</v>
      </c>
      <c r="P302" s="329">
        <v>34</v>
      </c>
      <c r="Q302" s="329">
        <v>231</v>
      </c>
      <c r="R302" s="329">
        <v>265</v>
      </c>
      <c r="S302" s="333">
        <v>4710349</v>
      </c>
      <c r="T302" s="3">
        <v>1.17</v>
      </c>
      <c r="U302" s="3"/>
      <c r="V302" s="275" t="s">
        <v>501</v>
      </c>
      <c r="W302" s="329">
        <v>431</v>
      </c>
      <c r="X302" s="329">
        <v>23318.559164733178</v>
      </c>
      <c r="Y302" s="329">
        <v>10050299</v>
      </c>
      <c r="Z302" s="3"/>
      <c r="AA302" s="275" t="s">
        <v>501</v>
      </c>
      <c r="AB302" s="329">
        <v>0</v>
      </c>
      <c r="AC302" s="329">
        <v>34</v>
      </c>
      <c r="AD302" s="329">
        <v>231</v>
      </c>
      <c r="AE302" s="329">
        <v>265</v>
      </c>
      <c r="AF302" s="329">
        <v>202</v>
      </c>
      <c r="AG302" s="329">
        <v>1903859</v>
      </c>
      <c r="AH302" s="3"/>
      <c r="AI302" s="275" t="s">
        <v>501</v>
      </c>
      <c r="AJ302" s="329">
        <v>0</v>
      </c>
      <c r="AK302" s="329">
        <v>34</v>
      </c>
      <c r="AL302" s="329">
        <v>231</v>
      </c>
      <c r="AM302" s="329">
        <v>265</v>
      </c>
      <c r="AN302" s="329">
        <v>202</v>
      </c>
      <c r="AO302" s="329">
        <v>2806490</v>
      </c>
    </row>
    <row r="303" spans="1:41">
      <c r="A303" s="333">
        <f>SUBTOTAL(3,$B$7:B303)</f>
        <v>297</v>
      </c>
      <c r="B303" s="3" t="s">
        <v>161</v>
      </c>
      <c r="C303" s="275" t="s">
        <v>502</v>
      </c>
      <c r="D303" s="329">
        <v>615</v>
      </c>
      <c r="E303" s="329">
        <v>22</v>
      </c>
      <c r="F303" s="329">
        <v>0</v>
      </c>
      <c r="G303" s="329">
        <v>6</v>
      </c>
      <c r="H303" s="329">
        <v>16</v>
      </c>
      <c r="I303" s="329">
        <v>593</v>
      </c>
      <c r="J303" s="329">
        <v>0</v>
      </c>
      <c r="K303" s="333">
        <v>593</v>
      </c>
      <c r="L303" s="333"/>
      <c r="M303" s="165"/>
      <c r="N303" s="348" t="s">
        <v>502</v>
      </c>
      <c r="O303" s="329">
        <v>0</v>
      </c>
      <c r="P303" s="329">
        <v>6</v>
      </c>
      <c r="Q303" s="329">
        <v>16</v>
      </c>
      <c r="R303" s="329">
        <v>22</v>
      </c>
      <c r="S303" s="333">
        <v>398608</v>
      </c>
      <c r="T303" s="3">
        <v>1.25</v>
      </c>
      <c r="U303" s="3"/>
      <c r="V303" s="275" t="s">
        <v>502</v>
      </c>
      <c r="W303" s="329">
        <v>593</v>
      </c>
      <c r="X303" s="329">
        <v>24912.989881956157</v>
      </c>
      <c r="Y303" s="329">
        <v>14773403</v>
      </c>
      <c r="Z303" s="3"/>
      <c r="AA303" s="275" t="s">
        <v>502</v>
      </c>
      <c r="AB303" s="329">
        <v>0</v>
      </c>
      <c r="AC303" s="329">
        <v>6</v>
      </c>
      <c r="AD303" s="329">
        <v>16</v>
      </c>
      <c r="AE303" s="329">
        <v>22</v>
      </c>
      <c r="AF303" s="329">
        <v>16</v>
      </c>
      <c r="AG303" s="329">
        <v>161112</v>
      </c>
      <c r="AH303" s="3"/>
      <c r="AI303" s="275" t="s">
        <v>502</v>
      </c>
      <c r="AJ303" s="329">
        <v>0</v>
      </c>
      <c r="AK303" s="329">
        <v>6</v>
      </c>
      <c r="AL303" s="329">
        <v>16</v>
      </c>
      <c r="AM303" s="329">
        <v>22</v>
      </c>
      <c r="AN303" s="329">
        <v>16</v>
      </c>
      <c r="AO303" s="329">
        <v>237496</v>
      </c>
    </row>
    <row r="304" spans="1:41">
      <c r="A304" s="333">
        <f>SUBTOTAL(3,$B$7:B304)</f>
        <v>298</v>
      </c>
      <c r="B304" s="3" t="s">
        <v>287</v>
      </c>
      <c r="C304" s="275" t="s">
        <v>503</v>
      </c>
      <c r="D304" s="329">
        <v>27328</v>
      </c>
      <c r="E304" s="329">
        <v>17352</v>
      </c>
      <c r="F304" s="329">
        <v>1429</v>
      </c>
      <c r="G304" s="329">
        <v>2021</v>
      </c>
      <c r="H304" s="329">
        <v>13902</v>
      </c>
      <c r="I304" s="329">
        <v>8194</v>
      </c>
      <c r="J304" s="329">
        <v>0</v>
      </c>
      <c r="K304" s="333">
        <v>8194</v>
      </c>
      <c r="L304" s="333"/>
      <c r="M304" s="165"/>
      <c r="N304" s="348" t="s">
        <v>503</v>
      </c>
      <c r="O304" s="329">
        <v>1429</v>
      </c>
      <c r="P304" s="329">
        <v>2021</v>
      </c>
      <c r="Q304" s="329">
        <v>13902</v>
      </c>
      <c r="R304" s="329">
        <v>17352</v>
      </c>
      <c r="S304" s="333">
        <v>428167393</v>
      </c>
      <c r="T304" s="3">
        <v>1.73</v>
      </c>
      <c r="U304" s="3"/>
      <c r="V304" s="275" t="s">
        <v>503</v>
      </c>
      <c r="W304" s="329">
        <v>8194</v>
      </c>
      <c r="X304" s="329">
        <v>34479.577373688066</v>
      </c>
      <c r="Y304" s="329">
        <v>282525657</v>
      </c>
      <c r="Z304" s="3"/>
      <c r="AA304" s="275" t="s">
        <v>503</v>
      </c>
      <c r="AB304" s="329">
        <v>1429</v>
      </c>
      <c r="AC304" s="329">
        <v>2021</v>
      </c>
      <c r="AD304" s="329">
        <v>13902</v>
      </c>
      <c r="AE304" s="329">
        <v>17352</v>
      </c>
      <c r="AF304" s="329">
        <v>12418</v>
      </c>
      <c r="AG304" s="329">
        <v>173059400</v>
      </c>
      <c r="AH304" s="3"/>
      <c r="AI304" s="275" t="s">
        <v>503</v>
      </c>
      <c r="AJ304" s="329">
        <v>1429</v>
      </c>
      <c r="AK304" s="329">
        <v>2021</v>
      </c>
      <c r="AL304" s="329">
        <v>13902</v>
      </c>
      <c r="AM304" s="329">
        <v>17352</v>
      </c>
      <c r="AN304" s="329">
        <v>12418</v>
      </c>
      <c r="AO304" s="329">
        <v>255107993</v>
      </c>
    </row>
    <row r="305" spans="1:41">
      <c r="A305" s="333">
        <f>SUBTOTAL(3,$B$7:B305)</f>
        <v>299</v>
      </c>
      <c r="B305" s="3" t="s">
        <v>287</v>
      </c>
      <c r="C305" s="275" t="s">
        <v>504</v>
      </c>
      <c r="D305" s="329">
        <v>14188</v>
      </c>
      <c r="E305" s="329">
        <v>949</v>
      </c>
      <c r="F305" s="329">
        <v>286</v>
      </c>
      <c r="G305" s="329">
        <v>434</v>
      </c>
      <c r="H305" s="329">
        <v>229</v>
      </c>
      <c r="I305" s="329">
        <v>0</v>
      </c>
      <c r="J305" s="329">
        <v>0</v>
      </c>
      <c r="K305" s="333">
        <v>0</v>
      </c>
      <c r="L305" s="333"/>
      <c r="M305" s="208"/>
      <c r="N305" s="348" t="s">
        <v>504</v>
      </c>
      <c r="O305" s="329">
        <v>286</v>
      </c>
      <c r="P305" s="329">
        <v>434</v>
      </c>
      <c r="Q305" s="329">
        <v>229</v>
      </c>
      <c r="R305" s="329">
        <v>949</v>
      </c>
      <c r="S305" s="333">
        <v>16394741</v>
      </c>
      <c r="T305" s="3">
        <v>1.8</v>
      </c>
      <c r="U305" s="3"/>
      <c r="V305" s="275" t="s">
        <v>504</v>
      </c>
      <c r="W305" s="329">
        <v>0</v>
      </c>
      <c r="X305" s="329">
        <v>0</v>
      </c>
      <c r="Y305" s="329">
        <v>0</v>
      </c>
      <c r="Z305" s="3"/>
      <c r="AA305" s="275" t="s">
        <v>504</v>
      </c>
      <c r="AB305" s="329">
        <v>286</v>
      </c>
      <c r="AC305" s="329">
        <v>434</v>
      </c>
      <c r="AD305" s="329">
        <v>229</v>
      </c>
      <c r="AE305" s="329">
        <v>949</v>
      </c>
      <c r="AF305" s="329">
        <v>457</v>
      </c>
      <c r="AG305" s="329">
        <v>6626530</v>
      </c>
      <c r="AH305" s="3"/>
      <c r="AI305" s="275" t="s">
        <v>504</v>
      </c>
      <c r="AJ305" s="329">
        <v>286</v>
      </c>
      <c r="AK305" s="329">
        <v>434</v>
      </c>
      <c r="AL305" s="329">
        <v>229</v>
      </c>
      <c r="AM305" s="329">
        <v>949</v>
      </c>
      <c r="AN305" s="329">
        <v>457</v>
      </c>
      <c r="AO305" s="329">
        <v>9768211</v>
      </c>
    </row>
    <row r="306" spans="1:41">
      <c r="A306" s="333">
        <f>SUBTOTAL(3,$B$7:B306)</f>
        <v>300</v>
      </c>
      <c r="B306" s="3" t="s">
        <v>287</v>
      </c>
      <c r="C306" s="275" t="s">
        <v>505</v>
      </c>
      <c r="D306" s="329">
        <v>17011</v>
      </c>
      <c r="E306" s="329">
        <v>16486</v>
      </c>
      <c r="F306" s="329">
        <v>2251</v>
      </c>
      <c r="G306" s="329">
        <v>5788</v>
      </c>
      <c r="H306" s="329">
        <v>8447</v>
      </c>
      <c r="I306" s="329">
        <v>525</v>
      </c>
      <c r="J306" s="329">
        <v>0</v>
      </c>
      <c r="K306" s="333">
        <v>525</v>
      </c>
      <c r="L306" s="333"/>
      <c r="M306" s="165"/>
      <c r="N306" s="348" t="s">
        <v>505</v>
      </c>
      <c r="O306" s="329">
        <v>2251</v>
      </c>
      <c r="P306" s="329">
        <v>5788</v>
      </c>
      <c r="Q306" s="329">
        <v>8447</v>
      </c>
      <c r="R306" s="329">
        <v>16486</v>
      </c>
      <c r="S306" s="333">
        <v>332205746</v>
      </c>
      <c r="T306" s="3">
        <v>1.65</v>
      </c>
      <c r="U306" s="3"/>
      <c r="V306" s="275" t="s">
        <v>505</v>
      </c>
      <c r="W306" s="329">
        <v>525</v>
      </c>
      <c r="X306" s="329">
        <v>32885.146666666667</v>
      </c>
      <c r="Y306" s="329">
        <v>17264702</v>
      </c>
      <c r="Z306" s="3"/>
      <c r="AA306" s="275" t="s">
        <v>505</v>
      </c>
      <c r="AB306" s="329">
        <v>2251</v>
      </c>
      <c r="AC306" s="329">
        <v>5788</v>
      </c>
      <c r="AD306" s="329">
        <v>8447</v>
      </c>
      <c r="AE306" s="329">
        <v>16486</v>
      </c>
      <c r="AF306" s="329">
        <v>10102</v>
      </c>
      <c r="AG306" s="329">
        <v>134273016</v>
      </c>
      <c r="AH306" s="3"/>
      <c r="AI306" s="275" t="s">
        <v>505</v>
      </c>
      <c r="AJ306" s="329">
        <v>2251</v>
      </c>
      <c r="AK306" s="329">
        <v>5788</v>
      </c>
      <c r="AL306" s="329">
        <v>8447</v>
      </c>
      <c r="AM306" s="329">
        <v>16486</v>
      </c>
      <c r="AN306" s="329">
        <v>10102</v>
      </c>
      <c r="AO306" s="329">
        <v>197932730</v>
      </c>
    </row>
    <row r="307" spans="1:41">
      <c r="A307" s="333">
        <f>SUBTOTAL(3,$B$7:B307)</f>
        <v>301</v>
      </c>
      <c r="B307" s="3" t="s">
        <v>287</v>
      </c>
      <c r="C307" s="275" t="s">
        <v>506</v>
      </c>
      <c r="D307" s="329">
        <v>8455</v>
      </c>
      <c r="E307" s="329">
        <v>1015</v>
      </c>
      <c r="F307" s="329">
        <v>0</v>
      </c>
      <c r="G307" s="329">
        <v>577</v>
      </c>
      <c r="H307" s="329">
        <v>438</v>
      </c>
      <c r="I307" s="329">
        <v>34</v>
      </c>
      <c r="J307" s="329">
        <v>0</v>
      </c>
      <c r="K307" s="333">
        <v>34</v>
      </c>
      <c r="L307" s="333"/>
      <c r="M307" s="165"/>
      <c r="N307" s="348" t="s">
        <v>506</v>
      </c>
      <c r="O307" s="329">
        <v>0</v>
      </c>
      <c r="P307" s="329">
        <v>577</v>
      </c>
      <c r="Q307" s="329">
        <v>438</v>
      </c>
      <c r="R307" s="329">
        <v>1015</v>
      </c>
      <c r="S307" s="333">
        <v>23560712</v>
      </c>
      <c r="T307" s="3">
        <v>1.85</v>
      </c>
      <c r="U307" s="3"/>
      <c r="V307" s="275" t="s">
        <v>506</v>
      </c>
      <c r="W307" s="329">
        <v>34</v>
      </c>
      <c r="X307" s="329">
        <v>36871.23529411765</v>
      </c>
      <c r="Y307" s="329">
        <v>1253622</v>
      </c>
      <c r="Z307" s="3"/>
      <c r="AA307" s="275" t="s">
        <v>506</v>
      </c>
      <c r="AB307" s="329">
        <v>0</v>
      </c>
      <c r="AC307" s="329">
        <v>577</v>
      </c>
      <c r="AD307" s="329">
        <v>438</v>
      </c>
      <c r="AE307" s="329">
        <v>1015</v>
      </c>
      <c r="AF307" s="329">
        <v>639</v>
      </c>
      <c r="AG307" s="329">
        <v>9522917</v>
      </c>
      <c r="AH307" s="3"/>
      <c r="AI307" s="275" t="s">
        <v>506</v>
      </c>
      <c r="AJ307" s="329">
        <v>0</v>
      </c>
      <c r="AK307" s="329">
        <v>577</v>
      </c>
      <c r="AL307" s="329">
        <v>438</v>
      </c>
      <c r="AM307" s="329">
        <v>1015</v>
      </c>
      <c r="AN307" s="329">
        <v>639</v>
      </c>
      <c r="AO307" s="329">
        <v>14037795</v>
      </c>
    </row>
    <row r="308" spans="1:41">
      <c r="A308" s="333">
        <f>SUBTOTAL(3,$B$7:B308)</f>
        <v>302</v>
      </c>
      <c r="B308" s="4" t="s">
        <v>105</v>
      </c>
      <c r="C308" s="277" t="s">
        <v>507</v>
      </c>
      <c r="D308" s="328">
        <v>796</v>
      </c>
      <c r="E308" s="328">
        <v>796</v>
      </c>
      <c r="F308" s="328">
        <v>142</v>
      </c>
      <c r="G308" s="328">
        <v>574</v>
      </c>
      <c r="H308" s="328">
        <v>80</v>
      </c>
      <c r="I308" s="328">
        <v>0</v>
      </c>
      <c r="J308" s="328">
        <v>0</v>
      </c>
      <c r="K308" s="333">
        <v>0</v>
      </c>
      <c r="L308" s="333"/>
      <c r="N308" s="351" t="s">
        <v>507</v>
      </c>
      <c r="O308" s="328">
        <v>142</v>
      </c>
      <c r="P308" s="328">
        <v>574</v>
      </c>
      <c r="Q308" s="328">
        <v>80</v>
      </c>
      <c r="R308" s="328">
        <v>796</v>
      </c>
      <c r="S308" s="333">
        <v>16240280</v>
      </c>
      <c r="T308" s="4">
        <v>2.15</v>
      </c>
      <c r="V308" s="277" t="s">
        <v>507</v>
      </c>
      <c r="W308" s="328">
        <v>0</v>
      </c>
      <c r="X308" s="328">
        <v>0</v>
      </c>
      <c r="Y308" s="328">
        <v>0</v>
      </c>
      <c r="AA308" s="277" t="s">
        <v>507</v>
      </c>
      <c r="AB308" s="328">
        <v>142</v>
      </c>
      <c r="AC308" s="328">
        <v>574</v>
      </c>
      <c r="AD308" s="328">
        <v>80</v>
      </c>
      <c r="AE308" s="328">
        <v>796</v>
      </c>
      <c r="AF308" s="328">
        <v>379</v>
      </c>
      <c r="AG308" s="328">
        <v>6564099</v>
      </c>
      <c r="AI308" s="277" t="s">
        <v>507</v>
      </c>
      <c r="AJ308" s="328">
        <v>142</v>
      </c>
      <c r="AK308" s="328">
        <v>574</v>
      </c>
      <c r="AL308" s="328">
        <v>80</v>
      </c>
      <c r="AM308" s="328">
        <v>796</v>
      </c>
      <c r="AN308" s="328">
        <v>379</v>
      </c>
      <c r="AO308" s="328">
        <v>9676181</v>
      </c>
    </row>
    <row r="309" spans="1:41">
      <c r="A309" s="333">
        <f>SUBTOTAL(3,$B$7:B309)</f>
        <v>303</v>
      </c>
      <c r="B309" s="4" t="s">
        <v>287</v>
      </c>
      <c r="C309" s="277" t="s">
        <v>508</v>
      </c>
      <c r="D309" s="328">
        <v>10920</v>
      </c>
      <c r="E309" s="328">
        <v>3744</v>
      </c>
      <c r="F309" s="328">
        <v>9</v>
      </c>
      <c r="G309" s="328">
        <v>619</v>
      </c>
      <c r="H309" s="328">
        <v>3116</v>
      </c>
      <c r="I309" s="328">
        <v>4176</v>
      </c>
      <c r="J309" s="328">
        <v>0</v>
      </c>
      <c r="K309" s="333">
        <v>4176</v>
      </c>
      <c r="L309" s="333"/>
      <c r="N309" s="351" t="s">
        <v>508</v>
      </c>
      <c r="O309" s="328">
        <v>9</v>
      </c>
      <c r="P309" s="328">
        <v>619</v>
      </c>
      <c r="Q309" s="328">
        <v>3116</v>
      </c>
      <c r="R309" s="328">
        <v>3744</v>
      </c>
      <c r="S309" s="333">
        <v>81032986</v>
      </c>
      <c r="T309" s="4">
        <v>1.45</v>
      </c>
      <c r="V309" s="277" t="s">
        <v>508</v>
      </c>
      <c r="W309" s="328">
        <v>4176</v>
      </c>
      <c r="X309" s="328">
        <v>28899.067768199235</v>
      </c>
      <c r="Y309" s="328">
        <v>120682507</v>
      </c>
      <c r="AA309" s="277" t="s">
        <v>508</v>
      </c>
      <c r="AB309" s="328">
        <v>9</v>
      </c>
      <c r="AC309" s="328">
        <v>619</v>
      </c>
      <c r="AD309" s="328">
        <v>3116</v>
      </c>
      <c r="AE309" s="328">
        <v>3744</v>
      </c>
      <c r="AF309" s="328">
        <v>2804</v>
      </c>
      <c r="AG309" s="328">
        <v>32752424</v>
      </c>
      <c r="AI309" s="277" t="s">
        <v>508</v>
      </c>
      <c r="AJ309" s="328">
        <v>9</v>
      </c>
      <c r="AK309" s="328">
        <v>619</v>
      </c>
      <c r="AL309" s="328">
        <v>3116</v>
      </c>
      <c r="AM309" s="328">
        <v>3744</v>
      </c>
      <c r="AN309" s="328">
        <v>2804</v>
      </c>
      <c r="AO309" s="328">
        <v>48280562</v>
      </c>
    </row>
    <row r="310" spans="1:41">
      <c r="A310" s="333">
        <f>SUBTOTAL(3,$B$7:B310)</f>
        <v>304</v>
      </c>
      <c r="B310" s="4" t="s">
        <v>287</v>
      </c>
      <c r="C310" s="277" t="s">
        <v>509</v>
      </c>
      <c r="D310" s="328">
        <v>10476</v>
      </c>
      <c r="E310" s="328">
        <v>10476</v>
      </c>
      <c r="F310" s="328">
        <v>2034</v>
      </c>
      <c r="G310" s="328">
        <v>2420</v>
      </c>
      <c r="H310" s="328">
        <v>6022</v>
      </c>
      <c r="I310" s="328">
        <v>0</v>
      </c>
      <c r="J310" s="328">
        <v>0</v>
      </c>
      <c r="K310" s="333">
        <v>0</v>
      </c>
      <c r="L310" s="333"/>
      <c r="N310" s="351" t="s">
        <v>509</v>
      </c>
      <c r="O310" s="328">
        <v>2034</v>
      </c>
      <c r="P310" s="328">
        <v>2420</v>
      </c>
      <c r="Q310" s="328">
        <v>6022</v>
      </c>
      <c r="R310" s="328">
        <v>10476</v>
      </c>
      <c r="S310" s="333">
        <v>211583030</v>
      </c>
      <c r="T310" s="4">
        <v>1.65</v>
      </c>
      <c r="V310" s="277" t="s">
        <v>509</v>
      </c>
      <c r="W310" s="328">
        <v>0</v>
      </c>
      <c r="X310" s="328">
        <v>0</v>
      </c>
      <c r="Y310" s="328">
        <v>0</v>
      </c>
      <c r="AA310" s="277" t="s">
        <v>509</v>
      </c>
      <c r="AB310" s="328">
        <v>2034</v>
      </c>
      <c r="AC310" s="328">
        <v>2420</v>
      </c>
      <c r="AD310" s="328">
        <v>6022</v>
      </c>
      <c r="AE310" s="328">
        <v>10476</v>
      </c>
      <c r="AF310" s="328">
        <v>6434</v>
      </c>
      <c r="AG310" s="328">
        <v>85518965</v>
      </c>
      <c r="AI310" s="277" t="s">
        <v>509</v>
      </c>
      <c r="AJ310" s="328">
        <v>2034</v>
      </c>
      <c r="AK310" s="328">
        <v>2420</v>
      </c>
      <c r="AL310" s="328">
        <v>6022</v>
      </c>
      <c r="AM310" s="328">
        <v>10476</v>
      </c>
      <c r="AN310" s="328">
        <v>6434</v>
      </c>
      <c r="AO310" s="328">
        <v>126064065</v>
      </c>
    </row>
    <row r="311" spans="1:41">
      <c r="A311" s="333">
        <f>SUBTOTAL(3,$B$7:B311)</f>
        <v>305</v>
      </c>
      <c r="B311" s="4" t="s">
        <v>161</v>
      </c>
      <c r="C311" s="277" t="s">
        <v>510</v>
      </c>
      <c r="D311" s="328">
        <v>9463</v>
      </c>
      <c r="E311" s="328">
        <v>205</v>
      </c>
      <c r="F311" s="328">
        <v>0</v>
      </c>
      <c r="G311" s="328">
        <v>121</v>
      </c>
      <c r="H311" s="328">
        <v>84</v>
      </c>
      <c r="I311" s="328">
        <v>0</v>
      </c>
      <c r="J311" s="328">
        <v>105</v>
      </c>
      <c r="K311" s="333">
        <v>105</v>
      </c>
      <c r="L311" s="333"/>
      <c r="N311" s="351" t="s">
        <v>510</v>
      </c>
      <c r="O311" s="328">
        <v>0</v>
      </c>
      <c r="P311" s="328">
        <v>121</v>
      </c>
      <c r="Q311" s="328">
        <v>84</v>
      </c>
      <c r="R311" s="328">
        <v>205</v>
      </c>
      <c r="S311" s="333">
        <v>2959264</v>
      </c>
      <c r="T311" s="4">
        <v>1.1599999999999999</v>
      </c>
      <c r="V311" s="277" t="s">
        <v>510</v>
      </c>
      <c r="W311" s="328">
        <v>105</v>
      </c>
      <c r="X311" s="328">
        <v>23119.257142857143</v>
      </c>
      <c r="Y311" s="328">
        <v>2427522</v>
      </c>
      <c r="AA311" s="277" t="s">
        <v>510</v>
      </c>
      <c r="AB311" s="328">
        <v>0</v>
      </c>
      <c r="AC311" s="328">
        <v>121</v>
      </c>
      <c r="AD311" s="328">
        <v>84</v>
      </c>
      <c r="AE311" s="328">
        <v>205</v>
      </c>
      <c r="AF311" s="328">
        <v>128</v>
      </c>
      <c r="AG311" s="328">
        <v>1196094</v>
      </c>
      <c r="AI311" s="277" t="s">
        <v>510</v>
      </c>
      <c r="AJ311" s="328">
        <v>0</v>
      </c>
      <c r="AK311" s="328">
        <v>121</v>
      </c>
      <c r="AL311" s="328">
        <v>84</v>
      </c>
      <c r="AM311" s="328">
        <v>205</v>
      </c>
      <c r="AN311" s="328">
        <v>128</v>
      </c>
      <c r="AO311" s="328">
        <v>1763170</v>
      </c>
    </row>
    <row r="312" spans="1:41">
      <c r="A312" s="333">
        <f>SUBTOTAL(3,$B$7:B312)</f>
        <v>306</v>
      </c>
      <c r="B312" s="4" t="s">
        <v>161</v>
      </c>
      <c r="C312" s="277" t="s">
        <v>511</v>
      </c>
      <c r="D312" s="328">
        <v>6666</v>
      </c>
      <c r="E312" s="328">
        <v>52</v>
      </c>
      <c r="F312" s="328">
        <v>0</v>
      </c>
      <c r="G312" s="328">
        <v>48</v>
      </c>
      <c r="H312" s="328">
        <v>4</v>
      </c>
      <c r="I312" s="328">
        <v>0</v>
      </c>
      <c r="J312" s="328">
        <v>0</v>
      </c>
      <c r="K312" s="333">
        <v>0</v>
      </c>
      <c r="L312" s="333"/>
      <c r="N312" s="351" t="s">
        <v>511</v>
      </c>
      <c r="O312" s="328">
        <v>0</v>
      </c>
      <c r="P312" s="328">
        <v>48</v>
      </c>
      <c r="Q312" s="328">
        <v>4</v>
      </c>
      <c r="R312" s="328">
        <v>52</v>
      </c>
      <c r="S312" s="333">
        <v>694175</v>
      </c>
      <c r="T312" s="4">
        <v>1.29</v>
      </c>
      <c r="V312" s="277" t="s">
        <v>511</v>
      </c>
      <c r="W312" s="328">
        <v>0</v>
      </c>
      <c r="X312" s="328">
        <v>0</v>
      </c>
      <c r="Y312" s="328">
        <v>0</v>
      </c>
      <c r="AA312" s="277" t="s">
        <v>511</v>
      </c>
      <c r="AB312" s="328">
        <v>0</v>
      </c>
      <c r="AC312" s="328">
        <v>48</v>
      </c>
      <c r="AD312" s="328">
        <v>4</v>
      </c>
      <c r="AE312" s="328">
        <v>52</v>
      </c>
      <c r="AF312" s="328">
        <v>27</v>
      </c>
      <c r="AG312" s="328">
        <v>280576</v>
      </c>
      <c r="AI312" s="277" t="s">
        <v>511</v>
      </c>
      <c r="AJ312" s="328">
        <v>0</v>
      </c>
      <c r="AK312" s="328">
        <v>48</v>
      </c>
      <c r="AL312" s="328">
        <v>4</v>
      </c>
      <c r="AM312" s="328">
        <v>52</v>
      </c>
      <c r="AN312" s="328">
        <v>27</v>
      </c>
      <c r="AO312" s="328">
        <v>413599</v>
      </c>
    </row>
    <row r="313" spans="1:41">
      <c r="A313" s="333">
        <f>SUBTOTAL(3,$B$7:B313)</f>
        <v>307</v>
      </c>
      <c r="B313" s="4" t="s">
        <v>161</v>
      </c>
      <c r="C313" s="277" t="s">
        <v>512</v>
      </c>
      <c r="D313" s="328">
        <v>2024</v>
      </c>
      <c r="E313" s="328">
        <v>51</v>
      </c>
      <c r="F313" s="328">
        <v>0</v>
      </c>
      <c r="G313" s="328">
        <v>27</v>
      </c>
      <c r="H313" s="328">
        <v>24</v>
      </c>
      <c r="I313" s="328">
        <v>0</v>
      </c>
      <c r="J313" s="328">
        <v>21</v>
      </c>
      <c r="K313" s="333">
        <v>21</v>
      </c>
      <c r="L313" s="333"/>
      <c r="N313" s="351" t="s">
        <v>512</v>
      </c>
      <c r="O313" s="328">
        <v>0</v>
      </c>
      <c r="P313" s="328">
        <v>27</v>
      </c>
      <c r="Q313" s="328">
        <v>24</v>
      </c>
      <c r="R313" s="328">
        <v>51</v>
      </c>
      <c r="S313" s="333">
        <v>1275944</v>
      </c>
      <c r="T313" s="4">
        <v>1.94</v>
      </c>
      <c r="V313" s="277" t="s">
        <v>512</v>
      </c>
      <c r="W313" s="328">
        <v>21</v>
      </c>
      <c r="X313" s="328">
        <v>38664.952380952382</v>
      </c>
      <c r="Y313" s="328">
        <v>811964</v>
      </c>
      <c r="AA313" s="277" t="s">
        <v>512</v>
      </c>
      <c r="AB313" s="328">
        <v>0</v>
      </c>
      <c r="AC313" s="328">
        <v>27</v>
      </c>
      <c r="AD313" s="328">
        <v>24</v>
      </c>
      <c r="AE313" s="328">
        <v>51</v>
      </c>
      <c r="AF313" s="328">
        <v>33</v>
      </c>
      <c r="AG313" s="328">
        <v>515719</v>
      </c>
      <c r="AI313" s="277" t="s">
        <v>512</v>
      </c>
      <c r="AJ313" s="328">
        <v>0</v>
      </c>
      <c r="AK313" s="328">
        <v>27</v>
      </c>
      <c r="AL313" s="328">
        <v>24</v>
      </c>
      <c r="AM313" s="328">
        <v>51</v>
      </c>
      <c r="AN313" s="328">
        <v>33</v>
      </c>
      <c r="AO313" s="328">
        <v>760225</v>
      </c>
    </row>
    <row r="314" spans="1:41">
      <c r="A314" s="333">
        <f>SUBTOTAL(3,$B$7:B314)</f>
        <v>308</v>
      </c>
      <c r="B314" s="4" t="s">
        <v>161</v>
      </c>
      <c r="C314" s="277" t="s">
        <v>513</v>
      </c>
      <c r="D314" s="328">
        <v>3242</v>
      </c>
      <c r="E314" s="328">
        <v>41</v>
      </c>
      <c r="F314" s="328">
        <v>0</v>
      </c>
      <c r="G314" s="328">
        <v>0</v>
      </c>
      <c r="H314" s="328">
        <v>41</v>
      </c>
      <c r="I314" s="328">
        <v>0</v>
      </c>
      <c r="J314" s="328">
        <v>16</v>
      </c>
      <c r="K314" s="333">
        <v>16</v>
      </c>
      <c r="L314" s="333"/>
      <c r="N314" s="351" t="s">
        <v>513</v>
      </c>
      <c r="O314" s="328">
        <v>0</v>
      </c>
      <c r="P314" s="328">
        <v>0</v>
      </c>
      <c r="Q314" s="328">
        <v>41</v>
      </c>
      <c r="R314" s="328">
        <v>41</v>
      </c>
      <c r="S314" s="333">
        <v>1275944</v>
      </c>
      <c r="T314" s="4">
        <v>1.94</v>
      </c>
      <c r="V314" s="277" t="s">
        <v>513</v>
      </c>
      <c r="W314" s="328">
        <v>16</v>
      </c>
      <c r="X314" s="328">
        <v>38664.9375</v>
      </c>
      <c r="Y314" s="328">
        <v>618639</v>
      </c>
      <c r="AA314" s="277" t="s">
        <v>513</v>
      </c>
      <c r="AB314" s="328">
        <v>0</v>
      </c>
      <c r="AC314" s="328">
        <v>0</v>
      </c>
      <c r="AD314" s="328">
        <v>41</v>
      </c>
      <c r="AE314" s="328">
        <v>41</v>
      </c>
      <c r="AF314" s="328">
        <v>33</v>
      </c>
      <c r="AG314" s="328">
        <v>515719</v>
      </c>
      <c r="AI314" s="277" t="s">
        <v>513</v>
      </c>
      <c r="AJ314" s="328">
        <v>0</v>
      </c>
      <c r="AK314" s="328">
        <v>0</v>
      </c>
      <c r="AL314" s="328">
        <v>41</v>
      </c>
      <c r="AM314" s="328">
        <v>41</v>
      </c>
      <c r="AN314" s="328">
        <v>33</v>
      </c>
      <c r="AO314" s="328">
        <v>760225</v>
      </c>
    </row>
    <row r="315" spans="1:41">
      <c r="A315" s="333">
        <f>SUBTOTAL(3,$B$7:B315)</f>
        <v>309</v>
      </c>
      <c r="B315" s="4" t="s">
        <v>161</v>
      </c>
      <c r="C315" s="277" t="s">
        <v>514</v>
      </c>
      <c r="D315" s="328">
        <v>4691</v>
      </c>
      <c r="E315" s="328">
        <v>1239</v>
      </c>
      <c r="F315" s="328">
        <v>0</v>
      </c>
      <c r="G315" s="328">
        <v>125</v>
      </c>
      <c r="H315" s="328">
        <v>1114</v>
      </c>
      <c r="I315" s="328">
        <v>3452</v>
      </c>
      <c r="J315" s="328">
        <v>0</v>
      </c>
      <c r="K315" s="333">
        <v>3452</v>
      </c>
      <c r="L315" s="333"/>
      <c r="N315" s="351" t="s">
        <v>514</v>
      </c>
      <c r="O315" s="328">
        <v>0</v>
      </c>
      <c r="P315" s="328">
        <v>125</v>
      </c>
      <c r="Q315" s="328">
        <v>1114</v>
      </c>
      <c r="R315" s="328">
        <v>1239</v>
      </c>
      <c r="S315" s="333">
        <v>23766992</v>
      </c>
      <c r="T315" s="4">
        <v>1.25</v>
      </c>
      <c r="V315" s="277" t="s">
        <v>514</v>
      </c>
      <c r="W315" s="328">
        <v>3452</v>
      </c>
      <c r="X315" s="328">
        <v>24912.989571263035</v>
      </c>
      <c r="Y315" s="328">
        <v>85999640</v>
      </c>
      <c r="AA315" s="277" t="s">
        <v>514</v>
      </c>
      <c r="AB315" s="328">
        <v>0</v>
      </c>
      <c r="AC315" s="328">
        <v>125</v>
      </c>
      <c r="AD315" s="328">
        <v>1114</v>
      </c>
      <c r="AE315" s="328">
        <v>1239</v>
      </c>
      <c r="AF315" s="328">
        <v>954</v>
      </c>
      <c r="AG315" s="328">
        <v>9606293</v>
      </c>
      <c r="AI315" s="277" t="s">
        <v>514</v>
      </c>
      <c r="AJ315" s="328">
        <v>0</v>
      </c>
      <c r="AK315" s="328">
        <v>125</v>
      </c>
      <c r="AL315" s="328">
        <v>1114</v>
      </c>
      <c r="AM315" s="328">
        <v>1239</v>
      </c>
      <c r="AN315" s="328">
        <v>954</v>
      </c>
      <c r="AO315" s="328">
        <v>14160699</v>
      </c>
    </row>
    <row r="316" spans="1:41">
      <c r="A316" s="333">
        <f>SUBTOTAL(3,$B$7:B316)</f>
        <v>310</v>
      </c>
      <c r="B316" s="4" t="s">
        <v>161</v>
      </c>
      <c r="C316" s="277" t="s">
        <v>515</v>
      </c>
      <c r="D316" s="328">
        <v>8590</v>
      </c>
      <c r="E316" s="328">
        <v>1560</v>
      </c>
      <c r="F316" s="328">
        <v>0</v>
      </c>
      <c r="G316" s="328">
        <v>284</v>
      </c>
      <c r="H316" s="328">
        <v>1276</v>
      </c>
      <c r="I316" s="328">
        <v>7030</v>
      </c>
      <c r="J316" s="328">
        <v>0</v>
      </c>
      <c r="K316" s="333">
        <v>7030</v>
      </c>
      <c r="L316" s="333"/>
      <c r="N316" s="351" t="s">
        <v>515</v>
      </c>
      <c r="O316" s="328">
        <v>0</v>
      </c>
      <c r="P316" s="328">
        <v>284</v>
      </c>
      <c r="Q316" s="328">
        <v>1276</v>
      </c>
      <c r="R316" s="328">
        <v>1560</v>
      </c>
      <c r="S316" s="333">
        <v>33796493</v>
      </c>
      <c r="T316" s="4">
        <v>1.25</v>
      </c>
      <c r="V316" s="277" t="s">
        <v>515</v>
      </c>
      <c r="W316" s="328">
        <v>7030</v>
      </c>
      <c r="X316" s="328">
        <v>24226.97439544808</v>
      </c>
      <c r="Y316" s="328">
        <v>170315630</v>
      </c>
      <c r="AA316" s="277" t="s">
        <v>515</v>
      </c>
      <c r="AB316" s="328">
        <v>0</v>
      </c>
      <c r="AC316" s="328">
        <v>284</v>
      </c>
      <c r="AD316" s="328">
        <v>1276</v>
      </c>
      <c r="AE316" s="328">
        <v>1560</v>
      </c>
      <c r="AF316" s="328">
        <v>1163</v>
      </c>
      <c r="AG316" s="328">
        <v>11710816</v>
      </c>
      <c r="AI316" s="277" t="s">
        <v>515</v>
      </c>
      <c r="AJ316" s="328">
        <v>0</v>
      </c>
      <c r="AK316" s="328">
        <v>284</v>
      </c>
      <c r="AL316" s="328">
        <v>1276</v>
      </c>
      <c r="AM316" s="328">
        <v>1560</v>
      </c>
      <c r="AN316" s="328">
        <v>1163</v>
      </c>
      <c r="AO316" s="328">
        <v>22085677</v>
      </c>
    </row>
    <row r="317" spans="1:41">
      <c r="A317" s="333">
        <f>SUBTOTAL(3,$B$7:B317)</f>
        <v>311</v>
      </c>
      <c r="B317" s="4" t="s">
        <v>161</v>
      </c>
      <c r="C317" s="277" t="s">
        <v>516</v>
      </c>
      <c r="D317" s="328">
        <v>6671</v>
      </c>
      <c r="E317" s="328">
        <v>3627</v>
      </c>
      <c r="F317" s="328">
        <v>0</v>
      </c>
      <c r="G317" s="328">
        <v>1147</v>
      </c>
      <c r="H317" s="328">
        <v>2480</v>
      </c>
      <c r="I317" s="328">
        <v>3044</v>
      </c>
      <c r="J317" s="328">
        <v>0</v>
      </c>
      <c r="K317" s="333">
        <v>3044</v>
      </c>
      <c r="L317" s="333"/>
      <c r="N317" s="351" t="s">
        <v>516</v>
      </c>
      <c r="O317" s="328">
        <v>0</v>
      </c>
      <c r="P317" s="328">
        <v>1147</v>
      </c>
      <c r="Q317" s="328">
        <v>2480</v>
      </c>
      <c r="R317" s="328">
        <v>3627</v>
      </c>
      <c r="S317" s="333">
        <v>63727427</v>
      </c>
      <c r="T317" s="4">
        <v>1.25</v>
      </c>
      <c r="V317" s="277" t="s">
        <v>516</v>
      </c>
      <c r="W317" s="328">
        <v>3044</v>
      </c>
      <c r="X317" s="328">
        <v>24912.989487516425</v>
      </c>
      <c r="Y317" s="328">
        <v>75835140</v>
      </c>
      <c r="AA317" s="277" t="s">
        <v>516</v>
      </c>
      <c r="AB317" s="328">
        <v>0</v>
      </c>
      <c r="AC317" s="328">
        <v>1147</v>
      </c>
      <c r="AD317" s="328">
        <v>2480</v>
      </c>
      <c r="AE317" s="328">
        <v>3627</v>
      </c>
      <c r="AF317" s="328">
        <v>2558</v>
      </c>
      <c r="AG317" s="328">
        <v>25757754</v>
      </c>
      <c r="AI317" s="277" t="s">
        <v>516</v>
      </c>
      <c r="AJ317" s="328">
        <v>0</v>
      </c>
      <c r="AK317" s="328">
        <v>1147</v>
      </c>
      <c r="AL317" s="328">
        <v>2480</v>
      </c>
      <c r="AM317" s="328">
        <v>3627</v>
      </c>
      <c r="AN317" s="328">
        <v>2558</v>
      </c>
      <c r="AO317" s="328">
        <v>37969673</v>
      </c>
    </row>
    <row r="318" spans="1:41">
      <c r="A318" s="333">
        <f>SUBTOTAL(3,$B$7:B318)</f>
        <v>312</v>
      </c>
      <c r="B318" s="4" t="s">
        <v>161</v>
      </c>
      <c r="C318" s="277" t="s">
        <v>517</v>
      </c>
      <c r="D318" s="328">
        <v>2665</v>
      </c>
      <c r="E318" s="328">
        <v>81</v>
      </c>
      <c r="F318" s="328">
        <v>0</v>
      </c>
      <c r="G318" s="328">
        <v>24</v>
      </c>
      <c r="H318" s="328">
        <v>57</v>
      </c>
      <c r="I318" s="328">
        <v>2584</v>
      </c>
      <c r="J318" s="328">
        <v>0</v>
      </c>
      <c r="K318" s="333">
        <v>2584</v>
      </c>
      <c r="L318" s="333"/>
      <c r="N318" s="351" t="s">
        <v>517</v>
      </c>
      <c r="O318" s="328">
        <v>0</v>
      </c>
      <c r="P318" s="328">
        <v>24</v>
      </c>
      <c r="Q318" s="328">
        <v>57</v>
      </c>
      <c r="R318" s="328">
        <v>81</v>
      </c>
      <c r="S318" s="333">
        <v>2196329</v>
      </c>
      <c r="T318" s="4">
        <v>1.9</v>
      </c>
      <c r="V318" s="277" t="s">
        <v>517</v>
      </c>
      <c r="W318" s="328">
        <v>2584</v>
      </c>
      <c r="X318" s="328">
        <v>37867.744195046442</v>
      </c>
      <c r="Y318" s="328">
        <v>97850251</v>
      </c>
      <c r="AA318" s="277" t="s">
        <v>517</v>
      </c>
      <c r="AB318" s="328">
        <v>0</v>
      </c>
      <c r="AC318" s="328">
        <v>24</v>
      </c>
      <c r="AD318" s="328">
        <v>57</v>
      </c>
      <c r="AE318" s="328">
        <v>81</v>
      </c>
      <c r="AF318" s="328">
        <v>58</v>
      </c>
      <c r="AG318" s="328">
        <v>887726</v>
      </c>
      <c r="AI318" s="277" t="s">
        <v>517</v>
      </c>
      <c r="AJ318" s="328">
        <v>0</v>
      </c>
      <c r="AK318" s="328">
        <v>24</v>
      </c>
      <c r="AL318" s="328">
        <v>57</v>
      </c>
      <c r="AM318" s="328">
        <v>81</v>
      </c>
      <c r="AN318" s="328">
        <v>58</v>
      </c>
      <c r="AO318" s="328">
        <v>1308603</v>
      </c>
    </row>
    <row r="319" spans="1:41">
      <c r="A319" s="333">
        <f>SUBTOTAL(3,$B$7:B319)</f>
        <v>313</v>
      </c>
      <c r="B319" s="4" t="s">
        <v>161</v>
      </c>
      <c r="C319" s="277" t="s">
        <v>518</v>
      </c>
      <c r="D319" s="328">
        <v>6006</v>
      </c>
      <c r="E319" s="328">
        <v>214</v>
      </c>
      <c r="F319" s="328">
        <v>0</v>
      </c>
      <c r="G319" s="328">
        <v>45</v>
      </c>
      <c r="H319" s="328">
        <v>169</v>
      </c>
      <c r="I319" s="328">
        <v>0</v>
      </c>
      <c r="J319" s="328">
        <v>29</v>
      </c>
      <c r="K319" s="333">
        <v>29</v>
      </c>
      <c r="L319" s="333"/>
      <c r="N319" s="351" t="s">
        <v>518</v>
      </c>
      <c r="O319" s="328">
        <v>0</v>
      </c>
      <c r="P319" s="328">
        <v>45</v>
      </c>
      <c r="Q319" s="328">
        <v>169</v>
      </c>
      <c r="R319" s="328">
        <v>214</v>
      </c>
      <c r="S319" s="333">
        <v>6549924</v>
      </c>
      <c r="T319" s="4">
        <v>2.08</v>
      </c>
      <c r="V319" s="277" t="s">
        <v>518</v>
      </c>
      <c r="W319" s="328">
        <v>29</v>
      </c>
      <c r="X319" s="328">
        <v>41455.206896551725</v>
      </c>
      <c r="Y319" s="328">
        <v>1202201</v>
      </c>
      <c r="AA319" s="277" t="s">
        <v>518</v>
      </c>
      <c r="AB319" s="328">
        <v>0</v>
      </c>
      <c r="AC319" s="328">
        <v>45</v>
      </c>
      <c r="AD319" s="328">
        <v>169</v>
      </c>
      <c r="AE319" s="328">
        <v>214</v>
      </c>
      <c r="AF319" s="328">
        <v>158</v>
      </c>
      <c r="AG319" s="328">
        <v>2647390</v>
      </c>
      <c r="AI319" s="277" t="s">
        <v>518</v>
      </c>
      <c r="AJ319" s="328">
        <v>0</v>
      </c>
      <c r="AK319" s="328">
        <v>45</v>
      </c>
      <c r="AL319" s="328">
        <v>169</v>
      </c>
      <c r="AM319" s="328">
        <v>214</v>
      </c>
      <c r="AN319" s="328">
        <v>158</v>
      </c>
      <c r="AO319" s="328">
        <v>3902534</v>
      </c>
    </row>
    <row r="320" spans="1:41">
      <c r="A320" s="333">
        <f>SUBTOTAL(3,$B$7:B320)</f>
        <v>314</v>
      </c>
      <c r="B320" s="4" t="s">
        <v>161</v>
      </c>
      <c r="C320" s="277" t="s">
        <v>519</v>
      </c>
      <c r="D320" s="328">
        <v>1988</v>
      </c>
      <c r="E320" s="328">
        <v>137</v>
      </c>
      <c r="F320" s="328">
        <v>0</v>
      </c>
      <c r="G320" s="328">
        <v>93</v>
      </c>
      <c r="H320" s="328">
        <v>44</v>
      </c>
      <c r="I320" s="328">
        <v>3</v>
      </c>
      <c r="J320" s="328">
        <v>15</v>
      </c>
      <c r="K320" s="333">
        <v>18</v>
      </c>
      <c r="L320" s="333"/>
      <c r="N320" s="351" t="s">
        <v>519</v>
      </c>
      <c r="O320" s="328">
        <v>0</v>
      </c>
      <c r="P320" s="328">
        <v>93</v>
      </c>
      <c r="Q320" s="328">
        <v>44</v>
      </c>
      <c r="R320" s="328">
        <v>137</v>
      </c>
      <c r="S320" s="333">
        <v>6422768</v>
      </c>
      <c r="T320" s="4">
        <v>3.93</v>
      </c>
      <c r="V320" s="277" t="s">
        <v>519</v>
      </c>
      <c r="W320" s="328">
        <v>18</v>
      </c>
      <c r="X320" s="328">
        <v>78326.444444444438</v>
      </c>
      <c r="Y320" s="328">
        <v>1409876</v>
      </c>
      <c r="AA320" s="277" t="s">
        <v>519</v>
      </c>
      <c r="AB320" s="328">
        <v>0</v>
      </c>
      <c r="AC320" s="328">
        <v>93</v>
      </c>
      <c r="AD320" s="328">
        <v>44</v>
      </c>
      <c r="AE320" s="328">
        <v>137</v>
      </c>
      <c r="AF320" s="328">
        <v>82</v>
      </c>
      <c r="AG320" s="328">
        <v>2595995</v>
      </c>
      <c r="AI320" s="277" t="s">
        <v>519</v>
      </c>
      <c r="AJ320" s="328">
        <v>0</v>
      </c>
      <c r="AK320" s="328">
        <v>93</v>
      </c>
      <c r="AL320" s="328">
        <v>44</v>
      </c>
      <c r="AM320" s="328">
        <v>137</v>
      </c>
      <c r="AN320" s="328">
        <v>82</v>
      </c>
      <c r="AO320" s="328">
        <v>3826773</v>
      </c>
    </row>
    <row r="321" spans="1:41">
      <c r="A321" s="333">
        <f>SUBTOTAL(3,$B$7:B321)</f>
        <v>315</v>
      </c>
      <c r="B321" s="4" t="s">
        <v>161</v>
      </c>
      <c r="C321" s="277" t="s">
        <v>520</v>
      </c>
      <c r="D321" s="328">
        <v>1294</v>
      </c>
      <c r="E321" s="328">
        <v>25</v>
      </c>
      <c r="F321" s="328">
        <v>0</v>
      </c>
      <c r="G321" s="328">
        <v>9</v>
      </c>
      <c r="H321" s="328">
        <v>16</v>
      </c>
      <c r="I321" s="328">
        <v>1</v>
      </c>
      <c r="J321" s="328">
        <v>24</v>
      </c>
      <c r="K321" s="333">
        <v>25</v>
      </c>
      <c r="L321" s="333"/>
      <c r="N321" s="351" t="s">
        <v>520</v>
      </c>
      <c r="O321" s="328">
        <v>0</v>
      </c>
      <c r="P321" s="328">
        <v>9</v>
      </c>
      <c r="Q321" s="328">
        <v>16</v>
      </c>
      <c r="R321" s="328">
        <v>25</v>
      </c>
      <c r="S321" s="333">
        <v>782666</v>
      </c>
      <c r="T321" s="4">
        <v>2.31</v>
      </c>
      <c r="V321" s="277" t="s">
        <v>520</v>
      </c>
      <c r="W321" s="328">
        <v>25</v>
      </c>
      <c r="X321" s="328">
        <v>46039.199999999997</v>
      </c>
      <c r="Y321" s="328">
        <v>1150980</v>
      </c>
      <c r="AA321" s="277" t="s">
        <v>520</v>
      </c>
      <c r="AB321" s="328">
        <v>0</v>
      </c>
      <c r="AC321" s="328">
        <v>9</v>
      </c>
      <c r="AD321" s="328">
        <v>16</v>
      </c>
      <c r="AE321" s="328">
        <v>25</v>
      </c>
      <c r="AF321" s="328">
        <v>17</v>
      </c>
      <c r="AG321" s="328">
        <v>316343</v>
      </c>
      <c r="AI321" s="277" t="s">
        <v>520</v>
      </c>
      <c r="AJ321" s="328">
        <v>0</v>
      </c>
      <c r="AK321" s="328">
        <v>9</v>
      </c>
      <c r="AL321" s="328">
        <v>16</v>
      </c>
      <c r="AM321" s="328">
        <v>25</v>
      </c>
      <c r="AN321" s="328">
        <v>17</v>
      </c>
      <c r="AO321" s="328">
        <v>466323</v>
      </c>
    </row>
    <row r="322" spans="1:41">
      <c r="A322" s="333">
        <f>SUBTOTAL(3,$B$7:B322)</f>
        <v>316</v>
      </c>
      <c r="B322" s="4" t="s">
        <v>161</v>
      </c>
      <c r="C322" s="277" t="s">
        <v>521</v>
      </c>
      <c r="D322" s="328">
        <v>8954</v>
      </c>
      <c r="E322" s="328">
        <v>8926</v>
      </c>
      <c r="F322" s="328">
        <v>3346</v>
      </c>
      <c r="G322" s="328">
        <v>1407</v>
      </c>
      <c r="H322" s="328">
        <v>4173</v>
      </c>
      <c r="I322" s="328">
        <v>28</v>
      </c>
      <c r="J322" s="328">
        <v>0</v>
      </c>
      <c r="K322" s="333">
        <v>28</v>
      </c>
      <c r="L322" s="333"/>
      <c r="N322" s="351" t="s">
        <v>521</v>
      </c>
      <c r="O322" s="328">
        <v>3346</v>
      </c>
      <c r="P322" s="328">
        <v>1407</v>
      </c>
      <c r="Q322" s="328">
        <v>4173</v>
      </c>
      <c r="R322" s="328">
        <v>8926</v>
      </c>
      <c r="S322" s="333">
        <v>178692327</v>
      </c>
      <c r="T322" s="4">
        <v>1.9</v>
      </c>
      <c r="V322" s="277" t="s">
        <v>521</v>
      </c>
      <c r="W322" s="328">
        <v>28</v>
      </c>
      <c r="X322" s="328">
        <v>27246.857142857141</v>
      </c>
      <c r="Y322" s="328">
        <v>762912</v>
      </c>
      <c r="AA322" s="277" t="s">
        <v>521</v>
      </c>
      <c r="AB322" s="328">
        <v>3346</v>
      </c>
      <c r="AC322" s="328">
        <v>1407</v>
      </c>
      <c r="AD322" s="328">
        <v>4173</v>
      </c>
      <c r="AE322" s="328">
        <v>8926</v>
      </c>
      <c r="AF322" s="328">
        <v>4711</v>
      </c>
      <c r="AG322" s="328">
        <v>72104794</v>
      </c>
      <c r="AI322" s="277" t="s">
        <v>521</v>
      </c>
      <c r="AJ322" s="328">
        <v>3346</v>
      </c>
      <c r="AK322" s="328">
        <v>1407</v>
      </c>
      <c r="AL322" s="328">
        <v>4173</v>
      </c>
      <c r="AM322" s="328">
        <v>8926</v>
      </c>
      <c r="AN322" s="328">
        <v>4711</v>
      </c>
      <c r="AO322" s="328">
        <v>106587533</v>
      </c>
    </row>
    <row r="323" spans="1:41">
      <c r="A323" s="333">
        <f>SUBTOTAL(3,$B$7:B323)</f>
        <v>317</v>
      </c>
      <c r="B323" s="4" t="s">
        <v>161</v>
      </c>
      <c r="C323" s="277" t="s">
        <v>522</v>
      </c>
      <c r="D323" s="328">
        <v>12971</v>
      </c>
      <c r="E323" s="328">
        <v>2699</v>
      </c>
      <c r="F323" s="328">
        <v>0</v>
      </c>
      <c r="G323" s="328">
        <v>1026</v>
      </c>
      <c r="H323" s="328">
        <v>1673</v>
      </c>
      <c r="I323" s="328">
        <v>10272</v>
      </c>
      <c r="J323" s="328">
        <v>0</v>
      </c>
      <c r="K323" s="333">
        <v>10272</v>
      </c>
      <c r="L323" s="333"/>
      <c r="N323" s="351" t="s">
        <v>522</v>
      </c>
      <c r="O323" s="328">
        <v>0</v>
      </c>
      <c r="P323" s="328">
        <v>1026</v>
      </c>
      <c r="Q323" s="328">
        <v>1673</v>
      </c>
      <c r="R323" s="328">
        <v>2699</v>
      </c>
      <c r="S323" s="333">
        <v>101450676</v>
      </c>
      <c r="T323" s="4">
        <v>2.75</v>
      </c>
      <c r="V323" s="277" t="s">
        <v>522</v>
      </c>
      <c r="W323" s="328">
        <v>10272</v>
      </c>
      <c r="X323" s="328">
        <v>54808.576908099691</v>
      </c>
      <c r="Y323" s="328">
        <v>562993702</v>
      </c>
      <c r="AA323" s="277" t="s">
        <v>522</v>
      </c>
      <c r="AB323" s="328">
        <v>0</v>
      </c>
      <c r="AC323" s="328">
        <v>1026</v>
      </c>
      <c r="AD323" s="328">
        <v>1673</v>
      </c>
      <c r="AE323" s="328">
        <v>2699</v>
      </c>
      <c r="AF323" s="328">
        <v>1851</v>
      </c>
      <c r="AG323" s="328">
        <v>41004975</v>
      </c>
      <c r="AI323" s="277" t="s">
        <v>522</v>
      </c>
      <c r="AJ323" s="328">
        <v>0</v>
      </c>
      <c r="AK323" s="328">
        <v>1026</v>
      </c>
      <c r="AL323" s="328">
        <v>1673</v>
      </c>
      <c r="AM323" s="328">
        <v>2699</v>
      </c>
      <c r="AN323" s="328">
        <v>1851</v>
      </c>
      <c r="AO323" s="328">
        <v>60445701</v>
      </c>
    </row>
    <row r="324" spans="1:41">
      <c r="A324" s="333">
        <f>SUBTOTAL(3,$B$7:B324)</f>
        <v>318</v>
      </c>
      <c r="B324" s="4" t="s">
        <v>161</v>
      </c>
      <c r="C324" s="277" t="s">
        <v>523</v>
      </c>
      <c r="D324" s="328">
        <v>13289</v>
      </c>
      <c r="E324" s="328">
        <v>6451</v>
      </c>
      <c r="F324" s="328">
        <v>0</v>
      </c>
      <c r="G324" s="328">
        <v>1815</v>
      </c>
      <c r="H324" s="328">
        <v>4636</v>
      </c>
      <c r="I324" s="328">
        <v>6838</v>
      </c>
      <c r="J324" s="328">
        <v>0</v>
      </c>
      <c r="K324" s="333">
        <v>6838</v>
      </c>
      <c r="L324" s="333"/>
      <c r="N324" s="351" t="s">
        <v>523</v>
      </c>
      <c r="O324" s="328">
        <v>0</v>
      </c>
      <c r="P324" s="328">
        <v>1815</v>
      </c>
      <c r="Q324" s="328">
        <v>4636</v>
      </c>
      <c r="R324" s="328">
        <v>6451</v>
      </c>
      <c r="S324" s="333">
        <v>185779986</v>
      </c>
      <c r="T324" s="4">
        <v>1.8</v>
      </c>
      <c r="V324" s="277" t="s">
        <v>523</v>
      </c>
      <c r="W324" s="328">
        <v>6838</v>
      </c>
      <c r="X324" s="328">
        <v>32923.206200643464</v>
      </c>
      <c r="Y324" s="328">
        <v>225128884</v>
      </c>
      <c r="AA324" s="277" t="s">
        <v>523</v>
      </c>
      <c r="AB324" s="328">
        <v>0</v>
      </c>
      <c r="AC324" s="328">
        <v>1815</v>
      </c>
      <c r="AD324" s="328">
        <v>4636</v>
      </c>
      <c r="AE324" s="328">
        <v>6451</v>
      </c>
      <c r="AF324" s="328">
        <v>4616</v>
      </c>
      <c r="AG324" s="328">
        <v>66932299</v>
      </c>
      <c r="AI324" s="277" t="s">
        <v>523</v>
      </c>
      <c r="AJ324" s="328">
        <v>0</v>
      </c>
      <c r="AK324" s="328">
        <v>1815</v>
      </c>
      <c r="AL324" s="328">
        <v>4636</v>
      </c>
      <c r="AM324" s="328">
        <v>6451</v>
      </c>
      <c r="AN324" s="328">
        <v>4616</v>
      </c>
      <c r="AO324" s="328">
        <v>118847687</v>
      </c>
    </row>
    <row r="325" spans="1:41">
      <c r="A325" s="333">
        <f>SUBTOTAL(3,$B$7:B325)</f>
        <v>319</v>
      </c>
      <c r="B325" s="4" t="s">
        <v>161</v>
      </c>
      <c r="C325" s="277" t="s">
        <v>524</v>
      </c>
      <c r="D325" s="328">
        <v>6756</v>
      </c>
      <c r="E325" s="328">
        <v>379</v>
      </c>
      <c r="F325" s="328">
        <v>17</v>
      </c>
      <c r="G325" s="328">
        <v>207</v>
      </c>
      <c r="H325" s="328">
        <v>155</v>
      </c>
      <c r="I325" s="328">
        <v>6377</v>
      </c>
      <c r="J325" s="328">
        <v>0</v>
      </c>
      <c r="K325" s="333">
        <v>6377</v>
      </c>
      <c r="L325" s="333"/>
      <c r="N325" s="351" t="s">
        <v>524</v>
      </c>
      <c r="O325" s="328">
        <v>17</v>
      </c>
      <c r="P325" s="328">
        <v>207</v>
      </c>
      <c r="Q325" s="328">
        <v>155</v>
      </c>
      <c r="R325" s="328">
        <v>379</v>
      </c>
      <c r="S325" s="333">
        <v>8747449</v>
      </c>
      <c r="T325" s="4">
        <v>1.9</v>
      </c>
      <c r="V325" s="277" t="s">
        <v>524</v>
      </c>
      <c r="W325" s="328">
        <v>6377</v>
      </c>
      <c r="X325" s="328">
        <v>37867.743923474991</v>
      </c>
      <c r="Y325" s="328">
        <v>241482603</v>
      </c>
      <c r="AA325" s="277" t="s">
        <v>524</v>
      </c>
      <c r="AB325" s="328">
        <v>17</v>
      </c>
      <c r="AC325" s="328">
        <v>207</v>
      </c>
      <c r="AD325" s="328">
        <v>155</v>
      </c>
      <c r="AE325" s="328">
        <v>379</v>
      </c>
      <c r="AF325" s="328">
        <v>231</v>
      </c>
      <c r="AG325" s="328">
        <v>3535599</v>
      </c>
      <c r="AI325" s="277" t="s">
        <v>524</v>
      </c>
      <c r="AJ325" s="328">
        <v>17</v>
      </c>
      <c r="AK325" s="328">
        <v>207</v>
      </c>
      <c r="AL325" s="328">
        <v>155</v>
      </c>
      <c r="AM325" s="328">
        <v>379</v>
      </c>
      <c r="AN325" s="328">
        <v>231</v>
      </c>
      <c r="AO325" s="328">
        <v>5211850</v>
      </c>
    </row>
    <row r="326" spans="1:41">
      <c r="A326" s="333">
        <f>SUBTOTAL(3,$B$7:B326)</f>
        <v>320</v>
      </c>
      <c r="B326" s="4" t="s">
        <v>161</v>
      </c>
      <c r="C326" s="277" t="s">
        <v>525</v>
      </c>
      <c r="D326" s="328">
        <v>3126</v>
      </c>
      <c r="E326" s="328">
        <v>3102</v>
      </c>
      <c r="F326" s="328">
        <v>850</v>
      </c>
      <c r="G326" s="328">
        <v>1546</v>
      </c>
      <c r="H326" s="328">
        <v>706</v>
      </c>
      <c r="I326" s="328">
        <v>24</v>
      </c>
      <c r="J326" s="328">
        <v>0</v>
      </c>
      <c r="K326" s="333">
        <v>24</v>
      </c>
      <c r="L326" s="333"/>
      <c r="N326" s="351" t="s">
        <v>525</v>
      </c>
      <c r="O326" s="328">
        <v>850</v>
      </c>
      <c r="P326" s="328">
        <v>1546</v>
      </c>
      <c r="Q326" s="328">
        <v>706</v>
      </c>
      <c r="R326" s="328">
        <v>3102</v>
      </c>
      <c r="S326" s="333">
        <v>60110062</v>
      </c>
      <c r="T326" s="4">
        <v>2</v>
      </c>
      <c r="V326" s="277" t="s">
        <v>525</v>
      </c>
      <c r="W326" s="328">
        <v>24</v>
      </c>
      <c r="X326" s="328">
        <v>39860.75</v>
      </c>
      <c r="Y326" s="328">
        <v>956658</v>
      </c>
      <c r="AA326" s="277" t="s">
        <v>525</v>
      </c>
      <c r="AB326" s="328">
        <v>850</v>
      </c>
      <c r="AC326" s="328">
        <v>1546</v>
      </c>
      <c r="AD326" s="328">
        <v>706</v>
      </c>
      <c r="AE326" s="328">
        <v>3102</v>
      </c>
      <c r="AF326" s="328">
        <v>1508</v>
      </c>
      <c r="AG326" s="328">
        <v>24295664</v>
      </c>
      <c r="AI326" s="277" t="s">
        <v>525</v>
      </c>
      <c r="AJ326" s="328">
        <v>850</v>
      </c>
      <c r="AK326" s="328">
        <v>1546</v>
      </c>
      <c r="AL326" s="328">
        <v>706</v>
      </c>
      <c r="AM326" s="328">
        <v>3102</v>
      </c>
      <c r="AN326" s="328">
        <v>1508</v>
      </c>
      <c r="AO326" s="328">
        <v>35814398</v>
      </c>
    </row>
    <row r="327" spans="1:41">
      <c r="A327" s="333">
        <f>SUBTOTAL(3,$B$7:B327)</f>
        <v>321</v>
      </c>
      <c r="B327" s="4" t="s">
        <v>161</v>
      </c>
      <c r="C327" s="277" t="s">
        <v>526</v>
      </c>
      <c r="D327" s="328">
        <v>1765</v>
      </c>
      <c r="E327" s="328">
        <v>1263</v>
      </c>
      <c r="F327" s="328">
        <v>0</v>
      </c>
      <c r="G327" s="328">
        <v>892</v>
      </c>
      <c r="H327" s="328">
        <v>371</v>
      </c>
      <c r="I327" s="328">
        <v>502</v>
      </c>
      <c r="J327" s="328">
        <v>0</v>
      </c>
      <c r="K327" s="333">
        <v>502</v>
      </c>
      <c r="L327" s="333"/>
      <c r="N327" s="351" t="s">
        <v>526</v>
      </c>
      <c r="O327" s="328">
        <v>0</v>
      </c>
      <c r="P327" s="328">
        <v>892</v>
      </c>
      <c r="Q327" s="328">
        <v>371</v>
      </c>
      <c r="R327" s="328">
        <v>1263</v>
      </c>
      <c r="S327" s="333">
        <v>28135735</v>
      </c>
      <c r="T327" s="4">
        <v>1.9</v>
      </c>
      <c r="V327" s="277" t="s">
        <v>526</v>
      </c>
      <c r="W327" s="328">
        <v>502</v>
      </c>
      <c r="X327" s="328">
        <v>37867.743027888449</v>
      </c>
      <c r="Y327" s="328">
        <v>19009607</v>
      </c>
      <c r="AA327" s="277" t="s">
        <v>526</v>
      </c>
      <c r="AB327" s="328">
        <v>0</v>
      </c>
      <c r="AC327" s="328">
        <v>892</v>
      </c>
      <c r="AD327" s="328">
        <v>371</v>
      </c>
      <c r="AE327" s="328">
        <v>1263</v>
      </c>
      <c r="AF327" s="328">
        <v>743</v>
      </c>
      <c r="AG327" s="328">
        <v>11372079</v>
      </c>
      <c r="AI327" s="277" t="s">
        <v>526</v>
      </c>
      <c r="AJ327" s="328">
        <v>0</v>
      </c>
      <c r="AK327" s="328">
        <v>892</v>
      </c>
      <c r="AL327" s="328">
        <v>371</v>
      </c>
      <c r="AM327" s="328">
        <v>1263</v>
      </c>
      <c r="AN327" s="328">
        <v>743</v>
      </c>
      <c r="AO327" s="328">
        <v>16763656</v>
      </c>
    </row>
    <row r="328" spans="1:41">
      <c r="A328" s="333">
        <f>SUBTOTAL(3,$B$7:B328)</f>
        <v>322</v>
      </c>
      <c r="B328" s="4" t="s">
        <v>161</v>
      </c>
      <c r="C328" s="277" t="s">
        <v>527</v>
      </c>
      <c r="D328" s="328">
        <v>1736</v>
      </c>
      <c r="E328" s="328">
        <v>37</v>
      </c>
      <c r="F328" s="328">
        <v>24</v>
      </c>
      <c r="G328" s="328">
        <v>0</v>
      </c>
      <c r="H328" s="328">
        <v>13</v>
      </c>
      <c r="I328" s="328">
        <v>0</v>
      </c>
      <c r="J328" s="328">
        <v>40</v>
      </c>
      <c r="K328" s="333">
        <v>40</v>
      </c>
      <c r="L328" s="333"/>
      <c r="N328" s="351" t="s">
        <v>527</v>
      </c>
      <c r="O328" s="328">
        <v>24</v>
      </c>
      <c r="P328" s="328">
        <v>0</v>
      </c>
      <c r="Q328" s="328">
        <v>13</v>
      </c>
      <c r="R328" s="328">
        <v>37</v>
      </c>
      <c r="S328" s="333">
        <v>585953</v>
      </c>
      <c r="T328" s="4">
        <v>1.96</v>
      </c>
      <c r="V328" s="277" t="s">
        <v>527</v>
      </c>
      <c r="W328" s="328">
        <v>40</v>
      </c>
      <c r="X328" s="328">
        <v>39063.550000000003</v>
      </c>
      <c r="Y328" s="328">
        <v>1562542</v>
      </c>
      <c r="AA328" s="277" t="s">
        <v>527</v>
      </c>
      <c r="AB328" s="328">
        <v>24</v>
      </c>
      <c r="AC328" s="328">
        <v>0</v>
      </c>
      <c r="AD328" s="328">
        <v>13</v>
      </c>
      <c r="AE328" s="328">
        <v>37</v>
      </c>
      <c r="AF328" s="328">
        <v>15</v>
      </c>
      <c r="AG328" s="328">
        <v>236834</v>
      </c>
      <c r="AI328" s="277" t="s">
        <v>527</v>
      </c>
      <c r="AJ328" s="328">
        <v>24</v>
      </c>
      <c r="AK328" s="328">
        <v>0</v>
      </c>
      <c r="AL328" s="328">
        <v>13</v>
      </c>
      <c r="AM328" s="328">
        <v>37</v>
      </c>
      <c r="AN328" s="328">
        <v>15</v>
      </c>
      <c r="AO328" s="328">
        <v>349119</v>
      </c>
    </row>
    <row r="329" spans="1:41">
      <c r="A329" s="333">
        <f>SUBTOTAL(3,$B$7:B329)</f>
        <v>323</v>
      </c>
      <c r="B329" s="4" t="s">
        <v>161</v>
      </c>
      <c r="C329" s="277" t="s">
        <v>528</v>
      </c>
      <c r="D329" s="328">
        <v>5930</v>
      </c>
      <c r="E329" s="328">
        <v>5930</v>
      </c>
      <c r="F329" s="328">
        <v>1336</v>
      </c>
      <c r="G329" s="328">
        <v>2412</v>
      </c>
      <c r="H329" s="328">
        <v>2182</v>
      </c>
      <c r="I329" s="328">
        <v>0</v>
      </c>
      <c r="J329" s="328">
        <v>0</v>
      </c>
      <c r="K329" s="333">
        <v>0</v>
      </c>
      <c r="L329" s="333"/>
      <c r="N329" s="351" t="s">
        <v>528</v>
      </c>
      <c r="O329" s="328">
        <v>1336</v>
      </c>
      <c r="P329" s="328">
        <v>2412</v>
      </c>
      <c r="Q329" s="328">
        <v>2182</v>
      </c>
      <c r="R329" s="328">
        <v>5930</v>
      </c>
      <c r="S329" s="333">
        <v>141143047</v>
      </c>
      <c r="T329" s="4">
        <v>2.2000000000000002</v>
      </c>
      <c r="V329" s="277" t="s">
        <v>528</v>
      </c>
      <c r="W329" s="328">
        <v>0</v>
      </c>
      <c r="X329" s="328">
        <v>0</v>
      </c>
      <c r="Y329" s="328">
        <v>0</v>
      </c>
      <c r="AA329" s="277" t="s">
        <v>528</v>
      </c>
      <c r="AB329" s="328">
        <v>1336</v>
      </c>
      <c r="AC329" s="328">
        <v>2412</v>
      </c>
      <c r="AD329" s="328">
        <v>2182</v>
      </c>
      <c r="AE329" s="328">
        <v>5930</v>
      </c>
      <c r="AF329" s="328">
        <v>3219</v>
      </c>
      <c r="AG329" s="328">
        <v>57048088</v>
      </c>
      <c r="AI329" s="277" t="s">
        <v>528</v>
      </c>
      <c r="AJ329" s="328">
        <v>1336</v>
      </c>
      <c r="AK329" s="328">
        <v>2412</v>
      </c>
      <c r="AL329" s="328">
        <v>2182</v>
      </c>
      <c r="AM329" s="328">
        <v>5930</v>
      </c>
      <c r="AN329" s="328">
        <v>3219</v>
      </c>
      <c r="AO329" s="328">
        <v>84094959</v>
      </c>
    </row>
    <row r="330" spans="1:41">
      <c r="A330" s="333">
        <f>SUBTOTAL(3,$B$7:B330)</f>
        <v>324</v>
      </c>
      <c r="B330" s="4" t="s">
        <v>100</v>
      </c>
      <c r="C330" s="277" t="s">
        <v>529</v>
      </c>
      <c r="D330" s="328">
        <v>955</v>
      </c>
      <c r="E330" s="328">
        <v>952</v>
      </c>
      <c r="F330" s="328">
        <v>0</v>
      </c>
      <c r="G330" s="328">
        <v>210</v>
      </c>
      <c r="H330" s="328">
        <v>742</v>
      </c>
      <c r="I330" s="328">
        <v>0</v>
      </c>
      <c r="J330" s="328">
        <v>0</v>
      </c>
      <c r="K330" s="333">
        <v>0</v>
      </c>
      <c r="L330" s="333"/>
      <c r="N330" s="351" t="s">
        <v>529</v>
      </c>
      <c r="O330" s="328">
        <v>0</v>
      </c>
      <c r="P330" s="328">
        <v>210</v>
      </c>
      <c r="Q330" s="328">
        <v>742</v>
      </c>
      <c r="R330" s="328">
        <v>952</v>
      </c>
      <c r="S330" s="333">
        <v>55725375</v>
      </c>
      <c r="T330" s="4">
        <v>4</v>
      </c>
      <c r="V330" s="277" t="s">
        <v>529</v>
      </c>
      <c r="W330" s="328">
        <v>0</v>
      </c>
      <c r="X330" s="328">
        <v>0</v>
      </c>
      <c r="Y330" s="328">
        <v>0</v>
      </c>
      <c r="AA330" s="277" t="s">
        <v>529</v>
      </c>
      <c r="AB330" s="328">
        <v>0</v>
      </c>
      <c r="AC330" s="328">
        <v>210</v>
      </c>
      <c r="AD330" s="328">
        <v>742</v>
      </c>
      <c r="AE330" s="328">
        <v>952</v>
      </c>
      <c r="AF330" s="328">
        <v>699</v>
      </c>
      <c r="AG330" s="328">
        <v>22523434</v>
      </c>
      <c r="AI330" s="277" t="s">
        <v>529</v>
      </c>
      <c r="AJ330" s="328">
        <v>0</v>
      </c>
      <c r="AK330" s="328">
        <v>210</v>
      </c>
      <c r="AL330" s="328">
        <v>742</v>
      </c>
      <c r="AM330" s="328">
        <v>952</v>
      </c>
      <c r="AN330" s="328">
        <v>699</v>
      </c>
      <c r="AO330" s="328">
        <v>33201941</v>
      </c>
    </row>
    <row r="331" spans="1:41">
      <c r="A331" s="333">
        <f>SUBTOTAL(3,$B$7:B331)</f>
        <v>325</v>
      </c>
      <c r="B331" s="4" t="s">
        <v>161</v>
      </c>
      <c r="C331" s="277" t="s">
        <v>530</v>
      </c>
      <c r="D331" s="328">
        <v>2214</v>
      </c>
      <c r="E331" s="328">
        <v>307</v>
      </c>
      <c r="F331" s="328">
        <v>0</v>
      </c>
      <c r="G331" s="328">
        <v>114</v>
      </c>
      <c r="H331" s="328">
        <v>193</v>
      </c>
      <c r="I331" s="328">
        <v>0</v>
      </c>
      <c r="J331" s="328">
        <v>22</v>
      </c>
      <c r="K331" s="333">
        <v>22</v>
      </c>
      <c r="L331" s="333"/>
      <c r="N331" s="351" t="s">
        <v>530</v>
      </c>
      <c r="O331" s="328">
        <v>0</v>
      </c>
      <c r="P331" s="328">
        <v>114</v>
      </c>
      <c r="Q331" s="328">
        <v>193</v>
      </c>
      <c r="R331" s="328">
        <v>307</v>
      </c>
      <c r="S331" s="333">
        <v>10530058</v>
      </c>
      <c r="T331" s="4">
        <v>2.0299999999999998</v>
      </c>
      <c r="V331" s="277" t="s">
        <v>530</v>
      </c>
      <c r="W331" s="328">
        <v>22</v>
      </c>
      <c r="X331" s="328">
        <v>39413.454545454544</v>
      </c>
      <c r="Y331" s="328">
        <v>867096</v>
      </c>
      <c r="AA331" s="277" t="s">
        <v>530</v>
      </c>
      <c r="AB331" s="328">
        <v>0</v>
      </c>
      <c r="AC331" s="328">
        <v>114</v>
      </c>
      <c r="AD331" s="328">
        <v>193</v>
      </c>
      <c r="AE331" s="328">
        <v>307</v>
      </c>
      <c r="AF331" s="328">
        <v>211</v>
      </c>
      <c r="AG331" s="328">
        <v>3450452</v>
      </c>
      <c r="AI331" s="277" t="s">
        <v>530</v>
      </c>
      <c r="AJ331" s="328">
        <v>0</v>
      </c>
      <c r="AK331" s="328">
        <v>114</v>
      </c>
      <c r="AL331" s="328">
        <v>193</v>
      </c>
      <c r="AM331" s="328">
        <v>307</v>
      </c>
      <c r="AN331" s="328">
        <v>211</v>
      </c>
      <c r="AO331" s="328">
        <v>7079606</v>
      </c>
    </row>
    <row r="332" spans="1:41">
      <c r="A332" s="333">
        <f>SUBTOTAL(3,$B$7:B332)</f>
        <v>326</v>
      </c>
      <c r="B332" s="4" t="s">
        <v>100</v>
      </c>
      <c r="C332" s="277" t="s">
        <v>531</v>
      </c>
      <c r="D332" s="328">
        <v>798</v>
      </c>
      <c r="E332" s="328">
        <v>788</v>
      </c>
      <c r="F332" s="328">
        <v>788</v>
      </c>
      <c r="G332" s="328">
        <v>0</v>
      </c>
      <c r="H332" s="328">
        <v>0</v>
      </c>
      <c r="I332" s="328">
        <v>0</v>
      </c>
      <c r="J332" s="328">
        <v>0</v>
      </c>
      <c r="K332" s="333">
        <v>0</v>
      </c>
      <c r="L332" s="333"/>
      <c r="N332" s="351" t="s">
        <v>531</v>
      </c>
      <c r="O332" s="328">
        <v>788</v>
      </c>
      <c r="P332" s="328">
        <v>0</v>
      </c>
      <c r="Q332" s="328">
        <v>0</v>
      </c>
      <c r="R332" s="328">
        <v>788</v>
      </c>
      <c r="S332" s="333">
        <v>16374809</v>
      </c>
      <c r="T332" s="4">
        <v>5.2</v>
      </c>
      <c r="V332" s="277" t="s">
        <v>531</v>
      </c>
      <c r="W332" s="328">
        <v>0</v>
      </c>
      <c r="X332" s="328">
        <v>0</v>
      </c>
      <c r="Y332" s="328">
        <v>0</v>
      </c>
      <c r="AA332" s="277" t="s">
        <v>531</v>
      </c>
      <c r="AB332" s="328">
        <v>788</v>
      </c>
      <c r="AC332" s="328">
        <v>0</v>
      </c>
      <c r="AD332" s="328">
        <v>0</v>
      </c>
      <c r="AE332" s="328">
        <v>788</v>
      </c>
      <c r="AF332" s="328">
        <v>158</v>
      </c>
      <c r="AG332" s="328">
        <v>6618474</v>
      </c>
      <c r="AI332" s="277" t="s">
        <v>531</v>
      </c>
      <c r="AJ332" s="328">
        <v>788</v>
      </c>
      <c r="AK332" s="328">
        <v>0</v>
      </c>
      <c r="AL332" s="328">
        <v>0</v>
      </c>
      <c r="AM332" s="328">
        <v>788</v>
      </c>
      <c r="AN332" s="328">
        <v>158</v>
      </c>
      <c r="AO332" s="328">
        <v>9756335</v>
      </c>
    </row>
    <row r="333" spans="1:41">
      <c r="A333" s="333">
        <f>SUBTOTAL(3,$B$7:B333)</f>
        <v>327</v>
      </c>
      <c r="B333" s="4" t="s">
        <v>161</v>
      </c>
      <c r="C333" s="277" t="s">
        <v>532</v>
      </c>
      <c r="D333" s="328">
        <v>627</v>
      </c>
      <c r="E333" s="328">
        <v>33</v>
      </c>
      <c r="F333" s="328">
        <v>10</v>
      </c>
      <c r="G333" s="328">
        <v>4</v>
      </c>
      <c r="H333" s="328">
        <v>19</v>
      </c>
      <c r="I333" s="328">
        <v>0</v>
      </c>
      <c r="J333" s="328">
        <v>0</v>
      </c>
      <c r="K333" s="333">
        <v>0</v>
      </c>
      <c r="L333" s="333"/>
      <c r="N333" s="351" t="s">
        <v>532</v>
      </c>
      <c r="O333" s="328">
        <v>10</v>
      </c>
      <c r="P333" s="328">
        <v>4</v>
      </c>
      <c r="Q333" s="328">
        <v>19</v>
      </c>
      <c r="R333" s="328">
        <v>33</v>
      </c>
      <c r="S333" s="333">
        <v>1061626</v>
      </c>
      <c r="T333" s="4">
        <v>1.98</v>
      </c>
      <c r="V333" s="277" t="s">
        <v>532</v>
      </c>
      <c r="W333" s="328">
        <v>0</v>
      </c>
      <c r="X333" s="328">
        <v>0</v>
      </c>
      <c r="Y333" s="328">
        <v>0</v>
      </c>
      <c r="AA333" s="277" t="s">
        <v>532</v>
      </c>
      <c r="AB333" s="328">
        <v>10</v>
      </c>
      <c r="AC333" s="328">
        <v>4</v>
      </c>
      <c r="AD333" s="328">
        <v>19</v>
      </c>
      <c r="AE333" s="328">
        <v>33</v>
      </c>
      <c r="AF333" s="328">
        <v>19</v>
      </c>
      <c r="AG333" s="328">
        <v>303051</v>
      </c>
      <c r="AI333" s="277" t="s">
        <v>532</v>
      </c>
      <c r="AJ333" s="328">
        <v>10</v>
      </c>
      <c r="AK333" s="328">
        <v>4</v>
      </c>
      <c r="AL333" s="328">
        <v>19</v>
      </c>
      <c r="AM333" s="328">
        <v>33</v>
      </c>
      <c r="AN333" s="328">
        <v>19</v>
      </c>
      <c r="AO333" s="328">
        <v>758575</v>
      </c>
    </row>
    <row r="334" spans="1:41">
      <c r="A334" s="333">
        <f>SUBTOTAL(3,$B$7:B334)</f>
        <v>328</v>
      </c>
      <c r="B334" s="4" t="s">
        <v>161</v>
      </c>
      <c r="C334" s="277" t="s">
        <v>533</v>
      </c>
      <c r="D334" s="328">
        <v>596</v>
      </c>
      <c r="E334" s="328">
        <v>38</v>
      </c>
      <c r="F334" s="328">
        <v>22</v>
      </c>
      <c r="G334" s="328">
        <v>5</v>
      </c>
      <c r="H334" s="328">
        <v>11</v>
      </c>
      <c r="I334" s="328">
        <v>558</v>
      </c>
      <c r="J334" s="328">
        <v>0</v>
      </c>
      <c r="K334" s="333">
        <v>558</v>
      </c>
      <c r="L334" s="333"/>
      <c r="N334" s="351" t="s">
        <v>533</v>
      </c>
      <c r="O334" s="328">
        <v>22</v>
      </c>
      <c r="P334" s="328">
        <v>5</v>
      </c>
      <c r="Q334" s="328">
        <v>11</v>
      </c>
      <c r="R334" s="328">
        <v>38</v>
      </c>
      <c r="S334" s="333">
        <v>605884</v>
      </c>
      <c r="T334" s="4">
        <v>1.9</v>
      </c>
      <c r="V334" s="277" t="s">
        <v>533</v>
      </c>
      <c r="W334" s="328">
        <v>558</v>
      </c>
      <c r="X334" s="328">
        <v>37867.743727598565</v>
      </c>
      <c r="Y334" s="328">
        <v>21130201</v>
      </c>
      <c r="AA334" s="277" t="s">
        <v>533</v>
      </c>
      <c r="AB334" s="328">
        <v>22</v>
      </c>
      <c r="AC334" s="328">
        <v>5</v>
      </c>
      <c r="AD334" s="328">
        <v>11</v>
      </c>
      <c r="AE334" s="328">
        <v>38</v>
      </c>
      <c r="AF334" s="328">
        <v>16</v>
      </c>
      <c r="AG334" s="328">
        <v>244890</v>
      </c>
      <c r="AI334" s="277" t="s">
        <v>533</v>
      </c>
      <c r="AJ334" s="328">
        <v>22</v>
      </c>
      <c r="AK334" s="328">
        <v>5</v>
      </c>
      <c r="AL334" s="328">
        <v>11</v>
      </c>
      <c r="AM334" s="328">
        <v>38</v>
      </c>
      <c r="AN334" s="328">
        <v>16</v>
      </c>
      <c r="AO334" s="328">
        <v>360994</v>
      </c>
    </row>
    <row r="335" spans="1:41">
      <c r="A335" s="333">
        <f>SUBTOTAL(3,$B$7:B335)</f>
        <v>329</v>
      </c>
      <c r="B335" s="4" t="s">
        <v>108</v>
      </c>
      <c r="C335" s="277" t="s">
        <v>534</v>
      </c>
      <c r="D335" s="328">
        <v>10358</v>
      </c>
      <c r="E335" s="328">
        <v>592</v>
      </c>
      <c r="F335" s="328">
        <v>0</v>
      </c>
      <c r="G335" s="328">
        <v>319</v>
      </c>
      <c r="H335" s="328">
        <v>273</v>
      </c>
      <c r="I335" s="328">
        <v>0</v>
      </c>
      <c r="J335" s="328">
        <v>0</v>
      </c>
      <c r="K335" s="333">
        <v>0</v>
      </c>
      <c r="L335" s="333"/>
      <c r="N335" s="351" t="s">
        <v>534</v>
      </c>
      <c r="O335" s="328">
        <v>0</v>
      </c>
      <c r="P335" s="328">
        <v>319</v>
      </c>
      <c r="Q335" s="328">
        <v>273</v>
      </c>
      <c r="R335" s="328">
        <v>592</v>
      </c>
      <c r="S335" s="333">
        <v>12511366</v>
      </c>
      <c r="T335" s="4">
        <v>1.26</v>
      </c>
      <c r="V335" s="277" t="s">
        <v>534</v>
      </c>
      <c r="W335" s="328">
        <v>0</v>
      </c>
      <c r="X335" s="328">
        <v>0</v>
      </c>
      <c r="Y335" s="328">
        <v>0</v>
      </c>
      <c r="AA335" s="277" t="s">
        <v>534</v>
      </c>
      <c r="AB335" s="328">
        <v>0</v>
      </c>
      <c r="AC335" s="328">
        <v>319</v>
      </c>
      <c r="AD335" s="328">
        <v>273</v>
      </c>
      <c r="AE335" s="328">
        <v>592</v>
      </c>
      <c r="AF335" s="328">
        <v>378</v>
      </c>
      <c r="AG335" s="328">
        <v>3836717</v>
      </c>
      <c r="AI335" s="277" t="s">
        <v>534</v>
      </c>
      <c r="AJ335" s="328">
        <v>0</v>
      </c>
      <c r="AK335" s="328">
        <v>319</v>
      </c>
      <c r="AL335" s="328">
        <v>273</v>
      </c>
      <c r="AM335" s="328">
        <v>592</v>
      </c>
      <c r="AN335" s="328">
        <v>378</v>
      </c>
      <c r="AO335" s="328">
        <v>8674649</v>
      </c>
    </row>
    <row r="336" spans="1:41">
      <c r="A336" s="333">
        <f>SUBTOTAL(3,$B$7:B336)</f>
        <v>330</v>
      </c>
      <c r="B336" s="4" t="s">
        <v>108</v>
      </c>
      <c r="C336" s="277" t="s">
        <v>535</v>
      </c>
      <c r="D336" s="328">
        <v>7929</v>
      </c>
      <c r="E336" s="328">
        <v>407</v>
      </c>
      <c r="F336" s="328">
        <v>0</v>
      </c>
      <c r="G336" s="328">
        <v>70</v>
      </c>
      <c r="H336" s="328">
        <v>337</v>
      </c>
      <c r="I336" s="328">
        <v>7364</v>
      </c>
      <c r="J336" s="328">
        <v>150</v>
      </c>
      <c r="K336" s="333">
        <v>7514</v>
      </c>
      <c r="L336" s="333"/>
      <c r="N336" s="351" t="s">
        <v>535</v>
      </c>
      <c r="O336" s="328">
        <v>0</v>
      </c>
      <c r="P336" s="328">
        <v>70</v>
      </c>
      <c r="Q336" s="328">
        <v>337</v>
      </c>
      <c r="R336" s="328">
        <v>407</v>
      </c>
      <c r="S336" s="333">
        <v>7659250</v>
      </c>
      <c r="T336" s="4">
        <v>1.26</v>
      </c>
      <c r="V336" s="277" t="s">
        <v>535</v>
      </c>
      <c r="W336" s="328">
        <v>7514</v>
      </c>
      <c r="X336" s="328">
        <v>25112.293319137611</v>
      </c>
      <c r="Y336" s="328">
        <v>188693772</v>
      </c>
      <c r="AA336" s="277" t="s">
        <v>535</v>
      </c>
      <c r="AB336" s="328">
        <v>0</v>
      </c>
      <c r="AC336" s="328">
        <v>70</v>
      </c>
      <c r="AD336" s="328">
        <v>337</v>
      </c>
      <c r="AE336" s="328">
        <v>407</v>
      </c>
      <c r="AF336" s="328">
        <v>305</v>
      </c>
      <c r="AG336" s="328">
        <v>3095764</v>
      </c>
      <c r="AI336" s="277" t="s">
        <v>535</v>
      </c>
      <c r="AJ336" s="328">
        <v>0</v>
      </c>
      <c r="AK336" s="328">
        <v>70</v>
      </c>
      <c r="AL336" s="328">
        <v>337</v>
      </c>
      <c r="AM336" s="328">
        <v>407</v>
      </c>
      <c r="AN336" s="328">
        <v>305</v>
      </c>
      <c r="AO336" s="328">
        <v>4563486</v>
      </c>
    </row>
    <row r="337" spans="1:41">
      <c r="A337" s="333">
        <f>SUBTOTAL(3,$B$7:B337)</f>
        <v>331</v>
      </c>
      <c r="B337" s="4" t="s">
        <v>108</v>
      </c>
      <c r="C337" s="277" t="s">
        <v>536</v>
      </c>
      <c r="D337" s="328">
        <v>1608</v>
      </c>
      <c r="E337" s="328">
        <v>261</v>
      </c>
      <c r="F337" s="328">
        <v>18</v>
      </c>
      <c r="G337" s="328">
        <v>70</v>
      </c>
      <c r="H337" s="328">
        <v>173</v>
      </c>
      <c r="I337" s="328">
        <v>400</v>
      </c>
      <c r="J337" s="328">
        <v>0</v>
      </c>
      <c r="K337" s="333">
        <v>400</v>
      </c>
      <c r="L337" s="333"/>
      <c r="N337" s="351" t="s">
        <v>536</v>
      </c>
      <c r="O337" s="328">
        <v>18</v>
      </c>
      <c r="P337" s="328">
        <v>70</v>
      </c>
      <c r="Q337" s="328">
        <v>173</v>
      </c>
      <c r="R337" s="328">
        <v>261</v>
      </c>
      <c r="S337" s="333">
        <v>14675146</v>
      </c>
      <c r="T337" s="4">
        <v>4.16</v>
      </c>
      <c r="V337" s="277" t="s">
        <v>536</v>
      </c>
      <c r="W337" s="328">
        <v>400</v>
      </c>
      <c r="X337" s="328">
        <v>82910.429999999993</v>
      </c>
      <c r="Y337" s="328">
        <v>33164172</v>
      </c>
      <c r="AA337" s="277" t="s">
        <v>536</v>
      </c>
      <c r="AB337" s="328">
        <v>18</v>
      </c>
      <c r="AC337" s="328">
        <v>70</v>
      </c>
      <c r="AD337" s="328">
        <v>173</v>
      </c>
      <c r="AE337" s="328">
        <v>261</v>
      </c>
      <c r="AF337" s="328">
        <v>177</v>
      </c>
      <c r="AG337" s="328">
        <v>5931493</v>
      </c>
      <c r="AI337" s="277" t="s">
        <v>536</v>
      </c>
      <c r="AJ337" s="328">
        <v>18</v>
      </c>
      <c r="AK337" s="328">
        <v>70</v>
      </c>
      <c r="AL337" s="328">
        <v>173</v>
      </c>
      <c r="AM337" s="328">
        <v>261</v>
      </c>
      <c r="AN337" s="328">
        <v>177</v>
      </c>
      <c r="AO337" s="328">
        <v>8743653</v>
      </c>
    </row>
    <row r="338" spans="1:41">
      <c r="A338" s="333">
        <f>SUBTOTAL(3,$B$7:B338)</f>
        <v>332</v>
      </c>
      <c r="B338" s="4" t="s">
        <v>161</v>
      </c>
      <c r="C338" s="277" t="s">
        <v>269</v>
      </c>
      <c r="D338" s="328">
        <v>4965</v>
      </c>
      <c r="E338" s="328">
        <v>407</v>
      </c>
      <c r="F338" s="328">
        <v>0</v>
      </c>
      <c r="G338" s="328">
        <v>87</v>
      </c>
      <c r="H338" s="328">
        <v>320</v>
      </c>
      <c r="I338" s="328">
        <v>4558</v>
      </c>
      <c r="J338" s="328">
        <v>0</v>
      </c>
      <c r="K338" s="333">
        <v>4558</v>
      </c>
      <c r="L338" s="333"/>
      <c r="N338" s="351" t="s">
        <v>269</v>
      </c>
      <c r="O338" s="328">
        <v>0</v>
      </c>
      <c r="P338" s="328">
        <v>87</v>
      </c>
      <c r="Q338" s="328">
        <v>320</v>
      </c>
      <c r="R338" s="328">
        <v>407</v>
      </c>
      <c r="S338" s="333">
        <v>6995568</v>
      </c>
      <c r="T338" s="4">
        <v>1.17</v>
      </c>
      <c r="V338" s="277" t="s">
        <v>269</v>
      </c>
      <c r="W338" s="328">
        <v>4558</v>
      </c>
      <c r="X338" s="328">
        <v>23318.557920140411</v>
      </c>
      <c r="Y338" s="328">
        <v>106285987</v>
      </c>
      <c r="AA338" s="277" t="s">
        <v>269</v>
      </c>
      <c r="AB338" s="328">
        <v>0</v>
      </c>
      <c r="AC338" s="328">
        <v>87</v>
      </c>
      <c r="AD338" s="328">
        <v>320</v>
      </c>
      <c r="AE338" s="328">
        <v>407</v>
      </c>
      <c r="AF338" s="328">
        <v>300</v>
      </c>
      <c r="AG338" s="328">
        <v>2827513</v>
      </c>
      <c r="AI338" s="277" t="s">
        <v>269</v>
      </c>
      <c r="AJ338" s="328">
        <v>0</v>
      </c>
      <c r="AK338" s="328">
        <v>87</v>
      </c>
      <c r="AL338" s="328">
        <v>320</v>
      </c>
      <c r="AM338" s="328">
        <v>407</v>
      </c>
      <c r="AN338" s="328">
        <v>300</v>
      </c>
      <c r="AO338" s="328">
        <v>4168055</v>
      </c>
    </row>
    <row r="339" spans="1:41">
      <c r="A339" s="333">
        <f>SUBTOTAL(3,$B$7:B339)</f>
        <v>333</v>
      </c>
      <c r="B339" s="4" t="s">
        <v>161</v>
      </c>
      <c r="C339" s="277" t="s">
        <v>270</v>
      </c>
      <c r="D339" s="328">
        <v>6032</v>
      </c>
      <c r="E339" s="328">
        <v>344</v>
      </c>
      <c r="F339" s="328">
        <v>0</v>
      </c>
      <c r="G339" s="328">
        <v>0</v>
      </c>
      <c r="H339" s="328">
        <v>344</v>
      </c>
      <c r="I339" s="328">
        <v>5688</v>
      </c>
      <c r="J339" s="328">
        <v>0</v>
      </c>
      <c r="K339" s="333">
        <v>5688</v>
      </c>
      <c r="L339" s="333"/>
      <c r="N339" s="351" t="s">
        <v>270</v>
      </c>
      <c r="O339" s="328">
        <v>0</v>
      </c>
      <c r="P339" s="328">
        <v>0</v>
      </c>
      <c r="Q339" s="328">
        <v>344</v>
      </c>
      <c r="R339" s="328">
        <v>344</v>
      </c>
      <c r="S339" s="333">
        <v>13757681</v>
      </c>
      <c r="T339" s="4">
        <v>2.2000000000000002</v>
      </c>
      <c r="V339" s="277" t="s">
        <v>270</v>
      </c>
      <c r="W339" s="328">
        <v>5688</v>
      </c>
      <c r="X339" s="328">
        <v>43548.022855133611</v>
      </c>
      <c r="Y339" s="328">
        <v>247701154</v>
      </c>
      <c r="AA339" s="277" t="s">
        <v>270</v>
      </c>
      <c r="AB339" s="328">
        <v>0</v>
      </c>
      <c r="AC339" s="328">
        <v>0</v>
      </c>
      <c r="AD339" s="328">
        <v>344</v>
      </c>
      <c r="AE339" s="328">
        <v>344</v>
      </c>
      <c r="AF339" s="328">
        <v>275</v>
      </c>
      <c r="AG339" s="328">
        <v>4873633</v>
      </c>
      <c r="AI339" s="277" t="s">
        <v>270</v>
      </c>
      <c r="AJ339" s="328">
        <v>0</v>
      </c>
      <c r="AK339" s="328">
        <v>0</v>
      </c>
      <c r="AL339" s="328">
        <v>344</v>
      </c>
      <c r="AM339" s="328">
        <v>344</v>
      </c>
      <c r="AN339" s="328">
        <v>275</v>
      </c>
      <c r="AO339" s="328">
        <v>8884048</v>
      </c>
    </row>
    <row r="340" spans="1:41">
      <c r="A340" s="333">
        <f>SUBTOTAL(3,$B$7:B340)</f>
        <v>334</v>
      </c>
      <c r="B340" s="4" t="s">
        <v>108</v>
      </c>
      <c r="C340" s="277" t="s">
        <v>271</v>
      </c>
      <c r="D340" s="328">
        <v>1034</v>
      </c>
      <c r="E340" s="328">
        <v>1030</v>
      </c>
      <c r="F340" s="328">
        <v>452</v>
      </c>
      <c r="G340" s="328">
        <v>385</v>
      </c>
      <c r="H340" s="328">
        <v>193</v>
      </c>
      <c r="I340" s="328">
        <v>0</v>
      </c>
      <c r="J340" s="328">
        <v>0</v>
      </c>
      <c r="K340" s="333">
        <v>0</v>
      </c>
      <c r="L340" s="333"/>
      <c r="N340" s="351" t="s">
        <v>271</v>
      </c>
      <c r="O340" s="328">
        <v>452</v>
      </c>
      <c r="P340" s="328">
        <v>385</v>
      </c>
      <c r="Q340" s="328">
        <v>193</v>
      </c>
      <c r="R340" s="328">
        <v>1030</v>
      </c>
      <c r="S340" s="333">
        <v>21425570</v>
      </c>
      <c r="T340" s="4">
        <v>2.46</v>
      </c>
      <c r="V340" s="277" t="s">
        <v>271</v>
      </c>
      <c r="W340" s="328">
        <v>0</v>
      </c>
      <c r="X340" s="328">
        <v>0</v>
      </c>
      <c r="Y340" s="328">
        <v>0</v>
      </c>
      <c r="AA340" s="277" t="s">
        <v>271</v>
      </c>
      <c r="AB340" s="328">
        <v>452</v>
      </c>
      <c r="AC340" s="328">
        <v>385</v>
      </c>
      <c r="AD340" s="328">
        <v>193</v>
      </c>
      <c r="AE340" s="328">
        <v>1030</v>
      </c>
      <c r="AF340" s="328">
        <v>437</v>
      </c>
      <c r="AG340" s="328">
        <v>8659922</v>
      </c>
      <c r="AI340" s="277" t="s">
        <v>271</v>
      </c>
      <c r="AJ340" s="328">
        <v>452</v>
      </c>
      <c r="AK340" s="328">
        <v>385</v>
      </c>
      <c r="AL340" s="328">
        <v>193</v>
      </c>
      <c r="AM340" s="328">
        <v>1030</v>
      </c>
      <c r="AN340" s="328">
        <v>437</v>
      </c>
      <c r="AO340" s="328">
        <v>12765648</v>
      </c>
    </row>
    <row r="341" spans="1:41">
      <c r="A341" s="333">
        <f>SUBTOTAL(3,$B$7:B341)</f>
        <v>335</v>
      </c>
      <c r="B341" s="4" t="s">
        <v>287</v>
      </c>
      <c r="C341" s="277" t="s">
        <v>272</v>
      </c>
      <c r="D341" s="328">
        <v>10595</v>
      </c>
      <c r="E341" s="328">
        <v>322</v>
      </c>
      <c r="F341" s="328">
        <v>0</v>
      </c>
      <c r="G341" s="328">
        <v>212</v>
      </c>
      <c r="H341" s="328">
        <v>110</v>
      </c>
      <c r="I341" s="328">
        <v>0</v>
      </c>
      <c r="J341" s="328">
        <v>107</v>
      </c>
      <c r="K341" s="333">
        <v>107</v>
      </c>
      <c r="L341" s="333"/>
      <c r="N341" s="351" t="s">
        <v>272</v>
      </c>
      <c r="O341" s="328">
        <v>0</v>
      </c>
      <c r="P341" s="328">
        <v>212</v>
      </c>
      <c r="Q341" s="328">
        <v>110</v>
      </c>
      <c r="R341" s="328">
        <v>322</v>
      </c>
      <c r="S341" s="333">
        <v>7153018</v>
      </c>
      <c r="T341" s="4">
        <v>1.85</v>
      </c>
      <c r="V341" s="277" t="s">
        <v>272</v>
      </c>
      <c r="W341" s="328">
        <v>107</v>
      </c>
      <c r="X341" s="328">
        <v>36869</v>
      </c>
      <c r="Y341" s="328">
        <v>3944983</v>
      </c>
      <c r="AA341" s="277" t="s">
        <v>272</v>
      </c>
      <c r="AB341" s="328">
        <v>0</v>
      </c>
      <c r="AC341" s="328">
        <v>212</v>
      </c>
      <c r="AD341" s="328">
        <v>110</v>
      </c>
      <c r="AE341" s="328">
        <v>322</v>
      </c>
      <c r="AF341" s="328">
        <v>194</v>
      </c>
      <c r="AG341" s="328">
        <v>2891152</v>
      </c>
      <c r="AI341" s="277" t="s">
        <v>272</v>
      </c>
      <c r="AJ341" s="328">
        <v>0</v>
      </c>
      <c r="AK341" s="328">
        <v>212</v>
      </c>
      <c r="AL341" s="328">
        <v>110</v>
      </c>
      <c r="AM341" s="328">
        <v>322</v>
      </c>
      <c r="AN341" s="328">
        <v>194</v>
      </c>
      <c r="AO341" s="328">
        <v>4261866</v>
      </c>
    </row>
    <row r="342" spans="1:41">
      <c r="A342" s="333">
        <f>SUBTOTAL(3,$B$7:B342)</f>
        <v>336</v>
      </c>
      <c r="B342" s="4" t="s">
        <v>287</v>
      </c>
      <c r="C342" s="277" t="s">
        <v>273</v>
      </c>
      <c r="D342" s="328">
        <v>4721</v>
      </c>
      <c r="E342" s="328">
        <v>227</v>
      </c>
      <c r="F342" s="328">
        <v>0</v>
      </c>
      <c r="G342" s="328">
        <v>142</v>
      </c>
      <c r="H342" s="328">
        <v>85</v>
      </c>
      <c r="I342" s="328">
        <v>900</v>
      </c>
      <c r="J342" s="328">
        <v>50</v>
      </c>
      <c r="K342" s="333">
        <v>950</v>
      </c>
      <c r="L342" s="333"/>
      <c r="N342" s="351" t="s">
        <v>273</v>
      </c>
      <c r="O342" s="328">
        <v>0</v>
      </c>
      <c r="P342" s="328">
        <v>142</v>
      </c>
      <c r="Q342" s="328">
        <v>85</v>
      </c>
      <c r="R342" s="328">
        <v>227</v>
      </c>
      <c r="S342" s="333">
        <v>11859942</v>
      </c>
      <c r="T342" s="4">
        <v>3.15</v>
      </c>
      <c r="V342" s="277" t="s">
        <v>273</v>
      </c>
      <c r="W342" s="328">
        <v>950</v>
      </c>
      <c r="X342" s="328">
        <v>62082.452631578948</v>
      </c>
      <c r="Y342" s="328">
        <v>58978330</v>
      </c>
      <c r="AA342" s="277" t="s">
        <v>273</v>
      </c>
      <c r="AB342" s="328">
        <v>0</v>
      </c>
      <c r="AC342" s="328">
        <v>142</v>
      </c>
      <c r="AD342" s="328">
        <v>85</v>
      </c>
      <c r="AE342" s="328">
        <v>227</v>
      </c>
      <c r="AF342" s="328">
        <v>139</v>
      </c>
      <c r="AG342" s="328">
        <v>3527141</v>
      </c>
      <c r="AI342" s="277" t="s">
        <v>273</v>
      </c>
      <c r="AJ342" s="328">
        <v>0</v>
      </c>
      <c r="AK342" s="328">
        <v>142</v>
      </c>
      <c r="AL342" s="328">
        <v>85</v>
      </c>
      <c r="AM342" s="328">
        <v>227</v>
      </c>
      <c r="AN342" s="328">
        <v>139</v>
      </c>
      <c r="AO342" s="328">
        <v>8332801</v>
      </c>
    </row>
    <row r="343" spans="1:41">
      <c r="A343" s="333">
        <f>SUBTOTAL(3,$B$7:B343)</f>
        <v>337</v>
      </c>
      <c r="B343" s="4" t="s">
        <v>287</v>
      </c>
      <c r="C343" s="277" t="s">
        <v>274</v>
      </c>
      <c r="D343" s="328">
        <v>12770</v>
      </c>
      <c r="E343" s="328">
        <v>748</v>
      </c>
      <c r="F343" s="328">
        <v>0</v>
      </c>
      <c r="G343" s="328">
        <v>314</v>
      </c>
      <c r="H343" s="328">
        <v>434</v>
      </c>
      <c r="I343" s="328">
        <v>8750</v>
      </c>
      <c r="J343" s="328">
        <v>222</v>
      </c>
      <c r="K343" s="333">
        <v>8972</v>
      </c>
      <c r="L343" s="333"/>
      <c r="N343" s="351" t="s">
        <v>274</v>
      </c>
      <c r="O343" s="328">
        <v>0</v>
      </c>
      <c r="P343" s="328">
        <v>314</v>
      </c>
      <c r="Q343" s="328">
        <v>434</v>
      </c>
      <c r="R343" s="328">
        <v>748</v>
      </c>
      <c r="S343" s="333">
        <v>18583097</v>
      </c>
      <c r="T343" s="4">
        <v>1.85</v>
      </c>
      <c r="V343" s="277" t="s">
        <v>274</v>
      </c>
      <c r="W343" s="328">
        <v>8972</v>
      </c>
      <c r="X343" s="328">
        <v>36871.224476148018</v>
      </c>
      <c r="Y343" s="328">
        <v>330808626</v>
      </c>
      <c r="AA343" s="277" t="s">
        <v>274</v>
      </c>
      <c r="AB343" s="328">
        <v>0</v>
      </c>
      <c r="AC343" s="328">
        <v>314</v>
      </c>
      <c r="AD343" s="328">
        <v>434</v>
      </c>
      <c r="AE343" s="328">
        <v>748</v>
      </c>
      <c r="AF343" s="328">
        <v>504</v>
      </c>
      <c r="AG343" s="328">
        <v>7511033</v>
      </c>
      <c r="AI343" s="277" t="s">
        <v>274</v>
      </c>
      <c r="AJ343" s="328">
        <v>0</v>
      </c>
      <c r="AK343" s="328">
        <v>314</v>
      </c>
      <c r="AL343" s="328">
        <v>434</v>
      </c>
      <c r="AM343" s="328">
        <v>748</v>
      </c>
      <c r="AN343" s="328">
        <v>504</v>
      </c>
      <c r="AO343" s="328">
        <v>11072064</v>
      </c>
    </row>
    <row r="344" spans="1:41">
      <c r="A344" s="333">
        <f>SUBTOTAL(3,$B$7:B344)</f>
        <v>338</v>
      </c>
      <c r="B344" s="4" t="s">
        <v>287</v>
      </c>
      <c r="C344" s="277" t="s">
        <v>275</v>
      </c>
      <c r="D344" s="328">
        <v>3150</v>
      </c>
      <c r="E344" s="328">
        <v>124</v>
      </c>
      <c r="F344" s="328">
        <v>0</v>
      </c>
      <c r="G344" s="328">
        <v>0</v>
      </c>
      <c r="H344" s="328">
        <v>124</v>
      </c>
      <c r="I344" s="328">
        <v>0</v>
      </c>
      <c r="J344" s="328">
        <v>0</v>
      </c>
      <c r="K344" s="333">
        <v>0</v>
      </c>
      <c r="L344" s="333"/>
      <c r="N344" s="351" t="s">
        <v>275</v>
      </c>
      <c r="O344" s="328">
        <v>0</v>
      </c>
      <c r="P344" s="328">
        <v>0</v>
      </c>
      <c r="Q344" s="328">
        <v>124</v>
      </c>
      <c r="R344" s="328">
        <v>124</v>
      </c>
      <c r="S344" s="333">
        <v>4177841</v>
      </c>
      <c r="T344" s="4">
        <v>1.85</v>
      </c>
      <c r="V344" s="277" t="s">
        <v>275</v>
      </c>
      <c r="W344" s="328">
        <v>0</v>
      </c>
      <c r="X344" s="328">
        <v>0</v>
      </c>
      <c r="Y344" s="328">
        <v>0</v>
      </c>
      <c r="AA344" s="277" t="s">
        <v>275</v>
      </c>
      <c r="AB344" s="328">
        <v>0</v>
      </c>
      <c r="AC344" s="328">
        <v>0</v>
      </c>
      <c r="AD344" s="328">
        <v>124</v>
      </c>
      <c r="AE344" s="328">
        <v>124</v>
      </c>
      <c r="AF344" s="328">
        <v>99</v>
      </c>
      <c r="AG344" s="328">
        <v>1475382</v>
      </c>
      <c r="AI344" s="277" t="s">
        <v>275</v>
      </c>
      <c r="AJ344" s="328">
        <v>0</v>
      </c>
      <c r="AK344" s="328">
        <v>0</v>
      </c>
      <c r="AL344" s="328">
        <v>124</v>
      </c>
      <c r="AM344" s="328">
        <v>124</v>
      </c>
      <c r="AN344" s="328">
        <v>99</v>
      </c>
      <c r="AO344" s="328">
        <v>2702459</v>
      </c>
    </row>
    <row r="345" spans="1:41">
      <c r="A345" s="333">
        <f>SUBTOTAL(3,$B$7:B345)</f>
        <v>339</v>
      </c>
      <c r="B345" s="4" t="s">
        <v>287</v>
      </c>
      <c r="C345" s="277" t="s">
        <v>276</v>
      </c>
      <c r="D345" s="328">
        <v>6277</v>
      </c>
      <c r="E345" s="328">
        <v>187</v>
      </c>
      <c r="F345" s="328">
        <v>0</v>
      </c>
      <c r="G345" s="328">
        <v>81</v>
      </c>
      <c r="H345" s="328">
        <v>106</v>
      </c>
      <c r="I345" s="328">
        <v>0</v>
      </c>
      <c r="J345" s="328">
        <v>0</v>
      </c>
      <c r="K345" s="333">
        <v>0</v>
      </c>
      <c r="L345" s="333"/>
      <c r="N345" s="351" t="s">
        <v>276</v>
      </c>
      <c r="O345" s="328">
        <v>0</v>
      </c>
      <c r="P345" s="328">
        <v>81</v>
      </c>
      <c r="Q345" s="328">
        <v>106</v>
      </c>
      <c r="R345" s="328">
        <v>187</v>
      </c>
      <c r="S345" s="333">
        <v>5505352</v>
      </c>
      <c r="T345" s="4">
        <v>1.85</v>
      </c>
      <c r="V345" s="277" t="s">
        <v>276</v>
      </c>
      <c r="W345" s="328">
        <v>0</v>
      </c>
      <c r="X345" s="328">
        <v>0</v>
      </c>
      <c r="Y345" s="328">
        <v>0</v>
      </c>
      <c r="AA345" s="277" t="s">
        <v>276</v>
      </c>
      <c r="AB345" s="328">
        <v>0</v>
      </c>
      <c r="AC345" s="328">
        <v>81</v>
      </c>
      <c r="AD345" s="328">
        <v>106</v>
      </c>
      <c r="AE345" s="328">
        <v>187</v>
      </c>
      <c r="AF345" s="328">
        <v>125</v>
      </c>
      <c r="AG345" s="328">
        <v>2759305</v>
      </c>
      <c r="AI345" s="277" t="s">
        <v>276</v>
      </c>
      <c r="AJ345" s="328">
        <v>0</v>
      </c>
      <c r="AK345" s="328">
        <v>81</v>
      </c>
      <c r="AL345" s="328">
        <v>106</v>
      </c>
      <c r="AM345" s="328">
        <v>187</v>
      </c>
      <c r="AN345" s="328">
        <v>125</v>
      </c>
      <c r="AO345" s="328">
        <v>2746047</v>
      </c>
    </row>
    <row r="346" spans="1:41">
      <c r="A346" s="333">
        <f>SUBTOTAL(3,$B$7:B346)</f>
        <v>340</v>
      </c>
      <c r="B346" s="4" t="s">
        <v>287</v>
      </c>
      <c r="C346" s="277" t="s">
        <v>277</v>
      </c>
      <c r="D346" s="328">
        <v>6421</v>
      </c>
      <c r="E346" s="328">
        <v>87</v>
      </c>
      <c r="F346" s="328">
        <v>0</v>
      </c>
      <c r="G346" s="328">
        <v>23</v>
      </c>
      <c r="H346" s="328">
        <v>64</v>
      </c>
      <c r="I346" s="328">
        <v>0</v>
      </c>
      <c r="J346" s="328">
        <v>120</v>
      </c>
      <c r="K346" s="333">
        <v>120</v>
      </c>
      <c r="L346" s="333"/>
      <c r="N346" s="351" t="s">
        <v>277</v>
      </c>
      <c r="O346" s="328">
        <v>0</v>
      </c>
      <c r="P346" s="328">
        <v>23</v>
      </c>
      <c r="Q346" s="328">
        <v>64</v>
      </c>
      <c r="R346" s="328">
        <v>87</v>
      </c>
      <c r="S346" s="333">
        <v>2675709</v>
      </c>
      <c r="T346" s="4">
        <v>1.85</v>
      </c>
      <c r="V346" s="277" t="s">
        <v>277</v>
      </c>
      <c r="W346" s="328">
        <v>120</v>
      </c>
      <c r="X346" s="328">
        <v>36809.125</v>
      </c>
      <c r="Y346" s="328">
        <v>4417095</v>
      </c>
      <c r="AA346" s="277" t="s">
        <v>277</v>
      </c>
      <c r="AB346" s="328">
        <v>0</v>
      </c>
      <c r="AC346" s="328">
        <v>23</v>
      </c>
      <c r="AD346" s="328">
        <v>64</v>
      </c>
      <c r="AE346" s="328">
        <v>87</v>
      </c>
      <c r="AF346" s="328">
        <v>63</v>
      </c>
      <c r="AG346" s="328">
        <v>1291701</v>
      </c>
      <c r="AI346" s="277" t="s">
        <v>277</v>
      </c>
      <c r="AJ346" s="328">
        <v>0</v>
      </c>
      <c r="AK346" s="328">
        <v>23</v>
      </c>
      <c r="AL346" s="328">
        <v>64</v>
      </c>
      <c r="AM346" s="328">
        <v>87</v>
      </c>
      <c r="AN346" s="328">
        <v>63</v>
      </c>
      <c r="AO346" s="328">
        <v>1384008</v>
      </c>
    </row>
    <row r="347" spans="1:41">
      <c r="A347" s="333">
        <f>SUBTOTAL(3,$B$7:B347)</f>
        <v>341</v>
      </c>
      <c r="B347" s="4" t="s">
        <v>287</v>
      </c>
      <c r="C347" s="277" t="s">
        <v>278</v>
      </c>
      <c r="D347" s="328">
        <v>3719</v>
      </c>
      <c r="E347" s="328">
        <v>164</v>
      </c>
      <c r="F347" s="328">
        <v>0</v>
      </c>
      <c r="G347" s="328">
        <v>101</v>
      </c>
      <c r="H347" s="328">
        <v>63</v>
      </c>
      <c r="I347" s="328">
        <v>0</v>
      </c>
      <c r="J347" s="328">
        <v>20</v>
      </c>
      <c r="K347" s="333">
        <v>20</v>
      </c>
      <c r="L347" s="333"/>
      <c r="N347" s="351" t="s">
        <v>278</v>
      </c>
      <c r="O347" s="328">
        <v>0</v>
      </c>
      <c r="P347" s="328">
        <v>101</v>
      </c>
      <c r="Q347" s="328">
        <v>63</v>
      </c>
      <c r="R347" s="328">
        <v>164</v>
      </c>
      <c r="S347" s="333">
        <v>4621470</v>
      </c>
      <c r="T347" s="4">
        <v>1.85</v>
      </c>
      <c r="V347" s="277" t="s">
        <v>278</v>
      </c>
      <c r="W347" s="328">
        <v>20</v>
      </c>
      <c r="X347" s="328">
        <v>36595.050000000003</v>
      </c>
      <c r="Y347" s="328">
        <v>731901</v>
      </c>
      <c r="AA347" s="277" t="s">
        <v>278</v>
      </c>
      <c r="AB347" s="328">
        <v>0</v>
      </c>
      <c r="AC347" s="328">
        <v>101</v>
      </c>
      <c r="AD347" s="328">
        <v>63</v>
      </c>
      <c r="AE347" s="328">
        <v>164</v>
      </c>
      <c r="AF347" s="328">
        <v>101</v>
      </c>
      <c r="AG347" s="328">
        <v>2402664</v>
      </c>
      <c r="AI347" s="277" t="s">
        <v>278</v>
      </c>
      <c r="AJ347" s="328">
        <v>0</v>
      </c>
      <c r="AK347" s="328">
        <v>101</v>
      </c>
      <c r="AL347" s="328">
        <v>63</v>
      </c>
      <c r="AM347" s="328">
        <v>164</v>
      </c>
      <c r="AN347" s="328">
        <v>101</v>
      </c>
      <c r="AO347" s="328">
        <v>2218806</v>
      </c>
    </row>
    <row r="348" spans="1:41">
      <c r="A348" s="333">
        <f>SUBTOTAL(3,$B$7:B348)</f>
        <v>342</v>
      </c>
      <c r="B348" s="4" t="s">
        <v>287</v>
      </c>
      <c r="C348" s="277" t="s">
        <v>279</v>
      </c>
      <c r="D348" s="328">
        <v>2985</v>
      </c>
      <c r="E348" s="328">
        <v>259</v>
      </c>
      <c r="F348" s="328">
        <v>0</v>
      </c>
      <c r="G348" s="328">
        <v>13</v>
      </c>
      <c r="H348" s="328">
        <v>246</v>
      </c>
      <c r="I348" s="328">
        <v>0</v>
      </c>
      <c r="J348" s="328">
        <v>43</v>
      </c>
      <c r="K348" s="333">
        <v>43</v>
      </c>
      <c r="L348" s="333"/>
      <c r="N348" s="351" t="s">
        <v>279</v>
      </c>
      <c r="O348" s="328">
        <v>0</v>
      </c>
      <c r="P348" s="328">
        <v>13</v>
      </c>
      <c r="Q348" s="328">
        <v>246</v>
      </c>
      <c r="R348" s="328">
        <v>259</v>
      </c>
      <c r="S348" s="333">
        <v>12744489</v>
      </c>
      <c r="T348" s="4">
        <v>3.15</v>
      </c>
      <c r="V348" s="277" t="s">
        <v>279</v>
      </c>
      <c r="W348" s="328">
        <v>43</v>
      </c>
      <c r="X348" s="328">
        <v>62727.325581395351</v>
      </c>
      <c r="Y348" s="328">
        <v>2697275</v>
      </c>
      <c r="AA348" s="277" t="s">
        <v>279</v>
      </c>
      <c r="AB348" s="328">
        <v>0</v>
      </c>
      <c r="AC348" s="328">
        <v>13</v>
      </c>
      <c r="AD348" s="328">
        <v>246</v>
      </c>
      <c r="AE348" s="328">
        <v>259</v>
      </c>
      <c r="AF348" s="328">
        <v>203</v>
      </c>
      <c r="AG348" s="328">
        <v>5151148</v>
      </c>
      <c r="AI348" s="277" t="s">
        <v>279</v>
      </c>
      <c r="AJ348" s="328">
        <v>0</v>
      </c>
      <c r="AK348" s="328">
        <v>13</v>
      </c>
      <c r="AL348" s="328">
        <v>246</v>
      </c>
      <c r="AM348" s="328">
        <v>259</v>
      </c>
      <c r="AN348" s="328">
        <v>203</v>
      </c>
      <c r="AO348" s="328">
        <v>7593341</v>
      </c>
    </row>
    <row r="349" spans="1:41">
      <c r="A349" s="333">
        <f>SUBTOTAL(3,$B$7:B349)</f>
        <v>343</v>
      </c>
      <c r="B349" s="4" t="s">
        <v>287</v>
      </c>
      <c r="C349" s="277" t="s">
        <v>280</v>
      </c>
      <c r="D349" s="328">
        <v>16706</v>
      </c>
      <c r="E349" s="328">
        <v>10270</v>
      </c>
      <c r="F349" s="328">
        <v>1714</v>
      </c>
      <c r="G349" s="328">
        <v>3984</v>
      </c>
      <c r="H349" s="328">
        <v>4572</v>
      </c>
      <c r="I349" s="328">
        <v>5891</v>
      </c>
      <c r="J349" s="328">
        <v>0</v>
      </c>
      <c r="K349" s="333">
        <v>5891</v>
      </c>
      <c r="L349" s="333"/>
      <c r="N349" s="351" t="s">
        <v>280</v>
      </c>
      <c r="O349" s="328">
        <v>1714</v>
      </c>
      <c r="P349" s="328">
        <v>3984</v>
      </c>
      <c r="Q349" s="328">
        <v>4572</v>
      </c>
      <c r="R349" s="328">
        <v>10270</v>
      </c>
      <c r="S349" s="333">
        <v>206601628</v>
      </c>
      <c r="T349" s="4">
        <v>1.73</v>
      </c>
      <c r="V349" s="277" t="s">
        <v>280</v>
      </c>
      <c r="W349" s="328">
        <v>5891</v>
      </c>
      <c r="X349" s="328">
        <v>34479.577321337631</v>
      </c>
      <c r="Y349" s="328">
        <v>203119190</v>
      </c>
      <c r="AA349" s="277" t="s">
        <v>280</v>
      </c>
      <c r="AB349" s="328">
        <v>1714</v>
      </c>
      <c r="AC349" s="328">
        <v>3984</v>
      </c>
      <c r="AD349" s="328">
        <v>4572</v>
      </c>
      <c r="AE349" s="328">
        <v>10270</v>
      </c>
      <c r="AF349" s="328">
        <v>5992</v>
      </c>
      <c r="AG349" s="328">
        <v>83505550</v>
      </c>
      <c r="AI349" s="277" t="s">
        <v>280</v>
      </c>
      <c r="AJ349" s="328">
        <v>1714</v>
      </c>
      <c r="AK349" s="328">
        <v>3984</v>
      </c>
      <c r="AL349" s="328">
        <v>4572</v>
      </c>
      <c r="AM349" s="328">
        <v>10270</v>
      </c>
      <c r="AN349" s="328">
        <v>5992</v>
      </c>
      <c r="AO349" s="328">
        <v>123096078</v>
      </c>
    </row>
    <row r="350" spans="1:41">
      <c r="A350" s="333">
        <f>SUBTOTAL(3,$B$7:B350)</f>
        <v>344</v>
      </c>
      <c r="B350" s="4" t="s">
        <v>287</v>
      </c>
      <c r="C350" s="277" t="s">
        <v>281</v>
      </c>
      <c r="D350" s="328">
        <v>14189</v>
      </c>
      <c r="E350" s="328">
        <v>1956</v>
      </c>
      <c r="F350" s="328">
        <v>0</v>
      </c>
      <c r="G350" s="328">
        <v>640</v>
      </c>
      <c r="H350" s="328">
        <v>1316</v>
      </c>
      <c r="I350" s="328">
        <v>0</v>
      </c>
      <c r="J350" s="328">
        <v>177</v>
      </c>
      <c r="K350" s="333">
        <v>177</v>
      </c>
      <c r="L350" s="333"/>
      <c r="N350" s="351" t="s">
        <v>281</v>
      </c>
      <c r="O350" s="328">
        <v>0</v>
      </c>
      <c r="P350" s="328">
        <v>640</v>
      </c>
      <c r="Q350" s="328">
        <v>1316</v>
      </c>
      <c r="R350" s="328">
        <v>1956</v>
      </c>
      <c r="S350" s="333">
        <v>54728855</v>
      </c>
      <c r="T350" s="4">
        <v>2</v>
      </c>
      <c r="V350" s="277" t="s">
        <v>281</v>
      </c>
      <c r="W350" s="328">
        <v>177</v>
      </c>
      <c r="X350" s="328">
        <v>39860.785310734464</v>
      </c>
      <c r="Y350" s="328">
        <v>7055359</v>
      </c>
      <c r="AA350" s="277" t="s">
        <v>281</v>
      </c>
      <c r="AB350" s="328">
        <v>0</v>
      </c>
      <c r="AC350" s="328">
        <v>640</v>
      </c>
      <c r="AD350" s="328">
        <v>1316</v>
      </c>
      <c r="AE350" s="328">
        <v>1956</v>
      </c>
      <c r="AF350" s="328">
        <v>1373</v>
      </c>
      <c r="AG350" s="328">
        <v>22120654</v>
      </c>
      <c r="AI350" s="277" t="s">
        <v>281</v>
      </c>
      <c r="AJ350" s="328">
        <v>0</v>
      </c>
      <c r="AK350" s="328">
        <v>640</v>
      </c>
      <c r="AL350" s="328">
        <v>1316</v>
      </c>
      <c r="AM350" s="328">
        <v>1956</v>
      </c>
      <c r="AN350" s="328">
        <v>1373</v>
      </c>
      <c r="AO350" s="328">
        <v>32608201</v>
      </c>
    </row>
    <row r="351" spans="1:41">
      <c r="A351" s="333">
        <f>SUBTOTAL(3,$B$7:B351)</f>
        <v>345</v>
      </c>
      <c r="B351" s="4" t="s">
        <v>287</v>
      </c>
      <c r="C351" s="277" t="s">
        <v>282</v>
      </c>
      <c r="D351" s="328">
        <v>868</v>
      </c>
      <c r="E351" s="328">
        <v>868</v>
      </c>
      <c r="F351" s="328">
        <v>0</v>
      </c>
      <c r="G351" s="328">
        <v>562</v>
      </c>
      <c r="H351" s="328">
        <v>306</v>
      </c>
      <c r="I351" s="328">
        <v>0</v>
      </c>
      <c r="J351" s="328">
        <v>0</v>
      </c>
      <c r="K351" s="333">
        <v>0</v>
      </c>
      <c r="L351" s="333"/>
      <c r="N351" s="351" t="s">
        <v>282</v>
      </c>
      <c r="O351" s="328">
        <v>0</v>
      </c>
      <c r="P351" s="328">
        <v>562</v>
      </c>
      <c r="Q351" s="328">
        <v>306</v>
      </c>
      <c r="R351" s="328">
        <v>868</v>
      </c>
      <c r="S351" s="333">
        <v>24635957</v>
      </c>
      <c r="T351" s="4">
        <v>2.35</v>
      </c>
      <c r="V351" s="277" t="s">
        <v>282</v>
      </c>
      <c r="W351" s="328">
        <v>0</v>
      </c>
      <c r="X351" s="328">
        <v>0</v>
      </c>
      <c r="Y351" s="328">
        <v>0</v>
      </c>
      <c r="AA351" s="277" t="s">
        <v>282</v>
      </c>
      <c r="AB351" s="328">
        <v>0</v>
      </c>
      <c r="AC351" s="328">
        <v>562</v>
      </c>
      <c r="AD351" s="328">
        <v>306</v>
      </c>
      <c r="AE351" s="328">
        <v>868</v>
      </c>
      <c r="AF351" s="328">
        <v>526</v>
      </c>
      <c r="AG351" s="328">
        <v>9957517</v>
      </c>
      <c r="AI351" s="277" t="s">
        <v>282</v>
      </c>
      <c r="AJ351" s="328">
        <v>0</v>
      </c>
      <c r="AK351" s="328">
        <v>562</v>
      </c>
      <c r="AL351" s="328">
        <v>306</v>
      </c>
      <c r="AM351" s="328">
        <v>868</v>
      </c>
      <c r="AN351" s="328">
        <v>526</v>
      </c>
      <c r="AO351" s="328">
        <v>14678440</v>
      </c>
    </row>
    <row r="352" spans="1:41">
      <c r="A352" s="333">
        <f>SUBTOTAL(3,$B$7:B352)</f>
        <v>346</v>
      </c>
      <c r="B352" s="4" t="s">
        <v>106</v>
      </c>
      <c r="C352" s="277" t="s">
        <v>283</v>
      </c>
      <c r="D352" s="328">
        <v>12498</v>
      </c>
      <c r="E352" s="328">
        <v>1405</v>
      </c>
      <c r="F352" s="328">
        <v>2</v>
      </c>
      <c r="G352" s="328">
        <v>309</v>
      </c>
      <c r="H352" s="328">
        <v>1094</v>
      </c>
      <c r="I352" s="328">
        <v>11093</v>
      </c>
      <c r="J352" s="328">
        <v>0</v>
      </c>
      <c r="K352" s="333">
        <v>11093</v>
      </c>
      <c r="L352" s="333"/>
      <c r="N352" s="352" t="s">
        <v>283</v>
      </c>
      <c r="O352" s="328">
        <v>2</v>
      </c>
      <c r="P352" s="328">
        <v>309</v>
      </c>
      <c r="Q352" s="328">
        <v>1094</v>
      </c>
      <c r="R352" s="328">
        <v>1405</v>
      </c>
      <c r="S352" s="328">
        <v>39003777</v>
      </c>
      <c r="T352" s="4">
        <v>1.9</v>
      </c>
      <c r="V352" s="277" t="s">
        <v>283</v>
      </c>
      <c r="W352" s="328">
        <v>11093</v>
      </c>
      <c r="X352" s="328">
        <v>37867.743982691791</v>
      </c>
      <c r="Y352" s="328">
        <v>420066884</v>
      </c>
      <c r="AA352" s="277" t="s">
        <v>283</v>
      </c>
      <c r="AB352" s="328">
        <v>2</v>
      </c>
      <c r="AC352" s="328">
        <v>309</v>
      </c>
      <c r="AD352" s="328">
        <v>1094</v>
      </c>
      <c r="AE352" s="328">
        <v>1405</v>
      </c>
      <c r="AF352" s="328">
        <v>1030</v>
      </c>
      <c r="AG352" s="328">
        <v>15764793</v>
      </c>
      <c r="AI352" s="277" t="s">
        <v>283</v>
      </c>
      <c r="AJ352" s="328">
        <v>2</v>
      </c>
      <c r="AK352" s="328">
        <v>309</v>
      </c>
      <c r="AL352" s="328">
        <v>1094</v>
      </c>
      <c r="AM352" s="328">
        <v>1405</v>
      </c>
      <c r="AN352" s="328">
        <v>1030</v>
      </c>
      <c r="AO352" s="328">
        <v>23238984</v>
      </c>
    </row>
    <row r="353" spans="1:41">
      <c r="A353" s="333">
        <f>SUBTOTAL(3,$B$7:B353)</f>
        <v>347</v>
      </c>
      <c r="B353" s="4" t="s">
        <v>106</v>
      </c>
      <c r="C353" s="277" t="s">
        <v>284</v>
      </c>
      <c r="D353" s="328">
        <v>15421.18</v>
      </c>
      <c r="E353" s="328">
        <v>2816</v>
      </c>
      <c r="F353" s="328">
        <v>0</v>
      </c>
      <c r="G353" s="328">
        <v>349</v>
      </c>
      <c r="H353" s="328">
        <v>2467</v>
      </c>
      <c r="I353" s="328">
        <v>12605</v>
      </c>
      <c r="J353" s="328">
        <v>0</v>
      </c>
      <c r="K353" s="333">
        <v>12605</v>
      </c>
      <c r="L353" s="333"/>
      <c r="N353" s="352" t="s">
        <v>284</v>
      </c>
      <c r="O353" s="328">
        <v>0</v>
      </c>
      <c r="P353" s="328">
        <v>349</v>
      </c>
      <c r="Q353" s="328">
        <v>2467</v>
      </c>
      <c r="R353" s="328">
        <v>2816</v>
      </c>
      <c r="S353" s="328">
        <v>81339914</v>
      </c>
      <c r="T353" s="4">
        <v>1.9</v>
      </c>
      <c r="V353" s="277" t="s">
        <v>284</v>
      </c>
      <c r="W353" s="328">
        <v>12605</v>
      </c>
      <c r="X353" s="328">
        <v>37867.743990479968</v>
      </c>
      <c r="Y353" s="328">
        <v>477322913</v>
      </c>
      <c r="AA353" s="277" t="s">
        <v>284</v>
      </c>
      <c r="AB353" s="328">
        <v>0</v>
      </c>
      <c r="AC353" s="328">
        <v>349</v>
      </c>
      <c r="AD353" s="328">
        <v>2467</v>
      </c>
      <c r="AE353" s="328">
        <v>2816</v>
      </c>
      <c r="AF353" s="328">
        <v>2148</v>
      </c>
      <c r="AG353" s="328">
        <v>32876480</v>
      </c>
      <c r="AI353" s="277" t="s">
        <v>284</v>
      </c>
      <c r="AJ353" s="328">
        <v>0</v>
      </c>
      <c r="AK353" s="328">
        <v>349</v>
      </c>
      <c r="AL353" s="328">
        <v>2467</v>
      </c>
      <c r="AM353" s="328">
        <v>2816</v>
      </c>
      <c r="AN353" s="328">
        <v>2148</v>
      </c>
      <c r="AO353" s="328">
        <v>48463434</v>
      </c>
    </row>
    <row r="354" spans="1:41">
      <c r="A354" s="333">
        <f>SUBTOTAL(3,$B$7:B354)</f>
        <v>348</v>
      </c>
      <c r="B354" s="4" t="s">
        <v>106</v>
      </c>
      <c r="C354" s="277" t="s">
        <v>285</v>
      </c>
      <c r="D354" s="328">
        <v>7167</v>
      </c>
      <c r="E354" s="328">
        <v>2079</v>
      </c>
      <c r="F354" s="328">
        <v>70</v>
      </c>
      <c r="G354" s="328">
        <v>436</v>
      </c>
      <c r="H354" s="328">
        <v>1573</v>
      </c>
      <c r="I354" s="328">
        <v>5088</v>
      </c>
      <c r="J354" s="328">
        <v>0</v>
      </c>
      <c r="K354" s="333">
        <v>5088</v>
      </c>
      <c r="L354" s="333"/>
      <c r="N354" s="352" t="s">
        <v>285</v>
      </c>
      <c r="O354" s="328">
        <v>70</v>
      </c>
      <c r="P354" s="328">
        <v>436</v>
      </c>
      <c r="Q354" s="328">
        <v>1573</v>
      </c>
      <c r="R354" s="328">
        <v>2079</v>
      </c>
      <c r="S354" s="328">
        <v>56422938</v>
      </c>
      <c r="T354" s="4">
        <v>1.9</v>
      </c>
      <c r="V354" s="277" t="s">
        <v>285</v>
      </c>
      <c r="W354" s="328">
        <v>5088</v>
      </c>
      <c r="X354" s="328">
        <v>37867.744103773584</v>
      </c>
      <c r="Y354" s="328">
        <v>192671082</v>
      </c>
      <c r="AA354" s="277" t="s">
        <v>285</v>
      </c>
      <c r="AB354" s="328">
        <v>70</v>
      </c>
      <c r="AC354" s="328">
        <v>436</v>
      </c>
      <c r="AD354" s="328">
        <v>1573</v>
      </c>
      <c r="AE354" s="328">
        <v>2079</v>
      </c>
      <c r="AF354" s="328">
        <v>1490</v>
      </c>
      <c r="AG354" s="328">
        <v>22805379</v>
      </c>
      <c r="AI354" s="277" t="s">
        <v>285</v>
      </c>
      <c r="AJ354" s="328">
        <v>70</v>
      </c>
      <c r="AK354" s="328">
        <v>436</v>
      </c>
      <c r="AL354" s="328">
        <v>1573</v>
      </c>
      <c r="AM354" s="328">
        <v>2079</v>
      </c>
      <c r="AN354" s="328">
        <v>1490</v>
      </c>
      <c r="AO354" s="328">
        <v>33617559</v>
      </c>
    </row>
    <row r="355" spans="1:41">
      <c r="A355" s="333">
        <f>SUBTOTAL(3,$B$7:B355)</f>
        <v>349</v>
      </c>
      <c r="B355" s="4" t="s">
        <v>101</v>
      </c>
      <c r="C355" s="277" t="s">
        <v>537</v>
      </c>
      <c r="D355" s="328">
        <v>6706</v>
      </c>
      <c r="E355" s="328">
        <v>286</v>
      </c>
      <c r="F355" s="328">
        <v>75</v>
      </c>
      <c r="G355" s="328">
        <v>144</v>
      </c>
      <c r="H355" s="328">
        <v>67</v>
      </c>
      <c r="I355" s="328">
        <v>19</v>
      </c>
      <c r="J355" s="328">
        <v>168</v>
      </c>
      <c r="K355" s="333">
        <v>187</v>
      </c>
      <c r="L355" s="333"/>
      <c r="N355" s="351" t="s">
        <v>537</v>
      </c>
      <c r="O355" s="328">
        <v>75</v>
      </c>
      <c r="P355" s="328">
        <v>144</v>
      </c>
      <c r="Q355" s="328">
        <v>67</v>
      </c>
      <c r="R355" s="328">
        <v>286</v>
      </c>
      <c r="S355" s="328">
        <v>7306482</v>
      </c>
      <c r="T355" s="4">
        <v>2.6</v>
      </c>
      <c r="V355" s="277" t="s">
        <v>537</v>
      </c>
      <c r="W355" s="328">
        <v>187</v>
      </c>
      <c r="X355" s="328">
        <v>51819.01604278075</v>
      </c>
      <c r="Y355" s="328">
        <v>9690156</v>
      </c>
      <c r="AA355" s="277" t="s">
        <v>537</v>
      </c>
      <c r="AB355" s="328">
        <v>75</v>
      </c>
      <c r="AC355" s="328">
        <v>144</v>
      </c>
      <c r="AD355" s="328">
        <v>67</v>
      </c>
      <c r="AE355" s="328">
        <v>286</v>
      </c>
      <c r="AF355" s="328">
        <v>141</v>
      </c>
      <c r="AG355" s="328">
        <v>2953180</v>
      </c>
      <c r="AI355" s="277" t="s">
        <v>537</v>
      </c>
      <c r="AJ355" s="328">
        <v>75</v>
      </c>
      <c r="AK355" s="328">
        <v>144</v>
      </c>
      <c r="AL355" s="328">
        <v>67</v>
      </c>
      <c r="AM355" s="328">
        <v>286</v>
      </c>
      <c r="AN355" s="328">
        <v>141</v>
      </c>
      <c r="AO355" s="328">
        <v>4353302</v>
      </c>
    </row>
    <row r="356" spans="1:41">
      <c r="A356" s="333">
        <f>SUBTOTAL(3,$B$7:B356)</f>
        <v>350</v>
      </c>
      <c r="B356" s="4" t="s">
        <v>161</v>
      </c>
      <c r="C356" s="277" t="s">
        <v>286</v>
      </c>
      <c r="D356" s="328">
        <v>9502</v>
      </c>
      <c r="E356" s="328">
        <v>0</v>
      </c>
      <c r="I356" s="328">
        <v>294</v>
      </c>
      <c r="J356" s="328">
        <v>0</v>
      </c>
      <c r="K356" s="333">
        <v>294</v>
      </c>
      <c r="L356" s="333"/>
      <c r="N356" s="352" t="s">
        <v>286</v>
      </c>
      <c r="R356" s="328">
        <v>0</v>
      </c>
      <c r="S356" s="328">
        <v>0</v>
      </c>
      <c r="T356" s="4">
        <v>1.26</v>
      </c>
      <c r="V356" s="277" t="s">
        <v>286</v>
      </c>
      <c r="W356" s="328">
        <v>294</v>
      </c>
      <c r="X356" s="328">
        <v>25112.292517006801</v>
      </c>
      <c r="Y356" s="328">
        <v>7383014</v>
      </c>
      <c r="AA356" s="277" t="s">
        <v>286</v>
      </c>
      <c r="AI356" s="277" t="s">
        <v>286</v>
      </c>
    </row>
    <row r="357" spans="1:41">
      <c r="A357" s="333">
        <f>SUBTOTAL(3,$B$7:B357)</f>
        <v>351</v>
      </c>
      <c r="B357" s="4" t="s">
        <v>107</v>
      </c>
      <c r="C357" s="277" t="s">
        <v>288</v>
      </c>
      <c r="D357" s="328">
        <v>0</v>
      </c>
      <c r="E357" s="328">
        <v>0</v>
      </c>
      <c r="F357" s="328">
        <v>0</v>
      </c>
      <c r="G357" s="328">
        <v>0</v>
      </c>
      <c r="H357" s="328">
        <v>0</v>
      </c>
      <c r="I357" s="328">
        <v>0</v>
      </c>
      <c r="J357" s="328">
        <v>0</v>
      </c>
      <c r="K357" s="333">
        <v>0</v>
      </c>
      <c r="L357" s="333"/>
      <c r="N357" s="352" t="s">
        <v>288</v>
      </c>
      <c r="O357" s="328">
        <v>0</v>
      </c>
      <c r="P357" s="328">
        <v>0</v>
      </c>
      <c r="Q357" s="328">
        <v>0</v>
      </c>
      <c r="R357" s="328">
        <v>0</v>
      </c>
      <c r="S357" s="328">
        <v>0</v>
      </c>
      <c r="T357" s="4">
        <v>0.9</v>
      </c>
      <c r="V357" s="277" t="s">
        <v>288</v>
      </c>
      <c r="W357" s="328">
        <v>0</v>
      </c>
      <c r="X357" s="328">
        <v>0</v>
      </c>
      <c r="Y357" s="328">
        <v>0</v>
      </c>
      <c r="AA357" s="277" t="s">
        <v>288</v>
      </c>
      <c r="AB357" s="328">
        <v>0</v>
      </c>
      <c r="AC357" s="328">
        <v>0</v>
      </c>
      <c r="AD357" s="328">
        <v>0</v>
      </c>
      <c r="AE357" s="328">
        <v>0</v>
      </c>
      <c r="AF357" s="328">
        <v>0</v>
      </c>
      <c r="AG357" s="328">
        <v>0</v>
      </c>
      <c r="AI357" s="277" t="s">
        <v>288</v>
      </c>
      <c r="AJ357" s="328">
        <v>0</v>
      </c>
      <c r="AK357" s="328">
        <v>0</v>
      </c>
      <c r="AL357" s="328">
        <v>0</v>
      </c>
      <c r="AM357" s="328">
        <v>0</v>
      </c>
      <c r="AN357" s="328">
        <v>0</v>
      </c>
      <c r="AO357" s="328">
        <v>0</v>
      </c>
    </row>
    <row r="358" spans="1:41">
      <c r="A358" s="333">
        <f>SUBTOTAL(3,$B$7:B358)</f>
        <v>352</v>
      </c>
      <c r="B358" s="4" t="s">
        <v>107</v>
      </c>
      <c r="C358" s="277" t="s">
        <v>268</v>
      </c>
      <c r="D358" s="328">
        <v>0</v>
      </c>
      <c r="E358" s="328">
        <v>0</v>
      </c>
      <c r="F358" s="328">
        <v>0</v>
      </c>
      <c r="G358" s="328">
        <v>0</v>
      </c>
      <c r="H358" s="328">
        <v>0</v>
      </c>
      <c r="I358" s="328">
        <v>0</v>
      </c>
      <c r="J358" s="328">
        <v>0</v>
      </c>
      <c r="K358" s="333">
        <v>0</v>
      </c>
      <c r="L358" s="333"/>
      <c r="N358" s="352" t="s">
        <v>268</v>
      </c>
      <c r="O358" s="328">
        <v>0</v>
      </c>
      <c r="P358" s="328">
        <v>0</v>
      </c>
      <c r="Q358" s="328">
        <v>0</v>
      </c>
      <c r="R358" s="328">
        <v>0</v>
      </c>
      <c r="S358" s="328">
        <v>0</v>
      </c>
      <c r="T358" s="4">
        <v>1.9</v>
      </c>
      <c r="V358" s="277" t="s">
        <v>268</v>
      </c>
      <c r="W358" s="328">
        <v>0</v>
      </c>
      <c r="X358" s="328">
        <v>0</v>
      </c>
      <c r="Y358" s="328">
        <v>0</v>
      </c>
      <c r="AA358" s="277" t="s">
        <v>268</v>
      </c>
      <c r="AB358" s="328">
        <v>0</v>
      </c>
      <c r="AC358" s="328">
        <v>0</v>
      </c>
      <c r="AD358" s="328">
        <v>0</v>
      </c>
      <c r="AE358" s="328">
        <v>0</v>
      </c>
      <c r="AF358" s="328">
        <v>0</v>
      </c>
      <c r="AG358" s="328">
        <v>0</v>
      </c>
      <c r="AI358" s="277" t="s">
        <v>268</v>
      </c>
      <c r="AJ358" s="328">
        <v>0</v>
      </c>
      <c r="AK358" s="328">
        <v>0</v>
      </c>
      <c r="AL358" s="328">
        <v>0</v>
      </c>
      <c r="AM358" s="328">
        <v>0</v>
      </c>
      <c r="AN358" s="328">
        <v>0</v>
      </c>
      <c r="AO358" s="328">
        <v>0</v>
      </c>
    </row>
    <row r="359" spans="1:41">
      <c r="A359" s="333">
        <f>SUBTOTAL(3,$B$7:B359)</f>
        <v>353</v>
      </c>
      <c r="B359" s="4" t="s">
        <v>100</v>
      </c>
      <c r="C359" s="277" t="s">
        <v>538</v>
      </c>
      <c r="D359" s="328">
        <v>720</v>
      </c>
      <c r="E359" s="328">
        <v>710</v>
      </c>
      <c r="F359" s="328">
        <v>520</v>
      </c>
      <c r="G359" s="328">
        <v>40</v>
      </c>
      <c r="H359" s="328">
        <v>150</v>
      </c>
      <c r="I359" s="328">
        <v>0</v>
      </c>
      <c r="J359" s="328">
        <v>0</v>
      </c>
      <c r="K359" s="333">
        <v>0</v>
      </c>
      <c r="L359" s="333"/>
      <c r="N359" s="351" t="s">
        <v>538</v>
      </c>
      <c r="O359" s="328">
        <v>520</v>
      </c>
      <c r="P359" s="328">
        <v>40</v>
      </c>
      <c r="Q359" s="328">
        <v>150</v>
      </c>
      <c r="R359" s="328">
        <v>710</v>
      </c>
      <c r="S359" s="328">
        <v>18965761</v>
      </c>
      <c r="T359" s="4">
        <v>3.9</v>
      </c>
      <c r="V359" s="277" t="s">
        <v>538</v>
      </c>
      <c r="W359" s="328">
        <v>0</v>
      </c>
      <c r="X359" s="328">
        <v>0</v>
      </c>
      <c r="Y359" s="328">
        <v>0</v>
      </c>
      <c r="AA359" s="277" t="s">
        <v>538</v>
      </c>
      <c r="AB359" s="328">
        <v>520</v>
      </c>
      <c r="AC359" s="328">
        <v>40</v>
      </c>
      <c r="AD359" s="328">
        <v>150</v>
      </c>
      <c r="AE359" s="328">
        <v>710</v>
      </c>
      <c r="AF359" s="328">
        <v>244</v>
      </c>
      <c r="AG359" s="328">
        <v>7665701</v>
      </c>
      <c r="AI359" s="277" t="s">
        <v>538</v>
      </c>
      <c r="AJ359" s="328">
        <v>520</v>
      </c>
      <c r="AK359" s="328">
        <v>40</v>
      </c>
      <c r="AL359" s="328">
        <v>150</v>
      </c>
      <c r="AM359" s="328">
        <v>710</v>
      </c>
      <c r="AN359" s="328">
        <v>244</v>
      </c>
      <c r="AO359" s="328">
        <v>11300060</v>
      </c>
    </row>
    <row r="360" spans="1:41">
      <c r="A360" s="333">
        <f>SUBTOTAL(3,$B$7:B360)</f>
        <v>354</v>
      </c>
      <c r="B360" s="4" t="s">
        <v>108</v>
      </c>
      <c r="C360" s="277" t="s">
        <v>539</v>
      </c>
      <c r="D360" s="328">
        <v>558</v>
      </c>
      <c r="E360" s="328">
        <v>554</v>
      </c>
      <c r="F360" s="328">
        <v>230</v>
      </c>
      <c r="G360" s="328">
        <v>100</v>
      </c>
      <c r="H360" s="328">
        <v>224</v>
      </c>
      <c r="I360" s="328">
        <v>0</v>
      </c>
      <c r="J360" s="328">
        <v>0</v>
      </c>
      <c r="K360" s="333">
        <v>0</v>
      </c>
      <c r="L360" s="333"/>
      <c r="N360" s="351" t="s">
        <v>539</v>
      </c>
      <c r="O360" s="328">
        <v>230</v>
      </c>
      <c r="P360" s="328">
        <v>100</v>
      </c>
      <c r="Q360" s="328">
        <v>224</v>
      </c>
      <c r="R360" s="328">
        <v>554</v>
      </c>
      <c r="S360" s="328">
        <v>18963769</v>
      </c>
      <c r="T360" s="4">
        <v>3.46</v>
      </c>
      <c r="V360" s="277" t="s">
        <v>539</v>
      </c>
      <c r="W360" s="328">
        <v>0</v>
      </c>
      <c r="X360" s="328">
        <v>0</v>
      </c>
      <c r="Y360" s="328">
        <v>0</v>
      </c>
      <c r="AA360" s="277" t="s">
        <v>539</v>
      </c>
      <c r="AB360" s="328">
        <v>230</v>
      </c>
      <c r="AC360" s="328">
        <v>100</v>
      </c>
      <c r="AD360" s="328">
        <v>224</v>
      </c>
      <c r="AE360" s="328">
        <v>554</v>
      </c>
      <c r="AF360" s="328">
        <v>275</v>
      </c>
      <c r="AG360" s="328">
        <v>7664896</v>
      </c>
      <c r="AI360" s="277" t="s">
        <v>539</v>
      </c>
      <c r="AJ360" s="328">
        <v>230</v>
      </c>
      <c r="AK360" s="328">
        <v>100</v>
      </c>
      <c r="AL360" s="328">
        <v>224</v>
      </c>
      <c r="AM360" s="328">
        <v>554</v>
      </c>
      <c r="AN360" s="328">
        <v>275</v>
      </c>
      <c r="AO360" s="328">
        <v>11298873</v>
      </c>
    </row>
    <row r="361" spans="1:41">
      <c r="A361" s="333">
        <f>SUBTOTAL(3,$B$7:B361)</f>
        <v>355</v>
      </c>
      <c r="B361" s="4" t="s">
        <v>108</v>
      </c>
      <c r="C361" s="277" t="s">
        <v>540</v>
      </c>
      <c r="D361" s="328">
        <v>250</v>
      </c>
      <c r="E361" s="328">
        <v>246</v>
      </c>
      <c r="F361" s="328">
        <v>100</v>
      </c>
      <c r="G361" s="328">
        <v>40</v>
      </c>
      <c r="H361" s="328">
        <v>106</v>
      </c>
      <c r="I361" s="328">
        <v>0</v>
      </c>
      <c r="J361" s="328">
        <v>0</v>
      </c>
      <c r="K361" s="333">
        <v>0</v>
      </c>
      <c r="L361" s="333"/>
      <c r="N361" s="351" t="s">
        <v>540</v>
      </c>
      <c r="O361" s="328">
        <v>100</v>
      </c>
      <c r="P361" s="328">
        <v>40</v>
      </c>
      <c r="Q361" s="328">
        <v>106</v>
      </c>
      <c r="R361" s="328">
        <v>246</v>
      </c>
      <c r="S361" s="328">
        <v>9865543</v>
      </c>
      <c r="T361" s="4">
        <v>3.96</v>
      </c>
      <c r="V361" s="277" t="s">
        <v>540</v>
      </c>
      <c r="W361" s="328">
        <v>0</v>
      </c>
      <c r="X361" s="328">
        <v>0</v>
      </c>
      <c r="Y361" s="328">
        <v>0</v>
      </c>
      <c r="AA361" s="277" t="s">
        <v>540</v>
      </c>
      <c r="AB361" s="328">
        <v>100</v>
      </c>
      <c r="AC361" s="328">
        <v>40</v>
      </c>
      <c r="AD361" s="328">
        <v>106</v>
      </c>
      <c r="AE361" s="328">
        <v>246</v>
      </c>
      <c r="AF361" s="328">
        <v>125</v>
      </c>
      <c r="AG361" s="328">
        <v>3987517</v>
      </c>
      <c r="AI361" s="277" t="s">
        <v>540</v>
      </c>
      <c r="AJ361" s="328">
        <v>100</v>
      </c>
      <c r="AK361" s="328">
        <v>40</v>
      </c>
      <c r="AL361" s="328">
        <v>106</v>
      </c>
      <c r="AM361" s="328">
        <v>246</v>
      </c>
      <c r="AN361" s="328">
        <v>125</v>
      </c>
      <c r="AO361" s="328">
        <v>5878026</v>
      </c>
    </row>
    <row r="362" spans="1:41">
      <c r="A362" s="333">
        <f>SUBTOTAL(3,$B$7:B362)</f>
        <v>356</v>
      </c>
      <c r="B362" s="4" t="s">
        <v>108</v>
      </c>
      <c r="C362" s="277" t="s">
        <v>541</v>
      </c>
      <c r="D362" s="328">
        <v>805</v>
      </c>
      <c r="E362" s="328">
        <v>801</v>
      </c>
      <c r="F362" s="328">
        <v>230</v>
      </c>
      <c r="G362" s="328">
        <v>360</v>
      </c>
      <c r="H362" s="328">
        <v>211</v>
      </c>
      <c r="I362" s="328">
        <v>0</v>
      </c>
      <c r="J362" s="328">
        <v>0</v>
      </c>
      <c r="K362" s="333">
        <v>0</v>
      </c>
      <c r="L362" s="333"/>
      <c r="N362" s="351" t="s">
        <v>541</v>
      </c>
      <c r="O362" s="328">
        <v>230</v>
      </c>
      <c r="P362" s="328">
        <v>360</v>
      </c>
      <c r="Q362" s="328">
        <v>211</v>
      </c>
      <c r="R362" s="328">
        <v>801</v>
      </c>
      <c r="S362" s="328">
        <v>32749619</v>
      </c>
      <c r="T362" s="4">
        <v>4.16</v>
      </c>
      <c r="V362" s="277" t="s">
        <v>541</v>
      </c>
      <c r="W362" s="328">
        <v>0</v>
      </c>
      <c r="X362" s="328">
        <v>0</v>
      </c>
      <c r="Y362" s="328">
        <v>0</v>
      </c>
      <c r="AA362" s="277" t="s">
        <v>541</v>
      </c>
      <c r="AB362" s="328">
        <v>230</v>
      </c>
      <c r="AC362" s="328">
        <v>360</v>
      </c>
      <c r="AD362" s="328">
        <v>211</v>
      </c>
      <c r="AE362" s="328">
        <v>801</v>
      </c>
      <c r="AF362" s="328">
        <v>395</v>
      </c>
      <c r="AG362" s="328">
        <v>13236948</v>
      </c>
      <c r="AI362" s="277" t="s">
        <v>541</v>
      </c>
      <c r="AJ362" s="328">
        <v>230</v>
      </c>
      <c r="AK362" s="328">
        <v>360</v>
      </c>
      <c r="AL362" s="328">
        <v>211</v>
      </c>
      <c r="AM362" s="328">
        <v>801</v>
      </c>
      <c r="AN362" s="328">
        <v>395</v>
      </c>
      <c r="AO362" s="328">
        <v>19512671</v>
      </c>
    </row>
    <row r="363" spans="1:41">
      <c r="A363" s="333">
        <f>SUBTOTAL(3,$B$7:B363)</f>
        <v>357</v>
      </c>
      <c r="B363" s="4" t="s">
        <v>106</v>
      </c>
      <c r="C363" s="277" t="s">
        <v>293</v>
      </c>
      <c r="D363" s="328">
        <v>1200</v>
      </c>
      <c r="E363" s="328">
        <v>1190</v>
      </c>
      <c r="F363" s="328">
        <v>680</v>
      </c>
      <c r="G363" s="328">
        <v>220</v>
      </c>
      <c r="H363" s="328">
        <v>290</v>
      </c>
      <c r="I363" s="328">
        <v>0</v>
      </c>
      <c r="J363" s="328">
        <v>0</v>
      </c>
      <c r="K363" s="333">
        <v>0</v>
      </c>
      <c r="L363" s="333"/>
      <c r="N363" s="352" t="s">
        <v>293</v>
      </c>
      <c r="O363" s="328">
        <v>680</v>
      </c>
      <c r="P363" s="328">
        <v>220</v>
      </c>
      <c r="Q363" s="328">
        <v>290</v>
      </c>
      <c r="R363" s="328">
        <v>1190</v>
      </c>
      <c r="S363" s="328">
        <v>23816818</v>
      </c>
      <c r="T363" s="4">
        <v>2.5</v>
      </c>
      <c r="V363" s="277" t="s">
        <v>293</v>
      </c>
      <c r="W363" s="328">
        <v>0</v>
      </c>
      <c r="X363" s="328">
        <v>0</v>
      </c>
      <c r="Y363" s="328">
        <v>0</v>
      </c>
      <c r="AA363" s="277" t="s">
        <v>293</v>
      </c>
      <c r="AB363" s="328">
        <v>680</v>
      </c>
      <c r="AC363" s="328">
        <v>220</v>
      </c>
      <c r="AD363" s="328">
        <v>290</v>
      </c>
      <c r="AE363" s="328">
        <v>1190</v>
      </c>
      <c r="AF363" s="328">
        <v>478</v>
      </c>
      <c r="AG363" s="328">
        <v>9626432</v>
      </c>
      <c r="AI363" s="277" t="s">
        <v>293</v>
      </c>
      <c r="AJ363" s="328">
        <v>680</v>
      </c>
      <c r="AK363" s="328">
        <v>220</v>
      </c>
      <c r="AL363" s="328">
        <v>290</v>
      </c>
      <c r="AM363" s="328">
        <v>1190</v>
      </c>
      <c r="AN363" s="328">
        <v>478</v>
      </c>
      <c r="AO363" s="328">
        <v>14190386</v>
      </c>
    </row>
    <row r="364" spans="1:41">
      <c r="A364" s="333"/>
      <c r="K364" s="333"/>
    </row>
    <row r="365" spans="1:41">
      <c r="A365" s="329"/>
      <c r="K365" s="333"/>
    </row>
    <row r="366" spans="1:41">
      <c r="A366" s="333"/>
      <c r="K366" s="333"/>
    </row>
    <row r="367" spans="1:41">
      <c r="A367" s="333"/>
      <c r="K367" s="333"/>
    </row>
    <row r="368" spans="1:41">
      <c r="A368" s="329"/>
      <c r="K368" s="333"/>
    </row>
    <row r="369" spans="1:11">
      <c r="A369" s="333"/>
      <c r="K369" s="333"/>
    </row>
    <row r="370" spans="1:11">
      <c r="A370" s="333"/>
      <c r="K370" s="333"/>
    </row>
    <row r="371" spans="1:11">
      <c r="A371" s="329"/>
      <c r="K371" s="333"/>
    </row>
    <row r="372" spans="1:11">
      <c r="A372" s="333"/>
      <c r="K372" s="333"/>
    </row>
    <row r="373" spans="1:11">
      <c r="A373" s="333"/>
      <c r="K373" s="333"/>
    </row>
    <row r="374" spans="1:11">
      <c r="A374" s="329"/>
      <c r="K374" s="333"/>
    </row>
    <row r="375" spans="1:11">
      <c r="A375" s="333"/>
      <c r="K375" s="333"/>
    </row>
    <row r="376" spans="1:11">
      <c r="A376" s="333"/>
      <c r="K376" s="333"/>
    </row>
    <row r="377" spans="1:11">
      <c r="A377" s="329"/>
      <c r="K377" s="333"/>
    </row>
    <row r="378" spans="1:11">
      <c r="A378" s="333"/>
      <c r="K378" s="333"/>
    </row>
    <row r="379" spans="1:11">
      <c r="A379" s="333"/>
      <c r="K379" s="333"/>
    </row>
  </sheetData>
  <autoFilter ref="A6:AO378" xr:uid="{00000000-0009-0000-0000-000009000000}"/>
  <mergeCells count="5">
    <mergeCell ref="C5:K5"/>
    <mergeCell ref="N5:S5"/>
    <mergeCell ref="V5:Y5"/>
    <mergeCell ref="AA5:AG5"/>
    <mergeCell ref="AI5:AO5"/>
  </mergeCells>
  <conditionalFormatting sqref="V14">
    <cfRule type="cellIs" dxfId="4" priority="3" stopIfTrue="1" operator="lessThan">
      <formula>0</formula>
    </cfRule>
  </conditionalFormatting>
  <conditionalFormatting sqref="AI14">
    <cfRule type="cellIs" dxfId="3" priority="2" stopIfTrue="1" operator="lessThan">
      <formula>0</formula>
    </cfRule>
  </conditionalFormatting>
  <conditionalFormatting sqref="C14">
    <cfRule type="cellIs" dxfId="2" priority="4" stopIfTrue="1" operator="lessThan">
      <formula>0</formula>
    </cfRule>
  </conditionalFormatting>
  <conditionalFormatting sqref="N14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14"/>
  <sheetViews>
    <sheetView workbookViewId="0">
      <pane ySplit="3" topLeftCell="A166" activePane="bottomLeft" state="frozen"/>
      <selection activeCell="N30" sqref="N30"/>
      <selection pane="bottomLeft" activeCell="D167" sqref="D167"/>
    </sheetView>
  </sheetViews>
  <sheetFormatPr defaultColWidth="9.140625" defaultRowHeight="15"/>
  <cols>
    <col min="1" max="1" width="15.85546875" style="341" customWidth="1"/>
    <col min="2" max="2" width="15.5703125" style="339" customWidth="1"/>
    <col min="3" max="3" width="16.140625" style="339" customWidth="1"/>
    <col min="4" max="4" width="15.28515625" style="341" customWidth="1"/>
    <col min="5" max="16384" width="9.140625" style="341"/>
  </cols>
  <sheetData>
    <row r="1" spans="1:6">
      <c r="A1" s="121" t="s">
        <v>99</v>
      </c>
      <c r="D1" s="340"/>
    </row>
    <row r="2" spans="1:6">
      <c r="D2" s="339">
        <f>SUBTOTAL(9,D4:D483)</f>
        <v>435106</v>
      </c>
      <c r="E2" s="373"/>
      <c r="F2" s="373"/>
    </row>
    <row r="3" spans="1:6">
      <c r="A3" s="312" t="s">
        <v>289</v>
      </c>
      <c r="B3" s="313" t="s">
        <v>290</v>
      </c>
      <c r="C3" s="313" t="s">
        <v>291</v>
      </c>
      <c r="D3" s="312" t="s">
        <v>292</v>
      </c>
    </row>
    <row r="4" spans="1:6">
      <c r="A4" s="309" t="s">
        <v>300</v>
      </c>
      <c r="B4" s="310">
        <v>7312</v>
      </c>
      <c r="C4" s="313">
        <v>7669</v>
      </c>
      <c r="D4" s="311">
        <f t="shared" ref="D4:D9" si="0">C4-B4</f>
        <v>357</v>
      </c>
    </row>
    <row r="5" spans="1:6">
      <c r="A5" s="312" t="s">
        <v>301</v>
      </c>
      <c r="B5" s="313">
        <v>0</v>
      </c>
      <c r="C5" s="313"/>
      <c r="D5" s="311">
        <f t="shared" si="0"/>
        <v>0</v>
      </c>
    </row>
    <row r="6" spans="1:6">
      <c r="A6" s="312" t="s">
        <v>302</v>
      </c>
      <c r="B6" s="313">
        <v>0</v>
      </c>
      <c r="C6" s="313"/>
      <c r="D6" s="311">
        <f t="shared" si="0"/>
        <v>0</v>
      </c>
    </row>
    <row r="7" spans="1:6">
      <c r="A7" s="312" t="s">
        <v>303</v>
      </c>
      <c r="B7" s="313">
        <v>0</v>
      </c>
      <c r="C7" s="313"/>
      <c r="D7" s="311">
        <f t="shared" si="0"/>
        <v>0</v>
      </c>
    </row>
    <row r="8" spans="1:6">
      <c r="A8" s="312" t="s">
        <v>238</v>
      </c>
      <c r="B8" s="313">
        <v>3960</v>
      </c>
      <c r="C8" s="313">
        <v>3960</v>
      </c>
      <c r="D8" s="311">
        <f t="shared" si="0"/>
        <v>0</v>
      </c>
    </row>
    <row r="9" spans="1:6">
      <c r="A9" s="312" t="s">
        <v>185</v>
      </c>
      <c r="B9" s="313">
        <v>108260</v>
      </c>
      <c r="C9" s="339">
        <v>128966</v>
      </c>
      <c r="D9" s="311">
        <f t="shared" si="0"/>
        <v>20706</v>
      </c>
    </row>
    <row r="10" spans="1:6">
      <c r="A10" s="312" t="s">
        <v>186</v>
      </c>
      <c r="B10" s="313">
        <v>89849</v>
      </c>
      <c r="C10" s="313">
        <v>89849</v>
      </c>
      <c r="D10" s="311">
        <f>+C10-B10</f>
        <v>0</v>
      </c>
    </row>
    <row r="11" spans="1:6">
      <c r="A11" s="314" t="s">
        <v>187</v>
      </c>
      <c r="B11" s="313">
        <v>25829</v>
      </c>
      <c r="C11" s="313">
        <v>45371</v>
      </c>
      <c r="D11" s="311">
        <f>+C11-B11</f>
        <v>19542</v>
      </c>
    </row>
    <row r="12" spans="1:6">
      <c r="A12" s="312" t="s">
        <v>304</v>
      </c>
      <c r="B12" s="313">
        <v>0</v>
      </c>
      <c r="C12" s="313"/>
      <c r="D12" s="311">
        <f>C12-B12</f>
        <v>0</v>
      </c>
    </row>
    <row r="13" spans="1:6">
      <c r="A13" s="312" t="s">
        <v>305</v>
      </c>
      <c r="B13" s="313">
        <v>0</v>
      </c>
      <c r="C13" s="313"/>
      <c r="D13" s="311">
        <f>C13-B13</f>
        <v>0</v>
      </c>
    </row>
    <row r="14" spans="1:6">
      <c r="A14" s="312" t="s">
        <v>306</v>
      </c>
      <c r="B14" s="313">
        <v>0</v>
      </c>
      <c r="C14" s="313"/>
      <c r="D14" s="311">
        <f>C14-B14</f>
        <v>0</v>
      </c>
    </row>
    <row r="15" spans="1:6">
      <c r="A15" s="312" t="s">
        <v>307</v>
      </c>
      <c r="B15" s="313">
        <v>0</v>
      </c>
      <c r="C15" s="313"/>
      <c r="D15" s="311">
        <f t="shared" ref="D15:D68" si="1">C15-B15</f>
        <v>0</v>
      </c>
    </row>
    <row r="16" spans="1:6">
      <c r="A16" s="312" t="s">
        <v>308</v>
      </c>
      <c r="B16" s="313">
        <v>0</v>
      </c>
      <c r="C16" s="313"/>
      <c r="D16" s="311">
        <f t="shared" si="1"/>
        <v>0</v>
      </c>
    </row>
    <row r="17" spans="1:4">
      <c r="A17" s="314" t="s">
        <v>309</v>
      </c>
      <c r="B17" s="315">
        <v>0</v>
      </c>
      <c r="C17" s="313"/>
      <c r="D17" s="311">
        <f t="shared" si="1"/>
        <v>0</v>
      </c>
    </row>
    <row r="18" spans="1:4">
      <c r="A18" s="312" t="s">
        <v>241</v>
      </c>
      <c r="B18" s="313">
        <v>14855</v>
      </c>
      <c r="C18" s="313">
        <v>14942</v>
      </c>
      <c r="D18" s="311">
        <f t="shared" si="1"/>
        <v>87</v>
      </c>
    </row>
    <row r="19" spans="1:4">
      <c r="A19" s="312" t="s">
        <v>310</v>
      </c>
      <c r="B19" s="313">
        <v>0</v>
      </c>
      <c r="C19" s="313"/>
      <c r="D19" s="311">
        <f t="shared" si="1"/>
        <v>0</v>
      </c>
    </row>
    <row r="20" spans="1:4">
      <c r="A20" s="314" t="s">
        <v>311</v>
      </c>
      <c r="B20" s="315">
        <v>0</v>
      </c>
      <c r="C20" s="313"/>
      <c r="D20" s="311">
        <f t="shared" si="1"/>
        <v>0</v>
      </c>
    </row>
    <row r="21" spans="1:4">
      <c r="A21" s="312" t="s">
        <v>312</v>
      </c>
      <c r="B21" s="313">
        <v>0</v>
      </c>
      <c r="C21" s="313"/>
      <c r="D21" s="311">
        <f t="shared" si="1"/>
        <v>0</v>
      </c>
    </row>
    <row r="22" spans="1:4">
      <c r="A22" s="316" t="s">
        <v>313</v>
      </c>
      <c r="B22" s="317">
        <v>0</v>
      </c>
      <c r="C22" s="313"/>
      <c r="D22" s="311">
        <f t="shared" si="1"/>
        <v>0</v>
      </c>
    </row>
    <row r="23" spans="1:4">
      <c r="A23" s="312" t="s">
        <v>314</v>
      </c>
      <c r="B23" s="313">
        <v>0</v>
      </c>
      <c r="C23" s="313"/>
      <c r="D23" s="311">
        <f t="shared" si="1"/>
        <v>0</v>
      </c>
    </row>
    <row r="24" spans="1:4">
      <c r="A24" s="309" t="s">
        <v>315</v>
      </c>
      <c r="B24" s="310">
        <v>0</v>
      </c>
      <c r="C24" s="313"/>
      <c r="D24" s="311">
        <f t="shared" si="1"/>
        <v>0</v>
      </c>
    </row>
    <row r="25" spans="1:4">
      <c r="A25" s="312" t="s">
        <v>316</v>
      </c>
      <c r="B25" s="313">
        <v>1445</v>
      </c>
      <c r="C25" s="313">
        <v>1445</v>
      </c>
      <c r="D25" s="311">
        <f>+B25-C25</f>
        <v>0</v>
      </c>
    </row>
    <row r="26" spans="1:4">
      <c r="A26" s="312" t="s">
        <v>188</v>
      </c>
      <c r="B26" s="313">
        <v>0</v>
      </c>
      <c r="C26" s="313"/>
      <c r="D26" s="311">
        <f t="shared" si="1"/>
        <v>0</v>
      </c>
    </row>
    <row r="27" spans="1:4">
      <c r="A27" s="312" t="s">
        <v>189</v>
      </c>
      <c r="B27" s="313">
        <v>0</v>
      </c>
      <c r="C27" s="313"/>
      <c r="D27" s="311">
        <f t="shared" si="1"/>
        <v>0</v>
      </c>
    </row>
    <row r="28" spans="1:4">
      <c r="A28" s="312" t="s">
        <v>317</v>
      </c>
      <c r="B28" s="313">
        <v>0</v>
      </c>
      <c r="C28" s="313"/>
      <c r="D28" s="311">
        <f t="shared" si="1"/>
        <v>0</v>
      </c>
    </row>
    <row r="29" spans="1:4">
      <c r="A29" s="312" t="s">
        <v>318</v>
      </c>
      <c r="B29" s="313">
        <v>0</v>
      </c>
      <c r="C29" s="313"/>
      <c r="D29" s="311">
        <f t="shared" si="1"/>
        <v>0</v>
      </c>
    </row>
    <row r="30" spans="1:4">
      <c r="A30" s="316" t="s">
        <v>190</v>
      </c>
      <c r="B30" s="317">
        <v>7574</v>
      </c>
      <c r="C30" s="313">
        <v>7574</v>
      </c>
      <c r="D30" s="311">
        <f t="shared" si="1"/>
        <v>0</v>
      </c>
    </row>
    <row r="31" spans="1:4">
      <c r="A31" s="312" t="s">
        <v>191</v>
      </c>
      <c r="B31" s="313">
        <v>0</v>
      </c>
      <c r="C31" s="313"/>
      <c r="D31" s="311">
        <f t="shared" si="1"/>
        <v>0</v>
      </c>
    </row>
    <row r="32" spans="1:4">
      <c r="A32" s="309" t="s">
        <v>192</v>
      </c>
      <c r="B32" s="310">
        <v>0</v>
      </c>
      <c r="C32" s="313"/>
      <c r="D32" s="311">
        <f t="shared" si="1"/>
        <v>0</v>
      </c>
    </row>
    <row r="33" spans="1:4">
      <c r="A33" s="312" t="s">
        <v>319</v>
      </c>
      <c r="B33" s="313">
        <v>0</v>
      </c>
      <c r="C33" s="313"/>
      <c r="D33" s="311">
        <f t="shared" si="1"/>
        <v>0</v>
      </c>
    </row>
    <row r="34" spans="1:4">
      <c r="A34" s="312" t="s">
        <v>320</v>
      </c>
      <c r="B34" s="313">
        <v>0</v>
      </c>
      <c r="C34" s="313"/>
      <c r="D34" s="311">
        <f t="shared" si="1"/>
        <v>0</v>
      </c>
    </row>
    <row r="35" spans="1:4">
      <c r="A35" s="312" t="s">
        <v>248</v>
      </c>
      <c r="B35" s="313">
        <v>2712</v>
      </c>
      <c r="C35" s="313">
        <v>3460</v>
      </c>
      <c r="D35" s="311">
        <f t="shared" si="1"/>
        <v>748</v>
      </c>
    </row>
    <row r="36" spans="1:4">
      <c r="A36" s="312" t="s">
        <v>321</v>
      </c>
      <c r="B36" s="313">
        <v>0</v>
      </c>
      <c r="C36" s="313"/>
      <c r="D36" s="311">
        <f t="shared" si="1"/>
        <v>0</v>
      </c>
    </row>
    <row r="37" spans="1:4">
      <c r="A37" s="312" t="s">
        <v>322</v>
      </c>
      <c r="B37" s="313">
        <v>0</v>
      </c>
      <c r="C37" s="313"/>
      <c r="D37" s="311">
        <f t="shared" si="1"/>
        <v>0</v>
      </c>
    </row>
    <row r="38" spans="1:4">
      <c r="A38" s="312" t="s">
        <v>323</v>
      </c>
      <c r="B38" s="313">
        <v>0</v>
      </c>
      <c r="C38" s="313"/>
      <c r="D38" s="311">
        <f t="shared" si="1"/>
        <v>0</v>
      </c>
    </row>
    <row r="39" spans="1:4">
      <c r="A39" s="312" t="s">
        <v>324</v>
      </c>
      <c r="B39" s="313">
        <v>0</v>
      </c>
      <c r="C39" s="313"/>
      <c r="D39" s="311">
        <f t="shared" si="1"/>
        <v>0</v>
      </c>
    </row>
    <row r="40" spans="1:4">
      <c r="A40" s="314" t="s">
        <v>162</v>
      </c>
      <c r="B40" s="315">
        <v>0</v>
      </c>
      <c r="C40" s="313"/>
      <c r="D40" s="311">
        <f t="shared" si="1"/>
        <v>0</v>
      </c>
    </row>
    <row r="41" spans="1:4">
      <c r="A41" s="312" t="s">
        <v>325</v>
      </c>
      <c r="B41" s="313">
        <v>0</v>
      </c>
      <c r="C41" s="313"/>
      <c r="D41" s="311">
        <f t="shared" si="1"/>
        <v>0</v>
      </c>
    </row>
    <row r="42" spans="1:4">
      <c r="A42" s="316" t="s">
        <v>326</v>
      </c>
      <c r="B42" s="317">
        <v>0</v>
      </c>
      <c r="C42" s="313"/>
      <c r="D42" s="311">
        <f t="shared" si="1"/>
        <v>0</v>
      </c>
    </row>
    <row r="43" spans="1:4">
      <c r="A43" s="312" t="s">
        <v>163</v>
      </c>
      <c r="B43" s="313">
        <v>0</v>
      </c>
      <c r="C43" s="313"/>
      <c r="D43" s="311">
        <f t="shared" si="1"/>
        <v>0</v>
      </c>
    </row>
    <row r="44" spans="1:4">
      <c r="A44" s="312" t="s">
        <v>164</v>
      </c>
      <c r="B44" s="313">
        <v>0</v>
      </c>
      <c r="C44" s="313"/>
      <c r="D44" s="311">
        <f t="shared" si="1"/>
        <v>0</v>
      </c>
    </row>
    <row r="45" spans="1:4">
      <c r="A45" s="312" t="s">
        <v>165</v>
      </c>
      <c r="B45" s="313">
        <v>0</v>
      </c>
      <c r="C45" s="313"/>
      <c r="D45" s="311">
        <f t="shared" si="1"/>
        <v>0</v>
      </c>
    </row>
    <row r="46" spans="1:4">
      <c r="A46" s="312" t="s">
        <v>166</v>
      </c>
      <c r="B46" s="313">
        <v>0</v>
      </c>
      <c r="C46" s="313"/>
      <c r="D46" s="311">
        <f t="shared" si="1"/>
        <v>0</v>
      </c>
    </row>
    <row r="47" spans="1:4">
      <c r="A47" s="312" t="s">
        <v>327</v>
      </c>
      <c r="B47" s="313">
        <v>0</v>
      </c>
      <c r="C47" s="313"/>
      <c r="D47" s="311">
        <f t="shared" si="1"/>
        <v>0</v>
      </c>
    </row>
    <row r="48" spans="1:4">
      <c r="A48" s="309" t="s">
        <v>240</v>
      </c>
      <c r="B48" s="310">
        <v>10247</v>
      </c>
      <c r="C48" s="313">
        <v>10247</v>
      </c>
      <c r="D48" s="311">
        <f t="shared" si="1"/>
        <v>0</v>
      </c>
    </row>
    <row r="49" spans="1:4">
      <c r="A49" s="312" t="s">
        <v>328</v>
      </c>
      <c r="B49" s="313">
        <v>0</v>
      </c>
      <c r="C49" s="313"/>
      <c r="D49" s="311">
        <f t="shared" si="1"/>
        <v>0</v>
      </c>
    </row>
    <row r="50" spans="1:4">
      <c r="A50" s="312" t="s">
        <v>329</v>
      </c>
      <c r="B50" s="313">
        <v>0</v>
      </c>
      <c r="C50" s="313"/>
      <c r="D50" s="311">
        <f t="shared" si="1"/>
        <v>0</v>
      </c>
    </row>
    <row r="51" spans="1:4">
      <c r="A51" s="312" t="s">
        <v>330</v>
      </c>
      <c r="B51" s="313">
        <v>0</v>
      </c>
      <c r="C51" s="313"/>
      <c r="D51" s="311">
        <f t="shared" si="1"/>
        <v>0</v>
      </c>
    </row>
    <row r="52" spans="1:4">
      <c r="A52" s="314" t="s">
        <v>331</v>
      </c>
      <c r="B52" s="315">
        <v>0</v>
      </c>
      <c r="C52" s="313"/>
      <c r="D52" s="311">
        <f t="shared" si="1"/>
        <v>0</v>
      </c>
    </row>
    <row r="53" spans="1:4">
      <c r="A53" s="312" t="s">
        <v>332</v>
      </c>
      <c r="B53" s="313">
        <v>0</v>
      </c>
      <c r="C53" s="313"/>
      <c r="D53" s="311">
        <f t="shared" si="1"/>
        <v>0</v>
      </c>
    </row>
    <row r="54" spans="1:4">
      <c r="A54" s="316" t="s">
        <v>333</v>
      </c>
      <c r="B54" s="317">
        <v>0</v>
      </c>
      <c r="C54" s="313"/>
      <c r="D54" s="311">
        <f t="shared" si="1"/>
        <v>0</v>
      </c>
    </row>
    <row r="55" spans="1:4">
      <c r="A55" s="309" t="s">
        <v>334</v>
      </c>
      <c r="B55" s="310">
        <v>0</v>
      </c>
      <c r="C55" s="313">
        <v>5880</v>
      </c>
      <c r="D55" s="311">
        <f t="shared" si="1"/>
        <v>5880</v>
      </c>
    </row>
    <row r="56" spans="1:4">
      <c r="A56" s="312" t="s">
        <v>335</v>
      </c>
      <c r="B56" s="313">
        <v>0</v>
      </c>
      <c r="C56" s="313"/>
      <c r="D56" s="311">
        <f t="shared" si="1"/>
        <v>0</v>
      </c>
    </row>
    <row r="57" spans="1:4">
      <c r="A57" s="312" t="s">
        <v>336</v>
      </c>
      <c r="B57" s="313">
        <v>0</v>
      </c>
      <c r="C57" s="313"/>
      <c r="D57" s="311">
        <f t="shared" si="1"/>
        <v>0</v>
      </c>
    </row>
    <row r="58" spans="1:4">
      <c r="A58" s="316" t="s">
        <v>337</v>
      </c>
      <c r="B58" s="317">
        <v>0</v>
      </c>
      <c r="C58" s="313"/>
      <c r="D58" s="311">
        <f t="shared" si="1"/>
        <v>0</v>
      </c>
    </row>
    <row r="59" spans="1:4">
      <c r="A59" s="312" t="s">
        <v>338</v>
      </c>
      <c r="B59" s="313">
        <v>0</v>
      </c>
      <c r="C59" s="313"/>
      <c r="D59" s="311">
        <f t="shared" si="1"/>
        <v>0</v>
      </c>
    </row>
    <row r="60" spans="1:4">
      <c r="A60" s="312" t="s">
        <v>339</v>
      </c>
      <c r="B60" s="313">
        <v>0</v>
      </c>
      <c r="C60" s="313"/>
      <c r="D60" s="311">
        <f t="shared" si="1"/>
        <v>0</v>
      </c>
    </row>
    <row r="61" spans="1:4">
      <c r="A61" s="309" t="s">
        <v>340</v>
      </c>
      <c r="B61" s="310">
        <v>0</v>
      </c>
      <c r="C61" s="313"/>
      <c r="D61" s="311">
        <f t="shared" si="1"/>
        <v>0</v>
      </c>
    </row>
    <row r="62" spans="1:4">
      <c r="A62" s="312" t="s">
        <v>341</v>
      </c>
      <c r="B62" s="313">
        <v>0</v>
      </c>
      <c r="C62" s="313"/>
      <c r="D62" s="311">
        <f t="shared" si="1"/>
        <v>0</v>
      </c>
    </row>
    <row r="63" spans="1:4">
      <c r="A63" s="312" t="s">
        <v>342</v>
      </c>
      <c r="B63" s="313">
        <v>0</v>
      </c>
      <c r="C63" s="313"/>
      <c r="D63" s="311">
        <f t="shared" si="1"/>
        <v>0</v>
      </c>
    </row>
    <row r="64" spans="1:4">
      <c r="A64" s="312" t="s">
        <v>343</v>
      </c>
      <c r="B64" s="313">
        <v>0</v>
      </c>
      <c r="C64" s="313"/>
      <c r="D64" s="311">
        <f t="shared" si="1"/>
        <v>0</v>
      </c>
    </row>
    <row r="65" spans="1:4">
      <c r="A65" s="314" t="s">
        <v>344</v>
      </c>
      <c r="B65" s="315">
        <v>0</v>
      </c>
      <c r="C65" s="313"/>
      <c r="D65" s="311">
        <f t="shared" si="1"/>
        <v>0</v>
      </c>
    </row>
    <row r="66" spans="1:4">
      <c r="A66" s="370" t="s">
        <v>345</v>
      </c>
      <c r="B66" s="371">
        <v>21688</v>
      </c>
      <c r="C66" s="371">
        <v>22526</v>
      </c>
      <c r="D66" s="372">
        <f>+C66-B66</f>
        <v>838</v>
      </c>
    </row>
    <row r="67" spans="1:4">
      <c r="A67" s="316" t="s">
        <v>346</v>
      </c>
      <c r="B67" s="317">
        <v>4782</v>
      </c>
      <c r="C67" s="313">
        <v>1660</v>
      </c>
      <c r="D67" s="311"/>
    </row>
    <row r="68" spans="1:4">
      <c r="A68" s="312" t="s">
        <v>193</v>
      </c>
      <c r="B68" s="313">
        <v>0</v>
      </c>
      <c r="C68" s="313"/>
      <c r="D68" s="311">
        <f t="shared" si="1"/>
        <v>0</v>
      </c>
    </row>
    <row r="69" spans="1:4">
      <c r="A69" s="312" t="s">
        <v>194</v>
      </c>
      <c r="B69" s="313">
        <v>0</v>
      </c>
      <c r="C69" s="313"/>
      <c r="D69" s="311">
        <f t="shared" ref="D69:D131" si="2">C69-B69</f>
        <v>0</v>
      </c>
    </row>
    <row r="70" spans="1:4">
      <c r="A70" s="312" t="s">
        <v>195</v>
      </c>
      <c r="B70" s="313">
        <v>0</v>
      </c>
      <c r="C70" s="313"/>
      <c r="D70" s="311">
        <f t="shared" si="2"/>
        <v>0</v>
      </c>
    </row>
    <row r="71" spans="1:4">
      <c r="A71" s="309" t="s">
        <v>196</v>
      </c>
      <c r="B71" s="310">
        <v>0</v>
      </c>
      <c r="C71" s="313"/>
      <c r="D71" s="311">
        <f t="shared" si="2"/>
        <v>0</v>
      </c>
    </row>
    <row r="72" spans="1:4">
      <c r="A72" s="312" t="s">
        <v>197</v>
      </c>
      <c r="B72" s="313">
        <v>0</v>
      </c>
      <c r="C72" s="313"/>
      <c r="D72" s="311">
        <f t="shared" si="2"/>
        <v>0</v>
      </c>
    </row>
    <row r="73" spans="1:4">
      <c r="A73" s="314" t="s">
        <v>198</v>
      </c>
      <c r="B73" s="315">
        <v>0</v>
      </c>
      <c r="C73" s="313"/>
      <c r="D73" s="311">
        <f t="shared" si="2"/>
        <v>0</v>
      </c>
    </row>
    <row r="74" spans="1:4">
      <c r="A74" s="312" t="s">
        <v>347</v>
      </c>
      <c r="B74" s="313">
        <v>0</v>
      </c>
      <c r="C74" s="313"/>
      <c r="D74" s="311">
        <f t="shared" si="2"/>
        <v>0</v>
      </c>
    </row>
    <row r="75" spans="1:4">
      <c r="A75" s="312" t="s">
        <v>348</v>
      </c>
      <c r="B75" s="313">
        <v>0</v>
      </c>
      <c r="C75" s="313"/>
      <c r="D75" s="311">
        <f t="shared" si="2"/>
        <v>0</v>
      </c>
    </row>
    <row r="76" spans="1:4">
      <c r="A76" s="312" t="s">
        <v>199</v>
      </c>
      <c r="B76" s="313">
        <v>0</v>
      </c>
      <c r="C76" s="313"/>
      <c r="D76" s="311">
        <f t="shared" si="2"/>
        <v>0</v>
      </c>
    </row>
    <row r="77" spans="1:4">
      <c r="A77" s="316" t="s">
        <v>349</v>
      </c>
      <c r="B77" s="317">
        <v>0</v>
      </c>
      <c r="C77" s="313"/>
      <c r="D77" s="311">
        <f t="shared" si="2"/>
        <v>0</v>
      </c>
    </row>
    <row r="78" spans="1:4">
      <c r="A78" s="312" t="s">
        <v>350</v>
      </c>
      <c r="B78" s="313">
        <v>0</v>
      </c>
      <c r="C78" s="313"/>
      <c r="D78" s="311">
        <f t="shared" si="2"/>
        <v>0</v>
      </c>
    </row>
    <row r="79" spans="1:4">
      <c r="A79" s="312" t="s">
        <v>200</v>
      </c>
      <c r="B79" s="313">
        <v>0</v>
      </c>
      <c r="C79" s="313"/>
      <c r="D79" s="311">
        <f t="shared" si="2"/>
        <v>0</v>
      </c>
    </row>
    <row r="80" spans="1:4">
      <c r="A80" s="312" t="s">
        <v>201</v>
      </c>
      <c r="B80" s="313">
        <v>0</v>
      </c>
      <c r="C80" s="313"/>
      <c r="D80" s="311">
        <f t="shared" si="2"/>
        <v>0</v>
      </c>
    </row>
    <row r="81" spans="1:4">
      <c r="A81" s="312" t="s">
        <v>202</v>
      </c>
      <c r="B81" s="313">
        <v>0</v>
      </c>
      <c r="C81" s="313"/>
      <c r="D81" s="325">
        <f t="shared" si="2"/>
        <v>0</v>
      </c>
    </row>
    <row r="82" spans="1:4">
      <c r="A82" s="312" t="s">
        <v>203</v>
      </c>
      <c r="B82" s="313">
        <v>0</v>
      </c>
      <c r="C82" s="313"/>
      <c r="D82" s="325">
        <f t="shared" si="2"/>
        <v>0</v>
      </c>
    </row>
    <row r="83" spans="1:4">
      <c r="A83" s="312" t="s">
        <v>204</v>
      </c>
      <c r="B83" s="313">
        <v>0</v>
      </c>
      <c r="C83" s="313"/>
      <c r="D83" s="325">
        <f t="shared" si="2"/>
        <v>0</v>
      </c>
    </row>
    <row r="84" spans="1:4">
      <c r="A84" s="312" t="s">
        <v>205</v>
      </c>
      <c r="B84" s="313">
        <v>0</v>
      </c>
      <c r="C84" s="313"/>
      <c r="D84" s="325">
        <f t="shared" si="2"/>
        <v>0</v>
      </c>
    </row>
    <row r="85" spans="1:4">
      <c r="A85" s="312" t="s">
        <v>206</v>
      </c>
      <c r="B85" s="313">
        <v>0</v>
      </c>
      <c r="C85" s="313"/>
      <c r="D85" s="325">
        <f t="shared" si="2"/>
        <v>0</v>
      </c>
    </row>
    <row r="86" spans="1:4">
      <c r="A86" s="312" t="s">
        <v>207</v>
      </c>
      <c r="B86" s="313">
        <v>0</v>
      </c>
      <c r="C86" s="313"/>
      <c r="D86" s="325">
        <f t="shared" si="2"/>
        <v>0</v>
      </c>
    </row>
    <row r="87" spans="1:4">
      <c r="A87" s="312" t="s">
        <v>351</v>
      </c>
      <c r="B87" s="313">
        <v>0</v>
      </c>
      <c r="C87" s="313"/>
      <c r="D87" s="325">
        <f t="shared" si="2"/>
        <v>0</v>
      </c>
    </row>
    <row r="88" spans="1:4">
      <c r="A88" s="312" t="s">
        <v>352</v>
      </c>
      <c r="B88" s="313">
        <v>0</v>
      </c>
      <c r="C88" s="313"/>
      <c r="D88" s="325">
        <f t="shared" si="2"/>
        <v>0</v>
      </c>
    </row>
    <row r="89" spans="1:4">
      <c r="A89" s="312" t="s">
        <v>353</v>
      </c>
      <c r="B89" s="313">
        <v>0</v>
      </c>
      <c r="C89" s="313"/>
      <c r="D89" s="325">
        <f t="shared" si="2"/>
        <v>0</v>
      </c>
    </row>
    <row r="90" spans="1:4">
      <c r="A90" s="312" t="s">
        <v>354</v>
      </c>
      <c r="B90" s="313">
        <v>0</v>
      </c>
      <c r="C90" s="313"/>
      <c r="D90" s="325">
        <f t="shared" si="2"/>
        <v>0</v>
      </c>
    </row>
    <row r="91" spans="1:4">
      <c r="A91" s="312" t="s">
        <v>355</v>
      </c>
      <c r="B91" s="313">
        <v>0</v>
      </c>
      <c r="C91" s="313"/>
      <c r="D91" s="325">
        <f t="shared" si="2"/>
        <v>0</v>
      </c>
    </row>
    <row r="92" spans="1:4">
      <c r="A92" s="312" t="s">
        <v>356</v>
      </c>
      <c r="B92" s="313">
        <v>0</v>
      </c>
      <c r="C92" s="313"/>
      <c r="D92" s="325">
        <f t="shared" si="2"/>
        <v>0</v>
      </c>
    </row>
    <row r="93" spans="1:4">
      <c r="A93" s="312" t="s">
        <v>357</v>
      </c>
      <c r="B93" s="313">
        <v>0</v>
      </c>
      <c r="C93" s="313"/>
      <c r="D93" s="325">
        <f t="shared" si="2"/>
        <v>0</v>
      </c>
    </row>
    <row r="94" spans="1:4">
      <c r="A94" s="312" t="s">
        <v>358</v>
      </c>
      <c r="B94" s="313">
        <v>0</v>
      </c>
      <c r="C94" s="313"/>
      <c r="D94" s="325">
        <f t="shared" si="2"/>
        <v>0</v>
      </c>
    </row>
    <row r="95" spans="1:4">
      <c r="A95" s="312" t="s">
        <v>359</v>
      </c>
      <c r="B95" s="313">
        <v>0</v>
      </c>
      <c r="C95" s="313"/>
      <c r="D95" s="325">
        <f t="shared" si="2"/>
        <v>0</v>
      </c>
    </row>
    <row r="96" spans="1:4">
      <c r="A96" s="312" t="s">
        <v>360</v>
      </c>
      <c r="B96" s="313">
        <v>0</v>
      </c>
      <c r="C96" s="313"/>
      <c r="D96" s="325">
        <f t="shared" si="2"/>
        <v>0</v>
      </c>
    </row>
    <row r="97" spans="1:4">
      <c r="A97" s="312" t="s">
        <v>361</v>
      </c>
      <c r="B97" s="313">
        <v>0</v>
      </c>
      <c r="C97" s="313"/>
      <c r="D97" s="325">
        <f t="shared" si="2"/>
        <v>0</v>
      </c>
    </row>
    <row r="98" spans="1:4">
      <c r="A98" s="312" t="s">
        <v>362</v>
      </c>
      <c r="B98" s="313">
        <v>0</v>
      </c>
      <c r="C98" s="313"/>
      <c r="D98" s="325">
        <f t="shared" si="2"/>
        <v>0</v>
      </c>
    </row>
    <row r="99" spans="1:4">
      <c r="A99" s="312" t="s">
        <v>363</v>
      </c>
      <c r="B99" s="313">
        <v>0</v>
      </c>
      <c r="C99" s="313"/>
      <c r="D99" s="325">
        <f t="shared" si="2"/>
        <v>0</v>
      </c>
    </row>
    <row r="100" spans="1:4">
      <c r="A100" s="312" t="s">
        <v>364</v>
      </c>
      <c r="B100" s="313">
        <v>0</v>
      </c>
      <c r="C100" s="313"/>
      <c r="D100" s="325">
        <f t="shared" si="2"/>
        <v>0</v>
      </c>
    </row>
    <row r="101" spans="1:4">
      <c r="A101" s="312" t="s">
        <v>365</v>
      </c>
      <c r="B101" s="313">
        <v>17282</v>
      </c>
      <c r="C101" s="313">
        <v>17282</v>
      </c>
      <c r="D101" s="325"/>
    </row>
    <row r="102" spans="1:4">
      <c r="A102" s="312" t="s">
        <v>366</v>
      </c>
      <c r="B102" s="313">
        <v>0</v>
      </c>
      <c r="C102" s="313"/>
      <c r="D102" s="325">
        <f t="shared" si="2"/>
        <v>0</v>
      </c>
    </row>
    <row r="103" spans="1:4">
      <c r="A103" s="312" t="s">
        <v>208</v>
      </c>
      <c r="B103" s="313">
        <v>0</v>
      </c>
      <c r="C103" s="313"/>
      <c r="D103" s="325">
        <f t="shared" si="2"/>
        <v>0</v>
      </c>
    </row>
    <row r="104" spans="1:4">
      <c r="A104" s="312" t="s">
        <v>209</v>
      </c>
      <c r="B104" s="313">
        <v>0</v>
      </c>
      <c r="C104" s="313"/>
      <c r="D104" s="325">
        <f t="shared" si="2"/>
        <v>0</v>
      </c>
    </row>
    <row r="105" spans="1:4">
      <c r="A105" s="312" t="s">
        <v>210</v>
      </c>
      <c r="B105" s="313">
        <v>0</v>
      </c>
      <c r="C105" s="313"/>
      <c r="D105" s="325">
        <f t="shared" si="2"/>
        <v>0</v>
      </c>
    </row>
    <row r="106" spans="1:4">
      <c r="A106" s="312" t="s">
        <v>367</v>
      </c>
      <c r="B106" s="313">
        <v>0</v>
      </c>
      <c r="C106" s="313"/>
      <c r="D106" s="325">
        <f t="shared" si="2"/>
        <v>0</v>
      </c>
    </row>
    <row r="107" spans="1:4">
      <c r="A107" s="312" t="s">
        <v>368</v>
      </c>
      <c r="B107" s="313">
        <v>0</v>
      </c>
      <c r="C107" s="313"/>
      <c r="D107" s="325">
        <f t="shared" si="2"/>
        <v>0</v>
      </c>
    </row>
    <row r="108" spans="1:4">
      <c r="A108" s="312" t="s">
        <v>369</v>
      </c>
      <c r="B108" s="313">
        <v>0</v>
      </c>
      <c r="C108" s="313"/>
      <c r="D108" s="325">
        <f t="shared" si="2"/>
        <v>0</v>
      </c>
    </row>
    <row r="109" spans="1:4">
      <c r="A109" s="312" t="s">
        <v>211</v>
      </c>
      <c r="B109" s="313">
        <v>0</v>
      </c>
      <c r="C109" s="313"/>
      <c r="D109" s="325">
        <f t="shared" si="2"/>
        <v>0</v>
      </c>
    </row>
    <row r="110" spans="1:4">
      <c r="A110" s="312" t="s">
        <v>212</v>
      </c>
      <c r="B110" s="313">
        <v>0</v>
      </c>
      <c r="C110" s="313"/>
      <c r="D110" s="325">
        <f t="shared" si="2"/>
        <v>0</v>
      </c>
    </row>
    <row r="111" spans="1:4">
      <c r="A111" s="312" t="s">
        <v>370</v>
      </c>
      <c r="B111" s="313">
        <v>0</v>
      </c>
      <c r="C111" s="313"/>
      <c r="D111" s="325">
        <f t="shared" si="2"/>
        <v>0</v>
      </c>
    </row>
    <row r="112" spans="1:4">
      <c r="A112" s="312" t="s">
        <v>371</v>
      </c>
      <c r="B112" s="313">
        <v>57594</v>
      </c>
      <c r="C112" s="313">
        <v>4716</v>
      </c>
      <c r="D112" s="325"/>
    </row>
    <row r="113" spans="1:4">
      <c r="A113" s="312" t="s">
        <v>372</v>
      </c>
      <c r="B113" s="313">
        <v>0</v>
      </c>
      <c r="C113" s="313"/>
      <c r="D113" s="325">
        <f t="shared" si="2"/>
        <v>0</v>
      </c>
    </row>
    <row r="114" spans="1:4">
      <c r="A114" s="312" t="s">
        <v>373</v>
      </c>
      <c r="B114" s="313">
        <v>0</v>
      </c>
      <c r="C114" s="313"/>
      <c r="D114" s="325">
        <f t="shared" si="2"/>
        <v>0</v>
      </c>
    </row>
    <row r="115" spans="1:4">
      <c r="A115" s="312" t="s">
        <v>374</v>
      </c>
      <c r="B115" s="313">
        <v>0</v>
      </c>
      <c r="C115" s="313"/>
      <c r="D115" s="325">
        <f t="shared" si="2"/>
        <v>0</v>
      </c>
    </row>
    <row r="116" spans="1:4">
      <c r="A116" s="312" t="s">
        <v>375</v>
      </c>
      <c r="B116" s="313">
        <v>0</v>
      </c>
      <c r="C116" s="313"/>
      <c r="D116" s="325">
        <f t="shared" si="2"/>
        <v>0</v>
      </c>
    </row>
    <row r="117" spans="1:4">
      <c r="A117" s="312" t="s">
        <v>376</v>
      </c>
      <c r="B117" s="313">
        <v>0</v>
      </c>
      <c r="C117" s="313"/>
      <c r="D117" s="325">
        <f t="shared" si="2"/>
        <v>0</v>
      </c>
    </row>
    <row r="118" spans="1:4">
      <c r="A118" s="312" t="s">
        <v>213</v>
      </c>
      <c r="B118" s="313">
        <v>0</v>
      </c>
      <c r="C118" s="313"/>
      <c r="D118" s="325">
        <f t="shared" si="2"/>
        <v>0</v>
      </c>
    </row>
    <row r="119" spans="1:4">
      <c r="A119" s="312" t="s">
        <v>214</v>
      </c>
      <c r="B119" s="313">
        <v>0</v>
      </c>
      <c r="C119" s="313"/>
      <c r="D119" s="325">
        <f t="shared" si="2"/>
        <v>0</v>
      </c>
    </row>
    <row r="120" spans="1:4">
      <c r="A120" s="312" t="s">
        <v>215</v>
      </c>
      <c r="B120" s="313">
        <v>0</v>
      </c>
      <c r="C120" s="313"/>
      <c r="D120" s="325">
        <f t="shared" si="2"/>
        <v>0</v>
      </c>
    </row>
    <row r="121" spans="1:4">
      <c r="A121" s="312" t="s">
        <v>216</v>
      </c>
      <c r="B121" s="313"/>
      <c r="C121" s="313">
        <v>17223</v>
      </c>
      <c r="D121" s="325">
        <f>+C121-B121</f>
        <v>17223</v>
      </c>
    </row>
    <row r="122" spans="1:4">
      <c r="A122" s="312" t="s">
        <v>217</v>
      </c>
      <c r="B122" s="313">
        <v>0</v>
      </c>
      <c r="C122" s="313"/>
      <c r="D122" s="325">
        <f t="shared" si="2"/>
        <v>0</v>
      </c>
    </row>
    <row r="123" spans="1:4">
      <c r="A123" s="312" t="s">
        <v>218</v>
      </c>
      <c r="B123" s="313">
        <v>0</v>
      </c>
      <c r="C123" s="313"/>
      <c r="D123" s="325">
        <f t="shared" si="2"/>
        <v>0</v>
      </c>
    </row>
    <row r="124" spans="1:4">
      <c r="A124" s="312" t="s">
        <v>219</v>
      </c>
      <c r="B124" s="313">
        <v>0</v>
      </c>
      <c r="C124" s="313"/>
      <c r="D124" s="325">
        <f t="shared" si="2"/>
        <v>0</v>
      </c>
    </row>
    <row r="125" spans="1:4">
      <c r="A125" s="312" t="s">
        <v>220</v>
      </c>
      <c r="B125" s="313">
        <v>0</v>
      </c>
      <c r="C125" s="313"/>
      <c r="D125" s="325">
        <f t="shared" si="2"/>
        <v>0</v>
      </c>
    </row>
    <row r="126" spans="1:4">
      <c r="A126" s="312" t="s">
        <v>221</v>
      </c>
      <c r="B126" s="313">
        <v>0</v>
      </c>
      <c r="C126" s="313"/>
      <c r="D126" s="325">
        <f t="shared" si="2"/>
        <v>0</v>
      </c>
    </row>
    <row r="127" spans="1:4">
      <c r="A127" s="312" t="s">
        <v>222</v>
      </c>
      <c r="B127" s="313">
        <v>0</v>
      </c>
      <c r="C127" s="313"/>
      <c r="D127" s="325">
        <f t="shared" si="2"/>
        <v>0</v>
      </c>
    </row>
    <row r="128" spans="1:4">
      <c r="A128" s="312" t="s">
        <v>223</v>
      </c>
      <c r="B128" s="313">
        <v>0</v>
      </c>
      <c r="C128" s="313"/>
      <c r="D128" s="325">
        <f t="shared" si="2"/>
        <v>0</v>
      </c>
    </row>
    <row r="129" spans="1:4">
      <c r="A129" s="312" t="s">
        <v>224</v>
      </c>
      <c r="B129" s="313">
        <v>0</v>
      </c>
      <c r="C129" s="313"/>
      <c r="D129" s="325">
        <f t="shared" si="2"/>
        <v>0</v>
      </c>
    </row>
    <row r="130" spans="1:4">
      <c r="A130" s="312" t="s">
        <v>225</v>
      </c>
      <c r="B130" s="313">
        <v>0</v>
      </c>
      <c r="C130" s="313"/>
      <c r="D130" s="325">
        <f t="shared" si="2"/>
        <v>0</v>
      </c>
    </row>
    <row r="131" spans="1:4">
      <c r="A131" s="312" t="s">
        <v>226</v>
      </c>
      <c r="B131" s="313">
        <v>0</v>
      </c>
      <c r="C131" s="313"/>
      <c r="D131" s="325">
        <f t="shared" si="2"/>
        <v>0</v>
      </c>
    </row>
    <row r="132" spans="1:4">
      <c r="A132" s="312" t="s">
        <v>227</v>
      </c>
      <c r="B132" s="313">
        <v>0</v>
      </c>
      <c r="C132" s="313"/>
      <c r="D132" s="325">
        <f t="shared" ref="D132:D195" si="3">C132-B132</f>
        <v>0</v>
      </c>
    </row>
    <row r="133" spans="1:4">
      <c r="A133" s="312" t="s">
        <v>228</v>
      </c>
      <c r="B133" s="313">
        <v>0</v>
      </c>
      <c r="C133" s="313"/>
      <c r="D133" s="325">
        <f t="shared" si="3"/>
        <v>0</v>
      </c>
    </row>
    <row r="134" spans="1:4">
      <c r="A134" s="312" t="s">
        <v>377</v>
      </c>
      <c r="B134" s="313">
        <v>0</v>
      </c>
      <c r="C134" s="313"/>
      <c r="D134" s="325">
        <f t="shared" si="3"/>
        <v>0</v>
      </c>
    </row>
    <row r="135" spans="1:4">
      <c r="A135" s="312" t="s">
        <v>378</v>
      </c>
      <c r="B135" s="313">
        <v>0</v>
      </c>
      <c r="C135" s="313"/>
      <c r="D135" s="325">
        <f t="shared" si="3"/>
        <v>0</v>
      </c>
    </row>
    <row r="136" spans="1:4">
      <c r="A136" s="312" t="s">
        <v>379</v>
      </c>
      <c r="B136" s="313">
        <v>0</v>
      </c>
      <c r="C136" s="313"/>
      <c r="D136" s="325">
        <f t="shared" si="3"/>
        <v>0</v>
      </c>
    </row>
    <row r="137" spans="1:4">
      <c r="A137" s="312" t="s">
        <v>380</v>
      </c>
      <c r="B137" s="313">
        <v>0</v>
      </c>
      <c r="C137" s="313"/>
      <c r="D137" s="325">
        <f t="shared" si="3"/>
        <v>0</v>
      </c>
    </row>
    <row r="138" spans="1:4">
      <c r="A138" s="312" t="s">
        <v>381</v>
      </c>
      <c r="B138" s="313">
        <v>0</v>
      </c>
      <c r="C138" s="313"/>
      <c r="D138" s="325">
        <f t="shared" si="3"/>
        <v>0</v>
      </c>
    </row>
    <row r="139" spans="1:4">
      <c r="A139" s="312" t="s">
        <v>382</v>
      </c>
      <c r="B139" s="313">
        <v>0</v>
      </c>
      <c r="C139" s="313"/>
      <c r="D139" s="325">
        <f t="shared" si="3"/>
        <v>0</v>
      </c>
    </row>
    <row r="140" spans="1:4">
      <c r="A140" s="312" t="s">
        <v>383</v>
      </c>
      <c r="B140" s="313">
        <v>0</v>
      </c>
      <c r="C140" s="313"/>
      <c r="D140" s="325">
        <f t="shared" si="3"/>
        <v>0</v>
      </c>
    </row>
    <row r="141" spans="1:4">
      <c r="A141" s="312" t="s">
        <v>384</v>
      </c>
      <c r="B141" s="313">
        <v>0</v>
      </c>
      <c r="C141" s="313"/>
      <c r="D141" s="325">
        <f t="shared" si="3"/>
        <v>0</v>
      </c>
    </row>
    <row r="142" spans="1:4">
      <c r="A142" s="312" t="s">
        <v>385</v>
      </c>
      <c r="B142" s="313">
        <v>0</v>
      </c>
      <c r="C142" s="313"/>
      <c r="D142" s="325">
        <f t="shared" si="3"/>
        <v>0</v>
      </c>
    </row>
    <row r="143" spans="1:4">
      <c r="A143" s="312" t="s">
        <v>386</v>
      </c>
      <c r="B143" s="313">
        <v>0</v>
      </c>
      <c r="C143" s="313"/>
      <c r="D143" s="325">
        <f t="shared" si="3"/>
        <v>0</v>
      </c>
    </row>
    <row r="144" spans="1:4">
      <c r="A144" s="312" t="s">
        <v>387</v>
      </c>
      <c r="B144" s="313">
        <v>160</v>
      </c>
      <c r="C144" s="313">
        <v>160</v>
      </c>
      <c r="D144" s="325">
        <f t="shared" si="3"/>
        <v>0</v>
      </c>
    </row>
    <row r="145" spans="1:4">
      <c r="A145" s="312" t="s">
        <v>229</v>
      </c>
      <c r="B145" s="313">
        <v>0</v>
      </c>
      <c r="C145" s="313"/>
      <c r="D145" s="325">
        <f t="shared" si="3"/>
        <v>0</v>
      </c>
    </row>
    <row r="146" spans="1:4">
      <c r="A146" s="312" t="s">
        <v>388</v>
      </c>
      <c r="B146" s="313">
        <v>0</v>
      </c>
      <c r="C146" s="313"/>
      <c r="D146" s="325">
        <f t="shared" si="3"/>
        <v>0</v>
      </c>
    </row>
    <row r="147" spans="1:4">
      <c r="A147" s="312" t="s">
        <v>389</v>
      </c>
      <c r="B147" s="313">
        <v>0</v>
      </c>
      <c r="C147" s="313"/>
      <c r="D147" s="325">
        <f t="shared" si="3"/>
        <v>0</v>
      </c>
    </row>
    <row r="148" spans="1:4">
      <c r="A148" s="312" t="s">
        <v>390</v>
      </c>
      <c r="B148" s="313">
        <v>0</v>
      </c>
      <c r="C148" s="313"/>
      <c r="D148" s="325">
        <f t="shared" si="3"/>
        <v>0</v>
      </c>
    </row>
    <row r="149" spans="1:4">
      <c r="A149" s="318" t="s">
        <v>391</v>
      </c>
      <c r="B149" s="313">
        <v>0</v>
      </c>
      <c r="C149" s="313"/>
      <c r="D149" s="325">
        <f t="shared" si="3"/>
        <v>0</v>
      </c>
    </row>
    <row r="150" spans="1:4">
      <c r="A150" s="312" t="s">
        <v>230</v>
      </c>
      <c r="B150" s="313">
        <v>0</v>
      </c>
      <c r="C150" s="313"/>
      <c r="D150" s="325">
        <f t="shared" si="3"/>
        <v>0</v>
      </c>
    </row>
    <row r="151" spans="1:4">
      <c r="A151" s="312" t="s">
        <v>392</v>
      </c>
      <c r="B151" s="313">
        <v>0</v>
      </c>
      <c r="C151" s="313"/>
      <c r="D151" s="325">
        <f t="shared" si="3"/>
        <v>0</v>
      </c>
    </row>
    <row r="152" spans="1:4">
      <c r="A152" s="312" t="s">
        <v>231</v>
      </c>
      <c r="B152" s="313">
        <v>0</v>
      </c>
      <c r="C152" s="313"/>
      <c r="D152" s="325">
        <f t="shared" si="3"/>
        <v>0</v>
      </c>
    </row>
    <row r="153" spans="1:4">
      <c r="A153" s="312" t="s">
        <v>232</v>
      </c>
      <c r="B153" s="313">
        <v>0</v>
      </c>
      <c r="C153" s="313"/>
      <c r="D153" s="325">
        <f t="shared" si="3"/>
        <v>0</v>
      </c>
    </row>
    <row r="154" spans="1:4">
      <c r="A154" s="312" t="s">
        <v>393</v>
      </c>
      <c r="B154" s="313">
        <v>0</v>
      </c>
      <c r="C154" s="313"/>
      <c r="D154" s="325">
        <f t="shared" si="3"/>
        <v>0</v>
      </c>
    </row>
    <row r="155" spans="1:4">
      <c r="A155" s="312" t="s">
        <v>394</v>
      </c>
      <c r="B155" s="313">
        <v>0</v>
      </c>
      <c r="C155" s="313"/>
      <c r="D155" s="325">
        <f t="shared" si="3"/>
        <v>0</v>
      </c>
    </row>
    <row r="156" spans="1:4">
      <c r="A156" s="312" t="s">
        <v>395</v>
      </c>
      <c r="B156" s="313">
        <v>0</v>
      </c>
      <c r="C156" s="313"/>
      <c r="D156" s="325">
        <f t="shared" si="3"/>
        <v>0</v>
      </c>
    </row>
    <row r="157" spans="1:4">
      <c r="A157" s="312" t="s">
        <v>396</v>
      </c>
      <c r="B157" s="313">
        <v>0</v>
      </c>
      <c r="C157" s="313"/>
      <c r="D157" s="325">
        <f t="shared" si="3"/>
        <v>0</v>
      </c>
    </row>
    <row r="158" spans="1:4">
      <c r="A158" s="312" t="s">
        <v>233</v>
      </c>
      <c r="B158" s="313">
        <v>0</v>
      </c>
      <c r="C158" s="313"/>
      <c r="D158" s="325">
        <f t="shared" si="3"/>
        <v>0</v>
      </c>
    </row>
    <row r="159" spans="1:4">
      <c r="A159" s="312" t="s">
        <v>397</v>
      </c>
      <c r="B159" s="313">
        <v>0</v>
      </c>
      <c r="C159" s="313"/>
      <c r="D159" s="325">
        <f t="shared" si="3"/>
        <v>0</v>
      </c>
    </row>
    <row r="160" spans="1:4">
      <c r="A160" s="312" t="s">
        <v>398</v>
      </c>
      <c r="B160" s="313">
        <v>0</v>
      </c>
      <c r="C160" s="313"/>
      <c r="D160" s="325">
        <f t="shared" si="3"/>
        <v>0</v>
      </c>
    </row>
    <row r="161" spans="1:4">
      <c r="A161" s="312" t="s">
        <v>399</v>
      </c>
      <c r="B161" s="313">
        <v>0</v>
      </c>
      <c r="C161" s="313"/>
      <c r="D161" s="325">
        <f t="shared" si="3"/>
        <v>0</v>
      </c>
    </row>
    <row r="162" spans="1:4">
      <c r="A162" s="312" t="s">
        <v>400</v>
      </c>
      <c r="B162" s="313">
        <v>0</v>
      </c>
      <c r="C162" s="313"/>
      <c r="D162" s="325">
        <f t="shared" si="3"/>
        <v>0</v>
      </c>
    </row>
    <row r="163" spans="1:4">
      <c r="A163" s="312" t="s">
        <v>401</v>
      </c>
      <c r="B163" s="313">
        <v>0</v>
      </c>
      <c r="C163" s="313"/>
      <c r="D163" s="325">
        <f t="shared" si="3"/>
        <v>0</v>
      </c>
    </row>
    <row r="164" spans="1:4">
      <c r="A164" s="312" t="s">
        <v>402</v>
      </c>
      <c r="B164" s="313">
        <v>0</v>
      </c>
      <c r="C164" s="313"/>
      <c r="D164" s="325">
        <f t="shared" si="3"/>
        <v>0</v>
      </c>
    </row>
    <row r="165" spans="1:4">
      <c r="A165" s="312" t="s">
        <v>403</v>
      </c>
      <c r="B165" s="313">
        <v>0</v>
      </c>
      <c r="C165" s="313"/>
      <c r="D165" s="325">
        <f t="shared" si="3"/>
        <v>0</v>
      </c>
    </row>
    <row r="166" spans="1:4">
      <c r="A166" s="312" t="s">
        <v>404</v>
      </c>
      <c r="B166" s="313">
        <v>0</v>
      </c>
      <c r="C166" s="313"/>
      <c r="D166" s="325">
        <f>C166-B166</f>
        <v>0</v>
      </c>
    </row>
    <row r="167" spans="1:4">
      <c r="A167" s="312" t="s">
        <v>405</v>
      </c>
      <c r="B167" s="313">
        <v>0</v>
      </c>
      <c r="C167" s="313"/>
      <c r="D167" s="325">
        <f t="shared" si="3"/>
        <v>0</v>
      </c>
    </row>
    <row r="168" spans="1:4">
      <c r="A168" s="312" t="s">
        <v>406</v>
      </c>
      <c r="B168" s="313">
        <v>0</v>
      </c>
      <c r="C168" s="313"/>
      <c r="D168" s="325">
        <f t="shared" si="3"/>
        <v>0</v>
      </c>
    </row>
    <row r="169" spans="1:4">
      <c r="A169" s="312" t="s">
        <v>407</v>
      </c>
      <c r="B169" s="313">
        <v>0</v>
      </c>
      <c r="C169" s="313"/>
      <c r="D169" s="325">
        <f t="shared" si="3"/>
        <v>0</v>
      </c>
    </row>
    <row r="170" spans="1:4">
      <c r="A170" s="312" t="s">
        <v>408</v>
      </c>
      <c r="B170" s="313">
        <v>0</v>
      </c>
      <c r="C170" s="313"/>
      <c r="D170" s="325">
        <f t="shared" si="3"/>
        <v>0</v>
      </c>
    </row>
    <row r="171" spans="1:4">
      <c r="A171" s="312" t="s">
        <v>409</v>
      </c>
      <c r="B171" s="313">
        <v>0</v>
      </c>
      <c r="C171" s="313"/>
      <c r="D171" s="325">
        <f t="shared" si="3"/>
        <v>0</v>
      </c>
    </row>
    <row r="172" spans="1:4">
      <c r="A172" s="312" t="s">
        <v>410</v>
      </c>
      <c r="B172" s="313">
        <v>0</v>
      </c>
      <c r="C172" s="313"/>
      <c r="D172" s="325">
        <f t="shared" si="3"/>
        <v>0</v>
      </c>
    </row>
    <row r="173" spans="1:4">
      <c r="A173" s="312" t="s">
        <v>411</v>
      </c>
      <c r="B173" s="313">
        <v>0</v>
      </c>
      <c r="C173" s="313"/>
      <c r="D173" s="325">
        <f t="shared" si="3"/>
        <v>0</v>
      </c>
    </row>
    <row r="174" spans="1:4">
      <c r="A174" s="312" t="s">
        <v>412</v>
      </c>
      <c r="B174" s="313">
        <v>0</v>
      </c>
      <c r="C174" s="313"/>
      <c r="D174" s="325">
        <f t="shared" si="3"/>
        <v>0</v>
      </c>
    </row>
    <row r="175" spans="1:4">
      <c r="A175" s="312" t="s">
        <v>413</v>
      </c>
      <c r="B175" s="313">
        <v>0</v>
      </c>
      <c r="C175" s="313"/>
      <c r="D175" s="325">
        <f t="shared" si="3"/>
        <v>0</v>
      </c>
    </row>
    <row r="176" spans="1:4">
      <c r="A176" s="312" t="s">
        <v>234</v>
      </c>
      <c r="B176" s="313">
        <v>0</v>
      </c>
      <c r="C176" s="313"/>
      <c r="D176" s="325">
        <f t="shared" si="3"/>
        <v>0</v>
      </c>
    </row>
    <row r="177" spans="1:4">
      <c r="A177" s="312" t="s">
        <v>235</v>
      </c>
      <c r="B177" s="313">
        <v>0</v>
      </c>
      <c r="C177" s="313"/>
      <c r="D177" s="325">
        <f t="shared" si="3"/>
        <v>0</v>
      </c>
    </row>
    <row r="178" spans="1:4">
      <c r="A178" s="312" t="s">
        <v>414</v>
      </c>
      <c r="B178" s="313">
        <v>0</v>
      </c>
      <c r="C178" s="313"/>
      <c r="D178" s="325">
        <f t="shared" si="3"/>
        <v>0</v>
      </c>
    </row>
    <row r="179" spans="1:4">
      <c r="A179" s="312" t="s">
        <v>415</v>
      </c>
      <c r="B179" s="313">
        <v>0</v>
      </c>
      <c r="C179" s="313"/>
      <c r="D179" s="325">
        <f t="shared" si="3"/>
        <v>0</v>
      </c>
    </row>
    <row r="180" spans="1:4">
      <c r="A180" s="312" t="s">
        <v>416</v>
      </c>
      <c r="B180" s="313">
        <v>0</v>
      </c>
      <c r="C180" s="313"/>
      <c r="D180" s="325">
        <f t="shared" si="3"/>
        <v>0</v>
      </c>
    </row>
    <row r="181" spans="1:4">
      <c r="A181" s="312" t="s">
        <v>417</v>
      </c>
      <c r="B181" s="313">
        <v>0</v>
      </c>
      <c r="C181" s="313"/>
      <c r="D181" s="325">
        <f t="shared" si="3"/>
        <v>0</v>
      </c>
    </row>
    <row r="182" spans="1:4">
      <c r="A182" s="312" t="s">
        <v>418</v>
      </c>
      <c r="B182" s="313">
        <v>0</v>
      </c>
      <c r="C182" s="313"/>
      <c r="D182" s="325">
        <f t="shared" si="3"/>
        <v>0</v>
      </c>
    </row>
    <row r="183" spans="1:4">
      <c r="A183" s="312" t="s">
        <v>419</v>
      </c>
      <c r="B183" s="313">
        <v>0</v>
      </c>
      <c r="C183" s="313"/>
      <c r="D183" s="325">
        <f t="shared" si="3"/>
        <v>0</v>
      </c>
    </row>
    <row r="184" spans="1:4">
      <c r="A184" s="312" t="s">
        <v>420</v>
      </c>
      <c r="B184" s="313">
        <v>0</v>
      </c>
      <c r="C184" s="313"/>
      <c r="D184" s="325">
        <f t="shared" si="3"/>
        <v>0</v>
      </c>
    </row>
    <row r="185" spans="1:4">
      <c r="A185" s="312" t="s">
        <v>421</v>
      </c>
      <c r="B185" s="313">
        <v>0</v>
      </c>
      <c r="C185" s="313"/>
      <c r="D185" s="325">
        <f t="shared" si="3"/>
        <v>0</v>
      </c>
    </row>
    <row r="186" spans="1:4">
      <c r="A186" s="312" t="s">
        <v>422</v>
      </c>
      <c r="B186" s="313">
        <v>0</v>
      </c>
      <c r="C186" s="313"/>
      <c r="D186" s="325">
        <f t="shared" si="3"/>
        <v>0</v>
      </c>
    </row>
    <row r="187" spans="1:4">
      <c r="A187" s="312" t="s">
        <v>245</v>
      </c>
      <c r="B187" s="313">
        <v>8432</v>
      </c>
      <c r="C187" s="313">
        <v>8432</v>
      </c>
      <c r="D187" s="325">
        <f t="shared" si="3"/>
        <v>0</v>
      </c>
    </row>
    <row r="188" spans="1:4">
      <c r="A188" s="312" t="s">
        <v>423</v>
      </c>
      <c r="B188" s="313">
        <v>0</v>
      </c>
      <c r="C188" s="313"/>
      <c r="D188" s="325">
        <f t="shared" si="3"/>
        <v>0</v>
      </c>
    </row>
    <row r="189" spans="1:4">
      <c r="A189" s="312" t="s">
        <v>424</v>
      </c>
      <c r="B189" s="313">
        <v>0</v>
      </c>
      <c r="C189" s="313"/>
      <c r="D189" s="325">
        <f t="shared" si="3"/>
        <v>0</v>
      </c>
    </row>
    <row r="190" spans="1:4">
      <c r="A190" s="312" t="s">
        <v>425</v>
      </c>
      <c r="B190" s="313">
        <v>0</v>
      </c>
      <c r="C190" s="313"/>
      <c r="D190" s="325">
        <f t="shared" si="3"/>
        <v>0</v>
      </c>
    </row>
    <row r="191" spans="1:4">
      <c r="A191" s="312" t="s">
        <v>426</v>
      </c>
      <c r="B191" s="313">
        <v>0</v>
      </c>
      <c r="C191" s="313"/>
      <c r="D191" s="325">
        <f t="shared" si="3"/>
        <v>0</v>
      </c>
    </row>
    <row r="192" spans="1:4">
      <c r="A192" s="312" t="s">
        <v>427</v>
      </c>
      <c r="B192" s="313">
        <v>0</v>
      </c>
      <c r="C192" s="313"/>
      <c r="D192" s="325">
        <f t="shared" si="3"/>
        <v>0</v>
      </c>
    </row>
    <row r="193" spans="1:4">
      <c r="A193" s="312" t="s">
        <v>428</v>
      </c>
      <c r="B193" s="313">
        <v>0</v>
      </c>
      <c r="C193" s="313"/>
      <c r="D193" s="325">
        <f t="shared" si="3"/>
        <v>0</v>
      </c>
    </row>
    <row r="194" spans="1:4">
      <c r="A194" s="312" t="s">
        <v>429</v>
      </c>
      <c r="B194" s="313">
        <v>0</v>
      </c>
      <c r="C194" s="313"/>
      <c r="D194" s="325">
        <f t="shared" si="3"/>
        <v>0</v>
      </c>
    </row>
    <row r="195" spans="1:4">
      <c r="A195" s="312" t="s">
        <v>430</v>
      </c>
      <c r="B195" s="313">
        <v>0</v>
      </c>
      <c r="C195" s="313"/>
      <c r="D195" s="325">
        <f t="shared" si="3"/>
        <v>0</v>
      </c>
    </row>
    <row r="196" spans="1:4">
      <c r="A196" s="312" t="s">
        <v>431</v>
      </c>
      <c r="B196" s="313">
        <v>0</v>
      </c>
      <c r="C196" s="313"/>
      <c r="D196" s="325">
        <f t="shared" ref="D196:D259" si="4">C196-B196</f>
        <v>0</v>
      </c>
    </row>
    <row r="197" spans="1:4">
      <c r="A197" s="312" t="s">
        <v>432</v>
      </c>
      <c r="B197" s="313">
        <v>0</v>
      </c>
      <c r="C197" s="313"/>
      <c r="D197" s="325">
        <f t="shared" si="4"/>
        <v>0</v>
      </c>
    </row>
    <row r="198" spans="1:4">
      <c r="A198" s="312" t="s">
        <v>239</v>
      </c>
      <c r="B198" s="313">
        <v>0</v>
      </c>
      <c r="C198" s="313"/>
      <c r="D198" s="325">
        <f t="shared" si="4"/>
        <v>0</v>
      </c>
    </row>
    <row r="199" spans="1:4">
      <c r="A199" s="312" t="s">
        <v>433</v>
      </c>
      <c r="B199" s="313">
        <v>0</v>
      </c>
      <c r="C199" s="313"/>
      <c r="D199" s="325">
        <f t="shared" si="4"/>
        <v>0</v>
      </c>
    </row>
    <row r="200" spans="1:4">
      <c r="A200" s="312" t="s">
        <v>434</v>
      </c>
      <c r="B200" s="313">
        <v>0</v>
      </c>
      <c r="C200" s="313"/>
      <c r="D200" s="325">
        <f t="shared" si="4"/>
        <v>0</v>
      </c>
    </row>
    <row r="201" spans="1:4">
      <c r="A201" s="312" t="s">
        <v>435</v>
      </c>
      <c r="B201" s="313">
        <v>0</v>
      </c>
      <c r="C201" s="313"/>
      <c r="D201" s="325">
        <f t="shared" si="4"/>
        <v>0</v>
      </c>
    </row>
    <row r="202" spans="1:4">
      <c r="A202" s="312" t="s">
        <v>436</v>
      </c>
      <c r="B202" s="313">
        <v>0</v>
      </c>
      <c r="C202" s="313"/>
      <c r="D202" s="325">
        <f t="shared" si="4"/>
        <v>0</v>
      </c>
    </row>
    <row r="203" spans="1:4">
      <c r="A203" s="312" t="s">
        <v>437</v>
      </c>
      <c r="B203" s="313">
        <v>0</v>
      </c>
      <c r="C203" s="313"/>
      <c r="D203" s="325">
        <f t="shared" si="4"/>
        <v>0</v>
      </c>
    </row>
    <row r="204" spans="1:4">
      <c r="A204" s="312" t="s">
        <v>438</v>
      </c>
      <c r="B204" s="313">
        <v>0</v>
      </c>
      <c r="C204" s="313"/>
      <c r="D204" s="325">
        <f t="shared" si="4"/>
        <v>0</v>
      </c>
    </row>
    <row r="205" spans="1:4">
      <c r="A205" s="312" t="s">
        <v>439</v>
      </c>
      <c r="B205" s="313">
        <v>0</v>
      </c>
      <c r="C205" s="313"/>
      <c r="D205" s="325">
        <f t="shared" si="4"/>
        <v>0</v>
      </c>
    </row>
    <row r="206" spans="1:4">
      <c r="A206" s="312" t="s">
        <v>440</v>
      </c>
      <c r="B206" s="313">
        <v>0</v>
      </c>
      <c r="C206" s="313"/>
      <c r="D206" s="325">
        <f t="shared" si="4"/>
        <v>0</v>
      </c>
    </row>
    <row r="207" spans="1:4">
      <c r="A207" s="312" t="s">
        <v>441</v>
      </c>
      <c r="B207" s="313">
        <v>0</v>
      </c>
      <c r="C207" s="313"/>
      <c r="D207" s="325">
        <f t="shared" si="4"/>
        <v>0</v>
      </c>
    </row>
    <row r="208" spans="1:4">
      <c r="A208" s="312" t="s">
        <v>442</v>
      </c>
      <c r="B208" s="313">
        <v>0</v>
      </c>
      <c r="C208" s="313"/>
      <c r="D208" s="325">
        <f t="shared" si="4"/>
        <v>0</v>
      </c>
    </row>
    <row r="209" spans="1:4">
      <c r="A209" s="312" t="s">
        <v>443</v>
      </c>
      <c r="B209" s="313">
        <v>0</v>
      </c>
      <c r="C209" s="313"/>
      <c r="D209" s="325">
        <f t="shared" si="4"/>
        <v>0</v>
      </c>
    </row>
    <row r="210" spans="1:4">
      <c r="A210" s="312" t="s">
        <v>444</v>
      </c>
      <c r="B210" s="313">
        <v>0</v>
      </c>
      <c r="C210" s="313"/>
      <c r="D210" s="325">
        <f t="shared" si="4"/>
        <v>0</v>
      </c>
    </row>
    <row r="211" spans="1:4">
      <c r="A211" s="312" t="s">
        <v>180</v>
      </c>
      <c r="B211" s="313">
        <v>5784</v>
      </c>
      <c r="C211" s="313">
        <v>5784</v>
      </c>
      <c r="D211" s="325">
        <f t="shared" si="4"/>
        <v>0</v>
      </c>
    </row>
    <row r="212" spans="1:4">
      <c r="A212" s="312" t="s">
        <v>445</v>
      </c>
      <c r="B212" s="313">
        <v>0</v>
      </c>
      <c r="C212" s="313"/>
      <c r="D212" s="325">
        <f t="shared" si="4"/>
        <v>0</v>
      </c>
    </row>
    <row r="213" spans="1:4">
      <c r="A213" s="312" t="s">
        <v>446</v>
      </c>
      <c r="B213" s="313">
        <v>0</v>
      </c>
      <c r="C213" s="313"/>
      <c r="D213" s="325">
        <f t="shared" si="4"/>
        <v>0</v>
      </c>
    </row>
    <row r="214" spans="1:4">
      <c r="A214" s="312" t="s">
        <v>447</v>
      </c>
      <c r="B214" s="313">
        <v>0</v>
      </c>
      <c r="C214" s="313"/>
      <c r="D214" s="325">
        <f t="shared" si="4"/>
        <v>0</v>
      </c>
    </row>
    <row r="215" spans="1:4">
      <c r="A215" s="312" t="s">
        <v>448</v>
      </c>
      <c r="B215" s="313">
        <v>0</v>
      </c>
      <c r="C215" s="313"/>
      <c r="D215" s="325">
        <f t="shared" si="4"/>
        <v>0</v>
      </c>
    </row>
    <row r="216" spans="1:4">
      <c r="A216" s="312" t="s">
        <v>449</v>
      </c>
      <c r="B216" s="313">
        <v>0</v>
      </c>
      <c r="C216" s="313"/>
      <c r="D216" s="325">
        <f t="shared" si="4"/>
        <v>0</v>
      </c>
    </row>
    <row r="217" spans="1:4">
      <c r="A217" s="312" t="s">
        <v>450</v>
      </c>
      <c r="B217" s="313">
        <v>0</v>
      </c>
      <c r="C217" s="313"/>
      <c r="D217" s="325">
        <f t="shared" si="4"/>
        <v>0</v>
      </c>
    </row>
    <row r="218" spans="1:4">
      <c r="A218" s="312" t="s">
        <v>451</v>
      </c>
      <c r="B218" s="313">
        <v>0</v>
      </c>
      <c r="C218" s="313"/>
      <c r="D218" s="325">
        <f t="shared" si="4"/>
        <v>0</v>
      </c>
    </row>
    <row r="219" spans="1:4">
      <c r="A219" s="312" t="s">
        <v>452</v>
      </c>
      <c r="B219" s="313">
        <v>0</v>
      </c>
      <c r="C219" s="313"/>
      <c r="D219" s="325">
        <f t="shared" si="4"/>
        <v>0</v>
      </c>
    </row>
    <row r="220" spans="1:4">
      <c r="A220" s="312" t="s">
        <v>453</v>
      </c>
      <c r="B220" s="313">
        <v>0</v>
      </c>
      <c r="C220" s="313"/>
      <c r="D220" s="325">
        <f t="shared" si="4"/>
        <v>0</v>
      </c>
    </row>
    <row r="221" spans="1:4">
      <c r="A221" s="312" t="s">
        <v>454</v>
      </c>
      <c r="B221" s="313">
        <v>0</v>
      </c>
      <c r="C221" s="313"/>
      <c r="D221" s="325">
        <f t="shared" si="4"/>
        <v>0</v>
      </c>
    </row>
    <row r="222" spans="1:4">
      <c r="A222" s="312" t="s">
        <v>455</v>
      </c>
      <c r="B222" s="313">
        <v>0</v>
      </c>
      <c r="C222" s="313"/>
      <c r="D222" s="325">
        <f t="shared" si="4"/>
        <v>0</v>
      </c>
    </row>
    <row r="223" spans="1:4">
      <c r="A223" s="312" t="s">
        <v>456</v>
      </c>
      <c r="B223" s="313">
        <v>0</v>
      </c>
      <c r="C223" s="313"/>
      <c r="D223" s="325">
        <f t="shared" si="4"/>
        <v>0</v>
      </c>
    </row>
    <row r="224" spans="1:4">
      <c r="A224" s="312" t="s">
        <v>181</v>
      </c>
      <c r="B224" s="313"/>
      <c r="C224" s="313">
        <v>98</v>
      </c>
      <c r="D224" s="325">
        <f t="shared" si="4"/>
        <v>98</v>
      </c>
    </row>
    <row r="225" spans="1:4">
      <c r="A225" s="312" t="s">
        <v>182</v>
      </c>
      <c r="B225" s="313"/>
      <c r="C225" s="313">
        <v>453</v>
      </c>
      <c r="D225" s="325">
        <f>+C225-B225</f>
        <v>453</v>
      </c>
    </row>
    <row r="226" spans="1:4">
      <c r="A226" s="312" t="s">
        <v>183</v>
      </c>
      <c r="B226" s="313">
        <v>0</v>
      </c>
      <c r="C226" s="313"/>
      <c r="D226" s="325">
        <f t="shared" si="4"/>
        <v>0</v>
      </c>
    </row>
    <row r="227" spans="1:4">
      <c r="A227" s="312" t="s">
        <v>457</v>
      </c>
      <c r="B227" s="313">
        <v>0</v>
      </c>
      <c r="C227" s="313"/>
      <c r="D227" s="325">
        <f t="shared" si="4"/>
        <v>0</v>
      </c>
    </row>
    <row r="228" spans="1:4">
      <c r="A228" s="312" t="s">
        <v>458</v>
      </c>
      <c r="B228" s="313">
        <v>0</v>
      </c>
      <c r="C228" s="313"/>
      <c r="D228" s="325">
        <f t="shared" si="4"/>
        <v>0</v>
      </c>
    </row>
    <row r="229" spans="1:4">
      <c r="A229" s="312" t="s">
        <v>259</v>
      </c>
      <c r="B229" s="313">
        <v>9244</v>
      </c>
      <c r="C229" s="313">
        <v>9244</v>
      </c>
      <c r="D229" s="325">
        <f t="shared" si="4"/>
        <v>0</v>
      </c>
    </row>
    <row r="230" spans="1:4">
      <c r="A230" s="312" t="s">
        <v>184</v>
      </c>
      <c r="B230" s="313">
        <v>0</v>
      </c>
      <c r="C230" s="313"/>
      <c r="D230" s="325">
        <f t="shared" si="4"/>
        <v>0</v>
      </c>
    </row>
    <row r="231" spans="1:4">
      <c r="A231" s="312" t="s">
        <v>242</v>
      </c>
      <c r="B231" s="313">
        <v>4348</v>
      </c>
      <c r="C231" s="313">
        <v>4348</v>
      </c>
      <c r="D231" s="325">
        <f t="shared" si="4"/>
        <v>0</v>
      </c>
    </row>
    <row r="232" spans="1:4">
      <c r="A232" s="312" t="s">
        <v>459</v>
      </c>
      <c r="B232" s="313">
        <v>0</v>
      </c>
      <c r="C232" s="313"/>
      <c r="D232" s="325">
        <f t="shared" si="4"/>
        <v>0</v>
      </c>
    </row>
    <row r="233" spans="1:4">
      <c r="A233" s="312" t="s">
        <v>243</v>
      </c>
      <c r="B233" s="313">
        <v>6330</v>
      </c>
      <c r="C233" s="313">
        <v>6330</v>
      </c>
      <c r="D233" s="325">
        <f t="shared" si="4"/>
        <v>0</v>
      </c>
    </row>
    <row r="234" spans="1:4">
      <c r="A234" s="312" t="s">
        <v>460</v>
      </c>
      <c r="B234" s="313">
        <v>0</v>
      </c>
      <c r="C234" s="313"/>
      <c r="D234" s="325">
        <f t="shared" si="4"/>
        <v>0</v>
      </c>
    </row>
    <row r="235" spans="1:4">
      <c r="A235" s="312" t="s">
        <v>244</v>
      </c>
      <c r="B235" s="313">
        <v>4774</v>
      </c>
      <c r="C235" s="313">
        <v>4774</v>
      </c>
      <c r="D235" s="325">
        <f t="shared" si="4"/>
        <v>0</v>
      </c>
    </row>
    <row r="236" spans="1:4">
      <c r="A236" s="312" t="s">
        <v>246</v>
      </c>
      <c r="B236" s="313">
        <v>773</v>
      </c>
      <c r="C236" s="313">
        <v>773</v>
      </c>
      <c r="D236" s="325">
        <f t="shared" si="4"/>
        <v>0</v>
      </c>
    </row>
    <row r="237" spans="1:4">
      <c r="A237" s="312" t="s">
        <v>461</v>
      </c>
      <c r="B237" s="313">
        <v>0</v>
      </c>
      <c r="C237" s="313"/>
      <c r="D237" s="325">
        <f t="shared" si="4"/>
        <v>0</v>
      </c>
    </row>
    <row r="238" spans="1:4">
      <c r="A238" s="312" t="s">
        <v>462</v>
      </c>
      <c r="B238" s="313">
        <v>2284</v>
      </c>
      <c r="C238" s="313">
        <v>2284</v>
      </c>
      <c r="D238" s="325">
        <f t="shared" si="4"/>
        <v>0</v>
      </c>
    </row>
    <row r="239" spans="1:4">
      <c r="A239" s="312" t="s">
        <v>463</v>
      </c>
      <c r="B239" s="313">
        <v>8654</v>
      </c>
      <c r="C239" s="313">
        <v>9258</v>
      </c>
      <c r="D239" s="325">
        <f t="shared" si="4"/>
        <v>604</v>
      </c>
    </row>
    <row r="240" spans="1:4">
      <c r="A240" s="312" t="s">
        <v>464</v>
      </c>
      <c r="B240" s="313">
        <v>4812</v>
      </c>
      <c r="C240" s="313">
        <v>4812</v>
      </c>
      <c r="D240" s="325">
        <f t="shared" si="4"/>
        <v>0</v>
      </c>
    </row>
    <row r="241" spans="1:4">
      <c r="A241" s="312" t="s">
        <v>250</v>
      </c>
      <c r="B241" s="313">
        <v>1170</v>
      </c>
      <c r="C241" s="313">
        <v>1170</v>
      </c>
      <c r="D241" s="325">
        <f t="shared" si="4"/>
        <v>0</v>
      </c>
    </row>
    <row r="242" spans="1:4">
      <c r="A242" s="312" t="s">
        <v>251</v>
      </c>
      <c r="B242" s="313">
        <v>7620</v>
      </c>
      <c r="C242" s="313">
        <v>7710</v>
      </c>
      <c r="D242" s="325">
        <f t="shared" si="4"/>
        <v>90</v>
      </c>
    </row>
    <row r="243" spans="1:4">
      <c r="A243" s="312" t="s">
        <v>465</v>
      </c>
      <c r="B243" s="313">
        <v>3723</v>
      </c>
      <c r="C243" s="313">
        <v>3723</v>
      </c>
      <c r="D243" s="325">
        <f t="shared" si="4"/>
        <v>0</v>
      </c>
    </row>
    <row r="244" spans="1:4">
      <c r="A244" s="312" t="s">
        <v>466</v>
      </c>
      <c r="B244" s="313">
        <v>13458</v>
      </c>
      <c r="C244" s="313">
        <v>17543</v>
      </c>
      <c r="D244" s="325">
        <f t="shared" si="4"/>
        <v>4085</v>
      </c>
    </row>
    <row r="245" spans="1:4">
      <c r="A245" s="312" t="s">
        <v>467</v>
      </c>
      <c r="B245" s="313">
        <v>10321</v>
      </c>
      <c r="C245" s="313">
        <v>11031</v>
      </c>
      <c r="D245" s="325">
        <f t="shared" si="4"/>
        <v>710</v>
      </c>
    </row>
    <row r="246" spans="1:4">
      <c r="A246" s="312" t="s">
        <v>468</v>
      </c>
      <c r="B246" s="313">
        <v>9025</v>
      </c>
      <c r="C246" s="313">
        <v>9025</v>
      </c>
      <c r="D246" s="325">
        <f t="shared" si="4"/>
        <v>0</v>
      </c>
    </row>
    <row r="247" spans="1:4">
      <c r="A247" s="312" t="s">
        <v>469</v>
      </c>
      <c r="B247" s="313">
        <v>0</v>
      </c>
      <c r="C247" s="313"/>
      <c r="D247" s="325">
        <f t="shared" si="4"/>
        <v>0</v>
      </c>
    </row>
    <row r="248" spans="1:4">
      <c r="A248" s="312" t="s">
        <v>470</v>
      </c>
      <c r="B248" s="313">
        <v>0</v>
      </c>
      <c r="C248" s="313"/>
      <c r="D248" s="325">
        <f t="shared" si="4"/>
        <v>0</v>
      </c>
    </row>
    <row r="249" spans="1:4">
      <c r="A249" s="312" t="s">
        <v>471</v>
      </c>
      <c r="B249" s="313">
        <v>0</v>
      </c>
      <c r="C249" s="313"/>
      <c r="D249" s="325">
        <f t="shared" si="4"/>
        <v>0</v>
      </c>
    </row>
    <row r="250" spans="1:4">
      <c r="A250" s="312" t="s">
        <v>253</v>
      </c>
      <c r="B250" s="313">
        <v>32384</v>
      </c>
      <c r="C250" s="313">
        <v>32384</v>
      </c>
      <c r="D250" s="325">
        <f t="shared" si="4"/>
        <v>0</v>
      </c>
    </row>
    <row r="251" spans="1:4">
      <c r="A251" s="312" t="s">
        <v>472</v>
      </c>
      <c r="B251" s="313">
        <v>0</v>
      </c>
      <c r="C251" s="313"/>
      <c r="D251" s="325">
        <f t="shared" si="4"/>
        <v>0</v>
      </c>
    </row>
    <row r="252" spans="1:4">
      <c r="A252" s="312" t="s">
        <v>254</v>
      </c>
      <c r="B252" s="313">
        <v>3519</v>
      </c>
      <c r="C252" s="313">
        <v>3519</v>
      </c>
      <c r="D252" s="325">
        <f t="shared" si="4"/>
        <v>0</v>
      </c>
    </row>
    <row r="253" spans="1:4">
      <c r="A253" s="312" t="s">
        <v>473</v>
      </c>
      <c r="B253" s="313">
        <v>0</v>
      </c>
      <c r="C253" s="313"/>
      <c r="D253" s="325">
        <f t="shared" si="4"/>
        <v>0</v>
      </c>
    </row>
    <row r="254" spans="1:4">
      <c r="A254" s="312" t="s">
        <v>474</v>
      </c>
      <c r="B254" s="313">
        <v>0</v>
      </c>
      <c r="C254" s="313"/>
      <c r="D254" s="325">
        <f t="shared" si="4"/>
        <v>0</v>
      </c>
    </row>
    <row r="255" spans="1:4">
      <c r="A255" s="312" t="s">
        <v>475</v>
      </c>
      <c r="B255" s="313">
        <v>6820</v>
      </c>
      <c r="C255" s="313">
        <v>6820</v>
      </c>
      <c r="D255" s="325">
        <f t="shared" si="4"/>
        <v>0</v>
      </c>
    </row>
    <row r="256" spans="1:4">
      <c r="A256" s="312" t="s">
        <v>255</v>
      </c>
      <c r="B256" s="313">
        <v>7440</v>
      </c>
      <c r="C256" s="313">
        <v>7440</v>
      </c>
      <c r="D256" s="325">
        <f t="shared" si="4"/>
        <v>0</v>
      </c>
    </row>
    <row r="257" spans="1:4">
      <c r="A257" s="312" t="s">
        <v>476</v>
      </c>
      <c r="B257" s="313">
        <v>0</v>
      </c>
      <c r="C257" s="313"/>
      <c r="D257" s="325">
        <f t="shared" si="4"/>
        <v>0</v>
      </c>
    </row>
    <row r="258" spans="1:4">
      <c r="A258" s="312" t="s">
        <v>256</v>
      </c>
      <c r="B258" s="313">
        <v>18336</v>
      </c>
      <c r="C258" s="313">
        <v>18336</v>
      </c>
      <c r="D258" s="325">
        <f t="shared" si="4"/>
        <v>0</v>
      </c>
    </row>
    <row r="259" spans="1:4">
      <c r="A259" s="312" t="s">
        <v>257</v>
      </c>
      <c r="B259" s="313">
        <v>16492</v>
      </c>
      <c r="C259" s="313">
        <v>16492</v>
      </c>
      <c r="D259" s="325">
        <f t="shared" si="4"/>
        <v>0</v>
      </c>
    </row>
    <row r="260" spans="1:4">
      <c r="A260" s="312" t="s">
        <v>477</v>
      </c>
      <c r="B260" s="313">
        <v>10251</v>
      </c>
      <c r="C260" s="313">
        <v>10251</v>
      </c>
      <c r="D260" s="325">
        <f t="shared" ref="D260:D323" si="5">C260-B260</f>
        <v>0</v>
      </c>
    </row>
    <row r="261" spans="1:4">
      <c r="A261" s="312" t="s">
        <v>258</v>
      </c>
      <c r="B261" s="313">
        <v>14872</v>
      </c>
      <c r="C261" s="313">
        <v>14872</v>
      </c>
      <c r="D261" s="325">
        <f t="shared" si="5"/>
        <v>0</v>
      </c>
    </row>
    <row r="262" spans="1:4">
      <c r="A262" s="312" t="s">
        <v>247</v>
      </c>
      <c r="B262" s="313">
        <v>2729</v>
      </c>
      <c r="C262" s="313">
        <v>2729</v>
      </c>
      <c r="D262" s="325">
        <f t="shared" si="5"/>
        <v>0</v>
      </c>
    </row>
    <row r="263" spans="1:4">
      <c r="A263" s="312" t="s">
        <v>249</v>
      </c>
      <c r="B263" s="313">
        <v>19570</v>
      </c>
      <c r="C263" s="313">
        <v>19570</v>
      </c>
      <c r="D263" s="325">
        <f t="shared" si="5"/>
        <v>0</v>
      </c>
    </row>
    <row r="264" spans="1:4">
      <c r="A264" s="312" t="s">
        <v>478</v>
      </c>
      <c r="B264" s="313">
        <v>3293</v>
      </c>
      <c r="C264" s="313">
        <v>3293</v>
      </c>
      <c r="D264" s="325">
        <f t="shared" si="5"/>
        <v>0</v>
      </c>
    </row>
    <row r="265" spans="1:4">
      <c r="A265" s="312" t="s">
        <v>252</v>
      </c>
      <c r="B265" s="313">
        <v>6352</v>
      </c>
      <c r="C265" s="313">
        <v>6352</v>
      </c>
      <c r="D265" s="325">
        <f t="shared" si="5"/>
        <v>0</v>
      </c>
    </row>
    <row r="266" spans="1:4">
      <c r="A266" s="312" t="s">
        <v>479</v>
      </c>
      <c r="B266" s="313">
        <v>10287</v>
      </c>
      <c r="C266" s="313">
        <v>10287</v>
      </c>
      <c r="D266" s="325">
        <f t="shared" si="5"/>
        <v>0</v>
      </c>
    </row>
    <row r="267" spans="1:4">
      <c r="A267" s="312" t="s">
        <v>236</v>
      </c>
      <c r="B267" s="313">
        <v>13099</v>
      </c>
      <c r="C267" s="313">
        <v>13099</v>
      </c>
      <c r="D267" s="325">
        <f t="shared" si="5"/>
        <v>0</v>
      </c>
    </row>
    <row r="268" spans="1:4">
      <c r="A268" s="312" t="s">
        <v>237</v>
      </c>
      <c r="B268" s="313">
        <v>13517</v>
      </c>
      <c r="C268" s="313">
        <v>13517</v>
      </c>
      <c r="D268" s="325">
        <f t="shared" si="5"/>
        <v>0</v>
      </c>
    </row>
    <row r="269" spans="1:4">
      <c r="A269" s="312" t="s">
        <v>480</v>
      </c>
      <c r="B269" s="313">
        <v>9786</v>
      </c>
      <c r="C269" s="313">
        <v>9786</v>
      </c>
      <c r="D269" s="325">
        <f t="shared" si="5"/>
        <v>0</v>
      </c>
    </row>
    <row r="270" spans="1:4">
      <c r="A270" s="312" t="s">
        <v>260</v>
      </c>
      <c r="B270" s="313">
        <v>10996</v>
      </c>
      <c r="C270" s="313">
        <v>10996</v>
      </c>
      <c r="D270" s="325">
        <f t="shared" si="5"/>
        <v>0</v>
      </c>
    </row>
    <row r="271" spans="1:4">
      <c r="A271" s="312" t="s">
        <v>481</v>
      </c>
      <c r="B271" s="313">
        <v>0</v>
      </c>
      <c r="C271" s="313"/>
      <c r="D271" s="325">
        <f t="shared" si="5"/>
        <v>0</v>
      </c>
    </row>
    <row r="272" spans="1:4">
      <c r="A272" s="312" t="s">
        <v>482</v>
      </c>
      <c r="B272" s="313">
        <v>2736</v>
      </c>
      <c r="C272" s="313">
        <v>2736</v>
      </c>
      <c r="D272" s="325">
        <f t="shared" si="5"/>
        <v>0</v>
      </c>
    </row>
    <row r="273" spans="1:4">
      <c r="A273" s="312" t="s">
        <v>483</v>
      </c>
      <c r="B273" s="313">
        <v>995</v>
      </c>
      <c r="C273" s="313">
        <v>995</v>
      </c>
      <c r="D273" s="325">
        <f t="shared" si="5"/>
        <v>0</v>
      </c>
    </row>
    <row r="274" spans="1:4">
      <c r="A274" s="312" t="s">
        <v>484</v>
      </c>
      <c r="B274" s="313">
        <v>1514</v>
      </c>
      <c r="C274" s="313">
        <v>1514</v>
      </c>
      <c r="D274" s="325">
        <f t="shared" si="5"/>
        <v>0</v>
      </c>
    </row>
    <row r="275" spans="1:4">
      <c r="A275" s="312" t="s">
        <v>485</v>
      </c>
      <c r="B275" s="313">
        <v>5976</v>
      </c>
      <c r="C275" s="313">
        <v>5976</v>
      </c>
      <c r="D275" s="325">
        <f t="shared" si="5"/>
        <v>0</v>
      </c>
    </row>
    <row r="276" spans="1:4">
      <c r="A276" s="312" t="s">
        <v>486</v>
      </c>
      <c r="B276" s="313">
        <v>20315</v>
      </c>
      <c r="C276" s="313">
        <v>20315</v>
      </c>
      <c r="D276" s="325">
        <f t="shared" si="5"/>
        <v>0</v>
      </c>
    </row>
    <row r="277" spans="1:4">
      <c r="A277" s="312" t="s">
        <v>487</v>
      </c>
      <c r="B277" s="313">
        <v>13350</v>
      </c>
      <c r="C277" s="313">
        <v>13350</v>
      </c>
      <c r="D277" s="325">
        <f t="shared" si="5"/>
        <v>0</v>
      </c>
    </row>
    <row r="278" spans="1:4">
      <c r="A278" s="312" t="s">
        <v>488</v>
      </c>
      <c r="B278" s="313">
        <v>12864</v>
      </c>
      <c r="C278" s="313">
        <v>12864</v>
      </c>
      <c r="D278" s="325">
        <f t="shared" si="5"/>
        <v>0</v>
      </c>
    </row>
    <row r="279" spans="1:4">
      <c r="A279" s="312" t="s">
        <v>489</v>
      </c>
      <c r="B279" s="313">
        <v>1062</v>
      </c>
      <c r="C279" s="313">
        <v>1062</v>
      </c>
      <c r="D279" s="325">
        <f t="shared" si="5"/>
        <v>0</v>
      </c>
    </row>
    <row r="280" spans="1:4">
      <c r="A280" s="312" t="s">
        <v>490</v>
      </c>
      <c r="B280" s="313">
        <v>2098</v>
      </c>
      <c r="C280" s="313">
        <v>2098</v>
      </c>
      <c r="D280" s="325">
        <f t="shared" si="5"/>
        <v>0</v>
      </c>
    </row>
    <row r="281" spans="1:4">
      <c r="A281" s="312" t="s">
        <v>491</v>
      </c>
      <c r="B281" s="313">
        <v>2720</v>
      </c>
      <c r="C281" s="313">
        <v>2720</v>
      </c>
      <c r="D281" s="325">
        <f t="shared" si="5"/>
        <v>0</v>
      </c>
    </row>
    <row r="282" spans="1:4">
      <c r="A282" s="312" t="s">
        <v>492</v>
      </c>
      <c r="B282" s="313">
        <v>5365</v>
      </c>
      <c r="C282" s="313">
        <v>5365</v>
      </c>
      <c r="D282" s="325">
        <f t="shared" si="5"/>
        <v>0</v>
      </c>
    </row>
    <row r="283" spans="1:4">
      <c r="A283" s="312" t="s">
        <v>493</v>
      </c>
      <c r="B283" s="313">
        <v>3576</v>
      </c>
      <c r="C283" s="313">
        <v>3576</v>
      </c>
      <c r="D283" s="325">
        <f t="shared" si="5"/>
        <v>0</v>
      </c>
    </row>
    <row r="284" spans="1:4">
      <c r="A284" s="312" t="s">
        <v>494</v>
      </c>
      <c r="B284" s="313">
        <v>10064</v>
      </c>
      <c r="C284" s="313">
        <v>10064</v>
      </c>
      <c r="D284" s="325">
        <f t="shared" si="5"/>
        <v>0</v>
      </c>
    </row>
    <row r="285" spans="1:4">
      <c r="A285" s="312" t="s">
        <v>495</v>
      </c>
      <c r="B285" s="313">
        <v>8638</v>
      </c>
      <c r="C285" s="313">
        <v>8638</v>
      </c>
      <c r="D285" s="325">
        <f t="shared" si="5"/>
        <v>0</v>
      </c>
    </row>
    <row r="286" spans="1:4">
      <c r="A286" s="312" t="s">
        <v>496</v>
      </c>
      <c r="B286" s="313">
        <v>3687</v>
      </c>
      <c r="C286" s="313">
        <v>3687</v>
      </c>
      <c r="D286" s="325">
        <f t="shared" si="5"/>
        <v>0</v>
      </c>
    </row>
    <row r="287" spans="1:4">
      <c r="A287" s="312" t="s">
        <v>497</v>
      </c>
      <c r="B287" s="313">
        <v>13183</v>
      </c>
      <c r="C287" s="313">
        <v>13183</v>
      </c>
      <c r="D287" s="325">
        <f t="shared" si="5"/>
        <v>0</v>
      </c>
    </row>
    <row r="288" spans="1:4">
      <c r="A288" s="312" t="s">
        <v>498</v>
      </c>
      <c r="B288" s="313">
        <v>4854</v>
      </c>
      <c r="C288" s="313">
        <v>4854</v>
      </c>
      <c r="D288" s="325">
        <f t="shared" si="5"/>
        <v>0</v>
      </c>
    </row>
    <row r="289" spans="1:4">
      <c r="A289" s="312" t="s">
        <v>499</v>
      </c>
      <c r="B289" s="313">
        <v>1521</v>
      </c>
      <c r="C289" s="313">
        <v>1521</v>
      </c>
      <c r="D289" s="325">
        <f t="shared" si="5"/>
        <v>0</v>
      </c>
    </row>
    <row r="290" spans="1:4">
      <c r="A290" s="312" t="s">
        <v>261</v>
      </c>
      <c r="B290" s="313">
        <v>11648</v>
      </c>
      <c r="C290" s="313">
        <v>11648</v>
      </c>
      <c r="D290" s="325">
        <f t="shared" si="5"/>
        <v>0</v>
      </c>
    </row>
    <row r="291" spans="1:4">
      <c r="A291" s="312" t="s">
        <v>262</v>
      </c>
      <c r="B291" s="313">
        <v>3297</v>
      </c>
      <c r="C291" s="313">
        <v>3297</v>
      </c>
      <c r="D291" s="325">
        <f t="shared" si="5"/>
        <v>0</v>
      </c>
    </row>
    <row r="292" spans="1:4">
      <c r="A292" s="312" t="s">
        <v>263</v>
      </c>
      <c r="B292" s="313">
        <v>2155</v>
      </c>
      <c r="C292" s="313">
        <v>2155</v>
      </c>
      <c r="D292" s="325">
        <f t="shared" si="5"/>
        <v>0</v>
      </c>
    </row>
    <row r="293" spans="1:4">
      <c r="A293" s="312" t="s">
        <v>264</v>
      </c>
      <c r="B293" s="313">
        <v>3182</v>
      </c>
      <c r="C293" s="313">
        <v>3182</v>
      </c>
      <c r="D293" s="325">
        <f t="shared" si="5"/>
        <v>0</v>
      </c>
    </row>
    <row r="294" spans="1:4">
      <c r="A294" s="312" t="s">
        <v>265</v>
      </c>
      <c r="B294" s="313">
        <v>11189</v>
      </c>
      <c r="C294" s="313">
        <v>11189</v>
      </c>
      <c r="D294" s="325">
        <f t="shared" si="5"/>
        <v>0</v>
      </c>
    </row>
    <row r="295" spans="1:4">
      <c r="A295" s="312" t="s">
        <v>266</v>
      </c>
      <c r="B295" s="313">
        <v>3824</v>
      </c>
      <c r="C295" s="313">
        <v>3824</v>
      </c>
      <c r="D295" s="325">
        <f t="shared" si="5"/>
        <v>0</v>
      </c>
    </row>
    <row r="296" spans="1:4">
      <c r="A296" s="312" t="s">
        <v>267</v>
      </c>
      <c r="B296" s="313">
        <v>9520</v>
      </c>
      <c r="C296" s="313">
        <v>9520</v>
      </c>
      <c r="D296" s="325">
        <f t="shared" si="5"/>
        <v>0</v>
      </c>
    </row>
    <row r="297" spans="1:4">
      <c r="A297" s="312" t="s">
        <v>500</v>
      </c>
      <c r="B297" s="313">
        <v>0</v>
      </c>
      <c r="C297" s="313"/>
      <c r="D297" s="325">
        <f t="shared" si="5"/>
        <v>0</v>
      </c>
    </row>
    <row r="298" spans="1:4">
      <c r="A298" s="312" t="s">
        <v>501</v>
      </c>
      <c r="B298" s="313">
        <v>696</v>
      </c>
      <c r="C298" s="313">
        <v>696</v>
      </c>
      <c r="D298" s="325">
        <f t="shared" si="5"/>
        <v>0</v>
      </c>
    </row>
    <row r="299" spans="1:4">
      <c r="A299" s="312" t="s">
        <v>502</v>
      </c>
      <c r="B299" s="313">
        <v>615</v>
      </c>
      <c r="C299" s="313">
        <v>615</v>
      </c>
      <c r="D299" s="325">
        <f t="shared" si="5"/>
        <v>0</v>
      </c>
    </row>
    <row r="300" spans="1:4">
      <c r="A300" s="342" t="s">
        <v>503</v>
      </c>
      <c r="B300" s="313">
        <v>27328</v>
      </c>
      <c r="C300" s="313">
        <v>36158</v>
      </c>
      <c r="D300" s="325">
        <v>8830</v>
      </c>
    </row>
    <row r="301" spans="1:4">
      <c r="A301" s="312" t="s">
        <v>504</v>
      </c>
      <c r="B301" s="313">
        <v>14188</v>
      </c>
      <c r="C301" s="313">
        <v>14294</v>
      </c>
      <c r="D301" s="325">
        <f t="shared" si="5"/>
        <v>106</v>
      </c>
    </row>
    <row r="302" spans="1:4">
      <c r="A302" s="312" t="s">
        <v>505</v>
      </c>
      <c r="B302" s="313">
        <v>17011</v>
      </c>
      <c r="C302" s="313">
        <v>33496</v>
      </c>
      <c r="D302" s="325">
        <f t="shared" si="5"/>
        <v>16485</v>
      </c>
    </row>
    <row r="303" spans="1:4">
      <c r="A303" s="312" t="s">
        <v>506</v>
      </c>
      <c r="B303" s="313">
        <v>8455</v>
      </c>
      <c r="C303" s="313">
        <v>14069</v>
      </c>
      <c r="D303" s="325">
        <f t="shared" si="5"/>
        <v>5614</v>
      </c>
    </row>
    <row r="304" spans="1:4">
      <c r="A304" s="312" t="s">
        <v>507</v>
      </c>
      <c r="B304" s="313">
        <v>796</v>
      </c>
      <c r="C304" s="313">
        <v>4767</v>
      </c>
      <c r="D304" s="325">
        <f t="shared" si="5"/>
        <v>3971</v>
      </c>
    </row>
    <row r="305" spans="1:4">
      <c r="A305" s="312" t="s">
        <v>508</v>
      </c>
      <c r="B305" s="313">
        <v>10920</v>
      </c>
      <c r="C305" s="313">
        <v>13917</v>
      </c>
      <c r="D305" s="325">
        <f t="shared" si="5"/>
        <v>2997</v>
      </c>
    </row>
    <row r="306" spans="1:4" s="375" customFormat="1">
      <c r="A306" s="370" t="s">
        <v>509</v>
      </c>
      <c r="B306" s="371">
        <v>10476</v>
      </c>
      <c r="C306" s="371">
        <v>11358</v>
      </c>
      <c r="D306" s="374">
        <f t="shared" si="5"/>
        <v>882</v>
      </c>
    </row>
    <row r="307" spans="1:4">
      <c r="A307" s="312" t="s">
        <v>510</v>
      </c>
      <c r="B307" s="313">
        <v>9463</v>
      </c>
      <c r="C307" s="313">
        <v>9463</v>
      </c>
      <c r="D307" s="325">
        <f t="shared" si="5"/>
        <v>0</v>
      </c>
    </row>
    <row r="308" spans="1:4">
      <c r="A308" s="312" t="s">
        <v>511</v>
      </c>
      <c r="B308" s="313">
        <v>6666</v>
      </c>
      <c r="C308" s="313">
        <v>6666</v>
      </c>
      <c r="D308" s="325">
        <f t="shared" si="5"/>
        <v>0</v>
      </c>
    </row>
    <row r="309" spans="1:4">
      <c r="A309" s="312" t="s">
        <v>512</v>
      </c>
      <c r="B309" s="313">
        <v>2024</v>
      </c>
      <c r="C309" s="313">
        <v>2024</v>
      </c>
      <c r="D309" s="325">
        <f t="shared" si="5"/>
        <v>0</v>
      </c>
    </row>
    <row r="310" spans="1:4">
      <c r="A310" s="312" t="s">
        <v>513</v>
      </c>
      <c r="B310" s="313">
        <v>3242</v>
      </c>
      <c r="C310" s="313">
        <v>3242</v>
      </c>
      <c r="D310" s="325">
        <f t="shared" si="5"/>
        <v>0</v>
      </c>
    </row>
    <row r="311" spans="1:4">
      <c r="A311" s="312" t="s">
        <v>514</v>
      </c>
      <c r="B311" s="313">
        <v>4691</v>
      </c>
      <c r="C311" s="313">
        <v>4822</v>
      </c>
      <c r="D311" s="325">
        <f t="shared" si="5"/>
        <v>131</v>
      </c>
    </row>
    <row r="312" spans="1:4">
      <c r="A312" s="312" t="s">
        <v>515</v>
      </c>
      <c r="B312" s="313">
        <v>8590</v>
      </c>
      <c r="C312" s="313">
        <v>9776</v>
      </c>
      <c r="D312" s="325">
        <f t="shared" si="5"/>
        <v>1186</v>
      </c>
    </row>
    <row r="313" spans="1:4">
      <c r="A313" s="312" t="s">
        <v>516</v>
      </c>
      <c r="B313" s="313">
        <v>6671</v>
      </c>
      <c r="C313" s="313">
        <v>6671</v>
      </c>
      <c r="D313" s="325">
        <f t="shared" si="5"/>
        <v>0</v>
      </c>
    </row>
    <row r="314" spans="1:4">
      <c r="A314" s="312" t="s">
        <v>517</v>
      </c>
      <c r="B314" s="313">
        <v>2665</v>
      </c>
      <c r="C314" s="313">
        <v>2665</v>
      </c>
      <c r="D314" s="325">
        <f t="shared" si="5"/>
        <v>0</v>
      </c>
    </row>
    <row r="315" spans="1:4">
      <c r="A315" s="312" t="s">
        <v>518</v>
      </c>
      <c r="B315" s="313">
        <v>6006</v>
      </c>
      <c r="C315" s="313">
        <v>6006</v>
      </c>
      <c r="D315" s="325">
        <f t="shared" si="5"/>
        <v>0</v>
      </c>
    </row>
    <row r="316" spans="1:4">
      <c r="A316" s="312" t="s">
        <v>519</v>
      </c>
      <c r="B316" s="313">
        <v>1988</v>
      </c>
      <c r="C316" s="313">
        <v>1988</v>
      </c>
      <c r="D316" s="325">
        <f t="shared" si="5"/>
        <v>0</v>
      </c>
    </row>
    <row r="317" spans="1:4">
      <c r="A317" s="312" t="s">
        <v>520</v>
      </c>
      <c r="B317" s="313">
        <v>1294</v>
      </c>
      <c r="C317" s="313">
        <v>1294</v>
      </c>
      <c r="D317" s="325">
        <f t="shared" si="5"/>
        <v>0</v>
      </c>
    </row>
    <row r="318" spans="1:4">
      <c r="A318" s="312" t="s">
        <v>521</v>
      </c>
      <c r="B318" s="313">
        <v>8954</v>
      </c>
      <c r="C318" s="313">
        <v>10009</v>
      </c>
      <c r="D318" s="325">
        <f t="shared" si="5"/>
        <v>1055</v>
      </c>
    </row>
    <row r="319" spans="1:4">
      <c r="A319" s="312" t="s">
        <v>522</v>
      </c>
      <c r="B319" s="313">
        <v>12971</v>
      </c>
      <c r="C319" s="313">
        <v>13343</v>
      </c>
      <c r="D319" s="325">
        <f t="shared" si="5"/>
        <v>372</v>
      </c>
    </row>
    <row r="320" spans="1:4">
      <c r="A320" s="312" t="s">
        <v>523</v>
      </c>
      <c r="B320" s="313">
        <v>13289</v>
      </c>
      <c r="C320" s="313">
        <v>13289</v>
      </c>
      <c r="D320" s="325">
        <f t="shared" si="5"/>
        <v>0</v>
      </c>
    </row>
    <row r="321" spans="1:4">
      <c r="A321" s="312" t="s">
        <v>524</v>
      </c>
      <c r="B321" s="313">
        <v>6756</v>
      </c>
      <c r="C321" s="313">
        <v>6756</v>
      </c>
      <c r="D321" s="325">
        <f t="shared" si="5"/>
        <v>0</v>
      </c>
    </row>
    <row r="322" spans="1:4">
      <c r="A322" s="312" t="s">
        <v>525</v>
      </c>
      <c r="B322" s="313">
        <v>3126</v>
      </c>
      <c r="C322" s="313">
        <v>3285</v>
      </c>
      <c r="D322" s="325">
        <f t="shared" si="5"/>
        <v>159</v>
      </c>
    </row>
    <row r="323" spans="1:4">
      <c r="A323" s="370" t="s">
        <v>526</v>
      </c>
      <c r="B323" s="371">
        <v>1765</v>
      </c>
      <c r="C323" s="371">
        <v>3422</v>
      </c>
      <c r="D323" s="374">
        <f t="shared" si="5"/>
        <v>1657</v>
      </c>
    </row>
    <row r="324" spans="1:4">
      <c r="A324" s="312" t="s">
        <v>527</v>
      </c>
      <c r="B324" s="313">
        <v>1736</v>
      </c>
      <c r="C324" s="313">
        <v>1736</v>
      </c>
      <c r="D324" s="325">
        <f t="shared" ref="D324:D359" si="6">C324-B324</f>
        <v>0</v>
      </c>
    </row>
    <row r="325" spans="1:4">
      <c r="A325" s="312" t="s">
        <v>528</v>
      </c>
      <c r="B325" s="313">
        <v>5930</v>
      </c>
      <c r="C325" s="313">
        <v>7470</v>
      </c>
      <c r="D325" s="325">
        <f t="shared" si="6"/>
        <v>1540</v>
      </c>
    </row>
    <row r="326" spans="1:4">
      <c r="A326" s="312" t="s">
        <v>529</v>
      </c>
      <c r="B326" s="313">
        <v>955</v>
      </c>
      <c r="C326" s="313">
        <v>1057</v>
      </c>
      <c r="D326" s="325">
        <f t="shared" si="6"/>
        <v>102</v>
      </c>
    </row>
    <row r="327" spans="1:4">
      <c r="A327" s="312" t="s">
        <v>530</v>
      </c>
      <c r="B327" s="313">
        <v>2214</v>
      </c>
      <c r="C327" s="313">
        <v>2214</v>
      </c>
      <c r="D327" s="325">
        <f t="shared" si="6"/>
        <v>0</v>
      </c>
    </row>
    <row r="328" spans="1:4">
      <c r="A328" s="312" t="s">
        <v>531</v>
      </c>
      <c r="B328" s="313">
        <v>798</v>
      </c>
      <c r="C328" s="313">
        <v>798</v>
      </c>
      <c r="D328" s="325">
        <f t="shared" si="6"/>
        <v>0</v>
      </c>
    </row>
    <row r="329" spans="1:4">
      <c r="A329" s="312" t="s">
        <v>532</v>
      </c>
      <c r="B329" s="313">
        <v>627</v>
      </c>
      <c r="C329" s="313">
        <v>627</v>
      </c>
      <c r="D329" s="325">
        <f t="shared" si="6"/>
        <v>0</v>
      </c>
    </row>
    <row r="330" spans="1:4">
      <c r="A330" s="312" t="s">
        <v>533</v>
      </c>
      <c r="B330" s="313">
        <v>596</v>
      </c>
      <c r="C330" s="313">
        <v>596</v>
      </c>
      <c r="D330" s="325">
        <f t="shared" si="6"/>
        <v>0</v>
      </c>
    </row>
    <row r="331" spans="1:4">
      <c r="A331" s="312" t="s">
        <v>534</v>
      </c>
      <c r="B331" s="313">
        <v>10358</v>
      </c>
      <c r="C331" s="313">
        <v>10358</v>
      </c>
      <c r="D331" s="325">
        <f t="shared" si="6"/>
        <v>0</v>
      </c>
    </row>
    <row r="332" spans="1:4">
      <c r="A332" s="312" t="s">
        <v>535</v>
      </c>
      <c r="B332" s="313">
        <v>7929</v>
      </c>
      <c r="C332" s="313">
        <v>7929</v>
      </c>
      <c r="D332" s="325">
        <f t="shared" si="6"/>
        <v>0</v>
      </c>
    </row>
    <row r="333" spans="1:4">
      <c r="A333" s="312" t="s">
        <v>536</v>
      </c>
      <c r="B333" s="313">
        <v>1608</v>
      </c>
      <c r="C333" s="313">
        <v>1608</v>
      </c>
      <c r="D333" s="325">
        <f t="shared" si="6"/>
        <v>0</v>
      </c>
    </row>
    <row r="334" spans="1:4">
      <c r="A334" s="312" t="s">
        <v>269</v>
      </c>
      <c r="B334" s="313">
        <v>4965</v>
      </c>
      <c r="C334" s="313">
        <v>5087</v>
      </c>
      <c r="D334" s="325">
        <f t="shared" si="6"/>
        <v>122</v>
      </c>
    </row>
    <row r="335" spans="1:4">
      <c r="A335" s="312" t="s">
        <v>270</v>
      </c>
      <c r="B335" s="313">
        <v>6032</v>
      </c>
      <c r="C335" s="313">
        <v>6032</v>
      </c>
      <c r="D335" s="325">
        <f t="shared" si="6"/>
        <v>0</v>
      </c>
    </row>
    <row r="336" spans="1:4">
      <c r="A336" s="312" t="s">
        <v>271</v>
      </c>
      <c r="B336" s="313">
        <v>1034</v>
      </c>
      <c r="C336" s="313">
        <v>11390</v>
      </c>
      <c r="D336" s="325">
        <f t="shared" si="6"/>
        <v>10356</v>
      </c>
    </row>
    <row r="337" spans="1:4">
      <c r="A337" s="312" t="s">
        <v>272</v>
      </c>
      <c r="B337" s="313">
        <v>10595</v>
      </c>
      <c r="C337" s="313">
        <v>10595</v>
      </c>
      <c r="D337" s="325">
        <f t="shared" si="6"/>
        <v>0</v>
      </c>
    </row>
    <row r="338" spans="1:4">
      <c r="A338" s="312" t="s">
        <v>273</v>
      </c>
      <c r="B338" s="313">
        <v>4721</v>
      </c>
      <c r="C338" s="313">
        <v>4721</v>
      </c>
      <c r="D338" s="325">
        <f t="shared" si="6"/>
        <v>0</v>
      </c>
    </row>
    <row r="339" spans="1:4">
      <c r="A339" s="312" t="s">
        <v>274</v>
      </c>
      <c r="B339" s="313">
        <v>12770</v>
      </c>
      <c r="C339" s="313">
        <v>12770</v>
      </c>
      <c r="D339" s="325">
        <f t="shared" si="6"/>
        <v>0</v>
      </c>
    </row>
    <row r="340" spans="1:4">
      <c r="A340" s="312" t="s">
        <v>275</v>
      </c>
      <c r="B340" s="313">
        <v>3150</v>
      </c>
      <c r="C340" s="313">
        <v>3150</v>
      </c>
      <c r="D340" s="325">
        <f t="shared" si="6"/>
        <v>0</v>
      </c>
    </row>
    <row r="341" spans="1:4">
      <c r="A341" s="312" t="s">
        <v>276</v>
      </c>
      <c r="B341" s="313">
        <v>6277</v>
      </c>
      <c r="C341" s="313">
        <v>6277</v>
      </c>
      <c r="D341" s="325">
        <f t="shared" si="6"/>
        <v>0</v>
      </c>
    </row>
    <row r="342" spans="1:4">
      <c r="A342" s="312" t="s">
        <v>277</v>
      </c>
      <c r="B342" s="313">
        <v>6421</v>
      </c>
      <c r="C342" s="313">
        <v>6421</v>
      </c>
      <c r="D342" s="325">
        <f t="shared" si="6"/>
        <v>0</v>
      </c>
    </row>
    <row r="343" spans="1:4">
      <c r="A343" s="312" t="s">
        <v>278</v>
      </c>
      <c r="B343" s="313">
        <v>3719</v>
      </c>
      <c r="C343" s="313">
        <v>3719</v>
      </c>
      <c r="D343" s="325">
        <f t="shared" si="6"/>
        <v>0</v>
      </c>
    </row>
    <row r="344" spans="1:4">
      <c r="A344" s="312" t="s">
        <v>279</v>
      </c>
      <c r="B344" s="313">
        <v>2985</v>
      </c>
      <c r="C344" s="313">
        <v>2985</v>
      </c>
      <c r="D344" s="325">
        <f t="shared" si="6"/>
        <v>0</v>
      </c>
    </row>
    <row r="345" spans="1:4">
      <c r="A345" s="342" t="s">
        <v>280</v>
      </c>
      <c r="B345" s="313">
        <v>16706</v>
      </c>
      <c r="C345" s="313">
        <v>19251</v>
      </c>
      <c r="D345" s="325">
        <f t="shared" si="6"/>
        <v>2545</v>
      </c>
    </row>
    <row r="346" spans="1:4">
      <c r="A346" s="312" t="s">
        <v>281</v>
      </c>
      <c r="B346" s="313">
        <v>14189</v>
      </c>
      <c r="C346" s="313">
        <v>14189</v>
      </c>
      <c r="D346" s="325">
        <f t="shared" si="6"/>
        <v>0</v>
      </c>
    </row>
    <row r="347" spans="1:4">
      <c r="A347" s="312" t="s">
        <v>282</v>
      </c>
      <c r="B347" s="313">
        <v>868</v>
      </c>
      <c r="C347" s="313">
        <v>4690</v>
      </c>
      <c r="D347" s="325">
        <f t="shared" si="6"/>
        <v>3822</v>
      </c>
    </row>
    <row r="348" spans="1:4">
      <c r="A348" s="312" t="s">
        <v>283</v>
      </c>
      <c r="B348" s="313">
        <v>12498</v>
      </c>
      <c r="C348" s="313">
        <v>12498</v>
      </c>
      <c r="D348" s="325">
        <f t="shared" si="6"/>
        <v>0</v>
      </c>
    </row>
    <row r="349" spans="1:4">
      <c r="A349" s="312" t="s">
        <v>284</v>
      </c>
      <c r="B349" s="313">
        <v>15421.18</v>
      </c>
      <c r="C349" s="313">
        <v>15421.18</v>
      </c>
      <c r="D349" s="325">
        <f t="shared" si="6"/>
        <v>0</v>
      </c>
    </row>
    <row r="350" spans="1:4">
      <c r="A350" s="312" t="s">
        <v>285</v>
      </c>
      <c r="B350" s="313">
        <v>7167</v>
      </c>
      <c r="C350" s="313">
        <v>7167</v>
      </c>
      <c r="D350" s="325">
        <f t="shared" si="6"/>
        <v>0</v>
      </c>
    </row>
    <row r="351" spans="1:4">
      <c r="A351" s="312" t="s">
        <v>537</v>
      </c>
      <c r="B351" s="313">
        <v>6706</v>
      </c>
      <c r="C351" s="313">
        <v>6730</v>
      </c>
      <c r="D351" s="325">
        <f t="shared" si="6"/>
        <v>24</v>
      </c>
    </row>
    <row r="352" spans="1:4">
      <c r="A352" s="312" t="s">
        <v>286</v>
      </c>
      <c r="B352" s="313">
        <v>9502</v>
      </c>
      <c r="C352" s="313">
        <v>9502</v>
      </c>
      <c r="D352" s="325">
        <f t="shared" si="6"/>
        <v>0</v>
      </c>
    </row>
    <row r="353" spans="1:4">
      <c r="A353" s="312" t="s">
        <v>288</v>
      </c>
      <c r="B353" s="313">
        <v>0</v>
      </c>
      <c r="C353" s="313"/>
      <c r="D353" s="325">
        <f t="shared" si="6"/>
        <v>0</v>
      </c>
    </row>
    <row r="354" spans="1:4">
      <c r="A354" s="312" t="s">
        <v>268</v>
      </c>
      <c r="B354" s="313">
        <v>0</v>
      </c>
      <c r="C354" s="313"/>
      <c r="D354" s="325">
        <f t="shared" si="6"/>
        <v>0</v>
      </c>
    </row>
    <row r="355" spans="1:4">
      <c r="A355" s="312" t="s">
        <v>538</v>
      </c>
      <c r="B355" s="313">
        <v>720</v>
      </c>
      <c r="C355" s="313">
        <v>1125</v>
      </c>
      <c r="D355" s="325">
        <f t="shared" si="6"/>
        <v>405</v>
      </c>
    </row>
    <row r="356" spans="1:4">
      <c r="A356" s="312" t="s">
        <v>539</v>
      </c>
      <c r="B356" s="313">
        <v>558</v>
      </c>
      <c r="C356" s="313">
        <v>11876</v>
      </c>
      <c r="D356" s="325">
        <f t="shared" si="6"/>
        <v>11318</v>
      </c>
    </row>
    <row r="357" spans="1:4">
      <c r="A357" s="312" t="s">
        <v>540</v>
      </c>
      <c r="B357" s="313">
        <v>250</v>
      </c>
      <c r="C357" s="313">
        <v>3006</v>
      </c>
      <c r="D357" s="325">
        <f t="shared" si="6"/>
        <v>2756</v>
      </c>
    </row>
    <row r="358" spans="1:4">
      <c r="A358" s="312" t="s">
        <v>541</v>
      </c>
      <c r="B358" s="313">
        <v>805</v>
      </c>
      <c r="C358" s="313">
        <v>810</v>
      </c>
      <c r="D358" s="325">
        <f t="shared" si="6"/>
        <v>5</v>
      </c>
    </row>
    <row r="359" spans="1:4">
      <c r="A359" s="312" t="s">
        <v>293</v>
      </c>
      <c r="B359" s="313">
        <v>1200</v>
      </c>
      <c r="C359" s="313">
        <v>11564</v>
      </c>
      <c r="D359" s="325">
        <f t="shared" si="6"/>
        <v>10364</v>
      </c>
    </row>
    <row r="360" spans="1:4">
      <c r="A360" s="338" t="s">
        <v>551</v>
      </c>
      <c r="B360" s="313"/>
      <c r="C360" s="313">
        <v>2410</v>
      </c>
      <c r="D360" s="325">
        <f t="shared" ref="D360:D411" si="7">C360-B360</f>
        <v>2410</v>
      </c>
    </row>
    <row r="361" spans="1:4">
      <c r="A361" s="338" t="s">
        <v>553</v>
      </c>
      <c r="B361" s="313"/>
      <c r="C361" s="313">
        <v>9562</v>
      </c>
      <c r="D361" s="325">
        <f t="shared" si="7"/>
        <v>9562</v>
      </c>
    </row>
    <row r="362" spans="1:4">
      <c r="A362" s="338" t="s">
        <v>560</v>
      </c>
      <c r="B362" s="313"/>
      <c r="C362" s="313">
        <v>3845</v>
      </c>
      <c r="D362" s="325">
        <f t="shared" si="7"/>
        <v>3845</v>
      </c>
    </row>
    <row r="363" spans="1:4">
      <c r="A363" s="338" t="s">
        <v>562</v>
      </c>
      <c r="B363" s="313"/>
      <c r="C363" s="313">
        <v>2790</v>
      </c>
      <c r="D363" s="325">
        <f t="shared" si="7"/>
        <v>2790</v>
      </c>
    </row>
    <row r="364" spans="1:4">
      <c r="A364" s="338" t="s">
        <v>564</v>
      </c>
      <c r="B364" s="313"/>
      <c r="C364" s="313">
        <v>1841</v>
      </c>
      <c r="D364" s="325">
        <f t="shared" si="7"/>
        <v>1841</v>
      </c>
    </row>
    <row r="365" spans="1:4">
      <c r="A365" s="338" t="s">
        <v>567</v>
      </c>
      <c r="B365" s="313"/>
      <c r="C365" s="313">
        <v>4824</v>
      </c>
      <c r="D365" s="325">
        <f t="shared" si="7"/>
        <v>4824</v>
      </c>
    </row>
    <row r="366" spans="1:4">
      <c r="A366" s="338" t="s">
        <v>568</v>
      </c>
      <c r="B366" s="313"/>
      <c r="C366" s="313">
        <v>803</v>
      </c>
      <c r="D366" s="325">
        <f t="shared" si="7"/>
        <v>803</v>
      </c>
    </row>
    <row r="367" spans="1:4">
      <c r="A367" s="338">
        <v>100028764</v>
      </c>
      <c r="B367" s="313"/>
      <c r="C367" s="313">
        <v>4565</v>
      </c>
      <c r="D367" s="325">
        <v>4565</v>
      </c>
    </row>
    <row r="368" spans="1:4">
      <c r="A368" s="338" t="s">
        <v>577</v>
      </c>
      <c r="B368" s="313"/>
      <c r="C368" s="313">
        <v>363</v>
      </c>
      <c r="D368" s="325">
        <f t="shared" si="7"/>
        <v>363</v>
      </c>
    </row>
    <row r="369" spans="1:4">
      <c r="A369" s="338" t="s">
        <v>550</v>
      </c>
      <c r="B369" s="313"/>
      <c r="C369" s="313">
        <v>2891</v>
      </c>
      <c r="D369" s="325">
        <f t="shared" si="7"/>
        <v>2891</v>
      </c>
    </row>
    <row r="370" spans="1:4">
      <c r="A370" s="338" t="s">
        <v>552</v>
      </c>
      <c r="B370" s="313"/>
      <c r="C370" s="313">
        <v>2509</v>
      </c>
      <c r="D370" s="325">
        <f t="shared" si="7"/>
        <v>2509</v>
      </c>
    </row>
    <row r="371" spans="1:4">
      <c r="A371" s="338" t="s">
        <v>554</v>
      </c>
      <c r="B371" s="313"/>
      <c r="C371" s="313">
        <v>8114</v>
      </c>
      <c r="D371" s="325">
        <f t="shared" si="7"/>
        <v>8114</v>
      </c>
    </row>
    <row r="372" spans="1:4">
      <c r="A372" s="338" t="s">
        <v>555</v>
      </c>
      <c r="B372" s="313"/>
      <c r="C372" s="313">
        <v>11391</v>
      </c>
      <c r="D372" s="325">
        <f t="shared" si="7"/>
        <v>11391</v>
      </c>
    </row>
    <row r="373" spans="1:4">
      <c r="A373" s="338" t="s">
        <v>556</v>
      </c>
      <c r="B373" s="313"/>
      <c r="C373" s="313">
        <v>6108</v>
      </c>
      <c r="D373" s="325">
        <f t="shared" si="7"/>
        <v>6108</v>
      </c>
    </row>
    <row r="374" spans="1:4">
      <c r="A374" s="338" t="s">
        <v>557</v>
      </c>
      <c r="B374" s="313"/>
      <c r="C374" s="313">
        <v>997</v>
      </c>
      <c r="D374" s="325">
        <f t="shared" si="7"/>
        <v>997</v>
      </c>
    </row>
    <row r="375" spans="1:4">
      <c r="A375" s="338" t="s">
        <v>558</v>
      </c>
      <c r="B375" s="313"/>
      <c r="C375" s="313">
        <v>1784</v>
      </c>
      <c r="D375" s="325">
        <f t="shared" si="7"/>
        <v>1784</v>
      </c>
    </row>
    <row r="376" spans="1:4">
      <c r="A376" s="338" t="s">
        <v>559</v>
      </c>
      <c r="B376" s="313"/>
      <c r="C376" s="313">
        <v>9784</v>
      </c>
      <c r="D376" s="325">
        <f t="shared" si="7"/>
        <v>9784</v>
      </c>
    </row>
    <row r="377" spans="1:4">
      <c r="A377" s="338" t="s">
        <v>561</v>
      </c>
      <c r="B377" s="313"/>
      <c r="C377" s="313">
        <v>5185</v>
      </c>
      <c r="D377" s="325">
        <f t="shared" si="7"/>
        <v>5185</v>
      </c>
    </row>
    <row r="378" spans="1:4">
      <c r="A378" s="338" t="s">
        <v>565</v>
      </c>
      <c r="B378" s="313"/>
      <c r="C378" s="313">
        <v>12790</v>
      </c>
      <c r="D378" s="325">
        <f t="shared" si="7"/>
        <v>12790</v>
      </c>
    </row>
    <row r="379" spans="1:4">
      <c r="A379" s="338" t="s">
        <v>585</v>
      </c>
      <c r="B379" s="313"/>
      <c r="C379" s="313">
        <v>3684</v>
      </c>
      <c r="D379" s="325">
        <f t="shared" si="7"/>
        <v>3684</v>
      </c>
    </row>
    <row r="380" spans="1:4">
      <c r="A380" s="338" t="s">
        <v>566</v>
      </c>
      <c r="B380" s="313"/>
      <c r="C380" s="313">
        <v>14681</v>
      </c>
      <c r="D380" s="325">
        <f t="shared" si="7"/>
        <v>14681</v>
      </c>
    </row>
    <row r="381" spans="1:4">
      <c r="A381" s="338" t="s">
        <v>563</v>
      </c>
      <c r="B381" s="313"/>
      <c r="C381" s="313">
        <v>6183</v>
      </c>
      <c r="D381" s="325">
        <f t="shared" si="7"/>
        <v>6183</v>
      </c>
    </row>
    <row r="382" spans="1:4">
      <c r="A382" s="338" t="s">
        <v>569</v>
      </c>
      <c r="B382" s="313"/>
      <c r="C382" s="313">
        <v>5798</v>
      </c>
      <c r="D382" s="325">
        <f t="shared" si="7"/>
        <v>5798</v>
      </c>
    </row>
    <row r="383" spans="1:4">
      <c r="A383" s="338" t="s">
        <v>570</v>
      </c>
      <c r="B383" s="313"/>
      <c r="C383" s="313">
        <v>4396</v>
      </c>
      <c r="D383" s="325">
        <f t="shared" si="7"/>
        <v>4396</v>
      </c>
    </row>
    <row r="384" spans="1:4">
      <c r="A384" s="338" t="s">
        <v>543</v>
      </c>
      <c r="B384" s="313"/>
      <c r="C384" s="313">
        <v>6498</v>
      </c>
      <c r="D384" s="325">
        <f t="shared" si="7"/>
        <v>6498</v>
      </c>
    </row>
    <row r="385" spans="1:4">
      <c r="A385" s="338" t="s">
        <v>586</v>
      </c>
      <c r="B385" s="313"/>
      <c r="C385" s="313">
        <v>2350</v>
      </c>
      <c r="D385" s="325">
        <f t="shared" si="7"/>
        <v>2350</v>
      </c>
    </row>
    <row r="386" spans="1:4">
      <c r="A386" s="338" t="s">
        <v>587</v>
      </c>
      <c r="B386" s="313"/>
      <c r="C386" s="313">
        <v>708</v>
      </c>
      <c r="D386" s="325">
        <f t="shared" si="7"/>
        <v>708</v>
      </c>
    </row>
    <row r="387" spans="1:4">
      <c r="A387" s="338" t="s">
        <v>588</v>
      </c>
      <c r="B387" s="313"/>
      <c r="C387" s="313">
        <v>2376</v>
      </c>
      <c r="D387" s="325">
        <f t="shared" si="7"/>
        <v>2376</v>
      </c>
    </row>
    <row r="388" spans="1:4">
      <c r="A388" s="338" t="s">
        <v>575</v>
      </c>
      <c r="B388" s="313"/>
      <c r="C388" s="313">
        <v>8893</v>
      </c>
      <c r="D388" s="325">
        <f t="shared" si="7"/>
        <v>8893</v>
      </c>
    </row>
    <row r="389" spans="1:4">
      <c r="A389" s="338" t="s">
        <v>589</v>
      </c>
      <c r="B389" s="313"/>
      <c r="C389" s="313">
        <v>1092</v>
      </c>
      <c r="D389" s="325">
        <f t="shared" si="7"/>
        <v>1092</v>
      </c>
    </row>
    <row r="390" spans="1:4">
      <c r="A390" s="338" t="s">
        <v>590</v>
      </c>
      <c r="B390" s="313"/>
      <c r="C390" s="313">
        <v>4986</v>
      </c>
      <c r="D390" s="325">
        <f t="shared" si="7"/>
        <v>4986</v>
      </c>
    </row>
    <row r="391" spans="1:4">
      <c r="A391" s="338" t="s">
        <v>545</v>
      </c>
      <c r="B391" s="313"/>
      <c r="C391" s="313">
        <v>6479</v>
      </c>
      <c r="D391" s="325">
        <f t="shared" si="7"/>
        <v>6479</v>
      </c>
    </row>
    <row r="392" spans="1:4">
      <c r="A392" s="338" t="s">
        <v>591</v>
      </c>
      <c r="B392" s="313"/>
      <c r="C392" s="313">
        <v>2398</v>
      </c>
      <c r="D392" s="325">
        <f t="shared" si="7"/>
        <v>2398</v>
      </c>
    </row>
    <row r="393" spans="1:4">
      <c r="A393" s="338" t="s">
        <v>547</v>
      </c>
      <c r="B393" s="313"/>
      <c r="C393" s="313">
        <v>965</v>
      </c>
      <c r="D393" s="325">
        <f t="shared" si="7"/>
        <v>965</v>
      </c>
    </row>
    <row r="394" spans="1:4">
      <c r="A394" s="338" t="s">
        <v>548</v>
      </c>
      <c r="B394" s="313"/>
      <c r="C394" s="313">
        <v>1526</v>
      </c>
      <c r="D394" s="325">
        <f t="shared" si="7"/>
        <v>1526</v>
      </c>
    </row>
    <row r="395" spans="1:4">
      <c r="A395" s="338" t="s">
        <v>549</v>
      </c>
      <c r="B395" s="313"/>
      <c r="C395" s="313">
        <v>5498</v>
      </c>
      <c r="D395" s="325">
        <f t="shared" si="7"/>
        <v>5498</v>
      </c>
    </row>
    <row r="396" spans="1:4">
      <c r="A396" s="338" t="s">
        <v>592</v>
      </c>
      <c r="B396" s="313"/>
      <c r="C396" s="313">
        <v>7880</v>
      </c>
      <c r="D396" s="325">
        <f t="shared" si="7"/>
        <v>7880</v>
      </c>
    </row>
    <row r="397" spans="1:4">
      <c r="A397" s="338" t="s">
        <v>576</v>
      </c>
      <c r="B397" s="313"/>
      <c r="C397" s="313">
        <v>10293</v>
      </c>
      <c r="D397" s="325">
        <f t="shared" si="7"/>
        <v>10293</v>
      </c>
    </row>
    <row r="398" spans="1:4">
      <c r="A398" s="338" t="s">
        <v>593</v>
      </c>
      <c r="B398" s="313"/>
      <c r="C398" s="313">
        <v>7832</v>
      </c>
      <c r="D398" s="325">
        <f t="shared" si="7"/>
        <v>7832</v>
      </c>
    </row>
    <row r="399" spans="1:4">
      <c r="A399" s="338" t="s">
        <v>542</v>
      </c>
      <c r="B399" s="313"/>
      <c r="C399" s="313">
        <v>6582</v>
      </c>
      <c r="D399" s="325">
        <f t="shared" si="7"/>
        <v>6582</v>
      </c>
    </row>
    <row r="400" spans="1:4">
      <c r="A400" s="338" t="s">
        <v>544</v>
      </c>
      <c r="B400" s="313"/>
      <c r="C400" s="313">
        <v>1691</v>
      </c>
      <c r="D400" s="325">
        <f t="shared" si="7"/>
        <v>1691</v>
      </c>
    </row>
    <row r="401" spans="1:4">
      <c r="A401" s="338" t="s">
        <v>594</v>
      </c>
      <c r="B401" s="313"/>
      <c r="C401" s="313">
        <v>2886</v>
      </c>
      <c r="D401" s="325">
        <f t="shared" si="7"/>
        <v>2886</v>
      </c>
    </row>
    <row r="402" spans="1:4">
      <c r="A402" s="338" t="s">
        <v>546</v>
      </c>
      <c r="B402" s="313"/>
      <c r="C402" s="313">
        <v>8474</v>
      </c>
      <c r="D402" s="325">
        <f t="shared" si="7"/>
        <v>8474</v>
      </c>
    </row>
    <row r="403" spans="1:4">
      <c r="A403" s="338" t="s">
        <v>595</v>
      </c>
      <c r="B403" s="313"/>
      <c r="C403" s="313">
        <v>452</v>
      </c>
      <c r="D403" s="325">
        <f t="shared" si="7"/>
        <v>452</v>
      </c>
    </row>
    <row r="404" spans="1:4">
      <c r="A404" s="338" t="s">
        <v>573</v>
      </c>
      <c r="B404" s="313"/>
      <c r="C404" s="313">
        <v>12678</v>
      </c>
      <c r="D404" s="325">
        <f t="shared" si="7"/>
        <v>12678</v>
      </c>
    </row>
    <row r="405" spans="1:4">
      <c r="A405" s="338" t="s">
        <v>574</v>
      </c>
      <c r="B405" s="313"/>
      <c r="C405" s="313">
        <v>17461</v>
      </c>
      <c r="D405" s="325">
        <f t="shared" si="7"/>
        <v>17461</v>
      </c>
    </row>
    <row r="406" spans="1:4">
      <c r="A406" s="338" t="s">
        <v>596</v>
      </c>
      <c r="B406" s="313"/>
      <c r="C406" s="313">
        <v>0</v>
      </c>
      <c r="D406" s="325">
        <v>0</v>
      </c>
    </row>
    <row r="407" spans="1:4">
      <c r="A407" s="338" t="s">
        <v>597</v>
      </c>
      <c r="B407" s="313"/>
      <c r="C407" s="313">
        <v>7982</v>
      </c>
      <c r="D407" s="325">
        <f t="shared" si="7"/>
        <v>7982</v>
      </c>
    </row>
    <row r="408" spans="1:4">
      <c r="A408" s="338" t="s">
        <v>571</v>
      </c>
      <c r="B408" s="313"/>
      <c r="C408" s="313">
        <v>6878</v>
      </c>
      <c r="D408" s="325">
        <f t="shared" si="7"/>
        <v>6878</v>
      </c>
    </row>
    <row r="409" spans="1:4">
      <c r="A409" s="338" t="s">
        <v>598</v>
      </c>
      <c r="B409" s="313"/>
      <c r="C409" s="313">
        <v>4528</v>
      </c>
      <c r="D409" s="325">
        <f t="shared" si="7"/>
        <v>4528</v>
      </c>
    </row>
    <row r="410" spans="1:4">
      <c r="A410" s="338" t="s">
        <v>578</v>
      </c>
      <c r="B410" s="313"/>
      <c r="C410" s="313">
        <v>8479</v>
      </c>
      <c r="D410" s="325">
        <f t="shared" si="7"/>
        <v>8479</v>
      </c>
    </row>
    <row r="411" spans="1:4">
      <c r="A411" s="338" t="s">
        <v>572</v>
      </c>
      <c r="B411" s="313"/>
      <c r="C411" s="313">
        <v>1718</v>
      </c>
      <c r="D411" s="325">
        <f t="shared" si="7"/>
        <v>1718</v>
      </c>
    </row>
    <row r="412" spans="1:4">
      <c r="A412" s="312" t="s">
        <v>216</v>
      </c>
      <c r="B412" s="313">
        <v>111247</v>
      </c>
      <c r="C412" s="313">
        <v>111247</v>
      </c>
      <c r="D412" s="325">
        <f>+C412-B412</f>
        <v>0</v>
      </c>
    </row>
    <row r="413" spans="1:4">
      <c r="A413" s="312" t="s">
        <v>181</v>
      </c>
      <c r="B413" s="313">
        <v>17753</v>
      </c>
      <c r="C413" s="313">
        <v>17753</v>
      </c>
      <c r="D413" s="325">
        <f t="shared" ref="D413:D414" si="8">C413-B413</f>
        <v>0</v>
      </c>
    </row>
    <row r="414" spans="1:4">
      <c r="A414" s="312" t="s">
        <v>182</v>
      </c>
      <c r="B414" s="313">
        <v>4755</v>
      </c>
      <c r="C414" s="313">
        <v>4755</v>
      </c>
      <c r="D414" s="325">
        <f t="shared" si="8"/>
        <v>0</v>
      </c>
    </row>
  </sheetData>
  <autoFilter ref="A3:E418" xr:uid="{00000000-0009-0000-0000-00000A000000}"/>
  <conditionalFormatting sqref="A360:A411">
    <cfRule type="duplicateValues" dxfId="0" priority="80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COGS(매출원가+재공품+완성제품)</vt:lpstr>
      <vt:lpstr>JUNE (물량흐름)</vt:lpstr>
      <vt:lpstr>O.B.JUNE</vt:lpstr>
      <vt:lpstr>CUTTING ON JUNE</vt:lpstr>
      <vt:lpstr>CUTTING ON MAY</vt:lpstr>
      <vt:lpstr>O.B.MAY</vt:lpstr>
      <vt:lpstr>In-out-bal products (155)(완성제품)</vt:lpstr>
      <vt:lpstr>Sales profit (스타일 별 매출이익)</vt:lpstr>
      <vt:lpstr>WIP(재공품)</vt:lpstr>
      <vt:lpstr>Direct labour(직접노무비)</vt:lpstr>
      <vt:lpstr>Overhead exp(제조경비)</vt:lpstr>
      <vt:lpstr>O.B.ARP</vt:lpstr>
      <vt:lpstr>CUTTING ON APR</vt:lpstr>
      <vt:lpstr>'Direct labour(직접노무비)'!Print_Area</vt:lpstr>
      <vt:lpstr>'In-out-bal products (155)(완성제품)'!Print_Area</vt:lpstr>
      <vt:lpstr>'Overhead exp(제조경비)'!Print_Area</vt:lpstr>
      <vt:lpstr>'WIP(재공품)'!Print_Area</vt:lpstr>
      <vt:lpstr>'Direct labour(직접노무비)'!Print_Titles</vt:lpstr>
      <vt:lpstr>'In-out-bal products (155)(완성제품)'!Print_Titles</vt:lpstr>
      <vt:lpstr>'JUNE (물량흐름)'!Print_Titles</vt:lpstr>
      <vt:lpstr>'Overhead exp(제조경비)'!Print_Titles</vt:lpstr>
      <vt:lpstr>'Sales profit (스타일 별 매출이익)'!Print_Titles</vt:lpstr>
      <vt:lpstr>'WIP(재공품)'!Print_Titles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Thi Lan</dc:creator>
  <cp:lastModifiedBy>Acc</cp:lastModifiedBy>
  <cp:lastPrinted>2018-07-06T10:41:55Z</cp:lastPrinted>
  <dcterms:created xsi:type="dcterms:W3CDTF">2011-03-28T00:44:58Z</dcterms:created>
  <dcterms:modified xsi:type="dcterms:W3CDTF">2018-07-07T02:22:06Z</dcterms:modified>
</cp:coreProperties>
</file>